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9320" windowHeight="8010" activeTab="9"/>
  </bookViews>
  <sheets>
    <sheet name="Pivot_data" sheetId="17" r:id="rId1"/>
    <sheet name="data" sheetId="1" r:id="rId2"/>
    <sheet name="Α1" sheetId="3" r:id="rId3"/>
    <sheet name="Α1.1" sheetId="4" r:id="rId4"/>
    <sheet name="Α2" sheetId="6" r:id="rId5"/>
    <sheet name="Α2.1-2" sheetId="8" r:id="rId6"/>
    <sheet name="Α3" sheetId="9" r:id="rId7"/>
    <sheet name="Α3.1-4" sheetId="10" r:id="rId8"/>
    <sheet name="Α4" sheetId="14" r:id="rId9"/>
    <sheet name="A5.1-3" sheetId="15" r:id="rId10"/>
    <sheet name="Pivot Dat_1" sheetId="19" r:id="rId11"/>
    <sheet name="DATA_1" sheetId="18" r:id="rId12"/>
    <sheet name="Α6.1-2" sheetId="20" r:id="rId13"/>
    <sheet name="Α7" sheetId="21" r:id="rId14"/>
    <sheet name="Α8" sheetId="22" r:id="rId15"/>
    <sheet name="Α9" sheetId="23" r:id="rId16"/>
    <sheet name="Α10.1" sheetId="24" r:id="rId17"/>
    <sheet name="Β" sheetId="25" r:id="rId18"/>
    <sheet name="Φύλλο1" sheetId="26" r:id="rId19"/>
  </sheets>
  <definedNames>
    <definedName name="_ftn1" localSheetId="7">'Α3.1-4'!$A$31</definedName>
    <definedName name="_ftnref1" localSheetId="7">'Α3.1-4'!#REF!</definedName>
  </definedNames>
  <calcPr calcId="145621"/>
  <pivotCaches>
    <pivotCache cacheId="0" r:id="rId20"/>
    <pivotCache cacheId="1" r:id="rId21"/>
  </pivotCaches>
</workbook>
</file>

<file path=xl/calcChain.xml><?xml version="1.0" encoding="utf-8"?>
<calcChain xmlns="http://schemas.openxmlformats.org/spreadsheetml/2006/main">
  <c r="B8" i="26" l="1"/>
  <c r="C37" i="25"/>
  <c r="D5" i="25" s="1"/>
  <c r="D13" i="25" l="1"/>
  <c r="D34" i="25"/>
  <c r="D29" i="25"/>
  <c r="D4" i="25"/>
  <c r="D8" i="25"/>
  <c r="D20" i="25"/>
  <c r="D30" i="25"/>
  <c r="D23" i="25"/>
  <c r="D22" i="25"/>
  <c r="D6" i="25"/>
  <c r="D9" i="25"/>
  <c r="D12" i="25"/>
  <c r="D17" i="25"/>
  <c r="D31" i="25"/>
  <c r="D16" i="25"/>
  <c r="D36" i="25"/>
  <c r="D11" i="25"/>
  <c r="D26" i="25"/>
  <c r="D15" i="25"/>
  <c r="D24" i="25"/>
  <c r="D18" i="25"/>
  <c r="D27" i="25"/>
  <c r="D10" i="25"/>
  <c r="D21" i="25"/>
  <c r="D35" i="25"/>
  <c r="D33" i="25"/>
  <c r="D25" i="25"/>
  <c r="D32" i="25"/>
  <c r="D28" i="25"/>
  <c r="D14" i="25"/>
  <c r="D19" i="25"/>
  <c r="D7" i="25"/>
  <c r="BC13" i="24"/>
  <c r="BB13" i="24"/>
  <c r="BC5" i="24"/>
  <c r="BC6" i="24"/>
  <c r="BC7" i="24"/>
  <c r="BC8" i="24"/>
  <c r="BC9" i="24"/>
  <c r="BC10" i="24"/>
  <c r="BC11" i="24"/>
  <c r="BC12" i="24"/>
  <c r="BC4" i="24"/>
  <c r="BB5" i="24"/>
  <c r="BB6" i="24"/>
  <c r="BB7" i="24"/>
  <c r="BB8" i="24"/>
  <c r="BB9" i="24"/>
  <c r="BB10" i="24"/>
  <c r="BB11" i="24"/>
  <c r="BB12" i="24"/>
  <c r="BB4" i="24"/>
  <c r="AE5" i="24" l="1"/>
  <c r="AE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4" i="24"/>
  <c r="AD5" i="24"/>
  <c r="AD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4" i="24"/>
  <c r="AC5" i="24"/>
  <c r="AC6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4" i="24"/>
  <c r="AB5" i="24"/>
  <c r="AB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B4" i="24"/>
  <c r="E25" i="24"/>
  <c r="F25" i="24"/>
  <c r="G25" i="24"/>
  <c r="H25" i="24"/>
  <c r="I25" i="24"/>
  <c r="J25" i="24"/>
  <c r="K25" i="24"/>
  <c r="L25" i="24"/>
  <c r="D25" i="24"/>
  <c r="B25" i="24"/>
  <c r="L18" i="23" l="1"/>
  <c r="K18" i="23"/>
  <c r="J18" i="23"/>
  <c r="K17" i="23"/>
  <c r="K16" i="23"/>
  <c r="K15" i="23"/>
  <c r="K14" i="23"/>
  <c r="K13" i="23"/>
  <c r="L12" i="23"/>
  <c r="L13" i="23" s="1"/>
  <c r="L14" i="23" s="1"/>
  <c r="L15" i="23" s="1"/>
  <c r="L16" i="23" s="1"/>
  <c r="L17" i="23" s="1"/>
  <c r="K12" i="23"/>
  <c r="E12" i="23"/>
  <c r="E13" i="23" s="1"/>
  <c r="E14" i="23" s="1"/>
  <c r="E15" i="23" s="1"/>
  <c r="E16" i="23" s="1"/>
  <c r="E17" i="23" s="1"/>
  <c r="L3" i="23"/>
  <c r="L4" i="23"/>
  <c r="L5" i="23" s="1"/>
  <c r="L6" i="23" s="1"/>
  <c r="L7" i="23" s="1"/>
  <c r="L8" i="23" s="1"/>
  <c r="L9" i="23" s="1"/>
  <c r="L10" i="23" s="1"/>
  <c r="L11" i="23" s="1"/>
  <c r="K11" i="23"/>
  <c r="K10" i="23"/>
  <c r="K9" i="23"/>
  <c r="K8" i="23"/>
  <c r="K7" i="23"/>
  <c r="K6" i="23"/>
  <c r="K5" i="23"/>
  <c r="K4" i="23"/>
  <c r="K3" i="23"/>
  <c r="E5" i="23"/>
  <c r="E6" i="23" s="1"/>
  <c r="E7" i="23" s="1"/>
  <c r="E8" i="23" s="1"/>
  <c r="E9" i="23" s="1"/>
  <c r="E10" i="23" s="1"/>
  <c r="E11" i="23" s="1"/>
  <c r="E4" i="23"/>
  <c r="E3" i="23"/>
  <c r="D4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3" i="23"/>
  <c r="I28" i="22"/>
  <c r="T5" i="21"/>
  <c r="T6" i="21"/>
  <c r="T7" i="21"/>
  <c r="T8" i="21"/>
  <c r="T9" i="21"/>
  <c r="T10" i="21"/>
  <c r="T11" i="21"/>
  <c r="T12" i="21"/>
  <c r="T13" i="21"/>
  <c r="T14" i="21"/>
  <c r="T15" i="21"/>
  <c r="T16" i="21"/>
  <c r="T4" i="21"/>
  <c r="S5" i="21"/>
  <c r="S6" i="21"/>
  <c r="S7" i="21"/>
  <c r="S8" i="21"/>
  <c r="S9" i="21"/>
  <c r="S10" i="21"/>
  <c r="S11" i="21"/>
  <c r="S12" i="21"/>
  <c r="S13" i="21"/>
  <c r="S14" i="21"/>
  <c r="S15" i="21"/>
  <c r="S16" i="21"/>
  <c r="S4" i="21"/>
  <c r="E5" i="21"/>
  <c r="E6" i="21"/>
  <c r="E7" i="21"/>
  <c r="E8" i="21"/>
  <c r="E9" i="21"/>
  <c r="E10" i="21"/>
  <c r="E11" i="21"/>
  <c r="E4" i="21"/>
  <c r="AE15" i="20" l="1"/>
  <c r="AE16" i="20"/>
  <c r="AE17" i="20"/>
  <c r="AE18" i="20"/>
  <c r="AE19" i="20"/>
  <c r="AE20" i="20"/>
  <c r="AE14" i="20"/>
  <c r="AE7" i="20"/>
  <c r="AE8" i="20"/>
  <c r="AE9" i="20"/>
  <c r="AE10" i="20"/>
  <c r="AE11" i="20"/>
  <c r="AE12" i="20"/>
  <c r="AE6" i="20"/>
  <c r="AD5" i="20"/>
  <c r="AD13" i="20"/>
  <c r="AD21" i="20"/>
  <c r="AD14" i="20"/>
  <c r="AD15" i="20"/>
  <c r="AD16" i="20"/>
  <c r="AD17" i="20"/>
  <c r="AD18" i="20"/>
  <c r="AD19" i="20"/>
  <c r="AD20" i="20"/>
  <c r="AD7" i="20"/>
  <c r="AD8" i="20"/>
  <c r="AD9" i="20"/>
  <c r="AD10" i="20"/>
  <c r="AD11" i="20"/>
  <c r="AD12" i="20"/>
  <c r="AD6" i="20"/>
  <c r="AC15" i="20"/>
  <c r="AC16" i="20"/>
  <c r="AC17" i="20"/>
  <c r="AC18" i="20"/>
  <c r="AC19" i="20"/>
  <c r="AC14" i="20"/>
  <c r="AC7" i="20"/>
  <c r="AC8" i="20"/>
  <c r="AC9" i="20"/>
  <c r="AC10" i="20"/>
  <c r="AC11" i="20"/>
  <c r="AC12" i="20"/>
  <c r="AC6" i="20"/>
  <c r="Z15" i="20"/>
  <c r="Z16" i="20"/>
  <c r="Z17" i="20"/>
  <c r="Z18" i="20"/>
  <c r="Z19" i="20"/>
  <c r="Z20" i="20"/>
  <c r="Z14" i="20"/>
  <c r="Z7" i="20"/>
  <c r="Z8" i="20"/>
  <c r="Z9" i="20"/>
  <c r="Z10" i="20"/>
  <c r="Z11" i="20"/>
  <c r="Z12" i="20"/>
  <c r="Z6" i="20"/>
  <c r="R15" i="20"/>
  <c r="R16" i="20"/>
  <c r="R17" i="20"/>
  <c r="R18" i="20"/>
  <c r="R19" i="20"/>
  <c r="R20" i="20"/>
  <c r="R14" i="20"/>
  <c r="S17" i="20" s="1"/>
  <c r="R7" i="20"/>
  <c r="R8" i="20"/>
  <c r="R9" i="20"/>
  <c r="R10" i="20"/>
  <c r="R11" i="20"/>
  <c r="R12" i="20"/>
  <c r="R6" i="20"/>
  <c r="O16" i="20"/>
  <c r="O17" i="20"/>
  <c r="O18" i="20"/>
  <c r="O19" i="20"/>
  <c r="O20" i="20"/>
  <c r="O15" i="20"/>
  <c r="O14" i="20"/>
  <c r="P17" i="20" s="1"/>
  <c r="O8" i="20"/>
  <c r="O9" i="20"/>
  <c r="O10" i="20"/>
  <c r="O11" i="20"/>
  <c r="P12" i="20" s="1"/>
  <c r="O12" i="20"/>
  <c r="O7" i="20"/>
  <c r="O6" i="20"/>
  <c r="C11" i="20"/>
  <c r="D5" i="20" s="1"/>
  <c r="R5565" i="18"/>
  <c r="R5160" i="18"/>
  <c r="R372" i="18"/>
  <c r="R5159" i="18"/>
  <c r="R5564" i="18"/>
  <c r="R645" i="18"/>
  <c r="R5158" i="18"/>
  <c r="R4258" i="18"/>
  <c r="R952" i="18"/>
  <c r="R5157" i="18"/>
  <c r="R5156" i="18"/>
  <c r="R4257" i="18"/>
  <c r="R5155" i="18"/>
  <c r="R4256" i="18"/>
  <c r="R5563" i="18"/>
  <c r="R5154" i="18"/>
  <c r="R1199" i="18"/>
  <c r="R2057" i="18"/>
  <c r="R2056" i="18"/>
  <c r="R1198" i="18"/>
  <c r="R5153" i="18"/>
  <c r="R843" i="18"/>
  <c r="R5152" i="18"/>
  <c r="R3532" i="18"/>
  <c r="R2848" i="18"/>
  <c r="R5687" i="18"/>
  <c r="R5686" i="18"/>
  <c r="R5685" i="18"/>
  <c r="R5684" i="18"/>
  <c r="R5683" i="18"/>
  <c r="R1116" i="18"/>
  <c r="R5682" i="18"/>
  <c r="R5681" i="18"/>
  <c r="R567" i="18"/>
  <c r="R5680" i="18"/>
  <c r="R5679" i="18"/>
  <c r="R5678" i="18"/>
  <c r="R5677" i="18"/>
  <c r="R5676" i="18"/>
  <c r="R5675" i="18"/>
  <c r="R5674" i="18"/>
  <c r="R5673" i="18"/>
  <c r="R5672" i="18"/>
  <c r="R5671" i="18"/>
  <c r="R424" i="18"/>
  <c r="R4255" i="18"/>
  <c r="R5670" i="18"/>
  <c r="R5669" i="18"/>
  <c r="R4254" i="18"/>
  <c r="R5668" i="18"/>
  <c r="R5667" i="18"/>
  <c r="R5666" i="18"/>
  <c r="R11" i="18"/>
  <c r="R3756" i="18"/>
  <c r="R2163" i="18"/>
  <c r="R226" i="18"/>
  <c r="R5562" i="18"/>
  <c r="R225" i="18"/>
  <c r="R2055" i="18"/>
  <c r="R5151" i="18"/>
  <c r="R86" i="18"/>
  <c r="R371" i="18"/>
  <c r="R566" i="18"/>
  <c r="R1020" i="18"/>
  <c r="R5561" i="18"/>
  <c r="R370" i="18"/>
  <c r="R5150" i="18"/>
  <c r="R5149" i="18"/>
  <c r="R5148" i="18"/>
  <c r="R4253" i="18"/>
  <c r="R5147" i="18"/>
  <c r="R764" i="18"/>
  <c r="R5146" i="18"/>
  <c r="R763" i="18"/>
  <c r="R5145" i="18"/>
  <c r="R762" i="18"/>
  <c r="R3531" i="18"/>
  <c r="R2847" i="18"/>
  <c r="R5560" i="18"/>
  <c r="R162" i="18"/>
  <c r="R2054" i="18"/>
  <c r="R5144" i="18"/>
  <c r="R2053" i="18"/>
  <c r="R3530" i="18"/>
  <c r="R5143" i="18"/>
  <c r="R4252" i="18"/>
  <c r="R161" i="18"/>
  <c r="R423" i="18"/>
  <c r="R5142" i="18"/>
  <c r="R5141" i="18"/>
  <c r="R951" i="18"/>
  <c r="R5559" i="18"/>
  <c r="R85" i="18"/>
  <c r="R1197" i="18"/>
  <c r="R3755" i="18"/>
  <c r="R1196" i="18"/>
  <c r="R2052" i="18"/>
  <c r="R3529" i="18"/>
  <c r="R4251" i="18"/>
  <c r="R5140" i="18"/>
  <c r="R3528" i="18"/>
  <c r="R3527" i="18"/>
  <c r="R3526" i="18"/>
  <c r="R565" i="18"/>
  <c r="R3525" i="18"/>
  <c r="R4250" i="18"/>
  <c r="R3524" i="18"/>
  <c r="R3754" i="18"/>
  <c r="R564" i="18"/>
  <c r="R3523" i="18"/>
  <c r="R563" i="18"/>
  <c r="R3522" i="18"/>
  <c r="R562" i="18"/>
  <c r="R4249" i="18"/>
  <c r="R3753" i="18"/>
  <c r="R3521" i="18"/>
  <c r="R2846" i="18"/>
  <c r="R3752" i="18"/>
  <c r="R3751" i="18"/>
  <c r="R4248" i="18"/>
  <c r="R3750" i="18"/>
  <c r="R3520" i="18"/>
  <c r="R5139" i="18"/>
  <c r="R561" i="18"/>
  <c r="R3519" i="18"/>
  <c r="R5138" i="18"/>
  <c r="R3518" i="18"/>
  <c r="R5137" i="18"/>
  <c r="R369" i="18"/>
  <c r="R3517" i="18"/>
  <c r="R3516" i="18"/>
  <c r="R3515" i="18"/>
  <c r="R5136" i="18"/>
  <c r="R4247" i="18"/>
  <c r="R3514" i="18"/>
  <c r="R3513" i="18"/>
  <c r="R5135" i="18"/>
  <c r="R5134" i="18"/>
  <c r="R1311" i="18"/>
  <c r="R3749" i="18"/>
  <c r="R3512" i="18"/>
  <c r="R3748" i="18"/>
  <c r="R3511" i="18"/>
  <c r="R3510" i="18"/>
  <c r="R3509" i="18"/>
  <c r="R3508" i="18"/>
  <c r="R3507" i="18"/>
  <c r="R5133" i="18"/>
  <c r="R3506" i="18"/>
  <c r="R3505" i="18"/>
  <c r="R5132" i="18"/>
  <c r="R2051" i="18"/>
  <c r="R5131" i="18"/>
  <c r="R5130" i="18"/>
  <c r="R950" i="18"/>
  <c r="R5129" i="18"/>
  <c r="R1195" i="18"/>
  <c r="R1310" i="18"/>
  <c r="R4246" i="18"/>
  <c r="R560" i="18"/>
  <c r="R4245" i="18"/>
  <c r="R4244" i="18"/>
  <c r="R5128" i="18"/>
  <c r="R2050" i="18"/>
  <c r="R3504" i="18"/>
  <c r="R3503" i="18"/>
  <c r="R2049" i="18"/>
  <c r="R160" i="18"/>
  <c r="R3502" i="18"/>
  <c r="R159" i="18"/>
  <c r="R1309" i="18"/>
  <c r="R3501" i="18"/>
  <c r="R4243" i="18"/>
  <c r="R84" i="18"/>
  <c r="R644" i="18"/>
  <c r="R842" i="18"/>
  <c r="R3500" i="18"/>
  <c r="R3747" i="18"/>
  <c r="R4242" i="18"/>
  <c r="R2162" i="18"/>
  <c r="R1115" i="18"/>
  <c r="R559" i="18"/>
  <c r="R558" i="18"/>
  <c r="R841" i="18"/>
  <c r="R643" i="18"/>
  <c r="R158" i="18"/>
  <c r="R422" i="18"/>
  <c r="R4241" i="18"/>
  <c r="R642" i="18"/>
  <c r="R1308" i="18"/>
  <c r="R2845" i="18"/>
  <c r="R1114" i="18"/>
  <c r="R4240" i="18"/>
  <c r="R2844" i="18"/>
  <c r="R2161" i="18"/>
  <c r="R3499" i="18"/>
  <c r="R2843" i="18"/>
  <c r="R641" i="18"/>
  <c r="R4239" i="18"/>
  <c r="R2842" i="18"/>
  <c r="R2841" i="18"/>
  <c r="R2840" i="18"/>
  <c r="R224" i="18"/>
  <c r="R3498" i="18"/>
  <c r="R2839" i="18"/>
  <c r="R840" i="18"/>
  <c r="R2838" i="18"/>
  <c r="R3497" i="18"/>
  <c r="R4238" i="18"/>
  <c r="R2048" i="18"/>
  <c r="R3496" i="18"/>
  <c r="R2047" i="18"/>
  <c r="R1113" i="18"/>
  <c r="R3495" i="18"/>
  <c r="R4237" i="18"/>
  <c r="R83" i="18"/>
  <c r="R3494" i="18"/>
  <c r="R157" i="18"/>
  <c r="R4236" i="18"/>
  <c r="R156" i="18"/>
  <c r="R2046" i="18"/>
  <c r="R3746" i="18"/>
  <c r="R2837" i="18"/>
  <c r="R3493" i="18"/>
  <c r="R2045" i="18"/>
  <c r="R1385" i="18"/>
  <c r="R2836" i="18"/>
  <c r="R1194" i="18"/>
  <c r="R4235" i="18"/>
  <c r="R2044" i="18"/>
  <c r="R2835" i="18"/>
  <c r="R3492" i="18"/>
  <c r="R1307" i="18"/>
  <c r="R2834" i="18"/>
  <c r="R368" i="18"/>
  <c r="R4234" i="18"/>
  <c r="R2043" i="18"/>
  <c r="R5127" i="18"/>
  <c r="R2833" i="18"/>
  <c r="R367" i="18"/>
  <c r="R3491" i="18"/>
  <c r="R2042" i="18"/>
  <c r="R223" i="18"/>
  <c r="R4233" i="18"/>
  <c r="R2041" i="18"/>
  <c r="R2832" i="18"/>
  <c r="R2040" i="18"/>
  <c r="R2039" i="18"/>
  <c r="R1019" i="18"/>
  <c r="R1306" i="18"/>
  <c r="R2831" i="18"/>
  <c r="R2038" i="18"/>
  <c r="R2830" i="18"/>
  <c r="R3490" i="18"/>
  <c r="R1018" i="18"/>
  <c r="R4232" i="18"/>
  <c r="R1112" i="18"/>
  <c r="R2829" i="18"/>
  <c r="R1017" i="18"/>
  <c r="R3489" i="18"/>
  <c r="R1305" i="18"/>
  <c r="R3488" i="18"/>
  <c r="R2828" i="18"/>
  <c r="R2037" i="18"/>
  <c r="R4231" i="18"/>
  <c r="R2036" i="18"/>
  <c r="R2827" i="18"/>
  <c r="R2035" i="18"/>
  <c r="R2826" i="18"/>
  <c r="R2825" i="18"/>
  <c r="R2034" i="18"/>
  <c r="R2033" i="18"/>
  <c r="R4230" i="18"/>
  <c r="R2032" i="18"/>
  <c r="R5558" i="18"/>
  <c r="R5665" i="18"/>
  <c r="R5557" i="18"/>
  <c r="R1193" i="18"/>
  <c r="R4229" i="18"/>
  <c r="R3745" i="18"/>
  <c r="R5664" i="18"/>
  <c r="R1304" i="18"/>
  <c r="R557" i="18"/>
  <c r="R3487" i="18"/>
  <c r="R3486" i="18"/>
  <c r="R2824" i="18"/>
  <c r="R3485" i="18"/>
  <c r="R5663" i="18"/>
  <c r="R1384" i="18"/>
  <c r="R2823" i="18"/>
  <c r="R5126" i="18"/>
  <c r="R2031" i="18"/>
  <c r="R5662" i="18"/>
  <c r="R1016" i="18"/>
  <c r="R2822" i="18"/>
  <c r="R949" i="18"/>
  <c r="R4228" i="18"/>
  <c r="R2030" i="18"/>
  <c r="R1111" i="18"/>
  <c r="R5586" i="18"/>
  <c r="R82" i="18"/>
  <c r="R839" i="18"/>
  <c r="R5576" i="18"/>
  <c r="R3484" i="18"/>
  <c r="R5125" i="18"/>
  <c r="R2821" i="18"/>
  <c r="R2029" i="18"/>
  <c r="R2028" i="18"/>
  <c r="R2027" i="18"/>
  <c r="R640" i="18"/>
  <c r="R5661" i="18"/>
  <c r="R2026" i="18"/>
  <c r="R2025" i="18"/>
  <c r="R5124" i="18"/>
  <c r="R1110" i="18"/>
  <c r="R4227" i="18"/>
  <c r="R5123" i="18"/>
  <c r="R761" i="18"/>
  <c r="R838" i="18"/>
  <c r="R4226" i="18"/>
  <c r="R2024" i="18"/>
  <c r="R2820" i="18"/>
  <c r="R5660" i="18"/>
  <c r="R2819" i="18"/>
  <c r="R2818" i="18"/>
  <c r="R3483" i="18"/>
  <c r="R5659" i="18"/>
  <c r="R2023" i="18"/>
  <c r="R5583" i="18"/>
  <c r="R5658" i="18"/>
  <c r="R2817" i="18"/>
  <c r="R4225" i="18"/>
  <c r="R366" i="18"/>
  <c r="R5657" i="18"/>
  <c r="R222" i="18"/>
  <c r="R1303" i="18"/>
  <c r="R2816" i="18"/>
  <c r="R2022" i="18"/>
  <c r="R5656" i="18"/>
  <c r="R2021" i="18"/>
  <c r="R2020" i="18"/>
  <c r="R837" i="18"/>
  <c r="R5655" i="18"/>
  <c r="R2019" i="18"/>
  <c r="R2815" i="18"/>
  <c r="R365" i="18"/>
  <c r="R3482" i="18"/>
  <c r="R2814" i="18"/>
  <c r="R1302" i="18"/>
  <c r="R4224" i="18"/>
  <c r="R3744" i="18"/>
  <c r="R760" i="18"/>
  <c r="R2018" i="18"/>
  <c r="R421" i="18"/>
  <c r="R5575" i="18"/>
  <c r="R364" i="18"/>
  <c r="R2017" i="18"/>
  <c r="R2813" i="18"/>
  <c r="R3481" i="18"/>
  <c r="R5574" i="18"/>
  <c r="R5654" i="18"/>
  <c r="R2812" i="18"/>
  <c r="R3480" i="18"/>
  <c r="R221" i="18"/>
  <c r="R2811" i="18"/>
  <c r="R5653" i="18"/>
  <c r="R5589" i="18"/>
  <c r="R5122" i="18"/>
  <c r="R2016" i="18"/>
  <c r="R1109" i="18"/>
  <c r="R5582" i="18"/>
  <c r="R5652" i="18"/>
  <c r="R2015" i="18"/>
  <c r="R2014" i="18"/>
  <c r="R3479" i="18"/>
  <c r="R948" i="18"/>
  <c r="R1301" i="18"/>
  <c r="R2810" i="18"/>
  <c r="R2809" i="18"/>
  <c r="R41" i="18"/>
  <c r="R759" i="18"/>
  <c r="R1383" i="18"/>
  <c r="R3478" i="18"/>
  <c r="R2160" i="18"/>
  <c r="R2013" i="18"/>
  <c r="R2808" i="18"/>
  <c r="R3477" i="18"/>
  <c r="R4223" i="18"/>
  <c r="R5651" i="18"/>
  <c r="R420" i="18"/>
  <c r="R4222" i="18"/>
  <c r="R2012" i="18"/>
  <c r="R556" i="18"/>
  <c r="R2011" i="18"/>
  <c r="R2010" i="18"/>
  <c r="R3476" i="18"/>
  <c r="R2807" i="18"/>
  <c r="R2009" i="18"/>
  <c r="R3475" i="18"/>
  <c r="R2008" i="18"/>
  <c r="R5121" i="18"/>
  <c r="R4221" i="18"/>
  <c r="R4220" i="18"/>
  <c r="R555" i="18"/>
  <c r="R3743" i="18"/>
  <c r="R5556" i="18"/>
  <c r="R2007" i="18"/>
  <c r="R5120" i="18"/>
  <c r="R3474" i="18"/>
  <c r="R2006" i="18"/>
  <c r="R2005" i="18"/>
  <c r="R1300" i="18"/>
  <c r="R3473" i="18"/>
  <c r="R1192" i="18"/>
  <c r="R3742" i="18"/>
  <c r="R2004" i="18"/>
  <c r="R947" i="18"/>
  <c r="R1299" i="18"/>
  <c r="R2003" i="18"/>
  <c r="R363" i="18"/>
  <c r="R1015" i="18"/>
  <c r="R220" i="18"/>
  <c r="R3472" i="18"/>
  <c r="R2002" i="18"/>
  <c r="R5650" i="18"/>
  <c r="R2001" i="18"/>
  <c r="R2000" i="18"/>
  <c r="R3471" i="18"/>
  <c r="R1999" i="18"/>
  <c r="R3470" i="18"/>
  <c r="R1998" i="18"/>
  <c r="R3469" i="18"/>
  <c r="R946" i="18"/>
  <c r="R1997" i="18"/>
  <c r="R1996" i="18"/>
  <c r="R2806" i="18"/>
  <c r="R5119" i="18"/>
  <c r="R40" i="18"/>
  <c r="R2159" i="18"/>
  <c r="R1995" i="18"/>
  <c r="R5581" i="18"/>
  <c r="R836" i="18"/>
  <c r="R1994" i="18"/>
  <c r="R3741" i="18"/>
  <c r="R945" i="18"/>
  <c r="R3468" i="18"/>
  <c r="R554" i="18"/>
  <c r="R1993" i="18"/>
  <c r="R553" i="18"/>
  <c r="R1992" i="18"/>
  <c r="R1991" i="18"/>
  <c r="R5555" i="18"/>
  <c r="R1990" i="18"/>
  <c r="R2805" i="18"/>
  <c r="R81" i="18"/>
  <c r="R552" i="18"/>
  <c r="R1989" i="18"/>
  <c r="R1191" i="18"/>
  <c r="R1988" i="18"/>
  <c r="R1987" i="18"/>
  <c r="R2804" i="18"/>
  <c r="R2803" i="18"/>
  <c r="R2802" i="18"/>
  <c r="R944" i="18"/>
  <c r="R1986" i="18"/>
  <c r="R3467" i="18"/>
  <c r="R1382" i="18"/>
  <c r="R1985" i="18"/>
  <c r="R639" i="18"/>
  <c r="R1984" i="18"/>
  <c r="R1108" i="18"/>
  <c r="R1983" i="18"/>
  <c r="R1982" i="18"/>
  <c r="R39" i="18"/>
  <c r="R5554" i="18"/>
  <c r="R1981" i="18"/>
  <c r="R1980" i="18"/>
  <c r="R2801" i="18"/>
  <c r="R1979" i="18"/>
  <c r="R1978" i="18"/>
  <c r="R1977" i="18"/>
  <c r="R551" i="18"/>
  <c r="R1976" i="18"/>
  <c r="R550" i="18"/>
  <c r="R1975" i="18"/>
  <c r="R1974" i="18"/>
  <c r="R2800" i="18"/>
  <c r="R1973" i="18"/>
  <c r="R3466" i="18"/>
  <c r="R1972" i="18"/>
  <c r="R943" i="18"/>
  <c r="R1971" i="18"/>
  <c r="R835" i="18"/>
  <c r="R1970" i="18"/>
  <c r="R419" i="18"/>
  <c r="R2799" i="18"/>
  <c r="R1969" i="18"/>
  <c r="R3465" i="18"/>
  <c r="R1968" i="18"/>
  <c r="R1967" i="18"/>
  <c r="R3464" i="18"/>
  <c r="R1966" i="18"/>
  <c r="R1965" i="18"/>
  <c r="R1964" i="18"/>
  <c r="R1190" i="18"/>
  <c r="R942" i="18"/>
  <c r="R1963" i="18"/>
  <c r="R1962" i="18"/>
  <c r="R1961" i="18"/>
  <c r="R1960" i="18"/>
  <c r="R3463" i="18"/>
  <c r="R1959" i="18"/>
  <c r="R2798" i="18"/>
  <c r="R3462" i="18"/>
  <c r="R362" i="18"/>
  <c r="R5553" i="18"/>
  <c r="R155" i="18"/>
  <c r="R1958" i="18"/>
  <c r="R5118" i="18"/>
  <c r="R154" i="18"/>
  <c r="R1107" i="18"/>
  <c r="R1957" i="18"/>
  <c r="R1956" i="18"/>
  <c r="R1955" i="18"/>
  <c r="R1954" i="18"/>
  <c r="R4219" i="18"/>
  <c r="R1953" i="18"/>
  <c r="R1952" i="18"/>
  <c r="R1014" i="18"/>
  <c r="R3461" i="18"/>
  <c r="R361" i="18"/>
  <c r="R1106" i="18"/>
  <c r="R80" i="18"/>
  <c r="R638" i="18"/>
  <c r="R1298" i="18"/>
  <c r="R1951" i="18"/>
  <c r="R2797" i="18"/>
  <c r="R1950" i="18"/>
  <c r="R360" i="18"/>
  <c r="R2796" i="18"/>
  <c r="R1949" i="18"/>
  <c r="R1948" i="18"/>
  <c r="R2795" i="18"/>
  <c r="R1947" i="18"/>
  <c r="R153" i="18"/>
  <c r="R1946" i="18"/>
  <c r="R1945" i="18"/>
  <c r="R1105" i="18"/>
  <c r="R1944" i="18"/>
  <c r="R1943" i="18"/>
  <c r="R1189" i="18"/>
  <c r="R1942" i="18"/>
  <c r="R5573" i="18"/>
  <c r="R1941" i="18"/>
  <c r="R38" i="18"/>
  <c r="R2794" i="18"/>
  <c r="R1940" i="18"/>
  <c r="R758" i="18"/>
  <c r="R1939" i="18"/>
  <c r="R1938" i="18"/>
  <c r="R1297" i="18"/>
  <c r="R549" i="18"/>
  <c r="R5552" i="18"/>
  <c r="R1937" i="18"/>
  <c r="R1936" i="18"/>
  <c r="R1381" i="18"/>
  <c r="R1935" i="18"/>
  <c r="R757" i="18"/>
  <c r="R2793" i="18"/>
  <c r="R3460" i="18"/>
  <c r="R2158" i="18"/>
  <c r="R2792" i="18"/>
  <c r="R3459" i="18"/>
  <c r="R5551" i="18"/>
  <c r="R4218" i="18"/>
  <c r="R1934" i="18"/>
  <c r="R1188" i="18"/>
  <c r="R1933" i="18"/>
  <c r="R1932" i="18"/>
  <c r="R3458" i="18"/>
  <c r="R1931" i="18"/>
  <c r="R1104" i="18"/>
  <c r="R1930" i="18"/>
  <c r="R219" i="18"/>
  <c r="R2157" i="18"/>
  <c r="R2791" i="18"/>
  <c r="R1929" i="18"/>
  <c r="R548" i="18"/>
  <c r="R547" i="18"/>
  <c r="R152" i="18"/>
  <c r="R756" i="18"/>
  <c r="R1103" i="18"/>
  <c r="R3740" i="18"/>
  <c r="R1928" i="18"/>
  <c r="R1380" i="18"/>
  <c r="R755" i="18"/>
  <c r="R1927" i="18"/>
  <c r="R754" i="18"/>
  <c r="R1926" i="18"/>
  <c r="R2790" i="18"/>
  <c r="R1379" i="18"/>
  <c r="R2789" i="18"/>
  <c r="R753" i="18"/>
  <c r="R1925" i="18"/>
  <c r="R1924" i="18"/>
  <c r="R359" i="18"/>
  <c r="R151" i="18"/>
  <c r="R1102" i="18"/>
  <c r="R2788" i="18"/>
  <c r="R79" i="18"/>
  <c r="R1923" i="18"/>
  <c r="R218" i="18"/>
  <c r="R2787" i="18"/>
  <c r="R941" i="18"/>
  <c r="R3457" i="18"/>
  <c r="R1922" i="18"/>
  <c r="R1187" i="18"/>
  <c r="R2786" i="18"/>
  <c r="R2156" i="18"/>
  <c r="R217" i="18"/>
  <c r="R1921" i="18"/>
  <c r="R2155" i="18"/>
  <c r="R1920" i="18"/>
  <c r="R1919" i="18"/>
  <c r="R1918" i="18"/>
  <c r="R3456" i="18"/>
  <c r="R1917" i="18"/>
  <c r="R2785" i="18"/>
  <c r="R1916" i="18"/>
  <c r="R1915" i="18"/>
  <c r="R940" i="18"/>
  <c r="R1914" i="18"/>
  <c r="R418" i="18"/>
  <c r="R1913" i="18"/>
  <c r="R1912" i="18"/>
  <c r="R1911" i="18"/>
  <c r="R2784" i="18"/>
  <c r="R216" i="18"/>
  <c r="R1910" i="18"/>
  <c r="R1909" i="18"/>
  <c r="R1908" i="18"/>
  <c r="R637" i="18"/>
  <c r="R5550" i="18"/>
  <c r="R1907" i="18"/>
  <c r="R3455" i="18"/>
  <c r="R1906" i="18"/>
  <c r="R3454" i="18"/>
  <c r="R636" i="18"/>
  <c r="R1905" i="18"/>
  <c r="R1904" i="18"/>
  <c r="R1903" i="18"/>
  <c r="R5549" i="18"/>
  <c r="R2783" i="18"/>
  <c r="R1902" i="18"/>
  <c r="R4217" i="18"/>
  <c r="R1901" i="18"/>
  <c r="R1900" i="18"/>
  <c r="R5117" i="18"/>
  <c r="R1899" i="18"/>
  <c r="R1898" i="18"/>
  <c r="R10" i="18"/>
  <c r="R4216" i="18"/>
  <c r="R3453" i="18"/>
  <c r="R3452" i="18"/>
  <c r="R3451" i="18"/>
  <c r="R2782" i="18"/>
  <c r="R1897" i="18"/>
  <c r="R3450" i="18"/>
  <c r="R1896" i="18"/>
  <c r="R1895" i="18"/>
  <c r="R546" i="18"/>
  <c r="R1186" i="18"/>
  <c r="R3449" i="18"/>
  <c r="R1185" i="18"/>
  <c r="R3448" i="18"/>
  <c r="R3447" i="18"/>
  <c r="R1894" i="18"/>
  <c r="R3446" i="18"/>
  <c r="R1893" i="18"/>
  <c r="R3445" i="18"/>
  <c r="R358" i="18"/>
  <c r="R1892" i="18"/>
  <c r="R2781" i="18"/>
  <c r="R1891" i="18"/>
  <c r="R1890" i="18"/>
  <c r="R2780" i="18"/>
  <c r="R1889" i="18"/>
  <c r="R3444" i="18"/>
  <c r="R1184" i="18"/>
  <c r="R1378" i="18"/>
  <c r="R3443" i="18"/>
  <c r="R635" i="18"/>
  <c r="R752" i="18"/>
  <c r="R2779" i="18"/>
  <c r="R1888" i="18"/>
  <c r="R3442" i="18"/>
  <c r="R2154" i="18"/>
  <c r="R1887" i="18"/>
  <c r="R1886" i="18"/>
  <c r="R1377" i="18"/>
  <c r="R1376" i="18"/>
  <c r="R1885" i="18"/>
  <c r="R1884" i="18"/>
  <c r="R1883" i="18"/>
  <c r="R3441" i="18"/>
  <c r="R2778" i="18"/>
  <c r="R1882" i="18"/>
  <c r="R5548" i="18"/>
  <c r="R3440" i="18"/>
  <c r="R1881" i="18"/>
  <c r="R3439" i="18"/>
  <c r="R1880" i="18"/>
  <c r="R2777" i="18"/>
  <c r="R1879" i="18"/>
  <c r="R78" i="18"/>
  <c r="R1878" i="18"/>
  <c r="R1877" i="18"/>
  <c r="R1876" i="18"/>
  <c r="R1875" i="18"/>
  <c r="R1874" i="18"/>
  <c r="R2776" i="18"/>
  <c r="R1873" i="18"/>
  <c r="R1872" i="18"/>
  <c r="R1871" i="18"/>
  <c r="R215" i="18"/>
  <c r="R2775" i="18"/>
  <c r="R1183" i="18"/>
  <c r="R3438" i="18"/>
  <c r="R1101" i="18"/>
  <c r="R3437" i="18"/>
  <c r="R357" i="18"/>
  <c r="R5547" i="18"/>
  <c r="R545" i="18"/>
  <c r="R5546" i="18"/>
  <c r="R3436" i="18"/>
  <c r="R1870" i="18"/>
  <c r="R1869" i="18"/>
  <c r="R1182" i="18"/>
  <c r="R1868" i="18"/>
  <c r="R1867" i="18"/>
  <c r="R3435" i="18"/>
  <c r="R2774" i="18"/>
  <c r="R3434" i="18"/>
  <c r="R3433" i="18"/>
  <c r="R37" i="18"/>
  <c r="R1100" i="18"/>
  <c r="R1866" i="18"/>
  <c r="R214" i="18"/>
  <c r="R213" i="18"/>
  <c r="R1865" i="18"/>
  <c r="R1375" i="18"/>
  <c r="R1864" i="18"/>
  <c r="R1863" i="18"/>
  <c r="R1862" i="18"/>
  <c r="R3432" i="18"/>
  <c r="R1861" i="18"/>
  <c r="R1860" i="18"/>
  <c r="R417" i="18"/>
  <c r="R1859" i="18"/>
  <c r="R356" i="18"/>
  <c r="R416" i="18"/>
  <c r="R2773" i="18"/>
  <c r="R5545" i="18"/>
  <c r="R1858" i="18"/>
  <c r="R3431" i="18"/>
  <c r="R1857" i="18"/>
  <c r="R1181" i="18"/>
  <c r="R1856" i="18"/>
  <c r="R1855" i="18"/>
  <c r="R1854" i="18"/>
  <c r="R1853" i="18"/>
  <c r="R415" i="18"/>
  <c r="R1852" i="18"/>
  <c r="R1851" i="18"/>
  <c r="R1296" i="18"/>
  <c r="R1850" i="18"/>
  <c r="R2772" i="18"/>
  <c r="R5116" i="18"/>
  <c r="R1295" i="18"/>
  <c r="R212" i="18"/>
  <c r="R36" i="18"/>
  <c r="R3739" i="18"/>
  <c r="R1849" i="18"/>
  <c r="R1099" i="18"/>
  <c r="R1848" i="18"/>
  <c r="R2771" i="18"/>
  <c r="R5115" i="18"/>
  <c r="R939" i="18"/>
  <c r="R2770" i="18"/>
  <c r="R1847" i="18"/>
  <c r="R1013" i="18"/>
  <c r="R1374" i="18"/>
  <c r="R3430" i="18"/>
  <c r="R77" i="18"/>
  <c r="R3429" i="18"/>
  <c r="R1846" i="18"/>
  <c r="R1845" i="18"/>
  <c r="R3428" i="18"/>
  <c r="R1844" i="18"/>
  <c r="R1843" i="18"/>
  <c r="R1842" i="18"/>
  <c r="R1180" i="18"/>
  <c r="R3738" i="18"/>
  <c r="R1012" i="18"/>
  <c r="R544" i="18"/>
  <c r="R1841" i="18"/>
  <c r="R1840" i="18"/>
  <c r="R938" i="18"/>
  <c r="R2769" i="18"/>
  <c r="R355" i="18"/>
  <c r="R1098" i="18"/>
  <c r="R9" i="18"/>
  <c r="R3427" i="18"/>
  <c r="R543" i="18"/>
  <c r="R1839" i="18"/>
  <c r="R1838" i="18"/>
  <c r="R3426" i="18"/>
  <c r="R5544" i="18"/>
  <c r="R76" i="18"/>
  <c r="R3425" i="18"/>
  <c r="R542" i="18"/>
  <c r="R1837" i="18"/>
  <c r="R1836" i="18"/>
  <c r="R834" i="18"/>
  <c r="R1835" i="18"/>
  <c r="R1834" i="18"/>
  <c r="R211" i="18"/>
  <c r="R3424" i="18"/>
  <c r="R414" i="18"/>
  <c r="R3423" i="18"/>
  <c r="R2153" i="18"/>
  <c r="R2768" i="18"/>
  <c r="R1833" i="18"/>
  <c r="R634" i="18"/>
  <c r="R3422" i="18"/>
  <c r="R1832" i="18"/>
  <c r="R1831" i="18"/>
  <c r="R35" i="18"/>
  <c r="R1830" i="18"/>
  <c r="R2152" i="18"/>
  <c r="R1829" i="18"/>
  <c r="R1828" i="18"/>
  <c r="R34" i="18"/>
  <c r="R633" i="18"/>
  <c r="R1179" i="18"/>
  <c r="R632" i="18"/>
  <c r="R1373" i="18"/>
  <c r="R3421" i="18"/>
  <c r="R751" i="18"/>
  <c r="R1827" i="18"/>
  <c r="R1826" i="18"/>
  <c r="R2767" i="18"/>
  <c r="R541" i="18"/>
  <c r="R1372" i="18"/>
  <c r="R1825" i="18"/>
  <c r="R1294" i="18"/>
  <c r="R354" i="18"/>
  <c r="R2766" i="18"/>
  <c r="R1824" i="18"/>
  <c r="R2765" i="18"/>
  <c r="R1823" i="18"/>
  <c r="R3420" i="18"/>
  <c r="R1097" i="18"/>
  <c r="R1822" i="18"/>
  <c r="R5543" i="18"/>
  <c r="R3419" i="18"/>
  <c r="R1821" i="18"/>
  <c r="R3418" i="18"/>
  <c r="R1820" i="18"/>
  <c r="R3417" i="18"/>
  <c r="R4215" i="18"/>
  <c r="R3416" i="18"/>
  <c r="R1819" i="18"/>
  <c r="R2764" i="18"/>
  <c r="R1818" i="18"/>
  <c r="R1817" i="18"/>
  <c r="R1816" i="18"/>
  <c r="R2763" i="18"/>
  <c r="R937" i="18"/>
  <c r="R750" i="18"/>
  <c r="R1815" i="18"/>
  <c r="R1814" i="18"/>
  <c r="R1813" i="18"/>
  <c r="R1812" i="18"/>
  <c r="R5114" i="18"/>
  <c r="R936" i="18"/>
  <c r="R2151" i="18"/>
  <c r="R3415" i="18"/>
  <c r="R3737" i="18"/>
  <c r="R1293" i="18"/>
  <c r="R3414" i="18"/>
  <c r="R1811" i="18"/>
  <c r="R2762" i="18"/>
  <c r="R1810" i="18"/>
  <c r="R540" i="18"/>
  <c r="R2761" i="18"/>
  <c r="R1809" i="18"/>
  <c r="R1808" i="18"/>
  <c r="R1807" i="18"/>
  <c r="R1806" i="18"/>
  <c r="R1805" i="18"/>
  <c r="R2760" i="18"/>
  <c r="R1804" i="18"/>
  <c r="R1803" i="18"/>
  <c r="R1802" i="18"/>
  <c r="R1801" i="18"/>
  <c r="R1800" i="18"/>
  <c r="R1178" i="18"/>
  <c r="R4214" i="18"/>
  <c r="R1799" i="18"/>
  <c r="R5113" i="18"/>
  <c r="R2759" i="18"/>
  <c r="R3413" i="18"/>
  <c r="R75" i="18"/>
  <c r="R1798" i="18"/>
  <c r="R5112" i="18"/>
  <c r="R1797" i="18"/>
  <c r="R5111" i="18"/>
  <c r="R2758" i="18"/>
  <c r="R1796" i="18"/>
  <c r="R2757" i="18"/>
  <c r="R3412" i="18"/>
  <c r="R1795" i="18"/>
  <c r="R1794" i="18"/>
  <c r="R1096" i="18"/>
  <c r="R3411" i="18"/>
  <c r="R1793" i="18"/>
  <c r="R3410" i="18"/>
  <c r="R3736" i="18"/>
  <c r="R3409" i="18"/>
  <c r="R3408" i="18"/>
  <c r="R2756" i="18"/>
  <c r="R3407" i="18"/>
  <c r="R3406" i="18"/>
  <c r="R2150" i="18"/>
  <c r="R1792" i="18"/>
  <c r="R3405" i="18"/>
  <c r="R2755" i="18"/>
  <c r="R1292" i="18"/>
  <c r="R1791" i="18"/>
  <c r="R3404" i="18"/>
  <c r="R5110" i="18"/>
  <c r="R2754" i="18"/>
  <c r="R1095" i="18"/>
  <c r="R3403" i="18"/>
  <c r="R5649" i="18"/>
  <c r="R2753" i="18"/>
  <c r="R2752" i="18"/>
  <c r="R1790" i="18"/>
  <c r="R1789" i="18"/>
  <c r="R3402" i="18"/>
  <c r="R1788" i="18"/>
  <c r="R2751" i="18"/>
  <c r="R1787" i="18"/>
  <c r="R1786" i="18"/>
  <c r="R5542" i="18"/>
  <c r="R1785" i="18"/>
  <c r="R1784" i="18"/>
  <c r="R5109" i="18"/>
  <c r="R2750" i="18"/>
  <c r="R833" i="18"/>
  <c r="R2749" i="18"/>
  <c r="R3401" i="18"/>
  <c r="R2748" i="18"/>
  <c r="R1094" i="18"/>
  <c r="R1783" i="18"/>
  <c r="R1782" i="18"/>
  <c r="R353" i="18"/>
  <c r="R3735" i="18"/>
  <c r="R1781" i="18"/>
  <c r="R3734" i="18"/>
  <c r="R3400" i="18"/>
  <c r="R1780" i="18"/>
  <c r="R5541" i="18"/>
  <c r="R1779" i="18"/>
  <c r="R2747" i="18"/>
  <c r="R1778" i="18"/>
  <c r="R2746" i="18"/>
  <c r="R1777" i="18"/>
  <c r="R1776" i="18"/>
  <c r="R3399" i="18"/>
  <c r="R832" i="18"/>
  <c r="R1775" i="18"/>
  <c r="R1177" i="18"/>
  <c r="R3398" i="18"/>
  <c r="R2745" i="18"/>
  <c r="R3397" i="18"/>
  <c r="R1774" i="18"/>
  <c r="R935" i="18"/>
  <c r="R5540" i="18"/>
  <c r="R2744" i="18"/>
  <c r="R3396" i="18"/>
  <c r="R1773" i="18"/>
  <c r="R2743" i="18"/>
  <c r="R1371" i="18"/>
  <c r="R1093" i="18"/>
  <c r="R3395" i="18"/>
  <c r="R1772" i="18"/>
  <c r="R1771" i="18"/>
  <c r="R1770" i="18"/>
  <c r="R831" i="18"/>
  <c r="R1176" i="18"/>
  <c r="R1769" i="18"/>
  <c r="R3394" i="18"/>
  <c r="R5108" i="18"/>
  <c r="R1768" i="18"/>
  <c r="R3393" i="18"/>
  <c r="R1767" i="18"/>
  <c r="R2149" i="18"/>
  <c r="R1766" i="18"/>
  <c r="R2742" i="18"/>
  <c r="R3392" i="18"/>
  <c r="R2741" i="18"/>
  <c r="R2740" i="18"/>
  <c r="R8" i="18"/>
  <c r="R5107" i="18"/>
  <c r="R3391" i="18"/>
  <c r="R2739" i="18"/>
  <c r="R1765" i="18"/>
  <c r="R2148" i="18"/>
  <c r="R1764" i="18"/>
  <c r="R3390" i="18"/>
  <c r="R3389" i="18"/>
  <c r="R1011" i="18"/>
  <c r="R1763" i="18"/>
  <c r="R631" i="18"/>
  <c r="R2738" i="18"/>
  <c r="R3388" i="18"/>
  <c r="R1291" i="18"/>
  <c r="R1762" i="18"/>
  <c r="R2737" i="18"/>
  <c r="R3387" i="18"/>
  <c r="R934" i="18"/>
  <c r="R1761" i="18"/>
  <c r="R3386" i="18"/>
  <c r="R1760" i="18"/>
  <c r="R1759" i="18"/>
  <c r="R210" i="18"/>
  <c r="R749" i="18"/>
  <c r="R1758" i="18"/>
  <c r="R2736" i="18"/>
  <c r="R933" i="18"/>
  <c r="R4213" i="18"/>
  <c r="R3385" i="18"/>
  <c r="R3384" i="18"/>
  <c r="R2735" i="18"/>
  <c r="R2734" i="18"/>
  <c r="R2733" i="18"/>
  <c r="R1757" i="18"/>
  <c r="R1756" i="18"/>
  <c r="R5106" i="18"/>
  <c r="R1010" i="18"/>
  <c r="R3733" i="18"/>
  <c r="R1755" i="18"/>
  <c r="R413" i="18"/>
  <c r="R1754" i="18"/>
  <c r="R1753" i="18"/>
  <c r="R1752" i="18"/>
  <c r="R539" i="18"/>
  <c r="R4212" i="18"/>
  <c r="R352" i="18"/>
  <c r="R4211" i="18"/>
  <c r="R630" i="18"/>
  <c r="R3383" i="18"/>
  <c r="R1751" i="18"/>
  <c r="R2732" i="18"/>
  <c r="R3382" i="18"/>
  <c r="R2731" i="18"/>
  <c r="R1750" i="18"/>
  <c r="R2730" i="18"/>
  <c r="R932" i="18"/>
  <c r="R2729" i="18"/>
  <c r="R748" i="18"/>
  <c r="R2728" i="18"/>
  <c r="R2727" i="18"/>
  <c r="R351" i="18"/>
  <c r="R1749" i="18"/>
  <c r="R1290" i="18"/>
  <c r="R350" i="18"/>
  <c r="R1748" i="18"/>
  <c r="R1747" i="18"/>
  <c r="R931" i="18"/>
  <c r="R412" i="18"/>
  <c r="R5105" i="18"/>
  <c r="R538" i="18"/>
  <c r="R1746" i="18"/>
  <c r="R830" i="18"/>
  <c r="R1745" i="18"/>
  <c r="R3381" i="18"/>
  <c r="R33" i="18"/>
  <c r="R1744" i="18"/>
  <c r="R3380" i="18"/>
  <c r="R1743" i="18"/>
  <c r="R2726" i="18"/>
  <c r="R2725" i="18"/>
  <c r="R2724" i="18"/>
  <c r="R1742" i="18"/>
  <c r="R1741" i="18"/>
  <c r="R3379" i="18"/>
  <c r="R349" i="18"/>
  <c r="R3378" i="18"/>
  <c r="R629" i="18"/>
  <c r="R3377" i="18"/>
  <c r="R1740" i="18"/>
  <c r="R5104" i="18"/>
  <c r="R537" i="18"/>
  <c r="R1739" i="18"/>
  <c r="R1738" i="18"/>
  <c r="R2723" i="18"/>
  <c r="R3376" i="18"/>
  <c r="R2722" i="18"/>
  <c r="R2147" i="18"/>
  <c r="R1737" i="18"/>
  <c r="R3732" i="18"/>
  <c r="R150" i="18"/>
  <c r="R1736" i="18"/>
  <c r="R1735" i="18"/>
  <c r="R1734" i="18"/>
  <c r="R2721" i="18"/>
  <c r="R2720" i="18"/>
  <c r="R1092" i="18"/>
  <c r="R1733" i="18"/>
  <c r="R1732" i="18"/>
  <c r="R1731" i="18"/>
  <c r="R1730" i="18"/>
  <c r="R2719" i="18"/>
  <c r="R1175" i="18"/>
  <c r="R1729" i="18"/>
  <c r="R2718" i="18"/>
  <c r="R1728" i="18"/>
  <c r="R628" i="18"/>
  <c r="R3731" i="18"/>
  <c r="R2717" i="18"/>
  <c r="R3375" i="18"/>
  <c r="R1727" i="18"/>
  <c r="R209" i="18"/>
  <c r="R208" i="18"/>
  <c r="R3374" i="18"/>
  <c r="R627" i="18"/>
  <c r="R3373" i="18"/>
  <c r="R1726" i="18"/>
  <c r="R536" i="18"/>
  <c r="R1725" i="18"/>
  <c r="R626" i="18"/>
  <c r="R1724" i="18"/>
  <c r="R1370" i="18"/>
  <c r="R3730" i="18"/>
  <c r="R1009" i="18"/>
  <c r="R149" i="18"/>
  <c r="R1723" i="18"/>
  <c r="R5539" i="18"/>
  <c r="R1174" i="18"/>
  <c r="R1722" i="18"/>
  <c r="R3372" i="18"/>
  <c r="R1721" i="18"/>
  <c r="R1720" i="18"/>
  <c r="R5538" i="18"/>
  <c r="R3371" i="18"/>
  <c r="R5103" i="18"/>
  <c r="R3370" i="18"/>
  <c r="R2716" i="18"/>
  <c r="R1719" i="18"/>
  <c r="R3369" i="18"/>
  <c r="R2715" i="18"/>
  <c r="R1173" i="18"/>
  <c r="R2714" i="18"/>
  <c r="R2713" i="18"/>
  <c r="R1718" i="18"/>
  <c r="R1717" i="18"/>
  <c r="R2712" i="18"/>
  <c r="R1716" i="18"/>
  <c r="R5537" i="18"/>
  <c r="R1715" i="18"/>
  <c r="R74" i="18"/>
  <c r="R2711" i="18"/>
  <c r="R1714" i="18"/>
  <c r="R1713" i="18"/>
  <c r="R1712" i="18"/>
  <c r="R1711" i="18"/>
  <c r="R1710" i="18"/>
  <c r="R1709" i="18"/>
  <c r="R1708" i="18"/>
  <c r="R3368" i="18"/>
  <c r="R3367" i="18"/>
  <c r="R73" i="18"/>
  <c r="R1369" i="18"/>
  <c r="R1707" i="18"/>
  <c r="R1706" i="18"/>
  <c r="R3366" i="18"/>
  <c r="R1172" i="18"/>
  <c r="R1705" i="18"/>
  <c r="R3729" i="18"/>
  <c r="R1171" i="18"/>
  <c r="R1704" i="18"/>
  <c r="R1703" i="18"/>
  <c r="R3365" i="18"/>
  <c r="R1702" i="18"/>
  <c r="R3364" i="18"/>
  <c r="R1701" i="18"/>
  <c r="R1700" i="18"/>
  <c r="R2710" i="18"/>
  <c r="R5536" i="18"/>
  <c r="R1699" i="18"/>
  <c r="R5102" i="18"/>
  <c r="R2709" i="18"/>
  <c r="R3363" i="18"/>
  <c r="R3362" i="18"/>
  <c r="R2146" i="18"/>
  <c r="R3361" i="18"/>
  <c r="R3360" i="18"/>
  <c r="R1698" i="18"/>
  <c r="R1697" i="18"/>
  <c r="R747" i="18"/>
  <c r="R2145" i="18"/>
  <c r="R2708" i="18"/>
  <c r="R3359" i="18"/>
  <c r="R5580" i="18"/>
  <c r="R5101" i="18"/>
  <c r="R5535" i="18"/>
  <c r="R535" i="18"/>
  <c r="R2707" i="18"/>
  <c r="R1696" i="18"/>
  <c r="R746" i="18"/>
  <c r="R2706" i="18"/>
  <c r="R1695" i="18"/>
  <c r="R1091" i="18"/>
  <c r="R348" i="18"/>
  <c r="R1694" i="18"/>
  <c r="R1693" i="18"/>
  <c r="R1692" i="18"/>
  <c r="R3358" i="18"/>
  <c r="R2705" i="18"/>
  <c r="R3357" i="18"/>
  <c r="R1691" i="18"/>
  <c r="R1690" i="18"/>
  <c r="R2704" i="18"/>
  <c r="R1289" i="18"/>
  <c r="R3356" i="18"/>
  <c r="R2703" i="18"/>
  <c r="R1689" i="18"/>
  <c r="R1688" i="18"/>
  <c r="R5534" i="18"/>
  <c r="R1687" i="18"/>
  <c r="R1686" i="18"/>
  <c r="R207" i="18"/>
  <c r="R1685" i="18"/>
  <c r="R5533" i="18"/>
  <c r="R745" i="18"/>
  <c r="R1684" i="18"/>
  <c r="R3355" i="18"/>
  <c r="R3354" i="18"/>
  <c r="R1683" i="18"/>
  <c r="R347" i="18"/>
  <c r="R1682" i="18"/>
  <c r="R1681" i="18"/>
  <c r="R206" i="18"/>
  <c r="R1680" i="18"/>
  <c r="R1679" i="18"/>
  <c r="R2702" i="18"/>
  <c r="R3353" i="18"/>
  <c r="R3352" i="18"/>
  <c r="R3351" i="18"/>
  <c r="R32" i="18"/>
  <c r="R1008" i="18"/>
  <c r="R1678" i="18"/>
  <c r="R2701" i="18"/>
  <c r="R2700" i="18"/>
  <c r="R2699" i="18"/>
  <c r="R930" i="18"/>
  <c r="R2698" i="18"/>
  <c r="R1677" i="18"/>
  <c r="R1090" i="18"/>
  <c r="R5532" i="18"/>
  <c r="R829" i="18"/>
  <c r="R5531" i="18"/>
  <c r="R3350" i="18"/>
  <c r="R3349" i="18"/>
  <c r="R411" i="18"/>
  <c r="R3348" i="18"/>
  <c r="R3347" i="18"/>
  <c r="R3346" i="18"/>
  <c r="R5530" i="18"/>
  <c r="R1676" i="18"/>
  <c r="R1675" i="18"/>
  <c r="R2144" i="18"/>
  <c r="R2697" i="18"/>
  <c r="R1674" i="18"/>
  <c r="R3728" i="18"/>
  <c r="R1673" i="18"/>
  <c r="R2696" i="18"/>
  <c r="R3345" i="18"/>
  <c r="R346" i="18"/>
  <c r="R4210" i="18"/>
  <c r="R3344" i="18"/>
  <c r="R1672" i="18"/>
  <c r="R205" i="18"/>
  <c r="R1671" i="18"/>
  <c r="R2143" i="18"/>
  <c r="R1670" i="18"/>
  <c r="R2695" i="18"/>
  <c r="R4209" i="18"/>
  <c r="R1669" i="18"/>
  <c r="R2694" i="18"/>
  <c r="R1668" i="18"/>
  <c r="R929" i="18"/>
  <c r="R1667" i="18"/>
  <c r="R2693" i="18"/>
  <c r="R5529" i="18"/>
  <c r="R3343" i="18"/>
  <c r="R5100" i="18"/>
  <c r="R3342" i="18"/>
  <c r="R2692" i="18"/>
  <c r="R4208" i="18"/>
  <c r="R1666" i="18"/>
  <c r="R3341" i="18"/>
  <c r="R4207" i="18"/>
  <c r="R2691" i="18"/>
  <c r="R2690" i="18"/>
  <c r="R534" i="18"/>
  <c r="R3340" i="18"/>
  <c r="R1665" i="18"/>
  <c r="R2689" i="18"/>
  <c r="R1664" i="18"/>
  <c r="R1007" i="18"/>
  <c r="R1663" i="18"/>
  <c r="R1662" i="18"/>
  <c r="R3339" i="18"/>
  <c r="R2688" i="18"/>
  <c r="R5099" i="18"/>
  <c r="R1661" i="18"/>
  <c r="R345" i="18"/>
  <c r="R1660" i="18"/>
  <c r="R1659" i="18"/>
  <c r="R625" i="18"/>
  <c r="R410" i="18"/>
  <c r="R533" i="18"/>
  <c r="R2687" i="18"/>
  <c r="R1658" i="18"/>
  <c r="R1657" i="18"/>
  <c r="R2686" i="18"/>
  <c r="R3338" i="18"/>
  <c r="R1656" i="18"/>
  <c r="R1655" i="18"/>
  <c r="R928" i="18"/>
  <c r="R1654" i="18"/>
  <c r="R3337" i="18"/>
  <c r="R1653" i="18"/>
  <c r="R2685" i="18"/>
  <c r="R3336" i="18"/>
  <c r="R2684" i="18"/>
  <c r="R1652" i="18"/>
  <c r="R2683" i="18"/>
  <c r="R2682" i="18"/>
  <c r="R3335" i="18"/>
  <c r="R532" i="18"/>
  <c r="R2681" i="18"/>
  <c r="R1651" i="18"/>
  <c r="R3334" i="18"/>
  <c r="R3333" i="18"/>
  <c r="R1650" i="18"/>
  <c r="R3727" i="18"/>
  <c r="R5098" i="18"/>
  <c r="R344" i="18"/>
  <c r="R1649" i="18"/>
  <c r="R744" i="18"/>
  <c r="R2142" i="18"/>
  <c r="R409" i="18"/>
  <c r="R1089" i="18"/>
  <c r="R624" i="18"/>
  <c r="R5097" i="18"/>
  <c r="R1648" i="18"/>
  <c r="R5096" i="18"/>
  <c r="R1647" i="18"/>
  <c r="R1646" i="18"/>
  <c r="R2680" i="18"/>
  <c r="R343" i="18"/>
  <c r="R3332" i="18"/>
  <c r="R2679" i="18"/>
  <c r="R3331" i="18"/>
  <c r="R3330" i="18"/>
  <c r="R927" i="18"/>
  <c r="R3329" i="18"/>
  <c r="R1645" i="18"/>
  <c r="R3328" i="18"/>
  <c r="R3327" i="18"/>
  <c r="R2678" i="18"/>
  <c r="R2677" i="18"/>
  <c r="R3326" i="18"/>
  <c r="R3325" i="18"/>
  <c r="R2676" i="18"/>
  <c r="R743" i="18"/>
  <c r="R3726" i="18"/>
  <c r="R1644" i="18"/>
  <c r="R3725" i="18"/>
  <c r="R4206" i="18"/>
  <c r="R3324" i="18"/>
  <c r="R2675" i="18"/>
  <c r="R3323" i="18"/>
  <c r="R1170" i="18"/>
  <c r="R2674" i="18"/>
  <c r="R1643" i="18"/>
  <c r="R531" i="18"/>
  <c r="R3322" i="18"/>
  <c r="R530" i="18"/>
  <c r="R2673" i="18"/>
  <c r="R2672" i="18"/>
  <c r="R3321" i="18"/>
  <c r="R2671" i="18"/>
  <c r="R2670" i="18"/>
  <c r="R3320" i="18"/>
  <c r="R5528" i="18"/>
  <c r="R31" i="18"/>
  <c r="R2141" i="18"/>
  <c r="R3724" i="18"/>
  <c r="R828" i="18"/>
  <c r="R3319" i="18"/>
  <c r="R1642" i="18"/>
  <c r="R1641" i="18"/>
  <c r="R1368" i="18"/>
  <c r="R2669" i="18"/>
  <c r="R623" i="18"/>
  <c r="R2668" i="18"/>
  <c r="R2667" i="18"/>
  <c r="R2666" i="18"/>
  <c r="R2665" i="18"/>
  <c r="R1640" i="18"/>
  <c r="R1639" i="18"/>
  <c r="R1367" i="18"/>
  <c r="R2664" i="18"/>
  <c r="R1638" i="18"/>
  <c r="R1637" i="18"/>
  <c r="R4205" i="18"/>
  <c r="R2663" i="18"/>
  <c r="R3318" i="18"/>
  <c r="R5527" i="18"/>
  <c r="R148" i="18"/>
  <c r="R5526" i="18"/>
  <c r="R2662" i="18"/>
  <c r="R2661" i="18"/>
  <c r="R2660" i="18"/>
  <c r="R1636" i="18"/>
  <c r="R1635" i="18"/>
  <c r="R1634" i="18"/>
  <c r="R5648" i="18"/>
  <c r="R3317" i="18"/>
  <c r="R2659" i="18"/>
  <c r="R529" i="18"/>
  <c r="R3316" i="18"/>
  <c r="R926" i="18"/>
  <c r="R1088" i="18"/>
  <c r="R5095" i="18"/>
  <c r="R1169" i="18"/>
  <c r="R1633" i="18"/>
  <c r="R3315" i="18"/>
  <c r="R4204" i="18"/>
  <c r="R3723" i="18"/>
  <c r="R1087" i="18"/>
  <c r="R1632" i="18"/>
  <c r="R2658" i="18"/>
  <c r="R1631" i="18"/>
  <c r="R5094" i="18"/>
  <c r="R622" i="18"/>
  <c r="R3314" i="18"/>
  <c r="R1168" i="18"/>
  <c r="R1630" i="18"/>
  <c r="R1629" i="18"/>
  <c r="R1628" i="18"/>
  <c r="R2657" i="18"/>
  <c r="R2656" i="18"/>
  <c r="R621" i="18"/>
  <c r="R2655" i="18"/>
  <c r="R1627" i="18"/>
  <c r="R1626" i="18"/>
  <c r="R1625" i="18"/>
  <c r="R1624" i="18"/>
  <c r="R2654" i="18"/>
  <c r="R3313" i="18"/>
  <c r="R1167" i="18"/>
  <c r="R620" i="18"/>
  <c r="R3312" i="18"/>
  <c r="R5093" i="18"/>
  <c r="R2653" i="18"/>
  <c r="R2652" i="18"/>
  <c r="R4203" i="18"/>
  <c r="R528" i="18"/>
  <c r="R1006" i="18"/>
  <c r="R3311" i="18"/>
  <c r="R3310" i="18"/>
  <c r="R925" i="18"/>
  <c r="R827" i="18"/>
  <c r="R147" i="18"/>
  <c r="R2651" i="18"/>
  <c r="R619" i="18"/>
  <c r="R2650" i="18"/>
  <c r="R1623" i="18"/>
  <c r="R4202" i="18"/>
  <c r="R2649" i="18"/>
  <c r="R3309" i="18"/>
  <c r="R72" i="18"/>
  <c r="R527" i="18"/>
  <c r="R1622" i="18"/>
  <c r="R1621" i="18"/>
  <c r="R3308" i="18"/>
  <c r="R3307" i="18"/>
  <c r="R1620" i="18"/>
  <c r="R826" i="18"/>
  <c r="R1619" i="18"/>
  <c r="R3722" i="18"/>
  <c r="R3306" i="18"/>
  <c r="R2140" i="18"/>
  <c r="R3305" i="18"/>
  <c r="R3304" i="18"/>
  <c r="R1086" i="18"/>
  <c r="R2648" i="18"/>
  <c r="R2647" i="18"/>
  <c r="R1618" i="18"/>
  <c r="R1617" i="18"/>
  <c r="R4201" i="18"/>
  <c r="R5092" i="18"/>
  <c r="R5525" i="18"/>
  <c r="R3303" i="18"/>
  <c r="R2646" i="18"/>
  <c r="R1616" i="18"/>
  <c r="R5524" i="18"/>
  <c r="R1615" i="18"/>
  <c r="R3302" i="18"/>
  <c r="R1614" i="18"/>
  <c r="R2645" i="18"/>
  <c r="R526" i="18"/>
  <c r="R2644" i="18"/>
  <c r="R2643" i="18"/>
  <c r="R742" i="18"/>
  <c r="R2642" i="18"/>
  <c r="R1613" i="18"/>
  <c r="R1612" i="18"/>
  <c r="R1611" i="18"/>
  <c r="R5523" i="18"/>
  <c r="R1288" i="18"/>
  <c r="R1287" i="18"/>
  <c r="R618" i="18"/>
  <c r="R1610" i="18"/>
  <c r="R1609" i="18"/>
  <c r="R5522" i="18"/>
  <c r="R3301" i="18"/>
  <c r="R5091" i="18"/>
  <c r="R5521" i="18"/>
  <c r="R3721" i="18"/>
  <c r="R30" i="18"/>
  <c r="R525" i="18"/>
  <c r="R3300" i="18"/>
  <c r="R3299" i="18"/>
  <c r="R1608" i="18"/>
  <c r="R2641" i="18"/>
  <c r="R924" i="18"/>
  <c r="R1607" i="18"/>
  <c r="R1085" i="18"/>
  <c r="R204" i="18"/>
  <c r="R1606" i="18"/>
  <c r="R3298" i="18"/>
  <c r="R5520" i="18"/>
  <c r="R2640" i="18"/>
  <c r="R1605" i="18"/>
  <c r="R3297" i="18"/>
  <c r="R5519" i="18"/>
  <c r="R2639" i="18"/>
  <c r="R1604" i="18"/>
  <c r="R3296" i="18"/>
  <c r="R1603" i="18"/>
  <c r="R2638" i="18"/>
  <c r="R3295" i="18"/>
  <c r="R3720" i="18"/>
  <c r="R2637" i="18"/>
  <c r="R1602" i="18"/>
  <c r="R2636" i="18"/>
  <c r="R203" i="18"/>
  <c r="R3719" i="18"/>
  <c r="R1601" i="18"/>
  <c r="R2635" i="18"/>
  <c r="R1600" i="18"/>
  <c r="R2634" i="18"/>
  <c r="R4200" i="18"/>
  <c r="R1599" i="18"/>
  <c r="R2633" i="18"/>
  <c r="R5518" i="18"/>
  <c r="R5517" i="18"/>
  <c r="R342" i="18"/>
  <c r="R3294" i="18"/>
  <c r="R2632" i="18"/>
  <c r="R5090" i="18"/>
  <c r="R1286" i="18"/>
  <c r="R5089" i="18"/>
  <c r="R2631" i="18"/>
  <c r="R3293" i="18"/>
  <c r="R1598" i="18"/>
  <c r="R1597" i="18"/>
  <c r="R1596" i="18"/>
  <c r="R2630" i="18"/>
  <c r="R1366" i="18"/>
  <c r="R1595" i="18"/>
  <c r="R1594" i="18"/>
  <c r="R1593" i="18"/>
  <c r="R2629" i="18"/>
  <c r="R2628" i="18"/>
  <c r="R2627" i="18"/>
  <c r="R2626" i="18"/>
  <c r="R5516" i="18"/>
  <c r="R5088" i="18"/>
  <c r="R1592" i="18"/>
  <c r="R617" i="18"/>
  <c r="R5515" i="18"/>
  <c r="R2625" i="18"/>
  <c r="R1591" i="18"/>
  <c r="R3292" i="18"/>
  <c r="R1365" i="18"/>
  <c r="R341" i="18"/>
  <c r="R1590" i="18"/>
  <c r="R1285" i="18"/>
  <c r="R2624" i="18"/>
  <c r="R5514" i="18"/>
  <c r="R3291" i="18"/>
  <c r="R1589" i="18"/>
  <c r="R825" i="18"/>
  <c r="R5688" i="18"/>
  <c r="R340" i="18"/>
  <c r="R1588" i="18"/>
  <c r="R741" i="18"/>
  <c r="R3290" i="18"/>
  <c r="R3289" i="18"/>
  <c r="R3288" i="18"/>
  <c r="R740" i="18"/>
  <c r="R2623" i="18"/>
  <c r="R3287" i="18"/>
  <c r="R1587" i="18"/>
  <c r="R1586" i="18"/>
  <c r="R3286" i="18"/>
  <c r="R2622" i="18"/>
  <c r="R2621" i="18"/>
  <c r="R2620" i="18"/>
  <c r="R1585" i="18"/>
  <c r="R524" i="18"/>
  <c r="R3718" i="18"/>
  <c r="R202" i="18"/>
  <c r="R3285" i="18"/>
  <c r="R2619" i="18"/>
  <c r="R5087" i="18"/>
  <c r="R1584" i="18"/>
  <c r="R1583" i="18"/>
  <c r="R1582" i="18"/>
  <c r="R1581" i="18"/>
  <c r="R2618" i="18"/>
  <c r="R2139" i="18"/>
  <c r="R1580" i="18"/>
  <c r="R1005" i="18"/>
  <c r="R2617" i="18"/>
  <c r="R2616" i="18"/>
  <c r="R1579" i="18"/>
  <c r="R1364" i="18"/>
  <c r="R2615" i="18"/>
  <c r="R4199" i="18"/>
  <c r="R5086" i="18"/>
  <c r="R4198" i="18"/>
  <c r="R2614" i="18"/>
  <c r="R2613" i="18"/>
  <c r="R5513" i="18"/>
  <c r="R5647" i="18"/>
  <c r="R2138" i="18"/>
  <c r="R1084" i="18"/>
  <c r="R1578" i="18"/>
  <c r="R29" i="18"/>
  <c r="R923" i="18"/>
  <c r="R523" i="18"/>
  <c r="R2612" i="18"/>
  <c r="R1577" i="18"/>
  <c r="R5512" i="18"/>
  <c r="R3284" i="18"/>
  <c r="R5511" i="18"/>
  <c r="R2137" i="18"/>
  <c r="R408" i="18"/>
  <c r="R4197" i="18"/>
  <c r="R2136" i="18"/>
  <c r="R1284" i="18"/>
  <c r="R2611" i="18"/>
  <c r="R3717" i="18"/>
  <c r="R2610" i="18"/>
  <c r="R2135" i="18"/>
  <c r="R1576" i="18"/>
  <c r="R2609" i="18"/>
  <c r="R4196" i="18"/>
  <c r="R3716" i="18"/>
  <c r="R4195" i="18"/>
  <c r="R2608" i="18"/>
  <c r="R339" i="18"/>
  <c r="R1575" i="18"/>
  <c r="R3283" i="18"/>
  <c r="R739" i="18"/>
  <c r="R2607" i="18"/>
  <c r="R4194" i="18"/>
  <c r="R1574" i="18"/>
  <c r="R3282" i="18"/>
  <c r="R616" i="18"/>
  <c r="R5085" i="18"/>
  <c r="R338" i="18"/>
  <c r="R2606" i="18"/>
  <c r="R201" i="18"/>
  <c r="R3281" i="18"/>
  <c r="R3280" i="18"/>
  <c r="R5084" i="18"/>
  <c r="R1573" i="18"/>
  <c r="R5083" i="18"/>
  <c r="R1572" i="18"/>
  <c r="R2605" i="18"/>
  <c r="R3715" i="18"/>
  <c r="R3279" i="18"/>
  <c r="R2604" i="18"/>
  <c r="R4193" i="18"/>
  <c r="R5082" i="18"/>
  <c r="R2603" i="18"/>
  <c r="R2602" i="18"/>
  <c r="R1571" i="18"/>
  <c r="R3278" i="18"/>
  <c r="R2601" i="18"/>
  <c r="R1083" i="18"/>
  <c r="R1570" i="18"/>
  <c r="R3277" i="18"/>
  <c r="R2600" i="18"/>
  <c r="R2599" i="18"/>
  <c r="R1569" i="18"/>
  <c r="R2598" i="18"/>
  <c r="R1568" i="18"/>
  <c r="R2597" i="18"/>
  <c r="R2596" i="18"/>
  <c r="R1567" i="18"/>
  <c r="R1363" i="18"/>
  <c r="R1566" i="18"/>
  <c r="R1565" i="18"/>
  <c r="R2595" i="18"/>
  <c r="R3276" i="18"/>
  <c r="R1564" i="18"/>
  <c r="R2594" i="18"/>
  <c r="R2593" i="18"/>
  <c r="R3275" i="18"/>
  <c r="R2592" i="18"/>
  <c r="R1563" i="18"/>
  <c r="R1562" i="18"/>
  <c r="R146" i="18"/>
  <c r="R922" i="18"/>
  <c r="R4192" i="18"/>
  <c r="R5510" i="18"/>
  <c r="R3274" i="18"/>
  <c r="R615" i="18"/>
  <c r="R1561" i="18"/>
  <c r="R1560" i="18"/>
  <c r="R3273" i="18"/>
  <c r="R1166" i="18"/>
  <c r="R3272" i="18"/>
  <c r="R1559" i="18"/>
  <c r="R3271" i="18"/>
  <c r="R1558" i="18"/>
  <c r="R2591" i="18"/>
  <c r="R5081" i="18"/>
  <c r="R3270" i="18"/>
  <c r="R3269" i="18"/>
  <c r="R1557" i="18"/>
  <c r="R1004" i="18"/>
  <c r="R3714" i="18"/>
  <c r="R5509" i="18"/>
  <c r="R1556" i="18"/>
  <c r="R2590" i="18"/>
  <c r="R145" i="18"/>
  <c r="R1283" i="18"/>
  <c r="R200" i="18"/>
  <c r="R3268" i="18"/>
  <c r="R921" i="18"/>
  <c r="R1282" i="18"/>
  <c r="R1555" i="18"/>
  <c r="R1082" i="18"/>
  <c r="R2589" i="18"/>
  <c r="R4191" i="18"/>
  <c r="R920" i="18"/>
  <c r="R3267" i="18"/>
  <c r="R2588" i="18"/>
  <c r="R1554" i="18"/>
  <c r="R919" i="18"/>
  <c r="R1165" i="18"/>
  <c r="R1003" i="18"/>
  <c r="R1553" i="18"/>
  <c r="R3266" i="18"/>
  <c r="R3265" i="18"/>
  <c r="R1081" i="18"/>
  <c r="R1164" i="18"/>
  <c r="R3264" i="18"/>
  <c r="R3713" i="18"/>
  <c r="R3263" i="18"/>
  <c r="R1552" i="18"/>
  <c r="R1281" i="18"/>
  <c r="R1551" i="18"/>
  <c r="R1550" i="18"/>
  <c r="R2134" i="18"/>
  <c r="R2133" i="18"/>
  <c r="R2587" i="18"/>
  <c r="R3262" i="18"/>
  <c r="R337" i="18"/>
  <c r="R2586" i="18"/>
  <c r="R3261" i="18"/>
  <c r="R4190" i="18"/>
  <c r="R738" i="18"/>
  <c r="R1549" i="18"/>
  <c r="R2585" i="18"/>
  <c r="R1548" i="18"/>
  <c r="R1280" i="18"/>
  <c r="R1547" i="18"/>
  <c r="R1546" i="18"/>
  <c r="R737" i="18"/>
  <c r="R824" i="18"/>
  <c r="R1545" i="18"/>
  <c r="R5508" i="18"/>
  <c r="R1544" i="18"/>
  <c r="R614" i="18"/>
  <c r="R2584" i="18"/>
  <c r="R1543" i="18"/>
  <c r="R3260" i="18"/>
  <c r="R2583" i="18"/>
  <c r="R3259" i="18"/>
  <c r="R5507" i="18"/>
  <c r="R2582" i="18"/>
  <c r="R5506" i="18"/>
  <c r="R3258" i="18"/>
  <c r="R1542" i="18"/>
  <c r="R4189" i="18"/>
  <c r="R3257" i="18"/>
  <c r="R2581" i="18"/>
  <c r="R3712" i="18"/>
  <c r="R4188" i="18"/>
  <c r="R5505" i="18"/>
  <c r="R1080" i="18"/>
  <c r="R5080" i="18"/>
  <c r="R4187" i="18"/>
  <c r="R3256" i="18"/>
  <c r="R2580" i="18"/>
  <c r="R2132" i="18"/>
  <c r="R3711" i="18"/>
  <c r="R2579" i="18"/>
  <c r="R1279" i="18"/>
  <c r="R5079" i="18"/>
  <c r="R4186" i="18"/>
  <c r="R2578" i="18"/>
  <c r="R2131" i="18"/>
  <c r="R1541" i="18"/>
  <c r="R2577" i="18"/>
  <c r="R1540" i="18"/>
  <c r="R1539" i="18"/>
  <c r="R2576" i="18"/>
  <c r="R2575" i="18"/>
  <c r="R5504" i="18"/>
  <c r="R3710" i="18"/>
  <c r="R1538" i="18"/>
  <c r="R5503" i="18"/>
  <c r="R4185" i="18"/>
  <c r="R1537" i="18"/>
  <c r="R1536" i="18"/>
  <c r="R5502" i="18"/>
  <c r="R2574" i="18"/>
  <c r="R5646" i="18"/>
  <c r="R2573" i="18"/>
  <c r="R5501" i="18"/>
  <c r="R5500" i="18"/>
  <c r="R3255" i="18"/>
  <c r="R3709" i="18"/>
  <c r="R2572" i="18"/>
  <c r="R2571" i="18"/>
  <c r="R5499" i="18"/>
  <c r="R336" i="18"/>
  <c r="R5498" i="18"/>
  <c r="R3254" i="18"/>
  <c r="R3253" i="18"/>
  <c r="R5645" i="18"/>
  <c r="R1079" i="18"/>
  <c r="R1278" i="18"/>
  <c r="R1535" i="18"/>
  <c r="R1078" i="18"/>
  <c r="R3252" i="18"/>
  <c r="R2570" i="18"/>
  <c r="R2569" i="18"/>
  <c r="R1534" i="18"/>
  <c r="R3251" i="18"/>
  <c r="R1533" i="18"/>
  <c r="R2568" i="18"/>
  <c r="R823" i="18"/>
  <c r="R1277" i="18"/>
  <c r="R2567" i="18"/>
  <c r="R1077" i="18"/>
  <c r="R4184" i="18"/>
  <c r="R1532" i="18"/>
  <c r="R2566" i="18"/>
  <c r="R3250" i="18"/>
  <c r="R522" i="18"/>
  <c r="R1531" i="18"/>
  <c r="R736" i="18"/>
  <c r="R2130" i="18"/>
  <c r="R1530" i="18"/>
  <c r="R335" i="18"/>
  <c r="R407" i="18"/>
  <c r="R2565" i="18"/>
  <c r="R5497" i="18"/>
  <c r="R1529" i="18"/>
  <c r="R2129" i="18"/>
  <c r="R1528" i="18"/>
  <c r="R2564" i="18"/>
  <c r="R822" i="18"/>
  <c r="R5496" i="18"/>
  <c r="R3708" i="18"/>
  <c r="R1527" i="18"/>
  <c r="R3249" i="18"/>
  <c r="R2563" i="18"/>
  <c r="R4183" i="18"/>
  <c r="R1526" i="18"/>
  <c r="R3707" i="18"/>
  <c r="R5588" i="18"/>
  <c r="R2562" i="18"/>
  <c r="R2561" i="18"/>
  <c r="R2560" i="18"/>
  <c r="R1525" i="18"/>
  <c r="R1524" i="18"/>
  <c r="R613" i="18"/>
  <c r="R5078" i="18"/>
  <c r="R144" i="18"/>
  <c r="R2559" i="18"/>
  <c r="R3248" i="18"/>
  <c r="R521" i="18"/>
  <c r="R821" i="18"/>
  <c r="R3247" i="18"/>
  <c r="R3246" i="18"/>
  <c r="R3245" i="18"/>
  <c r="R5495" i="18"/>
  <c r="R5077" i="18"/>
  <c r="R1076" i="18"/>
  <c r="R3244" i="18"/>
  <c r="R5494" i="18"/>
  <c r="R1276" i="18"/>
  <c r="R2558" i="18"/>
  <c r="R2557" i="18"/>
  <c r="R2556" i="18"/>
  <c r="R520" i="18"/>
  <c r="R143" i="18"/>
  <c r="R1075" i="18"/>
  <c r="R1523" i="18"/>
  <c r="R5076" i="18"/>
  <c r="R2128" i="18"/>
  <c r="R1002" i="18"/>
  <c r="R2555" i="18"/>
  <c r="R2554" i="18"/>
  <c r="R5493" i="18"/>
  <c r="R5492" i="18"/>
  <c r="R3243" i="18"/>
  <c r="R3706" i="18"/>
  <c r="R2553" i="18"/>
  <c r="R1074" i="18"/>
  <c r="R3242" i="18"/>
  <c r="R1001" i="18"/>
  <c r="R2552" i="18"/>
  <c r="R735" i="18"/>
  <c r="R3705" i="18"/>
  <c r="R3241" i="18"/>
  <c r="R1522" i="18"/>
  <c r="R4182" i="18"/>
  <c r="R2127" i="18"/>
  <c r="R519" i="18"/>
  <c r="R4181" i="18"/>
  <c r="R5075" i="18"/>
  <c r="R3704" i="18"/>
  <c r="R2551" i="18"/>
  <c r="R4180" i="18"/>
  <c r="R3240" i="18"/>
  <c r="R5491" i="18"/>
  <c r="R1521" i="18"/>
  <c r="R3239" i="18"/>
  <c r="R2550" i="18"/>
  <c r="R918" i="18"/>
  <c r="R1275" i="18"/>
  <c r="R2549" i="18"/>
  <c r="R5490" i="18"/>
  <c r="R2548" i="18"/>
  <c r="R2547" i="18"/>
  <c r="R2546" i="18"/>
  <c r="R3703" i="18"/>
  <c r="R1520" i="18"/>
  <c r="R3238" i="18"/>
  <c r="R518" i="18"/>
  <c r="R917" i="18"/>
  <c r="R2545" i="18"/>
  <c r="R5489" i="18"/>
  <c r="R3237" i="18"/>
  <c r="R3236" i="18"/>
  <c r="R1519" i="18"/>
  <c r="R3235" i="18"/>
  <c r="R4179" i="18"/>
  <c r="R5074" i="18"/>
  <c r="R3702" i="18"/>
  <c r="R5073" i="18"/>
  <c r="R4178" i="18"/>
  <c r="R3234" i="18"/>
  <c r="R2544" i="18"/>
  <c r="R3233" i="18"/>
  <c r="R2543" i="18"/>
  <c r="R1518" i="18"/>
  <c r="R2542" i="18"/>
  <c r="R612" i="18"/>
  <c r="R1163" i="18"/>
  <c r="R1517" i="18"/>
  <c r="R916" i="18"/>
  <c r="R1516" i="18"/>
  <c r="R2126" i="18"/>
  <c r="R2541" i="18"/>
  <c r="R5488" i="18"/>
  <c r="R2540" i="18"/>
  <c r="R28" i="18"/>
  <c r="R4177" i="18"/>
  <c r="R3701" i="18"/>
  <c r="R1515" i="18"/>
  <c r="R3232" i="18"/>
  <c r="R3231" i="18"/>
  <c r="R5072" i="18"/>
  <c r="R1514" i="18"/>
  <c r="R5071" i="18"/>
  <c r="R915" i="18"/>
  <c r="R2539" i="18"/>
  <c r="R3230" i="18"/>
  <c r="R1513" i="18"/>
  <c r="R3229" i="18"/>
  <c r="R3228" i="18"/>
  <c r="R820" i="18"/>
  <c r="R2538" i="18"/>
  <c r="R3227" i="18"/>
  <c r="R2537" i="18"/>
  <c r="R1512" i="18"/>
  <c r="R5487" i="18"/>
  <c r="R406" i="18"/>
  <c r="R1511" i="18"/>
  <c r="R2536" i="18"/>
  <c r="R2535" i="18"/>
  <c r="R734" i="18"/>
  <c r="R1510" i="18"/>
  <c r="R2534" i="18"/>
  <c r="R2533" i="18"/>
  <c r="R4176" i="18"/>
  <c r="R405" i="18"/>
  <c r="R5644" i="18"/>
  <c r="R5486" i="18"/>
  <c r="R1509" i="18"/>
  <c r="R2532" i="18"/>
  <c r="R1362" i="18"/>
  <c r="R819" i="18"/>
  <c r="R733" i="18"/>
  <c r="R2531" i="18"/>
  <c r="R1508" i="18"/>
  <c r="R5485" i="18"/>
  <c r="R2530" i="18"/>
  <c r="R2529" i="18"/>
  <c r="R3226" i="18"/>
  <c r="R4175" i="18"/>
  <c r="R5484" i="18"/>
  <c r="R2528" i="18"/>
  <c r="R2527" i="18"/>
  <c r="R5483" i="18"/>
  <c r="R1000" i="18"/>
  <c r="R334" i="18"/>
  <c r="R732" i="18"/>
  <c r="R5482" i="18"/>
  <c r="R3225" i="18"/>
  <c r="R333" i="18"/>
  <c r="R3700" i="18"/>
  <c r="R2526" i="18"/>
  <c r="R4174" i="18"/>
  <c r="R2525" i="18"/>
  <c r="R71" i="18"/>
  <c r="R1073" i="18"/>
  <c r="R1361" i="18"/>
  <c r="R5481" i="18"/>
  <c r="R2524" i="18"/>
  <c r="R5480" i="18"/>
  <c r="R4173" i="18"/>
  <c r="R999" i="18"/>
  <c r="R2523" i="18"/>
  <c r="R3224" i="18"/>
  <c r="R4172" i="18"/>
  <c r="R1507" i="18"/>
  <c r="R5070" i="18"/>
  <c r="R2522" i="18"/>
  <c r="R3699" i="18"/>
  <c r="R1506" i="18"/>
  <c r="R3223" i="18"/>
  <c r="R404" i="18"/>
  <c r="R1505" i="18"/>
  <c r="R3222" i="18"/>
  <c r="R3221" i="18"/>
  <c r="R1504" i="18"/>
  <c r="R5069" i="18"/>
  <c r="R2521" i="18"/>
  <c r="R3220" i="18"/>
  <c r="R5479" i="18"/>
  <c r="R4171" i="18"/>
  <c r="R2520" i="18"/>
  <c r="R4170" i="18"/>
  <c r="R2125" i="18"/>
  <c r="R731" i="18"/>
  <c r="R4169" i="18"/>
  <c r="R1503" i="18"/>
  <c r="R2519" i="18"/>
  <c r="R5478" i="18"/>
  <c r="R2518" i="18"/>
  <c r="R3698" i="18"/>
  <c r="R3219" i="18"/>
  <c r="R1502" i="18"/>
  <c r="R1072" i="18"/>
  <c r="R1071" i="18"/>
  <c r="R730" i="18"/>
  <c r="R2517" i="18"/>
  <c r="R4168" i="18"/>
  <c r="R5068" i="18"/>
  <c r="R2516" i="18"/>
  <c r="R3697" i="18"/>
  <c r="R3696" i="18"/>
  <c r="R4167" i="18"/>
  <c r="R2515" i="18"/>
  <c r="R2514" i="18"/>
  <c r="R3218" i="18"/>
  <c r="R2513" i="18"/>
  <c r="R3217" i="18"/>
  <c r="R2512" i="18"/>
  <c r="R2511" i="18"/>
  <c r="R332" i="18"/>
  <c r="R3695" i="18"/>
  <c r="R517" i="18"/>
  <c r="R142" i="18"/>
  <c r="R1501" i="18"/>
  <c r="R141" i="18"/>
  <c r="R729" i="18"/>
  <c r="R1500" i="18"/>
  <c r="R331" i="18"/>
  <c r="R3216" i="18"/>
  <c r="R1274" i="18"/>
  <c r="R2510" i="18"/>
  <c r="R4166" i="18"/>
  <c r="R1499" i="18"/>
  <c r="R3215" i="18"/>
  <c r="R1498" i="18"/>
  <c r="R330" i="18"/>
  <c r="R3214" i="18"/>
  <c r="R2509" i="18"/>
  <c r="R4165" i="18"/>
  <c r="R2508" i="18"/>
  <c r="R1273" i="18"/>
  <c r="R5477" i="18"/>
  <c r="R3213" i="18"/>
  <c r="R3212" i="18"/>
  <c r="R4164" i="18"/>
  <c r="R3211" i="18"/>
  <c r="R2507" i="18"/>
  <c r="R4163" i="18"/>
  <c r="R1070" i="18"/>
  <c r="R2506" i="18"/>
  <c r="R3210" i="18"/>
  <c r="R2124" i="18"/>
  <c r="R1497" i="18"/>
  <c r="R1496" i="18"/>
  <c r="R2505" i="18"/>
  <c r="R5476" i="18"/>
  <c r="R5067" i="18"/>
  <c r="R2504" i="18"/>
  <c r="R1495" i="18"/>
  <c r="R3209" i="18"/>
  <c r="R2123" i="18"/>
  <c r="R818" i="18"/>
  <c r="R1494" i="18"/>
  <c r="R1493" i="18"/>
  <c r="R728" i="18"/>
  <c r="R611" i="18"/>
  <c r="R3208" i="18"/>
  <c r="R4162" i="18"/>
  <c r="R5066" i="18"/>
  <c r="R1492" i="18"/>
  <c r="R1491" i="18"/>
  <c r="R5475" i="18"/>
  <c r="R403" i="18"/>
  <c r="R3207" i="18"/>
  <c r="R3206" i="18"/>
  <c r="R3205" i="18"/>
  <c r="R1490" i="18"/>
  <c r="R2503" i="18"/>
  <c r="R1489" i="18"/>
  <c r="R1069" i="18"/>
  <c r="R4161" i="18"/>
  <c r="R2502" i="18"/>
  <c r="R1488" i="18"/>
  <c r="R1360" i="18"/>
  <c r="R4160" i="18"/>
  <c r="R199" i="18"/>
  <c r="R3694" i="18"/>
  <c r="R4159" i="18"/>
  <c r="R516" i="18"/>
  <c r="R329" i="18"/>
  <c r="R1272" i="18"/>
  <c r="R515" i="18"/>
  <c r="R2501" i="18"/>
  <c r="R140" i="18"/>
  <c r="R2500" i="18"/>
  <c r="R1487" i="18"/>
  <c r="R3693" i="18"/>
  <c r="R2499" i="18"/>
  <c r="R3204" i="18"/>
  <c r="R2498" i="18"/>
  <c r="R4158" i="18"/>
  <c r="R3203" i="18"/>
  <c r="R3202" i="18"/>
  <c r="R2497" i="18"/>
  <c r="R2496" i="18"/>
  <c r="R1271" i="18"/>
  <c r="R3201" i="18"/>
  <c r="R3200" i="18"/>
  <c r="R1270" i="18"/>
  <c r="R2495" i="18"/>
  <c r="R2494" i="18"/>
  <c r="R2493" i="18"/>
  <c r="R3199" i="18"/>
  <c r="R1486" i="18"/>
  <c r="R3692" i="18"/>
  <c r="R5474" i="18"/>
  <c r="R3691" i="18"/>
  <c r="R3198" i="18"/>
  <c r="R7" i="18"/>
  <c r="R2492" i="18"/>
  <c r="R1068" i="18"/>
  <c r="R3197" i="18"/>
  <c r="R2491" i="18"/>
  <c r="R610" i="18"/>
  <c r="R817" i="18"/>
  <c r="R2490" i="18"/>
  <c r="R2122" i="18"/>
  <c r="R2489" i="18"/>
  <c r="R3196" i="18"/>
  <c r="R1485" i="18"/>
  <c r="R3690" i="18"/>
  <c r="R3195" i="18"/>
  <c r="R2488" i="18"/>
  <c r="R2487" i="18"/>
  <c r="R3689" i="18"/>
  <c r="R2486" i="18"/>
  <c r="R3194" i="18"/>
  <c r="R5643" i="18"/>
  <c r="R2485" i="18"/>
  <c r="R3193" i="18"/>
  <c r="R328" i="18"/>
  <c r="R1484" i="18"/>
  <c r="R1359" i="18"/>
  <c r="R2484" i="18"/>
  <c r="R1483" i="18"/>
  <c r="R998" i="18"/>
  <c r="R4157" i="18"/>
  <c r="R5473" i="18"/>
  <c r="R2483" i="18"/>
  <c r="R2482" i="18"/>
  <c r="R4156" i="18"/>
  <c r="R2481" i="18"/>
  <c r="R816" i="18"/>
  <c r="R1358" i="18"/>
  <c r="R1482" i="18"/>
  <c r="R2480" i="18"/>
  <c r="R2479" i="18"/>
  <c r="R2478" i="18"/>
  <c r="R2477" i="18"/>
  <c r="R5642" i="18"/>
  <c r="R3688" i="18"/>
  <c r="R3687" i="18"/>
  <c r="R3686" i="18"/>
  <c r="R2476" i="18"/>
  <c r="R2475" i="18"/>
  <c r="R4155" i="18"/>
  <c r="R997" i="18"/>
  <c r="R2474" i="18"/>
  <c r="R609" i="18"/>
  <c r="R514" i="18"/>
  <c r="R4154" i="18"/>
  <c r="R1481" i="18"/>
  <c r="R2473" i="18"/>
  <c r="R2472" i="18"/>
  <c r="R3192" i="18"/>
  <c r="R1480" i="18"/>
  <c r="R1479" i="18"/>
  <c r="R4153" i="18"/>
  <c r="R996" i="18"/>
  <c r="R5472" i="18"/>
  <c r="R727" i="18"/>
  <c r="R2471" i="18"/>
  <c r="R4152" i="18"/>
  <c r="R5065" i="18"/>
  <c r="R5471" i="18"/>
  <c r="R5064" i="18"/>
  <c r="R914" i="18"/>
  <c r="R913" i="18"/>
  <c r="R3685" i="18"/>
  <c r="R726" i="18"/>
  <c r="R5470" i="18"/>
  <c r="R2470" i="18"/>
  <c r="R2469" i="18"/>
  <c r="R3191" i="18"/>
  <c r="R2121" i="18"/>
  <c r="R3190" i="18"/>
  <c r="R1478" i="18"/>
  <c r="R2468" i="18"/>
  <c r="R2467" i="18"/>
  <c r="R1067" i="18"/>
  <c r="R2120" i="18"/>
  <c r="R3189" i="18"/>
  <c r="R3684" i="18"/>
  <c r="R3188" i="18"/>
  <c r="R2466" i="18"/>
  <c r="R3187" i="18"/>
  <c r="R3186" i="18"/>
  <c r="R5063" i="18"/>
  <c r="R3185" i="18"/>
  <c r="R3184" i="18"/>
  <c r="R3183" i="18"/>
  <c r="R815" i="18"/>
  <c r="R3182" i="18"/>
  <c r="R1357" i="18"/>
  <c r="R1162" i="18"/>
  <c r="R5469" i="18"/>
  <c r="R3683" i="18"/>
  <c r="R5641" i="18"/>
  <c r="R725" i="18"/>
  <c r="R3682" i="18"/>
  <c r="R3181" i="18"/>
  <c r="R1269" i="18"/>
  <c r="R2465" i="18"/>
  <c r="R4151" i="18"/>
  <c r="R1477" i="18"/>
  <c r="R327" i="18"/>
  <c r="R3180" i="18"/>
  <c r="R995" i="18"/>
  <c r="R1476" i="18"/>
  <c r="R1066" i="18"/>
  <c r="R5062" i="18"/>
  <c r="R2464" i="18"/>
  <c r="R326" i="18"/>
  <c r="R2463" i="18"/>
  <c r="R1475" i="18"/>
  <c r="R2462" i="18"/>
  <c r="R2119" i="18"/>
  <c r="R2461" i="18"/>
  <c r="R912" i="18"/>
  <c r="R5061" i="18"/>
  <c r="R2118" i="18"/>
  <c r="R911" i="18"/>
  <c r="R3179" i="18"/>
  <c r="R1065" i="18"/>
  <c r="R325" i="18"/>
  <c r="R3178" i="18"/>
  <c r="R3177" i="18"/>
  <c r="R910" i="18"/>
  <c r="R909" i="18"/>
  <c r="R5468" i="18"/>
  <c r="R2460" i="18"/>
  <c r="R724" i="18"/>
  <c r="R3176" i="18"/>
  <c r="R1474" i="18"/>
  <c r="R4150" i="18"/>
  <c r="R2459" i="18"/>
  <c r="R2458" i="18"/>
  <c r="R608" i="18"/>
  <c r="R2457" i="18"/>
  <c r="R3175" i="18"/>
  <c r="R4149" i="18"/>
  <c r="R3681" i="18"/>
  <c r="R5060" i="18"/>
  <c r="R2117" i="18"/>
  <c r="R5059" i="18"/>
  <c r="R2456" i="18"/>
  <c r="R2455" i="18"/>
  <c r="R2454" i="18"/>
  <c r="R2453" i="18"/>
  <c r="R3680" i="18"/>
  <c r="R2452" i="18"/>
  <c r="R3679" i="18"/>
  <c r="R1161" i="18"/>
  <c r="R4148" i="18"/>
  <c r="R723" i="18"/>
  <c r="R2451" i="18"/>
  <c r="R5640" i="18"/>
  <c r="R5467" i="18"/>
  <c r="R5466" i="18"/>
  <c r="R5465" i="18"/>
  <c r="R5464" i="18"/>
  <c r="R198" i="18"/>
  <c r="R1356" i="18"/>
  <c r="R2450" i="18"/>
  <c r="R994" i="18"/>
  <c r="R1355" i="18"/>
  <c r="R5639" i="18"/>
  <c r="R2449" i="18"/>
  <c r="R5058" i="18"/>
  <c r="R1473" i="18"/>
  <c r="R2448" i="18"/>
  <c r="R513" i="18"/>
  <c r="R5057" i="18"/>
  <c r="R1472" i="18"/>
  <c r="R3174" i="18"/>
  <c r="R1160" i="18"/>
  <c r="R3173" i="18"/>
  <c r="R2447" i="18"/>
  <c r="R3172" i="18"/>
  <c r="R4147" i="18"/>
  <c r="R5463" i="18"/>
  <c r="R2446" i="18"/>
  <c r="R722" i="18"/>
  <c r="R2445" i="18"/>
  <c r="R2444" i="18"/>
  <c r="R2443" i="18"/>
  <c r="R2442" i="18"/>
  <c r="R3678" i="18"/>
  <c r="R4146" i="18"/>
  <c r="R5462" i="18"/>
  <c r="R2441" i="18"/>
  <c r="R3171" i="18"/>
  <c r="R5461" i="18"/>
  <c r="R2440" i="18"/>
  <c r="R4145" i="18"/>
  <c r="R4144" i="18"/>
  <c r="R3170" i="18"/>
  <c r="R2116" i="18"/>
  <c r="R5056" i="18"/>
  <c r="R4143" i="18"/>
  <c r="R1471" i="18"/>
  <c r="R3169" i="18"/>
  <c r="R2439" i="18"/>
  <c r="R3168" i="18"/>
  <c r="R1470" i="18"/>
  <c r="R3167" i="18"/>
  <c r="R2115" i="18"/>
  <c r="R2438" i="18"/>
  <c r="R3166" i="18"/>
  <c r="R2437" i="18"/>
  <c r="R2436" i="18"/>
  <c r="R4142" i="18"/>
  <c r="R607" i="18"/>
  <c r="R814" i="18"/>
  <c r="R2435" i="18"/>
  <c r="R324" i="18"/>
  <c r="R3165" i="18"/>
  <c r="R2434" i="18"/>
  <c r="R3164" i="18"/>
  <c r="R3677" i="18"/>
  <c r="R1354" i="18"/>
  <c r="R2433" i="18"/>
  <c r="R4141" i="18"/>
  <c r="R5055" i="18"/>
  <c r="R70" i="18"/>
  <c r="R3676" i="18"/>
  <c r="R5460" i="18"/>
  <c r="R3675" i="18"/>
  <c r="R4140" i="18"/>
  <c r="R3674" i="18"/>
  <c r="R3673" i="18"/>
  <c r="R1268" i="18"/>
  <c r="R512" i="18"/>
  <c r="R1267" i="18"/>
  <c r="R2432" i="18"/>
  <c r="R1266" i="18"/>
  <c r="R3163" i="18"/>
  <c r="R1064" i="18"/>
  <c r="R5054" i="18"/>
  <c r="R2431" i="18"/>
  <c r="R3162" i="18"/>
  <c r="R2430" i="18"/>
  <c r="R2429" i="18"/>
  <c r="R1353" i="18"/>
  <c r="R1265" i="18"/>
  <c r="R2114" i="18"/>
  <c r="R3161" i="18"/>
  <c r="R1352" i="18"/>
  <c r="R1469" i="18"/>
  <c r="R606" i="18"/>
  <c r="R4139" i="18"/>
  <c r="R1468" i="18"/>
  <c r="R2428" i="18"/>
  <c r="R5459" i="18"/>
  <c r="R3160" i="18"/>
  <c r="R5458" i="18"/>
  <c r="R1351" i="18"/>
  <c r="R5457" i="18"/>
  <c r="R139" i="18"/>
  <c r="R2427" i="18"/>
  <c r="R2426" i="18"/>
  <c r="R2425" i="18"/>
  <c r="R1159" i="18"/>
  <c r="R402" i="18"/>
  <c r="R5053" i="18"/>
  <c r="R27" i="18"/>
  <c r="R4138" i="18"/>
  <c r="R3159" i="18"/>
  <c r="R3158" i="18"/>
  <c r="R605" i="18"/>
  <c r="R1264" i="18"/>
  <c r="R3672" i="18"/>
  <c r="R813" i="18"/>
  <c r="R5052" i="18"/>
  <c r="R511" i="18"/>
  <c r="R510" i="18"/>
  <c r="R3157" i="18"/>
  <c r="R2424" i="18"/>
  <c r="R721" i="18"/>
  <c r="R1263" i="18"/>
  <c r="R3156" i="18"/>
  <c r="R2423" i="18"/>
  <c r="R509" i="18"/>
  <c r="R1467" i="18"/>
  <c r="R720" i="18"/>
  <c r="R2422" i="18"/>
  <c r="R2421" i="18"/>
  <c r="R3671" i="18"/>
  <c r="R4137" i="18"/>
  <c r="R2420" i="18"/>
  <c r="R1466" i="18"/>
  <c r="R2419" i="18"/>
  <c r="R3155" i="18"/>
  <c r="R1465" i="18"/>
  <c r="R2418" i="18"/>
  <c r="R508" i="18"/>
  <c r="R5051" i="18"/>
  <c r="R507" i="18"/>
  <c r="R719" i="18"/>
  <c r="R4136" i="18"/>
  <c r="R5050" i="18"/>
  <c r="R2417" i="18"/>
  <c r="R5638" i="18"/>
  <c r="R2416" i="18"/>
  <c r="R3154" i="18"/>
  <c r="R2415" i="18"/>
  <c r="R5049" i="18"/>
  <c r="R3153" i="18"/>
  <c r="R718" i="18"/>
  <c r="R2414" i="18"/>
  <c r="R3152" i="18"/>
  <c r="R717" i="18"/>
  <c r="R4135" i="18"/>
  <c r="R3151" i="18"/>
  <c r="R2413" i="18"/>
  <c r="R1158" i="18"/>
  <c r="R3150" i="18"/>
  <c r="R908" i="18"/>
  <c r="R3670" i="18"/>
  <c r="R812" i="18"/>
  <c r="R4134" i="18"/>
  <c r="R907" i="18"/>
  <c r="R1157" i="18"/>
  <c r="R5456" i="18"/>
  <c r="R5455" i="18"/>
  <c r="R2412" i="18"/>
  <c r="R3149" i="18"/>
  <c r="R197" i="18"/>
  <c r="R993" i="18"/>
  <c r="R2411" i="18"/>
  <c r="R3669" i="18"/>
  <c r="R2410" i="18"/>
  <c r="R5454" i="18"/>
  <c r="R2409" i="18"/>
  <c r="R3148" i="18"/>
  <c r="R1464" i="18"/>
  <c r="R4133" i="18"/>
  <c r="R3147" i="18"/>
  <c r="R5637" i="18"/>
  <c r="R3668" i="18"/>
  <c r="R2408" i="18"/>
  <c r="R5636" i="18"/>
  <c r="R3667" i="18"/>
  <c r="R992" i="18"/>
  <c r="R3666" i="18"/>
  <c r="R1463" i="18"/>
  <c r="R4132" i="18"/>
  <c r="R2407" i="18"/>
  <c r="R2406" i="18"/>
  <c r="R1462" i="18"/>
  <c r="R2405" i="18"/>
  <c r="R5048" i="18"/>
  <c r="R5047" i="18"/>
  <c r="R5453" i="18"/>
  <c r="R5046" i="18"/>
  <c r="R138" i="18"/>
  <c r="R4131" i="18"/>
  <c r="R3146" i="18"/>
  <c r="R5452" i="18"/>
  <c r="R2404" i="18"/>
  <c r="R4130" i="18"/>
  <c r="R2403" i="18"/>
  <c r="R2402" i="18"/>
  <c r="R5635" i="18"/>
  <c r="R1461" i="18"/>
  <c r="R5045" i="18"/>
  <c r="R2401" i="18"/>
  <c r="R4129" i="18"/>
  <c r="R1262" i="18"/>
  <c r="R2400" i="18"/>
  <c r="R2399" i="18"/>
  <c r="R2398" i="18"/>
  <c r="R5044" i="18"/>
  <c r="R2397" i="18"/>
  <c r="R1460" i="18"/>
  <c r="R2396" i="18"/>
  <c r="R1459" i="18"/>
  <c r="R2395" i="18"/>
  <c r="R323" i="18"/>
  <c r="R2394" i="18"/>
  <c r="R2393" i="18"/>
  <c r="R69" i="18"/>
  <c r="R3145" i="18"/>
  <c r="R5451" i="18"/>
  <c r="R4128" i="18"/>
  <c r="R1063" i="18"/>
  <c r="R3665" i="18"/>
  <c r="R4127" i="18"/>
  <c r="R991" i="18"/>
  <c r="R3664" i="18"/>
  <c r="R506" i="18"/>
  <c r="R322" i="18"/>
  <c r="R3663" i="18"/>
  <c r="R505" i="18"/>
  <c r="R3662" i="18"/>
  <c r="R2392" i="18"/>
  <c r="R5043" i="18"/>
  <c r="R2391" i="18"/>
  <c r="R68" i="18"/>
  <c r="R2390" i="18"/>
  <c r="R137" i="18"/>
  <c r="R1261" i="18"/>
  <c r="R5450" i="18"/>
  <c r="R2389" i="18"/>
  <c r="R1458" i="18"/>
  <c r="R3144" i="18"/>
  <c r="R2113" i="18"/>
  <c r="R2388" i="18"/>
  <c r="R2387" i="18"/>
  <c r="R2386" i="18"/>
  <c r="R2385" i="18"/>
  <c r="R4126" i="18"/>
  <c r="R2384" i="18"/>
  <c r="R2383" i="18"/>
  <c r="R2382" i="18"/>
  <c r="R3143" i="18"/>
  <c r="R2381" i="18"/>
  <c r="R3661" i="18"/>
  <c r="R3142" i="18"/>
  <c r="R2380" i="18"/>
  <c r="R2379" i="18"/>
  <c r="R1457" i="18"/>
  <c r="R1062" i="18"/>
  <c r="R5449" i="18"/>
  <c r="R3660" i="18"/>
  <c r="R3659" i="18"/>
  <c r="R2112" i="18"/>
  <c r="R4125" i="18"/>
  <c r="R1156" i="18"/>
  <c r="R4124" i="18"/>
  <c r="R1456" i="18"/>
  <c r="R3658" i="18"/>
  <c r="R1455" i="18"/>
  <c r="R4123" i="18"/>
  <c r="R5448" i="18"/>
  <c r="R1061" i="18"/>
  <c r="R3657" i="18"/>
  <c r="R3656" i="18"/>
  <c r="R2378" i="18"/>
  <c r="R1155" i="18"/>
  <c r="R2377" i="18"/>
  <c r="R2376" i="18"/>
  <c r="R2375" i="18"/>
  <c r="R4122" i="18"/>
  <c r="R3655" i="18"/>
  <c r="R3141" i="18"/>
  <c r="R1350" i="18"/>
  <c r="R401" i="18"/>
  <c r="R504" i="18"/>
  <c r="R3140" i="18"/>
  <c r="R1454" i="18"/>
  <c r="R1453" i="18"/>
  <c r="R2374" i="18"/>
  <c r="R2373" i="18"/>
  <c r="R5042" i="18"/>
  <c r="R1452" i="18"/>
  <c r="R3139" i="18"/>
  <c r="R5041" i="18"/>
  <c r="R2372" i="18"/>
  <c r="R5634" i="18"/>
  <c r="R3654" i="18"/>
  <c r="R1260" i="18"/>
  <c r="R2371" i="18"/>
  <c r="R2370" i="18"/>
  <c r="R3138" i="18"/>
  <c r="R906" i="18"/>
  <c r="R4121" i="18"/>
  <c r="R4120" i="18"/>
  <c r="R811" i="18"/>
  <c r="R5040" i="18"/>
  <c r="R3137" i="18"/>
  <c r="R2369" i="18"/>
  <c r="R3653" i="18"/>
  <c r="R2368" i="18"/>
  <c r="R4119" i="18"/>
  <c r="R2367" i="18"/>
  <c r="R810" i="18"/>
  <c r="R2366" i="18"/>
  <c r="R3136" i="18"/>
  <c r="R3135" i="18"/>
  <c r="R2365" i="18"/>
  <c r="R2364" i="18"/>
  <c r="R905" i="18"/>
  <c r="R2363" i="18"/>
  <c r="R4118" i="18"/>
  <c r="R2362" i="18"/>
  <c r="R5633" i="18"/>
  <c r="R3134" i="18"/>
  <c r="R5632" i="18"/>
  <c r="R809" i="18"/>
  <c r="R4117" i="18"/>
  <c r="R5039" i="18"/>
  <c r="R5038" i="18"/>
  <c r="R196" i="18"/>
  <c r="R3133" i="18"/>
  <c r="R5037" i="18"/>
  <c r="R4116" i="18"/>
  <c r="R716" i="18"/>
  <c r="R4115" i="18"/>
  <c r="R1259" i="18"/>
  <c r="R4114" i="18"/>
  <c r="R2361" i="18"/>
  <c r="R1451" i="18"/>
  <c r="R990" i="18"/>
  <c r="R4113" i="18"/>
  <c r="R1154" i="18"/>
  <c r="R2360" i="18"/>
  <c r="R3652" i="18"/>
  <c r="R5572" i="18"/>
  <c r="R808" i="18"/>
  <c r="R2359" i="18"/>
  <c r="R3132" i="18"/>
  <c r="R1060" i="18"/>
  <c r="R715" i="18"/>
  <c r="R5036" i="18"/>
  <c r="R4112" i="18"/>
  <c r="R2358" i="18"/>
  <c r="R2357" i="18"/>
  <c r="R1450" i="18"/>
  <c r="R2356" i="18"/>
  <c r="R4111" i="18"/>
  <c r="R3131" i="18"/>
  <c r="R2355" i="18"/>
  <c r="R714" i="18"/>
  <c r="R5447" i="18"/>
  <c r="R2354" i="18"/>
  <c r="R904" i="18"/>
  <c r="R3130" i="18"/>
  <c r="R1449" i="18"/>
  <c r="R3651" i="18"/>
  <c r="R3650" i="18"/>
  <c r="R1448" i="18"/>
  <c r="R3129" i="18"/>
  <c r="R2353" i="18"/>
  <c r="R5631" i="18"/>
  <c r="R5035" i="18"/>
  <c r="R2352" i="18"/>
  <c r="R5630" i="18"/>
  <c r="R807" i="18"/>
  <c r="R3649" i="18"/>
  <c r="R5034" i="18"/>
  <c r="R2351" i="18"/>
  <c r="R1258" i="18"/>
  <c r="R2350" i="18"/>
  <c r="R5033" i="18"/>
  <c r="R3128" i="18"/>
  <c r="R2349" i="18"/>
  <c r="R2111" i="18"/>
  <c r="R2348" i="18"/>
  <c r="R4110" i="18"/>
  <c r="R5032" i="18"/>
  <c r="R195" i="18"/>
  <c r="R3127" i="18"/>
  <c r="R1447" i="18"/>
  <c r="R2110" i="18"/>
  <c r="R3126" i="18"/>
  <c r="R3125" i="18"/>
  <c r="R5446" i="18"/>
  <c r="R5031" i="18"/>
  <c r="R2347" i="18"/>
  <c r="R5030" i="18"/>
  <c r="R2346" i="18"/>
  <c r="R4109" i="18"/>
  <c r="R2345" i="18"/>
  <c r="R503" i="18"/>
  <c r="R3124" i="18"/>
  <c r="R2344" i="18"/>
  <c r="R903" i="18"/>
  <c r="R3123" i="18"/>
  <c r="R3122" i="18"/>
  <c r="R4108" i="18"/>
  <c r="R3648" i="18"/>
  <c r="R5029" i="18"/>
  <c r="R806" i="18"/>
  <c r="R3647" i="18"/>
  <c r="R4107" i="18"/>
  <c r="R2343" i="18"/>
  <c r="R3121" i="18"/>
  <c r="R3120" i="18"/>
  <c r="R3119" i="18"/>
  <c r="R989" i="18"/>
  <c r="R5445" i="18"/>
  <c r="R5028" i="18"/>
  <c r="R902" i="18"/>
  <c r="R2109" i="18"/>
  <c r="R321" i="18"/>
  <c r="R2342" i="18"/>
  <c r="R2108" i="18"/>
  <c r="R2341" i="18"/>
  <c r="R5027" i="18"/>
  <c r="R3118" i="18"/>
  <c r="R1257" i="18"/>
  <c r="R5444" i="18"/>
  <c r="R5443" i="18"/>
  <c r="R2340" i="18"/>
  <c r="R2339" i="18"/>
  <c r="R2338" i="18"/>
  <c r="R3646" i="18"/>
  <c r="R5026" i="18"/>
  <c r="R5442" i="18"/>
  <c r="R320" i="18"/>
  <c r="R4106" i="18"/>
  <c r="R319" i="18"/>
  <c r="R194" i="18"/>
  <c r="R5441" i="18"/>
  <c r="R4105" i="18"/>
  <c r="R3117" i="18"/>
  <c r="R2337" i="18"/>
  <c r="R5440" i="18"/>
  <c r="R2336" i="18"/>
  <c r="R5439" i="18"/>
  <c r="R4104" i="18"/>
  <c r="R3116" i="18"/>
  <c r="R1446" i="18"/>
  <c r="R713" i="18"/>
  <c r="R712" i="18"/>
  <c r="R2335" i="18"/>
  <c r="R5025" i="18"/>
  <c r="R3645" i="18"/>
  <c r="R2334" i="18"/>
  <c r="R5438" i="18"/>
  <c r="R1256" i="18"/>
  <c r="R2333" i="18"/>
  <c r="R3644" i="18"/>
  <c r="R5024" i="18"/>
  <c r="R2332" i="18"/>
  <c r="R5437" i="18"/>
  <c r="R3115" i="18"/>
  <c r="R3114" i="18"/>
  <c r="R193" i="18"/>
  <c r="R4103" i="18"/>
  <c r="R3113" i="18"/>
  <c r="R318" i="18"/>
  <c r="R3112" i="18"/>
  <c r="R5023" i="18"/>
  <c r="R4102" i="18"/>
  <c r="R3643" i="18"/>
  <c r="R5022" i="18"/>
  <c r="R3642" i="18"/>
  <c r="R3111" i="18"/>
  <c r="R4101" i="18"/>
  <c r="R805" i="18"/>
  <c r="R3641" i="18"/>
  <c r="R3640" i="18"/>
  <c r="R2107" i="18"/>
  <c r="R3639" i="18"/>
  <c r="R711" i="18"/>
  <c r="R1255" i="18"/>
  <c r="R5436" i="18"/>
  <c r="R5435" i="18"/>
  <c r="R5629" i="18"/>
  <c r="R2331" i="18"/>
  <c r="R3110" i="18"/>
  <c r="R317" i="18"/>
  <c r="R136" i="18"/>
  <c r="R5021" i="18"/>
  <c r="R5020" i="18"/>
  <c r="R3109" i="18"/>
  <c r="R4100" i="18"/>
  <c r="R901" i="18"/>
  <c r="R3108" i="18"/>
  <c r="R1349" i="18"/>
  <c r="R400" i="18"/>
  <c r="R135" i="18"/>
  <c r="R26" i="18"/>
  <c r="R3638" i="18"/>
  <c r="R316" i="18"/>
  <c r="R399" i="18"/>
  <c r="R315" i="18"/>
  <c r="R1445" i="18"/>
  <c r="R2330" i="18"/>
  <c r="R604" i="18"/>
  <c r="R5434" i="18"/>
  <c r="R5019" i="18"/>
  <c r="R2329" i="18"/>
  <c r="R3637" i="18"/>
  <c r="R710" i="18"/>
  <c r="R5433" i="18"/>
  <c r="R2328" i="18"/>
  <c r="R4099" i="18"/>
  <c r="R4098" i="18"/>
  <c r="R3636" i="18"/>
  <c r="R5018" i="18"/>
  <c r="R2327" i="18"/>
  <c r="R3635" i="18"/>
  <c r="R2326" i="18"/>
  <c r="R5017" i="18"/>
  <c r="R2325" i="18"/>
  <c r="R3634" i="18"/>
  <c r="R3107" i="18"/>
  <c r="R603" i="18"/>
  <c r="R5016" i="18"/>
  <c r="R3106" i="18"/>
  <c r="R398" i="18"/>
  <c r="R1254" i="18"/>
  <c r="R3633" i="18"/>
  <c r="R1059" i="18"/>
  <c r="R3632" i="18"/>
  <c r="R804" i="18"/>
  <c r="R2324" i="18"/>
  <c r="R3631" i="18"/>
  <c r="R3630" i="18"/>
  <c r="R2323" i="18"/>
  <c r="R2322" i="18"/>
  <c r="R1348" i="18"/>
  <c r="R900" i="18"/>
  <c r="R1058" i="18"/>
  <c r="R3629" i="18"/>
  <c r="R4097" i="18"/>
  <c r="R5015" i="18"/>
  <c r="R988" i="18"/>
  <c r="R2321" i="18"/>
  <c r="R502" i="18"/>
  <c r="R5432" i="18"/>
  <c r="R4096" i="18"/>
  <c r="R987" i="18"/>
  <c r="R1253" i="18"/>
  <c r="R501" i="18"/>
  <c r="R4095" i="18"/>
  <c r="R2320" i="18"/>
  <c r="R4094" i="18"/>
  <c r="R4093" i="18"/>
  <c r="R5014" i="18"/>
  <c r="R3105" i="18"/>
  <c r="R500" i="18"/>
  <c r="R3628" i="18"/>
  <c r="R4092" i="18"/>
  <c r="R1252" i="18"/>
  <c r="R3104" i="18"/>
  <c r="R2319" i="18"/>
  <c r="R1347" i="18"/>
  <c r="R602" i="18"/>
  <c r="R1057" i="18"/>
  <c r="R3103" i="18"/>
  <c r="R134" i="18"/>
  <c r="R2318" i="18"/>
  <c r="R3102" i="18"/>
  <c r="R5013" i="18"/>
  <c r="R5431" i="18"/>
  <c r="R709" i="18"/>
  <c r="R3627" i="18"/>
  <c r="R1346" i="18"/>
  <c r="R3101" i="18"/>
  <c r="R5012" i="18"/>
  <c r="R3626" i="18"/>
  <c r="R1251" i="18"/>
  <c r="R5011" i="18"/>
  <c r="R2317" i="18"/>
  <c r="R5430" i="18"/>
  <c r="R2316" i="18"/>
  <c r="R1250" i="18"/>
  <c r="R5010" i="18"/>
  <c r="R3100" i="18"/>
  <c r="R2315" i="18"/>
  <c r="R708" i="18"/>
  <c r="R499" i="18"/>
  <c r="R4091" i="18"/>
  <c r="R2314" i="18"/>
  <c r="R192" i="18"/>
  <c r="R5429" i="18"/>
  <c r="R3099" i="18"/>
  <c r="R1153" i="18"/>
  <c r="R2106" i="18"/>
  <c r="R2105" i="18"/>
  <c r="R5009" i="18"/>
  <c r="R4090" i="18"/>
  <c r="R3625" i="18"/>
  <c r="R3098" i="18"/>
  <c r="R3097" i="18"/>
  <c r="R3096" i="18"/>
  <c r="R498" i="18"/>
  <c r="R2313" i="18"/>
  <c r="R5008" i="18"/>
  <c r="R3095" i="18"/>
  <c r="R2312" i="18"/>
  <c r="R1152" i="18"/>
  <c r="R3624" i="18"/>
  <c r="R707" i="18"/>
  <c r="R2311" i="18"/>
  <c r="R4089" i="18"/>
  <c r="R5428" i="18"/>
  <c r="R2310" i="18"/>
  <c r="R2309" i="18"/>
  <c r="R5427" i="18"/>
  <c r="R3623" i="18"/>
  <c r="R5007" i="18"/>
  <c r="R5006" i="18"/>
  <c r="R4088" i="18"/>
  <c r="R601" i="18"/>
  <c r="R1444" i="18"/>
  <c r="R3622" i="18"/>
  <c r="R5005" i="18"/>
  <c r="R3094" i="18"/>
  <c r="R3093" i="18"/>
  <c r="R3092" i="18"/>
  <c r="R3621" i="18"/>
  <c r="R4087" i="18"/>
  <c r="R2308" i="18"/>
  <c r="R5004" i="18"/>
  <c r="R3620" i="18"/>
  <c r="R5587" i="18"/>
  <c r="R497" i="18"/>
  <c r="R496" i="18"/>
  <c r="R3619" i="18"/>
  <c r="R2307" i="18"/>
  <c r="R803" i="18"/>
  <c r="R4086" i="18"/>
  <c r="R495" i="18"/>
  <c r="R1249" i="18"/>
  <c r="R3091" i="18"/>
  <c r="R2306" i="18"/>
  <c r="R5426" i="18"/>
  <c r="R4085" i="18"/>
  <c r="R133" i="18"/>
  <c r="R314" i="18"/>
  <c r="R802" i="18"/>
  <c r="R3090" i="18"/>
  <c r="R986" i="18"/>
  <c r="R3089" i="18"/>
  <c r="R4084" i="18"/>
  <c r="R3618" i="18"/>
  <c r="R2104" i="18"/>
  <c r="R4083" i="18"/>
  <c r="R2103" i="18"/>
  <c r="R2305" i="18"/>
  <c r="R2304" i="18"/>
  <c r="R3088" i="18"/>
  <c r="R5003" i="18"/>
  <c r="R5002" i="18"/>
  <c r="R5425" i="18"/>
  <c r="R3617" i="18"/>
  <c r="R5424" i="18"/>
  <c r="R2303" i="18"/>
  <c r="R1443" i="18"/>
  <c r="R2302" i="18"/>
  <c r="R3087" i="18"/>
  <c r="R313" i="18"/>
  <c r="R5001" i="18"/>
  <c r="R5423" i="18"/>
  <c r="R3616" i="18"/>
  <c r="R4082" i="18"/>
  <c r="R2301" i="18"/>
  <c r="R3086" i="18"/>
  <c r="R4081" i="18"/>
  <c r="R1442" i="18"/>
  <c r="R494" i="18"/>
  <c r="R706" i="18"/>
  <c r="R3615" i="18"/>
  <c r="R2300" i="18"/>
  <c r="R493" i="18"/>
  <c r="R3085" i="18"/>
  <c r="R2299" i="18"/>
  <c r="R492" i="18"/>
  <c r="R5000" i="18"/>
  <c r="R985" i="18"/>
  <c r="R4999" i="18"/>
  <c r="R3084" i="18"/>
  <c r="R4080" i="18"/>
  <c r="R4998" i="18"/>
  <c r="R3083" i="18"/>
  <c r="R3614" i="18"/>
  <c r="R600" i="18"/>
  <c r="R5422" i="18"/>
  <c r="R3613" i="18"/>
  <c r="R2298" i="18"/>
  <c r="R705" i="18"/>
  <c r="R2297" i="18"/>
  <c r="R2296" i="18"/>
  <c r="R4997" i="18"/>
  <c r="R704" i="18"/>
  <c r="R2295" i="18"/>
  <c r="R4079" i="18"/>
  <c r="R4996" i="18"/>
  <c r="R491" i="18"/>
  <c r="R2294" i="18"/>
  <c r="R4078" i="18"/>
  <c r="R1441" i="18"/>
  <c r="R3082" i="18"/>
  <c r="R3081" i="18"/>
  <c r="R5421" i="18"/>
  <c r="R899" i="18"/>
  <c r="R2293" i="18"/>
  <c r="R1056" i="18"/>
  <c r="R3080" i="18"/>
  <c r="R703" i="18"/>
  <c r="R3079" i="18"/>
  <c r="R2292" i="18"/>
  <c r="R1248" i="18"/>
  <c r="R2291" i="18"/>
  <c r="R490" i="18"/>
  <c r="R898" i="18"/>
  <c r="R3612" i="18"/>
  <c r="R191" i="18"/>
  <c r="R5420" i="18"/>
  <c r="R4995" i="18"/>
  <c r="R3611" i="18"/>
  <c r="R1440" i="18"/>
  <c r="R4994" i="18"/>
  <c r="R2290" i="18"/>
  <c r="R4993" i="18"/>
  <c r="R2289" i="18"/>
  <c r="R3078" i="18"/>
  <c r="R4992" i="18"/>
  <c r="R132" i="18"/>
  <c r="R3610" i="18"/>
  <c r="R3077" i="18"/>
  <c r="R4991" i="18"/>
  <c r="R67" i="18"/>
  <c r="R2288" i="18"/>
  <c r="R2287" i="18"/>
  <c r="R3076" i="18"/>
  <c r="R4077" i="18"/>
  <c r="R1151" i="18"/>
  <c r="R2286" i="18"/>
  <c r="R599" i="18"/>
  <c r="R1439" i="18"/>
  <c r="R312" i="18"/>
  <c r="R3609" i="18"/>
  <c r="R1055" i="18"/>
  <c r="R4076" i="18"/>
  <c r="R897" i="18"/>
  <c r="R3608" i="18"/>
  <c r="R131" i="18"/>
  <c r="R3607" i="18"/>
  <c r="R3075" i="18"/>
  <c r="R5419" i="18"/>
  <c r="R3074" i="18"/>
  <c r="R4990" i="18"/>
  <c r="R4075" i="18"/>
  <c r="R3606" i="18"/>
  <c r="R1345" i="18"/>
  <c r="R2285" i="18"/>
  <c r="R4074" i="18"/>
  <c r="R1344" i="18"/>
  <c r="R489" i="18"/>
  <c r="R2284" i="18"/>
  <c r="R1247" i="18"/>
  <c r="R4073" i="18"/>
  <c r="R488" i="18"/>
  <c r="R311" i="18"/>
  <c r="R4989" i="18"/>
  <c r="R4988" i="18"/>
  <c r="R2102" i="18"/>
  <c r="R487" i="18"/>
  <c r="R4987" i="18"/>
  <c r="R486" i="18"/>
  <c r="R1246" i="18"/>
  <c r="R4986" i="18"/>
  <c r="R3073" i="18"/>
  <c r="R1438" i="18"/>
  <c r="R2283" i="18"/>
  <c r="R3072" i="18"/>
  <c r="R984" i="18"/>
  <c r="R983" i="18"/>
  <c r="R2282" i="18"/>
  <c r="R4985" i="18"/>
  <c r="R4984" i="18"/>
  <c r="R4072" i="18"/>
  <c r="R1150" i="18"/>
  <c r="R1343" i="18"/>
  <c r="R598" i="18"/>
  <c r="R66" i="18"/>
  <c r="R2281" i="18"/>
  <c r="R1437" i="18"/>
  <c r="R3071" i="18"/>
  <c r="R3070" i="18"/>
  <c r="R3605" i="18"/>
  <c r="R1149" i="18"/>
  <c r="R1245" i="18"/>
  <c r="R190" i="18"/>
  <c r="R2280" i="18"/>
  <c r="R3069" i="18"/>
  <c r="R1436" i="18"/>
  <c r="R3068" i="18"/>
  <c r="R2279" i="18"/>
  <c r="R1244" i="18"/>
  <c r="R2101" i="18"/>
  <c r="R3067" i="18"/>
  <c r="R3066" i="18"/>
  <c r="R5418" i="18"/>
  <c r="R4983" i="18"/>
  <c r="R597" i="18"/>
  <c r="R2278" i="18"/>
  <c r="R3065" i="18"/>
  <c r="R3064" i="18"/>
  <c r="R702" i="18"/>
  <c r="R2277" i="18"/>
  <c r="R701" i="18"/>
  <c r="R5628" i="18"/>
  <c r="R4071" i="18"/>
  <c r="R3604" i="18"/>
  <c r="R4070" i="18"/>
  <c r="R3063" i="18"/>
  <c r="R3062" i="18"/>
  <c r="R4069" i="18"/>
  <c r="R3061" i="18"/>
  <c r="R4068" i="18"/>
  <c r="R1054" i="18"/>
  <c r="R485" i="18"/>
  <c r="R3603" i="18"/>
  <c r="R4982" i="18"/>
  <c r="R2100" i="18"/>
  <c r="R4981" i="18"/>
  <c r="R310" i="18"/>
  <c r="R2276" i="18"/>
  <c r="R4067" i="18"/>
  <c r="R4980" i="18"/>
  <c r="R4979" i="18"/>
  <c r="R896" i="18"/>
  <c r="R4978" i="18"/>
  <c r="R2275" i="18"/>
  <c r="R484" i="18"/>
  <c r="R801" i="18"/>
  <c r="R4977" i="18"/>
  <c r="R309" i="18"/>
  <c r="R5417" i="18"/>
  <c r="R3060" i="18"/>
  <c r="R4066" i="18"/>
  <c r="R2274" i="18"/>
  <c r="R1435" i="18"/>
  <c r="R483" i="18"/>
  <c r="R4976" i="18"/>
  <c r="R3059" i="18"/>
  <c r="R3058" i="18"/>
  <c r="R982" i="18"/>
  <c r="R397" i="18"/>
  <c r="R1434" i="18"/>
  <c r="R3057" i="18"/>
  <c r="R130" i="18"/>
  <c r="R895" i="18"/>
  <c r="R981" i="18"/>
  <c r="R4975" i="18"/>
  <c r="R2273" i="18"/>
  <c r="R4974" i="18"/>
  <c r="R1342" i="18"/>
  <c r="R3602" i="18"/>
  <c r="R3056" i="18"/>
  <c r="R3055" i="18"/>
  <c r="R482" i="18"/>
  <c r="R2099" i="18"/>
  <c r="R1148" i="18"/>
  <c r="R4065" i="18"/>
  <c r="R2272" i="18"/>
  <c r="R1053" i="18"/>
  <c r="R3054" i="18"/>
  <c r="R65" i="18"/>
  <c r="R2271" i="18"/>
  <c r="R4064" i="18"/>
  <c r="R308" i="18"/>
  <c r="R700" i="18"/>
  <c r="R2270" i="18"/>
  <c r="R2269" i="18"/>
  <c r="R3053" i="18"/>
  <c r="R396" i="18"/>
  <c r="R4973" i="18"/>
  <c r="R3601" i="18"/>
  <c r="R1243" i="18"/>
  <c r="R5416" i="18"/>
  <c r="R1433" i="18"/>
  <c r="R2268" i="18"/>
  <c r="R1432" i="18"/>
  <c r="R3052" i="18"/>
  <c r="R800" i="18"/>
  <c r="R3600" i="18"/>
  <c r="R4972" i="18"/>
  <c r="R699" i="18"/>
  <c r="R2098" i="18"/>
  <c r="R2267" i="18"/>
  <c r="R596" i="18"/>
  <c r="R1052" i="18"/>
  <c r="R4971" i="18"/>
  <c r="R5627" i="18"/>
  <c r="R4063" i="18"/>
  <c r="R4062" i="18"/>
  <c r="R5626" i="18"/>
  <c r="R3051" i="18"/>
  <c r="R3050" i="18"/>
  <c r="R3049" i="18"/>
  <c r="R189" i="18"/>
  <c r="R4970" i="18"/>
  <c r="R2266" i="18"/>
  <c r="R2265" i="18"/>
  <c r="R4969" i="18"/>
  <c r="R2097" i="18"/>
  <c r="R307" i="18"/>
  <c r="R2264" i="18"/>
  <c r="R2263" i="18"/>
  <c r="R2262" i="18"/>
  <c r="R2096" i="18"/>
  <c r="R2261" i="18"/>
  <c r="R4061" i="18"/>
  <c r="R1242" i="18"/>
  <c r="R188" i="18"/>
  <c r="R3048" i="18"/>
  <c r="R1431" i="18"/>
  <c r="R4060" i="18"/>
  <c r="R4968" i="18"/>
  <c r="R2260" i="18"/>
  <c r="R4967" i="18"/>
  <c r="R4059" i="18"/>
  <c r="R4966" i="18"/>
  <c r="R4058" i="18"/>
  <c r="R3047" i="18"/>
  <c r="R3046" i="18"/>
  <c r="R306" i="18"/>
  <c r="R3045" i="18"/>
  <c r="R2259" i="18"/>
  <c r="R2095" i="18"/>
  <c r="R6" i="18"/>
  <c r="R2258" i="18"/>
  <c r="R3599" i="18"/>
  <c r="R3044" i="18"/>
  <c r="R894" i="18"/>
  <c r="R698" i="18"/>
  <c r="R4057" i="18"/>
  <c r="R4056" i="18"/>
  <c r="R129" i="18"/>
  <c r="R481" i="18"/>
  <c r="R480" i="18"/>
  <c r="R3598" i="18"/>
  <c r="R3043" i="18"/>
  <c r="R3597" i="18"/>
  <c r="R479" i="18"/>
  <c r="R1430" i="18"/>
  <c r="R2257" i="18"/>
  <c r="R4055" i="18"/>
  <c r="R3042" i="18"/>
  <c r="R1051" i="18"/>
  <c r="R799" i="18"/>
  <c r="R5415" i="18"/>
  <c r="R697" i="18"/>
  <c r="R3041" i="18"/>
  <c r="R3040" i="18"/>
  <c r="R3039" i="18"/>
  <c r="R4965" i="18"/>
  <c r="R478" i="18"/>
  <c r="R893" i="18"/>
  <c r="R5414" i="18"/>
  <c r="R3596" i="18"/>
  <c r="R4054" i="18"/>
  <c r="R64" i="18"/>
  <c r="R2256" i="18"/>
  <c r="R2094" i="18"/>
  <c r="R595" i="18"/>
  <c r="R5413" i="18"/>
  <c r="R305" i="18"/>
  <c r="R594" i="18"/>
  <c r="R2255" i="18"/>
  <c r="R4964" i="18"/>
  <c r="R3038" i="18"/>
  <c r="R25" i="18"/>
  <c r="R4053" i="18"/>
  <c r="R4963" i="18"/>
  <c r="R5412" i="18"/>
  <c r="R593" i="18"/>
  <c r="R1341" i="18"/>
  <c r="R1429" i="18"/>
  <c r="R2254" i="18"/>
  <c r="R3037" i="18"/>
  <c r="R4052" i="18"/>
  <c r="R4051" i="18"/>
  <c r="R696" i="18"/>
  <c r="R1340" i="18"/>
  <c r="R3595" i="18"/>
  <c r="R5411" i="18"/>
  <c r="R2093" i="18"/>
  <c r="R4050" i="18"/>
  <c r="R395" i="18"/>
  <c r="R4049" i="18"/>
  <c r="R3036" i="18"/>
  <c r="R3035" i="18"/>
  <c r="R2253" i="18"/>
  <c r="R4048" i="18"/>
  <c r="R3034" i="18"/>
  <c r="R4962" i="18"/>
  <c r="R304" i="18"/>
  <c r="R980" i="18"/>
  <c r="R2252" i="18"/>
  <c r="R3033" i="18"/>
  <c r="R3032" i="18"/>
  <c r="R5625" i="18"/>
  <c r="R4961" i="18"/>
  <c r="R4047" i="18"/>
  <c r="R695" i="18"/>
  <c r="R3031" i="18"/>
  <c r="R4960" i="18"/>
  <c r="R694" i="18"/>
  <c r="R2251" i="18"/>
  <c r="R2250" i="18"/>
  <c r="R4959" i="18"/>
  <c r="R3030" i="18"/>
  <c r="R2249" i="18"/>
  <c r="R4046" i="18"/>
  <c r="R4045" i="18"/>
  <c r="R4958" i="18"/>
  <c r="R4957" i="18"/>
  <c r="R3029" i="18"/>
  <c r="R3028" i="18"/>
  <c r="R477" i="18"/>
  <c r="R1050" i="18"/>
  <c r="R4044" i="18"/>
  <c r="R3027" i="18"/>
  <c r="R4956" i="18"/>
  <c r="R4043" i="18"/>
  <c r="R4955" i="18"/>
  <c r="R2248" i="18"/>
  <c r="R4954" i="18"/>
  <c r="R4042" i="18"/>
  <c r="R4041" i="18"/>
  <c r="R798" i="18"/>
  <c r="R3594" i="18"/>
  <c r="R5410" i="18"/>
  <c r="R2247" i="18"/>
  <c r="R979" i="18"/>
  <c r="R1241" i="18"/>
  <c r="R1049" i="18"/>
  <c r="R187" i="18"/>
  <c r="R693" i="18"/>
  <c r="R3026" i="18"/>
  <c r="R5409" i="18"/>
  <c r="R5408" i="18"/>
  <c r="R797" i="18"/>
  <c r="R4040" i="18"/>
  <c r="R5579" i="18"/>
  <c r="R4039" i="18"/>
  <c r="R3025" i="18"/>
  <c r="R3024" i="18"/>
  <c r="R892" i="18"/>
  <c r="R4953" i="18"/>
  <c r="R4952" i="18"/>
  <c r="R4038" i="18"/>
  <c r="R4037" i="18"/>
  <c r="R978" i="18"/>
  <c r="R2246" i="18"/>
  <c r="R1240" i="18"/>
  <c r="R977" i="18"/>
  <c r="R1048" i="18"/>
  <c r="R3023" i="18"/>
  <c r="R4951" i="18"/>
  <c r="R3593" i="18"/>
  <c r="R4036" i="18"/>
  <c r="R3592" i="18"/>
  <c r="R4035" i="18"/>
  <c r="R692" i="18"/>
  <c r="R691" i="18"/>
  <c r="R3022" i="18"/>
  <c r="R4034" i="18"/>
  <c r="R592" i="18"/>
  <c r="R891" i="18"/>
  <c r="R3021" i="18"/>
  <c r="R4033" i="18"/>
  <c r="R303" i="18"/>
  <c r="R476" i="18"/>
  <c r="R3591" i="18"/>
  <c r="R4032" i="18"/>
  <c r="R4031" i="18"/>
  <c r="R4030" i="18"/>
  <c r="R2092" i="18"/>
  <c r="R302" i="18"/>
  <c r="R4029" i="18"/>
  <c r="R890" i="18"/>
  <c r="R2091" i="18"/>
  <c r="R4028" i="18"/>
  <c r="R2245" i="18"/>
  <c r="R4027" i="18"/>
  <c r="R2090" i="18"/>
  <c r="R4950" i="18"/>
  <c r="R4949" i="18"/>
  <c r="R4026" i="18"/>
  <c r="R1339" i="18"/>
  <c r="R4948" i="18"/>
  <c r="R4947" i="18"/>
  <c r="R4946" i="18"/>
  <c r="R2244" i="18"/>
  <c r="R4945" i="18"/>
  <c r="R4944" i="18"/>
  <c r="R3590" i="18"/>
  <c r="R301" i="18"/>
  <c r="R300" i="18"/>
  <c r="R3589" i="18"/>
  <c r="R889" i="18"/>
  <c r="R3020" i="18"/>
  <c r="R3019" i="18"/>
  <c r="R4025" i="18"/>
  <c r="R4943" i="18"/>
  <c r="R3018" i="18"/>
  <c r="R4024" i="18"/>
  <c r="R475" i="18"/>
  <c r="R474" i="18"/>
  <c r="R2089" i="18"/>
  <c r="R5571" i="18"/>
  <c r="R5578" i="18"/>
  <c r="R473" i="18"/>
  <c r="R3017" i="18"/>
  <c r="R394" i="18"/>
  <c r="R5407" i="18"/>
  <c r="R1428" i="18"/>
  <c r="R5577" i="18"/>
  <c r="R472" i="18"/>
  <c r="R4942" i="18"/>
  <c r="R1427" i="18"/>
  <c r="R888" i="18"/>
  <c r="R591" i="18"/>
  <c r="R4023" i="18"/>
  <c r="R690" i="18"/>
  <c r="R2243" i="18"/>
  <c r="R4022" i="18"/>
  <c r="R3016" i="18"/>
  <c r="R3015" i="18"/>
  <c r="R299" i="18"/>
  <c r="R2242" i="18"/>
  <c r="R4021" i="18"/>
  <c r="R298" i="18"/>
  <c r="R3014" i="18"/>
  <c r="R3013" i="18"/>
  <c r="R1426" i="18"/>
  <c r="R1338" i="18"/>
  <c r="R689" i="18"/>
  <c r="R3588" i="18"/>
  <c r="R128" i="18"/>
  <c r="R4941" i="18"/>
  <c r="R887" i="18"/>
  <c r="R2241" i="18"/>
  <c r="R3587" i="18"/>
  <c r="R4020" i="18"/>
  <c r="R3012" i="18"/>
  <c r="R796" i="18"/>
  <c r="R3586" i="18"/>
  <c r="R3585" i="18"/>
  <c r="R3011" i="18"/>
  <c r="R4019" i="18"/>
  <c r="R2088" i="18"/>
  <c r="R590" i="18"/>
  <c r="R3010" i="18"/>
  <c r="R4018" i="18"/>
  <c r="R3009" i="18"/>
  <c r="R3008" i="18"/>
  <c r="R471" i="18"/>
  <c r="R1147" i="18"/>
  <c r="R4940" i="18"/>
  <c r="R470" i="18"/>
  <c r="R4017" i="18"/>
  <c r="R24" i="18"/>
  <c r="R2240" i="18"/>
  <c r="R2087" i="18"/>
  <c r="R5406" i="18"/>
  <c r="R4939" i="18"/>
  <c r="R3007" i="18"/>
  <c r="R469" i="18"/>
  <c r="R886" i="18"/>
  <c r="R297" i="18"/>
  <c r="R3006" i="18"/>
  <c r="R2239" i="18"/>
  <c r="R4938" i="18"/>
  <c r="R2086" i="18"/>
  <c r="R3005" i="18"/>
  <c r="R4937" i="18"/>
  <c r="R3004" i="18"/>
  <c r="R795" i="18"/>
  <c r="R296" i="18"/>
  <c r="R885" i="18"/>
  <c r="R3003" i="18"/>
  <c r="R2085" i="18"/>
  <c r="R2238" i="18"/>
  <c r="R4016" i="18"/>
  <c r="R3002" i="18"/>
  <c r="R4936" i="18"/>
  <c r="R3584" i="18"/>
  <c r="R4935" i="18"/>
  <c r="R3001" i="18"/>
  <c r="R3000" i="18"/>
  <c r="R4015" i="18"/>
  <c r="R186" i="18"/>
  <c r="R4934" i="18"/>
  <c r="R4014" i="18"/>
  <c r="R4933" i="18"/>
  <c r="R1047" i="18"/>
  <c r="R4013" i="18"/>
  <c r="R794" i="18"/>
  <c r="R3583" i="18"/>
  <c r="R2999" i="18"/>
  <c r="R3582" i="18"/>
  <c r="R4012" i="18"/>
  <c r="R4011" i="18"/>
  <c r="R4010" i="18"/>
  <c r="R884" i="18"/>
  <c r="R2998" i="18"/>
  <c r="R4009" i="18"/>
  <c r="R2237" i="18"/>
  <c r="R2236" i="18"/>
  <c r="R1425" i="18"/>
  <c r="R3581" i="18"/>
  <c r="R4008" i="18"/>
  <c r="R2997" i="18"/>
  <c r="R883" i="18"/>
  <c r="R63" i="18"/>
  <c r="R3580" i="18"/>
  <c r="R3579" i="18"/>
  <c r="R4932" i="18"/>
  <c r="R468" i="18"/>
  <c r="R2084" i="18"/>
  <c r="R4007" i="18"/>
  <c r="R976" i="18"/>
  <c r="R2083" i="18"/>
  <c r="R793" i="18"/>
  <c r="R2996" i="18"/>
  <c r="R295" i="18"/>
  <c r="R3578" i="18"/>
  <c r="R2995" i="18"/>
  <c r="R2994" i="18"/>
  <c r="R2993" i="18"/>
  <c r="R5405" i="18"/>
  <c r="R4006" i="18"/>
  <c r="R4005" i="18"/>
  <c r="R882" i="18"/>
  <c r="R3577" i="18"/>
  <c r="R4004" i="18"/>
  <c r="R467" i="18"/>
  <c r="R4003" i="18"/>
  <c r="R2992" i="18"/>
  <c r="R2235" i="18"/>
  <c r="R2234" i="18"/>
  <c r="R4931" i="18"/>
  <c r="R2991" i="18"/>
  <c r="R4930" i="18"/>
  <c r="R185" i="18"/>
  <c r="R23" i="18"/>
  <c r="R294" i="18"/>
  <c r="R1146" i="18"/>
  <c r="R4002" i="18"/>
  <c r="R4001" i="18"/>
  <c r="R4929" i="18"/>
  <c r="R1424" i="18"/>
  <c r="R4928" i="18"/>
  <c r="R2990" i="18"/>
  <c r="R4927" i="18"/>
  <c r="R1423" i="18"/>
  <c r="R688" i="18"/>
  <c r="R687" i="18"/>
  <c r="R589" i="18"/>
  <c r="R1239" i="18"/>
  <c r="R393" i="18"/>
  <c r="R4000" i="18"/>
  <c r="R293" i="18"/>
  <c r="R2233" i="18"/>
  <c r="R2989" i="18"/>
  <c r="R292" i="18"/>
  <c r="R2988" i="18"/>
  <c r="R2232" i="18"/>
  <c r="R2231" i="18"/>
  <c r="R4926" i="18"/>
  <c r="R127" i="18"/>
  <c r="R392" i="18"/>
  <c r="R3999" i="18"/>
  <c r="R4925" i="18"/>
  <c r="R686" i="18"/>
  <c r="R3998" i="18"/>
  <c r="R3997" i="18"/>
  <c r="R291" i="18"/>
  <c r="R62" i="18"/>
  <c r="R4924" i="18"/>
  <c r="R3996" i="18"/>
  <c r="R3576" i="18"/>
  <c r="R61" i="18"/>
  <c r="R5404" i="18"/>
  <c r="R2987" i="18"/>
  <c r="R2986" i="18"/>
  <c r="R2985" i="18"/>
  <c r="R2230" i="18"/>
  <c r="R2984" i="18"/>
  <c r="R2983" i="18"/>
  <c r="R2982" i="18"/>
  <c r="R5403" i="18"/>
  <c r="R2981" i="18"/>
  <c r="R466" i="18"/>
  <c r="R3995" i="18"/>
  <c r="R5402" i="18"/>
  <c r="R975" i="18"/>
  <c r="R5401" i="18"/>
  <c r="R290" i="18"/>
  <c r="R4923" i="18"/>
  <c r="R3994" i="18"/>
  <c r="R3993" i="18"/>
  <c r="R3992" i="18"/>
  <c r="R4922" i="18"/>
  <c r="R3991" i="18"/>
  <c r="R1145" i="18"/>
  <c r="R2229" i="18"/>
  <c r="R2980" i="18"/>
  <c r="R2228" i="18"/>
  <c r="R4921" i="18"/>
  <c r="R5400" i="18"/>
  <c r="R3990" i="18"/>
  <c r="R126" i="18"/>
  <c r="R2979" i="18"/>
  <c r="R2227" i="18"/>
  <c r="R685" i="18"/>
  <c r="R1144" i="18"/>
  <c r="R2978" i="18"/>
  <c r="R2977" i="18"/>
  <c r="R2226" i="18"/>
  <c r="R5399" i="18"/>
  <c r="R881" i="18"/>
  <c r="R974" i="18"/>
  <c r="R2225" i="18"/>
  <c r="R3575" i="18"/>
  <c r="R2976" i="18"/>
  <c r="R2975" i="18"/>
  <c r="R4920" i="18"/>
  <c r="R3989" i="18"/>
  <c r="R2974" i="18"/>
  <c r="R880" i="18"/>
  <c r="R2973" i="18"/>
  <c r="R5398" i="18"/>
  <c r="R973" i="18"/>
  <c r="R3988" i="18"/>
  <c r="R4919" i="18"/>
  <c r="R125" i="18"/>
  <c r="R2082" i="18"/>
  <c r="R4918" i="18"/>
  <c r="R3987" i="18"/>
  <c r="R289" i="18"/>
  <c r="R391" i="18"/>
  <c r="R3986" i="18"/>
  <c r="R2972" i="18"/>
  <c r="R792" i="18"/>
  <c r="R791" i="18"/>
  <c r="R5397" i="18"/>
  <c r="R4917" i="18"/>
  <c r="R2971" i="18"/>
  <c r="R3985" i="18"/>
  <c r="R4916" i="18"/>
  <c r="R124" i="18"/>
  <c r="R2970" i="18"/>
  <c r="R288" i="18"/>
  <c r="R2969" i="18"/>
  <c r="R2968" i="18"/>
  <c r="R3984" i="18"/>
  <c r="R2967" i="18"/>
  <c r="R4915" i="18"/>
  <c r="R3983" i="18"/>
  <c r="R3982" i="18"/>
  <c r="R4914" i="18"/>
  <c r="R3981" i="18"/>
  <c r="R3574" i="18"/>
  <c r="R5624" i="18"/>
  <c r="R2966" i="18"/>
  <c r="R390" i="18"/>
  <c r="R2965" i="18"/>
  <c r="R684" i="18"/>
  <c r="R3980" i="18"/>
  <c r="R123" i="18"/>
  <c r="R1337" i="18"/>
  <c r="R22" i="18"/>
  <c r="R790" i="18"/>
  <c r="R3979" i="18"/>
  <c r="R972" i="18"/>
  <c r="R3978" i="18"/>
  <c r="R3977" i="18"/>
  <c r="R3976" i="18"/>
  <c r="R789" i="18"/>
  <c r="R1422" i="18"/>
  <c r="R2964" i="18"/>
  <c r="R2224" i="18"/>
  <c r="R1143" i="18"/>
  <c r="R683" i="18"/>
  <c r="R2223" i="18"/>
  <c r="R2222" i="18"/>
  <c r="R2963" i="18"/>
  <c r="R682" i="18"/>
  <c r="R3975" i="18"/>
  <c r="R184" i="18"/>
  <c r="R1046" i="18"/>
  <c r="R2221" i="18"/>
  <c r="R2220" i="18"/>
  <c r="R5396" i="18"/>
  <c r="R5395" i="18"/>
  <c r="R588" i="18"/>
  <c r="R3974" i="18"/>
  <c r="R5623" i="18"/>
  <c r="R3573" i="18"/>
  <c r="R3973" i="18"/>
  <c r="R465" i="18"/>
  <c r="R1238" i="18"/>
  <c r="R971" i="18"/>
  <c r="R3972" i="18"/>
  <c r="R3971" i="18"/>
  <c r="R3970" i="18"/>
  <c r="R2962" i="18"/>
  <c r="R2961" i="18"/>
  <c r="R5622" i="18"/>
  <c r="R3969" i="18"/>
  <c r="R681" i="18"/>
  <c r="R1336" i="18"/>
  <c r="R3968" i="18"/>
  <c r="R3967" i="18"/>
  <c r="R3966" i="18"/>
  <c r="R3965" i="18"/>
  <c r="R464" i="18"/>
  <c r="R4913" i="18"/>
  <c r="R1421" i="18"/>
  <c r="R287" i="18"/>
  <c r="R60" i="18"/>
  <c r="R3964" i="18"/>
  <c r="R2219" i="18"/>
  <c r="R879" i="18"/>
  <c r="R389" i="18"/>
  <c r="R2960" i="18"/>
  <c r="R878" i="18"/>
  <c r="R2081" i="18"/>
  <c r="R4912" i="18"/>
  <c r="R21" i="18"/>
  <c r="R463" i="18"/>
  <c r="R3572" i="18"/>
  <c r="R2959" i="18"/>
  <c r="R286" i="18"/>
  <c r="R1237" i="18"/>
  <c r="R1420" i="18"/>
  <c r="R285" i="18"/>
  <c r="R4911" i="18"/>
  <c r="R4910" i="18"/>
  <c r="R4909" i="18"/>
  <c r="R3571" i="18"/>
  <c r="R2218" i="18"/>
  <c r="R2958" i="18"/>
  <c r="R3570" i="18"/>
  <c r="R2957" i="18"/>
  <c r="R3963" i="18"/>
  <c r="R2956" i="18"/>
  <c r="R2217" i="18"/>
  <c r="R3962" i="18"/>
  <c r="R2080" i="18"/>
  <c r="R788" i="18"/>
  <c r="R388" i="18"/>
  <c r="R2955" i="18"/>
  <c r="R4908" i="18"/>
  <c r="R3569" i="18"/>
  <c r="R680" i="18"/>
  <c r="R284" i="18"/>
  <c r="R2216" i="18"/>
  <c r="R3961" i="18"/>
  <c r="R4907" i="18"/>
  <c r="R1335" i="18"/>
  <c r="R4906" i="18"/>
  <c r="R2079" i="18"/>
  <c r="R1419" i="18"/>
  <c r="R4905" i="18"/>
  <c r="R3568" i="18"/>
  <c r="R5394" i="18"/>
  <c r="R2954" i="18"/>
  <c r="R4904" i="18"/>
  <c r="R4903" i="18"/>
  <c r="R3567" i="18"/>
  <c r="R877" i="18"/>
  <c r="R462" i="18"/>
  <c r="R679" i="18"/>
  <c r="R283" i="18"/>
  <c r="R122" i="18"/>
  <c r="R3960" i="18"/>
  <c r="R1045" i="18"/>
  <c r="R3959" i="18"/>
  <c r="R2953" i="18"/>
  <c r="R1334" i="18"/>
  <c r="R4902" i="18"/>
  <c r="R3958" i="18"/>
  <c r="R4901" i="18"/>
  <c r="R4900" i="18"/>
  <c r="R3957" i="18"/>
  <c r="R282" i="18"/>
  <c r="R3956" i="18"/>
  <c r="R3566" i="18"/>
  <c r="R3955" i="18"/>
  <c r="R4899" i="18"/>
  <c r="R3565" i="18"/>
  <c r="R1418" i="18"/>
  <c r="R970" i="18"/>
  <c r="R3954" i="18"/>
  <c r="R2215" i="18"/>
  <c r="R3564" i="18"/>
  <c r="R5393" i="18"/>
  <c r="R1236" i="18"/>
  <c r="R2078" i="18"/>
  <c r="R121" i="18"/>
  <c r="R1142" i="18"/>
  <c r="R120" i="18"/>
  <c r="R461" i="18"/>
  <c r="R119" i="18"/>
  <c r="R3563" i="18"/>
  <c r="R3953" i="18"/>
  <c r="R3952" i="18"/>
  <c r="R59" i="18"/>
  <c r="R387" i="18"/>
  <c r="R2952" i="18"/>
  <c r="R2214" i="18"/>
  <c r="R2951" i="18"/>
  <c r="R3951" i="18"/>
  <c r="R281" i="18"/>
  <c r="R3950" i="18"/>
  <c r="R4898" i="18"/>
  <c r="R4897" i="18"/>
  <c r="R3949" i="18"/>
  <c r="R2950" i="18"/>
  <c r="R5392" i="18"/>
  <c r="R3948" i="18"/>
  <c r="R1333" i="18"/>
  <c r="R1332" i="18"/>
  <c r="R3947" i="18"/>
  <c r="R2213" i="18"/>
  <c r="R3946" i="18"/>
  <c r="R4896" i="18"/>
  <c r="R3945" i="18"/>
  <c r="R4895" i="18"/>
  <c r="R1331" i="18"/>
  <c r="R4894" i="18"/>
  <c r="R2949" i="18"/>
  <c r="R2212" i="18"/>
  <c r="R1044" i="18"/>
  <c r="R2948" i="18"/>
  <c r="R3944" i="18"/>
  <c r="R3562" i="18"/>
  <c r="R2211" i="18"/>
  <c r="R4893" i="18"/>
  <c r="R2077" i="18"/>
  <c r="R5391" i="18"/>
  <c r="R4892" i="18"/>
  <c r="R2947" i="18"/>
  <c r="R5390" i="18"/>
  <c r="R460" i="18"/>
  <c r="R678" i="18"/>
  <c r="R4891" i="18"/>
  <c r="R587" i="18"/>
  <c r="R1235" i="18"/>
  <c r="R3561" i="18"/>
  <c r="R4890" i="18"/>
  <c r="R586" i="18"/>
  <c r="R3943" i="18"/>
  <c r="R3942" i="18"/>
  <c r="R4889" i="18"/>
  <c r="R3941" i="18"/>
  <c r="R3940" i="18"/>
  <c r="R2946" i="18"/>
  <c r="R2945" i="18"/>
  <c r="R3939" i="18"/>
  <c r="R4888" i="18"/>
  <c r="R1043" i="18"/>
  <c r="R4887" i="18"/>
  <c r="R118" i="18"/>
  <c r="R183" i="18"/>
  <c r="R677" i="18"/>
  <c r="R2944" i="18"/>
  <c r="R2943" i="18"/>
  <c r="R4886" i="18"/>
  <c r="R676" i="18"/>
  <c r="R675" i="18"/>
  <c r="R876" i="18"/>
  <c r="R2942" i="18"/>
  <c r="R4885" i="18"/>
  <c r="R1234" i="18"/>
  <c r="R4884" i="18"/>
  <c r="R4883" i="18"/>
  <c r="R4882" i="18"/>
  <c r="R280" i="18"/>
  <c r="R3938" i="18"/>
  <c r="R3937" i="18"/>
  <c r="R3936" i="18"/>
  <c r="R787" i="18"/>
  <c r="R3935" i="18"/>
  <c r="R3934" i="18"/>
  <c r="R459" i="18"/>
  <c r="R2941" i="18"/>
  <c r="R279" i="18"/>
  <c r="R1141" i="18"/>
  <c r="R5570" i="18"/>
  <c r="R3933" i="18"/>
  <c r="R3932" i="18"/>
  <c r="R386" i="18"/>
  <c r="R3931" i="18"/>
  <c r="R1233" i="18"/>
  <c r="R2940" i="18"/>
  <c r="R2939" i="18"/>
  <c r="R1140" i="18"/>
  <c r="R3930" i="18"/>
  <c r="R5389" i="18"/>
  <c r="R4881" i="18"/>
  <c r="R4880" i="18"/>
  <c r="R4879" i="18"/>
  <c r="R3929" i="18"/>
  <c r="R674" i="18"/>
  <c r="R117" i="18"/>
  <c r="R2938" i="18"/>
  <c r="R585" i="18"/>
  <c r="R3928" i="18"/>
  <c r="R2076" i="18"/>
  <c r="R2937" i="18"/>
  <c r="R4878" i="18"/>
  <c r="R1232" i="18"/>
  <c r="R5388" i="18"/>
  <c r="R3927" i="18"/>
  <c r="R5" i="18"/>
  <c r="R2936" i="18"/>
  <c r="R385" i="18"/>
  <c r="R2935" i="18"/>
  <c r="R3926" i="18"/>
  <c r="R2934" i="18"/>
  <c r="R2933" i="18"/>
  <c r="R58" i="18"/>
  <c r="R2932" i="18"/>
  <c r="R4877" i="18"/>
  <c r="R1417" i="18"/>
  <c r="R5387" i="18"/>
  <c r="R1416" i="18"/>
  <c r="R3560" i="18"/>
  <c r="R2210" i="18"/>
  <c r="R3925" i="18"/>
  <c r="R3924" i="18"/>
  <c r="R5386" i="18"/>
  <c r="R1042" i="18"/>
  <c r="R1415" i="18"/>
  <c r="R2209" i="18"/>
  <c r="R5385" i="18"/>
  <c r="R5384" i="18"/>
  <c r="R2931" i="18"/>
  <c r="R20" i="18"/>
  <c r="R5383" i="18"/>
  <c r="R969" i="18"/>
  <c r="R4876" i="18"/>
  <c r="R1231" i="18"/>
  <c r="R3923" i="18"/>
  <c r="R57" i="18"/>
  <c r="R2208" i="18"/>
  <c r="R458" i="18"/>
  <c r="R3559" i="18"/>
  <c r="R3558" i="18"/>
  <c r="R875" i="18"/>
  <c r="R2930" i="18"/>
  <c r="R2207" i="18"/>
  <c r="R278" i="18"/>
  <c r="R1230" i="18"/>
  <c r="R3557" i="18"/>
  <c r="R673" i="18"/>
  <c r="R2929" i="18"/>
  <c r="R1041" i="18"/>
  <c r="R1229" i="18"/>
  <c r="R2206" i="18"/>
  <c r="R584" i="18"/>
  <c r="R4875" i="18"/>
  <c r="R4874" i="18"/>
  <c r="R5621" i="18"/>
  <c r="R4873" i="18"/>
  <c r="R457" i="18"/>
  <c r="R4872" i="18"/>
  <c r="R2205" i="18"/>
  <c r="R2928" i="18"/>
  <c r="R2927" i="18"/>
  <c r="R3556" i="18"/>
  <c r="R1414" i="18"/>
  <c r="R116" i="18"/>
  <c r="R2204" i="18"/>
  <c r="R3922" i="18"/>
  <c r="R3921" i="18"/>
  <c r="R277" i="18"/>
  <c r="R2203" i="18"/>
  <c r="R2926" i="18"/>
  <c r="R276" i="18"/>
  <c r="R1228" i="18"/>
  <c r="R4871" i="18"/>
  <c r="R2925" i="18"/>
  <c r="R3555" i="18"/>
  <c r="R115" i="18"/>
  <c r="R3920" i="18"/>
  <c r="R1227" i="18"/>
  <c r="R3919" i="18"/>
  <c r="R4870" i="18"/>
  <c r="R275" i="18"/>
  <c r="R3918" i="18"/>
  <c r="R114" i="18"/>
  <c r="R4869" i="18"/>
  <c r="R3917" i="18"/>
  <c r="R4868" i="18"/>
  <c r="R1040" i="18"/>
  <c r="R1413" i="18"/>
  <c r="R1139" i="18"/>
  <c r="R2075" i="18"/>
  <c r="R5620" i="18"/>
  <c r="R3916" i="18"/>
  <c r="R2202" i="18"/>
  <c r="R3915" i="18"/>
  <c r="R3914" i="18"/>
  <c r="R874" i="18"/>
  <c r="R2924" i="18"/>
  <c r="R2923" i="18"/>
  <c r="R456" i="18"/>
  <c r="R1412" i="18"/>
  <c r="R2922" i="18"/>
  <c r="R5382" i="18"/>
  <c r="R3913" i="18"/>
  <c r="R3912" i="18"/>
  <c r="R3554" i="18"/>
  <c r="R3911" i="18"/>
  <c r="R274" i="18"/>
  <c r="R672" i="18"/>
  <c r="R3910" i="18"/>
  <c r="R873" i="18"/>
  <c r="R4867" i="18"/>
  <c r="R4866" i="18"/>
  <c r="R4865" i="18"/>
  <c r="R4864" i="18"/>
  <c r="R3909" i="18"/>
  <c r="R4863" i="18"/>
  <c r="R4862" i="18"/>
  <c r="R4861" i="18"/>
  <c r="R2921" i="18"/>
  <c r="R4860" i="18"/>
  <c r="R3908" i="18"/>
  <c r="R786" i="18"/>
  <c r="R872" i="18"/>
  <c r="R2201" i="18"/>
  <c r="R671" i="18"/>
  <c r="R5381" i="18"/>
  <c r="R273" i="18"/>
  <c r="R4859" i="18"/>
  <c r="R4858" i="18"/>
  <c r="R4857" i="18"/>
  <c r="R4856" i="18"/>
  <c r="R272" i="18"/>
  <c r="R1138" i="18"/>
  <c r="R2920" i="18"/>
  <c r="R3907" i="18"/>
  <c r="R455" i="18"/>
  <c r="R2074" i="18"/>
  <c r="R3906" i="18"/>
  <c r="R583" i="18"/>
  <c r="R2919" i="18"/>
  <c r="R271" i="18"/>
  <c r="R5619" i="18"/>
  <c r="R4855" i="18"/>
  <c r="R2918" i="18"/>
  <c r="R3553" i="18"/>
  <c r="R5380" i="18"/>
  <c r="R3552" i="18"/>
  <c r="R5379" i="18"/>
  <c r="R454" i="18"/>
  <c r="R3905" i="18"/>
  <c r="R5378" i="18"/>
  <c r="R582" i="18"/>
  <c r="R1137" i="18"/>
  <c r="R1411" i="18"/>
  <c r="R3551" i="18"/>
  <c r="R785" i="18"/>
  <c r="R2200" i="18"/>
  <c r="R453" i="18"/>
  <c r="R3904" i="18"/>
  <c r="R3550" i="18"/>
  <c r="R5569" i="18"/>
  <c r="R1410" i="18"/>
  <c r="R3903" i="18"/>
  <c r="R1226" i="18"/>
  <c r="R1225" i="18"/>
  <c r="R4854" i="18"/>
  <c r="R5377" i="18"/>
  <c r="R1409" i="18"/>
  <c r="R2917" i="18"/>
  <c r="R4853" i="18"/>
  <c r="R2916" i="18"/>
  <c r="R3902" i="18"/>
  <c r="R3549" i="18"/>
  <c r="R4852" i="18"/>
  <c r="R2915" i="18"/>
  <c r="R3901" i="18"/>
  <c r="R3900" i="18"/>
  <c r="R1408" i="18"/>
  <c r="R4851" i="18"/>
  <c r="R3899" i="18"/>
  <c r="R4850" i="18"/>
  <c r="R113" i="18"/>
  <c r="R2199" i="18"/>
  <c r="R1136" i="18"/>
  <c r="R3898" i="18"/>
  <c r="R1330" i="18"/>
  <c r="R3897" i="18"/>
  <c r="R5376" i="18"/>
  <c r="R384" i="18"/>
  <c r="R182" i="18"/>
  <c r="R1135" i="18"/>
  <c r="R270" i="18"/>
  <c r="R5618" i="18"/>
  <c r="R383" i="18"/>
  <c r="R5375" i="18"/>
  <c r="R5374" i="18"/>
  <c r="R4849" i="18"/>
  <c r="R2914" i="18"/>
  <c r="R4848" i="18"/>
  <c r="R4847" i="18"/>
  <c r="R3548" i="18"/>
  <c r="R2913" i="18"/>
  <c r="R670" i="18"/>
  <c r="R2912" i="18"/>
  <c r="R2073" i="18"/>
  <c r="R2911" i="18"/>
  <c r="R4846" i="18"/>
  <c r="R4845" i="18"/>
  <c r="R2910" i="18"/>
  <c r="R4844" i="18"/>
  <c r="R3896" i="18"/>
  <c r="R3547" i="18"/>
  <c r="R581" i="18"/>
  <c r="R4843" i="18"/>
  <c r="R4842" i="18"/>
  <c r="R56" i="18"/>
  <c r="R669" i="18"/>
  <c r="R4841" i="18"/>
  <c r="R2072" i="18"/>
  <c r="R668" i="18"/>
  <c r="R5373" i="18"/>
  <c r="R2909" i="18"/>
  <c r="R3895" i="18"/>
  <c r="R580" i="18"/>
  <c r="R871" i="18"/>
  <c r="R2908" i="18"/>
  <c r="R4840" i="18"/>
  <c r="R4839" i="18"/>
  <c r="R382" i="18"/>
  <c r="R2907" i="18"/>
  <c r="R2198" i="18"/>
  <c r="R5372" i="18"/>
  <c r="R4838" i="18"/>
  <c r="R667" i="18"/>
  <c r="R269" i="18"/>
  <c r="R3894" i="18"/>
  <c r="R579" i="18"/>
  <c r="R5371" i="18"/>
  <c r="R5370" i="18"/>
  <c r="R3893" i="18"/>
  <c r="R3892" i="18"/>
  <c r="R452" i="18"/>
  <c r="R666" i="18"/>
  <c r="R4837" i="18"/>
  <c r="R2071" i="18"/>
  <c r="R665" i="18"/>
  <c r="R5369" i="18"/>
  <c r="R5368" i="18"/>
  <c r="R5367" i="18"/>
  <c r="R181" i="18"/>
  <c r="R2906" i="18"/>
  <c r="R268" i="18"/>
  <c r="R2905" i="18"/>
  <c r="R180" i="18"/>
  <c r="R2904" i="18"/>
  <c r="R4836" i="18"/>
  <c r="R1407" i="18"/>
  <c r="R267" i="18"/>
  <c r="R266" i="18"/>
  <c r="R2197" i="18"/>
  <c r="R3546" i="18"/>
  <c r="R4835" i="18"/>
  <c r="R3891" i="18"/>
  <c r="R3890" i="18"/>
  <c r="R4834" i="18"/>
  <c r="R2903" i="18"/>
  <c r="R968" i="18"/>
  <c r="R1329" i="18"/>
  <c r="R1328" i="18"/>
  <c r="R2070" i="18"/>
  <c r="R1327" i="18"/>
  <c r="R4833" i="18"/>
  <c r="R1224" i="18"/>
  <c r="R2902" i="18"/>
  <c r="R4832" i="18"/>
  <c r="R2069" i="18"/>
  <c r="R784" i="18"/>
  <c r="R2901" i="18"/>
  <c r="R3889" i="18"/>
  <c r="R451" i="18"/>
  <c r="R112" i="18"/>
  <c r="R3888" i="18"/>
  <c r="R783" i="18"/>
  <c r="R578" i="18"/>
  <c r="R1326" i="18"/>
  <c r="R4831" i="18"/>
  <c r="R3887" i="18"/>
  <c r="R2196" i="18"/>
  <c r="R4830" i="18"/>
  <c r="R1406" i="18"/>
  <c r="R4829" i="18"/>
  <c r="R4828" i="18"/>
  <c r="R55" i="18"/>
  <c r="R4827" i="18"/>
  <c r="R450" i="18"/>
  <c r="R967" i="18"/>
  <c r="R2900" i="18"/>
  <c r="R5568" i="18"/>
  <c r="R265" i="18"/>
  <c r="R4826" i="18"/>
  <c r="R4825" i="18"/>
  <c r="R5617" i="18"/>
  <c r="R1223" i="18"/>
  <c r="R449" i="18"/>
  <c r="R5366" i="18"/>
  <c r="R3545" i="18"/>
  <c r="R1325" i="18"/>
  <c r="R2899" i="18"/>
  <c r="R577" i="18"/>
  <c r="R5365" i="18"/>
  <c r="R2898" i="18"/>
  <c r="R3886" i="18"/>
  <c r="R264" i="18"/>
  <c r="R448" i="18"/>
  <c r="R1222" i="18"/>
  <c r="R2897" i="18"/>
  <c r="R1405" i="18"/>
  <c r="R2896" i="18"/>
  <c r="R263" i="18"/>
  <c r="R4824" i="18"/>
  <c r="R576" i="18"/>
  <c r="R2895" i="18"/>
  <c r="R4823" i="18"/>
  <c r="R262" i="18"/>
  <c r="R1221" i="18"/>
  <c r="R5364" i="18"/>
  <c r="R3885" i="18"/>
  <c r="R2894" i="18"/>
  <c r="R1039" i="18"/>
  <c r="R3884" i="18"/>
  <c r="R5363" i="18"/>
  <c r="R4822" i="18"/>
  <c r="R2195" i="18"/>
  <c r="R5362" i="18"/>
  <c r="R966" i="18"/>
  <c r="R3883" i="18"/>
  <c r="R1038" i="18"/>
  <c r="R179" i="18"/>
  <c r="R3882" i="18"/>
  <c r="R2893" i="18"/>
  <c r="R4821" i="18"/>
  <c r="R5616" i="18"/>
  <c r="R575" i="18"/>
  <c r="R2892" i="18"/>
  <c r="R5361" i="18"/>
  <c r="R782" i="18"/>
  <c r="R4820" i="18"/>
  <c r="R2891" i="18"/>
  <c r="R1037" i="18"/>
  <c r="R4819" i="18"/>
  <c r="R2890" i="18"/>
  <c r="R3881" i="18"/>
  <c r="R3880" i="18"/>
  <c r="R5360" i="18"/>
  <c r="R261" i="18"/>
  <c r="R4818" i="18"/>
  <c r="R111" i="18"/>
  <c r="R5359" i="18"/>
  <c r="R2068" i="18"/>
  <c r="R5358" i="18"/>
  <c r="R2889" i="18"/>
  <c r="R4817" i="18"/>
  <c r="R5357" i="18"/>
  <c r="R260" i="18"/>
  <c r="R4816" i="18"/>
  <c r="R781" i="18"/>
  <c r="R4" i="18"/>
  <c r="R3544" i="18"/>
  <c r="R5356" i="18"/>
  <c r="R5355" i="18"/>
  <c r="R3879" i="18"/>
  <c r="R3878" i="18"/>
  <c r="R3877" i="18"/>
  <c r="R3876" i="18"/>
  <c r="R4815" i="18"/>
  <c r="R2888" i="18"/>
  <c r="R1324" i="18"/>
  <c r="R5354" i="18"/>
  <c r="R5353" i="18"/>
  <c r="R870" i="18"/>
  <c r="R3543" i="18"/>
  <c r="R259" i="18"/>
  <c r="R4814" i="18"/>
  <c r="R447" i="18"/>
  <c r="R2194" i="18"/>
  <c r="R2067" i="18"/>
  <c r="R4813" i="18"/>
  <c r="R3875" i="18"/>
  <c r="R2193" i="18"/>
  <c r="R4812" i="18"/>
  <c r="R3874" i="18"/>
  <c r="R3873" i="18"/>
  <c r="R3872" i="18"/>
  <c r="R5615" i="18"/>
  <c r="R4811" i="18"/>
  <c r="R381" i="18"/>
  <c r="R965" i="18"/>
  <c r="R869" i="18"/>
  <c r="R3871" i="18"/>
  <c r="R2066" i="18"/>
  <c r="R1134" i="18"/>
  <c r="R1220" i="18"/>
  <c r="R868" i="18"/>
  <c r="R867" i="18"/>
  <c r="R1219" i="18"/>
  <c r="R4810" i="18"/>
  <c r="R3870" i="18"/>
  <c r="R1036" i="18"/>
  <c r="R4809" i="18"/>
  <c r="R2192" i="18"/>
  <c r="R446" i="18"/>
  <c r="R5352" i="18"/>
  <c r="R5351" i="18"/>
  <c r="R54" i="18"/>
  <c r="R5350" i="18"/>
  <c r="R4808" i="18"/>
  <c r="R3869" i="18"/>
  <c r="R2887" i="18"/>
  <c r="R3868" i="18"/>
  <c r="R380" i="18"/>
  <c r="R5349" i="18"/>
  <c r="R5348" i="18"/>
  <c r="R5347" i="18"/>
  <c r="R4807" i="18"/>
  <c r="R258" i="18"/>
  <c r="R4806" i="18"/>
  <c r="R4805" i="18"/>
  <c r="R445" i="18"/>
  <c r="R4804" i="18"/>
  <c r="R2191" i="18"/>
  <c r="R4803" i="18"/>
  <c r="R5346" i="18"/>
  <c r="R1323" i="18"/>
  <c r="R964" i="18"/>
  <c r="R5345" i="18"/>
  <c r="R1404" i="18"/>
  <c r="R4802" i="18"/>
  <c r="R19" i="18"/>
  <c r="R3542" i="18"/>
  <c r="R664" i="18"/>
  <c r="R3867" i="18"/>
  <c r="R2065" i="18"/>
  <c r="R663" i="18"/>
  <c r="R110" i="18"/>
  <c r="R5344" i="18"/>
  <c r="R5343" i="18"/>
  <c r="R4801" i="18"/>
  <c r="R3866" i="18"/>
  <c r="R3865" i="18"/>
  <c r="R4800" i="18"/>
  <c r="R4799" i="18"/>
  <c r="R4798" i="18"/>
  <c r="R5342" i="18"/>
  <c r="R5341" i="18"/>
  <c r="R866" i="18"/>
  <c r="R5340" i="18"/>
  <c r="R5339" i="18"/>
  <c r="R5567" i="18"/>
  <c r="R5338" i="18"/>
  <c r="R3864" i="18"/>
  <c r="R780" i="18"/>
  <c r="R1035" i="18"/>
  <c r="R1403" i="18"/>
  <c r="R1322" i="18"/>
  <c r="R4797" i="18"/>
  <c r="R2886" i="18"/>
  <c r="R4796" i="18"/>
  <c r="R4795" i="18"/>
  <c r="R4794" i="18"/>
  <c r="R2190" i="18"/>
  <c r="R3863" i="18"/>
  <c r="R109" i="18"/>
  <c r="R108" i="18"/>
  <c r="R5337" i="18"/>
  <c r="R5336" i="18"/>
  <c r="R2189" i="18"/>
  <c r="R2188" i="18"/>
  <c r="R4793" i="18"/>
  <c r="R3862" i="18"/>
  <c r="R178" i="18"/>
  <c r="R4792" i="18"/>
  <c r="R4791" i="18"/>
  <c r="R3861" i="18"/>
  <c r="R779" i="18"/>
  <c r="R4790" i="18"/>
  <c r="R257" i="18"/>
  <c r="R3860" i="18"/>
  <c r="R3859" i="18"/>
  <c r="R3858" i="18"/>
  <c r="R4789" i="18"/>
  <c r="R2885" i="18"/>
  <c r="R1133" i="18"/>
  <c r="R5335" i="18"/>
  <c r="R5334" i="18"/>
  <c r="R778" i="18"/>
  <c r="R1132" i="18"/>
  <c r="R107" i="18"/>
  <c r="R444" i="18"/>
  <c r="R1131" i="18"/>
  <c r="R5333" i="18"/>
  <c r="R4788" i="18"/>
  <c r="R5332" i="18"/>
  <c r="R379" i="18"/>
  <c r="R4787" i="18"/>
  <c r="R2884" i="18"/>
  <c r="R106" i="18"/>
  <c r="R963" i="18"/>
  <c r="R3857" i="18"/>
  <c r="R1130" i="18"/>
  <c r="R4786" i="18"/>
  <c r="R962" i="18"/>
  <c r="R1321" i="18"/>
  <c r="R3856" i="18"/>
  <c r="R2187" i="18"/>
  <c r="R5331" i="18"/>
  <c r="R105" i="18"/>
  <c r="R4785" i="18"/>
  <c r="R5330" i="18"/>
  <c r="R4784" i="18"/>
  <c r="R865" i="18"/>
  <c r="R177" i="18"/>
  <c r="R4783" i="18"/>
  <c r="R4782" i="18"/>
  <c r="R1218" i="18"/>
  <c r="R4781" i="18"/>
  <c r="R104" i="18"/>
  <c r="R4780" i="18"/>
  <c r="R5329" i="18"/>
  <c r="R961" i="18"/>
  <c r="R3855" i="18"/>
  <c r="R3854" i="18"/>
  <c r="R5614" i="18"/>
  <c r="R5328" i="18"/>
  <c r="R53" i="18"/>
  <c r="R4779" i="18"/>
  <c r="R176" i="18"/>
  <c r="R1320" i="18"/>
  <c r="R5327" i="18"/>
  <c r="R2186" i="18"/>
  <c r="R4778" i="18"/>
  <c r="R1217" i="18"/>
  <c r="R1402" i="18"/>
  <c r="R3853" i="18"/>
  <c r="R5613" i="18"/>
  <c r="R1319" i="18"/>
  <c r="R3541" i="18"/>
  <c r="R3852" i="18"/>
  <c r="R1129" i="18"/>
  <c r="R3851" i="18"/>
  <c r="R5326" i="18"/>
  <c r="R3" i="18"/>
  <c r="R2064" i="18"/>
  <c r="R1401" i="18"/>
  <c r="R3850" i="18"/>
  <c r="R5325" i="18"/>
  <c r="R18" i="18"/>
  <c r="R3849" i="18"/>
  <c r="R443" i="18"/>
  <c r="R256" i="18"/>
  <c r="R5324" i="18"/>
  <c r="R4777" i="18"/>
  <c r="R3540" i="18"/>
  <c r="R5323" i="18"/>
  <c r="R3848" i="18"/>
  <c r="R103" i="18"/>
  <c r="R3539" i="18"/>
  <c r="R2185" i="18"/>
  <c r="R3847" i="18"/>
  <c r="R3846" i="18"/>
  <c r="R4776" i="18"/>
  <c r="R4775" i="18"/>
  <c r="R4774" i="18"/>
  <c r="R4773" i="18"/>
  <c r="R3845" i="18"/>
  <c r="R662" i="18"/>
  <c r="R4772" i="18"/>
  <c r="R864" i="18"/>
  <c r="R4771" i="18"/>
  <c r="R863" i="18"/>
  <c r="R4770" i="18"/>
  <c r="R5612" i="18"/>
  <c r="R5611" i="18"/>
  <c r="R4769" i="18"/>
  <c r="R4768" i="18"/>
  <c r="R5610" i="18"/>
  <c r="R5322" i="18"/>
  <c r="R1318" i="18"/>
  <c r="R4767" i="18"/>
  <c r="R4766" i="18"/>
  <c r="R3844" i="18"/>
  <c r="R4765" i="18"/>
  <c r="R4764" i="18"/>
  <c r="R1216" i="18"/>
  <c r="R1317" i="18"/>
  <c r="R4763" i="18"/>
  <c r="R442" i="18"/>
  <c r="R4762" i="18"/>
  <c r="R2883" i="18"/>
  <c r="R5321" i="18"/>
  <c r="R3843" i="18"/>
  <c r="R5320" i="18"/>
  <c r="R2882" i="18"/>
  <c r="R255" i="18"/>
  <c r="R3842" i="18"/>
  <c r="R862" i="18"/>
  <c r="R4761" i="18"/>
  <c r="R3841" i="18"/>
  <c r="R4760" i="18"/>
  <c r="R777" i="18"/>
  <c r="R17" i="18"/>
  <c r="R3840" i="18"/>
  <c r="R1400" i="18"/>
  <c r="R175" i="18"/>
  <c r="R3839" i="18"/>
  <c r="R861" i="18"/>
  <c r="R4759" i="18"/>
  <c r="R4758" i="18"/>
  <c r="R254" i="18"/>
  <c r="R5319" i="18"/>
  <c r="R3538" i="18"/>
  <c r="R3838" i="18"/>
  <c r="R776" i="18"/>
  <c r="R1215" i="18"/>
  <c r="R5318" i="18"/>
  <c r="R253" i="18"/>
  <c r="R661" i="18"/>
  <c r="R2881" i="18"/>
  <c r="R4757" i="18"/>
  <c r="R4756" i="18"/>
  <c r="R4755" i="18"/>
  <c r="R4754" i="18"/>
  <c r="R5317" i="18"/>
  <c r="R102" i="18"/>
  <c r="R3837" i="18"/>
  <c r="R5316" i="18"/>
  <c r="R252" i="18"/>
  <c r="R4753" i="18"/>
  <c r="R2184" i="18"/>
  <c r="R4752" i="18"/>
  <c r="R5315" i="18"/>
  <c r="R4751" i="18"/>
  <c r="R5314" i="18"/>
  <c r="R5313" i="18"/>
  <c r="R3836" i="18"/>
  <c r="R4750" i="18"/>
  <c r="R660" i="18"/>
  <c r="R4749" i="18"/>
  <c r="R3835" i="18"/>
  <c r="R2880" i="18"/>
  <c r="R574" i="18"/>
  <c r="R5312" i="18"/>
  <c r="R2879" i="18"/>
  <c r="R5311" i="18"/>
  <c r="R659" i="18"/>
  <c r="R2878" i="18"/>
  <c r="R4748" i="18"/>
  <c r="R378" i="18"/>
  <c r="R2877" i="18"/>
  <c r="R4747" i="18"/>
  <c r="R3834" i="18"/>
  <c r="R5310" i="18"/>
  <c r="R5309" i="18"/>
  <c r="R3833" i="18"/>
  <c r="R3832" i="18"/>
  <c r="R4746" i="18"/>
  <c r="R5308" i="18"/>
  <c r="R101" i="18"/>
  <c r="R4745" i="18"/>
  <c r="R3831" i="18"/>
  <c r="R1316" i="18"/>
  <c r="R1128" i="18"/>
  <c r="R52" i="18"/>
  <c r="R3830" i="18"/>
  <c r="R4744" i="18"/>
  <c r="R1315" i="18"/>
  <c r="R4743" i="18"/>
  <c r="R5307" i="18"/>
  <c r="R377" i="18"/>
  <c r="R1314" i="18"/>
  <c r="R658" i="18"/>
  <c r="R3829" i="18"/>
  <c r="R5306" i="18"/>
  <c r="R5305" i="18"/>
  <c r="R441" i="18"/>
  <c r="R860" i="18"/>
  <c r="R5304" i="18"/>
  <c r="R4742" i="18"/>
  <c r="R5303" i="18"/>
  <c r="R251" i="18"/>
  <c r="R3828" i="18"/>
  <c r="R4741" i="18"/>
  <c r="R859" i="18"/>
  <c r="R5609" i="18"/>
  <c r="R4740" i="18"/>
  <c r="R4739" i="18"/>
  <c r="R4738" i="18"/>
  <c r="R4737" i="18"/>
  <c r="R250" i="18"/>
  <c r="R4736" i="18"/>
  <c r="R249" i="18"/>
  <c r="R4735" i="18"/>
  <c r="R4734" i="18"/>
  <c r="R4733" i="18"/>
  <c r="R5302" i="18"/>
  <c r="R4732" i="18"/>
  <c r="R4731" i="18"/>
  <c r="R5301" i="18"/>
  <c r="R2183" i="18"/>
  <c r="R1127" i="18"/>
  <c r="R5300" i="18"/>
  <c r="R2182" i="18"/>
  <c r="R5299" i="18"/>
  <c r="R4730" i="18"/>
  <c r="R3827" i="18"/>
  <c r="R174" i="18"/>
  <c r="R3826" i="18"/>
  <c r="R2181" i="18"/>
  <c r="R3825" i="18"/>
  <c r="R1034" i="18"/>
  <c r="R1126" i="18"/>
  <c r="R2876" i="18"/>
  <c r="R1214" i="18"/>
  <c r="R5298" i="18"/>
  <c r="R100" i="18"/>
  <c r="R1399" i="18"/>
  <c r="R573" i="18"/>
  <c r="R5297" i="18"/>
  <c r="R5296" i="18"/>
  <c r="R5295" i="18"/>
  <c r="R2875" i="18"/>
  <c r="R99" i="18"/>
  <c r="R5294" i="18"/>
  <c r="R173" i="18"/>
  <c r="R5293" i="18"/>
  <c r="R4729" i="18"/>
  <c r="R5292" i="18"/>
  <c r="R2" i="18"/>
  <c r="R858" i="18"/>
  <c r="R775" i="18"/>
  <c r="R1033" i="18"/>
  <c r="R857" i="18"/>
  <c r="R16" i="18"/>
  <c r="R4728" i="18"/>
  <c r="R1398" i="18"/>
  <c r="R1213" i="18"/>
  <c r="R172" i="18"/>
  <c r="R440" i="18"/>
  <c r="R657" i="18"/>
  <c r="R4727" i="18"/>
  <c r="R248" i="18"/>
  <c r="R656" i="18"/>
  <c r="R4726" i="18"/>
  <c r="R5585" i="18"/>
  <c r="R376" i="18"/>
  <c r="R4725" i="18"/>
  <c r="R3824" i="18"/>
  <c r="R1313" i="18"/>
  <c r="R5291" i="18"/>
  <c r="R2180" i="18"/>
  <c r="R3823" i="18"/>
  <c r="R4724" i="18"/>
  <c r="R4723" i="18"/>
  <c r="R4722" i="18"/>
  <c r="R1397" i="18"/>
  <c r="R4721" i="18"/>
  <c r="R4720" i="18"/>
  <c r="R4719" i="18"/>
  <c r="R774" i="18"/>
  <c r="R572" i="18"/>
  <c r="R5290" i="18"/>
  <c r="R4718" i="18"/>
  <c r="R3822" i="18"/>
  <c r="R4717" i="18"/>
  <c r="R15" i="18"/>
  <c r="R5289" i="18"/>
  <c r="R5288" i="18"/>
  <c r="R4716" i="18"/>
  <c r="R4715" i="18"/>
  <c r="R4714" i="18"/>
  <c r="R2874" i="18"/>
  <c r="R4713" i="18"/>
  <c r="R5287" i="18"/>
  <c r="R5286" i="18"/>
  <c r="R5285" i="18"/>
  <c r="R5284" i="18"/>
  <c r="R4712" i="18"/>
  <c r="R5283" i="18"/>
  <c r="R5282" i="18"/>
  <c r="R655" i="18"/>
  <c r="R773" i="18"/>
  <c r="R2179" i="18"/>
  <c r="R3821" i="18"/>
  <c r="R247" i="18"/>
  <c r="R5281" i="18"/>
  <c r="R5280" i="18"/>
  <c r="R5279" i="18"/>
  <c r="R2873" i="18"/>
  <c r="R2872" i="18"/>
  <c r="R4711" i="18"/>
  <c r="R5608" i="18"/>
  <c r="R4710" i="18"/>
  <c r="R5607" i="18"/>
  <c r="R4709" i="18"/>
  <c r="R4708" i="18"/>
  <c r="R4707" i="18"/>
  <c r="R4706" i="18"/>
  <c r="R4705" i="18"/>
  <c r="R4704" i="18"/>
  <c r="R856" i="18"/>
  <c r="R4703" i="18"/>
  <c r="R439" i="18"/>
  <c r="R4702" i="18"/>
  <c r="R4701" i="18"/>
  <c r="R98" i="18"/>
  <c r="R4700" i="18"/>
  <c r="R4699" i="18"/>
  <c r="R4698" i="18"/>
  <c r="R2871" i="18"/>
  <c r="R4697" i="18"/>
  <c r="R5278" i="18"/>
  <c r="R1212" i="18"/>
  <c r="R3820" i="18"/>
  <c r="R5277" i="18"/>
  <c r="R97" i="18"/>
  <c r="R5276" i="18"/>
  <c r="R1211" i="18"/>
  <c r="R1125" i="18"/>
  <c r="R5275" i="18"/>
  <c r="R4696" i="18"/>
  <c r="R438" i="18"/>
  <c r="R960" i="18"/>
  <c r="R5274" i="18"/>
  <c r="R4695" i="18"/>
  <c r="R1032" i="18"/>
  <c r="R3819" i="18"/>
  <c r="R959" i="18"/>
  <c r="R3818" i="18"/>
  <c r="R5606" i="18"/>
  <c r="R2870" i="18"/>
  <c r="R4694" i="18"/>
  <c r="R772" i="18"/>
  <c r="R3817" i="18"/>
  <c r="R51" i="18"/>
  <c r="R2178" i="18"/>
  <c r="R5273" i="18"/>
  <c r="R3816" i="18"/>
  <c r="R3815" i="18"/>
  <c r="R1210" i="18"/>
  <c r="R4693" i="18"/>
  <c r="R4692" i="18"/>
  <c r="R5272" i="18"/>
  <c r="R5271" i="18"/>
  <c r="R3814" i="18"/>
  <c r="R3813" i="18"/>
  <c r="R4691" i="18"/>
  <c r="R437" i="18"/>
  <c r="R4690" i="18"/>
  <c r="R171" i="18"/>
  <c r="R436" i="18"/>
  <c r="R3812" i="18"/>
  <c r="R5270" i="18"/>
  <c r="R5269" i="18"/>
  <c r="R5268" i="18"/>
  <c r="R4689" i="18"/>
  <c r="R96" i="18"/>
  <c r="R4688" i="18"/>
  <c r="R654" i="18"/>
  <c r="R2869" i="18"/>
  <c r="R958" i="18"/>
  <c r="R170" i="18"/>
  <c r="R4687" i="18"/>
  <c r="R4686" i="18"/>
  <c r="R4685" i="18"/>
  <c r="R4684" i="18"/>
  <c r="R4683" i="18"/>
  <c r="R435" i="18"/>
  <c r="R434" i="18"/>
  <c r="R4682" i="18"/>
  <c r="R1031" i="18"/>
  <c r="R855" i="18"/>
  <c r="R1124" i="18"/>
  <c r="R375" i="18"/>
  <c r="R5267" i="18"/>
  <c r="R2063" i="18"/>
  <c r="R3811" i="18"/>
  <c r="R771" i="18"/>
  <c r="R4681" i="18"/>
  <c r="R5266" i="18"/>
  <c r="R5265" i="18"/>
  <c r="R571" i="18"/>
  <c r="R5264" i="18"/>
  <c r="R2177" i="18"/>
  <c r="R1312" i="18"/>
  <c r="R4680" i="18"/>
  <c r="R2868" i="18"/>
  <c r="R4679" i="18"/>
  <c r="R5263" i="18"/>
  <c r="R4678" i="18"/>
  <c r="R5584" i="18"/>
  <c r="R4677" i="18"/>
  <c r="R5262" i="18"/>
  <c r="R5261" i="18"/>
  <c r="R5260" i="18"/>
  <c r="R653" i="18"/>
  <c r="R5605" i="18"/>
  <c r="R433" i="18"/>
  <c r="R2867" i="18"/>
  <c r="R4676" i="18"/>
  <c r="R5259" i="18"/>
  <c r="R4675" i="18"/>
  <c r="R4674" i="18"/>
  <c r="R4673" i="18"/>
  <c r="R5258" i="18"/>
  <c r="R4672" i="18"/>
  <c r="R3810" i="18"/>
  <c r="R4671" i="18"/>
  <c r="R4670" i="18"/>
  <c r="R4669" i="18"/>
  <c r="R4668" i="18"/>
  <c r="R4667" i="18"/>
  <c r="R4666" i="18"/>
  <c r="R4665" i="18"/>
  <c r="R4664" i="18"/>
  <c r="R4663" i="18"/>
  <c r="R4662" i="18"/>
  <c r="R4661" i="18"/>
  <c r="R4660" i="18"/>
  <c r="R4659" i="18"/>
  <c r="R4658" i="18"/>
  <c r="R4657" i="18"/>
  <c r="R4656" i="18"/>
  <c r="R4655" i="18"/>
  <c r="R4654" i="18"/>
  <c r="R4653" i="18"/>
  <c r="R4652" i="18"/>
  <c r="R4651" i="18"/>
  <c r="R4650" i="18"/>
  <c r="R4649" i="18"/>
  <c r="R3537" i="18"/>
  <c r="R4648" i="18"/>
  <c r="R4647" i="18"/>
  <c r="R4646" i="18"/>
  <c r="R4645" i="18"/>
  <c r="R4644" i="18"/>
  <c r="R4643" i="18"/>
  <c r="R4642" i="18"/>
  <c r="R4641" i="18"/>
  <c r="R4640" i="18"/>
  <c r="R4639" i="18"/>
  <c r="R4638" i="18"/>
  <c r="R4637" i="18"/>
  <c r="R4636" i="18"/>
  <c r="R4635" i="18"/>
  <c r="R4634" i="18"/>
  <c r="R570" i="18"/>
  <c r="R4633" i="18"/>
  <c r="R4632" i="18"/>
  <c r="R4631" i="18"/>
  <c r="R4630" i="18"/>
  <c r="R4629" i="18"/>
  <c r="R4628" i="18"/>
  <c r="R4627" i="18"/>
  <c r="R4626" i="18"/>
  <c r="R4625" i="18"/>
  <c r="R3809" i="18"/>
  <c r="R4624" i="18"/>
  <c r="R4623" i="18"/>
  <c r="R1209" i="18"/>
  <c r="R569" i="18"/>
  <c r="R246" i="18"/>
  <c r="R245" i="18"/>
  <c r="R957" i="18"/>
  <c r="R4622" i="18"/>
  <c r="R5257" i="18"/>
  <c r="R4621" i="18"/>
  <c r="R4620" i="18"/>
  <c r="R432" i="18"/>
  <c r="R4619" i="18"/>
  <c r="R244" i="18"/>
  <c r="R4618" i="18"/>
  <c r="R5256" i="18"/>
  <c r="R3808" i="18"/>
  <c r="R854" i="18"/>
  <c r="R4617" i="18"/>
  <c r="R4616" i="18"/>
  <c r="R3536" i="18"/>
  <c r="R4615" i="18"/>
  <c r="R4614" i="18"/>
  <c r="R4613" i="18"/>
  <c r="R4612" i="18"/>
  <c r="R5255" i="18"/>
  <c r="R5254" i="18"/>
  <c r="R2176" i="18"/>
  <c r="R4611" i="18"/>
  <c r="R3807" i="18"/>
  <c r="R4610" i="18"/>
  <c r="R4609" i="18"/>
  <c r="R5253" i="18"/>
  <c r="R770" i="18"/>
  <c r="R4608" i="18"/>
  <c r="R1123" i="18"/>
  <c r="R5252" i="18"/>
  <c r="R4607" i="18"/>
  <c r="R4606" i="18"/>
  <c r="R4605" i="18"/>
  <c r="R4604" i="18"/>
  <c r="R3806" i="18"/>
  <c r="R4603" i="18"/>
  <c r="R1122" i="18"/>
  <c r="R4602" i="18"/>
  <c r="R374" i="18"/>
  <c r="R4601" i="18"/>
  <c r="R2175" i="18"/>
  <c r="R4600" i="18"/>
  <c r="R4599" i="18"/>
  <c r="R652" i="18"/>
  <c r="R4598" i="18"/>
  <c r="R4597" i="18"/>
  <c r="R50" i="18"/>
  <c r="R1396" i="18"/>
  <c r="R3805" i="18"/>
  <c r="R5251" i="18"/>
  <c r="R4596" i="18"/>
  <c r="R243" i="18"/>
  <c r="R4595" i="18"/>
  <c r="R169" i="18"/>
  <c r="R242" i="18"/>
  <c r="R49" i="18"/>
  <c r="R4594" i="18"/>
  <c r="R14" i="18"/>
  <c r="R1395" i="18"/>
  <c r="R4593" i="18"/>
  <c r="R95" i="18"/>
  <c r="R4592" i="18"/>
  <c r="R5250" i="18"/>
  <c r="R2062" i="18"/>
  <c r="R4591" i="18"/>
  <c r="R4590" i="18"/>
  <c r="R4589" i="18"/>
  <c r="R2174" i="18"/>
  <c r="R168" i="18"/>
  <c r="R5249" i="18"/>
  <c r="R5248" i="18"/>
  <c r="R5247" i="18"/>
  <c r="R769" i="18"/>
  <c r="R241" i="18"/>
  <c r="R1208" i="18"/>
  <c r="R4588" i="18"/>
  <c r="R3804" i="18"/>
  <c r="R240" i="18"/>
  <c r="R4587" i="18"/>
  <c r="R2061" i="18"/>
  <c r="R3803" i="18"/>
  <c r="R5246" i="18"/>
  <c r="R2060" i="18"/>
  <c r="R4586" i="18"/>
  <c r="R4585" i="18"/>
  <c r="R4584" i="18"/>
  <c r="R5245" i="18"/>
  <c r="R5244" i="18"/>
  <c r="R853" i="18"/>
  <c r="R4583" i="18"/>
  <c r="R852" i="18"/>
  <c r="R4582" i="18"/>
  <c r="R4581" i="18"/>
  <c r="R4580" i="18"/>
  <c r="R4579" i="18"/>
  <c r="R4578" i="18"/>
  <c r="R4577" i="18"/>
  <c r="R4576" i="18"/>
  <c r="R4575" i="18"/>
  <c r="R4574" i="18"/>
  <c r="R4573" i="18"/>
  <c r="R4572" i="18"/>
  <c r="R4571" i="18"/>
  <c r="R4570" i="18"/>
  <c r="R4569" i="18"/>
  <c r="R4568" i="18"/>
  <c r="R768" i="18"/>
  <c r="R4567" i="18"/>
  <c r="R4566" i="18"/>
  <c r="R4565" i="18"/>
  <c r="R4564" i="18"/>
  <c r="R4563" i="18"/>
  <c r="R4562" i="18"/>
  <c r="R4561" i="18"/>
  <c r="R4560" i="18"/>
  <c r="R4559" i="18"/>
  <c r="R4558" i="18"/>
  <c r="R4557" i="18"/>
  <c r="R4556" i="18"/>
  <c r="R4555" i="18"/>
  <c r="R4554" i="18"/>
  <c r="R4553" i="18"/>
  <c r="R4552" i="18"/>
  <c r="R4551" i="18"/>
  <c r="R5243" i="18"/>
  <c r="R4550" i="18"/>
  <c r="R4549" i="18"/>
  <c r="R3802" i="18"/>
  <c r="R3801" i="18"/>
  <c r="R1394" i="18"/>
  <c r="R3800" i="18"/>
  <c r="R4548" i="18"/>
  <c r="R1207" i="18"/>
  <c r="R3799" i="18"/>
  <c r="R2866" i="18"/>
  <c r="R4547" i="18"/>
  <c r="R239" i="18"/>
  <c r="R4546" i="18"/>
  <c r="R5242" i="18"/>
  <c r="R5241" i="18"/>
  <c r="R4545" i="18"/>
  <c r="R2865" i="18"/>
  <c r="R5240" i="18"/>
  <c r="R238" i="18"/>
  <c r="R4544" i="18"/>
  <c r="R5239" i="18"/>
  <c r="R4543" i="18"/>
  <c r="R3798" i="18"/>
  <c r="R4542" i="18"/>
  <c r="R4541" i="18"/>
  <c r="R956" i="18"/>
  <c r="R94" i="18"/>
  <c r="R4540" i="18"/>
  <c r="R4539" i="18"/>
  <c r="R4538" i="18"/>
  <c r="R3797" i="18"/>
  <c r="R4537" i="18"/>
  <c r="R2864" i="18"/>
  <c r="R4536" i="18"/>
  <c r="R5238" i="18"/>
  <c r="R1393" i="18"/>
  <c r="R2863" i="18"/>
  <c r="R167" i="18"/>
  <c r="R5237" i="18"/>
  <c r="R651" i="18"/>
  <c r="R4535" i="18"/>
  <c r="R4534" i="18"/>
  <c r="R4533" i="18"/>
  <c r="R5604" i="18"/>
  <c r="R4532" i="18"/>
  <c r="R4531" i="18"/>
  <c r="R4530" i="18"/>
  <c r="R4529" i="18"/>
  <c r="R4528" i="18"/>
  <c r="R2173" i="18"/>
  <c r="R1030" i="18"/>
  <c r="R1121" i="18"/>
  <c r="R5603" i="18"/>
  <c r="R2059" i="18"/>
  <c r="R1206" i="18"/>
  <c r="R48" i="18"/>
  <c r="R568" i="18"/>
  <c r="R4527" i="18"/>
  <c r="R4526" i="18"/>
  <c r="R5236" i="18"/>
  <c r="R4525" i="18"/>
  <c r="R5235" i="18"/>
  <c r="R3796" i="18"/>
  <c r="R4524" i="18"/>
  <c r="R4523" i="18"/>
  <c r="R4522" i="18"/>
  <c r="R237" i="18"/>
  <c r="R4521" i="18"/>
  <c r="R2172" i="18"/>
  <c r="R5234" i="18"/>
  <c r="R4520" i="18"/>
  <c r="R166" i="18"/>
  <c r="R1392" i="18"/>
  <c r="R767" i="18"/>
  <c r="R93" i="18"/>
  <c r="R4519" i="18"/>
  <c r="R4518" i="18"/>
  <c r="R4517" i="18"/>
  <c r="R4516" i="18"/>
  <c r="R4515" i="18"/>
  <c r="R47" i="18"/>
  <c r="R5233" i="18"/>
  <c r="R4514" i="18"/>
  <c r="R650" i="18"/>
  <c r="R4513" i="18"/>
  <c r="R4512" i="18"/>
  <c r="R3795" i="18"/>
  <c r="R4511" i="18"/>
  <c r="R5602" i="18"/>
  <c r="R4510" i="18"/>
  <c r="R3794" i="18"/>
  <c r="R236" i="18"/>
  <c r="R5232" i="18"/>
  <c r="R1205" i="18"/>
  <c r="R5231" i="18"/>
  <c r="R4509" i="18"/>
  <c r="R4508" i="18"/>
  <c r="R4507" i="18"/>
  <c r="R235" i="18"/>
  <c r="R4506" i="18"/>
  <c r="R1029" i="18"/>
  <c r="R3793" i="18"/>
  <c r="R4505" i="18"/>
  <c r="R4504" i="18"/>
  <c r="R46" i="18"/>
  <c r="R373" i="18"/>
  <c r="R234" i="18"/>
  <c r="R1028" i="18"/>
  <c r="R4503" i="18"/>
  <c r="R4502" i="18"/>
  <c r="R5230" i="18"/>
  <c r="R1204" i="18"/>
  <c r="R3792" i="18"/>
  <c r="R4501" i="18"/>
  <c r="R5229" i="18"/>
  <c r="R431" i="18"/>
  <c r="R4500" i="18"/>
  <c r="R1391" i="18"/>
  <c r="R430" i="18"/>
  <c r="R4499" i="18"/>
  <c r="R3791" i="18"/>
  <c r="R4498" i="18"/>
  <c r="R4497" i="18"/>
  <c r="R4496" i="18"/>
  <c r="R5228" i="18"/>
  <c r="R4495" i="18"/>
  <c r="R4494" i="18"/>
  <c r="R4493" i="18"/>
  <c r="R955" i="18"/>
  <c r="R4492" i="18"/>
  <c r="R4491" i="18"/>
  <c r="R5227" i="18"/>
  <c r="R4490" i="18"/>
  <c r="R5226" i="18"/>
  <c r="R5601" i="18"/>
  <c r="R4489" i="18"/>
  <c r="R1203" i="18"/>
  <c r="R4488" i="18"/>
  <c r="R4487" i="18"/>
  <c r="R4486" i="18"/>
  <c r="R4485" i="18"/>
  <c r="R4484" i="18"/>
  <c r="R3790" i="18"/>
  <c r="R4483" i="18"/>
  <c r="R4482" i="18"/>
  <c r="R4481" i="18"/>
  <c r="R4480" i="18"/>
  <c r="R4479" i="18"/>
  <c r="R4478" i="18"/>
  <c r="R4477" i="18"/>
  <c r="R4476" i="18"/>
  <c r="R4475" i="18"/>
  <c r="R4474" i="18"/>
  <c r="R4473" i="18"/>
  <c r="R4472" i="18"/>
  <c r="R4471" i="18"/>
  <c r="R4470" i="18"/>
  <c r="R233" i="18"/>
  <c r="R3789" i="18"/>
  <c r="R1390" i="18"/>
  <c r="R5600" i="18"/>
  <c r="R3788" i="18"/>
  <c r="R1389" i="18"/>
  <c r="R2862" i="18"/>
  <c r="R4469" i="18"/>
  <c r="R5225" i="18"/>
  <c r="R4468" i="18"/>
  <c r="R3787" i="18"/>
  <c r="R4467" i="18"/>
  <c r="R4466" i="18"/>
  <c r="R2171" i="18"/>
  <c r="R1202" i="18"/>
  <c r="R4465" i="18"/>
  <c r="R5224" i="18"/>
  <c r="R4464" i="18"/>
  <c r="R5223" i="18"/>
  <c r="R4463" i="18"/>
  <c r="R4462" i="18"/>
  <c r="R5566" i="18"/>
  <c r="R4461" i="18"/>
  <c r="R4460" i="18"/>
  <c r="R4459" i="18"/>
  <c r="R4458" i="18"/>
  <c r="R2170" i="18"/>
  <c r="R5222" i="18"/>
  <c r="R4457" i="18"/>
  <c r="R5221" i="18"/>
  <c r="R2169" i="18"/>
  <c r="R4456" i="18"/>
  <c r="R2861" i="18"/>
  <c r="R4455" i="18"/>
  <c r="R2860" i="18"/>
  <c r="R4454" i="18"/>
  <c r="R92" i="18"/>
  <c r="R4453" i="18"/>
  <c r="R4452" i="18"/>
  <c r="R4451" i="18"/>
  <c r="R5220" i="18"/>
  <c r="R3786" i="18"/>
  <c r="R3785" i="18"/>
  <c r="R4450" i="18"/>
  <c r="R5599" i="18"/>
  <c r="R5219" i="18"/>
  <c r="R4449" i="18"/>
  <c r="R4448" i="18"/>
  <c r="R4447" i="18"/>
  <c r="R4446" i="18"/>
  <c r="R4445" i="18"/>
  <c r="R5218" i="18"/>
  <c r="R4444" i="18"/>
  <c r="R4443" i="18"/>
  <c r="R4442" i="18"/>
  <c r="R2168" i="18"/>
  <c r="R3535" i="18"/>
  <c r="R4441" i="18"/>
  <c r="R4440" i="18"/>
  <c r="R3784" i="18"/>
  <c r="R3783" i="18"/>
  <c r="R4439" i="18"/>
  <c r="R5598" i="18"/>
  <c r="R4438" i="18"/>
  <c r="R4437" i="18"/>
  <c r="R5217" i="18"/>
  <c r="R5216" i="18"/>
  <c r="R3782" i="18"/>
  <c r="R3781" i="18"/>
  <c r="R1201" i="18"/>
  <c r="R4436" i="18"/>
  <c r="R4435" i="18"/>
  <c r="R1027" i="18"/>
  <c r="R4434" i="18"/>
  <c r="R5215" i="18"/>
  <c r="R4433" i="18"/>
  <c r="R4432" i="18"/>
  <c r="R4431" i="18"/>
  <c r="R4430" i="18"/>
  <c r="R5214" i="18"/>
  <c r="R4429" i="18"/>
  <c r="R4428" i="18"/>
  <c r="R4427" i="18"/>
  <c r="R2859" i="18"/>
  <c r="R5213" i="18"/>
  <c r="R4426" i="18"/>
  <c r="R851" i="18"/>
  <c r="R4425" i="18"/>
  <c r="R4424" i="18"/>
  <c r="R4423" i="18"/>
  <c r="R4422" i="18"/>
  <c r="R5212" i="18"/>
  <c r="R3780" i="18"/>
  <c r="R4421" i="18"/>
  <c r="R5211" i="18"/>
  <c r="R5210" i="18"/>
  <c r="R232" i="18"/>
  <c r="R5597" i="18"/>
  <c r="R2858" i="18"/>
  <c r="R3779" i="18"/>
  <c r="R45" i="18"/>
  <c r="R5209" i="18"/>
  <c r="R4420" i="18"/>
  <c r="R4419" i="18"/>
  <c r="R4418" i="18"/>
  <c r="R4417" i="18"/>
  <c r="R4416" i="18"/>
  <c r="R4415" i="18"/>
  <c r="R4414" i="18"/>
  <c r="R3778" i="18"/>
  <c r="R91" i="18"/>
  <c r="R4413" i="18"/>
  <c r="R44" i="18"/>
  <c r="R90" i="18"/>
  <c r="R4412" i="18"/>
  <c r="R4411" i="18"/>
  <c r="R4410" i="18"/>
  <c r="R43" i="18"/>
  <c r="R5596" i="18"/>
  <c r="R3777" i="18"/>
  <c r="R4409" i="18"/>
  <c r="R4408" i="18"/>
  <c r="R4407" i="18"/>
  <c r="R4406" i="18"/>
  <c r="R4405" i="18"/>
  <c r="R4404" i="18"/>
  <c r="R5208" i="18"/>
  <c r="R5207" i="18"/>
  <c r="R4403" i="18"/>
  <c r="R5206" i="18"/>
  <c r="R4402" i="18"/>
  <c r="R4401" i="18"/>
  <c r="R4400" i="18"/>
  <c r="R4399" i="18"/>
  <c r="R3776" i="18"/>
  <c r="R766" i="18"/>
  <c r="R4398" i="18"/>
  <c r="R4397" i="18"/>
  <c r="R4396" i="18"/>
  <c r="R4395" i="18"/>
  <c r="R5205" i="18"/>
  <c r="R4394" i="18"/>
  <c r="R1200" i="18"/>
  <c r="R4393" i="18"/>
  <c r="R5204" i="18"/>
  <c r="R5203" i="18"/>
  <c r="R5595" i="18"/>
  <c r="R4392" i="18"/>
  <c r="R5202" i="18"/>
  <c r="R2857" i="18"/>
  <c r="R4391" i="18"/>
  <c r="R5201" i="18"/>
  <c r="R3775" i="18"/>
  <c r="R4390" i="18"/>
  <c r="R89" i="18"/>
  <c r="R5200" i="18"/>
  <c r="R5199" i="18"/>
  <c r="R5198" i="18"/>
  <c r="R4389" i="18"/>
  <c r="R5197" i="18"/>
  <c r="R4388" i="18"/>
  <c r="R4387" i="18"/>
  <c r="R429" i="18"/>
  <c r="R4386" i="18"/>
  <c r="R4385" i="18"/>
  <c r="R2856" i="18"/>
  <c r="R850" i="18"/>
  <c r="R5196" i="18"/>
  <c r="R849" i="18"/>
  <c r="R231" i="18"/>
  <c r="R4384" i="18"/>
  <c r="R5195" i="18"/>
  <c r="R5194" i="18"/>
  <c r="R848" i="18"/>
  <c r="R4383" i="18"/>
  <c r="R4382" i="18"/>
  <c r="R4381" i="18"/>
  <c r="R4380" i="18"/>
  <c r="R4379" i="18"/>
  <c r="R5594" i="18"/>
  <c r="R4378" i="18"/>
  <c r="R4377" i="18"/>
  <c r="R4376" i="18"/>
  <c r="R4375" i="18"/>
  <c r="R4374" i="18"/>
  <c r="R5193" i="18"/>
  <c r="R4373" i="18"/>
  <c r="R4372" i="18"/>
  <c r="R5192" i="18"/>
  <c r="R4371" i="18"/>
  <c r="R5191" i="18"/>
  <c r="R5190" i="18"/>
  <c r="R4370" i="18"/>
  <c r="R4369" i="18"/>
  <c r="R4368" i="18"/>
  <c r="R4367" i="18"/>
  <c r="R230" i="18"/>
  <c r="R4366" i="18"/>
  <c r="R4365" i="18"/>
  <c r="R4364" i="18"/>
  <c r="R649" i="18"/>
  <c r="R4363" i="18"/>
  <c r="R4362" i="18"/>
  <c r="R4361" i="18"/>
  <c r="R4360" i="18"/>
  <c r="R4359" i="18"/>
  <c r="R4358" i="18"/>
  <c r="R1120" i="18"/>
  <c r="R4357" i="18"/>
  <c r="R4356" i="18"/>
  <c r="R847" i="18"/>
  <c r="R165" i="18"/>
  <c r="R4355" i="18"/>
  <c r="R4354" i="18"/>
  <c r="R4353" i="18"/>
  <c r="R4352" i="18"/>
  <c r="R5189" i="18"/>
  <c r="R4351" i="18"/>
  <c r="R3774" i="18"/>
  <c r="R5188" i="18"/>
  <c r="R4350" i="18"/>
  <c r="R88" i="18"/>
  <c r="R648" i="18"/>
  <c r="R164" i="18"/>
  <c r="R2167" i="18"/>
  <c r="R4349" i="18"/>
  <c r="R5187" i="18"/>
  <c r="R2855" i="18"/>
  <c r="R4348" i="18"/>
  <c r="R4347" i="18"/>
  <c r="R765" i="18"/>
  <c r="R4346" i="18"/>
  <c r="R647" i="18"/>
  <c r="R5186" i="18"/>
  <c r="R4345" i="18"/>
  <c r="R4344" i="18"/>
  <c r="R4343" i="18"/>
  <c r="R5185" i="18"/>
  <c r="R954" i="18"/>
  <c r="R4342" i="18"/>
  <c r="R846" i="18"/>
  <c r="R4341" i="18"/>
  <c r="R4340" i="18"/>
  <c r="R5184" i="18"/>
  <c r="R13" i="18"/>
  <c r="R4339" i="18"/>
  <c r="R4338" i="18"/>
  <c r="R4337" i="18"/>
  <c r="R12" i="18"/>
  <c r="R87" i="18"/>
  <c r="R4336" i="18"/>
  <c r="R4335" i="18"/>
  <c r="R646" i="18"/>
  <c r="R5183" i="18"/>
  <c r="R4334" i="18"/>
  <c r="R4333" i="18"/>
  <c r="R4332" i="18"/>
  <c r="R4331" i="18"/>
  <c r="R4330" i="18"/>
  <c r="R4329" i="18"/>
  <c r="R4328" i="18"/>
  <c r="R3773" i="18"/>
  <c r="R4327" i="18"/>
  <c r="R4326" i="18"/>
  <c r="R4325" i="18"/>
  <c r="R4324" i="18"/>
  <c r="R845" i="18"/>
  <c r="R5182" i="18"/>
  <c r="R1026" i="18"/>
  <c r="R4323" i="18"/>
  <c r="R4322" i="18"/>
  <c r="R844" i="18"/>
  <c r="R4321" i="18"/>
  <c r="R5181" i="18"/>
  <c r="R42" i="18"/>
  <c r="R4320" i="18"/>
  <c r="R4319" i="18"/>
  <c r="R5180" i="18"/>
  <c r="R4318" i="18"/>
  <c r="R4317" i="18"/>
  <c r="R4316" i="18"/>
  <c r="R4315" i="18"/>
  <c r="R1388" i="18"/>
  <c r="R428" i="18"/>
  <c r="R1119" i="18"/>
  <c r="R4314" i="18"/>
  <c r="R2854" i="18"/>
  <c r="R4313" i="18"/>
  <c r="R2166" i="18"/>
  <c r="R4312" i="18"/>
  <c r="R4311" i="18"/>
  <c r="R5179" i="18"/>
  <c r="R5178" i="18"/>
  <c r="R4310" i="18"/>
  <c r="R4309" i="18"/>
  <c r="R1025" i="18"/>
  <c r="R4308" i="18"/>
  <c r="R4307" i="18"/>
  <c r="R4306" i="18"/>
  <c r="R4305" i="18"/>
  <c r="R4304" i="18"/>
  <c r="R4303" i="18"/>
  <c r="R4302" i="18"/>
  <c r="R2853" i="18"/>
  <c r="R4301" i="18"/>
  <c r="R5177" i="18"/>
  <c r="R229" i="18"/>
  <c r="R4300" i="18"/>
  <c r="R4299" i="18"/>
  <c r="R4298" i="18"/>
  <c r="R4297" i="18"/>
  <c r="R1118" i="18"/>
  <c r="R4296" i="18"/>
  <c r="R4295" i="18"/>
  <c r="R953" i="18"/>
  <c r="R3534" i="18"/>
  <c r="R4294" i="18"/>
  <c r="R4293" i="18"/>
  <c r="R4292" i="18"/>
  <c r="R4291" i="18"/>
  <c r="R4290" i="18"/>
  <c r="R4289" i="18"/>
  <c r="R1387" i="18"/>
  <c r="R5176" i="18"/>
  <c r="R4288" i="18"/>
  <c r="R5175" i="18"/>
  <c r="R4287" i="18"/>
  <c r="R4286" i="18"/>
  <c r="R4285" i="18"/>
  <c r="R4284" i="18"/>
  <c r="R4283" i="18"/>
  <c r="R2165" i="18"/>
  <c r="R5593" i="18"/>
  <c r="R1024" i="18"/>
  <c r="R5174" i="18"/>
  <c r="R4282" i="18"/>
  <c r="R5173" i="18"/>
  <c r="R5172" i="18"/>
  <c r="R4281" i="18"/>
  <c r="R228" i="18"/>
  <c r="R4280" i="18"/>
  <c r="R3533" i="18"/>
  <c r="R5171" i="18"/>
  <c r="R1117" i="18"/>
  <c r="R4279" i="18"/>
  <c r="R4278" i="18"/>
  <c r="R2058" i="18"/>
  <c r="R5170" i="18"/>
  <c r="R427" i="18"/>
  <c r="R4277" i="18"/>
  <c r="R4276" i="18"/>
  <c r="R5592" i="18"/>
  <c r="R1023" i="18"/>
  <c r="R4275" i="18"/>
  <c r="R4274" i="18"/>
  <c r="R5169" i="18"/>
  <c r="R5168" i="18"/>
  <c r="R2852" i="18"/>
  <c r="R2851" i="18"/>
  <c r="R4273" i="18"/>
  <c r="R4272" i="18"/>
  <c r="R5167" i="18"/>
  <c r="R4271" i="18"/>
  <c r="R4270" i="18"/>
  <c r="R5591" i="18"/>
  <c r="R4269" i="18"/>
  <c r="R163" i="18"/>
  <c r="R4268" i="18"/>
  <c r="R426" i="18"/>
  <c r="R4267" i="18"/>
  <c r="R4266" i="18"/>
  <c r="R3772" i="18"/>
  <c r="R4265" i="18"/>
  <c r="R5590" i="18"/>
  <c r="R5166" i="18"/>
  <c r="R2850" i="18"/>
  <c r="R5165" i="18"/>
  <c r="R5164" i="18"/>
  <c r="R4264" i="18"/>
  <c r="R2849" i="18"/>
  <c r="R1386" i="18"/>
  <c r="R4263" i="18"/>
  <c r="R4262" i="18"/>
  <c r="R4261" i="18"/>
  <c r="R5163" i="18"/>
  <c r="R2164" i="18"/>
  <c r="R5162" i="18"/>
  <c r="R3771" i="18"/>
  <c r="R3770" i="18"/>
  <c r="R227" i="18"/>
  <c r="R3769" i="18"/>
  <c r="R3768" i="18"/>
  <c r="R3767" i="18"/>
  <c r="R425" i="18"/>
  <c r="R3766" i="18"/>
  <c r="R3765" i="18"/>
  <c r="R3764" i="18"/>
  <c r="R3763" i="18"/>
  <c r="R3762" i="18"/>
  <c r="R3761" i="18"/>
  <c r="R3760" i="18"/>
  <c r="R3759" i="18"/>
  <c r="R3758" i="18"/>
  <c r="R1022" i="18"/>
  <c r="R1021" i="18"/>
  <c r="R5161" i="18"/>
  <c r="R4260" i="18"/>
  <c r="R4259" i="18"/>
  <c r="R3757" i="18"/>
  <c r="P20" i="20" l="1"/>
  <c r="P10" i="20"/>
  <c r="S10" i="20"/>
  <c r="S12" i="20"/>
  <c r="S20" i="20"/>
  <c r="D10" i="20"/>
  <c r="D8" i="20"/>
  <c r="D6" i="20"/>
  <c r="D4" i="20"/>
  <c r="E5" i="20" s="1"/>
  <c r="H4" i="20" s="1"/>
  <c r="D9" i="20"/>
  <c r="D7" i="20"/>
  <c r="B20" i="15"/>
  <c r="B19" i="15"/>
  <c r="B18" i="15"/>
  <c r="B17" i="15"/>
  <c r="L11" i="15"/>
  <c r="L8" i="15"/>
  <c r="L5" i="15"/>
  <c r="K5" i="15"/>
  <c r="K6" i="15"/>
  <c r="K7" i="15"/>
  <c r="K8" i="15"/>
  <c r="K9" i="15"/>
  <c r="K10" i="15"/>
  <c r="K11" i="15"/>
  <c r="K12" i="15"/>
  <c r="K4" i="15"/>
  <c r="I11" i="15"/>
  <c r="I8" i="15"/>
  <c r="I5" i="15"/>
  <c r="H5" i="15"/>
  <c r="H6" i="15"/>
  <c r="H7" i="15"/>
  <c r="H8" i="15"/>
  <c r="H9" i="15"/>
  <c r="H10" i="15"/>
  <c r="H11" i="15"/>
  <c r="H12" i="15"/>
  <c r="H4" i="15"/>
  <c r="C5" i="15"/>
  <c r="C6" i="15"/>
  <c r="C7" i="15"/>
  <c r="C8" i="15"/>
  <c r="C9" i="15"/>
  <c r="C10" i="15"/>
  <c r="D11" i="15" s="1"/>
  <c r="C11" i="15"/>
  <c r="C12" i="15"/>
  <c r="C4" i="15"/>
  <c r="D5" i="15" s="1"/>
  <c r="E10" i="20" l="1"/>
  <c r="H6" i="20" s="1"/>
  <c r="E7" i="20"/>
  <c r="H5" i="20" s="1"/>
  <c r="D8" i="15"/>
  <c r="AH2428" i="1"/>
  <c r="AH2842" i="1"/>
  <c r="AH935" i="1"/>
  <c r="AH1053" i="1"/>
  <c r="AH2944" i="1"/>
  <c r="AH1054" i="1"/>
  <c r="AH2092" i="1"/>
  <c r="AH1828" i="1"/>
  <c r="AH431" i="1"/>
  <c r="AH5187" i="1"/>
  <c r="AH2395" i="1"/>
  <c r="AH1117" i="1"/>
  <c r="AH1482" i="1"/>
  <c r="AH880" i="1"/>
  <c r="AH568" i="1"/>
  <c r="AH4152" i="1"/>
  <c r="AH667" i="1"/>
  <c r="AH1209" i="1"/>
  <c r="AH453" i="1"/>
  <c r="AH486" i="1"/>
  <c r="AH3231" i="1"/>
  <c r="AH1208" i="1"/>
  <c r="AH663" i="1"/>
  <c r="AH177" i="1"/>
  <c r="AH3200" i="1"/>
  <c r="AH2173" i="1"/>
  <c r="AH51" i="1"/>
  <c r="AH403" i="1"/>
  <c r="AH2162" i="1"/>
  <c r="AH2726" i="1"/>
  <c r="AH190" i="1"/>
  <c r="AH2489" i="1"/>
  <c r="AH89" i="1"/>
  <c r="AH284" i="1"/>
  <c r="AH2789" i="1"/>
  <c r="AH146" i="1"/>
  <c r="AH98" i="1"/>
  <c r="AH49" i="1"/>
  <c r="AH1257" i="1"/>
  <c r="AH4621" i="1"/>
  <c r="AH3083" i="1"/>
  <c r="AH189" i="1"/>
  <c r="AH2475" i="1"/>
  <c r="AH5289" i="1"/>
  <c r="AH2002" i="1"/>
  <c r="AH1430" i="1"/>
  <c r="AH2916" i="1"/>
  <c r="AH3280" i="1"/>
  <c r="AH3639" i="1"/>
  <c r="AH2844" i="1"/>
  <c r="AH5055" i="1"/>
  <c r="AH4494" i="1"/>
  <c r="AH2828" i="1"/>
  <c r="AH1008" i="1"/>
  <c r="AH2871" i="1"/>
  <c r="AH5045" i="1"/>
  <c r="AH1961" i="1"/>
  <c r="AH2914" i="1"/>
  <c r="AH2520" i="1"/>
  <c r="AH2931" i="1"/>
  <c r="AH3974" i="1"/>
  <c r="AH2086" i="1"/>
  <c r="AH4792" i="1"/>
  <c r="AH4229" i="1"/>
  <c r="AH3036" i="1"/>
  <c r="AH4162" i="1"/>
  <c r="AH404" i="1"/>
  <c r="AH4633" i="1"/>
  <c r="AH3132" i="1"/>
  <c r="AH3109" i="1"/>
  <c r="AH2984" i="1"/>
  <c r="AH4448" i="1"/>
  <c r="AH2227" i="1"/>
  <c r="AH142" i="1"/>
  <c r="AH1188" i="1"/>
  <c r="AH4088" i="1"/>
  <c r="AH2633" i="1"/>
  <c r="AH2930" i="1"/>
  <c r="AH3514" i="1"/>
  <c r="AH25" i="1"/>
  <c r="AH5290" i="1"/>
  <c r="AH2370" i="1"/>
  <c r="AH4539" i="1"/>
  <c r="AH1600" i="1"/>
  <c r="AH2413" i="1"/>
  <c r="AH1920" i="1"/>
  <c r="AH2453" i="1"/>
  <c r="AH4434" i="1"/>
  <c r="AH4873" i="1"/>
  <c r="AH4570" i="1"/>
  <c r="AH3795" i="1"/>
  <c r="AH5291" i="1"/>
  <c r="AH1063" i="1"/>
  <c r="AH1639" i="1"/>
  <c r="AH4617" i="1"/>
  <c r="AH4879" i="1"/>
  <c r="AH3126" i="1"/>
  <c r="AH3706" i="1"/>
  <c r="AH4686" i="1"/>
  <c r="AH4026" i="1"/>
  <c r="AH5043" i="1"/>
  <c r="AH2924" i="1"/>
  <c r="AH2409" i="1"/>
  <c r="AH5006" i="1"/>
  <c r="AH3809" i="1"/>
  <c r="AH5292" i="1"/>
  <c r="AH2606" i="1"/>
  <c r="AH5195" i="1"/>
  <c r="AH3112" i="1"/>
  <c r="AH3465" i="1"/>
  <c r="AH5090" i="1"/>
  <c r="AH986" i="1"/>
  <c r="AH3825" i="1"/>
  <c r="AH5293" i="1"/>
  <c r="AH4612" i="1"/>
  <c r="AH3353" i="1"/>
  <c r="AH4349" i="1"/>
  <c r="AH1571" i="1"/>
  <c r="AH3799" i="1"/>
  <c r="AH1434" i="1"/>
  <c r="AH1125" i="1"/>
  <c r="AH3786" i="1"/>
  <c r="AH1832" i="1"/>
  <c r="AH2303" i="1"/>
  <c r="AH4187" i="1"/>
  <c r="AH4719" i="1"/>
  <c r="AH4212" i="1"/>
  <c r="AH4655" i="1"/>
  <c r="AH4971" i="1"/>
  <c r="AH5294" i="1"/>
  <c r="AH4916" i="1"/>
  <c r="AH2049" i="1"/>
  <c r="AH3080" i="1"/>
  <c r="AH2829" i="1"/>
  <c r="AH1061" i="1"/>
  <c r="AH2679" i="1"/>
  <c r="AH5156" i="1"/>
  <c r="AH4603" i="1"/>
  <c r="AH4565" i="1"/>
  <c r="AH819" i="1"/>
  <c r="AH4973" i="1"/>
  <c r="AH1684" i="1"/>
  <c r="AH2683" i="1"/>
  <c r="AH5295" i="1"/>
  <c r="AH1606" i="1"/>
  <c r="AH4113" i="1"/>
  <c r="AH30" i="1"/>
  <c r="AH4619" i="1"/>
  <c r="AH4133" i="1"/>
  <c r="AH5296" i="1"/>
  <c r="AH4405" i="1"/>
  <c r="AH5106" i="1"/>
  <c r="AH3854" i="1"/>
  <c r="AH4591" i="1"/>
  <c r="AH4156" i="1"/>
  <c r="AH5297" i="1"/>
  <c r="AH2955" i="1"/>
  <c r="AH3321" i="1"/>
  <c r="AH6" i="1"/>
  <c r="AH2009" i="1"/>
  <c r="AH4623" i="1"/>
  <c r="AH3559" i="1"/>
  <c r="AH4184" i="1"/>
  <c r="AH4915" i="1"/>
  <c r="AH3800" i="1"/>
  <c r="AH4857" i="1"/>
  <c r="AH4253" i="1"/>
  <c r="AH2956" i="1"/>
  <c r="AH5298" i="1"/>
  <c r="AH5299" i="1"/>
  <c r="AH5300" i="1"/>
  <c r="AH1654" i="1"/>
  <c r="AH4095" i="1"/>
  <c r="AH5301" i="1"/>
  <c r="AH5225" i="1"/>
  <c r="AH3671" i="1"/>
  <c r="AH3826" i="1"/>
  <c r="AH5302" i="1"/>
  <c r="AH5097" i="1"/>
  <c r="AH2411" i="1"/>
  <c r="AH4359" i="1"/>
  <c r="AH3414" i="1"/>
  <c r="AH5303" i="1"/>
  <c r="AH5125" i="1"/>
  <c r="AH3116" i="1"/>
  <c r="AH1613" i="1"/>
  <c r="AH2250" i="1"/>
  <c r="AH4789" i="1"/>
  <c r="AH5304" i="1"/>
  <c r="AH4385" i="1"/>
  <c r="AH2910" i="1"/>
  <c r="AH1078" i="1"/>
  <c r="AH5305" i="1"/>
  <c r="AH5306" i="1"/>
  <c r="AH2764" i="1"/>
  <c r="AH5307" i="1"/>
  <c r="AH5308" i="1"/>
  <c r="AH3638" i="1"/>
  <c r="AH4507" i="1"/>
  <c r="AH4000" i="1"/>
  <c r="AH3469" i="1"/>
  <c r="AH5309" i="1"/>
  <c r="AH3041" i="1"/>
  <c r="AH4430" i="1"/>
  <c r="AH4929" i="1"/>
  <c r="AH3877" i="1"/>
  <c r="AH1825" i="1"/>
  <c r="AH4402" i="1"/>
  <c r="AH3556" i="1"/>
  <c r="AH2322" i="1"/>
  <c r="AH4222" i="1"/>
  <c r="AH4585" i="1"/>
  <c r="AH5310" i="1"/>
  <c r="AH4188" i="1"/>
  <c r="AH1520" i="1"/>
  <c r="AH4045" i="1"/>
  <c r="AH2292" i="1"/>
  <c r="AH2790" i="1"/>
  <c r="AH5311" i="1"/>
  <c r="AH5312" i="1"/>
  <c r="AH5313" i="1"/>
  <c r="AH5168" i="1"/>
  <c r="AH5314" i="1"/>
  <c r="AH1298" i="1"/>
  <c r="AH4803" i="1"/>
  <c r="AH5315" i="1"/>
  <c r="AH5316" i="1"/>
  <c r="AH3685" i="1"/>
  <c r="AH5317" i="1"/>
  <c r="AH2712" i="1"/>
  <c r="AH5318" i="1"/>
  <c r="AH4833" i="1"/>
  <c r="AH3433" i="1"/>
  <c r="AH3059" i="1"/>
  <c r="AH4651" i="1"/>
  <c r="AH936" i="1"/>
  <c r="AH4949" i="1"/>
  <c r="AH1604" i="1"/>
  <c r="AH5319" i="1"/>
  <c r="AH5320" i="1"/>
  <c r="AH3226" i="1"/>
  <c r="AH4630" i="1"/>
  <c r="AH5321" i="1"/>
  <c r="AH5322" i="1"/>
  <c r="AH5323" i="1"/>
  <c r="AH4054" i="1"/>
  <c r="AH4546" i="1"/>
  <c r="AH3900" i="1"/>
  <c r="AH2423" i="1"/>
  <c r="AH5324" i="1"/>
  <c r="AH1139" i="1"/>
  <c r="AH3451" i="1"/>
  <c r="AH3966" i="1"/>
  <c r="AH3810" i="1"/>
  <c r="AH3400" i="1"/>
  <c r="AH3178" i="1"/>
  <c r="AH5325" i="1"/>
  <c r="AH5116" i="1"/>
  <c r="AH5326" i="1"/>
  <c r="AH4149" i="1"/>
  <c r="AH3212" i="1"/>
  <c r="AH4257" i="1"/>
  <c r="AH5327" i="1"/>
  <c r="AH5004" i="1"/>
  <c r="AH3208" i="1"/>
  <c r="AH5328" i="1"/>
  <c r="AH4731" i="1"/>
  <c r="AH2879" i="1"/>
  <c r="AH3660" i="1"/>
  <c r="AH4738" i="1"/>
  <c r="AH3138" i="1"/>
  <c r="AH5010" i="1"/>
  <c r="AH4477" i="1"/>
  <c r="AH3030" i="1"/>
  <c r="AH3197" i="1"/>
  <c r="AH2325" i="1"/>
  <c r="AH3850" i="1"/>
  <c r="AH2791" i="1"/>
  <c r="AH5054" i="1"/>
  <c r="AH2850" i="1"/>
  <c r="AH5329" i="1"/>
  <c r="AH5330" i="1"/>
  <c r="AH5331" i="1"/>
  <c r="AH4774" i="1"/>
  <c r="AH4002" i="1"/>
  <c r="AH3829" i="1"/>
  <c r="AH1575" i="1"/>
  <c r="AH3432" i="1"/>
  <c r="AH4734" i="1"/>
  <c r="AH5332" i="1"/>
  <c r="AH1044" i="1"/>
  <c r="AH5284" i="1"/>
  <c r="AH2767" i="1"/>
  <c r="AH5080" i="1"/>
  <c r="AH1776" i="1"/>
  <c r="AH2634" i="1"/>
  <c r="AH4280" i="1"/>
  <c r="AH5333" i="1"/>
  <c r="AH3181" i="1"/>
  <c r="AH5278" i="1"/>
  <c r="AH5334" i="1"/>
  <c r="AH4454" i="1"/>
  <c r="AH5335" i="1"/>
  <c r="AH2382" i="1"/>
  <c r="AH5336" i="1"/>
  <c r="AH4332" i="1"/>
  <c r="AH4461" i="1"/>
  <c r="AH1772" i="1"/>
  <c r="AH3775" i="1"/>
  <c r="AH2273" i="1"/>
  <c r="AH5337" i="1"/>
  <c r="AH3619" i="1"/>
  <c r="AH3575" i="1"/>
  <c r="AH5338" i="1"/>
  <c r="AH4867" i="1"/>
  <c r="AH4077" i="1"/>
  <c r="AH3162" i="1"/>
  <c r="AH4729" i="1"/>
  <c r="AH5339" i="1"/>
  <c r="AH2935" i="1"/>
  <c r="AH2568" i="1"/>
  <c r="AH1162" i="1"/>
  <c r="AH3011" i="1"/>
  <c r="AH3175" i="1"/>
  <c r="AH3967" i="1"/>
  <c r="AH4144" i="1"/>
  <c r="AH2490" i="1"/>
  <c r="AH1523" i="1"/>
  <c r="AH2324" i="1"/>
  <c r="AH1839" i="1"/>
  <c r="AH5340" i="1"/>
  <c r="AH5341" i="1"/>
  <c r="AH4802" i="1"/>
  <c r="AH2697" i="1"/>
  <c r="AH5342" i="1"/>
  <c r="AH3456" i="1"/>
  <c r="AH2465" i="1"/>
  <c r="AH4640" i="1"/>
  <c r="AH2657" i="1"/>
  <c r="AH4937" i="1"/>
  <c r="AH5038" i="1"/>
  <c r="AH5343" i="1"/>
  <c r="AH496" i="1"/>
  <c r="AH4020" i="1"/>
  <c r="AH4914" i="1"/>
  <c r="AH1840" i="1"/>
  <c r="AH5344" i="1"/>
  <c r="AH5345" i="1"/>
  <c r="AH3139" i="1"/>
  <c r="AH2704" i="1"/>
  <c r="AH3388" i="1"/>
  <c r="AH4779" i="1"/>
  <c r="AH3627" i="1"/>
  <c r="AH2286" i="1"/>
  <c r="AH3266" i="1"/>
  <c r="AH2485" i="1"/>
  <c r="AH2242" i="1"/>
  <c r="AH1970" i="1"/>
  <c r="AH3391" i="1"/>
  <c r="AH4479" i="1"/>
  <c r="AH5346" i="1"/>
  <c r="AH4681" i="1"/>
  <c r="AH4903" i="1"/>
  <c r="AH3566" i="1"/>
  <c r="AH5141" i="1"/>
  <c r="AH3550" i="1"/>
  <c r="AH4397" i="1"/>
  <c r="AH2376" i="1"/>
  <c r="AH4265" i="1"/>
  <c r="AH4216" i="1"/>
  <c r="AH4424" i="1"/>
  <c r="AH5347" i="1"/>
  <c r="AH5348" i="1"/>
  <c r="AH1205" i="1"/>
  <c r="AH3327" i="1"/>
  <c r="AH3975" i="1"/>
  <c r="AH3171" i="1"/>
  <c r="AH2715" i="1"/>
  <c r="AH3317" i="1"/>
  <c r="AH3455" i="1"/>
  <c r="AH2483" i="1"/>
  <c r="AH4486" i="1"/>
  <c r="AH2763" i="1"/>
  <c r="AH3269" i="1"/>
  <c r="AH5349" i="1"/>
  <c r="AH4860" i="1"/>
  <c r="AH5350" i="1"/>
  <c r="AH2880" i="1"/>
  <c r="AH5351" i="1"/>
  <c r="AH5352" i="1"/>
  <c r="AH5079" i="1"/>
  <c r="AH242" i="1"/>
  <c r="AH5112" i="1"/>
  <c r="AH5353" i="1"/>
  <c r="AH5354" i="1"/>
  <c r="AH5355" i="1"/>
  <c r="AH1381" i="1"/>
  <c r="AH3964" i="1"/>
  <c r="AH3656" i="1"/>
  <c r="AH4110" i="1"/>
  <c r="AH5356" i="1"/>
  <c r="AH5049" i="1"/>
  <c r="AH2705" i="1"/>
  <c r="AH1203" i="1"/>
  <c r="AH5357" i="1"/>
  <c r="AH3819" i="1"/>
  <c r="AH2774" i="1"/>
  <c r="AH3686" i="1"/>
  <c r="AH3597" i="1"/>
  <c r="AH3893" i="1"/>
  <c r="AH2312" i="1"/>
  <c r="AH5358" i="1"/>
  <c r="AH4035" i="1"/>
  <c r="AH1685" i="1"/>
  <c r="AH2447" i="1"/>
  <c r="AH5359" i="1"/>
  <c r="AH1264" i="1"/>
  <c r="AH5360" i="1"/>
  <c r="AH4230" i="1"/>
  <c r="AH5361" i="1"/>
  <c r="AH5362" i="1"/>
  <c r="AH4137" i="1"/>
  <c r="AH4444" i="1"/>
  <c r="AH4404" i="1"/>
  <c r="AH2723" i="1"/>
  <c r="AH4700" i="1"/>
  <c r="AH2749" i="1"/>
  <c r="AH3919" i="1"/>
  <c r="AH2371" i="1"/>
  <c r="AH2482" i="1"/>
  <c r="AH2300" i="1"/>
  <c r="AH5213" i="1"/>
  <c r="AH4659" i="1"/>
  <c r="AH5111" i="1"/>
  <c r="AH1347" i="1"/>
  <c r="AH2816" i="1"/>
  <c r="AH5268" i="1"/>
  <c r="AH5363" i="1"/>
  <c r="AH4599" i="1"/>
  <c r="AH5364" i="1"/>
  <c r="AH4799" i="1"/>
  <c r="AH5365" i="1"/>
  <c r="AH3301" i="1"/>
  <c r="AH5247" i="1"/>
  <c r="AH4618" i="1"/>
  <c r="AH761" i="1"/>
  <c r="AH2613" i="1"/>
  <c r="AH3707" i="1"/>
  <c r="AH5366" i="1"/>
  <c r="AH616" i="1"/>
  <c r="AH5367" i="1"/>
  <c r="AH4140" i="1"/>
  <c r="AH3279" i="1"/>
  <c r="AH3094" i="1"/>
  <c r="AH1658" i="1"/>
  <c r="AH3749" i="1"/>
  <c r="AH5368" i="1"/>
  <c r="AH896" i="1"/>
  <c r="AH5250" i="1"/>
  <c r="AH2545" i="1"/>
  <c r="AH1195" i="1"/>
  <c r="AH5369" i="1"/>
  <c r="AH5370" i="1"/>
  <c r="AH4576" i="1"/>
  <c r="AH4592" i="1"/>
  <c r="AH4695" i="1"/>
  <c r="AH5371" i="1"/>
  <c r="AH5372" i="1"/>
  <c r="AH5373" i="1"/>
  <c r="AH5374" i="1"/>
  <c r="AH2635" i="1"/>
  <c r="AH3998" i="1"/>
  <c r="AH3643" i="1"/>
  <c r="AH2765" i="1"/>
  <c r="AH3526" i="1"/>
  <c r="AH3792" i="1"/>
  <c r="AH5375" i="1"/>
  <c r="AH3846" i="1"/>
  <c r="AH4992" i="1"/>
  <c r="AH4649" i="1"/>
  <c r="AH3525" i="1"/>
  <c r="AH5248" i="1"/>
  <c r="AH5376" i="1"/>
  <c r="AH3849" i="1"/>
  <c r="AH3440" i="1"/>
  <c r="AH1071" i="1"/>
  <c r="AH3572" i="1"/>
  <c r="AH3847" i="1"/>
  <c r="AH4040" i="1"/>
  <c r="AH3087" i="1"/>
  <c r="AH3587" i="1"/>
  <c r="AH4521" i="1"/>
  <c r="AH4153" i="1"/>
  <c r="AH4874" i="1"/>
  <c r="AH1936" i="1"/>
  <c r="AH4277" i="1"/>
  <c r="AH2981" i="1"/>
  <c r="AH5377" i="1"/>
  <c r="AH4093" i="1"/>
  <c r="AH3481" i="1"/>
  <c r="AH3891" i="1"/>
  <c r="AH1989" i="1"/>
  <c r="AH4577" i="1"/>
  <c r="AH5224" i="1"/>
  <c r="AH4664" i="1"/>
  <c r="AH5149" i="1"/>
  <c r="AH4384" i="1"/>
  <c r="AH5378" i="1"/>
  <c r="AH5379" i="1"/>
  <c r="AH5380" i="1"/>
  <c r="AH1686" i="1"/>
  <c r="AH5381" i="1"/>
  <c r="AH4510" i="1"/>
  <c r="AH4837" i="1"/>
  <c r="AH3726" i="1"/>
  <c r="AH4150" i="1"/>
  <c r="AH5382" i="1"/>
  <c r="AH3658" i="1"/>
  <c r="AH5383" i="1"/>
  <c r="AH3527" i="1"/>
  <c r="AH5117" i="1"/>
  <c r="AH2274" i="1"/>
  <c r="AH4850" i="1"/>
  <c r="AH518" i="1"/>
  <c r="AH5384" i="1"/>
  <c r="AH5385" i="1"/>
  <c r="AH3349" i="1"/>
  <c r="AH4690" i="1"/>
  <c r="AH3752" i="1"/>
  <c r="AH4243" i="1"/>
  <c r="AH5386" i="1"/>
  <c r="AH4436" i="1"/>
  <c r="AH5120" i="1"/>
  <c r="AH5387" i="1"/>
  <c r="AH3883" i="1"/>
  <c r="AH3140" i="1"/>
  <c r="AH1010" i="1"/>
  <c r="AH1366" i="1"/>
  <c r="AH5388" i="1"/>
  <c r="AH1628" i="1"/>
  <c r="AH1687" i="1"/>
  <c r="AH4900" i="1"/>
  <c r="AH5389" i="1"/>
  <c r="AH4189" i="1"/>
  <c r="AH2345" i="1"/>
  <c r="AH2010" i="1"/>
  <c r="AH2011" i="1"/>
  <c r="AH3141" i="1"/>
  <c r="AH2225" i="1"/>
  <c r="AH5390" i="1"/>
  <c r="AH4336" i="1"/>
  <c r="AH2111" i="1"/>
  <c r="AH1382" i="1"/>
  <c r="AH4589" i="1"/>
  <c r="AH4647" i="1"/>
  <c r="AH2348" i="1"/>
  <c r="AH3565" i="1"/>
  <c r="AH1029" i="1"/>
  <c r="AH5137" i="1"/>
  <c r="AH4917" i="1"/>
  <c r="AH4735" i="1"/>
  <c r="AH4055" i="1"/>
  <c r="AH4913" i="1"/>
  <c r="AH4982" i="1"/>
  <c r="AH4884" i="1"/>
  <c r="AH4725" i="1"/>
  <c r="AH2792" i="1"/>
  <c r="AH4809" i="1"/>
  <c r="AH5391" i="1"/>
  <c r="AH2569" i="1"/>
  <c r="AH5392" i="1"/>
  <c r="AH2349" i="1"/>
  <c r="AH1419" i="1"/>
  <c r="AH3495" i="1"/>
  <c r="AH1652" i="1"/>
  <c r="AH3435" i="1"/>
  <c r="AH2998" i="1"/>
  <c r="AH2404" i="1"/>
  <c r="AH4163" i="1"/>
  <c r="AH4033" i="1"/>
  <c r="AH3756" i="1"/>
  <c r="AH4111" i="1"/>
  <c r="AH4245" i="1"/>
  <c r="AH1336" i="1"/>
  <c r="AH3207" i="1"/>
  <c r="AH2350" i="1"/>
  <c r="AH3513" i="1"/>
  <c r="AH5393" i="1"/>
  <c r="AH5394" i="1"/>
  <c r="AH3142" i="1"/>
  <c r="AH2793" i="1"/>
  <c r="AH2052" i="1"/>
  <c r="AH5395" i="1"/>
  <c r="AH5396" i="1"/>
  <c r="AH3851" i="1"/>
  <c r="AH973" i="1"/>
  <c r="AH4179" i="1"/>
  <c r="AH5397" i="1"/>
  <c r="AH2707" i="1"/>
  <c r="AH4091" i="1"/>
  <c r="AH3882" i="1"/>
  <c r="AH3603" i="1"/>
  <c r="AH5398" i="1"/>
  <c r="AH2491" i="1"/>
  <c r="AH2487" i="1"/>
  <c r="AH4224" i="1"/>
  <c r="AH5399" i="1"/>
  <c r="AH5400" i="1"/>
  <c r="AH1160" i="1"/>
  <c r="AH1521" i="1"/>
  <c r="AH5401" i="1"/>
  <c r="AH5402" i="1"/>
  <c r="AH1194" i="1"/>
  <c r="AH4724" i="1"/>
  <c r="AH4573" i="1"/>
  <c r="AH2794" i="1"/>
  <c r="AH1375" i="1"/>
  <c r="AH5403" i="1"/>
  <c r="AH3693" i="1"/>
  <c r="AH2624" i="1"/>
  <c r="AH4457" i="1"/>
  <c r="AH1453" i="1"/>
  <c r="AH2347" i="1"/>
  <c r="AH2316" i="1"/>
  <c r="AH5404" i="1"/>
  <c r="AH4870" i="1"/>
  <c r="AH3182" i="1"/>
  <c r="AH5405" i="1"/>
  <c r="AH4346" i="1"/>
  <c r="AH4392" i="1"/>
  <c r="AH3356" i="1"/>
  <c r="AH5246" i="1"/>
  <c r="AH2174" i="1"/>
  <c r="AH1596" i="1"/>
  <c r="AH2616" i="1"/>
  <c r="AH1055" i="1"/>
  <c r="AH2260" i="1"/>
  <c r="AH5406" i="1"/>
  <c r="AH4838" i="1"/>
  <c r="AH4572" i="1"/>
  <c r="AH1841" i="1"/>
  <c r="AH3820" i="1"/>
  <c r="AH5407" i="1"/>
  <c r="AH4326" i="1"/>
  <c r="AH3488" i="1"/>
  <c r="AH1815" i="1"/>
  <c r="AH1245" i="1"/>
  <c r="AH4490" i="1"/>
  <c r="AH2576" i="1"/>
  <c r="AH3359" i="1"/>
  <c r="AH4611" i="1"/>
  <c r="AH4705" i="1"/>
  <c r="AH5263" i="1"/>
  <c r="AH3528" i="1"/>
  <c r="AH4930" i="1"/>
  <c r="AH3493" i="1"/>
  <c r="AH4608" i="1"/>
  <c r="AH5408" i="1"/>
  <c r="AH3398" i="1"/>
  <c r="AH5409" i="1"/>
  <c r="AH5410" i="1"/>
  <c r="AH5411" i="1"/>
  <c r="AH5412" i="1"/>
  <c r="AH3282" i="1"/>
  <c r="AH3298" i="1"/>
  <c r="AH5050" i="1"/>
  <c r="AH3018" i="1"/>
  <c r="AH4437" i="1"/>
  <c r="AH3206" i="1"/>
  <c r="AH3297" i="1"/>
  <c r="AH5255" i="1"/>
  <c r="AH3299" i="1"/>
  <c r="AH5413" i="1"/>
  <c r="AH5171" i="1"/>
  <c r="AH3300" i="1"/>
  <c r="AH5414" i="1"/>
  <c r="AH5415" i="1"/>
  <c r="AH4772" i="1"/>
  <c r="AH2795" i="1"/>
  <c r="AH4186" i="1"/>
  <c r="AH4010" i="1"/>
  <c r="AH5416" i="1"/>
  <c r="AH1473" i="1"/>
  <c r="AH3661" i="1"/>
  <c r="AH2034" i="1"/>
  <c r="AH3555" i="1"/>
  <c r="AH8" i="1"/>
  <c r="AH4373" i="1"/>
  <c r="AH2927" i="1"/>
  <c r="AH4880" i="1"/>
  <c r="AH3012" i="1"/>
  <c r="AH4732" i="1"/>
  <c r="AH3647" i="1"/>
  <c r="AH5417" i="1"/>
  <c r="AH3866" i="1"/>
  <c r="AH3837" i="1"/>
  <c r="AH5418" i="1"/>
  <c r="AH4773" i="1"/>
  <c r="AH3878" i="1"/>
  <c r="AH5145" i="1"/>
  <c r="AH4928" i="1"/>
  <c r="AH3017" i="1"/>
  <c r="AH2625" i="1"/>
  <c r="AH805" i="1"/>
  <c r="AH5025" i="1"/>
  <c r="AH4493" i="1"/>
  <c r="AH3203" i="1"/>
  <c r="AH2724" i="1"/>
  <c r="AH2772" i="1"/>
  <c r="AH4414" i="1"/>
  <c r="AH9" i="1"/>
  <c r="AH3768" i="1"/>
  <c r="AH2420" i="1"/>
  <c r="AH2212" i="1"/>
  <c r="AH4841" i="1"/>
  <c r="AH3103" i="1"/>
  <c r="AH1664" i="1"/>
  <c r="AH5211" i="1"/>
  <c r="AH4128" i="1"/>
  <c r="AH2208" i="1"/>
  <c r="AH5132" i="1"/>
  <c r="AH5419" i="1"/>
  <c r="AH5207" i="1"/>
  <c r="AH17" i="1"/>
  <c r="AH5236" i="1"/>
  <c r="AH4866" i="1"/>
  <c r="AH4031" i="1"/>
  <c r="AH5420" i="1"/>
  <c r="AH3250" i="1"/>
  <c r="AH1969" i="1"/>
  <c r="AH3045" i="1"/>
  <c r="AH1567" i="1"/>
  <c r="AH5421" i="1"/>
  <c r="AH5422" i="1"/>
  <c r="AH2437" i="1"/>
  <c r="AH318" i="1"/>
  <c r="AH2542" i="1"/>
  <c r="AH249" i="1"/>
  <c r="AH5227" i="1"/>
  <c r="AH4882" i="1"/>
  <c r="AH5181" i="1"/>
  <c r="AH4944" i="1"/>
  <c r="AH2127" i="1"/>
  <c r="AH4693" i="1"/>
  <c r="AH4536" i="1"/>
  <c r="AH4753" i="1"/>
  <c r="AH1524" i="1"/>
  <c r="AH811" i="1"/>
  <c r="AH5212" i="1"/>
  <c r="AH1357" i="1"/>
  <c r="AH4671" i="1"/>
  <c r="AH3373" i="1"/>
  <c r="AH4223" i="1"/>
  <c r="AH1895" i="1"/>
  <c r="AH4399" i="1"/>
  <c r="AH2957" i="1"/>
  <c r="AH2334" i="1"/>
  <c r="AH3894" i="1"/>
  <c r="AH4689" i="1"/>
  <c r="AH183" i="1"/>
  <c r="AH3725" i="1"/>
  <c r="AH5423" i="1"/>
  <c r="AH4825" i="1"/>
  <c r="AH3360" i="1"/>
  <c r="AH5216" i="1"/>
  <c r="AH4249" i="1"/>
  <c r="AH4820" i="1"/>
  <c r="AH3380" i="1"/>
  <c r="AH5424" i="1"/>
  <c r="AH843" i="1"/>
  <c r="AH1325" i="1"/>
  <c r="AH2826" i="1"/>
  <c r="AH5425" i="1"/>
  <c r="AH4828" i="1"/>
  <c r="AH1412" i="1"/>
  <c r="AH4220" i="1"/>
  <c r="AH5136" i="1"/>
  <c r="AH4213" i="1"/>
  <c r="AH3129" i="1"/>
  <c r="AH873" i="1"/>
  <c r="AH3019" i="1"/>
  <c r="AH2636" i="1"/>
  <c r="AH4919" i="1"/>
  <c r="AH3072" i="1"/>
  <c r="AH2245" i="1"/>
  <c r="AH1617" i="1"/>
  <c r="AH3091" i="1"/>
  <c r="AH4746" i="1"/>
  <c r="AH4260" i="1"/>
  <c r="AH2351" i="1"/>
  <c r="AH3411" i="1"/>
  <c r="AH4043" i="1"/>
  <c r="AH1777" i="1"/>
  <c r="AH4158" i="1"/>
  <c r="AH4652" i="1"/>
  <c r="AH3938" i="1"/>
  <c r="AH1349" i="1"/>
  <c r="AH4696" i="1"/>
  <c r="AH1017" i="1"/>
  <c r="AH3990" i="1"/>
  <c r="AH4524" i="1"/>
  <c r="AH18" i="1"/>
  <c r="AH5426" i="1"/>
  <c r="AH3561" i="1"/>
  <c r="AH2340" i="1"/>
  <c r="AH5215" i="1"/>
  <c r="AH3128" i="1"/>
  <c r="AH3921" i="1"/>
  <c r="AH994" i="1"/>
  <c r="AH4274" i="1"/>
  <c r="AH5053" i="1"/>
  <c r="AH4678" i="1"/>
  <c r="AH1377" i="1"/>
  <c r="AH10" i="1"/>
  <c r="AH5286" i="1"/>
  <c r="AH5152" i="1"/>
  <c r="AH1911" i="1"/>
  <c r="AH3958" i="1"/>
  <c r="AH4940" i="1"/>
  <c r="AH5427" i="1"/>
  <c r="AH4236" i="1"/>
  <c r="AH4034" i="1"/>
  <c r="AH5017" i="1"/>
  <c r="AH4123" i="1"/>
  <c r="AH2740" i="1"/>
  <c r="AH3959" i="1"/>
  <c r="AH3576" i="1"/>
  <c r="AH3329" i="1"/>
  <c r="AH783" i="1"/>
  <c r="AH4276" i="1"/>
  <c r="AH1002" i="1"/>
  <c r="AH2171" i="1"/>
  <c r="AH2434" i="1"/>
  <c r="AH2906" i="1"/>
  <c r="AH2462" i="1"/>
  <c r="AH5018" i="1"/>
  <c r="AH2352" i="1"/>
  <c r="AH2217" i="1"/>
  <c r="AH2611" i="1"/>
  <c r="AH4637" i="1"/>
  <c r="AH2331" i="1"/>
  <c r="AH3461" i="1"/>
  <c r="AH5107" i="1"/>
  <c r="AH4766" i="1"/>
  <c r="AH4141" i="1"/>
  <c r="AH5428" i="1"/>
  <c r="AH1667" i="1"/>
  <c r="AH1266" i="1"/>
  <c r="AH4329" i="1"/>
  <c r="AH2270" i="1"/>
  <c r="AH2142" i="1"/>
  <c r="AH1818" i="1"/>
  <c r="AH5429" i="1"/>
  <c r="AH2896" i="1"/>
  <c r="AH3464" i="1"/>
  <c r="AH4400" i="1"/>
  <c r="AH5264" i="1"/>
  <c r="AH1957" i="1"/>
  <c r="AH3948" i="1"/>
  <c r="AH71" i="1"/>
  <c r="AH4353" i="1"/>
  <c r="AH1565" i="1"/>
  <c r="AH5430" i="1"/>
  <c r="AH405" i="1"/>
  <c r="AH3213" i="1"/>
  <c r="AH1252" i="1"/>
  <c r="AH2547" i="1"/>
  <c r="AH4805" i="1"/>
  <c r="AH4247" i="1"/>
  <c r="AH3290" i="1"/>
  <c r="AH4849" i="1"/>
  <c r="AH2653" i="1"/>
  <c r="AH3271" i="1"/>
  <c r="AH3649" i="1"/>
  <c r="AH4815" i="1"/>
  <c r="AH5192" i="1"/>
  <c r="AH2909" i="1"/>
  <c r="AH3205" i="1"/>
  <c r="AH1359" i="1"/>
  <c r="AH3009" i="1"/>
  <c r="AH4408" i="1"/>
  <c r="AH2315" i="1"/>
  <c r="AH2094" i="1"/>
  <c r="AH3945" i="1"/>
  <c r="AH5130" i="1"/>
  <c r="AH4878" i="1"/>
  <c r="AH4912" i="1"/>
  <c r="AH2119" i="1"/>
  <c r="AH5277" i="1"/>
  <c r="AH4609" i="1"/>
  <c r="AH2921" i="1"/>
  <c r="AH1750" i="1"/>
  <c r="AH3422" i="1"/>
  <c r="AH5431" i="1"/>
  <c r="AH4497" i="1"/>
  <c r="AH1284" i="1"/>
  <c r="AH1510" i="1"/>
  <c r="AH3024" i="1"/>
  <c r="AH2038" i="1"/>
  <c r="AH3606" i="1"/>
  <c r="AH1018" i="1"/>
  <c r="AH5279" i="1"/>
  <c r="AH4281" i="1"/>
  <c r="AH3718" i="1"/>
  <c r="AH4006" i="1"/>
  <c r="AH5432" i="1"/>
  <c r="AH3596" i="1"/>
  <c r="AH4569" i="1"/>
  <c r="AH2236" i="1"/>
  <c r="AH5433" i="1"/>
  <c r="AH4942" i="1"/>
  <c r="AH2143" i="1"/>
  <c r="AH4999" i="1"/>
  <c r="AH4068" i="1"/>
  <c r="AH406" i="1"/>
  <c r="AH4389" i="1"/>
  <c r="AH1564" i="1"/>
  <c r="AH4513" i="1"/>
  <c r="AH1641" i="1"/>
  <c r="AH2587" i="1"/>
  <c r="AH2746" i="1"/>
  <c r="AH4813" i="1"/>
  <c r="AH4990" i="1"/>
  <c r="AH5062" i="1"/>
  <c r="AH3088" i="1"/>
  <c r="AH1668" i="1"/>
  <c r="AH5434" i="1"/>
  <c r="AH4087" i="1"/>
  <c r="AH5435" i="1"/>
  <c r="AH2979" i="1"/>
  <c r="AH1968" i="1"/>
  <c r="AH2531" i="1"/>
  <c r="AH5121" i="1"/>
  <c r="AH3307" i="1"/>
  <c r="AH4679" i="1"/>
  <c r="AH5436" i="1"/>
  <c r="AH4631" i="1"/>
  <c r="AH5128" i="1"/>
  <c r="AH4021" i="1"/>
  <c r="AH3427" i="1"/>
  <c r="AH2132" i="1"/>
  <c r="AH5146" i="1"/>
  <c r="AH3996" i="1"/>
  <c r="AH2743" i="1"/>
  <c r="AH3710" i="1"/>
  <c r="AH3404" i="1"/>
  <c r="AH407" i="1"/>
  <c r="AH11" i="1"/>
  <c r="AH4078" i="1"/>
  <c r="AH4939" i="1"/>
  <c r="AH5143" i="1"/>
  <c r="AH5072" i="1"/>
  <c r="AH3916" i="1"/>
  <c r="AH2708" i="1"/>
  <c r="AH838" i="1"/>
  <c r="AH4858" i="1"/>
  <c r="AH1669" i="1"/>
  <c r="AH4868" i="1"/>
  <c r="AH5233" i="1"/>
  <c r="AH487" i="1"/>
  <c r="AH5208" i="1"/>
  <c r="AH3051" i="1"/>
  <c r="AH4997" i="1"/>
  <c r="AH612" i="1"/>
  <c r="AH4606" i="1"/>
  <c r="AH2077" i="1"/>
  <c r="AH4467" i="1"/>
  <c r="AH2866" i="1"/>
  <c r="AH3039" i="1"/>
  <c r="AH1322" i="1"/>
  <c r="AH4601" i="1"/>
  <c r="AH4986" i="1"/>
  <c r="AH5066" i="1"/>
  <c r="AH2660" i="1"/>
  <c r="AH1562" i="1"/>
  <c r="AH1329" i="1"/>
  <c r="AH1771" i="1"/>
  <c r="AH5437" i="1"/>
  <c r="AH2779" i="1"/>
  <c r="AH3243" i="1"/>
  <c r="AH3918" i="1"/>
  <c r="AH2064" i="1"/>
  <c r="AH2563" i="1"/>
  <c r="AH4259" i="1"/>
  <c r="AH5270" i="1"/>
  <c r="AH4403" i="1"/>
  <c r="AH4017" i="1"/>
  <c r="AH1824" i="1"/>
  <c r="AH1479" i="1"/>
  <c r="AH957" i="1"/>
  <c r="AH1796" i="1"/>
  <c r="AH67" i="1"/>
  <c r="AH2665" i="1"/>
  <c r="AH2937" i="1"/>
  <c r="AH3438" i="1"/>
  <c r="AH3926" i="1"/>
  <c r="AH12" i="1"/>
  <c r="AH5251" i="1"/>
  <c r="AH5438" i="1"/>
  <c r="AH4501" i="1"/>
  <c r="AH1829" i="1"/>
  <c r="AH1963" i="1"/>
  <c r="AH4787" i="1"/>
  <c r="AH3062" i="1"/>
  <c r="AH5439" i="1"/>
  <c r="AH5148" i="1"/>
  <c r="AH4782" i="1"/>
  <c r="AH4706" i="1"/>
  <c r="AH3913" i="1"/>
  <c r="AH1717" i="1"/>
  <c r="AH4905" i="1"/>
  <c r="AH75" i="1"/>
  <c r="AH3330" i="1"/>
  <c r="AH408" i="1"/>
  <c r="AH5061" i="1"/>
  <c r="AH5219" i="1"/>
  <c r="AH3889" i="1"/>
  <c r="AH3449" i="1"/>
  <c r="AH1767" i="1"/>
  <c r="AH2492" i="1"/>
  <c r="AH2287" i="1"/>
  <c r="AH2039" i="1"/>
  <c r="AH2561" i="1"/>
  <c r="AH2129" i="1"/>
  <c r="AH3659" i="1"/>
  <c r="AH2288" i="1"/>
  <c r="AH4476" i="1"/>
  <c r="AH4502" i="1"/>
  <c r="AH1636" i="1"/>
  <c r="AH3845" i="1"/>
  <c r="AH5440" i="1"/>
  <c r="AH1591" i="1"/>
  <c r="AH5172" i="1"/>
  <c r="AH4814" i="1"/>
  <c r="AH4250" i="1"/>
  <c r="AH2126" i="1"/>
  <c r="AH4221" i="1"/>
  <c r="AH4474" i="1"/>
  <c r="AH1525" i="1"/>
  <c r="AH5182" i="1"/>
  <c r="AH5230" i="1"/>
  <c r="AH4338" i="1"/>
  <c r="AH5441" i="1"/>
  <c r="AH4409" i="1"/>
  <c r="AH1507" i="1"/>
  <c r="AH1951" i="1"/>
  <c r="AH2397" i="1"/>
  <c r="AH4988" i="1"/>
  <c r="AH5029" i="1"/>
  <c r="AH4182" i="1"/>
  <c r="AH3396" i="1"/>
  <c r="AH3192" i="1"/>
  <c r="AH3793" i="1"/>
  <c r="AH3553" i="1"/>
  <c r="AH4702" i="1"/>
  <c r="AH3651" i="1"/>
  <c r="AH2256" i="1"/>
  <c r="AH4580" i="1"/>
  <c r="AH3852" i="1"/>
  <c r="AH3309" i="1"/>
  <c r="AH2663" i="1"/>
  <c r="AH3224" i="1"/>
  <c r="AH2117" i="1"/>
  <c r="AH3695" i="1"/>
  <c r="AH3758" i="1"/>
  <c r="AH4325" i="1"/>
  <c r="AH409" i="1"/>
  <c r="AH4532" i="1"/>
  <c r="AH5082" i="1"/>
  <c r="AH4711" i="1"/>
  <c r="AH2945" i="1"/>
  <c r="AH5206" i="1"/>
  <c r="AH5442" i="1"/>
  <c r="AH1177" i="1"/>
  <c r="AH831" i="1"/>
  <c r="AH5443" i="1"/>
  <c r="AH4367" i="1"/>
  <c r="AH1831" i="1"/>
  <c r="AH3124" i="1"/>
  <c r="AH2" i="1"/>
  <c r="AH3107" i="1"/>
  <c r="AH4151" i="1"/>
  <c r="AH5180" i="1"/>
  <c r="AH5444" i="1"/>
  <c r="AH187" i="1"/>
  <c r="AH2787" i="1"/>
  <c r="AH5144" i="1"/>
  <c r="AH2455" i="1"/>
  <c r="AH4807" i="1"/>
  <c r="AH369" i="1"/>
  <c r="AH3276" i="1"/>
  <c r="AH2461" i="1"/>
  <c r="AH1313" i="1"/>
  <c r="AH750" i="1"/>
  <c r="AH1940" i="1"/>
  <c r="AH355" i="1"/>
  <c r="AH3601" i="1"/>
  <c r="AH3025" i="1"/>
  <c r="AH5200" i="1"/>
  <c r="AH3401" i="1"/>
  <c r="AH2175" i="1"/>
  <c r="AH4120" i="1"/>
  <c r="AH3897" i="1"/>
  <c r="AH314" i="1"/>
  <c r="AH1492" i="1"/>
  <c r="AH4885" i="1"/>
  <c r="AH4975" i="1"/>
  <c r="AH3976" i="1"/>
  <c r="AH2632" i="1"/>
  <c r="AH5445" i="1"/>
  <c r="AH4775" i="1"/>
  <c r="AH4983" i="1"/>
  <c r="AH2098" i="1"/>
  <c r="AH13" i="1"/>
  <c r="AH4950" i="1"/>
  <c r="AH4941" i="1"/>
  <c r="AH3331" i="1"/>
  <c r="AH2200" i="1"/>
  <c r="AH1006" i="1"/>
  <c r="AH4893" i="1"/>
  <c r="AH2085" i="1"/>
  <c r="AH4268" i="1"/>
  <c r="AH2622" i="1"/>
  <c r="AH1890" i="1"/>
  <c r="AH3841" i="1"/>
  <c r="AH4564" i="1"/>
  <c r="AH4966" i="1"/>
  <c r="AH2631" i="1"/>
  <c r="AH4284" i="1"/>
  <c r="AH1224" i="1"/>
  <c r="AH4102" i="1"/>
  <c r="AH3274" i="1"/>
  <c r="AH2275" i="1"/>
  <c r="AH4180" i="1"/>
  <c r="AH3084" i="1"/>
  <c r="AH4781" i="1"/>
  <c r="AH2432" i="1"/>
  <c r="AH1812" i="1"/>
  <c r="AH3403" i="1"/>
  <c r="AH5209" i="1"/>
  <c r="AH1016" i="1"/>
  <c r="AH4368" i="1"/>
  <c r="AH1786" i="1"/>
  <c r="AH4987" i="1"/>
  <c r="AH927" i="1"/>
  <c r="AH4728" i="1"/>
  <c r="AH2431" i="1"/>
  <c r="AH5186" i="1"/>
  <c r="AH2609" i="1"/>
  <c r="AH770" i="1"/>
  <c r="AH956" i="1"/>
  <c r="AH1441" i="1"/>
  <c r="AH4172" i="1"/>
  <c r="AH5113" i="1"/>
  <c r="AH3428" i="1"/>
  <c r="AH3429" i="1"/>
  <c r="AH2932" i="1"/>
  <c r="AH3943" i="1"/>
  <c r="AH2901" i="1"/>
  <c r="AH2165" i="1"/>
  <c r="AH3727" i="1"/>
  <c r="AH3902" i="1"/>
  <c r="AH4906" i="1"/>
  <c r="AH2750" i="1"/>
  <c r="AH1435" i="1"/>
  <c r="AH4261" i="1"/>
  <c r="AH3379" i="1"/>
  <c r="AH4839" i="1"/>
  <c r="AH847" i="1"/>
  <c r="AH19" i="1"/>
  <c r="AH1732" i="1"/>
  <c r="AH2911" i="1"/>
  <c r="AH5153" i="1"/>
  <c r="AH3121" i="1"/>
  <c r="AH4218" i="1"/>
  <c r="AH1986" i="1"/>
  <c r="AH3962" i="1"/>
  <c r="AH4352" i="1"/>
  <c r="AH5271" i="1"/>
  <c r="AH2128" i="1"/>
  <c r="AH4386" i="1"/>
  <c r="AH4094" i="1"/>
  <c r="AH4540" i="1"/>
  <c r="AH1660" i="1"/>
  <c r="AH1764" i="1"/>
  <c r="AH3050" i="1"/>
  <c r="AH2493" i="1"/>
  <c r="AH4124" i="1"/>
  <c r="AH4433" i="1"/>
  <c r="AH4509" i="1"/>
  <c r="AH2476" i="1"/>
  <c r="AH2637" i="1"/>
  <c r="AH1265" i="1"/>
  <c r="AH20" i="1"/>
  <c r="AH3288" i="1"/>
  <c r="AH2775" i="1"/>
  <c r="AH5078" i="1"/>
  <c r="AH2958" i="1"/>
  <c r="AH5140" i="1"/>
  <c r="AH5446" i="1"/>
  <c r="AH1248" i="1"/>
  <c r="AH2456" i="1"/>
  <c r="AH4315" i="1"/>
  <c r="AH4475" i="1"/>
  <c r="AH1526" i="1"/>
  <c r="AH4720" i="1"/>
  <c r="AH562" i="1"/>
  <c r="AH1509" i="1"/>
  <c r="AH1679" i="1"/>
  <c r="AH1074" i="1"/>
  <c r="AH5133" i="1"/>
  <c r="AH4058" i="1"/>
  <c r="AH4938" i="1"/>
  <c r="AH3870" i="1"/>
  <c r="AH5447" i="1"/>
  <c r="AH4465" i="1"/>
  <c r="AH4374" i="1"/>
  <c r="AH3687" i="1"/>
  <c r="AH781" i="1"/>
  <c r="AH4231" i="1"/>
  <c r="AH5249" i="1"/>
  <c r="AH4164" i="1"/>
  <c r="AH4525" i="1"/>
  <c r="AH4411" i="1"/>
  <c r="AH4242" i="1"/>
  <c r="AH5448" i="1"/>
  <c r="AH4908" i="1"/>
  <c r="AH5101" i="1"/>
  <c r="AH4073" i="1"/>
  <c r="AH4174" i="1"/>
  <c r="AH893" i="1"/>
  <c r="AH3591" i="1"/>
  <c r="AH2948" i="1"/>
  <c r="AH3501" i="1"/>
  <c r="AH1795" i="1"/>
  <c r="AH5449" i="1"/>
  <c r="AH3256" i="1"/>
  <c r="AH1007" i="1"/>
  <c r="AH5450" i="1"/>
  <c r="AH3842" i="1"/>
  <c r="AH5030" i="1"/>
  <c r="AH4812" i="1"/>
  <c r="AH3968" i="1"/>
  <c r="AH4339" i="1"/>
  <c r="AH3467" i="1"/>
  <c r="AH4090" i="1"/>
  <c r="AH796" i="1"/>
  <c r="AH4834" i="1"/>
  <c r="AH4749" i="1"/>
  <c r="AH1490" i="1"/>
  <c r="AH5099" i="1"/>
  <c r="AH1937" i="1"/>
  <c r="AH170" i="1"/>
  <c r="AH5451" i="1"/>
  <c r="AH3419" i="1"/>
  <c r="AH3624" i="1"/>
  <c r="AH5163" i="1"/>
  <c r="AH5088" i="1"/>
  <c r="AH2870" i="1"/>
  <c r="AH5110" i="1"/>
  <c r="AH5452" i="1"/>
  <c r="AH2443" i="1"/>
  <c r="AH2172" i="1"/>
  <c r="AH4583" i="1"/>
  <c r="AH5040" i="1"/>
  <c r="AH2623" i="1"/>
  <c r="AH5094" i="1"/>
  <c r="AH2299" i="1"/>
  <c r="AH3551" i="1"/>
  <c r="AH1921" i="1"/>
  <c r="AH4007" i="1"/>
  <c r="AH4443" i="1"/>
  <c r="AH1280" i="1"/>
  <c r="AH1291" i="1"/>
  <c r="AH5453" i="1"/>
  <c r="AH3944" i="1"/>
  <c r="AH5239" i="1"/>
  <c r="AH4751" i="1"/>
  <c r="AH4811" i="1"/>
  <c r="AH2150" i="1"/>
  <c r="AH3483" i="1"/>
  <c r="AH1678" i="1"/>
  <c r="AH4676" i="1"/>
  <c r="AH3803" i="1"/>
  <c r="AH5454" i="1"/>
  <c r="AH559" i="1"/>
  <c r="AH2480" i="1"/>
  <c r="AH2848" i="1"/>
  <c r="AH934" i="1"/>
  <c r="AH463" i="1"/>
  <c r="AH1319" i="1"/>
  <c r="AH1627" i="1"/>
  <c r="AH4560" i="1"/>
  <c r="AH1043" i="1"/>
  <c r="AH5455" i="1"/>
  <c r="AH4783" i="1"/>
  <c r="AH2301" i="1"/>
  <c r="AH462" i="1"/>
  <c r="AH2638" i="1"/>
  <c r="AH4921" i="1"/>
  <c r="AH2390" i="1"/>
  <c r="AH1614" i="1"/>
  <c r="AH5456" i="1"/>
  <c r="AH5027" i="1"/>
  <c r="AH1640" i="1"/>
  <c r="AH4299" i="1"/>
  <c r="AH3577" i="1"/>
  <c r="AH1893" i="1"/>
  <c r="AH2202" i="1"/>
  <c r="AH1281" i="1"/>
  <c r="AH3770" i="1"/>
  <c r="AH4256" i="1"/>
  <c r="AH4173" i="1"/>
  <c r="AH5457" i="1"/>
  <c r="AH1842" i="1"/>
  <c r="AH829" i="1"/>
  <c r="AH1644" i="1"/>
  <c r="AH2353" i="1"/>
  <c r="AH797" i="1"/>
  <c r="AH4127" i="1"/>
  <c r="AH4927" i="1"/>
  <c r="AH1942" i="1"/>
  <c r="AH1883" i="1"/>
  <c r="AH4064" i="1"/>
  <c r="AH3292" i="1"/>
  <c r="AH2160" i="1"/>
  <c r="AH2571" i="1"/>
  <c r="AH5458" i="1"/>
  <c r="AH5459" i="1"/>
  <c r="AH4888" i="1"/>
  <c r="AH2163" i="1"/>
  <c r="AH2758" i="1"/>
  <c r="AH4190" i="1"/>
  <c r="AH4508" i="1"/>
  <c r="AH4602" i="1"/>
  <c r="AH5005" i="1"/>
  <c r="AH4495" i="1"/>
  <c r="AH3500" i="1"/>
  <c r="AH3457" i="1"/>
  <c r="AH4991" i="1"/>
  <c r="AH2070" i="1"/>
  <c r="AH4233" i="1"/>
  <c r="AH1991" i="1"/>
  <c r="AH4936" i="1"/>
  <c r="AH4357" i="1"/>
  <c r="AH389" i="1"/>
  <c r="AH4574" i="1"/>
  <c r="AH1740" i="1"/>
  <c r="AH5460" i="1"/>
  <c r="AH5071" i="1"/>
  <c r="AH5461" i="1"/>
  <c r="AH5131" i="1"/>
  <c r="AH5282" i="1"/>
  <c r="AH4566" i="1"/>
  <c r="AH4215" i="1"/>
  <c r="AH821" i="1"/>
  <c r="AH4998" i="1"/>
  <c r="AH5020" i="1"/>
  <c r="AH4548" i="1"/>
  <c r="AH3015" i="1"/>
  <c r="AH2722" i="1"/>
  <c r="AH5070" i="1"/>
  <c r="AH1429" i="1"/>
  <c r="AH3169" i="1"/>
  <c r="AH4394" i="1"/>
  <c r="AH4290" i="1"/>
  <c r="AH4901" i="1"/>
  <c r="AH4968" i="1"/>
  <c r="AH4571" i="1"/>
  <c r="AH4391" i="1"/>
  <c r="AH1784" i="1"/>
  <c r="AH2337" i="1"/>
  <c r="AH3569" i="1"/>
  <c r="AH5003" i="1"/>
  <c r="AH2329" i="1"/>
  <c r="AH2297" i="1"/>
  <c r="AH1802" i="1"/>
  <c r="AH5229" i="1"/>
  <c r="AH3215" i="1"/>
  <c r="AH1835" i="1"/>
  <c r="AH5073" i="1"/>
  <c r="AH5462" i="1"/>
  <c r="AH2006" i="1"/>
  <c r="AH4478" i="1"/>
  <c r="AH949" i="1"/>
  <c r="AH3745" i="1"/>
  <c r="AH2134" i="1"/>
  <c r="AH5266" i="1"/>
  <c r="AH4262" i="1"/>
  <c r="AH4418" i="1"/>
  <c r="AH4639" i="1"/>
  <c r="AH3076" i="1"/>
  <c r="AH4248" i="1"/>
  <c r="AH4503" i="1"/>
  <c r="AH2639" i="1"/>
  <c r="AH5463" i="1"/>
  <c r="AH3907" i="1"/>
  <c r="AH3763" i="1"/>
  <c r="AH3445" i="1"/>
  <c r="AH2863" i="1"/>
  <c r="AH4994" i="1"/>
  <c r="AH2838" i="1"/>
  <c r="AH4541" i="1"/>
  <c r="AH2135" i="1"/>
  <c r="AH5464" i="1"/>
  <c r="AH1259" i="1"/>
  <c r="AH3466" i="1"/>
  <c r="AH4272" i="1"/>
  <c r="AH2306" i="1"/>
  <c r="AH14" i="1"/>
  <c r="AH4829" i="1"/>
  <c r="AH4662" i="1"/>
  <c r="AH5139" i="1"/>
  <c r="AH3951" i="1"/>
  <c r="AH21" i="1"/>
  <c r="AH4498" i="1"/>
  <c r="AH268" i="1"/>
  <c r="AH3562" i="1"/>
  <c r="AH4687" i="1"/>
  <c r="AH1885" i="1"/>
  <c r="AH2406" i="1"/>
  <c r="AH1965" i="1"/>
  <c r="AH2037" i="1"/>
  <c r="AH4977" i="1"/>
  <c r="AH3615" i="1"/>
  <c r="AH2687" i="1"/>
  <c r="AH2419" i="1"/>
  <c r="AH3187" i="1"/>
  <c r="AH3917" i="1"/>
  <c r="AH5273" i="1"/>
  <c r="AH3935" i="1"/>
  <c r="AH5465" i="1"/>
  <c r="AH2590" i="1"/>
  <c r="AH4084" i="1"/>
  <c r="AH2579" i="1"/>
  <c r="AH3750" i="1"/>
  <c r="AH2994" i="1"/>
  <c r="AH5466" i="1"/>
  <c r="AH3898" i="1"/>
  <c r="AH3714" i="1"/>
  <c r="AH4561" i="1"/>
  <c r="AH1439" i="1"/>
  <c r="AH4886" i="1"/>
  <c r="AH3285" i="1"/>
  <c r="AH5467" i="1"/>
  <c r="AH4744" i="1"/>
  <c r="AH4354" i="1"/>
  <c r="AH2556" i="1"/>
  <c r="AH15" i="1"/>
  <c r="AH3766" i="1"/>
  <c r="AH4060" i="1"/>
  <c r="AH4239" i="1"/>
  <c r="AH2993" i="1"/>
  <c r="AH5012" i="1"/>
  <c r="AH1958" i="1"/>
  <c r="AH3253" i="1"/>
  <c r="AH926" i="1"/>
  <c r="AH2580" i="1"/>
  <c r="AH3077" i="1"/>
  <c r="AH2278" i="1"/>
  <c r="AH1443" i="1"/>
  <c r="AH3048" i="1"/>
  <c r="AH3247" i="1"/>
  <c r="AH2959" i="1"/>
  <c r="AH1072" i="1"/>
  <c r="AH4420" i="1"/>
  <c r="AH3473" i="1"/>
  <c r="AH3222" i="1"/>
  <c r="AH5129" i="1"/>
  <c r="AH2577" i="1"/>
  <c r="AH3994" i="1"/>
  <c r="AH1141" i="1"/>
  <c r="AH2220" i="1"/>
  <c r="AH1279" i="1"/>
  <c r="AH5048" i="1"/>
  <c r="AH2583" i="1"/>
  <c r="AH3977" i="1"/>
  <c r="AH3458" i="1"/>
  <c r="AH3676" i="1"/>
  <c r="AH3631" i="1"/>
  <c r="AH3240" i="1"/>
  <c r="AH558" i="1"/>
  <c r="AH4344" i="1"/>
  <c r="AH5201" i="1"/>
  <c r="AH5468" i="1"/>
  <c r="AH4270" i="1"/>
  <c r="AH5469" i="1"/>
  <c r="AH3078" i="1"/>
  <c r="AH4709" i="1"/>
  <c r="AH1716" i="1"/>
  <c r="AH1725" i="1"/>
  <c r="AH2071" i="1"/>
  <c r="AH1904" i="1"/>
  <c r="AH1971" i="1"/>
  <c r="AH4795" i="1"/>
  <c r="AH4563" i="1"/>
  <c r="AH4680" i="1"/>
  <c r="AH1148" i="1"/>
  <c r="AH1833" i="1"/>
  <c r="AH5199" i="1"/>
  <c r="AH4432" i="1"/>
  <c r="AH2986" i="1"/>
  <c r="AH3096" i="1"/>
  <c r="AH2380" i="1"/>
  <c r="AH3448" i="1"/>
  <c r="AH5470" i="1"/>
  <c r="AH5471" i="1"/>
  <c r="AH2781" i="1"/>
  <c r="AH1527" i="1"/>
  <c r="AH4533" i="1"/>
  <c r="AH4345" i="1"/>
  <c r="AH4024" i="1"/>
  <c r="AH3507" i="1"/>
  <c r="AH1383" i="1"/>
  <c r="AH3254" i="1"/>
  <c r="AH5472" i="1"/>
  <c r="AH3475" i="1"/>
  <c r="AH5060" i="1"/>
  <c r="AH4515" i="1"/>
  <c r="AH2289" i="1"/>
  <c r="AH1501" i="1"/>
  <c r="AH2230" i="1"/>
  <c r="AH2494" i="1"/>
  <c r="AH2673" i="1"/>
  <c r="AH4910" i="1"/>
  <c r="AH3257" i="1"/>
  <c r="AH4347" i="1"/>
  <c r="AH3004" i="1"/>
  <c r="AH2139" i="1"/>
  <c r="AH4967" i="1"/>
  <c r="AH5147" i="1"/>
  <c r="AH3369" i="1"/>
  <c r="AH4958" i="1"/>
  <c r="AH3346" i="1"/>
  <c r="AH5056" i="1"/>
  <c r="AH4393" i="1"/>
  <c r="AH4780" i="1"/>
  <c r="AH1275" i="1"/>
  <c r="AH4890" i="1"/>
  <c r="AH1119" i="1"/>
  <c r="AH1810" i="1"/>
  <c r="AH4488" i="1"/>
  <c r="AH2088" i="1"/>
  <c r="AH951" i="1"/>
  <c r="AH3903" i="1"/>
  <c r="AH4843" i="1"/>
  <c r="AH5265" i="1"/>
  <c r="AH4765" i="1"/>
  <c r="AH5217" i="1"/>
  <c r="AH4970" i="1"/>
  <c r="AH410" i="1"/>
  <c r="AH2999" i="1"/>
  <c r="AH4969" i="1"/>
  <c r="AH2586" i="1"/>
  <c r="AH1343" i="1"/>
  <c r="AH5473" i="1"/>
  <c r="AH3002" i="1"/>
  <c r="AH4081" i="1"/>
  <c r="AH5036" i="1"/>
  <c r="AH4796" i="1"/>
  <c r="AH4003" i="1"/>
  <c r="AH4004" i="1"/>
  <c r="AH5474" i="1"/>
  <c r="AH3617" i="1"/>
  <c r="AH5475" i="1"/>
  <c r="AH5476" i="1"/>
  <c r="AH5477" i="1"/>
  <c r="AH2940" i="1"/>
  <c r="AH495" i="1"/>
  <c r="AH4892" i="1"/>
  <c r="AH4800" i="1"/>
  <c r="AH1773" i="1"/>
  <c r="AH4848" i="1"/>
  <c r="AH3044" i="1"/>
  <c r="AH5478" i="1"/>
  <c r="AH1103" i="1"/>
  <c r="AH3176" i="1"/>
  <c r="AH2686" i="1"/>
  <c r="AH1901" i="1"/>
  <c r="AH5479" i="1"/>
  <c r="AH2354" i="1"/>
  <c r="AH4361" i="1"/>
  <c r="AH5480" i="1"/>
  <c r="AH4865" i="1"/>
  <c r="AH4808" i="1"/>
  <c r="AH2012" i="1"/>
  <c r="AH2344" i="1"/>
  <c r="AH4713" i="1"/>
  <c r="AH3216" i="1"/>
  <c r="AH4056" i="1"/>
  <c r="AH683" i="1"/>
  <c r="AH2224" i="1"/>
  <c r="AH4046" i="1"/>
  <c r="AH5169" i="1"/>
  <c r="AH3955" i="1"/>
  <c r="AH4736" i="1"/>
  <c r="AH2252" i="1"/>
  <c r="AH1843" i="1"/>
  <c r="AH915" i="1"/>
  <c r="AH3614" i="1"/>
  <c r="AH3709" i="1"/>
  <c r="AH5203" i="1"/>
  <c r="AH4303" i="1"/>
  <c r="AH3838" i="1"/>
  <c r="AH1368" i="1"/>
  <c r="AH5205" i="1"/>
  <c r="AH4225" i="1"/>
  <c r="AH1369" i="1"/>
  <c r="AH4665" i="1"/>
  <c r="AH3830" i="1"/>
  <c r="AH3172" i="1"/>
  <c r="AH4302" i="1"/>
  <c r="AH2441" i="1"/>
  <c r="AH5167" i="1"/>
  <c r="AH2254" i="1"/>
  <c r="AH3991" i="1"/>
  <c r="AH2891" i="1"/>
  <c r="AH4598" i="1"/>
  <c r="AH3519" i="1"/>
  <c r="AH180" i="1"/>
  <c r="AH22" i="1"/>
  <c r="AH3378" i="1"/>
  <c r="AH4422" i="1"/>
  <c r="AH3474" i="1"/>
  <c r="AH5481" i="1"/>
  <c r="AH513" i="1"/>
  <c r="AH4610" i="1"/>
  <c r="AH4722" i="1"/>
  <c r="AH2204" i="1"/>
  <c r="AH3324" i="1"/>
  <c r="AH532" i="1"/>
  <c r="AH2237" i="1"/>
  <c r="AH2548" i="1"/>
  <c r="AH4323" i="1"/>
  <c r="AH2852" i="1"/>
  <c r="AH1494" i="1"/>
  <c r="AH5482" i="1"/>
  <c r="AH5483" i="1"/>
  <c r="AH841" i="1"/>
  <c r="AH2977" i="1"/>
  <c r="AH5484" i="1"/>
  <c r="AH1844" i="1"/>
  <c r="AH1109" i="1"/>
  <c r="AH3813" i="1"/>
  <c r="AH4760" i="1"/>
  <c r="AH2903" i="1"/>
  <c r="AH2470" i="1"/>
  <c r="AH1603" i="1"/>
  <c r="AH5485" i="1"/>
  <c r="AH2066" i="1"/>
  <c r="AH5076" i="1"/>
  <c r="AH5486" i="1"/>
  <c r="AH3421" i="1"/>
  <c r="AH4933" i="1"/>
  <c r="AH4956" i="1"/>
  <c r="AH5487" i="1"/>
  <c r="AH3060" i="1"/>
  <c r="AH1255" i="1"/>
  <c r="AH4191" i="1"/>
  <c r="AH2399" i="1"/>
  <c r="AH1845" i="1"/>
  <c r="AH2036" i="1"/>
  <c r="AH3022" i="1"/>
  <c r="AH4425" i="1"/>
  <c r="AH1384" i="1"/>
  <c r="AH1846" i="1"/>
  <c r="AH1487" i="1"/>
  <c r="AH5488" i="1"/>
  <c r="AH1038" i="1"/>
  <c r="AH5196" i="1"/>
  <c r="AH3931" i="1"/>
  <c r="AH5489" i="1"/>
  <c r="AH5490" i="1"/>
  <c r="AH1528" i="1"/>
  <c r="AH5491" i="1"/>
  <c r="AH5492" i="1"/>
  <c r="AH3874" i="1"/>
  <c r="AH2559" i="1"/>
  <c r="AH3952" i="1"/>
  <c r="AH2960" i="1"/>
  <c r="AH4636" i="1"/>
  <c r="AH1276" i="1"/>
  <c r="AH5493" i="1"/>
  <c r="AH2655" i="1"/>
  <c r="AH3038" i="1"/>
  <c r="AH3563" i="1"/>
  <c r="AH3871" i="1"/>
  <c r="AH995" i="1"/>
  <c r="AH3143" i="1"/>
  <c r="AH1688" i="1"/>
  <c r="AH2445" i="1"/>
  <c r="AH5494" i="1"/>
  <c r="AH4862" i="1"/>
  <c r="AH1042" i="1"/>
  <c r="AH2894" i="1"/>
  <c r="AH5052" i="1"/>
  <c r="AH5495" i="1"/>
  <c r="AH4237" i="1"/>
  <c r="AH512" i="1"/>
  <c r="AH5496" i="1"/>
  <c r="AH1327" i="1"/>
  <c r="AH1928" i="1"/>
  <c r="AH3277" i="1"/>
  <c r="AH2913" i="1"/>
  <c r="AH2884" i="1"/>
  <c r="AH5234" i="1"/>
  <c r="AH2080" i="1"/>
  <c r="AH3516" i="1"/>
  <c r="AH4556" i="1"/>
  <c r="AH5497" i="1"/>
  <c r="AH3408" i="1"/>
  <c r="AH1158" i="1"/>
  <c r="AH1649" i="1"/>
  <c r="AH1847" i="1"/>
  <c r="AH4232" i="1"/>
  <c r="AH2144" i="1"/>
  <c r="AH3728" i="1"/>
  <c r="AH3499" i="1"/>
  <c r="AH3249" i="1"/>
  <c r="AH1254" i="1"/>
  <c r="AH3409" i="1"/>
  <c r="AH2796" i="1"/>
  <c r="AH2277" i="1"/>
  <c r="AH3690" i="1"/>
  <c r="AH4032" i="1"/>
  <c r="AH1589" i="1"/>
  <c r="AH654" i="1"/>
  <c r="AH2766" i="1"/>
  <c r="AH3906" i="1"/>
  <c r="AH1462" i="1"/>
  <c r="AH3640" i="1"/>
  <c r="AH3284" i="1"/>
  <c r="AH1992" i="1"/>
  <c r="AH1340" i="1"/>
  <c r="AH2495" i="1"/>
  <c r="AH3020" i="1"/>
  <c r="AH3729" i="1"/>
  <c r="AH5220" i="1"/>
  <c r="AH1745" i="1"/>
  <c r="AH3856" i="1"/>
  <c r="AH3303" i="1"/>
  <c r="AH1983" i="1"/>
  <c r="AH2640" i="1"/>
  <c r="AH4472" i="1"/>
  <c r="AH4063" i="1"/>
  <c r="AH2013" i="1"/>
  <c r="AH5498" i="1"/>
  <c r="AH2689" i="1"/>
  <c r="AH5267" i="1"/>
  <c r="AH341" i="1"/>
  <c r="AH5499" i="1"/>
  <c r="AH4334" i="1"/>
  <c r="AH2103" i="1"/>
  <c r="AH2486" i="1"/>
  <c r="AH4121" i="1"/>
  <c r="AH2603" i="1"/>
  <c r="AH3199" i="1"/>
  <c r="AH851" i="1"/>
  <c r="AH2042" i="1"/>
  <c r="AH5184" i="1"/>
  <c r="AH3767" i="1"/>
  <c r="AH1938" i="1"/>
  <c r="AH3804" i="1"/>
  <c r="AH4341" i="1"/>
  <c r="AH2054" i="1"/>
  <c r="AH2747" i="1"/>
  <c r="AH4067" i="1"/>
  <c r="AH3607" i="1"/>
  <c r="AH5500" i="1"/>
  <c r="AH2295" i="1"/>
  <c r="AH891" i="1"/>
  <c r="AH5127" i="1"/>
  <c r="AH2396" i="1"/>
  <c r="AH1385" i="1"/>
  <c r="AH1774" i="1"/>
  <c r="AH3348" i="1"/>
  <c r="AH3769" i="1"/>
  <c r="AH2995" i="1"/>
  <c r="AH2817" i="1"/>
  <c r="AH1505" i="1"/>
  <c r="AH2595" i="1"/>
  <c r="AH3075" i="1"/>
  <c r="AH2327" i="1"/>
  <c r="AH4071" i="1"/>
  <c r="AH2734" i="1"/>
  <c r="AH3909" i="1"/>
  <c r="AH2797" i="1"/>
  <c r="AH3283" i="1"/>
  <c r="AH2591" i="1"/>
  <c r="AH2555" i="1"/>
  <c r="AH2167" i="1"/>
  <c r="AH2843" i="1"/>
  <c r="AH4415" i="1"/>
  <c r="AH822" i="1"/>
  <c r="AH5501" i="1"/>
  <c r="AH4192" i="1"/>
  <c r="AH1623" i="1"/>
  <c r="AH5123" i="1"/>
  <c r="AH3232" i="1"/>
  <c r="AH5502" i="1"/>
  <c r="AH469" i="1"/>
  <c r="AH4160" i="1"/>
  <c r="AH5081" i="1"/>
  <c r="AH3939" i="1"/>
  <c r="AH5503" i="1"/>
  <c r="AH2718" i="1"/>
  <c r="AH3003" i="1"/>
  <c r="AH4296" i="1"/>
  <c r="AH3189" i="1"/>
  <c r="AH4228" i="1"/>
  <c r="AH2798" i="1"/>
  <c r="AH2543" i="1"/>
  <c r="AH4426" i="1"/>
  <c r="AH1689" i="1"/>
  <c r="AH5504" i="1"/>
  <c r="AH3529" i="1"/>
  <c r="AH2408" i="1"/>
  <c r="AH158" i="1"/>
  <c r="AH3953" i="1"/>
  <c r="AH3598" i="1"/>
  <c r="AH1782" i="1"/>
  <c r="AH5505" i="1"/>
  <c r="AH5506" i="1"/>
  <c r="AH2014" i="1"/>
  <c r="AH2058" i="1"/>
  <c r="AH4562" i="1"/>
  <c r="AH2949" i="1"/>
  <c r="AH2827" i="1"/>
  <c r="AH2836" i="1"/>
  <c r="AH3185" i="1"/>
  <c r="AH2311" i="1"/>
  <c r="AH1966" i="1"/>
  <c r="AH4907" i="1"/>
  <c r="AH649" i="1"/>
  <c r="AH1192" i="1"/>
  <c r="AH2759" i="1"/>
  <c r="AH3892" i="1"/>
  <c r="AH1126" i="1"/>
  <c r="AH5507" i="1"/>
  <c r="AH1848" i="1"/>
  <c r="AH2496" i="1"/>
  <c r="AH632" i="1"/>
  <c r="AH3144" i="1"/>
  <c r="AH1946" i="1"/>
  <c r="AH1131" i="1"/>
  <c r="AH2339" i="1"/>
  <c r="AH2055" i="1"/>
  <c r="AH5508" i="1"/>
  <c r="AH2141" i="1"/>
  <c r="AH2574" i="1"/>
  <c r="AH3281" i="1"/>
  <c r="AH4895" i="1"/>
  <c r="AH3190" i="1"/>
  <c r="AH516" i="1"/>
  <c r="AH4371" i="1"/>
  <c r="AH1813" i="1"/>
  <c r="AH2656" i="1"/>
  <c r="AH4666" i="1"/>
  <c r="AH3201" i="1"/>
  <c r="AH2169" i="1"/>
  <c r="AH493" i="1"/>
  <c r="AH5075" i="1"/>
  <c r="AH3564" i="1"/>
  <c r="AH1476" i="1"/>
  <c r="AH5509" i="1"/>
  <c r="AH3472" i="1"/>
  <c r="AH2102" i="1"/>
  <c r="AH2481" i="1"/>
  <c r="AH5510" i="1"/>
  <c r="AH867" i="1"/>
  <c r="AH1808" i="1"/>
  <c r="AH1945" i="1"/>
  <c r="AH4266" i="1"/>
  <c r="AH531" i="1"/>
  <c r="AH1891" i="1"/>
  <c r="AH3620" i="1"/>
  <c r="AH4567" i="1"/>
  <c r="AH2607" i="1"/>
  <c r="AH4069" i="1"/>
  <c r="AH3805" i="1"/>
  <c r="AH4855" i="1"/>
  <c r="AH545" i="1"/>
  <c r="AH4134" i="1"/>
  <c r="AH3264" i="1"/>
  <c r="AH4450" i="1"/>
  <c r="AH4740" i="1"/>
  <c r="AH1330" i="1"/>
  <c r="AH3753" i="1"/>
  <c r="AH1019" i="1"/>
  <c r="AH2412" i="1"/>
  <c r="AH2529" i="1"/>
  <c r="AH310" i="1"/>
  <c r="AH4440" i="1"/>
  <c r="AH556" i="1"/>
  <c r="AH3261" i="1"/>
  <c r="AH3678" i="1"/>
  <c r="AH3082" i="1"/>
  <c r="AH2888" i="1"/>
  <c r="AH4306" i="1"/>
  <c r="AH3381" i="1"/>
  <c r="AH2497" i="1"/>
  <c r="AH2405" i="1"/>
  <c r="AH2951" i="1"/>
  <c r="AH3612" i="1"/>
  <c r="AH1962" i="1"/>
  <c r="AH476" i="1"/>
  <c r="AH3840" i="1"/>
  <c r="AH4350" i="1"/>
  <c r="AH2592" i="1"/>
  <c r="AH3670" i="1"/>
  <c r="AH2062" i="1"/>
  <c r="AH823" i="1"/>
  <c r="AH1436" i="1"/>
  <c r="AH3120" i="1"/>
  <c r="AH1756" i="1"/>
  <c r="AH1879" i="1"/>
  <c r="AH4923" i="1"/>
  <c r="AH5019" i="1"/>
  <c r="AH3635" i="1"/>
  <c r="AH2527" i="1"/>
  <c r="AH3145" i="1"/>
  <c r="AH3634" i="1"/>
  <c r="AH4406" i="1"/>
  <c r="AH3146" i="1"/>
  <c r="AH3484" i="1"/>
  <c r="AH5162" i="1"/>
  <c r="AH4254" i="1"/>
  <c r="AH4294" i="1"/>
  <c r="AH5114" i="1"/>
  <c r="AH5511" i="1"/>
  <c r="AH2285" i="1"/>
  <c r="AH3743" i="1"/>
  <c r="AH3147" i="1"/>
  <c r="AH4451" i="1"/>
  <c r="AH3312" i="1"/>
  <c r="AH3699" i="1"/>
  <c r="AH1894" i="1"/>
  <c r="AH4932" i="1"/>
  <c r="AH812" i="1"/>
  <c r="AH2176" i="1"/>
  <c r="AH830" i="1"/>
  <c r="AH4314" i="1"/>
  <c r="AH5092" i="1"/>
  <c r="AH4022" i="1"/>
  <c r="AH4785" i="1"/>
  <c r="AH3677" i="1"/>
  <c r="AH4985" i="1"/>
  <c r="AH5512" i="1"/>
  <c r="AH400" i="1"/>
  <c r="AH3650" i="1"/>
  <c r="AH2415" i="1"/>
  <c r="AH3887" i="1"/>
  <c r="AH3971" i="1"/>
  <c r="AH3582" i="1"/>
  <c r="AH3198" i="1"/>
  <c r="AH5513" i="1"/>
  <c r="AH2533" i="1"/>
  <c r="AH2799" i="1"/>
  <c r="AH2978" i="1"/>
  <c r="AH3508" i="1"/>
  <c r="AH1246" i="1"/>
  <c r="AH4552" i="1"/>
  <c r="AH2279" i="1"/>
  <c r="AH4856" i="1"/>
  <c r="AH2110" i="1"/>
  <c r="AH1849" i="1"/>
  <c r="AH4894" i="1"/>
  <c r="AH1144" i="1"/>
  <c r="AH2822" i="1"/>
  <c r="AH5514" i="1"/>
  <c r="AH467" i="1"/>
  <c r="AH3782" i="1"/>
  <c r="AH4005" i="1"/>
  <c r="AH1964" i="1"/>
  <c r="AH5515" i="1"/>
  <c r="AH3355" i="1"/>
  <c r="AH4520" i="1"/>
  <c r="AH1496" i="1"/>
  <c r="AH5516" i="1"/>
  <c r="AH3599" i="1"/>
  <c r="AH4092" i="1"/>
  <c r="AH1880" i="1"/>
  <c r="AH1386" i="1"/>
  <c r="AH2953" i="1"/>
  <c r="AH4794" i="1"/>
  <c r="AH4370" i="1"/>
  <c r="AH2355" i="1"/>
  <c r="AH795" i="1"/>
  <c r="AH4691" i="1"/>
  <c r="AH2231" i="1"/>
  <c r="AH299" i="1"/>
  <c r="AH3043" i="1"/>
  <c r="AH3397" i="1"/>
  <c r="AH4550" i="1"/>
  <c r="AH5238" i="1"/>
  <c r="AH2862" i="1"/>
  <c r="AH1262" i="1"/>
  <c r="AH3520" i="1"/>
  <c r="AH3802" i="1"/>
  <c r="AH3385" i="1"/>
  <c r="AH3218" i="1"/>
  <c r="AH998" i="1"/>
  <c r="AH425" i="1"/>
  <c r="AH4469" i="1"/>
  <c r="AH1258" i="1"/>
  <c r="AH3784" i="1"/>
  <c r="AH2738" i="1"/>
  <c r="AH3957" i="1"/>
  <c r="AH2980" i="1"/>
  <c r="AH3960" i="1"/>
  <c r="AH4053" i="1"/>
  <c r="AH4826" i="1"/>
  <c r="AH1721" i="1"/>
  <c r="AH3166" i="1"/>
  <c r="AH5517" i="1"/>
  <c r="AH2068" i="1"/>
  <c r="AH3884" i="1"/>
  <c r="AH3325" i="1"/>
  <c r="AH2152" i="1"/>
  <c r="AH4468" i="1"/>
  <c r="AH560" i="1"/>
  <c r="AH1624" i="1"/>
  <c r="AH1529" i="1"/>
  <c r="AH818" i="1"/>
  <c r="AH5258" i="1"/>
  <c r="AH4716" i="1"/>
  <c r="AH3530" i="1"/>
  <c r="AH3081" i="1"/>
  <c r="AH1790" i="1"/>
  <c r="AH2100" i="1"/>
  <c r="AH1629" i="1"/>
  <c r="AH1605" i="1"/>
  <c r="AH4632" i="1"/>
  <c r="AH5518" i="1"/>
  <c r="AH3827" i="1"/>
  <c r="AH3777" i="1"/>
  <c r="AH3972" i="1"/>
  <c r="AH1267" i="1"/>
  <c r="AH4511" i="1"/>
  <c r="AH1618" i="1"/>
  <c r="AH1530" i="1"/>
  <c r="AH4889" i="1"/>
  <c r="AH3947" i="1"/>
  <c r="AH4522" i="1"/>
  <c r="AH4193" i="1"/>
  <c r="AH2096" i="1"/>
  <c r="AH1797" i="1"/>
  <c r="AH3235" i="1"/>
  <c r="AH4351" i="1"/>
  <c r="AH5519" i="1"/>
  <c r="AH5520" i="1"/>
  <c r="AH3978" i="1"/>
  <c r="AH885" i="1"/>
  <c r="AH4283" i="1"/>
  <c r="AH3446" i="1"/>
  <c r="AH2841" i="1"/>
  <c r="AH3531" i="1"/>
  <c r="AH4876" i="1"/>
  <c r="AH4791" i="1"/>
  <c r="AH5175" i="1"/>
  <c r="AH3979" i="1"/>
  <c r="AH2015" i="1"/>
  <c r="AH5039" i="1"/>
  <c r="AH3788" i="1"/>
  <c r="AH2265" i="1"/>
  <c r="AH494" i="1"/>
  <c r="AH4823" i="1"/>
  <c r="AH5189" i="1"/>
  <c r="AH4050" i="1"/>
  <c r="AH1757" i="1"/>
  <c r="AH638" i="1"/>
  <c r="AH3272" i="1"/>
  <c r="AH4767" i="1"/>
  <c r="AH2308" i="1"/>
  <c r="AH4375" i="1"/>
  <c r="AH941" i="1"/>
  <c r="AH2670" i="1"/>
  <c r="AH1987" i="1"/>
  <c r="AH4244" i="1"/>
  <c r="AH759" i="1"/>
  <c r="AH3773" i="1"/>
  <c r="AH2728" i="1"/>
  <c r="AH3760" i="1"/>
  <c r="AH2346" i="1"/>
  <c r="AH3196" i="1"/>
  <c r="AH3817" i="1"/>
  <c r="AH5521" i="1"/>
  <c r="AH4390" i="1"/>
  <c r="AH2729" i="1"/>
  <c r="AH4904" i="1"/>
  <c r="AH2261" i="1"/>
  <c r="AH4316" i="1"/>
  <c r="AH4768" i="1"/>
  <c r="AH1531" i="1"/>
  <c r="AH1653" i="1"/>
  <c r="AH5068" i="1"/>
  <c r="AH1289" i="1"/>
  <c r="AH4624" i="1"/>
  <c r="AH4037" i="1"/>
  <c r="AH3796" i="1"/>
  <c r="AH3646" i="1"/>
  <c r="AH620" i="1"/>
  <c r="AH2105" i="1"/>
  <c r="AH4674" i="1"/>
  <c r="AH4271" i="1"/>
  <c r="AH4383" i="1"/>
  <c r="AH2721" i="1"/>
  <c r="AH2755" i="1"/>
  <c r="AH2904" i="1"/>
  <c r="AH3657" i="1"/>
  <c r="AH3016" i="1"/>
  <c r="AH2987" i="1"/>
  <c r="AH1850" i="1"/>
  <c r="AH4423" i="1"/>
  <c r="AH2177" i="1"/>
  <c r="AH4634" i="1"/>
  <c r="AH1225" i="1"/>
  <c r="AH2114" i="1"/>
  <c r="AH4644" i="1"/>
  <c r="AH4830" i="1"/>
  <c r="AH2266" i="1"/>
  <c r="AH3505" i="1"/>
  <c r="AH4194" i="1"/>
  <c r="AH2938" i="1"/>
  <c r="AH4195" i="1"/>
  <c r="AH3833" i="1"/>
  <c r="AH2674" i="1"/>
  <c r="AH2857" i="1"/>
  <c r="AH1353" i="1"/>
  <c r="AH2912" i="1"/>
  <c r="AH4217" i="1"/>
  <c r="AH1532" i="1"/>
  <c r="AH5228" i="1"/>
  <c r="AH4543" i="1"/>
  <c r="AH4387" i="1"/>
  <c r="AH4641" i="1"/>
  <c r="AH4559" i="1"/>
  <c r="AH3148" i="1"/>
  <c r="AH4459" i="1"/>
  <c r="AH1690" i="1"/>
  <c r="AH4786" i="1"/>
  <c r="AH3922" i="1"/>
  <c r="AH3724" i="1"/>
  <c r="AH1851" i="1"/>
  <c r="AH1948" i="1"/>
  <c r="AH2157" i="1"/>
  <c r="AH5084" i="1"/>
  <c r="AH4672" i="1"/>
  <c r="AH3545" i="1"/>
  <c r="AH1387" i="1"/>
  <c r="AH3425" i="1"/>
  <c r="AH4974" i="1"/>
  <c r="AH3654" i="1"/>
  <c r="AH2122" i="1"/>
  <c r="AH4708" i="1"/>
  <c r="AH5522" i="1"/>
  <c r="AH3490" i="1"/>
  <c r="AH3332" i="1"/>
  <c r="AH4196" i="1"/>
  <c r="AH3485" i="1"/>
  <c r="AH1615" i="1"/>
  <c r="AH2379" i="1"/>
  <c r="AH4103" i="1"/>
  <c r="AH2895" i="1"/>
  <c r="AH1633" i="1"/>
  <c r="AH5231" i="1"/>
  <c r="AH2934" i="1"/>
  <c r="AH917" i="1"/>
  <c r="AH4445" i="1"/>
  <c r="AH2696" i="1"/>
  <c r="AH1086" i="1"/>
  <c r="AH4028" i="1"/>
  <c r="AH1919" i="1"/>
  <c r="AH3790" i="1"/>
  <c r="AH1984" i="1"/>
  <c r="AH5204" i="1"/>
  <c r="AH981" i="1"/>
  <c r="AH2372" i="1"/>
  <c r="AH5177" i="1"/>
  <c r="AH2926" i="1"/>
  <c r="AH2699" i="1"/>
  <c r="AH3652" i="1"/>
  <c r="AH2267" i="1"/>
  <c r="AH1608" i="1"/>
  <c r="AH1260" i="1"/>
  <c r="AH3008" i="1"/>
  <c r="AH4519" i="1"/>
  <c r="AH1931" i="1"/>
  <c r="AH5222" i="1"/>
  <c r="AH824" i="1"/>
  <c r="AH3730" i="1"/>
  <c r="AH4076" i="1"/>
  <c r="AH2942" i="1"/>
  <c r="AH3167" i="1"/>
  <c r="AH3869" i="1"/>
  <c r="AH4039" i="1"/>
  <c r="AH1388" i="1"/>
  <c r="AH2257" i="1"/>
  <c r="AH3789" i="1"/>
  <c r="AH5104" i="1"/>
  <c r="AH2410" i="1"/>
  <c r="AH1124" i="1"/>
  <c r="AH3613" i="1"/>
  <c r="AH2244" i="1"/>
  <c r="AH298" i="1"/>
  <c r="AH1226" i="1"/>
  <c r="AH3194" i="1"/>
  <c r="AH2919" i="1"/>
  <c r="AH1903" i="1"/>
  <c r="AH4355" i="1"/>
  <c r="AH2521" i="1"/>
  <c r="AH3836" i="1"/>
  <c r="AH4042" i="1"/>
  <c r="AH5241" i="1"/>
  <c r="AH4197" i="1"/>
  <c r="AH1765" i="1"/>
  <c r="AH3682" i="1"/>
  <c r="AH1587" i="1"/>
  <c r="AH1101" i="1"/>
  <c r="AH4410" i="1"/>
  <c r="AH2540" i="1"/>
  <c r="AH637" i="1"/>
  <c r="AH4157" i="1"/>
  <c r="AH2427" i="1"/>
  <c r="AH3879" i="1"/>
  <c r="AH2523" i="1"/>
  <c r="AH1485" i="1"/>
  <c r="AH2335" i="1"/>
  <c r="AH1170" i="1"/>
  <c r="AH541" i="1"/>
  <c r="AH2618" i="1"/>
  <c r="AH3588" i="1"/>
  <c r="AH4135" i="1"/>
  <c r="AH4723" i="1"/>
  <c r="AH635" i="1"/>
  <c r="AH4964" i="1"/>
  <c r="AH2768" i="1"/>
  <c r="AH3233" i="1"/>
  <c r="AH4842" i="1"/>
  <c r="AH4784" i="1"/>
  <c r="AH1299" i="1"/>
  <c r="AH1227" i="1"/>
  <c r="AH3149" i="1"/>
  <c r="AH1106" i="1"/>
  <c r="AH450" i="1"/>
  <c r="AH4131" i="1"/>
  <c r="AH3333" i="1"/>
  <c r="AH3245" i="1"/>
  <c r="AH4036" i="1"/>
  <c r="AH1533" i="1"/>
  <c r="AH2700" i="1"/>
  <c r="AH2356" i="1"/>
  <c r="AH5089" i="1"/>
  <c r="AH908" i="1"/>
  <c r="AH1088" i="1"/>
  <c r="AH5242" i="1"/>
  <c r="AH4579" i="1"/>
  <c r="AH3236" i="1"/>
  <c r="AH4154" i="1"/>
  <c r="AH3623" i="1"/>
  <c r="AH3334" i="1"/>
  <c r="AH3872" i="1"/>
  <c r="AH694" i="1"/>
  <c r="AH2087" i="1"/>
  <c r="AH3524" i="1"/>
  <c r="AH2016" i="1"/>
  <c r="AH3335" i="1"/>
  <c r="AH2498" i="1"/>
  <c r="AH3666" i="1"/>
  <c r="AH3593" i="1"/>
  <c r="AH4851" i="1"/>
  <c r="AH1108" i="1"/>
  <c r="AH3122" i="1"/>
  <c r="AH4710" i="1"/>
  <c r="AH4166" i="1"/>
  <c r="AH2017" i="1"/>
  <c r="AH967" i="1"/>
  <c r="AH4953" i="1"/>
  <c r="AH2464" i="1"/>
  <c r="AH3932" i="1"/>
  <c r="AH3302" i="1"/>
  <c r="AH1449" i="1"/>
  <c r="AH4148" i="1"/>
  <c r="AH4793" i="1"/>
  <c r="AH939" i="1"/>
  <c r="AH3629" i="1"/>
  <c r="AH3684" i="1"/>
  <c r="AH3787" i="1"/>
  <c r="AH3933" i="1"/>
  <c r="AH3293" i="1"/>
  <c r="AH4754" i="1"/>
  <c r="AH1761" i="1"/>
  <c r="AH3130" i="1"/>
  <c r="AH5095" i="1"/>
  <c r="AH1950" i="1"/>
  <c r="AH3925" i="1"/>
  <c r="AH4251" i="1"/>
  <c r="AH338" i="1"/>
  <c r="AH501" i="1"/>
  <c r="AH350" i="1"/>
  <c r="AH4846" i="1"/>
  <c r="AH4707" i="1"/>
  <c r="AH1425" i="1"/>
  <c r="AH1558" i="1"/>
  <c r="AH3027" i="1"/>
  <c r="AH1578" i="1"/>
  <c r="AH162" i="1"/>
  <c r="AH1380" i="1"/>
  <c r="AH5134" i="1"/>
  <c r="AH2570" i="1"/>
  <c r="AH3286" i="1"/>
  <c r="AH2302" i="1"/>
  <c r="AH2727" i="1"/>
  <c r="AH2178" i="1"/>
  <c r="AH2454" i="1"/>
  <c r="AH1039" i="1"/>
  <c r="AH3310" i="1"/>
  <c r="AH646" i="1"/>
  <c r="AH1423" i="1"/>
  <c r="AH4806" i="1"/>
  <c r="AH987" i="1"/>
  <c r="AH3949" i="1"/>
  <c r="AH3064" i="1"/>
  <c r="AH460" i="1"/>
  <c r="AH3875" i="1"/>
  <c r="AH244" i="1"/>
  <c r="AH2753" i="1"/>
  <c r="AH2210" i="1"/>
  <c r="AH4875" i="1"/>
  <c r="AH4535" i="1"/>
  <c r="AH2877" i="1"/>
  <c r="AH1389" i="1"/>
  <c r="AH2761" i="1"/>
  <c r="AH5154" i="1"/>
  <c r="AH993" i="1"/>
  <c r="AH2745" i="1"/>
  <c r="AH5033" i="1"/>
  <c r="AH2499" i="1"/>
  <c r="AH2433" i="1"/>
  <c r="AH2414" i="1"/>
  <c r="AH2373" i="1"/>
  <c r="AH4288" i="1"/>
  <c r="AH2742" i="1"/>
  <c r="AH4581" i="1"/>
  <c r="AH3386" i="1"/>
  <c r="AH192" i="1"/>
  <c r="AH2179" i="1"/>
  <c r="AH1798" i="1"/>
  <c r="AH4219" i="1"/>
  <c r="AH2596" i="1"/>
  <c r="AH549" i="1"/>
  <c r="AH5261" i="1"/>
  <c r="AH3085" i="1"/>
  <c r="AH303" i="1"/>
  <c r="AH2534" i="1"/>
  <c r="AH608" i="1"/>
  <c r="AH1454" i="1"/>
  <c r="AH3234" i="1"/>
  <c r="AH2582" i="1"/>
  <c r="AH5523" i="1"/>
  <c r="AH5524" i="1"/>
  <c r="AH2549" i="1"/>
  <c r="AH1876" i="1"/>
  <c r="AH490" i="1"/>
  <c r="AH4854" i="1"/>
  <c r="AH852" i="1"/>
  <c r="AH1371" i="1"/>
  <c r="AH2528" i="1"/>
  <c r="AH3665" i="1"/>
  <c r="AH3336" i="1"/>
  <c r="AH2627" i="1"/>
  <c r="AH2748" i="1"/>
  <c r="AH2004" i="1"/>
  <c r="AH3486" i="1"/>
  <c r="AH445" i="1"/>
  <c r="AH1213" i="1"/>
  <c r="AH2604" i="1"/>
  <c r="AH2387" i="1"/>
  <c r="AH958" i="1"/>
  <c r="AH2209" i="1"/>
  <c r="AH154" i="1"/>
  <c r="AH4836" i="1"/>
  <c r="AH1183" i="1"/>
  <c r="AH569" i="1"/>
  <c r="AH3001" i="1"/>
  <c r="AH853" i="1"/>
  <c r="AH1508" i="1"/>
  <c r="AH1516" i="1"/>
  <c r="AH4014" i="1"/>
  <c r="AH1995" i="1"/>
  <c r="AH1080" i="1"/>
  <c r="AH1477" i="1"/>
  <c r="AH4798" i="1"/>
  <c r="AH2902" i="1"/>
  <c r="AH2628" i="1"/>
  <c r="AH2159" i="1"/>
  <c r="AH687" i="1"/>
  <c r="AH2342" i="1"/>
  <c r="AH2713" i="1"/>
  <c r="AH524" i="1"/>
  <c r="AH2158" i="1"/>
  <c r="AH5525" i="1"/>
  <c r="AH129" i="1"/>
  <c r="AH3731" i="1"/>
  <c r="AH5028" i="1"/>
  <c r="AH334" i="1"/>
  <c r="AH2821" i="1"/>
  <c r="AH1240" i="1"/>
  <c r="AH2457" i="1"/>
  <c r="AH364" i="1"/>
  <c r="AH1081" i="1"/>
  <c r="AH325" i="1"/>
  <c r="AH701" i="1"/>
  <c r="AH1272" i="1"/>
  <c r="AH1217" i="1"/>
  <c r="AH3482" i="1"/>
  <c r="AH2385" i="1"/>
  <c r="AH567" i="1"/>
  <c r="AH4167" i="1"/>
  <c r="AH2860" i="1"/>
  <c r="AH898" i="1"/>
  <c r="AH1069" i="1"/>
  <c r="AH3896" i="1"/>
  <c r="AH3478" i="1"/>
  <c r="AH854" i="1"/>
  <c r="AH112" i="1"/>
  <c r="AH1211" i="1"/>
  <c r="AH3794" i="1"/>
  <c r="AH916" i="1"/>
  <c r="AH1852" i="1"/>
  <c r="AH4019" i="1"/>
  <c r="AH4496" i="1"/>
  <c r="AH2357" i="1"/>
  <c r="AH3390" i="1"/>
  <c r="AH1253" i="1"/>
  <c r="AH1133" i="1"/>
  <c r="AH5287" i="1"/>
  <c r="AH4009" i="1"/>
  <c r="AH2386" i="1"/>
  <c r="AH771" i="1"/>
  <c r="AH2710" i="1"/>
  <c r="AH3761" i="1"/>
  <c r="AH2782" i="1"/>
  <c r="AH289" i="1"/>
  <c r="AH865" i="1"/>
  <c r="AH702" i="1"/>
  <c r="AH4376" i="1"/>
  <c r="AH1221" i="1"/>
  <c r="AH2484" i="1"/>
  <c r="AH2899" i="1"/>
  <c r="AH5526" i="1"/>
  <c r="AH1421" i="1"/>
  <c r="AH4909" i="1"/>
  <c r="AH1727" i="1"/>
  <c r="AH4685" i="1"/>
  <c r="AH2662" i="1"/>
  <c r="AH3630" i="1"/>
  <c r="AH2917" i="1"/>
  <c r="AH2858" i="1"/>
  <c r="AH2578" i="1"/>
  <c r="AH570" i="1"/>
  <c r="AH4177" i="1"/>
  <c r="AH1290" i="1"/>
  <c r="AH2557" i="1"/>
  <c r="AH5527" i="1"/>
  <c r="AH571" i="1"/>
  <c r="AH3313" i="1"/>
  <c r="AH3518" i="1"/>
  <c r="AH4821" i="1"/>
  <c r="AH3590" i="1"/>
  <c r="AH5240" i="1"/>
  <c r="AH5528" i="1"/>
  <c r="AH2280" i="1"/>
  <c r="AH4947" i="1"/>
  <c r="AH2082" i="1"/>
  <c r="AH5529" i="1"/>
  <c r="AH959" i="1"/>
  <c r="AH1967" i="1"/>
  <c r="AH892" i="1"/>
  <c r="AH5530" i="1"/>
  <c r="AH1817" i="1"/>
  <c r="AH1506" i="1"/>
  <c r="AH1607" i="1"/>
  <c r="AH5531" i="1"/>
  <c r="AH969" i="1"/>
  <c r="AH807" i="1"/>
  <c r="AH4122" i="1"/>
  <c r="AH3546" i="1"/>
  <c r="AH1760" i="1"/>
  <c r="AH3511" i="1"/>
  <c r="AH4439" i="1"/>
  <c r="AH2985" i="1"/>
  <c r="AH2658" i="1"/>
  <c r="AH4291" i="1"/>
  <c r="AH2500" i="1"/>
  <c r="AH703" i="1"/>
  <c r="AH1733" i="1"/>
  <c r="AH650" i="1"/>
  <c r="AH2760" i="1"/>
  <c r="AH2450" i="1"/>
  <c r="AH5532" i="1"/>
  <c r="AH5533" i="1"/>
  <c r="AH2684" i="1"/>
  <c r="AH557" i="1"/>
  <c r="AH3067" i="1"/>
  <c r="AH5534" i="1"/>
  <c r="AH5535" i="1"/>
  <c r="AH3443" i="1"/>
  <c r="AH1715" i="1"/>
  <c r="AH5536" i="1"/>
  <c r="AH5009" i="1"/>
  <c r="AH3942" i="1"/>
  <c r="AH1344" i="1"/>
  <c r="AH1788" i="1"/>
  <c r="AH5537" i="1"/>
  <c r="AH3888" i="1"/>
  <c r="AH1127" i="1"/>
  <c r="AH4946" i="1"/>
  <c r="AH698" i="1"/>
  <c r="AH4018" i="1"/>
  <c r="AH449" i="1"/>
  <c r="AH2040" i="1"/>
  <c r="AH3521" i="1"/>
  <c r="AH3517" i="1"/>
  <c r="AH3616" i="1"/>
  <c r="AH3150" i="1"/>
  <c r="AH2530" i="1"/>
  <c r="AH1853" i="1"/>
  <c r="AH464" i="1"/>
  <c r="AH5538" i="1"/>
  <c r="AH2641" i="1"/>
  <c r="AH2594" i="1"/>
  <c r="AH3532" i="1"/>
  <c r="AH3688" i="1"/>
  <c r="AH2602" i="1"/>
  <c r="AH2078" i="1"/>
  <c r="AH4959" i="1"/>
  <c r="AH4715" i="1"/>
  <c r="AH4138" i="1"/>
  <c r="AH554" i="1"/>
  <c r="AH4804" i="1"/>
  <c r="AH2463" i="1"/>
  <c r="AH1718" i="1"/>
  <c r="AH1228" i="1"/>
  <c r="AH1373" i="1"/>
  <c r="AH1450" i="1"/>
  <c r="AH2837" i="1"/>
  <c r="AH2393" i="1"/>
  <c r="AH3042" i="1"/>
  <c r="AH1683" i="1"/>
  <c r="AH4309" i="1"/>
  <c r="AH1493" i="1"/>
  <c r="AH1655" i="1"/>
  <c r="AH1328" i="1"/>
  <c r="AH4226" i="1"/>
  <c r="AH226" i="1"/>
  <c r="AH4012" i="1"/>
  <c r="AH1218" i="1"/>
  <c r="AH1367" i="1"/>
  <c r="AH4661" i="1"/>
  <c r="AH4587" i="1"/>
  <c r="AH3667" i="1"/>
  <c r="AH1661" i="1"/>
  <c r="AH3580" i="1"/>
  <c r="AH1834" i="1"/>
  <c r="AH2620" i="1"/>
  <c r="AH4155" i="1"/>
  <c r="AH603" i="1"/>
  <c r="AH3992" i="1"/>
  <c r="AH1759" i="1"/>
  <c r="AH1515" i="1"/>
  <c r="AH4547" i="1"/>
  <c r="AH2741" i="1"/>
  <c r="AH1977" i="1"/>
  <c r="AH1622" i="1"/>
  <c r="AH1566" i="1"/>
  <c r="AH4638" i="1"/>
  <c r="AH1749" i="1"/>
  <c r="AH188" i="1"/>
  <c r="AH2800" i="1"/>
  <c r="AH776" i="1"/>
  <c r="AH3497" i="1"/>
  <c r="AH227" i="1"/>
  <c r="AH2170" i="1"/>
  <c r="AH2341" i="1"/>
  <c r="AH546" i="1"/>
  <c r="AH4181" i="1"/>
  <c r="AH4305" i="1"/>
  <c r="AH4776" i="1"/>
  <c r="AH4924" i="1"/>
  <c r="AH465" i="1"/>
  <c r="AH195" i="1"/>
  <c r="AH2818" i="1"/>
  <c r="AH2664" i="1"/>
  <c r="AH4645" i="1"/>
  <c r="AH1805" i="1"/>
  <c r="AH230" i="1"/>
  <c r="AH2983" i="1"/>
  <c r="AH1609" i="1"/>
  <c r="AH4761" i="1"/>
  <c r="AH4126" i="1"/>
  <c r="AH754" i="1"/>
  <c r="AH1486" i="1"/>
  <c r="AH379" i="1"/>
  <c r="AH5034" i="1"/>
  <c r="AH2133" i="1"/>
  <c r="AH3021" i="1"/>
  <c r="AH3668" i="1"/>
  <c r="AH2444" i="1"/>
  <c r="AH5539" i="1"/>
  <c r="AH4675" i="1"/>
  <c r="AH2448" i="1"/>
  <c r="AH5540" i="1"/>
  <c r="AH1737" i="1"/>
  <c r="AH2600" i="1"/>
  <c r="AH1215" i="1"/>
  <c r="AH5541" i="1"/>
  <c r="AH2736" i="1"/>
  <c r="AH4273" i="1"/>
  <c r="AH3934" i="1"/>
  <c r="AH2868" i="1"/>
  <c r="AH2323" i="1"/>
  <c r="AH1452" i="1"/>
  <c r="AH178" i="1"/>
  <c r="AH1250" i="1"/>
  <c r="AH3441" i="1"/>
  <c r="AH2440" i="1"/>
  <c r="AH920" i="1"/>
  <c r="AH678" i="1"/>
  <c r="AH5542" i="1"/>
  <c r="AH1691" i="1"/>
  <c r="AH5543" i="1"/>
  <c r="AH3980" i="1"/>
  <c r="AH1090" i="1"/>
  <c r="AH5544" i="1"/>
  <c r="AH1511" i="1"/>
  <c r="AH5545" i="1"/>
  <c r="AH1292" i="1"/>
  <c r="AH662" i="1"/>
  <c r="AH2777" i="1"/>
  <c r="AH5546" i="1"/>
  <c r="AH1836" i="1"/>
  <c r="AH2908" i="1"/>
  <c r="AH3412" i="1"/>
  <c r="AH1220" i="1"/>
  <c r="AH3594" i="1"/>
  <c r="AH4327" i="1"/>
  <c r="AH4377" i="1"/>
  <c r="AH1714" i="1"/>
  <c r="AH3416" i="1"/>
  <c r="AH4300" i="1"/>
  <c r="AH921" i="1"/>
  <c r="AH4954" i="1"/>
  <c r="AH5547" i="1"/>
  <c r="AH3669" i="1"/>
  <c r="AH4943" i="1"/>
  <c r="AH5548" i="1"/>
  <c r="AH2203" i="1"/>
  <c r="AH5549" i="1"/>
  <c r="AH1899" i="1"/>
  <c r="AH5550" i="1"/>
  <c r="AH1854" i="1"/>
  <c r="AH855" i="1"/>
  <c r="AH4235" i="1"/>
  <c r="AH4255" i="1"/>
  <c r="AH3822" i="1"/>
  <c r="AH2467" i="1"/>
  <c r="AH2610" i="1"/>
  <c r="AH1184" i="1"/>
  <c r="AH259" i="1"/>
  <c r="AH1137" i="1"/>
  <c r="AH2073" i="1"/>
  <c r="AH624" i="1"/>
  <c r="AH1497" i="1"/>
  <c r="AH2394" i="1"/>
  <c r="AH5551" i="1"/>
  <c r="AH1922" i="1"/>
  <c r="AH685" i="1"/>
  <c r="AH5552" i="1"/>
  <c r="AH788" i="1"/>
  <c r="AH3732" i="1"/>
  <c r="AH1489" i="1"/>
  <c r="AH4401" i="1"/>
  <c r="AH5553" i="1"/>
  <c r="AH3358" i="1"/>
  <c r="AH411" i="1"/>
  <c r="AH1437" i="1"/>
  <c r="AH4142" i="1"/>
  <c r="AH4961" i="1"/>
  <c r="AH1638" i="1"/>
  <c r="AH695" i="1"/>
  <c r="AH82" i="1"/>
  <c r="AH1799" i="1"/>
  <c r="AH4482" i="1"/>
  <c r="AH3772" i="1"/>
  <c r="AH5554" i="1"/>
  <c r="AH704" i="1"/>
  <c r="AH2228" i="1"/>
  <c r="AH5555" i="1"/>
  <c r="AH5556" i="1"/>
  <c r="AH1910" i="1"/>
  <c r="AH2375" i="1"/>
  <c r="AH2864" i="1"/>
  <c r="AH1161" i="1"/>
  <c r="AH215" i="1"/>
  <c r="AH1229" i="1"/>
  <c r="AH1474" i="1"/>
  <c r="AH4057" i="1"/>
  <c r="AH1219" i="1"/>
  <c r="AH5557" i="1"/>
  <c r="AH5558" i="1"/>
  <c r="AH269" i="1"/>
  <c r="AH1789" i="1"/>
  <c r="AH856" i="1"/>
  <c r="AH4378" i="1"/>
  <c r="AH3252" i="1"/>
  <c r="AH5559" i="1"/>
  <c r="AH520" i="1"/>
  <c r="AH2961" i="1"/>
  <c r="AH3885" i="1"/>
  <c r="AH2326" i="1"/>
  <c r="AH2093" i="1"/>
  <c r="AH5560" i="1"/>
  <c r="AH3052" i="1"/>
  <c r="AH2813" i="1"/>
  <c r="AH2041" i="1"/>
  <c r="AH5561" i="1"/>
  <c r="AH4286" i="1"/>
  <c r="AH1230" i="1"/>
  <c r="AH2897" i="1"/>
  <c r="AH877" i="1"/>
  <c r="AH3065" i="1"/>
  <c r="AH3862" i="1"/>
  <c r="AH1087" i="1"/>
  <c r="AH4590" i="1"/>
  <c r="AH2751" i="1"/>
  <c r="AH1534" i="1"/>
  <c r="AH2855" i="1"/>
  <c r="AH4413" i="1"/>
  <c r="AH4526" i="1"/>
  <c r="AH4061" i="1"/>
  <c r="AH5562" i="1"/>
  <c r="AH3533" i="1"/>
  <c r="AH4304" i="1"/>
  <c r="AH4398" i="1"/>
  <c r="AH3969" i="1"/>
  <c r="AH1681" i="1"/>
  <c r="AH262" i="1"/>
  <c r="AH2762" i="1"/>
  <c r="AH140" i="1"/>
  <c r="AH3595" i="1"/>
  <c r="AH2922" i="1"/>
  <c r="AH448" i="1"/>
  <c r="AH1274" i="1"/>
  <c r="AH832" i="1"/>
  <c r="AH3023" i="1"/>
  <c r="AH2180" i="1"/>
  <c r="AH3365" i="1"/>
  <c r="AH1442" i="1"/>
  <c r="AH2720" i="1"/>
  <c r="AH3211" i="1"/>
  <c r="AH5563" i="1"/>
  <c r="AH4417" i="1"/>
  <c r="AH2083" i="1"/>
  <c r="AH3326" i="1"/>
  <c r="AH2243" i="1"/>
  <c r="AH3808" i="1"/>
  <c r="AH1579" i="1"/>
  <c r="AH412" i="1"/>
  <c r="AH705" i="1"/>
  <c r="AH2585" i="1"/>
  <c r="AH3859" i="1"/>
  <c r="AH3534" i="1"/>
  <c r="AH5564" i="1"/>
  <c r="AH1320" i="1"/>
  <c r="AH2053" i="1"/>
  <c r="AH3585" i="1"/>
  <c r="AH950" i="1"/>
  <c r="AH4764" i="1"/>
  <c r="AH3689" i="1"/>
  <c r="AH1692" i="1"/>
  <c r="AH5565" i="1"/>
  <c r="AH4279" i="1"/>
  <c r="AH3604" i="1"/>
  <c r="AH489" i="1"/>
  <c r="AH5566" i="1"/>
  <c r="AH3347" i="1"/>
  <c r="AH2672" i="1"/>
  <c r="AH3535" i="1"/>
  <c r="AH5567" i="1"/>
  <c r="AH2681" i="1"/>
  <c r="AH5568" i="1"/>
  <c r="AH1830" i="1"/>
  <c r="AH699" i="1"/>
  <c r="AH1504" i="1"/>
  <c r="AH2619" i="1"/>
  <c r="AH1801" i="1"/>
  <c r="AH2140" i="1"/>
  <c r="AH5569" i="1"/>
  <c r="AH5570" i="1"/>
  <c r="AH5571" i="1"/>
  <c r="AH2962" i="1"/>
  <c r="AH4755" i="1"/>
  <c r="AH1599" i="1"/>
  <c r="AH2262" i="1"/>
  <c r="AH2106" i="1"/>
  <c r="AH510" i="1"/>
  <c r="AH3127" i="1"/>
  <c r="AH2501" i="1"/>
  <c r="AH1480" i="1"/>
  <c r="AH3876" i="1"/>
  <c r="AH5572" i="1"/>
  <c r="AH5573" i="1"/>
  <c r="AH706" i="1"/>
  <c r="AH5574" i="1"/>
  <c r="AH320" i="1"/>
  <c r="AH5575" i="1"/>
  <c r="AH1460" i="1"/>
  <c r="AH4263" i="1"/>
  <c r="AH5576" i="1"/>
  <c r="AH5577" i="1"/>
  <c r="AH3719" i="1"/>
  <c r="AH774" i="1"/>
  <c r="AH1451" i="1"/>
  <c r="AH5578" i="1"/>
  <c r="AH2925" i="1"/>
  <c r="AH5579" i="1"/>
  <c r="AH1535" i="1"/>
  <c r="AH1310" i="1"/>
  <c r="AH492" i="1"/>
  <c r="AH2819" i="1"/>
  <c r="AH5580" i="1"/>
  <c r="AH5581" i="1"/>
  <c r="AH5582" i="1"/>
  <c r="AH5583" i="1"/>
  <c r="AH2234" i="1"/>
  <c r="AH3672" i="1"/>
  <c r="AH5584" i="1"/>
  <c r="AH1009" i="1"/>
  <c r="AH3229" i="1"/>
  <c r="AH2477" i="1"/>
  <c r="AH4827" i="1"/>
  <c r="AH5585" i="1"/>
  <c r="AH1152" i="1"/>
  <c r="AH3366" i="1"/>
  <c r="AH5586" i="1"/>
  <c r="AH4107" i="1"/>
  <c r="AH5587" i="1"/>
  <c r="AH1620" i="1"/>
  <c r="AH1278" i="1"/>
  <c r="AH857" i="1"/>
  <c r="AH5285" i="1"/>
  <c r="AH5281" i="1"/>
  <c r="AH622" i="1"/>
  <c r="AH5588" i="1"/>
  <c r="AH676" i="1"/>
  <c r="AH1134" i="1"/>
  <c r="AH1752" i="1"/>
  <c r="AH2784" i="1"/>
  <c r="AH2845" i="1"/>
  <c r="AH348" i="1"/>
  <c r="AH4993" i="1"/>
  <c r="AH1231" i="1"/>
  <c r="AH3032" i="1"/>
  <c r="AH384" i="1"/>
  <c r="AH80" i="1"/>
  <c r="AH803" i="1"/>
  <c r="AH4957" i="1"/>
  <c r="AH2125" i="1"/>
  <c r="AH4049" i="1"/>
  <c r="AH5159" i="1"/>
  <c r="AH90" i="1"/>
  <c r="AH3384" i="1"/>
  <c r="AH331" i="1"/>
  <c r="AH4697" i="1"/>
  <c r="AH1294" i="1"/>
  <c r="AH3873" i="1"/>
  <c r="AH912" i="1"/>
  <c r="AH3230" i="1"/>
  <c r="AH707" i="1"/>
  <c r="AH1214" i="1"/>
  <c r="AH4818" i="1"/>
  <c r="AH4527" i="1"/>
  <c r="AH858" i="1"/>
  <c r="AH247" i="1"/>
  <c r="AH3831" i="1"/>
  <c r="AH1064" i="1"/>
  <c r="AH3110" i="1"/>
  <c r="AH4996" i="1"/>
  <c r="AH1747" i="1"/>
  <c r="AH888" i="1"/>
  <c r="AH5026" i="1"/>
  <c r="AH1916" i="1"/>
  <c r="AH1363" i="1"/>
  <c r="AH2612" i="1"/>
  <c r="AH1559" i="1"/>
  <c r="AH766" i="1"/>
  <c r="AH1140" i="1"/>
  <c r="AH874" i="1"/>
  <c r="AH390" i="1"/>
  <c r="AH4416" i="1"/>
  <c r="AH2851" i="1"/>
  <c r="AH3066" i="1"/>
  <c r="AH4318" i="1"/>
  <c r="AH4431" i="1"/>
  <c r="AH2319" i="1"/>
  <c r="AH2211" i="1"/>
  <c r="AH2472" i="1"/>
  <c r="AH2824" i="1"/>
  <c r="AH708" i="1"/>
  <c r="AH143" i="1"/>
  <c r="AH37" i="1"/>
  <c r="AH1976" i="1"/>
  <c r="AH4104" i="1"/>
  <c r="AH3291" i="1"/>
  <c r="AH2201" i="1"/>
  <c r="AH3079" i="1"/>
  <c r="AH4285" i="1"/>
  <c r="AH208" i="1"/>
  <c r="AH4307" i="1"/>
  <c r="AH1001" i="1"/>
  <c r="AH4682" i="1"/>
  <c r="AH4395" i="1"/>
  <c r="AH4119" i="1"/>
  <c r="AH4340" i="1"/>
  <c r="AH4030" i="1"/>
  <c r="AH5589" i="1"/>
  <c r="AH2923" i="1"/>
  <c r="AH1585" i="1"/>
  <c r="AH753" i="1"/>
  <c r="AH4456" i="1"/>
  <c r="AH130" i="1"/>
  <c r="AH4622" i="1"/>
  <c r="AH4396" i="1"/>
  <c r="AH665" i="1"/>
  <c r="AH3835" i="1"/>
  <c r="AH3704" i="1"/>
  <c r="AH2562" i="1"/>
  <c r="AH3471" i="1"/>
  <c r="AH4429" i="1"/>
  <c r="AH4330" i="1"/>
  <c r="AH2392" i="1"/>
  <c r="AH2383" i="1"/>
  <c r="AH863" i="1"/>
  <c r="AH4897" i="1"/>
  <c r="AH3774" i="1"/>
  <c r="AH4100" i="1"/>
  <c r="AH3337" i="1"/>
  <c r="AH972" i="1"/>
  <c r="AH1232" i="1"/>
  <c r="AH3717" i="1"/>
  <c r="AH110" i="1"/>
  <c r="AH1364" i="1"/>
  <c r="AH3648" i="1"/>
  <c r="AH5590" i="1"/>
  <c r="AH572" i="1"/>
  <c r="AH3965" i="1"/>
  <c r="AH2358" i="1"/>
  <c r="AH2823" i="1"/>
  <c r="AH1503" i="1"/>
  <c r="AH1513" i="1"/>
  <c r="AH3548" i="1"/>
  <c r="AH1082" i="1"/>
  <c r="AH709" i="1"/>
  <c r="AH660" i="1"/>
  <c r="AH5100" i="1"/>
  <c r="AH982" i="1"/>
  <c r="AH273" i="1"/>
  <c r="AH2950" i="1"/>
  <c r="AH1814" i="1"/>
  <c r="AH710" i="1"/>
  <c r="AH2801" i="1"/>
  <c r="AH5591" i="1"/>
  <c r="AH2941" i="1"/>
  <c r="AH2213" i="1"/>
  <c r="AH4553" i="1"/>
  <c r="AH198" i="1"/>
  <c r="AH5592" i="1"/>
  <c r="AH2802" i="1"/>
  <c r="AH3063" i="1"/>
  <c r="AH2963" i="1"/>
  <c r="AH1889" i="1"/>
  <c r="AH3924" i="1"/>
  <c r="AH2830" i="1"/>
  <c r="AH4369" i="1"/>
  <c r="AH960" i="1"/>
  <c r="AH1216" i="1"/>
  <c r="AH3294" i="1"/>
  <c r="AH3757" i="1"/>
  <c r="AH2732" i="1"/>
  <c r="AH2584" i="1"/>
  <c r="AH59" i="1"/>
  <c r="AH1390" i="1"/>
  <c r="AH2146" i="1"/>
  <c r="AH1650" i="1"/>
  <c r="AH4466" i="1"/>
  <c r="AH525" i="1"/>
  <c r="AH3722" i="1"/>
  <c r="AH1273" i="1"/>
  <c r="AH765" i="1"/>
  <c r="AH961" i="1"/>
  <c r="AH4613" i="1"/>
  <c r="AH4898" i="1"/>
  <c r="AH1083" i="1"/>
  <c r="AH5183" i="1"/>
  <c r="AH4427" i="1"/>
  <c r="AH399" i="1"/>
  <c r="AH252" i="1"/>
  <c r="AH5016" i="1"/>
  <c r="AH1751" i="1"/>
  <c r="AH287" i="1"/>
  <c r="AH3308" i="1"/>
  <c r="AH1768" i="1"/>
  <c r="AH4480" i="1"/>
  <c r="AH332" i="1"/>
  <c r="AH5593" i="1"/>
  <c r="AH1282" i="1"/>
  <c r="AH1934" i="1"/>
  <c r="AH200" i="1"/>
  <c r="AH33" i="1"/>
  <c r="AH2332" i="1"/>
  <c r="AH5594" i="1"/>
  <c r="AH4343" i="1"/>
  <c r="AH2874" i="1"/>
  <c r="AH3733" i="1"/>
  <c r="AH691" i="1"/>
  <c r="AH4717" i="1"/>
  <c r="AH337" i="1"/>
  <c r="AH5595" i="1"/>
  <c r="AH357" i="1"/>
  <c r="AH3936" i="1"/>
  <c r="AH4551" i="1"/>
  <c r="AH3622" i="1"/>
  <c r="AH4948" i="1"/>
  <c r="AH1746" i="1"/>
  <c r="AH1035" i="1"/>
  <c r="AH3663" i="1"/>
  <c r="AH1855" i="1"/>
  <c r="AH1458" i="1"/>
  <c r="AH3099" i="1"/>
  <c r="AH1027" i="1"/>
  <c r="AH573" i="1"/>
  <c r="AH3119" i="1"/>
  <c r="AH4698" i="1"/>
  <c r="AH435" i="1"/>
  <c r="AH333" i="1"/>
  <c r="AH3578" i="1"/>
  <c r="AH1601" i="1"/>
  <c r="AH264" i="1"/>
  <c r="AH2314" i="1"/>
  <c r="AH209" i="1"/>
  <c r="AH2247" i="1"/>
  <c r="AH5596" i="1"/>
  <c r="AH3755" i="1"/>
  <c r="AH1077" i="1"/>
  <c r="AH1424" i="1"/>
  <c r="AH83" i="1"/>
  <c r="AH4458" i="1"/>
  <c r="AH3814" i="1"/>
  <c r="AH1076" i="1"/>
  <c r="AH4008" i="1"/>
  <c r="AH1693" i="1"/>
  <c r="AH3463" i="1"/>
  <c r="AH2033" i="1"/>
  <c r="AH1164" i="1"/>
  <c r="AH1455" i="1"/>
  <c r="AH4198" i="1"/>
  <c r="AH278" i="1"/>
  <c r="AH1020" i="1"/>
  <c r="AH2137" i="1"/>
  <c r="AH5597" i="1"/>
  <c r="AH1004" i="1"/>
  <c r="AH3151" i="1"/>
  <c r="AH602" i="1"/>
  <c r="AH1175" i="1"/>
  <c r="AH1391" i="1"/>
  <c r="AH413" i="1"/>
  <c r="AH3168" i="1"/>
  <c r="AH483" i="1"/>
  <c r="AH1597" i="1"/>
  <c r="AH471" i="1"/>
  <c r="AH996" i="1"/>
  <c r="AH2920" i="1"/>
  <c r="AH2313" i="1"/>
  <c r="AH456" i="1"/>
  <c r="AH4145" i="1"/>
  <c r="AH2668" i="1"/>
  <c r="AH223" i="1"/>
  <c r="AH294" i="1"/>
  <c r="AH5598" i="1"/>
  <c r="AH1334" i="1"/>
  <c r="AH3567" i="1"/>
  <c r="AH4065" i="1"/>
  <c r="AH503" i="1"/>
  <c r="AH3815" i="1"/>
  <c r="AH4491" i="1"/>
  <c r="AH758" i="1"/>
  <c r="AH4952" i="1"/>
  <c r="AH1116" i="1"/>
  <c r="AH3431" i="1"/>
  <c r="AH1694" i="1"/>
  <c r="AH5174" i="1"/>
  <c r="AH3734" i="1"/>
  <c r="AH574" i="1"/>
  <c r="AH4756" i="1"/>
  <c r="AH3504" i="1"/>
  <c r="AH2166" i="1"/>
  <c r="AH5138" i="1"/>
  <c r="AH4726" i="1"/>
  <c r="AH3568" i="1"/>
  <c r="AH231" i="1"/>
  <c r="AH4752" i="1"/>
  <c r="AH3350" i="1"/>
  <c r="AH5042" i="1"/>
  <c r="AH3090" i="1"/>
  <c r="AH232" i="1"/>
  <c r="AH1536" i="1"/>
  <c r="AH3415" i="1"/>
  <c r="AH552" i="1"/>
  <c r="AH630" i="1"/>
  <c r="AH871" i="1"/>
  <c r="AH3217" i="1"/>
  <c r="AH2161" i="1"/>
  <c r="AH671" i="1"/>
  <c r="AH2833" i="1"/>
  <c r="AH1610" i="1"/>
  <c r="AH5599" i="1"/>
  <c r="AH2416" i="1"/>
  <c r="AH3956" i="1"/>
  <c r="AH4554" i="1"/>
  <c r="AH335" i="1"/>
  <c r="AH793" i="1"/>
  <c r="AH647" i="1"/>
  <c r="AH5256" i="1"/>
  <c r="AH2776" i="1"/>
  <c r="AH3033" i="1"/>
  <c r="AH625" i="1"/>
  <c r="AH3026" i="1"/>
  <c r="AH904" i="1"/>
  <c r="AH43" i="1"/>
  <c r="AH1646" i="1"/>
  <c r="AH711" i="1"/>
  <c r="AH1754" i="1"/>
  <c r="AH3536" i="1"/>
  <c r="AH3586" i="1"/>
  <c r="AH4654" i="1"/>
  <c r="AH3364" i="1"/>
  <c r="AH2752" i="1"/>
  <c r="AH286" i="1"/>
  <c r="AH1307" i="1"/>
  <c r="AH2883" i="1"/>
  <c r="AH1856" i="1"/>
  <c r="AH138" i="1"/>
  <c r="AH2678" i="1"/>
  <c r="AH2018" i="1"/>
  <c r="AH1857" i="1"/>
  <c r="AH1593" i="1"/>
  <c r="AH366" i="1"/>
  <c r="AH910" i="1"/>
  <c r="AH479" i="1"/>
  <c r="AH1457" i="1"/>
  <c r="AH827" i="1"/>
  <c r="AH3502" i="1"/>
  <c r="AH905" i="1"/>
  <c r="AH3549" i="1"/>
  <c r="AH2446" i="1"/>
  <c r="AH5021" i="1"/>
  <c r="AH4896" i="1"/>
  <c r="AH5223" i="1"/>
  <c r="AH2535" i="1"/>
  <c r="AH118" i="1"/>
  <c r="AH868" i="1"/>
  <c r="AH1323" i="1"/>
  <c r="AH657" i="1"/>
  <c r="AH2701" i="1"/>
  <c r="AH2525" i="1"/>
  <c r="AH801" i="1"/>
  <c r="AH1819" i="1"/>
  <c r="AH2359" i="1"/>
  <c r="AH4801" i="1"/>
  <c r="AH414" i="1"/>
  <c r="AH433" i="1"/>
  <c r="AH2849" i="1"/>
  <c r="AH2872" i="1"/>
  <c r="AH5600" i="1"/>
  <c r="AH3260" i="1"/>
  <c r="AH4819" i="1"/>
  <c r="AH2061" i="1"/>
  <c r="AH5013" i="1"/>
  <c r="AH651" i="1"/>
  <c r="AH78" i="1"/>
  <c r="AH3046" i="1"/>
  <c r="AH672" i="1"/>
  <c r="AH137" i="1"/>
  <c r="AH900" i="1"/>
  <c r="AH1537" i="1"/>
  <c r="AH3928" i="1"/>
  <c r="AH235" i="1"/>
  <c r="AH3028" i="1"/>
  <c r="AH4769" i="1"/>
  <c r="AH2336" i="1"/>
  <c r="AH1233" i="1"/>
  <c r="AH600" i="1"/>
  <c r="AH397" i="1"/>
  <c r="AH292" i="1"/>
  <c r="AH1065" i="1"/>
  <c r="AH3477" i="1"/>
  <c r="AH5601" i="1"/>
  <c r="AH1913" i="1"/>
  <c r="AH2240" i="1"/>
  <c r="AH652" i="1"/>
  <c r="AH1207" i="1"/>
  <c r="AH2320" i="1"/>
  <c r="AH1902" i="1"/>
  <c r="AH4832" i="1"/>
  <c r="AH1136" i="1"/>
  <c r="AH690" i="1"/>
  <c r="AH5602" i="1"/>
  <c r="AH4048" i="1"/>
  <c r="AH4945" i="1"/>
  <c r="AH254" i="1"/>
  <c r="AH3328" i="1"/>
  <c r="AH1905" i="1"/>
  <c r="AH3995" i="1"/>
  <c r="AH2572" i="1"/>
  <c r="AH4139" i="1"/>
  <c r="AH2551" i="1"/>
  <c r="AH4199" i="1"/>
  <c r="AH528" i="1"/>
  <c r="AH3179" i="1"/>
  <c r="AH4542" i="1"/>
  <c r="AH810" i="1"/>
  <c r="AH3537" i="1"/>
  <c r="AH2946" i="1"/>
  <c r="AH1952" i="1"/>
  <c r="AH4070" i="1"/>
  <c r="AH274" i="1"/>
  <c r="AH1634" i="1"/>
  <c r="AH4348" i="1"/>
  <c r="AH1180" i="1"/>
  <c r="AH4951" i="1"/>
  <c r="AH1713" i="1"/>
  <c r="AH1574" i="1"/>
  <c r="AH4891" i="1"/>
  <c r="AH4721" i="1"/>
  <c r="AH4379" i="1"/>
  <c r="AH1466" i="1"/>
  <c r="AH2566" i="1"/>
  <c r="AH1719" i="1"/>
  <c r="AH772" i="1"/>
  <c r="AH179" i="1"/>
  <c r="AH295" i="1"/>
  <c r="AH4264" i="1"/>
  <c r="AH347" i="1"/>
  <c r="AH712" i="1"/>
  <c r="AH799" i="1"/>
  <c r="AH1091" i="1"/>
  <c r="AH2181" i="1"/>
  <c r="AH952" i="1"/>
  <c r="AH1261" i="1"/>
  <c r="AH66" i="1"/>
  <c r="AH3314" i="1"/>
  <c r="AH5603" i="1"/>
  <c r="AH5604" i="1"/>
  <c r="AH3374" i="1"/>
  <c r="AH3258" i="1"/>
  <c r="AH1431" i="1"/>
  <c r="AH535" i="1"/>
  <c r="AH575" i="1"/>
  <c r="AH3304" i="1"/>
  <c r="AH1312" i="1"/>
  <c r="AH5605" i="1"/>
  <c r="AH1738" i="1"/>
  <c r="AH313" i="1"/>
  <c r="AH954" i="1"/>
  <c r="AH4759" i="1"/>
  <c r="AH3708" i="1"/>
  <c r="AH3762" i="1"/>
  <c r="AH4099" i="1"/>
  <c r="AH1630" i="1"/>
  <c r="AH760" i="1"/>
  <c r="AH2138" i="1"/>
  <c r="AH4293" i="1"/>
  <c r="AH4483" i="1"/>
  <c r="AH2756" i="1"/>
  <c r="AH5606" i="1"/>
  <c r="AH848" i="1"/>
  <c r="AH626" i="1"/>
  <c r="AH1472" i="1"/>
  <c r="AH4594" i="1"/>
  <c r="AH2915" i="1"/>
  <c r="AH5607" i="1"/>
  <c r="AH5001" i="1"/>
  <c r="AH4178" i="1"/>
  <c r="AH5608" i="1"/>
  <c r="AH713" i="1"/>
  <c r="AH859" i="1"/>
  <c r="AH3510" i="1"/>
  <c r="AH1519" i="1"/>
  <c r="AH4595" i="1"/>
  <c r="AH714" i="1"/>
  <c r="AH3721" i="1"/>
  <c r="AH4074" i="1"/>
  <c r="AH4869" i="1"/>
  <c r="AH576" i="1"/>
  <c r="AH2403" i="1"/>
  <c r="AH2282" i="1"/>
  <c r="AH1917" i="1"/>
  <c r="AH913" i="1"/>
  <c r="AH636" i="1"/>
  <c r="AH1588" i="1"/>
  <c r="AH1075" i="1"/>
  <c r="AH2538" i="1"/>
  <c r="AH2854" i="1"/>
  <c r="AH1185" i="1"/>
  <c r="AH3289" i="1"/>
  <c r="AH2304" i="1"/>
  <c r="AH1243" i="1"/>
  <c r="AH3848" i="1"/>
  <c r="AH3673" i="1"/>
  <c r="AH1135" i="1"/>
  <c r="AH2693" i="1"/>
  <c r="AH1538" i="1"/>
  <c r="AH2043" i="1"/>
  <c r="AH3723" i="1"/>
  <c r="AH2933" i="1"/>
  <c r="AH5244" i="1"/>
  <c r="AH1993" i="1"/>
  <c r="AH715" i="1"/>
  <c r="AH1326" i="1"/>
  <c r="AH716" i="1"/>
  <c r="AH2145" i="1"/>
  <c r="AH962" i="1"/>
  <c r="AH5609" i="1"/>
  <c r="AH1287" i="1"/>
  <c r="AH5214" i="1"/>
  <c r="AH5610" i="1"/>
  <c r="AH2293" i="1"/>
  <c r="AH845" i="1"/>
  <c r="AH1345" i="1"/>
  <c r="AH2702" i="1"/>
  <c r="AH1561" i="1"/>
  <c r="AH5096" i="1"/>
  <c r="AH353" i="1"/>
  <c r="AH2074" i="1"/>
  <c r="AH1333" i="1"/>
  <c r="AH1672" i="1"/>
  <c r="AH4955" i="1"/>
  <c r="AH1923" i="1"/>
  <c r="AH4505" i="1"/>
  <c r="AH782" i="1"/>
  <c r="AH321" i="1"/>
  <c r="AH216" i="1"/>
  <c r="AH1316" i="1"/>
  <c r="AH955" i="1"/>
  <c r="AH4313" i="1"/>
  <c r="AH508" i="1"/>
  <c r="AH36" i="1"/>
  <c r="AH717" i="1"/>
  <c r="AH1674" i="1"/>
  <c r="AH2564" i="1"/>
  <c r="AH434" i="1"/>
  <c r="AH3115" i="1"/>
  <c r="AH519" i="1"/>
  <c r="AH4861" i="1"/>
  <c r="AH923" i="1"/>
  <c r="AH173" i="1"/>
  <c r="AH1723" i="1"/>
  <c r="AH1392" i="1"/>
  <c r="AH1642" i="1"/>
  <c r="AH1115" i="1"/>
  <c r="AH358" i="1"/>
  <c r="AH3111" i="1"/>
  <c r="AH5046" i="1"/>
  <c r="AH5611" i="1"/>
  <c r="AH1512" i="1"/>
  <c r="AH4200" i="1"/>
  <c r="AH5272" i="1"/>
  <c r="AH1720" i="1"/>
  <c r="AH2773" i="1"/>
  <c r="AH28" i="1"/>
  <c r="AH1295" i="1"/>
  <c r="AH2780" i="1"/>
  <c r="AH443" i="1"/>
  <c r="AH555" i="1"/>
  <c r="AH2943" i="1"/>
  <c r="AH4528" i="1"/>
  <c r="AH5245" i="1"/>
  <c r="AH1539" i="1"/>
  <c r="AH1800" i="1"/>
  <c r="AH4859" i="1"/>
  <c r="AH3306" i="1"/>
  <c r="AH5612" i="1"/>
  <c r="AH1165" i="1"/>
  <c r="AH504" i="1"/>
  <c r="AH1374" i="1"/>
  <c r="AH2072" i="1"/>
  <c r="AH1785" i="1"/>
  <c r="AH2685" i="1"/>
  <c r="AH4462" i="1"/>
  <c r="AH1393" i="1"/>
  <c r="AH415" i="1"/>
  <c r="AH371" i="1"/>
  <c r="AH2065" i="1"/>
  <c r="AH3901" i="1"/>
  <c r="AH5613" i="1"/>
  <c r="AH3857" i="1"/>
  <c r="AH718" i="1"/>
  <c r="AH601" i="1"/>
  <c r="AH5044" i="1"/>
  <c r="AH2268" i="1"/>
  <c r="AH5614" i="1"/>
  <c r="AH1881" i="1"/>
  <c r="AH323" i="1"/>
  <c r="AH526" i="1"/>
  <c r="AH1726" i="1"/>
  <c r="AH1996" i="1"/>
  <c r="AH3055" i="1"/>
  <c r="AH1900" i="1"/>
  <c r="AH631" i="1"/>
  <c r="AH2246" i="1"/>
  <c r="AH577" i="1"/>
  <c r="AH820" i="1"/>
  <c r="AH1092" i="1"/>
  <c r="AH2400" i="1"/>
  <c r="AH446" i="1"/>
  <c r="AH2113" i="1"/>
  <c r="AH4506" i="1"/>
  <c r="AH308" i="1"/>
  <c r="AH1046" i="1"/>
  <c r="AH3338" i="1"/>
  <c r="AH266" i="1"/>
  <c r="AH211" i="1"/>
  <c r="AH4758" i="1"/>
  <c r="AH578" i="1"/>
  <c r="AH134" i="1"/>
  <c r="AH1297" i="1"/>
  <c r="AH3981" i="1"/>
  <c r="AH719" i="1"/>
  <c r="AH696" i="1"/>
  <c r="AH929" i="1"/>
  <c r="AH4538" i="1"/>
  <c r="AH1172" i="1"/>
  <c r="AH815" i="1"/>
  <c r="AH1418" i="1"/>
  <c r="AH4105" i="1"/>
  <c r="AH2737" i="1"/>
  <c r="AH4380" i="1"/>
  <c r="AH1778" i="1"/>
  <c r="AH3557" i="1"/>
  <c r="AH5615" i="1"/>
  <c r="AH5616" i="1"/>
  <c r="AH222" i="1"/>
  <c r="AH5014" i="1"/>
  <c r="AH979" i="1"/>
  <c r="AH1997" i="1"/>
  <c r="AH229" i="1"/>
  <c r="AH579" i="1"/>
  <c r="AH316" i="1"/>
  <c r="AH5617" i="1"/>
  <c r="AH4817" i="1"/>
  <c r="AH3618" i="1"/>
  <c r="AH1973" i="1"/>
  <c r="AH816" i="1"/>
  <c r="AH326" i="1"/>
  <c r="AH429" i="1"/>
  <c r="AH4201" i="1"/>
  <c r="AH808" i="1"/>
  <c r="AH2436" i="1"/>
  <c r="AH106" i="1"/>
  <c r="AH1241" i="1"/>
  <c r="AH1695" i="1"/>
  <c r="AH1142" i="1"/>
  <c r="AH720" i="1"/>
  <c r="AH800" i="1"/>
  <c r="AH3118" i="1"/>
  <c r="AH3238" i="1"/>
  <c r="AH1256" i="1"/>
  <c r="AH3113" i="1"/>
  <c r="AH2964" i="1"/>
  <c r="AH2539" i="1"/>
  <c r="AH2060" i="1"/>
  <c r="AH2182" i="1"/>
  <c r="AH648" i="1"/>
  <c r="AH2221" i="1"/>
  <c r="AH5160" i="1"/>
  <c r="AH2183" i="1"/>
  <c r="AH721" i="1"/>
  <c r="AH938" i="1"/>
  <c r="AH1110" i="1"/>
  <c r="AH3" i="1"/>
  <c r="AH4770" i="1"/>
  <c r="AH627" i="1"/>
  <c r="AH2426" i="1"/>
  <c r="AH2965" i="1"/>
  <c r="AH2834" i="1"/>
  <c r="AH689" i="1"/>
  <c r="AH1918" i="1"/>
  <c r="AH2451" i="1"/>
  <c r="AH4692" i="1"/>
  <c r="AH1244" i="1"/>
  <c r="AH2532" i="1"/>
  <c r="AH3170" i="1"/>
  <c r="AH100" i="1"/>
  <c r="AH5618" i="1"/>
  <c r="AH3779" i="1"/>
  <c r="AH1696" i="1"/>
  <c r="AH3834" i="1"/>
  <c r="AH394" i="1"/>
  <c r="AH3417" i="1"/>
  <c r="AH536" i="1"/>
  <c r="AH1128" i="1"/>
  <c r="AH1105" i="1"/>
  <c r="AH1234" i="1"/>
  <c r="AH3068" i="1"/>
  <c r="AH1021" i="1"/>
  <c r="AH3982" i="1"/>
  <c r="AH5257" i="1"/>
  <c r="AH372" i="1"/>
  <c r="AH2249" i="1"/>
  <c r="AH3476" i="1"/>
  <c r="AH109" i="1"/>
  <c r="AH219" i="1"/>
  <c r="AH1907" i="1"/>
  <c r="AH2184" i="1"/>
  <c r="AH2123" i="1"/>
  <c r="AH2859" i="1"/>
  <c r="AH2803" i="1"/>
  <c r="AH4656" i="1"/>
  <c r="AH655" i="1"/>
  <c r="AH3470" i="1"/>
  <c r="AH54" i="1"/>
  <c r="AH2478" i="1"/>
  <c r="AH2997" i="1"/>
  <c r="AH2360" i="1"/>
  <c r="AH5118" i="1"/>
  <c r="AH722" i="1"/>
  <c r="AH907" i="1"/>
  <c r="AH1960" i="1"/>
  <c r="AH4234" i="1"/>
  <c r="AH2001" i="1"/>
  <c r="AH1540" i="1"/>
  <c r="AH290" i="1"/>
  <c r="AH4096" i="1"/>
  <c r="AH114" i="1"/>
  <c r="AH4" i="1"/>
  <c r="AH2185" i="1"/>
  <c r="AH197" i="1"/>
  <c r="AH3013" i="1"/>
  <c r="AH4388" i="1"/>
  <c r="AH267" i="1"/>
  <c r="AH684" i="1"/>
  <c r="AH4473" i="1"/>
  <c r="AH2502" i="1"/>
  <c r="AH681" i="1"/>
  <c r="AH1541" i="1"/>
  <c r="AH440" i="1"/>
  <c r="AH3315" i="1"/>
  <c r="AH2630" i="1"/>
  <c r="AH2785" i="1"/>
  <c r="AH1187" i="1"/>
  <c r="AH1495" i="1"/>
  <c r="AH605" i="1"/>
  <c r="AH243" i="1"/>
  <c r="AH116" i="1"/>
  <c r="AH674" i="1"/>
  <c r="AH1146" i="1"/>
  <c r="AH1028" i="1"/>
  <c r="AH1093" i="1"/>
  <c r="AH2035" i="1"/>
  <c r="AH2186" i="1"/>
  <c r="AH2812" i="1"/>
  <c r="AH878" i="1"/>
  <c r="AH108" i="1"/>
  <c r="AH283" i="1"/>
  <c r="AH432" i="1"/>
  <c r="AH1409" i="1"/>
  <c r="AH1102" i="1"/>
  <c r="AH1308" i="1"/>
  <c r="AH723" i="1"/>
  <c r="AH202" i="1"/>
  <c r="AH322" i="1"/>
  <c r="AH5058" i="1"/>
  <c r="AH2090" i="1"/>
  <c r="AH1941" i="1"/>
  <c r="AH1376" i="1"/>
  <c r="AH1138" i="1"/>
  <c r="AH5191" i="1"/>
  <c r="AH3367" i="1"/>
  <c r="AH643" i="1"/>
  <c r="AH3600" i="1"/>
  <c r="AH5259" i="1"/>
  <c r="AH329" i="1"/>
  <c r="AH1113" i="1"/>
  <c r="AH416" i="1"/>
  <c r="AH580" i="1"/>
  <c r="AH931" i="1"/>
  <c r="AH2771" i="1"/>
  <c r="AH882" i="1"/>
  <c r="AH825" i="1"/>
  <c r="AH1023" i="1"/>
  <c r="AH1249" i="1"/>
  <c r="AH724" i="1"/>
  <c r="AH1150" i="1"/>
  <c r="AH645" i="1"/>
  <c r="AH340" i="1"/>
  <c r="AH607" i="1"/>
  <c r="AH3735" i="1"/>
  <c r="AH906" i="1"/>
  <c r="AH1697" i="1"/>
  <c r="AH2820" i="1"/>
  <c r="AH2733" i="1"/>
  <c r="AH1698" i="1"/>
  <c r="AH2229" i="1"/>
  <c r="AH4025" i="1"/>
  <c r="AH1268" i="1"/>
  <c r="AH2565" i="1"/>
  <c r="AH212" i="1"/>
  <c r="AH2118" i="1"/>
  <c r="AH522" i="1"/>
  <c r="AH5276" i="1"/>
  <c r="AH4667" i="1"/>
  <c r="AH5619" i="1"/>
  <c r="AH3983" i="1"/>
  <c r="AH307" i="1"/>
  <c r="AH2928" i="1"/>
  <c r="AH1303" i="1"/>
  <c r="AH1130" i="1"/>
  <c r="AH4629" i="1"/>
  <c r="AH5243" i="1"/>
  <c r="AH1033" i="1"/>
  <c r="AH502" i="1"/>
  <c r="AH725" i="1"/>
  <c r="AH402" i="1"/>
  <c r="AH533" i="1"/>
  <c r="AH4452" i="1"/>
  <c r="AH475" i="1"/>
  <c r="AH623" i="1"/>
  <c r="AH1200" i="1"/>
  <c r="AH261" i="1"/>
  <c r="AH1196" i="1"/>
  <c r="AH2305" i="1"/>
  <c r="AH63" i="1"/>
  <c r="AH4978" i="1"/>
  <c r="AH68" i="1"/>
  <c r="AH1793" i="1"/>
  <c r="AH2264" i="1"/>
  <c r="AH4114" i="1"/>
  <c r="AH1581" i="1"/>
  <c r="AH614" i="1"/>
  <c r="AH4790" i="1"/>
  <c r="AH3262" i="1"/>
  <c r="AH3361" i="1"/>
  <c r="AH2328" i="1"/>
  <c r="AH2503" i="1"/>
  <c r="AH769" i="1"/>
  <c r="AH5115" i="1"/>
  <c r="AH4202" i="1"/>
  <c r="AH221" i="1"/>
  <c r="AH726" i="1"/>
  <c r="AH3040" i="1"/>
  <c r="AH3265" i="1"/>
  <c r="AH617" i="1"/>
  <c r="AH3316" i="1"/>
  <c r="AH3193" i="1"/>
  <c r="AH3691" i="1"/>
  <c r="AH1311" i="1"/>
  <c r="AH937" i="1"/>
  <c r="AH3161" i="1"/>
  <c r="AH4984" i="1"/>
  <c r="AH1314" i="1"/>
  <c r="AH2101" i="1"/>
  <c r="AH1163" i="1"/>
  <c r="AH3785" i="1"/>
  <c r="AH270" i="1"/>
  <c r="AH239" i="1"/>
  <c r="AH1944" i="1"/>
  <c r="AH76" i="1"/>
  <c r="AH1040" i="1"/>
  <c r="AH45" i="1"/>
  <c r="AH727" i="1"/>
  <c r="AH1838" i="1"/>
  <c r="AH175" i="1"/>
  <c r="AH470" i="1"/>
  <c r="AH1682" i="1"/>
  <c r="AH3263" i="1"/>
  <c r="AH5015" i="1"/>
  <c r="AH3089" i="1"/>
  <c r="AH280" i="1"/>
  <c r="AH5620" i="1"/>
  <c r="AH362" i="1"/>
  <c r="AH2104" i="1"/>
  <c r="AH276" i="1"/>
  <c r="AH940" i="1"/>
  <c r="AH41" i="1"/>
  <c r="AH728" i="1"/>
  <c r="AH4038" i="1"/>
  <c r="AH2205" i="1"/>
  <c r="AH4684" i="1"/>
  <c r="AH1499" i="1"/>
  <c r="AH430" i="1"/>
  <c r="AH101" i="1"/>
  <c r="AH3354" i="1"/>
  <c r="AH2422" i="1"/>
  <c r="AH3318" i="1"/>
  <c r="AH3382" i="1"/>
  <c r="AH3352" i="1"/>
  <c r="AH2671" i="1"/>
  <c r="AH388" i="1"/>
  <c r="AH953" i="1"/>
  <c r="AH1886" i="1"/>
  <c r="AH1475" i="1"/>
  <c r="AH670" i="1"/>
  <c r="AH2361" i="1"/>
  <c r="AH2099" i="1"/>
  <c r="AH241" i="1"/>
  <c r="AH1168" i="1"/>
  <c r="AH3389" i="1"/>
  <c r="AH3135" i="1"/>
  <c r="AH1699" i="1"/>
  <c r="AH3423" i="1"/>
  <c r="AH104" i="1"/>
  <c r="AH150" i="1"/>
  <c r="AH4203" i="1"/>
  <c r="AH85" i="1"/>
  <c r="AH581" i="1"/>
  <c r="AH1122" i="1"/>
  <c r="AH1066" i="1"/>
  <c r="AH1341" i="1"/>
  <c r="AH1235" i="1"/>
  <c r="AH2605" i="1"/>
  <c r="AH2091" i="1"/>
  <c r="AH392" i="1"/>
  <c r="AH141" i="1"/>
  <c r="AH762" i="1"/>
  <c r="AH4041" i="1"/>
  <c r="AH729" i="1"/>
  <c r="AH69" i="1"/>
  <c r="AH4989" i="1"/>
  <c r="AH1728" i="1"/>
  <c r="AH5274" i="1"/>
  <c r="AH1858" i="1"/>
  <c r="AH4586" i="1"/>
  <c r="AH1974" i="1"/>
  <c r="AH932" i="1"/>
  <c r="AH477" i="1"/>
  <c r="AH4763" i="1"/>
  <c r="AH4118" i="1"/>
  <c r="AH427" i="1"/>
  <c r="AH5621" i="1"/>
  <c r="AH4963" i="1"/>
  <c r="AH2459" i="1"/>
  <c r="AH4557" i="1"/>
  <c r="AH4688" i="1"/>
  <c r="AH879" i="1"/>
  <c r="AH2255" i="1"/>
  <c r="AH1411" i="1"/>
  <c r="AH3711" i="1"/>
  <c r="AH509" i="1"/>
  <c r="AH1048" i="1"/>
  <c r="AH1432" i="1"/>
  <c r="AH5622" i="1"/>
  <c r="AH2097" i="1"/>
  <c r="AH3246" i="1"/>
  <c r="AH1197" i="1"/>
  <c r="AH4295" i="1"/>
  <c r="AH3447" i="1"/>
  <c r="AH786" i="1"/>
  <c r="AH1143" i="1"/>
  <c r="AH2599" i="1"/>
  <c r="AH582" i="1"/>
  <c r="AH1085" i="1"/>
  <c r="AH282" i="1"/>
  <c r="AH5077" i="1"/>
  <c r="AH417" i="1"/>
  <c r="AH458" i="1"/>
  <c r="AH166" i="1"/>
  <c r="AH48" i="1"/>
  <c r="AH213" i="1"/>
  <c r="AH2469" i="1"/>
  <c r="AH374" i="1"/>
  <c r="AH4549" i="1"/>
  <c r="AH534" i="1"/>
  <c r="AH2694" i="1"/>
  <c r="AH548" i="1"/>
  <c r="AH87" i="1"/>
  <c r="AH296" i="1"/>
  <c r="AH2284" i="1"/>
  <c r="AH730" i="1"/>
  <c r="AH3392" i="1"/>
  <c r="AH344" i="1"/>
  <c r="AH911" i="1"/>
  <c r="AH3152" i="1"/>
  <c r="AH1806" i="1"/>
  <c r="AH218" i="1"/>
  <c r="AH849" i="1"/>
  <c r="AH1542" i="1"/>
  <c r="AH2076" i="1"/>
  <c r="AH1047" i="1"/>
  <c r="AH1517" i="1"/>
  <c r="AH751" i="1"/>
  <c r="AH2876" i="1"/>
  <c r="AH2680" i="1"/>
  <c r="AH731" i="1"/>
  <c r="AH639" i="1"/>
  <c r="AH1167" i="1"/>
  <c r="AH3092" i="1"/>
  <c r="AH3188" i="1"/>
  <c r="AH583" i="1"/>
  <c r="AH778" i="1"/>
  <c r="AH1859" i="1"/>
  <c r="AH1897" i="1"/>
  <c r="AH2661" i="1"/>
  <c r="AH5623" i="1"/>
  <c r="AH210" i="1"/>
  <c r="AH2271" i="1"/>
  <c r="AH1181" i="1"/>
  <c r="AH2019" i="1"/>
  <c r="AH42" i="1"/>
  <c r="AH3296" i="1"/>
  <c r="AH1543" i="1"/>
  <c r="AH2682" i="1"/>
  <c r="AH999" i="1"/>
  <c r="AH1190" i="1"/>
  <c r="AH5624" i="1"/>
  <c r="AH837" i="1"/>
  <c r="AH34" i="1"/>
  <c r="AH122" i="1"/>
  <c r="AH4660" i="1"/>
  <c r="AH3608" i="1"/>
  <c r="AH4614" i="1"/>
  <c r="AH3791" i="1"/>
  <c r="AH3904" i="1"/>
  <c r="AH3452" i="1"/>
  <c r="AH1924" i="1"/>
  <c r="AH3584" i="1"/>
  <c r="AH2438" i="1"/>
  <c r="AH4240" i="1"/>
  <c r="AH2504" i="1"/>
  <c r="AH1263" i="1"/>
  <c r="AH2215" i="1"/>
  <c r="AH1887" i="1"/>
  <c r="AH1193" i="1"/>
  <c r="AH2063" i="1"/>
  <c r="AH3783" i="1"/>
  <c r="AH3010" i="1"/>
  <c r="AH2505" i="1"/>
  <c r="AH4358" i="1"/>
  <c r="AH1361" i="1"/>
  <c r="AH2069" i="1"/>
  <c r="AH1544" i="1"/>
  <c r="AH1199" i="1"/>
  <c r="AH4365" i="1"/>
  <c r="AH3780" i="1"/>
  <c r="AH1428" i="1"/>
  <c r="AH1700" i="1"/>
  <c r="AH3844" i="1"/>
  <c r="AH1394" i="1"/>
  <c r="AH5091" i="1"/>
  <c r="AH5275" i="1"/>
  <c r="AH1015" i="1"/>
  <c r="AH2769" i="1"/>
  <c r="AH2005" i="1"/>
  <c r="AH5193" i="1"/>
  <c r="AH3255" i="1"/>
  <c r="AH5083" i="1"/>
  <c r="AH2290" i="1"/>
  <c r="AH2804" i="1"/>
  <c r="AH2131" i="1"/>
  <c r="AH928" i="1"/>
  <c r="AH4204" i="1"/>
  <c r="AH3839" i="1"/>
  <c r="AH2506" i="1"/>
  <c r="AH1953" i="1"/>
  <c r="AH1822" i="1"/>
  <c r="AH2507" i="1"/>
  <c r="AH4085" i="1"/>
  <c r="AH1395" i="1"/>
  <c r="AH4863" i="1"/>
  <c r="AH1483" i="1"/>
  <c r="AH1860" i="1"/>
  <c r="AH380" i="1"/>
  <c r="AH3005" i="1"/>
  <c r="AH4844" i="1"/>
  <c r="AH1753" i="1"/>
  <c r="AH1269" i="1"/>
  <c r="AH4788" i="1"/>
  <c r="AH3069" i="1"/>
  <c r="AH1396" i="1"/>
  <c r="AH1251" i="1"/>
  <c r="AH1397" i="1"/>
  <c r="AH4366" i="1"/>
  <c r="AH2430" i="1"/>
  <c r="AH4578" i="1"/>
  <c r="AH2223" i="1"/>
  <c r="AH3405" i="1"/>
  <c r="AH4484" i="1"/>
  <c r="AH3244" i="1"/>
  <c r="AH1107" i="1"/>
  <c r="AH3242" i="1"/>
  <c r="AH5047" i="1"/>
  <c r="AH641" i="1"/>
  <c r="AH2676" i="1"/>
  <c r="AH1861" i="1"/>
  <c r="AH2867" i="1"/>
  <c r="AH3295" i="1"/>
  <c r="AH4626" i="1"/>
  <c r="AH4668" i="1"/>
  <c r="AH618" i="1"/>
  <c r="AH2567" i="1"/>
  <c r="AH2508" i="1"/>
  <c r="AH1223" i="1"/>
  <c r="AH2550" i="1"/>
  <c r="AH1659" i="1"/>
  <c r="AH5022" i="1"/>
  <c r="AH1862" i="1"/>
  <c r="AH2164" i="1"/>
  <c r="AH514" i="1"/>
  <c r="AH732" i="1"/>
  <c r="AH1545" i="1"/>
  <c r="AH3764" i="1"/>
  <c r="AH1612" i="1"/>
  <c r="AH2875" i="1"/>
  <c r="AH1094" i="1"/>
  <c r="AH2966" i="1"/>
  <c r="AH1954" i="1"/>
  <c r="AH3628" i="1"/>
  <c r="AH1939" i="1"/>
  <c r="AH1514" i="1"/>
  <c r="AH2187" i="1"/>
  <c r="AH2825" i="1"/>
  <c r="AH153" i="1"/>
  <c r="AH3104" i="1"/>
  <c r="AH84" i="1"/>
  <c r="AH387" i="1"/>
  <c r="AH918" i="1"/>
  <c r="AH3153" i="1"/>
  <c r="AH584" i="1"/>
  <c r="AH3583" i="1"/>
  <c r="AH4428" i="1"/>
  <c r="AH844" i="1"/>
  <c r="AH1270" i="1"/>
  <c r="AH1464" i="1"/>
  <c r="AH1811" i="1"/>
  <c r="AH3424" i="1"/>
  <c r="AH1202" i="1"/>
  <c r="AH3487" i="1"/>
  <c r="AH733" i="1"/>
  <c r="AH1794" i="1"/>
  <c r="AH2369" i="1"/>
  <c r="AH174" i="1"/>
  <c r="AH217" i="1"/>
  <c r="AH544" i="1"/>
  <c r="AH4175" i="1"/>
  <c r="AH196" i="1"/>
  <c r="AH238" i="1"/>
  <c r="AH4146" i="1"/>
  <c r="AH1426" i="1"/>
  <c r="AH2885" i="1"/>
  <c r="AH4412" i="1"/>
  <c r="AH300" i="1"/>
  <c r="AH1036" i="1"/>
  <c r="AH2553" i="1"/>
  <c r="AH3625" i="1"/>
  <c r="AH983" i="1"/>
  <c r="AH2218" i="1"/>
  <c r="AH3832" i="1"/>
  <c r="AH4824" i="1"/>
  <c r="AH585" i="1"/>
  <c r="AH319" i="1"/>
  <c r="AH123" i="1"/>
  <c r="AH4704" i="1"/>
  <c r="AH1701" i="1"/>
  <c r="AH2642" i="1"/>
  <c r="AH64" i="1"/>
  <c r="AH2886" i="1"/>
  <c r="AH3702" i="1"/>
  <c r="AH2831" i="1"/>
  <c r="AH3133" i="1"/>
  <c r="AH3186" i="1"/>
  <c r="AH2757" i="1"/>
  <c r="AH1206" i="1"/>
  <c r="AH887" i="1"/>
  <c r="AH1611" i="1"/>
  <c r="AH3522" i="1"/>
  <c r="AH250" i="1"/>
  <c r="AH3609" i="1"/>
  <c r="AH1731" i="1"/>
  <c r="AH1741" i="1"/>
  <c r="AH2814" i="1"/>
  <c r="AH2654" i="1"/>
  <c r="AH418" i="1"/>
  <c r="AH895" i="1"/>
  <c r="AH1468" i="1"/>
  <c r="AH1546" i="1"/>
  <c r="AH4777" i="1"/>
  <c r="AH1637" i="1"/>
  <c r="AH1013" i="1"/>
  <c r="AH3049" i="1"/>
  <c r="AH2188" i="1"/>
  <c r="AH3183" i="1"/>
  <c r="AH2509" i="1"/>
  <c r="AH3863" i="1"/>
  <c r="AH4013" i="1"/>
  <c r="AH255" i="1"/>
  <c r="AH251" i="1"/>
  <c r="AH763" i="1"/>
  <c r="AH942" i="1"/>
  <c r="AH436" i="1"/>
  <c r="AH315" i="1"/>
  <c r="AH309" i="1"/>
  <c r="AH3736" i="1"/>
  <c r="AH73" i="1"/>
  <c r="AH2626" i="1"/>
  <c r="AH1882" i="1"/>
  <c r="AH3828" i="1"/>
  <c r="AH992" i="1"/>
  <c r="AH2189" i="1"/>
  <c r="AH1398" i="1"/>
  <c r="AH474" i="1"/>
  <c r="AH1030" i="1"/>
  <c r="AH5178" i="1"/>
  <c r="AH1446" i="1"/>
  <c r="AH1998" i="1"/>
  <c r="AH2362" i="1"/>
  <c r="AH656" i="1"/>
  <c r="AH3070" i="1"/>
  <c r="AH3095" i="1"/>
  <c r="AH3430" i="1"/>
  <c r="AH2856" i="1"/>
  <c r="AH4108" i="1"/>
  <c r="AH980" i="1"/>
  <c r="AH203" i="1"/>
  <c r="AH293" i="1"/>
  <c r="AH984" i="1"/>
  <c r="AH1932" i="1"/>
  <c r="AH2190" i="1"/>
  <c r="AH5093" i="1"/>
  <c r="AH343" i="1"/>
  <c r="AH199" i="1"/>
  <c r="AH275" i="1"/>
  <c r="AH5226" i="1"/>
  <c r="AH3644" i="1"/>
  <c r="AH2207" i="1"/>
  <c r="AH3357" i="1"/>
  <c r="AH3406" i="1"/>
  <c r="AH3439" i="1"/>
  <c r="AH834" i="1"/>
  <c r="AH4694" i="1"/>
  <c r="AH1978" i="1"/>
  <c r="AH115" i="1"/>
  <c r="AH2079" i="1"/>
  <c r="AH586" i="1"/>
  <c r="AH3816" i="1"/>
  <c r="AH3592" i="1"/>
  <c r="AH4463" i="1"/>
  <c r="AH1908" i="1"/>
  <c r="AH2452" i="1"/>
  <c r="AH5625" i="1"/>
  <c r="AH3664" i="1"/>
  <c r="AH1803" i="1"/>
  <c r="AH1399" i="1"/>
  <c r="AH3368" i="1"/>
  <c r="AH3771" i="1"/>
  <c r="AH2643" i="1"/>
  <c r="AH2291" i="1"/>
  <c r="AH1568" i="1"/>
  <c r="AH3173" i="1"/>
  <c r="AH44" i="1"/>
  <c r="AH1031" i="1"/>
  <c r="AH4887" i="1"/>
  <c r="AH4109" i="1"/>
  <c r="AH1358" i="1"/>
  <c r="AH1955" i="1"/>
  <c r="AH3399" i="1"/>
  <c r="AH2703" i="1"/>
  <c r="AH2296" i="1"/>
  <c r="AH4301" i="1"/>
  <c r="AH4481" i="1"/>
  <c r="AH1863" i="1"/>
  <c r="AH1301" i="1"/>
  <c r="AH1236" i="1"/>
  <c r="AH4171" i="1"/>
  <c r="AH3407" i="1"/>
  <c r="AH1981" i="1"/>
  <c r="AH3653" i="1"/>
  <c r="AH3641" i="1"/>
  <c r="AH5069" i="1"/>
  <c r="AH352" i="1"/>
  <c r="AH1155" i="1"/>
  <c r="AH1174" i="1"/>
  <c r="AH883" i="1"/>
  <c r="AH302" i="1"/>
  <c r="AH2744" i="1"/>
  <c r="AH224" i="1"/>
  <c r="AH527" i="1"/>
  <c r="AH305" i="1"/>
  <c r="AH2644" i="1"/>
  <c r="AH1309" i="1"/>
  <c r="AH846" i="1"/>
  <c r="AH2388" i="1"/>
  <c r="AH4771" i="1"/>
  <c r="AH113" i="1"/>
  <c r="AH184" i="1"/>
  <c r="AH1547" i="1"/>
  <c r="AH870" i="1"/>
  <c r="AH396" i="1"/>
  <c r="AH1400" i="1"/>
  <c r="AH1058" i="1"/>
  <c r="AH3503" i="1"/>
  <c r="AH1469" i="1"/>
  <c r="AH4168" i="1"/>
  <c r="AH925" i="1"/>
  <c r="AH1663" i="1"/>
  <c r="AH3362" i="1"/>
  <c r="AH675" i="1"/>
  <c r="AH191" i="1"/>
  <c r="AH220" i="1"/>
  <c r="AH734" i="1"/>
  <c r="AH3715" i="1"/>
  <c r="AH587" i="1"/>
  <c r="AH679" i="1"/>
  <c r="AH2936" i="1"/>
  <c r="AH3776" i="1"/>
  <c r="AH3611" i="1"/>
  <c r="AH4185" i="1"/>
  <c r="AH3165" i="1"/>
  <c r="AH3801" i="1"/>
  <c r="AH4517" i="1"/>
  <c r="AH2148" i="1"/>
  <c r="AH181" i="1"/>
  <c r="AH3570" i="1"/>
  <c r="AH381" i="1"/>
  <c r="AH1755" i="1"/>
  <c r="AH1791" i="1"/>
  <c r="AH1331" i="1"/>
  <c r="AH3491" i="1"/>
  <c r="AH735" i="1"/>
  <c r="AH792" i="1"/>
  <c r="AH1351" i="1"/>
  <c r="AH946" i="1"/>
  <c r="AH1748" i="1"/>
  <c r="AH3824" i="1"/>
  <c r="AH1068" i="1"/>
  <c r="AH485" i="1"/>
  <c r="AH3941" i="1"/>
  <c r="AH2046" i="1"/>
  <c r="AH3765" i="1"/>
  <c r="AH1625" i="1"/>
  <c r="AH1005" i="1"/>
  <c r="AH3911" i="1"/>
  <c r="AH3154" i="1"/>
  <c r="AH2893" i="1"/>
  <c r="AH3410" i="1"/>
  <c r="AH1445" i="1"/>
  <c r="AH2669" i="1"/>
  <c r="AH3797" i="1"/>
  <c r="AH5087" i="1"/>
  <c r="AH1304" i="1"/>
  <c r="AH2000" i="1"/>
  <c r="AH564" i="1"/>
  <c r="AH2552" i="1"/>
  <c r="AH5626" i="1"/>
  <c r="AH1980" i="1"/>
  <c r="AH3237" i="1"/>
  <c r="AH1157" i="1"/>
  <c r="AH4545" i="1"/>
  <c r="AH2389" i="1"/>
  <c r="AH1702" i="1"/>
  <c r="AH1729" i="1"/>
  <c r="AH2391" i="1"/>
  <c r="AH3523" i="1"/>
  <c r="AH3117" i="1"/>
  <c r="AH2861" i="1"/>
  <c r="AH4453" i="1"/>
  <c r="AH1594" i="1"/>
  <c r="AH3674" i="1"/>
  <c r="AH948" i="1"/>
  <c r="AH4097" i="1"/>
  <c r="AH1766" i="1"/>
  <c r="AH2881" i="1"/>
  <c r="AH1643" i="1"/>
  <c r="AH237" i="1"/>
  <c r="AH530" i="1"/>
  <c r="AH2471" i="1"/>
  <c r="AH2067" i="1"/>
  <c r="AH466" i="1"/>
  <c r="AH5185" i="1"/>
  <c r="AH1372" i="1"/>
  <c r="AH1730" i="1"/>
  <c r="AH3881" i="1"/>
  <c r="AH1335" i="1"/>
  <c r="AH2307" i="1"/>
  <c r="AH1999" i="1"/>
  <c r="AH3538" i="1"/>
  <c r="AH2989" i="1"/>
  <c r="AH1422" i="1"/>
  <c r="AH172" i="1"/>
  <c r="AH2116" i="1"/>
  <c r="AH4086" i="1"/>
  <c r="AH2716" i="1"/>
  <c r="AH3489" i="1"/>
  <c r="AH2377" i="1"/>
  <c r="AH3581" i="1"/>
  <c r="AH3930" i="1"/>
  <c r="AH1401" i="1"/>
  <c r="AH2121" i="1"/>
  <c r="AH1277" i="1"/>
  <c r="AH3812" i="1"/>
  <c r="AH5155" i="1"/>
  <c r="AH1518" i="1"/>
  <c r="AH4441" i="1"/>
  <c r="AH324" i="1"/>
  <c r="AH3571" i="1"/>
  <c r="AH1410" i="1"/>
  <c r="AH2526" i="1"/>
  <c r="AH3434" i="1"/>
  <c r="AH2675" i="1"/>
  <c r="AH2889" i="1"/>
  <c r="AH1990" i="1"/>
  <c r="AH1123" i="1"/>
  <c r="AH3543" i="1"/>
  <c r="AH1959" i="1"/>
  <c r="AH1149" i="1"/>
  <c r="AH2374" i="1"/>
  <c r="AH3278" i="1"/>
  <c r="AH2317" i="1"/>
  <c r="AH2608" i="1"/>
  <c r="AH1111" i="1"/>
  <c r="AH2645" i="1"/>
  <c r="AH1616" i="1"/>
  <c r="AH835" i="1"/>
  <c r="AH537" i="1"/>
  <c r="AH1577" i="1"/>
  <c r="AH3459" i="1"/>
  <c r="AH2967" i="1"/>
  <c r="AH1735" i="1"/>
  <c r="AH39" i="1"/>
  <c r="AH1120" i="1"/>
  <c r="AH1060" i="1"/>
  <c r="AH897" i="1"/>
  <c r="AH2968" i="1"/>
  <c r="AH3993" i="1"/>
  <c r="AH3886" i="1"/>
  <c r="AH3864" i="1"/>
  <c r="AH3339" i="1"/>
  <c r="AH3554" i="1"/>
  <c r="AH3626" i="1"/>
  <c r="AH4161" i="1"/>
  <c r="AH2770" i="1"/>
  <c r="AH5253" i="1"/>
  <c r="AH629" i="1"/>
  <c r="AH785" i="1"/>
  <c r="AH5176" i="1"/>
  <c r="AH5627" i="1"/>
  <c r="AH5202" i="1"/>
  <c r="AH2214" i="1"/>
  <c r="AH1285" i="1"/>
  <c r="AH4703" i="1"/>
  <c r="AH4727" i="1"/>
  <c r="AH3908" i="1"/>
  <c r="AH5122" i="1"/>
  <c r="AH1703" i="1"/>
  <c r="AH5628" i="1"/>
  <c r="AH4529" i="1"/>
  <c r="AH3195" i="1"/>
  <c r="AH4642" i="1"/>
  <c r="AH4995" i="1"/>
  <c r="AH4810" i="1"/>
  <c r="AH4052" i="1"/>
  <c r="AH3037" i="1"/>
  <c r="AH3311" i="1"/>
  <c r="AH1444" i="1"/>
  <c r="AH1427" i="1"/>
  <c r="AH3865" i="1"/>
  <c r="AH640" i="1"/>
  <c r="AH1548" i="1"/>
  <c r="AH3923" i="1"/>
  <c r="AH2020" i="1"/>
  <c r="AH151" i="1"/>
  <c r="AH2363" i="1"/>
  <c r="AH4381" i="1"/>
  <c r="AH125" i="1"/>
  <c r="AH2044" i="1"/>
  <c r="AH3125" i="1"/>
  <c r="AH385" i="1"/>
  <c r="AH4298" i="1"/>
  <c r="AH4558" i="1"/>
  <c r="AH2510" i="1"/>
  <c r="AH92" i="1"/>
  <c r="AH391" i="1"/>
  <c r="AH480" i="1"/>
  <c r="AH1433" i="1"/>
  <c r="AH3394" i="1"/>
  <c r="AH5629" i="1"/>
  <c r="AH419" i="1"/>
  <c r="AH1104" i="1"/>
  <c r="AH176" i="1"/>
  <c r="AH588" i="1"/>
  <c r="AH2739" i="1"/>
  <c r="AH5630" i="1"/>
  <c r="AH451" i="1"/>
  <c r="AH382" i="1"/>
  <c r="AH5631" i="1"/>
  <c r="AH2021" i="1"/>
  <c r="AH2318" i="1"/>
  <c r="AH3323" i="1"/>
  <c r="AH3751" i="1"/>
  <c r="AH1645" i="1"/>
  <c r="AH2022" i="1"/>
  <c r="AH3034" i="1"/>
  <c r="AH3462" i="1"/>
  <c r="AH3720" i="1"/>
  <c r="AH1975" i="1"/>
  <c r="AH4319" i="1"/>
  <c r="AH3746" i="1"/>
  <c r="AH884" i="1"/>
  <c r="AH4650" i="1"/>
  <c r="AH1549" i="1"/>
  <c r="AH2511" i="1"/>
  <c r="AH428" i="1"/>
  <c r="AH3539" i="1"/>
  <c r="AH1826" i="1"/>
  <c r="AH1864" i="1"/>
  <c r="AH360" i="1"/>
  <c r="AH539" i="1"/>
  <c r="AH4605" i="1"/>
  <c r="AH1154" i="1"/>
  <c r="AH1484" i="1"/>
  <c r="AH1739" i="1"/>
  <c r="AH3823" i="1"/>
  <c r="AH72" i="1"/>
  <c r="AH2191" i="1"/>
  <c r="AH5632" i="1"/>
  <c r="AH903" i="1"/>
  <c r="AH279" i="1"/>
  <c r="AH117" i="1"/>
  <c r="AH1670" i="1"/>
  <c r="AH47" i="1"/>
  <c r="AH288" i="1"/>
  <c r="AH5633" i="1"/>
  <c r="AH886" i="1"/>
  <c r="AH328" i="1"/>
  <c r="AH5634" i="1"/>
  <c r="AH468" i="1"/>
  <c r="AH2846" i="1"/>
  <c r="AH311" i="1"/>
  <c r="AH736" i="1"/>
  <c r="AH3700" i="1"/>
  <c r="AH3097" i="1"/>
  <c r="AH1956" i="1"/>
  <c r="AH349" i="1"/>
  <c r="AH5288" i="1"/>
  <c r="AH661" i="1"/>
  <c r="AH236" i="1"/>
  <c r="AH454" i="1"/>
  <c r="AH135" i="1"/>
  <c r="AH401" i="1"/>
  <c r="AH1704" i="1"/>
  <c r="AH2991" i="1"/>
  <c r="AH271" i="1"/>
  <c r="AH5635" i="1"/>
  <c r="AH420" i="1"/>
  <c r="AH2512" i="1"/>
  <c r="AH3134" i="1"/>
  <c r="AH2513" i="1"/>
  <c r="AH375" i="1"/>
  <c r="AH1705" i="1"/>
  <c r="AH1095" i="1"/>
  <c r="AH421" i="1"/>
  <c r="AH2238" i="1"/>
  <c r="AH1563" i="1"/>
  <c r="AH4001" i="1"/>
  <c r="AH277" i="1"/>
  <c r="AH97" i="1"/>
  <c r="AH3621" i="1"/>
  <c r="AH163" i="1"/>
  <c r="AH2120" i="1"/>
  <c r="AH201" i="1"/>
  <c r="AH1402" i="1"/>
  <c r="AH3241" i="1"/>
  <c r="AH4555" i="1"/>
  <c r="AH4297" i="1"/>
  <c r="AH3376" i="1"/>
  <c r="AH933" i="1"/>
  <c r="AH1355" i="1"/>
  <c r="AH5636" i="1"/>
  <c r="AH2905" i="1"/>
  <c r="AH2449" i="1"/>
  <c r="AH2294" i="1"/>
  <c r="AH2226" i="1"/>
  <c r="AH4125" i="1"/>
  <c r="AH148" i="1"/>
  <c r="AH813" i="1"/>
  <c r="AH77" i="1"/>
  <c r="AH1096" i="1"/>
  <c r="AH3589" i="1"/>
  <c r="AH2514" i="1"/>
  <c r="AH167" i="1"/>
  <c r="AH488" i="1"/>
  <c r="AH1779" i="1"/>
  <c r="AH4657" i="1"/>
  <c r="AH2646" i="1"/>
  <c r="AH2597" i="1"/>
  <c r="AH3268" i="1"/>
  <c r="AH3927" i="1"/>
  <c r="AH70" i="1"/>
  <c r="AH1865" i="1"/>
  <c r="AH3737" i="1"/>
  <c r="AH2878" i="1"/>
  <c r="AH1560" i="1"/>
  <c r="AH38" i="1"/>
  <c r="AH1416" i="1"/>
  <c r="AH1417" i="1"/>
  <c r="AH1212" i="1"/>
  <c r="AH764" i="1"/>
  <c r="AH26" i="1"/>
  <c r="AH240" i="1"/>
  <c r="AH330" i="1"/>
  <c r="AH1875" i="1"/>
  <c r="AH673" i="1"/>
  <c r="AH55" i="1"/>
  <c r="AH802" i="1"/>
  <c r="AH1706" i="1"/>
  <c r="AH2554" i="1"/>
  <c r="AH2601" i="1"/>
  <c r="AH5237" i="1"/>
  <c r="AH2384" i="1"/>
  <c r="AH225" i="1"/>
  <c r="AH2847" i="1"/>
  <c r="AH1022" i="1"/>
  <c r="AH119" i="1"/>
  <c r="AH899" i="1"/>
  <c r="AH5283" i="1"/>
  <c r="AH5126" i="1"/>
  <c r="AH515" i="1"/>
  <c r="AH46" i="1"/>
  <c r="AH3204" i="1"/>
  <c r="AH5637" i="1"/>
  <c r="AH5638" i="1"/>
  <c r="AH5639" i="1"/>
  <c r="AH5035" i="1"/>
  <c r="AH5640" i="1"/>
  <c r="AH3961" i="1"/>
  <c r="AH3180" i="1"/>
  <c r="AH5641" i="1"/>
  <c r="AH5108" i="1"/>
  <c r="AH5262" i="1"/>
  <c r="AH3914" i="1"/>
  <c r="AH3963" i="1"/>
  <c r="AH5124" i="1"/>
  <c r="AH1898" i="1"/>
  <c r="AH943" i="1"/>
  <c r="AH3442" i="1"/>
  <c r="AH4342" i="1"/>
  <c r="AH3496" i="1"/>
  <c r="AH4258" i="1"/>
  <c r="AH3402" i="1"/>
  <c r="AH4852" i="1"/>
  <c r="AH5007" i="1"/>
  <c r="AH4136" i="1"/>
  <c r="AH2647" i="1"/>
  <c r="AH5260" i="1"/>
  <c r="AH1988" i="1"/>
  <c r="AH4518" i="1"/>
  <c r="AH4322" i="1"/>
  <c r="AH5105" i="1"/>
  <c r="AH4282" i="1"/>
  <c r="AH3340" i="1"/>
  <c r="AH5642" i="1"/>
  <c r="AH5643" i="1"/>
  <c r="AH4372" i="1"/>
  <c r="AH2873" i="1"/>
  <c r="AH3174" i="1"/>
  <c r="AH1878" i="1"/>
  <c r="AH3163" i="1"/>
  <c r="AH5644" i="1"/>
  <c r="AH5645" i="1"/>
  <c r="AH4972" i="1"/>
  <c r="AH5646" i="1"/>
  <c r="AH1595" i="1"/>
  <c r="AH5647" i="1"/>
  <c r="AH3073" i="1"/>
  <c r="AH4489" i="1"/>
  <c r="AH5057" i="1"/>
  <c r="AH4435" i="1"/>
  <c r="AH4292" i="1"/>
  <c r="AH5648" i="1"/>
  <c r="AH2124" i="1"/>
  <c r="AH3560" i="1"/>
  <c r="AH5164" i="1"/>
  <c r="AH3744" i="1"/>
  <c r="AH2805" i="1"/>
  <c r="AH3703" i="1"/>
  <c r="AH2806" i="1"/>
  <c r="AH3712" i="1"/>
  <c r="AH4925" i="1"/>
  <c r="AH5161" i="1"/>
  <c r="AH5142" i="1"/>
  <c r="AH4600" i="1"/>
  <c r="AH3450" i="1"/>
  <c r="AH3662" i="1"/>
  <c r="AH5165" i="1"/>
  <c r="AH2479" i="1"/>
  <c r="AH3100" i="1"/>
  <c r="AH1338" i="1"/>
  <c r="AH5649" i="1"/>
  <c r="AH4615" i="1"/>
  <c r="AH1866" i="1"/>
  <c r="AH3413" i="1"/>
  <c r="AH2439" i="1"/>
  <c r="AH5179" i="1"/>
  <c r="AH4089" i="1"/>
  <c r="AH3006" i="1"/>
  <c r="AH3937" i="1"/>
  <c r="AH3420" i="1"/>
  <c r="AH5221" i="1"/>
  <c r="AH4745" i="1"/>
  <c r="AH3155" i="1"/>
  <c r="AH505" i="1"/>
  <c r="AH4116" i="1"/>
  <c r="AH5650" i="1"/>
  <c r="AH4635" i="1"/>
  <c r="AH1972" i="1"/>
  <c r="AH4797" i="1"/>
  <c r="AH2310" i="1"/>
  <c r="AH149" i="1"/>
  <c r="AH4822" i="1"/>
  <c r="AH3912" i="1"/>
  <c r="AH3480" i="1"/>
  <c r="AH4269" i="1"/>
  <c r="AH2192" i="1"/>
  <c r="AH4267" i="1"/>
  <c r="AH1583" i="1"/>
  <c r="AH1877" i="1"/>
  <c r="AH5059" i="1"/>
  <c r="AH2333" i="1"/>
  <c r="AH4333" i="1"/>
  <c r="AH4881" i="1"/>
  <c r="AH2614" i="1"/>
  <c r="AH1461" i="1"/>
  <c r="AH5651" i="1"/>
  <c r="AH1867" i="1"/>
  <c r="AH4737" i="1"/>
  <c r="AH1580" i="1"/>
  <c r="AH4816" i="1"/>
  <c r="AH2969" i="1"/>
  <c r="AH5652" i="1"/>
  <c r="AH5086" i="1"/>
  <c r="AH1868" i="1"/>
  <c r="AH5135" i="1"/>
  <c r="AH2193" i="1"/>
  <c r="AH4653" i="1"/>
  <c r="AH2421" i="1"/>
  <c r="AH5065" i="1"/>
  <c r="AH4742" i="1"/>
  <c r="AH3642" i="1"/>
  <c r="AH2194" i="1"/>
  <c r="AH3209" i="1"/>
  <c r="AH1354" i="1"/>
  <c r="AH658" i="1"/>
  <c r="AH3418" i="1"/>
  <c r="AH4620" i="1"/>
  <c r="AH5653" i="1"/>
  <c r="AH3547" i="1"/>
  <c r="AH5085" i="1"/>
  <c r="AH2398" i="1"/>
  <c r="AH4449" i="1"/>
  <c r="AH4051" i="1"/>
  <c r="AH5654" i="1"/>
  <c r="AH1676" i="1"/>
  <c r="AH5102" i="1"/>
  <c r="AH3322" i="1"/>
  <c r="AH2425" i="1"/>
  <c r="AH1569" i="1"/>
  <c r="AH4864" i="1"/>
  <c r="AH1317" i="1"/>
  <c r="AH4669" i="1"/>
  <c r="AH4512" i="1"/>
  <c r="AH4979" i="1"/>
  <c r="AH2381" i="1"/>
  <c r="AH1488" i="1"/>
  <c r="AH3351" i="1"/>
  <c r="AH4920" i="1"/>
  <c r="AH2056" i="1"/>
  <c r="AH3341" i="1"/>
  <c r="AH3694" i="1"/>
  <c r="AH3031" i="1"/>
  <c r="AH1869" i="1"/>
  <c r="AH5064" i="1"/>
  <c r="AH5210" i="1"/>
  <c r="AH3108" i="1"/>
  <c r="AH5280" i="1"/>
  <c r="AH3540" i="1"/>
  <c r="AH2648" i="1"/>
  <c r="AH2269" i="1"/>
  <c r="AH1707" i="1"/>
  <c r="AH2147" i="1"/>
  <c r="AH2898" i="1"/>
  <c r="AH4748" i="1"/>
  <c r="AH1762" i="1"/>
  <c r="AH3946" i="1"/>
  <c r="AH1870" i="1"/>
  <c r="AH1912" i="1"/>
  <c r="AH5655" i="1"/>
  <c r="AH2807" i="1"/>
  <c r="AH1502" i="1"/>
  <c r="AH4931" i="1"/>
  <c r="AH4960" i="1"/>
  <c r="AH5656" i="1"/>
  <c r="AH5098" i="1"/>
  <c r="AH2970" i="1"/>
  <c r="AH3267" i="1"/>
  <c r="AH4658" i="1"/>
  <c r="AH2435" i="1"/>
  <c r="AH4743" i="1"/>
  <c r="AH5657" i="1"/>
  <c r="AH3494" i="1"/>
  <c r="AH1456" i="1"/>
  <c r="AH4246" i="1"/>
  <c r="AH1084" i="1"/>
  <c r="AH4883" i="1"/>
  <c r="AH5194" i="1"/>
  <c r="AH2892" i="1"/>
  <c r="AH4227" i="1"/>
  <c r="AH3806" i="1"/>
  <c r="AH3880" i="1"/>
  <c r="AH2522" i="1"/>
  <c r="AH2688" i="1"/>
  <c r="AH4147" i="1"/>
  <c r="AH3807" i="1"/>
  <c r="AH1769" i="1"/>
  <c r="AH2298" i="1"/>
  <c r="AH4762" i="1"/>
  <c r="AH2330" i="1"/>
  <c r="AH3053" i="1"/>
  <c r="AH3861" i="1"/>
  <c r="AH2730" i="1"/>
  <c r="AH4356" i="1"/>
  <c r="AH4965" i="1"/>
  <c r="AH4176" i="1"/>
  <c r="AH2468" i="1"/>
  <c r="AH455" i="1"/>
  <c r="AH4460" i="1"/>
  <c r="AH4739" i="1"/>
  <c r="AH2008" i="1"/>
  <c r="AH4596" i="1"/>
  <c r="AH1780" i="1"/>
  <c r="AH1947" i="1"/>
  <c r="AH3287" i="1"/>
  <c r="AH4847" i="1"/>
  <c r="AH3895" i="1"/>
  <c r="AH1708" i="1"/>
  <c r="AH1896" i="1"/>
  <c r="AH3867" i="1"/>
  <c r="AH5658" i="1"/>
  <c r="AH2971" i="1"/>
  <c r="AH3579" i="1"/>
  <c r="AH3248" i="1"/>
  <c r="AH3093" i="1"/>
  <c r="AH3811" i="1"/>
  <c r="AH1871" i="1"/>
  <c r="AH1665" i="1"/>
  <c r="AH3860" i="1"/>
  <c r="AH2832" i="1"/>
  <c r="AH3984" i="1"/>
  <c r="AH5032" i="1"/>
  <c r="AH3058" i="1"/>
  <c r="AH5232" i="1"/>
  <c r="AH4616" i="1"/>
  <c r="AH4741" i="1"/>
  <c r="AH5659" i="1"/>
  <c r="AH4106" i="1"/>
  <c r="AH3843" i="1"/>
  <c r="AH1781" i="1"/>
  <c r="AH5235" i="1"/>
  <c r="AH3239" i="1"/>
  <c r="AH2947" i="1"/>
  <c r="AH1352" i="1"/>
  <c r="AH1573" i="1"/>
  <c r="AH1459" i="1"/>
  <c r="AH2023" i="1"/>
  <c r="AH2524" i="1"/>
  <c r="AH1933" i="1"/>
  <c r="AH2149" i="1"/>
  <c r="AH4568" i="1"/>
  <c r="AH4421" i="1"/>
  <c r="AH368" i="1"/>
  <c r="AH4455" i="1"/>
  <c r="AH4066" i="1"/>
  <c r="AH5254" i="1"/>
  <c r="AH4214" i="1"/>
  <c r="AH5252" i="1"/>
  <c r="AH3512" i="1"/>
  <c r="AH4831" i="1"/>
  <c r="AH4537" i="1"/>
  <c r="AH5011" i="1"/>
  <c r="AH3156" i="1"/>
  <c r="AH4205" i="1"/>
  <c r="AH2047" i="1"/>
  <c r="AH4712" i="1"/>
  <c r="AH3645" i="1"/>
  <c r="AH5190" i="1"/>
  <c r="AH2581" i="1"/>
  <c r="AH4115" i="1"/>
  <c r="AH4289" i="1"/>
  <c r="AH4492" i="1"/>
  <c r="AH2136" i="1"/>
  <c r="AH4514" i="1"/>
  <c r="AH4648" i="1"/>
  <c r="AH3574" i="1"/>
  <c r="AH2835" i="1"/>
  <c r="AH4363" i="1"/>
  <c r="AH5660" i="1"/>
  <c r="AH4853" i="1"/>
  <c r="AH2972" i="1"/>
  <c r="AH1550" i="1"/>
  <c r="AH3319" i="1"/>
  <c r="AH5661" i="1"/>
  <c r="AH944" i="1"/>
  <c r="AH828" i="1"/>
  <c r="AH1121" i="1"/>
  <c r="AH4899" i="1"/>
  <c r="AH5151" i="1"/>
  <c r="AH4935" i="1"/>
  <c r="AH4582" i="1"/>
  <c r="AH4464" i="1"/>
  <c r="AH1820" i="1"/>
  <c r="AH4112" i="1"/>
  <c r="AH3970" i="1"/>
  <c r="AH3950" i="1"/>
  <c r="AH5197" i="1"/>
  <c r="AH3086" i="1"/>
  <c r="AH1271" i="1"/>
  <c r="AH4683" i="1"/>
  <c r="AH1178" i="1"/>
  <c r="AH4419" i="1"/>
  <c r="AH1378" i="1"/>
  <c r="AH4438" i="1"/>
  <c r="AH5051" i="1"/>
  <c r="AH3954" i="1"/>
  <c r="AH1827" i="1"/>
  <c r="AH2258" i="1"/>
  <c r="AH5662" i="1"/>
  <c r="AH301" i="1"/>
  <c r="AH5663" i="1"/>
  <c r="AH3377" i="1"/>
  <c r="AH3680" i="1"/>
  <c r="AH3515" i="1"/>
  <c r="AH5103" i="1"/>
  <c r="AH3781" i="1"/>
  <c r="AH2473" i="1"/>
  <c r="AH3098" i="1"/>
  <c r="AH4062" i="1"/>
  <c r="AH4544" i="1"/>
  <c r="AH4877" i="1"/>
  <c r="AH4976" i="1"/>
  <c r="AH4918" i="1"/>
  <c r="AH3164" i="1"/>
  <c r="AH1420" i="1"/>
  <c r="AH1097" i="1"/>
  <c r="AH2783" i="1"/>
  <c r="AH2488" i="1"/>
  <c r="AH4364" i="1"/>
  <c r="AH3858" i="1"/>
  <c r="AH4714" i="1"/>
  <c r="AH4206" i="1"/>
  <c r="AH2195" i="1"/>
  <c r="AH2973" i="1"/>
  <c r="AH3541" i="1"/>
  <c r="AH2364" i="1"/>
  <c r="AH3681" i="1"/>
  <c r="AH4382" i="1"/>
  <c r="AH3057" i="1"/>
  <c r="AH1872" i="1"/>
  <c r="AH789" i="1"/>
  <c r="AH2515" i="1"/>
  <c r="AH1763" i="1"/>
  <c r="AH2731" i="1"/>
  <c r="AH4320" i="1"/>
  <c r="AH2939" i="1"/>
  <c r="AH3342" i="1"/>
  <c r="AH2754" i="1"/>
  <c r="AH839" i="1"/>
  <c r="AH1631" i="1"/>
  <c r="AH5664" i="1"/>
  <c r="AH5665" i="1"/>
  <c r="AH3985" i="1"/>
  <c r="AH3986" i="1"/>
  <c r="AH1576" i="1"/>
  <c r="AH3363" i="1"/>
  <c r="AH3320" i="1"/>
  <c r="AH3987" i="1"/>
  <c r="AH5002" i="1"/>
  <c r="AH4446" i="1"/>
  <c r="AH4534" i="1"/>
  <c r="AH3738" i="1"/>
  <c r="AH2690" i="1"/>
  <c r="AH2593" i="1"/>
  <c r="AH2048" i="1"/>
  <c r="AH3223" i="1"/>
  <c r="AH1283" i="1"/>
  <c r="AH1237" i="1"/>
  <c r="AH2321" i="1"/>
  <c r="AH3552" i="1"/>
  <c r="AH1370" i="1"/>
  <c r="AH5023" i="1"/>
  <c r="AH3696" i="1"/>
  <c r="AH3460" i="1"/>
  <c r="AH5119" i="1"/>
  <c r="AH2974" i="1"/>
  <c r="AH1666" i="1"/>
  <c r="AH3748" i="1"/>
  <c r="AH1032" i="1"/>
  <c r="AH127" i="1"/>
  <c r="AH3047" i="1"/>
  <c r="AH3610" i="1"/>
  <c r="AH1598" i="1"/>
  <c r="AH1176" i="1"/>
  <c r="AH3007" i="1"/>
  <c r="AH551" i="1"/>
  <c r="AH1590" i="1"/>
  <c r="AH975" i="1"/>
  <c r="AH4101" i="1"/>
  <c r="AH1680" i="1"/>
  <c r="AH2975" i="1"/>
  <c r="AH2095" i="1"/>
  <c r="AH378" i="1"/>
  <c r="AH2976" i="1"/>
  <c r="AH2536" i="1"/>
  <c r="AH644" i="1"/>
  <c r="AH773" i="1"/>
  <c r="AH2982" i="1"/>
  <c r="AH565" i="1"/>
  <c r="AH2196" i="1"/>
  <c r="AH2050" i="1"/>
  <c r="AH1321" i="1"/>
  <c r="AH4701" i="1"/>
  <c r="AH3343" i="1"/>
  <c r="AH88" i="1"/>
  <c r="AH563" i="1"/>
  <c r="AH3890" i="1"/>
  <c r="AH484" i="1"/>
  <c r="AH1783" i="1"/>
  <c r="AH481" i="1"/>
  <c r="AH3759" i="1"/>
  <c r="AH4922" i="1"/>
  <c r="AH3798" i="1"/>
  <c r="AH4835" i="1"/>
  <c r="AH4059" i="1"/>
  <c r="AH4750" i="1"/>
  <c r="AH775" i="1"/>
  <c r="AH4962" i="1"/>
  <c r="AH5158" i="1"/>
  <c r="AH4075" i="1"/>
  <c r="AH2153" i="1"/>
  <c r="AH3029" i="1"/>
  <c r="AH2996" i="1"/>
  <c r="AH2588" i="1"/>
  <c r="AH1153" i="1"/>
  <c r="AH3498" i="1"/>
  <c r="AH3899" i="1"/>
  <c r="AH4183" i="1"/>
  <c r="AH2725" i="1"/>
  <c r="AH3035" i="1"/>
  <c r="AH5008" i="1"/>
  <c r="AH3220" i="1"/>
  <c r="AH3056" i="1"/>
  <c r="AH2108" i="1"/>
  <c r="AH461" i="1"/>
  <c r="AH3602" i="1"/>
  <c r="AH3436" i="1"/>
  <c r="AH791" i="1"/>
  <c r="AH4673" i="1"/>
  <c r="AH902" i="1"/>
  <c r="AH373" i="1"/>
  <c r="AH1551" i="1"/>
  <c r="AH3453" i="1"/>
  <c r="AH4098" i="1"/>
  <c r="AH737" i="1"/>
  <c r="AH205" i="1"/>
  <c r="AH2089" i="1"/>
  <c r="AH523" i="1"/>
  <c r="AH1915" i="1"/>
  <c r="AH653" i="1"/>
  <c r="AH540" i="1"/>
  <c r="AH2272" i="1"/>
  <c r="AH1552" i="1"/>
  <c r="AH968" i="1"/>
  <c r="AH2808" i="1"/>
  <c r="AH1671" i="1"/>
  <c r="AH738" i="1"/>
  <c r="AH794" i="1"/>
  <c r="AH2276" i="1"/>
  <c r="AH1182" i="1"/>
  <c r="AH4360" i="1"/>
  <c r="AH3973" i="1"/>
  <c r="AH441" i="1"/>
  <c r="AH57" i="1"/>
  <c r="AH3742" i="1"/>
  <c r="AH4699" i="1"/>
  <c r="AH1300" i="1"/>
  <c r="AH4170" i="1"/>
  <c r="AH1056" i="1"/>
  <c r="AH642" i="1"/>
  <c r="AH438" i="1"/>
  <c r="AH102" i="1"/>
  <c r="AH1324" i="1"/>
  <c r="AH550" i="1"/>
  <c r="AH4485" i="1"/>
  <c r="AH1758" i="1"/>
  <c r="AH589" i="1"/>
  <c r="AH2007" i="1"/>
  <c r="AH1037" i="1"/>
  <c r="AH29" i="1"/>
  <c r="AH1925" i="1"/>
  <c r="AH4317" i="1"/>
  <c r="AH2024" i="1"/>
  <c r="AH4044" i="1"/>
  <c r="AH2206" i="1"/>
  <c r="AH1286" i="1"/>
  <c r="AH755" i="1"/>
  <c r="AH2691" i="1"/>
  <c r="AH81" i="1"/>
  <c r="AH3259" i="1"/>
  <c r="AH1724" i="1"/>
  <c r="AH590" i="1"/>
  <c r="AH978" i="1"/>
  <c r="AH2629" i="1"/>
  <c r="AH155" i="1"/>
  <c r="AH739" i="1"/>
  <c r="AH591" i="1"/>
  <c r="AH4471" i="1"/>
  <c r="AH5666" i="1"/>
  <c r="AH930" i="1"/>
  <c r="AH963" i="1"/>
  <c r="AH5667" i="1"/>
  <c r="AH836" i="1"/>
  <c r="AH3437" i="1"/>
  <c r="AH457" i="1"/>
  <c r="AH989" i="1"/>
  <c r="AH2216" i="1"/>
  <c r="AH3853" i="1"/>
  <c r="AH506" i="1"/>
  <c r="AH2442" i="1"/>
  <c r="AH1553" i="1"/>
  <c r="AH511" i="1"/>
  <c r="AH1775" i="1"/>
  <c r="AH2424" i="1"/>
  <c r="AH4238" i="1"/>
  <c r="AH3778" i="1"/>
  <c r="AH3509" i="1"/>
  <c r="AH4747" i="1"/>
  <c r="AH4911" i="1"/>
  <c r="AH2309" i="1"/>
  <c r="AH482" i="1"/>
  <c r="AH1792" i="1"/>
  <c r="AH970" i="1"/>
  <c r="AH2717" i="1"/>
  <c r="AH2283" i="1"/>
  <c r="AH1049" i="1"/>
  <c r="AH1994" i="1"/>
  <c r="AH60" i="1"/>
  <c r="AH4207" i="1"/>
  <c r="AH246" i="1"/>
  <c r="AH740" i="1"/>
  <c r="AH1112" i="1"/>
  <c r="AH2516" i="1"/>
  <c r="AH4208" i="1"/>
  <c r="AH1014" i="1"/>
  <c r="AH2659" i="1"/>
  <c r="AH1034" i="1"/>
  <c r="AH1379" i="1"/>
  <c r="AH1348" i="1"/>
  <c r="AH3929" i="1"/>
  <c r="AH5031" i="1"/>
  <c r="AH901" i="1"/>
  <c r="AH4530" i="1"/>
  <c r="AH2815" i="1"/>
  <c r="AH50" i="1"/>
  <c r="AH171" i="1"/>
  <c r="AH3371" i="1"/>
  <c r="AH478" i="1"/>
  <c r="AH3184" i="1"/>
  <c r="AH3157" i="1"/>
  <c r="AH2544" i="1"/>
  <c r="AH346" i="1"/>
  <c r="AH757" i="1"/>
  <c r="AH3988" i="1"/>
  <c r="AH2059" i="1"/>
  <c r="AH2232" i="1"/>
  <c r="AH2458" i="1"/>
  <c r="AH2695" i="1"/>
  <c r="AH1360" i="1"/>
  <c r="AH3754" i="1"/>
  <c r="AH1522" i="1"/>
  <c r="AH1238" i="1"/>
  <c r="AH1059" i="1"/>
  <c r="AH306" i="1"/>
  <c r="AH1949" i="1"/>
  <c r="AH3061" i="1"/>
  <c r="AH2735" i="1"/>
  <c r="AH3219" i="1"/>
  <c r="AH94" i="1"/>
  <c r="AH1929" i="1"/>
  <c r="AH2084" i="1"/>
  <c r="AH790" i="1"/>
  <c r="AH688" i="1"/>
  <c r="AH3000" i="1"/>
  <c r="AH3713" i="1"/>
  <c r="AH741" i="1"/>
  <c r="AH3221" i="1"/>
  <c r="AH1057" i="1"/>
  <c r="AH3270" i="1"/>
  <c r="AH680" i="1"/>
  <c r="AH93" i="1"/>
  <c r="AH3633" i="1"/>
  <c r="AH422" i="1"/>
  <c r="AH442" i="1"/>
  <c r="AH1305" i="1"/>
  <c r="AH2907" i="1"/>
  <c r="AH5170" i="1"/>
  <c r="AH3225" i="1"/>
  <c r="AH1744" i="1"/>
  <c r="AH2003" i="1"/>
  <c r="AH1592" i="1"/>
  <c r="AH1742" i="1"/>
  <c r="AH4584" i="1"/>
  <c r="AH423" i="1"/>
  <c r="AH3692" i="1"/>
  <c r="AH3632" i="1"/>
  <c r="AH4778" i="1"/>
  <c r="AH160" i="1"/>
  <c r="AH4278" i="1"/>
  <c r="AH5668" i="1"/>
  <c r="AH2343" i="1"/>
  <c r="AH2714" i="1"/>
  <c r="AH491" i="1"/>
  <c r="AH1403" i="1"/>
  <c r="AH1619" i="1"/>
  <c r="AH3106" i="1"/>
  <c r="AH4029" i="1"/>
  <c r="AH472" i="1"/>
  <c r="AH5109" i="1"/>
  <c r="AH356" i="1"/>
  <c r="AH2711" i="1"/>
  <c r="AH1045" i="1"/>
  <c r="AH4607" i="1"/>
  <c r="AH131" i="1"/>
  <c r="AH4871" i="1"/>
  <c r="AH2589" i="1"/>
  <c r="AH272" i="1"/>
  <c r="AH363" i="1"/>
  <c r="AH312" i="1"/>
  <c r="AH1554" i="1"/>
  <c r="AH2988" i="1"/>
  <c r="AH2378" i="1"/>
  <c r="AH5669" i="1"/>
  <c r="AH1770" i="1"/>
  <c r="AH1673" i="1"/>
  <c r="AH692" i="1"/>
  <c r="AH40" i="1"/>
  <c r="AH2251" i="1"/>
  <c r="AH850" i="1"/>
  <c r="AH354" i="1"/>
  <c r="AH1000" i="1"/>
  <c r="AH2840" i="1"/>
  <c r="AH128" i="1"/>
  <c r="AH4604" i="1"/>
  <c r="AH1404" i="1"/>
  <c r="AH3158" i="1"/>
  <c r="AH4082" i="1"/>
  <c r="AH1712" i="1"/>
  <c r="AH339" i="1"/>
  <c r="AH2698" i="1"/>
  <c r="AH1626" i="1"/>
  <c r="AH1926" i="1"/>
  <c r="AH3105" i="1"/>
  <c r="AH1198" i="1"/>
  <c r="AH3370" i="1"/>
  <c r="AH1318" i="1"/>
  <c r="AH426" i="1"/>
  <c r="AH161" i="1"/>
  <c r="AH4730" i="1"/>
  <c r="AH1465" i="1"/>
  <c r="AH1632" i="1"/>
  <c r="AH2560" i="1"/>
  <c r="AH1315" i="1"/>
  <c r="AH1447" i="1"/>
  <c r="AH4902" i="1"/>
  <c r="AH62" i="1"/>
  <c r="AH281" i="1"/>
  <c r="AH2429" i="1"/>
  <c r="AH3101" i="1"/>
  <c r="AH682" i="1"/>
  <c r="AH3821" i="1"/>
  <c r="AH3675" i="1"/>
  <c r="AH1809" i="1"/>
  <c r="AH1438" i="1"/>
  <c r="AH4083" i="1"/>
  <c r="AH4079" i="1"/>
  <c r="AH4487" i="1"/>
  <c r="AH1914" i="1"/>
  <c r="AH3375" i="1"/>
  <c r="AH3131" i="1"/>
  <c r="AH4362" i="1"/>
  <c r="AH345" i="1"/>
  <c r="AH4597" i="1"/>
  <c r="AH4335" i="1"/>
  <c r="AH4407" i="1"/>
  <c r="AH444" i="1"/>
  <c r="AH894" i="1"/>
  <c r="AH2402" i="1"/>
  <c r="AH386" i="1"/>
  <c r="AH2887" i="1"/>
  <c r="AH2853" i="1"/>
  <c r="AH393" i="1"/>
  <c r="AH1145" i="1"/>
  <c r="AH3202" i="1"/>
  <c r="AH1478" i="1"/>
  <c r="AH185" i="1"/>
  <c r="AH3228" i="1"/>
  <c r="AH2882" i="1"/>
  <c r="AH459" i="1"/>
  <c r="AH367" i="1"/>
  <c r="AH4275" i="1"/>
  <c r="AH3697" i="1"/>
  <c r="AH3136" i="1"/>
  <c r="AH139" i="1"/>
  <c r="AH606" i="1"/>
  <c r="AH1350" i="1"/>
  <c r="AH4718" i="1"/>
  <c r="AH2709" i="1"/>
  <c r="AH1906" i="1"/>
  <c r="AH2466" i="1"/>
  <c r="AH1186" i="1"/>
  <c r="AH86" i="1"/>
  <c r="AH2809" i="1"/>
  <c r="AH2719" i="1"/>
  <c r="AH2667" i="1"/>
  <c r="AH817" i="1"/>
  <c r="AH3655" i="1"/>
  <c r="AH2151" i="1"/>
  <c r="AH4310" i="1"/>
  <c r="AH2517" i="1"/>
  <c r="AH186" i="1"/>
  <c r="AH3071" i="1"/>
  <c r="AH1647" i="1"/>
  <c r="AH659" i="1"/>
  <c r="AH4165" i="1"/>
  <c r="AH253" i="1"/>
  <c r="AH860" i="1"/>
  <c r="AH3227" i="1"/>
  <c r="AH1189" i="1"/>
  <c r="AH2338" i="1"/>
  <c r="AH4643" i="1"/>
  <c r="AH814" i="1"/>
  <c r="AH5173" i="1"/>
  <c r="AH3698" i="1"/>
  <c r="AH3701" i="1"/>
  <c r="AH194" i="1"/>
  <c r="AH3679" i="1"/>
  <c r="AH376" i="1"/>
  <c r="AH107" i="1"/>
  <c r="AH5037" i="1"/>
  <c r="AH258" i="1"/>
  <c r="AH4442" i="1"/>
  <c r="AH3940" i="1"/>
  <c r="AH53" i="1"/>
  <c r="AH3818" i="1"/>
  <c r="AH124" i="1"/>
  <c r="AH79" i="1"/>
  <c r="AH697" i="1"/>
  <c r="AH245" i="1"/>
  <c r="AH35" i="1"/>
  <c r="AH31" i="1"/>
  <c r="AH327" i="1"/>
  <c r="AH52" i="1"/>
  <c r="AH74" i="1"/>
  <c r="AH621" i="1"/>
  <c r="AH2810" i="1"/>
  <c r="AH4670" i="1"/>
  <c r="AH2365" i="1"/>
  <c r="AH1657" i="1"/>
  <c r="AH2366" i="1"/>
  <c r="AH2649" i="1"/>
  <c r="AH2811" i="1"/>
  <c r="AH5670" i="1"/>
  <c r="AH1709" i="1"/>
  <c r="AH5671" i="1"/>
  <c r="AH4072" i="1"/>
  <c r="AH4499" i="1"/>
  <c r="AH3739" i="1"/>
  <c r="AH1892" i="1"/>
  <c r="AH2025" i="1"/>
  <c r="AH5672" i="1"/>
  <c r="AH5166" i="1"/>
  <c r="AH1011" i="1"/>
  <c r="AH3740" i="1"/>
  <c r="AH3159" i="1"/>
  <c r="AH4500" i="1"/>
  <c r="AH2650" i="1"/>
  <c r="AH3344" i="1"/>
  <c r="AH3444" i="1"/>
  <c r="AH3705" i="1"/>
  <c r="AH1570" i="1"/>
  <c r="AH4159" i="1"/>
  <c r="AH4531" i="1"/>
  <c r="AH2615" i="1"/>
  <c r="AH1555" i="1"/>
  <c r="AH4027" i="1"/>
  <c r="AH2197" i="1"/>
  <c r="AH95" i="1"/>
  <c r="AH2367" i="1"/>
  <c r="AH3868" i="1"/>
  <c r="AH1405" i="1"/>
  <c r="AH4209" i="1"/>
  <c r="AH3191" i="1"/>
  <c r="AH23" i="1"/>
  <c r="AH3558" i="1"/>
  <c r="AH182" i="1"/>
  <c r="AH4872" i="1"/>
  <c r="AH4016" i="1"/>
  <c r="AH2546" i="1"/>
  <c r="AH4331" i="1"/>
  <c r="AH3920" i="1"/>
  <c r="AH1711" i="1"/>
  <c r="AH4080" i="1"/>
  <c r="AH613" i="1"/>
  <c r="AH5188" i="1"/>
  <c r="AH1062" i="1"/>
  <c r="AH1816" i="1"/>
  <c r="AH398" i="1"/>
  <c r="AH2263" i="1"/>
  <c r="AH233" i="1"/>
  <c r="AH742" i="1"/>
  <c r="AH2233" i="1"/>
  <c r="AH1129" i="1"/>
  <c r="AH1415" i="1"/>
  <c r="AH5063" i="1"/>
  <c r="AH4588" i="1"/>
  <c r="AH4980" i="1"/>
  <c r="AH132" i="1"/>
  <c r="AH743" i="1"/>
  <c r="AH2155" i="1"/>
  <c r="AH4328" i="1"/>
  <c r="AH872" i="1"/>
  <c r="AH2130" i="1"/>
  <c r="AH4625" i="1"/>
  <c r="AH260" i="1"/>
  <c r="AH1413" i="1"/>
  <c r="AH1736" i="1"/>
  <c r="AH1114" i="1"/>
  <c r="AH2839" i="1"/>
  <c r="AH677" i="1"/>
  <c r="AH869" i="1"/>
  <c r="AH1734" i="1"/>
  <c r="AH2026" i="1"/>
  <c r="AH1675" i="1"/>
  <c r="AH840" i="1"/>
  <c r="AH2706" i="1"/>
  <c r="AH452" i="1"/>
  <c r="AH133" i="1"/>
  <c r="AH592" i="1"/>
  <c r="AH359" i="1"/>
  <c r="AH4470" i="1"/>
  <c r="AH2865" i="1"/>
  <c r="AH1406" i="1"/>
  <c r="AH5673" i="1"/>
  <c r="AH2027" i="1"/>
  <c r="AH103" i="1"/>
  <c r="AH424" i="1"/>
  <c r="AH4447" i="1"/>
  <c r="AH1293" i="1"/>
  <c r="AH498" i="1"/>
  <c r="AH5674" i="1"/>
  <c r="AH317" i="1"/>
  <c r="AH833" i="1"/>
  <c r="AH744" i="1"/>
  <c r="AH164" i="1"/>
  <c r="AH745" i="1"/>
  <c r="AH914" i="1"/>
  <c r="AH2617" i="1"/>
  <c r="AH383" i="1"/>
  <c r="AH24" i="1"/>
  <c r="AH746" i="1"/>
  <c r="AH5675" i="1"/>
  <c r="AH561" i="1"/>
  <c r="AH248" i="1"/>
  <c r="AH615" i="1"/>
  <c r="AH169" i="1"/>
  <c r="AH3910" i="1"/>
  <c r="AH593" i="1"/>
  <c r="AH5676" i="1"/>
  <c r="AH1239" i="1"/>
  <c r="AH91" i="1"/>
  <c r="AH3395" i="1"/>
  <c r="AH2518" i="1"/>
  <c r="AH1586" i="1"/>
  <c r="AH5677" i="1"/>
  <c r="AH3160" i="1"/>
  <c r="AH1242" i="1"/>
  <c r="AH768" i="1"/>
  <c r="AH3506" i="1"/>
  <c r="AH304" i="1"/>
  <c r="AH5024" i="1"/>
  <c r="AH4981" i="1"/>
  <c r="AH2598" i="1"/>
  <c r="AH4575" i="1"/>
  <c r="AH747" i="1"/>
  <c r="AH27" i="1"/>
  <c r="AH4287" i="1"/>
  <c r="AH2918" i="1"/>
  <c r="AH2651" i="1"/>
  <c r="AH2537" i="1"/>
  <c r="AH1982" i="1"/>
  <c r="AH2652" i="1"/>
  <c r="AH1098" i="1"/>
  <c r="AH1339" i="1"/>
  <c r="AH787" i="1"/>
  <c r="AH1356" i="1"/>
  <c r="AH3014" i="1"/>
  <c r="AH875" i="1"/>
  <c r="AH1481" i="1"/>
  <c r="AH1448" i="1"/>
  <c r="AH4845" i="1"/>
  <c r="AH4337" i="1"/>
  <c r="AH3273" i="1"/>
  <c r="AH4627" i="1"/>
  <c r="AH1051" i="1"/>
  <c r="AH4677" i="1"/>
  <c r="AH784" i="1"/>
  <c r="AH4117" i="1"/>
  <c r="AH1467" i="1"/>
  <c r="AH4628" i="1"/>
  <c r="AH4757" i="1"/>
  <c r="AH1909" i="1"/>
  <c r="AH1337" i="1"/>
  <c r="AH909" i="1"/>
  <c r="AH1151" i="1"/>
  <c r="AH1943" i="1"/>
  <c r="AH1722" i="1"/>
  <c r="AH4663" i="1"/>
  <c r="AH2692" i="1"/>
  <c r="AH439" i="1"/>
  <c r="AH1743" i="1"/>
  <c r="AH5074" i="1"/>
  <c r="AH2259" i="1"/>
  <c r="AH826" i="1"/>
  <c r="AH2168" i="1"/>
  <c r="AH1414" i="1"/>
  <c r="AH3114" i="1"/>
  <c r="AH4593" i="1"/>
  <c r="AH126" i="1"/>
  <c r="AH4523" i="1"/>
  <c r="AH1572" i="1"/>
  <c r="AH3747" i="1"/>
  <c r="AH1067" i="1"/>
  <c r="AH610" i="1"/>
  <c r="AH806" i="1"/>
  <c r="AH4840" i="1"/>
  <c r="AH2407" i="1"/>
  <c r="AH2045" i="1"/>
  <c r="AH1656" i="1"/>
  <c r="AH4324" i="1"/>
  <c r="AH780" i="1"/>
  <c r="AH4311" i="1"/>
  <c r="AH4934" i="1"/>
  <c r="AH1024" i="1"/>
  <c r="AH1927" i="1"/>
  <c r="AH693" i="1"/>
  <c r="AH1651" i="1"/>
  <c r="AH2239" i="1"/>
  <c r="AH945" i="1"/>
  <c r="AH1407" i="1"/>
  <c r="AH634" i="1"/>
  <c r="AH5067" i="1"/>
  <c r="AH2573" i="1"/>
  <c r="AH1602" i="1"/>
  <c r="AH1873" i="1"/>
  <c r="AH985" i="1"/>
  <c r="AH3741" i="1"/>
  <c r="AH3210" i="1"/>
  <c r="AH2519" i="1"/>
  <c r="AH1408" i="1"/>
  <c r="AH1874" i="1"/>
  <c r="AH2156" i="1"/>
  <c r="AH542" i="1"/>
  <c r="AH206" i="1"/>
  <c r="AH609" i="1"/>
  <c r="AH2219" i="1"/>
  <c r="AH5678" i="1"/>
  <c r="AH2990" i="1"/>
  <c r="AH96" i="1"/>
  <c r="AH1089" i="1"/>
  <c r="AH5679" i="1"/>
  <c r="AH3383" i="1"/>
  <c r="AH2112" i="1"/>
  <c r="AH3999" i="1"/>
  <c r="AH974" i="1"/>
  <c r="AH1556" i="1"/>
  <c r="AH842" i="1"/>
  <c r="AH864" i="1"/>
  <c r="AH1837" i="1"/>
  <c r="AH58" i="1"/>
  <c r="AH2253" i="1"/>
  <c r="AH922" i="1"/>
  <c r="AH2075" i="1"/>
  <c r="AH1050" i="1"/>
  <c r="AH748" i="1"/>
  <c r="AH1052" i="1"/>
  <c r="AH16" i="1"/>
  <c r="AH159" i="1"/>
  <c r="AH594" i="1"/>
  <c r="AH1362" i="1"/>
  <c r="AH4646" i="1"/>
  <c r="AH4130" i="1"/>
  <c r="AH234" i="1"/>
  <c r="AH297" i="1"/>
  <c r="AH2788" i="1"/>
  <c r="AH395" i="1"/>
  <c r="AH2992" i="1"/>
  <c r="AH2028" i="1"/>
  <c r="AH2401" i="1"/>
  <c r="AH2198" i="1"/>
  <c r="AH5" i="1"/>
  <c r="AH866" i="1"/>
  <c r="AH1012" i="1"/>
  <c r="AH521" i="1"/>
  <c r="AH4011" i="1"/>
  <c r="AH964" i="1"/>
  <c r="AH2199" i="1"/>
  <c r="AH3372" i="1"/>
  <c r="AH595" i="1"/>
  <c r="AH1079" i="1"/>
  <c r="AH2417" i="1"/>
  <c r="AH966" i="1"/>
  <c r="AH32" i="1"/>
  <c r="AH668" i="1"/>
  <c r="AH543" i="1"/>
  <c r="AH2029" i="1"/>
  <c r="AH2890" i="1"/>
  <c r="AH3542" i="1"/>
  <c r="AH3636" i="1"/>
  <c r="AH924" i="1"/>
  <c r="AH1621" i="1"/>
  <c r="AH5269" i="1"/>
  <c r="AH2952" i="1"/>
  <c r="AH3468" i="1"/>
  <c r="AH2107" i="1"/>
  <c r="AH3426" i="1"/>
  <c r="AH1288" i="1"/>
  <c r="AH5218" i="1"/>
  <c r="AH5680" i="1"/>
  <c r="AH2030" i="1"/>
  <c r="AH2869" i="1"/>
  <c r="AH798" i="1"/>
  <c r="AH1804" i="1"/>
  <c r="AH3251" i="1"/>
  <c r="AH3492" i="1"/>
  <c r="AH1222" i="1"/>
  <c r="AH965" i="1"/>
  <c r="AH1169" i="1"/>
  <c r="AH3305" i="1"/>
  <c r="AH1166" i="1"/>
  <c r="AH4321" i="1"/>
  <c r="AH976" i="1"/>
  <c r="AH1500" i="1"/>
  <c r="AH3637" i="1"/>
  <c r="AH1173" i="1"/>
  <c r="AH5157" i="1"/>
  <c r="AH919" i="1"/>
  <c r="AH1677" i="1"/>
  <c r="AH1159" i="1"/>
  <c r="AH447" i="1"/>
  <c r="AH1440" i="1"/>
  <c r="AH4210" i="1"/>
  <c r="AH2109" i="1"/>
  <c r="AH876" i="1"/>
  <c r="AH1635" i="1"/>
  <c r="AH4504" i="1"/>
  <c r="AH1584" i="1"/>
  <c r="AH2474" i="1"/>
  <c r="AH1888" i="1"/>
  <c r="AH5041" i="1"/>
  <c r="AH779" i="1"/>
  <c r="AH3915" i="1"/>
  <c r="AH2929" i="1"/>
  <c r="AH4023" i="1"/>
  <c r="AH351" i="1"/>
  <c r="AH5000" i="1"/>
  <c r="AH1582" i="1"/>
  <c r="AH1118" i="1"/>
  <c r="AH1884" i="1"/>
  <c r="AH2786" i="1"/>
  <c r="AH2057" i="1"/>
  <c r="AH1935" i="1"/>
  <c r="AH2954" i="1"/>
  <c r="AH3573" i="1"/>
  <c r="AH4516" i="1"/>
  <c r="AH1332" i="1"/>
  <c r="AH3454" i="1"/>
  <c r="AH2051" i="1"/>
  <c r="AH3214" i="1"/>
  <c r="AH3905" i="1"/>
  <c r="AH136" i="1"/>
  <c r="AH2031" i="1"/>
  <c r="AH2248" i="1"/>
  <c r="AH2900" i="1"/>
  <c r="AH2222" i="1"/>
  <c r="AH2778" i="1"/>
  <c r="AH3054" i="1"/>
  <c r="AH3102" i="1"/>
  <c r="AH1821" i="1"/>
  <c r="AH1306" i="1"/>
  <c r="AH1787" i="1"/>
  <c r="AH3275" i="1"/>
  <c r="AH4312" i="1"/>
  <c r="AH3123" i="1"/>
  <c r="AH3716" i="1"/>
  <c r="AH3544" i="1"/>
  <c r="AH3605" i="1"/>
  <c r="AH3137" i="1"/>
  <c r="AH1823" i="1"/>
  <c r="AH3479" i="1"/>
  <c r="AH7" i="1"/>
  <c r="AH2368" i="1"/>
  <c r="AH4241" i="1"/>
  <c r="AH1491" i="1"/>
  <c r="AH144" i="1"/>
  <c r="AH749" i="1"/>
  <c r="AH686" i="1"/>
  <c r="AH257" i="1"/>
  <c r="AH1662" i="1"/>
  <c r="AH2241" i="1"/>
  <c r="AH5681" i="1"/>
  <c r="AH5682" i="1"/>
  <c r="AH2032" i="1"/>
  <c r="AH120" i="1"/>
  <c r="AH168" i="1"/>
  <c r="AH596" i="1"/>
  <c r="AH5683" i="1"/>
  <c r="AH4169" i="1"/>
  <c r="AH157" i="1"/>
  <c r="AH861" i="1"/>
  <c r="AH3177" i="1"/>
  <c r="AH2115" i="1"/>
  <c r="AH1710" i="1"/>
  <c r="AH5150" i="1"/>
  <c r="AH5684" i="1"/>
  <c r="AH204" i="1"/>
  <c r="AH767" i="1"/>
  <c r="AH1147" i="1"/>
  <c r="AH4132" i="1"/>
  <c r="AH3345" i="1"/>
  <c r="AH121" i="1"/>
  <c r="AH111" i="1"/>
  <c r="AH1099" i="1"/>
  <c r="AH61" i="1"/>
  <c r="AH1025" i="1"/>
  <c r="AH165" i="1"/>
  <c r="AH1302" i="1"/>
  <c r="AH1171" i="1"/>
  <c r="AH1156" i="1"/>
  <c r="AH1201" i="1"/>
  <c r="AH1070" i="1"/>
  <c r="AH752" i="1"/>
  <c r="AH1296" i="1"/>
  <c r="AH3989" i="1"/>
  <c r="AH145" i="1"/>
  <c r="AH5685" i="1"/>
  <c r="AH152" i="1"/>
  <c r="AH99" i="1"/>
  <c r="AH2575" i="1"/>
  <c r="AH214" i="1"/>
  <c r="AH207" i="1"/>
  <c r="AH2081" i="1"/>
  <c r="AH256" i="1"/>
  <c r="AH65" i="1"/>
  <c r="AH56" i="1"/>
  <c r="AH1003" i="1"/>
  <c r="AH1204" i="1"/>
  <c r="AH547" i="1"/>
  <c r="AH263" i="1"/>
  <c r="AH4926" i="1"/>
  <c r="AH156" i="1"/>
  <c r="AH5686" i="1"/>
  <c r="AH990" i="1"/>
  <c r="AH633" i="1"/>
  <c r="AH1191" i="1"/>
  <c r="AH947" i="1"/>
  <c r="AH1100" i="1"/>
  <c r="AH553" i="1"/>
  <c r="AH342" i="1"/>
  <c r="AH193" i="1"/>
  <c r="AH370" i="1"/>
  <c r="AH497" i="1"/>
  <c r="AH1365" i="1"/>
  <c r="AH700" i="1"/>
  <c r="AH499" i="1"/>
  <c r="AH1557" i="1"/>
  <c r="AH628" i="1"/>
  <c r="AH666" i="1"/>
  <c r="AH669" i="1"/>
  <c r="AH365" i="1"/>
  <c r="AH500" i="1"/>
  <c r="AH1210" i="1"/>
  <c r="AH881" i="1"/>
  <c r="AH5198" i="1"/>
  <c r="AH597" i="1"/>
  <c r="AH3683" i="1"/>
  <c r="AH291" i="1"/>
  <c r="AH4211" i="1"/>
  <c r="AH1471" i="1"/>
  <c r="AH5687" i="1"/>
  <c r="AH5688" i="1"/>
  <c r="AH1041" i="1"/>
  <c r="AH336" i="1"/>
  <c r="AH3387" i="1"/>
  <c r="AH619" i="1"/>
  <c r="AH1342" i="1"/>
  <c r="AH3997" i="1"/>
  <c r="AH147" i="1"/>
  <c r="AH977" i="1"/>
  <c r="AH1807" i="1"/>
  <c r="AH862" i="1"/>
  <c r="AH437" i="1"/>
  <c r="AH4733" i="1"/>
  <c r="AH4308" i="1"/>
  <c r="AH2235" i="1"/>
  <c r="AH2418" i="1"/>
  <c r="AH971" i="1"/>
  <c r="AH1498" i="1"/>
  <c r="AH4047" i="1"/>
  <c r="AH285" i="1"/>
  <c r="AH1985" i="1"/>
  <c r="AH1026" i="1"/>
  <c r="AH598" i="1"/>
  <c r="AH4143" i="1"/>
  <c r="AH2154" i="1"/>
  <c r="AH538" i="1"/>
  <c r="AH2558" i="1"/>
  <c r="AH599" i="1"/>
  <c r="AH377" i="1"/>
  <c r="AH228" i="1"/>
  <c r="AH361" i="1"/>
  <c r="AH3855" i="1"/>
  <c r="AH988" i="1"/>
  <c r="AH1648" i="1"/>
  <c r="AH4129" i="1"/>
  <c r="AH1179" i="1"/>
  <c r="AH1073" i="1"/>
  <c r="AH2621" i="1"/>
  <c r="AH1346" i="1"/>
  <c r="AH997" i="1"/>
  <c r="AH517" i="1"/>
  <c r="AH2666" i="1"/>
  <c r="AH889" i="1"/>
  <c r="AH809" i="1"/>
  <c r="AH3393" i="1"/>
  <c r="AH105" i="1"/>
  <c r="AH777" i="1"/>
  <c r="AH2541" i="1"/>
  <c r="AH991" i="1"/>
  <c r="AH507" i="1"/>
  <c r="AH566" i="1"/>
  <c r="AH890" i="1"/>
  <c r="AH1979" i="1"/>
  <c r="AH473" i="1"/>
  <c r="AH611" i="1"/>
  <c r="AH804" i="1"/>
  <c r="AH1132" i="1"/>
  <c r="AH1470" i="1"/>
  <c r="AH529" i="1"/>
  <c r="AH4252" i="1"/>
  <c r="AH3074" i="1"/>
  <c r="AH265" i="1"/>
  <c r="AH1930" i="1"/>
  <c r="AH2677" i="1"/>
  <c r="AH756" i="1"/>
  <c r="AH4015" i="1"/>
  <c r="AH1463" i="1"/>
  <c r="AH1247" i="1"/>
  <c r="AH2460" i="1"/>
  <c r="AH2281" i="1"/>
  <c r="AH664" i="1"/>
  <c r="AH604" i="1"/>
  <c r="G18" i="14"/>
  <c r="H18" i="14"/>
  <c r="I18" i="14"/>
  <c r="G19" i="14"/>
  <c r="H19" i="14"/>
  <c r="I19" i="14"/>
  <c r="G20" i="14"/>
  <c r="H20" i="14"/>
  <c r="I20" i="14"/>
  <c r="G21" i="14"/>
  <c r="H21" i="14"/>
  <c r="I21" i="14"/>
  <c r="G22" i="14"/>
  <c r="H22" i="14"/>
  <c r="I22" i="14"/>
  <c r="G23" i="14"/>
  <c r="H23" i="14"/>
  <c r="I23" i="14"/>
  <c r="H17" i="14"/>
  <c r="I17" i="14"/>
  <c r="G17" i="14"/>
  <c r="E23" i="10"/>
  <c r="E24" i="10"/>
  <c r="E25" i="10"/>
  <c r="E22" i="10"/>
  <c r="E32" i="10"/>
  <c r="E33" i="10"/>
  <c r="E34" i="10"/>
  <c r="E31" i="10"/>
  <c r="F31" i="10"/>
  <c r="G31" i="10"/>
  <c r="F32" i="10"/>
  <c r="G32" i="10"/>
  <c r="F33" i="10"/>
  <c r="G33" i="10"/>
  <c r="F35" i="10"/>
  <c r="G35" i="10"/>
  <c r="G34" i="10"/>
  <c r="F34" i="10"/>
  <c r="F23" i="10"/>
  <c r="G23" i="10"/>
  <c r="F24" i="10"/>
  <c r="G24" i="10"/>
  <c r="F25" i="10"/>
  <c r="G25" i="10"/>
  <c r="F26" i="10"/>
  <c r="G26" i="10"/>
  <c r="G22" i="10"/>
  <c r="F22" i="10"/>
  <c r="F17" i="10"/>
  <c r="G17" i="10"/>
  <c r="F13" i="10"/>
  <c r="G13" i="10"/>
  <c r="F15" i="10"/>
  <c r="G15" i="10"/>
  <c r="F14" i="10"/>
  <c r="G14" i="10"/>
  <c r="G16" i="10"/>
  <c r="F16" i="10"/>
  <c r="G8" i="10"/>
  <c r="F8" i="10"/>
  <c r="G6" i="10"/>
  <c r="F6" i="10"/>
  <c r="G5" i="10"/>
  <c r="G4" i="10"/>
  <c r="F4" i="10"/>
  <c r="C12" i="9"/>
  <c r="C13" i="9"/>
  <c r="C14" i="9"/>
  <c r="C11" i="9"/>
  <c r="C5" i="9"/>
  <c r="C6" i="9"/>
  <c r="C7" i="9"/>
  <c r="C4" i="9"/>
  <c r="H13" i="8"/>
  <c r="H11" i="8"/>
  <c r="H12" i="8" s="1"/>
  <c r="G13" i="8"/>
  <c r="G10" i="8"/>
  <c r="G4" i="8"/>
  <c r="H7" i="8"/>
  <c r="G7" i="8"/>
  <c r="H5" i="8"/>
  <c r="C19" i="8"/>
  <c r="D19" i="8"/>
  <c r="C20" i="8"/>
  <c r="D20" i="8"/>
  <c r="C21" i="8"/>
  <c r="D21" i="8"/>
  <c r="C10" i="8"/>
  <c r="D10" i="8"/>
  <c r="C11" i="8"/>
  <c r="D11" i="8"/>
  <c r="C12" i="8"/>
  <c r="D12" i="8"/>
  <c r="D15" i="8"/>
  <c r="D16" i="8"/>
  <c r="D17" i="8"/>
  <c r="D18" i="8"/>
  <c r="D14" i="8"/>
  <c r="D6" i="8"/>
  <c r="D7" i="8"/>
  <c r="D8" i="8"/>
  <c r="D9" i="8"/>
  <c r="D5" i="8"/>
  <c r="C15" i="8"/>
  <c r="C16" i="8"/>
  <c r="C17" i="8"/>
  <c r="C18" i="8"/>
  <c r="C14" i="8"/>
  <c r="C6" i="8"/>
  <c r="C7" i="8"/>
  <c r="C8" i="8"/>
  <c r="C9" i="8"/>
  <c r="C5" i="8"/>
  <c r="C13" i="8"/>
  <c r="C4" i="8"/>
  <c r="H6" i="6"/>
  <c r="G5" i="6"/>
  <c r="H5" i="6" s="1"/>
  <c r="G4" i="6"/>
  <c r="H4" i="6" s="1"/>
  <c r="D5" i="6"/>
  <c r="D6" i="6"/>
  <c r="D7" i="6"/>
  <c r="D8" i="6"/>
  <c r="D9" i="6"/>
  <c r="D10" i="6"/>
  <c r="D11" i="6"/>
  <c r="D4" i="6"/>
  <c r="D11" i="4"/>
  <c r="D12" i="4"/>
  <c r="D13" i="4"/>
  <c r="D10" i="4"/>
  <c r="D6" i="4"/>
  <c r="D7" i="4"/>
  <c r="D8" i="4"/>
  <c r="D5" i="4"/>
  <c r="C11" i="4"/>
  <c r="C12" i="4"/>
  <c r="C13" i="4"/>
  <c r="C10" i="4"/>
  <c r="C6" i="4"/>
  <c r="C7" i="4"/>
  <c r="C8" i="4"/>
  <c r="C5" i="4"/>
  <c r="C9" i="4"/>
  <c r="C4" i="4"/>
  <c r="D4" i="3"/>
  <c r="D6" i="3"/>
  <c r="D5" i="3"/>
  <c r="D7" i="3"/>
  <c r="X604" i="1"/>
  <c r="X1463" i="1"/>
  <c r="X1247" i="1"/>
  <c r="X2460" i="1"/>
  <c r="X2281" i="1"/>
  <c r="X664" i="1"/>
  <c r="X2428" i="1"/>
  <c r="X2842" i="1"/>
  <c r="X935" i="1"/>
  <c r="X1053" i="1"/>
  <c r="X2944" i="1"/>
  <c r="X1054" i="1"/>
  <c r="X2092" i="1"/>
  <c r="X1828" i="1"/>
  <c r="X431" i="1"/>
  <c r="X5187" i="1"/>
  <c r="X2395" i="1"/>
  <c r="X1117" i="1"/>
  <c r="X1482" i="1"/>
  <c r="X880" i="1"/>
  <c r="X568" i="1"/>
  <c r="X4152" i="1"/>
  <c r="X667" i="1"/>
  <c r="X1209" i="1"/>
  <c r="X453" i="1"/>
  <c r="X486" i="1"/>
  <c r="X3231" i="1"/>
  <c r="X1208" i="1"/>
  <c r="X663" i="1"/>
  <c r="X177" i="1"/>
  <c r="X3200" i="1"/>
  <c r="X2173" i="1"/>
  <c r="X51" i="1"/>
  <c r="X403" i="1"/>
  <c r="X2162" i="1"/>
  <c r="X2726" i="1"/>
  <c r="X190" i="1"/>
  <c r="X2489" i="1"/>
  <c r="X89" i="1"/>
  <c r="X284" i="1"/>
  <c r="X2789" i="1"/>
  <c r="X146" i="1"/>
  <c r="X98" i="1"/>
  <c r="X49" i="1"/>
  <c r="X1257" i="1"/>
  <c r="X4621" i="1"/>
  <c r="X3083" i="1"/>
  <c r="X189" i="1"/>
  <c r="X2475" i="1"/>
  <c r="X5289" i="1"/>
  <c r="X2002" i="1"/>
  <c r="X1430" i="1"/>
  <c r="X2916" i="1"/>
  <c r="X3280" i="1"/>
  <c r="X3639" i="1"/>
  <c r="X2844" i="1"/>
  <c r="X5055" i="1"/>
  <c r="X4494" i="1"/>
  <c r="X2828" i="1"/>
  <c r="X1008" i="1"/>
  <c r="X2871" i="1"/>
  <c r="X5045" i="1"/>
  <c r="X1961" i="1"/>
  <c r="X2914" i="1"/>
  <c r="X2520" i="1"/>
  <c r="X2931" i="1"/>
  <c r="X3974" i="1"/>
  <c r="X2086" i="1"/>
  <c r="X4792" i="1"/>
  <c r="X4229" i="1"/>
  <c r="X3036" i="1"/>
  <c r="X4162" i="1"/>
  <c r="X404" i="1"/>
  <c r="X4633" i="1"/>
  <c r="X3132" i="1"/>
  <c r="X3109" i="1"/>
  <c r="X2984" i="1"/>
  <c r="X4448" i="1"/>
  <c r="X2227" i="1"/>
  <c r="X142" i="1"/>
  <c r="X1188" i="1"/>
  <c r="X4088" i="1"/>
  <c r="X2633" i="1"/>
  <c r="X2930" i="1"/>
  <c r="X3514" i="1"/>
  <c r="X25" i="1"/>
  <c r="X5290" i="1"/>
  <c r="X2370" i="1"/>
  <c r="X4539" i="1"/>
  <c r="X1600" i="1"/>
  <c r="X2413" i="1"/>
  <c r="X1920" i="1"/>
  <c r="X2453" i="1"/>
  <c r="X4434" i="1"/>
  <c r="X4873" i="1"/>
  <c r="X4570" i="1"/>
  <c r="X3795" i="1"/>
  <c r="X5291" i="1"/>
  <c r="X1063" i="1"/>
  <c r="X1639" i="1"/>
  <c r="X4617" i="1"/>
  <c r="X4879" i="1"/>
  <c r="X3126" i="1"/>
  <c r="X3706" i="1"/>
  <c r="X4686" i="1"/>
  <c r="X4026" i="1"/>
  <c r="X5043" i="1"/>
  <c r="X2924" i="1"/>
  <c r="X2409" i="1"/>
  <c r="X5006" i="1"/>
  <c r="X3809" i="1"/>
  <c r="X5292" i="1"/>
  <c r="X2606" i="1"/>
  <c r="X5195" i="1"/>
  <c r="X3112" i="1"/>
  <c r="X3465" i="1"/>
  <c r="X5090" i="1"/>
  <c r="X986" i="1"/>
  <c r="X3825" i="1"/>
  <c r="X5293" i="1"/>
  <c r="X4612" i="1"/>
  <c r="X3353" i="1"/>
  <c r="X4349" i="1"/>
  <c r="X1571" i="1"/>
  <c r="X3799" i="1"/>
  <c r="X1434" i="1"/>
  <c r="X1125" i="1"/>
  <c r="X3786" i="1"/>
  <c r="X1832" i="1"/>
  <c r="X2303" i="1"/>
  <c r="X4187" i="1"/>
  <c r="X4719" i="1"/>
  <c r="X4212" i="1"/>
  <c r="X4655" i="1"/>
  <c r="X4971" i="1"/>
  <c r="X5294" i="1"/>
  <c r="X4916" i="1"/>
  <c r="X2049" i="1"/>
  <c r="X3080" i="1"/>
  <c r="X2829" i="1"/>
  <c r="X1061" i="1"/>
  <c r="X2679" i="1"/>
  <c r="X5156" i="1"/>
  <c r="X4603" i="1"/>
  <c r="X4565" i="1"/>
  <c r="X819" i="1"/>
  <c r="X4973" i="1"/>
  <c r="X1684" i="1"/>
  <c r="X2683" i="1"/>
  <c r="X5295" i="1"/>
  <c r="X1606" i="1"/>
  <c r="X4113" i="1"/>
  <c r="X30" i="1"/>
  <c r="X4619" i="1"/>
  <c r="X4133" i="1"/>
  <c r="X5296" i="1"/>
  <c r="X4405" i="1"/>
  <c r="X5106" i="1"/>
  <c r="X3854" i="1"/>
  <c r="X4591" i="1"/>
  <c r="X4156" i="1"/>
  <c r="X5297" i="1"/>
  <c r="X2955" i="1"/>
  <c r="X3321" i="1"/>
  <c r="X6" i="1"/>
  <c r="X2009" i="1"/>
  <c r="X4623" i="1"/>
  <c r="X3559" i="1"/>
  <c r="X4184" i="1"/>
  <c r="X4915" i="1"/>
  <c r="X3800" i="1"/>
  <c r="X4857" i="1"/>
  <c r="X4253" i="1"/>
  <c r="X2956" i="1"/>
  <c r="X5298" i="1"/>
  <c r="X5299" i="1"/>
  <c r="X5300" i="1"/>
  <c r="X1654" i="1"/>
  <c r="X4095" i="1"/>
  <c r="X5301" i="1"/>
  <c r="X5225" i="1"/>
  <c r="X3671" i="1"/>
  <c r="X3826" i="1"/>
  <c r="X5302" i="1"/>
  <c r="X5097" i="1"/>
  <c r="X2411" i="1"/>
  <c r="X4359" i="1"/>
  <c r="X3414" i="1"/>
  <c r="X5303" i="1"/>
  <c r="X5125" i="1"/>
  <c r="X3116" i="1"/>
  <c r="X1613" i="1"/>
  <c r="X2250" i="1"/>
  <c r="X4789" i="1"/>
  <c r="X5304" i="1"/>
  <c r="X4385" i="1"/>
  <c r="X2910" i="1"/>
  <c r="X1078" i="1"/>
  <c r="X5305" i="1"/>
  <c r="X5306" i="1"/>
  <c r="X2764" i="1"/>
  <c r="X5307" i="1"/>
  <c r="X5308" i="1"/>
  <c r="X3638" i="1"/>
  <c r="X4507" i="1"/>
  <c r="X4000" i="1"/>
  <c r="X3469" i="1"/>
  <c r="X5309" i="1"/>
  <c r="X3041" i="1"/>
  <c r="X4430" i="1"/>
  <c r="X4929" i="1"/>
  <c r="X3877" i="1"/>
  <c r="X1825" i="1"/>
  <c r="X4402" i="1"/>
  <c r="X3556" i="1"/>
  <c r="X2322" i="1"/>
  <c r="X4222" i="1"/>
  <c r="X4585" i="1"/>
  <c r="X5310" i="1"/>
  <c r="X4188" i="1"/>
  <c r="X1520" i="1"/>
  <c r="X4045" i="1"/>
  <c r="X2292" i="1"/>
  <c r="X2790" i="1"/>
  <c r="X5311" i="1"/>
  <c r="X5312" i="1"/>
  <c r="X5313" i="1"/>
  <c r="X5168" i="1"/>
  <c r="X5314" i="1"/>
  <c r="X1298" i="1"/>
  <c r="X4803" i="1"/>
  <c r="X5315" i="1"/>
  <c r="X5316" i="1"/>
  <c r="X3685" i="1"/>
  <c r="X5317" i="1"/>
  <c r="X2712" i="1"/>
  <c r="X5318" i="1"/>
  <c r="X4833" i="1"/>
  <c r="X3433" i="1"/>
  <c r="X3059" i="1"/>
  <c r="X4651" i="1"/>
  <c r="X936" i="1"/>
  <c r="X4949" i="1"/>
  <c r="X1604" i="1"/>
  <c r="X5319" i="1"/>
  <c r="X5320" i="1"/>
  <c r="X3226" i="1"/>
  <c r="X4630" i="1"/>
  <c r="X5321" i="1"/>
  <c r="X5322" i="1"/>
  <c r="X5323" i="1"/>
  <c r="X4054" i="1"/>
  <c r="X4546" i="1"/>
  <c r="X3900" i="1"/>
  <c r="X2423" i="1"/>
  <c r="X5324" i="1"/>
  <c r="X1139" i="1"/>
  <c r="X3451" i="1"/>
  <c r="X3966" i="1"/>
  <c r="X3810" i="1"/>
  <c r="X3400" i="1"/>
  <c r="X3178" i="1"/>
  <c r="X5325" i="1"/>
  <c r="X5116" i="1"/>
  <c r="X5326" i="1"/>
  <c r="X4149" i="1"/>
  <c r="X3212" i="1"/>
  <c r="X4257" i="1"/>
  <c r="X5327" i="1"/>
  <c r="X5004" i="1"/>
  <c r="X3208" i="1"/>
  <c r="X5328" i="1"/>
  <c r="X4731" i="1"/>
  <c r="X2879" i="1"/>
  <c r="X3660" i="1"/>
  <c r="X4738" i="1"/>
  <c r="X3138" i="1"/>
  <c r="X5010" i="1"/>
  <c r="X4477" i="1"/>
  <c r="X3030" i="1"/>
  <c r="X3197" i="1"/>
  <c r="X2325" i="1"/>
  <c r="X3850" i="1"/>
  <c r="X2791" i="1"/>
  <c r="X5054" i="1"/>
  <c r="X2850" i="1"/>
  <c r="X5329" i="1"/>
  <c r="X5330" i="1"/>
  <c r="X5331" i="1"/>
  <c r="X4774" i="1"/>
  <c r="X4002" i="1"/>
  <c r="X3829" i="1"/>
  <c r="X1575" i="1"/>
  <c r="X3432" i="1"/>
  <c r="X4734" i="1"/>
  <c r="X5332" i="1"/>
  <c r="X1044" i="1"/>
  <c r="X5284" i="1"/>
  <c r="X2767" i="1"/>
  <c r="X5080" i="1"/>
  <c r="X1776" i="1"/>
  <c r="X2634" i="1"/>
  <c r="X4280" i="1"/>
  <c r="X5333" i="1"/>
  <c r="X3181" i="1"/>
  <c r="X5278" i="1"/>
  <c r="X5334" i="1"/>
  <c r="X4454" i="1"/>
  <c r="X5335" i="1"/>
  <c r="X2382" i="1"/>
  <c r="X5336" i="1"/>
  <c r="X4332" i="1"/>
  <c r="X4461" i="1"/>
  <c r="X1772" i="1"/>
  <c r="X3775" i="1"/>
  <c r="X2273" i="1"/>
  <c r="X5337" i="1"/>
  <c r="X3619" i="1"/>
  <c r="X3575" i="1"/>
  <c r="X5338" i="1"/>
  <c r="X4867" i="1"/>
  <c r="X4077" i="1"/>
  <c r="X3162" i="1"/>
  <c r="X4729" i="1"/>
  <c r="X5339" i="1"/>
  <c r="X2935" i="1"/>
  <c r="X2568" i="1"/>
  <c r="X1162" i="1"/>
  <c r="X3011" i="1"/>
  <c r="X3175" i="1"/>
  <c r="X3967" i="1"/>
  <c r="X4144" i="1"/>
  <c r="X2490" i="1"/>
  <c r="X1523" i="1"/>
  <c r="X2324" i="1"/>
  <c r="X1839" i="1"/>
  <c r="X5340" i="1"/>
  <c r="X5341" i="1"/>
  <c r="X4802" i="1"/>
  <c r="X2697" i="1"/>
  <c r="X5342" i="1"/>
  <c r="X3456" i="1"/>
  <c r="X2465" i="1"/>
  <c r="X4640" i="1"/>
  <c r="X2657" i="1"/>
  <c r="X4937" i="1"/>
  <c r="X5038" i="1"/>
  <c r="X5343" i="1"/>
  <c r="X496" i="1"/>
  <c r="X4020" i="1"/>
  <c r="X4914" i="1"/>
  <c r="X1840" i="1"/>
  <c r="X5344" i="1"/>
  <c r="X5345" i="1"/>
  <c r="X3139" i="1"/>
  <c r="X2704" i="1"/>
  <c r="X3388" i="1"/>
  <c r="X4779" i="1"/>
  <c r="X3627" i="1"/>
  <c r="X2286" i="1"/>
  <c r="X3266" i="1"/>
  <c r="X2485" i="1"/>
  <c r="X2242" i="1"/>
  <c r="X1970" i="1"/>
  <c r="X3391" i="1"/>
  <c r="X4479" i="1"/>
  <c r="X5346" i="1"/>
  <c r="X4681" i="1"/>
  <c r="X4903" i="1"/>
  <c r="X3566" i="1"/>
  <c r="X5141" i="1"/>
  <c r="X3550" i="1"/>
  <c r="X4397" i="1"/>
  <c r="X2376" i="1"/>
  <c r="X4265" i="1"/>
  <c r="X4216" i="1"/>
  <c r="X4424" i="1"/>
  <c r="X5347" i="1"/>
  <c r="X5348" i="1"/>
  <c r="X1205" i="1"/>
  <c r="X3327" i="1"/>
  <c r="X3975" i="1"/>
  <c r="X3171" i="1"/>
  <c r="X2715" i="1"/>
  <c r="X3317" i="1"/>
  <c r="X3455" i="1"/>
  <c r="X2483" i="1"/>
  <c r="X4486" i="1"/>
  <c r="X2763" i="1"/>
  <c r="X3269" i="1"/>
  <c r="X5349" i="1"/>
  <c r="X4860" i="1"/>
  <c r="X5350" i="1"/>
  <c r="X2880" i="1"/>
  <c r="X5351" i="1"/>
  <c r="X5352" i="1"/>
  <c r="X5079" i="1"/>
  <c r="X242" i="1"/>
  <c r="X5112" i="1"/>
  <c r="X5353" i="1"/>
  <c r="X5354" i="1"/>
  <c r="X5355" i="1"/>
  <c r="X1381" i="1"/>
  <c r="X3964" i="1"/>
  <c r="X3656" i="1"/>
  <c r="X4110" i="1"/>
  <c r="X5356" i="1"/>
  <c r="X5049" i="1"/>
  <c r="X2705" i="1"/>
  <c r="X1203" i="1"/>
  <c r="X5357" i="1"/>
  <c r="X3819" i="1"/>
  <c r="X2774" i="1"/>
  <c r="X3686" i="1"/>
  <c r="X3597" i="1"/>
  <c r="X3893" i="1"/>
  <c r="X2312" i="1"/>
  <c r="X5358" i="1"/>
  <c r="X4035" i="1"/>
  <c r="X1685" i="1"/>
  <c r="X2447" i="1"/>
  <c r="X5359" i="1"/>
  <c r="X1264" i="1"/>
  <c r="X5360" i="1"/>
  <c r="X4230" i="1"/>
  <c r="X5361" i="1"/>
  <c r="X5362" i="1"/>
  <c r="X4137" i="1"/>
  <c r="X4444" i="1"/>
  <c r="X4404" i="1"/>
  <c r="X2723" i="1"/>
  <c r="X4700" i="1"/>
  <c r="X2749" i="1"/>
  <c r="X3919" i="1"/>
  <c r="X2371" i="1"/>
  <c r="X2482" i="1"/>
  <c r="X2300" i="1"/>
  <c r="X5213" i="1"/>
  <c r="X4659" i="1"/>
  <c r="X5111" i="1"/>
  <c r="X1347" i="1"/>
  <c r="X2816" i="1"/>
  <c r="X5268" i="1"/>
  <c r="X5363" i="1"/>
  <c r="X4599" i="1"/>
  <c r="X5364" i="1"/>
  <c r="X4799" i="1"/>
  <c r="X5365" i="1"/>
  <c r="X3301" i="1"/>
  <c r="X5247" i="1"/>
  <c r="X4618" i="1"/>
  <c r="X761" i="1"/>
  <c r="X2613" i="1"/>
  <c r="X3707" i="1"/>
  <c r="X5366" i="1"/>
  <c r="X616" i="1"/>
  <c r="X5367" i="1"/>
  <c r="X4140" i="1"/>
  <c r="X3279" i="1"/>
  <c r="X3094" i="1"/>
  <c r="X1658" i="1"/>
  <c r="X3749" i="1"/>
  <c r="X5368" i="1"/>
  <c r="X896" i="1"/>
  <c r="X5250" i="1"/>
  <c r="X2545" i="1"/>
  <c r="X1195" i="1"/>
  <c r="X5369" i="1"/>
  <c r="X5370" i="1"/>
  <c r="X4576" i="1"/>
  <c r="X4592" i="1"/>
  <c r="X4695" i="1"/>
  <c r="X5371" i="1"/>
  <c r="X5372" i="1"/>
  <c r="X5373" i="1"/>
  <c r="X5374" i="1"/>
  <c r="X2635" i="1"/>
  <c r="X3998" i="1"/>
  <c r="X3643" i="1"/>
  <c r="X2765" i="1"/>
  <c r="X3526" i="1"/>
  <c r="X3792" i="1"/>
  <c r="X5375" i="1"/>
  <c r="X3846" i="1"/>
  <c r="X4992" i="1"/>
  <c r="X4649" i="1"/>
  <c r="X3525" i="1"/>
  <c r="X5248" i="1"/>
  <c r="X5376" i="1"/>
  <c r="X3849" i="1"/>
  <c r="X3440" i="1"/>
  <c r="X1071" i="1"/>
  <c r="X3572" i="1"/>
  <c r="X3847" i="1"/>
  <c r="X4040" i="1"/>
  <c r="X3087" i="1"/>
  <c r="X3587" i="1"/>
  <c r="X4521" i="1"/>
  <c r="X4153" i="1"/>
  <c r="X4874" i="1"/>
  <c r="X1936" i="1"/>
  <c r="X4277" i="1"/>
  <c r="X2981" i="1"/>
  <c r="X5377" i="1"/>
  <c r="X4093" i="1"/>
  <c r="X3481" i="1"/>
  <c r="X3891" i="1"/>
  <c r="X1989" i="1"/>
  <c r="X4577" i="1"/>
  <c r="X5224" i="1"/>
  <c r="X4664" i="1"/>
  <c r="X5149" i="1"/>
  <c r="X4384" i="1"/>
  <c r="X5378" i="1"/>
  <c r="X5379" i="1"/>
  <c r="X5380" i="1"/>
  <c r="X1686" i="1"/>
  <c r="X5381" i="1"/>
  <c r="X4510" i="1"/>
  <c r="X4837" i="1"/>
  <c r="X3726" i="1"/>
  <c r="X4150" i="1"/>
  <c r="X5382" i="1"/>
  <c r="X3658" i="1"/>
  <c r="X5383" i="1"/>
  <c r="X3527" i="1"/>
  <c r="X5117" i="1"/>
  <c r="X2274" i="1"/>
  <c r="X4850" i="1"/>
  <c r="X518" i="1"/>
  <c r="X5384" i="1"/>
  <c r="X5385" i="1"/>
  <c r="X3349" i="1"/>
  <c r="X4690" i="1"/>
  <c r="X3752" i="1"/>
  <c r="X4243" i="1"/>
  <c r="X5386" i="1"/>
  <c r="X4436" i="1"/>
  <c r="X5120" i="1"/>
  <c r="X5387" i="1"/>
  <c r="X3883" i="1"/>
  <c r="X3140" i="1"/>
  <c r="X1010" i="1"/>
  <c r="X1366" i="1"/>
  <c r="X5388" i="1"/>
  <c r="X1628" i="1"/>
  <c r="X1687" i="1"/>
  <c r="X4900" i="1"/>
  <c r="X5389" i="1"/>
  <c r="X4189" i="1"/>
  <c r="X2345" i="1"/>
  <c r="X2010" i="1"/>
  <c r="X2011" i="1"/>
  <c r="X3141" i="1"/>
  <c r="X2225" i="1"/>
  <c r="X5390" i="1"/>
  <c r="X4336" i="1"/>
  <c r="X2111" i="1"/>
  <c r="X1382" i="1"/>
  <c r="X4589" i="1"/>
  <c r="X4647" i="1"/>
  <c r="X2348" i="1"/>
  <c r="X3565" i="1"/>
  <c r="X1029" i="1"/>
  <c r="X5137" i="1"/>
  <c r="X4917" i="1"/>
  <c r="X4735" i="1"/>
  <c r="X4055" i="1"/>
  <c r="X4913" i="1"/>
  <c r="X4982" i="1"/>
  <c r="X4884" i="1"/>
  <c r="X4725" i="1"/>
  <c r="X2792" i="1"/>
  <c r="X4809" i="1"/>
  <c r="X5391" i="1"/>
  <c r="X2569" i="1"/>
  <c r="X5392" i="1"/>
  <c r="X2349" i="1"/>
  <c r="X1419" i="1"/>
  <c r="X3495" i="1"/>
  <c r="X1652" i="1"/>
  <c r="X3435" i="1"/>
  <c r="X2998" i="1"/>
  <c r="X2404" i="1"/>
  <c r="X4163" i="1"/>
  <c r="X4033" i="1"/>
  <c r="X3756" i="1"/>
  <c r="X4111" i="1"/>
  <c r="X4245" i="1"/>
  <c r="X1336" i="1"/>
  <c r="X3207" i="1"/>
  <c r="X2350" i="1"/>
  <c r="X3513" i="1"/>
  <c r="X5393" i="1"/>
  <c r="X5394" i="1"/>
  <c r="X3142" i="1"/>
  <c r="X2793" i="1"/>
  <c r="X2052" i="1"/>
  <c r="X5395" i="1"/>
  <c r="X5396" i="1"/>
  <c r="X3851" i="1"/>
  <c r="X973" i="1"/>
  <c r="X4179" i="1"/>
  <c r="X5397" i="1"/>
  <c r="X2707" i="1"/>
  <c r="X4091" i="1"/>
  <c r="X3882" i="1"/>
  <c r="X3603" i="1"/>
  <c r="X5398" i="1"/>
  <c r="X2491" i="1"/>
  <c r="X2487" i="1"/>
  <c r="X4224" i="1"/>
  <c r="X5399" i="1"/>
  <c r="X5400" i="1"/>
  <c r="X1160" i="1"/>
  <c r="X1521" i="1"/>
  <c r="X5401" i="1"/>
  <c r="X5402" i="1"/>
  <c r="X1194" i="1"/>
  <c r="X4724" i="1"/>
  <c r="X4573" i="1"/>
  <c r="X2794" i="1"/>
  <c r="X1375" i="1"/>
  <c r="X5403" i="1"/>
  <c r="X3693" i="1"/>
  <c r="X2624" i="1"/>
  <c r="X4457" i="1"/>
  <c r="X1453" i="1"/>
  <c r="X2347" i="1"/>
  <c r="X2316" i="1"/>
  <c r="X5404" i="1"/>
  <c r="X4870" i="1"/>
  <c r="X3182" i="1"/>
  <c r="X5405" i="1"/>
  <c r="X4346" i="1"/>
  <c r="X4392" i="1"/>
  <c r="X3356" i="1"/>
  <c r="X5246" i="1"/>
  <c r="X2174" i="1"/>
  <c r="X1596" i="1"/>
  <c r="X2616" i="1"/>
  <c r="X1055" i="1"/>
  <c r="X2260" i="1"/>
  <c r="X5406" i="1"/>
  <c r="X4838" i="1"/>
  <c r="X4572" i="1"/>
  <c r="X1841" i="1"/>
  <c r="X3820" i="1"/>
  <c r="X5407" i="1"/>
  <c r="X4326" i="1"/>
  <c r="X3488" i="1"/>
  <c r="X1815" i="1"/>
  <c r="X1245" i="1"/>
  <c r="X4490" i="1"/>
  <c r="X2576" i="1"/>
  <c r="X3359" i="1"/>
  <c r="X4611" i="1"/>
  <c r="X4705" i="1"/>
  <c r="X5263" i="1"/>
  <c r="X3528" i="1"/>
  <c r="X4930" i="1"/>
  <c r="X3493" i="1"/>
  <c r="X4608" i="1"/>
  <c r="X5408" i="1"/>
  <c r="X3398" i="1"/>
  <c r="X5409" i="1"/>
  <c r="X5410" i="1"/>
  <c r="X5411" i="1"/>
  <c r="X5412" i="1"/>
  <c r="X3282" i="1"/>
  <c r="X3298" i="1"/>
  <c r="X5050" i="1"/>
  <c r="X3018" i="1"/>
  <c r="X4437" i="1"/>
  <c r="X3206" i="1"/>
  <c r="X3297" i="1"/>
  <c r="X5255" i="1"/>
  <c r="X3299" i="1"/>
  <c r="X5413" i="1"/>
  <c r="X5171" i="1"/>
  <c r="X3300" i="1"/>
  <c r="X5414" i="1"/>
  <c r="X5415" i="1"/>
  <c r="X4772" i="1"/>
  <c r="X2795" i="1"/>
  <c r="X4186" i="1"/>
  <c r="X4010" i="1"/>
  <c r="X5416" i="1"/>
  <c r="X1473" i="1"/>
  <c r="X3661" i="1"/>
  <c r="X2034" i="1"/>
  <c r="X3555" i="1"/>
  <c r="X8" i="1"/>
  <c r="X4373" i="1"/>
  <c r="X2927" i="1"/>
  <c r="X4880" i="1"/>
  <c r="X3012" i="1"/>
  <c r="X4732" i="1"/>
  <c r="X3647" i="1"/>
  <c r="X5417" i="1"/>
  <c r="X3866" i="1"/>
  <c r="X3837" i="1"/>
  <c r="X5418" i="1"/>
  <c r="X4773" i="1"/>
  <c r="X3878" i="1"/>
  <c r="X5145" i="1"/>
  <c r="X4928" i="1"/>
  <c r="X3017" i="1"/>
  <c r="X2625" i="1"/>
  <c r="X805" i="1"/>
  <c r="X5025" i="1"/>
  <c r="X4493" i="1"/>
  <c r="X3203" i="1"/>
  <c r="X2724" i="1"/>
  <c r="X2772" i="1"/>
  <c r="X4414" i="1"/>
  <c r="X9" i="1"/>
  <c r="X3768" i="1"/>
  <c r="X2420" i="1"/>
  <c r="X2212" i="1"/>
  <c r="X4841" i="1"/>
  <c r="X3103" i="1"/>
  <c r="X1664" i="1"/>
  <c r="X5211" i="1"/>
  <c r="X4128" i="1"/>
  <c r="X2208" i="1"/>
  <c r="X5132" i="1"/>
  <c r="X5419" i="1"/>
  <c r="X5207" i="1"/>
  <c r="X17" i="1"/>
  <c r="X5236" i="1"/>
  <c r="X4866" i="1"/>
  <c r="X4031" i="1"/>
  <c r="X5420" i="1"/>
  <c r="X3250" i="1"/>
  <c r="X1969" i="1"/>
  <c r="X3045" i="1"/>
  <c r="X1567" i="1"/>
  <c r="X5421" i="1"/>
  <c r="X5422" i="1"/>
  <c r="X2437" i="1"/>
  <c r="X318" i="1"/>
  <c r="X2542" i="1"/>
  <c r="X249" i="1"/>
  <c r="X5227" i="1"/>
  <c r="X4882" i="1"/>
  <c r="X5181" i="1"/>
  <c r="X4944" i="1"/>
  <c r="X2127" i="1"/>
  <c r="X4693" i="1"/>
  <c r="X4536" i="1"/>
  <c r="X4753" i="1"/>
  <c r="X1524" i="1"/>
  <c r="X811" i="1"/>
  <c r="X5212" i="1"/>
  <c r="X1357" i="1"/>
  <c r="X4671" i="1"/>
  <c r="X3373" i="1"/>
  <c r="X4223" i="1"/>
  <c r="X1895" i="1"/>
  <c r="X4399" i="1"/>
  <c r="X2957" i="1"/>
  <c r="X2334" i="1"/>
  <c r="X3894" i="1"/>
  <c r="X4689" i="1"/>
  <c r="X183" i="1"/>
  <c r="X3725" i="1"/>
  <c r="X5423" i="1"/>
  <c r="X4825" i="1"/>
  <c r="X3360" i="1"/>
  <c r="X5216" i="1"/>
  <c r="X4249" i="1"/>
  <c r="X4820" i="1"/>
  <c r="X3380" i="1"/>
  <c r="X5424" i="1"/>
  <c r="X843" i="1"/>
  <c r="X1325" i="1"/>
  <c r="X2826" i="1"/>
  <c r="X5425" i="1"/>
  <c r="X4828" i="1"/>
  <c r="X1412" i="1"/>
  <c r="X4220" i="1"/>
  <c r="X5136" i="1"/>
  <c r="X4213" i="1"/>
  <c r="X3129" i="1"/>
  <c r="X873" i="1"/>
  <c r="X3019" i="1"/>
  <c r="X2636" i="1"/>
  <c r="X4919" i="1"/>
  <c r="X3072" i="1"/>
  <c r="X2245" i="1"/>
  <c r="X1617" i="1"/>
  <c r="X3091" i="1"/>
  <c r="X4746" i="1"/>
  <c r="X4260" i="1"/>
  <c r="X2351" i="1"/>
  <c r="X3411" i="1"/>
  <c r="X4043" i="1"/>
  <c r="X1777" i="1"/>
  <c r="X4158" i="1"/>
  <c r="X4652" i="1"/>
  <c r="X3938" i="1"/>
  <c r="X1349" i="1"/>
  <c r="X4696" i="1"/>
  <c r="X1017" i="1"/>
  <c r="X3990" i="1"/>
  <c r="X4524" i="1"/>
  <c r="X18" i="1"/>
  <c r="X5426" i="1"/>
  <c r="X3561" i="1"/>
  <c r="X2340" i="1"/>
  <c r="X5215" i="1"/>
  <c r="X3128" i="1"/>
  <c r="X3921" i="1"/>
  <c r="X994" i="1"/>
  <c r="X4274" i="1"/>
  <c r="X5053" i="1"/>
  <c r="X4678" i="1"/>
  <c r="X1377" i="1"/>
  <c r="X10" i="1"/>
  <c r="X5286" i="1"/>
  <c r="X5152" i="1"/>
  <c r="X1911" i="1"/>
  <c r="X3958" i="1"/>
  <c r="X4940" i="1"/>
  <c r="X5427" i="1"/>
  <c r="X4236" i="1"/>
  <c r="X4034" i="1"/>
  <c r="X5017" i="1"/>
  <c r="X4123" i="1"/>
  <c r="X2740" i="1"/>
  <c r="X3959" i="1"/>
  <c r="X3576" i="1"/>
  <c r="X3329" i="1"/>
  <c r="X783" i="1"/>
  <c r="X4276" i="1"/>
  <c r="X1002" i="1"/>
  <c r="X2171" i="1"/>
  <c r="X2434" i="1"/>
  <c r="X2906" i="1"/>
  <c r="X2462" i="1"/>
  <c r="X5018" i="1"/>
  <c r="X2352" i="1"/>
  <c r="X2217" i="1"/>
  <c r="X2611" i="1"/>
  <c r="X4637" i="1"/>
  <c r="X2331" i="1"/>
  <c r="X3461" i="1"/>
  <c r="X5107" i="1"/>
  <c r="X4766" i="1"/>
  <c r="X4141" i="1"/>
  <c r="X5428" i="1"/>
  <c r="X1667" i="1"/>
  <c r="X1266" i="1"/>
  <c r="X4329" i="1"/>
  <c r="X2270" i="1"/>
  <c r="X2142" i="1"/>
  <c r="X1818" i="1"/>
  <c r="X5429" i="1"/>
  <c r="X2896" i="1"/>
  <c r="X3464" i="1"/>
  <c r="X4400" i="1"/>
  <c r="X5264" i="1"/>
  <c r="X1957" i="1"/>
  <c r="X3948" i="1"/>
  <c r="X71" i="1"/>
  <c r="X4353" i="1"/>
  <c r="X1565" i="1"/>
  <c r="X5430" i="1"/>
  <c r="X405" i="1"/>
  <c r="X3213" i="1"/>
  <c r="X1252" i="1"/>
  <c r="X2547" i="1"/>
  <c r="X4805" i="1"/>
  <c r="X4247" i="1"/>
  <c r="X3290" i="1"/>
  <c r="X4849" i="1"/>
  <c r="X2653" i="1"/>
  <c r="X3271" i="1"/>
  <c r="X3649" i="1"/>
  <c r="X4815" i="1"/>
  <c r="X5192" i="1"/>
  <c r="X2909" i="1"/>
  <c r="X3205" i="1"/>
  <c r="X1359" i="1"/>
  <c r="X3009" i="1"/>
  <c r="X4408" i="1"/>
  <c r="X2315" i="1"/>
  <c r="X2094" i="1"/>
  <c r="X3945" i="1"/>
  <c r="X5130" i="1"/>
  <c r="X4878" i="1"/>
  <c r="X4912" i="1"/>
  <c r="X2119" i="1"/>
  <c r="X5277" i="1"/>
  <c r="X4609" i="1"/>
  <c r="X2921" i="1"/>
  <c r="X1750" i="1"/>
  <c r="X3422" i="1"/>
  <c r="X5431" i="1"/>
  <c r="X4497" i="1"/>
  <c r="X1284" i="1"/>
  <c r="X1510" i="1"/>
  <c r="X3024" i="1"/>
  <c r="X2038" i="1"/>
  <c r="X3606" i="1"/>
  <c r="X1018" i="1"/>
  <c r="X5279" i="1"/>
  <c r="X4281" i="1"/>
  <c r="X3718" i="1"/>
  <c r="X4006" i="1"/>
  <c r="X5432" i="1"/>
  <c r="X3596" i="1"/>
  <c r="X4569" i="1"/>
  <c r="X2236" i="1"/>
  <c r="X5433" i="1"/>
  <c r="X4942" i="1"/>
  <c r="X2143" i="1"/>
  <c r="X4999" i="1"/>
  <c r="X4068" i="1"/>
  <c r="X406" i="1"/>
  <c r="X4389" i="1"/>
  <c r="X1564" i="1"/>
  <c r="X4513" i="1"/>
  <c r="X1641" i="1"/>
  <c r="X2587" i="1"/>
  <c r="X2746" i="1"/>
  <c r="X4813" i="1"/>
  <c r="X4990" i="1"/>
  <c r="X5062" i="1"/>
  <c r="X3088" i="1"/>
  <c r="X1668" i="1"/>
  <c r="X5434" i="1"/>
  <c r="X4087" i="1"/>
  <c r="X5435" i="1"/>
  <c r="X2979" i="1"/>
  <c r="X1968" i="1"/>
  <c r="X2531" i="1"/>
  <c r="X5121" i="1"/>
  <c r="X3307" i="1"/>
  <c r="X4679" i="1"/>
  <c r="X5436" i="1"/>
  <c r="X4631" i="1"/>
  <c r="X5128" i="1"/>
  <c r="X4021" i="1"/>
  <c r="X3427" i="1"/>
  <c r="X2132" i="1"/>
  <c r="X5146" i="1"/>
  <c r="X3996" i="1"/>
  <c r="X2743" i="1"/>
  <c r="X3710" i="1"/>
  <c r="X3404" i="1"/>
  <c r="X407" i="1"/>
  <c r="X11" i="1"/>
  <c r="X4078" i="1"/>
  <c r="X4939" i="1"/>
  <c r="X5143" i="1"/>
  <c r="X5072" i="1"/>
  <c r="X3916" i="1"/>
  <c r="X2708" i="1"/>
  <c r="X838" i="1"/>
  <c r="X4858" i="1"/>
  <c r="X1669" i="1"/>
  <c r="X4868" i="1"/>
  <c r="X5233" i="1"/>
  <c r="X487" i="1"/>
  <c r="X5208" i="1"/>
  <c r="X3051" i="1"/>
  <c r="X4997" i="1"/>
  <c r="X612" i="1"/>
  <c r="X4606" i="1"/>
  <c r="X2077" i="1"/>
  <c r="X4467" i="1"/>
  <c r="X2866" i="1"/>
  <c r="X3039" i="1"/>
  <c r="X1322" i="1"/>
  <c r="X4601" i="1"/>
  <c r="X4986" i="1"/>
  <c r="X5066" i="1"/>
  <c r="X2660" i="1"/>
  <c r="X1562" i="1"/>
  <c r="X1329" i="1"/>
  <c r="X1771" i="1"/>
  <c r="X5437" i="1"/>
  <c r="X2779" i="1"/>
  <c r="X3243" i="1"/>
  <c r="X3918" i="1"/>
  <c r="X2064" i="1"/>
  <c r="X2563" i="1"/>
  <c r="X4259" i="1"/>
  <c r="X5270" i="1"/>
  <c r="X4403" i="1"/>
  <c r="X4017" i="1"/>
  <c r="X1824" i="1"/>
  <c r="X1479" i="1"/>
  <c r="X957" i="1"/>
  <c r="X1796" i="1"/>
  <c r="X67" i="1"/>
  <c r="X2665" i="1"/>
  <c r="X2937" i="1"/>
  <c r="X3438" i="1"/>
  <c r="X3926" i="1"/>
  <c r="X12" i="1"/>
  <c r="X5251" i="1"/>
  <c r="X5438" i="1"/>
  <c r="X4501" i="1"/>
  <c r="X1829" i="1"/>
  <c r="X1963" i="1"/>
  <c r="X4787" i="1"/>
  <c r="X3062" i="1"/>
  <c r="X5439" i="1"/>
  <c r="X5148" i="1"/>
  <c r="X4782" i="1"/>
  <c r="X4706" i="1"/>
  <c r="X3913" i="1"/>
  <c r="X1717" i="1"/>
  <c r="X4905" i="1"/>
  <c r="X75" i="1"/>
  <c r="X3330" i="1"/>
  <c r="X408" i="1"/>
  <c r="X5061" i="1"/>
  <c r="X5219" i="1"/>
  <c r="X3889" i="1"/>
  <c r="X3449" i="1"/>
  <c r="X1767" i="1"/>
  <c r="X2492" i="1"/>
  <c r="X2287" i="1"/>
  <c r="X2039" i="1"/>
  <c r="X2561" i="1"/>
  <c r="X2129" i="1"/>
  <c r="X3659" i="1"/>
  <c r="X2288" i="1"/>
  <c r="X4476" i="1"/>
  <c r="X4502" i="1"/>
  <c r="X1636" i="1"/>
  <c r="X3845" i="1"/>
  <c r="X5440" i="1"/>
  <c r="X1591" i="1"/>
  <c r="X5172" i="1"/>
  <c r="X4814" i="1"/>
  <c r="X4250" i="1"/>
  <c r="X2126" i="1"/>
  <c r="X4221" i="1"/>
  <c r="X4474" i="1"/>
  <c r="X1525" i="1"/>
  <c r="X5182" i="1"/>
  <c r="X5230" i="1"/>
  <c r="X4338" i="1"/>
  <c r="X5441" i="1"/>
  <c r="X4409" i="1"/>
  <c r="X1507" i="1"/>
  <c r="X1951" i="1"/>
  <c r="X2397" i="1"/>
  <c r="X4988" i="1"/>
  <c r="X5029" i="1"/>
  <c r="X4182" i="1"/>
  <c r="X3396" i="1"/>
  <c r="X3192" i="1"/>
  <c r="X3793" i="1"/>
  <c r="X3553" i="1"/>
  <c r="X4702" i="1"/>
  <c r="X3651" i="1"/>
  <c r="X2256" i="1"/>
  <c r="X4580" i="1"/>
  <c r="X3852" i="1"/>
  <c r="X3309" i="1"/>
  <c r="X2663" i="1"/>
  <c r="X3224" i="1"/>
  <c r="X2117" i="1"/>
  <c r="X3695" i="1"/>
  <c r="X3758" i="1"/>
  <c r="X4325" i="1"/>
  <c r="X409" i="1"/>
  <c r="X4532" i="1"/>
  <c r="X5082" i="1"/>
  <c r="X4711" i="1"/>
  <c r="X2945" i="1"/>
  <c r="X5206" i="1"/>
  <c r="X5442" i="1"/>
  <c r="X1177" i="1"/>
  <c r="X831" i="1"/>
  <c r="X5443" i="1"/>
  <c r="X4367" i="1"/>
  <c r="X1831" i="1"/>
  <c r="X3124" i="1"/>
  <c r="X2" i="1"/>
  <c r="X3107" i="1"/>
  <c r="X4151" i="1"/>
  <c r="X5180" i="1"/>
  <c r="X5444" i="1"/>
  <c r="X187" i="1"/>
  <c r="X2787" i="1"/>
  <c r="X5144" i="1"/>
  <c r="X2455" i="1"/>
  <c r="X4807" i="1"/>
  <c r="X369" i="1"/>
  <c r="X3276" i="1"/>
  <c r="X2461" i="1"/>
  <c r="X1313" i="1"/>
  <c r="X750" i="1"/>
  <c r="X1940" i="1"/>
  <c r="X355" i="1"/>
  <c r="X3601" i="1"/>
  <c r="X3025" i="1"/>
  <c r="X5200" i="1"/>
  <c r="X3401" i="1"/>
  <c r="X2175" i="1"/>
  <c r="X4120" i="1"/>
  <c r="X3897" i="1"/>
  <c r="X314" i="1"/>
  <c r="X1492" i="1"/>
  <c r="X4885" i="1"/>
  <c r="X4975" i="1"/>
  <c r="X3976" i="1"/>
  <c r="X2632" i="1"/>
  <c r="X5445" i="1"/>
  <c r="X4775" i="1"/>
  <c r="X4983" i="1"/>
  <c r="X2098" i="1"/>
  <c r="X13" i="1"/>
  <c r="X4950" i="1"/>
  <c r="X4941" i="1"/>
  <c r="X3331" i="1"/>
  <c r="X2200" i="1"/>
  <c r="X1006" i="1"/>
  <c r="X4893" i="1"/>
  <c r="X2085" i="1"/>
  <c r="X4268" i="1"/>
  <c r="X2622" i="1"/>
  <c r="X1890" i="1"/>
  <c r="X3841" i="1"/>
  <c r="X4564" i="1"/>
  <c r="X4966" i="1"/>
  <c r="X2631" i="1"/>
  <c r="X4284" i="1"/>
  <c r="X1224" i="1"/>
  <c r="X4102" i="1"/>
  <c r="X3274" i="1"/>
  <c r="X2275" i="1"/>
  <c r="X4180" i="1"/>
  <c r="X3084" i="1"/>
  <c r="X4781" i="1"/>
  <c r="X2432" i="1"/>
  <c r="X1812" i="1"/>
  <c r="X3403" i="1"/>
  <c r="X5209" i="1"/>
  <c r="X1016" i="1"/>
  <c r="X4368" i="1"/>
  <c r="X1786" i="1"/>
  <c r="X4987" i="1"/>
  <c r="X927" i="1"/>
  <c r="X4728" i="1"/>
  <c r="X2431" i="1"/>
  <c r="X5186" i="1"/>
  <c r="X2609" i="1"/>
  <c r="X770" i="1"/>
  <c r="X956" i="1"/>
  <c r="X1441" i="1"/>
  <c r="X4172" i="1"/>
  <c r="X5113" i="1"/>
  <c r="X3428" i="1"/>
  <c r="X3429" i="1"/>
  <c r="X2932" i="1"/>
  <c r="X3943" i="1"/>
  <c r="X2901" i="1"/>
  <c r="X2165" i="1"/>
  <c r="X3727" i="1"/>
  <c r="X3902" i="1"/>
  <c r="X4906" i="1"/>
  <c r="X2750" i="1"/>
  <c r="X1435" i="1"/>
  <c r="X4261" i="1"/>
  <c r="X3379" i="1"/>
  <c r="X4839" i="1"/>
  <c r="X847" i="1"/>
  <c r="X19" i="1"/>
  <c r="X1732" i="1"/>
  <c r="X2911" i="1"/>
  <c r="X5153" i="1"/>
  <c r="X3121" i="1"/>
  <c r="X4218" i="1"/>
  <c r="X1986" i="1"/>
  <c r="X3962" i="1"/>
  <c r="X4352" i="1"/>
  <c r="X5271" i="1"/>
  <c r="X2128" i="1"/>
  <c r="X4386" i="1"/>
  <c r="X4094" i="1"/>
  <c r="X4540" i="1"/>
  <c r="X1660" i="1"/>
  <c r="X1764" i="1"/>
  <c r="X3050" i="1"/>
  <c r="X2493" i="1"/>
  <c r="X4124" i="1"/>
  <c r="X4433" i="1"/>
  <c r="X4509" i="1"/>
  <c r="X2476" i="1"/>
  <c r="X2637" i="1"/>
  <c r="X1265" i="1"/>
  <c r="X20" i="1"/>
  <c r="X3288" i="1"/>
  <c r="X2775" i="1"/>
  <c r="X5078" i="1"/>
  <c r="X2958" i="1"/>
  <c r="X5140" i="1"/>
  <c r="X5446" i="1"/>
  <c r="X1248" i="1"/>
  <c r="X2456" i="1"/>
  <c r="X4315" i="1"/>
  <c r="X4475" i="1"/>
  <c r="X1526" i="1"/>
  <c r="X4720" i="1"/>
  <c r="X562" i="1"/>
  <c r="X1509" i="1"/>
  <c r="X1679" i="1"/>
  <c r="X1074" i="1"/>
  <c r="X5133" i="1"/>
  <c r="X4058" i="1"/>
  <c r="X4938" i="1"/>
  <c r="X3870" i="1"/>
  <c r="X5447" i="1"/>
  <c r="X4465" i="1"/>
  <c r="X4374" i="1"/>
  <c r="X3687" i="1"/>
  <c r="X781" i="1"/>
  <c r="X4231" i="1"/>
  <c r="X5249" i="1"/>
  <c r="X4164" i="1"/>
  <c r="X4525" i="1"/>
  <c r="X4411" i="1"/>
  <c r="X4242" i="1"/>
  <c r="X5448" i="1"/>
  <c r="X4908" i="1"/>
  <c r="X5101" i="1"/>
  <c r="X4073" i="1"/>
  <c r="X4174" i="1"/>
  <c r="X893" i="1"/>
  <c r="X3591" i="1"/>
  <c r="X2948" i="1"/>
  <c r="X3501" i="1"/>
  <c r="X1795" i="1"/>
  <c r="X5449" i="1"/>
  <c r="X3256" i="1"/>
  <c r="X1007" i="1"/>
  <c r="X5450" i="1"/>
  <c r="X3842" i="1"/>
  <c r="X5030" i="1"/>
  <c r="X4812" i="1"/>
  <c r="X3968" i="1"/>
  <c r="X4339" i="1"/>
  <c r="X3467" i="1"/>
  <c r="X4090" i="1"/>
  <c r="X796" i="1"/>
  <c r="X4834" i="1"/>
  <c r="X4749" i="1"/>
  <c r="X1490" i="1"/>
  <c r="X5099" i="1"/>
  <c r="X1937" i="1"/>
  <c r="X170" i="1"/>
  <c r="X5451" i="1"/>
  <c r="X3419" i="1"/>
  <c r="X3624" i="1"/>
  <c r="X5163" i="1"/>
  <c r="X5088" i="1"/>
  <c r="X2870" i="1"/>
  <c r="X5110" i="1"/>
  <c r="X5452" i="1"/>
  <c r="X2443" i="1"/>
  <c r="X2172" i="1"/>
  <c r="X4583" i="1"/>
  <c r="X5040" i="1"/>
  <c r="X2623" i="1"/>
  <c r="X5094" i="1"/>
  <c r="X2299" i="1"/>
  <c r="X3551" i="1"/>
  <c r="X1921" i="1"/>
  <c r="X4007" i="1"/>
  <c r="X4443" i="1"/>
  <c r="X1280" i="1"/>
  <c r="X1291" i="1"/>
  <c r="X5453" i="1"/>
  <c r="X3944" i="1"/>
  <c r="X5239" i="1"/>
  <c r="X4751" i="1"/>
  <c r="X4811" i="1"/>
  <c r="X2150" i="1"/>
  <c r="X3483" i="1"/>
  <c r="X1678" i="1"/>
  <c r="X4676" i="1"/>
  <c r="X3803" i="1"/>
  <c r="X5454" i="1"/>
  <c r="X559" i="1"/>
  <c r="X2480" i="1"/>
  <c r="X2848" i="1"/>
  <c r="X934" i="1"/>
  <c r="X463" i="1"/>
  <c r="X1319" i="1"/>
  <c r="X1627" i="1"/>
  <c r="X4560" i="1"/>
  <c r="X1043" i="1"/>
  <c r="X5455" i="1"/>
  <c r="X4783" i="1"/>
  <c r="X2301" i="1"/>
  <c r="X462" i="1"/>
  <c r="X2638" i="1"/>
  <c r="X4921" i="1"/>
  <c r="X2390" i="1"/>
  <c r="X1614" i="1"/>
  <c r="X5456" i="1"/>
  <c r="X5027" i="1"/>
  <c r="X1640" i="1"/>
  <c r="X4299" i="1"/>
  <c r="X3577" i="1"/>
  <c r="X1893" i="1"/>
  <c r="X2202" i="1"/>
  <c r="X1281" i="1"/>
  <c r="X3770" i="1"/>
  <c r="X4256" i="1"/>
  <c r="X4173" i="1"/>
  <c r="X5457" i="1"/>
  <c r="X1842" i="1"/>
  <c r="X829" i="1"/>
  <c r="X1644" i="1"/>
  <c r="X2353" i="1"/>
  <c r="X797" i="1"/>
  <c r="X4127" i="1"/>
  <c r="X4927" i="1"/>
  <c r="X1942" i="1"/>
  <c r="X1883" i="1"/>
  <c r="X4064" i="1"/>
  <c r="X3292" i="1"/>
  <c r="X2160" i="1"/>
  <c r="X2571" i="1"/>
  <c r="X5458" i="1"/>
  <c r="X5459" i="1"/>
  <c r="X4888" i="1"/>
  <c r="X2163" i="1"/>
  <c r="X2758" i="1"/>
  <c r="X4190" i="1"/>
  <c r="X4508" i="1"/>
  <c r="X4602" i="1"/>
  <c r="X5005" i="1"/>
  <c r="X4495" i="1"/>
  <c r="X3500" i="1"/>
  <c r="X3457" i="1"/>
  <c r="X4991" i="1"/>
  <c r="X2070" i="1"/>
  <c r="X4233" i="1"/>
  <c r="X1991" i="1"/>
  <c r="X4936" i="1"/>
  <c r="X4357" i="1"/>
  <c r="X389" i="1"/>
  <c r="X4574" i="1"/>
  <c r="X1740" i="1"/>
  <c r="X5460" i="1"/>
  <c r="X5071" i="1"/>
  <c r="X5461" i="1"/>
  <c r="X5131" i="1"/>
  <c r="X5282" i="1"/>
  <c r="X4566" i="1"/>
  <c r="X4215" i="1"/>
  <c r="X821" i="1"/>
  <c r="X4998" i="1"/>
  <c r="X5020" i="1"/>
  <c r="X4548" i="1"/>
  <c r="X3015" i="1"/>
  <c r="X2722" i="1"/>
  <c r="X5070" i="1"/>
  <c r="X1429" i="1"/>
  <c r="X3169" i="1"/>
  <c r="X4394" i="1"/>
  <c r="X4290" i="1"/>
  <c r="X4901" i="1"/>
  <c r="X4968" i="1"/>
  <c r="X4571" i="1"/>
  <c r="X4391" i="1"/>
  <c r="X1784" i="1"/>
  <c r="X2337" i="1"/>
  <c r="X3569" i="1"/>
  <c r="X5003" i="1"/>
  <c r="X2329" i="1"/>
  <c r="X2297" i="1"/>
  <c r="X1802" i="1"/>
  <c r="X5229" i="1"/>
  <c r="X3215" i="1"/>
  <c r="X1835" i="1"/>
  <c r="X5073" i="1"/>
  <c r="X5462" i="1"/>
  <c r="X2006" i="1"/>
  <c r="X4478" i="1"/>
  <c r="X949" i="1"/>
  <c r="X3745" i="1"/>
  <c r="X2134" i="1"/>
  <c r="X5266" i="1"/>
  <c r="X4262" i="1"/>
  <c r="X4418" i="1"/>
  <c r="X4639" i="1"/>
  <c r="X3076" i="1"/>
  <c r="X4248" i="1"/>
  <c r="X4503" i="1"/>
  <c r="X2639" i="1"/>
  <c r="X5463" i="1"/>
  <c r="X3907" i="1"/>
  <c r="X3763" i="1"/>
  <c r="X3445" i="1"/>
  <c r="X2863" i="1"/>
  <c r="X4994" i="1"/>
  <c r="X2838" i="1"/>
  <c r="X4541" i="1"/>
  <c r="X2135" i="1"/>
  <c r="X5464" i="1"/>
  <c r="X1259" i="1"/>
  <c r="X3466" i="1"/>
  <c r="X4272" i="1"/>
  <c r="X2306" i="1"/>
  <c r="X14" i="1"/>
  <c r="X4829" i="1"/>
  <c r="X4662" i="1"/>
  <c r="X5139" i="1"/>
  <c r="X3951" i="1"/>
  <c r="X21" i="1"/>
  <c r="X4498" i="1"/>
  <c r="X268" i="1"/>
  <c r="X3562" i="1"/>
  <c r="X4687" i="1"/>
  <c r="X1885" i="1"/>
  <c r="X2406" i="1"/>
  <c r="X1965" i="1"/>
  <c r="X2037" i="1"/>
  <c r="X4977" i="1"/>
  <c r="X3615" i="1"/>
  <c r="X2687" i="1"/>
  <c r="X2419" i="1"/>
  <c r="X3187" i="1"/>
  <c r="X3917" i="1"/>
  <c r="X5273" i="1"/>
  <c r="X3935" i="1"/>
  <c r="X5465" i="1"/>
  <c r="X2590" i="1"/>
  <c r="X4084" i="1"/>
  <c r="X2579" i="1"/>
  <c r="X3750" i="1"/>
  <c r="X2994" i="1"/>
  <c r="X5466" i="1"/>
  <c r="X3898" i="1"/>
  <c r="X3714" i="1"/>
  <c r="X4561" i="1"/>
  <c r="X1439" i="1"/>
  <c r="X4886" i="1"/>
  <c r="X3285" i="1"/>
  <c r="X5467" i="1"/>
  <c r="X4744" i="1"/>
  <c r="X4354" i="1"/>
  <c r="X2556" i="1"/>
  <c r="X15" i="1"/>
  <c r="X3766" i="1"/>
  <c r="X4060" i="1"/>
  <c r="X4239" i="1"/>
  <c r="X2993" i="1"/>
  <c r="X5012" i="1"/>
  <c r="X1958" i="1"/>
  <c r="X3253" i="1"/>
  <c r="X926" i="1"/>
  <c r="X2580" i="1"/>
  <c r="X3077" i="1"/>
  <c r="X2278" i="1"/>
  <c r="X1443" i="1"/>
  <c r="X3048" i="1"/>
  <c r="X3247" i="1"/>
  <c r="X2959" i="1"/>
  <c r="X1072" i="1"/>
  <c r="X4420" i="1"/>
  <c r="X3473" i="1"/>
  <c r="X3222" i="1"/>
  <c r="X5129" i="1"/>
  <c r="X2577" i="1"/>
  <c r="X3994" i="1"/>
  <c r="X1141" i="1"/>
  <c r="X2220" i="1"/>
  <c r="X1279" i="1"/>
  <c r="X5048" i="1"/>
  <c r="X2583" i="1"/>
  <c r="X3977" i="1"/>
  <c r="X3458" i="1"/>
  <c r="X3676" i="1"/>
  <c r="X3631" i="1"/>
  <c r="X3240" i="1"/>
  <c r="X558" i="1"/>
  <c r="X4344" i="1"/>
  <c r="X5201" i="1"/>
  <c r="X5468" i="1"/>
  <c r="X4270" i="1"/>
  <c r="X5469" i="1"/>
  <c r="X3078" i="1"/>
  <c r="X4709" i="1"/>
  <c r="X1716" i="1"/>
  <c r="X1725" i="1"/>
  <c r="X2071" i="1"/>
  <c r="X1904" i="1"/>
  <c r="X1971" i="1"/>
  <c r="X4795" i="1"/>
  <c r="X4563" i="1"/>
  <c r="X4680" i="1"/>
  <c r="X1148" i="1"/>
  <c r="X1833" i="1"/>
  <c r="X5199" i="1"/>
  <c r="X4432" i="1"/>
  <c r="X2986" i="1"/>
  <c r="X3096" i="1"/>
  <c r="X2380" i="1"/>
  <c r="X3448" i="1"/>
  <c r="X5470" i="1"/>
  <c r="X5471" i="1"/>
  <c r="X2781" i="1"/>
  <c r="X1527" i="1"/>
  <c r="X4533" i="1"/>
  <c r="X4345" i="1"/>
  <c r="X4024" i="1"/>
  <c r="X3507" i="1"/>
  <c r="X1383" i="1"/>
  <c r="X3254" i="1"/>
  <c r="X5472" i="1"/>
  <c r="X3475" i="1"/>
  <c r="X5060" i="1"/>
  <c r="X4515" i="1"/>
  <c r="X2289" i="1"/>
  <c r="X1501" i="1"/>
  <c r="X2230" i="1"/>
  <c r="X2494" i="1"/>
  <c r="X2673" i="1"/>
  <c r="X4910" i="1"/>
  <c r="X3257" i="1"/>
  <c r="X4347" i="1"/>
  <c r="X3004" i="1"/>
  <c r="X2139" i="1"/>
  <c r="X4967" i="1"/>
  <c r="X5147" i="1"/>
  <c r="X3369" i="1"/>
  <c r="X4958" i="1"/>
  <c r="X3346" i="1"/>
  <c r="X5056" i="1"/>
  <c r="X4393" i="1"/>
  <c r="X4780" i="1"/>
  <c r="X1275" i="1"/>
  <c r="X4890" i="1"/>
  <c r="X1119" i="1"/>
  <c r="X1810" i="1"/>
  <c r="X4488" i="1"/>
  <c r="X2088" i="1"/>
  <c r="X951" i="1"/>
  <c r="X3903" i="1"/>
  <c r="X4843" i="1"/>
  <c r="X5265" i="1"/>
  <c r="X4765" i="1"/>
  <c r="X5217" i="1"/>
  <c r="X4970" i="1"/>
  <c r="X410" i="1"/>
  <c r="X2999" i="1"/>
  <c r="X4969" i="1"/>
  <c r="X2586" i="1"/>
  <c r="X1343" i="1"/>
  <c r="X5473" i="1"/>
  <c r="X3002" i="1"/>
  <c r="X4081" i="1"/>
  <c r="X5036" i="1"/>
  <c r="X4796" i="1"/>
  <c r="X4003" i="1"/>
  <c r="X4004" i="1"/>
  <c r="X5474" i="1"/>
  <c r="X3617" i="1"/>
  <c r="X5475" i="1"/>
  <c r="X5476" i="1"/>
  <c r="X5477" i="1"/>
  <c r="X2940" i="1"/>
  <c r="X495" i="1"/>
  <c r="X4892" i="1"/>
  <c r="X4800" i="1"/>
  <c r="X1773" i="1"/>
  <c r="X4848" i="1"/>
  <c r="X3044" i="1"/>
  <c r="X5478" i="1"/>
  <c r="X1103" i="1"/>
  <c r="X3176" i="1"/>
  <c r="X2686" i="1"/>
  <c r="X1901" i="1"/>
  <c r="X5479" i="1"/>
  <c r="X2354" i="1"/>
  <c r="X4361" i="1"/>
  <c r="X5480" i="1"/>
  <c r="X4865" i="1"/>
  <c r="X4808" i="1"/>
  <c r="X2012" i="1"/>
  <c r="X2344" i="1"/>
  <c r="X4713" i="1"/>
  <c r="X3216" i="1"/>
  <c r="X4056" i="1"/>
  <c r="X683" i="1"/>
  <c r="X2224" i="1"/>
  <c r="X4046" i="1"/>
  <c r="X5169" i="1"/>
  <c r="X3955" i="1"/>
  <c r="X4736" i="1"/>
  <c r="X2252" i="1"/>
  <c r="X1843" i="1"/>
  <c r="X915" i="1"/>
  <c r="X3614" i="1"/>
  <c r="X3709" i="1"/>
  <c r="X5203" i="1"/>
  <c r="X4303" i="1"/>
  <c r="X3838" i="1"/>
  <c r="X1368" i="1"/>
  <c r="X5205" i="1"/>
  <c r="X4225" i="1"/>
  <c r="X1369" i="1"/>
  <c r="X4665" i="1"/>
  <c r="X3830" i="1"/>
  <c r="X3172" i="1"/>
  <c r="X4302" i="1"/>
  <c r="X2441" i="1"/>
  <c r="X5167" i="1"/>
  <c r="X2254" i="1"/>
  <c r="X3991" i="1"/>
  <c r="X2891" i="1"/>
  <c r="X4598" i="1"/>
  <c r="X3519" i="1"/>
  <c r="X180" i="1"/>
  <c r="X22" i="1"/>
  <c r="X3378" i="1"/>
  <c r="X4422" i="1"/>
  <c r="X3474" i="1"/>
  <c r="X5481" i="1"/>
  <c r="X513" i="1"/>
  <c r="X4610" i="1"/>
  <c r="X4722" i="1"/>
  <c r="X2204" i="1"/>
  <c r="X3324" i="1"/>
  <c r="X532" i="1"/>
  <c r="X2237" i="1"/>
  <c r="X2548" i="1"/>
  <c r="X4323" i="1"/>
  <c r="X2852" i="1"/>
  <c r="X1494" i="1"/>
  <c r="X5482" i="1"/>
  <c r="X5483" i="1"/>
  <c r="X841" i="1"/>
  <c r="X2977" i="1"/>
  <c r="X5484" i="1"/>
  <c r="X1844" i="1"/>
  <c r="X1109" i="1"/>
  <c r="X3813" i="1"/>
  <c r="X4760" i="1"/>
  <c r="X2903" i="1"/>
  <c r="X2470" i="1"/>
  <c r="X1603" i="1"/>
  <c r="X5485" i="1"/>
  <c r="X2066" i="1"/>
  <c r="X5076" i="1"/>
  <c r="X5486" i="1"/>
  <c r="X3421" i="1"/>
  <c r="X4933" i="1"/>
  <c r="X4956" i="1"/>
  <c r="X5487" i="1"/>
  <c r="X3060" i="1"/>
  <c r="X1255" i="1"/>
  <c r="X4191" i="1"/>
  <c r="X2399" i="1"/>
  <c r="X1845" i="1"/>
  <c r="X2036" i="1"/>
  <c r="X3022" i="1"/>
  <c r="X4425" i="1"/>
  <c r="X1384" i="1"/>
  <c r="X1846" i="1"/>
  <c r="X1487" i="1"/>
  <c r="X5488" i="1"/>
  <c r="X1038" i="1"/>
  <c r="X5196" i="1"/>
  <c r="X3931" i="1"/>
  <c r="X5489" i="1"/>
  <c r="X5490" i="1"/>
  <c r="X1528" i="1"/>
  <c r="X5491" i="1"/>
  <c r="X5492" i="1"/>
  <c r="X3874" i="1"/>
  <c r="X2559" i="1"/>
  <c r="X3952" i="1"/>
  <c r="X2960" i="1"/>
  <c r="X4636" i="1"/>
  <c r="X1276" i="1"/>
  <c r="X5493" i="1"/>
  <c r="X2655" i="1"/>
  <c r="X3038" i="1"/>
  <c r="X3563" i="1"/>
  <c r="X3871" i="1"/>
  <c r="X995" i="1"/>
  <c r="X3143" i="1"/>
  <c r="X1688" i="1"/>
  <c r="X2445" i="1"/>
  <c r="X5494" i="1"/>
  <c r="X4862" i="1"/>
  <c r="X1042" i="1"/>
  <c r="X2894" i="1"/>
  <c r="X5052" i="1"/>
  <c r="X5495" i="1"/>
  <c r="X4237" i="1"/>
  <c r="X512" i="1"/>
  <c r="X5496" i="1"/>
  <c r="X1327" i="1"/>
  <c r="X1928" i="1"/>
  <c r="X3277" i="1"/>
  <c r="X2913" i="1"/>
  <c r="X2884" i="1"/>
  <c r="X5234" i="1"/>
  <c r="X2080" i="1"/>
  <c r="X3516" i="1"/>
  <c r="X4556" i="1"/>
  <c r="X5497" i="1"/>
  <c r="X3408" i="1"/>
  <c r="X1158" i="1"/>
  <c r="X1649" i="1"/>
  <c r="X1847" i="1"/>
  <c r="X4232" i="1"/>
  <c r="X2144" i="1"/>
  <c r="X3728" i="1"/>
  <c r="X3499" i="1"/>
  <c r="X3249" i="1"/>
  <c r="X1254" i="1"/>
  <c r="X3409" i="1"/>
  <c r="X2796" i="1"/>
  <c r="X2277" i="1"/>
  <c r="X3690" i="1"/>
  <c r="X4032" i="1"/>
  <c r="X1589" i="1"/>
  <c r="X654" i="1"/>
  <c r="X2766" i="1"/>
  <c r="X3906" i="1"/>
  <c r="X1462" i="1"/>
  <c r="X3640" i="1"/>
  <c r="X3284" i="1"/>
  <c r="X1992" i="1"/>
  <c r="X1340" i="1"/>
  <c r="X2495" i="1"/>
  <c r="X3020" i="1"/>
  <c r="X3729" i="1"/>
  <c r="X5220" i="1"/>
  <c r="X1745" i="1"/>
  <c r="X3856" i="1"/>
  <c r="X3303" i="1"/>
  <c r="X1983" i="1"/>
  <c r="X2640" i="1"/>
  <c r="X4472" i="1"/>
  <c r="X4063" i="1"/>
  <c r="X2013" i="1"/>
  <c r="X5498" i="1"/>
  <c r="X2689" i="1"/>
  <c r="X5267" i="1"/>
  <c r="X341" i="1"/>
  <c r="X5499" i="1"/>
  <c r="X4334" i="1"/>
  <c r="X2103" i="1"/>
  <c r="X2486" i="1"/>
  <c r="X4121" i="1"/>
  <c r="X2603" i="1"/>
  <c r="X3199" i="1"/>
  <c r="X851" i="1"/>
  <c r="X2042" i="1"/>
  <c r="X5184" i="1"/>
  <c r="X3767" i="1"/>
  <c r="X1938" i="1"/>
  <c r="X3804" i="1"/>
  <c r="X4341" i="1"/>
  <c r="X2054" i="1"/>
  <c r="X2747" i="1"/>
  <c r="X4067" i="1"/>
  <c r="X3607" i="1"/>
  <c r="X5500" i="1"/>
  <c r="X2295" i="1"/>
  <c r="X891" i="1"/>
  <c r="X5127" i="1"/>
  <c r="X2396" i="1"/>
  <c r="X1385" i="1"/>
  <c r="X1774" i="1"/>
  <c r="X3348" i="1"/>
  <c r="X3769" i="1"/>
  <c r="X2995" i="1"/>
  <c r="X2817" i="1"/>
  <c r="X1505" i="1"/>
  <c r="X2595" i="1"/>
  <c r="X3075" i="1"/>
  <c r="X2327" i="1"/>
  <c r="X4071" i="1"/>
  <c r="X2734" i="1"/>
  <c r="X3909" i="1"/>
  <c r="X2797" i="1"/>
  <c r="X3283" i="1"/>
  <c r="X2591" i="1"/>
  <c r="X2555" i="1"/>
  <c r="X2167" i="1"/>
  <c r="X2843" i="1"/>
  <c r="X4415" i="1"/>
  <c r="X822" i="1"/>
  <c r="X5501" i="1"/>
  <c r="X4192" i="1"/>
  <c r="X1623" i="1"/>
  <c r="X5123" i="1"/>
  <c r="X3232" i="1"/>
  <c r="X5502" i="1"/>
  <c r="X469" i="1"/>
  <c r="X4160" i="1"/>
  <c r="X5081" i="1"/>
  <c r="X3939" i="1"/>
  <c r="X5503" i="1"/>
  <c r="X2718" i="1"/>
  <c r="X3003" i="1"/>
  <c r="X4296" i="1"/>
  <c r="X3189" i="1"/>
  <c r="X4228" i="1"/>
  <c r="X2798" i="1"/>
  <c r="X2543" i="1"/>
  <c r="X4426" i="1"/>
  <c r="X1689" i="1"/>
  <c r="X5504" i="1"/>
  <c r="X3529" i="1"/>
  <c r="X2408" i="1"/>
  <c r="X158" i="1"/>
  <c r="X3953" i="1"/>
  <c r="X3598" i="1"/>
  <c r="X1782" i="1"/>
  <c r="X5505" i="1"/>
  <c r="X5506" i="1"/>
  <c r="X2014" i="1"/>
  <c r="X2058" i="1"/>
  <c r="X4562" i="1"/>
  <c r="X2949" i="1"/>
  <c r="X2827" i="1"/>
  <c r="X2836" i="1"/>
  <c r="X3185" i="1"/>
  <c r="X2311" i="1"/>
  <c r="X1966" i="1"/>
  <c r="X4907" i="1"/>
  <c r="X649" i="1"/>
  <c r="X1192" i="1"/>
  <c r="X2759" i="1"/>
  <c r="X3892" i="1"/>
  <c r="X1126" i="1"/>
  <c r="X5507" i="1"/>
  <c r="X1848" i="1"/>
  <c r="X2496" i="1"/>
  <c r="X632" i="1"/>
  <c r="X3144" i="1"/>
  <c r="X1946" i="1"/>
  <c r="X1131" i="1"/>
  <c r="X2339" i="1"/>
  <c r="X2055" i="1"/>
  <c r="X5508" i="1"/>
  <c r="X2141" i="1"/>
  <c r="X2574" i="1"/>
  <c r="X3281" i="1"/>
  <c r="X4895" i="1"/>
  <c r="X3190" i="1"/>
  <c r="X516" i="1"/>
  <c r="X4371" i="1"/>
  <c r="X1813" i="1"/>
  <c r="X2656" i="1"/>
  <c r="X4666" i="1"/>
  <c r="X3201" i="1"/>
  <c r="X2169" i="1"/>
  <c r="X493" i="1"/>
  <c r="X5075" i="1"/>
  <c r="X3564" i="1"/>
  <c r="X1476" i="1"/>
  <c r="X5509" i="1"/>
  <c r="X3472" i="1"/>
  <c r="X2102" i="1"/>
  <c r="X2481" i="1"/>
  <c r="X5510" i="1"/>
  <c r="X867" i="1"/>
  <c r="X1808" i="1"/>
  <c r="X1945" i="1"/>
  <c r="X4266" i="1"/>
  <c r="X531" i="1"/>
  <c r="X1891" i="1"/>
  <c r="X3620" i="1"/>
  <c r="X4567" i="1"/>
  <c r="X2607" i="1"/>
  <c r="X4069" i="1"/>
  <c r="X3805" i="1"/>
  <c r="X4855" i="1"/>
  <c r="X545" i="1"/>
  <c r="X4134" i="1"/>
  <c r="X3264" i="1"/>
  <c r="X4450" i="1"/>
  <c r="X4740" i="1"/>
  <c r="X1330" i="1"/>
  <c r="X3753" i="1"/>
  <c r="X1019" i="1"/>
  <c r="X2412" i="1"/>
  <c r="X2529" i="1"/>
  <c r="X310" i="1"/>
  <c r="X4440" i="1"/>
  <c r="X556" i="1"/>
  <c r="X3261" i="1"/>
  <c r="X3678" i="1"/>
  <c r="X3082" i="1"/>
  <c r="X2888" i="1"/>
  <c r="X4306" i="1"/>
  <c r="X3381" i="1"/>
  <c r="X2497" i="1"/>
  <c r="X2405" i="1"/>
  <c r="X2951" i="1"/>
  <c r="X3612" i="1"/>
  <c r="X1962" i="1"/>
  <c r="X476" i="1"/>
  <c r="X3840" i="1"/>
  <c r="X4350" i="1"/>
  <c r="X2592" i="1"/>
  <c r="X3670" i="1"/>
  <c r="X2062" i="1"/>
  <c r="X823" i="1"/>
  <c r="X1436" i="1"/>
  <c r="X3120" i="1"/>
  <c r="X1756" i="1"/>
  <c r="X1879" i="1"/>
  <c r="X4923" i="1"/>
  <c r="X5019" i="1"/>
  <c r="X3635" i="1"/>
  <c r="X2527" i="1"/>
  <c r="X3145" i="1"/>
  <c r="X3634" i="1"/>
  <c r="X4406" i="1"/>
  <c r="X3146" i="1"/>
  <c r="X3484" i="1"/>
  <c r="X5162" i="1"/>
  <c r="X4254" i="1"/>
  <c r="X4294" i="1"/>
  <c r="X5114" i="1"/>
  <c r="X5511" i="1"/>
  <c r="X2285" i="1"/>
  <c r="X3743" i="1"/>
  <c r="X3147" i="1"/>
  <c r="X4451" i="1"/>
  <c r="X3312" i="1"/>
  <c r="X3699" i="1"/>
  <c r="X1894" i="1"/>
  <c r="X4932" i="1"/>
  <c r="X812" i="1"/>
  <c r="X2176" i="1"/>
  <c r="X830" i="1"/>
  <c r="X4314" i="1"/>
  <c r="X5092" i="1"/>
  <c r="X4022" i="1"/>
  <c r="X4785" i="1"/>
  <c r="X3677" i="1"/>
  <c r="X4985" i="1"/>
  <c r="X5512" i="1"/>
  <c r="X400" i="1"/>
  <c r="X3650" i="1"/>
  <c r="X2415" i="1"/>
  <c r="X3887" i="1"/>
  <c r="X3971" i="1"/>
  <c r="X3582" i="1"/>
  <c r="X3198" i="1"/>
  <c r="X5513" i="1"/>
  <c r="X2533" i="1"/>
  <c r="X2799" i="1"/>
  <c r="X2978" i="1"/>
  <c r="X3508" i="1"/>
  <c r="X1246" i="1"/>
  <c r="X4552" i="1"/>
  <c r="X2279" i="1"/>
  <c r="X4856" i="1"/>
  <c r="X2110" i="1"/>
  <c r="X1849" i="1"/>
  <c r="X4894" i="1"/>
  <c r="X1144" i="1"/>
  <c r="X2822" i="1"/>
  <c r="X5514" i="1"/>
  <c r="X467" i="1"/>
  <c r="X3782" i="1"/>
  <c r="X4005" i="1"/>
  <c r="X1964" i="1"/>
  <c r="X5515" i="1"/>
  <c r="X3355" i="1"/>
  <c r="X4520" i="1"/>
  <c r="X1496" i="1"/>
  <c r="X5516" i="1"/>
  <c r="X3599" i="1"/>
  <c r="X4092" i="1"/>
  <c r="X1880" i="1"/>
  <c r="X1386" i="1"/>
  <c r="X2953" i="1"/>
  <c r="X4794" i="1"/>
  <c r="X4370" i="1"/>
  <c r="X2355" i="1"/>
  <c r="X795" i="1"/>
  <c r="X4691" i="1"/>
  <c r="X2231" i="1"/>
  <c r="X299" i="1"/>
  <c r="X3043" i="1"/>
  <c r="X3397" i="1"/>
  <c r="X4550" i="1"/>
  <c r="X5238" i="1"/>
  <c r="X2862" i="1"/>
  <c r="X1262" i="1"/>
  <c r="X3520" i="1"/>
  <c r="X3802" i="1"/>
  <c r="X3385" i="1"/>
  <c r="X3218" i="1"/>
  <c r="X998" i="1"/>
  <c r="X425" i="1"/>
  <c r="X4469" i="1"/>
  <c r="X1258" i="1"/>
  <c r="X3784" i="1"/>
  <c r="X2738" i="1"/>
  <c r="X3957" i="1"/>
  <c r="X2980" i="1"/>
  <c r="X3960" i="1"/>
  <c r="X4053" i="1"/>
  <c r="X4826" i="1"/>
  <c r="X1721" i="1"/>
  <c r="X3166" i="1"/>
  <c r="X5517" i="1"/>
  <c r="X2068" i="1"/>
  <c r="X3884" i="1"/>
  <c r="X3325" i="1"/>
  <c r="X2152" i="1"/>
  <c r="X4468" i="1"/>
  <c r="X560" i="1"/>
  <c r="X1624" i="1"/>
  <c r="X1529" i="1"/>
  <c r="X818" i="1"/>
  <c r="X5258" i="1"/>
  <c r="X4716" i="1"/>
  <c r="X3530" i="1"/>
  <c r="X3081" i="1"/>
  <c r="X1790" i="1"/>
  <c r="X2100" i="1"/>
  <c r="X1629" i="1"/>
  <c r="X1605" i="1"/>
  <c r="X4632" i="1"/>
  <c r="X5518" i="1"/>
  <c r="X3827" i="1"/>
  <c r="X3777" i="1"/>
  <c r="X3972" i="1"/>
  <c r="X1267" i="1"/>
  <c r="X4511" i="1"/>
  <c r="X1618" i="1"/>
  <c r="X1530" i="1"/>
  <c r="X4889" i="1"/>
  <c r="X3947" i="1"/>
  <c r="X4522" i="1"/>
  <c r="X4193" i="1"/>
  <c r="X2096" i="1"/>
  <c r="X1797" i="1"/>
  <c r="X3235" i="1"/>
  <c r="X4351" i="1"/>
  <c r="X5519" i="1"/>
  <c r="X5520" i="1"/>
  <c r="X3978" i="1"/>
  <c r="X885" i="1"/>
  <c r="X4283" i="1"/>
  <c r="X3446" i="1"/>
  <c r="X2841" i="1"/>
  <c r="X3531" i="1"/>
  <c r="X4876" i="1"/>
  <c r="X4791" i="1"/>
  <c r="X5175" i="1"/>
  <c r="X3979" i="1"/>
  <c r="X2015" i="1"/>
  <c r="X5039" i="1"/>
  <c r="X3788" i="1"/>
  <c r="X2265" i="1"/>
  <c r="X494" i="1"/>
  <c r="X4823" i="1"/>
  <c r="X5189" i="1"/>
  <c r="X4050" i="1"/>
  <c r="X1757" i="1"/>
  <c r="X638" i="1"/>
  <c r="X3272" i="1"/>
  <c r="X4767" i="1"/>
  <c r="X2308" i="1"/>
  <c r="X4375" i="1"/>
  <c r="X941" i="1"/>
  <c r="X2670" i="1"/>
  <c r="X1987" i="1"/>
  <c r="X4244" i="1"/>
  <c r="X759" i="1"/>
  <c r="X3773" i="1"/>
  <c r="X2728" i="1"/>
  <c r="X3760" i="1"/>
  <c r="X2346" i="1"/>
  <c r="X3196" i="1"/>
  <c r="X3817" i="1"/>
  <c r="X5521" i="1"/>
  <c r="X4390" i="1"/>
  <c r="X2729" i="1"/>
  <c r="X4904" i="1"/>
  <c r="X2261" i="1"/>
  <c r="X4316" i="1"/>
  <c r="X4768" i="1"/>
  <c r="X1531" i="1"/>
  <c r="X1653" i="1"/>
  <c r="X5068" i="1"/>
  <c r="X1289" i="1"/>
  <c r="X4624" i="1"/>
  <c r="X4037" i="1"/>
  <c r="X3796" i="1"/>
  <c r="X3646" i="1"/>
  <c r="X620" i="1"/>
  <c r="X2105" i="1"/>
  <c r="X4674" i="1"/>
  <c r="X4271" i="1"/>
  <c r="X4383" i="1"/>
  <c r="X2721" i="1"/>
  <c r="X2755" i="1"/>
  <c r="X2904" i="1"/>
  <c r="X3657" i="1"/>
  <c r="X3016" i="1"/>
  <c r="X2987" i="1"/>
  <c r="X1850" i="1"/>
  <c r="X4423" i="1"/>
  <c r="X2177" i="1"/>
  <c r="X4634" i="1"/>
  <c r="X1225" i="1"/>
  <c r="X2114" i="1"/>
  <c r="X4644" i="1"/>
  <c r="X4830" i="1"/>
  <c r="X2266" i="1"/>
  <c r="X3505" i="1"/>
  <c r="X4194" i="1"/>
  <c r="X2938" i="1"/>
  <c r="X4195" i="1"/>
  <c r="X3833" i="1"/>
  <c r="X2674" i="1"/>
  <c r="X2857" i="1"/>
  <c r="X1353" i="1"/>
  <c r="X2912" i="1"/>
  <c r="X4217" i="1"/>
  <c r="X1532" i="1"/>
  <c r="X5228" i="1"/>
  <c r="X4543" i="1"/>
  <c r="X4387" i="1"/>
  <c r="X4641" i="1"/>
  <c r="X4559" i="1"/>
  <c r="X3148" i="1"/>
  <c r="X4459" i="1"/>
  <c r="X1690" i="1"/>
  <c r="X4786" i="1"/>
  <c r="X3922" i="1"/>
  <c r="X3724" i="1"/>
  <c r="X1851" i="1"/>
  <c r="X1948" i="1"/>
  <c r="X2157" i="1"/>
  <c r="X5084" i="1"/>
  <c r="X4672" i="1"/>
  <c r="X3545" i="1"/>
  <c r="X1387" i="1"/>
  <c r="X3425" i="1"/>
  <c r="X4974" i="1"/>
  <c r="X3654" i="1"/>
  <c r="X2122" i="1"/>
  <c r="X4708" i="1"/>
  <c r="X5522" i="1"/>
  <c r="X3490" i="1"/>
  <c r="X3332" i="1"/>
  <c r="X4196" i="1"/>
  <c r="X3485" i="1"/>
  <c r="X1615" i="1"/>
  <c r="X2379" i="1"/>
  <c r="X4103" i="1"/>
  <c r="X2895" i="1"/>
  <c r="X1633" i="1"/>
  <c r="X5231" i="1"/>
  <c r="X2934" i="1"/>
  <c r="X917" i="1"/>
  <c r="X4445" i="1"/>
  <c r="X2696" i="1"/>
  <c r="X1086" i="1"/>
  <c r="X4028" i="1"/>
  <c r="X1919" i="1"/>
  <c r="X3790" i="1"/>
  <c r="X1984" i="1"/>
  <c r="X5204" i="1"/>
  <c r="X981" i="1"/>
  <c r="X2372" i="1"/>
  <c r="X5177" i="1"/>
  <c r="X2926" i="1"/>
  <c r="X2699" i="1"/>
  <c r="X3652" i="1"/>
  <c r="X2267" i="1"/>
  <c r="X1608" i="1"/>
  <c r="X1260" i="1"/>
  <c r="X3008" i="1"/>
  <c r="X4519" i="1"/>
  <c r="X1931" i="1"/>
  <c r="X5222" i="1"/>
  <c r="X824" i="1"/>
  <c r="X3730" i="1"/>
  <c r="X4076" i="1"/>
  <c r="X2942" i="1"/>
  <c r="X3167" i="1"/>
  <c r="X3869" i="1"/>
  <c r="X4039" i="1"/>
  <c r="X1388" i="1"/>
  <c r="X2257" i="1"/>
  <c r="X3789" i="1"/>
  <c r="X5104" i="1"/>
  <c r="X2410" i="1"/>
  <c r="X1124" i="1"/>
  <c r="X3613" i="1"/>
  <c r="X2244" i="1"/>
  <c r="X298" i="1"/>
  <c r="X1226" i="1"/>
  <c r="X3194" i="1"/>
  <c r="X2919" i="1"/>
  <c r="X1903" i="1"/>
  <c r="X4355" i="1"/>
  <c r="X2521" i="1"/>
  <c r="X3836" i="1"/>
  <c r="X4042" i="1"/>
  <c r="X5241" i="1"/>
  <c r="X4197" i="1"/>
  <c r="X1765" i="1"/>
  <c r="X3682" i="1"/>
  <c r="X1587" i="1"/>
  <c r="X1101" i="1"/>
  <c r="X4410" i="1"/>
  <c r="X2540" i="1"/>
  <c r="X637" i="1"/>
  <c r="X4157" i="1"/>
  <c r="X2427" i="1"/>
  <c r="X3879" i="1"/>
  <c r="X2523" i="1"/>
  <c r="X1485" i="1"/>
  <c r="X2335" i="1"/>
  <c r="X1170" i="1"/>
  <c r="X541" i="1"/>
  <c r="X2618" i="1"/>
  <c r="X3588" i="1"/>
  <c r="X4135" i="1"/>
  <c r="X4723" i="1"/>
  <c r="X635" i="1"/>
  <c r="X4964" i="1"/>
  <c r="X2768" i="1"/>
  <c r="X3233" i="1"/>
  <c r="X4842" i="1"/>
  <c r="X4784" i="1"/>
  <c r="X1299" i="1"/>
  <c r="X1227" i="1"/>
  <c r="X3149" i="1"/>
  <c r="X1106" i="1"/>
  <c r="X450" i="1"/>
  <c r="X4131" i="1"/>
  <c r="X3333" i="1"/>
  <c r="X3245" i="1"/>
  <c r="X4036" i="1"/>
  <c r="X1533" i="1"/>
  <c r="X2700" i="1"/>
  <c r="X2356" i="1"/>
  <c r="X5089" i="1"/>
  <c r="X908" i="1"/>
  <c r="X1088" i="1"/>
  <c r="X5242" i="1"/>
  <c r="X4579" i="1"/>
  <c r="X3236" i="1"/>
  <c r="X4154" i="1"/>
  <c r="X3623" i="1"/>
  <c r="X3334" i="1"/>
  <c r="X3872" i="1"/>
  <c r="X694" i="1"/>
  <c r="X2087" i="1"/>
  <c r="X3524" i="1"/>
  <c r="X2016" i="1"/>
  <c r="X3335" i="1"/>
  <c r="X2498" i="1"/>
  <c r="X3666" i="1"/>
  <c r="X3593" i="1"/>
  <c r="X4851" i="1"/>
  <c r="X1108" i="1"/>
  <c r="X3122" i="1"/>
  <c r="X4710" i="1"/>
  <c r="X4166" i="1"/>
  <c r="X2017" i="1"/>
  <c r="X967" i="1"/>
  <c r="X4953" i="1"/>
  <c r="X2464" i="1"/>
  <c r="X3932" i="1"/>
  <c r="X3302" i="1"/>
  <c r="X1449" i="1"/>
  <c r="X4148" i="1"/>
  <c r="X4793" i="1"/>
  <c r="X939" i="1"/>
  <c r="X3629" i="1"/>
  <c r="X3684" i="1"/>
  <c r="X3787" i="1"/>
  <c r="X3933" i="1"/>
  <c r="X3293" i="1"/>
  <c r="X4754" i="1"/>
  <c r="X1761" i="1"/>
  <c r="X3130" i="1"/>
  <c r="X5095" i="1"/>
  <c r="X1950" i="1"/>
  <c r="X3925" i="1"/>
  <c r="X4251" i="1"/>
  <c r="X338" i="1"/>
  <c r="X501" i="1"/>
  <c r="X350" i="1"/>
  <c r="X4846" i="1"/>
  <c r="X4707" i="1"/>
  <c r="X1425" i="1"/>
  <c r="X1558" i="1"/>
  <c r="X3027" i="1"/>
  <c r="X1578" i="1"/>
  <c r="X162" i="1"/>
  <c r="X1380" i="1"/>
  <c r="X5134" i="1"/>
  <c r="X2570" i="1"/>
  <c r="X3286" i="1"/>
  <c r="X2302" i="1"/>
  <c r="X2727" i="1"/>
  <c r="X2178" i="1"/>
  <c r="X2454" i="1"/>
  <c r="X1039" i="1"/>
  <c r="X3310" i="1"/>
  <c r="X646" i="1"/>
  <c r="X1423" i="1"/>
  <c r="X4806" i="1"/>
  <c r="X987" i="1"/>
  <c r="X3949" i="1"/>
  <c r="X3064" i="1"/>
  <c r="X460" i="1"/>
  <c r="X3875" i="1"/>
  <c r="X244" i="1"/>
  <c r="X2753" i="1"/>
  <c r="X2210" i="1"/>
  <c r="X4875" i="1"/>
  <c r="X4535" i="1"/>
  <c r="X2877" i="1"/>
  <c r="X1389" i="1"/>
  <c r="X2761" i="1"/>
  <c r="X5154" i="1"/>
  <c r="X993" i="1"/>
  <c r="X2745" i="1"/>
  <c r="X5033" i="1"/>
  <c r="X2499" i="1"/>
  <c r="X2433" i="1"/>
  <c r="X2414" i="1"/>
  <c r="X2373" i="1"/>
  <c r="X4288" i="1"/>
  <c r="X2742" i="1"/>
  <c r="X4581" i="1"/>
  <c r="X3386" i="1"/>
  <c r="X192" i="1"/>
  <c r="X2179" i="1"/>
  <c r="X1798" i="1"/>
  <c r="X4219" i="1"/>
  <c r="X2596" i="1"/>
  <c r="X549" i="1"/>
  <c r="X5261" i="1"/>
  <c r="X3085" i="1"/>
  <c r="X303" i="1"/>
  <c r="X2534" i="1"/>
  <c r="X608" i="1"/>
  <c r="X1454" i="1"/>
  <c r="X3234" i="1"/>
  <c r="X2582" i="1"/>
  <c r="X5523" i="1"/>
  <c r="X5524" i="1"/>
  <c r="X2549" i="1"/>
  <c r="X1876" i="1"/>
  <c r="X490" i="1"/>
  <c r="X4854" i="1"/>
  <c r="X852" i="1"/>
  <c r="X1371" i="1"/>
  <c r="X2528" i="1"/>
  <c r="X3665" i="1"/>
  <c r="X3336" i="1"/>
  <c r="X2627" i="1"/>
  <c r="X2748" i="1"/>
  <c r="X2004" i="1"/>
  <c r="X3486" i="1"/>
  <c r="X445" i="1"/>
  <c r="X1213" i="1"/>
  <c r="X2604" i="1"/>
  <c r="X2387" i="1"/>
  <c r="X958" i="1"/>
  <c r="X2209" i="1"/>
  <c r="X154" i="1"/>
  <c r="X4836" i="1"/>
  <c r="X1183" i="1"/>
  <c r="X569" i="1"/>
  <c r="X3001" i="1"/>
  <c r="X853" i="1"/>
  <c r="X1508" i="1"/>
  <c r="X1516" i="1"/>
  <c r="X4014" i="1"/>
  <c r="X1995" i="1"/>
  <c r="X1080" i="1"/>
  <c r="X1477" i="1"/>
  <c r="X4798" i="1"/>
  <c r="X2902" i="1"/>
  <c r="X2628" i="1"/>
  <c r="X2159" i="1"/>
  <c r="X687" i="1"/>
  <c r="X2342" i="1"/>
  <c r="X2713" i="1"/>
  <c r="X524" i="1"/>
  <c r="X2158" i="1"/>
  <c r="X5525" i="1"/>
  <c r="X129" i="1"/>
  <c r="X3731" i="1"/>
  <c r="X5028" i="1"/>
  <c r="X334" i="1"/>
  <c r="X2821" i="1"/>
  <c r="X1240" i="1"/>
  <c r="X2457" i="1"/>
  <c r="X364" i="1"/>
  <c r="X1081" i="1"/>
  <c r="X325" i="1"/>
  <c r="X701" i="1"/>
  <c r="X1272" i="1"/>
  <c r="X1217" i="1"/>
  <c r="X3482" i="1"/>
  <c r="X2385" i="1"/>
  <c r="X567" i="1"/>
  <c r="X4167" i="1"/>
  <c r="X2860" i="1"/>
  <c r="X898" i="1"/>
  <c r="X1069" i="1"/>
  <c r="X3896" i="1"/>
  <c r="X3478" i="1"/>
  <c r="X854" i="1"/>
  <c r="X112" i="1"/>
  <c r="X1211" i="1"/>
  <c r="X3794" i="1"/>
  <c r="X916" i="1"/>
  <c r="X1852" i="1"/>
  <c r="X4019" i="1"/>
  <c r="X4496" i="1"/>
  <c r="X2357" i="1"/>
  <c r="X3390" i="1"/>
  <c r="X1253" i="1"/>
  <c r="X1133" i="1"/>
  <c r="X5287" i="1"/>
  <c r="X4009" i="1"/>
  <c r="X2386" i="1"/>
  <c r="X771" i="1"/>
  <c r="X2710" i="1"/>
  <c r="X3761" i="1"/>
  <c r="X2782" i="1"/>
  <c r="X289" i="1"/>
  <c r="X865" i="1"/>
  <c r="X702" i="1"/>
  <c r="X4376" i="1"/>
  <c r="X1221" i="1"/>
  <c r="X2484" i="1"/>
  <c r="X2899" i="1"/>
  <c r="X5526" i="1"/>
  <c r="X1421" i="1"/>
  <c r="X4909" i="1"/>
  <c r="X1727" i="1"/>
  <c r="X4685" i="1"/>
  <c r="X2662" i="1"/>
  <c r="X3630" i="1"/>
  <c r="X2917" i="1"/>
  <c r="X2858" i="1"/>
  <c r="X2578" i="1"/>
  <c r="X570" i="1"/>
  <c r="X4177" i="1"/>
  <c r="X1290" i="1"/>
  <c r="X2557" i="1"/>
  <c r="X5527" i="1"/>
  <c r="X571" i="1"/>
  <c r="X3313" i="1"/>
  <c r="X3518" i="1"/>
  <c r="X4821" i="1"/>
  <c r="X3590" i="1"/>
  <c r="X5240" i="1"/>
  <c r="X5528" i="1"/>
  <c r="X2280" i="1"/>
  <c r="X4947" i="1"/>
  <c r="X2082" i="1"/>
  <c r="X5529" i="1"/>
  <c r="X959" i="1"/>
  <c r="X1967" i="1"/>
  <c r="X892" i="1"/>
  <c r="X5530" i="1"/>
  <c r="X1817" i="1"/>
  <c r="X1506" i="1"/>
  <c r="X1607" i="1"/>
  <c r="X5531" i="1"/>
  <c r="X969" i="1"/>
  <c r="X807" i="1"/>
  <c r="X4122" i="1"/>
  <c r="X3546" i="1"/>
  <c r="X1760" i="1"/>
  <c r="X3511" i="1"/>
  <c r="X4439" i="1"/>
  <c r="X2985" i="1"/>
  <c r="X2658" i="1"/>
  <c r="X4291" i="1"/>
  <c r="X2500" i="1"/>
  <c r="X703" i="1"/>
  <c r="X1733" i="1"/>
  <c r="X650" i="1"/>
  <c r="X2760" i="1"/>
  <c r="X2450" i="1"/>
  <c r="X5532" i="1"/>
  <c r="X5533" i="1"/>
  <c r="X2684" i="1"/>
  <c r="X557" i="1"/>
  <c r="X3067" i="1"/>
  <c r="X5534" i="1"/>
  <c r="X5535" i="1"/>
  <c r="X3443" i="1"/>
  <c r="X1715" i="1"/>
  <c r="X5536" i="1"/>
  <c r="X5009" i="1"/>
  <c r="X3942" i="1"/>
  <c r="X1344" i="1"/>
  <c r="X1788" i="1"/>
  <c r="X5537" i="1"/>
  <c r="X3888" i="1"/>
  <c r="X1127" i="1"/>
  <c r="X4946" i="1"/>
  <c r="X698" i="1"/>
  <c r="X4018" i="1"/>
  <c r="X449" i="1"/>
  <c r="X2040" i="1"/>
  <c r="X3521" i="1"/>
  <c r="X3517" i="1"/>
  <c r="X3616" i="1"/>
  <c r="X3150" i="1"/>
  <c r="X2530" i="1"/>
  <c r="X1853" i="1"/>
  <c r="X464" i="1"/>
  <c r="X5538" i="1"/>
  <c r="X2641" i="1"/>
  <c r="X2594" i="1"/>
  <c r="X3532" i="1"/>
  <c r="X3688" i="1"/>
  <c r="X2602" i="1"/>
  <c r="X2078" i="1"/>
  <c r="X4959" i="1"/>
  <c r="X4715" i="1"/>
  <c r="X4138" i="1"/>
  <c r="X554" i="1"/>
  <c r="X4804" i="1"/>
  <c r="X2463" i="1"/>
  <c r="X1718" i="1"/>
  <c r="X1228" i="1"/>
  <c r="X1373" i="1"/>
  <c r="X1450" i="1"/>
  <c r="X2837" i="1"/>
  <c r="X2393" i="1"/>
  <c r="X3042" i="1"/>
  <c r="X1683" i="1"/>
  <c r="X4309" i="1"/>
  <c r="X1493" i="1"/>
  <c r="X1655" i="1"/>
  <c r="X1328" i="1"/>
  <c r="X4226" i="1"/>
  <c r="X226" i="1"/>
  <c r="X4012" i="1"/>
  <c r="X1218" i="1"/>
  <c r="X1367" i="1"/>
  <c r="X4661" i="1"/>
  <c r="X4587" i="1"/>
  <c r="X3667" i="1"/>
  <c r="X1661" i="1"/>
  <c r="X3580" i="1"/>
  <c r="X1834" i="1"/>
  <c r="X2620" i="1"/>
  <c r="X4155" i="1"/>
  <c r="X603" i="1"/>
  <c r="X3992" i="1"/>
  <c r="X1759" i="1"/>
  <c r="X1515" i="1"/>
  <c r="X4547" i="1"/>
  <c r="X2741" i="1"/>
  <c r="X1977" i="1"/>
  <c r="X1622" i="1"/>
  <c r="X1566" i="1"/>
  <c r="X4638" i="1"/>
  <c r="X1749" i="1"/>
  <c r="X188" i="1"/>
  <c r="X2800" i="1"/>
  <c r="X776" i="1"/>
  <c r="X3497" i="1"/>
  <c r="X227" i="1"/>
  <c r="X2170" i="1"/>
  <c r="X2341" i="1"/>
  <c r="X546" i="1"/>
  <c r="X4181" i="1"/>
  <c r="X4305" i="1"/>
  <c r="X4776" i="1"/>
  <c r="X4924" i="1"/>
  <c r="X465" i="1"/>
  <c r="X195" i="1"/>
  <c r="X2818" i="1"/>
  <c r="X2664" i="1"/>
  <c r="X4645" i="1"/>
  <c r="X1805" i="1"/>
  <c r="X230" i="1"/>
  <c r="X2983" i="1"/>
  <c r="X1609" i="1"/>
  <c r="X4761" i="1"/>
  <c r="X4126" i="1"/>
  <c r="X754" i="1"/>
  <c r="X1486" i="1"/>
  <c r="X379" i="1"/>
  <c r="X5034" i="1"/>
  <c r="X2133" i="1"/>
  <c r="X3021" i="1"/>
  <c r="X3668" i="1"/>
  <c r="X2444" i="1"/>
  <c r="X5539" i="1"/>
  <c r="X4675" i="1"/>
  <c r="X2448" i="1"/>
  <c r="X5540" i="1"/>
  <c r="X1737" i="1"/>
  <c r="X2600" i="1"/>
  <c r="X1215" i="1"/>
  <c r="X5541" i="1"/>
  <c r="X2736" i="1"/>
  <c r="X4273" i="1"/>
  <c r="X3934" i="1"/>
  <c r="X2868" i="1"/>
  <c r="X2323" i="1"/>
  <c r="X1452" i="1"/>
  <c r="X178" i="1"/>
  <c r="X1250" i="1"/>
  <c r="X3441" i="1"/>
  <c r="X2440" i="1"/>
  <c r="X920" i="1"/>
  <c r="X678" i="1"/>
  <c r="X5542" i="1"/>
  <c r="X1691" i="1"/>
  <c r="X5543" i="1"/>
  <c r="X3980" i="1"/>
  <c r="X1090" i="1"/>
  <c r="X5544" i="1"/>
  <c r="X1511" i="1"/>
  <c r="X5545" i="1"/>
  <c r="X1292" i="1"/>
  <c r="X662" i="1"/>
  <c r="X2777" i="1"/>
  <c r="X5546" i="1"/>
  <c r="X1836" i="1"/>
  <c r="X2908" i="1"/>
  <c r="X3412" i="1"/>
  <c r="X1220" i="1"/>
  <c r="X3594" i="1"/>
  <c r="X4327" i="1"/>
  <c r="X4377" i="1"/>
  <c r="X1714" i="1"/>
  <c r="X3416" i="1"/>
  <c r="X4300" i="1"/>
  <c r="X921" i="1"/>
  <c r="X4954" i="1"/>
  <c r="X5547" i="1"/>
  <c r="X3669" i="1"/>
  <c r="X4943" i="1"/>
  <c r="X5548" i="1"/>
  <c r="X2203" i="1"/>
  <c r="X5549" i="1"/>
  <c r="X1899" i="1"/>
  <c r="X5550" i="1"/>
  <c r="X1854" i="1"/>
  <c r="X855" i="1"/>
  <c r="X4235" i="1"/>
  <c r="X4255" i="1"/>
  <c r="X3822" i="1"/>
  <c r="X2467" i="1"/>
  <c r="X2610" i="1"/>
  <c r="X1184" i="1"/>
  <c r="X259" i="1"/>
  <c r="X1137" i="1"/>
  <c r="X2073" i="1"/>
  <c r="X624" i="1"/>
  <c r="X1497" i="1"/>
  <c r="X2394" i="1"/>
  <c r="X5551" i="1"/>
  <c r="X1922" i="1"/>
  <c r="X685" i="1"/>
  <c r="X5552" i="1"/>
  <c r="X788" i="1"/>
  <c r="X3732" i="1"/>
  <c r="X1489" i="1"/>
  <c r="X4401" i="1"/>
  <c r="X5553" i="1"/>
  <c r="X3358" i="1"/>
  <c r="X411" i="1"/>
  <c r="X1437" i="1"/>
  <c r="X4142" i="1"/>
  <c r="X4961" i="1"/>
  <c r="X1638" i="1"/>
  <c r="X695" i="1"/>
  <c r="X82" i="1"/>
  <c r="X1799" i="1"/>
  <c r="X4482" i="1"/>
  <c r="X3772" i="1"/>
  <c r="X5554" i="1"/>
  <c r="X704" i="1"/>
  <c r="X2228" i="1"/>
  <c r="X5555" i="1"/>
  <c r="X5556" i="1"/>
  <c r="X1910" i="1"/>
  <c r="X2375" i="1"/>
  <c r="X2864" i="1"/>
  <c r="X1161" i="1"/>
  <c r="X215" i="1"/>
  <c r="X1229" i="1"/>
  <c r="X1474" i="1"/>
  <c r="X4057" i="1"/>
  <c r="X1219" i="1"/>
  <c r="X5557" i="1"/>
  <c r="X5558" i="1"/>
  <c r="X269" i="1"/>
  <c r="X1789" i="1"/>
  <c r="X856" i="1"/>
  <c r="X4378" i="1"/>
  <c r="X3252" i="1"/>
  <c r="X5559" i="1"/>
  <c r="X520" i="1"/>
  <c r="X2961" i="1"/>
  <c r="X3885" i="1"/>
  <c r="X2326" i="1"/>
  <c r="X2093" i="1"/>
  <c r="X5560" i="1"/>
  <c r="X3052" i="1"/>
  <c r="X2813" i="1"/>
  <c r="X2041" i="1"/>
  <c r="X5561" i="1"/>
  <c r="X4286" i="1"/>
  <c r="X1230" i="1"/>
  <c r="X2897" i="1"/>
  <c r="X877" i="1"/>
  <c r="X3065" i="1"/>
  <c r="X3862" i="1"/>
  <c r="X1087" i="1"/>
  <c r="X4590" i="1"/>
  <c r="X2751" i="1"/>
  <c r="X1534" i="1"/>
  <c r="X2855" i="1"/>
  <c r="X4413" i="1"/>
  <c r="X4526" i="1"/>
  <c r="X4061" i="1"/>
  <c r="X5562" i="1"/>
  <c r="X3533" i="1"/>
  <c r="X4304" i="1"/>
  <c r="X4398" i="1"/>
  <c r="X3969" i="1"/>
  <c r="X1681" i="1"/>
  <c r="X262" i="1"/>
  <c r="X2762" i="1"/>
  <c r="X140" i="1"/>
  <c r="X3595" i="1"/>
  <c r="X2922" i="1"/>
  <c r="X448" i="1"/>
  <c r="X1274" i="1"/>
  <c r="X832" i="1"/>
  <c r="X3023" i="1"/>
  <c r="X2180" i="1"/>
  <c r="X3365" i="1"/>
  <c r="X1442" i="1"/>
  <c r="X2720" i="1"/>
  <c r="X3211" i="1"/>
  <c r="X5563" i="1"/>
  <c r="X4417" i="1"/>
  <c r="X2083" i="1"/>
  <c r="X3326" i="1"/>
  <c r="X2243" i="1"/>
  <c r="X3808" i="1"/>
  <c r="X1579" i="1"/>
  <c r="X412" i="1"/>
  <c r="X705" i="1"/>
  <c r="X2585" i="1"/>
  <c r="X3859" i="1"/>
  <c r="X3534" i="1"/>
  <c r="X5564" i="1"/>
  <c r="X1320" i="1"/>
  <c r="X2053" i="1"/>
  <c r="X3585" i="1"/>
  <c r="X950" i="1"/>
  <c r="X4764" i="1"/>
  <c r="X3689" i="1"/>
  <c r="X1692" i="1"/>
  <c r="X5565" i="1"/>
  <c r="X4279" i="1"/>
  <c r="X3604" i="1"/>
  <c r="X489" i="1"/>
  <c r="X5566" i="1"/>
  <c r="X3347" i="1"/>
  <c r="X2672" i="1"/>
  <c r="X3535" i="1"/>
  <c r="X5567" i="1"/>
  <c r="X2681" i="1"/>
  <c r="X5568" i="1"/>
  <c r="X1830" i="1"/>
  <c r="X699" i="1"/>
  <c r="X1504" i="1"/>
  <c r="X2619" i="1"/>
  <c r="X1801" i="1"/>
  <c r="X2140" i="1"/>
  <c r="X5569" i="1"/>
  <c r="X5570" i="1"/>
  <c r="X5571" i="1"/>
  <c r="X2962" i="1"/>
  <c r="X4755" i="1"/>
  <c r="X1599" i="1"/>
  <c r="X2262" i="1"/>
  <c r="X2106" i="1"/>
  <c r="X510" i="1"/>
  <c r="X3127" i="1"/>
  <c r="X2501" i="1"/>
  <c r="X1480" i="1"/>
  <c r="X3876" i="1"/>
  <c r="X5572" i="1"/>
  <c r="X5573" i="1"/>
  <c r="X706" i="1"/>
  <c r="X5574" i="1"/>
  <c r="X320" i="1"/>
  <c r="X5575" i="1"/>
  <c r="X1460" i="1"/>
  <c r="X4263" i="1"/>
  <c r="X5576" i="1"/>
  <c r="X5577" i="1"/>
  <c r="X3719" i="1"/>
  <c r="X774" i="1"/>
  <c r="X1451" i="1"/>
  <c r="X5578" i="1"/>
  <c r="X2925" i="1"/>
  <c r="X5579" i="1"/>
  <c r="X1535" i="1"/>
  <c r="X1310" i="1"/>
  <c r="X492" i="1"/>
  <c r="X2819" i="1"/>
  <c r="X5580" i="1"/>
  <c r="X5581" i="1"/>
  <c r="X5582" i="1"/>
  <c r="X5583" i="1"/>
  <c r="X2234" i="1"/>
  <c r="X3672" i="1"/>
  <c r="X5584" i="1"/>
  <c r="X1009" i="1"/>
  <c r="X3229" i="1"/>
  <c r="X2477" i="1"/>
  <c r="X4827" i="1"/>
  <c r="X5585" i="1"/>
  <c r="X1152" i="1"/>
  <c r="X3366" i="1"/>
  <c r="X5586" i="1"/>
  <c r="X4107" i="1"/>
  <c r="X5587" i="1"/>
  <c r="X1620" i="1"/>
  <c r="X1278" i="1"/>
  <c r="X857" i="1"/>
  <c r="X5285" i="1"/>
  <c r="X5281" i="1"/>
  <c r="X622" i="1"/>
  <c r="X5588" i="1"/>
  <c r="X676" i="1"/>
  <c r="X1134" i="1"/>
  <c r="X1752" i="1"/>
  <c r="X2784" i="1"/>
  <c r="X2845" i="1"/>
  <c r="X348" i="1"/>
  <c r="X4993" i="1"/>
  <c r="X1231" i="1"/>
  <c r="X3032" i="1"/>
  <c r="X384" i="1"/>
  <c r="X80" i="1"/>
  <c r="X803" i="1"/>
  <c r="X4957" i="1"/>
  <c r="X2125" i="1"/>
  <c r="X4049" i="1"/>
  <c r="X5159" i="1"/>
  <c r="X90" i="1"/>
  <c r="X3384" i="1"/>
  <c r="X331" i="1"/>
  <c r="X4697" i="1"/>
  <c r="X1294" i="1"/>
  <c r="X3873" i="1"/>
  <c r="X912" i="1"/>
  <c r="X3230" i="1"/>
  <c r="X707" i="1"/>
  <c r="X1214" i="1"/>
  <c r="X4818" i="1"/>
  <c r="X4527" i="1"/>
  <c r="X858" i="1"/>
  <c r="X247" i="1"/>
  <c r="X3831" i="1"/>
  <c r="X1064" i="1"/>
  <c r="X3110" i="1"/>
  <c r="X4996" i="1"/>
  <c r="X1747" i="1"/>
  <c r="X888" i="1"/>
  <c r="X5026" i="1"/>
  <c r="X1916" i="1"/>
  <c r="X1363" i="1"/>
  <c r="X2612" i="1"/>
  <c r="X1559" i="1"/>
  <c r="X766" i="1"/>
  <c r="X1140" i="1"/>
  <c r="X874" i="1"/>
  <c r="X390" i="1"/>
  <c r="X4416" i="1"/>
  <c r="X2851" i="1"/>
  <c r="X3066" i="1"/>
  <c r="X4318" i="1"/>
  <c r="X4431" i="1"/>
  <c r="X2319" i="1"/>
  <c r="X2211" i="1"/>
  <c r="X2472" i="1"/>
  <c r="X2824" i="1"/>
  <c r="X708" i="1"/>
  <c r="X143" i="1"/>
  <c r="X37" i="1"/>
  <c r="X1976" i="1"/>
  <c r="X4104" i="1"/>
  <c r="X3291" i="1"/>
  <c r="X2201" i="1"/>
  <c r="X3079" i="1"/>
  <c r="X4285" i="1"/>
  <c r="X208" i="1"/>
  <c r="X4307" i="1"/>
  <c r="X1001" i="1"/>
  <c r="X4682" i="1"/>
  <c r="X4395" i="1"/>
  <c r="X4119" i="1"/>
  <c r="X4340" i="1"/>
  <c r="X4030" i="1"/>
  <c r="X5589" i="1"/>
  <c r="X2923" i="1"/>
  <c r="X1585" i="1"/>
  <c r="X753" i="1"/>
  <c r="X4456" i="1"/>
  <c r="X130" i="1"/>
  <c r="X4622" i="1"/>
  <c r="X4396" i="1"/>
  <c r="X665" i="1"/>
  <c r="X3835" i="1"/>
  <c r="X3704" i="1"/>
  <c r="X2562" i="1"/>
  <c r="X3471" i="1"/>
  <c r="X4429" i="1"/>
  <c r="X4330" i="1"/>
  <c r="X2392" i="1"/>
  <c r="X2383" i="1"/>
  <c r="X863" i="1"/>
  <c r="X4897" i="1"/>
  <c r="X3774" i="1"/>
  <c r="X4100" i="1"/>
  <c r="X3337" i="1"/>
  <c r="X972" i="1"/>
  <c r="X1232" i="1"/>
  <c r="X3717" i="1"/>
  <c r="X110" i="1"/>
  <c r="X1364" i="1"/>
  <c r="X3648" i="1"/>
  <c r="X5590" i="1"/>
  <c r="X572" i="1"/>
  <c r="X3965" i="1"/>
  <c r="X2358" i="1"/>
  <c r="X2823" i="1"/>
  <c r="X1503" i="1"/>
  <c r="X1513" i="1"/>
  <c r="X3548" i="1"/>
  <c r="X1082" i="1"/>
  <c r="X709" i="1"/>
  <c r="X660" i="1"/>
  <c r="X5100" i="1"/>
  <c r="X982" i="1"/>
  <c r="X273" i="1"/>
  <c r="X2950" i="1"/>
  <c r="X1814" i="1"/>
  <c r="X710" i="1"/>
  <c r="X2801" i="1"/>
  <c r="X5591" i="1"/>
  <c r="X2941" i="1"/>
  <c r="X2213" i="1"/>
  <c r="X4553" i="1"/>
  <c r="X198" i="1"/>
  <c r="X5592" i="1"/>
  <c r="X2802" i="1"/>
  <c r="X3063" i="1"/>
  <c r="X2963" i="1"/>
  <c r="X1889" i="1"/>
  <c r="X3924" i="1"/>
  <c r="X2830" i="1"/>
  <c r="X4369" i="1"/>
  <c r="X960" i="1"/>
  <c r="X1216" i="1"/>
  <c r="X3294" i="1"/>
  <c r="X3757" i="1"/>
  <c r="X2732" i="1"/>
  <c r="X2584" i="1"/>
  <c r="X59" i="1"/>
  <c r="X1390" i="1"/>
  <c r="X2146" i="1"/>
  <c r="X1650" i="1"/>
  <c r="X4466" i="1"/>
  <c r="X525" i="1"/>
  <c r="X3722" i="1"/>
  <c r="X1273" i="1"/>
  <c r="X765" i="1"/>
  <c r="X961" i="1"/>
  <c r="X4613" i="1"/>
  <c r="X4898" i="1"/>
  <c r="X1083" i="1"/>
  <c r="X5183" i="1"/>
  <c r="X4427" i="1"/>
  <c r="X399" i="1"/>
  <c r="X252" i="1"/>
  <c r="X5016" i="1"/>
  <c r="X1751" i="1"/>
  <c r="X287" i="1"/>
  <c r="X3308" i="1"/>
  <c r="X1768" i="1"/>
  <c r="X4480" i="1"/>
  <c r="X332" i="1"/>
  <c r="X5593" i="1"/>
  <c r="X1282" i="1"/>
  <c r="X1934" i="1"/>
  <c r="X200" i="1"/>
  <c r="X33" i="1"/>
  <c r="X2332" i="1"/>
  <c r="X5594" i="1"/>
  <c r="X4343" i="1"/>
  <c r="X2874" i="1"/>
  <c r="X3733" i="1"/>
  <c r="X691" i="1"/>
  <c r="X4717" i="1"/>
  <c r="X337" i="1"/>
  <c r="X5595" i="1"/>
  <c r="X357" i="1"/>
  <c r="X3936" i="1"/>
  <c r="X4551" i="1"/>
  <c r="X3622" i="1"/>
  <c r="X4948" i="1"/>
  <c r="X1746" i="1"/>
  <c r="X1035" i="1"/>
  <c r="X3663" i="1"/>
  <c r="X1855" i="1"/>
  <c r="X1458" i="1"/>
  <c r="X3099" i="1"/>
  <c r="X1027" i="1"/>
  <c r="X573" i="1"/>
  <c r="X3119" i="1"/>
  <c r="X4698" i="1"/>
  <c r="X435" i="1"/>
  <c r="X333" i="1"/>
  <c r="X3578" i="1"/>
  <c r="X1601" i="1"/>
  <c r="X264" i="1"/>
  <c r="X2314" i="1"/>
  <c r="X209" i="1"/>
  <c r="X2247" i="1"/>
  <c r="X5596" i="1"/>
  <c r="X3755" i="1"/>
  <c r="X1077" i="1"/>
  <c r="X1424" i="1"/>
  <c r="X83" i="1"/>
  <c r="X4458" i="1"/>
  <c r="X3814" i="1"/>
  <c r="X1076" i="1"/>
  <c r="X4008" i="1"/>
  <c r="X1693" i="1"/>
  <c r="X3463" i="1"/>
  <c r="X2033" i="1"/>
  <c r="X1164" i="1"/>
  <c r="X1455" i="1"/>
  <c r="X4198" i="1"/>
  <c r="X278" i="1"/>
  <c r="X1020" i="1"/>
  <c r="X2137" i="1"/>
  <c r="X5597" i="1"/>
  <c r="X1004" i="1"/>
  <c r="X3151" i="1"/>
  <c r="X602" i="1"/>
  <c r="X1175" i="1"/>
  <c r="X1391" i="1"/>
  <c r="X413" i="1"/>
  <c r="X3168" i="1"/>
  <c r="X483" i="1"/>
  <c r="X1597" i="1"/>
  <c r="X471" i="1"/>
  <c r="X996" i="1"/>
  <c r="X2920" i="1"/>
  <c r="X2313" i="1"/>
  <c r="X456" i="1"/>
  <c r="X4145" i="1"/>
  <c r="X2668" i="1"/>
  <c r="X223" i="1"/>
  <c r="X294" i="1"/>
  <c r="X5598" i="1"/>
  <c r="X1334" i="1"/>
  <c r="X3567" i="1"/>
  <c r="X4065" i="1"/>
  <c r="X503" i="1"/>
  <c r="X3815" i="1"/>
  <c r="X4491" i="1"/>
  <c r="X758" i="1"/>
  <c r="X4952" i="1"/>
  <c r="X1116" i="1"/>
  <c r="X3431" i="1"/>
  <c r="X1694" i="1"/>
  <c r="X5174" i="1"/>
  <c r="X3734" i="1"/>
  <c r="X574" i="1"/>
  <c r="X4756" i="1"/>
  <c r="X3504" i="1"/>
  <c r="X2166" i="1"/>
  <c r="X5138" i="1"/>
  <c r="X4726" i="1"/>
  <c r="X3568" i="1"/>
  <c r="X231" i="1"/>
  <c r="X4752" i="1"/>
  <c r="X3350" i="1"/>
  <c r="X5042" i="1"/>
  <c r="X3090" i="1"/>
  <c r="X232" i="1"/>
  <c r="X1536" i="1"/>
  <c r="X3415" i="1"/>
  <c r="X552" i="1"/>
  <c r="X630" i="1"/>
  <c r="X871" i="1"/>
  <c r="X3217" i="1"/>
  <c r="X2161" i="1"/>
  <c r="X671" i="1"/>
  <c r="X2833" i="1"/>
  <c r="X1610" i="1"/>
  <c r="X5599" i="1"/>
  <c r="X2416" i="1"/>
  <c r="X3956" i="1"/>
  <c r="X4554" i="1"/>
  <c r="X335" i="1"/>
  <c r="X793" i="1"/>
  <c r="X647" i="1"/>
  <c r="X5256" i="1"/>
  <c r="X2776" i="1"/>
  <c r="X3033" i="1"/>
  <c r="X625" i="1"/>
  <c r="X3026" i="1"/>
  <c r="X904" i="1"/>
  <c r="X43" i="1"/>
  <c r="X1646" i="1"/>
  <c r="X711" i="1"/>
  <c r="X1754" i="1"/>
  <c r="X3536" i="1"/>
  <c r="X3586" i="1"/>
  <c r="X4654" i="1"/>
  <c r="X3364" i="1"/>
  <c r="X2752" i="1"/>
  <c r="X286" i="1"/>
  <c r="X1307" i="1"/>
  <c r="X2883" i="1"/>
  <c r="X1856" i="1"/>
  <c r="X138" i="1"/>
  <c r="X2678" i="1"/>
  <c r="X2018" i="1"/>
  <c r="X1857" i="1"/>
  <c r="X1593" i="1"/>
  <c r="X366" i="1"/>
  <c r="X910" i="1"/>
  <c r="X479" i="1"/>
  <c r="X1457" i="1"/>
  <c r="X827" i="1"/>
  <c r="X3502" i="1"/>
  <c r="X905" i="1"/>
  <c r="X3549" i="1"/>
  <c r="X2446" i="1"/>
  <c r="X5021" i="1"/>
  <c r="X4896" i="1"/>
  <c r="X5223" i="1"/>
  <c r="X2535" i="1"/>
  <c r="X118" i="1"/>
  <c r="X868" i="1"/>
  <c r="X1323" i="1"/>
  <c r="X657" i="1"/>
  <c r="X2701" i="1"/>
  <c r="X2525" i="1"/>
  <c r="X801" i="1"/>
  <c r="X1819" i="1"/>
  <c r="X2359" i="1"/>
  <c r="X4801" i="1"/>
  <c r="X414" i="1"/>
  <c r="X433" i="1"/>
  <c r="X2849" i="1"/>
  <c r="X2872" i="1"/>
  <c r="X5600" i="1"/>
  <c r="X3260" i="1"/>
  <c r="X4819" i="1"/>
  <c r="X2061" i="1"/>
  <c r="X5013" i="1"/>
  <c r="X651" i="1"/>
  <c r="X78" i="1"/>
  <c r="X3046" i="1"/>
  <c r="X672" i="1"/>
  <c r="X137" i="1"/>
  <c r="X900" i="1"/>
  <c r="X1537" i="1"/>
  <c r="X3928" i="1"/>
  <c r="X235" i="1"/>
  <c r="X3028" i="1"/>
  <c r="X4769" i="1"/>
  <c r="X2336" i="1"/>
  <c r="X1233" i="1"/>
  <c r="X600" i="1"/>
  <c r="X397" i="1"/>
  <c r="X292" i="1"/>
  <c r="X1065" i="1"/>
  <c r="X3477" i="1"/>
  <c r="X5601" i="1"/>
  <c r="X1913" i="1"/>
  <c r="X2240" i="1"/>
  <c r="X652" i="1"/>
  <c r="X1207" i="1"/>
  <c r="X2320" i="1"/>
  <c r="X1902" i="1"/>
  <c r="X4832" i="1"/>
  <c r="X1136" i="1"/>
  <c r="X690" i="1"/>
  <c r="X5602" i="1"/>
  <c r="X4048" i="1"/>
  <c r="X4945" i="1"/>
  <c r="X254" i="1"/>
  <c r="X3328" i="1"/>
  <c r="X1905" i="1"/>
  <c r="X3995" i="1"/>
  <c r="X2572" i="1"/>
  <c r="X4139" i="1"/>
  <c r="X2551" i="1"/>
  <c r="X4199" i="1"/>
  <c r="X528" i="1"/>
  <c r="X3179" i="1"/>
  <c r="X4542" i="1"/>
  <c r="X810" i="1"/>
  <c r="X3537" i="1"/>
  <c r="X2946" i="1"/>
  <c r="X1952" i="1"/>
  <c r="X4070" i="1"/>
  <c r="X274" i="1"/>
  <c r="X1634" i="1"/>
  <c r="X4348" i="1"/>
  <c r="X1180" i="1"/>
  <c r="X4951" i="1"/>
  <c r="X1713" i="1"/>
  <c r="X1574" i="1"/>
  <c r="X4891" i="1"/>
  <c r="X4721" i="1"/>
  <c r="X4379" i="1"/>
  <c r="X1466" i="1"/>
  <c r="X2566" i="1"/>
  <c r="X1719" i="1"/>
  <c r="X772" i="1"/>
  <c r="X179" i="1"/>
  <c r="X295" i="1"/>
  <c r="X4264" i="1"/>
  <c r="X347" i="1"/>
  <c r="X712" i="1"/>
  <c r="X799" i="1"/>
  <c r="X1091" i="1"/>
  <c r="X2181" i="1"/>
  <c r="X952" i="1"/>
  <c r="X1261" i="1"/>
  <c r="X66" i="1"/>
  <c r="X3314" i="1"/>
  <c r="X5603" i="1"/>
  <c r="X5604" i="1"/>
  <c r="X3374" i="1"/>
  <c r="X3258" i="1"/>
  <c r="X1431" i="1"/>
  <c r="X535" i="1"/>
  <c r="X575" i="1"/>
  <c r="X3304" i="1"/>
  <c r="X1312" i="1"/>
  <c r="X5605" i="1"/>
  <c r="X1738" i="1"/>
  <c r="X313" i="1"/>
  <c r="X954" i="1"/>
  <c r="X4759" i="1"/>
  <c r="X3708" i="1"/>
  <c r="X3762" i="1"/>
  <c r="X4099" i="1"/>
  <c r="X1630" i="1"/>
  <c r="X760" i="1"/>
  <c r="X2138" i="1"/>
  <c r="X4293" i="1"/>
  <c r="X4483" i="1"/>
  <c r="X2756" i="1"/>
  <c r="X5606" i="1"/>
  <c r="X848" i="1"/>
  <c r="X626" i="1"/>
  <c r="X1472" i="1"/>
  <c r="X4594" i="1"/>
  <c r="X2915" i="1"/>
  <c r="X5607" i="1"/>
  <c r="X5001" i="1"/>
  <c r="X4178" i="1"/>
  <c r="X5608" i="1"/>
  <c r="X713" i="1"/>
  <c r="X859" i="1"/>
  <c r="X3510" i="1"/>
  <c r="X1519" i="1"/>
  <c r="X4595" i="1"/>
  <c r="X714" i="1"/>
  <c r="X3721" i="1"/>
  <c r="X4074" i="1"/>
  <c r="X4869" i="1"/>
  <c r="X576" i="1"/>
  <c r="X2403" i="1"/>
  <c r="X2282" i="1"/>
  <c r="X1917" i="1"/>
  <c r="X913" i="1"/>
  <c r="X636" i="1"/>
  <c r="X1588" i="1"/>
  <c r="X1075" i="1"/>
  <c r="X2538" i="1"/>
  <c r="X2854" i="1"/>
  <c r="X1185" i="1"/>
  <c r="X3289" i="1"/>
  <c r="X2304" i="1"/>
  <c r="X1243" i="1"/>
  <c r="X3848" i="1"/>
  <c r="X3673" i="1"/>
  <c r="X1135" i="1"/>
  <c r="X2693" i="1"/>
  <c r="X1538" i="1"/>
  <c r="X2043" i="1"/>
  <c r="X3723" i="1"/>
  <c r="X2933" i="1"/>
  <c r="X5244" i="1"/>
  <c r="X1993" i="1"/>
  <c r="X715" i="1"/>
  <c r="X1326" i="1"/>
  <c r="X716" i="1"/>
  <c r="X2145" i="1"/>
  <c r="X962" i="1"/>
  <c r="X5609" i="1"/>
  <c r="X1287" i="1"/>
  <c r="X5214" i="1"/>
  <c r="X5610" i="1"/>
  <c r="X2293" i="1"/>
  <c r="X845" i="1"/>
  <c r="X1345" i="1"/>
  <c r="X2702" i="1"/>
  <c r="X1561" i="1"/>
  <c r="X5096" i="1"/>
  <c r="X353" i="1"/>
  <c r="X2074" i="1"/>
  <c r="X1333" i="1"/>
  <c r="X1672" i="1"/>
  <c r="X4955" i="1"/>
  <c r="X1923" i="1"/>
  <c r="X4505" i="1"/>
  <c r="X782" i="1"/>
  <c r="X321" i="1"/>
  <c r="X216" i="1"/>
  <c r="X1316" i="1"/>
  <c r="X955" i="1"/>
  <c r="X4313" i="1"/>
  <c r="X508" i="1"/>
  <c r="X36" i="1"/>
  <c r="X717" i="1"/>
  <c r="X1674" i="1"/>
  <c r="X2564" i="1"/>
  <c r="X434" i="1"/>
  <c r="X3115" i="1"/>
  <c r="X519" i="1"/>
  <c r="X4861" i="1"/>
  <c r="X923" i="1"/>
  <c r="X173" i="1"/>
  <c r="X1723" i="1"/>
  <c r="X1392" i="1"/>
  <c r="X1642" i="1"/>
  <c r="X1115" i="1"/>
  <c r="X358" i="1"/>
  <c r="X3111" i="1"/>
  <c r="X5046" i="1"/>
  <c r="X5611" i="1"/>
  <c r="X1512" i="1"/>
  <c r="X4200" i="1"/>
  <c r="X5272" i="1"/>
  <c r="X1720" i="1"/>
  <c r="X2773" i="1"/>
  <c r="X28" i="1"/>
  <c r="X1295" i="1"/>
  <c r="X2780" i="1"/>
  <c r="X443" i="1"/>
  <c r="X555" i="1"/>
  <c r="X2943" i="1"/>
  <c r="X4528" i="1"/>
  <c r="X5245" i="1"/>
  <c r="X1539" i="1"/>
  <c r="X1800" i="1"/>
  <c r="X4859" i="1"/>
  <c r="X3306" i="1"/>
  <c r="X5612" i="1"/>
  <c r="X1165" i="1"/>
  <c r="X504" i="1"/>
  <c r="X1374" i="1"/>
  <c r="X2072" i="1"/>
  <c r="X1785" i="1"/>
  <c r="X2685" i="1"/>
  <c r="X4462" i="1"/>
  <c r="X1393" i="1"/>
  <c r="X415" i="1"/>
  <c r="X371" i="1"/>
  <c r="X2065" i="1"/>
  <c r="X3901" i="1"/>
  <c r="X5613" i="1"/>
  <c r="X3857" i="1"/>
  <c r="X718" i="1"/>
  <c r="X601" i="1"/>
  <c r="X5044" i="1"/>
  <c r="X2268" i="1"/>
  <c r="X5614" i="1"/>
  <c r="X1881" i="1"/>
  <c r="X323" i="1"/>
  <c r="X526" i="1"/>
  <c r="X1726" i="1"/>
  <c r="X1996" i="1"/>
  <c r="X3055" i="1"/>
  <c r="X1900" i="1"/>
  <c r="X631" i="1"/>
  <c r="X2246" i="1"/>
  <c r="X577" i="1"/>
  <c r="X820" i="1"/>
  <c r="X1092" i="1"/>
  <c r="X2400" i="1"/>
  <c r="X446" i="1"/>
  <c r="X2113" i="1"/>
  <c r="X4506" i="1"/>
  <c r="X308" i="1"/>
  <c r="X1046" i="1"/>
  <c r="X3338" i="1"/>
  <c r="X266" i="1"/>
  <c r="X211" i="1"/>
  <c r="X4758" i="1"/>
  <c r="X578" i="1"/>
  <c r="X134" i="1"/>
  <c r="X1297" i="1"/>
  <c r="X3981" i="1"/>
  <c r="X719" i="1"/>
  <c r="X696" i="1"/>
  <c r="X929" i="1"/>
  <c r="X4538" i="1"/>
  <c r="X1172" i="1"/>
  <c r="X815" i="1"/>
  <c r="X1418" i="1"/>
  <c r="X4105" i="1"/>
  <c r="X2737" i="1"/>
  <c r="X4380" i="1"/>
  <c r="X1778" i="1"/>
  <c r="X3557" i="1"/>
  <c r="X5615" i="1"/>
  <c r="X5616" i="1"/>
  <c r="X222" i="1"/>
  <c r="X5014" i="1"/>
  <c r="X979" i="1"/>
  <c r="X1997" i="1"/>
  <c r="X229" i="1"/>
  <c r="X579" i="1"/>
  <c r="X316" i="1"/>
  <c r="X5617" i="1"/>
  <c r="X4817" i="1"/>
  <c r="X3618" i="1"/>
  <c r="X1973" i="1"/>
  <c r="X816" i="1"/>
  <c r="X326" i="1"/>
  <c r="X429" i="1"/>
  <c r="X4201" i="1"/>
  <c r="X808" i="1"/>
  <c r="X2436" i="1"/>
  <c r="X106" i="1"/>
  <c r="X1241" i="1"/>
  <c r="X1695" i="1"/>
  <c r="X1142" i="1"/>
  <c r="X720" i="1"/>
  <c r="X800" i="1"/>
  <c r="X3118" i="1"/>
  <c r="X3238" i="1"/>
  <c r="X1256" i="1"/>
  <c r="X3113" i="1"/>
  <c r="X2964" i="1"/>
  <c r="X2539" i="1"/>
  <c r="X2060" i="1"/>
  <c r="X2182" i="1"/>
  <c r="X648" i="1"/>
  <c r="X2221" i="1"/>
  <c r="X5160" i="1"/>
  <c r="X2183" i="1"/>
  <c r="X721" i="1"/>
  <c r="X938" i="1"/>
  <c r="X1110" i="1"/>
  <c r="X3" i="1"/>
  <c r="X4770" i="1"/>
  <c r="X627" i="1"/>
  <c r="X2426" i="1"/>
  <c r="X2965" i="1"/>
  <c r="X2834" i="1"/>
  <c r="X689" i="1"/>
  <c r="X1918" i="1"/>
  <c r="X2451" i="1"/>
  <c r="X4692" i="1"/>
  <c r="X1244" i="1"/>
  <c r="X2532" i="1"/>
  <c r="X3170" i="1"/>
  <c r="X100" i="1"/>
  <c r="X5618" i="1"/>
  <c r="X3779" i="1"/>
  <c r="X1696" i="1"/>
  <c r="X3834" i="1"/>
  <c r="X394" i="1"/>
  <c r="X3417" i="1"/>
  <c r="X536" i="1"/>
  <c r="X1128" i="1"/>
  <c r="X1105" i="1"/>
  <c r="X1234" i="1"/>
  <c r="X3068" i="1"/>
  <c r="X1021" i="1"/>
  <c r="X3982" i="1"/>
  <c r="X5257" i="1"/>
  <c r="X372" i="1"/>
  <c r="X2249" i="1"/>
  <c r="X3476" i="1"/>
  <c r="X109" i="1"/>
  <c r="X219" i="1"/>
  <c r="X1907" i="1"/>
  <c r="X2184" i="1"/>
  <c r="X2123" i="1"/>
  <c r="X2859" i="1"/>
  <c r="X2803" i="1"/>
  <c r="X4656" i="1"/>
  <c r="X655" i="1"/>
  <c r="X3470" i="1"/>
  <c r="X54" i="1"/>
  <c r="X2478" i="1"/>
  <c r="X2997" i="1"/>
  <c r="X2360" i="1"/>
  <c r="X5118" i="1"/>
  <c r="X722" i="1"/>
  <c r="X907" i="1"/>
  <c r="X1960" i="1"/>
  <c r="X4234" i="1"/>
  <c r="X2001" i="1"/>
  <c r="X1540" i="1"/>
  <c r="X290" i="1"/>
  <c r="X4096" i="1"/>
  <c r="X114" i="1"/>
  <c r="X4" i="1"/>
  <c r="X2185" i="1"/>
  <c r="X197" i="1"/>
  <c r="X3013" i="1"/>
  <c r="X4388" i="1"/>
  <c r="X267" i="1"/>
  <c r="X684" i="1"/>
  <c r="X4473" i="1"/>
  <c r="X2502" i="1"/>
  <c r="X681" i="1"/>
  <c r="X1541" i="1"/>
  <c r="X440" i="1"/>
  <c r="X3315" i="1"/>
  <c r="X2630" i="1"/>
  <c r="X2785" i="1"/>
  <c r="X1187" i="1"/>
  <c r="X1495" i="1"/>
  <c r="X605" i="1"/>
  <c r="X243" i="1"/>
  <c r="X116" i="1"/>
  <c r="X674" i="1"/>
  <c r="X1146" i="1"/>
  <c r="X1028" i="1"/>
  <c r="X1093" i="1"/>
  <c r="X2035" i="1"/>
  <c r="X2186" i="1"/>
  <c r="X2812" i="1"/>
  <c r="X878" i="1"/>
  <c r="X108" i="1"/>
  <c r="X283" i="1"/>
  <c r="X432" i="1"/>
  <c r="X1409" i="1"/>
  <c r="X1102" i="1"/>
  <c r="X1308" i="1"/>
  <c r="X723" i="1"/>
  <c r="X202" i="1"/>
  <c r="X322" i="1"/>
  <c r="X5058" i="1"/>
  <c r="X2090" i="1"/>
  <c r="X1941" i="1"/>
  <c r="X1376" i="1"/>
  <c r="X1138" i="1"/>
  <c r="X5191" i="1"/>
  <c r="X3367" i="1"/>
  <c r="X643" i="1"/>
  <c r="X3600" i="1"/>
  <c r="X5259" i="1"/>
  <c r="X329" i="1"/>
  <c r="X1113" i="1"/>
  <c r="X416" i="1"/>
  <c r="X580" i="1"/>
  <c r="X931" i="1"/>
  <c r="X2771" i="1"/>
  <c r="X882" i="1"/>
  <c r="X825" i="1"/>
  <c r="X1023" i="1"/>
  <c r="X1249" i="1"/>
  <c r="X724" i="1"/>
  <c r="X1150" i="1"/>
  <c r="X645" i="1"/>
  <c r="X340" i="1"/>
  <c r="X607" i="1"/>
  <c r="X3735" i="1"/>
  <c r="X906" i="1"/>
  <c r="X1697" i="1"/>
  <c r="X2820" i="1"/>
  <c r="X2733" i="1"/>
  <c r="X1698" i="1"/>
  <c r="X2229" i="1"/>
  <c r="X4025" i="1"/>
  <c r="X1268" i="1"/>
  <c r="X2565" i="1"/>
  <c r="X212" i="1"/>
  <c r="X2118" i="1"/>
  <c r="X522" i="1"/>
  <c r="X5276" i="1"/>
  <c r="X4667" i="1"/>
  <c r="X5619" i="1"/>
  <c r="X3983" i="1"/>
  <c r="X307" i="1"/>
  <c r="X2928" i="1"/>
  <c r="X1303" i="1"/>
  <c r="X1130" i="1"/>
  <c r="X4629" i="1"/>
  <c r="X5243" i="1"/>
  <c r="X1033" i="1"/>
  <c r="X502" i="1"/>
  <c r="X725" i="1"/>
  <c r="X402" i="1"/>
  <c r="X533" i="1"/>
  <c r="X4452" i="1"/>
  <c r="X475" i="1"/>
  <c r="X623" i="1"/>
  <c r="X1200" i="1"/>
  <c r="X261" i="1"/>
  <c r="X1196" i="1"/>
  <c r="X2305" i="1"/>
  <c r="X63" i="1"/>
  <c r="X4978" i="1"/>
  <c r="X68" i="1"/>
  <c r="X1793" i="1"/>
  <c r="X2264" i="1"/>
  <c r="X4114" i="1"/>
  <c r="X1581" i="1"/>
  <c r="X614" i="1"/>
  <c r="X4790" i="1"/>
  <c r="X3262" i="1"/>
  <c r="X3361" i="1"/>
  <c r="X2328" i="1"/>
  <c r="X2503" i="1"/>
  <c r="X769" i="1"/>
  <c r="X5115" i="1"/>
  <c r="X4202" i="1"/>
  <c r="X221" i="1"/>
  <c r="X726" i="1"/>
  <c r="X3040" i="1"/>
  <c r="X3265" i="1"/>
  <c r="X617" i="1"/>
  <c r="X3316" i="1"/>
  <c r="X3193" i="1"/>
  <c r="X3691" i="1"/>
  <c r="X1311" i="1"/>
  <c r="X937" i="1"/>
  <c r="X3161" i="1"/>
  <c r="X4984" i="1"/>
  <c r="X1314" i="1"/>
  <c r="X2101" i="1"/>
  <c r="X1163" i="1"/>
  <c r="X3785" i="1"/>
  <c r="X270" i="1"/>
  <c r="X239" i="1"/>
  <c r="X1944" i="1"/>
  <c r="X76" i="1"/>
  <c r="X1040" i="1"/>
  <c r="X45" i="1"/>
  <c r="X727" i="1"/>
  <c r="X1838" i="1"/>
  <c r="X175" i="1"/>
  <c r="X470" i="1"/>
  <c r="X1682" i="1"/>
  <c r="X3263" i="1"/>
  <c r="X5015" i="1"/>
  <c r="X3089" i="1"/>
  <c r="X280" i="1"/>
  <c r="X5620" i="1"/>
  <c r="X362" i="1"/>
  <c r="X2104" i="1"/>
  <c r="X276" i="1"/>
  <c r="X940" i="1"/>
  <c r="X41" i="1"/>
  <c r="X728" i="1"/>
  <c r="X4038" i="1"/>
  <c r="X2205" i="1"/>
  <c r="X4684" i="1"/>
  <c r="X1499" i="1"/>
  <c r="X430" i="1"/>
  <c r="X101" i="1"/>
  <c r="X3354" i="1"/>
  <c r="X2422" i="1"/>
  <c r="X3318" i="1"/>
  <c r="X3382" i="1"/>
  <c r="X3352" i="1"/>
  <c r="X2671" i="1"/>
  <c r="X388" i="1"/>
  <c r="X953" i="1"/>
  <c r="X1886" i="1"/>
  <c r="X1475" i="1"/>
  <c r="X670" i="1"/>
  <c r="X2361" i="1"/>
  <c r="X2099" i="1"/>
  <c r="X241" i="1"/>
  <c r="X1168" i="1"/>
  <c r="X3389" i="1"/>
  <c r="X3135" i="1"/>
  <c r="X1699" i="1"/>
  <c r="X3423" i="1"/>
  <c r="X104" i="1"/>
  <c r="X150" i="1"/>
  <c r="X4203" i="1"/>
  <c r="X85" i="1"/>
  <c r="X581" i="1"/>
  <c r="X1122" i="1"/>
  <c r="X1066" i="1"/>
  <c r="X1341" i="1"/>
  <c r="X1235" i="1"/>
  <c r="X2605" i="1"/>
  <c r="X2091" i="1"/>
  <c r="X392" i="1"/>
  <c r="X141" i="1"/>
  <c r="X762" i="1"/>
  <c r="X4041" i="1"/>
  <c r="X729" i="1"/>
  <c r="X69" i="1"/>
  <c r="X4989" i="1"/>
  <c r="X1728" i="1"/>
  <c r="X5274" i="1"/>
  <c r="X1858" i="1"/>
  <c r="X4586" i="1"/>
  <c r="X1974" i="1"/>
  <c r="X932" i="1"/>
  <c r="X477" i="1"/>
  <c r="X4763" i="1"/>
  <c r="X4118" i="1"/>
  <c r="X427" i="1"/>
  <c r="X5621" i="1"/>
  <c r="X4963" i="1"/>
  <c r="X2459" i="1"/>
  <c r="X4557" i="1"/>
  <c r="X4688" i="1"/>
  <c r="X879" i="1"/>
  <c r="X2255" i="1"/>
  <c r="X1411" i="1"/>
  <c r="X3711" i="1"/>
  <c r="X509" i="1"/>
  <c r="X1048" i="1"/>
  <c r="X1432" i="1"/>
  <c r="X5622" i="1"/>
  <c r="X2097" i="1"/>
  <c r="X3246" i="1"/>
  <c r="X1197" i="1"/>
  <c r="X4295" i="1"/>
  <c r="X3447" i="1"/>
  <c r="X786" i="1"/>
  <c r="X1143" i="1"/>
  <c r="X2599" i="1"/>
  <c r="X582" i="1"/>
  <c r="X1085" i="1"/>
  <c r="X282" i="1"/>
  <c r="X5077" i="1"/>
  <c r="X417" i="1"/>
  <c r="X458" i="1"/>
  <c r="X166" i="1"/>
  <c r="X48" i="1"/>
  <c r="X213" i="1"/>
  <c r="X2469" i="1"/>
  <c r="X374" i="1"/>
  <c r="X4549" i="1"/>
  <c r="X534" i="1"/>
  <c r="X2694" i="1"/>
  <c r="X548" i="1"/>
  <c r="X87" i="1"/>
  <c r="X296" i="1"/>
  <c r="X2284" i="1"/>
  <c r="X730" i="1"/>
  <c r="X3392" i="1"/>
  <c r="X344" i="1"/>
  <c r="X911" i="1"/>
  <c r="X3152" i="1"/>
  <c r="X1806" i="1"/>
  <c r="X218" i="1"/>
  <c r="X849" i="1"/>
  <c r="X1542" i="1"/>
  <c r="X2076" i="1"/>
  <c r="X1047" i="1"/>
  <c r="X1517" i="1"/>
  <c r="X751" i="1"/>
  <c r="X2876" i="1"/>
  <c r="X2680" i="1"/>
  <c r="X731" i="1"/>
  <c r="X639" i="1"/>
  <c r="X1167" i="1"/>
  <c r="X3092" i="1"/>
  <c r="X3188" i="1"/>
  <c r="X583" i="1"/>
  <c r="X778" i="1"/>
  <c r="X1859" i="1"/>
  <c r="X1897" i="1"/>
  <c r="X2661" i="1"/>
  <c r="X5623" i="1"/>
  <c r="X210" i="1"/>
  <c r="X2271" i="1"/>
  <c r="X1181" i="1"/>
  <c r="X2019" i="1"/>
  <c r="X42" i="1"/>
  <c r="X3296" i="1"/>
  <c r="X1543" i="1"/>
  <c r="X2682" i="1"/>
  <c r="X999" i="1"/>
  <c r="X1190" i="1"/>
  <c r="X5624" i="1"/>
  <c r="X837" i="1"/>
  <c r="X34" i="1"/>
  <c r="X122" i="1"/>
  <c r="X4660" i="1"/>
  <c r="X3608" i="1"/>
  <c r="X4614" i="1"/>
  <c r="X3791" i="1"/>
  <c r="X3904" i="1"/>
  <c r="X3452" i="1"/>
  <c r="X1924" i="1"/>
  <c r="X3584" i="1"/>
  <c r="X2438" i="1"/>
  <c r="X4240" i="1"/>
  <c r="X2504" i="1"/>
  <c r="X1263" i="1"/>
  <c r="X2215" i="1"/>
  <c r="X1887" i="1"/>
  <c r="X1193" i="1"/>
  <c r="X2063" i="1"/>
  <c r="X3783" i="1"/>
  <c r="X3010" i="1"/>
  <c r="X2505" i="1"/>
  <c r="X4358" i="1"/>
  <c r="X1361" i="1"/>
  <c r="X2069" i="1"/>
  <c r="X1544" i="1"/>
  <c r="X1199" i="1"/>
  <c r="X4365" i="1"/>
  <c r="X3780" i="1"/>
  <c r="X1428" i="1"/>
  <c r="X1700" i="1"/>
  <c r="X3844" i="1"/>
  <c r="X1394" i="1"/>
  <c r="X5091" i="1"/>
  <c r="X5275" i="1"/>
  <c r="X1015" i="1"/>
  <c r="X2769" i="1"/>
  <c r="X2005" i="1"/>
  <c r="X5193" i="1"/>
  <c r="X3255" i="1"/>
  <c r="X5083" i="1"/>
  <c r="X2290" i="1"/>
  <c r="X2804" i="1"/>
  <c r="X2131" i="1"/>
  <c r="X928" i="1"/>
  <c r="X4204" i="1"/>
  <c r="X3839" i="1"/>
  <c r="X2506" i="1"/>
  <c r="X1953" i="1"/>
  <c r="X1822" i="1"/>
  <c r="X2507" i="1"/>
  <c r="X4085" i="1"/>
  <c r="X1395" i="1"/>
  <c r="X4863" i="1"/>
  <c r="X1483" i="1"/>
  <c r="X1860" i="1"/>
  <c r="X380" i="1"/>
  <c r="X3005" i="1"/>
  <c r="X4844" i="1"/>
  <c r="X1753" i="1"/>
  <c r="X1269" i="1"/>
  <c r="X4788" i="1"/>
  <c r="X3069" i="1"/>
  <c r="X1396" i="1"/>
  <c r="X1251" i="1"/>
  <c r="X1397" i="1"/>
  <c r="X4366" i="1"/>
  <c r="X2430" i="1"/>
  <c r="X4578" i="1"/>
  <c r="X2223" i="1"/>
  <c r="X3405" i="1"/>
  <c r="X4484" i="1"/>
  <c r="X3244" i="1"/>
  <c r="X1107" i="1"/>
  <c r="X3242" i="1"/>
  <c r="X5047" i="1"/>
  <c r="X641" i="1"/>
  <c r="X2676" i="1"/>
  <c r="X1861" i="1"/>
  <c r="X2867" i="1"/>
  <c r="X3295" i="1"/>
  <c r="X4626" i="1"/>
  <c r="X4668" i="1"/>
  <c r="X618" i="1"/>
  <c r="X2567" i="1"/>
  <c r="X2508" i="1"/>
  <c r="X1223" i="1"/>
  <c r="X2550" i="1"/>
  <c r="X1659" i="1"/>
  <c r="X5022" i="1"/>
  <c r="X1862" i="1"/>
  <c r="X2164" i="1"/>
  <c r="X514" i="1"/>
  <c r="X732" i="1"/>
  <c r="X1545" i="1"/>
  <c r="X3764" i="1"/>
  <c r="X1612" i="1"/>
  <c r="X2875" i="1"/>
  <c r="X1094" i="1"/>
  <c r="X2966" i="1"/>
  <c r="X1954" i="1"/>
  <c r="X3628" i="1"/>
  <c r="X1939" i="1"/>
  <c r="X1514" i="1"/>
  <c r="X2187" i="1"/>
  <c r="X2825" i="1"/>
  <c r="X153" i="1"/>
  <c r="X3104" i="1"/>
  <c r="X84" i="1"/>
  <c r="X387" i="1"/>
  <c r="X918" i="1"/>
  <c r="X3153" i="1"/>
  <c r="X584" i="1"/>
  <c r="X3583" i="1"/>
  <c r="X4428" i="1"/>
  <c r="X844" i="1"/>
  <c r="X1270" i="1"/>
  <c r="X1464" i="1"/>
  <c r="X1811" i="1"/>
  <c r="X3424" i="1"/>
  <c r="X1202" i="1"/>
  <c r="X3487" i="1"/>
  <c r="X733" i="1"/>
  <c r="X1794" i="1"/>
  <c r="X2369" i="1"/>
  <c r="X174" i="1"/>
  <c r="X217" i="1"/>
  <c r="X544" i="1"/>
  <c r="X4175" i="1"/>
  <c r="X196" i="1"/>
  <c r="X238" i="1"/>
  <c r="X4146" i="1"/>
  <c r="X1426" i="1"/>
  <c r="X2885" i="1"/>
  <c r="X4412" i="1"/>
  <c r="X300" i="1"/>
  <c r="X1036" i="1"/>
  <c r="X2553" i="1"/>
  <c r="X3625" i="1"/>
  <c r="X983" i="1"/>
  <c r="X2218" i="1"/>
  <c r="X3832" i="1"/>
  <c r="X4824" i="1"/>
  <c r="X585" i="1"/>
  <c r="X319" i="1"/>
  <c r="X123" i="1"/>
  <c r="X4704" i="1"/>
  <c r="X1701" i="1"/>
  <c r="X2642" i="1"/>
  <c r="X64" i="1"/>
  <c r="X2886" i="1"/>
  <c r="X3702" i="1"/>
  <c r="X2831" i="1"/>
  <c r="X3133" i="1"/>
  <c r="X3186" i="1"/>
  <c r="X2757" i="1"/>
  <c r="X1206" i="1"/>
  <c r="X887" i="1"/>
  <c r="X1611" i="1"/>
  <c r="X3522" i="1"/>
  <c r="X250" i="1"/>
  <c r="X3609" i="1"/>
  <c r="X1731" i="1"/>
  <c r="X1741" i="1"/>
  <c r="X2814" i="1"/>
  <c r="X2654" i="1"/>
  <c r="X418" i="1"/>
  <c r="X895" i="1"/>
  <c r="X1468" i="1"/>
  <c r="X1546" i="1"/>
  <c r="X4777" i="1"/>
  <c r="X1637" i="1"/>
  <c r="X1013" i="1"/>
  <c r="X3049" i="1"/>
  <c r="X2188" i="1"/>
  <c r="X3183" i="1"/>
  <c r="X2509" i="1"/>
  <c r="X3863" i="1"/>
  <c r="X4013" i="1"/>
  <c r="X255" i="1"/>
  <c r="X251" i="1"/>
  <c r="X763" i="1"/>
  <c r="X942" i="1"/>
  <c r="X436" i="1"/>
  <c r="X315" i="1"/>
  <c r="X309" i="1"/>
  <c r="X3736" i="1"/>
  <c r="X73" i="1"/>
  <c r="X2626" i="1"/>
  <c r="X1882" i="1"/>
  <c r="X3828" i="1"/>
  <c r="X992" i="1"/>
  <c r="X2189" i="1"/>
  <c r="X1398" i="1"/>
  <c r="X474" i="1"/>
  <c r="X1030" i="1"/>
  <c r="X5178" i="1"/>
  <c r="X1446" i="1"/>
  <c r="X1998" i="1"/>
  <c r="X2362" i="1"/>
  <c r="X656" i="1"/>
  <c r="X3070" i="1"/>
  <c r="X3095" i="1"/>
  <c r="X3430" i="1"/>
  <c r="X2856" i="1"/>
  <c r="X4108" i="1"/>
  <c r="X980" i="1"/>
  <c r="X203" i="1"/>
  <c r="X293" i="1"/>
  <c r="X984" i="1"/>
  <c r="X1932" i="1"/>
  <c r="X2190" i="1"/>
  <c r="X5093" i="1"/>
  <c r="X343" i="1"/>
  <c r="X199" i="1"/>
  <c r="X275" i="1"/>
  <c r="X5226" i="1"/>
  <c r="X3644" i="1"/>
  <c r="X2207" i="1"/>
  <c r="X3357" i="1"/>
  <c r="X3406" i="1"/>
  <c r="X3439" i="1"/>
  <c r="X834" i="1"/>
  <c r="X4694" i="1"/>
  <c r="X1978" i="1"/>
  <c r="X115" i="1"/>
  <c r="X2079" i="1"/>
  <c r="X586" i="1"/>
  <c r="X3816" i="1"/>
  <c r="X3592" i="1"/>
  <c r="X4463" i="1"/>
  <c r="X1908" i="1"/>
  <c r="X2452" i="1"/>
  <c r="X5625" i="1"/>
  <c r="X3664" i="1"/>
  <c r="X1803" i="1"/>
  <c r="X1399" i="1"/>
  <c r="X3368" i="1"/>
  <c r="X3771" i="1"/>
  <c r="X2643" i="1"/>
  <c r="X2291" i="1"/>
  <c r="X1568" i="1"/>
  <c r="X3173" i="1"/>
  <c r="X44" i="1"/>
  <c r="X1031" i="1"/>
  <c r="X4887" i="1"/>
  <c r="X4109" i="1"/>
  <c r="X1358" i="1"/>
  <c r="X1955" i="1"/>
  <c r="X3399" i="1"/>
  <c r="X2703" i="1"/>
  <c r="X2296" i="1"/>
  <c r="X4301" i="1"/>
  <c r="X4481" i="1"/>
  <c r="X1863" i="1"/>
  <c r="X1301" i="1"/>
  <c r="X1236" i="1"/>
  <c r="X4171" i="1"/>
  <c r="X3407" i="1"/>
  <c r="X1981" i="1"/>
  <c r="X3653" i="1"/>
  <c r="X3641" i="1"/>
  <c r="X5069" i="1"/>
  <c r="X352" i="1"/>
  <c r="X1155" i="1"/>
  <c r="X1174" i="1"/>
  <c r="X883" i="1"/>
  <c r="X302" i="1"/>
  <c r="X2744" i="1"/>
  <c r="X224" i="1"/>
  <c r="X527" i="1"/>
  <c r="X305" i="1"/>
  <c r="X2644" i="1"/>
  <c r="X1309" i="1"/>
  <c r="X846" i="1"/>
  <c r="X2388" i="1"/>
  <c r="X4771" i="1"/>
  <c r="X113" i="1"/>
  <c r="X184" i="1"/>
  <c r="X1547" i="1"/>
  <c r="X870" i="1"/>
  <c r="X396" i="1"/>
  <c r="X1400" i="1"/>
  <c r="X1058" i="1"/>
  <c r="X3503" i="1"/>
  <c r="X1469" i="1"/>
  <c r="X4168" i="1"/>
  <c r="X925" i="1"/>
  <c r="X1663" i="1"/>
  <c r="X3362" i="1"/>
  <c r="X675" i="1"/>
  <c r="X191" i="1"/>
  <c r="X220" i="1"/>
  <c r="X734" i="1"/>
  <c r="X3715" i="1"/>
  <c r="X587" i="1"/>
  <c r="X679" i="1"/>
  <c r="X2936" i="1"/>
  <c r="X3776" i="1"/>
  <c r="X3611" i="1"/>
  <c r="X4185" i="1"/>
  <c r="X3165" i="1"/>
  <c r="X3801" i="1"/>
  <c r="X4517" i="1"/>
  <c r="X2148" i="1"/>
  <c r="X181" i="1"/>
  <c r="X3570" i="1"/>
  <c r="X381" i="1"/>
  <c r="X1755" i="1"/>
  <c r="X1791" i="1"/>
  <c r="X1331" i="1"/>
  <c r="X3491" i="1"/>
  <c r="X735" i="1"/>
  <c r="X792" i="1"/>
  <c r="X1351" i="1"/>
  <c r="X946" i="1"/>
  <c r="X1748" i="1"/>
  <c r="X3824" i="1"/>
  <c r="X1068" i="1"/>
  <c r="X485" i="1"/>
  <c r="X3941" i="1"/>
  <c r="X2046" i="1"/>
  <c r="X3765" i="1"/>
  <c r="X1625" i="1"/>
  <c r="X1005" i="1"/>
  <c r="X3911" i="1"/>
  <c r="X3154" i="1"/>
  <c r="X2893" i="1"/>
  <c r="X3410" i="1"/>
  <c r="X1445" i="1"/>
  <c r="X2669" i="1"/>
  <c r="X3797" i="1"/>
  <c r="X5087" i="1"/>
  <c r="X1304" i="1"/>
  <c r="X2000" i="1"/>
  <c r="X564" i="1"/>
  <c r="X2552" i="1"/>
  <c r="X5626" i="1"/>
  <c r="X1980" i="1"/>
  <c r="X3237" i="1"/>
  <c r="X1157" i="1"/>
  <c r="X4545" i="1"/>
  <c r="X2389" i="1"/>
  <c r="X1702" i="1"/>
  <c r="X1729" i="1"/>
  <c r="X2391" i="1"/>
  <c r="X3523" i="1"/>
  <c r="X3117" i="1"/>
  <c r="X2861" i="1"/>
  <c r="X4453" i="1"/>
  <c r="X1594" i="1"/>
  <c r="X3674" i="1"/>
  <c r="X948" i="1"/>
  <c r="X4097" i="1"/>
  <c r="X1766" i="1"/>
  <c r="X2881" i="1"/>
  <c r="X1643" i="1"/>
  <c r="X237" i="1"/>
  <c r="X530" i="1"/>
  <c r="X2471" i="1"/>
  <c r="X2067" i="1"/>
  <c r="X466" i="1"/>
  <c r="X5185" i="1"/>
  <c r="X1372" i="1"/>
  <c r="X1730" i="1"/>
  <c r="X3881" i="1"/>
  <c r="X1335" i="1"/>
  <c r="X2307" i="1"/>
  <c r="X1999" i="1"/>
  <c r="X3538" i="1"/>
  <c r="X2989" i="1"/>
  <c r="X1422" i="1"/>
  <c r="X172" i="1"/>
  <c r="X2116" i="1"/>
  <c r="X4086" i="1"/>
  <c r="X2716" i="1"/>
  <c r="X3489" i="1"/>
  <c r="X2377" i="1"/>
  <c r="X3581" i="1"/>
  <c r="X3930" i="1"/>
  <c r="X1401" i="1"/>
  <c r="X2121" i="1"/>
  <c r="X1277" i="1"/>
  <c r="X3812" i="1"/>
  <c r="X5155" i="1"/>
  <c r="X1518" i="1"/>
  <c r="X4441" i="1"/>
  <c r="X324" i="1"/>
  <c r="X3571" i="1"/>
  <c r="X1410" i="1"/>
  <c r="X2526" i="1"/>
  <c r="X3434" i="1"/>
  <c r="X2675" i="1"/>
  <c r="X2889" i="1"/>
  <c r="X1990" i="1"/>
  <c r="X1123" i="1"/>
  <c r="X3543" i="1"/>
  <c r="X1959" i="1"/>
  <c r="X1149" i="1"/>
  <c r="X2374" i="1"/>
  <c r="X3278" i="1"/>
  <c r="X2317" i="1"/>
  <c r="X2608" i="1"/>
  <c r="X1111" i="1"/>
  <c r="X2645" i="1"/>
  <c r="X1616" i="1"/>
  <c r="X835" i="1"/>
  <c r="X537" i="1"/>
  <c r="X1577" i="1"/>
  <c r="X3459" i="1"/>
  <c r="X2967" i="1"/>
  <c r="X1735" i="1"/>
  <c r="X39" i="1"/>
  <c r="X1120" i="1"/>
  <c r="X1060" i="1"/>
  <c r="X897" i="1"/>
  <c r="X2968" i="1"/>
  <c r="X3993" i="1"/>
  <c r="X3886" i="1"/>
  <c r="X3864" i="1"/>
  <c r="X3339" i="1"/>
  <c r="X3554" i="1"/>
  <c r="X3626" i="1"/>
  <c r="X4161" i="1"/>
  <c r="X2770" i="1"/>
  <c r="X5253" i="1"/>
  <c r="X629" i="1"/>
  <c r="X785" i="1"/>
  <c r="X5176" i="1"/>
  <c r="X5627" i="1"/>
  <c r="X5202" i="1"/>
  <c r="X2214" i="1"/>
  <c r="X1285" i="1"/>
  <c r="X4703" i="1"/>
  <c r="X4727" i="1"/>
  <c r="X3908" i="1"/>
  <c r="X5122" i="1"/>
  <c r="X1703" i="1"/>
  <c r="X5628" i="1"/>
  <c r="X4529" i="1"/>
  <c r="X3195" i="1"/>
  <c r="X4642" i="1"/>
  <c r="X4995" i="1"/>
  <c r="X4810" i="1"/>
  <c r="X4052" i="1"/>
  <c r="X3037" i="1"/>
  <c r="X3311" i="1"/>
  <c r="X1444" i="1"/>
  <c r="X1427" i="1"/>
  <c r="X3865" i="1"/>
  <c r="X640" i="1"/>
  <c r="X1548" i="1"/>
  <c r="X3923" i="1"/>
  <c r="X2020" i="1"/>
  <c r="X151" i="1"/>
  <c r="X2363" i="1"/>
  <c r="X4381" i="1"/>
  <c r="X125" i="1"/>
  <c r="X2044" i="1"/>
  <c r="X3125" i="1"/>
  <c r="X385" i="1"/>
  <c r="X4298" i="1"/>
  <c r="X4558" i="1"/>
  <c r="X2510" i="1"/>
  <c r="X92" i="1"/>
  <c r="X391" i="1"/>
  <c r="X480" i="1"/>
  <c r="X1433" i="1"/>
  <c r="X3394" i="1"/>
  <c r="X5629" i="1"/>
  <c r="X419" i="1"/>
  <c r="X1104" i="1"/>
  <c r="X176" i="1"/>
  <c r="X588" i="1"/>
  <c r="X2739" i="1"/>
  <c r="X5630" i="1"/>
  <c r="X451" i="1"/>
  <c r="X382" i="1"/>
  <c r="X5631" i="1"/>
  <c r="X2021" i="1"/>
  <c r="X2318" i="1"/>
  <c r="X3323" i="1"/>
  <c r="X3751" i="1"/>
  <c r="X1645" i="1"/>
  <c r="X2022" i="1"/>
  <c r="X3034" i="1"/>
  <c r="X3462" i="1"/>
  <c r="X3720" i="1"/>
  <c r="X1975" i="1"/>
  <c r="X4319" i="1"/>
  <c r="X3746" i="1"/>
  <c r="X884" i="1"/>
  <c r="X4650" i="1"/>
  <c r="X1549" i="1"/>
  <c r="X2511" i="1"/>
  <c r="X428" i="1"/>
  <c r="X3539" i="1"/>
  <c r="X1826" i="1"/>
  <c r="X1864" i="1"/>
  <c r="X360" i="1"/>
  <c r="X539" i="1"/>
  <c r="X4605" i="1"/>
  <c r="X1154" i="1"/>
  <c r="X1484" i="1"/>
  <c r="X1739" i="1"/>
  <c r="X3823" i="1"/>
  <c r="X72" i="1"/>
  <c r="X2191" i="1"/>
  <c r="X5632" i="1"/>
  <c r="X903" i="1"/>
  <c r="X279" i="1"/>
  <c r="X117" i="1"/>
  <c r="X1670" i="1"/>
  <c r="X47" i="1"/>
  <c r="X288" i="1"/>
  <c r="X5633" i="1"/>
  <c r="X886" i="1"/>
  <c r="X328" i="1"/>
  <c r="X5634" i="1"/>
  <c r="X468" i="1"/>
  <c r="X2846" i="1"/>
  <c r="X311" i="1"/>
  <c r="X736" i="1"/>
  <c r="X3700" i="1"/>
  <c r="X3097" i="1"/>
  <c r="X1956" i="1"/>
  <c r="X349" i="1"/>
  <c r="X5288" i="1"/>
  <c r="X661" i="1"/>
  <c r="X236" i="1"/>
  <c r="X454" i="1"/>
  <c r="X135" i="1"/>
  <c r="X401" i="1"/>
  <c r="X1704" i="1"/>
  <c r="X2991" i="1"/>
  <c r="X271" i="1"/>
  <c r="X5635" i="1"/>
  <c r="X420" i="1"/>
  <c r="X2512" i="1"/>
  <c r="X3134" i="1"/>
  <c r="X2513" i="1"/>
  <c r="X375" i="1"/>
  <c r="X1705" i="1"/>
  <c r="X1095" i="1"/>
  <c r="X421" i="1"/>
  <c r="X2238" i="1"/>
  <c r="X1563" i="1"/>
  <c r="X4001" i="1"/>
  <c r="X277" i="1"/>
  <c r="X97" i="1"/>
  <c r="X3621" i="1"/>
  <c r="X163" i="1"/>
  <c r="X2120" i="1"/>
  <c r="X201" i="1"/>
  <c r="X1402" i="1"/>
  <c r="X3241" i="1"/>
  <c r="X4555" i="1"/>
  <c r="X4297" i="1"/>
  <c r="X3376" i="1"/>
  <c r="X933" i="1"/>
  <c r="X1355" i="1"/>
  <c r="X5636" i="1"/>
  <c r="X2905" i="1"/>
  <c r="X2449" i="1"/>
  <c r="X2294" i="1"/>
  <c r="X2226" i="1"/>
  <c r="X4125" i="1"/>
  <c r="X148" i="1"/>
  <c r="X813" i="1"/>
  <c r="X77" i="1"/>
  <c r="X1096" i="1"/>
  <c r="X3589" i="1"/>
  <c r="X2514" i="1"/>
  <c r="X167" i="1"/>
  <c r="X488" i="1"/>
  <c r="X1779" i="1"/>
  <c r="X4657" i="1"/>
  <c r="X2646" i="1"/>
  <c r="X2597" i="1"/>
  <c r="X3268" i="1"/>
  <c r="X3927" i="1"/>
  <c r="X70" i="1"/>
  <c r="X1865" i="1"/>
  <c r="X3737" i="1"/>
  <c r="X2878" i="1"/>
  <c r="X1560" i="1"/>
  <c r="X38" i="1"/>
  <c r="X1416" i="1"/>
  <c r="X1417" i="1"/>
  <c r="X1212" i="1"/>
  <c r="X764" i="1"/>
  <c r="X26" i="1"/>
  <c r="X240" i="1"/>
  <c r="X330" i="1"/>
  <c r="X1875" i="1"/>
  <c r="X673" i="1"/>
  <c r="X55" i="1"/>
  <c r="X802" i="1"/>
  <c r="X1706" i="1"/>
  <c r="X2554" i="1"/>
  <c r="X2601" i="1"/>
  <c r="X5237" i="1"/>
  <c r="X2384" i="1"/>
  <c r="X225" i="1"/>
  <c r="X2847" i="1"/>
  <c r="X1022" i="1"/>
  <c r="X119" i="1"/>
  <c r="X899" i="1"/>
  <c r="X5283" i="1"/>
  <c r="X5126" i="1"/>
  <c r="X515" i="1"/>
  <c r="X46" i="1"/>
  <c r="X3204" i="1"/>
  <c r="X5637" i="1"/>
  <c r="X5638" i="1"/>
  <c r="X5639" i="1"/>
  <c r="X5035" i="1"/>
  <c r="X5640" i="1"/>
  <c r="X3961" i="1"/>
  <c r="X3180" i="1"/>
  <c r="X5641" i="1"/>
  <c r="X5108" i="1"/>
  <c r="X5262" i="1"/>
  <c r="X3914" i="1"/>
  <c r="X3963" i="1"/>
  <c r="X5124" i="1"/>
  <c r="X1898" i="1"/>
  <c r="X943" i="1"/>
  <c r="X3442" i="1"/>
  <c r="X4342" i="1"/>
  <c r="X3496" i="1"/>
  <c r="X4258" i="1"/>
  <c r="X3402" i="1"/>
  <c r="X4852" i="1"/>
  <c r="X5007" i="1"/>
  <c r="X4136" i="1"/>
  <c r="X2647" i="1"/>
  <c r="X5260" i="1"/>
  <c r="X1988" i="1"/>
  <c r="X4518" i="1"/>
  <c r="X4322" i="1"/>
  <c r="X5105" i="1"/>
  <c r="X4282" i="1"/>
  <c r="X3340" i="1"/>
  <c r="X5642" i="1"/>
  <c r="X5643" i="1"/>
  <c r="X4372" i="1"/>
  <c r="X2873" i="1"/>
  <c r="X3174" i="1"/>
  <c r="X1878" i="1"/>
  <c r="X3163" i="1"/>
  <c r="X5644" i="1"/>
  <c r="X5645" i="1"/>
  <c r="X4972" i="1"/>
  <c r="X5646" i="1"/>
  <c r="X1595" i="1"/>
  <c r="X5647" i="1"/>
  <c r="X3073" i="1"/>
  <c r="X4489" i="1"/>
  <c r="X5057" i="1"/>
  <c r="X4435" i="1"/>
  <c r="X4292" i="1"/>
  <c r="X5648" i="1"/>
  <c r="X2124" i="1"/>
  <c r="X3560" i="1"/>
  <c r="X5164" i="1"/>
  <c r="X3744" i="1"/>
  <c r="X2805" i="1"/>
  <c r="X3703" i="1"/>
  <c r="X2806" i="1"/>
  <c r="X3712" i="1"/>
  <c r="X4925" i="1"/>
  <c r="X5161" i="1"/>
  <c r="X5142" i="1"/>
  <c r="X4600" i="1"/>
  <c r="X3450" i="1"/>
  <c r="X3662" i="1"/>
  <c r="X5165" i="1"/>
  <c r="X2479" i="1"/>
  <c r="X3100" i="1"/>
  <c r="X1338" i="1"/>
  <c r="X5649" i="1"/>
  <c r="X4615" i="1"/>
  <c r="X1866" i="1"/>
  <c r="X3413" i="1"/>
  <c r="X2439" i="1"/>
  <c r="X5179" i="1"/>
  <c r="X4089" i="1"/>
  <c r="X3006" i="1"/>
  <c r="X3937" i="1"/>
  <c r="X3420" i="1"/>
  <c r="X5221" i="1"/>
  <c r="X4745" i="1"/>
  <c r="X3155" i="1"/>
  <c r="X505" i="1"/>
  <c r="X4116" i="1"/>
  <c r="X5650" i="1"/>
  <c r="X4635" i="1"/>
  <c r="X1972" i="1"/>
  <c r="X4797" i="1"/>
  <c r="X2310" i="1"/>
  <c r="X149" i="1"/>
  <c r="X4822" i="1"/>
  <c r="X3912" i="1"/>
  <c r="X3480" i="1"/>
  <c r="X4269" i="1"/>
  <c r="X2192" i="1"/>
  <c r="X4267" i="1"/>
  <c r="X1583" i="1"/>
  <c r="X1877" i="1"/>
  <c r="X5059" i="1"/>
  <c r="X2333" i="1"/>
  <c r="X4333" i="1"/>
  <c r="X4881" i="1"/>
  <c r="X2614" i="1"/>
  <c r="X1461" i="1"/>
  <c r="X5651" i="1"/>
  <c r="X1867" i="1"/>
  <c r="X4737" i="1"/>
  <c r="X1580" i="1"/>
  <c r="X4816" i="1"/>
  <c r="X2969" i="1"/>
  <c r="X5652" i="1"/>
  <c r="X5086" i="1"/>
  <c r="X1868" i="1"/>
  <c r="X5135" i="1"/>
  <c r="X2193" i="1"/>
  <c r="X4653" i="1"/>
  <c r="X2421" i="1"/>
  <c r="X5065" i="1"/>
  <c r="X4742" i="1"/>
  <c r="X3642" i="1"/>
  <c r="X2194" i="1"/>
  <c r="X3209" i="1"/>
  <c r="X1354" i="1"/>
  <c r="X658" i="1"/>
  <c r="X3418" i="1"/>
  <c r="X4620" i="1"/>
  <c r="X5653" i="1"/>
  <c r="X3547" i="1"/>
  <c r="X5085" i="1"/>
  <c r="X2398" i="1"/>
  <c r="X4449" i="1"/>
  <c r="X4051" i="1"/>
  <c r="X5654" i="1"/>
  <c r="X1676" i="1"/>
  <c r="X5102" i="1"/>
  <c r="X3322" i="1"/>
  <c r="X2425" i="1"/>
  <c r="X1569" i="1"/>
  <c r="X4864" i="1"/>
  <c r="X1317" i="1"/>
  <c r="X4669" i="1"/>
  <c r="X4512" i="1"/>
  <c r="X4979" i="1"/>
  <c r="X2381" i="1"/>
  <c r="X1488" i="1"/>
  <c r="X3351" i="1"/>
  <c r="X4920" i="1"/>
  <c r="X2056" i="1"/>
  <c r="X3341" i="1"/>
  <c r="X3694" i="1"/>
  <c r="X3031" i="1"/>
  <c r="X1869" i="1"/>
  <c r="X5064" i="1"/>
  <c r="X5210" i="1"/>
  <c r="X3108" i="1"/>
  <c r="X5280" i="1"/>
  <c r="X3540" i="1"/>
  <c r="X2648" i="1"/>
  <c r="X2269" i="1"/>
  <c r="X1707" i="1"/>
  <c r="X2147" i="1"/>
  <c r="X2898" i="1"/>
  <c r="X4748" i="1"/>
  <c r="X1762" i="1"/>
  <c r="X3946" i="1"/>
  <c r="X1870" i="1"/>
  <c r="X1912" i="1"/>
  <c r="X5655" i="1"/>
  <c r="X2807" i="1"/>
  <c r="X1502" i="1"/>
  <c r="X4931" i="1"/>
  <c r="X4960" i="1"/>
  <c r="X5656" i="1"/>
  <c r="X5098" i="1"/>
  <c r="X2970" i="1"/>
  <c r="X3267" i="1"/>
  <c r="X4658" i="1"/>
  <c r="X2435" i="1"/>
  <c r="X4743" i="1"/>
  <c r="X5657" i="1"/>
  <c r="X3494" i="1"/>
  <c r="X1456" i="1"/>
  <c r="X4246" i="1"/>
  <c r="X1084" i="1"/>
  <c r="X4883" i="1"/>
  <c r="X5194" i="1"/>
  <c r="X2892" i="1"/>
  <c r="X4227" i="1"/>
  <c r="X3806" i="1"/>
  <c r="X3880" i="1"/>
  <c r="X2522" i="1"/>
  <c r="X2688" i="1"/>
  <c r="X4147" i="1"/>
  <c r="X3807" i="1"/>
  <c r="X1769" i="1"/>
  <c r="X2298" i="1"/>
  <c r="X4762" i="1"/>
  <c r="X2330" i="1"/>
  <c r="X3053" i="1"/>
  <c r="X3861" i="1"/>
  <c r="X2730" i="1"/>
  <c r="X4356" i="1"/>
  <c r="X4965" i="1"/>
  <c r="X4176" i="1"/>
  <c r="X2468" i="1"/>
  <c r="X455" i="1"/>
  <c r="X4460" i="1"/>
  <c r="X4739" i="1"/>
  <c r="X2008" i="1"/>
  <c r="X4596" i="1"/>
  <c r="X1780" i="1"/>
  <c r="X1947" i="1"/>
  <c r="X3287" i="1"/>
  <c r="X4847" i="1"/>
  <c r="X3895" i="1"/>
  <c r="X1708" i="1"/>
  <c r="X1896" i="1"/>
  <c r="X3867" i="1"/>
  <c r="X5658" i="1"/>
  <c r="X2971" i="1"/>
  <c r="X3579" i="1"/>
  <c r="X3248" i="1"/>
  <c r="X3093" i="1"/>
  <c r="X3811" i="1"/>
  <c r="X1871" i="1"/>
  <c r="X1665" i="1"/>
  <c r="X3860" i="1"/>
  <c r="X2832" i="1"/>
  <c r="X3984" i="1"/>
  <c r="X5032" i="1"/>
  <c r="X3058" i="1"/>
  <c r="X5232" i="1"/>
  <c r="X4616" i="1"/>
  <c r="X4741" i="1"/>
  <c r="X5659" i="1"/>
  <c r="X4106" i="1"/>
  <c r="X3843" i="1"/>
  <c r="X1781" i="1"/>
  <c r="X5235" i="1"/>
  <c r="X3239" i="1"/>
  <c r="X2947" i="1"/>
  <c r="X1352" i="1"/>
  <c r="X1573" i="1"/>
  <c r="X1459" i="1"/>
  <c r="X2023" i="1"/>
  <c r="X2524" i="1"/>
  <c r="X1933" i="1"/>
  <c r="X2149" i="1"/>
  <c r="X4568" i="1"/>
  <c r="X4421" i="1"/>
  <c r="X368" i="1"/>
  <c r="X4455" i="1"/>
  <c r="X4066" i="1"/>
  <c r="X5254" i="1"/>
  <c r="X4214" i="1"/>
  <c r="X5252" i="1"/>
  <c r="X3512" i="1"/>
  <c r="X4831" i="1"/>
  <c r="X4537" i="1"/>
  <c r="X5011" i="1"/>
  <c r="X3156" i="1"/>
  <c r="X4205" i="1"/>
  <c r="X2047" i="1"/>
  <c r="X4712" i="1"/>
  <c r="X3645" i="1"/>
  <c r="X5190" i="1"/>
  <c r="X2581" i="1"/>
  <c r="X4115" i="1"/>
  <c r="X4289" i="1"/>
  <c r="X4492" i="1"/>
  <c r="X2136" i="1"/>
  <c r="X4514" i="1"/>
  <c r="X4648" i="1"/>
  <c r="X3574" i="1"/>
  <c r="X2835" i="1"/>
  <c r="X4363" i="1"/>
  <c r="X5660" i="1"/>
  <c r="X4853" i="1"/>
  <c r="X2972" i="1"/>
  <c r="X1550" i="1"/>
  <c r="X3319" i="1"/>
  <c r="X5661" i="1"/>
  <c r="X944" i="1"/>
  <c r="X828" i="1"/>
  <c r="X1121" i="1"/>
  <c r="X4899" i="1"/>
  <c r="X5151" i="1"/>
  <c r="X4935" i="1"/>
  <c r="X4582" i="1"/>
  <c r="X4464" i="1"/>
  <c r="X1820" i="1"/>
  <c r="X4112" i="1"/>
  <c r="X3970" i="1"/>
  <c r="X3950" i="1"/>
  <c r="X5197" i="1"/>
  <c r="X3086" i="1"/>
  <c r="X1271" i="1"/>
  <c r="X4683" i="1"/>
  <c r="X1178" i="1"/>
  <c r="X4419" i="1"/>
  <c r="X1378" i="1"/>
  <c r="X4438" i="1"/>
  <c r="X5051" i="1"/>
  <c r="X3954" i="1"/>
  <c r="X1827" i="1"/>
  <c r="X2258" i="1"/>
  <c r="X5662" i="1"/>
  <c r="X301" i="1"/>
  <c r="X5663" i="1"/>
  <c r="X3377" i="1"/>
  <c r="X3680" i="1"/>
  <c r="X3515" i="1"/>
  <c r="X5103" i="1"/>
  <c r="X3781" i="1"/>
  <c r="X2473" i="1"/>
  <c r="X3098" i="1"/>
  <c r="X4062" i="1"/>
  <c r="X4544" i="1"/>
  <c r="X4877" i="1"/>
  <c r="X4976" i="1"/>
  <c r="X4918" i="1"/>
  <c r="X3164" i="1"/>
  <c r="X1420" i="1"/>
  <c r="X1097" i="1"/>
  <c r="X2783" i="1"/>
  <c r="X2488" i="1"/>
  <c r="X4364" i="1"/>
  <c r="X3858" i="1"/>
  <c r="X4714" i="1"/>
  <c r="X4206" i="1"/>
  <c r="X2195" i="1"/>
  <c r="X2973" i="1"/>
  <c r="X3541" i="1"/>
  <c r="X2364" i="1"/>
  <c r="X3681" i="1"/>
  <c r="X4382" i="1"/>
  <c r="X3057" i="1"/>
  <c r="X1872" i="1"/>
  <c r="X789" i="1"/>
  <c r="X2515" i="1"/>
  <c r="X1763" i="1"/>
  <c r="X2731" i="1"/>
  <c r="X4320" i="1"/>
  <c r="X2939" i="1"/>
  <c r="X3342" i="1"/>
  <c r="X2754" i="1"/>
  <c r="X839" i="1"/>
  <c r="X1631" i="1"/>
  <c r="X5664" i="1"/>
  <c r="X5665" i="1"/>
  <c r="X3985" i="1"/>
  <c r="X3986" i="1"/>
  <c r="X1576" i="1"/>
  <c r="X3363" i="1"/>
  <c r="X3320" i="1"/>
  <c r="X3987" i="1"/>
  <c r="X5002" i="1"/>
  <c r="X4446" i="1"/>
  <c r="X4534" i="1"/>
  <c r="X3738" i="1"/>
  <c r="X2690" i="1"/>
  <c r="X2593" i="1"/>
  <c r="X2048" i="1"/>
  <c r="X3223" i="1"/>
  <c r="X1283" i="1"/>
  <c r="X1237" i="1"/>
  <c r="X2321" i="1"/>
  <c r="X3552" i="1"/>
  <c r="X1370" i="1"/>
  <c r="X5023" i="1"/>
  <c r="X3696" i="1"/>
  <c r="X3460" i="1"/>
  <c r="X5119" i="1"/>
  <c r="X2974" i="1"/>
  <c r="X1666" i="1"/>
  <c r="X3748" i="1"/>
  <c r="X1032" i="1"/>
  <c r="X127" i="1"/>
  <c r="X3047" i="1"/>
  <c r="X3610" i="1"/>
  <c r="X1598" i="1"/>
  <c r="X1176" i="1"/>
  <c r="X3007" i="1"/>
  <c r="X551" i="1"/>
  <c r="X1590" i="1"/>
  <c r="X975" i="1"/>
  <c r="X4101" i="1"/>
  <c r="X1680" i="1"/>
  <c r="X2975" i="1"/>
  <c r="X2095" i="1"/>
  <c r="X378" i="1"/>
  <c r="X2976" i="1"/>
  <c r="X2536" i="1"/>
  <c r="X644" i="1"/>
  <c r="X773" i="1"/>
  <c r="X2982" i="1"/>
  <c r="X565" i="1"/>
  <c r="X2196" i="1"/>
  <c r="X2050" i="1"/>
  <c r="X1321" i="1"/>
  <c r="X4701" i="1"/>
  <c r="X3343" i="1"/>
  <c r="X88" i="1"/>
  <c r="X563" i="1"/>
  <c r="X3890" i="1"/>
  <c r="X484" i="1"/>
  <c r="X1783" i="1"/>
  <c r="X481" i="1"/>
  <c r="X3759" i="1"/>
  <c r="X4922" i="1"/>
  <c r="X3798" i="1"/>
  <c r="X4835" i="1"/>
  <c r="X4059" i="1"/>
  <c r="X4750" i="1"/>
  <c r="X775" i="1"/>
  <c r="X4962" i="1"/>
  <c r="X5158" i="1"/>
  <c r="X4075" i="1"/>
  <c r="X2153" i="1"/>
  <c r="X3029" i="1"/>
  <c r="X2996" i="1"/>
  <c r="X2588" i="1"/>
  <c r="X1153" i="1"/>
  <c r="X3498" i="1"/>
  <c r="X3899" i="1"/>
  <c r="X4183" i="1"/>
  <c r="X2725" i="1"/>
  <c r="X3035" i="1"/>
  <c r="X5008" i="1"/>
  <c r="X3220" i="1"/>
  <c r="X3056" i="1"/>
  <c r="X2108" i="1"/>
  <c r="X461" i="1"/>
  <c r="X3602" i="1"/>
  <c r="X3436" i="1"/>
  <c r="X791" i="1"/>
  <c r="X4673" i="1"/>
  <c r="X902" i="1"/>
  <c r="X373" i="1"/>
  <c r="X1551" i="1"/>
  <c r="X3453" i="1"/>
  <c r="X4098" i="1"/>
  <c r="X737" i="1"/>
  <c r="X205" i="1"/>
  <c r="X2089" i="1"/>
  <c r="X523" i="1"/>
  <c r="X1915" i="1"/>
  <c r="X653" i="1"/>
  <c r="X540" i="1"/>
  <c r="X2272" i="1"/>
  <c r="X1552" i="1"/>
  <c r="X968" i="1"/>
  <c r="X2808" i="1"/>
  <c r="X1671" i="1"/>
  <c r="X738" i="1"/>
  <c r="X794" i="1"/>
  <c r="X2276" i="1"/>
  <c r="X1182" i="1"/>
  <c r="X4360" i="1"/>
  <c r="X3973" i="1"/>
  <c r="X441" i="1"/>
  <c r="X57" i="1"/>
  <c r="X3742" i="1"/>
  <c r="X4699" i="1"/>
  <c r="X1300" i="1"/>
  <c r="X4170" i="1"/>
  <c r="X1056" i="1"/>
  <c r="X642" i="1"/>
  <c r="X438" i="1"/>
  <c r="X102" i="1"/>
  <c r="X1324" i="1"/>
  <c r="X550" i="1"/>
  <c r="X4485" i="1"/>
  <c r="X1758" i="1"/>
  <c r="X589" i="1"/>
  <c r="X2007" i="1"/>
  <c r="X1037" i="1"/>
  <c r="X29" i="1"/>
  <c r="X1925" i="1"/>
  <c r="X4317" i="1"/>
  <c r="X2024" i="1"/>
  <c r="X4044" i="1"/>
  <c r="X2206" i="1"/>
  <c r="X1286" i="1"/>
  <c r="X755" i="1"/>
  <c r="X2691" i="1"/>
  <c r="X81" i="1"/>
  <c r="X3259" i="1"/>
  <c r="X1724" i="1"/>
  <c r="X590" i="1"/>
  <c r="X978" i="1"/>
  <c r="X2629" i="1"/>
  <c r="X155" i="1"/>
  <c r="X739" i="1"/>
  <c r="X591" i="1"/>
  <c r="X4471" i="1"/>
  <c r="X5666" i="1"/>
  <c r="X930" i="1"/>
  <c r="X963" i="1"/>
  <c r="X5667" i="1"/>
  <c r="X836" i="1"/>
  <c r="X3437" i="1"/>
  <c r="X457" i="1"/>
  <c r="X989" i="1"/>
  <c r="X2216" i="1"/>
  <c r="X3853" i="1"/>
  <c r="X506" i="1"/>
  <c r="X2442" i="1"/>
  <c r="X1553" i="1"/>
  <c r="X511" i="1"/>
  <c r="X1775" i="1"/>
  <c r="X2424" i="1"/>
  <c r="X4238" i="1"/>
  <c r="X3778" i="1"/>
  <c r="X3509" i="1"/>
  <c r="X4747" i="1"/>
  <c r="X4911" i="1"/>
  <c r="X2309" i="1"/>
  <c r="X482" i="1"/>
  <c r="X1792" i="1"/>
  <c r="X970" i="1"/>
  <c r="X2717" i="1"/>
  <c r="X2283" i="1"/>
  <c r="X1049" i="1"/>
  <c r="X1994" i="1"/>
  <c r="X60" i="1"/>
  <c r="X4207" i="1"/>
  <c r="X246" i="1"/>
  <c r="X740" i="1"/>
  <c r="X1112" i="1"/>
  <c r="X2516" i="1"/>
  <c r="X4208" i="1"/>
  <c r="X1014" i="1"/>
  <c r="X2659" i="1"/>
  <c r="X1034" i="1"/>
  <c r="X1379" i="1"/>
  <c r="X1348" i="1"/>
  <c r="X3929" i="1"/>
  <c r="X5031" i="1"/>
  <c r="X901" i="1"/>
  <c r="X4530" i="1"/>
  <c r="X2815" i="1"/>
  <c r="X50" i="1"/>
  <c r="X171" i="1"/>
  <c r="X3371" i="1"/>
  <c r="X478" i="1"/>
  <c r="X3184" i="1"/>
  <c r="X3157" i="1"/>
  <c r="X2544" i="1"/>
  <c r="X346" i="1"/>
  <c r="X757" i="1"/>
  <c r="X3988" i="1"/>
  <c r="X2059" i="1"/>
  <c r="X2232" i="1"/>
  <c r="X2458" i="1"/>
  <c r="X2695" i="1"/>
  <c r="X1360" i="1"/>
  <c r="X3754" i="1"/>
  <c r="X1522" i="1"/>
  <c r="X1238" i="1"/>
  <c r="X1059" i="1"/>
  <c r="X306" i="1"/>
  <c r="X1949" i="1"/>
  <c r="X3061" i="1"/>
  <c r="X2735" i="1"/>
  <c r="X3219" i="1"/>
  <c r="X94" i="1"/>
  <c r="X1929" i="1"/>
  <c r="X2084" i="1"/>
  <c r="X790" i="1"/>
  <c r="X688" i="1"/>
  <c r="X3000" i="1"/>
  <c r="X3713" i="1"/>
  <c r="X741" i="1"/>
  <c r="X3221" i="1"/>
  <c r="X1057" i="1"/>
  <c r="X3270" i="1"/>
  <c r="X680" i="1"/>
  <c r="X93" i="1"/>
  <c r="X3633" i="1"/>
  <c r="X422" i="1"/>
  <c r="X442" i="1"/>
  <c r="X1305" i="1"/>
  <c r="X2907" i="1"/>
  <c r="X5170" i="1"/>
  <c r="X3225" i="1"/>
  <c r="X1744" i="1"/>
  <c r="X2003" i="1"/>
  <c r="X1592" i="1"/>
  <c r="X1742" i="1"/>
  <c r="X4584" i="1"/>
  <c r="X423" i="1"/>
  <c r="X3692" i="1"/>
  <c r="X3632" i="1"/>
  <c r="X4778" i="1"/>
  <c r="X160" i="1"/>
  <c r="X4278" i="1"/>
  <c r="X5668" i="1"/>
  <c r="X2343" i="1"/>
  <c r="X2714" i="1"/>
  <c r="X491" i="1"/>
  <c r="X1403" i="1"/>
  <c r="X1619" i="1"/>
  <c r="X3106" i="1"/>
  <c r="X4029" i="1"/>
  <c r="X472" i="1"/>
  <c r="X5109" i="1"/>
  <c r="X356" i="1"/>
  <c r="X2711" i="1"/>
  <c r="X1045" i="1"/>
  <c r="X4607" i="1"/>
  <c r="X131" i="1"/>
  <c r="X4871" i="1"/>
  <c r="X2589" i="1"/>
  <c r="X272" i="1"/>
  <c r="X363" i="1"/>
  <c r="X312" i="1"/>
  <c r="X1554" i="1"/>
  <c r="X2988" i="1"/>
  <c r="X2378" i="1"/>
  <c r="X5669" i="1"/>
  <c r="X1770" i="1"/>
  <c r="X1673" i="1"/>
  <c r="X692" i="1"/>
  <c r="X40" i="1"/>
  <c r="X2251" i="1"/>
  <c r="X850" i="1"/>
  <c r="X354" i="1"/>
  <c r="X1000" i="1"/>
  <c r="X2840" i="1"/>
  <c r="X128" i="1"/>
  <c r="X4604" i="1"/>
  <c r="X1404" i="1"/>
  <c r="X3158" i="1"/>
  <c r="X4082" i="1"/>
  <c r="X1712" i="1"/>
  <c r="X339" i="1"/>
  <c r="X2698" i="1"/>
  <c r="X1626" i="1"/>
  <c r="X1926" i="1"/>
  <c r="X3105" i="1"/>
  <c r="X1198" i="1"/>
  <c r="X3370" i="1"/>
  <c r="X1318" i="1"/>
  <c r="X426" i="1"/>
  <c r="X161" i="1"/>
  <c r="X4730" i="1"/>
  <c r="X1465" i="1"/>
  <c r="X1632" i="1"/>
  <c r="X2560" i="1"/>
  <c r="X1315" i="1"/>
  <c r="X1447" i="1"/>
  <c r="X4902" i="1"/>
  <c r="X62" i="1"/>
  <c r="X281" i="1"/>
  <c r="X2429" i="1"/>
  <c r="X3101" i="1"/>
  <c r="X682" i="1"/>
  <c r="X3821" i="1"/>
  <c r="X3675" i="1"/>
  <c r="X1809" i="1"/>
  <c r="X1438" i="1"/>
  <c r="X4083" i="1"/>
  <c r="X4079" i="1"/>
  <c r="X4487" i="1"/>
  <c r="X1914" i="1"/>
  <c r="X3375" i="1"/>
  <c r="X3131" i="1"/>
  <c r="X4362" i="1"/>
  <c r="X345" i="1"/>
  <c r="X4597" i="1"/>
  <c r="X4335" i="1"/>
  <c r="X4407" i="1"/>
  <c r="X444" i="1"/>
  <c r="X894" i="1"/>
  <c r="X2402" i="1"/>
  <c r="X386" i="1"/>
  <c r="X2887" i="1"/>
  <c r="X2853" i="1"/>
  <c r="X393" i="1"/>
  <c r="X1145" i="1"/>
  <c r="X3202" i="1"/>
  <c r="X1478" i="1"/>
  <c r="X185" i="1"/>
  <c r="X3228" i="1"/>
  <c r="X2882" i="1"/>
  <c r="X459" i="1"/>
  <c r="X367" i="1"/>
  <c r="X4275" i="1"/>
  <c r="X3697" i="1"/>
  <c r="X3136" i="1"/>
  <c r="X139" i="1"/>
  <c r="X606" i="1"/>
  <c r="X1350" i="1"/>
  <c r="X4718" i="1"/>
  <c r="X2709" i="1"/>
  <c r="X1906" i="1"/>
  <c r="X2466" i="1"/>
  <c r="X1186" i="1"/>
  <c r="X86" i="1"/>
  <c r="X2809" i="1"/>
  <c r="X2719" i="1"/>
  <c r="X2667" i="1"/>
  <c r="X817" i="1"/>
  <c r="X3655" i="1"/>
  <c r="X2151" i="1"/>
  <c r="X4310" i="1"/>
  <c r="X2517" i="1"/>
  <c r="X186" i="1"/>
  <c r="X3071" i="1"/>
  <c r="X1647" i="1"/>
  <c r="X659" i="1"/>
  <c r="X4165" i="1"/>
  <c r="X253" i="1"/>
  <c r="X860" i="1"/>
  <c r="X3227" i="1"/>
  <c r="X1189" i="1"/>
  <c r="X2338" i="1"/>
  <c r="X4643" i="1"/>
  <c r="X814" i="1"/>
  <c r="X5173" i="1"/>
  <c r="X3698" i="1"/>
  <c r="X3701" i="1"/>
  <c r="X194" i="1"/>
  <c r="X3679" i="1"/>
  <c r="X376" i="1"/>
  <c r="X107" i="1"/>
  <c r="X5037" i="1"/>
  <c r="X258" i="1"/>
  <c r="X4442" i="1"/>
  <c r="X3940" i="1"/>
  <c r="X53" i="1"/>
  <c r="X3818" i="1"/>
  <c r="X124" i="1"/>
  <c r="X79" i="1"/>
  <c r="X697" i="1"/>
  <c r="X245" i="1"/>
  <c r="X35" i="1"/>
  <c r="X31" i="1"/>
  <c r="X327" i="1"/>
  <c r="X52" i="1"/>
  <c r="X74" i="1"/>
  <c r="X621" i="1"/>
  <c r="X2810" i="1"/>
  <c r="X4670" i="1"/>
  <c r="X2365" i="1"/>
  <c r="X1657" i="1"/>
  <c r="X2366" i="1"/>
  <c r="X2649" i="1"/>
  <c r="X2811" i="1"/>
  <c r="X5670" i="1"/>
  <c r="X1709" i="1"/>
  <c r="X5671" i="1"/>
  <c r="X4072" i="1"/>
  <c r="X4499" i="1"/>
  <c r="X3739" i="1"/>
  <c r="X1892" i="1"/>
  <c r="X2025" i="1"/>
  <c r="X5672" i="1"/>
  <c r="X5166" i="1"/>
  <c r="X1011" i="1"/>
  <c r="X3740" i="1"/>
  <c r="X3159" i="1"/>
  <c r="X4500" i="1"/>
  <c r="X2650" i="1"/>
  <c r="X3344" i="1"/>
  <c r="X3444" i="1"/>
  <c r="X3705" i="1"/>
  <c r="X1570" i="1"/>
  <c r="X4159" i="1"/>
  <c r="X4531" i="1"/>
  <c r="X2615" i="1"/>
  <c r="X1555" i="1"/>
  <c r="X4027" i="1"/>
  <c r="X2197" i="1"/>
  <c r="X95" i="1"/>
  <c r="X2367" i="1"/>
  <c r="X3868" i="1"/>
  <c r="X1405" i="1"/>
  <c r="X4209" i="1"/>
  <c r="X3191" i="1"/>
  <c r="X23" i="1"/>
  <c r="X3558" i="1"/>
  <c r="X182" i="1"/>
  <c r="X4872" i="1"/>
  <c r="X4016" i="1"/>
  <c r="X2546" i="1"/>
  <c r="X4331" i="1"/>
  <c r="X3920" i="1"/>
  <c r="X1711" i="1"/>
  <c r="X4080" i="1"/>
  <c r="X613" i="1"/>
  <c r="X5188" i="1"/>
  <c r="X1062" i="1"/>
  <c r="X1816" i="1"/>
  <c r="X398" i="1"/>
  <c r="X2263" i="1"/>
  <c r="X233" i="1"/>
  <c r="X742" i="1"/>
  <c r="X2233" i="1"/>
  <c r="X1129" i="1"/>
  <c r="X1415" i="1"/>
  <c r="X5063" i="1"/>
  <c r="X4588" i="1"/>
  <c r="X4980" i="1"/>
  <c r="X132" i="1"/>
  <c r="X743" i="1"/>
  <c r="X2155" i="1"/>
  <c r="X4328" i="1"/>
  <c r="X872" i="1"/>
  <c r="X2130" i="1"/>
  <c r="X4625" i="1"/>
  <c r="X260" i="1"/>
  <c r="X1413" i="1"/>
  <c r="X1736" i="1"/>
  <c r="X1114" i="1"/>
  <c r="X2839" i="1"/>
  <c r="X677" i="1"/>
  <c r="X869" i="1"/>
  <c r="X1734" i="1"/>
  <c r="X2026" i="1"/>
  <c r="X1675" i="1"/>
  <c r="X840" i="1"/>
  <c r="X2706" i="1"/>
  <c r="X452" i="1"/>
  <c r="X133" i="1"/>
  <c r="X592" i="1"/>
  <c r="X359" i="1"/>
  <c r="X4470" i="1"/>
  <c r="X2865" i="1"/>
  <c r="X1406" i="1"/>
  <c r="X5673" i="1"/>
  <c r="X2027" i="1"/>
  <c r="X103" i="1"/>
  <c r="X424" i="1"/>
  <c r="X4447" i="1"/>
  <c r="X1293" i="1"/>
  <c r="X498" i="1"/>
  <c r="X5674" i="1"/>
  <c r="X317" i="1"/>
  <c r="X833" i="1"/>
  <c r="X744" i="1"/>
  <c r="X164" i="1"/>
  <c r="X745" i="1"/>
  <c r="X914" i="1"/>
  <c r="X2617" i="1"/>
  <c r="X383" i="1"/>
  <c r="X24" i="1"/>
  <c r="X746" i="1"/>
  <c r="X5675" i="1"/>
  <c r="X561" i="1"/>
  <c r="X248" i="1"/>
  <c r="X615" i="1"/>
  <c r="X169" i="1"/>
  <c r="X3910" i="1"/>
  <c r="X593" i="1"/>
  <c r="X5676" i="1"/>
  <c r="X1239" i="1"/>
  <c r="X91" i="1"/>
  <c r="X3395" i="1"/>
  <c r="X2518" i="1"/>
  <c r="X1586" i="1"/>
  <c r="X5677" i="1"/>
  <c r="X3160" i="1"/>
  <c r="X1242" i="1"/>
  <c r="X768" i="1"/>
  <c r="X3506" i="1"/>
  <c r="X304" i="1"/>
  <c r="X5024" i="1"/>
  <c r="X4981" i="1"/>
  <c r="X2598" i="1"/>
  <c r="X4575" i="1"/>
  <c r="X747" i="1"/>
  <c r="X27" i="1"/>
  <c r="X4287" i="1"/>
  <c r="X2918" i="1"/>
  <c r="X2651" i="1"/>
  <c r="X2537" i="1"/>
  <c r="X1982" i="1"/>
  <c r="X2652" i="1"/>
  <c r="X1098" i="1"/>
  <c r="X1339" i="1"/>
  <c r="X787" i="1"/>
  <c r="X1356" i="1"/>
  <c r="X3014" i="1"/>
  <c r="X875" i="1"/>
  <c r="X1481" i="1"/>
  <c r="X1448" i="1"/>
  <c r="X4845" i="1"/>
  <c r="X4337" i="1"/>
  <c r="X3273" i="1"/>
  <c r="X4627" i="1"/>
  <c r="X1051" i="1"/>
  <c r="X4677" i="1"/>
  <c r="X784" i="1"/>
  <c r="X4117" i="1"/>
  <c r="X1467" i="1"/>
  <c r="X4628" i="1"/>
  <c r="X4757" i="1"/>
  <c r="X1909" i="1"/>
  <c r="X1337" i="1"/>
  <c r="X909" i="1"/>
  <c r="X1151" i="1"/>
  <c r="X1943" i="1"/>
  <c r="X1722" i="1"/>
  <c r="X4663" i="1"/>
  <c r="X2692" i="1"/>
  <c r="X439" i="1"/>
  <c r="X1743" i="1"/>
  <c r="X5074" i="1"/>
  <c r="X2259" i="1"/>
  <c r="X826" i="1"/>
  <c r="X2168" i="1"/>
  <c r="X1414" i="1"/>
  <c r="X3114" i="1"/>
  <c r="X4593" i="1"/>
  <c r="X126" i="1"/>
  <c r="X4523" i="1"/>
  <c r="X1572" i="1"/>
  <c r="X3747" i="1"/>
  <c r="X1067" i="1"/>
  <c r="X610" i="1"/>
  <c r="X806" i="1"/>
  <c r="X4840" i="1"/>
  <c r="X2407" i="1"/>
  <c r="X2045" i="1"/>
  <c r="X1656" i="1"/>
  <c r="X4324" i="1"/>
  <c r="X780" i="1"/>
  <c r="X4311" i="1"/>
  <c r="X4934" i="1"/>
  <c r="X1024" i="1"/>
  <c r="X1927" i="1"/>
  <c r="X693" i="1"/>
  <c r="X1651" i="1"/>
  <c r="X2239" i="1"/>
  <c r="X945" i="1"/>
  <c r="X1407" i="1"/>
  <c r="X634" i="1"/>
  <c r="X5067" i="1"/>
  <c r="X2573" i="1"/>
  <c r="X1602" i="1"/>
  <c r="X1873" i="1"/>
  <c r="X985" i="1"/>
  <c r="X3741" i="1"/>
  <c r="X3210" i="1"/>
  <c r="X2519" i="1"/>
  <c r="X1408" i="1"/>
  <c r="X1874" i="1"/>
  <c r="X2156" i="1"/>
  <c r="X542" i="1"/>
  <c r="X206" i="1"/>
  <c r="X609" i="1"/>
  <c r="X2219" i="1"/>
  <c r="X5678" i="1"/>
  <c r="X2990" i="1"/>
  <c r="X96" i="1"/>
  <c r="X1089" i="1"/>
  <c r="X5679" i="1"/>
  <c r="X3383" i="1"/>
  <c r="X2112" i="1"/>
  <c r="X3999" i="1"/>
  <c r="X974" i="1"/>
  <c r="X1556" i="1"/>
  <c r="X842" i="1"/>
  <c r="X864" i="1"/>
  <c r="X1837" i="1"/>
  <c r="X58" i="1"/>
  <c r="X2253" i="1"/>
  <c r="X922" i="1"/>
  <c r="X2075" i="1"/>
  <c r="X1050" i="1"/>
  <c r="X748" i="1"/>
  <c r="X1052" i="1"/>
  <c r="X16" i="1"/>
  <c r="X159" i="1"/>
  <c r="X594" i="1"/>
  <c r="X1362" i="1"/>
  <c r="X4646" i="1"/>
  <c r="X4130" i="1"/>
  <c r="X234" i="1"/>
  <c r="X297" i="1"/>
  <c r="X2788" i="1"/>
  <c r="X395" i="1"/>
  <c r="X2992" i="1"/>
  <c r="X2028" i="1"/>
  <c r="X2401" i="1"/>
  <c r="X2198" i="1"/>
  <c r="X5" i="1"/>
  <c r="X866" i="1"/>
  <c r="X1012" i="1"/>
  <c r="X521" i="1"/>
  <c r="X4011" i="1"/>
  <c r="X964" i="1"/>
  <c r="X2199" i="1"/>
  <c r="X3372" i="1"/>
  <c r="X595" i="1"/>
  <c r="X1079" i="1"/>
  <c r="X2417" i="1"/>
  <c r="X966" i="1"/>
  <c r="X32" i="1"/>
  <c r="X668" i="1"/>
  <c r="X543" i="1"/>
  <c r="X2029" i="1"/>
  <c r="X2890" i="1"/>
  <c r="X3542" i="1"/>
  <c r="X3636" i="1"/>
  <c r="X924" i="1"/>
  <c r="X1621" i="1"/>
  <c r="X5269" i="1"/>
  <c r="X2952" i="1"/>
  <c r="X3468" i="1"/>
  <c r="X2107" i="1"/>
  <c r="X3426" i="1"/>
  <c r="X1288" i="1"/>
  <c r="X5218" i="1"/>
  <c r="X5680" i="1"/>
  <c r="X2030" i="1"/>
  <c r="X2869" i="1"/>
  <c r="X798" i="1"/>
  <c r="X1804" i="1"/>
  <c r="X3251" i="1"/>
  <c r="X3492" i="1"/>
  <c r="X1222" i="1"/>
  <c r="X965" i="1"/>
  <c r="X1169" i="1"/>
  <c r="X3305" i="1"/>
  <c r="X1166" i="1"/>
  <c r="X4321" i="1"/>
  <c r="X976" i="1"/>
  <c r="X1500" i="1"/>
  <c r="X3637" i="1"/>
  <c r="X1173" i="1"/>
  <c r="X5157" i="1"/>
  <c r="X919" i="1"/>
  <c r="X1677" i="1"/>
  <c r="X1159" i="1"/>
  <c r="X447" i="1"/>
  <c r="X1440" i="1"/>
  <c r="X4210" i="1"/>
  <c r="X2109" i="1"/>
  <c r="X876" i="1"/>
  <c r="X1635" i="1"/>
  <c r="X4504" i="1"/>
  <c r="X1584" i="1"/>
  <c r="X2474" i="1"/>
  <c r="X1888" i="1"/>
  <c r="X5041" i="1"/>
  <c r="X779" i="1"/>
  <c r="X3915" i="1"/>
  <c r="X2929" i="1"/>
  <c r="X4023" i="1"/>
  <c r="X351" i="1"/>
  <c r="X5000" i="1"/>
  <c r="X1582" i="1"/>
  <c r="X1118" i="1"/>
  <c r="X1884" i="1"/>
  <c r="X2786" i="1"/>
  <c r="X2057" i="1"/>
  <c r="X1935" i="1"/>
  <c r="X2954" i="1"/>
  <c r="X3573" i="1"/>
  <c r="X4516" i="1"/>
  <c r="X1332" i="1"/>
  <c r="X3454" i="1"/>
  <c r="X2051" i="1"/>
  <c r="X3214" i="1"/>
  <c r="X3905" i="1"/>
  <c r="X136" i="1"/>
  <c r="X2031" i="1"/>
  <c r="X2248" i="1"/>
  <c r="X2900" i="1"/>
  <c r="X2222" i="1"/>
  <c r="X2778" i="1"/>
  <c r="X3054" i="1"/>
  <c r="X3102" i="1"/>
  <c r="X1821" i="1"/>
  <c r="X1306" i="1"/>
  <c r="X1787" i="1"/>
  <c r="X3275" i="1"/>
  <c r="X4312" i="1"/>
  <c r="X3123" i="1"/>
  <c r="X3716" i="1"/>
  <c r="X3544" i="1"/>
  <c r="X3605" i="1"/>
  <c r="X3137" i="1"/>
  <c r="X1823" i="1"/>
  <c r="X3479" i="1"/>
  <c r="X7" i="1"/>
  <c r="X2368" i="1"/>
  <c r="X4241" i="1"/>
  <c r="X1491" i="1"/>
  <c r="X144" i="1"/>
  <c r="X749" i="1"/>
  <c r="X686" i="1"/>
  <c r="X257" i="1"/>
  <c r="X1662" i="1"/>
  <c r="X2241" i="1"/>
  <c r="X5681" i="1"/>
  <c r="X5682" i="1"/>
  <c r="X2032" i="1"/>
  <c r="X120" i="1"/>
  <c r="X168" i="1"/>
  <c r="X596" i="1"/>
  <c r="X5683" i="1"/>
  <c r="X4169" i="1"/>
  <c r="X157" i="1"/>
  <c r="X861" i="1"/>
  <c r="X3177" i="1"/>
  <c r="X2115" i="1"/>
  <c r="X1710" i="1"/>
  <c r="X5150" i="1"/>
  <c r="X5684" i="1"/>
  <c r="X204" i="1"/>
  <c r="X767" i="1"/>
  <c r="X1147" i="1"/>
  <c r="X4132" i="1"/>
  <c r="X3345" i="1"/>
  <c r="X121" i="1"/>
  <c r="X111" i="1"/>
  <c r="X1099" i="1"/>
  <c r="X61" i="1"/>
  <c r="X1025" i="1"/>
  <c r="X165" i="1"/>
  <c r="X1302" i="1"/>
  <c r="X1171" i="1"/>
  <c r="X1156" i="1"/>
  <c r="X1201" i="1"/>
  <c r="X1070" i="1"/>
  <c r="X752" i="1"/>
  <c r="X1296" i="1"/>
  <c r="X3989" i="1"/>
  <c r="X145" i="1"/>
  <c r="X5685" i="1"/>
  <c r="X152" i="1"/>
  <c r="X99" i="1"/>
  <c r="X2575" i="1"/>
  <c r="X214" i="1"/>
  <c r="X207" i="1"/>
  <c r="X2081" i="1"/>
  <c r="X256" i="1"/>
  <c r="X65" i="1"/>
  <c r="X56" i="1"/>
  <c r="X1003" i="1"/>
  <c r="X1204" i="1"/>
  <c r="X547" i="1"/>
  <c r="X263" i="1"/>
  <c r="X4926" i="1"/>
  <c r="X156" i="1"/>
  <c r="X5686" i="1"/>
  <c r="X990" i="1"/>
  <c r="X633" i="1"/>
  <c r="X1191" i="1"/>
  <c r="X947" i="1"/>
  <c r="X1100" i="1"/>
  <c r="X553" i="1"/>
  <c r="X342" i="1"/>
  <c r="X193" i="1"/>
  <c r="X370" i="1"/>
  <c r="X497" i="1"/>
  <c r="X1365" i="1"/>
  <c r="X700" i="1"/>
  <c r="X499" i="1"/>
  <c r="X1557" i="1"/>
  <c r="X628" i="1"/>
  <c r="X666" i="1"/>
  <c r="X669" i="1"/>
  <c r="X365" i="1"/>
  <c r="X500" i="1"/>
  <c r="X1210" i="1"/>
  <c r="X881" i="1"/>
  <c r="X5198" i="1"/>
  <c r="X597" i="1"/>
  <c r="X3683" i="1"/>
  <c r="X291" i="1"/>
  <c r="X4211" i="1"/>
  <c r="X1471" i="1"/>
  <c r="X5687" i="1"/>
  <c r="X5688" i="1"/>
  <c r="X1041" i="1"/>
  <c r="X336" i="1"/>
  <c r="X3387" i="1"/>
  <c r="X619" i="1"/>
  <c r="X1342" i="1"/>
  <c r="X3997" i="1"/>
  <c r="X147" i="1"/>
  <c r="X977" i="1"/>
  <c r="X1807" i="1"/>
  <c r="X862" i="1"/>
  <c r="X437" i="1"/>
  <c r="X4733" i="1"/>
  <c r="X4308" i="1"/>
  <c r="X2235" i="1"/>
  <c r="X2418" i="1"/>
  <c r="X971" i="1"/>
  <c r="X1498" i="1"/>
  <c r="X4047" i="1"/>
  <c r="X285" i="1"/>
  <c r="X1985" i="1"/>
  <c r="X1026" i="1"/>
  <c r="X598" i="1"/>
  <c r="X4143" i="1"/>
  <c r="X2154" i="1"/>
  <c r="X538" i="1"/>
  <c r="X2558" i="1"/>
  <c r="X599" i="1"/>
  <c r="X377" i="1"/>
  <c r="X228" i="1"/>
  <c r="X361" i="1"/>
  <c r="X3855" i="1"/>
  <c r="X988" i="1"/>
  <c r="X1648" i="1"/>
  <c r="X4129" i="1"/>
  <c r="X1179" i="1"/>
  <c r="X1073" i="1"/>
  <c r="X2621" i="1"/>
  <c r="X1346" i="1"/>
  <c r="X997" i="1"/>
  <c r="X517" i="1"/>
  <c r="X2666" i="1"/>
  <c r="X889" i="1"/>
  <c r="X809" i="1"/>
  <c r="X3393" i="1"/>
  <c r="X105" i="1"/>
  <c r="X777" i="1"/>
  <c r="X2541" i="1"/>
  <c r="X991" i="1"/>
  <c r="X507" i="1"/>
  <c r="X566" i="1"/>
  <c r="X890" i="1"/>
  <c r="X1979" i="1"/>
  <c r="X473" i="1"/>
  <c r="X611" i="1"/>
  <c r="X804" i="1"/>
  <c r="X1132" i="1"/>
  <c r="X1470" i="1"/>
  <c r="X529" i="1"/>
  <c r="X4252" i="1"/>
  <c r="X3074" i="1"/>
  <c r="X265" i="1"/>
  <c r="X1930" i="1"/>
  <c r="X2677" i="1"/>
  <c r="X756" i="1"/>
  <c r="X4015" i="1"/>
  <c r="H14" i="8" l="1"/>
  <c r="I11" i="8" s="1"/>
  <c r="H6" i="8"/>
  <c r="H8" i="8"/>
  <c r="I7" i="8" s="1"/>
  <c r="I13" i="8" l="1"/>
  <c r="I12" i="8"/>
  <c r="I6" i="8"/>
  <c r="I5" i="8"/>
</calcChain>
</file>

<file path=xl/sharedStrings.xml><?xml version="1.0" encoding="utf-8"?>
<sst xmlns="http://schemas.openxmlformats.org/spreadsheetml/2006/main" count="220627" uniqueCount="1899">
  <si>
    <t>Φύλο</t>
  </si>
  <si>
    <t>Κωδ. Ειδικότητας</t>
  </si>
  <si>
    <t>Ειδικότητα</t>
  </si>
  <si>
    <t>Κωδ. 2ης Ειδικότητας</t>
  </si>
  <si>
    <t>2η Ειδικότητα</t>
  </si>
  <si>
    <t>Βαθμός</t>
  </si>
  <si>
    <t>Μ.Κ.</t>
  </si>
  <si>
    <t>Φεκ. Διορισμού</t>
  </si>
  <si>
    <t>Ημ/νια Διορισμού</t>
  </si>
  <si>
    <t>Περιοχή Μετάθεσης Εκπ.</t>
  </si>
  <si>
    <t>Διεύθυνση Περιοχής Μετάθεσης Εκπ.</t>
  </si>
  <si>
    <t>Περιφέρεια Περιοχής Μετάθεσης Εκπ.</t>
  </si>
  <si>
    <t>Υποχ. Ωράριο</t>
  </si>
  <si>
    <t>Αυτοδίκαιη Αποχώρηση (Μέχρι και 31/8)</t>
  </si>
  <si>
    <t>Πρόθεση Παραίτησης (μέχρι και 30/4)</t>
  </si>
  <si>
    <t>Έλαβε Μετάθεση</t>
  </si>
  <si>
    <t>Υπερ-5ετής Απόσπαση σε σχολείο εξωτερικού</t>
  </si>
  <si>
    <t>5ής Θητεία σε ΠΠΣ</t>
  </si>
  <si>
    <t>Λήξη Θητείας σε ΠΠΣ</t>
  </si>
  <si>
    <t>Ημερομηνία Πρώτης Ανάληψης Υπηρεσίας</t>
  </si>
  <si>
    <t>Είδος Σχολείου</t>
  </si>
  <si>
    <t>Τύπος Σχολείου</t>
  </si>
  <si>
    <t>Μονάδα Οργανικής/Προσωρινής Τοποθέτησης</t>
  </si>
  <si>
    <t>Ονομασία</t>
  </si>
  <si>
    <t>Περιοχή Μετάθεσης Μονάδας Οργανικής/Προσωρινής</t>
  </si>
  <si>
    <t>Διεύθυνση Περιοχής Μετάθεσης Μονάδας Οργανικής/Προσωρινής</t>
  </si>
  <si>
    <t>Περιφέρεια Περιοχής Μετάθεσης Μονάδας Οργανικής/Προσωρινής</t>
  </si>
  <si>
    <t>Σχέση Εργασίας</t>
  </si>
  <si>
    <t>Σχέση Τοποθέτησης</t>
  </si>
  <si>
    <t>Ημ/νια Γέννησης</t>
  </si>
  <si>
    <t>Βαθμίδα Εκπαιδευτικού</t>
  </si>
  <si>
    <t>Θέση Προσωπικού Φακέλου</t>
  </si>
  <si>
    <t>Θ</t>
  </si>
  <si>
    <t>ΠΕ04.02</t>
  </si>
  <si>
    <t>ΧΗΜΙΚΟΙ</t>
  </si>
  <si>
    <t>Γ΄</t>
  </si>
  <si>
    <t>10718/16-11-2016</t>
  </si>
  <si>
    <t>ΞΑΝΘΗΣ (Δ.Ε.) 2018</t>
  </si>
  <si>
    <t>ΔΙΕΥΘΥΝΣΗ Δ.Ε. ΞΑΝΘΗΣ</t>
  </si>
  <si>
    <t>ΠΕΡΙΦΕΡΕΙΑΚΗ Δ/ΝΣΗ Α/ΘΜΙΑΣ ΚΑΙ Β/ΘΜΙΑΣ ΕΚΠ/ΣΗΣ ΑΝ. ΜΑΚΕΔΟΝΙΑΣ ΚΑΙ ΘΡΑΚΗΣ</t>
  </si>
  <si>
    <t>ΟΧΙ</t>
  </si>
  <si>
    <t>Ιδιωτικά Σχολεία</t>
  </si>
  <si>
    <t>Ιδιωτικό Λύκειο</t>
  </si>
  <si>
    <t>ΙΔΙΩΤΙΚΟ ΗΜΕΡΗΣΙΟ ΛΥΚΕΙΟ ΞΑΝΘΗ - ΑΞΙΟΝ</t>
  </si>
  <si>
    <t>Ιδιωτικού Δικαίου Ορισμένου Χρόνου (Ι.Δ.Ο.Χ.)</t>
  </si>
  <si>
    <t>Τοποθέτηση σε Ιδιωτική Εκπαίδευση</t>
  </si>
  <si>
    <t>ΠΕ02</t>
  </si>
  <si>
    <t>ΦΙΛΟΛΟΓΟΙ</t>
  </si>
  <si>
    <t>Α΄</t>
  </si>
  <si>
    <t>Ιδιωτικό Γυμνάσιο</t>
  </si>
  <si>
    <t>ΙΔΙΩΤΙΚΟ ΓΥΜΝΑΣΙΟ ΞΑΝΘΗ - ΑΞΙΟΝ</t>
  </si>
  <si>
    <t>Ιδιωτικού Δικαίου Αορίστου Χρόνου (Ι.Δ.Α.Χ.)</t>
  </si>
  <si>
    <t>ΠΕ03</t>
  </si>
  <si>
    <t>ΜΑΘΗΜΑΤΙΚΟΙ</t>
  </si>
  <si>
    <t>8923/Φ17.2/20-09-2018</t>
  </si>
  <si>
    <t>Αναπληρωτής Ιδιωτικής Εκπαίδευσης (ν. 682/1977 άρ.35, παρ.4)</t>
  </si>
  <si>
    <t>Α</t>
  </si>
  <si>
    <t>13128/Φ17.2</t>
  </si>
  <si>
    <t>ΠΕ80</t>
  </si>
  <si>
    <t>ΟΙΚΟΝΟΜΙΑΣ</t>
  </si>
  <si>
    <t>8086/1/19-09-2017</t>
  </si>
  <si>
    <t>ΠΕ86</t>
  </si>
  <si>
    <t>ΠΛΗΡΟΦΟΡΙΚΗΣ</t>
  </si>
  <si>
    <t>11040/23-11-2016</t>
  </si>
  <si>
    <t>ΠΕ06</t>
  </si>
  <si>
    <t>ΑΓΓΛΙΚΗΣ ΦΙΛΟΛΟΓΙΑΣ</t>
  </si>
  <si>
    <t>5044/16-09-2008</t>
  </si>
  <si>
    <t>10062/1/6-11-2017</t>
  </si>
  <si>
    <t>ΠΕ04.01</t>
  </si>
  <si>
    <t>ΦΥΣΙΚΟΙ</t>
  </si>
  <si>
    <t>9415/Φ17.2/1-10-2018</t>
  </si>
  <si>
    <t>ΠΕ07</t>
  </si>
  <si>
    <t>ΓΕΡΜΑΝΙΚΗΣ ΦΙΛΟΛΟΓΙΑΣ</t>
  </si>
  <si>
    <t>12986/Φ17.2</t>
  </si>
  <si>
    <t>9159/Φ17.2/25-9-18</t>
  </si>
  <si>
    <t>Ιδιωτικό Δημοτικό Σχολείο</t>
  </si>
  <si>
    <t>ΑΞΙΟΝ ΙΔΙΩΤΙΚΟ ΔΗΜΟΤΙΚΟ ΣΧΟΛΕΙΟ ΞΑΝΘΗΣ</t>
  </si>
  <si>
    <t>ΞΑΝΘΗΣ (Π.Ε.) 2018</t>
  </si>
  <si>
    <t>ΔΙΕΥΘΥΝΣΗ Π.Ε. ΞΑΝΘΗΣ</t>
  </si>
  <si>
    <t>ΠΕ11</t>
  </si>
  <si>
    <t>ΦΥΣΙΚΗΣ ΑΓΩΓΗΣ</t>
  </si>
  <si>
    <t>9417/Φ17.2/01-10-2018</t>
  </si>
  <si>
    <t>ΠΕ04.04</t>
  </si>
  <si>
    <t>ΒΙΟΛΟΓΟΙ</t>
  </si>
  <si>
    <t>9416/Φ17.2/01-10-2018</t>
  </si>
  <si>
    <t>ΠΕ01</t>
  </si>
  <si>
    <t>ΘΕΟΛΟΓΟΙ</t>
  </si>
  <si>
    <t>8927/11-10-2017</t>
  </si>
  <si>
    <t>Β΄</t>
  </si>
  <si>
    <t>6228/1/11-09-2009</t>
  </si>
  <si>
    <t>ΠΕ60</t>
  </si>
  <si>
    <t>ΝΗΠΙΑΓΩΓΟΙ</t>
  </si>
  <si>
    <t>2968/03-10-2011</t>
  </si>
  <si>
    <t>ΔΡΑΜΑΣ (Π.Ε.) 2018</t>
  </si>
  <si>
    <t>ΔΙΕΥΘΥΝΣΗ Π.Ε. ΔΡΑΜΑΣ</t>
  </si>
  <si>
    <t>Ιδιωτικό Νηπιαγωγείο</t>
  </si>
  <si>
    <t>ΙΔΙΩΤΙΚΟ ΝΗΠΙΑΓΩΓΕΙΟ ΔΡΑΜΑ - Ε. ΤΡΟΠΙΟΥ ΚΑΙ ΣΙΑ Ο.Ε. "ΠΑΙΔΙΚΟΡΑΜΑ"</t>
  </si>
  <si>
    <t>3123/2-11-2017</t>
  </si>
  <si>
    <t>ΙΔΙΩΤΙΚΟ ΝΗΠΙΑΓΩΓΕΙΟ ΔΡΑΜΑ - ΚΥΡΓΕΛΑΝΗ ΚΥΡΙΑΚΟΥΛΑΣ</t>
  </si>
  <si>
    <t>4300/19-11-2018</t>
  </si>
  <si>
    <t>7/23-10-2012</t>
  </si>
  <si>
    <t>Α΄ ΕΒΡΟΥ (Π.Ε.) 2018</t>
  </si>
  <si>
    <t>ΔΙΕΥΘΥΝΣΗ Π.Ε. ΕΒΡΟΥ</t>
  </si>
  <si>
    <t>ΙΔΙΩΤΙΚΟ ΝΗΠΙΑΓΩΓΕΙΟ ΑΛΕΞΑΝΔΡΟΥΠΟΛΗΣ - ΙΔΙΩΤΙΚΟ ΝΗΠΙΑΓΩΓΕΙΟ ΑΓΓΕΛΙΔΟΥ</t>
  </si>
  <si>
    <t>ΙΔΙΩΤΙΚΟ ΣΥΣΤΕΓΑΖΟΜΕΝΟ ΝΗΠΙΑΓΩΓΕΙΟ - Β. ΚΑΡΑΒΙΔΑ - Κ. ΠΡΑΣΣΑΣ</t>
  </si>
  <si>
    <t>ΙΔΙΩΤΙΚΟ ΝΗΠΙΑΓΩΓΕΙΟ ΑΛΕΞΑΝΔΡΟΥΠΟΛΗΣ - ΙΔΙΩΤΙΚΟ ΝΗΠΙΑΓΩΓΕΙΟ ΝΙΑΡΧΕΙΟΥ ΕΚΚΛΗΣΙΑΣΤΙΚΟΥ ΙΔΡΥΜΑΤΟΣ ΒΡΕΦΩΝ ΚΑΙ ΝΗΠΙΩΝ Ο ΑΓΙΟΣ ΣΤΥΛΙΑΝΟΣ</t>
  </si>
  <si>
    <t>ΙΔΙΩΤΙΚΟ ΝΗΠΙΑΓΩΓΕΙΟ ΑΛΕΞΑΝΔΡΟΥΠΟΛΗΣ - ΙΔΙΩΤΙΚΟ ΝΗΠΙΑΓΩΓΕΙΟ ΛΕΓΓΕΤΣΗ ΚΥΡΙΑΚΗ</t>
  </si>
  <si>
    <t>Α΄ ΚΑΒΑΛΑΣ (Π.Ε.) 2018</t>
  </si>
  <si>
    <t>ΔΙΕΥΘΥΝΣΗ Π.Ε. ΚΑΒΑΛΑΣ</t>
  </si>
  <si>
    <t>ΙΔΙΩΤΙΚΟ ΝΗΠΙΑΓΩΓΕΙΟ ΚΑΒΑΛΑ -  ΜΠΛΕ ΜΠΑΛΟΝΙ</t>
  </si>
  <si>
    <t>ΙΔΙΩΤΙΚΟ ΝΗΠΙΑΓΩΓΕΙΟ ΚΩΝΣΤΑΝΤΙΝΑΣ ΘΩΜΑ</t>
  </si>
  <si>
    <t>ΠΕ70</t>
  </si>
  <si>
    <t>ΔΑΣΚΑΛΟΙ</t>
  </si>
  <si>
    <t>6954/1</t>
  </si>
  <si>
    <t>ΩΒΣΦ4653ΠΣ-4ΦΟ</t>
  </si>
  <si>
    <t>Φ.17.2/4344</t>
  </si>
  <si>
    <t>ΙΔΙΩΤΙΚΟ ΝΗΠΙΑΓΩΓΕΙΟ ΞΑΝΘΗ - ΚΑΚΑΔΙΑΡΗ ΕΥΑΓΓΕΛΙΑ</t>
  </si>
  <si>
    <t>ΤΕ16</t>
  </si>
  <si>
    <t>ΜΟΥΣΙΚΗΣ ΜΗ ΑΝΩΤΑΤΩΝ ΙΔΡΥΜΑΤΩΝ</t>
  </si>
  <si>
    <t>ΩΞ1Ε4653ΠΣ-ΩΦ7</t>
  </si>
  <si>
    <t>7018/1</t>
  </si>
  <si>
    <t>8665-4</t>
  </si>
  <si>
    <t>ΙΔΙΩΤΙΚΟ ΝΗΠΙΑΓΩΓΕΙΟ ΞΑΝΘΗ - ΕΛΙΜΚΟ ΕΚΠΑΙΔΕΥΤΙΚΗ - ΠΟΛΙΤΙΣΤΙΚΗ-ΑΘΛΗΤΙΚΗ-ΤΟΥΡΙΣΤΙΚΗ ΑΝΩΝΥΜΗ ΕΤΑΙΡΕΙΑ</t>
  </si>
  <si>
    <t>1053/25-09-2018</t>
  </si>
  <si>
    <t>7581/12-10-2018</t>
  </si>
  <si>
    <t>6954/2</t>
  </si>
  <si>
    <t>ΡΟΔΟΠΗΣ (Π.Ε.) 2018</t>
  </si>
  <si>
    <t>ΔΙΕΥΘΥΝΣΗ Π.Ε. ΡΟΔΟΠΗΣ</t>
  </si>
  <si>
    <t>ΙΔΙΩΤΙΚΟ ΣΥΣΤΕΓΑΖΟΜΕΝΟ ΝΗΠΙΑΓΩΓΕΙΟ - Η ΛΙΛΙΠΟΥΠΟΛΗ</t>
  </si>
  <si>
    <t>Α΄ ΑΘΗΝΑΣ (Δ.Ε.) 2018</t>
  </si>
  <si>
    <t>ΔΙΕΥΘΥΝΣΗ Δ.Ε. Α΄ ΑΘΗΝΑΣ</t>
  </si>
  <si>
    <t>ΠΕΡΙΦΕΡΕΙΑΚΗ Δ/ΝΣΗ Α/ΘΜΙΑΣ ΚΑΙ Β/ΘΜΙΑΣ ΕΚΠ/ΣΗΣ ΑΤΤΙΚΗΣ</t>
  </si>
  <si>
    <t>ΙΔΙΩΤΙΚΟ ΓΕΝΙΚΟ ΛΥΚΕΙΟ "Η ΘΕΟΜΗΤΩΡ"</t>
  </si>
  <si>
    <t>ΛΕΟΝΤΕΙΟ ΛΥΚΕΙΟ ΠΑΤΗΣΙΩΝ ΙΔΙΩΤΙΚΟ ΗΜΕΡΗΣΙΟ ΛΥΚΕΙΟ</t>
  </si>
  <si>
    <t>ΕΚΠΑΙΔΕΥΤΗΡΙΑ ''Η ΘΕΟΜΗΤΩΡ"                                                                                                                                      ΙΔΙΩΤΙΚΟ ΓΥΜΝΑΣΙΟ</t>
  </si>
  <si>
    <t>ΙΔΙΩΤΙΚΟ ΓΥΜΝΑΣΙΟ ΑΝΩ ΠΑΤΗΣΙΑ - ΛΕΟΝΤΕΙΟ ΛΥΚΕΙΟ ΠΑΤΗΣΙΩΝ</t>
  </si>
  <si>
    <t>ΠΕ91.01</t>
  </si>
  <si>
    <t>ΘΕΑΤΡΙΚΩΝ ΣΠΟΥΔΩΝ</t>
  </si>
  <si>
    <t>Εκπαιδευτήρια «ΣΥΓΧΡΟΝΗ ΠΑΙΔΕΙΑ» ΙΔΙΩΤΙΚΟ ΓΥΜΝΑΣΙΟ Αφοι Βαθειά - Κυραϊλίδης Χ. Ο.Ε.</t>
  </si>
  <si>
    <t>ΠΕ05</t>
  </si>
  <si>
    <t>ΓΑΛΛΙΚΗΣ ΦΙΛΟΛΟΓΙΑΣ</t>
  </si>
  <si>
    <t>ΠΕ79.01</t>
  </si>
  <si>
    <t>ΜΟΥΣΙΚΗΣ ΕΠΙΣΤΗΜΗΣ</t>
  </si>
  <si>
    <t>ΠΕ08</t>
  </si>
  <si>
    <t>ΚΑΛΛΙΤΕΧΝΙΚΩΝ</t>
  </si>
  <si>
    <t>ΠΕ78</t>
  </si>
  <si>
    <t>ΚΟΙΝΩΝΙΚΩΝ ΕΠΙΣΤΗΜΩΝ</t>
  </si>
  <si>
    <t>ΙΔΙΩΤΙΚΟ ΗΜΕΡΗΣΙΟ ΓΕΛ ΣΥΓΧΡΟΝΗ ΠΑΙΔΕΙΑ</t>
  </si>
  <si>
    <t>δυ</t>
  </si>
  <si>
    <t>ΠΕ81</t>
  </si>
  <si>
    <t>ΠΟΛ.ΜΗΧΑΝΙΚΩΝ-ΑΡΧΙΤΕΚΤΟΝΩΝ</t>
  </si>
  <si>
    <t>ΠΕ84</t>
  </si>
  <si>
    <t>ΗΛΕΚΤΡΟΝΙΚΩΝ</t>
  </si>
  <si>
    <t>ΙΔΙΩΤΙΚΟ ΔΗΜΟΤΙΚΟ ΣΧΟΛΕΙΟ «Η ΘΕΟΜΗΤΩΡ»</t>
  </si>
  <si>
    <t>Α΄ ΑΘΗΝΑΣ (Π.Ε.) 2018</t>
  </si>
  <si>
    <t>ΔΙΕΥΘΥΝΣΗ Π.Ε. Α΄ ΑΘΗΝΑΣ</t>
  </si>
  <si>
    <t>613/16-01-2018</t>
  </si>
  <si>
    <t>Α΄ ΑΝΑΤ. ΑΤΤΙΚΗΣ (Δ.Ε.) 2018</t>
  </si>
  <si>
    <t>ΔΙΕΥΘΥΝΣΗ Δ.Ε. ΑΝΑΤΟΛΙΚΗΣ ΑΤΤΙΚΗΣ</t>
  </si>
  <si>
    <t>ST. LAWRENCE COLLEGE (ΓΥΜΝΑΣΙΟ)</t>
  </si>
  <si>
    <t>ΙΔΙΩΤΙΚΟ ΗΜΕΡΗΣΙΟ ΛΥΚΕΙΟ ΑΝΑΤΟΛΙΚΗ ΑΤΤΙΚΗ - ΝΕΑ ΓΕΝΙΑ ΖΗΡΙΔΗ</t>
  </si>
  <si>
    <t>ΕΚΠΑΙΔΕΥΤΗΡΙΑ ΚΑΙΣΑΡΗ ΑΕ                   ΕΤΟΣ ΙΔΡΥΣΗΣ 1960  ΙΔΙΩΤΙΚΟ ΣΧΟΛΕΙΟ ΔΕΥΤΕΡΟΒΑΘΜΙΑΣ ΕΚΠΑΙΔΕΥΣΗΣ   ΓΥΜΝΑΣΙΟ</t>
  </si>
  <si>
    <t>Β΄ ΑΝΑΤ. ΑΤΤΙΚΗΣ (Δ.Ε.) 2018</t>
  </si>
  <si>
    <t>Α΄ΑΡΣΑΚΕΙΟ-ΤΟΣΙΤΣΕΙΟ ΓΥΜΝΑΣΙΟ ΕΚΑΛΗΣ</t>
  </si>
  <si>
    <t>Ιδιωτικό-Ισότιμο Λύκειο-Φιλεκπαιδευτική Εταιρεία, Αρσάκεια-Τοσίτσεια Σχολεία, Α΄ Αρσάκειο-Τοσίτσειο Γενικό Λύκειο Εκάλης</t>
  </si>
  <si>
    <t>Ιδιωτικού Δικαίου Αορίστου Χρόνου (Ι.Δ.Α.Χ.) με Οργανική σε Ισότιμο προς τα Δημόσια Σχολείο</t>
  </si>
  <si>
    <t>ΙΔΙΩΤΙΚΟ ΓΥΜΝΑΣΙΟ - ΠΡΟΤΥΠΟ ΕΚΠΑΙΔΕΥΤΗΡΙΟ ΑΘΗΝΩΝ</t>
  </si>
  <si>
    <t>ΕΚΠΑΙΔΕΥΤΗΡΙΑ ΚΑΙΣΑΡΗ ΑΕ    ΕΤΟΣ ΙΔΡΥΣΗΣ 1960   ΙΔΙΩΤΙΚΟ ΣΧΟΛΕΙΟ ΔΕΥΤΕΡΟΒΑΘΜΙΑΣ ΕΚΠΑΙΔΕΥΣΗΣ    ΗΜΕΡΗΣΙΟ ΓΕΝΙΚΟ ΛΥΚΕΙΟ</t>
  </si>
  <si>
    <t>ΙΔΙΩΤΙΚΟ ΗΜΕΡΗΣΙΟ ΓΥΜΝΑΣΙΟ ΕΚΠΑΙΔΕΥΤΗΡΙΑ ΓΕΙΤΟΝΑ ΑΕΜΕ</t>
  </si>
  <si>
    <t>Β' ΑΡΣΑΚΕΙΟ-ΤΟΣΙΤΣΕΙΟ ΓΥΜΝΑΣΙΟ ΕΚΑΛΗΣ</t>
  </si>
  <si>
    <t>ΙΔΙΩΤΙΚΟ - ΙΣΟΤΙΜΟ ΛΥΚΕΙΟ - Β΄ ΑΡΣΑΚΕΙΟ ΤΟΣΙΤΣΕΙΟ ΓΕΝΙΚΟ ΛΥΚΕΙΟ ΕΚΑΛΗΣ</t>
  </si>
  <si>
    <t>ΙΔΙΩΤΙΚΟ ΗΜΕΡΗΣΙΟ ΓΕΝΙΚΟ ΛΥΚΕΙΟ ΕΚΠΑΙΔΕΥΤΗΡΙΑ ΚΩΣΤΕΑ-ΓΕΙΤΟΝΑ / CGS</t>
  </si>
  <si>
    <t>ΙΔΙΩΤΙΚΟ ΛΥΚΕΙΟ - ΕΚΠΑΙΔΕΥΤΗΡΙΑ Ν. ΖΑΓΟΡΙΑΝΑΚΟΥ</t>
  </si>
  <si>
    <t>ΙΔΙΩΤΙΚΟ ΓΕΝΙΚΟ ΛΥΚΕΙO - ΕΚΠΑΙΔΕΥΤΙΚΗ ΑΝΑΓΕΝΝΗΣΗ - ΕΚΠΑΙΔΕΥΤΗΡΙΑ ΑΝΤΩΝΟΠΟΥΛΟΥ</t>
  </si>
  <si>
    <t>ΙΔΙΩΤΙΚΟ ΗΜΕΡΗΣΙΟ ΓΕΝΙΚΟ ΛΥΚΕΙΟ ΕΚΠΑΙΔΕΥΤΗΡΙΑ ΓΕΙΤΟΝΑ ΑΕΜΕ</t>
  </si>
  <si>
    <t>ΙΔΙΩΤΙΚΟ   ΗΜΕΡΗΣΙΟ  ΓΕΝΙΚΟ  ΛΥΚΕΙΟ  ΕΚΠΑΙΔΕΥΤΗΡΙΑ  " Ο ΠΛΑΤΩΝ "</t>
  </si>
  <si>
    <t>ΙΔΙΩΤΙΚΟ ΗΜΕΡΗΣΙΟ ΓΕΝΙΚΟ ΛΥΚΕΙΟ ΩΘΗΣΗ</t>
  </si>
  <si>
    <t>ST. LAWRENCE COLLEGE (ΛΥΚΕΙΟ)</t>
  </si>
  <si>
    <t>ΙΔΙΩΤΙΚΟ ΗΜΕΡΗΣΙΟ ΓΥΜΝΑΣΙΟ ΩΘΗΣΗ</t>
  </si>
  <si>
    <t>ΙΔΙΩΤΙΚΟ ΓΥΜΝΑΣΙΟ ΕΚΠΑΙΔΕΥΤΗΡΙΑ ΚΩΣΤΕΑ - ΓΕΙΤΟΝΑ</t>
  </si>
  <si>
    <t>ΠΡΟΤΥΠΟ ΕΚΠΑΙΔΕΥΤΗΡΙΟ ΑΘΗΝΩΝ</t>
  </si>
  <si>
    <t>ΙΔΙΩΤΙΚΟ ΓΥΜΝΑΣΙΟ ΑΦΙΔΝΕΣ ΑΤΤΙΚΗΣ - ΕΚΠΑΙΔΕΥΤΙΚΗ ΑΝΑΓΕΝΝΗΣΗ</t>
  </si>
  <si>
    <t>16255/ 29/9/2017</t>
  </si>
  <si>
    <t>18654/29-10-2018</t>
  </si>
  <si>
    <t>ΙΔΙΩΤΙΚΟ ΓΥΜΝΑΣΙΟ - ΕΚΠΑΙΔΕΥΤΗΡΙΑ Ν. ΖΑΓΟΡΙΑΝΑΚΟΥ</t>
  </si>
  <si>
    <t>ΙΔΙΩΤΙΚΟ ΗΜΕΡΗΣΙΟ ΓΥΜΝΑΣΙΟ ΕΚΠΑΙΔΕΥΤΗΡΙΑ "Ο ΠΛΑΤΩΝ"</t>
  </si>
  <si>
    <t>69ΣΝ4653ΠΣ-Ψ48</t>
  </si>
  <si>
    <t>Ιδιωτικό Γυμνάσιο - ΜΟΝΤΕΣΣΟΡΙΑΝΑ ΣΧΟΛΕΙΑ</t>
  </si>
  <si>
    <t>ΠΕ88.04</t>
  </si>
  <si>
    <t>ΔΙΑΤΡΟΦΗΣ</t>
  </si>
  <si>
    <t>Φ.Ι.Α.6/30223/5-12-2017</t>
  </si>
  <si>
    <t>ΙΔΙΩΤΙΚΟ ΓΥΜΝΑΣΙΟ ΑΝΑΤΟΛΙΚΗ ΑΤΤΙΚΗ - ΝΕΑ ΓΕΝΙΑ ΖΗΡΙΔΗ</t>
  </si>
  <si>
    <t>Φ.Ι.Α.6/30223/4-12-2017</t>
  </si>
  <si>
    <t>5397/1 18/1/2011</t>
  </si>
  <si>
    <t>1ο ΙΔΙΩΤΙΚΟ ΔΗΜΟΤΙΚΟ ΕΚΠΑΙΔΕΥΤΙΚΗ ΑΝΑΓΕΝΝΗΣΗ</t>
  </si>
  <si>
    <t>Β΄ ΑΝΑΤ. ΑΤΤΙΚΗΣ (Π.Ε.) 2018</t>
  </si>
  <si>
    <t>ΔΙΕΥΘΥΝΣΗ Π.Ε. ΑΝΑΤΟΛΙΚΗΣ ΑΤΤΙΚΗΣ</t>
  </si>
  <si>
    <t>Φ.Ι.Α.2/8975/1-4-2014</t>
  </si>
  <si>
    <t>ΙΔΙΩΤΙΚΟ ΓΥΜΝΑΣΙΟ - ΣΧΟΛΗ ΚΑΛΟΓΕΡΟΠΟΥΛΟΥ ΕΠΕ</t>
  </si>
  <si>
    <t>ΒΙΡ89-ΠΙΔ</t>
  </si>
  <si>
    <t>16963/ 05/10/2018</t>
  </si>
  <si>
    <t>ΩΡΔΩ4653ΠΣ-ΟΥ0/66Σ54653ΠΣ-ΜΗΝ</t>
  </si>
  <si>
    <t>19759/29-11-2018</t>
  </si>
  <si>
    <t>7897/7-12-1999</t>
  </si>
  <si>
    <t>ΠΕ40</t>
  </si>
  <si>
    <t>ΙΣΠΑΝΙΚΗΣ ΦΙΛΟΛΟΓΙΑΣ</t>
  </si>
  <si>
    <t>20232/ 14-11-2018</t>
  </si>
  <si>
    <t>Φ.Ι.Α.5/25574/27-12/2016</t>
  </si>
  <si>
    <t>16298/02-10-2018</t>
  </si>
  <si>
    <t>5774 / 5-10-2007</t>
  </si>
  <si>
    <t>Φ.60.2/9503/20-2-2003</t>
  </si>
  <si>
    <t>18656/29-10-2018</t>
  </si>
  <si>
    <t>ΒΛΓΠ9-ΝΚ3</t>
  </si>
  <si>
    <t>744Υ9-529</t>
  </si>
  <si>
    <t>Φ.Ι.Α.1/736/15-1-2013</t>
  </si>
  <si>
    <t>17838/18-10-2018</t>
  </si>
  <si>
    <t>12868 / 3/10/2018</t>
  </si>
  <si>
    <t>Ιδιωτικό Γυμνάσιο ΚΟΡΑΗΣ ΕΚΠΑΙΔΕΥΤΙΚΗ</t>
  </si>
  <si>
    <t>ΦΕΚ 215/τ. Γ΄/ 18/9/2002</t>
  </si>
  <si>
    <t>4962/11-11-2009</t>
  </si>
  <si>
    <t>16940 / 10/10/2018</t>
  </si>
  <si>
    <t>16299/ 02/10/2018</t>
  </si>
  <si>
    <t>16688/ 02/10/2018</t>
  </si>
  <si>
    <t>Β΄ ΑΘΗΝΑΣ (Δ.Ε.) 2018</t>
  </si>
  <si>
    <t>ΔΙΕΥΘΥΝΣΗ Δ.Ε. Β΄ ΑΘΗΝΑΣ</t>
  </si>
  <si>
    <t>ΙΔΙΩΤΙΚΟ ΓΥΜΝΑΣΙΟ - ΙΟΝΙΟΣ ΣΧΟΛΗ</t>
  </si>
  <si>
    <t>ΙΔΙΩΤΙΚΟ ΗΜΕΡΗΣΙΟ ΛΥΚΕΙΟ - ΓΕΡΜΑΝΙΚΗ ΣΧΟΛΗ ΑΘΗΝΩΝ (3511/28.07.1956)</t>
  </si>
  <si>
    <t>ΙΔΙΩΤΙΚΟ ΗΜΕΡΗΣΙΟ ΓΕΝΙΚΟ ΛΥΚΕΙΟ ΕΛΛΗΝΟΓΑΛΛΙΚΗ ΣΧΟΛΗ ΑΓΙΑΣ ΠΑΡΑΣΚΕΥΗΣ "ΕΥΓΕΝΙΟΣ ΝΤΕΛΑΚΡΟΥΑ"</t>
  </si>
  <si>
    <t>ΙΔΙΩΤΙΚΟ ΗΜΕΡΗΣΙΟ ΓΥΜΝΑΣΙΟ ΕΛΛΗΝΟΓΑΛΛΙΚΗ ΣΧΟΛΗ ΑΓΙΑΣ ΠΑΡΑΣΚΕΥΗΣ "ΕΥΓΕΝΙΟΣ ΝΤΕΛΑΚΡΟΥΑ"</t>
  </si>
  <si>
    <t>ΙΔΙΩΤΙΚΟ-ΙΣΟΤΙΜΟ ΛΥΚΕΙΟ-ΚΟΛΛΕΓΙΟ ΑΘΗΝΩΝ</t>
  </si>
  <si>
    <t>ΑΜΕΡΙΚΑΝΙΚΟ ΚΟΛΛΕΓΙΟ ΕΛΛΑΔΟΣ-ΙΔΙΩΤΙΚΟ ΓΥΜΝΑΣΙΟ</t>
  </si>
  <si>
    <t>ΙΔΙΩΤΙΚΟ ΗΜΕΡΗΣΙΟ ΓΕΝΙΚΟ ΛΥΚΕΙΟ ΜΕΛΙΣΣΙΩΝ "Η ΕΛΛΗΝΙΚΗ ΠΑΙΔΕΙΑ"</t>
  </si>
  <si>
    <t>ΓΥΜΝΑΣΙΟ ΚΟΛΛΕΓΙΟΥ ΨΥΧΙΚΟΥ</t>
  </si>
  <si>
    <t>ΙΔΙΩΤΙΚΟ-ΙΣΟΤΙΜΟ ΓΥΜΝΑΣΙΟ-ΚΟΛΛΕΓΙΟ ΑΘΗΝΩΝΑναγνωρισμένο με το Ν.3776/1929, ισότιμο με τα Δημόσια Σχολεία</t>
  </si>
  <si>
    <t>ΙΔΙΩΤΙΚΟ ΓΥΜΝΑΣΙΟ ΗΡΑΚΛΕΙΟ ΑΤΤΙΚΗΣ -  ΣΥΓΧΡΟΝΑ ΕΚΠΑΙΔΕΥΤΗΡΙΑ ΜΑΝΕΣΗ</t>
  </si>
  <si>
    <t>ΙΔΙΩΤΙΚΟ - ΙΣΟΤΙΜΟ ΛΥΚΕΙΟ - Β' ΑΡΣΑΚΕΙΟ ΓΕΝΙΚΟ ΛΥΚΕΙΟ ΨΥΧΙΚΟΥ</t>
  </si>
  <si>
    <t>ΙΔΙΩΤΙΚΟ ΗΜΕΡΗΣΙΟ ΓΥΜΝΑΣΙΟ ΑΜΑΡΟΥΣΙΟΥ "Η ΕΛΛΗΝΙΚΗ ΠΑΙΔΕΙΑ"</t>
  </si>
  <si>
    <t>ΙΔΙΩΤΙΚΟ ΓΕΝΙΚΟ ΛΥΚΕΙΟ ΚΟΛΛΕΓΙΟΥ ΨΥΧΙΚΟΥ</t>
  </si>
  <si>
    <t>ΙΔΙΩΤΙΚΟ ΓΥΜΝΑΣΙΟ "ΣΧΟΛΗ ΜΩΡΑΪΤΗ"</t>
  </si>
  <si>
    <t>ΙΔΙΩΤΙΚΟ-ΙΣΟΤΙΜΟ ΛΥΚΕΙΟ - ΑΡΣΑΚΕΙΟ ΓΕΝΙΚΟ ΛΥΚΕΙΟ ΨΥΧΙΚΟΥ</t>
  </si>
  <si>
    <t>ΙΔΙΩΤΙΚΟ - ΙΣΟΤΙΜΟ ΛΥΚΕΙΟ - Α΄ ΑΡΣΑΚΕΙΟ ΓΕΝΙΚΟ ΛΥΚΕΙΟ ΨΥΧΙΚΟΥ</t>
  </si>
  <si>
    <t>ΙΔΙΩΤΙΚΟ ΗΜΕΡΗΣΙΟ ΓΕΝΙΚΟ ΛΥΚΕΙΟ ΕΛΛΗΝΟΓΑΛΛΙΚΗΣ ΣΧΟΛΗΣ "ΑΓΙΟΣ ΙΩΣΗΦ"</t>
  </si>
  <si>
    <t>ΑΜΕΡΙΚΑΝΙΚΟ ΚΟΛΛΕΓΙΟ ΕΛΛΑΔΟΣ - ΙΔΙΩΤΙΚΟ ΗΜΕΡΗΣΙΟ ΓΕΝΙΚΟ ΛΥΚΕΙΟ Αναγνωρισμένο ως ισότιμο προς τα ελληνικά δημόσια σχολεία (Ν. 4327/1963, ΦΕΚ Α' 157/27-9-63)</t>
  </si>
  <si>
    <t>ΕΛΛΗΝΟΓΑΛΛΙΚΗ ΣΧΟΛΗ ΟΥΡΣΟΥΛΙΝΩΝ - ΙΔΙΩΤΙΚΟ ΓΥΜΝΑΣΙΟ</t>
  </si>
  <si>
    <t>ΙΔΙΩΤΙΚΟ ΓΥΜΝΑΣΙΟ - ΕΚΠΑΙΔΕΥΤΗΡΙΑ ΑΘΗΝΑΙΚΗ ΑΓΩΓΗ &amp; ΠΑΙΔΕΙΑ</t>
  </si>
  <si>
    <t>ΙΔΙΩΤΙΚΟ ΛΥΚΕΙΟ "ΣΧΟΛΗ ΜΩΡΑΪΤΗ"</t>
  </si>
  <si>
    <t>ΙΔΙΩΤΙΚΟ ΓΕΝΙΚΟ ΛΥΚΕΙΟ ΙΟΝΙΟΣ ΣΧΟΛΗ</t>
  </si>
  <si>
    <t>ΙΔΙΩΤΙΚΟ ΓΥΜΝΑΣΙΟ ΗΡΑΚΛΕΙΟΥ - Η ΕΛΛΗΝΙΚΗ ΠΑΙΔΕΙΑ</t>
  </si>
  <si>
    <t>Α΄ ΑΡΣΑΚΕΙΟ ΓΥΜΝΑΣΙΟ ΨΥΧΙΚΟΥ</t>
  </si>
  <si>
    <t>Β΄ΑΡΣΑΚΕΙΟ ΓΥΜΝΑΣΙΟ ΨΥΧΙΚΟΥ</t>
  </si>
  <si>
    <t>ΨΔΧΟ4653ΠΣ-ΦΟΡ</t>
  </si>
  <si>
    <t>ΠΕ04.05</t>
  </si>
  <si>
    <t>ΓΕΩΛΟΓΟΙ</t>
  </si>
  <si>
    <t>Φ.I.A.4/1721/25-1-2016</t>
  </si>
  <si>
    <t>«ΙΟΝΙΟΣ ΣΧΟΛΗ» Α.Ε.Ε. - ΙΔΙΩΤΙΚΟ ΓΥΜΝΑΣΙΟ</t>
  </si>
  <si>
    <t>ΙΔΙΩΤΙΚΟ ΓΕΝΙΚΟ ΛΥΚΕΙΟ ΣΥΓΧΡΟΝΑ ΕΚΠΑΙΔΕΥΤΗΡΙΑ ΜΑΝΕΣΗ ΑΡ. ΑΔ. ΙΔΡΥΣΕΩΣ Φ1/183/Δ5/4431/14-5-2001</t>
  </si>
  <si>
    <t>ΙΔΙΩΤΙΚΟ ΓΥΜΝΑΣΙΟ ΕΛΛΗΝΟΓΑΛΛΙΚΗΣ ΣΧΟΛΗΣ "ΑΓΙΟΣ ΙΩΣΗΦ"</t>
  </si>
  <si>
    <t>ΠΕ83</t>
  </si>
  <si>
    <t>ΗΛΕΚΤΡΟΛΟΓΩΝ</t>
  </si>
  <si>
    <t>ΠΕ82</t>
  </si>
  <si>
    <t>ΜΗΧΑΝΟΛΟΓΩΝ</t>
  </si>
  <si>
    <t>ΙΔΙΩΤΙΚΟ ΓΕΝΙΚΟ ΛΥΚΕΙΟ ΕΚΠΑΙΔΕΥΤΗΡΙΑ ΚΑΝΤΑ</t>
  </si>
  <si>
    <t>ΙΔ. ΛΥΚΕΙΟ - ΔΙΕΘΝΕΣ ΚΕΝΤΡΟ ΣΠΟΥΔΩΝ ΣΧΟΛΗΣ ΜΩΡΑΪΤΗ</t>
  </si>
  <si>
    <t>ΕΚΠΑΙΔΕΥΤΗΡΙΑ ΚΑΝΤΑ - ΙΔΙΩΤΙΚΟ ΓΥΜΝΑΣΙΟ</t>
  </si>
  <si>
    <t>ΙΔΙΩΤΙΚΟ ΛΥΚΕΙΟ ΕΚΠΑΙΔΕΥΤΗΡΙΑ ΑΘΗΝΑΙΚΗ ΑΓΩΓΗ &amp; ΠΑΙΔΕΙΑ</t>
  </si>
  <si>
    <t>ΙΔΙΩΤΙΚΟ ΓΕΝΙΚΟ ΛΥΚΕΙΟ ΗΡΑΚΛΕΙΟY ΑΤΤΙΚΗΣ - "Η ΕΛΛΗΝΙΚΗ ΠΑΙΔΕΙΑ"</t>
  </si>
  <si>
    <t>Ιδιωτικό Γυμνάσιο - ΓΥΜΝΑΣΙΟ ΙΕΡΟΥ ΝΑΟΥ ΜΕΤΑΜΟΡΦΩΣΕΩΣ ΒΡΙΛΗΣΣΙΩΝ</t>
  </si>
  <si>
    <t>ΙΔΙΩΤΙΚΟ ΔΗΜΟΤΙΚΟ ΜΑΡΟΥΣΙ ΑΤΤΙΚΗΣ - ΔΗΜΟΤΙΚΟ ΕΛΛΗΝΟΓΑΛΛΙΚΗΣ ΣΧΟΛΗΣ ΟΥΡΣΟΥΛΙΝΩΝ</t>
  </si>
  <si>
    <t>Β΄ ΑΘΗΝΑΣ (Π.Ε.) 2018</t>
  </si>
  <si>
    <t>ΔΙΕΥΘΥΝΣΗ Π.Ε. Β΄ ΑΘΗΝΑΣ</t>
  </si>
  <si>
    <t>ΙΔΙΩΤΙΚΟ ΔΗΜΟΤΙΚΟ ΦΙΛΟΘΕΗ - ΙΟΝΙΟΣ ΣΧΟΛΗ</t>
  </si>
  <si>
    <t>6ΡΕΛ4653ΠΣ-7Ψ4</t>
  </si>
  <si>
    <t>7ΔΤΙ4653ΠΣ-ΙΧΤ</t>
  </si>
  <si>
    <t>Β2ΙΕ9-ΥΥΕ</t>
  </si>
  <si>
    <t>ΙΔΙΩΤΙΚΟ ΔΗΜΟΤΙΚΟ "ΣΧΟΛΗ ΜΩΡΑΪΤΗ"</t>
  </si>
  <si>
    <t>ΠΕ88.05</t>
  </si>
  <si>
    <t>ΦΥΣΙΚΟΥ ΠΕΡΙΒΑΛΛΟΝΤΟΣ</t>
  </si>
  <si>
    <t>6ΝΛΖ9-ΙΓ7</t>
  </si>
  <si>
    <t>ΩΘΒΟ4653ΠΣ-Η6Θ</t>
  </si>
  <si>
    <t>ΒΛ1Γ9-41Ε</t>
  </si>
  <si>
    <t>ΩΜΤΩ4653ΠΣ-ΡΚΣ</t>
  </si>
  <si>
    <t>604Ε4653ΠΣ-ΒΔΚ</t>
  </si>
  <si>
    <t>ΠΕ04.03</t>
  </si>
  <si>
    <t>ΦΥΣΙΟΓΝΩΣΤΕΣ</t>
  </si>
  <si>
    <t>ΒΛΕΖ9-ΤΣΗ</t>
  </si>
  <si>
    <t>ΕΛΛΗΝΟΓΑΛΛΙΚΗ ΣΧΟΛΗ ΟΥΡΣΟΥΛΙΝΩΝ - ΙΔΙΩΤΙΚΟ ΓΕΝΙΚΟ ΛΥΚΕΙΟ</t>
  </si>
  <si>
    <t>ΕΚΚΡΕΜΕΙ</t>
  </si>
  <si>
    <t>18277/18-9-2018</t>
  </si>
  <si>
    <t>Ψ9Μ04653ΠΣ-5ΘΠ</t>
  </si>
  <si>
    <t>ΩΔΣΩ4653ΠΣ-ΞΛΦ</t>
  </si>
  <si>
    <t>ΠΕ34</t>
  </si>
  <si>
    <t>ΙΤΑΛΙΚΗΣ ΦΙΛΟΛΟΓΙΑΣ</t>
  </si>
  <si>
    <t>ΨΡ6Φ4653ΠΣ-ΣΘΑ</t>
  </si>
  <si>
    <t>ΩΡ66465ΦΘ3-ΣΔ2</t>
  </si>
  <si>
    <t>ΨΝΧΣ4653ΠΣ-Ξ9Υ/66ΨΞ4653ΠΣ-98Ω</t>
  </si>
  <si>
    <t>ΠΕ89.02</t>
  </si>
  <si>
    <t>ΣΧΕΔΙΑΣΜΟΥ ΚΑΙ ΠΑΡΑΓΩΓΗΣ ΠΡΟΪΟΝΤΩΝ</t>
  </si>
  <si>
    <t>ΩΕ3Π4653ΠΣ-Ψ0Ν</t>
  </si>
  <si>
    <t>ΠΕ85</t>
  </si>
  <si>
    <t>ΧΗΜΙΚΩΝ ΜΗΧΑΝΙΚΩΝ</t>
  </si>
  <si>
    <t>Γ΄ ΑΘΗΝΑΣ (Δ.Ε.) 2018</t>
  </si>
  <si>
    <t>ΔΙΕΥΘΥΝΣΗ Δ.Ε. Γ΄ ΑΘΗΝΑΣ</t>
  </si>
  <si>
    <t>ΙΔΙΩΤΙΚΟ ΓΥΜΝΑΣΙΟ "ΣΠΥΡΙΔΩΝ ΝΤΑΓΚΑΣ ΚΑΙ ΣΙΑ Ο.Ε. - ΝΕΑ ΠΑΙΔΕΙΑ"</t>
  </si>
  <si>
    <t>ΙΔΙΩΤΙΚΟ ΗΜΕΡΗΣΙΟ ΓΕΝΙΚΟ ΛΥΚΕΙΟ Ι.ΤΣΙΑΜΟΥΛΗ</t>
  </si>
  <si>
    <t>ΙΔΙΩΤΙΚΟ ΗΜΕΡΗΣΙΟ ΓΥΜΝΑΣΙΟ Σ.ΑΥΓΟΥΛΕΑ -ΛΙΝΑΡΔΑΤΟΥ ΑΕΕ</t>
  </si>
  <si>
    <t>ΙΔΙΩΤΙΚΟ ΗΜΕΡΗΣΙΟ ΓΕΝΙΚΟ ΛΥΚΕΙΟ Σ. ΑΥΓΟΥΛΕΑ - ΛΙΝΑΡΔΑΤΟΥ AEE</t>
  </si>
  <si>
    <t>Ιδιωτικό Ημερήσιο Γενικό Λύκειο Σπυρίδων Ντάγκας &amp; ΣΙΑ ΟΕ "Νέα Παιδεία"</t>
  </si>
  <si>
    <t>16653/1</t>
  </si>
  <si>
    <t>ΠΑΠΑΧΑΡΑΛΑΜΠΕΙΟ ΕΚΠΑΙΔΕΥΤΗΡΙΟ ΙΔΙΩΤΙΚΟ ΓΕΝΙΚΟ ΛΥΚΕΙΟ</t>
  </si>
  <si>
    <t>ΠΑΠΑΧΑΡΑΛΑΜΠΕΙΟ ΕΚΠΑΙΔΕΥΤΗΡΙΟ - ΙΔΙΩΤΙΚΟ ΓΥΜΝΑΣΙΟ</t>
  </si>
  <si>
    <t>ΙΔΙΩΤΙΚΟ ΗΜΕΡΗΣΙΟ ΓΕΝΙΚΟ ΛΥΚΕΙΟ ΧΑΪΔΑΡΙΟΥ - ΙΔΙΩΤΙΚΑ ΕΚΠΑΙΔΕΥΤΗΡΙΑ ΠΟΛΥΤΡΟΠΗ ΑΡΜΟΝΙΑ</t>
  </si>
  <si>
    <t>18279/22</t>
  </si>
  <si>
    <t>16653/51</t>
  </si>
  <si>
    <t>ΙΔΙΩΤΙΚΟ ΗΜΕΡΗΣΙΟ ΓΕΝΙΚΟ ΛΥΚΕΙΟ                                                                                                                                 ΕΚΠ. ΑΦΟΙ ΔΙΑΜΑΝΤΟΠΟΥΛΟΥ Ο.Ε.</t>
  </si>
  <si>
    <t>ΙΔΙΩΤΙΚΟ ΗΜΕΡΗΣΙΟ ΓΥΜΝΑΣΙΟ ΠΟΛΥΤΡΟΠΗ ΑΡΜΟΝΙΑ</t>
  </si>
  <si>
    <t>ΙΔΙΩΤΙΚΟ ΗΜΕΡΗΣΙΟ ΓΥΜΝΑΣΙΟ                                                                                                                                       ΕΚΠΑΙΔΕΥΤΗΡΙΑ ΔΙΑΜΑΝΤΟΠΟΥΛΟΥ</t>
  </si>
  <si>
    <t>22568/21-11-2018</t>
  </si>
  <si>
    <t>18279/53</t>
  </si>
  <si>
    <t>16653/48</t>
  </si>
  <si>
    <t>18279/26</t>
  </si>
  <si>
    <t>18279/21</t>
  </si>
  <si>
    <t>16653/43</t>
  </si>
  <si>
    <t>16653/44</t>
  </si>
  <si>
    <t>18279/54</t>
  </si>
  <si>
    <t>ΙΔΙΩΤΙΚΟ ΗΜΕΡΗΣΙΟ ΓΥΜΝΑΣΙΟ Ι. ΤΣΙΑΜΟΥΛΗ</t>
  </si>
  <si>
    <t>21790/2/30-11-2018</t>
  </si>
  <si>
    <t>22397/12</t>
  </si>
  <si>
    <t>18279/33</t>
  </si>
  <si>
    <t>18279/20</t>
  </si>
  <si>
    <t>20349/7</t>
  </si>
  <si>
    <t>18279/29</t>
  </si>
  <si>
    <t>22397/15</t>
  </si>
  <si>
    <t>16653/46</t>
  </si>
  <si>
    <t>16635/22</t>
  </si>
  <si>
    <t>18279/43</t>
  </si>
  <si>
    <t>16635/25</t>
  </si>
  <si>
    <t>18279/30</t>
  </si>
  <si>
    <t>18279/50</t>
  </si>
  <si>
    <t>18279/52</t>
  </si>
  <si>
    <t>22397/20</t>
  </si>
  <si>
    <t>18279/55</t>
  </si>
  <si>
    <t>16653/42</t>
  </si>
  <si>
    <t>18279/41</t>
  </si>
  <si>
    <t>16653/47</t>
  </si>
  <si>
    <t>16635/30</t>
  </si>
  <si>
    <t>Δ΄ ΑΘΗΝΑΣ (Δ.Ε.) 2018</t>
  </si>
  <si>
    <t>ΔΙΕΥΘΥΝΣΗ Δ.Ε. Δ΄ ΑΘΗΝΑΣ</t>
  </si>
  <si>
    <t>ΙΔΙΩΤΙΚΟ ΓΥΜΝΑΣΙΟ - ΕΥΡΩΠΑΙΚΟ ΠΡΟΤΥΠΟ</t>
  </si>
  <si>
    <t>55/15-11-2017</t>
  </si>
  <si>
    <t>ΙΔΙΩΤΙΚΟ ΓΥΜΝΑΣΙΟ «ΣΧΟΛΗ ΞΕΝΟΠΟΥΛΟΥ»</t>
  </si>
  <si>
    <t>ΙΔΙΩΤΙΚΟ ΗΜΕΡΗΣΙΟ ΓΥΜΝΑΣΙΟ "ΛΕΟΝΤΕΙΟ ΛΥΚΕΙΟ ΝΕΑΣ ΣΜΥΡΝΗΣ"</t>
  </si>
  <si>
    <t>ΙΔΙΩΤΙΚΟ ΛΥΚΕΙΟ ΝΕΑ ΕΚΠΑΙΔΕΥΤΗΡΙΑ Γ. ΜΑΛΛΙΑΡΑΣ Α.Ε.</t>
  </si>
  <si>
    <t>Ιδιωτικό Γυμνάσιο  ΝΕΑ ΕΚΠΑΙΔΕΥΤΗΡΙΑ Γ.ΜΑΛΛΙΑΡΑΣ Α.Ε.</t>
  </si>
  <si>
    <t>ΕΚΠΑΙΔΕΥΤΗΡΙΑ Γ. ΖΩΗ - ΙΔΙΩΤΙΚO ΔΗΜΟΤΙΚO ΣΧΟΛΕΙΟ</t>
  </si>
  <si>
    <t>Δ΄ ΑΘΗΝΑΣ (Π.Ε.) 2018</t>
  </si>
  <si>
    <t>ΔΙΕΥΘΥΝΣΗ Π.Ε. Δ΄ ΑΘΗΝΑΣ</t>
  </si>
  <si>
    <t>ΙΔΙΩΤΙΚΟ ΓΕΝΙΚΟ ΛΥΚΕΙΟ ΓΕΝΝΑΔΙΟΣ ΕΚΠΑΙΔΕΥΤΙΚΗ Κ. ΖΩΗ Α.Ε.</t>
  </si>
  <si>
    <t>ΙΔΙΩΤΙΚΟ ΓΥΜΝΑΣΙΟ - ΕΚΠΑΙΔΕΥΤΗΡΙΑ Γ.ΖΩΗ</t>
  </si>
  <si>
    <t>65/18-12-2017</t>
  </si>
  <si>
    <t>ΙΔΙΩΤΙΚΟ ΗΜΕΡΗΣΙΟ ΓΥΜΝΑΣΙΟ                                         ΚΟΡΑΗΣ ΕΚΠΑΙΔΕΥΤΙΚΗ Α. Ε.</t>
  </si>
  <si>
    <t>ΙΔΙΩΤΙΚΟ ΓΕΛ. ΕΚΠΑΙΔΕΥΤΗΡΙΑ ΓΕΩΡΓΙΟΥ ΖΩΗ</t>
  </si>
  <si>
    <t>ΙΔΙΩΤΙΚΟ ΓΕΝΙΚΟ ΛΥΚΕΙΟ "ΛΕΟΝΤΕΙΟ ΛΥΚΕΙΟ ΝΕΑΣ ΣΜΥΡΝΗΣ"</t>
  </si>
  <si>
    <t>ΙΔΙΩΤΙΚΟ ΛΥΚΕΙΟ "ΕΚΠΑΙΔΕΥΤΗΡΙΑ ΛΑΜΠΙΡΗ"</t>
  </si>
  <si>
    <t>58/27-11-2017</t>
  </si>
  <si>
    <t>ΙΔΙΩΤΙΚΟ ΗΜΕΡΗΣΙΟ ΓΕΝΙΚΟ ΛΥΚΕΙΟ           ΚΟΡΑΗΣ ΕΚΠΑΙΔΕΥΤΙΚΗ Α. Ε.</t>
  </si>
  <si>
    <t>ΙΔΙΩΤΙΚΟ ΓΕNIKO ΛΥΚΕΙΟ «ΣΧΟΛΗ ΞΕΝΟΠΟΥΛΟΥ»</t>
  </si>
  <si>
    <t>ΙΔΙΩΤΙΚΟ ΓΥΜΝΑΣΙΟ "ΕΚΠΑΙΔΕΥΤΗΡΙΑ ΛΑΜΠΙΡΗ"</t>
  </si>
  <si>
    <t>Ιδιωτικό Εσπερινό Λύκειο</t>
  </si>
  <si>
    <t>ΙΔΙΩΤΙΚΟ ΕΣΠΕΡΙΝΟ ΓΕΝΙΚΟ ΛΥΚΕΙΟ Β. ΚΟΡΟΠΟΥΛΗ</t>
  </si>
  <si>
    <t>ΙΔΙΩΤΙΚΟ ΗΜΕΡΗΣΙΟ ΛΥΚΕΙΟ ΕΚΠΑΙΔΕΥΤΗΡΙΩΝ ΓΙΑΝΝΟΠΟΥΛΟΥ Α.Ε.</t>
  </si>
  <si>
    <t>ΙΔΙΩΤΙΚΟ ΓΥΜΝΑΣΙΟ ΓΕΝΝΑΔΙΟΣ ΕΚΠΑΙΔΕΥΤΙΚΗ Κ. ΖΩΗ ΑΕ</t>
  </si>
  <si>
    <t>ΙΔΙΩΤΙΚΟ ΓΥΜΝΑΣΙΟ ΕΚΠΑΙΔΕΥΤΗΡΙΩΝ ΓΙΑΝΝΟΠΟΥΛΟΥ Α.Ε.</t>
  </si>
  <si>
    <t>63/06-12-2017</t>
  </si>
  <si>
    <t>55/11-05-2017</t>
  </si>
  <si>
    <t>2/23-01-2018</t>
  </si>
  <si>
    <t>67/20-12-2017</t>
  </si>
  <si>
    <t>ΙΔΙΩΤΙΚΟ ΔΗΜΟΤΙΚΟ ΕΚΠΑΙΔΕΥΤΗΡΙΩΝ ΓΙΑΝΝΟΠΟΥΛΟΥ Α.Ε.</t>
  </si>
  <si>
    <t>ΙΔΙΩΤΙΚΟ ΔΗΜΟΤΙΚΟ ΣΧΟΛΕΙΟ "ΓΕΝΝΑΔΙΟΣ ΕΚΠΑΙΔΕΥΤΙΚΗ Κ. ΖΩΗ Α.Ε"</t>
  </si>
  <si>
    <t>23/11-05-2017</t>
  </si>
  <si>
    <t>ΩΗ1Δ4653ΠΣ-Μ3Ν</t>
  </si>
  <si>
    <t>Α΄ ΠΕΙΡΑΙΑ (Δ.Ε.) 2018</t>
  </si>
  <si>
    <t>ΔΙΕΥΘΥΝΣΗ Δ.Ε. ΠΕΙΡΑΙΑ</t>
  </si>
  <si>
    <t>ΙΔΙΩΤΙΚΟ ΗΜΕΡΗΣΙΟ ΛΥΚΕΙΟ ΕΛΛΗΝΟΓΑΛΛΙΚΗΣ ΣΧΟΛΗΣ "JEANNE D' ARC"</t>
  </si>
  <si>
    <t>ΙΔΙΩΤΙΚΟ ΓΥΜΝΑΣΙΟ ΕΛΛΗΝΟΓΑΛΛΙΚΗΣ ΣΧΟΛΗΣ "JEANNE D'ARC"</t>
  </si>
  <si>
    <t>ΙΔΡΥΜΑ ΠΡΟΣΤΑΣΙΑΣ ΝΕΟΤΗΤΑΣ  ΑΓΙΟΣ ΠΟΛΥΚΑΡΠΟΣ - ΑΓΙΟΣ ΓΕΩΡΓΙΟΣΑρ. ¶δειας Ιδρύσεως: Φ1/63/40869/Δ-5 10-4-2012</t>
  </si>
  <si>
    <t>ΙΔΙΩΤΙΚΟ ΓΥΜΝΑΣΙΟ ΠΕΙΡΑΙΑΣ - Ο ΑΓΙΟΣ ΠΑΥΛΟΣ</t>
  </si>
  <si>
    <t>ΘΕΜΙΣΤΟΚΛΗΣ» - ΙΔΙΩΤΙΚΟ ΓΥΜΝΑΣΙΟ</t>
  </si>
  <si>
    <t>ΙΔΙΩΤΙΚΟ ΗΜΕΡΗΣΙΟ ΛΥΚΕΙΟ ΘΕΜΙΣΤΟΚΛΗΣ</t>
  </si>
  <si>
    <t>ΙΔΙΩΤΙΚΟ ΓΕΛ ΠΕΙΡΑΙΑ - Ο ΑΓΙΟΣ ΠΑΥΛΟΣ</t>
  </si>
  <si>
    <t>ΙΔΙΩΤΙΚΟ ΛΥΚΕΙΟ - ΙΔΡΥΜΑ ΠΡΟΣΤΑΣΙΑΣ ΝΕΟΤΗΤΑΣ ΑΓΙΟΣ ΓΕΩΡΓΙΟΣ - ΑΓΙΟΣ ΠΟΛΥΚΑΡΠΟΣ</t>
  </si>
  <si>
    <t>ΠΡΟΤΥΠΑ ΠΕΙΡΑΪΚΑ ΕΚΠΑΙΔΕΥΤΗΡΙΑ Μ.Ε.Π.Ε</t>
  </si>
  <si>
    <t>ΨΣ994653ΠΣ-0Η7</t>
  </si>
  <si>
    <t>ΙΔΙΩΤΙΚΟ ΓΥΜΝΑΣΙΟ ΑΙΚΑΤΕΡΙΝΗΣ ΚΑΡΑΧΑΛΙΟΥ</t>
  </si>
  <si>
    <t>ΩΒ689-ΟΞΣ</t>
  </si>
  <si>
    <t>ΙΔΙΩΤΙΚΟ ΓΥΜΝΑΣΙΟ Α.Δ. ΣΤΕΓΚΑ Ο.Ε.</t>
  </si>
  <si>
    <t>ΙΔΙΩΤΙΚΟ ΔΗΜΟΤΙΚΟ ΚΟΛΩΝΟΣ -ΑΘΗΝΑ - ΛΑΚΩΝΙΚΗ ΣΧΟΛΗ Ι.Π.Σ. ΦΡΑΓΚΗ</t>
  </si>
  <si>
    <t>ΙΔΙΩΤΙΚΟ ΔΗΜΟΤΙΚΟ - ΕΛΛΗΝΙΚΑ ΕΚΠΑΙΔΕΥΤΗΡΙΑ "ΣΥΓΧΡΟΝΗ ΠΑΙΔΕΙΑ" ΑΦΟΙ ΒΑΘΕΙΑ - ΚΥΡΑΪΛΙΔΗΣ Χ. Ο.Ε.</t>
  </si>
  <si>
    <t>ΙΔΙΩΤΙΚΟ ΔΗΜΟΤΙΚΟ ΠΑΤΗΣΙΑ - ΛΕΟΝΤΕΙΟΣ ΣΧΟΛΗ ΠΑΤΗΣΙΩΝ</t>
  </si>
  <si>
    <t>4ο ΙΔΙΩΤΙΚΟ ΔΗΜΟΤΙΚΟ ΑΘΗΝΑ - ΕΚΠΑΙΔΕΥΤΗΡΙΑ ΑΓΙΟΣ ΠΑΥΛΟΣ ΙΚΕ</t>
  </si>
  <si>
    <t>66Λ59-8ΩΒ</t>
  </si>
  <si>
    <t>ΙΔΙΩΤΙΚΟ ΔΗΜΟΤΙΚΟ - NEUE SCHULE A.E.</t>
  </si>
  <si>
    <t>ΙΔΙΩΤΙΚΟ ΔΗΜΟΤΙΚΟ ΜΑΥΡΟΜΜΑΤΗ ΜΑΡΙΑ</t>
  </si>
  <si>
    <t>92/21-11-2017</t>
  </si>
  <si>
    <t>ΙΔΙΩΤΙΚΟ ΔΗΜΟΤΙΚΟ ΑΘΗΝΑ - ΣΧΟΛΗ ΧΙΛΛ</t>
  </si>
  <si>
    <t>ΙΔΙΩΤΙΚΟ ΝΗΠΙΑΓΩΓΕΙΟ ΑΘΗΝΑ - ΕΚΠΑΙΔΕΥΤΗΡΙΑ ΑΓΙΟΣ ΠΑΥΛΟΣ ΕΠΕ</t>
  </si>
  <si>
    <t>ΜΟΝΤΕΣΣΟΡΙΑΝΗ ΣΧΟΛΗ ΑΘΗΝΩΝ ΜΑΡΙΑ ΓΟΥΔΕΛΗ ΑΕΕ - ΔΗΜΟΤΙΚΟ</t>
  </si>
  <si>
    <t>ΙΔΙΩΤΙΚΟ ΝΗΠΙΑΓΩΓΕΙΟ ΜΑΥΡΟΜΜΑΤΗ ΜΑΡΙΑ</t>
  </si>
  <si>
    <t>Γ΄ ΑΘΗΝΑΣ (Π.Ε.) 2018</t>
  </si>
  <si>
    <t>ΙΔΙΩΤΙΚΟ ΔΗΜΟΤΙΚΟ ΑΦΟΙ ΚΑΣΣΑΒΗΤΑ Ο.Ε</t>
  </si>
  <si>
    <t>ΔΙΕΥΘΥΝΣΗ Π.Ε. Γ΄ ΑΘΗΝΑΣ</t>
  </si>
  <si>
    <t>ΩΚΧ8465ΦΘ3-Ψ0Σ</t>
  </si>
  <si>
    <t>ΙΔΙΩΤΙΚΟ ΝΗΠΙΑΓΩΓΕΙΟ-ΠΑΙΔΙΚΟΣ ΣΤΑΘΜΟΣ "Η ΓΩΝΙΑ ΜΑΣ"</t>
  </si>
  <si>
    <t>ΙΔΙΩΤΙΚΟ ΝΗΠΙΑΓΩΓΕΙΟ -ΛΕΥΚΕΣ ΚΑΡΔΟΥΛΕΣ</t>
  </si>
  <si>
    <t>ΙΔΙΩΤΙΚΟ ΝΗΠΙΑΓΩΓΕΙΟ «Η ΘΕΟΜΗΤΩΡ»</t>
  </si>
  <si>
    <t>ΣΥΣΤΕΓΑΖΟΜΕΝΟ ΙΔΙΩΤΙΚΟ ΝΗΠΙΑΓΩΓΕΙΟ - ΛΕΟΝΤΕΙΟ ΛΥΚΕΙΟ ΠΑΤΗΣΙΩΝ - ΑΝΩΝΥΜΗ ΕΚΠΑΙΔΕΥΤΙΚΗ ΕΤΑΙΡΕΙΑ - ΛΕΟΝΤΕΙΟ ΛΥΚΕΙΟ ΠΑΤΗΣΙΩΝ</t>
  </si>
  <si>
    <t>ΣΥΣΤΕΓΑΖΟΜΕΝΟ ΝΗΠΙΑΓΩΓΕΙΟ - ΜΕΛΩΔΙΑ ΑΓΓΕΛΙΚΗ ΣΑΡΡΑ &amp; ΣΙΑ ΟΕ</t>
  </si>
  <si>
    <t>ΙΔΙΩΤΙΚΟ ΝΗΠΙΑΓΩΓΕΙΟ - ΣΕΛΛΗ ΧΑΡΙΚΛΕΙΑ</t>
  </si>
  <si>
    <t>ΒΙΞΞ9-ΟΧΓ</t>
  </si>
  <si>
    <t>ΙΔΙΩΤΙΚΟ ΝΗΠΙΑΓΩΓΕΙΟ ΗΛΙΟΧΑΜΟΓΕΛΟ</t>
  </si>
  <si>
    <t>Β. &amp; Π. ΚΑΝΤΕΡΕ</t>
  </si>
  <si>
    <t>ΒΙ6Ζ9-ΔΛΩ</t>
  </si>
  <si>
    <t>750Ψ4653ΠΣ-ΛΛ2</t>
  </si>
  <si>
    <t>ΙΔΙΩΤΙΚΟ ΝΗΠΙΑΓΩΓΕΙΟ - ΟΙ ΜΙΚΡΟΙ ΚΥΚΝΟΙ</t>
  </si>
  <si>
    <t>ΙΔΙΩΤΙΚΟ  ΝΗΠΙΑΓΩΓΕΙΟ - ΚΑΡΑΜΕΛΑ (2ο)</t>
  </si>
  <si>
    <t>ΑΘΗΝΑ ΚΛΑΔΗ &amp; ΣΙΑ Ο.Ε.</t>
  </si>
  <si>
    <t>ΙΔΙΩΤΙΚΟ ΣΥΣΤΕΓΑΖΟΜΕΝΟ ΝΗΠΙΑΓΩΓΕΙΟ - ΣΑΝΙΔΑ ΜΑΡΙΑ</t>
  </si>
  <si>
    <t>ΙΔΙΩΤΙΚΟ ΣΥΣΤΕΓΑΖΟΜΕΝΟ ΝΗΠΙΑΓΩΓΕΙΟ - ΜΑΓΙΑ ΚΑΙ ΜΠΙΛΛΥ</t>
  </si>
  <si>
    <t>ΙΔΙΩΤΙΚΟ ΝΗΠΙΑΓΩΓΕΙΟ - ΕΛΛΗΝΙΚΑ ΕΚΠΑΙΔΕΥΤΗΡΙΑ "ΣΥΓΧΡΟΝΗ ΠΑΙΔΕΙΑ"</t>
  </si>
  <si>
    <t>ΜΟΝΤΕΣΣΟΡΙΑΝΗ ΣΧΟΛΗ ΑΘΗΝΩΝ ΜΑΡΙΑ ΓΟΥΔΕΛΗ ΑΕΕ - ΝΗΠΙΑΓΩΓΕΙΟ</t>
  </si>
  <si>
    <t>7ΛΖ1465ΦΘ3-Γ9Ζ</t>
  </si>
  <si>
    <t>ΙΔΙΩΤΙΚΟ ΔΗΜΟΤΙΚΟ ΝΕΑ ΦΙΛΑΔΈΛΦΕΙΑ - ΣΧΟΛΗ ΧΑΤΖΗΒΕΗ</t>
  </si>
  <si>
    <t>Α΄ ΑΝΑΤ. ΑΤΤΙΚΗΣ (Π.Ε.) 2018</t>
  </si>
  <si>
    <t>ΔΗΜΟΤΙΚΟ ΚΟΛΛΕΓΙΟΥ ΑΘΗΝΩΝ - Αναγνωρισμένο με το Νόμο 3776/1929 ως ισότιμο προς τα Δημόσια Σχολεία</t>
  </si>
  <si>
    <t>Φ.15.Α8/8228/22-12-2010</t>
  </si>
  <si>
    <t>5652/21-10-2010</t>
  </si>
  <si>
    <t>Φ.Ι.Α.2/20980/24-1-2014</t>
  </si>
  <si>
    <t>Γ' ΑΡΣΑΚΕΙΟ-ΤΟΣΙΤΣΕΙΟ ΔΗΜΟΤΙΚΟ ΣΧΟΛΕΙΟ ΕΚΑΛΗΣ</t>
  </si>
  <si>
    <t>ΙΔΙΩΤΙΚΟ ΔΗΜΟΤΙΚΟ ΒΑΡΗ - ΕΚΠΑΙΔΕΥΤΗΡΙΑ ΠΑΛΛΑΔΙΟ</t>
  </si>
  <si>
    <t>Φ.15.Α8/7260/2-12-2010</t>
  </si>
  <si>
    <t>ΙΔΙΩΤΙΚΟ ΝΗΠΙΑΓΩΓΕΙΟ ΣΤΑΜΑΤΑ ΑΤΤΙΚΗΣ - Π. ΚΑΙ Ι. ΠΙΠΕΡΗ Ο.Ε.</t>
  </si>
  <si>
    <t>Α΄ ΑΡΣΑΚΕΙΟ - ΤΟΣΙΤΣΕΙΟ ΔΗΜΟΤΙΚΟ ΣΧΟΛΕΙΟ ΕΚΑΛΗΣ</t>
  </si>
  <si>
    <t>5605/20-10-2010</t>
  </si>
  <si>
    <t>5599/20-10-2010</t>
  </si>
  <si>
    <t>2ο ΙΔΙΩΤΙΚΟ ΔΗΜΟΤΙΚΟ ΣΧΟΛΕΙΟ- ΕΚΠΑΙΔΕΥΤΙΚΗ ΑΝΑΓΕΝΝΗΣΗ</t>
  </si>
  <si>
    <t>Φ.Ι.Α.6/25574/8-2-2017</t>
  </si>
  <si>
    <t>ΙΔΙΩΤΙΚΟ ΔΗΜΟΤΙΚΟ - ΕΚΠΑΙΔΕΥΤΙΚΗ ΜΟΝΟΠΡΟΣΩΠΗ ΕΠΕ - ΝΕΑ ΓΕΝΙΑ ΖΗΡΙΔΗ</t>
  </si>
  <si>
    <t>Φ.Ι.Α.4/1721/25-1-2016</t>
  </si>
  <si>
    <t>Φ.15.Α6/7058/18-11-2009</t>
  </si>
  <si>
    <t>ΙΔΙΩΤΙΚΟ ΔΗΜΟΤΙΚΟ ΠΑΛΛΗΝΗ - ΕΚΠΑΙΔΕΥΤΗΡΙΑ ΚΩΣΤΕΑ-ΓΕΙΤΟΝΑ Α.Ε.</t>
  </si>
  <si>
    <t>Φ.Ι.Α/5870/2-11-2011</t>
  </si>
  <si>
    <t>ΙΔΙΩΤΙΚΟ ΔΗΜΟΤΙΚΟ ΒΑΡΥΜΠΟΜΠΗ - ΜΟΝΤΕΣΣΟΡΙΑΝΑ ΣΧΟΛΕΙΑ</t>
  </si>
  <si>
    <t>Φ.Ι.Α.6/27790/3-10-2017</t>
  </si>
  <si>
    <t>5617α/20-10-2010</t>
  </si>
  <si>
    <t>Β΄ΑΡΣΑΚΕΙΟ-ΤΟΣΙΤΣΕΙΟ ΔΗΜΟΤΙΚΟ ΣΧΟΛΕΙΟ ΕΚΑΛΗΣ</t>
  </si>
  <si>
    <t>4962/6-11-2009</t>
  </si>
  <si>
    <t>Φ.Ι.Α.2/26359/14-5-2014</t>
  </si>
  <si>
    <t>7036/20-12-2010</t>
  </si>
  <si>
    <t>3522/12-9-2007</t>
  </si>
  <si>
    <t>1ο ΙΔΙΩΤΙΚΟ ΝΗΠΙΑΓΩΓΕΙΟ ΕΚΠΑΙΔΕΥΤΙΚΗ ΑΝΑΓΕΝΝΗΣΗ</t>
  </si>
  <si>
    <t>9292/23-04-2012</t>
  </si>
  <si>
    <t>ΙΔΙΩΤΙΚΟ ΝΗΠΙΑΓΩΓΕΙΟ - ΕΛΛΗΝΟΑΓΓΛΙΚΗ ΓΝΩΣΗ ΚΑΙ ΠΑΙΔΕΙΑ</t>
  </si>
  <si>
    <t>Φ.Ι.Α.1/21895/15-1-2013</t>
  </si>
  <si>
    <t>ΙΔΙΩΤΙΚΟ ΔΗΜΟΤΙΚΟ ΓΕΡΑΚΑΣ - ΕΚΠΑΙΔΕΥΤΗΡΙΑ ΑΡΓΥΡΗ-ΛΑΙΜΟΥ</t>
  </si>
  <si>
    <t>Φ.Ι.Α.2/26374/9-5-2014</t>
  </si>
  <si>
    <t>Φ.Ι.Α.1/23423/15-01-2013</t>
  </si>
  <si>
    <t>ΚΩΝΣΤΑΝΤΙΝΑ ΑΘΑΝΑΣΙΟΥ-ΑΝΔΡΕΟΥ ΜΟΝΟΠΡΟΣΩΠΗ Ε.Π.Ε.</t>
  </si>
  <si>
    <t>2ο ΙΔΙΩΤΙΚΟ ΝΗΠΙΑΓΩΓΕΙΟ ΕΚΠΑΙΔΕΥΤΙΚΗ ΑΝΑΓΕΝΝΗΣΗ</t>
  </si>
  <si>
    <t>6ΙΤΤ4653ΠΣ-71Π</t>
  </si>
  <si>
    <t>Φ.15.Α8/7260/15-12-2010</t>
  </si>
  <si>
    <t>ΦΕΚ 1090/τ.Γ'/28-11-2008</t>
  </si>
  <si>
    <t>Φ.Ι.Α.4/21263/30-9-2015</t>
  </si>
  <si>
    <t>ΙΔΙΩΤΙΚΟ - ΙΣΟΤΙΜΟ ΝΗΠΙΑΓΩΓΕΙΟ - Β΄ ΑΡΣΑΚΕΙΟ - ΤΟΣΙΤΣΕΙΟ ΝΗΠΙΑΓΩΓΕΙΟ ΕΚΑΛΗΣ</t>
  </si>
  <si>
    <t>Φ.Ι.Α.4/32311/14-12-2015</t>
  </si>
  <si>
    <t>5630α/20-10-2010</t>
  </si>
  <si>
    <t>Φ.15.Α8/2166/6-4-2011</t>
  </si>
  <si>
    <t>Φ.Ι.Α.4/22930/30-11-2015</t>
  </si>
  <si>
    <t>ΙΔΙΩΤΙΚΟ ΔΗΜΟΤΙΚΟ ΣΧΟΛΕΙΟ - ΕΚΠΑΙΔΕΥΤΗΡΙΑ Ν. ΖΑΓΟΡΙΑΝΑΚΟΥ</t>
  </si>
  <si>
    <t>Φ.Ι.Α.2/29881/10-12-2013</t>
  </si>
  <si>
    <t>ΙΔΙΩΤΙΚΟ - ΙΣΟΤΙΜΟ ΝΗΠΙΑΓΩΓΕΙΟ - Α΄ ΑΡΣΑΚΕΙΟ - ΤΟΣΙΤΣΕΙΟ ΝΗΠΙΑΓΩΓΕΙΟ ΕΚΑΛΗΣ</t>
  </si>
  <si>
    <t>Φ.Ι.Α.3/34045/21-1-2015</t>
  </si>
  <si>
    <t>Φ.Ι.Α.1/22546/5-3-2013</t>
  </si>
  <si>
    <t>3283/18-10-1995</t>
  </si>
  <si>
    <t>5783/29-10-2010</t>
  </si>
  <si>
    <t>Φ.Ι.Α.6/38670/6-12-2017</t>
  </si>
  <si>
    <t>Φ.Ι.Α.6/9399/23-3-2017</t>
  </si>
  <si>
    <t>Φ.Ι.Α.4/15395/7-10-2015</t>
  </si>
  <si>
    <t>ΣΥΣΤΕΓΑΖΟΜΕΝΟ ΝΗΠΙΑΓΩΓΕΙΟ ΟΝΕΙΡΟΧΩΡΑ</t>
  </si>
  <si>
    <t>5627γ/20-10-2010</t>
  </si>
  <si>
    <t>Φ.Ι.Α.3/34045/19-1-2015</t>
  </si>
  <si>
    <t>728Φ4653ΠΣ-ΛΥ4</t>
  </si>
  <si>
    <t>2757/30-9-1996</t>
  </si>
  <si>
    <t>Φ.60.2/8023/20-10-2003</t>
  </si>
  <si>
    <t>Φ.Ι.Α.2/26375/9-5-2014</t>
  </si>
  <si>
    <t>Φ.60.2/26519/9-10-2018</t>
  </si>
  <si>
    <t>Φ.15/2908/27-9-2005</t>
  </si>
  <si>
    <t>Φ.15.Α5/6438/27-11-2008</t>
  </si>
  <si>
    <t>Φ.60.2/6439/10-9-2003</t>
  </si>
  <si>
    <t>ΒΧ3Κ4653ΠΣ-ΞΧ5</t>
  </si>
  <si>
    <t>Φ.15/2686/25-10-2004</t>
  </si>
  <si>
    <t>Φ.Ι.Α.3/35785/17-12-2014</t>
  </si>
  <si>
    <t>ΨΟ2Ζ4653ΠΣ-ΡΚΥ</t>
  </si>
  <si>
    <t>ΙΔΙΩΤΙΚΟ ΔΗΜΟΤΙΚΟ ΣΧΟΛΕΙΟ - ΔΕΣ ΔΗΜΟΤΙΚΟ ΙΚΕ</t>
  </si>
  <si>
    <t>Φ.Ι.Α.6/24909/30-11-2017</t>
  </si>
  <si>
    <t>5620β/20-10-2010</t>
  </si>
  <si>
    <t>5606/20-10-2010</t>
  </si>
  <si>
    <t>50/2036/4-10-99</t>
  </si>
  <si>
    <t>ΙΔΙΩΤΙΚΟ ΝΗΠΙΑΓΩΓΕΙΟ ΠΑΛΛΗΝΗ - ΕΚΠΑΙΔΕΥΤΗΡΙΑ ΚΩΣΤΕΑ-ΓΕΙΤΟΝΑ Α.Ε.</t>
  </si>
  <si>
    <t>5621α/20-10-2010</t>
  </si>
  <si>
    <t>Φ.Ι.Α.5/31269/29-12-2016</t>
  </si>
  <si>
    <t>Φ.Ι.Α.5/21223/6-10-2016</t>
  </si>
  <si>
    <t>Φ.Ι.Α.6/25385/16-11-2017</t>
  </si>
  <si>
    <t>ΙΔΙΩΤΙΚΟ ΝΗΠΙΑΓΩΓΕΙΟ ΕΛΛΗΝΟΓΕΡΜΑΝΙΚΗ ΑΓΩΓΗ</t>
  </si>
  <si>
    <t>Φ.Ι.Α.2/26367/14-5-2014</t>
  </si>
  <si>
    <t>Φ.Ι.Α.1/736/15-01-2013</t>
  </si>
  <si>
    <t>Φ.Ι.Α.2/13995/14-5-2014</t>
  </si>
  <si>
    <t>Φ.15.Α6/6407/9-10-2009</t>
  </si>
  <si>
    <t>Ιδιωτικό Συστεγαζόμενο Νηπιαγωγείο "ΚΥΡΕΖΗ ΑΘΑΝΑΣΙΑ"</t>
  </si>
  <si>
    <t>ΔΙΑΔΡΑΣΤΙΚΟ ΕΥΡΩΠΑΪΚΟ ΣΧΟΛΕΙΟ - ΚΩΝΣΤΑΝΤΑΡΑ ΜΠΗΛΙΩ</t>
  </si>
  <si>
    <t>Φ.15.Α5/7500/4-12-2008</t>
  </si>
  <si>
    <t>ΦΕΚ 177/τ.Γ'/17-9-1998</t>
  </si>
  <si>
    <t>ΧΧΧ</t>
  </si>
  <si>
    <t>Φ.Ι.Α/2163/6-4-2011</t>
  </si>
  <si>
    <t>6008/17-12-2009</t>
  </si>
  <si>
    <t>Φ.Ι.Α.4/21470/15-9-2015</t>
  </si>
  <si>
    <t>ΙΔΙΩΤΙΚΟ ΝΗΠΙΑΓΩΓΕΙΟ - ΟΝΕΙΡΟΧΩΡΑ (2o)</t>
  </si>
  <si>
    <t>Φ.Ι.Α.6/38719/7-12-2017</t>
  </si>
  <si>
    <t>ΠΑΙΔΙΚΟ ΠΑΝΕΠΙΣΤΗΜΙΟ (ΤΣΑΡΑΜΙΑΔΟΥ ΤΑΤΙΑΝΗ - ΗΛΙΑΣ ΤΕΡΖΑΚΗΣ Ε.Π.Ε.)</t>
  </si>
  <si>
    <t>ΙΔΙΩΤΙΚΟ ΝΗΠΙΑΓΩΓΕΙΟ - ΝΕΑ ΓΕΝΙΑ ΖΗΡΙΔΗ</t>
  </si>
  <si>
    <t>ΙΔΙΩΤΙΚΟ ΣΥΣΤΕΓΑΖΟΜΕΝΟ ΝΗΠΙΑΓΩΓΕΙΟ - ΜΑΓΙΚΗ ΚΙΜΩΛΙΑ</t>
  </si>
  <si>
    <t>ΩΗΛΖ9-50Ζ</t>
  </si>
  <si>
    <t>ΑΦΟΙ Π. &amp; Δ. ΣΠΕΤΖΟΥΡΗ Ο.Ε.</t>
  </si>
  <si>
    <t>Φ.15.Α.3/4125/22-10-2007</t>
  </si>
  <si>
    <t>7ΡΒ29-ΘΞΓ</t>
  </si>
  <si>
    <t>Φ.Ι.Α.7/11473/2-5-2018</t>
  </si>
  <si>
    <t>ΙΔΙΩΤΙΚΟ - ΙΣΟΤΙΜΟ ΝΗΠΙΑΓΩΓΕΙΟ - Δ΄ ΑΡΣΑΚΕΙΟ - ΤΟΣΙΤΣΕΙΟ ΝΗΠΙΑΓΩΓΕΙΟ ΕΚΑΛΗΣ</t>
  </si>
  <si>
    <t>ΒΙΞΟ9-Γ22</t>
  </si>
  <si>
    <t>Φ.60.2/23633/15-10-2018</t>
  </si>
  <si>
    <t>ΩΓΧΑ9-895</t>
  </si>
  <si>
    <t xml:space="preserve">ΙΔΙΩΤΙΚΟ ΣΥΣΤΕΓΑΖΟΜΕΝΟ ΝΗΠΙΑΓΩΓΕΙΟ - ΖΑΦΕΙΡΟΠΟΥΛΟΥ ΑΝΘΙΠΠΗ </t>
  </si>
  <si>
    <t>Φ.Ι.Α.2/26376/9-5-2014</t>
  </si>
  <si>
    <t>ΤΑ ΜΕΛΙΣΣΑΚΙΑ (ΑΘ. ΕΥΑΓΓΕΛΟΠΟΥΛΟΥ - ΕΥΑΓ. ΠΑΠΑΓΕΩΡΓΙΟΥ &amp; ΣΙΑ Ε.Ε.)</t>
  </si>
  <si>
    <t>4802/22-10-2008</t>
  </si>
  <si>
    <t>ΩΦΗΟ4653ΠΣ-ΡΞΥ</t>
  </si>
  <si>
    <t>1/ΘΕΣΙΟ ΙΔΙΩΤΙΚΟ ΔΗΜΟΤΙΚΟ ΣΧΟΛΕΙΟ ΝΙΚΗ ΑΓΓΕΛΑΚΗ - ΛΥΡΕΙΟ ΠΑΙΔΙΚΟ ΙΔΡΥΜΑ</t>
  </si>
  <si>
    <t>Φ.Ι.Α.7/33041/15-3-2018</t>
  </si>
  <si>
    <t>Ιδιωτικό Νηπιαγωγείο Ονειροχώρα - 3</t>
  </si>
  <si>
    <t>Φ.Ι.Α.3/35528/15-12-2014</t>
  </si>
  <si>
    <t>ΦΕΚ 89/τ.Γ'/4-6-1993</t>
  </si>
  <si>
    <t>Φ.Ι.Α.4/21469/15-9-2015</t>
  </si>
  <si>
    <t>5631/20-10-2010</t>
  </si>
  <si>
    <t>Φ.15.Α.4/4125/22-10-2007</t>
  </si>
  <si>
    <t>5614/20-10-2010</t>
  </si>
  <si>
    <t>Φ.Ι.Α.4/17984/1-9-2015</t>
  </si>
  <si>
    <t>635Ν4653ΠΣ-ΖΥΜ</t>
  </si>
  <si>
    <t>Φ.Ι.Α./2164/6-4-2011</t>
  </si>
  <si>
    <t>ΙΔΙΩΤΙΚΟ ΝΗΠΙΑΓΩΓΕΙΟ ΠΑΠΑΔΗΜΗΤΡΑΚΟΠΟΥΛΟΥ ΑΙΚΑΤΕΡΙΝΗ &amp; ΣΙΑ Ο.Ε.</t>
  </si>
  <si>
    <t>ΕΛΕΝΑ ΣΚΟΤΤ &amp; ΣΙΑ Ο.Ε.</t>
  </si>
  <si>
    <t>5133/22-11-2007</t>
  </si>
  <si>
    <t>Φ.Ι.Α.3/34045/9-1-2015</t>
  </si>
  <si>
    <t>Φ.Ι.Α.5/25574/27-12-2016</t>
  </si>
  <si>
    <t>Φ.15/3388/14-11-2005</t>
  </si>
  <si>
    <t>Φ.Ι.Α.5/25515/4-10-2016</t>
  </si>
  <si>
    <t>Δ. ΜΑΡΟΥΣΟΣ - Δ. ΣΩΤΗΡΟΠΟΥΛΟΥ Ο.Ε.</t>
  </si>
  <si>
    <t>Φ.Ι.Α./1971/30-3-2011</t>
  </si>
  <si>
    <t>Φ.Ι.Α.5/18618/19-7-2016</t>
  </si>
  <si>
    <t>72ΥΗ465ΦΘ3-ΣΣ6</t>
  </si>
  <si>
    <t>ΣΥΣΤΕΓΑΖΟΜΕΝΟ ΙΔΙΩΤΙΚΟ ΝΗΠΙΑΓΩΓΕΙΟ - ΜΕΞΗ ΕΛΕΝΗ</t>
  </si>
  <si>
    <t>Φ.Ι.Α.2/26377/7-5-2014</t>
  </si>
  <si>
    <t>Φ.Ι.Α.4/1725/22-1-2016</t>
  </si>
  <si>
    <t>ΙΔΙΩΤΙΚΟ - ΙΣΟΤΙΜΟ ΝΗΠΙΑΓΩΓΕΙΟ - Γ΄ ΑΡΣΑΚΕΙΟ - ΤΟΣΙΤΣΕΙΟ ΝΗΠΙΑΓΩΓΕΙΟ ΕΚΑΛΗΣ</t>
  </si>
  <si>
    <t>Φ.60.2/25000</t>
  </si>
  <si>
    <t>ΙΔΙΩΤΙΚΟ ΔΗΜΟΤΙΚΟ - ΕΚΠΑΙΔΕΥΤΗΡΙΑ ΣΤ. ΚΑΛΑΝΔΡΟΥ &amp; ΣΙΑ Ο.Ε.</t>
  </si>
  <si>
    <t>Φ.Ι.Α.4/32311/18-12-2015</t>
  </si>
  <si>
    <t>ΙΔΙΩΤΙΚΟ ΔΗΜΟΤΙΚΟ ΣΧΟΛΗ ΠΟΡΙΩΤΟΥ - ΣΧΟΛΗ ΠΟΡΙΩΤΟΥ</t>
  </si>
  <si>
    <t>6ΕΕΓ4653ΠΣ-1ΞΥ</t>
  </si>
  <si>
    <t>ΙΔΙΩΤΙΚΟ ΔΗΜΟΤΙΚΟ ΠΑΛΑΙΟ ΨΥΧΙΚΟ - Γ ΑΡΣΑΚΕΙΟ ΔΗΜΟΤΙΚΟ ΣΧΟΛΕΙΟ ΨΥΧΙΚΟΥ</t>
  </si>
  <si>
    <t>ΙΔΙΩΤΙΚΟ ΝΗΠΙΑΓΩΓΕΙΟ ΨΥΧΙΚΟ - ΑΡΣΑΚΕΙΟ ΝΗΠΙΑΓΩΓΕΙΟ ΨΥΧΙΚΟΥ ΤΗΣ ΦΙΛΕΚΠΑΙΔΕΥΤΙΚΗΣ ΕΤΑΙΡΕΙΑΣ</t>
  </si>
  <si>
    <t>ΙΔΙΩΤΙΚΟ ΔΗΜΟΤΙΚΟ - ΕΛΛΗΝΟΓΕΡΜΑΝΙΚΟΣ ΕΚΠ/ΚΟΣ ΣΥΛΛΟΓΟΣ</t>
  </si>
  <si>
    <t>1800/1645/11-10-2004</t>
  </si>
  <si>
    <t>ΙΔΙΩΤΙΚΟ ΝΗΠΙΑΓΩΓΕΙΟ ΕΛΛΗΝΟΓΑΛΛΙΚΗΣ ΣΧΟΛΗΣ ΟΥΡΣΟΥΛΙΝΩΝ</t>
  </si>
  <si>
    <t>ΝΗΠΙΑΓΩΓΕΙΟ Κ. ΠΑΠΠΑ &amp; ΣΙΑ Ο.Ε. (Κ. ΠΑΠΠΑ &amp; ΣΙΑ Ο.Ε.)</t>
  </si>
  <si>
    <t>54/7-10-1986</t>
  </si>
  <si>
    <t>Ω7ΠΡ9-6ΦΖ</t>
  </si>
  <si>
    <t>ΙΔΙΩΤΙΚΟ ΔΗΜΟΤΙΚΟ Ν.ΗΡΑΚΛΕΙΟ ΑΤΤΙΚΗΣ - ΣΥΓΧΡΟΝΑ ΕΚΠΑΙΔΕΥΤΗΡΙΑ ΜΑΝΕΣΗ</t>
  </si>
  <si>
    <t>ΙΔΙΩΤΙΚΟ ΔΗΜΟΤΙΚΟ ΨΥΧΙΚΟ - Β ΑΡΣΑΚΕΙΟ ΔΗΜΟΤΙΚΟ ΣΧΟΛΕΙΟ ΨΥΧΙΚΟΥ ΤΗΣ ΦΙΛΕΚΠΑΙΔΕΥΤΙΚΗΣ ΕΤΑΙΡΕΙΑΣ</t>
  </si>
  <si>
    <t>ΙΔΙΩΤΙΚΟ ΝΗΠΙΑΓΩΓΕΙΟ - ΙΕΡΟΥ ΝΑΟΥ ΜΕΤΑΜΟΡΦΩΣΗΣ ΣΩΤΗΡΟΣ ΤΗΣ ΙΕΡΑΣ ΑΡΧΙΕΠΙΣΚΟΠΗΣ ΑΘΗΝΩΝ</t>
  </si>
  <si>
    <t>ΙΔΙΩΤΙΚΟ ΝΗΠΙΑΓΩΓΕΙΟ - "ΑΓΙΟΣ ΙΩΣΗΦ"</t>
  </si>
  <si>
    <t>ΙΔΙΩΤΙΚΟ ΝΗΠΙΑΓΩΓΕΙΟ ΧΑΛΑΝΔΡΙ - ΑΓΓΕΛΙΚΗ Β. ΑΛΕΞΑΝΔΡΑΚΗ ΜΕΠΕ</t>
  </si>
  <si>
    <t>ΙΔΙΩΤΙΚΟ ΔΗΜΟΤΙΚΟ - ΕΚΠΑΙΔΕΥΤΗΡΙΑ ΚΑΝΤΑ</t>
  </si>
  <si>
    <t>ΙΔΙΩΤΙΚΟ ΔΗΜΟΤΙΚΟ - ΕΛΛΗΝΟΓΑΛΛΙΚΗ ΣΧΟΛΗ SAINT JOSEPH</t>
  </si>
  <si>
    <t>1ο ΙΔΙΩΤΙΚΟ ΔΗΜΟΤΙΚΟ ΨΥΧΙΚΟ - Α ΑΡΣΑΚΕΙΟ ΔΗΜ. ΣΧΟΛ. ΨΥΧΙΚΟΥ ΤΗΣ ΦΙΛΕΚΠΑΙΔΕΥΤΙΚΗΣ ΕΤΑΙΡΕΙΑΣ</t>
  </si>
  <si>
    <t>ΙΔΙΩΤΙΚΟ ΔΗΜΟΤΙΚΟ ΗΡΑΚΛΕΙΟ ΑΤΤΙΚΗΣ - Η ΕΛΛΗΝΙΚΗ ΠΑΙΔΕΙΑ</t>
  </si>
  <si>
    <t>Φ.17.2/575/9788</t>
  </si>
  <si>
    <t>ΙΔΙΩΤΙΚΟ ΣΥΣΤΕΓΑΖΟΜΕΝΟ ΝΗΠΙΑΓΩΓΕΙΟ - Ο ΑΓΙΟΣ ΚΗΡΥΚΟΣ</t>
  </si>
  <si>
    <t>Φ. 17.2/289/10431/2-10-2017</t>
  </si>
  <si>
    <t>ΙΔΙΩΤΙΚΟ ΣΥΣΤΕΓΑΖΟΜΕΝΟ ΝΗΠΙΑΓΩΓΕΙΟ - MONTESSORI WAY OF LIFE</t>
  </si>
  <si>
    <t>3452/16-10-09</t>
  </si>
  <si>
    <t>ΠΕ71</t>
  </si>
  <si>
    <t>ΔΑΣΚΑΛΟΙ ΕΙΔΙΚΗΣ ΑΓΩΓΗΣ</t>
  </si>
  <si>
    <t>ΩΞ484653ΠΣ-Ι78</t>
  </si>
  <si>
    <t>ΒΡΕΦΟΝΗΠΙΑΚΟΙ ΣΤΑΘΜΟΙ ΜΟΝΟΠΡΟΣΩΠΗ Ε.Π.Ε. - "XIONATH"</t>
  </si>
  <si>
    <t>ΙΔΙΩΤΙΚΟ ΔΗΜΟΤΙΚΟ ΑΜΑΡΟΥΣΙΟΥ - "Η ΕΛΛΗΝΙΚΗ ΠΑΙΔΕΙΑ"</t>
  </si>
  <si>
    <t>ΙΔΙΩΤΙΚΟ ΝΗΠΙΑΓΩΓΕΙΟ ΠΕΥΚΗ - "ΤΟ ΦΕΓΓΑΡΑΚΙ ΤΗΣ ΠΕΥΚΗΣ"</t>
  </si>
  <si>
    <t>ΣΥΣΤΕΓΑΖΟΜΕΝΟ ΝΗΠΙΑΓΩΓΕΙΟ - ΡΑΜΙΡΕΖ ΓΚΕΗΛ ΑΛΙΣΟΝ</t>
  </si>
  <si>
    <t>ΙΔΙΩΤΙΚΟ ΔΗΜΟΤΙΚΟ ΚΗΦΙΣΙΑ - ΣΧΟΛΗ Β. ΜΑΝΤΑ</t>
  </si>
  <si>
    <t>Φ.17.2/359/9718</t>
  </si>
  <si>
    <t>ΙΔΙΩΤΙΚΟ ΝΗΠΙΑΓΩΓΕΙΟ ΝΕΟ ΗΡΑΚΛΕΙΟ - ΒΕΝΕΤΣΑΝΟΥ ΙΩΑΝΝΑ</t>
  </si>
  <si>
    <t>ΙΔΙΩΤΙΚΟ ΝΗΠΙΑΓΩΓΕΙΟ - NATASHA'S BABYLAND - WONDERLAND</t>
  </si>
  <si>
    <t>2010/23-10-02</t>
  </si>
  <si>
    <t>Φ.17.2/457/7979</t>
  </si>
  <si>
    <t>ΙΔΙΩΤΙΚΟ ΝΗΠΙΑΓΩΓΕΙΟ ΚΗΦΙΣΙΑ - ΣΧΟΛΗ Β. ΜΑΝΤΑ</t>
  </si>
  <si>
    <t>ΙΔΙΩΤΙΚΟ ΝΗΠΙΑΓΩΓΕΙΟ ΑΘΗΝΑ - Μ.Α.ΤΣΙΚΡΙΚΑ ΚΑΙ ΣΙΑ ΟΕ</t>
  </si>
  <si>
    <t>ΣΥΣΤΕΓΑΖΟΜΕΝΟ ΝΗΠΙΑΓΩΓΕΙΟ Κ.ΚΩΝΣΤΑΝΤΕΛΛΟΣ-Θ.ΓΑΒΡΙΛΙΑΔΗ-Μ.ΣΤΕΦΑΝΟΥ Ο.Ε</t>
  </si>
  <si>
    <t>3558/16-09-10</t>
  </si>
  <si>
    <t>ΣΥΣΤΕΓΑΖΟΜΕΝΟ ΝΗΠΙΑΓΩΓΕΙΟ - ΔΗΜΙΟΥΡΓΙΚΟ ΕΡΓΑΣΤΗΡΙ ΠΡΟΣΧΟΛΙΚΗΣ ΑΓΩΓΗΣ - Α. ΣΤΑΘΑΚΟΠΟΥΛΟΥ &amp; ΣΙΑ Ο.Ε. - ΑΡΤΕΜΙΣ &amp; ΙΑΣΩΝ</t>
  </si>
  <si>
    <t>ΙΔΙΩΤΙΚΟ ΔΗΜΟΤΙΚΟ ΠΑΛΑΙΟ ΨΥΧΙΚΟ - ΙΔΙΩΤΙΚΟ ΔΗΜΟΤΙΚΟ ΣΧΟΛΕΙΟ ΤΗΣ ΙΣΡΑΗΛΙΤΙΚΗΣ ΚΟΙΝΟΤΗΤΑΣ ΑΘΗΝΩΝ</t>
  </si>
  <si>
    <t>185/21-01-08</t>
  </si>
  <si>
    <t>ΙΔΙΩΤΙΚΟ ΝΗΠΙΑΓΩΓΕΙΟ - Μ. ΤΣΙΤΣΙΛΙΑΝΗ ΕΚΠΑΙΔΕΥΣΗ Μ.Ε.Π.Ε.</t>
  </si>
  <si>
    <t>Φ.17.2/222/6926/2-10-2018</t>
  </si>
  <si>
    <t>72.1</t>
  </si>
  <si>
    <t>ΙΔΙΩΤΙΚΟ ΝΗΠΙΑΓΩΓΕΙΟ ΒΡΙΛΗΣΣΙΑ - ΕΛΛΗΝΟΓΕΡΜΑΝΙΚΟΣ ΕΚΠΑΙΔΕΥΤΙΚΟΣ ΣΥΛΛΟΓΟΣ</t>
  </si>
  <si>
    <t>3100/26-10-11</t>
  </si>
  <si>
    <t>ΨΗ9Η9-6ΥΓ</t>
  </si>
  <si>
    <t>ΙΔΙΩΤΙΚΟ ΣΥΣΤΕΓΑΖΟΜΕΝΟ ΝΗΠΙΑΓΩΓΕΙΟ - ΕΚΠΑΙΔΕΥΤΗΡΙΑ ΜΑΙΡΗ ΑΡΓΥΡΗ ΑΕΜΕ</t>
  </si>
  <si>
    <t>ΤΑΣΟΥΛΑ ΠΕΡΙΣΤΕΡΑ - ΑΙΚΑΤΕΡΙΝΗ ΑΛΕΞΙΟΥ &amp; ΣΙΑ Ο.Ε. (ΤΑΣΟΥΛΑ ΠΕΡΙΣΤΕΡΑ - ΑΙΚΑΤΕΡΙΝΗ ΑΛΕΞΙΟΥ &amp; ΣΙΑ)</t>
  </si>
  <si>
    <t>Φ.17.2/435/9649/14-11-2017</t>
  </si>
  <si>
    <t>ΙΔΙΩΤΙΚΟ ΣΥΣΤΕΓΑΖΟΜΕΝΟ ΝΗΠΙΑΓΩΓΕΙΟ - ΖΗΚΟΓΙΑΝΝΗΣ ΓΕΩΡΓΙΟΣ</t>
  </si>
  <si>
    <t>Φ.17.2/3296/2.9.10</t>
  </si>
  <si>
    <t>ΙΔΙΩΤΙΚΟ ΝΗΠΙΑΓΩΓΕΙΟ ΗΡΑΚΛΕΙΟ - Η ΕΛΛΗΝΙΚΗ ΠΑΙΔΕΙΑ</t>
  </si>
  <si>
    <t>ΙΔΙΩΤΙΚΟ ΝΗΠΙΑΓΩΓΕΙΟ ΦΙΛΟΘΕΗ - ΝΗΠΙΑΚΗ ΑΓΩΓΗ</t>
  </si>
  <si>
    <t>17.2/456/11042/21-10-14</t>
  </si>
  <si>
    <t>17.2/323/8043/05-10-15</t>
  </si>
  <si>
    <t>ΙΔΙΩΤΙΚΟ ΝΗΠΙΑΓΩΓΕΙΟ - ΜΑΝΟΥ</t>
  </si>
  <si>
    <t>3416/26-10-10</t>
  </si>
  <si>
    <t>ΣΥΣΤΕΓΑΖΟΜΕΝΟ ΙΔΙΩΤΙΚΟ ΝΗΠΙΑΓΩΓΕΙΟ - ΛΟΥΛΟΥΔΟΤΟΠΟΣ</t>
  </si>
  <si>
    <t>Φ.17.2/413/10373</t>
  </si>
  <si>
    <t>Φ.17.2/572/105/17</t>
  </si>
  <si>
    <t>Φ.17.2/304/13919/7.11.13</t>
  </si>
  <si>
    <t>Φ.17.2/241/9774</t>
  </si>
  <si>
    <t>ΣΥΣΤΕΓΑΖΟΜΕΝΟ ΝΗΠΙΑΓΩΓΕΙΟ - ΔΗΜΗΤΡΑΚΟΠΟΥΛΟΥ ΧΡΥΣΟΒΑΛΑΝΤΟΥ</t>
  </si>
  <si>
    <t>ΒΜΦΤ465ΦΘ3-ΠΤ6</t>
  </si>
  <si>
    <t>393/12-10-09</t>
  </si>
  <si>
    <t>1ο ΙΔΙΩΤΙΚΟ ΝΗΠΙΑΓΩΓΕΙΟ ΚΗΦΙΣΙΑ - ΜΠΕΝΑΚΕΙΟ ΠΑΙΔΙΚΟ ΙΔΡΥΜΑ ΚΗΦΙΣΙΑΣ</t>
  </si>
  <si>
    <t>2770/18-11-94</t>
  </si>
  <si>
    <t>ΙΔΙΩΤΙΚΟ ΝΗΠΙΑΓΩΓΕΙΟ ΒΡΙΛΗΣΣΙΑ - ΔΙΟΝΥΣΙΑ ΑΝΑΣΤΑΣΑΤΟΥ &amp; ΣΙΑ Ο.Ε.</t>
  </si>
  <si>
    <t>Φ.17.2/259/926/15-10-2018</t>
  </si>
  <si>
    <t>1289/18-10-80</t>
  </si>
  <si>
    <t>Φ 17.2/201/7269/07-09-15</t>
  </si>
  <si>
    <t>3558/16-9-2010</t>
  </si>
  <si>
    <t>ΙΔΙΩΤΙΚΟ ΣΥΣΤΕΓΑΖΟΜΕΝΟ ΝΗΠΙΑΓΩΓΕΙΟ - ANNIE'S SCHOOL</t>
  </si>
  <si>
    <t>3558/1-9-2010</t>
  </si>
  <si>
    <t>ΙΔΙΩΤΙΚΟ ΝΗΠΙΑΓΩΓΕΙΟ ΜΑΡΟΥΣΙ - ΙΟΝΙΟΣ ΣΧΟΛΗ ΑΜΑΡΟΥΣΙΟΥ Α.Ε</t>
  </si>
  <si>
    <t>ΙΔΙΩΤΙΚΟ ΝΗΠΙΑΓΩΓΕΙΟ - ΜΑΡΙΑ ΕΛΕΝΗ ΜΑΝΘΟΥΛΗ "ΙΔΙΩΤΙΚΟ ΣΥΣΤΕΓΑΖΟΜΕΝΟ ΝΗΠΙΑΓΩΓΕΙΟ - ΤΟ ΝΗΠΙΑΓΩΓΕΙΟ ΤΟΥ ΕΛΑ ΝΑ ΠΑΙΞΟΥΜΕ"</t>
  </si>
  <si>
    <t>ΙΔΙΩΤΙΚΟ ΝΗΠΙΑΓΩΓΕΙΟ ΧΑΛΑΝΔΡΙ - ΑΛΛΗΛΟΒΟΗΘΗΤΙΚΟ ΤΑΜΕΙΟ ΠΕΡΙΘΑΛΨΗΣ ΣΥΛΛΟΓΟΥ ΥΠΑΛΛΗΛΩΝ ΤΡΑΠΕΖΑΣ ΕΛΛΑΔΟΣ</t>
  </si>
  <si>
    <t>ΙΔΙΩΤΙΚΟ ΝΗΠΙΑΓΩΓΕΙΟ "Π. ΔΗΜΗΤΡΟΥΛΑ &amp; Μ. ΔΗΜΗΤΡΟΥΛΑ Ο.Ε."</t>
  </si>
  <si>
    <t>Φ.17.2/250/8203</t>
  </si>
  <si>
    <t>ΙΔΙΩΤΙΚΟ ΔΗΜΟΤΙΚΟ ΣΧΟΛΕΙΟ-ΕΚΠΑΙΔΕΥΤΗΡΙΑ "ΔΙΟΝΥΣΙΟΣ ΣΟΛΩΜΟΣ"</t>
  </si>
  <si>
    <t>ΣΥΣΤΕΓΑΖΟΜΕΝΟ ΝΗΠΙΑΓΩΓΕΙΟ - ΤΟ ΣΠΙΤΑΚΙ ΤΗΣ ΣΟΦΙΑΣ SOFIAS KINDERHAUS</t>
  </si>
  <si>
    <t>17.2/374/14896/31-12-12</t>
  </si>
  <si>
    <t>539/13169/19-12-2017</t>
  </si>
  <si>
    <t>ΣΟΥΖΑΝ ΤΖΟΝΣΟΝ ΜΟΝΟΠΡΟΣΩΠΗ ΙΚΕ</t>
  </si>
  <si>
    <t>ΙΔΙΩΤΙΚΟ ΝΗΠΙΑΓΩΓΕΙΟ ΧΑΛΑΝΔΡΙ - Α.ΙΩΣΗΦΙΔΟΥ ΚΑΙ ΣΙΑ ΟΕ</t>
  </si>
  <si>
    <t>Φ 17.2/304/13919/07-11-13</t>
  </si>
  <si>
    <t>Φ.17.2/254/6822/15-10-2018</t>
  </si>
  <si>
    <t>ΩΨ5Κ4653ΠΣ-929</t>
  </si>
  <si>
    <t>ΙΔΙΩΤΙΚΟ ΝΗΠΙΑΓΩΓΕΙΟ - ΚΑΨΑΛΗ ΚΩΝΣΤΑΝΤΙΑ</t>
  </si>
  <si>
    <t>ΙΔΙΩΤΙΚΟ ΝΗΠΙΑΓΩΓΕΙΟ - ΕΚΠΑΙΔΕΥΤΗΡΙΑ ΚΑΝΤΑ</t>
  </si>
  <si>
    <t>ΧΑΝΙΩΝ (Π.Ε.) 2018</t>
  </si>
  <si>
    <t>ΙΔΙΩΤΙΚΟ ΔΗΜΟΤΙΚΟ ΧΑΝΙΩΝ - ΙΔΙΩΤΙΚΟ ΔΗΜΟΤΙΚΟ ΣΧΟΛΕΙΟ-Δ.Δ.Μ.Ν. ΝΑΥΣΤΑΘΜΟΥ ΚΡΗΤΗΣ</t>
  </si>
  <si>
    <t>ΔΙΕΥΘΥΝΣΗ Π.Ε. ΧΑΝΙΩΝ</t>
  </si>
  <si>
    <t>ΠΕΡΙΦΕΡΕΙΑΚΗ Δ/ΝΣΗ Α/ΘΜΙΑΣ ΚΑΙ Β/ΘΜΙΑΣ ΕΚΠ/ΣΗΣ ΚΡΗΤΗΣ</t>
  </si>
  <si>
    <t>156/9</t>
  </si>
  <si>
    <t>ΣΥΣΤΕΓΑΖΟΜΕΝΟ ΝΗΠΙΑΓΩΓΕΙΟ - ΚΑΡΑΜΠΕΛΑ ΕΛΕΝΗ</t>
  </si>
  <si>
    <t>24/3416/26-10-10</t>
  </si>
  <si>
    <t>Ω7ΜΞ4653ΠΣ-ΗΤ3</t>
  </si>
  <si>
    <t>ΙΔΙΟΚΤΗΤΗΣ</t>
  </si>
  <si>
    <t>ΜΕΛΩΔΙΕΣ ΤΗΣ ΠΛΩΡΗΣ - ΚΩΝΣΤΑΝΤΙΝΟΣ ΛΥΝΤΕΡΗΣ</t>
  </si>
  <si>
    <t>ΣΥΣΤΕΓΑΖΟΜΕΝΟ ΝΗΠΙΑΓΩΓΕΙΟ - Μ. ΜΑΓΓΙΝΑ - Β. ΖΟΥΚΑ ΟΕ</t>
  </si>
  <si>
    <t>Φ.17.2/212/825201/09/2018</t>
  </si>
  <si>
    <t>ΙΔΙΩΤΙΚΟ ΔΗΜΟΤΙΚΟ - ΜΑΝΟΥ</t>
  </si>
  <si>
    <t>67249-403</t>
  </si>
  <si>
    <t>2603/14-10-92</t>
  </si>
  <si>
    <t>Φ 17.2/549/7158/03-12-16</t>
  </si>
  <si>
    <t>Φ.17.2/346/13747/1-9-2012</t>
  </si>
  <si>
    <t>429/21-02-06</t>
  </si>
  <si>
    <t>ΙΔΙΩΤΙΚΟ ΔΗΜΟΤΙΚΟ ΣΧΟΛΕΙΟ - ΤΡΙΑΝΕΜΙ</t>
  </si>
  <si>
    <t>24/14-01-00</t>
  </si>
  <si>
    <t>Φ.17.2/300/7947/3-10-2015</t>
  </si>
  <si>
    <t>ΙΔΙΩΤΙΚΟ ΝΗΠΙΑΓΩΓΕΙΟ ΠΑΠΑΓΟΥ - Σ.ΜΠΟΣΙΝΑ ΚΑΙ ΣΙΑ Ο.Ε</t>
  </si>
  <si>
    <t>2886/3-10-2017</t>
  </si>
  <si>
    <t>1899/02-10-84</t>
  </si>
  <si>
    <t>3528/17-09-10</t>
  </si>
  <si>
    <t>ΠΠ3948080</t>
  </si>
  <si>
    <t>ΙΔΙΩΤΙΚΟ ΣΥΣΤΕΓΑΖΟΜΕΝΟ ΝΗΠΙΑΓΩΓΕΙΟ Δ. Π. ΓΚΑΡΑΒΕΛΑ - Ο ΜΙΚΥ Ε.Ε.</t>
  </si>
  <si>
    <t>ΙΔΙΩΤΙΚΟ ΣΥΣΤΕΓΑΖΟΜΕΝΟ ΝΗΠΙΑΓΩΓΕΙΟ ΒΙΛΛΑ ΑΙΜΙΛΙΑ</t>
  </si>
  <si>
    <t>Φ.17.2/276/6871</t>
  </si>
  <si>
    <t>3512/10/10/2011</t>
  </si>
  <si>
    <t>ΣΥΣΤΕΓΑΖΟΜΕΝΟ ΝΗΠΙΑΓΩΓΕΙΟ - Α. ΚΟΜΝΗΝΟΥ - Δ. ΜΠΡΟΥΣΚΟΣ Ο.Ε.</t>
  </si>
  <si>
    <t>ΙΔΙΩΤΙΚΟ ΣΥΣΤΕΓΑΖΟΜΕΝΟ ΝΗΠΙΑΓΩΓΕΙΟ - ΗΛΙΟΦΕΓΓΑΡΟ</t>
  </si>
  <si>
    <t>Φ 17.2/570/10444/08-12-16</t>
  </si>
  <si>
    <t>ΙΔΙΩΤΙΚΟ ΝΗΠΙΑΓΩΓΕΙΟ ΜΕΤΑΜΟΡΦΩΣΗ - ΚΑΛΗΜΕΡΑ ΠΑΙΔΙΑ</t>
  </si>
  <si>
    <t>2886/1-9-2007</t>
  </si>
  <si>
    <t>ΙΔΙΩΤΙΚΟ ΝΗΠΙΑΓΩΓΕΙΟ - ΤΡΙΑΝΕΜΙ</t>
  </si>
  <si>
    <t>Φ. 17.2/294/13168</t>
  </si>
  <si>
    <t>ΙΔΙΩΤΙΚΟ ΣΥΣΤΕΓΑΖΟΜΕΝΟ ΝΗΠΙΑΓΩΓΕΙΟ - CHILDREN'S CLUB</t>
  </si>
  <si>
    <t>ΣΥΣΤΕΓΑΖΟΜΕΝΟ ΝΗΠΙΑΓΩΓΕΙΟ - ΧΡΥΣΑΝΘΗ ΠΟΛΥΖΟΥ ΚΑΙ ΣΙΑ ΕΠΕ - LIBERTYS SCHOΟL</t>
  </si>
  <si>
    <t>Φ.17.2/255/6822</t>
  </si>
  <si>
    <t>1612920/4-9-2017</t>
  </si>
  <si>
    <t>ΣΥΣΤΕΓΑΖΟΜΕΝΟ ΝΗΠΙΑΓΩΓΕΙΟ - LUDUS Μ.Ε.Π.Ε.</t>
  </si>
  <si>
    <t>ΙΔΙΩΤΙΚΟ ΝΗΠΙΑΓΩΓΕΙΟ Ν.ΨΥΧΙΚΟ - ΔΗΜΗΤΡΑ ΠΑΝΟΥΣΗ ΚΑΙ ΣΙΑ Ε.Ε</t>
  </si>
  <si>
    <t>ΙΔΙΩΤΙΚΟ ΣΥΣΤΕΓΑΖΟΜΕΝΟ ΝΗΠΙΑΓΩΓΕΙΟ - ΔΡΑΚΑ Γ. ΜΑΡΙΑ</t>
  </si>
  <si>
    <t>ΙΔΙΩΤΙΚΟ ΣΥΣΤΕΓΑΖΟΜΕΝΟ ΝΗΠΙΑΓΩΓΕΙΟ - ΜΠΑΜΠΙΝΕΡΙΑ</t>
  </si>
  <si>
    <t>Φ.17.2/394/9243</t>
  </si>
  <si>
    <t>Φ 17.2/346/13747/30-11-12</t>
  </si>
  <si>
    <t>Ιδιωτικό Συστεγαζόμενο Νηπιαγωγείο - Κέκκου Αικατερίνη</t>
  </si>
  <si>
    <t>Φ.17./339/10031</t>
  </si>
  <si>
    <t>ΙΔΙΩΤΙΚΟ ΝΗΠΙΑΓΩΓΕΙΟ - ΜΑΪΝΑ ΑΓΓΕΛΙΚΗ</t>
  </si>
  <si>
    <t>Φ.17.2/513/13323</t>
  </si>
  <si>
    <t>Φ.17.2/414/10373/10-11-2017</t>
  </si>
  <si>
    <t>ΛΙΟΔΑΚΗ ΣΤΥΛΙΑΝΗ</t>
  </si>
  <si>
    <t>544/13173/20-12-2017</t>
  </si>
  <si>
    <t>ΕΜ16.00</t>
  </si>
  <si>
    <t>ΜΟΥΣΙΚΗΣ - ΕΜΠΕΙΡΟΤΕΧΝΕΣ</t>
  </si>
  <si>
    <t>Φ.17.2/449/7881/01-09-14</t>
  </si>
  <si>
    <t>ΙΔΙΩΤΙΚΟ ΣΥΣΤΕΓΑΖΟΜΕΝΟ ΝΗΠΙΑΓΩΓΕΙΟ ΧΑΛΑΝΔΡΙ -  Μ. ΣΑΜΕΛΛΑ</t>
  </si>
  <si>
    <t>2374/16-09-2005</t>
  </si>
  <si>
    <t>Φ.17.2/256/6822</t>
  </si>
  <si>
    <t>501/13155/8-12-2017</t>
  </si>
  <si>
    <t>2010/23-10-2002</t>
  </si>
  <si>
    <t>Φ.17.2/498/13149/7.12.17</t>
  </si>
  <si>
    <t>ΙΔΙΩΤΙΚΟ ΝΗΠΙΑΓΩΓΕΙΟ ΠΑΛΑΙΟ ΨΥΧΙΚΟ - ΝΗΠΙΑΓΩΓΕΙΟ ΙΣΡΑΗΛΙΤΙΚΗΣ ΚΟΙΝΟΤΗΤΑΣ ΑΘΗΝΩΝ</t>
  </si>
  <si>
    <t>Φ.17.2/455/10373/19-10-2017</t>
  </si>
  <si>
    <t>ΙΔΙΩΤΙΚΟ ΣΥΣΤΕΓΑΖΟΜΕΝΟ ΝΗΠΙΑΓΩΓΕΙΟ - LITTLES PRESCHOOL EDUCATION</t>
  </si>
  <si>
    <t>ΙΔΙΩΤΙΚΟ ΝΗΠΙΑΓΩΓΕΙΟ ΚΗΦΙΣΙΑ - ΠΟΛΚΑ-ΦΡΟΕΛΕΝ</t>
  </si>
  <si>
    <t>3942/8-11-2011</t>
  </si>
  <si>
    <t>213/6924/26-9-2018</t>
  </si>
  <si>
    <t>Φ.17.2/564/10818/23</t>
  </si>
  <si>
    <t>Ω5Θ44653ΠΣ-ΒΞΧ</t>
  </si>
  <si>
    <t>170/6362/26-7-2018</t>
  </si>
  <si>
    <t>Φ 17.2/34/826/3-2-2016</t>
  </si>
  <si>
    <t>ΨΒΟΩ4653ΠΣ-ΕΟΒ</t>
  </si>
  <si>
    <t>ΣΥΣΤΕΓΑΖΟΜΕΝΟ ΝΗΠΙΑΓΩΓΕΙΟ - ΜΟΣΧΟΥ ΒΑΣΙΛΙΚΗ</t>
  </si>
  <si>
    <t>Φ 17.2/319/8047/4-10-2015</t>
  </si>
  <si>
    <t>2ο ΝΗΠ/ΓΕΙΟ ΕΚΠΑΙΔΕΥΤΗΡΙΩΝ ΜΑΙΡΗΣ ΑΡΓΥΡΗ-ΛΑΙΜΟΥ Α.Ε.Μ.Ε.</t>
  </si>
  <si>
    <t>Φ.17.2/276/9953</t>
  </si>
  <si>
    <t>ΙΔΙΩΤΙΚΟ ΝΗΠΙΑΓΩΓΕΙΟ ΛΥΚΟΒΡΥΣΗ - ΕΜΜ. ΣΕΡΔΑΡΗΣ ΚΑΙ ΣΙΑ ΕΕ</t>
  </si>
  <si>
    <t>55/1-9-1990</t>
  </si>
  <si>
    <t>ΙΔΙΩΤΙΚΟ ΝΗΠΙΑΓΩΓΕΙΟ ΧΑΛΑΝΔΡΙ - ΧΡΙΣΤ. ΘΩΜΑ ΚΑΙ ΣΙΑ Ο.Ε</t>
  </si>
  <si>
    <t>3453/19-10-2009</t>
  </si>
  <si>
    <t>ΙΔΙΩΤΙΚΟ ΝΗΠΙΑΓΩΓΕΙΟ ΑΘΗΝΑ - ΙΔΙΩΤΙΚΟ ΝΗΠΙΑΓΩΓΕΙΟ ΑΝΑΣΤΑΣΙΑ ΧΡΗΣΤΑΚΗ</t>
  </si>
  <si>
    <t>2418/20.10.87</t>
  </si>
  <si>
    <t>Φ 17.2/304/13919/7-11-2013</t>
  </si>
  <si>
    <t>ΙΔΙΩΤΙΚΟ ΝΗΠΙΑΓΩΓΕΙΟ - ΠΑΙΔΟΣΤΡΟΒΙΛΟΣ (Φ.ΛΥΣΣΑΡΗ - Φ.ΠΑΝΑΓΟΠΟΥΛΟΥ ΟΕ)</t>
  </si>
  <si>
    <t>ΣΥΣΤΕΓΑΖΟΜΕΝΟ ΝΗΠΙΑΓΩΓΕΙΟ - ΧΑΛΚΙΑΣ ΓΕΩΡΓΙΟΣ</t>
  </si>
  <si>
    <t>ΙΔΙΩΤΙΚΟ ΔΗΜΟΤΙΚΟ ΑΦΟΙ Ι.ΔΙΑΜΑΝΤΟΠΟΥΛΟΥ Ο.Ε.</t>
  </si>
  <si>
    <t>ΙΔΙΩΤΙΚΟ ΝΗΠΙΑΓΩΓΕΙΟ - Α. ΣΟΦΙΟΥ Ε.Ε. (ΑΓΩΓΗ ΚΑΙ ΦΡΟΝΤΙΔΑ)</t>
  </si>
  <si>
    <t>ΣΥΣΤΕΓΑΖΟΜΕΝΟ ΝΗΠΙΑΓΩΓΕΙΟ - ΣΩΤΗΡΙΟΣ ΜΑΓΚΛΑΡΑΣ (ΛΑΚΩΝΙΚΗ ΣΧΟΛΗ)</t>
  </si>
  <si>
    <t>ΣΥΣΤΕΓΑΖΟΜΕΝΟ ΝΗΠΙΑΓΩΓΕΙΟ - ΚΟΛΕΛΗ ΑΙΜΙΛΙΑ</t>
  </si>
  <si>
    <t>ΙΔΙΩΤΙΚΟ ΝΗΠΙΑΓΩΓΕΙΟ - ΚΟΝΤΟΠΟΥΛΟΥ ΟΥΡΑΝΙΑ</t>
  </si>
  <si>
    <t>ΩΑΗ34653ΠΣ-Κ0Π</t>
  </si>
  <si>
    <t>ΣΥΣΤΕΓΑΖΟΜΕΝΟ ΝΗΠΙΑΓΩΓΕΙΟ - ΖΩΓΑ ΜΑΡΙΑ (ΜΑΓΙΚΟΣ ΚΟΣΜΟΣ)</t>
  </si>
  <si>
    <t>ΣΥΣΤΕΓΑΖΟΜΕΝΟ ΝΗΠΙΑΓΩΓΕΙΟ - ΣΧΟΛΗ ΡΑΔΟΥ</t>
  </si>
  <si>
    <t>ΙΔΙΩΤΙΚΟ ΝΗΠΙΑΓΩΓΕΙΟ - ΕΚΠΑΙΔΕΥΤΗΡΙΑ Ι. ΔΙΑΜΑΝΤΟΠΟΥΛΟΥ</t>
  </si>
  <si>
    <t>ΣΥΣΤΕΓΑΖΟΜΕΝΟ ΝΗΠΙΑΓΩΓΕΙΟ - ΤΑΤΣΙΟΥ ΚΩΝΣΤΑΝΤΙΝΑ (ΠΑΙΧΝΙΔΙΑ ΚΑΙ ΟΝΕΙΡΑ)</t>
  </si>
  <si>
    <t>ΩΣΥΗ4653ΠΣ-Ζ0Ζ</t>
  </si>
  <si>
    <t>ΛΕΟΝΤΕΙΟ ΛΥΚΕΙΟ ΝΕΑΣ ΣΜΥΡΝΗΣ - ΔΗΜΟΤΙΚΟ ΑΓ. ΔΙΟΝΥΣΙΟΣ ΑΡΕΟΠΑΓΙΤΗΣ</t>
  </si>
  <si>
    <t>13224/12-10-2015</t>
  </si>
  <si>
    <t>ΙΔΙΩΤΙΚΟ ΔΗΜΟΤΙΚΟ ΑΛΙΜΟΣ - ΝΕΑ ΕΚΠΑΙΔΕΥΤΗΡΙΑ Γ ΜΑΛΛΙΑΡΑ</t>
  </si>
  <si>
    <t>ΙΔΙΩΤΙΚΟ ΔΗΜΟΤΙΚΟ - ΙΟΡΔΑΝΑΚΕΙΟ ΣΥΓΧΡΟΝΑ ΕΚΠΑΙΔΕΥΤΗΡΙΑ Α.Ε</t>
  </si>
  <si>
    <t>ΙΔΙΩΤΙΚΟ ΝΗΠΙΑΓΩΓΕΙΟ - ΤΟ ΕΡΓΑΣΤΗΡΙ</t>
  </si>
  <si>
    <t>ΙΔΙΩΤΙΚΟ ΔΗΜΟΤΙΚΟ Ν. ΣΜΥΡΝΗ - ΛΕΟΝΤΕΙΟ ΛΥΚΕΙΟ Ν. ΣΜΥΡΝΗΣ - ΧΡΥΣΟΣΤΟΜΟΣ ΣΜΥΡΝΗΣ</t>
  </si>
  <si>
    <t>ΙΔΙΩΤΙΚΟ ΝΗΠΙΑΓΩΓΕΙΟ M. ΚΩΝΣΤΑΝΤΟΠΟΥΛΟΥ - Χ. ΤΥΡΟΒΟΛΑΣ Ο.Ε. - ΛΙΛΙΠΟΥΠΟΛΗ</t>
  </si>
  <si>
    <t>11597/16-10-2017</t>
  </si>
  <si>
    <t>ΙΔΙΩΤΙΚΟ ΔΗΜΟΤΙΚΟ - ΕΥΡΩΠΑΪΚΟ ΠΡΟΤΥΠΟ</t>
  </si>
  <si>
    <t>Β ΔΗΜΟΤΙΚΟ ΠΑΣΧΑΛΗΣ ΑΝΤΩΝΗΣ &amp; ΣΙΑ Ε.Ε.</t>
  </si>
  <si>
    <t>ΙΔΙΩΤΙΚΟ ΝΗΠΙΑΓΩΓΕΙΟ - ΙΟΡΔΑΝΑΚΕΙΟ ΣΥΓΧΡΟΝΑ ΕΚΠΑΙΔΕΥΤΗΡΙΑ Α.Ε.</t>
  </si>
  <si>
    <t>ΙΔΙΩΤΙΚΟ ΔΗΜΟΤΙΚΟ ΔΕΛΑΣΑΛ</t>
  </si>
  <si>
    <t>ΙΔΙΩΤΙΚΟ ΣΥΣΤΕΓΑΖΟΜΕΝΟ ΝΗΠΙΑΓΩΓΕΙΟ - ΝΟΜΙΚΟΥ ΕΥΑΓΓΕΛΙΑ</t>
  </si>
  <si>
    <t>ΙΔΙΩΤΙΚΟ ΣΥΣΤΕΓΑΖΟΜΕΝΟ ΝΗΠΙΑΓΩΓΕΙΟ - ΤΟ ΚΟΥΚΛΟΣΠΙΤΟ</t>
  </si>
  <si>
    <t>10934/11-10-2012</t>
  </si>
  <si>
    <t>ΙΔΙΩΤΙΚΟ ΝΗΠΙΑΓΩΓΕΙΟ ΕΚΠΑΙΔΕΥΤΗΡΙΩΝ ΓΙΑΝΝΟΠΟΥΛΟΥ Α.Ε.</t>
  </si>
  <si>
    <t>ΙΔΙΩΤΙΚΟ ΝΗΠΙΑΓΩΓΕΙΟ ΝΕΑ ΣΜΥΡΝΗ - ΑΘΗΝΑΪΣ Ιερεμιάδη Γεωργία</t>
  </si>
  <si>
    <t>10285/22-09-2017</t>
  </si>
  <si>
    <t>ΙΔΙΩΤΙΚΟ ΝΗΠΙΑΓΩΓΕΙΟ Ε.Μ.Ε.D.O.F.</t>
  </si>
  <si>
    <t>ΣΥΣΤΕΓΑΖΟΜΕΝΟ ΝΗΠΙΑΓΩΓΕΙΟ - ΜΟΣΧΟΧΩΡΙΤΗ ΝΙΚΟΛΕΤΤΑ</t>
  </si>
  <si>
    <t>ΣΥΣΤΕΓΑΖΟΜΕΝΟ ΙΔΙΩΤΙΚΟ ΝΗΠΙΑΓΩΓΕΙΟ - ΕΛΕΥΘΕΡΙΟΥ ΑΘΑΝΑΣΙΑ</t>
  </si>
  <si>
    <t>ΕΚΠΑΙΔΕΥΤΗΡΙΑ ΛΑΜΠΙΡΗ - ΔΗΜΟΤΙΚΟ</t>
  </si>
  <si>
    <t>ΙΔΙΩΤΙΚΟ ΝΗΠΙΑΓΩΓΕΙΟ ΑΛΙΜΟΣ - ΤΟ ΣΠΙΤΙ ΤΩΝ ΜΙΚΡΩΝ</t>
  </si>
  <si>
    <t>ΙΔΙΩΤΙΚΟ ΔΗΜΟΤΙΚΟ Π. ΦΑΛΗΡΟ - ΣΥΓΧΡΟΝΑ ΕΚΠΑΙΔΕΥΤΗΡΙΑ Μ.ΧΟΥΡΔΑΚΗ</t>
  </si>
  <si>
    <t>14429/05-12-2013</t>
  </si>
  <si>
    <t>ΙΔΙΩΤΙΚΟ ΝΗΠΙΑΓΩΓΕΙΟ - ΜΙΑ ΦΟΡΑ ΚΑΙ ΈΝΑΝ ΚΑΙΡΟ</t>
  </si>
  <si>
    <t>ΙΔΙΩΤΙΚΟ ΣΥΣΤΕΓΑΖΟΜΕΝΟ ΝΗΠΙΑΓΩΓΕΙΟ - ΑΛΚΗΣΤΗ Ι.Κ.Ε</t>
  </si>
  <si>
    <t>ΣΥΣΤΕΓΑΖΟΜΕΝΟ ΝΗΠΙΑΓΩΓΕΙΟ - ΚΟΥΛΟΥΤΜΠΑΝΗ ΣΟΥΛΤΑΝΑ</t>
  </si>
  <si>
    <t>ΙΔΙΩΤΙΚΟ ΔΗΜΟΤΙΚΟ ΣΧΟΛΗ ΞΕΝΟΠΟΥΛΟΥ</t>
  </si>
  <si>
    <t>ΙΔΙΩΤΙΚΟ ΝΗΠΙΑΓΩΓΕΙΟ ΑΛΙΜΟΣ - ΙΔΙΩΤΙΚΟ ΝΗΠΙΑΓΩΓΕΙΟ ΓΕΝΝΑΔΙΟΣ ΕΚΠΑΙΔΕΥΤΙΚΗ Κ.ΖΩΗ ΑΕ</t>
  </si>
  <si>
    <t>144689/25-09-1990</t>
  </si>
  <si>
    <t>ΣΥΣΤΕΓΑΖΟΜΕΝΟ ΝΗΠΙΑΓΩΓΕΙΟ - ΜΑΡΙΑ ΡΕΝΤΖΕΠΗ ΚΑΙ ΣΙΑ ΕΤΕΡΟΡΡΥΘΜΟΣ ΕΤΑΙΡΕΙΑ - ΜΑΡΗ ΡΕΝΤΖΕΠΗ</t>
  </si>
  <si>
    <t>3981/11-10-2010</t>
  </si>
  <si>
    <t>ΙΔΙΩΤΙΚΟ ΔΗΜΟΤΙΚΟ - ΠΑΣΧΑΛΗΣ ΑΝΤΩΝΗΣ ΙΔΙΩΤΙΚΑ ΕΚΠΑΙΔΕΥΤΗΡΙΑ &amp; ΣΙΑ Ε.Ε.</t>
  </si>
  <si>
    <t>13112/08-10-2015</t>
  </si>
  <si>
    <t>2483/17-10-1996</t>
  </si>
  <si>
    <t xml:space="preserve">ΤΖΕΣΣΙΚΑ ΚΟΥΡΝΙΑΚΤΗ - ΜΑΡΙ ΚΛΩΝΤ ΛΕΟΜΕΝΤ &amp; ΣΙΑ Ο.Ε. (ΤΖΕΣΣΙΚΑ ΚΟΥΡΝΙΑΚΤΗ - ΜΑΡΙ ΚΛΩΝΤ ΛΕΟΜΕΝΤ &amp; ΣΙΑ </t>
  </si>
  <si>
    <t>ΙΔΙΩΤΙΚΟ ΝΗΠΙΑΓΩΓΕΙΟ ΣΧΟΛΗ ΞΕΝΟΠΟΥΛΟΥ</t>
  </si>
  <si>
    <t>11617/16-10-2017</t>
  </si>
  <si>
    <t>ΙΔΙΩΤΙΚΟ ΣΥΣΤΕΓΑΖΟΜΕΝΟ ΝΗΠΙΑΓΩΓΕΙΟ - ΘΕΟΔΩΡΟΠΟΥΛΟΥ ΓΕΩΡΓΙΑ</t>
  </si>
  <si>
    <t>20495/16-11-2015</t>
  </si>
  <si>
    <t>ΕΚΠΑΙΔΕΥΤΗΡΙΑ Γ. ΖΩΗ - ΙΔΙΩΤΙΚΟ ΝΗΠΙΑΓΩΓΕΙΟ</t>
  </si>
  <si>
    <t>12740/04-11-2016</t>
  </si>
  <si>
    <t>ΑΙΚΑΤΕΡΙΝΗ ΠΑΝΗΓΥΡΑΚΗ ΚΑΙ ΣΙΑ ΟΕ</t>
  </si>
  <si>
    <t>6ΩΘΝ4653ΠΣ-ΜΘΡ</t>
  </si>
  <si>
    <t>ΙΔΙΩΤΙΚΟ ΔΗΜΟΤΙΚΟ - ΠΑΝ. ΚΟΥΤΣΟΜΑΛΗΣ &amp; ΣΙΑ Ε.Ε</t>
  </si>
  <si>
    <t>78ΚΑ4653ΠΣ-ΥΧΣ</t>
  </si>
  <si>
    <t>ΙΔΙΩΤΙΚΟ ΝΗΠΙΑΓΩΓΕΙΟ - ΔΕΛΑΣΑΛ</t>
  </si>
  <si>
    <t>ΙΔΙΩΤΙΚΟ ΔΗΜΟΤΙΚΟ - ΣΧΟΛΕΙΟ ΣΤΑΥΡΑΚΗ 2+</t>
  </si>
  <si>
    <t>13226/12-10-2015</t>
  </si>
  <si>
    <t>2802/04-11-2011</t>
  </si>
  <si>
    <t>ΣΥΣΤΕΓΑΖΟΜΕΝΟ ΝΗΠΙΑΓΩΓΕΙΟ ΜΠΟΥΡΛΗ ΕΛΙΣΣΑΒΕΤ ΤΟΣΟΔΟΥΛΑ</t>
  </si>
  <si>
    <t>ΣΥΣΤΕΓΑΖΟΜΕΝΟ ΝΗΠΙΑΓΩΓΕΙΟ - ΓΑΛΑΝΗ ΣΤΑΘΟΥΛΑ</t>
  </si>
  <si>
    <t>2323/27-09-2011</t>
  </si>
  <si>
    <t>ΜΑΡΙΑ ΚΟΥΝΕΝΙΔΑΚΗ - ΕΥΣΤΑΘΙΟΣ ΣΙΑΝΝΑΣ Ο.Ε.</t>
  </si>
  <si>
    <t>ΙΔΙΩΤΙΚΟ ΣΥΣΤΕΓΑΖΟΜΕΝΟ ΝΗΠΙΑΓΩΓΕΙΟ ΓΙΑΝΝΟΥΔΑΚΟΣ ΔΗΜ. ΚΑΙ ΕΛΕΝΗ Ο.Ε.-ΦΩΤΕΙΝΗ</t>
  </si>
  <si>
    <t>ΣΥΣΤΕΓΑΖΟΜΕΝΟ ΙΔΙΩΤΙΚΟ ΝΗΠΙΑΓΩΓΕΙΟ ΧΑΝΤΖΗ ΜΑΡΙΑΝΑ</t>
  </si>
  <si>
    <t>1ο ΝΗΠΙΑΓΩΓΕΙΟ ΠΑΣΧΑΛΗ ΧΡΙΣΤΙΝΑ</t>
  </si>
  <si>
    <t>Παιδαγωγικά Εργαστήρια Ε.Π.Ε.</t>
  </si>
  <si>
    <t>ΨΥΤ84653ΠΣ-33Ψ</t>
  </si>
  <si>
    <t>2ο Ιδιωτικό Στεγαζόμενο Νηπιαγωγείο Εκπαιδευτηρίων Λαμπίρη</t>
  </si>
  <si>
    <t>6Δ8Ε4653ΠΣ-ΜΞΧ</t>
  </si>
  <si>
    <t>1900/06-10-1998</t>
  </si>
  <si>
    <t>ΩΒΟΨ4653ΠΣ-Ρ0Η</t>
  </si>
  <si>
    <t>2329/21-02-2014</t>
  </si>
  <si>
    <t>12059/29-09-2015</t>
  </si>
  <si>
    <t>9607/16-09-2013</t>
  </si>
  <si>
    <t>ΣΥΣΤΕΓΑΖΟΜΕΝΟ ΝΗΠΙΑΓΩΓΕΙΟ - UN DEUX TROIS</t>
  </si>
  <si>
    <t>ΙΔΙΩΤΙΚΟ ΝΗΠΙΑΓΩΓΕΙΟ ΑΛΙΜΟΣ - ΜΟΝΤΕΣΣΟΡΙΑΝΟ ΣΠΙΤΙ</t>
  </si>
  <si>
    <t>20320/12-11-2015</t>
  </si>
  <si>
    <t>ΙΔΙΩΤΙΚΟ ΝΗΠΙΑΓΩΓΕΙΟ - ΕΥΡΩΠΑΙΚΟ ΠΡΟΤΥΠΟ</t>
  </si>
  <si>
    <t>ΙΔΙΩΤΙΚΟ ΝΗΠΙΑΓΩΓΕΙΟ ΠΑΛΑΙΟ ΦΑΛΗΡΟ - ΝΕΑ ΕΚΠΑΙΔΕΥΤΗΡΙΑ Γ ΜΑΛΛΙΑΡΑ ΝΗΠΙΑΓΩΓΕΙΟ</t>
  </si>
  <si>
    <t>ΩΖΨΑ4653ΠΣ-Θ19</t>
  </si>
  <si>
    <t>Γύρω -γύρω όλοι Ε. ΜΠΑΛΤΑ - Χ. ΚΟΝΤΟΥ Ο.Ε.</t>
  </si>
  <si>
    <t>ΠΡΟΤΥΠΟ ΠΑΙΔΑΓΩΓΙΚΟ ΚΕΝΤΡΟ ΔΗΜΙΟΥΡΓΙΚΗΣ ΑΠΑΣΧΟΛΗΣΗΣ ΓΛΥΦΑΔΑΣ</t>
  </si>
  <si>
    <t>ΒΛ9Ν9-ΛΞΒ</t>
  </si>
  <si>
    <t>ΙΔΙΩΤΙΚΟ ΔΗΜΟΤΙΚΟ ΣΧΟΛΕΙΟ ΓΕΝΙΚΗΣ ΑΡΜΕΝΙΚΗΣ ΕΝΩΣΗΣ ΑΓΑΘΟΕΡΓΙΑΣ</t>
  </si>
  <si>
    <t>ΙΔΙΩΤΙΚΟ ΝΗΠΙΑΓΩΓΕΙΟ - ΦΕΓΓΑΡΟΣΤΡΑΤΑ</t>
  </si>
  <si>
    <t>ΙΔΙΩΤΙΚΟ ΝΗΠΙΑΓΩΓΕΙΟ - ΣΤΑΥΡΑΚΗ</t>
  </si>
  <si>
    <t>ΣΥΣΤΕΓΑΖΟΜΕΝΟ ΝΗΠΙΑΓΩΓΕΙΟ - ΠΑΙΔΙΚΟ ΕΡΓΑΣΤΗΡΙ ΤΑ ΣΤΡΟΥΜΦΑΚΙΑ</t>
  </si>
  <si>
    <t>ΛΟΥΣΙΝΤΑ ΚΩΝΣΤΑΝΤΙΝΙΔΟΥ &amp; ΣΙΑ Ο.Ε. (ΛΟΥΣΙΝΤΑ ΚΩΝΣΤΑΝΤΙΝΙΔΟΥ &amp; ΣΙΑ Ο.Ε.)</t>
  </si>
  <si>
    <t>ΠΑΠΑΓΑΘΑΓΓΕΛΟΥ &amp; ΣΙΑ Ε.Ε. (ΠΑΠΑΓΑΘΑΓΓΕΛΟΥ &amp; ΣΙΑ Ε.Ε.)</t>
  </si>
  <si>
    <t>ΣΥΣΤΕΓΑΖΟΜΕΝΟ ΝΗΠΙΑΓΩΓΕΙΟ - ΠΑΝΟΠΟΥΛΟΥ ΜΑΡΙΑ</t>
  </si>
  <si>
    <t>ΣΥΣΤΕΓΑΖΟΜΕΝΟ ΝΗΠΙΑΓΩΓΕΙΟ - ΣΤΑΜΕΛΟΥ ΜΑΡΙΤΣΑ ΚΑΙ ΣΙΑ ΕΤΕΡΟΡΡΥΘΜΟΣ ΕΤΑΙΡΙΑ - ΤΟ ΤΡEΝΑΚΙ</t>
  </si>
  <si>
    <t>ΙΔΙΩΤΙΚΟ ΝΗΠΙΑΓΩΓΕΙΟ ΑΛΙΜΟΣ - ΟΙ ΜΙΚΡΕΣ ΠΑΤΟΥΣΕΣ</t>
  </si>
  <si>
    <t>Ω6ΝΩ4653ΠΣ-ΞΚ6</t>
  </si>
  <si>
    <t>ΙΔΙΩΤΙΚΟ ΝΗΠΙΑΓΩΓΕΙΟ - ΔΙΑΒΟΛΗ ΜΑΡΙΑ - ΗΛΙΑ ΚΑΙ ΣΙΑ ΟΕ - ΛΙΛΟΣΠΙΤΟ</t>
  </si>
  <si>
    <t>ΙΔΙΩΤΙΚΟ ΝΗΠΙΑΓΩΓΕΙΟ - LITTLE SCHOLARS CENTRE</t>
  </si>
  <si>
    <t>ΕΥΤΥΧΙΑΔΟΥ ΕΥΑΓΓΕΛΙΑ</t>
  </si>
  <si>
    <t>ΠΕ19</t>
  </si>
  <si>
    <t>ΠΛΗΡΟΦΟΡΙΚΗΣ Α.Ε.Ι.</t>
  </si>
  <si>
    <t>ΩΒΟΠ4653ΠΣ-ΥΗΛ</t>
  </si>
  <si>
    <t>ΙΔΙΩΤΙΚΟ ΣΥΣΤΕΓΑΖΟΜΕΝΟ ΝΗΠΙΑΓΩΓΕΙΟ - ΒΕΝΝΟΥ ΠΑΝΑΓΙΩΤΑ</t>
  </si>
  <si>
    <t>2ο ΝΗΠΙΑΓΩΓΕΙΟ ΠΑΣΧΑΛΗ ΧΡΙΣΤΙΝΑ</t>
  </si>
  <si>
    <t>ΙΔΙΩΤΙΚΟ ΝΗΠΙΑΓΩΓΕΙΟ - ΤΑ ΠΡΩΤΑ ΧΡΟΝΙΑ</t>
  </si>
  <si>
    <t>ΣΥΣΤΕΓΑΖΟΜΕΝΟ ΝΗΠΙΑΓΩΓΕΙΟ - ΛΕΜΟΝΗ ΕΙΡΗΝΗ</t>
  </si>
  <si>
    <t>ΙΔΙΩΤΙΚΟ ΣΥΣΤΕΓΑΖΟΜΕΝΟ ΝΗΠΙΑΓΩΓΕΙΟ - Ο ΜΙΚΡΟΣ ΠΡΙΓΚΙΠΑΣ</t>
  </si>
  <si>
    <t>ΙΔΙΩΤΙΚΟ ΣΥΣΤΕΓΑΖΟΜΕΝΟ ΝΗΠΙΑΓΩΓΕΙΟ - Ζ. ΧΑΤΖΗΑΝΔΡΕΟΥ - Μ. ΚΟΡΔΟΠΑΤΗ ΟΕ - ΠΡΟΤΥΠΟ ΝΗΠΙΑΓΩΓΕΙΟ -ΠΑΙΔΙΚΟΣ ΣΤΑΘΜΟΣ JUNIORS</t>
  </si>
  <si>
    <t>ΣΥΣΤΕΓΑΖΟΜΕΝΟ ΝΗΠΙΑΓΩΓΕΙΟ: "ΣΥΛΛΟΓΟΣ ΓΟΝΕΩΝ &amp; ΚΗΔΕΜΟΝΩΝ ΥΠΑΛΛΗΛΩΝ ΟΑΕΔ ΑΤΤΙΚΗΣ"</t>
  </si>
  <si>
    <t>ΙΔΙΩΤΙΚΟ ΣΥΣΤΕΓΑΖΟΜΕΝΟ ΝΗΠΙΑΓΩΓΕΙΟ - ΨΑΡΟΜΜΑΤΗ ΕΥΑΓΓΕΛΙΑ - ΕΛΠΙΔΑ</t>
  </si>
  <si>
    <t>ΔΥΤ. ΑΤΤΙΚΗΣ (Π.Ε.) 2018</t>
  </si>
  <si>
    <t>ΔΙΕΥΘΥΝΣΗ Π.Ε. ΔΥΤΙΚΗΣ ΑΤΤΙΚΗΣ</t>
  </si>
  <si>
    <t>ΙΔΙΩΤΙΚΟ ΝΗΠΙΑΓΩΓΕΙΟ "ΤΟ ΣΠΙΤΑΚΙ ΤΗΣ ΣΟΚΟΛΑΤΑΣ", ΔΟΥΚΑ ΑΘΗΝΑ</t>
  </si>
  <si>
    <t>ΙΔΙΩΤΙΚΟ ΝΗΠΙΑΓΩΓΕΙΟ ΕΛΕΥΣΙΝΑ - ΤΟ ΣΠΙΤΑΚΙ ΤΗΣ ΣΟΚΟΛΑΤΑΣ</t>
  </si>
  <si>
    <t>ΙΔΙΩΤΙΚΟ ΝΗΠΙΑΓΩΓΕΙΟ - ΒΑΣΙΛΙΚΗ ΜΑΡΟΥΓΚΑ</t>
  </si>
  <si>
    <t>Φ.17/3587</t>
  </si>
  <si>
    <t>ΙΔΙΩΤΙΚΟ ΣΥΣΤΕΓΑΖΟΜΕΝΟ ΝΗΠΙΑΓΩΓΕΙΟ - ΚΟΝΤΟΠΟΥΛΟΥ ΕΥΦΡΟΣΥΝΗ</t>
  </si>
  <si>
    <t>Φ.17/74</t>
  </si>
  <si>
    <t>ΣΥΣΤΕΓΑΖΟΜΕΝΟ ΝΗΠΙΑΓΩΓΕΙΟ - ΙΔΙΩΤΙΚΟ ΝΗΠΙΑΓΩΓΕΙΟ ΠΟΛΥΧΡΟΝΙΑΔΗ ΑΝΝΑ</t>
  </si>
  <si>
    <t>Φ.17/3603</t>
  </si>
  <si>
    <t>ΥΠΗΡΕΣΙΕΣ ΠΡΩΤΟΒΑΘΜΙΑΣ ΕΚΠΑΙΔΕΥΣΗΣ - ΣΟΦΙΚΙΤΗ ΚΩΝΣΤΑΝΤΙΝΑ</t>
  </si>
  <si>
    <t>ΙΔΙΩΤΙΚΟ ΝΗΠΙΑΓΩΓΕΙΟ ΜΑΓΟΥΛΑ - ΚΑΜΑΚΑΡΗ ΑΙΚΑΤΕΡΙΝΗ</t>
  </si>
  <si>
    <t>Α΄ ΠΕΙΡΑΙΑ (Π.Ε.) 2018</t>
  </si>
  <si>
    <t>ΔΙΕΥΘΥΝΣΗ Π.Ε. ΠΕΙΡΑΙΑ</t>
  </si>
  <si>
    <t>ΙΔΙΩΤΙΚΟ ΔΗΜΟΤΙΚΟ ΠΕΙΡΑΙΑΣ - ΑΓΙΟΣ ΠΟΛΥΚΑΡΠΟΣ - ΑΓΙΟΣ ΓΕΩΡΓΙΟΣ</t>
  </si>
  <si>
    <t>ΔΗΜΟΤΙΚΟ ΕΛΛΗΝΟΓΑΛΛΙΚΗΣ ΣΧΟΛΗΣ "JEANNE D' ARC" (ΙΔΙΩΤΙΚΟ)</t>
  </si>
  <si>
    <t>19997/1</t>
  </si>
  <si>
    <t>ΙΔΙΩΤΙΚΟ ΔΗΜΟΤΙΚΟ Α.Δ. ΣΤΕΓΚΑ Ο.Ε.</t>
  </si>
  <si>
    <t>19997/2</t>
  </si>
  <si>
    <t>ΙΔΙΩΤΙΚΟ ΝΗΠΙΑΓΩΓΕΙΟ ΠΕΙΡΑΙΑΣ - ΕΚΠΑΙΔΕΥΤΗΡΙΑ Μ. ΠΕΤΡΑΚΗ-ΒΑΛΣΑΜΙΔΟΥ</t>
  </si>
  <si>
    <t>ΙΔΙΩΤΙΚΟ ΔΗΜΟΤΙΚΟ ΠΕΡΑΜΑ - ΑΓΙΟΣ ΓΕΩΡΓΙΟΣ Ε.ΠΑΥΛΟΠΟΥΛΟΥ</t>
  </si>
  <si>
    <t>756/2</t>
  </si>
  <si>
    <t>ΙΔΙΩΤΙΚΟ ΔΗΜΟΤΙΚΟ ΠΕΙΡΑΙΑΣ -ΠΡΟΤΥΠΑ ΠΕΙΡΑΪΚΑ ΕΚΠΑΙΔΕΥΤΗΡΙΑ MΕΠΕ</t>
  </si>
  <si>
    <t>19997/3</t>
  </si>
  <si>
    <t>ΠΑΙΔΑΓΩΓΙΚΗ Ιδιωτικό Δημοτικό Σχολείο</t>
  </si>
  <si>
    <t>ΙΔΙΩΤΙΚΟ ΝΗΠΙΑΓΩΓΕΙΟ Α.Δ. ΣΤΕΓΚΑ Ο.Ε.</t>
  </si>
  <si>
    <t>ΙΔΙΩΤΙΚΟ ΝΗΠΙΑΓΩΓΕΙΟ - Μ. ΛΑΜΠΙΡΗ &amp; ΣΙΑ Ο.Ε.</t>
  </si>
  <si>
    <t>ΙΔΙΩΤΙΚΟ ΣΥΣΤΕΓΑΖΟΜΕΝΟ ΝΗΠΙΑΓΩΓΕΙΟ - ΚΑΡΟΥΖΕΛ</t>
  </si>
  <si>
    <t>19997/5</t>
  </si>
  <si>
    <t>ΙΔΙΩΤΙΚΟ ΔΗΜΟΤΙΚΟ ΚΟΡΥΔΑΛΛΟΣ - ΕΚΠΑΙΔΕΥΤΗΡΙΑ ΜΑΚΡΥΓΙΑΝΝΗ</t>
  </si>
  <si>
    <t>16619/13-9-2018</t>
  </si>
  <si>
    <t>ΙΔΙΩΤΙΚΟ ΝΗΠΙΑΓΩΓΕΙΟ ΚΟΡΥΔΑΛΛΟΣ - ΕΚΠΑΙΔΕΥΤΗΡΙΑ ΜΑΚΡΥΓΙΑΝΝΗ</t>
  </si>
  <si>
    <t>ΙΔΙΩΤΙΚΟ ΣΥΣΤΕΓΑΖΟΜΕΝΟ ΝΗΠΙΑΓΩΓΕΙΟ ΠΕΙΡΑΙΑΣ - ΤΑ ΖΑΒΟΛΑΚΙΑ</t>
  </si>
  <si>
    <t>ΣΥΣΤΕΓΑΖΟΜΕΝΟ ΝΗΠΙΑΓΩΓΕΙΟ - ΚΥΡΑΓΙΑΝΝΗ ΜΑΡΓΑΡΙΤΑ</t>
  </si>
  <si>
    <t>ΙΔΙΩΤΙΚΟ ΝΗΠΙΑΓΩΓΕΙΟ - ΠΛΑΣΤΕΛΙΝΗ - ΧΟΝΔΡΟΚΟΥΚΗ ΒΕΝΕΤΙΑ ΚΑΙ ΣΙΑ ΟΕ</t>
  </si>
  <si>
    <t>ΙΔΙΩΤΙΚΟ ΝΗΠΙΑΓΩΓΕΙΟ - "Η ΠΑΡΕΟΥΛΑ" Μ. ΧΑΡΑΛΑΜΠΑΚΗ &amp; ΣΙΑ Ο.Ε.</t>
  </si>
  <si>
    <t>ΙΔΙΩΤΙΚΟ ΣΥΣΤΕΓΑΖΟΜΕΝΟ ΝΗΠΙΑΓΩΓΕΙΟ - ΑΣΤΕΡΟΣΚΟΝΗ School</t>
  </si>
  <si>
    <t>ΙΔΙΩΤΙΚΟ ΝΗΠΙΑΓΩΓΕΙΟ ΚΟΡΥΔΑΛΛΟΣ - ΠΑΛΑΤΑΚΙ ΜΟΝΟΠΡΟΣΩΠΗ ΕΠΕ</t>
  </si>
  <si>
    <t>2ο ΙΔΙΩΤΙΚΟ ΣΥΣΤΕΓΑΖΟΜΕΝΟ ΝΗΠΙΑΓΩΓΕΙΟ - ΚΑΡΟΥΖΕΛ</t>
  </si>
  <si>
    <t>19997/6</t>
  </si>
  <si>
    <t>6ΖΝΗ9-1Τ3</t>
  </si>
  <si>
    <t>73ΗΔ4653ΠΣ-ΣΣΝ</t>
  </si>
  <si>
    <t>ΙΔΙΩΤΙΚΟ ΔΗΜΟΤΙΚΟ ΚΕΡΑΤΣΙΝΙ - ΚΑΡΑΧΑΛΙΟΥ</t>
  </si>
  <si>
    <t>ΙΔΙΩΤΙΚΟ ΝΗΠΙΑΓΩΓΕΙΟ ΔΡΑΠΕΤΣΩΝΑ - ΠΕΤΡΟΥΤΣΟΠΟΥΛΟΥ ΕΛΕΝΗ</t>
  </si>
  <si>
    <t>5581/Γ</t>
  </si>
  <si>
    <t>ΙΔΙΩΤΙΚΟ ΝΗΠΙΑΓΩΓΕΙΟ ΠΕΙΡΑΙΑΣ - ΑΓ. ΠΟΛΥΚΑΡΠΟΣ-ΑΓΙΟΣ ΓΕΩΡΓΙΟΣ</t>
  </si>
  <si>
    <t>Ω2844653ΠΣ-ΠΥΔ</t>
  </si>
  <si>
    <t>ΣΥΣΤΕΓΑΖΟΜΕΝΟ ΙΔΙΩΤΙΚΟ ΝΗΠΙΑΓΩΓΕΙΟ - ΣΙΜΠΑ</t>
  </si>
  <si>
    <t>ΙΔΙΩΤΙΚΟ ΣΥΣΤΕΓΑΖΟΜΕΝΟ ΝΗΠΙΑΓΩΓΕΙΟ - ΠΑΡΑΜΥΘΕΝΙΟ ΚΟΥΚΛΟΣΠΙΤΟ</t>
  </si>
  <si>
    <t>ΣΥΣΤΕΓΑΖΟΜΕΝΟ ΝΗΠΙΑΓΩΓΕΙΟ - ΣΚΕΠΕΤΑΡΑ ΠΑΝΑΓΙΩΤΑ</t>
  </si>
  <si>
    <t>ΙΔΙΩΤΙΚΟ ΔΗΜΟΤΙΚΟ ΣΧΟΛΕΙΟ- ΘΕΜΙΣΤΟΚΛΗΣ</t>
  </si>
  <si>
    <t>10215/2</t>
  </si>
  <si>
    <t>Ιδιωτικό Νηπιαγωγείο - ΕΛΛΗΝΟΓΑΛΛΙΚΗ ΣΧΟΛΗ JEANNE D' ARC</t>
  </si>
  <si>
    <t>ΩΟΡΧ4653ΠΣ-ΧΩΙ</t>
  </si>
  <si>
    <t>Α΄ ΧΙΟΥ (Δ.Ε.) 2018</t>
  </si>
  <si>
    <t>ΔΙΕΥΘΥΝΣΗ Δ.Ε. ΧΙΟΥ</t>
  </si>
  <si>
    <t>ΠΕΡΙΦΕΡΕΙΑΚΗ Δ/ΝΣΗ Α/ΘΜΙΑΣ ΚΑΙ Β/ΘΜΙΑΣ ΕΚΠ/ΣΗΣ ΒΟΡΕΙΟΥ ΑΙΓΑΙΟΥ</t>
  </si>
  <si>
    <t>Ιδιωτικό Ημερήσιο ΕΠΑΛ</t>
  </si>
  <si>
    <t>Ιδιωτικό ΕΠΑ.Λ - ΤΣΑΚΟΣ ΕΛΛΗΝΙΚΑ ΕΚΠΑΙΔΕΥΤΗΡΙΑ ΝΑΥΤΙΚΩΝ ΣΠΟΥΔΩΝ</t>
  </si>
  <si>
    <t>ΠΕ90</t>
  </si>
  <si>
    <t>ΝΑΥΤΙΚΩΝ ΜΑΘΗΜΑΤΩΝ</t>
  </si>
  <si>
    <t>ΨΡΝ34653ΠΣ-ΕΤΙ</t>
  </si>
  <si>
    <t>Α΄ ΛΕΣΒΟΥ (Π.Ε.) 2018</t>
  </si>
  <si>
    <t>ΔΙΕΥΘΥΝΣΗ Π.Ε. ΛΕΣΒΟΥ</t>
  </si>
  <si>
    <t>ΙΔΙΩΤΙΚΟ ΝΗΠ/ΓΕΙΟ Π. ΚΟΥΦΕΛΟΥ Ε.Ε.</t>
  </si>
  <si>
    <t>ΙΔΙΩΤΙΚΟ ΝΗΠΙΑΓΩΓΕΙΟ ΠΛΑΤΩΝΟΣ-ΝΗΠΙΑΓΩΓΕΙΟ Ο ΠΑΡΑΜΥΘΕΝΙΟΣ ΚΟΣΜΟΣ</t>
  </si>
  <si>
    <t>1546/12-05-2011</t>
  </si>
  <si>
    <t>Α΄ ΧΙΟΥ (Π.Ε.) 2018</t>
  </si>
  <si>
    <t>ΔΙΕΥΘΥΝΣΗ Π.Ε. ΧΙΟΥ</t>
  </si>
  <si>
    <t>ΙΔΙΩΤΙΚΟ ΝΗΠΙΑΓΩΓΕΙΟ ΧΙΟΣ - ΤΑ ΧΕΛΙΔΟΝΙΑ</t>
  </si>
  <si>
    <t>ΙΔΙΩΤΙΚΟ ΝΗΠΙΑΓΩΓΕΙΟ "ΚΑΡΑΜΕΛΑ"</t>
  </si>
  <si>
    <t>ΑΙΤΩΛΟΑΚΑΡΝΑΝΙΑΣ (Δ.Ε.) 2018</t>
  </si>
  <si>
    <t>ΔΙΕΥΘΥΝΣΗ Δ.Ε. ΑΙΤΩΛΟΑΚΑΡΝΑΝΙΑΣ</t>
  </si>
  <si>
    <t>ΠΕΡΙΦΕΡΕΙΑΚΗ Δ/ΝΣΗ Α/ΘΜΙΑΣ ΚΑΙ Β/ΘΜΙΑΣ ΕΚΠ/ΣΗΣ ΔΥΤΙΚΗΣ ΕΛΛΑΔΑΣ</t>
  </si>
  <si>
    <t>ΙΔΙΩΤΙΚΟ ΓΥΜΝΑΣΙΟ ΝΑΥΠΑΚΤΟΣ - ΕΚΠΑΙΔΕΥΤΗΡΙΑ ΠΑΝΟΥ</t>
  </si>
  <si>
    <t>ΦΔ18/2/6796/14-09-2017</t>
  </si>
  <si>
    <t>ΙΔΙΩΤΙΚΟ ΓΕΛ "ΠΑΝΑΓΙΑ ΠΡΟΥΣΙΩΤΙΣΣΑ"</t>
  </si>
  <si>
    <t>ΕΚΠΑΙΔΕΥΤΗΡΙΑ ΠΑΝΟΥ - ΓΕΝΙΚΟ ΛΥΚΕΙΟ</t>
  </si>
  <si>
    <t>ΙΔΙΩΤΙΚΟ ΓΥΜΝΑΣΙΟ "ΠΑΝΑΓΙΑ ΠΡΟΥΣΙΩΤΙΣΣΑ"</t>
  </si>
  <si>
    <t>ΦΔ12.2/7651/28-9-2018</t>
  </si>
  <si>
    <t>ΦΔ18/2/7018/19.09.2017</t>
  </si>
  <si>
    <t>ΦΔ12.2/7650</t>
  </si>
  <si>
    <t>ΑΧΑΪΑΣ (Δ.Ε.) 2018</t>
  </si>
  <si>
    <t>ΔΙΕΥΘΥΝΣΗ Δ.Ε. ΑΧΑΪΑΣ</t>
  </si>
  <si>
    <t>ΙΔΙΩΤΙΚΟ ΓΕΝΙΚΟ ΛΥΚΕΙΟ ΑΝΑΓΕΝΝΗΣΗ ΙΚΕ</t>
  </si>
  <si>
    <t>ΑΡΣΑΚΕΙΟ ΓΥΜΝΑΣΙΟ ΠΑΤΡΑΣ</t>
  </si>
  <si>
    <t>Ιδιωτικό Ισότιμο Λύκειο - ΑΡΣΑΚΕΙΟ ΓΕΝΙΚΟ ΛΥΚΕΙΟ ΠΑΤΡΩΝ</t>
  </si>
  <si>
    <t>Φ.17/16539/9/24-10-2018</t>
  </si>
  <si>
    <t>Ιδιωτικό Εσπερινό ΕΠΑΛ</t>
  </si>
  <si>
    <t>Ιδιωτικό Εσπερινό ΕΠΑ.Λ - ΤΡΙΑΝΤΕΙΟ ΕΣΠΕΡΙΝΟ ΕΠΑ.Λ</t>
  </si>
  <si>
    <t>Φ.17/16539/3/24-10-2018</t>
  </si>
  <si>
    <t>Φ. 17.2_ A/12078/1</t>
  </si>
  <si>
    <t>ΙΔΙΩΤΙΚΟ ΓΥΜΝΑΣΙΟ "ΑΝΑΓΕΝΝΗΣΗ IKE"</t>
  </si>
  <si>
    <t>Φ. 17.2_ A/12078/2</t>
  </si>
  <si>
    <t>Φ.17/16539/6/24-10-2018</t>
  </si>
  <si>
    <t>Φ. 17.2_ A_/12078/4</t>
  </si>
  <si>
    <t>Φ. 17.2_ A/14075/1/8-11-2018</t>
  </si>
  <si>
    <t>ΙΔΙΩΤΙΚΟ ΔΗΜΟΤΙΚΟ ΠΛΑΤΑΝΙ ΡΙΟΥ - ΑΡΣΑΚΕΙΟ ΔΗΜ.ΣΧ.ΠΑΤΡΩΝ</t>
  </si>
  <si>
    <t>ΑΧΑΪΑΣ (Π.Ε.) 2018</t>
  </si>
  <si>
    <t>ΔΙΕΥΘΥΝΣΗ Π.Ε. ΑΧΑΪΑΣ</t>
  </si>
  <si>
    <t>Φ.17/16539/5/24-10-2018</t>
  </si>
  <si>
    <t>Φ. 17.2_ A/11971/2/28-09-2018</t>
  </si>
  <si>
    <t>Φ. 17.2_ A_/14075/3</t>
  </si>
  <si>
    <t>Φ. 17.2_ A_/12078/5/28-9-2018</t>
  </si>
  <si>
    <t>Φ. 17.2_ A_/12078/6/02-10-2018</t>
  </si>
  <si>
    <t>Φ. 17.2_ A_/12926/11-10-2017</t>
  </si>
  <si>
    <t>Φ. 17.2_ A_/14075/4</t>
  </si>
  <si>
    <t>Φ.17/16539/7/24-10-2018</t>
  </si>
  <si>
    <t>Φ. 17.2_ A/12078/7/5-10-2018</t>
  </si>
  <si>
    <t>Φ.17.2_Α/17529/13-11-2018</t>
  </si>
  <si>
    <t>Φ.17/16539/2/24-10-2018</t>
  </si>
  <si>
    <t>Φ.17/16539/4/24-10-2018</t>
  </si>
  <si>
    <t>Φ. 17.2_ A/15378/1/26-10-2018</t>
  </si>
  <si>
    <t>Φ. 17.2_ A/11971/1</t>
  </si>
  <si>
    <t>Φ. 17.2_ A_/13968/4</t>
  </si>
  <si>
    <t>Φ.17/16539/8/24-10-2018</t>
  </si>
  <si>
    <t>Φ. 17.2_ A/11971/2/5-9-2018</t>
  </si>
  <si>
    <t>Φ.17/16539/10/24-10-2018</t>
  </si>
  <si>
    <t>Φ.17/16539/1/24-10-2018</t>
  </si>
  <si>
    <t>Φ. 17.2_ A_/11971/3/25-09-2018</t>
  </si>
  <si>
    <t>ΑΙΤΩΛΟΑΚΑΡΝΑΝΙΑΣ (Π.Ε.) 2018</t>
  </si>
  <si>
    <t>ΔΙΕΥΘΥΝΣΗ Π.Ε. ΑΙΤΩΛΟΑΚΑΡΝΑΝΙΑΣ</t>
  </si>
  <si>
    <t>ΙΔΙΩΤΙΚΟ ΔΗΜΟΤΙΚΟ ΠΑΛΑΙΟΠΑΝΑΓΙΑ ΝΑΥΠΑΚΤΟΥ - ΙΔΙΩΤΙΚΟ ΔΗΜΟΤΙΚΟ ΣΧΟΛΕΙΟ ΕΚΠΑΙΔΕΥΤΗΡΙΑ ΠΑΝΟΥ</t>
  </si>
  <si>
    <t>ΙΔΙΩΤΙΚΟ ΝΗΠΙΑΓΩΓΕΙΟ ΠΑΛΑΙΟΠΑΝΑΓΙΑ ΝΑΥΠΑΚΤΟΥ - ΙΔΙΩΤΙΚΟ ΝΗΠΙΑΓΩΓΕΙΟ ΕΚΠΑΙΔΕΥΤΗΡΙΑ ΠΑΝΟΥ</t>
  </si>
  <si>
    <t>ΙΔΙΩΤΙΚΟ ΔΗΜΟΤΙΚΟ ΣΧΟΛΕΙΟ "ΠΑΝΑΓΙΑ ΠΡΟΥΣΙΩΤΙΣΣΑ"</t>
  </si>
  <si>
    <t>ΙΔΙΩΤΙΚΟ ΝΗΠΙΑΓΩΓΕΙΟ - ΜΑΓΙΚΟΣ ΠΑΡΑΜΥΘΕΝΙΟΣ ΚΟΣΜΟΣ</t>
  </si>
  <si>
    <t>Ω2Σ54653ΠΣ-34Ψ</t>
  </si>
  <si>
    <t>ΙΔΙΩΤΙΚΟ ΝΗΠΙΑΓΩΓΕΙΟ ΚΟΛΟΒΟΥ ΒΑΣΙΛΙΚΗ  ''ΜΑΓΙΚΟΣ ΑΥΛΟΣ''</t>
  </si>
  <si>
    <t>Ιδιωτικό Νηπιαγωγείο "Η Κιβωτός"</t>
  </si>
  <si>
    <t>ΩΛΟΥ4653ΠΣ-ΝΗ4</t>
  </si>
  <si>
    <t>ΦΔ12.2/6764</t>
  </si>
  <si>
    <t>ΦΔ12.2/7652/28-9-2018</t>
  </si>
  <si>
    <t>ΙΔΙΩΤΙΚΟ ΝΗΠΙΑΓΩΓΕΙΟ ΑΓΡΙΝΙΟ - Ο ΚΟΣΜΟΣ ΤΟΥ ΝΤΙΣΝΕΥ</t>
  </si>
  <si>
    <t>ΙΔΙΩΤΙΚΟ ΝΗΠΙΑΓΩΓΕΙΟ ΠΛΑΤΑΝΙ ΡΙΟΥ - ΑΡΣΑΚΕΙΟ ΝΗΠΙΑΓΩΓΕΙΟ ΠΑΤΡΩΝ</t>
  </si>
  <si>
    <t>ΙΔΙΩΤΙΚΟ ΝΗΠΙΑΓΩΓΕΙΟ ΠΑΤΡΑ ΜΑΡΙΑ ΑΝΤΩΝΙΑΔΗ ΜΟΝΟΠΡΟΣΩΠΗ ΕΠΕ</t>
  </si>
  <si>
    <t>ΣΥΣΤΕΓΑΖΟΜΕΝΟ ΙΔΙΩΤΙΚΟ ΝΗΠΙΑΓΩΓΕΙΟ - ΜΙΚΡΟ ΓΥΡΙ Ι.Κ.Ε.</t>
  </si>
  <si>
    <t>8621/3-7-2014</t>
  </si>
  <si>
    <t>ΙΔΙΩΤΙΚΟ ΔΗΜΟΤΙΚΟ ΠΑΤΡΑΣ ΕΚΠΑΙΔΕΥΤΗΡΙΑ ΑΝΑΓΕΝΝΗΣΗ ΙΚΕ</t>
  </si>
  <si>
    <t>9504/28-9-2017</t>
  </si>
  <si>
    <t>70/21-9-2018</t>
  </si>
  <si>
    <t>1524/8-9-2010</t>
  </si>
  <si>
    <t>ΙΔΙΩΤΙΚΟ ΝΗΠΙΑΓΩΓΕΙΟ ΑΙΓΙΟ - ΔΗΜΟΠΟΥΛΟΥ ΜΑΡΙΑΝΘΗ</t>
  </si>
  <si>
    <t>61/22-9-2014</t>
  </si>
  <si>
    <t>ΙΔΙΩΤΙΚΟ ΝΗΠΙΑΓΩΓΕΙΟ - ΜΑΓΙΚΟΣ ΑΥΛΟΣ</t>
  </si>
  <si>
    <t>ΙΔΙΩΤΙΚΟ ΝΗΠΙΑΓΩΓΕΙΟ ΜΕΣΑΤΙΔΑ ΑΧΑΪΑΣ - ΙΔ. ΝΗΠ. ΣΚΟΥΡΑΣ ΠΑΥΛΟΣ</t>
  </si>
  <si>
    <t>ΙΔΙΩΤΙΚΟ ΝΗΠΙΑΓΩΓΕΙΟ ΠΑΤΡΑ - ΙΔ. ΝΗΠ. ΚΑΡΑΠΑΠΑ ΚΩΝΣΤΑΝΤΙΝΑ</t>
  </si>
  <si>
    <t>6ΖΝΗ9-1Τ3 (&amp; 70/21-9-2018)</t>
  </si>
  <si>
    <t>40/22-5-2018</t>
  </si>
  <si>
    <t>9691/29-10-2015</t>
  </si>
  <si>
    <t>Φ.17.2_Α/15053</t>
  </si>
  <si>
    <t>70/27-10-2011</t>
  </si>
  <si>
    <t>ΙΔ. ΝΗΠ. ΜΑΝΙΚΑ ΑΙΚΑΤΕΡΙΝΗ - "ΤΟ ΠΑΡΑΜΥΘΙ"</t>
  </si>
  <si>
    <t>100/19-11-2010</t>
  </si>
  <si>
    <t>ΙΔΙΩΤΙΚΟ ΝΗΠΙΑΓΩΓΕΙΟ ΠΑΤΡΑ - ΙΔ. ΝΗΠ. ΠΕΛΑΡΓΟΣ Α.Ε.</t>
  </si>
  <si>
    <t>ΙΔΙΩΤΙΚΟ ΝΗΠΙΑΓΩΓΕΙΟ ΑΙΓΙΟ - ΕΚΚΛΗΣΙΑΣΤΙΚΟΣ ΒΡΕΦΟΝΗΠΙΑΚΟΣ ΣΤΑΘΜΟΣ ΤΑ ΑΓΓΕΛΟΥΔΑΚΙΑ</t>
  </si>
  <si>
    <t>ΑΠ510859</t>
  </si>
  <si>
    <t>ΙΔΙΩΤΙΚΟ ΝΗΠΙΑΓΩΓΕΙΟ ΑΙΓΙΟ - ΝΙΚΟΛΟΠΟΥΛΟΥ ΤΡΙΣΕΥΓΕΝΗ</t>
  </si>
  <si>
    <t>ΙΔΙΩΤΙΚΟ ΝΗΠΙΑΓΩΓΕΙΟ ΡΙΟ ΠΑΤΡΩΝ - ΙΔ. ΝΗΠ. ΓΕΩΡΜΑ ΑΙΚΑΤΕΡΙΝΗ</t>
  </si>
  <si>
    <t>7Β654653ΠΣ-ΞΩΟ</t>
  </si>
  <si>
    <t>ΙΔΙΩΤΙΚΟ ΝΗΠΙΑΓΩΓΕΙΟ ΠΑΤΡΑ - ΙΔ. ΝΗΠ. ΡΕΖΙΤΗΣ ΣΩΤΗΡΙΟΣ-ΓΕΡΑΣΙΜΟΣ</t>
  </si>
  <si>
    <t>ΑΚΧ25950</t>
  </si>
  <si>
    <t>66/14-9-2018</t>
  </si>
  <si>
    <t>ΒΘΛΧ9-ΖΜ1</t>
  </si>
  <si>
    <t>ΙΔΙΩΤΙΚΟ ΝΗΠΙΑΓΩΓΕΙΟ ΡΙΟ ΠΑΤΡΩΝ - ΙΔ. ΝΗΠ. ΧΡΙΣΤΟΠΟΥΛΟΥ ΕΛΕΝΗ-ΕΙΡΗΝΗ-ΝΑΥΤΙΛΟΣ</t>
  </si>
  <si>
    <t>ΗΛΕΙΑΣ (Π.Ε.) 2018</t>
  </si>
  <si>
    <t>ΔΙΕΥΘΥΝΣΗ Π.Ε. ΗΛΕΙΑΣ</t>
  </si>
  <si>
    <t>ΙΔΙΩΤΙΚΟ ΝΗΠΙΑΓΩΓΕΙΟ ΠΥΡΓΟΣ ΗΛΕΙΑΣ - ΜΙΚΡΟΚΟΣΜΟΣ</t>
  </si>
  <si>
    <t>ΙΔΙΩΤΙΚΟ ΣΥΣΤΕΓΑΖΟΜΕΝΟ ΝΗΠΙΑΓΩΓΕΙΟ - ΠΑΝΤΑΖΟΠΟΥΛΟΥ ΙΩΑΝΝΑ</t>
  </si>
  <si>
    <t>ΑΠ1896518</t>
  </si>
  <si>
    <t>ΙΔΙΩΤΙΚΟ ΝΗΠΙΑΓΩΓΕΙΟ ΠΥΡΓΟΣ - ΙΔΙΩΤΙΚΟ ΣΥΣΤΕΓΑΖΟΜΕΝΟ ΝΗΠΙΑΓΩΓΕΙΟ- ΠΡΟΣΧΟΛΙΚΗ ΑΓΩΓΗ ΡΗΓΑΣ 1970- ΡΗΓΑ ΚΑΙ ΣΙΑ ΙΚΕ</t>
  </si>
  <si>
    <t>ΑΠ1896317</t>
  </si>
  <si>
    <t>ΑΠ1896389</t>
  </si>
  <si>
    <t>ΑΠ1896455</t>
  </si>
  <si>
    <t>61ΗΔ4653ΠΣ-06Ψ</t>
  </si>
  <si>
    <t>ΚΑΣΤΟΡΙΑΣ (Π.Ε.) 2018</t>
  </si>
  <si>
    <t>ΔΙΕΥΘΥΝΣΗ Π.Ε. ΚΑΣΤΟΡΙΑΣ</t>
  </si>
  <si>
    <t>ΠΕΡΙΦΕΡΕΙΑΚΗ Δ/ΝΣΗ Α/ΘΜΙΑΣ ΚΑΙ Β/ΘΜΙΑΣ ΕΚΠ/ΣΗΣ ΔΥΤΙΚΗΣ ΜΑΚΕΔΟΝΙΑΣ</t>
  </si>
  <si>
    <t>Ιδιωτικό Συστεγαζόμενο Νηπιαγωγείο - ΜΙΚΡΟΙ ΕΞΕΡΕΥΝΗΤΕΣ</t>
  </si>
  <si>
    <t>ΚΟΖΑΝΗΣ (Π.Ε.) 2018</t>
  </si>
  <si>
    <t>ΔΙΕΥΘΥΝΣΗ Π.Ε. ΚΟΖΑΝΗΣ</t>
  </si>
  <si>
    <t>ΙΔΙΩΤΙΚΟ ΝΗΠΙΑΓΩΓΕΙΟ ΠΤΟΛΕΜΑΪΔΑ - ΚΟΥΤΡΟΥΔΗ ΓΕΩΡΓΙΑ</t>
  </si>
  <si>
    <t>ΙΔΙΩΤΙΚΟ ΝΗΠΙΑΓΩΓΕΙΟ ΚΟΖΑΝΗ - Α-ΜΠΕ-ΜΠΑ-ΜΠΛΟΜ</t>
  </si>
  <si>
    <t>ΙΔΙΩΤΙΚΟ ΝΗΠΙΑΓΩΓΕΙΟ ΠΤΟΛΕΜΑΙΔΑ - ΠΛΕΞΙΔΑΣ ΝΙΚΟΛΑΟΣ ΚΑΙ ΣΙΑ Ο.Ε.</t>
  </si>
  <si>
    <t>ΙΔΙΩΤΙΚΟ ΝΗΠΙΑΓΩΓΕΙΟ ΠΤΟΛΕΜΑΪΔΑ - ΠΙΣΤΙΚΟΥΔΗ ΜΑΡΙΑΝΘΗ</t>
  </si>
  <si>
    <t>ΙΔΙΩΤΙΚΟ ΝΗΠΙΑΓΩΓΕΙΟ ΚΟΖΑΝΗ - ΣΤΡΟΥΜΦΑΚΙΑ</t>
  </si>
  <si>
    <t>ΙΔΙΩΤΙΚΟ ΝΗΠΙΑΓΩΓΕΙΟ ΚΡΟΚΟΣ ΚΟΖΑΝΗΣ - ΛΙΛΙΠΟΥΠΟΛΗ</t>
  </si>
  <si>
    <t>ΙΩΑΝΝΙΝΩΝ (Δ.Ε.) 2018</t>
  </si>
  <si>
    <t>ΔΙΕΥΘΥΝΣΗ Δ.Ε. ΙΩΑΝΝΙΝΩΝ</t>
  </si>
  <si>
    <t>ΠΕΡΙΦΕΡΕΙΑΚΗ Δ/ΝΣΗ Α/ΘΜΙΑΣ ΚΑΙ Β/ΘΜΙΑΣ ΕΚΠ/ΣΗΣ ΗΠΕΙΡΟΥ</t>
  </si>
  <si>
    <t>ΑΝΩΝΥΜΗ ΕΚΠΑΙΔΕΥΤΙΚΗ ΜΟΡΦΩΤΙΚΗ ΕΤΑΙΡΕΙΑ ΓΥΜΝΑΣΙΟ ΕΚΠΑΙΔΕΥΤΗΡΙΩΝ ΓΕΝΕΣΙΣ</t>
  </si>
  <si>
    <t>ΑΡΣΑΚΕΙΟ ΓΕΝΙΚΟ ΛΥΚΕΙΟ IΩΑΝΝΙΝΩΝ</t>
  </si>
  <si>
    <t>ΦΑΦ/10272/6-10-2017</t>
  </si>
  <si>
    <t>ΙΔΙΩΤΙΚΟ ΓΥΜΝΑΣΙΟ ΙΩΑΝΝΙΝΑ - ΔΩΔΩΝΑΙΑ ΕΚΠΑΙΔΕΥΤΗΡΙΑ</t>
  </si>
  <si>
    <t>ΔΩΔΩΝΑΙΑ ΕΚΠΑΙΔΕΥΤΗΡΙΑ - ΙΔΙΩΤΙΚΟ ΗΜΕΡΗΣΙΟ ΛΥΚΕΙΟ ΙΩΑΝΝΙΝΩΝ</t>
  </si>
  <si>
    <t>ΑΡΣΑΚΕΙΟ ΓΥΜΝΑΣΙΟ ΙΩΑΝΝΙΝΩΝ</t>
  </si>
  <si>
    <t>ΙΔΙΩΤΙΚΟ ΗΜΕΡΗΣΙΟ ΛΥΚΕΙΟ ΙΩΑΝΝΙΝΑ - ΕΚΠΑΙΔΕΥΤΗΡΙΑ ΓΕΝΕΣΙΣ</t>
  </si>
  <si>
    <t>9146/1-10-2018</t>
  </si>
  <si>
    <t>8412/18-9-2018</t>
  </si>
  <si>
    <t>9625/15-10-2015</t>
  </si>
  <si>
    <t>13971/18-12-2017</t>
  </si>
  <si>
    <t>8703/25-9-2018</t>
  </si>
  <si>
    <t>ΙΔΙΩΤΙΚΟ ΓΥΜΝΑΣΙΟ-ΜΟΡΦΩΤΙΚΟΣ ΚΑΙ ΠΟΛΙΤΙΣΤΙΚΟΣ ΣΥΛΛΟΓΟΣ " ΤΟ ΑΝΘΟΣ "</t>
  </si>
  <si>
    <t>9186/11-9-2017</t>
  </si>
  <si>
    <t>10956/7-11-2018</t>
  </si>
  <si>
    <t>6Ι134653ΠΣ-0ΙΠ</t>
  </si>
  <si>
    <t>9172/30-09-2015</t>
  </si>
  <si>
    <t>ΑΡΤΑΣ (Π.Ε.) 2018</t>
  </si>
  <si>
    <t>ΔΙΕΥΘΥΝΣΗ Π.Ε. ΑΡΤΑΣ</t>
  </si>
  <si>
    <t>ΙΔΙΩΤΙΚΟ ΝΗΠΙΑΓΩΓΕΙΟ "ΜΕΡΑΝΤΖΑ ΕΛΕΝΗ"</t>
  </si>
  <si>
    <t>ΙΔΙΩΤΙΚΟ ΝΗΠΙΑΓΩΓΕΙΟ ΑΡΤΑ - Θ. ΜΠΟΖΙΟΥ ΚΑΙ Σ.Ι.Α. Ο.Ε.</t>
  </si>
  <si>
    <t>1722/24-03-2015</t>
  </si>
  <si>
    <t>ΙΔΙΩΤΙΚΟ ΝΗΠΙΑΓΩΓΕΙΟ ΝΙΚΗΦΟΡΟΥ ΠΑΠΑΧΡΗΣΤΟΥ</t>
  </si>
  <si>
    <t>ΘΕΣΠΡΩΤΙΑΣ (Π.Ε.) 2018</t>
  </si>
  <si>
    <t>ΔΙΕΥΘΥΝΣΗ Π.Ε. ΘΕΣΠΡΩΤΙΑΣ</t>
  </si>
  <si>
    <t>ΙΔΙΩΤΙΚΟ ΝΗΠΙΑΓΩΓΕΙΟ ΗΓΟΥΜΕΝΙΤΣΑΣ - Φ.ΜΕΣΧΙΝΗ ΚΑΙ ΣΙΑ Ο.Ε.</t>
  </si>
  <si>
    <t>Φ.17/5739/31-08-2018</t>
  </si>
  <si>
    <t>ΙΩΑΝΝΙΝΩΝ (Π.Ε.) 2018</t>
  </si>
  <si>
    <t>ΔΙΕΥΘΥΝΣΗ Π.Ε. ΙΩΑΝΝΙΝΩΝ</t>
  </si>
  <si>
    <t>ΑΡΣΑΚΕΙΟ ΔΗΜΟΤΙΚΟ ΣΧΟΛΕΙΟ ΙΩΑΝΝΙΝΩΝ</t>
  </si>
  <si>
    <t>ΙΔΙΩΤΙΚΟ ΔΗΜΟΤΙΚΟ ΙΩΑΝΝΙΝΑ - ΕΚΠΑΙΔΕΥΤΗΡΙΑ ΓΕΝΕΣΙΣ</t>
  </si>
  <si>
    <t>ΙΔΙΩΤΙΚΟ ΝΗΠΙΑΓΩΓΕΙΟ - ΠΑΡΑΜΥΘΟΥΠΟΛΗ</t>
  </si>
  <si>
    <t>ΙΔΙΩΤΙΚΟ ΝΗΠΙΑΓΩΓΕΙΟ ΓΕΩΡΓΙΑΣ ΓΙΑΝΝΑΚΟΠΟΥΛΟΥ</t>
  </si>
  <si>
    <t>Φ.17/8848/31-10-2018</t>
  </si>
  <si>
    <t>ΙΔΙΩΤΙΚΟ ΔΗΜΟΤΙΚΟ - ΙΔΙΩΤΙΚΟ ΔΗΜΟΤΙΚΟ ΣΧΟΛΕΙΟ ΟΛΓΑΣ ΝΤΟΤΗ-ΟΙΚΟΝΟΜΟΥ</t>
  </si>
  <si>
    <t>4341/3-12-2010</t>
  </si>
  <si>
    <t>Φ.17/7339/06-09-2017</t>
  </si>
  <si>
    <t>Φ.17/4646/04-07-2018</t>
  </si>
  <si>
    <t>4284/18-11-2011</t>
  </si>
  <si>
    <t>7379/08-10-2018</t>
  </si>
  <si>
    <t>Φ.17/6451/10-09-2018</t>
  </si>
  <si>
    <t>ΙΔΙΩΤΙΚΟ ΝΗΠΙΑΓΩΓΕΙΟ - "ΗΛΙΟΤΡΟΠΙΟ"</t>
  </si>
  <si>
    <t>7242/6-9-2017</t>
  </si>
  <si>
    <t>ΙΔΙΩΤΙΚΟ ΣΥΣΤΕΓΑΖΟΜΕΝΟ ΝΗΠΙΑΓΩΓΕΙΟ - ΠΡΩΤΗ ΠΡΟΒΑ ΙΩΑΝΝΙΝΩΝ</t>
  </si>
  <si>
    <t>Φ.17/9013/17-10-2017</t>
  </si>
  <si>
    <t>6998/24-09-2018</t>
  </si>
  <si>
    <t>ΙΔΙΩΤΙΚΟ ΔΗΜΟΤΙΚΟ - ΜΟΡΦΩΤΙΚΟΣ ΚΑΙ ΠΟΛΙΤΙΣΤΙΚΟΣ ΣΥΛΛΟΓΟΣ "ΤΟ ΑΝΘΟΣ" (ΔΟΥΡΑΧΑΝΗΣ)</t>
  </si>
  <si>
    <t>ΙΔΙΩΤΙΚΟ ΝΗΠΙΑΓΩΓΕΙΟ ΙΩΑΝΝΙΝΑ - ΑΡΣΑΚΕΙΟ ΝΗΠΙΑΓΩΓΕΙΟ ΙΩΑΝΝΙΝΩΝ</t>
  </si>
  <si>
    <t>11818/24-12-2012</t>
  </si>
  <si>
    <t>6ΚΛΛ4653ΠΣ-ΖΡ8</t>
  </si>
  <si>
    <t>ΙΔΙΩΤΙΚΟ ΝΗΠΙΑΓΩΓΕΙΟ "ΤΣΙΟΥΚΡΑ Ε. - ΜΗΤΣΗ Β. Ο.Ε.''</t>
  </si>
  <si>
    <t>Φ.17/6002/14-09-2018</t>
  </si>
  <si>
    <t>ΙΔΙΩΤΙΚΟ ΝΗΠΙΑΓΩΓΕΙΟ ΙΩΑΝΝΙΝΑ - ΤΟ ΠΑΡΑΜΥΘΙ ΤΗΣ ΠΕΤΑΛΟΥΔΑΣ</t>
  </si>
  <si>
    <t>7305/08-10-2018</t>
  </si>
  <si>
    <t>Φ.17/11994/23-11-2015</t>
  </si>
  <si>
    <t>ΙΔΙΩΤΙΚΟ ΣΥΣΤΕΓΑΖΟΜΕΝΟ ΝΗΠΙΑΓΩΓΕΙΟ - ΣΥΓΧΡΟΝΟ ΝΗΠΙΑΓΩΓΕΙΟ</t>
  </si>
  <si>
    <t>φ.17/7339/06-09-2017</t>
  </si>
  <si>
    <t>3412/9/11/2001</t>
  </si>
  <si>
    <t>1217/20/5/1997</t>
  </si>
  <si>
    <t>Φ.17/6126/10-09-2018</t>
  </si>
  <si>
    <t>ΙΔΙΩΤΙΚΟ ΝΗΠΙΑΓΩΓΕΙΟ - Η ΦΩΛΙΑ ΜΑΣ</t>
  </si>
  <si>
    <t>1819/13/3/2014</t>
  </si>
  <si>
    <t>Φ.17/6357/13-09-2018</t>
  </si>
  <si>
    <t>Ιδιωτικό Συστεγαζόμενο Νηπιαγωγείο - ΜΥΣΤΙΚΟ ΚΛΕΙΔΙ</t>
  </si>
  <si>
    <t>Φ.17/4647/04-07-2018</t>
  </si>
  <si>
    <t>3063/11/9/2008</t>
  </si>
  <si>
    <t>9874/30-10-2012</t>
  </si>
  <si>
    <t>Φ.17/11454/16-11-2015</t>
  </si>
  <si>
    <t>ΙΔΙΩΤΙΚΟ ΝΗΠΙΑΓΩΓΕΙΟ - ΙΔΙΩΤΙΚΟ Ν/ΓΕΙΟ ΟΛΓΑΣ ΝΤΟΤΗ-ΟΙΚΟΝΟΜΟΥ</t>
  </si>
  <si>
    <t>7756/18-9-2017</t>
  </si>
  <si>
    <t>ΠΡΕΒΕΖΑΣ (Π.Ε.) 2018</t>
  </si>
  <si>
    <t>ΔΙΕΥΘΥΝΣΗ Π.Ε. ΠΡΕΒΕΖΑΣ</t>
  </si>
  <si>
    <t>ΙΔΙΩΤΙΚΟ ΝΗΠΙΑΓΩΓΕΙΟ - ΚΛΗΡΟΔΟΤΗΜΑ ΣΠΥΡΙΔΩΝΟΣ ΚΑΡΑΜΑΝΗ</t>
  </si>
  <si>
    <t>19089/01-09-2017</t>
  </si>
  <si>
    <t>ΛΑΡΙΣΑΣ (Δ.Ε.) 2018</t>
  </si>
  <si>
    <t>ΔΙΕΥΘΥΝΣΗ Δ.Ε. ΛΑΡΙΣΑΣ</t>
  </si>
  <si>
    <t>ΠΕΡΙΦΕΡΕΙΑΚΗ Δ/ΝΣΗ Α/ΘΜΙΑΣ ΚΑΙ Β/ΘΜΙΑΣ ΕΚΠ/ΣΗΣ ΘΕΣΣΑΛΙΑΣ</t>
  </si>
  <si>
    <t>ΙΔ. ΓΥΜΝΑΣΙΟ Ν. ΜΠΑΚΟΓΙΑΝΝΗ</t>
  </si>
  <si>
    <t>ΙΔΙΩΤΙΚΟ ΗΜΕΡΗΣΙΟ ΓΕΝΙΚΟ ΛΥΚΕΙΟ - ΚΕΝΤΡΟ ΕΛΛΗΝΙΚΗΣ ΠΑΙΔΕΙΑΣ / ΕΚΠΑΙΔΕΥΤΗΡΙΑ ΜΑΙΡΗΣ Ν.ΡΑΠΤΟΥ</t>
  </si>
  <si>
    <t>19828/01-09-2018</t>
  </si>
  <si>
    <t>ΙΔΙΩΤΙΚΟ ΗΜΕΡΗΣΙΟ ΓΥΜΝΑΣΙΟ ΜΑΙΡΗΣ Ν. ΡΑΠΤΟΥ / ΚΕΝΤΡΟ ΕΛΛΗΝΙΚΗΣ ΠΑΙΔΕΙΑΣ</t>
  </si>
  <si>
    <t>17774/01-09-2017</t>
  </si>
  <si>
    <t>17957/8-10-2018</t>
  </si>
  <si>
    <t>16058/01-09-2018</t>
  </si>
  <si>
    <t>16059/01-09-2018</t>
  </si>
  <si>
    <t>ΙΔ. ΓΕΝ. ΛΥΚ. Ν. ΜΠΑΚΟΓΙΑΝΝΗ</t>
  </si>
  <si>
    <t>23852/3-9-2018</t>
  </si>
  <si>
    <t>ΒΙ6Ζ9-7Ι6</t>
  </si>
  <si>
    <t>16056/01-09-2018</t>
  </si>
  <si>
    <t>ΙΔΙΩΤΙΚΟ ΓΥΜΝΑΣΙΟ -ΣΧΟΛΗ ΚΑΡΑΒΑΝΑ</t>
  </si>
  <si>
    <t>19083/01-09-2017</t>
  </si>
  <si>
    <t>18461/13-09-2018</t>
  </si>
  <si>
    <t>INTERNATIONAL COMMUNITY SCHOOL OF LARISSA (ΓΥΜΝΑΣΙΟ)</t>
  </si>
  <si>
    <t>16055/01-09-2018</t>
  </si>
  <si>
    <t>19722/24-10-2018</t>
  </si>
  <si>
    <t>23851/3-9-2018</t>
  </si>
  <si>
    <t>16052/01-09-2018</t>
  </si>
  <si>
    <t>18178/10-10-2018</t>
  </si>
  <si>
    <t>17336/01-09-2018</t>
  </si>
  <si>
    <t>20103/01-09-2017</t>
  </si>
  <si>
    <t>17887/01-09-2018</t>
  </si>
  <si>
    <t>21811/12-10-2018</t>
  </si>
  <si>
    <t>16053/01-09-2018</t>
  </si>
  <si>
    <t>19724/24-10-2018</t>
  </si>
  <si>
    <t>18175/10-10-2018</t>
  </si>
  <si>
    <t>17886/01-09-2018</t>
  </si>
  <si>
    <t>1214/01-09-2017</t>
  </si>
  <si>
    <t>19726/24-10-2018</t>
  </si>
  <si>
    <t>11513/22-11-2016</t>
  </si>
  <si>
    <t>160050/01-09-2018</t>
  </si>
  <si>
    <t>16084/01-09-2018</t>
  </si>
  <si>
    <t>22881/24-9-2018</t>
  </si>
  <si>
    <t>22266/10-11-2017</t>
  </si>
  <si>
    <t>23853/3-9-2018</t>
  </si>
  <si>
    <t>18177/10-10-2018</t>
  </si>
  <si>
    <t>17821/05-10-2018</t>
  </si>
  <si>
    <t>ΑΠ1655321</t>
  </si>
  <si>
    <t>Α΄ ΜΑΓΝΗΣΙΑΣ (Δ.Ε.) 2018</t>
  </si>
  <si>
    <t>ΔΙΕΥΘΥΝΣΗ Δ.Ε. ΜΑΓΝΗΣΙΑΣ</t>
  </si>
  <si>
    <t>ΙΔΙΩΤΙΚΟ ΓΕΝΙΚΟ ΛΥΚΕΙΟ ΒΟΛΟΥ - ΠΡΟΜΗΘΕΑΣ</t>
  </si>
  <si>
    <t>ΑΠ1893229</t>
  </si>
  <si>
    <t>ΑΠ1893102</t>
  </si>
  <si>
    <t>ΑΠ1893132</t>
  </si>
  <si>
    <t>ΑΠ1656890</t>
  </si>
  <si>
    <t>Φ. 17.2/8655/26-10-2017</t>
  </si>
  <si>
    <t>ΙΔΙΩΤΙΚΟ ΓΥΜΝΑΣΙΟ ΒΟΛΟΥ - ΠΡΟΜΗΘΕΑΣ</t>
  </si>
  <si>
    <t>ΑΠ2027157</t>
  </si>
  <si>
    <t>ΑΠ2027268</t>
  </si>
  <si>
    <t>ΑΠ1893196</t>
  </si>
  <si>
    <t>ΑΠ1893252</t>
  </si>
  <si>
    <t>ΑΠ1893015</t>
  </si>
  <si>
    <t>ΑΠ88635</t>
  </si>
  <si>
    <t>ΑΠ2027553</t>
  </si>
  <si>
    <t>ΤΡΙΚΑΛΩΝ (Δ.Ε.) 2018</t>
  </si>
  <si>
    <t>ΔΙΕΥΘΥΝΣΗ Δ.Ε. ΤΡΙΚΑΛΩΝ</t>
  </si>
  <si>
    <t>ΙΔΙΩΤΙΚΟ ΗΜΕΡΗΣΙΟ ΛΥΚΕΙΟ ΤΡΙΚΑΛΩΝ - ΕΚΠΑΙΔΕΥΤΗΡΙΑ ΑΘΗΝΑ</t>
  </si>
  <si>
    <t>ΙΔΙΩΤΙΚΟ ΓΥΜΝΑΣΙΟ ΤΡΙΚΑΛΩΝ - ΕΚΠΑΙΔΕΥΤΗΡΙΑ ΑΘΗΝΑ</t>
  </si>
  <si>
    <t>ΚΑΡΔΙΤΣΑΣ (Π.Ε.) 2018</t>
  </si>
  <si>
    <t>ΔΙΕΥΘΥΝΣΗ Π.Ε. ΚΑΡΔΙΤΣΑΣ</t>
  </si>
  <si>
    <t>ΙΔΙΩΤΙΚΟ ΝΗΠΙΑΓΩΓΕΙΟ ΚΑΡΔΙΤΣΑ - ΙΔΙΩΤΙΚΟ ΝΗΠΙΑΓΩΓΕΙΟ ΛΕΚΚΑΣ ΚΩΝΣΤΑΝΤΙΝΟΣ</t>
  </si>
  <si>
    <t>4790/29-8-2018</t>
  </si>
  <si>
    <t>ΙΔΙΩΤΙΚΟ ΣΥΣΤΕΓΑΖΟΜΕΝΟ ΝΗΠΙΑΓΩΓΕΙΟ ΝΑΤΑΣΑ-Α.ΓΚΑΒΑΛΕΚΑ ΚΑΙ ΣΙΑ Ι.Κ.Ε.</t>
  </si>
  <si>
    <t>ΙΔΙΩΤΙΚΟ ΝΗΠΙΑΓΩΓΕΙΟ ΚΑΡΔΙΤΣΑ - ΙΔΙΩΤΙΚΟ ΝΗΠΙΑΓΩΓΕΙΟ ΣΠΥΡΙΔΩΝΑ ΣΑΚΕΛΛΑΡΟΠΟΥΛΟΥ</t>
  </si>
  <si>
    <t>81/3-09-2018</t>
  </si>
  <si>
    <t>ΛΑΡΙΣΑΣ (Π.Ε.) 2018</t>
  </si>
  <si>
    <t>ΔΙΕΥΘΥΝΣΗ Π.Ε. ΛΑΡΙΣΑΣ</t>
  </si>
  <si>
    <t>ΙΔ ΔΗΜΟΤΙΚΟ ΣΧΟΛΕΙΟ ΣΧΟΛΗ ΚΑΡΑΒΑΝΑ</t>
  </si>
  <si>
    <t>ΙΔΙΩΤΙΚΟ ΝΗΠΙΑΓΩΓΕΙΟ ΛΑΡΙΣΑ - ΕΚΠΑΙΔΕΥΤΗΡΙΑ ΜΑΙΡΗΣ ΡΑΠΤΟΥ</t>
  </si>
  <si>
    <t>ΔΕΥΤΕΡΟ ΙΔΙΩΤΙΚΟ ΔΗΜΟΤΙΚΟ ΣΧΟΛΕΙΟ Ν. ΜΠΑΚΟΓΙΑΝΝΗ</t>
  </si>
  <si>
    <t>ΙΔΙΩΤΙΚΟ ΔΗΜΟΤΙΚΟ ΛΑΡΙΣΑ - ΠΡΩΤΟ ΙΔ ΔΗΜΟΤΙΚΟ ΣΧΟΛΕΙΟ Μ ΡΑΠΤΟΥ</t>
  </si>
  <si>
    <t>ΙΔΙΩΤΙΚΟ ΝΗΠΙΑΓΩΓΕΙΟ ΛΑΡΙΣΑ - ΒΑΪΟΠΟΥΛΟΥ-ΤΣΙΡΑΚΟΠΟΥΛΟΥ</t>
  </si>
  <si>
    <t>ΠΡΩΤΟ ΙΔΙΩΤΙΚΟ ΔΗΜΟΤΙΚΟ ΣΧΟΛΕΙΟ N. ΜΠΑΚΟΓΙΑΝΝΗ</t>
  </si>
  <si>
    <t>ΙΔΙΩΤΙΚΟ ΝΗΠΙΑΓΩΓΕΙΟ ΛΑΡΙΣΑ - ΓΙΑΝΝΑΚΑΚΗ ΡΟΔΟΠΗ</t>
  </si>
  <si>
    <t>83/3-9-2018</t>
  </si>
  <si>
    <t>ΙΔΙΩΤΙΚΟ ΔΗΜΟΤΙΚΟ ΛΑΡΙΣΑ - Α.ΔΡΑΚΟΣ-Γ. ΜΑΛΑΧΤΑΡΗ ΟΕ ΕΛΛΗΝΙΚΑ ΕΚΠΑΙΔΕΥΤΗΡΙΑ</t>
  </si>
  <si>
    <t>ΙΔΙΩΤΙΚΟ ΝΗΠΙΑΓΩΓΕΙΟ ΛΑΡΙΣΑ - ΙΔ ΝΗΠΙΑΓΩΓΕΙΟ ΣΧΟΛΗ ΚΑΡΑΒΑΝΑ</t>
  </si>
  <si>
    <t>ΙΔΙΩΤΙΚΟ ΝΗΠΙΑΓΩΓΕΙΟ ΛΑΡΙΣΑ - ΙΔΙΩΤΙΚΟ ΝΗΠΙΑΓΩΓΕΙΟ ¶ΣΠΑ &amp; ΧΡΙΣΤΙΝΑ ΚΑΡΑΤΖΙΟΥ</t>
  </si>
  <si>
    <t>ΙΔΙΩΤΙΚΟ ΝΗΠΙΑΓΩΓΕΙΟ - ΚΟΚΚΙΝΑ ΔΗΜΗΤΡΑ (2o)</t>
  </si>
  <si>
    <t>6ΤΠΞ9-ΒΘΘ</t>
  </si>
  <si>
    <t>ΙΔΙΩΤΙΚΟ ΝΗΠΙΑΓΩΓΕΙΟ ΛΑΡΙΣΑ - ΜΑΛΑΧΤΑΡΗ ΔΡΑΚΟΥ</t>
  </si>
  <si>
    <t>ΒΙΚ59-5Θ5</t>
  </si>
  <si>
    <t>ΙΔΙΩΤΙΚΟ ΝΗΠΙΑΓΩΓΕΙΟ ΛΑΡΙΣΑ - ΙΔ ΝΗΠΙΑΓΩΓΕΙΟ ΜΠΛΑΝΑ ΕΥΘΥΜΙΑΣ</t>
  </si>
  <si>
    <t>ΙΔΙΩΤΙΚΟ ΝΗΠΙΑΓΩΓΕΙΟ ΛΑΡΙΣΑ - ΙΔ ΝΗΠΙΑΓΩΓΕΙΟ ΜΠΟΜΠΟΛΟΥ ΧΡΥΣΑΝΘΗ</t>
  </si>
  <si>
    <t>ΙΔΙΩΤΙΚΟ ΝΗΠΙΑΓΩΓΕΙΟ ΛΑΡΙΣΑ - ΙΔΙΩΤΙΚΟ ΝΗΠΙΑΓΩΓΕΙΟ ΕΛΕΝΗΣ ΣΑΡΜΑΝΙΩΤΟΥ</t>
  </si>
  <si>
    <t>6773/17-09-2018</t>
  </si>
  <si>
    <t>ΙΔΙΩΤΙΚΟ ΝΗΠΙΑΓΩΓΕΙΟ ΛΑΡΙΣΑ - ΙΔΙΩΤΙΚΟ ΝΗΠΙΑΓΩΓΕΙΟ ΕΛΕΝΗΣ ΣΟΛΩΜΟΥ</t>
  </si>
  <si>
    <t>ΙΔΙΩΤΙΚΟ ΝΗΠΙΑΓΩΓΕΙΟ ΜΠΑΚΟΓΙΑΝΝΗ</t>
  </si>
  <si>
    <t>Α΄ ΜΑΓΝΗΣΙΑΣ (Π.Ε.) 2018</t>
  </si>
  <si>
    <t>ΔΙΕΥΘΥΝΣΗ Π.Ε. ΜΑΓΝΗΣΙΑΣ</t>
  </si>
  <si>
    <t>ΙΔΙΩΤΙΚΟ ΔΗΜΟΤΙΚΟ ΣΧΟΛΕΙΟ "ΑΓΙΟΣ ΙΩΣΗΦ"</t>
  </si>
  <si>
    <t>Φ.17.2/9448/28-09-2018</t>
  </si>
  <si>
    <t>ΙΔΙΩΤΙΚΟ ΔΗΜΟΤΙΚΟ ΑΛΛΗ ΜΕΡΙΑ - ΑΞΙΟΝ ΕΣΤΙ</t>
  </si>
  <si>
    <t>ΣΥΣΤΕΓΑΖΟΜΕΝΟ ΝΗΠΙΑΓΩΓΕΙΟ - ΕΚΠΑΙΔΕΥΤΗΡΙΑ ΠΑΠΑΖΟΓΛΟΥ</t>
  </si>
  <si>
    <t>ΙΔΙΩΤΙΚΟ ΝΗΠΙΑΓΩΓΕΙΟ  - ΖΕΡΒΑ ΒΑΣΙΛΙΚΗ</t>
  </si>
  <si>
    <t>Φ.17.2/873/17-2-2014</t>
  </si>
  <si>
    <t>ΘΕΣΣΑΛΙΑΣ</t>
  </si>
  <si>
    <t>Φ.17.2/2945/04-09-2007</t>
  </si>
  <si>
    <t>ΙΔΙΩΤΙΚΟ ΝΗΠΙΑΓΩΓΕΙΟ ΒΟΛΟΣ - ΚΑΡΑΪΣΚΟΥ ΣΤΑΥΡΟΥΛΑ</t>
  </si>
  <si>
    <t>Φ.17.2/9230/10-10-2016</t>
  </si>
  <si>
    <t xml:space="preserve">ΙΔΙΩΤΙΚΟ ΝΗΠΙΑΓΩΓΕΙΟ - ΑΞΙΟΝ ΕΣΤΙ </t>
  </si>
  <si>
    <t>Φ.17.2/9644/3-10-2018</t>
  </si>
  <si>
    <t>ΣΥΣΤΕΓΑΖΟΜΕΝΟ ΝΗΠΙΑΓΩΓΕΙΟ- ΚΕΝΤΡΟ ΠΡΟΣΧΟΛΙΚΗΣ ΕΚΠ/ΣΗΣ ΚΑΙ ΑΓΩΓΗΣ Μ. ΜΑΡΓΩΝΗ Κ ΣΙΑ Ο.Ε. - "Η ΠΑΡΕΟΥΛΑ ΜΑΣ"</t>
  </si>
  <si>
    <t>ΙΔΙΩΤΙΚΟ ΝΗΠΙΑΓΩΓΕΙΟ ΡΕΝΤΖΟΥΛΗ ΦΩΤΕΙΝΗ ΚΑΙ ΣΙΑ Ο.Ε.</t>
  </si>
  <si>
    <t>ΙΔΙΩΤΙΚΟ ΝΗΠΙΑΓΩΓΕΙΟ - ΠΛΑΣΤΑΡΑ ΑΘΑΝΑΣΙΑ</t>
  </si>
  <si>
    <t>ΙΔΙΩΤΙΚΟ ΣΥΣΤΕΓΑΖΟΜΕΝΟ ΝΗΠΙΑΓΩΓΕΙΟ "ΜΕΤΑΜΟΡΦΩΣΗ"</t>
  </si>
  <si>
    <t>Φ.17.2/9643/3-10-2018</t>
  </si>
  <si>
    <t>Φ.17.2/9654/24-10-2016</t>
  </si>
  <si>
    <t>ΣΥΣΤΕΓΑΖΟΜΕΝΟ ΝΗΠΙΑΓΩΓΕΙΟ - BABYLAND</t>
  </si>
  <si>
    <t>Φ.17.2/9296/26-9-2018</t>
  </si>
  <si>
    <t>ΙΔΙΩΤΙΚΟ ΝΗΠΙΑΓΩΓΕΙΟ ΒΟΛΟΣ - ΧΡΥΣΙΚΟΥ ΕΛΙΣΑΒΕΤ-ΜΑΡΙΑ</t>
  </si>
  <si>
    <t>Φ.17.2/4402/15-10-2010</t>
  </si>
  <si>
    <t>ΤΡΙΚΑΛΩΝ (Π.Ε.) 2018</t>
  </si>
  <si>
    <t>ΔΙΕΥΘΥΝΣΗ Π.Ε. ΤΡΙΚΑΛΩΝ</t>
  </si>
  <si>
    <t>ΙΔΙΩΤΙΚΟ ΣΥΣΤΕΓΑΖΟΜΕΝΟ ΝΗΠΙΑΓΩΓΕΙΟ - ΒΑΣΙΛΕΙΟΥ ΚΑΛΛΙΡΡΟΗ - ΧΩΡΑ ΤΩΝ ΘΑΥΜΑΤΩΝ</t>
  </si>
  <si>
    <t>ΙΔΙΩΤΙΚΟ ΝΗΠΙΑΓΩΓΕΙΟ ΤΡΙΚΑΛΑ - ΡΟΔΙ-ΣΕΓΓΗΣ-ΠΑΠΑΓΕΩΡΓΙΟΥ Ο.Ε.</t>
  </si>
  <si>
    <t>ΙΔΙΩΤΙΚΟ ΝΗΠΙΑΓΩΓΕΙΟ ΤΡΙΚΑΛΑ - ΣΠΥΡΟΠΟΥΛΟΥ ΜΑΡΙΑ</t>
  </si>
  <si>
    <t>ΙΔΙΩΤΙΚΟ ΔΗΜΟΤΙΚΟ ΤΡΙΚΑΛΑ - Φ. ΣΑΚΚΑ ΚΑΙ ΣΙΑ Ο.Ε.</t>
  </si>
  <si>
    <t>ΣΥΣΤΕΓΑΖΟΜΕΝΟ ΝΗΠΙΑΓΩΓΕΙΟ - ΜΠΛΕΤΣΑ ΜΑΡΙΑ-ΕΛΕΥΘΕΡΙΑ</t>
  </si>
  <si>
    <t>ΣΥΣΤΕΓΑΖΟΜΕΝΟ ΝΗΠΙΑΓΩΓΕΙΟ - ΟΥΤΡΑ ΑΦΡΟΔΙΤΗ</t>
  </si>
  <si>
    <t>Φ7/2/37149</t>
  </si>
  <si>
    <t>ΙΔΙΩΤΙΚΟ ΝΗΠΙΑΓΩΓΕΙΟ ΤΡΙΚΑΛΑ - Φ. ΣΑΚΚΑ ΦΩΤΕΙΝΗ ΣΙΑ Ο.Ε.</t>
  </si>
  <si>
    <t>Ιδιωτικό Νηπιαγωγείο - Χαμογελαστή Μαργαρίτα</t>
  </si>
  <si>
    <t>ΙΔΙΩΤΙΚΟ ΝΗΠΙΑΓΩΓΕΙΟ ΤΡΙΚΑΛΑ - ΠΑΠΑΧΡΗΣΤΟΥ ΣΤΥΛΙΑΝΗ</t>
  </si>
  <si>
    <t>ΙΔΙΩΤΙΚΟ ΝΗΠΙΑΓΩΓΕΙΟ - ΚΑΣΤΑΝΟΥΛΗ ΕΥΤΕΡΠΗ &amp; ΣΙΑ Ε.Ε.</t>
  </si>
  <si>
    <t>Α΄ ΚΕΡΚΥΡΑΣ (Π.Ε.) 2018</t>
  </si>
  <si>
    <t>ΔΙΕΥΘΥΝΣΗ Π.Ε. ΚΕΡΚΥΡΑΣ</t>
  </si>
  <si>
    <t>ΠΕΡΙΦΕΡΕΙΑΚΗ Δ/ΝΣΗ Α/ΘΜΙΑΣ ΚΑΙ Β/ΘΜΙΑΣ ΕΚΠ/ΣΗΣ ΙΟΝΙΩΝ ΝΗΣΩΝ</t>
  </si>
  <si>
    <t>ΣΥΣΤΕΓΑΖΟΜΕΝΟ ΙΔΙΩΤΙΚΟ ΝΗΠΙΑΓΩΓΕΙΟ "ΛΙΝΑΡΔΟΥ ΜΑΡΙΑΣ-ΒΑΣΙΛΙΚΗΣ"</t>
  </si>
  <si>
    <t>ΙΔΙΩΤΙΚΟ ΝΗΠΙΑΓΩΓΕΙΟ "ΗΛΙΑΧΤΙΔΑ"</t>
  </si>
  <si>
    <t>ΙΔΙΩΤΙΚΟ ΝΗΠΙΑΓΩΓΕΙΟ "Ο,ΤΙ ΑΓΑΠΩ"</t>
  </si>
  <si>
    <t>ΑΠ1973143</t>
  </si>
  <si>
    <t>Α΄ ΚΕΦΑΛΛΗΝΙΑΣ (Π.Ε.) 2018</t>
  </si>
  <si>
    <t>ΔΙΕΥΘΥΝΣΗ Π.Ε. ΚΕΦΑΛΛΗΝΙΑΣ</t>
  </si>
  <si>
    <t>Ιδιωτικό Συστεγαζόμενο Νηπιαγωγείο - ΒΑΛΣΑΜΟΥ ΒΑΣΙΛΙΚΗ</t>
  </si>
  <si>
    <t>Α΄ ΘΕΣΣΑΛΟΝΙΚΗΣ (Δ.Ε.) 2018</t>
  </si>
  <si>
    <t>ΔΙΕΥΘΥΝΣΗ Δ.Ε. ΑΝΑΤ. ΘΕΣ/ΝΙΚΗΣ</t>
  </si>
  <si>
    <t>ΠΕΡΙΦΕΡΕΙΑΚΗ Δ/ΝΣΗ Α/ΘΜΙΑΣ ΚΑΙ Β/ΘΜΙΑΣ ΕΚΠ/ΣΗΣ ΚΕΝΤΡΙΚΗΣ ΜΑΚΕΔΟΝΙΑΣ</t>
  </si>
  <si>
    <t>ΙΔΙΩΤΙΚΟ ΗΜΕΡΗΣΙΟ ΛΥΚΕΙΟ - ΓΕΡΜΑΝΙΚΗ ΣΧΟΛΗ ΘΕΣΣΑΛΟΝΙΚΗΣ</t>
  </si>
  <si>
    <t>ΕΚΠΑΙΔΕΥΤΗΡΙΑ "Ο ΑΠΟΣΤΟΛΟΣ ΠΑΥΛΟΣ" ΙΔΙΩΤΙΚΟ ΓΥΜΝΑΣΙΟ</t>
  </si>
  <si>
    <t>8247/24-11-2006</t>
  </si>
  <si>
    <t>Ιδιωτικό Λύκειο - ΕΚΠΑΙΔΕΥΤΗΡΙΑ Ε. ΜΑΝΤΟΥΛΙΔΗ Α.Ε.</t>
  </si>
  <si>
    <t>ΕΛΛΗΝΟΓΑΛΛΙΚΗ ΣΧΟΛΗ ΚΑΛΑΜΑΡΙ - ΙΔΙΩΤΙΚΟ ΓΕΝΙΚΟ ΛΥΚΕΙΟ</t>
  </si>
  <si>
    <t>1ο ΙΔΙΩΤΙΚΟ ΗΜΕΡΗΣΙΟ ΛΥΚΕΙΟ ΘΕΣΣΑΛΟΝΙΚΗΣ - ΑΝΑΤΟΛΙΑ</t>
  </si>
  <si>
    <t>ΙΔΙΩΤΙΚΟ ΛΥΚΕΙΟ - ΣΥΛΛΟΓΟΣ - ΕΚΠΑΙΔΕΥΤΗΡΙΑ "Ο ΑΠΟΣΤΟΛΟΣ ΠΑΥΛΟΣ"</t>
  </si>
  <si>
    <t>ΙΔΙΩΤΙΚΟ ΗΜΕΡΗΣΙΟ ΛΥΚΕΙΟ ΘΕΣΣΑΛΟΝΙΚΗΣ- ΕΛΛΗΝΙΚΟ ΚΟΛΛΕΓΙΟ ΘΕΣΣΑΛΟΝΙΚΗΣ</t>
  </si>
  <si>
    <t>2o ΓΥΜΝΑΣΙΟ ΑΜΕΡΙΚΑΝΙΚΟΥ ΚΟΛΛΕΓΙΟΥ "ΑΝΑΤΟΛΙΑ"</t>
  </si>
  <si>
    <t>ΑΡΣΑΚΕΙΟ ΓΥΜΝΑΣΙΟ ΘΕΣΣΑΛΟΝΙΚΗΣ της Φ.Ε.</t>
  </si>
  <si>
    <t>2ο ΙΔΙΩΤΙΚΟ ΗΜΕΡΗΣΙΟ ΛΥΚΕΙΟ ΘΕΣΣΑΛΟΝΙΚΗ - ΑΜΕΡΙΚΑΝΙΚΟ ΚΟΛΛΕΓΙΟ ΑΝΑΤΟΛΙΑ</t>
  </si>
  <si>
    <t>ΠΕ88.02</t>
  </si>
  <si>
    <t>ΦΥΤΙΚΗΣ ΠΑΡΑΓΩΓΗΣ</t>
  </si>
  <si>
    <t>ΙΔΙΩΤΙΚΟ ΗΜΕΡΗΣΙΟ ΕΠΑΓΓΕΛΜΑΤΙΚΟ ΛΥΚΕΙΟ  "ΑΜΕΡΙΚΑΝΙΚΗ ΓΕΩΡΓΙΚΗ ΣΧΟΛΗ" (Φ1/26/87157/Δ5/28-9-2006 ΥΠΕΠΘ)</t>
  </si>
  <si>
    <t>ΑΡΣΑΚΕΙΟ ΓΕΝΙΚΟ ΛΥΚΕΙΟ ΘΕΣΣΑΛΟΝΙΚΗΣ ΤΗΣ Φ.Ε.</t>
  </si>
  <si>
    <t>ΑΜΕΡΙΚΑΝΙΚΟ ΚΟΛΛΕΓΙΟ "ΑΝΑΤΟΛΙΑ"  1ο ΙΔΙΩΤΙΚΟ ΓΥΜΝΑΣΙΟ</t>
  </si>
  <si>
    <t>ΕΛΛΗΝΟΓΑΛΛΙΚΗ ΣΧΟΛΗ ΚΑΛΑΜΑΡΙ - ΙΔΙΩΤΙΚΟ ΓΥΜΝΑΣΙΟ</t>
  </si>
  <si>
    <t>7466/26-11-2001</t>
  </si>
  <si>
    <t>ΙΔΙΩΤΙΚΟ ΗΜΕΡΗΣΙΟ ΛΥΚΕΙΟ ΘΕΣΣΑΛΟΝΙΚΗΣ " ΕΚΠΑΙΔΕΥΤΗΡΙΑ ΒΑΣΙΛΕΙΑΔΗ "</t>
  </si>
  <si>
    <t>ΠΕ88.03</t>
  </si>
  <si>
    <t>ΖΩΙΚΗΣ ΠΑΡΑΓΩΓΗΣ</t>
  </si>
  <si>
    <t>ΠΕ88.01</t>
  </si>
  <si>
    <t>ΓΕΩΠΟΝΟΙ</t>
  </si>
  <si>
    <t>ΙΔΙΩΤΙΚΟ ΗΜΕΡΗΣΙΟ ΓΕΝΙΚΟ ΛΥΚΕΙΟ "ΑΜΕΡΙΚΑΝΙΚΗ ΓΕΩΡΓΙΚΗ ΣΧΟΛΗ"</t>
  </si>
  <si>
    <t>ΙΔΙΩΤΙΚΟ ΓΥΜΝΑΣΙΟ - ΓΕΡΜΑΝΙΚΗ ΣΧΟΛΗ ΘΕΣΣΑΛΟΝΙΚΗΣ</t>
  </si>
  <si>
    <t>ΒΙΞ49-ΛΒΟ</t>
  </si>
  <si>
    <t>ΤΕ02.07</t>
  </si>
  <si>
    <t>ΓΕΩΠΟΝΙΑΣ</t>
  </si>
  <si>
    <t>ΔΥ</t>
  </si>
  <si>
    <t>15986Α</t>
  </si>
  <si>
    <t>ΠΕ87.04</t>
  </si>
  <si>
    <t>ΙΑΤΡΙΚΩΝ ΕΡΓΑΣΤΗΡΙΩΝ</t>
  </si>
  <si>
    <t>ΙΔΙΩΤΙΚΟ ΓΥΜΝΑΣΙΟ- ΕΛΛΗΝΙΚΟ ΚΟΛΛΕΓΙΟ ΘΕΣΣΑΛΟΝΙΚΗΣ</t>
  </si>
  <si>
    <t>15539Α</t>
  </si>
  <si>
    <t>ΙΔΙΩΤΙΚΟ ΓΥΜΝΑΣΙΟ ΘΕΣΣΑΛΟΝΙΚΗΣ " ΕΚΠΑΙΔΕΥΤΗΡΙΑ ΒΑΣΙΛΕΙΑΔΗ"</t>
  </si>
  <si>
    <t>Β΄ ΘΕΣΣΑΛΟΝΙΚΗΣ (Δ.Ε.) 2018</t>
  </si>
  <si>
    <t>ΔΙΕΥΘΥΝΣΗ Δ.Ε. ΔΥΤ. ΘΕΣ/ΝΙΚΗΣ</t>
  </si>
  <si>
    <t>ΙΔΙΩΤΙΚΟ ΓΕΝΙΚΟ ΛΥΚΕΙΟ ΦΡΥΓΑΝΙΩΤΗ</t>
  </si>
  <si>
    <t>13564/10-09-2013</t>
  </si>
  <si>
    <t>ΙΔΙΩΤΙΚΟ ΗΜΕΡΗΣΙΟ ΓΥΜΝΑΣΙΟ ΔΕΛΑΣΑΛ ΘΕΣΣΑΛΟΝΙΚΗΣ</t>
  </si>
  <si>
    <t>12821/17-09-2012</t>
  </si>
  <si>
    <t>ΙΔΙΩΤΙΚΟ ΓΕΝΙΚΟ ΛΥΚΕΙΟ ΔΕΛΑΣΑΛ</t>
  </si>
  <si>
    <t>13248/07-01-2015</t>
  </si>
  <si>
    <t>7243/23-09-2010</t>
  </si>
  <si>
    <t>5834/30-09-2009</t>
  </si>
  <si>
    <t>ΙΔΙΩΤΙΚΟ ΗΜΕΡΗΣΙΟ ΓΥΜΝΑΣΙΟ ΦΡΥΓΑΝΙΩΤΗ ΘΕΣΣΑΛΟΝΙΚΗΣ</t>
  </si>
  <si>
    <t>6833α/17-09-2010</t>
  </si>
  <si>
    <t>5442/27-04-2015</t>
  </si>
  <si>
    <t>7967/14-10-2011</t>
  </si>
  <si>
    <t>12854/30-09-2015</t>
  </si>
  <si>
    <t>6040/25-10-1994</t>
  </si>
  <si>
    <t>12853/30-09-2015</t>
  </si>
  <si>
    <t>13562/10-09-2013</t>
  </si>
  <si>
    <t>12180/30-09-2015</t>
  </si>
  <si>
    <t>ΠΙΕΡΙΑΣ (Δ.Ε.) 2018</t>
  </si>
  <si>
    <t>ΔΙΕΥΘΥΝΣΗ Δ.Ε. ΠΙΕΡΙΑΣ</t>
  </si>
  <si>
    <t>ΙΔΙΩΤΙΚΟ ΓΥΜΝΑΣΙΟ ΚΑΤΕΡΙΝΗ - ΓΥΜΝΑΣΙΟ ΠΛΑΤΩΝ</t>
  </si>
  <si>
    <t>ΙΔΙΩΤΙΚΟ ΗΜΕΡΗΣΙΟ ΛΥΚΕΙΟ ΚΑΤΕΡΙΝΗ - ΛΥΚΕΙΟ ΠΛΑΤΩΝ</t>
  </si>
  <si>
    <t>12821/13-11-2018</t>
  </si>
  <si>
    <t>12822/13-11-2018</t>
  </si>
  <si>
    <t>12820/13-11-2018</t>
  </si>
  <si>
    <t>11298/20-11-2018</t>
  </si>
  <si>
    <t>ΙΔΙΩΤΙΚΟ ΔΗΜΟΤΙΚΟ ΚΑΤΕΡΙΝΗΣ - ΙΔΙΩΤΙΚΟ ΔΗΜ ΣΧΟΛΕΙΟ</t>
  </si>
  <si>
    <t>ΠΙΕΡΙΑΣ (Π.Ε.) 2018</t>
  </si>
  <si>
    <t>ΔΙΕΥΘΥΝΣΗ Π.Ε. ΠΙΕΡΙΑΣ</t>
  </si>
  <si>
    <t>ΣΕΡΡΩΝ (Δ.Ε.) 2018</t>
  </si>
  <si>
    <t>ΔΙΕΥΘΥΝΣΗ Δ.Ε. ΣΕΡΡΩΝ</t>
  </si>
  <si>
    <t>ΙΔΙΩΤΙΚΟ ΗΜΕΡΗΣΙΟ ΛΥΚΕΙΟ ΣΕΡΡΕΣ - ΑΡΙΣΤΟΤΕΛΕΙΟ ΕΚΠΑΙΔΕΥΤΗΡΙΟ</t>
  </si>
  <si>
    <t>ΙΔΙΩΤΙΚΟ ΓΥΜΝΑΣΙΟ ΣΕΡΡΕΣ - ΑΡΙΣΤΟΤΕΛΕΙΟ ΕΚΠΑΙΔΕΥΤΗΡΙΟ</t>
  </si>
  <si>
    <t>Φ.17.2/9287</t>
  </si>
  <si>
    <t>Α΄ ΘΕΣΣΑΛΟΝΙΚΗΣ (Π.Ε.) 2018</t>
  </si>
  <si>
    <t>ΔΙΕΥΘΥΝΣΗ Π.Ε. ΑΝΑΤ. ΘΕΣ/ΝΙΚΗΣ</t>
  </si>
  <si>
    <t>ΟΜΙΛΟΣ ΣΧΟΛΕΙΩΝ ΒΙΩΜΑΤΙΚΗΣ ΜΑΘΗΣΗΣ ΘΕΣΣΑΛΟΝΙΚΗΣ</t>
  </si>
  <si>
    <t>ΙΔΙΩΤΙΚΟ ΔΗΜΟΤΙΚΟ ΠΥΛΑΙΑ - ΕΚΠΑΙΔΕΥΤΙΚΟΣ ΟΜΙΛΟΣ ΑΝΑΤΟΛΙΑ</t>
  </si>
  <si>
    <t>9093/19-04-2018</t>
  </si>
  <si>
    <t>ΙΔΙΩΤΙΚΟ ΝΗΠΙΑΓΩΓΕΙΟ ΚΑΡΔΙΑ - ΣΥΝΝΕΦΟΥΛΑ</t>
  </si>
  <si>
    <t>ΙΔΙΩΤΙΚΟ ΔΗΜΟΤΙΚΟ ΠΥΛΑΙΑ - ΑΔΑΜΑΝΤΙΟΣ ΣΧΟΛΗ Α.Ε</t>
  </si>
  <si>
    <t>ΧΡΙΣΤΙΑΝΙΚΗ ΕΛΠΙΣ ΟΡΘΟΔΟΞΗ ΑΔΕΛΦΟΤΗΤΑ - ΕΛΠΙΔΑ</t>
  </si>
  <si>
    <t>21350/13-09-2018</t>
  </si>
  <si>
    <t>ΙΔΙΩΤΙΚΟ ΣΥΣΤΕΓΑΖΟΜΕΝΟ ΝΗΠΙΑΓΩΓΕΙΟ - REGGIO - THESSALONIKH, προσέγγιση Reggio Emilia</t>
  </si>
  <si>
    <t>1ο ΙΔΙΩΤΙΚΟ ΔΗΜΟΤΙΚΟ ΠΥΛΑΙΑ ΘΕΣΣΑΛΟΝΙΚΗΣ - ΕΚΠΑΙΔΕΥΤΗΡΙΑ Ο ΑΠΟΣΤΟΛΟΣ ΠΑΥΛΟΣ</t>
  </si>
  <si>
    <t>NAI</t>
  </si>
  <si>
    <t>24511/05-10-2017</t>
  </si>
  <si>
    <t>ΙΔΙΩΤΙΚΟ ΝΗΠΙΑΓΩΓΕΙΟ ΤΡΙΛΟΦΟΣ - ΤΟ ΣΧΟΛΕΙΟ ΤΗΣ ΦΥΣΗΣ</t>
  </si>
  <si>
    <t>6ΡΙΩ4653ΠΣ-ΕΛΠ</t>
  </si>
  <si>
    <t>ΙΔΙΩΤΙΚΟ ΝΗΠΙΑΓΩΓΕΙΟ ΘΕΣΣΑΛΟΝΙΚΗ - ΕΚΠΑΙΔΕΥΤΙΚΟΣ ΟΜΙΛΟΣ ΑΝΑΤΟΛΙΑ</t>
  </si>
  <si>
    <t>ΙΔΙΩΤΙΚΟ ΔΗΜΟΤΙΚΟ ΘΕΣΣΑΛΟΝΙΚΗ - ΠΑΙΝΓΟΥΝΤ ΣΚΟΥΛΣ - ΤΟ ΑΜΕΡΙΚΑΝΙΚΟ ΔΙΕΘΝΕΣ ΣΧΟΛΕΙΟ ΤΗΣ ΘΕΣΣΑΛΟΝΙΚΗΣ</t>
  </si>
  <si>
    <t>ΙΔΙΩΤΙΚΟ ΝΗΠΙΑΓΩΓΕΙΟ ΠΥΛΑΙΑΣ - ΑΡΣΑΚΕΙΟ ΝΗΠΙΑΓΩΓΕΙΟ ΘΕΣΣΑΛΟΝΙΚΗΣ</t>
  </si>
  <si>
    <t>6815/20-03-2018</t>
  </si>
  <si>
    <t>Ιδιωτικό Νηπιαγωγείο Καραμελίτσα 2</t>
  </si>
  <si>
    <t>ΙΔΙΩΤΙΚΟ ΝΗΠΙΑΓΩΓΕΙΟ ΠΥΛΑΙΑ - ΑΔΑΜΑΝΤΙΟΣ ΣΧΟΛΗ Α.Ε</t>
  </si>
  <si>
    <t>995/28-03-2011</t>
  </si>
  <si>
    <t>ΙΔΙΩΤΙΚΟ ΝΗΠΙΑΓΩΓΕΙΟ ΘΕΣΣΑΛΟΝΙΚΗ - ΚΟΠΕΡΤΙ</t>
  </si>
  <si>
    <t>ΠΕ70.50</t>
  </si>
  <si>
    <t>2ο ΙΔΙΩΤΙΚΟ ΔΗΜΟΤΙΚΟ ΠΥΛΑΙΑ - ΑΔΑΜΑΝΤΙΟΣ ΣΧΟΛΗ ΑΕ</t>
  </si>
  <si>
    <t>12592/31-10-2012</t>
  </si>
  <si>
    <t>ΙΔΙΩΤΙΚΟ ΝΗΠΙΑΓΩΓΕΙΟ ΘΕΣΣΑΛΟΝΙΚΗ - ΑΓΚΑΛΙΤΣΕΣ</t>
  </si>
  <si>
    <t>ΙΔΙΩΤΙΚΟ ΝΗΠΙΑΓΩΓΕΙΟ ΘΕΡΜΗ - Π.ΔΙΒΑΝΕ-Α ΜΠΟΥΡΟΥΤΖΟΠΟΥΛΟΥ Ο.Ε.</t>
  </si>
  <si>
    <t>2ο ΙΔΙΩΤΙΚΟ ΝΗΠΙΑΓΩΓΕΙΟ - ΕΚΠΑΙΔΕΥΤΙΚΟΣ ΟΜΙΛΟΣ ΑΝΑΤΟΛΙΑ</t>
  </si>
  <si>
    <t>33813/28-10-2017</t>
  </si>
  <si>
    <t>ΙΔΙΩΤΙΚΟ ΣΥΣΤΕΓΑΖΟΜΕΝΟ ΝΗΠΙΑΓΩΓΕΙΟ - ΚΑΝΕΛΛΟΠΟΥΛΟΥ ΠΟΛΥΞΕΝΗ</t>
  </si>
  <si>
    <t>4440/27-10-2008</t>
  </si>
  <si>
    <t>6ΒΣΦ4653ΠΣ-ΛΕΝ</t>
  </si>
  <si>
    <t>30640/30-11-2017</t>
  </si>
  <si>
    <t>ΙΔΙΩΤΙΚΟ ΣΥΣΤΕΓΑΖΟΜΕΝΟ ΝΗΠΙΑΓΩΓΕΙΟ - ΦΥΤΟΥΛΗ ΧΑΪΔΩ</t>
  </si>
  <si>
    <t>3184/06-10-2011</t>
  </si>
  <si>
    <t>ΙΔΙΩΤΙΚΟ ΝΗΠΙΑΓΩΓΕΙΟ ΑΣΒΕΣΤΟΧΩΡΙ ΘΕΣΣΑΛΟΝΙΚΗΣ - Ο ΜΙΚΡΟΣ ΠΡΙΓΚΙΠΑΣ ΣΥΓΧΡΟΝΑ ΕΚΠΑΙΔΕΥΤΙΚΑ ΠΡΟΓΡΑΜΜΑΤΑ Α.Ε.</t>
  </si>
  <si>
    <t>28476/30-10-2018</t>
  </si>
  <si>
    <t>ΙΔΙΩΤΙΚΟ ΝΗΠΙΑΓΩΓΕΙΟ ΘΕΡΜΗ - Η ΛΙΜΝΗ ΤΩΝ ΚΥΚΝΩΝ</t>
  </si>
  <si>
    <t>24511/05-10-2018</t>
  </si>
  <si>
    <t>Ιδιωτικό νηπιαγωγείο THE ZOO CLUB</t>
  </si>
  <si>
    <t>367/12-01-2016</t>
  </si>
  <si>
    <t>ΠΑΙΔΙΚΗ ΜΕΛΩΔΙΑ</t>
  </si>
  <si>
    <t>ΠΕ16.01</t>
  </si>
  <si>
    <t>ΜΟΥΣΙΚΗΣ ΠΤΥΧ. ΜΟΥΣΙΚΗΣ ΕΠΙΣΤΗΜΗΣ</t>
  </si>
  <si>
    <t>1ο ΙΔΙΩΤΙΚΟ ΝΗΠΙΑΓΩΓΕΙΟ ΘΕΣΣΑΛΟΝΙΚΗ - ΚΟΚΚΙΝΟΣΚΟΥΦΙΤΣΑ</t>
  </si>
  <si>
    <t>3527/04-11-2018</t>
  </si>
  <si>
    <t>ΙΔΙΩΤΙΚΟ ΝΗΠΙΑΓΩΓΕΙΟ ΦΟΥΝΤΑΣ ΣΠΥΡΙΔΩΝ</t>
  </si>
  <si>
    <t>ΙΔΙΩΤΙΚΟ ΝΗΠΙΑΓΩΓΕΙΟ - ΠΡΟΤΥΠΟ ΠΑΙΔΙΚΟ ΚΕΝΤΡΟ ΝΗΠΙΑΚΟΣ ΚΗΠΟΣ</t>
  </si>
  <si>
    <t>3944/02-12-2010</t>
  </si>
  <si>
    <t>ΙΔΙΩΤΙΚΟ ΝΗΠΙΑΓΩΓΕΙΟ ΠΥΛΑΙΑ - ΑΓΑΠΗ ΚΑΙ ΑΓΩΓΗ</t>
  </si>
  <si>
    <t>1ο ΙΔΙΩΤΙΚΟ ΔΗΜΟΤΙΚΟ ΕΛΑΙΩΝΕΣ ΠΥΛΑΙΑΣ ΘΕΣΣΑΛΟΝΙΚΗΣ - ΠΡΟΤΥΠΑ ΕΚΠΑΙΔΕΥΤΗΡΙΑ ΘΕΣΣΑΛΟΝΙΚΗΣ</t>
  </si>
  <si>
    <t>2447β/04-11-2011</t>
  </si>
  <si>
    <t>16245/02-11-2012</t>
  </si>
  <si>
    <t>ΙΔΙΩΤΙΚΟ ΝΗΠΙΑΓΩΓΕΙΟ ΠΑΝΟΡΑΜΑ-ΘΕΣΣΑΛΟΝΙΚΗ - ΑΝΤΛΕΡΙΑΝΗ ΑΓΩΓΗ</t>
  </si>
  <si>
    <t>ΙΔΙΩΤΙΚΟ ΝΗΠΙΑΓΩΓΕΙΟ ΚΑΤΩ ΤΟΥΜΠΑ - ΝΕΟΣ ΝΗΠΙΑΚΟΣ ΚΗΠΟΣ</t>
  </si>
  <si>
    <t>23838/02-11-2015</t>
  </si>
  <si>
    <t>ΙΔΙΩΤΙΚΟ ΝΗΠΙΑΓΩΓΕΙΟ ΠΑΝΕΠΙΣΤΗΜΙΟΥΠΟΛΗ - ΠΑΙΔΙΚΟ ΚΕΝΤΡΟ ΑΠΘ</t>
  </si>
  <si>
    <t>2ο ΙΔΙΩΤΙΚΟ ΔΗΜΟΤΙΚΟ ΘΕΣΣΑΛΟΝΙΚΗ - ΕΚΠΑΙΔΕΥΤΙΚΟΣ ΟΜΙΛΟΣ ΑΝΑΤΟΛΙΑ</t>
  </si>
  <si>
    <t>26094/17-10-2018</t>
  </si>
  <si>
    <t>1ο ΙΔΙΩΤΙΚΟ ΝΗΠΙΑΓΩΓΕΙΟ ΘΕΣΣΑΛΟΝΙΚΗ - ΡΕΒΙΘΟΥΛΗΣ</t>
  </si>
  <si>
    <t>ΙΔΙΩΤΙΚΟ ΝΗΠΙΑΓΩΓΕΙΟ ΚΑΛΑΜΑΡΙΑ-ΘΕΣΣΑΛΟΝΙΚΗ - Ο ΜΙΚΡΟΚΟΣΜΟΣ</t>
  </si>
  <si>
    <t>ΙΔΙΩΤΙΚΟ ΔΗΜΟΤΙΚΟ ΘΕΣΣΑΛΟΝΙΚΗ - ΙΔ. ΔΗΜΟΤΙΚΟ ΣΧΟΛΕΙΟ ΙΚΘ</t>
  </si>
  <si>
    <t>1ο ΝΗΠΙΑΓΩΓΕΙΟ ΜΕΡΙΜΝΑ ΠΑΙΔΙΟΥ</t>
  </si>
  <si>
    <t>23915/01-10-2018</t>
  </si>
  <si>
    <t>ΩΠ4Υ4653ΠΣ-58Ρ</t>
  </si>
  <si>
    <t>3348/04-11-2018</t>
  </si>
  <si>
    <t>ΙΔΙΩΤΙΚΟ ΝΗΠΙΑΓΩΓΕΙΟ ΘΕΣΣΑΛΟΝΙΚΗ - ΠΟΛΥΧΡΩΜΟ</t>
  </si>
  <si>
    <t>ΙΔΙΩΤΙΚΟ ΝΗΠΙΑΓΩΓΕΙΟ ΘΕΣΣΑΛΟΝΙΚΗ - ΣΤΡΟΥΜΦΟΧΩΡΙΟ</t>
  </si>
  <si>
    <t>Ν.ΝΙΚΟΛΑΪΔΗΣ ΕΠΕ (BABY SCHOOL ΕΠΕ)</t>
  </si>
  <si>
    <t>ΙΔΙΩΤΙΚΟ ΣΥΣΤΕΓΑΖΟΜΕΝΟ ΝΗΠΙΑΓΩΓΕΙΟ - ΑΜΑΛΘΕΙΑ</t>
  </si>
  <si>
    <t>ΙΔΙΩΤΙΚΟ ΝΗΠΙΑΓΩΓΕΙΟ ΚΑΛΑΜΑΡΙΑ - Β. ΚΑΡΑΦΥΛΛΙΔΟΥ ΚΑΙ ΣΙΑ Ο.Ε</t>
  </si>
  <si>
    <t>ΙΔΙΩΤΙΚΟ ΝΗΠΙΑΓΩΓΕΙΟ ΠΑΝΟΡΑΜΑ - ΠΑΙΔΙΚΟΡΑΜΑ</t>
  </si>
  <si>
    <t>4300/02-12-2010</t>
  </si>
  <si>
    <t>ΙΔΙΩΤΙΚΟ ΝΗΠΙΑΓΩΓΕΙΟ ΘΕΣΣΑΛΟΝΙΚΗΣ - ΑΡΓΩ - ΜΕΡΙΜΝΑ ΠΟΝΤΙΩΝ ΚΥΡΙΩΝ</t>
  </si>
  <si>
    <t>28695/15-12-2015</t>
  </si>
  <si>
    <t>ΙΔΙΩΤΙΚΟ ΝΗΠΙΑΓΩΓΕΙΟ - ΧΡΙΣΤΙΑΝΙΚΗ ΑΔΕΛΦΟΤΗΣ ΝΕΩΝ ΘΕΣΣΑΛΟΝΙΚΗΣ</t>
  </si>
  <si>
    <t>ΙΔΙΩΤΙΚΟ ΝΗΠΙΑΓΩΓΕΙΟ ΘΕΣΣΑΛΟΝΙΚΗ - ΙΔ. ΝΗΠΙΑΓΩΓΕΙΟ Ι.Κ.Θ</t>
  </si>
  <si>
    <t>ΙΔΙΩΤΙΚΟ ΝΗΠΙΑΓΩΓΕΙΟ ΑΣΒΕΣΤΟΧΩΡΙ ΘΕΣΣΑΛΟΝΙΚΗΣ - Μ.Μ. ΚΩΝΣΤΑΝΤΙΝΙΔΟΥ - Μ. ΠΕΤΡΙΔΗΣ Ο.Ε.</t>
  </si>
  <si>
    <t xml:space="preserve">Iδωτικό νηπιαγωγείο "Μητέρα ΙΙ" </t>
  </si>
  <si>
    <t>ΙΔΙΩΤΙΚΟ ΝΗΠΙΑΓΩΓΕΙΟ ΘΕΣΣΑΛΟΝΙΚΗ - ΠΡΟΣΧΟΛΙΚΗ ΑΚΑΔΗΜΙΑ ΤΕΡΤΙΡΟΠΟΥΛΟΣ- ΣΠΑΝΟΣ</t>
  </si>
  <si>
    <t>ΙΔΙΩΤΙΚΟ ΣΥΣΤΕΓΑΖΟΜΕΝΟ ΝΗΠΙΑΓΩΓΕΙΟ - ΤΟΤΟΚΩΤΣΗ ΑΛΕΞΑΝΔΡΑ</t>
  </si>
  <si>
    <t>ΙΔΙΩΤΙΚΟ ΝΗΠΙΑΓΩΓΕΙΟ ΚΑΛΑΜΑΡΙΑ - ΜΟΝΤΕΣΣΟΡΙΑΝΗ ΣΧΟΛΗ ΖΑΦΡΑΝΑ</t>
  </si>
  <si>
    <t>ΙΔΙΩΤΙΚΟ ΝΗΠΙΑΓΩΓΕΙΟ ΠΑΝΟΡΑΜΑ - ΜΠΟΥΜΠΟΥΚΑΚΙΑ ΑΚΑΔΗΜΙΑ</t>
  </si>
  <si>
    <t>21018/06-10-2015</t>
  </si>
  <si>
    <t>Β΄ ΘΕΣΣΑΛΟΝΙΚΗΣ (Π.Ε.) 2018</t>
  </si>
  <si>
    <t>ΔΙΕΥΘΥΝΣΗ Π.Ε. ΔΥΤ. ΘΕΣ/ΝΙΚΗΣ</t>
  </si>
  <si>
    <t>ΙΔΙΩΤΙΚΟ ΔΗΜΟΤΙΚΟ ΩΡΑΙΟΚΑΣΤΡΟ ΘΕΣΣΑΛΟΝΙΚΗΣ - Κ. ΑΝΔΡΕΑΔΗ Α.Ε</t>
  </si>
  <si>
    <t>ΙΔΙΩΤΙΚΟ ΔΗΜΟΤΙΚΟ "I.M. ΔΕΛΑΣΑΛ"</t>
  </si>
  <si>
    <t>ΙΔΙΩΤΙΚΟ ΝΗΠΙΑΓΩΓΕΙΟ ΣΤ.ΚΥΡΙΑΚΟΥ-Ε.ΒΛΑΧΟΔΗΜΟΥ ΟΕ-FAIRYLAND</t>
  </si>
  <si>
    <t>ΙΔΙΩΤΙΚΟ ΝΗΠΙΑΓΩΓΕΙΟ ΕΥΟΣΜΟΣ ΘΕΣΣΑΛΟΝΙΚΗΣ - ΜΑΡΤΣΙΚΑΛΗ ΜΑΓΔΑΛΗΝΗ</t>
  </si>
  <si>
    <t>6Κ3Δ465ΦΘ3-Γ4Μ</t>
  </si>
  <si>
    <t>ΙΔΙΩΤΙΚΟ ΝΗΠΙΑΓΩΓΕΙΟ "I.M. ΔΕΛΑΣΑΛ"</t>
  </si>
  <si>
    <t>ΙΔΙΩΤΙΚΟ ΝΗΠΙΑΓΩΓΕΙΟ ΩΡΑΙΟΚΑΣΤΡΟ - Ο ΜΙΚΡΟΣ ΜΑΕΣΤΡΟΣ - ΤΣΙΤΙΡΙΔΗΣ ΝΙΚΟΛΑΟΣ ΚΑΙ ΣΙΑ ΟΕ</t>
  </si>
  <si>
    <t>ΙΔΙΩΤΙΚΟ ΣΥΣΤΕΓΑΖΟΜΕΝΟ ΝΗΠΙΑΓΩΓΕΙΟ - ΓΚΟΚΑ ΒΑΣΙΛΙΚΗ (ΤΟ ΡΟΔΙ)</t>
  </si>
  <si>
    <t>ΙΔΙΩΤΙΚΟ ΝΗΠΙΑΓΩΓΕΙΟ ΠΕΥΚΑ ΘΕΣΣΑΛΟΝΙΚΗΣ - ΔΟΥΚΑΣ Α. -ΚΟΛΕΤΣΑ Ζ. Ο.Ε.</t>
  </si>
  <si>
    <t>ΙΔΙΩΤΙΚΟ ΝΗΠΙΑΓΩΓΕΙΟ ΩΡΑΙΟΚΑΣΤΡΟ ΘΕΣΣΑΛΟΝΙΚΗΣ - Κ. ΑΝΔΡΕΑΔΗΣ Α.Ε.</t>
  </si>
  <si>
    <t>ΙΔΙΩΤΙΚΟ ΔΗΜΟΤΙΚΟ ΠΕΥΚΑ ΘΕΣΣΑΛΟΝΙΚΗΣ - ΕΚΠΑΙΔΕΥΤΗΡΙΑ ΦΡΥΓΑΝΙΩΤΗ</t>
  </si>
  <si>
    <t>ΣΥΣΤΕΓΑΖΟΜΕΝΟ ΝΗΠΙΑΓΩΓΕΙΟ - NEVERLAND - Η ΧΩΡΑ ΤΟΥ ΠΟΤΕ</t>
  </si>
  <si>
    <t>73Ρ84653ΠΣ-ΟΥΔ</t>
  </si>
  <si>
    <t>7ΔΙΠ4653ΠΣ-Σ2Β</t>
  </si>
  <si>
    <t>ΙΔΙΩΤΙΚΟ ΣΥΣΤΕΓΑΖΟΜΕΝΟ ΝΗΠΙΑΓΩΓΕΙΟ - ΜΑΛΙΓΓΑΝΗ ΑΝΑΣΤΑΣΙΑ (ΦΡΟΥΤΟΠΙΑ bebe!)</t>
  </si>
  <si>
    <t>7482α</t>
  </si>
  <si>
    <t>ΣΥΣΤΕΓΑΖΟΜΕΝΟ ΙΔΙΩΤΙΚΟ ΝΗΠΙΑΓΩΓΕΙΟ - ΣΧΟΛΕΙΟ ΤΕΧΝΗΣ ΚΑΙ ΠΟΛΙΤΙΣΜΟΥ ΝΑΛΜΠΑΝΤΗ</t>
  </si>
  <si>
    <t>6ΛΜ74653ΠΣ-ΘΝ6</t>
  </si>
  <si>
    <t>2ο ΙΔΙΩΤΙΚΟ ΣΥΣΤΕΓΑΖΟΜΕΝΟ ΝΗΠΙΑΓΩΓΕΙΟ - NEVERLAND - Η ΧΩΡΑ ΤΟΥ ΠΟΤΕ</t>
  </si>
  <si>
    <t>ΙΔΙΩΤΙΚΟ ΣΥΣΤΕΓΑΖΟΜΕΝΟ ΝΗΠΙΑΓΩΓΕΙΟ ΝΤΕΚΡΟΛΙ</t>
  </si>
  <si>
    <t>ΙΔΙΩΤΙΚΟ ΝΗΠΙΑΓΩΓΕΙΟ - ΙΔΙΩΤΙΚΟ ΝΗΠΙΑΓΩΓΕΙΟ ΤΣΙΤΣΑ ΑΣΠΑΣΙΑ</t>
  </si>
  <si>
    <t>27/3024</t>
  </si>
  <si>
    <t>ΒΙ6Ζ9-2ΙΞ</t>
  </si>
  <si>
    <t>ΙΔΙΩΤΙΚΟ ΝΗΠΙΑΓΩΓΕΙΟ ΤΟΥΣΤΣΟΓΛΟΥ ΑΦΡΟΔΙΤΗ (ΠΟΡΤΟΚΑΛΟΚΗΠΟΣ)</t>
  </si>
  <si>
    <t>9998/1</t>
  </si>
  <si>
    <t>ΙΔΙΩΤΙΚΟ  ΝΗΠΙΑΓΩΓΕΙΟ - HAPPY KIDDO</t>
  </si>
  <si>
    <t>ΒΛΓΨ9-2ΡΔ</t>
  </si>
  <si>
    <t>9608/05-12-1991</t>
  </si>
  <si>
    <t>ΙΔΙΩΤΙΚΟ ΣΥΣΤΕΓΑΖΟΜΕΝΟ ΝΗΠΙΑΓΩΓΕΙΟ - ΧΡΙΣΤΟΦΟΡΙΔΟΥ ΖΑΧΑΡΟΥΛΑ</t>
  </si>
  <si>
    <t>ΗΜΑΘΙΑΣ (Π.Ε.) 2018</t>
  </si>
  <si>
    <t>ΔΙΕΥΘΥΝΣΗ Π.Ε. ΗΜΑΘΙΑΣ</t>
  </si>
  <si>
    <t>ΙΔΙΩΤΙΚΟ ΝΗΠΙΑΓΩΓΕΙΟ ΒΕΡΟΙΑ - ΙΔΙΩΤΙΚΟ ΝΗΠΙΑΓΩΓΕΙΟ ΖΥΓΑΝΙΤΙΔΟΥ ΕΛΕΝΗΣ</t>
  </si>
  <si>
    <t>ΙΔΙΩΤΙΚΟ ΝΗΠΙΑΓΩΓΕΙΟ ΒΕΡΟΙΑ - Α. ΛΑΖΟΓΛΟΥ ΚΑΙ ΣΙΑ Ο.Ε.</t>
  </si>
  <si>
    <t>ΠΕΛΛΑΣ (Π.Ε.) 2018</t>
  </si>
  <si>
    <t>ΔΙΕΥΘΥΝΣΗ Π.Ε. ΠΕΛΛΑΣ</t>
  </si>
  <si>
    <t>ΙΔΙΩΤΙΚΟ ΝΗΠΙΑΓΩΓΕΙΟ ΕΔΕΣΣΑ - ΙΔΙΩΤΙΚΟ ΣΤΕΦΑΝΙΔΟΥ</t>
  </si>
  <si>
    <t>ΙΔΙΩΤΙΚΟ ΝΗΠΙΑΓΩΓΕΙΟ ΕΔΕΣΣΑΣ - ΙΔΙΩΤΙΚΟ ΔΕΛΗΓΙΑΝΝΗ ΟΛΥΜΠΙΑ Κ ΣΙΑ Ο.Ε</t>
  </si>
  <si>
    <t>623Η4653ΠΣ-ΛΔΟ</t>
  </si>
  <si>
    <t>ΑΠ1787555</t>
  </si>
  <si>
    <t>2480300/3-12-2018</t>
  </si>
  <si>
    <t>ΙΔΙΩΤΙΚΟ ΝΗΠΙΑΓΩΓΕΙΟ ΚΑΤΕΡΙΝΗΣ - ΙΔΙΩΤΙΚΟ ΝΗΠ. ΠΛΑΤΩΝ</t>
  </si>
  <si>
    <t>ΑΠ1964976</t>
  </si>
  <si>
    <t>ΖΙΩΓΑΝΑ ΕΥΛΑΜΠΙΑ ΟΥΡΑΝΙΟ ΤΟΞΟ</t>
  </si>
  <si>
    <t>ΑΠ1787590</t>
  </si>
  <si>
    <t>Ιδιωτικό Συστεγαζόμενο Νηπιαγωγείο - ΑΣΤΕΡΑΚΙΑ</t>
  </si>
  <si>
    <t>ΑΠ1787739</t>
  </si>
  <si>
    <t>ΑΠ1902949</t>
  </si>
  <si>
    <t>ΤΕ16.00.50</t>
  </si>
  <si>
    <t>ΜΟΥΣΙΚΗΣ ΜΗ ΑΝΩΤΑΤΩΝ ΙΔΡΥΜΑΤΩΝ ΕΙΔΙΚΗΣ ΑΓΩΓΗΣ</t>
  </si>
  <si>
    <t>ΑΠ1788200</t>
  </si>
  <si>
    <t>ΑΠ1794170</t>
  </si>
  <si>
    <t>ΑΠ1788224</t>
  </si>
  <si>
    <t>ΑΠ1788247</t>
  </si>
  <si>
    <t>ΑΠ1788284</t>
  </si>
  <si>
    <t>ΑΠ1788299</t>
  </si>
  <si>
    <t>ΣΕΡΡΩΝ (Π.Ε.) 2018</t>
  </si>
  <si>
    <t>ΔΙΕΥΘΥΝΣΗ Π.Ε. ΣΕΡΡΩΝ</t>
  </si>
  <si>
    <t>ΘΕΟΔΩΡΙΔΟΥ ΠΑΥΛΙΝΑ &amp; ΣΙΑ Ο.Ε.</t>
  </si>
  <si>
    <t>ΙΔΙΩΤΙΚΟ ΣΥΣΤΕΓΑΖΟΜΕΝΟ ΝΗΠΙΑΓΩΓΕΙΟ - ΑΝΕΣΙΑΔΟΥ ΚΑΣΣΙΑΝΗ</t>
  </si>
  <si>
    <t>ΗΡΑΚΛΕΙΟΥ (Δ.Ε.) 2018</t>
  </si>
  <si>
    <t>ΔΙΕΥΘΥΝΣΗ Δ.Ε. ΗΡΑΚΛΕΙΟΥ</t>
  </si>
  <si>
    <t>ΙΔΙΩΤΙΚΟ ΓΥΜΝΑΣΙΟ ΗΡΑΚΛΕΙΟΥ - ΕΚΠΑΙΔΕΥΤΗΡΙΟ "ΤΟ ΠΑΓΚΡΗΤΙΟΝ"</t>
  </si>
  <si>
    <t>ΙΔΙΩΤΙΚΟ ΛΥΚΕΙΟ - ΕΚΠΑΙΔΕΥΤΗΡΙΟ "ΤΟ ΠΑΓΚΡΗΤΙΟΝ"</t>
  </si>
  <si>
    <t>18963/10-11-2017</t>
  </si>
  <si>
    <t>17.2/14669</t>
  </si>
  <si>
    <t>14181/13-9-2018</t>
  </si>
  <si>
    <t>19261/10-11-2017</t>
  </si>
  <si>
    <t>Ω81Β465ΦΘ3-Δ7Ε</t>
  </si>
  <si>
    <t>ΧΑΝΙΩΝ (Δ.Ε.) 2018</t>
  </si>
  <si>
    <t>ΔΙΕΥΘΥΝΣΗ Δ.Ε. ΧΑΝΙΩΝ</t>
  </si>
  <si>
    <t>ΙΔΙΩΤΙΚΟ ΓΕΝΙΚΟ ΛΥΚΕΙΟ ΙΔΙΩΤΙΚΑ ΕΚΠΑΙΔΕΥΤΗΡΙΑ ΘΕΟΔΩΡΟΠΟΥΛΟΥ Α.Ε.</t>
  </si>
  <si>
    <t>ΙΔΙΩΤΙΚΟ ΓΥΜΝΑΣΙΟ - ΙΔΙΩΤΙΚΑ ΕΚΠΑΙΔΕΥΤΗΡΙΑ ΘΕΟΔΩΡΟΠΟΥΛΟΥ Α.Ε.</t>
  </si>
  <si>
    <t>ΙΔΙΩΤΙΚΟ ΔΗΜΟΤΙΚΟ ΣΧΟΛΕΙΟ - ΖΗΤΑ Α.Ε.</t>
  </si>
  <si>
    <t>Ψ3364653ΠΣ-ΘΛΙ</t>
  </si>
  <si>
    <t>ΗΡΑΚΛΕΙΟΥ (Π.Ε.) 2018</t>
  </si>
  <si>
    <t>ΔΙΕΥΘΥΝΣΗ Π.Ε. ΗΡΑΚΛΕΙΟΥ</t>
  </si>
  <si>
    <t>ΙΔΙΩΤΙΚΟ ΝΗΠΙΑΓΩΓΕΙΟ ΧΕΡΣΟΝΗΣΟΥ ΚΥΡΙΑΚΑΚΗ Ε.ΛΑΜΠΡΑΚΗΣ Μ.&amp;ΣΙΑ ΟΕ</t>
  </si>
  <si>
    <t>ΙΔΙΩΤΙΚΟ ΔΗΜΟΤΙΚΟ ΗΡΑΚΛΕΙΟ - ΙΔΙΩΤΙΚΟ ΔΗΜΟΤΙΚΟ ΖΑΝΝΕΙΟ ΕΚΠΑΙΔΕΥΤΗΡΙΟ</t>
  </si>
  <si>
    <t>Ιδιωτικό Δημοτικό Σχολείο- ΕΚΠΑΙΔΕΥΤΗΡΙΟ "ΤΟ ΠΑΓΚΡΗΤΙΟΝ"</t>
  </si>
  <si>
    <t>22ο ΙΔΙΩΤΙΚΟ ΝΗΠΙΑΓΩΓΕΙΟ ΗΡΑΚΛΕΙΟ ΚΡΗΤΗΣ - ΡΟΔΟΜΗΛΙΑ</t>
  </si>
  <si>
    <t>ΩΩΤΓ465ΦΘ3-ΞΔ2</t>
  </si>
  <si>
    <t>ΙΔΙΩΤΙΚΟ ΝΗΠΙΑΓΩΓΕΙΟ ΗΡΑΚΛΕΙΟ - ΙΔΙΩΤΙΚΟ ΝΗΠΙΑΓΩΓΕΙΟ ΖΑΝΝΕΙΟ ΕΚΠΑΙΔΕΥΤΗΡΙΟ</t>
  </si>
  <si>
    <t>ΙΔΙΩΤΙΚΟ ΝΗΠΙΑΓΩΓΕΙΟ ΗΡΑΚΛΕΙΟ ΚΡΗΤΗΣ - ΝΕΑ ΔΗΜΙΟΥΡΓΙΑ</t>
  </si>
  <si>
    <t>ΔΙΕΥΘΥΝΣΗ Π.Ε. ΡΕΘΥΜΝΟΥ</t>
  </si>
  <si>
    <t>Φ.17/ΔΠΕ 5467/7-9-2017</t>
  </si>
  <si>
    <t>ΡΕΘΥΜΝΟΥ (Π.Ε.) 2018</t>
  </si>
  <si>
    <t>ΙΔΙΩΤΙΚΟ ΝΗΠΙΑΓΩΓΕΙΟ - ΚΟΥΤΙΚΑ ΕΛΕΝΗ</t>
  </si>
  <si>
    <t>ΙΔΙΩΤΙΚΟ ΣΥΣΤΕΓΑΖΟΜΕΝΟ ΝΗΠΙΑΓΩΓΕΙΟ - ΨΥΛΛΑΚΗ ΑΝΝΑ</t>
  </si>
  <si>
    <t>19/11-10-2017</t>
  </si>
  <si>
    <t>Φ.17.2/7486</t>
  </si>
  <si>
    <t>Φ.17.2/7373</t>
  </si>
  <si>
    <t>ΙΔΙΩΤΙΚΟ ΔΗΜΟΤΙΚΟ ΧΑΝΙΩΝ - ΜΑΥΡΟΜΑΤΑΚΗ</t>
  </si>
  <si>
    <t>Φ.17.2/8404</t>
  </si>
  <si>
    <t>ΙΔΙΩΤΙΚΟ ΣΥΣΤΕΓΑΖΟΜΕΝΟ ΝΗΠΙΑΓΩΓΕΙΟ - ΤΟ ΚΑΣΤΡΟ ΤΟΥ ΤΡΙΛΟΛΗ</t>
  </si>
  <si>
    <t>ΩΨΤ09-Μ6Α</t>
  </si>
  <si>
    <t>ΙΔΙΩΤΙΚΟ ΣΥΣΤΕΓΑΖΟΜΕΝΟ ΝΗΠΙΑΓΩΓΕΙΟ - ΤΑ ΖΑΒΟΛΑΚΙΑ</t>
  </si>
  <si>
    <t>ΙΔΙΩΤΙΚΟ ΝΗΠΙΑΓΩΓΕΙΟ - ΙΔΙΩΤΙΚΑ ΕΚΠΑΙΔΕΥΤΗΡΙΑ ΘΕΟΔΩΡΟΠΟΥΛΟΥ Α.Ε.</t>
  </si>
  <si>
    <t>ΙΔΙΩΤΙΚΟ ΝΗΠΙΑΓΩΓΕΙΟ ΧΑΝΙΩΝ - ΙΔΙΩΤΙΚΟ ΝΗΠΙΑΓΩΓΕΙΟ-Δ.Δ.Μ.Ν. ΝΑΥΣΤΑΘΜΟΥ ΚΡΗΤΗΣ</t>
  </si>
  <si>
    <t>Φ.17.2/7485</t>
  </si>
  <si>
    <t>Φ.17.2/7311</t>
  </si>
  <si>
    <t>Φ.17.2/6633</t>
  </si>
  <si>
    <t>ΙΔΙΩΤΙΚΟ ΝΗΠΙΑΓΩΓΕΙΟ ΧΑΝΙΑ - ΜΑΥΡΟΜΑΤΑΚΗ</t>
  </si>
  <si>
    <t>Φ.17.2/10407</t>
  </si>
  <si>
    <t>ΒΙΦΘ9-ΝΞ6</t>
  </si>
  <si>
    <t>ΩΚ8Π4653ΠΣ-ΝΨΡ</t>
  </si>
  <si>
    <t>Φ.17.2/7538</t>
  </si>
  <si>
    <t>ΒΛΕΖ9-ΠΨΖ</t>
  </si>
  <si>
    <t>Φ.17.2/11663</t>
  </si>
  <si>
    <t>Φ.17.2/7428</t>
  </si>
  <si>
    <t>Φ.17.2/10585</t>
  </si>
  <si>
    <t>7ΟΙΛ4653ΠΣ-2ΘΔ</t>
  </si>
  <si>
    <t>Φ.17.2/8575</t>
  </si>
  <si>
    <t>Φ.17.2/7368</t>
  </si>
  <si>
    <t>Φ.17.2/7365</t>
  </si>
  <si>
    <t>ΙΔΙΩΤΙΚΟ ΣΥΣΤΕΓΑΖΟΜΕΝΟ ΝΗΠΙΑΓΩΓΕΙΟ ΜΠΟΛΙΟΥΔΑΚΗ ΜΑΡΙΑ - ΖΟΥΖΟΥΝΟΣΠΙΤΟ</t>
  </si>
  <si>
    <t>ΙΔΙΩΤΙΚΟΣΥΣΤΕΓΑΖΟΜΕΝΟ ΝΗΠΙΑΓΩΓΕΙΟ ΧΑΝΙΑ - ΠΑΠΑΔΟΠΕΤΡΟΥ ΙΩΑΝΝΑΣ</t>
  </si>
  <si>
    <t>ΙΔΙΩΤΙΚΟ ΝΗΠΙΑΓΩΓΕΙΟ ΧΑΝΙΩΝ - ΣΥΣΤΕΓΑΖΟΜΕΝΟ ΝΗΠΙΑΓΩΓΕΙΟ-ΠΟΙΜΕΝΙΔΟΥ ΜΑΡΙΝΑ</t>
  </si>
  <si>
    <t>Φ.17.2/8576</t>
  </si>
  <si>
    <t>Α΄ ΔΩΔΕΚΑΝΗΣΟΥ (Δ.Ε.) 2018</t>
  </si>
  <si>
    <t>ΔΙΕΥΘΥΝΣΗ Δ.Ε. ΔΩΔΕΚΑΝΗΣΟΥ</t>
  </si>
  <si>
    <t>ΠΕΡΙΦΕΡΕΙΑΚΗ Δ/ΝΣΗ Α/ΘΜΙΑΣ ΚΑΙ Β/ΘΜΙΑΣ ΕΚΠ/ΣΗΣ ΝΟΤΙΟΥ ΑΙΓΑΙΟΥ</t>
  </si>
  <si>
    <t>ΙΔΙΩΤΙΚΟ ΓΕΝΙΚΟ ΛΥΚΕΙΟ ΕΚΠΑΙΔΕΥΤΗΡΙΑ ΔΩΔΕΚΑΝΗΣΟΥ - "ΡΟΔΙΩΝ ΠΑΙΔΕΙΑ"</t>
  </si>
  <si>
    <t>ΙΔΙΩΤΙΚΟ ΗΜΕΡΗΣΙΟ ΛΥΚΕΙΟ - ΙΔΙΩΤΙΚΑ ΕΚΠΑΙΔΕΥΤΗΡΙΑ ΡΟΔΟΥ ΠΥΘΑΓΟΡΑΣ</t>
  </si>
  <si>
    <t>Φ.17.2 / 786</t>
  </si>
  <si>
    <t>ΙΔΙΩΤΙΚΟ ΓΥΜΝΑΣΙΟ ΕΚΠΑΙΔΕΥΤΗΡΙΩΝ ΔΩΔΕΚΑΝΗΣΟΥ "ΡΟΔΙΩΝ ΠΑΙΔΕΙΑ"</t>
  </si>
  <si>
    <t>ΙΔΙΩΤΙΚΟ ΓΥΜΝΑΣΙΟ - ΕΚΠΑΙΔΕΥΤΗΡΙΑ ΡΟΔΟΥ ΠΥΘΑΓΟΡΑΣ</t>
  </si>
  <si>
    <t>Φ.17.2 / 1774</t>
  </si>
  <si>
    <t>Φ.17.2 / 8581</t>
  </si>
  <si>
    <t>Φ.17.2 / 6397</t>
  </si>
  <si>
    <t>Φ.17.2/6354</t>
  </si>
  <si>
    <t>Φ.17.2 / 6450</t>
  </si>
  <si>
    <t>Φ. 17.2 / 8224</t>
  </si>
  <si>
    <t>Φ. 17.2 / 3517</t>
  </si>
  <si>
    <t>Φ.17. 2 / 786</t>
  </si>
  <si>
    <t>Φ.17.2/7069</t>
  </si>
  <si>
    <t>ΙΔΙΩΤΙΚΟ ΔΗΜΟΤΙΚΟ - ΕΚΠΑΙΔΕΥΤΗΡΙΑ ΡΟΔΟΥ ΠΥΘΑΓΟΡΑΣ</t>
  </si>
  <si>
    <t>Α΄ ΔΩΔΕΚΑΝΗΣΟΥ (Π.Ε.) 2018</t>
  </si>
  <si>
    <t>ΔΙΕΥΘΥΝΣΗ Π.Ε. ΔΩΔΕΚΑΝΗΣΟΥ</t>
  </si>
  <si>
    <t>Δ΄ ΚΥΚΛΑΔΩΝ (Δ.Ε.) 2018</t>
  </si>
  <si>
    <t>ΔΙΕΥΘΥΝΣΗ Δ.Ε. ΚΥΚΛΑΔΩΝ</t>
  </si>
  <si>
    <t>ΣΥΓΧΡΟΝΗ ΠΑΙΔΕΙΑ - ΙΔΙΩΤΙΚΟ ΛΥΚΕΙΟ</t>
  </si>
  <si>
    <t>ΣΥΓΧΡΟΝΗ ΠΑΙΔΕΙΑ - ΙΔΙΩΤΙΚΟ ΓΥΜΝΑΣΙΟ</t>
  </si>
  <si>
    <t>ΠΕ89.01</t>
  </si>
  <si>
    <t>ΚΑΛΛΙΤΕΧΝΙΚΩΝ ΣΠΟΥΔΩΝ</t>
  </si>
  <si>
    <t>ΙΔΙΩΤΙΚΟ ΔΗΜΟΤΙΚΟ ΡΟΔΟΣ - ΡΟΔΙΩΝ ΠΑΙΔΕΙΑ</t>
  </si>
  <si>
    <t>7362/13-10-2015</t>
  </si>
  <si>
    <t>ΙΔΙΩΤΙΚΟ ΝΗΠΙΑΓΩΓΕΙΟ - ΕΚΠΑΙΔΕΥΤΗΡΙΑ ΡΟΔΟΥ ΠΥΘΑΓΟΡΑΣ</t>
  </si>
  <si>
    <t>6489/21-9-2017</t>
  </si>
  <si>
    <t>ΙΔΙΩΤΙΚΟ ΝΗΠΙΑΓΩΓΕΙΟ ΡΟΔΟΣ - ΔΗΜΙΟΥΡΓΙΑ</t>
  </si>
  <si>
    <t>ΙΔΙΩΤΙΚΟ ΝΗΠΙΑΓΩΓΕΙΟ ΡΟΔΟΣ - ΡΟΔΙΩΝ ΠΑΙΔΕΙΑ</t>
  </si>
  <si>
    <t>110/7-11/2018</t>
  </si>
  <si>
    <t>ΙΔΙΩΤΙΚΟ ΝΗΠΙΑΓΩΓΕΙΟ ΙΑΛΥΣΟΣ - ΠΑΙΖΩ ΚΑΙ ΜΑΘΑΙΝΩ</t>
  </si>
  <si>
    <t>6699/3-10-2018</t>
  </si>
  <si>
    <t>Δ΄ ΚΥΚΛΑΔΩΝ (Π.Ε.) 2018</t>
  </si>
  <si>
    <t>ΔΙΕΥΘΥΝΣΗ Π.Ε. ΚΥΚΛΑΔΩΝ</t>
  </si>
  <si>
    <t>ΙΔΙΩΤΙΚΟ ΔΗΜΟΤΙΚΟ ΕΡΜΟΥΠΟΛΗ - ΣΥΡΟΣ - Ο ΑΓΙΟΣ ΓΕΩΡΓΙΟΣ</t>
  </si>
  <si>
    <t>ΙΔΙΩΤΙΚΟ ΔΗΜΟΤΙΚΟ ΜΑΡΑΘΙ ΜΥΚΟΝΟΣ - ΣΥΓΧΡΟΝΗ ΠΑΙΔΕΙΑ</t>
  </si>
  <si>
    <t>-</t>
  </si>
  <si>
    <t>ΙΔΙΩΤΙΚΟ ΝΗΠΙΑΓΩΓΕΙΟ ΣΥΡΟΣ - Ο ΑΓΙΟΣ ΓΕΩΡΓΙΟΣ</t>
  </si>
  <si>
    <t>Β΄ ΚΥΚΛΑΔΩΝ (Π.Ε.) 2018</t>
  </si>
  <si>
    <t>ΙΔΙΩΤΙΚΟ ΝΗΠΙΑΓΩΓΕΙΟ ΘΗΡΑΣ - ΛΑΛΙΤΣΕΣ</t>
  </si>
  <si>
    <t>ΙΔΙΩΤΙΚΟ ΝΗΠΙΑΓΩΓΕΙΟ ΣΥΡΟΥ - ΣΤΗΝ ΠΑΛΑΜΗ ΤΟΥ ΘΕΟΥ</t>
  </si>
  <si>
    <t>ΑΡΓΟΛΙΔΑΣ (Δ.Ε.) 2018</t>
  </si>
  <si>
    <t>ΔΙΕΥΘΥΝΣΗ Δ.Ε. ΑΡΓΟΛΙΔΑΣ</t>
  </si>
  <si>
    <t>ΠΕΡΙΦΕΡΕΙΑΚΗ Δ/ΝΣΗ Α/ΘΜΙΑΣ ΚΑΙ Β/ΘΜΙΑΣ ΕΚΠ/ΣΗΣ ΠΕΛΟΠΟΝΝΗΣΟΥ</t>
  </si>
  <si>
    <t>ΙΔΙΩΤΙΚΟ ΓΥΜΝΑΣΙΟ ΑΥΤΕΝΕΡΓΩ</t>
  </si>
  <si>
    <t>6015/15-9-2014</t>
  </si>
  <si>
    <t>ΙΔΙΩΤΙΚΟ ΓΥΜΝΑΣΙΟ " ΝΕΟ ΣΧΟΛΕΙΟ"</t>
  </si>
  <si>
    <t>3855/18-9-2017</t>
  </si>
  <si>
    <t>ΙΔΙΩΤΙΚΟ ΗΜΕΡΗΣΙΟ ΓΕΝΙΚΟ ΛΥΚΕΙΟ "ΝΕΟ ΣΧΟΛΕΙΟ"</t>
  </si>
  <si>
    <t>3621/18-9-2017</t>
  </si>
  <si>
    <t>2855/11-9-2000</t>
  </si>
  <si>
    <t>3733/11-9-2018</t>
  </si>
  <si>
    <t>7/11-1-2002</t>
  </si>
  <si>
    <t>3802/5-9-2017</t>
  </si>
  <si>
    <t>4479/1-9-2016</t>
  </si>
  <si>
    <t>4298γ/1-9-2016</t>
  </si>
  <si>
    <t>3956α/17-9-2018</t>
  </si>
  <si>
    <t>4512/1-9-2015</t>
  </si>
  <si>
    <t>3733/5-9-2018</t>
  </si>
  <si>
    <t>4703/1-10-2016</t>
  </si>
  <si>
    <t>3621/11-9-2017</t>
  </si>
  <si>
    <t>4154/29-9-2017</t>
  </si>
  <si>
    <t>3956β/14-9-2018</t>
  </si>
  <si>
    <t>6015/2014</t>
  </si>
  <si>
    <t>ΚΟΡΙΝΘΙΑΣ (Δ.Ε.) 2018</t>
  </si>
  <si>
    <t>ΔΙΕΥΘΥΝΣΗ Δ.Ε. ΚΟΡΙΝΘΙΑΣ</t>
  </si>
  <si>
    <t>ΙΔΙΩΤΙΚΟ ΓΥΜΝΑΣΙΟ ΚΟΡΙΝΘΟΥ - ΑΠΟΣΤΟΛΟΣ ΠΑΥΛΟΣ</t>
  </si>
  <si>
    <t>ΙΔΙΩΤΙΚΟ ΓΥΜΝΑΣΙΟ Homo educandus - Αγωγή</t>
  </si>
  <si>
    <t>ΒΙΡ89-ΤΥ7</t>
  </si>
  <si>
    <t>HOMO EDUCANDUS ΑΓΩΓΗ ΔΗΜΟΤΙΚΟ ΙΚΕ</t>
  </si>
  <si>
    <t>ΚΟΡΙΝΘΙΑΣ (Π.Ε.) 2018</t>
  </si>
  <si>
    <t>ΔΙΕΥΘΥΝΣΗ Π.Ε. ΚΟΡΙΝΘΙΑΣ</t>
  </si>
  <si>
    <t>ΙΔΙΩΤΙΚΟ ΛΥΚΕΙΟ - HOMO EDUCANDUS ΑΓΩΓΗ</t>
  </si>
  <si>
    <t>ΙΔΙΩΤΙΚΟ ΓΥΜΝΑΣΙΟ ΚΟΡΙΝΘΟΥ - ΑΡΙΣΤΟΤΕΛΕΙΟ ΚΟΡΙΝΘΙΑΚΟ ΕΚΠΑΙΔΕΥΤΗΡΙΟ</t>
  </si>
  <si>
    <t>ΙΔΙΩΤΙΚΟ ΗΜΕΡΗΣΙΟ ΛΥΚΕΙΟ ΚΟΡΙΝΘΟΣ - ΑΡΙΣΤΟΤΕΛΕΙΟ ΓΕΝΙΚΟ ΛΥΚΕΙΟ</t>
  </si>
  <si>
    <t>ΒΙΨ19-ΝΝΚ</t>
  </si>
  <si>
    <t>3841/24-09-2018</t>
  </si>
  <si>
    <t>ΜΕΣΣΗΝΙΑΣ (Δ.Ε.) 2018</t>
  </si>
  <si>
    <t>ΔΙΕΥΘΥΝΣΗ Δ.Ε. ΜΕΣΣΗΝΙΑΣ</t>
  </si>
  <si>
    <t>ΙΔΙΩΤΙΚΟ ΗΜΕΡΗΣΙΟ ΛΥΚΕΙΟ ΚΑΛΑΜΑΤΑ - ΕΚΠΑΙΔΕΥΤΗΡΙΑ ΜΠΟΥΓΑ</t>
  </si>
  <si>
    <t>ΙΔΙΩΤΙΚΟ ΓΥΜΝΑΣΙΟ ΚΑΛΑΜΑΤΑ - ΕΚΠΑΙΔΕΥΤΗΡΙΑ ΜΠΟΥΓΑ</t>
  </si>
  <si>
    <t>4620/3-10-2017</t>
  </si>
  <si>
    <t>ΑΡΓΟΛΙΔΑΣ (Π.Ε.) 2018</t>
  </si>
  <si>
    <t>ΔΙΕΥΘΥΝΣΗ Π.Ε. ΑΡΓΟΛΙΔΑΣ</t>
  </si>
  <si>
    <t>ΙΔΙΩΤΙΚΟ ΔΗΜΟΤΙΚΟ ΑΡΓΟΣ - ΠΡΟΤΥΠΑ ΕΚΠΑΙΔΕΥΤΗΡΙΑ ΑΦΩΝ ΜΑΛΤΕΖΟΥ</t>
  </si>
  <si>
    <t>1089Α</t>
  </si>
  <si>
    <t>Δημοτικά Σχολεία</t>
  </si>
  <si>
    <t>Ενιαίου Τύπου Ολοήμερο Δημοτικό Σχολείο</t>
  </si>
  <si>
    <t>ΟΛΟΗΜΕΡΟ ΔΗΜΟΤΙΚΟ ΣΧΟΛΕΙΟ ΚΟΥΤΣΟΠΟΔΙΟΥ</t>
  </si>
  <si>
    <t>ΙΔΙΩΤΙΚΟ ΝΗΠΙΑΓΩΓΕΙΟ ΑΡΓΟΣ - ΙΔΙΩΤΙΚΟ ΝΗΠΙΑΓΩΓΕΙΟ ΑΥΤΕΝΕΡΓΩ</t>
  </si>
  <si>
    <t>ΙΔΙΩΤΙΚΟ ΔΗΜΟΤΙΚΟ ΣΧΟΛΕΙΟ ΑΥΤΕΝΕΡΓΩ</t>
  </si>
  <si>
    <t>1157α</t>
  </si>
  <si>
    <t>ΙΔΙΩΤΙΚΟ ΝΗΠΙΑΓΩΓΕΙΟ ΑΡΙΑ ΝΑΥΠΛΙΟΥ - ΙΔ. ΝΗΠΙΑΓΩΓΕΙΟ ΠΑΛΑΤΑΚΙ</t>
  </si>
  <si>
    <t>ΣΥΣΤΕΓΑΖΟΜΕΝΟ ΝΗΠΙΑΓΩΓΕΙΟ - ΜΑΡΙΝΑΚΗ ΑΘΗΝΑ</t>
  </si>
  <si>
    <t>ΙΔΙΩΤΙΚΟ ΝΗΠΙΑΓΩΓΕΙΟ ΑΡΓΟΣ - ΠΡΟΤΥΠΑ ΕΚΠΑΙΔΕΥΤΗΡΙΑ ΑΦΩΝ ΜΑΛΤΕΖΟΥ</t>
  </si>
  <si>
    <t>ΙΔΙΩΤΙΚΟ ΝΗΠΙΑΓΩΓΕΙΟ ΔΑΛΑΜΑΝΑΡΑ - ΟΝΕΙΡΟ</t>
  </si>
  <si>
    <t>ΙΔΙΩΤΙΚΟ ΝΗΠΙΑΓΩΓΕΙΟ ΑΡΙΑ ΝΑΥΠΛΙΟΥ - ΝΗΠΙΑΓΩΓΕΙΟ ΠΑΙΔΙΚΗ ΑΓΚΑΛΙΑ</t>
  </si>
  <si>
    <t>3776β</t>
  </si>
  <si>
    <t>Φ.17/3786</t>
  </si>
  <si>
    <t>ΙΔΙΩΤΙΚΟ ΔΗΜΟΤΙΚΟ ΚΟΡΙΝΘΟΣ - Ο ΜΙΚΡΟΣ ΝΑΥΤΙΛΟΣ</t>
  </si>
  <si>
    <t>ΙΔΙΩΤΙΚΟ ΝΗΠΙΑΓΩΓΕΙΟ ΙΣΘΜΟΣ ΚΟΡΙΝΘΟΥ - ΑΡΙΣΤΟΤΕΛΕΙΟ ΚΟΡΙΝΘΙΑΚΟ ΕΚΠΑΙΔΕΥΤΗΡΙΟ-ΝΗΠΙΑΓΩΓΕΙΟ</t>
  </si>
  <si>
    <t>Φ.17/3556</t>
  </si>
  <si>
    <t>1ο ΙΔΙΩΤΙΚΟ ΔΗΜΟΤΙΚΟ ΙΣΘΜΟΣ ΚΟΡΙΝΘΟΥ - ΑΡΙΣΤΟΤΕΛΕΙΟ ΚΟΡΙΝΘΙΑΚΟ ΕΚΠΑΙΔΕΥΤΗΡΙΟ-ΔΗΜ.ΣΧΟΛΕΙΟ</t>
  </si>
  <si>
    <t>Φ.17/3701/13-9-2018</t>
  </si>
  <si>
    <t>ΙΔΙΩΤΙΚΟ ΝΗΠΙΑΓΩΓΕΙΟ ΤΩΝ ΕΚΠΑΙΔΕΥΤΗΡΙΩΝ ΑΤΣΟΓΛΟΥ</t>
  </si>
  <si>
    <t>79ΑΜ465ΦΘ3-ΔΕΓ</t>
  </si>
  <si>
    <t>ΙΔΙΩΤΙΚΟ ΝΗΠΙΑΓΩΓΕΙΟ ΓΑΛΟΤΑ ΙΣΘΜΟΥ - ΝΗΠΙΑΓΩΓΕΙΟ ΧΑΛΚΙΑ-ΤΑΒΟΥΛΑΡΗ</t>
  </si>
  <si>
    <t>ΙΔΙΩΤΙΚΟ ΝΗΠΙΑΓΩΓΕΙΟ - HOMO EDUCANDUS ΑΓΩΓΗ ΝΗΠΙΑΓΩΓΕΙΟ ΙΚΕ</t>
  </si>
  <si>
    <t>ΙΔΙΩΤΙΚΟ ΝΗΠΙΑΓΩΓΕΙΟ happyland - Α. ΣΠΑΝΟΣ Ε.Ε.</t>
  </si>
  <si>
    <t>Φ.17/3635</t>
  </si>
  <si>
    <t>Φ.17/3676</t>
  </si>
  <si>
    <t>ΙΔΙΩΤΙΚΟ ΔΗΜΟΤΙΚΟ ΙΣΘΜΟΣ ΚΟΡΙΝΘΟΥ - ΕΚΠΑΙΔΕΥΤΗΡΙΑ ΑΤΣΟΓΛΟΥ</t>
  </si>
  <si>
    <t>Φ.17/4309</t>
  </si>
  <si>
    <t>Φ.17/4261</t>
  </si>
  <si>
    <t>Φ.17/5756</t>
  </si>
  <si>
    <t>Φ.17/3557</t>
  </si>
  <si>
    <t>Φ.17/6191/31-10-2016</t>
  </si>
  <si>
    <t>Φ.17/3678/13-9-2018</t>
  </si>
  <si>
    <t>ΙΔΙΩΤΙΚΟ ΝΗΠΙΑΓΩΓΕΙΟ ΞΥΛΟΚΑΣΤΡΟ - ΜΕΝΟΥΝΟΥ</t>
  </si>
  <si>
    <t>Φ.17/3558</t>
  </si>
  <si>
    <t>Φ.17/5801</t>
  </si>
  <si>
    <t>Φ.17/5021β</t>
  </si>
  <si>
    <t>45/15-10-2010</t>
  </si>
  <si>
    <t>ΙΔΙΩΤΙΚΟ ΝΗΠΙΑΓΩΓΕΙΟ ΚΟΡΙΝΘΟΣ - ΜΙΚΡΟΣ ΝΑΥΤΙΛΟΣ</t>
  </si>
  <si>
    <t>Φ.17/3689</t>
  </si>
  <si>
    <t>Φ.17/3848</t>
  </si>
  <si>
    <t>Φ.17/2024</t>
  </si>
  <si>
    <t>Φ.17/218</t>
  </si>
  <si>
    <t>Φ.17/3690</t>
  </si>
  <si>
    <t>Φ.17/3688</t>
  </si>
  <si>
    <t>Φ.17/3633</t>
  </si>
  <si>
    <t>Φ.17/5986</t>
  </si>
  <si>
    <t>ΙΔΙΩΤΙΚΟ ΝΗΠΙΑΓΩΓΕΙΟ ΓΚΟΥΝΤΙΔΗ-ΔΕΔΕ "ΤΟ ΣΟΚΟΛΑΤΕΝΙΟ ΣΠΙΤΙ"</t>
  </si>
  <si>
    <t>Φ.17/3691</t>
  </si>
  <si>
    <t>Φ.17/5039</t>
  </si>
  <si>
    <t>Φ.17/3614</t>
  </si>
  <si>
    <t>Φ.17/8958</t>
  </si>
  <si>
    <t>ΠΕ79.02</t>
  </si>
  <si>
    <t>ΤΕΧΝΟΛΟΓΟΙ ΜΟΥΣΙΚΗΣ ΤΕΧΝΟΛΟΓΙΑΣ, ΗΧΟΥ ΚΑΙ ΜΟΥΣΙΚΩΝ ΟΡΓΑΝΩΝ</t>
  </si>
  <si>
    <t>Φ.17/6423</t>
  </si>
  <si>
    <t>ΛΑΚΩΝΙΑΣ (Π.Ε.) 2018</t>
  </si>
  <si>
    <t>ΔΙΕΥΘΥΝΣΗ Π.Ε. ΛΑΚΩΝΙΑΣ</t>
  </si>
  <si>
    <t>ΙΔΙΩΤΙΚΟ ΔΗΜΟΤΙΚΟ ΣΠΑΡΤΗ - ΙΔΙΩΤΙΚΟ ΔΗΜΟΤΙΚΟ ΣΧΟΛΕΙΟ ΙΩΑΝΝΑΣ ΠΟΛΥΧΡΟΝΑΚΟΥ</t>
  </si>
  <si>
    <t>ΙΔΙΩΤΙΚΟ ΝΗΠΙΑΓΩΓΕΙΟ ΣΠΑΡΤΗ - ΙΔΙΩΤΙΚΟ ΝΗΠΙΑΓΩΓΕΙΟ ΙΩΑΝΝΑΣ ΠΟΛΥΧΡΟΝΑΚΟΥ</t>
  </si>
  <si>
    <t>ΙΔΙΩΤΙΚΟ ΝΗΠΙΑΓΩΓΕΙΟ ΣΠΑΡΤΗ - ΔΡΟΣΟΣΤΑΛΙΤΣΕΣ</t>
  </si>
  <si>
    <t>ΙΔΙΩΤΙΚΟ ΝΗΠΙΑΓΩΓΕΙΟ ΣΠΑΡΤΗ - ΠΑΙΔΙΚΟ ΕΡΓΑΣΤΗΡΙ</t>
  </si>
  <si>
    <t>ΜΕΣΣΗΝΙΑΣ (Π.Ε.) 2018</t>
  </si>
  <si>
    <t>ΔΙΕΥΘΥΝΣΗ Π.Ε. ΜΕΣΣΗΝΙΑΣ</t>
  </si>
  <si>
    <t>Συστεγαζόμενο Ιδιωτικό Νηπιαγωγείο - Γελαστή Πολιτεία</t>
  </si>
  <si>
    <t>ΙΔΙΩΤΙΚΟ ΔΗΜΟΤΙΚΟ ΚΑΛΑΜΑΤΑ - ΕΚΠΑΙΔΕΥΤΗΡΙΑ ΜΠΟΥΓΑ</t>
  </si>
  <si>
    <t>ΙΔΙΩΤΙΚΟ ΣΥΣΤΕΓΑΖΟΜΕΝΟ ΝΗΠΙΑΓΩΓΕΙΟ - ΤΟ ΠΕΡΙΒΟΛΙ ΤΗΣ ΓΙΑΓΙΑΣ</t>
  </si>
  <si>
    <t>ΙΔΙΩΤΙΚΟ ΝΗΠΙΑΓΩΓΕΙΟ ΚΑΛΑΜΑΤΑ - ΕΚΠΑΙΔΕΥΤΗΡΙΑ ΜΠΟΥΓΑ</t>
  </si>
  <si>
    <t>ΙΔΙΩΤΙΚΟ 1/ΘΕΣΙΟ ΝΗΠ/ΓΕΙΟ ΕΛΕΝΗ Ν. ΠΕΦΑΝΗ</t>
  </si>
  <si>
    <t>ΙΔΙΩΤΙΚΟ 1/ΘΕΣΙΟ ΝΗΠ/ΓΕΙΟ "ΠΑΙΧΝΙΔΟΥΠΟΛΗ" (Γ. ΧΡΟΝΟΠΟΥΛΟΥ - Ε. ΝΙΚΟΛΑΚΕΑ Ο.Ε.)</t>
  </si>
  <si>
    <t>ΒΟΙΩΤΙΑΣ (Π.Ε.) 2018</t>
  </si>
  <si>
    <t>ΔΙΕΥΘΥΝΣΗ Π.Ε. ΒΟΙΩΤΙΑΣ</t>
  </si>
  <si>
    <t>ΠΕΡΙΦΕΡΕΙΑΚΗ Δ/ΝΣΗ Α/ΘΜΙΑΣ ΚΑΙ Β/ΘΜΙΑΣ ΕΚΠ/ΣΗΣ ΣΤΕΡΕΑΣ ΕΛΛΑΔΑΣ</t>
  </si>
  <si>
    <t>ΒΛΑΧΟΥ ΓΕΩΡΓΙΑ &amp; ΣΙΑ Ο.Ε.</t>
  </si>
  <si>
    <t>ΙΔΙΩΤΙΚΟ ΣΥΣΤΕΓΑΖΟΜΕΝΟ ΝΗΠΙΑΓΩΓΕΙΟ - ΠΑΡΑΜΥΘΟΧΩΡΑ</t>
  </si>
  <si>
    <t>Α΄ ΕΥΒΟΙΑΣ (Π.Ε.) 2018</t>
  </si>
  <si>
    <t>ΔΙΕΥΘΥΝΣΗ Π.Ε. ΕΥΒΟΙΑΣ</t>
  </si>
  <si>
    <t>ΣΥΛΛΟΓΟΣ ΓΟΝΕΩΝ ΠΑΙΔΙΩΝ ΤΟΥ Β΄ ΒΡΕΦΙΚΟΥ ΠΑΙΔΙΚΟΥ ΣΤΑΘΜΟΥ &amp; ΝΗΠ/ΓΕΙΟΥ ΧΑΛΚΙΔΑΣ 1ο ΝΗΠ/ΓΕΙΟ</t>
  </si>
  <si>
    <t>11489/9-10-2015</t>
  </si>
  <si>
    <t>ΣΥΣΤΕΓΑΖΟΜΕΝΟ ΝΗΠΙΑΓΩΓΕΙΟ - ΠΑΝΤΑΖΗ ΜΑΡΙΑΝΘΗ</t>
  </si>
  <si>
    <t>ΙΔΙΩΤΙΚΟ ΔΗΜΟΤΙΚΟ ΧΑΛΚΙΔΑ - ΣΧΟΛΗ ΚΥΡΑΝΑ</t>
  </si>
  <si>
    <t>42/18-12-2008</t>
  </si>
  <si>
    <t>Φ17/13320/12-10-2018</t>
  </si>
  <si>
    <t>Φ17/10074/23-9-2015</t>
  </si>
  <si>
    <t>Φ17/11143/5-10-2015</t>
  </si>
  <si>
    <t>ΙΔΙΩΤΙΚΟ ΝΗΠΙΑΓΩΓΕΙΟ ΧΑΛΚΙΔΑ - ΣΧΟΛΗ ΚΥΡΑΝΑ</t>
  </si>
  <si>
    <t>Φ17/664/21-1-2014</t>
  </si>
  <si>
    <t>ΙΔΙΩΤΙΚΟ ΝΗΠΙΑΓΩΓΕΙΟ ΑΓΛΑΪΑ ΜΠΑΡΜΠΑ - ΤΟ ΦΕΓΓΑΡΑΚΙ</t>
  </si>
  <si>
    <t>ΙΔΙΩΤΙΚΟ ΣΥΣΤΕΓΑΖΟΜΕΝΟ ΝΗΠΙΑΓΩΓΕΙΟ-ΣΤΟΝ ΜΑΓΙΚΟ ΑΥΛΟ</t>
  </si>
  <si>
    <t>ΟΥΡΑΝΙΟ ΤΟΞΟ (ΑΝΑΛΥΤΗ ΧΡΙΣΤΙΝΑ)</t>
  </si>
  <si>
    <t>11495/21-9-2016</t>
  </si>
  <si>
    <t>ΣΥΛΛΟΓΟΣ ΓΟΝΕΩΝ ΠΑΙΔΙΩΝ ΤΟΥ Β΄ ΒΡΕΦΙΚΟΥ ΠΑΙΔΙΚΟΥ ΣΤΑΘΜΟΥ &amp; ΝΗΠ/ΓΕΙΟΥ ΧΑΛΚΙΔΑΣ 2ο ΝΗΠ/ΓΕΙΟ</t>
  </si>
  <si>
    <t>ΦΘΙΩΤΙΔΑΣ (Π.Ε.) 2018</t>
  </si>
  <si>
    <t>ΔΙΕΥΘΥΝΣΗ Π.Ε. ΦΘΙΩΤΙΔΑΣ</t>
  </si>
  <si>
    <t>ΙΔΙΩΤΙΚΟ ΝΗΠΙΑΓΩΓΕΙΟ- ΣΥΓΧΡΟΝΟ ΝΗΠΙΑΓΩΓΕΙΟ</t>
  </si>
  <si>
    <t>Φ.17.2/4531</t>
  </si>
  <si>
    <t>ΙΔΙΩΤΙΚΟ ΝΗΠΙΑΓΩΓΕΙΟ ΛΑΜΙΑ - ΖΩΓΡΑΦΙΑ</t>
  </si>
  <si>
    <t>ΙΔΙΩΤΙΚΟ ΝΗΠΙΑΓΩΓΕΙΟ ΛΑΜΙΑ - ΓΕΛΑΣΤΗ ΦΡΑΟΥΛΑ</t>
  </si>
  <si>
    <t>Φ.17.2/3799</t>
  </si>
  <si>
    <t>ΙΔΙΩΤΙΚΟ ΝΗΠΙΑΓΩΓΕΙΟ ΜΕΓΑΛΗ ΒΡΥΣΗ - ΡΟΔΟΠΑΡΕΑ</t>
  </si>
  <si>
    <t>ΙΔΙΩΤΙΚΟ ΝΗΠΙΑΓΩΓΕΙΟ ΛΑΜΙΑΣ-ΛΑΠΠΑ ΘΕΟΔΩΡΑ &amp; ΣΙΑ Ο.Ε. - ΛΙΛΙΠΟΥΠΟΛΗ</t>
  </si>
  <si>
    <t>ΙΔΙΩΤΙΚΟ ΝΗΠΙΑΓΩΓΕΙΟ ΛΑΜΙΑ - ΠΑΙΔΙΚΗ ΓΩΝΙΑ</t>
  </si>
  <si>
    <t>ΙΔΙΩΤΙΚΟ ΝΗΠΙΑΓΩΓΕΙΟ ΛΑΜΙΑ - ΜΕΛΙΣΣΑΚΙΑ</t>
  </si>
  <si>
    <t>ΙΔΙΩΤΙΚΟ ΝΗΠΙΑΓΩΓΕΙΟ ΛΑΜΙΑ - ΠΑΡΑΜΥΘΟΚΟΣΜΟΣ</t>
  </si>
  <si>
    <t>ΙΔΙΩΤΙΚΟ ΝΗΠΙΑΓΩΓΕΙΟ ΛΑΜΙΑ - ΗΛΙΑΧΤΙΔΑ</t>
  </si>
  <si>
    <t>ΙΔΙΩΤΙΚΟ ΣΥΣΤΕΓΑΖΟΜΕΝΟ ΝΗΠΙΑΓΩΓΕΙΟ - ΦΑΝΤΑΣΙΑ</t>
  </si>
  <si>
    <t>ΙΔΙΩΤΙΚΟ ΝΗΠΙΑΓΩΓΕΙΟ ΛΑΜΙΑΣ - ΣΥΨΑ ΖΩΗ -" ΟΥΡΑΝΙΟ ΤΟΞΟ"</t>
  </si>
  <si>
    <t>Συστεγαζόμενο Ιδιωτικό Νηπιαγωγείο Μπούρχα Κων. Δήμητρα - Ονειροδρόμιο</t>
  </si>
  <si>
    <t>ΠΡΟΤΥΠΟ ΠΑΙΔΑΓΩΓΙΚΟ ΚΕΝΤΡΟ ΠΡΟΣΧΟΛΙΚΗΣ ΗΛΙΚΙΑΣ - ΜΕΛΩΔΙΑ</t>
  </si>
  <si>
    <t>Γενικό Άθροισμα</t>
  </si>
  <si>
    <t>Καταμέτρηση 
από Α.Φ.Μ.</t>
  </si>
  <si>
    <t>Ιδιωτικού Δικαίου Αορίστου Χρόνου (Ι.Δ.Α.Χ.) 
με Οργανική σε Ισότιμο προς τα Δημόσια Σχολείο</t>
  </si>
  <si>
    <t>Ιδιωτικού Δικαίου Αορίστου Χρόνου (Ι.Δ.Α.Χ.) με Οργανική 
σε Ισότιμο προς τα Δημόσια Σχολείο</t>
  </si>
  <si>
    <t>Φύλο / Σχέση εργασίας</t>
  </si>
  <si>
    <t>Άνδρες</t>
  </si>
  <si>
    <t>Γυναίκες</t>
  </si>
  <si>
    <t>Πλήθος</t>
  </si>
  <si>
    <t>% 
στο πλήθος</t>
  </si>
  <si>
    <t>% 
στο Φύλο</t>
  </si>
  <si>
    <t>πλήθος</t>
  </si>
  <si>
    <t>Δ/Υ</t>
  </si>
  <si>
    <t>Τύπος σχολικής μονάδας</t>
  </si>
  <si>
    <t>πλήθος 
εκπ/κων</t>
  </si>
  <si>
    <t>Βαθμίδα</t>
  </si>
  <si>
    <t>Α/θμια</t>
  </si>
  <si>
    <t>Β/θμια</t>
  </si>
  <si>
    <t>Φύλο / τύπος σχολικής μονάδας</t>
  </si>
  <si>
    <t>%</t>
  </si>
  <si>
    <t>Σχέση εργασίας στην Α/θμια Εκπαίδευση</t>
  </si>
  <si>
    <t>Σχέση εργασίας στην Β/θμια Εκπαίδευση</t>
  </si>
  <si>
    <t>Σύνολο</t>
  </si>
  <si>
    <t>Σχέση εργασίας</t>
  </si>
  <si>
    <t>% στο σύνολο της 
σχέσης εργασίας</t>
  </si>
  <si>
    <t>Ιδιωτικά Νηπιαγωγεία</t>
  </si>
  <si>
    <t>Ιδιωτικά Δημοτικά Σχολεία</t>
  </si>
  <si>
    <t>Ιδιωτικά Γυμνάσια</t>
  </si>
  <si>
    <t>Ιδιωτικά Λύκεια (και Ημερ/σια - Εσπερ/να ΕΠΑΛ και Εσπερ/να ΓΕΛ)</t>
  </si>
  <si>
    <t>Βαθμίδα Εκπαίδευσης</t>
  </si>
  <si>
    <t>Ηλικία</t>
  </si>
  <si>
    <t>66+</t>
  </si>
  <si>
    <t>δ/υ</t>
  </si>
  <si>
    <t>Ετικέτες γραμμής</t>
  </si>
  <si>
    <t>(κενό)</t>
  </si>
  <si>
    <t>(Όλα)</t>
  </si>
  <si>
    <t>22 - 30</t>
  </si>
  <si>
    <t>31 - 40</t>
  </si>
  <si>
    <t>41 - 45</t>
  </si>
  <si>
    <t>46 - 50</t>
  </si>
  <si>
    <t>51 - 55</t>
  </si>
  <si>
    <t>56 - 60</t>
  </si>
  <si>
    <t>61 - 65</t>
  </si>
  <si>
    <t>Ηλικιακη Ομάδα</t>
  </si>
  <si>
    <t>Ηλικιακή Ομάδα</t>
  </si>
  <si>
    <t>Ετικέτες στήλης</t>
  </si>
  <si>
    <t>22 - 40</t>
  </si>
  <si>
    <t>41 - 55</t>
  </si>
  <si>
    <t>56 - 66+</t>
  </si>
  <si>
    <t>22-40</t>
  </si>
  <si>
    <t>41-55</t>
  </si>
  <si>
    <t>56-66+</t>
  </si>
  <si>
    <t>ΔΙΔΑΚΤΙΚΟ ΩΡΑΡΙΟ</t>
  </si>
  <si>
    <t>0-5</t>
  </si>
  <si>
    <t>6-10</t>
  </si>
  <si>
    <t>11-15</t>
  </si>
  <si>
    <t>16-19</t>
  </si>
  <si>
    <t>20</t>
  </si>
  <si>
    <t>21-25</t>
  </si>
  <si>
    <t>26+</t>
  </si>
  <si>
    <t>Διδακτικό Ωράριο</t>
  </si>
  <si>
    <t>0 - 10</t>
  </si>
  <si>
    <t>11-19</t>
  </si>
  <si>
    <t>20-26+</t>
  </si>
  <si>
    <t>% στη 
Βαθμίδα</t>
  </si>
  <si>
    <t>Βαθμίδα / 
Διδακτ.Ωράρ</t>
  </si>
  <si>
    <t xml:space="preserve">σε Αναπλήρωση </t>
  </si>
  <si>
    <t>Αορίστου Χρόνου</t>
  </si>
  <si>
    <t>Ορισμένου Χρόνου</t>
  </si>
  <si>
    <t>Αορίστου Χρόνου 
με Οργανική</t>
  </si>
  <si>
    <t>Γενικό 
Σύνολο</t>
  </si>
  <si>
    <t>% στη
Βαθμίδα</t>
  </si>
  <si>
    <t>% στο σύνολο της Βαθμίδας</t>
  </si>
  <si>
    <t>ΑΝ. ΜΑΚΕΔΟΝΙΑΣ ΚΑΙ ΘΡΑΚΗΣ</t>
  </si>
  <si>
    <t>ΑΤΤΙΚΗΣ</t>
  </si>
  <si>
    <t>ΒΟΡΕΙΟΥ ΑΙΓΑΙΟΥ</t>
  </si>
  <si>
    <t>ΔΥΤΙΚΗΣ ΕΛΛΑΔΑΣ</t>
  </si>
  <si>
    <t>ΔΥΤΙΚΗΣ ΜΑΚΕΔΟΝΙΑΣ</t>
  </si>
  <si>
    <t>ΗΠΕΙΡΟΥ</t>
  </si>
  <si>
    <t>ΙΟΝΙΩΝ ΝΗΣΩΝ</t>
  </si>
  <si>
    <t>ΚΕΝΤΡΙΚΗΣ ΜΑΚΕΔΟΝΙΑΣ</t>
  </si>
  <si>
    <t>ΚΡΗΤΗΣ</t>
  </si>
  <si>
    <t>ΝΟΤΙΟΥ ΑΙΓΑΙΟΥ</t>
  </si>
  <si>
    <t>ΠΕΛΟΠΟΝΝΗΣΟΥ</t>
  </si>
  <si>
    <t>ΣΤΕΡΕΑΣ ΕΛΛΑΔΑΣ</t>
  </si>
  <si>
    <t>% στο 
σύνολο</t>
  </si>
  <si>
    <t>Περιφερειακές Δ/νσεις Α/θμιας 
και Β/θμιας Εκπαίδευσης</t>
  </si>
  <si>
    <t>Αορ. Χρόνου</t>
  </si>
  <si>
    <t>Αορ. Χρόνου
 με Οργανική</t>
  </si>
  <si>
    <t>Ορισμένου
 Χρόνου</t>
  </si>
  <si>
    <t>% στην Περιφέρεια</t>
  </si>
  <si>
    <t>Αορίστου</t>
  </si>
  <si>
    <t>Ορισμένου</t>
  </si>
  <si>
    <t>σε Αναπλ/ση</t>
  </si>
  <si>
    <t>ΤΕΧΝΟΛΟΓΟΙ ΜΟΥΣΙΚΗΣ ΤΕΧΝΟΛΟΓΙΑΣ, 
ΗΧΟΥ ΚΑΙ ΜΟΥΣΙΚΩΝ ΟΡΓΑΝΩΝ</t>
  </si>
  <si>
    <t>Εκπαιδευτικός κλάδος</t>
  </si>
  <si>
    <t>Σωρευτικό
ποσοστό</t>
  </si>
  <si>
    <t>Λοιποί κλάδοι</t>
  </si>
  <si>
    <t>Λοιποί Κλάδοι</t>
  </si>
  <si>
    <t>Εκπαιδευτικοί κατά κλάδο</t>
  </si>
  <si>
    <t>56+</t>
  </si>
  <si>
    <t>Ηλικιακή 
Ομάδα</t>
  </si>
  <si>
    <t>Σύνολο Ομάδας</t>
  </si>
  <si>
    <r>
      <t>Α.1.</t>
    </r>
    <r>
      <rPr>
        <sz val="11"/>
        <color theme="1"/>
        <rFont val="Calibri"/>
        <family val="2"/>
        <charset val="161"/>
        <scheme val="minor"/>
      </rPr>
      <t xml:space="preserve"> Πλήθος εκπαιδευτικού προσωπικού σε ιδιωτικές σχολικές μονάδες </t>
    </r>
    <r>
      <rPr>
        <b/>
        <sz val="11"/>
        <color theme="1"/>
        <rFont val="Calibri"/>
        <family val="2"/>
        <charset val="161"/>
        <scheme val="minor"/>
      </rPr>
      <t>Α/θμιας και Β/θμιας Εκπαίδευσης</t>
    </r>
    <r>
      <rPr>
        <sz val="11"/>
        <color theme="1"/>
        <rFont val="Calibri"/>
        <family val="2"/>
        <charset val="161"/>
        <scheme val="minor"/>
      </rPr>
      <t>, κατά σχέση εργασίας.</t>
    </r>
  </si>
  <si>
    <r>
      <t>Α.1.1.</t>
    </r>
    <r>
      <rPr>
        <sz val="11"/>
        <color theme="1"/>
        <rFont val="Calibri"/>
        <family val="2"/>
        <charset val="161"/>
        <scheme val="minor"/>
      </rPr>
      <t xml:space="preserve"> Πλήθος ιδιωτικών εκπαιδευτικών που εργάζονται σε
 ιδιωτικές σχολικές μονάδες, </t>
    </r>
    <r>
      <rPr>
        <b/>
        <sz val="11"/>
        <color theme="1"/>
        <rFont val="Calibri"/>
        <family val="2"/>
        <charset val="161"/>
        <scheme val="minor"/>
      </rPr>
      <t>κατά φύλο και σχέση εργασίας</t>
    </r>
    <r>
      <rPr>
        <sz val="11"/>
        <color theme="1"/>
        <rFont val="Calibri"/>
        <family val="2"/>
        <charset val="161"/>
        <scheme val="minor"/>
      </rPr>
      <t xml:space="preserve">. </t>
    </r>
  </si>
  <si>
    <r>
      <t>Α.2.</t>
    </r>
    <r>
      <rPr>
        <sz val="11"/>
        <color theme="1"/>
        <rFont val="Calibri"/>
        <family val="2"/>
        <charset val="161"/>
        <scheme val="minor"/>
      </rPr>
      <t xml:space="preserve"> Πλήθος ιδιωτικών εκπαιδευτικών 
</t>
    </r>
    <r>
      <rPr>
        <b/>
        <sz val="11"/>
        <color theme="1"/>
        <rFont val="Calibri"/>
        <family val="2"/>
        <charset val="161"/>
        <scheme val="minor"/>
      </rPr>
      <t>κατά τύπο ιδιωτικής σχολικής μονάδας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</si>
  <si>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Α.2.1. </t>
    </r>
    <r>
      <rPr>
        <sz val="11"/>
        <color theme="1"/>
        <rFont val="Calibri"/>
        <family val="2"/>
        <charset val="161"/>
        <scheme val="minor"/>
      </rPr>
      <t xml:space="preserve">Πλήθος εκπαιδευτικών </t>
    </r>
    <r>
      <rPr>
        <b/>
        <sz val="11"/>
        <color theme="1"/>
        <rFont val="Calibri"/>
        <family val="2"/>
        <charset val="161"/>
        <scheme val="minor"/>
      </rPr>
      <t>κατά φύλο και κατά τύπο σχολικής μονάδας</t>
    </r>
    <r>
      <rPr>
        <sz val="11"/>
        <color theme="1"/>
        <rFont val="Calibri"/>
        <family val="2"/>
        <charset val="161"/>
        <scheme val="minor"/>
      </rPr>
      <t xml:space="preserve">. </t>
    </r>
  </si>
  <si>
    <r>
      <t xml:space="preserve">Α.3. </t>
    </r>
    <r>
      <rPr>
        <sz val="11"/>
        <color theme="1"/>
        <rFont val="Calibri"/>
        <family val="2"/>
        <charset val="161"/>
        <scheme val="minor"/>
      </rPr>
      <t xml:space="preserve">Πλήθος εκπαιδευτικών </t>
    </r>
    <r>
      <rPr>
        <b/>
        <sz val="11"/>
        <color theme="1"/>
        <rFont val="Calibri"/>
        <family val="2"/>
        <charset val="161"/>
        <scheme val="minor"/>
      </rPr>
      <t>κατά Βαθμίδα Εκπαίδευσης και σχέση εργασίας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</si>
  <si>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Α.3.1. </t>
    </r>
    <r>
      <rPr>
        <sz val="11"/>
        <color theme="1"/>
        <rFont val="Calibri"/>
        <family val="2"/>
        <charset val="161"/>
        <scheme val="minor"/>
      </rPr>
      <t xml:space="preserve">Πλήθος εκπαιδευτικών </t>
    </r>
    <r>
      <rPr>
        <b/>
        <sz val="11"/>
        <color theme="1"/>
        <rFont val="Calibri"/>
        <family val="2"/>
        <charset val="161"/>
        <scheme val="minor"/>
      </rPr>
      <t xml:space="preserve">στα Ιδιωτικά Νηπιαγωγεία </t>
    </r>
    <r>
      <rPr>
        <sz val="11"/>
        <color theme="1"/>
        <rFont val="Calibri"/>
        <family val="2"/>
        <charset val="161"/>
        <scheme val="minor"/>
      </rPr>
      <t xml:space="preserve">κατά φύλο και σχέση εργασίας </t>
    </r>
  </si>
  <si>
    <r>
      <t xml:space="preserve">Α.3.2. </t>
    </r>
    <r>
      <rPr>
        <sz val="11"/>
        <color theme="1"/>
        <rFont val="Calibri"/>
        <family val="2"/>
        <charset val="161"/>
        <scheme val="minor"/>
      </rPr>
      <t xml:space="preserve">Πλήθος εκπαιδευτικών </t>
    </r>
    <r>
      <rPr>
        <b/>
        <sz val="11"/>
        <color theme="1"/>
        <rFont val="Calibri"/>
        <family val="2"/>
        <charset val="161"/>
        <scheme val="minor"/>
      </rPr>
      <t xml:space="preserve">στα Ιδιωτικά Δημοτικά Σχολεία </t>
    </r>
    <r>
      <rPr>
        <sz val="11"/>
        <color theme="1"/>
        <rFont val="Calibri"/>
        <family val="2"/>
        <charset val="161"/>
        <scheme val="minor"/>
      </rPr>
      <t xml:space="preserve">κατά φύλο και σχέση εργασίας </t>
    </r>
  </si>
  <si>
    <r>
      <t xml:space="preserve">Α.3.3. </t>
    </r>
    <r>
      <rPr>
        <sz val="11"/>
        <color theme="1"/>
        <rFont val="Calibri"/>
        <family val="2"/>
        <charset val="161"/>
        <scheme val="minor"/>
      </rPr>
      <t xml:space="preserve">Πλήθος εκπαιδευτικών </t>
    </r>
    <r>
      <rPr>
        <b/>
        <sz val="11"/>
        <color theme="1"/>
        <rFont val="Calibri"/>
        <family val="2"/>
        <charset val="161"/>
        <scheme val="minor"/>
      </rPr>
      <t xml:space="preserve">στα Ιδιωτικά Γυμνάσια </t>
    </r>
    <r>
      <rPr>
        <sz val="11"/>
        <color theme="1"/>
        <rFont val="Calibri"/>
        <family val="2"/>
        <charset val="161"/>
        <scheme val="minor"/>
      </rPr>
      <t xml:space="preserve">κατά φύλο και σχέση εργασίας </t>
    </r>
  </si>
  <si>
    <r>
      <t xml:space="preserve">Α.3.4. Πλήθος εκπαιδευτικών στα </t>
    </r>
    <r>
      <rPr>
        <b/>
        <sz val="11"/>
        <color theme="1"/>
        <rFont val="Calibri"/>
        <family val="2"/>
        <charset val="161"/>
        <scheme val="minor"/>
      </rPr>
      <t xml:space="preserve">Ιδιωτικά Λύκεια </t>
    </r>
    <r>
      <rPr>
        <sz val="11"/>
        <color theme="1"/>
        <rFont val="Calibri"/>
        <family val="2"/>
        <charset val="161"/>
        <scheme val="minor"/>
      </rPr>
      <t xml:space="preserve">κατά φύλο και σχέση εργασίας </t>
    </r>
  </si>
  <si>
    <r>
      <t xml:space="preserve">Α.4. </t>
    </r>
    <r>
      <rPr>
        <sz val="11"/>
        <color theme="1"/>
        <rFont val="Calibri"/>
        <family val="2"/>
        <charset val="161"/>
        <scheme val="minor"/>
      </rPr>
      <t xml:space="preserve">Πλήθος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Βαθμολογική κατάταξη</t>
    </r>
    <r>
      <rPr>
        <sz val="11"/>
        <color theme="1"/>
        <rFont val="Calibri"/>
        <family val="2"/>
        <charset val="161"/>
        <scheme val="minor"/>
      </rPr>
      <t xml:space="preserve"> και φύλο</t>
    </r>
  </si>
  <si>
    <r>
      <t>Α.5. Ηλικιακή διάρθρωση</t>
    </r>
    <r>
      <rPr>
        <sz val="11"/>
        <color theme="1"/>
        <rFont val="Calibri"/>
        <family val="2"/>
        <charset val="161"/>
        <scheme val="minor"/>
      </rPr>
      <t xml:space="preserve"> ιδιωτικών εκπαιδευτικών, ανεξαρτήτως φύλου</t>
    </r>
  </si>
  <si>
    <r>
      <t xml:space="preserve">Α.5.1 </t>
    </r>
    <r>
      <rPr>
        <sz val="11"/>
        <color theme="1"/>
        <rFont val="Calibri"/>
        <family val="2"/>
        <charset val="161"/>
        <scheme val="minor"/>
      </rPr>
      <t xml:space="preserve">Ηλικιακή διάρθρωση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φύλο</t>
    </r>
  </si>
  <si>
    <r>
      <t xml:space="preserve">Α.5.3. </t>
    </r>
    <r>
      <rPr>
        <sz val="11"/>
        <color theme="1"/>
        <rFont val="Calibri"/>
        <family val="2"/>
        <charset val="161"/>
        <scheme val="minor"/>
      </rPr>
      <t xml:space="preserve">Ηλικιακή διάρθρωση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Β/θμιας Εκπαίδευσης</t>
    </r>
    <r>
      <rPr>
        <sz val="11"/>
        <color theme="1"/>
        <rFont val="Calibri"/>
        <family val="2"/>
        <charset val="161"/>
        <scheme val="minor"/>
      </rPr>
      <t xml:space="preserve"> κατά φύλο.</t>
    </r>
  </si>
  <si>
    <r>
      <t xml:space="preserve">Α.6. </t>
    </r>
    <r>
      <rPr>
        <sz val="11"/>
        <color theme="1"/>
        <rFont val="Calibri"/>
        <family val="2"/>
        <charset val="161"/>
        <scheme val="minor"/>
      </rPr>
      <t>Κατάταξη του πλήθους των ιδιωτικών εκπ/κών βάσει του υποχρεωτικού ωραρίου διδασκαλίας</t>
    </r>
  </si>
  <si>
    <r>
      <t xml:space="preserve">Α.6.1. </t>
    </r>
    <r>
      <rPr>
        <sz val="11"/>
        <color theme="1"/>
        <rFont val="Calibri"/>
        <family val="2"/>
        <charset val="161"/>
        <scheme val="minor"/>
      </rPr>
      <t xml:space="preserve">Υποχρεωτικό διδακτικό ωράριο ιδιωτικών εκπ/κών </t>
    </r>
    <r>
      <rPr>
        <b/>
        <sz val="11"/>
        <color theme="1"/>
        <rFont val="Calibri"/>
        <family val="2"/>
        <charset val="161"/>
        <scheme val="minor"/>
      </rPr>
      <t>κατά Βαθμίδα και φύλο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</si>
  <si>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Α.6.2. </t>
    </r>
    <r>
      <rPr>
        <sz val="11"/>
        <color theme="1"/>
        <rFont val="Calibri"/>
        <family val="2"/>
        <charset val="161"/>
        <scheme val="minor"/>
      </rPr>
      <t xml:space="preserve">Υποχρεωτικό διδακτικό ωράριο ιδιωτικών εκπ/κών </t>
    </r>
    <r>
      <rPr>
        <b/>
        <sz val="11"/>
        <color theme="1"/>
        <rFont val="Calibri"/>
        <family val="2"/>
        <charset val="161"/>
        <scheme val="minor"/>
      </rPr>
      <t>κατά Βαθμίδα και Σχέση Εργασίας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</si>
  <si>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Α.7. </t>
    </r>
    <r>
      <rPr>
        <sz val="11"/>
        <color theme="1"/>
        <rFont val="Calibri"/>
        <family val="2"/>
        <charset val="161"/>
        <scheme val="minor"/>
      </rPr>
      <t xml:space="preserve">Κατανομή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Περιφερειακή Διεύθυνση Εκπαίδευσης</t>
    </r>
  </si>
  <si>
    <r>
      <t xml:space="preserve">Α.7.1. </t>
    </r>
    <r>
      <rPr>
        <sz val="11"/>
        <color theme="1"/>
        <rFont val="Calibri"/>
        <family val="2"/>
        <charset val="161"/>
        <scheme val="minor"/>
      </rPr>
      <t xml:space="preserve">Κατανομή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Περιφερειακή Διεύθυνση Εκπαίδευσης</t>
    </r>
    <r>
      <rPr>
        <sz val="11"/>
        <color theme="1"/>
        <rFont val="Calibri"/>
        <family val="2"/>
        <charset val="161"/>
        <scheme val="minor"/>
      </rPr>
      <t xml:space="preserve"> και εργασιακή σχέση, ανεξαρτήτως φύλου </t>
    </r>
  </si>
  <si>
    <r>
      <t xml:space="preserve">Α.8. </t>
    </r>
    <r>
      <rPr>
        <sz val="11"/>
        <color theme="1"/>
        <rFont val="Calibri"/>
        <family val="2"/>
        <charset val="161"/>
        <scheme val="minor"/>
      </rPr>
      <t xml:space="preserve">Κατανομή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Διεύθυνση Α/θμιας Εκπαίδευσης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</si>
  <si>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Α.8.1. </t>
    </r>
    <r>
      <rPr>
        <sz val="11"/>
        <color theme="1"/>
        <rFont val="Calibri"/>
        <family val="2"/>
        <charset val="161"/>
        <scheme val="minor"/>
      </rPr>
      <t xml:space="preserve">Κατανομή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Διεύθυνση Β/θμιας Εκπαίδευσης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</si>
  <si>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Α.9. </t>
    </r>
    <r>
      <rPr>
        <sz val="11"/>
        <color theme="1"/>
        <rFont val="Calibri"/>
        <family val="2"/>
        <charset val="161"/>
        <scheme val="minor"/>
      </rPr>
      <t xml:space="preserve">Κατανομή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Εκπαιδευτικό κλάδο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</si>
  <si>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Α.10. </t>
    </r>
    <r>
      <rPr>
        <sz val="11"/>
        <color theme="1"/>
        <rFont val="Calibri"/>
        <family val="2"/>
        <charset val="161"/>
        <scheme val="minor"/>
      </rPr>
      <t xml:space="preserve">Ηλικιακή διάρθρωση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Εκπαιδευτικό κλάδο</t>
    </r>
    <r>
      <rPr>
        <sz val="11"/>
        <color theme="1"/>
        <rFont val="Calibri"/>
        <family val="2"/>
        <charset val="161"/>
        <scheme val="minor"/>
      </rPr>
      <t xml:space="preserve"> </t>
    </r>
  </si>
  <si>
    <r>
      <t xml:space="preserve">Α.10.1. </t>
    </r>
    <r>
      <rPr>
        <sz val="11"/>
        <color theme="1"/>
        <rFont val="Calibri"/>
        <family val="2"/>
        <charset val="161"/>
        <scheme val="minor"/>
      </rPr>
      <t xml:space="preserve">Ηλικιακή διάρθρωση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κατά σχέση εργασίας</t>
    </r>
  </si>
  <si>
    <t xml:space="preserve">Β. Εγγραφές στην επετηρίδα ιδιωτικών εκπαιδευτικών λειτουργών του άρθρου 28 του ν.682/1977. (Έτος 2018). </t>
  </si>
  <si>
    <t>ΠΕ79.01
ΠΕ79.02</t>
  </si>
  <si>
    <t>ΜΟΥΣΙΚΗΣ ΕΠΙΣΤΗΜΗΣ
ΤΕΧΝΟΛΟΓΟΙ ΜΟΥΣΙΚΗΣ ΤΕΧΝΟΛΟΓΙΑΣ, ΗΧΟΥ ΚΑΙ ΜΟΥΣΙΚΩΝ ΟΡΓΑΝΩΝ</t>
  </si>
  <si>
    <t>ΠΕ91.02</t>
  </si>
  <si>
    <t>ΔΡΑΜΑΤΙΚΗΣ ΤΕΧΝΗΣ</t>
  </si>
  <si>
    <t>πληθος</t>
  </si>
  <si>
    <t>% στο πλήθος</t>
  </si>
  <si>
    <t>Κωδ. Κλάδου</t>
  </si>
  <si>
    <t xml:space="preserve">Λεκτικό κλάδου </t>
  </si>
  <si>
    <t>Εκπαιδευτικοί που εργάζονται σε μια σχολικής μονάδα</t>
  </si>
  <si>
    <t>Εκπαιδευτικοί που εργάζονται σε δυο σχολικές μονάδες</t>
  </si>
  <si>
    <t>Εκπαιδευτικοί που εργάζονται σε τρεις σχολικές μονάδες</t>
  </si>
  <si>
    <t>Εκπαιδευτικοί που εργάζονται σε τέσσερις σχολικές μονάδες</t>
  </si>
  <si>
    <t>Εκπαιδευτικοί που εργάζονται σε πέντε σχολικές μονάδες</t>
  </si>
  <si>
    <r>
      <t>Εκπαιδευτικοί που εργάζονται σε</t>
    </r>
    <r>
      <rPr>
        <b/>
        <sz val="11"/>
        <color theme="1"/>
        <rFont val="Calibri"/>
        <family val="2"/>
        <charset val="161"/>
        <scheme val="minor"/>
      </rPr>
      <t xml:space="preserve"> μια (1)</t>
    </r>
    <r>
      <rPr>
        <sz val="11"/>
        <color theme="1"/>
        <rFont val="Calibri"/>
        <family val="2"/>
        <charset val="161"/>
        <scheme val="minor"/>
      </rPr>
      <t xml:space="preserve"> σχολική μονάδα</t>
    </r>
  </si>
  <si>
    <r>
      <t xml:space="preserve">Εκπαιδευτικοί που εργάζονται σε </t>
    </r>
    <r>
      <rPr>
        <b/>
        <sz val="11"/>
        <color theme="1"/>
        <rFont val="Calibri"/>
        <family val="2"/>
        <charset val="161"/>
        <scheme val="minor"/>
      </rPr>
      <t>δυο</t>
    </r>
    <r>
      <rPr>
        <sz val="11"/>
        <color theme="1"/>
        <rFont val="Calibri"/>
        <family val="2"/>
        <charset val="161"/>
        <scheme val="minor"/>
      </rPr>
      <t xml:space="preserve"> (2) σχολικές μονάδες</t>
    </r>
  </si>
  <si>
    <r>
      <t xml:space="preserve">Εκπαιδευτικοί που εργάζονται σε </t>
    </r>
    <r>
      <rPr>
        <b/>
        <sz val="11"/>
        <color theme="1"/>
        <rFont val="Calibri"/>
        <family val="2"/>
        <charset val="161"/>
        <scheme val="minor"/>
      </rPr>
      <t>τρεις</t>
    </r>
    <r>
      <rPr>
        <sz val="11"/>
        <color theme="1"/>
        <rFont val="Calibri"/>
        <family val="2"/>
        <charset val="161"/>
        <scheme val="minor"/>
      </rPr>
      <t xml:space="preserve"> (3) σχολικές μονάδες</t>
    </r>
  </si>
  <si>
    <r>
      <t xml:space="preserve">Εκπαιδευτικοί που εργάζονται σε </t>
    </r>
    <r>
      <rPr>
        <b/>
        <sz val="11"/>
        <color theme="1"/>
        <rFont val="Calibri"/>
        <family val="2"/>
        <charset val="161"/>
        <scheme val="minor"/>
      </rPr>
      <t>τέσσερις</t>
    </r>
    <r>
      <rPr>
        <sz val="11"/>
        <color theme="1"/>
        <rFont val="Calibri"/>
        <family val="2"/>
        <charset val="161"/>
        <scheme val="minor"/>
      </rPr>
      <t xml:space="preserve"> (4) σχολικές μονάδες</t>
    </r>
  </si>
  <si>
    <r>
      <t xml:space="preserve">Εκπαιδευτικοί που εργάζονται σε </t>
    </r>
    <r>
      <rPr>
        <b/>
        <sz val="11"/>
        <color theme="1"/>
        <rFont val="Calibri"/>
        <family val="2"/>
        <charset val="161"/>
        <scheme val="minor"/>
      </rPr>
      <t>πέντε</t>
    </r>
    <r>
      <rPr>
        <sz val="11"/>
        <color theme="1"/>
        <rFont val="Calibri"/>
        <family val="2"/>
        <charset val="161"/>
        <scheme val="minor"/>
      </rPr>
      <t xml:space="preserve"> (5) σχολικές μονάδες</t>
    </r>
  </si>
  <si>
    <t>Πλήθος ιδιωτ. Εκπ/κων που διδάσκουν σε πολλές σχολικές μονάδες</t>
  </si>
  <si>
    <t>2 σχολ. μον.</t>
  </si>
  <si>
    <t>3 σχολ. μον.</t>
  </si>
  <si>
    <t>4 σχολ. μον.</t>
  </si>
  <si>
    <t>5 σχολ. μον.</t>
  </si>
  <si>
    <t>KLEIDI</t>
  </si>
  <si>
    <t>Καταμέτρηση από KLEIDI</t>
  </si>
  <si>
    <r>
      <t>22</t>
    </r>
    <r>
      <rPr>
        <sz val="11"/>
        <color rgb="FF000000"/>
        <rFont val="Calibri"/>
        <family val="2"/>
        <charset val="161"/>
        <scheme val="minor"/>
      </rPr>
      <t xml:space="preserve"> - 30</t>
    </r>
  </si>
  <si>
    <r>
      <t xml:space="preserve">31 - </t>
    </r>
    <r>
      <rPr>
        <b/>
        <sz val="11"/>
        <color rgb="FF000000"/>
        <rFont val="Calibri"/>
        <family val="2"/>
        <charset val="161"/>
        <scheme val="minor"/>
      </rPr>
      <t>40</t>
    </r>
  </si>
  <si>
    <r>
      <t>41</t>
    </r>
    <r>
      <rPr>
        <sz val="11"/>
        <color rgb="FF000000"/>
        <rFont val="Calibri"/>
        <family val="2"/>
        <charset val="161"/>
        <scheme val="minor"/>
      </rPr>
      <t xml:space="preserve"> - 45</t>
    </r>
  </si>
  <si>
    <r>
      <t xml:space="preserve">51 - </t>
    </r>
    <r>
      <rPr>
        <b/>
        <sz val="11"/>
        <color rgb="FF000000"/>
        <rFont val="Calibri"/>
        <family val="2"/>
        <charset val="161"/>
        <scheme val="minor"/>
      </rPr>
      <t>55</t>
    </r>
  </si>
  <si>
    <r>
      <t>56</t>
    </r>
    <r>
      <rPr>
        <sz val="11"/>
        <color rgb="FF000000"/>
        <rFont val="Calibri"/>
        <family val="2"/>
        <charset val="161"/>
        <scheme val="minor"/>
      </rPr>
      <t xml:space="preserve"> - 60</t>
    </r>
  </si>
  <si>
    <r>
      <t xml:space="preserve">Α.5.2. </t>
    </r>
    <r>
      <rPr>
        <sz val="11"/>
        <color theme="1"/>
        <rFont val="Calibri"/>
        <family val="2"/>
        <charset val="161"/>
        <scheme val="minor"/>
      </rPr>
      <t xml:space="preserve">Ηλικιακή διάρθρωση ιδιωτικών εκπαιδευτικών </t>
    </r>
    <r>
      <rPr>
        <b/>
        <sz val="11"/>
        <color theme="1"/>
        <rFont val="Calibri"/>
        <family val="2"/>
        <charset val="161"/>
        <scheme val="minor"/>
      </rPr>
      <t>Α/θμιας Εκπαίδευσης</t>
    </r>
    <r>
      <rPr>
        <sz val="11"/>
        <color theme="1"/>
        <rFont val="Calibri"/>
        <family val="2"/>
        <charset val="161"/>
        <scheme val="minor"/>
      </rPr>
      <t xml:space="preserve"> κατά φύλο.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</si>
</sst>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8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8"/>
      <color theme="3"/>
      <name val="Cambria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65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11"/>
      <color rgb="FF000000"/>
      <name val="Calibri"/>
      <family val="2"/>
      <charset val="161"/>
      <scheme val="minor"/>
    </font>
    <font>
      <b/>
      <sz val="11"/>
      <color rgb="FF000000"/>
      <name val="Calibri"/>
      <family val="2"/>
      <charset val="161"/>
      <scheme val="minor"/>
    </font>
    <font>
      <sz val="9"/>
      <color rgb="FF000000"/>
      <name val="Calibri"/>
      <family val="2"/>
      <charset val="161"/>
      <scheme val="minor"/>
    </font>
    <font>
      <b/>
      <sz val="9"/>
      <color rgb="FF00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u/>
      <sz val="11"/>
      <color theme="10"/>
      <name val="Calibri"/>
      <family val="2"/>
      <charset val="161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DCE6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/>
      </top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 tint="0.39997558519241921"/>
      </bottom>
      <diagonal/>
    </border>
    <border>
      <left/>
      <right style="thin">
        <color theme="4"/>
      </right>
      <top style="thin">
        <color theme="4"/>
      </top>
      <bottom style="thin">
        <color theme="4" tint="0.39997558519241921"/>
      </bottom>
      <diagonal/>
    </border>
    <border>
      <left style="thin">
        <color theme="4"/>
      </left>
      <right/>
      <top/>
      <bottom style="thin">
        <color theme="4" tint="0.39997558519241921"/>
      </bottom>
      <diagonal/>
    </border>
    <border>
      <left/>
      <right style="thin">
        <color theme="4"/>
      </right>
      <top/>
      <bottom style="thin">
        <color theme="4" tint="0.3999755851924192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double">
        <color indexed="64"/>
      </bottom>
      <diagonal/>
    </border>
    <border>
      <left style="thin">
        <color theme="4"/>
      </left>
      <right/>
      <top style="thin">
        <color theme="4" tint="0.39997558519241921"/>
      </top>
      <bottom style="thin">
        <color theme="4"/>
      </bottom>
      <diagonal/>
    </border>
    <border>
      <left/>
      <right/>
      <top style="thin">
        <color theme="4" tint="0.39997558519241921"/>
      </top>
      <bottom style="thin">
        <color theme="4"/>
      </bottom>
      <diagonal/>
    </border>
    <border>
      <left/>
      <right style="thin">
        <color theme="4"/>
      </right>
      <top style="thin">
        <color theme="4" tint="0.3999755851924192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 style="thin">
        <color theme="4" tint="0.39997558519241921"/>
      </top>
      <bottom style="thin">
        <color theme="4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/>
      <diagonal/>
    </border>
    <border>
      <left/>
      <right style="medium">
        <color rgb="FF4F81BD"/>
      </right>
      <top style="medium">
        <color rgb="FF4F81BD"/>
      </top>
      <bottom style="medium">
        <color rgb="FF95B3D7"/>
      </bottom>
      <diagonal/>
    </border>
    <border>
      <left/>
      <right/>
      <top style="medium">
        <color rgb="FF4F81BD"/>
      </top>
      <bottom style="medium">
        <color rgb="FF95B3D7"/>
      </bottom>
      <diagonal/>
    </border>
    <border>
      <left style="medium">
        <color rgb="FF4F81BD"/>
      </left>
      <right style="medium">
        <color rgb="FF4F81BD"/>
      </right>
      <top/>
      <bottom style="medium">
        <color rgb="FF95B3D7"/>
      </bottom>
      <diagonal/>
    </border>
    <border>
      <left/>
      <right/>
      <top/>
      <bottom style="medium">
        <color rgb="FF95B3D7"/>
      </bottom>
      <diagonal/>
    </border>
    <border>
      <left/>
      <right style="medium">
        <color rgb="FF4F81BD"/>
      </right>
      <top/>
      <bottom style="medium">
        <color rgb="FF95B3D7"/>
      </bottom>
      <diagonal/>
    </border>
    <border>
      <left style="medium">
        <color rgb="FF4F81BD"/>
      </left>
      <right style="medium">
        <color rgb="FF4F81BD"/>
      </right>
      <top/>
      <bottom/>
      <diagonal/>
    </border>
    <border>
      <left/>
      <right style="medium">
        <color rgb="FF4F81BD"/>
      </right>
      <top/>
      <bottom/>
      <diagonal/>
    </border>
    <border>
      <left/>
      <right style="medium">
        <color rgb="FF4F81BD"/>
      </right>
      <top/>
      <bottom style="double">
        <color indexed="64"/>
      </bottom>
      <diagonal/>
    </border>
    <border>
      <left style="medium">
        <color rgb="FF4F81BD"/>
      </left>
      <right style="medium">
        <color rgb="FF4F81BD"/>
      </right>
      <top style="medium">
        <color rgb="FF95B3D7"/>
      </top>
      <bottom style="medium">
        <color rgb="FF4F81BD"/>
      </bottom>
      <diagonal/>
    </border>
    <border>
      <left/>
      <right/>
      <top style="medium">
        <color rgb="FF95B3D7"/>
      </top>
      <bottom style="medium">
        <color rgb="FF4F81BD"/>
      </bottom>
      <diagonal/>
    </border>
    <border>
      <left/>
      <right style="medium">
        <color rgb="FF4F81BD"/>
      </right>
      <top style="medium">
        <color rgb="FF95B3D7"/>
      </top>
      <bottom style="medium">
        <color rgb="FF4F81BD"/>
      </bottom>
      <diagonal/>
    </border>
    <border>
      <left/>
      <right/>
      <top style="medium">
        <color rgb="FF95B3D7"/>
      </top>
      <bottom/>
      <diagonal/>
    </border>
    <border>
      <left style="medium">
        <color rgb="FF4F81BD"/>
      </left>
      <right/>
      <top style="medium">
        <color rgb="FF4F81BD"/>
      </top>
      <bottom style="medium">
        <color rgb="FF95B3D7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7" fillId="0" borderId="0" applyNumberFormat="0" applyFill="0" applyBorder="0" applyAlignment="0" applyProtection="0"/>
  </cellStyleXfs>
  <cellXfs count="211">
    <xf numFmtId="0" fontId="0" fillId="0" borderId="0" xfId="0"/>
    <xf numFmtId="14" fontId="0" fillId="0" borderId="0" xfId="0" applyNumberFormat="1"/>
    <xf numFmtId="17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16" fillId="33" borderId="10" xfId="0" applyFont="1" applyFill="1" applyBorder="1" applyAlignment="1">
      <alignment horizontal="left"/>
    </xf>
    <xf numFmtId="0" fontId="16" fillId="33" borderId="10" xfId="0" applyNumberFormat="1" applyFont="1" applyFill="1" applyBorder="1"/>
    <xf numFmtId="0" fontId="16" fillId="0" borderId="0" xfId="0" applyFont="1"/>
    <xf numFmtId="0" fontId="16" fillId="0" borderId="0" xfId="0" applyFont="1" applyAlignment="1">
      <alignment horizontal="right"/>
    </xf>
    <xf numFmtId="0" fontId="0" fillId="0" borderId="0" xfId="0" applyAlignment="1">
      <alignment wrapText="1"/>
    </xf>
    <xf numFmtId="10" fontId="0" fillId="0" borderId="0" xfId="0" applyNumberFormat="1"/>
    <xf numFmtId="0" fontId="16" fillId="0" borderId="0" xfId="0" applyFont="1" applyAlignment="1">
      <alignment wrapText="1"/>
    </xf>
    <xf numFmtId="3" fontId="0" fillId="0" borderId="0" xfId="0" applyNumberFormat="1"/>
    <xf numFmtId="3" fontId="16" fillId="0" borderId="0" xfId="0" applyNumberFormat="1" applyFont="1"/>
    <xf numFmtId="10" fontId="16" fillId="0" borderId="0" xfId="0" applyNumberFormat="1" applyFont="1"/>
    <xf numFmtId="10" fontId="16" fillId="0" borderId="0" xfId="0" applyNumberFormat="1" applyFont="1" applyAlignment="1">
      <alignment horizontal="left"/>
    </xf>
    <xf numFmtId="3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0" fontId="0" fillId="0" borderId="0" xfId="0" applyNumberFormat="1" applyFont="1" applyAlignment="1">
      <alignment horizontal="right"/>
    </xf>
    <xf numFmtId="10" fontId="0" fillId="0" borderId="0" xfId="0" applyNumberFormat="1" applyAlignment="1">
      <alignment horizontal="center"/>
    </xf>
    <xf numFmtId="0" fontId="16" fillId="0" borderId="0" xfId="0" applyFont="1" applyAlignment="1">
      <alignment horizontal="center" wrapText="1"/>
    </xf>
    <xf numFmtId="2" fontId="0" fillId="0" borderId="0" xfId="0" applyNumberFormat="1"/>
    <xf numFmtId="0" fontId="0" fillId="0" borderId="0" xfId="0" applyAlignment="1">
      <alignment horizontal="center" wrapText="1"/>
    </xf>
    <xf numFmtId="0" fontId="18" fillId="0" borderId="0" xfId="0" applyFont="1"/>
    <xf numFmtId="0" fontId="18" fillId="0" borderId="0" xfId="0" applyFont="1" applyAlignment="1">
      <alignment horizontal="center" wrapText="1"/>
    </xf>
    <xf numFmtId="10" fontId="0" fillId="0" borderId="0" xfId="0" applyNumberFormat="1" applyFont="1"/>
    <xf numFmtId="0" fontId="0" fillId="0" borderId="11" xfId="0" applyBorder="1"/>
    <xf numFmtId="3" fontId="0" fillId="0" borderId="11" xfId="0" applyNumberFormat="1" applyBorder="1"/>
    <xf numFmtId="10" fontId="19" fillId="0" borderId="0" xfId="0" applyNumberFormat="1" applyFont="1"/>
    <xf numFmtId="0" fontId="19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0" fontId="18" fillId="0" borderId="0" xfId="0" applyNumberFormat="1" applyFont="1"/>
    <xf numFmtId="0" fontId="0" fillId="0" borderId="0" xfId="0" applyAlignment="1">
      <alignment horizontal="left" wrapText="1"/>
    </xf>
    <xf numFmtId="10" fontId="20" fillId="0" borderId="0" xfId="0" applyNumberFormat="1" applyFont="1"/>
    <xf numFmtId="3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quotePrefix="1"/>
    <xf numFmtId="0" fontId="16" fillId="0" borderId="0" xfId="0" applyFont="1" applyAlignment="1">
      <alignment horizontal="center"/>
    </xf>
    <xf numFmtId="0" fontId="0" fillId="0" borderId="0" xfId="0" pivotButton="1"/>
    <xf numFmtId="49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  <xf numFmtId="10" fontId="0" fillId="0" borderId="11" xfId="0" applyNumberFormat="1" applyBorder="1"/>
    <xf numFmtId="0" fontId="16" fillId="34" borderId="12" xfId="0" applyFont="1" applyFill="1" applyBorder="1"/>
    <xf numFmtId="0" fontId="16" fillId="34" borderId="12" xfId="0" applyFont="1" applyFill="1" applyBorder="1" applyAlignment="1">
      <alignment horizontal="center"/>
    </xf>
    <xf numFmtId="10" fontId="19" fillId="0" borderId="11" xfId="0" applyNumberFormat="1" applyFont="1" applyBorder="1" applyAlignment="1">
      <alignment horizontal="center"/>
    </xf>
    <xf numFmtId="10" fontId="19" fillId="0" borderId="11" xfId="0" applyNumberFormat="1" applyFont="1" applyBorder="1"/>
    <xf numFmtId="0" fontId="16" fillId="33" borderId="10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center"/>
    </xf>
    <xf numFmtId="0" fontId="16" fillId="34" borderId="17" xfId="0" applyFont="1" applyFill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19" xfId="0" applyNumberFormat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16" fillId="33" borderId="21" xfId="0" applyNumberFormat="1" applyFont="1" applyFill="1" applyBorder="1" applyAlignment="1">
      <alignment horizontal="center"/>
    </xf>
    <xf numFmtId="0" fontId="16" fillId="33" borderId="22" xfId="0" applyNumberFormat="1" applyFont="1" applyFill="1" applyBorder="1"/>
    <xf numFmtId="0" fontId="16" fillId="33" borderId="23" xfId="0" applyNumberFormat="1" applyFont="1" applyFill="1" applyBorder="1"/>
    <xf numFmtId="0" fontId="16" fillId="34" borderId="16" xfId="0" applyFont="1" applyFill="1" applyBorder="1" applyAlignment="1">
      <alignment horizontal="center"/>
    </xf>
    <xf numFmtId="10" fontId="19" fillId="0" borderId="0" xfId="0" applyNumberFormat="1" applyFont="1" applyBorder="1"/>
    <xf numFmtId="0" fontId="0" fillId="0" borderId="19" xfId="0" applyNumberFormat="1" applyBorder="1"/>
    <xf numFmtId="10" fontId="0" fillId="0" borderId="20" xfId="0" applyNumberFormat="1" applyBorder="1"/>
    <xf numFmtId="0" fontId="16" fillId="33" borderId="22" xfId="0" applyNumberFormat="1" applyFont="1" applyFill="1" applyBorder="1" applyAlignment="1">
      <alignment horizontal="center"/>
    </xf>
    <xf numFmtId="0" fontId="16" fillId="33" borderId="23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24" xfId="0" applyBorder="1"/>
    <xf numFmtId="0" fontId="16" fillId="34" borderId="25" xfId="0" applyFont="1" applyFill="1" applyBorder="1"/>
    <xf numFmtId="0" fontId="0" fillId="0" borderId="26" xfId="0" applyBorder="1" applyAlignment="1">
      <alignment horizontal="center"/>
    </xf>
    <xf numFmtId="0" fontId="16" fillId="33" borderId="27" xfId="0" applyFont="1" applyFill="1" applyBorder="1" applyAlignment="1">
      <alignment horizontal="right"/>
    </xf>
    <xf numFmtId="0" fontId="21" fillId="0" borderId="28" xfId="0" applyFont="1" applyBorder="1" applyAlignment="1">
      <alignment vertical="center"/>
    </xf>
    <xf numFmtId="0" fontId="22" fillId="36" borderId="31" xfId="0" applyFont="1" applyFill="1" applyBorder="1" applyAlignment="1">
      <alignment vertical="center"/>
    </xf>
    <xf numFmtId="0" fontId="22" fillId="36" borderId="32" xfId="0" applyFont="1" applyFill="1" applyBorder="1" applyAlignment="1">
      <alignment vertical="center"/>
    </xf>
    <xf numFmtId="0" fontId="22" fillId="36" borderId="32" xfId="0" applyFont="1" applyFill="1" applyBorder="1" applyAlignment="1">
      <alignment horizontal="center" vertical="center"/>
    </xf>
    <xf numFmtId="0" fontId="22" fillId="36" borderId="33" xfId="0" applyFont="1" applyFill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0" fontId="23" fillId="0" borderId="0" xfId="0" applyNumberFormat="1" applyFont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10" fontId="23" fillId="0" borderId="0" xfId="0" applyNumberFormat="1" applyFont="1" applyAlignment="1">
      <alignment horizontal="right" vertical="center"/>
    </xf>
    <xf numFmtId="0" fontId="23" fillId="0" borderId="35" xfId="0" applyFont="1" applyBorder="1" applyAlignment="1">
      <alignment vertical="center"/>
    </xf>
    <xf numFmtId="0" fontId="21" fillId="0" borderId="0" xfId="0" applyFont="1" applyAlignment="1">
      <alignment horizontal="right" vertical="center"/>
    </xf>
    <xf numFmtId="10" fontId="23" fillId="0" borderId="11" xfId="0" applyNumberFormat="1" applyFont="1" applyBorder="1" applyAlignment="1">
      <alignment horizontal="center" vertical="center"/>
    </xf>
    <xf numFmtId="10" fontId="23" fillId="0" borderId="36" xfId="0" applyNumberFormat="1" applyFont="1" applyBorder="1" applyAlignment="1">
      <alignment horizontal="center" vertical="center"/>
    </xf>
    <xf numFmtId="10" fontId="23" fillId="0" borderId="11" xfId="0" applyNumberFormat="1" applyFont="1" applyBorder="1" applyAlignment="1">
      <alignment horizontal="right" vertical="center"/>
    </xf>
    <xf numFmtId="10" fontId="23" fillId="0" borderId="36" xfId="0" applyNumberFormat="1" applyFont="1" applyBorder="1" applyAlignment="1">
      <alignment horizontal="right" vertical="center"/>
    </xf>
    <xf numFmtId="0" fontId="21" fillId="0" borderId="11" xfId="0" applyFont="1" applyBorder="1" applyAlignment="1">
      <alignment horizontal="right" vertical="center"/>
    </xf>
    <xf numFmtId="10" fontId="24" fillId="0" borderId="36" xfId="0" applyNumberFormat="1" applyFont="1" applyBorder="1" applyAlignment="1">
      <alignment horizontal="center" vertical="center"/>
    </xf>
    <xf numFmtId="10" fontId="24" fillId="0" borderId="36" xfId="0" applyNumberFormat="1" applyFont="1" applyBorder="1" applyAlignment="1">
      <alignment horizontal="right" vertical="center"/>
    </xf>
    <xf numFmtId="10" fontId="24" fillId="0" borderId="11" xfId="0" applyNumberFormat="1" applyFont="1" applyBorder="1" applyAlignment="1">
      <alignment horizontal="right" vertical="center"/>
    </xf>
    <xf numFmtId="0" fontId="22" fillId="35" borderId="37" xfId="0" applyFont="1" applyFill="1" applyBorder="1" applyAlignment="1">
      <alignment horizontal="right" vertical="center"/>
    </xf>
    <xf numFmtId="0" fontId="22" fillId="35" borderId="38" xfId="0" applyFont="1" applyFill="1" applyBorder="1" applyAlignment="1">
      <alignment horizontal="center" vertical="center"/>
    </xf>
    <xf numFmtId="0" fontId="22" fillId="35" borderId="38" xfId="0" applyFont="1" applyFill="1" applyBorder="1" applyAlignment="1">
      <alignment vertical="center"/>
    </xf>
    <xf numFmtId="0" fontId="22" fillId="35" borderId="39" xfId="0" applyFont="1" applyFill="1" applyBorder="1" applyAlignment="1">
      <alignment vertical="center"/>
    </xf>
    <xf numFmtId="0" fontId="22" fillId="35" borderId="39" xfId="0" applyFont="1" applyFill="1" applyBorder="1" applyAlignment="1">
      <alignment horizontal="center" vertical="center"/>
    </xf>
    <xf numFmtId="0" fontId="22" fillId="35" borderId="40" xfId="0" applyFont="1" applyFill="1" applyBorder="1" applyAlignment="1">
      <alignment horizontal="right" vertical="center"/>
    </xf>
    <xf numFmtId="0" fontId="0" fillId="37" borderId="0" xfId="0" applyFill="1"/>
    <xf numFmtId="14" fontId="0" fillId="37" borderId="0" xfId="0" applyNumberFormat="1" applyFill="1" applyAlignment="1">
      <alignment horizontal="center"/>
    </xf>
    <xf numFmtId="10" fontId="0" fillId="0" borderId="0" xfId="0" applyNumberFormat="1" applyBorder="1"/>
    <xf numFmtId="17" fontId="0" fillId="0" borderId="0" xfId="0" quotePrefix="1" applyNumberFormat="1"/>
    <xf numFmtId="0" fontId="0" fillId="0" borderId="0" xfId="0" applyAlignment="1">
      <alignment horizontal="left" indent="1"/>
    </xf>
    <xf numFmtId="10" fontId="0" fillId="0" borderId="11" xfId="0" applyNumberFormat="1" applyFont="1" applyBorder="1"/>
    <xf numFmtId="0" fontId="0" fillId="0" borderId="0" xfId="0" applyBorder="1"/>
    <xf numFmtId="10" fontId="0" fillId="0" borderId="0" xfId="0" applyNumberFormat="1" applyFont="1" applyBorder="1"/>
    <xf numFmtId="3" fontId="16" fillId="0" borderId="45" xfId="0" applyNumberFormat="1" applyFont="1" applyBorder="1"/>
    <xf numFmtId="0" fontId="16" fillId="0" borderId="46" xfId="0" applyFont="1" applyBorder="1"/>
    <xf numFmtId="3" fontId="0" fillId="0" borderId="45" xfId="0" applyNumberFormat="1" applyBorder="1"/>
    <xf numFmtId="0" fontId="0" fillId="0" borderId="46" xfId="0" applyBorder="1"/>
    <xf numFmtId="3" fontId="0" fillId="0" borderId="47" xfId="0" applyNumberFormat="1" applyBorder="1"/>
    <xf numFmtId="10" fontId="0" fillId="0" borderId="48" xfId="0" applyNumberFormat="1" applyBorder="1"/>
    <xf numFmtId="10" fontId="16" fillId="0" borderId="0" xfId="0" applyNumberFormat="1" applyFont="1" applyBorder="1"/>
    <xf numFmtId="0" fontId="16" fillId="0" borderId="0" xfId="0" applyFont="1" applyBorder="1"/>
    <xf numFmtId="3" fontId="16" fillId="0" borderId="49" xfId="0" applyNumberFormat="1" applyFont="1" applyBorder="1"/>
    <xf numFmtId="0" fontId="16" fillId="0" borderId="50" xfId="0" applyFont="1" applyBorder="1"/>
    <xf numFmtId="0" fontId="16" fillId="0" borderId="51" xfId="0" applyFont="1" applyBorder="1"/>
    <xf numFmtId="10" fontId="0" fillId="0" borderId="0" xfId="0" applyNumberFormat="1" applyFill="1" applyBorder="1"/>
    <xf numFmtId="10" fontId="16" fillId="0" borderId="48" xfId="0" applyNumberFormat="1" applyFont="1" applyBorder="1"/>
    <xf numFmtId="10" fontId="0" fillId="0" borderId="11" xfId="0" applyNumberFormat="1" applyFill="1" applyBorder="1"/>
    <xf numFmtId="0" fontId="16" fillId="0" borderId="52" xfId="0" applyFont="1" applyBorder="1" applyAlignment="1">
      <alignment wrapText="1"/>
    </xf>
    <xf numFmtId="0" fontId="0" fillId="0" borderId="53" xfId="0" applyFont="1" applyBorder="1"/>
    <xf numFmtId="0" fontId="0" fillId="0" borderId="54" xfId="0" applyFont="1" applyBorder="1" applyAlignment="1">
      <alignment wrapText="1"/>
    </xf>
    <xf numFmtId="0" fontId="16" fillId="0" borderId="55" xfId="0" applyFont="1" applyBorder="1" applyAlignment="1">
      <alignment wrapText="1"/>
    </xf>
    <xf numFmtId="0" fontId="16" fillId="0" borderId="56" xfId="0" applyFont="1" applyBorder="1"/>
    <xf numFmtId="0" fontId="16" fillId="0" borderId="57" xfId="0" applyFont="1" applyBorder="1" applyAlignment="1">
      <alignment horizontal="center"/>
    </xf>
    <xf numFmtId="3" fontId="16" fillId="0" borderId="58" xfId="0" applyNumberFormat="1" applyFont="1" applyBorder="1"/>
    <xf numFmtId="0" fontId="0" fillId="0" borderId="57" xfId="0" applyBorder="1"/>
    <xf numFmtId="3" fontId="0" fillId="0" borderId="58" xfId="0" applyNumberFormat="1" applyBorder="1"/>
    <xf numFmtId="0" fontId="0" fillId="0" borderId="59" xfId="0" applyBorder="1"/>
    <xf numFmtId="3" fontId="0" fillId="0" borderId="60" xfId="0" applyNumberFormat="1" applyBorder="1"/>
    <xf numFmtId="10" fontId="0" fillId="0" borderId="61" xfId="0" applyNumberFormat="1" applyFont="1" applyBorder="1"/>
    <xf numFmtId="10" fontId="0" fillId="0" borderId="62" xfId="0" applyNumberFormat="1" applyBorder="1"/>
    <xf numFmtId="10" fontId="0" fillId="0" borderId="61" xfId="0" applyNumberFormat="1" applyFill="1" applyBorder="1"/>
    <xf numFmtId="3" fontId="0" fillId="0" borderId="63" xfId="0" applyNumberFormat="1" applyBorder="1"/>
    <xf numFmtId="0" fontId="16" fillId="0" borderId="46" xfId="0" applyFont="1" applyBorder="1" applyAlignment="1">
      <alignment horizontal="center"/>
    </xf>
    <xf numFmtId="0" fontId="16" fillId="0" borderId="51" xfId="0" applyFont="1" applyBorder="1" applyAlignment="1">
      <alignment horizontal="center"/>
    </xf>
    <xf numFmtId="0" fontId="20" fillId="0" borderId="53" xfId="0" applyFont="1" applyBorder="1"/>
    <xf numFmtId="0" fontId="20" fillId="0" borderId="54" xfId="0" applyFont="1" applyBorder="1" applyAlignment="1">
      <alignment wrapText="1"/>
    </xf>
    <xf numFmtId="0" fontId="20" fillId="0" borderId="55" xfId="0" applyFont="1" applyBorder="1" applyAlignment="1">
      <alignment wrapText="1"/>
    </xf>
    <xf numFmtId="0" fontId="20" fillId="0" borderId="54" xfId="0" applyFont="1" applyBorder="1"/>
    <xf numFmtId="0" fontId="25" fillId="0" borderId="56" xfId="0" applyFont="1" applyFill="1" applyBorder="1" applyAlignment="1">
      <alignment wrapText="1"/>
    </xf>
    <xf numFmtId="0" fontId="0" fillId="0" borderId="62" xfId="0" applyBorder="1" applyAlignment="1">
      <alignment horizontal="center"/>
    </xf>
    <xf numFmtId="10" fontId="0" fillId="0" borderId="46" xfId="0" applyNumberFormat="1" applyBorder="1" applyAlignment="1">
      <alignment horizontal="center"/>
    </xf>
    <xf numFmtId="10" fontId="16" fillId="0" borderId="46" xfId="0" applyNumberFormat="1" applyFont="1" applyBorder="1" applyAlignment="1">
      <alignment horizontal="center"/>
    </xf>
    <xf numFmtId="10" fontId="0" fillId="0" borderId="61" xfId="0" applyNumberFormat="1" applyBorder="1" applyAlignment="1">
      <alignment horizontal="center"/>
    </xf>
    <xf numFmtId="3" fontId="16" fillId="0" borderId="45" xfId="0" applyNumberFormat="1" applyFont="1" applyBorder="1" applyAlignment="1">
      <alignment horizontal="center"/>
    </xf>
    <xf numFmtId="3" fontId="16" fillId="0" borderId="0" xfId="0" applyNumberFormat="1" applyFont="1" applyBorder="1" applyAlignment="1">
      <alignment horizontal="center"/>
    </xf>
    <xf numFmtId="3" fontId="0" fillId="0" borderId="45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60" xfId="0" applyNumberFormat="1" applyBorder="1" applyAlignment="1">
      <alignment horizontal="center"/>
    </xf>
    <xf numFmtId="3" fontId="0" fillId="0" borderId="61" xfId="0" applyNumberFormat="1" applyBorder="1" applyAlignment="1">
      <alignment horizontal="center"/>
    </xf>
    <xf numFmtId="3" fontId="16" fillId="0" borderId="49" xfId="0" applyNumberFormat="1" applyFont="1" applyBorder="1" applyAlignment="1">
      <alignment horizontal="center"/>
    </xf>
    <xf numFmtId="3" fontId="16" fillId="0" borderId="5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33" borderId="0" xfId="0" applyFont="1" applyFill="1"/>
    <xf numFmtId="0" fontId="16" fillId="33" borderId="12" xfId="0" applyFont="1" applyFill="1" applyBorder="1"/>
    <xf numFmtId="3" fontId="16" fillId="33" borderId="10" xfId="0" applyNumberFormat="1" applyFont="1" applyFill="1" applyBorder="1"/>
    <xf numFmtId="0" fontId="16" fillId="33" borderId="12" xfId="0" applyFont="1" applyFill="1" applyBorder="1" applyAlignment="1">
      <alignment horizontal="right"/>
    </xf>
    <xf numFmtId="0" fontId="26" fillId="33" borderId="12" xfId="0" applyFont="1" applyFill="1" applyBorder="1"/>
    <xf numFmtId="0" fontId="26" fillId="33" borderId="64" xfId="0" applyFont="1" applyFill="1" applyBorder="1" applyAlignment="1">
      <alignment wrapText="1"/>
    </xf>
    <xf numFmtId="0" fontId="26" fillId="33" borderId="65" xfId="0" applyFont="1" applyFill="1" applyBorder="1" applyAlignment="1">
      <alignment wrapText="1"/>
    </xf>
    <xf numFmtId="3" fontId="0" fillId="0" borderId="46" xfId="0" applyNumberFormat="1" applyBorder="1"/>
    <xf numFmtId="3" fontId="16" fillId="33" borderId="66" xfId="0" applyNumberFormat="1" applyFont="1" applyFill="1" applyBorder="1"/>
    <xf numFmtId="3" fontId="16" fillId="33" borderId="67" xfId="0" applyNumberFormat="1" applyFont="1" applyFill="1" applyBorder="1"/>
    <xf numFmtId="0" fontId="26" fillId="33" borderId="65" xfId="0" applyFont="1" applyFill="1" applyBorder="1"/>
    <xf numFmtId="0" fontId="26" fillId="33" borderId="69" xfId="0" applyFont="1" applyFill="1" applyBorder="1" applyAlignment="1">
      <alignment wrapText="1"/>
    </xf>
    <xf numFmtId="0" fontId="26" fillId="33" borderId="68" xfId="0" applyFont="1" applyFill="1" applyBorder="1" applyAlignment="1">
      <alignment wrapText="1"/>
    </xf>
    <xf numFmtId="10" fontId="0" fillId="0" borderId="69" xfId="0" applyNumberFormat="1" applyBorder="1"/>
    <xf numFmtId="10" fontId="16" fillId="0" borderId="69" xfId="0" applyNumberFormat="1" applyFont="1" applyBorder="1"/>
    <xf numFmtId="10" fontId="0" fillId="0" borderId="70" xfId="0" applyNumberFormat="1" applyBorder="1"/>
    <xf numFmtId="164" fontId="0" fillId="0" borderId="0" xfId="0" applyNumberFormat="1"/>
    <xf numFmtId="164" fontId="16" fillId="0" borderId="0" xfId="0" applyNumberFormat="1" applyFont="1"/>
    <xf numFmtId="10" fontId="16" fillId="33" borderId="10" xfId="0" applyNumberFormat="1" applyFont="1" applyFill="1" applyBorder="1"/>
    <xf numFmtId="0" fontId="26" fillId="33" borderId="64" xfId="0" applyFont="1" applyFill="1" applyBorder="1" applyAlignment="1">
      <alignment horizontal="center" wrapText="1"/>
    </xf>
    <xf numFmtId="0" fontId="26" fillId="33" borderId="65" xfId="0" applyFont="1" applyFill="1" applyBorder="1" applyAlignment="1">
      <alignment horizontal="center" wrapText="1"/>
    </xf>
    <xf numFmtId="0" fontId="26" fillId="33" borderId="65" xfId="0" applyFont="1" applyFill="1" applyBorder="1" applyAlignment="1">
      <alignment horizontal="center"/>
    </xf>
    <xf numFmtId="0" fontId="16" fillId="33" borderId="0" xfId="0" applyFont="1" applyFill="1" applyBorder="1" applyAlignment="1">
      <alignment wrapText="1"/>
    </xf>
    <xf numFmtId="0" fontId="26" fillId="33" borderId="0" xfId="0" applyFont="1" applyFill="1" applyBorder="1" applyAlignment="1">
      <alignment horizontal="center" wrapText="1"/>
    </xf>
    <xf numFmtId="10" fontId="16" fillId="33" borderId="10" xfId="0" applyNumberFormat="1" applyFont="1" applyFill="1" applyBorder="1" applyAlignment="1">
      <alignment horizontal="right"/>
    </xf>
    <xf numFmtId="0" fontId="16" fillId="0" borderId="0" xfId="0" applyFont="1" applyAlignment="1">
      <alignment horizontal="justify" vertical="center"/>
    </xf>
    <xf numFmtId="0" fontId="27" fillId="0" borderId="0" xfId="42" applyAlignment="1">
      <alignment vertical="center"/>
    </xf>
    <xf numFmtId="0" fontId="16" fillId="0" borderId="0" xfId="0" applyNumberFormat="1" applyFont="1"/>
    <xf numFmtId="1" fontId="0" fillId="37" borderId="0" xfId="0" applyNumberFormat="1" applyFill="1"/>
    <xf numFmtId="0" fontId="0" fillId="37" borderId="0" xfId="0" applyFill="1" applyAlignment="1">
      <alignment horizontal="center"/>
    </xf>
    <xf numFmtId="0" fontId="16" fillId="0" borderId="0" xfId="0" applyFont="1" applyAlignment="1">
      <alignment vertical="center"/>
    </xf>
    <xf numFmtId="0" fontId="16" fillId="0" borderId="12" xfId="0" applyFont="1" applyBorder="1"/>
    <xf numFmtId="0" fontId="16" fillId="0" borderId="12" xfId="0" applyFont="1" applyBorder="1" applyAlignment="1">
      <alignment wrapText="1"/>
    </xf>
    <xf numFmtId="10" fontId="0" fillId="0" borderId="0" xfId="0" applyNumberFormat="1" applyAlignment="1"/>
    <xf numFmtId="0" fontId="16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 applyAlignment="1"/>
    <xf numFmtId="0" fontId="16" fillId="33" borderId="14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33" borderId="13" xfId="0" applyFont="1" applyFill="1" applyBorder="1" applyAlignment="1">
      <alignment horizontal="center"/>
    </xf>
    <xf numFmtId="0" fontId="22" fillId="35" borderId="41" xfId="0" applyFont="1" applyFill="1" applyBorder="1" applyAlignment="1">
      <alignment horizontal="center" vertical="center"/>
    </xf>
    <xf numFmtId="0" fontId="22" fillId="35" borderId="30" xfId="0" applyFont="1" applyFill="1" applyBorder="1" applyAlignment="1">
      <alignment horizontal="center" vertical="center"/>
    </xf>
    <xf numFmtId="0" fontId="22" fillId="35" borderId="29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justify" vertical="center"/>
    </xf>
    <xf numFmtId="0" fontId="0" fillId="0" borderId="0" xfId="0" applyBorder="1" applyAlignment="1"/>
    <xf numFmtId="0" fontId="0" fillId="0" borderId="0" xfId="0" applyAlignment="1"/>
    <xf numFmtId="0" fontId="16" fillId="0" borderId="42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16" fillId="33" borderId="42" xfId="0" applyFont="1" applyFill="1" applyBorder="1" applyAlignment="1"/>
    <xf numFmtId="0" fontId="0" fillId="0" borderId="44" xfId="0" applyBorder="1" applyAlignment="1"/>
    <xf numFmtId="0" fontId="16" fillId="33" borderId="42" xfId="0" applyFont="1" applyFill="1" applyBorder="1" applyAlignment="1">
      <alignment horizontal="center"/>
    </xf>
    <xf numFmtId="0" fontId="16" fillId="33" borderId="44" xfId="0" applyFont="1" applyFill="1" applyBorder="1" applyAlignment="1">
      <alignment horizontal="center"/>
    </xf>
    <xf numFmtId="0" fontId="16" fillId="0" borderId="46" xfId="0" applyFont="1" applyBorder="1" applyAlignment="1">
      <alignment wrapText="1"/>
    </xf>
    <xf numFmtId="0" fontId="0" fillId="0" borderId="46" xfId="0" applyBorder="1" applyAlignment="1"/>
    <xf numFmtId="0" fontId="22" fillId="0" borderId="34" xfId="0" applyFont="1" applyBorder="1" applyAlignment="1">
      <alignment horizontal="center" vertical="center"/>
    </xf>
    <xf numFmtId="3" fontId="22" fillId="35" borderId="38" xfId="0" applyNumberFormat="1" applyFont="1" applyFill="1" applyBorder="1" applyAlignment="1">
      <alignment horizontal="center" vertical="center"/>
    </xf>
    <xf numFmtId="3" fontId="22" fillId="35" borderId="40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justify" vertical="center"/>
    </xf>
  </cellXfs>
  <cellStyles count="43">
    <cellStyle name="20% - Έμφαση1" xfId="19" builtinId="30" customBuiltin="1"/>
    <cellStyle name="20% - Έμφαση2" xfId="23" builtinId="34" customBuiltin="1"/>
    <cellStyle name="20% - Έμφαση3" xfId="27" builtinId="38" customBuiltin="1"/>
    <cellStyle name="20% - Έμφαση4" xfId="31" builtinId="42" customBuiltin="1"/>
    <cellStyle name="20% - Έμφαση5" xfId="35" builtinId="46" customBuiltin="1"/>
    <cellStyle name="20% - Έμφαση6" xfId="39" builtinId="50" customBuiltin="1"/>
    <cellStyle name="40% - Έμφαση1" xfId="20" builtinId="31" customBuiltin="1"/>
    <cellStyle name="40% - Έμφαση2" xfId="24" builtinId="35" customBuiltin="1"/>
    <cellStyle name="40% - Έμφαση3" xfId="28" builtinId="39" customBuiltin="1"/>
    <cellStyle name="40% - Έμφαση4" xfId="32" builtinId="43" customBuiltin="1"/>
    <cellStyle name="40% - Έμφαση5" xfId="36" builtinId="47" customBuiltin="1"/>
    <cellStyle name="40% - Έμφαση6" xfId="40" builtinId="51" customBuiltin="1"/>
    <cellStyle name="60% - Έμφαση1" xfId="21" builtinId="32" customBuiltin="1"/>
    <cellStyle name="60% - Έμφαση2" xfId="25" builtinId="36" customBuiltin="1"/>
    <cellStyle name="60% - Έμφαση3" xfId="29" builtinId="40" customBuiltin="1"/>
    <cellStyle name="60% - Έμφαση4" xfId="33" builtinId="44" customBuiltin="1"/>
    <cellStyle name="60% - Έμφαση5" xfId="37" builtinId="48" customBuiltin="1"/>
    <cellStyle name="60% - Έμφαση6" xfId="41" builtinId="52" customBuiltin="1"/>
    <cellStyle name="Εισαγωγή" xfId="9" builtinId="20" customBuiltin="1"/>
    <cellStyle name="Έλεγχος κελιού" xfId="13" builtinId="23" customBuiltin="1"/>
    <cellStyle name="Έμφαση1" xfId="18" builtinId="29" customBuiltin="1"/>
    <cellStyle name="Έμφαση2" xfId="22" builtinId="33" customBuiltin="1"/>
    <cellStyle name="Έμφαση3" xfId="26" builtinId="37" customBuiltin="1"/>
    <cellStyle name="Έμφαση4" xfId="30" builtinId="41" customBuiltin="1"/>
    <cellStyle name="Έμφαση5" xfId="34" builtinId="45" customBuiltin="1"/>
    <cellStyle name="Έμφαση6" xfId="38" builtinId="49" customBuiltin="1"/>
    <cellStyle name="Έξοδος" xfId="10" builtinId="21" customBuiltin="1"/>
    <cellStyle name="Επεξηγηματικό κείμενο" xfId="16" builtinId="53" customBuiltin="1"/>
    <cellStyle name="Επικεφαλίδα 1" xfId="2" builtinId="16" customBuiltin="1"/>
    <cellStyle name="Επικεφαλίδα 2" xfId="3" builtinId="17" customBuiltin="1"/>
    <cellStyle name="Επικεφαλίδα 3" xfId="4" builtinId="18" customBuiltin="1"/>
    <cellStyle name="Επικεφαλίδα 4" xfId="5" builtinId="19" customBuiltin="1"/>
    <cellStyle name="Κακό" xfId="7" builtinId="27" customBuiltin="1"/>
    <cellStyle name="Καλό" xfId="6" builtinId="26" customBuiltin="1"/>
    <cellStyle name="Κανονικό" xfId="0" builtinId="0"/>
    <cellStyle name="Ουδέτερο" xfId="8" builtinId="28" customBuiltin="1"/>
    <cellStyle name="Προειδοποιητικό κείμενο" xfId="14" builtinId="11" customBuiltin="1"/>
    <cellStyle name="Σημείωση" xfId="15" builtinId="10" customBuiltin="1"/>
    <cellStyle name="Συνδεδεμένο κελί" xfId="12" builtinId="24" customBuiltin="1"/>
    <cellStyle name="Σύνολο" xfId="17" builtinId="25" customBuiltin="1"/>
    <cellStyle name="Τίτλος" xfId="1" builtinId="15" customBuiltin="1"/>
    <cellStyle name="Υπερ-σύνδεση" xfId="42" builtinId="8"/>
    <cellStyle name="Υπολογισμός" xfId="11" builtinId="22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'A5.1-3'!$A$17:$A$20</c:f>
              <c:strCache>
                <c:ptCount val="4"/>
                <c:pt idx="0">
                  <c:v>22 - 40</c:v>
                </c:pt>
                <c:pt idx="1">
                  <c:v>41 - 55</c:v>
                </c:pt>
                <c:pt idx="2">
                  <c:v>56 - 66+</c:v>
                </c:pt>
                <c:pt idx="3">
                  <c:v>δ/υ</c:v>
                </c:pt>
              </c:strCache>
            </c:strRef>
          </c:cat>
          <c:val>
            <c:numRef>
              <c:f>'A5.1-3'!$B$17:$B$20</c:f>
              <c:numCache>
                <c:formatCode>0.00%</c:formatCode>
                <c:ptCount val="4"/>
                <c:pt idx="0">
                  <c:v>0.34939335326182519</c:v>
                </c:pt>
                <c:pt idx="1">
                  <c:v>0.46280991735537191</c:v>
                </c:pt>
                <c:pt idx="2">
                  <c:v>0.1142957622648145</c:v>
                </c:pt>
                <c:pt idx="3">
                  <c:v>7.3500967117988397E-2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640704"/>
        <c:axId val="85642240"/>
        <c:axId val="0"/>
      </c:bar3DChart>
      <c:catAx>
        <c:axId val="8564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85642240"/>
        <c:crosses val="autoZero"/>
        <c:auto val="1"/>
        <c:lblAlgn val="ctr"/>
        <c:lblOffset val="100"/>
        <c:noMultiLvlLbl val="0"/>
      </c:catAx>
      <c:valAx>
        <c:axId val="856422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8564070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'Α10.1'!$BB$3</c:f>
              <c:strCache>
                <c:ptCount val="1"/>
                <c:pt idx="0">
                  <c:v>Αορίστου Χρόνου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'Α10.1'!$BA$4:$BA$12</c:f>
              <c:strCache>
                <c:ptCount val="9"/>
                <c:pt idx="0">
                  <c:v>22 - 30</c:v>
                </c:pt>
                <c:pt idx="1">
                  <c:v>31 - 40</c:v>
                </c:pt>
                <c:pt idx="2">
                  <c:v>41 - 45</c:v>
                </c:pt>
                <c:pt idx="3">
                  <c:v>46 - 50</c:v>
                </c:pt>
                <c:pt idx="4">
                  <c:v>51 - 55</c:v>
                </c:pt>
                <c:pt idx="5">
                  <c:v>56 - 60</c:v>
                </c:pt>
                <c:pt idx="6">
                  <c:v>61 - 65</c:v>
                </c:pt>
                <c:pt idx="7">
                  <c:v>66+</c:v>
                </c:pt>
                <c:pt idx="8">
                  <c:v>δ/υ</c:v>
                </c:pt>
              </c:strCache>
            </c:strRef>
          </c:cat>
          <c:val>
            <c:numRef>
              <c:f>'Α10.1'!$BB$4:$BB$12</c:f>
              <c:numCache>
                <c:formatCode>0.00%</c:formatCode>
                <c:ptCount val="9"/>
                <c:pt idx="0">
                  <c:v>0.50510204081632648</c:v>
                </c:pt>
                <c:pt idx="1">
                  <c:v>0.78842030021443887</c:v>
                </c:pt>
                <c:pt idx="2">
                  <c:v>0.88466579292267367</c:v>
                </c:pt>
                <c:pt idx="3">
                  <c:v>0.95032397408207347</c:v>
                </c:pt>
                <c:pt idx="4">
                  <c:v>0.97773064687168609</c:v>
                </c:pt>
                <c:pt idx="5">
                  <c:v>0.97362110311750594</c:v>
                </c:pt>
                <c:pt idx="6">
                  <c:v>0.98369565217391308</c:v>
                </c:pt>
                <c:pt idx="7">
                  <c:v>0.95918367346938771</c:v>
                </c:pt>
                <c:pt idx="8">
                  <c:v>0.83971291866028719</c:v>
                </c:pt>
              </c:numCache>
            </c:numRef>
          </c:val>
        </c:ser>
        <c:ser>
          <c:idx val="1"/>
          <c:order val="1"/>
          <c:tx>
            <c:strRef>
              <c:f>'Α10.1'!$BC$3</c:f>
              <c:strCache>
                <c:ptCount val="1"/>
                <c:pt idx="0">
                  <c:v>Ορισμένου Χρόνου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'Α10.1'!$BA$4:$BA$12</c:f>
              <c:strCache>
                <c:ptCount val="9"/>
                <c:pt idx="0">
                  <c:v>22 - 30</c:v>
                </c:pt>
                <c:pt idx="1">
                  <c:v>31 - 40</c:v>
                </c:pt>
                <c:pt idx="2">
                  <c:v>41 - 45</c:v>
                </c:pt>
                <c:pt idx="3">
                  <c:v>46 - 50</c:v>
                </c:pt>
                <c:pt idx="4">
                  <c:v>51 - 55</c:v>
                </c:pt>
                <c:pt idx="5">
                  <c:v>56 - 60</c:v>
                </c:pt>
                <c:pt idx="6">
                  <c:v>61 - 65</c:v>
                </c:pt>
                <c:pt idx="7">
                  <c:v>66+</c:v>
                </c:pt>
                <c:pt idx="8">
                  <c:v>δ/υ</c:v>
                </c:pt>
              </c:strCache>
            </c:strRef>
          </c:cat>
          <c:val>
            <c:numRef>
              <c:f>'Α10.1'!$BC$4:$BC$12</c:f>
              <c:numCache>
                <c:formatCode>0.00%</c:formatCode>
                <c:ptCount val="9"/>
                <c:pt idx="0">
                  <c:v>0.49489795918367346</c:v>
                </c:pt>
                <c:pt idx="1">
                  <c:v>0.21157969978556113</c:v>
                </c:pt>
                <c:pt idx="2">
                  <c:v>0.11533420707732635</c:v>
                </c:pt>
                <c:pt idx="3">
                  <c:v>4.9676025917926567E-2</c:v>
                </c:pt>
                <c:pt idx="4">
                  <c:v>2.2269353128313893E-2</c:v>
                </c:pt>
                <c:pt idx="5">
                  <c:v>2.6378896882494004E-2</c:v>
                </c:pt>
                <c:pt idx="6">
                  <c:v>1.6304347826086956E-2</c:v>
                </c:pt>
                <c:pt idx="7">
                  <c:v>4.0816326530612242E-2</c:v>
                </c:pt>
                <c:pt idx="8">
                  <c:v>0.16028708133971292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44992"/>
        <c:axId val="92279552"/>
      </c:barChart>
      <c:catAx>
        <c:axId val="92244992"/>
        <c:scaling>
          <c:orientation val="minMax"/>
        </c:scaling>
        <c:delete val="0"/>
        <c:axPos val="l"/>
        <c:majorTickMark val="out"/>
        <c:minorTickMark val="none"/>
        <c:tickLblPos val="nextTo"/>
        <c:crossAx val="92279552"/>
        <c:crosses val="autoZero"/>
        <c:auto val="1"/>
        <c:lblAlgn val="ctr"/>
        <c:lblOffset val="100"/>
        <c:noMultiLvlLbl val="0"/>
      </c:catAx>
      <c:valAx>
        <c:axId val="922795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9224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011614173228344"/>
          <c:y val="0.85493219597550307"/>
          <c:w val="0.55976771653543311"/>
          <c:h val="0.11729002624671916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el-GR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l-GR" sz="900"/>
              <a:t>Ηλικιακή</a:t>
            </a:r>
            <a:r>
              <a:rPr lang="el-GR" sz="900" baseline="0"/>
              <a:t> διάρθρωση εκπ/κών Β/θμιας, σωρευτικά και κατά φύλο</a:t>
            </a:r>
            <a:endParaRPr lang="el-GR" sz="900"/>
          </a:p>
        </c:rich>
      </c:tx>
      <c:layout/>
      <c:overlay val="0"/>
    </c:title>
    <c:autoTitleDeleted val="0"/>
    <c:view3D>
      <c:rotX val="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Άνδρες</c:v>
          </c:tx>
          <c:invertIfNegative val="0"/>
          <c:cat>
            <c:strRef>
              <c:f>'A5.1-3'!$P$4:$P$12</c:f>
              <c:strCache>
                <c:ptCount val="9"/>
                <c:pt idx="0">
                  <c:v>22 - 30</c:v>
                </c:pt>
                <c:pt idx="1">
                  <c:v>31 - 40</c:v>
                </c:pt>
                <c:pt idx="2">
                  <c:v>41 - 45</c:v>
                </c:pt>
                <c:pt idx="3">
                  <c:v>46 - 50</c:v>
                </c:pt>
                <c:pt idx="4">
                  <c:v>51 - 55</c:v>
                </c:pt>
                <c:pt idx="5">
                  <c:v>56 - 60</c:v>
                </c:pt>
                <c:pt idx="6">
                  <c:v>61 - 65</c:v>
                </c:pt>
                <c:pt idx="7">
                  <c:v>66+</c:v>
                </c:pt>
                <c:pt idx="8">
                  <c:v>δ/υ</c:v>
                </c:pt>
              </c:strCache>
            </c:strRef>
          </c:cat>
          <c:val>
            <c:numRef>
              <c:f>'A5.1-3'!$R$4:$R$12</c:f>
              <c:numCache>
                <c:formatCode>0.00%</c:formatCode>
                <c:ptCount val="9"/>
                <c:pt idx="0">
                  <c:v>2.2200000000000001E-2</c:v>
                </c:pt>
                <c:pt idx="1">
                  <c:v>0.1419</c:v>
                </c:pt>
                <c:pt idx="2">
                  <c:v>0.13819999999999999</c:v>
                </c:pt>
                <c:pt idx="3">
                  <c:v>0.1973</c:v>
                </c:pt>
                <c:pt idx="4">
                  <c:v>0.20250000000000001</c:v>
                </c:pt>
                <c:pt idx="5">
                  <c:v>0.11459999999999999</c:v>
                </c:pt>
                <c:pt idx="6">
                  <c:v>7.46E-2</c:v>
                </c:pt>
                <c:pt idx="7">
                  <c:v>1.6299999999999999E-2</c:v>
                </c:pt>
                <c:pt idx="8">
                  <c:v>9.2399999999999996E-2</c:v>
                </c:pt>
              </c:numCache>
            </c:numRef>
          </c:val>
        </c:ser>
        <c:ser>
          <c:idx val="1"/>
          <c:order val="1"/>
          <c:tx>
            <c:v>Γυναίκες</c:v>
          </c:tx>
          <c:invertIfNegative val="0"/>
          <c:val>
            <c:numRef>
              <c:f>'A5.1-3'!$U$4:$U$12</c:f>
              <c:numCache>
                <c:formatCode>0.00%</c:formatCode>
                <c:ptCount val="9"/>
                <c:pt idx="0">
                  <c:v>4.5400000000000003E-2</c:v>
                </c:pt>
                <c:pt idx="1">
                  <c:v>0.22539999999999999</c:v>
                </c:pt>
                <c:pt idx="2">
                  <c:v>0.14099999999999999</c:v>
                </c:pt>
                <c:pt idx="3">
                  <c:v>0.1779</c:v>
                </c:pt>
                <c:pt idx="4">
                  <c:v>0.2059</c:v>
                </c:pt>
                <c:pt idx="5">
                  <c:v>8.2400000000000001E-2</c:v>
                </c:pt>
                <c:pt idx="6">
                  <c:v>3.1699999999999999E-2</c:v>
                </c:pt>
                <c:pt idx="7">
                  <c:v>6.3E-3</c:v>
                </c:pt>
                <c:pt idx="8">
                  <c:v>8.3900000000000002E-2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878464"/>
        <c:axId val="88896640"/>
        <c:axId val="0"/>
      </c:bar3DChart>
      <c:catAx>
        <c:axId val="88878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l-GR"/>
          </a:p>
        </c:txPr>
        <c:crossAx val="88896640"/>
        <c:crosses val="autoZero"/>
        <c:auto val="1"/>
        <c:lblAlgn val="ctr"/>
        <c:lblOffset val="100"/>
        <c:noMultiLvlLbl val="0"/>
      </c:catAx>
      <c:valAx>
        <c:axId val="8889664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l-GR"/>
          </a:p>
        </c:txPr>
        <c:crossAx val="88878464"/>
        <c:crosses val="autoZero"/>
        <c:crossBetween val="between"/>
        <c:majorUnit val="0.1"/>
      </c:valAx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el-G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l-GR" sz="800"/>
              <a:t>Ηλικιακή διάρθρωση Εκπ/κων</a:t>
            </a:r>
            <a:r>
              <a:rPr lang="el-GR" sz="800" baseline="0"/>
              <a:t> Β/θμιας, ανεξαρτήτως φύλου</a:t>
            </a:r>
            <a:endParaRPr lang="el-GR" sz="800"/>
          </a:p>
        </c:rich>
      </c:tx>
      <c:layout>
        <c:manualLayout>
          <c:xMode val="edge"/>
          <c:yMode val="edge"/>
          <c:x val="0.221451443569553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011384119153774E-2"/>
          <c:y val="0.10645742198891806"/>
          <c:w val="0.9443774467950542"/>
          <c:h val="0.78207166812481776"/>
        </c:manualLayout>
      </c:layout>
      <c:pie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('A5.1-3'!$O$5,'A5.1-3'!$O$8,'A5.1-3'!$O$11)</c:f>
              <c:strCache>
                <c:ptCount val="3"/>
                <c:pt idx="0">
                  <c:v>22-40</c:v>
                </c:pt>
                <c:pt idx="1">
                  <c:v>41-55</c:v>
                </c:pt>
                <c:pt idx="2">
                  <c:v>56-66+</c:v>
                </c:pt>
              </c:strCache>
            </c:strRef>
          </c:cat>
          <c:val>
            <c:numRef>
              <c:f>('A5.1-3'!$Y$5,'A5.1-3'!$Y$8,'A5.1-3'!$Y$11)</c:f>
              <c:numCache>
                <c:formatCode>0.00%</c:formatCode>
                <c:ptCount val="3"/>
                <c:pt idx="0">
                  <c:v>0.22639999999999999</c:v>
                </c:pt>
                <c:pt idx="1">
                  <c:v>0.53029999999999999</c:v>
                </c:pt>
                <c:pt idx="2">
                  <c:v>0.15579999999999999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</c:pieChart>
    </c:plotArea>
    <c:legend>
      <c:legendPos val="b"/>
      <c:layout/>
      <c:overlay val="0"/>
      <c:txPr>
        <a:bodyPr/>
        <a:lstStyle/>
        <a:p>
          <a:pPr rtl="0">
            <a:defRPr sz="800"/>
          </a:pPr>
          <a:endParaRPr lang="el-G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'Α6.1-2'!$B$4:$B$10</c:f>
              <c:strCache>
                <c:ptCount val="7"/>
                <c:pt idx="0">
                  <c:v>0-5</c:v>
                </c:pt>
                <c:pt idx="1">
                  <c:v>6-10</c:v>
                </c:pt>
                <c:pt idx="2">
                  <c:v>11-15</c:v>
                </c:pt>
                <c:pt idx="3">
                  <c:v>16-19</c:v>
                </c:pt>
                <c:pt idx="4">
                  <c:v>20</c:v>
                </c:pt>
                <c:pt idx="5">
                  <c:v>21-25</c:v>
                </c:pt>
                <c:pt idx="6">
                  <c:v>26+</c:v>
                </c:pt>
              </c:strCache>
            </c:strRef>
          </c:cat>
          <c:val>
            <c:numRef>
              <c:f>'Α6.1-2'!$C$4:$C$10</c:f>
              <c:numCache>
                <c:formatCode>#,##0</c:formatCode>
                <c:ptCount val="7"/>
                <c:pt idx="0">
                  <c:v>225</c:v>
                </c:pt>
                <c:pt idx="1">
                  <c:v>538</c:v>
                </c:pt>
                <c:pt idx="2">
                  <c:v>435</c:v>
                </c:pt>
                <c:pt idx="3">
                  <c:v>964</c:v>
                </c:pt>
                <c:pt idx="4">
                  <c:v>685</c:v>
                </c:pt>
                <c:pt idx="5">
                  <c:v>2717</c:v>
                </c:pt>
                <c:pt idx="6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40160"/>
        <c:axId val="92950528"/>
      </c:barChart>
      <c:catAx>
        <c:axId val="929401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l-GR"/>
                  <a:t>Υποχρεωτικό</a:t>
                </a:r>
                <a:r>
                  <a:rPr lang="el-GR" baseline="0"/>
                  <a:t> Διδακτικό Ωράριο</a:t>
                </a:r>
                <a:endParaRPr lang="el-GR"/>
              </a:p>
            </c:rich>
          </c:tx>
          <c:overlay val="0"/>
        </c:title>
        <c:majorTickMark val="out"/>
        <c:minorTickMark val="none"/>
        <c:tickLblPos val="nextTo"/>
        <c:crossAx val="92950528"/>
        <c:crosses val="autoZero"/>
        <c:auto val="1"/>
        <c:lblAlgn val="ctr"/>
        <c:lblOffset val="100"/>
        <c:noMultiLvlLbl val="0"/>
      </c:catAx>
      <c:valAx>
        <c:axId val="92950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l-GR"/>
                  <a:t>Πλήθος</a:t>
                </a:r>
                <a:r>
                  <a:rPr lang="el-GR" baseline="0"/>
                  <a:t> ιδιωτ. εκπ/κών </a:t>
                </a:r>
                <a:endParaRPr lang="el-GR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9294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l-GR" sz="1000"/>
              <a:t>Διδακτικό ωράριο ιδιωτικών εκπ/κών, ανεξαρτήτως Βαθμίας και φύλου</a:t>
            </a:r>
          </a:p>
        </c:rich>
      </c:tx>
      <c:overlay val="0"/>
    </c:title>
    <c:autoTitleDeleted val="0"/>
    <c:view3D>
      <c:rotX val="30"/>
      <c:rotY val="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1960982489129156E-2"/>
          <c:y val="0.21856167480605629"/>
          <c:w val="0.94009135425236023"/>
          <c:h val="0.6304022580496182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0.11678035021741685"/>
                  <c:y val="5.342246385606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'Α6.1-2'!$G$4:$G$6</c:f>
              <c:strCache>
                <c:ptCount val="3"/>
                <c:pt idx="0">
                  <c:v>0 - 10</c:v>
                </c:pt>
                <c:pt idx="1">
                  <c:v>11-19</c:v>
                </c:pt>
                <c:pt idx="2">
                  <c:v>20-26+</c:v>
                </c:pt>
              </c:strCache>
            </c:strRef>
          </c:cat>
          <c:val>
            <c:numRef>
              <c:f>'Α6.1-2'!$H$4:$H$6</c:f>
              <c:numCache>
                <c:formatCode>0.00%</c:formatCode>
                <c:ptCount val="3"/>
                <c:pt idx="0">
                  <c:v>0.13416564093546685</c:v>
                </c:pt>
                <c:pt idx="1">
                  <c:v>0.24599964832073151</c:v>
                </c:pt>
                <c:pt idx="2">
                  <c:v>0.6198347107438017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sz="800"/>
          </a:pPr>
          <a:endParaRPr lang="el-G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l-GR" sz="1000"/>
              <a:t>Διδακτ.</a:t>
            </a:r>
            <a:r>
              <a:rPr lang="el-GR" sz="1000" baseline="0"/>
              <a:t> ωράριο στην Β/θμια, σώρευση είδους συμβάσεων στο ωράριο</a:t>
            </a:r>
            <a:endParaRPr lang="el-GR" sz="1000"/>
          </a:p>
        </c:rich>
      </c:tx>
      <c:overlay val="0"/>
    </c:title>
    <c:autoTitleDeleted val="0"/>
    <c:view3D>
      <c:rotX val="2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v>Αορίστου Χρόνου</c:v>
          </c:tx>
          <c:spPr>
            <a:solidFill>
              <a:schemeClr val="accent6"/>
            </a:solidFill>
          </c:spPr>
          <c:invertIfNegative val="0"/>
          <c:cat>
            <c:strRef>
              <c:f>'Α6.1-2'!$W$14:$W$19</c:f>
              <c:strCache>
                <c:ptCount val="6"/>
                <c:pt idx="0">
                  <c:v>0-5</c:v>
                </c:pt>
                <c:pt idx="1">
                  <c:v>6-10</c:v>
                </c:pt>
                <c:pt idx="2">
                  <c:v>11-15</c:v>
                </c:pt>
                <c:pt idx="3">
                  <c:v>16-19</c:v>
                </c:pt>
                <c:pt idx="4">
                  <c:v>20</c:v>
                </c:pt>
                <c:pt idx="5">
                  <c:v>21-25</c:v>
                </c:pt>
              </c:strCache>
            </c:strRef>
          </c:cat>
          <c:val>
            <c:numRef>
              <c:f>'Α6.1-2'!$Z$14:$Z$19</c:f>
              <c:numCache>
                <c:formatCode>0.00%</c:formatCode>
                <c:ptCount val="6"/>
                <c:pt idx="0">
                  <c:v>3.7379850480598074E-2</c:v>
                </c:pt>
                <c:pt idx="1">
                  <c:v>9.540761836952652E-2</c:v>
                </c:pt>
                <c:pt idx="2">
                  <c:v>8.7575649697401212E-2</c:v>
                </c:pt>
                <c:pt idx="3">
                  <c:v>0.29085083659665362</c:v>
                </c:pt>
                <c:pt idx="4">
                  <c:v>0.21609113563545745</c:v>
                </c:pt>
                <c:pt idx="5">
                  <c:v>0.24350302598789605</c:v>
                </c:pt>
              </c:numCache>
            </c:numRef>
          </c:val>
        </c:ser>
        <c:ser>
          <c:idx val="1"/>
          <c:order val="1"/>
          <c:tx>
            <c:v>Ορισμένου Χρόνου</c:v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'Α6.1-2'!$W$14:$W$19</c:f>
              <c:strCache>
                <c:ptCount val="6"/>
                <c:pt idx="0">
                  <c:v>0-5</c:v>
                </c:pt>
                <c:pt idx="1">
                  <c:v>6-10</c:v>
                </c:pt>
                <c:pt idx="2">
                  <c:v>11-15</c:v>
                </c:pt>
                <c:pt idx="3">
                  <c:v>16-19</c:v>
                </c:pt>
                <c:pt idx="4">
                  <c:v>20</c:v>
                </c:pt>
                <c:pt idx="5">
                  <c:v>21-25</c:v>
                </c:pt>
              </c:strCache>
            </c:strRef>
          </c:cat>
          <c:val>
            <c:numRef>
              <c:f>'Α6.1-2'!$AC$14:$AC$19</c:f>
              <c:numCache>
                <c:formatCode>0.00%</c:formatCode>
                <c:ptCount val="6"/>
                <c:pt idx="0">
                  <c:v>0.12584269662921349</c:v>
                </c:pt>
                <c:pt idx="1">
                  <c:v>0.23146067415730337</c:v>
                </c:pt>
                <c:pt idx="2">
                  <c:v>0.2</c:v>
                </c:pt>
                <c:pt idx="3">
                  <c:v>8.7640449438202248E-2</c:v>
                </c:pt>
                <c:pt idx="4">
                  <c:v>3.8202247191011236E-2</c:v>
                </c:pt>
                <c:pt idx="5">
                  <c:v>0.31685393258426964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24256"/>
        <c:axId val="93025792"/>
        <c:axId val="0"/>
      </c:bar3DChart>
      <c:catAx>
        <c:axId val="93024256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l-GR"/>
          </a:p>
        </c:txPr>
        <c:crossAx val="93025792"/>
        <c:crosses val="autoZero"/>
        <c:auto val="1"/>
        <c:lblAlgn val="ctr"/>
        <c:lblOffset val="100"/>
        <c:noMultiLvlLbl val="0"/>
      </c:catAx>
      <c:valAx>
        <c:axId val="9302579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l-GR"/>
          </a:p>
        </c:txPr>
        <c:crossAx val="93024256"/>
        <c:crosses val="autoZero"/>
        <c:crossBetween val="between"/>
        <c:majorUnit val="0.25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l-G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l-GR" sz="1000"/>
              <a:t>Διδακτ. ωράριο στην Α/θμια, σώρευση</a:t>
            </a:r>
            <a:r>
              <a:rPr lang="el-GR" sz="1000" baseline="0"/>
              <a:t> είδους συμβάσεων στο ωράριο</a:t>
            </a:r>
            <a:endParaRPr lang="el-GR" sz="1000"/>
          </a:p>
        </c:rich>
      </c:tx>
      <c:overlay val="0"/>
    </c:title>
    <c:autoTitleDeleted val="0"/>
    <c:view3D>
      <c:rotX val="2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v>Αορίστου Χρόνου</c:v>
          </c:tx>
          <c:spPr>
            <a:solidFill>
              <a:schemeClr val="accent6"/>
            </a:solidFill>
          </c:spPr>
          <c:invertIfNegative val="0"/>
          <c:cat>
            <c:strRef>
              <c:f>'Α6.1-2'!$W$6:$W$12</c:f>
              <c:strCache>
                <c:ptCount val="7"/>
                <c:pt idx="0">
                  <c:v>0-5</c:v>
                </c:pt>
                <c:pt idx="1">
                  <c:v>6-10</c:v>
                </c:pt>
                <c:pt idx="2">
                  <c:v>11-15</c:v>
                </c:pt>
                <c:pt idx="3">
                  <c:v>16-19</c:v>
                </c:pt>
                <c:pt idx="4">
                  <c:v>20</c:v>
                </c:pt>
                <c:pt idx="5">
                  <c:v>21-25</c:v>
                </c:pt>
                <c:pt idx="6">
                  <c:v>26+</c:v>
                </c:pt>
              </c:strCache>
            </c:strRef>
          </c:cat>
          <c:val>
            <c:numRef>
              <c:f>'Α6.1-2'!$Z$6:$Z$11</c:f>
              <c:numCache>
                <c:formatCode>0.00%</c:formatCode>
                <c:ptCount val="6"/>
                <c:pt idx="0">
                  <c:v>2.5815879201169022E-2</c:v>
                </c:pt>
                <c:pt idx="1">
                  <c:v>6.7705796395518755E-2</c:v>
                </c:pt>
                <c:pt idx="2">
                  <c:v>4.1889917194349729E-2</c:v>
                </c:pt>
                <c:pt idx="3">
                  <c:v>4.6273745737944474E-2</c:v>
                </c:pt>
                <c:pt idx="4">
                  <c:v>2.7764247442766683E-2</c:v>
                </c:pt>
                <c:pt idx="5">
                  <c:v>0.7764247442766683</c:v>
                </c:pt>
              </c:numCache>
            </c:numRef>
          </c:val>
        </c:ser>
        <c:ser>
          <c:idx val="1"/>
          <c:order val="1"/>
          <c:tx>
            <c:v>Ορισμένου Χρόνου</c:v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val>
            <c:numRef>
              <c:f>'Α6.1-2'!$AC$6:$AC$11</c:f>
              <c:numCache>
                <c:formatCode>0.00%</c:formatCode>
                <c:ptCount val="6"/>
                <c:pt idx="0">
                  <c:v>2.8947368421052631E-2</c:v>
                </c:pt>
                <c:pt idx="1">
                  <c:v>7.3684210526315783E-2</c:v>
                </c:pt>
                <c:pt idx="2">
                  <c:v>3.6842105263157891E-2</c:v>
                </c:pt>
                <c:pt idx="3">
                  <c:v>3.4210526315789476E-2</c:v>
                </c:pt>
                <c:pt idx="4">
                  <c:v>1.0526315789473684E-2</c:v>
                </c:pt>
                <c:pt idx="5">
                  <c:v>0.78421052631578947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35520"/>
        <c:axId val="111411968"/>
        <c:axId val="0"/>
      </c:bar3DChart>
      <c:catAx>
        <c:axId val="9303552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l-GR"/>
          </a:p>
        </c:txPr>
        <c:crossAx val="111411968"/>
        <c:crosses val="autoZero"/>
        <c:auto val="1"/>
        <c:lblAlgn val="ctr"/>
        <c:lblOffset val="100"/>
        <c:noMultiLvlLbl val="0"/>
      </c:catAx>
      <c:valAx>
        <c:axId val="1114119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l-GR"/>
          </a:p>
        </c:txPr>
        <c:crossAx val="93035520"/>
        <c:crosses val="autoZero"/>
        <c:crossBetween val="between"/>
        <c:majorUnit val="0.25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l-G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ln w="28575">
              <a:noFill/>
            </a:ln>
          </c:spPr>
          <c:invertIfNegative val="0"/>
          <c:cat>
            <c:strRef>
              <c:f>Α9!$I$3:$I$18</c:f>
              <c:strCache>
                <c:ptCount val="16"/>
                <c:pt idx="0">
                  <c:v>ΔΑΣΚΑΛΟΙ</c:v>
                </c:pt>
                <c:pt idx="1">
                  <c:v>ΦΙΛΟΛΟΓΟΙ</c:v>
                </c:pt>
                <c:pt idx="2">
                  <c:v>ΝΗΠΙΑΓΩΓΟΙ</c:v>
                </c:pt>
                <c:pt idx="3">
                  <c:v>ΑΓΓΛΙΚΗΣ ΦΙΛΟΛΟΓΙΑΣ</c:v>
                </c:pt>
                <c:pt idx="4">
                  <c:v>ΜΑΘΗΜΑΤΙΚΟΙ</c:v>
                </c:pt>
                <c:pt idx="5">
                  <c:v>ΦΥΣΙΚΗΣ ΑΓΩΓΗΣ</c:v>
                </c:pt>
                <c:pt idx="6">
                  <c:v>ΓΑΛΛΙΚΗΣ ΦΙΛΟΛΟΓΙΑΣ</c:v>
                </c:pt>
                <c:pt idx="7">
                  <c:v>ΦΥΣΙΚΟΙ</c:v>
                </c:pt>
                <c:pt idx="8">
                  <c:v>ΠΛΗΡΟΦΟΡΙΚΗΣ</c:v>
                </c:pt>
                <c:pt idx="9">
                  <c:v>ΓΕΡΜΑΝΙΚΗΣ ΦΙΛΟΛΟΓΙΑΣ</c:v>
                </c:pt>
                <c:pt idx="10">
                  <c:v>ΘΕΟΛΟΓΟΙ</c:v>
                </c:pt>
                <c:pt idx="11">
                  <c:v>ΧΗΜΙΚΟΙ</c:v>
                </c:pt>
                <c:pt idx="12">
                  <c:v>ΜΟΥΣΙΚΗΣ ΕΠΙΣΤΗΜΗΣ</c:v>
                </c:pt>
                <c:pt idx="13">
                  <c:v>ΒΙΟΛΟΓΟΙ</c:v>
                </c:pt>
                <c:pt idx="14">
                  <c:v>ΚΑΛΛΙΤΕΧΝΙΚΩΝ</c:v>
                </c:pt>
                <c:pt idx="15">
                  <c:v>Λοιποί κλάδοι</c:v>
                </c:pt>
              </c:strCache>
            </c:strRef>
          </c:cat>
          <c:val>
            <c:numRef>
              <c:f>Α9!$J$3:$J$18</c:f>
              <c:numCache>
                <c:formatCode>General</c:formatCode>
                <c:ptCount val="16"/>
                <c:pt idx="0">
                  <c:v>993</c:v>
                </c:pt>
                <c:pt idx="1">
                  <c:v>890</c:v>
                </c:pt>
                <c:pt idx="2">
                  <c:v>650</c:v>
                </c:pt>
                <c:pt idx="3">
                  <c:v>523</c:v>
                </c:pt>
                <c:pt idx="4">
                  <c:v>425</c:v>
                </c:pt>
                <c:pt idx="5">
                  <c:v>378</c:v>
                </c:pt>
                <c:pt idx="6">
                  <c:v>279</c:v>
                </c:pt>
                <c:pt idx="7">
                  <c:v>277</c:v>
                </c:pt>
                <c:pt idx="8">
                  <c:v>187</c:v>
                </c:pt>
                <c:pt idx="9">
                  <c:v>170</c:v>
                </c:pt>
                <c:pt idx="10">
                  <c:v>148</c:v>
                </c:pt>
                <c:pt idx="11">
                  <c:v>129</c:v>
                </c:pt>
                <c:pt idx="12">
                  <c:v>123</c:v>
                </c:pt>
                <c:pt idx="13">
                  <c:v>114</c:v>
                </c:pt>
                <c:pt idx="14">
                  <c:v>94</c:v>
                </c:pt>
                <c:pt idx="15">
                  <c:v>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77536"/>
        <c:axId val="92179072"/>
      </c:barChart>
      <c:catAx>
        <c:axId val="92177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92179072"/>
        <c:crosses val="autoZero"/>
        <c:auto val="1"/>
        <c:lblAlgn val="ctr"/>
        <c:lblOffset val="100"/>
        <c:noMultiLvlLbl val="0"/>
      </c:catAx>
      <c:valAx>
        <c:axId val="92179072"/>
        <c:scaling>
          <c:orientation val="minMax"/>
          <c:max val="100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crossAx val="9217753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551101897059702E-2"/>
          <c:y val="4.0933170144872334E-2"/>
          <c:w val="0.79526327104448291"/>
          <c:h val="0.6029428499765435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'Α10.1'!$AB$3</c:f>
              <c:strCache>
                <c:ptCount val="1"/>
                <c:pt idx="0">
                  <c:v>22-40</c:v>
                </c:pt>
              </c:strCache>
            </c:strRef>
          </c:tx>
          <c:invertIfNegative val="0"/>
          <c:cat>
            <c:strRef>
              <c:f>'Α10.1'!$O$4:$O$15</c:f>
              <c:strCache>
                <c:ptCount val="12"/>
                <c:pt idx="0">
                  <c:v>ΔΑΣΚΑΛΟΙ</c:v>
                </c:pt>
                <c:pt idx="1">
                  <c:v>ΦΙΛΟΛΟΓΟΙ</c:v>
                </c:pt>
                <c:pt idx="2">
                  <c:v>ΝΗΠΙΑΓΩΓΟΙ</c:v>
                </c:pt>
                <c:pt idx="3">
                  <c:v>ΑΓΓΛΙΚΗΣ ΦΙΛΟΛΟΓΙΑΣ</c:v>
                </c:pt>
                <c:pt idx="4">
                  <c:v>ΜΑΘΗΜΑΤΙΚΟΙ</c:v>
                </c:pt>
                <c:pt idx="5">
                  <c:v>ΦΥΣΙΚΗΣ ΑΓΩΓΗΣ</c:v>
                </c:pt>
                <c:pt idx="6">
                  <c:v>ΓΑΛΛΙΚΗΣ ΦΙΛΟΛΟΓΙΑΣ</c:v>
                </c:pt>
                <c:pt idx="7">
                  <c:v>ΦΥΣΙΚΟΙ</c:v>
                </c:pt>
                <c:pt idx="8">
                  <c:v>ΠΛΗΡΟΦΟΡΙΚΗΣ</c:v>
                </c:pt>
                <c:pt idx="9">
                  <c:v>ΓΕΡΜΑΝΙΚΗΣ ΦΙΛΟΛΟΓΙΑΣ</c:v>
                </c:pt>
                <c:pt idx="10">
                  <c:v>ΘΕΟΛΟΓΟΙ</c:v>
                </c:pt>
                <c:pt idx="11">
                  <c:v>ΧΗΜΙΚΟΙ</c:v>
                </c:pt>
              </c:strCache>
            </c:strRef>
          </c:cat>
          <c:val>
            <c:numRef>
              <c:f>'Α10.1'!$AB$4:$AB$15</c:f>
              <c:numCache>
                <c:formatCode>0.0%</c:formatCode>
                <c:ptCount val="12"/>
                <c:pt idx="0">
                  <c:v>0.57804632426988922</c:v>
                </c:pt>
                <c:pt idx="1">
                  <c:v>0.21235955056179776</c:v>
                </c:pt>
                <c:pt idx="2">
                  <c:v>0.61846153846153851</c:v>
                </c:pt>
                <c:pt idx="3">
                  <c:v>0.32504780114722753</c:v>
                </c:pt>
                <c:pt idx="4">
                  <c:v>0.19058823529411764</c:v>
                </c:pt>
                <c:pt idx="5">
                  <c:v>0.23015873015873015</c:v>
                </c:pt>
                <c:pt idx="6">
                  <c:v>0.18996415770609321</c:v>
                </c:pt>
                <c:pt idx="7">
                  <c:v>0.13357400722021659</c:v>
                </c:pt>
                <c:pt idx="8">
                  <c:v>0.55080213903743314</c:v>
                </c:pt>
                <c:pt idx="9">
                  <c:v>0.34705882352941181</c:v>
                </c:pt>
                <c:pt idx="10">
                  <c:v>0.22297297297297297</c:v>
                </c:pt>
                <c:pt idx="11">
                  <c:v>0.14728682170542634</c:v>
                </c:pt>
              </c:numCache>
            </c:numRef>
          </c:val>
        </c:ser>
        <c:ser>
          <c:idx val="1"/>
          <c:order val="1"/>
          <c:tx>
            <c:strRef>
              <c:f>'Α10.1'!$AC$3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'Α10.1'!$O$4:$O$15</c:f>
              <c:strCache>
                <c:ptCount val="12"/>
                <c:pt idx="0">
                  <c:v>ΔΑΣΚΑΛΟΙ</c:v>
                </c:pt>
                <c:pt idx="1">
                  <c:v>ΦΙΛΟΛΟΓΟΙ</c:v>
                </c:pt>
                <c:pt idx="2">
                  <c:v>ΝΗΠΙΑΓΩΓΟΙ</c:v>
                </c:pt>
                <c:pt idx="3">
                  <c:v>ΑΓΓΛΙΚΗΣ ΦΙΛΟΛΟΓΙΑΣ</c:v>
                </c:pt>
                <c:pt idx="4">
                  <c:v>ΜΑΘΗΜΑΤΙΚΟΙ</c:v>
                </c:pt>
                <c:pt idx="5">
                  <c:v>ΦΥΣΙΚΗΣ ΑΓΩΓΗΣ</c:v>
                </c:pt>
                <c:pt idx="6">
                  <c:v>ΓΑΛΛΙΚΗΣ ΦΙΛΟΛΟΓΙΑΣ</c:v>
                </c:pt>
                <c:pt idx="7">
                  <c:v>ΦΥΣΙΚΟΙ</c:v>
                </c:pt>
                <c:pt idx="8">
                  <c:v>ΠΛΗΡΟΦΟΡΙΚΗΣ</c:v>
                </c:pt>
                <c:pt idx="9">
                  <c:v>ΓΕΡΜΑΝΙΚΗΣ ΦΙΛΟΛΟΓΙΑΣ</c:v>
                </c:pt>
                <c:pt idx="10">
                  <c:v>ΘΕΟΛΟΓΟΙ</c:v>
                </c:pt>
                <c:pt idx="11">
                  <c:v>ΧΗΜΙΚΟΙ</c:v>
                </c:pt>
              </c:strCache>
            </c:strRef>
          </c:cat>
          <c:val>
            <c:numRef>
              <c:f>'Α10.1'!$AC$4:$AC$15</c:f>
              <c:numCache>
                <c:formatCode>0.0%</c:formatCode>
                <c:ptCount val="12"/>
                <c:pt idx="0">
                  <c:v>0.29305135951661632</c:v>
                </c:pt>
                <c:pt idx="1">
                  <c:v>0.62247191011235958</c:v>
                </c:pt>
                <c:pt idx="2">
                  <c:v>0.32153846153846155</c:v>
                </c:pt>
                <c:pt idx="3">
                  <c:v>0.46653919694072654</c:v>
                </c:pt>
                <c:pt idx="4">
                  <c:v>0.45411764705882351</c:v>
                </c:pt>
                <c:pt idx="5">
                  <c:v>0.60846560846560838</c:v>
                </c:pt>
                <c:pt idx="6">
                  <c:v>0.56630824372759858</c:v>
                </c:pt>
                <c:pt idx="7">
                  <c:v>0.51985559566786999</c:v>
                </c:pt>
                <c:pt idx="8">
                  <c:v>0.3529411764705882</c:v>
                </c:pt>
                <c:pt idx="9">
                  <c:v>0.46470588235294119</c:v>
                </c:pt>
                <c:pt idx="10">
                  <c:v>0.56081081081081086</c:v>
                </c:pt>
                <c:pt idx="11">
                  <c:v>0.51162790697674421</c:v>
                </c:pt>
              </c:numCache>
            </c:numRef>
          </c:val>
        </c:ser>
        <c:ser>
          <c:idx val="2"/>
          <c:order val="2"/>
          <c:tx>
            <c:strRef>
              <c:f>'Α10.1'!$AD$3</c:f>
              <c:strCache>
                <c:ptCount val="1"/>
                <c:pt idx="0">
                  <c:v>56+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'Α10.1'!$O$4:$O$15</c:f>
              <c:strCache>
                <c:ptCount val="12"/>
                <c:pt idx="0">
                  <c:v>ΔΑΣΚΑΛΟΙ</c:v>
                </c:pt>
                <c:pt idx="1">
                  <c:v>ΦΙΛΟΛΟΓΟΙ</c:v>
                </c:pt>
                <c:pt idx="2">
                  <c:v>ΝΗΠΙΑΓΩΓΟΙ</c:v>
                </c:pt>
                <c:pt idx="3">
                  <c:v>ΑΓΓΛΙΚΗΣ ΦΙΛΟΛΟΓΙΑΣ</c:v>
                </c:pt>
                <c:pt idx="4">
                  <c:v>ΜΑΘΗΜΑΤΙΚΟΙ</c:v>
                </c:pt>
                <c:pt idx="5">
                  <c:v>ΦΥΣΙΚΗΣ ΑΓΩΓΗΣ</c:v>
                </c:pt>
                <c:pt idx="6">
                  <c:v>ΓΑΛΛΙΚΗΣ ΦΙΛΟΛΟΓΙΑΣ</c:v>
                </c:pt>
                <c:pt idx="7">
                  <c:v>ΦΥΣΙΚΟΙ</c:v>
                </c:pt>
                <c:pt idx="8">
                  <c:v>ΠΛΗΡΟΦΟΡΙΚΗΣ</c:v>
                </c:pt>
                <c:pt idx="9">
                  <c:v>ΓΕΡΜΑΝΙΚΗΣ ΦΙΛΟΛΟΓΙΑΣ</c:v>
                </c:pt>
                <c:pt idx="10">
                  <c:v>ΘΕΟΛΟΓΟΙ</c:v>
                </c:pt>
                <c:pt idx="11">
                  <c:v>ΧΗΜΙΚΟΙ</c:v>
                </c:pt>
              </c:strCache>
            </c:strRef>
          </c:cat>
          <c:val>
            <c:numRef>
              <c:f>'Α10.1'!$AD$4:$AD$15</c:f>
              <c:numCache>
                <c:formatCode>0.0%</c:formatCode>
                <c:ptCount val="12"/>
                <c:pt idx="0">
                  <c:v>6.6465256797583083E-2</c:v>
                </c:pt>
                <c:pt idx="1">
                  <c:v>7.9775280898876408E-2</c:v>
                </c:pt>
                <c:pt idx="2">
                  <c:v>3.692307692307692E-2</c:v>
                </c:pt>
                <c:pt idx="3">
                  <c:v>0.13001912045889102</c:v>
                </c:pt>
                <c:pt idx="4">
                  <c:v>0.28000000000000003</c:v>
                </c:pt>
                <c:pt idx="5">
                  <c:v>8.2010582010582006E-2</c:v>
                </c:pt>
                <c:pt idx="6">
                  <c:v>0.15053763440860216</c:v>
                </c:pt>
                <c:pt idx="7">
                  <c:v>0.25992779783393499</c:v>
                </c:pt>
                <c:pt idx="8">
                  <c:v>4.2780748663101602E-2</c:v>
                </c:pt>
                <c:pt idx="9">
                  <c:v>0.11176470588235295</c:v>
                </c:pt>
                <c:pt idx="10">
                  <c:v>0.10135135135135136</c:v>
                </c:pt>
                <c:pt idx="11">
                  <c:v>0.24031007751937983</c:v>
                </c:pt>
              </c:numCache>
            </c:numRef>
          </c:val>
        </c:ser>
        <c:ser>
          <c:idx val="3"/>
          <c:order val="3"/>
          <c:tx>
            <c:strRef>
              <c:f>'Α10.1'!$AE$3</c:f>
              <c:strCache>
                <c:ptCount val="1"/>
                <c:pt idx="0">
                  <c:v>δ/υ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'Α10.1'!$O$4:$O$15</c:f>
              <c:strCache>
                <c:ptCount val="12"/>
                <c:pt idx="0">
                  <c:v>ΔΑΣΚΑΛΟΙ</c:v>
                </c:pt>
                <c:pt idx="1">
                  <c:v>ΦΙΛΟΛΟΓΟΙ</c:v>
                </c:pt>
                <c:pt idx="2">
                  <c:v>ΝΗΠΙΑΓΩΓΟΙ</c:v>
                </c:pt>
                <c:pt idx="3">
                  <c:v>ΑΓΓΛΙΚΗΣ ΦΙΛΟΛΟΓΙΑΣ</c:v>
                </c:pt>
                <c:pt idx="4">
                  <c:v>ΜΑΘΗΜΑΤΙΚΟΙ</c:v>
                </c:pt>
                <c:pt idx="5">
                  <c:v>ΦΥΣΙΚΗΣ ΑΓΩΓΗΣ</c:v>
                </c:pt>
                <c:pt idx="6">
                  <c:v>ΓΑΛΛΙΚΗΣ ΦΙΛΟΛΟΓΙΑΣ</c:v>
                </c:pt>
                <c:pt idx="7">
                  <c:v>ΦΥΣΙΚΟΙ</c:v>
                </c:pt>
                <c:pt idx="8">
                  <c:v>ΠΛΗΡΟΦΟΡΙΚΗΣ</c:v>
                </c:pt>
                <c:pt idx="9">
                  <c:v>ΓΕΡΜΑΝΙΚΗΣ ΦΙΛΟΛΟΓΙΑΣ</c:v>
                </c:pt>
                <c:pt idx="10">
                  <c:v>ΘΕΟΛΟΓΟΙ</c:v>
                </c:pt>
                <c:pt idx="11">
                  <c:v>ΧΗΜΙΚΟΙ</c:v>
                </c:pt>
              </c:strCache>
            </c:strRef>
          </c:cat>
          <c:val>
            <c:numRef>
              <c:f>'Α10.1'!$AE$4:$AE$15</c:f>
              <c:numCache>
                <c:formatCode>0.0%</c:formatCode>
                <c:ptCount val="12"/>
                <c:pt idx="0">
                  <c:v>6.2437059415911378E-2</c:v>
                </c:pt>
                <c:pt idx="1">
                  <c:v>8.5393258426966295E-2</c:v>
                </c:pt>
                <c:pt idx="2">
                  <c:v>2.3076923076923078E-2</c:v>
                </c:pt>
                <c:pt idx="3">
                  <c:v>7.8393881453154873E-2</c:v>
                </c:pt>
                <c:pt idx="4">
                  <c:v>7.5294117647058817E-2</c:v>
                </c:pt>
                <c:pt idx="5">
                  <c:v>7.9365079365079361E-2</c:v>
                </c:pt>
                <c:pt idx="6">
                  <c:v>9.3189964157706098E-2</c:v>
                </c:pt>
                <c:pt idx="7">
                  <c:v>8.6642599277978335E-2</c:v>
                </c:pt>
                <c:pt idx="8">
                  <c:v>5.3475935828877004E-2</c:v>
                </c:pt>
                <c:pt idx="9">
                  <c:v>7.6470588235294124E-2</c:v>
                </c:pt>
                <c:pt idx="10">
                  <c:v>0.11486486486486487</c:v>
                </c:pt>
                <c:pt idx="11">
                  <c:v>0.10077519379844961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92230400"/>
        <c:axId val="92231936"/>
        <c:axId val="0"/>
      </c:bar3DChart>
      <c:catAx>
        <c:axId val="92230400"/>
        <c:scaling>
          <c:orientation val="minMax"/>
        </c:scaling>
        <c:delete val="0"/>
        <c:axPos val="b"/>
        <c:majorTickMark val="none"/>
        <c:minorTickMark val="none"/>
        <c:tickLblPos val="nextTo"/>
        <c:crossAx val="92231936"/>
        <c:crosses val="autoZero"/>
        <c:auto val="1"/>
        <c:lblAlgn val="ctr"/>
        <c:lblOffset val="100"/>
        <c:noMultiLvlLbl val="0"/>
      </c:catAx>
      <c:valAx>
        <c:axId val="9223193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9223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30</xdr:row>
      <xdr:rowOff>161925</xdr:rowOff>
    </xdr:from>
    <xdr:to>
      <xdr:col>5</xdr:col>
      <xdr:colOff>95250</xdr:colOff>
      <xdr:row>42</xdr:row>
      <xdr:rowOff>171450</xdr:rowOff>
    </xdr:to>
    <xdr:graphicFrame macro="">
      <xdr:nvGraphicFramePr>
        <xdr:cNvPr id="2" name="Γράφημα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228600</xdr:colOff>
      <xdr:row>30</xdr:row>
      <xdr:rowOff>185737</xdr:rowOff>
    </xdr:from>
    <xdr:to>
      <xdr:col>12</xdr:col>
      <xdr:colOff>76200</xdr:colOff>
      <xdr:row>45</xdr:row>
      <xdr:rowOff>100012</xdr:rowOff>
    </xdr:to>
    <xdr:graphicFrame macro="">
      <xdr:nvGraphicFramePr>
        <xdr:cNvPr id="3" name="Γράφημα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123824</xdr:colOff>
      <xdr:row>31</xdr:row>
      <xdr:rowOff>33337</xdr:rowOff>
    </xdr:from>
    <xdr:to>
      <xdr:col>18</xdr:col>
      <xdr:colOff>400049</xdr:colOff>
      <xdr:row>45</xdr:row>
      <xdr:rowOff>138112</xdr:rowOff>
    </xdr:to>
    <xdr:graphicFrame macro="">
      <xdr:nvGraphicFramePr>
        <xdr:cNvPr id="5" name="Γράφημα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138112</xdr:rowOff>
    </xdr:from>
    <xdr:to>
      <xdr:col>7</xdr:col>
      <xdr:colOff>371475</xdr:colOff>
      <xdr:row>36</xdr:row>
      <xdr:rowOff>109537</xdr:rowOff>
    </xdr:to>
    <xdr:graphicFrame macro="">
      <xdr:nvGraphicFramePr>
        <xdr:cNvPr id="3" name="Γράφημα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581025</xdr:colOff>
      <xdr:row>21</xdr:row>
      <xdr:rowOff>157162</xdr:rowOff>
    </xdr:from>
    <xdr:to>
      <xdr:col>12</xdr:col>
      <xdr:colOff>723900</xdr:colOff>
      <xdr:row>31</xdr:row>
      <xdr:rowOff>142875</xdr:rowOff>
    </xdr:to>
    <xdr:graphicFrame macro="">
      <xdr:nvGraphicFramePr>
        <xdr:cNvPr id="4" name="Γράφημα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114300</xdr:colOff>
      <xdr:row>23</xdr:row>
      <xdr:rowOff>80962</xdr:rowOff>
    </xdr:from>
    <xdr:to>
      <xdr:col>28</xdr:col>
      <xdr:colOff>19050</xdr:colOff>
      <xdr:row>37</xdr:row>
      <xdr:rowOff>157162</xdr:rowOff>
    </xdr:to>
    <xdr:graphicFrame macro="">
      <xdr:nvGraphicFramePr>
        <xdr:cNvPr id="7" name="Γράφημα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114300</xdr:colOff>
      <xdr:row>38</xdr:row>
      <xdr:rowOff>157162</xdr:rowOff>
    </xdr:from>
    <xdr:to>
      <xdr:col>28</xdr:col>
      <xdr:colOff>19050</xdr:colOff>
      <xdr:row>53</xdr:row>
      <xdr:rowOff>42862</xdr:rowOff>
    </xdr:to>
    <xdr:graphicFrame macro="">
      <xdr:nvGraphicFramePr>
        <xdr:cNvPr id="9" name="Γράφημα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200024</xdr:colOff>
      <xdr:row>25</xdr:row>
      <xdr:rowOff>47625</xdr:rowOff>
    </xdr:from>
    <xdr:to>
      <xdr:col>13</xdr:col>
      <xdr:colOff>285750</xdr:colOff>
      <xdr:row>43</xdr:row>
      <xdr:rowOff>85725</xdr:rowOff>
    </xdr:to>
    <xdr:graphicFrame macro="">
      <xdr:nvGraphicFramePr>
        <xdr:cNvPr id="4" name="Γράφημα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425823</xdr:colOff>
      <xdr:row>28</xdr:row>
      <xdr:rowOff>118783</xdr:rowOff>
    </xdr:from>
    <xdr:to>
      <xdr:col>34</xdr:col>
      <xdr:colOff>313764</xdr:colOff>
      <xdr:row>46</xdr:row>
      <xdr:rowOff>134471</xdr:rowOff>
    </xdr:to>
    <xdr:graphicFrame macro="">
      <xdr:nvGraphicFramePr>
        <xdr:cNvPr id="2" name="Γράφημα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280146</xdr:colOff>
      <xdr:row>16</xdr:row>
      <xdr:rowOff>51547</xdr:rowOff>
    </xdr:from>
    <xdr:to>
      <xdr:col>48</xdr:col>
      <xdr:colOff>392205</xdr:colOff>
      <xdr:row>29</xdr:row>
      <xdr:rowOff>44824</xdr:rowOff>
    </xdr:to>
    <xdr:graphicFrame macro="">
      <xdr:nvGraphicFramePr>
        <xdr:cNvPr id="3" name="Γράφημα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Ευστρατιος Χουρδακης" refreshedDate="43461.61237800926" createdVersion="4" refreshedVersion="4" minRefreshableVersion="3" recordCount="5688">
  <cacheSource type="worksheet">
    <worksheetSource ref="A1:AI1048576" sheet="data"/>
  </cacheSource>
  <cacheFields count="35">
    <cacheField name="KLEIDI" numFmtId="0">
      <sharedItems containsString="0" containsBlank="1" containsNumber="1" containsInteger="1" minValue="99910000" maxValue="99915686"/>
    </cacheField>
    <cacheField name="Φύλο" numFmtId="0">
      <sharedItems containsBlank="1"/>
    </cacheField>
    <cacheField name="Κωδ. Ειδικότητας" numFmtId="0">
      <sharedItems containsBlank="1" count="44">
        <s v="ΠΕ06"/>
        <s v="ΠΕ70"/>
        <s v="ΠΕ60"/>
        <s v="ΠΕ02"/>
        <s v="ΠΕ04.04"/>
        <s v="ΠΕ03"/>
        <s v="ΠΕ05"/>
        <s v="ΠΕ08"/>
        <s v="ΠΕ11"/>
        <s v="ΠΕ01"/>
        <s v="ΠΕ07"/>
        <s v="ΠΕ04.02"/>
        <s v="ΠΕ91.01"/>
        <s v="ΤΕ16"/>
        <s v="ΠΕ86"/>
        <s v="ΠΕ80"/>
        <s v="ΠΕ82"/>
        <s v="ΕΜ16.00"/>
        <s v="ΠΕ79.01"/>
        <s v="ΠΕ04.01"/>
        <s v="ΠΕ78"/>
        <s v="ΠΕ70.50"/>
        <s v="ΠΕ85"/>
        <s v="ΠΕ83"/>
        <s v="ΠΕ81"/>
        <s v="ΠΕ19"/>
        <s v="ΠΕ04.05"/>
        <s v="ΠΕ71"/>
        <s v="ΠΕ40"/>
        <s v="ΠΕ84"/>
        <s v="ΠΕ79.02"/>
        <s v="ΠΕ89.02"/>
        <m/>
        <s v="ΠΕ34"/>
        <s v="ΠΕ88.04"/>
        <s v="ΠΕ89.01"/>
        <s v="ΤΕ02.07"/>
        <s v="ΠΕ90"/>
        <s v="ΠΕ88.01"/>
        <s v="ΠΕ88.02"/>
        <s v="ΠΕ88.05"/>
        <s v="ΠΕ88.03"/>
        <s v="ΠΕ04.03"/>
        <s v="ΠΕ16.01"/>
      </sharedItems>
    </cacheField>
    <cacheField name="Ειδικότητα" numFmtId="0">
      <sharedItems containsBlank="1" count="43">
        <s v="ΑΓΓΛΙΚΗΣ ΦΙΛΟΛΟΓΙΑΣ"/>
        <s v="ΔΑΣΚΑΛΟΙ"/>
        <s v="ΝΗΠΙΑΓΩΓΟΙ"/>
        <s v="ΦΙΛΟΛΟΓΟΙ"/>
        <s v="ΒΙΟΛΟΓΟΙ"/>
        <s v="ΜΑΘΗΜΑΤΙΚΟΙ"/>
        <s v="ΓΑΛΛΙΚΗΣ ΦΙΛΟΛΟΓΙΑΣ"/>
        <s v="ΚΑΛΛΙΤΕΧΝΙΚΩΝ"/>
        <s v="ΦΥΣΙΚΗΣ ΑΓΩΓΗΣ"/>
        <s v="ΘΕΟΛΟΓΟΙ"/>
        <s v="ΓΕΡΜΑΝΙΚΗΣ ΦΙΛΟΛΟΓΙΑΣ"/>
        <s v="ΧΗΜΙΚΟΙ"/>
        <s v="ΘΕΑΤΡΙΚΩΝ ΣΠΟΥΔΩΝ"/>
        <s v="ΜΟΥΣΙΚΗΣ ΜΗ ΑΝΩΤΑΤΩΝ ΙΔΡΥΜΑΤΩΝ"/>
        <s v="ΠΛΗΡΟΦΟΡΙΚΗΣ"/>
        <s v="ΟΙΚΟΝΟΜΙΑΣ"/>
        <s v="ΜΗΧΑΝΟΛΟΓΩΝ"/>
        <s v="ΜΟΥΣΙΚΗΣ - ΕΜΠΕΙΡΟΤΕΧΝΕΣ"/>
        <s v="ΜΟΥΣΙΚΗΣ ΕΠΙΣΤΗΜΗΣ"/>
        <s v="ΦΥΣΙΚΟΙ"/>
        <s v="ΚΟΙΝΩΝΙΚΩΝ ΕΠΙΣΤΗΜΩΝ"/>
        <s v="ΔΑΣΚΑΛΟΙ ΕΙΔΙΚΗΣ ΑΓΩΓΗΣ"/>
        <s v="ΧΗΜΙΚΩΝ ΜΗΧΑΝΙΚΩΝ"/>
        <s v="ΗΛΕΚΤΡΟΛΟΓΩΝ"/>
        <s v="ΠΟΛ.ΜΗΧΑΝΙΚΩΝ-ΑΡΧΙΤΕΚΤΟΝΩΝ"/>
        <s v="ΠΛΗΡΟΦΟΡΙΚΗΣ Α.Ε.Ι."/>
        <s v="ΓΕΩΛΟΓΟΙ"/>
        <s v="ΙΣΠΑΝΙΚΗΣ ΦΙΛΟΛΟΓΙΑΣ"/>
        <s v="ΗΛΕΚΤΡΟΝΙΚΩΝ"/>
        <s v="ΤΕΧΝΟΛΟΓΟΙ ΜΟΥΣΙΚΗΣ ΤΕΧΝΟΛΟΓΙΑΣ, ΗΧΟΥ ΚΑΙ ΜΟΥΣΙΚΩΝ ΟΡΓΑΝΩΝ"/>
        <s v="ΣΧΕΔΙΑΣΜΟΥ ΚΑΙ ΠΑΡΑΓΩΓΗΣ ΠΡΟΪΟΝΤΩΝ"/>
        <m/>
        <s v="ΙΤΑΛΙΚΗΣ ΦΙΛΟΛΟΓΙΑΣ"/>
        <s v="ΔΙΑΤΡΟΦΗΣ"/>
        <s v="ΚΑΛΛΙΤΕΧΝΙΚΩΝ ΣΠΟΥΔΩΝ"/>
        <s v="ΓΕΩΠΟΝΙΑΣ"/>
        <s v="ΝΑΥΤΙΚΩΝ ΜΑΘΗΜΑΤΩΝ"/>
        <s v="ΓΕΩΠΟΝΟΙ"/>
        <s v="ΦΥΤΙΚΗΣ ΠΑΡΑΓΩΓΗΣ"/>
        <s v="ΦΥΣΙΚΟΥ ΠΕΡΙΒΑΛΛΟΝΤΟΣ"/>
        <s v="ΖΩΙΚΗΣ ΠΑΡΑΓΩΓΗΣ"/>
        <s v="ΦΥΣΙΟΓΝΩΣΤΕΣ"/>
        <s v="ΜΟΥΣΙΚΗΣ ΠΤΥΧ. ΜΟΥΣΙΚΗΣ ΕΠΙΣΤΗΜΗΣ"/>
      </sharedItems>
    </cacheField>
    <cacheField name="Κωδ. 2ης Ειδικότητας" numFmtId="0">
      <sharedItems containsBlank="1"/>
    </cacheField>
    <cacheField name="2η Ειδικότητα" numFmtId="0">
      <sharedItems containsBlank="1"/>
    </cacheField>
    <cacheField name="Βαθμός" numFmtId="0">
      <sharedItems containsBlank="1"/>
    </cacheField>
    <cacheField name="Μ.Κ." numFmtId="0">
      <sharedItems containsString="0" containsBlank="1" containsNumber="1" containsInteger="1" minValue="1" maxValue="19"/>
    </cacheField>
    <cacheField name="Φεκ. Διορισμού" numFmtId="0">
      <sharedItems containsDate="1" containsBlank="1" containsMixedTypes="1" minDate="1899-12-31T00:00:00" maxDate="1900-01-01T09:01:04"/>
    </cacheField>
    <cacheField name="Ημ/νια Διορισμού" numFmtId="0">
      <sharedItems containsNonDate="0" containsDate="1" containsString="0" containsBlank="1" minDate="1990-09-01T00:00:00" maxDate="2018-12-18T00:00:00"/>
    </cacheField>
    <cacheField name="Περιοχή Μετάθεσης Εκπ." numFmtId="0">
      <sharedItems containsBlank="1"/>
    </cacheField>
    <cacheField name="Διεύθυνση Περιοχής Μετάθεσης Εκπ." numFmtId="0">
      <sharedItems containsBlank="1"/>
    </cacheField>
    <cacheField name="Περιφέρεια Περιοχής Μετάθεσης Εκπ." numFmtId="0">
      <sharedItems containsBlank="1"/>
    </cacheField>
    <cacheField name="Υποχ. Ωράριο" numFmtId="0">
      <sharedItems containsString="0" containsBlank="1" containsNumber="1" containsInteger="1" minValue="1" maxValue="236"/>
    </cacheField>
    <cacheField name="Αυτοδίκαιη Αποχώρηση (Μέχρι και 31/8)" numFmtId="0">
      <sharedItems containsBlank="1"/>
    </cacheField>
    <cacheField name="Πρόθεση Παραίτησης (μέχρι και 30/4)" numFmtId="0">
      <sharedItems containsBlank="1"/>
    </cacheField>
    <cacheField name="Έλαβε Μετάθεση" numFmtId="0">
      <sharedItems containsBlank="1"/>
    </cacheField>
    <cacheField name="Υπερ-5ετής Απόσπαση σε σχολείο εξωτερικού" numFmtId="0">
      <sharedItems containsBlank="1"/>
    </cacheField>
    <cacheField name="5ής Θητεία σε ΠΠΣ" numFmtId="0">
      <sharedItems containsBlank="1"/>
    </cacheField>
    <cacheField name="Λήξη Θητείας σε ΠΠΣ" numFmtId="0">
      <sharedItems containsNonDate="0" containsString="0" containsBlank="1"/>
    </cacheField>
    <cacheField name="Ημερομηνία Πρώτης Ανάληψης Υπηρεσίας" numFmtId="0">
      <sharedItems containsNonDate="0" containsDate="1" containsString="0" containsBlank="1" minDate="1984-02-10T00:00:00" maxDate="2018-12-18T00:00:00"/>
    </cacheField>
    <cacheField name="Είδος Σχολείου" numFmtId="0">
      <sharedItems containsBlank="1"/>
    </cacheField>
    <cacheField name="Τύπος Σχολείου" numFmtId="0">
      <sharedItems containsBlank="1" count="9">
        <s v="Ιδιωτικό Γυμνάσιο"/>
        <s v="Ιδιωτικό Δημοτικό Σχολείο"/>
        <s v="Ιδιωτικό Νηπιαγωγείο"/>
        <s v="Ιδιωτικό Λύκειο"/>
        <s v="Ιδιωτικό Ημερήσιο ΕΠΑΛ"/>
        <m/>
        <s v="Ενιαίου Τύπου Ολοήμερο Δημοτικό Σχολείο"/>
        <s v="Ιδιωτικό Εσπερινό ΕΠΑΛ"/>
        <s v="Ιδιωτικό Εσπερινό Λύκειο"/>
      </sharedItems>
    </cacheField>
    <cacheField name="Μονάδα Οργανικής/Προσωρινής Τοποθέτησης" numFmtId="0">
      <sharedItems containsBlank="1"/>
    </cacheField>
    <cacheField name="Ονομασία" numFmtId="0">
      <sharedItems containsBlank="1"/>
    </cacheField>
    <cacheField name="Περιοχή Μετάθεσης Μονάδας Οργανικής/Προσωρινής" numFmtId="0">
      <sharedItems containsBlank="1"/>
    </cacheField>
    <cacheField name="Διεύθυνση Περιοχής Μετάθεσης Μονάδας Οργανικής/Προσωρινής" numFmtId="0">
      <sharedItems containsBlank="1" count="73">
        <s v="ΔΙΕΥΘΥΝΣΗ Δ.Ε. Β΄ ΑΘΗΝΑΣ"/>
        <s v="ΔΙΕΥΘΥΝΣΗ Π.Ε. Δ΄ ΑΘΗΝΑΣ"/>
        <s v="ΔΙΕΥΘΥΝΣΗ Π.Ε. ΚΥΚΛΑΔΩΝ"/>
        <s v="ΔΙΕΥΘΥΝΣΗ Δ.Ε. Α΄ ΑΘΗΝΑΣ"/>
        <s v="ΔΙΕΥΘΥΝΣΗ Δ.Ε. ΜΕΣΣΗΝΙΑΣ"/>
        <s v="ΔΙΕΥΘΥΝΣΗ Π.Ε. ΔΩΔΕΚΑΝΗΣΟΥ"/>
        <s v="ΔΙΕΥΘΥΝΣΗ Δ.Ε. ΧΑΝΙΩΝ"/>
        <s v="ΔΙΕΥΘΥΝΣΗ Π.Ε. ΧΑΝΙΩΝ"/>
        <s v="ΔΙΕΥΘΥΝΣΗ Π.Ε. ΤΡΙΚΑΛΩΝ"/>
        <s v="ΔΙΕΥΘΥΝΣΗ Π.Ε. ΑΝΑΤ. ΘΕΣ/ΝΙΚΗΣ"/>
        <s v="ΔΙΕΥΘΥΝΣΗ Π.Ε. ΠΙΕΡΙΑΣ"/>
        <s v="ΔΙΕΥΘΥΝΣΗ Π.Ε. Β΄ ΑΘΗΝΑΣ"/>
        <s v="ΔΙΕΥΘΥΝΣΗ Π.Ε. ΧΙΟΥ"/>
        <s v="ΔΙΕΥΘΥΝΣΗ Π.Ε. ΜΑΓΝΗΣΙΑΣ"/>
        <s v="ΔΙΕΥΘΥΝΣΗ Δ.Ε. ΜΑΓΝΗΣΙΑΣ"/>
        <s v="ΔΙΕΥΘΥΝΣΗ Π.Ε. ΠΕΙΡΑΙΑ"/>
        <s v="ΔΙΕΥΘΥΝΣΗ Δ.Ε. ΧΙΟΥ"/>
        <s v="ΔΙΕΥΘΥΝΣΗ Δ.Ε. ΙΩΑΝΝΙΝΩΝ"/>
        <s v="ΔΙΕΥΘΥΝΣΗ Π.Ε. ΚΕΡΚΥΡΑΣ"/>
        <s v="ΔΙΕΥΘΥΝΣΗ Π.Ε. ΛΑΡΙΣΑΣ"/>
        <s v="ΔΙΕΥΘΥΝΣΗ Π.Ε. ΡΟΔΟΠΗΣ"/>
        <s v="ΔΙΕΥΘΥΝΣΗ Π.Ε. ΞΑΝΘΗΣ"/>
        <s v="ΔΙΕΥΘΥΝΣΗ Π.Ε. ΚΟΡΙΝΘΙΑΣ"/>
        <s v="ΔΙΕΥΘΥΝΣΗ Π.Ε. ΑΧΑΪΑΣ"/>
        <s v="ΔΙΕΥΘΥΝΣΗ Π.Ε. ΚΟΖΑΝΗΣ"/>
        <s v="ΔΙΕΥΘΥΝΣΗ Π.Ε. ΣΕΡΡΩΝ"/>
        <s v="ΔΙΕΥΘΥΝΣΗ Π.Ε. ΔΥΤΙΚΗΣ ΑΤΤΙΚΗΣ"/>
        <s v="ΔΙΕΥΘΥΝΣΗ Π.Ε. ΑΝΑΤΟΛΙΚΗΣ ΑΤΤΙΚΗΣ"/>
        <s v="ΔΙΕΥΘΥΝΣΗ Π.Ε. ΑΙΤΩΛΟΑΚΑΡΝΑΝΙΑΣ"/>
        <s v="ΔΙΕΥΘΥΝΣΗ Π.Ε. ΔΥΤ. ΘΕΣ/ΝΙΚΗΣ"/>
        <s v="ΔΙΕΥΘΥΝΣΗ Δ.Ε. ΠΙΕΡΙΑΣ"/>
        <s v="ΔΙΕΥΘΥΝΣΗ Π.Ε. ΕΥΒΟΙΑΣ"/>
        <s v="ΔΙΕΥΘΥΝΣΗ Π.Ε. ΑΡΓΟΛΙΔΑΣ"/>
        <s v="ΔΙΕΥΘΥΝΣΗ Π.Ε. Α΄ ΑΘΗΝΑΣ"/>
        <s v="ΔΙΕΥΘΥΝΣΗ Π.Ε. ΙΩΑΝΝΙΝΩΝ"/>
        <s v="ΔΙΕΥΘΥΝΣΗ Δ.Ε. ΑΙΤΩΛΟΑΚΑΡΝΑΝΙΑΣ"/>
        <s v="ΔΙΕΥΘΥΝΣΗ Δ.Ε. ΔΩΔΕΚΑΝΗΣΟΥ"/>
        <s v="ΔΙΕΥΘΥΝΣΗ Δ.Ε. ΔΥΤ. ΘΕΣ/ΝΙΚΗΣ"/>
        <s v="ΔΙΕΥΘΥΝΣΗ Π.Ε. ΗΡΑΚΛΕΙΟΥ"/>
        <s v="ΔΙΕΥΘΥΝΣΗ Δ.Ε. ΚΟΡΙΝΘΙΑΣ"/>
        <s v="ΔΙΕΥΘΥΝΣΗ Π.Ε. ΜΕΣΣΗΝΙΑΣ"/>
        <s v="ΔΙΕΥΘΥΝΣΗ Δ.Ε. ΑΝΑΤ. ΘΕΣ/ΝΙΚΗΣ"/>
        <s v="ΔΙΕΥΘΥΝΣΗ Δ.Ε. Γ΄ ΑΘΗΝΑΣ"/>
        <s v="ΔΙΕΥΘΥΝΣΗ Δ.Ε. ΠΕΙΡΑΙΑ"/>
        <s v="ΔΙΕΥΘΥΝΣΗ Δ.Ε. ΛΑΡΙΣΑΣ"/>
        <s v="ΔΙΕΥΘΥΝΣΗ Π.Ε. ΚΑΒΑΛΑΣ"/>
        <s v="ΔΙΕΥΘΥΝΣΗ Π.Ε. ΠΕΛΛΑΣ"/>
        <s v="ΔΙΕΥΘΥΝΣΗ Δ.Ε. ΑΝΑΤΟΛΙΚΗΣ ΑΤΤΙΚΗΣ"/>
        <s v="ΔΙΕΥΘΥΝΣΗ Π.Ε. ΗΛΕΙΑΣ"/>
        <s v="ΔΙΕΥΘΥΝΣΗ Π.Ε. ΦΘΙΩΤΙΔΑΣ"/>
        <s v="ΔΙΕΥΘΥΝΣΗ Δ.Ε. Δ΄ ΑΘΗΝΑΣ"/>
        <s v="ΔΙΕΥΘΥΝΣΗ Π.Ε. ΚΑΣΤΟΡΙΑΣ"/>
        <s v="ΔΙΕΥΘΥΝΣΗ Π.Ε. ΛΑΚΩΝΙΑΣ"/>
        <s v="ΔΙΕΥΘΥΝΣΗ Δ.Ε. ΑΧΑΪΑΣ"/>
        <s v="ΔΙΕΥΘΥΝΣΗ Δ.Ε. ΞΑΝΘΗΣ"/>
        <s v="ΔΙΕΥΘΥΝΣΗ Π.Ε. ΕΒΡΟΥ"/>
        <s v="ΔΙΕΥΘΥΝΣΗ Δ.Ε. ΚΥΚΛΑΔΩΝ"/>
        <s v="ΔΙΕΥΘΥΝΣΗ Π.Ε. ΔΡΑΜΑΣ"/>
        <s v="ΔΙΕΥΘΥΝΣΗ Δ.Ε. ΤΡΙΚΑΛΩΝ"/>
        <s v="ΔΙΕΥΘΥΝΣΗ Π.Ε. Γ΄ ΑΘΗΝΑΣ"/>
        <s v="ΔΙΕΥΘΥΝΣΗ Δ.Ε. ΣΕΡΡΩΝ"/>
        <s v="ΔΙΕΥΘΥΝΣΗ Δ.Ε. ΑΡΓΟΛΙΔΑΣ"/>
        <s v="ΔΙΕΥΘΥΝΣΗ Π.Ε. ΡΕΘΥΜΝΟΥ"/>
        <s v="ΔΙΕΥΘΥΝΣΗ Π.Ε. ΒΟΙΩΤΙΑΣ"/>
        <s v="ΔΙΕΥΘΥΝΣΗ Π.Ε. ΛΕΣΒΟΥ"/>
        <s v="ΔΙΕΥΘΥΝΣΗ Δ.Ε. ΗΡΑΚΛΕΙΟΥ"/>
        <s v="ΔΙΕΥΘΥΝΣΗ Π.Ε. ΚΑΡΔΙΤΣΑΣ"/>
        <s v="ΔΙΕΥΘΥΝΣΗ Π.Ε. ΑΡΤΑΣ"/>
        <s v="ΔΙΕΥΘΥΝΣΗ Π.Ε. ΠΡΕΒΕΖΑΣ"/>
        <s v="ΔΙΕΥΘΥΝΣΗ Π.Ε. ΚΕΦΑΛΛΗΝΙΑΣ"/>
        <s v="ΔΙΕΥΘΥΝΣΗ Π.Ε. ΗΜΑΘΙΑΣ"/>
        <s v="ΔΙΕΥΘΥΝΣΗ Π.Ε. ΘΕΣΠΡΩΤΙΑΣ"/>
        <m/>
      </sharedItems>
    </cacheField>
    <cacheField name="Περιφέρεια Περιοχής Μετάθεσης Μονάδας Οργανικής/Προσωρινής" numFmtId="0">
      <sharedItems containsBlank="1"/>
    </cacheField>
    <cacheField name="Σχέση Εργασίας" numFmtId="0">
      <sharedItems containsBlank="1"/>
    </cacheField>
    <cacheField name="Σχέση Τοποθέτησης" numFmtId="0">
      <sharedItems containsBlank="1"/>
    </cacheField>
    <cacheField name="Ημ/νια Γέννησης" numFmtId="0">
      <sharedItems containsNonDate="0" containsDate="1" containsString="0" containsBlank="1" minDate="1899-12-31T00:00:00" maxDate="2018-09-02T00:00:00"/>
    </cacheField>
    <cacheField name="Βαθμίδα Εκπαιδευτικού" numFmtId="0">
      <sharedItems containsString="0" containsBlank="1" containsNumber="1" containsInteger="1" minValue="1" maxValue="2" count="3">
        <n v="2"/>
        <n v="1"/>
        <m/>
      </sharedItems>
    </cacheField>
    <cacheField name="Θέση Προσωπικού Φακέλου" numFmtId="0">
      <sharedItems containsBlank="1"/>
    </cacheField>
    <cacheField name="Ηλικία" numFmtId="1">
      <sharedItems containsString="0" containsBlank="1" containsNumber="1" minValue="0.31388888888888888" maxValue="120.71388888888889"/>
    </cacheField>
    <cacheField name="Ηλικιακη Ομάδα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Ευστρατιος Χουρδακης" refreshedDate="43461.612380787039" createdVersion="4" refreshedVersion="4" minRefreshableVersion="3" recordCount="5688">
  <cacheSource type="worksheet">
    <worksheetSource ref="A1:AB1048576" sheet="DATA_1"/>
  </cacheSource>
  <cacheFields count="28">
    <cacheField name="KLEIDI" numFmtId="0">
      <sharedItems containsString="0" containsBlank="1" containsNumber="1" containsInteger="1" minValue="99910001" maxValue="99915687" count="5688">
        <n v="99910001"/>
        <n v="99910002"/>
        <n v="99910003"/>
        <n v="99910004"/>
        <n v="99910005"/>
        <n v="99910006"/>
        <n v="99910007"/>
        <n v="99910008"/>
        <n v="99910009"/>
        <n v="99910010"/>
        <n v="99910011"/>
        <n v="99910012"/>
        <n v="99910013"/>
        <n v="99910014"/>
        <n v="99910015"/>
        <n v="99910016"/>
        <n v="99910017"/>
        <n v="99910018"/>
        <n v="99910019"/>
        <n v="99910020"/>
        <n v="99910021"/>
        <n v="99910022"/>
        <n v="99910023"/>
        <n v="99910024"/>
        <n v="99910025"/>
        <n v="99910026"/>
        <n v="99910027"/>
        <n v="99910028"/>
        <n v="99910029"/>
        <n v="99910030"/>
        <n v="99910031"/>
        <n v="99910032"/>
        <n v="99910033"/>
        <n v="99910034"/>
        <n v="99910035"/>
        <n v="99910036"/>
        <n v="99910037"/>
        <n v="99910038"/>
        <n v="99910039"/>
        <n v="99910040"/>
        <n v="99910041"/>
        <n v="99910042"/>
        <n v="99910043"/>
        <n v="99910044"/>
        <n v="99910045"/>
        <n v="99910046"/>
        <n v="99910047"/>
        <n v="99910048"/>
        <n v="99910049"/>
        <n v="99910050"/>
        <n v="99910051"/>
        <n v="99910052"/>
        <n v="99910053"/>
        <n v="99910054"/>
        <n v="99910055"/>
        <n v="99910056"/>
        <n v="99910057"/>
        <n v="99910058"/>
        <n v="99910059"/>
        <n v="99910060"/>
        <n v="99910061"/>
        <n v="99910062"/>
        <n v="99910063"/>
        <n v="99910064"/>
        <n v="99910065"/>
        <n v="99910066"/>
        <n v="99910067"/>
        <n v="99910068"/>
        <n v="99910069"/>
        <n v="99910070"/>
        <n v="99910071"/>
        <n v="99910072"/>
        <n v="99910073"/>
        <n v="99910074"/>
        <n v="99910075"/>
        <n v="99910076"/>
        <n v="99910077"/>
        <n v="99910078"/>
        <n v="99910079"/>
        <n v="99910080"/>
        <n v="99910081"/>
        <n v="99910082"/>
        <n v="99910083"/>
        <n v="99910084"/>
        <n v="99910085"/>
        <n v="99910086"/>
        <n v="99910087"/>
        <n v="99910088"/>
        <n v="99910089"/>
        <n v="99910090"/>
        <n v="99910091"/>
        <n v="99910092"/>
        <n v="99910093"/>
        <n v="99910094"/>
        <n v="99910095"/>
        <n v="99910096"/>
        <n v="99910097"/>
        <n v="99910098"/>
        <n v="99910099"/>
        <n v="99910100"/>
        <n v="99910101"/>
        <n v="99910102"/>
        <n v="99910103"/>
        <n v="99910104"/>
        <n v="99910105"/>
        <n v="99910106"/>
        <n v="99910107"/>
        <n v="99910108"/>
        <n v="99910109"/>
        <n v="99910110"/>
        <n v="99910111"/>
        <n v="99910112"/>
        <n v="99910113"/>
        <n v="99910114"/>
        <n v="99910115"/>
        <n v="99910116"/>
        <n v="99910117"/>
        <n v="99910118"/>
        <n v="99910119"/>
        <n v="99910120"/>
        <n v="99910121"/>
        <n v="99910122"/>
        <n v="99910123"/>
        <n v="99910124"/>
        <n v="99910125"/>
        <n v="99910126"/>
        <n v="99910127"/>
        <n v="99910128"/>
        <n v="99910129"/>
        <n v="99910130"/>
        <n v="99910131"/>
        <n v="99910132"/>
        <n v="99910133"/>
        <n v="99910134"/>
        <n v="99910135"/>
        <n v="99910136"/>
        <n v="99910137"/>
        <n v="99910138"/>
        <n v="99910139"/>
        <n v="99910140"/>
        <n v="99910141"/>
        <n v="99910142"/>
        <n v="99910143"/>
        <n v="99910144"/>
        <n v="99910145"/>
        <n v="99910146"/>
        <n v="99910147"/>
        <n v="99910148"/>
        <n v="99910149"/>
        <n v="99910150"/>
        <n v="99910151"/>
        <n v="99910152"/>
        <n v="99910153"/>
        <n v="99910154"/>
        <n v="99910155"/>
        <n v="99910156"/>
        <n v="99910157"/>
        <n v="99910158"/>
        <n v="99910159"/>
        <n v="99910160"/>
        <n v="99910161"/>
        <n v="99910162"/>
        <n v="99910163"/>
        <n v="99910164"/>
        <n v="99910165"/>
        <n v="99910166"/>
        <n v="99910167"/>
        <n v="99910168"/>
        <n v="99910169"/>
        <n v="99910170"/>
        <n v="99910171"/>
        <n v="99910172"/>
        <n v="99910173"/>
        <n v="99910174"/>
        <n v="99910175"/>
        <n v="99910176"/>
        <n v="99910177"/>
        <n v="99910178"/>
        <n v="99910179"/>
        <n v="99910180"/>
        <n v="99910181"/>
        <n v="99910182"/>
        <n v="99910183"/>
        <n v="99910184"/>
        <n v="99910185"/>
        <n v="99910186"/>
        <n v="99910187"/>
        <n v="99910188"/>
        <n v="99910189"/>
        <n v="99910190"/>
        <n v="99910191"/>
        <n v="99910192"/>
        <n v="99910193"/>
        <n v="99910194"/>
        <n v="99910195"/>
        <n v="99910196"/>
        <n v="99910197"/>
        <n v="99910198"/>
        <n v="99910199"/>
        <n v="99910200"/>
        <n v="99910201"/>
        <n v="99910202"/>
        <n v="99910203"/>
        <n v="99910204"/>
        <n v="99910205"/>
        <n v="99910206"/>
        <n v="99910207"/>
        <n v="99910208"/>
        <n v="99910209"/>
        <n v="99910210"/>
        <n v="99910211"/>
        <n v="99910212"/>
        <n v="99910213"/>
        <n v="99910214"/>
        <n v="99910215"/>
        <n v="99910216"/>
        <n v="99910217"/>
        <n v="99910218"/>
        <n v="99910219"/>
        <n v="99910220"/>
        <n v="99910221"/>
        <n v="99910222"/>
        <n v="99910223"/>
        <n v="99910224"/>
        <n v="99910225"/>
        <n v="99910226"/>
        <n v="99910227"/>
        <n v="99910228"/>
        <n v="99910229"/>
        <n v="99910230"/>
        <n v="99910231"/>
        <n v="99910232"/>
        <n v="99910233"/>
        <n v="99910234"/>
        <n v="99910235"/>
        <n v="99910236"/>
        <n v="99910237"/>
        <n v="99910238"/>
        <n v="99910239"/>
        <n v="99910240"/>
        <n v="99910241"/>
        <n v="99910242"/>
        <n v="99910243"/>
        <n v="99910244"/>
        <n v="99910245"/>
        <n v="99910246"/>
        <n v="99910247"/>
        <n v="99910248"/>
        <n v="99910249"/>
        <n v="99910250"/>
        <n v="99910251"/>
        <n v="99910252"/>
        <n v="99910253"/>
        <n v="99910254"/>
        <n v="99910255"/>
        <n v="99910256"/>
        <n v="99910257"/>
        <n v="99910258"/>
        <n v="99910259"/>
        <n v="99910260"/>
        <n v="99910261"/>
        <n v="99910262"/>
        <n v="99910263"/>
        <n v="99910264"/>
        <n v="99910265"/>
        <n v="99910266"/>
        <n v="99910267"/>
        <n v="99910268"/>
        <n v="99910269"/>
        <n v="99910270"/>
        <n v="99910271"/>
        <n v="99910272"/>
        <n v="99910273"/>
        <n v="99910274"/>
        <n v="99910275"/>
        <n v="99910276"/>
        <n v="99910277"/>
        <n v="99910278"/>
        <n v="99910279"/>
        <n v="99910280"/>
        <n v="99910281"/>
        <n v="99910282"/>
        <n v="99910283"/>
        <n v="99910284"/>
        <n v="99910285"/>
        <n v="99910286"/>
        <n v="99910287"/>
        <n v="99910288"/>
        <n v="99910289"/>
        <n v="99910290"/>
        <n v="99910291"/>
        <n v="99910292"/>
        <n v="99910293"/>
        <n v="99910294"/>
        <n v="99910295"/>
        <n v="99910296"/>
        <n v="99910297"/>
        <n v="99910298"/>
        <n v="99910299"/>
        <n v="99910300"/>
        <n v="99910301"/>
        <n v="99910302"/>
        <n v="99910303"/>
        <n v="99910304"/>
        <n v="99910305"/>
        <n v="99910306"/>
        <n v="99910307"/>
        <n v="99910308"/>
        <n v="99910309"/>
        <n v="99910310"/>
        <n v="99910311"/>
        <n v="99910312"/>
        <n v="99910313"/>
        <n v="99910314"/>
        <n v="99910315"/>
        <n v="99910316"/>
        <n v="99910317"/>
        <n v="99910318"/>
        <n v="99910319"/>
        <n v="99910320"/>
        <n v="99910321"/>
        <n v="99910322"/>
        <n v="99910323"/>
        <n v="99910324"/>
        <n v="99910325"/>
        <n v="99910326"/>
        <n v="99910327"/>
        <n v="99910328"/>
        <n v="99910329"/>
        <n v="99910330"/>
        <n v="99910331"/>
        <n v="99910332"/>
        <n v="99910333"/>
        <n v="99910334"/>
        <n v="99910335"/>
        <n v="99910336"/>
        <n v="99910337"/>
        <n v="99910338"/>
        <n v="99910339"/>
        <n v="99910340"/>
        <n v="99910341"/>
        <n v="99910342"/>
        <n v="99910343"/>
        <n v="99910344"/>
        <n v="99910345"/>
        <n v="99910346"/>
        <n v="99910347"/>
        <n v="99910348"/>
        <n v="99910349"/>
        <n v="99910350"/>
        <n v="99910351"/>
        <n v="99910352"/>
        <n v="99910353"/>
        <n v="99910354"/>
        <n v="99910355"/>
        <n v="99910356"/>
        <n v="99910357"/>
        <n v="99910358"/>
        <n v="99910359"/>
        <n v="99910360"/>
        <n v="99910361"/>
        <n v="99910362"/>
        <n v="99910363"/>
        <n v="99910364"/>
        <n v="99910365"/>
        <n v="99910366"/>
        <n v="99910367"/>
        <n v="99910368"/>
        <n v="99910369"/>
        <n v="99910370"/>
        <n v="99910371"/>
        <n v="99910372"/>
        <n v="99910373"/>
        <n v="99910374"/>
        <n v="99910375"/>
        <n v="99910376"/>
        <n v="99910377"/>
        <n v="99910378"/>
        <n v="99910379"/>
        <n v="99910380"/>
        <n v="99910381"/>
        <n v="99910382"/>
        <n v="99910383"/>
        <n v="99910384"/>
        <n v="99910385"/>
        <n v="99910386"/>
        <n v="99910387"/>
        <n v="99910388"/>
        <n v="99910389"/>
        <n v="99910390"/>
        <n v="99910391"/>
        <n v="99910392"/>
        <n v="99910393"/>
        <n v="99910394"/>
        <n v="99910395"/>
        <n v="99910396"/>
        <n v="99910397"/>
        <n v="99910398"/>
        <n v="99910399"/>
        <n v="99910400"/>
        <n v="99910401"/>
        <n v="99910402"/>
        <n v="99910403"/>
        <n v="99910404"/>
        <n v="99910405"/>
        <n v="99910406"/>
        <n v="99910407"/>
        <n v="99910408"/>
        <n v="99910409"/>
        <n v="99910410"/>
        <n v="99910411"/>
        <n v="99910412"/>
        <n v="99910413"/>
        <n v="99910414"/>
        <n v="99910415"/>
        <n v="99910416"/>
        <n v="99910417"/>
        <n v="99910418"/>
        <n v="99910419"/>
        <n v="99910420"/>
        <n v="99910421"/>
        <n v="99910422"/>
        <n v="99910423"/>
        <n v="99910424"/>
        <n v="99910425"/>
        <n v="99910426"/>
        <n v="99910427"/>
        <n v="99910428"/>
        <n v="99910429"/>
        <n v="99910430"/>
        <n v="99910431"/>
        <n v="99910432"/>
        <n v="99910433"/>
        <n v="99910434"/>
        <n v="99910435"/>
        <n v="99910436"/>
        <n v="99910437"/>
        <n v="99910438"/>
        <n v="99910439"/>
        <n v="99910440"/>
        <n v="99910441"/>
        <n v="99910442"/>
        <n v="99910443"/>
        <n v="99910444"/>
        <n v="99910445"/>
        <n v="99910446"/>
        <n v="99910447"/>
        <n v="99910448"/>
        <n v="99910449"/>
        <n v="99910450"/>
        <n v="99910451"/>
        <n v="99910452"/>
        <n v="99910453"/>
        <n v="99910454"/>
        <n v="99910455"/>
        <n v="99910456"/>
        <n v="99910457"/>
        <n v="99910458"/>
        <n v="99910459"/>
        <n v="99910460"/>
        <n v="99910461"/>
        <n v="99910462"/>
        <n v="99910463"/>
        <n v="99910464"/>
        <n v="99910465"/>
        <n v="99910466"/>
        <n v="99910467"/>
        <n v="99910468"/>
        <n v="99910469"/>
        <n v="99910470"/>
        <n v="99910471"/>
        <n v="99910472"/>
        <n v="99910473"/>
        <n v="99910474"/>
        <n v="99910475"/>
        <n v="99910476"/>
        <n v="99910477"/>
        <n v="99910478"/>
        <n v="99910479"/>
        <n v="99910480"/>
        <n v="99910481"/>
        <n v="99910482"/>
        <n v="99910483"/>
        <n v="99910484"/>
        <n v="99910485"/>
        <n v="99910486"/>
        <n v="99910487"/>
        <n v="99910488"/>
        <n v="99910489"/>
        <n v="99910490"/>
        <n v="99910491"/>
        <n v="99910492"/>
        <n v="99910493"/>
        <n v="99910494"/>
        <n v="99910495"/>
        <n v="99910496"/>
        <n v="99910497"/>
        <n v="99910498"/>
        <n v="99910499"/>
        <n v="99910500"/>
        <n v="99910501"/>
        <n v="99910502"/>
        <n v="99910503"/>
        <n v="99910504"/>
        <n v="99910505"/>
        <n v="99910506"/>
        <n v="99910507"/>
        <n v="99910508"/>
        <n v="99910509"/>
        <n v="99910510"/>
        <n v="99910511"/>
        <n v="99910512"/>
        <n v="99910513"/>
        <n v="99910514"/>
        <n v="99910515"/>
        <n v="99910516"/>
        <n v="99910517"/>
        <n v="99910518"/>
        <n v="99910519"/>
        <n v="99910520"/>
        <n v="99910521"/>
        <n v="99910522"/>
        <n v="99910523"/>
        <n v="99910524"/>
        <n v="99910525"/>
        <n v="99910526"/>
        <n v="99910527"/>
        <n v="99910528"/>
        <n v="99910529"/>
        <n v="99910530"/>
        <n v="99910531"/>
        <n v="99910532"/>
        <n v="99910533"/>
        <n v="99910534"/>
        <n v="99910535"/>
        <n v="99910536"/>
        <n v="99910537"/>
        <n v="99910538"/>
        <n v="99910539"/>
        <n v="99910540"/>
        <n v="99910541"/>
        <n v="99910542"/>
        <n v="99910543"/>
        <n v="99910544"/>
        <n v="99910545"/>
        <n v="99910546"/>
        <n v="99910547"/>
        <n v="99910548"/>
        <n v="99910549"/>
        <n v="99910550"/>
        <n v="99910551"/>
        <n v="99910552"/>
        <n v="99910553"/>
        <n v="99910554"/>
        <n v="99910555"/>
        <n v="99910556"/>
        <n v="99910557"/>
        <n v="99910558"/>
        <n v="99910559"/>
        <n v="99910560"/>
        <n v="99910561"/>
        <n v="99910562"/>
        <n v="99910563"/>
        <n v="99910564"/>
        <n v="99910565"/>
        <n v="99910566"/>
        <n v="99910567"/>
        <n v="99910568"/>
        <n v="99910569"/>
        <n v="99910570"/>
        <n v="99910571"/>
        <n v="99910572"/>
        <n v="99910573"/>
        <n v="99910574"/>
        <n v="99910575"/>
        <n v="99910576"/>
        <n v="99910577"/>
        <n v="99910578"/>
        <n v="99910579"/>
        <n v="99910580"/>
        <n v="99910581"/>
        <n v="99910582"/>
        <n v="99910583"/>
        <n v="99910584"/>
        <n v="99910585"/>
        <n v="99910586"/>
        <n v="99910587"/>
        <n v="99910588"/>
        <n v="99910589"/>
        <n v="99910590"/>
        <n v="99910591"/>
        <n v="99910592"/>
        <n v="99910593"/>
        <n v="99910594"/>
        <n v="99910595"/>
        <n v="99910596"/>
        <n v="99910597"/>
        <n v="99910598"/>
        <n v="99910599"/>
        <n v="99910600"/>
        <n v="99910601"/>
        <n v="99910602"/>
        <n v="99910603"/>
        <n v="99910604"/>
        <n v="99910605"/>
        <n v="99910606"/>
        <n v="99910607"/>
        <n v="99910608"/>
        <n v="99910609"/>
        <n v="99910610"/>
        <n v="99910611"/>
        <n v="99910612"/>
        <n v="99910613"/>
        <n v="99910614"/>
        <n v="99910615"/>
        <n v="99910616"/>
        <n v="99910617"/>
        <n v="99910618"/>
        <n v="99910619"/>
        <n v="99910620"/>
        <n v="99910621"/>
        <n v="99910622"/>
        <n v="99910623"/>
        <n v="99910624"/>
        <n v="99910625"/>
        <n v="99910626"/>
        <n v="99910627"/>
        <n v="99910628"/>
        <n v="99910629"/>
        <n v="99910630"/>
        <n v="99910631"/>
        <n v="99910632"/>
        <n v="99910633"/>
        <n v="99910634"/>
        <n v="99910635"/>
        <n v="99910636"/>
        <n v="99910637"/>
        <n v="99910638"/>
        <n v="99910639"/>
        <n v="99910640"/>
        <n v="99910641"/>
        <n v="99910642"/>
        <n v="99910643"/>
        <n v="99910644"/>
        <n v="99910645"/>
        <n v="99910646"/>
        <n v="99910647"/>
        <n v="99910648"/>
        <n v="99910649"/>
        <n v="99910650"/>
        <n v="99910651"/>
        <n v="99910652"/>
        <n v="99910653"/>
        <n v="99910654"/>
        <n v="99910655"/>
        <n v="99910656"/>
        <n v="99910657"/>
        <n v="99910658"/>
        <n v="99910659"/>
        <n v="99910660"/>
        <n v="99910661"/>
        <n v="99910662"/>
        <n v="99910663"/>
        <n v="99910664"/>
        <n v="99910665"/>
        <n v="99910666"/>
        <n v="99910667"/>
        <n v="99910668"/>
        <n v="99910669"/>
        <n v="99910670"/>
        <n v="99910671"/>
        <n v="99910672"/>
        <n v="99910673"/>
        <n v="99910674"/>
        <n v="99910675"/>
        <n v="99910676"/>
        <n v="99910677"/>
        <n v="99910678"/>
        <n v="99910679"/>
        <n v="99910680"/>
        <n v="99910681"/>
        <n v="99910682"/>
        <n v="99910683"/>
        <n v="99910684"/>
        <n v="99910685"/>
        <n v="99910686"/>
        <n v="99910687"/>
        <n v="99910688"/>
        <n v="99910689"/>
        <n v="99910690"/>
        <n v="99910691"/>
        <n v="99910692"/>
        <n v="99910693"/>
        <n v="99910694"/>
        <n v="99910695"/>
        <n v="99910696"/>
        <n v="99910697"/>
        <n v="99910698"/>
        <n v="99910699"/>
        <n v="99910700"/>
        <n v="99910701"/>
        <n v="99910702"/>
        <n v="99910703"/>
        <n v="99910704"/>
        <n v="99910705"/>
        <n v="99910706"/>
        <n v="99910707"/>
        <n v="99910708"/>
        <n v="99910709"/>
        <n v="99910710"/>
        <n v="99910711"/>
        <n v="99910712"/>
        <n v="99910713"/>
        <n v="99910714"/>
        <n v="99910715"/>
        <n v="99910716"/>
        <n v="99910717"/>
        <n v="99910718"/>
        <n v="99910719"/>
        <n v="99910720"/>
        <n v="99910721"/>
        <n v="99910722"/>
        <n v="99910723"/>
        <n v="99910724"/>
        <n v="99910725"/>
        <n v="99910726"/>
        <n v="99910727"/>
        <n v="99910728"/>
        <n v="99910729"/>
        <n v="99910730"/>
        <n v="99910731"/>
        <n v="99910732"/>
        <n v="99910733"/>
        <n v="99910734"/>
        <n v="99910735"/>
        <n v="99910736"/>
        <n v="99910737"/>
        <n v="99910738"/>
        <n v="99910739"/>
        <n v="99910740"/>
        <n v="99910741"/>
        <n v="99910742"/>
        <n v="99910743"/>
        <n v="99910744"/>
        <n v="99910745"/>
        <n v="99910746"/>
        <n v="99910747"/>
        <n v="99910748"/>
        <n v="99910749"/>
        <n v="99910750"/>
        <n v="99910751"/>
        <n v="99910752"/>
        <n v="99910753"/>
        <n v="99910754"/>
        <n v="99910755"/>
        <n v="99910756"/>
        <n v="99910757"/>
        <n v="99910758"/>
        <n v="99910759"/>
        <n v="99910760"/>
        <n v="99910761"/>
        <n v="99910762"/>
        <n v="99910763"/>
        <n v="99910764"/>
        <n v="99910765"/>
        <n v="99910766"/>
        <n v="99910767"/>
        <n v="99910768"/>
        <n v="99910769"/>
        <n v="99910770"/>
        <n v="99910771"/>
        <n v="99910772"/>
        <n v="99910773"/>
        <n v="99910774"/>
        <n v="99910775"/>
        <n v="99910776"/>
        <n v="99910777"/>
        <n v="99910778"/>
        <n v="99910779"/>
        <n v="99910780"/>
        <n v="99910781"/>
        <n v="99910782"/>
        <n v="99910783"/>
        <n v="99910784"/>
        <n v="99910785"/>
        <n v="99910786"/>
        <n v="99910787"/>
        <n v="99910788"/>
        <n v="99910789"/>
        <n v="99910790"/>
        <n v="99910791"/>
        <n v="99910792"/>
        <n v="99910793"/>
        <n v="99910794"/>
        <n v="99910795"/>
        <n v="99910796"/>
        <n v="99910797"/>
        <n v="99910798"/>
        <n v="99910799"/>
        <n v="99910800"/>
        <n v="99910801"/>
        <n v="99910802"/>
        <n v="99910803"/>
        <n v="99910804"/>
        <n v="99910805"/>
        <n v="99910806"/>
        <n v="99910807"/>
        <n v="99910808"/>
        <n v="99910809"/>
        <n v="99910810"/>
        <n v="99910811"/>
        <n v="99910812"/>
        <n v="99910813"/>
        <n v="99910814"/>
        <n v="99910815"/>
        <n v="99910816"/>
        <n v="99910817"/>
        <n v="99910818"/>
        <n v="99910819"/>
        <n v="99910820"/>
        <n v="99910821"/>
        <n v="99910822"/>
        <n v="99910823"/>
        <n v="99910824"/>
        <n v="99910825"/>
        <n v="99910826"/>
        <n v="99910827"/>
        <n v="99910828"/>
        <n v="99910829"/>
        <n v="99910830"/>
        <n v="99910831"/>
        <n v="99910832"/>
        <n v="99910833"/>
        <n v="99910834"/>
        <n v="99910835"/>
        <n v="99910836"/>
        <n v="99910837"/>
        <n v="99910838"/>
        <n v="99910839"/>
        <n v="99910840"/>
        <n v="99910841"/>
        <n v="99910842"/>
        <n v="99910843"/>
        <n v="99910844"/>
        <n v="99910845"/>
        <n v="99910846"/>
        <n v="99910847"/>
        <n v="99910848"/>
        <n v="99910849"/>
        <n v="99910850"/>
        <n v="99910851"/>
        <n v="99910852"/>
        <n v="99910853"/>
        <n v="99910854"/>
        <n v="99910855"/>
        <n v="99910856"/>
        <n v="99910857"/>
        <n v="99910858"/>
        <n v="99910859"/>
        <n v="99910860"/>
        <n v="99910861"/>
        <n v="99910862"/>
        <n v="99910863"/>
        <n v="99910864"/>
        <n v="99910865"/>
        <n v="99910866"/>
        <n v="99910867"/>
        <n v="99910868"/>
        <n v="99910869"/>
        <n v="99910870"/>
        <n v="99910871"/>
        <n v="99910872"/>
        <n v="99910873"/>
        <n v="99910874"/>
        <n v="99910875"/>
        <n v="99910876"/>
        <n v="99910877"/>
        <n v="99910878"/>
        <n v="99910879"/>
        <n v="99910880"/>
        <n v="99910881"/>
        <n v="99910882"/>
        <n v="99910883"/>
        <n v="99910884"/>
        <n v="99910885"/>
        <n v="99910886"/>
        <n v="99910887"/>
        <n v="99910888"/>
        <n v="99910889"/>
        <n v="99910890"/>
        <n v="99910891"/>
        <n v="99910892"/>
        <n v="99910893"/>
        <n v="99910894"/>
        <n v="99910895"/>
        <n v="99910896"/>
        <n v="99910897"/>
        <n v="99910898"/>
        <n v="99910899"/>
        <n v="99910900"/>
        <n v="99910901"/>
        <n v="99910902"/>
        <n v="99910903"/>
        <n v="99910904"/>
        <n v="99910905"/>
        <n v="99910906"/>
        <n v="99910907"/>
        <n v="99910908"/>
        <n v="99910909"/>
        <n v="99910910"/>
        <n v="99910911"/>
        <n v="99910912"/>
        <n v="99910913"/>
        <n v="99910914"/>
        <n v="99910915"/>
        <n v="99910916"/>
        <n v="99910917"/>
        <n v="99910918"/>
        <n v="99910919"/>
        <n v="99910920"/>
        <n v="99910921"/>
        <n v="99910922"/>
        <n v="99910923"/>
        <n v="99910924"/>
        <n v="99910925"/>
        <n v="99910926"/>
        <n v="99910927"/>
        <n v="99910928"/>
        <n v="99910929"/>
        <n v="99910930"/>
        <n v="99910931"/>
        <n v="99910932"/>
        <n v="99910933"/>
        <n v="99910934"/>
        <n v="99910935"/>
        <n v="99910936"/>
        <n v="99910937"/>
        <n v="99910938"/>
        <n v="99910939"/>
        <n v="99910940"/>
        <n v="99910941"/>
        <n v="99910942"/>
        <n v="99910943"/>
        <n v="99910944"/>
        <n v="99910945"/>
        <n v="99910946"/>
        <n v="99910947"/>
        <n v="99910948"/>
        <n v="99910949"/>
        <n v="99910950"/>
        <n v="99910951"/>
        <n v="99910952"/>
        <n v="99910953"/>
        <n v="99910954"/>
        <n v="99910955"/>
        <n v="99910956"/>
        <n v="99910957"/>
        <n v="99910958"/>
        <n v="99910959"/>
        <n v="99910960"/>
        <n v="99910961"/>
        <n v="99910962"/>
        <n v="99910963"/>
        <n v="99910964"/>
        <n v="99910965"/>
        <n v="99910966"/>
        <n v="99910967"/>
        <n v="99910968"/>
        <n v="99910969"/>
        <n v="99910970"/>
        <n v="99910971"/>
        <n v="99910972"/>
        <n v="99910973"/>
        <n v="99910974"/>
        <n v="99910975"/>
        <n v="99910976"/>
        <n v="99910977"/>
        <n v="99910978"/>
        <n v="99910979"/>
        <n v="99910980"/>
        <n v="99910981"/>
        <n v="99910982"/>
        <n v="99910983"/>
        <n v="99910984"/>
        <n v="99910985"/>
        <n v="99910986"/>
        <n v="99910987"/>
        <n v="99910988"/>
        <n v="99910989"/>
        <n v="99910990"/>
        <n v="99910991"/>
        <n v="99910992"/>
        <n v="99910993"/>
        <n v="99910994"/>
        <n v="99910995"/>
        <n v="99910996"/>
        <n v="99910997"/>
        <n v="99910998"/>
        <n v="99910999"/>
        <n v="99911000"/>
        <n v="99911001"/>
        <n v="99911002"/>
        <n v="99911003"/>
        <n v="99911004"/>
        <n v="99911005"/>
        <n v="99911006"/>
        <n v="99911007"/>
        <n v="99911008"/>
        <n v="99911009"/>
        <n v="99911010"/>
        <n v="99911011"/>
        <n v="99911012"/>
        <n v="99911013"/>
        <n v="99911014"/>
        <n v="99911015"/>
        <n v="99911016"/>
        <n v="99911017"/>
        <n v="99911018"/>
        <n v="99911019"/>
        <n v="99911020"/>
        <n v="99911021"/>
        <n v="99911022"/>
        <n v="99911023"/>
        <n v="99911024"/>
        <n v="99911025"/>
        <n v="99911026"/>
        <n v="99911027"/>
        <n v="99911028"/>
        <n v="99911029"/>
        <n v="99911030"/>
        <n v="99911031"/>
        <n v="99911032"/>
        <n v="99911033"/>
        <n v="99911034"/>
        <n v="99911035"/>
        <n v="99911036"/>
        <n v="99911037"/>
        <n v="99911038"/>
        <n v="99911039"/>
        <n v="99911040"/>
        <n v="99911041"/>
        <n v="99911042"/>
        <n v="99911043"/>
        <n v="99911044"/>
        <n v="99911045"/>
        <n v="99911046"/>
        <n v="99911047"/>
        <n v="99911048"/>
        <n v="99911049"/>
        <n v="99911050"/>
        <n v="99911051"/>
        <n v="99911052"/>
        <n v="99911053"/>
        <n v="99911054"/>
        <n v="99911055"/>
        <n v="99911056"/>
        <n v="99911057"/>
        <n v="99911058"/>
        <n v="99911059"/>
        <n v="99911060"/>
        <n v="99911061"/>
        <n v="99911062"/>
        <n v="99911063"/>
        <n v="99911064"/>
        <n v="99911065"/>
        <n v="99911066"/>
        <n v="99911067"/>
        <n v="99911068"/>
        <n v="99911069"/>
        <n v="99911070"/>
        <n v="99911071"/>
        <n v="99911072"/>
        <n v="99911073"/>
        <n v="99911074"/>
        <n v="99911075"/>
        <n v="99911076"/>
        <n v="99911077"/>
        <n v="99911078"/>
        <n v="99911079"/>
        <n v="99911080"/>
        <n v="99911081"/>
        <n v="99911082"/>
        <n v="99911083"/>
        <n v="99911084"/>
        <n v="99911085"/>
        <n v="99911086"/>
        <n v="99911087"/>
        <n v="99911088"/>
        <n v="99911089"/>
        <n v="99911090"/>
        <n v="99911091"/>
        <n v="99911092"/>
        <n v="99911093"/>
        <n v="99911094"/>
        <n v="99911095"/>
        <n v="99911096"/>
        <n v="99911097"/>
        <n v="99911098"/>
        <n v="99911099"/>
        <n v="99911100"/>
        <n v="99911101"/>
        <n v="99911102"/>
        <n v="99911103"/>
        <n v="99911104"/>
        <n v="99911105"/>
        <n v="99911106"/>
        <n v="99911107"/>
        <n v="99911108"/>
        <n v="99911109"/>
        <n v="99911110"/>
        <n v="99911111"/>
        <n v="99911112"/>
        <n v="99911113"/>
        <n v="99911114"/>
        <n v="99911115"/>
        <n v="99911116"/>
        <n v="99911117"/>
        <n v="99911118"/>
        <n v="99911119"/>
        <n v="99911120"/>
        <n v="99911121"/>
        <n v="99911122"/>
        <n v="99911123"/>
        <n v="99911124"/>
        <n v="99911125"/>
        <n v="99911126"/>
        <n v="99911127"/>
        <n v="99911128"/>
        <n v="99911129"/>
        <n v="99911130"/>
        <n v="99911131"/>
        <n v="99911132"/>
        <n v="99911133"/>
        <n v="99911134"/>
        <n v="99911135"/>
        <n v="99911136"/>
        <n v="99911137"/>
        <n v="99911138"/>
        <n v="99911139"/>
        <n v="99911140"/>
        <n v="99911141"/>
        <n v="99911142"/>
        <n v="99911143"/>
        <n v="99911144"/>
        <n v="99911145"/>
        <n v="99911146"/>
        <n v="99911147"/>
        <n v="99911148"/>
        <n v="99911149"/>
        <n v="99911150"/>
        <n v="99911151"/>
        <n v="99911152"/>
        <n v="99911153"/>
        <n v="99911154"/>
        <n v="99911155"/>
        <n v="99911156"/>
        <n v="99911157"/>
        <n v="99911158"/>
        <n v="99911159"/>
        <n v="99911160"/>
        <n v="99911161"/>
        <n v="99911162"/>
        <n v="99911163"/>
        <n v="99911164"/>
        <n v="99911165"/>
        <n v="99911166"/>
        <n v="99911167"/>
        <n v="99911168"/>
        <n v="99911169"/>
        <n v="99911170"/>
        <n v="99911171"/>
        <n v="99911172"/>
        <n v="99911173"/>
        <n v="99911174"/>
        <n v="99911175"/>
        <n v="99911176"/>
        <n v="99911177"/>
        <n v="99911178"/>
        <n v="99911179"/>
        <n v="99911180"/>
        <n v="99911181"/>
        <n v="99911182"/>
        <n v="99911183"/>
        <n v="99911184"/>
        <n v="99911185"/>
        <n v="99911186"/>
        <n v="99911187"/>
        <n v="99911188"/>
        <n v="99911189"/>
        <n v="99911190"/>
        <n v="99911191"/>
        <n v="99911192"/>
        <n v="99911193"/>
        <n v="99911194"/>
        <n v="99911195"/>
        <n v="99911196"/>
        <n v="99911197"/>
        <n v="99911198"/>
        <n v="99911199"/>
        <n v="99911200"/>
        <n v="99911201"/>
        <n v="99911202"/>
        <n v="99911203"/>
        <n v="99911204"/>
        <n v="99911205"/>
        <n v="99911206"/>
        <n v="99911207"/>
        <n v="99911208"/>
        <n v="99911209"/>
        <n v="99911210"/>
        <n v="99911211"/>
        <n v="99911212"/>
        <n v="99911213"/>
        <n v="99911214"/>
        <n v="99911215"/>
        <n v="99911216"/>
        <n v="99911217"/>
        <n v="99911218"/>
        <n v="99911219"/>
        <n v="99911220"/>
        <n v="99911221"/>
        <n v="99911222"/>
        <n v="99911223"/>
        <n v="99911224"/>
        <n v="99911225"/>
        <n v="99911226"/>
        <n v="99911227"/>
        <n v="99911228"/>
        <n v="99911229"/>
        <n v="99911230"/>
        <n v="99911231"/>
        <n v="99911232"/>
        <n v="99911233"/>
        <n v="99911234"/>
        <n v="99911235"/>
        <n v="99911236"/>
        <n v="99911237"/>
        <n v="99911238"/>
        <n v="99911239"/>
        <n v="99911240"/>
        <n v="99911241"/>
        <n v="99911242"/>
        <n v="99911243"/>
        <n v="99911244"/>
        <n v="99911245"/>
        <n v="99911246"/>
        <n v="99911247"/>
        <n v="99911248"/>
        <n v="99911249"/>
        <n v="99911250"/>
        <n v="99911251"/>
        <n v="99911252"/>
        <n v="99911253"/>
        <n v="99911254"/>
        <n v="99911255"/>
        <n v="99911256"/>
        <n v="99911257"/>
        <n v="99911258"/>
        <n v="99911259"/>
        <n v="99911260"/>
        <n v="99911261"/>
        <n v="99911262"/>
        <n v="99911263"/>
        <n v="99911264"/>
        <n v="99911265"/>
        <n v="99911266"/>
        <n v="99911267"/>
        <n v="99911268"/>
        <n v="99911269"/>
        <n v="99911270"/>
        <n v="99911271"/>
        <n v="99911272"/>
        <n v="99911273"/>
        <n v="99911274"/>
        <n v="99911275"/>
        <n v="99911276"/>
        <n v="99911277"/>
        <n v="99911278"/>
        <n v="99911279"/>
        <n v="99911280"/>
        <n v="99911281"/>
        <n v="99911282"/>
        <n v="99911283"/>
        <n v="99911284"/>
        <n v="99911285"/>
        <n v="99911286"/>
        <n v="99911287"/>
        <n v="99911288"/>
        <n v="99911289"/>
        <n v="99911290"/>
        <n v="99911291"/>
        <n v="99911292"/>
        <n v="99911293"/>
        <n v="99911294"/>
        <n v="99911295"/>
        <n v="99911296"/>
        <n v="99911297"/>
        <n v="99911298"/>
        <n v="99911299"/>
        <n v="99911300"/>
        <n v="99911301"/>
        <n v="99911302"/>
        <n v="99911303"/>
        <n v="99911304"/>
        <n v="99911305"/>
        <n v="99911306"/>
        <n v="99911307"/>
        <n v="99911308"/>
        <n v="99911309"/>
        <n v="99911310"/>
        <n v="99911311"/>
        <n v="99911312"/>
        <n v="99911313"/>
        <n v="99911314"/>
        <n v="99911315"/>
        <n v="99911316"/>
        <n v="99911317"/>
        <n v="99911318"/>
        <n v="99911319"/>
        <n v="99911320"/>
        <n v="99911321"/>
        <n v="99911322"/>
        <n v="99911323"/>
        <n v="99911324"/>
        <n v="99911325"/>
        <n v="99911326"/>
        <n v="99911327"/>
        <n v="99911328"/>
        <n v="99911329"/>
        <n v="99911330"/>
        <n v="99911331"/>
        <n v="99911332"/>
        <n v="99911333"/>
        <n v="99911334"/>
        <n v="99911335"/>
        <n v="99911336"/>
        <n v="99911337"/>
        <n v="99911338"/>
        <n v="99911339"/>
        <n v="99911340"/>
        <n v="99911341"/>
        <n v="99911342"/>
        <n v="99911343"/>
        <n v="99911344"/>
        <n v="99911345"/>
        <n v="99911346"/>
        <n v="99911347"/>
        <n v="99911348"/>
        <n v="99911349"/>
        <n v="99911350"/>
        <n v="99911351"/>
        <n v="99911352"/>
        <n v="99911353"/>
        <n v="99911354"/>
        <n v="99911355"/>
        <n v="99911356"/>
        <n v="99911357"/>
        <n v="99911358"/>
        <n v="99911359"/>
        <n v="99911360"/>
        <n v="99911361"/>
        <n v="99911362"/>
        <n v="99911363"/>
        <n v="99911364"/>
        <n v="99911365"/>
        <n v="99911366"/>
        <n v="99911367"/>
        <n v="99911368"/>
        <n v="99911369"/>
        <n v="99911370"/>
        <n v="99911371"/>
        <n v="99911372"/>
        <n v="99911373"/>
        <n v="99911374"/>
        <n v="99911375"/>
        <n v="99911376"/>
        <n v="99911377"/>
        <n v="99911378"/>
        <n v="99911379"/>
        <n v="99911380"/>
        <n v="99911381"/>
        <n v="99911382"/>
        <n v="99911383"/>
        <n v="99911384"/>
        <n v="99911385"/>
        <n v="99911386"/>
        <n v="99911387"/>
        <n v="99911388"/>
        <n v="99911389"/>
        <n v="99911390"/>
        <n v="99911391"/>
        <n v="99911392"/>
        <n v="99911393"/>
        <n v="99911394"/>
        <n v="99911395"/>
        <n v="99911396"/>
        <n v="99911397"/>
        <n v="99911398"/>
        <n v="99911399"/>
        <n v="99911400"/>
        <n v="99911401"/>
        <n v="99911402"/>
        <n v="99911403"/>
        <n v="99911404"/>
        <n v="99911405"/>
        <n v="99911406"/>
        <n v="99911407"/>
        <n v="99911408"/>
        <n v="99911409"/>
        <n v="99911410"/>
        <n v="99911411"/>
        <n v="99911412"/>
        <n v="99911413"/>
        <n v="99911414"/>
        <n v="99911415"/>
        <n v="99911416"/>
        <n v="99911417"/>
        <n v="99911418"/>
        <n v="99911419"/>
        <n v="99911420"/>
        <n v="99911421"/>
        <n v="99911422"/>
        <n v="99911423"/>
        <n v="99911424"/>
        <n v="99911425"/>
        <n v="99911426"/>
        <n v="99911427"/>
        <n v="99911428"/>
        <n v="99911429"/>
        <n v="99911430"/>
        <n v="99911431"/>
        <n v="99911432"/>
        <n v="99911433"/>
        <n v="99911434"/>
        <n v="99911435"/>
        <n v="99911436"/>
        <n v="99911437"/>
        <n v="99911438"/>
        <n v="99911439"/>
        <n v="99911440"/>
        <n v="99911441"/>
        <n v="99911442"/>
        <n v="99911443"/>
        <n v="99911444"/>
        <n v="99911445"/>
        <n v="99911446"/>
        <n v="99911447"/>
        <n v="99911448"/>
        <n v="99911449"/>
        <n v="99911450"/>
        <n v="99911451"/>
        <n v="99911452"/>
        <n v="99911453"/>
        <n v="99911454"/>
        <n v="99911455"/>
        <n v="99911456"/>
        <n v="99911457"/>
        <n v="99911458"/>
        <n v="99911459"/>
        <n v="99911460"/>
        <n v="99911461"/>
        <n v="99911462"/>
        <n v="99911463"/>
        <n v="99911464"/>
        <n v="99911465"/>
        <n v="99911466"/>
        <n v="99911467"/>
        <n v="99911468"/>
        <n v="99911469"/>
        <n v="99911470"/>
        <n v="99911471"/>
        <n v="99911472"/>
        <n v="99911473"/>
        <n v="99911474"/>
        <n v="99911475"/>
        <n v="99911476"/>
        <n v="99911477"/>
        <n v="99911478"/>
        <n v="99911479"/>
        <n v="99911480"/>
        <n v="99911481"/>
        <n v="99911482"/>
        <n v="99911483"/>
        <n v="99911484"/>
        <n v="99911485"/>
        <n v="99911486"/>
        <n v="99911487"/>
        <n v="99911488"/>
        <n v="99911489"/>
        <n v="99911490"/>
        <n v="99911491"/>
        <n v="99911492"/>
        <n v="99911493"/>
        <n v="99911494"/>
        <n v="99911495"/>
        <n v="99911496"/>
        <n v="99911497"/>
        <n v="99911498"/>
        <n v="99911499"/>
        <n v="99911500"/>
        <n v="99911501"/>
        <n v="99911502"/>
        <n v="99911503"/>
        <n v="99911504"/>
        <n v="99911505"/>
        <n v="99911506"/>
        <n v="99911507"/>
        <n v="99911508"/>
        <n v="99911509"/>
        <n v="99911510"/>
        <n v="99911511"/>
        <n v="99911512"/>
        <n v="99911513"/>
        <n v="99911514"/>
        <n v="99911515"/>
        <n v="99911516"/>
        <n v="99911517"/>
        <n v="99911518"/>
        <n v="99911519"/>
        <n v="99911520"/>
        <n v="99911521"/>
        <n v="99911522"/>
        <n v="99911523"/>
        <n v="99911524"/>
        <n v="99911525"/>
        <n v="99911526"/>
        <n v="99911527"/>
        <n v="99911528"/>
        <n v="99911529"/>
        <n v="99911530"/>
        <n v="99911531"/>
        <n v="99911532"/>
        <n v="99911533"/>
        <n v="99911534"/>
        <n v="99911535"/>
        <n v="99911536"/>
        <n v="99911537"/>
        <n v="99911538"/>
        <n v="99911539"/>
        <n v="99911540"/>
        <n v="99911541"/>
        <n v="99911542"/>
        <n v="99911543"/>
        <n v="99911544"/>
        <n v="99911545"/>
        <n v="99911546"/>
        <n v="99911547"/>
        <n v="99911548"/>
        <n v="99911549"/>
        <n v="99911550"/>
        <n v="99911551"/>
        <n v="99911552"/>
        <n v="99911553"/>
        <n v="99911554"/>
        <n v="99911555"/>
        <n v="99911556"/>
        <n v="99911557"/>
        <n v="99911558"/>
        <n v="99911559"/>
        <n v="99911560"/>
        <n v="99911561"/>
        <n v="99911562"/>
        <n v="99911563"/>
        <n v="99911564"/>
        <n v="99911565"/>
        <n v="99911566"/>
        <n v="99911567"/>
        <n v="99911568"/>
        <n v="99911569"/>
        <n v="99911570"/>
        <n v="99911571"/>
        <n v="99911572"/>
        <n v="99911573"/>
        <n v="99911574"/>
        <n v="99911575"/>
        <n v="99911576"/>
        <n v="99911577"/>
        <n v="99911578"/>
        <n v="99911579"/>
        <n v="99911580"/>
        <n v="99911581"/>
        <n v="99911582"/>
        <n v="99911583"/>
        <n v="99911584"/>
        <n v="99911585"/>
        <n v="99911586"/>
        <n v="99911587"/>
        <n v="99911588"/>
        <n v="99911589"/>
        <n v="99911590"/>
        <n v="99911591"/>
        <n v="99911592"/>
        <n v="99911593"/>
        <n v="99911594"/>
        <n v="99911595"/>
        <n v="99911596"/>
        <n v="99911597"/>
        <n v="99911598"/>
        <n v="99911599"/>
        <n v="99911600"/>
        <n v="99911601"/>
        <n v="99911602"/>
        <n v="99911603"/>
        <n v="99911604"/>
        <n v="99911605"/>
        <n v="99911606"/>
        <n v="99911607"/>
        <n v="99911608"/>
        <n v="99911609"/>
        <n v="99911610"/>
        <n v="99911611"/>
        <n v="99911612"/>
        <n v="99911613"/>
        <n v="99911614"/>
        <n v="99911615"/>
        <n v="99911616"/>
        <n v="99911617"/>
        <n v="99911618"/>
        <n v="99911619"/>
        <n v="99911620"/>
        <n v="99911621"/>
        <n v="99911622"/>
        <n v="99911623"/>
        <n v="99911624"/>
        <n v="99911625"/>
        <n v="99911626"/>
        <n v="99911627"/>
        <n v="99911628"/>
        <n v="99911629"/>
        <n v="99911630"/>
        <n v="99911631"/>
        <n v="99911632"/>
        <n v="99911633"/>
        <n v="99911634"/>
        <n v="99911635"/>
        <n v="99911636"/>
        <n v="99911637"/>
        <n v="99911638"/>
        <n v="99911639"/>
        <n v="99911640"/>
        <n v="99911641"/>
        <n v="99911642"/>
        <n v="99911643"/>
        <n v="99911644"/>
        <n v="99911645"/>
        <n v="99911646"/>
        <n v="99911647"/>
        <n v="99911648"/>
        <n v="99911649"/>
        <n v="99911650"/>
        <n v="99911651"/>
        <n v="99911652"/>
        <n v="99911653"/>
        <n v="99911654"/>
        <n v="99911655"/>
        <n v="99911656"/>
        <n v="99911657"/>
        <n v="99911658"/>
        <n v="99911659"/>
        <n v="99911660"/>
        <n v="99911661"/>
        <n v="99911662"/>
        <n v="99911663"/>
        <n v="99911664"/>
        <n v="99911665"/>
        <n v="99911666"/>
        <n v="99911667"/>
        <n v="99911668"/>
        <n v="99911669"/>
        <n v="99911670"/>
        <n v="99911671"/>
        <n v="99911672"/>
        <n v="99911673"/>
        <n v="99911674"/>
        <n v="99911675"/>
        <n v="99911676"/>
        <n v="99911677"/>
        <n v="99911678"/>
        <n v="99911679"/>
        <n v="99911680"/>
        <n v="99911681"/>
        <n v="99911682"/>
        <n v="99911683"/>
        <n v="99911684"/>
        <n v="99911685"/>
        <n v="99911686"/>
        <n v="99911687"/>
        <n v="99911688"/>
        <n v="99911689"/>
        <n v="99911690"/>
        <n v="99911691"/>
        <n v="99911692"/>
        <n v="99911693"/>
        <n v="99911694"/>
        <n v="99911695"/>
        <n v="99911696"/>
        <n v="99911697"/>
        <n v="99911698"/>
        <n v="99911699"/>
        <n v="99911700"/>
        <n v="99911701"/>
        <n v="99911702"/>
        <n v="99911703"/>
        <n v="99911704"/>
        <n v="99911705"/>
        <n v="99911706"/>
        <n v="99911707"/>
        <n v="99911708"/>
        <n v="99911709"/>
        <n v="99911710"/>
        <n v="99911711"/>
        <n v="99911712"/>
        <n v="99911713"/>
        <n v="99911714"/>
        <n v="99911715"/>
        <n v="99911716"/>
        <n v="99911717"/>
        <n v="99911718"/>
        <n v="99911719"/>
        <n v="99911720"/>
        <n v="99911721"/>
        <n v="99911722"/>
        <n v="99911723"/>
        <n v="99911724"/>
        <n v="99911725"/>
        <n v="99911726"/>
        <n v="99911727"/>
        <n v="99911728"/>
        <n v="99911729"/>
        <n v="99911730"/>
        <n v="99911731"/>
        <n v="99911732"/>
        <n v="99911733"/>
        <n v="99911734"/>
        <n v="99911735"/>
        <n v="99911736"/>
        <n v="99911737"/>
        <n v="99911738"/>
        <n v="99911739"/>
        <n v="99911740"/>
        <n v="99911741"/>
        <n v="99911742"/>
        <n v="99911743"/>
        <n v="99911744"/>
        <n v="99911745"/>
        <n v="99911746"/>
        <n v="99911747"/>
        <n v="99911748"/>
        <n v="99911749"/>
        <n v="99911750"/>
        <n v="99911751"/>
        <n v="99911752"/>
        <n v="99911753"/>
        <n v="99911754"/>
        <n v="99911755"/>
        <n v="99911756"/>
        <n v="99911757"/>
        <n v="99911758"/>
        <n v="99911759"/>
        <n v="99911760"/>
        <n v="99911761"/>
        <n v="99911762"/>
        <n v="99911763"/>
        <n v="99911764"/>
        <n v="99911765"/>
        <n v="99911766"/>
        <n v="99911767"/>
        <n v="99911768"/>
        <n v="99911769"/>
        <n v="99911770"/>
        <n v="99911771"/>
        <n v="99911772"/>
        <n v="99911773"/>
        <n v="99911774"/>
        <n v="99911775"/>
        <n v="99911776"/>
        <n v="99911777"/>
        <n v="99911778"/>
        <n v="99911779"/>
        <n v="99911780"/>
        <n v="99911781"/>
        <n v="99911782"/>
        <n v="99911783"/>
        <n v="99911784"/>
        <n v="99911785"/>
        <n v="99911786"/>
        <n v="99911787"/>
        <n v="99911788"/>
        <n v="99911789"/>
        <n v="99911790"/>
        <n v="99911791"/>
        <n v="99911792"/>
        <n v="99911793"/>
        <n v="99911794"/>
        <n v="99911795"/>
        <n v="99911796"/>
        <n v="99911797"/>
        <n v="99911798"/>
        <n v="99911799"/>
        <n v="99911800"/>
        <n v="99911801"/>
        <n v="99911802"/>
        <n v="99911803"/>
        <n v="99911804"/>
        <n v="99911805"/>
        <n v="99911806"/>
        <n v="99911807"/>
        <n v="99911808"/>
        <n v="99911809"/>
        <n v="99911810"/>
        <n v="99911811"/>
        <n v="99911812"/>
        <n v="99911813"/>
        <n v="99911814"/>
        <n v="99911815"/>
        <n v="99911816"/>
        <n v="99911817"/>
        <n v="99911818"/>
        <n v="99911819"/>
        <n v="99911820"/>
        <n v="99911821"/>
        <n v="99911822"/>
        <n v="99911823"/>
        <n v="99911824"/>
        <n v="99911825"/>
        <n v="99911826"/>
        <n v="99911827"/>
        <n v="99911828"/>
        <n v="99911829"/>
        <n v="99911830"/>
        <n v="99911831"/>
        <n v="99911832"/>
        <n v="99911833"/>
        <n v="99911834"/>
        <n v="99911835"/>
        <n v="99911836"/>
        <n v="99911837"/>
        <n v="99911838"/>
        <n v="99911839"/>
        <n v="99911840"/>
        <n v="99911841"/>
        <n v="99911842"/>
        <n v="99911843"/>
        <n v="99911844"/>
        <n v="99911845"/>
        <n v="99911846"/>
        <n v="99911847"/>
        <n v="99911848"/>
        <n v="99911849"/>
        <n v="99911850"/>
        <n v="99911851"/>
        <n v="99911852"/>
        <n v="99911853"/>
        <n v="99911854"/>
        <n v="99911855"/>
        <n v="99911856"/>
        <n v="99911857"/>
        <n v="99911858"/>
        <n v="99911859"/>
        <n v="99911860"/>
        <n v="99911861"/>
        <n v="99911862"/>
        <n v="99911863"/>
        <n v="99911864"/>
        <n v="99911865"/>
        <n v="99911866"/>
        <n v="99911867"/>
        <n v="99911868"/>
        <n v="99911869"/>
        <n v="99911870"/>
        <n v="99911871"/>
        <n v="99911872"/>
        <n v="99911873"/>
        <n v="99911874"/>
        <n v="99911875"/>
        <n v="99911876"/>
        <n v="99911877"/>
        <n v="99911878"/>
        <n v="99911879"/>
        <n v="99911880"/>
        <n v="99911881"/>
        <n v="99911882"/>
        <n v="99911883"/>
        <n v="99911884"/>
        <n v="99911885"/>
        <n v="99911886"/>
        <n v="99911887"/>
        <n v="99911888"/>
        <n v="99911889"/>
        <n v="99911890"/>
        <n v="99911891"/>
        <n v="99911892"/>
        <n v="99911893"/>
        <n v="99911894"/>
        <n v="99911895"/>
        <n v="99911896"/>
        <n v="99911897"/>
        <n v="99911898"/>
        <n v="99911899"/>
        <n v="99911900"/>
        <n v="99911901"/>
        <n v="99911902"/>
        <n v="99911903"/>
        <n v="99911904"/>
        <n v="99911905"/>
        <n v="99911906"/>
        <n v="99911907"/>
        <n v="99911908"/>
        <n v="99911909"/>
        <n v="99911910"/>
        <n v="99911911"/>
        <n v="99911912"/>
        <n v="99911913"/>
        <n v="99911914"/>
        <n v="99911915"/>
        <n v="99911916"/>
        <n v="99911917"/>
        <n v="99911918"/>
        <n v="99911919"/>
        <n v="99911920"/>
        <n v="99911921"/>
        <n v="99911922"/>
        <n v="99911923"/>
        <n v="99911924"/>
        <n v="99911925"/>
        <n v="99911926"/>
        <n v="99911927"/>
        <n v="99911928"/>
        <n v="99911929"/>
        <n v="99911930"/>
        <n v="99911931"/>
        <n v="99911932"/>
        <n v="99911933"/>
        <n v="99911934"/>
        <n v="99911935"/>
        <n v="99911936"/>
        <n v="99911937"/>
        <n v="99911938"/>
        <n v="99911939"/>
        <n v="99911940"/>
        <n v="99911941"/>
        <n v="99911942"/>
        <n v="99911943"/>
        <n v="99911944"/>
        <n v="99911945"/>
        <n v="99911946"/>
        <n v="99911947"/>
        <n v="99911948"/>
        <n v="99911949"/>
        <n v="99911950"/>
        <n v="99911951"/>
        <n v="99911952"/>
        <n v="99911953"/>
        <n v="99911954"/>
        <n v="99911955"/>
        <n v="99911956"/>
        <n v="99911957"/>
        <n v="99911958"/>
        <n v="99911959"/>
        <n v="99911960"/>
        <n v="99911961"/>
        <n v="99911962"/>
        <n v="99911963"/>
        <n v="99911964"/>
        <n v="99911965"/>
        <n v="99911966"/>
        <n v="99911967"/>
        <n v="99911968"/>
        <n v="99911969"/>
        <n v="99911970"/>
        <n v="99911971"/>
        <n v="99911972"/>
        <n v="99911973"/>
        <n v="99911974"/>
        <n v="99911975"/>
        <n v="99911976"/>
        <n v="99911977"/>
        <n v="99911978"/>
        <n v="99911979"/>
        <n v="99911980"/>
        <n v="99911981"/>
        <n v="99911982"/>
        <n v="99911983"/>
        <n v="99911984"/>
        <n v="99911985"/>
        <n v="99911986"/>
        <n v="99911987"/>
        <n v="99911988"/>
        <n v="99911989"/>
        <n v="99911990"/>
        <n v="99911991"/>
        <n v="99911992"/>
        <n v="99911993"/>
        <n v="99911994"/>
        <n v="99911995"/>
        <n v="99911996"/>
        <n v="99911997"/>
        <n v="99911998"/>
        <n v="99911999"/>
        <n v="99912000"/>
        <n v="99912001"/>
        <n v="99912002"/>
        <n v="99912003"/>
        <n v="99912004"/>
        <n v="99912005"/>
        <n v="99912006"/>
        <n v="99912007"/>
        <n v="99912008"/>
        <n v="99912009"/>
        <n v="99912010"/>
        <n v="99912011"/>
        <n v="99912012"/>
        <n v="99912013"/>
        <n v="99912014"/>
        <n v="99912015"/>
        <n v="99912016"/>
        <n v="99912017"/>
        <n v="99912018"/>
        <n v="99912019"/>
        <n v="99912020"/>
        <n v="99912021"/>
        <n v="99912022"/>
        <n v="99912023"/>
        <n v="99912024"/>
        <n v="99912025"/>
        <n v="99912026"/>
        <n v="99912027"/>
        <n v="99912028"/>
        <n v="99912029"/>
        <n v="99912030"/>
        <n v="99912031"/>
        <n v="99912032"/>
        <n v="99912033"/>
        <n v="99912034"/>
        <n v="99912035"/>
        <n v="99912036"/>
        <n v="99912037"/>
        <n v="99912038"/>
        <n v="99912039"/>
        <n v="99912040"/>
        <n v="99912041"/>
        <n v="99912042"/>
        <n v="99912043"/>
        <n v="99912044"/>
        <n v="99912045"/>
        <n v="99912046"/>
        <n v="99912047"/>
        <n v="99912048"/>
        <n v="99912049"/>
        <n v="99912050"/>
        <n v="99912051"/>
        <n v="99912052"/>
        <n v="99912053"/>
        <n v="99912054"/>
        <n v="99912055"/>
        <n v="99912056"/>
        <n v="99912057"/>
        <n v="99912058"/>
        <n v="99912059"/>
        <n v="99912060"/>
        <n v="99912061"/>
        <n v="99912062"/>
        <n v="99912063"/>
        <n v="99912064"/>
        <n v="99912065"/>
        <n v="99912066"/>
        <n v="99912067"/>
        <n v="99912068"/>
        <n v="99912069"/>
        <n v="99912070"/>
        <n v="99912071"/>
        <n v="99912072"/>
        <n v="99912073"/>
        <n v="99912074"/>
        <n v="99912075"/>
        <n v="99912076"/>
        <n v="99912077"/>
        <n v="99912078"/>
        <n v="99912079"/>
        <n v="99912080"/>
        <n v="99912081"/>
        <n v="99912082"/>
        <n v="99912083"/>
        <n v="99912084"/>
        <n v="99912085"/>
        <n v="99912086"/>
        <n v="99912087"/>
        <n v="99912088"/>
        <n v="99912089"/>
        <n v="99912090"/>
        <n v="99912091"/>
        <n v="99912092"/>
        <n v="99912093"/>
        <n v="99912094"/>
        <n v="99912095"/>
        <n v="99912096"/>
        <n v="99912097"/>
        <n v="99912098"/>
        <n v="99912099"/>
        <n v="99912100"/>
        <n v="99912101"/>
        <n v="99912102"/>
        <n v="99912103"/>
        <n v="99912104"/>
        <n v="99912105"/>
        <n v="99912106"/>
        <n v="99912107"/>
        <n v="99912108"/>
        <n v="99912109"/>
        <n v="99912110"/>
        <n v="99912111"/>
        <n v="99912112"/>
        <n v="99912113"/>
        <n v="99912114"/>
        <n v="99912115"/>
        <n v="99912116"/>
        <n v="99912117"/>
        <n v="99912118"/>
        <n v="99912119"/>
        <n v="99912120"/>
        <n v="99912121"/>
        <n v="99912122"/>
        <n v="99912123"/>
        <n v="99912124"/>
        <n v="99912125"/>
        <n v="99912126"/>
        <n v="99912127"/>
        <n v="99912128"/>
        <n v="99912129"/>
        <n v="99912130"/>
        <n v="99912131"/>
        <n v="99912132"/>
        <n v="99912133"/>
        <n v="99912134"/>
        <n v="99912135"/>
        <n v="99912136"/>
        <n v="99912137"/>
        <n v="99912138"/>
        <n v="99912139"/>
        <n v="99912140"/>
        <n v="99912141"/>
        <n v="99912142"/>
        <n v="99912143"/>
        <n v="99912144"/>
        <n v="99912145"/>
        <n v="99912146"/>
        <n v="99912147"/>
        <n v="99912148"/>
        <n v="99912149"/>
        <n v="99912150"/>
        <n v="99912151"/>
        <n v="99912152"/>
        <n v="99912153"/>
        <n v="99912154"/>
        <n v="99912155"/>
        <n v="99912156"/>
        <n v="99912157"/>
        <n v="99912158"/>
        <n v="99912159"/>
        <n v="99912160"/>
        <n v="99912161"/>
        <n v="99912162"/>
        <n v="99912163"/>
        <n v="99912164"/>
        <n v="99912165"/>
        <n v="99912166"/>
        <n v="99912167"/>
        <n v="99912168"/>
        <n v="99912169"/>
        <n v="99912170"/>
        <n v="99912171"/>
        <n v="99912172"/>
        <n v="99912173"/>
        <n v="99912174"/>
        <n v="99912175"/>
        <n v="99912176"/>
        <n v="99912177"/>
        <n v="99912178"/>
        <n v="99912179"/>
        <n v="99912180"/>
        <n v="99912181"/>
        <n v="99912182"/>
        <n v="99912183"/>
        <n v="99912184"/>
        <n v="99912185"/>
        <n v="99912186"/>
        <n v="99912187"/>
        <n v="99912188"/>
        <n v="99912189"/>
        <n v="99912190"/>
        <n v="99912191"/>
        <n v="99912192"/>
        <n v="99912193"/>
        <n v="99912194"/>
        <n v="99912195"/>
        <n v="99912196"/>
        <n v="99912197"/>
        <n v="99912198"/>
        <n v="99912199"/>
        <n v="99912200"/>
        <n v="99912201"/>
        <n v="99912202"/>
        <n v="99912203"/>
        <n v="99912204"/>
        <n v="99912205"/>
        <n v="99912206"/>
        <n v="99912207"/>
        <n v="99912208"/>
        <n v="99912209"/>
        <n v="99912210"/>
        <n v="99912211"/>
        <n v="99912212"/>
        <n v="99912213"/>
        <n v="99912214"/>
        <n v="99912215"/>
        <n v="99912216"/>
        <n v="99912217"/>
        <n v="99912218"/>
        <n v="99912219"/>
        <n v="99912220"/>
        <n v="99912221"/>
        <n v="99912222"/>
        <n v="99912223"/>
        <n v="99912224"/>
        <n v="99912225"/>
        <n v="99912226"/>
        <n v="99912227"/>
        <n v="99912228"/>
        <n v="99912229"/>
        <n v="99912230"/>
        <n v="99912231"/>
        <n v="99912232"/>
        <n v="99912233"/>
        <n v="99912234"/>
        <n v="99912235"/>
        <n v="99912236"/>
        <n v="99912237"/>
        <n v="99912238"/>
        <n v="99912239"/>
        <n v="99912240"/>
        <n v="99912241"/>
        <n v="99912242"/>
        <n v="99912243"/>
        <n v="99912244"/>
        <n v="99912245"/>
        <n v="99912246"/>
        <n v="99912247"/>
        <n v="99912248"/>
        <n v="99912249"/>
        <n v="99912250"/>
        <n v="99912251"/>
        <n v="99912252"/>
        <n v="99912253"/>
        <n v="99912254"/>
        <n v="99912255"/>
        <n v="99912256"/>
        <n v="99912257"/>
        <n v="99912258"/>
        <n v="99912259"/>
        <n v="99912260"/>
        <n v="99912261"/>
        <n v="99912262"/>
        <n v="99912263"/>
        <n v="99912264"/>
        <n v="99912265"/>
        <n v="99912266"/>
        <n v="99912267"/>
        <n v="99912268"/>
        <n v="99912269"/>
        <n v="99912270"/>
        <n v="99912271"/>
        <n v="99912272"/>
        <n v="99912273"/>
        <n v="99912274"/>
        <n v="99912275"/>
        <n v="99912276"/>
        <n v="99912277"/>
        <n v="99912278"/>
        <n v="99912279"/>
        <n v="99912280"/>
        <n v="99912281"/>
        <n v="99912282"/>
        <n v="99912283"/>
        <n v="99912284"/>
        <n v="99912285"/>
        <n v="99912286"/>
        <n v="99912287"/>
        <n v="99912288"/>
        <n v="99912289"/>
        <n v="99912290"/>
        <n v="99912291"/>
        <n v="99912292"/>
        <n v="99912293"/>
        <n v="99912294"/>
        <n v="99912295"/>
        <n v="99912296"/>
        <n v="99912297"/>
        <n v="99912298"/>
        <n v="99912299"/>
        <n v="99912300"/>
        <n v="99912301"/>
        <n v="99912302"/>
        <n v="99912303"/>
        <n v="99912304"/>
        <n v="99912305"/>
        <n v="99912306"/>
        <n v="99912307"/>
        <n v="99912308"/>
        <n v="99912309"/>
        <n v="99912310"/>
        <n v="99912311"/>
        <n v="99912312"/>
        <n v="99912313"/>
        <n v="99912314"/>
        <n v="99912315"/>
        <n v="99912316"/>
        <n v="99912317"/>
        <n v="99912318"/>
        <n v="99912319"/>
        <n v="99912320"/>
        <n v="99912321"/>
        <n v="99912322"/>
        <n v="99912323"/>
        <n v="99912324"/>
        <n v="99912325"/>
        <n v="99912326"/>
        <n v="99912327"/>
        <n v="99912328"/>
        <n v="99912329"/>
        <n v="99912330"/>
        <n v="99912331"/>
        <n v="99912332"/>
        <n v="99912333"/>
        <n v="99912334"/>
        <n v="99912335"/>
        <n v="99912336"/>
        <n v="99912337"/>
        <n v="99912338"/>
        <n v="99912339"/>
        <n v="99912340"/>
        <n v="99912341"/>
        <n v="99912342"/>
        <n v="99912343"/>
        <n v="99912344"/>
        <n v="99912345"/>
        <n v="99912346"/>
        <n v="99912347"/>
        <n v="99912348"/>
        <n v="99912349"/>
        <n v="99912350"/>
        <n v="99912351"/>
        <n v="99912352"/>
        <n v="99912353"/>
        <n v="99912354"/>
        <n v="99912355"/>
        <n v="99912356"/>
        <n v="99912357"/>
        <n v="99912358"/>
        <n v="99912359"/>
        <n v="99912360"/>
        <n v="99912361"/>
        <n v="99912362"/>
        <n v="99912363"/>
        <n v="99912364"/>
        <n v="99912365"/>
        <n v="99912366"/>
        <n v="99912367"/>
        <n v="99912368"/>
        <n v="99912369"/>
        <n v="99912370"/>
        <n v="99912371"/>
        <n v="99912372"/>
        <n v="99912373"/>
        <n v="99912374"/>
        <n v="99912375"/>
        <n v="99912376"/>
        <n v="99912377"/>
        <n v="99912378"/>
        <n v="99912379"/>
        <n v="99912380"/>
        <n v="99912381"/>
        <n v="99912382"/>
        <n v="99912383"/>
        <n v="99912384"/>
        <n v="99912385"/>
        <n v="99912386"/>
        <n v="99912387"/>
        <n v="99912388"/>
        <n v="99912389"/>
        <n v="99912390"/>
        <n v="99912391"/>
        <n v="99912392"/>
        <n v="99912393"/>
        <n v="99912394"/>
        <n v="99912395"/>
        <n v="99912396"/>
        <n v="99912397"/>
        <n v="99912398"/>
        <n v="99912399"/>
        <n v="99912400"/>
        <n v="99912401"/>
        <n v="99912402"/>
        <n v="99912403"/>
        <n v="99912404"/>
        <n v="99912405"/>
        <n v="99912406"/>
        <n v="99912407"/>
        <n v="99912408"/>
        <n v="99912409"/>
        <n v="99912410"/>
        <n v="99912411"/>
        <n v="99912412"/>
        <n v="99912413"/>
        <n v="99912414"/>
        <n v="99912415"/>
        <n v="99912416"/>
        <n v="99912417"/>
        <n v="99912418"/>
        <n v="99912419"/>
        <n v="99912420"/>
        <n v="99912421"/>
        <n v="99912422"/>
        <n v="99912423"/>
        <n v="99912424"/>
        <n v="99912425"/>
        <n v="99912426"/>
        <n v="99912427"/>
        <n v="99912428"/>
        <n v="99912429"/>
        <n v="99912430"/>
        <n v="99912431"/>
        <n v="99912432"/>
        <n v="99912433"/>
        <n v="99912434"/>
        <n v="99912435"/>
        <n v="99912436"/>
        <n v="99912437"/>
        <n v="99912438"/>
        <n v="99912439"/>
        <n v="99912440"/>
        <n v="99912441"/>
        <n v="99912442"/>
        <n v="99912443"/>
        <n v="99912444"/>
        <n v="99912445"/>
        <n v="99912446"/>
        <n v="99912447"/>
        <n v="99912448"/>
        <n v="99912449"/>
        <n v="99912450"/>
        <n v="99912451"/>
        <n v="99912452"/>
        <n v="99912453"/>
        <n v="99912454"/>
        <n v="99912455"/>
        <n v="99912456"/>
        <n v="99912457"/>
        <n v="99912458"/>
        <n v="99912459"/>
        <n v="99912460"/>
        <n v="99912461"/>
        <n v="99912462"/>
        <n v="99912463"/>
        <n v="99912464"/>
        <n v="99912465"/>
        <n v="99912466"/>
        <n v="99912467"/>
        <n v="99912468"/>
        <n v="99912469"/>
        <n v="99912470"/>
        <n v="99912471"/>
        <n v="99912472"/>
        <n v="99912473"/>
        <n v="99912474"/>
        <n v="99912475"/>
        <n v="99912476"/>
        <n v="99912477"/>
        <n v="99912478"/>
        <n v="99912479"/>
        <n v="99912480"/>
        <n v="99912481"/>
        <n v="99912482"/>
        <n v="99912483"/>
        <n v="99912484"/>
        <n v="99912485"/>
        <n v="99912486"/>
        <n v="99912487"/>
        <n v="99912488"/>
        <n v="99912489"/>
        <n v="99912490"/>
        <n v="99912491"/>
        <n v="99912492"/>
        <n v="99912493"/>
        <n v="99912494"/>
        <n v="99912495"/>
        <n v="99912496"/>
        <n v="99912497"/>
        <n v="99912498"/>
        <n v="99912499"/>
        <n v="99912500"/>
        <n v="99912501"/>
        <n v="99912502"/>
        <n v="99912503"/>
        <n v="99912504"/>
        <n v="99912505"/>
        <n v="99912506"/>
        <n v="99912507"/>
        <n v="99912508"/>
        <n v="99912509"/>
        <n v="99912510"/>
        <n v="99912511"/>
        <n v="99912512"/>
        <n v="99912513"/>
        <n v="99912514"/>
        <n v="99912515"/>
        <n v="99912516"/>
        <n v="99912517"/>
        <n v="99912518"/>
        <n v="99912519"/>
        <n v="99912520"/>
        <n v="99912521"/>
        <n v="99912522"/>
        <n v="99912523"/>
        <n v="99912524"/>
        <n v="99912525"/>
        <n v="99912526"/>
        <n v="99912527"/>
        <n v="99912528"/>
        <n v="99912529"/>
        <n v="99912530"/>
        <n v="99912531"/>
        <n v="99912532"/>
        <n v="99912533"/>
        <n v="99912534"/>
        <n v="99912535"/>
        <n v="99912536"/>
        <n v="99912537"/>
        <n v="99912538"/>
        <n v="99912539"/>
        <n v="99912540"/>
        <n v="99912541"/>
        <n v="99912542"/>
        <n v="99912543"/>
        <n v="99912544"/>
        <n v="99912545"/>
        <n v="99912546"/>
        <n v="99912547"/>
        <n v="99912548"/>
        <n v="99912549"/>
        <n v="99912550"/>
        <n v="99912551"/>
        <n v="99912552"/>
        <n v="99912553"/>
        <n v="99912554"/>
        <n v="99912555"/>
        <n v="99912556"/>
        <n v="99912557"/>
        <n v="99912558"/>
        <n v="99912559"/>
        <n v="99912560"/>
        <n v="99912561"/>
        <n v="99912562"/>
        <n v="99912563"/>
        <n v="99912564"/>
        <n v="99912565"/>
        <n v="99912566"/>
        <n v="99912567"/>
        <n v="99912568"/>
        <n v="99912569"/>
        <n v="99912570"/>
        <n v="99912571"/>
        <n v="99912572"/>
        <n v="99912573"/>
        <n v="99912574"/>
        <n v="99912575"/>
        <n v="99912576"/>
        <n v="99912577"/>
        <n v="99912578"/>
        <n v="99912579"/>
        <n v="99912580"/>
        <n v="99912581"/>
        <n v="99912582"/>
        <n v="99912583"/>
        <n v="99912584"/>
        <n v="99912585"/>
        <n v="99912586"/>
        <n v="99912587"/>
        <n v="99912588"/>
        <n v="99912589"/>
        <n v="99912590"/>
        <n v="99912591"/>
        <n v="99912592"/>
        <n v="99912593"/>
        <n v="99912594"/>
        <n v="99912595"/>
        <n v="99912596"/>
        <n v="99912597"/>
        <n v="99912598"/>
        <n v="99912599"/>
        <n v="99912600"/>
        <n v="99912601"/>
        <n v="99912602"/>
        <n v="99912603"/>
        <n v="99912604"/>
        <n v="99912605"/>
        <n v="99912606"/>
        <n v="99912607"/>
        <n v="99912608"/>
        <n v="99912609"/>
        <n v="99912610"/>
        <n v="99912611"/>
        <n v="99912612"/>
        <n v="99912613"/>
        <n v="99912614"/>
        <n v="99912615"/>
        <n v="99912616"/>
        <n v="99912617"/>
        <n v="99912618"/>
        <n v="99912619"/>
        <n v="99912620"/>
        <n v="99912621"/>
        <n v="99912622"/>
        <n v="99912623"/>
        <n v="99912624"/>
        <n v="99912625"/>
        <n v="99912626"/>
        <n v="99912627"/>
        <n v="99912628"/>
        <n v="99912629"/>
        <n v="99912630"/>
        <n v="99912631"/>
        <n v="99912632"/>
        <n v="99912633"/>
        <n v="99912634"/>
        <n v="99912635"/>
        <n v="99912636"/>
        <n v="99912637"/>
        <n v="99912638"/>
        <n v="99912639"/>
        <n v="99912640"/>
        <n v="99912641"/>
        <n v="99912642"/>
        <n v="99912643"/>
        <n v="99912644"/>
        <n v="99912645"/>
        <n v="99912646"/>
        <n v="99912647"/>
        <n v="99912648"/>
        <n v="99912649"/>
        <n v="99912650"/>
        <n v="99912651"/>
        <n v="99912652"/>
        <n v="99912653"/>
        <n v="99912654"/>
        <n v="99912655"/>
        <n v="99912656"/>
        <n v="99912657"/>
        <n v="99912658"/>
        <n v="99912659"/>
        <n v="99912660"/>
        <n v="99912661"/>
        <n v="99912662"/>
        <n v="99912663"/>
        <n v="99912664"/>
        <n v="99912665"/>
        <n v="99912666"/>
        <n v="99912667"/>
        <n v="99912668"/>
        <n v="99912669"/>
        <n v="99912670"/>
        <n v="99912671"/>
        <n v="99912672"/>
        <n v="99912673"/>
        <n v="99912674"/>
        <n v="99912675"/>
        <n v="99912676"/>
        <n v="99912677"/>
        <n v="99912678"/>
        <n v="99912679"/>
        <n v="99912680"/>
        <n v="99912681"/>
        <n v="99912682"/>
        <n v="99912683"/>
        <n v="99912684"/>
        <n v="99912685"/>
        <n v="99912686"/>
        <n v="99912687"/>
        <n v="99912688"/>
        <n v="99912689"/>
        <n v="99912690"/>
        <n v="99912691"/>
        <n v="99912692"/>
        <n v="99912693"/>
        <n v="99912694"/>
        <n v="99912695"/>
        <n v="99912696"/>
        <n v="99912697"/>
        <n v="99912698"/>
        <n v="99912699"/>
        <n v="99912700"/>
        <n v="99912701"/>
        <n v="99912702"/>
        <n v="99912703"/>
        <n v="99912704"/>
        <n v="99912705"/>
        <n v="99912706"/>
        <n v="99912707"/>
        <n v="99912708"/>
        <n v="99912709"/>
        <n v="99912710"/>
        <n v="99912711"/>
        <n v="99912712"/>
        <n v="99912713"/>
        <n v="99912714"/>
        <n v="99912715"/>
        <n v="99912716"/>
        <n v="99912717"/>
        <n v="99912718"/>
        <n v="99912719"/>
        <n v="99912720"/>
        <n v="99912721"/>
        <n v="99912722"/>
        <n v="99912723"/>
        <n v="99912724"/>
        <n v="99912725"/>
        <n v="99912726"/>
        <n v="99912727"/>
        <n v="99912728"/>
        <n v="99912729"/>
        <n v="99912730"/>
        <n v="99912731"/>
        <n v="99912732"/>
        <n v="99912733"/>
        <n v="99912734"/>
        <n v="99912735"/>
        <n v="99912736"/>
        <n v="99912737"/>
        <n v="99912738"/>
        <n v="99912739"/>
        <n v="99912740"/>
        <n v="99912741"/>
        <n v="99912742"/>
        <n v="99912743"/>
        <n v="99912744"/>
        <n v="99912745"/>
        <n v="99912746"/>
        <n v="99912747"/>
        <n v="99912748"/>
        <n v="99912749"/>
        <n v="99912750"/>
        <n v="99912751"/>
        <n v="99912752"/>
        <n v="99912753"/>
        <n v="99912754"/>
        <n v="99912755"/>
        <n v="99912756"/>
        <n v="99912757"/>
        <n v="99912758"/>
        <n v="99912759"/>
        <n v="99912760"/>
        <n v="99912761"/>
        <n v="99912762"/>
        <n v="99912763"/>
        <n v="99912764"/>
        <n v="99912765"/>
        <n v="99912766"/>
        <n v="99912767"/>
        <n v="99912768"/>
        <n v="99912769"/>
        <n v="99912770"/>
        <n v="99912771"/>
        <n v="99912772"/>
        <n v="99912773"/>
        <n v="99912774"/>
        <n v="99912775"/>
        <n v="99912776"/>
        <n v="99912777"/>
        <n v="99912778"/>
        <n v="99912779"/>
        <n v="99912780"/>
        <n v="99912781"/>
        <n v="99912782"/>
        <n v="99912783"/>
        <n v="99912784"/>
        <n v="99912785"/>
        <n v="99912786"/>
        <n v="99912787"/>
        <n v="99912788"/>
        <n v="99912789"/>
        <n v="99912790"/>
        <n v="99912791"/>
        <n v="99912792"/>
        <n v="99912793"/>
        <n v="99912794"/>
        <n v="99912795"/>
        <n v="99912796"/>
        <n v="99912797"/>
        <n v="99912798"/>
        <n v="99912799"/>
        <n v="99912800"/>
        <n v="99912801"/>
        <n v="99912802"/>
        <n v="99912803"/>
        <n v="99912804"/>
        <n v="99912805"/>
        <n v="99912806"/>
        <n v="99912807"/>
        <n v="99912808"/>
        <n v="99912809"/>
        <n v="99912810"/>
        <n v="99912811"/>
        <n v="99912812"/>
        <n v="99912813"/>
        <n v="99912814"/>
        <n v="99912815"/>
        <n v="99912816"/>
        <n v="99912817"/>
        <n v="99912818"/>
        <n v="99912819"/>
        <n v="99912820"/>
        <n v="99912821"/>
        <n v="99912822"/>
        <n v="99912823"/>
        <n v="99912824"/>
        <n v="99912825"/>
        <n v="99912826"/>
        <n v="99912827"/>
        <n v="99912828"/>
        <n v="99912829"/>
        <n v="99912830"/>
        <n v="99912831"/>
        <n v="99912832"/>
        <n v="99912833"/>
        <n v="99912834"/>
        <n v="99912835"/>
        <n v="99912836"/>
        <n v="99912837"/>
        <n v="99912838"/>
        <n v="99912839"/>
        <n v="99912840"/>
        <n v="99912841"/>
        <n v="99912842"/>
        <n v="99912843"/>
        <n v="99912844"/>
        <n v="99912845"/>
        <n v="99912846"/>
        <n v="99912847"/>
        <n v="99912848"/>
        <n v="99912849"/>
        <n v="99912850"/>
        <n v="99912851"/>
        <n v="99912852"/>
        <n v="99912853"/>
        <n v="99912854"/>
        <n v="99912855"/>
        <n v="99912856"/>
        <n v="99912857"/>
        <n v="99912858"/>
        <n v="99912859"/>
        <n v="99912860"/>
        <n v="99912861"/>
        <n v="99912862"/>
        <n v="99912863"/>
        <n v="99912864"/>
        <n v="99912865"/>
        <n v="99912866"/>
        <n v="99912867"/>
        <n v="99912868"/>
        <n v="99912869"/>
        <n v="99912870"/>
        <n v="99912871"/>
        <n v="99912872"/>
        <n v="99912873"/>
        <n v="99912874"/>
        <n v="99912875"/>
        <n v="99912876"/>
        <n v="99912877"/>
        <n v="99912878"/>
        <n v="99912879"/>
        <n v="99912880"/>
        <n v="99912881"/>
        <n v="99912882"/>
        <n v="99912883"/>
        <n v="99912884"/>
        <n v="99912885"/>
        <n v="99912886"/>
        <n v="99912887"/>
        <n v="99912888"/>
        <n v="99912889"/>
        <n v="99912890"/>
        <n v="99912891"/>
        <n v="99912892"/>
        <n v="99912893"/>
        <n v="99912894"/>
        <n v="99912895"/>
        <n v="99912896"/>
        <n v="99912897"/>
        <n v="99912898"/>
        <n v="99912899"/>
        <n v="99912900"/>
        <n v="99912901"/>
        <n v="99912902"/>
        <n v="99912903"/>
        <n v="99912904"/>
        <n v="99912905"/>
        <n v="99912906"/>
        <n v="99912907"/>
        <n v="99912908"/>
        <n v="99912909"/>
        <n v="99912910"/>
        <n v="99912911"/>
        <n v="99912912"/>
        <n v="99912913"/>
        <n v="99912914"/>
        <n v="99912915"/>
        <n v="99912916"/>
        <n v="99912917"/>
        <n v="99912918"/>
        <n v="99912919"/>
        <n v="99912920"/>
        <n v="99912921"/>
        <n v="99912922"/>
        <n v="99912923"/>
        <n v="99912924"/>
        <n v="99912925"/>
        <n v="99912926"/>
        <n v="99912927"/>
        <n v="99912928"/>
        <n v="99912929"/>
        <n v="99912930"/>
        <n v="99912931"/>
        <n v="99912932"/>
        <n v="99912933"/>
        <n v="99912934"/>
        <n v="99912935"/>
        <n v="99912936"/>
        <n v="99912937"/>
        <n v="99912938"/>
        <n v="99912939"/>
        <n v="99912940"/>
        <n v="99912941"/>
        <n v="99912942"/>
        <n v="99912943"/>
        <n v="99912944"/>
        <n v="99912945"/>
        <n v="99912946"/>
        <n v="99912947"/>
        <n v="99912948"/>
        <n v="99912949"/>
        <n v="99912950"/>
        <n v="99912951"/>
        <n v="99912952"/>
        <n v="99912953"/>
        <n v="99912954"/>
        <n v="99912955"/>
        <n v="99912956"/>
        <n v="99912957"/>
        <n v="99912958"/>
        <n v="99912959"/>
        <n v="99912960"/>
        <n v="99912961"/>
        <n v="99912962"/>
        <n v="99912963"/>
        <n v="99912964"/>
        <n v="99912965"/>
        <n v="99912966"/>
        <n v="99912967"/>
        <n v="99912968"/>
        <n v="99912969"/>
        <n v="99912970"/>
        <n v="99912971"/>
        <n v="99912972"/>
        <n v="99912973"/>
        <n v="99912974"/>
        <n v="99912975"/>
        <n v="99912976"/>
        <n v="99912977"/>
        <n v="99912978"/>
        <n v="99912979"/>
        <n v="99912980"/>
        <n v="99912981"/>
        <n v="99912982"/>
        <n v="99912983"/>
        <n v="99912984"/>
        <n v="99912985"/>
        <n v="99912986"/>
        <n v="99912987"/>
        <n v="99912988"/>
        <n v="99912989"/>
        <n v="99912990"/>
        <n v="99912991"/>
        <n v="99912992"/>
        <n v="99912993"/>
        <n v="99912994"/>
        <n v="99912995"/>
        <n v="99912996"/>
        <n v="99912997"/>
        <n v="99912998"/>
        <n v="99912999"/>
        <n v="99913000"/>
        <n v="99913001"/>
        <n v="99913002"/>
        <n v="99913003"/>
        <n v="99913004"/>
        <n v="99913005"/>
        <n v="99913006"/>
        <n v="99913007"/>
        <n v="99913008"/>
        <n v="99913009"/>
        <n v="99913010"/>
        <n v="99913011"/>
        <n v="99913012"/>
        <n v="99913013"/>
        <n v="99913014"/>
        <n v="99913015"/>
        <n v="99913016"/>
        <n v="99913017"/>
        <n v="99913018"/>
        <n v="99913019"/>
        <n v="99913020"/>
        <n v="99913021"/>
        <n v="99913022"/>
        <n v="99913023"/>
        <n v="99913024"/>
        <n v="99913025"/>
        <n v="99913026"/>
        <n v="99913027"/>
        <n v="99913028"/>
        <n v="99913029"/>
        <n v="99913030"/>
        <n v="99913031"/>
        <n v="99913032"/>
        <n v="99913033"/>
        <n v="99913034"/>
        <n v="99913035"/>
        <n v="99913036"/>
        <n v="99913037"/>
        <n v="99913038"/>
        <n v="99913039"/>
        <n v="99913040"/>
        <n v="99913041"/>
        <n v="99913042"/>
        <n v="99913043"/>
        <n v="99913044"/>
        <n v="99913045"/>
        <n v="99913046"/>
        <n v="99913047"/>
        <n v="99913048"/>
        <n v="99913049"/>
        <n v="99913050"/>
        <n v="99913051"/>
        <n v="99913052"/>
        <n v="99913053"/>
        <n v="99913054"/>
        <n v="99913055"/>
        <n v="99913056"/>
        <n v="99913057"/>
        <n v="99913058"/>
        <n v="99913059"/>
        <n v="99913060"/>
        <n v="99913061"/>
        <n v="99913062"/>
        <n v="99913063"/>
        <n v="99913064"/>
        <n v="99913065"/>
        <n v="99913066"/>
        <n v="99913067"/>
        <n v="99913068"/>
        <n v="99913069"/>
        <n v="99913070"/>
        <n v="99913071"/>
        <n v="99913072"/>
        <n v="99913073"/>
        <n v="99913074"/>
        <n v="99913075"/>
        <n v="99913076"/>
        <n v="99913077"/>
        <n v="99913078"/>
        <n v="99913079"/>
        <n v="99913080"/>
        <n v="99913081"/>
        <n v="99913082"/>
        <n v="99913083"/>
        <n v="99913084"/>
        <n v="99913085"/>
        <n v="99913086"/>
        <n v="99913087"/>
        <n v="99913088"/>
        <n v="99913089"/>
        <n v="99913090"/>
        <n v="99913091"/>
        <n v="99913092"/>
        <n v="99913093"/>
        <n v="99913094"/>
        <n v="99913095"/>
        <n v="99913096"/>
        <n v="99913097"/>
        <n v="99913098"/>
        <n v="99913099"/>
        <n v="99913100"/>
        <n v="99913101"/>
        <n v="99913102"/>
        <n v="99913103"/>
        <n v="99913104"/>
        <n v="99913105"/>
        <n v="99913106"/>
        <n v="99913107"/>
        <n v="99913108"/>
        <n v="99913109"/>
        <n v="99913110"/>
        <n v="99913111"/>
        <n v="99913112"/>
        <n v="99913113"/>
        <n v="99913114"/>
        <n v="99913115"/>
        <n v="99913116"/>
        <n v="99913117"/>
        <n v="99913118"/>
        <n v="99913119"/>
        <n v="99913120"/>
        <n v="99913121"/>
        <n v="99913122"/>
        <n v="99913123"/>
        <n v="99913124"/>
        <n v="99913125"/>
        <n v="99913126"/>
        <n v="99913127"/>
        <n v="99913128"/>
        <n v="99913129"/>
        <n v="99913130"/>
        <n v="99913131"/>
        <n v="99913132"/>
        <n v="99913133"/>
        <n v="99913134"/>
        <n v="99913135"/>
        <n v="99913136"/>
        <n v="99913137"/>
        <n v="99913138"/>
        <n v="99913139"/>
        <n v="99913140"/>
        <n v="99913141"/>
        <n v="99913142"/>
        <n v="99913143"/>
        <n v="99913144"/>
        <n v="99913145"/>
        <n v="99913146"/>
        <n v="99913147"/>
        <n v="99913148"/>
        <n v="99913149"/>
        <n v="99913150"/>
        <n v="99913151"/>
        <n v="99913152"/>
        <n v="99913153"/>
        <n v="99913154"/>
        <n v="99913155"/>
        <n v="99913156"/>
        <n v="99913157"/>
        <n v="99913158"/>
        <n v="99913159"/>
        <n v="99913160"/>
        <n v="99913161"/>
        <n v="99913162"/>
        <n v="99913163"/>
        <n v="99913164"/>
        <n v="99913165"/>
        <n v="99913166"/>
        <n v="99913167"/>
        <n v="99913168"/>
        <n v="99913169"/>
        <n v="99913170"/>
        <n v="99913171"/>
        <n v="99913172"/>
        <n v="99913173"/>
        <n v="99913174"/>
        <n v="99913175"/>
        <n v="99913176"/>
        <n v="99913177"/>
        <n v="99913178"/>
        <n v="99913179"/>
        <n v="99913180"/>
        <n v="99913181"/>
        <n v="99913182"/>
        <n v="99913183"/>
        <n v="99913184"/>
        <n v="99913185"/>
        <n v="99913186"/>
        <n v="99913187"/>
        <n v="99913188"/>
        <n v="99913189"/>
        <n v="99913190"/>
        <n v="99913191"/>
        <n v="99913192"/>
        <n v="99913193"/>
        <n v="99913194"/>
        <n v="99913195"/>
        <n v="99913196"/>
        <n v="99913197"/>
        <n v="99913198"/>
        <n v="99913199"/>
        <n v="99913200"/>
        <n v="99913201"/>
        <n v="99913202"/>
        <n v="99913203"/>
        <n v="99913204"/>
        <n v="99913205"/>
        <n v="99913206"/>
        <n v="99913207"/>
        <n v="99913208"/>
        <n v="99913209"/>
        <n v="99913210"/>
        <n v="99913211"/>
        <n v="99913212"/>
        <n v="99913213"/>
        <n v="99913214"/>
        <n v="99913215"/>
        <n v="99913216"/>
        <n v="99913217"/>
        <n v="99913218"/>
        <n v="99913219"/>
        <n v="99913220"/>
        <n v="99913221"/>
        <n v="99913222"/>
        <n v="99913223"/>
        <n v="99913224"/>
        <n v="99913225"/>
        <n v="99913226"/>
        <n v="99913227"/>
        <n v="99913228"/>
        <n v="99913229"/>
        <n v="99913230"/>
        <n v="99913231"/>
        <n v="99913232"/>
        <n v="99913233"/>
        <n v="99913234"/>
        <n v="99913235"/>
        <n v="99913236"/>
        <n v="99913237"/>
        <n v="99913238"/>
        <n v="99913239"/>
        <n v="99913240"/>
        <n v="99913241"/>
        <n v="99913242"/>
        <n v="99913243"/>
        <n v="99913244"/>
        <n v="99913245"/>
        <n v="99913246"/>
        <n v="99913247"/>
        <n v="99913248"/>
        <n v="99913249"/>
        <n v="99913250"/>
        <n v="99913251"/>
        <n v="99913252"/>
        <n v="99913253"/>
        <n v="99913254"/>
        <n v="99913255"/>
        <n v="99913256"/>
        <n v="99913257"/>
        <n v="99913258"/>
        <n v="99913259"/>
        <n v="99913260"/>
        <n v="99913261"/>
        <n v="99913262"/>
        <n v="99913263"/>
        <n v="99913264"/>
        <n v="99913265"/>
        <n v="99913266"/>
        <n v="99913267"/>
        <n v="99913268"/>
        <n v="99913269"/>
        <n v="99913270"/>
        <n v="99913271"/>
        <n v="99913272"/>
        <n v="99913273"/>
        <n v="99913274"/>
        <n v="99913275"/>
        <n v="99913276"/>
        <n v="99913277"/>
        <n v="99913278"/>
        <n v="99913279"/>
        <n v="99913280"/>
        <n v="99913281"/>
        <n v="99913282"/>
        <n v="99913283"/>
        <n v="99913284"/>
        <n v="99913285"/>
        <n v="99913286"/>
        <n v="99913287"/>
        <n v="99913288"/>
        <n v="99913289"/>
        <n v="99913290"/>
        <n v="99913291"/>
        <n v="99913292"/>
        <n v="99913293"/>
        <n v="99913294"/>
        <n v="99913295"/>
        <n v="99913296"/>
        <n v="99913297"/>
        <n v="99913298"/>
        <n v="99913299"/>
        <n v="99913300"/>
        <n v="99913301"/>
        <n v="99913302"/>
        <n v="99913303"/>
        <n v="99913304"/>
        <n v="99913305"/>
        <n v="99913306"/>
        <n v="99913307"/>
        <n v="99913308"/>
        <n v="99913309"/>
        <n v="99913310"/>
        <n v="99913311"/>
        <n v="99913312"/>
        <n v="99913313"/>
        <n v="99913314"/>
        <n v="99913315"/>
        <n v="99913316"/>
        <n v="99913317"/>
        <n v="99913318"/>
        <n v="99913319"/>
        <n v="99913320"/>
        <n v="99913321"/>
        <n v="99913322"/>
        <n v="99913323"/>
        <n v="99913324"/>
        <n v="99913325"/>
        <n v="99913326"/>
        <n v="99913327"/>
        <n v="99913328"/>
        <n v="99913329"/>
        <n v="99913330"/>
        <n v="99913331"/>
        <n v="99913332"/>
        <n v="99913333"/>
        <n v="99913334"/>
        <n v="99913335"/>
        <n v="99913336"/>
        <n v="99913337"/>
        <n v="99913338"/>
        <n v="99913339"/>
        <n v="99913340"/>
        <n v="99913341"/>
        <n v="99913342"/>
        <n v="99913343"/>
        <n v="99913344"/>
        <n v="99913345"/>
        <n v="99913346"/>
        <n v="99913347"/>
        <n v="99913348"/>
        <n v="99913349"/>
        <n v="99913350"/>
        <n v="99913351"/>
        <n v="99913352"/>
        <n v="99913353"/>
        <n v="99913354"/>
        <n v="99913355"/>
        <n v="99913356"/>
        <n v="99913357"/>
        <n v="99913358"/>
        <n v="99913359"/>
        <n v="99913360"/>
        <n v="99913361"/>
        <n v="99913362"/>
        <n v="99913363"/>
        <n v="99913364"/>
        <n v="99913365"/>
        <n v="99913366"/>
        <n v="99913367"/>
        <n v="99913368"/>
        <n v="99913369"/>
        <n v="99913370"/>
        <n v="99913371"/>
        <n v="99913372"/>
        <n v="99913373"/>
        <n v="99913374"/>
        <n v="99913375"/>
        <n v="99913376"/>
        <n v="99913377"/>
        <n v="99913378"/>
        <n v="99913379"/>
        <n v="99913380"/>
        <n v="99913381"/>
        <n v="99913382"/>
        <n v="99913383"/>
        <n v="99913384"/>
        <n v="99913385"/>
        <n v="99913386"/>
        <n v="99913387"/>
        <n v="99913388"/>
        <n v="99913389"/>
        <n v="99913390"/>
        <n v="99913391"/>
        <n v="99913392"/>
        <n v="99913393"/>
        <n v="99913394"/>
        <n v="99913395"/>
        <n v="99913396"/>
        <n v="99913397"/>
        <n v="99913398"/>
        <n v="99913399"/>
        <n v="99913400"/>
        <n v="99913401"/>
        <n v="99913402"/>
        <n v="99913403"/>
        <n v="99913404"/>
        <n v="99913405"/>
        <n v="99913406"/>
        <n v="99913407"/>
        <n v="99913408"/>
        <n v="99913409"/>
        <n v="99913410"/>
        <n v="99913411"/>
        <n v="99913412"/>
        <n v="99913413"/>
        <n v="99913414"/>
        <n v="99913415"/>
        <n v="99913416"/>
        <n v="99913417"/>
        <n v="99913418"/>
        <n v="99913419"/>
        <n v="99913420"/>
        <n v="99913421"/>
        <n v="99913422"/>
        <n v="99913423"/>
        <n v="99913424"/>
        <n v="99913425"/>
        <n v="99913426"/>
        <n v="99913427"/>
        <n v="99913428"/>
        <n v="99913429"/>
        <n v="99913430"/>
        <n v="99913431"/>
        <n v="99913432"/>
        <n v="99913433"/>
        <n v="99913434"/>
        <n v="99913435"/>
        <n v="99913436"/>
        <n v="99913437"/>
        <n v="99913438"/>
        <n v="99913439"/>
        <n v="99913440"/>
        <n v="99913441"/>
        <n v="99913442"/>
        <n v="99913443"/>
        <n v="99913444"/>
        <n v="99913445"/>
        <n v="99913446"/>
        <n v="99913447"/>
        <n v="99913448"/>
        <n v="99913449"/>
        <n v="99913450"/>
        <n v="99913451"/>
        <n v="99913452"/>
        <n v="99913453"/>
        <n v="99913454"/>
        <n v="99913455"/>
        <n v="99913456"/>
        <n v="99913457"/>
        <n v="99913458"/>
        <n v="99913459"/>
        <n v="99913460"/>
        <n v="99913461"/>
        <n v="99913462"/>
        <n v="99913463"/>
        <n v="99913464"/>
        <n v="99913465"/>
        <n v="99913466"/>
        <n v="99913467"/>
        <n v="99913468"/>
        <n v="99913469"/>
        <n v="99913470"/>
        <n v="99913471"/>
        <n v="99913472"/>
        <n v="99913473"/>
        <n v="99913474"/>
        <n v="99913475"/>
        <n v="99913476"/>
        <n v="99913477"/>
        <n v="99913478"/>
        <n v="99913479"/>
        <n v="99913480"/>
        <n v="99913481"/>
        <n v="99913482"/>
        <n v="99913483"/>
        <n v="99913484"/>
        <n v="99913485"/>
        <n v="99913486"/>
        <n v="99913487"/>
        <n v="99913488"/>
        <n v="99913489"/>
        <n v="99913490"/>
        <n v="99913491"/>
        <n v="99913492"/>
        <n v="99913493"/>
        <n v="99913494"/>
        <n v="99913495"/>
        <n v="99913496"/>
        <n v="99913497"/>
        <n v="99913498"/>
        <n v="99913499"/>
        <n v="99913500"/>
        <n v="99913501"/>
        <n v="99913502"/>
        <n v="99913503"/>
        <n v="99913504"/>
        <n v="99913505"/>
        <n v="99913506"/>
        <n v="99913507"/>
        <n v="99913508"/>
        <n v="99913509"/>
        <n v="99913510"/>
        <n v="99913511"/>
        <n v="99913512"/>
        <n v="99913513"/>
        <n v="99913514"/>
        <n v="99913515"/>
        <n v="99913516"/>
        <n v="99913517"/>
        <n v="99913518"/>
        <n v="99913519"/>
        <n v="99913520"/>
        <n v="99913521"/>
        <n v="99913522"/>
        <n v="99913523"/>
        <n v="99913524"/>
        <n v="99913525"/>
        <n v="99913526"/>
        <n v="99913527"/>
        <n v="99913528"/>
        <n v="99913529"/>
        <n v="99913530"/>
        <n v="99913531"/>
        <n v="99913532"/>
        <n v="99913533"/>
        <n v="99913534"/>
        <n v="99913535"/>
        <n v="99913536"/>
        <n v="99913537"/>
        <n v="99913538"/>
        <n v="99913539"/>
        <n v="99913540"/>
        <n v="99913541"/>
        <n v="99913542"/>
        <n v="99913543"/>
        <n v="99913544"/>
        <n v="99913545"/>
        <n v="99913546"/>
        <n v="99913547"/>
        <n v="99913548"/>
        <n v="99913549"/>
        <n v="99913550"/>
        <n v="99913551"/>
        <n v="99913552"/>
        <n v="99913553"/>
        <n v="99913554"/>
        <n v="99913555"/>
        <n v="99913556"/>
        <n v="99913557"/>
        <n v="99913558"/>
        <n v="99913559"/>
        <n v="99913560"/>
        <n v="99913561"/>
        <n v="99913562"/>
        <n v="99913563"/>
        <n v="99913564"/>
        <n v="99913565"/>
        <n v="99913566"/>
        <n v="99913567"/>
        <n v="99913568"/>
        <n v="99913569"/>
        <n v="99913570"/>
        <n v="99913571"/>
        <n v="99913572"/>
        <n v="99913573"/>
        <n v="99913574"/>
        <n v="99913575"/>
        <n v="99913576"/>
        <n v="99913577"/>
        <n v="99913578"/>
        <n v="99913579"/>
        <n v="99913580"/>
        <n v="99913581"/>
        <n v="99913582"/>
        <n v="99913583"/>
        <n v="99913584"/>
        <n v="99913585"/>
        <n v="99913586"/>
        <n v="99913587"/>
        <n v="99913588"/>
        <n v="99913589"/>
        <n v="99913590"/>
        <n v="99913591"/>
        <n v="99913592"/>
        <n v="99913593"/>
        <n v="99913594"/>
        <n v="99913595"/>
        <n v="99913596"/>
        <n v="99913597"/>
        <n v="99913598"/>
        <n v="99913599"/>
        <n v="99913600"/>
        <n v="99913601"/>
        <n v="99913602"/>
        <n v="99913603"/>
        <n v="99913604"/>
        <n v="99913605"/>
        <n v="99913606"/>
        <n v="99913607"/>
        <n v="99913608"/>
        <n v="99913609"/>
        <n v="99913610"/>
        <n v="99913611"/>
        <n v="99913612"/>
        <n v="99913613"/>
        <n v="99913614"/>
        <n v="99913615"/>
        <n v="99913616"/>
        <n v="99913617"/>
        <n v="99913618"/>
        <n v="99913619"/>
        <n v="99913620"/>
        <n v="99913621"/>
        <n v="99913622"/>
        <n v="99913623"/>
        <n v="99913624"/>
        <n v="99913625"/>
        <n v="99913626"/>
        <n v="99913627"/>
        <n v="99913628"/>
        <n v="99913629"/>
        <n v="99913630"/>
        <n v="99913631"/>
        <n v="99913632"/>
        <n v="99913633"/>
        <n v="99913634"/>
        <n v="99913635"/>
        <n v="99913636"/>
        <n v="99913637"/>
        <n v="99913638"/>
        <n v="99913639"/>
        <n v="99913640"/>
        <n v="99913641"/>
        <n v="99913642"/>
        <n v="99913643"/>
        <n v="99913644"/>
        <n v="99913645"/>
        <n v="99913646"/>
        <n v="99913647"/>
        <n v="99913648"/>
        <n v="99913649"/>
        <n v="99913650"/>
        <n v="99913651"/>
        <n v="99913652"/>
        <n v="99913653"/>
        <n v="99913654"/>
        <n v="99913655"/>
        <n v="99913656"/>
        <n v="99913657"/>
        <n v="99913658"/>
        <n v="99913659"/>
        <n v="99913660"/>
        <n v="99913661"/>
        <n v="99913662"/>
        <n v="99913663"/>
        <n v="99913664"/>
        <n v="99913665"/>
        <n v="99913666"/>
        <n v="99913667"/>
        <n v="99913668"/>
        <n v="99913669"/>
        <n v="99913670"/>
        <n v="99913671"/>
        <n v="99913672"/>
        <n v="99913673"/>
        <n v="99913674"/>
        <n v="99913675"/>
        <n v="99913676"/>
        <n v="99913677"/>
        <n v="99913678"/>
        <n v="99913679"/>
        <n v="99913680"/>
        <n v="99913681"/>
        <n v="99913682"/>
        <n v="99913683"/>
        <n v="99913684"/>
        <n v="99913685"/>
        <n v="99913686"/>
        <n v="99913687"/>
        <n v="99913688"/>
        <n v="99913689"/>
        <n v="99913690"/>
        <n v="99913691"/>
        <n v="99913692"/>
        <n v="99913693"/>
        <n v="99913694"/>
        <n v="99913695"/>
        <n v="99913696"/>
        <n v="99913697"/>
        <n v="99913698"/>
        <n v="99913699"/>
        <n v="99913700"/>
        <n v="99913701"/>
        <n v="99913702"/>
        <n v="99913703"/>
        <n v="99913704"/>
        <n v="99913705"/>
        <n v="99913706"/>
        <n v="99913707"/>
        <n v="99913708"/>
        <n v="99913709"/>
        <n v="99913710"/>
        <n v="99913711"/>
        <n v="99913712"/>
        <n v="99913713"/>
        <n v="99913714"/>
        <n v="99913715"/>
        <n v="99913716"/>
        <n v="99913717"/>
        <n v="99913718"/>
        <n v="99913719"/>
        <n v="99913720"/>
        <n v="99913721"/>
        <n v="99913722"/>
        <n v="99913723"/>
        <n v="99913724"/>
        <n v="99913725"/>
        <n v="99913726"/>
        <n v="99913727"/>
        <n v="99913728"/>
        <n v="99913729"/>
        <n v="99913730"/>
        <n v="99913731"/>
        <n v="99913732"/>
        <n v="99913733"/>
        <n v="99913734"/>
        <n v="99913735"/>
        <n v="99913736"/>
        <n v="99913737"/>
        <n v="99913738"/>
        <n v="99913739"/>
        <n v="99913740"/>
        <n v="99913741"/>
        <n v="99913742"/>
        <n v="99913743"/>
        <n v="99913744"/>
        <n v="99913745"/>
        <n v="99913746"/>
        <n v="99913747"/>
        <n v="99913748"/>
        <n v="99913749"/>
        <n v="99913750"/>
        <n v="99913751"/>
        <n v="99913752"/>
        <n v="99913753"/>
        <n v="99913754"/>
        <n v="99913755"/>
        <n v="99913756"/>
        <n v="99913757"/>
        <n v="99913758"/>
        <n v="99913759"/>
        <n v="99913760"/>
        <n v="99913761"/>
        <n v="99913762"/>
        <n v="99913763"/>
        <n v="99913764"/>
        <n v="99913765"/>
        <n v="99913766"/>
        <n v="99913767"/>
        <n v="99913768"/>
        <n v="99913769"/>
        <n v="99913770"/>
        <n v="99913771"/>
        <n v="99913772"/>
        <n v="99913773"/>
        <n v="99913774"/>
        <n v="99913775"/>
        <n v="99913776"/>
        <n v="99913777"/>
        <n v="99913778"/>
        <n v="99913779"/>
        <n v="99913780"/>
        <n v="99913781"/>
        <n v="99913782"/>
        <n v="99913783"/>
        <n v="99913784"/>
        <n v="99913785"/>
        <n v="99913786"/>
        <n v="99913787"/>
        <n v="99913788"/>
        <n v="99913789"/>
        <n v="99913790"/>
        <n v="99913791"/>
        <n v="99913792"/>
        <n v="99913793"/>
        <n v="99913794"/>
        <n v="99913795"/>
        <n v="99913796"/>
        <n v="99913797"/>
        <n v="99913798"/>
        <n v="99913799"/>
        <n v="99913800"/>
        <n v="99913801"/>
        <n v="99913802"/>
        <n v="99913803"/>
        <n v="99913804"/>
        <n v="99913805"/>
        <n v="99913806"/>
        <n v="99913807"/>
        <n v="99913808"/>
        <n v="99913809"/>
        <n v="99913810"/>
        <n v="99913811"/>
        <n v="99913812"/>
        <n v="99913813"/>
        <n v="99913814"/>
        <n v="99913815"/>
        <n v="99913816"/>
        <n v="99913817"/>
        <n v="99913818"/>
        <n v="99913819"/>
        <n v="99913820"/>
        <n v="99913821"/>
        <n v="99913822"/>
        <n v="99913823"/>
        <n v="99913824"/>
        <n v="99913825"/>
        <n v="99913826"/>
        <n v="99913827"/>
        <n v="99913828"/>
        <n v="99913829"/>
        <n v="99913830"/>
        <n v="99913831"/>
        <n v="99913832"/>
        <n v="99913833"/>
        <n v="99913834"/>
        <n v="99913835"/>
        <n v="99913836"/>
        <n v="99913837"/>
        <n v="99913838"/>
        <n v="99913839"/>
        <n v="99913840"/>
        <n v="99913841"/>
        <n v="99913842"/>
        <n v="99913843"/>
        <n v="99913844"/>
        <n v="99913845"/>
        <n v="99913846"/>
        <n v="99913847"/>
        <n v="99913848"/>
        <n v="99913849"/>
        <n v="99913850"/>
        <n v="99913851"/>
        <n v="99913852"/>
        <n v="99913853"/>
        <n v="99913854"/>
        <n v="99913855"/>
        <n v="99913856"/>
        <n v="99913857"/>
        <n v="99913858"/>
        <n v="99913859"/>
        <n v="99913860"/>
        <n v="99913861"/>
        <n v="99913862"/>
        <n v="99913863"/>
        <n v="99913864"/>
        <n v="99913865"/>
        <n v="99913866"/>
        <n v="99913867"/>
        <n v="99913868"/>
        <n v="99913869"/>
        <n v="99913870"/>
        <n v="99913871"/>
        <n v="99913872"/>
        <n v="99913873"/>
        <n v="99913874"/>
        <n v="99913875"/>
        <n v="99913876"/>
        <n v="99913877"/>
        <n v="99913878"/>
        <n v="99913879"/>
        <n v="99913880"/>
        <n v="99913881"/>
        <n v="99913882"/>
        <n v="99913883"/>
        <n v="99913884"/>
        <n v="99913885"/>
        <n v="99913886"/>
        <n v="99913887"/>
        <n v="99913888"/>
        <n v="99913889"/>
        <n v="99913890"/>
        <n v="99913891"/>
        <n v="99913892"/>
        <n v="99913893"/>
        <n v="99913894"/>
        <n v="99913895"/>
        <n v="99913896"/>
        <n v="99913897"/>
        <n v="99913898"/>
        <n v="99913899"/>
        <n v="99913900"/>
        <n v="99913901"/>
        <n v="99913902"/>
        <n v="99913903"/>
        <n v="99913904"/>
        <n v="99913905"/>
        <n v="99913906"/>
        <n v="99913907"/>
        <n v="99913908"/>
        <n v="99913909"/>
        <n v="99913910"/>
        <n v="99913911"/>
        <n v="99913912"/>
        <n v="99913913"/>
        <n v="99913914"/>
        <n v="99913915"/>
        <n v="99913916"/>
        <n v="99913917"/>
        <n v="99913918"/>
        <n v="99913919"/>
        <n v="99913920"/>
        <n v="99913921"/>
        <n v="99913922"/>
        <n v="99913923"/>
        <n v="99913924"/>
        <n v="99913925"/>
        <n v="99913926"/>
        <n v="99913927"/>
        <n v="99913928"/>
        <n v="99913929"/>
        <n v="99913930"/>
        <n v="99913931"/>
        <n v="99913932"/>
        <n v="99913933"/>
        <n v="99913934"/>
        <n v="99913935"/>
        <n v="99913936"/>
        <n v="99913937"/>
        <n v="99913938"/>
        <n v="99913939"/>
        <n v="99913940"/>
        <n v="99913941"/>
        <n v="99913942"/>
        <n v="99913943"/>
        <n v="99913944"/>
        <n v="99913945"/>
        <n v="99913946"/>
        <n v="99913947"/>
        <n v="99913948"/>
        <n v="99913949"/>
        <n v="99913950"/>
        <n v="99913951"/>
        <n v="99913952"/>
        <n v="99913953"/>
        <n v="99913954"/>
        <n v="99913955"/>
        <n v="99913956"/>
        <n v="99913957"/>
        <n v="99913958"/>
        <n v="99913959"/>
        <n v="99913960"/>
        <n v="99913961"/>
        <n v="99913962"/>
        <n v="99913963"/>
        <n v="99913964"/>
        <n v="99913965"/>
        <n v="99913966"/>
        <n v="99913967"/>
        <n v="99913968"/>
        <n v="99913969"/>
        <n v="99913970"/>
        <n v="99913971"/>
        <n v="99913972"/>
        <n v="99913973"/>
        <n v="99913974"/>
        <n v="99913975"/>
        <n v="99913976"/>
        <n v="99913977"/>
        <n v="99913978"/>
        <n v="99913979"/>
        <n v="99913980"/>
        <n v="99913981"/>
        <n v="99913982"/>
        <n v="99913983"/>
        <n v="99913984"/>
        <n v="99913985"/>
        <n v="99913986"/>
        <n v="99913987"/>
        <n v="99913988"/>
        <n v="99913989"/>
        <n v="99913990"/>
        <n v="99913991"/>
        <n v="99913992"/>
        <n v="99913993"/>
        <n v="99913994"/>
        <n v="99913995"/>
        <n v="99913996"/>
        <n v="99913997"/>
        <n v="99913998"/>
        <n v="99913999"/>
        <n v="99914000"/>
        <n v="99914001"/>
        <n v="99914002"/>
        <n v="99914003"/>
        <n v="99914004"/>
        <n v="99914005"/>
        <n v="99914006"/>
        <n v="99914007"/>
        <n v="99914008"/>
        <n v="99914009"/>
        <n v="99914010"/>
        <n v="99914011"/>
        <n v="99914012"/>
        <n v="99914013"/>
        <n v="99914014"/>
        <n v="99914015"/>
        <n v="99914016"/>
        <n v="99914017"/>
        <n v="99914018"/>
        <n v="99914019"/>
        <n v="99914020"/>
        <n v="99914021"/>
        <n v="99914022"/>
        <n v="99914023"/>
        <n v="99914024"/>
        <n v="99914025"/>
        <n v="99914026"/>
        <n v="99914027"/>
        <n v="99914028"/>
        <n v="99914029"/>
        <n v="99914030"/>
        <n v="99914031"/>
        <n v="99914032"/>
        <n v="99914033"/>
        <n v="99914034"/>
        <n v="99914035"/>
        <n v="99914036"/>
        <n v="99914037"/>
        <n v="99914038"/>
        <n v="99914039"/>
        <n v="99914040"/>
        <n v="99914041"/>
        <n v="99914042"/>
        <n v="99914043"/>
        <n v="99914044"/>
        <n v="99914045"/>
        <n v="99914046"/>
        <n v="99914047"/>
        <n v="99914048"/>
        <n v="99914049"/>
        <n v="99914050"/>
        <n v="99914051"/>
        <n v="99914052"/>
        <n v="99914053"/>
        <n v="99914054"/>
        <n v="99914055"/>
        <n v="99914056"/>
        <n v="99914057"/>
        <n v="99914058"/>
        <n v="99914059"/>
        <n v="99914060"/>
        <n v="99914061"/>
        <n v="99914062"/>
        <n v="99914063"/>
        <n v="99914064"/>
        <n v="99914065"/>
        <n v="99914066"/>
        <n v="99914067"/>
        <n v="99914068"/>
        <n v="99914069"/>
        <n v="99914070"/>
        <n v="99914071"/>
        <n v="99914072"/>
        <n v="99914073"/>
        <n v="99914074"/>
        <n v="99914075"/>
        <n v="99914076"/>
        <n v="99914077"/>
        <n v="99914078"/>
        <n v="99914079"/>
        <n v="99914080"/>
        <n v="99914081"/>
        <n v="99914082"/>
        <n v="99914083"/>
        <n v="99914084"/>
        <n v="99914085"/>
        <n v="99914086"/>
        <n v="99914087"/>
        <n v="99914088"/>
        <n v="99914089"/>
        <n v="99914090"/>
        <n v="99914091"/>
        <n v="99914092"/>
        <n v="99914093"/>
        <n v="99914094"/>
        <n v="99914095"/>
        <n v="99914096"/>
        <n v="99914097"/>
        <n v="99914098"/>
        <n v="99914099"/>
        <n v="99914100"/>
        <n v="99914101"/>
        <n v="99914102"/>
        <n v="99914103"/>
        <n v="99914104"/>
        <n v="99914105"/>
        <n v="99914106"/>
        <n v="99914107"/>
        <n v="99914108"/>
        <n v="99914109"/>
        <n v="99914110"/>
        <n v="99914111"/>
        <n v="99914112"/>
        <n v="99914113"/>
        <n v="99914114"/>
        <n v="99914115"/>
        <n v="99914116"/>
        <n v="99914117"/>
        <n v="99914118"/>
        <n v="99914119"/>
        <n v="99914120"/>
        <n v="99914121"/>
        <n v="99914122"/>
        <n v="99914123"/>
        <n v="99914124"/>
        <n v="99914125"/>
        <n v="99914126"/>
        <n v="99914127"/>
        <n v="99914128"/>
        <n v="99914129"/>
        <n v="99914130"/>
        <n v="99914131"/>
        <n v="99914132"/>
        <n v="99914133"/>
        <n v="99914134"/>
        <n v="99914135"/>
        <n v="99914136"/>
        <n v="99914137"/>
        <n v="99914138"/>
        <n v="99914139"/>
        <n v="99914140"/>
        <n v="99914141"/>
        <n v="99914142"/>
        <n v="99914143"/>
        <n v="99914144"/>
        <n v="99914145"/>
        <n v="99914146"/>
        <n v="99914147"/>
        <n v="99914148"/>
        <n v="99914149"/>
        <n v="99914150"/>
        <n v="99914151"/>
        <n v="99914152"/>
        <n v="99914153"/>
        <n v="99914154"/>
        <n v="99914155"/>
        <n v="99914156"/>
        <n v="99914157"/>
        <n v="99914158"/>
        <n v="99914159"/>
        <n v="99914160"/>
        <n v="99914161"/>
        <n v="99914162"/>
        <n v="99914163"/>
        <n v="99914164"/>
        <n v="99914165"/>
        <n v="99914166"/>
        <n v="99914167"/>
        <n v="99914168"/>
        <n v="99914169"/>
        <n v="99914170"/>
        <n v="99914171"/>
        <n v="99914172"/>
        <n v="99914173"/>
        <n v="99914174"/>
        <n v="99914175"/>
        <n v="99914176"/>
        <n v="99914177"/>
        <n v="99914178"/>
        <n v="99914179"/>
        <n v="99914180"/>
        <n v="99914181"/>
        <n v="99914182"/>
        <n v="99914183"/>
        <n v="99914184"/>
        <n v="99914185"/>
        <n v="99914186"/>
        <n v="99914187"/>
        <n v="99914188"/>
        <n v="99914189"/>
        <n v="99914190"/>
        <n v="99914191"/>
        <n v="99914192"/>
        <n v="99914193"/>
        <n v="99914194"/>
        <n v="99914195"/>
        <n v="99914196"/>
        <n v="99914197"/>
        <n v="99914198"/>
        <n v="99914199"/>
        <n v="99914200"/>
        <n v="99914201"/>
        <n v="99914202"/>
        <n v="99914203"/>
        <n v="99914204"/>
        <n v="99914205"/>
        <n v="99914206"/>
        <n v="99914207"/>
        <n v="99914208"/>
        <n v="99914209"/>
        <n v="99914210"/>
        <n v="99914211"/>
        <n v="99914212"/>
        <n v="99914213"/>
        <n v="99914214"/>
        <n v="99914215"/>
        <n v="99914216"/>
        <n v="99914217"/>
        <n v="99914218"/>
        <n v="99914219"/>
        <n v="99914220"/>
        <n v="99914221"/>
        <n v="99914222"/>
        <n v="99914223"/>
        <n v="99914224"/>
        <n v="99914225"/>
        <n v="99914226"/>
        <n v="99914227"/>
        <n v="99914228"/>
        <n v="99914229"/>
        <n v="99914230"/>
        <n v="99914231"/>
        <n v="99914232"/>
        <n v="99914233"/>
        <n v="99914234"/>
        <n v="99914235"/>
        <n v="99914236"/>
        <n v="99914237"/>
        <n v="99914238"/>
        <n v="99914239"/>
        <n v="99914240"/>
        <n v="99914241"/>
        <n v="99914242"/>
        <n v="99914243"/>
        <n v="99914244"/>
        <n v="99914245"/>
        <n v="99914246"/>
        <n v="99914247"/>
        <n v="99914248"/>
        <n v="99914249"/>
        <n v="99914250"/>
        <n v="99914251"/>
        <n v="99914252"/>
        <n v="99914253"/>
        <n v="99914254"/>
        <n v="99914255"/>
        <n v="99914256"/>
        <n v="99914257"/>
        <n v="99914258"/>
        <n v="99914259"/>
        <n v="99914260"/>
        <n v="99914261"/>
        <n v="99914262"/>
        <n v="99914263"/>
        <n v="99914264"/>
        <n v="99914265"/>
        <n v="99914266"/>
        <n v="99914267"/>
        <n v="99914268"/>
        <n v="99914269"/>
        <n v="99914270"/>
        <n v="99914271"/>
        <n v="99914272"/>
        <n v="99914273"/>
        <n v="99914274"/>
        <n v="99914275"/>
        <n v="99914276"/>
        <n v="99914277"/>
        <n v="99914278"/>
        <n v="99914279"/>
        <n v="99914280"/>
        <n v="99914281"/>
        <n v="99914282"/>
        <n v="99914283"/>
        <n v="99914284"/>
        <n v="99914285"/>
        <n v="99914286"/>
        <n v="99914287"/>
        <n v="99914288"/>
        <n v="99914289"/>
        <n v="99914290"/>
        <n v="99914291"/>
        <n v="99914292"/>
        <n v="99914293"/>
        <n v="99914294"/>
        <n v="99914295"/>
        <n v="99914296"/>
        <n v="99914297"/>
        <n v="99914298"/>
        <n v="99914299"/>
        <n v="99914300"/>
        <n v="99914301"/>
        <n v="99914302"/>
        <n v="99914303"/>
        <n v="99914304"/>
        <n v="99914305"/>
        <n v="99914306"/>
        <n v="99914307"/>
        <n v="99914308"/>
        <n v="99914309"/>
        <n v="99914310"/>
        <n v="99914311"/>
        <n v="99914312"/>
        <n v="99914313"/>
        <n v="99914314"/>
        <n v="99914315"/>
        <n v="99914316"/>
        <n v="99914317"/>
        <n v="99914318"/>
        <n v="99914319"/>
        <n v="99914320"/>
        <n v="99914321"/>
        <n v="99914322"/>
        <n v="99914323"/>
        <n v="99914324"/>
        <n v="99914325"/>
        <n v="99914326"/>
        <n v="99914327"/>
        <n v="99914328"/>
        <n v="99914329"/>
        <n v="99914330"/>
        <n v="99914331"/>
        <n v="99914332"/>
        <n v="99914333"/>
        <n v="99914334"/>
        <n v="99914335"/>
        <n v="99914336"/>
        <n v="99914337"/>
        <n v="99914338"/>
        <n v="99914339"/>
        <n v="99914340"/>
        <n v="99914341"/>
        <n v="99914342"/>
        <n v="99914343"/>
        <n v="99914344"/>
        <n v="99914345"/>
        <n v="99914346"/>
        <n v="99914347"/>
        <n v="99914348"/>
        <n v="99914349"/>
        <n v="99914350"/>
        <n v="99914351"/>
        <n v="99914352"/>
        <n v="99914353"/>
        <n v="99914354"/>
        <n v="99914355"/>
        <n v="99914356"/>
        <n v="99914357"/>
        <n v="99914358"/>
        <n v="99914359"/>
        <n v="99914360"/>
        <n v="99914361"/>
        <n v="99914362"/>
        <n v="99914363"/>
        <n v="99914364"/>
        <n v="99914365"/>
        <n v="99914366"/>
        <n v="99914367"/>
        <n v="99914368"/>
        <n v="99914369"/>
        <n v="99914370"/>
        <n v="99914371"/>
        <n v="99914372"/>
        <n v="99914373"/>
        <n v="99914374"/>
        <n v="99914375"/>
        <n v="99914376"/>
        <n v="99914377"/>
        <n v="99914378"/>
        <n v="99914379"/>
        <n v="99914380"/>
        <n v="99914381"/>
        <n v="99914382"/>
        <n v="99914383"/>
        <n v="99914384"/>
        <n v="99914385"/>
        <n v="99914386"/>
        <n v="99914387"/>
        <n v="99914388"/>
        <n v="99914389"/>
        <n v="99914390"/>
        <n v="99914391"/>
        <n v="99914392"/>
        <n v="99914393"/>
        <n v="99914394"/>
        <n v="99914395"/>
        <n v="99914396"/>
        <n v="99914397"/>
        <n v="99914398"/>
        <n v="99914399"/>
        <n v="99914400"/>
        <n v="99914401"/>
        <n v="99914402"/>
        <n v="99914403"/>
        <n v="99914404"/>
        <n v="99914405"/>
        <n v="99914406"/>
        <n v="99914407"/>
        <n v="99914408"/>
        <n v="99914409"/>
        <n v="99914410"/>
        <n v="99914411"/>
        <n v="99914412"/>
        <n v="99914413"/>
        <n v="99914414"/>
        <n v="99914415"/>
        <n v="99914416"/>
        <n v="99914417"/>
        <n v="99914418"/>
        <n v="99914419"/>
        <n v="99914420"/>
        <n v="99914421"/>
        <n v="99914422"/>
        <n v="99914423"/>
        <n v="99914424"/>
        <n v="99914425"/>
        <n v="99914426"/>
        <n v="99914427"/>
        <n v="99914428"/>
        <n v="99914429"/>
        <n v="99914430"/>
        <n v="99914431"/>
        <n v="99914432"/>
        <n v="99914433"/>
        <n v="99914434"/>
        <n v="99914435"/>
        <n v="99914436"/>
        <n v="99914437"/>
        <n v="99914438"/>
        <n v="99914439"/>
        <n v="99914440"/>
        <n v="99914441"/>
        <n v="99914442"/>
        <n v="99914443"/>
        <n v="99914444"/>
        <n v="99914445"/>
        <n v="99914446"/>
        <n v="99914447"/>
        <n v="99914448"/>
        <n v="99914449"/>
        <n v="99914450"/>
        <n v="99914451"/>
        <n v="99914452"/>
        <n v="99914453"/>
        <n v="99914454"/>
        <n v="99914455"/>
        <n v="99914456"/>
        <n v="99914457"/>
        <n v="99914458"/>
        <n v="99914459"/>
        <n v="99914460"/>
        <n v="99914461"/>
        <n v="99914462"/>
        <n v="99914463"/>
        <n v="99914464"/>
        <n v="99914465"/>
        <n v="99914466"/>
        <n v="99914467"/>
        <n v="99914468"/>
        <n v="99914469"/>
        <n v="99914470"/>
        <n v="99914471"/>
        <n v="99914472"/>
        <n v="99914473"/>
        <n v="99914474"/>
        <n v="99914475"/>
        <n v="99914476"/>
        <n v="99914477"/>
        <n v="99914478"/>
        <n v="99914479"/>
        <n v="99914480"/>
        <n v="99914481"/>
        <n v="99914482"/>
        <n v="99914483"/>
        <n v="99914484"/>
        <n v="99914485"/>
        <n v="99914486"/>
        <n v="99914487"/>
        <n v="99914488"/>
        <n v="99914489"/>
        <n v="99914490"/>
        <n v="99914491"/>
        <n v="99914492"/>
        <n v="99914493"/>
        <n v="99914494"/>
        <n v="99914495"/>
        <n v="99914496"/>
        <n v="99914497"/>
        <n v="99914498"/>
        <n v="99914499"/>
        <n v="99914500"/>
        <n v="99914501"/>
        <n v="99914502"/>
        <n v="99914503"/>
        <n v="99914504"/>
        <n v="99914505"/>
        <n v="99914506"/>
        <n v="99914507"/>
        <n v="99914508"/>
        <n v="99914509"/>
        <n v="99914510"/>
        <n v="99914511"/>
        <n v="99914512"/>
        <n v="99914513"/>
        <n v="99914514"/>
        <n v="99914515"/>
        <n v="99914516"/>
        <n v="99914517"/>
        <n v="99914518"/>
        <n v="99914519"/>
        <n v="99914520"/>
        <n v="99914521"/>
        <n v="99914522"/>
        <n v="99914523"/>
        <n v="99914524"/>
        <n v="99914525"/>
        <n v="99914526"/>
        <n v="99914527"/>
        <n v="99914528"/>
        <n v="99914529"/>
        <n v="99914530"/>
        <n v="99914531"/>
        <n v="99914532"/>
        <n v="99914533"/>
        <n v="99914534"/>
        <n v="99914535"/>
        <n v="99914536"/>
        <n v="99914537"/>
        <n v="99914538"/>
        <n v="99914539"/>
        <n v="99914540"/>
        <n v="99914541"/>
        <n v="99914542"/>
        <n v="99914543"/>
        <n v="99914544"/>
        <n v="99914545"/>
        <n v="99914546"/>
        <n v="99914547"/>
        <n v="99914548"/>
        <n v="99914549"/>
        <n v="99914550"/>
        <n v="99914551"/>
        <n v="99914552"/>
        <n v="99914553"/>
        <n v="99914554"/>
        <n v="99914555"/>
        <n v="99914556"/>
        <n v="99914557"/>
        <n v="99914558"/>
        <n v="99914559"/>
        <n v="99914560"/>
        <n v="99914561"/>
        <n v="99914562"/>
        <n v="99914563"/>
        <n v="99914564"/>
        <n v="99914565"/>
        <n v="99914566"/>
        <n v="99914567"/>
        <n v="99914568"/>
        <n v="99914569"/>
        <n v="99914570"/>
        <n v="99914571"/>
        <n v="99914572"/>
        <n v="99914573"/>
        <n v="99914574"/>
        <n v="99914575"/>
        <n v="99914576"/>
        <n v="99914577"/>
        <n v="99914578"/>
        <n v="99914579"/>
        <n v="99914580"/>
        <n v="99914581"/>
        <n v="99914582"/>
        <n v="99914583"/>
        <n v="99914584"/>
        <n v="99914585"/>
        <n v="99914586"/>
        <n v="99914587"/>
        <n v="99914588"/>
        <n v="99914589"/>
        <n v="99914590"/>
        <n v="99914591"/>
        <n v="99914592"/>
        <n v="99914593"/>
        <n v="99914594"/>
        <n v="99914595"/>
        <n v="99914596"/>
        <n v="99914597"/>
        <n v="99914598"/>
        <n v="99914599"/>
        <n v="99914600"/>
        <n v="99914601"/>
        <n v="99914602"/>
        <n v="99914603"/>
        <n v="99914604"/>
        <n v="99914605"/>
        <n v="99914606"/>
        <n v="99914607"/>
        <n v="99914608"/>
        <n v="99914609"/>
        <n v="99914610"/>
        <n v="99914611"/>
        <n v="99914612"/>
        <n v="99914613"/>
        <n v="99914614"/>
        <n v="99914615"/>
        <n v="99914616"/>
        <n v="99914617"/>
        <n v="99914618"/>
        <n v="99914619"/>
        <n v="99914620"/>
        <n v="99914621"/>
        <n v="99914622"/>
        <n v="99914623"/>
        <n v="99914624"/>
        <n v="99914625"/>
        <n v="99914626"/>
        <n v="99914627"/>
        <n v="99914628"/>
        <n v="99914629"/>
        <n v="99914630"/>
        <n v="99914631"/>
        <n v="99914632"/>
        <n v="99914633"/>
        <n v="99914634"/>
        <n v="99914635"/>
        <n v="99914636"/>
        <n v="99914637"/>
        <n v="99914638"/>
        <n v="99914639"/>
        <n v="99914640"/>
        <n v="99914641"/>
        <n v="99914642"/>
        <n v="99914643"/>
        <n v="99914644"/>
        <n v="99914645"/>
        <n v="99914646"/>
        <n v="99914647"/>
        <n v="99914648"/>
        <n v="99914649"/>
        <n v="99914650"/>
        <n v="99914651"/>
        <n v="99914652"/>
        <n v="99914653"/>
        <n v="99914654"/>
        <n v="99914655"/>
        <n v="99914656"/>
        <n v="99914657"/>
        <n v="99914658"/>
        <n v="99914659"/>
        <n v="99914660"/>
        <n v="99914661"/>
        <n v="99914662"/>
        <n v="99914663"/>
        <n v="99914664"/>
        <n v="99914665"/>
        <n v="99914666"/>
        <n v="99914667"/>
        <n v="99914668"/>
        <n v="99914669"/>
        <n v="99914670"/>
        <n v="99914671"/>
        <n v="99914672"/>
        <n v="99914673"/>
        <n v="99914674"/>
        <n v="99914675"/>
        <n v="99914676"/>
        <n v="99914677"/>
        <n v="99914678"/>
        <n v="99914679"/>
        <n v="99914680"/>
        <n v="99914681"/>
        <n v="99914682"/>
        <n v="99914683"/>
        <n v="99914684"/>
        <n v="99914685"/>
        <n v="99914686"/>
        <n v="99914687"/>
        <n v="99914688"/>
        <n v="99914689"/>
        <n v="99914690"/>
        <n v="99914691"/>
        <n v="99914692"/>
        <n v="99914693"/>
        <n v="99914694"/>
        <n v="99914695"/>
        <n v="99914696"/>
        <n v="99914697"/>
        <n v="99914698"/>
        <n v="99914699"/>
        <n v="99914700"/>
        <n v="99914701"/>
        <n v="99914702"/>
        <n v="99914703"/>
        <n v="99914704"/>
        <n v="99914705"/>
        <n v="99914706"/>
        <n v="99914707"/>
        <n v="99914708"/>
        <n v="99914709"/>
        <n v="99914710"/>
        <n v="99914711"/>
        <n v="99914712"/>
        <n v="99914713"/>
        <n v="99914714"/>
        <n v="99914715"/>
        <n v="99914716"/>
        <n v="99914717"/>
        <n v="99914718"/>
        <n v="99914719"/>
        <n v="99914720"/>
        <n v="99914721"/>
        <n v="99914722"/>
        <n v="99914723"/>
        <n v="99914724"/>
        <n v="99914725"/>
        <n v="99914726"/>
        <n v="99914727"/>
        <n v="99914728"/>
        <n v="99914729"/>
        <n v="99914730"/>
        <n v="99914731"/>
        <n v="99914732"/>
        <n v="99914733"/>
        <n v="99914734"/>
        <n v="99914735"/>
        <n v="99914736"/>
        <n v="99914737"/>
        <n v="99914738"/>
        <n v="99914739"/>
        <n v="99914740"/>
        <n v="99914741"/>
        <n v="99914742"/>
        <n v="99914743"/>
        <n v="99914744"/>
        <n v="99914745"/>
        <n v="99914746"/>
        <n v="99914747"/>
        <n v="99914748"/>
        <n v="99914749"/>
        <n v="99914750"/>
        <n v="99914751"/>
        <n v="99914752"/>
        <n v="99914753"/>
        <n v="99914754"/>
        <n v="99914755"/>
        <n v="99914756"/>
        <n v="99914757"/>
        <n v="99914758"/>
        <n v="99914759"/>
        <n v="99914760"/>
        <n v="99914761"/>
        <n v="99914762"/>
        <n v="99914763"/>
        <n v="99914764"/>
        <n v="99914765"/>
        <n v="99914766"/>
        <n v="99914767"/>
        <n v="99914768"/>
        <n v="99914769"/>
        <n v="99914770"/>
        <n v="99914771"/>
        <n v="99914772"/>
        <n v="99914773"/>
        <n v="99914774"/>
        <n v="99914775"/>
        <n v="99914776"/>
        <n v="99914777"/>
        <n v="99914778"/>
        <n v="99914779"/>
        <n v="99914780"/>
        <n v="99914781"/>
        <n v="99914782"/>
        <n v="99914783"/>
        <n v="99914784"/>
        <n v="99914785"/>
        <n v="99914786"/>
        <n v="99914787"/>
        <n v="99914788"/>
        <n v="99914789"/>
        <n v="99914790"/>
        <n v="99914791"/>
        <n v="99914792"/>
        <n v="99914793"/>
        <n v="99914794"/>
        <n v="99914795"/>
        <n v="99914796"/>
        <n v="99914797"/>
        <n v="99914798"/>
        <n v="99914799"/>
        <n v="99914800"/>
        <n v="99914801"/>
        <n v="99914802"/>
        <n v="99914803"/>
        <n v="99914804"/>
        <n v="99914805"/>
        <n v="99914806"/>
        <n v="99914807"/>
        <n v="99914808"/>
        <n v="99914809"/>
        <n v="99914810"/>
        <n v="99914811"/>
        <n v="99914812"/>
        <n v="99914813"/>
        <n v="99914814"/>
        <n v="99914815"/>
        <n v="99914816"/>
        <n v="99914817"/>
        <n v="99914818"/>
        <n v="99914819"/>
        <n v="99914820"/>
        <n v="99914821"/>
        <n v="99914822"/>
        <n v="99914823"/>
        <n v="99914824"/>
        <n v="99914825"/>
        <n v="99914826"/>
        <n v="99914827"/>
        <n v="99914828"/>
        <n v="99914829"/>
        <n v="99914830"/>
        <n v="99914831"/>
        <n v="99914832"/>
        <n v="99914833"/>
        <n v="99914834"/>
        <n v="99914835"/>
        <n v="99914836"/>
        <n v="99914837"/>
        <n v="99914838"/>
        <n v="99914839"/>
        <n v="99914840"/>
        <n v="99914841"/>
        <n v="99914842"/>
        <n v="99914843"/>
        <n v="99914844"/>
        <n v="99914845"/>
        <n v="99914846"/>
        <n v="99914847"/>
        <n v="99914848"/>
        <n v="99914849"/>
        <n v="99914850"/>
        <n v="99914851"/>
        <n v="99914852"/>
        <n v="99914853"/>
        <n v="99914854"/>
        <n v="99914855"/>
        <n v="99914856"/>
        <n v="99914857"/>
        <n v="99914858"/>
        <n v="99914859"/>
        <n v="99914860"/>
        <n v="99914861"/>
        <n v="99914862"/>
        <n v="99914863"/>
        <n v="99914864"/>
        <n v="99914865"/>
        <n v="99914866"/>
        <n v="99914867"/>
        <n v="99914868"/>
        <n v="99914869"/>
        <n v="99914870"/>
        <n v="99914871"/>
        <n v="99914872"/>
        <n v="99914873"/>
        <n v="99914874"/>
        <n v="99914875"/>
        <n v="99914876"/>
        <n v="99914877"/>
        <n v="99914878"/>
        <n v="99914879"/>
        <n v="99914880"/>
        <n v="99914881"/>
        <n v="99914882"/>
        <n v="99914883"/>
        <n v="99914884"/>
        <n v="99914885"/>
        <n v="99914886"/>
        <n v="99914887"/>
        <n v="99914888"/>
        <n v="99914889"/>
        <n v="99914890"/>
        <n v="99914891"/>
        <n v="99914892"/>
        <n v="99914893"/>
        <n v="99914894"/>
        <n v="99914895"/>
        <n v="99914896"/>
        <n v="99914897"/>
        <n v="99914898"/>
        <n v="99914899"/>
        <n v="99914900"/>
        <n v="99914901"/>
        <n v="99914902"/>
        <n v="99914903"/>
        <n v="99914904"/>
        <n v="99914905"/>
        <n v="99914906"/>
        <n v="99914907"/>
        <n v="99914908"/>
        <n v="99914909"/>
        <n v="99914910"/>
        <n v="99914911"/>
        <n v="99914912"/>
        <n v="99914913"/>
        <n v="99914914"/>
        <n v="99914915"/>
        <n v="99914916"/>
        <n v="99914917"/>
        <n v="99914918"/>
        <n v="99914919"/>
        <n v="99914920"/>
        <n v="99914921"/>
        <n v="99914922"/>
        <n v="99914923"/>
        <n v="99914924"/>
        <n v="99914925"/>
        <n v="99914926"/>
        <n v="99914927"/>
        <n v="99914928"/>
        <n v="99914929"/>
        <n v="99914930"/>
        <n v="99914931"/>
        <n v="99914932"/>
        <n v="99914933"/>
        <n v="99914934"/>
        <n v="99914935"/>
        <n v="99914936"/>
        <n v="99914937"/>
        <n v="99914938"/>
        <n v="99914939"/>
        <n v="99914940"/>
        <n v="99914941"/>
        <n v="99914942"/>
        <n v="99914943"/>
        <n v="99914944"/>
        <n v="99914945"/>
        <n v="99914946"/>
        <n v="99914947"/>
        <n v="99914948"/>
        <n v="99914949"/>
        <n v="99914950"/>
        <n v="99914951"/>
        <n v="99914952"/>
        <n v="99914953"/>
        <n v="99914954"/>
        <n v="99914955"/>
        <n v="99914956"/>
        <n v="99914957"/>
        <n v="99914958"/>
        <n v="99914959"/>
        <n v="99914960"/>
        <n v="99914961"/>
        <n v="99914962"/>
        <n v="99914963"/>
        <n v="99914964"/>
        <n v="99914965"/>
        <n v="99914966"/>
        <n v="99914967"/>
        <n v="99914968"/>
        <n v="99914969"/>
        <n v="99914970"/>
        <n v="99914971"/>
        <n v="99914972"/>
        <n v="99914973"/>
        <n v="99914974"/>
        <n v="99914975"/>
        <n v="99914976"/>
        <n v="99914977"/>
        <n v="99914978"/>
        <n v="99914979"/>
        <n v="99914980"/>
        <n v="99914981"/>
        <n v="99914982"/>
        <n v="99914983"/>
        <n v="99914984"/>
        <n v="99914985"/>
        <n v="99914986"/>
        <n v="99914987"/>
        <n v="99914988"/>
        <n v="99914989"/>
        <n v="99914990"/>
        <n v="99914991"/>
        <n v="99914992"/>
        <n v="99914993"/>
        <n v="99914994"/>
        <n v="99914995"/>
        <n v="99914996"/>
        <n v="99914997"/>
        <n v="99914998"/>
        <n v="99914999"/>
        <n v="99915000"/>
        <n v="99915001"/>
        <n v="99915002"/>
        <n v="99915003"/>
        <n v="99915004"/>
        <n v="99915005"/>
        <n v="99915006"/>
        <n v="99915007"/>
        <n v="99915008"/>
        <n v="99915009"/>
        <n v="99915010"/>
        <n v="99915011"/>
        <n v="99915012"/>
        <n v="99915013"/>
        <n v="99915014"/>
        <n v="99915015"/>
        <n v="99915016"/>
        <n v="99915017"/>
        <n v="99915018"/>
        <n v="99915019"/>
        <n v="99915020"/>
        <n v="99915021"/>
        <n v="99915022"/>
        <n v="99915023"/>
        <n v="99915024"/>
        <n v="99915025"/>
        <n v="99915026"/>
        <n v="99915027"/>
        <n v="99915028"/>
        <n v="99915029"/>
        <n v="99915030"/>
        <n v="99915031"/>
        <n v="99915032"/>
        <n v="99915033"/>
        <n v="99915034"/>
        <n v="99915035"/>
        <n v="99915036"/>
        <n v="99915037"/>
        <n v="99915038"/>
        <n v="99915039"/>
        <n v="99915040"/>
        <n v="99915041"/>
        <n v="99915042"/>
        <n v="99915043"/>
        <n v="99915044"/>
        <n v="99915045"/>
        <n v="99915046"/>
        <n v="99915047"/>
        <n v="99915048"/>
        <n v="99915049"/>
        <n v="99915050"/>
        <n v="99915051"/>
        <n v="99915052"/>
        <n v="99915053"/>
        <n v="99915054"/>
        <n v="99915055"/>
        <n v="99915056"/>
        <n v="99915057"/>
        <n v="99915058"/>
        <n v="99915059"/>
        <n v="99915060"/>
        <n v="99915061"/>
        <n v="99915062"/>
        <n v="99915063"/>
        <n v="99915064"/>
        <n v="99915065"/>
        <n v="99915066"/>
        <n v="99915067"/>
        <n v="99915068"/>
        <n v="99915069"/>
        <n v="99915070"/>
        <n v="99915071"/>
        <n v="99915072"/>
        <n v="99915073"/>
        <n v="99915074"/>
        <n v="99915075"/>
        <n v="99915076"/>
        <n v="99915077"/>
        <n v="99915078"/>
        <n v="99915079"/>
        <n v="99915080"/>
        <n v="99915081"/>
        <n v="99915082"/>
        <n v="99915083"/>
        <n v="99915084"/>
        <n v="99915085"/>
        <n v="99915086"/>
        <n v="99915087"/>
        <n v="99915088"/>
        <n v="99915089"/>
        <n v="99915090"/>
        <n v="99915091"/>
        <n v="99915092"/>
        <n v="99915093"/>
        <n v="99915094"/>
        <n v="99915095"/>
        <n v="99915096"/>
        <n v="99915097"/>
        <n v="99915098"/>
        <n v="99915099"/>
        <n v="99915100"/>
        <n v="99915101"/>
        <n v="99915102"/>
        <n v="99915103"/>
        <n v="99915104"/>
        <n v="99915105"/>
        <n v="99915106"/>
        <n v="99915107"/>
        <n v="99915108"/>
        <n v="99915109"/>
        <n v="99915110"/>
        <n v="99915111"/>
        <n v="99915112"/>
        <n v="99915113"/>
        <n v="99915114"/>
        <n v="99915115"/>
        <n v="99915116"/>
        <n v="99915117"/>
        <n v="99915118"/>
        <n v="99915119"/>
        <n v="99915120"/>
        <n v="99915121"/>
        <n v="99915122"/>
        <n v="99915123"/>
        <n v="99915124"/>
        <n v="99915125"/>
        <n v="99915126"/>
        <n v="99915127"/>
        <n v="99915128"/>
        <n v="99915129"/>
        <n v="99915130"/>
        <n v="99915131"/>
        <n v="99915132"/>
        <n v="99915133"/>
        <n v="99915134"/>
        <n v="99915135"/>
        <n v="99915136"/>
        <n v="99915137"/>
        <n v="99915138"/>
        <n v="99915139"/>
        <n v="99915140"/>
        <n v="99915141"/>
        <n v="99915142"/>
        <n v="99915143"/>
        <n v="99915144"/>
        <n v="99915145"/>
        <n v="99915146"/>
        <n v="99915147"/>
        <n v="99915148"/>
        <n v="99915149"/>
        <n v="99915150"/>
        <n v="99915151"/>
        <n v="99915152"/>
        <n v="99915153"/>
        <n v="99915154"/>
        <n v="99915155"/>
        <n v="99915156"/>
        <n v="99915157"/>
        <n v="99915158"/>
        <n v="99915159"/>
        <n v="99915160"/>
        <n v="99915161"/>
        <n v="99915162"/>
        <n v="99915163"/>
        <n v="99915164"/>
        <n v="99915165"/>
        <n v="99915166"/>
        <n v="99915167"/>
        <n v="99915168"/>
        <n v="99915169"/>
        <n v="99915170"/>
        <n v="99915171"/>
        <n v="99915172"/>
        <n v="99915173"/>
        <n v="99915174"/>
        <n v="99915175"/>
        <n v="99915176"/>
        <n v="99915177"/>
        <n v="99915178"/>
        <n v="99915179"/>
        <n v="99915180"/>
        <n v="99915181"/>
        <n v="99915182"/>
        <n v="99915183"/>
        <n v="99915184"/>
        <n v="99915185"/>
        <n v="99915186"/>
        <n v="99915187"/>
        <n v="99915188"/>
        <n v="99915189"/>
        <n v="99915190"/>
        <n v="99915191"/>
        <n v="99915192"/>
        <n v="99915193"/>
        <n v="99915194"/>
        <n v="99915195"/>
        <n v="99915196"/>
        <n v="99915197"/>
        <n v="99915198"/>
        <n v="99915199"/>
        <n v="99915200"/>
        <n v="99915201"/>
        <n v="99915202"/>
        <n v="99915203"/>
        <n v="99915204"/>
        <n v="99915205"/>
        <n v="99915206"/>
        <n v="99915207"/>
        <n v="99915208"/>
        <n v="99915209"/>
        <n v="99915210"/>
        <n v="99915211"/>
        <n v="99915212"/>
        <n v="99915213"/>
        <n v="99915214"/>
        <n v="99915215"/>
        <n v="99915216"/>
        <n v="99915217"/>
        <n v="99915218"/>
        <n v="99915219"/>
        <n v="99915220"/>
        <n v="99915221"/>
        <n v="99915222"/>
        <n v="99915223"/>
        <n v="99915224"/>
        <n v="99915225"/>
        <n v="99915226"/>
        <n v="99915227"/>
        <n v="99915228"/>
        <n v="99915229"/>
        <n v="99915230"/>
        <n v="99915231"/>
        <n v="99915232"/>
        <n v="99915233"/>
        <n v="99915234"/>
        <n v="99915235"/>
        <n v="99915236"/>
        <n v="99915237"/>
        <n v="99915238"/>
        <n v="99915239"/>
        <n v="99915240"/>
        <n v="99915241"/>
        <n v="99915242"/>
        <n v="99915243"/>
        <n v="99915244"/>
        <n v="99915245"/>
        <n v="99915246"/>
        <n v="99915247"/>
        <n v="99915248"/>
        <n v="99915249"/>
        <n v="99915250"/>
        <n v="99915251"/>
        <n v="99915252"/>
        <n v="99915253"/>
        <n v="99915254"/>
        <n v="99915255"/>
        <n v="99915256"/>
        <n v="99915257"/>
        <n v="99915258"/>
        <n v="99915259"/>
        <n v="99915260"/>
        <n v="99915261"/>
        <n v="99915262"/>
        <n v="99915263"/>
        <n v="99915264"/>
        <n v="99915265"/>
        <n v="99915266"/>
        <n v="99915267"/>
        <n v="99915268"/>
        <n v="99915269"/>
        <n v="99915270"/>
        <n v="99915271"/>
        <n v="99915272"/>
        <n v="99915273"/>
        <n v="99915274"/>
        <n v="99915275"/>
        <n v="99915276"/>
        <n v="99915277"/>
        <n v="99915278"/>
        <n v="99915279"/>
        <n v="99915280"/>
        <n v="99915281"/>
        <n v="99915282"/>
        <n v="99915283"/>
        <n v="99915284"/>
        <n v="99915285"/>
        <n v="99915286"/>
        <n v="99915287"/>
        <n v="99915288"/>
        <n v="99915289"/>
        <n v="99915290"/>
        <n v="99915291"/>
        <n v="99915292"/>
        <n v="99915293"/>
        <n v="99915294"/>
        <n v="99915295"/>
        <n v="99915296"/>
        <n v="99915297"/>
        <n v="99915298"/>
        <n v="99915299"/>
        <n v="99915300"/>
        <n v="99915301"/>
        <n v="99915302"/>
        <n v="99915303"/>
        <n v="99915304"/>
        <n v="99915305"/>
        <n v="99915306"/>
        <n v="99915307"/>
        <n v="99915308"/>
        <n v="99915309"/>
        <n v="99915310"/>
        <n v="99915311"/>
        <n v="99915312"/>
        <n v="99915313"/>
        <n v="99915314"/>
        <n v="99915315"/>
        <n v="99915316"/>
        <n v="99915317"/>
        <n v="99915318"/>
        <n v="99915319"/>
        <n v="99915320"/>
        <n v="99915321"/>
        <n v="99915322"/>
        <n v="99915323"/>
        <n v="99915324"/>
        <n v="99915325"/>
        <n v="99915326"/>
        <n v="99915327"/>
        <n v="99915328"/>
        <n v="99915329"/>
        <n v="99915330"/>
        <n v="99915331"/>
        <n v="99915332"/>
        <n v="99915333"/>
        <n v="99915334"/>
        <n v="99915335"/>
        <n v="99915336"/>
        <n v="99915337"/>
        <n v="99915338"/>
        <n v="99915339"/>
        <n v="99915340"/>
        <n v="99915341"/>
        <n v="99915342"/>
        <n v="99915343"/>
        <n v="99915344"/>
        <n v="99915345"/>
        <n v="99915346"/>
        <n v="99915347"/>
        <n v="99915348"/>
        <n v="99915349"/>
        <n v="99915350"/>
        <n v="99915351"/>
        <n v="99915352"/>
        <n v="99915353"/>
        <n v="99915354"/>
        <n v="99915355"/>
        <n v="99915356"/>
        <n v="99915357"/>
        <n v="99915358"/>
        <n v="99915359"/>
        <n v="99915360"/>
        <n v="99915361"/>
        <n v="99915362"/>
        <n v="99915363"/>
        <n v="99915364"/>
        <n v="99915365"/>
        <n v="99915366"/>
        <n v="99915367"/>
        <n v="99915368"/>
        <n v="99915369"/>
        <n v="99915370"/>
        <n v="99915371"/>
        <n v="99915372"/>
        <n v="99915373"/>
        <n v="99915374"/>
        <n v="99915375"/>
        <n v="99915376"/>
        <n v="99915377"/>
        <n v="99915378"/>
        <n v="99915379"/>
        <n v="99915380"/>
        <n v="99915381"/>
        <n v="99915382"/>
        <n v="99915383"/>
        <n v="99915384"/>
        <n v="99915385"/>
        <n v="99915386"/>
        <n v="99915387"/>
        <n v="99915388"/>
        <n v="99915389"/>
        <n v="99915390"/>
        <n v="99915391"/>
        <n v="99915392"/>
        <n v="99915393"/>
        <n v="99915394"/>
        <n v="99915395"/>
        <n v="99915396"/>
        <n v="99915397"/>
        <n v="99915398"/>
        <n v="99915399"/>
        <n v="99915400"/>
        <n v="99915401"/>
        <n v="99915402"/>
        <n v="99915403"/>
        <n v="99915404"/>
        <n v="99915405"/>
        <n v="99915406"/>
        <n v="99915407"/>
        <n v="99915408"/>
        <n v="99915409"/>
        <n v="99915410"/>
        <n v="99915411"/>
        <n v="99915412"/>
        <n v="99915413"/>
        <n v="99915414"/>
        <n v="99915415"/>
        <n v="99915416"/>
        <n v="99915417"/>
        <n v="99915418"/>
        <n v="99915419"/>
        <n v="99915420"/>
        <n v="99915421"/>
        <n v="99915422"/>
        <n v="99915423"/>
        <n v="99915424"/>
        <n v="99915425"/>
        <n v="99915426"/>
        <n v="99915427"/>
        <n v="99915428"/>
        <n v="99915429"/>
        <n v="99915430"/>
        <n v="99915431"/>
        <n v="99915432"/>
        <n v="99915433"/>
        <n v="99915434"/>
        <n v="99915435"/>
        <n v="99915436"/>
        <n v="99915437"/>
        <n v="99915438"/>
        <n v="99915439"/>
        <n v="99915440"/>
        <n v="99915441"/>
        <n v="99915442"/>
        <n v="99915443"/>
        <n v="99915444"/>
        <n v="99915445"/>
        <n v="99915446"/>
        <n v="99915447"/>
        <n v="99915448"/>
        <n v="99915449"/>
        <n v="99915450"/>
        <n v="99915451"/>
        <n v="99915452"/>
        <n v="99915453"/>
        <n v="99915454"/>
        <n v="99915455"/>
        <n v="99915456"/>
        <n v="99915457"/>
        <n v="99915458"/>
        <n v="99915459"/>
        <n v="99915460"/>
        <n v="99915461"/>
        <n v="99915462"/>
        <n v="99915463"/>
        <n v="99915464"/>
        <n v="99915465"/>
        <n v="99915466"/>
        <n v="99915467"/>
        <n v="99915468"/>
        <n v="99915469"/>
        <n v="99915470"/>
        <n v="99915471"/>
        <n v="99915472"/>
        <n v="99915473"/>
        <n v="99915474"/>
        <n v="99915475"/>
        <n v="99915476"/>
        <n v="99915477"/>
        <n v="99915478"/>
        <n v="99915479"/>
        <n v="99915480"/>
        <n v="99915481"/>
        <n v="99915482"/>
        <n v="99915483"/>
        <n v="99915484"/>
        <n v="99915485"/>
        <n v="99915486"/>
        <n v="99915487"/>
        <n v="99915488"/>
        <n v="99915489"/>
        <n v="99915490"/>
        <n v="99915491"/>
        <n v="99915492"/>
        <n v="99915493"/>
        <n v="99915494"/>
        <n v="99915495"/>
        <n v="99915496"/>
        <n v="99915497"/>
        <n v="99915498"/>
        <n v="99915499"/>
        <n v="99915500"/>
        <n v="99915501"/>
        <n v="99915502"/>
        <n v="99915503"/>
        <n v="99915504"/>
        <n v="99915505"/>
        <n v="99915506"/>
        <n v="99915507"/>
        <n v="99915508"/>
        <n v="99915509"/>
        <n v="99915510"/>
        <n v="99915511"/>
        <n v="99915512"/>
        <n v="99915513"/>
        <n v="99915514"/>
        <n v="99915515"/>
        <n v="99915516"/>
        <n v="99915517"/>
        <n v="99915518"/>
        <n v="99915519"/>
        <n v="99915520"/>
        <n v="99915521"/>
        <n v="99915522"/>
        <n v="99915523"/>
        <n v="99915524"/>
        <n v="99915525"/>
        <n v="99915526"/>
        <n v="99915527"/>
        <n v="99915528"/>
        <n v="99915529"/>
        <n v="99915530"/>
        <n v="99915531"/>
        <n v="99915532"/>
        <n v="99915533"/>
        <n v="99915534"/>
        <n v="99915535"/>
        <n v="99915536"/>
        <n v="99915537"/>
        <n v="99915538"/>
        <n v="99915539"/>
        <n v="99915540"/>
        <n v="99915541"/>
        <n v="99915542"/>
        <n v="99915543"/>
        <n v="99915544"/>
        <n v="99915545"/>
        <n v="99915546"/>
        <n v="99915547"/>
        <n v="99915548"/>
        <n v="99915549"/>
        <n v="99915550"/>
        <n v="99915551"/>
        <n v="99915552"/>
        <n v="99915553"/>
        <n v="99915554"/>
        <n v="99915555"/>
        <n v="99915556"/>
        <n v="99915557"/>
        <n v="99915558"/>
        <n v="99915559"/>
        <n v="99915560"/>
        <n v="99915561"/>
        <n v="99915562"/>
        <n v="99915563"/>
        <n v="99915564"/>
        <n v="99915565"/>
        <n v="99915566"/>
        <n v="99915567"/>
        <n v="99915568"/>
        <n v="99915569"/>
        <n v="99915570"/>
        <n v="99915571"/>
        <n v="99915572"/>
        <n v="99915573"/>
        <n v="99915574"/>
        <n v="99915575"/>
        <n v="99915576"/>
        <n v="99915577"/>
        <n v="99915578"/>
        <n v="99915579"/>
        <n v="99915580"/>
        <n v="99915581"/>
        <n v="99915582"/>
        <n v="99915583"/>
        <n v="99915584"/>
        <n v="99915585"/>
        <n v="99915586"/>
        <n v="99915587"/>
        <n v="99915588"/>
        <n v="99915589"/>
        <n v="99915590"/>
        <n v="99915591"/>
        <n v="99915592"/>
        <n v="99915593"/>
        <n v="99915594"/>
        <n v="99915595"/>
        <n v="99915596"/>
        <n v="99915597"/>
        <n v="99915598"/>
        <n v="99915599"/>
        <n v="99915600"/>
        <n v="99915601"/>
        <n v="99915602"/>
        <n v="99915603"/>
        <n v="99915604"/>
        <n v="99915605"/>
        <n v="99915606"/>
        <n v="99915607"/>
        <n v="99915608"/>
        <n v="99915609"/>
        <n v="99915610"/>
        <n v="99915611"/>
        <n v="99915612"/>
        <n v="99915613"/>
        <n v="99915614"/>
        <n v="99915615"/>
        <n v="99915616"/>
        <n v="99915617"/>
        <n v="99915618"/>
        <n v="99915619"/>
        <n v="99915620"/>
        <n v="99915621"/>
        <n v="99915622"/>
        <n v="99915623"/>
        <n v="99915624"/>
        <n v="99915625"/>
        <n v="99915626"/>
        <n v="99915627"/>
        <n v="99915628"/>
        <n v="99915629"/>
        <n v="99915630"/>
        <n v="99915631"/>
        <n v="99915632"/>
        <n v="99915633"/>
        <n v="99915634"/>
        <n v="99915635"/>
        <n v="99915636"/>
        <n v="99915637"/>
        <n v="99915638"/>
        <n v="99915639"/>
        <n v="99915640"/>
        <n v="99915641"/>
        <n v="99915642"/>
        <n v="99915643"/>
        <n v="99915644"/>
        <n v="99915645"/>
        <n v="99915646"/>
        <n v="99915647"/>
        <n v="99915648"/>
        <n v="99915649"/>
        <n v="99915650"/>
        <n v="99915651"/>
        <n v="99915652"/>
        <n v="99915653"/>
        <n v="99915654"/>
        <n v="99915655"/>
        <n v="99915656"/>
        <n v="99915657"/>
        <n v="99915658"/>
        <n v="99915659"/>
        <n v="99915660"/>
        <n v="99915661"/>
        <n v="99915662"/>
        <n v="99915663"/>
        <n v="99915664"/>
        <n v="99915665"/>
        <n v="99915666"/>
        <n v="99915667"/>
        <n v="99915668"/>
        <n v="99915669"/>
        <n v="99915670"/>
        <n v="99915671"/>
        <n v="99915672"/>
        <n v="99915673"/>
        <n v="99915674"/>
        <n v="99915675"/>
        <n v="99915676"/>
        <n v="99915677"/>
        <n v="99915678"/>
        <n v="99915679"/>
        <n v="99915680"/>
        <n v="99915681"/>
        <n v="99915682"/>
        <n v="99915683"/>
        <n v="99915684"/>
        <n v="99915685"/>
        <n v="99915686"/>
        <n v="99915687"/>
        <m/>
      </sharedItems>
    </cacheField>
    <cacheField name="Φύλο" numFmtId="0">
      <sharedItems containsBlank="1" count="3">
        <s v="Α"/>
        <s v="Θ"/>
        <m/>
      </sharedItems>
    </cacheField>
    <cacheField name="Κωδ. Ειδικότητας" numFmtId="0">
      <sharedItems containsBlank="1"/>
    </cacheField>
    <cacheField name="Ειδικότητα" numFmtId="0">
      <sharedItems containsBlank="1"/>
    </cacheField>
    <cacheField name="Κωδ. 2ης Ειδικότητας" numFmtId="0">
      <sharedItems containsBlank="1"/>
    </cacheField>
    <cacheField name="2η Ειδικότητα" numFmtId="0">
      <sharedItems containsBlank="1"/>
    </cacheField>
    <cacheField name="Βαθμός" numFmtId="0">
      <sharedItems containsBlank="1"/>
    </cacheField>
    <cacheField name="Μ.Κ." numFmtId="0">
      <sharedItems containsString="0" containsBlank="1" containsNumber="1" containsInteger="1" minValue="1" maxValue="19"/>
    </cacheField>
    <cacheField name="Φεκ. Διορισμού" numFmtId="0">
      <sharedItems containsDate="1" containsBlank="1" containsMixedTypes="1" minDate="1899-12-31T00:00:00" maxDate="1900-01-10T03:02:05"/>
    </cacheField>
    <cacheField name="Ημ/νια Διορισμού" numFmtId="0">
      <sharedItems containsNonDate="0" containsDate="1" containsString="0" containsBlank="1" minDate="1990-09-01T00:00:00" maxDate="2018-12-18T00:00:00"/>
    </cacheField>
    <cacheField name="Περιοχή Μετάθεσης Εκπ." numFmtId="0">
      <sharedItems containsBlank="1"/>
    </cacheField>
    <cacheField name="Διεύθυνση Περιοχής Μετάθεσης Εκπ." numFmtId="0">
      <sharedItems containsBlank="1"/>
    </cacheField>
    <cacheField name="Περιφέρεια Περιοχής Μετάθεσης Εκπ." numFmtId="0">
      <sharedItems containsBlank="1"/>
    </cacheField>
    <cacheField name="Υποχ. Ωράριο" numFmtId="0">
      <sharedItems containsString="0" containsBlank="1" containsNumber="1" containsInteger="1" minValue="1" maxValue="236"/>
    </cacheField>
    <cacheField name="Ημερομηνία Πρώτης Ανάληψης Υπηρεσίας" numFmtId="0">
      <sharedItems containsNonDate="0" containsDate="1" containsString="0" containsBlank="1" minDate="1984-02-10T00:00:00" maxDate="2018-12-18T00:00:00"/>
    </cacheField>
    <cacheField name="Είδος Σχολείου" numFmtId="0">
      <sharedItems containsBlank="1"/>
    </cacheField>
    <cacheField name="Τύπος Σχολείου" numFmtId="0">
      <sharedItems containsBlank="1" count="9">
        <s v="Ιδιωτικό Εσπερινό ΕΠΑΛ"/>
        <s v="Ιδιωτικό Νηπιαγωγείο"/>
        <s v="Ιδιωτικό Γυμνάσιο"/>
        <s v="Ιδιωτικό Λύκειο"/>
        <s v="Ιδιωτικό Δημοτικό Σχολείο"/>
        <s v="Ιδιωτικό Εσπερινό Λύκειο"/>
        <m/>
        <s v="Ιδιωτικό Ημερήσιο ΕΠΑΛ"/>
        <s v="Ενιαίου Τύπου Ολοήμερο Δημοτικό Σχολείο"/>
      </sharedItems>
    </cacheField>
    <cacheField name="Μονάδα Οργανικής/Προσωρινής Τοποθέτησης" numFmtId="0">
      <sharedItems containsBlank="1"/>
    </cacheField>
    <cacheField name="Ονομασία" numFmtId="0">
      <sharedItems containsBlank="1"/>
    </cacheField>
    <cacheField name="Περιοχή Μετάθεσης Μονάδας Οργανικής/Προσωρινής" numFmtId="0">
      <sharedItems containsBlank="1"/>
    </cacheField>
    <cacheField name="Διεύθυνση Περιοχής Μετάθεσης Μονάδας Οργανικής/Προσωρινής" numFmtId="0">
      <sharedItems containsBlank="1"/>
    </cacheField>
    <cacheField name="Περιφέρεια Περιοχής Μετάθεσης Μονάδας Οργανικής/Προσωρινής" numFmtId="0">
      <sharedItems containsBlank="1"/>
    </cacheField>
    <cacheField name="Σχέση Εργασίας" numFmtId="0">
      <sharedItems containsBlank="1" count="5">
        <s v="Ιδιωτικού Δικαίου Ορισμένου Χρόνου (Ι.Δ.Ο.Χ.)"/>
        <s v="Ιδιωτικού Δικαίου Αορίστου Χρόνου (Ι.Δ.Α.Χ.)"/>
        <s v="Αναπληρωτής Ιδιωτικής Εκπαίδευσης (ν. 682/1977 άρ.35, παρ.4)"/>
        <s v="Ιδιωτικού Δικαίου Αορίστου Χρόνου (Ι.Δ.Α.Χ.) με Οργανική σε Ισότιμο προς τα Δημόσια Σχολείο"/>
        <m/>
      </sharedItems>
    </cacheField>
    <cacheField name="Σχέση Τοποθέτησης" numFmtId="0">
      <sharedItems containsBlank="1"/>
    </cacheField>
    <cacheField name="Ημ/νια Γέννησης" numFmtId="0">
      <sharedItems containsNonDate="0" containsDate="1" containsString="0" containsBlank="1" minDate="1899-12-31T00:00:00" maxDate="2018-09-02T00:00:00"/>
    </cacheField>
    <cacheField name="Βαθμίδα Εκπαιδευτικού" numFmtId="0">
      <sharedItems containsString="0" containsBlank="1" containsNumber="1" containsInteger="1" minValue="1" maxValue="2" count="3">
        <n v="2"/>
        <n v="1"/>
        <m/>
      </sharedItems>
    </cacheField>
    <cacheField name="Θέση Προσωπικού Φακέλου" numFmtId="0">
      <sharedItems containsBlank="1"/>
    </cacheField>
    <cacheField name="ΔΙΔΑΚΤΙΚΟ ΩΡΑΡΙΟ" numFmtId="0">
      <sharedItems containsBlank="1" count="8">
        <s v="0-5"/>
        <s v="6-10"/>
        <s v="11-15"/>
        <s v="16-19"/>
        <s v="20"/>
        <s v="21-25"/>
        <s v="26+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88">
  <r>
    <n v="99910000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18-09-01T00:00:00"/>
    <x v="0"/>
    <s v="ΔΙΕΥΘΥΝΣΗ Δ.Ε. Β΄ ΑΘΗΝΑΣ"/>
    <n v="0.31388888888888888"/>
    <s v="δ/υ"/>
  </r>
  <r>
    <n v="99910001"/>
    <s v="Θ"/>
    <x v="1"/>
    <x v="1"/>
    <m/>
    <m/>
    <s v="Β΄"/>
    <n v="2"/>
    <s v="20320/12-11-20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2018-09-01T00:00:00"/>
    <x v="1"/>
    <s v="ΔΙΕΥΘΥΝΣΗ Π.Ε. Δ΄ ΑΘΗΝΑΣ"/>
    <n v="0.31388888888888888"/>
    <s v="δ/υ"/>
  </r>
  <r>
    <n v="99910002"/>
    <s v="Θ"/>
    <x v="1"/>
    <x v="1"/>
    <m/>
    <m/>
    <s v="Γ΄"/>
    <n v="1"/>
    <n v="1292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2018-09-01T00:00:00"/>
    <x v="1"/>
    <s v="ΔΙΕΥΘΥΝΣΗ Π.Ε. Δ΄ ΑΘΗΝΑΣ"/>
    <n v="0.31388888888888888"/>
    <s v="δ/υ"/>
  </r>
  <r>
    <n v="99910003"/>
    <s v="Θ"/>
    <x v="2"/>
    <x v="2"/>
    <m/>
    <m/>
    <s v="Γ΄"/>
    <n v="1"/>
    <s v="-"/>
    <d v="2018-09-01T00:00:00"/>
    <s v="Δ΄ ΚΥΚΛΑΔΩΝ (Π.Ε.) 2018"/>
    <s v="ΔΙΕΥΘΥΝΣΗ Π.Ε. ΚΥΚΛΑΔΩΝ"/>
    <s v="ΠΕΡΙΦΕΡΕΙΑΚΗ Δ/ΝΣΗ Α/ΘΜΙΑΣ ΚΑΙ Β/ΘΜΙΑΣ ΕΚΠ/ΣΗΣ ΝΟΤΙΟΥ ΑΙΓΑΙΟΥ"/>
    <n v="25"/>
    <s v="ΟΧΙ"/>
    <m/>
    <m/>
    <m/>
    <s v="ΟΧΙ"/>
    <m/>
    <d v="2018-09-01T00:00:00"/>
    <s v="Ιδιωτικά Σχολεία"/>
    <x v="2"/>
    <s v="7291003"/>
    <s v="ΙΔΙΩΤΙΚΟ ΝΗΠΙΑΓΩΓΕΙΟ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2018-09-01T00:00:00"/>
    <x v="1"/>
    <s v="ΔΙΕΥΘΥΝΣΗ Π.Ε. ΚΥΚΛΑΔΩΝ"/>
    <n v="0.31388888888888888"/>
    <s v="δ/υ"/>
  </r>
  <r>
    <n v="99910004"/>
    <s v="Θ"/>
    <x v="3"/>
    <x v="3"/>
    <m/>
    <m/>
    <s v="Γ΄"/>
    <n v="3"/>
    <s v="613/16-01-2018"/>
    <d v="2018-09-01T00:00:00"/>
    <s v="Α΄ ΑΘΗΝΑΣ (Δ.Ε.) 2018"/>
    <s v="ΔΙΕΥΘΥΝΣΗ Δ.Ε. Α΄ ΑΘΗΝΑΣ"/>
    <s v="ΠΕΡΙΦΕΡΕΙΑΚΗ Δ/ΝΣΗ Α/ΘΜΙΑΣ ΚΑΙ Β/ΘΜΙΑΣ ΕΚΠ/ΣΗΣ ΑΤΤΙΚΗΣ"/>
    <n v="14"/>
    <s v="ΟΧΙ"/>
    <s v="ΟΧΙ"/>
    <s v="ΟΧΙ"/>
    <s v="ΟΧΙ"/>
    <s v="ΟΧΙ"/>
    <m/>
    <d v="2018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18-04-06T00:00:00"/>
    <x v="0"/>
    <s v="ΔΙΕΥΘΥΝΣΗ Δ.Ε. Α΄ ΑΘΗΝΑΣ"/>
    <n v="0.72499999999999998"/>
    <s v="δ/υ"/>
  </r>
  <r>
    <n v="99910005"/>
    <s v="Θ"/>
    <x v="4"/>
    <x v="4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14"/>
    <s v="ΟΧΙ"/>
    <s v="ΟΧΙ"/>
    <s v="ΟΧΙ"/>
    <s v="ΟΧΙ"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2017-01-19T00:00:00"/>
    <x v="0"/>
    <s v="ΔΙΕΥΘΥΝΣΗ Δ.Ε. ΜΕΣΣΗΝΙΑΣ"/>
    <n v="1.9527777777777777"/>
    <s v="δ/υ"/>
  </r>
  <r>
    <n v="99910006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07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0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09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10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11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2001-01-01T00:00:00"/>
    <x v="0"/>
    <s v="ΔΙΕΥΘΥΝΣΗ Δ.Ε. Β΄ ΑΘΗΝΑΣ"/>
    <n v="18.236111111111111"/>
    <s v="δ/υ"/>
  </r>
  <r>
    <n v="99910012"/>
    <s v="Θ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13"/>
    <s v="Θ"/>
    <x v="7"/>
    <x v="7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1-01-01T00:00:00"/>
    <x v="0"/>
    <s v="ΔΙΕΥΘΥΝΣΗ Δ.Ε. Β΄ ΑΘΗΝΑΣ"/>
    <n v="18.236111111111111"/>
    <s v="δ/υ"/>
  </r>
  <r>
    <n v="99910014"/>
    <s v="Θ"/>
    <x v="0"/>
    <x v="0"/>
    <m/>
    <m/>
    <s v="Γ΄"/>
    <n v="1"/>
    <s v="6699/3-10-2018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d v="2018-09-01T00:00:00"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Αναπληρωτής Ιδιωτικής Εκπαίδευσης (ν. 682/1977 άρ.35, παρ.4)"/>
    <s v="Τοποθέτηση σε Ιδιωτική Εκπαίδευση"/>
    <d v="2000-11-04T00:00:00"/>
    <x v="1"/>
    <s v="ΔΙΕΥΘΥΝΣΗ Π.Ε. ΔΩΔΕΚΑΝΗΣΟΥ"/>
    <n v="18.397222222222222"/>
    <s v="δ/υ"/>
  </r>
  <r>
    <n v="99910015"/>
    <s v="Θ"/>
    <x v="3"/>
    <x v="3"/>
    <m/>
    <m/>
    <s v="Α΄"/>
    <n v="9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2000-01-01T00:00:00"/>
    <x v="0"/>
    <s v="ΔΙΕΥΘΥΝΣΗ Δ.Ε. Β΄ ΑΘΗΝΑΣ"/>
    <n v="19.252777777777776"/>
    <s v="22 - 30"/>
  </r>
  <r>
    <n v="99910016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0-01-01T00:00:00"/>
    <x v="0"/>
    <s v="ΔΙΕΥΘΥΝΣΗ Δ.Ε. Β΄ ΑΘΗΝΑΣ"/>
    <n v="19.252777777777776"/>
    <s v="22 - 30"/>
  </r>
  <r>
    <n v="99910017"/>
    <s v="Θ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0-01-01T00:00:00"/>
    <x v="0"/>
    <s v="ΔΙΕΥΘΥΝΣΗ Δ.Ε. Β΄ ΑΘΗΝΑΣ"/>
    <n v="19.252777777777776"/>
    <s v="22 - 30"/>
  </r>
  <r>
    <n v="9991001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0-01-01T00:00:00"/>
    <x v="0"/>
    <s v="ΔΙΕΥΘΥΝΣΗ Δ.Ε. Β΄ ΑΘΗΝΑΣ"/>
    <n v="19.252777777777776"/>
    <s v="22 - 30"/>
  </r>
  <r>
    <n v="99910019"/>
    <s v="Α"/>
    <x v="9"/>
    <x v="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0-01-01T00:00:00"/>
    <x v="0"/>
    <s v="ΔΙΕΥΘΥΝΣΗ Δ.Ε. Β΄ ΑΘΗΝΑΣ"/>
    <n v="19.252777777777776"/>
    <s v="22 - 30"/>
  </r>
  <r>
    <n v="99910020"/>
    <s v="Θ"/>
    <x v="10"/>
    <x v="1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2000-01-01T00:00:00"/>
    <x v="0"/>
    <s v="ΔΙΕΥΘΥΝΣΗ Δ.Ε. Β΄ ΑΘΗΝΑΣ"/>
    <n v="19.252777777777776"/>
    <s v="22 - 30"/>
  </r>
  <r>
    <n v="99910021"/>
    <s v="Α"/>
    <x v="11"/>
    <x v="11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2000-01-01T00:00:00"/>
    <x v="0"/>
    <s v="ΔΙΕΥΘΥΝΣΗ Δ.Ε. ΧΑΝΙΩΝ"/>
    <n v="19.252777777777776"/>
    <s v="22 - 30"/>
  </r>
  <r>
    <n v="99910022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1"/>
    <s v="ΙΔΙΩΤΙΚΟ ΝΗΠΙΑΓΩΓΕΙΟ ΧΑΝΙΩΝ - ΙΔΙΩΤΙΚΟ ΝΗΠΙΑΓΩΓ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9-12-30T00:00:00"/>
    <x v="1"/>
    <s v="ΔΙΕΥΘΥΝΣΗ Π.Ε. ΧΑΝΙΩΝ"/>
    <n v="19.258333333333333"/>
    <s v="22 - 30"/>
  </r>
  <r>
    <n v="99910023"/>
    <s v="Θ"/>
    <x v="3"/>
    <x v="3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9-05-31T00:00:00"/>
    <x v="0"/>
    <s v="ΔΙΕΥΘΥΝΣΗ Δ.Ε. Α΄ ΑΘΗΝΑΣ"/>
    <n v="19.850000000000001"/>
    <s v="22 - 30"/>
  </r>
  <r>
    <n v="99910024"/>
    <s v="Θ"/>
    <x v="2"/>
    <x v="2"/>
    <m/>
    <m/>
    <s v="Γ΄"/>
    <n v="1"/>
    <n v="4926"/>
    <d v="2018-09-17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17T00:00:00"/>
    <s v="Ιδιωτικά Σχολεία"/>
    <x v="2"/>
    <s v="7451001"/>
    <s v="ΙΔΙΩΤΙΚΟ ΝΗΠΙΑΓΩΓΕΙΟ ΤΡΙΚΑΛΑ - ΣΠΥΡΟΠΟΥΛΟΥ ΜΑΡΙΑ"/>
    <s v="ΤΡΙΚΑΛΩΝ (Π.Ε.) 2018"/>
    <x v="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8-10-15T00:00:00"/>
    <x v="1"/>
    <s v="ΔΙΕΥΘΥΝΣΗ Π.Ε. ΤΡΙΚΑΛΩΝ"/>
    <n v="20.483333333333334"/>
    <s v="22 - 30"/>
  </r>
  <r>
    <n v="99910025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8-10-14T00:00:00"/>
    <x v="1"/>
    <s v="ΔΙΕΥΘΥΝΣΗ Π.Ε. ΧΑΝΙΩΝ"/>
    <n v="20.486111111111111"/>
    <s v="22 - 30"/>
  </r>
  <r>
    <n v="99910026"/>
    <s v="Θ"/>
    <x v="1"/>
    <x v="1"/>
    <m/>
    <m/>
    <s v="Β΄"/>
    <n v="3"/>
    <s v="14429/05-12-201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8-10-12T00:00:00"/>
    <x v="1"/>
    <s v="ΔΙΕΥΘΥΝΣΗ Π.Ε. Δ΄ ΑΘΗΝΑΣ"/>
    <n v="20.491666666666667"/>
    <s v="22 - 30"/>
  </r>
  <r>
    <n v="99910027"/>
    <s v="Θ"/>
    <x v="2"/>
    <x v="2"/>
    <m/>
    <m/>
    <s v="Γ΄"/>
    <n v="1"/>
    <d v="2016-10-0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05"/>
    <s v="ΙΔΙΩΤΙΚΟ ΝΗΠΙΑΓΩΓΕΙΟ ΘΕΣΣΑΛΟΝΙΚΗ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7-09-13T00:00:00"/>
    <x v="1"/>
    <s v="ΔΙΕΥΘΥΝΣΗ Π.Ε. ΑΝΑΤ. ΘΕΣ/ΝΙΚΗΣ"/>
    <n v="21.586111111111112"/>
    <s v="22 - 30"/>
  </r>
  <r>
    <n v="99910028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6-12-25T00:00:00"/>
    <x v="0"/>
    <s v="ΔΙΕΥΘΥΝΣΗ Δ.Ε. Α΄ ΑΘΗΝΑΣ"/>
    <n v="22.31388888888889"/>
    <s v="22 - 30"/>
  </r>
  <r>
    <n v="99910029"/>
    <s v="Θ"/>
    <x v="1"/>
    <x v="1"/>
    <m/>
    <m/>
    <s v="Γ΄"/>
    <n v="1"/>
    <s v="ΑΠ1788247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6-11-13T00:00:00"/>
    <x v="1"/>
    <s v="ΔΙΕΥΘΥΝΣΗ Π.Ε. ΠΙΕΡΙΑΣ"/>
    <n v="22.430555555555557"/>
    <s v="22 - 30"/>
  </r>
  <r>
    <n v="99910030"/>
    <s v="Θ"/>
    <x v="1"/>
    <x v="1"/>
    <m/>
    <m/>
    <s v="Γ΄"/>
    <n v="1"/>
    <s v="-"/>
    <d v="2018-09-01T00:00:00"/>
    <s v="Δ΄ ΚΥΚΛΑΔΩΝ (Π.Ε.) 2018"/>
    <s v="ΔΙΕΥΘΥΝΣΗ Π.Ε. ΚΥΚΛΑΔΩΝ"/>
    <s v="ΠΕΡΙΦΕΡΕΙΑΚΗ Δ/ΝΣΗ Α/ΘΜΙΑΣ ΚΑΙ Β/ΘΜΙΑΣ ΕΚΠ/ΣΗΣ ΝΟΤΙΟΥ ΑΙΓΑΙΟΥ"/>
    <n v="24"/>
    <s v="ΟΧΙ"/>
    <m/>
    <m/>
    <m/>
    <s v="ΟΧΙ"/>
    <m/>
    <d v="2018-09-01T00:00:00"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96-10-12T00:00:00"/>
    <x v="1"/>
    <s v="ΔΙΕΥΘΥΝΣΗ Π.Ε. ΚΥΚΛΑΔΩΝ"/>
    <n v="22.519444444444446"/>
    <s v="22 - 30"/>
  </r>
  <r>
    <n v="99910031"/>
    <s v="Θ"/>
    <x v="2"/>
    <x v="2"/>
    <m/>
    <m/>
    <s v="Γ΄"/>
    <n v="1"/>
    <d v="7047-02-01T00:00:00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241"/>
    <s v="ΙΔΙΩΤΙΚΟ ΣΥΣΤΕΓΑΖΟΜΕΝΟ ΝΗΠΙΑΓΩΓΕΙΟ - ANNIE'S SCHOOL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6-09-20T00:00:00"/>
    <x v="1"/>
    <s v="ΔΙΕΥΘΥΝΣΗ Π.Ε. Β΄ ΑΘΗΝΑΣ"/>
    <n v="22.580555555555556"/>
    <s v="22 - 30"/>
  </r>
  <r>
    <n v="99910032"/>
    <s v="Θ"/>
    <x v="2"/>
    <x v="2"/>
    <m/>
    <m/>
    <s v="Γ΄"/>
    <n v="1"/>
    <n v="2638"/>
    <d v="2018-10-01T00:00:00"/>
    <s v="Α΄ ΧΙΟΥ (Π.Ε.) 2018"/>
    <s v="ΔΙΕΥΘΥΝΣΗ Π.Ε. ΧΙΟΥ"/>
    <s v="ΠΕΡΙΦΕΡΕΙΑΚΗ Δ/ΝΣΗ Α/ΘΜΙΑΣ ΚΑΙ Β/ΘΜΙΑΣ ΕΚΠ/ΣΗΣ ΒΟΡΕΙΟΥ ΑΙΓΑΙΟΥ"/>
    <n v="25"/>
    <s v="ΟΧΙ"/>
    <m/>
    <m/>
    <m/>
    <s v="ΟΧΙ"/>
    <m/>
    <d v="2018-10-01T00:00:00"/>
    <s v="Ιδιωτικά Σχολεία"/>
    <x v="2"/>
    <s v="7511003"/>
    <s v="ΙΔΙΩΤΙΚΟ ΝΗΠΙΑΓΩΓΕΙΟ &quot;ΚΑΡΑΜΕΛΑ&quot;"/>
    <s v="Α΄ ΧΙΟΥ (Π.Ε.) 2018"/>
    <x v="12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96-08-12T00:00:00"/>
    <x v="1"/>
    <s v="ΔΙΕΥΘΥΝΣΗ Π.Ε. ΧΙΟΥ"/>
    <n v="22.68888888888889"/>
    <s v="22 - 30"/>
  </r>
  <r>
    <n v="99910033"/>
    <s v="Θ"/>
    <x v="1"/>
    <x v="1"/>
    <m/>
    <m/>
    <s v="Γ΄"/>
    <n v="1"/>
    <s v="ΑΠ1788224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6-04-09T00:00:00"/>
    <x v="1"/>
    <s v="ΔΙΕΥΘΥΝΣΗ Π.Ε. ΠΙΕΡΙΑΣ"/>
    <n v="23.036111111111111"/>
    <s v="22 - 30"/>
  </r>
  <r>
    <n v="99910034"/>
    <s v="Θ"/>
    <x v="2"/>
    <x v="2"/>
    <m/>
    <m/>
    <s v="Γ΄"/>
    <n v="1"/>
    <n v="11605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97"/>
    <s v="ΙΔΙΩΤΙΚΟ ΣΥΣΤΕΓΑΖΟΜΕΝΟ ΝΗΠΙΑΓΩΓΕΙΟ - ΤΟ ΚΟΥΚΛΟΣΠΙΤ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5-12-12T00:00:00"/>
    <x v="1"/>
    <s v="ΔΙΕΥΘΥΝΣΗ Π.Ε. Δ΄ ΑΘΗΝΑΣ"/>
    <n v="23.366666666666667"/>
    <s v="22 - 30"/>
  </r>
  <r>
    <n v="99910035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097"/>
    <s v="ΙΔΙΩΤΙΚΟ ΝΗΠΙΑΓΩΓΕΙΟ ΑΘΗΝΑ - Μ.Α.ΤΣΙΚΡΙΚΑ ΚΑΙ ΣΙΑ Ο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5-11-14T00:00:00"/>
    <x v="1"/>
    <s v="ΔΙΕΥΘΥΝΣΗ Π.Ε. Β΄ ΑΘΗΝΑΣ"/>
    <n v="23.444444444444443"/>
    <s v="22 - 30"/>
  </r>
  <r>
    <n v="99910036"/>
    <s v="Θ"/>
    <x v="1"/>
    <x v="1"/>
    <m/>
    <m/>
    <s v="Γ΄"/>
    <n v="1"/>
    <s v="Φ.17.2/9296/26-9-2018"/>
    <d v="2018-09-11T00:00:00"/>
    <s v="Α΄ ΜΑΓΝΗΣΙΑΣ (Π.Ε.) 2018"/>
    <s v="ΔΙΕΥΘΥΝΣΗ Π.Ε. ΜΑΓΝΗΣΙΑΣ"/>
    <s v="ΠΕΡΙΦΕΡΕΙΑΚΗ Δ/ΝΣΗ Α/ΘΜΙΑΣ ΚΑΙ Β/ΘΜΙΑΣ ΕΚΠ/ΣΗΣ ΘΕΣΣΑΛΙΑΣ"/>
    <n v="24"/>
    <s v="ΟΧΙ"/>
    <m/>
    <m/>
    <m/>
    <s v="ΟΧΙ"/>
    <m/>
    <d v="2018-09-11T00:00:00"/>
    <s v="Ιδιωτικά Σχολεία"/>
    <x v="1"/>
    <s v="7351004"/>
    <s v="ΙΔΙΩΤΙΚΟ ΔΗΜΟΤΙΚΟ ΑΛΛΗ ΜΕΡΙΑ - ΑΞΙΟΝ ΕΣΤΙ"/>
    <s v="Α΄ ΜΑΓΝΗΣΙΑΣ (Π.Ε.) 2018"/>
    <x v="13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5-09-28T00:00:00"/>
    <x v="1"/>
    <s v="ΔΙΕΥΘΥΝΣΗ Π.Ε. ΜΑΓΝΗΣΙΑΣ"/>
    <n v="23.574999999999999"/>
    <s v="22 - 30"/>
  </r>
  <r>
    <n v="99910037"/>
    <s v="Α"/>
    <x v="5"/>
    <x v="5"/>
    <m/>
    <m/>
    <s v="Γ΄"/>
    <n v="1"/>
    <s v="ΑΠ1893196"/>
    <d v="2018-09-19T00:00:00"/>
    <s v="Α΄ ΜΑΓΝΗΣΙΑΣ (Δ.Ε.) 2018"/>
    <s v="ΔΙΕΥΘΥΝΣΗ Δ.Ε. ΜΑΓΝΗΣΙΑΣ"/>
    <s v="ΠΕΡΙΦΕΡΕΙΑΚΗ Δ/ΝΣΗ Α/ΘΜΙΑΣ ΚΑΙ Β/ΘΜΙΑΣ ΕΚΠ/ΣΗΣ ΘΕΣΣΑΛΙΑΣ"/>
    <n v="23"/>
    <s v="ΟΧΙ"/>
    <m/>
    <m/>
    <m/>
    <s v="ΟΧΙ"/>
    <m/>
    <d v="2018-09-19T00:00:00"/>
    <s v="Ιδιωτικά Σχολεία"/>
    <x v="0"/>
    <s v="3560001"/>
    <s v="ΙΔΙΩΤΙΚΟ ΓΥΜΝΑΣ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5-09-25T00:00:00"/>
    <x v="0"/>
    <s v="ΔΙΕΥΘΥΝΣΗ Δ.Ε. ΜΑΓΝΗΣΙΑΣ"/>
    <n v="23.583333333333332"/>
    <s v="22 - 30"/>
  </r>
  <r>
    <n v="99910038"/>
    <s v="Θ"/>
    <x v="2"/>
    <x v="2"/>
    <m/>
    <m/>
    <s v="Γ΄"/>
    <n v="1"/>
    <s v="23915/01-10-2018"/>
    <d v="2018-09-1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12T00:00:00"/>
    <s v="Ιδιωτικά Σχολεία"/>
    <x v="2"/>
    <s v="7191065"/>
    <s v="ΙΔΙΩΤΙΚΟ ΝΗΠΙΑΓΩΓΕΙΟ ΘΕΣΣΑΛΟΝΙΚΗ - ΠΡΟΣΧΟΛΙΚΗ ΑΚΑΔΗΜΙΑ ΤΕΡΤΙΡΟΠΟΥΛΟΣ- ΣΠΑΝ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5-08-18T00:00:00"/>
    <x v="1"/>
    <s v="ΔΙΕΥΘΥΝΣΗ Π.Ε. ΑΝΑΤ. ΘΕΣ/ΝΙΚΗΣ"/>
    <n v="23.68888888888889"/>
    <s v="22 - 30"/>
  </r>
  <r>
    <n v="99910039"/>
    <s v="Θ"/>
    <x v="1"/>
    <x v="1"/>
    <m/>
    <m/>
    <s v="Γ΄"/>
    <n v="1"/>
    <n v="23355"/>
    <d v="2018-11-13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11-13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5-08-02T00:00:00"/>
    <x v="1"/>
    <s v="ΔΙΕΥΘΥΝΣΗ Π.Ε. ΠΕΙΡΑΙΑ"/>
    <n v="23.733333333333334"/>
    <s v="22 - 30"/>
  </r>
  <r>
    <n v="99910040"/>
    <s v="Θ"/>
    <x v="8"/>
    <x v="8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8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95-06-29T00:00:00"/>
    <x v="0"/>
    <s v="ΔΙΕΥΘΥΝΣΗ Δ.Ε. ΧΙΟΥ"/>
    <n v="23.827777777777779"/>
    <s v="22 - 30"/>
  </r>
  <r>
    <n v="99910041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2"/>
    <s v="7052025"/>
    <s v="ΣΥΣΤΕΓΑΖΟΜΕΝΟ ΝΗΠΙΑΓΩΓΕΙΟ - Α. ΚΟΜΝΗΝΟΥ - Δ. ΜΠΡΟΥΣΚΟΣ Ο.Ε.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5-06-25T00:00:00"/>
    <x v="1"/>
    <s v="ΔΙΕΥΘΥΝΣΗ Π.Ε. Β΄ ΑΘΗΝΑΣ"/>
    <n v="23.838888888888889"/>
    <s v="22 - 30"/>
  </r>
  <r>
    <n v="99910042"/>
    <s v="Θ"/>
    <x v="7"/>
    <x v="7"/>
    <m/>
    <m/>
    <s v="Γ΄"/>
    <n v="1"/>
    <n v="9893"/>
    <d v="2018-10-19T00:00:00"/>
    <s v="ΙΩΑΝΝΙΝΩΝ (Δ.Ε.) 2018"/>
    <s v="ΔΙΕΥΘΥΝΣΗ Δ.Ε. ΙΩΑΝΝΙΝΩΝ"/>
    <s v="ΠΕΡΙΦΕΡΕΙΑΚΗ Δ/ΝΣΗ Α/ΘΜΙΑΣ ΚΑΙ Β/ΘΜΙΑΣ ΕΚΠ/ΣΗΣ ΗΠΕΙΡΟΥ"/>
    <n v="5"/>
    <s v="ΟΧΙ"/>
    <m/>
    <m/>
    <m/>
    <s v="ΟΧΙ"/>
    <m/>
    <d v="2018-10-19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5-06-05T00:00:00"/>
    <x v="0"/>
    <s v="ΔΙΕΥΘΥΝΣΗ Δ.Ε. ΙΩΑΝΝΙΝΩΝ"/>
    <n v="23.894444444444446"/>
    <s v="22 - 30"/>
  </r>
  <r>
    <n v="99910043"/>
    <s v="Θ"/>
    <x v="1"/>
    <x v="1"/>
    <m/>
    <m/>
    <s v="Γ΄"/>
    <n v="1"/>
    <n v="19058"/>
    <d v="2018-10-04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10-04T00:00:00"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5-05-12T00:00:00"/>
    <x v="1"/>
    <s v="ΔΙΕΥΘΥΝΣΗ Π.Ε. ΠΕΙΡΑΙΑ"/>
    <n v="23.961111111111112"/>
    <s v="22 - 30"/>
  </r>
  <r>
    <n v="99910044"/>
    <s v="Θ"/>
    <x v="2"/>
    <x v="2"/>
    <m/>
    <m/>
    <s v="Γ΄"/>
    <n v="1"/>
    <s v="ΑΠ1973143"/>
    <d v="2018-09-19T00:00:00"/>
    <s v="Α΄ ΚΕΡΚΥΡΑΣ (Π.Ε.) 2018"/>
    <s v="ΔΙΕΥΘΥΝΣΗ Π.Ε. ΚΕΡΚΥΡΑΣ"/>
    <s v="ΠΕΡΙΦΕΡΕΙΑΚΗ Δ/ΝΣΗ Α/ΘΜΙΑΣ ΚΑΙ Β/ΘΜΙΑΣ ΕΚΠ/ΣΗΣ ΙΟΝΙΩΝ ΝΗΣΩΝ"/>
    <n v="30"/>
    <s v="ΟΧΙ"/>
    <s v="ΟΧΙ"/>
    <s v="ΟΧΙ"/>
    <s v="ΟΧΙ"/>
    <s v="ΟΧΙ"/>
    <m/>
    <d v="2018-09-20T00:00:00"/>
    <s v="Ιδιωτικά Σχολεία"/>
    <x v="2"/>
    <s v="7241009"/>
    <s v="ΙΔΙΩΤΙΚΟ ΝΗΠΙΑΓΩΓΕΙΟ &quot;Ο,ΤΙ ΑΓΑΠΩ&quot;"/>
    <s v="Α΄ ΚΕΡΚΥΡΑΣ (Π.Ε.) 2018"/>
    <x v="18"/>
    <s v="ΠΕΡΙΦΕΡΕΙΑΚΗ Δ/ΝΣΗ Α/ΘΜΙΑΣ ΚΑΙ Β/ΘΜΙΑΣ ΕΚΠ/ΣΗΣ ΙΟΝΙΩΝ ΝΗΣΩΝ"/>
    <s v="Ιδιωτικού Δικαίου Ορισμένου Χρόνου (Ι.Δ.Ο.Χ.)"/>
    <s v="Τοποθέτηση σε Ιδιωτική Εκπαίδευση"/>
    <d v="1995-03-23T00:00:00"/>
    <x v="1"/>
    <s v="ΔΙΕΥΘΥΝΣΗ Π.Ε. ΚΕΡΚΥΡΑΣ"/>
    <n v="24.1"/>
    <s v="22 - 30"/>
  </r>
  <r>
    <n v="99910045"/>
    <s v="Θ"/>
    <x v="1"/>
    <x v="1"/>
    <m/>
    <m/>
    <s v="Γ΄"/>
    <n v="1"/>
    <n v="6808"/>
    <d v="2018-09-17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17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95-02-20T00:00:00"/>
    <x v="1"/>
    <s v="ΔΙΕΥΘΥΝΣΗ Π.Ε. ΛΑΡΙΣΑΣ"/>
    <n v="24.18611111111111"/>
    <s v="22 - 30"/>
  </r>
  <r>
    <n v="99910046"/>
    <s v="Θ"/>
    <x v="1"/>
    <x v="1"/>
    <m/>
    <m/>
    <s v="Γ΄"/>
    <n v="1"/>
    <n v="20318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5-02-16T00:00:00"/>
    <x v="1"/>
    <s v="ΔΙΕΥΘΥΝΣΗ Π.Ε. ΠΕΙΡΑΙΑ"/>
    <n v="24.197222222222223"/>
    <s v="22 - 30"/>
  </r>
  <r>
    <n v="99910047"/>
    <s v="Θ"/>
    <x v="2"/>
    <x v="2"/>
    <m/>
    <m/>
    <s v="Γ΄"/>
    <n v="1"/>
    <n v="1959387"/>
    <d v="2018-09-18T00:00:00"/>
    <s v="ΡΟΔΟΠΗΣ (Π.Ε.) 2018"/>
    <s v="ΔΙΕΥΘΥΝΣΗ Π.Ε. ΡΟΔΟΠΗΣ"/>
    <s v="ΠΕΡΙΦΕΡΕΙΑΚΗ Δ/ΝΣΗ Α/ΘΜΙΑΣ ΚΑΙ Β/ΘΜΙΑΣ ΕΚΠ/ΣΗΣ ΑΝ. ΜΑΚΕΔΟΝΙΑΣ ΚΑΙ ΘΡΑΚΗΣ"/>
    <n v="25"/>
    <s v="ΟΧΙ"/>
    <m/>
    <m/>
    <m/>
    <s v="ΟΧΙ"/>
    <m/>
    <d v="2018-09-18T00:00:00"/>
    <s v="Ιδιωτικά Σχολεία"/>
    <x v="2"/>
    <s v="7421001"/>
    <s v="ΙΔΙΩΤΙΚΟ ΣΥΣΤΕΓΑΖΟΜΕΝΟ ΝΗΠΙΑΓΩΓΕΙΟ - Η ΛΙΛΙΠΟΥΠΟΛΗ"/>
    <s v="ΡΟΔΟΠΗΣ (Π.Ε.) 2018"/>
    <x v="20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5-02-09T00:00:00"/>
    <x v="1"/>
    <s v="ΔΙΕΥΘΥΝΣΗ Π.Ε. ΡΟΔΟΠΗΣ"/>
    <n v="24.216666666666665"/>
    <s v="22 - 30"/>
  </r>
  <r>
    <n v="99910048"/>
    <s v="Θ"/>
    <x v="2"/>
    <x v="2"/>
    <m/>
    <m/>
    <s v="Γ΄"/>
    <n v="1"/>
    <s v="26094/17-10-2018"/>
    <d v="2018-10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10-01T00:00:00"/>
    <s v="Ιδιωτικά Σχολεία"/>
    <x v="2"/>
    <s v="7191055"/>
    <s v="1ο ΙΔΙΩΤΙΚΟ ΝΗΠΙΑΓΩΓΕΙΟ ΘΕΣΣΑΛΟΝΙΚΗ - ΡΕΒΙΘΟΥΛ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5-01-25T00:00:00"/>
    <x v="1"/>
    <s v="ΔΙΕΥΘΥΝΣΗ Π.Ε. ΑΝΑΤ. ΘΕΣ/ΝΙΚΗΣ"/>
    <n v="24.258333333333333"/>
    <s v="22 - 30"/>
  </r>
  <r>
    <n v="99910049"/>
    <s v="Θ"/>
    <x v="1"/>
    <x v="1"/>
    <m/>
    <m/>
    <s v="Γ΄"/>
    <n v="1"/>
    <s v="6954/1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m/>
    <m/>
    <m/>
    <s v="ΟΧΙ"/>
    <m/>
    <d v="2018-09-25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5-01-06T00:00:00"/>
    <x v="1"/>
    <s v="ΔΙΕΥΘΥΝΣΗ Π.Ε. ΞΑΝΘΗΣ"/>
    <n v="24.31111111111111"/>
    <s v="22 - 30"/>
  </r>
  <r>
    <n v="99910050"/>
    <s v="Α"/>
    <x v="1"/>
    <x v="1"/>
    <m/>
    <m/>
    <s v="Γ΄"/>
    <n v="1"/>
    <s v="ΑΠ1788299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5-01-03T00:00:00"/>
    <x v="1"/>
    <s v="ΔΙΕΥΘΥΝΣΗ Π.Ε. ΠΙΕΡΙΑΣ"/>
    <n v="24.319444444444443"/>
    <s v="22 - 30"/>
  </r>
  <r>
    <n v="99910051"/>
    <s v="Θ"/>
    <x v="1"/>
    <x v="1"/>
    <m/>
    <m/>
    <s v="Γ΄"/>
    <n v="1"/>
    <n v="320007"/>
    <d v="2018-03-05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3-05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4-12-27T00:00:00"/>
    <x v="1"/>
    <s v="ΔΙΕΥΘΥΝΣΗ Π.Ε. ΠΙΕΡΙΑΣ"/>
    <n v="24.338888888888889"/>
    <s v="22 - 30"/>
  </r>
  <r>
    <n v="99910052"/>
    <s v="Θ"/>
    <x v="2"/>
    <x v="2"/>
    <m/>
    <m/>
    <s v="Γ΄"/>
    <n v="1"/>
    <n v="1043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83"/>
    <s v="ΤΖΕΣΣΙΚΑ ΚΟΥΡΝΙΑΚΤΗ - ΜΑΡΙ ΚΛΩΝΤ ΛΕΟΜΕΝΤ &amp; ΣΙΑ Ο.Ε. (ΤΖΕΣΣΙΚΑ ΚΟΥΡΝΙΑΚΤΗ - ΜΑΡΙ ΚΛΩΝΤ ΛΕΟΜΕΝΤ &amp; ΣΙΑ 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4-12-10T00:00:00"/>
    <x v="1"/>
    <s v="ΔΙΕΥΘΥΝΣΗ Π.Ε. Δ΄ ΑΘΗΝΑΣ"/>
    <n v="24.386111111111113"/>
    <s v="22 - 30"/>
  </r>
  <r>
    <n v="99910053"/>
    <s v="Θ"/>
    <x v="2"/>
    <x v="2"/>
    <m/>
    <m/>
    <s v="Γ΄"/>
    <n v="1"/>
    <n v="4727"/>
    <d v="2018-09-11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11T00:00:00"/>
    <s v="Ιδιωτικά Σχολεία"/>
    <x v="2"/>
    <s v="7451019"/>
    <s v="ΣΥΣΤΕΓΑΖΟΜΕΝΟ ΝΗΠΙΑΓΩΓΕΙΟ - ΜΠΛΕΤΣΑ ΜΑΡΙΑ-ΕΛΕΥΘΕΡΙΑ"/>
    <s v="ΤΡΙΚΑΛΩΝ (Π.Ε.) 2018"/>
    <x v="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4-12-08T00:00:00"/>
    <x v="1"/>
    <s v="ΔΙΕΥΘΥΝΣΗ Π.Ε. ΤΡΙΚΑΛΩΝ"/>
    <n v="24.391666666666666"/>
    <s v="22 - 30"/>
  </r>
  <r>
    <n v="99910054"/>
    <s v="Θ"/>
    <x v="1"/>
    <x v="1"/>
    <m/>
    <m/>
    <s v="Γ΄"/>
    <n v="1"/>
    <s v="Φ.17/3557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8-09-0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4-11-22T00:00:00"/>
    <x v="1"/>
    <s v="ΔΙΕΥΘΥΝΣΗ Π.Ε. ΚΟΡΙΝΘΙΑΣ"/>
    <n v="24.43611111111111"/>
    <s v="22 - 30"/>
  </r>
  <r>
    <n v="99910055"/>
    <s v="Θ"/>
    <x v="2"/>
    <x v="2"/>
    <m/>
    <m/>
    <s v="Γ΄"/>
    <n v="1"/>
    <s v="6815/20-03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15"/>
    <s v="Ιδιωτικό Νηπιαγωγείο Καραμελίτσα 2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4-11-08T00:00:00"/>
    <x v="1"/>
    <s v="ΔΙΕΥΘΥΝΣΗ Π.Ε. ΑΝΑΤ. ΘΕΣ/ΝΙΚΗΣ"/>
    <n v="24.475000000000001"/>
    <s v="22 - 30"/>
  </r>
  <r>
    <n v="99910056"/>
    <s v="Θ"/>
    <x v="2"/>
    <x v="2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4"/>
    <s v="ΟΧΙ"/>
    <s v="ΟΧΙ"/>
    <s v="ΟΧΙ"/>
    <m/>
    <s v="ΟΧΙ"/>
    <m/>
    <m/>
    <s v="Ιδιωτικά Σχολεία"/>
    <x v="2"/>
    <s v="7101009"/>
    <s v="ΙΔΙΩΤΙΚΟ ΝΗΠΙΑΓΩΓΕΙΟ ΙΑΛΥΣΟΣ - ΠΑΙΖΩ ΚΑΙ ΜΑΘΑΙΝΩ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94-10-25T00:00:00"/>
    <x v="1"/>
    <s v="ΔΙΕΥΘΥΝΣΗ Π.Ε. ΔΩΔΕΚΑΝΗΣΟΥ"/>
    <n v="24.513888888888889"/>
    <s v="22 - 30"/>
  </r>
  <r>
    <n v="99910057"/>
    <s v="Θ"/>
    <x v="2"/>
    <x v="2"/>
    <m/>
    <m/>
    <s v="Γ΄"/>
    <n v="1"/>
    <n v="1809813"/>
    <d v="2018-09-04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179"/>
    <s v="ΣΥΣΤΕΓΑΖΟΜΕΝΟ ΝΗΠΙΑΓΩΓΕΙΟ - ΔΗΜΗΤΡΑΚΟΠΟΥΛΟΥ ΧΡΥΣΟΒΑΛΑΝΤΟΥ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9-18T00:00:00"/>
    <x v="1"/>
    <s v="ΔΙΕΥΘΥΝΣΗ Π.Ε. Β΄ ΑΘΗΝΑΣ"/>
    <n v="24.616666666666667"/>
    <s v="22 - 30"/>
  </r>
  <r>
    <n v="99910058"/>
    <s v="Θ"/>
    <x v="8"/>
    <x v="8"/>
    <m/>
    <m/>
    <s v="Γ΄"/>
    <n v="1"/>
    <n v="28476"/>
    <d v="2018-10-3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10-30T00:00:00"/>
    <s v="Ιδιωτικά Σχολεία"/>
    <x v="1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4-09-14T00:00:00"/>
    <x v="1"/>
    <s v="ΔΙΕΥΘΥΝΣΗ Π.Ε. ΑΝΑΤ. ΘΕΣ/ΝΙΚΗΣ"/>
    <n v="24.627777777777776"/>
    <s v="22 - 30"/>
  </r>
  <r>
    <n v="99910059"/>
    <s v="Θ"/>
    <x v="1"/>
    <x v="1"/>
    <m/>
    <m/>
    <s v="Γ΄"/>
    <n v="1"/>
    <s v="Φ.17/3786"/>
    <d v="2018-09-17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m/>
    <m/>
    <m/>
    <s v="ΟΧΙ"/>
    <m/>
    <d v="2018-09-17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4-08-05T00:00:00"/>
    <x v="1"/>
    <s v="ΔΙΕΥΘΥΝΣΗ Π.Ε. ΚΟΡΙΝΘΙΑΣ"/>
    <n v="24.738888888888887"/>
    <s v="22 - 30"/>
  </r>
  <r>
    <n v="99910060"/>
    <s v="Θ"/>
    <x v="0"/>
    <x v="0"/>
    <m/>
    <m/>
    <s v="Γ΄"/>
    <n v="1"/>
    <d v="2018-09-18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4-07-29T00:00:00"/>
    <x v="1"/>
    <s v="ΔΙΕΥΘΥΝΣΗ Π.Ε. ΑΝΑΤ. ΘΕΣ/ΝΙΚΗΣ"/>
    <n v="24.758333333333333"/>
    <s v="22 - 30"/>
  </r>
  <r>
    <n v="99910061"/>
    <s v="Θ"/>
    <x v="2"/>
    <x v="2"/>
    <m/>
    <m/>
    <s v="Γ΄"/>
    <n v="1"/>
    <n v="10602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m/>
    <s v="ΟΧΙ"/>
    <m/>
    <d v="2018-09-01T00:00:00"/>
    <s v="Ιδιωτικά Σχολεία"/>
    <x v="2"/>
    <s v="7054161"/>
    <s v="ΙΔΙΩΤΙΚΟ ΣΥΣΤΕΓΑΖΟΜΕΝΟ ΝΗΠΙΑΓΩΓΕΙΟ - Ο ΜΙΚΡΟΣ ΠΡΙΓΚΙΠΑΣ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7-09T00:00:00"/>
    <x v="1"/>
    <s v="ΔΙΕΥΘΥΝΣΗ Π.Ε. Δ΄ ΑΘΗΝΑΣ"/>
    <n v="24.81388888888889"/>
    <s v="22 - 30"/>
  </r>
  <r>
    <n v="99910062"/>
    <s v="Θ"/>
    <x v="12"/>
    <x v="12"/>
    <m/>
    <m/>
    <s v="Γ΄"/>
    <n v="1"/>
    <s v="Φ.17.2_Α/15053"/>
    <d v="2018-10-11T00:00:00"/>
    <s v="ΑΧΑΪΑΣ (Π.Ε.) 2018"/>
    <s v="ΔΙΕΥΘΥΝΣΗ Π.Ε. ΑΧΑΪΑΣ"/>
    <s v="ΠΕΡΙΦΕΡΕΙΑΚΗ Δ/ΝΣΗ Α/ΘΜΙΑΣ ΚΑΙ Β/ΘΜΙΑΣ ΕΚΠ/ΣΗΣ ΔΥΤΙΚΗΣ ΕΛΛΑΔΑΣ"/>
    <n v="19"/>
    <s v="ΟΧΙ"/>
    <m/>
    <m/>
    <m/>
    <s v="ΟΧΙ"/>
    <m/>
    <d v="2018-10-11T00:00:00"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Αναπληρωτής Ιδιωτικής Εκπαίδευσης (ν. 682/1977 άρ.35, παρ.4)"/>
    <s v="Τοποθέτηση σε Ιδιωτική Εκπαίδευση"/>
    <d v="1994-06-27T00:00:00"/>
    <x v="1"/>
    <s v="ΔΙΕΥΘΥΝΣΗ Π.Ε. ΑΧΑΪΑΣ"/>
    <n v="24.847222222222221"/>
    <s v="22 - 30"/>
  </r>
  <r>
    <n v="99910063"/>
    <s v="Θ"/>
    <x v="1"/>
    <x v="1"/>
    <m/>
    <m/>
    <s v="Γ΄"/>
    <n v="1"/>
    <s v="Φ.17/5756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4-06-14T00:00:00"/>
    <x v="1"/>
    <s v="ΔΙΕΥΘΥΝΣΗ Π.Ε. ΚΟΡΙΝΘΙΑΣ"/>
    <n v="24.883333333333333"/>
    <s v="22 - 30"/>
  </r>
  <r>
    <n v="99910064"/>
    <s v="Θ"/>
    <x v="1"/>
    <x v="1"/>
    <m/>
    <m/>
    <s v="Γ΄"/>
    <n v="1"/>
    <s v="170/6362/26-7-2018"/>
    <d v="2018-09-1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11T00:00:00"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5-20T00:00:00"/>
    <x v="1"/>
    <s v="ΔΙΕΥΘΥΝΣΗ Π.Ε. Β΄ ΑΘΗΝΑΣ"/>
    <n v="24.952777777777779"/>
    <s v="22 - 30"/>
  </r>
  <r>
    <n v="99910065"/>
    <s v="Θ"/>
    <x v="9"/>
    <x v="9"/>
    <m/>
    <m/>
    <s v="Γ΄"/>
    <n v="1"/>
    <n v="19786"/>
    <d v="2018-10-05T00:00:00"/>
    <s v="Β΄ ΑΘΗΝΑΣ (Δ.Ε.) 2018"/>
    <s v="ΔΙΕΥΘΥΝΣΗ Δ.Ε. Β΄ ΑΘΗΝΑΣ"/>
    <s v="ΠΕΡΙΦΕΡΕΙΑΚΗ Δ/ΝΣΗ Α/ΘΜΙΑΣ ΚΑΙ Β/ΘΜΙΑΣ ΕΚΠ/ΣΗΣ ΑΤΤΙΚΗΣ"/>
    <n v="15"/>
    <s v="ΟΧΙ"/>
    <m/>
    <m/>
    <m/>
    <s v="ΟΧΙ"/>
    <m/>
    <d v="2018-10-05T00:00:00"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4-05-17T00:00:00"/>
    <x v="0"/>
    <s v="ΔΙΕΥΘΥΝΣΗ Δ.Ε. Β΄ ΑΘΗΝΑΣ"/>
    <n v="24.961111111111112"/>
    <s v="22 - 30"/>
  </r>
  <r>
    <n v="99910066"/>
    <s v="Θ"/>
    <x v="2"/>
    <x v="2"/>
    <m/>
    <m/>
    <s v="Γ΄"/>
    <n v="1"/>
    <n v="1333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13"/>
    <s v="ΣΥΣΤΕΓΑΖΟΜΕΝΟ ΝΗΠΙΑΓΩΓΕΙΟ - ΓΑΛΑΝΗ ΣΤΑΘΟΥΛΑ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4-20T00:00:00"/>
    <x v="1"/>
    <s v="ΔΙΕΥΘΥΝΣΗ Π.Ε. Δ΄ ΑΘΗΝΑΣ"/>
    <n v="25.036111111111111"/>
    <s v="22 - 30"/>
  </r>
  <r>
    <n v="99910067"/>
    <s v="Θ"/>
    <x v="2"/>
    <x v="2"/>
    <m/>
    <m/>
    <s v="Γ΄"/>
    <n v="1"/>
    <n v="15590"/>
    <d v="2018-09-03T00:00:00"/>
    <s v="Α΄ ΠΕΙΡΑΙΑ (Π.Ε.) 2018"/>
    <s v="ΔΙΕΥΘΥΝΣΗ Π.Ε. ΠΕΙΡΑΙΑ"/>
    <s v="ΠΕΡΙΦΕΡΕΙΑΚΗ Δ/ΝΣΗ Α/ΘΜΙΑΣ ΚΑΙ Β/ΘΜΙΑΣ ΕΚΠ/ΣΗΣ ΑΤΤΙΚΗΣ"/>
    <n v="22"/>
    <s v="ΟΧΙ"/>
    <m/>
    <m/>
    <m/>
    <s v="ΟΧΙ"/>
    <m/>
    <d v="2018-09-03T00:00:00"/>
    <s v="Ιδιωτικά Σχολεία"/>
    <x v="2"/>
    <s v="7541095"/>
    <s v="ΙΔΙΩΤΙΚΟ ΣΥΣΤΕΓΑΖΟΜΕΝΟ ΝΗΠΙΑΓΩΓΕΙΟ - ΑΣΤΕΡΟΣΚΟΝΗ School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4-13T00:00:00"/>
    <x v="1"/>
    <s v="ΔΙΕΥΘΥΝΣΗ Π.Ε. ΠΕΙΡΑΙΑ"/>
    <n v="25.055555555555557"/>
    <s v="22 - 30"/>
  </r>
  <r>
    <n v="99910068"/>
    <s v="Θ"/>
    <x v="1"/>
    <x v="1"/>
    <m/>
    <m/>
    <s v="Γ΄"/>
    <n v="1"/>
    <s v="Φ.17.2/9643/3-10-2018"/>
    <d v="2018-09-11T00:00:00"/>
    <s v="Α΄ ΜΑΓΝΗΣΙΑΣ (Π.Ε.) 2018"/>
    <s v="ΔΙΕΥΘΥΝΣΗ Π.Ε. ΜΑΓΝΗΣΙΑΣ"/>
    <s v="ΠΕΡΙΦΕΡΕΙΑΚΗ Δ/ΝΣΗ Α/ΘΜΙΑΣ ΚΑΙ Β/ΘΜΙΑΣ ΕΚΠ/ΣΗΣ ΘΕΣΣΑΛΙΑΣ"/>
    <n v="24"/>
    <s v="ΟΧΙ"/>
    <m/>
    <m/>
    <m/>
    <s v="ΟΧΙ"/>
    <m/>
    <d v="2018-09-11T00:00:00"/>
    <s v="Ιδιωτικά Σχολεία"/>
    <x v="1"/>
    <s v="7351004"/>
    <s v="ΙΔΙΩΤΙΚΟ ΔΗΜΟΤΙΚΟ ΑΛΛΗ ΜΕΡΙΑ - ΑΞΙΟΝ ΕΣΤΙ"/>
    <s v="Α΄ ΜΑΓΝΗΣΙΑΣ (Π.Ε.) 2018"/>
    <x v="13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4-03-29T00:00:00"/>
    <x v="1"/>
    <s v="ΔΙΕΥΘΥΝΣΗ Π.Ε. ΜΑΓΝΗΣΙΑΣ"/>
    <n v="25.097222222222221"/>
    <s v="22 - 30"/>
  </r>
  <r>
    <n v="99910069"/>
    <s v="Α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3-15T00:00:00"/>
    <x v="0"/>
    <s v="ΔΙΕΥΘΥΝΣΗ Δ.Ε. Β΄ ΑΘΗΝΑΣ"/>
    <n v="25.136111111111113"/>
    <s v="22 - 30"/>
  </r>
  <r>
    <n v="99910070"/>
    <s v="Θ"/>
    <x v="2"/>
    <x v="2"/>
    <m/>
    <m/>
    <s v="Γ΄"/>
    <n v="1"/>
    <n v="1029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2"/>
    <s v="7311025"/>
    <s v="ΙΔΙΩΤΙΚΟ ΝΗΠΙΑΓΩΓΕΙΟ ΛΑΡΙΣΑ - ΜΑΛΑΧΤΑΡΗ ΔΡΑΚΟΥ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4-03-09T00:00:00"/>
    <x v="1"/>
    <s v="ΔΙΕΥΘΥΝΣΗ Π.Ε. ΛΑΡΙΣΑΣ"/>
    <n v="25.152777777777779"/>
    <s v="22 - 30"/>
  </r>
  <r>
    <n v="99910071"/>
    <s v="Θ"/>
    <x v="2"/>
    <x v="2"/>
    <m/>
    <m/>
    <s v="Γ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s v="ΟΧΙ"/>
    <m/>
    <s v="ΟΧΙ"/>
    <m/>
    <s v="ΟΧΙ"/>
    <m/>
    <m/>
    <s v="Ιδιωτικά Σχολεία"/>
    <x v="2"/>
    <s v="7271009"/>
    <s v="ΙΔΙΩΤΙΚΟ ΝΗΠΙΑΓΩΓΕΙΟ ΠΤΟΛΕΜΑΙΔΑ - ΠΛΕΞΙΔΑΣ ΝΙΚΟΛΑΟΣ ΚΑΙ ΣΙΑ Ο.Ε."/>
    <s v="ΚΟΖΑΝΗΣ (Π.Ε.) 2018"/>
    <x v="24"/>
    <s v="ΠΕΡΙΦΕΡΕΙΑΚΗ Δ/ΝΣΗ Α/ΘΜΙΑΣ ΚΑΙ Β/ΘΜΙΑΣ ΕΚΠ/ΣΗΣ ΔΥΤΙΚΗΣ ΜΑΚΕΔΟΝΙΑΣ"/>
    <s v="Ιδιωτικού Δικαίου Ορισμένου Χρόνου (Ι.Δ.Ο.Χ.)"/>
    <s v="Τοποθέτηση σε Ιδιωτική Εκπαίδευση"/>
    <d v="1994-01-31T00:00:00"/>
    <x v="1"/>
    <s v="ΔΙΕΥΘΥΝΣΗ Π.Ε. ΚΟΖΑΝΗΣ"/>
    <n v="25.255555555555556"/>
    <s v="22 - 30"/>
  </r>
  <r>
    <n v="99910072"/>
    <s v="Θ"/>
    <x v="2"/>
    <x v="2"/>
    <m/>
    <m/>
    <s v="Γ΄"/>
    <n v="1"/>
    <n v="21600"/>
    <d v="2018-09-01T00:00:00"/>
    <s v="ΣΕΡΡΩΝ (Π.Ε.) 2018"/>
    <s v="ΔΙΕΥΘΥΝΣΗ Π.Ε. ΣΕΡΡΩΝ"/>
    <s v="ΠΕΡΙΦΕΡΕΙΑΚΗ Δ/ΝΣΗ Α/ΘΜΙΑΣ ΚΑΙ Β/ΘΜΙΑΣ ΕΚΠ/ΣΗΣ ΚΕΝΤΡΙΚΗΣ ΜΑΚΕΔΟΝΙΑΣ"/>
    <n v="25"/>
    <s v="ΟΧΙ"/>
    <m/>
    <m/>
    <m/>
    <s v="ΟΧΙ"/>
    <m/>
    <d v="2018-09-01T00:00:00"/>
    <s v="Ιδιωτικά Σχολεία"/>
    <x v="2"/>
    <s v="7441001"/>
    <s v="ΘΕΟΔΩΡΙΔΟΥ ΠΑΥΛΙΝΑ &amp; ΣΙΑ Ο.Ε."/>
    <s v="ΣΕΡΡΩΝ (Π.Ε.) 2018"/>
    <x v="25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4-01-10T00:00:00"/>
    <x v="1"/>
    <s v="ΔΙΕΥΘΥΝΣΗ Π.Ε. ΣΕΡΡΩΝ"/>
    <n v="25.31388888888889"/>
    <s v="22 - 30"/>
  </r>
  <r>
    <n v="99910073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4-01-02T00:00:00"/>
    <x v="0"/>
    <s v="ΔΙΕΥΘΥΝΣΗ Δ.Ε. Β΄ ΑΘΗΝΑΣ"/>
    <n v="25.336111111111112"/>
    <s v="22 - 30"/>
  </r>
  <r>
    <n v="99910074"/>
    <s v="Θ"/>
    <x v="2"/>
    <x v="2"/>
    <m/>
    <m/>
    <s v="Γ΄"/>
    <n v="1"/>
    <s v="Φ.17/3603"/>
    <d v="2018-09-01T00:00:00"/>
    <s v="ΔΥΤ. ΑΤΤΙΚΗΣ (Π.Ε.) 2018"/>
    <s v="ΔΙΕΥΘΥΝΣΗ Π.Ε. ΔΥΤΙΚΗΣ ΑΤΤΙΚΗ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531011"/>
    <s v="ΥΠΗΡΕΣΙΕΣ ΠΡΩΤΟΒΑΘΜΙΑΣ ΕΚΠΑΙΔΕΥΣΗΣ - ΣΟΦΙΚΙΤΗ ΚΩΝΣΤΑΝΤΙΝΑ"/>
    <s v="ΔΥΤ. ΑΤΤΙΚΗΣ (Π.Ε.) 2018"/>
    <x v="26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4-01-01T00:00:00"/>
    <x v="1"/>
    <s v="ΔΙΕΥΘΥΝΣΗ Π.Ε. ΔΥΤΙΚΗΣ ΑΤΤΙΚΗΣ"/>
    <n v="25.338888888888889"/>
    <s v="22 - 30"/>
  </r>
  <r>
    <n v="99910075"/>
    <s v="Θ"/>
    <x v="1"/>
    <x v="1"/>
    <m/>
    <m/>
    <s v="Γ΄"/>
    <n v="1"/>
    <s v="Φ.17.2/9644/3-10-2018"/>
    <d v="2018-09-11T00:00:00"/>
    <s v="Α΄ ΜΑΓΝΗΣΙΑΣ (Π.Ε.) 2018"/>
    <s v="ΔΙΕΥΘΥΝΣΗ Π.Ε. ΜΑΓΝΗΣΙΑΣ"/>
    <s v="ΠΕΡΙΦΕΡΕΙΑΚΗ Δ/ΝΣΗ Α/ΘΜΙΑΣ ΚΑΙ Β/ΘΜΙΑΣ ΕΚΠ/ΣΗΣ ΘΕΣΣΑΛΙΑΣ"/>
    <n v="14"/>
    <s v="ΟΧΙ"/>
    <m/>
    <m/>
    <m/>
    <s v="ΟΧΙ"/>
    <m/>
    <d v="2018-09-11T00:00:00"/>
    <s v="Ιδιωτικά Σχολεία"/>
    <x v="1"/>
    <s v="7351004"/>
    <s v="ΙΔΙΩΤΙΚΟ ΔΗΜΟΤΙΚΟ ΑΛΛΗ ΜΕΡΙΑ - ΑΞΙΟΝ ΕΣΤΙ"/>
    <s v="Α΄ ΜΑΓΝΗΣΙΑΣ (Π.Ε.) 2018"/>
    <x v="13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3-12-21T00:00:00"/>
    <x v="1"/>
    <s v="ΔΙΕΥΘΥΝΣΗ Π.Ε. ΜΑΓΝΗΣΙΑΣ"/>
    <n v="25.369444444444444"/>
    <s v="22 - 30"/>
  </r>
  <r>
    <n v="99910076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207"/>
    <s v="ΙΔΙΩΤΙΚΟ ΝΗΠΙΑΓΩΓΕΙΟ - ΜΑΪΝΑ ΑΓΓΕΛΙΚΗ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12-13T00:00:00"/>
    <x v="1"/>
    <s v="ΔΙΕΥΘΥΝΣΗ Π.Ε. Β΄ ΑΘΗΝΑΣ"/>
    <n v="25.391666666666666"/>
    <s v="22 - 30"/>
  </r>
  <r>
    <n v="99910077"/>
    <s v="Θ"/>
    <x v="2"/>
    <x v="2"/>
    <m/>
    <m/>
    <s v="Γ΄"/>
    <n v="1"/>
    <s v="ΑΠ1902949"/>
    <d v="2018-09-12T00:00:00"/>
    <s v="ΠΙΕΡΙΑΣ (Π.Ε.) 2018"/>
    <s v="ΔΙΕΥΘΥΝΣΗ Π.Ε. ΠΙΕΡΙΑΣ"/>
    <s v="ΠΕΡΙΦΕΡΕΙΑΚΗ Δ/ΝΣΗ Α/ΘΜΙΑΣ ΚΑΙ Β/ΘΜΙΑΣ ΕΚΠ/ΣΗΣ ΚΕΝΤΡΙΚΗΣ ΜΑΚΕΔΟΝΙΑΣ"/>
    <n v="20"/>
    <s v="ΟΧΙ"/>
    <m/>
    <m/>
    <m/>
    <s v="ΟΧΙ"/>
    <m/>
    <d v="2018-09-12T00:00:00"/>
    <s v="Ιδιωτικά Σχολεία"/>
    <x v="2"/>
    <s v="7391001"/>
    <s v="ΙΔΙΩΤΙΚΟ ΝΗΠΙΑΓΩΓΕΙΟ ΚΑΤΕΡΙΝΗΣ - ΙΔΙΩΤΙΚΟ ΝΗΠ. ΠΛΑΤΩΝ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12-08T00:00:00"/>
    <x v="1"/>
    <s v="ΔΙΕΥΘΥΝΣΗ Π.Ε. ΠΙΕΡΙΑΣ"/>
    <n v="25.405555555555555"/>
    <s v="22 - 30"/>
  </r>
  <r>
    <n v="99910078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3-12-07T00:00:00"/>
    <x v="1"/>
    <s v="ΔΙΕΥΘΥΝΣΗ Π.Ε. Β΄ ΑΘΗΝΑΣ"/>
    <n v="25.408333333333335"/>
    <s v="22 - 30"/>
  </r>
  <r>
    <n v="99910079"/>
    <s v="Θ"/>
    <x v="2"/>
    <x v="2"/>
    <m/>
    <m/>
    <s v="Γ΄"/>
    <n v="1"/>
    <s v="30640/30-11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43"/>
    <s v="ΙΔΙΩΤΙΚΟ ΣΥΣΤΕΓΑΖΟΜΕΝΟ ΝΗΠΙΑΓΩΓΕΙΟ - ΦΥΤΟΥΛΗ ΧΑΪΔΩ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11-04T00:00:00"/>
    <x v="1"/>
    <s v="ΔΙΕΥΘΥΝΣΗ Π.Ε. ΑΝΑΤ. ΘΕΣ/ΝΙΚΗΣ"/>
    <n v="25.5"/>
    <s v="22 - 30"/>
  </r>
  <r>
    <n v="99910080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60"/>
    <s v="ΙΔΙΩΤΙΚΟ ΔΗΜΟΤΙΚΟ ΣΧΟΛΕΙΟ - ΔΕΣ ΔΗΜΟΤΙΚΟ ΙΚΕ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11-03T00:00:00"/>
    <x v="1"/>
    <s v="ΔΙΕΥΘΥΝΣΗ Π.Ε. ΑΝΑΤΟΛΙΚΗΣ ΑΤΤΙΚΗΣ"/>
    <n v="25.502777777777776"/>
    <s v="22 - 30"/>
  </r>
  <r>
    <n v="99910081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3-11-02T00:00:00"/>
    <x v="1"/>
    <s v="ΔΙΕΥΘΥΝΣΗ Π.Ε. Β΄ ΑΘΗΝΑΣ"/>
    <n v="25.505555555555556"/>
    <s v="22 - 30"/>
  </r>
  <r>
    <n v="99910082"/>
    <s v="Α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3-10-30T00:00:00"/>
    <x v="1"/>
    <s v="ΔΙΕΥΘΥΝΣΗ Π.Ε. ΑΙΤΩΛΟΑΚΑΡΝΑΝΙΑΣ"/>
    <n v="25.513888888888889"/>
    <s v="22 - 30"/>
  </r>
  <r>
    <n v="99910083"/>
    <s v="Θ"/>
    <x v="2"/>
    <x v="2"/>
    <m/>
    <m/>
    <s v="Γ΄"/>
    <n v="1"/>
    <s v="16619/13-9-2018"/>
    <d v="2018-09-07T00:00:00"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s v="ΟΧΙ"/>
    <s v="ΟΧΙ"/>
    <m/>
    <d v="2018-09-07T00:00:00"/>
    <s v="Ιδιωτικά Σχολεία"/>
    <x v="2"/>
    <s v="7541031"/>
    <s v="ΙΔΙΩΤΙΚΟ ΝΗΠΙΑΓΩΓΕΙ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10-28T00:00:00"/>
    <x v="1"/>
    <s v="ΔΙΕΥΘΥΝΣΗ Π.Ε. ΠΕΙΡΑΙΑ"/>
    <n v="25.519444444444446"/>
    <s v="22 - 30"/>
  </r>
  <r>
    <n v="99910084"/>
    <s v="Θ"/>
    <x v="1"/>
    <x v="1"/>
    <m/>
    <m/>
    <s v="Γ΄"/>
    <n v="1"/>
    <n v="10849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m/>
    <m/>
    <m/>
    <s v="ΟΧΙ"/>
    <m/>
    <d v="2018-09-06T00:00:00"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10-20T00:00:00"/>
    <x v="1"/>
    <s v="ΔΙΕΥΘΥΝΣΗ Π.Ε. ΔΥΤ. ΘΕΣ/ΝΙΚΗΣ"/>
    <n v="25.541666666666668"/>
    <s v="22 - 30"/>
  </r>
  <r>
    <n v="99910085"/>
    <s v="Θ"/>
    <x v="2"/>
    <x v="2"/>
    <m/>
    <m/>
    <s v="Γ΄"/>
    <n v="1"/>
    <n v="16175"/>
    <d v="2018-09-10T00:00:00"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m/>
    <s v="ΟΧΙ"/>
    <m/>
    <d v="2018-09-10T00:00:00"/>
    <s v="Ιδιωτικά Σχολεία"/>
    <x v="2"/>
    <s v="7541009"/>
    <s v="ΙΔΙΩΤΙΚΟ ΝΗΠΙΑΓΩΓΕΙΟ ΠΕΙΡΑΙΑΣ - ΑΓ. ΠΟΛΥΚΑΡΠΟΣ-ΑΓΙΟΣ ΓΕΩΡΓΙΟΣ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10-18T00:00:00"/>
    <x v="1"/>
    <s v="ΔΙΕΥΘΥΝΣΗ Π.Ε. ΠΕΙΡΑΙΑ"/>
    <n v="25.547222222222221"/>
    <s v="22 - 30"/>
  </r>
  <r>
    <n v="99910086"/>
    <s v="Α"/>
    <x v="5"/>
    <x v="5"/>
    <m/>
    <m/>
    <s v="Γ΄"/>
    <n v="1"/>
    <n v="12819"/>
    <d v="2018-11-13T00:00:00"/>
    <s v="ΠΙΕΡΙΑΣ (Δ.Ε.) 2018"/>
    <s v="ΔΙΕΥΘΥΝΣΗ Δ.Ε. ΠΙΕΡΙΑΣ"/>
    <s v="ΠΕΡΙΦΕΡΕΙΑΚΗ Δ/ΝΣΗ Α/ΘΜΙΑΣ ΚΑΙ Β/ΘΜΙΑΣ ΕΚΠ/ΣΗΣ ΚΕΝΤΡΙΚΗΣ ΜΑΚΕΔΟΝΙΑΣ"/>
    <n v="18"/>
    <s v="ΟΧΙ"/>
    <m/>
    <m/>
    <m/>
    <s v="ΟΧΙ"/>
    <m/>
    <d v="2018-11-13T00:00:00"/>
    <m/>
    <x v="5"/>
    <s v=""/>
    <m/>
    <m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10-15T00:00:00"/>
    <x v="0"/>
    <s v="ΔΙΕΥΘΥΝΣΗ Δ.Ε. ΠΙΕΡΙΑΣ"/>
    <n v="25.555555555555557"/>
    <s v="22 - 30"/>
  </r>
  <r>
    <n v="99910087"/>
    <s v="Θ"/>
    <x v="1"/>
    <x v="1"/>
    <m/>
    <m/>
    <s v="Γ΄"/>
    <n v="1"/>
    <n v="1311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s v="ΟΧΙ"/>
    <s v="ΟΧΙ"/>
    <m/>
    <s v="ΟΧΙ"/>
    <m/>
    <d v="2018-09-25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3-10-14T00:00:00"/>
    <x v="1"/>
    <s v="ΔΙΕΥΘΥΝΣΗ Π.Ε. ΞΑΝΘΗΣ"/>
    <n v="25.558333333333334"/>
    <s v="22 - 30"/>
  </r>
  <r>
    <n v="99910088"/>
    <s v="Α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10-14T00:00:00"/>
    <x v="1"/>
    <s v="ΔΙΕΥΘΥΝΣΗ Π.Ε. Β΄ ΑΘΗΝΑΣ"/>
    <n v="25.558333333333334"/>
    <s v="22 - 30"/>
  </r>
  <r>
    <n v="99910089"/>
    <s v="Θ"/>
    <x v="1"/>
    <x v="1"/>
    <m/>
    <m/>
    <s v="Γ΄"/>
    <n v="1"/>
    <s v="Φ.17.2/7368"/>
    <d v="2018-09-01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8-09-01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3-10-13T00:00:00"/>
    <x v="1"/>
    <s v="ΔΙΕΥΘΥΝΣΗ Π.Ε. ΧΑΝΙΩΝ"/>
    <n v="25.56111111111111"/>
    <s v="22 - 30"/>
  </r>
  <r>
    <n v="99910090"/>
    <s v="Θ"/>
    <x v="1"/>
    <x v="1"/>
    <m/>
    <m/>
    <s v="Γ΄"/>
    <n v="1"/>
    <n v="677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3-10-10T00:00:00"/>
    <x v="1"/>
    <s v="ΔΙΕΥΘΥΝΣΗ Π.Ε. ΛΑΡΙΣΑΣ"/>
    <n v="25.569444444444443"/>
    <s v="22 - 30"/>
  </r>
  <r>
    <n v="99910091"/>
    <s v="Θ"/>
    <x v="2"/>
    <x v="2"/>
    <m/>
    <m/>
    <s v="Γ΄"/>
    <n v="1"/>
    <s v="23915/01-10-2018"/>
    <d v="2018-09-1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10T00:00:00"/>
    <s v="Ιδιωτικά Σχολεία"/>
    <x v="2"/>
    <s v="7191023"/>
    <s v="ΙΔΙΩΤΙΚΟ ΝΗΠΙΑΓΩΓΕΙΟ ΚΑΛΑΜΑΡΙΑ - Β. ΚΑΡΑΦΥΛΛΙΔΟΥ ΚΑΙ ΣΙΑ Ο.Ε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10-04T00:00:00"/>
    <x v="1"/>
    <s v="ΔΙΕΥΘΥΝΣΗ Π.Ε. ΑΝΑΤ. ΘΕΣ/ΝΙΚΗΣ"/>
    <n v="25.586111111111112"/>
    <s v="22 - 30"/>
  </r>
  <r>
    <n v="99910092"/>
    <s v="Θ"/>
    <x v="1"/>
    <x v="1"/>
    <m/>
    <m/>
    <s v="Γ΄"/>
    <n v="1"/>
    <d v="2018-09-06T00:00:00"/>
    <d v="2018-09-06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6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10-03T00:00:00"/>
    <x v="1"/>
    <s v="ΔΙΕΥΘΥΝΣΗ Π.Ε. ΑΝΑΤ. ΘΕΣ/ΝΙΚΗΣ"/>
    <n v="25.588888888888889"/>
    <s v="22 - 30"/>
  </r>
  <r>
    <n v="99910093"/>
    <s v="Θ"/>
    <x v="0"/>
    <x v="0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2"/>
    <s v="ΟΧΙ"/>
    <s v="ΟΧΙ"/>
    <s v="ΟΧΙ"/>
    <s v="ΟΧΙ"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3-10-01T00:00:00"/>
    <x v="0"/>
    <s v="ΔΙΕΥΘΥΝΣΗ Δ.Ε. ΧΑΝΙΩΝ"/>
    <n v="25.594444444444445"/>
    <s v="22 - 30"/>
  </r>
  <r>
    <n v="99910094"/>
    <s v="Θ"/>
    <x v="13"/>
    <x v="13"/>
    <m/>
    <m/>
    <s v="Γ΄"/>
    <n v="1"/>
    <s v="6489/21-9-2017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13"/>
    <s v="ΟΧΙ"/>
    <s v="ΟΧΙ"/>
    <s v="ΟΧΙ"/>
    <s v="ΟΧΙ"/>
    <s v="ΟΧΙ"/>
    <m/>
    <d v="2018-09-01T00:00:00"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93-10-01T00:00:00"/>
    <x v="1"/>
    <s v="ΔΙΕΥΘΥΝΣΗ Π.Ε. ΔΩΔΕΚΑΝΗΣΟΥ"/>
    <n v="25.594444444444445"/>
    <s v="22 - 30"/>
  </r>
  <r>
    <n v="99910095"/>
    <s v="Θ"/>
    <x v="1"/>
    <x v="1"/>
    <m/>
    <m/>
    <s v="Γ΄"/>
    <n v="1"/>
    <n v="7464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3-08-25T00:00:00"/>
    <x v="1"/>
    <s v="ΔΙΕΥΘΥΝΣΗ Π.Ε. ΛΑΡΙΣΑΣ"/>
    <n v="25.697222222222223"/>
    <s v="22 - 30"/>
  </r>
  <r>
    <n v="99910096"/>
    <s v="Θ"/>
    <x v="1"/>
    <x v="1"/>
    <m/>
    <m/>
    <s v="Γ΄"/>
    <n v="1"/>
    <s v="6954/2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m/>
    <m/>
    <m/>
    <s v="ΟΧΙ"/>
    <m/>
    <d v="2018-09-25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3-07-08T00:00:00"/>
    <x v="1"/>
    <s v="ΔΙΕΥΘΥΝΣΗ Π.Ε. ΞΑΝΘΗΣ"/>
    <n v="25.830555555555556"/>
    <s v="22 - 30"/>
  </r>
  <r>
    <n v="99910097"/>
    <s v="Θ"/>
    <x v="1"/>
    <x v="1"/>
    <m/>
    <m/>
    <s v="Γ΄"/>
    <n v="3"/>
    <m/>
    <m/>
    <s v="ΚΟΡΙΝΘΙΑΣ (Π.Ε.) 2018"/>
    <s v="ΔΙΕΥΘΥΝΣΗ Π.Ε. ΚΟΡΙΝΘΙΑΣ"/>
    <s v="ΠΕΡΙΦΕΡΕΙΑΚΗ Δ/ΝΣΗ Α/ΘΜΙΑΣ ΚΑΙ Β/ΘΜΙΑΣ ΕΚΠ/ΣΗΣ ΠΕΛΟΠΟΝΝΗΣΟΥ"/>
    <n v="15"/>
    <s v="ΟΧΙ"/>
    <s v="ΟΧΙ"/>
    <s v="ΟΧΙ"/>
    <s v="ΟΧΙ"/>
    <s v="ΟΧΙ"/>
    <m/>
    <m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3-06-23T00:00:00"/>
    <x v="1"/>
    <s v="ΔΙΕΥΘΥΝΣΗ Π.Ε. ΚΟΡΙΝΘΙΑΣ"/>
    <n v="25.872222222222224"/>
    <s v="22 - 30"/>
  </r>
  <r>
    <n v="99910098"/>
    <s v="Θ"/>
    <x v="1"/>
    <x v="1"/>
    <m/>
    <m/>
    <s v="Γ΄"/>
    <n v="1"/>
    <n v="1125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8"/>
    <s v="ΙΔΙΩΤΙΚΟ ΔΗΜΟΤΙΚΟ - ΕΥΡΩΠΑΪΚΟ ΠΡΟΤΥΠ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06-22T00:00:00"/>
    <x v="1"/>
    <s v="ΔΙΕΥΘΥΝΣΗ Π.Ε. Δ΄ ΑΘΗΝΑΣ"/>
    <n v="25.875"/>
    <s v="22 - 30"/>
  </r>
  <r>
    <n v="99910099"/>
    <s v="Θ"/>
    <x v="1"/>
    <x v="1"/>
    <m/>
    <m/>
    <s v="Γ΄"/>
    <n v="1"/>
    <n v="4093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3-06-19T00:00:00"/>
    <x v="1"/>
    <s v="ΔΙΕΥΘΥΝΣΗ Π.Ε. ΠΕΙΡΑΙΑ"/>
    <n v="25.883333333333333"/>
    <s v="22 - 30"/>
  </r>
  <r>
    <n v="99910100"/>
    <s v="Α"/>
    <x v="1"/>
    <x v="1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3-06-06T00:00:00"/>
    <x v="1"/>
    <s v="ΔΙΕΥΘΥΝΣΗ Π.Ε. ΑΝΑΤ. ΘΕΣ/ΝΙΚΗΣ"/>
    <n v="25.919444444444444"/>
    <s v="22 - 30"/>
  </r>
  <r>
    <n v="99910101"/>
    <s v="Θ"/>
    <x v="1"/>
    <x v="1"/>
    <m/>
    <m/>
    <s v="Γ΄"/>
    <n v="1"/>
    <s v="Φ.17.2/7311"/>
    <d v="2018-09-01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8-09-01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3-06-05T00:00:00"/>
    <x v="1"/>
    <s v="ΔΙΕΥΘΥΝΣΗ Π.Ε. ΧΑΝΙΩΝ"/>
    <n v="25.922222222222221"/>
    <s v="22 - 30"/>
  </r>
  <r>
    <n v="99910102"/>
    <s v="Θ"/>
    <x v="14"/>
    <x v="14"/>
    <m/>
    <m/>
    <s v="Γ΄"/>
    <n v="1"/>
    <n v="19299"/>
    <d v="2018-10-03T00:00:00"/>
    <s v="Α΄ ΠΕΙΡΑΙΑ (Π.Ε.) 2018"/>
    <s v="ΔΙΕΥΘΥΝΣΗ Π.Ε. ΠΕΙΡΑΙΑ"/>
    <s v="ΠΕΡΙΦΕΡΕΙΑΚΗ Δ/ΝΣΗ Α/ΘΜΙΑΣ ΚΑΙ Β/ΘΜΙΑΣ ΕΚΠ/ΣΗΣ ΑΤΤΙΚΗΣ"/>
    <n v="6"/>
    <s v="ΟΧΙ"/>
    <m/>
    <m/>
    <m/>
    <s v="ΟΧΙ"/>
    <m/>
    <d v="2018-10-03T00:00:00"/>
    <s v="Ιδιωτικά Σχολεία"/>
    <x v="1"/>
    <s v="7541026"/>
    <s v="ΙΔΙΩΤΙΚΟ ΔΗΜΟΤΙΚ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06-01T00:00:00"/>
    <x v="1"/>
    <s v="ΔΙΕΥΘΥΝΣΗ Π.Ε. ΠΕΙΡΑΙΑ"/>
    <n v="25.933333333333334"/>
    <s v="22 - 30"/>
  </r>
  <r>
    <n v="99910103"/>
    <s v="Θ"/>
    <x v="2"/>
    <x v="2"/>
    <m/>
    <m/>
    <s v="Γ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23"/>
    <s v="ΙΔΙΩΤΙΚΟ ΣΥΣΤΕΓΑΖΟΜΕΝΟ ΝΗΠΙΑΓΩΓΕΙΟ-ΣΤΟΝ ΜΑΓΙΚΟ ΑΥΛΟ"/>
    <s v="Α΄ ΕΥΒΟΙΑΣ (Π.Ε.) 2018"/>
    <x v="31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93-05-22T00:00:00"/>
    <x v="1"/>
    <s v="ΔΙΕΥΘΥΝΣΗ Π.Ε. ΕΥΒΟΙΑΣ"/>
    <n v="25.961111111111112"/>
    <s v="22 - 30"/>
  </r>
  <r>
    <n v="99910104"/>
    <s v="Θ"/>
    <x v="1"/>
    <x v="1"/>
    <m/>
    <m/>
    <s v="Γ΄"/>
    <n v="1"/>
    <n v="1505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3-05-19T00:00:00"/>
    <x v="1"/>
    <s v="ΔΙΕΥΘΥΝΣΗ Π.Ε. Δ΄ ΑΘΗΝΑΣ"/>
    <n v="25.969444444444445"/>
    <s v="22 - 30"/>
  </r>
  <r>
    <n v="99910105"/>
    <s v="Θ"/>
    <x v="1"/>
    <x v="1"/>
    <m/>
    <m/>
    <s v="Γ΄"/>
    <n v="1"/>
    <s v="2480300/3-12-2018"/>
    <d v="2018-12-03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12-03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05-17T00:00:00"/>
    <x v="1"/>
    <s v="ΔΙΕΥΘΥΝΣΗ Π.Ε. ΠΙΕΡΙΑΣ"/>
    <n v="25.975000000000001"/>
    <s v="22 - 30"/>
  </r>
  <r>
    <n v="99910106"/>
    <s v="Θ"/>
    <x v="1"/>
    <x v="1"/>
    <m/>
    <m/>
    <s v="Γ΄"/>
    <n v="1"/>
    <n v="1061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3-05-14T00:00:00"/>
    <x v="1"/>
    <s v="ΔΙΕΥΘΥΝΣΗ Π.Ε. Δ΄ ΑΘΗΝΑΣ"/>
    <n v="25.983333333333334"/>
    <s v="22 - 30"/>
  </r>
  <r>
    <n v="99910107"/>
    <s v="Θ"/>
    <x v="1"/>
    <x v="1"/>
    <m/>
    <m/>
    <s v="Γ΄"/>
    <n v="1"/>
    <n v="10016"/>
    <d v="2018-09-18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18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3-05-13T00:00:00"/>
    <x v="1"/>
    <s v="ΔΙΕΥΘΥΝΣΗ Π.Ε. Δ΄ ΑΘΗΝΑΣ"/>
    <n v="25.986111111111111"/>
    <s v="22 - 30"/>
  </r>
  <r>
    <n v="99910108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04-20T00:00:00"/>
    <x v="1"/>
    <s v="ΔΙΕΥΘΥΝΣΗ Π.Ε. Β΄ ΑΘΗΝΑΣ"/>
    <n v="26.05"/>
    <s v="22 - 30"/>
  </r>
  <r>
    <n v="99910109"/>
    <s v="Θ"/>
    <x v="1"/>
    <x v="1"/>
    <m/>
    <m/>
    <s v="Γ΄"/>
    <n v="1"/>
    <s v="3776β"/>
    <d v="2018-09-01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021002"/>
    <s v="ΙΔΙΩΤΙΚΟ ΔΗΜΟΤΙΚΟ ΣΧΟΛΕΙΟ ΑΥΤΕΝΕΡΓΩ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3-04-12T00:00:00"/>
    <x v="1"/>
    <s v="ΔΙΕΥΘΥΝΣΗ Π.Ε. ΑΡΓΟΛΙΔΑΣ"/>
    <n v="26.072222222222223"/>
    <s v="22 - 30"/>
  </r>
  <r>
    <n v="99910110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93-04-03T00:00:00"/>
    <x v="1"/>
    <s v="ΔΙΕΥΘΥΝΣΗ Π.Ε. Α΄ ΑΘΗΝΑΣ"/>
    <n v="26.097222222222221"/>
    <s v="22 - 30"/>
  </r>
  <r>
    <n v="99910111"/>
    <s v="Θ"/>
    <x v="1"/>
    <x v="1"/>
    <m/>
    <m/>
    <s v="Γ΄"/>
    <n v="1"/>
    <s v="7379/08-10-2018"/>
    <d v="2018-09-13T00:00:00"/>
    <s v="ΙΩΑΝΝΙΝΩΝ (Π.Ε.) 2018"/>
    <s v="ΔΙΕΥΘΥΝΣΗ Π.Ε. ΙΩΑΝΝΙΝΩΝ"/>
    <s v="ΠΕΡΙΦΕΡΕΙΑΚΗ Δ/ΝΣΗ Α/ΘΜΙΑΣ ΚΑΙ Β/ΘΜΙΑΣ ΕΚΠ/ΣΗΣ ΗΠΕΙΡΟΥ"/>
    <n v="24"/>
    <s v="ΟΧΙ"/>
    <m/>
    <m/>
    <m/>
    <s v="ΟΧΙ"/>
    <m/>
    <d v="2018-09-13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3-03-30T00:00:00"/>
    <x v="1"/>
    <s v="ΔΙΕΥΘΥΝΣΗ Π.Ε. ΙΩΑΝΝΙΝΩΝ"/>
    <n v="26.108333333333334"/>
    <s v="22 - 30"/>
  </r>
  <r>
    <n v="99910112"/>
    <s v="Θ"/>
    <x v="1"/>
    <x v="1"/>
    <m/>
    <m/>
    <s v="Γ΄"/>
    <n v="1"/>
    <n v="1061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03-19T00:00:00"/>
    <x v="1"/>
    <s v="ΔΙΕΥΘΥΝΣΗ Π.Ε. Δ΄ ΑΘΗΝΑΣ"/>
    <n v="26.138888888888889"/>
    <s v="22 - 30"/>
  </r>
  <r>
    <n v="99910113"/>
    <s v="Θ"/>
    <x v="3"/>
    <x v="3"/>
    <m/>
    <m/>
    <s v="Γ΄"/>
    <n v="1"/>
    <s v="8703/25-9-2018"/>
    <d v="2018-09-12T00:00:00"/>
    <s v="ΙΩΑΝΝΙΝΩΝ (Δ.Ε.) 2018"/>
    <s v="ΔΙΕΥΘΥΝΣΗ Δ.Ε. ΙΩΑΝΝΙΝΩΝ"/>
    <s v="ΠΕΡΙΦΕΡΕΙΑΚΗ Δ/ΝΣΗ Α/ΘΜΙΑΣ ΚΑΙ Β/ΘΜΙΑΣ ΕΚΠ/ΣΗΣ ΗΠΕΙΡΟΥ"/>
    <n v="14"/>
    <s v="ΟΧΙ"/>
    <m/>
    <m/>
    <m/>
    <s v="ΟΧΙ"/>
    <m/>
    <d v="2018-09-12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3-03-09T00:00:00"/>
    <x v="0"/>
    <s v="ΔΙΕΥΘΥΝΣΗ Δ.Ε. ΙΩΑΝΝΙΝΩΝ"/>
    <n v="26.166666666666668"/>
    <s v="22 - 30"/>
  </r>
  <r>
    <n v="99910114"/>
    <s v="Θ"/>
    <x v="1"/>
    <x v="1"/>
    <m/>
    <m/>
    <s v="Γ΄"/>
    <n v="1"/>
    <n v="9638"/>
    <d v="2018-09-10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10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3-03-07T00:00:00"/>
    <x v="1"/>
    <s v="ΔΙΕΥΘΥΝΣΗ Π.Ε. Δ΄ ΑΘΗΝΑΣ"/>
    <n v="26.172222222222221"/>
    <s v="22 - 30"/>
  </r>
  <r>
    <n v="99910115"/>
    <s v="Θ"/>
    <x v="1"/>
    <x v="1"/>
    <m/>
    <m/>
    <s v="Γ΄"/>
    <n v="1"/>
    <n v="6573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3-03-05T00:00:00"/>
    <x v="1"/>
    <s v="ΔΙΕΥΘΥΝΣΗ Π.Ε. ΛΑΡΙΣΑΣ"/>
    <n v="26.177777777777777"/>
    <s v="22 - 30"/>
  </r>
  <r>
    <n v="99910116"/>
    <s v="Θ"/>
    <x v="2"/>
    <x v="2"/>
    <m/>
    <m/>
    <s v="Γ΄"/>
    <n v="1"/>
    <n v="273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147"/>
    <s v="ΙΔΙΩΤΙΚΟ ΣΥΣΤΕΓΑΖΟΜΕΝΟ ΝΗΠΙΑΓΩΓΕΙΟ - ΔΡΑΚΑ Γ. ΜΑΡΙ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3-02-25T00:00:00"/>
    <x v="1"/>
    <s v="ΔΙΕΥΘΥΝΣΗ Π.Ε. Β΄ ΑΘΗΝΑΣ"/>
    <n v="26.2"/>
    <s v="22 - 30"/>
  </r>
  <r>
    <n v="99910117"/>
    <s v="Θ"/>
    <x v="2"/>
    <x v="2"/>
    <m/>
    <m/>
    <s v="Γ΄"/>
    <n v="1"/>
    <n v="4343"/>
    <d v="2018-09-03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03T00:00:00"/>
    <s v="Ιδιωτικά Σχολεία"/>
    <x v="2"/>
    <s v="7451005"/>
    <s v="ΙΔΙΩΤΙΚΟ ΝΗΠΙΑΓΩΓΕΙΟ ΤΡΙΚΑΛΑ - Φ. ΣΑΚΚΑ ΦΩΤΕΙΝΗ ΣΙΑ Ο.Ε."/>
    <s v="ΤΡΙΚΑΛΩΝ (Π.Ε.) 2018"/>
    <x v="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3-02-22T00:00:00"/>
    <x v="1"/>
    <s v="ΔΙΕΥΘΥΝΣΗ Π.Ε. ΤΡΙΚΑΛΩΝ"/>
    <n v="26.208333333333332"/>
    <s v="22 - 30"/>
  </r>
  <r>
    <n v="99910118"/>
    <s v="Θ"/>
    <x v="1"/>
    <x v="1"/>
    <m/>
    <m/>
    <s v="Γ΄"/>
    <n v="1"/>
    <n v="4250"/>
    <d v="2018-10-05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m/>
    <s v="ΟΧΙ"/>
    <m/>
    <d v="2018-10-05T00:00:00"/>
    <s v="Ιδιωτικά Σχολεία"/>
    <x v="1"/>
    <s v="7021002"/>
    <s v="ΙΔΙΩΤΙΚΟ ΔΗΜΟΤΙΚΟ ΣΧΟΛΕΙΟ ΑΥΤΕΝΕΡΓΩ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3-02-21T00:00:00"/>
    <x v="1"/>
    <s v="ΔΙΕΥΘΥΝΣΗ Π.Ε. ΑΡΓΟΛΙΔΑΣ"/>
    <n v="26.211111111111112"/>
    <s v="22 - 30"/>
  </r>
  <r>
    <n v="99910119"/>
    <s v="Θ"/>
    <x v="1"/>
    <x v="1"/>
    <m/>
    <m/>
    <s v="Γ΄"/>
    <n v="1"/>
    <n v="4550"/>
    <d v="2018-09-19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m/>
    <s v="ΟΧΙ"/>
    <m/>
    <d v="2018-09-19T00:00:00"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3-02-20T00:00:00"/>
    <x v="1"/>
    <s v="ΔΙΕΥΘΥΝΣΗ Π.Ε. ΑΡΓΟΛΙΔΑΣ"/>
    <n v="26.213888888888889"/>
    <s v="22 - 30"/>
  </r>
  <r>
    <n v="99910120"/>
    <s v="Θ"/>
    <x v="0"/>
    <x v="0"/>
    <m/>
    <m/>
    <s v="Γ΄"/>
    <n v="1"/>
    <n v="0"/>
    <d v="2018-09-01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s v="ΟΧΙ"/>
    <s v="ΟΧΙ"/>
    <s v="ΟΧΙ"/>
    <s v="ΟΧΙ"/>
    <s v="ΟΧΙ"/>
    <m/>
    <d v="2018-09-01T00:00:00"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3-02-14T00:00:00"/>
    <x v="0"/>
    <s v="ΔΙΕΥΘΥΝΣΗ Δ.Ε. ΑΙΤΩΛΟΑΚΑΡΝΑΝΙΑΣ"/>
    <n v="26.230555555555554"/>
    <s v="22 - 30"/>
  </r>
  <r>
    <n v="99910121"/>
    <s v="Θ"/>
    <x v="1"/>
    <x v="1"/>
    <m/>
    <m/>
    <s v="Γ΄"/>
    <n v="1"/>
    <s v="40/22-5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Αναπληρωτής Ιδιωτικής Εκπαίδευσης (ν. 682/1977 άρ.35, παρ.4)"/>
    <s v="Τοποθέτηση σε Ιδιωτική Εκπαίδευση"/>
    <d v="1993-02-12T00:00:00"/>
    <x v="1"/>
    <s v="ΔΙΕΥΘΥΝΣΗ Π.Ε. ΑΧΑΪΑΣ"/>
    <n v="26.236111111111111"/>
    <s v="22 - 30"/>
  </r>
  <r>
    <n v="99910122"/>
    <s v="Θ"/>
    <x v="1"/>
    <x v="1"/>
    <m/>
    <m/>
    <s v="Γ΄"/>
    <n v="1"/>
    <s v="ΑΠ1787739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02-01T00:00:00"/>
    <x v="1"/>
    <s v="ΔΙΕΥΘΥΝΣΗ Π.Ε. ΠΙΕΡΙΑΣ"/>
    <n v="26.266666666666666"/>
    <s v="22 - 30"/>
  </r>
  <r>
    <n v="99910123"/>
    <s v="Θ"/>
    <x v="1"/>
    <x v="1"/>
    <m/>
    <m/>
    <s v="Γ΄"/>
    <n v="1"/>
    <n v="6928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3-01-31T00:00:00"/>
    <x v="1"/>
    <s v="ΔΙΕΥΘΥΝΣΗ Π.Ε. ΛΑΡΙΣΑΣ"/>
    <n v="26.269444444444446"/>
    <s v="22 - 30"/>
  </r>
  <r>
    <n v="99910124"/>
    <s v="Θ"/>
    <x v="5"/>
    <x v="5"/>
    <m/>
    <m/>
    <s v="Γ΄"/>
    <n v="1"/>
    <s v="Φ.17.2/6354"/>
    <d v="2018-10-10T00:00:00"/>
    <s v="Α΄ ΔΩΔΕΚΑΝΗΣΟΥ (Δ.Ε.) 2018"/>
    <s v="ΔΙΕΥΘΥΝΣΗ Δ.Ε. ΔΩΔΕΚΑΝΗΣΟΥ"/>
    <s v="ΠΕΡΙΦΕΡΕΙΑΚΗ Δ/ΝΣΗ Α/ΘΜΙΑΣ ΚΑΙ Β/ΘΜΙΑΣ ΕΚΠ/ΣΗΣ ΝΟΤΙΟΥ ΑΙΓΑΙΟΥ"/>
    <n v="15"/>
    <s v="ΟΧΙ"/>
    <m/>
    <m/>
    <m/>
    <s v="ΟΧΙ"/>
    <m/>
    <d v="2018-10-10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Αναπληρωτής Ιδιωτικής Εκπαίδευσης (ν. 682/1977 άρ.35, παρ.4)"/>
    <s v="Τοποθέτηση σε Ιδιωτική Εκπαίδευση"/>
    <d v="1993-01-30T00:00:00"/>
    <x v="0"/>
    <s v="ΔΙΕΥΘΥΝΣΗ Δ.Ε. ΔΩΔΕΚΑΝΗΣΟΥ"/>
    <n v="26.272222222222222"/>
    <s v="22 - 30"/>
  </r>
  <r>
    <n v="99910125"/>
    <s v="Θ"/>
    <x v="5"/>
    <x v="5"/>
    <m/>
    <m/>
    <s v="Γ΄"/>
    <n v="1"/>
    <n v="1635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s v="ΟΧΙ"/>
    <m/>
    <m/>
    <m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01-21T00:00:00"/>
    <x v="0"/>
    <s v="ΔΙΕΥΘΥΝΣΗ Δ.Ε. ΔΥΤ. ΘΕΣ/ΝΙΚΗΣ"/>
    <n v="26.297222222222221"/>
    <s v="22 - 30"/>
  </r>
  <r>
    <n v="99910126"/>
    <s v="Θ"/>
    <x v="10"/>
    <x v="10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3-01-12T00:00:00"/>
    <x v="1"/>
    <s v="ΔΙΕΥΘΥΝΣΗ Π.Ε. ΑΝΑΤ. ΘΕΣ/ΝΙΚΗΣ"/>
    <n v="26.322222222222223"/>
    <s v="22 - 30"/>
  </r>
  <r>
    <n v="99910127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12-16T00:00:00"/>
    <x v="1"/>
    <s v="ΔΙΕΥΘΥΝΣΗ Π.Ε. Α΄ ΑΘΗΝΑΣ"/>
    <n v="26.397222222222222"/>
    <s v="22 - 30"/>
  </r>
  <r>
    <n v="99910128"/>
    <s v="Θ"/>
    <x v="1"/>
    <x v="1"/>
    <m/>
    <m/>
    <s v="Γ΄"/>
    <n v="1"/>
    <s v="Φ.17.2/222/6926/2-10-201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2-12-14T00:00:00"/>
    <x v="1"/>
    <s v="ΔΙΕΥΘΥΝΣΗ Π.Ε. Β΄ ΑΘΗΝΑΣ"/>
    <n v="26.402777777777779"/>
    <s v="22 - 30"/>
  </r>
  <r>
    <n v="99910129"/>
    <s v="Α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2-12-14T00:00:00"/>
    <x v="1"/>
    <s v="ΔΙΕΥΘΥΝΣΗ Π.Ε. ΑΝΑΤ. ΘΕΣ/ΝΙΚΗΣ"/>
    <n v="26.402777777777779"/>
    <s v="22 - 30"/>
  </r>
  <r>
    <n v="99910130"/>
    <s v="Θ"/>
    <x v="1"/>
    <x v="1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2-12-13T00:00:00"/>
    <x v="1"/>
    <s v="ΔΙΕΥΘΥΝΣΗ Π.Ε. ΗΡΑΚΛΕΙΟΥ"/>
    <n v="26.405555555555555"/>
    <s v="22 - 30"/>
  </r>
  <r>
    <n v="99910131"/>
    <s v="Θ"/>
    <x v="2"/>
    <x v="2"/>
    <m/>
    <m/>
    <s v="Γ΄"/>
    <n v="1"/>
    <s v="Φ.17.2/8404"/>
    <d v="2018-10-12T00:00:00"/>
    <s v="ΧΑΝΙΩΝ (Π.Ε.) 2018"/>
    <s v="ΔΙΕΥΘΥΝΣΗ Π.Ε. ΧΑΝΙΩΝ"/>
    <s v="ΠΕΡΙΦΕΡΕΙΑΚΗ Δ/ΝΣΗ Α/ΘΜΙΑΣ ΚΑΙ Β/ΘΜΙΑΣ ΕΚΠ/ΣΗΣ ΚΡΗΤΗΣ"/>
    <n v="25"/>
    <s v="ΟΧΙ"/>
    <m/>
    <m/>
    <m/>
    <s v="ΟΧΙ"/>
    <m/>
    <d v="2018-10-12T00:00:00"/>
    <s v="Ιδιωτικά Σχολεία"/>
    <x v="2"/>
    <s v="7501017"/>
    <s v="ΙΔΙΩΤΙΚΟ ΣΥΣΤΕΓΑΖΟΜΕΝΟ ΝΗΠΙΑΓΩΓΕΙΟ - ΤΟ ΚΑΣΤΡΟ ΤΟΥ ΤΡΙΛΟΛΗ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92-12-08T00:00:00"/>
    <x v="1"/>
    <s v="ΔΙΕΥΘΥΝΣΗ Π.Ε. ΧΑΝΙΩΝ"/>
    <n v="26.419444444444444"/>
    <s v="22 - 30"/>
  </r>
  <r>
    <n v="99910132"/>
    <s v="Θ"/>
    <x v="1"/>
    <x v="1"/>
    <m/>
    <m/>
    <s v="Γ΄"/>
    <n v="1"/>
    <n v="1496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2-11-30T00:00:00"/>
    <x v="1"/>
    <s v="ΔΙΕΥΘΥΝΣΗ Π.Ε. Δ΄ ΑΘΗΝΑΣ"/>
    <n v="26.441666666666666"/>
    <s v="22 - 30"/>
  </r>
  <r>
    <n v="99910133"/>
    <s v="Θ"/>
    <x v="1"/>
    <x v="1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2-11-30T00:00:00"/>
    <x v="1"/>
    <s v="ΔΙΕΥΘΥΝΣΗ Π.Ε. ΛΑΡΙΣΑΣ"/>
    <n v="26.441666666666666"/>
    <s v="22 - 30"/>
  </r>
  <r>
    <n v="99910134"/>
    <s v="Θ"/>
    <x v="4"/>
    <x v="4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3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2-11-28T00:00:00"/>
    <x v="0"/>
    <s v="ΔΙΕΥΘΥΝΣΗ Δ.Ε. ΚΟΡΙΝΘΙΑΣ"/>
    <n v="26.447222222222223"/>
    <s v="22 - 30"/>
  </r>
  <r>
    <n v="99910135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2011"/>
    <s v="ΙΔΙΩΤΙΚΟ ΝΗΠΙΑΓΩΓΕΙ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11-23T00:00:00"/>
    <x v="1"/>
    <s v="ΔΙΕΥΘΥΝΣΗ Π.Ε. Β΄ ΑΘΗΝΑΣ"/>
    <n v="26.461111111111112"/>
    <s v="22 - 30"/>
  </r>
  <r>
    <n v="99910136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2225"/>
    <s v="ΙΔΙΩΤΙΚΟ ΝΗΠΙΑΓΩΓΕΙΟ - ΤΡΙΑΝΕΜΙ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11-19T00:00:00"/>
    <x v="1"/>
    <s v="ΔΙΕΥΘΥΝΣΗ Π.Ε. Β΄ ΑΘΗΝΑΣ"/>
    <n v="26.472222222222221"/>
    <s v="22 - 30"/>
  </r>
  <r>
    <n v="99910137"/>
    <s v="Α"/>
    <x v="14"/>
    <x v="14"/>
    <m/>
    <m/>
    <s v="Γ΄"/>
    <n v="1"/>
    <n v="13804"/>
    <d v="2018-10-25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s v="ΟΧΙ"/>
    <m/>
    <m/>
    <m/>
    <s v="ΟΧΙ"/>
    <m/>
    <d v="2018-10-25T00:00:00"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2-11-04T00:00:00"/>
    <x v="1"/>
    <s v="ΔΙΕΥΘΥΝΣΗ Π.Ε. ΔΥΤ. ΘΕΣ/ΝΙΚΗΣ"/>
    <n v="26.513888888888889"/>
    <s v="22 - 30"/>
  </r>
  <r>
    <n v="99910138"/>
    <s v="Θ"/>
    <x v="0"/>
    <x v="0"/>
    <m/>
    <m/>
    <s v="Γ΄"/>
    <n v="1"/>
    <s v="Φ.Ι.Α.4/32311/14-12-2015"/>
    <d v="2015-09-15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15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11-03T00:00:00"/>
    <x v="1"/>
    <s v="ΔΙΕΥΘΥΝΣΗ Π.Ε. ΑΝΑΤΟΛΙΚΗΣ ΑΤΤΙΚΗΣ"/>
    <n v="26.516666666666666"/>
    <s v="22 - 30"/>
  </r>
  <r>
    <n v="99910139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10-29T00:00:00"/>
    <x v="1"/>
    <s v="ΔΙΕΥΘΥΝΣΗ Π.Ε. ΠΕΙΡΑΙΑ"/>
    <n v="26.530555555555555"/>
    <s v="22 - 30"/>
  </r>
  <r>
    <n v="99910140"/>
    <s v="Θ"/>
    <x v="0"/>
    <x v="0"/>
    <m/>
    <m/>
    <s v="Γ΄"/>
    <n v="1"/>
    <d v="2015-09-11T00:00:00"/>
    <d v="2018-09-01T00:00:00"/>
    <s v="Α΄ ΑΘΗΝΑΣ (Δ.Ε.) 2018"/>
    <s v="ΔΙΕΥΘΥΝΣΗ Δ.Ε. Α΄ ΑΘΗΝΑΣ"/>
    <s v="ΠΕΡΙΦΕΡΕΙΑΚΗ Δ/ΝΣΗ Α/ΘΜΙΑΣ ΚΑΙ Β/ΘΜΙΑΣ ΕΚΠ/ΣΗΣ ΑΤΤΙΚΗΣ"/>
    <n v="14"/>
    <s v="ΟΧΙ"/>
    <s v="ΟΧΙ"/>
    <s v="ΟΧΙ"/>
    <s v="ΟΧΙ"/>
    <s v="ΟΧΙ"/>
    <m/>
    <d v="2018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10-23T00:00:00"/>
    <x v="0"/>
    <s v="ΔΙΕΥΘΥΝΣΗ Δ.Ε. Α΄ ΑΘΗΝΑΣ"/>
    <n v="26.547222222222221"/>
    <s v="22 - 30"/>
  </r>
  <r>
    <n v="99910141"/>
    <s v="Θ"/>
    <x v="2"/>
    <x v="2"/>
    <m/>
    <m/>
    <s v="Γ΄"/>
    <n v="1"/>
    <s v="Φ.17.2/457/7979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d v="2018-09-01T00:00:00"/>
    <s v="Ιδιωτικά Σχολεία"/>
    <x v="2"/>
    <s v="7052049"/>
    <s v="ΙΔΙΩΤΙΚΟ ΝΗΠΙΑΓΩΓΕΙΟ ΚΗΦΙΣΙΑ - ΣΧΟΛΗ Β. ΜΑΝΤ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10-23T00:00:00"/>
    <x v="1"/>
    <s v="ΔΙΕΥΘΥΝΣΗ Π.Ε. Β΄ ΑΘΗΝΑΣ"/>
    <n v="26.547222222222221"/>
    <s v="22 - 30"/>
  </r>
  <r>
    <n v="99910142"/>
    <s v="Θ"/>
    <x v="10"/>
    <x v="10"/>
    <m/>
    <m/>
    <s v="Γ΄"/>
    <n v="1"/>
    <s v="4620/3-10-2017"/>
    <d v="2018-09-01T00:00:00"/>
    <s v="ΜΕΣΣΗΝΙΑΣ (Δ.Ε.) 2018"/>
    <s v="ΔΙΕΥΘΥΝΣΗ Δ.Ε. ΜΕΣΣΗΝΙΑΣ"/>
    <s v="ΠΕΡΙΦΕΡΕΙΑΚΗ Δ/ΝΣΗ Α/ΘΜΙΑΣ ΚΑΙ Β/ΘΜΙΑΣ ΕΚΠ/ΣΗΣ ΠΕΛΟΠΟΝΝΗΣΟΥ"/>
    <n v="12"/>
    <s v="ΟΧΙ"/>
    <s v="ΟΧΙ"/>
    <s v="ΟΧΙ"/>
    <s v="ΟΧΙ"/>
    <s v="ΟΧΙ"/>
    <m/>
    <d v="2018-09-01T00:00:00"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2-10-18T00:00:00"/>
    <x v="0"/>
    <s v="ΔΙΕΥΘΥΝΣΗ Δ.Ε. ΜΕΣΣΗΝΙΑΣ"/>
    <n v="26.56111111111111"/>
    <s v="22 - 30"/>
  </r>
  <r>
    <n v="99910143"/>
    <s v="Θ"/>
    <x v="1"/>
    <x v="1"/>
    <m/>
    <m/>
    <s v="Γ΄"/>
    <n v="1"/>
    <s v="Φ.17/3635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8-09-0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2-10-13T00:00:00"/>
    <x v="1"/>
    <s v="ΔΙΕΥΘΥΝΣΗ Π.Ε. ΚΟΡΙΝΘΙΑΣ"/>
    <n v="26.574999999999999"/>
    <s v="22 - 30"/>
  </r>
  <r>
    <n v="99910144"/>
    <s v="Θ"/>
    <x v="1"/>
    <x v="1"/>
    <m/>
    <m/>
    <s v="Γ΄"/>
    <n v="1"/>
    <s v="7581/12-10-2018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m/>
    <m/>
    <m/>
    <s v="ΟΧΙ"/>
    <m/>
    <d v="2018-09-01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2-10-09T00:00:00"/>
    <x v="1"/>
    <s v="ΔΙΕΥΘΥΝΣΗ Π.Ε. ΞΑΝΘΗΣ"/>
    <n v="26.586111111111112"/>
    <s v="22 - 30"/>
  </r>
  <r>
    <n v="99910145"/>
    <s v="Θ"/>
    <x v="1"/>
    <x v="1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2-09-30T00:00:00"/>
    <x v="1"/>
    <s v="ΔΙΕΥΘΥΝΣΗ Π.Ε. ΜΕΣΣΗΝΙΑΣ"/>
    <n v="26.611111111111111"/>
    <s v="22 - 30"/>
  </r>
  <r>
    <n v="99910146"/>
    <s v="Α"/>
    <x v="1"/>
    <x v="1"/>
    <m/>
    <m/>
    <s v="Γ΄"/>
    <n v="1"/>
    <s v="Φ.17.2/9230/10-10-2016"/>
    <d v="2018-09-01T00:00:00"/>
    <s v="Α΄ ΜΑΓΝΗΣΙΑΣ (Π.Ε.) 2018"/>
    <s v="ΔΙΕΥΘΥΝΣΗ Π.Ε. ΜΑΓΝΗΣΙ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51004"/>
    <s v="ΙΔΙΩΤΙΚΟ ΔΗΜΟΤΙΚΟ ΑΛΛΗ ΜΕΡΙΑ - ΑΞΙΟΝ ΕΣΤΙ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2-09-22T00:00:00"/>
    <x v="1"/>
    <s v="ΔΙΕΥΘΥΝΣΗ Π.Ε. ΜΑΓΝΗΣΙΑΣ"/>
    <n v="26.633333333333333"/>
    <s v="22 - 30"/>
  </r>
  <r>
    <n v="99910147"/>
    <s v="Α"/>
    <x v="0"/>
    <x v="0"/>
    <m/>
    <m/>
    <s v="Γ΄"/>
    <n v="3"/>
    <n v="13104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2-09-21T00:00:00"/>
    <x v="0"/>
    <s v="ΔΙΕΥΘΥΝΣΗ Δ.Ε. ΑΝΑΤ. ΘΕΣ/ΝΙΚΗΣ"/>
    <n v="26.636111111111113"/>
    <s v="22 - 30"/>
  </r>
  <r>
    <n v="99910148"/>
    <s v="Θ"/>
    <x v="1"/>
    <x v="1"/>
    <m/>
    <m/>
    <s v="Γ΄"/>
    <n v="1"/>
    <n v="19175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9-16T00:00:00"/>
    <x v="1"/>
    <s v="ΔΙΕΥΘΥΝΣΗ Π.Ε. ΠΕΙΡΑΙΑ"/>
    <n v="26.65"/>
    <s v="22 - 30"/>
  </r>
  <r>
    <n v="99910149"/>
    <s v="Θ"/>
    <x v="1"/>
    <x v="1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2-09-14T00:00:00"/>
    <x v="1"/>
    <s v="ΔΙΕΥΘΥΝΣΗ Π.Ε. ΛΑΡΙΣΑΣ"/>
    <n v="26.655555555555555"/>
    <s v="22 - 30"/>
  </r>
  <r>
    <n v="99910150"/>
    <s v="Θ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2-09-13T00:00:00"/>
    <x v="1"/>
    <s v="ΔΙΕΥΘΥΝΣΗ Π.Ε. ΚΟΡΙΝΘΙΑΣ"/>
    <n v="26.658333333333335"/>
    <s v="22 - 30"/>
  </r>
  <r>
    <n v="99910151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92-09-08T00:00:00"/>
    <x v="1"/>
    <s v="ΔΙΕΥΘΥΝΣΗ Π.Ε. ΑΙΤΩΛΟΑΚΑΡΝΑΝΙΑΣ"/>
    <n v="26.672222222222221"/>
    <s v="22 - 30"/>
  </r>
  <r>
    <n v="99910152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92-09-01T00:00:00"/>
    <x v="1"/>
    <s v="ΔΙΕΥΘΥΝΣΗ Π.Ε. Α΄ ΑΘΗΝΑΣ"/>
    <n v="26.691666666666666"/>
    <s v="22 - 30"/>
  </r>
  <r>
    <n v="99910153"/>
    <s v="Θ"/>
    <x v="2"/>
    <x v="2"/>
    <m/>
    <m/>
    <s v="Γ΄"/>
    <n v="1"/>
    <s v="28476/30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19"/>
    <s v="ΙΔΙΩΤΙΚΟ ΝΗΠΙΑΓΩΓΕΙΟ ΘΕΡΜΗ - Η ΛΙΜΝΗ ΤΩΝ ΚΥΚΝΩΝ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2-08-24T00:00:00"/>
    <x v="1"/>
    <s v="ΔΙΕΥΘΥΝΣΗ Π.Ε. ΑΝΑΤ. ΘΕΣ/ΝΙΚΗΣ"/>
    <n v="26.713888888888889"/>
    <s v="22 - 30"/>
  </r>
  <r>
    <n v="99910154"/>
    <s v="Θ"/>
    <x v="1"/>
    <x v="1"/>
    <m/>
    <m/>
    <s v="Γ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2-08-18T00:00:00"/>
    <x v="1"/>
    <s v="ΔΙΕΥΘΥΝΣΗ Π.Ε. ΚΟΡΙΝΘΙΑΣ"/>
    <n v="26.730555555555554"/>
    <s v="22 - 30"/>
  </r>
  <r>
    <n v="99910155"/>
    <s v="Θ"/>
    <x v="2"/>
    <x v="2"/>
    <m/>
    <m/>
    <s v="Γ΄"/>
    <n v="1"/>
    <n v="5529"/>
    <d v="2018-09-01T00:00:00"/>
    <s v="ΑΡΓΟΛΙΔΑΣ (Π.Ε.) 2018"/>
    <s v="ΔΙΕΥΘΥΝΣΗ Π.Ε. ΑΡΓΟΛΙΔΑΣ"/>
    <s v="ΠΕΡΙΦΕΡΕΙΑΚΗ Δ/ΝΣΗ Α/ΘΜΙΑΣ ΚΑΙ Β/ΘΜΙΑΣ ΕΚΠ/ΣΗΣ ΠΕΛΟΠΟΝΝΗΣΟΥ"/>
    <n v="25"/>
    <s v="ΟΧΙ"/>
    <m/>
    <m/>
    <m/>
    <s v="ΟΧΙ"/>
    <m/>
    <d v="2018-09-01T00:00:00"/>
    <s v="Ιδιωτικά Σχολεία"/>
    <x v="2"/>
    <s v="7021017"/>
    <s v="ΣΥΣΤΕΓΑΖΟΜΕΝΟ ΝΗΠΙΑΓΩΓΕΙΟ - ΜΑΡΙΝΑΚΗ ΑΘΗΝΑ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2-08-13T00:00:00"/>
    <x v="1"/>
    <s v="ΔΙΕΥΘΥΝΣΗ Π.Ε. ΑΡΓΟΛΙΔΑΣ"/>
    <n v="26.744444444444444"/>
    <s v="22 - 30"/>
  </r>
  <r>
    <n v="99910156"/>
    <s v="Θ"/>
    <x v="0"/>
    <x v="0"/>
    <m/>
    <m/>
    <s v="Γ΄"/>
    <n v="1"/>
    <n v="17171"/>
    <d v="2018-09-01T00:00:00"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d v="2018-09-01T00:00:00"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8-11T00:00:00"/>
    <x v="0"/>
    <s v="ΔΙΕΥΘΥΝΣΗ Δ.Ε. Γ΄ ΑΘΗΝΑΣ"/>
    <n v="26.75"/>
    <s v="22 - 30"/>
  </r>
  <r>
    <n v="99910157"/>
    <s v="Θ"/>
    <x v="1"/>
    <x v="1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92-08-08T00:00:00"/>
    <x v="1"/>
    <s v="ΔΙΕΥΘΥΝΣΗ Π.Ε. ΔΩΔΕΚΑΝΗΣΟΥ"/>
    <n v="26.758333333333333"/>
    <s v="22 - 30"/>
  </r>
  <r>
    <n v="99910158"/>
    <s v="Θ"/>
    <x v="1"/>
    <x v="1"/>
    <m/>
    <m/>
    <s v="Γ΄"/>
    <n v="1"/>
    <d v="2017-10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2-08-04T00:00:00"/>
    <x v="1"/>
    <s v="ΔΙΕΥΘΥΝΣΗ Π.Ε. ΑΝΑΤ. ΘΕΣ/ΝΙΚΗΣ"/>
    <n v="26.769444444444446"/>
    <s v="22 - 30"/>
  </r>
  <r>
    <n v="99910159"/>
    <s v="Θ"/>
    <x v="10"/>
    <x v="10"/>
    <m/>
    <m/>
    <s v="Γ΄"/>
    <n v="1"/>
    <d v="2016-09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4"/>
    <s v="ΟΧΙ"/>
    <s v="ΟΧΙ"/>
    <s v="ΟΧΙ"/>
    <m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2-08-03T00:00:00"/>
    <x v="1"/>
    <s v="ΔΙΕΥΘΥΝΣΗ Π.Ε. ΑΝΑΤ. ΘΕΣ/ΝΙΚΗΣ"/>
    <n v="26.772222222222222"/>
    <s v="22 - 30"/>
  </r>
  <r>
    <n v="99910160"/>
    <s v="Α"/>
    <x v="7"/>
    <x v="7"/>
    <m/>
    <m/>
    <s v="Γ΄"/>
    <n v="1"/>
    <n v="24574"/>
    <d v="2018-11-01T00:00:00"/>
    <s v="Α΄ ΠΕΙΡΑΙΑ (Δ.Ε.) 2018"/>
    <s v="ΔΙΕΥΘΥΝΣΗ Δ.Ε. ΠΕΙΡΑΙΑ"/>
    <s v="ΠΕΡΙΦΕΡΕΙΑΚΗ Δ/ΝΣΗ Α/ΘΜΙΑΣ ΚΑΙ Β/ΘΜΙΑΣ ΕΚΠ/ΣΗΣ ΑΤΤΙΚΗΣ"/>
    <n v="2"/>
    <s v="ΟΧΙ"/>
    <m/>
    <m/>
    <m/>
    <s v="ΟΧΙ"/>
    <m/>
    <d v="2018-11-01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8-02T00:00:00"/>
    <x v="0"/>
    <s v="ΔΙΕΥΘΥΝΣΗ Δ.Ε. ΠΕΙΡΑΙΑ"/>
    <n v="26.774999999999999"/>
    <s v="22 - 30"/>
  </r>
  <r>
    <n v="99910161"/>
    <s v="Θ"/>
    <x v="1"/>
    <x v="1"/>
    <m/>
    <m/>
    <s v="Γ΄"/>
    <n v="1"/>
    <n v="7769"/>
    <d v="2018-10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10-01T00:00:00"/>
    <s v="Ιδιωτικά Σχολεία"/>
    <x v="1"/>
    <s v="7311000"/>
    <s v="ΙΔΙΩΤΙΚΟ ΔΗΜΟΤΙΚΟ ΛΑΡΙΣΑ - Α.ΔΡΑΚΟΣ-Γ. ΜΑΛΑΧΤΑΡΗ ΟΕ ΕΛΛΗΝΙΚΑ ΕΚΠΑΙΔΕΥΤΗΡΙΑ"/>
    <s v="ΛΑΡΙΣΑΣ (Π.Ε.) 2018"/>
    <x v="19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92-08-02T00:00:00"/>
    <x v="1"/>
    <s v="ΔΙΕΥΘΥΝΣΗ Π.Ε. ΛΑΡΙΣΑΣ"/>
    <n v="26.774999999999999"/>
    <s v="22 - 30"/>
  </r>
  <r>
    <n v="99910162"/>
    <s v="Θ"/>
    <x v="1"/>
    <x v="1"/>
    <m/>
    <m/>
    <s v="Γ΄"/>
    <n v="1"/>
    <s v="Φ.17.2/10407"/>
    <d v="2018-11-30T00:00:00"/>
    <s v="ΧΑΝΙΩΝ (Π.Ε.) 2018"/>
    <s v="ΔΙΕΥΘΥΝΣΗ Π.Ε. ΧΑΝΙΩΝ"/>
    <s v="ΠΕΡΙΦΕΡΕΙΑΚΗ Δ/ΝΣΗ Α/ΘΜΙΑΣ ΚΑΙ Β/ΘΜΙΑΣ ΕΚΠ/ΣΗΣ ΚΡΗΤΗΣ"/>
    <n v="24"/>
    <s v="ΟΧΙ"/>
    <m/>
    <m/>
    <m/>
    <s v="ΟΧΙ"/>
    <m/>
    <d v="2018-11-30T00:00:00"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92-07-29T00:00:00"/>
    <x v="1"/>
    <s v="ΔΙΕΥΘΥΝΣΗ Π.Ε. ΧΑΝΙΩΝ"/>
    <n v="26.786111111111111"/>
    <s v="22 - 30"/>
  </r>
  <r>
    <n v="99910163"/>
    <s v="Α"/>
    <x v="1"/>
    <x v="1"/>
    <m/>
    <m/>
    <s v="Γ΄"/>
    <n v="3"/>
    <s v="Φ.17/3556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8-09-0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2-07-29T00:00:00"/>
    <x v="1"/>
    <s v="ΔΙΕΥΘΥΝΣΗ Π.Ε. ΚΟΡΙΝΘΙΑΣ"/>
    <n v="26.786111111111111"/>
    <s v="22 - 30"/>
  </r>
  <r>
    <n v="99910164"/>
    <s v="Θ"/>
    <x v="8"/>
    <x v="8"/>
    <m/>
    <m/>
    <s v="Γ΄"/>
    <n v="1"/>
    <n v="22914"/>
    <d v="2018-10-01T00:00:00"/>
    <s v="Α΄ ΠΕΙΡΑΙΑ (Π.Ε.) 2018"/>
    <s v="ΔΙΕΥΘΥΝΣΗ Π.Ε. ΠΕΙΡΑΙΑ"/>
    <s v="ΠΕΡΙΦΕΡΕΙΑΚΗ Δ/ΝΣΗ Α/ΘΜΙΑΣ ΚΑΙ Β/ΘΜΙΑΣ ΕΚΠ/ΣΗΣ ΑΤΤΙΚΗΣ"/>
    <n v="2"/>
    <s v="ΟΧΙ"/>
    <m/>
    <m/>
    <m/>
    <s v="ΟΧΙ"/>
    <m/>
    <d v="2018-10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7-24T00:00:00"/>
    <x v="1"/>
    <s v="ΔΙΕΥΘΥΝΣΗ Π.Ε. ΠΕΙΡΑΙΑ"/>
    <n v="26.8"/>
    <s v="22 - 30"/>
  </r>
  <r>
    <n v="99910165"/>
    <s v="Θ"/>
    <x v="2"/>
    <x v="2"/>
    <m/>
    <m/>
    <s v="Γ΄"/>
    <n v="1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351019"/>
    <s v="ΙΔΙΩΤΙΚΟ ΝΗΠΙΑΓΩΓΕΙΟ ΡΕΝΤΖΟΥΛΗ ΦΩΤΕΙΝΗ ΚΑΙ ΣΙΑ Ο.Ε.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2-07-15T00:00:00"/>
    <x v="1"/>
    <s v="ΔΙΕΥΘΥΝΣΗ Π.Ε. ΜΑΓΝΗΣΙΑΣ"/>
    <n v="26.824999999999999"/>
    <s v="22 - 30"/>
  </r>
  <r>
    <n v="99910166"/>
    <s v="Θ"/>
    <x v="1"/>
    <x v="1"/>
    <m/>
    <m/>
    <s v="Γ΄"/>
    <n v="1"/>
    <s v="1157α"/>
    <d v="2018-09-01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m/>
    <s v="ΟΧΙ"/>
    <m/>
    <s v="ΟΧΙ"/>
    <m/>
    <d v="2018-09-01T00:00:00"/>
    <s v="Ιδιωτικά Σχολεία"/>
    <x v="1"/>
    <s v="7021002"/>
    <s v="ΙΔΙΩΤΙΚΟ ΔΗΜΟΤΙΚΟ ΣΧΟΛΕΙΟ ΑΥΤΕΝΕΡΓΩ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2-07-15T00:00:00"/>
    <x v="1"/>
    <s v="ΔΙΕΥΘΥΝΣΗ Π.Ε. ΑΡΓΟΛΙΔΑΣ"/>
    <n v="26.824999999999999"/>
    <s v="22 - 30"/>
  </r>
  <r>
    <n v="99910167"/>
    <s v="Θ"/>
    <x v="1"/>
    <x v="1"/>
    <m/>
    <m/>
    <s v="Γ΄"/>
    <n v="1"/>
    <s v="Φ.17.2/10585"/>
    <d v="2018-11-01T00:00:00"/>
    <s v="ΧΑΝΙΩΝ (Π.Ε.) 2018"/>
    <s v="ΔΙΕΥΘΥΝΣΗ Π.Ε. ΧΑΝΙΩΝ"/>
    <s v="ΠΕΡΙΦΕΡΕΙΑΚΗ Δ/ΝΣΗ Α/ΘΜΙΑΣ ΚΑΙ Β/ΘΜΙΑΣ ΕΚΠ/ΣΗΣ ΚΡΗΤΗΣ"/>
    <n v="24"/>
    <s v="ΟΧΙ"/>
    <m/>
    <m/>
    <m/>
    <s v="ΟΧΙ"/>
    <m/>
    <d v="2018-11-01T00:00:00"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92-07-10T00:00:00"/>
    <x v="1"/>
    <s v="ΔΙΕΥΘΥΝΣΗ Π.Ε. ΧΑΝΙΩΝ"/>
    <n v="26.838888888888889"/>
    <s v="22 - 30"/>
  </r>
  <r>
    <n v="99910168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7-08T00:00:00"/>
    <x v="0"/>
    <s v="ΔΙΕΥΘΥΝΣΗ Δ.Ε. Β΄ ΑΘΗΝΑΣ"/>
    <n v="26.844444444444445"/>
    <s v="22 - 30"/>
  </r>
  <r>
    <n v="99910169"/>
    <s v="Θ"/>
    <x v="2"/>
    <x v="2"/>
    <m/>
    <m/>
    <s v="Γ΄"/>
    <n v="1"/>
    <s v="24511/05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81"/>
    <s v="ΙΔΙΩΤΙΚΟ ΝΗΠΙΑΓΩΓΕΙΟ ΚΑΛΑΜΑΡΙΑ-ΘΕΣΣΑΛΟΝΙΚΗ - Ο ΜΙΚΡΟΚΟΣΜΟ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2-07-04T00:00:00"/>
    <x v="1"/>
    <s v="ΔΙΕΥΘΥΝΣΗ Π.Ε. ΑΝΑΤ. ΘΕΣ/ΝΙΚΗΣ"/>
    <n v="26.855555555555554"/>
    <s v="22 - 30"/>
  </r>
  <r>
    <n v="99910170"/>
    <s v="Θ"/>
    <x v="3"/>
    <x v="3"/>
    <m/>
    <m/>
    <s v="Γ΄"/>
    <n v="1"/>
    <n v="18180"/>
    <d v="2018-09-04T00:00:00"/>
    <s v="ΛΑΡΙΣΑΣ (Δ.Ε.) 2018"/>
    <s v="ΔΙΕΥΘΥΝΣΗ Δ.Ε. ΛΑΡΙΣΑΣ"/>
    <s v="ΠΕΡΙΦΕΡΕΙΑΚΗ Δ/ΝΣΗ Α/ΘΜΙΑΣ ΚΑΙ Β/ΘΜΙΑΣ ΕΚΠ/ΣΗΣ ΘΕΣΣΑΛΙΑΣ"/>
    <n v="13"/>
    <s v="ΟΧΙ"/>
    <s v="ΟΧΙ"/>
    <s v="ΟΧΙ"/>
    <s v="ΟΧΙ"/>
    <s v="ΟΧΙ"/>
    <m/>
    <d v="2018-09-04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92-07-03T00:00:00"/>
    <x v="0"/>
    <s v="ΔΙΕΥΘΥΝΣΗ Δ.Ε. ΛΑΡΙΣΑΣ"/>
    <n v="26.858333333333334"/>
    <s v="22 - 30"/>
  </r>
  <r>
    <n v="99910171"/>
    <s v="Θ"/>
    <x v="2"/>
    <x v="2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129"/>
    <s v="ΣΥΣΤΕΓΑΖΟΜΕΝΟ ΝΗΠΙΑΓΩΓΕΙΟ - ΜΟΣΧΟΧΩΡΙΤΗ ΝΙΚΟΛΕΤΤ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7-02T00:00:00"/>
    <x v="1"/>
    <s v="ΔΙΕΥΘΥΝΣΗ Π.Ε. Δ΄ ΑΘΗΝΑΣ"/>
    <n v="26.861111111111111"/>
    <s v="22 - 30"/>
  </r>
  <r>
    <n v="99910172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m/>
    <s v="ΟΧΙ"/>
    <m/>
    <d v="2018-09-01T00:00:00"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2-06-30T00:00:00"/>
    <x v="1"/>
    <s v="ΔΙΕΥΘΥΝΣΗ Π.Ε. ΑΙΤΩΛΟΑΚΑΡΝΑΝΙΑΣ"/>
    <n v="26.866666666666667"/>
    <s v="22 - 30"/>
  </r>
  <r>
    <n v="99910173"/>
    <s v="Θ"/>
    <x v="1"/>
    <x v="1"/>
    <m/>
    <m/>
    <s v="Γ΄"/>
    <n v="1"/>
    <s v="19997/1"/>
    <d v="2018-10-17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10-17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6-22T00:00:00"/>
    <x v="1"/>
    <s v="ΔΙΕΥΘΥΝΣΗ Π.Ε. ΠΕΙΡΑΙΑ"/>
    <n v="26.888888888888889"/>
    <s v="22 - 30"/>
  </r>
  <r>
    <n v="99910174"/>
    <s v="Α"/>
    <x v="1"/>
    <x v="1"/>
    <m/>
    <m/>
    <s v="Γ΄"/>
    <n v="1"/>
    <n v="8594"/>
    <d v="2018-10-25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10-25T00:00:00"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92-06-21T00:00:00"/>
    <x v="1"/>
    <s v="ΔΙΕΥΘΥΝΣΗ Π.Ε. ΛΑΡΙΣΑΣ"/>
    <n v="26.891666666666666"/>
    <s v="22 - 30"/>
  </r>
  <r>
    <n v="99910175"/>
    <s v="Θ"/>
    <x v="2"/>
    <x v="2"/>
    <m/>
    <m/>
    <s v="Γ΄"/>
    <n v="1"/>
    <m/>
    <m/>
    <s v="Α΄ ΚΑΒΑΛΑΣ (Π.Ε.) 2018"/>
    <s v="ΔΙΕΥΘΥΝΣΗ Π.Ε. ΚΑΒΑΛΑΣ"/>
    <s v="ΠΕΡΙΦΕΡΕΙΑΚΗ Δ/ΝΣΗ Α/ΘΜΙΑΣ ΚΑΙ Β/ΘΜΙΑΣ ΕΚΠ/ΣΗΣ ΑΝ. ΜΑΚΕΔΟΝΙΑΣ ΚΑΙ ΘΡΑΚΗΣ"/>
    <n v="25"/>
    <s v="ΟΧΙ"/>
    <s v="ΟΧΙ"/>
    <s v="ΟΧΙ"/>
    <m/>
    <s v="ΟΧΙ"/>
    <m/>
    <m/>
    <s v="Ιδιωτικά Σχολεία"/>
    <x v="2"/>
    <s v="7211005"/>
    <s v="ΙΔΙΩΤΙΚΟ ΝΗΠΙΑΓΩΓΕΙΟ ΚΑΒΑΛΑ -  ΜΠΛΕ ΜΠΑΛΟΝΙ"/>
    <s v="Α΄ ΚΑΒΑΛΑΣ (Π.Ε.) 2018"/>
    <x v="45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92-06-18T00:00:00"/>
    <x v="1"/>
    <s v="ΔΙΕΥΘΥΝΣΗ Π.Ε. ΚΑΒΑΛΑΣ"/>
    <n v="26.9"/>
    <s v="22 - 30"/>
  </r>
  <r>
    <n v="99910176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6-16T00:00:00"/>
    <x v="1"/>
    <s v="ΔΙΕΥΘΥΝΣΗ Π.Ε. ΑΝΑΤΟΛΙΚΗΣ ΑΤΤΙΚΗΣ"/>
    <n v="26.905555555555555"/>
    <s v="22 - 30"/>
  </r>
  <r>
    <n v="99910177"/>
    <s v="Θ"/>
    <x v="1"/>
    <x v="1"/>
    <m/>
    <m/>
    <s v="Γ΄"/>
    <n v="1"/>
    <s v="213/6924/26-9-2018"/>
    <d v="2018-09-1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1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2-06-08T00:00:00"/>
    <x v="1"/>
    <s v="ΔΙΕΥΘΥΝΣΗ Π.Ε. Β΄ ΑΘΗΝΑΣ"/>
    <n v="26.927777777777777"/>
    <s v="22 - 30"/>
  </r>
  <r>
    <n v="9991017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6-06T00:00:00"/>
    <x v="0"/>
    <s v="ΔΙΕΥΘΥΝΣΗ Δ.Ε. Β΄ ΑΘΗΝΑΣ"/>
    <n v="26.933333333333334"/>
    <s v="22 - 30"/>
  </r>
  <r>
    <n v="99910179"/>
    <s v="Α"/>
    <x v="1"/>
    <x v="1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m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2-06-06T00:00:00"/>
    <x v="1"/>
    <s v="ΔΙΕΥΘΥΝΣΗ Π.Ε. ΙΩΑΝΝΙΝΩΝ"/>
    <n v="26.933333333333334"/>
    <s v="22 - 30"/>
  </r>
  <r>
    <n v="99910180"/>
    <s v="Θ"/>
    <x v="1"/>
    <x v="1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2-06-03T00:00:00"/>
    <x v="1"/>
    <s v="ΔΙΕΥΘΥΝΣΗ Π.Ε. ΗΡΑΚΛΕΙΟΥ"/>
    <n v="26.941666666666666"/>
    <s v="22 - 30"/>
  </r>
  <r>
    <n v="99910181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6-02T00:00:00"/>
    <x v="0"/>
    <s v="ΔΙΕΥΘΥΝΣΗ Δ.Ε. Β΄ ΑΘΗΝΑΣ"/>
    <n v="26.944444444444443"/>
    <s v="22 - 30"/>
  </r>
  <r>
    <n v="99910182"/>
    <s v="Θ"/>
    <x v="2"/>
    <x v="2"/>
    <m/>
    <m/>
    <s v="Γ΄"/>
    <n v="1"/>
    <s v="Φ.17/6451/10-09-2018"/>
    <d v="2018-09-01T00:00:00"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d v="2018-09-01T00:00:00"/>
    <s v="Ιδιωτικά Σχολεία"/>
    <x v="2"/>
    <s v="7201007"/>
    <s v="ΙΔΙΩΤΙΚΟ ΝΗΠΙΑΓΩΓΕΙΟ - &quot;ΗΛΙΟΤΡΟΠΙΟ&quot;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2-05-29T00:00:00"/>
    <x v="1"/>
    <s v="ΔΙΕΥΘΥΝΣΗ Π.Ε. ΙΩΑΝΝΙΝΩΝ"/>
    <n v="26.955555555555556"/>
    <s v="22 - 30"/>
  </r>
  <r>
    <n v="99910183"/>
    <s v="Θ"/>
    <x v="1"/>
    <x v="1"/>
    <m/>
    <m/>
    <s v="Β΄"/>
    <n v="1"/>
    <n v="11927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2002"/>
    <s v="ΙΔΙΩΤΙΚΟ ΔΗΜΟΤΙΚΟ ΠΕΥΚΑ ΘΕΣΣΑΛΟΝΙΚΗΣ - ΕΚΠΑΙΔΕΥΤΗΡΙΑ ΦΡΥΓΑΝΙΩΤ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2-05-10T00:00:00"/>
    <x v="1"/>
    <s v="ΔΙΕΥΘΥΝΣΗ Π.Ε. ΔΥΤ. ΘΕΣ/ΝΙΚΗΣ"/>
    <n v="27.008333333333333"/>
    <s v="22 - 30"/>
  </r>
  <r>
    <n v="99910184"/>
    <s v="Θ"/>
    <x v="7"/>
    <x v="7"/>
    <m/>
    <m/>
    <s v="Γ΄"/>
    <n v="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2-05-05T00:00:00"/>
    <x v="1"/>
    <s v="ΔΙΕΥΘΥΝΣΗ Π.Ε. ΔΥΤ. ΘΕΣ/ΝΙΚΗΣ"/>
    <n v="27.022222222222222"/>
    <s v="22 - 30"/>
  </r>
  <r>
    <n v="99910185"/>
    <s v="Θ"/>
    <x v="3"/>
    <x v="3"/>
    <m/>
    <m/>
    <s v="Γ΄"/>
    <n v="1"/>
    <n v="23695"/>
    <d v="2018-09-01T00:00:00"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5-02T00:00:00"/>
    <x v="0"/>
    <s v="ΔΙΕΥΘΥΝΣΗ Δ.Ε. Β΄ ΑΘΗΝΑΣ"/>
    <n v="27.030555555555555"/>
    <s v="22 - 30"/>
  </r>
  <r>
    <n v="99910186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4-29T00:00:00"/>
    <x v="1"/>
    <s v="ΔΙΕΥΘΥΝΣΗ Π.Ε. ΑΝΑΤΟΛΙΚΗΣ ΑΤΤΙΚΗΣ"/>
    <n v="27.038888888888888"/>
    <s v="22 - 30"/>
  </r>
  <r>
    <n v="99910187"/>
    <s v="Θ"/>
    <x v="15"/>
    <x v="15"/>
    <m/>
    <m/>
    <s v="Γ΄"/>
    <n v="1"/>
    <d v="2015-09-11T00:00:00"/>
    <d v="2018-09-01T00:00:00"/>
    <s v="Α΄ ΑΘΗΝΑΣ (Δ.Ε.) 2018"/>
    <s v="ΔΙΕΥΘΥΝΣΗ Δ.Ε. Α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4-16T00:00:00"/>
    <x v="0"/>
    <s v="ΔΙΕΥΘΥΝΣΗ Δ.Ε. Α΄ ΑΘΗΝΑΣ"/>
    <n v="27.074999999999999"/>
    <s v="22 - 30"/>
  </r>
  <r>
    <n v="99910188"/>
    <s v="Α"/>
    <x v="1"/>
    <x v="1"/>
    <m/>
    <m/>
    <s v="Γ΄"/>
    <n v="1"/>
    <n v="1607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s v="ΟΧΙ"/>
    <s v="ΟΧΙ"/>
    <m/>
    <s v="ΟΧΙ"/>
    <m/>
    <d v="2018-09-25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2-04-14T00:00:00"/>
    <x v="1"/>
    <s v="ΔΙΕΥΘΥΝΣΗ Π.Ε. ΞΑΝΘΗΣ"/>
    <n v="27.080555555555556"/>
    <s v="22 - 30"/>
  </r>
  <r>
    <n v="99910189"/>
    <s v="Θ"/>
    <x v="2"/>
    <x v="2"/>
    <m/>
    <m/>
    <s v="Γ΄"/>
    <n v="1"/>
    <s v="Φ.17/6002/14-09-2018"/>
    <d v="2018-09-01T00:00:00"/>
    <s v="ΙΩΑΝΝΙΝΩΝ (Π.Ε.) 2018"/>
    <s v="ΔΙΕΥΘΥΝΣΗ Π.Ε. ΙΩΑΝΝΙΝΩΝ"/>
    <s v="ΠΕΡΙΦΕΡΕΙΑΚΗ Δ/ΝΣΗ Α/ΘΜΙΑΣ ΚΑΙ Β/ΘΜΙΑΣ ΕΚΠ/ΣΗΣ ΗΠΕΙΡΟΥ"/>
    <n v="25"/>
    <s v="ΟΧΙ"/>
    <m/>
    <m/>
    <m/>
    <s v="ΟΧΙ"/>
    <m/>
    <d v="2018-09-01T00:00:00"/>
    <s v="Ιδιωτικά Σχολεία"/>
    <x v="2"/>
    <s v="7201005"/>
    <s v="ΙΔΙΩΤΙΚΟ ΝΗΠΙΑΓΩΓΕΙΟ ΙΩΑΝΝΙΝΑ - ΤΟ ΠΑΡΑΜΥΘΙ ΤΗΣ ΠΕΤΑΛΟΥΔΑΣ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2-04-12T00:00:00"/>
    <x v="1"/>
    <s v="ΔΙΕΥΘΥΝΣΗ Π.Ε. ΙΩΑΝΝΙΝΩΝ"/>
    <n v="27.086111111111112"/>
    <s v="22 - 30"/>
  </r>
  <r>
    <n v="99910190"/>
    <s v="Θ"/>
    <x v="3"/>
    <x v="3"/>
    <m/>
    <m/>
    <s v="Γ΄"/>
    <n v="1"/>
    <n v="19677"/>
    <d v="2018-09-03T00:00:00"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m/>
    <s v="ΟΧΙ"/>
    <m/>
    <d v="2018-09-03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4-06T00:00:00"/>
    <x v="0"/>
    <s v="ΔΙΕΥΘΥΝΣΗ Δ.Ε. ΠΕΙΡΑΙΑ"/>
    <n v="27.102777777777778"/>
    <s v="22 - 30"/>
  </r>
  <r>
    <n v="99910191"/>
    <s v="Θ"/>
    <x v="1"/>
    <x v="1"/>
    <m/>
    <m/>
    <s v="Γ΄"/>
    <n v="1"/>
    <s v="Φ.17/2024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m/>
    <m/>
    <m/>
    <s v="ΟΧΙ"/>
    <m/>
    <d v="2018-09-01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2-04-06T00:00:00"/>
    <x v="1"/>
    <s v="ΔΙΕΥΘΥΝΣΗ Π.Ε. ΚΟΡΙΝΘΙΑΣ"/>
    <n v="27.102777777777778"/>
    <s v="22 - 30"/>
  </r>
  <r>
    <n v="99910192"/>
    <s v="Θ"/>
    <x v="2"/>
    <x v="2"/>
    <m/>
    <m/>
    <s v="Γ΄"/>
    <n v="1"/>
    <n v="10769"/>
    <d v="2018-09-01T00:00:00"/>
    <s v="ΠΕΛΛΑΣ (Π.Ε.) 2018"/>
    <s v="ΔΙΕΥΘΥΝΣΗ Π.Ε. ΠΕΛΛΑΣ"/>
    <s v="ΠΕΡΙΦΕΡΕΙΑΚΗ Δ/ΝΣΗ Α/ΘΜΙΑΣ ΚΑΙ Β/ΘΜΙΑΣ ΕΚΠ/ΣΗΣ ΚΕΝΤΡΙΚΗΣ ΜΑΚΕΔΟΝΙΑΣ"/>
    <n v="25"/>
    <s v="ΟΧΙ"/>
    <s v="ΟΧΙ"/>
    <s v="ΟΧΙ"/>
    <m/>
    <s v="ΟΧΙ"/>
    <m/>
    <d v="2018-09-01T00:00:00"/>
    <s v="Ιδιωτικά Σχολεία"/>
    <x v="2"/>
    <s v="7381001"/>
    <s v="ΙΔΙΩΤΙΚΟ ΝΗΠΙΑΓΩΓΕΙΟ ΕΔΕΣΣΑΣ - ΙΔΙΩΤΙΚΟ ΔΕΛΗΓΙΑΝΝΗ ΟΛΥΜΠΙΑ Κ ΣΙΑ Ο.Ε"/>
    <s v="ΠΕΛΛΑΣ (Π.Ε.) 2018"/>
    <x v="46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2-03-27T00:00:00"/>
    <x v="1"/>
    <s v="ΔΙΕΥΘΥΝΣΗ Π.Ε. ΠΕΛΛΑΣ"/>
    <n v="27.130555555555556"/>
    <s v="22 - 30"/>
  </r>
  <r>
    <n v="99910193"/>
    <s v="Θ"/>
    <x v="1"/>
    <x v="1"/>
    <m/>
    <m/>
    <s v="Β΄"/>
    <n v="3"/>
    <s v="Φ.60.2/26519/9-10-2018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2-03-24T00:00:00"/>
    <x v="1"/>
    <s v="ΔΙΕΥΘΥΝΣΗ Π.Ε. ΑΝΑΤΟΛΙΚΗΣ ΑΤΤΙΚΗΣ"/>
    <n v="27.138888888888889"/>
    <s v="22 - 30"/>
  </r>
  <r>
    <n v="99910194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92-03-22T00:00:00"/>
    <x v="1"/>
    <s v="ΔΙΕΥΘΥΝΣΗ Π.Ε. ΑΙΤΩΛΟΑΚΑΡΝΑΝΙΑΣ"/>
    <n v="27.144444444444446"/>
    <s v="22 - 30"/>
  </r>
  <r>
    <n v="99910195"/>
    <s v="Θ"/>
    <x v="1"/>
    <x v="1"/>
    <m/>
    <m/>
    <s v="Γ΄"/>
    <n v="1"/>
    <n v="14589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3-06T00:00:00"/>
    <x v="1"/>
    <s v="ΔΙΕΥΘΥΝΣΗ Π.Ε. Δ΄ ΑΘΗΝΑΣ"/>
    <n v="27.18888888888889"/>
    <s v="22 - 30"/>
  </r>
  <r>
    <n v="99910196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2-03-01T00:00:00"/>
    <x v="1"/>
    <s v="ΔΙΕΥΘΥΝΣΗ Π.Ε. Β΄ ΑΘΗΝΑΣ"/>
    <n v="27.202777777777779"/>
    <s v="22 - 30"/>
  </r>
  <r>
    <n v="99910197"/>
    <s v="Θ"/>
    <x v="7"/>
    <x v="7"/>
    <m/>
    <m/>
    <s v="Γ΄"/>
    <n v="1"/>
    <s v="8412/18-9-2018"/>
    <d v="2018-09-11T00:00:00"/>
    <s v="ΙΩΑΝΝΙΝΩΝ (Δ.Ε.) 2018"/>
    <s v="ΔΙΕΥΘΥΝΣΗ Δ.Ε. ΙΩΑΝΝΙΝΩΝ"/>
    <s v="ΠΕΡΙΦΕΡΕΙΑΚΗ Δ/ΝΣΗ Α/ΘΜΙΑΣ ΚΑΙ Β/ΘΜΙΑΣ ΕΚΠ/ΣΗΣ ΗΠΕΙΡΟΥ"/>
    <n v="5"/>
    <s v="ΟΧΙ"/>
    <m/>
    <m/>
    <m/>
    <s v="ΟΧΙ"/>
    <m/>
    <d v="2018-09-11T00:00:00"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2-02-26T00:00:00"/>
    <x v="0"/>
    <s v="ΔΙΕΥΘΥΝΣΗ Δ.Ε. ΙΩΑΝΝΙΝΩΝ"/>
    <n v="27.213888888888889"/>
    <s v="22 - 30"/>
  </r>
  <r>
    <n v="99910198"/>
    <s v="Α"/>
    <x v="8"/>
    <x v="8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2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2-22T00:00:00"/>
    <x v="1"/>
    <s v="ΔΙΕΥΘΥΝΣΗ Π.Ε. Β΄ ΑΘΗΝΑΣ"/>
    <n v="27.225000000000001"/>
    <s v="22 - 30"/>
  </r>
  <r>
    <n v="99910199"/>
    <s v="Θ"/>
    <x v="1"/>
    <x v="1"/>
    <m/>
    <m/>
    <s v="Γ΄"/>
    <n v="3"/>
    <s v="Φ.17.2/9448/28-09-2018"/>
    <d v="2018-09-01T00:00:00"/>
    <s v="Α΄ ΜΑΓΝΗΣΙΑΣ (Π.Ε.) 2018"/>
    <s v="ΔΙΕΥΘΥΝΣΗ Π.Ε. ΜΑΓΝΗΣΙ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51004"/>
    <s v="ΙΔΙΩΤΙΚΟ ΔΗΜΟΤΙΚΟ ΑΛΛΗ ΜΕΡΙΑ - ΑΞΙΟΝ ΕΣΤΙ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2-02-22T00:00:00"/>
    <x v="1"/>
    <s v="ΔΙΕΥΘΥΝΣΗ Π.Ε. ΜΑΓΝΗΣΙΑΣ"/>
    <n v="27.225000000000001"/>
    <s v="22 - 30"/>
  </r>
  <r>
    <n v="99910200"/>
    <s v="Α"/>
    <x v="1"/>
    <x v="1"/>
    <m/>
    <m/>
    <s v="Γ΄"/>
    <n v="1"/>
    <n v="1161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1-31T00:00:00"/>
    <x v="1"/>
    <s v="ΔΙΕΥΘΥΝΣΗ Π.Ε. Δ΄ ΑΘΗΝΑΣ"/>
    <n v="27.286111111111111"/>
    <s v="22 - 30"/>
  </r>
  <r>
    <n v="99910201"/>
    <s v="Θ"/>
    <x v="15"/>
    <x v="15"/>
    <m/>
    <m/>
    <s v="Γ΄"/>
    <n v="1"/>
    <n v="9186"/>
    <d v="2018-10-04T00:00:00"/>
    <s v="ΙΩΑΝΝΙΝΩΝ (Δ.Ε.) 2018"/>
    <s v="ΔΙΕΥΘΥΝΣΗ Δ.Ε. ΙΩΑΝΝΙΝΩΝ"/>
    <s v="ΠΕΡΙΦΕΡΕΙΑΚΗ Δ/ΝΣΗ Α/ΘΜΙΑΣ ΚΑΙ Β/ΘΜΙΑΣ ΕΚΠ/ΣΗΣ ΗΠΕΙΡΟΥ"/>
    <n v="15"/>
    <s v="ΟΧΙ"/>
    <m/>
    <m/>
    <m/>
    <s v="ΟΧΙ"/>
    <m/>
    <d v="2018-10-04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Αναπληρωτής Ιδιωτικής Εκπαίδευσης (ν. 682/1977 άρ.35, παρ.4)"/>
    <s v="Τοποθέτηση σε Ιδιωτική Εκπαίδευση"/>
    <d v="1992-01-29T00:00:00"/>
    <x v="0"/>
    <s v="ΔΙΕΥΘΥΝΣΗ Δ.Ε. ΙΩΑΝΝΙΝΩΝ"/>
    <n v="27.291666666666668"/>
    <s v="22 - 30"/>
  </r>
  <r>
    <n v="99910202"/>
    <s v="Θ"/>
    <x v="1"/>
    <x v="1"/>
    <m/>
    <m/>
    <s v="Γ΄"/>
    <n v="1"/>
    <n v="4551"/>
    <d v="2018-09-19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m/>
    <m/>
    <m/>
    <s v="ΟΧΙ"/>
    <m/>
    <d v="2018-09-19T00:00:00"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2-01-27T00:00:00"/>
    <x v="1"/>
    <s v="ΔΙΕΥΘΥΝΣΗ Π.Ε. ΑΡΓΟΛΙΔΑΣ"/>
    <n v="27.297222222222221"/>
    <s v="22 - 30"/>
  </r>
  <r>
    <n v="99910203"/>
    <s v="Θ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92-01-25T00:00:00"/>
    <x v="1"/>
    <s v="ΔΙΕΥΘΥΝΣΗ Π.Ε. ΑΝΑΤ. ΘΕΣ/ΝΙΚΗΣ"/>
    <n v="27.302777777777777"/>
    <s v="22 - 30"/>
  </r>
  <r>
    <n v="99910204"/>
    <s v="Θ"/>
    <x v="1"/>
    <x v="1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92-01-22T00:00:00"/>
    <x v="1"/>
    <s v="ΔΙΕΥΘΥΝΣΗ Π.Ε. ΔΩΔΕΚΑΝΗΣΟΥ"/>
    <n v="27.31111111111111"/>
    <s v="22 - 30"/>
  </r>
  <r>
    <n v="99910205"/>
    <s v="Θ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2-01-20T00:00:00"/>
    <x v="1"/>
    <s v="ΔΙΕΥΘΥΝΣΗ Π.Ε. ΚΟΡΙΝΘΙΑΣ"/>
    <n v="27.316666666666666"/>
    <s v="22 - 30"/>
  </r>
  <r>
    <n v="99910206"/>
    <s v="Α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2-01-09T00:00:00"/>
    <x v="1"/>
    <s v="ΔΙΕΥΘΥΝΣΗ Π.Ε. Β΄ ΑΘΗΝΑΣ"/>
    <n v="27.347222222222221"/>
    <s v="22 - 30"/>
  </r>
  <r>
    <n v="99910207"/>
    <s v="Α"/>
    <x v="1"/>
    <x v="1"/>
    <m/>
    <m/>
    <s v="Γ΄"/>
    <n v="1"/>
    <s v="539/13169/19-12-2017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2-01-07T00:00:00"/>
    <x v="1"/>
    <s v="ΔΙΕΥΘΥΝΣΗ Π.Ε. Β΄ ΑΘΗΝΑΣ"/>
    <n v="27.352777777777778"/>
    <s v="22 - 30"/>
  </r>
  <r>
    <n v="99910208"/>
    <s v="Α"/>
    <x v="16"/>
    <x v="16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0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92-01-01T00:00:00"/>
    <x v="0"/>
    <s v="ΔΙΕΥΘΥΝΣΗ Δ.Ε. ΧΙΟΥ"/>
    <n v="27.369444444444444"/>
    <s v="22 - 30"/>
  </r>
  <r>
    <n v="99910209"/>
    <s v="Θ"/>
    <x v="1"/>
    <x v="1"/>
    <m/>
    <m/>
    <s v="Γ΄"/>
    <n v="1"/>
    <n v="10608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2-27T00:00:00"/>
    <x v="1"/>
    <s v="ΔΙΕΥΘΥΝΣΗ Π.Ε. Δ΄ ΑΘΗΝΑΣ"/>
    <n v="27.383333333333333"/>
    <s v="22 - 30"/>
  </r>
  <r>
    <n v="99910210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2-22T00:00:00"/>
    <x v="1"/>
    <s v="ΔΙΕΥΘΥΝΣΗ Π.Ε. Δ΄ ΑΘΗΝΑΣ"/>
    <n v="27.397222222222222"/>
    <s v="22 - 30"/>
  </r>
  <r>
    <n v="99910211"/>
    <s v="Θ"/>
    <x v="1"/>
    <x v="1"/>
    <m/>
    <m/>
    <s v="Γ΄"/>
    <n v="1"/>
    <n v="16035"/>
    <d v="2018-09-05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d v="2018-09-05T00:00:00"/>
    <s v="Ιδιωτικά Σχολεία"/>
    <x v="1"/>
    <s v="7541018"/>
    <s v="ΙΔΙΩΤΙΚΟ ΔΗΜΟΤΙΚΟ ΚΕΡΑΤΣΙΝΙ - ΚΑΡΑΧΑΛΙΟΥ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12-20T00:00:00"/>
    <x v="1"/>
    <s v="ΔΙΕΥΘΥΝΣΗ Π.Ε. ΠΕΙΡΑΙΑ"/>
    <n v="27.402777777777779"/>
    <s v="22 - 30"/>
  </r>
  <r>
    <n v="99910212"/>
    <s v="Θ"/>
    <x v="17"/>
    <x v="17"/>
    <m/>
    <m/>
    <s v="Γ΄"/>
    <n v="1"/>
    <s v="Φ.17/4309"/>
    <d v="2018-10-02T00:00:00"/>
    <s v="ΚΟΡΙΝΘΙΑΣ (Π.Ε.) 2018"/>
    <s v="ΔΙΕΥΘΥΝΣΗ Π.Ε. ΚΟΡΙΝΘΙΑΣ"/>
    <s v="ΠΕΡΙΦΕΡΕΙΑΚΗ Δ/ΝΣΗ Α/ΘΜΙΑΣ ΚΑΙ Β/ΘΜΙΑΣ ΕΚΠ/ΣΗΣ ΠΕΛΟΠΟΝΝΗΣΟΥ"/>
    <n v="6"/>
    <s v="ΟΧΙ"/>
    <s v="ΟΧΙ"/>
    <s v="ΟΧΙ"/>
    <s v="ΟΧΙ"/>
    <s v="ΟΧΙ"/>
    <m/>
    <d v="2018-10-02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1-12-19T00:00:00"/>
    <x v="1"/>
    <s v="ΔΙΕΥΘΥΝΣΗ Π.Ε. ΚΟΡΙΝΘΙΑΣ"/>
    <n v="27.405555555555555"/>
    <s v="22 - 30"/>
  </r>
  <r>
    <n v="99910213"/>
    <s v="Θ"/>
    <x v="1"/>
    <x v="1"/>
    <m/>
    <m/>
    <s v="Γ΄"/>
    <n v="1"/>
    <s v="Φ.60.2/23633/15-10-2018"/>
    <d v="2018-09-06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8-09-06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12-05T00:00:00"/>
    <x v="1"/>
    <s v="ΔΙΕΥΘΥΝΣΗ Π.Ε. ΑΝΑΤΟΛΙΚΗΣ ΑΤΤΙΚΗΣ"/>
    <n v="27.444444444444443"/>
    <s v="22 - 30"/>
  </r>
  <r>
    <n v="99910214"/>
    <s v="Θ"/>
    <x v="1"/>
    <x v="1"/>
    <m/>
    <m/>
    <s v="Γ΄"/>
    <n v="1"/>
    <s v="11597/16-10-201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8"/>
    <s v="ΙΔΙΩΤΙΚΟ ΔΗΜΟΤΙΚΟ - ΕΥΡΩΠΑΪΚΟ ΠΡΟΤΥΠ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11-29T00:00:00"/>
    <x v="1"/>
    <s v="ΔΙΕΥΘΥΝΣΗ Π.Ε. Δ΄ ΑΘΗΝΑΣ"/>
    <n v="27.461111111111112"/>
    <s v="22 - 30"/>
  </r>
  <r>
    <n v="99910215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91-11-29T00:00:00"/>
    <x v="1"/>
    <s v="ΔΙΕΥΘΥΝΣΗ Π.Ε. ΑΙΤΩΛΟΑΚΑΡΝΑΝΙΑΣ"/>
    <n v="27.461111111111112"/>
    <s v="22 - 30"/>
  </r>
  <r>
    <n v="99910216"/>
    <s v="Α"/>
    <x v="1"/>
    <x v="1"/>
    <m/>
    <m/>
    <s v="Γ΄"/>
    <n v="1"/>
    <n v="17055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11-27T00:00:00"/>
    <x v="1"/>
    <s v="ΔΙΕΥΘΥΝΣΗ Π.Ε. ΠΕΙΡΑΙΑ"/>
    <n v="27.466666666666665"/>
    <s v="22 - 30"/>
  </r>
  <r>
    <n v="99910217"/>
    <s v="Θ"/>
    <x v="2"/>
    <x v="2"/>
    <m/>
    <m/>
    <s v="Γ΄"/>
    <n v="1"/>
    <n v="887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69"/>
    <s v="1ο ΝΗΠΙΑΓΩΓΕΙΟ ΠΑΣΧΑΛΗ ΧΡΙΣΤΙΝΑ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11-18T00:00:00"/>
    <x v="1"/>
    <s v="ΔΙΕΥΘΥΝΣΗ Π.Ε. Δ΄ ΑΘΗΝΑΣ"/>
    <n v="27.491666666666667"/>
    <s v="22 - 30"/>
  </r>
  <r>
    <n v="99910218"/>
    <s v="Θ"/>
    <x v="2"/>
    <x v="2"/>
    <m/>
    <m/>
    <s v="Γ΄"/>
    <n v="1"/>
    <s v="7305/08-10-2018"/>
    <d v="2018-09-26T00:00:00"/>
    <s v="ΙΩΑΝΝΙΝΩΝ (Π.Ε.) 2018"/>
    <s v="ΔΙΕΥΘΥΝΣΗ Π.Ε. ΙΩΑΝΝΙΝΩΝ"/>
    <s v="ΠΕΡΙΦΕΡΕΙΑΚΗ Δ/ΝΣΗ Α/ΘΜΙΑΣ ΚΑΙ Β/ΘΜΙΑΣ ΕΚΠ/ΣΗΣ ΗΠΕΙΡΟΥ"/>
    <n v="25"/>
    <s v="ΟΧΙ"/>
    <m/>
    <m/>
    <m/>
    <s v="ΟΧΙ"/>
    <m/>
    <d v="2018-09-26T00:00:00"/>
    <s v="Ιδιωτικά Σχολεία"/>
    <x v="2"/>
    <s v="7201023"/>
    <s v="ΙΔΙΩΤΙΚΟ ΣΥΣΤΕΓΑΖΟΜΕΝΟ ΝΗΠΙΑΓΩΓΕΙΟ - ΠΡΩΤΗ ΠΡΟΒΑ ΙΩΑΝΝΙΝΩΝ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1-11-17T00:00:00"/>
    <x v="1"/>
    <s v="ΔΙΕΥΘΥΝΣΗ Π.Ε. ΙΩΑΝΝΙΝΩΝ"/>
    <n v="27.494444444444444"/>
    <s v="22 - 30"/>
  </r>
  <r>
    <n v="99910219"/>
    <s v="Θ"/>
    <x v="1"/>
    <x v="1"/>
    <m/>
    <m/>
    <s v="Γ΄"/>
    <n v="1"/>
    <n v="11251"/>
    <d v="2018-09-06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6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11-15T00:00:00"/>
    <x v="1"/>
    <s v="ΔΙΕΥΘΥΝΣΗ Π.Ε. Δ΄ ΑΘΗΝΑΣ"/>
    <n v="27.5"/>
    <s v="22 - 30"/>
  </r>
  <r>
    <n v="99910220"/>
    <s v="Θ"/>
    <x v="2"/>
    <x v="2"/>
    <m/>
    <m/>
    <s v="Γ΄"/>
    <n v="1"/>
    <n v="11270"/>
    <d v="2018-10-19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10-19T00:00:00"/>
    <s v="Ιδιωτικά Σχολεία"/>
    <x v="2"/>
    <s v="7054147"/>
    <s v="ΣΥΣΤΕΓΑΖΟΜΕΝΟ ΙΔΙΩΤΙΚΟ ΝΗΠΙΑΓΩΓΕΙΟ ΧΑΝΤΖΗ ΜΑΡΙΑΝ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1-14T00:00:00"/>
    <x v="1"/>
    <s v="ΔΙΕΥΘΥΝΣΗ Π.Ε. Δ΄ ΑΘΗΝΑΣ"/>
    <n v="27.502777777777776"/>
    <s v="22 - 30"/>
  </r>
  <r>
    <n v="99910221"/>
    <s v="Θ"/>
    <x v="1"/>
    <x v="1"/>
    <m/>
    <m/>
    <s v="Γ΄"/>
    <n v="1"/>
    <s v="Φ.17.2/212/825201/09/201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11-13T00:00:00"/>
    <x v="1"/>
    <s v="ΔΙΕΥΘΥΝΣΗ Π.Ε. Β΄ ΑΘΗΝΑΣ"/>
    <n v="27.505555555555556"/>
    <s v="22 - 30"/>
  </r>
  <r>
    <n v="99910222"/>
    <s v="Θ"/>
    <x v="1"/>
    <x v="1"/>
    <m/>
    <m/>
    <s v="Γ΄"/>
    <n v="1"/>
    <s v="Φ.17/8848/31-10-2018"/>
    <d v="2018-10-02T00:00:00"/>
    <s v="ΙΩΑΝΝΙΝΩΝ (Π.Ε.) 2018"/>
    <s v="ΔΙΕΥΘΥΝΣΗ Π.Ε. ΙΩΑΝΝΙΝΩΝ"/>
    <s v="ΠΕΡΙΦΕΡΕΙΑΚΗ Δ/ΝΣΗ Α/ΘΜΙΑΣ ΚΑΙ Β/ΘΜΙΑΣ ΕΚΠ/ΣΗΣ ΗΠΕΙΡΟΥ"/>
    <n v="24"/>
    <s v="ΟΧΙ"/>
    <m/>
    <m/>
    <m/>
    <s v="ΟΧΙ"/>
    <m/>
    <d v="2018-10-02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1-11-07T00:00:00"/>
    <x v="1"/>
    <s v="ΔΙΕΥΘΥΝΣΗ Π.Ε. ΙΩΑΝΝΙΝΩΝ"/>
    <n v="27.522222222222222"/>
    <s v="22 - 30"/>
  </r>
  <r>
    <n v="99910223"/>
    <s v="Θ"/>
    <x v="2"/>
    <x v="2"/>
    <m/>
    <m/>
    <s v="Γ΄"/>
    <n v="1"/>
    <n v="6121"/>
    <d v="2018-10-25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10-25T00:00:00"/>
    <s v="Ιδιωτικά Σχολεία"/>
    <x v="2"/>
    <s v="7451023"/>
    <s v="Ιδιωτικό Νηπιαγωγείο - Χαμογελαστή Μαργαρίτα"/>
    <s v="ΤΡΙΚΑΛΩΝ (Π.Ε.) 2018"/>
    <x v="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1-11-04T00:00:00"/>
    <x v="1"/>
    <s v="ΔΙΕΥΘΥΝΣΗ Π.Ε. ΤΡΙΚΑΛΩΝ"/>
    <n v="27.530555555555555"/>
    <s v="22 - 30"/>
  </r>
  <r>
    <n v="99910224"/>
    <s v="Α"/>
    <x v="1"/>
    <x v="1"/>
    <m/>
    <m/>
    <s v="Β΄"/>
    <n v="2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0-31T00:00:00"/>
    <x v="1"/>
    <s v="ΔΙΕΥΘΥΝΣΗ Π.Ε. ΑΝΑΤΟΛΙΚΗΣ ΑΤΤΙΚΗΣ"/>
    <n v="27.541666666666668"/>
    <s v="22 - 30"/>
  </r>
  <r>
    <n v="99910225"/>
    <s v="Θ"/>
    <x v="1"/>
    <x v="1"/>
    <m/>
    <m/>
    <s v="Γ΄"/>
    <n v="1"/>
    <s v="Φ.Ι.Α.3/34045/19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4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0-31T00:00:00"/>
    <x v="1"/>
    <s v="ΔΙΕΥΘΥΝΣΗ Π.Ε. ΑΝΑΤΟΛΙΚΗΣ ΑΤΤΙΚΗΣ"/>
    <n v="27.541666666666668"/>
    <s v="22 - 30"/>
  </r>
  <r>
    <n v="99910226"/>
    <s v="Α"/>
    <x v="1"/>
    <x v="1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1-10-25T00:00:00"/>
    <x v="1"/>
    <s v="ΔΙΕΥΘΥΝΣΗ Π.Ε. ΜΕΣΣΗΝΙΑΣ"/>
    <n v="27.558333333333334"/>
    <s v="22 - 30"/>
  </r>
  <r>
    <n v="99910227"/>
    <s v="Θ"/>
    <x v="1"/>
    <x v="1"/>
    <m/>
    <m/>
    <s v="Γ΄"/>
    <n v="1"/>
    <n v="1060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0-24T00:00:00"/>
    <x v="1"/>
    <s v="ΔΙΕΥΘΥΝΣΗ Π.Ε. Δ΄ ΑΘΗΝΑΣ"/>
    <n v="27.56111111111111"/>
    <s v="22 - 30"/>
  </r>
  <r>
    <n v="99910228"/>
    <s v="Θ"/>
    <x v="1"/>
    <x v="1"/>
    <m/>
    <m/>
    <s v="Β΄"/>
    <n v="2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0-15T00:00:00"/>
    <x v="1"/>
    <s v="ΔΙΕΥΘΥΝΣΗ Π.Ε. ΑΝΑΤΟΛΙΚΗΣ ΑΤΤΙΚΗΣ"/>
    <n v="27.586111111111112"/>
    <s v="22 - 30"/>
  </r>
  <r>
    <n v="99910229"/>
    <s v="Θ"/>
    <x v="2"/>
    <x v="2"/>
    <m/>
    <m/>
    <s v="Γ΄"/>
    <n v="1"/>
    <s v="Φ.17.2/300/7947/3-10-2015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1T00:00:00"/>
    <s v="Ιδιωτικά Σχολεία"/>
    <x v="2"/>
    <s v="7052031"/>
    <s v="ΙΔΙΩΤΙΚΟ ΝΗΠΙΑΓΩΓΕΙΟ ΠΑΠΑΓΟΥ - Σ.ΜΠΟΣΙΝΑ ΚΑΙ ΣΙΑ Ο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0-15T00:00:00"/>
    <x v="1"/>
    <s v="ΔΙΕΥΘΥΝΣΗ Π.Ε. Β΄ ΑΘΗΝΑΣ"/>
    <n v="27.586111111111112"/>
    <s v="22 - 30"/>
  </r>
  <r>
    <n v="99910230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10-11T00:00:00"/>
    <x v="1"/>
    <s v="ΔΙΕΥΘΥΝΣΗ Π.Ε. Β΄ ΑΘΗΝΑΣ"/>
    <n v="27.597222222222221"/>
    <s v="22 - 30"/>
  </r>
  <r>
    <n v="99910231"/>
    <s v="Θ"/>
    <x v="1"/>
    <x v="1"/>
    <m/>
    <m/>
    <s v="Α΄"/>
    <n v="1"/>
    <s v="ΩΩΤΓ465ΦΘ3-ΞΔ2"/>
    <d v="2015-10-12T00:00:00"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s v="ΟΧΙ"/>
    <s v="ΟΧΙ"/>
    <m/>
    <d v="2015-10-12T00:00:00"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1-10-07T00:00:00"/>
    <x v="1"/>
    <s v="ΔΙΕΥΘΥΝΣΗ Π.Ε. ΗΡΑΚΛΕΙΟΥ"/>
    <n v="27.608333333333334"/>
    <s v="22 - 30"/>
  </r>
  <r>
    <n v="99910232"/>
    <s v="Θ"/>
    <x v="14"/>
    <x v="14"/>
    <m/>
    <m/>
    <s v="Γ΄"/>
    <n v="1"/>
    <n v="1"/>
    <d v="2018-09-01T00:00:00"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s v="ΟΧΙ"/>
    <s v="ΟΧΙ"/>
    <m/>
    <d v="2018-09-01T00:00:00"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91-10-06T00:00:00"/>
    <x v="1"/>
    <s v="ΔΙΕΥΘΥΝΣΗ Π.Ε. ΚΥΚΛΑΔΩΝ"/>
    <n v="27.611111111111111"/>
    <s v="22 - 30"/>
  </r>
  <r>
    <n v="99910233"/>
    <s v="Θ"/>
    <x v="1"/>
    <x v="1"/>
    <m/>
    <m/>
    <s v="Γ΄"/>
    <n v="1"/>
    <s v="Φ.17.2/414/10373/10-11-2017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10-05T00:00:00"/>
    <x v="1"/>
    <s v="ΔΙΕΥΘΥΝΣΗ Π.Ε. Β΄ ΑΘΗΝΑΣ"/>
    <n v="27.613888888888887"/>
    <s v="22 - 30"/>
  </r>
  <r>
    <n v="99910234"/>
    <s v="Θ"/>
    <x v="1"/>
    <x v="1"/>
    <m/>
    <m/>
    <s v="Γ΄"/>
    <n v="1"/>
    <n v="946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1-09-28T00:00:00"/>
    <x v="1"/>
    <s v="ΔΙΕΥΘΥΝΣΗ Π.Ε. ΛΑΡΙΣΑΣ"/>
    <n v="27.633333333333333"/>
    <s v="22 - 30"/>
  </r>
  <r>
    <n v="99910235"/>
    <s v="Α"/>
    <x v="8"/>
    <x v="8"/>
    <m/>
    <m/>
    <s v="Γ΄"/>
    <n v="1"/>
    <s v="18178/10-10-2018"/>
    <d v="2018-09-06T00:00:00"/>
    <s v="ΛΑΡΙΣΑΣ (Δ.Ε.) 2018"/>
    <s v="ΔΙΕΥΘΥΝΣΗ Δ.Ε. ΛΑΡΙΣΑΣ"/>
    <s v="ΠΕΡΙΦΕΡΕΙΑΚΗ Δ/ΝΣΗ Α/ΘΜΙΑΣ ΚΑΙ Β/ΘΜΙΑΣ ΕΚΠ/ΣΗΣ ΘΕΣΣΑΛΙΑΣ"/>
    <n v="12"/>
    <s v="ΟΧΙ"/>
    <s v="ΟΧΙ"/>
    <s v="ΟΧΙ"/>
    <s v="ΟΧΙ"/>
    <s v="ΟΧΙ"/>
    <m/>
    <d v="2018-09-06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1-09-18T00:00:00"/>
    <x v="0"/>
    <s v="ΔΙΕΥΘΥΝΣΗ Δ.Ε. ΛΑΡΙΣΑΣ"/>
    <n v="27.661111111111111"/>
    <s v="22 - 30"/>
  </r>
  <r>
    <n v="99910236"/>
    <s v="Θ"/>
    <x v="2"/>
    <x v="2"/>
    <m/>
    <m/>
    <s v="Γ΄"/>
    <n v="1"/>
    <n v="57"/>
    <d v="2018-09-04T00:00:00"/>
    <s v="ΑΧΑΪΑΣ (Π.Ε.) 2018"/>
    <s v="ΔΙΕΥΘΥΝΣΗ Π.Ε. ΑΧΑΪΑΣ"/>
    <s v="ΠΕΡΙΦΕΡΕΙΑΚΗ Δ/ΝΣΗ Α/ΘΜΙΑΣ ΚΑΙ Β/ΘΜΙΑΣ ΕΚΠ/ΣΗΣ ΔΥΤΙΚΗΣ ΕΛΛΑΔΑΣ"/>
    <n v="25"/>
    <s v="ΟΧΙ"/>
    <m/>
    <m/>
    <m/>
    <s v="ΟΧΙ"/>
    <m/>
    <d v="2018-09-04T00:00:00"/>
    <s v="Ιδιωτικά Σχολεία"/>
    <x v="2"/>
    <s v="7061013"/>
    <s v="ΙΔΙΩΤΙΚΟ ΝΗΠΙΑΓΩΓΕΙΟ ΠΛΑΤΑΝΙ ΡΙΟΥ - ΑΡΣΑΚΕΙΟ ΝΗΠΙΑΓΩΓΕΙΟ ΠΑΤΡΩΝ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1-09-04T00:00:00"/>
    <x v="1"/>
    <s v="ΔΙΕΥΘΥΝΣΗ Π.Ε. ΑΧΑΪΑΣ"/>
    <n v="27.7"/>
    <s v="22 - 30"/>
  </r>
  <r>
    <n v="99910237"/>
    <s v="Θ"/>
    <x v="2"/>
    <x v="2"/>
    <m/>
    <m/>
    <s v="Γ΄"/>
    <n v="1"/>
    <s v="Φ.17/3587"/>
    <d v="2018-09-01T00:00:00"/>
    <s v="ΔΥΤ. ΑΤΤΙΚΗΣ (Π.Ε.) 2018"/>
    <s v="ΔΙΕΥΘΥΝΣΗ Π.Ε. ΔΥΤΙΚΗΣ ΑΤΤΙΚΗ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531015"/>
    <s v="ΙΔΙΩΤΙΚΟ ΣΥΣΤΕΓΑΖΟΜΕΝΟ ΝΗΠΙΑΓΩΓΕΙΟ - ΚΟΝΤΟΠΟΥΛΟΥ ΕΥΦΡΟΣΥΝΗ"/>
    <s v="ΔΥΤ. ΑΤΤΙΚΗΣ (Π.Ε.) 2018"/>
    <x v="26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8-24T00:00:00"/>
    <x v="1"/>
    <s v="ΔΙΕΥΘΥΝΣΗ Π.Ε. ΔΥΤΙΚΗΣ ΑΤΤΙΚΗΣ"/>
    <n v="27.730555555555554"/>
    <s v="22 - 30"/>
  </r>
  <r>
    <n v="99910238"/>
    <s v="Θ"/>
    <x v="1"/>
    <x v="1"/>
    <m/>
    <m/>
    <s v="Γ΄"/>
    <n v="1"/>
    <n v="5009"/>
    <d v="2018-09-01T00:00:00"/>
    <s v="ΤΡΙΚΑΛΩΝ (Π.Ε.) 2018"/>
    <s v="ΔΙΕΥΘΥΝΣΗ Π.Ε. ΤΡΙΚΑΛΩΝ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1-08-23T00:00:00"/>
    <x v="1"/>
    <s v="ΔΙΕΥΘΥΝΣΗ Π.Ε. ΤΡΙΚΑΛΩΝ"/>
    <n v="27.733333333333334"/>
    <s v="22 - 30"/>
  </r>
  <r>
    <n v="99910239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541075"/>
    <s v="ΙΔΙΩΤΙΚΟ ΣΥΣΤΕΓΑΖΟΜΕΝΟ ΝΗΠΙΑΓΩΓΕΙΟ - ΚΑΡΟΥΖΕΛ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8-16T00:00:00"/>
    <x v="1"/>
    <s v="ΔΙΕΥΘΥΝΣΗ Π.Ε. ΠΕΙΡΑΙΑ"/>
    <n v="27.752777777777776"/>
    <s v="22 - 30"/>
  </r>
  <r>
    <n v="99910240"/>
    <s v="Θ"/>
    <x v="0"/>
    <x v="0"/>
    <m/>
    <m/>
    <s v="Γ΄"/>
    <n v="1"/>
    <s v="16963/ 05/10/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d v="2018-09-01T00:00:00"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8-13T00:00:00"/>
    <x v="0"/>
    <s v="ΔΙΕΥΘΥΝΣΗ Δ.Ε. ΑΝΑΤΟΛΙΚΗΣ ΑΤΤΙΚΗΣ"/>
    <n v="27.761111111111113"/>
    <s v="22 - 30"/>
  </r>
  <r>
    <n v="99910241"/>
    <s v="Θ"/>
    <x v="2"/>
    <x v="2"/>
    <m/>
    <m/>
    <s v="Γ΄"/>
    <n v="1"/>
    <n v="20492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85"/>
    <s v="ΛΟΥΣΙΝΤΑ ΚΩΝΣΤΑΝΤΙΝΙΔΟΥ &amp; ΣΙΑ Ο.Ε. (ΛΟΥΣΙΝΤΑ ΚΩΝΣΤΑΝΤΙΝΙΔΟΥ &amp; ΣΙΑ Ο.Ε.)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8-12T00:00:00"/>
    <x v="1"/>
    <s v="ΔΙΕΥΘΥΝΣΗ Π.Ε. Δ΄ ΑΘΗΝΑΣ"/>
    <n v="27.763888888888889"/>
    <s v="22 - 30"/>
  </r>
  <r>
    <n v="99910242"/>
    <s v="Θ"/>
    <x v="3"/>
    <x v="3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12"/>
    <s v="ΟΧΙ"/>
    <s v="ΟΧΙ"/>
    <s v="ΟΧΙ"/>
    <m/>
    <s v="ΟΧΙ"/>
    <m/>
    <d v="2018-09-01T00:00:00"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08-10T00:00:00"/>
    <x v="0"/>
    <s v="ΔΙΕΥΘΥΝΣΗ Δ.Ε. ΠΕΙΡΑΙΑ"/>
    <n v="27.769444444444446"/>
    <s v="22 - 30"/>
  </r>
  <r>
    <n v="99910243"/>
    <s v="Θ"/>
    <x v="2"/>
    <x v="2"/>
    <m/>
    <m/>
    <s v="Γ΄"/>
    <n v="1"/>
    <s v="ΑΠ1794170"/>
    <d v="2018-09-03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3T00:00:00"/>
    <s v="Ιδιωτικά Σχολεία"/>
    <x v="2"/>
    <s v="7391001"/>
    <s v="ΙΔΙΩΤΙΚΟ ΝΗΠΙΑΓΩΓΕΙΟ ΚΑΤΕΡΙΝΗΣ - ΙΔΙΩΤΙΚΟ ΝΗΠ. ΠΛΑΤΩΝ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1-08-10T00:00:00"/>
    <x v="1"/>
    <s v="ΔΙΕΥΘΥΝΣΗ Π.Ε. ΠΙΕΡΙΑΣ"/>
    <n v="27.769444444444446"/>
    <s v="22 - 30"/>
  </r>
  <r>
    <n v="99910244"/>
    <s v="Θ"/>
    <x v="1"/>
    <x v="1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1-08-07T00:00:00"/>
    <x v="1"/>
    <s v="ΔΙΕΥΘΥΝΣΗ Π.Ε. ΑΝΑΤ. ΘΕΣ/ΝΙΚΗΣ"/>
    <n v="27.777777777777779"/>
    <s v="22 - 30"/>
  </r>
  <r>
    <n v="99910245"/>
    <s v="Θ"/>
    <x v="1"/>
    <x v="1"/>
    <m/>
    <m/>
    <s v="Γ΄"/>
    <n v="3"/>
    <s v="ΩΞ484653ΠΣ-Ι7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8-06T00:00:00"/>
    <x v="1"/>
    <s v="ΔΙΕΥΘΥΝΣΗ Π.Ε. Β΄ ΑΘΗΝΑΣ"/>
    <n v="27.780555555555555"/>
    <s v="22 - 30"/>
  </r>
  <r>
    <n v="99910246"/>
    <s v="Θ"/>
    <x v="0"/>
    <x v="0"/>
    <m/>
    <m/>
    <s v="Γ΄"/>
    <n v="1"/>
    <s v="Φ.17.2/11663"/>
    <d v="2018-09-01T00:00:00"/>
    <s v="ΧΑΝΙΩΝ (Π.Ε.) 2018"/>
    <s v="ΔΙΕΥΘΥΝΣΗ Π.Ε. ΧΑΝΙΩΝ"/>
    <s v="ΠΕΡΙΦΕΡΕΙΑΚΗ Δ/ΝΣΗ Α/ΘΜΙΑΣ ΚΑΙ Β/ΘΜΙΑΣ ΕΚΠ/ΣΗΣ ΚΡΗΤΗΣ"/>
    <n v="8"/>
    <s v="ΟΧΙ"/>
    <s v="ΟΧΙ"/>
    <s v="ΟΧΙ"/>
    <s v="ΟΧΙ"/>
    <s v="ΟΧΙ"/>
    <m/>
    <d v="2018-09-01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91-08-06T00:00:00"/>
    <x v="1"/>
    <s v="ΔΙΕΥΘΥΝΣΗ Π.Ε. ΧΑΝΙΩΝ"/>
    <n v="27.780555555555555"/>
    <s v="22 - 30"/>
  </r>
  <r>
    <n v="99910247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8-01T00:00:00"/>
    <x v="0"/>
    <s v="ΔΙΕΥΘΥΝΣΗ Δ.Ε. Β΄ ΑΘΗΝΑΣ"/>
    <n v="27.794444444444444"/>
    <s v="22 - 30"/>
  </r>
  <r>
    <n v="99910248"/>
    <s v="Α"/>
    <x v="1"/>
    <x v="1"/>
    <m/>
    <m/>
    <s v="Β΄"/>
    <n v="1"/>
    <s v="ΑΠ510859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61004"/>
    <s v="ΙΔΙΩΤΙΚΟ ΔΗΜΟΤΙΚΟ ΠΑΤΡΑΣ ΕΚΠΑΙΔΕΥΤΗΡΙΑ ΑΝΑΓΕΝΝΗΣΗ ΙΚΕ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91-07-31T00:00:00"/>
    <x v="1"/>
    <s v="ΔΙΕΥΘΥΝΣΗ Π.Ε. ΑΧΑΪΑΣ"/>
    <n v="27.797222222222221"/>
    <s v="22 - 30"/>
  </r>
  <r>
    <n v="99910249"/>
    <s v="Θ"/>
    <x v="2"/>
    <x v="2"/>
    <m/>
    <m/>
    <s v="Γ΄"/>
    <n v="1"/>
    <s v="ΑΠ1896518"/>
    <d v="2018-09-11T00:00:00"/>
    <s v="ΗΛΕΙΑΣ (Π.Ε.) 2018"/>
    <s v="ΔΙΕΥΘΥΝΣΗ Π.Ε. ΗΛΕΙΑΣ"/>
    <s v="ΠΕΡΙΦΕΡΕΙΑΚΗ Δ/ΝΣΗ Α/ΘΜΙΑΣ ΚΑΙ Β/ΘΜΙΑΣ ΕΚΠ/ΣΗΣ ΔΥΤΙΚΗΣ ΕΛΛΑΔΑΣ"/>
    <n v="25"/>
    <s v="ΟΧΙ"/>
    <m/>
    <m/>
    <m/>
    <s v="ΟΧΙ"/>
    <m/>
    <d v="2018-09-11T00:00:00"/>
    <s v="Ιδιωτικά Σχολεία"/>
    <x v="2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x v="4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1-07-29T00:00:00"/>
    <x v="1"/>
    <s v="ΔΙΕΥΘΥΝΣΗ Π.Ε. ΗΛΕΙΑΣ"/>
    <n v="27.802777777777777"/>
    <s v="22 - 30"/>
  </r>
  <r>
    <n v="99910250"/>
    <s v="Θ"/>
    <x v="1"/>
    <x v="1"/>
    <m/>
    <m/>
    <s v="Γ΄"/>
    <n v="3"/>
    <s v="Φ.17.2/259/926/15-10-201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7-08T00:00:00"/>
    <x v="1"/>
    <s v="ΔΙΕΥΘΥΝΣΗ Π.Ε. Β΄ ΑΘΗΝΑΣ"/>
    <n v="27.861111111111111"/>
    <s v="22 - 30"/>
  </r>
  <r>
    <n v="99910251"/>
    <s v="Θ"/>
    <x v="2"/>
    <x v="2"/>
    <m/>
    <m/>
    <s v="Γ΄"/>
    <n v="1"/>
    <s v="9998/1"/>
    <d v="2018-09-19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m/>
    <m/>
    <m/>
    <s v="ΟΧΙ"/>
    <m/>
    <d v="2018-09-19T00:00:00"/>
    <s v="Ιδιωτικά Σχολεία"/>
    <x v="2"/>
    <s v="7192057"/>
    <s v="ΙΔΙΩΤΙΚΟ  ΝΗΠΙΑΓΩΓΕΙΟ - HAPPY KIDDO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1-06-28T00:00:00"/>
    <x v="1"/>
    <s v="ΔΙΕΥΘΥΝΣΗ Π.Ε. ΔΥΤ. ΘΕΣ/ΝΙΚΗΣ"/>
    <n v="27.888888888888889"/>
    <s v="22 - 30"/>
  </r>
  <r>
    <n v="99910252"/>
    <s v="Θ"/>
    <x v="2"/>
    <x v="2"/>
    <m/>
    <m/>
    <s v="Γ΄"/>
    <n v="1"/>
    <n v="1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147"/>
    <s v="ΙΔΙΩΤΙΚΟ ΣΥΣΤΕΓΑΖΟΜΕΝΟ ΝΗΠΙΑΓΩΓΕΙΟ - ΔΡΑΚΑ Γ. ΜΑΡ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6-26T00:00:00"/>
    <x v="1"/>
    <s v="ΔΙΕΥΘΥΝΣΗ Π.Ε. Β΄ ΑΘΗΝΑΣ"/>
    <n v="27.894444444444446"/>
    <s v="22 - 30"/>
  </r>
  <r>
    <n v="99910253"/>
    <s v="Θ"/>
    <x v="2"/>
    <x v="2"/>
    <m/>
    <m/>
    <s v="Γ΄"/>
    <n v="1"/>
    <m/>
    <m/>
    <s v="ΗΛΕΙΑΣ (Π.Ε.) 2018"/>
    <s v="ΔΙΕΥΘΥΝΣΗ Π.Ε. ΗΛΕΙΑΣ"/>
    <s v="ΠΕΡΙΦΕΡΕΙΑΚΗ Δ/ΝΣΗ Α/ΘΜΙΑΣ ΚΑΙ Β/ΘΜΙΑΣ ΕΚΠ/ΣΗΣ ΔΥΤΙΚΗΣ ΕΛΛΑΔΑΣ"/>
    <n v="25"/>
    <s v="ΟΧΙ"/>
    <s v="ΟΧΙ"/>
    <s v="ΟΧΙ"/>
    <s v="ΟΧΙ"/>
    <s v="ΟΧΙ"/>
    <m/>
    <m/>
    <s v="Ιδιωτικά Σχολεία"/>
    <x v="2"/>
    <s v="7151005"/>
    <s v="ΙΔΙΩΤΙΚΟ ΣΥΣΤΕΓΑΖΟΜΕΝΟ ΝΗΠΙΑΓΩΓΕΙΟ - ΠΑΝΤΑΖΟΠΟΥΛΟΥ ΙΩΑΝΝΑ"/>
    <s v="ΗΛΕΙΑΣ (Π.Ε.) 2018"/>
    <x v="4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1-06-24T00:00:00"/>
    <x v="1"/>
    <s v="ΔΙΕΥΘΥΝΣΗ Π.Ε. ΗΛΕΙΑΣ"/>
    <n v="27.9"/>
    <s v="22 - 30"/>
  </r>
  <r>
    <n v="99910254"/>
    <s v="Θ"/>
    <x v="6"/>
    <x v="6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4"/>
    <s v="ΟΧΙ"/>
    <s v="ΟΧΙ"/>
    <s v="ΟΧΙ"/>
    <m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1-06-12T00:00:00"/>
    <x v="1"/>
    <s v="ΔΙΕΥΘΥΝΣΗ Π.Ε. ΚΟΡΙΝΘΙΑΣ"/>
    <n v="27.933333333333334"/>
    <s v="22 - 30"/>
  </r>
  <r>
    <n v="99910255"/>
    <s v="Θ"/>
    <x v="1"/>
    <x v="1"/>
    <m/>
    <m/>
    <s v="Γ΄"/>
    <n v="1"/>
    <s v="1089Α"/>
    <d v="2018-09-01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Δημοτικά Σχολεία"/>
    <x v="6"/>
    <s v="9020029"/>
    <s v="ΟΛΟΗΜΕΡΟ ΔΗΜΟΤΙΚΟ ΣΧΟΛΕΙΟ ΚΟΥΤΣΟΠΟΔΙΟΥ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1-06-11T00:00:00"/>
    <x v="1"/>
    <s v="ΔΙΕΥΘΥΝΣΗ Π.Ε. ΑΡΓΟΛΙΔΑΣ"/>
    <n v="27.93611111111111"/>
    <s v="22 - 30"/>
  </r>
  <r>
    <n v="99910256"/>
    <s v="Α"/>
    <x v="0"/>
    <x v="0"/>
    <m/>
    <m/>
    <s v="Γ΄"/>
    <n v="1"/>
    <s v="ΑΠ1964976"/>
    <d v="2018-09-19T00:00:00"/>
    <s v="ΠΙΕΡΙΑΣ (Π.Ε.) 2018"/>
    <s v="ΔΙΕΥΘΥΝΣΗ Π.Ε. ΠΙΕΡΙΑ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19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Αναπληρωτής Ιδιωτικής Εκπαίδευσης (ν. 682/1977 άρ.35, παρ.4)"/>
    <s v="Τοποθέτηση σε Ιδιωτική Εκπαίδευση"/>
    <d v="1991-06-05T00:00:00"/>
    <x v="1"/>
    <s v="ΔΙΕΥΘΥΝΣΗ Π.Ε. ΠΙΕΡΙΑΣ"/>
    <n v="27.952777777777779"/>
    <s v="22 - 30"/>
  </r>
  <r>
    <n v="99910257"/>
    <s v="Θ"/>
    <x v="2"/>
    <x v="2"/>
    <m/>
    <m/>
    <s v="Γ΄"/>
    <n v="1"/>
    <s v="Φ.Ι.Α.4/21470/15-9-2015"/>
    <d v="2018-09-11T00:00:00"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8-09-11T00:00:00"/>
    <s v="Ιδιωτικά Σχολεία"/>
    <x v="2"/>
    <s v="7521143"/>
    <s v="ΙΔΙΩΤΙΚΟ ΝΗΠΙΑΓΩΓΕΙΟ - ΟΝΕΙΡΟΧΩΡΑ (2o)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6-03T00:00:00"/>
    <x v="1"/>
    <s v="ΔΙΕΥΘΥΝΣΗ Π.Ε. ΑΝΑΤΟΛΙΚΗΣ ΑΤΤΙΚΗΣ"/>
    <n v="27.958333333333332"/>
    <s v="22 - 30"/>
  </r>
  <r>
    <n v="99910258"/>
    <s v="Α"/>
    <x v="1"/>
    <x v="1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1-06-03T00:00:00"/>
    <x v="1"/>
    <s v="ΔΙΕΥΘΥΝΣΗ Π.Ε. ΗΡΑΚΛΕΙΟΥ"/>
    <n v="27.958333333333332"/>
    <s v="22 - 30"/>
  </r>
  <r>
    <n v="99910259"/>
    <s v="Θ"/>
    <x v="14"/>
    <x v="14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5-31T00:00:00"/>
    <x v="1"/>
    <s v="ΔΙΕΥΘΥΝΣΗ Π.Ε. Δ΄ ΑΘΗΝΑΣ"/>
    <n v="27.966666666666665"/>
    <s v="22 - 30"/>
  </r>
  <r>
    <n v="99910260"/>
    <s v="Θ"/>
    <x v="2"/>
    <x v="2"/>
    <m/>
    <m/>
    <s v="Γ΄"/>
    <n v="1"/>
    <s v="Φ.Ι.Α.4/21469/15-9-2015"/>
    <d v="2015-09-12T00:00:00"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5-09-12T00:00:00"/>
    <s v="Ιδιωτικά Σχολεία"/>
    <x v="2"/>
    <s v="7521143"/>
    <s v="ΙΔΙΩΤΙΚΟ ΝΗΠΙΑΓΩΓΕΙΟ - ΟΝΕΙΡΟΧΩΡΑ (2o)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5-23T00:00:00"/>
    <x v="1"/>
    <s v="ΔΙΕΥΘΥΝΣΗ Π.Ε. ΑΝΑΤΟΛΙΚΗΣ ΑΤΤΙΚΗΣ"/>
    <n v="27.988888888888887"/>
    <s v="22 - 30"/>
  </r>
  <r>
    <n v="99910261"/>
    <s v="Θ"/>
    <x v="1"/>
    <x v="1"/>
    <m/>
    <m/>
    <s v="Γ΄"/>
    <n v="3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1-05-20T00:00:00"/>
    <x v="1"/>
    <s v="ΔΙΕΥΘΥΝΣΗ Π.Ε. ΚΟΡΙΝΘΙΑΣ"/>
    <n v="27.997222222222224"/>
    <s v="22 - 30"/>
  </r>
  <r>
    <n v="99910262"/>
    <s v="Θ"/>
    <x v="2"/>
    <x v="2"/>
    <m/>
    <m/>
    <s v="Γ΄"/>
    <n v="1"/>
    <s v="ΕΚΚΡΕΜΕΙ"/>
    <d v="2018-09-04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153"/>
    <s v="ΣΥΣΤΕΓΑΖΟΜΕΝΟ ΝΗΠΙΑΓΩΓΕΙΟ - ΤΟ ΣΠΙΤΑΚΙ ΤΗΣ ΣΟΦΙΑΣ SOFIAS KINDERHAUS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5-19T00:00:00"/>
    <x v="1"/>
    <s v="ΔΙΕΥΘΥΝΣΗ Π.Ε. Β΄ ΑΘΗΝΑΣ"/>
    <n v="28"/>
    <s v="22 - 30"/>
  </r>
  <r>
    <n v="99910263"/>
    <s v="Θ"/>
    <x v="2"/>
    <x v="2"/>
    <m/>
    <m/>
    <s v="Γ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19"/>
    <s v="ΙΔΙΩΤΙΚΟ ΝΗΠΙΑΓΩΓΕΙΟ ΛΑΜΙΑ - ΗΛΙΑΧΤΙΔ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91-05-15T00:00:00"/>
    <x v="1"/>
    <s v="ΔΙΕΥΘΥΝΣΗ Π.Ε. ΦΘΙΩΤΙΔΑΣ"/>
    <n v="28.011111111111113"/>
    <s v="22 - 30"/>
  </r>
  <r>
    <n v="99910264"/>
    <s v="Θ"/>
    <x v="2"/>
    <x v="2"/>
    <m/>
    <m/>
    <s v="Γ΄"/>
    <n v="1"/>
    <n v="1322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65"/>
    <s v="ΙΔΙΩΤΙΚΟ ΝΗΠΙΑΓΩΓΕΙΟ -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5-14T00:00:00"/>
    <x v="1"/>
    <s v="ΔΙΕΥΘΥΝΣΗ Π.Ε. Δ΄ ΑΘΗΝΑΣ"/>
    <n v="28.013888888888889"/>
    <s v="22 - 30"/>
  </r>
  <r>
    <n v="99910265"/>
    <s v="Θ"/>
    <x v="1"/>
    <x v="1"/>
    <m/>
    <m/>
    <s v="Γ΄"/>
    <n v="1"/>
    <n v="1061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5-10T00:00:00"/>
    <x v="1"/>
    <s v="ΔΙΕΥΘΥΝΣΗ Π.Ε. Δ΄ ΑΘΗΝΑΣ"/>
    <n v="28.024999999999999"/>
    <s v="22 - 30"/>
  </r>
  <r>
    <n v="99910266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5-06T00:00:00"/>
    <x v="0"/>
    <s v="ΔΙΕΥΘΥΝΣΗ Δ.Ε. Β΄ ΑΘΗΝΑΣ"/>
    <n v="28.036111111111111"/>
    <s v="22 - 30"/>
  </r>
  <r>
    <n v="99910267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5-03T00:00:00"/>
    <x v="1"/>
    <s v="ΔΙΕΥΘΥΝΣΗ Π.Ε. ΑΝΑΤΟΛΙΚΗΣ ΑΤΤΙΚΗΣ"/>
    <n v="28.044444444444444"/>
    <s v="22 - 30"/>
  </r>
  <r>
    <n v="99910268"/>
    <s v="Θ"/>
    <x v="2"/>
    <x v="2"/>
    <m/>
    <m/>
    <s v="Γ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31013"/>
    <s v="ΙΔΙΩΤΙΚΟ ΝΗΠΙΑΓΩΓΕΙΟ - ΒΑΣΙΛΙΚΗ ΜΑΡΟΥΓΚΑ"/>
    <s v="ΔΥΤ. ΑΤΤΙΚΗΣ (Π.Ε.) 2018"/>
    <x v="26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4-20T00:00:00"/>
    <x v="1"/>
    <s v="ΔΙΕΥΘΥΝΣΗ Π.Ε. ΔΥΤΙΚΗΣ ΑΤΤΙΚΗΣ"/>
    <n v="28.080555555555556"/>
    <s v="22 - 30"/>
  </r>
  <r>
    <n v="99910269"/>
    <s v="Α"/>
    <x v="1"/>
    <x v="1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1-04-20T00:00:00"/>
    <x v="1"/>
    <s v="ΔΙΕΥΘΥΝΣΗ Π.Ε. ΛΑΡΙΣΑΣ"/>
    <n v="28.080555555555556"/>
    <s v="22 - 30"/>
  </r>
  <r>
    <n v="99910270"/>
    <s v="Θ"/>
    <x v="1"/>
    <x v="1"/>
    <m/>
    <m/>
    <s v="Γ΄"/>
    <n v="1"/>
    <d v="2018-09-10T00:00:00"/>
    <d v="2018-09-1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10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Αναπληρωτής Ιδιωτικής Εκπαίδευσης (ν. 682/1977 άρ.35, παρ.4)"/>
    <s v="Τοποθέτηση σε Ιδιωτική Εκπαίδευση"/>
    <d v="1991-04-16T00:00:00"/>
    <x v="1"/>
    <s v="ΔΙΕΥΘΥΝΣΗ Π.Ε. ΑΝΑΤ. ΘΕΣ/ΝΙΚΗΣ"/>
    <n v="28.091666666666665"/>
    <s v="22 - 30"/>
  </r>
  <r>
    <n v="99910271"/>
    <s v="Θ"/>
    <x v="1"/>
    <x v="1"/>
    <m/>
    <m/>
    <s v="Γ΄"/>
    <n v="1"/>
    <s v="Φ.17.2/413/1037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4-07T00:00:00"/>
    <x v="1"/>
    <s v="ΔΙΕΥΘΥΝΣΗ Π.Ε. Β΄ ΑΘΗΝΑΣ"/>
    <n v="28.116666666666667"/>
    <s v="22 - 30"/>
  </r>
  <r>
    <n v="99910272"/>
    <s v="Θ"/>
    <x v="1"/>
    <x v="1"/>
    <m/>
    <m/>
    <s v="Γ΄"/>
    <n v="1"/>
    <s v="Φ.17.2/455/10373/19-10-2017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4-02T00:00:00"/>
    <x v="1"/>
    <s v="ΔΙΕΥΘΥΝΣΗ Π.Ε. Β΄ ΑΘΗΝΑΣ"/>
    <n v="28.130555555555556"/>
    <s v="22 - 30"/>
  </r>
  <r>
    <n v="99910273"/>
    <s v="Α"/>
    <x v="5"/>
    <x v="5"/>
    <m/>
    <m/>
    <s v="Γ΄"/>
    <n v="1"/>
    <s v="8412/18-9-2018"/>
    <d v="2018-09-11T00:00:00"/>
    <s v="ΙΩΑΝΝΙΝΩΝ (Δ.Ε.) 2018"/>
    <s v="ΔΙΕΥΘΥΝΣΗ Δ.Ε. ΙΩΑΝΝΙΝΩΝ"/>
    <s v="ΠΕΡΙΦΕΡΕΙΑΚΗ Δ/ΝΣΗ Α/ΘΜΙΑΣ ΚΑΙ Β/ΘΜΙΑΣ ΕΚΠ/ΣΗΣ ΗΠΕΙΡΟΥ"/>
    <n v="11"/>
    <s v="ΟΧΙ"/>
    <m/>
    <m/>
    <m/>
    <s v="ΟΧΙ"/>
    <m/>
    <d v="2018-09-11T00:00:00"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1-04-01T00:00:00"/>
    <x v="0"/>
    <s v="ΔΙΕΥΘΥΝΣΗ Δ.Ε. ΙΩΑΝΝΙΝΩΝ"/>
    <n v="28.133333333333333"/>
    <s v="22 - 30"/>
  </r>
  <r>
    <n v="99910274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3-31T00:00:00"/>
    <x v="1"/>
    <s v="ΔΙΕΥΘΥΝΣΗ Π.Ε. ΠΕΙΡΑΙΑ"/>
    <n v="28.136111111111113"/>
    <s v="22 - 30"/>
  </r>
  <r>
    <n v="99910275"/>
    <s v="Α"/>
    <x v="1"/>
    <x v="1"/>
    <m/>
    <m/>
    <s v="Γ΄"/>
    <n v="1"/>
    <n v="906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1-03-28T00:00:00"/>
    <x v="1"/>
    <s v="ΔΙΕΥΘΥΝΣΗ Π.Ε. ΛΑΡΙΣΑΣ"/>
    <n v="28.144444444444446"/>
    <s v="22 - 30"/>
  </r>
  <r>
    <n v="99910276"/>
    <s v="Θ"/>
    <x v="1"/>
    <x v="1"/>
    <m/>
    <m/>
    <s v="Γ΄"/>
    <n v="1"/>
    <s v="ΕΚΚΡΕΜΕΙ"/>
    <d v="2018-09-03T00:00:00"/>
    <s v="Β΄ ΑΘΗΝΑΣ (Π.Ε.) 2018"/>
    <s v="ΔΙΕΥΘΥΝΣΗ Π.Ε. Β΄ ΑΘΗΝΑΣ"/>
    <s v="ΠΕΡΙΦΕΡΕΙΑΚΗ Δ/ΝΣΗ Α/ΘΜΙΑΣ ΚΑΙ Β/ΘΜΙΑΣ ΕΚΠ/ΣΗΣ ΑΤΤΙΚΗΣ"/>
    <n v="24"/>
    <s v="ΟΧΙ"/>
    <m/>
    <s v="ΟΧΙ"/>
    <m/>
    <s v="ΟΧΙ"/>
    <m/>
    <d v="2018-09-03T00:00:00"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03-23T00:00:00"/>
    <x v="1"/>
    <s v="ΔΙΕΥΘΥΝΣΗ Π.Ε. Β΄ ΑΘΗΝΑΣ"/>
    <n v="28.158333333333335"/>
    <s v="22 - 30"/>
  </r>
  <r>
    <n v="99910277"/>
    <s v="Θ"/>
    <x v="1"/>
    <x v="1"/>
    <m/>
    <m/>
    <s v="Γ΄"/>
    <n v="1"/>
    <n v="7970"/>
    <d v="2018-10-16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10-16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91-03-23T00:00:00"/>
    <x v="1"/>
    <s v="ΔΙΕΥΘΥΝΣΗ Π.Ε. ΛΑΡΙΣΑΣ"/>
    <n v="28.158333333333335"/>
    <s v="22 - 30"/>
  </r>
  <r>
    <n v="99910278"/>
    <s v="Θ"/>
    <x v="1"/>
    <x v="1"/>
    <m/>
    <m/>
    <s v="Γ΄"/>
    <n v="1"/>
    <s v="756/2"/>
    <d v="2018-11-29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11-29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3-15T00:00:00"/>
    <x v="1"/>
    <s v="ΔΙΕΥΘΥΝΣΗ Π.Ε. ΠΕΙΡΑΙΑ"/>
    <n v="28.180555555555557"/>
    <s v="22 - 30"/>
  </r>
  <r>
    <n v="99910279"/>
    <s v="Θ"/>
    <x v="2"/>
    <x v="2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85"/>
    <s v="ΙΔΙΩΤΙΚΟ ΝΗΠΙΑΓΩΓΕΙΟ - ΠΡΟΤΥΠΟ ΠΑΙΔΙΚΟ ΚΕΝΤΡΟ ΝΗΠΙΑΚΟΣ ΚΗΠ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1-03-03T00:00:00"/>
    <x v="1"/>
    <s v="ΔΙΕΥΘΥΝΣΗ Π.Ε. ΑΝΑΤ. ΘΕΣ/ΝΙΚΗΣ"/>
    <n v="28.213888888888889"/>
    <s v="22 - 30"/>
  </r>
  <r>
    <n v="99910280"/>
    <s v="Α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2-27T00:00:00"/>
    <x v="1"/>
    <s v="ΔΙΕΥΘΥΝΣΗ Π.Ε. ΠΕΙΡΑΙΑ"/>
    <n v="28.225000000000001"/>
    <s v="22 - 30"/>
  </r>
  <r>
    <n v="99910281"/>
    <s v="Θ"/>
    <x v="2"/>
    <x v="2"/>
    <m/>
    <m/>
    <s v="Γ΄"/>
    <n v="1"/>
    <n v="12932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65"/>
    <s v="ΙΔΙΩΤΙΚΟ ΝΗΠΙΑΓΩΓΕΙΟ -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2-16T00:00:00"/>
    <x v="1"/>
    <s v="ΔΙΕΥΘΥΝΣΗ Π.Ε. Δ΄ ΑΘΗΝΑΣ"/>
    <n v="28.255555555555556"/>
    <s v="22 - 30"/>
  </r>
  <r>
    <n v="99910282"/>
    <s v="Θ"/>
    <x v="2"/>
    <x v="2"/>
    <m/>
    <m/>
    <s v="Γ΄"/>
    <n v="1"/>
    <s v="8665-4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25"/>
    <s v="ΟΧΙ"/>
    <s v="ΟΧΙ"/>
    <s v="ΟΧΙ"/>
    <m/>
    <s v="ΟΧΙ"/>
    <m/>
    <d v="2018-09-01T00:00:00"/>
    <s v="Ιδιωτικά Σχολεία"/>
    <x v="2"/>
    <s v="7371003"/>
    <s v="ΙΔΙΩΤΙΚΟ ΝΗΠΙΑΓΩΓΕΙΟ ΞΑΝΘΗ - ΕΛΙΜΚΟ ΕΚΠΑΙΔΕΥΤΙΚΗ - ΠΟΛΙΤΙΣΤΙΚΗ-ΑΘΛΗΤΙΚΗ-ΤΟΥΡΙΣΤΙΚΗ ΑΝΩΝΥΜΗ ΕΤΑΙΡΕΙΑ"/>
    <s v="ΞΑΝΘΗΣ (Π.Ε.) 2018"/>
    <x v="21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91-02-11T00:00:00"/>
    <x v="1"/>
    <s v="ΔΙΕΥΘΥΝΣΗ Π.Ε. ΞΑΝΘΗΣ"/>
    <n v="28.269444444444446"/>
    <s v="22 - 30"/>
  </r>
  <r>
    <n v="99910283"/>
    <s v="Θ"/>
    <x v="1"/>
    <x v="1"/>
    <m/>
    <m/>
    <s v="Γ΄"/>
    <n v="1"/>
    <n v="6072"/>
    <d v="2018-09-11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8-09-11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1-02-08T00:00:00"/>
    <x v="1"/>
    <s v="ΔΙΕΥΘΥΝΣΗ Π.Ε. ΜΕΣΣΗΝΙΑΣ"/>
    <n v="28.277777777777779"/>
    <s v="22 - 30"/>
  </r>
  <r>
    <n v="99910284"/>
    <s v="Θ"/>
    <x v="1"/>
    <x v="1"/>
    <m/>
    <m/>
    <s v="Γ΄"/>
    <n v="1"/>
    <s v="Φ 17.2/570/10444/08-12-16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2-07T00:00:00"/>
    <x v="1"/>
    <s v="ΔΙΕΥΘΥΝΣΗ Π.Ε. Β΄ ΑΘΗΝΑΣ"/>
    <n v="28.280555555555555"/>
    <s v="22 - 30"/>
  </r>
  <r>
    <n v="99910285"/>
    <s v="Θ"/>
    <x v="1"/>
    <x v="1"/>
    <m/>
    <m/>
    <s v="Γ΄"/>
    <n v="1"/>
    <s v="Φ 17.2/201/7269/07-09-15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02-04T00:00:00"/>
    <x v="1"/>
    <s v="ΔΙΕΥΘΥΝΣΗ Π.Ε. Β΄ ΑΘΗΝΑΣ"/>
    <n v="28.288888888888888"/>
    <s v="22 - 30"/>
  </r>
  <r>
    <n v="99910286"/>
    <s v="Θ"/>
    <x v="1"/>
    <x v="1"/>
    <m/>
    <m/>
    <s v="Γ΄"/>
    <n v="1"/>
    <n v="9406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1-01-30T00:00:00"/>
    <x v="1"/>
    <s v="ΔΙΕΥΘΥΝΣΗ Π.Ε. ΛΑΡΙΣΑΣ"/>
    <n v="28.302777777777777"/>
    <s v="22 - 30"/>
  </r>
  <r>
    <n v="99910287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1-28T00:00:00"/>
    <x v="1"/>
    <s v="ΔΙΕΥΘΥΝΣΗ Π.Ε. Α΄ ΑΘΗΝΑΣ"/>
    <n v="28.308333333333334"/>
    <s v="22 - 30"/>
  </r>
  <r>
    <n v="99910288"/>
    <s v="Θ"/>
    <x v="1"/>
    <x v="1"/>
    <m/>
    <m/>
    <s v="Γ΄"/>
    <n v="1"/>
    <n v="1060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1-24T00:00:00"/>
    <x v="1"/>
    <s v="ΔΙΕΥΘΥΝΣΗ Π.Ε. Δ΄ ΑΘΗΝΑΣ"/>
    <n v="28.319444444444443"/>
    <s v="22 - 30"/>
  </r>
  <r>
    <n v="99910289"/>
    <s v="Θ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1-01-24T00:00:00"/>
    <x v="1"/>
    <s v="ΔΙΕΥΘΥΝΣΗ Π.Ε. ΚΟΡΙΝΘΙΑΣ"/>
    <n v="28.319444444444443"/>
    <s v="22 - 30"/>
  </r>
  <r>
    <n v="99910290"/>
    <s v="Θ"/>
    <x v="2"/>
    <x v="2"/>
    <m/>
    <m/>
    <s v="Γ΄"/>
    <n v="1"/>
    <s v="ΕΚΚΡΕΜΕΙ"/>
    <d v="2018-09-03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3T00:00:00"/>
    <s v="Ιδιωτικά Σχολεία"/>
    <x v="2"/>
    <s v="7052105"/>
    <s v="ΛΙΟΔΑΚΗ ΣΤΥΛΙΑΝΗ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1-01-21T00:00:00"/>
    <x v="1"/>
    <s v="ΔΙΕΥΘΥΝΣΗ Π.Ε. Β΄ ΑΘΗΝΑΣ"/>
    <n v="28.327777777777779"/>
    <s v="22 - 30"/>
  </r>
  <r>
    <n v="99910291"/>
    <s v="Θ"/>
    <x v="13"/>
    <x v="13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3"/>
    <s v="ΟΧΙ"/>
    <s v="ΟΧΙ"/>
    <s v="ΟΧΙ"/>
    <s v="ΟΧΙ"/>
    <s v="ΟΧΙ"/>
    <m/>
    <m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1-01-21T00:00:00"/>
    <x v="0"/>
    <s v="ΔΙΕΥΘΥΝΣΗ Δ.Ε. ΙΩΑΝΝΙΝΩΝ"/>
    <n v="28.327777777777779"/>
    <s v="22 - 30"/>
  </r>
  <r>
    <n v="99910292"/>
    <s v="Θ"/>
    <x v="1"/>
    <x v="1"/>
    <m/>
    <m/>
    <s v="Α΄"/>
    <n v="1"/>
    <s v="ΩΒΣΦ4653ΠΣ-4ΦΟ"/>
    <d v="2016-02-19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6-02-22T00:00:00"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1-01T00:00:00"/>
    <x v="1"/>
    <s v="ΔΙΕΥΘΥΝΣΗ Π.Ε. Β΄ ΑΘΗΝΑΣ"/>
    <n v="28.383333333333333"/>
    <s v="22 - 30"/>
  </r>
  <r>
    <n v="99910293"/>
    <s v="Θ"/>
    <x v="1"/>
    <x v="1"/>
    <m/>
    <m/>
    <s v="Γ΄"/>
    <n v="1"/>
    <s v="ΕΚΚΡΕΜΕΙ"/>
    <d v="2018-09-03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1-01-01T00:00:00"/>
    <x v="1"/>
    <s v="ΔΙΕΥΘΥΝΣΗ Π.Ε. Β΄ ΑΘΗΝΑΣ"/>
    <n v="28.383333333333333"/>
    <s v="22 - 30"/>
  </r>
  <r>
    <n v="99910294"/>
    <s v="Θ"/>
    <x v="1"/>
    <x v="1"/>
    <m/>
    <m/>
    <s v="Α΄"/>
    <n v="1"/>
    <s v="Ω2844653ΠΣ-ΠΥΔ"/>
    <d v="2016-03-07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6-03-07T00:00:00"/>
    <s v="Ιδιωτικά Σχολεία"/>
    <x v="1"/>
    <s v="7541026"/>
    <s v="ΙΔΙΩΤΙΚΟ ΔΗΜΟΤΙΚ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1-01-01T00:00:00"/>
    <x v="1"/>
    <s v="ΔΙΕΥΘΥΝΣΗ Π.Ε. ΠΕΙΡΑΙΑ"/>
    <n v="28.383333333333333"/>
    <s v="22 - 30"/>
  </r>
  <r>
    <n v="99910295"/>
    <s v="Θ"/>
    <x v="0"/>
    <x v="0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4"/>
    <s v="ΟΧΙ"/>
    <s v="ΟΧΙ"/>
    <s v="ΟΧΙ"/>
    <s v="ΟΧΙ"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90-12-28T00:00:00"/>
    <x v="1"/>
    <s v="ΔΙΕΥΘΥΝΣΗ Π.Ε. ΚΥΚΛΑΔΩΝ"/>
    <n v="28.394444444444446"/>
    <s v="22 - 30"/>
  </r>
  <r>
    <n v="99910296"/>
    <s v="Θ"/>
    <x v="0"/>
    <x v="0"/>
    <m/>
    <m/>
    <s v="Γ΄"/>
    <n v="1"/>
    <n v="21106"/>
    <d v="2018-09-01T00:00:00"/>
    <s v="Α΄ ΠΕΙΡΑΙΑ (Δ.Ε.) 2018"/>
    <s v="ΔΙΕΥΘΥΝΣΗ Δ.Ε. ΠΕΙΡΑΙΑ"/>
    <s v="ΠΕΡΙΦΕΡΕΙΑΚΗ Δ/ΝΣΗ Α/ΘΜΙΑΣ ΚΑΙ Β/ΘΜΙΑΣ ΕΚΠ/ΣΗΣ ΑΤΤΙΚΗΣ"/>
    <n v="3"/>
    <s v="ΟΧΙ"/>
    <s v="ΟΧΙ"/>
    <s v="ΟΧΙ"/>
    <s v="ΟΧΙ"/>
    <s v="ΟΧΙ"/>
    <m/>
    <d v="2018-09-01T00:00:00"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2-24T00:00:00"/>
    <x v="0"/>
    <s v="ΔΙΕΥΘΥΝΣΗ Δ.Ε. ΠΕΙΡΑΙΑ"/>
    <n v="28.405555555555555"/>
    <s v="22 - 30"/>
  </r>
  <r>
    <n v="99910297"/>
    <s v="Θ"/>
    <x v="18"/>
    <x v="1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2-22T00:00:00"/>
    <x v="0"/>
    <s v="ΔΙΕΥΘΥΝΣΗ Δ.Ε. Δ΄ ΑΘΗΝΑΣ"/>
    <n v="28.411111111111111"/>
    <s v="22 - 30"/>
  </r>
  <r>
    <n v="99910298"/>
    <s v="Θ"/>
    <x v="12"/>
    <x v="12"/>
    <m/>
    <m/>
    <s v="Γ΄"/>
    <n v="1"/>
    <s v="9504/28-9-2017"/>
    <d v="2018-09-01T00:00:00"/>
    <s v="ΑΧΑΪΑΣ (Π.Ε.) 2018"/>
    <s v="ΔΙΕΥΘΥΝΣΗ Π.Ε. ΑΧΑΪΑΣ"/>
    <s v="ΠΕΡΙΦΕΡΕΙΑΚΗ Δ/ΝΣΗ Α/ΘΜΙΑΣ ΚΑΙ Β/ΘΜΙΑΣ ΕΚΠ/ΣΗΣ ΔΥΤΙΚΗΣ ΕΛΛΑΔΑΣ"/>
    <n v="4"/>
    <s v="ΟΧΙ"/>
    <m/>
    <m/>
    <m/>
    <s v="ΟΧΙ"/>
    <m/>
    <d v="2018-09-01T00:00:00"/>
    <s v="Ιδιωτικά Σχολεία"/>
    <x v="1"/>
    <s v="7061004"/>
    <s v="ΙΔΙΩΤΙΚΟ ΔΗΜΟΤΙΚΟ ΠΑΤΡΑΣ ΕΚΠΑΙΔΕΥΤΗΡΙΑ ΑΝΑΓΕΝΝΗΣΗ ΙΚΕ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0-12-21T00:00:00"/>
    <x v="1"/>
    <s v="ΔΙΕΥΘΥΝΣΗ Π.Ε. ΑΧΑΪΑΣ"/>
    <n v="28.413888888888888"/>
    <s v="22 - 30"/>
  </r>
  <r>
    <n v="99910299"/>
    <s v="Θ"/>
    <x v="10"/>
    <x v="10"/>
    <m/>
    <m/>
    <s v="Γ΄"/>
    <n v="1"/>
    <n v="14177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12-21T00:00:00"/>
    <x v="0"/>
    <s v="ΔΙΕΥΘΥΝΣΗ Δ.Ε. ΑΝΑΤ. ΘΕΣ/ΝΙΚΗΣ"/>
    <n v="28.413888888888888"/>
    <s v="22 - 30"/>
  </r>
  <r>
    <n v="99910300"/>
    <s v="Θ"/>
    <x v="1"/>
    <x v="1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m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0-12-19T00:00:00"/>
    <x v="1"/>
    <s v="ΔΙΕΥΘΥΝΣΗ Π.Ε. ΙΩΑΝΝΙΝΩΝ"/>
    <n v="28.419444444444444"/>
    <s v="22 - 30"/>
  </r>
  <r>
    <n v="99910301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2-18T00:00:00"/>
    <x v="1"/>
    <s v="ΔΙΕΥΘΥΝΣΗ Π.Ε. Α΄ ΑΘΗΝΑΣ"/>
    <n v="28.422222222222221"/>
    <s v="22 - 30"/>
  </r>
  <r>
    <n v="99910302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0-12-14T00:00:00"/>
    <x v="1"/>
    <s v="ΔΙΕΥΘΥΝΣΗ Π.Ε. ΧΑΝΙΩΝ"/>
    <n v="28.433333333333334"/>
    <s v="22 - 30"/>
  </r>
  <r>
    <n v="99910303"/>
    <s v="Α"/>
    <x v="1"/>
    <x v="1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0-12-13T00:00:00"/>
    <x v="1"/>
    <s v="ΔΙΕΥΘΥΝΣΗ Π.Ε. ΙΩΑΝΝΙΝΩΝ"/>
    <n v="28.43611111111111"/>
    <s v="22 - 30"/>
  </r>
  <r>
    <n v="99910304"/>
    <s v="Θ"/>
    <x v="1"/>
    <x v="1"/>
    <m/>
    <m/>
    <s v="Γ΄"/>
    <n v="1"/>
    <d v="2016-09-2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12-11T00:00:00"/>
    <x v="1"/>
    <s v="ΔΙΕΥΘΥΝΣΗ Π.Ε. ΑΝΑΤ. ΘΕΣ/ΝΙΚΗΣ"/>
    <n v="28.441666666666666"/>
    <s v="22 - 30"/>
  </r>
  <r>
    <n v="99910305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2-06T00:00:00"/>
    <x v="1"/>
    <s v="ΔΙΕΥΘΥΝΣΗ Π.Ε. Δ΄ ΑΘΗΝΑΣ"/>
    <n v="28.455555555555556"/>
    <s v="22 - 30"/>
  </r>
  <r>
    <n v="99910306"/>
    <s v="Θ"/>
    <x v="1"/>
    <x v="1"/>
    <m/>
    <m/>
    <s v="Γ΄"/>
    <n v="1"/>
    <n v="1061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2-01T00:00:00"/>
    <x v="1"/>
    <s v="ΔΙΕΥΘΥΝΣΗ Π.Ε. Δ΄ ΑΘΗΝΑΣ"/>
    <n v="28.469444444444445"/>
    <s v="22 - 30"/>
  </r>
  <r>
    <n v="99910307"/>
    <s v="Θ"/>
    <x v="2"/>
    <x v="2"/>
    <m/>
    <m/>
    <s v="Γ΄"/>
    <n v="1"/>
    <n v="5014"/>
    <d v="2017-09-05T00:00:00"/>
    <s v="ΚΟΖΑΝΗΣ (Π.Ε.) 2018"/>
    <s v="ΔΙΕΥΘΥΝΣΗ Π.Ε. ΚΟΖΑΝΗΣ"/>
    <s v="ΠΕΡΙΦΕΡΕΙΑΚΗ Δ/ΝΣΗ Α/ΘΜΙΑΣ ΚΑΙ Β/ΘΜΙΑΣ ΕΚΠ/ΣΗΣ ΔΥΤΙΚΗΣ ΜΑΚΕΔΟΝΙΑΣ"/>
    <n v="25"/>
    <s v="ΟΧΙ"/>
    <m/>
    <m/>
    <m/>
    <s v="ΟΧΙ"/>
    <m/>
    <d v="2017-09-05T00:00:00"/>
    <s v="Ιδιωτικά Σχολεία"/>
    <x v="2"/>
    <s v="7271015"/>
    <s v="ΙΔΙΩΤΙΚΟ ΝΗΠΙΑΓΩΓΕΙΟ ΠΤΟΛΕΜΑΪΔΑ - ΚΟΥΤΡΟΥΔΗ ΓΕΩΡΓΙΑ"/>
    <s v="ΚΟΖΑΝΗΣ (Π.Ε.) 2018"/>
    <x v="24"/>
    <s v="ΠΕΡΙΦΕΡΕΙΑΚΗ Δ/ΝΣΗ Α/ΘΜΙΑΣ ΚΑΙ Β/ΘΜΙΑΣ ΕΚΠ/ΣΗΣ ΔΥΤΙΚΗΣ ΜΑΚΕΔΟΝΙΑΣ"/>
    <s v="Ιδιωτικού Δικαίου Ορισμένου Χρόνου (Ι.Δ.Ο.Χ.)"/>
    <s v="Τοποθέτηση σε Ιδιωτική Εκπαίδευση"/>
    <d v="1990-12-01T00:00:00"/>
    <x v="1"/>
    <s v="ΔΙΕΥΘΥΝΣΗ Π.Ε. ΚΟΖΑΝΗΣ"/>
    <n v="28.469444444444445"/>
    <s v="22 - 30"/>
  </r>
  <r>
    <n v="99910308"/>
    <s v="Θ"/>
    <x v="12"/>
    <x v="12"/>
    <m/>
    <m/>
    <s v="Γ΄"/>
    <n v="1"/>
    <n v="16633"/>
    <d v="2018-09-18T00:00:00"/>
    <s v="Δ΄ ΑΘΗΝΑΣ (Δ.Ε.) 2018"/>
    <s v="ΔΙΕΥΘΥΝΣΗ Δ.Ε. Δ΄ ΑΘΗΝΑΣ"/>
    <s v="ΠΕΡΙΦΕΡΕΙΑΚΗ Δ/ΝΣΗ Α/ΘΜΙΑΣ ΚΑΙ Β/ΘΜΙΑΣ ΕΚΠ/ΣΗΣ ΑΤΤΙΚΗΣ"/>
    <n v="3"/>
    <s v="ΟΧΙ"/>
    <s v="ΟΧΙ"/>
    <s v="ΟΧΙ"/>
    <m/>
    <s v="ΟΧΙ"/>
    <m/>
    <d v="2018-09-18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1-20T00:00:00"/>
    <x v="0"/>
    <s v="ΔΙΕΥΘΥΝΣΗ Δ.Ε. Δ΄ ΑΘΗΝΑΣ"/>
    <n v="28.5"/>
    <s v="22 - 30"/>
  </r>
  <r>
    <n v="99910309"/>
    <s v="Θ"/>
    <x v="7"/>
    <x v="7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11-17T00:00:00"/>
    <x v="1"/>
    <s v="ΔΙΕΥΘΥΝΣΗ Π.Ε. ΛΑΡΙΣΑΣ"/>
    <n v="28.508333333333333"/>
    <s v="22 - 30"/>
  </r>
  <r>
    <n v="99910310"/>
    <s v="Θ"/>
    <x v="7"/>
    <x v="7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11-17T00:00:00"/>
    <x v="1"/>
    <s v="ΔΙΕΥΘΥΝΣΗ Π.Ε. ΑΝΑΤ. ΘΕΣ/ΝΙΚΗΣ"/>
    <n v="28.508333333333333"/>
    <s v="22 - 30"/>
  </r>
  <r>
    <n v="99910311"/>
    <s v="Θ"/>
    <x v="2"/>
    <x v="2"/>
    <m/>
    <m/>
    <s v="Γ΄"/>
    <n v="1"/>
    <n v="5"/>
    <d v="2018-09-03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3T00:00:00"/>
    <s v="Ιδιωτικά Σχολεία"/>
    <x v="2"/>
    <s v="7052193"/>
    <s v="ΣΥΣΤΕΓΑΖΟΜΕΝΟ ΝΗΠΙΑΓΩΓΕΙΟ - ΜΟΣΧΟΥ ΒΑΣΙΛΙΚΗ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1-16T00:00:00"/>
    <x v="1"/>
    <s v="ΔΙΕΥΘΥΝΣΗ Π.Ε. Β΄ ΑΘΗΝΑΣ"/>
    <n v="28.511111111111113"/>
    <s v="22 - 30"/>
  </r>
  <r>
    <n v="99910312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1-10T00:00:00"/>
    <x v="0"/>
    <s v="ΔΙΕΥΘΥΝΣΗ Δ.Ε. Β΄ ΑΘΗΝΑΣ"/>
    <n v="28.527777777777779"/>
    <s v="22 - 30"/>
  </r>
  <r>
    <n v="99910313"/>
    <s v="Θ"/>
    <x v="2"/>
    <x v="2"/>
    <m/>
    <m/>
    <s v="Γ΄"/>
    <n v="1"/>
    <s v="61ΗΔ4653ΠΣ-06Ψ"/>
    <d v="2018-09-03T00:00:00"/>
    <s v="ΚΑΣΤΟΡΙΑΣ (Π.Ε.) 2018"/>
    <s v="ΔΙΕΥΘΥΝΣΗ Π.Ε. ΚΑΣΤΟΡΙΑΣ"/>
    <s v="ΠΕΡΙΦΕΡΕΙΑΚΗ Δ/ΝΣΗ Α/ΘΜΙΑΣ ΚΑΙ Β/ΘΜΙΑΣ ΕΚΠ/ΣΗΣ ΔΥΤΙΚΗΣ ΜΑΚΕΔΟΝΙΑΣ"/>
    <n v="25"/>
    <s v="ΟΧΙ"/>
    <m/>
    <m/>
    <m/>
    <s v="ΟΧΙ"/>
    <m/>
    <d v="2018-09-03T00:00:00"/>
    <s v="Ιδιωτικά Σχολεία"/>
    <x v="2"/>
    <s v="7231001"/>
    <s v="Ιδιωτικό Συστεγαζόμενο Νηπιαγωγείο - ΜΙΚΡΟΙ ΕΞΕΡΕΥΝΗΤΕΣ"/>
    <s v="ΚΑΣΤΟΡΙΑΣ (Π.Ε.) 2018"/>
    <x v="51"/>
    <s v="ΠΕΡΙΦΕΡΕΙΑΚΗ Δ/ΝΣΗ Α/ΘΜΙΑΣ ΚΑΙ Β/ΘΜΙΑΣ ΕΚΠ/ΣΗΣ ΔΥΤΙΚΗΣ ΜΑΚΕΔΟΝΙΑΣ"/>
    <s v="Ιδιωτικού Δικαίου Ορισμένου Χρόνου (Ι.Δ.Ο.Χ.)"/>
    <s v="Τοποθέτηση σε Ιδιωτική Εκπαίδευση"/>
    <d v="1990-11-10T00:00:00"/>
    <x v="1"/>
    <s v="ΔΙΕΥΘΥΝΣΗ Π.Ε. ΚΑΣΤΟΡΙΑΣ"/>
    <n v="28.527777777777779"/>
    <s v="22 - 30"/>
  </r>
  <r>
    <n v="99910314"/>
    <s v="Θ"/>
    <x v="2"/>
    <x v="2"/>
    <m/>
    <m/>
    <s v="Γ΄"/>
    <n v="1"/>
    <n v="1161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49"/>
    <s v="Παιδαγωγικά Εργαστήρια Ε.Π.Ε.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1-09T00:00:00"/>
    <x v="1"/>
    <s v="ΔΙΕΥΘΥΝΣΗ Π.Ε. Δ΄ ΑΘΗΝΑΣ"/>
    <n v="28.530555555555555"/>
    <s v="22 - 30"/>
  </r>
  <r>
    <n v="99910315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0-11-09T00:00:00"/>
    <x v="1"/>
    <s v="ΔΙΕΥΘΥΝΣΗ Π.Ε. ΧΑΝΙΩΝ"/>
    <n v="28.530555555555555"/>
    <s v="22 - 30"/>
  </r>
  <r>
    <n v="99910316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1-01T00:00:00"/>
    <x v="0"/>
    <s v="ΔΙΕΥΘΥΝΣΗ Δ.Ε. Β΄ ΑΘΗΝΑΣ"/>
    <n v="28.552777777777777"/>
    <s v="22 - 30"/>
  </r>
  <r>
    <n v="99910317"/>
    <s v="Θ"/>
    <x v="2"/>
    <x v="2"/>
    <m/>
    <m/>
    <s v="Γ΄"/>
    <n v="1"/>
    <n v="57"/>
    <d v="2018-09-04T00:00:00"/>
    <s v="ΑΧΑΪΑΣ (Π.Ε.) 2018"/>
    <s v="ΔΙΕΥΘΥΝΣΗ Π.Ε. ΑΧΑΪΑΣ"/>
    <s v="ΠΕΡΙΦΕΡΕΙΑΚΗ Δ/ΝΣΗ Α/ΘΜΙΑΣ ΚΑΙ Β/ΘΜΙΑΣ ΕΚΠ/ΣΗΣ ΔΥΤΙΚΗΣ ΕΛΛΑΔΑΣ"/>
    <n v="25"/>
    <s v="ΟΧΙ"/>
    <m/>
    <m/>
    <m/>
    <s v="ΟΧΙ"/>
    <m/>
    <d v="2018-09-04T00:00:00"/>
    <s v="Ιδιωτικά Σχολεία"/>
    <x v="2"/>
    <s v="7061013"/>
    <s v="ΙΔΙΩΤΙΚΟ ΝΗΠΙΑΓΩΓΕΙΟ ΠΛΑΤΑΝΙ ΡΙΟΥ - ΑΡΣΑΚΕΙΟ ΝΗΠΙΑΓΩΓΕΙΟ ΠΑΤΡΩΝ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0-10-29T00:00:00"/>
    <x v="1"/>
    <s v="ΔΙΕΥΘΥΝΣΗ Π.Ε. ΑΧΑΪΑΣ"/>
    <n v="28.56111111111111"/>
    <s v="22 - 30"/>
  </r>
  <r>
    <n v="99910318"/>
    <s v="Θ"/>
    <x v="1"/>
    <x v="1"/>
    <m/>
    <m/>
    <s v="Β΄"/>
    <n v="2"/>
    <m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4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27T00:00:00"/>
    <x v="1"/>
    <s v="ΔΙΕΥΘΥΝΣΗ Π.Ε. ΑΝΑΤΟΛΙΚΗΣ ΑΤΤΙΚΗΣ"/>
    <n v="28.566666666666666"/>
    <s v="22 - 30"/>
  </r>
  <r>
    <n v="99910319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23T00:00:00"/>
    <x v="1"/>
    <s v="ΔΙΕΥΘΥΝΣΗ Π.Ε. Δ΄ ΑΘΗΝΑΣ"/>
    <n v="28.577777777777779"/>
    <s v="22 - 30"/>
  </r>
  <r>
    <n v="99910320"/>
    <s v="Θ"/>
    <x v="1"/>
    <x v="1"/>
    <m/>
    <m/>
    <s v="Γ΄"/>
    <n v="1"/>
    <n v="1159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8"/>
    <s v="ΙΔΙΩΤΙΚΟ ΔΗΜΟΤΙΚΟ - ΕΥΡΩΠΑΪΚΟ ΠΡΟΤΥΠ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0-19T00:00:00"/>
    <x v="1"/>
    <s v="ΔΙΕΥΘΥΝΣΗ Π.Ε. Δ΄ ΑΘΗΝΑΣ"/>
    <n v="28.588888888888889"/>
    <s v="22 - 30"/>
  </r>
  <r>
    <n v="99910321"/>
    <s v="Θ"/>
    <x v="1"/>
    <x v="1"/>
    <m/>
    <m/>
    <s v="Γ΄"/>
    <n v="1"/>
    <n v="1291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10-18T00:00:00"/>
    <x v="1"/>
    <s v="ΔΙΕΥΘΥΝΣΗ Π.Ε. Δ΄ ΑΘΗΝΑΣ"/>
    <n v="28.591666666666665"/>
    <s v="22 - 30"/>
  </r>
  <r>
    <n v="99910322"/>
    <s v="Α"/>
    <x v="19"/>
    <x v="19"/>
    <m/>
    <m/>
    <s v="Γ΄"/>
    <n v="1"/>
    <s v="160050/01-09-2018"/>
    <d v="2018-09-01T00:00:00"/>
    <s v="ΛΑΡΙΣΑΣ (Δ.Ε.) 2018"/>
    <s v="ΔΙΕΥΘΥΝΣΗ Δ.Ε. ΛΑΡΙΣΑΣ"/>
    <s v="ΠΕΡΙΦΕΡΕΙΑΚΗ Δ/ΝΣΗ Α/ΘΜΙΑΣ ΚΑΙ Β/ΘΜΙΑΣ ΕΚΠ/ΣΗΣ ΘΕΣΣΑΛΙΑΣ"/>
    <n v="12"/>
    <s v="ΟΧΙ"/>
    <s v="ΟΧΙ"/>
    <s v="ΟΧΙ"/>
    <s v="ΟΧΙ"/>
    <s v="ΟΧΙ"/>
    <m/>
    <d v="2018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10-15T00:00:00"/>
    <x v="0"/>
    <s v="ΔΙΕΥΘΥΝΣΗ Δ.Ε. ΛΑΡΙΣΑΣ"/>
    <n v="28.6"/>
    <s v="22 - 30"/>
  </r>
  <r>
    <n v="99910323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14T00:00:00"/>
    <x v="1"/>
    <s v="ΔΙΕΥΘΥΝΣΗ Π.Ε. Α΄ ΑΘΗΝΑΣ"/>
    <n v="28.602777777777778"/>
    <s v="22 - 30"/>
  </r>
  <r>
    <n v="99910324"/>
    <s v="Θ"/>
    <x v="2"/>
    <x v="2"/>
    <m/>
    <m/>
    <s v="Γ΄"/>
    <n v="1"/>
    <n v="13180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85"/>
    <s v="2ο Ιδιωτικό Στεγαζόμενο Νηπιαγωγείο Εκπαιδευτηρίων Λαμπίρη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10-13T00:00:00"/>
    <x v="1"/>
    <s v="ΔΙΕΥΘΥΝΣΗ Π.Ε. Δ΄ ΑΘΗΝΑΣ"/>
    <n v="28.605555555555554"/>
    <s v="22 - 30"/>
  </r>
  <r>
    <n v="99910325"/>
    <s v="Θ"/>
    <x v="1"/>
    <x v="1"/>
    <m/>
    <m/>
    <s v="Γ΄"/>
    <n v="1"/>
    <s v="ΑΠ1788284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10-10T00:00:00"/>
    <x v="1"/>
    <s v="ΔΙΕΥΘΥΝΣΗ Π.Ε. ΠΙΕΡΙΑΣ"/>
    <n v="28.613888888888887"/>
    <s v="22 - 30"/>
  </r>
  <r>
    <n v="99910326"/>
    <s v="Θ"/>
    <x v="1"/>
    <x v="1"/>
    <m/>
    <m/>
    <s v="Γ΄"/>
    <n v="1"/>
    <n v="107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0"/>
    <s v="ΙΔΙΩΤΙΚΟ ΔΗΜΟΤΙΚΟ ΛΑΡΙΣΑ - Α.ΔΡΑΚΟΣ-Γ. ΜΑΛΑΧΤΑΡΗ ΟΕ ΕΛΛΗΝΙΚΑ ΕΚΠΑΙΔΕΥΤΗΡΙ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10-09T00:00:00"/>
    <x v="1"/>
    <s v="ΔΙΕΥΘΥΝΣΗ Π.Ε. ΛΑΡΙΣΑΣ"/>
    <n v="28.616666666666667"/>
    <s v="22 - 30"/>
  </r>
  <r>
    <n v="99910327"/>
    <s v="Θ"/>
    <x v="1"/>
    <x v="1"/>
    <m/>
    <m/>
    <s v="Γ΄"/>
    <n v="1"/>
    <s v="ΩΨ5Κ4653ΠΣ-929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08T00:00:00"/>
    <x v="1"/>
    <s v="ΔΙΕΥΘΥΝΣΗ Π.Ε. Δ΄ ΑΘΗΝΑΣ"/>
    <n v="28.619444444444444"/>
    <s v="22 - 30"/>
  </r>
  <r>
    <n v="99910328"/>
    <s v="Θ"/>
    <x v="1"/>
    <x v="1"/>
    <m/>
    <m/>
    <s v="Γ΄"/>
    <n v="1"/>
    <n v="5009"/>
    <d v="2018-09-01T00:00:00"/>
    <s v="ΤΡΙΚΑΛΩΝ (Π.Ε.) 2018"/>
    <s v="ΔΙΕΥΘΥΝΣΗ Π.Ε. ΤΡΙΚΑΛΩΝ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10-08T00:00:00"/>
    <x v="1"/>
    <s v="ΔΙΕΥΘΥΝΣΗ Π.Ε. ΤΡΙΚΑΛΩΝ"/>
    <n v="28.619444444444444"/>
    <s v="22 - 30"/>
  </r>
  <r>
    <n v="99910329"/>
    <s v="Θ"/>
    <x v="2"/>
    <x v="2"/>
    <m/>
    <m/>
    <s v="Γ΄"/>
    <n v="1"/>
    <s v="Φ.17.2/575/9788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2219"/>
    <s v="ΙΔΙΩΤΙΚΟ ΣΥΣΤΕΓΑΖΟΜΕΝΟ ΝΗΠΙΑΓΩΓΕΙΟ - Ο ΑΓΙΟΣ ΚΗΡΥΚ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05T00:00:00"/>
    <x v="1"/>
    <s v="ΔΙΕΥΘΥΝΣΗ Π.Ε. Β΄ ΑΘΗΝΑΣ"/>
    <n v="28.627777777777776"/>
    <s v="22 - 30"/>
  </r>
  <r>
    <n v="99910330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02T00:00:00"/>
    <x v="1"/>
    <s v="ΔΙΕΥΘΥΝΣΗ Π.Ε. Β΄ ΑΘΗΝΑΣ"/>
    <n v="28.636111111111113"/>
    <s v="22 - 30"/>
  </r>
  <r>
    <n v="99910331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10-02T00:00:00"/>
    <x v="1"/>
    <s v="ΔΙΕΥΘΥΝΣΗ Π.Ε. Β΄ ΑΘΗΝΑΣ"/>
    <n v="28.636111111111113"/>
    <s v="22 - 30"/>
  </r>
  <r>
    <n v="99910332"/>
    <s v="Α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9-21T00:00:00"/>
    <x v="1"/>
    <s v="ΔΙΕΥΘΥΝΣΗ Π.Ε. Α΄ ΑΘΗΝΑΣ"/>
    <n v="28.666666666666668"/>
    <s v="22 - 30"/>
  </r>
  <r>
    <n v="99910333"/>
    <s v="Α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9-10T00:00:00"/>
    <x v="1"/>
    <s v="ΔΙΕΥΘΥΝΣΗ Π.Ε. Β΄ ΑΘΗΝΑΣ"/>
    <n v="28.697222222222223"/>
    <s v="22 - 30"/>
  </r>
  <r>
    <n v="99910334"/>
    <s v="Θ"/>
    <x v="2"/>
    <x v="2"/>
    <m/>
    <m/>
    <s v="Α΄"/>
    <n v="1"/>
    <m/>
    <m/>
    <s v="ΛΑΚΩΝΙΑΣ (Π.Ε.) 2018"/>
    <s v="ΔΙΕΥΘΥΝΣΗ Π.Ε. ΛΑΚΩΝ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301003"/>
    <s v="ΙΔΙΩΤΙΚΟ ΝΗΠΙΑΓΩΓΕΙΟ ΣΠΑΡΤΗ - ΔΡΟΣΟΣΤΑΛΙΤΣΕΣ"/>
    <s v="ΛΑΚΩΝΙΑΣ (Π.Ε.) 2018"/>
    <x v="5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0-09-10T00:00:00"/>
    <x v="1"/>
    <s v="ΔΙΕΥΘΥΝΣΗ Π.Ε. ΛΑΚΩΝΙΑΣ"/>
    <n v="28.697222222222223"/>
    <s v="22 - 30"/>
  </r>
  <r>
    <n v="9991033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9-06T00:00:00"/>
    <x v="1"/>
    <s v="ΔΙΕΥΘΥΝΣΗ Π.Ε. Β΄ ΑΘΗΝΑΣ"/>
    <n v="28.708333333333332"/>
    <s v="22 - 30"/>
  </r>
  <r>
    <n v="99910336"/>
    <s v="Θ"/>
    <x v="0"/>
    <x v="0"/>
    <m/>
    <m/>
    <s v="Γ΄"/>
    <n v="1"/>
    <n v="142765886"/>
    <d v="2017-09-27T00:00:00"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s v="ΟΧΙ"/>
    <s v="ΟΧΙ"/>
    <m/>
    <d v="2017-09-27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9-05T00:00:00"/>
    <x v="0"/>
    <s v="ΔΙΕΥΘΥΝΣΗ Δ.Ε. ΠΕΙΡΑΙΑ"/>
    <n v="28.711111111111112"/>
    <s v="22 - 30"/>
  </r>
  <r>
    <n v="99910337"/>
    <s v="Θ"/>
    <x v="2"/>
    <x v="2"/>
    <m/>
    <m/>
    <s v="Γ΄"/>
    <n v="1"/>
    <s v="23915/01-10-2018"/>
    <d v="2018-09-1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12T00:00:00"/>
    <s v="Ιδιωτικά Σχολεία"/>
    <x v="2"/>
    <s v="7191041"/>
    <s v="ΙΔΙΩΤΙΚΟ ΝΗΠΙΑΓΩΓΕΙΟ ΚΑΛΑΜΑΡΙΑ - ΜΟΝΤΕΣΣΟΡΙΑΝΗ ΣΧΟΛΗ ΖΑΦΡΑΝ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9-04T00:00:00"/>
    <x v="1"/>
    <s v="ΔΙΕΥΘΥΝΣΗ Π.Ε. ΑΝΑΤ. ΘΕΣ/ΝΙΚΗΣ"/>
    <n v="28.713888888888889"/>
    <s v="22 - 30"/>
  </r>
  <r>
    <n v="99910338"/>
    <s v="Θ"/>
    <x v="1"/>
    <x v="1"/>
    <m/>
    <m/>
    <s v="Γ΄"/>
    <n v="1"/>
    <n v="20319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8-26T00:00:00"/>
    <x v="1"/>
    <s v="ΔΙΕΥΘΥΝΣΗ Π.Ε. Δ΄ ΑΘΗΝΑΣ"/>
    <n v="28.738888888888887"/>
    <s v="22 - 30"/>
  </r>
  <r>
    <n v="99910339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8-25T00:00:00"/>
    <x v="0"/>
    <s v="ΔΙΕΥΘΥΝΣΗ Δ.Ε. Γ΄ ΑΘΗΝΑΣ"/>
    <n v="28.741666666666667"/>
    <s v="22 - 30"/>
  </r>
  <r>
    <n v="99910340"/>
    <s v="Θ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0-08-23T00:00:00"/>
    <x v="1"/>
    <s v="ΔΙΕΥΘΥΝΣΗ Π.Ε. ΚΟΡΙΝΘΙΑΣ"/>
    <n v="28.747222222222224"/>
    <s v="22 - 30"/>
  </r>
  <r>
    <n v="99910341"/>
    <s v="Α"/>
    <x v="15"/>
    <x v="15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0-08-21T00:00:00"/>
    <x v="0"/>
    <s v="ΔΙΕΥΘΥΝΣΗ Δ.Ε. ΙΩΑΝΝΙΝΩΝ"/>
    <n v="28.752777777777776"/>
    <s v="22 - 30"/>
  </r>
  <r>
    <n v="99910342"/>
    <s v="Θ"/>
    <x v="2"/>
    <x v="2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41083"/>
    <s v="ΣΥΣΤΕΓΑΖΟΜΕΝΟ ΙΔΙΩΤΙΚΟ ΝΗΠΙΑΓΩΓΕΙΟ - ΣΙΜΠΑ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8-20T00:00:00"/>
    <x v="1"/>
    <s v="ΔΙΕΥΘΥΝΣΗ Π.Ε. ΠΕΙΡΑΙΑ"/>
    <n v="28.755555555555556"/>
    <s v="22 - 30"/>
  </r>
  <r>
    <n v="99910343"/>
    <s v="Θ"/>
    <x v="2"/>
    <x v="2"/>
    <m/>
    <m/>
    <s v="Γ΄"/>
    <n v="1"/>
    <n v="10848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m/>
    <m/>
    <m/>
    <s v="ΟΧΙ"/>
    <m/>
    <d v="2018-09-06T00:00:00"/>
    <s v="Ιδιωτικά Σχολεία"/>
    <x v="2"/>
    <s v="7192021"/>
    <s v="ΙΔΙΩΤΙΚΟ ΝΗΠΙΑΓΩΓΕΙΟ ΩΡΑΙΟΚΑΣΤΡΟ ΘΕΣΣΑΛΟΝΙΚΗΣ - Κ. ΑΝΔΡΕΑΔΗΣ Α.Ε.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8-10T00:00:00"/>
    <x v="1"/>
    <s v="ΔΙΕΥΘΥΝΣΗ Π.Ε. ΔΥΤ. ΘΕΣ/ΝΙΚΗΣ"/>
    <n v="28.783333333333335"/>
    <s v="22 - 30"/>
  </r>
  <r>
    <n v="99910344"/>
    <s v="Θ"/>
    <x v="2"/>
    <x v="2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19"/>
    <s v="Ιδιωτικό νηπιαγωγείο THE ZOO CLUB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8-09T00:00:00"/>
    <x v="1"/>
    <s v="ΔΙΕΥΘΥΝΣΗ Π.Ε. ΑΝΑΤ. ΘΕΣ/ΝΙΚΗΣ"/>
    <n v="28.786111111111111"/>
    <s v="22 - 30"/>
  </r>
  <r>
    <n v="99910345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7-28T00:00:00"/>
    <x v="1"/>
    <s v="ΔΙΕΥΘΥΝΣΗ Π.Ε. Β΄ ΑΘΗΝΑΣ"/>
    <n v="28.819444444444443"/>
    <s v="22 - 30"/>
  </r>
  <r>
    <n v="99910346"/>
    <s v="Θ"/>
    <x v="2"/>
    <x v="2"/>
    <m/>
    <m/>
    <s v="Γ΄"/>
    <n v="1"/>
    <n v="1587839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125"/>
    <s v="ΝΗΠΙΑΓΩΓΕΙΟ Κ. ΠΑΠΠΑ &amp; ΣΙΑ Ο.Ε. (Κ. ΠΑΠΠΑ &amp; ΣΙΑ Ο.Ε.)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7-21T00:00:00"/>
    <x v="1"/>
    <s v="ΔΙΕΥΘΥΝΣΗ Π.Ε. Β΄ ΑΘΗΝΑΣ"/>
    <n v="28.838888888888889"/>
    <s v="22 - 30"/>
  </r>
  <r>
    <n v="99910347"/>
    <s v="Θ"/>
    <x v="1"/>
    <x v="1"/>
    <m/>
    <m/>
    <s v="Γ΄"/>
    <n v="1"/>
    <n v="943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07-21T00:00:00"/>
    <x v="1"/>
    <s v="ΔΙΕΥΘΥΝΣΗ Π.Ε. ΛΑΡΙΣΑΣ"/>
    <n v="28.838888888888889"/>
    <s v="22 - 30"/>
  </r>
  <r>
    <n v="99910348"/>
    <s v="Θ"/>
    <x v="3"/>
    <x v="3"/>
    <m/>
    <m/>
    <s v="Γ΄"/>
    <n v="1"/>
    <n v="18457"/>
    <d v="2018-09-10T00:00:00"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m/>
    <s v="ΟΧΙ"/>
    <m/>
    <d v="2018-09-10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07-20T00:00:00"/>
    <x v="0"/>
    <s v="ΔΙΕΥΘΥΝΣΗ Δ.Ε. ΠΕΙΡΑΙΑ"/>
    <n v="28.841666666666665"/>
    <s v="22 - 30"/>
  </r>
  <r>
    <n v="99910349"/>
    <s v="Α"/>
    <x v="5"/>
    <x v="5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0-07-18T00:00:00"/>
    <x v="0"/>
    <s v="ΔΙΕΥΘΥΝΣΗ Δ.Ε. ΚΟΡΙΝΘΙΑΣ"/>
    <n v="28.847222222222221"/>
    <s v="22 - 30"/>
  </r>
  <r>
    <n v="99910350"/>
    <s v="Θ"/>
    <x v="1"/>
    <x v="1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90-07-06T00:00:00"/>
    <x v="1"/>
    <s v="ΔΙΕΥΘΥΝΣΗ Π.Ε. ΙΩΑΝΝΙΝΩΝ"/>
    <n v="28.880555555555556"/>
    <s v="22 - 30"/>
  </r>
  <r>
    <n v="99910351"/>
    <s v="Θ"/>
    <x v="1"/>
    <x v="1"/>
    <m/>
    <m/>
    <s v="Γ΄"/>
    <n v="1"/>
    <s v="ΩΣΥΗ4653ΠΣ-Ζ0Ζ"/>
    <d v="2016-01-27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6-01-28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7-02T00:00:00"/>
    <x v="1"/>
    <s v="ΔΙΕΥΘΥΝΣΗ Π.Ε. Δ΄ ΑΘΗΝΑΣ"/>
    <n v="28.891666666666666"/>
    <s v="22 - 30"/>
  </r>
  <r>
    <n v="99910352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07-02T00:00:00"/>
    <x v="1"/>
    <s v="ΔΙΕΥΘΥΝΣΗ Π.Ε. ΑΝΑΤ. ΘΕΣ/ΝΙΚΗΣ"/>
    <n v="28.891666666666666"/>
    <s v="22 - 30"/>
  </r>
  <r>
    <n v="99910353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6-30T00:00:00"/>
    <x v="0"/>
    <s v="ΔΙΕΥΘΥΝΣΗ Δ.Ε. Β΄ ΑΘΗΝΑΣ"/>
    <n v="28.897222222222222"/>
    <s v="22 - 30"/>
  </r>
  <r>
    <n v="99910354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06-29T00:00:00"/>
    <x v="1"/>
    <s v="ΔΙΕΥΘΥΝΣΗ Π.Ε. ΑΝΑΤ. ΘΕΣ/ΝΙΚΗΣ"/>
    <n v="28.9"/>
    <s v="22 - 30"/>
  </r>
  <r>
    <n v="99910355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06-20T00:00:00"/>
    <x v="1"/>
    <s v="ΔΙΕΥΘΥΝΣΗ Π.Ε. Β΄ ΑΘΗΝΑΣ"/>
    <n v="28.925000000000001"/>
    <s v="22 - 30"/>
  </r>
  <r>
    <n v="99910356"/>
    <s v="Θ"/>
    <x v="1"/>
    <x v="1"/>
    <m/>
    <m/>
    <s v="Β΄"/>
    <n v="2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6-15T00:00:00"/>
    <x v="1"/>
    <s v="ΔΙΕΥΘΥΝΣΗ Π.Ε. Δ΄ ΑΘΗΝΑΣ"/>
    <n v="28.93888888888889"/>
    <s v="22 - 30"/>
  </r>
  <r>
    <n v="99910357"/>
    <s v="Θ"/>
    <x v="2"/>
    <x v="2"/>
    <m/>
    <m/>
    <s v="Γ΄"/>
    <n v="1"/>
    <n v="6539"/>
    <d v="2018-09-03T00:00:00"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d v="2018-09-03T00:00:00"/>
    <s v="Ιδιωτικά Σχολεία"/>
    <x v="2"/>
    <s v="7501009"/>
    <s v="ΙΔΙΩΤΙΚΟ ΣΥΣΤΕΓΑΖΟΜΕΝΟ ΝΗΠΙΑΓΩΓΕΙΟ - ΤΑ ΖΑΒΟΛΑΚΙΑ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90-06-14T00:00:00"/>
    <x v="1"/>
    <s v="ΔΙΕΥΘΥΝΣΗ Π.Ε. ΧΑΝΙΩΝ"/>
    <n v="28.941666666666666"/>
    <s v="22 - 30"/>
  </r>
  <r>
    <n v="99910358"/>
    <s v="Θ"/>
    <x v="1"/>
    <x v="1"/>
    <m/>
    <m/>
    <s v="Γ΄"/>
    <n v="1"/>
    <n v="9345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06-12T00:00:00"/>
    <x v="1"/>
    <s v="ΔΙΕΥΘΥΝΣΗ Π.Ε. ΛΑΡΙΣΑΣ"/>
    <n v="28.947222222222223"/>
    <s v="22 - 30"/>
  </r>
  <r>
    <n v="99910359"/>
    <s v="Θ"/>
    <x v="1"/>
    <x v="1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0-05-31T00:00:00"/>
    <x v="1"/>
    <s v="ΔΙΕΥΘΥΝΣΗ Π.Ε. ΜΕΣΣΗΝΙΑΣ"/>
    <n v="28.980555555555554"/>
    <s v="22 - 30"/>
  </r>
  <r>
    <n v="99910360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5-28T00:00:00"/>
    <x v="1"/>
    <s v="ΔΙΕΥΘΥΝΣΗ Π.Ε. ΠΕΙΡΑΙΑ"/>
    <n v="28.988888888888887"/>
    <s v="22 - 30"/>
  </r>
  <r>
    <n v="99910361"/>
    <s v="Θ"/>
    <x v="2"/>
    <x v="2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13"/>
    <s v="Iδωτικό νηπιαγωγείο &quot;Μητέρα ΙΙ&quot; 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5-28T00:00:00"/>
    <x v="1"/>
    <s v="ΔΙΕΥΘΥΝΣΗ Π.Ε. ΑΝΑΤ. ΘΕΣ/ΝΙΚΗΣ"/>
    <n v="28.988888888888887"/>
    <s v="22 - 30"/>
  </r>
  <r>
    <n v="99910362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90-05-22T00:00:00"/>
    <x v="1"/>
    <s v="ΔΙΕΥΘΥΝΣΗ Π.Ε. Α΄ ΑΘΗΝΑΣ"/>
    <n v="29.005555555555556"/>
    <s v="22 - 30"/>
  </r>
  <r>
    <n v="99910363"/>
    <s v="Θ"/>
    <x v="2"/>
    <x v="2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m/>
    <s v="ΟΧΙ"/>
    <m/>
    <m/>
    <s v="Ιδιωτικά Σχολεία"/>
    <x v="2"/>
    <s v="7281015"/>
    <s v="ΙΔΙΩΤΙΚΟ ΝΗΠΙΑΓΩΓΕΙΟ ΓΚΟΥΝΤΙΔΗ-ΔΕΔΕ &quot;ΤΟ ΣΟΚΟΛΑΤΕΝΙΟ ΣΠΙΤΙ&quot;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0-05-12T00:00:00"/>
    <x v="1"/>
    <s v="ΔΙΕΥΘΥΝΣΗ Π.Ε. ΚΟΡΙΝΘΙΑΣ"/>
    <n v="29.033333333333335"/>
    <s v="22 - 30"/>
  </r>
  <r>
    <n v="99910364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1T00:00:00"/>
    <s v="Ιδιωτικά Σχολεία"/>
    <x v="2"/>
    <s v="7052209"/>
    <s v="ΙΔΙΩΤΙΚΟ ΣΥΣΤΕΓΑΖΟΜΕΝΟ ΝΗΠΙΑΓΩΓΕΙΟ - CHILDREN'S CLUB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5-10T00:00:00"/>
    <x v="1"/>
    <s v="ΔΙΕΥΘΥΝΣΗ Π.Ε. Β΄ ΑΘΗΝΑΣ"/>
    <n v="29.038888888888888"/>
    <s v="22 - 30"/>
  </r>
  <r>
    <n v="99910365"/>
    <s v="Α"/>
    <x v="1"/>
    <x v="1"/>
    <m/>
    <m/>
    <s v="Γ΄"/>
    <n v="1"/>
    <n v="1035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d v="2018-09-01T00:00:00"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5-10T00:00:00"/>
    <x v="1"/>
    <s v="ΔΙΕΥΘΥΝΣΗ Π.Ε. ΔΥΤ. ΘΕΣ/ΝΙΚΗΣ"/>
    <n v="29.038888888888888"/>
    <s v="22 - 30"/>
  </r>
  <r>
    <n v="99910366"/>
    <s v="Θ"/>
    <x v="15"/>
    <x v="15"/>
    <m/>
    <m/>
    <s v="Γ΄"/>
    <n v="1"/>
    <n v="14176"/>
    <d v="2018-09-05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m/>
    <m/>
    <m/>
    <s v="ΟΧΙ"/>
    <m/>
    <d v="2018-09-05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Αναπληρωτής Ιδιωτικής Εκπαίδευσης (ν. 682/1977 άρ.35, παρ.4)"/>
    <s v="Τοποθέτηση σε Ιδιωτική Εκπαίδευση"/>
    <d v="1990-05-09T00:00:00"/>
    <x v="0"/>
    <s v="ΔΙΕΥΘΥΝΣΗ Δ.Ε. ΑΝΑΤ. ΘΕΣ/ΝΙΚΗΣ"/>
    <n v="29.041666666666668"/>
    <s v="22 - 30"/>
  </r>
  <r>
    <n v="99910367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05-08T00:00:00"/>
    <x v="0"/>
    <s v="ΔΙΕΥΘΥΝΣΗ Δ.Ε. Β΄ ΑΘΗΝΑΣ"/>
    <n v="29.044444444444444"/>
    <s v="22 - 30"/>
  </r>
  <r>
    <n v="99910368"/>
    <s v="Θ"/>
    <x v="2"/>
    <x v="2"/>
    <m/>
    <m/>
    <s v="Γ΄"/>
    <n v="1"/>
    <s v="Φ.17/218"/>
    <d v="2018-08-01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8-08-01T00:00:00"/>
    <s v="Ιδιωτικά Σχολεία"/>
    <x v="2"/>
    <s v="7281001"/>
    <s v="ΙΔΙΩΤΙΚΟ ΝΗΠΙΑΓΩΓΕΙΟ ΚΟΡΙΝΘΟΣ -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90-05-08T00:00:00"/>
    <x v="1"/>
    <s v="ΔΙΕΥΘΥΝΣΗ Π.Ε. ΚΟΡΙΝΘΙΑΣ"/>
    <n v="29.044444444444444"/>
    <s v="22 - 30"/>
  </r>
  <r>
    <n v="99910369"/>
    <s v="Θ"/>
    <x v="1"/>
    <x v="1"/>
    <m/>
    <m/>
    <s v="Β΄"/>
    <n v="2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5-05T00:00:00"/>
    <x v="1"/>
    <s v="ΔΙΕΥΘΥΝΣΗ Π.Ε. Δ΄ ΑΘΗΝΑΣ"/>
    <n v="29.052777777777777"/>
    <s v="22 - 30"/>
  </r>
  <r>
    <n v="99910370"/>
    <s v="Θ"/>
    <x v="1"/>
    <x v="1"/>
    <m/>
    <m/>
    <s v="Γ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30"/>
    <s v="ΙΔΙΩΤΙΚΟ ΔΗΜΟΤΙΚΟ ΣΧΟΛΕΙΟ ΓΕΝΙΚΗΣ ΑΡΜΕΝΙΚΗΣ ΕΝΩΣΗΣ ΑΓΑΘΟΕΡΓΙΑ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5-01T00:00:00"/>
    <x v="1"/>
    <s v="ΔΙΕΥΘΥΝΣΗ Π.Ε. Δ΄ ΑΘΗΝΑΣ"/>
    <n v="29.06388888888889"/>
    <s v="22 - 30"/>
  </r>
  <r>
    <n v="99910371"/>
    <s v="Θ"/>
    <x v="2"/>
    <x v="2"/>
    <m/>
    <m/>
    <s v="Γ΄"/>
    <n v="1"/>
    <s v="21350/13-09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5"/>
    <s v="ΙΔΙΩΤΙΚΟ ΣΥΣΤΕΓΑΖΟΜΕΝΟ ΝΗΠΙΑΓΩΓΕΙΟ - REGGIO - THESSALONIKH, προσέγγιση Reggio Emilia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04-27T00:00:00"/>
    <x v="1"/>
    <s v="ΔΙΕΥΘΥΝΣΗ Π.Ε. ΑΝΑΤ. ΘΕΣ/ΝΙΚΗΣ"/>
    <n v="29.074999999999999"/>
    <s v="22 - 30"/>
  </r>
  <r>
    <n v="99910372"/>
    <s v="Θ"/>
    <x v="6"/>
    <x v="6"/>
    <m/>
    <m/>
    <s v="Γ΄"/>
    <n v="1"/>
    <s v="5581/Γ"/>
    <d v="2018-09-01T00:00:00"/>
    <s v="Α΄ ΠΕΙΡΑΙΑ (Π.Ε.) 2018"/>
    <s v="ΔΙΕΥΘΥΝΣΗ Π.Ε. ΠΕΙΡΑΙΑ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4-23T00:00:00"/>
    <x v="1"/>
    <s v="ΔΙΕΥΘΥΝΣΗ Π.Ε. ΠΕΙΡΑΙΑ"/>
    <n v="29.086111111111112"/>
    <s v="22 - 30"/>
  </r>
  <r>
    <n v="99910373"/>
    <s v="Θ"/>
    <x v="1"/>
    <x v="1"/>
    <m/>
    <m/>
    <s v="Γ΄"/>
    <n v="1"/>
    <n v="7170"/>
    <d v="2018-09-26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26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0-04-17T00:00:00"/>
    <x v="1"/>
    <s v="ΔΙΕΥΘΥΝΣΗ Π.Ε. ΛΑΡΙΣΑΣ"/>
    <n v="29.102777777777778"/>
    <s v="22 - 30"/>
  </r>
  <r>
    <n v="99910374"/>
    <s v="Α"/>
    <x v="1"/>
    <x v="1"/>
    <m/>
    <m/>
    <s v="Γ΄"/>
    <n v="1"/>
    <s v="ΑΠ1787555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4-16T00:00:00"/>
    <x v="1"/>
    <s v="ΔΙΕΥΘΥΝΣΗ Π.Ε. ΠΙΕΡΙΑΣ"/>
    <n v="29.105555555555554"/>
    <s v="22 - 30"/>
  </r>
  <r>
    <n v="99910375"/>
    <s v="Θ"/>
    <x v="1"/>
    <x v="1"/>
    <m/>
    <m/>
    <s v="Γ΄"/>
    <n v="1"/>
    <n v="5076"/>
    <d v="2018-09-03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8-09-03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90-04-12T00:00:00"/>
    <x v="1"/>
    <s v="ΔΙΕΥΘΥΝΣΗ Π.Ε. ΜΕΣΣΗΝΙΑΣ"/>
    <n v="29.116666666666667"/>
    <s v="22 - 30"/>
  </r>
  <r>
    <n v="99910376"/>
    <s v="Θ"/>
    <x v="5"/>
    <x v="5"/>
    <m/>
    <m/>
    <s v="Γ΄"/>
    <n v="1"/>
    <n v="12362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04-07T00:00:00"/>
    <x v="0"/>
    <s v="ΔΙΕΥΘΥΝΣΗ Δ.Ε. ΠΙΕΡΙΑΣ"/>
    <n v="29.130555555555556"/>
    <s v="22 - 30"/>
  </r>
  <r>
    <n v="99910377"/>
    <s v="Θ"/>
    <x v="1"/>
    <x v="1"/>
    <m/>
    <m/>
    <s v="Γ΄"/>
    <n v="1"/>
    <s v="Φ.Ι.Α.6/24909/30-11-2017"/>
    <d v="2017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7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3-31T00:00:00"/>
    <x v="1"/>
    <s v="ΔΙΕΥΘΥΝΣΗ Π.Ε. ΑΝΑΤΟΛΙΚΗΣ ΑΤΤΙΚΗΣ"/>
    <n v="29.15"/>
    <s v="22 - 30"/>
  </r>
  <r>
    <n v="99910378"/>
    <s v="Θ"/>
    <x v="4"/>
    <x v="4"/>
    <m/>
    <m/>
    <s v="Γ΄"/>
    <n v="1"/>
    <s v="Φ. 17.2_ A_/14075/3"/>
    <d v="2018-09-29T00:00:00"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d v="2018-09-29T00:00:00"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90-03-30T00:00:00"/>
    <x v="0"/>
    <s v="ΔΙΕΥΘΥΝΣΗ Δ.Ε. ΑΧΑΪΑΣ"/>
    <n v="29.152777777777779"/>
    <s v="22 - 30"/>
  </r>
  <r>
    <n v="99910379"/>
    <s v="Θ"/>
    <x v="2"/>
    <x v="2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201017"/>
    <s v="ΙΔΙΩΤΙΚΟ ΝΗΠΙΑΓΩΓΕΙΟ ΙΩΑΝΝΙΝΑ - ΑΡΣΑΚΕΙΟ ΝΗΠΙΑΓΩΓΕΙΟ ΙΩΑΝΝΙΝΩΝ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0-03-29T00:00:00"/>
    <x v="1"/>
    <s v="ΔΙΕΥΘΥΝΣΗ Π.Ε. ΙΩΑΝΝΙΝΩΝ"/>
    <n v="29.155555555555555"/>
    <s v="22 - 30"/>
  </r>
  <r>
    <n v="99910380"/>
    <s v="Θ"/>
    <x v="1"/>
    <x v="1"/>
    <m/>
    <m/>
    <s v="Γ΄"/>
    <n v="1"/>
    <n v="676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03-28T00:00:00"/>
    <x v="1"/>
    <s v="ΔΙΕΥΘΥΝΣΗ Π.Ε. ΛΑΡΙΣΑΣ"/>
    <n v="29.158333333333335"/>
    <s v="22 - 30"/>
  </r>
  <r>
    <n v="99910381"/>
    <s v="Θ"/>
    <x v="2"/>
    <x v="2"/>
    <m/>
    <m/>
    <s v="Γ΄"/>
    <n v="1"/>
    <s v="Φ.17.2/7538"/>
    <d v="2018-09-01T00:00:00"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d v="2018-09-01T00:00:00"/>
    <s v="Ιδιωτικά Σχολεία"/>
    <x v="2"/>
    <s v="7501007"/>
    <s v="ΙΔΙΩΤΙΚΟ ΝΗΠΙΑΓΩΓΕΙΟ - ΙΔΙΩΤΙΚΑ ΕΚΠΑΙΔΕΥΤΗΡΙΑ ΘΕΟΔΩΡΟΠΟΥΛΟΥ Α.Ε."/>
    <s v="ΧΑΝΙΩΝ (Π.Ε.) 2018"/>
    <x v="7"/>
    <s v="ΠΕΡΙΦΕΡΕΙΑΚΗ Δ/ΝΣΗ Α/ΘΜΙΑΣ ΚΑΙ Β/ΘΜΙΑΣ ΕΚΠ/ΣΗΣ ΚΡΗΤΗΣ"/>
    <s v="Ιδιωτικού Δικαίου Αορίστου Χρόνου (Ι.Δ.Α.Χ.) με Οργανική σε Ισότιμο προς τα Δημόσια Σχολείο"/>
    <s v="Τοποθέτηση σε Ιδιωτική Εκπαίδευση"/>
    <d v="1990-03-27T00:00:00"/>
    <x v="1"/>
    <s v="ΔΙΕΥΘΥΝΣΗ Π.Ε. ΧΑΝΙΩΝ"/>
    <n v="29.161111111111111"/>
    <s v="22 - 30"/>
  </r>
  <r>
    <n v="99910382"/>
    <s v="Θ"/>
    <x v="2"/>
    <x v="2"/>
    <m/>
    <m/>
    <s v="Γ΄"/>
    <n v="1"/>
    <n v="1779864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189"/>
    <s v="ΙΔΙΩΤΙΚΟ ΝΗΠΙΑΓΩΓΕΙΟ - ΙΕΡΟΥ ΝΑΟΥ ΜΕΤΑΜΟΡΦΩΣΗΣ ΣΩΤΗΡΟΣ ΤΗΣ ΙΕΡΑΣ ΑΡΧΙΕΠΙΣΚΟΠΗΣ ΑΘΗΝΩΝ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03-26T00:00:00"/>
    <x v="1"/>
    <s v="ΔΙΕΥΘΥΝΣΗ Π.Ε. Β΄ ΑΘΗΝΑΣ"/>
    <n v="29.163888888888888"/>
    <s v="22 - 30"/>
  </r>
  <r>
    <n v="99910383"/>
    <s v="Θ"/>
    <x v="1"/>
    <x v="1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0-03-25T00:00:00"/>
    <x v="1"/>
    <s v="ΔΙΕΥΘΥΝΣΗ Π.Ε. ΛΑΡΙΣΑΣ"/>
    <n v="29.166666666666668"/>
    <s v="22 - 30"/>
  </r>
  <r>
    <n v="99910384"/>
    <s v="Θ"/>
    <x v="2"/>
    <x v="2"/>
    <m/>
    <m/>
    <s v="Γ΄"/>
    <n v="1"/>
    <n v="10359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m/>
    <m/>
    <m/>
    <s v="ΟΧΙ"/>
    <m/>
    <d v="2018-09-06T00:00:00"/>
    <s v="Ιδιωτικά Σχολεία"/>
    <x v="2"/>
    <s v="7192017"/>
    <s v="ΙΔΙΩΤΙΚΟ ΝΗΠΙΑΓΩΓΕΙ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3-24T00:00:00"/>
    <x v="1"/>
    <s v="ΔΙΕΥΘΥΝΣΗ Π.Ε. ΔΥΤ. ΘΕΣ/ΝΙΚΗΣ"/>
    <n v="29.169444444444444"/>
    <s v="22 - 30"/>
  </r>
  <r>
    <n v="99910385"/>
    <s v="Θ"/>
    <x v="1"/>
    <x v="1"/>
    <m/>
    <m/>
    <s v="Γ΄"/>
    <n v="1"/>
    <s v="ΩΛΟΥ4653ΠΣ-ΝΗ4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90-03-20T00:00:00"/>
    <x v="1"/>
    <s v="ΔΙΕΥΘΥΝΣΗ Π.Ε. ΑΙΤΩΛΟΑΚΑΡΝΑΝΙΑΣ"/>
    <n v="29.180555555555557"/>
    <s v="22 - 30"/>
  </r>
  <r>
    <n v="99910386"/>
    <s v="Θ"/>
    <x v="1"/>
    <x v="1"/>
    <m/>
    <m/>
    <s v="Γ΄"/>
    <n v="1"/>
    <n v="17565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3-18T00:00:00"/>
    <x v="1"/>
    <s v="ΔΙΕΥΘΥΝΣΗ Π.Ε. ΠΕΙΡΑΙΑ"/>
    <n v="29.18611111111111"/>
    <s v="22 - 30"/>
  </r>
  <r>
    <n v="9991038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3-17T00:00:00"/>
    <x v="0"/>
    <s v="ΔΙΕΥΘΥΝΣΗ Δ.Ε. Β΄ ΑΘΗΝΑΣ"/>
    <n v="29.18888888888889"/>
    <s v="22 - 30"/>
  </r>
  <r>
    <n v="99910388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3-10T00:00:00"/>
    <x v="1"/>
    <s v="ΔΙΕΥΘΥΝΣΗ Π.Ε. Β΄ ΑΘΗΝΑΣ"/>
    <n v="29.208333333333332"/>
    <s v="22 - 30"/>
  </r>
  <r>
    <n v="99910389"/>
    <s v="Θ"/>
    <x v="1"/>
    <x v="1"/>
    <m/>
    <m/>
    <s v="Γ΄"/>
    <n v="1"/>
    <n v="93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03-07T00:00:00"/>
    <x v="1"/>
    <s v="ΔΙΕΥΘΥΝΣΗ Π.Ε. ΛΑΡΙΣΑΣ"/>
    <n v="29.216666666666665"/>
    <s v="22 - 30"/>
  </r>
  <r>
    <n v="99910390"/>
    <s v="Θ"/>
    <x v="2"/>
    <x v="2"/>
    <m/>
    <m/>
    <s v="Γ΄"/>
    <n v="1"/>
    <n v="15926"/>
    <d v="2018-09-01T00:00:00"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m/>
    <s v="ΟΧΙ"/>
    <m/>
    <d v="2018-09-01T00:00:00"/>
    <s v="Ιδιωτικά Σχολεία"/>
    <x v="2"/>
    <s v="7541035"/>
    <s v="ΙΔΙΩΤΙΚΟ ΝΗΠΙΑΓΩΓΕΙΟ - ΠΛΑΣΤΕΛΙΝΗ - ΧΟΝΔΡΟΚΟΥΚΗ ΒΕΝΕΤΙΑ ΚΑΙ ΣΙΑ Ο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3-01T00:00:00"/>
    <x v="1"/>
    <s v="ΔΙΕΥΘΥΝΣΗ Π.Ε. ΠΕΙΡΑΙΑ"/>
    <n v="29.233333333333334"/>
    <s v="22 - 30"/>
  </r>
  <r>
    <n v="99910391"/>
    <s v="Θ"/>
    <x v="1"/>
    <x v="1"/>
    <m/>
    <m/>
    <s v="Γ΄"/>
    <n v="1"/>
    <s v="ΩΞ484653ΠΣ-Ι78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m/>
    <s v="ΟΧΙ"/>
    <m/>
    <s v="ΟΧΙ"/>
    <m/>
    <d v="2018-09-03T00:00:00"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2-28T00:00:00"/>
    <x v="1"/>
    <s v="ΔΙΕΥΘΥΝΣΗ Π.Ε. ΔΥΤ. ΘΕΣ/ΝΙΚΗΣ"/>
    <n v="29.236111111111111"/>
    <s v="22 - 30"/>
  </r>
  <r>
    <n v="99910392"/>
    <s v="Θ"/>
    <x v="2"/>
    <x v="2"/>
    <m/>
    <m/>
    <s v="Γ΄"/>
    <n v="1"/>
    <n v="13110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57"/>
    <s v="Γύρω -γύρω όλοι Ε. ΜΠΑΛΤΑ - Χ. ΚΟΝΤΟΥ Ο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2-19T00:00:00"/>
    <x v="1"/>
    <s v="ΔΙΕΥΘΥΝΣΗ Π.Ε. Δ΄ ΑΘΗΝΑΣ"/>
    <n v="29.261111111111113"/>
    <s v="22 - 30"/>
  </r>
  <r>
    <n v="99910393"/>
    <s v="Θ"/>
    <x v="1"/>
    <x v="1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s v="ΟΧΙ"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90-02-18T00:00:00"/>
    <x v="1"/>
    <s v="ΔΙΕΥΘΥΝΣΗ Π.Ε. ΚΥΚΛΑΔΩΝ"/>
    <n v="29.263888888888889"/>
    <s v="22 - 30"/>
  </r>
  <r>
    <n v="99910394"/>
    <s v="Α"/>
    <x v="8"/>
    <x v="8"/>
    <m/>
    <m/>
    <s v="Γ΄"/>
    <n v="1"/>
    <s v="Φ.17/9013/17-10-2017"/>
    <d v="2018-09-01T00:00:00"/>
    <s v="ΙΩΑΝΝΙΝΩΝ (Π.Ε.) 2018"/>
    <s v="ΔΙΕΥΘΥΝΣΗ Π.Ε. ΙΩΑΝΝΙΝΩΝ"/>
    <s v="ΠΕΡΙΦΕΡΕΙΑΚΗ Δ/ΝΣΗ Α/ΘΜΙΑΣ ΚΑΙ Β/ΘΜΙΑΣ ΕΚΠ/ΣΗΣ ΗΠΕΙΡΟΥ"/>
    <n v="16"/>
    <s v="ΟΧΙ"/>
    <s v="ΟΧΙ"/>
    <s v="ΟΧΙ"/>
    <s v="ΟΧΙ"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90-02-02T00:00:00"/>
    <x v="1"/>
    <s v="ΔΙΕΥΘΥΝΣΗ Π.Ε. ΙΩΑΝΝΙΝΩΝ"/>
    <n v="29.308333333333334"/>
    <s v="22 - 30"/>
  </r>
  <r>
    <n v="99910395"/>
    <s v="Θ"/>
    <x v="2"/>
    <x v="2"/>
    <m/>
    <m/>
    <s v="Γ΄"/>
    <n v="1"/>
    <n v="1779623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189"/>
    <s v="ΙΔΙΩΤΙΚΟ ΝΗΠΙΑΓΩΓΕΙΟ - ΙΕΡΟΥ ΝΑΟΥ ΜΕΤΑΜΟΡΦΩΣΗΣ ΣΩΤΗΡΟΣ ΤΗΣ ΙΕΡΑΣ ΑΡΧΙΕΠΙΣΚΟΠΗ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30T00:00:00"/>
    <x v="1"/>
    <s v="ΔΙΕΥΘΥΝΣΗ Π.Ε. Β΄ ΑΘΗΝΑΣ"/>
    <n v="29.316666666666666"/>
    <s v="22 - 30"/>
  </r>
  <r>
    <n v="99910396"/>
    <s v="Α"/>
    <x v="1"/>
    <x v="1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0-01-26T00:00:00"/>
    <x v="1"/>
    <s v="ΔΙΕΥΘΥΝΣΗ Π.Ε. ΗΡΑΚΛΕΙΟΥ"/>
    <n v="29.327777777777779"/>
    <s v="22 - 30"/>
  </r>
  <r>
    <n v="99910397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19T00:00:00"/>
    <x v="1"/>
    <s v="ΔΙΕΥΘΥΝΣΗ Π.Ε. Β΄ ΑΘΗΝΑΣ"/>
    <n v="29.347222222222221"/>
    <s v="22 - 30"/>
  </r>
  <r>
    <n v="99910398"/>
    <s v="Θ"/>
    <x v="8"/>
    <x v="8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18T00:00:00"/>
    <x v="0"/>
    <s v="ΔΙΕΥΘΥΝΣΗ Δ.Ε. Δ΄ ΑΘΗΝΑΣ"/>
    <n v="29.35"/>
    <s v="22 - 30"/>
  </r>
  <r>
    <n v="99910399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01-14T00:00:00"/>
    <x v="1"/>
    <s v="ΔΙΕΥΘΥΝΣΗ Π.Ε. ΛΑΡΙΣΑΣ"/>
    <n v="29.361111111111111"/>
    <s v="22 - 30"/>
  </r>
  <r>
    <n v="99910400"/>
    <s v="Θ"/>
    <x v="2"/>
    <x v="2"/>
    <m/>
    <m/>
    <s v="Γ΄"/>
    <n v="1"/>
    <n v="1128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75"/>
    <s v="2ο ΝΗΠΙΑΓΩΓΕΙΟ ΠΑΣΧΑΛΗ ΧΡΙΣΤΙΝ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12T00:00:00"/>
    <x v="1"/>
    <s v="ΔΙΕΥΘΥΝΣΗ Π.Ε. Δ΄ ΑΘΗΝΑΣ"/>
    <n v="29.366666666666667"/>
    <s v="22 - 30"/>
  </r>
  <r>
    <n v="99910401"/>
    <s v="Α"/>
    <x v="1"/>
    <x v="1"/>
    <m/>
    <m/>
    <s v="Γ΄"/>
    <n v="1"/>
    <s v="ΩΒΣΦ4653ΠΣ-4ΦΟ"/>
    <d v="2018-09-26T00:00:00"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s v="ΟΧΙ"/>
    <s v="ΟΧΙ"/>
    <m/>
    <s v="ΟΧΙ"/>
    <m/>
    <d v="2018-09-26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90-01-01T00:00:00"/>
    <x v="1"/>
    <s v="ΔΙΕΥΘΥΝΣΗ Π.Ε. ΞΑΝΘΗΣ"/>
    <n v="29.397222222222222"/>
    <s v="22 - 30"/>
  </r>
  <r>
    <n v="99910402"/>
    <s v="Α"/>
    <x v="9"/>
    <x v="9"/>
    <m/>
    <m/>
    <s v="Γ΄"/>
    <n v="1"/>
    <n v="4867"/>
    <d v="2018-09-01T00:00:00"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01-01T00:00:00"/>
    <x v="0"/>
    <s v="ΔΙΕΥΘΥΝΣΗ Δ.Ε. Α΄ ΑΘΗΝΑΣ"/>
    <n v="29.397222222222222"/>
    <s v="22 - 30"/>
  </r>
  <r>
    <n v="99910403"/>
    <s v="Α"/>
    <x v="18"/>
    <x v="1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1-01T00:00:00"/>
    <x v="0"/>
    <s v="ΔΙΕΥΘΥΝΣΗ Δ.Ε. Β΄ ΑΘΗΝΑΣ"/>
    <n v="29.397222222222222"/>
    <s v="22 - 30"/>
  </r>
  <r>
    <n v="9991040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0"/>
    <s v="ΔΙΕΥΘΥΝΣΗ Δ.Ε. Β΄ ΑΘΗΝΑΣ"/>
    <n v="29.397222222222222"/>
    <s v="22 - 30"/>
  </r>
  <r>
    <n v="99910405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0"/>
    <s v="ΔΙΕΥΘΥΝΣΗ Δ.Ε. Β΄ ΑΘΗΝΑΣ"/>
    <n v="29.397222222222222"/>
    <s v="22 - 30"/>
  </r>
  <r>
    <n v="99910406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0"/>
    <s v="ΔΙΕΥΘΥΝΣΗ Δ.Ε. Β΄ ΑΘΗΝΑΣ"/>
    <n v="29.397222222222222"/>
    <s v="22 - 30"/>
  </r>
  <r>
    <n v="99910407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1-01T00:00:00"/>
    <x v="0"/>
    <s v="ΔΙΕΥΘΥΝΣΗ Δ.Ε. Β΄ ΑΘΗΝΑΣ"/>
    <n v="29.397222222222222"/>
    <s v="22 - 30"/>
  </r>
  <r>
    <n v="99910408"/>
    <s v="Θ"/>
    <x v="20"/>
    <x v="2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0"/>
    <s v="ΔΙΕΥΘΥΝΣΗ Δ.Ε. Β΄ ΑΘΗΝΑΣ"/>
    <n v="29.397222222222222"/>
    <s v="22 - 30"/>
  </r>
  <r>
    <n v="99910409"/>
    <s v="Θ"/>
    <x v="1"/>
    <x v="1"/>
    <m/>
    <m/>
    <s v="Α΄"/>
    <n v="1"/>
    <s v="ΩΗΛΖ9-50Ζ"/>
    <d v="2015-01-23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d v="2015-01-27T00:00:00"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1"/>
    <s v="ΔΙΕΥΘΥΝΣΗ Π.Ε. ΑΝΑΤΟΛΙΚΗΣ ΑΤΤΙΚΗΣ"/>
    <n v="29.397222222222222"/>
    <s v="22 - 30"/>
  </r>
  <r>
    <n v="99910410"/>
    <s v="Θ"/>
    <x v="1"/>
    <x v="1"/>
    <m/>
    <m/>
    <s v="Γ΄"/>
    <n v="1"/>
    <s v="635Ν4653ΠΣ-ΖΥΜ"/>
    <d v="2016-01-27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d v="2016-01-28T00:00:00"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1"/>
    <s v="ΔΙΕΥΘΥΝΣΗ Π.Ε. ΑΝΑΤΟΛΙΚΗΣ ΑΤΤΙΚΗΣ"/>
    <n v="29.397222222222222"/>
    <s v="22 - 30"/>
  </r>
  <r>
    <n v="99910411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1"/>
    <s v="ΔΙΕΥΘΥΝΣΗ Π.Ε. Β΄ ΑΘΗΝΑΣ"/>
    <n v="29.397222222222222"/>
    <s v="22 - 30"/>
  </r>
  <r>
    <n v="99910412"/>
    <s v="Θ"/>
    <x v="1"/>
    <x v="1"/>
    <m/>
    <m/>
    <s v="Α΄"/>
    <n v="1"/>
    <s v="67249-403"/>
    <d v="2015-01-23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5-01-27T00:00:00"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1"/>
    <s v="ΔΙΕΥΘΥΝΣΗ Π.Ε. Β΄ ΑΘΗΝΑΣ"/>
    <n v="29.397222222222222"/>
    <s v="22 - 30"/>
  </r>
  <r>
    <n v="99910413"/>
    <s v="Θ"/>
    <x v="1"/>
    <x v="1"/>
    <m/>
    <m/>
    <s v="Γ΄"/>
    <n v="1"/>
    <n v="112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90-01-01T00:00:00"/>
    <x v="1"/>
    <s v="ΔΙΕΥΘΥΝΣΗ Π.Ε. Δ΄ ΑΘΗΝΑΣ"/>
    <n v="29.397222222222222"/>
    <s v="22 - 30"/>
  </r>
  <r>
    <n v="99910414"/>
    <s v="Θ"/>
    <x v="1"/>
    <x v="1"/>
    <m/>
    <m/>
    <s v="Γ΄"/>
    <n v="1"/>
    <s v="Ω6ΝΩ4653ΠΣ-ΞΚ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90-01-01T00:00:00"/>
    <x v="1"/>
    <s v="ΔΙΕΥΘΥΝΣΗ Π.Ε. Δ΄ ΑΘΗΝΑΣ"/>
    <n v="29.397222222222222"/>
    <s v="22 - 30"/>
  </r>
  <r>
    <n v="99910415"/>
    <s v="Θ"/>
    <x v="1"/>
    <x v="1"/>
    <m/>
    <m/>
    <s v="Α΄"/>
    <n v="1"/>
    <s v="73ΗΔ4653ΠΣ-ΣΣΝ"/>
    <d v="2016-04-11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6-04-11T00:00:00"/>
    <s v="Ιδιωτικά Σχολεία"/>
    <x v="1"/>
    <s v="7541026"/>
    <s v="ΙΔΙΩΤΙΚΟ ΔΗΜΟΤΙΚ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90-01-01T00:00:00"/>
    <x v="1"/>
    <s v="ΔΙΕΥΘΥΝΣΗ Π.Ε. ΠΕΙΡΑΙΑ"/>
    <n v="29.397222222222222"/>
    <s v="22 - 30"/>
  </r>
  <r>
    <n v="99910416"/>
    <s v="Θ"/>
    <x v="1"/>
    <x v="1"/>
    <m/>
    <m/>
    <s v="Γ΄"/>
    <n v="1"/>
    <s v="7Β654653ΠΣ-ΞΩΟ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s v="ΟΧΙ"/>
    <s v="ΟΧΙ"/>
    <m/>
    <s v="ΟΧΙ"/>
    <m/>
    <d v="2018-09-01T00:00:00"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90-01-01T00:00:00"/>
    <x v="1"/>
    <s v="ΔΙΕΥΘΥΝΣΗ Π.Ε. ΑΧΑΪΑΣ"/>
    <n v="29.397222222222222"/>
    <s v="22 - 30"/>
  </r>
  <r>
    <n v="99910417"/>
    <s v="Θ"/>
    <x v="1"/>
    <x v="1"/>
    <m/>
    <m/>
    <s v="Γ΄"/>
    <n v="1"/>
    <s v="83/3-9-2018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m/>
    <m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0-01-01T00:00:00"/>
    <x v="1"/>
    <s v="ΔΙΕΥΘΥΝΣΗ Π.Ε. ΛΑΡΙΣΑΣ"/>
    <n v="29.397222222222222"/>
    <s v="22 - 30"/>
  </r>
  <r>
    <n v="99910418"/>
    <s v="Θ"/>
    <x v="1"/>
    <x v="1"/>
    <m/>
    <m/>
    <s v="Γ΄"/>
    <n v="1"/>
    <s v="6773/17-09-2018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90-01-01T00:00:00"/>
    <x v="1"/>
    <s v="ΔΙΕΥΘΥΝΣΗ Π.Ε. ΛΑΡΙΣΑΣ"/>
    <n v="29.397222222222222"/>
    <s v="22 - 30"/>
  </r>
  <r>
    <n v="99910419"/>
    <s v="Θ"/>
    <x v="1"/>
    <x v="1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90-01-01T00:00:00"/>
    <x v="1"/>
    <s v="ΔΙΕΥΘΥΝΣΗ Π.Ε. ΛΑΡΙΣΑΣ"/>
    <n v="29.397222222222222"/>
    <s v="22 - 30"/>
  </r>
  <r>
    <n v="99910420"/>
    <s v="Θ"/>
    <x v="1"/>
    <x v="1"/>
    <m/>
    <m/>
    <s v="Γ΄"/>
    <n v="1"/>
    <d v="2016-10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90-01-01T00:00:00"/>
    <x v="1"/>
    <s v="ΔΙΕΥΘΥΝΣΗ Π.Ε. ΑΝΑΤ. ΘΕΣ/ΝΙΚΗΣ"/>
    <n v="29.397222222222222"/>
    <s v="22 - 30"/>
  </r>
  <r>
    <n v="99910421"/>
    <s v="Θ"/>
    <x v="1"/>
    <x v="1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90-01-01T00:00:00"/>
    <x v="1"/>
    <s v="ΔΙΕΥΘΥΝΣΗ Π.Ε. ΑΝΑΤ. ΘΕΣ/ΝΙΚΗΣ"/>
    <n v="29.397222222222222"/>
    <s v="22 - 30"/>
  </r>
  <r>
    <n v="99910422"/>
    <s v="Θ"/>
    <x v="1"/>
    <x v="1"/>
    <m/>
    <m/>
    <s v="Α΄"/>
    <n v="1"/>
    <s v="7Β654653ΠΣ-ΞΩΟ"/>
    <d v="2016-01-18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6-01-18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90-01-01T00:00:00"/>
    <x v="1"/>
    <s v="ΔΙΕΥΘΥΝΣΗ Π.Ε. ΧΑΝΙΩΝ"/>
    <n v="29.397222222222222"/>
    <s v="22 - 30"/>
  </r>
  <r>
    <n v="99910423"/>
    <s v="Θ"/>
    <x v="20"/>
    <x v="2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2-28T00:00:00"/>
    <x v="0"/>
    <s v="ΔΙΕΥΘΥΝΣΗ Δ.Ε. Δ΄ ΑΘΗΝΑΣ"/>
    <n v="29.408333333333335"/>
    <s v="22 - 30"/>
  </r>
  <r>
    <n v="99910424"/>
    <s v="Θ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9-12-28T00:00:00"/>
    <x v="1"/>
    <s v="ΔΙΕΥΘΥΝΣΗ Π.Ε. ΑΝΑΤ. ΘΕΣ/ΝΙΚΗΣ"/>
    <n v="29.408333333333335"/>
    <s v="22 - 30"/>
  </r>
  <r>
    <n v="99910425"/>
    <s v="Θ"/>
    <x v="1"/>
    <x v="1"/>
    <m/>
    <m/>
    <s v="Γ΄"/>
    <n v="1"/>
    <n v="17054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12-26T00:00:00"/>
    <x v="1"/>
    <s v="ΔΙΕΥΘΥΝΣΗ Π.Ε. ΠΕΙΡΑΙΑ"/>
    <n v="29.413888888888888"/>
    <s v="22 - 30"/>
  </r>
  <r>
    <n v="99910426"/>
    <s v="Θ"/>
    <x v="1"/>
    <x v="1"/>
    <m/>
    <m/>
    <s v="Γ΄"/>
    <n v="5"/>
    <n v="93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9-12-23T00:00:00"/>
    <x v="1"/>
    <s v="ΔΙΕΥΘΥΝΣΗ Π.Ε. ΛΑΡΙΣΑΣ"/>
    <n v="29.422222222222221"/>
    <s v="22 - 30"/>
  </r>
  <r>
    <n v="99910427"/>
    <s v="Θ"/>
    <x v="1"/>
    <x v="1"/>
    <m/>
    <m/>
    <s v="Β΄"/>
    <n v="2"/>
    <s v="6Δ8Ε4653ΠΣ-ΜΞΧ"/>
    <d v="2017-04-04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7-04-04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2-22T00:00:00"/>
    <x v="1"/>
    <s v="ΔΙΕΥΘΥΝΣΗ Π.Ε. Δ΄ ΑΘΗΝΑΣ"/>
    <n v="29.425000000000001"/>
    <s v="22 - 30"/>
  </r>
  <r>
    <n v="99910428"/>
    <s v="Α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2-19T00:00:00"/>
    <x v="1"/>
    <s v="ΔΙΕΥΘΥΝΣΗ Π.Ε. ΠΕΙΡΑΙΑ"/>
    <n v="29.433333333333334"/>
    <s v="22 - 30"/>
  </r>
  <r>
    <n v="99910429"/>
    <s v="Α"/>
    <x v="8"/>
    <x v="8"/>
    <m/>
    <m/>
    <s v="Γ΄"/>
    <n v="1"/>
    <s v="9417/Φ17.2/01-10-2018"/>
    <d v="2018-09-11T00:00:00"/>
    <s v="ΞΑΝΘΗΣ (Δ.Ε.) 2018"/>
    <s v="ΔΙΕΥΘΥΝΣΗ Δ.Ε. ΞΑΝΘΗΣ"/>
    <s v="ΠΕΡΙΦΕΡΕΙΑΚΗ Δ/ΝΣΗ Α/ΘΜΙΑΣ ΚΑΙ Β/ΘΜΙΑΣ ΕΚΠ/ΣΗΣ ΑΝ. ΜΑΚΕΔΟΝΙΑΣ ΚΑΙ ΘΡΑΚΗΣ"/>
    <n v="16"/>
    <s v="ΟΧΙ"/>
    <s v="ΟΧΙ"/>
    <s v="ΟΧΙ"/>
    <s v="ΟΧΙ"/>
    <s v="ΟΧΙ"/>
    <m/>
    <d v="2018-09-11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9-12-14T00:00:00"/>
    <x v="0"/>
    <s v="ΔΙΕΥΘΥΝΣΗ Δ.Ε. ΞΑΝΘΗΣ"/>
    <n v="29.447222222222223"/>
    <s v="22 - 30"/>
  </r>
  <r>
    <n v="99910430"/>
    <s v="Θ"/>
    <x v="1"/>
    <x v="1"/>
    <m/>
    <m/>
    <s v="Γ΄"/>
    <n v="1"/>
    <n v="1459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2-12T00:00:00"/>
    <x v="1"/>
    <s v="ΔΙΕΥΘΥΝΣΗ Π.Ε. Δ΄ ΑΘΗΝΑΣ"/>
    <n v="29.452777777777779"/>
    <s v="22 - 30"/>
  </r>
  <r>
    <n v="99910431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1T00:00:00"/>
    <s v="Ιδιωτικά Σχολεία"/>
    <x v="2"/>
    <s v="7052245"/>
    <s v="Ιδιωτικό Συστεγαζόμενο Νηπιαγωγείο - Κέκκου Αικατερίν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2-11T00:00:00"/>
    <x v="1"/>
    <s v="ΔΙΕΥΘΥΝΣΗ Π.Ε. Β΄ ΑΘΗΝΑΣ"/>
    <n v="29.455555555555556"/>
    <s v="22 - 30"/>
  </r>
  <r>
    <n v="99910432"/>
    <s v="Θ"/>
    <x v="2"/>
    <x v="2"/>
    <m/>
    <m/>
    <s v="Γ΄"/>
    <n v="2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17"/>
    <s v="ΙΔΙΩΤΙΚΟ ΝΗΠΙΑΓΩΓΕΙΟ ΝΕΑ ΣΜΥΡΝΗ - ΑΘΗΝΑΪΣ Ιερεμιάδη Γεωργί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2-09T00:00:00"/>
    <x v="1"/>
    <s v="ΔΙΕΥΘΥΝΣΗ Π.Ε. Δ΄ ΑΘΗΝΑΣ"/>
    <n v="29.461111111111112"/>
    <s v="22 - 30"/>
  </r>
  <r>
    <n v="99910433"/>
    <s v="Θ"/>
    <x v="1"/>
    <x v="1"/>
    <m/>
    <m/>
    <s v="Γ΄"/>
    <n v="3"/>
    <s v="Φ.17.2/250/8203"/>
    <d v="2018-10-15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10-15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12-06T00:00:00"/>
    <x v="1"/>
    <s v="ΔΙΕΥΘΥΝΣΗ Π.Ε. Β΄ ΑΘΗΝΑΣ"/>
    <n v="29.469444444444445"/>
    <s v="22 - 30"/>
  </r>
  <r>
    <n v="99910434"/>
    <s v="Θ"/>
    <x v="2"/>
    <x v="2"/>
    <m/>
    <m/>
    <s v="Γ΄"/>
    <n v="1"/>
    <s v="ΑΠ1896455"/>
    <d v="2018-09-11T00:00:00"/>
    <s v="ΗΛΕΙΑΣ (Π.Ε.) 2018"/>
    <s v="ΔΙΕΥΘΥΝΣΗ Π.Ε. ΗΛΕΙΑΣ"/>
    <s v="ΠΕΡΙΦΕΡΕΙΑΚΗ Δ/ΝΣΗ Α/ΘΜΙΑΣ ΚΑΙ Β/ΘΜΙΑΣ ΕΚΠ/ΣΗΣ ΔΥΤΙΚΗΣ ΕΛΛΑΔΑΣ"/>
    <n v="25"/>
    <s v="ΟΧΙ"/>
    <m/>
    <m/>
    <m/>
    <s v="ΟΧΙ"/>
    <m/>
    <d v="2018-09-11T00:00:00"/>
    <s v="Ιδιωτικά Σχολεία"/>
    <x v="2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x v="4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9-12-05T00:00:00"/>
    <x v="1"/>
    <s v="ΔΙΕΥΘΥΝΣΗ Π.Ε. ΗΛΕΙΑΣ"/>
    <n v="29.472222222222221"/>
    <s v="22 - 30"/>
  </r>
  <r>
    <n v="99910435"/>
    <s v="Θ"/>
    <x v="1"/>
    <x v="1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12-05T00:00:00"/>
    <x v="1"/>
    <s v="ΔΙΕΥΘΥΝΣΗ Π.Ε. ΜΕΣΣΗΝΙΑΣ"/>
    <n v="29.472222222222221"/>
    <s v="22 - 30"/>
  </r>
  <r>
    <n v="99910436"/>
    <s v="Α"/>
    <x v="21"/>
    <x v="2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12-03T00:00:00"/>
    <x v="1"/>
    <s v="ΔΙΕΥΘΥΝΣΗ Π.Ε. ΑΝΑΤ. ΘΕΣ/ΝΙΚΗΣ"/>
    <n v="29.477777777777778"/>
    <s v="22 - 30"/>
  </r>
  <r>
    <n v="99910437"/>
    <s v="Θ"/>
    <x v="4"/>
    <x v="4"/>
    <m/>
    <m/>
    <s v="Γ΄"/>
    <n v="1"/>
    <n v="0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3"/>
    <s v="ΟΧΙ"/>
    <m/>
    <m/>
    <m/>
    <s v="ΟΧΙ"/>
    <m/>
    <d v="2018-09-01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9-11-30T00:00:00"/>
    <x v="0"/>
    <s v="ΔΙΕΥΘΥΝΣΗ Δ.Ε. ΔΩΔΕΚΑΝΗΣΟΥ"/>
    <n v="29.486111111111111"/>
    <s v="22 - 30"/>
  </r>
  <r>
    <n v="99910438"/>
    <s v="Θ"/>
    <x v="1"/>
    <x v="1"/>
    <m/>
    <m/>
    <s v="Γ΄"/>
    <n v="1"/>
    <n v="1061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1-28T00:00:00"/>
    <x v="1"/>
    <s v="ΔΙΕΥΘΥΝΣΗ Π.Ε. Δ΄ ΑΘΗΝΑΣ"/>
    <n v="29.491666666666667"/>
    <s v="22 - 30"/>
  </r>
  <r>
    <n v="99910439"/>
    <s v="Θ"/>
    <x v="2"/>
    <x v="2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11-25T00:00:00"/>
    <x v="1"/>
    <s v="ΔΙΕΥΘΥΝΣΗ Π.Ε. ΑΝΑΤ. ΘΕΣ/ΝΙΚΗΣ"/>
    <n v="29.5"/>
    <s v="22 - 30"/>
  </r>
  <r>
    <n v="99910440"/>
    <s v="Θ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11-24T00:00:00"/>
    <x v="1"/>
    <s v="ΔΙΕΥΘΥΝΣΗ Π.Ε. ΑΝΑΤ. ΘΕΣ/ΝΙΚΗΣ"/>
    <n v="29.502777777777776"/>
    <s v="22 - 30"/>
  </r>
  <r>
    <n v="99910441"/>
    <s v="Θ"/>
    <x v="2"/>
    <x v="2"/>
    <m/>
    <m/>
    <s v="Γ΄"/>
    <n v="1"/>
    <n v="11606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17"/>
    <s v="ΣΥΣΤΕΓΑΖΟΜΕΝΟ ΝΗΠΙΑΓΩΓΕΙΟ - ΚΟΥΛΟΥΤΜΠΑΝΗ ΣΟΥΛΤΑΝΑ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11-23T00:00:00"/>
    <x v="1"/>
    <s v="ΔΙΕΥΘΥΝΣΗ Π.Ε. Δ΄ ΑΘΗΝΑΣ"/>
    <n v="29.505555555555556"/>
    <s v="22 - 30"/>
  </r>
  <r>
    <n v="99910442"/>
    <s v="Θ"/>
    <x v="1"/>
    <x v="1"/>
    <m/>
    <m/>
    <s v="Γ΄"/>
    <n v="1"/>
    <s v="73Ρ84653ΠΣ-ΟΥΔ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d v="2018-09-03T00:00:00"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11-13T00:00:00"/>
    <x v="1"/>
    <s v="ΔΙΕΥΘΥΝΣΗ Π.Ε. ΔΥΤ. ΘΕΣ/ΝΙΚΗΣ"/>
    <n v="29.533333333333335"/>
    <s v="22 - 30"/>
  </r>
  <r>
    <n v="99910443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1-10T00:00:00"/>
    <x v="1"/>
    <s v="ΔΙΕΥΘΥΝΣΗ Π.Ε. Α΄ ΑΘΗΝΑΣ"/>
    <n v="29.541666666666668"/>
    <s v="22 - 30"/>
  </r>
  <r>
    <n v="99910444"/>
    <s v="Θ"/>
    <x v="1"/>
    <x v="1"/>
    <m/>
    <m/>
    <s v="Γ΄"/>
    <n v="1"/>
    <s v="6ΩΘΝ4653ΠΣ-ΜΘΡ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0"/>
    <s v="ΙΔΙΩΤΙΚΟ ΔΗΜΟΤΙΚΟ - ΠΑΝ. ΚΟΥΤΣΟΜΑΛΗΣ &amp; ΣΙΑ Ε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1-10T00:00:00"/>
    <x v="1"/>
    <s v="ΔΙΕΥΘΥΝΣΗ Π.Ε. Δ΄ ΑΘΗΝΑΣ"/>
    <n v="29.541666666666668"/>
    <s v="22 - 30"/>
  </r>
  <r>
    <n v="99910445"/>
    <s v="Θ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11-10T00:00:00"/>
    <x v="0"/>
    <s v="ΔΙΕΥΘΥΝΣΗ Δ.Ε. ΚΟΡΙΝΘΙΑΣ"/>
    <n v="29.541666666666668"/>
    <s v="22 - 30"/>
  </r>
  <r>
    <n v="99910446"/>
    <s v="Α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1-07T00:00:00"/>
    <x v="1"/>
    <s v="ΔΙΕΥΘΥΝΣΗ Π.Ε. ΑΝΑΤΟΛΙΚΗΣ ΑΤΤΙΚΗΣ"/>
    <n v="29.55"/>
    <s v="22 - 30"/>
  </r>
  <r>
    <n v="99910447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2"/>
    <s v="7521145"/>
    <s v="ΙΔΙΩΤΙΚΟ ΝΗΠΙΑΓΩΓΕΙΟ - ΕΛΛΗΝΟΑΓΓΛΙΚΗ ΓΝΩΣΗ ΚΑΙ ΠΑΙΔΕΙ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1-04T00:00:00"/>
    <x v="1"/>
    <s v="ΔΙΕΥΘΥΝΣΗ Π.Ε. ΑΝΑΤΟΛΙΚΗΣ ΑΤΤΙΚΗΣ"/>
    <n v="29.558333333333334"/>
    <s v="22 - 30"/>
  </r>
  <r>
    <n v="99910448"/>
    <s v="Θ"/>
    <x v="15"/>
    <x v="15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1-02T00:00:00"/>
    <x v="0"/>
    <s v="ΔΙΕΥΘΥΝΣΗ Δ.Ε. ΠΕΙΡΑΙΑ"/>
    <n v="29.56388888888889"/>
    <s v="22 - 30"/>
  </r>
  <r>
    <n v="99910449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9-10-31T00:00:00"/>
    <x v="1"/>
    <s v="ΔΙΕΥΘΥΝΣΗ Π.Ε. ΛΑΡΙΣΑΣ"/>
    <n v="29.569444444444443"/>
    <s v="22 - 30"/>
  </r>
  <r>
    <n v="99910450"/>
    <s v="Θ"/>
    <x v="10"/>
    <x v="10"/>
    <m/>
    <m/>
    <s v="Γ΄"/>
    <n v="1"/>
    <s v="Φ.17.2/7373"/>
    <d v="2018-09-01T00:00:00"/>
    <s v="ΧΑΝΙΩΝ (Π.Ε.) 2018"/>
    <s v="ΔΙΕΥΘΥΝΣΗ Π.Ε. ΧΑΝΙΩΝ"/>
    <s v="ΠΕΡΙΦΕΡΕΙΑΚΗ Δ/ΝΣΗ Α/ΘΜΙΑΣ ΚΑΙ Β/ΘΜΙΑΣ ΕΚΠ/ΣΗΣ ΚΡΗΤΗΣ"/>
    <n v="8"/>
    <s v="ΟΧΙ"/>
    <s v="ΟΧΙ"/>
    <s v="ΟΧΙ"/>
    <s v="ΟΧΙ"/>
    <s v="ΟΧΙ"/>
    <m/>
    <d v="2018-09-01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9-10-31T00:00:00"/>
    <x v="1"/>
    <s v="ΔΙΕΥΘΥΝΣΗ Π.Ε. ΧΑΝΙΩΝ"/>
    <n v="29.569444444444443"/>
    <s v="22 - 30"/>
  </r>
  <r>
    <n v="99910451"/>
    <s v="Θ"/>
    <x v="2"/>
    <x v="2"/>
    <m/>
    <m/>
    <s v="Γ΄"/>
    <n v="1"/>
    <m/>
    <d v="2017-10-06T00:00:00"/>
    <s v="Α΄ ΕΒΡΟΥ (Π.Ε.) 2018"/>
    <s v="ΔΙΕΥΘΥΝΣΗ Π.Ε. ΕΒΡΟΥ"/>
    <s v="ΠΕΡΙΦΕΡΕΙΑΚΗ Δ/ΝΣΗ Α/ΘΜΙΑΣ ΚΑΙ Β/ΘΜΙΑΣ ΕΚΠ/ΣΗΣ ΑΝ. ΜΑΚΕΔΟΝΙΑΣ ΚΑΙ ΘΡΑΚΗΣ"/>
    <n v="25"/>
    <s v="ΟΧΙ"/>
    <s v="ΟΧΙ"/>
    <s v="ΟΧΙ"/>
    <s v="ΟΧΙ"/>
    <s v="ΟΧΙ"/>
    <m/>
    <d v="2017-10-06T00:00:00"/>
    <s v="Ιδιωτικά Σχολεία"/>
    <x v="2"/>
    <s v="7111007"/>
    <s v="ΙΔΙΩΤΙΚΟ ΣΥΣΤΕΓΑΖΟΜΕΝΟ ΝΗΠΙΑΓΩΓΕΙΟ - Β. ΚΑΡΑΒΙΔΑ - Κ. ΠΡΑΣΣΑΣ"/>
    <s v="Α΄ ΕΒΡΟΥ (Π.Ε.) 2018"/>
    <x v="55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9-10-23T00:00:00"/>
    <x v="1"/>
    <s v="ΔΙΕΥΘΥΝΣΗ Π.Ε. ΕΒΡΟΥ"/>
    <n v="29.591666666666665"/>
    <s v="22 - 30"/>
  </r>
  <r>
    <n v="99910452"/>
    <s v="Θ"/>
    <x v="1"/>
    <x v="1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9-10-19T00:00:00"/>
    <x v="1"/>
    <s v="ΔΙΕΥΘΥΝΣΗ Π.Ε. ΛΑΡΙΣΑΣ"/>
    <n v="29.602777777777778"/>
    <s v="22 - 30"/>
  </r>
  <r>
    <n v="99910453"/>
    <s v="Θ"/>
    <x v="4"/>
    <x v="4"/>
    <m/>
    <m/>
    <s v="Γ΄"/>
    <n v="3"/>
    <n v="15539"/>
    <d v="2018-09-1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1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10-18T00:00:00"/>
    <x v="0"/>
    <s v="ΔΙΕΥΘΥΝΣΗ Δ.Ε. ΑΝΑΤ. ΘΕΣ/ΝΙΚΗΣ"/>
    <n v="29.605555555555554"/>
    <s v="22 - 30"/>
  </r>
  <r>
    <n v="99910454"/>
    <s v="Θ"/>
    <x v="8"/>
    <x v="8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6"/>
    <s v="ΟΧΙ"/>
    <m/>
    <m/>
    <m/>
    <s v="ΟΧΙ"/>
    <m/>
    <d v="2018-09-01T00:00:00"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0-16T00:00:00"/>
    <x v="1"/>
    <s v="ΔΙΕΥΘΥΝΣΗ Π.Ε. Β΄ ΑΘΗΝΑΣ"/>
    <n v="29.611111111111111"/>
    <s v="22 - 30"/>
  </r>
  <r>
    <n v="99910455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25"/>
    <s v="1ο ΙΔΙΩΤΙΚΟ ΝΗΠΙΑΓΩΓΕΙΟ ΘΕΣΣΑΛΟΝΙΚΗ - ΚΟΚΚΙΝΟΣΚΟΥΦΙΤΣ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10-15T00:00:00"/>
    <x v="1"/>
    <s v="ΔΙΕΥΘΥΝΣΗ Π.Ε. ΑΝΑΤ. ΘΕΣ/ΝΙΚΗΣ"/>
    <n v="29.613888888888887"/>
    <s v="22 - 30"/>
  </r>
  <r>
    <n v="99910456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0-13T00:00:00"/>
    <x v="1"/>
    <s v="ΔΙΕΥΘΥΝΣΗ Π.Ε. ΠΕΙΡΑΙΑ"/>
    <n v="29.619444444444444"/>
    <s v="22 - 30"/>
  </r>
  <r>
    <n v="99910457"/>
    <s v="Α"/>
    <x v="1"/>
    <x v="1"/>
    <m/>
    <m/>
    <s v="Β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10-13T00:00:00"/>
    <x v="1"/>
    <s v="ΔΙΕΥΘΥΝΣΗ Π.Ε. ΔΥΤ. ΘΕΣ/ΝΙΚΗΣ"/>
    <n v="29.619444444444444"/>
    <s v="22 - 30"/>
  </r>
  <r>
    <n v="99910458"/>
    <s v="Α"/>
    <x v="14"/>
    <x v="14"/>
    <m/>
    <m/>
    <s v="Γ΄"/>
    <n v="1"/>
    <n v="27589"/>
    <d v="2017-11-20T00:00:00"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s v="ΟΧΙ"/>
    <s v="ΟΧΙ"/>
    <m/>
    <d v="2017-11-20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10-11T00:00:00"/>
    <x v="0"/>
    <s v="ΔΙΕΥΘΥΝΣΗ Δ.Ε. ΠΕΙΡΑΙΑ"/>
    <n v="29.625"/>
    <s v="22 - 30"/>
  </r>
  <r>
    <n v="99910459"/>
    <s v="Θ"/>
    <x v="10"/>
    <x v="10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6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10-11T00:00:00"/>
    <x v="1"/>
    <s v="ΔΙΕΥΘΥΝΣΗ Π.Ε. ΑΝΑΤ. ΘΕΣ/ΝΙΚΗΣ"/>
    <n v="29.625"/>
    <s v="22 - 30"/>
  </r>
  <r>
    <n v="99910460"/>
    <s v="Θ"/>
    <x v="20"/>
    <x v="20"/>
    <m/>
    <m/>
    <s v="Γ΄"/>
    <n v="1"/>
    <n v="21565"/>
    <d v="2018-09-01T00:00:00"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10-08T00:00:00"/>
    <x v="0"/>
    <s v="ΔΙΕΥΘΥΝΣΗ Δ.Ε. Β΄ ΑΘΗΝΑΣ"/>
    <n v="29.633333333333333"/>
    <s v="22 - 30"/>
  </r>
  <r>
    <n v="99910461"/>
    <s v="Θ"/>
    <x v="18"/>
    <x v="18"/>
    <m/>
    <m/>
    <s v="Γ΄"/>
    <n v="1"/>
    <n v="23965"/>
    <d v="2018-09-01T00:00:00"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10-05T00:00:00"/>
    <x v="0"/>
    <s v="ΔΙΕΥΘΥΝΣΗ Δ.Ε. Β΄ ΑΘΗΝΑΣ"/>
    <n v="29.641666666666666"/>
    <s v="22 - 30"/>
  </r>
  <r>
    <n v="99910462"/>
    <s v="Θ"/>
    <x v="1"/>
    <x v="1"/>
    <m/>
    <m/>
    <s v="Β΄"/>
    <n v="3"/>
    <s v="Φ.Ι.Α.2/26374/9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10-03T00:00:00"/>
    <x v="1"/>
    <s v="ΔΙΕΥΘΥΝΣΗ Π.Ε. ΑΝΑΤΟΛΙΚΗΣ ΑΤΤΙΚΗΣ"/>
    <n v="29.647222222222222"/>
    <s v="22 - 30"/>
  </r>
  <r>
    <n v="99910463"/>
    <s v="Θ"/>
    <x v="1"/>
    <x v="1"/>
    <m/>
    <m/>
    <s v="Β΄"/>
    <n v="3"/>
    <s v="Φ.Ι.Α.2/26375/9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9-27T00:00:00"/>
    <x v="1"/>
    <s v="ΔΙΕΥΘΥΝΣΗ Π.Ε. ΑΝΑΤΟΛΙΚΗΣ ΑΤΤΙΚΗΣ"/>
    <n v="29.663888888888888"/>
    <s v="22 - 30"/>
  </r>
  <r>
    <n v="99910464"/>
    <s v="Α"/>
    <x v="5"/>
    <x v="5"/>
    <m/>
    <m/>
    <s v="Γ΄"/>
    <n v="1"/>
    <n v="17956"/>
    <d v="2018-09-1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d v="2018-09-1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9-09-25T00:00:00"/>
    <x v="0"/>
    <s v="ΔΙΕΥΘΥΝΣΗ Δ.Ε. ΛΑΡΙΣΑΣ"/>
    <n v="29.669444444444444"/>
    <s v="22 - 30"/>
  </r>
  <r>
    <n v="99910465"/>
    <s v="Α"/>
    <x v="14"/>
    <x v="14"/>
    <m/>
    <m/>
    <s v="Γ΄"/>
    <n v="1"/>
    <n v="21563"/>
    <d v="2018-09-01T00:00:00"/>
    <s v="Δ΄ ΑΘΗΝΑΣ (Δ.Ε.) 2018"/>
    <s v="ΔΙΕΥΘΥΝΣΗ Δ.Ε. Δ΄ ΑΘΗΝΑΣ"/>
    <s v="ΠΕΡΙΦΕΡΕΙΑΚΗ Δ/ΝΣΗ Α/ΘΜΙΑΣ ΚΑΙ Β/ΘΜΙΑΣ ΕΚΠ/ΣΗΣ ΑΤΤΙΚΗΣ"/>
    <n v="14"/>
    <s v="ΟΧΙ"/>
    <s v="ΟΧΙ"/>
    <s v="ΟΧΙ"/>
    <s v="ΟΧΙ"/>
    <s v="ΟΧΙ"/>
    <m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9-23T00:00:00"/>
    <x v="0"/>
    <s v="ΔΙΕΥΘΥΝΣΗ Δ.Ε. Δ΄ ΑΘΗΝΑΣ"/>
    <n v="29.675000000000001"/>
    <s v="22 - 30"/>
  </r>
  <r>
    <n v="99910466"/>
    <s v="Θ"/>
    <x v="1"/>
    <x v="1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9-09-23T00:00:00"/>
    <x v="1"/>
    <s v="ΔΙΕΥΘΥΝΣΗ Π.Ε. ΛΑΡΙΣΑΣ"/>
    <n v="29.675000000000001"/>
    <s v="22 - 30"/>
  </r>
  <r>
    <n v="99910467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9-15T00:00:00"/>
    <x v="0"/>
    <s v="ΔΙΕΥΘΥΝΣΗ Δ.Ε. Γ΄ ΑΘΗΝΑΣ"/>
    <n v="29.697222222222223"/>
    <s v="22 - 30"/>
  </r>
  <r>
    <n v="99910468"/>
    <s v="Α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9-15T00:00:00"/>
    <x v="1"/>
    <s v="ΔΙΕΥΘΥΝΣΗ Π.Ε. ΠΕΙΡΑΙΑ"/>
    <n v="29.697222222222223"/>
    <s v="22 - 30"/>
  </r>
  <r>
    <n v="99910469"/>
    <s v="Θ"/>
    <x v="2"/>
    <x v="2"/>
    <m/>
    <m/>
    <s v="Γ΄"/>
    <n v="1"/>
    <n v="191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9-11T00:00:00"/>
    <x v="1"/>
    <s v="ΔΙΕΥΘΥΝΣΗ Π.Ε. Β΄ ΑΘΗΝΑΣ"/>
    <n v="29.708333333333332"/>
    <s v="22 - 30"/>
  </r>
  <r>
    <n v="99910470"/>
    <s v="Θ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9-11T00:00:00"/>
    <x v="1"/>
    <s v="ΔΙΕΥΘΥΝΣΗ Π.Ε. ΑΝΑΤ. ΘΕΣ/ΝΙΚΗΣ"/>
    <n v="29.708333333333332"/>
    <s v="22 - 30"/>
  </r>
  <r>
    <n v="99910471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23"/>
    <s v="ΙΔΙΩΤΙΚΟ ΝΗΠΙΑΓΩΓΕΙΟ- ΣΥΓΧΡΟΝΟ ΝΗΠΙΑΓΩΓΕΙΟ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9-09-06T00:00:00"/>
    <x v="1"/>
    <s v="ΔΙΕΥΘΥΝΣΗ Π.Ε. ΦΘΙΩΤΙΔΑΣ"/>
    <n v="29.722222222222221"/>
    <s v="22 - 30"/>
  </r>
  <r>
    <n v="99910472"/>
    <s v="Θ"/>
    <x v="8"/>
    <x v="8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6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9-08-31T00:00:00"/>
    <x v="0"/>
    <s v="ΔΙΕΥΘΥΝΣΗ Δ.Ε. ΙΩΑΝΝΙΝΩΝ"/>
    <n v="29.738888888888887"/>
    <s v="22 - 30"/>
  </r>
  <r>
    <n v="99910473"/>
    <s v="Θ"/>
    <x v="2"/>
    <x v="2"/>
    <m/>
    <m/>
    <s v="Γ΄"/>
    <n v="1"/>
    <n v="20317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49"/>
    <s v="Παιδαγωγικά Εργαστήρια Ε.Π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8-19T00:00:00"/>
    <x v="1"/>
    <s v="ΔΙΕΥΘΥΝΣΗ Π.Ε. Δ΄ ΑΘΗΝΑΣ"/>
    <n v="29.772222222222222"/>
    <s v="22 - 30"/>
  </r>
  <r>
    <n v="99910474"/>
    <s v="Θ"/>
    <x v="3"/>
    <x v="3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6"/>
    <s v="ΟΧΙ"/>
    <s v="ΟΧΙ"/>
    <s v="ΟΧΙ"/>
    <s v="ΟΧΙ"/>
    <s v="ΟΧΙ"/>
    <m/>
    <d v="2018-09-03T00:00:00"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8-17T00:00:00"/>
    <x v="0"/>
    <s v="ΔΙΕΥΘΥΝΣΗ Δ.Ε. Δ΄ ΑΘΗΝΑΣ"/>
    <n v="29.777777777777779"/>
    <s v="22 - 30"/>
  </r>
  <r>
    <n v="99910475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8-07T00:00:00"/>
    <x v="1"/>
    <s v="ΔΙΕΥΘΥΝΣΗ Π.Ε. ΠΕΙΡΑΙΑ"/>
    <n v="29.805555555555557"/>
    <s v="22 - 30"/>
  </r>
  <r>
    <n v="99910476"/>
    <s v="Θ"/>
    <x v="1"/>
    <x v="1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8-03T00:00:00"/>
    <x v="1"/>
    <s v="ΔΙΕΥΘΥΝΣΗ Π.Ε. ΑΝΑΤ. ΘΕΣ/ΝΙΚΗΣ"/>
    <n v="29.816666666666666"/>
    <s v="22 - 30"/>
  </r>
  <r>
    <n v="99910477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161"/>
    <s v="ΣΥΣΤΕΓΑΖΟΜΕΝΟ ΝΗΠΙΑΓΩΓΕΙΟ - ΧΡΥΣΑΝΘΗ ΠΟΛΥΖΟΥ ΚΑΙ ΣΙΑ ΕΠΕ - LIBERTYS SCHOΟL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8-02T00:00:00"/>
    <x v="1"/>
    <s v="ΔΙΕΥΘΥΝΣΗ Π.Ε. Β΄ ΑΘΗΝΑΣ"/>
    <n v="29.819444444444443"/>
    <s v="22 - 30"/>
  </r>
  <r>
    <n v="99910478"/>
    <s v="Θ"/>
    <x v="1"/>
    <x v="1"/>
    <m/>
    <m/>
    <s v="Γ΄"/>
    <n v="1"/>
    <n v="933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9-08-02T00:00:00"/>
    <x v="1"/>
    <s v="ΔΙΕΥΘΥΝΣΗ Π.Ε. ΛΑΡΙΣΑΣ"/>
    <n v="29.819444444444443"/>
    <s v="22 - 30"/>
  </r>
  <r>
    <n v="99910479"/>
    <s v="Θ"/>
    <x v="0"/>
    <x v="0"/>
    <m/>
    <m/>
    <s v="Γ΄"/>
    <n v="1"/>
    <n v="12817"/>
    <d v="2018-11-13T00:00:00"/>
    <s v="ΠΙΕΡΙΑΣ (Δ.Ε.) 2018"/>
    <s v="ΔΙΕΥΘΥΝΣΗ Δ.Ε. ΠΙΕΡΙΑΣ"/>
    <s v="ΠΕΡΙΦΕΡΕΙΑΚΗ Δ/ΝΣΗ Α/ΘΜΙΑΣ ΚΑΙ Β/ΘΜΙΑΣ ΕΚΠ/ΣΗΣ ΚΕΝΤΡΙΚΗΣ ΜΑΚΕΔΟΝΙΑΣ"/>
    <n v="23"/>
    <s v="ΟΧΙ"/>
    <m/>
    <m/>
    <m/>
    <s v="ΟΧΙ"/>
    <m/>
    <d v="2018-11-13T00:00:00"/>
    <m/>
    <x v="5"/>
    <s v=""/>
    <m/>
    <m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7-31T00:00:00"/>
    <x v="0"/>
    <s v="ΔΙΕΥΘΥΝΣΗ Δ.Ε. ΠΙΕΡΙΑΣ"/>
    <n v="29.824999999999999"/>
    <s v="22 - 30"/>
  </r>
  <r>
    <n v="99910480"/>
    <s v="Θ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7-30T00:00:00"/>
    <x v="1"/>
    <s v="ΔΙΕΥΘΥΝΣΗ Π.Ε. ΑΝΑΤ. ΘΕΣ/ΝΙΚΗΣ"/>
    <n v="29.827777777777779"/>
    <s v="22 - 30"/>
  </r>
  <r>
    <n v="99910481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7-28T00:00:00"/>
    <x v="1"/>
    <s v="ΔΙΕΥΘΥΝΣΗ Π.Ε. Β΄ ΑΘΗΝΑΣ"/>
    <n v="29.833333333333332"/>
    <s v="22 - 30"/>
  </r>
  <r>
    <n v="99910482"/>
    <s v="Θ"/>
    <x v="3"/>
    <x v="3"/>
    <m/>
    <m/>
    <s v="Γ΄"/>
    <n v="1"/>
    <n v="12816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10"/>
    <s v="ΟΧΙ"/>
    <m/>
    <m/>
    <m/>
    <s v="ΟΧΙ"/>
    <m/>
    <d v="2018-11-01T00:00:00"/>
    <m/>
    <x v="5"/>
    <s v=""/>
    <m/>
    <m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7-27T00:00:00"/>
    <x v="0"/>
    <s v="ΔΙΕΥΘΥΝΣΗ Δ.Ε. ΠΙΕΡΙΑΣ"/>
    <n v="29.836111111111112"/>
    <s v="22 - 30"/>
  </r>
  <r>
    <n v="99910483"/>
    <s v="Α"/>
    <x v="1"/>
    <x v="1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m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9-07-26T00:00:00"/>
    <x v="1"/>
    <s v="ΔΙΕΥΘΥΝΣΗ Π.Ε. ΙΩΑΝΝΙΝΩΝ"/>
    <n v="29.838888888888889"/>
    <s v="22 - 30"/>
  </r>
  <r>
    <n v="99910484"/>
    <s v="Θ"/>
    <x v="2"/>
    <x v="2"/>
    <m/>
    <m/>
    <s v="Γ΄"/>
    <n v="1"/>
    <n v="4"/>
    <d v="2018-09-03T00:00:00"/>
    <s v="Α΄ ΕΒΡΟΥ (Π.Ε.) 2018"/>
    <s v="ΔΙΕΥΘΥΝΣΗ Π.Ε. ΕΒΡΟΥ"/>
    <s v="ΠΕΡΙΦΕΡΕΙΑΚΗ Δ/ΝΣΗ Α/ΘΜΙΑΣ ΚΑΙ Β/ΘΜΙΑΣ ΕΚΠ/ΣΗΣ ΑΝ. ΜΑΚΕΔΟΝΙΑΣ ΚΑΙ ΘΡΑΚΗΣ"/>
    <n v="25"/>
    <s v="ΟΧΙ"/>
    <m/>
    <m/>
    <m/>
    <s v="ΟΧΙ"/>
    <m/>
    <d v="2018-09-03T00:00:00"/>
    <s v="Ιδιωτικά Σχολεία"/>
    <x v="2"/>
    <s v="7111005"/>
    <s v="ΙΔΙΩΤΙΚΟ ΝΗΠΙΑΓΩΓΕΙΟ ΑΛΕΞΑΝΔΡΟΥΠΟΛΗΣ - ΙΔΙΩΤΙΚΟ ΝΗΠΙΑΓΩΓΕΙΟ ΑΓΓΕΛΙΔΟΥ"/>
    <s v="Α΄ ΕΒΡΟΥ (Π.Ε.) 2018"/>
    <x v="55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9-07-24T00:00:00"/>
    <x v="1"/>
    <s v="ΔΙΕΥΘΥΝΣΗ Π.Ε. ΕΒΡΟΥ"/>
    <n v="29.844444444444445"/>
    <s v="22 - 30"/>
  </r>
  <r>
    <n v="99910485"/>
    <s v="Θ"/>
    <x v="14"/>
    <x v="14"/>
    <m/>
    <m/>
    <s v="Γ΄"/>
    <n v="1"/>
    <n v="18262"/>
    <d v="2018-09-01T00:00:00"/>
    <s v="Β΄ ΑΘΗΝΑΣ (Δ.Ε.) 2018"/>
    <s v="ΔΙΕΥΘΥΝΣΗ Δ.Ε. Β΄ ΑΘΗΝΑΣ"/>
    <s v="ΠΕΡΙΦΕΡΕΙΑΚΗ Δ/ΝΣΗ Α/ΘΜΙΑΣ ΚΑΙ Β/ΘΜΙΑΣ ΕΚΠ/ΣΗΣ ΑΤΤΙΚΗΣ"/>
    <n v="3"/>
    <s v="ΟΧΙ"/>
    <m/>
    <m/>
    <m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7-21T00:00:00"/>
    <x v="0"/>
    <s v="ΔΙΕΥΘΥΝΣΗ Δ.Ε. Β΄ ΑΘΗΝΑΣ"/>
    <n v="29.852777777777778"/>
    <s v="22 - 30"/>
  </r>
  <r>
    <n v="99910486"/>
    <s v="Θ"/>
    <x v="1"/>
    <x v="1"/>
    <m/>
    <m/>
    <s v="Γ΄"/>
    <n v="1"/>
    <m/>
    <m/>
    <s v="Α΄ ΜΑΓΝΗΣΙΑΣ (Π.Ε.) 2018"/>
    <s v="ΔΙΕΥΘΥΝΣΗ Π.Ε. ΜΑΓΝΗΣΙ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51004"/>
    <s v="ΙΔΙΩΤΙΚΟ ΔΗΜΟΤΙΚΟ ΑΛΛΗ ΜΕΡΙΑ - ΑΞΙΟΝ ΕΣΤΙ"/>
    <s v="Α΄ ΜΑΓΝΗΣΙΑΣ (Π.Ε.) 2018"/>
    <x v="13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9-07-18T00:00:00"/>
    <x v="1"/>
    <s v="ΔΙΕΥΘΥΝΣΗ Π.Ε. ΜΑΓΝΗΣΙΑΣ"/>
    <n v="29.861111111111111"/>
    <s v="22 - 30"/>
  </r>
  <r>
    <n v="99910487"/>
    <s v="Θ"/>
    <x v="14"/>
    <x v="14"/>
    <m/>
    <m/>
    <s v="Β΄"/>
    <n v="2"/>
    <s v="Φ.Ι.Α.3/34045/9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4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7-16T00:00:00"/>
    <x v="1"/>
    <s v="ΔΙΕΥΘΥΝΣΗ Π.Ε. ΑΝΑΤΟΛΙΚΗΣ ΑΤΤΙΚΗΣ"/>
    <n v="29.866666666666667"/>
    <s v="22 - 30"/>
  </r>
  <r>
    <n v="99910488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7-15T00:00:00"/>
    <x v="1"/>
    <s v="ΔΙΕΥΘΥΝΣΗ Π.Ε. Α΄ ΑΘΗΝΑΣ"/>
    <n v="29.869444444444444"/>
    <s v="22 - 30"/>
  </r>
  <r>
    <n v="99910489"/>
    <s v="Α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7-15T00:00:00"/>
    <x v="1"/>
    <s v="ΔΙΕΥΘΥΝΣΗ Π.Ε. ΑΝΑΤ. ΘΕΣ/ΝΙΚΗΣ"/>
    <n v="29.869444444444444"/>
    <s v="22 - 30"/>
  </r>
  <r>
    <n v="99910490"/>
    <s v="Θ"/>
    <x v="1"/>
    <x v="1"/>
    <m/>
    <m/>
    <s v="Β΄"/>
    <n v="3"/>
    <s v="Φ.Ι.Α.2/26377/7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7-12T00:00:00"/>
    <x v="1"/>
    <s v="ΔΙΕΥΘΥΝΣΗ Π.Ε. ΑΝΑΤΟΛΙΚΗΣ ΑΤΤΙΚΗΣ"/>
    <n v="29.877777777777776"/>
    <s v="22 - 30"/>
  </r>
  <r>
    <n v="99910491"/>
    <s v="Α"/>
    <x v="14"/>
    <x v="1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7-10T00:00:00"/>
    <x v="0"/>
    <s v="ΔΙΕΥΘΥΝΣΗ Δ.Ε. Γ΄ ΑΘΗΝΑΣ"/>
    <n v="29.883333333333333"/>
    <s v="22 - 30"/>
  </r>
  <r>
    <n v="99910492"/>
    <s v="Θ"/>
    <x v="9"/>
    <x v="9"/>
    <m/>
    <m/>
    <s v="Γ΄"/>
    <n v="1"/>
    <n v="18707"/>
    <d v="2018-09-11T00:00:00"/>
    <s v="Δ΄ ΑΘΗΝΑΣ (Δ.Ε.) 2018"/>
    <s v="ΔΙΕΥΘΥΝΣΗ Δ.Ε. Δ΄ ΑΘΗΝΑΣ"/>
    <s v="ΠΕΡΙΦΕΡΕΙΑΚΗ Δ/ΝΣΗ Α/ΘΜΙΑΣ ΚΑΙ Β/ΘΜΙΑΣ ΕΚΠ/ΣΗΣ ΑΤΤΙΚΗΣ"/>
    <n v="11"/>
    <s v="ΟΧΙ"/>
    <s v="ΟΧΙ"/>
    <s v="ΟΧΙ"/>
    <m/>
    <s v="ΟΧΙ"/>
    <m/>
    <d v="2018-09-11T00:00:00"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7-07T00:00:00"/>
    <x v="0"/>
    <s v="ΔΙΕΥΘΥΝΣΗ Δ.Ε. Δ΄ ΑΘΗΝΑΣ"/>
    <n v="29.891666666666666"/>
    <s v="22 - 30"/>
  </r>
  <r>
    <n v="99910493"/>
    <s v="Α"/>
    <x v="22"/>
    <x v="22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7-05T00:00:00"/>
    <x v="0"/>
    <s v="ΔΙΕΥΘΥΝΣΗ Δ.Ε. Β΄ ΑΘΗΝΑΣ"/>
    <n v="29.897222222222222"/>
    <s v="22 - 30"/>
  </r>
  <r>
    <n v="99910494"/>
    <s v="Θ"/>
    <x v="15"/>
    <x v="1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6-29T00:00:00"/>
    <x v="0"/>
    <s v="ΔΙΕΥΘΥΝΣΗ Δ.Ε. ΑΝΑΤΟΛΙΚΗΣ ΑΤΤΙΚΗΣ"/>
    <n v="29.913888888888888"/>
    <s v="22 - 30"/>
  </r>
  <r>
    <n v="99910495"/>
    <s v="Θ"/>
    <x v="1"/>
    <x v="1"/>
    <m/>
    <m/>
    <s v="Γ΄"/>
    <n v="4"/>
    <s v="Φ.17/3690"/>
    <d v="2018-09-13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8-09-13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6-29T00:00:00"/>
    <x v="1"/>
    <s v="ΔΙΕΥΘΥΝΣΗ Π.Ε. ΚΟΡΙΝΘΙΑΣ"/>
    <n v="29.913888888888888"/>
    <s v="22 - 30"/>
  </r>
  <r>
    <n v="99910496"/>
    <s v="Θ"/>
    <x v="2"/>
    <x v="2"/>
    <m/>
    <m/>
    <s v="Γ΄"/>
    <n v="1"/>
    <n v="12591"/>
    <d v="2018-09-01T00:00:00"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d v="2018-09-01T00:00:00"/>
    <s v="Ιδιωτικά Σχολεία"/>
    <x v="2"/>
    <s v="7501017"/>
    <s v="ΙΔΙΩΤΙΚΟ ΣΥΣΤΕΓΑΖΟΜΕΝΟ ΝΗΠΙΑΓΩΓΕΙΟ - ΤΟ ΚΑΣΤΡΟ ΤΟΥ ΤΡΙΛΟΛΗ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9-06-24T00:00:00"/>
    <x v="1"/>
    <s v="ΔΙΕΥΘΥΝΣΗ Π.Ε. ΧΑΝΙΩΝ"/>
    <n v="29.927777777777777"/>
    <s v="22 - 30"/>
  </r>
  <r>
    <n v="99910497"/>
    <s v="Θ"/>
    <x v="1"/>
    <x v="1"/>
    <m/>
    <m/>
    <s v="Γ΄"/>
    <n v="1"/>
    <s v="Φ.17/3688"/>
    <d v="2018-09-01T00:00:00"/>
    <s v="ΚΟΡΙΝΘΙΑΣ (Π.Ε.) 2018"/>
    <s v="ΔΙΕΥΘΥΝΣΗ Π.Ε. ΚΟΡΙΝΘΙΑΣ"/>
    <s v="ΠΕΡΙΦΕΡΕΙΑΚΗ Δ/ΝΣΗ Α/ΘΜΙΑΣ ΚΑΙ Β/ΘΜΙΑΣ ΕΚΠ/ΣΗΣ ΠΕΛΟΠΟΝΝΗΣΟΥ"/>
    <n v="20"/>
    <s v="ΟΧΙ"/>
    <s v="ΟΧΙ"/>
    <s v="ΟΧΙ"/>
    <s v="ΟΧΙ"/>
    <s v="ΟΧΙ"/>
    <m/>
    <d v="2018-09-01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6-23T00:00:00"/>
    <x v="1"/>
    <s v="ΔΙΕΥΘΥΝΣΗ Π.Ε. ΚΟΡΙΝΘΙΑΣ"/>
    <n v="29.930555555555557"/>
    <s v="22 - 30"/>
  </r>
  <r>
    <n v="99910498"/>
    <s v="Θ"/>
    <x v="1"/>
    <x v="1"/>
    <m/>
    <m/>
    <s v="Γ΄"/>
    <n v="1"/>
    <s v="Φ.17/3691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8-09-01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6-21T00:00:00"/>
    <x v="1"/>
    <s v="ΔΙΕΥΘΥΝΣΗ Π.Ε. ΚΟΡΙΝΘΙΑΣ"/>
    <n v="29.93611111111111"/>
    <s v="22 - 30"/>
  </r>
  <r>
    <n v="99910499"/>
    <s v="Θ"/>
    <x v="6"/>
    <x v="6"/>
    <m/>
    <m/>
    <s v="Γ΄"/>
    <n v="1"/>
    <n v="18766"/>
    <d v="2018-09-01T00:00:00"/>
    <s v="Α΄ ΠΕΙΡΑΙΑ (Δ.Ε.) 2018"/>
    <s v="ΔΙΕΥΘΥΝΣΗ Δ.Ε. ΠΕΙΡΑΙΑ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6-17T00:00:00"/>
    <x v="0"/>
    <s v="ΔΙΕΥΘΥΝΣΗ Δ.Ε. ΠΕΙΡΑΙΑ"/>
    <n v="29.947222222222223"/>
    <s v="22 - 30"/>
  </r>
  <r>
    <n v="99910500"/>
    <s v="Θ"/>
    <x v="1"/>
    <x v="1"/>
    <m/>
    <m/>
    <s v="Γ΄"/>
    <n v="1"/>
    <n v="1452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6-16T00:00:00"/>
    <x v="1"/>
    <s v="ΔΙΕΥΘΥΝΣΗ Π.Ε. Δ΄ ΑΘΗΝΑΣ"/>
    <n v="29.95"/>
    <s v="22 - 30"/>
  </r>
  <r>
    <n v="99910501"/>
    <s v="Θ"/>
    <x v="1"/>
    <x v="1"/>
    <m/>
    <m/>
    <s v="Γ΄"/>
    <n v="1"/>
    <s v="67249-40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6-15T00:00:00"/>
    <x v="1"/>
    <s v="ΔΙΕΥΘΥΝΣΗ Π.Ε. Β΄ ΑΘΗΝΑΣ"/>
    <n v="29.952777777777779"/>
    <s v="22 - 30"/>
  </r>
  <r>
    <n v="99910502"/>
    <s v="Θ"/>
    <x v="1"/>
    <x v="1"/>
    <m/>
    <m/>
    <s v="Γ΄"/>
    <n v="1"/>
    <n v="1459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6-14T00:00:00"/>
    <x v="1"/>
    <s v="ΔΙΕΥΘΥΝΣΗ Π.Ε. Δ΄ ΑΘΗΝΑΣ"/>
    <n v="29.955555555555556"/>
    <s v="22 - 30"/>
  </r>
  <r>
    <n v="99910503"/>
    <s v="Θ"/>
    <x v="15"/>
    <x v="15"/>
    <m/>
    <m/>
    <s v="Γ΄"/>
    <n v="4"/>
    <n v="18015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6-14T00:00:00"/>
    <x v="0"/>
    <s v="ΔΙΕΥΘΥΝΣΗ Δ.Ε. ΑΝΑΤ. ΘΕΣ/ΝΙΚΗΣ"/>
    <n v="29.955555555555556"/>
    <s v="22 - 30"/>
  </r>
  <r>
    <n v="99910504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27"/>
    <s v="ΙΔΙΩΤΙΚΟ ΝΗΠΙΑΓΩΓΕΙΟ ΘΕΣΣΑΛΟΝΙΚΗ - ΚΟΠΕΡΤΙ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6-14T00:00:00"/>
    <x v="1"/>
    <s v="ΔΙΕΥΘΥΝΣΗ Π.Ε. ΑΝΑΤ. ΘΕΣ/ΝΙΚΗΣ"/>
    <n v="29.955555555555556"/>
    <s v="22 - 30"/>
  </r>
  <r>
    <n v="99910505"/>
    <s v="Θ"/>
    <x v="1"/>
    <x v="1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s v="ΟΧΙ"/>
    <s v="ΟΧΙ"/>
    <s v="ΟΧΙ"/>
    <m/>
    <s v="ΟΧΙ"/>
    <m/>
    <m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9-06-14T00:00:00"/>
    <x v="1"/>
    <s v="ΔΙΕΥΘΥΝΣΗ Π.Ε. ΕΥΒΟΙΑΣ"/>
    <n v="29.955555555555556"/>
    <s v="22 - 30"/>
  </r>
  <r>
    <n v="99910506"/>
    <s v="Θ"/>
    <x v="2"/>
    <x v="2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177"/>
    <s v="ΙΔΙΩΤΙΚΟ ΣΥΣΤΕΓΑΖΟΜΕΝΟ ΝΗΠΙΑΓΩΓΕΙΟ - ΝΟΜΙΚΟΥ ΕΥΑΓΓΕΛ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6-12T00:00:00"/>
    <x v="1"/>
    <s v="ΔΙΕΥΘΥΝΣΗ Π.Ε. Δ΄ ΑΘΗΝΑΣ"/>
    <n v="29.961111111111112"/>
    <s v="22 - 30"/>
  </r>
  <r>
    <n v="99910507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6-12T00:00:00"/>
    <x v="1"/>
    <s v="ΔΙΕΥΘΥΝΣΗ Π.Ε. ΠΕΙΡΑΙΑ"/>
    <n v="29.961111111111112"/>
    <s v="22 - 30"/>
  </r>
  <r>
    <n v="99910508"/>
    <s v="Θ"/>
    <x v="1"/>
    <x v="1"/>
    <m/>
    <m/>
    <s v="Β΄"/>
    <n v="4"/>
    <s v="Φ.Ι.Α.3/34045/19-1-2015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6-11T00:00:00"/>
    <x v="1"/>
    <s v="ΔΙΕΥΘΥΝΣΗ Π.Ε. ΑΝΑΤΟΛΙΚΗΣ ΑΤΤΙΚΗΣ"/>
    <n v="29.963888888888889"/>
    <s v="22 - 30"/>
  </r>
  <r>
    <n v="99910509"/>
    <s v="Α"/>
    <x v="0"/>
    <x v="0"/>
    <m/>
    <m/>
    <s v="Γ΄"/>
    <n v="1"/>
    <d v="2017-09-0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9"/>
    <s v="ΟΧΙ"/>
    <s v="ΟΧΙ"/>
    <s v="ΟΧΙ"/>
    <m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6-09T00:00:00"/>
    <x v="1"/>
    <s v="ΔΙΕΥΘΥΝΣΗ Π.Ε. ΑΝΑΤ. ΘΕΣ/ΝΙΚΗΣ"/>
    <n v="29.969444444444445"/>
    <s v="22 - 30"/>
  </r>
  <r>
    <n v="99910510"/>
    <s v="Θ"/>
    <x v="7"/>
    <x v="7"/>
    <m/>
    <m/>
    <s v="Γ΄"/>
    <n v="1"/>
    <n v="22813"/>
    <d v="2018-11-13T00:00:00"/>
    <s v="Γ΄ ΑΘΗΝΑΣ (Δ.Ε.) 2018"/>
    <s v="ΔΙΕΥΘΥΝΣΗ Δ.Ε. Γ΄ ΑΘΗΝΑΣ"/>
    <s v="ΠΕΡΙΦΕΡΕΙΑΚΗ Δ/ΝΣΗ Α/ΘΜΙΑΣ ΚΑΙ Β/ΘΜΙΑΣ ΕΚΠ/ΣΗΣ ΑΤΤΙΚΗΣ"/>
    <n v="3"/>
    <s v="ΟΧΙ"/>
    <m/>
    <m/>
    <m/>
    <s v="ΟΧΙ"/>
    <m/>
    <d v="2018-11-13T00:00:00"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6-07T00:00:00"/>
    <x v="0"/>
    <s v="ΔΙΕΥΘΥΝΣΗ Δ.Ε. Γ΄ ΑΘΗΝΑΣ"/>
    <n v="29.975000000000001"/>
    <s v="22 - 30"/>
  </r>
  <r>
    <n v="99910511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6-06T00:00:00"/>
    <x v="0"/>
    <s v="ΔΙΕΥΘΥΝΣΗ Δ.Ε. Β΄ ΑΘΗΝΑΣ"/>
    <n v="29.977777777777778"/>
    <s v="22 - 30"/>
  </r>
  <r>
    <n v="99910512"/>
    <s v="Α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9"/>
    <s v="ΟΧΙ"/>
    <s v="ΟΧΙ"/>
    <s v="ΟΧΙ"/>
    <s v="ΟΧΙ"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9-06-05T00:00:00"/>
    <x v="1"/>
    <s v="ΔΙΕΥΘΥΝΣΗ Π.Ε. ΑΙΤΩΛΟΑΚΑΡΝΑΝΙΑΣ"/>
    <n v="29.980555555555554"/>
    <s v="22 - 30"/>
  </r>
  <r>
    <n v="99910513"/>
    <s v="Θ"/>
    <x v="2"/>
    <x v="2"/>
    <m/>
    <m/>
    <s v="Γ΄"/>
    <n v="1"/>
    <n v="2444"/>
    <d v="2018-09-01T00:00:00"/>
    <s v="Α΄ ΚΕΡΚΥΡΑΣ (Π.Ε.) 2018"/>
    <s v="ΔΙΕΥΘΥΝΣΗ Π.Ε. ΚΕΡΚΥΡΑΣ"/>
    <s v="ΠΕΡΙΦΕΡΕΙΑΚΗ Δ/ΝΣΗ Α/ΘΜΙΑΣ ΚΑΙ Β/ΘΜΙΑΣ ΕΚΠ/ΣΗΣ ΙΟΝΙΩΝ ΝΗΣΩΝ"/>
    <n v="30"/>
    <s v="ΟΧΙ"/>
    <m/>
    <m/>
    <m/>
    <s v="ΟΧΙ"/>
    <m/>
    <d v="2018-09-01T00:00:00"/>
    <s v="Ιδιωτικά Σχολεία"/>
    <x v="2"/>
    <s v="7241009"/>
    <s v="ΙΔΙΩΤΙΚΟ ΝΗΠΙΑΓΩΓΕΙΟ &quot;Ο,ΤΙ ΑΓΑΠΩ&quot;"/>
    <s v="Α΄ ΚΕΡΚΥΡΑΣ (Π.Ε.) 2018"/>
    <x v="18"/>
    <s v="ΠΕΡΙΦΕΡΕΙΑΚΗ Δ/ΝΣΗ Α/ΘΜΙΑΣ ΚΑΙ Β/ΘΜΙΑΣ ΕΚΠ/ΣΗΣ ΙΟΝΙΩΝ ΝΗΣΩΝ"/>
    <s v="Ιδιωτικού Δικαίου Ορισμένου Χρόνου (Ι.Δ.Ο.Χ.)"/>
    <s v="Τοποθέτηση σε Ιδιωτική Εκπαίδευση"/>
    <d v="1989-06-05T00:00:00"/>
    <x v="1"/>
    <s v="ΔΙΕΥΘΥΝΣΗ Π.Ε. ΚΕΡΚΥΡΑΣ"/>
    <n v="29.980555555555554"/>
    <s v="22 - 30"/>
  </r>
  <r>
    <n v="99910514"/>
    <s v="Α"/>
    <x v="23"/>
    <x v="23"/>
    <m/>
    <m/>
    <s v="Γ΄"/>
    <n v="1"/>
    <s v="16653/42"/>
    <d v="2018-09-01T00:00:00"/>
    <s v="Γ΄ ΑΘΗΝΑΣ (Δ.Ε.) 2018"/>
    <s v="ΔΙΕΥΘΥΝΣΗ Δ.Ε. Γ΄ ΑΘΗΝΑΣ"/>
    <s v="ΠΕΡΙΦΕΡΕΙΑΚΗ Δ/ΝΣΗ Α/ΘΜΙΑΣ ΚΑΙ Β/ΘΜΙΑΣ ΕΚΠ/ΣΗΣ ΑΤΤΙΚΗΣ"/>
    <n v="15"/>
    <s v="ΟΧΙ"/>
    <m/>
    <m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5-30T00:00:00"/>
    <x v="0"/>
    <s v="ΔΙΕΥΘΥΝΣΗ Δ.Ε. Γ΄ ΑΘΗΝΑΣ"/>
    <n v="29.997222222222224"/>
    <s v="22 - 30"/>
  </r>
  <r>
    <n v="99910515"/>
    <s v="Θ"/>
    <x v="0"/>
    <x v="0"/>
    <m/>
    <m/>
    <s v="Γ΄"/>
    <n v="1"/>
    <s v="Φ17/11143/5-10-2015"/>
    <d v="2018-09-01T00:00:00"/>
    <s v="Α΄ ΕΥΒΟΙΑΣ (Π.Ε.) 2018"/>
    <s v="ΔΙΕΥΘΥΝΣΗ Π.Ε. ΕΥΒΟΙΑΣ"/>
    <s v="ΠΕΡΙΦΕΡΕΙΑΚΗ Δ/ΝΣΗ Α/ΘΜΙΑΣ ΚΑΙ Β/ΘΜΙΑΣ ΕΚΠ/ΣΗΣ ΣΤΕΡΕΑΣ ΕΛΛΑΔΑΣ"/>
    <n v="14"/>
    <s v="ΟΧΙ"/>
    <s v="ΟΧΙ"/>
    <s v="ΟΧΙ"/>
    <m/>
    <s v="ΟΧΙ"/>
    <m/>
    <d v="2018-09-01T00:00:00"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9-05-23T00:00:00"/>
    <x v="1"/>
    <s v="ΔΙΕΥΘΥΝΣΗ Π.Ε. ΕΥΒΟΙΑΣ"/>
    <n v="30.016666666666666"/>
    <s v="22 - 30"/>
  </r>
  <r>
    <n v="99910516"/>
    <s v="Α"/>
    <x v="11"/>
    <x v="11"/>
    <m/>
    <m/>
    <s v="Γ΄"/>
    <n v="1"/>
    <s v="16298/02-10-2018"/>
    <d v="2018-09-14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m/>
    <m/>
    <m/>
    <s v="ΟΧΙ"/>
    <m/>
    <d v="2018-09-14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5-18T00:00:00"/>
    <x v="0"/>
    <s v="ΔΙΕΥΘΥΝΣΗ Δ.Ε. ΑΝΑΤΟΛΙΚΗΣ ΑΤΤΙΚΗΣ"/>
    <n v="30.030555555555555"/>
    <s v="22 - 30"/>
  </r>
  <r>
    <n v="99910517"/>
    <s v="Α"/>
    <x v="1"/>
    <x v="1"/>
    <m/>
    <m/>
    <s v="Β΄"/>
    <n v="2"/>
    <s v="10285/22-09-201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5-18T00:00:00"/>
    <x v="1"/>
    <s v="ΔΙΕΥΘΥΝΣΗ Π.Ε. Δ΄ ΑΘΗΝΑΣ"/>
    <n v="30.030555555555555"/>
    <s v="22 - 30"/>
  </r>
  <r>
    <n v="99910518"/>
    <s v="Θ"/>
    <x v="1"/>
    <x v="1"/>
    <m/>
    <m/>
    <s v="Β΄"/>
    <n v="3"/>
    <s v="Φ.Ι.Α.2/26376/9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5-13T00:00:00"/>
    <x v="1"/>
    <s v="ΔΙΕΥΘΥΝΣΗ Π.Ε. ΑΝΑΤΟΛΙΚΗΣ ΑΤΤΙΚΗΣ"/>
    <n v="30.044444444444444"/>
    <s v="22 - 30"/>
  </r>
  <r>
    <n v="99910519"/>
    <s v="Α"/>
    <x v="1"/>
    <x v="1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s v="ΟΧΙ"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9-05-11T00:00:00"/>
    <x v="1"/>
    <s v="ΔΙΕΥΘΥΝΣΗ Π.Ε. ΚΥΚΛΑΔΩΝ"/>
    <n v="30.05"/>
    <s v="22 - 30"/>
  </r>
  <r>
    <n v="99910520"/>
    <s v="Θ"/>
    <x v="1"/>
    <x v="1"/>
    <m/>
    <m/>
    <s v="Γ΄"/>
    <n v="1"/>
    <s v="ΩΒΟΠ4653ΠΣ-ΥΗΛ"/>
    <d v="2017-02-20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7-02-20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5-08T00:00:00"/>
    <x v="1"/>
    <s v="ΔΙΕΥΘΥΝΣΗ Π.Ε. Δ΄ ΑΘΗΝΑΣ"/>
    <n v="30.058333333333334"/>
    <s v="22 - 30"/>
  </r>
  <r>
    <n v="99910521"/>
    <s v="Θ"/>
    <x v="2"/>
    <x v="2"/>
    <m/>
    <m/>
    <s v="Γ΄"/>
    <n v="1"/>
    <s v="24511/05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61"/>
    <s v="ΙΔΙΩΤΙΚΟ ΝΗΠΙΑΓΩΓΕΙΟ ΤΡΙΛΟΦΟΣ - ΤΟ ΣΧΟΛΕΙΟ ΤΗΣ ΦΥΣ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5-08T00:00:00"/>
    <x v="1"/>
    <s v="ΔΙΕΥΘΥΝΣΗ Π.Ε. ΑΝΑΤ. ΘΕΣ/ΝΙΚΗΣ"/>
    <n v="30.058333333333334"/>
    <s v="22 - 30"/>
  </r>
  <r>
    <n v="99910522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1065"/>
    <s v="ΣΥΣΤΕΓΑΖΟΜΕΝΟ ΝΗΠΙΑΓΩΓΕΙΟ - ΜΕΛΩΔΙΑ ΑΓΓΕΛΙΚΗ ΣΑΡΡΑ &amp; ΣΙΑ ΟΕ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5-03T00:00:00"/>
    <x v="1"/>
    <s v="ΔΙΕΥΘΥΝΣΗ Π.Ε. Α΄ ΑΘΗΝΑΣ"/>
    <n v="30.072222222222223"/>
    <s v="22 - 30"/>
  </r>
  <r>
    <n v="99910523"/>
    <s v="Θ"/>
    <x v="1"/>
    <x v="1"/>
    <m/>
    <m/>
    <s v="Γ΄"/>
    <n v="4"/>
    <s v="ΒΜΦΤ465ΦΘ3-ΠΤ6"/>
    <d v="2015-04-27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5-04-27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5-01T00:00:00"/>
    <x v="1"/>
    <s v="ΔΙΕΥΘΥΝΣΗ Π.Ε. Β΄ ΑΘΗΝΑΣ"/>
    <n v="30.077777777777779"/>
    <s v="22 - 30"/>
  </r>
  <r>
    <n v="99910524"/>
    <s v="Θ"/>
    <x v="1"/>
    <x v="1"/>
    <m/>
    <m/>
    <s v="Γ΄"/>
    <n v="1"/>
    <s v="14429/05-12-201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4-29T00:00:00"/>
    <x v="1"/>
    <s v="ΔΙΕΥΘΥΝΣΗ Π.Ε. Δ΄ ΑΘΗΝΑΣ"/>
    <n v="30.083333333333332"/>
    <s v="22 - 30"/>
  </r>
  <r>
    <n v="99910525"/>
    <s v="Α"/>
    <x v="1"/>
    <x v="1"/>
    <m/>
    <m/>
    <s v="Α΄"/>
    <n v="1"/>
    <s v="6ΕΕΓ4653ΠΣ-1ΞΥ"/>
    <d v="2015-11-16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5-11-16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9-04-29T00:00:00"/>
    <x v="1"/>
    <s v="ΔΙΕΥΘΥΝΣΗ Π.Ε. ΙΩΑΝΝΙΝΩΝ"/>
    <n v="30.083333333333332"/>
    <s v="22 - 30"/>
  </r>
  <r>
    <n v="99910526"/>
    <s v="Θ"/>
    <x v="14"/>
    <x v="14"/>
    <m/>
    <m/>
    <s v="Γ΄"/>
    <n v="1"/>
    <s v="501/13155/8-12-2017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4-27T00:00:00"/>
    <x v="1"/>
    <s v="ΔΙΕΥΘΥΝΣΗ Π.Ε. Β΄ ΑΘΗΝΑΣ"/>
    <n v="30.088888888888889"/>
    <s v="22 - 30"/>
  </r>
  <r>
    <n v="99910527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09"/>
    <s v="ΙΔΙΩΤΙΚΟ ΝΗΠΙΑΓΩΓΕΙΟ ΛΑΜΙΑ - ΠΑΙΔΙΚΗ ΓΩΝΙ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9-04-26T00:00:00"/>
    <x v="1"/>
    <s v="ΔΙΕΥΘΥΝΣΗ Π.Ε. ΦΘΙΩΤΙΔΑΣ"/>
    <n v="30.091666666666665"/>
    <s v="22 - 30"/>
  </r>
  <r>
    <n v="99910528"/>
    <s v="Θ"/>
    <x v="0"/>
    <x v="0"/>
    <m/>
    <m/>
    <s v="Γ΄"/>
    <n v="1"/>
    <s v="17336/01-09-2018"/>
    <d v="2018-09-01T00:00:00"/>
    <s v="ΛΑΡΙΣΑΣ (Δ.Ε.) 2018"/>
    <s v="ΔΙΕΥΘΥΝΣΗ Δ.Ε. ΛΑΡΙΣΑΣ"/>
    <s v="ΠΕΡΙΦΕΡΕΙΑΚΗ Δ/ΝΣΗ Α/ΘΜΙΑΣ ΚΑΙ Β/ΘΜΙΑΣ ΕΚΠ/ΣΗΣ ΘΕΣΣΑΛΙΑΣ"/>
    <n v="5"/>
    <s v="ΟΧΙ"/>
    <s v="ΟΧΙ"/>
    <s v="ΟΧΙ"/>
    <m/>
    <s v="ΟΧΙ"/>
    <m/>
    <d v="2018-09-01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9-04-25T00:00:00"/>
    <x v="0"/>
    <s v="ΔΙΕΥΘΥΝΣΗ Δ.Ε. ΛΑΡΙΣΑΣ"/>
    <n v="30.094444444444445"/>
    <s v="22 - 30"/>
  </r>
  <r>
    <n v="99910529"/>
    <s v="Θ"/>
    <x v="0"/>
    <x v="0"/>
    <m/>
    <m/>
    <s v="Γ΄"/>
    <n v="1"/>
    <n v="785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4-22T00:00:00"/>
    <x v="0"/>
    <s v="ΔΙΕΥΘΥΝΣΗ Δ.Ε. Δ΄ ΑΘΗΝΑΣ"/>
    <n v="30.102777777777778"/>
    <s v="22 - 30"/>
  </r>
  <r>
    <n v="99910530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4-19T00:00:00"/>
    <x v="0"/>
    <s v="ΔΙΕΥΘΥΝΣΗ Δ.Ε. Γ΄ ΑΘΗΝΑΣ"/>
    <n v="30.111111111111111"/>
    <s v="22 - 30"/>
  </r>
  <r>
    <n v="99910531"/>
    <s v="Θ"/>
    <x v="2"/>
    <x v="2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4175"/>
    <s v="ΙΔΙΩΤΙΚΟ ΝΗΠΙΑΓΩΓΕΙΟ - ΤΑ ΠΡΩΤΑ ΧΡΟΝ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4-16T00:00:00"/>
    <x v="1"/>
    <s v="ΔΙΕΥΘΥΝΣΗ Π.Ε. Δ΄ ΑΘΗΝΑΣ"/>
    <n v="30.119444444444444"/>
    <s v="22 - 30"/>
  </r>
  <r>
    <n v="99910532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4-12T00:00:00"/>
    <x v="1"/>
    <s v="ΔΙΕΥΘΥΝΣΗ Π.Ε. ΠΕΙΡΑΙΑ"/>
    <n v="30.130555555555556"/>
    <s v="22 - 30"/>
  </r>
  <r>
    <n v="99910533"/>
    <s v="Θ"/>
    <x v="14"/>
    <x v="14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4-09T00:00:00"/>
    <x v="1"/>
    <s v="ΔΙΕΥΘΥΝΣΗ Π.Ε. Β΄ ΑΘΗΝΑΣ"/>
    <n v="30.138888888888889"/>
    <s v="22 - 30"/>
  </r>
  <r>
    <n v="99910534"/>
    <s v="Θ"/>
    <x v="1"/>
    <x v="1"/>
    <m/>
    <m/>
    <s v="Γ΄"/>
    <n v="1"/>
    <s v="ΩΞ484653ΠΣ-Ι78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0"/>
    <s v="ΙΔΙΩΤΙΚΟ ΔΗΜΟΤΙΚΟ - ΠΑΝ. ΚΟΥΤΣΟΜΑΛΗΣ &amp; ΣΙΑ Ε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4-07T00:00:00"/>
    <x v="1"/>
    <s v="ΔΙΕΥΘΥΝΣΗ Π.Ε. Δ΄ ΑΘΗΝΑΣ"/>
    <n v="30.144444444444446"/>
    <s v="22 - 30"/>
  </r>
  <r>
    <n v="99910535"/>
    <s v="Α"/>
    <x v="3"/>
    <x v="3"/>
    <m/>
    <m/>
    <s v="Γ΄"/>
    <n v="1"/>
    <s v="ΑΠ1893132"/>
    <d v="2018-09-19T00:00:00"/>
    <s v="Α΄ ΜΑΓΝΗΣΙΑΣ (Δ.Ε.) 2018"/>
    <s v="ΔΙΕΥΘΥΝΣΗ Δ.Ε. ΜΑΓΝΗΣΙΑΣ"/>
    <s v="ΠΕΡΙΦΕΡΕΙΑΚΗ Δ/ΝΣΗ Α/ΘΜΙΑΣ ΚΑΙ Β/ΘΜΙΑΣ ΕΚΠ/ΣΗΣ ΘΕΣΣΑΛΙΑΣ"/>
    <n v="23"/>
    <s v="ΟΧΙ"/>
    <m/>
    <m/>
    <m/>
    <s v="ΟΧΙ"/>
    <m/>
    <d v="2018-09-19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9-04-07T00:00:00"/>
    <x v="0"/>
    <s v="ΔΙΕΥΘΥΝΣΗ Δ.Ε. ΜΑΓΝΗΣΙΑΣ"/>
    <n v="30.144444444444446"/>
    <s v="22 - 30"/>
  </r>
  <r>
    <n v="99910536"/>
    <s v="Θ"/>
    <x v="1"/>
    <x v="1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4-07T00:00:00"/>
    <x v="1"/>
    <s v="ΔΙΕΥΘΥΝΣΗ Π.Ε. ΜΕΣΣΗΝΙΑΣ"/>
    <n v="30.144444444444446"/>
    <s v="22 - 30"/>
  </r>
  <r>
    <n v="99910537"/>
    <s v="Θ"/>
    <x v="1"/>
    <x v="1"/>
    <m/>
    <m/>
    <s v="Γ΄"/>
    <n v="1"/>
    <n v="9062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9-04-04T00:00:00"/>
    <x v="1"/>
    <s v="ΔΙΕΥΘΥΝΣΗ Π.Ε. ΛΑΡΙΣΑΣ"/>
    <n v="30.152777777777779"/>
    <s v="22 - 30"/>
  </r>
  <r>
    <n v="99910538"/>
    <s v="Θ"/>
    <x v="1"/>
    <x v="1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3-24T00:00:00"/>
    <x v="1"/>
    <s v="ΔΙΕΥΘΥΝΣΗ Π.Ε. ΑΝΑΤ. ΘΕΣ/ΝΙΚΗΣ"/>
    <n v="30.183333333333334"/>
    <s v="22 - 30"/>
  </r>
  <r>
    <n v="99910539"/>
    <s v="Θ"/>
    <x v="9"/>
    <x v="9"/>
    <m/>
    <m/>
    <s v="Γ΄"/>
    <n v="1"/>
    <n v="19331"/>
    <d v="2018-09-24T00:00:00"/>
    <s v="Α΄ ΠΕΙΡΑΙΑ (Δ.Ε.) 2018"/>
    <s v="ΔΙΕΥΘΥΝΣΗ Δ.Ε. ΠΕΙΡΑΙΑ"/>
    <s v="ΠΕΡΙΦΕΡΕΙΑΚΗ Δ/ΝΣΗ Α/ΘΜΙΑΣ ΚΑΙ Β/ΘΜΙΑΣ ΕΚΠ/ΣΗΣ ΑΤΤΙΚΗΣ"/>
    <n v="4"/>
    <s v="ΟΧΙ"/>
    <m/>
    <m/>
    <m/>
    <s v="ΟΧΙ"/>
    <m/>
    <d v="2018-09-24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3-20T00:00:00"/>
    <x v="0"/>
    <s v="ΔΙΕΥΘΥΝΣΗ Δ.Ε. ΠΕΙΡΑΙΑ"/>
    <n v="30.194444444444443"/>
    <s v="22 - 30"/>
  </r>
  <r>
    <n v="99910540"/>
    <s v="Θ"/>
    <x v="14"/>
    <x v="14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3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9-03-20T00:00:00"/>
    <x v="0"/>
    <s v="ΔΙΕΥΘΥΝΣΗ Δ.Ε. ΚΥΚΛΑΔΩΝ"/>
    <n v="30.194444444444443"/>
    <s v="22 - 30"/>
  </r>
  <r>
    <n v="99910541"/>
    <s v="Α"/>
    <x v="1"/>
    <x v="1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9-03-20T00:00:00"/>
    <x v="1"/>
    <s v="ΔΙΕΥΘΥΝΣΗ Π.Ε. ΚΥΚΛΑΔΩΝ"/>
    <n v="30.194444444444443"/>
    <s v="22 - 30"/>
  </r>
  <r>
    <n v="99910542"/>
    <s v="Θ"/>
    <x v="1"/>
    <x v="1"/>
    <m/>
    <m/>
    <s v="Γ΄"/>
    <n v="1"/>
    <s v="ΨΔΧΟ4653ΠΣ-ΦΟΡ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9-03-17T00:00:00"/>
    <x v="1"/>
    <s v="ΔΙΕΥΘΥΝΣΗ Π.Ε. ΑΙΤΩΛΟΑΚΑΡΝΑΝΙΑΣ"/>
    <n v="30.202777777777779"/>
    <s v="22 - 30"/>
  </r>
  <r>
    <n v="99910543"/>
    <s v="Θ"/>
    <x v="18"/>
    <x v="18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3-16T00:00:00"/>
    <x v="0"/>
    <s v="ΔΙΕΥΘΥΝΣΗ Δ.Ε. Δ΄ ΑΘΗΝΑΣ"/>
    <n v="30.205555555555556"/>
    <s v="22 - 30"/>
  </r>
  <r>
    <n v="99910544"/>
    <s v="Θ"/>
    <x v="1"/>
    <x v="1"/>
    <m/>
    <m/>
    <s v="Α΄"/>
    <n v="1"/>
    <s v="728Φ4653ΠΣ-ΛΥ4"/>
    <d v="2015-11-09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11-09T00:00:00"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3-12T00:00:00"/>
    <x v="1"/>
    <s v="ΔΙΕΥΘΥΝΣΗ Π.Ε. ΑΝΑΤΟΛΙΚΗΣ ΑΤΤΙΚΗΣ"/>
    <n v="30.216666666666665"/>
    <s v="22 - 30"/>
  </r>
  <r>
    <n v="99910545"/>
    <s v="Θ"/>
    <x v="2"/>
    <x v="2"/>
    <m/>
    <m/>
    <s v="Γ΄"/>
    <n v="1"/>
    <s v="Φ.17/3678/13-9-2018"/>
    <d v="2018-09-11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8-09-11T00:00:00"/>
    <s v="Ιδιωτικά Σχολεία"/>
    <x v="2"/>
    <s v="7281011"/>
    <s v="ΙΔΙΩΤΙΚΟ ΝΗΠΙΑΓΩΓΕΙΟ ΤΩΝ ΕΚΠΑΙΔΕΥΤΗΡΙΩΝ ΑΤΣΟΓΛΟΥ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9-03-09T00:00:00"/>
    <x v="1"/>
    <s v="ΔΙΕΥΘΥΝΣΗ Π.Ε. ΚΟΡΙΝΘΙΑΣ"/>
    <n v="30.225000000000001"/>
    <s v="22 - 30"/>
  </r>
  <r>
    <n v="99910546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2-23T00:00:00"/>
    <x v="1"/>
    <s v="ΔΙΕΥΘΥΝΣΗ Π.Ε. ΠΕΙΡΑΙΑ"/>
    <n v="30.263888888888889"/>
    <s v="22 - 30"/>
  </r>
  <r>
    <n v="99910547"/>
    <s v="Θ"/>
    <x v="6"/>
    <x v="6"/>
    <m/>
    <m/>
    <s v="Γ΄"/>
    <n v="1"/>
    <n v="24050"/>
    <d v="2018-09-16T00:00:00"/>
    <s v="Α΄ ΠΕΙΡΑΙΑ (Δ.Ε.) 2018"/>
    <s v="ΔΙΕΥΘΥΝΣΗ Δ.Ε. ΠΕΙΡΑΙΑ"/>
    <s v="ΠΕΡΙΦΕΡΕΙΑΚΗ Δ/ΝΣΗ Α/ΘΜΙΑΣ ΚΑΙ Β/ΘΜΙΑΣ ΕΚΠ/ΣΗΣ ΑΤΤΙΚΗΣ"/>
    <n v="6"/>
    <s v="ΟΧΙ"/>
    <m/>
    <m/>
    <m/>
    <s v="ΟΧΙ"/>
    <m/>
    <d v="2018-09-16T00:00:00"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2-22T00:00:00"/>
    <x v="0"/>
    <s v="ΔΙΕΥΘΥΝΣΗ Δ.Ε. ΠΕΙΡΑΙΑ"/>
    <n v="30.266666666666666"/>
    <s v="22 - 30"/>
  </r>
  <r>
    <n v="99910548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27"/>
    <s v="ΙΔΙΩΤΙΚΟ ΝΗΠΙΑΓΩΓΕΙΟ ΘΕΣΣΑΛΟΝΙΚΗ - ΚΟΠΕΡΤΙ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2-21T00:00:00"/>
    <x v="1"/>
    <s v="ΔΙΕΥΘΥΝΣΗ Π.Ε. ΑΝΑΤ. ΘΕΣ/ΝΙΚΗΣ"/>
    <n v="30.269444444444446"/>
    <s v="22 - 30"/>
  </r>
  <r>
    <n v="99910549"/>
    <s v="Θ"/>
    <x v="0"/>
    <x v="0"/>
    <m/>
    <m/>
    <s v="Γ΄"/>
    <n v="1"/>
    <s v="12821/13-11-2018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21"/>
    <s v="ΟΧΙ"/>
    <m/>
    <m/>
    <m/>
    <s v="ΟΧΙ"/>
    <m/>
    <d v="2018-11-01T00:00:00"/>
    <m/>
    <x v="5"/>
    <s v=""/>
    <m/>
    <m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2-17T00:00:00"/>
    <x v="0"/>
    <s v="ΔΙΕΥΘΥΝΣΗ Δ.Ε. ΠΙΕΡΙΑΣ"/>
    <n v="30.280555555555555"/>
    <s v="22 - 30"/>
  </r>
  <r>
    <n v="99910550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2-15T00:00:00"/>
    <x v="1"/>
    <s v="ΔΙΕΥΘΥΝΣΗ Π.Ε. Β΄ ΑΘΗΝΑΣ"/>
    <n v="30.286111111111111"/>
    <s v="22 - 30"/>
  </r>
  <r>
    <n v="99910551"/>
    <s v="Θ"/>
    <x v="2"/>
    <x v="2"/>
    <m/>
    <m/>
    <s v="Γ΄"/>
    <n v="1"/>
    <s v="Φ.17/3848"/>
    <d v="2018-09-01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8-09-01T00:00:00"/>
    <s v="Ιδιωτικά Σχολεία"/>
    <x v="2"/>
    <s v="7281007"/>
    <s v="ΙΔΙΩΤΙΚΟ ΝΗΠΙΑΓΩΓΕΙΟ ΓΑΛΟΤΑ ΙΣΘΜΟΥ - ΝΗΠΙΑΓΩΓΕΙΟ ΧΑΛΚΙΑ-ΤΑΒΟΥΛΑΡΗ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9-02-15T00:00:00"/>
    <x v="1"/>
    <s v="ΔΙΕΥΘΥΝΣΗ Π.Ε. ΚΟΡΙΝΘΙΑΣ"/>
    <n v="30.286111111111111"/>
    <s v="22 - 30"/>
  </r>
  <r>
    <n v="99910552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23"/>
    <s v="2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2-12T00:00:00"/>
    <x v="1"/>
    <s v="ΔΙΕΥΘΥΝΣΗ Π.Ε. ΑΝΑΤΟΛΙΚΗΣ ΑΤΤΙΚΗΣ"/>
    <n v="30.294444444444444"/>
    <s v="22 - 30"/>
  </r>
  <r>
    <n v="99910553"/>
    <s v="Θ"/>
    <x v="0"/>
    <x v="0"/>
    <m/>
    <m/>
    <s v="Γ΄"/>
    <n v="1"/>
    <n v="1459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2-12T00:00:00"/>
    <x v="1"/>
    <s v="ΔΙΕΥΘΥΝΣΗ Π.Ε. Δ΄ ΑΘΗΝΑΣ"/>
    <n v="30.294444444444444"/>
    <s v="22 - 30"/>
  </r>
  <r>
    <n v="99910554"/>
    <s v="Θ"/>
    <x v="24"/>
    <x v="24"/>
    <m/>
    <m/>
    <s v="Γ΄"/>
    <n v="1"/>
    <n v="16390"/>
    <d v="2018-09-11T00:00:00"/>
    <s v="Δ΄ ΑΘΗΝΑΣ (Δ.Ε.) 2018"/>
    <s v="ΔΙΕΥΘΥΝΣΗ Δ.Ε. Δ΄ ΑΘΗΝΑΣ"/>
    <s v="ΠΕΡΙΦΕΡΕΙΑΚΗ Δ/ΝΣΗ Α/ΘΜΙΑΣ ΚΑΙ Β/ΘΜΙΑΣ ΕΚΠ/ΣΗΣ ΑΤΤΙΚΗΣ"/>
    <n v="6"/>
    <s v="ΟΧΙ"/>
    <s v="ΟΧΙ"/>
    <s v="ΟΧΙ"/>
    <s v="ΟΧΙ"/>
    <s v="ΟΧΙ"/>
    <m/>
    <d v="2018-09-11T00:00:00"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2-09T00:00:00"/>
    <x v="0"/>
    <s v="ΔΙΕΥΘΥΝΣΗ Δ.Ε. Δ΄ ΑΘΗΝΑΣ"/>
    <n v="30.302777777777777"/>
    <s v="22 - 30"/>
  </r>
  <r>
    <n v="99910555"/>
    <s v="Θ"/>
    <x v="1"/>
    <x v="1"/>
    <m/>
    <m/>
    <s v="Α΄"/>
    <n v="5"/>
    <s v="Φ.Ι.Α.6/27790/3-10-2017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9-02-09T00:00:00"/>
    <x v="1"/>
    <s v="ΔΙΕΥΘΥΝΣΗ Π.Ε. ΑΝΑΤΟΛΙΚΗΣ ΑΤΤΙΚΗΣ"/>
    <n v="30.302777777777777"/>
    <s v="22 - 30"/>
  </r>
  <r>
    <n v="99910556"/>
    <s v="Θ"/>
    <x v="11"/>
    <x v="11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2-06T00:00:00"/>
    <x v="0"/>
    <s v="ΔΙΕΥΘΥΝΣΗ Δ.Ε. Β΄ ΑΘΗΝΑΣ"/>
    <n v="30.31111111111111"/>
    <s v="22 - 30"/>
  </r>
  <r>
    <n v="99910557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9-02-05T00:00:00"/>
    <x v="0"/>
    <s v="ΔΙΕΥΘΥΝΣΗ Δ.Ε. Β΄ ΑΘΗΝΑΣ"/>
    <n v="30.31388888888889"/>
    <s v="22 - 30"/>
  </r>
  <r>
    <n v="99910558"/>
    <s v="Θ"/>
    <x v="3"/>
    <x v="3"/>
    <m/>
    <m/>
    <s v="Γ΄"/>
    <n v="1"/>
    <n v="21562"/>
    <d v="2018-09-01T00:00:00"/>
    <s v="Δ΄ ΑΘΗΝΑΣ (Δ.Ε.) 2018"/>
    <s v="ΔΙΕΥΘΥΝΣΗ Δ.Ε. Δ΄ ΑΘΗΝΑΣ"/>
    <s v="ΠΕΡΙΦΕΡΕΙΑΚΗ Δ/ΝΣΗ Α/ΘΜΙΑΣ ΚΑΙ Β/ΘΜΙΑΣ ΕΚΠ/ΣΗΣ ΑΤΤΙΚΗΣ"/>
    <n v="16"/>
    <s v="ΟΧΙ"/>
    <m/>
    <m/>
    <m/>
    <s v="ΟΧΙ"/>
    <m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1-31T00:00:00"/>
    <x v="0"/>
    <s v="ΔΙΕΥΘΥΝΣΗ Δ.Ε. Δ΄ ΑΘΗΝΑΣ"/>
    <n v="30.327777777777779"/>
    <s v="22 - 30"/>
  </r>
  <r>
    <n v="99910559"/>
    <s v="Α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9-01-22T00:00:00"/>
    <x v="1"/>
    <s v="ΔΙΕΥΘΥΝΣΗ Π.Ε. ΧΑΝΙΩΝ"/>
    <n v="30.352777777777778"/>
    <s v="22 - 30"/>
  </r>
  <r>
    <n v="99910560"/>
    <s v="Θ"/>
    <x v="15"/>
    <x v="1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1-16T00:00:00"/>
    <x v="0"/>
    <s v="ΔΙΕΥΘΥΝΣΗ Δ.Ε. Β΄ ΑΘΗΝΑΣ"/>
    <n v="30.369444444444444"/>
    <s v="22 - 30"/>
  </r>
  <r>
    <n v="99910561"/>
    <s v="Θ"/>
    <x v="3"/>
    <x v="3"/>
    <m/>
    <m/>
    <s v="Γ΄"/>
    <n v="1"/>
    <n v="11290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1-14T00:00:00"/>
    <x v="0"/>
    <s v="ΔΙΕΥΘΥΝΣΗ Δ.Ε. ΠΙΕΡΙΑΣ"/>
    <n v="30.375"/>
    <s v="22 - 30"/>
  </r>
  <r>
    <n v="99910562"/>
    <s v="Α"/>
    <x v="7"/>
    <x v="7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9-01-07T00:00:00"/>
    <x v="0"/>
    <s v="ΔΙΕΥΘΥΝΣΗ Δ.Ε. ΛΑΡΙΣΑΣ"/>
    <n v="30.394444444444446"/>
    <s v="22 - 30"/>
  </r>
  <r>
    <n v="99910563"/>
    <s v="Θ"/>
    <x v="0"/>
    <x v="0"/>
    <m/>
    <m/>
    <s v="Γ΄"/>
    <n v="1"/>
    <s v="12820/13-11-2018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23"/>
    <s v="ΟΧΙ"/>
    <m/>
    <m/>
    <m/>
    <s v="ΟΧΙ"/>
    <m/>
    <d v="2018-11-01T00:00:00"/>
    <m/>
    <x v="5"/>
    <s v=""/>
    <m/>
    <m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1-07T00:00:00"/>
    <x v="0"/>
    <s v="ΔΙΕΥΘΥΝΣΗ Δ.Ε. ΠΙΕΡΙΑΣ"/>
    <n v="30.394444444444446"/>
    <s v="22 - 30"/>
  </r>
  <r>
    <n v="99910564"/>
    <s v="Θ"/>
    <x v="1"/>
    <x v="1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s v="ΟΧΙ"/>
    <s v="ΟΧΙ"/>
    <s v="ΟΧΙ"/>
    <m/>
    <s v="ΟΧΙ"/>
    <m/>
    <m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9-01-05T00:00:00"/>
    <x v="1"/>
    <s v="ΔΙΕΥΘΥΝΣΗ Π.Ε. ΕΥΒΟΙΑΣ"/>
    <n v="30.4"/>
    <s v="22 - 30"/>
  </r>
  <r>
    <n v="99910565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3T00:00:00"/>
    <x v="1"/>
    <s v="ΔΙΕΥΘΥΝΣΗ Π.Ε. Α΄ ΑΘΗΝΑΣ"/>
    <n v="30.405555555555555"/>
    <s v="22 - 30"/>
  </r>
  <r>
    <n v="99910566"/>
    <s v="Θ"/>
    <x v="2"/>
    <x v="2"/>
    <m/>
    <m/>
    <s v="Γ΄"/>
    <n v="1"/>
    <s v="3123/2-11-2017"/>
    <d v="2018-09-01T00:00:00"/>
    <s v="ΔΡΑΜΑΣ (Π.Ε.) 2018"/>
    <s v="ΔΙΕΥΘΥΝΣΗ Π.Ε. ΔΡΑΜΑΣ"/>
    <s v="ΠΕΡΙΦΕΡΕΙΑΚΗ Δ/ΝΣΗ Α/ΘΜΙΑΣ ΚΑΙ Β/ΘΜΙΑΣ ΕΚΠ/ΣΗΣ ΑΝ. ΜΑΚΕΔΟΝΙΑΣ ΚΑΙ ΘΡΑΚΗΣ"/>
    <n v="25"/>
    <s v="ΟΧΙ"/>
    <m/>
    <m/>
    <m/>
    <s v="ΟΧΙ"/>
    <m/>
    <d v="2018-09-01T00:00:00"/>
    <s v="Ιδιωτικά Σχολεία"/>
    <x v="2"/>
    <s v="7091003"/>
    <s v="ΙΔΙΩΤΙΚΟ ΝΗΠΙΑΓΩΓΕΙΟ ΔΡΑΜΑ - Ε. ΤΡΟΠΙΟΥ ΚΑΙ ΣΙΑ Ο.Ε. &quot;ΠΑΙΔΙΚΟΡΑΜΑ&quot;"/>
    <s v="ΔΡΑΜΑΣ (Π.Ε.) 2018"/>
    <x v="57"/>
    <s v="ΠΕΡΙΦΕΡΕΙΑΚΗ Δ/ΝΣΗ Α/ΘΜΙΑΣ ΚΑΙ Β/ΘΜΙΑΣ ΕΚΠ/ΣΗΣ ΑΝ. ΜΑΚΕΔΟΝΙΑΣ ΚΑΙ ΘΡΑΚΗΣ"/>
    <s v="Αναπληρωτής Ιδιωτικής Εκπαίδευσης (ν. 682/1977 άρ.35, παρ.4)"/>
    <s v="Τοποθέτηση σε Ιδιωτική Εκπαίδευση"/>
    <d v="1989-01-02T00:00:00"/>
    <x v="1"/>
    <s v="ΔΙΕΥΘΥΝΣΗ Π.Ε. ΔΡΑΜΑΣ"/>
    <n v="30.408333333333335"/>
    <s v="22 - 30"/>
  </r>
  <r>
    <n v="99910567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Α΄ ΑΘΗΝΑΣ"/>
    <n v="30.411111111111111"/>
    <s v="22 - 30"/>
  </r>
  <r>
    <n v="99910568"/>
    <s v="Θ"/>
    <x v="1"/>
    <x v="1"/>
    <m/>
    <m/>
    <s v="Α΄"/>
    <n v="1"/>
    <s v="7ΛΖ1465ΦΘ3-Γ9Ζ"/>
    <d v="2015-02-24T00:00:00"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d v="2015-02-24T00:00:00"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Α΄ ΑΘΗΝΑΣ"/>
    <n v="30.411111111111111"/>
    <s v="22 - 30"/>
  </r>
  <r>
    <n v="99910569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Α΄ ΑΘΗΝΑΣ"/>
    <n v="30.411111111111111"/>
    <s v="22 - 30"/>
  </r>
  <r>
    <n v="99910570"/>
    <s v="Α"/>
    <x v="1"/>
    <x v="1"/>
    <m/>
    <m/>
    <s v="Γ΄"/>
    <n v="1"/>
    <s v="17.2/456/11042/21-10-14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Β΄ ΑΘΗΝΑΣ"/>
    <n v="30.411111111111111"/>
    <s v="22 - 30"/>
  </r>
  <r>
    <n v="99910571"/>
    <s v="Θ"/>
    <x v="1"/>
    <x v="1"/>
    <m/>
    <m/>
    <s v="Γ΄"/>
    <n v="1"/>
    <s v="728Φ4653ΠΣ-ΛΥ4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1-01T00:00:00"/>
    <x v="1"/>
    <s v="ΔΙΕΥΘΥΝΣΗ Π.Ε. Β΄ ΑΘΗΝΑΣ"/>
    <n v="30.411111111111111"/>
    <s v="22 - 30"/>
  </r>
  <r>
    <n v="99910572"/>
    <s v="Θ"/>
    <x v="1"/>
    <x v="1"/>
    <m/>
    <m/>
    <s v="Γ΄"/>
    <n v="1"/>
    <s v="ΩΗΛΖ9-50Ζ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Β΄ ΑΘΗΝΑΣ"/>
    <n v="30.411111111111111"/>
    <s v="22 - 30"/>
  </r>
  <r>
    <n v="99910573"/>
    <s v="Θ"/>
    <x v="1"/>
    <x v="1"/>
    <m/>
    <m/>
    <s v="Γ΄"/>
    <n v="1"/>
    <s v="6ΕΕΓ4653ΠΣ-1ΞΥ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9-01-01T00:00:00"/>
    <x v="1"/>
    <s v="ΔΙΕΥΘΥΝΣΗ Π.Ε. Β΄ ΑΘΗΝΑΣ"/>
    <n v="30.411111111111111"/>
    <s v="22 - 30"/>
  </r>
  <r>
    <n v="99910574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Β΄ ΑΘΗΝΑΣ"/>
    <n v="30.411111111111111"/>
    <s v="22 - 30"/>
  </r>
  <r>
    <n v="99910575"/>
    <s v="Θ"/>
    <x v="1"/>
    <x v="1"/>
    <m/>
    <m/>
    <s v="Γ΄"/>
    <n v="1"/>
    <s v="20495/16-11-20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Δ΄ ΑΘΗΝΑΣ"/>
    <n v="30.411111111111111"/>
    <s v="22 - 30"/>
  </r>
  <r>
    <n v="99910576"/>
    <s v="Θ"/>
    <x v="1"/>
    <x v="1"/>
    <m/>
    <m/>
    <s v="Γ΄"/>
    <n v="1"/>
    <s v="13226/12-10-20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Δ΄ ΑΘΗΝΑΣ"/>
    <n v="30.411111111111111"/>
    <s v="22 - 30"/>
  </r>
  <r>
    <n v="99910577"/>
    <s v="Θ"/>
    <x v="1"/>
    <x v="1"/>
    <m/>
    <m/>
    <s v="Γ΄"/>
    <n v="1"/>
    <s v="10934/11-10-201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Δ΄ ΑΘΗΝΑΣ"/>
    <n v="30.411111111111111"/>
    <s v="22 - 30"/>
  </r>
  <r>
    <n v="99910578"/>
    <s v="Θ"/>
    <x v="1"/>
    <x v="1"/>
    <m/>
    <m/>
    <s v="Β΄"/>
    <n v="3"/>
    <s v="ΩΦΗΟ4653ΠΣ-ΡΞΥ"/>
    <d v="2015-12-14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5-12-14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Δ΄ ΑΘΗΝΑΣ"/>
    <n v="30.411111111111111"/>
    <s v="22 - 30"/>
  </r>
  <r>
    <n v="99910579"/>
    <s v="Θ"/>
    <x v="1"/>
    <x v="1"/>
    <m/>
    <m/>
    <s v="Α΄"/>
    <n v="3"/>
    <s v="6ΕΕΓ4653ΠΣ-1ΞΥ"/>
    <d v="2015-11-16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d v="2015-11-16T00:00:00"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ΠΕΙΡΑΙΑ"/>
    <n v="30.411111111111111"/>
    <s v="22 - 30"/>
  </r>
  <r>
    <n v="99910580"/>
    <s v="Θ"/>
    <x v="1"/>
    <x v="1"/>
    <m/>
    <m/>
    <s v="Α΄"/>
    <n v="1"/>
    <s v="6ΖΝΗ9-1Τ3"/>
    <d v="2014-12-30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5-01-07T00:00:00"/>
    <s v="Ιδιωτικά Σχολεία"/>
    <x v="1"/>
    <s v="7541026"/>
    <s v="ΙΔΙΩΤΙΚΟ ΔΗΜΟΤΙΚ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ΠΕΙΡΑΙΑ"/>
    <n v="30.411111111111111"/>
    <s v="22 - 30"/>
  </r>
  <r>
    <n v="99910581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9-01-01T00:00:00"/>
    <x v="1"/>
    <s v="ΔΙΕΥΘΥΝΣΗ Π.Ε. ΠΕΙΡΑΙΑ"/>
    <n v="30.411111111111111"/>
    <s v="22 - 30"/>
  </r>
  <r>
    <n v="99910582"/>
    <s v="Θ"/>
    <x v="1"/>
    <x v="1"/>
    <m/>
    <m/>
    <s v="Γ΄"/>
    <n v="1"/>
    <s v="6ΕΕΓ4653ΠΣ-1ΞΥ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9-01-01T00:00:00"/>
    <x v="1"/>
    <s v="ΔΙΕΥΘΥΝΣΗ Π.Ε. ΑΙΤΩΛΟΑΚΑΡΝΑΝΙΑΣ"/>
    <n v="30.411111111111111"/>
    <s v="22 - 30"/>
  </r>
  <r>
    <n v="99910583"/>
    <s v="Θ"/>
    <x v="1"/>
    <x v="1"/>
    <m/>
    <m/>
    <s v="Γ΄"/>
    <n v="1"/>
    <s v="6ΖΝΗ9-1Τ3 (&amp; 70/21-9-2018)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m/>
    <m/>
    <m/>
    <s v="ΟΧΙ"/>
    <m/>
    <d v="2018-09-01T00:00:00"/>
    <m/>
    <x v="5"/>
    <s v=""/>
    <m/>
    <m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9-01-01T00:00:00"/>
    <x v="1"/>
    <s v="ΔΙΕΥΘΥΝΣΗ Π.Ε. ΑΧΑΪΑΣ"/>
    <n v="30.411111111111111"/>
    <s v="22 - 30"/>
  </r>
  <r>
    <n v="99910584"/>
    <s v="Θ"/>
    <x v="15"/>
    <x v="15"/>
    <m/>
    <m/>
    <s v="Γ΄"/>
    <n v="1"/>
    <n v="9186"/>
    <d v="2018-09-07T00:00:00"/>
    <s v="ΙΩΑΝΝΙΝΩΝ (Δ.Ε.) 2018"/>
    <s v="ΔΙΕΥΘΥΝΣΗ Δ.Ε. ΙΩΑΝΝΙΝΩΝ"/>
    <s v="ΠΕΡΙΦΕΡΕΙΑΚΗ Δ/ΝΣΗ Α/ΘΜΙΑΣ ΚΑΙ Β/ΘΜΙΑΣ ΕΚΠ/ΣΗΣ ΗΠΕΙΡΟΥ"/>
    <n v="11"/>
    <s v="ΟΧΙ"/>
    <s v="ΟΧΙ"/>
    <s v="ΟΧΙ"/>
    <s v="ΟΧΙ"/>
    <s v="ΟΧΙ"/>
    <m/>
    <d v="2018-09-07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9-01-01T00:00:00"/>
    <x v="0"/>
    <s v="ΔΙΕΥΘΥΝΣΗ Δ.Ε. ΙΩΑΝΝΙΝΩΝ"/>
    <n v="30.411111111111111"/>
    <s v="22 - 30"/>
  </r>
  <r>
    <n v="99910585"/>
    <s v="Α"/>
    <x v="1"/>
    <x v="1"/>
    <m/>
    <m/>
    <s v="Γ΄"/>
    <n v="1"/>
    <s v="φ.17/7339/06-09-2017"/>
    <d v="2015-11-16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d v="2015-11-16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9-01-01T00:00:00"/>
    <x v="1"/>
    <s v="ΔΙΕΥΘΥΝΣΗ Π.Ε. ΙΩΑΝΝΙΝΩΝ"/>
    <n v="30.411111111111111"/>
    <s v="22 - 30"/>
  </r>
  <r>
    <n v="99910586"/>
    <s v="Θ"/>
    <x v="1"/>
    <x v="1"/>
    <m/>
    <m/>
    <s v="Γ΄"/>
    <n v="1"/>
    <n v="6719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0"/>
    <s v="ΙΔΙΩΤΙΚΟ ΔΗΜΟΤΙΚΟ ΛΑΡΙΣΑ - Α.ΔΡΑΚΟΣ-Γ. ΜΑΛΑΧΤΑΡΗ ΟΕ ΕΛΛΗΝΙΚΑ ΕΚΠΑΙΔΕΥΤΗΡΙ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9-01-01T00:00:00"/>
    <x v="1"/>
    <s v="ΔΙΕΥΘΥΝΣΗ Π.Ε. ΛΑΡΙΣΑΣ"/>
    <n v="30.411111111111111"/>
    <s v="22 - 30"/>
  </r>
  <r>
    <n v="99910587"/>
    <s v="Θ"/>
    <x v="1"/>
    <x v="1"/>
    <m/>
    <m/>
    <s v="Γ΄"/>
    <n v="1"/>
    <d v="2013-09-18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1-01T00:00:00"/>
    <x v="1"/>
    <s v="ΔΙΕΥΘΥΝΣΗ Π.Ε. ΑΝΑΤ. ΘΕΣ/ΝΙΚΗΣ"/>
    <n v="30.411111111111111"/>
    <s v="22 - 30"/>
  </r>
  <r>
    <n v="99910588"/>
    <s v="Θ"/>
    <x v="1"/>
    <x v="1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9-01-01T00:00:00"/>
    <x v="1"/>
    <s v="ΔΙΕΥΘΥΝΣΗ Π.Ε. ΑΝΑΤ. ΘΕΣ/ΝΙΚΗΣ"/>
    <n v="30.411111111111111"/>
    <s v="22 - 30"/>
  </r>
  <r>
    <n v="99910589"/>
    <s v="Θ"/>
    <x v="1"/>
    <x v="1"/>
    <m/>
    <m/>
    <s v="Γ΄"/>
    <n v="1"/>
    <s v="ΩΒΟΠ4653ΠΣ-ΥΗΛ"/>
    <d v="2017-02-2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d v="2017-02-20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9-01-01T00:00:00"/>
    <x v="1"/>
    <s v="ΔΙΕΥΘΥΝΣΗ Π.Ε. ΑΝΑΤ. ΘΕΣ/ΝΙΚΗΣ"/>
    <n v="30.411111111111111"/>
    <s v="22 - 30"/>
  </r>
  <r>
    <n v="99910590"/>
    <s v="Θ"/>
    <x v="1"/>
    <x v="1"/>
    <m/>
    <m/>
    <s v="Α΄"/>
    <n v="1"/>
    <s v="ΩΨΤ09-Μ6Α"/>
    <d v="2014-12-08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4-12-08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9-01-01T00:00:00"/>
    <x v="1"/>
    <s v="ΔΙΕΥΘΥΝΣΗ Π.Ε. ΧΑΝΙΩΝ"/>
    <n v="30.411111111111111"/>
    <s v="22 - 30"/>
  </r>
  <r>
    <n v="99910591"/>
    <s v="Θ"/>
    <x v="1"/>
    <x v="1"/>
    <m/>
    <m/>
    <s v="Α΄"/>
    <n v="1"/>
    <s v="7ΟΙΛ4653ΠΣ-2ΘΔ"/>
    <d v="2015-11-26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d v="2015-11-26T00:00:00"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9-01-01T00:00:00"/>
    <x v="1"/>
    <s v="ΔΙΕΥΘΥΝΣΗ Π.Ε. ΧΑΝΙΩΝ"/>
    <n v="30.411111111111111"/>
    <s v="22 - 30"/>
  </r>
  <r>
    <n v="99910592"/>
    <s v="Θ"/>
    <x v="1"/>
    <x v="1"/>
    <m/>
    <m/>
    <s v="Α΄"/>
    <n v="1"/>
    <s v="67249-403"/>
    <d v="2015-01-23T00:00:00"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d v="2015-01-27T00:00:00"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9-01-01T00:00:00"/>
    <x v="1"/>
    <s v="ΔΙΕΥΘΥΝΣΗ Π.Ε. ΔΩΔΕΚΑΝΗΣΟΥ"/>
    <n v="30.411111111111111"/>
    <s v="22 - 30"/>
  </r>
  <r>
    <n v="99910593"/>
    <s v="Α"/>
    <x v="1"/>
    <x v="1"/>
    <m/>
    <m/>
    <s v="Α΄"/>
    <n v="1"/>
    <s v="7Β654653ΠΣ-ΞΩΟ"/>
    <d v="2016-01-18T00:00:00"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m/>
    <s v="ΟΧΙ"/>
    <m/>
    <d v="2016-01-18T00:00:00"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9-01-01T00:00:00"/>
    <x v="1"/>
    <s v="ΔΙΕΥΘΥΝΣΗ Π.Ε. ΚΥΚΛΑΔΩΝ"/>
    <n v="30.411111111111111"/>
    <s v="22 - 30"/>
  </r>
  <r>
    <n v="99910594"/>
    <s v="Θ"/>
    <x v="1"/>
    <x v="1"/>
    <m/>
    <m/>
    <s v="Α΄"/>
    <n v="1"/>
    <s v="6ΖΝΗ9-1Τ3"/>
    <d v="2014-12-30T00:00:00"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m/>
    <s v="ΟΧΙ"/>
    <m/>
    <d v="2015-01-07T00:00:00"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1-01T00:00:00"/>
    <x v="1"/>
    <s v="ΔΙΕΥΘΥΝΣΗ Π.Ε. ΑΡΓΟΛΙΔΑΣ"/>
    <n v="30.411111111111111"/>
    <s v="22 - 30"/>
  </r>
  <r>
    <n v="99910595"/>
    <s v="Θ"/>
    <x v="1"/>
    <x v="1"/>
    <m/>
    <m/>
    <s v="Γ΄"/>
    <n v="5"/>
    <s v="79ΑΜ465ΦΘ3-ΔΕΓ"/>
    <d v="2015-02-16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5-02-16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1-01T00:00:00"/>
    <x v="1"/>
    <s v="ΔΙΕΥΘΥΝΣΗ Π.Ε. ΚΟΡΙΝΘΙΑΣ"/>
    <n v="30.411111111111111"/>
    <s v="22 - 30"/>
  </r>
  <r>
    <n v="99910596"/>
    <s v="Θ"/>
    <x v="1"/>
    <x v="1"/>
    <m/>
    <m/>
    <s v="Α΄"/>
    <n v="1"/>
    <s v="6ΖΝΗ9-1Τ3"/>
    <d v="2014-12-30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s v="ΟΧΙ"/>
    <s v="ΟΧΙ"/>
    <m/>
    <d v="2015-01-07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1-01T00:00:00"/>
    <x v="1"/>
    <s v="ΔΙΕΥΘΥΝΣΗ Π.Ε. ΜΕΣΣΗΝΙΑΣ"/>
    <n v="30.411111111111111"/>
    <s v="22 - 30"/>
  </r>
  <r>
    <n v="99910597"/>
    <s v="Θ"/>
    <x v="1"/>
    <x v="1"/>
    <m/>
    <m/>
    <s v="Α΄"/>
    <n v="1"/>
    <s v="728Φ4653ΠΣ-ΛΥ4"/>
    <d v="2015-11-09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5-11-09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9-01-01T00:00:00"/>
    <x v="1"/>
    <s v="ΔΙΕΥΘΥΝΣΗ Π.Ε. ΜΕΣΣΗΝΙΑΣ"/>
    <n v="30.411111111111111"/>
    <s v="22 - 30"/>
  </r>
  <r>
    <n v="99910598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2-21T00:00:00"/>
    <x v="1"/>
    <s v="ΔΙΕΥΘΥΝΣΗ Π.Ε. Β΄ ΑΘΗΝΑΣ"/>
    <n v="30.441666666666666"/>
    <s v="22 - 30"/>
  </r>
  <r>
    <n v="99910599"/>
    <s v="Θ"/>
    <x v="1"/>
    <x v="1"/>
    <m/>
    <m/>
    <s v="Γ΄"/>
    <n v="1"/>
    <s v="13112/08-10-20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2-15T00:00:00"/>
    <x v="1"/>
    <s v="ΔΙΕΥΘΥΝΣΗ Π.Ε. Δ΄ ΑΘΗΝΑΣ"/>
    <n v="30.458333333333332"/>
    <s v="22 - 30"/>
  </r>
  <r>
    <n v="99910600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2-14T00:00:00"/>
    <x v="1"/>
    <s v="ΔΙΕΥΘΥΝΣΗ Π.Ε. Β΄ ΑΘΗΝΑΣ"/>
    <n v="30.461111111111112"/>
    <s v="22 - 30"/>
  </r>
  <r>
    <n v="99910601"/>
    <s v="Θ"/>
    <x v="1"/>
    <x v="1"/>
    <m/>
    <m/>
    <s v="Β΄"/>
    <n v="3"/>
    <s v="Φ.Ι.Α.1/22546/5-3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2-08T00:00:00"/>
    <x v="1"/>
    <s v="ΔΙΕΥΘΥΝΣΗ Π.Ε. ΑΝΑΤΟΛΙΚΗΣ ΑΤΤΙΚΗΣ"/>
    <n v="30.477777777777778"/>
    <s v="22 - 30"/>
  </r>
  <r>
    <n v="99910602"/>
    <s v="Θ"/>
    <x v="11"/>
    <x v="11"/>
    <m/>
    <m/>
    <s v="Γ΄"/>
    <n v="1"/>
    <s v="10718/16-11-2016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2"/>
    <s v="ΟΧΙ"/>
    <s v="ΟΧΙ"/>
    <s v="ΟΧΙ"/>
    <s v="ΟΧΙ"/>
    <s v="ΟΧΙ"/>
    <m/>
    <d v="2018-09-01T00:00:00"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8-12-03T00:00:00"/>
    <x v="0"/>
    <s v="ΔΙΕΥΘΥΝΣΗ Δ.Ε. ΞΑΝΘΗΣ"/>
    <n v="30.491666666666667"/>
    <s v="22 - 30"/>
  </r>
  <r>
    <n v="99910603"/>
    <s v="Θ"/>
    <x v="2"/>
    <x v="2"/>
    <m/>
    <m/>
    <s v="Γ΄"/>
    <n v="1"/>
    <n v="1093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21"/>
    <s v="ΣΥΣΤΕΓΑΖΟΜΕΝΟ ΝΗΠΙΑΓΩΓΕΙΟ - ΠΑΙΔΙΚΟ ΕΡΓΑΣΤΗΡΙ ΤΑ ΣΤΡΟΥΜΦΑΚ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1-22T00:00:00"/>
    <x v="1"/>
    <s v="ΔΙΕΥΘΥΝΣΗ Π.Ε. Δ΄ ΑΘΗΝΑΣ"/>
    <n v="30.522222222222222"/>
    <s v="31 - 40"/>
  </r>
  <r>
    <n v="99910604"/>
    <s v="Θ"/>
    <x v="2"/>
    <x v="2"/>
    <m/>
    <m/>
    <s v="Γ΄"/>
    <n v="1"/>
    <s v="7482α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m/>
    <m/>
    <m/>
    <s v="ΟΧΙ"/>
    <m/>
    <d v="2018-09-01T00:00:00"/>
    <s v="Ιδιωτικά Σχολεία"/>
    <x v="2"/>
    <s v="7192035"/>
    <s v="ΣΥΣΤΕΓΑΖΟΜΕΝΟ ΙΔΙΩΤΙΚΟ ΝΗΠΙΑΓΩΓΕΙΟ - ΣΧΟΛΕΙΟ ΤΕΧΝΗΣ ΚΑΙ ΠΟΛΙΤΙΣΜΟΥ ΝΑΛΜΠΑΝΤ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11-19T00:00:00"/>
    <x v="1"/>
    <s v="ΔΙΕΥΘΥΝΣΗ Π.Ε. ΔΥΤ. ΘΕΣ/ΝΙΚΗΣ"/>
    <n v="30.530555555555555"/>
    <s v="31 - 40"/>
  </r>
  <r>
    <n v="99910605"/>
    <s v="Θ"/>
    <x v="1"/>
    <x v="1"/>
    <m/>
    <m/>
    <s v="Γ΄"/>
    <n v="1"/>
    <n v="14429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1-14T00:00:00"/>
    <x v="1"/>
    <s v="ΔΙΕΥΘΥΝΣΗ Π.Ε. Δ΄ ΑΘΗΝΑΣ"/>
    <n v="30.544444444444444"/>
    <s v="31 - 40"/>
  </r>
  <r>
    <n v="99910606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8-11-13T00:00:00"/>
    <x v="1"/>
    <s v="ΔΙΕΥΘΥΝΣΗ Π.Ε. Α΄ ΑΘΗΝΑΣ"/>
    <n v="30.547222222222221"/>
    <s v="31 - 40"/>
  </r>
  <r>
    <n v="99910607"/>
    <s v="Θ"/>
    <x v="1"/>
    <x v="1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8-11-11T00:00:00"/>
    <x v="1"/>
    <s v="ΔΙΕΥΘΥΝΣΗ Π.Ε. ΔΩΔΕΚΑΝΗΣΟΥ"/>
    <n v="30.552777777777777"/>
    <s v="31 - 40"/>
  </r>
  <r>
    <n v="99910608"/>
    <s v="Θ"/>
    <x v="3"/>
    <x v="3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9"/>
    <s v="ΟΧΙ"/>
    <s v="ΟΧΙ"/>
    <s v="ΟΧΙ"/>
    <s v="ΟΧΙ"/>
    <s v="ΟΧΙ"/>
    <m/>
    <d v="2018-09-01T00:00:00"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8-11-07T00:00:00"/>
    <x v="0"/>
    <s v="ΔΙΕΥΘΥΝΣΗ Δ.Ε. ΔΩΔΕΚΑΝΗΣΟΥ"/>
    <n v="30.56388888888889"/>
    <s v="31 - 40"/>
  </r>
  <r>
    <n v="99910609"/>
    <s v="Θ"/>
    <x v="2"/>
    <x v="2"/>
    <m/>
    <m/>
    <s v="Γ΄"/>
    <n v="1"/>
    <s v="Φ.17.2/4531"/>
    <d v="2017-09-25T00:00:00"/>
    <s v="ΦΘΙΩΤΙΔΑΣ (Π.Ε.) 2018"/>
    <s v="ΔΙΕΥΘΥΝΣΗ Π.Ε. ΦΘΙΩΤΙΔΑΣ"/>
    <s v="ΠΕΡΙΦΕΡΕΙΑΚΗ Δ/ΝΣΗ Α/ΘΜΙΑΣ ΚΑΙ Β/ΘΜΙΑΣ ΕΚΠ/ΣΗΣ ΣΤΕΡΕΑΣ ΕΛΛΑΔΑΣ"/>
    <n v="25"/>
    <s v="ΟΧΙ"/>
    <m/>
    <m/>
    <m/>
    <s v="ΟΧΙ"/>
    <m/>
    <d v="2017-09-25T00:00:00"/>
    <s v="Ιδιωτικά Σχολεία"/>
    <x v="2"/>
    <s v="7461013"/>
    <s v="ΙΔΙΩΤΙΚΟ ΝΗΠΙΑΓΩΓΕΙΟ ΛΑΜΙΑ - ΖΩΓΡΑΦΙΑ"/>
    <s v="ΦΘΙΩΤΙΔΑΣ (Π.Ε.) 2018"/>
    <x v="49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88-10-31T00:00:00"/>
    <x v="1"/>
    <s v="ΔΙΕΥΘΥΝΣΗ Π.Ε. ΦΘΙΩΤΙΔΑΣ"/>
    <n v="30.583333333333332"/>
    <s v="31 - 40"/>
  </r>
  <r>
    <n v="99910610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10-25T00:00:00"/>
    <x v="0"/>
    <s v="ΔΙΕΥΘΥΝΣΗ Δ.Ε. Β΄ ΑΘΗΝΑΣ"/>
    <n v="30.6"/>
    <s v="31 - 40"/>
  </r>
  <r>
    <n v="99910611"/>
    <s v="Θ"/>
    <x v="0"/>
    <x v="0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19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10-19T00:00:00"/>
    <x v="1"/>
    <s v="ΔΙΕΥΘΥΝΣΗ Π.Ε. ΗΡΑΚΛΕΙΟΥ"/>
    <n v="30.616666666666667"/>
    <s v="31 - 40"/>
  </r>
  <r>
    <n v="99910612"/>
    <s v="Θ"/>
    <x v="1"/>
    <x v="1"/>
    <m/>
    <m/>
    <s v="Γ΄"/>
    <n v="1"/>
    <n v="716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10-14T00:00:00"/>
    <x v="1"/>
    <s v="ΔΙΕΥΘΥΝΣΗ Π.Ε. Δ΄ ΑΘΗΝΑΣ"/>
    <n v="30.630555555555556"/>
    <s v="31 - 40"/>
  </r>
  <r>
    <n v="99910613"/>
    <s v="Α"/>
    <x v="14"/>
    <x v="14"/>
    <m/>
    <m/>
    <s v="Γ΄"/>
    <n v="1"/>
    <s v="Φ.17.2/7428"/>
    <d v="2018-09-01T00:00:00"/>
    <s v="ΧΑΝΙΩΝ (Π.Ε.) 2018"/>
    <s v="ΔΙΕΥΘΥΝΣΗ Π.Ε. ΧΑΝΙΩΝ"/>
    <s v="ΠΕΡΙΦΕΡΕΙΑΚΗ Δ/ΝΣΗ Α/ΘΜΙΑΣ ΚΑΙ Β/ΘΜΙΑΣ ΕΚΠ/ΣΗΣ ΚΡΗΤΗΣ"/>
    <n v="6"/>
    <s v="ΟΧΙ"/>
    <s v="ΟΧΙ"/>
    <s v="ΟΧΙ"/>
    <s v="ΟΧΙ"/>
    <s v="ΟΧΙ"/>
    <m/>
    <d v="2018-09-01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10-12T00:00:00"/>
    <x v="1"/>
    <s v="ΔΙΕΥΘΥΝΣΗ Π.Ε. ΧΑΝΙΩΝ"/>
    <n v="30.636111111111113"/>
    <s v="31 - 40"/>
  </r>
  <r>
    <n v="99910614"/>
    <s v="Θ"/>
    <x v="15"/>
    <x v="1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0-04T00:00:00"/>
    <x v="0"/>
    <s v="ΔΙΕΥΘΥΝΣΗ Δ.Ε. ΑΝΑΤΟΛΙΚΗΣ ΑΤΤΙΚΗΣ"/>
    <n v="30.658333333333335"/>
    <s v="31 - 40"/>
  </r>
  <r>
    <n v="99910615"/>
    <s v="Θ"/>
    <x v="1"/>
    <x v="1"/>
    <m/>
    <m/>
    <s v="Γ΄"/>
    <n v="2"/>
    <s v="728Φ4653ΠΣ-ΛΥ4"/>
    <d v="2015-11-09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5-11-09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10-01T00:00:00"/>
    <x v="1"/>
    <s v="ΔΙΕΥΘΥΝΣΗ Π.Ε. Δ΄ ΑΘΗΝΑΣ"/>
    <n v="30.666666666666668"/>
    <s v="31 - 40"/>
  </r>
  <r>
    <n v="99910616"/>
    <s v="Θ"/>
    <x v="3"/>
    <x v="3"/>
    <m/>
    <m/>
    <s v="Γ΄"/>
    <n v="1"/>
    <s v="Φ. 17.2_ A/11971/2/5-9-2018"/>
    <d v="2018-09-01T00:00:00"/>
    <s v="ΑΧΑΪΑΣ (Δ.Ε.) 2018"/>
    <s v="ΔΙΕΥΘΥΝΣΗ Δ.Ε. ΑΧΑΪΑΣ"/>
    <s v="ΠΕΡΙΦΕΡΕΙΑΚΗ Δ/ΝΣΗ Α/ΘΜΙΑΣ ΚΑΙ Β/ΘΜΙΑΣ ΕΚΠ/ΣΗΣ ΔΥΤΙΚΗΣ ΕΛΛΑΔΑΣ"/>
    <n v="16"/>
    <s v="ΟΧΙ"/>
    <s v="ΟΧΙ"/>
    <s v="ΟΧΙ"/>
    <s v="ΟΧΙ"/>
    <s v="ΟΧΙ"/>
    <m/>
    <d v="2018-09-01T00:00:00"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8-10-01T00:00:00"/>
    <x v="0"/>
    <s v="ΔΙΕΥΘΥΝΣΗ Δ.Ε. ΑΧΑΪΑΣ"/>
    <n v="30.666666666666668"/>
    <s v="31 - 40"/>
  </r>
  <r>
    <n v="99910617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6"/>
    <s v="ΟΧΙ"/>
    <s v="ΟΧΙ"/>
    <s v="ΟΧΙ"/>
    <m/>
    <s v="ΟΧΙ"/>
    <m/>
    <m/>
    <s v="Ιδιωτικά Σχολεία"/>
    <x v="2"/>
    <s v="7361001"/>
    <s v="Συστεγαζόμενο Ιδιωτικό Νηπιαγωγείο - Γελαστή Πολιτεί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8-09-29T00:00:00"/>
    <x v="1"/>
    <s v="ΔΙΕΥΘΥΝΣΗ Π.Ε. ΜΕΣΣΗΝΙΑΣ"/>
    <n v="30.672222222222221"/>
    <s v="31 - 40"/>
  </r>
  <r>
    <n v="99910618"/>
    <s v="Θ"/>
    <x v="4"/>
    <x v="4"/>
    <m/>
    <m/>
    <s v="Γ΄"/>
    <n v="1"/>
    <n v="21566"/>
    <d v="2018-09-01T00:00:00"/>
    <s v="Δ΄ ΑΘΗΝΑΣ (Δ.Ε.) 2018"/>
    <s v="ΔΙΕΥΘΥΝΣΗ Δ.Ε. Δ΄ ΑΘΗΝΑΣ"/>
    <s v="ΠΕΡΙΦΕΡΕΙΑΚΗ Δ/ΝΣΗ Α/ΘΜΙΑΣ ΚΑΙ Β/ΘΜΙΑΣ ΕΚΠ/ΣΗΣ ΑΤΤΙΚΗΣ"/>
    <n v="11"/>
    <s v="ΟΧΙ"/>
    <m/>
    <m/>
    <m/>
    <s v="ΟΧΙ"/>
    <m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9-28T00:00:00"/>
    <x v="0"/>
    <s v="ΔΙΕΥΘΥΝΣΗ Δ.Ε. Δ΄ ΑΘΗΝΑΣ"/>
    <n v="30.675000000000001"/>
    <s v="31 - 40"/>
  </r>
  <r>
    <n v="99910619"/>
    <s v="Θ"/>
    <x v="2"/>
    <x v="2"/>
    <m/>
    <m/>
    <s v="Γ΄"/>
    <n v="1"/>
    <n v="1962592"/>
    <d v="2018-09-19T00:00:00"/>
    <s v="ΣΕΡΡΩΝ (Π.Ε.) 2018"/>
    <s v="ΔΙΕΥΘΥΝΣΗ Π.Ε. ΣΕΡΡΩΝ"/>
    <s v="ΠΕΡΙΦΕΡΕΙΑΚΗ Δ/ΝΣΗ Α/ΘΜΙΑΣ ΚΑΙ Β/ΘΜΙΑΣ ΕΚΠ/ΣΗΣ ΚΕΝΤΡΙΚΗΣ ΜΑΚΕΔΟΝΙΑΣ"/>
    <n v="25"/>
    <s v="ΟΧΙ"/>
    <m/>
    <m/>
    <m/>
    <s v="ΟΧΙ"/>
    <m/>
    <d v="2018-09-19T00:00:00"/>
    <s v="Ιδιωτικά Σχολεία"/>
    <x v="2"/>
    <s v="7441003"/>
    <s v="ΙΔΙΩΤΙΚΟ ΣΥΣΤΕΓΑΖΟΜΕΝΟ ΝΗΠΙΑΓΩΓΕΙΟ - ΑΝΕΣΙΑΔΟΥ ΚΑΣΣΙΑΝΗ"/>
    <s v="ΣΕΡΡΩΝ (Π.Ε.) 2018"/>
    <x v="25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9-23T00:00:00"/>
    <x v="1"/>
    <s v="ΔΙΕΥΘΥΝΣΗ Π.Ε. ΣΕΡΡΩΝ"/>
    <n v="30.68888888888889"/>
    <s v="31 - 40"/>
  </r>
  <r>
    <n v="99910620"/>
    <s v="Θ"/>
    <x v="2"/>
    <x v="2"/>
    <m/>
    <m/>
    <s v="Γ΄"/>
    <n v="2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21047"/>
    <s v="ΙΔΙΩΤΙΚΟ ΝΗΠΙΑΓΩΓΕΙΟ ΠΑΠΑΔΗΜΗΤΡΑΚΟΠΟΥΛΟΥ ΑΙΚΑΤΕΡΙΝΗ &amp; ΣΙΑ Ο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9-19T00:00:00"/>
    <x v="1"/>
    <s v="ΔΙΕΥΘΥΝΣΗ Π.Ε. ΑΝΑΤΟΛΙΚΗΣ ΑΤΤΙΚΗΣ"/>
    <n v="30.7"/>
    <s v="31 - 40"/>
  </r>
  <r>
    <n v="99910621"/>
    <s v="Θ"/>
    <x v="2"/>
    <x v="2"/>
    <m/>
    <m/>
    <s v="Γ΄"/>
    <n v="1"/>
    <n v="11279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15"/>
    <s v="ΣΥΣΤΕΓΑΖΟΜΕΝΟ ΝΗΠΙΑΓΩΓΕΙΟ - ΛΕΜΟΝΗ ΕΙΡΗΝ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9-17T00:00:00"/>
    <x v="1"/>
    <s v="ΔΙΕΥΘΥΝΣΗ Π.Ε. Δ΄ ΑΘΗΝΑΣ"/>
    <n v="30.705555555555556"/>
    <s v="31 - 40"/>
  </r>
  <r>
    <n v="99910622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21063"/>
    <s v="ΠΑΙΔΙΚΟ ΠΑΝΕΠΙΣΤΗΜΙΟ (ΤΣΑΡΑΜΙΑΔΟΥ ΤΑΤΙΑΝΗ - ΗΛΙΑΣ ΤΕΡΖΑΚΗΣ Ε.Π.Ε.)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9-15T00:00:00"/>
    <x v="1"/>
    <s v="ΔΙΕΥΘΥΝΣΗ Π.Ε. ΑΝΑΤΟΛΙΚΗΣ ΑΤΤΙΚΗΣ"/>
    <n v="30.711111111111112"/>
    <s v="31 - 40"/>
  </r>
  <r>
    <n v="99910623"/>
    <s v="Θ"/>
    <x v="0"/>
    <x v="0"/>
    <m/>
    <m/>
    <s v="Γ΄"/>
    <n v="1"/>
    <s v="Φ.17.2/276/6871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9-03T00:00:00"/>
    <x v="1"/>
    <s v="ΔΙΕΥΘΥΝΣΗ Π.Ε. Β΄ ΑΘΗΝΑΣ"/>
    <n v="30.744444444444444"/>
    <s v="31 - 40"/>
  </r>
  <r>
    <n v="99910624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8-08-24T00:00:00"/>
    <x v="1"/>
    <s v="ΔΙΕΥΘΥΝΣΗ Π.Ε. Β΄ ΑΘΗΝΑΣ"/>
    <n v="30.772222222222222"/>
    <s v="31 - 40"/>
  </r>
  <r>
    <n v="99910625"/>
    <s v="Θ"/>
    <x v="1"/>
    <x v="1"/>
    <m/>
    <m/>
    <s v="Β΄"/>
    <n v="3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8-23T00:00:00"/>
    <x v="1"/>
    <s v="ΔΙΕΥΘΥΝΣΗ Π.Ε. Δ΄ ΑΘΗΝΑΣ"/>
    <n v="30.774999999999999"/>
    <s v="31 - 40"/>
  </r>
  <r>
    <n v="99910626"/>
    <s v="Θ"/>
    <x v="1"/>
    <x v="1"/>
    <m/>
    <m/>
    <s v="Γ΄"/>
    <n v="3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8-08-23T00:00:00"/>
    <x v="1"/>
    <s v="ΔΙΕΥΘΥΝΣΗ Π.Ε. ΚΟΡΙΝΘΙΑΣ"/>
    <n v="30.774999999999999"/>
    <s v="31 - 40"/>
  </r>
  <r>
    <n v="99910627"/>
    <s v="Θ"/>
    <x v="3"/>
    <x v="3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9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8-08-20T00:00:00"/>
    <x v="0"/>
    <s v="ΔΙΕΥΘΥΝΣΗ Δ.Ε. ΤΡΙΚΑΛΩΝ"/>
    <n v="30.783333333333335"/>
    <s v="31 - 40"/>
  </r>
  <r>
    <n v="99910628"/>
    <s v="Θ"/>
    <x v="2"/>
    <x v="2"/>
    <m/>
    <m/>
    <s v="Γ΄"/>
    <n v="1"/>
    <s v="ΠΠ3948080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2095"/>
    <s v="ΙΔΙΩΤΙΚΟ ΣΥΣΤΕΓΑΖΟΜΕΝΟ ΝΗΠΙΑΓΩΓΕΙΟ Δ. Π. ΓΚΑΡΑΒΕΛΑ - Ο ΜΙΚΥ Ε.Ε.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8-19T00:00:00"/>
    <x v="1"/>
    <s v="ΔΙΕΥΘΥΝΣΗ Π.Ε. Β΄ ΑΘΗΝΑΣ"/>
    <n v="30.786111111111111"/>
    <s v="31 - 40"/>
  </r>
  <r>
    <n v="99910629"/>
    <s v="Α"/>
    <x v="1"/>
    <x v="1"/>
    <m/>
    <m/>
    <s v="Γ΄"/>
    <n v="1"/>
    <s v="11617/16-10-201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8-16T00:00:00"/>
    <x v="1"/>
    <s v="ΔΙΕΥΘΥΝΣΗ Π.Ε. Δ΄ ΑΘΗΝΑΣ"/>
    <n v="30.794444444444444"/>
    <s v="31 - 40"/>
  </r>
  <r>
    <n v="99910630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8-12T00:00:00"/>
    <x v="0"/>
    <s v="ΔΙΕΥΘΥΝΣΗ Δ.Ε. Γ΄ ΑΘΗΝΑΣ"/>
    <n v="30.805555555555557"/>
    <s v="31 - 40"/>
  </r>
  <r>
    <n v="99910631"/>
    <s v="Θ"/>
    <x v="1"/>
    <x v="1"/>
    <m/>
    <m/>
    <s v="Γ΄"/>
    <n v="1"/>
    <s v="Φ.17/5021β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8-08-06T00:00:00"/>
    <x v="1"/>
    <s v="ΔΙΕΥΘΥΝΣΗ Π.Ε. ΚΟΡΙΝΘΙΑΣ"/>
    <n v="30.822222222222223"/>
    <s v="31 - 40"/>
  </r>
  <r>
    <n v="99910632"/>
    <s v="Θ"/>
    <x v="19"/>
    <x v="19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8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8-07-27T00:00:00"/>
    <x v="0"/>
    <s v="ΔΙΕΥΘΥΝΣΗ Δ.Ε. ΚΥΚΛΑΔΩΝ"/>
    <n v="30.85"/>
    <s v="31 - 40"/>
  </r>
  <r>
    <n v="99910633"/>
    <s v="Θ"/>
    <x v="14"/>
    <x v="14"/>
    <m/>
    <m/>
    <s v="Γ΄"/>
    <n v="1"/>
    <n v="22116"/>
    <d v="2017-10-19T00:00:00"/>
    <s v="Α΄ ΠΕΙΡΑΙΑ (Δ.Ε.) 2018"/>
    <s v="ΔΙΕΥΘΥΝΣΗ Δ.Ε. ΠΕΙΡΑΙΑ"/>
    <s v="ΠΕΡΙΦΕΡΕΙΑΚΗ Δ/ΝΣΗ Α/ΘΜΙΑΣ ΚΑΙ Β/ΘΜΙΑΣ ΕΚΠ/ΣΗΣ ΑΤΤΙΚΗΣ"/>
    <n v="2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7-26T00:00:00"/>
    <x v="0"/>
    <s v="ΔΙΕΥΘΥΝΣΗ Δ.Ε. ΠΕΙΡΑΙΑ"/>
    <n v="30.852777777777778"/>
    <s v="31 - 40"/>
  </r>
  <r>
    <n v="99910634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7-25T00:00:00"/>
    <x v="1"/>
    <s v="ΔΙΕΥΘΥΝΣΗ Π.Ε. Β΄ ΑΘΗΝΑΣ"/>
    <n v="30.855555555555554"/>
    <s v="31 - 40"/>
  </r>
  <r>
    <n v="99910635"/>
    <s v="Α"/>
    <x v="24"/>
    <x v="24"/>
    <m/>
    <m/>
    <s v="Γ΄"/>
    <n v="1"/>
    <n v="5265"/>
    <d v="2018-03-05T00:00:00"/>
    <s v="Α΄ ΠΕΙΡΑΙΑ (Δ.Ε.) 2018"/>
    <s v="ΔΙΕΥΘΥΝΣΗ Δ.Ε. ΠΕΙΡΑΙΑ"/>
    <s v="ΠΕΡΙΦΕΡΕΙΑΚΗ Δ/ΝΣΗ Α/ΘΜΙΑΣ ΚΑΙ Β/ΘΜΙΑΣ ΕΚΠ/ΣΗΣ ΑΤΤΙΚΗΣ"/>
    <n v="3"/>
    <s v="ΟΧΙ"/>
    <s v="ΟΧΙ"/>
    <s v="ΟΧΙ"/>
    <m/>
    <s v="ΟΧΙ"/>
    <m/>
    <d v="2018-03-05T00:00:00"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7-21T00:00:00"/>
    <x v="0"/>
    <s v="ΔΙΕΥΘΥΝΣΗ Δ.Ε. ΠΕΙΡΑΙΑ"/>
    <n v="30.866666666666667"/>
    <s v="31 - 40"/>
  </r>
  <r>
    <n v="99910636"/>
    <s v="Θ"/>
    <x v="6"/>
    <x v="6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7-20T00:00:00"/>
    <x v="0"/>
    <s v="ΔΙΕΥΘΥΝΣΗ Δ.Ε. Δ΄ ΑΘΗΝΑΣ"/>
    <n v="30.869444444444444"/>
    <s v="31 - 40"/>
  </r>
  <r>
    <n v="99910637"/>
    <s v="Θ"/>
    <x v="6"/>
    <x v="6"/>
    <m/>
    <m/>
    <s v="Γ΄"/>
    <n v="1"/>
    <n v="15954"/>
    <d v="2018-09-01T00:00:00"/>
    <s v="Α΄ ΠΕΙΡΑΙΑ (Π.Ε.) 2018"/>
    <s v="ΔΙΕΥΘΥΝΣΗ Π.Ε. ΠΕΙΡΑΙΑ"/>
    <s v="ΠΕΡΙΦΕΡΕΙΑΚΗ Δ/ΝΣΗ Α/ΘΜΙΑΣ ΚΑΙ Β/ΘΜΙΑΣ ΕΚΠ/ΣΗΣ ΑΤΤΙΚΗΣ"/>
    <n v="5"/>
    <s v="ΟΧΙ"/>
    <m/>
    <m/>
    <m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7-16T00:00:00"/>
    <x v="1"/>
    <s v="ΔΙΕΥΘΥΝΣΗ Π.Ε. ΠΕΙΡΑΙΑ"/>
    <n v="30.880555555555556"/>
    <s v="31 - 40"/>
  </r>
  <r>
    <n v="99910638"/>
    <s v="Α"/>
    <x v="1"/>
    <x v="1"/>
    <m/>
    <m/>
    <s v="Γ΄"/>
    <n v="1"/>
    <s v="81/3-09-2018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8-07-12T00:00:00"/>
    <x v="1"/>
    <s v="ΔΙΕΥΘΥΝΣΗ Π.Ε. ΛΑΡΙΣΑΣ"/>
    <n v="30.891666666666666"/>
    <s v="31 - 40"/>
  </r>
  <r>
    <n v="99910639"/>
    <s v="Θ"/>
    <x v="15"/>
    <x v="15"/>
    <m/>
    <m/>
    <s v="Γ΄"/>
    <n v="1"/>
    <s v="Φ. 17.2_ A/15378/1/26-10-2018"/>
    <d v="2018-09-01T00:00:00"/>
    <s v="ΑΧΑΪΑΣ (Δ.Ε.) 2018"/>
    <s v="ΔΙΕΥΘΥΝΣΗ Δ.Ε. ΑΧΑΪΑΣ"/>
    <s v="ΠΕΡΙΦΕΡΕΙΑΚΗ Δ/ΝΣΗ Α/ΘΜΙΑΣ ΚΑΙ Β/ΘΜΙΑΣ ΕΚΠ/ΣΗΣ ΔΥΤΙΚΗΣ ΕΛΛΑΔΑΣ"/>
    <n v="6"/>
    <s v="ΟΧΙ"/>
    <m/>
    <m/>
    <m/>
    <s v="ΟΧΙ"/>
    <m/>
    <d v="2018-09-01T00:00:00"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8-07-10T00:00:00"/>
    <x v="0"/>
    <s v="ΔΙΕΥΘΥΝΣΗ Δ.Ε. ΑΧΑΪΑΣ"/>
    <n v="30.897222222222222"/>
    <s v="31 - 40"/>
  </r>
  <r>
    <n v="99910640"/>
    <s v="Θ"/>
    <x v="1"/>
    <x v="1"/>
    <m/>
    <m/>
    <s v="Γ΄"/>
    <n v="1"/>
    <d v="2016-09-06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7-07T00:00:00"/>
    <x v="1"/>
    <s v="ΔΙΕΥΘΥΝΣΗ Π.Ε. ΑΝΑΤ. ΘΕΣ/ΝΙΚΗΣ"/>
    <n v="30.905555555555555"/>
    <s v="31 - 40"/>
  </r>
  <r>
    <n v="99910641"/>
    <s v="Θ"/>
    <x v="2"/>
    <x v="2"/>
    <m/>
    <m/>
    <s v="Γ΄"/>
    <n v="1"/>
    <n v="9538"/>
    <d v="2018-09-03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3T00:00:00"/>
    <s v="Ιδιωτικά Σχολεία"/>
    <x v="2"/>
    <s v="7054029"/>
    <s v="ΙΔΙΩΤΙΚΟ ΝΗΠΙΑΓΩΓΕΙΟ ΑΛΙΜΟΣ - ΟΙ ΜΙΚΡΕΣ ΠΑΤΟΥΣΕΣ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8-07-01T00:00:00"/>
    <x v="1"/>
    <s v="ΔΙΕΥΘΥΝΣΗ Π.Ε. Δ΄ ΑΘΗΝΑΣ"/>
    <n v="30.922222222222221"/>
    <s v="31 - 40"/>
  </r>
  <r>
    <n v="99910642"/>
    <s v="Α"/>
    <x v="5"/>
    <x v="5"/>
    <m/>
    <m/>
    <s v="Γ΄"/>
    <n v="1"/>
    <n v="8701"/>
    <d v="2017-08-31T00:00:00"/>
    <s v="ΠΙΕΡΙΑΣ (Δ.Ε.) 2018"/>
    <s v="ΔΙΕΥΘΥΝΣΗ Δ.Ε. ΠΙΕΡΙΑ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7-09-01T00:00:00"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7-01T00:00:00"/>
    <x v="0"/>
    <s v="ΔΙΕΥΘΥΝΣΗ Δ.Ε. ΠΙΕΡΙΑΣ"/>
    <n v="30.922222222222221"/>
    <s v="31 - 40"/>
  </r>
  <r>
    <n v="99910643"/>
    <s v="Θ"/>
    <x v="25"/>
    <x v="25"/>
    <m/>
    <m/>
    <s v="Γ΄"/>
    <n v="1"/>
    <n v="14598"/>
    <d v="2018-09-01T00:00:00"/>
    <s v="Δ΄ ΑΘΗΝΑΣ (Π.Ε.) 2018"/>
    <s v="ΔΙΕΥΘΥΝΣΗ Π.Ε. Δ΄ ΑΘΗΝΑΣ"/>
    <s v="ΠΕΡΙΦΕΡΕΙΑΚΗ Δ/ΝΣΗ Α/ΘΜΙΑΣ ΚΑΙ Β/ΘΜΙΑΣ ΕΚΠ/ΣΗΣ ΑΤΤΙΚΗΣ"/>
    <n v="18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6-22T00:00:00"/>
    <x v="1"/>
    <s v="ΔΙΕΥΘΥΝΣΗ Π.Ε. Δ΄ ΑΘΗΝΑΣ"/>
    <n v="30.947222222222223"/>
    <s v="31 - 40"/>
  </r>
  <r>
    <n v="99910644"/>
    <s v="Α"/>
    <x v="7"/>
    <x v="7"/>
    <m/>
    <m/>
    <s v="Γ΄"/>
    <n v="1"/>
    <n v="22627"/>
    <d v="2018-09-11T00:00:00"/>
    <s v="Α΄ ΠΕΙΡΑΙΑ (Δ.Ε.) 2018"/>
    <s v="ΔΙΕΥΘΥΝΣΗ Δ.Ε. ΠΕΙΡΑΙΑ"/>
    <s v="ΠΕΡΙΦΕΡΕΙΑΚΗ Δ/ΝΣΗ Α/ΘΜΙΑΣ ΚΑΙ Β/ΘΜΙΑΣ ΕΚΠ/ΣΗΣ ΑΤΤΙΚΗΣ"/>
    <n v="3"/>
    <s v="ΟΧΙ"/>
    <s v="ΟΧΙ"/>
    <s v="ΟΧΙ"/>
    <s v="ΟΧΙ"/>
    <s v="ΟΧΙ"/>
    <m/>
    <d v="2018-09-11T00:00:00"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6-21T00:00:00"/>
    <x v="0"/>
    <s v="ΔΙΕΥΘΥΝΣΗ Δ.Ε. ΠΕΙΡΑΙΑ"/>
    <n v="30.95"/>
    <s v="31 - 40"/>
  </r>
  <r>
    <n v="9991064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6-14T00:00:00"/>
    <x v="1"/>
    <s v="ΔΙΕΥΘΥΝΣΗ Π.Ε. Β΄ ΑΘΗΝΑΣ"/>
    <n v="30.969444444444445"/>
    <s v="31 - 40"/>
  </r>
  <r>
    <n v="99910646"/>
    <s v="Θ"/>
    <x v="1"/>
    <x v="1"/>
    <m/>
    <m/>
    <s v="Γ΄"/>
    <n v="1"/>
    <s v="9607/16-09-201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6-14T00:00:00"/>
    <x v="1"/>
    <s v="ΔΙΕΥΘΥΝΣΗ Π.Ε. Δ΄ ΑΘΗΝΑΣ"/>
    <n v="30.969444444444445"/>
    <s v="31 - 40"/>
  </r>
  <r>
    <n v="99910647"/>
    <s v="Α"/>
    <x v="16"/>
    <x v="16"/>
    <m/>
    <m/>
    <s v="Γ΄"/>
    <n v="1"/>
    <s v="18279/52"/>
    <d v="2018-09-01T00:00:00"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m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6-04T00:00:00"/>
    <x v="0"/>
    <s v="ΔΙΕΥΘΥΝΣΗ Δ.Ε. Γ΄ ΑΘΗΝΑΣ"/>
    <n v="30.997222222222224"/>
    <s v="31 - 40"/>
  </r>
  <r>
    <n v="99910648"/>
    <s v="Θ"/>
    <x v="1"/>
    <x v="1"/>
    <m/>
    <m/>
    <s v="Α΄"/>
    <n v="5"/>
    <s v="Φ.Ι.Α.1/736/15-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6-01T00:00:00"/>
    <x v="1"/>
    <s v="ΔΙΕΥΘΥΝΣΗ Π.Ε. ΑΝΑΤΟΛΙΚΗΣ ΑΤΤΙΚΗΣ"/>
    <n v="31.005555555555556"/>
    <s v="31 - 40"/>
  </r>
  <r>
    <n v="99910649"/>
    <s v="Θ"/>
    <x v="7"/>
    <x v="7"/>
    <m/>
    <m/>
    <s v="Γ΄"/>
    <n v="1"/>
    <s v="Φ.17./339/10031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8-06-01T00:00:00"/>
    <x v="1"/>
    <s v="ΔΙΕΥΘΥΝΣΗ Π.Ε. Β΄ ΑΘΗΝΑΣ"/>
    <n v="31.005555555555556"/>
    <s v="31 - 40"/>
  </r>
  <r>
    <n v="99910650"/>
    <s v="Θ"/>
    <x v="2"/>
    <x v="2"/>
    <m/>
    <m/>
    <s v="Γ΄"/>
    <n v="1"/>
    <n v="1779526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189"/>
    <s v="ΙΔΙΩΤΙΚΟ ΝΗΠΙΑΓΩΓΕΙΟ - ΙΕΡΟΥ ΝΑΟΥ ΜΕΤΑΜΟΡΦΩΣΗΣ ΣΩΤΗΡΟΣ ΤΗΣ ΙΕΡΑΣ ΑΡΧΙΕΠΙΣΚΟΠΗ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5-30T00:00:00"/>
    <x v="1"/>
    <s v="ΔΙΕΥΘΥΝΣΗ Π.Ε. Β΄ ΑΘΗΝΑΣ"/>
    <n v="31.011111111111113"/>
    <s v="31 - 40"/>
  </r>
  <r>
    <n v="99910651"/>
    <s v="Θ"/>
    <x v="1"/>
    <x v="1"/>
    <m/>
    <m/>
    <s v="Γ΄"/>
    <n v="1"/>
    <s v="6ΡΙΩ4653ΠΣ-ΕΛΠ"/>
    <d v="2016-09-07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6-09-07T00:00:00"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5-30T00:00:00"/>
    <x v="1"/>
    <s v="ΔΙΕΥΘΥΝΣΗ Π.Ε. ΑΝΑΤ. ΘΕΣ/ΝΙΚΗΣ"/>
    <n v="31.011111111111113"/>
    <s v="31 - 40"/>
  </r>
  <r>
    <n v="99910652"/>
    <s v="Α"/>
    <x v="8"/>
    <x v="8"/>
    <m/>
    <m/>
    <s v="Γ΄"/>
    <n v="1"/>
    <n v="22517"/>
    <d v="2018-09-28T00:00:00"/>
    <s v="Γ΄ ΑΘΗΝΑΣ (Δ.Ε.) 2018"/>
    <s v="ΔΙΕΥΘΥΝΣΗ Δ.Ε. Γ΄ ΑΘΗΝΑΣ"/>
    <s v="ΠΕΡΙΦΕΡΕΙΑΚΗ Δ/ΝΣΗ Α/ΘΜΙΑΣ ΚΑΙ Β/ΘΜΙΑΣ ΕΚΠ/ΣΗΣ ΑΤΤΙΚΗΣ"/>
    <n v="7"/>
    <s v="ΟΧΙ"/>
    <s v="ΟΧΙ"/>
    <s v="ΟΧΙ"/>
    <s v="ΟΧΙ"/>
    <s v="ΟΧΙ"/>
    <m/>
    <d v="2018-09-28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5-28T00:00:00"/>
    <x v="0"/>
    <s v="ΔΙΕΥΘΥΝΣΗ Δ.Ε. Γ΄ ΑΘΗΝΑΣ"/>
    <n v="31.016666666666666"/>
    <s v="31 - 40"/>
  </r>
  <r>
    <n v="99910653"/>
    <s v="Θ"/>
    <x v="1"/>
    <x v="1"/>
    <m/>
    <m/>
    <s v="Γ΄"/>
    <n v="1"/>
    <n v="8797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5-22T00:00:00"/>
    <x v="1"/>
    <s v="ΔΙΕΥΘΥΝΣΗ Π.Ε. Δ΄ ΑΘΗΝΑΣ"/>
    <n v="31.033333333333335"/>
    <s v="31 - 40"/>
  </r>
  <r>
    <n v="99910654"/>
    <s v="Θ"/>
    <x v="15"/>
    <x v="15"/>
    <m/>
    <m/>
    <s v="Γ΄"/>
    <n v="1"/>
    <n v="8138"/>
    <d v="2018-09-07T00:00:00"/>
    <s v="ΙΩΑΝΝΙΝΩΝ (Δ.Ε.) 2018"/>
    <s v="ΔΙΕΥΘΥΝΣΗ Δ.Ε. ΙΩΑΝΝΙΝΩΝ"/>
    <s v="ΠΕΡΙΦΕΡΕΙΑΚΗ Δ/ΝΣΗ Α/ΘΜΙΑΣ ΚΑΙ Β/ΘΜΙΑΣ ΕΚΠ/ΣΗΣ ΗΠΕΙΡΟΥ"/>
    <n v="15"/>
    <s v="ΟΧΙ"/>
    <s v="ΟΧΙ"/>
    <s v="ΟΧΙ"/>
    <m/>
    <s v="ΟΧΙ"/>
    <m/>
    <d v="2018-09-07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8-05-20T00:00:00"/>
    <x v="0"/>
    <s v="ΔΙΕΥΘΥΝΣΗ Δ.Ε. ΙΩΑΝΝΙΝΩΝ"/>
    <n v="31.038888888888888"/>
    <s v="31 - 40"/>
  </r>
  <r>
    <n v="99910655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5-17T00:00:00"/>
    <x v="1"/>
    <s v="ΔΙΕΥΘΥΝΣΗ Π.Ε. Β΄ ΑΘΗΝΑΣ"/>
    <n v="31.047222222222221"/>
    <s v="31 - 40"/>
  </r>
  <r>
    <n v="99910656"/>
    <s v="Α"/>
    <x v="23"/>
    <x v="23"/>
    <s v="ΠΕ86"/>
    <s v="ΠΛΗΡΟΦΟΡΙΚΗΣ"/>
    <s v="Α΄"/>
    <n v="1"/>
    <s v="ΔΥ"/>
    <d v="2018-11-13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11-13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5-17T00:00:00"/>
    <x v="0"/>
    <s v="ΔΙΕΥΘΥΝΣΗ Δ.Ε. ΑΝΑΤ. ΘΕΣ/ΝΙΚΗΣ"/>
    <n v="31.047222222222221"/>
    <s v="31 - 40"/>
  </r>
  <r>
    <n v="99910657"/>
    <s v="Θ"/>
    <x v="1"/>
    <x v="1"/>
    <m/>
    <m/>
    <s v="Β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5-10T00:00:00"/>
    <x v="1"/>
    <s v="ΔΙΕΥΘΥΝΣΗ Π.Ε. ΔΥΤ. ΘΕΣ/ΝΙΚΗΣ"/>
    <n v="31.066666666666666"/>
    <s v="31 - 40"/>
  </r>
  <r>
    <n v="99910658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5-06T00:00:00"/>
    <x v="1"/>
    <s v="ΔΙΕΥΘΥΝΣΗ Π.Ε. Β΄ ΑΘΗΝΑΣ"/>
    <n v="31.077777777777779"/>
    <s v="31 - 40"/>
  </r>
  <r>
    <n v="99910659"/>
    <s v="Θ"/>
    <x v="1"/>
    <x v="1"/>
    <m/>
    <m/>
    <s v="Γ΄"/>
    <n v="1"/>
    <n v="972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8-05-03T00:00:00"/>
    <x v="1"/>
    <s v="ΔΙΕΥΘΥΝΣΗ Π.Ε. ΛΑΡΙΣΑΣ"/>
    <n v="31.086111111111112"/>
    <s v="31 - 40"/>
  </r>
  <r>
    <n v="99910660"/>
    <s v="Θ"/>
    <x v="1"/>
    <x v="1"/>
    <m/>
    <m/>
    <s v="Β΄"/>
    <n v="3"/>
    <s v="Φ.Ι.Α.1/736/15-01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5-02T00:00:00"/>
    <x v="1"/>
    <s v="ΔΙΕΥΘΥΝΣΗ Π.Ε. ΑΝΑΤΟΛΙΚΗΣ ΑΤΤΙΚΗΣ"/>
    <n v="31.088888888888889"/>
    <s v="31 - 40"/>
  </r>
  <r>
    <n v="99910661"/>
    <s v="Θ"/>
    <x v="2"/>
    <x v="2"/>
    <m/>
    <m/>
    <s v="Γ΄"/>
    <n v="1"/>
    <n v="5"/>
    <d v="2018-09-12T00:00:00"/>
    <s v="Α΄ ΕΒΡΟΥ (Π.Ε.) 2018"/>
    <s v="ΔΙΕΥΘΥΝΣΗ Π.Ε. ΕΒΡΟΥ"/>
    <s v="ΠΕΡΙΦΕΡΕΙΑΚΗ Δ/ΝΣΗ Α/ΘΜΙΑΣ ΚΑΙ Β/ΘΜΙΑΣ ΕΚΠ/ΣΗΣ ΑΝ. ΜΑΚΕΔΟΝΙΑΣ ΚΑΙ ΘΡΑΚΗΣ"/>
    <n v="25"/>
    <s v="ΟΧΙ"/>
    <m/>
    <m/>
    <m/>
    <s v="ΟΧΙ"/>
    <m/>
    <d v="2018-09-12T00:00:00"/>
    <s v="Ιδιωτικά Σχολεία"/>
    <x v="2"/>
    <s v="7111007"/>
    <s v="ΙΔΙΩΤΙΚΟ ΣΥΣΤΕΓΑΖΟΜΕΝΟ ΝΗΠΙΑΓΩΓΕΙΟ - Β. ΚΑΡΑΒΙΔΑ - Κ. ΠΡΑΣΣΑΣ"/>
    <s v="Α΄ ΕΒΡΟΥ (Π.Ε.) 2018"/>
    <x v="55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8-04-27T00:00:00"/>
    <x v="1"/>
    <s v="ΔΙΕΥΘΥΝΣΗ Π.Ε. ΕΒΡΟΥ"/>
    <n v="31.102777777777778"/>
    <s v="31 - 40"/>
  </r>
  <r>
    <n v="99910662"/>
    <s v="Θ"/>
    <x v="14"/>
    <x v="14"/>
    <m/>
    <m/>
    <s v="Γ΄"/>
    <n v="1"/>
    <s v="11040/23-11-2016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5"/>
    <s v="ΟΧΙ"/>
    <s v="ΟΧΙ"/>
    <s v="ΟΧΙ"/>
    <s v="ΟΧΙ"/>
    <s v="ΟΧΙ"/>
    <m/>
    <d v="2018-09-01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8-04-26T00:00:00"/>
    <x v="0"/>
    <s v="ΔΙΕΥΘΥΝΣΗ Δ.Ε. ΞΑΝΘΗΣ"/>
    <n v="31.105555555555554"/>
    <s v="31 - 40"/>
  </r>
  <r>
    <n v="99910663"/>
    <s v="Θ"/>
    <x v="1"/>
    <x v="1"/>
    <m/>
    <m/>
    <s v="Γ΄"/>
    <n v="3"/>
    <s v="72.1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4-21T00:00:00"/>
    <x v="1"/>
    <s v="ΔΙΕΥΘΥΝΣΗ Π.Ε. Β΄ ΑΘΗΝΑΣ"/>
    <n v="31.119444444444444"/>
    <s v="31 - 40"/>
  </r>
  <r>
    <n v="99910664"/>
    <s v="Θ"/>
    <x v="8"/>
    <x v="8"/>
    <m/>
    <m/>
    <s v="Γ΄"/>
    <n v="3"/>
    <s v="Φ.17/5986"/>
    <d v="2018-09-01T00:00:00"/>
    <s v="ΚΟΡΙΝΘΙΑΣ (Π.Ε.) 2018"/>
    <s v="ΔΙΕΥΘΥΝΣΗ Π.Ε. ΚΟΡΙΝΘΙΑΣ"/>
    <s v="ΠΕΡΙΦΕΡΕΙΑΚΗ Δ/ΝΣΗ Α/ΘΜΙΑΣ ΚΑΙ Β/ΘΜΙΑΣ ΕΚΠ/ΣΗΣ ΠΕΛΟΠΟΝΝΗΣΟΥ"/>
    <n v="11"/>
    <s v="ΟΧΙ"/>
    <s v="ΟΧΙ"/>
    <s v="ΟΧΙ"/>
    <s v="ΟΧΙ"/>
    <s v="ΟΧΙ"/>
    <m/>
    <d v="2018-09-01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8-04-21T00:00:00"/>
    <x v="1"/>
    <s v="ΔΙΕΥΘΥΝΣΗ Π.Ε. ΚΟΡΙΝΘΙΑΣ"/>
    <n v="31.119444444444444"/>
    <s v="31 - 40"/>
  </r>
  <r>
    <n v="99910665"/>
    <s v="Θ"/>
    <x v="2"/>
    <x v="2"/>
    <m/>
    <m/>
    <s v="Γ΄"/>
    <n v="1"/>
    <s v="4300/19-11-2018"/>
    <d v="2018-11-09T00:00:00"/>
    <s v="ΔΡΑΜΑΣ (Π.Ε.) 2018"/>
    <s v="ΔΙΕΥΘΥΝΣΗ Π.Ε. ΔΡΑΜΑΣ"/>
    <s v="ΠΕΡΙΦΕΡΕΙΑΚΗ Δ/ΝΣΗ Α/ΘΜΙΑΣ ΚΑΙ Β/ΘΜΙΑΣ ΕΚΠ/ΣΗΣ ΑΝ. ΜΑΚΕΔΟΝΙΑΣ ΚΑΙ ΘΡΑΚΗΣ"/>
    <n v="25"/>
    <s v="ΟΧΙ"/>
    <m/>
    <m/>
    <m/>
    <s v="ΟΧΙ"/>
    <m/>
    <d v="2018-11-09T00:00:00"/>
    <s v="Ιδιωτικά Σχολεία"/>
    <x v="2"/>
    <s v="7091003"/>
    <s v="ΙΔΙΩΤΙΚΟ ΝΗΠΙΑΓΩΓΕΙΟ ΔΡΑΜΑ - Ε. ΤΡΟΠΙΟΥ ΚΑΙ ΣΙΑ Ο.Ε. &quot;ΠΑΙΔΙΚΟΡΑΜΑ&quot;"/>
    <s v="ΔΡΑΜΑΣ (Π.Ε.) 2018"/>
    <x v="57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8-04-16T00:00:00"/>
    <x v="1"/>
    <s v="ΔΙΕΥΘΥΝΣΗ Π.Ε. ΔΡΑΜΑΣ"/>
    <n v="31.133333333333333"/>
    <s v="31 - 40"/>
  </r>
  <r>
    <n v="99910666"/>
    <s v="Θ"/>
    <x v="1"/>
    <x v="1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8-04-14T00:00:00"/>
    <x v="1"/>
    <s v="ΔΙΕΥΘΥΝΣΗ Π.Ε. ΚΥΚΛΑΔΩΝ"/>
    <n v="31.138888888888889"/>
    <s v="31 - 40"/>
  </r>
  <r>
    <n v="99910667"/>
    <s v="Θ"/>
    <x v="1"/>
    <x v="1"/>
    <m/>
    <m/>
    <s v="Γ΄"/>
    <n v="3"/>
    <s v="728Φ4653ΠΣ-ΛΥ4"/>
    <d v="2015-11-09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d v="2015-11-09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8-04-14T00:00:00"/>
    <x v="1"/>
    <s v="ΔΙΕΥΘΥΝΣΗ Π.Ε. ΚΟΡΙΝΘΙΑΣ"/>
    <n v="31.138888888888889"/>
    <s v="31 - 40"/>
  </r>
  <r>
    <n v="99910668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4-08T00:00:00"/>
    <x v="1"/>
    <s v="ΔΙΕΥΘΥΝΣΗ Π.Ε. ΠΕΙΡΑΙΑ"/>
    <n v="31.155555555555555"/>
    <s v="31 - 40"/>
  </r>
  <r>
    <n v="99910669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4-03T00:00:00"/>
    <x v="1"/>
    <s v="ΔΙΕΥΘΥΝΣΗ Π.Ε. Β΄ ΑΘΗΝΑΣ"/>
    <n v="31.169444444444444"/>
    <s v="31 - 40"/>
  </r>
  <r>
    <n v="99910670"/>
    <s v="Θ"/>
    <x v="2"/>
    <x v="2"/>
    <m/>
    <m/>
    <s v="Γ΄"/>
    <n v="1"/>
    <n v="1779739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189"/>
    <s v="ΙΔΙΩΤΙΚΟ ΝΗΠΙΑΓΩΓΕΙΟ - ΙΕΡΟΥ ΝΑΟΥ ΜΕΤΑΜΟΡΦΩΣΗΣ ΣΩΤΗΡΟΣ ΤΗΣ ΙΕΡΑΣ ΑΡΧΙΕΠΙΣΚΟΠΗ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4-03T00:00:00"/>
    <x v="1"/>
    <s v="ΔΙΕΥΘΥΝΣΗ Π.Ε. Β΄ ΑΘΗΝΑΣ"/>
    <n v="31.169444444444444"/>
    <s v="31 - 40"/>
  </r>
  <r>
    <n v="99910671"/>
    <s v="Θ"/>
    <x v="2"/>
    <x v="2"/>
    <m/>
    <m/>
    <s v="Γ΄"/>
    <n v="1"/>
    <n v="4797"/>
    <d v="2018-09-12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12T00:00:00"/>
    <s v="Ιδιωτικά Σχολεία"/>
    <x v="2"/>
    <s v="7451013"/>
    <s v="ΙΔΙΩΤΙΚΟ ΝΗΠΙΑΓΩΓΕΙΟ ΤΡΙΚΑΛΑ - ΡΟΔΙ-ΣΕΓΓΗΣ-ΠΑΠΑΓΕΩΡΓΙΟΥ Ο.Ε."/>
    <s v="ΤΡΙΚΑΛΩΝ (Π.Ε.) 2018"/>
    <x v="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8-03-31T00:00:00"/>
    <x v="1"/>
    <s v="ΔΙΕΥΘΥΝΣΗ Π.Ε. ΤΡΙΚΑΛΩΝ"/>
    <n v="31.177777777777777"/>
    <s v="31 - 40"/>
  </r>
  <r>
    <n v="99910672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077"/>
    <s v="ΠΑΠΑΓΑΘΑΓΓΕΛΟΥ &amp; ΣΙΑ Ε.Ε. (ΠΑΠΑΓΑΘΑΓΓΕΛΟΥ &amp; ΣΙΑ Ε.Ε.)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29T00:00:00"/>
    <x v="1"/>
    <s v="ΔΙΕΥΘΥΝΣΗ Π.Ε. Δ΄ ΑΘΗΝΑΣ"/>
    <n v="31.183333333333334"/>
    <s v="31 - 40"/>
  </r>
  <r>
    <n v="99910673"/>
    <s v="Θ"/>
    <x v="0"/>
    <x v="0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m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8-03-23T00:00:00"/>
    <x v="1"/>
    <s v="ΔΙΕΥΘΥΝΣΗ Π.Ε. ΙΩΑΝΝΙΝΩΝ"/>
    <n v="31.2"/>
    <s v="31 - 40"/>
  </r>
  <r>
    <n v="99910674"/>
    <s v="Θ"/>
    <x v="1"/>
    <x v="1"/>
    <m/>
    <m/>
    <s v="Α΄"/>
    <n v="1"/>
    <s v="6ΕΕΓ4653ΠΣ-1ΞΥ"/>
    <d v="2015-11-16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11-16T00:00:00"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22T00:00:00"/>
    <x v="1"/>
    <s v="ΔΙΕΥΘΥΝΣΗ Π.Ε. ΑΝΑΤΟΛΙΚΗΣ ΑΤΤΙΚΗΣ"/>
    <n v="31.202777777777779"/>
    <s v="31 - 40"/>
  </r>
  <r>
    <n v="99910675"/>
    <s v="Θ"/>
    <x v="1"/>
    <x v="1"/>
    <m/>
    <m/>
    <s v="Α΄"/>
    <n v="1"/>
    <m/>
    <m/>
    <s v="ΧΑΝΙΩΝ (Π.Ε.) 2018"/>
    <s v="ΔΙΕΥΘΥΝΣΗ Π.Ε. ΡΕΘΥΜΝΟΥ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3-21T00:00:00"/>
    <x v="1"/>
    <s v="ΔΙΕΥΘΥΝΣΗ Π.Ε. ΡΕΘΥΜΝΟΥ"/>
    <n v="31.205555555555556"/>
    <s v="31 - 40"/>
  </r>
  <r>
    <n v="99910676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20T00:00:00"/>
    <x v="1"/>
    <s v="ΔΙΕΥΘΥΝΣΗ Π.Ε. ΑΝΑΤΟΛΙΚΗΣ ΑΤΤΙΚΗΣ"/>
    <n v="31.208333333333332"/>
    <s v="31 - 40"/>
  </r>
  <r>
    <n v="99910677"/>
    <s v="Θ"/>
    <x v="0"/>
    <x v="0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22"/>
    <s v="ΟΧΙ"/>
    <s v="ΟΧΙ"/>
    <s v="ΟΧΙ"/>
    <s v="ΟΧΙ"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8-03-20T00:00:00"/>
    <x v="1"/>
    <s v="ΔΙΕΥΘΥΝΣΗ Π.Ε. ΙΩΑΝΝΙΝΩΝ"/>
    <n v="31.208333333333332"/>
    <s v="31 - 40"/>
  </r>
  <r>
    <n v="99910678"/>
    <s v="Θ"/>
    <x v="2"/>
    <x v="2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3"/>
    <s v="ΙΔΙΩΤΙΚΟ ΣΥΣΤΕΓΑΖΟΜΕΝΟ ΝΗΠΙΑΓΩΓΕΙΟ - ΑΜΑΛΘΕ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3-20T00:00:00"/>
    <x v="1"/>
    <s v="ΔΙΕΥΘΥΝΣΗ Π.Ε. ΑΝΑΤ. ΘΕΣ/ΝΙΚΗΣ"/>
    <n v="31.208333333333332"/>
    <s v="31 - 40"/>
  </r>
  <r>
    <n v="99910679"/>
    <s v="Θ"/>
    <x v="2"/>
    <x v="2"/>
    <m/>
    <m/>
    <s v="Γ΄"/>
    <n v="1"/>
    <n v="2032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18T00:00:00"/>
    <x v="1"/>
    <s v="ΔΙΕΥΘΥΝΣΗ Π.Ε. Δ΄ ΑΘΗΝΑΣ"/>
    <n v="31.213888888888889"/>
    <s v="31 - 40"/>
  </r>
  <r>
    <n v="99910680"/>
    <s v="Θ"/>
    <x v="1"/>
    <x v="1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3-14T00:00:00"/>
    <x v="1"/>
    <s v="ΔΙΕΥΘΥΝΣΗ Π.Ε. ΔΥΤ. ΘΕΣ/ΝΙΚΗΣ"/>
    <n v="31.225000000000001"/>
    <s v="31 - 40"/>
  </r>
  <r>
    <n v="99910681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3-13T00:00:00"/>
    <x v="0"/>
    <s v="ΔΙΕΥΘΥΝΣΗ Δ.Ε. Β΄ ΑΘΗΝΑΣ"/>
    <n v="31.227777777777778"/>
    <s v="31 - 40"/>
  </r>
  <r>
    <n v="99910682"/>
    <s v="Θ"/>
    <x v="2"/>
    <x v="2"/>
    <m/>
    <m/>
    <s v="Α΄"/>
    <n v="2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141"/>
    <s v="ΙΔΙΩΤΙΚΟ ΝΗΠΙΑΓΩΓΕΙΟ - ΦΕΓΓΑΡΟΣΤΡΑΤ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11T00:00:00"/>
    <x v="1"/>
    <s v="ΔΙΕΥΘΥΝΣΗ Π.Ε. Δ΄ ΑΘΗΝΑΣ"/>
    <n v="31.233333333333334"/>
    <s v="31 - 40"/>
  </r>
  <r>
    <n v="99910683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521015"/>
    <s v="ΙΔΙΩΤΙΚΟ ΝΗΠΙΑΓΩΓΕΙΟ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10T00:00:00"/>
    <x v="1"/>
    <s v="ΔΙΕΥΘΥΝΣΗ Π.Ε. ΑΝΑΤΟΛΙΚΗΣ ΑΤΤΙΚΗΣ"/>
    <n v="31.236111111111111"/>
    <s v="31 - 40"/>
  </r>
  <r>
    <n v="99910684"/>
    <s v="Θ"/>
    <x v="0"/>
    <x v="0"/>
    <m/>
    <m/>
    <s v="Γ΄"/>
    <n v="1"/>
    <n v="4544"/>
    <d v="2018-09-19T00:00:00"/>
    <s v="ΑΡΓΟΛΙΔΑΣ (Π.Ε.) 2018"/>
    <s v="ΔΙΕΥΘΥΝΣΗ Π.Ε. ΑΡΓΟΛΙΔΑΣ"/>
    <s v="ΠΕΡΙΦΕΡΕΙΑΚΗ Δ/ΝΣΗ Α/ΘΜΙΑΣ ΚΑΙ Β/ΘΜΙΑΣ ΕΚΠ/ΣΗΣ ΠΕΛΟΠΟΝΝΗΣΟΥ"/>
    <n v="6"/>
    <s v="ΟΧΙ"/>
    <m/>
    <m/>
    <m/>
    <s v="ΟΧΙ"/>
    <m/>
    <d v="2018-09-19T00:00:00"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8-03-08T00:00:00"/>
    <x v="1"/>
    <s v="ΔΙΕΥΘΥΝΣΗ Π.Ε. ΑΡΓΟΛΙΔΑΣ"/>
    <n v="31.241666666666667"/>
    <s v="31 - 40"/>
  </r>
  <r>
    <n v="99910685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2"/>
    <s v="7051109"/>
    <s v="ΣΥΣΤΕΓΑΖΟΜΕΝΟ ΙΔΙΩΤΙΚΟ ΝΗΠΙΑΓΩΓΕΙΟ - ΛΕΟΝΤΕΙΟ ΛΥΚΕΙΟ ΠΑΤΗΣΙΩΝ - ΑΝΩΝΥΜΗ ΕΚΠΑΙΔΕΥΤΙΚΗ ΕΤΑΙΡΕΙΑ - ΛΕΟΝΤΕΙΟ ΛΥΚΕΙΟ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3-04T00:00:00"/>
    <x v="1"/>
    <s v="ΔΙΕΥΘΥΝΣΗ Π.Ε. Α΄ ΑΘΗΝΑΣ"/>
    <n v="31.252777777777776"/>
    <s v="31 - 40"/>
  </r>
  <r>
    <n v="99910686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s v="ΟΧΙ"/>
    <s v="ΟΧΙ"/>
    <s v="ΟΧΙ"/>
    <s v="ΟΧΙ"/>
    <s v="ΟΧΙ"/>
    <m/>
    <m/>
    <s v="Ιδιωτικά Σχολεία"/>
    <x v="2"/>
    <s v="7191089"/>
    <s v="Ν.ΝΙΚΟΛΑΪΔΗΣ ΕΠΕ (BABY SCHOOL ΕΠΕ)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2-28T00:00:00"/>
    <x v="1"/>
    <s v="ΔΙΕΥΘΥΝΣΗ Π.Ε. ΑΝΑΤ. ΘΕΣ/ΝΙΚΗΣ"/>
    <n v="31.266666666666666"/>
    <s v="31 - 40"/>
  </r>
  <r>
    <n v="99910687"/>
    <s v="Θ"/>
    <x v="1"/>
    <x v="1"/>
    <m/>
    <m/>
    <s v="Β΄"/>
    <n v="6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2-23T00:00:00"/>
    <x v="1"/>
    <s v="ΔΙΕΥΘΥΝΣΗ Π.Ε. Δ΄ ΑΘΗΝΑΣ"/>
    <n v="31.280555555555555"/>
    <s v="31 - 40"/>
  </r>
  <r>
    <n v="99910688"/>
    <s v="Θ"/>
    <x v="2"/>
    <x v="2"/>
    <m/>
    <m/>
    <s v="Γ΄"/>
    <n v="1"/>
    <s v="Φ.17.2/304/13919/7.11.1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2-17T00:00:00"/>
    <x v="1"/>
    <s v="ΔΙΕΥΘΥΝΣΗ Π.Ε. Β΄ ΑΘΗΝΑΣ"/>
    <n v="31.297222222222221"/>
    <s v="31 - 40"/>
  </r>
  <r>
    <n v="99910689"/>
    <s v="Θ"/>
    <x v="2"/>
    <x v="2"/>
    <m/>
    <m/>
    <s v="Γ΄"/>
    <n v="1"/>
    <n v="1799622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37"/>
    <s v="ΙΔΙΩΤΙΚΟ ΝΗΠΙΑΓΩΓΕΙΟ - ΜΑΡΙΑ ΕΛΕΝΗ ΜΑΝΘΟΥΛΗ &quot;ΙΔΙΩΤΙΚΟ ΣΥΣΤΕΓΑΖΟΜΕΝΟ ΝΗΠΙΑΓΩΓΕΙΟ - ΤΟ ΝΗΠΙΑΓΩΓΕΙΟ ΤΟΥ ΕΛΑ ΝΑ ΠΑΙΞΟΥΜΕ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2-16T00:00:00"/>
    <x v="1"/>
    <s v="ΔΙΕΥΘΥΝΣΗ Π.Ε. Β΄ ΑΘΗΝΑΣ"/>
    <n v="31.3"/>
    <s v="31 - 40"/>
  </r>
  <r>
    <n v="99910690"/>
    <s v="Θ"/>
    <x v="21"/>
    <x v="21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2-15T00:00:00"/>
    <x v="1"/>
    <s v="ΔΙΕΥΘΥΝΣΗ Π.Ε. ΑΝΑΤ. ΘΕΣ/ΝΙΚΗΣ"/>
    <n v="31.302777777777777"/>
    <s v="31 - 40"/>
  </r>
  <r>
    <n v="99910691"/>
    <s v="Θ"/>
    <x v="11"/>
    <x v="11"/>
    <m/>
    <m/>
    <s v="Γ΄"/>
    <n v="1"/>
    <s v="Φ.17.2/7069"/>
    <d v="2018-10-10T00:00:00"/>
    <s v="Α΄ ΔΩΔΕΚΑΝΗΣΟΥ (Δ.Ε.) 2018"/>
    <s v="ΔΙΕΥΘΥΝΣΗ Δ.Ε. ΔΩΔΕΚΑΝΗΣΟΥ"/>
    <s v="ΠΕΡΙΦΕΡΕΙΑΚΗ Δ/ΝΣΗ Α/ΘΜΙΑΣ ΚΑΙ Β/ΘΜΙΑΣ ΕΚΠ/ΣΗΣ ΝΟΤΙΟΥ ΑΙΓΑΙΟΥ"/>
    <n v="13"/>
    <s v="ΟΧΙ"/>
    <m/>
    <m/>
    <m/>
    <s v="ΟΧΙ"/>
    <m/>
    <d v="2018-10-10T00:00:00"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Αναπληρωτής Ιδιωτικής Εκπαίδευσης (ν. 682/1977 άρ.35, παρ.4)"/>
    <s v="Τοποθέτηση σε Ιδιωτική Εκπαίδευση"/>
    <d v="1988-02-13T00:00:00"/>
    <x v="0"/>
    <s v="ΔΙΕΥΘΥΝΣΗ Δ.Ε. ΔΩΔΕΚΑΝΗΣΟΥ"/>
    <n v="31.308333333333334"/>
    <s v="31 - 40"/>
  </r>
  <r>
    <n v="99910692"/>
    <s v="Θ"/>
    <x v="10"/>
    <x v="10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8-02-08T00:00:00"/>
    <x v="0"/>
    <s v="ΔΙΕΥΘΥΝΣΗ Δ.Ε. ΠΕΙΡΑΙΑ"/>
    <n v="31.322222222222223"/>
    <s v="31 - 40"/>
  </r>
  <r>
    <n v="99910693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521085"/>
    <s v="ΑΦΟΙ Π. &amp; Δ. ΣΠΕΤΖΟΥΡΗ Ο.Ε.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2-05T00:00:00"/>
    <x v="1"/>
    <s v="ΔΙΕΥΘΥΝΣΗ Π.Ε. ΑΝΑΤΟΛΙΚΗΣ ΑΤΤΙΚΗΣ"/>
    <n v="31.330555555555556"/>
    <s v="31 - 40"/>
  </r>
  <r>
    <n v="99910694"/>
    <s v="Α"/>
    <x v="18"/>
    <x v="18"/>
    <m/>
    <m/>
    <s v="Γ΄"/>
    <n v="1"/>
    <n v="4179"/>
    <d v="2018-09-01T00:00:00"/>
    <s v="Δ΄ ΑΘΗΝΑΣ (Π.Ε.) 2018"/>
    <s v="ΔΙΕΥΘΥΝΣΗ Π.Ε. Δ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8-02-05T00:00:00"/>
    <x v="1"/>
    <s v="ΔΙΕΥΘΥΝΣΗ Π.Ε. Δ΄ ΑΘΗΝΑΣ"/>
    <n v="31.330555555555556"/>
    <s v="31 - 40"/>
  </r>
  <r>
    <n v="99910695"/>
    <s v="Α"/>
    <x v="13"/>
    <x v="13"/>
    <s v="ΤΕ16.00.50"/>
    <s v="ΜΟΥΣΙΚΗΣ ΜΗ ΑΝΩΤΑΤΩΝ ΙΔΡΥΜΑΤΩΝ ΕΙΔΙΚΗΣ ΑΓΩΓΗΣ"/>
    <s v="Γ΄"/>
    <n v="1"/>
    <s v="ΑΠ1788200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16"/>
    <s v="ΟΧΙ"/>
    <s v="ΟΧΙ"/>
    <s v="ΟΧΙ"/>
    <s v="ΟΧΙ"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2-05T00:00:00"/>
    <x v="1"/>
    <s v="ΔΙΕΥΘΥΝΣΗ Π.Ε. ΠΙΕΡΙΑΣ"/>
    <n v="31.330555555555556"/>
    <s v="31 - 40"/>
  </r>
  <r>
    <n v="99910696"/>
    <s v="Θ"/>
    <x v="1"/>
    <x v="1"/>
    <m/>
    <m/>
    <s v="Β΄"/>
    <n v="4"/>
    <s v="9292/23-04-2012"/>
    <d v="2011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1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21T00:00:00"/>
    <x v="1"/>
    <s v="ΔΙΕΥΘΥΝΣΗ Π.Ε. ΑΝΑΤΟΛΙΚΗΣ ΑΤΤΙΚΗΣ"/>
    <n v="31.372222222222224"/>
    <s v="31 - 40"/>
  </r>
  <r>
    <n v="99910697"/>
    <s v="Θ"/>
    <x v="1"/>
    <x v="1"/>
    <m/>
    <m/>
    <s v="Β΄"/>
    <n v="3"/>
    <s v="Φ.Ι.Α.1/736/15-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16T00:00:00"/>
    <x v="1"/>
    <s v="ΔΙΕΥΘΥΝΣΗ Π.Ε. ΑΝΑΤΟΛΙΚΗΣ ΑΤΤΙΚΗΣ"/>
    <n v="31.386111111111113"/>
    <s v="31 - 40"/>
  </r>
  <r>
    <n v="99910698"/>
    <s v="Α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8-01-04T00:00:00"/>
    <x v="1"/>
    <s v="ΔΙΕΥΘΥΝΣΗ Π.Ε. ΚΟΡΙΝΘΙΑΣ"/>
    <n v="31.419444444444444"/>
    <s v="31 - 40"/>
  </r>
  <r>
    <n v="99910699"/>
    <s v="Θ"/>
    <x v="1"/>
    <x v="1"/>
    <m/>
    <m/>
    <s v="Γ΄"/>
    <n v="1"/>
    <s v="ΒΙΞΞ9-ΟΧΓ"/>
    <d v="2014-03-31T00:00:00"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d v="2014-03-31T00:00:00"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8-01-01T00:00:00"/>
    <x v="1"/>
    <s v="ΔΙΕΥΘΥΝΣΗ Π.Ε. Α΄ ΑΘΗΝΑΣ"/>
    <n v="31.427777777777777"/>
    <s v="31 - 40"/>
  </r>
  <r>
    <n v="99910700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8-01-01T00:00:00"/>
    <x v="1"/>
    <s v="ΔΙΕΥΘΥΝΣΗ Π.Ε. Α΄ ΑΘΗΝΑΣ"/>
    <n v="31.427777777777777"/>
    <s v="31 - 40"/>
  </r>
  <r>
    <n v="99910701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ΑΝΑΤΟΛΙΚΗΣ ΑΤΤΙΚΗΣ"/>
    <n v="31.427777777777777"/>
    <s v="31 - 40"/>
  </r>
  <r>
    <n v="99910702"/>
    <s v="Α"/>
    <x v="1"/>
    <x v="1"/>
    <m/>
    <m/>
    <s v="Α΄"/>
    <n v="1"/>
    <s v="7ΡΒ29-ΘΞΓ"/>
    <d v="2014-11-18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4-11-18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ΑΝΑΤΟΛΙΚΗΣ ΑΤΤΙΚΗΣ"/>
    <n v="31.427777777777777"/>
    <s v="31 - 40"/>
  </r>
  <r>
    <n v="99910703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ΑΝΑΤΟΛΙΚΗΣ ΑΤΤΙΚΗΣ"/>
    <n v="31.427777777777777"/>
    <s v="31 - 40"/>
  </r>
  <r>
    <n v="99910704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ΑΝΑΤΟΛΙΚΗΣ ΑΤΤΙΚΗΣ"/>
    <n v="31.427777777777777"/>
    <s v="31 - 40"/>
  </r>
  <r>
    <n v="9991070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06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07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08"/>
    <s v="Θ"/>
    <x v="18"/>
    <x v="18"/>
    <m/>
    <m/>
    <s v="Γ΄"/>
    <n v="1"/>
    <s v="Φ.17.2/572/105/17"/>
    <d v="2018-09-01T00:00:00"/>
    <s v="Β΄ ΑΘΗΝΑΣ (Π.Ε.) 2018"/>
    <s v="ΔΙΕΥΘΥΝΣΗ Π.Ε. Β΄ ΑΘΗΝΑΣ"/>
    <s v="ΠΕΡΙΦΕΡΕΙΑΚΗ Δ/ΝΣΗ Α/ΘΜΙΑΣ ΚΑΙ Β/ΘΜΙΑΣ ΕΚΠ/ΣΗΣ ΑΤΤΙΚΗΣ"/>
    <n v="9"/>
    <s v="ΟΧΙ"/>
    <m/>
    <m/>
    <m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8-01-01T00:00:00"/>
    <x v="1"/>
    <s v="ΔΙΕΥΘΥΝΣΗ Π.Ε. Β΄ ΑΘΗΝΑΣ"/>
    <n v="31.427777777777777"/>
    <s v="31 - 40"/>
  </r>
  <r>
    <n v="99910709"/>
    <s v="Θ"/>
    <x v="1"/>
    <x v="1"/>
    <m/>
    <m/>
    <s v="Γ΄"/>
    <n v="1"/>
    <s v="3528/17-09-10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10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1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12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Β΄ ΑΘΗΝΑΣ"/>
    <n v="31.427777777777777"/>
    <s v="31 - 40"/>
  </r>
  <r>
    <n v="99910713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Γ΄ ΑΘΗΝΑΣ"/>
    <n v="31.427777777777777"/>
    <s v="31 - 40"/>
  </r>
  <r>
    <n v="99910714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Γ΄ ΑΘΗΝΑΣ"/>
    <n v="31.427777777777777"/>
    <s v="31 - 40"/>
  </r>
  <r>
    <n v="99910715"/>
    <s v="Θ"/>
    <x v="1"/>
    <x v="1"/>
    <m/>
    <m/>
    <s v="Β΄"/>
    <n v="3"/>
    <s v="10934/11-10-201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16"/>
    <s v="Θ"/>
    <x v="1"/>
    <x v="1"/>
    <m/>
    <m/>
    <s v="Γ΄"/>
    <n v="1"/>
    <s v="10934/11-10-201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17"/>
    <s v="Θ"/>
    <x v="1"/>
    <x v="1"/>
    <m/>
    <m/>
    <s v="Γ΄"/>
    <n v="1"/>
    <s v="2802/04-11-201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18"/>
    <s v="Θ"/>
    <x v="1"/>
    <x v="1"/>
    <m/>
    <m/>
    <s v="Γ΄"/>
    <n v="1"/>
    <s v="2329/21-02-201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19"/>
    <s v="Θ"/>
    <x v="1"/>
    <x v="1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20"/>
    <s v="Θ"/>
    <x v="1"/>
    <x v="1"/>
    <m/>
    <m/>
    <s v="Β΄"/>
    <n v="3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21"/>
    <s v="Θ"/>
    <x v="1"/>
    <x v="1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22"/>
    <s v="Θ"/>
    <x v="1"/>
    <x v="1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23"/>
    <s v="Θ"/>
    <x v="1"/>
    <x v="1"/>
    <m/>
    <m/>
    <s v="Β΄"/>
    <n v="5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24"/>
    <s v="Θ"/>
    <x v="1"/>
    <x v="1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Δ΄ ΑΘΗΝΑΣ"/>
    <n v="31.427777777777777"/>
    <s v="31 - 40"/>
  </r>
  <r>
    <n v="99910725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ΠΕΙΡΑΙΑ"/>
    <n v="31.427777777777777"/>
    <s v="31 - 40"/>
  </r>
  <r>
    <n v="99910726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ΠΕΙΡΑΙΑ"/>
    <n v="31.427777777777777"/>
    <s v="31 - 40"/>
  </r>
  <r>
    <n v="99910727"/>
    <s v="Θ"/>
    <x v="1"/>
    <x v="1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ΠΕΙΡΑΙΑ"/>
    <n v="31.427777777777777"/>
    <s v="31 - 40"/>
  </r>
  <r>
    <n v="99910728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ΠΕΙΡΑΙΑ"/>
    <n v="31.427777777777777"/>
    <s v="31 - 40"/>
  </r>
  <r>
    <n v="99910729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8-01-01T00:00:00"/>
    <x v="1"/>
    <s v="ΔΙΕΥΘΥΝΣΗ Π.Ε. ΠΕΙΡΑΙΑ"/>
    <n v="31.427777777777777"/>
    <s v="31 - 40"/>
  </r>
  <r>
    <n v="99910730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8-01-01T00:00:00"/>
    <x v="1"/>
    <s v="ΔΙΕΥΘΥΝΣΗ Π.Ε. ΑΙΤΩΛΟΑΚΑΡΝΑΝΙΑΣ"/>
    <n v="31.427777777777777"/>
    <s v="31 - 40"/>
  </r>
  <r>
    <n v="99910731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8-01-01T00:00:00"/>
    <x v="1"/>
    <s v="ΔΙΕΥΘΥΝΣΗ Π.Ε. ΑΙΤΩΛΟΑΚΑΡΝΑΝΙΑΣ"/>
    <n v="31.427777777777777"/>
    <s v="31 - 40"/>
  </r>
  <r>
    <n v="99910732"/>
    <s v="Θ"/>
    <x v="1"/>
    <x v="1"/>
    <m/>
    <m/>
    <s v="Γ΄"/>
    <n v="1"/>
    <s v="Φ.17/11994/23-11-2015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8-01-01T00:00:00"/>
    <x v="1"/>
    <s v="ΔΙΕΥΘΥΝΣΗ Π.Ε. ΙΩΑΝΝΙΝΩΝ"/>
    <n v="31.427777777777777"/>
    <s v="31 - 40"/>
  </r>
  <r>
    <n v="99910733"/>
    <s v="Θ"/>
    <x v="1"/>
    <x v="1"/>
    <m/>
    <m/>
    <s v="Γ΄"/>
    <n v="1"/>
    <s v="9874/30-10-2012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8-01-01T00:00:00"/>
    <x v="1"/>
    <s v="ΔΙΕΥΘΥΝΣΗ Π.Ε. ΙΩΑΝΝΙΝΩΝ"/>
    <n v="31.427777777777777"/>
    <s v="31 - 40"/>
  </r>
  <r>
    <n v="99910734"/>
    <s v="Θ"/>
    <x v="1"/>
    <x v="1"/>
    <m/>
    <m/>
    <s v="Γ΄"/>
    <n v="1"/>
    <n v="942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8-01-01T00:00:00"/>
    <x v="1"/>
    <s v="ΔΙΕΥΘΥΝΣΗ Π.Ε. ΛΑΡΙΣΑΣ"/>
    <n v="31.427777777777777"/>
    <s v="31 - 40"/>
  </r>
  <r>
    <n v="99910735"/>
    <s v="Θ"/>
    <x v="1"/>
    <x v="1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1-01T00:00:00"/>
    <x v="1"/>
    <s v="ΔΙΕΥΘΥΝΣΗ Π.Ε. ΑΝΑΤ. ΘΕΣ/ΝΙΚΗΣ"/>
    <n v="31.427777777777777"/>
    <s v="31 - 40"/>
  </r>
  <r>
    <n v="99910736"/>
    <s v="Α"/>
    <x v="1"/>
    <x v="1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1-01T00:00:00"/>
    <x v="1"/>
    <s v="ΔΙΕΥΘΥΝΣΗ Π.Ε. ΑΝΑΤ. ΘΕΣ/ΝΙΚΗΣ"/>
    <n v="31.427777777777777"/>
    <s v="31 - 40"/>
  </r>
  <r>
    <n v="99910737"/>
    <s v="Θ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1-01T00:00:00"/>
    <x v="1"/>
    <s v="ΔΙΕΥΘΥΝΣΗ Π.Ε. ΑΝΑΤ. ΘΕΣ/ΝΙΚΗΣ"/>
    <n v="31.427777777777777"/>
    <s v="31 - 40"/>
  </r>
  <r>
    <n v="99910738"/>
    <s v="Α"/>
    <x v="21"/>
    <x v="21"/>
    <s v="ΠΕ70"/>
    <s v="ΔΑΣΚΑΛΟΙ"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8-01-01T00:00:00"/>
    <x v="1"/>
    <s v="ΔΙΕΥΘΥΝΣΗ Π.Ε. ΑΝΑΤ. ΘΕΣ/ΝΙΚΗΣ"/>
    <n v="31.427777777777777"/>
    <s v="31 - 40"/>
  </r>
  <r>
    <n v="99910739"/>
    <s v="Θ"/>
    <x v="1"/>
    <x v="1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2"/>
    <s v="2ο ΙΔΙΩΤΙΚΟ ΔΗΜΟΤΙΚΟ ΘΕΣΣΑΛΟΝΙΚΗ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8-01-01T00:00:00"/>
    <x v="1"/>
    <s v="ΔΙΕΥΘΥΝΣΗ Π.Ε. ΑΝΑΤ. ΘΕΣ/ΝΙΚΗΣ"/>
    <n v="31.427777777777777"/>
    <s v="31 - 40"/>
  </r>
  <r>
    <n v="99910740"/>
    <s v="Θ"/>
    <x v="1"/>
    <x v="1"/>
    <m/>
    <m/>
    <s v="Α΄"/>
    <n v="1"/>
    <m/>
    <m/>
    <s v="ΧΑΝΙΩΝ (Π.Ε.) 2018"/>
    <s v="ΔΙΕΥΘΥΝΣΗ Π.Ε. ΗΡΑΚΛΕΙΟΥ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1-01T00:00:00"/>
    <x v="1"/>
    <s v="ΔΙΕΥΘΥΝΣΗ Π.Ε. ΗΡΑΚΛΕΙΟΥ"/>
    <n v="31.427777777777777"/>
    <s v="31 - 40"/>
  </r>
  <r>
    <n v="99910741"/>
    <s v="Θ"/>
    <x v="1"/>
    <x v="1"/>
    <m/>
    <m/>
    <s v="Α΄"/>
    <n v="1"/>
    <m/>
    <m/>
    <s v="ΧΑΝΙΩΝ (Π.Ε.) 2018"/>
    <s v="ΔΙΕΥΘΥΝΣΗ Π.Ε. ΗΡΑΚΛΕΙΟΥ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1-01T00:00:00"/>
    <x v="1"/>
    <s v="ΔΙΕΥΘΥΝΣΗ Π.Ε. ΗΡΑΚΛΕΙΟΥ"/>
    <n v="31.427777777777777"/>
    <s v="31 - 40"/>
  </r>
  <r>
    <n v="99910742"/>
    <s v="Θ"/>
    <x v="1"/>
    <x v="1"/>
    <m/>
    <m/>
    <s v="Γ΄"/>
    <n v="1"/>
    <s v="Ω7ΜΞ4653ΠΣ-ΗΤ3"/>
    <d v="2018-10-04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8-10-04T00:00:00"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1-01T00:00:00"/>
    <x v="1"/>
    <s v="ΔΙΕΥΘΥΝΣΗ Π.Ε. ΧΑΝΙΩΝ"/>
    <n v="31.427777777777777"/>
    <s v="31 - 40"/>
  </r>
  <r>
    <n v="99910743"/>
    <s v="Θ"/>
    <x v="1"/>
    <x v="1"/>
    <m/>
    <m/>
    <s v="Α΄"/>
    <n v="1"/>
    <s v="ΒΙΦΘ9-ΝΞ6"/>
    <d v="2014-05-08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4-05-08T00:00:00"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1-01T00:00:00"/>
    <x v="1"/>
    <s v="ΔΙΕΥΘΥΝΣΗ Π.Ε. ΧΑΝΙΩΝ"/>
    <n v="31.427777777777777"/>
    <s v="31 - 40"/>
  </r>
  <r>
    <n v="99910744"/>
    <s v="Θ"/>
    <x v="1"/>
    <x v="1"/>
    <m/>
    <m/>
    <s v="Α΄"/>
    <n v="1"/>
    <s v="ΒΛΕΖ9-ΠΨΖ"/>
    <d v="2013-10-01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3-10-01T00:00:00"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1-01T00:00:00"/>
    <x v="1"/>
    <s v="ΔΙΕΥΘΥΝΣΗ Π.Ε. ΧΑΝΙΩΝ"/>
    <n v="31.427777777777777"/>
    <s v="31 - 40"/>
  </r>
  <r>
    <n v="99910745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8-01-01T00:00:00"/>
    <x v="1"/>
    <s v="ΔΙΕΥΘΥΝΣΗ Π.Ε. ΧΑΝΙΩΝ"/>
    <n v="31.427777777777777"/>
    <s v="31 - 40"/>
  </r>
  <r>
    <n v="99910746"/>
    <s v="Θ"/>
    <x v="1"/>
    <x v="1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s v="ΟΧΙ"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8-01-01T00:00:00"/>
    <x v="1"/>
    <s v="ΔΙΕΥΘΥΝΣΗ Π.Ε. ΔΩΔΕΚΑΝΗΣΟΥ"/>
    <n v="31.427777777777777"/>
    <s v="31 - 40"/>
  </r>
  <r>
    <n v="99910747"/>
    <s v="Θ"/>
    <x v="1"/>
    <x v="1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8-01-01T00:00:00"/>
    <x v="1"/>
    <s v="ΔΙΕΥΘΥΝΣΗ Π.Ε. ΑΡΓΟΛΙΔΑΣ"/>
    <n v="31.427777777777777"/>
    <s v="31 - 40"/>
  </r>
  <r>
    <n v="99910748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2-15T00:00:00"/>
    <x v="0"/>
    <s v="ΔΙΕΥΘΥΝΣΗ Δ.Ε. Β΄ ΑΘΗΝΑΣ"/>
    <n v="31.475000000000001"/>
    <s v="31 - 40"/>
  </r>
  <r>
    <n v="99910749"/>
    <s v="Θ"/>
    <x v="0"/>
    <x v="0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2-08T00:00:00"/>
    <x v="1"/>
    <s v="ΔΙΕΥΘΥΝΣΗ Π.Ε. ΠΕΙΡΑΙΑ"/>
    <n v="31.494444444444444"/>
    <s v="31 - 40"/>
  </r>
  <r>
    <n v="99910750"/>
    <s v="Θ"/>
    <x v="2"/>
    <x v="2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m/>
    <s v="ΟΧΙ"/>
    <m/>
    <m/>
    <s v="Ιδιωτικά Σχολεία"/>
    <x v="2"/>
    <s v="7281017"/>
    <s v="ΙΔΙΩΤΙΚΟ ΝΗΠΙΑΓΩΓΕΙΟ - HOMO EDUCANDUS ΑΓΩΓΗ ΝΗΠΙΑΓΩΓΕΙ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7-12-08T00:00:00"/>
    <x v="1"/>
    <s v="ΔΙΕΥΘΥΝΣΗ Π.Ε. ΚΟΡΙΝΘΙΑΣ"/>
    <n v="31.494444444444444"/>
    <s v="31 - 40"/>
  </r>
  <r>
    <n v="99910751"/>
    <s v="Θ"/>
    <x v="1"/>
    <x v="1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2-07T00:00:00"/>
    <x v="1"/>
    <s v="ΔΙΕΥΘΥΝΣΗ Π.Ε. Β΄ ΑΘΗΝΑΣ"/>
    <n v="31.497222222222224"/>
    <s v="31 - 40"/>
  </r>
  <r>
    <n v="99910752"/>
    <s v="Θ"/>
    <x v="1"/>
    <x v="1"/>
    <m/>
    <m/>
    <s v="Β΄"/>
    <n v="3"/>
    <s v="Φ.Ι.Α.3/35785/17-12-2014"/>
    <d v="2014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4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7-12-05T00:00:00"/>
    <x v="1"/>
    <s v="ΔΙΕΥΘΥΝΣΗ Π.Ε. ΑΝΑΤΟΛΙΚΗΣ ΑΤΤΙΚΗΣ"/>
    <n v="31.502777777777776"/>
    <s v="31 - 40"/>
  </r>
  <r>
    <n v="99910753"/>
    <s v="Α"/>
    <x v="1"/>
    <x v="1"/>
    <m/>
    <m/>
    <s v="Γ΄"/>
    <n v="1"/>
    <s v="6ΒΣΦ4653ΠΣ-ΛΕΝ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d v="2018-09-01T00:00:00"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12-04T00:00:00"/>
    <x v="1"/>
    <s v="ΔΙΕΥΘΥΝΣΗ Π.Ε. ΑΝΑΤ. ΘΕΣ/ΝΙΚΗΣ"/>
    <n v="31.505555555555556"/>
    <s v="31 - 40"/>
  </r>
  <r>
    <n v="99910754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s v="ΟΧΙ"/>
    <s v="ΟΧΙ"/>
    <m/>
    <m/>
    <s v="Ιδιωτικά Σχολεία"/>
    <x v="2"/>
    <s v="7461025"/>
    <s v="Συστεγαζόμενο Ιδιωτικό Νηπιαγωγείο Μπούρχα Κων. Δήμητρα - Ονειροδρόμιο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7-12-04T00:00:00"/>
    <x v="1"/>
    <s v="ΔΙΕΥΘΥΝΣΗ Π.Ε. ΦΘΙΩΤΙΔΑΣ"/>
    <n v="31.505555555555556"/>
    <s v="31 - 40"/>
  </r>
  <r>
    <n v="99910755"/>
    <s v="Θ"/>
    <x v="1"/>
    <x v="1"/>
    <m/>
    <m/>
    <s v="Γ΄"/>
    <n v="1"/>
    <s v="ΩΠ4Υ4653ΠΣ-58Ρ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12-01T00:00:00"/>
    <x v="1"/>
    <s v="ΔΙΕΥΘΥΝΣΗ Π.Ε. ΑΝΑΤ. ΘΕΣ/ΝΙΚΗΣ"/>
    <n v="31.513888888888889"/>
    <s v="31 - 40"/>
  </r>
  <r>
    <n v="99910756"/>
    <s v="Θ"/>
    <x v="14"/>
    <x v="14"/>
    <m/>
    <m/>
    <s v="Γ΄"/>
    <n v="1"/>
    <s v="Φ 17.2/549/7158/03-12-16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1-24T00:00:00"/>
    <x v="1"/>
    <s v="ΔΙΕΥΘΥΝΣΗ Π.Ε. Β΄ ΑΘΗΝΑΣ"/>
    <n v="31.533333333333335"/>
    <s v="31 - 40"/>
  </r>
  <r>
    <n v="99910757"/>
    <s v="Θ"/>
    <x v="0"/>
    <x v="0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8"/>
    <s v="ΟΧΙ"/>
    <s v="ΟΧΙ"/>
    <s v="ΟΧΙ"/>
    <m/>
    <s v="ΟΧΙ"/>
    <m/>
    <d v="2018-09-12T00:00:00"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1-17T00:00:00"/>
    <x v="0"/>
    <s v="ΔΙΕΥΘΥΝΣΗ Δ.Ε. Δ΄ ΑΘΗΝΑΣ"/>
    <n v="31.552777777777777"/>
    <s v="31 - 40"/>
  </r>
  <r>
    <n v="99910758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2"/>
    <s v="7052113"/>
    <s v="2ο ΝΗΠ/ΓΕΙΟ ΕΚΠΑΙΔΕΥΤΗΡΙΩΝ ΜΑΙΡΗΣ ΑΡΓΥΡΗ-ΛΑΙΜΟΥ Α.Ε.Μ.Ε.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1-15T00:00:00"/>
    <x v="1"/>
    <s v="ΔΙΕΥΘΥΝΣΗ Π.Ε. Β΄ ΑΘΗΝΑΣ"/>
    <n v="31.558333333333334"/>
    <s v="31 - 40"/>
  </r>
  <r>
    <n v="99910759"/>
    <s v="Α"/>
    <x v="9"/>
    <x v="9"/>
    <m/>
    <m/>
    <s v="Γ΄"/>
    <n v="1"/>
    <s v="19759/29-11-2018"/>
    <d v="2018-09-18T00:00:00"/>
    <s v="Α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s v="ΟΧΙ"/>
    <s v="ΟΧΙ"/>
    <m/>
    <d v="2018-09-18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11-12T00:00:00"/>
    <x v="0"/>
    <s v="ΔΙΕΥΘΥΝΣΗ Δ.Ε. ΑΝΑΤΟΛΙΚΗΣ ΑΤΤΙΚΗΣ"/>
    <n v="31.566666666666666"/>
    <s v="31 - 40"/>
  </r>
  <r>
    <n v="99910760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41043"/>
    <s v="ΙΔΙΩΤΙΚΟ ΝΗΠΙΑΓΩΓΕΙΟ - &quot;Η ΠΑΡΕΟΥΛΑ&quot; Μ. ΧΑΡΑΛΑΜΠΑΚΗ &amp; ΣΙ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1-08T00:00:00"/>
    <x v="1"/>
    <s v="ΔΙΕΥΘΥΝΣΗ Π.Ε. ΠΕΙΡΑΙΑ"/>
    <n v="31.577777777777779"/>
    <s v="31 - 40"/>
  </r>
  <r>
    <n v="99910761"/>
    <s v="Θ"/>
    <x v="2"/>
    <x v="2"/>
    <m/>
    <m/>
    <s v="Γ΄"/>
    <n v="1"/>
    <s v="ΑΠ1896317"/>
    <d v="2018-09-11T00:00:00"/>
    <s v="ΗΛΕΙΑΣ (Π.Ε.) 2018"/>
    <s v="ΔΙΕΥΘΥΝΣΗ Π.Ε. ΗΛΕΙΑΣ"/>
    <s v="ΠΕΡΙΦΕΡΕΙΑΚΗ Δ/ΝΣΗ Α/ΘΜΙΑΣ ΚΑΙ Β/ΘΜΙΑΣ ΕΚΠ/ΣΗΣ ΔΥΤΙΚΗΣ ΕΛΛΑΔΑΣ"/>
    <n v="25"/>
    <s v="ΟΧΙ"/>
    <m/>
    <m/>
    <m/>
    <s v="ΟΧΙ"/>
    <m/>
    <d v="2018-09-11T00:00:00"/>
    <s v="Ιδιωτικά Σχολεία"/>
    <x v="2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x v="4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7-11-08T00:00:00"/>
    <x v="1"/>
    <s v="ΔΙΕΥΘΥΝΣΗ Π.Ε. ΗΛΕΙΑΣ"/>
    <n v="31.577777777777779"/>
    <s v="31 - 40"/>
  </r>
  <r>
    <n v="99910762"/>
    <s v="Θ"/>
    <x v="2"/>
    <x v="2"/>
    <m/>
    <m/>
    <s v="Γ΄"/>
    <n v="1"/>
    <n v="3424"/>
    <d v="2018-09-01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451013"/>
    <s v="ΙΔΙΩΤΙΚΟ ΝΗΠΙΑΓΩΓΕΙΟ ΤΡΙΚΑΛΑ - ΡΟΔΙ-ΣΕΓΓΗΣ-ΠΑΠΑΓΕΩΡΓΙΟΥ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7-10-22T00:00:00"/>
    <x v="1"/>
    <s v="ΔΙΕΥΘΥΝΣΗ Π.Ε. ΤΡΙΚΑΛΩΝ"/>
    <n v="31.625"/>
    <s v="31 - 40"/>
  </r>
  <r>
    <n v="99910763"/>
    <s v="Θ"/>
    <x v="1"/>
    <x v="1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0-19T00:00:00"/>
    <x v="1"/>
    <s v="ΔΙΕΥΘΥΝΣΗ Π.Ε. Β΄ ΑΘΗΝΑΣ"/>
    <n v="31.633333333333333"/>
    <s v="31 - 40"/>
  </r>
  <r>
    <n v="99910764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8"/>
    <s v="ΟΧΙ"/>
    <s v="ΟΧΙ"/>
    <s v="ΟΧΙ"/>
    <s v="ΟΧΙ"/>
    <s v="ΟΧΙ"/>
    <m/>
    <m/>
    <s v="Ιδιωτικά Σχολεία"/>
    <x v="2"/>
    <s v="7052201"/>
    <s v="ΣΥΣΤΕΓΑΖΟΜΕΝΟ ΝΗΠΙΑΓΩΓΕΙΟ - ΡΑΜΙΡΕΖ ΓΚΕΗΛ ΑΛΙΣΟ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0-17T00:00:00"/>
    <x v="1"/>
    <s v="ΔΙΕΥΘΥΝΣΗ Π.Ε. Β΄ ΑΘΗΝΑΣ"/>
    <n v="31.638888888888889"/>
    <s v="31 - 40"/>
  </r>
  <r>
    <n v="99910765"/>
    <s v="Θ"/>
    <x v="1"/>
    <x v="1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7-10-17T00:00:00"/>
    <x v="1"/>
    <s v="ΔΙΕΥΘΥΝΣΗ Π.Ε. ΑΡΓΟΛΙΔΑΣ"/>
    <n v="31.638888888888889"/>
    <s v="31 - 40"/>
  </r>
  <r>
    <n v="99910766"/>
    <s v="Θ"/>
    <x v="2"/>
    <x v="2"/>
    <m/>
    <m/>
    <s v="Γ΄"/>
    <n v="1"/>
    <n v="6594"/>
    <d v="2018-09-04T00:00:00"/>
    <s v="ΧΑΝΙΩΝ (Π.Ε.) 2018"/>
    <s v="ΔΙΕΥΘΥΝΣΗ Π.Ε. ΧΑΝΙΩΝ"/>
    <s v="ΠΕΡΙΦΕΡΕΙΑΚΗ Δ/ΝΣΗ Α/ΘΜΙΑΣ ΚΑΙ Β/ΘΜΙΑΣ ΕΚΠ/ΣΗΣ ΚΡΗΤΗΣ"/>
    <n v="25"/>
    <s v="ΟΧΙ"/>
    <m/>
    <m/>
    <m/>
    <s v="ΟΧΙ"/>
    <m/>
    <d v="2018-09-04T00:00:00"/>
    <s v="Ιδιωτικά Σχολεία"/>
    <x v="2"/>
    <s v="7501011"/>
    <s v="ΙΔΙΩΤΙΚΟ ΣΥΣΤΕΓΑΖΟΜΕΝΟ ΝΗΠΙΑΓΩΓΕΙΟ ΜΠΟΛΙΟΥΔΑΚΗ ΜΑΡΙΑ - ΖΟΥΖΟΥΝΟΣΠΙΤΟ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7-10-12T00:00:00"/>
    <x v="1"/>
    <s v="ΔΙΕΥΘΥΝΣΗ Π.Ε. ΧΑΝΙΩΝ"/>
    <n v="31.652777777777779"/>
    <s v="31 - 40"/>
  </r>
  <r>
    <n v="99910767"/>
    <s v="Θ"/>
    <x v="1"/>
    <x v="1"/>
    <m/>
    <m/>
    <s v="Γ΄"/>
    <n v="1"/>
    <n v="1989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0-10T00:00:00"/>
    <x v="1"/>
    <s v="ΔΙΕΥΘΥΝΣΗ Π.Ε. Δ΄ ΑΘΗΝΑΣ"/>
    <n v="31.658333333333335"/>
    <s v="31 - 40"/>
  </r>
  <r>
    <n v="9991076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7-10-05T00:00:00"/>
    <x v="0"/>
    <s v="ΔΙΕΥΘΥΝΣΗ Δ.Ε. Β΄ ΑΘΗΝΑΣ"/>
    <n v="31.672222222222221"/>
    <s v="31 - 40"/>
  </r>
  <r>
    <n v="99910769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10-01T00:00:00"/>
    <x v="1"/>
    <s v="ΔΙΕΥΘΥΝΣΗ Π.Ε. Α΄ ΑΘΗΝΑΣ"/>
    <n v="31.683333333333334"/>
    <s v="31 - 40"/>
  </r>
  <r>
    <n v="99910770"/>
    <s v="Θ"/>
    <x v="0"/>
    <x v="0"/>
    <m/>
    <m/>
    <s v="Γ΄"/>
    <n v="1"/>
    <n v="0"/>
    <d v="2018-09-01T00:00:00"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s v="ΟΧΙ"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9-30T00:00:00"/>
    <x v="1"/>
    <s v="ΔΙΕΥΘΥΝΣΗ Π.Ε. Β΄ ΑΘΗΝΑΣ"/>
    <n v="31.68611111111111"/>
    <s v="31 - 40"/>
  </r>
  <r>
    <n v="99910771"/>
    <s v="Α"/>
    <x v="19"/>
    <x v="19"/>
    <m/>
    <m/>
    <s v="Γ΄"/>
    <n v="1"/>
    <n v="9267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9-22T00:00:00"/>
    <x v="0"/>
    <s v="ΔΙΕΥΘΥΝΣΗ Δ.Ε. ΠΙΕΡΙΑΣ"/>
    <n v="31.708333333333332"/>
    <s v="31 - 40"/>
  </r>
  <r>
    <n v="99910772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21"/>
    <s v="1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9-16T00:00:00"/>
    <x v="1"/>
    <s v="ΔΙΕΥΘΥΝΣΗ Π.Ε. ΑΝΑΤΟΛΙΚΗΣ ΑΤΤΙΚΗΣ"/>
    <n v="31.725000000000001"/>
    <s v="31 - 40"/>
  </r>
  <r>
    <n v="99910773"/>
    <s v="Θ"/>
    <x v="14"/>
    <x v="14"/>
    <m/>
    <m/>
    <s v="Γ΄"/>
    <n v="1"/>
    <m/>
    <d v="2011-09-07T00:00:00"/>
    <s v="ΣΕΡΡΩΝ (Δ.Ε.) 2018"/>
    <s v="ΔΙΕΥΘΥΝΣΗ Δ.Ε. ΣΕΡΡΩΝ"/>
    <s v="ΠΕΡΙΦΕΡΕΙΑΚΗ Δ/ΝΣΗ Α/ΘΜΙΑΣ ΚΑΙ Β/ΘΜΙΑΣ ΕΚΠ/ΣΗΣ ΚΕΝΤΡΙΚΗΣ ΜΑΚΕΔΟΝΙΑΣ"/>
    <n v="9"/>
    <s v="ΟΧΙ"/>
    <s v="ΟΧΙ"/>
    <s v="ΟΧΙ"/>
    <s v="ΟΧΙ"/>
    <s v="ΟΧΙ"/>
    <m/>
    <d v="2011-09-07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9-15T00:00:00"/>
    <x v="0"/>
    <s v="ΔΙΕΥΘΥΝΣΗ Δ.Ε. ΣΕΡΡΩΝ"/>
    <n v="31.727777777777778"/>
    <s v="31 - 40"/>
  </r>
  <r>
    <n v="99910774"/>
    <s v="Θ"/>
    <x v="2"/>
    <x v="2"/>
    <m/>
    <m/>
    <s v="Β΄"/>
    <n v="2"/>
    <s v="Φ.Ι.Α.4/15395/7-10-2015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5-09-01T00:00:00"/>
    <s v="Ιδιωτικά Σχολεία"/>
    <x v="2"/>
    <s v="7521101"/>
    <s v="ΣΥΣΤΕΓΑΖΟΜΕΝΟ ΝΗΠΙΑΓΩΓΕΙΟ ΟΝΕΙΡΟΧΩΡΑ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9-12T00:00:00"/>
    <x v="1"/>
    <s v="ΔΙΕΥΘΥΝΣΗ Π.Ε. ΑΝΑΤΟΛΙΚΗΣ ΑΤΤΙΚΗΣ"/>
    <n v="31.736111111111111"/>
    <s v="31 - 40"/>
  </r>
  <r>
    <n v="99910775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15"/>
    <s v="ΟΥΡΑΝΙΟ ΤΟΞΟ (ΑΝΑΛΥΤΗ ΧΡΙΣΤΙΝΑ)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7-09-11T00:00:00"/>
    <x v="1"/>
    <s v="ΔΙΕΥΘΥΝΣΗ Π.Ε. ΕΥΒΟΙΑΣ"/>
    <n v="31.738888888888887"/>
    <s v="31 - 40"/>
  </r>
  <r>
    <n v="99910776"/>
    <s v="Θ"/>
    <x v="2"/>
    <x v="2"/>
    <m/>
    <m/>
    <s v="Γ΄"/>
    <n v="1"/>
    <s v="10215/2"/>
    <d v="2018-09-01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2"/>
    <s v="7541101"/>
    <s v="Ιδιωτικό Νηπιαγωγείο - ΕΛΛΗΝΟΓΑΛΛΙΚΗ ΣΧΟΛΗ JEANNE D' ARC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9-07T00:00:00"/>
    <x v="1"/>
    <s v="ΔΙΕΥΘΥΝΣΗ Π.Ε. ΠΕΙΡΑΙΑ"/>
    <n v="31.75"/>
    <s v="31 - 40"/>
  </r>
  <r>
    <n v="99910777"/>
    <s v="Α"/>
    <x v="4"/>
    <x v="4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1"/>
    <s v="ΟΧΙ"/>
    <s v="ΟΧΙ"/>
    <s v="ΟΧΙ"/>
    <s v="ΟΧΙ"/>
    <s v="ΟΧΙ"/>
    <m/>
    <m/>
    <s v="Ιδιωτικά Σχολεία"/>
    <x v="3"/>
    <s v="2880010"/>
    <s v="ΙΔΙΩΤΙΚΟ ΗΜΕΡΗΣΙΟ ΛΥΚΕΙΟ ΚΟΡΙΝΘΟΣ - ΑΡΙΣΤΟΤΕΛΕΙΟ ΓΕΝΙΚΟ ΛΥΚΕ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7-09-06T00:00:00"/>
    <x v="0"/>
    <s v="ΔΙΕΥΘΥΝΣΗ Δ.Ε. ΚΟΡΙΝΘΙΑΣ"/>
    <n v="31.752777777777776"/>
    <s v="31 - 40"/>
  </r>
  <r>
    <n v="99910778"/>
    <s v="Θ"/>
    <x v="3"/>
    <x v="3"/>
    <m/>
    <m/>
    <s v="Γ΄"/>
    <n v="1"/>
    <s v="Φ. 17.2 / 3517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7-09-03T00:00:00"/>
    <x v="0"/>
    <s v="ΔΙΕΥΘΥΝΣΗ Δ.Ε. ΔΩΔΕΚΑΝΗΣΟΥ"/>
    <n v="31.761111111111113"/>
    <s v="31 - 40"/>
  </r>
  <r>
    <n v="9991077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7-09-02T00:00:00"/>
    <x v="0"/>
    <s v="ΔΙΕΥΘΥΝΣΗ Δ.Ε. Β΄ ΑΘΗΝΑΣ"/>
    <n v="31.763888888888889"/>
    <s v="31 - 40"/>
  </r>
  <r>
    <n v="99910780"/>
    <s v="Θ"/>
    <x v="2"/>
    <x v="2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55"/>
    <s v="ΙΔΙΩΤΙΚΟ ΝΗΠΙΑΓΩΓΕΙΟ M. ΚΩΝΣΤΑΝΤΟΠΟΥΛΟΥ - Χ. ΤΥΡΟΒΟΛΑΣ Ο.Ε. - ΛΙΛΙΠΟΥΠΟΛ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8-29T00:00:00"/>
    <x v="1"/>
    <s v="ΔΙΕΥΘΥΝΣΗ Π.Ε. Δ΄ ΑΘΗΝΑΣ"/>
    <n v="31.774999999999999"/>
    <s v="31 - 40"/>
  </r>
  <r>
    <n v="99910781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8-28T00:00:00"/>
    <x v="0"/>
    <s v="ΔΙΕΥΘΥΝΣΗ Δ.Ε. Β΄ ΑΘΗΝΑΣ"/>
    <n v="31.777777777777779"/>
    <s v="31 - 40"/>
  </r>
  <r>
    <n v="99910782"/>
    <s v="Α"/>
    <x v="3"/>
    <x v="3"/>
    <m/>
    <m/>
    <s v="Γ΄"/>
    <n v="1"/>
    <s v="Φ.17.2 / 177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5"/>
    <s v="ΟΧΙ"/>
    <s v="ΟΧΙ"/>
    <s v="ΟΧΙ"/>
    <s v="ΟΧΙ"/>
    <s v="ΟΧΙ"/>
    <m/>
    <d v="2018-09-01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7-08-18T00:00:00"/>
    <x v="0"/>
    <s v="ΔΙΕΥΘΥΝΣΗ Δ.Ε. ΔΩΔΕΚΑΝΗΣΟΥ"/>
    <n v="31.805555555555557"/>
    <s v="31 - 40"/>
  </r>
  <r>
    <n v="99910783"/>
    <s v="Θ"/>
    <x v="0"/>
    <x v="0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7-08-17T00:00:00"/>
    <x v="0"/>
    <s v="ΔΙΕΥΘΥΝΣΗ Δ.Ε. ΤΡΙΚΑΛΩΝ"/>
    <n v="31.808333333333334"/>
    <s v="31 - 40"/>
  </r>
  <r>
    <n v="99910784"/>
    <s v="Θ"/>
    <x v="0"/>
    <x v="0"/>
    <m/>
    <m/>
    <s v="Γ΄"/>
    <n v="1"/>
    <n v="4138"/>
    <d v="2018-09-01T00:00:00"/>
    <s v="Α΄ ΠΕΙΡΑΙΑ (Π.Ε.) 2018"/>
    <s v="ΔΙΕΥΘΥΝΣΗ Π.Ε. ΠΕΙΡΑΙΑ"/>
    <s v="ΠΕΡΙΦΕΡΕΙΑΚΗ Δ/ΝΣΗ Α/ΘΜΙΑΣ ΚΑΙ Β/ΘΜΙΑΣ ΕΚΠ/ΣΗΣ ΑΤΤΙΚΗΣ"/>
    <n v="14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8-15T00:00:00"/>
    <x v="1"/>
    <s v="ΔΙΕΥΘΥΝΣΗ Π.Ε. ΠΕΙΡΑΙΑ"/>
    <n v="31.81388888888889"/>
    <s v="31 - 40"/>
  </r>
  <r>
    <n v="99910785"/>
    <s v="Θ"/>
    <x v="0"/>
    <x v="0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7-08-13T00:00:00"/>
    <x v="1"/>
    <s v="ΔΙΕΥΘΥΝΣΗ Π.Ε. ΧΑΝΙΩΝ"/>
    <n v="31.819444444444443"/>
    <s v="31 - 40"/>
  </r>
  <r>
    <n v="99910786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2"/>
    <s v="7521149"/>
    <s v="ΙΔΙΩΤΙΚΟ ΣΥΣΤΕΓΑΖΟΜΕΝΟ ΝΗΠΙΑΓΩΓΕΙΟ - ΜΑΓΙΚΗ ΚΙΜΩΛΙΑ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8-09T00:00:00"/>
    <x v="1"/>
    <s v="ΔΙΕΥΘΥΝΣΗ Π.Ε. ΑΝΑΤΟΛΙΚΗΣ ΑΤΤΙΚΗΣ"/>
    <n v="31.830555555555556"/>
    <s v="31 - 40"/>
  </r>
  <r>
    <n v="99910787"/>
    <s v="Θ"/>
    <x v="5"/>
    <x v="5"/>
    <m/>
    <m/>
    <s v="Γ΄"/>
    <n v="1"/>
    <n v="14670"/>
    <d v="2018-09-10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s v="ΟΧΙ"/>
    <m/>
    <m/>
    <m/>
    <s v="ΟΧΙ"/>
    <m/>
    <d v="2018-09-10T00:00:00"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08-09T00:00:00"/>
    <x v="0"/>
    <s v="ΔΙΕΥΘΥΝΣΗ Δ.Ε. ΔΥΤ. ΘΕΣ/ΝΙΚΗΣ"/>
    <n v="31.830555555555556"/>
    <s v="31 - 40"/>
  </r>
  <r>
    <n v="99910788"/>
    <s v="Θ"/>
    <x v="1"/>
    <x v="1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08-08T00:00:00"/>
    <x v="1"/>
    <s v="ΔΙΕΥΘΥΝΣΗ Π.Ε. ΑΝΑΤ. ΘΕΣ/ΝΙΚΗΣ"/>
    <n v="31.833333333333332"/>
    <s v="31 - 40"/>
  </r>
  <r>
    <n v="99910789"/>
    <s v="Θ"/>
    <x v="2"/>
    <x v="2"/>
    <m/>
    <m/>
    <s v="Γ΄"/>
    <n v="1"/>
    <s v="9093/19-04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59"/>
    <s v="ΙΔΙΩΤΙΚΟ ΝΗΠΙΑΓΩΓΕΙΟ ΚΑΡΔΙΑ - ΣΥΝΝΕΦΟΥΛ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08-05T00:00:00"/>
    <x v="1"/>
    <s v="ΔΙΕΥΘΥΝΣΗ Π.Ε. ΑΝΑΤ. ΘΕΣ/ΝΙΚΗΣ"/>
    <n v="31.841666666666665"/>
    <s v="31 - 40"/>
  </r>
  <r>
    <n v="99910790"/>
    <s v="Θ"/>
    <x v="1"/>
    <x v="1"/>
    <m/>
    <m/>
    <s v="Γ΄"/>
    <n v="1"/>
    <s v="ΩΒΟΠ4653ΠΣ-ΥΗΛ"/>
    <d v="2017-02-20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7-02-20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7-08-04T00:00:00"/>
    <x v="1"/>
    <s v="ΔΙΕΥΘΥΝΣΗ Π.Ε. ΙΩΑΝΝΙΝΩΝ"/>
    <n v="31.844444444444445"/>
    <s v="31 - 40"/>
  </r>
  <r>
    <n v="99910791"/>
    <s v="Θ"/>
    <x v="2"/>
    <x v="2"/>
    <m/>
    <m/>
    <s v="Γ΄"/>
    <n v="1"/>
    <n v="24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7-08-02T00:00:00"/>
    <x v="1"/>
    <s v="ΔΙΕΥΘΥΝΣΗ Π.Ε. Β΄ ΑΘΗΝΑΣ"/>
    <n v="31.85"/>
    <s v="31 - 40"/>
  </r>
  <r>
    <n v="99910792"/>
    <s v="Α"/>
    <x v="1"/>
    <x v="1"/>
    <m/>
    <m/>
    <s v="Γ΄"/>
    <n v="1"/>
    <d v="201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8-01T00:00:00"/>
    <x v="1"/>
    <s v="ΔΙΕΥΘΥΝΣΗ Π.Ε. ΑΝΑΤ. ΘΕΣ/ΝΙΚΗΣ"/>
    <n v="31.852777777777778"/>
    <s v="31 - 40"/>
  </r>
  <r>
    <n v="99910793"/>
    <s v="Θ"/>
    <x v="3"/>
    <x v="3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5"/>
    <s v="ΟΧΙ"/>
    <m/>
    <s v="ΟΧΙ"/>
    <m/>
    <s v="ΟΧΙ"/>
    <m/>
    <d v="2018-09-12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7-31T00:00:00"/>
    <x v="0"/>
    <s v="ΔΙΕΥΘΥΝΣΗ Δ.Ε. Δ΄ ΑΘΗΝΑΣ"/>
    <n v="31.855555555555554"/>
    <s v="31 - 40"/>
  </r>
  <r>
    <n v="99910794"/>
    <s v="Θ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d v="2018-09-01T00:00:00"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7-29T00:00:00"/>
    <x v="0"/>
    <s v="ΔΙΕΥΘΥΝΣΗ Δ.Ε. Β΄ ΑΘΗΝΑΣ"/>
    <n v="31.861111111111111"/>
    <s v="31 - 40"/>
  </r>
  <r>
    <n v="99910795"/>
    <s v="Θ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7-27T00:00:00"/>
    <x v="0"/>
    <s v="ΔΙΕΥΘΥΝΣΗ Δ.Ε. Β΄ ΑΘΗΝΑΣ"/>
    <n v="31.866666666666667"/>
    <s v="31 - 40"/>
  </r>
  <r>
    <n v="99910796"/>
    <s v="Θ"/>
    <x v="3"/>
    <x v="3"/>
    <m/>
    <m/>
    <s v="Γ΄"/>
    <n v="1"/>
    <s v="3733/5-9-2018"/>
    <d v="2018-09-05T00:00:00"/>
    <s v="ΑΡΓΟΛΙΔΑΣ (Δ.Ε.) 2018"/>
    <s v="ΔΙΕΥΘΥΝΣΗ Δ.Ε. ΑΡΓΟΛΙΔΑΣ"/>
    <s v="ΠΕΡΙΦΕΡΕΙΑΚΗ Δ/ΝΣΗ Α/ΘΜΙΑΣ ΚΑΙ Β/ΘΜΙΑΣ ΕΚΠ/ΣΗΣ ΠΕΛΟΠΟΝΝΗΣΟΥ"/>
    <n v="10"/>
    <s v="ΟΧΙ"/>
    <m/>
    <m/>
    <m/>
    <s v="ΟΧΙ"/>
    <m/>
    <d v="2018-09-05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7-07-27T00:00:00"/>
    <x v="0"/>
    <s v="ΔΙΕΥΘΥΝΣΗ Δ.Ε. ΑΡΓΟΛΙΔΑΣ"/>
    <n v="31.866666666666667"/>
    <s v="31 - 40"/>
  </r>
  <r>
    <n v="99910797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7-19T00:00:00"/>
    <x v="1"/>
    <s v="ΔΙΕΥΘΥΝΣΗ Π.Ε. Β΄ ΑΘΗΝΑΣ"/>
    <n v="31.888888888888889"/>
    <s v="31 - 40"/>
  </r>
  <r>
    <n v="99910798"/>
    <s v="Θ"/>
    <x v="0"/>
    <x v="0"/>
    <m/>
    <m/>
    <s v="Γ΄"/>
    <n v="1"/>
    <n v="14429"/>
    <d v="2018-09-01T00:00:00"/>
    <s v="Δ΄ ΑΘΗΝΑΣ (Π.Ε.) 2018"/>
    <s v="ΔΙΕΥΘΥΝΣΗ Π.Ε. Δ΄ ΑΘΗΝΑΣ"/>
    <s v="ΠΕΡΙΦΕΡΕΙΑΚΗ Δ/ΝΣΗ Α/ΘΜΙΑΣ ΚΑΙ Β/ΘΜΙΑΣ ΕΚΠ/ΣΗΣ ΑΤΤΙΚΗΣ"/>
    <n v="4"/>
    <s v="ΟΧΙ"/>
    <m/>
    <s v="ΟΧΙ"/>
    <m/>
    <s v="ΟΧΙ"/>
    <m/>
    <d v="2018-09-01T00:00:00"/>
    <s v="Ιδιωτικά Σχολεία"/>
    <x v="1"/>
    <s v="7054018"/>
    <s v="ΙΔΙΩΤΙΚΟ ΔΗΜΟΤΙΚΟ - ΕΥΡΩΠΑΪΚΟ ΠΡΟΤΥΠ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7-19T00:00:00"/>
    <x v="1"/>
    <s v="ΔΙΕΥΘΥΝΣΗ Π.Ε. Δ΄ ΑΘΗΝΑΣ"/>
    <n v="31.888888888888889"/>
    <s v="31 - 40"/>
  </r>
  <r>
    <n v="99910799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7-11T00:00:00"/>
    <x v="1"/>
    <s v="ΔΙΕΥΘΥΝΣΗ Π.Ε. Β΄ ΑΘΗΝΑΣ"/>
    <n v="31.911111111111111"/>
    <s v="31 - 40"/>
  </r>
  <r>
    <n v="99910800"/>
    <s v="Θ"/>
    <x v="2"/>
    <x v="2"/>
    <m/>
    <m/>
    <s v="Γ΄"/>
    <n v="1"/>
    <n v="228"/>
    <d v="2018-09-01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451017"/>
    <s v="ΣΥΣΤΕΓΑΖΟΜΕΝΟ ΝΗΠΙΑΓΩΓΕΙΟ - ΟΥΤΡΑ ΑΦΡΟΔΙΤΗ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7-06-29T00:00:00"/>
    <x v="1"/>
    <s v="ΔΙΕΥΘΥΝΣΗ Π.Ε. ΤΡΙΚΑΛΩΝ"/>
    <n v="31.944444444444443"/>
    <s v="31 - 40"/>
  </r>
  <r>
    <n v="99910801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2075"/>
    <s v="ΙΔΙΩΤΙΚΟ ΝΗΠΙΑΓΩΓΕΙΟ - &quot;ΑΓΙΟΣ ΙΩΣΗΦ&quot;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6-18T00:00:00"/>
    <x v="1"/>
    <s v="ΔΙΕΥΘΥΝΣΗ Π.Ε. Β΄ ΑΘΗΝΑΣ"/>
    <n v="31.975000000000001"/>
    <s v="31 - 40"/>
  </r>
  <r>
    <n v="99910802"/>
    <s v="Θ"/>
    <x v="2"/>
    <x v="2"/>
    <m/>
    <m/>
    <s v="Α΄"/>
    <n v="4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s v="ΟΧΙ"/>
    <s v="ΟΧΙ"/>
    <m/>
    <m/>
    <s v="Ιδιωτικά Σχολεία"/>
    <x v="2"/>
    <s v="7461021"/>
    <s v="ΙΔΙΩΤΙΚΟ ΝΗΠΙΑΓΩΓΕΙΟ ΛΑΜΙΑ - ΓΕΛΑΣΤΗ ΦΡΑΟΥΛ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7-06-12T00:00:00"/>
    <x v="1"/>
    <s v="ΔΙΕΥΘΥΝΣΗ Π.Ε. ΦΘΙΩΤΙΔΑΣ"/>
    <n v="31.991666666666667"/>
    <s v="31 - 40"/>
  </r>
  <r>
    <n v="99910803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6-10T00:00:00"/>
    <x v="0"/>
    <s v="ΔΙΕΥΘΥΝΣΗ Δ.Ε. Β΄ ΑΘΗΝΑΣ"/>
    <n v="31.997222222222224"/>
    <s v="31 - 40"/>
  </r>
  <r>
    <n v="99910804"/>
    <s v="Θ"/>
    <x v="26"/>
    <x v="26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8"/>
    <s v="ΟΧΙ"/>
    <s v="ΟΧΙ"/>
    <s v="ΟΧΙ"/>
    <s v="ΟΧΙ"/>
    <s v="ΟΧΙ"/>
    <m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7-06-09T00:00:00"/>
    <x v="0"/>
    <s v="ΔΙΕΥΘΥΝΣΗ Δ.Ε. ΔΩΔΕΚΑΝΗΣΟΥ"/>
    <n v="32"/>
    <s v="31 - 40"/>
  </r>
  <r>
    <n v="99910805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21083"/>
    <s v="ΙΔΙΩΤΙΚΟ ΝΗΠΙΑΓΩΓΕΙΟ ΣΤΑΜΑΤΑ ΑΤΤΙΚΗΣ - Π. ΚΑΙ Ι. ΠΙΠΕΡΗ Ο.Ε.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26T00:00:00"/>
    <x v="1"/>
    <s v="ΔΙΕΥΘΥΝΣΗ Π.Ε. ΑΝΑΤΟΛΙΚΗΣ ΑΤΤΙΚΗΣ"/>
    <n v="32.038888888888891"/>
    <s v="31 - 40"/>
  </r>
  <r>
    <n v="99910806"/>
    <s v="Θ"/>
    <x v="1"/>
    <x v="1"/>
    <m/>
    <m/>
    <s v="Β΄"/>
    <n v="6"/>
    <s v="ΩΒΟΨ4653ΠΣ-Ρ0Η"/>
    <d v="2016-11-03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6-11-03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25T00:00:00"/>
    <x v="1"/>
    <s v="ΔΙΕΥΘΥΝΣΗ Π.Ε. Δ΄ ΑΘΗΝΑΣ"/>
    <n v="32.041666666666664"/>
    <s v="31 - 40"/>
  </r>
  <r>
    <n v="99910807"/>
    <s v="Θ"/>
    <x v="8"/>
    <x v="8"/>
    <m/>
    <m/>
    <s v="Γ΄"/>
    <n v="1"/>
    <s v="Φ17/664/21-1-2014"/>
    <d v="2018-09-01T00:00:00"/>
    <s v="Α΄ ΕΥΒΟΙΑΣ (Π.Ε.) 2018"/>
    <s v="ΔΙΕΥΘΥΝΣΗ Π.Ε. ΕΥΒΟΙΑΣ"/>
    <s v="ΠΕΡΙΦΕΡΕΙΑΚΗ Δ/ΝΣΗ Α/ΘΜΙΑΣ ΚΑΙ Β/ΘΜΙΑΣ ΕΚΠ/ΣΗΣ ΣΤΕΡΕΑΣ ΕΛΛΑΔΑΣ"/>
    <n v="8"/>
    <s v="ΟΧΙ"/>
    <s v="ΟΧΙ"/>
    <s v="ΟΧΙ"/>
    <s v="ΟΧΙ"/>
    <s v="ΟΧΙ"/>
    <m/>
    <d v="2018-09-01T00:00:00"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7-05-22T00:00:00"/>
    <x v="1"/>
    <s v="ΔΙΕΥΘΥΝΣΗ Π.Ε. ΕΥΒΟΙΑΣ"/>
    <n v="32.049999999999997"/>
    <s v="31 - 40"/>
  </r>
  <r>
    <n v="99910808"/>
    <s v="Θ"/>
    <x v="2"/>
    <x v="2"/>
    <m/>
    <m/>
    <s v="Γ΄"/>
    <n v="1"/>
    <s v="Φ.17.2/498/13149/7.12.17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21T00:00:00"/>
    <x v="1"/>
    <s v="ΔΙΕΥΘΥΝΣΗ Π.Ε. Β΄ ΑΘΗΝΑΣ"/>
    <n v="32.052777777777777"/>
    <s v="31 - 40"/>
  </r>
  <r>
    <n v="99910809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5-17T00:00:00"/>
    <x v="0"/>
    <s v="ΔΙΕΥΘΥΝΣΗ Δ.Ε. Β΄ ΑΘΗΝΑΣ"/>
    <n v="32.06388888888889"/>
    <s v="31 - 40"/>
  </r>
  <r>
    <n v="99910810"/>
    <s v="Θ"/>
    <x v="19"/>
    <x v="19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16T00:00:00"/>
    <x v="0"/>
    <s v="ΔΙΕΥΘΥΝΣΗ Δ.Ε. Δ΄ ΑΘΗΝΑΣ"/>
    <n v="32.06666666666667"/>
    <s v="31 - 40"/>
  </r>
  <r>
    <n v="99910811"/>
    <s v="Θ"/>
    <x v="2"/>
    <x v="2"/>
    <m/>
    <m/>
    <s v="Α΄"/>
    <n v="2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13"/>
    <s v="ΙΔΙΩΤΙΚΟ ΝΗΠΙΑΓΩΓΕΙΟ - ΑΞΙΟΝ ΕΣΤΙ 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7-05-11T00:00:00"/>
    <x v="1"/>
    <s v="ΔΙΕΥΘΥΝΣΗ Π.Ε. ΜΑΓΝΗΣΙΑΣ"/>
    <n v="32.080555555555556"/>
    <s v="31 - 40"/>
  </r>
  <r>
    <n v="99910812"/>
    <s v="Θ"/>
    <x v="2"/>
    <x v="2"/>
    <m/>
    <m/>
    <s v="Γ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51"/>
    <s v="ΙΔΙΩΤΙΚΟ ΣΥΣΤΕΓΑΖΟΜΕΝΟ ΝΗΠΙΑΓΩΓΕΙΟ - ΧΡΙΣΤΟΦΟΡΙΔΟΥ ΖΑΧΑΡΟΥΛΑ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5-11T00:00:00"/>
    <x v="1"/>
    <s v="ΔΙΕΥΘΥΝΣΗ Π.Ε. ΔΥΤ. ΘΕΣ/ΝΙΚΗΣ"/>
    <n v="32.080555555555556"/>
    <s v="31 - 40"/>
  </r>
  <r>
    <n v="99910813"/>
    <s v="Θ"/>
    <x v="1"/>
    <x v="1"/>
    <m/>
    <m/>
    <s v="Γ΄"/>
    <n v="1"/>
    <s v="2323/27-09-201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08T00:00:00"/>
    <x v="1"/>
    <s v="ΔΙΕΥΘΥΝΣΗ Π.Ε. Δ΄ ΑΘΗΝΑΣ"/>
    <n v="32.088888888888889"/>
    <s v="31 - 40"/>
  </r>
  <r>
    <n v="99910814"/>
    <s v="Θ"/>
    <x v="1"/>
    <x v="1"/>
    <m/>
    <m/>
    <s v="Β΄"/>
    <n v="4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07T00:00:00"/>
    <x v="1"/>
    <s v="ΔΙΕΥΘΥΝΣΗ Π.Ε. Δ΄ ΑΘΗΝΑΣ"/>
    <n v="32.091666666666669"/>
    <s v="31 - 40"/>
  </r>
  <r>
    <n v="99910815"/>
    <s v="Α"/>
    <x v="1"/>
    <x v="1"/>
    <m/>
    <m/>
    <s v="Γ΄"/>
    <n v="1"/>
    <n v="10362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d v="2018-09-06T00:00:00"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05-03T00:00:00"/>
    <x v="1"/>
    <s v="ΔΙΕΥΘΥΝΣΗ Π.Ε. ΔΥΤ. ΘΕΣ/ΝΙΚΗΣ"/>
    <n v="32.102777777777774"/>
    <s v="31 - 40"/>
  </r>
  <r>
    <n v="99910816"/>
    <s v="Θ"/>
    <x v="0"/>
    <x v="0"/>
    <m/>
    <m/>
    <s v="Γ΄"/>
    <n v="3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5-01T00:00:00"/>
    <x v="0"/>
    <s v="ΔΙΕΥΘΥΝΣΗ Δ.Ε. Δ΄ ΑΘΗΝΑΣ"/>
    <n v="32.108333333333334"/>
    <s v="31 - 40"/>
  </r>
  <r>
    <n v="99910817"/>
    <s v="Θ"/>
    <x v="5"/>
    <x v="5"/>
    <m/>
    <m/>
    <s v="Γ΄"/>
    <n v="1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4-30T00:00:00"/>
    <x v="0"/>
    <s v="ΔΙΕΥΘΥΝΣΗ Δ.Ε. Α΄ ΑΘΗΝΑΣ"/>
    <n v="32.111111111111114"/>
    <s v="31 - 40"/>
  </r>
  <r>
    <n v="99910818"/>
    <s v="Θ"/>
    <x v="2"/>
    <x v="2"/>
    <m/>
    <m/>
    <s v="Γ΄"/>
    <n v="1"/>
    <n v="10144"/>
    <d v="2018-10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10-01T00:00:00"/>
    <s v="Ιδιωτικά Σχολεία"/>
    <x v="2"/>
    <s v="7054047"/>
    <s v="ΕΚΠΑΙΔΕΥΤΗΡΙΑ Γ. ΖΩΗ - ΙΔΙΩΤΙΚΟ ΝΗΠΙΑΓΩΓΕΙΟ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7-04-30T00:00:00"/>
    <x v="1"/>
    <s v="ΔΙΕΥΘΥΝΣΗ Π.Ε. Δ΄ ΑΘΗΝΑΣ"/>
    <n v="32.111111111111114"/>
    <s v="31 - 40"/>
  </r>
  <r>
    <n v="99910819"/>
    <s v="Θ"/>
    <x v="0"/>
    <x v="0"/>
    <m/>
    <m/>
    <s v="Γ΄"/>
    <n v="1"/>
    <s v="18277/18-9-2018"/>
    <d v="2018-09-17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d v="2018-09-17T00:00:00"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7-04-29T00:00:00"/>
    <x v="0"/>
    <s v="ΔΙΕΥΘΥΝΣΗ Δ.Ε. Β΄ ΑΘΗΝΑΣ"/>
    <n v="32.113888888888887"/>
    <s v="31 - 40"/>
  </r>
  <r>
    <n v="99910820"/>
    <s v="Θ"/>
    <x v="10"/>
    <x v="10"/>
    <m/>
    <m/>
    <s v="Γ΄"/>
    <n v="1"/>
    <n v="22864"/>
    <d v="2018-09-01T00:00:00"/>
    <s v="Γ΄ ΑΘΗΝΑΣ (Δ.Ε.) 2018"/>
    <s v="ΔΙΕΥΘΥΝΣΗ Δ.Ε. Γ΄ ΑΘΗΝΑΣ"/>
    <s v="ΠΕΡΙΦΕΡΕΙΑΚΗ Δ/ΝΣΗ Α/ΘΜΙΑΣ ΚΑΙ Β/ΘΜΙΑΣ ΕΚΠ/ΣΗΣ ΑΤΤΙΚΗΣ"/>
    <n v="3"/>
    <s v="ΟΧΙ"/>
    <m/>
    <m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4-29T00:00:00"/>
    <x v="0"/>
    <s v="ΔΙΕΥΘΥΝΣΗ Δ.Ε. Γ΄ ΑΘΗΝΑΣ"/>
    <n v="32.113888888888887"/>
    <s v="31 - 40"/>
  </r>
  <r>
    <n v="99910821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4-26T00:00:00"/>
    <x v="0"/>
    <s v="ΔΙΕΥΘΥΝΣΗ Δ.Ε. Δ΄ ΑΘΗΝΑΣ"/>
    <n v="32.12222222222222"/>
    <s v="31 - 40"/>
  </r>
  <r>
    <n v="99910822"/>
    <s v="Α"/>
    <x v="14"/>
    <x v="14"/>
    <m/>
    <m/>
    <s v="Γ΄"/>
    <n v="1"/>
    <n v="21868"/>
    <d v="2018-09-01T00:00:00"/>
    <s v="Α΄ ΠΕΙΡΑΙΑ (Δ.Ε.) 2018"/>
    <s v="ΔΙΕΥΘΥΝΣΗ Δ.Ε. ΠΕΙΡΑΙΑ"/>
    <s v="ΠΕΡΙΦΕΡΕΙΑΚΗ Δ/ΝΣΗ Α/ΘΜΙΑΣ ΚΑΙ Β/ΘΜΙΑΣ ΕΚΠ/ΣΗΣ ΑΤΤΙΚΗΣ"/>
    <n v="11"/>
    <s v="ΟΧΙ"/>
    <m/>
    <m/>
    <m/>
    <s v="ΟΧΙ"/>
    <m/>
    <d v="2018-09-01T00:00:00"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4-17T00:00:00"/>
    <x v="0"/>
    <s v="ΔΙΕΥΘΥΝΣΗ Δ.Ε. ΠΕΙΡΑΙΑ"/>
    <n v="32.147222222222226"/>
    <s v="31 - 40"/>
  </r>
  <r>
    <n v="99910823"/>
    <s v="Θ"/>
    <x v="1"/>
    <x v="1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4-14T00:00:00"/>
    <x v="1"/>
    <s v="ΔΙΕΥΘΥΝΣΗ Π.Ε. Δ΄ ΑΘΗΝΑΣ"/>
    <n v="32.155555555555559"/>
    <s v="31 - 40"/>
  </r>
  <r>
    <n v="99910824"/>
    <s v="Θ"/>
    <x v="5"/>
    <x v="5"/>
    <m/>
    <m/>
    <s v="Γ΄"/>
    <n v="1"/>
    <s v="Φ.17.2 / 6397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d v="2018-09-01T00:00:00"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7-04-13T00:00:00"/>
    <x v="0"/>
    <s v="ΔΙΕΥΘΥΝΣΗ Δ.Ε. ΔΩΔΕΚΑΝΗΣΟΥ"/>
    <n v="32.158333333333331"/>
    <s v="31 - 40"/>
  </r>
  <r>
    <n v="99910825"/>
    <s v="Θ"/>
    <x v="2"/>
    <x v="2"/>
    <m/>
    <m/>
    <s v="Γ΄"/>
    <n v="1"/>
    <s v="1612920/4-9-2017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1T00:00:00"/>
    <s v="Ιδιωτικά Σχολεία"/>
    <x v="2"/>
    <s v="7052169"/>
    <s v="ΣΥΣΤΕΓΑΖΟΜΕΝΟ ΝΗΠΙΑΓΩΓΕΙΟ - LUDUS Μ.Ε.Π.Ε.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4-12T00:00:00"/>
    <x v="1"/>
    <s v="ΔΙΕΥΘΥΝΣΗ Π.Ε. Β΄ ΑΘΗΝΑΣ"/>
    <n v="32.161111111111111"/>
    <s v="31 - 40"/>
  </r>
  <r>
    <n v="99910826"/>
    <s v="Α"/>
    <x v="5"/>
    <x v="5"/>
    <m/>
    <m/>
    <s v="Γ΄"/>
    <n v="3"/>
    <s v="15539Α"/>
    <d v="2018-09-1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1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7-04-07T00:00:00"/>
    <x v="0"/>
    <s v="ΔΙΕΥΘΥΝΣΗ Δ.Ε. ΑΝΑΤ. ΘΕΣ/ΝΙΚΗΣ"/>
    <n v="32.174999999999997"/>
    <s v="31 - 40"/>
  </r>
  <r>
    <n v="99910827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4-04T00:00:00"/>
    <x v="0"/>
    <s v="ΔΙΕΥΘΥΝΣΗ Δ.Ε. Β΄ ΑΘΗΝΑΣ"/>
    <n v="32.18333333333333"/>
    <s v="31 - 40"/>
  </r>
  <r>
    <n v="99910828"/>
    <s v="Θ"/>
    <x v="3"/>
    <x v="3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3-31T00:00:00"/>
    <x v="0"/>
    <s v="ΔΙΕΥΘΥΝΣΗ Δ.Ε. Δ΄ ΑΘΗΝΑΣ"/>
    <n v="32.194444444444443"/>
    <s v="31 - 40"/>
  </r>
  <r>
    <n v="99910829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3-30T00:00:00"/>
    <x v="0"/>
    <s v="ΔΙΕΥΘΥΝΣΗ Δ.Ε. Β΄ ΑΘΗΝΑΣ"/>
    <n v="32.197222222222223"/>
    <s v="31 - 40"/>
  </r>
  <r>
    <n v="99910830"/>
    <s v="Θ"/>
    <x v="0"/>
    <x v="0"/>
    <m/>
    <m/>
    <s v="Β΄"/>
    <n v="4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3-30T00:00:00"/>
    <x v="1"/>
    <s v="ΔΙΕΥΘΥΝΣΗ Π.Ε. ΑΝΑΤΟΛΙΚΗΣ ΑΤΤΙΚΗΣ"/>
    <n v="32.197222222222223"/>
    <s v="31 - 40"/>
  </r>
  <r>
    <n v="99910831"/>
    <s v="Θ"/>
    <x v="2"/>
    <x v="2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5"/>
    <s v="ΙΔΙΩΤΙΚΟ ΝΗΠΙΑΓΩΓΕΙΟ ΧΑΝΙΑ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7-03-24T00:00:00"/>
    <x v="1"/>
    <s v="ΔΙΕΥΘΥΝΣΗ Π.Ε. ΧΑΝΙΩΝ"/>
    <n v="32.213888888888889"/>
    <s v="31 - 40"/>
  </r>
  <r>
    <n v="99910832"/>
    <s v="Θ"/>
    <x v="4"/>
    <x v="4"/>
    <m/>
    <m/>
    <s v="Γ΄"/>
    <n v="1"/>
    <s v="13971/18-12-2017"/>
    <d v="2018-09-01T00:00:00"/>
    <s v="ΙΩΑΝΝΙΝΩΝ (Δ.Ε.) 2018"/>
    <s v="ΔΙΕΥΘΥΝΣΗ Δ.Ε. ΙΩΑΝΝΙΝΩΝ"/>
    <s v="ΠΕΡΙΦΕΡΕΙΑΚΗ Δ/ΝΣΗ Α/ΘΜΙΑΣ ΚΑΙ Β/ΘΜΙΑΣ ΕΚΠ/ΣΗΣ ΗΠΕΙΡΟΥ"/>
    <n v="13"/>
    <s v="ΟΧΙ"/>
    <s v="ΟΧΙ"/>
    <s v="ΟΧΙ"/>
    <s v="ΟΧΙ"/>
    <s v="ΟΧΙ"/>
    <m/>
    <d v="2018-09-01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7-03-15T00:00:00"/>
    <x v="0"/>
    <s v="ΔΙΕΥΘΥΝΣΗ Δ.Ε. ΙΩΑΝΝΙΝΩΝ"/>
    <n v="32.238888888888887"/>
    <s v="31 - 40"/>
  </r>
  <r>
    <n v="99910833"/>
    <s v="Θ"/>
    <x v="3"/>
    <x v="3"/>
    <m/>
    <m/>
    <s v="Γ΄"/>
    <n v="1"/>
    <s v="ΑΠ1893102"/>
    <d v="2018-09-11T00:00:00"/>
    <s v="Α΄ ΜΑΓΝΗΣΙΑΣ (Δ.Ε.) 2018"/>
    <s v="ΔΙΕΥΘΥΝΣΗ Δ.Ε. ΜΑΓΝΗΣΙΑΣ"/>
    <s v="ΠΕΡΙΦΕΡΕΙΑΚΗ Δ/ΝΣΗ Α/ΘΜΙΑΣ ΚΑΙ Β/ΘΜΙΑΣ ΕΚΠ/ΣΗΣ ΘΕΣΣΑΛΙΑΣ"/>
    <n v="8"/>
    <s v="ΟΧΙ"/>
    <m/>
    <m/>
    <m/>
    <s v="ΟΧΙ"/>
    <m/>
    <d v="2018-09-11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7-02-27T00:00:00"/>
    <x v="0"/>
    <s v="ΔΙΕΥΘΥΝΣΗ Δ.Ε. ΜΑΓΝΗΣΙΑΣ"/>
    <n v="32.283333333333331"/>
    <s v="31 - 40"/>
  </r>
  <r>
    <n v="99910834"/>
    <s v="Θ"/>
    <x v="14"/>
    <x v="14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2-24T00:00:00"/>
    <x v="1"/>
    <s v="ΔΙΕΥΘΥΝΣΗ Π.Ε. ΑΝΑΤ. ΘΕΣ/ΝΙΚΗΣ"/>
    <n v="32.291666666666664"/>
    <s v="31 - 40"/>
  </r>
  <r>
    <n v="99910835"/>
    <s v="Θ"/>
    <x v="2"/>
    <x v="2"/>
    <m/>
    <m/>
    <s v="Γ΄"/>
    <n v="3"/>
    <s v="1546/12-05-2011"/>
    <d v="2018-09-01T00:00:00"/>
    <s v="Α΄ ΧΙΟΥ (Π.Ε.) 2018"/>
    <s v="ΔΙΕΥΘΥΝΣΗ Π.Ε. ΧΙΟΥ"/>
    <s v="ΠΕΡΙΦΕΡΕΙΑΚΗ Δ/ΝΣΗ Α/ΘΜΙΑΣ ΚΑΙ Β/ΘΜΙΑΣ ΕΚΠ/ΣΗΣ ΒΟΡΕΙΟΥ ΑΙΓΑΙΟΥ"/>
    <n v="25"/>
    <s v="ΟΧΙ"/>
    <s v="ΟΧΙ"/>
    <s v="ΟΧΙ"/>
    <s v="ΟΧΙ"/>
    <s v="ΟΧΙ"/>
    <m/>
    <d v="2018-09-01T00:00:00"/>
    <s v="Ιδιωτικά Σχολεία"/>
    <x v="2"/>
    <s v="7511001"/>
    <s v="ΙΔΙΩΤΙΚΟ ΝΗΠΙΑΓΩΓΕΙΟ ΧΙΟΣ - ΤΑ ΧΕΛΙΔΟΝΙΑ"/>
    <s v="Α΄ ΧΙΟΥ (Π.Ε.) 2018"/>
    <x v="12"/>
    <s v="ΠΕΡΙΦΕΡΕΙΑΚΗ Δ/ΝΣΗ Α/ΘΜΙΑΣ ΚΑΙ Β/ΘΜΙΑΣ ΕΚΠ/ΣΗΣ ΒΟΡΕΙΟΥ ΑΙΓΑΙΟΥ"/>
    <s v="Ιδιωτικού Δικαίου Αορίστου Χρόνου (Ι.Δ.Α.Χ.)"/>
    <s v="Τοποθέτηση σε Ιδιωτική Εκπαίδευση"/>
    <d v="1987-02-21T00:00:00"/>
    <x v="1"/>
    <s v="ΔΙΕΥΘΥΝΣΗ Π.Ε. ΧΙΟΥ"/>
    <n v="32.299999999999997"/>
    <s v="31 - 40"/>
  </r>
  <r>
    <n v="99910836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2-20T00:00:00"/>
    <x v="0"/>
    <s v="ΔΙΕΥΘΥΝΣΗ Δ.Ε. Β΄ ΑΘΗΝΑΣ"/>
    <n v="32.302777777777777"/>
    <s v="31 - 40"/>
  </r>
  <r>
    <n v="99910837"/>
    <s v="Θ"/>
    <x v="0"/>
    <x v="0"/>
    <m/>
    <m/>
    <s v="Β΄"/>
    <n v="1"/>
    <s v="5442/27-04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2-16T00:00:00"/>
    <x v="0"/>
    <s v="ΔΙΕΥΘΥΝΣΗ Δ.Ε. ΔΥΤ. ΘΕΣ/ΝΙΚΗΣ"/>
    <n v="32.31388888888889"/>
    <s v="31 - 40"/>
  </r>
  <r>
    <n v="99910838"/>
    <s v="Θ"/>
    <x v="2"/>
    <x v="2"/>
    <m/>
    <m/>
    <s v="Α΄"/>
    <n v="1"/>
    <m/>
    <m/>
    <s v="ΡΕΘΥΜΝΟΥ (Π.Ε.) 2018"/>
    <s v="ΔΙΕΥΘΥΝΣΗ Π.Ε. ΡΕΘΥΜΝΟΥ"/>
    <s v="ΠΕΡΙΦΕΡΕΙΑΚΗ Δ/ΝΣΗ Α/ΘΜΙΑΣ ΚΑΙ Β/ΘΜΙΑΣ ΕΚΠ/ΣΗΣ ΚΡΗΤΗΣ"/>
    <n v="25"/>
    <s v="ΟΧΙ"/>
    <s v="ΟΧΙ"/>
    <s v="ΟΧΙ"/>
    <s v="ΟΧΙ"/>
    <s v="ΟΧΙ"/>
    <m/>
    <m/>
    <s v="Ιδιωτικά Σχολεία"/>
    <x v="2"/>
    <s v="7411005"/>
    <s v="ΙΔΙΩΤΙΚΟ ΣΥΣΤΕΓΑΖΟΜΕΝΟ ΝΗΠΙΑΓΩΓΕΙΟ - ΨΥΛΛΑΚΗ ΑΝΝΑ"/>
    <s v="ΡΕΘΥΜΝΟΥ (Π.Ε.) 2018"/>
    <x v="62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7-02-14T00:00:00"/>
    <x v="1"/>
    <s v="ΔΙΕΥΘΥΝΣΗ Π.Ε. ΡΕΘΥΜΝΟΥ"/>
    <n v="32.319444444444443"/>
    <s v="31 - 40"/>
  </r>
  <r>
    <n v="99910839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7-02-10T00:00:00"/>
    <x v="0"/>
    <s v="ΔΙΕΥΘΥΝΣΗ Δ.Ε. Γ΄ ΑΘΗΝΑΣ"/>
    <n v="32.330555555555556"/>
    <s v="31 - 40"/>
  </r>
  <r>
    <n v="99910840"/>
    <s v="Θ"/>
    <x v="2"/>
    <x v="2"/>
    <m/>
    <m/>
    <s v="Γ΄"/>
    <n v="1"/>
    <s v="110/7-11/2018"/>
    <d v="2018-09-03T00:00:00"/>
    <s v="Α΄ ΔΩΔΕΚΑΝΗΣΟΥ (Π.Ε.) 2018"/>
    <s v="ΔΙΕΥΘΥΝΣΗ Π.Ε. ΔΩΔΕΚΑΝΗΣΟΥ"/>
    <s v="ΠΕΡΙΦΕΡΕΙΑΚΗ Δ/ΝΣΗ Α/ΘΜΙΑΣ ΚΑΙ Β/ΘΜΙΑΣ ΕΚΠ/ΣΗΣ ΝΟΤΙΟΥ ΑΙΓΑΙΟΥ"/>
    <n v="25"/>
    <s v="ΟΧΙ"/>
    <m/>
    <m/>
    <m/>
    <s v="ΟΧΙ"/>
    <m/>
    <d v="2018-09-03T00:00:00"/>
    <s v="Ιδιωτικά Σχολεία"/>
    <x v="2"/>
    <s v="7101007"/>
    <s v="ΙΔΙΩΤΙΚΟ ΝΗΠΙΑΓΩΓΕΙΟ ΡΟΔΟΣ - ΔΗΜΙΟΥΡΓΙΑ"/>
    <s v="Α΄ ΔΩΔΕΚΑΝΗΣΟΥ (Π.Ε.) 2018"/>
    <x v="5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7-02-10T00:00:00"/>
    <x v="1"/>
    <s v="ΔΙΕΥΘΥΝΣΗ Π.Ε. ΔΩΔΕΚΑΝΗΣΟΥ"/>
    <n v="32.330555555555556"/>
    <s v="31 - 40"/>
  </r>
  <r>
    <n v="99910841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7-01-31T00:00:00"/>
    <x v="0"/>
    <s v="ΔΙΕΥΘΥΝΣΗ Δ.Ε. Β΄ ΑΘΗΝΑΣ"/>
    <n v="32.358333333333334"/>
    <s v="31 - 40"/>
  </r>
  <r>
    <n v="99910842"/>
    <s v="Θ"/>
    <x v="0"/>
    <x v="0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16"/>
    <s v="ΟΧΙ"/>
    <s v="ΟΧΙ"/>
    <s v="ΟΧΙ"/>
    <m/>
    <s v="ΟΧΙ"/>
    <m/>
    <m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7-01-17T00:00:00"/>
    <x v="1"/>
    <s v="ΔΙΕΥΘΥΝΣΗ Π.Ε. ΑΙΤΩΛΟΑΚΑΡΝΑΝΙΑΣ"/>
    <n v="32.397222222222226"/>
    <s v="31 - 40"/>
  </r>
  <r>
    <n v="99910843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16T00:00:00"/>
    <x v="1"/>
    <s v="ΔΙΕΥΘΥΝΣΗ Π.Ε. Γ΄ ΑΘΗΝΑΣ"/>
    <n v="32.4"/>
    <s v="31 - 40"/>
  </r>
  <r>
    <n v="99910844"/>
    <s v="Θ"/>
    <x v="1"/>
    <x v="1"/>
    <m/>
    <m/>
    <s v="Γ΄"/>
    <n v="1"/>
    <s v="Φ.17/4646/04-07-2018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8-09-01T00:00:00"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7-01-13T00:00:00"/>
    <x v="1"/>
    <s v="ΔΙΕΥΘΥΝΣΗ Π.Ε. ΙΩΑΝΝΙΝΩΝ"/>
    <n v="32.408333333333331"/>
    <s v="31 - 40"/>
  </r>
  <r>
    <n v="99910845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8T00:00:00"/>
    <x v="0"/>
    <s v="ΔΙΕΥΘΥΝΣΗ Δ.Ε. Β΄ ΑΘΗΝΑΣ"/>
    <n v="32.422222222222224"/>
    <s v="31 - 40"/>
  </r>
  <r>
    <n v="99910846"/>
    <s v="Θ"/>
    <x v="2"/>
    <x v="2"/>
    <m/>
    <m/>
    <s v="Γ΄"/>
    <n v="1"/>
    <s v="Φ.17.2/276/995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8T00:00:00"/>
    <x v="1"/>
    <s v="ΔΙΕΥΘΥΝΣΗ Π.Ε. Β΄ ΑΘΗΝΑΣ"/>
    <n v="32.422222222222224"/>
    <s v="31 - 40"/>
  </r>
  <r>
    <n v="99910847"/>
    <s v="Θ"/>
    <x v="2"/>
    <x v="2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7T00:00:00"/>
    <x v="1"/>
    <s v="ΔΙΕΥΘΥΝΣΗ Π.Ε. ΠΕΙΡΑΙΑ"/>
    <n v="32.424999999999997"/>
    <s v="31 - 40"/>
  </r>
  <r>
    <n v="99910848"/>
    <s v="Θ"/>
    <x v="2"/>
    <x v="2"/>
    <m/>
    <m/>
    <s v="Γ΄"/>
    <n v="1"/>
    <d v="2012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1-05T00:00:00"/>
    <x v="1"/>
    <s v="ΔΙΕΥΘΥΝΣΗ Π.Ε. ΑΝΑΤ. ΘΕΣ/ΝΙΚΗΣ"/>
    <n v="32.430555555555557"/>
    <s v="31 - 40"/>
  </r>
  <r>
    <n v="99910849"/>
    <s v="Θ"/>
    <x v="15"/>
    <x v="15"/>
    <m/>
    <m/>
    <s v="Α΄"/>
    <n v="1"/>
    <s v="ΒΛΓΠ9-ΝΚ3"/>
    <d v="2013-12-06T00:00:00"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d v="2013-12-06T00:00:00"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7-01-01T00:00:00"/>
    <x v="0"/>
    <s v="ΔΙΕΥΘΥΝΣΗ Δ.Ε. Γ΄ ΑΘΗΝΑΣ"/>
    <n v="32.44166666666667"/>
    <s v="31 - 40"/>
  </r>
  <r>
    <n v="99910850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Α΄ ΑΘΗΝΑΣ"/>
    <n v="32.44166666666667"/>
    <s v="31 - 40"/>
  </r>
  <r>
    <n v="99910851"/>
    <s v="Θ"/>
    <x v="1"/>
    <x v="1"/>
    <m/>
    <m/>
    <s v="Γ΄"/>
    <n v="1"/>
    <s v="ΩΚΧ8465ΦΘ3-Ψ0Σ"/>
    <d v="2015-10-15T00:00:00"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d v="2015-10-15T00:00:00"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Α΄ ΑΘΗΝΑΣ"/>
    <n v="32.44166666666667"/>
    <s v="31 - 40"/>
  </r>
  <r>
    <n v="99910852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7-01-01T00:00:00"/>
    <x v="1"/>
    <s v="ΔΙΕΥΘΥΝΣΗ Π.Ε. Α΄ ΑΘΗΝΑΣ"/>
    <n v="32.44166666666667"/>
    <s v="31 - 40"/>
  </r>
  <r>
    <n v="99910853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ΑΝΑΤΟΛΙΚΗΣ ΑΤΤΙΚΗΣ"/>
    <n v="32.44166666666667"/>
    <s v="31 - 40"/>
  </r>
  <r>
    <n v="99910854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ΑΝΑΤΟΛΙΚΗΣ ΑΤΤΙΚΗΣ"/>
    <n v="32.44166666666667"/>
    <s v="31 - 40"/>
  </r>
  <r>
    <n v="99910855"/>
    <s v="Α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ΑΝΑΤΟΛΙΚΗΣ ΑΤΤΙΚΗΣ"/>
    <n v="32.44166666666667"/>
    <s v="31 - 40"/>
  </r>
  <r>
    <n v="99910856"/>
    <s v="Α"/>
    <x v="27"/>
    <x v="2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Β΄ ΑΘΗΝΑΣ"/>
    <n v="32.44166666666667"/>
    <s v="31 - 40"/>
  </r>
  <r>
    <n v="99910857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7-01-01T00:00:00"/>
    <x v="1"/>
    <s v="ΔΙΕΥΘΥΝΣΗ Π.Ε. Β΄ ΑΘΗΝΑΣ"/>
    <n v="32.44166666666667"/>
    <s v="31 - 40"/>
  </r>
  <r>
    <n v="99910858"/>
    <s v="Α"/>
    <x v="1"/>
    <x v="1"/>
    <m/>
    <m/>
    <s v="Α΄"/>
    <n v="1"/>
    <s v="ΒΛΓΨ9-2ΡΔ"/>
    <d v="2013-12-1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3-12-13T00:00:00"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7-01-01T00:00:00"/>
    <x v="1"/>
    <s v="ΔΙΕΥΘΥΝΣΗ Π.Ε. ΔΥΤ. ΘΕΣ/ΝΙΚΗΣ"/>
    <n v="32.44166666666667"/>
    <s v="31 - 40"/>
  </r>
  <r>
    <n v="99910859"/>
    <s v="Α"/>
    <x v="1"/>
    <x v="1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7-01-01T00:00:00"/>
    <x v="1"/>
    <s v="ΔΙΕΥΘΥΝΣΗ Π.Ε. ΑΡΓΟΛΙΔΑΣ"/>
    <n v="32.44166666666667"/>
    <s v="31 - 40"/>
  </r>
  <r>
    <n v="99910860"/>
    <s v="Θ"/>
    <x v="1"/>
    <x v="1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7-01-01T00:00:00"/>
    <x v="1"/>
    <s v="ΔΙΕΥΘΥΝΣΗ Π.Ε. ΜΕΣΣΗΝΙΑΣ"/>
    <n v="32.44166666666667"/>
    <s v="31 - 40"/>
  </r>
  <r>
    <n v="99910861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2135"/>
    <s v="ΤΑΣΟΥΛΑ ΠΕΡΙΣΤΕΡΑ - ΑΙΚΑΤΕΡΙΝΗ ΑΛΕΞΙΟΥ &amp; ΣΙΑ Ο.Ε. (ΤΑΣΟΥΛΑ ΠΕΡΙΣΤΕΡΑ - ΑΙΚΑΤΕΡΙΝΗ ΑΛΕΞΙΟΥ &amp; ΣΙΑ)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2-28T00:00:00"/>
    <x v="1"/>
    <s v="ΔΙΕΥΘΥΝΣΗ Π.Ε. Β΄ ΑΘΗΝΑΣ"/>
    <n v="32.452777777777776"/>
    <s v="31 - 40"/>
  </r>
  <r>
    <n v="99910862"/>
    <s v="Θ"/>
    <x v="1"/>
    <x v="1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6-12-25T00:00:00"/>
    <x v="1"/>
    <s v="ΔΙΕΥΘΥΝΣΗ Π.Ε. ΔΩΔΕΚΑΝΗΣΟΥ"/>
    <n v="32.461111111111109"/>
    <s v="31 - 40"/>
  </r>
  <r>
    <n v="99910863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1133"/>
    <s v="ΙΔΙΩΤΙΚΟ ΣΥΣΤΕΓΑΖΟΜΕΝΟ ΝΗΠΙΑΓΩΓΕΙΟ - ΣΑΝΙΔΑ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2-11T00:00:00"/>
    <x v="1"/>
    <s v="ΔΙΕΥΘΥΝΣΗ Π.Ε. Α΄ ΑΘΗΝΑΣ"/>
    <n v="32.5"/>
    <s v="31 - 40"/>
  </r>
  <r>
    <n v="99910864"/>
    <s v="Θ"/>
    <x v="2"/>
    <x v="2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6-12-03T00:00:00"/>
    <x v="1"/>
    <s v="ΔΙΕΥΘΥΝΣΗ Π.Ε. ΚΥΚΛΑΔΩΝ"/>
    <n v="32.522222222222226"/>
    <s v="31 - 40"/>
  </r>
  <r>
    <n v="99910865"/>
    <s v="Θ"/>
    <x v="6"/>
    <x v="6"/>
    <m/>
    <m/>
    <s v="Γ΄"/>
    <n v="1"/>
    <n v="12096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s v="ΟΧΙ"/>
    <m/>
    <s v="ΟΧΙ"/>
    <m/>
    <d v="2018-09-01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11-21T00:00:00"/>
    <x v="0"/>
    <s v="ΔΙΕΥΘΥΝΣΗ Δ.Ε. Δ΄ ΑΘΗΝΑΣ"/>
    <n v="32.555555555555557"/>
    <s v="31 - 40"/>
  </r>
  <r>
    <n v="99910866"/>
    <s v="Θ"/>
    <x v="14"/>
    <x v="14"/>
    <m/>
    <m/>
    <s v="Α΄"/>
    <n v="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36"/>
    <s v="ΙΔΙΩΤΙΚΟ ΔΗΜΟΤΙΚ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1-20T00:00:00"/>
    <x v="1"/>
    <s v="ΔΙΕΥΘΥΝΣΗ Π.Ε. Β΄ ΑΘΗΝΑΣ"/>
    <n v="32.55833333333333"/>
    <s v="31 - 40"/>
  </r>
  <r>
    <n v="99910867"/>
    <s v="Θ"/>
    <x v="2"/>
    <x v="2"/>
    <m/>
    <m/>
    <s v="Γ΄"/>
    <n v="1"/>
    <s v="Φ.17/ΔΠΕ 5467/7-9-2017"/>
    <d v="2017-09-01T00:00:00"/>
    <s v="ΡΕΘΥΜΝΟΥ (Π.Ε.) 2018"/>
    <s v="ΔΙΕΥΘΥΝΣΗ Π.Ε. ΡΕΘΥΜΝΟΥ"/>
    <s v="ΠΕΡΙΦΕΡΕΙΑΚΗ Δ/ΝΣΗ Α/ΘΜΙΑΣ ΚΑΙ Β/ΘΜΙΑΣ ΕΚΠ/ΣΗΣ ΚΡΗΤΗΣ"/>
    <n v="25"/>
    <s v="ΟΧΙ"/>
    <m/>
    <m/>
    <m/>
    <s v="ΟΧΙ"/>
    <m/>
    <d v="2017-09-01T00:00:00"/>
    <s v="Ιδιωτικά Σχολεία"/>
    <x v="2"/>
    <s v="7411007"/>
    <s v="ΙΔΙΩΤΙΚΟ ΝΗΠΙΑΓΩΓΕΙΟ - ΚΟΥΤΙΚΑ ΕΛΕΝΗ"/>
    <s v="ΡΕΘΥΜΝΟΥ (Π.Ε.) 2018"/>
    <x v="62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6-11-18T00:00:00"/>
    <x v="1"/>
    <s v="ΔΙΕΥΘΥΝΣΗ Π.Ε. ΡΕΘΥΜΝΟΥ"/>
    <n v="32.56388888888889"/>
    <s v="31 - 40"/>
  </r>
  <r>
    <n v="99910868"/>
    <s v="Θ"/>
    <x v="2"/>
    <x v="2"/>
    <m/>
    <m/>
    <s v="Γ΄"/>
    <n v="1"/>
    <s v="7242/6-9-2017"/>
    <d v="2018-09-01T00:00:00"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m/>
    <s v="ΟΧΙ"/>
    <m/>
    <d v="2018-09-01T00:00:00"/>
    <s v="Ιδιωτικά Σχολεία"/>
    <x v="2"/>
    <s v="7201023"/>
    <s v="ΙΔΙΩΤΙΚΟ ΣΥΣΤΕΓΑΖΟΜΕΝΟ ΝΗΠΙΑΓΩΓΕΙΟ - ΠΡΩΤΗ ΠΡΟΒΑ ΙΩΑΝΝΙΝΩΝ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6-11-17T00:00:00"/>
    <x v="1"/>
    <s v="ΔΙΕΥΘΥΝΣΗ Π.Ε. ΙΩΑΝΝΙΝΩΝ"/>
    <n v="32.56666666666667"/>
    <s v="31 - 40"/>
  </r>
  <r>
    <n v="99910869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63"/>
    <s v="1ο ΙΔΙΩΤΙΚΟ ΝΗΠΙΑΓΩΓΕΙΟ ΚΗΦΙΣΙΑ - ΜΠΕΝΑΚΕΙΟ ΠΑΙΔΙΚΟ ΙΔΡΥΜΑ ΚΗΦΙΣ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11-12T00:00:00"/>
    <x v="1"/>
    <s v="ΔΙΕΥΘΥΝΣΗ Π.Ε. Β΄ ΑΘΗΝΑΣ"/>
    <n v="32.580555555555556"/>
    <s v="31 - 40"/>
  </r>
  <r>
    <n v="99910870"/>
    <s v="Θ"/>
    <x v="2"/>
    <x v="2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6"/>
    <s v="ΟΧΙ"/>
    <s v="ΟΧΙ"/>
    <s v="ΟΧΙ"/>
    <s v="ΟΧΙ"/>
    <s v="ΟΧΙ"/>
    <m/>
    <m/>
    <s v="Ιδιωτικά Σχολεία"/>
    <x v="2"/>
    <s v="7171009"/>
    <s v="ΙΔΙΩΤΙΚΟ ΝΗΠΙΑΓΩΓΕΙΟ ΗΡΑΚΛΕΙΟ ΚΡΗΤΗΣ - ΝΕΑ ΔΗΜΙΟΥΡΓΙΑ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6-11-10T00:00:00"/>
    <x v="1"/>
    <s v="ΔΙΕΥΘΥΝΣΗ Π.Ε. ΗΡΑΚΛΕΙΟΥ"/>
    <n v="32.586111111111109"/>
    <s v="31 - 40"/>
  </r>
  <r>
    <n v="99910871"/>
    <s v="Θ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1-08T00:00:00"/>
    <x v="0"/>
    <s v="ΔΙΕΥΘΥΝΣΗ Δ.Ε. Β΄ ΑΘΗΝΑΣ"/>
    <n v="32.591666666666669"/>
    <s v="31 - 40"/>
  </r>
  <r>
    <n v="99910872"/>
    <s v="Θ"/>
    <x v="10"/>
    <x v="1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1-07T00:00:00"/>
    <x v="1"/>
    <s v="ΔΙΕΥΘΥΝΣΗ Π.Ε. Β΄ ΑΘΗΝΑΣ"/>
    <n v="32.594444444444441"/>
    <s v="31 - 40"/>
  </r>
  <r>
    <n v="99910873"/>
    <s v="Α"/>
    <x v="3"/>
    <x v="3"/>
    <m/>
    <m/>
    <s v="Γ΄"/>
    <n v="1"/>
    <s v="Φ.17.2 / 786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1"/>
    <s v="ΟΧΙ"/>
    <s v="ΟΧΙ"/>
    <s v="ΟΧΙ"/>
    <s v="ΟΧΙ"/>
    <s v="ΟΧΙ"/>
    <m/>
    <d v="2018-09-01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6-11-06T00:00:00"/>
    <x v="0"/>
    <s v="ΔΙΕΥΘΥΝΣΗ Δ.Ε. ΔΩΔΕΚΑΝΗΣΟΥ"/>
    <n v="32.597222222222221"/>
    <s v="31 - 40"/>
  </r>
  <r>
    <n v="99910874"/>
    <s v="Θ"/>
    <x v="10"/>
    <x v="10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0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6-11-03T00:00:00"/>
    <x v="0"/>
    <s v="ΔΙΕΥΘΥΝΣΗ Δ.Ε. ΚΟΡΙΝΘΙΑΣ"/>
    <n v="32.605555555555554"/>
    <s v="31 - 40"/>
  </r>
  <r>
    <n v="99910875"/>
    <s v="Θ"/>
    <x v="2"/>
    <x v="2"/>
    <m/>
    <m/>
    <s v="Β΄"/>
    <n v="2"/>
    <s v="Φ.Ι.Α.7/33041/15-3-2018"/>
    <d v="2017-10-18T00:00:00"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7-10-18T00:00:00"/>
    <s v="Ιδιωτικά Σχολεία"/>
    <x v="2"/>
    <s v="7521157"/>
    <s v="Ιδιωτικό Νηπιαγωγείο Ονειροχώρα - 3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1-02T00:00:00"/>
    <x v="1"/>
    <s v="ΔΙΕΥΘΥΝΣΗ Π.Ε. ΑΝΑΤΟΛΙΚΗΣ ΑΤΤΙΚΗΣ"/>
    <n v="32.608333333333334"/>
    <s v="31 - 40"/>
  </r>
  <r>
    <n v="99910876"/>
    <s v="Θ"/>
    <x v="2"/>
    <x v="2"/>
    <m/>
    <m/>
    <s v="Γ΄"/>
    <n v="1"/>
    <n v="1125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57"/>
    <s v="ΣΥΣΤΕΓΑΖΟΜΕΝΟ ΝΗΠΙΑΓΩΓΕΙΟ - ΠΑΝΟΠΟΥΛΟΥ ΜΑΡ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1-02T00:00:00"/>
    <x v="1"/>
    <s v="ΔΙΕΥΘΥΝΣΗ Π.Ε. Δ΄ ΑΘΗΝΑΣ"/>
    <n v="32.608333333333334"/>
    <s v="31 - 40"/>
  </r>
  <r>
    <n v="99910877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1-01T00:00:00"/>
    <x v="1"/>
    <s v="ΔΙΕΥΘΥΝΣΗ Π.Ε. ΠΕΙΡΑΙΑ"/>
    <n v="32.611111111111114"/>
    <s v="31 - 40"/>
  </r>
  <r>
    <n v="99910878"/>
    <s v="Θ"/>
    <x v="2"/>
    <x v="2"/>
    <m/>
    <m/>
    <s v="Γ΄"/>
    <n v="1"/>
    <s v="2968/03-10-2011"/>
    <d v="2018-09-01T00:00:00"/>
    <s v="ΔΡΑΜΑΣ (Π.Ε.) 2018"/>
    <s v="ΔΙΕΥΘΥΝΣΗ Π.Ε. ΔΡΑΜΑΣ"/>
    <s v="ΠΕΡΙΦΕΡΕΙΑΚΗ Δ/ΝΣΗ Α/ΘΜΙΑΣ ΚΑΙ Β/ΘΜΙΑΣ ΕΚΠ/ΣΗΣ ΑΝ. ΜΑΚΕΔΟΝΙΑΣ ΚΑΙ ΘΡΑΚΗΣ"/>
    <n v="25"/>
    <s v="ΟΧΙ"/>
    <m/>
    <m/>
    <m/>
    <s v="ΟΧΙ"/>
    <m/>
    <d v="2018-09-01T00:00:00"/>
    <s v="Ιδιωτικά Σχολεία"/>
    <x v="2"/>
    <s v="7091003"/>
    <s v="ΙΔΙΩΤΙΚΟ ΝΗΠΙΑΓΩΓΕΙΟ ΔΡΑΜΑ - Ε. ΤΡΟΠΙΟΥ ΚΑΙ ΣΙΑ Ο.Ε. &quot;ΠΑΙΔΙΚΟΡΑΜΑ&quot;"/>
    <s v="ΔΡΑΜΑΣ (Π.Ε.) 2018"/>
    <x v="57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86-10-29T00:00:00"/>
    <x v="1"/>
    <s v="ΔΙΕΥΘΥΝΣΗ Π.Ε. ΔΡΑΜΑΣ"/>
    <n v="32.619444444444447"/>
    <s v="31 - 40"/>
  </r>
  <r>
    <n v="99910879"/>
    <s v="Θ"/>
    <x v="2"/>
    <x v="2"/>
    <m/>
    <m/>
    <s v="Γ΄"/>
    <n v="3"/>
    <s v="Φ.17/3614"/>
    <d v="2018-09-20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8-09-20T00:00:00"/>
    <s v="Ιδιωτικά Σχολεία"/>
    <x v="2"/>
    <s v="7281001"/>
    <s v="ΙΔΙΩΤΙΚΟ ΝΗΠΙΑΓΩΓΕΙΟ ΚΟΡΙΝΘΟΣ - ΜΙΚΡΟΣ ΝΑΥΤΙΛΟΣ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6-10-22T00:00:00"/>
    <x v="1"/>
    <s v="ΔΙΕΥΘΥΝΣΗ Π.Ε. ΚΟΡΙΝΘΙΑΣ"/>
    <n v="32.638888888888886"/>
    <s v="31 - 40"/>
  </r>
  <r>
    <n v="99910880"/>
    <s v="Θ"/>
    <x v="2"/>
    <x v="2"/>
    <m/>
    <m/>
    <s v="Γ΄"/>
    <n v="1"/>
    <n v="11592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183"/>
    <s v="ΙΔΙΩΤΙΚΟ ΝΗΠΙΑΓΩΓΕΙΟ - LITTLE SCHOLARS CENTRE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10-20T00:00:00"/>
    <x v="1"/>
    <s v="ΔΙΕΥΘΥΝΣΗ Π.Ε. Δ΄ ΑΘΗΝΑΣ"/>
    <n v="32.644444444444446"/>
    <s v="31 - 40"/>
  </r>
  <r>
    <n v="99910881"/>
    <s v="Θ"/>
    <x v="2"/>
    <x v="2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201009"/>
    <s v="ΙΔΙΩΤΙΚΟ ΝΗΠΙΑΓΩΓΕΙΟ - ΠΑΡΑΜΥΘΟΥΠΟΛΗ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6-10-15T00:00:00"/>
    <x v="1"/>
    <s v="ΔΙΕΥΘΥΝΣΗ Π.Ε. ΙΩΑΝΝΙΝΩΝ"/>
    <n v="32.658333333333331"/>
    <s v="31 - 40"/>
  </r>
  <r>
    <n v="99910882"/>
    <s v="Θ"/>
    <x v="1"/>
    <x v="1"/>
    <m/>
    <m/>
    <s v="Γ΄"/>
    <n v="1"/>
    <n v="7164"/>
    <d v="2018-09-26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26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86-10-11T00:00:00"/>
    <x v="1"/>
    <s v="ΔΙΕΥΘΥΝΣΗ Π.Ε. ΛΑΡΙΣΑΣ"/>
    <n v="32.669444444444444"/>
    <s v="31 - 40"/>
  </r>
  <r>
    <n v="99910883"/>
    <s v="Α"/>
    <x v="3"/>
    <x v="3"/>
    <m/>
    <m/>
    <s v="Α΄"/>
    <n v="4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0-08T00:00:00"/>
    <x v="0"/>
    <s v="ΔΙΕΥΘΥΝΣΗ Δ.Ε. Δ΄ ΑΘΗΝΑΣ"/>
    <n v="32.677777777777777"/>
    <s v="31 - 40"/>
  </r>
  <r>
    <n v="99910884"/>
    <s v="Θ"/>
    <x v="2"/>
    <x v="2"/>
    <m/>
    <m/>
    <s v="Γ΄"/>
    <n v="1"/>
    <n v="94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6-10-08T00:00:00"/>
    <x v="1"/>
    <s v="ΔΙΕΥΘΥΝΣΗ Π.Ε. ΛΑΡΙΣΑΣ"/>
    <n v="32.677777777777777"/>
    <s v="31 - 40"/>
  </r>
  <r>
    <n v="99910885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4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86-10-07T00:00:00"/>
    <x v="1"/>
    <s v="ΔΙΕΥΘΥΝΣΗ Π.Ε. ΑΧΑΪΑΣ"/>
    <n v="32.680555555555557"/>
    <s v="31 - 40"/>
  </r>
  <r>
    <n v="99910886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10-01T00:00:00"/>
    <x v="1"/>
    <s v="ΔΙΕΥΘΥΝΣΗ Π.Ε. Β΄ ΑΘΗΝΑΣ"/>
    <n v="32.697222222222223"/>
    <s v="31 - 40"/>
  </r>
  <r>
    <n v="99910887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03"/>
    <s v="ΙΔΙΩΤΙΚΟ ΝΗΠΙΑΓΩΓΕΙ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6-09-17T00:00:00"/>
    <x v="1"/>
    <s v="ΔΙΕΥΘΥΝΣΗ Π.Ε. ΕΥΒΟΙΑΣ"/>
    <n v="32.736111111111114"/>
    <s v="31 - 40"/>
  </r>
  <r>
    <n v="99910888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15"/>
    <s v="ΟΥΡΑΝΙΟ ΤΟΞΟ (ΑΝΑΛΥΤΗ ΧΡΙΣΤΙΝΑ)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6-09-16T00:00:00"/>
    <x v="1"/>
    <s v="ΔΙΕΥΘΥΝΣΗ Π.Ε. ΕΥΒΟΙΑΣ"/>
    <n v="32.738888888888887"/>
    <s v="31 - 40"/>
  </r>
  <r>
    <n v="99910889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9-09T00:00:00"/>
    <x v="0"/>
    <s v="ΔΙΕΥΘΥΝΣΗ Δ.Ε. Γ΄ ΑΘΗΝΑΣ"/>
    <n v="32.758333333333333"/>
    <s v="31 - 40"/>
  </r>
  <r>
    <n v="99910890"/>
    <s v="Θ"/>
    <x v="0"/>
    <x v="0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9-08T00:00:00"/>
    <x v="1"/>
    <s v="ΔΙΕΥΘΥΝΣΗ Π.Ε. Α΄ ΑΘΗΝΑΣ"/>
    <n v="32.761111111111113"/>
    <s v="31 - 40"/>
  </r>
  <r>
    <n v="99910891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9-05T00:00:00"/>
    <x v="0"/>
    <s v="ΔΙΕΥΘΥΝΣΗ Δ.Ε. Β΄ ΑΘΗΝΑΣ"/>
    <n v="32.769444444444446"/>
    <s v="31 - 40"/>
  </r>
  <r>
    <n v="99910892"/>
    <s v="Θ"/>
    <x v="1"/>
    <x v="1"/>
    <m/>
    <m/>
    <s v="Γ΄"/>
    <n v="1"/>
    <s v="7ΔΙΠ4653ΠΣ-Σ2Β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d v="2018-09-03T00:00:00"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6-09-02T00:00:00"/>
    <x v="1"/>
    <s v="ΔΙΕΥΘΥΝΣΗ Π.Ε. ΔΥΤ. ΘΕΣ/ΝΙΚΗΣ"/>
    <n v="32.777777777777779"/>
    <s v="31 - 40"/>
  </r>
  <r>
    <n v="99910893"/>
    <s v="Α"/>
    <x v="2"/>
    <x v="2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m/>
    <s v="ΟΧΙ"/>
    <m/>
    <m/>
    <s v="Ιδιωτικά Σχολεία"/>
    <x v="2"/>
    <s v="7061025"/>
    <s v="ΙΔΙΩΤΙΚΟ ΝΗΠΙΑΓΩΓΕΙΟ ΠΑΤΡΑ - ΙΔ. ΝΗΠ. ΡΕΖΙΤΗΣ ΣΩΤΗΡΙΟΣ-ΓΕΡΑΣΙΜΟΣ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86-08-30T00:00:00"/>
    <x v="1"/>
    <s v="ΔΙΕΥΘΥΝΣΗ Π.Ε. ΑΧΑΪΑΣ"/>
    <n v="32.786111111111111"/>
    <s v="31 - 40"/>
  </r>
  <r>
    <n v="99910894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8-29T00:00:00"/>
    <x v="0"/>
    <s v="ΔΙΕΥΘΥΝΣΗ Δ.Ε. ΑΝΑΤΟΛΙΚΗΣ ΑΤΤΙΚΗΣ"/>
    <n v="32.788888888888891"/>
    <s v="31 - 40"/>
  </r>
  <r>
    <n v="99910895"/>
    <s v="Θ"/>
    <x v="14"/>
    <x v="14"/>
    <m/>
    <m/>
    <s v="Γ΄"/>
    <n v="1"/>
    <s v="ΑΠ88635"/>
    <d v="2018-01-18T00:00:00"/>
    <s v="Α΄ ΜΑΓΝΗΣΙΑΣ (Δ.Ε.) 2018"/>
    <s v="ΔΙΕΥΘΥΝΣΗ Δ.Ε. ΜΑΓΝΗΣΙΑΣ"/>
    <s v="ΠΕΡΙΦΕΡΕΙΑΚΗ Δ/ΝΣΗ Α/ΘΜΙΑΣ ΚΑΙ Β/ΘΜΙΑΣ ΕΚΠ/ΣΗΣ ΘΕΣΣΑΛΙΑΣ"/>
    <n v="11"/>
    <s v="ΟΧΙ"/>
    <m/>
    <m/>
    <m/>
    <s v="ΟΧΙ"/>
    <m/>
    <d v="2018-01-18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6-08-29T00:00:00"/>
    <x v="0"/>
    <s v="ΔΙΕΥΘΥΝΣΗ Δ.Ε. ΜΑΓΝΗΣΙΑΣ"/>
    <n v="32.788888888888891"/>
    <s v="31 - 40"/>
  </r>
  <r>
    <n v="99910896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8-26T00:00:00"/>
    <x v="1"/>
    <s v="ΔΙΕΥΘΥΝΣΗ Π.Ε. Α΄ ΑΘΗΝΑΣ"/>
    <n v="32.797222222222224"/>
    <s v="31 - 40"/>
  </r>
  <r>
    <n v="99910897"/>
    <s v="Θ"/>
    <x v="2"/>
    <x v="2"/>
    <m/>
    <m/>
    <s v="Α΄"/>
    <n v="1"/>
    <m/>
    <m/>
    <s v="ΤΡΙΚΑΛΩΝ (Π.Ε.) 2018"/>
    <s v="ΔΙΕΥΘΥΝΣΗ Π.Ε. ΤΡΙΚΑΛΩΝ"/>
    <s v="ΠΕΡΙΦΕΡΕΙΑΚΗ Δ/ΝΣΗ Α/ΘΜΙΑΣ ΚΑΙ Β/ΘΜΙΑΣ ΕΚΠ/ΣΗΣ ΘΕΣΣΑΛΙΑΣ"/>
    <n v="24"/>
    <s v="ΟΧΙ"/>
    <s v="ΟΧΙ"/>
    <s v="ΟΧΙ"/>
    <m/>
    <s v="ΟΧΙ"/>
    <m/>
    <m/>
    <s v="Ιδιωτικά Σχολεία"/>
    <x v="2"/>
    <s v="7451003"/>
    <s v="ΙΔΙΩΤΙΚΟ ΝΗΠΙΑΓΩΓΕΙΟ - ΚΑΣΤΑΝΟΥΛΗ ΕΥΤΕΡΠΗ &amp; ΣΙΑ Ε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6-08-16T00:00:00"/>
    <x v="1"/>
    <s v="ΔΙΕΥΘΥΝΣΗ Π.Ε. ΤΡΙΚΑΛΩΝ"/>
    <n v="32.825000000000003"/>
    <s v="31 - 40"/>
  </r>
  <r>
    <n v="99910898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2225"/>
    <s v="ΙΔΙΩΤΙΚΟ ΝΗΠΙΑΓΩΓΕΙΟ - ΤΡΙΑΝΕΜΙ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8-13T00:00:00"/>
    <x v="1"/>
    <s v="ΔΙΕΥΘΥΝΣΗ Π.Ε. Β΄ ΑΘΗΝΑΣ"/>
    <n v="32.833333333333336"/>
    <s v="31 - 40"/>
  </r>
  <r>
    <n v="99910899"/>
    <s v="Θ"/>
    <x v="14"/>
    <x v="14"/>
    <m/>
    <m/>
    <s v="Γ΄"/>
    <n v="1"/>
    <d v="2016-09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6-08-12T00:00:00"/>
    <x v="1"/>
    <s v="ΔΙΕΥΘΥΝΣΗ Π.Ε. ΑΝΑΤ. ΘΕΣ/ΝΙΚΗΣ"/>
    <n v="32.836111111111109"/>
    <s v="31 - 40"/>
  </r>
  <r>
    <n v="99910900"/>
    <s v="Θ"/>
    <x v="1"/>
    <x v="1"/>
    <m/>
    <m/>
    <s v="Α΄"/>
    <n v="1"/>
    <n v="653"/>
    <d v="2009-08-18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09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6-08-09T00:00:00"/>
    <x v="1"/>
    <s v="ΔΙΕΥΘΥΝΣΗ Π.Ε. ΑΝΑΤ. ΘΕΣ/ΝΙΚΗΣ"/>
    <n v="32.844444444444441"/>
    <s v="31 - 40"/>
  </r>
  <r>
    <n v="99910901"/>
    <s v="Θ"/>
    <x v="1"/>
    <x v="1"/>
    <m/>
    <m/>
    <s v="Γ΄"/>
    <n v="1"/>
    <n v="9416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6-08-07T00:00:00"/>
    <x v="1"/>
    <s v="ΔΙΕΥΘΥΝΣΗ Π.Ε. ΛΑΡΙΣΑΣ"/>
    <n v="32.85"/>
    <s v="31 - 40"/>
  </r>
  <r>
    <n v="99910902"/>
    <s v="Θ"/>
    <x v="1"/>
    <x v="1"/>
    <m/>
    <m/>
    <s v="Γ΄"/>
    <n v="1"/>
    <s v="3512/10/10/2011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7-29T00:00:00"/>
    <x v="1"/>
    <s v="ΔΙΕΥΘΥΝΣΗ Π.Ε. Β΄ ΑΘΗΝΑΣ"/>
    <n v="32.875"/>
    <s v="31 - 40"/>
  </r>
  <r>
    <n v="99910903"/>
    <s v="Θ"/>
    <x v="1"/>
    <x v="1"/>
    <m/>
    <m/>
    <s v="Γ΄"/>
    <n v="1"/>
    <s v="3558/16-9-20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7-25T00:00:00"/>
    <x v="1"/>
    <s v="ΔΙΕΥΘΥΝΣΗ Π.Ε. Β΄ ΑΘΗΝΑΣ"/>
    <n v="32.886111111111113"/>
    <s v="31 - 40"/>
  </r>
  <r>
    <n v="99910904"/>
    <s v="Α"/>
    <x v="8"/>
    <x v="8"/>
    <m/>
    <m/>
    <s v="Γ΄"/>
    <n v="1"/>
    <n v="12334"/>
    <d v="2018-09-01T00:00:00"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7-24T00:00:00"/>
    <x v="1"/>
    <s v="ΔΙΕΥΘΥΝΣΗ Π.Ε. Δ΄ ΑΘΗΝΑΣ"/>
    <n v="32.888888888888886"/>
    <s v="31 - 40"/>
  </r>
  <r>
    <n v="99910905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011"/>
    <s v="ΙΔΙΩΤΙΚΟ ΝΗΠΙΑΓΩΓΕΙ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7-23T00:00:00"/>
    <x v="1"/>
    <s v="ΔΙΕΥΘΥΝΣΗ Π.Ε. Δ΄ ΑΘΗΝΑΣ"/>
    <n v="32.891666666666666"/>
    <s v="31 - 40"/>
  </r>
  <r>
    <n v="99910906"/>
    <s v="Θ"/>
    <x v="0"/>
    <x v="0"/>
    <m/>
    <m/>
    <s v="Γ΄"/>
    <n v="1"/>
    <n v="20135"/>
    <d v="2017-10-12T00:00:00"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s v="ΟΧΙ"/>
    <s v="ΟΧΙ"/>
    <m/>
    <d v="2017-10-12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7-21T00:00:00"/>
    <x v="0"/>
    <s v="ΔΙΕΥΘΥΝΣΗ Δ.Ε. ΠΕΙΡΑΙΑ"/>
    <n v="32.897222222222226"/>
    <s v="31 - 40"/>
  </r>
  <r>
    <n v="99910907"/>
    <s v="Α"/>
    <x v="8"/>
    <x v="8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6-07-15T00:00:00"/>
    <x v="0"/>
    <s v="ΔΙΕΥΘΥΝΣΗ Δ.Ε. ΔΩΔΕΚΑΝΗΣΟΥ"/>
    <n v="32.913888888888891"/>
    <s v="31 - 40"/>
  </r>
  <r>
    <n v="99910908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7-14T00:00:00"/>
    <x v="1"/>
    <s v="ΔΙΕΥΘΥΝΣΗ Π.Ε. Β΄ ΑΘΗΝΑΣ"/>
    <n v="32.916666666666664"/>
    <s v="31 - 40"/>
  </r>
  <r>
    <n v="99910909"/>
    <s v="Θ"/>
    <x v="14"/>
    <x v="14"/>
    <m/>
    <m/>
    <s v="Γ΄"/>
    <n v="1"/>
    <n v="19174"/>
    <d v="2018-09-01T00:00:00"/>
    <s v="Α΄ ΠΕΙΡΑΙΑ (Π.Ε.) 2018"/>
    <s v="ΔΙΕΥΘΥΝΣΗ Π.Ε. ΠΕΙΡΑΙΑ"/>
    <s v="ΠΕΡΙΦΕΡΕΙΑΚΗ Δ/ΝΣΗ Α/ΘΜΙΑΣ ΚΑΙ Β/ΘΜΙΑΣ ΕΚΠ/ΣΗΣ ΑΤΤΙΚΗΣ"/>
    <n v="7"/>
    <s v="ΟΧΙ"/>
    <s v="ΟΧΙ"/>
    <s v="ΟΧΙ"/>
    <s v="ΟΧΙ"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7-12T00:00:00"/>
    <x v="1"/>
    <s v="ΔΙΕΥΘΥΝΣΗ Π.Ε. ΠΕΙΡΑΙΑ"/>
    <n v="32.922222222222224"/>
    <s v="31 - 40"/>
  </r>
  <r>
    <n v="99910910"/>
    <s v="Θ"/>
    <x v="2"/>
    <x v="2"/>
    <m/>
    <m/>
    <s v="Γ΄"/>
    <n v="1"/>
    <n v="1779066"/>
    <d v="2018-09-03T00:00:00"/>
    <s v="Β΄ ΑΘΗΝΑΣ (Π.Ε.) 2018"/>
    <s v="ΔΙΕΥΘΥΝΣΗ Π.Ε. Β΄ ΑΘΗΝΑΣ"/>
    <s v="ΠΕΡΙΦΕΡΕΙΑΚΗ Δ/ΝΣΗ Α/ΘΜΙΑΣ ΚΑΙ Β/ΘΜΙΑΣ ΕΚΠ/ΣΗΣ ΑΤΤΙΚΗΣ"/>
    <n v="28"/>
    <s v="ΟΧΙ"/>
    <m/>
    <m/>
    <m/>
    <s v="ΟΧΙ"/>
    <m/>
    <d v="2018-09-03T00:00:00"/>
    <s v="Ιδιωτικά Σχολεία"/>
    <x v="2"/>
    <s v="7052239"/>
    <s v="ΙΔΙΩΤΙΚΟ ΣΥΣΤΕΓΑΖΟΜΕΝΟ ΝΗΠΙΑΓΩΓΕΙΟ - MONTESSORI WAY OF LIFE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7-08T00:00:00"/>
    <x v="1"/>
    <s v="ΔΙΕΥΘΥΝΣΗ Π.Ε. Β΄ ΑΘΗΝΑΣ"/>
    <n v="32.93333333333333"/>
    <s v="31 - 40"/>
  </r>
  <r>
    <n v="99910911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6-27T00:00:00"/>
    <x v="1"/>
    <s v="ΔΙΕΥΘΥΝΣΗ Π.Ε. Β΄ ΑΘΗΝΑΣ"/>
    <n v="32.963888888888889"/>
    <s v="31 - 40"/>
  </r>
  <r>
    <n v="99910912"/>
    <s v="Α"/>
    <x v="7"/>
    <x v="7"/>
    <m/>
    <m/>
    <s v="Γ΄"/>
    <n v="1"/>
    <s v="ΩΚ8Π4653ΠΣ-ΝΨΡ"/>
    <d v="2018-09-01T00:00:00"/>
    <s v="ΧΑΝΙΩΝ (Π.Ε.) 2018"/>
    <s v="ΔΙΕΥΘΥΝΣΗ Π.Ε. ΧΑΝΙΩΝ"/>
    <s v="ΠΕΡΙΦΕΡΕΙΑΚΗ Δ/ΝΣΗ Α/ΘΜΙΑΣ ΚΑΙ Β/ΘΜΙΑΣ ΕΚΠ/ΣΗΣ ΚΡΗΤΗΣ"/>
    <n v="10"/>
    <s v="ΟΧΙ"/>
    <s v="ΟΧΙ"/>
    <s v="ΟΧΙ"/>
    <m/>
    <s v="ΟΧΙ"/>
    <m/>
    <d v="2018-09-01T00:00:00"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6-06-26T00:00:00"/>
    <x v="1"/>
    <s v="ΔΙΕΥΘΥΝΣΗ Π.Ε. ΧΑΝΙΩΝ"/>
    <n v="32.966666666666669"/>
    <s v="31 - 40"/>
  </r>
  <r>
    <n v="99910913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6-24T00:00:00"/>
    <x v="0"/>
    <s v="ΔΙΕΥΘΥΝΣΗ Δ.Ε. Β΄ ΑΘΗΝΑΣ"/>
    <n v="32.972222222222221"/>
    <s v="31 - 40"/>
  </r>
  <r>
    <n v="99910914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6-20T00:00:00"/>
    <x v="1"/>
    <s v="ΔΙΕΥΘΥΝΣΗ Π.Ε. Α΄ ΑΘΗΝΑΣ"/>
    <n v="32.983333333333334"/>
    <s v="31 - 40"/>
  </r>
  <r>
    <n v="99910915"/>
    <s v="Θ"/>
    <x v="15"/>
    <x v="1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6-11T00:00:00"/>
    <x v="0"/>
    <s v="ΔΙΕΥΘΥΝΣΗ Δ.Ε. ΠΕΙΡΑΙΑ"/>
    <n v="33.008333333333333"/>
    <s v="31 - 40"/>
  </r>
  <r>
    <n v="99910916"/>
    <s v="Θ"/>
    <x v="12"/>
    <x v="12"/>
    <m/>
    <m/>
    <s v="Γ΄"/>
    <n v="1"/>
    <s v="ΨΔΧΟ4653ΠΣ-ΦΟΡ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8"/>
    <s v="ΟΧΙ"/>
    <s v="ΟΧΙ"/>
    <s v="ΟΧΙ"/>
    <s v="ΟΧΙ"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6-06-11T00:00:00"/>
    <x v="1"/>
    <s v="ΔΙΕΥΘΥΝΣΗ Π.Ε. ΑΙΤΩΛΟΑΚΑΡΝΑΝΙΑΣ"/>
    <n v="33.008333333333333"/>
    <s v="31 - 40"/>
  </r>
  <r>
    <n v="99910917"/>
    <s v="Θ"/>
    <x v="7"/>
    <x v="7"/>
    <m/>
    <m/>
    <s v="Γ΄"/>
    <n v="1"/>
    <s v="3956β/14-9-2018"/>
    <d v="2018-09-14T00:00:00"/>
    <s v="ΑΡΓΟΛΙΔΑΣ (Δ.Ε.) 2018"/>
    <s v="ΔΙΕΥΘΥΝΣΗ Δ.Ε. ΑΡΓΟΛΙΔΑΣ"/>
    <s v="ΠΕΡΙΦΕΡΕΙΑΚΗ Δ/ΝΣΗ Α/ΘΜΙΑΣ ΚΑΙ Β/ΘΜΙΑΣ ΕΚΠ/ΣΗΣ ΠΕΛΟΠΟΝΝΗΣΟΥ"/>
    <n v="5"/>
    <s v="ΟΧΙ"/>
    <m/>
    <m/>
    <m/>
    <s v="ΟΧΙ"/>
    <m/>
    <d v="2018-09-14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6-06-05T00:00:00"/>
    <x v="0"/>
    <s v="ΔΙΕΥΘΥΝΣΗ Δ.Ε. ΑΡΓΟΛΙΔΑΣ"/>
    <n v="33.024999999999999"/>
    <s v="31 - 40"/>
  </r>
  <r>
    <n v="99910918"/>
    <s v="Θ"/>
    <x v="12"/>
    <x v="12"/>
    <m/>
    <m/>
    <s v="Α΄"/>
    <n v="3"/>
    <s v="Φ.Ι.Α.5/21223/6-10-2016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d v="2018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6-05-31T00:00:00"/>
    <x v="1"/>
    <s v="ΔΙΕΥΘΥΝΣΗ Π.Ε. ΑΝΑΤΟΛΙΚΗΣ ΑΤΤΙΚΗΣ"/>
    <n v="33.038888888888891"/>
    <s v="31 - 40"/>
  </r>
  <r>
    <n v="99910919"/>
    <s v="Θ"/>
    <x v="10"/>
    <x v="10"/>
    <m/>
    <m/>
    <s v="Γ΄"/>
    <n v="1"/>
    <s v="ΧΧΧ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5-31T00:00:00"/>
    <x v="1"/>
    <s v="ΔΙΕΥΘΥΝΣΗ Π.Ε. ΑΝΑΤΟΛΙΚΗΣ ΑΤΤΙΚΗΣ"/>
    <n v="33.038888888888891"/>
    <s v="31 - 40"/>
  </r>
  <r>
    <n v="99910920"/>
    <s v="Θ"/>
    <x v="8"/>
    <x v="8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6-05-31T00:00:00"/>
    <x v="1"/>
    <s v="ΔΙΕΥΘΥΝΣΗ Π.Ε. ΔΩΔΕΚΑΝΗΣΟΥ"/>
    <n v="33.038888888888891"/>
    <s v="31 - 40"/>
  </r>
  <r>
    <n v="99910921"/>
    <s v="Θ"/>
    <x v="6"/>
    <x v="6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2"/>
    <s v="7054021"/>
    <s v="ΙΔΙΩΤΙΚΟ ΝΗΠΙΑΓΩΓΕΙΟ Ε.Μ.Ε.D.O.F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5-29T00:00:00"/>
    <x v="1"/>
    <s v="ΔΙΕΥΘΥΝΣΗ Π.Ε. Δ΄ ΑΘΗΝΑΣ"/>
    <n v="33.044444444444444"/>
    <s v="31 - 40"/>
  </r>
  <r>
    <n v="99910922"/>
    <s v="Θ"/>
    <x v="0"/>
    <x v="0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2"/>
    <s v="ΟΧΙ"/>
    <s v="ΟΧΙ"/>
    <s v="ΟΧΙ"/>
    <s v="ΟΧΙ"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6-05-29T00:00:00"/>
    <x v="0"/>
    <s v="ΔΙΕΥΘΥΝΣΗ Δ.Ε. ΑΡΓΟΛΙΔΑΣ"/>
    <n v="33.044444444444444"/>
    <s v="31 - 40"/>
  </r>
  <r>
    <n v="99910923"/>
    <s v="Θ"/>
    <x v="0"/>
    <x v="0"/>
    <m/>
    <m/>
    <s v="Γ΄"/>
    <n v="1"/>
    <s v="11818/24-12-2012"/>
    <d v="2018-09-01T00:00:00"/>
    <s v="ΙΩΑΝΝΙΝΩΝ (Π.Ε.) 2018"/>
    <s v="ΔΙΕΥΘΥΝΣΗ Π.Ε. ΙΩΑΝΝΙΝΩΝ"/>
    <s v="ΠΕΡΙΦΕΡΕΙΑΚΗ Δ/ΝΣΗ Α/ΘΜΙΑΣ ΚΑΙ Β/ΘΜΙΑΣ ΕΚΠ/ΣΗΣ ΗΠΕΙΡΟΥ"/>
    <n v="14"/>
    <s v="ΟΧΙ"/>
    <s v="ΟΧΙ"/>
    <s v="ΟΧΙ"/>
    <s v="ΟΧΙ"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6-05-28T00:00:00"/>
    <x v="1"/>
    <s v="ΔΙΕΥΘΥΝΣΗ Π.Ε. ΙΩΑΝΝΙΝΩΝ"/>
    <n v="33.047222222222224"/>
    <s v="31 - 40"/>
  </r>
  <r>
    <n v="99910924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s v="ΟΧΙ"/>
    <m/>
    <m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6-05-24T00:00:00"/>
    <x v="0"/>
    <s v="ΔΙΕΥΘΥΝΣΗ Δ.Ε. Β΄ ΑΘΗΝΑΣ"/>
    <n v="33.05833333333333"/>
    <s v="31 - 40"/>
  </r>
  <r>
    <n v="99910925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5-15T00:00:00"/>
    <x v="0"/>
    <s v="ΔΙΕΥΘΥΝΣΗ Δ.Ε. Β΄ ΑΘΗΝΑΣ"/>
    <n v="33.083333333333336"/>
    <s v="31 - 40"/>
  </r>
  <r>
    <n v="99910926"/>
    <s v="Α"/>
    <x v="8"/>
    <x v="8"/>
    <m/>
    <m/>
    <s v="Γ΄"/>
    <n v="1"/>
    <s v="Φ.17/16539/6/24-10-2018"/>
    <d v="2018-09-19T00:00:00"/>
    <s v="ΑΧΑΪΑΣ (Δ.Ε.) 2018"/>
    <s v="ΔΙΕΥΘΥΝΣΗ Δ.Ε. ΑΧΑΪΑΣ"/>
    <s v="ΠΕΡΙΦΕΡΕΙΑΚΗ Δ/ΝΣΗ Α/ΘΜΙΑΣ ΚΑΙ Β/ΘΜΙΑΣ ΕΚΠ/ΣΗΣ ΔΥΤΙΚΗΣ ΕΛΛΑΔΑΣ"/>
    <n v="1"/>
    <s v="ΟΧΙ"/>
    <m/>
    <m/>
    <m/>
    <s v="ΟΧΙ"/>
    <m/>
    <d v="2018-09-19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6-05-12T00:00:00"/>
    <x v="0"/>
    <s v="ΔΙΕΥΘΥΝΣΗ Δ.Ε. ΑΧΑΪΑΣ"/>
    <n v="33.091666666666669"/>
    <s v="31 - 40"/>
  </r>
  <r>
    <n v="99910927"/>
    <s v="Θ"/>
    <x v="2"/>
    <x v="2"/>
    <m/>
    <m/>
    <s v="Γ΄"/>
    <n v="1"/>
    <n v="12686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39"/>
    <s v="ΣΥΣΤΕΓΑΖΟΜΕΝΟ ΝΗΠΙΑΓΩΓΕΙΟ ΜΠΟΥΡΛΗ ΕΛΙΣΣΑΒΕΤ ΤΟΣΟΔΟΥΛ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5-10T00:00:00"/>
    <x v="1"/>
    <s v="ΔΙΕΥΘΥΝΣΗ Π.Ε. Δ΄ ΑΘΗΝΑΣ"/>
    <n v="33.097222222222221"/>
    <s v="31 - 40"/>
  </r>
  <r>
    <n v="99910928"/>
    <s v="Θ"/>
    <x v="2"/>
    <x v="2"/>
    <m/>
    <m/>
    <s v="Γ΄"/>
    <n v="1"/>
    <s v="367/12-01-2016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91"/>
    <s v="ΠΑΙΔΙΚΗ ΜΕΛΩΔ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6-04-25T00:00:00"/>
    <x v="1"/>
    <s v="ΔΙΕΥΘΥΝΣΗ Π.Ε. ΑΝΑΤ. ΘΕΣ/ΝΙΚΗΣ"/>
    <n v="33.138888888888886"/>
    <s v="31 - 40"/>
  </r>
  <r>
    <n v="99910929"/>
    <s v="Θ"/>
    <x v="2"/>
    <x v="2"/>
    <m/>
    <m/>
    <s v="Γ΄"/>
    <n v="1"/>
    <n v="13580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71"/>
    <s v="ΙΔΙΩΤΙΚΟ ΝΗΠΙΑΓΩΓΕΙΟ - ΔΙΑΒΟΛΗ ΜΑΡΙΑ - ΗΛΙΑ ΚΑΙ ΣΙΑ ΟΕ - ΛΙΛΟΣΠΙΤ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4-22T00:00:00"/>
    <x v="1"/>
    <s v="ΔΙΕΥΘΥΝΣΗ Π.Ε. Δ΄ ΑΘΗΝΑΣ"/>
    <n v="33.147222222222226"/>
    <s v="31 - 40"/>
  </r>
  <r>
    <n v="99910930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41033"/>
    <s v="ΙΔΙΩΤΙΚΟ ΝΗΠΙΑΓΩΓΕΙΟ ΚΟΡΥΔΑΛΛΟΣ - ΠΑΛΑΤΑΚΙ ΜΟΝΟΠΡΟΣΩΠΗ 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4-21T00:00:00"/>
    <x v="1"/>
    <s v="ΔΙΕΥΘΥΝΣΗ Π.Ε. ΠΕΙΡΑΙΑ"/>
    <n v="33.15"/>
    <s v="31 - 40"/>
  </r>
  <r>
    <n v="99910931"/>
    <s v="Θ"/>
    <x v="2"/>
    <x v="2"/>
    <m/>
    <m/>
    <s v="Γ΄"/>
    <n v="3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03"/>
    <s v="ΣΥΣΤΕΓΑΖΟΜΕΝΟ ΝΗΠΙΑΓΩΓΕΙΟ - ΕΚΠΑΙΔΕΥΤΗΡΙΑ ΠΑΠΑΖΟΓΛΟΥ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6-04-20T00:00:00"/>
    <x v="1"/>
    <s v="ΔΙΕΥΘΥΝΣΗ Π.Ε. ΜΑΓΝΗΣΙΑΣ"/>
    <n v="33.152777777777779"/>
    <s v="31 - 40"/>
  </r>
  <r>
    <n v="99910932"/>
    <s v="Θ"/>
    <x v="10"/>
    <x v="1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4-19T00:00:00"/>
    <x v="0"/>
    <s v="ΔΙΕΥΘΥΝΣΗ Δ.Ε. Β΄ ΑΘΗΝΑΣ"/>
    <n v="33.155555555555559"/>
    <s v="31 - 40"/>
  </r>
  <r>
    <n v="99910933"/>
    <s v="Θ"/>
    <x v="5"/>
    <x v="5"/>
    <m/>
    <m/>
    <s v="Γ΄"/>
    <n v="1"/>
    <s v="10062/1/6-11-2017"/>
    <d v="2017-10-30T00:00:00"/>
    <s v="ΞΑΝΘΗΣ (Δ.Ε.) 2018"/>
    <s v="ΔΙΕΥΘΥΝΣΗ Δ.Ε. ΞΑΝΘΗΣ"/>
    <s v="ΠΕΡΙΦΕΡΕΙΑΚΗ Δ/ΝΣΗ Α/ΘΜΙΑΣ ΚΑΙ Β/ΘΜΙΑΣ ΕΚΠ/ΣΗΣ ΑΝ. ΜΑΚΕΔΟΝΙΑΣ ΚΑΙ ΘΡΑΚΗΣ"/>
    <n v="21"/>
    <s v="ΟΧΙ"/>
    <s v="ΟΧΙ"/>
    <s v="ΟΧΙ"/>
    <s v="ΟΧΙ"/>
    <s v="ΟΧΙ"/>
    <m/>
    <d v="2017-10-30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6-04-18T00:00:00"/>
    <x v="0"/>
    <s v="ΔΙΕΥΘΥΝΣΗ Δ.Ε. ΞΑΝΘΗΣ"/>
    <n v="33.158333333333331"/>
    <s v="31 - 40"/>
  </r>
  <r>
    <n v="99910934"/>
    <s v="Θ"/>
    <x v="0"/>
    <x v="0"/>
    <m/>
    <m/>
    <s v="Γ΄"/>
    <n v="1"/>
    <s v="Φ.Ι.Α.6/30223/5-12-2017"/>
    <d v="2017-09-01T00:00:00"/>
    <s v="Α΄ ΑΝΑΤ. ΑΤΤΙΚΗΣ (Δ.Ε.) 2018"/>
    <s v="ΔΙΕΥΘΥΝΣΗ Δ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7-09-01T00:00:00"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4-15T00:00:00"/>
    <x v="0"/>
    <s v="ΔΙΕΥΘΥΝΣΗ Δ.Ε. ΑΝΑΤΟΛΙΚΗΣ ΑΤΤΙΚΗΣ"/>
    <n v="33.166666666666664"/>
    <s v="31 - 40"/>
  </r>
  <r>
    <n v="99910935"/>
    <s v="Θ"/>
    <x v="2"/>
    <x v="2"/>
    <m/>
    <m/>
    <s v="Γ΄"/>
    <n v="1"/>
    <n v="10237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81"/>
    <s v="ΙΔΙΩΤΙΚΟ ΣΥΣΤΕΓΑΖΟΜΕΝΟ ΝΗΠΙΑΓΩΓΕΙΟ - ΨΑΡΟΜΜΑΤΗ ΕΥΑΓΓΕΛΙΑ - ΕΛΠΙΔ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4-14T00:00:00"/>
    <x v="1"/>
    <s v="ΔΙΕΥΘΥΝΣΗ Π.Ε. Δ΄ ΑΘΗΝΑΣ"/>
    <n v="33.169444444444444"/>
    <s v="31 - 40"/>
  </r>
  <r>
    <n v="99910936"/>
    <s v="Θ"/>
    <x v="2"/>
    <x v="2"/>
    <m/>
    <m/>
    <s v="Γ΄"/>
    <n v="1"/>
    <n v="1214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01"/>
    <s v="ΣΥΣΤΕΓΑΖΟΜΕΝΟ ΝΗΠΙΑΓΩΓΕΙΟ - UN DEUX TROIS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4-07T00:00:00"/>
    <x v="1"/>
    <s v="ΔΙΕΥΘΥΝΣΗ Π.Ε. Δ΄ ΑΘΗΝΑΣ"/>
    <n v="33.18888888888889"/>
    <s v="31 - 40"/>
  </r>
  <r>
    <n v="99910937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4-01T00:00:00"/>
    <x v="0"/>
    <s v="ΔΙΕΥΘΥΝΣΗ Δ.Ε. ΠΕΙΡΑΙΑ"/>
    <n v="33.205555555555556"/>
    <s v="31 - 40"/>
  </r>
  <r>
    <n v="99910938"/>
    <s v="Α"/>
    <x v="8"/>
    <x v="8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3-28T00:00:00"/>
    <x v="1"/>
    <s v="ΔΙΕΥΘΥΝΣΗ Π.Ε. ΠΕΙΡΑΙΑ"/>
    <n v="33.216666666666669"/>
    <s v="31 - 40"/>
  </r>
  <r>
    <n v="99910939"/>
    <s v="Θ"/>
    <x v="24"/>
    <x v="24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3-21T00:00:00"/>
    <x v="0"/>
    <s v="ΔΙΕΥΘΥΝΣΗ Δ.Ε. Δ΄ ΑΘΗΝΑΣ"/>
    <n v="33.236111111111114"/>
    <s v="31 - 40"/>
  </r>
  <r>
    <n v="99910940"/>
    <s v="Θ"/>
    <x v="2"/>
    <x v="2"/>
    <m/>
    <m/>
    <s v="Γ΄"/>
    <n v="1"/>
    <s v="ΑΠ1896389"/>
    <d v="2018-09-11T00:00:00"/>
    <s v="ΗΛΕΙΑΣ (Π.Ε.) 2018"/>
    <s v="ΔΙΕΥΘΥΝΣΗ Π.Ε. ΗΛΕΙΑΣ"/>
    <s v="ΠΕΡΙΦΕΡΕΙΑΚΗ Δ/ΝΣΗ Α/ΘΜΙΑΣ ΚΑΙ Β/ΘΜΙΑΣ ΕΚΠ/ΣΗΣ ΔΥΤΙΚΗΣ ΕΛΛΑΔΑΣ"/>
    <n v="25"/>
    <s v="ΟΧΙ"/>
    <m/>
    <m/>
    <m/>
    <s v="ΟΧΙ"/>
    <m/>
    <d v="2018-09-11T00:00:00"/>
    <s v="Ιδιωτικά Σχολεία"/>
    <x v="2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x v="4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6-03-16T00:00:00"/>
    <x v="1"/>
    <s v="ΔΙΕΥΘΥΝΣΗ Π.Ε. ΗΛΕΙΑΣ"/>
    <n v="33.25"/>
    <s v="31 - 40"/>
  </r>
  <r>
    <n v="99910941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m/>
    <m/>
    <x v="5"/>
    <s v=""/>
    <m/>
    <m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6-03-16T00:00:00"/>
    <x v="0"/>
    <s v="ΔΙΕΥΘΥΝΣΗ Δ.Ε. ΑΝΑΤ. ΘΕΣ/ΝΙΚΗΣ"/>
    <n v="33.25"/>
    <s v="31 - 40"/>
  </r>
  <r>
    <n v="99910942"/>
    <s v="Θ"/>
    <x v="14"/>
    <x v="14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6-03-15T00:00:00"/>
    <x v="0"/>
    <s v="ΔΙΕΥΘΥΝΣΗ Δ.Ε. ΑΝΑΤ. ΘΕΣ/ΝΙΚΗΣ"/>
    <n v="33.25277777777778"/>
    <s v="31 - 40"/>
  </r>
  <r>
    <n v="99910943"/>
    <s v="Θ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5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6-03-13T00:00:00"/>
    <x v="0"/>
    <s v="ΔΙΕΥΘΥΝΣΗ Δ.Ε. ΚΥΚΛΑΔΩΝ"/>
    <n v="33.258333333333333"/>
    <s v="31 - 40"/>
  </r>
  <r>
    <n v="99910944"/>
    <s v="Θ"/>
    <x v="8"/>
    <x v="8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14"/>
    <s v="ΟΧΙ"/>
    <s v="ΟΧΙ"/>
    <s v="ΟΧΙ"/>
    <s v="ΟΧΙ"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6-03-10T00:00:00"/>
    <x v="1"/>
    <s v="ΔΙΕΥΘΥΝΣΗ Π.Ε. ΙΩΑΝΝΙΝΩΝ"/>
    <n v="33.266666666666666"/>
    <s v="31 - 40"/>
  </r>
  <r>
    <n v="99910945"/>
    <s v="Α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6-03-04T00:00:00"/>
    <x v="1"/>
    <s v="ΔΙΕΥΘΥΝΣΗ Π.Ε. ΚΟΡΙΝΘΙΑΣ"/>
    <n v="33.283333333333331"/>
    <s v="31 - 40"/>
  </r>
  <r>
    <n v="99910946"/>
    <s v="Θ"/>
    <x v="15"/>
    <x v="15"/>
    <m/>
    <m/>
    <s v="Γ΄"/>
    <n v="1"/>
    <s v="19722/24-10-2018"/>
    <d v="2018-09-12T00:00:00"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d v="2018-09-12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86-03-03T00:00:00"/>
    <x v="0"/>
    <s v="ΔΙΕΥΘΥΝΣΗ Δ.Ε. ΛΑΡΙΣΑΣ"/>
    <n v="33.286111111111111"/>
    <s v="31 - 40"/>
  </r>
  <r>
    <n v="99910947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2-09T00:00:00"/>
    <x v="0"/>
    <s v="ΔΙΕΥΘΥΝΣΗ Δ.Ε. Β΄ ΑΘΗΝΑΣ"/>
    <n v="33.347222222222221"/>
    <s v="31 - 40"/>
  </r>
  <r>
    <n v="99910948"/>
    <s v="Θ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21093"/>
    <s v="ΕΛΕΝΑ ΣΚΟΤΤ &amp; ΣΙΑ Ο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24T00:00:00"/>
    <x v="1"/>
    <s v="ΔΙΕΥΘΥΝΣΗ Π.Ε. ΑΝΑΤΟΛΙΚΗΣ ΑΤΤΙΚΗΣ"/>
    <n v="33.391666666666666"/>
    <s v="31 - 40"/>
  </r>
  <r>
    <n v="99910949"/>
    <s v="Θ"/>
    <x v="14"/>
    <x v="1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1-21T00:00:00"/>
    <x v="0"/>
    <s v="ΔΙΕΥΘΥΝΣΗ Δ.Ε. Β΄ ΑΘΗΝΑΣ"/>
    <n v="33.4"/>
    <s v="31 - 40"/>
  </r>
  <r>
    <n v="99910950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m/>
    <s v="ΟΧΙ"/>
    <m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21T00:00:00"/>
    <x v="1"/>
    <s v="ΔΙΕΥΘΥΝΣΗ Π.Ε. Β΄ ΑΘΗΝΑΣ"/>
    <n v="33.4"/>
    <s v="31 - 40"/>
  </r>
  <r>
    <n v="99910951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41023"/>
    <s v="ΙΔΙΩΤΙΚΟ ΝΗΠΙΑΓΩΓΕΙ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15T00:00:00"/>
    <x v="1"/>
    <s v="ΔΙΕΥΘΥΝΣΗ Π.Ε. ΠΕΙΡΑΙΑ"/>
    <n v="33.416666666666664"/>
    <s v="31 - 40"/>
  </r>
  <r>
    <n v="99910952"/>
    <s v="Θ"/>
    <x v="2"/>
    <x v="2"/>
    <m/>
    <m/>
    <s v="Γ΄"/>
    <n v="1"/>
    <n v="1779435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189"/>
    <s v="ΙΔΙΩΤΙΚΟ ΝΗΠΙΑΓΩΓΕΙΟ - ΙΕΡΟΥ ΝΑΟΥ ΜΕΤΑΜΟΡΦΩΣΗΣ ΣΩΤΗΡΟΣ ΤΗΣ ΙΕΡΑΣ ΑΡΧΙΕΠΙΣΚΟΠΗ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14T00:00:00"/>
    <x v="1"/>
    <s v="ΔΙΕΥΘΥΝΣΗ Π.Ε. Β΄ ΑΘΗΝΑΣ"/>
    <n v="33.419444444444444"/>
    <s v="31 - 40"/>
  </r>
  <r>
    <n v="99910953"/>
    <s v="Θ"/>
    <x v="2"/>
    <x v="2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07"/>
    <s v="ΙΔΙΩΤΙΚΟ ΝΗΠΙΑΓΩΓΕΙΟ - ΙΟΡΔΑΝΑΚΕΙΟ ΣΥΓΧΡΟΝΑ ΕΚΠΑΙΔΕΥΤΗΡΙΑ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08T00:00:00"/>
    <x v="1"/>
    <s v="ΔΙΕΥΘΥΝΣΗ Π.Ε. Δ΄ ΑΘΗΝΑΣ"/>
    <n v="33.43611111111111"/>
    <s v="31 - 40"/>
  </r>
  <r>
    <n v="99910954"/>
    <s v="Α"/>
    <x v="23"/>
    <x v="23"/>
    <m/>
    <m/>
    <s v="Γ΄"/>
    <n v="1"/>
    <s v="6ΝΛΖ9-ΙΓ7"/>
    <d v="2018-09-01T00:00:00"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1-07T00:00:00"/>
    <x v="0"/>
    <s v="ΔΙΕΥΘΥΝΣΗ Δ.Ε. Β΄ ΑΘΗΝΑΣ"/>
    <n v="33.43888888888889"/>
    <s v="31 - 40"/>
  </r>
  <r>
    <n v="99910955"/>
    <s v="Θ"/>
    <x v="5"/>
    <x v="5"/>
    <m/>
    <m/>
    <s v="Γ΄"/>
    <n v="1"/>
    <s v="7ΔΤΙ4653ΠΣ-ΙΧΤ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m/>
    <m/>
    <s v="ΟΧΙ"/>
    <m/>
    <d v="2018-09-01T00:00:00"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6-01-01T00:00:00"/>
    <x v="0"/>
    <s v="ΔΙΕΥΘΥΝΣΗ Δ.Ε. Β΄ ΑΘΗΝΑΣ"/>
    <n v="33.455555555555556"/>
    <s v="31 - 40"/>
  </r>
  <r>
    <n v="99910956"/>
    <s v="Θ"/>
    <x v="1"/>
    <x v="1"/>
    <m/>
    <m/>
    <s v="Α΄"/>
    <n v="1"/>
    <m/>
    <m/>
    <s v="Γ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01T00:00:00"/>
    <x v="1"/>
    <s v="ΔΙΕΥΘΥΝΣΗ Π.Ε. Α΄ ΑΘΗΝΑΣ"/>
    <n v="33.455555555555556"/>
    <s v="31 - 40"/>
  </r>
  <r>
    <n v="99910957"/>
    <s v="Θ"/>
    <x v="1"/>
    <x v="1"/>
    <m/>
    <m/>
    <s v="Α΄"/>
    <n v="1"/>
    <m/>
    <m/>
    <s v="Δ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01T00:00:00"/>
    <x v="1"/>
    <s v="ΔΙΕΥΘΥΝΣΗ Π.Ε. Α΄ ΑΘΗΝΑΣ"/>
    <n v="33.455555555555556"/>
    <s v="31 - 40"/>
  </r>
  <r>
    <n v="99910958"/>
    <s v="Θ"/>
    <x v="1"/>
    <x v="1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01T00:00:00"/>
    <x v="1"/>
    <s v="ΔΙΕΥΘΥΝΣΗ Π.Ε. Β΄ ΑΘΗΝΑΣ"/>
    <n v="33.455555555555556"/>
    <s v="31 - 40"/>
  </r>
  <r>
    <n v="99910959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63"/>
    <s v="1ο ΙΔΙΩΤΙΚΟ ΝΗΠΙΑΓΩΓΕΙΟ ΚΗΦΙΣΙΑ - ΜΠΕΝΑΚΕΙΟ ΠΑΙΔΙΚΟ ΙΔΡΥΜΑ ΚΗΦΙΣ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6-01-01T00:00:00"/>
    <x v="1"/>
    <s v="ΔΙΕΥΘΥΝΣΗ Π.Ε. Β΄ ΑΘΗΝΑΣ"/>
    <n v="33.455555555555556"/>
    <s v="31 - 40"/>
  </r>
  <r>
    <n v="99910960"/>
    <s v="Θ"/>
    <x v="1"/>
    <x v="1"/>
    <m/>
    <m/>
    <s v="Α΄"/>
    <n v="1"/>
    <s v="7ΡΒ29-ΘΞΓ"/>
    <d v="2014-11-18T00:00:00"/>
    <s v="Γ΄ ΑΘΗΝΑΣ (Π.Ε.) 2018"/>
    <s v="ΔΙΕΥΘΥΝΣΗ Π.Ε. Γ΄ ΑΘΗΝΑΣ"/>
    <s v="ΠΕΡΙΦΕΡΕΙΑΚΗ Δ/ΝΣΗ Α/ΘΜΙΑΣ ΚΑΙ Β/ΘΜΙΑΣ ΕΚΠ/ΣΗΣ ΑΤΤΙΚΗΣ"/>
    <n v="24"/>
    <s v="ΟΧΙ"/>
    <s v="ΟΧΙ"/>
    <s v="ΟΧΙ"/>
    <s v="ΟΧΙ"/>
    <s v="ΟΧΙ"/>
    <m/>
    <d v="2014-11-18T00:00:00"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6-01-01T00:00:00"/>
    <x v="1"/>
    <s v="ΔΙΕΥΘΥΝΣΗ Π.Ε. Γ΄ ΑΘΗΝΑΣ"/>
    <n v="33.455555555555556"/>
    <s v="31 - 40"/>
  </r>
  <r>
    <n v="99910961"/>
    <s v="Θ"/>
    <x v="2"/>
    <x v="2"/>
    <m/>
    <m/>
    <s v="Γ΄"/>
    <n v="1"/>
    <d v="2013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6-01-01T00:00:00"/>
    <x v="1"/>
    <s v="ΔΙΕΥΘΥΝΣΗ Π.Ε. ΑΝΑΤ. ΘΕΣ/ΝΙΚΗΣ"/>
    <n v="33.455555555555556"/>
    <s v="31 - 40"/>
  </r>
  <r>
    <n v="99910962"/>
    <s v="Θ"/>
    <x v="2"/>
    <x v="2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6-01-01T00:00:00"/>
    <x v="1"/>
    <s v="ΔΙΕΥΘΥΝΣΗ Π.Ε. ΚΥΚΛΑΔΩΝ"/>
    <n v="33.455555555555556"/>
    <s v="31 - 40"/>
  </r>
  <r>
    <n v="99910963"/>
    <s v="Θ"/>
    <x v="10"/>
    <x v="10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6"/>
    <s v="ΟΧΙ"/>
    <s v="ΟΧΙ"/>
    <s v="ΟΧΙ"/>
    <s v="ΟΧΙ"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6-01-01T00:00:00"/>
    <x v="0"/>
    <s v="ΔΙΕΥΘΥΝΣΗ Δ.Ε. ΑΡΓΟΛΙΔΑΣ"/>
    <n v="33.455555555555556"/>
    <s v="31 - 40"/>
  </r>
  <r>
    <n v="99910964"/>
    <s v="Θ"/>
    <x v="1"/>
    <x v="1"/>
    <m/>
    <m/>
    <s v="Γ΄"/>
    <n v="1"/>
    <s v="-"/>
    <d v="2018-09-01T00:00:00"/>
    <s v="Δ΄ ΚΥΚΛΑΔΩΝ (Π.Ε.) 2018"/>
    <s v="ΔΙΕΥΘΥΝΣΗ Π.Ε. ΚΥΚΛΑΔΩΝ"/>
    <s v="ΠΕΡΙΦΕΡΕΙΑΚΗ Δ/ΝΣΗ Α/ΘΜΙΑΣ ΚΑΙ Β/ΘΜΙΑΣ ΕΚΠ/ΣΗΣ ΝΟΤΙΟΥ ΑΙΓΑΙΟΥ"/>
    <n v="24"/>
    <s v="ΟΧΙ"/>
    <m/>
    <m/>
    <m/>
    <s v="ΟΧΙ"/>
    <m/>
    <d v="2018-09-01T00:00:00"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12-28T00:00:00"/>
    <x v="1"/>
    <s v="ΔΙΕΥΘΥΝΣΗ Π.Ε. ΚΥΚΛΑΔΩΝ"/>
    <n v="33.466666666666669"/>
    <s v="31 - 40"/>
  </r>
  <r>
    <n v="99910965"/>
    <s v="Θ"/>
    <x v="7"/>
    <x v="7"/>
    <m/>
    <m/>
    <s v="Γ΄"/>
    <n v="1"/>
    <n v="21384"/>
    <d v="2018-09-18T00:00:00"/>
    <s v="Α΄ ΠΕΙΡΑΙΑ (Δ.Ε.) 2018"/>
    <s v="ΔΙΕΥΘΥΝΣΗ Δ.Ε. ΠΕΙΡΑΙΑ"/>
    <s v="ΠΕΡΙΦΕΡΕΙΑΚΗ Δ/ΝΣΗ Α/ΘΜΙΑΣ ΚΑΙ Β/ΘΜΙΑΣ ΕΚΠ/ΣΗΣ ΑΤΤΙΚΗΣ"/>
    <n v="6"/>
    <s v="ΟΧΙ"/>
    <m/>
    <m/>
    <m/>
    <s v="ΟΧΙ"/>
    <m/>
    <d v="2018-09-18T00:00:00"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2-25T00:00:00"/>
    <x v="0"/>
    <s v="ΔΙΕΥΘΥΝΣΗ Δ.Ε. ΠΕΙΡΑΙΑ"/>
    <n v="33.475000000000001"/>
    <s v="31 - 40"/>
  </r>
  <r>
    <n v="99910966"/>
    <s v="Θ"/>
    <x v="27"/>
    <x v="21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11-02T00:00:00"/>
    <s v="Ιδιωτικά Σχολεία"/>
    <x v="1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12-19T00:00:00"/>
    <x v="1"/>
    <s v="ΔΙΕΥΘΥΝΣΗ Π.Ε. ΑΝΑΤ. ΘΕΣ/ΝΙΚΗΣ"/>
    <n v="33.491666666666667"/>
    <s v="31 - 40"/>
  </r>
  <r>
    <n v="99910967"/>
    <s v="Θ"/>
    <x v="1"/>
    <x v="1"/>
    <m/>
    <m/>
    <s v="Α΄"/>
    <n v="5"/>
    <s v="Φ.15.Α8/7260/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5-12-18T00:00:00"/>
    <x v="1"/>
    <s v="ΔΙΕΥΘΥΝΣΗ Π.Ε. ΑΝΑΤΟΛΙΚΗΣ ΑΤΤΙΚΗΣ"/>
    <n v="33.494444444444447"/>
    <s v="31 - 40"/>
  </r>
  <r>
    <n v="99910968"/>
    <s v="Θ"/>
    <x v="2"/>
    <x v="2"/>
    <m/>
    <m/>
    <s v="Γ΄"/>
    <n v="1"/>
    <s v="2447β/04-11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59"/>
    <s v="ΙΔΙΩΤΙΚΟ ΝΗΠΙΑΓΩΓΕΙΟ ΚΑΡΔΙΑ - ΣΥΝΝΕΦΟΥΛ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12-18T00:00:00"/>
    <x v="1"/>
    <s v="ΔΙΕΥΘΥΝΣΗ Π.Ε. ΑΝΑΤ. ΘΕΣ/ΝΙΚΗΣ"/>
    <n v="33.494444444444447"/>
    <s v="31 - 40"/>
  </r>
  <r>
    <n v="99910969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12-17T00:00:00"/>
    <x v="1"/>
    <s v="ΔΙΕΥΘΥΝΣΗ Π.Ε. ΜΕΣΣΗΝΙΑΣ"/>
    <n v="33.49722222222222"/>
    <s v="31 - 40"/>
  </r>
  <r>
    <n v="99910970"/>
    <s v="Θ"/>
    <x v="2"/>
    <x v="2"/>
    <m/>
    <m/>
    <s v="Γ΄"/>
    <n v="1"/>
    <s v="Φ.17.2/435/9649/14-11-2017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d v="2018-09-01T00:00:00"/>
    <s v="Ιδιωτικά Σχολεία"/>
    <x v="2"/>
    <s v="7052187"/>
    <s v="ΙΔΙΩΤΙΚΟ ΣΥΣΤΕΓΑΖΟΜΕΝΟ ΝΗΠΙΑΓΩΓΕΙΟ - ΖΗΚΟΓΙΑΝΝΗΣ ΓΕΩΡΓΙΟ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2-15T00:00:00"/>
    <x v="1"/>
    <s v="ΔΙΕΥΘΥΝΣΗ Π.Ε. Β΄ ΑΘΗΝΑΣ"/>
    <n v="33.50277777777778"/>
    <s v="31 - 40"/>
  </r>
  <r>
    <n v="99910971"/>
    <s v="Α"/>
    <x v="24"/>
    <x v="2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12-13T00:00:00"/>
    <x v="0"/>
    <s v="ΔΙΕΥΘΥΝΣΗ Δ.Ε. ΑΝΑΤΟΛΙΚΗΣ ΑΤΤΙΚΗΣ"/>
    <n v="33.508333333333333"/>
    <s v="31 - 40"/>
  </r>
  <r>
    <n v="99910972"/>
    <s v="Θ"/>
    <x v="2"/>
    <x v="2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2"/>
    <s v="7101001"/>
    <s v="ΙΔΙΩΤΙΚΟ ΝΗΠΙΑΓΩΓΕΙ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12-11T00:00:00"/>
    <x v="1"/>
    <s v="ΔΙΕΥΘΥΝΣΗ Π.Ε. ΔΩΔΕΚΑΝΗΣΟΥ"/>
    <n v="33.513888888888886"/>
    <s v="31 - 40"/>
  </r>
  <r>
    <n v="99910973"/>
    <s v="Α"/>
    <x v="3"/>
    <x v="3"/>
    <m/>
    <m/>
    <s v="Γ΄"/>
    <n v="1"/>
    <n v="9265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12-09T00:00:00"/>
    <x v="0"/>
    <s v="ΔΙΕΥΘΥΝΣΗ Δ.Ε. ΠΙΕΡΙΑΣ"/>
    <n v="33.519444444444446"/>
    <s v="31 - 40"/>
  </r>
  <r>
    <n v="99910974"/>
    <s v="Θ"/>
    <x v="14"/>
    <x v="14"/>
    <m/>
    <m/>
    <s v="Γ΄"/>
    <n v="1"/>
    <s v="4154/29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6"/>
    <s v="ΟΧΙ"/>
    <s v="ΟΧΙ"/>
    <s v="ΟΧΙ"/>
    <m/>
    <s v="ΟΧΙ"/>
    <m/>
    <d v="2018-09-01T00:00:00"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5-12-02T00:00:00"/>
    <x v="0"/>
    <s v="ΔΙΕΥΘΥΝΣΗ Δ.Ε. ΑΡΓΟΛΙΔΑΣ"/>
    <n v="33.538888888888891"/>
    <s v="31 - 40"/>
  </r>
  <r>
    <n v="99910975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361003"/>
    <s v="ΙΔΙΩΤΙΚΟ ΝΗΠΙΑΓΩΓΕΙ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12-02T00:00:00"/>
    <x v="1"/>
    <s v="ΔΙΕΥΘΥΝΣΗ Π.Ε. ΜΕΣΣΗΝΙΑΣ"/>
    <n v="33.538888888888891"/>
    <s v="31 - 40"/>
  </r>
  <r>
    <n v="99910976"/>
    <s v="Θ"/>
    <x v="14"/>
    <x v="14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5-11-30T00:00:00"/>
    <x v="1"/>
    <s v="ΔΙΕΥΘΥΝΣΗ Π.Ε. ΑΝΑΤ. ΘΕΣ/ΝΙΚΗΣ"/>
    <n v="33.544444444444444"/>
    <s v="31 - 40"/>
  </r>
  <r>
    <n v="99910977"/>
    <s v="Θ"/>
    <x v="2"/>
    <x v="2"/>
    <m/>
    <m/>
    <s v="Γ΄"/>
    <n v="1"/>
    <n v="714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69"/>
    <s v="1ο ΝΗΠΙΑΓΩΓΕΙΟ ΠΑΣΧΑΛΗ ΧΡΙΣΤΙΝΑ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1-28T00:00:00"/>
    <x v="1"/>
    <s v="ΔΙΕΥΘΥΝΣΗ Π.Ε. Δ΄ ΑΘΗΝΑΣ"/>
    <n v="33.549999999999997"/>
    <s v="31 - 40"/>
  </r>
  <r>
    <n v="99910978"/>
    <s v="Θ"/>
    <x v="0"/>
    <x v="0"/>
    <m/>
    <m/>
    <s v="Γ΄"/>
    <n v="1"/>
    <s v="9146/1-10-2018"/>
    <d v="2018-09-21T00:00:00"/>
    <s v="ΙΩΑΝΝΙΝΩΝ (Δ.Ε.) 2018"/>
    <s v="ΔΙΕΥΘΥΝΣΗ Δ.Ε. ΙΩΑΝΝΙΝΩΝ"/>
    <s v="ΠΕΡΙΦΕΡΕΙΑΚΗ Δ/ΝΣΗ Α/ΘΜΙΑΣ ΚΑΙ Β/ΘΜΙΑΣ ΕΚΠ/ΣΗΣ ΗΠΕΙΡΟΥ"/>
    <n v="12"/>
    <s v="ΟΧΙ"/>
    <m/>
    <m/>
    <m/>
    <s v="ΟΧΙ"/>
    <m/>
    <d v="2018-09-21T00:00:00"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5-11-25T00:00:00"/>
    <x v="0"/>
    <s v="ΔΙΕΥΘΥΝΣΗ Δ.Ε. ΙΩΑΝΝΙΝΩΝ"/>
    <n v="33.55833333333333"/>
    <s v="31 - 40"/>
  </r>
  <r>
    <n v="99910979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1-22T00:00:00"/>
    <x v="0"/>
    <s v="ΔΙΕΥΘΥΝΣΗ Δ.Ε. ΠΕΙΡΑΙΑ"/>
    <n v="33.56666666666667"/>
    <s v="31 - 40"/>
  </r>
  <r>
    <n v="9991098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2183"/>
    <s v="ΣΥΣΤΕΓΑΖΟΜΕΝΟ ΙΔΙΩΤΙΚΟ ΝΗΠΙΑΓΩΓΕΙΟ - ΛΟΥΛΟΥΔΟΤΟΠ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11-16T00:00:00"/>
    <x v="1"/>
    <s v="ΔΙΕΥΘΥΝΣΗ Π.Ε. Β΄ ΑΘΗΝΑΣ"/>
    <n v="33.583333333333336"/>
    <s v="31 - 40"/>
  </r>
  <r>
    <n v="99910981"/>
    <s v="Θ"/>
    <x v="2"/>
    <x v="2"/>
    <m/>
    <m/>
    <s v="Γ΄"/>
    <n v="1"/>
    <s v="61/22-9-2014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m/>
    <m/>
    <m/>
    <s v="ΟΧΙ"/>
    <m/>
    <d v="2018-09-01T00:00:00"/>
    <s v="Ιδιωτικά Σχολεία"/>
    <x v="2"/>
    <s v="7061051"/>
    <s v="ΙΔΙΩΤΙΚΟ ΝΗΠΙΑΓΩΓΕΙΟ - ΜΑΓΙΚΟΣ ΑΥΛΟΣ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5-11-15T00:00:00"/>
    <x v="1"/>
    <s v="ΔΙΕΥΘΥΝΣΗ Π.Ε. ΑΧΑΪΑΣ"/>
    <n v="33.586111111111109"/>
    <s v="31 - 40"/>
  </r>
  <r>
    <n v="99910982"/>
    <s v="Θ"/>
    <x v="3"/>
    <x v="3"/>
    <m/>
    <m/>
    <s v="Γ΄"/>
    <n v="1"/>
    <n v="8138"/>
    <d v="2018-09-01T00:00:00"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m/>
    <s v="ΟΧΙ"/>
    <m/>
    <d v="2018-09-01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5-11-15T00:00:00"/>
    <x v="0"/>
    <s v="ΔΙΕΥΘΥΝΣΗ Δ.Ε. ΙΩΑΝΝΙΝΩΝ"/>
    <n v="33.586111111111109"/>
    <s v="31 - 40"/>
  </r>
  <r>
    <n v="99910983"/>
    <s v="Θ"/>
    <x v="6"/>
    <x v="6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0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11-11T00:00:00"/>
    <x v="0"/>
    <s v="ΔΙΕΥΘΥΝΣΗ Δ.Ε. ΚΥΚΛΑΔΩΝ"/>
    <n v="33.597222222222221"/>
    <s v="31 - 40"/>
  </r>
  <r>
    <n v="99910984"/>
    <s v="Α"/>
    <x v="11"/>
    <x v="11"/>
    <m/>
    <m/>
    <s v="Γ΄"/>
    <n v="1"/>
    <n v="20587"/>
    <d v="2018-10-15T00:00:00"/>
    <s v="Α΄ ΑΘΗΝΑΣ (Δ.Ε.) 2018"/>
    <s v="ΔΙΕΥΘΥΝΣΗ Δ.Ε. Α΄ ΑΘΗΝΑΣ"/>
    <s v="ΠΕΡΙΦΕΡΕΙΑΚΗ Δ/ΝΣΗ Α/ΘΜΙΑΣ ΚΑΙ Β/ΘΜΙΑΣ ΕΚΠ/ΣΗΣ ΑΤΤΙΚΗΣ"/>
    <n v="17"/>
    <s v="ΟΧΙ"/>
    <s v="ΟΧΙ"/>
    <s v="ΟΧΙ"/>
    <s v="ΟΧΙ"/>
    <s v="ΟΧΙ"/>
    <m/>
    <d v="2018-10-15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1-05T00:00:00"/>
    <x v="0"/>
    <s v="ΔΙΕΥΘΥΝΣΗ Δ.Ε. Α΄ ΑΘΗΝΑΣ"/>
    <n v="33.613888888888887"/>
    <s v="31 - 40"/>
  </r>
  <r>
    <n v="99910985"/>
    <s v="Α"/>
    <x v="19"/>
    <x v="19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7"/>
    <s v="ΟΧΙ"/>
    <s v="ΟΧΙ"/>
    <s v="ΟΧΙ"/>
    <s v="ΟΧΙ"/>
    <s v="ΟΧΙ"/>
    <m/>
    <d v="2018-09-01T00:00:00"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1-05T00:00:00"/>
    <x v="0"/>
    <s v="ΔΙΕΥΘΥΝΣΗ Δ.Ε. ΠΕΙΡΑΙΑ"/>
    <n v="33.613888888888887"/>
    <s v="31 - 40"/>
  </r>
  <r>
    <n v="99910986"/>
    <s v="Θ"/>
    <x v="2"/>
    <x v="2"/>
    <m/>
    <m/>
    <s v="Γ΄"/>
    <n v="1"/>
    <n v="10395"/>
    <d v="2018-09-01T00:00:00"/>
    <s v="ΒΟΙΩΤΙΑΣ (Π.Ε.) 2018"/>
    <s v="ΔΙΕΥΘΥΝΣΗ Π.Ε. ΒΟΙΩΤΙΑΣ"/>
    <s v="ΠΕΡΙΦΕΡΕΙΑΚΗ Δ/ΝΣΗ Α/ΘΜΙΑΣ ΚΑΙ Β/ΘΜΙΑΣ ΕΚΠ/ΣΗΣ ΣΤΕΡΕΑΣ ΕΛΛΑΔΑΣ"/>
    <n v="25"/>
    <s v="ΟΧΙ"/>
    <m/>
    <m/>
    <m/>
    <s v="ΟΧΙ"/>
    <m/>
    <d v="2018-09-01T00:00:00"/>
    <s v="Ιδιωτικά Σχολεία"/>
    <x v="2"/>
    <s v="7071001"/>
    <s v="ΒΛΑΧΟΥ ΓΕΩΡΓΙΑ &amp; ΣΙΑ Ο.Ε."/>
    <s v="ΒΟΙΩΤΙΑΣ (Π.Ε.) 2018"/>
    <x v="63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85-11-03T00:00:00"/>
    <x v="1"/>
    <s v="ΔΙΕΥΘΥΝΣΗ Π.Ε. ΒΟΙΩΤΙΑΣ"/>
    <n v="33.619444444444447"/>
    <s v="31 - 40"/>
  </r>
  <r>
    <n v="99910987"/>
    <s v="Α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11-02T00:00:00"/>
    <x v="1"/>
    <s v="ΔΙΕΥΘΥΝΣΗ Π.Ε. ΑΝΑΤ. ΘΕΣ/ΝΙΚΗΣ"/>
    <n v="33.62222222222222"/>
    <s v="31 - 40"/>
  </r>
  <r>
    <n v="99910988"/>
    <s v="Α"/>
    <x v="14"/>
    <x v="14"/>
    <m/>
    <m/>
    <s v="Γ΄"/>
    <n v="1"/>
    <s v="Φ.17/5801"/>
    <d v="2018-09-01T00:00:00"/>
    <s v="ΚΟΡΙΝΘΙΑΣ (Π.Ε.) 2018"/>
    <s v="ΔΙΕΥΘΥΝΣΗ Π.Ε. ΚΟΡΙΝΘΙΑΣ"/>
    <s v="ΠΕΡΙΦΕΡΕΙΑΚΗ Δ/ΝΣΗ Α/ΘΜΙΑΣ ΚΑΙ Β/ΘΜΙΑΣ ΕΚΠ/ΣΗΣ ΠΕΛΟΠΟΝΝΗΣΟΥ"/>
    <n v="17"/>
    <s v="ΟΧΙ"/>
    <s v="ΟΧΙ"/>
    <s v="ΟΧΙ"/>
    <m/>
    <s v="ΟΧΙ"/>
    <m/>
    <d v="2018-09-01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10-30T00:00:00"/>
    <x v="1"/>
    <s v="ΔΙΕΥΘΥΝΣΗ Π.Ε. ΚΟΡΙΝΘΙΑΣ"/>
    <n v="33.630555555555553"/>
    <s v="31 - 40"/>
  </r>
  <r>
    <n v="99910989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s v="ΟΧΙ"/>
    <s v="ΟΧΙ"/>
    <s v="ΟΧΙ"/>
    <m/>
    <s v="ΟΧΙ"/>
    <m/>
    <m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5-10-24T00:00:00"/>
    <x v="1"/>
    <s v="ΔΙΕΥΘΥΝΣΗ Π.Ε. ΕΥΒΟΙΑΣ"/>
    <n v="33.647222222222226"/>
    <s v="31 - 40"/>
  </r>
  <r>
    <n v="99910990"/>
    <s v="Θ"/>
    <x v="5"/>
    <x v="5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5-10-20T00:00:00"/>
    <x v="0"/>
    <s v="ΔΙΕΥΘΥΝΣΗ Δ.Ε. ΙΩΑΝΝΙΝΩΝ"/>
    <n v="33.658333333333331"/>
    <s v="31 - 40"/>
  </r>
  <r>
    <n v="99910991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0-17T00:00:00"/>
    <x v="0"/>
    <s v="ΔΙΕΥΘΥΝΣΗ Δ.Ε. ΠΕΙΡΑΙΑ"/>
    <n v="33.666666666666664"/>
    <s v="31 - 40"/>
  </r>
  <r>
    <n v="99910992"/>
    <s v="Θ"/>
    <x v="3"/>
    <x v="3"/>
    <m/>
    <m/>
    <s v="Γ΄"/>
    <n v="1"/>
    <n v="18262"/>
    <d v="2018-09-01T00:00:00"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10-04T00:00:00"/>
    <x v="0"/>
    <s v="ΔΙΕΥΘΥΝΣΗ Δ.Ε. Β΄ ΑΘΗΝΑΣ"/>
    <n v="33.702777777777776"/>
    <s v="31 - 40"/>
  </r>
  <r>
    <n v="99910993"/>
    <s v="Α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10-01T00:00:00"/>
    <x v="0"/>
    <s v="ΔΙΕΥΘΥΝΣΗ Δ.Ε. Γ΄ ΑΘΗΝΑΣ"/>
    <n v="33.711111111111109"/>
    <s v="31 - 40"/>
  </r>
  <r>
    <n v="99910994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9-30T00:00:00"/>
    <x v="1"/>
    <s v="ΔΙΕΥΘΥΝΣΗ Π.Ε. Β΄ ΑΘΗΝΑΣ"/>
    <n v="33.713888888888889"/>
    <s v="31 - 40"/>
  </r>
  <r>
    <n v="99910995"/>
    <s v="Θ"/>
    <x v="1"/>
    <x v="1"/>
    <m/>
    <m/>
    <s v="Γ΄"/>
    <n v="1"/>
    <s v="Φ17/10074/23-9-2015"/>
    <d v="2018-09-01T00:00:00"/>
    <s v="Α΄ ΕΥΒΟΙΑΣ (Π.Ε.) 2018"/>
    <s v="ΔΙΕΥΘΥΝΣΗ Π.Ε. ΕΥΒΟΙΑΣ"/>
    <s v="ΠΕΡΙΦΕΡΕΙΑΚΗ Δ/ΝΣΗ Α/ΘΜΙΑΣ ΚΑΙ Β/ΘΜΙΑΣ ΕΚΠ/ΣΗΣ ΣΤΕΡΕΑΣ ΕΛΛΑΔΑΣ"/>
    <n v="24"/>
    <s v="ΟΧΙ"/>
    <s v="ΟΧΙ"/>
    <s v="ΟΧΙ"/>
    <m/>
    <s v="ΟΧΙ"/>
    <m/>
    <d v="2018-09-01T00:00:00"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85-09-28T00:00:00"/>
    <x v="1"/>
    <s v="ΔΙΕΥΘΥΝΣΗ Π.Ε. ΕΥΒΟΙΑΣ"/>
    <n v="33.719444444444441"/>
    <s v="31 - 40"/>
  </r>
  <r>
    <n v="99910996"/>
    <s v="Α"/>
    <x v="5"/>
    <x v="5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4"/>
    <s v="ΟΧΙ"/>
    <m/>
    <s v="ΟΧΙ"/>
    <m/>
    <s v="ΟΧΙ"/>
    <m/>
    <d v="2018-09-12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9-25T00:00:00"/>
    <x v="0"/>
    <s v="ΔΙΕΥΘΥΝΣΗ Δ.Ε. Δ΄ ΑΘΗΝΑΣ"/>
    <n v="33.727777777777774"/>
    <s v="31 - 40"/>
  </r>
  <r>
    <n v="99910997"/>
    <s v="Θ"/>
    <x v="2"/>
    <x v="2"/>
    <m/>
    <m/>
    <s v="Γ΄"/>
    <n v="1"/>
    <m/>
    <m/>
    <s v="Α΄ ΛΕΣΒΟΥ (Π.Ε.) 2018"/>
    <s v="ΔΙΕΥΘΥΝΣΗ Π.Ε. ΛΕΣΒΟΥ"/>
    <s v="ΠΕΡΙΦΕΡΕΙΑΚΗ Δ/ΝΣΗ Α/ΘΜΙΑΣ ΚΑΙ Β/ΘΜΙΑΣ ΕΚΠ/ΣΗΣ ΒΟΡΕΙΟΥ ΑΙΓΑΙΟΥ"/>
    <n v="25"/>
    <s v="ΟΧΙ"/>
    <s v="ΟΧΙ"/>
    <s v="ΟΧΙ"/>
    <m/>
    <s v="ΟΧΙ"/>
    <m/>
    <m/>
    <s v="Ιδιωτικά Σχολεία"/>
    <x v="2"/>
    <s v="7331003"/>
    <s v="ΙΔΙΩΤΙΚΟ ΝΗΠ/ΓΕΙΟ Π. ΚΟΥΦΕΛΟΥ Ε.Ε."/>
    <s v="Α΄ ΛΕΣΒΟΥ (Π.Ε.) 2018"/>
    <x v="64"/>
    <s v="ΠΕΡΙΦΕΡΕΙΑΚΗ Δ/ΝΣΗ Α/ΘΜΙΑΣ ΚΑΙ Β/ΘΜΙΑΣ ΕΚΠ/ΣΗΣ ΒΟΡΕΙΟΥ ΑΙΓΑΙΟΥ"/>
    <s v="Ιδιωτικού Δικαίου Αορίστου Χρόνου (Ι.Δ.Α.Χ.)"/>
    <s v="Τοποθέτηση σε Ιδιωτική Εκπαίδευση"/>
    <d v="1985-09-24T00:00:00"/>
    <x v="1"/>
    <s v="ΔΙΕΥΘΥΝΣΗ Π.Ε. ΛΕΣΒΟΥ"/>
    <n v="33.730555555555554"/>
    <s v="31 - 40"/>
  </r>
  <r>
    <n v="99910998"/>
    <s v="Θ"/>
    <x v="2"/>
    <x v="2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7"/>
    <s v="ΙΔΙΩΤΙΚΟ ΣΥΣΤΕΓΑΖΟΜΕΝΟ ΝΗΠΙΑΓΩΓΕΙΟ - ΤΟΤΟΚΩΤΣΗ ΑΛΕΞΑΝΔΡ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09-24T00:00:00"/>
    <x v="1"/>
    <s v="ΔΙΕΥΘΥΝΣΗ Π.Ε. ΑΝΑΤ. ΘΕΣ/ΝΙΚΗΣ"/>
    <n v="33.730555555555554"/>
    <s v="31 - 40"/>
  </r>
  <r>
    <n v="99910999"/>
    <s v="Θ"/>
    <x v="1"/>
    <x v="1"/>
    <m/>
    <m/>
    <s v="Γ΄"/>
    <n v="1"/>
    <s v="185/21-01-08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9-10T00:00:00"/>
    <x v="1"/>
    <s v="ΔΙΕΥΘΥΝΣΗ Π.Ε. Β΄ ΑΘΗΝΑΣ"/>
    <n v="33.769444444444446"/>
    <s v="31 - 40"/>
  </r>
  <r>
    <n v="99911000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9-08T00:00:00"/>
    <x v="0"/>
    <s v="ΔΙΕΥΘΥΝΣΗ Δ.Ε. Β΄ ΑΘΗΝΑΣ"/>
    <n v="33.774999999999999"/>
    <s v="31 - 40"/>
  </r>
  <r>
    <n v="99911001"/>
    <s v="Θ"/>
    <x v="2"/>
    <x v="2"/>
    <m/>
    <m/>
    <s v="Α΄"/>
    <n v="3"/>
    <m/>
    <m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281005"/>
    <s v="ΙΔΙΩΤΙΚΟ ΝΗΠΙΑΓΩΓΕΙΟ ΙΣΘΜΟΣ ΚΟΡΙΝΘΟΥ - ΑΡΙΣΤΟΤΕΛΕΙΟ ΚΟΡΙΝΘΙΑΚΟ ΕΚΠΑΙΔΕΥΤΗΡΙΟ-ΝΗΠΙΑΓΩΓ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9-08T00:00:00"/>
    <x v="1"/>
    <s v="ΔΙΕΥΘΥΝΣΗ Π.Ε. ΚΟΡΙΝΘΙΑΣ"/>
    <n v="33.774999999999999"/>
    <s v="31 - 40"/>
  </r>
  <r>
    <n v="99911002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2011"/>
    <s v="ΙΔΙΩΤΙΚΟ ΝΗΠΙΑΓΩΓΕΙ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9-04T00:00:00"/>
    <x v="1"/>
    <s v="ΔΙΕΥΘΥΝΣΗ Π.Ε. Β΄ ΑΘΗΝΑΣ"/>
    <n v="33.786111111111111"/>
    <s v="31 - 40"/>
  </r>
  <r>
    <n v="99911003"/>
    <s v="Α"/>
    <x v="5"/>
    <x v="5"/>
    <m/>
    <m/>
    <s v="Γ΄"/>
    <n v="1"/>
    <s v="19828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d v="2018-09-01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5-09-03T00:00:00"/>
    <x v="0"/>
    <s v="ΔΙΕΥΘΥΝΣΗ Δ.Ε. ΛΑΡΙΣΑΣ"/>
    <n v="33.788888888888891"/>
    <s v="31 - 40"/>
  </r>
  <r>
    <n v="99911004"/>
    <s v="Α"/>
    <x v="14"/>
    <x v="14"/>
    <s v="ΠΕ83"/>
    <s v="ΗΛΕΚΤΡΟΛΟΓΩΝ"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9-02T00:00:00"/>
    <x v="0"/>
    <s v="ΔΙΕΥΘΥΝΣΗ Δ.Ε. Β΄ ΑΘΗΝΑΣ"/>
    <n v="33.791666666666664"/>
    <s v="31 - 40"/>
  </r>
  <r>
    <n v="99911005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8-29T00:00:00"/>
    <x v="0"/>
    <s v="ΔΙΕΥΘΥΝΣΗ Δ.Ε. Β΄ ΑΘΗΝΑΣ"/>
    <n v="33.802777777777777"/>
    <s v="31 - 40"/>
  </r>
  <r>
    <n v="99911006"/>
    <s v="Α"/>
    <x v="8"/>
    <x v="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8-23T00:00:00"/>
    <x v="0"/>
    <s v="ΔΙΕΥΘΥΝΣΗ Δ.Ε. Α΄ ΑΘΗΝΑΣ"/>
    <n v="33.819444444444443"/>
    <s v="31 - 40"/>
  </r>
  <r>
    <n v="99911007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8-20T00:00:00"/>
    <x v="1"/>
    <s v="ΔΙΕΥΘΥΝΣΗ Π.Ε. ΑΝΑΤΟΛΙΚΗΣ ΑΤΤΙΚΗΣ"/>
    <n v="33.827777777777776"/>
    <s v="31 - 40"/>
  </r>
  <r>
    <n v="99911008"/>
    <s v="Α"/>
    <x v="19"/>
    <x v="19"/>
    <m/>
    <m/>
    <s v="Γ΄"/>
    <n v="1"/>
    <n v="15679"/>
    <d v="2018-09-12T00:00:00"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m/>
    <m/>
    <m/>
    <s v="ΟΧΙ"/>
    <m/>
    <d v="2018-09-12T00:00:00"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5-08-12T00:00:00"/>
    <x v="0"/>
    <s v="ΔΙΕΥΘΥΝΣΗ Δ.Ε. ΑΝΑΤΟΛΙΚΗΣ ΑΤΤΙΚΗΣ"/>
    <n v="33.85"/>
    <s v="31 - 40"/>
  </r>
  <r>
    <n v="99911009"/>
    <s v="Θ"/>
    <x v="5"/>
    <x v="5"/>
    <m/>
    <m/>
    <s v="Γ΄"/>
    <n v="1"/>
    <s v="19261/10-11-2017"/>
    <d v="2017-11-02T00:00:00"/>
    <s v="ΗΡΑΚΛΕΙΟΥ (Δ.Ε.) 2018"/>
    <s v="ΔΙΕΥΘΥΝΣΗ Δ.Ε. ΗΡΑΚΛΕΙΟΥ"/>
    <s v="ΠΕΡΙΦΕΡΕΙΑΚΗ Δ/ΝΣΗ Α/ΘΜΙΑΣ ΚΑΙ Β/ΘΜΙΑΣ ΕΚΠ/ΣΗΣ ΚΡΗΤΗΣ"/>
    <n v="10"/>
    <s v="ΟΧΙ"/>
    <s v="ΟΧΙ"/>
    <s v="ΟΧΙ"/>
    <s v="ΟΧΙ"/>
    <s v="ΟΧΙ"/>
    <m/>
    <d v="2017-11-02T00:00:00"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5-08-02T00:00:00"/>
    <x v="0"/>
    <s v="ΔΙΕΥΘΥΝΣΗ Δ.Ε. ΗΡΑΚΛΕΙΟΥ"/>
    <n v="33.87777777777778"/>
    <s v="31 - 40"/>
  </r>
  <r>
    <n v="99911010"/>
    <s v="Θ"/>
    <x v="2"/>
    <x v="2"/>
    <m/>
    <m/>
    <s v="Γ΄"/>
    <n v="1"/>
    <s v="-"/>
    <d v="2018-09-01T00:00:00"/>
    <s v="Β΄ ΚΥΚΛΑΔΩΝ (Π.Ε.) 2018"/>
    <s v="ΔΙΕΥΘΥΝΣΗ Π.Ε. ΚΥΚΛΑΔΩΝ"/>
    <s v="ΠΕΡΙΦΕΡΕΙΑΚΗ Δ/ΝΣΗ Α/ΘΜΙΑΣ ΚΑΙ Β/ΘΜΙΑΣ ΕΚΠ/ΣΗΣ ΝΟΤΙΟΥ ΑΙΓΑΙΟΥ"/>
    <n v="25"/>
    <s v="ΟΧΙ"/>
    <m/>
    <m/>
    <m/>
    <s v="ΟΧΙ"/>
    <m/>
    <d v="2018-09-01T00:00:00"/>
    <s v="Ιδιωτικά Σχολεία"/>
    <x v="2"/>
    <s v="7291007"/>
    <s v="ΙΔΙΩΤΙΚΟ ΝΗΠΙΑΓΩΓΕΙΟ ΘΗΡΑΣ - ΛΑΛΙΤΣΕΣ"/>
    <s v="Β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08-01T00:00:00"/>
    <x v="1"/>
    <s v="ΔΙΕΥΘΥΝΣΗ Π.Ε. ΚΥΚΛΑΔΩΝ"/>
    <n v="33.880555555555553"/>
    <s v="31 - 40"/>
  </r>
  <r>
    <n v="99911011"/>
    <s v="Θ"/>
    <x v="7"/>
    <x v="7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5-07-30T00:00:00"/>
    <x v="1"/>
    <s v="ΔΙΕΥΘΥΝΣΗ Π.Ε. ΑΧΑΪΑΣ"/>
    <n v="33.886111111111113"/>
    <s v="31 - 40"/>
  </r>
  <r>
    <n v="99911012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13"/>
    <s v="ΙΔΙΩΤΙΚΟ ΝΗΠΙΑΓΩΓΕΙΟ ΠΥΛΑΙΑΣ - ΑΡΣΑΚΕΙΟ ΝΗΠΙΑΓΩΓΕΙΟ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7-26T00:00:00"/>
    <x v="1"/>
    <s v="ΔΙΕΥΘΥΝΣΗ Π.Ε. ΑΝΑΤ. ΘΕΣ/ΝΙΚΗΣ"/>
    <n v="33.897222222222226"/>
    <s v="31 - 40"/>
  </r>
  <r>
    <n v="99911013"/>
    <s v="Θ"/>
    <x v="4"/>
    <x v="4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9"/>
    <s v="ΟΧΙ"/>
    <s v="ΟΧΙ"/>
    <s v="ΟΧΙ"/>
    <s v="ΟΧΙ"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5-07-20T00:00:00"/>
    <x v="0"/>
    <s v="ΔΙΕΥΘΥΝΣΗ Δ.Ε. ΑΙΤΩΛΟΑΚΑΡΝΑΝΙΑΣ"/>
    <n v="33.913888888888891"/>
    <s v="31 - 40"/>
  </r>
  <r>
    <n v="99911014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7-18T00:00:00"/>
    <x v="0"/>
    <s v="ΔΙΕΥΘΥΝΣΗ Δ.Ε. Β΄ ΑΘΗΝΑΣ"/>
    <n v="33.919444444444444"/>
    <s v="31 - 40"/>
  </r>
  <r>
    <n v="99911015"/>
    <s v="Α"/>
    <x v="16"/>
    <x v="1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7-17T00:00:00"/>
    <x v="0"/>
    <s v="ΔΙΕΥΘΥΝΣΗ Δ.Ε. Β΄ ΑΘΗΝΑΣ"/>
    <n v="33.922222222222224"/>
    <s v="31 - 40"/>
  </r>
  <r>
    <n v="99911016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7-11T00:00:00"/>
    <x v="0"/>
    <s v="ΔΙΕΥΘΥΝΣΗ Δ.Ε. Β΄ ΑΘΗΝΑΣ"/>
    <n v="33.93888888888889"/>
    <s v="31 - 40"/>
  </r>
  <r>
    <n v="99911017"/>
    <s v="Θ"/>
    <x v="3"/>
    <x v="3"/>
    <m/>
    <m/>
    <s v="Γ΄"/>
    <n v="1"/>
    <n v="12095"/>
    <d v="2018-09-01T00:00:00"/>
    <s v="Δ΄ ΑΘΗΝΑΣ (Δ.Ε.) 2018"/>
    <s v="ΔΙΕΥΘΥΝΣΗ Δ.Ε. Δ΄ ΑΘΗΝΑΣ"/>
    <s v="ΠΕΡΙΦΕΡΕΙΑΚΗ Δ/ΝΣΗ Α/ΘΜΙΑΣ ΚΑΙ Β/ΘΜΙΑΣ ΕΚΠ/ΣΗΣ ΑΤΤΙΚΗΣ"/>
    <n v="10"/>
    <s v="ΟΧΙ"/>
    <m/>
    <s v="ΟΧΙ"/>
    <m/>
    <s v="ΟΧΙ"/>
    <m/>
    <d v="2018-09-01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7-11T00:00:00"/>
    <x v="0"/>
    <s v="ΔΙΕΥΘΥΝΣΗ Δ.Ε. Δ΄ ΑΘΗΝΑΣ"/>
    <n v="33.93888888888889"/>
    <s v="31 - 40"/>
  </r>
  <r>
    <n v="99911018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7-07T00:00:00"/>
    <x v="1"/>
    <s v="ΔΙΕΥΘΥΝΣΗ Π.Ε. Β΄ ΑΘΗΝΑΣ"/>
    <n v="33.950000000000003"/>
    <s v="31 - 40"/>
  </r>
  <r>
    <n v="99911019"/>
    <s v="Θ"/>
    <x v="8"/>
    <x v="8"/>
    <m/>
    <m/>
    <s v="Γ΄"/>
    <n v="1"/>
    <n v="11285"/>
    <d v="2018-09-01T00:00:00"/>
    <s v="Δ΄ ΑΘΗΝΑΣ (Π.Ε.) 2018"/>
    <s v="ΔΙΕΥΘΥΝΣΗ Π.Ε. Δ΄ ΑΘΗΝΑΣ"/>
    <s v="ΠΕΡΙΦΕΡΕΙΑΚΗ Δ/ΝΣΗ Α/ΘΜΙΑΣ ΚΑΙ Β/ΘΜΙΑΣ ΕΚΠ/ΣΗΣ ΑΤΤΙΚΗΣ"/>
    <n v="23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7-06T00:00:00"/>
    <x v="1"/>
    <s v="ΔΙΕΥΘΥΝΣΗ Π.Ε. Δ΄ ΑΘΗΝΑΣ"/>
    <n v="33.952777777777776"/>
    <s v="31 - 40"/>
  </r>
  <r>
    <n v="99911020"/>
    <s v="Θ"/>
    <x v="2"/>
    <x v="2"/>
    <m/>
    <m/>
    <s v="Α΄"/>
    <n v="1"/>
    <m/>
    <m/>
    <s v="ΤΡΙΚΑΛΩΝ (Π.Ε.) 2018"/>
    <s v="ΔΙΕΥΘΥΝΣΗ Π.Ε. ΤΡΙΚΑΛΩΝ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451007"/>
    <s v="ΙΔΙΩΤΙΚΟ ΝΗΠΙΑΓΩΓΕΙΟ ΤΡΙΚΑΛΑ - ΠΑΠΑΧΡΗΣΤΟΥ ΣΤΥΛΙΑΝΗ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5-07-03T00:00:00"/>
    <x v="1"/>
    <s v="ΔΙΕΥΘΥΝΣΗ Π.Ε. ΤΡΙΚΑΛΩΝ"/>
    <n v="33.961111111111109"/>
    <s v="31 - 40"/>
  </r>
  <r>
    <n v="99911021"/>
    <s v="Θ"/>
    <x v="2"/>
    <x v="2"/>
    <m/>
    <m/>
    <s v="Γ΄"/>
    <n v="1"/>
    <n v="1297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51"/>
    <s v="ΕΥΤΥΧΙΑΔΟΥ ΕΥΑΓΓΕΛ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7-01T00:00:00"/>
    <x v="1"/>
    <s v="ΔΙΕΥΘΥΝΣΗ Π.Ε. Δ΄ ΑΘΗΝΑΣ"/>
    <n v="33.966666666666669"/>
    <s v="31 - 40"/>
  </r>
  <r>
    <n v="99911022"/>
    <s v="Θ"/>
    <x v="0"/>
    <x v="0"/>
    <m/>
    <m/>
    <s v="Γ΄"/>
    <n v="1"/>
    <s v="Φ.17. 2 / 786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4"/>
    <s v="ΟΧΙ"/>
    <s v="ΟΧΙ"/>
    <s v="ΟΧΙ"/>
    <m/>
    <s v="ΟΧΙ"/>
    <m/>
    <d v="2018-09-01T00:00:00"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5-06-28T00:00:00"/>
    <x v="0"/>
    <s v="ΔΙΕΥΘΥΝΣΗ Δ.Ε. ΔΩΔΕΚΑΝΗΣΟΥ"/>
    <n v="33.975000000000001"/>
    <s v="31 - 40"/>
  </r>
  <r>
    <n v="99911023"/>
    <s v="Θ"/>
    <x v="2"/>
    <x v="2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281005"/>
    <s v="ΙΔΙΩΤΙΚΟ ΝΗΠΙΑΓΩΓΕΙΟ ΙΣΘΜΟΣ ΚΟΡΙΝΘΟΥ - ΑΡΙΣΤΟΤΕΛΕΙΟ ΚΟΡΙΝΘΙΑΚΟ ΕΚΠΑΙΔΕΥΤΗΡΙΟ-ΝΗΠΙΑΓΩΓ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6-27T00:00:00"/>
    <x v="1"/>
    <s v="ΔΙΕΥΘΥΝΣΗ Π.Ε. ΚΟΡΙΝΘΙΑΣ"/>
    <n v="33.977777777777774"/>
    <s v="31 - 40"/>
  </r>
  <r>
    <n v="99911024"/>
    <s v="Α"/>
    <x v="0"/>
    <x v="0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d v="2018-09-01T00:00:00"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6-27T00:00:00"/>
    <x v="1"/>
    <s v="ΔΙΕΥΘΥΝΣΗ Π.Ε. ΜΕΣΣΗΝΙΑΣ"/>
    <n v="33.977777777777774"/>
    <s v="31 - 40"/>
  </r>
  <r>
    <n v="99911025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2"/>
    <s v="7052117"/>
    <s v="ΙΔΙΩΤΙΚΟ ΝΗΠΙΑΓΩΓΕΙΟ &quot;Π. ΔΗΜΗΤΡΟΥΛΑ &amp; Μ. ΔΗΜΗΤΡΟΥΛΑ Ο.Ε.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6-26T00:00:00"/>
    <x v="1"/>
    <s v="ΔΙΕΥΘΥΝΣΗ Π.Ε. Β΄ ΑΘΗΝΑΣ"/>
    <n v="33.980555555555554"/>
    <s v="31 - 40"/>
  </r>
  <r>
    <n v="99911026"/>
    <s v="Θ"/>
    <x v="14"/>
    <x v="14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6-25T00:00:00"/>
    <x v="1"/>
    <s v="ΔΙΕΥΘΥΝΣΗ Π.Ε. Δ΄ ΑΘΗΝΑΣ"/>
    <n v="33.983333333333334"/>
    <s v="31 - 40"/>
  </r>
  <r>
    <n v="99911027"/>
    <s v="Α"/>
    <x v="18"/>
    <x v="1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6-19T00:00:00"/>
    <x v="0"/>
    <s v="ΔΙΕΥΘΥΝΣΗ Δ.Ε. ΑΝΑΤΟΛΙΚΗΣ ΑΤΤΙΚΗΣ"/>
    <n v="34"/>
    <s v="31 - 40"/>
  </r>
  <r>
    <n v="99911028"/>
    <s v="Α"/>
    <x v="14"/>
    <x v="14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5-06-16T00:00:00"/>
    <x v="0"/>
    <s v="ΔΙΕΥΘΥΝΣΗ Δ.Ε. ΙΩΑΝΝΙΝΩΝ"/>
    <n v="34.008333333333333"/>
    <s v="31 - 40"/>
  </r>
  <r>
    <n v="99911029"/>
    <s v="Θ"/>
    <x v="3"/>
    <x v="3"/>
    <m/>
    <m/>
    <s v="Γ΄"/>
    <n v="1"/>
    <n v="8138"/>
    <d v="2018-09-01T00:00:00"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m/>
    <s v="ΟΧΙ"/>
    <m/>
    <d v="2018-09-01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5-06-14T00:00:00"/>
    <x v="0"/>
    <s v="ΔΙΕΥΘΥΝΣΗ Δ.Ε. ΙΩΑΝΝΙΝΩΝ"/>
    <n v="34.013888888888886"/>
    <s v="31 - 40"/>
  </r>
  <r>
    <n v="99911030"/>
    <s v="Α"/>
    <x v="8"/>
    <x v="8"/>
    <m/>
    <m/>
    <s v="Γ΄"/>
    <n v="1"/>
    <n v="14666"/>
    <d v="2017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4"/>
    <s v="ΟΧΙ"/>
    <s v="ΟΧΙ"/>
    <s v="ΟΧΙ"/>
    <s v="ΟΧΙ"/>
    <s v="ΟΧΙ"/>
    <m/>
    <d v="2017-09-01T00:00:00"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06-13T00:00:00"/>
    <x v="0"/>
    <s v="ΔΙΕΥΘΥΝΣΗ Δ.Ε. ΔΥΤ. ΘΕΣ/ΝΙΚΗΣ"/>
    <n v="34.016666666666666"/>
    <s v="31 - 40"/>
  </r>
  <r>
    <n v="99911031"/>
    <s v="Θ"/>
    <x v="2"/>
    <x v="2"/>
    <m/>
    <m/>
    <s v="Γ΄"/>
    <n v="1"/>
    <n v="11280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69"/>
    <s v="ΙΔΙΩΤΙΚΟ ΣΥΣΤΕΓΑΖΟΜΕΝΟ ΝΗΠΙΑΓΩΓΕΙΟ - ΒΕΝΝΟΥ ΠΑΝΑΓΙΩΤ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6-11T00:00:00"/>
    <x v="1"/>
    <s v="ΔΙΕΥΘΥΝΣΗ Π.Ε. Δ΄ ΑΘΗΝΑΣ"/>
    <n v="34.022222222222226"/>
    <s v="31 - 40"/>
  </r>
  <r>
    <n v="99911032"/>
    <s v="Θ"/>
    <x v="2"/>
    <x v="2"/>
    <m/>
    <m/>
    <s v="Γ΄"/>
    <n v="1"/>
    <s v="23838/02-11-2015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71"/>
    <s v="ΙΔΙΩΤΙΚΟ ΝΗΠΙΑΓΩΓΕΙΟ ΠΑΝΕΠΙΣΤΗΜΙΟΥΠΟΛΗ - ΠΑΙΔΙΚΟ ΚΕΝΤΡΟ ΑΠΘ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6-10T00:00:00"/>
    <x v="1"/>
    <s v="ΔΙΕΥΘΥΝΣΗ Π.Ε. ΑΝΑΤ. ΘΕΣ/ΝΙΚΗΣ"/>
    <n v="34.024999999999999"/>
    <s v="31 - 40"/>
  </r>
  <r>
    <n v="99911033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6-05T00:00:00"/>
    <x v="1"/>
    <s v="ΔΙΕΥΘΥΝΣΗ Π.Ε. Β΄ ΑΘΗΝΑΣ"/>
    <n v="34.038888888888891"/>
    <s v="31 - 40"/>
  </r>
  <r>
    <n v="99911034"/>
    <s v="Θ"/>
    <x v="2"/>
    <x v="2"/>
    <m/>
    <m/>
    <s v="Γ΄"/>
    <n v="1"/>
    <s v="70/21-9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m/>
    <s v="ΟΧΙ"/>
    <m/>
    <s v="ΟΧΙ"/>
    <m/>
    <d v="2018-09-01T00:00:00"/>
    <m/>
    <x v="5"/>
    <s v=""/>
    <m/>
    <m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5-06-05T00:00:00"/>
    <x v="1"/>
    <s v="ΔΙΕΥΘΥΝΣΗ Π.Ε. ΑΧΑΪΑΣ"/>
    <n v="34.038888888888891"/>
    <s v="31 - 40"/>
  </r>
  <r>
    <n v="99911035"/>
    <s v="Θ"/>
    <x v="2"/>
    <x v="2"/>
    <m/>
    <m/>
    <s v="Γ΄"/>
    <n v="1"/>
    <s v="33813/28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9"/>
    <s v="ΙΔΙΩΤΙΚΟ ΣΥΣΤΕΓΑΖΟΜΕΝΟ ΝΗΠΙΑΓΩΓΕΙΟ - ΚΑΝΕΛΛΟΠΟΥΛΟΥ ΠΟΛΥΞΕΝΗ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06-03T00:00:00"/>
    <x v="1"/>
    <s v="ΔΙΕΥΘΥΝΣΗ Π.Ε. ΑΝΑΤ. ΘΕΣ/ΝΙΚΗΣ"/>
    <n v="34.044444444444444"/>
    <s v="31 - 40"/>
  </r>
  <r>
    <n v="99911036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24T00:00:00"/>
    <x v="0"/>
    <s v="ΔΙΕΥΘΥΝΣΗ Δ.Ε. Γ΄ ΑΘΗΝΑΣ"/>
    <n v="34.072222222222223"/>
    <s v="31 - 40"/>
  </r>
  <r>
    <n v="99911037"/>
    <s v="Θ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20T00:00:00"/>
    <x v="0"/>
    <s v="ΔΙΕΥΘΥΝΣΗ Δ.Ε. ΠΕΙΡΑΙΑ"/>
    <n v="34.083333333333336"/>
    <s v="31 - 40"/>
  </r>
  <r>
    <n v="99911038"/>
    <s v="Θ"/>
    <x v="2"/>
    <x v="2"/>
    <m/>
    <m/>
    <s v="Α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531001"/>
    <s v="ΙΔΙΩΤΙΚΟ ΝΗΠΙΑΓΩΓΕΙΟ ΜΑΓΟΥΛΑ - ΚΑΜΑΚΑΡΗ ΑΙΚΑΤΕΡΙΝΗ"/>
    <s v="ΔΥΤ. ΑΤΤΙΚΗΣ (Π.Ε.) 2018"/>
    <x v="26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20T00:00:00"/>
    <x v="1"/>
    <s v="ΔΙΕΥΘΥΝΣΗ Π.Ε. ΔΥΤΙΚΗΣ ΑΤΤΙΚΗΣ"/>
    <n v="34.083333333333336"/>
    <s v="31 - 40"/>
  </r>
  <r>
    <n v="99911039"/>
    <s v="Θ"/>
    <x v="2"/>
    <x v="2"/>
    <m/>
    <m/>
    <s v="Α΄"/>
    <n v="1"/>
    <m/>
    <m/>
    <s v="ΛΑΚΩΝΙΑΣ (Π.Ε.) 2018"/>
    <s v="ΔΙΕΥΘΥΝΣΗ Π.Ε. ΛΑΚΩΝ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301001"/>
    <s v="ΙΔΙΩΤΙΚΟ ΝΗΠΙΑΓΩΓΕΙΟ ΣΠΑΡΤΗ - ΙΔΙΩΤΙΚΟ ΝΗΠΙΑΓΩΓΕΙΟ ΙΩΑΝΝΑΣ ΠΟΛΥΧΡΟΝΑΚΟΥ"/>
    <s v="ΛΑΚΩΝΙΑΣ (Π.Ε.) 2018"/>
    <x v="5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5-16T00:00:00"/>
    <x v="1"/>
    <s v="ΔΙΕΥΘΥΝΣΗ Π.Ε. ΛΑΚΩΝΙΑΣ"/>
    <n v="34.094444444444441"/>
    <s v="31 - 40"/>
  </r>
  <r>
    <n v="99911040"/>
    <s v="Θ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15T00:00:00"/>
    <x v="0"/>
    <s v="ΔΙΕΥΘΥΝΣΗ Δ.Ε. Γ΄ ΑΘΗΝΑΣ"/>
    <n v="34.097222222222221"/>
    <s v="31 - 40"/>
  </r>
  <r>
    <n v="99911041"/>
    <s v="Θ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13T00:00:00"/>
    <x v="0"/>
    <s v="ΔΙΕΥΘΥΝΣΗ Δ.Ε. Β΄ ΑΘΗΝΑΣ"/>
    <n v="34.102777777777774"/>
    <s v="31 - 40"/>
  </r>
  <r>
    <n v="99911042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10T00:00:00"/>
    <x v="0"/>
    <s v="ΔΙΕΥΘΥΝΣΗ Δ.Ε. ΑΝΑΤΟΛΙΚΗΣ ΑΤΤΙΚΗΣ"/>
    <n v="34.111111111111114"/>
    <s v="31 - 40"/>
  </r>
  <r>
    <n v="99911043"/>
    <s v="Θ"/>
    <x v="0"/>
    <x v="0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05-09T00:00:00"/>
    <x v="1"/>
    <s v="ΔΙΕΥΘΥΝΣΗ Π.Ε. ΑΝΑΤ. ΘΕΣ/ΝΙΚΗΣ"/>
    <n v="34.113888888888887"/>
    <s v="31 - 40"/>
  </r>
  <r>
    <n v="99911044"/>
    <s v="Θ"/>
    <x v="2"/>
    <x v="2"/>
    <m/>
    <m/>
    <s v="Γ΄"/>
    <n v="1"/>
    <s v="78ΚΑ4653ΠΣ-ΥΧΣ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65"/>
    <s v="ΙΔΙΩΤΙΚΟ ΝΗΠΙΑΓΩΓΕΙΟ -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08T00:00:00"/>
    <x v="1"/>
    <s v="ΔΙΕΥΘΥΝΣΗ Π.Ε. Δ΄ ΑΘΗΝΑΣ"/>
    <n v="34.116666666666667"/>
    <s v="31 - 40"/>
  </r>
  <r>
    <n v="99911045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541085"/>
    <s v="ΙΔΙΩΤΙΚΟ ΣΥΣΤΕΓΑΖΟΜΕΝΟ ΝΗΠΙΑΓΩΓΕΙΟ - ΠΑΡΑΜΥΘΕΝΙΟ ΚΟΥΚΛΟΣΠΙΤΟ"/>
    <s v="Α΄ ΠΕΙΡΑΙΑ (Π.Ε.) 2018"/>
    <x v="15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5-05-08T00:00:00"/>
    <x v="1"/>
    <s v="ΔΙΕΥΘΥΝΣΗ Π.Ε. ΠΕΙΡΑΙΑ"/>
    <n v="34.116666666666667"/>
    <s v="31 - 40"/>
  </r>
  <r>
    <n v="99911046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5-07T00:00:00"/>
    <x v="1"/>
    <s v="ΔΙΕΥΘΥΝΣΗ Π.Ε. ΠΕΙΡΑΙΑ"/>
    <n v="34.119444444444447"/>
    <s v="31 - 40"/>
  </r>
  <r>
    <n v="99911047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5-04T00:00:00"/>
    <x v="1"/>
    <s v="ΔΙΕΥΘΥΝΣΗ Π.Ε. ΑΝΑΤ. ΘΕΣ/ΝΙΚΗΣ"/>
    <n v="34.12777777777778"/>
    <s v="31 - 40"/>
  </r>
  <r>
    <n v="99911048"/>
    <s v="Α"/>
    <x v="1"/>
    <x v="1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2"/>
    <s v="ΟΧΙ"/>
    <s v="ΟΧΙ"/>
    <s v="ΟΧΙ"/>
    <m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05-04T00:00:00"/>
    <x v="1"/>
    <s v="ΔΙΕΥΘΥΝΣΗ Π.Ε. ΔΩΔΕΚΑΝΗΣΟΥ"/>
    <n v="34.12777777777778"/>
    <s v="31 - 40"/>
  </r>
  <r>
    <n v="99911049"/>
    <s v="Θ"/>
    <x v="9"/>
    <x v="9"/>
    <m/>
    <m/>
    <s v="Γ΄"/>
    <n v="1"/>
    <s v="Φ.17.2 / 177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d v="2018-09-01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5-04-30T00:00:00"/>
    <x v="0"/>
    <s v="ΔΙΕΥΘΥΝΣΗ Δ.Ε. ΔΩΔΕΚΑΝΗΣΟΥ"/>
    <n v="34.138888888888886"/>
    <s v="31 - 40"/>
  </r>
  <r>
    <n v="99911050"/>
    <s v="Θ"/>
    <x v="2"/>
    <x v="2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5"/>
    <s v="ΟΧΙ"/>
    <s v="ΟΧΙ"/>
    <s v="ΟΧΙ"/>
    <m/>
    <s v="ΟΧΙ"/>
    <m/>
    <m/>
    <s v="Ιδιωτικά Σχολεία"/>
    <x v="2"/>
    <s v="7101007"/>
    <s v="ΙΔΙΩΤΙΚΟ ΝΗΠΙΑΓΩΓΕΙΟ ΡΟΔΟΣ - ΔΗΜΙΟΥΡΓ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04-30T00:00:00"/>
    <x v="1"/>
    <s v="ΔΙΕΥΘΥΝΣΗ Π.Ε. ΔΩΔΕΚΑΝΗΣΟΥ"/>
    <n v="34.138888888888886"/>
    <s v="31 - 40"/>
  </r>
  <r>
    <n v="99911051"/>
    <s v="Α"/>
    <x v="19"/>
    <x v="19"/>
    <m/>
    <m/>
    <s v="Γ΄"/>
    <n v="1"/>
    <s v="9415/Φ17.2/1-10-2018"/>
    <d v="2018-09-18T00:00:00"/>
    <s v="ΞΑΝΘΗΣ (Δ.Ε.) 2018"/>
    <s v="ΔΙΕΥΘΥΝΣΗ Δ.Ε. ΞΑΝΘΗΣ"/>
    <s v="ΠΕΡΙΦΕΡΕΙΑΚΗ Δ/ΝΣΗ Α/ΘΜΙΑΣ ΚΑΙ Β/ΘΜΙΑΣ ΕΚΠ/ΣΗΣ ΑΝ. ΜΑΚΕΔΟΝΙΑΣ ΚΑΙ ΘΡΑΚΗΣ"/>
    <n v="18"/>
    <s v="ΟΧΙ"/>
    <s v="ΟΧΙ"/>
    <s v="ΟΧΙ"/>
    <s v="ΟΧΙ"/>
    <s v="ΟΧΙ"/>
    <m/>
    <d v="2018-09-18T00:00:00"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5-04-29T00:00:00"/>
    <x v="0"/>
    <s v="ΔΙΕΥΘΥΝΣΗ Δ.Ε. ΞΑΝΘΗΣ"/>
    <n v="34.141666666666666"/>
    <s v="31 - 40"/>
  </r>
  <r>
    <n v="99911052"/>
    <s v="Θ"/>
    <x v="3"/>
    <x v="3"/>
    <m/>
    <m/>
    <s v="Γ΄"/>
    <n v="1"/>
    <s v="12986/Φ17.2"/>
    <d v="2018-09-19T00:00:00"/>
    <s v="ΞΑΝΘΗΣ (Δ.Ε.) 2018"/>
    <s v="ΔΙΕΥΘΥΝΣΗ Δ.Ε. ΞΑΝΘΗΣ"/>
    <s v="ΠΕΡΙΦΕΡΕΙΑΚΗ Δ/ΝΣΗ Α/ΘΜΙΑΣ ΚΑΙ Β/ΘΜΙΑΣ ΕΚΠ/ΣΗΣ ΑΝ. ΜΑΚΕΔΟΝΙΑΣ ΚΑΙ ΘΡΑΚΗΣ"/>
    <n v="23"/>
    <s v="ΟΧΙ"/>
    <s v="ΟΧΙ"/>
    <s v="ΟΧΙ"/>
    <s v="ΟΧΙ"/>
    <s v="ΟΧΙ"/>
    <m/>
    <d v="2018-09-19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85-04-29T00:00:00"/>
    <x v="0"/>
    <s v="ΔΙΕΥΘΥΝΣΗ Δ.Ε. ΞΑΝΘΗΣ"/>
    <n v="34.141666666666666"/>
    <s v="31 - 40"/>
  </r>
  <r>
    <n v="99911053"/>
    <s v="Θ"/>
    <x v="9"/>
    <x v="9"/>
    <m/>
    <m/>
    <s v="Γ΄"/>
    <n v="1"/>
    <s v="16299/ 02/10/2018"/>
    <d v="2018-09-11T00:00:00"/>
    <s v="Β΄ ΑΝΑΤ. ΑΤΤΙΚΗΣ (Δ.Ε.) 2018"/>
    <s v="ΔΙΕΥΘΥΝΣΗ Δ.Ε. ΑΝΑΤΟΛΙΚΗΣ ΑΤΤΙΚΗΣ"/>
    <s v="ΠΕΡΙΦΕΡΕΙΑΚΗ Δ/ΝΣΗ Α/ΘΜΙΑΣ ΚΑΙ Β/ΘΜΙΑΣ ΕΚΠ/ΣΗΣ ΑΤΤΙΚΗΣ"/>
    <n v="2"/>
    <s v="ΟΧΙ"/>
    <s v="ΟΧΙ"/>
    <s v="ΟΧΙ"/>
    <s v="ΟΧΙ"/>
    <s v="ΟΧΙ"/>
    <m/>
    <d v="2018-09-11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4-29T00:00:00"/>
    <x v="0"/>
    <s v="ΔΙΕΥΘΥΝΣΗ Δ.Ε. ΑΝΑΤΟΛΙΚΗΣ ΑΤΤΙΚΗΣ"/>
    <n v="34.141666666666666"/>
    <s v="31 - 40"/>
  </r>
  <r>
    <n v="99911054"/>
    <s v="Θ"/>
    <x v="14"/>
    <x v="14"/>
    <m/>
    <m/>
    <s v="Γ΄"/>
    <n v="1"/>
    <d v="2016-09-0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1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4-29T00:00:00"/>
    <x v="1"/>
    <s v="ΔΙΕΥΘΥΝΣΗ Π.Ε. ΑΝΑΤ. ΘΕΣ/ΝΙΚΗΣ"/>
    <n v="34.141666666666666"/>
    <s v="31 - 40"/>
  </r>
  <r>
    <n v="99911055"/>
    <s v="Θ"/>
    <x v="1"/>
    <x v="1"/>
    <m/>
    <m/>
    <s v="Γ΄"/>
    <n v="1"/>
    <d v="201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4-23T00:00:00"/>
    <x v="1"/>
    <s v="ΔΙΕΥΘΥΝΣΗ Π.Ε. ΑΝΑΤ. ΘΕΣ/ΝΙΚΗΣ"/>
    <n v="34.158333333333331"/>
    <s v="31 - 40"/>
  </r>
  <r>
    <n v="99911056"/>
    <s v="Α"/>
    <x v="14"/>
    <x v="14"/>
    <s v="ΠΕ83"/>
    <s v="ΗΛΕΚΤΡΟΛΟΓΩΝ"/>
    <s v="Γ΄"/>
    <n v="1"/>
    <s v="6998/24-09-2018"/>
    <d v="2018-09-11T00:00:00"/>
    <s v="ΙΩΑΝΝΙΝΩΝ (Π.Ε.) 2018"/>
    <s v="ΔΙΕΥΘΥΝΣΗ Π.Ε. ΙΩΑΝΝΙΝΩΝ"/>
    <s v="ΠΕΡΙΦΕΡΕΙΑΚΗ Δ/ΝΣΗ Α/ΘΜΙΑΣ ΚΑΙ Β/ΘΜΙΑΣ ΕΚΠ/ΣΗΣ ΗΠΕΙΡΟΥ"/>
    <n v="23"/>
    <s v="ΟΧΙ"/>
    <s v="ΟΧΙ"/>
    <s v="ΟΧΙ"/>
    <s v="ΟΧΙ"/>
    <s v="ΟΧΙ"/>
    <m/>
    <d v="2018-09-1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5-04-21T00:00:00"/>
    <x v="1"/>
    <s v="ΔΙΕΥΘΥΝΣΗ Π.Ε. ΙΩΑΝΝΙΝΩΝ"/>
    <n v="34.163888888888891"/>
    <s v="31 - 40"/>
  </r>
  <r>
    <n v="99911057"/>
    <s v="Θ"/>
    <x v="1"/>
    <x v="1"/>
    <m/>
    <m/>
    <s v="Γ΄"/>
    <n v="1"/>
    <n v="653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NAI"/>
    <s v="ΟΧΙ"/>
    <s v="ΟΧΙ"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5-04-19T00:00:00"/>
    <x v="1"/>
    <s v="ΔΙΕΥΘΥΝΣΗ Π.Ε. ΑΝΑΤ. ΘΕΣ/ΝΙΚΗΣ"/>
    <n v="34.169444444444444"/>
    <s v="31 - 40"/>
  </r>
  <r>
    <n v="99911058"/>
    <s v="Α"/>
    <x v="4"/>
    <x v="4"/>
    <m/>
    <m/>
    <s v="Γ΄"/>
    <n v="1"/>
    <s v="ΑΠ1893015"/>
    <d v="2018-09-11T00:00:00"/>
    <s v="Α΄ ΜΑΓΝΗΣΙΑΣ (Δ.Ε.) 2018"/>
    <s v="ΔΙΕΥΘΥΝΣΗ Δ.Ε. ΜΑΓΝΗΣΙΑΣ"/>
    <s v="ΠΕΡΙΦΕΡΕΙΑΚΗ Δ/ΝΣΗ Α/ΘΜΙΑΣ ΚΑΙ Β/ΘΜΙΑΣ ΕΚΠ/ΣΗΣ ΘΕΣΣΑΛΙΑΣ"/>
    <n v="12"/>
    <s v="ΟΧΙ"/>
    <m/>
    <m/>
    <m/>
    <s v="ΟΧΙ"/>
    <m/>
    <d v="2018-09-11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5-04-18T00:00:00"/>
    <x v="0"/>
    <s v="ΔΙΕΥΘΥΝΣΗ Δ.Ε. ΜΑΓΝΗΣΙΑΣ"/>
    <n v="34.172222222222224"/>
    <s v="31 - 40"/>
  </r>
  <r>
    <n v="99911059"/>
    <s v="Θ"/>
    <x v="14"/>
    <x v="14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d v="2009-09-15T00:00:00"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4-13T00:00:00"/>
    <x v="0"/>
    <s v="ΔΙΕΥΘΥΝΣΗ Δ.Ε. Α΄ ΑΘΗΝΑΣ"/>
    <n v="34.18611111111111"/>
    <s v="31 - 40"/>
  </r>
  <r>
    <n v="99911060"/>
    <s v="Θ"/>
    <x v="2"/>
    <x v="2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6"/>
    <s v="ΟΧΙ"/>
    <s v="ΟΧΙ"/>
    <s v="ΟΧΙ"/>
    <m/>
    <s v="ΟΧΙ"/>
    <m/>
    <m/>
    <s v="Ιδιωτικά Σχολεία"/>
    <x v="2"/>
    <s v="7171001"/>
    <s v="22ο ΙΔΙΩΤΙΚΟ ΝΗΠΙΑΓΩΓΕΙΟ ΗΡΑΚΛΕΙΟ ΚΡΗΤΗΣ - ΡΟΔΟΜΗΛΙΑ"/>
    <s v="ΗΡΑΚΛΕΙΟΥ (Π.Ε.) 2018"/>
    <x v="38"/>
    <s v="ΠΕΡΙΦΕΡΕΙΑΚΗ Δ/ΝΣΗ Α/ΘΜΙΑΣ ΚΑΙ Β/ΘΜΙΑΣ ΕΚΠ/ΣΗΣ ΚΡΗΤΗΣ"/>
    <s v="Ιδιωτικού Δικαίου Αορίστου Χρόνου (Ι.Δ.Α.Χ.) με Οργανική σε Ισότιμο προς τα Δημόσια Σχολείο"/>
    <s v="Τοποθέτηση σε Ιδιωτική Εκπαίδευση"/>
    <d v="1985-04-09T00:00:00"/>
    <x v="1"/>
    <s v="ΔΙΕΥΘΥΝΣΗ Π.Ε. ΗΡΑΚΛΕΙΟΥ"/>
    <n v="34.197222222222223"/>
    <s v="31 - 40"/>
  </r>
  <r>
    <n v="99911061"/>
    <s v="Θ"/>
    <x v="11"/>
    <x v="11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4-05T00:00:00"/>
    <x v="0"/>
    <s v="ΔΙΕΥΘΥΝΣΗ Δ.Ε. Α΄ ΑΘΗΝΑΣ"/>
    <n v="34.208333333333336"/>
    <s v="31 - 40"/>
  </r>
  <r>
    <n v="99911062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2111"/>
    <s v="ΒΡΕΦΟΝΗΠΙΑΚΟΙ ΣΤΑΘΜΟΙ ΜΟΝΟΠΡΟΣΩΠΗ Ε.Π.Ε. - &quot;XIONATH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3-30T00:00:00"/>
    <x v="1"/>
    <s v="ΔΙΕΥΘΥΝΣΗ Π.Ε. Β΄ ΑΘΗΝΑΣ"/>
    <n v="34.225000000000001"/>
    <s v="31 - 40"/>
  </r>
  <r>
    <n v="99911063"/>
    <s v="Θ"/>
    <x v="1"/>
    <x v="1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3-26T00:00:00"/>
    <x v="1"/>
    <s v="ΔΙΕΥΘΥΝΣΗ Π.Ε. Β΄ ΑΘΗΝΑΣ"/>
    <n v="34.236111111111114"/>
    <s v="31 - 40"/>
  </r>
  <r>
    <n v="99911064"/>
    <s v="Θ"/>
    <x v="2"/>
    <x v="2"/>
    <m/>
    <m/>
    <s v="Γ΄"/>
    <n v="1"/>
    <n v="15242"/>
    <d v="2018-09-03T00:00:00"/>
    <s v="Α΄ ΠΕΙΡΑΙΑ (Π.Ε.) 2018"/>
    <s v="ΔΙΕΥΘΥΝΣΗ Π.Ε. ΠΕΙΡΑΙΑ"/>
    <s v="ΠΕΡΙΦΕΡΕΙΑΚΗ Δ/ΝΣΗ Α/ΘΜΙΑΣ ΚΑΙ Β/ΘΜΙΑΣ ΕΚΠ/ΣΗΣ ΑΤΤΙΚΗΣ"/>
    <n v="25"/>
    <s v="ΟΧΙ"/>
    <m/>
    <m/>
    <m/>
    <s v="ΟΧΙ"/>
    <m/>
    <d v="2018-09-03T00:00:00"/>
    <s v="Ιδιωτικά Σχολεία"/>
    <x v="2"/>
    <s v="7541013"/>
    <s v="ΙΔΙΩΤΙΚΟ ΣΥΣΤΕΓΑΖΟΜΕΝΟ ΝΗΠΙΑΓΩΓΕΙΟ ΠΕΙΡΑΙΑΣ - ΤΑ ΖΑΒΟΛΑΚΙΑ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3-12T00:00:00"/>
    <x v="1"/>
    <s v="ΔΙΕΥΘΥΝΣΗ Π.Ε. ΠΕΙΡΑΙΑ"/>
    <n v="34.274999999999999"/>
    <s v="31 - 40"/>
  </r>
  <r>
    <n v="99911065"/>
    <s v="Θ"/>
    <x v="6"/>
    <x v="6"/>
    <m/>
    <m/>
    <s v="Γ΄"/>
    <n v="1"/>
    <s v="Φ.17.2 / 6450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d v="2018-09-01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5-03-09T00:00:00"/>
    <x v="0"/>
    <s v="ΔΙΕΥΘΥΝΣΗ Δ.Ε. ΔΩΔΕΚΑΝΗΣΟΥ"/>
    <n v="34.283333333333331"/>
    <s v="31 - 40"/>
  </r>
  <r>
    <n v="99911066"/>
    <s v="Θ"/>
    <x v="2"/>
    <x v="2"/>
    <m/>
    <m/>
    <s v="Γ΄"/>
    <n v="1"/>
    <s v="7756/18-9-2017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m/>
    <m/>
    <m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5-03-07T00:00:00"/>
    <x v="1"/>
    <s v="ΔΙΕΥΘΥΝΣΗ Π.Ε. ΙΩΑΝΝΙΝΩΝ"/>
    <n v="34.288888888888891"/>
    <s v="31 - 40"/>
  </r>
  <r>
    <n v="99911067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m/>
    <m/>
    <m/>
    <s v="ΟΧΙ"/>
    <m/>
    <m/>
    <s v="Ιδιωτικά Σχολεία"/>
    <x v="2"/>
    <s v="7051055"/>
    <s v="Β. &amp; Π. ΚΑΝΤΕΡΕ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3-02T00:00:00"/>
    <x v="1"/>
    <s v="ΔΙΕΥΘΥΝΣΗ Π.Ε. Α΄ ΑΘΗΝΑΣ"/>
    <n v="34.302777777777777"/>
    <s v="31 - 40"/>
  </r>
  <r>
    <n v="99911068"/>
    <s v="Θ"/>
    <x v="1"/>
    <x v="1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2-14T00:00:00"/>
    <x v="1"/>
    <s v="ΔΙΕΥΘΥΝΣΗ Π.Ε. ΚΟΡΙΝΘΙΑΣ"/>
    <n v="34.347222222222221"/>
    <s v="31 - 40"/>
  </r>
  <r>
    <n v="99911069"/>
    <s v="Α"/>
    <x v="5"/>
    <x v="5"/>
    <m/>
    <m/>
    <s v="Β΄"/>
    <n v="3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2-08T00:00:00"/>
    <x v="0"/>
    <s v="ΔΙΕΥΘΥΝΣΗ Δ.Ε. ΑΝΑΤΟΛΙΚΗΣ ΑΤΤΙΚΗΣ"/>
    <n v="34.363888888888887"/>
    <s v="31 - 40"/>
  </r>
  <r>
    <n v="99911070"/>
    <s v="Θ"/>
    <x v="9"/>
    <x v="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d v="2018-09-01T00:00:00"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2-03T00:00:00"/>
    <x v="0"/>
    <s v="ΔΙΕΥΘΥΝΣΗ Δ.Ε. Β΄ ΑΘΗΝΑΣ"/>
    <n v="34.37777777777778"/>
    <s v="31 - 40"/>
  </r>
  <r>
    <n v="99911071"/>
    <s v="Θ"/>
    <x v="1"/>
    <x v="1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s v="ΟΧΙ"/>
    <s v="ΟΧΙ"/>
    <s v="ΟΧΙ"/>
    <m/>
    <s v="ΟΧΙ"/>
    <m/>
    <m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5-01-31T00:00:00"/>
    <x v="1"/>
    <s v="ΔΙΕΥΘΥΝΣΗ Π.Ε. ΕΥΒΟΙΑΣ"/>
    <n v="34.386111111111113"/>
    <s v="31 - 40"/>
  </r>
  <r>
    <n v="9991107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30T00:00:00"/>
    <x v="0"/>
    <s v="ΔΙΕΥΘΥΝΣΗ Δ.Ε. Β΄ ΑΘΗΝΑΣ"/>
    <n v="34.388888888888886"/>
    <s v="31 - 40"/>
  </r>
  <r>
    <n v="99911073"/>
    <s v="Θ"/>
    <x v="2"/>
    <x v="2"/>
    <m/>
    <m/>
    <s v="Γ΄"/>
    <n v="1"/>
    <s v="3558/1-9-20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30T00:00:00"/>
    <x v="1"/>
    <s v="ΔΙΕΥΘΥΝΣΗ Π.Ε. Β΄ ΑΘΗΝΑΣ"/>
    <n v="34.388888888888886"/>
    <s v="31 - 40"/>
  </r>
  <r>
    <n v="99911074"/>
    <s v="Θ"/>
    <x v="2"/>
    <x v="2"/>
    <m/>
    <m/>
    <s v="Γ΄"/>
    <n v="1"/>
    <n v="2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2"/>
    <s v="7052035"/>
    <s v="ΙΔΙΩΤΙΚΟ ΝΗΠΙΑΓΩΓΕΙΟ ΧΑΛΑΝΔΡΙ - Α.ΙΩΣΗΦΙΔΟΥ ΚΑΙ ΣΙΑ Ο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29T00:00:00"/>
    <x v="1"/>
    <s v="ΔΙΕΥΘΥΝΣΗ Π.Ε. Β΄ ΑΘΗΝΑΣ"/>
    <n v="34.391666666666666"/>
    <s v="31 - 40"/>
  </r>
  <r>
    <n v="9991107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28T00:00:00"/>
    <x v="1"/>
    <s v="ΔΙΕΥΘΥΝΣΗ Π.Ε. Β΄ ΑΘΗΝΑΣ"/>
    <n v="34.394444444444446"/>
    <s v="31 - 40"/>
  </r>
  <r>
    <n v="99911076"/>
    <s v="Θ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5-01-25T00:00:00"/>
    <x v="0"/>
    <s v="ΔΙΕΥΘΥΝΣΗ Δ.Ε. ΑΝΑΤΟΛΙΚΗΣ ΑΤΤΙΚΗΣ"/>
    <n v="34.402777777777779"/>
    <s v="31 - 40"/>
  </r>
  <r>
    <n v="99911077"/>
    <s v="Θ"/>
    <x v="2"/>
    <x v="2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5"/>
    <s v="ΟΧΙ"/>
    <s v="ΟΧΙ"/>
    <s v="ΟΧΙ"/>
    <s v="ΟΧΙ"/>
    <s v="ΟΧΙ"/>
    <m/>
    <m/>
    <s v="Ιδιωτικά Σχολεία"/>
    <x v="2"/>
    <s v="7291005"/>
    <s v="ΙΔΙΩΤΙΚΟ ΝΗΠΙΑΓΩΓΕΙΟ ΣΥΡΟΥ - ΣΤΗΝ ΠΑΛΑΜΗ ΤΟΥ ΘΕΟΥ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01-25T00:00:00"/>
    <x v="1"/>
    <s v="ΔΙΕΥΘΥΝΣΗ Π.Ε. ΚΥΚΛΑΔΩΝ"/>
    <n v="34.402777777777779"/>
    <s v="31 - 40"/>
  </r>
  <r>
    <n v="99911078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1071"/>
    <s v="ΙΔΙΩΤΙΚΟ ΝΗΠΙΑΓΩΓΕΙΟ-ΠΑΙΔΙΚΟΣ ΣΤΑΘΜΟΣ &quot;Η ΓΩΝΙΑ ΜΑΣ&quot;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22T00:00:00"/>
    <x v="1"/>
    <s v="ΔΙΕΥΘΥΝΣΗ Π.Ε. Α΄ ΑΘΗΝΑΣ"/>
    <n v="34.411111111111111"/>
    <s v="31 - 40"/>
  </r>
  <r>
    <n v="99911079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22T00:00:00"/>
    <x v="1"/>
    <s v="ΔΙΕΥΘΥΝΣΗ Π.Ε. Α΄ ΑΘΗΝΑΣ"/>
    <n v="34.411111111111111"/>
    <s v="31 - 40"/>
  </r>
  <r>
    <n v="99911080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2051"/>
    <s v="ΙΔΙΩΤΙΚΟ ΝΗΠΙΑΓΩΓΕΙ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21T00:00:00"/>
    <x v="1"/>
    <s v="ΔΙΕΥΘΥΝΣΗ Π.Ε. Β΄ ΑΘΗΝΑΣ"/>
    <n v="34.413888888888891"/>
    <s v="31 - 40"/>
  </r>
  <r>
    <n v="99911081"/>
    <s v="Θ"/>
    <x v="2"/>
    <x v="2"/>
    <m/>
    <m/>
    <s v="Γ΄"/>
    <n v="1"/>
    <n v="4110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023"/>
    <s v="ΙΔΙΩΤΙΚΟ ΝΗΠΙΑΓΩΓΕΙΟ ΒΡΙΛΗΣΣΙΑ - ΔΙΟΝΥΣΙΑ ΑΝΑΣΤΑΣΑΤΟΥ &amp; ΣΙΑ Ο.Ε.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21T00:00:00"/>
    <x v="1"/>
    <s v="ΔΙΕΥΘΥΝΣΗ Π.Ε. Β΄ ΑΘΗΝΑΣ"/>
    <n v="34.413888888888891"/>
    <s v="31 - 40"/>
  </r>
  <r>
    <n v="99911082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1-20T00:00:00"/>
    <x v="0"/>
    <s v="ΔΙΕΥΘΥΝΣΗ Δ.Ε. ΑΝΑΤ. ΘΕΣ/ΝΙΚΗΣ"/>
    <n v="34.416666666666664"/>
    <s v="31 - 40"/>
  </r>
  <r>
    <n v="99911083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16T00:00:00"/>
    <x v="1"/>
    <s v="ΔΙΕΥΘΥΝΣΗ Π.Ε. ΠΕΙΡΑΙΑ"/>
    <n v="34.427777777777777"/>
    <s v="31 - 40"/>
  </r>
  <r>
    <n v="99911084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1-15T00:00:00"/>
    <x v="0"/>
    <s v="ΔΙΕΥΘΥΝΣΗ Δ.Ε. ΠΕΙΡΑΙΑ"/>
    <n v="34.430555555555557"/>
    <s v="31 - 40"/>
  </r>
  <r>
    <n v="99911085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521015"/>
    <s v="ΙΔΙΩΤΙΚΟ ΝΗΠΙΑΓΩΓΕΙΟ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13T00:00:00"/>
    <x v="1"/>
    <s v="ΔΙΕΥΘΥΝΣΗ Π.Ε. ΑΝΑΤΟΛΙΚΗΣ ΑΤΤΙΚΗΣ"/>
    <n v="34.43611111111111"/>
    <s v="31 - 40"/>
  </r>
  <r>
    <n v="99911086"/>
    <s v="Θ"/>
    <x v="3"/>
    <x v="3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12"/>
    <s v="ΟΧΙ"/>
    <s v="ΟΧΙ"/>
    <s v="ΟΧΙ"/>
    <m/>
    <s v="ΟΧΙ"/>
    <m/>
    <d v="2018-09-01T00:00:00"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1-12T00:00:00"/>
    <x v="0"/>
    <s v="ΔΙΕΥΘΥΝΣΗ Δ.Ε. ΠΕΙΡΑΙΑ"/>
    <n v="34.43888888888889"/>
    <s v="31 - 40"/>
  </r>
  <r>
    <n v="99911087"/>
    <s v="Α"/>
    <x v="1"/>
    <x v="1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s v="ΟΧΙ"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5-01-03T00:00:00"/>
    <x v="1"/>
    <s v="ΔΙΕΥΘΥΝΣΗ Π.Ε. ΔΩΔΕΚΑΝΗΣΟΥ"/>
    <n v="34.463888888888889"/>
    <s v="31 - 40"/>
  </r>
  <r>
    <n v="99911088"/>
    <s v="Θ"/>
    <x v="8"/>
    <x v="8"/>
    <m/>
    <m/>
    <s v="Γ΄"/>
    <n v="1"/>
    <s v="Φ.Ι.Α.6/25385/16-11-2017"/>
    <d v="2017-09-04T00:00:00"/>
    <s v="Α΄ ΑΝΑΤ. ΑΤΤΙΚΗΣ (Π.Ε.) 2018"/>
    <s v="ΔΙΕΥΘΥΝΣΗ Π.Ε. ΑΝΑΤΟΛΙΚΗΣ ΑΤΤΙΚΗΣ"/>
    <s v="ΠΕΡΙΦΕΡΕΙΑΚΗ Δ/ΝΣΗ Α/ΘΜΙΑΣ ΚΑΙ Β/ΘΜΙΑΣ ΕΚΠ/ΣΗΣ ΑΤΤΙΚΗΣ"/>
    <n v="10"/>
    <s v="ΟΧΙ"/>
    <m/>
    <m/>
    <m/>
    <s v="ΟΧΙ"/>
    <m/>
    <d v="2017-09-04T00:00:00"/>
    <s v="Ιδιωτικά Σχολεία"/>
    <x v="2"/>
    <s v="7521019"/>
    <s v="ΙΔΙΩΤΙΚΟ ΝΗΠΙΑΓΩΓΕΙΟ ΕΛΛΗΝΟΓΕΡΜΑΝΙΚΗ ΑΓΩΓΗ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5-01-01T00:00:00"/>
    <x v="1"/>
    <s v="ΔΙΕΥΘΥΝΣΗ Π.Ε. ΑΝΑΤΟΛΙΚΗΣ ΑΤΤΙΚΗΣ"/>
    <n v="34.469444444444441"/>
    <s v="31 - 40"/>
  </r>
  <r>
    <n v="99911089"/>
    <s v="Θ"/>
    <x v="1"/>
    <x v="1"/>
    <m/>
    <m/>
    <s v="Γ΄"/>
    <n v="7"/>
    <s v="Φ.17.2/564/10818/23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01T00:00:00"/>
    <x v="1"/>
    <s v="ΔΙΕΥΘΥΝΣΗ Π.Ε. Β΄ ΑΘΗΝΑΣ"/>
    <n v="34.469444444444441"/>
    <s v="31 - 40"/>
  </r>
  <r>
    <n v="99911090"/>
    <s v="Θ"/>
    <x v="1"/>
    <x v="1"/>
    <m/>
    <m/>
    <s v="Γ΄"/>
    <n v="1"/>
    <s v="12740/04-11-201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01T00:00:00"/>
    <x v="1"/>
    <s v="ΔΙΕΥΘΥΝΣΗ Π.Ε. Δ΄ ΑΘΗΝΑΣ"/>
    <n v="34.469444444444441"/>
    <s v="31 - 40"/>
  </r>
  <r>
    <n v="99911091"/>
    <s v="Θ"/>
    <x v="1"/>
    <x v="1"/>
    <m/>
    <m/>
    <s v="Α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5-01-01T00:00:00"/>
    <x v="1"/>
    <s v="ΔΙΕΥΘΥΝΣΗ Π.Ε. Δ΄ ΑΘΗΝΑΣ"/>
    <n v="34.469444444444441"/>
    <s v="31 - 40"/>
  </r>
  <r>
    <n v="99911092"/>
    <s v="Θ"/>
    <x v="0"/>
    <x v="0"/>
    <m/>
    <m/>
    <s v="Γ΄"/>
    <n v="3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m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5-01-01T00:00:00"/>
    <x v="1"/>
    <s v="ΔΙΕΥΘΥΝΣΗ Π.Ε. ΑΙΤΩΛΟΑΚΑΡΝΑΝΙΑΣ"/>
    <n v="34.469444444444441"/>
    <s v="31 - 40"/>
  </r>
  <r>
    <n v="99911093"/>
    <s v="Θ"/>
    <x v="1"/>
    <x v="1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5-01-01T00:00:00"/>
    <x v="1"/>
    <s v="ΔΙΕΥΘΥΝΣΗ Π.Ε. ΛΑΡΙΣΑΣ"/>
    <n v="34.469444444444441"/>
    <s v="31 - 40"/>
  </r>
  <r>
    <n v="99911094"/>
    <s v="Θ"/>
    <x v="27"/>
    <x v="21"/>
    <m/>
    <m/>
    <s v="Α΄"/>
    <n v="5"/>
    <m/>
    <m/>
    <s v="Α΄ ΜΑΓΝΗΣΙΑΣ (Π.Ε.) 2018"/>
    <s v="ΔΙΕΥΘΥΝΣΗ Π.Ε. ΜΑΓΝΗΣΙ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5-01-01T00:00:00"/>
    <x v="1"/>
    <s v="ΔΙΕΥΘΥΝΣΗ Π.Ε. ΜΑΓΝΗΣΙΑΣ"/>
    <n v="34.469444444444441"/>
    <s v="31 - 40"/>
  </r>
  <r>
    <n v="99911095"/>
    <s v="Θ"/>
    <x v="14"/>
    <x v="14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5-01-01T00:00:00"/>
    <x v="0"/>
    <s v="ΔΙΕΥΘΥΝΣΗ Δ.Ε. ΑΝΑΤ. ΘΕΣ/ΝΙΚΗΣ"/>
    <n v="34.469444444444441"/>
    <s v="31 - 40"/>
  </r>
  <r>
    <n v="99911096"/>
    <s v="Θ"/>
    <x v="10"/>
    <x v="10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5-01-01T00:00:00"/>
    <x v="1"/>
    <s v="ΔΙΕΥΘΥΝΣΗ Π.Ε. ΧΑΝΙΩΝ"/>
    <n v="34.469444444444441"/>
    <s v="31 - 40"/>
  </r>
  <r>
    <n v="99911097"/>
    <s v="Θ"/>
    <x v="0"/>
    <x v="0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2"/>
    <s v="ΟΧΙ"/>
    <s v="ΟΧΙ"/>
    <s v="ΟΧΙ"/>
    <s v="ΟΧΙ"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1-01T00:00:00"/>
    <x v="1"/>
    <s v="ΔΙΕΥΘΥΝΣΗ Π.Ε. ΑΡΓΟΛΙΔΑΣ"/>
    <n v="34.469444444444441"/>
    <s v="31 - 40"/>
  </r>
  <r>
    <n v="99911098"/>
    <s v="Α"/>
    <x v="14"/>
    <x v="14"/>
    <m/>
    <m/>
    <s v="Γ΄"/>
    <n v="1"/>
    <s v="Φ.17/3689"/>
    <d v="2018-09-01T00:00:00"/>
    <s v="ΚΟΡΙΝΘΙΑΣ (Π.Ε.) 2018"/>
    <s v="ΔΙΕΥΘΥΝΣΗ Π.Ε. ΚΟΡΙΝΘΙΑΣ"/>
    <s v="ΠΕΡΙΦΕΡΕΙΑΚΗ Δ/ΝΣΗ Α/ΘΜΙΑΣ ΚΑΙ Β/ΘΜΙΑΣ ΕΚΠ/ΣΗΣ ΠΕΛΟΠΟΝΝΗΣΟΥ"/>
    <n v="4"/>
    <s v="ΟΧΙ"/>
    <s v="ΟΧΙ"/>
    <s v="ΟΧΙ"/>
    <s v="ΟΧΙ"/>
    <s v="ΟΧΙ"/>
    <m/>
    <d v="2018-09-01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5-01-01T00:00:00"/>
    <x v="1"/>
    <s v="ΔΙΕΥΘΥΝΣΗ Π.Ε. ΚΟΡΙΝΘΙΑΣ"/>
    <n v="34.469444444444441"/>
    <s v="31 - 40"/>
  </r>
  <r>
    <n v="99911099"/>
    <s v="Α"/>
    <x v="14"/>
    <x v="1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31T00:00:00"/>
    <x v="0"/>
    <s v="ΔΙΕΥΘΥΝΣΗ Δ.Ε. ΠΕΙΡΑΙΑ"/>
    <n v="34.472222222222221"/>
    <s v="31 - 40"/>
  </r>
  <r>
    <n v="99911100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137"/>
    <s v="ΣΥΣΤΕΓΑΖΟΜΕΝΟ ΝΗΠΙΑΓΩΓΕΙΟ - ΣΤΑΜΕΛΟΥ ΜΑΡΙΤΣΑ ΚΑΙ ΣΙΑ ΕΤΕΡΟΡΡΥΘΜΟΣ ΕΤΑΙΡΙΑ - ΤΟ ΤΡEΝΑΚΙ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30T00:00:00"/>
    <x v="1"/>
    <s v="ΔΙΕΥΘΥΝΣΗ Π.Ε. Δ΄ ΑΘΗΝΑΣ"/>
    <n v="34.475000000000001"/>
    <s v="31 - 40"/>
  </r>
  <r>
    <n v="99911101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29T00:00:00"/>
    <x v="0"/>
    <s v="ΔΙΕΥΘΥΝΣΗ Δ.Ε. Β΄ ΑΘΗΝΑΣ"/>
    <n v="34.477777777777774"/>
    <s v="31 - 40"/>
  </r>
  <r>
    <n v="99911102"/>
    <s v="Α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4-12-27T00:00:00"/>
    <x v="1"/>
    <s v="ΔΙΕΥΘΥΝΣΗ Π.Ε. ΛΑΡΙΣΑΣ"/>
    <n v="34.483333333333334"/>
    <s v="31 - 40"/>
  </r>
  <r>
    <n v="99911103"/>
    <s v="Θ"/>
    <x v="2"/>
    <x v="2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41"/>
    <s v="ΠΡΟΤΥΠΟ ΠΑΙΔΑΓΩΓΙΚΟ ΚΕΝΤΡΟ ΔΗΜΙΟΥΡΓΙΚΗΣ ΑΠΑΣΧΟΛΗΣΗΣ ΓΛΥΦΑΔΑ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26T00:00:00"/>
    <x v="1"/>
    <s v="ΔΙΕΥΘΥΝΣΗ Π.Ε. Δ΄ ΑΘΗΝΑΣ"/>
    <n v="34.486111111111114"/>
    <s v="31 - 40"/>
  </r>
  <r>
    <n v="99911104"/>
    <s v="Θ"/>
    <x v="16"/>
    <x v="16"/>
    <s v="ΠΕ70"/>
    <s v="ΔΑΣΚΑΛΟΙ"/>
    <s v="Γ΄"/>
    <n v="1"/>
    <n v="18458"/>
    <d v="2018-09-18T00:00:00"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d v="2018-09-18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12-22T00:00:00"/>
    <x v="0"/>
    <s v="ΔΙΕΥΘΥΝΣΗ Δ.Ε. ΠΕΙΡΑΙΑ"/>
    <n v="34.49722222222222"/>
    <s v="31 - 40"/>
  </r>
  <r>
    <n v="99911105"/>
    <s v="Θ"/>
    <x v="3"/>
    <x v="3"/>
    <m/>
    <m/>
    <s v="Γ΄"/>
    <n v="1"/>
    <s v="Φ.17/16539/2/24-10-2018"/>
    <d v="2018-09-19T00:00:00"/>
    <s v="ΑΧΑΪΑΣ (Δ.Ε.) 2018"/>
    <s v="ΔΙΕΥΘΥΝΣΗ Δ.Ε. ΑΧΑΪΑΣ"/>
    <s v="ΠΕΡΙΦΕΡΕΙΑΚΗ Δ/ΝΣΗ Α/ΘΜΙΑΣ ΚΑΙ Β/ΘΜΙΑΣ ΕΚΠ/ΣΗΣ ΔΥΤΙΚΗΣ ΕΛΛΑΔΑΣ"/>
    <n v="8"/>
    <s v="ΟΧΙ"/>
    <m/>
    <m/>
    <m/>
    <s v="ΟΧΙ"/>
    <m/>
    <d v="2018-09-19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4-12-19T00:00:00"/>
    <x v="0"/>
    <s v="ΔΙΕΥΘΥΝΣΗ Δ.Ε. ΑΧΑΪΑΣ"/>
    <n v="34.505555555555553"/>
    <s v="31 - 40"/>
  </r>
  <r>
    <n v="99911106"/>
    <s v="Α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17T00:00:00"/>
    <x v="0"/>
    <s v="ΔΙΕΥΘΥΝΣΗ Δ.Ε. ΠΕΙΡΑΙΑ"/>
    <n v="34.511111111111113"/>
    <s v="31 - 40"/>
  </r>
  <r>
    <n v="99911107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15T00:00:00"/>
    <x v="0"/>
    <s v="ΔΙΕΥΘΥΝΣΗ Δ.Ε. Γ΄ ΑΘΗΝΑΣ"/>
    <n v="34.516666666666666"/>
    <s v="31 - 40"/>
  </r>
  <r>
    <n v="99911108"/>
    <s v="Θ"/>
    <x v="2"/>
    <x v="2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59"/>
    <s v="ΙΔΙΩΤΙΚΟ ΝΗΠΙΑΓΩΓΕΙΟ ΑΛΙΜΟΣ - ΜΟΝΤΕΣΣΟΡΙΑΝΟ ΣΠΙΤΙ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15T00:00:00"/>
    <x v="1"/>
    <s v="ΔΙΕΥΘΥΝΣΗ Π.Ε. Δ΄ ΑΘΗΝΑΣ"/>
    <n v="34.516666666666666"/>
    <s v="31 - 40"/>
  </r>
  <r>
    <n v="99911109"/>
    <s v="Θ"/>
    <x v="3"/>
    <x v="3"/>
    <m/>
    <m/>
    <s v="Γ΄"/>
    <n v="1"/>
    <s v="17821/05-10-2018"/>
    <d v="2018-09-1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d v="2018-09-1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4-12-11T00:00:00"/>
    <x v="0"/>
    <s v="ΔΙΕΥΘΥΝΣΗ Δ.Ε. ΛΑΡΙΣΑΣ"/>
    <n v="34.527777777777779"/>
    <s v="31 - 40"/>
  </r>
  <r>
    <n v="99911110"/>
    <s v="Α"/>
    <x v="8"/>
    <x v="8"/>
    <m/>
    <m/>
    <s v="Γ΄"/>
    <n v="1"/>
    <d v="2011-09-2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12-08T00:00:00"/>
    <x v="1"/>
    <s v="ΔΙΕΥΘΥΝΣΗ Π.Ε. ΑΝΑΤ. ΘΕΣ/ΝΙΚΗΣ"/>
    <n v="34.536111111111111"/>
    <s v="31 - 40"/>
  </r>
  <r>
    <n v="99911111"/>
    <s v="Θ"/>
    <x v="14"/>
    <x v="14"/>
    <m/>
    <m/>
    <s v="Γ΄"/>
    <n v="1"/>
    <n v="13031"/>
    <d v="2018-09-01T00:00:00"/>
    <s v="Δ΄ ΑΘΗΝΑΣ (Π.Ε.) 2018"/>
    <s v="ΔΙΕΥΘΥΝΣΗ Π.Ε. Δ΄ ΑΘΗΝΑΣ"/>
    <s v="ΠΕΡΙΦΕΡΕΙΑΚΗ Δ/ΝΣΗ Α/ΘΜΙΑΣ ΚΑΙ Β/ΘΜΙΑΣ ΕΚΠ/ΣΗΣ ΑΤΤΙΚΗΣ"/>
    <n v="19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04T00:00:00"/>
    <x v="1"/>
    <s v="ΔΙΕΥΘΥΝΣΗ Π.Ε. Δ΄ ΑΘΗΝΑΣ"/>
    <n v="34.547222222222224"/>
    <s v="31 - 40"/>
  </r>
  <r>
    <n v="99911112"/>
    <s v="Θ"/>
    <x v="2"/>
    <x v="2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1"/>
    <s v="ΟΧΙ"/>
    <s v="ΟΧΙ"/>
    <s v="ΟΧΙ"/>
    <m/>
    <s v="ΟΧΙ"/>
    <m/>
    <m/>
    <s v="Ιδιωτικά Σχολεία"/>
    <x v="2"/>
    <s v="7171009"/>
    <s v="ΙΔΙΩΤΙΚΟ ΝΗΠΙΑΓΩΓΕΙΟ ΗΡΑΚΛΕΙΟ ΚΡΗΤΗΣ - ΝΕΑ ΔΗΜΙΟΥΡΓΙΑ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4-12-04T00:00:00"/>
    <x v="1"/>
    <s v="ΔΙΕΥΘΥΝΣΗ Π.Ε. ΗΡΑΚΛΕΙΟΥ"/>
    <n v="34.547222222222224"/>
    <s v="31 - 40"/>
  </r>
  <r>
    <n v="99911113"/>
    <s v="Θ"/>
    <x v="2"/>
    <x v="2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21"/>
    <s v="ΙΔΙΩΤΙΚΟ ΝΗΠΙΑΓΩΓΕΙΟ Ε.Μ.Ε.D.O.F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2-02T00:00:00"/>
    <x v="1"/>
    <s v="ΔΙΕΥΘΥΝΣΗ Π.Ε. Δ΄ ΑΘΗΝΑΣ"/>
    <n v="34.552777777777777"/>
    <s v="31 - 40"/>
  </r>
  <r>
    <n v="99911114"/>
    <s v="Θ"/>
    <x v="2"/>
    <x v="2"/>
    <m/>
    <m/>
    <s v="Γ΄"/>
    <n v="1"/>
    <s v="Φ.17.2/346/13747/1-9-2012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1-30T00:00:00"/>
    <x v="1"/>
    <s v="ΔΙΕΥΘΥΝΣΗ Π.Ε. Β΄ ΑΘΗΝΑΣ"/>
    <n v="34.55833333333333"/>
    <s v="31 - 40"/>
  </r>
  <r>
    <n v="99911115"/>
    <s v="Θ"/>
    <x v="9"/>
    <x v="9"/>
    <m/>
    <m/>
    <s v="Γ΄"/>
    <n v="1"/>
    <s v="8927/11-10-2017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5"/>
    <s v="ΟΧΙ"/>
    <s v="ΟΧΙ"/>
    <s v="ΟΧΙ"/>
    <s v="ΟΧΙ"/>
    <s v="ΟΧΙ"/>
    <m/>
    <d v="2018-09-01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Αναπληρωτής Ιδιωτικής Εκπαίδευσης (ν. 682/1977 άρ.35, παρ.4)"/>
    <s v="Τοποθέτηση σε Ιδιωτική Εκπαίδευση"/>
    <d v="1984-11-17T00:00:00"/>
    <x v="0"/>
    <s v="ΔΙΕΥΘΥΝΣΗ Δ.Ε. ΞΑΝΘΗΣ"/>
    <n v="34.594444444444441"/>
    <s v="31 - 40"/>
  </r>
  <r>
    <n v="99911116"/>
    <s v="Α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3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11-17T00:00:00"/>
    <x v="0"/>
    <s v="ΔΙΕΥΘΥΝΣΗ Δ.Ε. ΚΟΡΙΝΘΙΑΣ"/>
    <n v="34.594444444444441"/>
    <s v="31 - 40"/>
  </r>
  <r>
    <n v="99911117"/>
    <s v="Α"/>
    <x v="19"/>
    <x v="19"/>
    <s v="ΠΕ79.01"/>
    <s v="ΜΟΥΣΙΚΗΣ ΕΠΙΣΤΗΜΗΣ"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1-14T00:00:00"/>
    <x v="0"/>
    <s v="ΔΙΕΥΘΥΝΣΗ Δ.Ε. Β΄ ΑΘΗΝΑΣ"/>
    <n v="34.602777777777774"/>
    <s v="31 - 40"/>
  </r>
  <r>
    <n v="99911118"/>
    <s v="Θ"/>
    <x v="3"/>
    <x v="3"/>
    <m/>
    <m/>
    <s v="Γ΄"/>
    <n v="1"/>
    <s v="ΑΠ1893252"/>
    <d v="2018-09-11T00:00:00"/>
    <s v="Α΄ ΜΑΓΝΗΣΙΑΣ (Δ.Ε.) 2018"/>
    <s v="ΔΙΕΥΘΥΝΣΗ Δ.Ε. ΜΑΓΝΗΣΙΑΣ"/>
    <s v="ΠΕΡΙΦΕΡΕΙΑΚΗ Δ/ΝΣΗ Α/ΘΜΙΑΣ ΚΑΙ Β/ΘΜΙΑΣ ΕΚΠ/ΣΗΣ ΘΕΣΣΑΛΙΑΣ"/>
    <n v="17"/>
    <s v="ΟΧΙ"/>
    <m/>
    <m/>
    <m/>
    <s v="ΟΧΙ"/>
    <m/>
    <d v="2018-09-11T00:00:00"/>
    <s v="Ιδιωτικά Σχολεία"/>
    <x v="0"/>
    <s v="3560001"/>
    <s v="ΙΔΙΩΤΙΚΟ ΓΥΜΝΑΣ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4-11-11T00:00:00"/>
    <x v="0"/>
    <s v="ΔΙΕΥΘΥΝΣΗ Δ.Ε. ΜΑΓΝΗΣΙΑΣ"/>
    <n v="34.611111111111114"/>
    <s v="31 - 40"/>
  </r>
  <r>
    <n v="9991111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11-07T00:00:00"/>
    <x v="0"/>
    <s v="ΔΙΕΥΘΥΝΣΗ Δ.Ε. ΑΝΑΤ. ΘΕΣ/ΝΙΚΗΣ"/>
    <n v="34.62222222222222"/>
    <s v="31 - 40"/>
  </r>
  <r>
    <n v="99911120"/>
    <s v="Θ"/>
    <x v="2"/>
    <x v="2"/>
    <m/>
    <m/>
    <s v="Γ΄"/>
    <n v="1"/>
    <n v="13438"/>
    <d v="2018-11-29T00:00:00"/>
    <s v="Α΄ ΠΕΙΡΑΙΑ (Π.Ε.) 2018"/>
    <s v="ΔΙΕΥΘΥΝΣΗ Π.Ε. ΠΕΙΡΑΙΑ"/>
    <s v="ΠΕΡΙΦΕΡΕΙΑΚΗ Δ/ΝΣΗ Α/ΘΜΙΑΣ ΚΑΙ Β/ΘΜΙΑΣ ΕΚΠ/ΣΗΣ ΑΤΤΙΚΗΣ"/>
    <n v="23"/>
    <s v="ΟΧΙ"/>
    <m/>
    <m/>
    <m/>
    <s v="ΟΧΙ"/>
    <m/>
    <d v="2018-11-29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1-06T00:00:00"/>
    <x v="1"/>
    <s v="ΔΙΕΥΘΥΝΣΗ Π.Ε. ΠΕΙΡΑΙΑ"/>
    <n v="34.625"/>
    <s v="31 - 40"/>
  </r>
  <r>
    <n v="99911121"/>
    <s v="Α"/>
    <x v="15"/>
    <x v="15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4-11-06T00:00:00"/>
    <x v="0"/>
    <s v="ΔΙΕΥΘΥΝΣΗ Δ.Ε. ΛΑΡΙΣΑΣ"/>
    <n v="34.625"/>
    <s v="31 - 40"/>
  </r>
  <r>
    <n v="99911122"/>
    <s v="Θ"/>
    <x v="10"/>
    <x v="10"/>
    <m/>
    <m/>
    <s v="Γ΄"/>
    <n v="1"/>
    <n v="17539"/>
    <d v="2018-09-03T00:00:00"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d v="2018-09-03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4-11-01T00:00:00"/>
    <x v="0"/>
    <s v="ΔΙΕΥΘΥΝΣΗ Δ.Ε. ΠΕΙΡΑΙΑ"/>
    <n v="34.638888888888886"/>
    <s v="31 - 40"/>
  </r>
  <r>
    <n v="99911123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0-28T00:00:00"/>
    <x v="0"/>
    <s v="ΔΙΕΥΘΥΝΣΗ Δ.Ε. Α΄ ΑΘΗΝΑΣ"/>
    <n v="34.65"/>
    <s v="31 - 40"/>
  </r>
  <r>
    <n v="99911124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0-26T00:00:00"/>
    <x v="0"/>
    <s v="ΔΙΕΥΘΥΝΣΗ Δ.Ε. Γ΄ ΑΘΗΝΑΣ"/>
    <n v="34.655555555555559"/>
    <s v="31 - 40"/>
  </r>
  <r>
    <n v="99911125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21"/>
    <s v="1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0-17T00:00:00"/>
    <x v="1"/>
    <s v="ΔΙΕΥΘΥΝΣΗ Π.Ε. ΑΝΑΤΟΛΙΚΗΣ ΑΤΤΙΚΗΣ"/>
    <n v="34.680555555555557"/>
    <s v="31 - 40"/>
  </r>
  <r>
    <n v="99911126"/>
    <s v="Θ"/>
    <x v="14"/>
    <x v="14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0-05T00:00:00"/>
    <x v="1"/>
    <s v="ΔΙΕΥΘΥΝΣΗ Π.Ε. Δ΄ ΑΘΗΝΑΣ"/>
    <n v="34.713888888888889"/>
    <s v="31 - 40"/>
  </r>
  <r>
    <n v="99911127"/>
    <s v="Θ"/>
    <x v="2"/>
    <x v="2"/>
    <m/>
    <m/>
    <s v="Γ΄"/>
    <n v="1"/>
    <n v="1"/>
    <d v="2018-12-12T00:00:00"/>
    <s v="ΗΡΑΚΛΕΙΟΥ (Π.Ε.) 2018"/>
    <s v="ΔΙΕΥΘΥΝΣΗ Π.Ε. ΗΡΑΚΛΕΙΟΥ"/>
    <s v="ΠΕΡΙΦΕΡΕΙΑΚΗ Δ/ΝΣΗ Α/ΘΜΙΑΣ ΚΑΙ Β/ΘΜΙΑΣ ΕΚΠ/ΣΗΣ ΚΡΗΤΗΣ"/>
    <n v="5"/>
    <s v="ΟΧΙ"/>
    <s v="ΟΧΙ"/>
    <s v="ΟΧΙ"/>
    <s v="ΟΧΙ"/>
    <s v="ΟΧΙ"/>
    <m/>
    <d v="2018-12-12T00:00:00"/>
    <m/>
    <x v="5"/>
    <s v=""/>
    <m/>
    <m/>
    <x v="38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4-10-05T00:00:00"/>
    <x v="1"/>
    <s v="ΔΙΕΥΘΥΝΣΗ Π.Ε. ΗΡΑΚΛΕΙΟΥ"/>
    <n v="34.713888888888889"/>
    <s v="31 - 40"/>
  </r>
  <r>
    <n v="99911128"/>
    <s v="Θ"/>
    <x v="1"/>
    <x v="1"/>
    <m/>
    <m/>
    <s v="Β΄"/>
    <n v="2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0-03T00:00:00"/>
    <x v="1"/>
    <s v="ΔΙΕΥΘΥΝΣΗ Π.Ε. Δ΄ ΑΘΗΝΑΣ"/>
    <n v="34.719444444444441"/>
    <s v="31 - 40"/>
  </r>
  <r>
    <n v="99911129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10-01T00:00:00"/>
    <x v="0"/>
    <s v="ΔΙΕΥΘΥΝΣΗ Δ.Ε. Γ΄ ΑΘΗΝΑΣ"/>
    <n v="34.725000000000001"/>
    <s v="31 - 40"/>
  </r>
  <r>
    <n v="99911130"/>
    <s v="Θ"/>
    <x v="2"/>
    <x v="2"/>
    <m/>
    <m/>
    <s v="Γ΄"/>
    <n v="1"/>
    <s v="Φ.17.2/3799"/>
    <d v="2018-09-01T00:00:00"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s v="ΟΧΙ"/>
    <s v="ΟΧΙ"/>
    <m/>
    <d v="2018-09-01T00:00:00"/>
    <s v="Ιδιωτικά Σχολεία"/>
    <x v="2"/>
    <s v="7461017"/>
    <s v="ΙΔΙΩΤΙΚΟ ΝΗΠΙΑΓΩΓΕΙΟ ΜΕΓΑΛΗ ΒΡΥΣΗ - ΡΟΔΟΠΑΡΕ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4-10-01T00:00:00"/>
    <x v="1"/>
    <s v="ΔΙΕΥΘΥΝΣΗ Π.Ε. ΦΘΙΩΤΙΔΑΣ"/>
    <n v="34.725000000000001"/>
    <s v="31 - 40"/>
  </r>
  <r>
    <n v="99911131"/>
    <s v="Α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1159"/>
    <s v="ΙΔΙΩΤΙΚΟ  ΝΗΠΙΑΓΩΓΕΙΟ - ΚΑΡΑΜΕΛΑ (2ο)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30T00:00:00"/>
    <x v="1"/>
    <s v="ΔΙΕΥΘΥΝΣΗ Π.Ε. Α΄ ΑΘΗΝΑΣ"/>
    <n v="34.727777777777774"/>
    <s v="31 - 40"/>
  </r>
  <r>
    <n v="99911132"/>
    <s v="Θ"/>
    <x v="1"/>
    <x v="1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30T00:00:00"/>
    <x v="1"/>
    <s v="ΔΙΕΥΘΥΝΣΗ Π.Ε. Β΄ ΑΘΗΝΑΣ"/>
    <n v="34.727777777777774"/>
    <s v="31 - 40"/>
  </r>
  <r>
    <n v="99911133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2"/>
    <s v="7053007"/>
    <s v="ΣΥΣΤΕΓΑΖΟΜΕΝΟ ΝΗΠΙΑΓΩΓΕΙΟ - ΣΩΤΗΡΙΟΣ ΜΑΓΚΛΑΡΑΣ (ΛΑΚΩΝΙΚΗ ΣΧΟΛΗ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30T00:00:00"/>
    <x v="1"/>
    <s v="ΔΙΕΥΘΥΝΣΗ Π.Ε. Γ΄ ΑΘΗΝΑΣ"/>
    <n v="34.727777777777774"/>
    <s v="31 - 40"/>
  </r>
  <r>
    <n v="99911134"/>
    <s v="Θ"/>
    <x v="14"/>
    <x v="14"/>
    <m/>
    <m/>
    <s v="Γ΄"/>
    <n v="1"/>
    <s v="544/13173/20-12-2017"/>
    <d v="2018-09-01T00:00:00"/>
    <s v="Β΄ ΑΘΗΝΑΣ (Π.Ε.) 2018"/>
    <s v="ΔΙΕΥΘΥΝΣΗ Π.Ε. Β΄ ΑΘΗΝΑΣ"/>
    <s v="ΠΕΡΙΦΕΡΕΙΑΚΗ Δ/ΝΣΗ Α/ΘΜΙΑΣ ΚΑΙ Β/ΘΜΙΑΣ ΕΚΠ/ΣΗΣ ΑΤΤΙΚΗΣ"/>
    <n v="13"/>
    <s v="ΟΧΙ"/>
    <s v="ΟΧΙ"/>
    <s v="ΟΧΙ"/>
    <m/>
    <s v="ΟΧΙ"/>
    <m/>
    <d v="2018-09-01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9-29T00:00:00"/>
    <x v="1"/>
    <s v="ΔΙΕΥΘΥΝΣΗ Π.Ε. Β΄ ΑΘΗΝΑΣ"/>
    <n v="34.730555555555554"/>
    <s v="31 - 40"/>
  </r>
  <r>
    <n v="99911135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23"/>
    <s v="2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25T00:00:00"/>
    <x v="1"/>
    <s v="ΔΙΕΥΘΥΝΣΗ Π.Ε. ΑΝΑΤΟΛΙΚΗΣ ΑΤΤΙΚΗΣ"/>
    <n v="34.741666666666667"/>
    <s v="31 - 40"/>
  </r>
  <r>
    <n v="99911136"/>
    <s v="Θ"/>
    <x v="1"/>
    <x v="1"/>
    <m/>
    <m/>
    <s v="Α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25T00:00:00"/>
    <x v="1"/>
    <s v="ΔΙΕΥΘΥΝΣΗ Π.Ε. Δ΄ ΑΘΗΝΑΣ"/>
    <n v="34.741666666666667"/>
    <s v="31 - 40"/>
  </r>
  <r>
    <n v="99911137"/>
    <s v="Θ"/>
    <x v="0"/>
    <x v="0"/>
    <m/>
    <m/>
    <s v="Β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24T00:00:00"/>
    <x v="0"/>
    <s v="ΔΙΕΥΘΥΝΣΗ Δ.Ε. ΑΝΑΤΟΛΙΚΗΣ ΑΤΤΙΚΗΣ"/>
    <n v="34.744444444444447"/>
    <s v="31 - 40"/>
  </r>
  <r>
    <n v="99911138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24T00:00:00"/>
    <x v="1"/>
    <s v="ΔΙΕΥΘΥΝΣΗ Π.Ε. Β΄ ΑΘΗΝΑΣ"/>
    <n v="34.744444444444447"/>
    <s v="31 - 40"/>
  </r>
  <r>
    <n v="99911139"/>
    <s v="Θ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15T00:00:00"/>
    <x v="0"/>
    <s v="ΔΙΕΥΘΥΝΣΗ Δ.Ε. Β΄ ΑΘΗΝΑΣ"/>
    <n v="34.769444444444446"/>
    <s v="31 - 40"/>
  </r>
  <r>
    <n v="99911140"/>
    <s v="Θ"/>
    <x v="1"/>
    <x v="1"/>
    <m/>
    <m/>
    <s v="Α΄"/>
    <n v="5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11T00:00:00"/>
    <x v="1"/>
    <s v="ΔΙΕΥΘΥΝΣΗ Π.Ε. Δ΄ ΑΘΗΝΑΣ"/>
    <n v="34.780555555555559"/>
    <s v="31 - 40"/>
  </r>
  <r>
    <n v="99911141"/>
    <s v="Θ"/>
    <x v="2"/>
    <x v="2"/>
    <m/>
    <m/>
    <s v="Γ΄"/>
    <n v="1"/>
    <s v="19997/6"/>
    <d v="2018-10-17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8-10-17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9-06T00:00:00"/>
    <x v="1"/>
    <s v="ΔΙΕΥΘΥΝΣΗ Π.Ε. ΠΕΙΡΑΙΑ"/>
    <n v="34.794444444444444"/>
    <s v="31 - 40"/>
  </r>
  <r>
    <n v="99911142"/>
    <s v="Θ"/>
    <x v="19"/>
    <x v="19"/>
    <m/>
    <m/>
    <s v="Γ΄"/>
    <n v="1"/>
    <n v="20583"/>
    <d v="2018-09-01T00:00:00"/>
    <s v="Δ΄ ΑΘΗΝΑΣ (Δ.Ε.) 2018"/>
    <s v="ΔΙΕΥΘΥΝΣΗ Δ.Ε. Δ΄ ΑΘΗΝΑΣ"/>
    <s v="ΠΕΡΙΦΕΡΕΙΑΚΗ Δ/ΝΣΗ Α/ΘΜΙΑΣ ΚΑΙ Β/ΘΜΙΑΣ ΕΚΠ/ΣΗΣ ΑΤΤΙΚΗΣ"/>
    <n v="5"/>
    <s v="ΟΧΙ"/>
    <s v="ΟΧΙ"/>
    <s v="ΟΧΙ"/>
    <m/>
    <s v="ΟΧΙ"/>
    <m/>
    <d v="2018-09-01T00:00:00"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9-05T00:00:00"/>
    <x v="0"/>
    <s v="ΔΙΕΥΘΥΝΣΗ Δ.Ε. Δ΄ ΑΘΗΝΑΣ"/>
    <n v="34.797222222222224"/>
    <s v="31 - 40"/>
  </r>
  <r>
    <n v="99911143"/>
    <s v="Θ"/>
    <x v="14"/>
    <x v="14"/>
    <m/>
    <m/>
    <s v="Β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9-05T00:00:00"/>
    <x v="1"/>
    <s v="ΔΙΕΥΘΥΝΣΗ Π.Ε. ΔΥΤ. ΘΕΣ/ΝΙΚΗΣ"/>
    <n v="34.797222222222224"/>
    <s v="31 - 40"/>
  </r>
  <r>
    <n v="99911144"/>
    <s v="Θ"/>
    <x v="2"/>
    <x v="2"/>
    <m/>
    <m/>
    <s v="Γ΄"/>
    <n v="1"/>
    <n v="2039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04T00:00:00"/>
    <x v="1"/>
    <s v="ΔΙΕΥΘΥΝΣΗ Π.Ε. Δ΄ ΑΘΗΝΑΣ"/>
    <n v="34.799999999999997"/>
    <s v="31 - 40"/>
  </r>
  <r>
    <n v="99911145"/>
    <s v="Θ"/>
    <x v="2"/>
    <x v="2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021011"/>
    <s v="ΙΔΙΩΤΙΚΟ ΝΗΠΙΑΓΩΓΕΙ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9-04T00:00:00"/>
    <x v="1"/>
    <s v="ΔΙΕΥΘΥΝΣΗ Π.Ε. ΑΡΓΟΛΙΔΑΣ"/>
    <n v="34.799999999999997"/>
    <s v="31 - 40"/>
  </r>
  <r>
    <n v="99911146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9-02T00:00:00"/>
    <x v="0"/>
    <s v="ΔΙΕΥΘΥΝΣΗ Δ.Ε. Β΄ ΑΘΗΝΑΣ"/>
    <n v="34.805555555555557"/>
    <s v="31 - 40"/>
  </r>
  <r>
    <n v="99911147"/>
    <s v="Θ"/>
    <x v="8"/>
    <x v="8"/>
    <m/>
    <m/>
    <s v="Γ΄"/>
    <n v="1"/>
    <s v="22881/24-9-2018"/>
    <d v="2018-09-24T00:00:00"/>
    <s v="ΛΑΡΙΣΑΣ (Δ.Ε.) 2018"/>
    <s v="ΔΙΕΥΘΥΝΣΗ Δ.Ε. ΛΑΡΙΣΑΣ"/>
    <s v="ΠΕΡΙΦΕΡΕΙΑΚΗ Δ/ΝΣΗ Α/ΘΜΙΑΣ ΚΑΙ Β/ΘΜΙΑΣ ΕΚΠ/ΣΗΣ ΘΕΣΣΑΛΙΑΣ"/>
    <n v="4"/>
    <s v="ΟΧΙ"/>
    <m/>
    <m/>
    <m/>
    <s v="ΟΧΙ"/>
    <m/>
    <d v="2018-09-24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4-08-31T00:00:00"/>
    <x v="0"/>
    <s v="ΔΙΕΥΘΥΝΣΗ Δ.Ε. ΛΑΡΙΣΑΣ"/>
    <n v="34.81111111111111"/>
    <s v="31 - 40"/>
  </r>
  <r>
    <n v="99911148"/>
    <s v="Θ"/>
    <x v="2"/>
    <x v="2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021"/>
    <s v="ΙΔΙΩΤΙΚΟ ΝΗΠΙΑΓΩΓΕΙΟ Ε.Μ.Ε.D.O.F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8-19T00:00:00"/>
    <x v="1"/>
    <s v="ΔΙΕΥΘΥΝΣΗ Π.Ε. Δ΄ ΑΘΗΝΑΣ"/>
    <n v="34.844444444444441"/>
    <s v="31 - 40"/>
  </r>
  <r>
    <n v="99911149"/>
    <s v="Θ"/>
    <x v="6"/>
    <x v="6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4-08-19T00:00:00"/>
    <x v="0"/>
    <s v="ΔΙΕΥΘΥΝΣΗ Δ.Ε. ΔΩΔΕΚΑΝΗΣΟΥ"/>
    <n v="34.844444444444441"/>
    <s v="31 - 40"/>
  </r>
  <r>
    <n v="99911150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8-18T00:00:00"/>
    <x v="1"/>
    <s v="ΔΙΕΥΘΥΝΣΗ Π.Ε. ΑΝΑΤΟΛΙΚΗΣ ΑΤΤΙΚΗΣ"/>
    <n v="34.847222222222221"/>
    <s v="31 - 40"/>
  </r>
  <r>
    <n v="99911151"/>
    <s v="Θ"/>
    <x v="4"/>
    <x v="4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7"/>
    <s v="ΟΧΙ"/>
    <s v="ΟΧΙ"/>
    <s v="ΟΧΙ"/>
    <s v="ΟΧΙ"/>
    <s v="ΟΧΙ"/>
    <m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8-18T00:00:00"/>
    <x v="0"/>
    <s v="ΔΙΕΥΘΥΝΣΗ Δ.Ε. ΣΕΡΡΩΝ"/>
    <n v="34.847222222222221"/>
    <s v="31 - 40"/>
  </r>
  <r>
    <n v="99911152"/>
    <s v="Θ"/>
    <x v="0"/>
    <x v="0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3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4-08-15T00:00:00"/>
    <x v="1"/>
    <s v="ΔΙΕΥΘΥΝΣΗ Π.Ε. ΛΑΡΙΣΑΣ"/>
    <n v="34.855555555555554"/>
    <s v="31 - 40"/>
  </r>
  <r>
    <n v="99911153"/>
    <s v="Θ"/>
    <x v="1"/>
    <x v="1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m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4-08-11T00:00:00"/>
    <x v="1"/>
    <s v="ΔΙΕΥΘΥΝΣΗ Π.Ε. ΙΩΑΝΝΙΝΩΝ"/>
    <n v="34.866666666666667"/>
    <s v="31 - 40"/>
  </r>
  <r>
    <n v="99911154"/>
    <s v="Θ"/>
    <x v="0"/>
    <x v="0"/>
    <m/>
    <m/>
    <s v="Γ΄"/>
    <n v="4"/>
    <m/>
    <m/>
    <s v="ΚΟΡΙΝΘΙΑΣ (Π.Ε.) 2018"/>
    <s v="ΔΙΕΥΘΥΝΣΗ Π.Ε. ΚΟΡΙΝΘΙΑΣ"/>
    <s v="ΠΕΡΙΦΕΡΕΙΑΚΗ Δ/ΝΣΗ Α/ΘΜΙΑΣ ΚΑΙ Β/ΘΜΙΑΣ ΕΚΠ/ΣΗΣ ΠΕΛΟΠΟΝΝΗΣΟΥ"/>
    <n v="15"/>
    <s v="ΟΧΙ"/>
    <s v="ΟΧΙ"/>
    <s v="ΟΧΙ"/>
    <s v="ΟΧΙ"/>
    <s v="ΟΧΙ"/>
    <m/>
    <m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8-09T00:00:00"/>
    <x v="1"/>
    <s v="ΔΙΕΥΘΥΝΣΗ Π.Ε. ΚΟΡΙΝΘΙΑΣ"/>
    <n v="34.87222222222222"/>
    <s v="31 - 40"/>
  </r>
  <r>
    <n v="99911155"/>
    <s v="Θ"/>
    <x v="6"/>
    <x v="6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84-08-08T00:00:00"/>
    <x v="0"/>
    <s v="ΔΙΕΥΘΥΝΣΗ Δ.Ε. ΛΑΡΙΣΑΣ"/>
    <n v="34.875"/>
    <s v="31 - 40"/>
  </r>
  <r>
    <n v="99911156"/>
    <s v="Θ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8-06T00:00:00"/>
    <x v="0"/>
    <s v="ΔΙΕΥΘΥΝΣΗ Δ.Ε. Γ΄ ΑΘΗΝΑΣ"/>
    <n v="34.880555555555553"/>
    <s v="31 - 40"/>
  </r>
  <r>
    <n v="99911157"/>
    <s v="Α"/>
    <x v="3"/>
    <x v="3"/>
    <m/>
    <m/>
    <s v="Γ΄"/>
    <n v="1"/>
    <m/>
    <m/>
    <s v="ΚΟΡΙΝΘΙΑΣ (Δ.Ε.) 2018"/>
    <s v="ΔΙΕΥΘΥΝΣΗ Δ.Ε. ΚΟΡΙΝΘΙΑΣ"/>
    <s v="ΠΕΡΙΦΕΡΕΙΑΚΗ Δ/ΝΣΗ Α/ΘΜΙΑΣ ΚΑΙ Β/ΘΜΙΑΣ ΕΚΠ/ΣΗΣ ΠΕΛΟΠΟΝΝΗΣΟΥ"/>
    <n v="4"/>
    <s v="ΟΧΙ"/>
    <s v="ΟΧΙ"/>
    <s v="ΟΧΙ"/>
    <s v="ΟΧΙ"/>
    <s v="ΟΧΙ"/>
    <m/>
    <m/>
    <s v="Ιδιωτικά Σχολεία"/>
    <x v="0"/>
    <s v="2881020"/>
    <s v="ΙΔΙΩΤΙΚΟ ΓΥΜΝΑΣΙΟ ΚΟΡΙΝΘΟΥ - ΑΠΟΣΤΟΛΟΣ ΠΑΥΛΟΣ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8-05T00:00:00"/>
    <x v="0"/>
    <s v="ΔΙΕΥΘΥΝΣΗ Δ.Ε. ΚΟΡΙΝΘΙΑΣ"/>
    <n v="34.883333333333333"/>
    <s v="31 - 40"/>
  </r>
  <r>
    <n v="99911158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8-03T00:00:00"/>
    <x v="0"/>
    <s v="ΔΙΕΥΘΥΝΣΗ Δ.Ε. ΑΝΑΤΟΛΙΚΗΣ ΑΤΤΙΚΗΣ"/>
    <n v="34.888888888888886"/>
    <s v="31 - 40"/>
  </r>
  <r>
    <n v="99911159"/>
    <s v="Θ"/>
    <x v="0"/>
    <x v="0"/>
    <m/>
    <m/>
    <s v="Γ΄"/>
    <n v="1"/>
    <s v="ΒΙΞΟ9-Γ22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4-08-02T00:00:00"/>
    <x v="1"/>
    <s v="ΔΙΕΥΘΥΝΣΗ Π.Ε. ΑΝΑΤΟΛΙΚΗΣ ΑΤΤΙΚΗΣ"/>
    <n v="34.891666666666666"/>
    <s v="31 - 40"/>
  </r>
  <r>
    <n v="99911160"/>
    <s v="Α"/>
    <x v="24"/>
    <x v="2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7-30T00:00:00"/>
    <x v="0"/>
    <s v="ΔΙΕΥΘΥΝΣΗ Δ.Ε. ΑΝΑΤΟΛΙΚΗΣ ΑΤΤΙΚΗΣ"/>
    <n v="34.9"/>
    <s v="31 - 40"/>
  </r>
  <r>
    <n v="99911161"/>
    <s v="Θ"/>
    <x v="2"/>
    <x v="2"/>
    <m/>
    <m/>
    <s v="Α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31005"/>
    <s v="ΙΔΙΩΤΙΚΟ ΝΗΠΙΑΓΩΓΕΙΟ &quot;ΤΟ ΣΠΙΤΑΚΙ ΤΗΣ ΣΟΚΟΛΑΤΑΣ&quot;, ΔΟΥΚΑ ΑΘΗΝΑ"/>
    <s v="ΔΥΤ. ΑΤΤΙΚΗΣ (Π.Ε.) 2018"/>
    <x v="26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7-28T00:00:00"/>
    <x v="1"/>
    <s v="ΔΙΕΥΘΥΝΣΗ Π.Ε. ΔΥΤΙΚΗΣ ΑΤΤΙΚΗΣ"/>
    <n v="34.905555555555559"/>
    <s v="31 - 40"/>
  </r>
  <r>
    <n v="99911162"/>
    <s v="Θ"/>
    <x v="0"/>
    <x v="0"/>
    <m/>
    <m/>
    <s v="Γ΄"/>
    <n v="3"/>
    <s v="Φ.17.2/254/6822/15-10-201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7-27T00:00:00"/>
    <x v="1"/>
    <s v="ΔΙΕΥΘΥΝΣΗ Π.Ε. Β΄ ΑΘΗΝΑΣ"/>
    <n v="34.908333333333331"/>
    <s v="31 - 40"/>
  </r>
  <r>
    <n v="99911163"/>
    <s v="Θ"/>
    <x v="2"/>
    <x v="2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151"/>
    <s v="ΣΥΣΤΕΓΑΖΟΜΕΝΟ ΝΗΠΙΑΓΩΓΕΙΟ - ΜΑΡΙΑ ΡΕΝΤΖΕΠΗ ΚΑΙ ΣΙΑ ΕΤΕΡΟΡΡΥΘΜΟΣ ΕΤΑΙΡΕΙΑ - ΜΑΡΗ ΡΕΝΤΖΕΠ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7-26T00:00:00"/>
    <x v="1"/>
    <s v="ΔΙΕΥΘΥΝΣΗ Π.Ε. Δ΄ ΑΘΗΝΑΣ"/>
    <n v="34.911111111111111"/>
    <s v="31 - 40"/>
  </r>
  <r>
    <n v="99911164"/>
    <s v="Α"/>
    <x v="19"/>
    <x v="19"/>
    <m/>
    <m/>
    <s v="Γ΄"/>
    <n v="1"/>
    <s v="3621/11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s v="ΟΧΙ"/>
    <s v="ΟΧΙ"/>
    <s v="ΟΧΙ"/>
    <s v="ΟΧΙ"/>
    <s v="ΟΧΙ"/>
    <m/>
    <d v="2018-09-01T00:00:00"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4-07-24T00:00:00"/>
    <x v="0"/>
    <s v="ΔΙΕΥΘΥΝΣΗ Δ.Ε. ΑΡΓΟΛΙΔΑΣ"/>
    <n v="34.916666666666664"/>
    <s v="31 - 40"/>
  </r>
  <r>
    <n v="99911165"/>
    <s v="Θ"/>
    <x v="10"/>
    <x v="10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7-10T00:00:00"/>
    <x v="1"/>
    <s v="ΔΙΕΥΘΥΝΣΗ Π.Ε. ΠΕΙΡΑΙΑ"/>
    <n v="34.955555555555556"/>
    <s v="31 - 40"/>
  </r>
  <r>
    <n v="99911166"/>
    <s v="Θ"/>
    <x v="6"/>
    <x v="6"/>
    <m/>
    <m/>
    <s v="Γ΄"/>
    <n v="1"/>
    <n v="4138"/>
    <d v="2018-09-01T00:00:00"/>
    <s v="Α΄ ΠΕΙΡΑΙΑ (Π.Ε.) 2018"/>
    <s v="ΔΙΕΥΘΥΝΣΗ Π.Ε. ΠΕΙΡΑΙΑ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7-01T00:00:00"/>
    <x v="1"/>
    <s v="ΔΙΕΥΘΥΝΣΗ Π.Ε. ΠΕΙΡΑΙΑ"/>
    <n v="34.980555555555554"/>
    <s v="31 - 40"/>
  </r>
  <r>
    <n v="99911167"/>
    <s v="Θ"/>
    <x v="19"/>
    <x v="19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5"/>
    <s v="ΟΧΙ"/>
    <s v="ΟΧΙ"/>
    <s v="ΟΧΙ"/>
    <m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6-30T00:00:00"/>
    <x v="0"/>
    <s v="ΔΙΕΥΘΥΝΣΗ Δ.Ε. ΑΡΓΟΛΙΔΑΣ"/>
    <n v="34.983333333333334"/>
    <s v="31 - 40"/>
  </r>
  <r>
    <n v="99911168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6-29T00:00:00"/>
    <x v="0"/>
    <s v="ΔΙΕΥΘΥΝΣΗ Δ.Ε. ΠΕΙΡΑΙΑ"/>
    <n v="34.986111111111114"/>
    <s v="31 - 40"/>
  </r>
  <r>
    <n v="99911169"/>
    <s v="Θ"/>
    <x v="2"/>
    <x v="2"/>
    <m/>
    <m/>
    <s v="Γ΄"/>
    <n v="3"/>
    <s v="79ΑΜ465ΦΘ3-ΔΕΓ"/>
    <d v="2015-02-16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5-02-16T00:00:00"/>
    <s v="Ιδιωτικά Σχολεία"/>
    <x v="2"/>
    <s v="7281007"/>
    <s v="ΙΔΙΩΤΙΚΟ ΝΗΠΙΑΓΩΓΕΙΟ ΓΑΛΟΤΑ ΙΣΘΜΟΥ - ΝΗΠΙΑΓΩΓΕΙΟ ΧΑΛΚΙΑ-ΤΑΒΟΥΛΑΡΗ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6-28T00:00:00"/>
    <x v="1"/>
    <s v="ΔΙΕΥΘΥΝΣΗ Π.Ε. ΚΟΡΙΝΘΙΑΣ"/>
    <n v="34.988888888888887"/>
    <s v="31 - 40"/>
  </r>
  <r>
    <n v="99911170"/>
    <s v="Θ"/>
    <x v="2"/>
    <x v="2"/>
    <m/>
    <m/>
    <s v="Γ΄"/>
    <n v="1"/>
    <n v="13084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113"/>
    <s v="ΣΥΣΤΕΓΑΖΟΜΕΝΟ ΝΗΠΙΑΓΩΓΕΙΟ - ΓΑΛΑΝΗ ΣΤΑΘΟΥΛ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6-26T00:00:00"/>
    <x v="1"/>
    <s v="ΔΙΕΥΘΥΝΣΗ Π.Ε. Δ΄ ΑΘΗΝΑΣ"/>
    <n v="34.994444444444447"/>
    <s v="31 - 40"/>
  </r>
  <r>
    <n v="99911171"/>
    <s v="Α"/>
    <x v="3"/>
    <x v="3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5"/>
    <s v="ΟΧΙ"/>
    <s v="ΟΧΙ"/>
    <s v="ΟΧΙ"/>
    <s v="ΟΧΙ"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6-22T00:00:00"/>
    <x v="0"/>
    <s v="ΔΙΕΥΘΥΝΣΗ Δ.Ε. ΑΡΓΟΛΙΔΑΣ"/>
    <n v="35.005555555555553"/>
    <s v="31 - 40"/>
  </r>
  <r>
    <n v="99911172"/>
    <s v="Θ"/>
    <x v="8"/>
    <x v="8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4-06-21T00:00:00"/>
    <x v="1"/>
    <s v="ΔΙΕΥΘΥΝΣΗ Π.Ε. ΙΩΑΝΝΙΝΩΝ"/>
    <n v="35.008333333333333"/>
    <s v="31 - 40"/>
  </r>
  <r>
    <n v="99911173"/>
    <s v="Θ"/>
    <x v="2"/>
    <x v="2"/>
    <m/>
    <m/>
    <s v="Γ΄"/>
    <n v="1"/>
    <s v="156/9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2"/>
    <s v="7052199"/>
    <s v="ΣΥΣΤΕΓΑΖΟΜΕΝΟ ΝΗΠΙΑΓΩΓΕΙΟ - ΚΑΡΑΜΠΕΛΑ ΕΛΕΝ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6-06T00:00:00"/>
    <x v="1"/>
    <s v="ΔΙΕΥΘΥΝΣΗ Π.Ε. Β΄ ΑΘΗΝΑΣ"/>
    <n v="35.049999999999997"/>
    <s v="31 - 40"/>
  </r>
  <r>
    <n v="99911174"/>
    <s v="Θ"/>
    <x v="3"/>
    <x v="3"/>
    <m/>
    <m/>
    <s v="Β΄"/>
    <n v="2"/>
    <m/>
    <m/>
    <s v="ΠΙΕΡΙΑΣ (Δ.Ε.) 2018"/>
    <s v="ΔΙΕΥΘΥΝΣΗ Δ.Ε. ΠΙΕΡΙΑ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6-05T00:00:00"/>
    <x v="0"/>
    <s v="ΔΙΕΥΘΥΝΣΗ Δ.Ε. ΠΙΕΡΙΑΣ"/>
    <n v="35.052777777777777"/>
    <s v="31 - 40"/>
  </r>
  <r>
    <n v="99911175"/>
    <s v="Θ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6-01T00:00:00"/>
    <x v="0"/>
    <s v="ΔΙΕΥΘΥΝΣΗ Δ.Ε. Β΄ ΑΘΗΝΑΣ"/>
    <n v="35.06388888888889"/>
    <s v="31 - 40"/>
  </r>
  <r>
    <n v="99911176"/>
    <s v="Θ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5-31T00:00:00"/>
    <x v="0"/>
    <s v="ΔΙΕΥΘΥΝΣΗ Δ.Ε. ΑΝΑΤ. ΘΕΣ/ΝΙΚΗΣ"/>
    <n v="35.06666666666667"/>
    <s v="31 - 40"/>
  </r>
  <r>
    <n v="99911177"/>
    <s v="Θ"/>
    <x v="2"/>
    <x v="2"/>
    <m/>
    <m/>
    <s v="Γ΄"/>
    <n v="1"/>
    <s v="11489/9-10-2015"/>
    <d v="2018-09-01T00:00:00"/>
    <s v="Α΄ ΕΥΒΟΙΑΣ (Π.Ε.) 2018"/>
    <s v="ΔΙΕΥΘΥΝΣΗ Π.Ε. ΕΥΒΟΙΑΣ"/>
    <s v="ΠΕΡΙΦΕΡΕΙΑΚΗ Δ/ΝΣΗ Α/ΘΜΙΑΣ ΚΑΙ Β/ΘΜΙΑΣ ΕΚΠ/ΣΗΣ ΣΤΕΡΕΑΣ ΕΛΛΑΔΑΣ"/>
    <n v="6"/>
    <s v="ΟΧΙ"/>
    <s v="ΟΧΙ"/>
    <s v="ΟΧΙ"/>
    <m/>
    <s v="ΟΧΙ"/>
    <m/>
    <d v="2018-09-01T00:00:00"/>
    <s v="Ιδιωτικά Σχολεία"/>
    <x v="2"/>
    <s v="7121019"/>
    <s v="ΣΥΣΤΕΓΑΖΟΜΕΝΟ ΝΗΠΙΑΓΩΓΕΙΟ - ΠΑΝΤΑΖΗ ΜΑΡΙΑΝΘΗ"/>
    <s v="Α΄ ΕΥΒΟΙΑΣ (Π.Ε.) 2018"/>
    <x v="31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84-05-31T00:00:00"/>
    <x v="1"/>
    <s v="ΔΙΕΥΘΥΝΣΗ Π.Ε. ΕΥΒΟΙΑΣ"/>
    <n v="35.06666666666667"/>
    <s v="31 - 40"/>
  </r>
  <r>
    <n v="99911178"/>
    <s v="Θ"/>
    <x v="0"/>
    <x v="0"/>
    <m/>
    <m/>
    <s v="Γ΄"/>
    <n v="1"/>
    <n v="1728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4-05-29T00:00:00"/>
    <x v="1"/>
    <s v="ΔΙΕΥΘΥΝΣΗ Π.Ε. Β΄ ΑΘΗΝΑΣ"/>
    <n v="35.072222222222223"/>
    <s v="31 - 40"/>
  </r>
  <r>
    <n v="99911179"/>
    <s v="Θ"/>
    <x v="3"/>
    <x v="3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1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84-05-27T00:00:00"/>
    <x v="0"/>
    <s v="ΔΙΕΥΘΥΝΣΗ Δ.Ε. ΧΙΟΥ"/>
    <n v="35.077777777777776"/>
    <s v="31 - 40"/>
  </r>
  <r>
    <n v="99911180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5-26T00:00:00"/>
    <x v="1"/>
    <s v="ΔΙΕΥΘΥΝΣΗ Π.Ε. ΑΝΑΤ. ΘΕΣ/ΝΙΚΗΣ"/>
    <n v="35.080555555555556"/>
    <s v="31 - 40"/>
  </r>
  <r>
    <n v="99911181"/>
    <s v="Θ"/>
    <x v="6"/>
    <x v="6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5-21T00:00:00"/>
    <x v="1"/>
    <s v="ΔΙΕΥΘΥΝΣΗ Π.Ε. Α΄ ΑΘΗΝΑΣ"/>
    <n v="35.094444444444441"/>
    <s v="31 - 40"/>
  </r>
  <r>
    <n v="99911182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5-21T00:00:00"/>
    <x v="1"/>
    <s v="ΔΙΕΥΘΥΝΣΗ Π.Ε. ΑΝΑΤΟΛΙΚΗΣ ΑΤΤΙΚΗΣ"/>
    <n v="35.094444444444441"/>
    <s v="31 - 40"/>
  </r>
  <r>
    <n v="99911183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053047"/>
    <s v="ΣΥΣΤΕΓΑΖΟΜΕΝΟ ΝΗΠΙΑΓΩΓΕΙΟ - ΧΑΛΚΙΑΣ ΓΕΩΡΓΙΟΣ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5-18T00:00:00"/>
    <x v="1"/>
    <s v="ΔΙΕΥΘΥΝΣΗ Π.Ε. Γ΄ ΑΘΗΝΑΣ"/>
    <n v="35.102777777777774"/>
    <s v="31 - 40"/>
  </r>
  <r>
    <n v="99911184"/>
    <s v="Θ"/>
    <x v="1"/>
    <x v="1"/>
    <m/>
    <m/>
    <s v="Α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5-16T00:00:00"/>
    <x v="1"/>
    <s v="ΔΙΕΥΘΥΝΣΗ Π.Ε. ΔΥΤ. ΘΕΣ/ΝΙΚΗΣ"/>
    <n v="35.108333333333334"/>
    <s v="31 - 40"/>
  </r>
  <r>
    <n v="99911185"/>
    <s v="Θ"/>
    <x v="2"/>
    <x v="2"/>
    <m/>
    <m/>
    <s v="Γ΄"/>
    <n v="1"/>
    <n v="20468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5-04T00:00:00"/>
    <x v="1"/>
    <s v="ΔΙΕΥΘΥΝΣΗ Π.Ε. Δ΄ ΑΘΗΝΑΣ"/>
    <n v="35.141666666666666"/>
    <s v="31 - 40"/>
  </r>
  <r>
    <n v="99911186"/>
    <s v="Α"/>
    <x v="14"/>
    <x v="14"/>
    <m/>
    <m/>
    <s v="Γ΄"/>
    <n v="1"/>
    <n v="20586"/>
    <d v="2018-09-01T00:00:00"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5-02T00:00:00"/>
    <x v="0"/>
    <s v="ΔΙΕΥΘΥΝΣΗ Δ.Ε. Α΄ ΑΘΗΝΑΣ"/>
    <n v="35.147222222222226"/>
    <s v="31 - 40"/>
  </r>
  <r>
    <n v="99911187"/>
    <s v="Θ"/>
    <x v="2"/>
    <x v="2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2"/>
    <s v="7192017"/>
    <s v="ΙΔΙΩΤΙΚΟ ΝΗΠΙΑΓΩΓΕΙ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4-28T00:00:00"/>
    <x v="1"/>
    <s v="ΔΙΕΥΘΥΝΣΗ Π.Ε. ΔΥΤ. ΘΕΣ/ΝΙΚΗΣ"/>
    <n v="35.158333333333331"/>
    <s v="31 - 40"/>
  </r>
  <r>
    <n v="99911188"/>
    <s v="Θ"/>
    <x v="2"/>
    <x v="2"/>
    <m/>
    <m/>
    <s v="Γ΄"/>
    <n v="1"/>
    <n v="7771"/>
    <d v="2018-09-01T00:00:00"/>
    <s v="Α΄ ΛΕΣΒΟΥ (Π.Ε.) 2018"/>
    <s v="ΔΙΕΥΘΥΝΣΗ Π.Ε. ΛΕΣΒΟΥ"/>
    <s v="ΠΕΡΙΦΕΡΕΙΑΚΗ Δ/ΝΣΗ Α/ΘΜΙΑΣ ΚΑΙ Β/ΘΜΙΑΣ ΕΚΠ/ΣΗΣ ΒΟΡΕΙΟΥ ΑΙΓΑΙΟΥ"/>
    <n v="25"/>
    <s v="ΟΧΙ"/>
    <s v="ΟΧΙ"/>
    <s v="ΟΧΙ"/>
    <s v="ΟΧΙ"/>
    <s v="ΟΧΙ"/>
    <m/>
    <d v="2018-09-01T00:00:00"/>
    <s v="Ιδιωτικά Σχολεία"/>
    <x v="2"/>
    <s v="7331001"/>
    <s v="ΙΔΙΩΤΙΚΟ ΝΗΠΙΑΓΩΓΕΙΟ ΠΛΑΤΩΝΟΣ-ΝΗΠΙΑΓΩΓΕΙΟ Ο ΠΑΡΑΜΥΘΕΝΙΟΣ ΚΟΣΜΟΣ"/>
    <s v="Α΄ ΛΕΣΒΟΥ (Π.Ε.) 2018"/>
    <x v="64"/>
    <s v="ΠΕΡΙΦΕΡΕΙΑΚΗ Δ/ΝΣΗ Α/ΘΜΙΑΣ ΚΑΙ Β/ΘΜΙΑΣ ΕΚΠ/ΣΗΣ ΒΟΡΕΙΟΥ ΑΙΓΑΙΟΥ"/>
    <s v="Ιδιωτικού Δικαίου Αορίστου Χρόνου (Ι.Δ.Α.Χ.)"/>
    <s v="Τοποθέτηση σε Ιδιωτική Εκπαίδευση"/>
    <d v="1984-04-27T00:00:00"/>
    <x v="1"/>
    <s v="ΔΙΕΥΘΥΝΣΗ Π.Ε. ΛΕΣΒΟΥ"/>
    <n v="35.161111111111111"/>
    <s v="31 - 40"/>
  </r>
  <r>
    <n v="99911189"/>
    <s v="Θ"/>
    <x v="2"/>
    <x v="2"/>
    <m/>
    <m/>
    <s v="Γ΄"/>
    <n v="4"/>
    <s v="45/15-10-2010"/>
    <d v="2018-09-01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8-09-01T00:00:00"/>
    <s v="Ιδιωτικά Σχολεία"/>
    <x v="2"/>
    <s v="7281001"/>
    <s v="ΙΔΙΩΤΙΚΟ ΝΗΠΙΑΓΩΓΕΙΟ ΚΟΡΙΝΘΟΣ -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4-23T00:00:00"/>
    <x v="1"/>
    <s v="ΔΙΕΥΘΥΝΣΗ Π.Ε. ΚΟΡΙΝΘΙΑΣ"/>
    <n v="35.172222222222224"/>
    <s v="31 - 40"/>
  </r>
  <r>
    <n v="99911190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4-14T00:00:00"/>
    <x v="0"/>
    <s v="ΔΙΕΥΘΥΝΣΗ Δ.Ε. Γ΄ ΑΘΗΝΑΣ"/>
    <n v="35.197222222222223"/>
    <s v="31 - 40"/>
  </r>
  <r>
    <n v="99911191"/>
    <s v="Θ"/>
    <x v="24"/>
    <x v="24"/>
    <m/>
    <m/>
    <s v="Γ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4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4-04-07T00:00:00"/>
    <x v="0"/>
    <s v="ΔΙΕΥΘΥΝΣΗ Δ.Ε. ΑΙΤΩΛΟΑΚΑΡΝΑΝΙΑΣ"/>
    <n v="35.216666666666669"/>
    <s v="31 - 40"/>
  </r>
  <r>
    <n v="99911192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4-03T00:00:00"/>
    <x v="0"/>
    <s v="ΔΙΕΥΘΥΝΣΗ Δ.Ε. ΑΝΑΤΟΛΙΚΗΣ ΑΤΤΙΚΗΣ"/>
    <n v="35.227777777777774"/>
    <s v="31 - 40"/>
  </r>
  <r>
    <n v="99911193"/>
    <s v="Α"/>
    <x v="14"/>
    <x v="1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4-02T00:00:00"/>
    <x v="0"/>
    <s v="ΔΙΕΥΘΥΝΣΗ Δ.Ε. ΑΝΑΤΟΛΙΚΗΣ ΑΤΤΙΚΗΣ"/>
    <n v="35.230555555555554"/>
    <s v="31 - 40"/>
  </r>
  <r>
    <n v="99911194"/>
    <s v="Α"/>
    <x v="8"/>
    <x v="8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3-31T00:00:00"/>
    <x v="1"/>
    <s v="ΔΙΕΥΘΥΝΣΗ Π.Ε. Δ΄ ΑΘΗΝΑΣ"/>
    <n v="35.236111111111114"/>
    <s v="31 - 40"/>
  </r>
  <r>
    <n v="99911195"/>
    <s v="Θ"/>
    <x v="1"/>
    <x v="1"/>
    <m/>
    <m/>
    <s v="Γ΄"/>
    <n v="1"/>
    <n v="19057"/>
    <d v="2018-10-17T00:00:00"/>
    <s v="Α΄ ΠΕΙΡΑΙΑ (Π.Ε.) 2018"/>
    <s v="ΔΙΕΥΘΥΝΣΗ Π.Ε. ΠΕΙΡΑΙΑ"/>
    <s v="ΠΕΡΙΦΕΡΕΙΑΚΗ Δ/ΝΣΗ Α/ΘΜΙΑΣ ΚΑΙ Β/ΘΜΙΑΣ ΕΚΠ/ΣΗΣ ΑΤΤΙΚΗΣ"/>
    <n v="24"/>
    <s v="ΟΧΙ"/>
    <m/>
    <m/>
    <m/>
    <s v="ΟΧΙ"/>
    <m/>
    <d v="2018-10-17T00:00:00"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3-31T00:00:00"/>
    <x v="1"/>
    <s v="ΔΙΕΥΘΥΝΣΗ Π.Ε. ΠΕΙΡΑΙΑ"/>
    <n v="35.236111111111114"/>
    <s v="31 - 40"/>
  </r>
  <r>
    <n v="99911196"/>
    <s v="Θ"/>
    <x v="2"/>
    <x v="2"/>
    <m/>
    <m/>
    <s v="Γ΄"/>
    <n v="1"/>
    <s v="21018/06-10-2015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01"/>
    <s v="ΙΔΙΩΤΙΚΟ ΝΗΠΙΑΓΩΓΕΙΟ ΑΣΒΕΣΤΟΧΩΡΙ ΘΕΣΣΑΛΟΝΙΚΗΣ - Ο ΜΙΚΡΟΣ ΠΡΙΓΚΙΠΑΣ ΣΥΓΧΡΟΝΑ ΕΚΠΑΙΔΕΥΤΙΚΑ ΠΡΟΓΡΑΜΜΑΤΑ Α.Ε.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4-03-28T00:00:00"/>
    <x v="1"/>
    <s v="ΔΙΕΥΘΥΝΣΗ Π.Ε. ΑΝΑΤ. ΘΕΣ/ΝΙΚΗΣ"/>
    <n v="35.244444444444447"/>
    <s v="31 - 40"/>
  </r>
  <r>
    <n v="99911197"/>
    <s v="Α"/>
    <x v="5"/>
    <x v="5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4-03-26T00:00:00"/>
    <x v="0"/>
    <s v="ΔΙΕΥΘΥΝΣΗ Δ.Ε. ΑΙΤΩΛΟΑΚΑΡΝΑΝΙΑΣ"/>
    <n v="35.25"/>
    <s v="31 - 40"/>
  </r>
  <r>
    <n v="99911198"/>
    <s v="Α"/>
    <x v="3"/>
    <x v="3"/>
    <m/>
    <m/>
    <s v="Β΄"/>
    <n v="4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3-25T00:00:00"/>
    <x v="1"/>
    <s v="ΔΙΕΥΘΥΝΣΗ Π.Ε. Δ΄ ΑΘΗΝΑΣ"/>
    <n v="35.25277777777778"/>
    <s v="31 - 40"/>
  </r>
  <r>
    <n v="99911199"/>
    <s v="Α"/>
    <x v="8"/>
    <x v="8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17"/>
    <s v="ΟΧΙ"/>
    <s v="ΟΧΙ"/>
    <s v="ΟΧΙ"/>
    <s v="ΟΧΙ"/>
    <s v="ΟΧΙ"/>
    <m/>
    <m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3-18T00:00:00"/>
    <x v="1"/>
    <s v="ΔΙΕΥΘΥΝΣΗ Π.Ε. ΚΟΡΙΝΘΙΑΣ"/>
    <n v="35.272222222222226"/>
    <s v="31 - 40"/>
  </r>
  <r>
    <n v="99911200"/>
    <s v="Θ"/>
    <x v="14"/>
    <x v="14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8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4-03-16T00:00:00"/>
    <x v="1"/>
    <s v="ΔΙΕΥΘΥΝΣΗ Π.Ε. ΑΙΤΩΛΟΑΚΑΡΝΑΝΙΑΣ"/>
    <n v="35.277777777777779"/>
    <s v="31 - 40"/>
  </r>
  <r>
    <n v="99911201"/>
    <s v="Θ"/>
    <x v="15"/>
    <x v="1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3-12T00:00:00"/>
    <x v="0"/>
    <s v="ΔΙΕΥΘΥΝΣΗ Δ.Ε. ΑΝΑΤΟΛΙΚΗΣ ΑΤΤΙΚΗΣ"/>
    <n v="35.288888888888891"/>
    <s v="31 - 40"/>
  </r>
  <r>
    <n v="99911202"/>
    <s v="Θ"/>
    <x v="8"/>
    <x v="8"/>
    <m/>
    <m/>
    <s v="Γ΄"/>
    <n v="1"/>
    <s v="Φ.17/6191/31-10-2016"/>
    <d v="2018-09-01T00:00:00"/>
    <s v="ΚΟΡΙΝΘΙΑΣ (Π.Ε.) 2018"/>
    <s v="ΔΙΕΥΘΥΝΣΗ Π.Ε. ΚΟΡΙΝΘΙΑΣ"/>
    <s v="ΠΕΡΙΦΕΡΕΙΑΚΗ Δ/ΝΣΗ Α/ΘΜΙΑΣ ΚΑΙ Β/ΘΜΙΑΣ ΕΚΠ/ΣΗΣ ΠΕΛΟΠΟΝΝΗΣΟΥ"/>
    <n v="11"/>
    <s v="ΟΧΙ"/>
    <s v="ΟΧΙ"/>
    <s v="ΟΧΙ"/>
    <m/>
    <s v="ΟΧΙ"/>
    <m/>
    <d v="2018-09-01T00:00:00"/>
    <s v="Ιδιωτικά Σχολεία"/>
    <x v="1"/>
    <s v="7281002"/>
    <s v="ΙΔΙΩΤΙΚΟ ΔΗΜΟΤΙΚΟ ΙΣΘΜΟΣ ΚΟΡΙΝΘΟΥ - ΕΚΠΑΙΔΕΥΤΗΡΙΑ ΑΤΣΟΓΛΟΥ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4-03-08T00:00:00"/>
    <x v="1"/>
    <s v="ΔΙΕΥΘΥΝΣΗ Π.Ε. ΚΟΡΙΝΘΙΑΣ"/>
    <n v="35.299999999999997"/>
    <s v="31 - 40"/>
  </r>
  <r>
    <n v="99911203"/>
    <s v="Θ"/>
    <x v="4"/>
    <x v="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3-03T00:00:00"/>
    <x v="0"/>
    <s v="ΔΙΕΥΘΥΝΣΗ Δ.Ε. ΑΝΑΤΟΛΙΚΗΣ ΑΤΤΙΚΗΣ"/>
    <n v="35.31388888888889"/>
    <s v="31 - 40"/>
  </r>
  <r>
    <n v="99911204"/>
    <s v="Θ"/>
    <x v="2"/>
    <x v="2"/>
    <m/>
    <m/>
    <s v="Γ΄"/>
    <n v="1"/>
    <s v="100/19-11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d v="2018-09-01T00:00:00"/>
    <s v="Ιδιωτικά Σχολεία"/>
    <x v="2"/>
    <s v="7061021"/>
    <s v="ΙΔΙΩΤΙΚΟ ΝΗΠΙΑΓΩΓΕΙΟ ΠΑΤΡΑ - ΙΔ. ΝΗΠ. ΠΕΛΑΡΓΟΣ Α.Ε.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4-02-26T00:00:00"/>
    <x v="1"/>
    <s v="ΔΙΕΥΘΥΝΣΗ Π.Ε. ΑΧΑΪΑΣ"/>
    <n v="35.330555555555556"/>
    <s v="31 - 40"/>
  </r>
  <r>
    <n v="99911205"/>
    <s v="Θ"/>
    <x v="14"/>
    <x v="14"/>
    <m/>
    <m/>
    <s v="Α΄"/>
    <n v="7"/>
    <m/>
    <m/>
    <s v="Β΄ ΑΘΗΝΑΣ (Π.Ε.) 2018"/>
    <s v="ΔΙΕΥΘΥΝΣΗ Π.Ε. Β΄ ΑΘΗΝΑ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2-23T00:00:00"/>
    <x v="1"/>
    <s v="ΔΙΕΥΘΥΝΣΗ Π.Ε. Β΄ ΑΘΗΝΑΣ"/>
    <n v="35.338888888888889"/>
    <s v="31 - 40"/>
  </r>
  <r>
    <n v="99911206"/>
    <s v="Θ"/>
    <x v="2"/>
    <x v="2"/>
    <m/>
    <m/>
    <s v="Α΄"/>
    <n v="1"/>
    <m/>
    <m/>
    <s v="Α΄ ΕΒΡΟΥ (Π.Ε.) 2018"/>
    <s v="ΔΙΕΥΘΥΝΣΗ Π.Ε. ΕΒΡΟΥ"/>
    <s v="ΠΕΡΙΦΕΡΕΙΑΚΗ Δ/ΝΣΗ Α/ΘΜΙΑΣ ΚΑΙ Β/ΘΜΙΑΣ ΕΚΠ/ΣΗΣ ΑΝ. ΜΑΚΕΔΟΝΙΑΣ ΚΑΙ ΘΡΑΚΗΣ"/>
    <n v="25"/>
    <s v="ΟΧΙ"/>
    <s v="ΟΧΙ"/>
    <s v="ΟΧΙ"/>
    <s v="ΟΧΙ"/>
    <s v="ΟΧΙ"/>
    <m/>
    <m/>
    <s v="Ιδιωτικά Σχολεία"/>
    <x v="2"/>
    <s v="7111003"/>
    <s v="ΙΔΙΩΤΙΚΟ ΝΗΠΙΑΓΩΓΕΙΟ ΑΛΕΞΑΝΔΡΟΥΠΟΛΗΣ - ΙΔΙΩΤΙΚΟ ΝΗΠΙΑΓΩΓΕΙΟ ΛΕΓΓΕΤΣΗ ΚΥΡΙΑΚΗ"/>
    <s v="Α΄ ΕΒΡΟΥ (Π.Ε.) 2018"/>
    <x v="55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84-02-18T00:00:00"/>
    <x v="1"/>
    <s v="ΔΙΕΥΘΥΝΣΗ Π.Ε. ΕΒΡΟΥ"/>
    <n v="35.352777777777774"/>
    <s v="31 - 40"/>
  </r>
  <r>
    <n v="99911207"/>
    <s v="Θ"/>
    <x v="2"/>
    <x v="2"/>
    <m/>
    <m/>
    <s v="Γ΄"/>
    <n v="1"/>
    <s v="7/23-10-2012"/>
    <d v="2018-09-01T00:00:00"/>
    <s v="Α΄ ΕΒΡΟΥ (Π.Ε.) 2018"/>
    <s v="ΔΙΕΥΘΥΝΣΗ Π.Ε. ΕΒΡΟΥ"/>
    <s v="ΠΕΡΙΦΕΡΕΙΑΚΗ Δ/ΝΣΗ Α/ΘΜΙΑΣ ΚΑΙ Β/ΘΜΙΑΣ ΕΚΠ/ΣΗΣ ΑΝ. ΜΑΚΕΔΟΝΙΑΣ ΚΑΙ ΘΡΑΚΗΣ"/>
    <n v="25"/>
    <s v="ΟΧΙ"/>
    <s v="ΟΧΙ"/>
    <s v="ΟΧΙ"/>
    <m/>
    <s v="ΟΧΙ"/>
    <m/>
    <d v="2018-09-01T00:00:00"/>
    <s v="Ιδιωτικά Σχολεία"/>
    <x v="2"/>
    <s v="7111005"/>
    <s v="ΙΔΙΩΤΙΚΟ ΝΗΠΙΑΓΩΓΕΙΟ ΑΛΕΞΑΝΔΡΟΥΠΟΛΗΣ - ΙΔΙΩΤΙΚΟ ΝΗΠΙΑΓΩΓΕΙΟ ΑΓΓΕΛΙΔΟΥ"/>
    <s v="Α΄ ΕΒΡΟΥ (Π.Ε.) 2018"/>
    <x v="55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84-02-16T00:00:00"/>
    <x v="1"/>
    <s v="ΔΙΕΥΘΥΝΣΗ Π.Ε. ΕΒΡΟΥ"/>
    <n v="35.358333333333334"/>
    <s v="31 - 40"/>
  </r>
  <r>
    <n v="99911208"/>
    <s v="Α"/>
    <x v="0"/>
    <x v="0"/>
    <m/>
    <m/>
    <s v="Γ΄"/>
    <n v="1"/>
    <s v="Φ.17/5039"/>
    <d v="2018-09-01T00:00:00"/>
    <s v="ΚΟΡΙΝΘΙΑΣ (Π.Ε.) 2018"/>
    <s v="ΔΙΕΥΘΥΝΣΗ Π.Ε. ΚΟΡΙΝΘΙΑΣ"/>
    <s v="ΠΕΡΙΦΕΡΕΙΑΚΗ Δ/ΝΣΗ Α/ΘΜΙΑΣ ΚΑΙ Β/ΘΜΙΑΣ ΕΚΠ/ΣΗΣ ΠΕΛΟΠΟΝΝΗΣΟΥ"/>
    <n v="12"/>
    <s v="ΟΧΙ"/>
    <s v="ΟΧΙ"/>
    <s v="ΟΧΙ"/>
    <m/>
    <s v="ΟΧΙ"/>
    <m/>
    <d v="2018-09-01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4-02-16T00:00:00"/>
    <x v="1"/>
    <s v="ΔΙΕΥΘΥΝΣΗ Π.Ε. ΚΟΡΙΝΘΙΑΣ"/>
    <n v="35.358333333333334"/>
    <s v="31 - 40"/>
  </r>
  <r>
    <n v="99911209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1027"/>
    <s v="ΙΔΙΩΤΙΚΟ ΝΗΠΙΑΓΩΓ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2-06T00:00:00"/>
    <x v="1"/>
    <s v="ΔΙΕΥΘΥΝΣΗ Π.Ε. Α΄ ΑΘΗΝΑΣ"/>
    <n v="35.386111111111113"/>
    <s v="31 - 40"/>
  </r>
  <r>
    <n v="99911210"/>
    <s v="Θ"/>
    <x v="2"/>
    <x v="2"/>
    <m/>
    <m/>
    <s v="Γ΄"/>
    <n v="1"/>
    <n v="59"/>
    <d v="2018-09-01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451021"/>
    <s v="ΙΔΙΩΤΙΚΟ ΣΥΣΤΕΓΑΖΟΜΕΝΟ ΝΗΠΙΑΓΩΓΕΙΟ - ΒΑΣΙΛΕΙΟΥ ΚΑΛΛΙΡΡΟΗ - ΧΩΡΑ ΤΩΝ ΘΑΥΜΑΤΩΝ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4-02-03T00:00:00"/>
    <x v="1"/>
    <s v="ΔΙΕΥΘΥΝΣΗ Π.Ε. ΤΡΙΚΑΛΩΝ"/>
    <n v="35.394444444444446"/>
    <s v="31 - 40"/>
  </r>
  <r>
    <n v="99911211"/>
    <s v="Θ"/>
    <x v="8"/>
    <x v="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28T00:00:00"/>
    <x v="1"/>
    <s v="ΔΙΕΥΘΥΝΣΗ Π.Ε. Α΄ ΑΘΗΝΑΣ"/>
    <n v="35.411111111111111"/>
    <s v="31 - 40"/>
  </r>
  <r>
    <n v="99911212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28T00:00:00"/>
    <x v="1"/>
    <s v="ΔΙΕΥΘΥΝΣΗ Π.Ε. Β΄ ΑΘΗΝΑΣ"/>
    <n v="35.411111111111111"/>
    <s v="31 - 40"/>
  </r>
  <r>
    <n v="99911213"/>
    <s v="Α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17T00:00:00"/>
    <x v="1"/>
    <s v="ΔΙΕΥΘΥΝΣΗ Π.Ε. ΑΝΑΤΟΛΙΚΗΣ ΑΤΤΙΚΗΣ"/>
    <n v="35.44166666666667"/>
    <s v="31 - 40"/>
  </r>
  <r>
    <n v="99911214"/>
    <s v="Θ"/>
    <x v="1"/>
    <x v="1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16T00:00:00"/>
    <x v="1"/>
    <s v="ΔΙΕΥΘΥΝΣΗ Π.Ε. Β΄ ΑΘΗΝΑΣ"/>
    <n v="35.444444444444443"/>
    <s v="31 - 40"/>
  </r>
  <r>
    <n v="99911215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15T00:00:00"/>
    <x v="1"/>
    <s v="ΔΙΕΥΘΥΝΣΗ Π.Ε. Α΄ ΑΘΗΝΑΣ"/>
    <n v="35.447222222222223"/>
    <s v="31 - 40"/>
  </r>
  <r>
    <n v="99911216"/>
    <s v="Θ"/>
    <x v="0"/>
    <x v="0"/>
    <m/>
    <m/>
    <s v="Β΄"/>
    <n v="3"/>
    <s v="Φ.Ι.Α.2/29881/10-12-2013"/>
    <d v="2013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4-01-13T00:00:00"/>
    <x v="1"/>
    <s v="ΔΙΕΥΘΥΝΣΗ Π.Ε. ΑΝΑΤΟΛΙΚΗΣ ΑΤΤΙΚΗΣ"/>
    <n v="35.452777777777776"/>
    <s v="31 - 40"/>
  </r>
  <r>
    <n v="99911217"/>
    <s v="Θ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153"/>
    <s v="ΙΔΙΩΤΙΚΟ ΣΥΣΤΕΓΑΖΟΜΕΝΟ ΝΗΠΙΑΓΩΓΕΙΟ - ΖΑΦΕΙΡΟΠΟΥΛΟΥ ΑΝΘΙΠΠΗ 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10T00:00:00"/>
    <x v="1"/>
    <s v="ΔΙΕΥΘΥΝΣΗ Π.Ε. ΑΝΑΤΟΛΙΚΗΣ ΑΤΤΙΚΗΣ"/>
    <n v="35.461111111111109"/>
    <s v="31 - 40"/>
  </r>
  <r>
    <n v="99911218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21071"/>
    <s v="Ιδιωτικό Συστεγαζόμενο Νηπιαγωγείο &quot;ΚΥΡΕΖΗ ΑΘΑΝΑΣΙΑ&quot;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8T00:00:00"/>
    <x v="1"/>
    <s v="ΔΙΕΥΘΥΝΣΗ Π.Ε. ΑΝΑΤΟΛΙΚΗΣ ΑΤΤΙΚΗΣ"/>
    <n v="35.466666666666669"/>
    <s v="31 - 40"/>
  </r>
  <r>
    <n v="99911219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4"/>
    <s v="ΟΧΙ"/>
    <m/>
    <s v="ΟΧΙ"/>
    <m/>
    <s v="ΟΧΙ"/>
    <m/>
    <m/>
    <s v="Ιδιωτικά Σχολεία"/>
    <x v="2"/>
    <s v="7051139"/>
    <s v="ΙΔΙΩΤΙΚΟ ΣΥΣΤΕΓΑΖΟΜΕΝΟ ΝΗΠΙΑΓΩΓΕΙΟ - ΜΑΓΙΑ ΚΑΙ ΜΠΙΛΛΥ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6T00:00:00"/>
    <x v="1"/>
    <s v="ΔΙΕΥΘΥΝΣΗ Π.Ε. Α΄ ΑΘΗΝΑΣ"/>
    <n v="35.472222222222221"/>
    <s v="31 - 40"/>
  </r>
  <r>
    <n v="99911220"/>
    <s v="Θ"/>
    <x v="9"/>
    <x v="9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0"/>
    <s v="ΟΧΙ"/>
    <s v="ΟΧΙ"/>
    <s v="ΟΧΙ"/>
    <m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4-01-03T00:00:00"/>
    <x v="0"/>
    <s v="ΔΙΕΥΘΥΝΣΗ Δ.Ε. ΑΡΓΟΛΙΔΑΣ"/>
    <n v="35.480555555555554"/>
    <s v="31 - 40"/>
  </r>
  <r>
    <n v="99911221"/>
    <s v="Α"/>
    <x v="16"/>
    <x v="16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9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4-01-02T00:00:00"/>
    <x v="0"/>
    <s v="ΔΙΕΥΘΥΝΣΗ Δ.Ε. ΑΧΑΪΑΣ"/>
    <n v="35.483333333333334"/>
    <s v="31 - 40"/>
  </r>
  <r>
    <n v="9991122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0"/>
    <s v="ΔΙΕΥΘΥΝΣΗ Δ.Ε. Β΄ ΑΘΗΝΑΣ"/>
    <n v="35.486111111111114"/>
    <s v="31 - 40"/>
  </r>
  <r>
    <n v="99911223"/>
    <s v="Α"/>
    <x v="15"/>
    <x v="15"/>
    <m/>
    <m/>
    <s v="Α΄"/>
    <n v="1"/>
    <s v="ΒΛΓΠ9-ΝΚ3"/>
    <d v="2013-12-06T00:00:00"/>
    <s v="Δ΄ ΑΘΗΝΑΣ (Δ.Ε.) 2018"/>
    <s v="ΔΙΕΥΘΥΝΣΗ Δ.Ε. Δ΄ ΑΘΗΝΑΣ"/>
    <s v="ΠΕΡΙΦΕΡΕΙΑΚΗ Δ/ΝΣΗ Α/ΘΜΙΑΣ ΚΑΙ Β/ΘΜΙΑΣ ΕΚΠ/ΣΗΣ ΑΤΤΙΚΗΣ"/>
    <n v="10"/>
    <s v="ΟΧΙ"/>
    <s v="ΟΧΙ"/>
    <s v="ΟΧΙ"/>
    <s v="ΟΧΙ"/>
    <s v="ΟΧΙ"/>
    <m/>
    <d v="2013-12-06T00:00:00"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0"/>
    <s v="ΔΙΕΥΘΥΝΣΗ Δ.Ε. Δ΄ ΑΘΗΝΑΣ"/>
    <n v="35.486111111111114"/>
    <s v="31 - 40"/>
  </r>
  <r>
    <n v="99911224"/>
    <s v="Θ"/>
    <x v="4"/>
    <x v="4"/>
    <m/>
    <m/>
    <s v="Γ΄"/>
    <n v="1"/>
    <n v="21384"/>
    <d v="2018-10-01T00:00:00"/>
    <s v="Α΄ ΠΕΙΡΑΙΑ (Δ.Ε.) 2018"/>
    <s v="ΔΙΕΥΘΥΝΣΗ Δ.Ε. ΠΕΙΡΑΙΑ"/>
    <s v="ΠΕΡΙΦΕΡΕΙΑΚΗ Δ/ΝΣΗ Α/ΘΜΙΑΣ ΚΑΙ Β/ΘΜΙΑΣ ΕΚΠ/ΣΗΣ ΑΤΤΙΚΗΣ"/>
    <n v="22"/>
    <s v="ΟΧΙ"/>
    <m/>
    <m/>
    <m/>
    <s v="ΟΧΙ"/>
    <m/>
    <d v="2018-10-01T00:00:00"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1-01T00:00:00"/>
    <x v="0"/>
    <s v="ΔΙΕΥΘΥΝΣΗ Δ.Ε. ΠΕΙΡΑΙΑ"/>
    <n v="35.486111111111114"/>
    <s v="31 - 40"/>
  </r>
  <r>
    <n v="99911225"/>
    <s v="Θ"/>
    <x v="15"/>
    <x v="15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2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1-01T00:00:00"/>
    <x v="0"/>
    <s v="ΔΙΕΥΘΥΝΣΗ Δ.Ε. ΠΕΙΡΑΙΑ"/>
    <n v="35.486111111111114"/>
    <s v="31 - 40"/>
  </r>
  <r>
    <n v="99911226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1"/>
    <s v="ΔΙΕΥΘΥΝΣΗ Π.Ε. ΑΝΑΤΟΛΙΚΗΣ ΑΤΤΙΚΗΣ"/>
    <n v="35.486111111111114"/>
    <s v="31 - 40"/>
  </r>
  <r>
    <n v="99911227"/>
    <s v="Α"/>
    <x v="0"/>
    <x v="0"/>
    <m/>
    <m/>
    <s v="Γ΄"/>
    <n v="1"/>
    <s v="ΩΓΧΑ9-895"/>
    <d v="2014-12-08T00:00:00"/>
    <s v="Α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d v="2014-12-08T00:00:00"/>
    <s v="Ιδιωτικά Σχολεία"/>
    <x v="1"/>
    <s v="7521060"/>
    <s v="ΙΔΙΩΤΙΚΟ ΔΗΜΟΤΙΚΟ ΣΧΟΛΕΙΟ - ΔΕΣ ΔΗΜΟΤΙΚΟ ΙΚΕ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4-01-01T00:00:00"/>
    <x v="1"/>
    <s v="ΔΙΕΥΘΥΝΣΗ Π.Ε. ΑΝΑΤΟΛΙΚΗΣ ΑΤΤΙΚΗΣ"/>
    <n v="35.486111111111114"/>
    <s v="31 - 40"/>
  </r>
  <r>
    <n v="99911228"/>
    <s v="Θ"/>
    <x v="1"/>
    <x v="1"/>
    <m/>
    <m/>
    <s v="Γ΄"/>
    <n v="1"/>
    <s v="ΩΦΗΟ4653ΠΣ-ΡΞΥ"/>
    <d v="2015-12-14T00:00:00"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5-12-14T00:00:00"/>
    <s v="Ιδιωτικά Σχολεία"/>
    <x v="1"/>
    <s v="7521038"/>
    <s v="1/ΘΕΣΙΟ ΙΔΙΩΤΙΚΟ ΔΗΜΟΤΙΚΟ ΣΧΟΛΕΙΟ ΝΙΚΗ ΑΓΓΕΛΑΚΗ - ΛΥΡΕΙΟ ΠΑΙΔΙΚΟ ΙΔΡΥΜ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4-01-01T00:00:00"/>
    <x v="1"/>
    <s v="ΔΙΕΥΘΥΝΣΗ Π.Ε. ΑΝΑΤΟΛΙΚΗΣ ΑΤΤΙΚΗΣ"/>
    <n v="35.486111111111114"/>
    <s v="31 - 40"/>
  </r>
  <r>
    <n v="99911229"/>
    <s v="Θ"/>
    <x v="0"/>
    <x v="0"/>
    <m/>
    <m/>
    <s v="Α΄"/>
    <n v="1"/>
    <s v="Ω7ΠΡ9-6ΦΖ"/>
    <d v="2014-10-29T00:00:00"/>
    <s v="Β΄ ΑΘΗΝΑΣ (Π.Ε.) 2018"/>
    <s v="ΔΙΕΥΘΥΝΣΗ Π.Ε. Β΄ ΑΘΗΝΑΣ"/>
    <s v="ΠΕΡΙΦΕΡΕΙΑΚΗ Δ/ΝΣΗ Α/ΘΜΙΑΣ ΚΑΙ Β/ΘΜΙΑΣ ΕΚΠ/ΣΗΣ ΑΤΤΙΚΗΣ"/>
    <n v="13"/>
    <s v="ΟΧΙ"/>
    <s v="ΟΧΙ"/>
    <s v="ΟΧΙ"/>
    <s v="ΟΧΙ"/>
    <s v="ΟΧΙ"/>
    <m/>
    <d v="2014-10-29T00:00:00"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1"/>
    <s v="ΔΙΕΥΘΥΝΣΗ Π.Ε. Β΄ ΑΘΗΝΑΣ"/>
    <n v="35.486111111111114"/>
    <s v="31 - 40"/>
  </r>
  <r>
    <n v="99911230"/>
    <s v="Θ"/>
    <x v="10"/>
    <x v="10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s v="ΟΧΙ"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1"/>
    <s v="ΔΙΕΥΘΥΝΣΗ Π.Ε. Β΄ ΑΘΗΝΑΣ"/>
    <n v="35.486111111111114"/>
    <s v="31 - 40"/>
  </r>
  <r>
    <n v="99911231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1"/>
    <s v="ΔΙΕΥΘΥΝΣΗ Π.Ε. Β΄ ΑΘΗΝΑΣ"/>
    <n v="35.486111111111114"/>
    <s v="31 - 40"/>
  </r>
  <r>
    <n v="99911232"/>
    <s v="Α"/>
    <x v="1"/>
    <x v="1"/>
    <m/>
    <m/>
    <s v="Β΄"/>
    <n v="4"/>
    <s v="ΒΛ9Ν9-ΛΞΒ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1"/>
    <s v="ΔΙΕΥΘΥΝΣΗ Π.Ε. Δ΄ ΑΘΗΝΑΣ"/>
    <n v="35.486111111111114"/>
    <s v="31 - 40"/>
  </r>
  <r>
    <n v="99911233"/>
    <s v="Θ"/>
    <x v="10"/>
    <x v="10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4-01-01T00:00:00"/>
    <x v="1"/>
    <s v="ΔΙΕΥΘΥΝΣΗ Π.Ε. ΠΕΙΡΑΙΑ"/>
    <n v="35.486111111111114"/>
    <s v="31 - 40"/>
  </r>
  <r>
    <n v="99911234"/>
    <s v="Θ"/>
    <x v="10"/>
    <x v="10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4"/>
    <s v="ΟΧΙ"/>
    <s v="ΟΧΙ"/>
    <s v="ΟΧΙ"/>
    <s v="ΟΧΙ"/>
    <s v="ΟΧΙ"/>
    <m/>
    <m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4-01-01T00:00:00"/>
    <x v="0"/>
    <s v="ΔΙΕΥΘΥΝΣΗ Δ.Ε. ΙΩΑΝΝΙΝΩΝ"/>
    <n v="35.486111111111114"/>
    <s v="31 - 40"/>
  </r>
  <r>
    <n v="99911235"/>
    <s v="Θ"/>
    <x v="5"/>
    <x v="5"/>
    <m/>
    <m/>
    <s v="Γ΄"/>
    <n v="1"/>
    <n v="16642"/>
    <d v="2018-09-1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s v="ΟΧΙ"/>
    <s v="ΟΧΙ"/>
    <s v="ΟΧΙ"/>
    <s v="ΟΧΙ"/>
    <s v="ΟΧΙ"/>
    <m/>
    <d v="2018-09-1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4-01-01T00:00:00"/>
    <x v="0"/>
    <s v="ΔΙΕΥΘΥΝΣΗ Δ.Ε. ΔΥΤ. ΘΕΣ/ΝΙΚΗΣ"/>
    <n v="35.486111111111114"/>
    <s v="31 - 40"/>
  </r>
  <r>
    <n v="99911236"/>
    <s v="Θ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4-01-01T00:00:00"/>
    <x v="1"/>
    <s v="ΔΙΕΥΘΥΝΣΗ Π.Ε. ΑΝΑΤ. ΘΕΣ/ΝΙΚΗΣ"/>
    <n v="35.486111111111114"/>
    <s v="31 - 40"/>
  </r>
  <r>
    <n v="99911237"/>
    <s v="Θ"/>
    <x v="0"/>
    <x v="0"/>
    <m/>
    <m/>
    <s v="Γ΄"/>
    <n v="1"/>
    <s v="Φ.17.2/8575"/>
    <d v="2018-09-28T00:00:00"/>
    <s v="ΧΑΝΙΩΝ (Π.Ε.) 2018"/>
    <s v="ΔΙΕΥΘΥΝΣΗ Π.Ε. ΧΑΝΙΩΝ"/>
    <s v="ΠΕΡΙΦΕΡΕΙΑΚΗ Δ/ΝΣΗ Α/ΘΜΙΑΣ ΚΑΙ Β/ΘΜΙΑΣ ΕΚΠ/ΣΗΣ ΚΡΗΤΗΣ"/>
    <n v="24"/>
    <s v="ΟΧΙ"/>
    <m/>
    <m/>
    <m/>
    <s v="ΟΧΙ"/>
    <m/>
    <d v="2018-09-28T00:00:00"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4-01-01T00:00:00"/>
    <x v="1"/>
    <s v="ΔΙΕΥΘΥΝΣΗ Π.Ε. ΧΑΝΙΩΝ"/>
    <n v="35.486111111111114"/>
    <s v="31 - 40"/>
  </r>
  <r>
    <n v="99911238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051141"/>
    <s v="ΙΔΙΩΤΙΚΟ ΝΗΠΙΑΓΩΓΕΙΟ - ΣΕΛΛΗ ΧΑΡΙΚΛΕ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31T00:00:00"/>
    <x v="1"/>
    <s v="ΔΙΕΥΘΥΝΣΗ Π.Ε. Α΄ ΑΘΗΝΑΣ"/>
    <n v="35.488888888888887"/>
    <s v="31 - 40"/>
  </r>
  <r>
    <n v="99911239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29T00:00:00"/>
    <x v="1"/>
    <s v="ΔΙΕΥΘΥΝΣΗ Π.Ε. Δ΄ ΑΘΗΝΑΣ"/>
    <n v="35.494444444444447"/>
    <s v="31 - 40"/>
  </r>
  <r>
    <n v="99911240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1"/>
    <s v="ΙΔΙΩΤΙΚΟ ΝΗΠΙΑΓΩΓΕΙΟ ΧΑΝΙΩΝ - ΙΔΙΩΤΙΚΟ ΝΗΠΙΑΓΩΓ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3-12-29T00:00:00"/>
    <x v="1"/>
    <s v="ΔΙΕΥΘΥΝΣΗ Π.Ε. ΧΑΝΙΩΝ"/>
    <n v="35.494444444444447"/>
    <s v="31 - 40"/>
  </r>
  <r>
    <n v="99911241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3029"/>
    <s v="ΙΔΙΩΤΙΚΟ ΝΗΠΙΑΓΩΓΕΙΟ - Α. ΣΟΦΙΟΥ Ε.Ε. (ΑΓΩΓΗ ΚΑΙ ΦΡΟΝΤΙΔΑ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26T00:00:00"/>
    <x v="1"/>
    <s v="ΔΙΕΥΘΥΝΣΗ Π.Ε. Γ΄ ΑΘΗΝΑΣ"/>
    <n v="35.50277777777778"/>
    <s v="31 - 40"/>
  </r>
  <r>
    <n v="99911242"/>
    <s v="Θ"/>
    <x v="2"/>
    <x v="2"/>
    <m/>
    <m/>
    <s v="Γ΄"/>
    <n v="1"/>
    <n v="2032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21T00:00:00"/>
    <x v="1"/>
    <s v="ΔΙΕΥΘΥΝΣΗ Π.Ε. Δ΄ ΑΘΗΝΑΣ"/>
    <n v="35.516666666666666"/>
    <s v="31 - 40"/>
  </r>
  <r>
    <n v="99911243"/>
    <s v="Α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20T00:00:00"/>
    <x v="0"/>
    <s v="ΔΙΕΥΘΥΝΣΗ Δ.Ε. ΑΝΑΤΟΛΙΚΗΣ ΑΤΤΙΚΗΣ"/>
    <n v="35.519444444444446"/>
    <s v="31 - 40"/>
  </r>
  <r>
    <n v="99911244"/>
    <s v="Θ"/>
    <x v="3"/>
    <x v="3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19T00:00:00"/>
    <x v="0"/>
    <s v="ΔΙΕΥΘΥΝΣΗ Δ.Ε. Δ΄ ΑΘΗΝΑΣ"/>
    <n v="35.522222222222226"/>
    <s v="31 - 40"/>
  </r>
  <r>
    <n v="99911245"/>
    <s v="Θ"/>
    <x v="5"/>
    <x v="5"/>
    <m/>
    <m/>
    <s v="Γ΄"/>
    <n v="1"/>
    <s v="8923/Φ17.2/20-09-2018"/>
    <d v="2018-09-18T00:00:00"/>
    <s v="ΞΑΝΘΗΣ (Δ.Ε.) 2018"/>
    <s v="ΔΙΕΥΘΥΝΣΗ Δ.Ε. ΞΑΝΘΗΣ"/>
    <s v="ΠΕΡΙΦΕΡΕΙΑΚΗ Δ/ΝΣΗ Α/ΘΜΙΑΣ ΚΑΙ Β/ΘΜΙΑΣ ΕΚΠ/ΣΗΣ ΑΝ. ΜΑΚΕΔΟΝΙΑΣ ΚΑΙ ΘΡΑΚΗΣ"/>
    <n v="21"/>
    <s v="ΟΧΙ"/>
    <s v="ΟΧΙ"/>
    <s v="ΟΧΙ"/>
    <s v="ΟΧΙ"/>
    <s v="ΟΧΙ"/>
    <m/>
    <d v="2018-09-18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Αναπληρωτής Ιδιωτικής Εκπαίδευσης (ν. 682/1977 άρ.35, παρ.4)"/>
    <s v="Τοποθέτηση σε Ιδιωτική Εκπαίδευση"/>
    <d v="1983-12-16T00:00:00"/>
    <x v="0"/>
    <s v="ΔΙΕΥΘΥΝΣΗ Δ.Ε. ΞΑΝΘΗΣ"/>
    <n v="35.530555555555559"/>
    <s v="31 - 40"/>
  </r>
  <r>
    <n v="99911246"/>
    <s v="Θ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3-12-15T00:00:00"/>
    <x v="0"/>
    <s v="ΔΙΕΥΘΥΝΣΗ Δ.Ε. Β΄ ΑΘΗΝΑΣ"/>
    <n v="35.533333333333331"/>
    <s v="31 - 40"/>
  </r>
  <r>
    <n v="99911247"/>
    <s v="Α"/>
    <x v="1"/>
    <x v="1"/>
    <m/>
    <m/>
    <s v="Γ΄"/>
    <n v="1"/>
    <n v="2032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15T00:00:00"/>
    <x v="1"/>
    <s v="ΔΙΕΥΘΥΝΣΗ Π.Ε. Δ΄ ΑΘΗΝΑΣ"/>
    <n v="35.533333333333331"/>
    <s v="31 - 40"/>
  </r>
  <r>
    <n v="99911248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23"/>
    <s v="2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2-11T00:00:00"/>
    <x v="1"/>
    <s v="ΔΙΕΥΘΥΝΣΗ Π.Ε. ΑΝΑΤΟΛΙΚΗΣ ΑΤΤΙΚΗΣ"/>
    <n v="35.544444444444444"/>
    <s v="31 - 40"/>
  </r>
  <r>
    <n v="99911249"/>
    <s v="Α"/>
    <x v="15"/>
    <x v="15"/>
    <m/>
    <m/>
    <s v="Γ΄"/>
    <n v="1"/>
    <s v="Φ.17/16539/7/24-10-2018"/>
    <d v="2018-09-10T00:00:00"/>
    <s v="ΑΧΑΪΑΣ (Δ.Ε.) 2018"/>
    <s v="ΔΙΕΥΘΥΝΣΗ Δ.Ε. ΑΧΑΪΑΣ"/>
    <s v="ΠΕΡΙΦΕΡΕΙΑΚΗ Δ/ΝΣΗ Α/ΘΜΙΑΣ ΚΑΙ Β/ΘΜΙΑΣ ΕΚΠ/ΣΗΣ ΔΥΤΙΚΗΣ ΕΛΛΑΔΑΣ"/>
    <n v="3"/>
    <s v="ΟΧΙ"/>
    <m/>
    <m/>
    <m/>
    <s v="ΟΧΙ"/>
    <m/>
    <d v="2018-09-10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3-12-02T00:00:00"/>
    <x v="0"/>
    <s v="ΔΙΕΥΘΥΝΣΗ Δ.Ε. ΑΧΑΪΑΣ"/>
    <n v="35.569444444444443"/>
    <s v="31 - 40"/>
  </r>
  <r>
    <n v="99911250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30T00:00:00"/>
    <x v="0"/>
    <s v="ΔΙΕΥΘΥΝΣΗ Δ.Ε. Β΄ ΑΘΗΝΑΣ"/>
    <n v="35.575000000000003"/>
    <s v="31 - 40"/>
  </r>
  <r>
    <n v="99911251"/>
    <s v="Θ"/>
    <x v="2"/>
    <x v="2"/>
    <m/>
    <m/>
    <s v="Α΄"/>
    <n v="4"/>
    <m/>
    <m/>
    <s v="Α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1043"/>
    <s v="ΙΔΙΩΤΙΚΟ ΝΗΠΙΑΓΩΓΕΙΟ - ΟΙ ΜΙΚΡΟΙ ΚΥΚΝΟΙ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30T00:00:00"/>
    <x v="1"/>
    <s v="ΔΙΕΥΘΥΝΣΗ Π.Ε. Α΄ ΑΘΗΝΑΣ"/>
    <n v="35.575000000000003"/>
    <s v="31 - 40"/>
  </r>
  <r>
    <n v="99911252"/>
    <s v="Α"/>
    <x v="14"/>
    <x v="1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29T00:00:00"/>
    <x v="0"/>
    <s v="ΔΙΕΥΘΥΝΣΗ Δ.Ε. Γ΄ ΑΘΗΝΑΣ"/>
    <n v="35.577777777777776"/>
    <s v="31 - 40"/>
  </r>
  <r>
    <n v="99911253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28T00:00:00"/>
    <x v="0"/>
    <s v="ΔΙΕΥΘΥΝΣΗ Δ.Ε. Γ΄ ΑΘΗΝΑΣ"/>
    <n v="35.580555555555556"/>
    <s v="31 - 40"/>
  </r>
  <r>
    <n v="99911254"/>
    <s v="Θ"/>
    <x v="1"/>
    <x v="1"/>
    <m/>
    <m/>
    <s v="Γ΄"/>
    <n v="1"/>
    <s v="12059/29-09-20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24T00:00:00"/>
    <x v="1"/>
    <s v="ΔΙΕΥΘΥΝΣΗ Π.Ε. Δ΄ ΑΘΗΝΑΣ"/>
    <n v="35.591666666666669"/>
    <s v="31 - 40"/>
  </r>
  <r>
    <n v="99911255"/>
    <s v="Θ"/>
    <x v="3"/>
    <x v="3"/>
    <m/>
    <m/>
    <s v="Α΄"/>
    <n v="5"/>
    <m/>
    <m/>
    <s v="Α΄ ΑΘΗΝΑΣ (Δ.Ε.) 2018"/>
    <s v="ΔΙΕΥΘΥΝΣΗ Δ.Ε. Α΄ ΑΘΗΝΑΣ"/>
    <s v="ΠΕΡΙΦΕΡΕΙΑΚΗ Δ/ΝΣΗ Α/ΘΜΙΑΣ ΚΑΙ Β/ΘΜΙΑΣ ΕΚΠ/ΣΗΣ ΑΤΤΙΚΗΣ"/>
    <n v="14"/>
    <s v="ΟΧΙ"/>
    <s v="ΟΧΙ"/>
    <s v="ΟΧΙ"/>
    <s v="ΟΧΙ"/>
    <s v="ΟΧΙ"/>
    <m/>
    <d v="2006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23T00:00:00"/>
    <x v="0"/>
    <s v="ΔΙΕΥΘΥΝΣΗ Δ.Ε. Α΄ ΑΘΗΝΑΣ"/>
    <n v="35.594444444444441"/>
    <s v="31 - 40"/>
  </r>
  <r>
    <n v="99911256"/>
    <s v="Θ"/>
    <x v="14"/>
    <x v="14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22T00:00:00"/>
    <x v="0"/>
    <s v="ΔΙΕΥΘΥΝΣΗ Δ.Ε. Δ΄ ΑΘΗΝΑΣ"/>
    <n v="35.597222222222221"/>
    <s v="31 - 40"/>
  </r>
  <r>
    <n v="99911257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13T00:00:00"/>
    <x v="0"/>
    <s v="ΔΙΕΥΘΥΝΣΗ Δ.Ε. Β΄ ΑΘΗΝΑΣ"/>
    <n v="35.62222222222222"/>
    <s v="31 - 40"/>
  </r>
  <r>
    <n v="99911258"/>
    <s v="Θ"/>
    <x v="14"/>
    <x v="1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13T00:00:00"/>
    <x v="0"/>
    <s v="ΔΙΕΥΘΥΝΣΗ Δ.Ε. ΠΕΙΡΑΙΑ"/>
    <n v="35.62222222222222"/>
    <s v="31 - 40"/>
  </r>
  <r>
    <n v="99911259"/>
    <s v="Θ"/>
    <x v="14"/>
    <x v="14"/>
    <m/>
    <m/>
    <s v="Α΄"/>
    <n v="1"/>
    <s v="Ω5Θ44653ΠΣ-ΒΞΧ"/>
    <d v="2016-09-26T00:00:00"/>
    <s v="Β΄ ΑΘΗΝΑΣ (Π.Ε.) 2018"/>
    <s v="ΔΙΕΥΘΥΝΣΗ Π.Ε. Β΄ ΑΘΗΝΑΣ"/>
    <s v="ΠΕΡΙΦΕΡΕΙΑΚΗ Δ/ΝΣΗ Α/ΘΜΙΑΣ ΚΑΙ Β/ΘΜΙΑΣ ΕΚΠ/ΣΗΣ ΑΤΤΙΚΗΣ"/>
    <n v="12"/>
    <s v="ΟΧΙ"/>
    <s v="ΟΧΙ"/>
    <s v="ΟΧΙ"/>
    <m/>
    <s v="ΟΧΙ"/>
    <m/>
    <d v="2016-09-26T00:00:00"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07T00:00:00"/>
    <x v="1"/>
    <s v="ΔΙΕΥΘΥΝΣΗ Π.Ε. Β΄ ΑΘΗΝΑΣ"/>
    <n v="35.638888888888886"/>
    <s v="31 - 40"/>
  </r>
  <r>
    <n v="99911260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3-11-03T00:00:00"/>
    <x v="0"/>
    <s v="ΔΙΕΥΘΥΝΣΗ Δ.Ε. Δ΄ ΑΘΗΝΑΣ"/>
    <n v="35.65"/>
    <s v="31 - 40"/>
  </r>
  <r>
    <n v="99911261"/>
    <s v="Θ"/>
    <x v="0"/>
    <x v="0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6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3-11-02T00:00:00"/>
    <x v="0"/>
    <s v="ΔΙΕΥΘΥΝΣΗ Δ.Ε. ΑΙΤΩΛΟΑΚΑΡΝΑΝΙΑΣ"/>
    <n v="35.652777777777779"/>
    <s v="31 - 40"/>
  </r>
  <r>
    <n v="99911262"/>
    <s v="Α"/>
    <x v="15"/>
    <x v="15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1-01T00:00:00"/>
    <x v="0"/>
    <s v="ΔΙΕΥΘΥΝΣΗ Δ.Ε. ΑΝΑΤΟΛΙΚΗΣ ΑΤΤΙΚΗΣ"/>
    <n v="35.655555555555559"/>
    <s v="31 - 40"/>
  </r>
  <r>
    <n v="99911263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0-27T00:00:00"/>
    <x v="0"/>
    <s v="ΔΙΕΥΘΥΝΣΗ Δ.Ε. Β΄ ΑΘΗΝΑΣ"/>
    <n v="35.669444444444444"/>
    <s v="31 - 40"/>
  </r>
  <r>
    <n v="99911264"/>
    <s v="Α"/>
    <x v="4"/>
    <x v="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10-25T00:00:00"/>
    <x v="0"/>
    <s v="ΔΙΕΥΘΥΝΣΗ Δ.Ε. Β΄ ΑΘΗΝΑΣ"/>
    <n v="35.674999999999997"/>
    <s v="31 - 40"/>
  </r>
  <r>
    <n v="99911265"/>
    <s v="Θ"/>
    <x v="6"/>
    <x v="6"/>
    <m/>
    <m/>
    <s v="Γ΄"/>
    <n v="1"/>
    <n v="15437"/>
    <d v="2018-09-01T00:00:00"/>
    <s v="Δ΄ ΑΘΗΝΑΣ (Δ.Ε.) 2018"/>
    <s v="ΔΙΕΥΘΥΝΣΗ Δ.Ε. Δ΄ ΑΘΗΝΑΣ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10-25T00:00:00"/>
    <x v="0"/>
    <s v="ΔΙΕΥΘΥΝΣΗ Δ.Ε. Δ΄ ΑΘΗΝΑΣ"/>
    <n v="35.674999999999997"/>
    <s v="31 - 40"/>
  </r>
  <r>
    <n v="99911266"/>
    <s v="Θ"/>
    <x v="0"/>
    <x v="0"/>
    <m/>
    <m/>
    <s v="Γ΄"/>
    <n v="1"/>
    <n v="11609"/>
    <d v="2018-09-01T00:00:00"/>
    <s v="Δ΄ ΑΘΗΝΑΣ (Π.Ε.) 2018"/>
    <s v="ΔΙΕΥΘΥΝΣΗ Π.Ε. Δ΄ ΑΘΗΝΑΣ"/>
    <s v="ΠΕΡΙΦΕΡΕΙΑΚΗ Δ/ΝΣΗ Α/ΘΜΙΑΣ ΚΑΙ Β/ΘΜΙΑΣ ΕΚΠ/ΣΗΣ ΑΤΤΙΚΗΣ"/>
    <n v="13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10-23T00:00:00"/>
    <x v="1"/>
    <s v="ΔΙΕΥΘΥΝΣΗ Π.Ε. Δ΄ ΑΘΗΝΑΣ"/>
    <n v="35.680555555555557"/>
    <s v="31 - 40"/>
  </r>
  <r>
    <n v="99911267"/>
    <s v="Θ"/>
    <x v="5"/>
    <x v="5"/>
    <m/>
    <m/>
    <s v="Γ΄"/>
    <n v="1"/>
    <s v="Φ. 17.2_ A_/12926/11-10-2017"/>
    <d v="2018-09-01T00:00:00"/>
    <s v="ΑΧΑΪΑΣ (Δ.Ε.) 2018"/>
    <s v="ΔΙΕΥΘΥΝΣΗ Δ.Ε. ΑΧΑΪΑΣ"/>
    <s v="ΠΕΡΙΦΕΡΕΙΑΚΗ Δ/ΝΣΗ Α/ΘΜΙΑΣ ΚΑΙ Β/ΘΜΙΑΣ ΕΚΠ/ΣΗΣ ΔΥΤΙΚΗΣ ΕΛΛΑΔΑΣ"/>
    <n v="7"/>
    <s v="ΟΧΙ"/>
    <s v="ΟΧΙ"/>
    <s v="ΟΧΙ"/>
    <m/>
    <s v="ΟΧΙ"/>
    <m/>
    <d v="2018-09-01T00:00:00"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3-10-22T00:00:00"/>
    <x v="0"/>
    <s v="ΔΙΕΥΘΥΝΣΗ Δ.Ε. ΑΧΑΪΑΣ"/>
    <n v="35.68333333333333"/>
    <s v="31 - 40"/>
  </r>
  <r>
    <n v="99911268"/>
    <s v="Θ"/>
    <x v="2"/>
    <x v="2"/>
    <m/>
    <m/>
    <s v="Γ΄"/>
    <n v="1"/>
    <m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m/>
    <s v="ΟΧΙ"/>
    <m/>
    <d v="2018-09-01T00:00:00"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3-10-21T00:00:00"/>
    <x v="1"/>
    <s v="ΔΙΕΥΘΥΝΣΗ Π.Ε. ΑΙΤΩΛΟΑΚΑΡΝΑΝΙΑΣ"/>
    <n v="35.68611111111111"/>
    <s v="31 - 40"/>
  </r>
  <r>
    <n v="99911269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10-20T00:00:00"/>
    <x v="0"/>
    <s v="ΔΙΕΥΘΥΝΣΗ Δ.Ε. ΑΝΑΤ. ΘΕΣ/ΝΙΚΗΣ"/>
    <n v="35.68888888888889"/>
    <s v="31 - 40"/>
  </r>
  <r>
    <n v="99911270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0-19T00:00:00"/>
    <x v="1"/>
    <s v="ΔΙΕΥΘΥΝΣΗ Π.Ε. Α΄ ΑΘΗΝΑΣ"/>
    <n v="35.69166666666667"/>
    <s v="31 - 40"/>
  </r>
  <r>
    <n v="99911271"/>
    <s v="Θ"/>
    <x v="1"/>
    <x v="1"/>
    <m/>
    <m/>
    <s v="Γ΄"/>
    <n v="1"/>
    <s v="393/12-10-09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0-19T00:00:00"/>
    <x v="1"/>
    <s v="ΔΙΕΥΘΥΝΣΗ Π.Ε. Β΄ ΑΘΗΝΑΣ"/>
    <n v="35.69166666666667"/>
    <s v="31 - 40"/>
  </r>
  <r>
    <n v="99911272"/>
    <s v="Θ"/>
    <x v="14"/>
    <x v="14"/>
    <m/>
    <m/>
    <s v="Α΄"/>
    <n v="7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3-10-17T00:00:00"/>
    <x v="1"/>
    <s v="ΔΙΕΥΘΥΝΣΗ Π.Ε. ΑΝΑΤΟΛΙΚΗΣ ΑΤΤΙΚΗΣ"/>
    <n v="35.697222222222223"/>
    <s v="31 - 40"/>
  </r>
  <r>
    <n v="99911273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10-14T00:00:00"/>
    <x v="0"/>
    <s v="ΔΙΕΥΘΥΝΣΗ Δ.Ε. Β΄ ΑΘΗΝΑΣ"/>
    <n v="35.705555555555556"/>
    <s v="31 - 40"/>
  </r>
  <r>
    <n v="99911274"/>
    <s v="Α"/>
    <x v="5"/>
    <x v="5"/>
    <m/>
    <m/>
    <s v="Γ΄"/>
    <n v="1"/>
    <s v="18279/21"/>
    <d v="2018-09-01T00:00:00"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0-12T00:00:00"/>
    <x v="0"/>
    <s v="ΔΙΕΥΘΥΝΣΗ Δ.Ε. Γ΄ ΑΘΗΝΑΣ"/>
    <n v="35.711111111111109"/>
    <s v="31 - 40"/>
  </r>
  <r>
    <n v="99911275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83-10-12T00:00:00"/>
    <x v="0"/>
    <s v="ΔΙΕΥΘΥΝΣΗ Δ.Ε. ΛΑΡΙΣΑΣ"/>
    <n v="35.711111111111109"/>
    <s v="31 - 40"/>
  </r>
  <r>
    <n v="99911276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0-11T00:00:00"/>
    <x v="1"/>
    <s v="ΔΙΕΥΘΥΝΣΗ Π.Ε. ΑΝΑΤΟΛΙΚΗΣ ΑΤΤΙΚΗΣ"/>
    <n v="35.713888888888889"/>
    <s v="31 - 40"/>
  </r>
  <r>
    <n v="99911277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10-07T00:00:00"/>
    <x v="0"/>
    <s v="ΔΙΕΥΘΥΝΣΗ Δ.Ε. Β΄ ΑΘΗΝΑΣ"/>
    <n v="35.725000000000001"/>
    <s v="31 - 40"/>
  </r>
  <r>
    <n v="9991127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4"/>
    <s v="ΙΔΙΩΤΙΚΟ ΛΥΚΕΙΟ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9-28T00:00:00"/>
    <x v="0"/>
    <s v="ΔΙΕΥΘΥΝΣΗ Δ.Ε. Β΄ ΑΘΗΝΑΣ"/>
    <n v="35.75"/>
    <s v="31 - 40"/>
  </r>
  <r>
    <n v="99911279"/>
    <s v="Θ"/>
    <x v="28"/>
    <x v="2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9-26T00:00:00"/>
    <x v="0"/>
    <s v="ΔΙΕΥΘΥΝΣΗ Δ.Ε. Β΄ ΑΘΗΝΑΣ"/>
    <n v="35.755555555555553"/>
    <s v="31 - 40"/>
  </r>
  <r>
    <n v="99911280"/>
    <s v="Θ"/>
    <x v="14"/>
    <x v="14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3-09-23T00:00:00"/>
    <x v="1"/>
    <s v="ΔΙΕΥΘΥΝΣΗ Π.Ε. Β΄ ΑΘΗΝΑΣ"/>
    <n v="35.763888888888886"/>
    <s v="31 - 40"/>
  </r>
  <r>
    <n v="99911281"/>
    <s v="Α"/>
    <x v="7"/>
    <x v="7"/>
    <m/>
    <m/>
    <s v="Γ΄"/>
    <n v="1"/>
    <n v="14661"/>
    <d v="2018-09-13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6"/>
    <s v="ΟΧΙ"/>
    <m/>
    <m/>
    <m/>
    <s v="ΟΧΙ"/>
    <m/>
    <d v="2018-09-13T00:00:00"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9-23T00:00:00"/>
    <x v="0"/>
    <s v="ΔΙΕΥΘΥΝΣΗ Δ.Ε. ΔΥΤ. ΘΕΣ/ΝΙΚΗΣ"/>
    <n v="35.763888888888886"/>
    <s v="31 - 40"/>
  </r>
  <r>
    <n v="99911282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9-21T00:00:00"/>
    <x v="0"/>
    <s v="ΔΙΕΥΘΥΝΣΗ Δ.Ε. Β΄ ΑΘΗΝΑΣ"/>
    <n v="35.769444444444446"/>
    <s v="31 - 40"/>
  </r>
  <r>
    <n v="99911283"/>
    <s v="Θ"/>
    <x v="0"/>
    <x v="0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9-19T00:00:00"/>
    <x v="0"/>
    <s v="ΔΙΕΥΘΥΝΣΗ Δ.Ε. ΤΡΙΚΑΛΩΝ"/>
    <n v="35.774999999999999"/>
    <s v="31 - 40"/>
  </r>
  <r>
    <n v="99911284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13"/>
    <s v="ΙΔΙΩΤΙΚΟ ΝΗΠΙΑΓΩΓΕΙΟ ΠΥΛΑΙΑΣ - ΑΡΣΑΚΕΙΟ ΝΗΠΙΑΓΩΓΕΙΟ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9-07T00:00:00"/>
    <x v="1"/>
    <s v="ΔΙΕΥΘΥΝΣΗ Π.Ε. ΑΝΑΤ. ΘΕΣ/ΝΙΚΗΣ"/>
    <n v="35.80833333333333"/>
    <s v="31 - 40"/>
  </r>
  <r>
    <n v="99911285"/>
    <s v="Θ"/>
    <x v="2"/>
    <x v="2"/>
    <m/>
    <m/>
    <s v="Γ΄"/>
    <n v="1"/>
    <n v="1581"/>
    <d v="2018-09-01T00:00:00"/>
    <s v="Γ΄ ΑΘΗΝΑΣ (Π.Ε.) 2018"/>
    <s v="ΔΙΕΥΘΥΝΣΗ Π.Ε. Γ΄ ΑΘΗΝΑΣ"/>
    <s v="ΠΕΡΙΦΕΡΕΙΑΚΗ Δ/ΝΣΗ Α/ΘΜΙΑΣ ΚΑΙ Β/ΘΜΙΑΣ ΕΚΠ/ΣΗΣ ΑΤΤΙΚΗΣ"/>
    <n v="25"/>
    <s v="ΟΧΙ"/>
    <m/>
    <s v="ΟΧΙ"/>
    <m/>
    <s v="ΟΧΙ"/>
    <m/>
    <d v="2018-09-01T00:00:00"/>
    <s v="Ιδιωτικά Σχολεία"/>
    <x v="2"/>
    <s v="7053039"/>
    <s v="ΣΥΣΤΕΓΑΖΟΜΕΝΟ ΝΗΠΙΑΓΩΓΕΙΟ - ΖΩΓΑ ΜΑΡΙΑ (ΜΑΓΙΚΟΣ ΚΟΣΜΟΣ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9-06T00:00:00"/>
    <x v="1"/>
    <s v="ΔΙΕΥΘΥΝΣΗ Π.Ε. Γ΄ ΑΘΗΝΑΣ"/>
    <n v="35.81111111111111"/>
    <s v="31 - 40"/>
  </r>
  <r>
    <n v="99911286"/>
    <s v="Α"/>
    <x v="5"/>
    <x v="5"/>
    <m/>
    <m/>
    <s v="Γ΄"/>
    <n v="1"/>
    <s v="3802/5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17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3-09-06T00:00:00"/>
    <x v="0"/>
    <s v="ΔΙΕΥΘΥΝΣΗ Δ.Ε. ΑΡΓΟΛΙΔΑΣ"/>
    <n v="35.81111111111111"/>
    <s v="31 - 40"/>
  </r>
  <r>
    <n v="99911287"/>
    <s v="Θ"/>
    <x v="14"/>
    <x v="1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9-01T00:00:00"/>
    <x v="0"/>
    <s v="ΔΙΕΥΘΥΝΣΗ Δ.Ε. Δ΄ ΑΘΗΝΑΣ"/>
    <n v="35.825000000000003"/>
    <s v="31 - 40"/>
  </r>
  <r>
    <n v="99911288"/>
    <s v="Θ"/>
    <x v="7"/>
    <x v="7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26T00:00:00"/>
    <x v="1"/>
    <s v="ΔΙΕΥΘΥΝΣΗ Π.Ε. Α΄ ΑΘΗΝΑΣ"/>
    <n v="35.841666666666669"/>
    <s v="31 - 40"/>
  </r>
  <r>
    <n v="99911289"/>
    <s v="Α"/>
    <x v="14"/>
    <x v="1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8-24T00:00:00"/>
    <x v="0"/>
    <s v="ΔΙΕΥΘΥΝΣΗ Δ.Ε. Β΄ ΑΘΗΝΑΣ"/>
    <n v="35.847222222222221"/>
    <s v="31 - 40"/>
  </r>
  <r>
    <n v="99911290"/>
    <s v="Θ"/>
    <x v="3"/>
    <x v="3"/>
    <m/>
    <m/>
    <s v="Α΄"/>
    <n v="6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22T00:00:00"/>
    <x v="1"/>
    <s v="ΔΙΕΥΘΥΝΣΗ Π.Ε. ΑΝΑΤΟΛΙΚΗΣ ΑΤΤΙΚΗΣ"/>
    <n v="35.852777777777774"/>
    <s v="31 - 40"/>
  </r>
  <r>
    <n v="99911291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3-08-19T00:00:00"/>
    <x v="1"/>
    <s v="ΔΙΕΥΘΥΝΣΗ Π.Ε. ΧΑΝΙΩΝ"/>
    <n v="35.861111111111114"/>
    <s v="31 - 40"/>
  </r>
  <r>
    <n v="99911292"/>
    <s v="Θ"/>
    <x v="14"/>
    <x v="14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18T00:00:00"/>
    <x v="1"/>
    <s v="ΔΙΕΥΘΥΝΣΗ Π.Ε. Β΄ ΑΘΗΝΑΣ"/>
    <n v="35.863888888888887"/>
    <s v="31 - 40"/>
  </r>
  <r>
    <n v="99911293"/>
    <s v="Θ"/>
    <x v="2"/>
    <x v="2"/>
    <m/>
    <m/>
    <s v="Β΄"/>
    <n v="2"/>
    <m/>
    <d v="2011-01-19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1-01-19T00:00:00"/>
    <s v="Ιδιωτικά Σχολεία"/>
    <x v="2"/>
    <s v="7054153"/>
    <s v="ΙΔΙΩΤΙΚΟ ΝΗΠΙΑΓΩΓΕΙΟ - ΜΙΑ ΦΟΡΑ ΚΑΙ ΈΝΑΝ ΚΑΙΡ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18T00:00:00"/>
    <x v="1"/>
    <s v="ΔΙΕΥΘΥΝΣΗ Π.Ε. Δ΄ ΑΘΗΝΑΣ"/>
    <n v="35.863888888888887"/>
    <s v="31 - 40"/>
  </r>
  <r>
    <n v="99911294"/>
    <s v="Θ"/>
    <x v="2"/>
    <x v="2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281003"/>
    <s v="ΙΔΙΩΤΙΚΟ ΝΗΠΙΑΓΩΓΕΙΟ happyland - Α. ΣΠΑΝΟΣ Ε.Ε.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3-08-18T00:00:00"/>
    <x v="1"/>
    <s v="ΔΙΕΥΘΥΝΣΗ Π.Ε. ΚΟΡΙΝΘΙΑΣ"/>
    <n v="35.863888888888887"/>
    <s v="31 - 40"/>
  </r>
  <r>
    <n v="99911295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12T00:00:00"/>
    <x v="1"/>
    <s v="ΔΙΕΥΘΥΝΣΗ Π.Ε. Δ΄ ΑΘΗΝΑΣ"/>
    <n v="35.880555555555553"/>
    <s v="31 - 40"/>
  </r>
  <r>
    <n v="99911296"/>
    <s v="Θ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"/>
    <s v="ΟΧΙ"/>
    <s v="ΟΧΙ"/>
    <s v="ΟΧΙ"/>
    <m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11T00:00:00"/>
    <x v="0"/>
    <s v="ΔΙΕΥΘΥΝΣΗ Δ.Ε. ΑΝΑΤΟΛΙΚΗΣ ΑΤΤΙΚΗΣ"/>
    <n v="35.883333333333333"/>
    <s v="31 - 40"/>
  </r>
  <r>
    <n v="99911297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8-11T00:00:00"/>
    <x v="0"/>
    <s v="ΔΙΕΥΘΥΝΣΗ Δ.Ε. ΠΕΙΡΑΙΑ"/>
    <n v="35.883333333333333"/>
    <s v="31 - 40"/>
  </r>
  <r>
    <n v="99911298"/>
    <s v="Θ"/>
    <x v="1"/>
    <x v="1"/>
    <m/>
    <m/>
    <s v="Γ΄"/>
    <n v="1"/>
    <d v="2017-10-05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8-08T00:00:00"/>
    <x v="1"/>
    <s v="ΔΙΕΥΘΥΝΣΗ Π.Ε. ΑΝΑΤ. ΘΕΣ/ΝΙΚΗΣ"/>
    <n v="35.891666666666666"/>
    <s v="31 - 40"/>
  </r>
  <r>
    <n v="99911299"/>
    <s v="Θ"/>
    <x v="24"/>
    <x v="24"/>
    <m/>
    <m/>
    <s v="Γ΄"/>
    <n v="1"/>
    <n v="8138"/>
    <d v="2018-09-01T00:00:00"/>
    <s v="ΙΩΑΝΝΙΝΩΝ (Δ.Ε.) 2018"/>
    <s v="ΔΙΕΥΘΥΝΣΗ Δ.Ε. ΙΩΑΝΝΙΝΩΝ"/>
    <s v="ΠΕΡΙΦΕΡΕΙΑΚΗ Δ/ΝΣΗ Α/ΘΜΙΑΣ ΚΑΙ Β/ΘΜΙΑΣ ΕΚΠ/ΣΗΣ ΗΠΕΙΡΟΥ"/>
    <n v="6"/>
    <s v="ΟΧΙ"/>
    <s v="ΟΧΙ"/>
    <s v="ΟΧΙ"/>
    <m/>
    <s v="ΟΧΙ"/>
    <m/>
    <d v="2018-09-01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3-08-06T00:00:00"/>
    <x v="0"/>
    <s v="ΔΙΕΥΘΥΝΣΗ Δ.Ε. ΙΩΑΝΝΙΝΩΝ"/>
    <n v="35.897222222222226"/>
    <s v="31 - 40"/>
  </r>
  <r>
    <n v="99911300"/>
    <s v="Θ"/>
    <x v="2"/>
    <x v="2"/>
    <m/>
    <m/>
    <s v="Γ΄"/>
    <n v="2"/>
    <s v="Φ.17/3701/13-9-2018"/>
    <d v="2018-09-01T00:00:00"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8-09-01T00:00:00"/>
    <s v="Ιδιωτικά Σχολεία"/>
    <x v="2"/>
    <s v="7281011"/>
    <s v="ΙΔΙΩΤΙΚΟ ΝΗΠΙΑΓΩΓΕΙΟ ΤΩΝ ΕΚΠΑΙΔΕΥΤΗΡΙΩΝ ΑΤΣΟΓΛΟΥ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3-08-02T00:00:00"/>
    <x v="1"/>
    <s v="ΔΙΕΥΘΥΝΣΗ Π.Ε. ΚΟΡΙΝΘΙΑΣ"/>
    <n v="35.908333333333331"/>
    <s v="31 - 40"/>
  </r>
  <r>
    <n v="99911301"/>
    <s v="Θ"/>
    <x v="1"/>
    <x v="1"/>
    <m/>
    <m/>
    <s v="Β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7-27T00:00:00"/>
    <x v="1"/>
    <s v="ΔΙΕΥΘΥΝΣΗ Π.Ε. Δ΄ ΑΘΗΝΑΣ"/>
    <n v="35.924999999999997"/>
    <s v="31 - 40"/>
  </r>
  <r>
    <n v="99911302"/>
    <s v="Α"/>
    <x v="3"/>
    <x v="3"/>
    <m/>
    <m/>
    <s v="Α΄"/>
    <n v="9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7-25T00:00:00"/>
    <x v="0"/>
    <s v="ΔΙΕΥΘΥΝΣΗ Δ.Ε. ΛΑΡΙΣΑΣ"/>
    <n v="35.930555555555557"/>
    <s v="31 - 40"/>
  </r>
  <r>
    <n v="99911303"/>
    <s v="Θ"/>
    <x v="2"/>
    <x v="2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01"/>
    <s v="ΙΔΙΩΤΙΚΟ ΝΗΠΙΑΓΩΓΕΙΟ ΠΥΛΑΙΑ - ΑΓΑΠΗ ΚΑΙ ΑΓΩΓΗ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3-07-11T00:00:00"/>
    <x v="1"/>
    <s v="ΔΙΕΥΘΥΝΣΗ Π.Ε. ΑΝΑΤ. ΘΕΣ/ΝΙΚΗΣ"/>
    <n v="35.969444444444441"/>
    <s v="31 - 40"/>
  </r>
  <r>
    <n v="99911304"/>
    <s v="Θ"/>
    <x v="0"/>
    <x v="0"/>
    <m/>
    <m/>
    <s v="Γ΄"/>
    <n v="1"/>
    <s v="3841/24-09-2018"/>
    <d v="2018-09-01T00:00:00"/>
    <s v="ΜΕΣΣΗΝΙΑΣ (Δ.Ε.) 2018"/>
    <s v="ΔΙΕΥΘΥΝΣΗ Δ.Ε. ΜΕΣΣΗΝΙΑΣ"/>
    <s v="ΠΕΡΙΦΕΡΕΙΑΚΗ Δ/ΝΣΗ Α/ΘΜΙΑΣ ΚΑΙ Β/ΘΜΙΑΣ ΕΚΠ/ΣΗΣ ΠΕΛΟΠΟΝΝΗΣΟΥ"/>
    <n v="19"/>
    <s v="ΟΧΙ"/>
    <s v="ΟΧΙ"/>
    <s v="ΟΧΙ"/>
    <s v="ΟΧΙ"/>
    <s v="ΟΧΙ"/>
    <m/>
    <d v="2018-09-01T00:00:00"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3-07-11T00:00:00"/>
    <x v="0"/>
    <s v="ΔΙΕΥΘΥΝΣΗ Δ.Ε. ΜΕΣΣΗΝΙΑΣ"/>
    <n v="35.969444444444441"/>
    <s v="31 - 40"/>
  </r>
  <r>
    <n v="99911305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81"/>
    <s v="ΙΔΙΩΤΙΚΟ ΝΗΠΙΑΓΩΓΕΙΟ ΜΕΤΑΜΟΡΦΩΣΗ - ΚΑΛΗΜΕΡΑ ΠΑΙΔ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7-09T00:00:00"/>
    <x v="1"/>
    <s v="ΔΙΕΥΘΥΝΣΗ Π.Ε. Β΄ ΑΘΗΝΑΣ"/>
    <n v="35.975000000000001"/>
    <s v="31 - 40"/>
  </r>
  <r>
    <n v="99911306"/>
    <s v="Θ"/>
    <x v="6"/>
    <x v="6"/>
    <m/>
    <m/>
    <s v="Γ΄"/>
    <n v="1"/>
    <n v="103"/>
    <d v="2018-09-01T00:00:00"/>
    <s v="Δ΄ ΑΘΗΝΑΣ (Π.Ε.) 2018"/>
    <s v="ΔΙΕΥΘΥΝΣΗ Π.Ε. Δ΄ ΑΘΗΝΑΣ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7-06T00:00:00"/>
    <x v="1"/>
    <s v="ΔΙΕΥΘΥΝΣΗ Π.Ε. Δ΄ ΑΘΗΝΑΣ"/>
    <n v="35.983333333333334"/>
    <s v="31 - 40"/>
  </r>
  <r>
    <n v="99911307"/>
    <s v="Θ"/>
    <x v="1"/>
    <x v="1"/>
    <m/>
    <m/>
    <s v="Γ΄"/>
    <n v="1"/>
    <s v="Φ.17/7339/06-09-2017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3-07-04T00:00:00"/>
    <x v="1"/>
    <s v="ΔΙΕΥΘΥΝΣΗ Π.Ε. ΙΩΑΝΝΙΝΩΝ"/>
    <n v="35.988888888888887"/>
    <s v="31 - 40"/>
  </r>
  <r>
    <n v="99911308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2"/>
    <s v="7521079"/>
    <s v="ΣΥΣΤΕΓΑΖΟΜΕΝΟ ΙΔΙΩΤΙΚΟ ΝΗΠΙΑΓΩΓΕΙΟ - ΜΕΞΗ ΕΛΕΝ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7-02T00:00:00"/>
    <x v="1"/>
    <s v="ΔΙΕΥΘΥΝΣΗ Π.Ε. ΑΝΑΤΟΛΙΚΗΣ ΑΤΤΙΚΗΣ"/>
    <n v="35.994444444444447"/>
    <s v="31 - 40"/>
  </r>
  <r>
    <n v="99911309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029"/>
    <s v="ΙΔΙΩΤΙΚΟ ΝΗΠΙΑΓΩΓΕΙΟ ΑΛΙΜΟΣ - ΟΙ ΜΙΚΡΕΣ ΠΑΤΟΥΣΕ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27T00:00:00"/>
    <x v="1"/>
    <s v="ΔΙΕΥΘΥΝΣΗ Π.Ε. Δ΄ ΑΘΗΝΑΣ"/>
    <n v="36.008333333333333"/>
    <s v="31 - 40"/>
  </r>
  <r>
    <n v="99911310"/>
    <s v="Θ"/>
    <x v="2"/>
    <x v="2"/>
    <m/>
    <m/>
    <s v="Γ΄"/>
    <n v="1"/>
    <s v="3558/1-9-20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24T00:00:00"/>
    <x v="1"/>
    <s v="ΔΙΕΥΘΥΝΣΗ Π.Ε. Β΄ ΑΘΗΝΑΣ"/>
    <n v="36.016666666666666"/>
    <s v="31 - 40"/>
  </r>
  <r>
    <n v="99911311"/>
    <s v="Θ"/>
    <x v="13"/>
    <x v="1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6-22T00:00:00"/>
    <x v="0"/>
    <s v="ΔΙΕΥΘΥΝΣΗ Δ.Ε. Β΄ ΑΘΗΝΑΣ"/>
    <n v="36.022222222222226"/>
    <s v="31 - 40"/>
  </r>
  <r>
    <n v="99911312"/>
    <s v="Θ"/>
    <x v="8"/>
    <x v="8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19T00:00:00"/>
    <x v="1"/>
    <s v="ΔΙΕΥΘΥΝΣΗ Π.Ε. Δ΄ ΑΘΗΝΑΣ"/>
    <n v="36.030555555555559"/>
    <s v="31 - 40"/>
  </r>
  <r>
    <n v="99911313"/>
    <s v="Θ"/>
    <x v="0"/>
    <x v="0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6-19T00:00:00"/>
    <x v="1"/>
    <s v="ΔΙΕΥΘΥΝΣΗ Π.Ε. ΑΝΑΤ. ΘΕΣ/ΝΙΚΗΣ"/>
    <n v="36.030555555555559"/>
    <s v="31 - 40"/>
  </r>
  <r>
    <n v="99911314"/>
    <s v="Θ"/>
    <x v="10"/>
    <x v="1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16T00:00:00"/>
    <x v="1"/>
    <s v="ΔΙΕΥΘΥΝΣΗ Π.Ε. Δ΄ ΑΘΗΝΑΣ"/>
    <n v="36.038888888888891"/>
    <s v="31 - 40"/>
  </r>
  <r>
    <n v="99911315"/>
    <s v="Α"/>
    <x v="9"/>
    <x v="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3-06-15T00:00:00"/>
    <x v="0"/>
    <s v="ΔΙΕΥΘΥΝΣΗ Δ.Ε. ΑΝΑΤ. ΘΕΣ/ΝΙΚΗΣ"/>
    <n v="36.041666666666664"/>
    <s v="31 - 40"/>
  </r>
  <r>
    <n v="99911316"/>
    <s v="Θ"/>
    <x v="2"/>
    <x v="2"/>
    <m/>
    <m/>
    <s v="Γ΄"/>
    <n v="1"/>
    <d v="2014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6-15T00:00:00"/>
    <x v="1"/>
    <s v="ΔΙΕΥΘΥΝΣΗ Π.Ε. ΑΝΑΤ. ΘΕΣ/ΝΙΚΗΣ"/>
    <n v="36.041666666666664"/>
    <s v="31 - 40"/>
  </r>
  <r>
    <n v="99911317"/>
    <s v="Θ"/>
    <x v="4"/>
    <x v="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6-14T00:00:00"/>
    <x v="0"/>
    <s v="ΔΙΕΥΘΥΝΣΗ Δ.Ε. Β΄ ΑΘΗΝΑΣ"/>
    <n v="36.044444444444444"/>
    <s v="31 - 40"/>
  </r>
  <r>
    <n v="99911318"/>
    <s v="Θ"/>
    <x v="2"/>
    <x v="2"/>
    <m/>
    <m/>
    <s v="Γ΄"/>
    <n v="5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21047"/>
    <s v="ΙΔΙΩΤΙΚΟ ΝΗΠΙΑΓΩΓΕΙΟ ΠΑΠΑΔΗΜΗΤΡΑΚΟΠΟΥΛΟΥ ΑΙΚΑΤΕΡΙΝΗ &amp; ΣΙΑ Ο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12T00:00:00"/>
    <x v="1"/>
    <s v="ΔΙΕΥΘΥΝΣΗ Π.Ε. ΑΝΑΤΟΛΙΚΗΣ ΑΤΤΙΚΗΣ"/>
    <n v="36.049999999999997"/>
    <s v="31 - 40"/>
  </r>
  <r>
    <n v="99911319"/>
    <s v="Α"/>
    <x v="14"/>
    <x v="14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6-11T00:00:00"/>
    <x v="0"/>
    <s v="ΔΙΕΥΘΥΝΣΗ Δ.Ε. ΠΙΕΡΙΑΣ"/>
    <n v="36.052777777777777"/>
    <s v="31 - 40"/>
  </r>
  <r>
    <n v="99911320"/>
    <s v="Α"/>
    <x v="10"/>
    <x v="1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6-09T00:00:00"/>
    <x v="0"/>
    <s v="ΔΙΕΥΘΥΝΣΗ Δ.Ε. Β΄ ΑΘΗΝΑΣ"/>
    <n v="36.05833333333333"/>
    <s v="31 - 40"/>
  </r>
  <r>
    <n v="99911321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2143"/>
    <s v="ΙΔΙΩΤΙΚΟ ΣΥΣΤΕΓΑΖΟΜΕΝΟ ΝΗΠΙΑΓΩΓΕΙΟ - ΜΠΑΜΠΙΝΕΡ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08T00:00:00"/>
    <x v="1"/>
    <s v="ΔΙΕΥΘΥΝΣΗ Π.Ε. Β΄ ΑΘΗΝΑΣ"/>
    <n v="36.06111111111111"/>
    <s v="31 - 40"/>
  </r>
  <r>
    <n v="99911322"/>
    <s v="Θ"/>
    <x v="8"/>
    <x v="8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6-02T00:00:00"/>
    <x v="1"/>
    <s v="ΔΙΕΥΘΥΝΣΗ Π.Ε. ΑΝΑΤ. ΘΕΣ/ΝΙΚΗΣ"/>
    <n v="36.077777777777776"/>
    <s v="31 - 40"/>
  </r>
  <r>
    <n v="99911323"/>
    <s v="Θ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01T00:00:00"/>
    <x v="0"/>
    <s v="ΔΙΕΥΘΥΝΣΗ Δ.Ε. Β΄ ΑΘΗΝΑΣ"/>
    <n v="36.080555555555556"/>
    <s v="31 - 40"/>
  </r>
  <r>
    <n v="99911324"/>
    <s v="Θ"/>
    <x v="2"/>
    <x v="2"/>
    <m/>
    <m/>
    <s v="Γ΄"/>
    <n v="1"/>
    <s v="ΩΑΗ34653ΠΣ-Κ0Π"/>
    <d v="2017-02-01T00:00:00"/>
    <s v="Γ΄ ΑΘΗΝΑΣ (Π.Ε.) 2018"/>
    <s v="ΔΙΕΥΘΥΝΣΗ Π.Ε. Γ΄ ΑΘΗΝΑΣ"/>
    <s v="ΠΕΡΙΦΕΡΕΙΑΚΗ Δ/ΝΣΗ Α/ΘΜΙΑΣ ΚΑΙ Β/ΘΜΙΑΣ ΕΚΠ/ΣΗΣ ΑΤΤΙΚΗΣ"/>
    <n v="23"/>
    <s v="ΟΧΙ"/>
    <s v="ΟΧΙ"/>
    <s v="ΟΧΙ"/>
    <m/>
    <s v="ΟΧΙ"/>
    <m/>
    <d v="2017-02-01T00:00:00"/>
    <s v="Ιδιωτικά Σχολεία"/>
    <x v="2"/>
    <s v="7053007"/>
    <s v="ΣΥΣΤΕΓΑΖΟΜΕΝΟ ΝΗΠΙΑΓΩΓΕΙΟ - ΣΩΤΗΡΙΟΣ ΜΑΓΚΛΑΡΑΣ (ΛΑΚΩΝΙΚΗ ΣΧΟΛΗ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6-01T00:00:00"/>
    <x v="1"/>
    <s v="ΔΙΕΥΘΥΝΣΗ Π.Ε. Γ΄ ΑΘΗΝΑΣ"/>
    <n v="36.080555555555556"/>
    <s v="31 - 40"/>
  </r>
  <r>
    <n v="99911325"/>
    <s v="Θ"/>
    <x v="3"/>
    <x v="3"/>
    <m/>
    <m/>
    <s v="Γ΄"/>
    <n v="1"/>
    <s v="18279/54"/>
    <d v="2018-09-10T00:00:00"/>
    <s v="Γ΄ ΑΘΗΝΑΣ (Δ.Ε.) 2018"/>
    <s v="ΔΙΕΥΘΥΝΣΗ Δ.Ε. Γ΄ ΑΘΗΝΑΣ"/>
    <s v="ΠΕΡΙΦΕΡΕΙΑΚΗ Δ/ΝΣΗ Α/ΘΜΙΑΣ ΚΑΙ Β/ΘΜΙΑΣ ΕΚΠ/ΣΗΣ ΑΤΤΙΚΗΣ"/>
    <n v="5"/>
    <s v="ΟΧΙ"/>
    <m/>
    <m/>
    <m/>
    <s v="ΟΧΙ"/>
    <m/>
    <d v="2018-09-10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5-21T00:00:00"/>
    <x v="0"/>
    <s v="ΔΙΕΥΘΥΝΣΗ Δ.Ε. Γ΄ ΑΘΗΝΑΣ"/>
    <n v="36.111111111111114"/>
    <s v="31 - 40"/>
  </r>
  <r>
    <n v="99911326"/>
    <s v="Θ"/>
    <x v="10"/>
    <x v="10"/>
    <m/>
    <m/>
    <s v="Β΄"/>
    <n v="5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5-21T00:00:00"/>
    <x v="1"/>
    <s v="ΔΙΕΥΘΥΝΣΗ Π.Ε. ΑΝΑΤΟΛΙΚΗΣ ΑΤΤΙΚΗΣ"/>
    <n v="36.111111111111114"/>
    <s v="31 - 40"/>
  </r>
  <r>
    <n v="99911327"/>
    <s v="Θ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5-20T00:00:00"/>
    <x v="0"/>
    <s v="ΔΙΕΥΘΥΝΣΗ Δ.Ε. Β΄ ΑΘΗΝΑΣ"/>
    <n v="36.113888888888887"/>
    <s v="31 - 40"/>
  </r>
  <r>
    <n v="99911328"/>
    <s v="Α"/>
    <x v="14"/>
    <x v="1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3"/>
    <s v="ΟΧΙ"/>
    <s v="ΟΧΙ"/>
    <s v="ΟΧΙ"/>
    <m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5-18T00:00:00"/>
    <x v="0"/>
    <s v="ΔΙΕΥΘΥΝΣΗ Δ.Ε. Δ΄ ΑΘΗΝΑΣ"/>
    <n v="36.119444444444447"/>
    <s v="31 - 40"/>
  </r>
  <r>
    <n v="99911329"/>
    <s v="Θ"/>
    <x v="2"/>
    <x v="2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m/>
    <s v="ΟΧΙ"/>
    <m/>
    <m/>
    <s v="Ιδιωτικά Σχολεία"/>
    <x v="2"/>
    <s v="7201007"/>
    <s v="ΙΔΙΩΤΙΚΟ ΝΗΠΙΑΓΩΓΕΙΟ - &quot;ΗΛΙΟΤΡΟΠΙΟ&quot;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3-05-15T00:00:00"/>
    <x v="1"/>
    <s v="ΔΙΕΥΘΥΝΣΗ Π.Ε. ΙΩΑΝΝΙΝΩΝ"/>
    <n v="36.12777777777778"/>
    <s v="31 - 40"/>
  </r>
  <r>
    <n v="99911330"/>
    <s v="Θ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0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3-05-13T00:00:00"/>
    <x v="0"/>
    <s v="ΔΙΕΥΘΥΝΣΗ Δ.Ε. ΚΟΡΙΝΘΙΑΣ"/>
    <n v="36.133333333333333"/>
    <s v="31 - 40"/>
  </r>
  <r>
    <n v="99911331"/>
    <s v="Α"/>
    <x v="1"/>
    <x v="1"/>
    <m/>
    <m/>
    <s v="Γ΄"/>
    <n v="1"/>
    <s v="13224/12-10-20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5-11T00:00:00"/>
    <x v="1"/>
    <s v="ΔΙΕΥΘΥΝΣΗ Π.Ε. Δ΄ ΑΘΗΝΑΣ"/>
    <n v="36.138888888888886"/>
    <s v="31 - 40"/>
  </r>
  <r>
    <n v="99911332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13"/>
    <s v="ΙΔΙΩΤΙΚΟ ΝΗΠΙΑΓΩΓΕΙΟ ΒΡΙΛΗΣΣΙΑ - ΕΛΛΗΝΟΓΕΡΜΑΝΙΚΟΣ ΕΚΠΑΙΔΕΥΤΙ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5-03T00:00:00"/>
    <x v="1"/>
    <s v="ΔΙΕΥΘΥΝΣΗ Π.Ε. Β΄ ΑΘΗΝΑΣ"/>
    <n v="36.161111111111111"/>
    <s v="31 - 40"/>
  </r>
  <r>
    <n v="99911333"/>
    <s v="Α"/>
    <x v="9"/>
    <x v="9"/>
    <m/>
    <m/>
    <s v="Γ΄"/>
    <n v="1"/>
    <s v="17887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d v="2018-09-01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5-01T00:00:00"/>
    <x v="0"/>
    <s v="ΔΙΕΥΘΥΝΣΗ Δ.Ε. ΛΑΡΙΣΑΣ"/>
    <n v="36.166666666666664"/>
    <s v="31 - 40"/>
  </r>
  <r>
    <n v="99911334"/>
    <s v="Α"/>
    <x v="4"/>
    <x v="4"/>
    <m/>
    <m/>
    <s v="Γ΄"/>
    <n v="1"/>
    <s v="17838/18-10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d v="2018-09-01T00:00:00"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3-04-30T00:00:00"/>
    <x v="0"/>
    <s v="ΔΙΕΥΘΥΝΣΗ Δ.Ε. ΑΝΑΤΟΛΙΚΗΣ ΑΤΤΙΚΗΣ"/>
    <n v="36.169444444444444"/>
    <s v="31 - 40"/>
  </r>
  <r>
    <n v="99911335"/>
    <s v="Θ"/>
    <x v="3"/>
    <x v="3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3-04-30T00:00:00"/>
    <x v="0"/>
    <s v="ΔΙΕΥΘΥΝΣΗ Δ.Ε. ΔΩΔΕΚΑΝΗΣΟΥ"/>
    <n v="36.169444444444444"/>
    <s v="31 - 40"/>
  </r>
  <r>
    <n v="99911336"/>
    <s v="Θ"/>
    <x v="6"/>
    <x v="6"/>
    <m/>
    <m/>
    <s v="Γ΄"/>
    <n v="1"/>
    <n v="22305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4-29T00:00:00"/>
    <x v="0"/>
    <s v="ΔΙΕΥΘΥΝΣΗ Δ.Ε. ΑΝΑΤ. ΘΕΣ/ΝΙΚΗΣ"/>
    <n v="36.172222222222224"/>
    <s v="31 - 40"/>
  </r>
  <r>
    <n v="99911337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1"/>
    <s v="ΙΔΙΩΤΙΚΟ ΝΗΠΙΑΓΩΓΕΙΟ ΧΑΝΙΩΝ - ΙΔΙΩΤΙΚΟ ΝΗΠΙΑΓΩΓ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3-04-26T00:00:00"/>
    <x v="1"/>
    <s v="ΔΙΕΥΘΥΝΣΗ Π.Ε. ΧΑΝΙΩΝ"/>
    <n v="36.180555555555557"/>
    <s v="31 - 40"/>
  </r>
  <r>
    <n v="99911338"/>
    <s v="Α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23T00:00:00"/>
    <x v="0"/>
    <s v="ΔΙΕΥΘΥΝΣΗ Δ.Ε. Γ΄ ΑΘΗΝΑΣ"/>
    <n v="36.18888888888889"/>
    <s v="31 - 40"/>
  </r>
  <r>
    <n v="99911339"/>
    <s v="Θ"/>
    <x v="14"/>
    <x v="14"/>
    <m/>
    <m/>
    <s v="Γ΄"/>
    <n v="1"/>
    <n v="13284"/>
    <d v="2018-09-01T00:00:00"/>
    <s v="Α΄ ΠΕΙΡΑΙΑ (Π.Ε.) 2018"/>
    <s v="ΔΙΕΥΘΥΝΣΗ Π.Ε. ΠΕΙΡΑΙΑ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23T00:00:00"/>
    <x v="1"/>
    <s v="ΔΙΕΥΘΥΝΣΗ Π.Ε. ΠΕΙΡΑΙΑ"/>
    <n v="36.18888888888889"/>
    <s v="31 - 40"/>
  </r>
  <r>
    <n v="99911340"/>
    <s v="Α"/>
    <x v="14"/>
    <x v="14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3-04-22T00:00:00"/>
    <x v="1"/>
    <s v="ΔΙΕΥΘΥΝΣΗ Π.Ε. ΜΕΣΣΗΝΙΑΣ"/>
    <n v="36.19166666666667"/>
    <s v="31 - 40"/>
  </r>
  <r>
    <n v="9991134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18T00:00:00"/>
    <x v="0"/>
    <s v="ΔΙΕΥΘΥΝΣΗ Δ.Ε. Β΄ ΑΘΗΝΑΣ"/>
    <n v="36.202777777777776"/>
    <s v="31 - 40"/>
  </r>
  <r>
    <n v="99911342"/>
    <s v="Θ"/>
    <x v="12"/>
    <x v="12"/>
    <m/>
    <m/>
    <s v="Β΄"/>
    <n v="2"/>
    <s v="Φ.Ι.Α.2/26359/14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17T00:00:00"/>
    <x v="1"/>
    <s v="ΔΙΕΥΘΥΝΣΗ Π.Ε. ΑΝΑΤΟΛΙΚΗΣ ΑΤΤΙΚΗΣ"/>
    <n v="36.205555555555556"/>
    <s v="31 - 40"/>
  </r>
  <r>
    <n v="99911343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3001"/>
    <s v="ΙΔΙΩΤΙΚΟ ΝΗΠΙΑΓΩΓΕΙΟ - ΕΚΠΑΙΔΕΥΤΗΡΙΑ Ι. ΔΙΑΜΑΝΤΟΠΟΥΛΟΥ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07T00:00:00"/>
    <x v="1"/>
    <s v="ΔΙΕΥΘΥΝΣΗ Π.Ε. Γ΄ ΑΘΗΝΑΣ"/>
    <n v="36.233333333333334"/>
    <s v="31 - 40"/>
  </r>
  <r>
    <n v="99911344"/>
    <s v="Α"/>
    <x v="14"/>
    <x v="14"/>
    <m/>
    <m/>
    <s v="Γ΄"/>
    <n v="1"/>
    <s v="Φ17/13320/12-10-2018"/>
    <d v="2018-10-12T00:00:00"/>
    <s v="Α΄ ΕΥΒΟΙΑΣ (Π.Ε.) 2018"/>
    <s v="ΔΙΕΥΘΥΝΣΗ Π.Ε. ΕΥΒΟΙΑΣ"/>
    <s v="ΠΕΡΙΦΕΡΕΙΑΚΗ Δ/ΝΣΗ Α/ΘΜΙΑΣ ΚΑΙ Β/ΘΜΙΑΣ ΕΚΠ/ΣΗΣ ΣΤΕΡΕΑΣ ΕΛΛΑΔΑΣ"/>
    <n v="6"/>
    <s v="ΟΧΙ"/>
    <s v="ΟΧΙ"/>
    <s v="ΟΧΙ"/>
    <m/>
    <s v="ΟΧΙ"/>
    <m/>
    <d v="2018-10-12T00:00:00"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83-04-07T00:00:00"/>
    <x v="1"/>
    <s v="ΔΙΕΥΘΥΝΣΗ Π.Ε. ΕΥΒΟΙΑΣ"/>
    <n v="36.233333333333334"/>
    <s v="31 - 40"/>
  </r>
  <r>
    <n v="99911345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05T00:00:00"/>
    <x v="0"/>
    <s v="ΔΙΕΥΘΥΝΣΗ Δ.Ε. ΑΝΑΤΟΛΙΚΗΣ ΑΤΤΙΚΗΣ"/>
    <n v="36.238888888888887"/>
    <s v="31 - 40"/>
  </r>
  <r>
    <n v="99911346"/>
    <s v="Θ"/>
    <x v="6"/>
    <x v="6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4-04T00:00:00"/>
    <x v="1"/>
    <s v="ΔΙΕΥΘΥΝΣΗ Π.Ε. ΑΝΑΤ. ΘΕΣ/ΝΙΚΗΣ"/>
    <n v="36.241666666666667"/>
    <s v="31 - 40"/>
  </r>
  <r>
    <n v="99911347"/>
    <s v="Θ"/>
    <x v="23"/>
    <x v="23"/>
    <m/>
    <m/>
    <s v="Γ΄"/>
    <n v="1"/>
    <n v="17752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4-02T00:00:00"/>
    <x v="0"/>
    <s v="ΔΙΕΥΘΥΝΣΗ Δ.Ε. Β΄ ΑΘΗΝΑΣ"/>
    <n v="36.24722222222222"/>
    <s v="31 - 40"/>
  </r>
  <r>
    <n v="99911348"/>
    <s v="Θ"/>
    <x v="14"/>
    <x v="14"/>
    <m/>
    <m/>
    <s v="Α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4-01T00:00:00"/>
    <x v="1"/>
    <s v="ΔΙΕΥΘΥΝΣΗ Π.Ε. ΔΥΤ. ΘΕΣ/ΝΙΚΗΣ"/>
    <n v="36.25"/>
    <s v="31 - 40"/>
  </r>
  <r>
    <n v="99911349"/>
    <s v="Θ"/>
    <x v="2"/>
    <x v="2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8"/>
    <s v="ΟΧΙ"/>
    <s v="ΟΧΙ"/>
    <s v="ΟΧΙ"/>
    <m/>
    <s v="ΟΧΙ"/>
    <m/>
    <m/>
    <s v="Ιδιωτικά Σχολεία"/>
    <x v="2"/>
    <s v="7201019"/>
    <s v="ΙΔΙΩΤΙΚΟ ΝΗΠΙΑΓΩΓΕΙΟ &quot;ΤΣΙΟΥΚΡΑ Ε. - ΜΗΤΣΗ Β. Ο.Ε.''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3-03-31T00:00:00"/>
    <x v="1"/>
    <s v="ΔΙΕΥΘΥΝΣΗ Π.Ε. ΙΩΑΝΝΙΝΩΝ"/>
    <n v="36.25277777777778"/>
    <s v="31 - 40"/>
  </r>
  <r>
    <n v="99911350"/>
    <s v="Θ"/>
    <x v="0"/>
    <x v="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6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3-30T00:00:00"/>
    <x v="0"/>
    <s v="ΔΙΕΥΘΥΝΣΗ Δ.Ε. ΑΝΑΤ. ΘΕΣ/ΝΙΚΗΣ"/>
    <n v="36.255555555555553"/>
    <s v="31 - 40"/>
  </r>
  <r>
    <n v="99911351"/>
    <s v="Θ"/>
    <x v="19"/>
    <x v="19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3-26T00:00:00"/>
    <x v="0"/>
    <s v="ΔΙΕΥΘΥΝΣΗ Δ.Ε. Δ΄ ΑΘΗΝΑΣ"/>
    <n v="36.266666666666666"/>
    <s v="31 - 40"/>
  </r>
  <r>
    <n v="99911352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3-24T00:00:00"/>
    <x v="0"/>
    <s v="ΔΙΕΥΘΥΝΣΗ Δ.Ε. ΑΝΑΤ. ΘΕΣ/ΝΙΚΗΣ"/>
    <n v="36.272222222222226"/>
    <s v="31 - 40"/>
  </r>
  <r>
    <n v="99911353"/>
    <s v="Θ"/>
    <x v="2"/>
    <x v="2"/>
    <m/>
    <m/>
    <s v="Α΄"/>
    <n v="3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21"/>
    <s v="ΙΔΙΩΤΙΚΟ ΝΗΠΙΑΓΩΓΕΙΟ  - ΖΕΡΒΑ ΒΑΣΙΛΙΚΗ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3-23T00:00:00"/>
    <x v="1"/>
    <s v="ΔΙΕΥΘΥΝΣΗ Π.Ε. ΜΑΓΝΗΣΙΑΣ"/>
    <n v="36.274999999999999"/>
    <s v="31 - 40"/>
  </r>
  <r>
    <n v="99911354"/>
    <s v="Α"/>
    <x v="14"/>
    <x v="14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9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3-03-23T00:00:00"/>
    <x v="0"/>
    <s v="ΔΙΕΥΘΥΝΣΗ Δ.Ε. ΔΩΔΕΚΑΝΗΣΟΥ"/>
    <n v="36.274999999999999"/>
    <s v="31 - 40"/>
  </r>
  <r>
    <n v="99911355"/>
    <s v="Θ"/>
    <x v="7"/>
    <x v="7"/>
    <m/>
    <m/>
    <s v="Γ΄"/>
    <n v="1"/>
    <s v="ΨΔΧΟ4653ΠΣ-ΦΟΡ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3-12T00:00:00"/>
    <x v="0"/>
    <s v="ΔΙΕΥΘΥΝΣΗ Δ.Ε. Β΄ ΑΘΗΝΑΣ"/>
    <n v="36.305555555555557"/>
    <s v="31 - 40"/>
  </r>
  <r>
    <n v="99911356"/>
    <s v="Α"/>
    <x v="5"/>
    <x v="5"/>
    <m/>
    <m/>
    <s v="Γ΄"/>
    <n v="1"/>
    <n v="10085"/>
    <d v="2018-09-01T00:00:00"/>
    <s v="ΙΩΑΝΝΙΝΩΝ (Δ.Ε.) 2018"/>
    <s v="ΔΙΕΥΘΥΝΣΗ Δ.Ε. ΙΩΑΝΝΙΝΩΝ"/>
    <s v="ΠΕΡΙΦΕΡΕΙΑΚΗ Δ/ΝΣΗ Α/ΘΜΙΑΣ ΚΑΙ Β/ΘΜΙΑΣ ΕΚΠ/ΣΗΣ ΗΠΕΙΡΟΥ"/>
    <n v="17"/>
    <s v="ΟΧΙ"/>
    <s v="ΟΧΙ"/>
    <s v="ΟΧΙ"/>
    <m/>
    <s v="ΟΧΙ"/>
    <m/>
    <d v="2018-09-01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3-03-11T00:00:00"/>
    <x v="0"/>
    <s v="ΔΙΕΥΘΥΝΣΗ Δ.Ε. ΙΩΑΝΝΙΝΩΝ"/>
    <n v="36.30833333333333"/>
    <s v="31 - 40"/>
  </r>
  <r>
    <n v="9991135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3-10T00:00:00"/>
    <x v="0"/>
    <s v="ΔΙΕΥΘΥΝΣΗ Δ.Ε. Β΄ ΑΘΗΝΑΣ"/>
    <n v="36.31111111111111"/>
    <s v="31 - 40"/>
  </r>
  <r>
    <n v="99911358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27"/>
    <s v="ΙΔΙΩΤΙΚΟ ΝΗΠΙΑΓΩΓΕΙΟ ΘΕΣΣΑΛΟΝΙΚΗ - ΚΟΠΕΡΤΙ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3-08T00:00:00"/>
    <x v="1"/>
    <s v="ΔΙΕΥΘΥΝΣΗ Π.Ε. ΑΝΑΤ. ΘΕΣ/ΝΙΚΗΣ"/>
    <n v="36.31666666666667"/>
    <s v="31 - 40"/>
  </r>
  <r>
    <n v="99911359"/>
    <s v="Θ"/>
    <x v="3"/>
    <x v="3"/>
    <m/>
    <m/>
    <s v="Γ΄"/>
    <n v="1"/>
    <s v="ΦΔ12.2/7651/28-9-2018"/>
    <d v="2018-09-18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8"/>
    <s v="ΟΧΙ"/>
    <m/>
    <m/>
    <m/>
    <s v="ΟΧΙ"/>
    <m/>
    <d v="2018-09-18T00:00:00"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3-03-05T00:00:00"/>
    <x v="0"/>
    <s v="ΔΙΕΥΘΥΝΣΗ Δ.Ε. ΑΙΤΩΛΟΑΚΑΡΝΑΝΙΑΣ"/>
    <n v="36.325000000000003"/>
    <s v="31 - 40"/>
  </r>
  <r>
    <n v="99911360"/>
    <s v="Α"/>
    <x v="14"/>
    <x v="14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6"/>
    <s v="ΟΧΙ"/>
    <s v="ΟΧΙ"/>
    <s v="ΟΧΙ"/>
    <s v="ΟΧΙ"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3-03-03T00:00:00"/>
    <x v="1"/>
    <s v="ΔΙΕΥΘΥΝΣΗ Π.Ε. ΔΩΔΕΚΑΝΗΣΟΥ"/>
    <n v="36.330555555555556"/>
    <s v="31 - 40"/>
  </r>
  <r>
    <n v="99911361"/>
    <s v="Θ"/>
    <x v="2"/>
    <x v="2"/>
    <m/>
    <m/>
    <s v="Γ΄"/>
    <n v="1"/>
    <n v="4604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s v="ΟΧΙ"/>
    <m/>
    <s v="ΟΧΙ"/>
    <m/>
    <d v="2018-09-01T00:00:00"/>
    <s v="Ιδιωτικά Σχολεία"/>
    <x v="2"/>
    <s v="7052085"/>
    <s v="ΙΔΙΩΤΙΚΟ ΝΗΠΙΑΓΩΓΕΙΟ ΠΕΥΚΗ - &quot;ΤΟ ΦΕΓΓΑΡΑΚΙ ΤΗΣ ΠΕΥΚΗ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2-28T00:00:00"/>
    <x v="1"/>
    <s v="ΔΙΕΥΘΥΝΣΗ Π.Ε. Β΄ ΑΘΗΝΑΣ"/>
    <n v="36.338888888888889"/>
    <s v="31 - 40"/>
  </r>
  <r>
    <n v="99911362"/>
    <s v="Θ"/>
    <x v="2"/>
    <x v="2"/>
    <m/>
    <m/>
    <s v="Γ΄"/>
    <n v="1"/>
    <n v="938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2"/>
    <s v="7052029"/>
    <s v="ΙΔΙΩΤΙΚΟ ΝΗΠΙΑΓΩΓΕΙΟ ΦΙΛΟΘΕΗ - ΝΗΠΙΑΚΗ ΑΓΩΓΗ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3-02-26T00:00:00"/>
    <x v="1"/>
    <s v="ΔΙΕΥΘΥΝΣΗ Π.Ε. Β΄ ΑΘΗΝΑΣ"/>
    <n v="36.344444444444441"/>
    <s v="31 - 40"/>
  </r>
  <r>
    <n v="99911363"/>
    <s v="Θ"/>
    <x v="8"/>
    <x v="8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3-02-26T00:00:00"/>
    <x v="1"/>
    <s v="ΔΙΕΥΘΥΝΣΗ Π.Ε. ΚΟΡΙΝΘΙΑΣ"/>
    <n v="36.344444444444441"/>
    <s v="31 - 40"/>
  </r>
  <r>
    <n v="99911364"/>
    <s v="Θ"/>
    <x v="20"/>
    <x v="2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2-25T00:00:00"/>
    <x v="0"/>
    <s v="ΔΙΕΥΘΥΝΣΗ Δ.Ε. ΑΝΑΤΟΛΙΚΗΣ ΑΤΤΙΚΗΣ"/>
    <n v="36.347222222222221"/>
    <s v="31 - 40"/>
  </r>
  <r>
    <n v="99911365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2"/>
    <s v="7521105"/>
    <s v="ΙΔΙΩΤΙΚΟ - ΙΣΟΤΙΜΟ ΝΗΠΙΑΓΩΓΕΙΟ - Α΄ ΑΡΣΑΚΕΙΟ - ΤΟΣΙΤΣΕΙΟ ΝΗΠΙΑΓΩΓ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2-24T00:00:00"/>
    <x v="1"/>
    <s v="ΔΙΕΥΘΥΝΣΗ Π.Ε. ΑΝΑΤΟΛΙΚΗΣ ΑΤΤΙΚΗΣ"/>
    <n v="36.35"/>
    <s v="31 - 40"/>
  </r>
  <r>
    <n v="99911366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2-17T00:00:00"/>
    <x v="0"/>
    <s v="ΔΙΕΥΘΥΝΣΗ Δ.Ε. Β΄ ΑΘΗΝΑΣ"/>
    <n v="36.369444444444447"/>
    <s v="31 - 40"/>
  </r>
  <r>
    <n v="99911367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2-14T00:00:00"/>
    <x v="0"/>
    <s v="ΔΙΕΥΘΥΝΣΗ Δ.Ε. Β΄ ΑΘΗΝΑΣ"/>
    <n v="36.37777777777778"/>
    <s v="31 - 40"/>
  </r>
  <r>
    <n v="99911368"/>
    <s v="Θ"/>
    <x v="3"/>
    <x v="3"/>
    <m/>
    <m/>
    <s v="Γ΄"/>
    <n v="1"/>
    <n v="1775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s v="ΟΧΙ"/>
    <s v="ΟΧΙ"/>
    <s v="ΟΧΙ"/>
    <s v="ΟΧΙ"/>
    <s v="ΟΧΙ"/>
    <m/>
    <d v="2018-09-01T00:00:00"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2-13T00:00:00"/>
    <x v="0"/>
    <s v="ΔΙΕΥΘΥΝΣΗ Δ.Ε. ΔΥΤ. ΘΕΣ/ΝΙΚΗΣ"/>
    <n v="36.380555555555553"/>
    <s v="31 - 40"/>
  </r>
  <r>
    <n v="99911369"/>
    <s v="Α"/>
    <x v="1"/>
    <x v="1"/>
    <m/>
    <m/>
    <s v="Γ΄"/>
    <n v="1"/>
    <s v="92/21-11-2017"/>
    <d v="2018-09-01T00:00:00"/>
    <s v="Α΄ ΑΘΗΝΑΣ (Π.Ε.) 2018"/>
    <s v="ΔΙΕΥΘΥΝΣΗ Π.Ε. Α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1010"/>
    <s v="ΙΔΙΩΤΙΚΟ ΔΗΜΟΤΙΚΟ ΑΘΗΝΑ - ΣΧΟΛΗ ΧΙΛΛ"/>
    <s v="Α΄ ΑΘΗΝΑΣ (Π.Ε.) 2018"/>
    <x v="3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3-02-08T00:00:00"/>
    <x v="1"/>
    <s v="ΔΙΕΥΘΥΝΣΗ Π.Ε. Α΄ ΑΘΗΝΑΣ"/>
    <n v="36.394444444444446"/>
    <s v="31 - 40"/>
  </r>
  <r>
    <n v="99911370"/>
    <s v="Θ"/>
    <x v="29"/>
    <x v="28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3"/>
    <s v="ΟΧΙ"/>
    <s v="ΟΧΙ"/>
    <s v="ΟΧΙ"/>
    <s v="ΟΧΙ"/>
    <s v="ΟΧΙ"/>
    <m/>
    <m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2-05T00:00:00"/>
    <x v="0"/>
    <s v="ΔΙΕΥΘΥΝΣΗ Δ.Ε. ΛΑΡΙΣΑΣ"/>
    <n v="36.402777777777779"/>
    <s v="31 - 40"/>
  </r>
  <r>
    <n v="99911371"/>
    <s v="Θ"/>
    <x v="3"/>
    <x v="3"/>
    <m/>
    <m/>
    <s v="Β΄"/>
    <n v="3"/>
    <s v="Φ.Ι.Α.4/21263/30-9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01T00:00:00"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2-04T00:00:00"/>
    <x v="1"/>
    <s v="ΔΙΕΥΘΥΝΣΗ Π.Ε. ΑΝΑΤΟΛΙΚΗΣ ΑΤΤΙΚΗΣ"/>
    <n v="36.405555555555559"/>
    <s v="31 - 40"/>
  </r>
  <r>
    <n v="99911372"/>
    <s v="Α"/>
    <x v="1"/>
    <x v="1"/>
    <m/>
    <m/>
    <s v="Γ΄"/>
    <n v="1"/>
    <s v="3981/11-10-201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25T00:00:00"/>
    <x v="1"/>
    <s v="ΔΙΕΥΘΥΝΣΗ Π.Ε. Δ΄ ΑΘΗΝΑΣ"/>
    <n v="36.43333333333333"/>
    <s v="31 - 40"/>
  </r>
  <r>
    <n v="99911373"/>
    <s v="Θ"/>
    <x v="4"/>
    <x v="4"/>
    <m/>
    <m/>
    <s v="Γ΄"/>
    <n v="1"/>
    <n v="19763"/>
    <d v="2018-11-29T00:00:00"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d v="2018-11-29T00:00:00"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1-22T00:00:00"/>
    <x v="0"/>
    <s v="ΔΙΕΥΘΥΝΣΗ Δ.Ε. ΑΝΑΤΟΛΙΚΗΣ ΑΤΤΙΚΗΣ"/>
    <n v="36.44166666666667"/>
    <s v="31 - 40"/>
  </r>
  <r>
    <n v="99911374"/>
    <s v="Θ"/>
    <x v="6"/>
    <x v="6"/>
    <m/>
    <m/>
    <s v="Γ΄"/>
    <n v="1"/>
    <n v="1303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16T00:00:00"/>
    <x v="1"/>
    <s v="ΔΙΕΥΘΥΝΣΗ Π.Ε. Δ΄ ΑΘΗΝΑΣ"/>
    <n v="36.458333333333336"/>
    <s v="31 - 40"/>
  </r>
  <r>
    <n v="99911375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13T00:00:00"/>
    <x v="0"/>
    <s v="ΔΙΕΥΘΥΝΣΗ Δ.Ε. Β΄ ΑΘΗΝΑΣ"/>
    <n v="36.466666666666669"/>
    <s v="31 - 40"/>
  </r>
  <r>
    <n v="99911376"/>
    <s v="Α"/>
    <x v="9"/>
    <x v="9"/>
    <m/>
    <m/>
    <s v="Γ΄"/>
    <n v="3"/>
    <n v="17125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1-11T00:00:00"/>
    <x v="0"/>
    <s v="ΔΙΕΥΘΥΝΣΗ Δ.Ε. ΑΝΑΤ. ΘΕΣ/ΝΙΚΗΣ"/>
    <n v="36.472222222222221"/>
    <s v="31 - 40"/>
  </r>
  <r>
    <n v="99911377"/>
    <s v="Θ"/>
    <x v="3"/>
    <x v="3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11-02T00:00:00"/>
    <s v="Ιδιωτικά Σχολεία"/>
    <x v="1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3-01-09T00:00:00"/>
    <x v="1"/>
    <s v="ΔΙΕΥΘΥΝΣΗ Π.Ε. ΑΝΑΤ. ΘΕΣ/ΝΙΚΗΣ"/>
    <n v="36.477777777777774"/>
    <s v="31 - 40"/>
  </r>
  <r>
    <n v="99911378"/>
    <s v="Θ"/>
    <x v="6"/>
    <x v="6"/>
    <m/>
    <m/>
    <s v="Γ΄"/>
    <n v="1"/>
    <n v="18424"/>
    <d v="2018-09-01T00:00:00"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m/>
    <s v="ΟΧΙ"/>
    <m/>
    <d v="2018-09-01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3T00:00:00"/>
    <x v="0"/>
    <s v="ΔΙΕΥΘΥΝΣΗ Δ.Ε. ΠΕΙΡΑΙΑ"/>
    <n v="36.494444444444447"/>
    <s v="31 - 40"/>
  </r>
  <r>
    <n v="99911379"/>
    <s v="Θ"/>
    <x v="11"/>
    <x v="11"/>
    <m/>
    <m/>
    <s v="Β΄"/>
    <n v="7"/>
    <s v="ΩΡΔΩ4653ΠΣ-ΟΥ0/66Σ54653ΠΣ-ΜΗΝ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1-01T00:00:00"/>
    <x v="0"/>
    <s v="ΔΙΕΥΘΥΝΣΗ Δ.Ε. ΑΝΑΤΟΛΙΚΗΣ ΑΤΤΙΚΗΣ"/>
    <n v="36.5"/>
    <s v="31 - 40"/>
  </r>
  <r>
    <n v="99911380"/>
    <s v="Θ"/>
    <x v="0"/>
    <x v="0"/>
    <m/>
    <m/>
    <s v="Γ΄"/>
    <n v="2"/>
    <s v="18656/29-10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0"/>
    <s v="0560026"/>
    <s v="ΙΔΙΩΤΙΚΟ ΓΥΜΝΑΣ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1-01T00:00:00"/>
    <x v="0"/>
    <s v="ΔΙΕΥΘΥΝΣΗ Δ.Ε. ΑΝΑΤΟΛΙΚΗΣ ΑΤΤΙΚΗΣ"/>
    <n v="36.5"/>
    <s v="31 - 40"/>
  </r>
  <r>
    <n v="99911381"/>
    <s v="Θ"/>
    <x v="14"/>
    <x v="14"/>
    <m/>
    <m/>
    <s v="Α΄"/>
    <n v="1"/>
    <s v="ΩΡ66465ΦΘ3-ΣΔ2"/>
    <d v="2015-10-14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5-10-15T00:00:00"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0"/>
    <s v="ΔΙΕΥΘΥΝΣΗ Δ.Ε. Β΄ ΑΘΗΝΑΣ"/>
    <n v="36.5"/>
    <s v="31 - 40"/>
  </r>
  <r>
    <n v="99911382"/>
    <s v="Α"/>
    <x v="14"/>
    <x v="14"/>
    <m/>
    <m/>
    <s v="Γ΄"/>
    <n v="1"/>
    <s v="18279/53"/>
    <d v="2018-09-01T00:00:00"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0"/>
    <s v="ΔΙΕΥΘΥΝΣΗ Δ.Ε. Γ΄ ΑΘΗΝΑΣ"/>
    <n v="36.5"/>
    <s v="31 - 40"/>
  </r>
  <r>
    <n v="99911383"/>
    <s v="Θ"/>
    <x v="11"/>
    <x v="11"/>
    <m/>
    <m/>
    <s v="Γ΄"/>
    <n v="1"/>
    <s v="18279/29"/>
    <d v="2018-09-01T00:00:00"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0"/>
    <s v="ΔΙΕΥΘΥΝΣΗ Δ.Ε. Γ΄ ΑΘΗΝΑΣ"/>
    <n v="36.5"/>
    <s v="31 - 40"/>
  </r>
  <r>
    <n v="99911384"/>
    <s v="Θ"/>
    <x v="19"/>
    <x v="19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12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0"/>
    <s v="ΔΙΕΥΘΥΝΣΗ Δ.Ε. Δ΄ ΑΘΗΝΑΣ"/>
    <n v="36.5"/>
    <s v="31 - 40"/>
  </r>
  <r>
    <n v="99911385"/>
    <s v="Θ"/>
    <x v="19"/>
    <x v="19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0"/>
    <s v="ΔΙΕΥΘΥΝΣΗ Δ.Ε. Δ΄ ΑΘΗΝΑΣ"/>
    <n v="36.5"/>
    <s v="31 - 40"/>
  </r>
  <r>
    <n v="99911386"/>
    <s v="Θ"/>
    <x v="0"/>
    <x v="0"/>
    <m/>
    <m/>
    <s v="Γ΄"/>
    <n v="1"/>
    <n v="21456"/>
    <d v="2018-09-01T00:00:00"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3-01-01T00:00:00"/>
    <x v="0"/>
    <s v="ΔΙΕΥΘΥΝΣΗ Δ.Ε. ΠΕΙΡΑΙΑ"/>
    <n v="36.5"/>
    <s v="31 - 40"/>
  </r>
  <r>
    <n v="99911387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0"/>
    <s v="ΔΙΕΥΘΥΝΣΗ Δ.Ε. ΠΕΙΡΑΙΑ"/>
    <n v="36.5"/>
    <s v="31 - 40"/>
  </r>
  <r>
    <n v="99911388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1"/>
    <s v="ΔΙΕΥΘΥΝΣΗ Π.Ε. Β΄ ΑΘΗΝΑΣ"/>
    <n v="36.5"/>
    <s v="31 - 40"/>
  </r>
  <r>
    <n v="99911389"/>
    <s v="Θ"/>
    <x v="14"/>
    <x v="14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1"/>
    <s v="ΔΙΕΥΘΥΝΣΗ Π.Ε. Β΄ ΑΘΗΝΑΣ"/>
    <n v="36.5"/>
    <s v="31 - 40"/>
  </r>
  <r>
    <n v="99911390"/>
    <s v="Θ"/>
    <x v="12"/>
    <x v="12"/>
    <m/>
    <m/>
    <s v="Γ΄"/>
    <n v="1"/>
    <s v="Β2ΙΕ9-ΥΥΕ"/>
    <d v="2014-09-18T00:00:00"/>
    <s v="Δ΄ ΑΘΗΝΑΣ (Π.Ε.) 2018"/>
    <s v="ΔΙΕΥΘΥΝΣΗ Π.Ε. Δ΄ ΑΘΗΝΑΣ"/>
    <s v="ΠΕΡΙΦΕΡΕΙΑΚΗ Δ/ΝΣΗ Α/ΘΜΙΑΣ ΚΑΙ Β/ΘΜΙΑΣ ΕΚΠ/ΣΗΣ ΑΤΤΙΚΗΣ"/>
    <n v="16"/>
    <s v="ΟΧΙ"/>
    <s v="ΟΧΙ"/>
    <s v="ΟΧΙ"/>
    <s v="ΟΧΙ"/>
    <s v="ΟΧΙ"/>
    <m/>
    <d v="2014-09-18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1"/>
    <s v="ΔΙΕΥΘΥΝΣΗ Π.Ε. Δ΄ ΑΘΗΝΑΣ"/>
    <n v="36.5"/>
    <s v="31 - 40"/>
  </r>
  <r>
    <n v="99911391"/>
    <s v="Α"/>
    <x v="1"/>
    <x v="1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3-01-01T00:00:00"/>
    <x v="1"/>
    <s v="ΔΙΕΥΘΥΝΣΗ Π.Ε. Δ΄ ΑΘΗΝΑΣ"/>
    <n v="36.5"/>
    <s v="31 - 40"/>
  </r>
  <r>
    <n v="99911392"/>
    <s v="Α"/>
    <x v="14"/>
    <x v="14"/>
    <s v="ΠΕ83"/>
    <s v="ΗΛΕΚΤΡΟΛΟΓΩΝ"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7"/>
    <s v="ΟΧΙ"/>
    <s v="ΟΧΙ"/>
    <s v="ΟΧΙ"/>
    <m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3-01-01T00:00:00"/>
    <x v="0"/>
    <s v="ΔΙΕΥΘΥΝΣΗ Δ.Ε. ΑΙΤΩΛΟΑΚΑΡΝΑΝΙΑΣ"/>
    <n v="36.5"/>
    <s v="31 - 40"/>
  </r>
  <r>
    <n v="99911393"/>
    <s v="Θ"/>
    <x v="12"/>
    <x v="12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9"/>
    <s v="ΟΧΙ"/>
    <s v="ΟΧΙ"/>
    <s v="ΟΧΙ"/>
    <s v="ΟΧΙ"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3-01-01T00:00:00"/>
    <x v="0"/>
    <s v="ΔΙΕΥΘΥΝΣΗ Δ.Ε. ΑΧΑΪΑΣ"/>
    <n v="36.5"/>
    <s v="31 - 40"/>
  </r>
  <r>
    <n v="99911394"/>
    <s v="Θ"/>
    <x v="0"/>
    <x v="0"/>
    <m/>
    <m/>
    <s v="Γ΄"/>
    <n v="1"/>
    <s v="Φ. 17.2_ A_/14075/4"/>
    <d v="2018-09-28T00:00:00"/>
    <s v="ΑΧΑΪΑΣ (Δ.Ε.) 2018"/>
    <s v="ΔΙΕΥΘΥΝΣΗ Δ.Ε. ΑΧΑΪΑΣ"/>
    <s v="ΠΕΡΙΦΕΡΕΙΑΚΗ Δ/ΝΣΗ Α/ΘΜΙΑΣ ΚΑΙ Β/ΘΜΙΑΣ ΕΚΠ/ΣΗΣ ΔΥΤΙΚΗΣ ΕΛΛΑΔΑΣ"/>
    <n v="17"/>
    <s v="ΟΧΙ"/>
    <s v="ΟΧΙ"/>
    <s v="ΟΧΙ"/>
    <s v="ΟΧΙ"/>
    <s v="ΟΧΙ"/>
    <m/>
    <d v="2018-09-28T00:00:00"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3-01-01T00:00:00"/>
    <x v="0"/>
    <s v="ΔΙΕΥΘΥΝΣΗ Δ.Ε. ΑΧΑΪΑΣ"/>
    <n v="36.5"/>
    <s v="31 - 40"/>
  </r>
  <r>
    <n v="99911395"/>
    <s v="Θ"/>
    <x v="6"/>
    <x v="6"/>
    <m/>
    <m/>
    <s v="Γ΄"/>
    <n v="1"/>
    <s v="Φ. 17.2_ A/12078/7/5-10-2018"/>
    <d v="2018-09-01T00:00:00"/>
    <s v="ΑΧΑΪΑΣ (Δ.Ε.) 2018"/>
    <s v="ΔΙΕΥΘΥΝΣΗ Δ.Ε. ΑΧΑΪΑΣ"/>
    <s v="ΠΕΡΙΦΕΡΕΙΑΚΗ Δ/ΝΣΗ Α/ΘΜΙΑΣ ΚΑΙ Β/ΘΜΙΑΣ ΕΚΠ/ΣΗΣ ΔΥΤΙΚΗΣ ΕΛΛΑΔΑΣ"/>
    <n v="17"/>
    <s v="ΟΧΙ"/>
    <s v="ΟΧΙ"/>
    <s v="ΟΧΙ"/>
    <s v="ΟΧΙ"/>
    <s v="ΟΧΙ"/>
    <m/>
    <d v="2018-09-01T00:00:00"/>
    <s v="Ιδιωτικά Σχολεία"/>
    <x v="0"/>
    <s v="0645053"/>
    <s v="ΙΔΙΩΤΙΚΟ ΓΥΜΝΑΣΙΟ &quot;ΑΝΑΓΕΝΝΗΣΗ IKE&quot;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3-01-01T00:00:00"/>
    <x v="0"/>
    <s v="ΔΙΕΥΘΥΝΣΗ Δ.Ε. ΑΧΑΪΑΣ"/>
    <n v="36.5"/>
    <s v="31 - 40"/>
  </r>
  <r>
    <n v="99911396"/>
    <s v="Θ"/>
    <x v="11"/>
    <x v="11"/>
    <m/>
    <m/>
    <s v="Γ΄"/>
    <n v="1"/>
    <s v="ΦΑΦ/10272/6-10-2017"/>
    <d v="2017-09-08T00:00:00"/>
    <s v="ΙΩΑΝΝΙΝΩΝ (Δ.Ε.) 2018"/>
    <s v="ΔΙΕΥΘΥΝΣΗ Δ.Ε. ΙΩΑΝΝΙΝΩΝ"/>
    <s v="ΠΕΡΙΦΕΡΕΙΑΚΗ Δ/ΝΣΗ Α/ΘΜΙΑΣ ΚΑΙ Β/ΘΜΙΑΣ ΕΚΠ/ΣΗΣ ΗΠΕΙΡΟΥ"/>
    <n v="13"/>
    <s v="ΟΧΙ"/>
    <s v="ΟΧΙ"/>
    <s v="ΟΧΙ"/>
    <s v="ΟΧΙ"/>
    <s v="ΟΧΙ"/>
    <m/>
    <d v="2017-09-08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3-01-01T00:00:00"/>
    <x v="0"/>
    <s v="ΔΙΕΥΘΥΝΣΗ Δ.Ε. ΙΩΑΝΝΙΝΩΝ"/>
    <n v="36.5"/>
    <s v="31 - 40"/>
  </r>
  <r>
    <n v="99911397"/>
    <s v="Θ"/>
    <x v="0"/>
    <x v="0"/>
    <m/>
    <m/>
    <s v="Γ΄"/>
    <n v="1"/>
    <s v="9186/11-9-2017"/>
    <d v="2018-09-01T00:00:00"/>
    <s v="ΙΩΑΝΝΙΝΩΝ (Δ.Ε.) 2018"/>
    <s v="ΔΙΕΥΘΥΝΣΗ Δ.Ε. ΙΩΑΝΝΙΝΩΝ"/>
    <s v="ΠΕΡΙΦΕΡΕΙΑΚΗ Δ/ΝΣΗ Α/ΘΜΙΑΣ ΚΑΙ Β/ΘΜΙΑΣ ΕΚΠ/ΣΗΣ ΗΠΕΙΡΟΥ"/>
    <n v="21"/>
    <s v="ΟΧΙ"/>
    <s v="ΟΧΙ"/>
    <s v="ΟΧΙ"/>
    <s v="ΟΧΙ"/>
    <s v="ΟΧΙ"/>
    <m/>
    <d v="2018-09-01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3-01-01T00:00:00"/>
    <x v="0"/>
    <s v="ΔΙΕΥΘΥΝΣΗ Δ.Ε. ΙΩΑΝΝΙΝΩΝ"/>
    <n v="36.5"/>
    <s v="31 - 40"/>
  </r>
  <r>
    <n v="99911398"/>
    <s v="Α"/>
    <x v="1"/>
    <x v="1"/>
    <s v="ΠΕ86"/>
    <s v="ΠΛΗΡΟΦΟΡΙΚΗΣ"/>
    <s v="Α΄"/>
    <n v="1"/>
    <s v="Ω2844653ΠΣ-ΠΥΔ"/>
    <d v="2016-03-07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6-03-07T00:00:00"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3-01-01T00:00:00"/>
    <x v="1"/>
    <s v="ΔΙΕΥΘΥΝΣΗ Π.Ε. ΙΩΑΝΝΙΝΩΝ"/>
    <n v="36.5"/>
    <s v="31 - 40"/>
  </r>
  <r>
    <n v="99911399"/>
    <s v="Θ"/>
    <x v="3"/>
    <x v="3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1-01T00:00:00"/>
    <x v="0"/>
    <s v="ΔΙΕΥΘΥΝΣΗ Δ.Ε. ΛΑΡΙΣΑΣ"/>
    <n v="36.5"/>
    <s v="31 - 40"/>
  </r>
  <r>
    <n v="99911400"/>
    <s v="Θ"/>
    <x v="27"/>
    <x v="21"/>
    <m/>
    <m/>
    <s v="Γ΄"/>
    <n v="8"/>
    <m/>
    <m/>
    <s v="Α΄ ΜΑΓΝΗΣΙΑΣ (Π.Ε.) 2018"/>
    <s v="ΔΙΕΥΘΥΝΣΗ Π.Ε. ΜΑΓΝΗΣΙ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3-01-01T00:00:00"/>
    <x v="1"/>
    <s v="ΔΙΕΥΘΥΝΣΗ Π.Ε. ΜΑΓΝΗΣΙΑΣ"/>
    <n v="36.5"/>
    <s v="31 - 40"/>
  </r>
  <r>
    <n v="99911401"/>
    <s v="Θ"/>
    <x v="1"/>
    <x v="1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1-01T00:00:00"/>
    <x v="1"/>
    <s v="ΔΙΕΥΘΥΝΣΗ Π.Ε. ΑΝΑΤ. ΘΕΣ/ΝΙΚΗΣ"/>
    <n v="36.5"/>
    <s v="31 - 40"/>
  </r>
  <r>
    <n v="99911402"/>
    <s v="Θ"/>
    <x v="1"/>
    <x v="1"/>
    <m/>
    <m/>
    <s v="Γ΄"/>
    <n v="1"/>
    <d v="2018-09-06T00:00:00"/>
    <d v="2018-09-06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d v="2018-09-06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3-01-01T00:00:00"/>
    <x v="1"/>
    <s v="ΔΙΕΥΘΥΝΣΗ Π.Ε. ΑΝΑΤ. ΘΕΣ/ΝΙΚΗΣ"/>
    <n v="36.5"/>
    <s v="31 - 40"/>
  </r>
  <r>
    <n v="99911403"/>
    <s v="Α"/>
    <x v="14"/>
    <x v="14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3-01-01T00:00:00"/>
    <x v="0"/>
    <s v="ΔΙΕΥΘΥΝΣΗ Δ.Ε. ΧΑΝΙΩΝ"/>
    <n v="36.5"/>
    <s v="31 - 40"/>
  </r>
  <r>
    <n v="99911404"/>
    <s v="Θ"/>
    <x v="6"/>
    <x v="6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6"/>
    <s v="ΟΧΙ"/>
    <s v="ΟΧΙ"/>
    <s v="ΟΧΙ"/>
    <s v="ΟΧΙ"/>
    <s v="ΟΧΙ"/>
    <m/>
    <m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3-01-01T00:00:00"/>
    <x v="1"/>
    <s v="ΔΙΕΥΘΥΝΣΗ Π.Ε. ΧΑΝΙΩΝ"/>
    <n v="36.5"/>
    <s v="31 - 40"/>
  </r>
  <r>
    <n v="99911405"/>
    <s v="Θ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6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3-01-01T00:00:00"/>
    <x v="0"/>
    <s v="ΔΙΕΥΘΥΝΣΗ Δ.Ε. ΚΥΚΛΑΔΩΝ"/>
    <n v="36.5"/>
    <s v="31 - 40"/>
  </r>
  <r>
    <n v="99911406"/>
    <s v="Θ"/>
    <x v="5"/>
    <x v="5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8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3-01-01T00:00:00"/>
    <x v="0"/>
    <s v="ΔΙΕΥΘΥΝΣΗ Δ.Ε. ΚΥΚΛΑΔΩΝ"/>
    <n v="36.5"/>
    <s v="31 - 40"/>
  </r>
  <r>
    <n v="99911407"/>
    <s v="Θ"/>
    <x v="2"/>
    <x v="2"/>
    <m/>
    <m/>
    <s v="Γ΄"/>
    <n v="1"/>
    <n v="2031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2-29T00:00:00"/>
    <x v="1"/>
    <s v="ΔΙΕΥΘΥΝΣΗ Π.Ε. Δ΄ ΑΘΗΝΑΣ"/>
    <n v="36.508333333333333"/>
    <s v="31 - 40"/>
  </r>
  <r>
    <n v="99911408"/>
    <s v="Α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12-29T00:00:00"/>
    <x v="0"/>
    <s v="ΔΙΕΥΘΥΝΣΗ Δ.Ε. ΛΑΡΙΣΑΣ"/>
    <n v="36.508333333333333"/>
    <s v="31 - 40"/>
  </r>
  <r>
    <n v="99911409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41097"/>
    <s v="2ο ΙΔΙΩΤΙΚΟ ΣΥΣΤΕΓΑΖΟΜΕΝΟ ΝΗΠΙΑΓΩΓΕΙΟ - ΚΑΡΟΥΖΕΛ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2-23T00:00:00"/>
    <x v="1"/>
    <s v="ΔΙΕΥΘΥΝΣΗ Π.Ε. ΠΕΙΡΑΙΑ"/>
    <n v="36.524999999999999"/>
    <s v="31 - 40"/>
  </r>
  <r>
    <n v="99911410"/>
    <s v="Θ"/>
    <x v="11"/>
    <x v="11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2-21T00:00:00"/>
    <x v="0"/>
    <s v="ΔΙΕΥΘΥΝΣΗ Δ.Ε. Β΄ ΑΘΗΝΑΣ"/>
    <n v="36.530555555555559"/>
    <s v="31 - 40"/>
  </r>
  <r>
    <n v="99911411"/>
    <s v="Θ"/>
    <x v="2"/>
    <x v="2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6"/>
    <s v="ΟΧΙ"/>
    <s v="ΟΧΙ"/>
    <s v="ΟΧΙ"/>
    <m/>
    <s v="ΟΧΙ"/>
    <m/>
    <m/>
    <s v="Ιδιωτικά Σχολεία"/>
    <x v="2"/>
    <s v="7171001"/>
    <s v="22ο ΙΔΙΩΤΙΚΟ ΝΗΠΙΑΓΩΓΕΙΟ ΗΡΑΚΛΕΙΟ ΚΡΗΤΗΣ - ΡΟΔΟΜΗΛΙΑ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2-12-13T00:00:00"/>
    <x v="1"/>
    <s v="ΔΙΕΥΘΥΝΣΗ Π.Ε. ΗΡΑΚΛΕΙΟΥ"/>
    <n v="36.552777777777777"/>
    <s v="31 - 40"/>
  </r>
  <r>
    <n v="99911412"/>
    <s v="Θ"/>
    <x v="19"/>
    <x v="19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2-12-11T00:00:00"/>
    <x v="0"/>
    <s v="ΔΙΕΥΘΥΝΣΗ Δ.Ε. ΔΩΔΕΚΑΝΗΣΟΥ"/>
    <n v="36.55833333333333"/>
    <s v="31 - 40"/>
  </r>
  <r>
    <n v="99911413"/>
    <s v="Θ"/>
    <x v="2"/>
    <x v="2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5"/>
    <s v="ΟΧΙ"/>
    <s v="ΟΧΙ"/>
    <s v="ΟΧΙ"/>
    <m/>
    <s v="ΟΧΙ"/>
    <m/>
    <m/>
    <s v="Ιδιωτικά Σχολεία"/>
    <x v="2"/>
    <s v="7171017"/>
    <s v="ΙΔΙΩΤΙΚΟ ΝΗΠΙΑΓΩΓΕΙΟ ΗΡΑΚΛΕΙΟ - ΙΔΙΩΤΙΚΟ ΝΗΠΙΑΓΩΓΕΙ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2-12-09T00:00:00"/>
    <x v="1"/>
    <s v="ΔΙΕΥΘΥΝΣΗ Π.Ε. ΗΡΑΚΛΕΙΟΥ"/>
    <n v="36.56388888888889"/>
    <s v="31 - 40"/>
  </r>
  <r>
    <n v="99911414"/>
    <s v="Θ"/>
    <x v="2"/>
    <x v="2"/>
    <m/>
    <m/>
    <s v="Γ΄"/>
    <n v="5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07"/>
    <s v="ΙΔΙΩΤΙΚΟ ΝΗΠΙΑΓΩΓΕΙΟ ΒΟΛΟΣ - ΧΡΥΣΙΚΟΥ ΕΛΙΣΑΒΕΤ-ΜΑΡΙΑ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12-02T00:00:00"/>
    <x v="1"/>
    <s v="ΔΙΕΥΘΥΝΣΗ Π.Ε. ΜΑΓΝΗΣΙΑΣ"/>
    <n v="36.583333333333336"/>
    <s v="31 - 40"/>
  </r>
  <r>
    <n v="99911415"/>
    <s v="Θ"/>
    <x v="2"/>
    <x v="2"/>
    <m/>
    <m/>
    <s v="Γ΄"/>
    <n v="5"/>
    <s v="Φ.17.2/4402/15-10-2010"/>
    <d v="2018-09-01T00:00:00"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d v="2018-09-01T00:00:00"/>
    <s v="Ιδιωτικά Σχολεία"/>
    <x v="2"/>
    <s v="7351007"/>
    <s v="ΙΔΙΩΤΙΚΟ ΝΗΠΙΑΓΩΓΕΙΟ ΒΟΛΟΣ - ΧΡΥΣΙΚΟΥ ΕΛΙΣΑΒΕΤ-ΜΑΡΙΑ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12-02T00:00:00"/>
    <x v="1"/>
    <s v="ΔΙΕΥΘΥΝΣΗ Π.Ε. ΜΑΓΝΗΣΙΑΣ"/>
    <n v="36.583333333333336"/>
    <s v="31 - 40"/>
  </r>
  <r>
    <n v="99911416"/>
    <s v="Θ"/>
    <x v="2"/>
    <x v="2"/>
    <m/>
    <m/>
    <s v="Γ΄"/>
    <n v="1"/>
    <n v="10476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71"/>
    <s v="ΜΑΡΙΑ ΚΟΥΝΕΝΙΔΑΚΗ - ΕΥΣΤΑΘΙΟΣ ΣΙΑΝΝΑΣ Ο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1-29T00:00:00"/>
    <x v="1"/>
    <s v="ΔΙΕΥΘΥΝΣΗ Π.Ε. Δ΄ ΑΘΗΝΑΣ"/>
    <n v="36.591666666666669"/>
    <s v="31 - 40"/>
  </r>
  <r>
    <n v="99911417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1-17T00:00:00"/>
    <x v="0"/>
    <s v="ΔΙΕΥΘΥΝΣΗ Δ.Ε. ΑΝΑΤΟΛΙΚΗΣ ΑΤΤΙΚΗΣ"/>
    <n v="36.625"/>
    <s v="31 - 40"/>
  </r>
  <r>
    <n v="99911418"/>
    <s v="Θ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11-16T00:00:00"/>
    <x v="0"/>
    <s v="ΔΙΕΥΘΥΝΣΗ Δ.Ε. ΑΝΑΤ. ΘΕΣ/ΝΙΚΗΣ"/>
    <n v="36.62777777777778"/>
    <s v="31 - 40"/>
  </r>
  <r>
    <n v="99911419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1-14T00:00:00"/>
    <x v="1"/>
    <s v="ΔΙΕΥΘΥΝΣΗ Π.Ε. Α΄ ΑΘΗΝΑΣ"/>
    <n v="36.633333333333333"/>
    <s v="31 - 40"/>
  </r>
  <r>
    <n v="99911420"/>
    <s v="Α"/>
    <x v="10"/>
    <x v="10"/>
    <m/>
    <m/>
    <s v="Γ΄"/>
    <n v="1"/>
    <s v="18175/10-10-2018"/>
    <d v="2018-09-01T00:00:00"/>
    <s v="ΛΑΡΙΣΑΣ (Δ.Ε.) 2018"/>
    <s v="ΔΙΕΥΘΥΝΣΗ Δ.Ε. ΛΑΡΙΣΑΣ"/>
    <s v="ΠΕΡΙΦΕΡΕΙΑΚΗ Δ/ΝΣΗ Α/ΘΜΙΑΣ ΚΑΙ Β/ΘΜΙΑΣ ΕΚΠ/ΣΗΣ ΘΕΣΣΑΛΙΑΣ"/>
    <n v="10"/>
    <s v="ΟΧΙ"/>
    <s v="ΟΧΙ"/>
    <s v="ΟΧΙ"/>
    <s v="ΟΧΙ"/>
    <s v="ΟΧΙ"/>
    <m/>
    <d v="2018-09-01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2-11-09T00:00:00"/>
    <x v="0"/>
    <s v="ΔΙΕΥΘΥΝΣΗ Δ.Ε. ΛΑΡΙΣΑΣ"/>
    <n v="36.647222222222226"/>
    <s v="31 - 40"/>
  </r>
  <r>
    <n v="99911421"/>
    <s v="Θ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1-03T00:00:00"/>
    <x v="0"/>
    <s v="ΔΙΕΥΘΥΝΣΗ Δ.Ε. ΠΕΙΡΑΙΑ"/>
    <n v="36.663888888888891"/>
    <s v="31 - 40"/>
  </r>
  <r>
    <n v="99911422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30T00:00:00"/>
    <x v="1"/>
    <s v="ΔΙΕΥΘΥΝΣΗ Π.Ε. Β΄ ΑΘΗΝΑΣ"/>
    <n v="36.674999999999997"/>
    <s v="31 - 40"/>
  </r>
  <r>
    <n v="99911423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19T00:00:00"/>
    <x v="0"/>
    <s v="ΔΙΕΥΘΥΝΣΗ Δ.Ε. ΠΕΙΡΑΙΑ"/>
    <n v="36.705555555555556"/>
    <s v="31 - 40"/>
  </r>
  <r>
    <n v="99911424"/>
    <s v="Α"/>
    <x v="2"/>
    <x v="2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m/>
    <s v="Ιδιωτικά Σχολεία"/>
    <x v="2"/>
    <s v="7061049"/>
    <s v="ΣΥΣΤΕΓΑΖΟΜΕΝΟ ΙΔΙΩΤΙΚΟ ΝΗΠΙΑΓΩΓΕΙΟ - ΜΙΚΡΟ ΓΥΡΙ Ι.Κ.Ε.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2-10-16T00:00:00"/>
    <x v="1"/>
    <s v="ΔΙΕΥΘΥΝΣΗ Π.Ε. ΑΧΑΪΑΣ"/>
    <n v="36.713888888888889"/>
    <s v="31 - 40"/>
  </r>
  <r>
    <n v="99911425"/>
    <s v="Θ"/>
    <x v="2"/>
    <x v="2"/>
    <m/>
    <m/>
    <s v="Γ΄"/>
    <n v="1"/>
    <s v="4790/29-8-2018"/>
    <d v="2018-09-03T00:00:00"/>
    <s v="ΚΑΡΔΙΤΣΑΣ (Π.Ε.) 2018"/>
    <s v="ΔΙΕΥΘΥΝΣΗ Π.Ε. ΚΑΡΔΙΤΣΑΣ"/>
    <s v="ΠΕΡΙΦΕΡΕΙΑΚΗ Δ/ΝΣΗ Α/ΘΜΙΑΣ ΚΑΙ Β/ΘΜΙΑΣ ΕΚΠ/ΣΗΣ ΘΕΣΣΑΛΙΑΣ"/>
    <n v="25"/>
    <s v="ΟΧΙ"/>
    <m/>
    <m/>
    <m/>
    <s v="ΟΧΙ"/>
    <m/>
    <d v="2018-09-03T00:00:00"/>
    <s v="Ιδιωτικά Σχολεία"/>
    <x v="2"/>
    <s v="7221005"/>
    <s v="ΙΔΙΩΤΙΚΟ ΣΥΣΤΕΓΑΖΟΜΕΝΟ ΝΗΠΙΑΓΩΓΕΙΟ ΝΑΤΑΣΑ-Α.ΓΚΑΒΑΛΕΚΑ ΚΑΙ ΣΙΑ Ι.Κ.Ε."/>
    <s v="ΚΑΡΔΙΤΣΑΣ (Π.Ε.) 2018"/>
    <x v="66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2-10-16T00:00:00"/>
    <x v="1"/>
    <s v="ΔΙΕΥΘΥΝΣΗ Π.Ε. ΚΑΡΔΙΤΣΑΣ"/>
    <n v="36.713888888888889"/>
    <s v="31 - 40"/>
  </r>
  <r>
    <n v="99911426"/>
    <s v="Α"/>
    <x v="14"/>
    <x v="14"/>
    <m/>
    <m/>
    <s v="Γ΄"/>
    <n v="1"/>
    <s v="ΦΔ12.2/7650"/>
    <d v="2018-09-28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9"/>
    <s v="ΟΧΙ"/>
    <m/>
    <m/>
    <m/>
    <s v="ΟΧΙ"/>
    <m/>
    <d v="2018-09-28T00:00:00"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2-10-12T00:00:00"/>
    <x v="0"/>
    <s v="ΔΙΕΥΘΥΝΣΗ Δ.Ε. ΑΙΤΩΛΟΑΚΑΡΝΑΝΙΑΣ"/>
    <n v="36.725000000000001"/>
    <s v="31 - 40"/>
  </r>
  <r>
    <n v="99911427"/>
    <s v="Θ"/>
    <x v="4"/>
    <x v="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10-11T00:00:00"/>
    <x v="0"/>
    <s v="ΔΙΕΥΘΥΝΣΗ Δ.Ε. Β΄ ΑΘΗΝΑΣ"/>
    <n v="36.727777777777774"/>
    <s v="31 - 40"/>
  </r>
  <r>
    <n v="99911428"/>
    <s v="Θ"/>
    <x v="9"/>
    <x v="9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6"/>
    <s v="ΟΧΙ"/>
    <s v="ΟΧΙ"/>
    <s v="ΟΧΙ"/>
    <s v="ΟΧΙ"/>
    <s v="ΟΧΙ"/>
    <m/>
    <d v="2005-09-08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09T00:00:00"/>
    <x v="0"/>
    <s v="ΔΙΕΥΘΥΝΣΗ Δ.Ε. Α΄ ΑΘΗΝΑΣ"/>
    <n v="36.733333333333334"/>
    <s v="31 - 40"/>
  </r>
  <r>
    <n v="99911429"/>
    <s v="Θ"/>
    <x v="0"/>
    <x v="0"/>
    <m/>
    <m/>
    <s v="Γ΄"/>
    <n v="1"/>
    <s v="Φ 17.2/34/826/3-2-2016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09T00:00:00"/>
    <x v="1"/>
    <s v="ΔΙΕΥΘΥΝΣΗ Π.Ε. Β΄ ΑΘΗΝΑΣ"/>
    <n v="36.733333333333334"/>
    <s v="31 - 40"/>
  </r>
  <r>
    <n v="99911430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07T00:00:00"/>
    <x v="1"/>
    <s v="ΔΙΕΥΘΥΝΣΗ Π.Ε. ΠΕΙΡΑΙΑ"/>
    <n v="36.738888888888887"/>
    <s v="31 - 40"/>
  </r>
  <r>
    <n v="99911431"/>
    <s v="Θ"/>
    <x v="2"/>
    <x v="2"/>
    <m/>
    <m/>
    <s v="Γ΄"/>
    <n v="1"/>
    <n v="8163"/>
    <d v="2018-09-01T00:00:00"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s v="ΟΧΙ"/>
    <s v="ΟΧΙ"/>
    <m/>
    <d v="2018-09-01T00:00:00"/>
    <s v="Ιδιωτικά Σχολεία"/>
    <x v="2"/>
    <s v="7311005"/>
    <s v="ΙΔΙΩΤΙΚΟ ΝΗΠΙΑΓΩΓΕΙΟ ΛΑΡΙΣΑ - ΓΙΑΝΝΑΚΑΚΗ ΡΟΔΟΠΗ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2-10-07T00:00:00"/>
    <x v="1"/>
    <s v="ΔΙΕΥΘΥΝΣΗ Π.Ε. ΛΑΡΙΣΑΣ"/>
    <n v="36.738888888888887"/>
    <s v="31 - 40"/>
  </r>
  <r>
    <n v="99911432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06T00:00:00"/>
    <x v="0"/>
    <s v="ΔΙΕΥΘΥΝΣΗ Δ.Ε. Α΄ ΑΘΗΝΑΣ"/>
    <n v="36.741666666666667"/>
    <s v="31 - 40"/>
  </r>
  <r>
    <n v="99911433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10-06T00:00:00"/>
    <x v="0"/>
    <s v="ΔΙΕΥΘΥΝΣΗ Δ.Ε. Β΄ ΑΘΗΝΑΣ"/>
    <n v="36.741666666666667"/>
    <s v="31 - 40"/>
  </r>
  <r>
    <n v="99911434"/>
    <s v="Θ"/>
    <x v="9"/>
    <x v="9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7"/>
    <s v="ΟΧΙ"/>
    <m/>
    <m/>
    <m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04T00:00:00"/>
    <x v="0"/>
    <s v="ΔΙΕΥΘΥΝΣΗ Δ.Ε. Δ΄ ΑΘΗΝΑΣ"/>
    <n v="36.74722222222222"/>
    <s v="31 - 40"/>
  </r>
  <r>
    <n v="99911435"/>
    <s v="Θ"/>
    <x v="8"/>
    <x v="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10-03T00:00:00"/>
    <x v="1"/>
    <s v="ΔΙΕΥΘΥΝΣΗ Π.Ε. ΑΝΑΤΟΛΙΚΗΣ ΑΤΤΙΚΗΣ"/>
    <n v="36.75"/>
    <s v="31 - 40"/>
  </r>
  <r>
    <n v="99911436"/>
    <s v="Θ"/>
    <x v="2"/>
    <x v="2"/>
    <m/>
    <m/>
    <s v="Α΄"/>
    <n v="3"/>
    <s v="6Κ3Δ465ΦΘ3-Γ4Μ"/>
    <d v="2015-02-1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5-02-16T00:00:00"/>
    <s v="Ιδιωτικά Σχολεία"/>
    <x v="2"/>
    <s v="7192017"/>
    <s v="ΙΔΙΩΤΙΚΟ ΝΗΠΙΑΓΩΓΕΙ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10-01T00:00:00"/>
    <x v="1"/>
    <s v="ΔΙΕΥΘΥΝΣΗ Π.Ε. ΔΥΤ. ΘΕΣ/ΝΙΚΗΣ"/>
    <n v="36.755555555555553"/>
    <s v="31 - 40"/>
  </r>
  <r>
    <n v="99911437"/>
    <s v="Θ"/>
    <x v="20"/>
    <x v="2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9-30T00:00:00"/>
    <x v="0"/>
    <s v="ΔΙΕΥΘΥΝΣΗ Δ.Ε. Β΄ ΑΘΗΝΑΣ"/>
    <n v="36.758333333333333"/>
    <s v="31 - 40"/>
  </r>
  <r>
    <n v="99911438"/>
    <s v="Θ"/>
    <x v="14"/>
    <x v="14"/>
    <m/>
    <m/>
    <s v="Α΄"/>
    <n v="1"/>
    <s v="ΒΙΡ89-ΤΥ7"/>
    <d v="2014-02-14T00:00:00"/>
    <s v="ΚΟΡΙΝΘΙΑΣ (Δ.Ε.) 2018"/>
    <s v="ΔΙΕΥΘΥΝΣΗ Δ.Ε. ΚΟΡΙΝΘΙΑΣ"/>
    <s v="ΠΕΡΙΦΕΡΕΙΑΚΗ Δ/ΝΣΗ Α/ΘΜΙΑΣ ΚΑΙ Β/ΘΜΙΑΣ ΕΚΠ/ΣΗΣ ΠΕΛΟΠΟΝΝΗΣΟΥ"/>
    <n v="12"/>
    <s v="ΟΧΙ"/>
    <s v="ΟΧΙ"/>
    <s v="ΟΧΙ"/>
    <s v="ΟΧΙ"/>
    <s v="ΟΧΙ"/>
    <m/>
    <d v="2014-02-14T00:00:00"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2-09-28T00:00:00"/>
    <x v="0"/>
    <s v="ΔΙΕΥΘΥΝΣΗ Δ.Ε. ΚΟΡΙΝΘΙΑΣ"/>
    <n v="36.763888888888886"/>
    <s v="31 - 40"/>
  </r>
  <r>
    <n v="99911439"/>
    <s v="Θ"/>
    <x v="10"/>
    <x v="10"/>
    <m/>
    <m/>
    <s v="Γ΄"/>
    <n v="1"/>
    <s v="ΩΘΒΟ4653ΠΣ-Η6Θ"/>
    <d v="2018-09-01T00:00:00"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9-24T00:00:00"/>
    <x v="0"/>
    <s v="ΔΙΕΥΘΥΝΣΗ Δ.Ε. Β΄ ΑΘΗΝΑΣ"/>
    <n v="36.774999999999999"/>
    <s v="31 - 40"/>
  </r>
  <r>
    <n v="99911440"/>
    <s v="Θ"/>
    <x v="1"/>
    <x v="1"/>
    <m/>
    <m/>
    <s v="Α΄"/>
    <n v="6"/>
    <s v="5599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9-20T00:00:00"/>
    <x v="1"/>
    <s v="ΔΙΕΥΘΥΝΣΗ Π.Ε. ΑΝΑΤΟΛΙΚΗΣ ΑΤΤΙΚΗΣ"/>
    <n v="36.786111111111111"/>
    <s v="31 - 40"/>
  </r>
  <r>
    <n v="99911441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9-13T00:00:00"/>
    <x v="0"/>
    <s v="ΔΙΕΥΘΥΝΣΗ Δ.Ε. Β΄ ΑΘΗΝΑΣ"/>
    <n v="36.805555555555557"/>
    <s v="31 - 40"/>
  </r>
  <r>
    <n v="99911442"/>
    <s v="Θ"/>
    <x v="2"/>
    <x v="2"/>
    <m/>
    <m/>
    <s v="Γ΄"/>
    <n v="1"/>
    <m/>
    <m/>
    <s v="ΚΑΡΔΙΤΣΑΣ (Π.Ε.) 2018"/>
    <s v="ΔΙΕΥΘΥΝΣΗ Π.Ε. ΚΑΡΔΙΤ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221001"/>
    <s v="ΙΔΙΩΤΙΚΟ ΝΗΠΙΑΓΩΓΕΙΟ ΚΑΡΔΙΤΣΑ - ΙΔΙΩΤΙΚΟ ΝΗΠΙΑΓΩΓΕΙΟ ΛΕΚΚΑΣ ΚΩΝΣΤΑΝΤΙΝΟΣ"/>
    <s v="ΚΑΡΔΙΤΣΑΣ (Π.Ε.) 2018"/>
    <x v="66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09-11T00:00:00"/>
    <x v="1"/>
    <s v="ΔΙΕΥΘΥΝΣΗ Π.Ε. ΚΑΡΔΙΤΣΑΣ"/>
    <n v="36.81111111111111"/>
    <s v="31 - 40"/>
  </r>
  <r>
    <n v="99911443"/>
    <s v="Θ"/>
    <x v="0"/>
    <x v="0"/>
    <m/>
    <m/>
    <s v="Γ΄"/>
    <n v="1"/>
    <s v="16058/01-09-2018"/>
    <d v="2018-09-01T00:00:00"/>
    <s v="ΛΑΡΙΣΑΣ (Δ.Ε.) 2018"/>
    <s v="ΔΙΕΥΘΥΝΣΗ Δ.Ε. ΛΑΡΙΣΑΣ"/>
    <s v="ΠΕΡΙΦΕΡΕΙΑΚΗ Δ/ΝΣΗ Α/ΘΜΙΑΣ ΚΑΙ Β/ΘΜΙΑΣ ΕΚΠ/ΣΗΣ ΘΕΣΣΑΛΙΑΣ"/>
    <n v="10"/>
    <s v="ΟΧΙ"/>
    <s v="ΟΧΙ"/>
    <s v="ΟΧΙ"/>
    <s v="ΟΧΙ"/>
    <s v="ΟΧΙ"/>
    <m/>
    <d v="2018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09-06T00:00:00"/>
    <x v="0"/>
    <s v="ΔΙΕΥΘΥΝΣΗ Δ.Ε. ΛΑΡΙΣΑΣ"/>
    <n v="36.825000000000003"/>
    <s v="31 - 40"/>
  </r>
  <r>
    <n v="99911444"/>
    <s v="Α"/>
    <x v="0"/>
    <x v="0"/>
    <m/>
    <m/>
    <s v="Γ΄"/>
    <n v="1"/>
    <n v="8138"/>
    <d v="2018-09-07T00:00:00"/>
    <s v="ΙΩΑΝΝΙΝΩΝ (Δ.Ε.) 2018"/>
    <s v="ΔΙΕΥΘΥΝΣΗ Δ.Ε. ΙΩΑΝΝΙΝΩΝ"/>
    <s v="ΠΕΡΙΦΕΡΕΙΑΚΗ Δ/ΝΣΗ Α/ΘΜΙΑΣ ΚΑΙ Β/ΘΜΙΑΣ ΕΚΠ/ΣΗΣ ΗΠΕΙΡΟΥ"/>
    <n v="19"/>
    <s v="ΟΧΙ"/>
    <s v="ΟΧΙ"/>
    <s v="ΟΧΙ"/>
    <m/>
    <s v="ΟΧΙ"/>
    <m/>
    <d v="2018-09-07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2-09-03T00:00:00"/>
    <x v="0"/>
    <s v="ΔΙΕΥΘΥΝΣΗ Δ.Ε. ΙΩΑΝΝΙΝΩΝ"/>
    <n v="36.833333333333336"/>
    <s v="31 - 40"/>
  </r>
  <r>
    <n v="99911445"/>
    <s v="Θ"/>
    <x v="1"/>
    <x v="1"/>
    <m/>
    <m/>
    <s v="Γ΄"/>
    <n v="1"/>
    <d v="201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9-01T00:00:00"/>
    <x v="1"/>
    <s v="ΔΙΕΥΘΥΝΣΗ Π.Ε. ΑΝΑΤ. ΘΕΣ/ΝΙΚΗΣ"/>
    <n v="36.838888888888889"/>
    <s v="31 - 40"/>
  </r>
  <r>
    <n v="99911446"/>
    <s v="Θ"/>
    <x v="5"/>
    <x v="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0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2-08-31T00:00:00"/>
    <x v="0"/>
    <s v="ΔΙΕΥΘΥΝΣΗ Δ.Ε. ΔΩΔΕΚΑΝΗΣΟΥ"/>
    <n v="36.841666666666669"/>
    <s v="31 - 40"/>
  </r>
  <r>
    <n v="99911447"/>
    <s v="Θ"/>
    <x v="0"/>
    <x v="0"/>
    <m/>
    <m/>
    <s v="Γ΄"/>
    <n v="1"/>
    <n v="24050"/>
    <d v="2018-09-01T00:00:00"/>
    <s v="Α΄ ΠΕΙΡΑΙΑ (Δ.Ε.) 2018"/>
    <s v="ΔΙΕΥΘΥΝΣΗ Δ.Ε. ΠΕΙΡΑΙΑ"/>
    <s v="ΠΕΡΙΦΕΡΕΙΑΚΗ Δ/ΝΣΗ Α/ΘΜΙΑΣ ΚΑΙ Β/ΘΜΙΑΣ ΕΚΠ/ΣΗΣ ΑΤΤΙΚΗΣ"/>
    <n v="3"/>
    <s v="ΟΧΙ"/>
    <m/>
    <m/>
    <m/>
    <s v="ΟΧΙ"/>
    <m/>
    <d v="2018-09-01T00:00:00"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8-30T00:00:00"/>
    <x v="0"/>
    <s v="ΔΙΕΥΘΥΝΣΗ Δ.Ε. ΠΕΙΡΑΙΑ"/>
    <n v="36.844444444444441"/>
    <s v="31 - 40"/>
  </r>
  <r>
    <n v="99911448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30T00:00:00"/>
    <x v="1"/>
    <s v="ΔΙΕΥΘΥΝΣΗ Π.Ε. ΑΝΑΤΟΛΙΚΗΣ ΑΤΤΙΚΗΣ"/>
    <n v="36.844444444444441"/>
    <s v="31 - 40"/>
  </r>
  <r>
    <n v="99911449"/>
    <s v="Θ"/>
    <x v="1"/>
    <x v="1"/>
    <m/>
    <m/>
    <s v="Α΄"/>
    <n v="1"/>
    <s v="72ΥΗ465ΦΘ3-ΣΣ6"/>
    <d v="2015-03-18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3-18T00:00:00"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28T00:00:00"/>
    <x v="1"/>
    <s v="ΔΙΕΥΘΥΝΣΗ Π.Ε. ΑΝΑΤΟΛΙΚΗΣ ΑΤΤΙΚΗΣ"/>
    <n v="36.85"/>
    <s v="31 - 40"/>
  </r>
  <r>
    <n v="99911450"/>
    <s v="Α"/>
    <x v="14"/>
    <x v="14"/>
    <m/>
    <m/>
    <s v="Γ΄"/>
    <n v="3"/>
    <s v="Φ.Ι.Α.5/31269/29-12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d v="2016-09-01T00:00:00"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24T00:00:00"/>
    <x v="1"/>
    <s v="ΔΙΕΥΘΥΝΣΗ Π.Ε. ΑΝΑΤΟΛΙΚΗΣ ΑΤΤΙΚΗΣ"/>
    <n v="36.861111111111114"/>
    <s v="31 - 40"/>
  </r>
  <r>
    <n v="99911451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20T00:00:00"/>
    <x v="0"/>
    <s v="ΔΙΕΥΘΥΝΣΗ Δ.Ε. ΑΝΑΤΟΛΙΚΗΣ ΑΤΤΙΚΗΣ"/>
    <n v="36.87222222222222"/>
    <s v="31 - 40"/>
  </r>
  <r>
    <n v="99911452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2-08-19T00:00:00"/>
    <x v="1"/>
    <s v="ΔΙΕΥΘΥΝΣΗ Π.Ε. Α΄ ΑΘΗΝΑΣ"/>
    <n v="36.875"/>
    <s v="31 - 40"/>
  </r>
  <r>
    <n v="99911453"/>
    <s v="Θ"/>
    <x v="1"/>
    <x v="1"/>
    <m/>
    <m/>
    <s v="Γ΄"/>
    <n v="1"/>
    <s v="ΩΨ5Κ4653ΠΣ-929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8-16T00:00:00"/>
    <x v="1"/>
    <s v="ΔΙΕΥΘΥΝΣΗ Π.Ε. Β΄ ΑΘΗΝΑΣ"/>
    <n v="36.883333333333333"/>
    <s v="31 - 40"/>
  </r>
  <r>
    <n v="99911454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8-16T00:00:00"/>
    <x v="0"/>
    <s v="ΔΙΕΥΘΥΝΣΗ Δ.Ε. ΑΝΑΤ. ΘΕΣ/ΝΙΚΗΣ"/>
    <n v="36.883333333333333"/>
    <s v="31 - 40"/>
  </r>
  <r>
    <n v="99911455"/>
    <s v="Θ"/>
    <x v="0"/>
    <x v="0"/>
    <m/>
    <m/>
    <s v="Γ΄"/>
    <n v="6"/>
    <s v="Φ.17.2/255/6822"/>
    <d v="2018-10-15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10-15T00:00:00"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12T00:00:00"/>
    <x v="1"/>
    <s v="ΔΙΕΥΘΥΝΣΗ Π.Ε. Β΄ ΑΘΗΝΑΣ"/>
    <n v="36.894444444444446"/>
    <s v="31 - 40"/>
  </r>
  <r>
    <n v="99911456"/>
    <s v="Θ"/>
    <x v="12"/>
    <x v="12"/>
    <m/>
    <m/>
    <s v="Γ΄"/>
    <n v="2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09T00:00:00"/>
    <x v="1"/>
    <s v="ΔΙΕΥΘΥΝΣΗ Π.Ε. Β΄ ΑΘΗΝΑΣ"/>
    <n v="36.902777777777779"/>
    <s v="31 - 40"/>
  </r>
  <r>
    <n v="99911457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8-07T00:00:00"/>
    <x v="0"/>
    <s v="ΔΙΕΥΘΥΝΣΗ Δ.Ε. ΑΝΑΤ. ΘΕΣ/ΝΙΚΗΣ"/>
    <n v="36.908333333333331"/>
    <s v="31 - 40"/>
  </r>
  <r>
    <n v="99911458"/>
    <s v="Θ"/>
    <x v="10"/>
    <x v="10"/>
    <m/>
    <m/>
    <s v="Β΄"/>
    <n v="2"/>
    <s v="Φ.Ι.Α.3/34045/19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d v="2014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05T00:00:00"/>
    <x v="1"/>
    <s v="ΔΙΕΥΘΥΝΣΗ Π.Ε. ΑΝΑΤΟΛΙΚΗΣ ΑΤΤΙΚΗΣ"/>
    <n v="36.913888888888891"/>
    <s v="31 - 40"/>
  </r>
  <r>
    <n v="9991145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8-05T00:00:00"/>
    <x v="0"/>
    <s v="ΔΙΕΥΘΥΝΣΗ Δ.Ε. ΑΝΑΤ. ΘΕΣ/ΝΙΚΗΣ"/>
    <n v="36.913888888888891"/>
    <s v="31 - 40"/>
  </r>
  <r>
    <n v="99911460"/>
    <s v="Α"/>
    <x v="19"/>
    <x v="19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8-04T00:00:00"/>
    <x v="0"/>
    <s v="ΔΙΕΥΘΥΝΣΗ Δ.Ε. Γ΄ ΑΘΗΝΑΣ"/>
    <n v="36.916666666666664"/>
    <s v="31 - 40"/>
  </r>
  <r>
    <n v="99911461"/>
    <s v="Θ"/>
    <x v="3"/>
    <x v="3"/>
    <m/>
    <m/>
    <s v="Α΄"/>
    <n v="7"/>
    <m/>
    <m/>
    <s v="ΞΑΝΘΗΣ (Δ.Ε.) 2018"/>
    <s v="ΔΙΕΥΘΥΝΣΗ Δ.Ε. ΞΑΝΘΗΣ"/>
    <s v="ΠΕΡΙΦΕΡΕΙΑΚΗ Δ/ΝΣΗ Α/ΘΜΙΑΣ ΚΑΙ Β/ΘΜΙΑΣ ΕΚΠ/ΣΗΣ ΑΝ. ΜΑΚΕΔΟΝΙΑΣ ΚΑΙ ΘΡΑΚΗΣ"/>
    <n v="21"/>
    <s v="ΟΧΙ"/>
    <s v="ΟΧΙ"/>
    <s v="ΟΧΙ"/>
    <s v="ΟΧΙ"/>
    <s v="ΟΧΙ"/>
    <m/>
    <m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82-07-27T00:00:00"/>
    <x v="0"/>
    <s v="ΔΙΕΥΘΥΝΣΗ Δ.Ε. ΞΑΝΘΗΣ"/>
    <n v="36.93888888888889"/>
    <s v="31 - 40"/>
  </r>
  <r>
    <n v="99911462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2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2-07-14T00:00:00"/>
    <x v="1"/>
    <s v="ΔΙΕΥΘΥΝΣΗ Π.Ε. ΑΙΤΩΛΟΑΚΑΡΝΑΝΙΑΣ"/>
    <n v="36.975000000000001"/>
    <s v="31 - 40"/>
  </r>
  <r>
    <n v="99911463"/>
    <s v="Α"/>
    <x v="1"/>
    <x v="1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2-07-14T00:00:00"/>
    <x v="1"/>
    <s v="ΔΙΕΥΘΥΝΣΗ Π.Ε. ΑΝΑΤ. ΘΕΣ/ΝΙΚΗΣ"/>
    <n v="36.975000000000001"/>
    <s v="31 - 40"/>
  </r>
  <r>
    <n v="99911464"/>
    <s v="Θ"/>
    <x v="14"/>
    <x v="14"/>
    <m/>
    <m/>
    <s v="Γ΄"/>
    <n v="6"/>
    <s v="3942/8-11-2011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7-09T00:00:00"/>
    <x v="1"/>
    <s v="ΔΙΕΥΘΥΝΣΗ Π.Ε. Β΄ ΑΘΗΝΑΣ"/>
    <n v="36.988888888888887"/>
    <s v="31 - 40"/>
  </r>
  <r>
    <n v="99911465"/>
    <s v="Θ"/>
    <x v="6"/>
    <x v="6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m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2-07-05T00:00:00"/>
    <x v="0"/>
    <s v="ΔΙΕΥΘΥΝΣΗ Δ.Ε. ΔΩΔΕΚΑΝΗΣΟΥ"/>
    <n v="37"/>
    <s v="31 - 40"/>
  </r>
  <r>
    <n v="99911466"/>
    <s v="Α"/>
    <x v="1"/>
    <x v="1"/>
    <m/>
    <m/>
    <s v="Γ΄"/>
    <n v="1"/>
    <s v="ΑΚΧ25950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61004"/>
    <s v="ΙΔΙΩΤΙΚΟ ΔΗΜΟΤΙΚΟ ΠΑΤΡΑΣ ΕΚΠΑΙΔΕΥΤΗΡΙΑ ΑΝΑΓΕΝΝΗΣΗ ΙΚΕ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2-07-03T00:00:00"/>
    <x v="1"/>
    <s v="ΔΙΕΥΘΥΝΣΗ Π.Ε. ΑΧΑΪΑΣ"/>
    <n v="37.005555555555553"/>
    <s v="31 - 40"/>
  </r>
  <r>
    <n v="99911467"/>
    <s v="Θ"/>
    <x v="2"/>
    <x v="2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m/>
    <s v="ΟΧΙ"/>
    <m/>
    <m/>
    <s v="Ιδιωτικά Σχολεία"/>
    <x v="2"/>
    <s v="7201017"/>
    <s v="ΙΔΙΩΤΙΚΟ ΝΗΠΙΑΓΩΓΕΙΟ ΙΩΑΝΝΙΝΑ - ΑΡΣΑΚΕΙΟ ΝΗΠΙΑΓΩΓ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2-07-03T00:00:00"/>
    <x v="1"/>
    <s v="ΔΙΕΥΘΥΝΣΗ Π.Ε. ΙΩΑΝΝΙΝΩΝ"/>
    <n v="37.005555555555553"/>
    <s v="31 - 40"/>
  </r>
  <r>
    <n v="99911468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11"/>
    <s v="ΙΔΙΩΤΙΚΟ ΝΗΠΙΑΓΩΓΕΙΟ ΛΑΜΙΑΣ-ΛΑΠΠΑ ΘΕΟΔΩΡΑ &amp; ΣΙΑ Ο.Ε. - ΛΙΛΙΠΟΥΠΟΛΗ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2-07-01T00:00:00"/>
    <x v="1"/>
    <s v="ΔΙΕΥΘΥΝΣΗ Π.Ε. ΦΘΙΩΤΙΔΑΣ"/>
    <n v="37.011111111111113"/>
    <s v="31 - 40"/>
  </r>
  <r>
    <n v="99911469"/>
    <s v="Θ"/>
    <x v="30"/>
    <x v="29"/>
    <m/>
    <m/>
    <s v="Γ΄"/>
    <n v="1"/>
    <s v="Φ.17/6423"/>
    <d v="2018-09-01T00:00:00"/>
    <s v="ΚΟΡΙΝΘΙΑΣ (Π.Ε.) 2018"/>
    <s v="ΔΙΕΥΘΥΝΣΗ Π.Ε. ΚΟΡΙΝΘΙΑΣ"/>
    <s v="ΠΕΡΙΦΕΡΕΙΑΚΗ Δ/ΝΣΗ Α/ΘΜΙΑΣ ΚΑΙ Β/ΘΜΙΑΣ ΕΚΠ/ΣΗΣ ΠΕΛΟΠΟΝΝΗΣΟΥ"/>
    <n v="7"/>
    <s v="ΟΧΙ"/>
    <s v="ΟΧΙ"/>
    <s v="ΟΧΙ"/>
    <s v="ΟΧΙ"/>
    <s v="ΟΧΙ"/>
    <m/>
    <d v="2018-09-01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2-06-29T00:00:00"/>
    <x v="1"/>
    <s v="ΔΙΕΥΘΥΝΣΗ Π.Ε. ΚΟΡΙΝΘΙΑΣ"/>
    <n v="37.016666666666666"/>
    <s v="31 - 40"/>
  </r>
  <r>
    <n v="9991147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2"/>
    <s v="7052077"/>
    <s v="ΙΔΙΩΤΙΚΟ ΝΗΠΙΑΓΩΓΕΙΟ ΛΥΚΟΒΡΥΣΗ - ΕΜΜ. ΣΕΡΔΑΡΗΣ ΚΑΙ ΣΙΑ Ε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6-25T00:00:00"/>
    <x v="1"/>
    <s v="ΔΙΕΥΘΥΝΣΗ Π.Ε. Β΄ ΑΘΗΝΑΣ"/>
    <n v="37.027777777777779"/>
    <s v="31 - 40"/>
  </r>
  <r>
    <n v="99911471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6-23T00:00:00"/>
    <x v="0"/>
    <s v="ΔΙΕΥΘΥΝΣΗ Δ.Ε. Β΄ ΑΘΗΝΑΣ"/>
    <n v="37.033333333333331"/>
    <s v="31 - 40"/>
  </r>
  <r>
    <n v="99911472"/>
    <s v="Θ"/>
    <x v="7"/>
    <x v="7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6-20T00:00:00"/>
    <x v="1"/>
    <s v="ΔΙΕΥΘΥΝΣΗ Π.Ε. ΑΝΑΤΟΛΙΚΗΣ ΑΤΤΙΚΗΣ"/>
    <n v="37.041666666666664"/>
    <s v="31 - 40"/>
  </r>
  <r>
    <n v="99911473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41039"/>
    <s v="ΙΔΙΩΤΙΚΟ ΝΗΠΙΑΓΩΓΕΙΟ - Μ. ΛΑΜΠΙΡΗ &amp; ΣΙΑ Ο.Ε."/>
    <s v="Α΄ ΠΕΙΡΑΙΑ (Π.Ε.) 2018"/>
    <x v="15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2-06-09T00:00:00"/>
    <x v="1"/>
    <s v="ΔΙΕΥΘΥΝΣΗ Π.Ε. ΠΕΙΡΑΙΑ"/>
    <n v="37.072222222222223"/>
    <s v="31 - 40"/>
  </r>
  <r>
    <n v="99911474"/>
    <s v="Θ"/>
    <x v="0"/>
    <x v="0"/>
    <m/>
    <m/>
    <s v="Γ΄"/>
    <n v="1"/>
    <s v="18279/41"/>
    <d v="2018-09-01T00:00:00"/>
    <s v="Γ΄ ΑΘΗΝΑΣ (Δ.Ε.) 2018"/>
    <s v="ΔΙΕΥΘΥΝΣΗ Δ.Ε. Γ΄ ΑΘΗΝΑΣ"/>
    <s v="ΠΕΡΙΦΕΡΕΙΑΚΗ Δ/ΝΣΗ Α/ΘΜΙΑΣ ΚΑΙ Β/ΘΜΙΑΣ ΕΚΠ/ΣΗΣ ΑΤΤΙΚΗΣ"/>
    <n v="7"/>
    <s v="ΟΧΙ"/>
    <s v="ΟΧΙ"/>
    <s v="ΟΧΙ"/>
    <m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6-04T00:00:00"/>
    <x v="0"/>
    <s v="ΔΙΕΥΘΥΝΣΗ Δ.Ε. Γ΄ ΑΘΗΝΑΣ"/>
    <n v="37.086111111111109"/>
    <s v="31 - 40"/>
  </r>
  <r>
    <n v="99911475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1155"/>
    <s v="ΙΔΙΩΤΙΚΟ ΝΗΠΙΑΓΩΓΕΙΟ -ΛΕΥΚΕΣ ΚΑΡΔΟΥΛΕΣ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29T00:00:00"/>
    <x v="1"/>
    <s v="ΔΙΕΥΘΥΝΣΗ Π.Ε. Α΄ ΑΘΗΝΑΣ"/>
    <n v="37.102777777777774"/>
    <s v="31 - 40"/>
  </r>
  <r>
    <n v="99911476"/>
    <s v="Α"/>
    <x v="1"/>
    <x v="1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5-29T00:00:00"/>
    <x v="1"/>
    <s v="ΔΙΕΥΘΥΝΣΗ Π.Ε. ΔΥΤ. ΘΕΣ/ΝΙΚΗΣ"/>
    <n v="37.102777777777774"/>
    <s v="31 - 40"/>
  </r>
  <r>
    <n v="99911477"/>
    <s v="Α"/>
    <x v="16"/>
    <x v="1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23T00:00:00"/>
    <x v="0"/>
    <s v="ΔΙΕΥΘΥΝΣΗ Δ.Ε. Β΄ ΑΘΗΝΑΣ"/>
    <n v="37.119444444444447"/>
    <s v="31 - 40"/>
  </r>
  <r>
    <n v="99911478"/>
    <s v="Θ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22T00:00:00"/>
    <x v="1"/>
    <s v="ΔΙΕΥΘΥΝΣΗ Π.Ε. ΑΝΑΤΟΛΙΚΗΣ ΑΤΤΙΚΗΣ"/>
    <n v="37.12222222222222"/>
    <s v="31 - 40"/>
  </r>
  <r>
    <n v="99911479"/>
    <s v="Θ"/>
    <x v="5"/>
    <x v="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5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2-05-22T00:00:00"/>
    <x v="0"/>
    <s v="ΔΙΕΥΘΥΝΣΗ Δ.Ε. ΔΩΔΕΚΑΝΗΣΟΥ"/>
    <n v="37.12222222222222"/>
    <s v="31 - 40"/>
  </r>
  <r>
    <n v="99911480"/>
    <s v="Θ"/>
    <x v="9"/>
    <x v="9"/>
    <m/>
    <m/>
    <s v="Β΄"/>
    <n v="3"/>
    <s v="6228/1/11-09-2009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20"/>
    <s v="ΟΧΙ"/>
    <s v="ΟΧΙ"/>
    <s v="ΟΧΙ"/>
    <s v="ΟΧΙ"/>
    <s v="ΟΧΙ"/>
    <m/>
    <d v="2018-09-01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82-05-21T00:00:00"/>
    <x v="0"/>
    <s v="ΔΙΕΥΘΥΝΣΗ Δ.Ε. ΞΑΝΘΗΣ"/>
    <n v="37.125"/>
    <s v="31 - 40"/>
  </r>
  <r>
    <n v="99911481"/>
    <s v="Θ"/>
    <x v="0"/>
    <x v="0"/>
    <m/>
    <m/>
    <s v="Γ΄"/>
    <n v="1"/>
    <s v="Φ.17/16539/5/24-10-2018"/>
    <d v="2018-09-10T00:00:00"/>
    <s v="ΑΧΑΪΑΣ (Δ.Ε.) 2018"/>
    <s v="ΔΙΕΥΘΥΝΣΗ Δ.Ε. ΑΧΑΪΑΣ"/>
    <s v="ΠΕΡΙΦΕΡΕΙΑΚΗ Δ/ΝΣΗ Α/ΘΜΙΑΣ ΚΑΙ Β/ΘΜΙΑΣ ΕΚΠ/ΣΗΣ ΔΥΤΙΚΗΣ ΕΛΛΑΔΑΣ"/>
    <n v="4"/>
    <s v="ΟΧΙ"/>
    <s v="ΟΧΙ"/>
    <s v="ΟΧΙ"/>
    <s v="ΟΧΙ"/>
    <s v="ΟΧΙ"/>
    <m/>
    <d v="2018-09-10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2-05-21T00:00:00"/>
    <x v="0"/>
    <s v="ΔΙΕΥΘΥΝΣΗ Δ.Ε. ΑΧΑΪΑΣ"/>
    <n v="37.125"/>
    <s v="31 - 40"/>
  </r>
  <r>
    <n v="99911482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05-21T00:00:00"/>
    <x v="1"/>
    <s v="ΔΙΕΥΘΥΝΣΗ Π.Ε. ΛΑΡΙΣΑΣ"/>
    <n v="37.125"/>
    <s v="31 - 40"/>
  </r>
  <r>
    <n v="99911483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19T00:00:00"/>
    <x v="0"/>
    <s v="ΔΙΕΥΘΥΝΣΗ Δ.Ε. ΠΕΙΡΑΙΑ"/>
    <n v="37.130555555555553"/>
    <s v="31 - 40"/>
  </r>
  <r>
    <n v="99911484"/>
    <s v="Θ"/>
    <x v="10"/>
    <x v="10"/>
    <m/>
    <m/>
    <s v="Γ΄"/>
    <n v="1"/>
    <s v="ΨΟ2Ζ4653ΠΣ-ΡΚΥ"/>
    <d v="2017-04-03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7-04-04T00:00:00"/>
    <s v="Ιδιωτικά Σχολεία"/>
    <x v="1"/>
    <s v="7521060"/>
    <s v="ΙΔΙΩΤΙΚΟ ΔΗΜΟΤΙΚΟ ΣΧΟΛΕΙΟ - ΔΕΣ ΔΗΜΟΤΙΚΟ ΙΚΕ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5-17T00:00:00"/>
    <x v="1"/>
    <s v="ΔΙΕΥΘΥΝΣΗ Π.Ε. ΑΝΑΤΟΛΙΚΗΣ ΑΤΤΙΚΗΣ"/>
    <n v="37.136111111111113"/>
    <s v="31 - 40"/>
  </r>
  <r>
    <n v="99911485"/>
    <s v="Θ"/>
    <x v="8"/>
    <x v="8"/>
    <m/>
    <m/>
    <s v="Γ΄"/>
    <n v="1"/>
    <n v="22306"/>
    <d v="2018-09-01T00:00:00"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m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16T00:00:00"/>
    <x v="0"/>
    <s v="ΔΙΕΥΘΥΝΣΗ Δ.Ε. Γ΄ ΑΘΗΝΑΣ"/>
    <n v="37.138888888888886"/>
    <s v="31 - 40"/>
  </r>
  <r>
    <n v="99911486"/>
    <s v="Θ"/>
    <x v="3"/>
    <x v="3"/>
    <m/>
    <m/>
    <s v="Γ΄"/>
    <n v="4"/>
    <s v="15986Α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2-05-15T00:00:00"/>
    <x v="0"/>
    <s v="ΔΙΕΥΘΥΝΣΗ Δ.Ε. ΑΝΑΤ. ΘΕΣ/ΝΙΚΗΣ"/>
    <n v="37.141666666666666"/>
    <s v="31 - 40"/>
  </r>
  <r>
    <n v="99911487"/>
    <s v="Θ"/>
    <x v="1"/>
    <x v="1"/>
    <m/>
    <m/>
    <s v="Α΄"/>
    <n v="8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2-05-14T00:00:00"/>
    <x v="1"/>
    <s v="ΔΙΕΥΘΥΝΣΗ Π.Ε. ΑΝΑΤΟΛΙΚΗΣ ΑΤΤΙΚΗΣ"/>
    <n v="37.144444444444446"/>
    <s v="31 - 40"/>
  </r>
  <r>
    <n v="9991148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13T00:00:00"/>
    <x v="0"/>
    <s v="ΔΙΕΥΘΥΝΣΗ Δ.Ε. Β΄ ΑΘΗΝΑΣ"/>
    <n v="37.147222222222226"/>
    <s v="31 - 40"/>
  </r>
  <r>
    <n v="99911489"/>
    <s v="Θ"/>
    <x v="3"/>
    <x v="3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2-05-09T00:00:00"/>
    <x v="0"/>
    <s v="ΔΙΕΥΘΥΝΣΗ Δ.Ε. ΜΕΣΣΗΝΙΑΣ"/>
    <n v="37.158333333333331"/>
    <s v="31 - 40"/>
  </r>
  <r>
    <n v="99911490"/>
    <s v="Θ"/>
    <x v="10"/>
    <x v="10"/>
    <m/>
    <m/>
    <s v="Γ΄"/>
    <n v="1"/>
    <s v="ΨΔΧΟ4653ΠΣ-ΦΟΡ"/>
    <d v="2018-09-01T00:00:00"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5-03T00:00:00"/>
    <x v="0"/>
    <s v="ΔΙΕΥΘΥΝΣΗ Δ.Ε. Β΄ ΑΘΗΝΑΣ"/>
    <n v="37.174999999999997"/>
    <s v="31 - 40"/>
  </r>
  <r>
    <n v="99911491"/>
    <s v="Θ"/>
    <x v="1"/>
    <x v="1"/>
    <m/>
    <m/>
    <s v="Α΄"/>
    <n v="6"/>
    <s v="Φ.15.Α8/2166/6-4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2-05-03T00:00:00"/>
    <x v="1"/>
    <s v="ΔΙΕΥΘΥΝΣΗ Π.Ε. ΑΝΑΤΟΛΙΚΗΣ ΑΤΤΙΚΗΣ"/>
    <n v="37.174999999999997"/>
    <s v="31 - 40"/>
  </r>
  <r>
    <n v="99911492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5-01T00:00:00"/>
    <x v="0"/>
    <s v="ΔΙΕΥΘΥΝΣΗ Δ.Ε. Γ΄ ΑΘΗΝΑΣ"/>
    <n v="37.180555555555557"/>
    <s v="31 - 40"/>
  </r>
  <r>
    <n v="99911493"/>
    <s v="Θ"/>
    <x v="1"/>
    <x v="1"/>
    <m/>
    <m/>
    <s v="Γ΄"/>
    <n v="1"/>
    <s v="ΩΒΟΨ4653ΠΣ-Ρ0Η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4-29T00:00:00"/>
    <x v="1"/>
    <s v="ΔΙΕΥΘΥΝΣΗ Π.Ε. Δ΄ ΑΘΗΝΑΣ"/>
    <n v="37.18611111111111"/>
    <s v="31 - 40"/>
  </r>
  <r>
    <n v="99911494"/>
    <s v="Α"/>
    <x v="11"/>
    <x v="11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4-24T00:00:00"/>
    <x v="0"/>
    <s v="ΔΙΕΥΘΥΝΣΗ Δ.Ε. Δ΄ ΑΘΗΝΑΣ"/>
    <n v="37.200000000000003"/>
    <s v="31 - 40"/>
  </r>
  <r>
    <n v="99911495"/>
    <s v="Θ"/>
    <x v="0"/>
    <x v="0"/>
    <m/>
    <m/>
    <s v="Γ΄"/>
    <n v="2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4-23T00:00:00"/>
    <x v="1"/>
    <s v="ΔΙΕΥΘΥΝΣΗ Π.Ε. ΑΝΑΤΟΛΙΚΗΣ ΑΤΤΙΚΗΣ"/>
    <n v="37.202777777777776"/>
    <s v="31 - 40"/>
  </r>
  <r>
    <n v="99911496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361003"/>
    <s v="ΙΔΙΩΤΙΚΟ ΝΗΠΙΑΓΩΓΕΙ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2-04-21T00:00:00"/>
    <x v="1"/>
    <s v="ΔΙΕΥΘΥΝΣΗ Π.Ε. ΜΕΣΣΗΝΙΑΣ"/>
    <n v="37.208333333333336"/>
    <s v="31 - 40"/>
  </r>
  <r>
    <n v="99911497"/>
    <s v="Α"/>
    <x v="2"/>
    <x v="2"/>
    <m/>
    <m/>
    <s v="Α΄"/>
    <n v="4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4-20T00:00:00"/>
    <x v="1"/>
    <s v="ΔΙΕΥΘΥΝΣΗ Π.Ε. ΠΕΙΡΑΙΑ"/>
    <n v="37.211111111111109"/>
    <s v="31 - 40"/>
  </r>
  <r>
    <n v="99911498"/>
    <s v="Θ"/>
    <x v="3"/>
    <x v="3"/>
    <m/>
    <m/>
    <s v="Γ΄"/>
    <n v="1"/>
    <s v="4479/1-9-2016"/>
    <d v="2018-09-01T00:00:00"/>
    <s v="ΑΡΓΟΛΙΔΑΣ (Δ.Ε.) 2018"/>
    <s v="ΔΙΕΥΘΥΝΣΗ Δ.Ε. ΑΡΓΟΛΙΔΑΣ"/>
    <s v="ΠΕΡΙΦΕΡΕΙΑΚΗ Δ/ΝΣΗ Α/ΘΜΙΑΣ ΚΑΙ Β/ΘΜΙΑΣ ΕΚΠ/ΣΗΣ ΠΕΛΟΠΟΝΝΗΣΟΥ"/>
    <n v="16"/>
    <s v="ΟΧΙ"/>
    <m/>
    <m/>
    <m/>
    <s v="ΟΧΙ"/>
    <m/>
    <d v="2018-09-01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2-04-20T00:00:00"/>
    <x v="0"/>
    <s v="ΔΙΕΥΘΥΝΣΗ Δ.Ε. ΑΡΓΟΛΙΔΑΣ"/>
    <n v="37.211111111111109"/>
    <s v="31 - 40"/>
  </r>
  <r>
    <n v="99911499"/>
    <s v="Θ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4-17T00:00:00"/>
    <x v="0"/>
    <s v="ΔΙΕΥΘΥΝΣΗ Δ.Ε. Β΄ ΑΘΗΝΑΣ"/>
    <n v="37.219444444444441"/>
    <s v="31 - 40"/>
  </r>
  <r>
    <n v="99911500"/>
    <s v="Θ"/>
    <x v="0"/>
    <x v="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2-04-06T00:00:00"/>
    <x v="0"/>
    <s v="ΔΙΕΥΘΥΝΣΗ Δ.Ε. ΑΝΑΤ. ΘΕΣ/ΝΙΚΗΣ"/>
    <n v="37.25"/>
    <s v="31 - 40"/>
  </r>
  <r>
    <n v="99911501"/>
    <s v="Α"/>
    <x v="8"/>
    <x v="8"/>
    <m/>
    <m/>
    <s v="Γ΄"/>
    <n v="1"/>
    <s v="3100/26-10-11"/>
    <d v="2018-09-01T00:00:00"/>
    <s v="Β΄ ΑΘΗΝΑΣ (Π.Ε.) 2018"/>
    <s v="ΔΙΕΥΘΥΝΣΗ Π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4-03T00:00:00"/>
    <x v="1"/>
    <s v="ΔΙΕΥΘΥΝΣΗ Π.Ε. Β΄ ΑΘΗΝΑΣ"/>
    <n v="37.258333333333333"/>
    <s v="31 - 40"/>
  </r>
  <r>
    <n v="99911502"/>
    <s v="Α"/>
    <x v="14"/>
    <x v="14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3-24T00:00:00"/>
    <x v="1"/>
    <s v="ΔΙΕΥΘΥΝΣΗ Π.Ε. ΑΝΑΤΟΛΙΚΗΣ ΑΤΤΙΚΗΣ"/>
    <n v="37.286111111111111"/>
    <s v="31 - 40"/>
  </r>
  <r>
    <n v="99911503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3-22T00:00:00"/>
    <x v="0"/>
    <s v="ΔΙΕΥΘΥΝΣΗ Δ.Ε. Γ΄ ΑΘΗΝΑΣ"/>
    <n v="37.291666666666664"/>
    <s v="31 - 40"/>
  </r>
  <r>
    <n v="99911504"/>
    <s v="Α"/>
    <x v="1"/>
    <x v="1"/>
    <m/>
    <m/>
    <s v="Α΄"/>
    <n v="6"/>
    <s v="5652/21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3-18T00:00:00"/>
    <x v="1"/>
    <s v="ΔΙΕΥΘΥΝΣΗ Π.Ε. ΑΝΑΤΟΛΙΚΗΣ ΑΤΤΙΚΗΣ"/>
    <n v="37.302777777777777"/>
    <s v="31 - 40"/>
  </r>
  <r>
    <n v="99911505"/>
    <s v="Θ"/>
    <x v="28"/>
    <x v="2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27T00:00:00"/>
    <x v="0"/>
    <s v="ΔΙΕΥΘΥΝΣΗ Δ.Ε. Β΄ ΑΘΗΝΑΣ"/>
    <n v="37.355555555555554"/>
    <s v="31 - 40"/>
  </r>
  <r>
    <n v="99911506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24T00:00:00"/>
    <x v="1"/>
    <s v="ΔΙΕΥΘΥΝΣΗ Π.Ε. Α΄ ΑΘΗΝΑΣ"/>
    <n v="37.363888888888887"/>
    <s v="31 - 40"/>
  </r>
  <r>
    <n v="99911507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21T00:00:00"/>
    <x v="0"/>
    <s v="ΔΙΕΥΘΥΝΣΗ Δ.Ε. Β΄ ΑΘΗΝΑΣ"/>
    <n v="37.37222222222222"/>
    <s v="31 - 40"/>
  </r>
  <r>
    <n v="99911508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12T00:00:00"/>
    <x v="0"/>
    <s v="ΔΙΕΥΘΥΝΣΗ Δ.Ε. Β΄ ΑΘΗΝΑΣ"/>
    <n v="37.397222222222226"/>
    <s v="31 - 40"/>
  </r>
  <r>
    <n v="99911509"/>
    <s v="Θ"/>
    <x v="7"/>
    <x v="7"/>
    <m/>
    <m/>
    <s v="Β΄"/>
    <n v="3"/>
    <s v="Φ.Ι.Α.2/26367/14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07T00:00:00"/>
    <x v="1"/>
    <s v="ΔΙΕΥΘΥΝΣΗ Π.Ε. ΑΝΑΤΟΛΙΚΗΣ ΑΤΤΙΚΗΣ"/>
    <n v="37.411111111111111"/>
    <s v="31 - 40"/>
  </r>
  <r>
    <n v="99911510"/>
    <s v="Θ"/>
    <x v="0"/>
    <x v="0"/>
    <m/>
    <m/>
    <s v="Γ΄"/>
    <n v="1"/>
    <n v="14141"/>
    <d v="2018-09-01T00:00:00"/>
    <s v="Δ΄ ΑΘΗΝΑΣ (Π.Ε.) 2018"/>
    <s v="ΔΙΕΥΘΥΝΣΗ Π.Ε. Δ΄ ΑΘΗΝΑΣ"/>
    <s v="ΠΕΡΙΦΕΡΕΙΑΚΗ Δ/ΝΣΗ Α/ΘΜΙΑΣ ΚΑΙ Β/ΘΜΙΑΣ ΕΚΠ/ΣΗΣ ΑΤΤΙΚΗΣ"/>
    <n v="15"/>
    <s v="ΟΧΙ"/>
    <s v="ΟΧΙ"/>
    <s v="ΟΧΙ"/>
    <s v="ΟΧΙ"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07T00:00:00"/>
    <x v="1"/>
    <s v="ΔΙΕΥΘΥΝΣΗ Π.Ε. Δ΄ ΑΘΗΝΑΣ"/>
    <n v="37.411111111111111"/>
    <s v="31 - 40"/>
  </r>
  <r>
    <n v="99911511"/>
    <s v="Θ"/>
    <x v="10"/>
    <x v="1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2-01T00:00:00"/>
    <x v="1"/>
    <s v="ΔΙΕΥΘΥΝΣΗ Π.Ε. Β΄ ΑΘΗΝΑΣ"/>
    <n v="37.427777777777777"/>
    <s v="31 - 40"/>
  </r>
  <r>
    <n v="99911512"/>
    <s v="Θ"/>
    <x v="2"/>
    <x v="2"/>
    <m/>
    <m/>
    <s v="Γ΄"/>
    <n v="1"/>
    <s v="Ω2Σ54653ΠΣ-34Ψ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5"/>
    <s v="ΟΧΙ"/>
    <m/>
    <m/>
    <m/>
    <s v="ΟΧΙ"/>
    <m/>
    <d v="2018-09-01T00:00:00"/>
    <s v="Ιδιωτικά Σχολεία"/>
    <x v="2"/>
    <s v="7011009"/>
    <s v="ΙΔΙΩΤΙΚΟ ΝΗΠΙΑΓΩΓΕΙΟ ΠΑΛΑΙΟΠΑΝΑΓΙΑ ΝΑΥΠΑΚΤΟΥ - ΙΔΙΩΤΙΚΟ ΝΗΠΙΑΓΩΓ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2-01-25T00:00:00"/>
    <x v="1"/>
    <s v="ΔΙΕΥΘΥΝΣΗ Π.Ε. ΑΙΤΩΛΟΑΚΑΡΝΑΝΙΑΣ"/>
    <n v="37.447222222222223"/>
    <s v="31 - 40"/>
  </r>
  <r>
    <n v="99911513"/>
    <s v="Θ"/>
    <x v="1"/>
    <x v="1"/>
    <m/>
    <m/>
    <s v="Α΄"/>
    <n v="8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12-17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2-01-22T00:00:00"/>
    <x v="1"/>
    <s v="ΔΙΕΥΘΥΝΣΗ Π.Ε. ΑΝΑΤΟΛΙΚΗΣ ΑΤΤΙΚΗΣ"/>
    <n v="37.455555555555556"/>
    <s v="31 - 40"/>
  </r>
  <r>
    <n v="99911514"/>
    <s v="Θ"/>
    <x v="6"/>
    <x v="6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20T00:00:00"/>
    <x v="1"/>
    <s v="ΔΙΕΥΘΥΝΣΗ Π.Ε. Α΄ ΑΘΗΝΑΣ"/>
    <n v="37.461111111111109"/>
    <s v="31 - 40"/>
  </r>
  <r>
    <n v="99911515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41061"/>
    <s v="ΣΥΣΤΕΓΑΖΟΜΕΝΟ ΝΗΠΙΑΓΩΓΕΙΟ - ΣΚΕΠΕΤΑΡΑ ΠΑΝΑΓΙΩΤΑ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19T00:00:00"/>
    <x v="1"/>
    <s v="ΔΙΕΥΘΥΝΣΗ Π.Ε. ΠΕΙΡΑΙΑ"/>
    <n v="37.463888888888889"/>
    <s v="31 - 40"/>
  </r>
  <r>
    <n v="99911516"/>
    <s v="Θ"/>
    <x v="3"/>
    <x v="3"/>
    <m/>
    <m/>
    <s v="Γ΄"/>
    <n v="1"/>
    <s v="19726/24-10-2018"/>
    <d v="2018-09-04T00:00:00"/>
    <s v="ΛΑΡΙΣΑΣ (Δ.Ε.) 2018"/>
    <s v="ΔΙΕΥΘΥΝΣΗ Δ.Ε. ΛΑΡΙΣΑΣ"/>
    <s v="ΠΕΡΙΦΕΡΕΙΑΚΗ Δ/ΝΣΗ Α/ΘΜΙΑΣ ΚΑΙ Β/ΘΜΙΑΣ ΕΚΠ/ΣΗΣ ΘΕΣΣΑΛΙΑΣ"/>
    <n v="22"/>
    <s v="ΟΧΙ"/>
    <s v="ΟΧΙ"/>
    <s v="ΟΧΙ"/>
    <s v="ΟΧΙ"/>
    <s v="ΟΧΙ"/>
    <m/>
    <d v="2018-09-04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82-01-19T00:00:00"/>
    <x v="0"/>
    <s v="ΔΙΕΥΘΥΝΣΗ Δ.Ε. ΛΑΡΙΣΑΣ"/>
    <n v="37.463888888888889"/>
    <s v="31 - 40"/>
  </r>
  <r>
    <n v="99911517"/>
    <s v="Θ"/>
    <x v="2"/>
    <x v="2"/>
    <m/>
    <m/>
    <s v="Γ΄"/>
    <n v="1"/>
    <n v="10836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2019"/>
    <s v="ΙΔΙΩΤΙΚΟ ΝΗΠΙΑΓΩΓΕΙΟ ΧΑΛΑΝΔΡΙ - ΧΡΙΣΤ. ΘΩΜΑ ΚΑΙ ΣΙΑ Ο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18T00:00:00"/>
    <x v="1"/>
    <s v="ΔΙΕΥΘΥΝΣΗ Π.Ε. Β΄ ΑΘΗΝΑΣ"/>
    <n v="37.466666666666669"/>
    <s v="31 - 40"/>
  </r>
  <r>
    <n v="99911518"/>
    <s v="Α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16T00:00:00"/>
    <x v="0"/>
    <s v="ΔΙΕΥΘΥΝΣΗ Δ.Ε. ΑΝΑΤΟΛΙΚΗΣ ΑΤΤΙΚΗΣ"/>
    <n v="37.472222222222221"/>
    <s v="31 - 40"/>
  </r>
  <r>
    <n v="99911519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8T00:00:00"/>
    <x v="0"/>
    <s v="ΔΙΕΥΘΥΝΣΗ Δ.Ε. ΑΝΑΤΟΛΙΚΗΣ ΑΤΤΙΚΗΣ"/>
    <n v="37.494444444444447"/>
    <s v="31 - 40"/>
  </r>
  <r>
    <n v="99911520"/>
    <s v="Θ"/>
    <x v="2"/>
    <x v="2"/>
    <m/>
    <m/>
    <s v="Γ΄"/>
    <n v="1"/>
    <s v="21350/13-09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71"/>
    <s v="ΙΔΙΩΤΙΚΟ ΝΗΠΙΑΓΩΓΕΙΟ ΠΑΝΕΠΙΣΤΗΜΙΟΥΠΟΛΗ - ΠΑΙΔΙΚΟ ΚΕΝΤΡΟ ΑΠΘ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82-01-06T00:00:00"/>
    <x v="1"/>
    <s v="ΔΙΕΥΘΥΝΣΗ Π.Ε. ΑΝΑΤ. ΘΕΣ/ΝΙΚΗΣ"/>
    <n v="37.5"/>
    <s v="31 - 40"/>
  </r>
  <r>
    <n v="99911521"/>
    <s v="Α"/>
    <x v="14"/>
    <x v="1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ΑΝΑΤΟΛΙΚΗΣ ΑΤΤΙΚΗΣ"/>
    <n v="37.513888888888886"/>
    <s v="31 - 40"/>
  </r>
  <r>
    <n v="99911522"/>
    <s v="Θ"/>
    <x v="10"/>
    <x v="1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1-01T00:00:00"/>
    <x v="0"/>
    <s v="ΔΙΕΥΘΥΝΣΗ Δ.Ε. Β΄ ΑΘΗΝΑΣ"/>
    <n v="37.513888888888886"/>
    <s v="31 - 40"/>
  </r>
  <r>
    <n v="99911523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Β΄ ΑΘΗΝΑΣ"/>
    <n v="37.513888888888886"/>
    <s v="31 - 40"/>
  </r>
  <r>
    <n v="99911524"/>
    <s v="Θ"/>
    <x v="0"/>
    <x v="0"/>
    <m/>
    <m/>
    <s v="Γ΄"/>
    <n v="1"/>
    <s v="ΩΜΤΩ4653ΠΣ-ΡΚΣ"/>
    <d v="2018-09-01T00:00:00"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2-01-01T00:00:00"/>
    <x v="0"/>
    <s v="ΔΙΕΥΘΥΝΣΗ Δ.Ε. Β΄ ΑΘΗΝΑΣ"/>
    <n v="37.513888888888886"/>
    <s v="31 - 40"/>
  </r>
  <r>
    <n v="99911525"/>
    <s v="Θ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Β΄ ΑΘΗΝΑΣ"/>
    <n v="37.513888888888886"/>
    <s v="31 - 40"/>
  </r>
  <r>
    <n v="99911526"/>
    <s v="Α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Γ΄ ΑΘΗΝΑΣ"/>
    <n v="37.513888888888886"/>
    <s v="31 - 40"/>
  </r>
  <r>
    <n v="99911527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2-01-01T00:00:00"/>
    <x v="0"/>
    <s v="ΔΙΕΥΘΥΝΣΗ Δ.Ε. Δ΄ ΑΘΗΝΑΣ"/>
    <n v="37.513888888888886"/>
    <s v="31 - 40"/>
  </r>
  <r>
    <n v="99911528"/>
    <s v="Θ"/>
    <x v="3"/>
    <x v="3"/>
    <m/>
    <m/>
    <s v="Γ΄"/>
    <n v="1"/>
    <n v="14427"/>
    <d v="2018-09-25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25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2-01-01T00:00:00"/>
    <x v="0"/>
    <s v="ΔΙΕΥΘΥΝΣΗ Δ.Ε. Δ΄ ΑΘΗΝΑΣ"/>
    <n v="37.513888888888886"/>
    <s v="31 - 40"/>
  </r>
  <r>
    <n v="99911529"/>
    <s v="Θ"/>
    <x v="4"/>
    <x v="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Δ΄ ΑΘΗΝΑΣ"/>
    <n v="37.513888888888886"/>
    <s v="31 - 40"/>
  </r>
  <r>
    <n v="99911530"/>
    <s v="Θ"/>
    <x v="31"/>
    <x v="30"/>
    <m/>
    <m/>
    <s v="Γ΄"/>
    <n v="1"/>
    <s v="ΩΗ1Δ4653ΠΣ-Μ3Ν"/>
    <d v="2017-09-01T00:00:00"/>
    <s v="Δ΄ ΑΘΗΝΑΣ (Δ.Ε.) 2018"/>
    <s v="ΔΙΕΥΘΥΝΣΗ Δ.Ε. Δ΄ ΑΘΗΝΑΣ"/>
    <s v="ΠΕΡΙΦΕΡΕΙΑΚΗ Δ/ΝΣΗ Α/ΘΜΙΑΣ ΚΑΙ Β/ΘΜΙΑΣ ΕΚΠ/ΣΗΣ ΑΤΤΙΚΗΣ"/>
    <n v="15"/>
    <s v="ΟΧΙ"/>
    <s v="ΟΧΙ"/>
    <s v="ΟΧΙ"/>
    <s v="ΟΧΙ"/>
    <s v="ΟΧΙ"/>
    <m/>
    <d v="2017-09-01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Δ΄ ΑΘΗΝΑΣ"/>
    <n v="37.513888888888886"/>
    <s v="31 - 40"/>
  </r>
  <r>
    <n v="99911531"/>
    <s v="Θ"/>
    <x v="10"/>
    <x v="10"/>
    <m/>
    <m/>
    <s v="Γ΄"/>
    <n v="1"/>
    <n v="24505"/>
    <d v="2018-09-01T00:00:00"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0"/>
    <s v="ΔΙΕΥΘΥΝΣΗ Δ.Ε. ΠΕΙΡΑΙΑ"/>
    <n v="37.513888888888886"/>
    <s v="31 - 40"/>
  </r>
  <r>
    <n v="99911532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ΑΝΑΤΟΛΙΚΗΣ ΑΤΤΙΚΗΣ"/>
    <n v="37.513888888888886"/>
    <s v="31 - 40"/>
  </r>
  <r>
    <n v="99911533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ΑΝΑΤΟΛΙΚΗΣ ΑΤΤΙΚΗΣ"/>
    <n v="37.513888888888886"/>
    <s v="31 - 40"/>
  </r>
  <r>
    <n v="99911534"/>
    <s v="Α"/>
    <x v="14"/>
    <x v="14"/>
    <m/>
    <m/>
    <s v="Γ΄"/>
    <n v="1"/>
    <s v="3528/17-09-10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Β΄ ΑΘΗΝΑΣ"/>
    <n v="37.513888888888886"/>
    <s v="31 - 40"/>
  </r>
  <r>
    <n v="99911535"/>
    <s v="Θ"/>
    <x v="3"/>
    <x v="3"/>
    <m/>
    <m/>
    <s v="Γ΄"/>
    <n v="1"/>
    <s v="Φ.17.2/513/1332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Β΄ ΑΘΗΝΑΣ"/>
    <n v="37.513888888888886"/>
    <s v="31 - 40"/>
  </r>
  <r>
    <n v="99911536"/>
    <s v="Θ"/>
    <x v="10"/>
    <x v="10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Γ΄ ΑΘΗΝΑΣ"/>
    <n v="37.513888888888886"/>
    <s v="31 - 40"/>
  </r>
  <r>
    <n v="99911537"/>
    <s v="Θ"/>
    <x v="2"/>
    <x v="2"/>
    <m/>
    <m/>
    <s v="Α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25"/>
    <s v="ΙΔΙΩΤΙΚΟ ΝΗΠΙΑΓΩΓΕΙΟ ΑΛΙΜΟΣ - ΙΔΙΩΤΙΚΟ ΝΗΠΙΑΓΩΓΕΙΟ ΓΕΝΝΑΔΙΟΣ ΕΚΠΑΙΔΕΥΤΙΚΗ Κ.ΖΩΗ Α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Δ΄ ΑΘΗΝΑΣ"/>
    <n v="37.513888888888886"/>
    <s v="31 - 40"/>
  </r>
  <r>
    <n v="99911538"/>
    <s v="Θ"/>
    <x v="10"/>
    <x v="10"/>
    <m/>
    <m/>
    <s v="Γ΄"/>
    <n v="1"/>
    <n v="16870"/>
    <d v="2018-09-01T00:00:00"/>
    <s v="Δ΄ ΑΘΗΝΑΣ (Π.Ε.) 2018"/>
    <s v="ΔΙΕΥΘΥΝΣΗ Π.Ε. Δ΄ ΑΘΗΝΑΣ"/>
    <s v="ΠΕΡΙΦΕΡΕΙΑΚΗ Δ/ΝΣΗ Α/ΘΜΙΑΣ ΚΑΙ Β/ΘΜΙΑΣ ΕΚΠ/ΣΗΣ ΑΤΤΙΚΗΣ"/>
    <n v="10"/>
    <s v="ΟΧΙ"/>
    <s v="ΟΧΙ"/>
    <s v="ΟΧΙ"/>
    <s v="ΟΧΙ"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Δ΄ ΑΘΗΝΑΣ"/>
    <n v="37.513888888888886"/>
    <s v="31 - 40"/>
  </r>
  <r>
    <n v="99911539"/>
    <s v="Θ"/>
    <x v="0"/>
    <x v="0"/>
    <m/>
    <m/>
    <s v="Γ΄"/>
    <n v="1"/>
    <n v="12560"/>
    <d v="2018-09-01T00:00:00"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Δ΄ ΑΘΗΝΑΣ"/>
    <n v="37.513888888888886"/>
    <s v="31 - 40"/>
  </r>
  <r>
    <n v="99911540"/>
    <s v="Θ"/>
    <x v="0"/>
    <x v="0"/>
    <m/>
    <m/>
    <s v="Γ΄"/>
    <n v="1"/>
    <n v="4138"/>
    <d v="2018-09-01T00:00:00"/>
    <s v="Α΄ ΠΕΙΡΑΙΑ (Π.Ε.) 2018"/>
    <s v="ΔΙΕΥΘΥΝΣΗ Π.Ε. ΠΕΙΡΑΙΑ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2-01-01T00:00:00"/>
    <x v="1"/>
    <s v="ΔΙΕΥΘΥΝΣΗ Π.Ε. ΠΕΙΡΑΙΑ"/>
    <n v="37.513888888888886"/>
    <s v="31 - 40"/>
  </r>
  <r>
    <n v="99911541"/>
    <s v="Θ"/>
    <x v="3"/>
    <x v="3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1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82-01-01T00:00:00"/>
    <x v="0"/>
    <s v="ΔΙΕΥΘΥΝΣΗ Δ.Ε. ΧΙΟΥ"/>
    <n v="37.513888888888886"/>
    <s v="31 - 40"/>
  </r>
  <r>
    <n v="99911542"/>
    <s v="Α"/>
    <x v="5"/>
    <x v="5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2-01-01T00:00:00"/>
    <x v="0"/>
    <s v="ΔΙΕΥΘΥΝΣΗ Δ.Ε. ΑΙΤΩΛΟΑΚΑΡΝΑΝΙΑΣ"/>
    <n v="37.513888888888886"/>
    <s v="31 - 40"/>
  </r>
  <r>
    <n v="99911543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2-01-01T00:00:00"/>
    <x v="1"/>
    <s v="ΔΙΕΥΘΥΝΣΗ Π.Ε. ΑΙΤΩΛΟΑΚΑΡΝΑΝΙΑΣ"/>
    <n v="37.513888888888886"/>
    <s v="31 - 40"/>
  </r>
  <r>
    <n v="99911544"/>
    <s v="Θ"/>
    <x v="0"/>
    <x v="0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82-01-01T00:00:00"/>
    <x v="1"/>
    <s v="ΔΙΕΥΘΥΝΣΗ Π.Ε. ΑΧΑΪΑΣ"/>
    <n v="37.513888888888886"/>
    <s v="31 - 40"/>
  </r>
  <r>
    <n v="99911545"/>
    <s v="Θ"/>
    <x v="1"/>
    <x v="1"/>
    <m/>
    <m/>
    <s v="Γ΄"/>
    <n v="1"/>
    <s v="4284/18-11-2011"/>
    <d v="2015-11-26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5-11-26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2-01-01T00:00:00"/>
    <x v="1"/>
    <s v="ΔΙΕΥΘΥΝΣΗ Π.Ε. ΙΩΑΝΝΙΝΩΝ"/>
    <n v="37.513888888888886"/>
    <s v="31 - 40"/>
  </r>
  <r>
    <n v="99911546"/>
    <s v="Θ"/>
    <x v="3"/>
    <x v="3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01-01T00:00:00"/>
    <x v="1"/>
    <s v="ΔΙΕΥΘΥΝΣΗ Π.Ε. ΛΑΡΙΣΑΣ"/>
    <n v="37.513888888888886"/>
    <s v="31 - 40"/>
  </r>
  <r>
    <n v="99911547"/>
    <s v="Θ"/>
    <x v="1"/>
    <x v="1"/>
    <m/>
    <m/>
    <s v="Α΄"/>
    <n v="1"/>
    <s v="6ΤΠΞ9-ΒΘΘ"/>
    <d v="2014-10-29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4-10-29T00:00:00"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2-01-01T00:00:00"/>
    <x v="1"/>
    <s v="ΔΙΕΥΘΥΝΣΗ Π.Ε. ΛΑΡΙΣΑΣ"/>
    <n v="37.513888888888886"/>
    <s v="31 - 40"/>
  </r>
  <r>
    <n v="99911548"/>
    <s v="Θ"/>
    <x v="10"/>
    <x v="10"/>
    <m/>
    <m/>
    <s v="Α΄"/>
    <n v="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1-01T00:00:00"/>
    <x v="0"/>
    <s v="ΔΙΕΥΘΥΝΣΗ Δ.Ε. ΑΝΑΤ. ΘΕΣ/ΝΙΚΗΣ"/>
    <n v="37.513888888888886"/>
    <s v="31 - 40"/>
  </r>
  <r>
    <n v="99911549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1-01T00:00:00"/>
    <x v="1"/>
    <s v="ΔΙΕΥΘΥΝΣΗ Π.Ε. ΑΝΑΤ. ΘΕΣ/ΝΙΚΗΣ"/>
    <n v="37.513888888888886"/>
    <s v="31 - 40"/>
  </r>
  <r>
    <n v="99911550"/>
    <s v="Θ"/>
    <x v="2"/>
    <x v="2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2"/>
    <s v="7191005"/>
    <s v="ΙΔΙΩΤΙΚΟ ΝΗΠΙΑΓΩΓΕΙΟ ΘΕΣΣΑΛΟΝΙΚΗ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1-01T00:00:00"/>
    <x v="1"/>
    <s v="ΔΙΕΥΘΥΝΣΗ Π.Ε. ΑΝΑΤ. ΘΕΣ/ΝΙΚΗΣ"/>
    <n v="37.513888888888886"/>
    <s v="31 - 40"/>
  </r>
  <r>
    <n v="99911551"/>
    <s v="Θ"/>
    <x v="6"/>
    <x v="6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1-01T00:00:00"/>
    <x v="1"/>
    <s v="ΔΙΕΥΘΥΝΣΗ Π.Ε. ΑΝΑΤ. ΘΕΣ/ΝΙΚΗΣ"/>
    <n v="37.513888888888886"/>
    <s v="31 - 40"/>
  </r>
  <r>
    <n v="99911552"/>
    <s v="Θ"/>
    <x v="10"/>
    <x v="10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2-01-01T00:00:00"/>
    <x v="1"/>
    <s v="ΔΙΕΥΘΥΝΣΗ Π.Ε. ΑΝΑΤ. ΘΕΣ/ΝΙΚΗΣ"/>
    <n v="37.513888888888886"/>
    <s v="31 - 40"/>
  </r>
  <r>
    <n v="99911553"/>
    <s v="Θ"/>
    <x v="10"/>
    <x v="10"/>
    <m/>
    <m/>
    <s v="Α΄"/>
    <n v="1"/>
    <s v="ΒΘΛΧ9-ΖΜ1"/>
    <d v="2014-12-10T00:00:00"/>
    <s v="ΧΑΝΙΩΝ (Δ.Ε.) 2018"/>
    <s v="ΔΙΕΥΘΥΝΣΗ Δ.Ε. ΧΑΝΙΩΝ"/>
    <s v="ΠΕΡΙΦΕΡΕΙΑΚΗ Δ/ΝΣΗ Α/ΘΜΙΑΣ ΚΑΙ Β/ΘΜΙΑΣ ΕΚΠ/ΣΗΣ ΚΡΗΤΗΣ"/>
    <n v="12"/>
    <s v="ΟΧΙ"/>
    <s v="ΟΧΙ"/>
    <s v="ΟΧΙ"/>
    <s v="ΟΧΙ"/>
    <s v="ΟΧΙ"/>
    <m/>
    <d v="2014-12-10T00:00:00"/>
    <s v="Ιδιωτικά Σχολεία"/>
    <x v="0"/>
    <s v="5060001"/>
    <s v="ΙΔΙΩΤΙΚΟ ΓΥΜΝΑΣΙΟ -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2-01-01T00:00:00"/>
    <x v="0"/>
    <s v="ΔΙΕΥΘΥΝΣΗ Δ.Ε. ΧΑΝΙΩΝ"/>
    <n v="37.513888888888886"/>
    <s v="31 - 40"/>
  </r>
  <r>
    <n v="99911554"/>
    <s v="Θ"/>
    <x v="1"/>
    <x v="1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2-01-01T00:00:00"/>
    <x v="1"/>
    <s v="ΔΙΕΥΘΥΝΣΗ Π.Ε. ΔΩΔΕΚΑΝΗΣΟΥ"/>
    <n v="37.513888888888886"/>
    <s v="31 - 40"/>
  </r>
  <r>
    <n v="99911555"/>
    <s v="Θ"/>
    <x v="10"/>
    <x v="10"/>
    <m/>
    <m/>
    <s v="Γ΄"/>
    <n v="3"/>
    <s v="Φ.17/3633"/>
    <d v="2018-09-11T00:00:00"/>
    <s v="ΚΟΡΙΝΘΙΑΣ (Π.Ε.) 2018"/>
    <s v="ΔΙΕΥΘΥΝΣΗ Π.Ε. ΚΟΡΙΝΘΙΑΣ"/>
    <s v="ΠΕΡΙΦΕΡΕΙΑΚΗ Δ/ΝΣΗ Α/ΘΜΙΑΣ ΚΑΙ Β/ΘΜΙΑΣ ΕΚΠ/ΣΗΣ ΠΕΛΟΠΟΝΝΗΣΟΥ"/>
    <n v="10"/>
    <s v="ΟΧΙ"/>
    <s v="ΟΧΙ"/>
    <s v="ΟΧΙ"/>
    <s v="ΟΧΙ"/>
    <s v="ΟΧΙ"/>
    <m/>
    <d v="2018-09-1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2-01-01T00:00:00"/>
    <x v="1"/>
    <s v="ΔΙΕΥΘΥΝΣΗ Π.Ε. ΚΟΡΙΝΘΙΑΣ"/>
    <n v="37.513888888888886"/>
    <s v="31 - 40"/>
  </r>
  <r>
    <n v="99911556"/>
    <s v="Θ"/>
    <x v="18"/>
    <x v="1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2-29T00:00:00"/>
    <x v="0"/>
    <s v="ΔΙΕΥΘΥΝΣΗ Δ.Ε. ΠΕΙΡΑΙΑ"/>
    <n v="37.522222222222226"/>
    <s v="31 - 40"/>
  </r>
  <r>
    <n v="99911557"/>
    <s v="Θ"/>
    <x v="1"/>
    <x v="1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12-25T00:00:00"/>
    <x v="1"/>
    <s v="ΔΙΕΥΘΥΝΣΗ Π.Ε. Β΄ ΑΘΗΝΑΣ"/>
    <n v="37.533333333333331"/>
    <s v="31 - 40"/>
  </r>
  <r>
    <n v="99911558"/>
    <s v="Θ"/>
    <x v="1"/>
    <x v="1"/>
    <m/>
    <m/>
    <s v="Α΄"/>
    <n v="7"/>
    <m/>
    <m/>
    <s v="Α΄ ΜΑΓΝΗΣΙΑΣ (Π.Ε.) 2018"/>
    <s v="ΔΙΕΥΘΥΝΣΗ Π.Ε. ΜΑΓΝΗΣΙΑΣ"/>
    <s v="ΠΕΡΙΦΕΡΕΙΑΚΗ Δ/ΝΣΗ Α/ΘΜΙΑΣ ΚΑΙ Β/ΘΜΙΑΣ ΕΚΠ/ΣΗΣ ΘΕΣΣΑΛΙΑΣ"/>
    <n v="22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12-20T00:00:00"/>
    <x v="1"/>
    <s v="ΔΙΕΥΘΥΝΣΗ Π.Ε. ΜΑΓΝΗΣΙΑΣ"/>
    <n v="37.547222222222224"/>
    <s v="31 - 40"/>
  </r>
  <r>
    <n v="99911559"/>
    <s v="Α"/>
    <x v="6"/>
    <x v="6"/>
    <m/>
    <m/>
    <s v="Α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2-15T00:00:00"/>
    <x v="1"/>
    <s v="ΔΙΕΥΘΥΝΣΗ Π.Ε. Δ΄ ΑΘΗΝΑΣ"/>
    <n v="37.56111111111111"/>
    <s v="31 - 40"/>
  </r>
  <r>
    <n v="99911560"/>
    <s v="Θ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12-14T00:00:00"/>
    <x v="0"/>
    <s v="ΔΙΕΥΘΥΝΣΗ Δ.Ε. Β΄ ΑΘΗΝΑΣ"/>
    <n v="37.56388888888889"/>
    <s v="31 - 40"/>
  </r>
  <r>
    <n v="99911561"/>
    <s v="Θ"/>
    <x v="2"/>
    <x v="2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311009"/>
    <s v="ΙΔΙΩΤΙΚΟ ΝΗΠΙΑΓΩΓΕΙΟ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12-11T00:00:00"/>
    <x v="1"/>
    <s v="ΔΙΕΥΘΥΝΣΗ Π.Ε. ΛΑΡΙΣΑΣ"/>
    <n v="37.572222222222223"/>
    <s v="31 - 40"/>
  </r>
  <r>
    <n v="99911562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2-08T00:00:00"/>
    <x v="0"/>
    <s v="ΔΙΕΥΘΥΝΣΗ Δ.Ε. Β΄ ΑΘΗΝΑΣ"/>
    <n v="37.580555555555556"/>
    <s v="31 - 40"/>
  </r>
  <r>
    <n v="99911563"/>
    <s v="Α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11-26T00:00:00"/>
    <x v="0"/>
    <s v="ΔΙΕΥΘΥΝΣΗ Δ.Ε. Β΄ ΑΘΗΝΑΣ"/>
    <n v="37.613888888888887"/>
    <s v="31 - 40"/>
  </r>
  <r>
    <n v="99911564"/>
    <s v="Θ"/>
    <x v="6"/>
    <x v="6"/>
    <m/>
    <m/>
    <s v="Γ΄"/>
    <n v="1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11-23T00:00:00"/>
    <x v="1"/>
    <s v="ΔΙΕΥΘΥΝΣΗ Π.Ε. ΑΝΑΤΟΛΙΚΗΣ ΑΤΤΙΚΗΣ"/>
    <n v="37.62222222222222"/>
    <s v="31 - 40"/>
  </r>
  <r>
    <n v="9991156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1-22T00:00:00"/>
    <x v="0"/>
    <s v="ΔΙΕΥΘΥΝΣΗ Δ.Ε. Β΄ ΑΘΗΝΑΣ"/>
    <n v="37.625"/>
    <s v="31 - 40"/>
  </r>
  <r>
    <n v="99911566"/>
    <s v="Θ"/>
    <x v="0"/>
    <x v="0"/>
    <m/>
    <m/>
    <s v="Γ΄"/>
    <n v="1"/>
    <s v="6Ι134653ΠΣ-0ΙΠ"/>
    <d v="2018-09-01T00:00:00"/>
    <s v="ΙΩΑΝΝΙΝΩΝ (Δ.Ε.) 2018"/>
    <s v="ΔΙΕΥΘΥΝΣΗ Δ.Ε. ΙΩΑΝΝΙΝΩΝ"/>
    <s v="ΠΕΡΙΦΕΡΕΙΑΚΗ Δ/ΝΣΗ Α/ΘΜΙΑΣ ΚΑΙ Β/ΘΜΙΑΣ ΕΚΠ/ΣΗΣ ΗΠΕΙΡΟΥ"/>
    <n v="21"/>
    <s v="ΟΧΙ"/>
    <s v="ΟΧΙ"/>
    <s v="ΟΧΙ"/>
    <s v="ΟΧΙ"/>
    <s v="ΟΧΙ"/>
    <m/>
    <d v="2018-09-01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Αναπληρωτής Ιδιωτικής Εκπαίδευσης (ν. 682/1977 άρ.35, παρ.4)"/>
    <s v="Τοποθέτηση σε Ιδιωτική Εκπαίδευση"/>
    <d v="1981-11-20T00:00:00"/>
    <x v="0"/>
    <s v="ΔΙΕΥΘΥΝΣΗ Δ.Ε. ΙΩΑΝΝΙΝΩΝ"/>
    <n v="37.630555555555553"/>
    <s v="31 - 40"/>
  </r>
  <r>
    <n v="99911567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2"/>
    <s v="ΟΧΙ"/>
    <s v="ΟΧΙ"/>
    <s v="ΟΧΙ"/>
    <m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11-15T00:00:00"/>
    <x v="0"/>
    <s v="ΔΙΕΥΘΥΝΣΗ Δ.Ε. ΑΝΑΤ. ΘΕΣ/ΝΙΚΗΣ"/>
    <n v="37.644444444444446"/>
    <s v="31 - 40"/>
  </r>
  <r>
    <n v="99911568"/>
    <s v="Α"/>
    <x v="5"/>
    <x v="5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1-11-11T00:00:00"/>
    <x v="0"/>
    <s v="ΔΙΕΥΘΥΝΣΗ Δ.Ε. ΧΑΝΙΩΝ"/>
    <n v="37.655555555555559"/>
    <s v="31 - 40"/>
  </r>
  <r>
    <n v="99911569"/>
    <s v="Θ"/>
    <x v="6"/>
    <x v="6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d v="2013-09-02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1-07T00:00:00"/>
    <x v="0"/>
    <s v="ΔΙΕΥΘΥΝΣΗ Δ.Ε. Α΄ ΑΘΗΝΑΣ"/>
    <n v="37.666666666666664"/>
    <s v="31 - 40"/>
  </r>
  <r>
    <n v="99911570"/>
    <s v="Θ"/>
    <x v="3"/>
    <x v="3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m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1-11-07T00:00:00"/>
    <x v="0"/>
    <s v="ΔΙΕΥΘΥΝΣΗ Δ.Ε. ΔΩΔΕΚΑΝΗΣΟΥ"/>
    <n v="37.666666666666664"/>
    <s v="31 - 40"/>
  </r>
  <r>
    <n v="99911571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11-06T00:00:00"/>
    <x v="0"/>
    <s v="ΔΙΕΥΘΥΝΣΗ Δ.Ε. ΑΝΑΤ. ΘΕΣ/ΝΙΚΗΣ"/>
    <n v="37.669444444444444"/>
    <s v="31 - 40"/>
  </r>
  <r>
    <n v="99911572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2055"/>
    <s v="ΙΔΙΩΤΙΚΟ ΝΗΠΙΑΓΩΓΕΙΟ ΚΗΦΙΣΙΑ - ΠΟΛΚΑ-ΦΡΟΕΛΕ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0-28T00:00:00"/>
    <x v="1"/>
    <s v="ΔΙΕΥΘΥΝΣΗ Π.Ε. Β΄ ΑΘΗΝΑΣ"/>
    <n v="37.694444444444443"/>
    <s v="31 - 40"/>
  </r>
  <r>
    <n v="99911573"/>
    <s v="Α"/>
    <x v="12"/>
    <x v="12"/>
    <m/>
    <m/>
    <s v="Γ΄"/>
    <n v="1"/>
    <s v="5397/1 18/1/2011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d v="2018-09-01T00:00:00"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10-27T00:00:00"/>
    <x v="0"/>
    <s v="ΔΙΕΥΘΥΝΣΗ Δ.Ε. ΑΝΑΤΟΛΙΚΗΣ ΑΤΤΙΚΗΣ"/>
    <n v="37.697222222222223"/>
    <s v="31 - 40"/>
  </r>
  <r>
    <n v="99911574"/>
    <s v="Α"/>
    <x v="5"/>
    <x v="5"/>
    <m/>
    <m/>
    <s v="Γ΄"/>
    <n v="1"/>
    <n v="17757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15"/>
    <s v="ΟΧΙ"/>
    <s v="ΟΧΙ"/>
    <s v="ΟΧΙ"/>
    <s v="ΟΧΙ"/>
    <s v="ΟΧΙ"/>
    <m/>
    <d v="2018-09-01T00:00:00"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1-10-24T00:00:00"/>
    <x v="0"/>
    <s v="ΔΙΕΥΘΥΝΣΗ Δ.Ε. ΔΥΤ. ΘΕΣ/ΝΙΚΗΣ"/>
    <n v="37.705555555555556"/>
    <s v="31 - 40"/>
  </r>
  <r>
    <n v="99911575"/>
    <s v="Α"/>
    <x v="11"/>
    <x v="11"/>
    <m/>
    <m/>
    <s v="Γ΄"/>
    <n v="1"/>
    <s v="ΑΠ1656890"/>
    <d v="2017-09-11T00:00:00"/>
    <s v="Α΄ ΜΑΓΝΗΣΙΑΣ (Δ.Ε.) 2018"/>
    <s v="ΔΙΕΥΘΥΝΣΗ Δ.Ε. ΜΑΓΝΗΣΙΑΣ"/>
    <s v="ΠΕΡΙΦΕΡΕΙΑΚΗ Δ/ΝΣΗ Α/ΘΜΙΑΣ ΚΑΙ Β/ΘΜΙΑΣ ΕΚΠ/ΣΗΣ ΘΕΣΣΑΛΙΑΣ"/>
    <n v="18"/>
    <s v="ΟΧΙ"/>
    <s v="ΟΧΙ"/>
    <s v="ΟΧΙ"/>
    <s v="ΟΧΙ"/>
    <s v="ΟΧΙ"/>
    <m/>
    <d v="2017-09-11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1-10-15T00:00:00"/>
    <x v="0"/>
    <s v="ΔΙΕΥΘΥΝΣΗ Δ.Ε. ΜΑΓΝΗΣΙΑΣ"/>
    <n v="37.730555555555554"/>
    <s v="31 - 40"/>
  </r>
  <r>
    <n v="99911576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0-13T00:00:00"/>
    <x v="0"/>
    <s v="ΔΙΕΥΘΥΝΣΗ Δ.Ε. ΠΕΙΡΑΙΑ"/>
    <n v="37.736111111111114"/>
    <s v="31 - 40"/>
  </r>
  <r>
    <n v="99911577"/>
    <s v="Θ"/>
    <x v="6"/>
    <x v="6"/>
    <m/>
    <m/>
    <s v="Α΄"/>
    <n v="5"/>
    <s v="Φ.Ι.Α.4/17984/1-9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0-13T00:00:00"/>
    <x v="1"/>
    <s v="ΔΙΕΥΘΥΝΣΗ Π.Ε. ΑΝΑΤΟΛΙΚΗΣ ΑΤΤΙΚΗΣ"/>
    <n v="37.736111111111114"/>
    <s v="31 - 40"/>
  </r>
  <r>
    <n v="99911578"/>
    <s v="Α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10-09T00:00:00"/>
    <x v="0"/>
    <s v="ΔΙΕΥΘΥΝΣΗ Δ.Ε. ΑΝΑΤ. ΘΕΣ/ΝΙΚΗΣ"/>
    <n v="37.74722222222222"/>
    <s v="31 - 40"/>
  </r>
  <r>
    <n v="99911579"/>
    <s v="Θ"/>
    <x v="3"/>
    <x v="3"/>
    <m/>
    <m/>
    <s v="Γ΄"/>
    <n v="1"/>
    <n v="1590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0-07T00:00:00"/>
    <x v="1"/>
    <s v="ΔΙΕΥΘΥΝΣΗ Π.Ε. Δ΄ ΑΘΗΝΑΣ"/>
    <n v="37.75277777777778"/>
    <s v="31 - 40"/>
  </r>
  <r>
    <n v="99911580"/>
    <s v="Θ"/>
    <x v="19"/>
    <x v="19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4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1-10-06T00:00:00"/>
    <x v="0"/>
    <s v="ΔΙΕΥΘΥΝΣΗ Δ.Ε. ΚΟΡΙΝΘΙΑΣ"/>
    <n v="37.755555555555553"/>
    <s v="31 - 40"/>
  </r>
  <r>
    <n v="99911581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10-05T00:00:00"/>
    <x v="0"/>
    <s v="ΔΙΕΥΘΥΝΣΗ Δ.Ε. ΑΝΑΤ. ΘΕΣ/ΝΙΚΗΣ"/>
    <n v="37.758333333333333"/>
    <s v="31 - 40"/>
  </r>
  <r>
    <n v="99911582"/>
    <s v="Θ"/>
    <x v="6"/>
    <x v="6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6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1-10-04T00:00:00"/>
    <x v="0"/>
    <s v="ΔΙΕΥΘΥΝΣΗ Δ.Ε. ΚΟΡΙΝΘΙΑΣ"/>
    <n v="37.761111111111113"/>
    <s v="31 - 40"/>
  </r>
  <r>
    <n v="99911583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10-01T00:00:00"/>
    <x v="1"/>
    <s v="ΔΙΕΥΘΥΝΣΗ Π.Ε. Β΄ ΑΘΗΝΑΣ"/>
    <n v="37.769444444444446"/>
    <s v="31 - 40"/>
  </r>
  <r>
    <n v="99911584"/>
    <s v="Θ"/>
    <x v="0"/>
    <x v="0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1-10-01T00:00:00"/>
    <x v="1"/>
    <s v="ΔΙΕΥΘΥΝΣΗ Π.Ε. ΧΑΝΙΩΝ"/>
    <n v="37.769444444444446"/>
    <s v="31 - 40"/>
  </r>
  <r>
    <n v="99911585"/>
    <s v="Α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29T00:00:00"/>
    <x v="0"/>
    <s v="ΔΙΕΥΘΥΝΣΗ Δ.Ε. ΠΕΙΡΑΙΑ"/>
    <n v="37.774999999999999"/>
    <s v="31 - 40"/>
  </r>
  <r>
    <n v="99911586"/>
    <s v="Α"/>
    <x v="1"/>
    <x v="1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26T00:00:00"/>
    <x v="1"/>
    <s v="ΔΙΕΥΘΥΝΣΗ Π.Ε. Β΄ ΑΘΗΝΑΣ"/>
    <n v="37.783333333333331"/>
    <s v="31 - 40"/>
  </r>
  <r>
    <n v="99911587"/>
    <s v="Α"/>
    <x v="10"/>
    <x v="10"/>
    <m/>
    <m/>
    <s v="Γ΄"/>
    <n v="1"/>
    <s v="22397/12"/>
    <d v="2018-09-01T00:00:00"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24T00:00:00"/>
    <x v="0"/>
    <s v="ΔΙΕΥΘΥΝΣΗ Δ.Ε. Γ΄ ΑΘΗΝΑΣ"/>
    <n v="37.788888888888891"/>
    <s v="31 - 40"/>
  </r>
  <r>
    <n v="99911588"/>
    <s v="Θ"/>
    <x v="3"/>
    <x v="3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9-24T00:00:00"/>
    <x v="0"/>
    <s v="ΔΙΕΥΘΥΝΣΗ Δ.Ε. ΠΙΕΡΙΑΣ"/>
    <n v="37.788888888888891"/>
    <s v="31 - 40"/>
  </r>
  <r>
    <n v="99911589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21T00:00:00"/>
    <x v="0"/>
    <s v="ΔΙΕΥΘΥΝΣΗ Δ.Ε. Β΄ ΑΘΗΝΑΣ"/>
    <n v="37.797222222222224"/>
    <s v="31 - 40"/>
  </r>
  <r>
    <n v="99911590"/>
    <s v="Θ"/>
    <x v="2"/>
    <x v="2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1"/>
    <s v="2ο ΙΔΙΩΤΙΚΟ ΝΗΠΙΑΓΩΓΕΙΟ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9-21T00:00:00"/>
    <x v="1"/>
    <s v="ΔΙΕΥΘΥΝΣΗ Π.Ε. ΑΝΑΤ. ΘΕΣ/ΝΙΚΗΣ"/>
    <n v="37.797222222222224"/>
    <s v="31 - 40"/>
  </r>
  <r>
    <n v="99911591"/>
    <s v="Θ"/>
    <x v="7"/>
    <x v="7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6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19T00:00:00"/>
    <x v="1"/>
    <s v="ΔΙΕΥΘΥΝΣΗ Π.Ε. Β΄ ΑΘΗΝΑΣ"/>
    <n v="37.802777777777777"/>
    <s v="31 - 40"/>
  </r>
  <r>
    <n v="99911592"/>
    <s v="Α"/>
    <x v="5"/>
    <x v="5"/>
    <m/>
    <m/>
    <s v="Γ΄"/>
    <n v="1"/>
    <n v="19729"/>
    <d v="2018-09-01T00:00:00"/>
    <s v="ΛΑΡΙΣΑΣ (Δ.Ε.) 2018"/>
    <s v="ΔΙΕΥΘΥΝΣΗ Δ.Ε. ΛΑΡΙΣΑΣ"/>
    <s v="ΠΕΡΙΦΕΡΕΙΑΚΗ Δ/ΝΣΗ Α/ΘΜΙΑΣ ΚΑΙ Β/ΘΜΙΑΣ ΕΚΠ/ΣΗΣ ΘΕΣΣΑΛΙΑΣ"/>
    <n v="6"/>
    <s v="ΟΧΙ"/>
    <s v="ΟΧΙ"/>
    <s v="ΟΧΙ"/>
    <s v="ΟΧΙ"/>
    <s v="ΟΧΙ"/>
    <m/>
    <d v="2018-09-01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81-09-19T00:00:00"/>
    <x v="0"/>
    <s v="ΔΙΕΥΘΥΝΣΗ Δ.Ε. ΛΑΡΙΣΑΣ"/>
    <n v="37.802777777777777"/>
    <s v="31 - 40"/>
  </r>
  <r>
    <n v="99911593"/>
    <s v="Θ"/>
    <x v="15"/>
    <x v="15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9-17T00:00:00"/>
    <x v="0"/>
    <s v="ΔΙΕΥΘΥΝΣΗ Δ.Ε. ΑΝΑΤ. ΘΕΣ/ΝΙΚΗΣ"/>
    <n v="37.80833333333333"/>
    <s v="31 - 40"/>
  </r>
  <r>
    <n v="99911594"/>
    <s v="Θ"/>
    <x v="10"/>
    <x v="10"/>
    <m/>
    <m/>
    <s v="Γ΄"/>
    <n v="1"/>
    <s v="16940 / 10/10/2018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09-13T00:00:00"/>
    <x v="0"/>
    <s v="ΔΙΕΥΘΥΝΣΗ Δ.Ε. ΑΝΑΤΟΛΙΚΗΣ ΑΤΤΙΚΗΣ"/>
    <n v="37.819444444444443"/>
    <s v="31 - 40"/>
  </r>
  <r>
    <n v="99911595"/>
    <s v="Α"/>
    <x v="14"/>
    <x v="14"/>
    <m/>
    <m/>
    <s v="Γ΄"/>
    <n v="1"/>
    <s v="Ω7ΜΞ4653ΠΣ-ΗΤ3"/>
    <d v="2018-09-01T00:00:00"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9T00:00:00"/>
    <x v="1"/>
    <s v="ΔΙΕΥΘΥΝΣΗ Π.Ε. Β΄ ΑΘΗΝΑΣ"/>
    <n v="37.830555555555556"/>
    <s v="31 - 40"/>
  </r>
  <r>
    <n v="99911596"/>
    <s v="Θ"/>
    <x v="3"/>
    <x v="3"/>
    <m/>
    <m/>
    <s v="Γ΄"/>
    <n v="1"/>
    <n v="8647"/>
    <d v="2017-08-31T00:00:00"/>
    <s v="ΠΙΕΡΙΑΣ (Δ.Ε.) 2018"/>
    <s v="ΔΙΕΥΘΥΝΣΗ Δ.Ε. ΠΙΕΡΙΑ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7-09-01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9-09T00:00:00"/>
    <x v="0"/>
    <s v="ΔΙΕΥΘΥΝΣΗ Δ.Ε. ΠΙΕΡΙΑΣ"/>
    <n v="37.830555555555556"/>
    <s v="31 - 40"/>
  </r>
  <r>
    <n v="99911597"/>
    <s v="Θ"/>
    <x v="0"/>
    <x v="0"/>
    <m/>
    <m/>
    <s v="Α΄"/>
    <n v="7"/>
    <s v="Φ.Ι.Α./1971/30-3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7T00:00:00"/>
    <x v="1"/>
    <s v="ΔΙΕΥΘΥΝΣΗ Π.Ε. ΑΝΑΤΟΛΙΚΗΣ ΑΤΤΙΚΗΣ"/>
    <n v="37.836111111111109"/>
    <s v="31 - 40"/>
  </r>
  <r>
    <n v="99911598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5T00:00:00"/>
    <x v="0"/>
    <s v="ΔΙΕΥΘΥΝΣΗ Δ.Ε. Α΄ ΑΘΗΝΑΣ"/>
    <n v="37.841666666666669"/>
    <s v="31 - 40"/>
  </r>
  <r>
    <n v="99911599"/>
    <s v="Θ"/>
    <x v="10"/>
    <x v="1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3T00:00:00"/>
    <x v="1"/>
    <s v="ΔΙΕΥΘΥΝΣΗ Π.Ε. Β΄ ΑΘΗΝΑΣ"/>
    <n v="37.847222222222221"/>
    <s v="31 - 40"/>
  </r>
  <r>
    <n v="99911600"/>
    <s v="Θ"/>
    <x v="0"/>
    <x v="0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8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1-09-03T00:00:00"/>
    <x v="0"/>
    <s v="ΔΙΕΥΘΥΝΣΗ Δ.Ε. ΚΥΚΛΑΔΩΝ"/>
    <n v="37.847222222222221"/>
    <s v="31 - 40"/>
  </r>
  <r>
    <n v="99911601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2T00:00:00"/>
    <x v="0"/>
    <s v="ΔΙΕΥΘΥΝΣΗ Δ.Ε. Γ΄ ΑΘΗΝΑΣ"/>
    <n v="37.85"/>
    <s v="31 - 40"/>
  </r>
  <r>
    <n v="99911602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1T00:00:00"/>
    <x v="0"/>
    <s v="ΔΙΕΥΘΥΝΣΗ Δ.Ε. ΑΝΑΤΟΛΙΚΗΣ ΑΤΤΙΚΗΣ"/>
    <n v="37.852777777777774"/>
    <s v="31 - 40"/>
  </r>
  <r>
    <n v="99911603"/>
    <s v="Α"/>
    <x v="9"/>
    <x v="9"/>
    <m/>
    <m/>
    <s v="Α΄"/>
    <n v="4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9-01T00:00:00"/>
    <x v="0"/>
    <s v="ΔΙΕΥΘΥΝΣΗ Δ.Ε. Δ΄ ΑΘΗΝΑΣ"/>
    <n v="37.852777777777774"/>
    <s v="31 - 40"/>
  </r>
  <r>
    <n v="99911604"/>
    <s v="Θ"/>
    <x v="9"/>
    <x v="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8-30T00:00:00"/>
    <x v="0"/>
    <s v="ΔΙΕΥΘΥΝΣΗ Δ.Ε. Α΄ ΑΘΗΝΑΣ"/>
    <n v="37.858333333333334"/>
    <s v="31 - 40"/>
  </r>
  <r>
    <n v="99911605"/>
    <s v="Θ"/>
    <x v="18"/>
    <x v="18"/>
    <m/>
    <m/>
    <s v="Β΄"/>
    <n v="3"/>
    <s v="Φ.Ι.Α.2/20980/24-1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08-29T00:00:00"/>
    <x v="1"/>
    <s v="ΔΙΕΥΘΥΝΣΗ Π.Ε. ΑΝΑΤΟΛΙΚΗΣ ΑΤΤΙΚΗΣ"/>
    <n v="37.861111111111114"/>
    <s v="31 - 40"/>
  </r>
  <r>
    <n v="99911606"/>
    <s v="Θ"/>
    <x v="0"/>
    <x v="0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8-28T00:00:00"/>
    <x v="0"/>
    <s v="ΔΙΕΥΘΥΝΣΗ Δ.Ε. ΠΕΙΡΑΙΑ"/>
    <n v="37.863888888888887"/>
    <s v="31 - 40"/>
  </r>
  <r>
    <n v="99911607"/>
    <s v="Α"/>
    <x v="0"/>
    <x v="0"/>
    <m/>
    <m/>
    <s v="Α΄"/>
    <n v="6"/>
    <s v="ΒΧ3Κ4653ΠΣ-ΞΧ5"/>
    <d v="2015-11-23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11-23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08-26T00:00:00"/>
    <x v="1"/>
    <s v="ΔΙΕΥΘΥΝΣΗ Π.Ε. ΑΝΑΤΟΛΙΚΗΣ ΑΤΤΙΚΗΣ"/>
    <n v="37.869444444444447"/>
    <s v="31 - 40"/>
  </r>
  <r>
    <n v="99911608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2"/>
    <s v="7052027"/>
    <s v="ΙΔΙΩΤΙΚΟ ΣΥΣΤΕΓΑΖΟΜΕΝΟ ΝΗΠΙΑΓΩΓΕΙΟ ΒΙΛΛΑ ΑΙΜΙΛ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8-23T00:00:00"/>
    <x v="1"/>
    <s v="ΔΙΕΥΘΥΝΣΗ Π.Ε. Β΄ ΑΘΗΝΑΣ"/>
    <n v="37.87777777777778"/>
    <s v="31 - 40"/>
  </r>
  <r>
    <n v="99911609"/>
    <s v="Θ"/>
    <x v="3"/>
    <x v="3"/>
    <m/>
    <m/>
    <s v="Γ΄"/>
    <n v="1"/>
    <s v="70/21-9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m/>
    <s v="ΟΧΙ"/>
    <m/>
    <s v="ΟΧΙ"/>
    <m/>
    <d v="2018-09-01T00:00:00"/>
    <m/>
    <x v="5"/>
    <s v=""/>
    <m/>
    <m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1-08-18T00:00:00"/>
    <x v="1"/>
    <s v="ΔΙΕΥΘΥΝΣΗ Π.Ε. ΑΧΑΪΑΣ"/>
    <n v="37.891666666666666"/>
    <s v="31 - 40"/>
  </r>
  <r>
    <n v="99911610"/>
    <s v="Θ"/>
    <x v="2"/>
    <x v="2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2"/>
    <s v="7011009"/>
    <s v="ΙΔΙΩΤΙΚΟ ΝΗΠΙΑΓΩΓΕΙΟ ΠΑΛΑΙΟΠΑΝΑΓΙΑ ΝΑΥΠΑΚΤΟΥ - ΙΔΙΩΤΙΚΟ ΝΗΠΙΑΓΩΓ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1-08-16T00:00:00"/>
    <x v="1"/>
    <s v="ΔΙΕΥΘΥΝΣΗ Π.Ε. ΑΙΤΩΛΟΑΚΑΡΝΑΝΙΑΣ"/>
    <n v="37.897222222222226"/>
    <s v="31 - 40"/>
  </r>
  <r>
    <n v="99911611"/>
    <s v="Α"/>
    <x v="3"/>
    <x v="3"/>
    <m/>
    <m/>
    <s v="Γ΄"/>
    <n v="3"/>
    <m/>
    <m/>
    <s v="Α΄ ΑΝΑΤ. ΑΤΤΙΚΗΣ (Δ.Ε.) 2018"/>
    <s v="ΔΙΕΥΘΥΝΣΗ Δ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8-11T00:00:00"/>
    <x v="0"/>
    <s v="ΔΙΕΥΘΥΝΣΗ Δ.Ε. ΑΝΑΤΟΛΙΚΗΣ ΑΤΤΙΚΗΣ"/>
    <n v="37.911111111111111"/>
    <s v="31 - 40"/>
  </r>
  <r>
    <n v="99911612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8-11T00:00:00"/>
    <x v="0"/>
    <s v="ΔΙΕΥΘΥΝΣΗ Δ.Ε. Β΄ ΑΘΗΝΑΣ"/>
    <n v="37.911111111111111"/>
    <s v="31 - 40"/>
  </r>
  <r>
    <n v="99911613"/>
    <s v="Θ"/>
    <x v="15"/>
    <x v="1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8-07T00:00:00"/>
    <x v="0"/>
    <s v="ΔΙΕΥΘΥΝΣΗ Δ.Ε. ΠΕΙΡΑΙΑ"/>
    <n v="37.922222222222224"/>
    <s v="31 - 40"/>
  </r>
  <r>
    <n v="99911614"/>
    <s v="Α"/>
    <x v="8"/>
    <x v="8"/>
    <m/>
    <m/>
    <s v="Γ΄"/>
    <n v="1"/>
    <s v="ΑΠ1893229"/>
    <d v="2018-09-11T00:00:00"/>
    <s v="Α΄ ΜΑΓΝΗΣΙΑΣ (Δ.Ε.) 2018"/>
    <s v="ΔΙΕΥΘΥΝΣΗ Δ.Ε. ΜΑΓΝΗΣΙΑΣ"/>
    <s v="ΠΕΡΙΦΕΡΕΙΑΚΗ Δ/ΝΣΗ Α/ΘΜΙΑΣ ΚΑΙ Β/ΘΜΙΑΣ ΕΚΠ/ΣΗΣ ΘΕΣΣΑΛΙΑΣ"/>
    <n v="14"/>
    <s v="ΟΧΙ"/>
    <m/>
    <m/>
    <m/>
    <s v="ΟΧΙ"/>
    <m/>
    <d v="2018-09-11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1-08-06T00:00:00"/>
    <x v="0"/>
    <s v="ΔΙΕΥΘΥΝΣΗ Δ.Ε. ΜΑΓΝΗΣΙΑΣ"/>
    <n v="37.924999999999997"/>
    <s v="31 - 40"/>
  </r>
  <r>
    <n v="9991161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7-31T00:00:00"/>
    <x v="0"/>
    <s v="ΔΙΕΥΘΥΝΣΗ Δ.Ε. Β΄ ΑΘΗΝΑΣ"/>
    <n v="37.94166666666667"/>
    <s v="31 - 40"/>
  </r>
  <r>
    <n v="99911616"/>
    <s v="Θ"/>
    <x v="0"/>
    <x v="0"/>
    <m/>
    <m/>
    <s v="Γ΄"/>
    <n v="1"/>
    <s v="67/20-12-2017"/>
    <d v="2018-09-01T00:00:00"/>
    <s v="Δ΄ ΑΘΗΝΑΣ (Δ.Ε.) 2018"/>
    <s v="ΔΙΕΥΘΥΝΣΗ Δ.Ε. Δ΄ ΑΘΗΝΑΣ"/>
    <s v="ΠΕΡΙΦΕΡΕΙΑΚΗ Δ/ΝΣΗ Α/ΘΜΙΑΣ ΚΑΙ Β/ΘΜΙΑΣ ΕΚΠ/ΣΗΣ ΑΤΤΙΚΗΣ"/>
    <n v="10"/>
    <s v="ΟΧΙ"/>
    <s v="ΟΧΙ"/>
    <s v="ΟΧΙ"/>
    <m/>
    <s v="ΟΧΙ"/>
    <m/>
    <d v="2018-09-01T00:00:00"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7-31T00:00:00"/>
    <x v="0"/>
    <s v="ΔΙΕΥΘΥΝΣΗ Δ.Ε. Δ΄ ΑΘΗΝΑΣ"/>
    <n v="37.94166666666667"/>
    <s v="31 - 40"/>
  </r>
  <r>
    <n v="99911617"/>
    <s v="Θ"/>
    <x v="0"/>
    <x v="0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7-30T00:00:00"/>
    <x v="1"/>
    <s v="ΔΙΕΥΘΥΝΣΗ Π.Ε. ΑΝΑΤ. ΘΕΣ/ΝΙΚΗΣ"/>
    <n v="37.944444444444443"/>
    <s v="31 - 40"/>
  </r>
  <r>
    <n v="99911618"/>
    <s v="Α"/>
    <x v="7"/>
    <x v="7"/>
    <m/>
    <m/>
    <s v="Γ΄"/>
    <n v="1"/>
    <s v="Φ.Ι.Α.4/32311/18-12-2015"/>
    <d v="2015-10-21T00:00:00"/>
    <s v="Β΄ ΑΝΑΤ. ΑΤΤΙΚΗΣ (Π.Ε.) 2018"/>
    <s v="ΔΙΕΥΘΥΝΣΗ Π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d v="2015-10-2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7-23T00:00:00"/>
    <x v="1"/>
    <s v="ΔΙΕΥΘΥΝΣΗ Π.Ε. ΑΝΑΤΟΛΙΚΗΣ ΑΤΤΙΚΗΣ"/>
    <n v="37.963888888888889"/>
    <s v="31 - 40"/>
  </r>
  <r>
    <n v="99911619"/>
    <s v="Θ"/>
    <x v="8"/>
    <x v="8"/>
    <m/>
    <m/>
    <s v="Γ΄"/>
    <n v="1"/>
    <s v="3621/18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6"/>
    <s v="ΟΧΙ"/>
    <s v="ΟΧΙ"/>
    <s v="ΟΧΙ"/>
    <m/>
    <s v="ΟΧΙ"/>
    <m/>
    <d v="2018-09-01T00:00:00"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1-07-22T00:00:00"/>
    <x v="0"/>
    <s v="ΔΙΕΥΘΥΝΣΗ Δ.Ε. ΑΡΓΟΛΙΔΑΣ"/>
    <n v="37.966666666666669"/>
    <s v="31 - 40"/>
  </r>
  <r>
    <n v="99911620"/>
    <s v="Α"/>
    <x v="8"/>
    <x v="8"/>
    <m/>
    <m/>
    <s v="Β΄"/>
    <n v="2"/>
    <s v="Φ.Ι.Α.6/9399/23-3-2017"/>
    <d v="2016-09-01T00:00:00"/>
    <s v="Β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6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7-08T00:00:00"/>
    <x v="1"/>
    <s v="ΔΙΕΥΘΥΝΣΗ Π.Ε. ΑΝΑΤΟΛΙΚΗΣ ΑΤΤΙΚΗΣ"/>
    <n v="38.005555555555553"/>
    <s v="31 - 40"/>
  </r>
  <r>
    <n v="99911621"/>
    <s v="Θ"/>
    <x v="3"/>
    <x v="3"/>
    <m/>
    <m/>
    <s v="Γ΄"/>
    <n v="1"/>
    <n v="15576"/>
    <d v="2018-09-10T00:00:00"/>
    <s v="Γ΄ ΑΘΗΝΑΣ (Δ.Ε.) 2018"/>
    <s v="ΔΙΕΥΘΥΝΣΗ Δ.Ε. Γ΄ ΑΘΗΝΑΣ"/>
    <s v="ΠΕΡΙΦΕΡΕΙΑΚΗ Δ/ΝΣΗ Α/ΘΜΙΑΣ ΚΑΙ Β/ΘΜΙΑΣ ΕΚΠ/ΣΗΣ ΑΤΤΙΚΗΣ"/>
    <n v="21"/>
    <s v="ΟΧΙ"/>
    <m/>
    <m/>
    <m/>
    <s v="ΟΧΙ"/>
    <m/>
    <d v="2018-09-10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1-07-04T00:00:00"/>
    <x v="0"/>
    <s v="ΔΙΕΥΘΥΝΣΗ Δ.Ε. Γ΄ ΑΘΗΝΑΣ"/>
    <n v="38.016666666666666"/>
    <s v="31 - 40"/>
  </r>
  <r>
    <n v="99911622"/>
    <s v="Α"/>
    <x v="5"/>
    <x v="5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12"/>
    <s v="ΟΧΙ"/>
    <m/>
    <m/>
    <m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6-27T00:00:00"/>
    <x v="0"/>
    <s v="ΔΙΕΥΘΥΝΣΗ Δ.Ε. Δ΄ ΑΘΗΝΑΣ"/>
    <n v="38.036111111111111"/>
    <s v="31 - 40"/>
  </r>
  <r>
    <n v="99911623"/>
    <s v="Θ"/>
    <x v="3"/>
    <x v="3"/>
    <m/>
    <m/>
    <s v="Γ΄"/>
    <n v="1"/>
    <n v="19725"/>
    <d v="2018-09-04T00:00:00"/>
    <s v="ΛΑΡΙΣΑΣ (Δ.Ε.) 2018"/>
    <s v="ΔΙΕΥΘΥΝΣΗ Δ.Ε. ΛΑΡΙΣΑΣ"/>
    <s v="ΠΕΡΙΦΕΡΕΙΑΚΗ Δ/ΝΣΗ Α/ΘΜΙΑΣ ΚΑΙ Β/ΘΜΙΑΣ ΕΚΠ/ΣΗΣ ΘΕΣΣΑΛΙΑΣ"/>
    <n v="22"/>
    <s v="ΟΧΙ"/>
    <m/>
    <m/>
    <m/>
    <s v="ΟΧΙ"/>
    <m/>
    <d v="2018-09-04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81-06-24T00:00:00"/>
    <x v="0"/>
    <s v="ΔΙΕΥΘΥΝΣΗ Δ.Ε. ΛΑΡΙΣΑΣ"/>
    <n v="38.044444444444444"/>
    <s v="31 - 40"/>
  </r>
  <r>
    <n v="99911624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6-24T00:00:00"/>
    <x v="1"/>
    <s v="ΔΙΕΥΘΥΝΣΗ Π.Ε. ΑΝΑΤ. ΘΕΣ/ΝΙΚΗΣ"/>
    <n v="38.044444444444444"/>
    <s v="31 - 40"/>
  </r>
  <r>
    <n v="99911625"/>
    <s v="Α"/>
    <x v="9"/>
    <x v="9"/>
    <m/>
    <m/>
    <s v="Γ΄"/>
    <n v="1"/>
    <n v="8819"/>
    <d v="2018-09-01T00:00:00"/>
    <s v="Β΄ ΑΘΗΝΑΣ (Δ.Ε.) 2018"/>
    <s v="ΔΙΕΥΘΥΝΣΗ Δ.Ε. Β΄ ΑΘΗΝΑΣ"/>
    <s v="ΠΕΡΙΦΕΡΕΙΑΚΗ Δ/ΝΣΗ Α/ΘΜΙΑΣ ΚΑΙ Β/ΘΜΙΑΣ ΕΚΠ/ΣΗΣ ΑΤΤΙΚΗΣ"/>
    <n v="8"/>
    <s v="ΟΧΙ"/>
    <m/>
    <s v="ΟΧΙ"/>
    <m/>
    <s v="ΟΧΙ"/>
    <m/>
    <d v="2018-09-01T00:00:00"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6-19T00:00:00"/>
    <x v="0"/>
    <s v="ΔΙΕΥΘΥΝΣΗ Δ.Ε. Β΄ ΑΘΗΝΑΣ"/>
    <n v="38.05833333333333"/>
    <s v="31 - 40"/>
  </r>
  <r>
    <n v="99911626"/>
    <s v="Θ"/>
    <x v="7"/>
    <x v="7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6-15T00:00:00"/>
    <x v="0"/>
    <s v="ΔΙΕΥΘΥΝΣΗ Δ.Ε. ΑΝΑΤΟΛΙΚΗΣ ΑΤΤΙΚΗΣ"/>
    <n v="38.069444444444443"/>
    <s v="31 - 40"/>
  </r>
  <r>
    <n v="99911627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6-09T00:00:00"/>
    <x v="0"/>
    <s v="ΔΙΕΥΘΥΝΣΗ Δ.Ε. Δ΄ ΑΘΗΝΑΣ"/>
    <n v="38.086111111111109"/>
    <s v="31 - 40"/>
  </r>
  <r>
    <n v="99911628"/>
    <s v="Θ"/>
    <x v="10"/>
    <x v="10"/>
    <m/>
    <m/>
    <s v="Γ΄"/>
    <n v="3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6-08T00:00:00"/>
    <x v="1"/>
    <s v="ΔΙΕΥΘΥΝΣΗ Π.Ε. Β΄ ΑΘΗΝΑΣ"/>
    <n v="38.088888888888889"/>
    <s v="31 - 40"/>
  </r>
  <r>
    <n v="99911629"/>
    <s v="Α"/>
    <x v="4"/>
    <x v="4"/>
    <m/>
    <m/>
    <s v="Α΄"/>
    <n v="1"/>
    <s v="7967/14-10-2011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6-06T00:00:00"/>
    <x v="0"/>
    <s v="ΔΙΕΥΘΥΝΣΗ Δ.Ε. ΔΥΤ. ΘΕΣ/ΝΙΚΗΣ"/>
    <n v="38.094444444444441"/>
    <s v="31 - 40"/>
  </r>
  <r>
    <n v="99911630"/>
    <s v="Θ"/>
    <x v="1"/>
    <x v="1"/>
    <m/>
    <m/>
    <s v="Γ΄"/>
    <n v="1"/>
    <d v="2003-10-15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6-04T00:00:00"/>
    <x v="1"/>
    <s v="ΔΙΕΥΘΥΝΣΗ Π.Ε. ΑΝΑΤ. ΘΕΣ/ΝΙΚΗΣ"/>
    <n v="38.1"/>
    <s v="31 - 40"/>
  </r>
  <r>
    <n v="99911631"/>
    <s v="Θ"/>
    <x v="6"/>
    <x v="6"/>
    <m/>
    <m/>
    <s v="Γ΄"/>
    <n v="1"/>
    <n v="19677"/>
    <d v="2018-09-19T00:00:00"/>
    <s v="Α΄ ΠΕΙΡΑΙΑ (Δ.Ε.) 2018"/>
    <s v="ΔΙΕΥΘΥΝΣΗ Δ.Ε. ΠΕΙΡΑΙΑ"/>
    <s v="ΠΕΡΙΦΕΡΕΙΑΚΗ Δ/ΝΣΗ Α/ΘΜΙΑΣ ΚΑΙ Β/ΘΜΙΑΣ ΕΚΠ/ΣΗΣ ΑΤΤΙΚΗΣ"/>
    <n v="13"/>
    <s v="ΟΧΙ"/>
    <m/>
    <s v="ΟΧΙ"/>
    <m/>
    <s v="ΟΧΙ"/>
    <m/>
    <d v="2018-09-19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5-29T00:00:00"/>
    <x v="0"/>
    <s v="ΔΙΕΥΘΥΝΣΗ Δ.Ε. ΠΕΙΡΑΙΑ"/>
    <n v="38.116666666666667"/>
    <s v="31 - 40"/>
  </r>
  <r>
    <n v="99911632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217"/>
    <s v="ΙΔΙΩΤΙΚΟ ΣΥΣΤΕΓΑΖΟΜΕΝΟ ΝΗΠΙΑΓΩΓΕΙΟ - LITTLES PRESCHOOL EDUCATION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29T00:00:00"/>
    <x v="1"/>
    <s v="ΔΙΕΥΘΥΝΣΗ Π.Ε. Β΄ ΑΘΗΝΑΣ"/>
    <n v="38.116666666666667"/>
    <s v="31 - 40"/>
  </r>
  <r>
    <n v="99911633"/>
    <s v="Θ"/>
    <x v="15"/>
    <x v="15"/>
    <m/>
    <m/>
    <s v="Γ΄"/>
    <n v="1"/>
    <m/>
    <m/>
    <s v="ΚΟΡΙΝΘΙΑΣ (Δ.Ε.) 2018"/>
    <s v="ΔΙΕΥΘΥΝΣΗ Δ.Ε. ΚΟΡΙΝΘΙΑΣ"/>
    <s v="ΠΕΡΙΦΕΡΕΙΑΚΗ Δ/ΝΣΗ Α/ΘΜΙΑΣ ΚΑΙ Β/ΘΜΙΑΣ ΕΚΠ/ΣΗΣ ΠΕΛΟΠΟΝΝΗΣΟΥ"/>
    <n v="2"/>
    <s v="ΟΧΙ"/>
    <s v="ΟΧΙ"/>
    <s v="ΟΧΙ"/>
    <m/>
    <s v="ΟΧΙ"/>
    <m/>
    <m/>
    <s v="Ιδιωτικά Σχολεία"/>
    <x v="0"/>
    <s v="2881020"/>
    <s v="ΙΔΙΩΤΙΚΟ ΓΥΜΝΑΣΙΟ ΚΟΡΙΝΘΟΥ - ΑΠΟΣΤΟΛΟΣ ΠΑΥΛΟΣ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1-05-21T00:00:00"/>
    <x v="0"/>
    <s v="ΔΙΕΥΘΥΝΣΗ Δ.Ε. ΚΟΡΙΝΘΙΑΣ"/>
    <n v="38.138888888888886"/>
    <s v="31 - 40"/>
  </r>
  <r>
    <n v="99911634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20T00:00:00"/>
    <x v="0"/>
    <s v="ΔΙΕΥΘΥΝΣΗ Δ.Ε. Β΄ ΑΘΗΝΑΣ"/>
    <n v="38.141666666666666"/>
    <s v="31 - 40"/>
  </r>
  <r>
    <n v="99911635"/>
    <s v="Θ"/>
    <x v="2"/>
    <x v="2"/>
    <m/>
    <m/>
    <s v="Γ΄"/>
    <n v="1"/>
    <s v="66/14-9-2018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d v="2018-09-01T00:00:00"/>
    <s v="Ιδιωτικά Σχολεία"/>
    <x v="2"/>
    <s v="7061007"/>
    <s v="ΙΔΙΩΤΙΚΟ ΝΗΠΙΑΓΩΓΕΙΟ ΑΙΓΙΟ - ΝΙΚΟΛΟΠΟΥΛΟΥ ΤΡΙΣΕΥΓΕΝΗ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1-05-20T00:00:00"/>
    <x v="1"/>
    <s v="ΔΙΕΥΘΥΝΣΗ Π.Ε. ΑΧΑΪΑΣ"/>
    <n v="38.141666666666666"/>
    <s v="31 - 40"/>
  </r>
  <r>
    <n v="99911636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21021"/>
    <s v="1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19T00:00:00"/>
    <x v="1"/>
    <s v="ΔΙΕΥΘΥΝΣΗ Π.Ε. ΑΝΑΤΟΛΙΚΗΣ ΑΤΤΙΚΗΣ"/>
    <n v="38.144444444444446"/>
    <s v="31 - 40"/>
  </r>
  <r>
    <n v="99911637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18T00:00:00"/>
    <x v="0"/>
    <s v="ΔΙΕΥΘΥΝΣΗ Δ.Ε. Α΄ ΑΘΗΝΑΣ"/>
    <n v="38.147222222222226"/>
    <s v="31 - 40"/>
  </r>
  <r>
    <n v="99911638"/>
    <s v="Θ"/>
    <x v="10"/>
    <x v="10"/>
    <m/>
    <m/>
    <s v="Γ΄"/>
    <n v="1"/>
    <s v="ΕΚΚΡΕΜΕΙ"/>
    <d v="2018-09-1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8-09-11T00:00:00"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5-16T00:00:00"/>
    <x v="0"/>
    <s v="ΔΙΕΥΘΥΝΣΗ Δ.Ε. Β΄ ΑΘΗΝΑΣ"/>
    <n v="38.152777777777779"/>
    <s v="31 - 40"/>
  </r>
  <r>
    <n v="99911639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07T00:00:00"/>
    <x v="0"/>
    <s v="ΔΙΕΥΘΥΝΣΗ Δ.Ε. Β΄ ΑΘΗΝΑΣ"/>
    <n v="38.177777777777777"/>
    <s v="31 - 40"/>
  </r>
  <r>
    <n v="99911640"/>
    <s v="Θ"/>
    <x v="2"/>
    <x v="2"/>
    <m/>
    <m/>
    <s v="Γ΄"/>
    <n v="1"/>
    <n v="2105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159"/>
    <s v="ΣΥΣΤΕΓΑΖΟΜΕΝΟ ΙΔΙΩΤΙΚΟ ΝΗΠΙΑΓΩΓΕΙΟ - ΕΛΕΥΘΕΡΙΟΥ ΑΘΑΝΑΣ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06T00:00:00"/>
    <x v="1"/>
    <s v="ΔΙΕΥΘΥΝΣΗ Π.Ε. Δ΄ ΑΘΗΝΑΣ"/>
    <n v="38.180555555555557"/>
    <s v="31 - 40"/>
  </r>
  <r>
    <n v="99911641"/>
    <s v="Θ"/>
    <x v="5"/>
    <x v="5"/>
    <m/>
    <m/>
    <s v="Γ΄"/>
    <n v="1"/>
    <s v="16052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d v="2018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5-06T00:00:00"/>
    <x v="0"/>
    <s v="ΔΙΕΥΘΥΝΣΗ Δ.Ε. ΛΑΡΙΣΑΣ"/>
    <n v="38.180555555555557"/>
    <s v="31 - 40"/>
  </r>
  <r>
    <n v="99911642"/>
    <s v="Α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5-05T00:00:00"/>
    <x v="0"/>
    <s v="ΔΙΕΥΘΥΝΣΗ Δ.Ε. Β΄ ΑΘΗΝΑΣ"/>
    <n v="38.18333333333333"/>
    <s v="31 - 40"/>
  </r>
  <r>
    <n v="99911643"/>
    <s v="Θ"/>
    <x v="0"/>
    <x v="0"/>
    <m/>
    <m/>
    <s v="Γ΄"/>
    <n v="1"/>
    <n v="6768"/>
    <d v="2018-09-01T00:00:00"/>
    <s v="ΛΑΡΙΣΑΣ (Π.Ε.) 2018"/>
    <s v="ΔΙΕΥΘΥΝΣΗ Π.Ε. ΛΑΡΙΣΑΣ"/>
    <s v="ΠΕΡΙΦΕΡΕΙΑΚΗ Δ/ΝΣΗ Α/ΘΜΙΑΣ ΚΑΙ Β/ΘΜΙΑΣ ΕΚΠ/ΣΗΣ ΘΕΣΣΑΛΙΑΣ"/>
    <n v="20"/>
    <s v="ΟΧΙ"/>
    <s v="ΟΧΙ"/>
    <s v="ΟΧΙ"/>
    <s v="ΟΧΙ"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5-05T00:00:00"/>
    <x v="1"/>
    <s v="ΔΙΕΥΘΥΝΣΗ Π.Ε. ΛΑΡΙΣΑΣ"/>
    <n v="38.18333333333333"/>
    <s v="31 - 40"/>
  </r>
  <r>
    <n v="99911644"/>
    <s v="Θ"/>
    <x v="1"/>
    <x v="1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1-04-29T00:00:00"/>
    <x v="1"/>
    <s v="ΔΙΕΥΘΥΝΣΗ Π.Ε. Β΄ ΑΘΗΝΑΣ"/>
    <n v="38.200000000000003"/>
    <s v="31 - 40"/>
  </r>
  <r>
    <n v="99911645"/>
    <s v="Θ"/>
    <x v="8"/>
    <x v="8"/>
    <m/>
    <m/>
    <s v="Γ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4-23T00:00:00"/>
    <x v="1"/>
    <s v="ΔΙΕΥΘΥΝΣΗ Π.Ε. ΔΥΤ. ΘΕΣ/ΝΙΚΗΣ"/>
    <n v="38.216666666666669"/>
    <s v="31 - 40"/>
  </r>
  <r>
    <n v="99911646"/>
    <s v="Θ"/>
    <x v="2"/>
    <x v="2"/>
    <m/>
    <m/>
    <s v="Γ΄"/>
    <n v="1"/>
    <m/>
    <m/>
    <s v="ΒΟΙΩΤΙΑΣ (Π.Ε.) 2018"/>
    <s v="ΔΙΕΥΘΥΝΣΗ Π.Ε. ΒΟΙΩΤΙΑΣ"/>
    <s v="ΠΕΡΙΦΕΡΕΙΑΚΗ Δ/ΝΣΗ Α/ΘΜΙΑΣ ΚΑΙ Β/ΘΜΙΑΣ ΕΚΠ/ΣΗΣ ΣΤΕΡΕΑΣ ΕΛΛΑΔΑΣ"/>
    <n v="25"/>
    <s v="ΟΧΙ"/>
    <s v="ΟΧΙ"/>
    <s v="ΟΧΙ"/>
    <s v="ΟΧΙ"/>
    <s v="ΟΧΙ"/>
    <m/>
    <m/>
    <s v="Ιδιωτικά Σχολεία"/>
    <x v="2"/>
    <s v="7071003"/>
    <s v="ΙΔΙΩΤΙΚΟ ΣΥΣΤΕΓΑΖΟΜΕΝΟ ΝΗΠΙΑΓΩΓΕΙΟ - ΠΑΡΑΜΥΘΟΧΩΡΑ"/>
    <s v="ΒΟΙΩΤΙΑΣ (Π.Ε.) 2018"/>
    <x v="63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81-04-21T00:00:00"/>
    <x v="1"/>
    <s v="ΔΙΕΥΘΥΝΣΗ Π.Ε. ΒΟΙΩΤΙΑΣ"/>
    <n v="38.222222222222221"/>
    <s v="31 - 40"/>
  </r>
  <r>
    <n v="99911647"/>
    <s v="Θ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4-17T00:00:00"/>
    <x v="0"/>
    <s v="ΔΙΕΥΘΥΝΣΗ Δ.Ε. Γ΄ ΑΘΗΝΑΣ"/>
    <n v="38.233333333333334"/>
    <s v="31 - 40"/>
  </r>
  <r>
    <n v="99911648"/>
    <s v="Θ"/>
    <x v="10"/>
    <x v="10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4-16T00:00:00"/>
    <x v="1"/>
    <s v="ΔΙΕΥΘΥΝΣΗ Π.Ε. Β΄ ΑΘΗΝΑΣ"/>
    <n v="38.236111111111114"/>
    <s v="31 - 40"/>
  </r>
  <r>
    <n v="99911649"/>
    <s v="Θ"/>
    <x v="9"/>
    <x v="9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1-04-15T00:00:00"/>
    <x v="0"/>
    <s v="ΔΙΕΥΘΥΝΣΗ Δ.Ε. ΔΩΔΕΚΑΝΗΣΟΥ"/>
    <n v="38.238888888888887"/>
    <s v="31 - 40"/>
  </r>
  <r>
    <n v="99911650"/>
    <s v="Θ"/>
    <x v="10"/>
    <x v="1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4-13T00:00:00"/>
    <x v="0"/>
    <s v="ΔΙΕΥΘΥΝΣΗ Δ.Ε. ΑΝΑΤΟΛΙΚΗΣ ΑΤΤΙΚΗΣ"/>
    <n v="38.244444444444447"/>
    <s v="31 - 40"/>
  </r>
  <r>
    <n v="99911651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4-13T00:00:00"/>
    <x v="0"/>
    <s v="ΔΙΕΥΘΥΝΣΗ Δ.Ε. Δ΄ ΑΘΗΝΑΣ"/>
    <n v="38.244444444444447"/>
    <s v="31 - 40"/>
  </r>
  <r>
    <n v="99911652"/>
    <s v="Θ"/>
    <x v="5"/>
    <x v="5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4-10T00:00:00"/>
    <x v="0"/>
    <s v="ΔΙΕΥΘΥΝΣΗ Δ.Ε. ΑΝΑΤΟΛΙΚΗΣ ΑΤΤΙΚΗΣ"/>
    <n v="38.25277777777778"/>
    <s v="31 - 40"/>
  </r>
  <r>
    <n v="99911653"/>
    <s v="Θ"/>
    <x v="2"/>
    <x v="2"/>
    <m/>
    <m/>
    <s v="Α΄"/>
    <n v="5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4-08T00:00:00"/>
    <x v="1"/>
    <s v="ΔΙΕΥΘΥΝΣΗ Π.Ε. ΑΝΑΤΟΛΙΚΗΣ ΑΤΤΙΚΗΣ"/>
    <n v="38.258333333333333"/>
    <s v="31 - 40"/>
  </r>
  <r>
    <n v="99911654"/>
    <s v="Θ"/>
    <x v="3"/>
    <x v="3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d v="2018-09-01T00:00:00"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81-04-07T00:00:00"/>
    <x v="0"/>
    <s v="ΔΙΕΥΘΥΝΣΗ Δ.Ε. ΔΩΔΕΚΑΝΗΣΟΥ"/>
    <n v="38.261111111111113"/>
    <s v="31 - 40"/>
  </r>
  <r>
    <n v="99911655"/>
    <s v="Α"/>
    <x v="14"/>
    <x v="14"/>
    <m/>
    <m/>
    <s v="Γ΄"/>
    <n v="1"/>
    <s v="18963/10-11-2017"/>
    <d v="2017-10-30T00:00:00"/>
    <s v="ΗΡΑΚΛΕΙΟΥ (Δ.Ε.) 2018"/>
    <s v="ΔΙΕΥΘΥΝΣΗ Δ.Ε. ΗΡΑΚΛΕΙΟΥ"/>
    <s v="ΠΕΡΙΦΕΡΕΙΑΚΗ Δ/ΝΣΗ Α/ΘΜΙΑΣ ΚΑΙ Β/ΘΜΙΑΣ ΕΚΠ/ΣΗΣ ΚΡΗΤΗΣ"/>
    <n v="7"/>
    <s v="ΟΧΙ"/>
    <s v="ΟΧΙ"/>
    <s v="ΟΧΙ"/>
    <s v="ΟΧΙ"/>
    <s v="ΟΧΙ"/>
    <m/>
    <d v="2018-09-01T00:00:00"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1-04-02T00:00:00"/>
    <x v="0"/>
    <s v="ΔΙΕΥΘΥΝΣΗ Δ.Ε. ΗΡΑΚΛΕΙΟΥ"/>
    <n v="38.274999999999999"/>
    <s v="31 - 40"/>
  </r>
  <r>
    <n v="99911656"/>
    <s v="Α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3-26T00:00:00"/>
    <x v="0"/>
    <s v="ΔΙΕΥΘΥΝΣΗ Δ.Ε. ΑΝΑΤΟΛΙΚΗΣ ΑΤΤΙΚΗΣ"/>
    <n v="38.294444444444444"/>
    <s v="31 - 40"/>
  </r>
  <r>
    <n v="99911657"/>
    <s v="Α"/>
    <x v="9"/>
    <x v="9"/>
    <m/>
    <m/>
    <s v="Γ΄"/>
    <n v="1"/>
    <s v="Φ.17/16539/1/24-10-2018"/>
    <d v="2018-09-20T00:00:00"/>
    <s v="ΑΧΑΪΑΣ (Δ.Ε.) 2018"/>
    <s v="ΔΙΕΥΘΥΝΣΗ Δ.Ε. ΑΧΑΪΑΣ"/>
    <s v="ΠΕΡΙΦΕΡΕΙΑΚΗ Δ/ΝΣΗ Α/ΘΜΙΑΣ ΚΑΙ Β/ΘΜΙΑΣ ΕΚΠ/ΣΗΣ ΔΥΤΙΚΗΣ ΕΛΛΑΔΑΣ"/>
    <n v="1"/>
    <s v="ΟΧΙ"/>
    <m/>
    <m/>
    <m/>
    <s v="ΟΧΙ"/>
    <m/>
    <d v="2018-09-20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1-03-25T00:00:00"/>
    <x v="0"/>
    <s v="ΔΙΕΥΘΥΝΣΗ Δ.Ε. ΑΧΑΪΑΣ"/>
    <n v="38.297222222222224"/>
    <s v="31 - 40"/>
  </r>
  <r>
    <n v="9991165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3-22T00:00:00"/>
    <x v="0"/>
    <s v="ΔΙΕΥΘΥΝΣΗ Δ.Ε. Β΄ ΑΘΗΝΑΣ"/>
    <n v="38.305555555555557"/>
    <s v="31 - 40"/>
  </r>
  <r>
    <n v="99911659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105"/>
    <s v="ΙΔΙΩΤΙΚΟ - ΙΣΟΤΙΜΟ ΝΗΠΙΑΓΩΓΕΙΟ - Α΄ ΑΡΣΑΚΕΙΟ - ΤΟΣΙΤΣΕΙΟ ΝΗΠΙΑΓΩΓ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3-20T00:00:00"/>
    <x v="1"/>
    <s v="ΔΙΕΥΘΥΝΣΗ Π.Ε. ΑΝΑΤΟΛΙΚΗΣ ΑΤΤΙΚΗΣ"/>
    <n v="38.31111111111111"/>
    <s v="31 - 40"/>
  </r>
  <r>
    <n v="99911660"/>
    <s v="Α"/>
    <x v="8"/>
    <x v="8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16"/>
    <s v="ΟΧΙ"/>
    <s v="ΟΧΙ"/>
    <s v="ΟΧΙ"/>
    <m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1-03-16T00:00:00"/>
    <x v="1"/>
    <s v="ΔΙΕΥΘΥΝΣΗ Π.Ε. ΑΡΓΟΛΙΔΑΣ"/>
    <n v="38.322222222222223"/>
    <s v="31 - 40"/>
  </r>
  <r>
    <n v="99911661"/>
    <s v="Θ"/>
    <x v="18"/>
    <x v="18"/>
    <m/>
    <m/>
    <s v="Γ΄"/>
    <n v="1"/>
    <s v="6ΚΛΛ4653ΠΣ-ΖΡ8"/>
    <d v="2017-09-06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7-09-06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1-03-12T00:00:00"/>
    <x v="1"/>
    <s v="ΔΙΕΥΘΥΝΣΗ Π.Ε. ΙΩΑΝΝΙΝΩΝ"/>
    <n v="38.333333333333336"/>
    <s v="31 - 40"/>
  </r>
  <r>
    <n v="99911662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3-07T00:00:00"/>
    <x v="0"/>
    <s v="ΔΙΕΥΘΥΝΣΗ Δ.Ε. Β΄ ΑΘΗΝΑΣ"/>
    <n v="38.347222222222221"/>
    <s v="31 - 40"/>
  </r>
  <r>
    <n v="99911663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3-04T00:00:00"/>
    <x v="0"/>
    <s v="ΔΙΕΥΘΥΝΣΗ Δ.Ε. ΑΝΑΤ. ΘΕΣ/ΝΙΚΗΣ"/>
    <n v="38.355555555555554"/>
    <s v="31 - 40"/>
  </r>
  <r>
    <n v="99911664"/>
    <s v="Θ"/>
    <x v="3"/>
    <x v="3"/>
    <m/>
    <m/>
    <s v="Β΄"/>
    <n v="1"/>
    <s v="12180/30-09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3-01T00:00:00"/>
    <x v="0"/>
    <s v="ΔΙΕΥΘΥΝΣΗ Δ.Ε. ΔΥΤ. ΘΕΣ/ΝΙΚΗΣ"/>
    <n v="38.363888888888887"/>
    <s v="31 - 40"/>
  </r>
  <r>
    <n v="99911665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m/>
    <s v="ΟΧΙ"/>
    <m/>
    <d v="2018-09-01T00:00:00"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2-28T00:00:00"/>
    <x v="0"/>
    <s v="ΔΙΕΥΘΥΝΣΗ Δ.Ε. Β΄ ΑΘΗΝΑΣ"/>
    <n v="38.366666666666667"/>
    <s v="31 - 40"/>
  </r>
  <r>
    <n v="99911666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2-28T00:00:00"/>
    <x v="0"/>
    <s v="ΔΙΕΥΘΥΝΣΗ Δ.Ε. Β΄ ΑΘΗΝΑΣ"/>
    <n v="38.366666666666667"/>
    <s v="31 - 40"/>
  </r>
  <r>
    <n v="99911667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2-25T00:00:00"/>
    <x v="0"/>
    <s v="ΔΙΕΥΘΥΝΣΗ Δ.Ε. Β΄ ΑΘΗΝΑΣ"/>
    <n v="38.375"/>
    <s v="31 - 40"/>
  </r>
  <r>
    <n v="99911668"/>
    <s v="Θ"/>
    <x v="0"/>
    <x v="0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0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2-25T00:00:00"/>
    <x v="1"/>
    <s v="ΔΙΕΥΘΥΝΣΗ Π.Ε. ΛΑΡΙΣΑΣ"/>
    <n v="38.375"/>
    <s v="31 - 40"/>
  </r>
  <r>
    <n v="99911669"/>
    <s v="Α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2-19T00:00:00"/>
    <x v="1"/>
    <s v="ΔΙΕΥΘΥΝΣΗ Π.Ε. ΑΝΑΤ. ΘΕΣ/ΝΙΚΗΣ"/>
    <n v="38.391666666666666"/>
    <s v="31 - 40"/>
  </r>
  <r>
    <n v="99911670"/>
    <s v="Θ"/>
    <x v="0"/>
    <x v="0"/>
    <m/>
    <m/>
    <s v="Γ΄"/>
    <n v="1"/>
    <n v="28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2-13T00:00:00"/>
    <x v="1"/>
    <s v="ΔΙΕΥΘΥΝΣΗ Π.Ε. Δ΄ ΑΘΗΝΑΣ"/>
    <n v="38.408333333333331"/>
    <s v="31 - 40"/>
  </r>
  <r>
    <n v="99911671"/>
    <s v="Θ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2-12T00:00:00"/>
    <x v="1"/>
    <s v="ΔΙΕΥΘΥΝΣΗ Π.Ε. ΑΝΑΤ. ΘΕΣ/ΝΙΚΗΣ"/>
    <n v="38.411111111111111"/>
    <s v="31 - 40"/>
  </r>
  <r>
    <n v="99911672"/>
    <s v="Θ"/>
    <x v="3"/>
    <x v="3"/>
    <m/>
    <m/>
    <s v="Γ΄"/>
    <n v="1"/>
    <n v="2039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23T00:00:00"/>
    <x v="1"/>
    <s v="ΔΙΕΥΘΥΝΣΗ Π.Ε. Δ΄ ΑΘΗΝΑΣ"/>
    <n v="38.466666666666669"/>
    <s v="31 - 40"/>
  </r>
  <r>
    <n v="99911673"/>
    <s v="Θ"/>
    <x v="2"/>
    <x v="2"/>
    <m/>
    <m/>
    <s v="Γ΄"/>
    <n v="1"/>
    <s v="19/11-10-2017"/>
    <d v="2017-09-01T00:00:00"/>
    <s v="ΡΕΘΥΜΝΟΥ (Π.Ε.) 2018"/>
    <s v="ΔΙΕΥΘΥΝΣΗ Π.Ε. ΡΕΘΥΜΝΟΥ"/>
    <s v="ΠΕΡΙΦΕΡΕΙΑΚΗ Δ/ΝΣΗ Α/ΘΜΙΑΣ ΚΑΙ Β/ΘΜΙΑΣ ΕΚΠ/ΣΗΣ ΚΡΗΤΗΣ"/>
    <n v="25"/>
    <s v="ΟΧΙ"/>
    <s v="ΟΧΙ"/>
    <s v="ΟΧΙ"/>
    <s v="ΟΧΙ"/>
    <s v="ΟΧΙ"/>
    <m/>
    <d v="2018-09-01T00:00:00"/>
    <s v="Ιδιωτικά Σχολεία"/>
    <x v="2"/>
    <s v="7411007"/>
    <s v="ΙΔΙΩΤΙΚΟ ΝΗΠΙΑΓΩΓΕΙΟ - ΚΟΥΤΙΚΑ ΕΛΕΝΗ"/>
    <s v="ΡΕΘΥΜΝΟΥ (Π.Ε.) 2018"/>
    <x v="62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81-01-22T00:00:00"/>
    <x v="1"/>
    <s v="ΔΙΕΥΘΥΝΣΗ Π.Ε. ΡΕΘΥΜΝΟΥ"/>
    <n v="38.469444444444441"/>
    <s v="31 - 40"/>
  </r>
  <r>
    <n v="99911674"/>
    <s v="Α"/>
    <x v="14"/>
    <x v="14"/>
    <s v="ΠΕ03"/>
    <s v="ΜΑΘΗΜΑΤΙΚΟΙ"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1-21T00:00:00"/>
    <x v="0"/>
    <s v="ΔΙΕΥΘΥΝΣΗ Δ.Ε. ΑΝΑΤ. ΘΕΣ/ΝΙΚΗΣ"/>
    <n v="38.472222222222221"/>
    <s v="31 - 40"/>
  </r>
  <r>
    <n v="99911675"/>
    <s v="Α"/>
    <x v="14"/>
    <x v="14"/>
    <m/>
    <m/>
    <s v="Γ΄"/>
    <n v="1"/>
    <s v="6015/2014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1-01-21T00:00:00"/>
    <x v="0"/>
    <s v="ΔΙΕΥΘΥΝΣΗ Δ.Ε. ΑΡΓΟΛΙΔΑΣ"/>
    <n v="38.472222222222221"/>
    <s v="31 - 40"/>
  </r>
  <r>
    <n v="99911676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17T00:00:00"/>
    <x v="0"/>
    <s v="ΔΙΕΥΘΥΝΣΗ Δ.Ε. Β΄ ΑΘΗΝΑΣ"/>
    <n v="38.483333333333334"/>
    <s v="31 - 40"/>
  </r>
  <r>
    <n v="99911677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16T00:00:00"/>
    <x v="0"/>
    <s v="ΔΙΕΥΘΥΝΣΗ Δ.Ε. Β΄ ΑΘΗΝΑΣ"/>
    <n v="38.486111111111114"/>
    <s v="31 - 40"/>
  </r>
  <r>
    <n v="99911678"/>
    <s v="Θ"/>
    <x v="9"/>
    <x v="9"/>
    <m/>
    <m/>
    <s v="Γ΄"/>
    <n v="1"/>
    <n v="11613"/>
    <d v="2018-10-22T00:00:00"/>
    <s v="ΠΙΕΡΙΑΣ (Δ.Ε.) 2018"/>
    <s v="ΔΙΕΥΘΥΝΣΗ Δ.Ε. ΠΙΕΡΙΑΣ"/>
    <s v="ΠΕΡΙΦΕΡΕΙΑΚΗ Δ/ΝΣΗ Α/ΘΜΙΑΣ ΚΑΙ Β/ΘΜΙΑΣ ΕΚΠ/ΣΗΣ ΚΕΝΤΡΙΚΗΣ ΜΑΚΕΔΟΝΙΑΣ"/>
    <n v="16"/>
    <s v="ΟΧΙ"/>
    <m/>
    <m/>
    <m/>
    <s v="ΟΧΙ"/>
    <m/>
    <d v="2018-10-22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1-01-08T00:00:00"/>
    <x v="0"/>
    <s v="ΔΙΕΥΘΥΝΣΗ Δ.Ε. ΠΙΕΡΙΑΣ"/>
    <n v="38.508333333333333"/>
    <s v="31 - 40"/>
  </r>
  <r>
    <n v="99911679"/>
    <s v="Θ"/>
    <x v="1"/>
    <x v="1"/>
    <m/>
    <m/>
    <s v="Α΄"/>
    <n v="6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7T00:00:00"/>
    <x v="1"/>
    <s v="ΔΙΕΥΘΥΝΣΗ Π.Ε. ΑΝΑΤΟΛΙΚΗΣ ΑΤΤΙΚΗΣ"/>
    <n v="38.511111111111113"/>
    <s v="31 - 40"/>
  </r>
  <r>
    <n v="99911680"/>
    <s v="Θ"/>
    <x v="13"/>
    <x v="13"/>
    <m/>
    <m/>
    <s v="Γ΄"/>
    <n v="1"/>
    <s v="19997/2"/>
    <d v="2018-09-01T00:00:00"/>
    <s v="Α΄ ΠΕΙΡΑΙΑ (Π.Ε.) 2018"/>
    <s v="ΔΙΕΥΘΥΝΣΗ Π.Ε. ΠΕΙΡΑΙΑ"/>
    <s v="ΠΕΡΙΦΕΡΕΙΑΚΗ Δ/ΝΣΗ Α/ΘΜΙΑΣ ΚΑΙ Β/ΘΜΙΑΣ ΕΚΠ/ΣΗΣ ΑΤΤΙΚΗΣ"/>
    <n v="7"/>
    <s v="ΟΧΙ"/>
    <m/>
    <m/>
    <m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7T00:00:00"/>
    <x v="1"/>
    <s v="ΔΙΕΥΘΥΝΣΗ Π.Ε. ΠΕΙΡΑΙΑ"/>
    <n v="38.511111111111113"/>
    <s v="31 - 40"/>
  </r>
  <r>
    <n v="99911681"/>
    <s v="Θ"/>
    <x v="8"/>
    <x v="8"/>
    <m/>
    <m/>
    <s v="Α΄"/>
    <n v="6"/>
    <s v="5630α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5T00:00:00"/>
    <x v="1"/>
    <s v="ΔΙΕΥΘΥΝΣΗ Π.Ε. ΑΝΑΤΟΛΙΚΗΣ ΑΤΤΙΚΗΣ"/>
    <n v="38.516666666666666"/>
    <s v="31 - 40"/>
  </r>
  <r>
    <n v="99911682"/>
    <s v="Θ"/>
    <x v="9"/>
    <x v="9"/>
    <m/>
    <m/>
    <s v="Γ΄"/>
    <n v="1"/>
    <n v="19020"/>
    <d v="2018-10-03T00:00:00"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d v="2018-10-03T00:00:00"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1-01T00:00:00"/>
    <x v="0"/>
    <s v="ΔΙΕΥΘΥΝΣΗ Δ.Ε. Α΄ ΑΘΗΝΑΣ"/>
    <n v="38.527777777777779"/>
    <s v="31 - 40"/>
  </r>
  <r>
    <n v="99911683"/>
    <s v="Θ"/>
    <x v="14"/>
    <x v="1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0"/>
    <s v="ΔΙΕΥΘΥΝΣΗ Δ.Ε. ΑΝΑΤΟΛΙΚΗΣ ΑΤΤΙΚΗΣ"/>
    <n v="38.527777777777779"/>
    <s v="31 - 40"/>
  </r>
  <r>
    <n v="99911684"/>
    <s v="Θ"/>
    <x v="10"/>
    <x v="10"/>
    <m/>
    <m/>
    <s v="Γ΄"/>
    <n v="1"/>
    <n v="19764"/>
    <d v="2018-11-29T00:00:00"/>
    <s v="Α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d v="2018-11-29T00:00:00"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1-01T00:00:00"/>
    <x v="0"/>
    <s v="ΔΙΕΥΘΥΝΣΗ Δ.Ε. ΑΝΑΤΟΛΙΚΗΣ ΑΤΤΙΚΗΣ"/>
    <n v="38.527777777777779"/>
    <s v="31 - 40"/>
  </r>
  <r>
    <n v="99911685"/>
    <s v="Θ"/>
    <x v="10"/>
    <x v="1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0"/>
    <s v="ΔΙΕΥΘΥΝΣΗ Δ.Ε. ΑΝΑΤΟΛΙΚΗΣ ΑΤΤΙΚΗΣ"/>
    <n v="38.527777777777779"/>
    <s v="31 - 40"/>
  </r>
  <r>
    <n v="99911686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0"/>
    <s v="ΔΙΕΥΘΥΝΣΗ Δ.Ε. Γ΄ ΑΘΗΝΑΣ"/>
    <n v="38.527777777777779"/>
    <s v="31 - 40"/>
  </r>
  <r>
    <n v="99911687"/>
    <s v="Θ"/>
    <x v="10"/>
    <x v="10"/>
    <m/>
    <m/>
    <s v="Γ΄"/>
    <n v="1"/>
    <s v="18279/43"/>
    <d v="2018-10-19T00:00:00"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d v="2018-10-19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0"/>
    <s v="ΔΙΕΥΘΥΝΣΗ Δ.Ε. Γ΄ ΑΘΗΝΑΣ"/>
    <n v="38.527777777777779"/>
    <s v="31 - 40"/>
  </r>
  <r>
    <n v="99911688"/>
    <s v="Θ"/>
    <x v="6"/>
    <x v="6"/>
    <m/>
    <m/>
    <s v="Γ΄"/>
    <n v="4"/>
    <n v="23648"/>
    <d v="2016-12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6-12-12T00:00:00"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0"/>
    <s v="ΔΙΕΥΘΥΝΣΗ Δ.Ε. Δ΄ ΑΘΗΝΑΣ"/>
    <n v="38.527777777777779"/>
    <s v="31 - 40"/>
  </r>
  <r>
    <n v="99911689"/>
    <s v="Θ"/>
    <x v="7"/>
    <x v="7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ΑΝΑΤΟΛΙΚΗΣ ΑΤΤΙΚΗΣ"/>
    <n v="38.527777777777779"/>
    <s v="31 - 40"/>
  </r>
  <r>
    <n v="99911690"/>
    <s v="Θ"/>
    <x v="12"/>
    <x v="1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ΑΝΑΤΟΛΙΚΗΣ ΑΤΤΙΚΗΣ"/>
    <n v="38.527777777777779"/>
    <s v="31 - 40"/>
  </r>
  <r>
    <n v="99911691"/>
    <s v="Θ"/>
    <x v="3"/>
    <x v="3"/>
    <s v="ΠΕ70"/>
    <s v="ΔΑΣΚΑΛΟΙ"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Β΄ ΑΘΗΝΑΣ"/>
    <n v="38.527777777777779"/>
    <s v="31 - 40"/>
  </r>
  <r>
    <n v="99911692"/>
    <s v="Θ"/>
    <x v="8"/>
    <x v="8"/>
    <m/>
    <m/>
    <s v="Γ΄"/>
    <n v="1"/>
    <s v="429/21-02-06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Β΄ ΑΘΗΝΑΣ"/>
    <n v="38.527777777777779"/>
    <s v="31 - 40"/>
  </r>
  <r>
    <n v="99911693"/>
    <s v="Θ"/>
    <x v="0"/>
    <x v="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Δ΄ ΑΘΗΝΑΣ"/>
    <n v="38.527777777777779"/>
    <s v="31 - 40"/>
  </r>
  <r>
    <n v="99911694"/>
    <s v="Θ"/>
    <x v="10"/>
    <x v="10"/>
    <m/>
    <m/>
    <s v="Γ΄"/>
    <n v="1"/>
    <s v="ΩΖΨΑ4653ΠΣ-Θ19"/>
    <d v="2018-09-01T00:00:00"/>
    <s v="Δ΄ ΑΘΗΝΑΣ (Π.Ε.) 2018"/>
    <s v="ΔΙΕΥΘΥΝΣΗ Π.Ε. Δ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Δ΄ ΑΘΗΝΑΣ"/>
    <n v="38.527777777777779"/>
    <s v="31 - 40"/>
  </r>
  <r>
    <n v="99911695"/>
    <s v="Θ"/>
    <x v="14"/>
    <x v="14"/>
    <m/>
    <m/>
    <s v="Γ΄"/>
    <n v="1"/>
    <s v="ΒΧ3Κ4653ΠΣ-ΞΧ5"/>
    <d v="2015-11-23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5-11-23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Δ΄ ΑΘΗΝΑΣ"/>
    <n v="38.527777777777779"/>
    <s v="31 - 40"/>
  </r>
  <r>
    <n v="99911696"/>
    <s v="Θ"/>
    <x v="0"/>
    <x v="0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1-01-01T00:00:00"/>
    <x v="1"/>
    <s v="ΔΙΕΥΘΥΝΣΗ Π.Ε. Δ΄ ΑΘΗΝΑΣ"/>
    <n v="38.527777777777779"/>
    <s v="31 - 40"/>
  </r>
  <r>
    <n v="99911697"/>
    <s v="Θ"/>
    <x v="2"/>
    <x v="2"/>
    <m/>
    <m/>
    <s v="Γ΄"/>
    <n v="1"/>
    <s v="19997/5"/>
    <d v="2018-10-17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d v="2018-10-17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1-01-01T00:00:00"/>
    <x v="1"/>
    <s v="ΔΙΕΥΘΥΝΣΗ Π.Ε. ΠΕΙΡΑΙΑ"/>
    <n v="38.527777777777779"/>
    <s v="31 - 40"/>
  </r>
  <r>
    <n v="99911698"/>
    <s v="Θ"/>
    <x v="19"/>
    <x v="19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6"/>
    <s v="ΟΧΙ"/>
    <s v="ΟΧΙ"/>
    <s v="ΟΧΙ"/>
    <s v="ΟΧΙ"/>
    <s v="ΟΧΙ"/>
    <m/>
    <m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1-01-01T00:00:00"/>
    <x v="0"/>
    <s v="ΔΙΕΥΘΥΝΣΗ Δ.Ε. ΑΙΤΩΛΟΑΚΑΡΝΑΝΙΑΣ"/>
    <n v="38.527777777777779"/>
    <s v="31 - 40"/>
  </r>
  <r>
    <n v="99911699"/>
    <s v="Θ"/>
    <x v="32"/>
    <x v="31"/>
    <m/>
    <m/>
    <s v="Γ΄"/>
    <n v="1"/>
    <s v="70/21-9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m/>
    <x v="5"/>
    <s v=""/>
    <m/>
    <m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1-01-01T00:00:00"/>
    <x v="1"/>
    <s v="ΔΙΕΥΘΥΝΣΗ Π.Ε. ΑΧΑΪΑΣ"/>
    <n v="38.527777777777779"/>
    <s v="31 - 40"/>
  </r>
  <r>
    <n v="99911700"/>
    <s v="Α"/>
    <x v="14"/>
    <x v="14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1-01T00:00:00"/>
    <x v="0"/>
    <s v="ΔΙΕΥΘΥΝΣΗ Δ.Ε. ΛΑΡΙΣΑΣ"/>
    <n v="38.527777777777779"/>
    <s v="31 - 40"/>
  </r>
  <r>
    <n v="99911701"/>
    <s v="Θ"/>
    <x v="4"/>
    <x v="4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12"/>
    <s v="ΟΧΙ"/>
    <s v="ΟΧΙ"/>
    <s v="ΟΧΙ"/>
    <s v="ΟΧΙ"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1-01T00:00:00"/>
    <x v="0"/>
    <s v="ΔΙΕΥΘΥΝΣΗ Δ.Ε. ΤΡΙΚΑΛΩΝ"/>
    <n v="38.527777777777779"/>
    <s v="31 - 40"/>
  </r>
  <r>
    <n v="99911702"/>
    <s v="Θ"/>
    <x v="14"/>
    <x v="14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10"/>
    <s v="ΟΧΙ"/>
    <s v="ΟΧΙ"/>
    <s v="ΟΧΙ"/>
    <s v="ΟΧΙ"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1-01-01T00:00:00"/>
    <x v="1"/>
    <s v="ΔΙΕΥΘΥΝΣΗ Π.Ε. ΛΑΡΙΣΑΣ"/>
    <n v="38.527777777777779"/>
    <s v="31 - 40"/>
  </r>
  <r>
    <n v="99911703"/>
    <s v="Θ"/>
    <x v="10"/>
    <x v="10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10"/>
    <s v="ΟΧΙ"/>
    <s v="ΟΧΙ"/>
    <s v="ΟΧΙ"/>
    <s v="ΟΧΙ"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1-01T00:00:00"/>
    <x v="1"/>
    <s v="ΔΙΕΥΘΥΝΣΗ Π.Ε. ΛΑΡΙΣΑΣ"/>
    <n v="38.527777777777779"/>
    <s v="31 - 40"/>
  </r>
  <r>
    <n v="99911704"/>
    <s v="Θ"/>
    <x v="0"/>
    <x v="0"/>
    <m/>
    <m/>
    <s v="Γ΄"/>
    <n v="1"/>
    <n v="5009"/>
    <d v="2018-09-01T00:00:00"/>
    <s v="ΤΡΙΚΑΛΩΝ (Π.Ε.) 2018"/>
    <s v="ΔΙΕΥΘΥΝΣΗ Π.Ε. ΤΡΙΚΑΛΩΝ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1-01-01T00:00:00"/>
    <x v="1"/>
    <s v="ΔΙΕΥΘΥΝΣΗ Π.Ε. ΤΡΙΚΑΛΩΝ"/>
    <n v="38.527777777777779"/>
    <s v="31 - 40"/>
  </r>
  <r>
    <n v="99911705"/>
    <s v="Θ"/>
    <x v="10"/>
    <x v="10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1-01T00:00:00"/>
    <x v="0"/>
    <s v="ΔΙΕΥΘΥΝΣΗ Δ.Ε. ΑΝΑΤ. ΘΕΣ/ΝΙΚΗΣ"/>
    <n v="38.527777777777779"/>
    <s v="31 - 40"/>
  </r>
  <r>
    <n v="99911706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60007"/>
    <s v="ΙΔΙΩΤΙΚΟ ΓΥΜΝΑΣΙΟ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1-01-01T00:00:00"/>
    <x v="0"/>
    <s v="ΔΙΕΥΘΥΝΣΗ Δ.Ε. ΑΝΑΤ. ΘΕΣ/ΝΙΚΗΣ"/>
    <n v="38.527777777777779"/>
    <s v="31 - 40"/>
  </r>
  <r>
    <n v="99911707"/>
    <s v="Θ"/>
    <x v="10"/>
    <x v="10"/>
    <m/>
    <m/>
    <s v="Γ΄"/>
    <n v="1"/>
    <s v="14181/13-9-2018"/>
    <d v="2018-09-01T00:00:00"/>
    <s v="ΗΡΑΚΛΕΙΟΥ (Δ.Ε.) 2018"/>
    <s v="ΔΙΕΥΘΥΝΣΗ Δ.Ε. ΗΡΑΚΛΕΙΟΥ"/>
    <s v="ΠΕΡΙΦΕΡΕΙΑΚΗ Δ/ΝΣΗ Α/ΘΜΙΑΣ ΚΑΙ Β/ΘΜΙΑΣ ΕΚΠ/ΣΗΣ ΚΡΗΤΗΣ"/>
    <n v="10"/>
    <s v="ΟΧΙ"/>
    <s v="ΟΧΙ"/>
    <s v="ΟΧΙ"/>
    <s v="ΟΧΙ"/>
    <s v="ΟΧΙ"/>
    <m/>
    <d v="2018-09-01T00:00:00"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1-01-01T00:00:00"/>
    <x v="0"/>
    <s v="ΔΙΕΥΘΥΝΣΗ Δ.Ε. ΗΡΑΚΛΕΙΟΥ"/>
    <n v="38.527777777777779"/>
    <s v="31 - 40"/>
  </r>
  <r>
    <n v="99911708"/>
    <s v="Θ"/>
    <x v="10"/>
    <x v="10"/>
    <m/>
    <m/>
    <s v="Γ΄"/>
    <n v="1"/>
    <n v="4549"/>
    <d v="2018-09-19T00:00:00"/>
    <s v="ΑΡΓΟΛΙΔΑΣ (Π.Ε.) 2018"/>
    <s v="ΔΙΕΥΘΥΝΣΗ Π.Ε. ΑΡΓΟΛΙΔΑΣ"/>
    <s v="ΠΕΡΙΦΕΡΕΙΑΚΗ Δ/ΝΣΗ Α/ΘΜΙΑΣ ΚΑΙ Β/ΘΜΙΑΣ ΕΚΠ/ΣΗΣ ΠΕΛΟΠΟΝΝΗΣΟΥ"/>
    <n v="5"/>
    <s v="ΟΧΙ"/>
    <s v="ΟΧΙ"/>
    <s v="ΟΧΙ"/>
    <s v="ΟΧΙ"/>
    <s v="ΟΧΙ"/>
    <m/>
    <d v="2018-09-19T00:00:00"/>
    <m/>
    <x v="5"/>
    <s v=""/>
    <m/>
    <m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81-01-01T00:00:00"/>
    <x v="1"/>
    <s v="ΔΙΕΥΘΥΝΣΗ Π.Ε. ΑΡΓΟΛΙΔΑΣ"/>
    <n v="38.527777777777779"/>
    <s v="31 - 40"/>
  </r>
  <r>
    <n v="99911709"/>
    <s v="Θ"/>
    <x v="10"/>
    <x v="10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4"/>
    <s v="ΟΧΙ"/>
    <s v="ΟΧΙ"/>
    <s v="ΟΧΙ"/>
    <s v="ΟΧΙ"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0-12-28T00:00:00"/>
    <x v="1"/>
    <s v="ΔΙΕΥΘΥΝΣΗ Π.Ε. ΗΡΑΚΛΕΙΟΥ"/>
    <n v="38.538888888888891"/>
    <s v="31 - 40"/>
  </r>
  <r>
    <n v="99911710"/>
    <s v="Θ"/>
    <x v="2"/>
    <x v="2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2"/>
    <s v="2ο ΙΔΙΩΤΙΚΟ ΔΗΜΟΤΙΚΟ ΠΥΛΑΙΑ - ΑΔΑΜΑΝΤΙΟΣ ΣΧΟΛΗ Α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12-24T00:00:00"/>
    <x v="1"/>
    <s v="ΔΙΕΥΘΥΝΣΗ Π.Ε. ΑΝΑΤ. ΘΕΣ/ΝΙΚΗΣ"/>
    <n v="38.549999999999997"/>
    <s v="31 - 40"/>
  </r>
  <r>
    <n v="99911711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2-17T00:00:00"/>
    <x v="1"/>
    <s v="ΔΙΕΥΘΥΝΣΗ Π.Ε. Β΄ ΑΘΗΝΑΣ"/>
    <n v="38.569444444444443"/>
    <s v="31 - 40"/>
  </r>
  <r>
    <n v="99911712"/>
    <s v="Α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60"/>
    <s v="ΙΔΙΩΤΙΚΟ ΔΗΜΟΤΙΚΟ ΣΧΟΛΕΙΟ - ΔΕΣ ΔΗΜΟΤΙΚΟ ΙΚΕ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12-14T00:00:00"/>
    <x v="1"/>
    <s v="ΔΙΕΥΘΥΝΣΗ Π.Ε. ΑΝΑΤΟΛΙΚΗΣ ΑΤΤΙΚΗΣ"/>
    <n v="38.577777777777776"/>
    <s v="31 - 40"/>
  </r>
  <r>
    <n v="99911713"/>
    <s v="Θ"/>
    <x v="14"/>
    <x v="14"/>
    <m/>
    <m/>
    <s v="Α΄"/>
    <n v="7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12-13T00:00:00"/>
    <x v="1"/>
    <s v="ΔΙΕΥΘΥΝΣΗ Π.Ε. ΑΝΑΤΟΛΙΚΗΣ ΑΤΤΙΚΗΣ"/>
    <n v="38.580555555555556"/>
    <s v="31 - 40"/>
  </r>
  <r>
    <n v="99911714"/>
    <s v="Α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2-12T00:00:00"/>
    <x v="0"/>
    <s v="ΔΙΕΥΘΥΝΣΗ Δ.Ε. Β΄ ΑΘΗΝΑΣ"/>
    <n v="38.583333333333336"/>
    <s v="31 - 40"/>
  </r>
  <r>
    <n v="99911715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2-11T00:00:00"/>
    <x v="0"/>
    <s v="ΔΙΕΥΘΥΝΣΗ Δ.Ε. Β΄ ΑΘΗΝΑΣ"/>
    <n v="38.586111111111109"/>
    <s v="31 - 40"/>
  </r>
  <r>
    <n v="99911716"/>
    <s v="Θ"/>
    <x v="1"/>
    <x v="1"/>
    <m/>
    <m/>
    <s v="Α΄"/>
    <n v="7"/>
    <s v="ΦΕΚ 1090/τ.Γ'/28-11-200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12-08T00:00:00"/>
    <x v="1"/>
    <s v="ΔΙΕΥΘΥΝΣΗ Π.Ε. ΑΝΑΤΟΛΙΚΗΣ ΑΤΤΙΚΗΣ"/>
    <n v="38.594444444444441"/>
    <s v="31 - 40"/>
  </r>
  <r>
    <n v="99911717"/>
    <s v="Θ"/>
    <x v="1"/>
    <x v="1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12-05T00:00:00"/>
    <x v="1"/>
    <s v="ΔΙΕΥΘΥΝΣΗ Π.Ε. Β΄ ΑΘΗΝΑΣ"/>
    <n v="38.602777777777774"/>
    <s v="31 - 40"/>
  </r>
  <r>
    <n v="99911718"/>
    <s v="Θ"/>
    <x v="7"/>
    <x v="7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1-26T00:00:00"/>
    <x v="1"/>
    <s v="ΔΙΕΥΘΥΝΣΗ Π.Ε. Δ΄ ΑΘΗΝΑΣ"/>
    <n v="38.62777777777778"/>
    <s v="31 - 40"/>
  </r>
  <r>
    <n v="99911719"/>
    <s v="Α"/>
    <x v="5"/>
    <x v="5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1-19T00:00:00"/>
    <x v="0"/>
    <s v="ΔΙΕΥΘΥΝΣΗ Δ.Ε. Δ΄ ΑΘΗΝΑΣ"/>
    <n v="38.647222222222226"/>
    <s v="31 - 40"/>
  </r>
  <r>
    <n v="99911720"/>
    <s v="Θ"/>
    <x v="0"/>
    <x v="0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0-11-15T00:00:00"/>
    <x v="0"/>
    <s v="ΔΙΕΥΘΥΝΣΗ Δ.Ε. ΔΩΔΕΚΑΝΗΣΟΥ"/>
    <n v="38.658333333333331"/>
    <s v="31 - 40"/>
  </r>
  <r>
    <n v="99911721"/>
    <s v="Α"/>
    <x v="8"/>
    <x v="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0-15T00:00:00"/>
    <x v="1"/>
    <s v="ΔΙΕΥΘΥΝΣΗ Π.Ε. Δ΄ ΑΘΗΝΑΣ"/>
    <n v="38.744444444444447"/>
    <s v="31 - 40"/>
  </r>
  <r>
    <n v="99911722"/>
    <s v="Θ"/>
    <x v="1"/>
    <x v="1"/>
    <m/>
    <m/>
    <s v="Γ΄"/>
    <n v="1"/>
    <d v="2003-10-15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10-12T00:00:00"/>
    <x v="1"/>
    <s v="ΔΙΕΥΘΥΝΣΗ Π.Ε. ΑΝΑΤ. ΘΕΣ/ΝΙΚΗΣ"/>
    <n v="38.75277777777778"/>
    <s v="31 - 40"/>
  </r>
  <r>
    <n v="99911723"/>
    <s v="Α"/>
    <x v="4"/>
    <x v="4"/>
    <m/>
    <m/>
    <s v="Γ΄"/>
    <n v="1"/>
    <s v="744Υ9-529"/>
    <d v="2014-09-18T00:00:00"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d v="2014-09-18T00:00:00"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0-10T00:00:00"/>
    <x v="0"/>
    <s v="ΔΙΕΥΘΥΝΣΗ Δ.Ε. Β΄ ΑΘΗΝΑΣ"/>
    <n v="38.758333333333333"/>
    <s v="31 - 40"/>
  </r>
  <r>
    <n v="99911724"/>
    <s v="Θ"/>
    <x v="0"/>
    <x v="0"/>
    <m/>
    <m/>
    <s v="Γ΄"/>
    <n v="1"/>
    <n v="11620"/>
    <d v="2018-09-01T00:00:00"/>
    <s v="Δ΄ ΑΘΗΝΑΣ (Π.Ε.) 2018"/>
    <s v="ΔΙΕΥΘΥΝΣΗ Π.Ε. Δ΄ ΑΘΗΝΑΣ"/>
    <s v="ΠΕΡΙΦΕΡΕΙΑΚΗ Δ/ΝΣΗ Α/ΘΜΙΑΣ ΚΑΙ Β/ΘΜΙΑΣ ΕΚΠ/ΣΗΣ ΑΤΤΙΚΗΣ"/>
    <n v="16"/>
    <s v="ΟΧΙ"/>
    <s v="ΟΧΙ"/>
    <s v="ΟΧΙ"/>
    <m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10-10T00:00:00"/>
    <x v="1"/>
    <s v="ΔΙΕΥΘΥΝΣΗ Π.Ε. Δ΄ ΑΘΗΝΑΣ"/>
    <n v="38.758333333333333"/>
    <s v="31 - 40"/>
  </r>
  <r>
    <n v="99911725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10-08T00:00:00"/>
    <x v="1"/>
    <s v="ΔΙΕΥΘΥΝΣΗ Π.Ε. Α΄ ΑΘΗΝΑΣ"/>
    <n v="38.763888888888886"/>
    <s v="31 - 40"/>
  </r>
  <r>
    <n v="99911726"/>
    <s v="Α"/>
    <x v="1"/>
    <x v="1"/>
    <m/>
    <m/>
    <s v="Γ΄"/>
    <n v="1"/>
    <n v="19056"/>
    <d v="2018-10-01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d v="2018-10-01T00:00:00"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10-08T00:00:00"/>
    <x v="1"/>
    <s v="ΔΙΕΥΘΥΝΣΗ Π.Ε. ΠΕΙΡΑΙΑ"/>
    <n v="38.763888888888886"/>
    <s v="31 - 40"/>
  </r>
  <r>
    <n v="99911727"/>
    <s v="Θ"/>
    <x v="3"/>
    <x v="3"/>
    <m/>
    <m/>
    <s v="Γ΄"/>
    <n v="1"/>
    <s v="18461/13-09-2018"/>
    <d v="2018-09-13T00:00:00"/>
    <s v="ΛΑΡΙΣΑΣ (Δ.Ε.) 2018"/>
    <s v="ΔΙΕΥΘΥΝΣΗ Δ.Ε. ΛΑΡΙΣΑΣ"/>
    <s v="ΠΕΡΙΦΕΡΕΙΑΚΗ Δ/ΝΣΗ Α/ΘΜΙΑΣ ΚΑΙ Β/ΘΜΙΑΣ ΕΚΠ/ΣΗΣ ΘΕΣΣΑΛΙΑΣ"/>
    <n v="10"/>
    <s v="ΟΧΙ"/>
    <m/>
    <m/>
    <m/>
    <s v="ΟΧΙ"/>
    <m/>
    <d v="2018-09-13T00:00:00"/>
    <s v="Ιδιωτικά Σχολεία"/>
    <x v="0"/>
    <s v="3160003"/>
    <s v="INTERNATIONAL COMMUNITY SCHOOL OF LARISSA (ΓΥΜΝΑΣΙΟ)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0-10-08T00:00:00"/>
    <x v="0"/>
    <s v="ΔΙΕΥΘΥΝΣΗ Δ.Ε. ΛΑΡΙΣΑΣ"/>
    <n v="38.763888888888886"/>
    <s v="31 - 40"/>
  </r>
  <r>
    <n v="99911728"/>
    <s v="Α"/>
    <x v="5"/>
    <x v="5"/>
    <m/>
    <m/>
    <s v="Γ΄"/>
    <n v="1"/>
    <s v="20103/01-09-2017"/>
    <d v="2017-09-01T00:00:00"/>
    <s v="ΛΑΡΙΣΑΣ (Δ.Ε.) 2018"/>
    <s v="ΔΙΕΥΘΥΝΣΗ Δ.Ε. ΛΑΡΙΣΑΣ"/>
    <s v="ΠΕΡΙΦΕΡΕΙΑΚΗ Δ/ΝΣΗ Α/ΘΜΙΑΣ ΚΑΙ Β/ΘΜΙΑΣ ΕΚΠ/ΣΗΣ ΘΕΣΣΑΛΙΑΣ"/>
    <n v="8"/>
    <s v="ΟΧΙ"/>
    <s v="ΟΧΙ"/>
    <s v="ΟΧΙ"/>
    <s v="ΟΧΙ"/>
    <s v="ΟΧΙ"/>
    <m/>
    <d v="2017-09-01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0-09-30T00:00:00"/>
    <x v="0"/>
    <s v="ΔΙΕΥΘΥΝΣΗ Δ.Ε. ΛΑΡΙΣΑΣ"/>
    <n v="38.786111111111111"/>
    <s v="31 - 40"/>
  </r>
  <r>
    <n v="99911729"/>
    <s v="Θ"/>
    <x v="2"/>
    <x v="2"/>
    <m/>
    <m/>
    <s v="Α΄"/>
    <n v="4"/>
    <s v="100/19-11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d v="2018-09-01T00:00:00"/>
    <s v="Ιδιωτικά Σχολεία"/>
    <x v="2"/>
    <s v="7061027"/>
    <s v="ΙΔΙΩΤΙΚΟ ΝΗΠΙΑΓΩΓΕΙΟ ΡΙΟ ΠΑΤΡΩΝ - ΙΔ. ΝΗΠ. ΓΕΩΡΜΑ ΑΙΚΑΤΕΡΙΝΗ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9-23T00:00:00"/>
    <x v="1"/>
    <s v="ΔΙΕΥΘΥΝΣΗ Π.Ε. ΑΧΑΪΑΣ"/>
    <n v="38.805555555555557"/>
    <s v="31 - 40"/>
  </r>
  <r>
    <n v="99911730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9-14T00:00:00"/>
    <x v="0"/>
    <s v="ΔΙΕΥΘΥΝΣΗ Δ.Ε. Β΄ ΑΘΗΝΑΣ"/>
    <n v="38.830555555555556"/>
    <s v="31 - 40"/>
  </r>
  <r>
    <n v="99911731"/>
    <s v="Θ"/>
    <x v="0"/>
    <x v="0"/>
    <m/>
    <m/>
    <s v="Α΄"/>
    <n v="7"/>
    <s v="Φ.Ι.Α/5870/2-11-2011"/>
    <d v="2011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1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9-13T00:00:00"/>
    <x v="1"/>
    <s v="ΔΙΕΥΘΥΝΣΗ Π.Ε. ΑΝΑΤΟΛΙΚΗΣ ΑΤΤΙΚΗΣ"/>
    <n v="38.833333333333336"/>
    <s v="31 - 40"/>
  </r>
  <r>
    <n v="99911732"/>
    <s v="Θ"/>
    <x v="2"/>
    <x v="2"/>
    <m/>
    <m/>
    <s v="Γ΄"/>
    <n v="1"/>
    <s v="ΔΥ"/>
    <d v="2016-01-25T00:00:00"/>
    <s v="ΡΕΘΥΜΝΟΥ (Π.Ε.) 2018"/>
    <s v="ΔΙΕΥΘΥΝΣΗ Π.Ε. ΡΕΘΥΜΝΟΥ"/>
    <s v="ΠΕΡΙΦΕΡΕΙΑΚΗ Δ/ΝΣΗ Α/ΘΜΙΑΣ ΚΑΙ Β/ΘΜΙΑΣ ΕΚΠ/ΣΗΣ ΚΡΗΤΗΣ"/>
    <n v="25"/>
    <s v="ΟΧΙ"/>
    <s v="ΟΧΙ"/>
    <s v="ΟΧΙ"/>
    <s v="ΟΧΙ"/>
    <s v="ΟΧΙ"/>
    <m/>
    <d v="2016-01-25T00:00:00"/>
    <s v="Ιδιωτικά Σχολεία"/>
    <x v="2"/>
    <s v="7411005"/>
    <s v="ΙΔΙΩΤΙΚΟ ΣΥΣΤΕΓΑΖΟΜΕΝΟ ΝΗΠΙΑΓΩΓΕΙΟ - ΨΥΛΛΑΚΗ ΑΝΝΑ"/>
    <s v="ΡΕΘΥΜΝΟΥ (Π.Ε.) 2018"/>
    <x v="62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0-09-13T00:00:00"/>
    <x v="1"/>
    <s v="ΔΙΕΥΘΥΝΣΗ Π.Ε. ΡΕΘΥΜΝΟΥ"/>
    <n v="38.833333333333336"/>
    <s v="31 - 40"/>
  </r>
  <r>
    <n v="99911733"/>
    <s v="Α"/>
    <x v="15"/>
    <x v="15"/>
    <m/>
    <m/>
    <s v="Γ΄"/>
    <n v="1"/>
    <s v="ΑΠ2027268"/>
    <d v="2018-09-27T00:00:00"/>
    <s v="Α΄ ΜΑΓΝΗΣΙΑΣ (Δ.Ε.) 2018"/>
    <s v="ΔΙΕΥΘΥΝΣΗ Δ.Ε. ΜΑΓΝΗΣΙΑΣ"/>
    <s v="ΠΕΡΙΦΕΡΕΙΑΚΗ Δ/ΝΣΗ Α/ΘΜΙΑΣ ΚΑΙ Β/ΘΜΙΑΣ ΕΚΠ/ΣΗΣ ΘΕΣΣΑΛΙΑΣ"/>
    <n v="19"/>
    <s v="ΟΧΙ"/>
    <m/>
    <m/>
    <m/>
    <s v="ΟΧΙ"/>
    <m/>
    <d v="2018-09-27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0-09-10T00:00:00"/>
    <x v="0"/>
    <s v="ΔΙΕΥΘΥΝΣΗ Δ.Ε. ΜΑΓΝΗΣΙΑΣ"/>
    <n v="38.841666666666669"/>
    <s v="31 - 40"/>
  </r>
  <r>
    <n v="99911734"/>
    <s v="Θ"/>
    <x v="5"/>
    <x v="5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0-09-07T00:00:00"/>
    <x v="1"/>
    <s v="ΔΙΕΥΘΥΝΣΗ Π.Ε. ΗΡΑΚΛΕΙΟΥ"/>
    <n v="38.85"/>
    <s v="31 - 40"/>
  </r>
  <r>
    <n v="99911735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2"/>
    <s v="7521011"/>
    <s v="ΙΔΙΩΤΙΚΟ ΝΗΠΙΑΓΩΓΕΙ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9-06T00:00:00"/>
    <x v="1"/>
    <s v="ΔΙΕΥΘΥΝΣΗ Π.Ε. ΑΝΑΤΟΛΙΚΗΣ ΑΤΤΙΚΗΣ"/>
    <n v="38.852777777777774"/>
    <s v="31 - 40"/>
  </r>
  <r>
    <n v="99911736"/>
    <s v="Θ"/>
    <x v="0"/>
    <x v="0"/>
    <m/>
    <m/>
    <s v="Γ΄"/>
    <n v="1"/>
    <s v="ΨΒΟΩ4653ΠΣ-ΕΟΒ"/>
    <d v="2018-09-01T00:00:00"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08-27T00:00:00"/>
    <x v="1"/>
    <s v="ΔΙΕΥΘΥΝΣΗ Π.Ε. Β΄ ΑΘΗΝΑΣ"/>
    <n v="38.880555555555553"/>
    <s v="31 - 40"/>
  </r>
  <r>
    <n v="99911737"/>
    <s v="Α"/>
    <x v="8"/>
    <x v="8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0-08-27T00:00:00"/>
    <x v="1"/>
    <s v="ΔΙΕΥΘΥΝΣΗ Π.Ε. ΛΑΡΙΣΑΣ"/>
    <n v="38.880555555555553"/>
    <s v="31 - 40"/>
  </r>
  <r>
    <n v="99911738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26T00:00:00"/>
    <x v="0"/>
    <s v="ΔΙΕΥΘΥΝΣΗ Δ.Ε. Β΄ ΑΘΗΝΑΣ"/>
    <n v="38.883333333333333"/>
    <s v="31 - 40"/>
  </r>
  <r>
    <n v="99911739"/>
    <s v="Θ"/>
    <x v="0"/>
    <x v="0"/>
    <m/>
    <m/>
    <s v="Β΄"/>
    <n v="5"/>
    <s v="9691/29-10-2015"/>
    <d v="2018-09-01T00:00:00"/>
    <s v="ΑΧΑΪΑΣ (Π.Ε.) 2018"/>
    <s v="ΔΙΕΥΘΥΝΣΗ Π.Ε. ΑΧΑΪΑΣ"/>
    <s v="ΠΕΡΙΦΕΡΕΙΑΚΗ Δ/ΝΣΗ Α/ΘΜΙΑΣ ΚΑΙ Β/ΘΜΙΑΣ ΕΚΠ/ΣΗΣ ΔΥΤΙΚΗΣ ΕΛΛΑΔΑΣ"/>
    <n v="14"/>
    <s v="ΟΧΙ"/>
    <s v="ΟΧΙ"/>
    <s v="ΟΧΙ"/>
    <s v="ΟΧΙ"/>
    <s v="ΟΧΙ"/>
    <m/>
    <d v="2018-09-01T00:00:00"/>
    <s v="Ιδιωτικά Σχολεία"/>
    <x v="1"/>
    <s v="7061004"/>
    <s v="ΙΔΙΩΤΙΚΟ ΔΗΜΟΤΙΚΟ ΠΑΤΡΑΣ ΕΚΠΑΙΔΕΥΤΗΡΙΑ ΑΝΑΓΕΝΝΗΣΗ ΙΚΕ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0-08-21T00:00:00"/>
    <x v="1"/>
    <s v="ΔΙΕΥΘΥΝΣΗ Π.Ε. ΑΧΑΪΑΣ"/>
    <n v="38.897222222222226"/>
    <s v="31 - 40"/>
  </r>
  <r>
    <n v="99911740"/>
    <s v="Α"/>
    <x v="13"/>
    <x v="13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8-21T00:00:00"/>
    <x v="1"/>
    <s v="ΔΙΕΥΘΥΝΣΗ Π.Ε. ΑΝΑΤ. ΘΕΣ/ΝΙΚΗΣ"/>
    <n v="38.897222222222226"/>
    <s v="31 - 40"/>
  </r>
  <r>
    <n v="99911741"/>
    <s v="Θ"/>
    <x v="9"/>
    <x v="9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0-08-18T00:00:00"/>
    <x v="0"/>
    <s v="ΔΙΕΥΘΥΝΣΗ Δ.Ε. ΔΩΔΕΚΑΝΗΣΟΥ"/>
    <n v="38.905555555555559"/>
    <s v="31 - 40"/>
  </r>
  <r>
    <n v="99911742"/>
    <s v="Θ"/>
    <x v="0"/>
    <x v="0"/>
    <m/>
    <m/>
    <s v="Γ΄"/>
    <n v="1"/>
    <d v="2008-10-0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8-16T00:00:00"/>
    <x v="1"/>
    <s v="ΔΙΕΥΘΥΝΣΗ Π.Ε. ΑΝΑΤ. ΘΕΣ/ΝΙΚΗΣ"/>
    <n v="38.911111111111111"/>
    <s v="31 - 40"/>
  </r>
  <r>
    <n v="99911743"/>
    <s v="Α"/>
    <x v="4"/>
    <x v="4"/>
    <m/>
    <m/>
    <s v="Γ΄"/>
    <n v="1"/>
    <s v="18279/33"/>
    <d v="2018-09-01T00:00:00"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m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14T00:00:00"/>
    <x v="0"/>
    <s v="ΔΙΕΥΘΥΝΣΗ Δ.Ε. Γ΄ ΑΘΗΝΑΣ"/>
    <n v="38.916666666666664"/>
    <s v="31 - 40"/>
  </r>
  <r>
    <n v="99911744"/>
    <s v="Θ"/>
    <x v="12"/>
    <x v="12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13T00:00:00"/>
    <x v="1"/>
    <s v="ΔΙΕΥΘΥΝΣΗ Π.Ε. Β΄ ΑΘΗΝΑΣ"/>
    <n v="38.919444444444444"/>
    <s v="31 - 40"/>
  </r>
  <r>
    <n v="99911745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12T00:00:00"/>
    <x v="1"/>
    <s v="ΔΙΕΥΘΥΝΣΗ Π.Ε. Β΄ ΑΘΗΝΑΣ"/>
    <n v="38.922222222222224"/>
    <s v="31 - 40"/>
  </r>
  <r>
    <n v="99911746"/>
    <s v="Θ"/>
    <x v="0"/>
    <x v="0"/>
    <m/>
    <m/>
    <s v="Γ΄"/>
    <n v="1"/>
    <s v="Φ.17/11454/16-11-2015"/>
    <d v="2018-09-01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8-09-01T00:00:00"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0-08-12T00:00:00"/>
    <x v="1"/>
    <s v="ΔΙΕΥΘΥΝΣΗ Π.Ε. ΙΩΑΝΝΙΝΩΝ"/>
    <n v="38.922222222222224"/>
    <s v="31 - 40"/>
  </r>
  <r>
    <n v="99911747"/>
    <s v="Α"/>
    <x v="7"/>
    <x v="7"/>
    <m/>
    <m/>
    <s v="Α΄"/>
    <n v="5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8-11T00:00:00"/>
    <x v="1"/>
    <s v="ΔΙΕΥΘΥΝΣΗ Π.Ε. ΑΝΑΤΟΛΙΚΗΣ ΑΤΤΙΚΗΣ"/>
    <n v="38.924999999999997"/>
    <s v="31 - 40"/>
  </r>
  <r>
    <n v="99911748"/>
    <s v="Α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08T00:00:00"/>
    <x v="0"/>
    <s v="ΔΙΕΥΘΥΝΣΗ Δ.Ε. Β΄ ΑΘΗΝΑΣ"/>
    <n v="38.93333333333333"/>
    <s v="31 - 40"/>
  </r>
  <r>
    <n v="99911749"/>
    <s v="Θ"/>
    <x v="1"/>
    <x v="1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8-05T00:00:00"/>
    <x v="1"/>
    <s v="ΔΙΕΥΘΥΝΣΗ Π.Ε. Β΄ ΑΘΗΝΑΣ"/>
    <n v="38.94166666666667"/>
    <s v="31 - 40"/>
  </r>
  <r>
    <n v="9991175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04T00:00:00"/>
    <x v="1"/>
    <s v="ΔΙΕΥΘΥΝΣΗ Π.Ε. Β΄ ΑΘΗΝΑΣ"/>
    <n v="38.944444444444443"/>
    <s v="31 - 40"/>
  </r>
  <r>
    <n v="99911751"/>
    <s v="Θ"/>
    <x v="4"/>
    <x v="4"/>
    <m/>
    <m/>
    <s v="Γ΄"/>
    <n v="1"/>
    <s v="Φ. 17.2_ A_/12078/6/02-10-2018"/>
    <d v="2018-09-01T00:00:00"/>
    <s v="ΑΧΑΪΑΣ (Δ.Ε.) 2018"/>
    <s v="ΔΙΕΥΘΥΝΣΗ Δ.Ε. ΑΧΑΪΑΣ"/>
    <s v="ΠΕΡΙΦΕΡΕΙΑΚΗ Δ/ΝΣΗ Α/ΘΜΙΑΣ ΚΑΙ Β/ΘΜΙΑΣ ΕΚΠ/ΣΗΣ ΔΥΤΙΚΗΣ ΕΛΛΑΔΑΣ"/>
    <n v="17"/>
    <s v="ΟΧΙ"/>
    <s v="ΟΧΙ"/>
    <s v="ΟΧΙ"/>
    <m/>
    <s v="ΟΧΙ"/>
    <m/>
    <d v="2018-09-01T00:00:00"/>
    <s v="Ιδιωτικά Σχολεία"/>
    <x v="0"/>
    <s v="0645053"/>
    <s v="ΙΔΙΩΤΙΚΟ ΓΥΜΝΑΣΙΟ &quot;ΑΝΑΓΕΝΝΗΣΗ IKE&quot;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8-03T00:00:00"/>
    <x v="0"/>
    <s v="ΔΙΕΥΘΥΝΣΗ Δ.Ε. ΑΧΑΪΑΣ"/>
    <n v="38.947222222222223"/>
    <s v="31 - 40"/>
  </r>
  <r>
    <n v="99911752"/>
    <s v="Θ"/>
    <x v="14"/>
    <x v="14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8-02T00:00:00"/>
    <x v="1"/>
    <s v="ΔΙΕΥΘΥΝΣΗ Π.Ε. Β΄ ΑΘΗΝΑΣ"/>
    <n v="38.950000000000003"/>
    <s v="31 - 40"/>
  </r>
  <r>
    <n v="99911753"/>
    <s v="Θ"/>
    <x v="2"/>
    <x v="2"/>
    <m/>
    <m/>
    <s v="Γ΄"/>
    <n v="1"/>
    <s v="Φ.17/6357/13-09-2018"/>
    <d v="2018-09-04T00:00:00"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d v="2018-09-04T00:00:00"/>
    <s v="Ιδιωτικά Σχολεία"/>
    <x v="2"/>
    <s v="7201025"/>
    <s v="Ιδιωτικό Συστεγαζόμενο Νηπιαγωγείο - ΜΥΣΤΙΚΟ ΚΛΕΙΔΙ"/>
    <s v="ΙΩΑΝΝΙΝΩΝ (Π.Ε.) 2018"/>
    <x v="34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0-08-02T00:00:00"/>
    <x v="1"/>
    <s v="ΔΙΕΥΘΥΝΣΗ Π.Ε. ΙΩΑΝΝΙΝΩΝ"/>
    <n v="38.950000000000003"/>
    <s v="31 - 40"/>
  </r>
  <r>
    <n v="99911754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7-30T00:00:00"/>
    <x v="0"/>
    <s v="ΔΙΕΥΘΥΝΣΗ Δ.Ε. Δ΄ ΑΘΗΝΑΣ"/>
    <n v="38.958333333333336"/>
    <s v="31 - 40"/>
  </r>
  <r>
    <n v="99911755"/>
    <s v="Θ"/>
    <x v="15"/>
    <x v="1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7-25T00:00:00"/>
    <x v="0"/>
    <s v="ΔΙΕΥΘΥΝΣΗ Δ.Ε. Δ΄ ΑΘΗΝΑΣ"/>
    <n v="38.972222222222221"/>
    <s v="31 - 40"/>
  </r>
  <r>
    <n v="99911756"/>
    <s v="Θ"/>
    <x v="2"/>
    <x v="2"/>
    <m/>
    <m/>
    <s v="Γ΄"/>
    <n v="1"/>
    <s v="995/28-03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15"/>
    <s v="ΙΔΙΩΤΙΚΟ ΝΗΠΙΑΓΩΓΕΙΟ ΘΕΡΜΗ - Π.ΔΙΒΑΝΕ-Α ΜΠΟΥΡΟΥΤΖΟΠΟΥΛΟΥ Ο.Ε.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7-25T00:00:00"/>
    <x v="1"/>
    <s v="ΔΙΕΥΘΥΝΣΗ Π.Ε. ΑΝΑΤ. ΘΕΣ/ΝΙΚΗΣ"/>
    <n v="38.972222222222221"/>
    <s v="31 - 40"/>
  </r>
  <r>
    <n v="99911757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m/>
    <s v="ΟΧΙ"/>
    <m/>
    <s v="ΟΧΙ"/>
    <m/>
    <m/>
    <s v="Ιδιωτικά Σχολεία"/>
    <x v="1"/>
    <s v="7521000"/>
    <s v="ΙΔΙΩΤΙΚΟ ΔΗΜΟΤΙΚΟ ΒΑΡΥΜΠΟΜΠΗ - ΜΟΝΤΕΣΣΟΡΙΑΝΑ ΣΧΟΛΕΙΑ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7-21T00:00:00"/>
    <x v="1"/>
    <s v="ΔΙΕΥΘΥΝΣΗ Π.Ε. ΑΝΑΤΟΛΙΚΗΣ ΑΤΤΙΚΗΣ"/>
    <n v="38.983333333333334"/>
    <s v="31 - 40"/>
  </r>
  <r>
    <n v="99911758"/>
    <s v="Θ"/>
    <x v="1"/>
    <x v="1"/>
    <m/>
    <m/>
    <s v="Α΄"/>
    <n v="6"/>
    <s v="5599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7-14T00:00:00"/>
    <x v="1"/>
    <s v="ΔΙΕΥΘΥΝΣΗ Π.Ε. ΑΝΑΤΟΛΙΚΗΣ ΑΤΤΙΚΗΣ"/>
    <n v="39.00277777777778"/>
    <s v="31 - 40"/>
  </r>
  <r>
    <n v="99911759"/>
    <s v="Α"/>
    <x v="9"/>
    <x v="9"/>
    <m/>
    <m/>
    <s v="Γ΄"/>
    <n v="1"/>
    <n v="22626"/>
    <d v="2018-09-14T00:00:00"/>
    <s v="Α΄ ΠΕΙΡΑΙΑ (Δ.Ε.) 2018"/>
    <s v="ΔΙΕΥΘΥΝΣΗ Δ.Ε. ΠΕΙΡΑΙΑ"/>
    <s v="ΠΕΡΙΦΕΡΕΙΑΚΗ Δ/ΝΣΗ Α/ΘΜΙΑΣ ΚΑΙ Β/ΘΜΙΑΣ ΕΚΠ/ΣΗΣ ΑΤΤΙΚΗΣ"/>
    <n v="6"/>
    <s v="ΟΧΙ"/>
    <m/>
    <m/>
    <m/>
    <s v="ΟΧΙ"/>
    <m/>
    <d v="2018-09-14T00:00:00"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07-10T00:00:00"/>
    <x v="0"/>
    <s v="ΔΙΕΥΘΥΝΣΗ Δ.Ε. ΠΕΙΡΑΙΑ"/>
    <n v="39.013888888888886"/>
    <s v="31 - 40"/>
  </r>
  <r>
    <n v="99911760"/>
    <s v="Θ"/>
    <x v="4"/>
    <x v="4"/>
    <s v="ΠΕ87.04"/>
    <s v="ΙΑΤΡΙΚΩΝ ΕΡΓΑΣΤΗΡΙΩΝ"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7-08T00:00:00"/>
    <x v="0"/>
    <s v="ΔΙΕΥΘΥΝΣΗ Δ.Ε. ΑΝΑΤ. ΘΕΣ/ΝΙΚΗΣ"/>
    <n v="39.019444444444446"/>
    <s v="31 - 40"/>
  </r>
  <r>
    <n v="99911761"/>
    <s v="Θ"/>
    <x v="3"/>
    <x v="3"/>
    <m/>
    <m/>
    <s v="Α΄"/>
    <n v="1"/>
    <s v="12821/17-09-2012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7-05T00:00:00"/>
    <x v="0"/>
    <s v="ΔΙΕΥΘΥΝΣΗ Δ.Ε. ΔΥΤ. ΘΕΣ/ΝΙΚΗΣ"/>
    <n v="39.027777777777779"/>
    <s v="31 - 40"/>
  </r>
  <r>
    <n v="99911762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7-04T00:00:00"/>
    <x v="0"/>
    <s v="ΔΙΕΥΘΥΝΣΗ Δ.Ε. Β΄ ΑΘΗΝΑΣ"/>
    <n v="39.030555555555559"/>
    <s v="31 - 40"/>
  </r>
  <r>
    <n v="99911763"/>
    <s v="Θ"/>
    <x v="5"/>
    <x v="5"/>
    <m/>
    <m/>
    <s v="Α΄"/>
    <n v="1"/>
    <s v="ΩΒ689-ΟΞΣ"/>
    <d v="2014-12-08T00:00:00"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d v="2014-12-08T00:00:00"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7-03T00:00:00"/>
    <x v="0"/>
    <s v="ΔΙΕΥΘΥΝΣΗ Δ.Ε. ΠΕΙΡΑΙΑ"/>
    <n v="39.033333333333331"/>
    <s v="31 - 40"/>
  </r>
  <r>
    <n v="99911764"/>
    <s v="Θ"/>
    <x v="24"/>
    <x v="24"/>
    <m/>
    <m/>
    <s v="Γ΄"/>
    <n v="1"/>
    <s v="23851/3-9-2018"/>
    <d v="2018-09-03T00:00:00"/>
    <s v="ΛΑΡΙΣΑΣ (Δ.Ε.) 2018"/>
    <s v="ΔΙΕΥΘΥΝΣΗ Δ.Ε. ΛΑΡΙΣΑΣ"/>
    <s v="ΠΕΡΙΦΕΡΕΙΑΚΗ Δ/ΝΣΗ Α/ΘΜΙΑΣ ΚΑΙ Β/ΘΜΙΑΣ ΕΚΠ/ΣΗΣ ΘΕΣΣΑΛΙΑΣ"/>
    <n v="7"/>
    <s v="ΟΧΙ"/>
    <m/>
    <m/>
    <m/>
    <s v="ΟΧΙ"/>
    <m/>
    <d v="2018-09-03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80-07-01T00:00:00"/>
    <x v="0"/>
    <s v="ΔΙΕΥΘΥΝΣΗ Δ.Ε. ΛΑΡΙΣΑΣ"/>
    <n v="39.038888888888891"/>
    <s v="31 - 40"/>
  </r>
  <r>
    <n v="99911765"/>
    <s v="Θ"/>
    <x v="7"/>
    <x v="7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06-30T00:00:00"/>
    <x v="0"/>
    <s v="ΔΙΕΥΘΥΝΣΗ Δ.Ε. Β΄ ΑΘΗΝΑΣ"/>
    <n v="39.041666666666664"/>
    <s v="31 - 40"/>
  </r>
  <r>
    <n v="99911766"/>
    <s v="Θ"/>
    <x v="2"/>
    <x v="2"/>
    <m/>
    <m/>
    <s v="Γ΄"/>
    <n v="1"/>
    <s v="3558/16-9-20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2"/>
    <s v="7052041"/>
    <s v="ΙΔΙΩΤΙΚΟ ΝΗΠΙΑΓΩΓΕΙ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6-28T00:00:00"/>
    <x v="1"/>
    <s v="ΔΙΕΥΘΥΝΣΗ Π.Ε. Β΄ ΑΘΗΝΑΣ"/>
    <n v="39.047222222222224"/>
    <s v="31 - 40"/>
  </r>
  <r>
    <n v="99911767"/>
    <s v="Α"/>
    <x v="8"/>
    <x v="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6-25T00:00:00"/>
    <x v="0"/>
    <s v="ΔΙΕΥΘΥΝΣΗ Δ.Ε. ΑΝΑΤ. ΘΕΣ/ΝΙΚΗΣ"/>
    <n v="39.055555555555557"/>
    <s v="31 - 40"/>
  </r>
  <r>
    <n v="99911768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80-06-25T00:00:00"/>
    <x v="1"/>
    <s v="ΔΙΕΥΘΥΝΣΗ Π.Ε. ΑΝΑΤ. ΘΕΣ/ΝΙΚΗΣ"/>
    <n v="39.055555555555557"/>
    <s v="31 - 40"/>
  </r>
  <r>
    <n v="99911769"/>
    <s v="Θ"/>
    <x v="18"/>
    <x v="1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6-21T00:00:00"/>
    <x v="0"/>
    <s v="ΔΙΕΥΘΥΝΣΗ Δ.Ε. Β΄ ΑΘΗΝΑΣ"/>
    <n v="39.06666666666667"/>
    <s v="31 - 40"/>
  </r>
  <r>
    <n v="99911770"/>
    <s v="Α"/>
    <x v="4"/>
    <x v="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6-17T00:00:00"/>
    <x v="0"/>
    <s v="ΔΙΕΥΘΥΝΣΗ Δ.Ε. ΑΝΑΤΟΛΙΚΗΣ ΑΤΤΙΚΗΣ"/>
    <n v="39.077777777777776"/>
    <s v="31 - 40"/>
  </r>
  <r>
    <n v="99911771"/>
    <s v="Θ"/>
    <x v="11"/>
    <x v="11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06-13T00:00:00"/>
    <x v="0"/>
    <s v="ΔΙΕΥΘΥΝΣΗ Δ.Ε. Β΄ ΑΘΗΝΑΣ"/>
    <n v="39.088888888888889"/>
    <s v="31 - 40"/>
  </r>
  <r>
    <n v="99911772"/>
    <s v="Θ"/>
    <x v="3"/>
    <x v="3"/>
    <m/>
    <m/>
    <s v="Γ΄"/>
    <n v="1"/>
    <s v="22397/15"/>
    <d v="2018-09-01T00:00:00"/>
    <s v="Γ΄ ΑΘΗΝΑΣ (Δ.Ε.) 2018"/>
    <s v="ΔΙΕΥΘΥΝΣΗ Δ.Ε. Γ΄ ΑΘΗΝΑΣ"/>
    <s v="ΠΕΡΙΦΕΡΕΙΑΚΗ Δ/ΝΣΗ Α/ΘΜΙΑΣ ΚΑΙ Β/ΘΜΙΑΣ ΕΚΠ/ΣΗΣ ΑΤΤΙΚΗΣ"/>
    <n v="15"/>
    <s v="ΟΧΙ"/>
    <m/>
    <m/>
    <m/>
    <s v="ΟΧΙ"/>
    <m/>
    <d v="2018-09-01T00:00:00"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6-10T00:00:00"/>
    <x v="0"/>
    <s v="ΔΙΕΥΘΥΝΣΗ Δ.Ε. Γ΄ ΑΘΗΝΑΣ"/>
    <n v="39.097222222222221"/>
    <s v="31 - 40"/>
  </r>
  <r>
    <n v="99911773"/>
    <s v="Θ"/>
    <x v="8"/>
    <x v="8"/>
    <m/>
    <m/>
    <s v="Γ΄"/>
    <n v="1"/>
    <s v="3944/02-12-201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4"/>
    <s v="ΟΧΙ"/>
    <m/>
    <m/>
    <m/>
    <s v="ΟΧΙ"/>
    <m/>
    <d v="2018-09-01T00:00:00"/>
    <s v="Ιδιωτικά Σχολεία"/>
    <x v="2"/>
    <s v="7191001"/>
    <s v="ΙΔΙΩΤΙΚΟ ΝΗΠΙΑΓΩΓΕΙΟ ΠΥΛΑΙΑ - ΑΓΑΠΗ ΚΑΙ ΑΓΩΓΗ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6-03T00:00:00"/>
    <x v="1"/>
    <s v="ΔΙΕΥΘΥΝΣΗ Π.Ε. ΑΝΑΤ. ΘΕΣ/ΝΙΚΗΣ"/>
    <n v="39.116666666666667"/>
    <s v="31 - 40"/>
  </r>
  <r>
    <n v="99911774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6-01T00:00:00"/>
    <x v="0"/>
    <s v="ΔΙΕΥΘΥΝΣΗ Δ.Ε. ΑΝΑΤΟΛΙΚΗΣ ΑΤΤΙΚΗΣ"/>
    <n v="39.12222222222222"/>
    <s v="31 - 40"/>
  </r>
  <r>
    <n v="99911775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31T00:00:00"/>
    <x v="0"/>
    <s v="ΔΙΕΥΘΥΝΣΗ Δ.Ε. Β΄ ΑΘΗΝΑΣ"/>
    <n v="39.125"/>
    <s v="31 - 40"/>
  </r>
  <r>
    <n v="99911776"/>
    <s v="Θ"/>
    <x v="2"/>
    <x v="2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47"/>
    <s v="ΕΚΠΑΙΔΕΥΤΗΡΙΑ Γ. ΖΩΗ - ΙΔΙΩΤΙΚΟ ΝΗΠΙΑΓΩΓ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31T00:00:00"/>
    <x v="1"/>
    <s v="ΔΙΕΥΘΥΝΣΗ Π.Ε. Δ΄ ΑΘΗΝΑΣ"/>
    <n v="39.125"/>
    <s v="31 - 40"/>
  </r>
  <r>
    <n v="99911777"/>
    <s v="Θ"/>
    <x v="1"/>
    <x v="1"/>
    <m/>
    <m/>
    <s v="Α΄"/>
    <n v="9"/>
    <m/>
    <m/>
    <s v="Α΄ ΜΑΓΝΗΣΙΑΣ (Π.Ε.) 2018"/>
    <s v="ΔΙΕΥΘΥΝΣΗ Π.Ε. ΜΑΓΝΗΣΙΑΣ"/>
    <s v="ΠΕΡΙΦΕΡΕΙΑΚΗ Δ/ΝΣΗ Α/ΘΜΙΑΣ ΚΑΙ Β/ΘΜΙΑΣ ΕΚΠ/ΣΗΣ ΘΕΣΣΑΛΙΑΣ"/>
    <n v="22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0-05-31T00:00:00"/>
    <x v="1"/>
    <s v="ΔΙΕΥΘΥΝΣΗ Π.Ε. ΜΑΓΝΗΣΙΑΣ"/>
    <n v="39.125"/>
    <s v="31 - 40"/>
  </r>
  <r>
    <n v="99911778"/>
    <s v="Θ"/>
    <x v="3"/>
    <x v="3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5-31T00:00:00"/>
    <x v="0"/>
    <s v="ΔΙΕΥΘΥΝΣΗ Δ.Ε. ΑΝΑΤ. ΘΕΣ/ΝΙΚΗΣ"/>
    <n v="39.125"/>
    <s v="31 - 40"/>
  </r>
  <r>
    <n v="99911779"/>
    <s v="Θ"/>
    <x v="3"/>
    <x v="3"/>
    <m/>
    <m/>
    <s v="Γ΄"/>
    <n v="3"/>
    <n v="14176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Αναπληρωτής Ιδιωτικής Εκπαίδευσης (ν. 682/1977 άρ.35, παρ.4)"/>
    <s v="Τοποθέτηση σε Ιδιωτική Εκπαίδευση"/>
    <d v="1980-05-31T00:00:00"/>
    <x v="0"/>
    <s v="ΔΙΕΥΘΥΝΣΗ Δ.Ε. ΑΝΑΤ. ΘΕΣ/ΝΙΚΗΣ"/>
    <n v="39.125"/>
    <s v="31 - 40"/>
  </r>
  <r>
    <n v="99911780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28T00:00:00"/>
    <x v="0"/>
    <s v="ΔΙΕΥΘΥΝΣΗ Δ.Ε. Γ΄ ΑΘΗΝΑΣ"/>
    <n v="39.133333333333333"/>
    <s v="31 - 40"/>
  </r>
  <r>
    <n v="99911781"/>
    <s v="Α"/>
    <x v="8"/>
    <x v="8"/>
    <m/>
    <m/>
    <s v="Γ΄"/>
    <n v="1"/>
    <n v="8702"/>
    <d v="2017-08-31T00:00:00"/>
    <s v="ΠΙΕΡΙΑΣ (Δ.Ε.) 2018"/>
    <s v="ΔΙΕΥΘΥΝΣΗ Δ.Ε. ΠΙΕΡΙΑ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7-09-01T00:00:00"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5-22T00:00:00"/>
    <x v="0"/>
    <s v="ΔΙΕΥΘΥΝΣΗ Δ.Ε. ΠΙΕΡΙΑΣ"/>
    <n v="39.15"/>
    <s v="31 - 40"/>
  </r>
  <r>
    <n v="99911782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20T00:00:00"/>
    <x v="0"/>
    <s v="ΔΙΕΥΘΥΝΣΗ Δ.Ε. Β΄ ΑΘΗΝΑΣ"/>
    <n v="39.155555555555559"/>
    <s v="31 - 40"/>
  </r>
  <r>
    <n v="99911783"/>
    <s v="Θ"/>
    <x v="8"/>
    <x v="8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19T00:00:00"/>
    <x v="1"/>
    <s v="ΔΙΕΥΘΥΝΣΗ Π.Ε. Δ΄ ΑΘΗΝΑΣ"/>
    <n v="39.158333333333331"/>
    <s v="31 - 40"/>
  </r>
  <r>
    <n v="9991178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11T00:00:00"/>
    <x v="0"/>
    <s v="ΔΙΕΥΘΥΝΣΗ Δ.Ε. Β΄ ΑΘΗΝΑΣ"/>
    <n v="39.180555555555557"/>
    <s v="31 - 40"/>
  </r>
  <r>
    <n v="99911785"/>
    <s v="Θ"/>
    <x v="15"/>
    <x v="15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2"/>
    <s v="ΟΧΙ"/>
    <s v="ΟΧΙ"/>
    <s v="ΟΧΙ"/>
    <s v="ΟΧΙ"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0-05-09T00:00:00"/>
    <x v="0"/>
    <s v="ΔΙΕΥΘΥΝΣΗ Δ.Ε. ΜΕΣΣΗΝΙΑΣ"/>
    <n v="39.18611111111111"/>
    <s v="31 - 40"/>
  </r>
  <r>
    <n v="99911786"/>
    <s v="Θ"/>
    <x v="14"/>
    <x v="14"/>
    <m/>
    <m/>
    <s v="Α΄"/>
    <n v="7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5-08T00:00:00"/>
    <x v="1"/>
    <s v="ΔΙΕΥΘΥΝΣΗ Π.Ε. ΑΝΑΤΟΛΙΚΗΣ ΑΤΤΙΚΗΣ"/>
    <n v="39.18888888888889"/>
    <s v="31 - 40"/>
  </r>
  <r>
    <n v="99911787"/>
    <s v="Α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05T00:00:00"/>
    <x v="1"/>
    <s v="ΔΙΕΥΘΥΝΣΗ Π.Ε. ΑΝΑΤΟΛΙΚΗΣ ΑΤΤΙΚΗΣ"/>
    <n v="39.197222222222223"/>
    <s v="31 - 40"/>
  </r>
  <r>
    <n v="99911788"/>
    <s v="Θ"/>
    <x v="3"/>
    <x v="3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d v="2018-09-12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5-01T00:00:00"/>
    <x v="0"/>
    <s v="ΔΙΕΥΘΥΝΣΗ Δ.Ε. Δ΄ ΑΘΗΝΑΣ"/>
    <n v="39.208333333333336"/>
    <s v="31 - 40"/>
  </r>
  <r>
    <n v="99911789"/>
    <s v="Θ"/>
    <x v="1"/>
    <x v="1"/>
    <m/>
    <m/>
    <s v="Γ΄"/>
    <n v="1"/>
    <s v="Φ.17/4647/04-07-2018"/>
    <d v="2017-05-02T00:00:00"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d v="2017-05-02T00:00:00"/>
    <s v="Ιδιωτικά Σχολεία"/>
    <x v="1"/>
    <s v="7201008"/>
    <s v="ΙΔΙΩΤΙΚΟ ΔΗΜΟΤΙΚΟ ΙΩΑΝΝΙΝΑ - ΕΚΠΑΙΔΕΥΤΗΡΙΑ ΓΕΝΕΣΙ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80-05-01T00:00:00"/>
    <x v="1"/>
    <s v="ΔΙΕΥΘΥΝΣΗ Π.Ε. ΙΩΑΝΝΙΝΩΝ"/>
    <n v="39.208333333333336"/>
    <s v="31 - 40"/>
  </r>
  <r>
    <n v="99911790"/>
    <s v="Θ"/>
    <x v="0"/>
    <x v="0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5-01T00:00:00"/>
    <x v="1"/>
    <s v="ΔΙΕΥΘΥΝΣΗ Π.Ε. ΑΝΑΤ. ΘΕΣ/ΝΙΚΗΣ"/>
    <n v="39.208333333333336"/>
    <s v="31 - 40"/>
  </r>
  <r>
    <n v="99911791"/>
    <s v="Θ"/>
    <x v="1"/>
    <x v="1"/>
    <m/>
    <m/>
    <s v="Α΄"/>
    <n v="7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26T00:00:00"/>
    <x v="1"/>
    <s v="ΔΙΕΥΘΥΝΣΗ Π.Ε. Δ΄ ΑΘΗΝΑΣ"/>
    <n v="39.222222222222221"/>
    <s v="31 - 40"/>
  </r>
  <r>
    <n v="99911792"/>
    <s v="Α"/>
    <x v="8"/>
    <x v="8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m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4-24T00:00:00"/>
    <x v="1"/>
    <s v="ΔΙΕΥΘΥΝΣΗ Π.Ε. ΑΙΤΩΛΟΑΚΑΡΝΑΝΙΑΣ"/>
    <n v="39.227777777777774"/>
    <s v="31 - 40"/>
  </r>
  <r>
    <n v="99911793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23T00:00:00"/>
    <x v="0"/>
    <s v="ΔΙΕΥΘΥΝΣΗ Δ.Ε. Β΄ ΑΘΗΝΑΣ"/>
    <n v="39.230555555555554"/>
    <s v="31 - 40"/>
  </r>
  <r>
    <n v="99911794"/>
    <s v="Θ"/>
    <x v="7"/>
    <x v="7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22T00:00:00"/>
    <x v="0"/>
    <s v="ΔΙΕΥΘΥΝΣΗ Δ.Ε. Β΄ ΑΘΗΝΑΣ"/>
    <n v="39.233333333333334"/>
    <s v="31 - 40"/>
  </r>
  <r>
    <n v="99911795"/>
    <s v="Α"/>
    <x v="5"/>
    <x v="5"/>
    <m/>
    <m/>
    <s v="Γ΄"/>
    <n v="1"/>
    <s v="63/06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22T00:00:00"/>
    <x v="0"/>
    <s v="ΔΙΕΥΘΥΝΣΗ Δ.Ε. Δ΄ ΑΘΗΝΑΣ"/>
    <n v="39.233333333333334"/>
    <s v="31 - 40"/>
  </r>
  <r>
    <n v="99911796"/>
    <s v="Θ"/>
    <x v="6"/>
    <x v="6"/>
    <m/>
    <m/>
    <s v="Γ΄"/>
    <n v="1"/>
    <n v="20192"/>
    <d v="2018-09-01T00:00:00"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m/>
    <s v="ΟΧΙ"/>
    <m/>
    <d v="2018-09-01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0-04-22T00:00:00"/>
    <x v="0"/>
    <s v="ΔΙΕΥΘΥΝΣΗ Δ.Ε. ΠΕΙΡΑΙΑ"/>
    <n v="39.233333333333334"/>
    <s v="31 - 40"/>
  </r>
  <r>
    <n v="99911797"/>
    <s v="Θ"/>
    <x v="8"/>
    <x v="8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20T00:00:00"/>
    <x v="1"/>
    <s v="ΔΙΕΥΘΥΝΣΗ Π.Ε. ΑΝΑΤΟΛΙΚΗΣ ΑΤΤΙΚΗΣ"/>
    <n v="39.238888888888887"/>
    <s v="31 - 40"/>
  </r>
  <r>
    <n v="99911798"/>
    <s v="Θ"/>
    <x v="8"/>
    <x v="8"/>
    <m/>
    <m/>
    <s v="Γ΄"/>
    <n v="1"/>
    <n v="13011"/>
    <d v="2018-09-01T00:00:00"/>
    <s v="Δ΄ ΑΘΗΝΑΣ (Π.Ε.) 2018"/>
    <s v="ΔΙΕΥΘΥΝΣΗ Π.Ε. Δ΄ ΑΘΗΝΑΣ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2"/>
    <s v="7054025"/>
    <s v="ΙΔΙΩΤΙΚΟ ΝΗΠΙΑΓΩΓΕΙΟ ΑΛΙΜΟΣ - ΙΔΙΩΤΙΚΟ ΝΗΠΙΑΓΩΓΕΙΟ ΓΕΝΝΑΔΙΟΣ ΕΚΠΑΙΔΕΥΤΙΚΗ Κ.ΖΩΗ Α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19T00:00:00"/>
    <x v="1"/>
    <s v="ΔΙΕΥΘΥΝΣΗ Π.Ε. Δ΄ ΑΘΗΝΑΣ"/>
    <n v="39.241666666666667"/>
    <s v="31 - 40"/>
  </r>
  <r>
    <n v="99911799"/>
    <s v="Θ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521091"/>
    <s v="Δ. ΜΑΡΟΥΣΟΣ - Δ. ΣΩΤΗΡΟΠΟΥΛΟΥ Ο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15T00:00:00"/>
    <x v="1"/>
    <s v="ΔΙΕΥΘΥΝΣΗ Π.Ε. ΑΝΑΤΟΛΙΚΗΣ ΑΤΤΙΚΗΣ"/>
    <n v="39.25277777777778"/>
    <s v="31 - 40"/>
  </r>
  <r>
    <n v="99911800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4-14T00:00:00"/>
    <x v="0"/>
    <s v="ΔΙΕΥΘΥΝΣΗ Δ.Ε. Β΄ ΑΘΗΝΑΣ"/>
    <n v="39.255555555555553"/>
    <s v="31 - 40"/>
  </r>
  <r>
    <n v="99911801"/>
    <s v="Α"/>
    <x v="14"/>
    <x v="14"/>
    <m/>
    <m/>
    <s v="Γ΄"/>
    <n v="1"/>
    <n v="10957"/>
    <d v="2018-11-06T00:00:00"/>
    <s v="ΙΩΑΝΝΙΝΩΝ (Δ.Ε.) 2018"/>
    <s v="ΔΙΕΥΘΥΝΣΗ Δ.Ε. ΙΩΑΝΝΙΝΩΝ"/>
    <s v="ΠΕΡΙΦΕΡΕΙΑΚΗ Δ/ΝΣΗ Α/ΘΜΙΑΣ ΚΑΙ Β/ΘΜΙΑΣ ΕΚΠ/ΣΗΣ ΗΠΕΙΡΟΥ"/>
    <n v="8"/>
    <s v="ΟΧΙ"/>
    <m/>
    <m/>
    <m/>
    <s v="ΟΧΙ"/>
    <m/>
    <d v="2018-11-06T00:00:00"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0-04-12T00:00:00"/>
    <x v="0"/>
    <s v="ΔΙΕΥΘΥΝΣΗ Δ.Ε. ΙΩΑΝΝΙΝΩΝ"/>
    <n v="39.261111111111113"/>
    <s v="31 - 40"/>
  </r>
  <r>
    <n v="99911802"/>
    <s v="Α"/>
    <x v="8"/>
    <x v="8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2"/>
    <s v="ΟΧΙ"/>
    <m/>
    <m/>
    <m/>
    <s v="ΟΧΙ"/>
    <m/>
    <d v="2018-09-01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0-04-06T00:00:00"/>
    <x v="0"/>
    <s v="ΔΙΕΥΘΥΝΣΗ Δ.Ε. ΑΡΓΟΛΙΔΑΣ"/>
    <n v="39.277777777777779"/>
    <s v="31 - 40"/>
  </r>
  <r>
    <n v="99911803"/>
    <s v="Θ"/>
    <x v="1"/>
    <x v="1"/>
    <m/>
    <m/>
    <s v="Α΄"/>
    <n v="8"/>
    <m/>
    <d v="2017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17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3-30T00:00:00"/>
    <x v="1"/>
    <s v="ΔΙΕΥΘΥΝΣΗ Π.Ε. ΑΝΑΤΟΛΙΚΗΣ ΑΤΤΙΚΗΣ"/>
    <n v="39.297222222222224"/>
    <s v="31 - 40"/>
  </r>
  <r>
    <n v="99911804"/>
    <s v="Θ"/>
    <x v="0"/>
    <x v="0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3-29T00:00:00"/>
    <x v="1"/>
    <s v="ΔΙΕΥΘΥΝΣΗ Π.Ε. ΠΕΙΡΑΙΑ"/>
    <n v="39.299999999999997"/>
    <s v="31 - 40"/>
  </r>
  <r>
    <n v="99911805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s v="ΟΧΙ"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0-03-24T00:00:00"/>
    <x v="1"/>
    <s v="ΔΙΕΥΘΥΝΣΗ Π.Ε. ΜΕΣΣΗΝΙΑΣ"/>
    <n v="39.31388888888889"/>
    <s v="31 - 40"/>
  </r>
  <r>
    <n v="99911806"/>
    <s v="Α"/>
    <x v="14"/>
    <x v="14"/>
    <s v="ΠΕ84"/>
    <s v="ΗΛΕΚΤΡΟΝΙΚΩΝ"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3-22T00:00:00"/>
    <x v="0"/>
    <s v="ΔΙΕΥΘΥΝΣΗ Δ.Ε. Δ΄ ΑΘΗΝΑΣ"/>
    <n v="39.319444444444443"/>
    <s v="31 - 40"/>
  </r>
  <r>
    <n v="99911807"/>
    <s v="Θ"/>
    <x v="2"/>
    <x v="2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11"/>
    <s v="ΙΔΙΩΤΙΚΟ ΝΗΠΙΑΓΩΓΕΙΟ ΕΥΟΣΜΟΣ ΘΕΣΣΑΛΟΝΙΚΗΣ - ΜΑΡΤΣΙΚΑΛΗ ΜΑΓΔΑΛΗΝ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3-17T00:00:00"/>
    <x v="1"/>
    <s v="ΔΙΕΥΘΥΝΣΗ Π.Ε. ΔΥΤ. ΘΕΣ/ΝΙΚΗΣ"/>
    <n v="39.333333333333336"/>
    <s v="31 - 40"/>
  </r>
  <r>
    <n v="99911808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03-15T00:00:00"/>
    <x v="0"/>
    <s v="ΔΙΕΥΘΥΝΣΗ Δ.Ε. Β΄ ΑΘΗΝΑΣ"/>
    <n v="39.338888888888889"/>
    <s v="31 - 40"/>
  </r>
  <r>
    <n v="99911809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80-03-12T00:00:00"/>
    <x v="1"/>
    <s v="ΔΙΕΥΘΥΝΣΗ Π.Ε. ΑΙΤΩΛΟΑΚΑΡΝΑΝΙΑΣ"/>
    <n v="39.347222222222221"/>
    <s v="31 - 40"/>
  </r>
  <r>
    <n v="99911810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3-08T00:00:00"/>
    <x v="0"/>
    <s v="ΔΙΕΥΘΥΝΣΗ Δ.Ε. Β΄ ΑΘΗΝΑΣ"/>
    <n v="39.358333333333334"/>
    <s v="31 - 40"/>
  </r>
  <r>
    <n v="99911811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3-06T00:00:00"/>
    <x v="0"/>
    <s v="ΔΙΕΥΘΥΝΣΗ Δ.Ε. Γ΄ ΑΘΗΝΑΣ"/>
    <n v="39.363888888888887"/>
    <s v="31 - 40"/>
  </r>
  <r>
    <n v="99911812"/>
    <s v="Θ"/>
    <x v="1"/>
    <x v="1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3-06T00:00:00"/>
    <x v="1"/>
    <s v="ΔΙΕΥΘΥΝΣΗ Π.Ε. Β΄ ΑΘΗΝΑΣ"/>
    <n v="39.363888888888887"/>
    <s v="31 - 40"/>
  </r>
  <r>
    <n v="99911813"/>
    <s v="Α"/>
    <x v="14"/>
    <x v="1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3-01T00:00:00"/>
    <x v="0"/>
    <s v="ΔΙΕΥΘΥΝΣΗ Δ.Ε. ΑΝΑΤΟΛΙΚΗΣ ΑΤΤΙΚΗΣ"/>
    <n v="39.37777777777778"/>
    <s v="31 - 40"/>
  </r>
  <r>
    <n v="99911814"/>
    <s v="Α"/>
    <x v="2"/>
    <x v="2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80-02-27T00:00:00"/>
    <x v="1"/>
    <s v="ΔΙΕΥΘΥΝΣΗ Π.Ε. ΗΡΑΚΛΕΙΟΥ"/>
    <n v="39.386111111111113"/>
    <s v="31 - 40"/>
  </r>
  <r>
    <n v="99911815"/>
    <s v="Θ"/>
    <x v="0"/>
    <x v="0"/>
    <m/>
    <m/>
    <s v="Α΄"/>
    <n v="5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2-25T00:00:00"/>
    <x v="1"/>
    <s v="ΔΙΕΥΘΥΝΣΗ Π.Ε. ΑΝΑΤΟΛΙΚΗΣ ΑΤΤΙΚΗΣ"/>
    <n v="39.391666666666666"/>
    <s v="31 - 40"/>
  </r>
  <r>
    <n v="99911816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2-22T00:00:00"/>
    <x v="0"/>
    <s v="ΔΙΕΥΘΥΝΣΗ Δ.Ε. Β΄ ΑΘΗΝΑΣ"/>
    <n v="39.4"/>
    <s v="31 - 40"/>
  </r>
  <r>
    <n v="99911817"/>
    <s v="Α"/>
    <x v="14"/>
    <x v="14"/>
    <m/>
    <m/>
    <s v="Γ΄"/>
    <n v="1"/>
    <s v="Φ.17.2/394/9243"/>
    <d v="2018-09-01T00:00:00"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2-20T00:00:00"/>
    <x v="1"/>
    <s v="ΔΙΕΥΘΥΝΣΗ Π.Ε. Β΄ ΑΘΗΝΑΣ"/>
    <n v="39.405555555555559"/>
    <s v="31 - 40"/>
  </r>
  <r>
    <n v="99911818"/>
    <s v="Θ"/>
    <x v="4"/>
    <x v="4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s v="ΟΧΙ"/>
    <s v="ΟΧΙ"/>
    <s v="ΟΧΙ"/>
    <s v="ΟΧΙ"/>
    <s v="ΟΧΙ"/>
    <m/>
    <m/>
    <s v="Ιδιωτικά Σχολεία"/>
    <x v="0"/>
    <s v="1981911"/>
    <s v="ΑΜΕΡΙΚΑΝΙΚΟ ΚΟΛΛΕΓΙΟ &quot;ΑΝΑΤΟΛΙΑ&quot;  1ο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2-19T00:00:00"/>
    <x v="0"/>
    <s v="ΔΙΕΥΘΥΝΣΗ Δ.Ε. ΑΝΑΤ. ΘΕΣ/ΝΙΚΗΣ"/>
    <n v="39.408333333333331"/>
    <s v="31 - 40"/>
  </r>
  <r>
    <n v="99911819"/>
    <s v="Θ"/>
    <x v="3"/>
    <x v="3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2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0-02-18T00:00:00"/>
    <x v="0"/>
    <s v="ΔΙΕΥΘΥΝΣΗ Δ.Ε. ΜΕΣΣΗΝΙΑΣ"/>
    <n v="39.411111111111111"/>
    <s v="31 - 40"/>
  </r>
  <r>
    <n v="99911820"/>
    <s v="Θ"/>
    <x v="5"/>
    <x v="5"/>
    <m/>
    <m/>
    <s v="Γ΄"/>
    <n v="1"/>
    <s v="Φ. 17.2_ A_/12078/4"/>
    <d v="2018-09-01T00:00:00"/>
    <s v="ΑΧΑΪΑΣ (Δ.Ε.) 2018"/>
    <s v="ΔΙΕΥΘΥΝΣΗ Δ.Ε. ΑΧΑΪ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2-16T00:00:00"/>
    <x v="0"/>
    <s v="ΔΙΕΥΘΥΝΣΗ Δ.Ε. ΑΧΑΪΑΣ"/>
    <n v="39.416666666666664"/>
    <s v="31 - 40"/>
  </r>
  <r>
    <n v="99911821"/>
    <s v="Θ"/>
    <x v="0"/>
    <x v="0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80-02-16T00:00:00"/>
    <x v="0"/>
    <s v="ΔΙΕΥΘΥΝΣΗ Δ.Ε. ΜΕΣΣΗΝΙΑΣ"/>
    <n v="39.416666666666664"/>
    <s v="31 - 40"/>
  </r>
  <r>
    <n v="99911822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2-15T00:00:00"/>
    <x v="0"/>
    <s v="ΔΙΕΥΘΥΝΣΗ Δ.Ε. Β΄ ΑΘΗΝΑΣ"/>
    <n v="39.419444444444444"/>
    <s v="31 - 40"/>
  </r>
  <r>
    <n v="99911823"/>
    <s v="Α"/>
    <x v="8"/>
    <x v="8"/>
    <m/>
    <m/>
    <s v="Γ΄"/>
    <n v="1"/>
    <s v="18654/29-10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0"/>
    <s v="0560026"/>
    <s v="ΙΔΙΩΤΙΚΟ ΓΥΜΝΑΣ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80-02-11T00:00:00"/>
    <x v="0"/>
    <s v="ΔΙΕΥΘΥΝΣΗ Δ.Ε. ΑΝΑΤΟΛΙΚΗΣ ΑΤΤΙΚΗΣ"/>
    <n v="39.430555555555557"/>
    <s v="31 - 40"/>
  </r>
  <r>
    <n v="99911824"/>
    <s v="Α"/>
    <x v="14"/>
    <x v="14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9"/>
    <s v="ΟΧΙ"/>
    <s v="ΟΧΙ"/>
    <s v="ΟΧΙ"/>
    <s v="ΟΧΙ"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0-02-09T00:00:00"/>
    <x v="1"/>
    <s v="ΔΙΕΥΘΥΝΣΗ Π.Ε. ΛΑΡΙΣΑΣ"/>
    <n v="39.43611111111111"/>
    <s v="31 - 40"/>
  </r>
  <r>
    <n v="99911825"/>
    <s v="Α"/>
    <x v="15"/>
    <x v="1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2-08T00:00:00"/>
    <x v="0"/>
    <s v="ΔΙΕΥΘΥΝΣΗ Δ.Ε. ΑΝΑΤ. ΘΕΣ/ΝΙΚΗΣ"/>
    <n v="39.43888888888889"/>
    <s v="31 - 40"/>
  </r>
  <r>
    <n v="99911826"/>
    <s v="Α"/>
    <x v="14"/>
    <x v="14"/>
    <m/>
    <m/>
    <s v="Γ΄"/>
    <n v="1"/>
    <s v="9159/Φ17.2/25-9-18"/>
    <d v="2018-09-19T00:00:00"/>
    <s v="ΞΑΝΘΗΣ (Δ.Ε.) 2018"/>
    <s v="ΔΙΕΥΘΥΝΣΗ Δ.Ε. ΞΑΝΘΗΣ"/>
    <s v="ΠΕΡΙΦΕΡΕΙΑΚΗ Δ/ΝΣΗ Α/ΘΜΙΑΣ ΚΑΙ Β/ΘΜΙΑΣ ΕΚΠ/ΣΗΣ ΑΝ. ΜΑΚΕΔΟΝΙΑΣ ΚΑΙ ΘΡΑΚΗΣ"/>
    <n v="20"/>
    <s v="ΟΧΙ"/>
    <s v="ΟΧΙ"/>
    <s v="ΟΧΙ"/>
    <s v="ΟΧΙ"/>
    <s v="ΟΧΙ"/>
    <m/>
    <d v="2018-09-19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Αναπληρωτής Ιδιωτικής Εκπαίδευσης (ν. 682/1977 άρ.35, παρ.4)"/>
    <s v="Τοποθέτηση σε Ιδιωτική Εκπαίδευση"/>
    <d v="1980-02-06T00:00:00"/>
    <x v="0"/>
    <s v="ΔΙΕΥΘΥΝΣΗ Δ.Ε. ΞΑΝΘΗΣ"/>
    <n v="39.444444444444443"/>
    <s v="31 - 40"/>
  </r>
  <r>
    <n v="9991182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31T00:00:00"/>
    <x v="0"/>
    <s v="ΔΙΕΥΘΥΝΣΗ Δ.Ε. Β΄ ΑΘΗΝΑΣ"/>
    <n v="39.461111111111109"/>
    <s v="31 - 40"/>
  </r>
  <r>
    <n v="99911828"/>
    <s v="Θ"/>
    <x v="1"/>
    <x v="1"/>
    <m/>
    <m/>
    <s v="Α΄"/>
    <n v="7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30T00:00:00"/>
    <x v="1"/>
    <s v="ΔΙΕΥΘΥΝΣΗ Π.Ε. ΑΝΑΤΟΛΙΚΗΣ ΑΤΤΙΚΗΣ"/>
    <n v="39.463888888888889"/>
    <s v="31 - 40"/>
  </r>
  <r>
    <n v="99911829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29T00:00:00"/>
    <x v="0"/>
    <s v="ΔΙΕΥΘΥΝΣΗ Δ.Ε. Β΄ ΑΘΗΝΑΣ"/>
    <n v="39.466666666666669"/>
    <s v="31 - 40"/>
  </r>
  <r>
    <n v="99911830"/>
    <s v="Α"/>
    <x v="8"/>
    <x v="8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22"/>
    <s v="ΟΧΙ"/>
    <s v="ΟΧΙ"/>
    <s v="ΟΧΙ"/>
    <s v="ΟΧΙ"/>
    <s v="ΟΧΙ"/>
    <m/>
    <d v="2009-09-10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28T00:00:00"/>
    <x v="0"/>
    <s v="ΔΙΕΥΘΥΝΣΗ Δ.Ε. Α΄ ΑΘΗΝΑΣ"/>
    <n v="39.469444444444441"/>
    <s v="31 - 40"/>
  </r>
  <r>
    <n v="99911831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26T00:00:00"/>
    <x v="0"/>
    <s v="ΔΙΕΥΘΥΝΣΗ Δ.Ε. Β΄ ΑΘΗΝΑΣ"/>
    <n v="39.475000000000001"/>
    <s v="31 - 40"/>
  </r>
  <r>
    <n v="99911832"/>
    <s v="Α"/>
    <x v="14"/>
    <x v="14"/>
    <m/>
    <m/>
    <s v="Α΄"/>
    <n v="6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10T00:00:00"/>
    <x v="1"/>
    <s v="ΔΙΕΥΘΥΝΣΗ Π.Ε. ΑΝΑΤΟΛΙΚΗΣ ΑΤΤΙΚΗΣ"/>
    <n v="39.519444444444446"/>
    <s v="31 - 40"/>
  </r>
  <r>
    <n v="99911833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9T00:00:00"/>
    <x v="0"/>
    <s v="ΔΙΕΥΘΥΝΣΗ Δ.Ε. Β΄ ΑΘΗΝΑΣ"/>
    <n v="39.522222222222226"/>
    <s v="31 - 40"/>
  </r>
  <r>
    <n v="99911834"/>
    <s v="Α"/>
    <x v="1"/>
    <x v="1"/>
    <m/>
    <m/>
    <s v="Β΄"/>
    <n v="4"/>
    <s v="Φ.Ι.Α.2/13995/14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3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4T00:00:00"/>
    <x v="1"/>
    <s v="ΔΙΕΥΘΥΝΣΗ Π.Ε. ΑΝΑΤΟΛΙΚΗΣ ΑΤΤΙΚΗΣ"/>
    <n v="39.536111111111111"/>
    <s v="31 - 40"/>
  </r>
  <r>
    <n v="99911835"/>
    <s v="Θ"/>
    <x v="0"/>
    <x v="0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s v="ΟΧΙ"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0-01-03T00:00:00"/>
    <x v="1"/>
    <s v="ΔΙΕΥΘΥΝΣΗ Π.Ε. ΔΩΔΕΚΑΝΗΣΟΥ"/>
    <n v="39.538888888888891"/>
    <s v="31 - 40"/>
  </r>
  <r>
    <n v="99911836"/>
    <s v="Θ"/>
    <x v="0"/>
    <x v="0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2T00:00:00"/>
    <x v="1"/>
    <s v="ΔΙΕΥΘΥΝΣΗ Π.Ε. ΠΕΙΡΑΙΑ"/>
    <n v="39.541666666666664"/>
    <s v="31 - 40"/>
  </r>
  <r>
    <n v="99911837"/>
    <s v="Θ"/>
    <x v="6"/>
    <x v="6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ΑΝΑΤΟΛΙΚΗΣ ΑΤΤΙΚΗΣ"/>
    <n v="39.544444444444444"/>
    <s v="31 - 40"/>
  </r>
  <r>
    <n v="99911838"/>
    <s v="Θ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ΑΝΑΤΟΛΙΚΗΣ ΑΤΤΙΚΗΣ"/>
    <n v="39.544444444444444"/>
    <s v="31 - 40"/>
  </r>
  <r>
    <n v="99911839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ΑΝΑΤΟΛΙΚΗΣ ΑΤΤΙΚΗΣ"/>
    <n v="39.544444444444444"/>
    <s v="31 - 40"/>
  </r>
  <r>
    <n v="99911840"/>
    <s v="Θ"/>
    <x v="10"/>
    <x v="10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Β΄ ΑΘΗΝΑΣ"/>
    <n v="39.544444444444444"/>
    <s v="31 - 40"/>
  </r>
  <r>
    <n v="99911841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Β΄ ΑΘΗΝΑΣ"/>
    <n v="39.544444444444444"/>
    <s v="31 - 40"/>
  </r>
  <r>
    <n v="99911842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Γ΄ ΑΘΗΝΑΣ"/>
    <n v="39.544444444444444"/>
    <s v="31 - 40"/>
  </r>
  <r>
    <n v="99911843"/>
    <s v="Θ"/>
    <x v="33"/>
    <x v="32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Γ΄ ΑΘΗΝΑΣ"/>
    <n v="39.544444444444444"/>
    <s v="31 - 40"/>
  </r>
  <r>
    <n v="99911844"/>
    <s v="Θ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Γ΄ ΑΘΗΝΑΣ"/>
    <n v="39.544444444444444"/>
    <s v="31 - 40"/>
  </r>
  <r>
    <n v="99911845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Γ΄ ΑΘΗΝΑΣ"/>
    <n v="39.544444444444444"/>
    <s v="31 - 40"/>
  </r>
  <r>
    <n v="99911846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Γ΄ ΑΘΗΝΑΣ"/>
    <n v="39.544444444444444"/>
    <s v="31 - 40"/>
  </r>
  <r>
    <n v="99911847"/>
    <s v="Θ"/>
    <x v="5"/>
    <x v="5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12"/>
    <s v="ΟΧΙ"/>
    <s v="ΟΧΙ"/>
    <s v="ΟΧΙ"/>
    <s v="ΟΧΙ"/>
    <s v="ΟΧΙ"/>
    <m/>
    <d v="2018-09-03T00:00:00"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80-01-01T00:00:00"/>
    <x v="0"/>
    <s v="ΔΙΕΥΘΥΝΣΗ Δ.Ε. Δ΄ ΑΘΗΝΑΣ"/>
    <n v="39.544444444444444"/>
    <s v="31 - 40"/>
  </r>
  <r>
    <n v="99911848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Δ΄ ΑΘΗΝΑΣ"/>
    <n v="39.544444444444444"/>
    <s v="31 - 40"/>
  </r>
  <r>
    <n v="99911849"/>
    <s v="Α"/>
    <x v="7"/>
    <x v="7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0"/>
    <s v="ΔΙΕΥΘΥΝΣΗ Δ.Ε. Δ΄ ΑΘΗΝΑΣ"/>
    <n v="39.544444444444444"/>
    <s v="31 - 40"/>
  </r>
  <r>
    <n v="99911850"/>
    <s v="Θ"/>
    <x v="18"/>
    <x v="18"/>
    <m/>
    <m/>
    <s v="Γ΄"/>
    <n v="1"/>
    <s v="ΒΙ6Ζ9-ΔΛΩ"/>
    <d v="2014-01-13T00:00:00"/>
    <s v="Α΄ ΑΘΗΝΑΣ (Π.Ε.) 2018"/>
    <s v="ΔΙΕΥΘΥΝΣΗ Π.Ε. Α΄ ΑΘΗΝΑΣ"/>
    <s v="ΠΕΡΙΦΕΡΕΙΑΚΗ Δ/ΝΣΗ Α/ΘΜΙΑΣ ΚΑΙ Β/ΘΜΙΑΣ ΕΚΠ/ΣΗΣ ΑΤΤΙΚΗΣ"/>
    <n v="12"/>
    <s v="ΟΧΙ"/>
    <s v="ΟΧΙ"/>
    <s v="ΟΧΙ"/>
    <s v="ΟΧΙ"/>
    <s v="ΟΧΙ"/>
    <m/>
    <d v="2014-01-13T00:00:00"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80-01-01T00:00:00"/>
    <x v="1"/>
    <s v="ΔΙΕΥΘΥΝΣΗ Π.Ε. Α΄ ΑΘΗΝΑΣ"/>
    <n v="39.544444444444444"/>
    <s v="31 - 40"/>
  </r>
  <r>
    <n v="99911851"/>
    <s v="Θ"/>
    <x v="0"/>
    <x v="0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1"/>
    <s v="ΔΙΕΥΘΥΝΣΗ Π.Ε. ΑΝΑΤΟΛΙΚΗΣ ΑΤΤΙΚΗΣ"/>
    <n v="39.544444444444444"/>
    <s v="31 - 40"/>
  </r>
  <r>
    <n v="99911852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2"/>
    <s v="7521011"/>
    <s v="ΙΔΙΩΤΙΚΟ ΝΗΠΙΑΓΩΓΕΙ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1"/>
    <s v="ΔΙΕΥΘΥΝΣΗ Π.Ε. ΑΝΑΤΟΛΙΚΗΣ ΑΤΤΙΚΗΣ"/>
    <n v="39.544444444444444"/>
    <s v="31 - 40"/>
  </r>
  <r>
    <n v="99911853"/>
    <s v="Θ"/>
    <x v="6"/>
    <x v="6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1"/>
    <s v="ΔΙΕΥΘΥΝΣΗ Π.Ε. Β΄ ΑΘΗΝΑΣ"/>
    <n v="39.544444444444444"/>
    <s v="31 - 40"/>
  </r>
  <r>
    <n v="99911854"/>
    <s v="Θ"/>
    <x v="2"/>
    <x v="2"/>
    <m/>
    <m/>
    <s v="Α΄"/>
    <n v="1"/>
    <s v="ΨΗ9Η9-6ΥΓ"/>
    <d v="2015-01-23T00:00:00"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m/>
    <s v="ΟΧΙ"/>
    <m/>
    <d v="2015-01-27T00:00:00"/>
    <s v="Ιδιωτικά Σχολεία"/>
    <x v="2"/>
    <s v="7052029"/>
    <s v="ΙΔΙΩΤΙΚΟ ΝΗΠΙΑΓΩΓΕΙΟ ΦΙΛΟΘΕΗ - ΝΗΠΙΑΚΗ ΑΓΩΓ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1"/>
    <s v="ΔΙΕΥΘΥΝΣΗ Π.Ε. Β΄ ΑΘΗΝΑΣ"/>
    <n v="39.544444444444444"/>
    <s v="31 - 40"/>
  </r>
  <r>
    <n v="99911855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36"/>
    <s v="ΙΔΙΩΤΙΚΟ ΔΗΜΟΤΙΚ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1"/>
    <s v="ΔΙΕΥΘΥΝΣΗ Π.Ε. Β΄ ΑΘΗΝΑΣ"/>
    <n v="39.544444444444444"/>
    <s v="31 - 40"/>
  </r>
  <r>
    <n v="99911856"/>
    <s v="Α"/>
    <x v="1"/>
    <x v="1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80-01-01T00:00:00"/>
    <x v="1"/>
    <s v="ΔΙΕΥΘΥΝΣΗ Π.Ε. ΠΕΙΡΑΙΑ"/>
    <n v="39.544444444444444"/>
    <s v="31 - 40"/>
  </r>
  <r>
    <n v="99911857"/>
    <s v="Θ"/>
    <x v="0"/>
    <x v="0"/>
    <m/>
    <m/>
    <s v="Γ΄"/>
    <n v="1"/>
    <s v="ΩΟΡΧ4653ΠΣ-ΧΩΙ"/>
    <d v="2018-09-07T00:00:00"/>
    <s v="Α΄ ΧΙΟΥ (Δ.Ε.) 2018"/>
    <s v="ΔΙΕΥΘΥΝΣΗ Δ.Ε. ΧΙΟΥ"/>
    <s v="ΠΕΡΙΦΕΡΕΙΑΚΗ Δ/ΝΣΗ Α/ΘΜΙΑΣ ΚΑΙ Β/ΘΜΙΑΣ ΕΚΠ/ΣΗΣ ΒΟΡΕΙΟΥ ΑΙΓΑΙΟΥ"/>
    <n v="8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80-01-01T00:00:00"/>
    <x v="0"/>
    <s v="ΔΙΕΥΘΥΝΣΗ Δ.Ε. ΧΙΟΥ"/>
    <n v="39.544444444444444"/>
    <s v="31 - 40"/>
  </r>
  <r>
    <n v="99911858"/>
    <s v="Θ"/>
    <x v="6"/>
    <x v="6"/>
    <m/>
    <m/>
    <s v="Γ΄"/>
    <n v="1"/>
    <s v="Φ. 17.2_ A/11971/2/28-09-2018"/>
    <d v="2018-09-01T00:00:00"/>
    <s v="ΑΧΑΪΑΣ (Δ.Ε.) 2018"/>
    <s v="ΔΙΕΥΘΥΝΣΗ Δ.Ε. ΑΧΑΪΑΣ"/>
    <s v="ΠΕΡΙΦΕΡΕΙΑΚΗ Δ/ΝΣΗ Α/ΘΜΙΑΣ ΚΑΙ Β/ΘΜΙΑΣ ΕΚΠ/ΣΗΣ ΔΥΤΙΚΗΣ ΕΛΛΑΔΑΣ"/>
    <n v="23"/>
    <s v="ΟΧΙ"/>
    <s v="ΟΧΙ"/>
    <s v="ΟΧΙ"/>
    <s v="ΟΧΙ"/>
    <s v="ΟΧΙ"/>
    <m/>
    <d v="2018-09-01T00:00:00"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1-01T00:00:00"/>
    <x v="0"/>
    <s v="ΔΙΕΥΘΥΝΣΗ Δ.Ε. ΑΧΑΪΑΣ"/>
    <n v="39.544444444444444"/>
    <s v="31 - 40"/>
  </r>
  <r>
    <n v="99911859"/>
    <s v="Θ"/>
    <x v="3"/>
    <x v="3"/>
    <m/>
    <m/>
    <s v="Γ΄"/>
    <n v="1"/>
    <s v="Φ. 17.2_ A/11971/1"/>
    <d v="2018-09-25T00:00:00"/>
    <s v="ΑΧΑΪΑΣ (Δ.Ε.) 2018"/>
    <s v="ΔΙΕΥΘΥΝΣΗ Δ.Ε. ΑΧΑΪΑΣ"/>
    <s v="ΠΕΡΙΦΕΡΕΙΑΚΗ Δ/ΝΣΗ Α/ΘΜΙΑΣ ΚΑΙ Β/ΘΜΙΑΣ ΕΚΠ/ΣΗΣ ΔΥΤΙΚΗΣ ΕΛΛΑΔΑΣ"/>
    <n v="23"/>
    <s v="ΟΧΙ"/>
    <s v="ΟΧΙ"/>
    <s v="ΟΧΙ"/>
    <s v="ΟΧΙ"/>
    <s v="ΟΧΙ"/>
    <m/>
    <d v="2018-09-25T00:00:00"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1-01T00:00:00"/>
    <x v="0"/>
    <s v="ΔΙΕΥΘΥΝΣΗ Δ.Ε. ΑΧΑΪΑΣ"/>
    <n v="39.544444444444444"/>
    <s v="31 - 40"/>
  </r>
  <r>
    <n v="99911860"/>
    <s v="Α"/>
    <x v="19"/>
    <x v="19"/>
    <m/>
    <m/>
    <s v="Γ΄"/>
    <n v="1"/>
    <s v="Φ. 17.2_ A_/11971/3/25-09-2018"/>
    <d v="2018-09-01T00:00:00"/>
    <s v="ΑΧΑΪΑΣ (Δ.Ε.) 2018"/>
    <s v="ΔΙΕΥΘΥΝΣΗ Δ.Ε. ΑΧΑΪΑΣ"/>
    <s v="ΠΕΡΙΦΕΡΕΙΑΚΗ Δ/ΝΣΗ Α/ΘΜΙΑΣ ΚΑΙ Β/ΘΜΙΑΣ ΕΚΠ/ΣΗΣ ΔΥΤΙΚΗΣ ΕΛΛΑΔΑΣ"/>
    <n v="23"/>
    <s v="ΟΧΙ"/>
    <s v="ΟΧΙ"/>
    <s v="ΟΧΙ"/>
    <s v="ΟΧΙ"/>
    <s v="ΟΧΙ"/>
    <m/>
    <d v="2018-09-01T00:00:00"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80-01-01T00:00:00"/>
    <x v="0"/>
    <s v="ΔΙΕΥΘΥΝΣΗ Δ.Ε. ΑΧΑΪΑΣ"/>
    <n v="39.544444444444444"/>
    <s v="31 - 40"/>
  </r>
  <r>
    <n v="99911861"/>
    <s v="Α"/>
    <x v="3"/>
    <x v="3"/>
    <m/>
    <m/>
    <s v="Γ΄"/>
    <n v="1"/>
    <n v="10085"/>
    <d v="2018-09-01T00:00:00"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d v="2018-09-01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80-01-01T00:00:00"/>
    <x v="0"/>
    <s v="ΔΙΕΥΘΥΝΣΗ Δ.Ε. ΙΩΑΝΝΙΝΩΝ"/>
    <n v="39.544444444444444"/>
    <s v="31 - 40"/>
  </r>
  <r>
    <n v="99911862"/>
    <s v="Θ"/>
    <x v="18"/>
    <x v="18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17"/>
    <s v="ΟΧΙ"/>
    <s v="ΟΧΙ"/>
    <s v="ΟΧΙ"/>
    <s v="ΟΧΙ"/>
    <s v="ΟΧΙ"/>
    <m/>
    <d v="2018-09-01T00:00:00"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0-01-01T00:00:00"/>
    <x v="1"/>
    <s v="ΔΙΕΥΘΥΝΣΗ Π.Ε. ΛΑΡΙΣΑΣ"/>
    <n v="39.544444444444444"/>
    <s v="31 - 40"/>
  </r>
  <r>
    <n v="99911863"/>
    <s v="Θ"/>
    <x v="14"/>
    <x v="14"/>
    <m/>
    <m/>
    <s v="Γ΄"/>
    <n v="2"/>
    <s v="Φ.17.2/9654/24-10-2016"/>
    <d v="2018-09-01T00:00:00"/>
    <s v="Α΄ ΜΑΓΝΗΣΙΑΣ (Π.Ε.) 2018"/>
    <s v="ΔΙΕΥΘΥΝΣΗ Π.Ε. ΜΑΓΝΗΣΙΑΣ"/>
    <s v="ΠΕΡΙΦΕΡΕΙΑΚΗ Δ/ΝΣΗ Α/ΘΜΙΑΣ ΚΑΙ Β/ΘΜΙΑΣ ΕΚΠ/ΣΗΣ ΘΕΣΣΑΛΙΑΣ"/>
    <n v="10"/>
    <s v="ΟΧΙ"/>
    <s v="ΟΧΙ"/>
    <s v="ΟΧΙ"/>
    <s v="ΟΧΙ"/>
    <s v="ΟΧΙ"/>
    <m/>
    <d v="2018-09-01T00:00:00"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80-01-01T00:00:00"/>
    <x v="1"/>
    <s v="ΔΙΕΥΘΥΝΣΗ Π.Ε. ΜΑΓΝΗΣΙΑΣ"/>
    <n v="39.544444444444444"/>
    <s v="31 - 40"/>
  </r>
  <r>
    <n v="99911864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1-01T00:00:00"/>
    <x v="0"/>
    <s v="ΔΙΕΥΘΥΝΣΗ Δ.Ε. ΑΝΑΤ. ΘΕΣ/ΝΙΚΗΣ"/>
    <n v="39.544444444444444"/>
    <s v="31 - 40"/>
  </r>
  <r>
    <n v="99911865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s v="ΟΧΙ"/>
    <s v="ΟΧΙ"/>
    <m/>
    <m/>
    <s v="Ιδιωτικά Σχολεία"/>
    <x v="0"/>
    <s v="1981913"/>
    <s v="ΙΔΙΩΤΙΚΟ ΓΥΜΝΑΣ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1-01T00:00:00"/>
    <x v="0"/>
    <s v="ΔΙΕΥΘΥΝΣΗ Δ.Ε. ΑΝΑΤ. ΘΕΣ/ΝΙΚΗΣ"/>
    <n v="39.544444444444444"/>
    <s v="31 - 40"/>
  </r>
  <r>
    <n v="99911866"/>
    <s v="Θ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1-01T00:00:00"/>
    <x v="0"/>
    <s v="ΔΙΕΥΘΥΝΣΗ Δ.Ε. ΑΝΑΤ. ΘΕΣ/ΝΙΚΗΣ"/>
    <n v="39.544444444444444"/>
    <s v="31 - 40"/>
  </r>
  <r>
    <n v="99911867"/>
    <s v="Θ"/>
    <x v="3"/>
    <x v="3"/>
    <m/>
    <m/>
    <s v="Α΄"/>
    <n v="4"/>
    <s v="ΔΥ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1-01T00:00:00"/>
    <x v="0"/>
    <s v="ΔΙΕΥΘΥΝΣΗ Δ.Ε. ΑΝΑΤ. ΘΕΣ/ΝΙΚΗΣ"/>
    <n v="39.544444444444444"/>
    <s v="31 - 40"/>
  </r>
  <r>
    <n v="99911868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1-01T00:00:00"/>
    <x v="0"/>
    <s v="ΔΙΕΥΘΥΝΣΗ Δ.Ε. ΑΝΑΤ. ΘΕΣ/ΝΙΚΗΣ"/>
    <n v="39.544444444444444"/>
    <s v="31 - 40"/>
  </r>
  <r>
    <n v="99911869"/>
    <s v="Α"/>
    <x v="14"/>
    <x v="1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80-01-01T00:00:00"/>
    <x v="0"/>
    <s v="ΔΙΕΥΘΥΝΣΗ Δ.Ε. ΑΝΑΤ. ΘΕΣ/ΝΙΚΗΣ"/>
    <n v="39.544444444444444"/>
    <s v="31 - 40"/>
  </r>
  <r>
    <n v="99911870"/>
    <s v="Θ"/>
    <x v="3"/>
    <x v="3"/>
    <m/>
    <m/>
    <s v="Γ΄"/>
    <n v="1"/>
    <n v="23901"/>
    <d v="2017-12-20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7-12-20T00:00:00"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Αναπληρωτής Ιδιωτικής Εκπαίδευσης (ν. 682/1977 άρ.35, παρ.4)"/>
    <s v="Τοποθέτηση σε Ιδιωτική Εκπαίδευση"/>
    <d v="1980-01-01T00:00:00"/>
    <x v="0"/>
    <s v="ΔΙΕΥΘΥΝΣΗ Δ.Ε. ΔΥΤ. ΘΕΣ/ΝΙΚΗΣ"/>
    <n v="39.544444444444444"/>
    <s v="31 - 40"/>
  </r>
  <r>
    <n v="99911871"/>
    <s v="Θ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3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0-01-01T00:00:00"/>
    <x v="0"/>
    <s v="ΔΙΕΥΘΥΝΣΗ Δ.Ε. ΚΥΚΛΑΔΩΝ"/>
    <n v="39.544444444444444"/>
    <s v="31 - 40"/>
  </r>
  <r>
    <n v="99911872"/>
    <s v="Θ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6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80-01-01T00:00:00"/>
    <x v="0"/>
    <s v="ΔΙΕΥΘΥΝΣΗ Δ.Ε. ΚΥΚΛΑΔΩΝ"/>
    <n v="39.544444444444444"/>
    <s v="31 - 40"/>
  </r>
  <r>
    <n v="99911873"/>
    <s v="Θ"/>
    <x v="8"/>
    <x v="8"/>
    <m/>
    <m/>
    <s v="Γ΄"/>
    <n v="1"/>
    <n v="1978"/>
    <d v="2018-09-01T00:00:00"/>
    <s v="ΤΡΙΚΑΛΩΝ (Π.Ε.) 2018"/>
    <s v="ΔΙΕΥΘΥΝΣΗ Π.Ε. ΤΡΙΚΑΛΩΝ"/>
    <s v="ΠΕΡΙΦΕΡΕΙΑΚΗ Δ/ΝΣΗ Α/ΘΜΙΑΣ ΚΑΙ Β/ΘΜΙΑΣ ΕΚΠ/ΣΗΣ ΘΕΣΣΑΛΙΑΣ"/>
    <n v="8"/>
    <s v="ΟΧΙ"/>
    <s v="ΟΧΙ"/>
    <s v="ΟΧΙ"/>
    <s v="ΟΧΙ"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12-28T00:00:00"/>
    <x v="1"/>
    <s v="ΔΙΕΥΘΥΝΣΗ Π.Ε. ΤΡΙΚΑΛΩΝ"/>
    <n v="39.555555555555557"/>
    <s v="31 - 40"/>
  </r>
  <r>
    <n v="99911874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2-20T00:00:00"/>
    <x v="1"/>
    <s v="ΔΙΕΥΘΥΝΣΗ Π.Ε. Α΄ ΑΘΗΝΑΣ"/>
    <n v="39.577777777777776"/>
    <s v="31 - 40"/>
  </r>
  <r>
    <n v="99911875"/>
    <s v="Θ"/>
    <x v="0"/>
    <x v="0"/>
    <m/>
    <m/>
    <s v="Α΄"/>
    <n v="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12-20T00:00:00"/>
    <x v="0"/>
    <s v="ΔΙΕΥΘΥΝΣΗ Δ.Ε. ΑΝΑΤ. ΘΕΣ/ΝΙΚΗΣ"/>
    <n v="39.577777777777776"/>
    <s v="31 - 40"/>
  </r>
  <r>
    <n v="99911876"/>
    <s v="Α"/>
    <x v="5"/>
    <x v="5"/>
    <m/>
    <m/>
    <s v="Α΄"/>
    <n v="5"/>
    <m/>
    <d v="2013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s v="ΟΧΙ"/>
    <s v="ΟΧΙ"/>
    <m/>
    <d v="2013-09-01T00:00:00"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12-19T00:00:00"/>
    <x v="0"/>
    <s v="ΔΙΕΥΘΥΝΣΗ Δ.Ε. ΑΝΑΤ. ΘΕΣ/ΝΙΚΗΣ"/>
    <n v="39.580555555555556"/>
    <s v="31 - 40"/>
  </r>
  <r>
    <n v="99911877"/>
    <s v="Θ"/>
    <x v="9"/>
    <x v="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2-15T00:00:00"/>
    <x v="0"/>
    <s v="ΔΙΕΥΘΥΝΣΗ Δ.Ε. Δ΄ ΑΘΗΝΑΣ"/>
    <n v="39.591666666666669"/>
    <s v="31 - 40"/>
  </r>
  <r>
    <n v="99911878"/>
    <s v="Θ"/>
    <x v="7"/>
    <x v="7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2-15T00:00:00"/>
    <x v="0"/>
    <s v="ΔΙΕΥΘΥΝΣΗ Δ.Ε. Δ΄ ΑΘΗΝΑΣ"/>
    <n v="39.591666666666669"/>
    <s v="31 - 40"/>
  </r>
  <r>
    <n v="99911879"/>
    <s v="Θ"/>
    <x v="2"/>
    <x v="2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83"/>
    <s v="ΤΖΕΣΣΙΚΑ ΚΟΥΡΝΙΑΚΤΗ - ΜΑΡΙ ΚΛΩΝΤ ΛΕΟΜΕΝΤ &amp; ΣΙΑ Ο.Ε. (ΤΖΕΣΣΙΚΑ ΚΟΥΡΝΙΑΚΤΗ - ΜΑΡΙ ΚΛΩΝΤ ΛΕΟΜΕΝΤ &amp; ΣΙΑ 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2-11T00:00:00"/>
    <x v="1"/>
    <s v="ΔΙΕΥΘΥΝΣΗ Π.Ε. Δ΄ ΑΘΗΝΑΣ"/>
    <n v="39.602777777777774"/>
    <s v="31 - 40"/>
  </r>
  <r>
    <n v="99911880"/>
    <s v="Θ"/>
    <x v="2"/>
    <x v="2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s v="ΟΧΙ"/>
    <s v="ΟΧΙ"/>
    <s v="ΟΧΙ"/>
    <m/>
    <s v="ΟΧΙ"/>
    <m/>
    <m/>
    <s v="Ιδιωτικά Σχολεία"/>
    <x v="2"/>
    <s v="7271007"/>
    <s v="ΙΔΙΩΤΙΚΟ ΝΗΠΙΑΓΩΓΕΙΟ ΚΟΖΑΝΗ - ΣΤΡΟΥΜΦΑΚΙΑ"/>
    <s v="ΚΟΖΑΝΗΣ (Π.Ε.) 2018"/>
    <x v="24"/>
    <s v="ΠΕΡΙΦΕΡΕΙΑΚΗ Δ/ΝΣΗ Α/ΘΜΙΑΣ ΚΑΙ Β/ΘΜΙΑΣ ΕΚΠ/ΣΗΣ ΔΥΤΙΚΗΣ ΜΑΚΕΔΟΝΙΑΣ"/>
    <s v="Ιδιωτικού Δικαίου Αορίστου Χρόνου (Ι.Δ.Α.Χ.)"/>
    <s v="Τοποθέτηση σε Ιδιωτική Εκπαίδευση"/>
    <d v="1979-12-06T00:00:00"/>
    <x v="1"/>
    <s v="ΔΙΕΥΘΥΝΣΗ Π.Ε. ΚΟΖΑΝΗΣ"/>
    <n v="39.616666666666667"/>
    <s v="31 - 40"/>
  </r>
  <r>
    <n v="9991188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9-12-04T00:00:00"/>
    <x v="0"/>
    <s v="ΔΙΕΥΘΥΝΣΗ Δ.Ε. Β΄ ΑΘΗΝΑΣ"/>
    <n v="39.62222222222222"/>
    <s v="31 - 40"/>
  </r>
  <r>
    <n v="99911882"/>
    <s v="Θ"/>
    <x v="3"/>
    <x v="3"/>
    <s v="ΠΕ01"/>
    <s v="ΘΕΟΛΟΓΟΙ"/>
    <s v="Γ΄"/>
    <n v="1"/>
    <m/>
    <m/>
    <s v="ΚΟΡΙΝΘΙΑΣ (Δ.Ε.) 2018"/>
    <s v="ΔΙΕΥΘΥΝΣΗ Δ.Ε. ΚΟΡΙΝΘΙΑΣ"/>
    <s v="ΠΕΡΙΦΕΡΕΙΑΚΗ Δ/ΝΣΗ Α/ΘΜΙΑΣ ΚΑΙ Β/ΘΜΙΑΣ ΕΚΠ/ΣΗΣ ΠΕΛΟΠΟΝΝΗΣΟΥ"/>
    <n v="20"/>
    <s v="ΟΧΙ"/>
    <s v="ΟΧΙ"/>
    <s v="ΟΧΙ"/>
    <m/>
    <s v="ΟΧΙ"/>
    <m/>
    <m/>
    <s v="Ιδιωτικά Σχολεία"/>
    <x v="0"/>
    <s v="2881020"/>
    <s v="ΙΔΙΩΤΙΚΟ ΓΥΜΝΑΣΙΟ ΚΟΡΙΝΘΟΥ - ΑΠΟΣΤΟΛΟΣ ΠΑΥΛΟΣ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11-28T00:00:00"/>
    <x v="0"/>
    <s v="ΔΙΕΥΘΥΝΣΗ Δ.Ε. ΚΟΡΙΝΘΙΑΣ"/>
    <n v="39.638888888888886"/>
    <s v="31 - 40"/>
  </r>
  <r>
    <n v="99911883"/>
    <s v="Α"/>
    <x v="28"/>
    <x v="2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1-27T00:00:00"/>
    <x v="0"/>
    <s v="ΔΙΕΥΘΥΝΣΗ Δ.Ε. Β΄ ΑΘΗΝΑΣ"/>
    <n v="39.641666666666666"/>
    <s v="31 - 40"/>
  </r>
  <r>
    <n v="99911884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2"/>
    <s v="7541039"/>
    <s v="ΙΔΙΩΤΙΚΟ ΝΗΠΙΑΓΩΓΕΙΟ - Μ. ΛΑΜΠΙΡΗ &amp; ΣΙΑ Ο.Ε."/>
    <s v="Α΄ ΠΕΙΡΑΙΑ (Π.Ε.) 2018"/>
    <x v="15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9-11-27T00:00:00"/>
    <x v="1"/>
    <s v="ΔΙΕΥΘΥΝΣΗ Π.Ε. ΠΕΙΡΑΙΑ"/>
    <n v="39.641666666666666"/>
    <s v="31 - 40"/>
  </r>
  <r>
    <n v="99911885"/>
    <s v="Θ"/>
    <x v="3"/>
    <x v="3"/>
    <m/>
    <m/>
    <s v="Γ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9-11-18T00:00:00"/>
    <x v="0"/>
    <s v="ΔΙΕΥΘΥΝΣΗ Δ.Ε. ΑΙΤΩΛΟΑΚΑΡΝΑΝΙΑΣ"/>
    <n v="39.666666666666664"/>
    <s v="31 - 40"/>
  </r>
  <r>
    <n v="99911886"/>
    <s v="Α"/>
    <x v="19"/>
    <x v="19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0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11-17T00:00:00"/>
    <x v="0"/>
    <s v="ΔΙΕΥΘΥΝΣΗ Δ.Ε. ΚΟΡΙΝΘΙΑΣ"/>
    <n v="39.669444444444444"/>
    <s v="31 - 40"/>
  </r>
  <r>
    <n v="99911887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1-15T00:00:00"/>
    <x v="1"/>
    <s v="ΔΙΕΥΘΥΝΣΗ Π.Ε. Β΄ ΑΘΗΝΑΣ"/>
    <n v="39.674999999999997"/>
    <s v="31 - 40"/>
  </r>
  <r>
    <n v="99911888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1-12T00:00:00"/>
    <x v="0"/>
    <s v="ΔΙΕΥΘΥΝΣΗ Δ.Ε. Β΄ ΑΘΗΝΑΣ"/>
    <n v="39.68333333333333"/>
    <s v="31 - 40"/>
  </r>
  <r>
    <n v="99911889"/>
    <s v="Θ"/>
    <x v="14"/>
    <x v="14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1-11T00:00:00"/>
    <x v="0"/>
    <s v="ΔΙΕΥΘΥΝΣΗ Δ.Ε. Δ΄ ΑΘΗΝΑΣ"/>
    <n v="39.68611111111111"/>
    <s v="31 - 40"/>
  </r>
  <r>
    <n v="99911890"/>
    <s v="Θ"/>
    <x v="6"/>
    <x v="6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0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9-11-11T00:00:00"/>
    <x v="0"/>
    <s v="ΔΙΕΥΘΥΝΣΗ Δ.Ε. ΗΡΑΚΛΕΙΟΥ"/>
    <n v="39.68611111111111"/>
    <s v="31 - 40"/>
  </r>
  <r>
    <n v="99911891"/>
    <s v="Α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1-03T00:00:00"/>
    <x v="0"/>
    <s v="ΔΙΕΥΘΥΝΣΗ Δ.Ε. Β΄ ΑΘΗΝΑΣ"/>
    <n v="39.708333333333336"/>
    <s v="31 - 40"/>
  </r>
  <r>
    <n v="99911892"/>
    <s v="Θ"/>
    <x v="0"/>
    <x v="0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26T00:00:00"/>
    <x v="0"/>
    <s v="ΔΙΕΥΘΥΝΣΗ Δ.Ε. Δ΄ ΑΘΗΝΑΣ"/>
    <n v="39.730555555555554"/>
    <s v="31 - 40"/>
  </r>
  <r>
    <n v="9991189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24T00:00:00"/>
    <x v="0"/>
    <s v="ΔΙΕΥΘΥΝΣΗ Δ.Ε. Β΄ ΑΘΗΝΑΣ"/>
    <n v="39.736111111111114"/>
    <s v="31 - 40"/>
  </r>
  <r>
    <n v="99911894"/>
    <s v="Θ"/>
    <x v="9"/>
    <x v="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10-20T00:00:00"/>
    <x v="0"/>
    <s v="ΔΙΕΥΘΥΝΣΗ Δ.Ε. ΑΝΑΤ. ΘΕΣ/ΝΙΚΗΣ"/>
    <n v="39.74722222222222"/>
    <s v="31 - 40"/>
  </r>
  <r>
    <n v="99911895"/>
    <s v="Α"/>
    <x v="19"/>
    <x v="19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1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79-10-15T00:00:00"/>
    <x v="0"/>
    <s v="ΔΙΕΥΘΥΝΣΗ Δ.Ε. ΧΙΟΥ"/>
    <n v="39.761111111111113"/>
    <s v="31 - 40"/>
  </r>
  <r>
    <n v="99911896"/>
    <s v="Α"/>
    <x v="9"/>
    <x v="9"/>
    <m/>
    <m/>
    <s v="Α΄"/>
    <n v="6"/>
    <m/>
    <d v="2011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1-09-01T00:00:00"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10-14T00:00:00"/>
    <x v="0"/>
    <s v="ΔΙΕΥΘΥΝΣΗ Δ.Ε. ΑΝΑΤ. ΘΕΣ/ΝΙΚΗΣ"/>
    <n v="39.763888888888886"/>
    <s v="31 - 40"/>
  </r>
  <r>
    <n v="99911897"/>
    <s v="Θ"/>
    <x v="18"/>
    <x v="18"/>
    <m/>
    <m/>
    <s v="Α΄"/>
    <n v="6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2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13T00:00:00"/>
    <x v="1"/>
    <s v="ΔΙΕΥΘΥΝΣΗ Π.Ε. ΑΝΑΤΟΛΙΚΗΣ ΑΤΤΙΚΗΣ"/>
    <n v="39.766666666666666"/>
    <s v="31 - 40"/>
  </r>
  <r>
    <n v="99911898"/>
    <s v="Θ"/>
    <x v="1"/>
    <x v="1"/>
    <m/>
    <m/>
    <s v="Α΄"/>
    <n v="1"/>
    <m/>
    <m/>
    <s v="Α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13T00:00:00"/>
    <x v="1"/>
    <s v="ΔΙΕΥΘΥΝΣΗ Π.Ε. Δ΄ ΑΘΗΝΑΣ"/>
    <n v="39.766666666666666"/>
    <s v="31 - 40"/>
  </r>
  <r>
    <n v="99911899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10-10T00:00:00"/>
    <x v="0"/>
    <s v="ΔΙΕΥΘΥΝΣΗ Δ.Ε. Β΄ ΑΘΗΝΑΣ"/>
    <n v="39.774999999999999"/>
    <s v="31 - 40"/>
  </r>
  <r>
    <n v="99911900"/>
    <s v="Α"/>
    <x v="1"/>
    <x v="1"/>
    <m/>
    <m/>
    <s v="Γ΄"/>
    <n v="1"/>
    <s v="3558/16-09-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10T00:00:00"/>
    <x v="1"/>
    <s v="ΔΙΕΥΘΥΝΣΗ Π.Ε. Β΄ ΑΘΗΝΑΣ"/>
    <n v="39.774999999999999"/>
    <s v="31 - 40"/>
  </r>
  <r>
    <n v="99911901"/>
    <s v="Α"/>
    <x v="8"/>
    <x v="8"/>
    <m/>
    <m/>
    <s v="Γ΄"/>
    <n v="1"/>
    <n v="18429"/>
    <d v="2018-09-01T00:00:00"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m/>
    <s v="ΟΧΙ"/>
    <m/>
    <d v="2018-09-01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09T00:00:00"/>
    <x v="0"/>
    <s v="ΔΙΕΥΘΥΝΣΗ Δ.Ε. ΠΕΙΡΑΙΑ"/>
    <n v="39.777777777777779"/>
    <s v="31 - 40"/>
  </r>
  <r>
    <n v="99911902"/>
    <s v="Θ"/>
    <x v="24"/>
    <x v="2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06T00:00:00"/>
    <x v="0"/>
    <s v="ΔΙΕΥΘΥΝΣΗ Δ.Ε. Β΄ ΑΘΗΝΑΣ"/>
    <n v="39.786111111111111"/>
    <s v="31 - 40"/>
  </r>
  <r>
    <n v="99911903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10-01T00:00:00"/>
    <x v="1"/>
    <s v="ΔΙΕΥΘΥΝΣΗ Π.Ε. Β΄ ΑΘΗΝΑΣ"/>
    <n v="39.799999999999997"/>
    <s v="31 - 40"/>
  </r>
  <r>
    <n v="99911904"/>
    <s v="Α"/>
    <x v="8"/>
    <x v="8"/>
    <m/>
    <m/>
    <s v="Γ΄"/>
    <n v="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4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9-30T00:00:00"/>
    <x v="1"/>
    <s v="ΔΙΕΥΘΥΝΣΗ Π.Ε. ΔΥΤ. ΘΕΣ/ΝΙΚΗΣ"/>
    <n v="39.802777777777777"/>
    <s v="31 - 40"/>
  </r>
  <r>
    <n v="99911905"/>
    <s v="Θ"/>
    <x v="1"/>
    <x v="1"/>
    <m/>
    <m/>
    <s v="Α΄"/>
    <n v="6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9-29T00:00:00"/>
    <x v="1"/>
    <s v="ΔΙΕΥΘΥΝΣΗ Π.Ε. Δ΄ ΑΘΗΝΑΣ"/>
    <n v="39.805555555555557"/>
    <s v="31 - 40"/>
  </r>
  <r>
    <n v="99911906"/>
    <s v="Α"/>
    <x v="9"/>
    <x v="9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10"/>
    <s v="ΟΧΙ"/>
    <s v="ΟΧΙ"/>
    <s v="ΟΧΙ"/>
    <m/>
    <s v="ΟΧΙ"/>
    <m/>
    <m/>
    <s v="Ιδιωτικά Σχολεία"/>
    <x v="0"/>
    <s v="2060001"/>
    <s v="ΙΔΙΩΤΙΚΟ ΓΥΜΝΑΣΙΟ-ΜΟΡΦΩΤΙΚΟΣ ΚΑΙ ΠΟΛΙΤΙΣΤΙΚΟΣ ΣΥΛΛΟΓΟΣ &quot; ΤΟ ΑΝΘΟΣ &quot;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9-09-29T00:00:00"/>
    <x v="0"/>
    <s v="ΔΙΕΥΘΥΝΣΗ Δ.Ε. ΙΩΑΝΝΙΝΩΝ"/>
    <n v="39.805555555555557"/>
    <s v="31 - 40"/>
  </r>
  <r>
    <n v="99911907"/>
    <s v="Θ"/>
    <x v="3"/>
    <x v="3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9-09-23T00:00:00"/>
    <x v="0"/>
    <s v="ΔΙΕΥΘΥΝΣΗ Δ.Ε. ΔΩΔΕΚΑΝΗΣΟΥ"/>
    <n v="39.822222222222223"/>
    <s v="31 - 40"/>
  </r>
  <r>
    <n v="99911908"/>
    <s v="Θ"/>
    <x v="10"/>
    <x v="10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1"/>
    <s v="7521060"/>
    <s v="ΙΔΙΩΤΙΚΟ ΔΗΜΟΤΙΚΟ ΣΧΟΛΕΙΟ - ΔΕΣ ΔΗΜΟΤΙΚΟ ΙΚΕ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9-22T00:00:00"/>
    <x v="1"/>
    <s v="ΔΙΕΥΘΥΝΣΗ Π.Ε. ΑΝΑΤΟΛΙΚΗΣ ΑΤΤΙΚΗΣ"/>
    <n v="39.825000000000003"/>
    <s v="31 - 40"/>
  </r>
  <r>
    <n v="99911909"/>
    <s v="Θ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9-09-18T00:00:00"/>
    <x v="0"/>
    <s v="ΔΙΕΥΘΥΝΣΗ Δ.Ε. Β΄ ΑΘΗΝΑΣ"/>
    <n v="39.836111111111109"/>
    <s v="31 - 40"/>
  </r>
  <r>
    <n v="99911910"/>
    <s v="Α"/>
    <x v="14"/>
    <x v="1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9-14T00:00:00"/>
    <x v="0"/>
    <s v="ΔΙΕΥΘΥΝΣΗ Δ.Ε. ΑΝΑΤ. ΘΕΣ/ΝΙΚΗΣ"/>
    <n v="39.847222222222221"/>
    <s v="31 - 40"/>
  </r>
  <r>
    <n v="99911911"/>
    <s v="Α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m/>
    <s v="ΟΧΙ"/>
    <m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9-07T00:00:00"/>
    <x v="1"/>
    <s v="ΔΙΕΥΘΥΝΣΗ Π.Ε. Β΄ ΑΘΗΝΑΣ"/>
    <n v="39.866666666666667"/>
    <s v="31 - 40"/>
  </r>
  <r>
    <n v="99911912"/>
    <s v="Α"/>
    <x v="1"/>
    <x v="1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9-01T00:00:00"/>
    <x v="1"/>
    <s v="ΔΙΕΥΘΥΝΣΗ Π.Ε. ΔΥΤ. ΘΕΣ/ΝΙΚΗΣ"/>
    <n v="39.883333333333333"/>
    <s v="31 - 40"/>
  </r>
  <r>
    <n v="99911913"/>
    <s v="Θ"/>
    <x v="1"/>
    <x v="1"/>
    <m/>
    <m/>
    <s v="Γ΄"/>
    <n v="1"/>
    <d v="2003-11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8-28T00:00:00"/>
    <x v="1"/>
    <s v="ΔΙΕΥΘΥΝΣΗ Π.Ε. ΑΝΑΤ. ΘΕΣ/ΝΙΚΗΣ"/>
    <n v="39.894444444444446"/>
    <s v="31 - 40"/>
  </r>
  <r>
    <n v="99911914"/>
    <s v="Θ"/>
    <x v="1"/>
    <x v="1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21T00:00:00"/>
    <x v="1"/>
    <s v="ΔΙΕΥΘΥΝΣΗ Π.Ε. Β΄ ΑΘΗΝΑΣ"/>
    <n v="39.913888888888891"/>
    <s v="31 - 40"/>
  </r>
  <r>
    <n v="9991191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21T00:00:00"/>
    <x v="1"/>
    <s v="ΔΙΕΥΘΥΝΣΗ Π.Ε. Β΄ ΑΘΗΝΑΣ"/>
    <n v="39.913888888888891"/>
    <s v="31 - 40"/>
  </r>
  <r>
    <n v="99911916"/>
    <s v="Α"/>
    <x v="1"/>
    <x v="1"/>
    <m/>
    <m/>
    <s v="Α΄"/>
    <n v="6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15T00:00:00"/>
    <x v="1"/>
    <s v="ΔΙΕΥΘΥΝΣΗ Π.Ε. Δ΄ ΑΘΗΝΑΣ"/>
    <n v="39.930555555555557"/>
    <s v="31 - 40"/>
  </r>
  <r>
    <n v="99911917"/>
    <s v="Θ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11T00:00:00"/>
    <x v="0"/>
    <s v="ΔΙΕΥΘΥΝΣΗ Δ.Ε. ΠΕΙΡΑΙΑ"/>
    <n v="39.94166666666667"/>
    <s v="31 - 40"/>
  </r>
  <r>
    <n v="99911918"/>
    <s v="Θ"/>
    <x v="20"/>
    <x v="2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715"/>
    <s v="ΙΔΙΩΤΙΚΟ ΗΜΕΡΗΣΙΟ ΓΕΛ ΣΥΓΧΡΟΝΗ ΠΑΙΔΕΙΑ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09T00:00:00"/>
    <x v="0"/>
    <s v="ΔΙΕΥΘΥΝΣΗ Δ.Ε. Α΄ ΑΘΗΝΑΣ"/>
    <n v="39.947222222222223"/>
    <s v="31 - 40"/>
  </r>
  <r>
    <n v="9991191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08T00:00:00"/>
    <x v="0"/>
    <s v="ΔΙΕΥΘΥΝΣΗ Δ.Ε. Β΄ ΑΘΗΝΑΣ"/>
    <n v="39.950000000000003"/>
    <s v="31 - 40"/>
  </r>
  <r>
    <n v="99911920"/>
    <s v="Α"/>
    <x v="8"/>
    <x v="8"/>
    <m/>
    <m/>
    <s v="Γ΄"/>
    <n v="3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06T00:00:00"/>
    <x v="1"/>
    <s v="ΔΙΕΥΘΥΝΣΗ Π.Ε. ΑΝΑΤΟΛΙΚΗΣ ΑΤΤΙΚΗΣ"/>
    <n v="39.955555555555556"/>
    <s v="31 - 40"/>
  </r>
  <r>
    <n v="99911921"/>
    <s v="Θ"/>
    <x v="6"/>
    <x v="6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8-02T00:00:00"/>
    <x v="1"/>
    <s v="ΔΙΕΥΘΥΝΣΗ Π.Ε. Δ΄ ΑΘΗΝΑΣ"/>
    <n v="39.966666666666669"/>
    <s v="31 - 40"/>
  </r>
  <r>
    <n v="99911922"/>
    <s v="Α"/>
    <x v="15"/>
    <x v="15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9-08-02T00:00:00"/>
    <x v="0"/>
    <s v="ΔΙΕΥΘΥΝΣΗ Δ.Ε. ΑΙΤΩΛΟΑΚΑΡΝΑΝΙΑΣ"/>
    <n v="39.966666666666669"/>
    <s v="31 - 40"/>
  </r>
  <r>
    <n v="99911923"/>
    <s v="Θ"/>
    <x v="6"/>
    <x v="6"/>
    <m/>
    <m/>
    <s v="Γ΄"/>
    <n v="1"/>
    <d v="2018-09-19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9-08-01T00:00:00"/>
    <x v="1"/>
    <s v="ΔΙΕΥΘΥΝΣΗ Π.Ε. ΑΝΑΤ. ΘΕΣ/ΝΙΚΗΣ"/>
    <n v="39.969444444444441"/>
    <s v="31 - 40"/>
  </r>
  <r>
    <n v="99911924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7-29T00:00:00"/>
    <x v="1"/>
    <s v="ΔΙΕΥΘΥΝΣΗ Π.Ε. ΑΝΑΤ. ΘΕΣ/ΝΙΚΗΣ"/>
    <n v="39.977777777777774"/>
    <s v="31 - 40"/>
  </r>
  <r>
    <n v="99911925"/>
    <s v="Θ"/>
    <x v="3"/>
    <x v="3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79-07-29T00:00:00"/>
    <x v="0"/>
    <s v="ΔΙΕΥΘΥΝΣΗ Δ.Ε. ΔΩΔΕΚΑΝΗΣΟΥ"/>
    <n v="39.977777777777774"/>
    <s v="31 - 40"/>
  </r>
  <r>
    <n v="99911926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7-27T00:00:00"/>
    <x v="0"/>
    <s v="ΔΙΕΥΘΥΝΣΗ Δ.Ε. Γ΄ ΑΘΗΝΑΣ"/>
    <n v="39.983333333333334"/>
    <s v="31 - 40"/>
  </r>
  <r>
    <n v="99911927"/>
    <s v="Α"/>
    <x v="8"/>
    <x v="8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9-07-27T00:00:00"/>
    <x v="1"/>
    <s v="ΔΙΕΥΘΥΝΣΗ Π.Ε. ΑΝΑΤ. ΘΕΣ/ΝΙΚΗΣ"/>
    <n v="39.983333333333334"/>
    <s v="31 - 40"/>
  </r>
  <r>
    <n v="99911928"/>
    <s v="Θ"/>
    <x v="2"/>
    <x v="2"/>
    <m/>
    <m/>
    <s v="Γ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s v="ΟΧΙ"/>
    <s v="ΟΧΙ"/>
    <m/>
    <m/>
    <s v="Ιδιωτικά Σχολεία"/>
    <x v="2"/>
    <s v="7461027"/>
    <s v="ΙΔΙΩΤΙΚΟ ΣΥΣΤΕΓΑΖΟΜΕΝΟ ΝΗΠΙΑΓΩΓΕΙΟ - ΦΑΝΤΑΣΙ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9-07-26T00:00:00"/>
    <x v="1"/>
    <s v="ΔΙΕΥΘΥΝΣΗ Π.Ε. ΦΘΙΩΤΙΔΑΣ"/>
    <n v="39.986111111111114"/>
    <s v="31 - 40"/>
  </r>
  <r>
    <n v="99911929"/>
    <s v="Θ"/>
    <x v="3"/>
    <x v="3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9-07-25T00:00:00"/>
    <x v="0"/>
    <s v="ΔΙΕΥΘΥΝΣΗ Δ.Ε. ΠΕΙΡΑΙΑ"/>
    <n v="39.988888888888887"/>
    <s v="31 - 40"/>
  </r>
  <r>
    <n v="99911930"/>
    <s v="Α"/>
    <x v="8"/>
    <x v="8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1"/>
    <s v="ΟΧΙ"/>
    <s v="ΟΧΙ"/>
    <s v="ΟΧΙ"/>
    <s v="ΟΧΙ"/>
    <s v="ΟΧΙ"/>
    <m/>
    <m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9-07-24T00:00:00"/>
    <x v="0"/>
    <s v="ΔΙΕΥΘΥΝΣΗ Δ.Ε. ΙΩΑΝΝΙΝΩΝ"/>
    <n v="39.991666666666667"/>
    <s v="31 - 40"/>
  </r>
  <r>
    <n v="99911931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9-07-24T00:00:00"/>
    <x v="0"/>
    <s v="ΔΙΕΥΘΥΝΣΗ Δ.Ε. ΑΝΑΤ. ΘΕΣ/ΝΙΚΗΣ"/>
    <n v="39.991666666666667"/>
    <s v="31 - 40"/>
  </r>
  <r>
    <n v="99911932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7-23T00:00:00"/>
    <x v="1"/>
    <s v="ΔΙΕΥΘΥΝΣΗ Π.Ε. Β΄ ΑΘΗΝΑΣ"/>
    <n v="39.994444444444447"/>
    <s v="31 - 40"/>
  </r>
  <r>
    <n v="99911933"/>
    <s v="Α"/>
    <x v="15"/>
    <x v="15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7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07-19T00:00:00"/>
    <x v="0"/>
    <s v="ΔΙΕΥΘΥΝΣΗ Δ.Ε. ΚΟΡΙΝΘΙΑΣ"/>
    <n v="40.005555555555553"/>
    <s v="31 - 40"/>
  </r>
  <r>
    <n v="99911934"/>
    <s v="Α"/>
    <x v="5"/>
    <x v="5"/>
    <m/>
    <m/>
    <s v="Γ΄"/>
    <n v="1"/>
    <n v="19765"/>
    <d v="2018-11-29T00:00:00"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m/>
    <m/>
    <m/>
    <s v="ΟΧΙ"/>
    <m/>
    <d v="2018-11-29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7-17T00:00:00"/>
    <x v="0"/>
    <s v="ΔΙΕΥΘΥΝΣΗ Δ.Ε. ΑΝΑΤΟΛΙΚΗΣ ΑΤΤΙΚΗΣ"/>
    <n v="40.011111111111113"/>
    <s v="31 - 40"/>
  </r>
  <r>
    <n v="99911935"/>
    <s v="Α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7-15T00:00:00"/>
    <x v="0"/>
    <s v="ΔΙΕΥΘΥΝΣΗ Δ.Ε. Β΄ ΑΘΗΝΑΣ"/>
    <n v="40.016666666666666"/>
    <s v="31 - 40"/>
  </r>
  <r>
    <n v="99911936"/>
    <s v="Θ"/>
    <x v="4"/>
    <x v="4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7-15T00:00:00"/>
    <x v="0"/>
    <s v="ΔΙΕΥΘΥΝΣΗ Δ.Ε. Γ΄ ΑΘΗΝΑΣ"/>
    <n v="40.016666666666666"/>
    <s v="31 - 40"/>
  </r>
  <r>
    <n v="99911937"/>
    <s v="Θ"/>
    <x v="6"/>
    <x v="6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9"/>
    <s v="ΟΧΙ"/>
    <s v="ΟΧΙ"/>
    <s v="ΟΧΙ"/>
    <s v="ΟΧΙ"/>
    <s v="ΟΧΙ"/>
    <m/>
    <d v="2018-09-01T00:00:00"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9-07-15T00:00:00"/>
    <x v="1"/>
    <s v="ΔΙΕΥΘΥΝΣΗ Π.Ε. ΑΙΤΩΛΟΑΚΑΡΝΑΝΙΑΣ"/>
    <n v="40.016666666666666"/>
    <s v="31 - 40"/>
  </r>
  <r>
    <n v="99911938"/>
    <s v="Θ"/>
    <x v="34"/>
    <x v="33"/>
    <m/>
    <m/>
    <s v="Γ΄"/>
    <n v="1"/>
    <n v="18264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7-11T00:00:00"/>
    <x v="0"/>
    <s v="ΔΙΕΥΘΥΝΣΗ Δ.Ε. Β΄ ΑΘΗΝΑΣ"/>
    <n v="40.027777777777779"/>
    <s v="31 - 40"/>
  </r>
  <r>
    <n v="99911939"/>
    <s v="Θ"/>
    <x v="2"/>
    <x v="2"/>
    <m/>
    <m/>
    <s v="Γ΄"/>
    <n v="1"/>
    <n v="1459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7-11T00:00:00"/>
    <x v="1"/>
    <s v="ΔΙΕΥΘΥΝΣΗ Π.Ε. Δ΄ ΑΘΗΝΑΣ"/>
    <n v="40.027777777777779"/>
    <s v="31 - 40"/>
  </r>
  <r>
    <n v="99911940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7-07T00:00:00"/>
    <x v="0"/>
    <s v="ΔΙΕΥΘΥΝΣΗ Δ.Ε. Β΄ ΑΘΗΝΑΣ"/>
    <n v="40.038888888888891"/>
    <s v="31 - 40"/>
  </r>
  <r>
    <n v="99911941"/>
    <s v="Α"/>
    <x v="19"/>
    <x v="19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3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9-07-07T00:00:00"/>
    <x v="0"/>
    <s v="ΔΙΕΥΘΥΝΣΗ Δ.Ε. ΔΩΔΕΚΑΝΗΣΟΥ"/>
    <n v="40.038888888888891"/>
    <s v="31 - 40"/>
  </r>
  <r>
    <n v="99911942"/>
    <s v="Θ"/>
    <x v="2"/>
    <x v="2"/>
    <m/>
    <m/>
    <s v="Γ΄"/>
    <n v="1"/>
    <s v="Φ.17/74"/>
    <d v="2018-09-01T00:00:00"/>
    <s v="ΔΥΤ. ΑΤΤΙΚΗΣ (Π.Ε.) 2018"/>
    <s v="ΔΙΕΥΘΥΝΣΗ Π.Ε. ΔΥΤΙΚΗΣ ΑΤΤΙΚΗ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531009"/>
    <s v="ΣΥΣΤΕΓΑΖΟΜΕΝΟ ΝΗΠΙΑΓΩΓΕΙΟ - ΙΔΙΩΤΙΚΟ ΝΗΠΙΑΓΩΓΕΙΟ ΠΟΛΥΧΡΟΝΙΑΔΗ ΑΝΝΑ"/>
    <s v="ΔΥΤ. ΑΤΤΙΚΗΣ (Π.Ε.) 2018"/>
    <x v="26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30T00:00:00"/>
    <x v="1"/>
    <s v="ΔΙΕΥΘΥΝΣΗ Π.Ε. ΔΥΤΙΚΗΣ ΑΤΤΙΚΗΣ"/>
    <n v="40.05833333333333"/>
    <s v="31 - 40"/>
  </r>
  <r>
    <n v="99911943"/>
    <s v="Α"/>
    <x v="8"/>
    <x v="8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26T00:00:00"/>
    <x v="0"/>
    <s v="ΔΙΕΥΘΥΝΣΗ Δ.Ε. Δ΄ ΑΘΗΝΑΣ"/>
    <n v="40.069444444444443"/>
    <s v="31 - 40"/>
  </r>
  <r>
    <n v="99911944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25T00:00:00"/>
    <x v="0"/>
    <s v="ΔΙΕΥΘΥΝΣΗ Δ.Ε. Γ΄ ΑΘΗΝΑΣ"/>
    <n v="40.072222222222223"/>
    <s v="31 - 40"/>
  </r>
  <r>
    <n v="99911945"/>
    <s v="Α"/>
    <x v="4"/>
    <x v="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6-25T00:00:00"/>
    <x v="0"/>
    <s v="ΔΙΕΥΘΥΝΣΗ Δ.Ε. ΑΝΑΤ. ΘΕΣ/ΝΙΚΗΣ"/>
    <n v="40.072222222222223"/>
    <s v="31 - 40"/>
  </r>
  <r>
    <n v="99911946"/>
    <s v="Θ"/>
    <x v="10"/>
    <x v="10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23T00:00:00"/>
    <x v="0"/>
    <s v="ΔΙΕΥΘΥΝΣΗ Δ.Ε. Δ΄ ΑΘΗΝΑΣ"/>
    <n v="40.077777777777776"/>
    <s v="31 - 40"/>
  </r>
  <r>
    <n v="99911947"/>
    <s v="Θ"/>
    <x v="2"/>
    <x v="2"/>
    <m/>
    <m/>
    <s v="Γ΄"/>
    <n v="1"/>
    <s v="21350/13-09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57"/>
    <s v="ΙΔΙΩΤΙΚΟ ΝΗΠΙΑΓΩΓΕΙΟ ΘΕΣΣΑΛΟΝΙΚΗ - ΣΤΡΟΥΜΦΟΧΩΡΙΟ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6-21T00:00:00"/>
    <x v="1"/>
    <s v="ΔΙΕΥΘΥΝΣΗ Π.Ε. ΑΝΑΤ. ΘΕΣ/ΝΙΚΗΣ"/>
    <n v="40.083333333333336"/>
    <s v="31 - 40"/>
  </r>
  <r>
    <n v="99911948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20T00:00:00"/>
    <x v="0"/>
    <s v="ΔΙΕΥΘΥΝΣΗ Δ.Ε. ΠΕΙΡΑΙΑ"/>
    <n v="40.086111111111109"/>
    <s v="31 - 40"/>
  </r>
  <r>
    <n v="9991194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19T00:00:00"/>
    <x v="0"/>
    <s v="ΔΙΕΥΘΥΝΣΗ Δ.Ε. Β΄ ΑΘΗΝΑΣ"/>
    <n v="40.088888888888889"/>
    <s v="31 - 40"/>
  </r>
  <r>
    <n v="99911950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19T00:00:00"/>
    <x v="1"/>
    <s v="ΔΙΕΥΘΥΝΣΗ Π.Ε. Β΄ ΑΘΗΝΑΣ"/>
    <n v="40.088888888888889"/>
    <s v="31 - 40"/>
  </r>
  <r>
    <n v="99911951"/>
    <s v="Α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645053"/>
    <s v="ΙΔΙΩΤΙΚΟ ΓΥΜΝΑΣΙΟ &quot;ΑΝΑΓΕΝΝΗΣΗ IKE&quot;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9-06-18T00:00:00"/>
    <x v="0"/>
    <s v="ΔΙΕΥΘΥΝΣΗ Δ.Ε. ΑΧΑΪΑΣ"/>
    <n v="40.091666666666669"/>
    <s v="31 - 40"/>
  </r>
  <r>
    <n v="99911952"/>
    <s v="Α"/>
    <x v="10"/>
    <x v="10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13"/>
    <s v="ΟΧΙ"/>
    <s v="ΟΧΙ"/>
    <s v="ΟΧΙ"/>
    <s v="ΟΧΙ"/>
    <s v="ΟΧΙ"/>
    <m/>
    <m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9-06-18T00:00:00"/>
    <x v="1"/>
    <s v="ΔΙΕΥΘΥΝΣΗ Π.Ε. ΑΙΤΩΛΟΑΚΑΡΝΑΝΙΑΣ"/>
    <n v="40.091666666666669"/>
    <s v="31 - 40"/>
  </r>
  <r>
    <n v="99911953"/>
    <s v="Θ"/>
    <x v="6"/>
    <x v="6"/>
    <m/>
    <m/>
    <s v="Γ΄"/>
    <n v="1"/>
    <n v="11039"/>
    <d v="2018-09-01T00:00:00"/>
    <s v="ΙΩΑΝΝΙΝΩΝ (Δ.Ε.) 2018"/>
    <s v="ΔΙΕΥΘΥΝΣΗ Δ.Ε. ΙΩΑΝΝΙΝΩΝ"/>
    <s v="ΠΕΡΙΦΕΡΕΙΑΚΗ Δ/ΝΣΗ Α/ΘΜΙΑΣ ΚΑΙ Β/ΘΜΙΑΣ ΕΚΠ/ΣΗΣ ΗΠΕΙΡΟΥ"/>
    <n v="12"/>
    <s v="ΟΧΙ"/>
    <s v="ΟΧΙ"/>
    <s v="ΟΧΙ"/>
    <m/>
    <s v="ΟΧΙ"/>
    <m/>
    <d v="2018-09-01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79-06-18T00:00:00"/>
    <x v="0"/>
    <s v="ΔΙΕΥΘΥΝΣΗ Δ.Ε. ΙΩΑΝΝΙΝΩΝ"/>
    <n v="40.091666666666669"/>
    <s v="31 - 40"/>
  </r>
  <r>
    <n v="99911954"/>
    <s v="Θ"/>
    <x v="2"/>
    <x v="2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311027"/>
    <s v="ΙΔΙΩΤΙΚΟ ΝΗΠΙΑΓΩΓΕΙΟ ΛΑΡΙΣΑ - ΙΔ ΝΗΠΙΑΓΩΓΕΙΟ ΜΠΟΜΠΟΛΟΥ ΧΡΥΣΑΝΘ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6-18T00:00:00"/>
    <x v="1"/>
    <s v="ΔΙΕΥΘΥΝΣΗ Π.Ε. ΛΑΡΙΣΑΣ"/>
    <n v="40.091666666666669"/>
    <s v="31 - 40"/>
  </r>
  <r>
    <n v="99911955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16T00:00:00"/>
    <x v="0"/>
    <s v="ΔΙΕΥΘΥΝΣΗ Δ.Ε. Β΄ ΑΘΗΝΑΣ"/>
    <n v="40.097222222222221"/>
    <s v="31 - 40"/>
  </r>
  <r>
    <n v="99911956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16T00:00:00"/>
    <x v="0"/>
    <s v="ΔΙΕΥΘΥΝΣΗ Δ.Ε. Β΄ ΑΘΗΝΑΣ"/>
    <n v="40.097222222222221"/>
    <s v="31 - 40"/>
  </r>
  <r>
    <n v="99911957"/>
    <s v="Α"/>
    <x v="14"/>
    <x v="14"/>
    <m/>
    <m/>
    <s v="Α΄"/>
    <n v="5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6-16T00:00:00"/>
    <x v="0"/>
    <s v="ΔΙΕΥΘΥΝΣΗ Δ.Ε. ΛΑΡΙΣΑΣ"/>
    <n v="40.097222222222221"/>
    <s v="31 - 40"/>
  </r>
  <r>
    <n v="99911958"/>
    <s v="Α"/>
    <x v="18"/>
    <x v="18"/>
    <m/>
    <m/>
    <s v="Γ΄"/>
    <n v="1"/>
    <n v="12562"/>
    <d v="2018-09-01T00:00:00"/>
    <s v="Δ΄ ΑΘΗΝΑΣ (Π.Ε.) 2018"/>
    <s v="ΔΙΕΥΘΥΝΣΗ Π.Ε. Δ΄ ΑΘΗΝΑΣ"/>
    <s v="ΠΕΡΙΦΕΡΕΙΑΚΗ Δ/ΝΣΗ Α/ΘΜΙΑΣ ΚΑΙ Β/ΘΜΙΑΣ ΕΚΠ/ΣΗΣ ΑΤΤΙΚΗΣ"/>
    <n v="15"/>
    <s v="ΟΧΙ"/>
    <s v="ΟΧΙ"/>
    <s v="ΟΧΙ"/>
    <s v="ΟΧΙ"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15T00:00:00"/>
    <x v="1"/>
    <s v="ΔΙΕΥΘΥΝΣΗ Π.Ε. Δ΄ ΑΘΗΝΑΣ"/>
    <n v="40.1"/>
    <s v="31 - 40"/>
  </r>
  <r>
    <n v="99911959"/>
    <s v="Θ"/>
    <x v="0"/>
    <x v="0"/>
    <m/>
    <m/>
    <s v="Γ΄"/>
    <n v="3"/>
    <d v="2016-09-12T00:00:00"/>
    <d v="2018-09-01T00:00:00"/>
    <s v="Α΄ ΑΘΗΝΑΣ (Δ.Ε.) 2018"/>
    <s v="ΔΙΕΥΘΥΝΣΗ Δ.Ε. Α΄ ΑΘΗΝΑΣ"/>
    <s v="ΠΕΡΙΦΕΡΕΙΑΚΗ Δ/ΝΣΗ Α/ΘΜΙΑΣ ΚΑΙ Β/ΘΜΙΑΣ ΕΚΠ/ΣΗΣ ΑΤΤΙΚΗΣ"/>
    <n v="10"/>
    <s v="ΟΧΙ"/>
    <s v="ΟΧΙ"/>
    <s v="ΟΧΙ"/>
    <s v="ΟΧΙ"/>
    <s v="ΟΧΙ"/>
    <m/>
    <d v="2018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06T00:00:00"/>
    <x v="0"/>
    <s v="ΔΙΕΥΘΥΝΣΗ Δ.Ε. Α΄ ΑΘΗΝΑΣ"/>
    <n v="40.125"/>
    <s v="31 - 40"/>
  </r>
  <r>
    <n v="99911960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05T00:00:00"/>
    <x v="0"/>
    <s v="ΔΙΕΥΘΥΝΣΗ Δ.Ε. Δ΄ ΑΘΗΝΑΣ"/>
    <n v="40.12777777777778"/>
    <s v="31 - 40"/>
  </r>
  <r>
    <n v="99911961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04T00:00:00"/>
    <x v="0"/>
    <s v="ΔΙΕΥΘΥΝΣΗ Δ.Ε. Β΄ ΑΘΗΝΑΣ"/>
    <n v="40.130555555555553"/>
    <s v="31 - 40"/>
  </r>
  <r>
    <n v="99911962"/>
    <s v="Θ"/>
    <x v="10"/>
    <x v="1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04T00:00:00"/>
    <x v="0"/>
    <s v="ΔΙΕΥΘΥΝΣΗ Δ.Ε. Δ΄ ΑΘΗΝΑΣ"/>
    <n v="40.130555555555553"/>
    <s v="31 - 40"/>
  </r>
  <r>
    <n v="99911963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6-01T00:00:00"/>
    <x v="0"/>
    <s v="ΔΙΕΥΘΥΝΣΗ Δ.Ε. Β΄ ΑΘΗΝΑΣ"/>
    <n v="40.138888888888886"/>
    <s v="31 - 40"/>
  </r>
  <r>
    <n v="99911964"/>
    <s v="Α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6-01T00:00:00"/>
    <x v="0"/>
    <s v="ΔΙΕΥΘΥΝΣΗ Δ.Ε. Γ΄ ΑΘΗΝΑΣ"/>
    <n v="40.138888888888886"/>
    <s v="31 - 40"/>
  </r>
  <r>
    <n v="99911965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1012"/>
    <s v="ΜΟΝΤΕΣΣΟΡΙΑΝΗ ΣΧΟΛΗ ΑΘΗΝΩΝ ΜΑΡΙΑ ΓΟΥΔΕΛΗ ΑΕΕ - ΔΗΜΟΤΙΚΟ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5-29T00:00:00"/>
    <x v="1"/>
    <s v="ΔΙΕΥΘΥΝΣΗ Π.Ε. Α΄ ΑΘΗΝΑΣ"/>
    <n v="40.147222222222226"/>
    <s v="31 - 40"/>
  </r>
  <r>
    <n v="99911966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9-05-21T00:00:00"/>
    <x v="0"/>
    <s v="ΔΙΕΥΘΥΝΣΗ Δ.Ε. Β΄ ΑΘΗΝΑΣ"/>
    <n v="40.169444444444444"/>
    <s v="31 - 40"/>
  </r>
  <r>
    <n v="99911967"/>
    <s v="Α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5-14T00:00:00"/>
    <x v="0"/>
    <s v="ΔΙΕΥΘΥΝΣΗ Δ.Ε. Β΄ ΑΘΗΝΑΣ"/>
    <n v="40.18888888888889"/>
    <s v="31 - 40"/>
  </r>
  <r>
    <n v="99911968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5-13T00:00:00"/>
    <x v="0"/>
    <s v="ΔΙΕΥΘΥΝΣΗ Δ.Ε. ΑΝΑΤΟΛΙΚΗΣ ΑΤΤΙΚΗΣ"/>
    <n v="40.19166666666667"/>
    <s v="31 - 40"/>
  </r>
  <r>
    <n v="99911969"/>
    <s v="Θ"/>
    <x v="0"/>
    <x v="0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d v="2018-09-01T00:00:00"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5-10T00:00:00"/>
    <x v="0"/>
    <s v="ΔΙΕΥΘΥΝΣΗ Δ.Ε. Β΄ ΑΘΗΝΑΣ"/>
    <n v="40.200000000000003"/>
    <s v="31 - 40"/>
  </r>
  <r>
    <n v="99911970"/>
    <s v="Θ"/>
    <x v="24"/>
    <x v="24"/>
    <m/>
    <m/>
    <s v="Γ΄"/>
    <n v="3"/>
    <n v="13104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5-09T00:00:00"/>
    <x v="0"/>
    <s v="ΔΙΕΥΘΥΝΣΗ Δ.Ε. ΑΝΑΤ. ΘΕΣ/ΝΙΚΗΣ"/>
    <n v="40.202777777777776"/>
    <s v="31 - 40"/>
  </r>
  <r>
    <n v="99911971"/>
    <s v="Θ"/>
    <x v="1"/>
    <x v="1"/>
    <m/>
    <m/>
    <s v="Γ΄"/>
    <n v="1"/>
    <s v="ΨΥΤ84653ΠΣ-33Ψ"/>
    <d v="2017-01-26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d v="2017-01-26T00:00:00"/>
    <s v="Ιδιωτικά Σχολεία"/>
    <x v="1"/>
    <s v="7054004"/>
    <s v="ΙΔΙΩΤΙΚΟ ΔΗΜΟΤΙΚΟ - ΠΑΣΧΑΛΗΣ ΑΝΤΩΝΗΣ ΙΔΙΩΤΙΚΑ ΕΚΠΑΙΔΕΥΤΗΡΙΑ &amp; ΣΙΑ Ε.Ε.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5-04T00:00:00"/>
    <x v="1"/>
    <s v="ΔΙΕΥΘΥΝΣΗ Π.Ε. Δ΄ ΑΘΗΝΑΣ"/>
    <n v="40.216666666666669"/>
    <s v="31 - 40"/>
  </r>
  <r>
    <n v="99911972"/>
    <s v="Θ"/>
    <x v="1"/>
    <x v="1"/>
    <m/>
    <m/>
    <s v="Γ΄"/>
    <n v="1"/>
    <n v="2668"/>
    <d v="2018-09-01T00:00:00"/>
    <s v="Α΄ ΠΕΙΡΑΙΑ (Π.Ε.) 2018"/>
    <s v="ΔΙΕΥΘΥΝΣΗ Π.Ε. ΠΕΙΡΑΙΑ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5-03T00:00:00"/>
    <x v="1"/>
    <s v="ΔΙΕΥΘΥΝΣΗ Π.Ε. ΠΕΙΡΑΙΑ"/>
    <n v="40.219444444444441"/>
    <s v="31 - 40"/>
  </r>
  <r>
    <n v="99911973"/>
    <s v="Θ"/>
    <x v="0"/>
    <x v="0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5-01T00:00:00"/>
    <x v="1"/>
    <s v="ΔΙΕΥΘΥΝΣΗ Π.Ε. ΛΑΡΙΣΑΣ"/>
    <n v="40.225000000000001"/>
    <s v="31 - 40"/>
  </r>
  <r>
    <n v="99911974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4-29T00:00:00"/>
    <x v="1"/>
    <s v="ΔΙΕΥΘΥΝΣΗ Π.Ε. Β΄ ΑΘΗΝΑΣ"/>
    <n v="40.230555555555554"/>
    <s v="31 - 40"/>
  </r>
  <r>
    <n v="99911975"/>
    <s v="Θ"/>
    <x v="2"/>
    <x v="2"/>
    <m/>
    <m/>
    <s v="Α΄"/>
    <n v="5"/>
    <s v="Φ.Ι.Α.6/38670/6-12-2017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4-28T00:00:00"/>
    <x v="1"/>
    <s v="ΔΙΕΥΘΥΝΣΗ Π.Ε. ΑΝΑΤΟΛΙΚΗΣ ΑΤΤΙΚΗΣ"/>
    <n v="40.233333333333334"/>
    <s v="31 - 40"/>
  </r>
  <r>
    <n v="99911976"/>
    <s v="Θ"/>
    <x v="6"/>
    <x v="6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6"/>
    <s v="ΟΧΙ"/>
    <s v="ΟΧΙ"/>
    <s v="ΟΧΙ"/>
    <s v="ΟΧΙ"/>
    <s v="ΟΧΙ"/>
    <m/>
    <m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9-04-16T00:00:00"/>
    <x v="0"/>
    <s v="ΔΙΕΥΘΥΝΣΗ Δ.Ε. ΙΩΑΝΝΙΝΩΝ"/>
    <n v="40.266666666666666"/>
    <s v="31 - 40"/>
  </r>
  <r>
    <n v="99911977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09"/>
    <s v="ΣΥΛΛΟΓΟΣ ΓΟΝΕΩΝ ΠΑΙΔΙΩΝ ΤΟΥ Β΄ ΒΡΕΦΙΚΟΥ ΠΑΙΔΙΚΟΥ ΣΤΑΘΜΟΥ &amp; ΝΗΠ/ΓΕΙΟΥ ΧΑΛΚΙΔΑΣ 2ο ΝΗΠ/ΓΕΙΟ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9-04-13T00:00:00"/>
    <x v="1"/>
    <s v="ΔΙΕΥΘΥΝΣΗ Π.Ε. ΕΥΒΟΙΑΣ"/>
    <n v="40.274999999999999"/>
    <s v="31 - 40"/>
  </r>
  <r>
    <n v="99911978"/>
    <s v="Θ"/>
    <x v="8"/>
    <x v="8"/>
    <m/>
    <m/>
    <s v="Γ΄"/>
    <n v="1"/>
    <s v="16056/01-09-2018"/>
    <d v="2018-09-01T00:00:00"/>
    <s v="ΛΑΡΙΣΑΣ (Δ.Ε.) 2018"/>
    <s v="ΔΙΕΥΘΥΝΣΗ Δ.Ε. ΛΑΡΙΣΑΣ"/>
    <s v="ΠΕΡΙΦΕΡΕΙΑΚΗ Δ/ΝΣΗ Α/ΘΜΙΑΣ ΚΑΙ Β/ΘΜΙΑΣ ΕΚΠ/ΣΗΣ ΘΕΣΣΑΛΙΑΣ"/>
    <n v="13"/>
    <s v="ΟΧΙ"/>
    <s v="ΟΧΙ"/>
    <s v="ΟΧΙ"/>
    <s v="ΟΧΙ"/>
    <s v="ΟΧΙ"/>
    <m/>
    <d v="2018-09-01T00:00:00"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4-12T00:00:00"/>
    <x v="0"/>
    <s v="ΔΙΕΥΘΥΝΣΗ Δ.Ε. ΛΑΡΙΣΑΣ"/>
    <n v="40.277777777777779"/>
    <s v="31 - 40"/>
  </r>
  <r>
    <n v="99911979"/>
    <s v="Θ"/>
    <x v="2"/>
    <x v="2"/>
    <m/>
    <m/>
    <s v="Α΄"/>
    <n v="1"/>
    <m/>
    <m/>
    <s v="ΑΡΤΑΣ (Π.Ε.) 2018"/>
    <s v="ΔΙΕΥΘΥΝΣΗ Π.Ε. ΑΡΤΑΣ"/>
    <s v="ΠΕΡΙΦΕΡΕΙΑΚΗ Δ/ΝΣΗ Α/ΘΜΙΑΣ ΚΑΙ Β/ΘΜΙΑΣ ΕΚΠ/ΣΗΣ ΗΠΕΙΡΟΥ"/>
    <n v="25"/>
    <s v="ΟΧΙ"/>
    <s v="ΟΧΙ"/>
    <s v="ΟΧΙ"/>
    <m/>
    <s v="ΟΧΙ"/>
    <m/>
    <m/>
    <s v="Ιδιωτικά Σχολεία"/>
    <x v="2"/>
    <s v="7041001"/>
    <s v="ΙΔΙΩΤΙΚΟ ΝΗΠΙΑΓΩΓΕΙΟ &quot;ΜΕΡΑΝΤΖΑ ΕΛΕΝΗ&quot;"/>
    <s v="ΑΡΤΑΣ (Π.Ε.) 2018"/>
    <x v="67"/>
    <s v="ΠΕΡΙΦΕΡΕΙΑΚΗ Δ/ΝΣΗ Α/ΘΜΙΑΣ ΚΑΙ Β/ΘΜΙΑΣ ΕΚΠ/ΣΗΣ ΗΠΕΙΡΟΥ"/>
    <s v="Ιδιωτικού Δικαίου Αορίστου Χρόνου (Ι.Δ.Α.Χ.) με Οργανική σε Ισότιμο προς τα Δημόσια Σχολείο"/>
    <s v="Τοποθέτηση σε Ιδιωτική Εκπαίδευση"/>
    <d v="1979-04-07T00:00:00"/>
    <x v="1"/>
    <s v="ΔΙΕΥΘΥΝΣΗ Π.Ε. ΑΡΤΑΣ"/>
    <n v="40.291666666666664"/>
    <s v="31 - 40"/>
  </r>
  <r>
    <n v="99911980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9-04-02T00:00:00"/>
    <x v="1"/>
    <s v="ΔΙΕΥΘΥΝΣΗ Π.Ε. ΧΑΝΙΩΝ"/>
    <n v="40.305555555555557"/>
    <s v="31 - 40"/>
  </r>
  <r>
    <n v="99911981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3-28T00:00:00"/>
    <x v="0"/>
    <s v="ΔΙΕΥΘΥΝΣΗ Δ.Ε. Γ΄ ΑΘΗΝΑΣ"/>
    <n v="40.319444444444443"/>
    <s v="31 - 40"/>
  </r>
  <r>
    <n v="99911982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3-27T00:00:00"/>
    <x v="0"/>
    <s v="ΔΙΕΥΘΥΝΣΗ Δ.Ε. ΠΕΙΡΑΙΑ"/>
    <n v="40.322222222222223"/>
    <s v="31 - 40"/>
  </r>
  <r>
    <n v="99911983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361003"/>
    <s v="ΙΔΙΩΤΙΚΟ ΝΗΠΙΑΓΩΓΕΙ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03-24T00:00:00"/>
    <x v="1"/>
    <s v="ΔΙΕΥΘΥΝΣΗ Π.Ε. ΜΕΣΣΗΝΙΑΣ"/>
    <n v="40.330555555555556"/>
    <s v="31 - 40"/>
  </r>
  <r>
    <n v="99911984"/>
    <s v="Θ"/>
    <x v="0"/>
    <x v="0"/>
    <m/>
    <m/>
    <s v="Γ΄"/>
    <n v="1"/>
    <n v="231"/>
    <d v="2006-08-3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06-08-3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9-03-21T00:00:00"/>
    <x v="0"/>
    <s v="ΔΙΕΥΘΥΝΣΗ Δ.Ε. Β΄ ΑΘΗΝΑΣ"/>
    <n v="40.338888888888889"/>
    <s v="31 - 40"/>
  </r>
  <r>
    <n v="99911985"/>
    <s v="Θ"/>
    <x v="0"/>
    <x v="0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3-20T00:00:00"/>
    <x v="0"/>
    <s v="ΔΙΕΥΘΥΝΣΗ Δ.Ε. Δ΄ ΑΘΗΝΑΣ"/>
    <n v="40.341666666666669"/>
    <s v="31 - 40"/>
  </r>
  <r>
    <n v="99911986"/>
    <s v="Θ"/>
    <x v="8"/>
    <x v="8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3-20T00:00:00"/>
    <x v="0"/>
    <s v="ΔΙΕΥΘΥΝΣΗ Δ.Ε. ΑΝΑΤ. ΘΕΣ/ΝΙΚΗΣ"/>
    <n v="40.341666666666669"/>
    <s v="31 - 40"/>
  </r>
  <r>
    <n v="99911987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3-15T00:00:00"/>
    <x v="0"/>
    <s v="ΔΙΕΥΘΥΝΣΗ Δ.Ε. ΑΝΑΤΟΛΙΚΗΣ ΑΤΤΙΚΗΣ"/>
    <n v="40.355555555555554"/>
    <s v="31 - 40"/>
  </r>
  <r>
    <n v="99911988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3-15T00:00:00"/>
    <x v="0"/>
    <s v="ΔΙΕΥΘΥΝΣΗ Δ.Ε. ΛΑΡΙΣΑΣ"/>
    <n v="40.355555555555554"/>
    <s v="31 - 40"/>
  </r>
  <r>
    <n v="99911989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3-11T00:00:00"/>
    <x v="0"/>
    <s v="ΔΙΕΥΘΥΝΣΗ Δ.Ε. Β΄ ΑΘΗΝΑΣ"/>
    <n v="40.366666666666667"/>
    <s v="31 - 40"/>
  </r>
  <r>
    <n v="99911990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3-07T00:00:00"/>
    <x v="0"/>
    <s v="ΔΙΕΥΘΥΝΣΗ Δ.Ε. Γ΄ ΑΘΗΝΑΣ"/>
    <n v="40.37777777777778"/>
    <s v="31 - 40"/>
  </r>
  <r>
    <n v="99911991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3021"/>
    <s v="ΙΔΙΩΤΙΚΟ ΝΗΠΙΑΓΩΓΕΙΟ - ΚΟΝΤΟΠΟΥΛΟΥ ΟΥΡΑΝΙΑ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2-28T00:00:00"/>
    <x v="1"/>
    <s v="ΔΙΕΥΘΥΝΣΗ Π.Ε. Γ΄ ΑΘΗΝΑΣ"/>
    <n v="40.397222222222226"/>
    <s v="31 - 40"/>
  </r>
  <r>
    <n v="99911992"/>
    <s v="Θ"/>
    <x v="8"/>
    <x v="8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3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2-23T00:00:00"/>
    <x v="1"/>
    <s v="ΔΙΕΥΘΥΝΣΗ Π.Ε. ΑΝΑΤ. ΘΕΣ/ΝΙΚΗΣ"/>
    <n v="40.411111111111111"/>
    <s v="31 - 40"/>
  </r>
  <r>
    <n v="99911993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2-16T00:00:00"/>
    <x v="1"/>
    <s v="ΔΙΕΥΘΥΝΣΗ Π.Ε. Α΄ ΑΘΗΝΑΣ"/>
    <n v="40.430555555555557"/>
    <s v="31 - 40"/>
  </r>
  <r>
    <n v="99911994"/>
    <s v="Θ"/>
    <x v="6"/>
    <x v="6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2-12T00:00:00"/>
    <x v="1"/>
    <s v="ΔΙΕΥΘΥΝΣΗ Π.Ε. Δ΄ ΑΘΗΝΑΣ"/>
    <n v="40.44166666666667"/>
    <s v="31 - 40"/>
  </r>
  <r>
    <n v="99911995"/>
    <s v="Θ"/>
    <x v="6"/>
    <x v="6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2-09T00:00:00"/>
    <x v="1"/>
    <s v="ΔΙΕΥΘΥΝΣΗ Π.Ε. Δ΄ ΑΘΗΝΑΣ"/>
    <n v="40.450000000000003"/>
    <s v="31 - 40"/>
  </r>
  <r>
    <n v="99911996"/>
    <s v="Α"/>
    <x v="24"/>
    <x v="24"/>
    <m/>
    <m/>
    <s v="Γ΄"/>
    <n v="1"/>
    <n v="10309"/>
    <d v="2018-10-24T00:00:00"/>
    <s v="ΙΩΑΝΝΙΝΩΝ (Δ.Ε.) 2018"/>
    <s v="ΔΙΕΥΘΥΝΣΗ Δ.Ε. ΙΩΑΝΝΙΝΩΝ"/>
    <s v="ΠΕΡΙΦΕΡΕΙΑΚΗ Δ/ΝΣΗ Α/ΘΜΙΑΣ ΚΑΙ Β/ΘΜΙΑΣ ΕΚΠ/ΣΗΣ ΗΠΕΙΡΟΥ"/>
    <n v="3"/>
    <s v="ΟΧΙ"/>
    <m/>
    <m/>
    <m/>
    <s v="ΟΧΙ"/>
    <m/>
    <d v="2018-10-24T00:00:00"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9-02-08T00:00:00"/>
    <x v="0"/>
    <s v="ΔΙΕΥΘΥΝΣΗ Δ.Ε. ΙΩΑΝΝΙΝΩΝ"/>
    <n v="40.452777777777776"/>
    <s v="31 - 40"/>
  </r>
  <r>
    <n v="99911997"/>
    <s v="Θ"/>
    <x v="4"/>
    <x v="4"/>
    <m/>
    <m/>
    <s v="Γ΄"/>
    <n v="1"/>
    <s v="16053/01-09-2018"/>
    <d v="2018-09-01T00:00:00"/>
    <s v="ΛΑΡΙΣΑΣ (Δ.Ε.) 2018"/>
    <s v="ΔΙΕΥΘΥΝΣΗ Δ.Ε. ΛΑΡΙΣΑΣ"/>
    <s v="ΠΕΡΙΦΕΡΕΙΑΚΗ Δ/ΝΣΗ Α/ΘΜΙΑΣ ΚΑΙ Β/ΘΜΙΑΣ ΕΚΠ/ΣΗΣ ΘΕΣΣΑΛΙΑΣ"/>
    <n v="6"/>
    <s v="ΟΧΙ"/>
    <s v="ΟΧΙ"/>
    <s v="ΟΧΙ"/>
    <s v="ΟΧΙ"/>
    <s v="ΟΧΙ"/>
    <m/>
    <d v="2018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2-08T00:00:00"/>
    <x v="0"/>
    <s v="ΔΙΕΥΘΥΝΣΗ Δ.Ε. ΛΑΡΙΣΑΣ"/>
    <n v="40.452777777777776"/>
    <s v="31 - 40"/>
  </r>
  <r>
    <n v="99911998"/>
    <s v="Θ"/>
    <x v="3"/>
    <x v="3"/>
    <m/>
    <m/>
    <s v="Γ΄"/>
    <n v="1"/>
    <s v="23852/3-9-2018"/>
    <d v="2018-09-03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d v="2018-09-03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9-02-01T00:00:00"/>
    <x v="0"/>
    <s v="ΔΙΕΥΘΥΝΣΗ Δ.Ε. ΛΑΡΙΣΑΣ"/>
    <n v="40.472222222222221"/>
    <s v="31 - 40"/>
  </r>
  <r>
    <n v="99911999"/>
    <s v="Θ"/>
    <x v="1"/>
    <x v="1"/>
    <m/>
    <m/>
    <s v="Α΄"/>
    <n v="7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29T00:00:00"/>
    <x v="1"/>
    <s v="ΔΙΕΥΘΥΝΣΗ Π.Ε. Δ΄ ΑΘΗΝΑΣ"/>
    <n v="40.480555555555554"/>
    <s v="31 - 40"/>
  </r>
  <r>
    <n v="99912000"/>
    <s v="Θ"/>
    <x v="12"/>
    <x v="12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28T00:00:00"/>
    <x v="0"/>
    <s v="ΔΙΕΥΘΥΝΣΗ Δ.Ε. Α΄ ΑΘΗΝΑΣ"/>
    <n v="40.483333333333334"/>
    <s v="31 - 40"/>
  </r>
  <r>
    <n v="99912001"/>
    <s v="Θ"/>
    <x v="6"/>
    <x v="6"/>
    <m/>
    <m/>
    <s v="Γ΄"/>
    <n v="1"/>
    <d v="2016-09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1-27T00:00:00"/>
    <x v="1"/>
    <s v="ΔΙΕΥΘΥΝΣΗ Π.Ε. ΑΝΑΤ. ΘΕΣ/ΝΙΚΗΣ"/>
    <n v="40.486111111111114"/>
    <s v="31 - 40"/>
  </r>
  <r>
    <n v="99912002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22T00:00:00"/>
    <x v="1"/>
    <s v="ΔΙΕΥΘΥΝΣΗ Π.Ε. Α΄ ΑΘΗΝΑΣ"/>
    <n v="40.5"/>
    <s v="41 - 45"/>
  </r>
  <r>
    <n v="99912003"/>
    <s v="Α"/>
    <x v="14"/>
    <x v="14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7"/>
    <s v="ΟΧΙ"/>
    <s v="ΟΧΙ"/>
    <s v="ΟΧΙ"/>
    <s v="ΟΧΙ"/>
    <s v="ΟΧΙ"/>
    <m/>
    <m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9-01-22T00:00:00"/>
    <x v="0"/>
    <s v="ΔΙΕΥΘΥΝΣΗ Δ.Ε. ΑΧΑΪΑΣ"/>
    <n v="40.5"/>
    <s v="41 - 45"/>
  </r>
  <r>
    <n v="9991200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16T00:00:00"/>
    <x v="0"/>
    <s v="ΔΙΕΥΘΥΝΣΗ Δ.Ε. Β΄ ΑΘΗΝΑΣ"/>
    <n v="40.516666666666666"/>
    <s v="41 - 45"/>
  </r>
  <r>
    <n v="99912005"/>
    <s v="Θ"/>
    <x v="2"/>
    <x v="2"/>
    <m/>
    <m/>
    <s v="Γ΄"/>
    <n v="1"/>
    <d v="2003-01-2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1"/>
    <s v="2ο ΙΔΙΩΤΙΚΟ ΝΗΠΙΑΓΩΓΕΙΟ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1-05T00:00:00"/>
    <x v="1"/>
    <s v="ΔΙΕΥΘΥΝΣΗ Π.Ε. ΑΝΑΤ. ΘΕΣ/ΝΙΚΗΣ"/>
    <n v="40.547222222222224"/>
    <s v="41 - 45"/>
  </r>
  <r>
    <n v="99912006"/>
    <s v="Θ"/>
    <x v="3"/>
    <x v="3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1-02T00:00:00"/>
    <x v="0"/>
    <s v="ΔΙΕΥΘΥΝΣΗ Δ.Ε. ΑΝΑΤ. ΘΕΣ/ΝΙΚΗΣ"/>
    <n v="40.555555555555557"/>
    <s v="41 - 45"/>
  </r>
  <r>
    <n v="99912007"/>
    <s v="Θ"/>
    <x v="6"/>
    <x v="6"/>
    <m/>
    <m/>
    <s v="Γ΄"/>
    <n v="1"/>
    <n v="18525"/>
    <d v="2018-09-01T00:00:00"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1-01T00:00:00"/>
    <x v="0"/>
    <s v="ΔΙΕΥΘΥΝΣΗ Δ.Ε. Α΄ ΑΘΗΝΑΣ"/>
    <n v="40.55833333333333"/>
    <s v="41 - 45"/>
  </r>
  <r>
    <n v="99912008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ΑΝΑΤΟΛΙΚΗΣ ΑΤΤΙΚΗΣ"/>
    <n v="40.55833333333333"/>
    <s v="41 - 45"/>
  </r>
  <r>
    <n v="99912009"/>
    <s v="Θ"/>
    <x v="10"/>
    <x v="1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ΑΝΑΤΟΛΙΚΗΣ ΑΤΤΙΚΗΣ"/>
    <n v="40.55833333333333"/>
    <s v="41 - 45"/>
  </r>
  <r>
    <n v="99912010"/>
    <s v="Α"/>
    <x v="3"/>
    <x v="3"/>
    <m/>
    <m/>
    <s v="Α΄"/>
    <n v="1"/>
    <n v="588"/>
    <d v="2011-08-23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1-08-23T00:00:00"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Β΄ ΑΘΗΝΑΣ"/>
    <n v="40.55833333333333"/>
    <s v="41 - 45"/>
  </r>
  <r>
    <n v="99912011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Γ΄ ΑΘΗΝΑΣ"/>
    <n v="40.55833333333333"/>
    <s v="41 - 45"/>
  </r>
  <r>
    <n v="99912012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Γ΄ ΑΘΗΝΑΣ"/>
    <n v="40.55833333333333"/>
    <s v="41 - 45"/>
  </r>
  <r>
    <n v="99912013"/>
    <s v="Α"/>
    <x v="3"/>
    <x v="3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Δ΄ ΑΘΗΝΑΣ"/>
    <n v="40.55833333333333"/>
    <s v="41 - 45"/>
  </r>
  <r>
    <n v="99912014"/>
    <s v="Α"/>
    <x v="19"/>
    <x v="19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7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9-01-01T00:00:00"/>
    <x v="0"/>
    <s v="ΔΙΕΥΘΥΝΣΗ Δ.Ε. ΠΕΙΡΑΙΑ"/>
    <n v="40.55833333333333"/>
    <s v="41 - 45"/>
  </r>
  <r>
    <n v="99912015"/>
    <s v="Α"/>
    <x v="11"/>
    <x v="11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0"/>
    <s v="ΔΙΕΥΘΥΝΣΗ Δ.Ε. ΠΕΙΡΑΙΑ"/>
    <n v="40.55833333333333"/>
    <s v="41 - 45"/>
  </r>
  <r>
    <n v="99912016"/>
    <s v="Θ"/>
    <x v="10"/>
    <x v="10"/>
    <m/>
    <m/>
    <s v="Γ΄"/>
    <n v="1"/>
    <s v="Φ. 17.2/294/13168"/>
    <d v="2018-09-01T00:00:00"/>
    <s v="Β΄ ΑΘΗΝΑΣ (Π.Ε.) 2018"/>
    <s v="ΔΙΕΥΘΥΝΣΗ Π.Ε. Β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9-01-01T00:00:00"/>
    <x v="1"/>
    <s v="ΔΙΕΥΘΥΝΣΗ Π.Ε. Β΄ ΑΘΗΝΑΣ"/>
    <n v="40.55833333333333"/>
    <s v="41 - 45"/>
  </r>
  <r>
    <n v="99912017"/>
    <s v="Α"/>
    <x v="5"/>
    <x v="5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0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79-01-01T00:00:00"/>
    <x v="0"/>
    <s v="ΔΙΕΥΘΥΝΣΗ Δ.Ε. ΧΙΟΥ"/>
    <n v="40.55833333333333"/>
    <s v="41 - 45"/>
  </r>
  <r>
    <n v="99912018"/>
    <s v="Θ"/>
    <x v="6"/>
    <x v="6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10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1-01T00:00:00"/>
    <x v="1"/>
    <s v="ΔΙΕΥΘΥΝΣΗ Π.Ε. ΛΑΡΙΣΑΣ"/>
    <n v="40.55833333333333"/>
    <s v="41 - 45"/>
  </r>
  <r>
    <n v="99912019"/>
    <s v="Θ"/>
    <x v="0"/>
    <x v="0"/>
    <m/>
    <m/>
    <s v="Γ΄"/>
    <n v="1"/>
    <n v="8038"/>
    <d v="2018-09-01T00:00:00"/>
    <s v="ΛΑΡΙΣΑΣ (Π.Ε.) 2018"/>
    <s v="ΔΙΕΥΘΥΝΣΗ Π.Ε. ΛΑΡΙΣΑΣ"/>
    <s v="ΠΕΡΙΦΕΡΕΙΑΚΗ Δ/ΝΣΗ Α/ΘΜΙΑΣ ΚΑΙ Β/ΘΜΙΑΣ ΕΚΠ/ΣΗΣ ΘΕΣΣΑΛΙΑΣ"/>
    <n v="18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1-01T00:00:00"/>
    <x v="1"/>
    <s v="ΔΙΕΥΘΥΝΣΗ Π.Ε. ΛΑΡΙΣΑΣ"/>
    <n v="40.55833333333333"/>
    <s v="41 - 45"/>
  </r>
  <r>
    <n v="99912020"/>
    <s v="Θ"/>
    <x v="1"/>
    <x v="1"/>
    <m/>
    <m/>
    <s v="Γ΄"/>
    <n v="1"/>
    <n v="935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9-01-01T00:00:00"/>
    <x v="1"/>
    <s v="ΔΙΕΥΘΥΝΣΗ Π.Ε. ΛΑΡΙΣΑΣ"/>
    <n v="40.55833333333333"/>
    <s v="41 - 45"/>
  </r>
  <r>
    <n v="99912021"/>
    <s v="Α"/>
    <x v="7"/>
    <x v="7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81913"/>
    <s v="ΙΔΙΩΤΙΚΟ ΓΥΜΝΑΣ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1-01T00:00:00"/>
    <x v="0"/>
    <s v="ΔΙΕΥΘΥΝΣΗ Δ.Ε. ΑΝΑΤ. ΘΕΣ/ΝΙΚΗΣ"/>
    <n v="40.55833333333333"/>
    <s v="41 - 45"/>
  </r>
  <r>
    <n v="99912022"/>
    <s v="Α"/>
    <x v="1"/>
    <x v="1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9-01-01T00:00:00"/>
    <x v="1"/>
    <s v="ΔΙΕΥΘΥΝΣΗ Π.Ε. ΑΝΑΤ. ΘΕΣ/ΝΙΚΗΣ"/>
    <n v="40.55833333333333"/>
    <s v="41 - 45"/>
  </r>
  <r>
    <n v="99912023"/>
    <s v="Α"/>
    <x v="9"/>
    <x v="9"/>
    <s v="ΠΕ02"/>
    <s v="ΦΙΛΟΛΟΓΟΙ"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9-01-01T00:00:00"/>
    <x v="0"/>
    <s v="ΔΙΕΥΘΥΝΣΗ Δ.Ε. ΗΡΑΚΛΕΙΟΥ"/>
    <n v="40.55833333333333"/>
    <s v="41 - 45"/>
  </r>
  <r>
    <n v="99912024"/>
    <s v="Α"/>
    <x v="1"/>
    <x v="1"/>
    <m/>
    <m/>
    <s v="Α΄"/>
    <n v="1"/>
    <m/>
    <m/>
    <s v="ΧΑΝΙΩΝ (Π.Ε.) 2018"/>
    <s v="ΔΙΕΥΘΥΝΣΗ Π.Ε. ΡΕΘΥΜΝΟΥ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9-01-01T00:00:00"/>
    <x v="1"/>
    <s v="ΔΙΕΥΘΥΝΣΗ Π.Ε. ΡΕΘΥΜΝΟΥ"/>
    <n v="40.55833333333333"/>
    <s v="41 - 45"/>
  </r>
  <r>
    <n v="99912025"/>
    <s v="Θ"/>
    <x v="0"/>
    <x v="0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9-01-01T00:00:00"/>
    <x v="1"/>
    <s v="ΔΙΕΥΘΥΝΣΗ Π.Ε. ΧΑΝΙΩΝ"/>
    <n v="40.55833333333333"/>
    <s v="41 - 45"/>
  </r>
  <r>
    <n v="99912026"/>
    <s v="Θ"/>
    <x v="1"/>
    <x v="1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9-01-01T00:00:00"/>
    <x v="1"/>
    <s v="ΔΙΕΥΘΥΝΣΗ Π.Ε. ΚΥΚΛΑΔΩΝ"/>
    <n v="40.55833333333333"/>
    <s v="41 - 45"/>
  </r>
  <r>
    <n v="99912027"/>
    <s v="Θ"/>
    <x v="5"/>
    <x v="5"/>
    <m/>
    <m/>
    <s v="Γ΄"/>
    <n v="1"/>
    <m/>
    <m/>
    <s v="ΑΡΓΟΛΙΔΑΣ (Δ.Ε.) 2018"/>
    <s v="ΔΙΕΥΘΥΝΣΗ Δ.Ε. ΑΡΓΟΛΙΔΑΣ"/>
    <s v="ΠΕΡΙΦΕΡΕΙΑΚΗ Δ/ΝΣΗ Α/ΘΜΙΑΣ ΚΑΙ Β/ΘΜΙΑΣ ΕΚΠ/ΣΗΣ ΠΕΛΟΠΟΝΝΗΣΟΥ"/>
    <n v="15"/>
    <s v="ΟΧΙ"/>
    <s v="ΟΧΙ"/>
    <s v="ΟΧΙ"/>
    <s v="ΟΧΙ"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01-01T00:00:00"/>
    <x v="0"/>
    <s v="ΔΙΕΥΘΥΝΣΗ Δ.Ε. ΑΡΓΟΛΙΔΑΣ"/>
    <n v="40.55833333333333"/>
    <s v="41 - 45"/>
  </r>
  <r>
    <n v="99912028"/>
    <s v="Θ"/>
    <x v="10"/>
    <x v="10"/>
    <m/>
    <m/>
    <s v="Γ΄"/>
    <n v="1"/>
    <s v="3956α/17-9-2018"/>
    <d v="2018-09-17T00:00:00"/>
    <s v="ΑΡΓΟΛΙΔΑΣ (Δ.Ε.) 2018"/>
    <s v="ΔΙΕΥΘΥΝΣΗ Δ.Ε. ΑΡΓΟΛΙΔΑΣ"/>
    <s v="ΠΕΡΙΦΕΡΕΙΑΚΗ Δ/ΝΣΗ Α/ΘΜΙΑΣ ΚΑΙ Β/ΘΜΙΑΣ ΕΚΠ/ΣΗΣ ΠΕΛΟΠΟΝΝΗΣΟΥ"/>
    <n v="6"/>
    <s v="ΟΧΙ"/>
    <s v="ΟΧΙ"/>
    <s v="ΟΧΙ"/>
    <s v="ΟΧΙ"/>
    <s v="ΟΧΙ"/>
    <m/>
    <d v="2018-09-17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79-01-01T00:00:00"/>
    <x v="0"/>
    <s v="ΔΙΕΥΘΥΝΣΗ Δ.Ε. ΑΡΓΟΛΙΔΑΣ"/>
    <n v="40.55833333333333"/>
    <s v="41 - 45"/>
  </r>
  <r>
    <n v="99912029"/>
    <s v="Θ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"/>
    <s v="ΟΧΙ"/>
    <s v="ΟΧΙ"/>
    <s v="ΟΧΙ"/>
    <s v="ΟΧΙ"/>
    <s v="ΟΧΙ"/>
    <m/>
    <m/>
    <s v="Ιδιωτικά Σχολεία"/>
    <x v="0"/>
    <s v="2881010"/>
    <s v="ΙΔΙΩΤΙΚΟ ΓΥΜΝΑΣΙΟ ΚΟΡΙΝΘΟΥ - ΑΡΙΣΤΟΤΕΛΕΙΟ ΚΟΡΙΝΘΙΑΚΟ ΕΚΠΑΙΔΕΥΤΗΡ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01-01T00:00:00"/>
    <x v="0"/>
    <s v="ΔΙΕΥΘΥΝΣΗ Δ.Ε. ΚΟΡΙΝΘΙΑΣ"/>
    <n v="40.55833333333333"/>
    <s v="41 - 45"/>
  </r>
  <r>
    <n v="99912030"/>
    <s v="Θ"/>
    <x v="10"/>
    <x v="10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5"/>
    <s v="ΟΧΙ"/>
    <s v="ΟΧΙ"/>
    <s v="ΟΧΙ"/>
    <s v="ΟΧΙ"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9-01-01T00:00:00"/>
    <x v="1"/>
    <s v="ΔΙΕΥΘΥΝΣΗ Π.Ε. ΑΡΓΟΛΙΔΑΣ"/>
    <n v="40.55833333333333"/>
    <s v="41 - 45"/>
  </r>
  <r>
    <n v="99912031"/>
    <s v="Α"/>
    <x v="1"/>
    <x v="1"/>
    <m/>
    <m/>
    <s v="Γ΄"/>
    <n v="1"/>
    <s v="Φ 17.2/304/13919/07-11-1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2-30T00:00:00"/>
    <x v="1"/>
    <s v="ΔΙΕΥΘΥΝΣΗ Π.Ε. Β΄ ΑΘΗΝΑΣ"/>
    <n v="40.56388888888889"/>
    <s v="41 - 45"/>
  </r>
  <r>
    <n v="99912032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2-28T00:00:00"/>
    <x v="0"/>
    <s v="ΔΙΕΥΘΥΝΣΗ Δ.Ε. Β΄ ΑΘΗΝΑΣ"/>
    <n v="40.569444444444443"/>
    <s v="41 - 45"/>
  </r>
  <r>
    <n v="99912033"/>
    <s v="Θ"/>
    <x v="1"/>
    <x v="1"/>
    <m/>
    <m/>
    <s v="Γ΄"/>
    <n v="1"/>
    <n v="10939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2-26T00:00:00"/>
    <x v="1"/>
    <s v="ΔΙΕΥΘΥΝΣΗ Π.Ε. Δ΄ ΑΘΗΝΑΣ"/>
    <n v="40.575000000000003"/>
    <s v="41 - 45"/>
  </r>
  <r>
    <n v="99912034"/>
    <s v="Α"/>
    <x v="3"/>
    <x v="3"/>
    <m/>
    <m/>
    <s v="Γ΄"/>
    <n v="1"/>
    <s v="22568/21-11-2018"/>
    <d v="2018-11-21T00:00:00"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d v="2018-11-2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8-12-19T00:00:00"/>
    <x v="0"/>
    <s v="ΔΙΕΥΘΥΝΣΗ Δ.Ε. Γ΄ ΑΘΗΝΑΣ"/>
    <n v="40.594444444444441"/>
    <s v="41 - 45"/>
  </r>
  <r>
    <n v="99912035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2-16T00:00:00"/>
    <x v="0"/>
    <s v="ΔΙΕΥΘΥΝΣΗ Δ.Ε. Β΄ ΑΘΗΝΑΣ"/>
    <n v="40.602777777777774"/>
    <s v="41 - 45"/>
  </r>
  <r>
    <n v="99912036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2-14T00:00:00"/>
    <x v="0"/>
    <s v="ΔΙΕΥΘΥΝΣΗ Δ.Ε. Β΄ ΑΘΗΝΑΣ"/>
    <n v="40.608333333333334"/>
    <s v="41 - 45"/>
  </r>
  <r>
    <n v="99912037"/>
    <s v="Α"/>
    <x v="18"/>
    <x v="1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12-13T00:00:00"/>
    <x v="0"/>
    <s v="ΔΙΕΥΘΥΝΣΗ Δ.Ε. Β΄ ΑΘΗΝΑΣ"/>
    <n v="40.611111111111114"/>
    <s v="41 - 45"/>
  </r>
  <r>
    <n v="99912038"/>
    <s v="Θ"/>
    <x v="6"/>
    <x v="6"/>
    <m/>
    <m/>
    <s v="Β΄"/>
    <n v="2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8-12-03T00:00:00"/>
    <x v="1"/>
    <s v="ΔΙΕΥΘΥΝΣΗ Π.Ε. ΑΝΑΤΟΛΙΚΗΣ ΑΤΤΙΚΗΣ"/>
    <n v="40.638888888888886"/>
    <s v="41 - 45"/>
  </r>
  <r>
    <n v="99912039"/>
    <s v="Θ"/>
    <x v="8"/>
    <x v="8"/>
    <m/>
    <m/>
    <s v="Α΄"/>
    <n v="7"/>
    <s v="4802/22-10-200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8-12-02T00:00:00"/>
    <x v="1"/>
    <s v="ΔΙΕΥΘΥΝΣΗ Π.Ε. ΑΝΑΤΟΛΙΚΗΣ ΑΤΤΙΚΗΣ"/>
    <n v="40.641666666666666"/>
    <s v="41 - 45"/>
  </r>
  <r>
    <n v="99912040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30T00:00:00"/>
    <x v="0"/>
    <s v="ΔΙΕΥΘΥΝΣΗ Δ.Ε. Γ΄ ΑΘΗΝΑΣ"/>
    <n v="40.647222222222226"/>
    <s v="41 - 45"/>
  </r>
  <r>
    <n v="99912041"/>
    <s v="Α"/>
    <x v="0"/>
    <x v="0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30T00:00:00"/>
    <x v="1"/>
    <s v="ΔΙΕΥΘΥΝΣΗ Π.Ε. Γ΄ ΑΘΗΝΑΣ"/>
    <n v="40.647222222222226"/>
    <s v="41 - 45"/>
  </r>
  <r>
    <n v="99912042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8-11-28T00:00:00"/>
    <x v="1"/>
    <s v="ΔΙΕΥΘΥΝΣΗ Π.Ε. ΛΑΡΙΣΑΣ"/>
    <n v="40.652777777777779"/>
    <s v="41 - 45"/>
  </r>
  <r>
    <n v="99912043"/>
    <s v="Α"/>
    <x v="3"/>
    <x v="3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m/>
    <s v="ΟΧΙ"/>
    <m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11-28T00:00:00"/>
    <x v="0"/>
    <s v="ΔΙΕΥΘΥΝΣΗ Δ.Ε. ΔΩΔΕΚΑΝΗΣΟΥ"/>
    <n v="40.652777777777779"/>
    <s v="41 - 45"/>
  </r>
  <r>
    <n v="99912044"/>
    <s v="Θ"/>
    <x v="2"/>
    <x v="2"/>
    <m/>
    <m/>
    <s v="Γ΄"/>
    <n v="1"/>
    <m/>
    <m/>
    <s v="ΠΡΕΒΕΖΑΣ (Π.Ε.) 2018"/>
    <s v="ΔΙΕΥΘΥΝΣΗ Π.Ε. ΠΡΕΒΕΖΑΣ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401003"/>
    <s v="ΙΔΙΩΤΙΚΟ ΝΗΠΙΑΓΩΓΕΙΟ - ΚΛΗΡΟΔΟΤΗΜΑ ΣΠΥΡΙΔΩΝΟΣ ΚΑΡΑΜΑΝΗ"/>
    <s v="ΠΡΕΒΕΖΑΣ (Π.Ε.) 2018"/>
    <x v="68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8-11-25T00:00:00"/>
    <x v="1"/>
    <s v="ΔΙΕΥΘΥΝΣΗ Π.Ε. ΠΡΕΒΕΖΑΣ"/>
    <n v="40.661111111111111"/>
    <s v="41 - 45"/>
  </r>
  <r>
    <n v="99912045"/>
    <s v="Α"/>
    <x v="7"/>
    <x v="7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11-24T00:00:00"/>
    <x v="0"/>
    <s v="ΔΙΕΥΘΥΝΣΗ Δ.Ε. ΑΝΑΤ. ΘΕΣ/ΝΙΚΗΣ"/>
    <n v="40.663888888888891"/>
    <s v="41 - 45"/>
  </r>
  <r>
    <n v="99912046"/>
    <s v="Α"/>
    <x v="14"/>
    <x v="14"/>
    <m/>
    <m/>
    <s v="Α΄"/>
    <n v="7"/>
    <s v="7243/23-09-2010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11-24T00:00:00"/>
    <x v="0"/>
    <s v="ΔΙΕΥΘΥΝΣΗ Δ.Ε. ΔΥΤ. ΘΕΣ/ΝΙΚΗΣ"/>
    <n v="40.663888888888891"/>
    <s v="41 - 45"/>
  </r>
  <r>
    <n v="99912047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18T00:00:00"/>
    <x v="0"/>
    <s v="ΔΙΕΥΘΥΝΣΗ Δ.Ε. Α΄ ΑΘΗΝΑΣ"/>
    <n v="40.680555555555557"/>
    <s v="41 - 45"/>
  </r>
  <r>
    <n v="99912048"/>
    <s v="Θ"/>
    <x v="3"/>
    <x v="3"/>
    <m/>
    <m/>
    <s v="Γ΄"/>
    <n v="1"/>
    <n v="10638"/>
    <d v="2018-09-28T00:00:00"/>
    <s v="ΠΙΕΡΙΑΣ (Δ.Ε.) 2018"/>
    <s v="ΔΙΕΥΘΥΝΣΗ Δ.Ε. ΠΙΕΡΙΑΣ"/>
    <s v="ΠΕΡΙΦΕΡΕΙΑΚΗ Δ/ΝΣΗ Α/ΘΜΙΑΣ ΚΑΙ Β/ΘΜΙΑΣ ΕΚΠ/ΣΗΣ ΚΕΝΤΡΙΚΗΣ ΜΑΚΕΔΟΝΙΑΣ"/>
    <n v="22"/>
    <s v="ΟΧΙ"/>
    <s v="ΟΧΙ"/>
    <s v="ΟΧΙ"/>
    <m/>
    <s v="ΟΧΙ"/>
    <m/>
    <d v="2018-09-28T00:00:00"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8-11-18T00:00:00"/>
    <x v="0"/>
    <s v="ΔΙΕΥΘΥΝΣΗ Δ.Ε. ΠΙΕΡΙΑΣ"/>
    <n v="40.680555555555557"/>
    <s v="41 - 45"/>
  </r>
  <r>
    <n v="99912049"/>
    <s v="Θ"/>
    <x v="29"/>
    <x v="28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6"/>
    <s v="ΟΧΙ"/>
    <s v="ΟΧΙ"/>
    <s v="ΟΧΙ"/>
    <s v="ΟΧΙ"/>
    <s v="ΟΧΙ"/>
    <m/>
    <m/>
    <s v="Ιδιωτικά Σχολεία"/>
    <x v="0"/>
    <s v="2881010"/>
    <s v="ΙΔΙΩΤΙΚΟ ΓΥΜΝΑΣΙΟ ΚΟΡΙΝΘΟΥ - ΑΡΙΣΤΟΤΕΛΕΙΟ ΚΟΡΙΝΘΙΑΚΟ ΕΚΠΑΙΔΕΥΤΗΡ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8-11-18T00:00:00"/>
    <x v="0"/>
    <s v="ΔΙΕΥΘΥΝΣΗ Δ.Ε. ΚΟΡΙΝΘΙΑΣ"/>
    <n v="40.680555555555557"/>
    <s v="41 - 45"/>
  </r>
  <r>
    <n v="99912050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11T00:00:00"/>
    <x v="0"/>
    <s v="ΔΙΕΥΘΥΝΣΗ Δ.Ε. ΑΝΑΤΟΛΙΚΗΣ ΑΤΤΙΚΗΣ"/>
    <n v="40.700000000000003"/>
    <s v="41 - 45"/>
  </r>
  <r>
    <n v="99912051"/>
    <s v="Α"/>
    <x v="18"/>
    <x v="1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11T00:00:00"/>
    <x v="1"/>
    <s v="ΔΙΕΥΘΥΝΣΗ Π.Ε. ΑΝΑΤΟΛΙΚΗΣ ΑΤΤΙΚΗΣ"/>
    <n v="40.700000000000003"/>
    <s v="41 - 45"/>
  </r>
  <r>
    <n v="99912052"/>
    <s v="Α"/>
    <x v="5"/>
    <x v="5"/>
    <m/>
    <m/>
    <s v="Γ΄"/>
    <n v="1"/>
    <s v="18279/20"/>
    <d v="2018-09-01T00:00:00"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d v="2018-09-01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8-11-09T00:00:00"/>
    <x v="0"/>
    <s v="ΔΙΕΥΘΥΝΣΗ Δ.Ε. Γ΄ ΑΘΗΝΑΣ"/>
    <n v="40.705555555555556"/>
    <s v="41 - 45"/>
  </r>
  <r>
    <n v="99912053"/>
    <s v="Θ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06T00:00:00"/>
    <x v="0"/>
    <s v="ΔΙΕΥΘΥΝΣΗ Δ.Ε. Γ΄ ΑΘΗΝΑΣ"/>
    <n v="40.713888888888889"/>
    <s v="41 - 45"/>
  </r>
  <r>
    <n v="99912054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11-06T00:00:00"/>
    <x v="0"/>
    <s v="ΔΙΕΥΘΥΝΣΗ Δ.Ε. ΑΝΑΤ. ΘΕΣ/ΝΙΚΗΣ"/>
    <n v="40.713888888888889"/>
    <s v="41 - 45"/>
  </r>
  <r>
    <n v="99912055"/>
    <s v="Α"/>
    <x v="9"/>
    <x v="9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9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8-11-03T00:00:00"/>
    <x v="0"/>
    <s v="ΔΙΕΥΘΥΝΣΗ Δ.Ε. ΚΟΡΙΝΘΙΑΣ"/>
    <n v="40.722222222222221"/>
    <s v="41 - 45"/>
  </r>
  <r>
    <n v="99912056"/>
    <s v="Α"/>
    <x v="11"/>
    <x v="11"/>
    <m/>
    <m/>
    <s v="Γ΄"/>
    <n v="1"/>
    <s v="18279/30"/>
    <d v="2018-09-01T00:00:00"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m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02T00:00:00"/>
    <x v="0"/>
    <s v="ΔΙΕΥΘΥΝΣΗ Δ.Ε. Γ΄ ΑΘΗΝΑΣ"/>
    <n v="40.725000000000001"/>
    <s v="41 - 45"/>
  </r>
  <r>
    <n v="99912057"/>
    <s v="Θ"/>
    <x v="6"/>
    <x v="6"/>
    <m/>
    <m/>
    <s v="Γ΄"/>
    <n v="1"/>
    <d v="2016-09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11-02T00:00:00"/>
    <x v="1"/>
    <s v="ΔΙΕΥΘΥΝΣΗ Π.Ε. ΑΝΑΤ. ΘΕΣ/ΝΙΚΗΣ"/>
    <n v="40.725000000000001"/>
    <s v="41 - 45"/>
  </r>
  <r>
    <n v="99912058"/>
    <s v="Θ"/>
    <x v="1"/>
    <x v="1"/>
    <m/>
    <m/>
    <s v="Α΄"/>
    <n v="8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1-01T00:00:00"/>
    <x v="1"/>
    <s v="ΔΙΕΥΘΥΝΣΗ Π.Ε. Δ΄ ΑΘΗΝΑΣ"/>
    <n v="40.727777777777774"/>
    <s v="41 - 45"/>
  </r>
  <r>
    <n v="99912059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0-29T00:00:00"/>
    <x v="1"/>
    <s v="ΔΙΕΥΘΥΝΣΗ Π.Ε. Β΄ ΑΘΗΝΑΣ"/>
    <n v="40.736111111111114"/>
    <s v="41 - 45"/>
  </r>
  <r>
    <n v="99912060"/>
    <s v="Θ"/>
    <x v="19"/>
    <x v="19"/>
    <m/>
    <m/>
    <s v="Γ΄"/>
    <n v="1"/>
    <n v="8819"/>
    <d v="2017-09-01T00:00:00"/>
    <s v="Δ΄ ΑΘΗΝΑΣ (Δ.Ε.) 2018"/>
    <s v="ΔΙΕΥΘΥΝΣΗ Δ.Ε. Δ΄ ΑΘΗΝΑΣ"/>
    <s v="ΠΕΡΙΦΕΡΕΙΑΚΗ Δ/ΝΣΗ Α/ΘΜΙΑΣ ΚΑΙ Β/ΘΜΙΑΣ ΕΚΠ/ΣΗΣ ΑΤΤΙΚΗΣ"/>
    <n v="3"/>
    <s v="ΟΧΙ"/>
    <m/>
    <s v="ΟΧΙ"/>
    <m/>
    <s v="ΟΧΙ"/>
    <m/>
    <d v="2017-09-01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0-25T00:00:00"/>
    <x v="0"/>
    <s v="ΔΙΕΥΘΥΝΣΗ Δ.Ε. Δ΄ ΑΘΗΝΑΣ"/>
    <n v="40.74722222222222"/>
    <s v="41 - 45"/>
  </r>
  <r>
    <n v="99912061"/>
    <s v="Θ"/>
    <x v="0"/>
    <x v="0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2"/>
    <s v="ΟΧΙ"/>
    <s v="ΟΧΙ"/>
    <s v="ΟΧΙ"/>
    <m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8-10-21T00:00:00"/>
    <x v="0"/>
    <s v="ΔΙΕΥΘΥΝΣΗ Δ.Ε. ΑΙΤΩΛΟΑΚΑΡΝΑΝΙΑΣ"/>
    <n v="40.758333333333333"/>
    <s v="41 - 45"/>
  </r>
  <r>
    <n v="99912062"/>
    <s v="Α"/>
    <x v="14"/>
    <x v="14"/>
    <s v="ΠΕ83"/>
    <s v="ΗΛΕΚΤΡΟΛΟΓΩΝ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0-14T00:00:00"/>
    <x v="0"/>
    <s v="ΔΙΕΥΘΥΝΣΗ Δ.Ε. Β΄ ΑΘΗΝΑΣ"/>
    <n v="40.777777777777779"/>
    <s v="41 - 45"/>
  </r>
  <r>
    <n v="99912063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0-13T00:00:00"/>
    <x v="1"/>
    <s v="ΔΙΕΥΘΥΝΣΗ Π.Ε. Δ΄ ΑΘΗΝΑΣ"/>
    <n v="40.780555555555559"/>
    <s v="41 - 45"/>
  </r>
  <r>
    <n v="99912064"/>
    <s v="Α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10-04T00:00:00"/>
    <x v="0"/>
    <s v="ΔΙΕΥΘΥΝΣΗ Δ.Ε. Γ΄ ΑΘΗΝΑΣ"/>
    <n v="40.805555555555557"/>
    <s v="41 - 45"/>
  </r>
  <r>
    <n v="99912065"/>
    <s v="Θ"/>
    <x v="10"/>
    <x v="1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s v="ΟΧΙ"/>
    <s v="ΟΧΙ"/>
    <s v="ΟΧΙ"/>
    <s v="ΟΧΙ"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8-09-30T00:00:00"/>
    <x v="0"/>
    <s v="ΔΙΕΥΘΥΝΣΗ Δ.Ε. ΛΑΡΙΣΑΣ"/>
    <n v="40.81666666666667"/>
    <s v="41 - 45"/>
  </r>
  <r>
    <n v="99912066"/>
    <s v="Θ"/>
    <x v="3"/>
    <x v="3"/>
    <m/>
    <m/>
    <s v="Γ΄"/>
    <n v="7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d v="2018-09-12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28T00:00:00"/>
    <x v="0"/>
    <s v="ΔΙΕΥΘΥΝΣΗ Δ.Ε. Δ΄ ΑΘΗΝΑΣ"/>
    <n v="40.822222222222223"/>
    <s v="41 - 45"/>
  </r>
  <r>
    <n v="99912067"/>
    <s v="Θ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8-09-28T00:00:00"/>
    <x v="0"/>
    <s v="ΔΙΕΥΘΥΝΣΗ Δ.Ε. ΑΙΤΩΛΟΑΚΑΡΝΑΝΙΑΣ"/>
    <n v="40.822222222222223"/>
    <s v="41 - 45"/>
  </r>
  <r>
    <n v="99912068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27T00:00:00"/>
    <x v="0"/>
    <s v="ΔΙΕΥΘΥΝΣΗ Δ.Ε. Β΄ ΑΘΗΝΑΣ"/>
    <n v="40.825000000000003"/>
    <s v="41 - 45"/>
  </r>
  <r>
    <n v="9991206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25T00:00:00"/>
    <x v="0"/>
    <s v="ΔΙΕΥΘΥΝΣΗ Δ.Ε. Β΄ ΑΘΗΝΑΣ"/>
    <n v="40.830555555555556"/>
    <s v="41 - 45"/>
  </r>
  <r>
    <n v="99912070"/>
    <s v="Θ"/>
    <x v="0"/>
    <x v="0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24T00:00:00"/>
    <x v="1"/>
    <s v="ΔΙΕΥΘΥΝΣΗ Π.Ε. Δ΄ ΑΘΗΝΑΣ"/>
    <n v="40.833333333333336"/>
    <s v="41 - 45"/>
  </r>
  <r>
    <n v="99912071"/>
    <s v="Θ"/>
    <x v="0"/>
    <x v="0"/>
    <m/>
    <m/>
    <s v="Α΄"/>
    <n v="7"/>
    <s v="Φ.Ι.Α.6/38719/7-12-2017"/>
    <d v="2017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7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23T00:00:00"/>
    <x v="1"/>
    <s v="ΔΙΕΥΘΥΝΣΗ Π.Ε. ΑΝΑΤΟΛΙΚΗΣ ΑΤΤΙΚΗΣ"/>
    <n v="40.836111111111109"/>
    <s v="41 - 45"/>
  </r>
  <r>
    <n v="99912072"/>
    <s v="Θ"/>
    <x v="1"/>
    <x v="1"/>
    <m/>
    <m/>
    <s v="Α΄"/>
    <n v="6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19T00:00:00"/>
    <x v="1"/>
    <s v="ΔΙΕΥΘΥΝΣΗ Π.Ε. Δ΄ ΑΘΗΝΑΣ"/>
    <n v="40.847222222222221"/>
    <s v="41 - 45"/>
  </r>
  <r>
    <n v="99912073"/>
    <s v="Α"/>
    <x v="1"/>
    <x v="1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s v="ΟΧΙ"/>
    <s v="ΟΧΙ"/>
    <s v="ΟΧΙ"/>
    <m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09-08T00:00:00"/>
    <x v="1"/>
    <s v="ΔΙΕΥΘΥΝΣΗ Π.Ε. ΔΩΔΕΚΑΝΗΣΟΥ"/>
    <n v="40.87777777777778"/>
    <s v="41 - 45"/>
  </r>
  <r>
    <n v="99912074"/>
    <s v="Α"/>
    <x v="8"/>
    <x v="8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9-04T00:00:00"/>
    <x v="1"/>
    <s v="ΔΙΕΥΘΥΝΣΗ Π.Ε. ΠΕΙΡΑΙΑ"/>
    <n v="40.888888888888886"/>
    <s v="41 - 45"/>
  </r>
  <r>
    <n v="99912075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8-24T00:00:00"/>
    <x v="0"/>
    <s v="ΔΙΕΥΘΥΝΣΗ Δ.Ε. Β΄ ΑΘΗΝΑΣ"/>
    <n v="40.919444444444444"/>
    <s v="41 - 45"/>
  </r>
  <r>
    <n v="99912076"/>
    <s v="Θ"/>
    <x v="1"/>
    <x v="1"/>
    <m/>
    <m/>
    <s v="Α΄"/>
    <n v="7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8-11-28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8-08-24T00:00:00"/>
    <x v="1"/>
    <s v="ΔΙΕΥΘΥΝΣΗ Π.Ε. ΑΝΑΤΟΛΙΚΗΣ ΑΤΤΙΚΗΣ"/>
    <n v="40.919444444444444"/>
    <s v="41 - 45"/>
  </r>
  <r>
    <n v="99912077"/>
    <s v="Α"/>
    <x v="3"/>
    <x v="3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1"/>
    <s v="ΟΧΙ"/>
    <s v="ΟΧΙ"/>
    <s v="ΟΧΙ"/>
    <s v="ΟΧΙ"/>
    <s v="ΟΧΙ"/>
    <m/>
    <m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8-08-18T00:00:00"/>
    <x v="0"/>
    <s v="ΔΙΕΥΘΥΝΣΗ Δ.Ε. ΙΩΑΝΝΙΝΩΝ"/>
    <n v="40.93611111111111"/>
    <s v="41 - 45"/>
  </r>
  <r>
    <n v="99912078"/>
    <s v="Α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8-14T00:00:00"/>
    <x v="0"/>
    <s v="ΔΙΕΥΘΥΝΣΗ Δ.Ε. Γ΄ ΑΘΗΝΑΣ"/>
    <n v="40.947222222222223"/>
    <s v="41 - 45"/>
  </r>
  <r>
    <n v="99912079"/>
    <s v="Θ"/>
    <x v="0"/>
    <x v="0"/>
    <m/>
    <m/>
    <s v="Γ΄"/>
    <n v="1"/>
    <s v="Φ.17/4261"/>
    <d v="2018-09-01T00:00:00"/>
    <s v="ΚΟΡΙΝΘΙΑΣ (Π.Ε.) 2018"/>
    <s v="ΔΙΕΥΘΥΝΣΗ Π.Ε. ΚΟΡΙΝΘΙΑΣ"/>
    <s v="ΠΕΡΙΦΕΡΕΙΑΚΗ Δ/ΝΣΗ Α/ΘΜΙΑΣ ΚΑΙ Β/ΘΜΙΑΣ ΕΚΠ/ΣΗΣ ΠΕΛΟΠΟΝΝΗΣΟΥ"/>
    <n v="14"/>
    <s v="ΟΧΙ"/>
    <s v="ΟΧΙ"/>
    <s v="ΟΧΙ"/>
    <s v="ΟΧΙ"/>
    <s v="ΟΧΙ"/>
    <m/>
    <d v="2018-09-0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8-08-09T00:00:00"/>
    <x v="1"/>
    <s v="ΔΙΕΥΘΥΝΣΗ Π.Ε. ΚΟΡΙΝΘΙΑΣ"/>
    <n v="40.961111111111109"/>
    <s v="41 - 45"/>
  </r>
  <r>
    <n v="99912080"/>
    <s v="Α"/>
    <x v="8"/>
    <x v="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8-04T00:00:00"/>
    <x v="1"/>
    <s v="ΔΙΕΥΘΥΝΣΗ Π.Ε. Α΄ ΑΘΗΝΑΣ"/>
    <n v="40.975000000000001"/>
    <s v="41 - 45"/>
  </r>
  <r>
    <n v="99912081"/>
    <s v="Α"/>
    <x v="1"/>
    <x v="1"/>
    <m/>
    <m/>
    <s v="Α΄"/>
    <n v="6"/>
    <s v="5614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8-04T00:00:00"/>
    <x v="1"/>
    <s v="ΔΙΕΥΘΥΝΣΗ Π.Ε. ΑΝΑΤΟΛΙΚΗΣ ΑΤΤΙΚΗΣ"/>
    <n v="40.975000000000001"/>
    <s v="41 - 45"/>
  </r>
  <r>
    <n v="99912082"/>
    <s v="Θ"/>
    <x v="1"/>
    <x v="1"/>
    <m/>
    <m/>
    <s v="Γ΄"/>
    <n v="1"/>
    <d v="2003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7-31T00:00:00"/>
    <x v="1"/>
    <s v="ΔΙΕΥΘΥΝΣΗ Π.Ε. ΑΝΑΤ. ΘΕΣ/ΝΙΚΗΣ"/>
    <n v="40.986111111111114"/>
    <s v="41 - 45"/>
  </r>
  <r>
    <n v="99912083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7-29T00:00:00"/>
    <x v="0"/>
    <s v="ΔΙΕΥΘΥΝΣΗ Δ.Ε. Β΄ ΑΘΗΝΑΣ"/>
    <n v="40.991666666666667"/>
    <s v="41 - 45"/>
  </r>
  <r>
    <n v="99912084"/>
    <s v="Α"/>
    <x v="8"/>
    <x v="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7-18T00:00:00"/>
    <x v="0"/>
    <s v="ΔΙΕΥΘΥΝΣΗ Δ.Ε. Α΄ ΑΘΗΝΑΣ"/>
    <n v="41.022222222222226"/>
    <s v="41 - 45"/>
  </r>
  <r>
    <n v="99912085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7-17T00:00:00"/>
    <x v="0"/>
    <s v="ΔΙΕΥΘΥΝΣΗ Δ.Ε. ΠΕΙΡΑΙΑ"/>
    <n v="41.024999999999999"/>
    <s v="41 - 45"/>
  </r>
  <r>
    <n v="99912086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7-14T00:00:00"/>
    <x v="0"/>
    <s v="ΔΙΕΥΘΥΝΣΗ Δ.Ε. Β΄ ΑΘΗΝΑΣ"/>
    <n v="41.033333333333331"/>
    <s v="41 - 45"/>
  </r>
  <r>
    <n v="99912087"/>
    <s v="Α"/>
    <x v="1"/>
    <x v="1"/>
    <m/>
    <m/>
    <s v="Γ΄"/>
    <n v="1"/>
    <d v="2005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7-08T00:00:00"/>
    <x v="1"/>
    <s v="ΔΙΕΥΘΥΝΣΗ Π.Ε. ΑΝΑΤ. ΘΕΣ/ΝΙΚΗΣ"/>
    <n v="41.05"/>
    <s v="41 - 45"/>
  </r>
  <r>
    <n v="99912088"/>
    <s v="Θ"/>
    <x v="0"/>
    <x v="0"/>
    <m/>
    <m/>
    <s v="Γ΄"/>
    <n v="1"/>
    <n v="4012"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m/>
    <m/>
    <m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7-07T00:00:00"/>
    <x v="1"/>
    <s v="ΔΙΕΥΘΥΝΣΗ Π.Ε. Δ΄ ΑΘΗΝΑΣ"/>
    <n v="41.052777777777777"/>
    <s v="41 - 45"/>
  </r>
  <r>
    <n v="99912089"/>
    <s v="Θ"/>
    <x v="1"/>
    <x v="1"/>
    <m/>
    <m/>
    <s v="Γ΄"/>
    <n v="1"/>
    <s v="19997/5"/>
    <d v="2018-10-17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8-10-17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7-07T00:00:00"/>
    <x v="1"/>
    <s v="ΔΙΕΥΘΥΝΣΗ Π.Ε. ΠΕΙΡΑΙΑ"/>
    <n v="41.052777777777777"/>
    <s v="41 - 45"/>
  </r>
  <r>
    <n v="99912090"/>
    <s v="Θ"/>
    <x v="3"/>
    <x v="3"/>
    <m/>
    <m/>
    <s v="Α΄"/>
    <n v="5"/>
    <m/>
    <m/>
    <s v="ΞΑΝΘΗΣ (Δ.Ε.) 2018"/>
    <s v="ΔΙΕΥΘΥΝΣΗ Δ.Ε. ΞΑΝΘΗΣ"/>
    <s v="ΠΕΡΙΦΕΡΕΙΑΚΗ Δ/ΝΣΗ Α/ΘΜΙΑΣ ΚΑΙ Β/ΘΜΙΑΣ ΕΚΠ/ΣΗΣ ΑΝ. ΜΑΚΕΔΟΝΙΑΣ ΚΑΙ ΘΡΑΚΗΣ"/>
    <n v="21"/>
    <s v="ΟΧΙ"/>
    <s v="ΟΧΙ"/>
    <s v="ΟΧΙ"/>
    <s v="ΟΧΙ"/>
    <s v="ΟΧΙ"/>
    <m/>
    <m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8-07-06T00:00:00"/>
    <x v="0"/>
    <s v="ΔΙΕΥΘΥΝΣΗ Δ.Ε. ΞΑΝΘΗΣ"/>
    <n v="41.055555555555557"/>
    <s v="41 - 45"/>
  </r>
  <r>
    <n v="99912091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7-04T00:00:00"/>
    <x v="1"/>
    <s v="ΔΙΕΥΘΥΝΣΗ Π.Ε. ΑΝΑΤΟΛΙΚΗΣ ΑΤΤΙΚΗΣ"/>
    <n v="41.06111111111111"/>
    <s v="41 - 45"/>
  </r>
  <r>
    <n v="99912092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7-03T00:00:00"/>
    <x v="0"/>
    <s v="ΔΙΕΥΘΥΝΣΗ Δ.Ε. Β΄ ΑΘΗΝΑΣ"/>
    <n v="41.06388888888889"/>
    <s v="41 - 45"/>
  </r>
  <r>
    <n v="99912093"/>
    <s v="Θ"/>
    <x v="9"/>
    <x v="9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6-29T00:00:00"/>
    <x v="0"/>
    <s v="ΔΙΕΥΘΥΝΣΗ Δ.Ε. ΠΙΕΡΙΑΣ"/>
    <n v="41.075000000000003"/>
    <s v="41 - 45"/>
  </r>
  <r>
    <n v="99912094"/>
    <s v="Α"/>
    <x v="9"/>
    <x v="9"/>
    <m/>
    <m/>
    <s v="Γ΄"/>
    <n v="1"/>
    <n v="15800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m/>
    <s v="ΟΧΙ"/>
    <m/>
    <d v="2018-09-01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8-06-26T00:00:00"/>
    <x v="0"/>
    <s v="ΔΙΕΥΘΥΝΣΗ Δ.Ε. Δ΄ ΑΘΗΝΑΣ"/>
    <n v="41.083333333333336"/>
    <s v="41 - 45"/>
  </r>
  <r>
    <n v="99912095"/>
    <s v="Θ"/>
    <x v="6"/>
    <x v="6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6-26T00:00:00"/>
    <x v="1"/>
    <s v="ΔΙΕΥΘΥΝΣΗ Π.Ε. ΠΕΙΡΑΙΑ"/>
    <n v="41.083333333333336"/>
    <s v="41 - 45"/>
  </r>
  <r>
    <n v="99912096"/>
    <s v="Θ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6-24T00:00:00"/>
    <x v="0"/>
    <s v="ΔΙΕΥΘΥΝΣΗ Δ.Ε. Β΄ ΑΘΗΝΑΣ"/>
    <n v="41.088888888888889"/>
    <s v="41 - 45"/>
  </r>
  <r>
    <n v="99912097"/>
    <s v="Θ"/>
    <x v="0"/>
    <x v="0"/>
    <m/>
    <m/>
    <s v="Γ΄"/>
    <n v="1"/>
    <n v="113826256"/>
    <d v="2018-10-05T00:00:00"/>
    <s v="Α΄ ΠΕΙΡΑΙΑ (Π.Ε.) 2018"/>
    <s v="ΔΙΕΥΘΥΝΣΗ Π.Ε. ΠΕΙΡΑΙΑ"/>
    <s v="ΠΕΡΙΦΕΡΕΙΑΚΗ Δ/ΝΣΗ Α/ΘΜΙΑΣ ΚΑΙ Β/ΘΜΙΑΣ ΕΚΠ/ΣΗΣ ΑΤΤΙΚΗΣ"/>
    <n v="11"/>
    <s v="ΟΧΙ"/>
    <s v="ΟΧΙ"/>
    <s v="ΟΧΙ"/>
    <s v="ΟΧΙ"/>
    <s v="ΟΧΙ"/>
    <m/>
    <d v="2018-10-05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6-21T00:00:00"/>
    <x v="1"/>
    <s v="ΔΙΕΥΘΥΝΣΗ Π.Ε. ΠΕΙΡΑΙΑ"/>
    <n v="41.097222222222221"/>
    <s v="41 - 45"/>
  </r>
  <r>
    <n v="99912098"/>
    <s v="Α"/>
    <x v="5"/>
    <x v="5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6-20T00:00:00"/>
    <x v="0"/>
    <s v="ΔΙΕΥΘΥΝΣΗ Δ.Ε. Δ΄ ΑΘΗΝΑΣ"/>
    <n v="41.1"/>
    <s v="41 - 45"/>
  </r>
  <r>
    <n v="99912099"/>
    <s v="Α"/>
    <x v="8"/>
    <x v="8"/>
    <m/>
    <m/>
    <s v="Γ΄"/>
    <n v="1"/>
    <n v="1303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6-20T00:00:00"/>
    <x v="1"/>
    <s v="ΔΙΕΥΘΥΝΣΗ Π.Ε. Δ΄ ΑΘΗΝΑΣ"/>
    <n v="41.1"/>
    <s v="41 - 45"/>
  </r>
  <r>
    <n v="99912100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6-17T00:00:00"/>
    <x v="0"/>
    <s v="ΔΙΕΥΘΥΝΣΗ Δ.Ε. Γ΄ ΑΘΗΝΑΣ"/>
    <n v="41.108333333333334"/>
    <s v="41 - 45"/>
  </r>
  <r>
    <n v="99912101"/>
    <s v="Α"/>
    <x v="14"/>
    <x v="1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8-06-14T00:00:00"/>
    <x v="0"/>
    <s v="ΔΙΕΥΘΥΝΣΗ Δ.Ε. Γ΄ ΑΘΗΝΑΣ"/>
    <n v="41.116666666666667"/>
    <s v="41 - 45"/>
  </r>
  <r>
    <n v="99912102"/>
    <s v="Θ"/>
    <x v="1"/>
    <x v="1"/>
    <m/>
    <m/>
    <s v="Γ΄"/>
    <n v="1"/>
    <s v="19997/3"/>
    <d v="2018-10-17T00:00:00"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d v="2018-10-17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6-13T00:00:00"/>
    <x v="1"/>
    <s v="ΔΙΕΥΘΥΝΣΗ Π.Ε. ΠΕΙΡΑΙΑ"/>
    <n v="41.119444444444447"/>
    <s v="41 - 45"/>
  </r>
  <r>
    <n v="99912103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6-10T00:00:00"/>
    <x v="0"/>
    <s v="ΔΙΕΥΘΥΝΣΗ Δ.Ε. Δ΄ ΑΘΗΝΑΣ"/>
    <n v="41.12777777777778"/>
    <s v="41 - 45"/>
  </r>
  <r>
    <n v="99912104"/>
    <s v="Θ"/>
    <x v="18"/>
    <x v="18"/>
    <m/>
    <m/>
    <s v="Β΄"/>
    <n v="2"/>
    <s v="Φ.Ι.Α.5/18618/19-7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6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6-10T00:00:00"/>
    <x v="1"/>
    <s v="ΔΙΕΥΘΥΝΣΗ Π.Ε. ΑΝΑΤΟΛΙΚΗΣ ΑΤΤΙΚΗΣ"/>
    <n v="41.12777777777778"/>
    <s v="41 - 45"/>
  </r>
  <r>
    <n v="99912105"/>
    <s v="Θ"/>
    <x v="5"/>
    <x v="5"/>
    <m/>
    <m/>
    <s v="Γ΄"/>
    <n v="1"/>
    <s v="3733/11-9-2018"/>
    <d v="2018-09-11T00:00:00"/>
    <s v="ΑΡΓΟΛΙΔΑΣ (Δ.Ε.) 2018"/>
    <s v="ΔΙΕΥΘΥΝΣΗ Δ.Ε. ΑΡΓΟΛΙΔΑΣ"/>
    <s v="ΠΕΡΙΦΕΡΕΙΑΚΗ Δ/ΝΣΗ Α/ΘΜΙΑΣ ΚΑΙ Β/ΘΜΙΑΣ ΕΚΠ/ΣΗΣ ΠΕΛΟΠΟΝΝΗΣΟΥ"/>
    <n v="6"/>
    <s v="ΟΧΙ"/>
    <m/>
    <m/>
    <m/>
    <s v="ΟΧΙ"/>
    <m/>
    <d v="2018-09-11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78-06-02T00:00:00"/>
    <x v="0"/>
    <s v="ΔΙΕΥΘΥΝΣΗ Δ.Ε. ΑΡΓΟΛΙΔΑΣ"/>
    <n v="41.15"/>
    <s v="41 - 45"/>
  </r>
  <r>
    <n v="99912106"/>
    <s v="Θ"/>
    <x v="0"/>
    <x v="0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2"/>
    <s v="ΟΧΙ"/>
    <s v="ΟΧΙ"/>
    <s v="ΟΧΙ"/>
    <s v="ΟΧΙ"/>
    <s v="ΟΧΙ"/>
    <m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5-31T00:00:00"/>
    <x v="0"/>
    <s v="ΔΙΕΥΘΥΝΣΗ Δ.Ε. ΣΕΡΡΩΝ"/>
    <n v="41.155555555555559"/>
    <s v="41 - 45"/>
  </r>
  <r>
    <n v="99912107"/>
    <s v="Α"/>
    <x v="14"/>
    <x v="14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8"/>
    <s v="ΟΧΙ"/>
    <s v="ΟΧΙ"/>
    <s v="ΟΧΙ"/>
    <s v="ΟΧΙ"/>
    <s v="ΟΧΙ"/>
    <m/>
    <m/>
    <s v="Ιδιωτικά Σχολεία"/>
    <x v="0"/>
    <s v="2881010"/>
    <s v="ΙΔΙΩΤΙΚΟ ΓΥΜΝΑΣΙΟ ΚΟΡΙΝΘΟΥ - ΑΡΙΣΤΟΤΕΛΕΙΟ ΚΟΡΙΝΘΙΑΚΟ ΕΚΠΑΙΔΕΥΤΗΡ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8-05-31T00:00:00"/>
    <x v="0"/>
    <s v="ΔΙΕΥΘΥΝΣΗ Δ.Ε. ΚΟΡΙΝΘΙΑΣ"/>
    <n v="41.155555555555559"/>
    <s v="41 - 45"/>
  </r>
  <r>
    <n v="99912108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5-27T00:00:00"/>
    <x v="0"/>
    <s v="ΔΙΕΥΘΥΝΣΗ Δ.Ε. Δ΄ ΑΘΗΝΑΣ"/>
    <n v="41.166666666666664"/>
    <s v="41 - 45"/>
  </r>
  <r>
    <n v="99912109"/>
    <s v="Α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5-23T00:00:00"/>
    <x v="0"/>
    <s v="ΔΙΕΥΘΥΝΣΗ Δ.Ε. ΑΝΑΤΟΛΙΚΗΣ ΑΤΤΙΚΗΣ"/>
    <n v="41.177777777777777"/>
    <s v="41 - 45"/>
  </r>
  <r>
    <n v="99912110"/>
    <s v="Θ"/>
    <x v="2"/>
    <x v="2"/>
    <m/>
    <m/>
    <s v="Γ΄"/>
    <n v="1"/>
    <n v="6326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25"/>
    <s v="ΟΧΙ"/>
    <s v="ΟΧΙ"/>
    <s v="ΟΧΙ"/>
    <m/>
    <s v="ΟΧΙ"/>
    <m/>
    <d v="2018-09-01T00:00:00"/>
    <s v="Ιδιωτικά Σχολεία"/>
    <x v="2"/>
    <s v="7101007"/>
    <s v="ΙΔΙΩΤΙΚΟ ΝΗΠΙΑΓΩΓΕΙΟ ΡΟΔΟΣ - ΔΗΜΙΟΥΡΓ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05-23T00:00:00"/>
    <x v="1"/>
    <s v="ΔΙΕΥΘΥΝΣΗ Π.Ε. ΔΩΔΕΚΑΝΗΣΟΥ"/>
    <n v="41.177777777777777"/>
    <s v="41 - 45"/>
  </r>
  <r>
    <n v="99912111"/>
    <s v="Θ"/>
    <x v="13"/>
    <x v="13"/>
    <m/>
    <m/>
    <s v="Γ΄"/>
    <n v="1"/>
    <n v="2325"/>
    <d v="2018-09-01T00:00:00"/>
    <s v="Δ΄ ΑΘΗΝΑΣ (Π.Ε.) 2018"/>
    <s v="ΔΙΕΥΘΥΝΣΗ Π.Ε. Δ΄ ΑΘΗΝΑΣ"/>
    <s v="ΠΕΡΙΦΕΡΕΙΑΚΗ Δ/ΝΣΗ Α/ΘΜΙΑΣ ΚΑΙ Β/ΘΜΙΑΣ ΕΚΠ/ΣΗΣ ΑΤΤΙΚΗΣ"/>
    <n v="19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5-15T00:00:00"/>
    <x v="1"/>
    <s v="ΔΙΕΥΘΥΝΣΗ Π.Ε. Δ΄ ΑΘΗΝΑΣ"/>
    <n v="41.2"/>
    <s v="41 - 45"/>
  </r>
  <r>
    <n v="99912112"/>
    <s v="Θ"/>
    <x v="3"/>
    <x v="3"/>
    <m/>
    <m/>
    <s v="Γ΄"/>
    <n v="1"/>
    <s v="23/11-05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5-11T00:00:00"/>
    <x v="0"/>
    <s v="ΔΙΕΥΘΥΝΣΗ Δ.Ε. Δ΄ ΑΘΗΝΑΣ"/>
    <n v="41.211111111111109"/>
    <s v="41 - 45"/>
  </r>
  <r>
    <n v="99912113"/>
    <s v="Θ"/>
    <x v="0"/>
    <x v="0"/>
    <m/>
    <m/>
    <s v="Γ΄"/>
    <n v="1"/>
    <n v="4178"/>
    <d v="2018-09-10T00:00:00"/>
    <s v="ΑΡΓΟΛΙΔΑΣ (Π.Ε.) 2018"/>
    <s v="ΔΙΕΥΘΥΝΣΗ Π.Ε. ΑΡΓΟΛΙΔΑΣ"/>
    <s v="ΠΕΡΙΦΕΡΕΙΑΚΗ Δ/ΝΣΗ Α/ΘΜΙΑΣ ΚΑΙ Β/ΘΜΙΑΣ ΕΚΠ/ΣΗΣ ΠΕΛΟΠΟΝΝΗΣΟΥ"/>
    <n v="2"/>
    <s v="ΟΧΙ"/>
    <m/>
    <m/>
    <m/>
    <s v="ΟΧΙ"/>
    <m/>
    <d v="2018-09-10T00:00:00"/>
    <s v="Ιδιωτικά Σχολεία"/>
    <x v="2"/>
    <s v="7021011"/>
    <s v="ΙΔΙΩΤΙΚΟ ΝΗΠΙΑΓΩΓΕΙ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78-05-11T00:00:00"/>
    <x v="1"/>
    <s v="ΔΙΕΥΘΥΝΣΗ Π.Ε. ΑΡΓΟΛΙΔΑΣ"/>
    <n v="41.211111111111109"/>
    <s v="41 - 45"/>
  </r>
  <r>
    <n v="99912114"/>
    <s v="Θ"/>
    <x v="18"/>
    <x v="18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8-05-06T00:00:00"/>
    <x v="0"/>
    <s v="ΔΙΕΥΘΥΝΣΗ Δ.Ε. ΛΑΡΙΣΑΣ"/>
    <n v="41.225000000000001"/>
    <s v="41 - 45"/>
  </r>
  <r>
    <n v="99912115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29T00:00:00"/>
    <x v="0"/>
    <s v="ΔΙΕΥΘΥΝΣΗ Δ.Ε. Β΄ ΑΘΗΝΑΣ"/>
    <n v="41.244444444444447"/>
    <s v="41 - 45"/>
  </r>
  <r>
    <n v="99912116"/>
    <s v="Θ"/>
    <x v="2"/>
    <x v="2"/>
    <m/>
    <m/>
    <s v="Γ΄"/>
    <n v="1"/>
    <n v="2041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29T00:00:00"/>
    <x v="1"/>
    <s v="ΔΙΕΥΘΥΝΣΗ Π.Ε. Δ΄ ΑΘΗΝΑΣ"/>
    <n v="41.244444444444447"/>
    <s v="41 - 45"/>
  </r>
  <r>
    <n v="99912117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25T00:00:00"/>
    <x v="0"/>
    <s v="ΔΙΕΥΘΥΝΣΗ Δ.Ε. Β΄ ΑΘΗΝΑΣ"/>
    <n v="41.255555555555553"/>
    <s v="41 - 45"/>
  </r>
  <r>
    <n v="99912118"/>
    <s v="Θ"/>
    <x v="6"/>
    <x v="6"/>
    <m/>
    <m/>
    <s v="Α΄"/>
    <n v="4"/>
    <m/>
    <m/>
    <s v="Α΄ ΜΑΓΝΗΣΙΑΣ (Π.Ε.) 2018"/>
    <s v="ΔΙΕΥΘΥΝΣΗ Π.Ε. ΜΑΓΝΗΣΙΑΣ"/>
    <s v="ΠΕΡΙΦΕΡΕΙΑΚΗ Δ/ΝΣΗ Α/ΘΜΙΑΣ ΚΑΙ Β/ΘΜΙΑΣ ΕΚΠ/ΣΗΣ ΘΕΣΣΑΛΙΑΣ"/>
    <n v="8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8-04-25T00:00:00"/>
    <x v="1"/>
    <s v="ΔΙΕΥΘΥΝΣΗ Π.Ε. ΜΑΓΝΗΣΙΑΣ"/>
    <n v="41.255555555555553"/>
    <s v="41 - 45"/>
  </r>
  <r>
    <n v="99912119"/>
    <s v="Α"/>
    <x v="9"/>
    <x v="9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8-04-21T00:00:00"/>
    <x v="0"/>
    <s v="ΔΙΕΥΘΥΝΣΗ Δ.Ε. ΛΑΡΙΣΑΣ"/>
    <n v="41.266666666666666"/>
    <s v="41 - 45"/>
  </r>
  <r>
    <n v="99912120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20T00:00:00"/>
    <x v="0"/>
    <s v="ΔΙΕΥΘΥΝΣΗ Δ.Ε. Δ΄ ΑΘΗΝΑΣ"/>
    <n v="41.269444444444446"/>
    <s v="41 - 45"/>
  </r>
  <r>
    <n v="99912121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15T00:00:00"/>
    <x v="1"/>
    <s v="ΔΙΕΥΘΥΝΣΗ Π.Ε. Δ΄ ΑΘΗΝΑΣ"/>
    <n v="41.283333333333331"/>
    <s v="41 - 45"/>
  </r>
  <r>
    <n v="99912122"/>
    <s v="Θ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4-10T00:00:00"/>
    <x v="0"/>
    <s v="ΔΙΕΥΘΥΝΣΗ Δ.Ε. ΑΝΑΤ. ΘΕΣ/ΝΙΚΗΣ"/>
    <n v="41.297222222222224"/>
    <s v="41 - 45"/>
  </r>
  <r>
    <n v="99912123"/>
    <s v="Θ"/>
    <x v="18"/>
    <x v="1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07T00:00:00"/>
    <x v="1"/>
    <s v="ΔΙΕΥΘΥΝΣΗ Π.Ε. Β΄ ΑΘΗΝΑΣ"/>
    <n v="41.305555555555557"/>
    <s v="41 - 45"/>
  </r>
  <r>
    <n v="99912124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06T00:00:00"/>
    <x v="0"/>
    <s v="ΔΙΕΥΘΥΝΣΗ Δ.Ε. Β΄ ΑΘΗΝΑΣ"/>
    <n v="41.30833333333333"/>
    <s v="41 - 45"/>
  </r>
  <r>
    <n v="99912125"/>
    <s v="Θ"/>
    <x v="14"/>
    <x v="1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4-05T00:00:00"/>
    <x v="0"/>
    <s v="ΔΙΕΥΘΥΝΣΗ Δ.Ε. Β΄ ΑΘΗΝΑΣ"/>
    <n v="41.31111111111111"/>
    <s v="41 - 45"/>
  </r>
  <r>
    <n v="99912126"/>
    <s v="Θ"/>
    <x v="15"/>
    <x v="1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03T00:00:00"/>
    <x v="0"/>
    <s v="ΔΙΕΥΘΥΝΣΗ Δ.Ε. Β΄ ΑΘΗΝΑΣ"/>
    <n v="41.31666666666667"/>
    <s v="41 - 45"/>
  </r>
  <r>
    <n v="99912127"/>
    <s v="Α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4-02T00:00:00"/>
    <x v="0"/>
    <s v="ΔΙΕΥΘΥΝΣΗ Δ.Ε. Β΄ ΑΘΗΝΑΣ"/>
    <n v="41.319444444444443"/>
    <s v="41 - 45"/>
  </r>
  <r>
    <n v="99912128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2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8-03-23T00:00:00"/>
    <x v="1"/>
    <s v="ΔΙΕΥΘΥΝΣΗ Π.Ε. ΗΡΑΚΛΕΙΟΥ"/>
    <n v="41.347222222222221"/>
    <s v="41 - 45"/>
  </r>
  <r>
    <n v="99912129"/>
    <s v="Θ"/>
    <x v="8"/>
    <x v="8"/>
    <m/>
    <m/>
    <s v="Γ΄"/>
    <n v="1"/>
    <s v="Φ. 17.2_ A/12078/2"/>
    <d v="2018-09-28T00:00:00"/>
    <s v="ΑΧΑΪΑΣ (Δ.Ε.) 2018"/>
    <s v="ΔΙΕΥΘΥΝΣΗ Δ.Ε. ΑΧΑΪΑΣ"/>
    <s v="ΠΕΡΙΦΕΡΕΙΑΚΗ Δ/ΝΣΗ Α/ΘΜΙΑΣ ΚΑΙ Β/ΘΜΙΑΣ ΕΚΠ/ΣΗΣ ΔΥΤΙΚΗΣ ΕΛΛΑΔΑΣ"/>
    <n v="11"/>
    <s v="ΟΧΙ"/>
    <s v="ΟΧΙ"/>
    <s v="ΟΧΙ"/>
    <s v="ΟΧΙ"/>
    <s v="ΟΧΙ"/>
    <m/>
    <d v="2018-09-28T00:00:00"/>
    <s v="Ιδιωτικά Σχολεία"/>
    <x v="0"/>
    <s v="0645053"/>
    <s v="ΙΔΙΩΤΙΚΟ ΓΥΜΝΑΣΙΟ &quot;ΑΝΑΓΕΝΝΗΣΗ IKE&quot;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8-03-21T00:00:00"/>
    <x v="0"/>
    <s v="ΔΙΕΥΘΥΝΣΗ Δ.Ε. ΑΧΑΪΑΣ"/>
    <n v="41.352777777777774"/>
    <s v="41 - 45"/>
  </r>
  <r>
    <n v="99912130"/>
    <s v="Α"/>
    <x v="20"/>
    <x v="20"/>
    <m/>
    <m/>
    <s v="Γ΄"/>
    <n v="1"/>
    <s v="6ΡΕΛ4653ΠΣ-7Ψ4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8-03-20T00:00:00"/>
    <x v="0"/>
    <s v="ΔΙΕΥΘΥΝΣΗ Δ.Ε. Β΄ ΑΘΗΝΑΣ"/>
    <n v="41.355555555555554"/>
    <s v="41 - 45"/>
  </r>
  <r>
    <n v="99912131"/>
    <s v="Α"/>
    <x v="1"/>
    <x v="1"/>
    <m/>
    <m/>
    <s v="Α΄"/>
    <n v="7"/>
    <s v="Φ.Ι.Α.6/9399/23-3-2017"/>
    <d v="2016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6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3-18T00:00:00"/>
    <x v="1"/>
    <s v="ΔΙΕΥΘΥΝΣΗ Π.Ε. ΑΝΑΤΟΛΙΚΗΣ ΑΤΤΙΚΗΣ"/>
    <n v="41.361111111111114"/>
    <s v="41 - 45"/>
  </r>
  <r>
    <n v="9991213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3-17T00:00:00"/>
    <x v="0"/>
    <s v="ΔΙΕΥΘΥΝΣΗ Δ.Ε. Β΄ ΑΘΗΝΑΣ"/>
    <n v="41.363888888888887"/>
    <s v="41 - 45"/>
  </r>
  <r>
    <n v="99912133"/>
    <s v="Θ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3-13T00:00:00"/>
    <x v="0"/>
    <s v="ΔΙΕΥΘΥΝΣΗ Δ.Ε. Β΄ ΑΘΗΝΑΣ"/>
    <n v="41.375"/>
    <s v="41 - 45"/>
  </r>
  <r>
    <n v="99912134"/>
    <s v="Θ"/>
    <x v="18"/>
    <x v="1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2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3-11T00:00:00"/>
    <x v="0"/>
    <s v="ΔΙΕΥΘΥΝΣΗ Δ.Ε. ΑΝΑΤ. ΘΕΣ/ΝΙΚΗΣ"/>
    <n v="41.380555555555553"/>
    <s v="41 - 45"/>
  </r>
  <r>
    <n v="9991213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3-10T00:00:00"/>
    <x v="1"/>
    <s v="ΔΙΕΥΘΥΝΣΗ Π.Ε. Β΄ ΑΘΗΝΑΣ"/>
    <n v="41.383333333333333"/>
    <s v="41 - 45"/>
  </r>
  <r>
    <n v="99912136"/>
    <s v="Θ"/>
    <x v="6"/>
    <x v="6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3-09T00:00:00"/>
    <x v="1"/>
    <s v="ΔΙΕΥΘΥΝΣΗ Π.Ε. Β΄ ΑΘΗΝΑΣ"/>
    <n v="41.386111111111113"/>
    <s v="41 - 45"/>
  </r>
  <r>
    <n v="99912137"/>
    <s v="Α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3-07T00:00:00"/>
    <x v="0"/>
    <s v="ΔΙΕΥΘΥΝΣΗ Δ.Ε. Β΄ ΑΘΗΝΑΣ"/>
    <n v="41.391666666666666"/>
    <s v="41 - 45"/>
  </r>
  <r>
    <n v="99912138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27T00:00:00"/>
    <x v="1"/>
    <s v="ΔΙΕΥΘΥΝΣΗ Π.Ε. ΑΝΑΤΟΛΙΚΗΣ ΑΤΤΙΚΗΣ"/>
    <n v="41.413888888888891"/>
    <s v="41 - 45"/>
  </r>
  <r>
    <n v="99912139"/>
    <s v="Θ"/>
    <x v="20"/>
    <x v="2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24T00:00:00"/>
    <x v="0"/>
    <s v="ΔΙΕΥΘΥΝΣΗ Δ.Ε. Γ΄ ΑΘΗΝΑΣ"/>
    <n v="41.422222222222224"/>
    <s v="41 - 45"/>
  </r>
  <r>
    <n v="99912140"/>
    <s v="Θ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21T00:00:00"/>
    <x v="0"/>
    <s v="ΔΙΕΥΘΥΝΣΗ Δ.Ε. Β΄ ΑΘΗΝΑΣ"/>
    <n v="41.430555555555557"/>
    <s v="41 - 45"/>
  </r>
  <r>
    <n v="99912141"/>
    <s v="Θ"/>
    <x v="7"/>
    <x v="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20T00:00:00"/>
    <x v="0"/>
    <s v="ΔΙΕΥΘΥΝΣΗ Δ.Ε. Β΄ ΑΘΗΝΑΣ"/>
    <n v="41.43333333333333"/>
    <s v="41 - 45"/>
  </r>
  <r>
    <n v="99912142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20T00:00:00"/>
    <x v="0"/>
    <s v="ΔΙΕΥΘΥΝΣΗ Δ.Ε. Γ΄ ΑΘΗΝΑΣ"/>
    <n v="41.43333333333333"/>
    <s v="41 - 45"/>
  </r>
  <r>
    <n v="99912143"/>
    <s v="Θ"/>
    <x v="18"/>
    <x v="18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20T00:00:00"/>
    <x v="1"/>
    <s v="ΔΙΕΥΘΥΝΣΗ Π.Ε. Γ΄ ΑΘΗΝΑΣ"/>
    <n v="41.43333333333333"/>
    <s v="41 - 45"/>
  </r>
  <r>
    <n v="99912144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15T00:00:00"/>
    <x v="1"/>
    <s v="ΔΙΕΥΘΥΝΣΗ Π.Ε. Β΄ ΑΘΗΝΑΣ"/>
    <n v="41.447222222222223"/>
    <s v="41 - 45"/>
  </r>
  <r>
    <n v="99912145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2-15T00:00:00"/>
    <x v="0"/>
    <s v="ΔΙΕΥΘΥΝΣΗ Δ.Ε. ΑΝΑΤ. ΘΕΣ/ΝΙΚΗΣ"/>
    <n v="41.447222222222223"/>
    <s v="41 - 45"/>
  </r>
  <r>
    <n v="99912146"/>
    <s v="Α"/>
    <x v="14"/>
    <x v="14"/>
    <m/>
    <m/>
    <s v="Γ΄"/>
    <n v="1"/>
    <s v="1819/13/3/2014"/>
    <d v="2018-09-01T00:00:00"/>
    <s v="ΙΩΑΝΝΙΝΩΝ (Π.Ε.) 2018"/>
    <s v="ΔΙΕΥΘΥΝΣΗ Π.Ε. ΙΩΑΝΝΙΝΩΝ"/>
    <s v="ΠΕΡΙΦΕΡΕΙΑΚΗ Δ/ΝΣΗ Α/ΘΜΙΑΣ ΚΑΙ Β/ΘΜΙΑΣ ΕΚΠ/ΣΗΣ ΗΠΕΙΡΟΥ"/>
    <n v="6"/>
    <s v="ΟΧΙ"/>
    <s v="ΟΧΙ"/>
    <s v="ΟΧΙ"/>
    <s v="ΟΧΙ"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8-02-12T00:00:00"/>
    <x v="1"/>
    <s v="ΔΙΕΥΘΥΝΣΗ Π.Ε. ΙΩΑΝΝΙΝΩΝ"/>
    <n v="41.455555555555556"/>
    <s v="41 - 45"/>
  </r>
  <r>
    <n v="99912147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2-11T00:00:00"/>
    <x v="0"/>
    <s v="ΔΙΕΥΘΥΝΣΗ Δ.Ε. ΑΝΑΤ. ΘΕΣ/ΝΙΚΗΣ"/>
    <n v="41.458333333333336"/>
    <s v="41 - 45"/>
  </r>
  <r>
    <n v="99912148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06T00:00:00"/>
    <x v="0"/>
    <s v="ΔΙΕΥΘΥΝΣΗ Δ.Ε. Β΄ ΑΘΗΝΑΣ"/>
    <n v="41.472222222222221"/>
    <s v="41 - 45"/>
  </r>
  <r>
    <n v="99912149"/>
    <s v="Θ"/>
    <x v="1"/>
    <x v="1"/>
    <m/>
    <m/>
    <s v="Α΄"/>
    <n v="6"/>
    <n v="1172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1"/>
    <s v="7192002"/>
    <s v="ΙΔΙΩΤΙΚΟ ΔΗΜΟΤΙΚΟ ΠΕΥΚΑ ΘΕΣΣΑΛΟΝΙΚΗΣ - ΕΚΠΑΙΔΕΥΤΗΡΙΑ ΦΡΥΓΑΝΙΩΤ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2-06T00:00:00"/>
    <x v="1"/>
    <s v="ΔΙΕΥΘΥΝΣΗ Π.Ε. ΔΥΤ. ΘΕΣ/ΝΙΚΗΣ"/>
    <n v="41.472222222222221"/>
    <s v="41 - 45"/>
  </r>
  <r>
    <n v="99912150"/>
    <s v="Θ"/>
    <x v="4"/>
    <x v="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2-05T00:00:00"/>
    <x v="0"/>
    <s v="ΔΙΕΥΘΥΝΣΗ Δ.Ε. Δ΄ ΑΘΗΝΑΣ"/>
    <n v="41.475000000000001"/>
    <s v="41 - 45"/>
  </r>
  <r>
    <n v="99912151"/>
    <s v="Α"/>
    <x v="10"/>
    <x v="10"/>
    <m/>
    <m/>
    <s v="Γ΄"/>
    <n v="1"/>
    <m/>
    <d v="2006-09-15T00:00:00"/>
    <s v="ΣΕΡΡΩΝ (Δ.Ε.) 2018"/>
    <s v="ΔΙΕΥΘΥΝΣΗ Δ.Ε. ΣΕΡΡΩΝ"/>
    <s v="ΠΕΡΙΦΕΡΕΙΑΚΗ Δ/ΝΣΗ Α/ΘΜΙΑΣ ΚΑΙ Β/ΘΜΙΑΣ ΕΚΠ/ΣΗΣ ΚΕΝΤΡΙΚΗΣ ΜΑΚΕΔΟΝΙΑΣ"/>
    <n v="10"/>
    <s v="ΟΧΙ"/>
    <s v="ΟΧΙ"/>
    <s v="ΟΧΙ"/>
    <s v="ΟΧΙ"/>
    <s v="ΟΧΙ"/>
    <m/>
    <d v="2006-09-15T00:00:00"/>
    <s v="Ιδιωτικά Σχολεία"/>
    <x v="0"/>
    <s v="4475075"/>
    <s v="ΙΔΙΩΤΙΚΟ ΓΥΜΝΑΣ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2-04T00:00:00"/>
    <x v="0"/>
    <s v="ΔΙΕΥΘΥΝΣΗ Δ.Ε. ΣΕΡΡΩΝ"/>
    <n v="41.477777777777774"/>
    <s v="41 - 45"/>
  </r>
  <r>
    <n v="99912152"/>
    <s v="Θ"/>
    <x v="8"/>
    <x v="8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3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8-02-04T00:00:00"/>
    <x v="1"/>
    <s v="ΔΙΕΥΘΥΝΣΗ Π.Ε. ΜΕΣΣΗΝΙΑΣ"/>
    <n v="41.477777777777774"/>
    <s v="41 - 45"/>
  </r>
  <r>
    <n v="99912153"/>
    <s v="Θ"/>
    <x v="14"/>
    <x v="14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9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8-02-02T00:00:00"/>
    <x v="1"/>
    <s v="ΔΙΕΥΘΥΝΣΗ Π.Ε. ΗΡΑΚΛΕΙΟΥ"/>
    <n v="41.483333333333334"/>
    <s v="41 - 45"/>
  </r>
  <r>
    <n v="99912154"/>
    <s v="Θ"/>
    <x v="35"/>
    <x v="34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2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02-02T00:00:00"/>
    <x v="0"/>
    <s v="ΔΙΕΥΘΥΝΣΗ Δ.Ε. ΚΥΚΛΑΔΩΝ"/>
    <n v="41.483333333333334"/>
    <s v="41 - 45"/>
  </r>
  <r>
    <n v="99912155"/>
    <s v="Α"/>
    <x v="14"/>
    <x v="1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31T00:00:00"/>
    <x v="0"/>
    <s v="ΔΙΕΥΘΥΝΣΗ Δ.Ε. Δ΄ ΑΘΗΝΑΣ"/>
    <n v="41.488888888888887"/>
    <s v="41 - 45"/>
  </r>
  <r>
    <n v="99912156"/>
    <s v="Α"/>
    <x v="19"/>
    <x v="19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1012"/>
    <s v="ΜΟΝΤΕΣΣΟΡΙΑΝΗ ΣΧΟΛΗ ΑΘΗΝΩΝ ΜΑΡΙΑ ΓΟΥΔΕΛΗ ΑΕΕ - ΔΗΜΟΤΙΚΟ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30T00:00:00"/>
    <x v="1"/>
    <s v="ΔΙΕΥΘΥΝΣΗ Π.Ε. Α΄ ΑΘΗΝΑΣ"/>
    <n v="41.491666666666667"/>
    <s v="41 - 45"/>
  </r>
  <r>
    <n v="99912157"/>
    <s v="Θ"/>
    <x v="10"/>
    <x v="10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28T00:00:00"/>
    <x v="1"/>
    <s v="ΔΙΕΥΘΥΝΣΗ Π.Ε. Α΄ ΑΘΗΝΑΣ"/>
    <n v="41.49722222222222"/>
    <s v="41 - 45"/>
  </r>
  <r>
    <n v="99912158"/>
    <s v="Α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7"/>
    <s v="ΟΧΙ"/>
    <s v="ΟΧΙ"/>
    <s v="ΟΧΙ"/>
    <s v="ΟΧΙ"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27T00:00:00"/>
    <x v="0"/>
    <s v="ΔΙΕΥΘΥΝΣΗ Δ.Ε. Β΄ ΑΘΗΝΑΣ"/>
    <n v="41.5"/>
    <s v="41 - 45"/>
  </r>
  <r>
    <n v="99912159"/>
    <s v="Α"/>
    <x v="7"/>
    <x v="7"/>
    <m/>
    <m/>
    <s v="Γ΄"/>
    <n v="1"/>
    <s v="Φ 17.2/304/13919/07-11-13"/>
    <d v="2018-09-01T00:00:00"/>
    <s v="Β΄ ΑΘΗΝΑΣ (Π.Ε.) 2018"/>
    <s v="ΔΙΕΥΘΥΝΣΗ Π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27T00:00:00"/>
    <x v="1"/>
    <s v="ΔΙΕΥΘΥΝΣΗ Π.Ε. Β΄ ΑΘΗΝΑΣ"/>
    <n v="41.5"/>
    <s v="41 - 45"/>
  </r>
  <r>
    <n v="99912160"/>
    <s v="Θ"/>
    <x v="2"/>
    <x v="2"/>
    <m/>
    <m/>
    <s v="Γ΄"/>
    <n v="1"/>
    <s v="Φ.17.2/4344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25"/>
    <s v="ΟΧΙ"/>
    <m/>
    <m/>
    <m/>
    <s v="ΟΧΙ"/>
    <m/>
    <d v="2018-09-01T00:00:00"/>
    <s v="Ιδιωτικά Σχολεία"/>
    <x v="2"/>
    <s v="7371001"/>
    <s v="ΙΔΙΩΤΙΚΟ ΝΗΠΙΑΓΩΓΕΙΟ ΞΑΝΘΗ - ΚΑΚΑΔΙΑΡΗ ΕΥΑΓΓΕΛΙΑ"/>
    <s v="ΞΑΝΘΗΣ (Π.Ε.) 2018"/>
    <x v="21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8-01-25T00:00:00"/>
    <x v="1"/>
    <s v="ΔΙΕΥΘΥΝΣΗ Π.Ε. ΞΑΝΘΗΣ"/>
    <n v="41.505555555555553"/>
    <s v="41 - 45"/>
  </r>
  <r>
    <n v="99912161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19T00:00:00"/>
    <x v="0"/>
    <s v="ΔΙΕΥΘΥΝΣΗ Δ.Ε. Β΄ ΑΘΗΝΑΣ"/>
    <n v="41.522222222222226"/>
    <s v="41 - 45"/>
  </r>
  <r>
    <n v="99912162"/>
    <s v="Θ"/>
    <x v="6"/>
    <x v="6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8-01-19T00:00:00"/>
    <x v="1"/>
    <s v="ΔΙΕΥΘΥΝΣΗ Π.Ε. ΑΙΤΩΛΟΑΚΑΡΝΑΝΙΑΣ"/>
    <n v="41.522222222222226"/>
    <s v="41 - 45"/>
  </r>
  <r>
    <n v="99912163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18T00:00:00"/>
    <x v="0"/>
    <s v="ΔΙΕΥΘΥΝΣΗ Δ.Ε. Β΄ ΑΘΗΝΑΣ"/>
    <n v="41.524999999999999"/>
    <s v="41 - 45"/>
  </r>
  <r>
    <n v="99912164"/>
    <s v="Θ"/>
    <x v="8"/>
    <x v="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7"/>
    <s v="ΟΧΙ"/>
    <s v="ΟΧΙ"/>
    <s v="ΟΧΙ"/>
    <s v="ΟΧΙ"/>
    <s v="ΟΧΙ"/>
    <m/>
    <m/>
    <s v="Ιδιωτικά Σχολεία"/>
    <x v="1"/>
    <s v="7052048"/>
    <s v="ΙΔΙΩΤΙΚΟ ΔΗΜΟΤΙΚΟ ΣΧΟΛΕΙΟ - ΤΡΙΑΝΕΜΙ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18T00:00:00"/>
    <x v="1"/>
    <s v="ΔΙΕΥΘΥΝΣΗ Π.Ε. Β΄ ΑΘΗΝΑΣ"/>
    <n v="41.524999999999999"/>
    <s v="41 - 45"/>
  </r>
  <r>
    <n v="99912165"/>
    <s v="Α"/>
    <x v="14"/>
    <x v="1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17T00:00:00"/>
    <x v="0"/>
    <s v="ΔΙΕΥΘΥΝΣΗ Δ.Ε. Γ΄ ΑΘΗΝΑΣ"/>
    <n v="41.527777777777779"/>
    <s v="41 - 45"/>
  </r>
  <r>
    <n v="99912166"/>
    <s v="Θ"/>
    <x v="15"/>
    <x v="1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9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01-15T00:00:00"/>
    <x v="0"/>
    <s v="ΔΙΕΥΘΥΝΣΗ Δ.Ε. ΔΩΔΕΚΑΝΗΣΟΥ"/>
    <n v="41.533333333333331"/>
    <s v="41 - 45"/>
  </r>
  <r>
    <n v="99912167"/>
    <s v="Θ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13T00:00:00"/>
    <x v="0"/>
    <s v="ΔΙΕΥΘΥΝΣΗ Δ.Ε. Γ΄ ΑΘΗΝΑΣ"/>
    <n v="41.538888888888891"/>
    <s v="41 - 45"/>
  </r>
  <r>
    <n v="99912168"/>
    <s v="Θ"/>
    <x v="6"/>
    <x v="6"/>
    <m/>
    <m/>
    <s v="Β΄"/>
    <n v="2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8-01-13T00:00:00"/>
    <x v="1"/>
    <s v="ΔΙΕΥΘΥΝΣΗ Π.Ε. ΑΝΑΤΟΛΙΚΗΣ ΑΤΤΙΚΗΣ"/>
    <n v="41.538888888888891"/>
    <s v="41 - 45"/>
  </r>
  <r>
    <n v="99912169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9T00:00:00"/>
    <x v="0"/>
    <s v="ΔΙΕΥΘΥΝΣΗ Δ.Ε. Β΄ ΑΘΗΝΑΣ"/>
    <n v="41.55"/>
    <s v="41 - 45"/>
  </r>
  <r>
    <n v="99912170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9T00:00:00"/>
    <x v="0"/>
    <s v="ΔΙΕΥΘΥΝΣΗ Δ.Ε. Β΄ ΑΘΗΝΑΣ"/>
    <n v="41.55"/>
    <s v="41 - 45"/>
  </r>
  <r>
    <n v="99912171"/>
    <s v="Θ"/>
    <x v="3"/>
    <x v="3"/>
    <m/>
    <m/>
    <s v="Α΄"/>
    <n v="1"/>
    <m/>
    <m/>
    <s v="ΞΑΝΘΗΣ (Π.Ε.) 2018"/>
    <s v="ΔΙΕΥΘΥΝΣΗ Π.Ε. ΞΑΝΘΗΣ"/>
    <s v="ΠΕΡΙΦΕΡΕΙΑΚΗ Δ/ΝΣΗ Α/ΘΜΙΑΣ ΚΑΙ Β/ΘΜΙΑΣ ΕΚΠ/ΣΗΣ ΑΝ. ΜΑΚΕΔΟΝΙΑΣ ΚΑΙ ΘΡΑΚΗΣ"/>
    <n v="24"/>
    <s v="ΟΧΙ"/>
    <s v="ΟΧΙ"/>
    <s v="ΟΧΙ"/>
    <s v="ΟΧΙ"/>
    <s v="ΟΧΙ"/>
    <m/>
    <m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8-01-01T00:00:00"/>
    <x v="1"/>
    <s v="ΔΙΕΥΘΥΝΣΗ Π.Ε. ΞΑΝΘΗΣ"/>
    <n v="41.572222222222223"/>
    <s v="41 - 45"/>
  </r>
  <r>
    <n v="99912172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0"/>
    <s v="ΔΙΕΥΘΥΝΣΗ Δ.Ε. ΑΝΑΤΟΛΙΚΗΣ ΑΤΤΙΚΗΣ"/>
    <n v="41.572222222222223"/>
    <s v="41 - 45"/>
  </r>
  <r>
    <n v="9991217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0"/>
    <s v="ΔΙΕΥΘΥΝΣΗ Δ.Ε. Β΄ ΑΘΗΝΑΣ"/>
    <n v="41.572222222222223"/>
    <s v="41 - 45"/>
  </r>
  <r>
    <n v="99912174"/>
    <s v="Α"/>
    <x v="5"/>
    <x v="5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0"/>
    <s v="ΔΙΕΥΘΥΝΣΗ Δ.Ε. Δ΄ ΑΘΗΝΑΣ"/>
    <n v="41.572222222222223"/>
    <s v="41 - 45"/>
  </r>
  <r>
    <n v="99912175"/>
    <s v="Θ"/>
    <x v="8"/>
    <x v="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0"/>
    <s v="ΔΙΕΥΘΥΝΣΗ Δ.Ε. Δ΄ ΑΘΗΝΑΣ"/>
    <n v="41.572222222222223"/>
    <s v="41 - 45"/>
  </r>
  <r>
    <n v="99912176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0"/>
    <s v="ΔΙΕΥΘΥΝΣΗ Δ.Ε. ΠΕΙΡΑΙΑ"/>
    <n v="41.572222222222223"/>
    <s v="41 - 45"/>
  </r>
  <r>
    <n v="99912177"/>
    <s v="Θ"/>
    <x v="10"/>
    <x v="1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0"/>
    <s v="ΔΙΕΥΘΥΝΣΗ Δ.Ε. ΠΕΙΡΑΙΑ"/>
    <n v="41.572222222222223"/>
    <s v="41 - 45"/>
  </r>
  <r>
    <n v="99912178"/>
    <s v="Θ"/>
    <x v="28"/>
    <x v="27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1"/>
    <s v="ΔΙΕΥΘΥΝΣΗ Π.Ε. ΑΝΑΤΟΛΙΚΗΣ ΑΤΤΙΚΗΣ"/>
    <n v="41.572222222222223"/>
    <s v="41 - 45"/>
  </r>
  <r>
    <n v="99912179"/>
    <s v="Θ"/>
    <x v="1"/>
    <x v="1"/>
    <m/>
    <m/>
    <s v="Γ΄"/>
    <n v="1"/>
    <n v="2172"/>
    <d v="2018-09-01T00:00:00"/>
    <s v="Β΄ ΑΘΗΝΑΣ (Π.Ε.) 2018"/>
    <s v="ΔΙΕΥΘΥΝΣΗ Π.Ε. Β΄ ΑΘΗΝΑΣ"/>
    <s v="ΠΕΡΙΦΕΡΕΙΑΚΗ Δ/ΝΣΗ Α/ΘΜΙΑΣ ΚΑΙ Β/ΘΜΙΑΣ ΕΚΠ/ΣΗΣ ΑΤΤΙΚΗΣ"/>
    <n v="22"/>
    <s v="ΟΧΙ"/>
    <m/>
    <m/>
    <m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1"/>
    <s v="ΔΙΕΥΘΥΝΣΗ Π.Ε. Β΄ ΑΘΗΝΑΣ"/>
    <n v="41.572222222222223"/>
    <s v="41 - 45"/>
  </r>
  <r>
    <n v="99912180"/>
    <s v="Θ"/>
    <x v="0"/>
    <x v="0"/>
    <m/>
    <m/>
    <s v="Γ΄"/>
    <n v="1"/>
    <n v="1322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8-01-01T00:00:00"/>
    <x v="1"/>
    <s v="ΔΙΕΥΘΥΝΣΗ Π.Ε. Δ΄ ΑΘΗΝΑΣ"/>
    <n v="41.572222222222223"/>
    <s v="41 - 45"/>
  </r>
  <r>
    <n v="99912181"/>
    <s v="Θ"/>
    <x v="0"/>
    <x v="0"/>
    <m/>
    <m/>
    <s v="Γ΄"/>
    <n v="1"/>
    <n v="13024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1"/>
    <s v="ΔΙΕΥΘΥΝΣΗ Π.Ε. Δ΄ ΑΘΗΝΑΣ"/>
    <n v="41.572222222222223"/>
    <s v="41 - 45"/>
  </r>
  <r>
    <n v="99912182"/>
    <s v="Θ"/>
    <x v="0"/>
    <x v="0"/>
    <m/>
    <m/>
    <s v="Γ΄"/>
    <n v="1"/>
    <s v="ΒΛ1Γ9-41Ε"/>
    <d v="2013-11-21T00:00:00"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s v="ΟΧΙ"/>
    <s v="ΟΧΙ"/>
    <m/>
    <d v="2013-11-2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1"/>
    <s v="ΔΙΕΥΘΥΝΣΗ Π.Ε. Δ΄ ΑΘΗΝΑΣ"/>
    <n v="41.572222222222223"/>
    <s v="41 - 45"/>
  </r>
  <r>
    <n v="99912183"/>
    <s v="Θ"/>
    <x v="18"/>
    <x v="18"/>
    <m/>
    <m/>
    <s v="Γ΄"/>
    <n v="1"/>
    <n v="2688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1"/>
    <s v="ΔΙΕΥΘΥΝΣΗ Π.Ε. Δ΄ ΑΘΗΝΑΣ"/>
    <n v="41.572222222222223"/>
    <s v="41 - 45"/>
  </r>
  <r>
    <n v="99912184"/>
    <s v="Θ"/>
    <x v="0"/>
    <x v="0"/>
    <m/>
    <m/>
    <s v="Γ΄"/>
    <n v="1"/>
    <n v="99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8-01-01T00:00:00"/>
    <x v="1"/>
    <s v="ΔΙΕΥΘΥΝΣΗ Π.Ε. Δ΄ ΑΘΗΝΑΣ"/>
    <n v="41.572222222222223"/>
    <s v="41 - 45"/>
  </r>
  <r>
    <n v="99912185"/>
    <s v="Θ"/>
    <x v="2"/>
    <x v="2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2"/>
    <s v="7011009"/>
    <s v="ΙΔΙΩΤΙΚΟ ΝΗΠΙΑΓΩΓΕΙΟ ΠΑΛΑΙΟΠΑΝΑΓΙΑ ΝΑΥΠΑΚΤΟΥ - ΙΔΙΩΤΙΚΟ ΝΗΠΙΑΓΩΓ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8-01-01T00:00:00"/>
    <x v="1"/>
    <s v="ΔΙΕΥΘΥΝΣΗ Π.Ε. ΑΙΤΩΛΟΑΚΑΡΝΑΝΙΑΣ"/>
    <n v="41.572222222222223"/>
    <s v="41 - 45"/>
  </r>
  <r>
    <n v="99912186"/>
    <s v="Θ"/>
    <x v="10"/>
    <x v="10"/>
    <m/>
    <m/>
    <s v="Γ΄"/>
    <n v="1"/>
    <s v="ΒΘΛΧ9-ΖΜ1"/>
    <d v="2014-12-10T00:00:00"/>
    <s v="ΑΧΑΪΑΣ (Π.Ε.) 2018"/>
    <s v="ΔΙΕΥΘΥΝΣΗ Π.Ε. ΑΧΑΪΑΣ"/>
    <s v="ΠΕΡΙΦΕΡΕΙΑΚΗ Δ/ΝΣΗ Α/ΘΜΙΑΣ ΚΑΙ Β/ΘΜΙΑΣ ΕΚΠ/ΣΗΣ ΔΥΤΙΚΗΣ ΕΛΛΑΔΑΣ"/>
    <n v="17"/>
    <s v="ΟΧΙ"/>
    <s v="ΟΧΙ"/>
    <s v="ΟΧΙ"/>
    <s v="ΟΧΙ"/>
    <s v="ΟΧΙ"/>
    <m/>
    <d v="2014-12-10T00:00:00"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8-01-01T00:00:00"/>
    <x v="1"/>
    <s v="ΔΙΕΥΘΥΝΣΗ Π.Ε. ΑΧΑΪΑΣ"/>
    <n v="41.572222222222223"/>
    <s v="41 - 45"/>
  </r>
  <r>
    <n v="99912187"/>
    <s v="Α"/>
    <x v="5"/>
    <x v="5"/>
    <m/>
    <m/>
    <s v="Γ΄"/>
    <n v="1"/>
    <n v="10761"/>
    <d v="2018-09-01T00:00:00"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d v="2018-09-01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8-01-01T00:00:00"/>
    <x v="0"/>
    <s v="ΔΙΕΥΘΥΝΣΗ Δ.Ε. ΙΩΑΝΝΙΝΩΝ"/>
    <n v="41.572222222222223"/>
    <s v="41 - 45"/>
  </r>
  <r>
    <n v="99912188"/>
    <s v="Θ"/>
    <x v="10"/>
    <x v="10"/>
    <m/>
    <m/>
    <s v="Γ΄"/>
    <n v="1"/>
    <s v="Ω7ΜΞ4653ΠΣ-ΗΤ3"/>
    <d v="2018-10-04T00:00:00"/>
    <s v="ΙΩΑΝΝΙΝΩΝ (Δ.Ε.) 2018"/>
    <s v="ΔΙΕΥΘΥΝΣΗ Δ.Ε. ΙΩΑΝΝΙΝΩΝ"/>
    <s v="ΠΕΡΙΦΕΡΕΙΑΚΗ Δ/ΝΣΗ Α/ΘΜΙΑΣ ΚΑΙ Β/ΘΜΙΑΣ ΕΚΠ/ΣΗΣ ΗΠΕΙΡΟΥ"/>
    <n v="24"/>
    <s v="ΟΧΙ"/>
    <s v="ΟΧΙ"/>
    <s v="ΟΧΙ"/>
    <s v="ΟΧΙ"/>
    <s v="ΟΧΙ"/>
    <m/>
    <d v="2018-10-04T00:00:00"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Αναπληρωτής Ιδιωτικής Εκπαίδευσης (ν. 682/1977 άρ.35, παρ.4)"/>
    <s v="Τοποθέτηση σε Ιδιωτική Εκπαίδευση"/>
    <d v="1978-01-01T00:00:00"/>
    <x v="0"/>
    <s v="ΔΙΕΥΘΥΝΣΗ Δ.Ε. ΙΩΑΝΝΙΝΩΝ"/>
    <n v="41.572222222222223"/>
    <s v="41 - 45"/>
  </r>
  <r>
    <n v="99912189"/>
    <s v="Θ"/>
    <x v="0"/>
    <x v="0"/>
    <m/>
    <m/>
    <s v="Γ΄"/>
    <n v="1"/>
    <s v="ΒΙΚ59-5Θ5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8-01-01T00:00:00"/>
    <x v="1"/>
    <s v="ΔΙΕΥΘΥΝΣΗ Π.Ε. ΛΑΡΙΣΑΣ"/>
    <n v="41.572222222222223"/>
    <s v="41 - 45"/>
  </r>
  <r>
    <n v="99912190"/>
    <s v="Θ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8-01-01T00:00:00"/>
    <x v="0"/>
    <s v="ΔΙΕΥΘΥΝΣΗ Δ.Ε. ΑΝΑΤ. ΘΕΣ/ΝΙΚΗΣ"/>
    <n v="41.572222222222223"/>
    <s v="41 - 45"/>
  </r>
  <r>
    <n v="99912191"/>
    <s v="Θ"/>
    <x v="3"/>
    <x v="3"/>
    <m/>
    <m/>
    <s v="Α΄"/>
    <n v="1"/>
    <s v="ΒΙΞ49-ΛΒΟ"/>
    <d v="2014-03-20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4-03-20T00:00:00"/>
    <s v="Ιδιωτικά Σχολεία"/>
    <x v="0"/>
    <s v="1981913"/>
    <s v="ΙΔΙΩΤΙΚΟ ΓΥΜΝΑΣ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1-01T00:00:00"/>
    <x v="0"/>
    <s v="ΔΙΕΥΘΥΝΣΗ Δ.Ε. ΑΝΑΤ. ΘΕΣ/ΝΙΚΗΣ"/>
    <n v="41.572222222222223"/>
    <s v="41 - 45"/>
  </r>
  <r>
    <n v="99912192"/>
    <s v="Θ"/>
    <x v="14"/>
    <x v="1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1-01T00:00:00"/>
    <x v="0"/>
    <s v="ΔΙΕΥΘΥΝΣΗ Δ.Ε. ΑΝΑΤ. ΘΕΣ/ΝΙΚΗΣ"/>
    <n v="41.572222222222223"/>
    <s v="41 - 45"/>
  </r>
  <r>
    <n v="99912193"/>
    <s v="Α"/>
    <x v="13"/>
    <x v="13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1-01T00:00:00"/>
    <x v="0"/>
    <s v="ΔΙΕΥΘΥΝΣΗ Δ.Ε. ΑΝΑΤ. ΘΕΣ/ΝΙΚΗΣ"/>
    <n v="41.572222222222223"/>
    <s v="41 - 45"/>
  </r>
  <r>
    <n v="99912194"/>
    <s v="Α"/>
    <x v="4"/>
    <x v="4"/>
    <m/>
    <m/>
    <s v="Γ΄"/>
    <n v="1"/>
    <s v="11298/20-11-2018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19"/>
    <s v="ΟΧΙ"/>
    <s v="ΟΧΙ"/>
    <s v="ΟΧΙ"/>
    <s v="ΟΧΙ"/>
    <s v="ΟΧΙ"/>
    <m/>
    <d v="2018-09-01T00:00:00"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8-01-01T00:00:00"/>
    <x v="0"/>
    <s v="ΔΙΕΥΘΥΝΣΗ Δ.Ε. ΠΙΕΡΙΑΣ"/>
    <n v="41.572222222222223"/>
    <s v="41 - 45"/>
  </r>
  <r>
    <n v="99912195"/>
    <s v="Θ"/>
    <x v="6"/>
    <x v="6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12"/>
    <s v="ΟΧΙ"/>
    <s v="ΟΧΙ"/>
    <s v="ΟΧΙ"/>
    <s v="ΟΧΙ"/>
    <s v="ΟΧΙ"/>
    <m/>
    <m/>
    <s v="Ιδιωτικά Σχολεία"/>
    <x v="0"/>
    <s v="5060001"/>
    <s v="ΙΔΙΩΤΙΚΟ ΓΥΜΝΑΣΙΟ -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8-01-01T00:00:00"/>
    <x v="0"/>
    <s v="ΔΙΕΥΘΥΝΣΗ Δ.Ε. ΧΑΝΙΩΝ"/>
    <n v="41.572222222222223"/>
    <s v="41 - 45"/>
  </r>
  <r>
    <n v="99912196"/>
    <s v="Θ"/>
    <x v="1"/>
    <x v="1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01-01T00:00:00"/>
    <x v="1"/>
    <s v="ΔΙΕΥΘΥΝΣΗ Π.Ε. ΚΥΚΛΑΔΩΝ"/>
    <n v="41.572222222222223"/>
    <s v="41 - 45"/>
  </r>
  <r>
    <n v="99912197"/>
    <s v="Θ"/>
    <x v="13"/>
    <x v="13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6"/>
    <s v="ΟΧΙ"/>
    <s v="ΟΧΙ"/>
    <s v="ΟΧΙ"/>
    <s v="ΟΧΙ"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8-01-01T00:00:00"/>
    <x v="1"/>
    <s v="ΔΙΕΥΘΥΝΣΗ Π.Ε. ΚΥΚΛΑΔΩΝ"/>
    <n v="41.572222222222223"/>
    <s v="41 - 45"/>
  </r>
  <r>
    <n v="99912198"/>
    <s v="Θ"/>
    <x v="14"/>
    <x v="14"/>
    <s v="ΠΕ83"/>
    <s v="ΗΛΕΚΤΡΟΛΟΓΩΝ"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31T00:00:00"/>
    <x v="0"/>
    <s v="ΔΙΕΥΘΥΝΣΗ Δ.Ε. Β΄ ΑΘΗΝΑΣ"/>
    <n v="41.575000000000003"/>
    <s v="41 - 45"/>
  </r>
  <r>
    <n v="99912199"/>
    <s v="Α"/>
    <x v="1"/>
    <x v="1"/>
    <m/>
    <m/>
    <s v="Γ΄"/>
    <n v="1"/>
    <s v="3558/16-09-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27T00:00:00"/>
    <x v="1"/>
    <s v="ΔΙΕΥΘΥΝΣΗ Π.Ε. Β΄ ΑΘΗΝΑΣ"/>
    <n v="41.586111111111109"/>
    <s v="41 - 45"/>
  </r>
  <r>
    <n v="99912200"/>
    <s v="Θ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25T00:00:00"/>
    <x v="0"/>
    <s v="ΔΙΕΥΘΥΝΣΗ Δ.Ε. Β΄ ΑΘΗΝΑΣ"/>
    <n v="41.591666666666669"/>
    <s v="41 - 45"/>
  </r>
  <r>
    <n v="99912201"/>
    <s v="Θ"/>
    <x v="7"/>
    <x v="7"/>
    <m/>
    <m/>
    <s v="Α΄"/>
    <n v="6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17T00:00:00"/>
    <x v="1"/>
    <s v="ΔΙΕΥΘΥΝΣΗ Π.Ε. ΑΝΑΤΟΛΙΚΗΣ ΑΤΤΙΚΗΣ"/>
    <n v="41.613888888888887"/>
    <s v="41 - 45"/>
  </r>
  <r>
    <n v="99912202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16T00:00:00"/>
    <x v="0"/>
    <s v="ΔΙΕΥΘΥΝΣΗ Δ.Ε. Γ΄ ΑΘΗΝΑΣ"/>
    <n v="41.616666666666667"/>
    <s v="41 - 45"/>
  </r>
  <r>
    <n v="99912203"/>
    <s v="Θ"/>
    <x v="8"/>
    <x v="8"/>
    <m/>
    <m/>
    <s v="Γ΄"/>
    <n v="1"/>
    <n v="2668"/>
    <d v="2018-09-01T00:00:00"/>
    <s v="Α΄ ΠΕΙΡΑΙΑ (Π.Ε.) 2018"/>
    <s v="ΔΙΕΥΘΥΝΣΗ Π.Ε. ΠΕΙΡΑΙΑ"/>
    <s v="ΠΕΡΙΦΕΡΕΙΑΚΗ Δ/ΝΣΗ Α/ΘΜΙΑΣ ΚΑΙ Β/ΘΜΙΑΣ ΕΚΠ/ΣΗΣ ΑΤΤΙΚΗΣ"/>
    <n v="8"/>
    <s v="ΟΧΙ"/>
    <m/>
    <m/>
    <m/>
    <s v="ΟΧΙ"/>
    <m/>
    <d v="2018-09-01T00:00:00"/>
    <s v="Ιδιωτικά Σχολεία"/>
    <x v="1"/>
    <s v="7541020"/>
    <s v="ΙΔΙΩΤΙΚΟ ΔΗΜΟΤΙΚΟ Α.Δ. ΣΤΕΓΚΑ Ο.Ε.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16T00:00:00"/>
    <x v="1"/>
    <s v="ΔΙΕΥΘΥΝΣΗ Π.Ε. ΠΕΙΡΑΙΑ"/>
    <n v="41.616666666666667"/>
    <s v="41 - 45"/>
  </r>
  <r>
    <n v="99912204"/>
    <s v="Θ"/>
    <x v="0"/>
    <x v="0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6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7-12-15T00:00:00"/>
    <x v="1"/>
    <s v="ΔΙΕΥΘΥΝΣΗ Π.Ε. ΑΝΑΤ. ΘΕΣ/ΝΙΚΗΣ"/>
    <n v="41.619444444444447"/>
    <s v="41 - 45"/>
  </r>
  <r>
    <n v="99912205"/>
    <s v="Θ"/>
    <x v="4"/>
    <x v="4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7-12-10T00:00:00"/>
    <x v="0"/>
    <s v="ΔΙΕΥΘΥΝΣΗ Δ.Ε. ΙΩΑΝΝΙΝΩΝ"/>
    <n v="41.633333333333333"/>
    <s v="41 - 45"/>
  </r>
  <r>
    <n v="99912206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09T00:00:00"/>
    <x v="0"/>
    <s v="ΔΙΕΥΘΥΝΣΗ Δ.Ε. Β΄ ΑΘΗΝΑΣ"/>
    <n v="41.636111111111113"/>
    <s v="41 - 45"/>
  </r>
  <r>
    <n v="99912207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09T00:00:00"/>
    <x v="1"/>
    <s v="ΔΙΕΥΘΥΝΣΗ Π.Ε. Α΄ ΑΘΗΝΑΣ"/>
    <n v="41.636111111111113"/>
    <s v="41 - 45"/>
  </r>
  <r>
    <n v="99912208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06T00:00:00"/>
    <x v="0"/>
    <s v="ΔΙΕΥΘΥΝΣΗ Δ.Ε. ΠΕΙΡΑΙΑ"/>
    <n v="41.644444444444446"/>
    <s v="41 - 45"/>
  </r>
  <r>
    <n v="99912209"/>
    <s v="Θ"/>
    <x v="1"/>
    <x v="1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06T00:00:00"/>
    <x v="1"/>
    <s v="ΔΙΕΥΘΥΝΣΗ Π.Ε. Β΄ ΑΘΗΝΑΣ"/>
    <n v="41.644444444444446"/>
    <s v="41 - 45"/>
  </r>
  <r>
    <n v="99912210"/>
    <s v="Θ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03T00:00:00"/>
    <x v="0"/>
    <s v="ΔΙΕΥΘΥΝΣΗ Δ.Ε. Β΄ ΑΘΗΝΑΣ"/>
    <n v="41.652777777777779"/>
    <s v="41 - 45"/>
  </r>
  <r>
    <n v="99912211"/>
    <s v="Θ"/>
    <x v="6"/>
    <x v="6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2-03T00:00:00"/>
    <x v="1"/>
    <s v="ΔΙΕΥΘΥΝΣΗ Π.Ε. Β΄ ΑΘΗΝΑΣ"/>
    <n v="41.652777777777779"/>
    <s v="41 - 45"/>
  </r>
  <r>
    <n v="99912212"/>
    <s v="Α"/>
    <x v="5"/>
    <x v="5"/>
    <m/>
    <m/>
    <s v="Γ΄"/>
    <n v="1"/>
    <n v="7844"/>
    <d v="2018-09-11T00:00:00"/>
    <s v="ΤΡΙΚΑΛΩΝ (Δ.Ε.) 2018"/>
    <s v="ΔΙΕΥΘΥΝΣΗ Δ.Ε. ΤΡΙΚΑΛΩΝ"/>
    <s v="ΠΕΡΙΦΕΡΕΙΑΚΗ Δ/ΝΣΗ Α/ΘΜΙΑΣ ΚΑΙ Β/ΘΜΙΑΣ ΕΚΠ/ΣΗΣ ΘΕΣΣΑΛΙΑΣ"/>
    <n v="10"/>
    <s v="ΟΧΙ"/>
    <s v="ΟΧΙ"/>
    <s v="ΟΧΙ"/>
    <s v="ΟΧΙ"/>
    <s v="ΟΧΙ"/>
    <m/>
    <d v="2018-09-11T00:00:00"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7-11-29T00:00:00"/>
    <x v="0"/>
    <s v="ΔΙΕΥΘΥΝΣΗ Δ.Ε. ΤΡΙΚΑΛΩΝ"/>
    <n v="41.663888888888891"/>
    <s v="41 - 45"/>
  </r>
  <r>
    <n v="99912213"/>
    <s v="Θ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s v="ΟΧΙ"/>
    <s v="ΟΧΙ"/>
    <s v="ΟΧΙ"/>
    <s v="ΟΧΙ"/>
    <s v="ΟΧΙ"/>
    <m/>
    <m/>
    <s v="Ιδιωτικά Σχολεία"/>
    <x v="3"/>
    <s v="0161002"/>
    <s v="ΙΔΙΩΤΙΚΟ ΓΕΛ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7-11-25T00:00:00"/>
    <x v="0"/>
    <s v="ΔΙΕΥΘΥΝΣΗ Δ.Ε. ΑΙΤΩΛΟΑΚΑΡΝΑΝΙΑΣ"/>
    <n v="41.674999999999997"/>
    <s v="41 - 45"/>
  </r>
  <r>
    <n v="99912214"/>
    <s v="Θ"/>
    <x v="0"/>
    <x v="0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11-23T00:00:00"/>
    <x v="1"/>
    <s v="ΔΙΕΥΘΥΝΣΗ Π.Ε. ΑΝΑΤ. ΘΕΣ/ΝΙΚΗΣ"/>
    <n v="41.680555555555557"/>
    <s v="41 - 45"/>
  </r>
  <r>
    <n v="99912215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1-14T00:00:00"/>
    <x v="0"/>
    <s v="ΔΙΕΥΘΥΝΣΗ Δ.Ε. Β΄ ΑΘΗΝΑΣ"/>
    <n v="41.705555555555556"/>
    <s v="41 - 45"/>
  </r>
  <r>
    <n v="99912216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7-11-07T00:00:00"/>
    <x v="1"/>
    <s v="ΔΙΕΥΘΥΝΣΗ Π.Ε. ΑΧΑΪΑΣ"/>
    <n v="41.725000000000001"/>
    <s v="41 - 45"/>
  </r>
  <r>
    <n v="99912217"/>
    <s v="Α"/>
    <x v="1"/>
    <x v="1"/>
    <m/>
    <m/>
    <s v="Γ΄"/>
    <n v="1"/>
    <s v="7ΡΒ29-ΘΞΓ"/>
    <d v="2014-11-18T00:00:00"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s v="ΟΧΙ"/>
    <s v="ΟΧΙ"/>
    <m/>
    <d v="2014-11-18T00:00:00"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7-11-05T00:00:00"/>
    <x v="1"/>
    <s v="ΔΙΕΥΘΥΝΣΗ Π.Ε. ΔΩΔΕΚΑΝΗΣΟΥ"/>
    <n v="41.730555555555554"/>
    <s v="41 - 45"/>
  </r>
  <r>
    <n v="9991221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1-04T00:00:00"/>
    <x v="0"/>
    <s v="ΔΙΕΥΘΥΝΣΗ Δ.Ε. Β΄ ΑΘΗΝΑΣ"/>
    <n v="41.733333333333334"/>
    <s v="41 - 45"/>
  </r>
  <r>
    <n v="99912219"/>
    <s v="Θ"/>
    <x v="6"/>
    <x v="6"/>
    <m/>
    <m/>
    <s v="Β΄"/>
    <n v="2"/>
    <m/>
    <m/>
    <s v="Δ΄ ΑΘΗΝΑΣ (Π.Ε.) 2018"/>
    <s v="ΔΙΕΥΘΥΝΣΗ Π.Ε. Δ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1-04T00:00:00"/>
    <x v="1"/>
    <s v="ΔΙΕΥΘΥΝΣΗ Π.Ε. Δ΄ ΑΘΗΝΑΣ"/>
    <n v="41.733333333333334"/>
    <s v="41 - 45"/>
  </r>
  <r>
    <n v="99912220"/>
    <s v="Α"/>
    <x v="9"/>
    <x v="9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3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7-11-03T00:00:00"/>
    <x v="0"/>
    <s v="ΔΙΕΥΘΥΝΣΗ Δ.Ε. ΚΟΡΙΝΘΙΑΣ"/>
    <n v="41.736111111111114"/>
    <s v="41 - 45"/>
  </r>
  <r>
    <n v="99912221"/>
    <s v="Θ"/>
    <x v="18"/>
    <x v="18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6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7-11-01T00:00:00"/>
    <x v="0"/>
    <s v="ΔΙΕΥΘΥΝΣΗ Δ.Ε. ΑΧΑΪΑΣ"/>
    <n v="41.741666666666667"/>
    <s v="41 - 45"/>
  </r>
  <r>
    <n v="9991222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30T00:00:00"/>
    <x v="0"/>
    <s v="ΔΙΕΥΘΥΝΣΗ Δ.Ε. Β΄ ΑΘΗΝΑΣ"/>
    <n v="41.74722222222222"/>
    <s v="41 - 45"/>
  </r>
  <r>
    <n v="99912223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3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26T00:00:00"/>
    <x v="0"/>
    <s v="ΔΙΕΥΘΥΝΣΗ Δ.Ε. ΑΝΑΤΟΛΙΚΗΣ ΑΤΤΙΚΗΣ"/>
    <n v="41.758333333333333"/>
    <s v="41 - 45"/>
  </r>
  <r>
    <n v="99912224"/>
    <s v="Θ"/>
    <x v="0"/>
    <x v="0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7-10-25T00:00:00"/>
    <x v="1"/>
    <s v="ΔΙΕΥΘΥΝΣΗ Π.Ε. ΜΑΓΝΗΣΙΑΣ"/>
    <n v="41.761111111111113"/>
    <s v="41 - 45"/>
  </r>
  <r>
    <n v="99912225"/>
    <s v="Α"/>
    <x v="11"/>
    <x v="11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21T00:00:00"/>
    <x v="0"/>
    <s v="ΔΙΕΥΘΥΝΣΗ Δ.Ε. Α΄ ΑΘΗΝΑΣ"/>
    <n v="41.772222222222226"/>
    <s v="41 - 45"/>
  </r>
  <r>
    <n v="99912226"/>
    <s v="Θ"/>
    <x v="8"/>
    <x v="8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14T00:00:00"/>
    <x v="1"/>
    <s v="ΔΙΕΥΘΥΝΣΗ Π.Ε. ΑΝΑΤΟΛΙΚΗΣ ΑΤΤΙΚΗΣ"/>
    <n v="41.791666666666664"/>
    <s v="41 - 45"/>
  </r>
  <r>
    <n v="99912227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12T00:00:00"/>
    <x v="1"/>
    <s v="ΔΙΕΥΘΥΝΣΗ Π.Ε. Δ΄ ΑΘΗΝΑΣ"/>
    <n v="41.797222222222224"/>
    <s v="41 - 45"/>
  </r>
  <r>
    <n v="99912228"/>
    <s v="Α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10-10T00:00:00"/>
    <x v="0"/>
    <s v="ΔΙΕΥΘΥΝΣΗ Δ.Ε. Β΄ ΑΘΗΝΑΣ"/>
    <n v="41.802777777777777"/>
    <s v="41 - 45"/>
  </r>
  <r>
    <n v="99912229"/>
    <s v="Α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10T00:00:00"/>
    <x v="0"/>
    <s v="ΔΙΕΥΘΥΝΣΗ Δ.Ε. Δ΄ ΑΘΗΝΑΣ"/>
    <n v="41.802777777777777"/>
    <s v="41 - 45"/>
  </r>
  <r>
    <n v="99912230"/>
    <s v="Θ"/>
    <x v="0"/>
    <x v="0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10-08T00:00:00"/>
    <x v="1"/>
    <s v="ΔΙΕΥΘΥΝΣΗ Π.Ε. ΑΝΑΤ. ΘΕΣ/ΝΙΚΗΣ"/>
    <n v="41.80833333333333"/>
    <s v="41 - 45"/>
  </r>
  <r>
    <n v="99912231"/>
    <s v="Α"/>
    <x v="0"/>
    <x v="0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7-10-08T00:00:00"/>
    <x v="1"/>
    <s v="ΔΙΕΥΘΥΝΣΗ Π.Ε. ΗΡΑΚΛΕΙΟΥ"/>
    <n v="41.80833333333333"/>
    <s v="41 - 45"/>
  </r>
  <r>
    <n v="99912232"/>
    <s v="Θ"/>
    <x v="6"/>
    <x v="6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7"/>
    <s v="ΟΧΙ"/>
    <s v="ΟΧΙ"/>
    <s v="ΟΧΙ"/>
    <s v="ΟΧΙ"/>
    <s v="ΟΧΙ"/>
    <m/>
    <m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07T00:00:00"/>
    <x v="1"/>
    <s v="ΔΙΕΥΘΥΝΣΗ Π.Ε. ΑΝΑΤΟΛΙΚΗΣ ΑΤΤΙΚΗΣ"/>
    <n v="41.81111111111111"/>
    <s v="41 - 45"/>
  </r>
  <r>
    <n v="99912233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3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7-10-06T00:00:00"/>
    <x v="1"/>
    <s v="ΔΙΕΥΘΥΝΣΗ Π.Ε. ΜΕΣΣΗΝΙΑΣ"/>
    <n v="41.81388888888889"/>
    <s v="41 - 45"/>
  </r>
  <r>
    <n v="99912234"/>
    <s v="Θ"/>
    <x v="4"/>
    <x v="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10-04T00:00:00"/>
    <x v="0"/>
    <s v="ΔΙΕΥΘΥΝΣΗ Δ.Ε. Β΄ ΑΘΗΝΑΣ"/>
    <n v="41.819444444444443"/>
    <s v="41 - 45"/>
  </r>
  <r>
    <n v="99912235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10-01T00:00:00"/>
    <x v="0"/>
    <s v="ΔΙΕΥΘΥΝΣΗ Δ.Ε. Γ΄ ΑΘΗΝΑΣ"/>
    <n v="41.827777777777776"/>
    <s v="41 - 45"/>
  </r>
  <r>
    <n v="99912236"/>
    <s v="Θ"/>
    <x v="2"/>
    <x v="2"/>
    <m/>
    <m/>
    <s v="Γ΄"/>
    <n v="1"/>
    <n v="3229"/>
    <d v="2018-09-01T00:00:00"/>
    <s v="ΛΑΡΙΣΑΣ (Π.Ε.) 2018"/>
    <s v="ΔΙΕΥΘΥΝΣΗ Π.Ε. ΛΑΡΙΣΑΣ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311029"/>
    <s v="ΙΔΙΩΤΙΚΟ ΝΗΠΙΑΓΩΓΕΙΟ ΛΑΡΙΣΑ - ΒΑΪΟΠΟΥΛΟΥ-ΤΣΙΡΑΚΟΠΟΥΛ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7-09-29T00:00:00"/>
    <x v="1"/>
    <s v="ΔΙΕΥΘΥΝΣΗ Π.Ε. ΛΑΡΙΣΑΣ"/>
    <n v="41.833333333333336"/>
    <s v="41 - 45"/>
  </r>
  <r>
    <n v="99912237"/>
    <s v="Α"/>
    <x v="14"/>
    <x v="14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7-09-20T00:00:00"/>
    <x v="0"/>
    <s v="ΔΙΕΥΘΥΝΣΗ Δ.Ε. ΔΩΔΕΚΑΝΗΣΟΥ"/>
    <n v="41.858333333333334"/>
    <s v="41 - 45"/>
  </r>
  <r>
    <n v="99912238"/>
    <s v="Θ"/>
    <x v="6"/>
    <x v="6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9-16T00:00:00"/>
    <x v="1"/>
    <s v="ΔΙΕΥΘΥΝΣΗ Π.Ε. Β΄ ΑΘΗΝΑΣ"/>
    <n v="41.869444444444447"/>
    <s v="41 - 45"/>
  </r>
  <r>
    <n v="99912239"/>
    <s v="Θ"/>
    <x v="2"/>
    <x v="2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5"/>
    <s v="ΟΧΙ"/>
    <s v="ΟΧΙ"/>
    <s v="ΟΧΙ"/>
    <m/>
    <s v="ΟΧΙ"/>
    <m/>
    <m/>
    <s v="Ιδιωτικά Σχολεία"/>
    <x v="2"/>
    <s v="7021005"/>
    <s v="ΙΔΙΩΤΙΚΟ ΝΗΠΙΑΓΩΓΕΙΟ ΑΡΓΟΣ - ΙΔΙΩΤΙΚΟ ΝΗΠΙΑΓΩΓΕΙΟ ΑΥΤΕΝΕΡΓΩ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7-09-15T00:00:00"/>
    <x v="1"/>
    <s v="ΔΙΕΥΘΥΝΣΗ Π.Ε. ΑΡΓΟΛΙΔΑΣ"/>
    <n v="41.87222222222222"/>
    <s v="41 - 45"/>
  </r>
  <r>
    <n v="99912240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9-14T00:00:00"/>
    <x v="0"/>
    <s v="ΔΙΕΥΘΥΝΣΗ Δ.Ε. ΑΝΑΤΟΛΙΚΗΣ ΑΤΤΙΚΗΣ"/>
    <n v="41.875"/>
    <s v="41 - 45"/>
  </r>
  <r>
    <n v="99912241"/>
    <s v="Θ"/>
    <x v="12"/>
    <x v="12"/>
    <m/>
    <m/>
    <s v="Α΄"/>
    <n v="4"/>
    <m/>
    <m/>
    <s v="Β΄ ΑΝΑΤ. ΑΤΤΙΚΗΣ (Π.Ε.) 2018"/>
    <s v="ΔΙΕΥΘΥΝΣΗ Π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d v="2010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9-12T00:00:00"/>
    <x v="1"/>
    <s v="ΔΙΕΥΘΥΝΣΗ Π.Ε. ΑΝΑΤΟΛΙΚΗΣ ΑΤΤΙΚΗΣ"/>
    <n v="41.880555555555553"/>
    <s v="41 - 45"/>
  </r>
  <r>
    <n v="99912242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9-06T00:00:00"/>
    <x v="0"/>
    <s v="ΔΙΕΥΘΥΝΣΗ Δ.Ε. ΠΕΙΡΑΙΑ"/>
    <n v="41.897222222222226"/>
    <s v="41 - 45"/>
  </r>
  <r>
    <n v="99912243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7-09-05T00:00:00"/>
    <x v="0"/>
    <s v="ΔΙΕΥΘΥΝΣΗ Δ.Ε. Β΄ ΑΘΗΝΑΣ"/>
    <n v="41.9"/>
    <s v="41 - 45"/>
  </r>
  <r>
    <n v="99912244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119"/>
    <s v="ΙΔΙΩΤΙΚΟ ΣΥΣΤΕΓΑΖΟΜΕΝΟ ΝΗΠΙΑΓΩΓΕΙΟ - ΘΕΟΔΩΡΟΠΟΥΛΟΥ ΓΕΩΡΓΙ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9-02T00:00:00"/>
    <x v="1"/>
    <s v="ΔΙΕΥΘΥΝΣΗ Π.Ε. Δ΄ ΑΘΗΝΑΣ"/>
    <n v="41.908333333333331"/>
    <s v="41 - 45"/>
  </r>
  <r>
    <n v="99912245"/>
    <s v="Θ"/>
    <x v="7"/>
    <x v="7"/>
    <m/>
    <m/>
    <s v="Γ΄"/>
    <n v="7"/>
    <n v="14975"/>
    <d v="2018-09-01T00:00:00"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9-01T00:00:00"/>
    <x v="1"/>
    <s v="ΔΙΕΥΘΥΝΣΗ Π.Ε. Β΄ ΑΘΗΝΑΣ"/>
    <n v="41.911111111111111"/>
    <s v="41 - 45"/>
  </r>
  <r>
    <n v="99912246"/>
    <s v="Α"/>
    <x v="11"/>
    <x v="11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1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7-09-01T00:00:00"/>
    <x v="0"/>
    <s v="ΔΙΕΥΘΥΝΣΗ Δ.Ε. ΚΟΡΙΝΘΙΑΣ"/>
    <n v="41.911111111111111"/>
    <s v="41 - 45"/>
  </r>
  <r>
    <n v="99912247"/>
    <s v="Θ"/>
    <x v="8"/>
    <x v="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26T00:00:00"/>
    <x v="1"/>
    <s v="ΔΙΕΥΘΥΝΣΗ Π.Ε. Δ΄ ΑΘΗΝΑΣ"/>
    <n v="41.927777777777777"/>
    <s v="41 - 45"/>
  </r>
  <r>
    <n v="99912248"/>
    <s v="Α"/>
    <x v="19"/>
    <x v="19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25T00:00:00"/>
    <x v="0"/>
    <s v="ΔΙΕΥΘΥΝΣΗ Δ.Ε. ΑΝΑΤΟΛΙΚΗΣ ΑΤΤΙΚΗΣ"/>
    <n v="41.930555555555557"/>
    <s v="41 - 45"/>
  </r>
  <r>
    <n v="99912249"/>
    <s v="Θ"/>
    <x v="1"/>
    <x v="1"/>
    <m/>
    <m/>
    <s v="Γ΄"/>
    <n v="1"/>
    <d v="2001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8-23T00:00:00"/>
    <x v="1"/>
    <s v="ΔΙΕΥΘΥΝΣΗ Π.Ε. ΑΝΑΤ. ΘΕΣ/ΝΙΚΗΣ"/>
    <n v="41.93611111111111"/>
    <s v="41 - 45"/>
  </r>
  <r>
    <n v="99912250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22T00:00:00"/>
    <x v="0"/>
    <s v="ΔΙΕΥΘΥΝΣΗ Δ.Ε. Β΄ ΑΘΗΝΑΣ"/>
    <n v="41.93888888888889"/>
    <s v="41 - 45"/>
  </r>
  <r>
    <n v="99912251"/>
    <s v="Θ"/>
    <x v="1"/>
    <x v="1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s v="ΟΧΙ"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7-08-19T00:00:00"/>
    <x v="1"/>
    <s v="ΔΙΕΥΘΥΝΣΗ Π.Ε. ΔΩΔΕΚΑΝΗΣΟΥ"/>
    <n v="41.947222222222223"/>
    <s v="41 - 45"/>
  </r>
  <r>
    <n v="99912252"/>
    <s v="Α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15T00:00:00"/>
    <x v="0"/>
    <s v="ΔΙΕΥΘΥΝΣΗ Δ.Ε. Β΄ ΑΘΗΝΑΣ"/>
    <n v="41.958333333333336"/>
    <s v="41 - 45"/>
  </r>
  <r>
    <n v="99912253"/>
    <s v="Α"/>
    <x v="3"/>
    <x v="3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15T00:00:00"/>
    <x v="1"/>
    <s v="ΔΙΕΥΘΥΝΣΗ Π.Ε. ΠΕΙΡΑΙΑ"/>
    <n v="41.958333333333336"/>
    <s v="41 - 45"/>
  </r>
  <r>
    <n v="99912254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13T00:00:00"/>
    <x v="0"/>
    <s v="ΔΙΕΥΘΥΝΣΗ Δ.Ε. Β΄ ΑΘΗΝΑΣ"/>
    <n v="41.963888888888889"/>
    <s v="41 - 45"/>
  </r>
  <r>
    <n v="99912255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10T00:00:00"/>
    <x v="0"/>
    <s v="ΔΙΕΥΘΥΝΣΗ Δ.Ε. ΠΕΙΡΑΙΑ"/>
    <n v="41.972222222222221"/>
    <s v="41 - 45"/>
  </r>
  <r>
    <n v="99912256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8-10T00:00:00"/>
    <x v="0"/>
    <s v="ΔΙΕΥΘΥΝΣΗ Δ.Ε. ΑΝΑΤ. ΘΕΣ/ΝΙΚΗΣ"/>
    <n v="41.972222222222221"/>
    <s v="41 - 45"/>
  </r>
  <r>
    <n v="99912257"/>
    <s v="Α"/>
    <x v="13"/>
    <x v="13"/>
    <m/>
    <m/>
    <s v="Γ΄"/>
    <n v="1"/>
    <s v="Φ.17.2 / 8581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8"/>
    <s v="ΟΧΙ"/>
    <s v="ΟΧΙ"/>
    <s v="ΟΧΙ"/>
    <s v="ΟΧΙ"/>
    <s v="ΟΧΙ"/>
    <m/>
    <d v="2018-09-01T00:00:00"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77-08-09T00:00:00"/>
    <x v="0"/>
    <s v="ΔΙΕΥΘΥΝΣΗ Δ.Ε. ΔΩΔΕΚΑΝΗΣΟΥ"/>
    <n v="41.975000000000001"/>
    <s v="41 - 45"/>
  </r>
  <r>
    <n v="99912258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05T00:00:00"/>
    <x v="0"/>
    <s v="ΔΙΕΥΘΥΝΣΗ Δ.Ε. ΑΝΑΤΟΛΙΚΗΣ ΑΤΤΙΚΗΣ"/>
    <n v="41.986111111111114"/>
    <s v="41 - 45"/>
  </r>
  <r>
    <n v="99912259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8-05T00:00:00"/>
    <x v="0"/>
    <s v="ΔΙΕΥΘΥΝΣΗ Δ.Ε. Δ΄ ΑΘΗΝΑΣ"/>
    <n v="41.986111111111114"/>
    <s v="41 - 45"/>
  </r>
  <r>
    <n v="99912260"/>
    <s v="Α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31T00:00:00"/>
    <x v="1"/>
    <s v="ΔΙΕΥΘΥΝΣΗ Π.Ε. ΑΝΑΤΟΛΙΚΗΣ ΑΤΤΙΚΗΣ"/>
    <n v="42"/>
    <s v="41 - 45"/>
  </r>
  <r>
    <n v="99912261"/>
    <s v="Α"/>
    <x v="18"/>
    <x v="18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4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7-07-30T00:00:00"/>
    <x v="1"/>
    <s v="ΔΙΕΥΘΥΝΣΗ Π.Ε. ΗΡΑΚΛΕΙΟΥ"/>
    <n v="42.00277777777778"/>
    <s v="41 - 45"/>
  </r>
  <r>
    <n v="99912262"/>
    <s v="Θ"/>
    <x v="7"/>
    <x v="7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27T00:00:00"/>
    <x v="1"/>
    <s v="ΔΙΕΥΘΥΝΣΗ Π.Ε. Δ΄ ΑΘΗΝΑΣ"/>
    <n v="42.011111111111113"/>
    <s v="41 - 45"/>
  </r>
  <r>
    <n v="99912263"/>
    <s v="Α"/>
    <x v="7"/>
    <x v="7"/>
    <m/>
    <m/>
    <s v="Γ΄"/>
    <n v="2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12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26T00:00:00"/>
    <x v="0"/>
    <s v="ΔΙΕΥΘΥΝΣΗ Δ.Ε. Δ΄ ΑΘΗΝΑΣ"/>
    <n v="42.013888888888886"/>
    <s v="41 - 45"/>
  </r>
  <r>
    <n v="99912264"/>
    <s v="Α"/>
    <x v="3"/>
    <x v="3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26T00:00:00"/>
    <x v="0"/>
    <s v="ΔΙΕΥΘΥΝΣΗ Δ.Ε. Δ΄ ΑΘΗΝΑΣ"/>
    <n v="42.013888888888886"/>
    <s v="41 - 45"/>
  </r>
  <r>
    <n v="99912265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24T00:00:00"/>
    <x v="0"/>
    <s v="ΔΙΕΥΘΥΝΣΗ Δ.Ε. ΠΕΙΡΑΙΑ"/>
    <n v="42.019444444444446"/>
    <s v="41 - 45"/>
  </r>
  <r>
    <n v="99912266"/>
    <s v="Α"/>
    <x v="0"/>
    <x v="0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23T00:00:00"/>
    <x v="1"/>
    <s v="ΔΙΕΥΘΥΝΣΗ Π.Ε. Δ΄ ΑΘΗΝΑΣ"/>
    <n v="42.022222222222226"/>
    <s v="41 - 45"/>
  </r>
  <r>
    <n v="99912267"/>
    <s v="Θ"/>
    <x v="14"/>
    <x v="14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7-23T00:00:00"/>
    <x v="0"/>
    <s v="ΔΙΕΥΘΥΝΣΗ Δ.Ε. ΑΝΑΤ. ΘΕΣ/ΝΙΚΗΣ"/>
    <n v="42.022222222222226"/>
    <s v="41 - 45"/>
  </r>
  <r>
    <n v="9991226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21T00:00:00"/>
    <x v="0"/>
    <s v="ΔΙΕΥΘΥΝΣΗ Δ.Ε. Β΄ ΑΘΗΝΑΣ"/>
    <n v="42.027777777777779"/>
    <s v="41 - 45"/>
  </r>
  <r>
    <n v="99912269"/>
    <s v="Θ"/>
    <x v="5"/>
    <x v="5"/>
    <m/>
    <m/>
    <s v="Γ΄"/>
    <n v="1"/>
    <s v="ΨΡΝ34653ΠΣ-ΕΤΙ"/>
    <d v="2018-09-07T00:00:00"/>
    <s v="Α΄ ΧΙΟΥ (Δ.Ε.) 2018"/>
    <s v="ΔΙΕΥΘΥΝΣΗ Δ.Ε. ΧΙΟΥ"/>
    <s v="ΠΕΡΙΦΕΡΕΙΑΚΗ Δ/ΝΣΗ Α/ΘΜΙΑΣ ΚΑΙ Β/ΘΜΙΑΣ ΕΚΠ/ΣΗΣ ΒΟΡΕΙΟΥ ΑΙΓΑΙΟΥ"/>
    <n v="10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77-07-17T00:00:00"/>
    <x v="0"/>
    <s v="ΔΙΕΥΘΥΝΣΗ Δ.Ε. ΧΙΟΥ"/>
    <n v="42.038888888888891"/>
    <s v="41 - 45"/>
  </r>
  <r>
    <n v="99912270"/>
    <s v="Θ"/>
    <x v="1"/>
    <x v="1"/>
    <m/>
    <m/>
    <s v="Γ΄"/>
    <n v="1"/>
    <d v="2017-12-1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7-07-17T00:00:00"/>
    <x v="1"/>
    <s v="ΔΙΕΥΘΥΝΣΗ Π.Ε. ΑΝΑΤ. ΘΕΣ/ΝΙΚΗΣ"/>
    <n v="42.038888888888891"/>
    <s v="41 - 45"/>
  </r>
  <r>
    <n v="99912271"/>
    <s v="Θ"/>
    <x v="3"/>
    <x v="3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26"/>
    <s v="ΙΔΙΩΤΙΚΟ ΓΥΜΝΑΣ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16T00:00:00"/>
    <x v="0"/>
    <s v="ΔΙΕΥΘΥΝΣΗ Δ.Ε. ΑΝΑΤΟΛΙΚΗΣ ΑΤΤΙΚΗΣ"/>
    <n v="42.041666666666664"/>
    <s v="41 - 45"/>
  </r>
  <r>
    <n v="99912272"/>
    <s v="Θ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15T00:00:00"/>
    <x v="0"/>
    <s v="ΔΙΕΥΘΥΝΣΗ Δ.Ε. ΑΝΑΤΟΛΙΚΗΣ ΑΤΤΙΚΗΣ"/>
    <n v="42.044444444444444"/>
    <s v="41 - 45"/>
  </r>
  <r>
    <n v="99912273"/>
    <s v="Θ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15T00:00:00"/>
    <x v="0"/>
    <s v="ΔΙΕΥΘΥΝΣΗ Δ.Ε. Β΄ ΑΘΗΝΑΣ"/>
    <n v="42.044444444444444"/>
    <s v="41 - 45"/>
  </r>
  <r>
    <n v="99912274"/>
    <s v="Θ"/>
    <x v="1"/>
    <x v="1"/>
    <m/>
    <m/>
    <s v="Γ΄"/>
    <n v="1"/>
    <d v="200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7-12T00:00:00"/>
    <x v="1"/>
    <s v="ΔΙΕΥΘΥΝΣΗ Π.Ε. ΑΝΑΤ. ΘΕΣ/ΝΙΚΗΣ"/>
    <n v="42.052777777777777"/>
    <s v="41 - 45"/>
  </r>
  <r>
    <n v="99912275"/>
    <s v="Α"/>
    <x v="15"/>
    <x v="1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11T00:00:00"/>
    <x v="0"/>
    <s v="ΔΙΕΥΘΥΝΣΗ Δ.Ε. Γ΄ ΑΘΗΝΑΣ"/>
    <n v="42.055555555555557"/>
    <s v="41 - 45"/>
  </r>
  <r>
    <n v="99912276"/>
    <s v="Α"/>
    <x v="14"/>
    <x v="1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7-08T00:00:00"/>
    <x v="0"/>
    <s v="ΔΙΕΥΘΥΝΣΗ Δ.Ε. Β΄ ΑΘΗΝΑΣ"/>
    <n v="42.06388888888889"/>
    <s v="41 - 45"/>
  </r>
  <r>
    <n v="99912277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08T00:00:00"/>
    <x v="0"/>
    <s v="ΔΙΕΥΘΥΝΣΗ Δ.Ε. Δ΄ ΑΘΗΝΑΣ"/>
    <n v="42.06388888888889"/>
    <s v="41 - 45"/>
  </r>
  <r>
    <n v="99912278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7-08T00:00:00"/>
    <x v="1"/>
    <s v="ΔΙΕΥΘΥΝΣΗ Π.Ε. Α΄ ΑΘΗΝΑΣ"/>
    <n v="42.06388888888889"/>
    <s v="41 - 45"/>
  </r>
  <r>
    <n v="99912279"/>
    <s v="Α"/>
    <x v="15"/>
    <x v="15"/>
    <m/>
    <m/>
    <s v="Γ΄"/>
    <n v="1"/>
    <s v="8086/1/19-09-2017"/>
    <d v="2017-09-11T00:00:00"/>
    <s v="ΞΑΝΘΗΣ (Δ.Ε.) 2018"/>
    <s v="ΔΙΕΥΘΥΝΣΗ Δ.Ε. ΞΑΝΘΗΣ"/>
    <s v="ΠΕΡΙΦΕΡΕΙΑΚΗ Δ/ΝΣΗ Α/ΘΜΙΑΣ ΚΑΙ Β/ΘΜΙΑΣ ΕΚΠ/ΣΗΣ ΑΝ. ΜΑΚΕΔΟΝΙΑΣ ΚΑΙ ΘΡΑΚΗΣ"/>
    <n v="13"/>
    <s v="ΟΧΙ"/>
    <s v="ΟΧΙ"/>
    <s v="ΟΧΙ"/>
    <s v="ΟΧΙ"/>
    <s v="ΟΧΙ"/>
    <m/>
    <d v="2017-09-11T00:00:00"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77-07-07T00:00:00"/>
    <x v="0"/>
    <s v="ΔΙΕΥΘΥΝΣΗ Δ.Ε. ΞΑΝΘΗΣ"/>
    <n v="42.06666666666667"/>
    <s v="41 - 45"/>
  </r>
  <r>
    <n v="99912280"/>
    <s v="Θ"/>
    <x v="0"/>
    <x v="0"/>
    <m/>
    <m/>
    <s v="Γ΄"/>
    <n v="1"/>
    <n v="2078634"/>
    <d v="2018-10-04T00:00:00"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d v="2018-10-04T00:00:00"/>
    <s v="Ιδιωτικά Σχολεία"/>
    <x v="2"/>
    <s v="7052169"/>
    <s v="ΣΥΣΤΕΓΑΖΟΜΕΝΟ ΝΗΠΙΑΓΩΓΕΙΟ - LUDUS Μ.Ε.Π.Ε.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7-03T00:00:00"/>
    <x v="1"/>
    <s v="ΔΙΕΥΘΥΝΣΗ Π.Ε. Β΄ ΑΘΗΝΑΣ"/>
    <n v="42.077777777777776"/>
    <s v="41 - 45"/>
  </r>
  <r>
    <n v="99912281"/>
    <s v="Θ"/>
    <x v="2"/>
    <x v="2"/>
    <m/>
    <m/>
    <s v="Γ΄"/>
    <n v="1"/>
    <s v="16245/02-11-2012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75"/>
    <s v="ΙΔΙΩΤΙΚΟ ΝΗΠΙΑΓΩΓΕΙΟ ΠΑΝΟΡΑΜΑ-ΘΕΣΣΑΛΟΝΙΚΗ - ΑΝΤΛΕΡΙΑΝΗ ΑΓΩΓΗ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6-30T00:00:00"/>
    <x v="1"/>
    <s v="ΔΙΕΥΘΥΝΣΗ Π.Ε. ΑΝΑΤ. ΘΕΣ/ΝΙΚΗΣ"/>
    <n v="42.086111111111109"/>
    <s v="41 - 45"/>
  </r>
  <r>
    <n v="99912282"/>
    <s v="Α"/>
    <x v="7"/>
    <x v="7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24T00:00:00"/>
    <x v="1"/>
    <s v="ΔΙΕΥΘΥΝΣΗ Π.Ε. ΠΕΙΡΑΙΑ"/>
    <n v="42.102777777777774"/>
    <s v="41 - 45"/>
  </r>
  <r>
    <n v="99912283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23T00:00:00"/>
    <x v="0"/>
    <s v="ΔΙΕΥΘΥΝΣΗ Δ.Ε. Δ΄ ΑΘΗΝΑΣ"/>
    <n v="42.105555555555554"/>
    <s v="41 - 45"/>
  </r>
  <r>
    <n v="99912284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21T00:00:00"/>
    <x v="0"/>
    <s v="ΔΙΕΥΘΥΝΣΗ Δ.Ε. ΑΝΑΤΟΛΙΚΗΣ ΑΤΤΙΚΗΣ"/>
    <n v="42.111111111111114"/>
    <s v="41 - 45"/>
  </r>
  <r>
    <n v="99912285"/>
    <s v="Θ"/>
    <x v="0"/>
    <x v="0"/>
    <m/>
    <m/>
    <s v="Γ΄"/>
    <n v="1"/>
    <n v="1350"/>
    <d v="2016-12-28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6-12-30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17T00:00:00"/>
    <x v="0"/>
    <s v="ΔΙΕΥΘΥΝΣΗ Δ.Ε. Β΄ ΑΘΗΝΑΣ"/>
    <n v="42.12222222222222"/>
    <s v="41 - 45"/>
  </r>
  <r>
    <n v="99912286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17T00:00:00"/>
    <x v="0"/>
    <s v="ΔΙΕΥΘΥΝΣΗ Δ.Ε. Β΄ ΑΘΗΝΑΣ"/>
    <n v="42.12222222222222"/>
    <s v="41 - 45"/>
  </r>
  <r>
    <n v="99912287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16T00:00:00"/>
    <x v="0"/>
    <s v="ΔΙΕΥΘΥΝΣΗ Δ.Ε. Β΄ ΑΘΗΝΑΣ"/>
    <n v="42.125"/>
    <s v="41 - 45"/>
  </r>
  <r>
    <n v="99912288"/>
    <s v="Θ"/>
    <x v="5"/>
    <x v="5"/>
    <m/>
    <m/>
    <s v="Γ΄"/>
    <n v="1"/>
    <s v="Φ.17/16539/3/24-10-2018"/>
    <d v="2018-09-10T00:00:00"/>
    <s v="ΑΧΑΪΑΣ (Δ.Ε.) 2018"/>
    <s v="ΔΙΕΥΘΥΝΣΗ Δ.Ε. ΑΧΑΪΑΣ"/>
    <s v="ΠΕΡΙΦΕΡΕΙΑΚΗ Δ/ΝΣΗ Α/ΘΜΙΑΣ ΚΑΙ Β/ΘΜΙΑΣ ΕΚΠ/ΣΗΣ ΔΥΤΙΚΗΣ ΕΛΛΑΔΑΣ"/>
    <n v="7"/>
    <s v="ΟΧΙ"/>
    <m/>
    <m/>
    <m/>
    <s v="ΟΧΙ"/>
    <m/>
    <d v="2018-09-10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7-06-16T00:00:00"/>
    <x v="0"/>
    <s v="ΔΙΕΥΘΥΝΣΗ Δ.Ε. ΑΧΑΪΑΣ"/>
    <n v="42.125"/>
    <s v="41 - 45"/>
  </r>
  <r>
    <n v="99912289"/>
    <s v="Θ"/>
    <x v="3"/>
    <x v="3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7-06-15T00:00:00"/>
    <x v="0"/>
    <s v="ΔΙΕΥΘΥΝΣΗ Δ.Ε. ΙΩΑΝΝΙΝΩΝ"/>
    <n v="42.12777777777778"/>
    <s v="41 - 45"/>
  </r>
  <r>
    <n v="99912290"/>
    <s v="Α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04T00:00:00"/>
    <x v="0"/>
    <s v="ΔΙΕΥΘΥΝΣΗ Δ.Ε. ΑΝΑΤΟΛΙΚΗΣ ΑΤΤΙΚΗΣ"/>
    <n v="42.158333333333331"/>
    <s v="41 - 45"/>
  </r>
  <r>
    <n v="99912291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04T00:00:00"/>
    <x v="1"/>
    <s v="ΔΙΕΥΘΥΝΣΗ Π.Ε. Γ΄ ΑΘΗΝΑΣ"/>
    <n v="42.158333333333331"/>
    <s v="41 - 45"/>
  </r>
  <r>
    <n v="99912292"/>
    <s v="Θ"/>
    <x v="1"/>
    <x v="1"/>
    <m/>
    <m/>
    <s v="Γ΄"/>
    <n v="8"/>
    <s v="Φ.17.2/2945/04-09-2007"/>
    <d v="2018-09-01T00:00:00"/>
    <s v="Α΄ ΜΑΓΝΗΣΙΑΣ (Π.Ε.) 2018"/>
    <s v="ΔΙΕΥΘΥΝΣΗ Π.Ε. ΜΑΓΝΗΣΙΑΣ"/>
    <s v="ΠΕΡΙΦΕΡΕΙΑΚΗ Δ/ΝΣΗ Α/ΘΜΙΑΣ ΚΑΙ Β/ΘΜΙΑΣ ΕΚΠ/ΣΗΣ ΘΕΣΣΑΛΙΑΣ"/>
    <n v="22"/>
    <s v="ΟΧΙ"/>
    <s v="ΟΧΙ"/>
    <s v="ΟΧΙ"/>
    <s v="ΟΧΙ"/>
    <s v="ΟΧΙ"/>
    <m/>
    <d v="2018-09-01T00:00:00"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7-06-04T00:00:00"/>
    <x v="1"/>
    <s v="ΔΙΕΥΘΥΝΣΗ Π.Ε. ΜΑΓΝΗΣΙΑΣ"/>
    <n v="42.158333333333331"/>
    <s v="41 - 45"/>
  </r>
  <r>
    <n v="99912293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6-02T00:00:00"/>
    <x v="0"/>
    <s v="ΔΙΕΥΘΥΝΣΗ Δ.Ε. Γ΄ ΑΘΗΝΑΣ"/>
    <n v="42.163888888888891"/>
    <s v="41 - 45"/>
  </r>
  <r>
    <n v="99912294"/>
    <s v="Θ"/>
    <x v="19"/>
    <x v="19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0"/>
    <s v="ΟΧΙ"/>
    <s v="ΟΧΙ"/>
    <s v="ΟΧΙ"/>
    <m/>
    <s v="ΟΧΙ"/>
    <m/>
    <m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7-06-01T00:00:00"/>
    <x v="0"/>
    <s v="ΔΙΕΥΘΥΝΣΗ Δ.Ε. ΙΩΑΝΝΙΝΩΝ"/>
    <n v="42.166666666666664"/>
    <s v="41 - 45"/>
  </r>
  <r>
    <n v="99912295"/>
    <s v="Θ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31T00:00:00"/>
    <x v="0"/>
    <s v="ΔΙΕΥΘΥΝΣΗ Δ.Ε. Β΄ ΑΘΗΝΑΣ"/>
    <n v="42.169444444444444"/>
    <s v="41 - 45"/>
  </r>
  <r>
    <n v="99912296"/>
    <s v="Α"/>
    <x v="19"/>
    <x v="19"/>
    <m/>
    <m/>
    <s v="Γ΄"/>
    <n v="3"/>
    <n v="15986"/>
    <d v="2018-09-1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1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7-05-29T00:00:00"/>
    <x v="0"/>
    <s v="ΔΙΕΥΘΥΝΣΗ Δ.Ε. ΑΝΑΤ. ΘΕΣ/ΝΙΚΗΣ"/>
    <n v="42.174999999999997"/>
    <s v="41 - 45"/>
  </r>
  <r>
    <n v="99912297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28T00:00:00"/>
    <x v="0"/>
    <s v="ΔΙΕΥΘΥΝΣΗ Δ.Ε. Β΄ ΑΘΗΝΑΣ"/>
    <n v="42.177777777777777"/>
    <s v="41 - 45"/>
  </r>
  <r>
    <n v="99912298"/>
    <s v="Θ"/>
    <x v="20"/>
    <x v="2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25T00:00:00"/>
    <x v="0"/>
    <s v="ΔΙΕΥΘΥΝΣΗ Δ.Ε. ΑΝΑΤΟΛΙΚΗΣ ΑΤΤΙΚΗΣ"/>
    <n v="42.18611111111111"/>
    <s v="41 - 45"/>
  </r>
  <r>
    <n v="9991229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23T00:00:00"/>
    <x v="0"/>
    <s v="ΔΙΕΥΘΥΝΣΗ Δ.Ε. Β΄ ΑΘΗΝΑΣ"/>
    <n v="42.19166666666667"/>
    <s v="41 - 45"/>
  </r>
  <r>
    <n v="99912300"/>
    <s v="Θ"/>
    <x v="6"/>
    <x v="6"/>
    <m/>
    <m/>
    <s v="Γ΄"/>
    <n v="1"/>
    <n v="3393"/>
    <d v="2018-09-01T00:00:00"/>
    <s v="Α΄ ΠΕΙΡΑΙΑ (Δ.Ε.) 2018"/>
    <s v="ΔΙΕΥΘΥΝΣΗ Δ.Ε. ΠΕΙΡΑΙΑ"/>
    <s v="ΠΕΡΙΦΕΡΕΙΑΚΗ Δ/ΝΣΗ Α/ΘΜΙΑΣ ΚΑΙ Β/ΘΜΙΑΣ ΕΚΠ/ΣΗΣ ΑΤΤΙΚΗΣ"/>
    <n v="17"/>
    <s v="ΟΧΙ"/>
    <m/>
    <m/>
    <m/>
    <s v="ΟΧΙ"/>
    <m/>
    <d v="2018-09-01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20T00:00:00"/>
    <x v="0"/>
    <s v="ΔΙΕΥΘΥΝΣΗ Δ.Ε. ΠΕΙΡΑΙΑ"/>
    <n v="42.2"/>
    <s v="41 - 45"/>
  </r>
  <r>
    <n v="99912301"/>
    <s v="Α"/>
    <x v="29"/>
    <x v="28"/>
    <m/>
    <m/>
    <s v="Γ΄"/>
    <n v="2"/>
    <d v="2016-09-16T00:00:00"/>
    <d v="2018-09-01T00:00:00"/>
    <s v="Α΄ ΑΘΗΝΑΣ (Δ.Ε.) 2018"/>
    <s v="ΔΙΕΥΘΥΝΣΗ Δ.Ε. Α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5-19T00:00:00"/>
    <x v="0"/>
    <s v="ΔΙΕΥΘΥΝΣΗ Δ.Ε. Α΄ ΑΘΗΝΑΣ"/>
    <n v="42.202777777777776"/>
    <s v="41 - 45"/>
  </r>
  <r>
    <n v="99912302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18T00:00:00"/>
    <x v="1"/>
    <s v="ΔΙΕΥΘΥΝΣΗ Π.Ε. Γ΄ ΑΘΗΝΑΣ"/>
    <n v="42.205555555555556"/>
    <s v="41 - 45"/>
  </r>
  <r>
    <n v="99912303"/>
    <s v="Θ"/>
    <x v="1"/>
    <x v="1"/>
    <m/>
    <m/>
    <s v="Γ΄"/>
    <n v="1"/>
    <n v="14591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17T00:00:00"/>
    <x v="1"/>
    <s v="ΔΙΕΥΘΥΝΣΗ Π.Ε. Δ΄ ΑΘΗΝΑΣ"/>
    <n v="42.208333333333336"/>
    <s v="41 - 45"/>
  </r>
  <r>
    <n v="99912304"/>
    <s v="Θ"/>
    <x v="14"/>
    <x v="1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5-15T00:00:00"/>
    <x v="0"/>
    <s v="ΔΙΕΥΘΥΝΣΗ Δ.Ε. Β΄ ΑΘΗΝΑΣ"/>
    <n v="42.213888888888889"/>
    <s v="41 - 45"/>
  </r>
  <r>
    <n v="99912305"/>
    <s v="Θ"/>
    <x v="20"/>
    <x v="20"/>
    <m/>
    <m/>
    <s v="Γ΄"/>
    <n v="1"/>
    <s v="21811/12-10-2018"/>
    <d v="2018-10-12T00:00:00"/>
    <s v="ΛΑΡΙΣΑΣ (Δ.Ε.) 2018"/>
    <s v="ΔΙΕΥΘΥΝΣΗ Δ.Ε. ΛΑΡΙΣΑΣ"/>
    <s v="ΠΕΡΙΦΕΡΕΙΑΚΗ Δ/ΝΣΗ Α/ΘΜΙΑΣ ΚΑΙ Β/ΘΜΙΑΣ ΕΚΠ/ΣΗΣ ΘΕΣΣΑΛΙΑΣ"/>
    <n v="2"/>
    <s v="ΟΧΙ"/>
    <m/>
    <m/>
    <m/>
    <s v="ΟΧΙ"/>
    <m/>
    <d v="2018-10-12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77-05-11T00:00:00"/>
    <x v="0"/>
    <s v="ΔΙΕΥΘΥΝΣΗ Δ.Ε. ΛΑΡΙΣΑΣ"/>
    <n v="42.225000000000001"/>
    <s v="41 - 45"/>
  </r>
  <r>
    <n v="99912306"/>
    <s v="Α"/>
    <x v="15"/>
    <x v="15"/>
    <m/>
    <m/>
    <s v="Γ΄"/>
    <n v="5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5-05T00:00:00"/>
    <x v="0"/>
    <s v="ΔΙΕΥΘΥΝΣΗ Δ.Ε. Δ΄ ΑΘΗΝΑΣ"/>
    <n v="42.241666666666667"/>
    <s v="41 - 45"/>
  </r>
  <r>
    <n v="99912307"/>
    <s v="Θ"/>
    <x v="10"/>
    <x v="10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5-04T00:00:00"/>
    <x v="1"/>
    <s v="ΔΙΕΥΘΥΝΣΗ Π.Ε. ΑΝΑΤ. ΘΕΣ/ΝΙΚΗΣ"/>
    <n v="42.244444444444447"/>
    <s v="41 - 45"/>
  </r>
  <r>
    <n v="99912308"/>
    <s v="Θ"/>
    <x v="3"/>
    <x v="3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4-26T00:00:00"/>
    <x v="0"/>
    <s v="ΔΙΕΥΘΥΝΣΗ Δ.Ε. ΑΝΑΤ. ΘΕΣ/ΝΙΚΗΣ"/>
    <n v="42.266666666666666"/>
    <s v="41 - 45"/>
  </r>
  <r>
    <n v="99912309"/>
    <s v="Θ"/>
    <x v="10"/>
    <x v="10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7-04-21T00:00:00"/>
    <x v="0"/>
    <s v="ΔΙΕΥΘΥΝΣΗ Δ.Ε. Γ΄ ΑΘΗΝΑΣ"/>
    <n v="42.280555555555559"/>
    <s v="41 - 45"/>
  </r>
  <r>
    <n v="99912310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4-20T00:00:00"/>
    <x v="0"/>
    <s v="ΔΙΕΥΘΥΝΣΗ Δ.Ε. ΑΝΑΤΟΛΙΚΗΣ ΑΤΤΙΚΗΣ"/>
    <n v="42.283333333333331"/>
    <s v="41 - 45"/>
  </r>
  <r>
    <n v="99912311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155"/>
    <s v="ΣΥΣΤΕΓΑΖΟΜΕΝΟ ΝΗΠΙΑΓΩΓΕΙΟ - Μ. ΜΑΓΓΙΝΑ - Β. ΖΟΥΚΑ Ο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4-08T00:00:00"/>
    <x v="1"/>
    <s v="ΔΙΕΥΘΥΝΣΗ Π.Ε. Β΄ ΑΘΗΝΑΣ"/>
    <n v="42.31666666666667"/>
    <s v="41 - 45"/>
  </r>
  <r>
    <n v="99912312"/>
    <s v="Θ"/>
    <x v="13"/>
    <x v="13"/>
    <m/>
    <m/>
    <s v="Γ΄"/>
    <n v="1"/>
    <s v="17.2/374/14896/31-12-12"/>
    <d v="2018-09-01T00:00:00"/>
    <s v="Β΄ ΑΘΗΝΑΣ (Π.Ε.) 2018"/>
    <s v="ΔΙΕΥΘΥΝΣΗ Π.Ε. Β΄ ΑΘΗΝΑΣ"/>
    <s v="ΠΕΡΙΦΕΡΕΙΑΚΗ Δ/ΝΣΗ Α/ΘΜΙΑΣ ΚΑΙ Β/ΘΜΙΑΣ ΕΚΠ/ΣΗΣ ΑΤΤΙΚΗΣ"/>
    <n v="9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4-07T00:00:00"/>
    <x v="1"/>
    <s v="ΔΙΕΥΘΥΝΣΗ Π.Ε. Β΄ ΑΘΗΝΑΣ"/>
    <n v="42.319444444444443"/>
    <s v="41 - 45"/>
  </r>
  <r>
    <n v="99912313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4-06T00:00:00"/>
    <x v="0"/>
    <s v="ΔΙΕΥΘΥΝΣΗ Δ.Ε. Β΄ ΑΘΗΝΑΣ"/>
    <n v="42.322222222222223"/>
    <s v="41 - 45"/>
  </r>
  <r>
    <n v="99912314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7-04-05T00:00:00"/>
    <x v="0"/>
    <s v="ΔΙΕΥΘΥΝΣΗ Δ.Ε. ΑΝΑΤΟΛΙΚΗΣ ΑΤΤΙΚΗΣ"/>
    <n v="42.325000000000003"/>
    <s v="41 - 45"/>
  </r>
  <r>
    <n v="99912315"/>
    <s v="Θ"/>
    <x v="10"/>
    <x v="10"/>
    <m/>
    <m/>
    <s v="Γ΄"/>
    <n v="1"/>
    <s v="23853/3-9-2018"/>
    <d v="2018-09-03T00:00:00"/>
    <s v="ΛΑΡΙΣΑΣ (Δ.Ε.) 2018"/>
    <s v="ΔΙΕΥΘΥΝΣΗ Δ.Ε. ΛΑΡΙΣΑΣ"/>
    <s v="ΠΕΡΙΦΕΡΕΙΑΚΗ Δ/ΝΣΗ Α/ΘΜΙΑΣ ΚΑΙ Β/ΘΜΙΑΣ ΕΚΠ/ΣΗΣ ΘΕΣΣΑΛΙΑΣ"/>
    <n v="3"/>
    <s v="ΟΧΙ"/>
    <m/>
    <m/>
    <m/>
    <s v="ΟΧΙ"/>
    <m/>
    <d v="2018-09-03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7-04-05T00:00:00"/>
    <x v="0"/>
    <s v="ΔΙΕΥΘΥΝΣΗ Δ.Ε. ΛΑΡΙΣΑΣ"/>
    <n v="42.325000000000003"/>
    <s v="41 - 45"/>
  </r>
  <r>
    <n v="99912316"/>
    <s v="Θ"/>
    <x v="8"/>
    <x v="8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7-04-04T00:00:00"/>
    <x v="1"/>
    <s v="ΔΙΕΥΘΥΝΣΗ Π.Ε. ΛΑΡΙΣΑΣ"/>
    <n v="42.327777777777776"/>
    <s v="41 - 45"/>
  </r>
  <r>
    <n v="99912317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30T00:00:00"/>
    <x v="1"/>
    <s v="ΔΙΕΥΘΥΝΣΗ Π.Ε. Β΄ ΑΘΗΝΑΣ"/>
    <n v="42.341666666666669"/>
    <s v="41 - 45"/>
  </r>
  <r>
    <n v="99912318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027"/>
    <s v="ΙΔΙΩΤΙΚΟ ΣΥΣΤΕΓΑΖΟΜΕΝΟ ΝΗΠΙΑΓΩΓΕΙΟ ΒΙΛΛΑ ΑΙΜΙΛ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25T00:00:00"/>
    <x v="1"/>
    <s v="ΔΙΕΥΘΥΝΣΗ Π.Ε. Β΄ ΑΘΗΝΑΣ"/>
    <n v="42.355555555555554"/>
    <s v="41 - 45"/>
  </r>
  <r>
    <n v="99912319"/>
    <s v="Α"/>
    <x v="6"/>
    <x v="6"/>
    <m/>
    <m/>
    <s v="Β΄"/>
    <n v="1"/>
    <s v="12853/30-09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2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3-25T00:00:00"/>
    <x v="0"/>
    <s v="ΔΙΕΥΘΥΝΣΗ Δ.Ε. ΔΥΤ. ΘΕΣ/ΝΙΚΗΣ"/>
    <n v="42.355555555555554"/>
    <s v="41 - 45"/>
  </r>
  <r>
    <n v="99912320"/>
    <s v="Θ"/>
    <x v="11"/>
    <x v="11"/>
    <m/>
    <m/>
    <s v="Β΄"/>
    <n v="4"/>
    <s v="69ΣΝ4653ΠΣ-Ψ48"/>
    <d v="2016-10-04T00:00:00"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2016-10-04T00:00:00"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24T00:00:00"/>
    <x v="0"/>
    <s v="ΔΙΕΥΘΥΝΣΗ Δ.Ε. ΑΝΑΤΟΛΙΚΗΣ ΑΤΤΙΚΗΣ"/>
    <n v="42.358333333333334"/>
    <s v="41 - 45"/>
  </r>
  <r>
    <n v="99912321"/>
    <s v="Α"/>
    <x v="18"/>
    <x v="18"/>
    <m/>
    <m/>
    <s v="Β΄"/>
    <n v="4"/>
    <s v="5621α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24T00:00:00"/>
    <x v="1"/>
    <s v="ΔΙΕΥΘΥΝΣΗ Π.Ε. ΑΝΑΤΟΛΙΚΗΣ ΑΤΤΙΚΗΣ"/>
    <n v="42.358333333333334"/>
    <s v="41 - 45"/>
  </r>
  <r>
    <n v="99912322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22T00:00:00"/>
    <x v="0"/>
    <s v="ΔΙΕΥΘΥΝΣΗ Δ.Ε. ΑΝΑΤΟΛΙΚΗΣ ΑΤΤΙΚΗΣ"/>
    <n v="42.363888888888887"/>
    <s v="41 - 45"/>
  </r>
  <r>
    <n v="99912323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13T00:00:00"/>
    <x v="0"/>
    <s v="ΔΙΕΥΘΥΝΣΗ Δ.Ε. ΑΝΑΤΟΛΙΚΗΣ ΑΤΤΙΚΗΣ"/>
    <n v="42.388888888888886"/>
    <s v="41 - 45"/>
  </r>
  <r>
    <n v="99912324"/>
    <s v="Θ"/>
    <x v="1"/>
    <x v="1"/>
    <m/>
    <m/>
    <s v="Α΄"/>
    <n v="7"/>
    <s v="ΦΕΚ 1090/τ.Γ'/28-11-200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7-03-11T00:00:00"/>
    <x v="1"/>
    <s v="ΔΙΕΥΘΥΝΣΗ Π.Ε. ΑΝΑΤΟΛΙΚΗΣ ΑΤΤΙΚΗΣ"/>
    <n v="42.394444444444446"/>
    <s v="41 - 45"/>
  </r>
  <r>
    <n v="99912325"/>
    <s v="Θ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07T00:00:00"/>
    <x v="0"/>
    <s v="ΔΙΕΥΘΥΝΣΗ Δ.Ε. Γ΄ ΑΘΗΝΑΣ"/>
    <n v="42.405555555555559"/>
    <s v="41 - 45"/>
  </r>
  <r>
    <n v="99912326"/>
    <s v="Θ"/>
    <x v="2"/>
    <x v="2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135"/>
    <s v="ΙΔΙΩΤΙΚΟ ΣΥΣΤΕΓΑΖΟΜΕΝΟ ΝΗΠΙΑΓΩΓΕΙΟ - Ζ. ΧΑΤΖΗΑΝΔΡΕΟΥ - Μ. ΚΟΡΔΟΠΑΤΗ ΟΕ - ΠΡΟΤΥΠΟ ΝΗΠΙΑΓΩΓΕΙΟ -ΠΑΙΔΙΚΟΣ ΣΤΑΘΜΟΣ JUNIORS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3-03T00:00:00"/>
    <x v="1"/>
    <s v="ΔΙΕΥΘΥΝΣΗ Π.Ε. Δ΄ ΑΘΗΝΑΣ"/>
    <n v="42.416666666666664"/>
    <s v="41 - 45"/>
  </r>
  <r>
    <n v="99912327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2-20T00:00:00"/>
    <x v="0"/>
    <s v="ΔΙΕΥΘΥΝΣΗ Δ.Ε. Β΄ ΑΘΗΝΑΣ"/>
    <n v="42.447222222222223"/>
    <s v="41 - 45"/>
  </r>
  <r>
    <n v="99912328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7-02-19T00:00:00"/>
    <x v="0"/>
    <s v="ΔΙΕΥΘΥΝΣΗ Δ.Ε. ΑΝΑΤ. ΘΕΣ/ΝΙΚΗΣ"/>
    <n v="42.45"/>
    <s v="41 - 45"/>
  </r>
  <r>
    <n v="99912329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2-18T00:00:00"/>
    <x v="0"/>
    <s v="ΔΙΕΥΘΥΝΣΗ Δ.Ε. Β΄ ΑΘΗΝΑΣ"/>
    <n v="42.452777777777776"/>
    <s v="41 - 45"/>
  </r>
  <r>
    <n v="99912330"/>
    <s v="Θ"/>
    <x v="2"/>
    <x v="2"/>
    <m/>
    <m/>
    <s v="Γ΄"/>
    <n v="1"/>
    <s v="3558/1-9-20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2-17T00:00:00"/>
    <x v="1"/>
    <s v="ΔΙΕΥΘΥΝΣΗ Π.Ε. Β΄ ΑΘΗΝΑΣ"/>
    <n v="42.455555555555556"/>
    <s v="41 - 45"/>
  </r>
  <r>
    <n v="99912331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2-13T00:00:00"/>
    <x v="0"/>
    <s v="ΔΙΕΥΘΥΝΣΗ Δ.Ε. ΑΝΑΤ. ΘΕΣ/ΝΙΚΗΣ"/>
    <n v="42.466666666666669"/>
    <s v="41 - 45"/>
  </r>
  <r>
    <n v="99912332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2-05T00:00:00"/>
    <x v="0"/>
    <s v="ΔΙΕΥΘΥΝΣΗ Δ.Ε. Β΄ ΑΘΗΝΑΣ"/>
    <n v="42.488888888888887"/>
    <s v="41 - 45"/>
  </r>
  <r>
    <n v="99912333"/>
    <s v="Α"/>
    <x v="29"/>
    <x v="2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2-02T00:00:00"/>
    <x v="0"/>
    <s v="ΔΙΕΥΘΥΝΣΗ Δ.Ε. ΠΕΙΡΑΙΑ"/>
    <n v="42.49722222222222"/>
    <s v="41 - 45"/>
  </r>
  <r>
    <n v="99912334"/>
    <s v="Α"/>
    <x v="1"/>
    <x v="1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7-02-01T00:00:00"/>
    <x v="1"/>
    <s v="ΔΙΕΥΘΥΝΣΗ Π.Ε. Β΄ ΑΘΗΝΑΣ"/>
    <n v="42.5"/>
    <s v="41 - 45"/>
  </r>
  <r>
    <n v="99912335"/>
    <s v="Θ"/>
    <x v="5"/>
    <x v="5"/>
    <m/>
    <m/>
    <s v="Γ΄"/>
    <n v="1"/>
    <s v="Ψ9Μ04653ΠΣ-5ΘΠ"/>
    <d v="2016-11-02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6-11-02T00:00:00"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7-01-30T00:00:00"/>
    <x v="0"/>
    <s v="ΔΙΕΥΘΥΝΣΗ Δ.Ε. Β΄ ΑΘΗΝΑΣ"/>
    <n v="42.505555555555553"/>
    <s v="41 - 45"/>
  </r>
  <r>
    <n v="99912336"/>
    <s v="Θ"/>
    <x v="1"/>
    <x v="1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1-26T00:00:00"/>
    <x v="1"/>
    <s v="ΔΙΕΥΘΥΝΣΗ Π.Ε. ΔΥΤ. ΘΕΣ/ΝΙΚΗΣ"/>
    <n v="42.516666666666666"/>
    <s v="41 - 45"/>
  </r>
  <r>
    <n v="99912337"/>
    <s v="Θ"/>
    <x v="28"/>
    <x v="27"/>
    <m/>
    <m/>
    <s v="Γ΄"/>
    <n v="1"/>
    <s v="18279/55"/>
    <d v="2018-09-25T00:00:00"/>
    <s v="Γ΄ ΑΘΗΝΑΣ (Δ.Ε.) 2018"/>
    <s v="ΔΙΕΥΘΥΝΣΗ Δ.Ε. Γ΄ ΑΘΗΝΑΣ"/>
    <s v="ΠΕΡΙΦΕΡΕΙΑΚΗ Δ/ΝΣΗ Α/ΘΜΙΑΣ ΚΑΙ Β/ΘΜΙΑΣ ΕΚΠ/ΣΗΣ ΑΤΤΙΚΗΣ"/>
    <n v="8"/>
    <s v="ΟΧΙ"/>
    <m/>
    <m/>
    <m/>
    <s v="ΟΧΙ"/>
    <m/>
    <d v="2018-09-25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1-19T00:00:00"/>
    <x v="0"/>
    <s v="ΔΙΕΥΘΥΝΣΗ Δ.Ε. Γ΄ ΑΘΗΝΑΣ"/>
    <n v="42.536111111111111"/>
    <s v="41 - 45"/>
  </r>
  <r>
    <n v="99912338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1-16T00:00:00"/>
    <x v="0"/>
    <s v="ΔΙΕΥΘΥΝΣΗ Δ.Ε. Β΄ ΑΘΗΝΑΣ"/>
    <n v="42.544444444444444"/>
    <s v="41 - 45"/>
  </r>
  <r>
    <n v="99912339"/>
    <s v="Α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13T00:00:00"/>
    <x v="1"/>
    <s v="ΔΙΕΥΘΥΝΣΗ Π.Ε. ΑΝΑΤΟΛΙΚΗΣ ΑΤΤΙΚΗΣ"/>
    <n v="42.552777777777777"/>
    <s v="41 - 45"/>
  </r>
  <r>
    <n v="99912340"/>
    <s v="Α"/>
    <x v="8"/>
    <x v="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12T00:00:00"/>
    <x v="1"/>
    <s v="ΔΙΕΥΘΥΝΣΗ Π.Ε. Α΄ ΑΘΗΝΑΣ"/>
    <n v="42.555555555555557"/>
    <s v="41 - 45"/>
  </r>
  <r>
    <n v="99912341"/>
    <s v="Θ"/>
    <x v="0"/>
    <x v="0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1-12T00:00:00"/>
    <x v="1"/>
    <s v="ΔΙΕΥΘΥΝΣΗ Π.Ε. ΑΝΑΤ. ΘΕΣ/ΝΙΚΗΣ"/>
    <n v="42.555555555555557"/>
    <s v="41 - 45"/>
  </r>
  <r>
    <n v="99912342"/>
    <s v="Θ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10T00:00:00"/>
    <x v="0"/>
    <s v="ΔΙΕΥΘΥΝΣΗ Δ.Ε. Β΄ ΑΘΗΝΑΣ"/>
    <n v="42.56111111111111"/>
    <s v="41 - 45"/>
  </r>
  <r>
    <n v="99912343"/>
    <s v="Θ"/>
    <x v="4"/>
    <x v="4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6T00:00:00"/>
    <x v="0"/>
    <s v="ΔΙΕΥΘΥΝΣΗ Δ.Ε. ΑΝΑΤΟΛΙΚΗΣ ΑΤΤΙΚΗΣ"/>
    <n v="42.572222222222223"/>
    <s v="41 - 45"/>
  </r>
  <r>
    <n v="99912344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4T00:00:00"/>
    <x v="0"/>
    <s v="ΔΙΕΥΘΥΝΣΗ Δ.Ε. Δ΄ ΑΘΗΝΑΣ"/>
    <n v="42.577777777777776"/>
    <s v="41 - 45"/>
  </r>
  <r>
    <n v="99912345"/>
    <s v="Α"/>
    <x v="10"/>
    <x v="10"/>
    <m/>
    <m/>
    <s v="Α΄"/>
    <n v="1"/>
    <s v="4962/11-11-2009"/>
    <d v="2009-09-01T00:00:00"/>
    <s v="Β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9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3T00:00:00"/>
    <x v="0"/>
    <s v="ΔΙΕΥΘΥΝΣΗ Δ.Ε. ΑΝΑΤΟΛΙΚΗΣ ΑΤΤΙΚΗΣ"/>
    <n v="42.580555555555556"/>
    <s v="41 - 45"/>
  </r>
  <r>
    <n v="99912346"/>
    <s v="Α"/>
    <x v="4"/>
    <x v="4"/>
    <m/>
    <m/>
    <s v="Α΄"/>
    <n v="1"/>
    <s v="ΒΛΓΠ9-ΝΚ3"/>
    <d v="2013-12-06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3-12-06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ΑΝΑΤΟΛΙΚΗΣ ΑΤΤΙΚΗΣ"/>
    <n v="42.586111111111109"/>
    <s v="41 - 45"/>
  </r>
  <r>
    <n v="99912347"/>
    <s v="Α"/>
    <x v="14"/>
    <x v="1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"/>
    <s v="ΟΧΙ"/>
    <s v="ΟΧΙ"/>
    <s v="ΟΧΙ"/>
    <s v="ΟΧΙ"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ΑΝΑΤΟΛΙΚΗΣ ΑΤΤΙΚΗΣ"/>
    <n v="42.586111111111109"/>
    <s v="41 - 45"/>
  </r>
  <r>
    <n v="99912348"/>
    <s v="Θ"/>
    <x v="18"/>
    <x v="1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ΑΝΑΤΟΛΙΚΗΣ ΑΤΤΙΚΗΣ"/>
    <n v="42.586111111111109"/>
    <s v="41 - 45"/>
  </r>
  <r>
    <n v="9991234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Β΄ ΑΘΗΝΑΣ"/>
    <n v="42.586111111111109"/>
    <s v="41 - 45"/>
  </r>
  <r>
    <n v="99912350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Β΄ ΑΘΗΝΑΣ"/>
    <n v="42.586111111111109"/>
    <s v="41 - 45"/>
  </r>
  <r>
    <n v="99912351"/>
    <s v="Θ"/>
    <x v="6"/>
    <x v="6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7-01-01T00:00:00"/>
    <x v="0"/>
    <s v="ΔΙΕΥΘΥΝΣΗ Δ.Ε. Β΄ ΑΘΗΝΑΣ"/>
    <n v="42.586111111111109"/>
    <s v="41 - 45"/>
  </r>
  <r>
    <n v="99912352"/>
    <s v="Θ"/>
    <x v="19"/>
    <x v="19"/>
    <s v="ΠΕ84"/>
    <s v="ΗΛΕΚΤΡΟΝΙΚΩΝ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Β΄ ΑΘΗΝΑΣ"/>
    <n v="42.586111111111109"/>
    <s v="41 - 45"/>
  </r>
  <r>
    <n v="99912353"/>
    <s v="Θ"/>
    <x v="3"/>
    <x v="3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Δ΄ ΑΘΗΝΑΣ"/>
    <n v="42.586111111111109"/>
    <s v="41 - 45"/>
  </r>
  <r>
    <n v="99912354"/>
    <s v="Θ"/>
    <x v="6"/>
    <x v="6"/>
    <m/>
    <m/>
    <s v="Β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0"/>
    <s v="ΔΙΕΥΘΥΝΣΗ Δ.Ε. ΠΕΙΡΑΙΑ"/>
    <n v="42.586111111111109"/>
    <s v="41 - 45"/>
  </r>
  <r>
    <n v="99912355"/>
    <s v="Θ"/>
    <x v="7"/>
    <x v="7"/>
    <m/>
    <m/>
    <s v="Α΄"/>
    <n v="1"/>
    <s v="750Ψ4653ΠΣ-ΛΛ2"/>
    <d v="2016-09-12T00:00:00"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d v="2016-09-12T00:00:00"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1"/>
    <s v="ΔΙΕΥΘΥΝΣΗ Π.Ε. Α΄ ΑΘΗΝΑΣ"/>
    <n v="42.586111111111109"/>
    <s v="41 - 45"/>
  </r>
  <r>
    <n v="99912356"/>
    <s v="Θ"/>
    <x v="1"/>
    <x v="1"/>
    <m/>
    <m/>
    <s v="Γ΄"/>
    <n v="1"/>
    <s v="17.2/323/8043/05-10-15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1"/>
    <s v="ΔΙΕΥΘΥΝΣΗ Π.Ε. Β΄ ΑΘΗΝΑΣ"/>
    <n v="42.586111111111109"/>
    <s v="41 - 45"/>
  </r>
  <r>
    <n v="99912357"/>
    <s v="Θ"/>
    <x v="1"/>
    <x v="1"/>
    <m/>
    <m/>
    <s v="Γ΄"/>
    <n v="1"/>
    <s v="Φ 17.2/346/13747/30-11-12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1"/>
    <s v="ΔΙΕΥΘΥΝΣΗ Π.Ε. Β΄ ΑΘΗΝΑΣ"/>
    <n v="42.586111111111109"/>
    <s v="41 - 45"/>
  </r>
  <r>
    <n v="99912358"/>
    <s v="Θ"/>
    <x v="0"/>
    <x v="0"/>
    <m/>
    <m/>
    <s v="Α΄"/>
    <n v="7"/>
    <m/>
    <m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1"/>
    <s v="ΔΙΕΥΘΥΝΣΗ Π.Ε. Δ΄ ΑΘΗΝΑΣ"/>
    <n v="42.586111111111109"/>
    <s v="41 - 45"/>
  </r>
  <r>
    <n v="99912359"/>
    <s v="Α"/>
    <x v="1"/>
    <x v="1"/>
    <m/>
    <m/>
    <s v="Α΄"/>
    <n v="4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7-01-01T00:00:00"/>
    <x v="1"/>
    <s v="ΔΙΕΥΘΥΝΣΗ Π.Ε. ΠΕΙΡΑΙΑ"/>
    <n v="42.586111111111109"/>
    <s v="41 - 45"/>
  </r>
  <r>
    <n v="99912360"/>
    <s v="Α"/>
    <x v="11"/>
    <x v="11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7-01-01T00:00:00"/>
    <x v="0"/>
    <s v="ΔΙΕΥΘΥΝΣΗ Δ.Ε. ΙΩΑΝΝΙΝΩΝ"/>
    <n v="42.586111111111109"/>
    <s v="41 - 45"/>
  </r>
  <r>
    <n v="99912361"/>
    <s v="Θ"/>
    <x v="18"/>
    <x v="18"/>
    <m/>
    <m/>
    <s v="Γ΄"/>
    <n v="1"/>
    <n v="1084"/>
    <d v="2018-09-01T00:00:00"/>
    <s v="ΛΑΡΙΣΑΣ (Π.Ε.) 2018"/>
    <s v="ΔΙΕΥΘΥΝΣΗ Π.Ε. ΛΑΡΙΣΑΣ"/>
    <s v="ΠΕΡΙΦΕΡΕΙΑΚΗ Δ/ΝΣΗ Α/ΘΜΙΑΣ ΚΑΙ Β/ΘΜΙΑΣ ΕΚΠ/ΣΗΣ ΘΕΣΣΑΛΙΑΣ"/>
    <n v="18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7-01-01T00:00:00"/>
    <x v="1"/>
    <s v="ΔΙΕΥΘΥΝΣΗ Π.Ε. ΛΑΡΙΣΑΣ"/>
    <n v="42.586111111111109"/>
    <s v="41 - 45"/>
  </r>
  <r>
    <n v="99912362"/>
    <s v="Α"/>
    <x v="5"/>
    <x v="5"/>
    <m/>
    <m/>
    <s v="Α΄"/>
    <n v="1"/>
    <s v="13564/10-09-2013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7-01-01T00:00:00"/>
    <x v="0"/>
    <s v="ΔΙΕΥΘΥΝΣΗ Δ.Ε. ΔΥΤ. ΘΕΣ/ΝΙΚΗΣ"/>
    <n v="42.586111111111109"/>
    <s v="41 - 45"/>
  </r>
  <r>
    <n v="99912363"/>
    <s v="Α"/>
    <x v="9"/>
    <x v="9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5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7-01-01T00:00:00"/>
    <x v="0"/>
    <s v="ΔΙΕΥΘΥΝΣΗ Δ.Ε. ΗΡΑΚΛΕΙΟΥ"/>
    <n v="42.586111111111109"/>
    <s v="41 - 45"/>
  </r>
  <r>
    <n v="99912364"/>
    <s v="Α"/>
    <x v="3"/>
    <x v="3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7-01-01T00:00:00"/>
    <x v="0"/>
    <s v="ΔΙΕΥΘΥΝΣΗ Δ.Ε. ΗΡΑΚΛΕΙΟΥ"/>
    <n v="42.586111111111109"/>
    <s v="41 - 45"/>
  </r>
  <r>
    <n v="99912365"/>
    <s v="Θ"/>
    <x v="3"/>
    <x v="3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0"/>
    <s v="5060001"/>
    <s v="ΙΔΙΩΤΙΚΟ ΓΥΜΝΑΣΙΟ -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7-01-01T00:00:00"/>
    <x v="0"/>
    <s v="ΔΙΕΥΘΥΝΣΗ Δ.Ε. ΧΑΝΙΩΝ"/>
    <n v="42.586111111111109"/>
    <s v="41 - 45"/>
  </r>
  <r>
    <n v="99912366"/>
    <s v="Α"/>
    <x v="8"/>
    <x v="8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0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7-01-01T00:00:00"/>
    <x v="0"/>
    <s v="ΔΙΕΥΘΥΝΣΗ Δ.Ε. ΜΕΣΣΗΝΙΑΣ"/>
    <n v="42.586111111111109"/>
    <s v="41 - 45"/>
  </r>
  <r>
    <n v="99912367"/>
    <s v="Α"/>
    <x v="8"/>
    <x v="8"/>
    <m/>
    <m/>
    <s v="Γ΄"/>
    <n v="1"/>
    <s v="ΦΔ12.2/7652/28-9-2018"/>
    <d v="2018-09-03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9"/>
    <s v="ΟΧΙ"/>
    <s v="ΟΧΙ"/>
    <s v="ΟΧΙ"/>
    <s v="ΟΧΙ"/>
    <s v="ΟΧΙ"/>
    <m/>
    <d v="2018-09-03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6-12-28T00:00:00"/>
    <x v="1"/>
    <s v="ΔΙΕΥΘΥΝΣΗ Π.Ε. ΑΙΤΩΛΟΑΚΑΡΝΑΝΙΑΣ"/>
    <n v="42.597222222222221"/>
    <s v="41 - 45"/>
  </r>
  <r>
    <n v="99912368"/>
    <s v="Θ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2-27T00:00:00"/>
    <x v="0"/>
    <s v="ΔΙΕΥΘΥΝΣΗ Δ.Ε. Α΄ ΑΘΗΝΑΣ"/>
    <n v="42.6"/>
    <s v="41 - 45"/>
  </r>
  <r>
    <n v="99912369"/>
    <s v="Α"/>
    <x v="9"/>
    <x v="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2-26T00:00:00"/>
    <x v="0"/>
    <s v="ΔΙΕΥΘΥΝΣΗ Δ.Ε. ΑΝΑΤΟΛΙΚΗΣ ΑΤΤΙΚΗΣ"/>
    <n v="42.602777777777774"/>
    <s v="41 - 45"/>
  </r>
  <r>
    <n v="99912370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2-23T00:00:00"/>
    <x v="0"/>
    <s v="ΔΙΕΥΘΥΝΣΗ Δ.Ε. ΠΕΙΡΑΙΑ"/>
    <n v="42.611111111111114"/>
    <s v="41 - 45"/>
  </r>
  <r>
    <n v="99912371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12-19T00:00:00"/>
    <x v="0"/>
    <s v="ΔΙΕΥΘΥΝΣΗ Δ.Ε. ΠΕΙΡΑΙΑ"/>
    <n v="42.62222222222222"/>
    <s v="41 - 45"/>
  </r>
  <r>
    <n v="99912372"/>
    <s v="Α"/>
    <x v="8"/>
    <x v="8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9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12-18T00:00:00"/>
    <x v="0"/>
    <s v="ΔΙΕΥΘΥΝΣΗ Δ.Ε. ΛΑΡΙΣΑΣ"/>
    <n v="42.625"/>
    <s v="41 - 45"/>
  </r>
  <r>
    <n v="99912373"/>
    <s v="Θ"/>
    <x v="1"/>
    <x v="1"/>
    <m/>
    <m/>
    <s v="Β΄"/>
    <n v="4"/>
    <s v="Φ.Ι.Α.7/11473/2-5-2018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2-14T00:00:00"/>
    <x v="1"/>
    <s v="ΔΙΕΥΘΥΝΣΗ Π.Ε. ΑΝΑΤΟΛΙΚΗΣ ΑΤΤΙΚΗΣ"/>
    <n v="42.636111111111113"/>
    <s v="41 - 45"/>
  </r>
  <r>
    <n v="99912374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2-10T00:00:00"/>
    <x v="0"/>
    <s v="ΔΙΕΥΘΥΝΣΗ Δ.Ε. ΑΝΑΤΟΛΙΚΗΣ ΑΤΤΙΚΗΣ"/>
    <n v="42.647222222222226"/>
    <s v="41 - 45"/>
  </r>
  <r>
    <n v="99912375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6-12-08T00:00:00"/>
    <x v="0"/>
    <s v="ΔΙΕΥΘΥΝΣΗ Δ.Ε. ΛΑΡΙΣΑΣ"/>
    <n v="42.652777777777779"/>
    <s v="41 - 45"/>
  </r>
  <r>
    <n v="99912376"/>
    <s v="Θ"/>
    <x v="0"/>
    <x v="0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Αναπληρωτής Ιδιωτικής Εκπαίδευσης (ν. 682/1977 άρ.35, παρ.4)"/>
    <s v="Τοποθέτηση σε Ιδιωτική Εκπαίδευση"/>
    <d v="1976-12-03T00:00:00"/>
    <x v="1"/>
    <s v="ΔΙΕΥΘΥΝΣΗ Π.Ε. ΑΝΑΤ. ΘΕΣ/ΝΙΚΗΣ"/>
    <n v="42.666666666666664"/>
    <s v="41 - 45"/>
  </r>
  <r>
    <n v="99912377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12-01T00:00:00"/>
    <x v="0"/>
    <s v="ΔΙΕΥΘΥΝΣΗ Δ.Ε. ΠΕΙΡΑΙΑ"/>
    <n v="42.672222222222224"/>
    <s v="41 - 45"/>
  </r>
  <r>
    <n v="99912378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1-30T00:00:00"/>
    <x v="0"/>
    <s v="ΔΙΕΥΘΥΝΣΗ Δ.Ε. Β΄ ΑΘΗΝΑΣ"/>
    <n v="42.674999999999997"/>
    <s v="41 - 45"/>
  </r>
  <r>
    <n v="9991237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6-11-28T00:00:00"/>
    <x v="0"/>
    <s v="ΔΙΕΥΘΥΝΣΗ Δ.Ε. ΑΝΑΤ. ΘΕΣ/ΝΙΚΗΣ"/>
    <n v="42.680555555555557"/>
    <s v="41 - 45"/>
  </r>
  <r>
    <n v="99912380"/>
    <s v="Θ"/>
    <x v="10"/>
    <x v="10"/>
    <m/>
    <m/>
    <s v="Α΄"/>
    <n v="1"/>
    <s v="Φ.Ι.Α.2/8975/1-4-2014"/>
    <d v="2010-09-01T00:00:00"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0-09-01T00:00:00"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1-25T00:00:00"/>
    <x v="0"/>
    <s v="ΔΙΕΥΘΥΝΣΗ Δ.Ε. ΑΝΑΤΟΛΙΚΗΣ ΑΤΤΙΚΗΣ"/>
    <n v="42.68888888888889"/>
    <s v="41 - 45"/>
  </r>
  <r>
    <n v="99912381"/>
    <s v="Θ"/>
    <x v="2"/>
    <x v="2"/>
    <m/>
    <m/>
    <s v="Α΄"/>
    <n v="1"/>
    <s v="ΨΗ9Η9-6ΥΓ"/>
    <d v="2015-01-23T00:00:00"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s v="ΟΧΙ"/>
    <s v="ΟΧΙ"/>
    <m/>
    <d v="2015-01-27T00:00:00"/>
    <s v="Ιδιωτικά Σχολεία"/>
    <x v="2"/>
    <s v="7052213"/>
    <s v="ΙΔΙΩΤΙΚΟ ΣΥΣΤΕΓΑΖΟΜΕΝΟ ΝΗΠΙΑΓΩΓΕΙΟ - ΕΚΠΑΙΔΕΥΤΗΡΙΑ ΜΑΙΡΗ ΑΡΓΥΡΗ ΑΕΜ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1-15T00:00:00"/>
    <x v="1"/>
    <s v="ΔΙΕΥΘΥΝΣΗ Π.Ε. Β΄ ΑΘΗΝΑΣ"/>
    <n v="42.716666666666669"/>
    <s v="41 - 45"/>
  </r>
  <r>
    <n v="99912382"/>
    <s v="Α"/>
    <x v="1"/>
    <x v="1"/>
    <m/>
    <m/>
    <s v="Γ΄"/>
    <n v="1"/>
    <n v="1034"/>
    <d v="2018-09-01T00:00:00"/>
    <s v="ΤΡΙΚΑΛΩΝ (Π.Ε.) 2018"/>
    <s v="ΔΙΕΥΘΥΝΣΗ Π.Ε. ΤΡΙΚΑΛΩΝ"/>
    <s v="ΠΕΡΙΦΕΡΕΙΑΚΗ Δ/ΝΣΗ Α/ΘΜΙΑΣ ΚΑΙ Β/ΘΜΙΑΣ ΕΚΠ/ΣΗΣ ΘΕΣΣΑΛΙΑΣ"/>
    <n v="23"/>
    <s v="ΟΧΙ"/>
    <m/>
    <m/>
    <m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11-12T00:00:00"/>
    <x v="1"/>
    <s v="ΔΙΕΥΘΥΝΣΗ Π.Ε. ΤΡΙΚΑΛΩΝ"/>
    <n v="42.725000000000001"/>
    <s v="41 - 45"/>
  </r>
  <r>
    <n v="99912383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1-06T00:00:00"/>
    <x v="1"/>
    <s v="ΔΙΕΥΘΥΝΣΗ Π.Ε. Α΄ ΑΘΗΝΑΣ"/>
    <n v="42.741666666666667"/>
    <s v="41 - 45"/>
  </r>
  <r>
    <n v="99912384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1057"/>
    <s v="ΑΘΗΝΑ ΚΛΑΔΗ &amp; ΣΙΑ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1-05T00:00:00"/>
    <x v="1"/>
    <s v="ΔΙΕΥΘΥΝΣΗ Π.Ε. Α΄ ΑΘΗΝΑΣ"/>
    <n v="42.744444444444447"/>
    <s v="41 - 45"/>
  </r>
  <r>
    <n v="99912385"/>
    <s v="Θ"/>
    <x v="8"/>
    <x v="8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8"/>
    <s v="ΙΔΙΩΤΙΚΟ ΔΗΜΟΤΙΚ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0-28T00:00:00"/>
    <x v="1"/>
    <s v="ΔΙΕΥΘΥΝΣΗ Π.Ε. Α΄ ΑΘΗΝΑΣ"/>
    <n v="42.766666666666666"/>
    <s v="41 - 45"/>
  </r>
  <r>
    <n v="99912386"/>
    <s v="Θ"/>
    <x v="6"/>
    <x v="6"/>
    <m/>
    <m/>
    <s v="Γ΄"/>
    <n v="1"/>
    <s v="4284/18-11-2011"/>
    <d v="2018-09-01T00:00:00"/>
    <s v="ΙΩΑΝΝΙΝΩΝ (Π.Ε.) 2018"/>
    <s v="ΔΙΕΥΘΥΝΣΗ Π.Ε. ΙΩΑΝΝΙΝΩΝ"/>
    <s v="ΠΕΡΙΦΕΡΕΙΑΚΗ Δ/ΝΣΗ Α/ΘΜΙΑΣ ΚΑΙ Β/ΘΜΙΑΣ ΕΚΠ/ΣΗΣ ΗΠΕΙΡΟΥ"/>
    <n v="14"/>
    <s v="ΟΧΙ"/>
    <s v="ΟΧΙ"/>
    <s v="ΟΧΙ"/>
    <s v="ΟΧΙ"/>
    <s v="ΟΧΙ"/>
    <m/>
    <d v="2018-09-01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6-10-27T00:00:00"/>
    <x v="1"/>
    <s v="ΔΙΕΥΘΥΝΣΗ Π.Ε. ΙΩΑΝΝΙΝΩΝ"/>
    <n v="42.769444444444446"/>
    <s v="41 - 45"/>
  </r>
  <r>
    <n v="99912387"/>
    <s v="Θ"/>
    <x v="10"/>
    <x v="1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9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10-25T00:00:00"/>
    <x v="0"/>
    <s v="ΔΙΕΥΘΥΝΣΗ Δ.Ε. ΛΑΡΙΣΑΣ"/>
    <n v="42.774999999999999"/>
    <s v="41 - 45"/>
  </r>
  <r>
    <n v="9991238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0-24T00:00:00"/>
    <x v="0"/>
    <s v="ΔΙΕΥΘΥΝΣΗ Δ.Ε. Β΄ ΑΘΗΝΑΣ"/>
    <n v="42.777777777777779"/>
    <s v="41 - 45"/>
  </r>
  <r>
    <n v="99912389"/>
    <s v="Θ"/>
    <x v="0"/>
    <x v="0"/>
    <m/>
    <m/>
    <s v="Γ΄"/>
    <n v="1"/>
    <s v="16055/01-09-2018"/>
    <d v="2018-09-01T00:00:00"/>
    <s v="ΛΑΡΙΣΑΣ (Δ.Ε.) 2018"/>
    <s v="ΔΙΕΥΘΥΝΣΗ Δ.Ε. ΛΑΡΙΣΑΣ"/>
    <s v="ΠΕΡΙΦΕΡΕΙΑΚΗ Δ/ΝΣΗ Α/ΘΜΙΑΣ ΚΑΙ Β/ΘΜΙΑΣ ΕΚΠ/ΣΗΣ ΘΕΣΣΑΛΙΑΣ"/>
    <n v="19"/>
    <s v="ΟΧΙ"/>
    <s v="ΟΧΙ"/>
    <s v="ΟΧΙ"/>
    <s v="ΟΧΙ"/>
    <s v="ΟΧΙ"/>
    <m/>
    <d v="2018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10-22T00:00:00"/>
    <x v="0"/>
    <s v="ΔΙΕΥΘΥΝΣΗ Δ.Ε. ΛΑΡΙΣΑΣ"/>
    <n v="42.783333333333331"/>
    <s v="41 - 45"/>
  </r>
  <r>
    <n v="99912390"/>
    <s v="Θ"/>
    <x v="6"/>
    <x v="6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0-21T00:00:00"/>
    <x v="1"/>
    <s v="ΔΙΕΥΘΥΝΣΗ Π.Ε. Β΄ ΑΘΗΝΑΣ"/>
    <n v="42.786111111111111"/>
    <s v="41 - 45"/>
  </r>
  <r>
    <n v="99912391"/>
    <s v="Θ"/>
    <x v="7"/>
    <x v="7"/>
    <m/>
    <m/>
    <s v="Α΄"/>
    <n v="10"/>
    <s v="Φ.Ι.Α.1/23423/15-0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10-20T00:00:00"/>
    <x v="1"/>
    <s v="ΔΙΕΥΘΥΝΣΗ Π.Ε. ΑΝΑΤΟΛΙΚΗΣ ΑΤΤΙΚΗΣ"/>
    <n v="42.788888888888891"/>
    <s v="41 - 45"/>
  </r>
  <r>
    <n v="99912392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0-18T00:00:00"/>
    <x v="1"/>
    <s v="ΔΙΕΥΘΥΝΣΗ Π.Ε. ΑΝΑΤΟΛΙΚΗΣ ΑΤΤΙΚΗΣ"/>
    <n v="42.794444444444444"/>
    <s v="41 - 45"/>
  </r>
  <r>
    <n v="99912393"/>
    <s v="Α"/>
    <x v="4"/>
    <x v="4"/>
    <m/>
    <m/>
    <s v="Γ΄"/>
    <n v="1"/>
    <s v="9416/Φ17.2/01-10-2018"/>
    <d v="2018-09-11T00:00:00"/>
    <s v="ΞΑΝΘΗΣ (Δ.Ε.) 2018"/>
    <s v="ΔΙΕΥΘΥΝΣΗ Δ.Ε. ΞΑΝΘΗΣ"/>
    <s v="ΠΕΡΙΦΕΡΕΙΑΚΗ Δ/ΝΣΗ Α/ΘΜΙΑΣ ΚΑΙ Β/ΘΜΙΑΣ ΕΚΠ/ΣΗΣ ΑΝ. ΜΑΚΕΔΟΝΙΑΣ ΚΑΙ ΘΡΑΚΗΣ"/>
    <n v="11"/>
    <s v="ΟΧΙ"/>
    <s v="ΟΧΙ"/>
    <s v="ΟΧΙ"/>
    <m/>
    <s v="ΟΧΙ"/>
    <m/>
    <d v="2018-09-11T00:00:00"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76-10-10T00:00:00"/>
    <x v="0"/>
    <s v="ΔΙΕΥΘΥΝΣΗ Δ.Ε. ΞΑΝΘΗΣ"/>
    <n v="42.81666666666667"/>
    <s v="41 - 45"/>
  </r>
  <r>
    <n v="99912394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10-04T00:00:00"/>
    <x v="0"/>
    <s v="ΔΙΕΥΘΥΝΣΗ Δ.Ε. Γ΄ ΑΘΗΝΑΣ"/>
    <n v="42.833333333333336"/>
    <s v="41 - 45"/>
  </r>
  <r>
    <n v="99912395"/>
    <s v="Θ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9-30T00:00:00"/>
    <x v="0"/>
    <s v="ΔΙΕΥΘΥΝΣΗ Δ.Ε. Β΄ ΑΘΗΝΑΣ"/>
    <n v="42.844444444444441"/>
    <s v="41 - 45"/>
  </r>
  <r>
    <n v="99912396"/>
    <s v="Θ"/>
    <x v="6"/>
    <x v="6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9-18T00:00:00"/>
    <x v="0"/>
    <s v="ΔΙΕΥΘΥΝΣΗ Δ.Ε. ΑΝΑΤ. ΘΕΣ/ΝΙΚΗΣ"/>
    <n v="42.87777777777778"/>
    <s v="41 - 45"/>
  </r>
  <r>
    <n v="99912397"/>
    <s v="Α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09-16T00:00:00"/>
    <x v="0"/>
    <s v="ΔΙΕΥΘΥΝΣΗ Δ.Ε. Γ΄ ΑΘΗΝΑΣ"/>
    <n v="42.883333333333333"/>
    <s v="41 - 45"/>
  </r>
  <r>
    <n v="99912398"/>
    <s v="Θ"/>
    <x v="2"/>
    <x v="2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4089"/>
    <s v="ΑΙΚΑΤΕΡΙΝΗ ΠΑΝΗΓΥΡΑΚΗ ΚΑΙ ΣΙΑ Ο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9-15T00:00:00"/>
    <x v="1"/>
    <s v="ΔΙΕΥΘΥΝΣΗ Π.Ε. Δ΄ ΑΘΗΝΑΣ"/>
    <n v="42.886111111111113"/>
    <s v="41 - 45"/>
  </r>
  <r>
    <n v="99912399"/>
    <s v="Θ"/>
    <x v="6"/>
    <x v="6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6"/>
    <s v="ΟΧΙ"/>
    <s v="ΟΧΙ"/>
    <s v="ΟΧΙ"/>
    <m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6-09-14T00:00:00"/>
    <x v="1"/>
    <s v="ΔΙΕΥΘΥΝΣΗ Π.Ε. ΚΥΚΛΑΔΩΝ"/>
    <n v="42.888888888888886"/>
    <s v="41 - 45"/>
  </r>
  <r>
    <n v="99912400"/>
    <s v="Θ"/>
    <x v="0"/>
    <x v="0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9-12T00:00:00"/>
    <x v="1"/>
    <s v="ΔΙΕΥΘΥΝΣΗ Π.Ε. ΔΥΤ. ΘΕΣ/ΝΙΚΗΣ"/>
    <n v="42.894444444444446"/>
    <s v="41 - 45"/>
  </r>
  <r>
    <n v="99912401"/>
    <s v="Θ"/>
    <x v="1"/>
    <x v="1"/>
    <m/>
    <m/>
    <s v="Γ΄"/>
    <n v="1"/>
    <s v="Φ 17.2/304/13919/7-11-2013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9-10T00:00:00"/>
    <x v="1"/>
    <s v="ΔΙΕΥΘΥΝΣΗ Π.Ε. Β΄ ΑΘΗΝΑΣ"/>
    <n v="42.9"/>
    <s v="41 - 45"/>
  </r>
  <r>
    <n v="99912402"/>
    <s v="Θ"/>
    <x v="6"/>
    <x v="6"/>
    <m/>
    <m/>
    <s v="Β΄"/>
    <n v="3"/>
    <s v="Φ.Ι.Α.1/736/15-1-2013"/>
    <d v="2012-09-01T00:00:00"/>
    <s v="Α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s v="ΟΧΙ"/>
    <s v="ΟΧΙ"/>
    <m/>
    <d v="2012-09-01T00:00:00"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9-09T00:00:00"/>
    <x v="0"/>
    <s v="ΔΙΕΥΘΥΝΣΗ Δ.Ε. ΑΝΑΤΟΛΙΚΗΣ ΑΤΤΙΚΗΣ"/>
    <n v="42.902777777777779"/>
    <s v="41 - 45"/>
  </r>
  <r>
    <n v="99912403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9-08T00:00:00"/>
    <x v="0"/>
    <s v="ΔΙΕΥΘΥΝΣΗ Δ.Ε. Δ΄ ΑΘΗΝΑΣ"/>
    <n v="42.905555555555559"/>
    <s v="41 - 45"/>
  </r>
  <r>
    <n v="99912404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9-01T00:00:00"/>
    <x v="0"/>
    <s v="ΔΙΕΥΘΥΝΣΗ Δ.Ε. Β΄ ΑΘΗΝΑΣ"/>
    <n v="42.924999999999997"/>
    <s v="41 - 45"/>
  </r>
  <r>
    <n v="99912405"/>
    <s v="Θ"/>
    <x v="3"/>
    <x v="3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m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6-08-18T00:00:00"/>
    <x v="0"/>
    <s v="ΔΙΕΥΘΥΝΣΗ Δ.Ε. ΔΩΔΕΚΑΝΗΣΟΥ"/>
    <n v="42.963888888888889"/>
    <s v="41 - 45"/>
  </r>
  <r>
    <n v="99912406"/>
    <s v="Α"/>
    <x v="7"/>
    <x v="7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8-16T00:00:00"/>
    <x v="0"/>
    <s v="ΔΙΕΥΘΥΝΣΗ Δ.Ε. Γ΄ ΑΘΗΝΑΣ"/>
    <n v="42.969444444444441"/>
    <s v="41 - 45"/>
  </r>
  <r>
    <n v="99912407"/>
    <s v="Θ"/>
    <x v="10"/>
    <x v="10"/>
    <m/>
    <m/>
    <s v="Γ΄"/>
    <n v="4"/>
    <d v="2006-09-01T00:00:00"/>
    <d v="2018-09-01T00:00:00"/>
    <s v="Α΄ ΑΘΗΝΑΣ (Δ.Ε.) 2018"/>
    <s v="ΔΙΕΥΘΥΝΣΗ Δ.Ε. Α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8-13T00:00:00"/>
    <x v="0"/>
    <s v="ΔΙΕΥΘΥΝΣΗ Δ.Ε. Α΄ ΑΘΗΝΑΣ"/>
    <n v="42.977777777777774"/>
    <s v="41 - 45"/>
  </r>
  <r>
    <n v="99912408"/>
    <s v="Θ"/>
    <x v="4"/>
    <x v="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8-11T00:00:00"/>
    <x v="0"/>
    <s v="ΔΙΕΥΘΥΝΣΗ Δ.Ε. ΠΕΙΡΑΙΑ"/>
    <n v="42.983333333333334"/>
    <s v="41 - 45"/>
  </r>
  <r>
    <n v="99912409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8-09T00:00:00"/>
    <x v="0"/>
    <s v="ΔΙΕΥΘΥΝΣΗ Δ.Ε. ΑΝΑΤΟΛΙΚΗΣ ΑΤΤΙΚΗΣ"/>
    <n v="42.988888888888887"/>
    <s v="41 - 45"/>
  </r>
  <r>
    <n v="99912410"/>
    <s v="Θ"/>
    <x v="7"/>
    <x v="7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3"/>
    <s v="ΟΧΙ"/>
    <s v="ΟΧΙ"/>
    <s v="ΟΧΙ"/>
    <m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8-05T00:00:00"/>
    <x v="0"/>
    <s v="ΔΙΕΥΘΥΝΣΗ Δ.Ε. Δ΄ ΑΘΗΝΑΣ"/>
    <n v="43"/>
    <s v="41 - 45"/>
  </r>
  <r>
    <n v="99912411"/>
    <s v="Θ"/>
    <x v="0"/>
    <x v="0"/>
    <m/>
    <m/>
    <s v="Γ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8-04T00:00:00"/>
    <x v="0"/>
    <s v="ΔΙΕΥΘΥΝΣΗ Δ.Ε. Α΄ ΑΘΗΝΑΣ"/>
    <n v="43.00277777777778"/>
    <s v="41 - 45"/>
  </r>
  <r>
    <n v="99912412"/>
    <s v="Α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7-30T00:00:00"/>
    <x v="0"/>
    <s v="ΔΙΕΥΘΥΝΣΗ Δ.Ε. ΠΕΙΡΑΙΑ"/>
    <n v="43.016666666666666"/>
    <s v="41 - 45"/>
  </r>
  <r>
    <n v="99912413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7-26T00:00:00"/>
    <x v="0"/>
    <s v="ΔΙΕΥΘΥΝΣΗ Δ.Ε. Δ΄ ΑΘΗΝΑΣ"/>
    <n v="43.027777777777779"/>
    <s v="41 - 45"/>
  </r>
  <r>
    <n v="99912414"/>
    <s v="Θ"/>
    <x v="2"/>
    <x v="2"/>
    <m/>
    <m/>
    <s v="Γ΄"/>
    <n v="1"/>
    <s v="3558/16-9-20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2"/>
    <s v="7052041"/>
    <s v="ΙΔΙΩΤΙΚΟ ΝΗΠΙΑΓΩΓΕΙ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7-26T00:00:00"/>
    <x v="1"/>
    <s v="ΔΙΕΥΘΥΝΣΗ Π.Ε. Β΄ ΑΘΗΝΑΣ"/>
    <n v="43.027777777777779"/>
    <s v="41 - 45"/>
  </r>
  <r>
    <n v="99912415"/>
    <s v="Θ"/>
    <x v="8"/>
    <x v="8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5"/>
    <s v="ΟΧΙ"/>
    <s v="ΟΧΙ"/>
    <s v="ΟΧΙ"/>
    <s v="ΟΧΙ"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6-07-22T00:00:00"/>
    <x v="1"/>
    <s v="ΔΙΕΥΘΥΝΣΗ Π.Ε. ΚΥΚΛΑΔΩΝ"/>
    <n v="43.038888888888891"/>
    <s v="41 - 45"/>
  </r>
  <r>
    <n v="99912416"/>
    <s v="Θ"/>
    <x v="18"/>
    <x v="18"/>
    <m/>
    <m/>
    <s v="Γ΄"/>
    <n v="1"/>
    <m/>
    <m/>
    <s v="ΜΕΣΣΗΝΙΑΣ (Π.Ε.) 2018"/>
    <s v="ΔΙΕΥΘΥΝΣΗ Π.Ε. ΜΕΣΣΗΝΙΑΣ"/>
    <s v="ΠΕΡΙΦΕΡΕΙΑΚΗ Δ/ΝΣΗ Α/ΘΜΙΑΣ ΚΑΙ Β/ΘΜΙΑΣ ΕΚΠ/ΣΗΣ ΠΕΛΟΠΟΝΝΗΣΟΥ"/>
    <n v="19"/>
    <s v="ΟΧΙ"/>
    <s v="ΟΧΙ"/>
    <s v="ΟΧΙ"/>
    <s v="ΟΧΙ"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6-07-20T00:00:00"/>
    <x v="1"/>
    <s v="ΔΙΕΥΘΥΝΣΗ Π.Ε. ΜΕΣΣΗΝΙΑΣ"/>
    <n v="43.044444444444444"/>
    <s v="41 - 45"/>
  </r>
  <r>
    <n v="99912417"/>
    <s v="Θ"/>
    <x v="6"/>
    <x v="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7-17T00:00:00"/>
    <x v="0"/>
    <s v="ΔΙΕΥΘΥΝΣΗ Δ.Ε. Β΄ ΑΘΗΝΑΣ"/>
    <n v="43.052777777777777"/>
    <s v="41 - 45"/>
  </r>
  <r>
    <n v="9991241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7-16T00:00:00"/>
    <x v="0"/>
    <s v="ΔΙΕΥΘΥΝΣΗ Δ.Ε. Β΄ ΑΘΗΝΑΣ"/>
    <n v="43.055555555555557"/>
    <s v="41 - 45"/>
  </r>
  <r>
    <n v="99912419"/>
    <s v="Α"/>
    <x v="36"/>
    <x v="3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7-12T00:00:00"/>
    <x v="0"/>
    <s v="ΔΙΕΥΘΥΝΣΗ Δ.Ε. ΑΝΑΤ. ΘΕΣ/ΝΙΚΗΣ"/>
    <n v="43.06666666666667"/>
    <s v="41 - 45"/>
  </r>
  <r>
    <n v="99912420"/>
    <s v="Θ"/>
    <x v="0"/>
    <x v="0"/>
    <m/>
    <m/>
    <s v="Α΄"/>
    <n v="7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7-11T00:00:00"/>
    <x v="1"/>
    <s v="ΔΙΕΥΘΥΝΣΗ Π.Ε. ΠΕΙΡΑΙΑ"/>
    <n v="43.069444444444443"/>
    <s v="41 - 45"/>
  </r>
  <r>
    <n v="99912421"/>
    <s v="Θ"/>
    <x v="7"/>
    <x v="7"/>
    <m/>
    <m/>
    <s v="Γ΄"/>
    <n v="1"/>
    <n v="19613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s v="ΟΧΙ"/>
    <s v="ΟΧΙ"/>
    <m/>
    <d v="2018-11-08T00:00:00"/>
    <s v="Ιδιωτικά Σχολεία"/>
    <x v="0"/>
    <s v="0560042"/>
    <s v="ST. LAWRENCE COLLEGE (ΓΥΜΝΑΣΙΟ)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7-06T00:00:00"/>
    <x v="0"/>
    <s v="ΔΙΕΥΘΥΝΣΗ Δ.Ε. ΑΝΑΤΟΛΙΚΗΣ ΑΤΤΙΚΗΣ"/>
    <n v="43.083333333333336"/>
    <s v="41 - 45"/>
  </r>
  <r>
    <n v="99912422"/>
    <s v="Θ"/>
    <x v="2"/>
    <x v="2"/>
    <m/>
    <m/>
    <s v="Γ΄"/>
    <n v="1"/>
    <d v="200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7-04T00:00:00"/>
    <x v="1"/>
    <s v="ΔΙΕΥΘΥΝΣΗ Π.Ε. ΑΝΑΤ. ΘΕΣ/ΝΙΚΗΣ"/>
    <n v="43.088888888888889"/>
    <s v="41 - 45"/>
  </r>
  <r>
    <n v="99912423"/>
    <s v="Θ"/>
    <x v="3"/>
    <x v="3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7-03T00:00:00"/>
    <x v="0"/>
    <s v="ΔΙΕΥΘΥΝΣΗ Δ.Ε. ΑΝΑΤ. ΘΕΣ/ΝΙΚΗΣ"/>
    <n v="43.091666666666669"/>
    <s v="41 - 45"/>
  </r>
  <r>
    <n v="99912424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6-28T00:00:00"/>
    <x v="1"/>
    <s v="ΔΙΕΥΘΥΝΣΗ Π.Ε. Δ΄ ΑΘΗΝΑΣ"/>
    <n v="43.105555555555554"/>
    <s v="41 - 45"/>
  </r>
  <r>
    <n v="99912425"/>
    <s v="Α"/>
    <x v="5"/>
    <x v="5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6-23T00:00:00"/>
    <x v="0"/>
    <s v="ΔΙΕΥΘΥΝΣΗ Δ.Ε. ΠΕΙΡΑΙΑ"/>
    <n v="43.119444444444447"/>
    <s v="41 - 45"/>
  </r>
  <r>
    <n v="99912426"/>
    <s v="Θ"/>
    <x v="0"/>
    <x v="0"/>
    <m/>
    <m/>
    <s v="Α΄"/>
    <n v="7"/>
    <s v="5044/16-09-2008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2"/>
    <s v="ΟΧΙ"/>
    <s v="ΟΧΙ"/>
    <s v="ΟΧΙ"/>
    <s v="ΟΧΙ"/>
    <s v="ΟΧΙ"/>
    <m/>
    <d v="2018-09-01T00:00:00"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6-06-18T00:00:00"/>
    <x v="0"/>
    <s v="ΔΙΕΥΘΥΝΣΗ Δ.Ε. ΞΑΝΘΗΣ"/>
    <n v="43.133333333333333"/>
    <s v="41 - 45"/>
  </r>
  <r>
    <n v="99912427"/>
    <s v="Θ"/>
    <x v="10"/>
    <x v="10"/>
    <m/>
    <m/>
    <s v="Γ΄"/>
    <n v="1"/>
    <n v="10851"/>
    <d v="2018-09-07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4"/>
    <s v="ΟΧΙ"/>
    <m/>
    <m/>
    <m/>
    <s v="ΟΧΙ"/>
    <m/>
    <d v="2018-09-07T00:00:00"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6-06-18T00:00:00"/>
    <x v="1"/>
    <s v="ΔΙΕΥΘΥΝΣΗ Π.Ε. ΔΥΤ. ΘΕΣ/ΝΙΚΗΣ"/>
    <n v="43.133333333333333"/>
    <s v="41 - 45"/>
  </r>
  <r>
    <n v="99912428"/>
    <s v="Θ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0"/>
    <s v="0645053"/>
    <s v="ΙΔΙΩΤΙΚΟ ΓΥΜΝΑΣΙΟ &quot;ΑΝΑΓΕΝΝΗΣΗ IKE&quot;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6-17T00:00:00"/>
    <x v="0"/>
    <s v="ΔΙΕΥΘΥΝΣΗ Δ.Ε. ΑΧΑΪΑΣ"/>
    <n v="43.136111111111113"/>
    <s v="41 - 45"/>
  </r>
  <r>
    <n v="99912429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6-16T00:00:00"/>
    <x v="0"/>
    <s v="ΔΙΕΥΘΥΝΣΗ Δ.Ε. Β΄ ΑΘΗΝΑΣ"/>
    <n v="43.138888888888886"/>
    <s v="41 - 45"/>
  </r>
  <r>
    <n v="99912430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6-15T00:00:00"/>
    <x v="0"/>
    <s v="ΔΙΕΥΘΥΝΣΗ Δ.Ε. Β΄ ΑΘΗΝΑΣ"/>
    <n v="43.141666666666666"/>
    <s v="41 - 45"/>
  </r>
  <r>
    <n v="99912431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6-14T00:00:00"/>
    <x v="0"/>
    <s v="ΔΙΕΥΘΥΝΣΗ Δ.Ε. ΠΕΙΡΑΙΑ"/>
    <n v="43.144444444444446"/>
    <s v="41 - 45"/>
  </r>
  <r>
    <n v="99912432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6-11T00:00:00"/>
    <x v="0"/>
    <s v="ΔΙΕΥΘΥΝΣΗ Δ.Ε. Β΄ ΑΘΗΝΑΣ"/>
    <n v="43.152777777777779"/>
    <s v="41 - 45"/>
  </r>
  <r>
    <n v="99912433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6-08T00:00:00"/>
    <x v="0"/>
    <s v="ΔΙΕΥΘΥΝΣΗ Δ.Ε. ΑΝΑΤ. ΘΕΣ/ΝΙΚΗΣ"/>
    <n v="43.161111111111111"/>
    <s v="41 - 45"/>
  </r>
  <r>
    <n v="99912434"/>
    <s v="Θ"/>
    <x v="7"/>
    <x v="7"/>
    <m/>
    <m/>
    <s v="Γ΄"/>
    <n v="1"/>
    <n v="232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6-03T00:00:00"/>
    <x v="1"/>
    <s v="ΔΙΕΥΘΥΝΣΗ Π.Ε. Δ΄ ΑΘΗΝΑΣ"/>
    <n v="43.174999999999997"/>
    <s v="41 - 45"/>
  </r>
  <r>
    <n v="99912435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5-27T00:00:00"/>
    <x v="0"/>
    <s v="ΔΙΕΥΘΥΝΣΗ Δ.Ε. Β΄ ΑΘΗΝΑΣ"/>
    <n v="43.194444444444443"/>
    <s v="41 - 45"/>
  </r>
  <r>
    <n v="99912436"/>
    <s v="Θ"/>
    <x v="4"/>
    <x v="4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5-27T00:00:00"/>
    <x v="0"/>
    <s v="ΔΙΕΥΘΥΝΣΗ Δ.Ε. ΑΙΤΩΛΟΑΚΑΡΝΑΝΙΑΣ"/>
    <n v="43.194444444444443"/>
    <s v="41 - 45"/>
  </r>
  <r>
    <n v="99912437"/>
    <s v="Α"/>
    <x v="34"/>
    <x v="3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5-27T00:00:00"/>
    <x v="0"/>
    <s v="ΔΙΕΥΘΥΝΣΗ Δ.Ε. ΑΝΑΤ. ΘΕΣ/ΝΙΚΗΣ"/>
    <n v="43.194444444444443"/>
    <s v="41 - 45"/>
  </r>
  <r>
    <n v="99912438"/>
    <s v="Α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5-26T00:00:00"/>
    <x v="1"/>
    <s v="ΔΙΕΥΘΥΝΣΗ Π.Ε. ΑΝΑΤΟΛΙΚΗΣ ΑΤΤΙΚΗΣ"/>
    <n v="43.197222222222223"/>
    <s v="41 - 45"/>
  </r>
  <r>
    <n v="99912439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5-21T00:00:00"/>
    <x v="0"/>
    <s v="ΔΙΕΥΘΥΝΣΗ Δ.Ε. Β΄ ΑΘΗΝΑΣ"/>
    <n v="43.211111111111109"/>
    <s v="41 - 45"/>
  </r>
  <r>
    <n v="99912440"/>
    <s v="Θ"/>
    <x v="2"/>
    <x v="2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85"/>
    <s v="ΙΔΙΩΤΙΚΟ ΝΗΠΙΑΓΩΓΕΙΟ - ΠΡΟΤΥΠΟ ΠΑΙΔΙΚΟ ΚΕΝΤΡΟ ΝΗΠΙΑΚΟΣ ΚΗΠ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6-05-18T00:00:00"/>
    <x v="1"/>
    <s v="ΔΙΕΥΘΥΝΣΗ Π.Ε. ΑΝΑΤ. ΘΕΣ/ΝΙΚΗΣ"/>
    <n v="43.219444444444441"/>
    <s v="41 - 45"/>
  </r>
  <r>
    <n v="99912441"/>
    <s v="Θ"/>
    <x v="6"/>
    <x v="6"/>
    <m/>
    <m/>
    <s v="Γ΄"/>
    <n v="1"/>
    <s v="604Ε4653ΠΣ-ΒΔΚ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5-14T00:00:00"/>
    <x v="0"/>
    <s v="ΔΙΕΥΘΥΝΣΗ Δ.Ε. Β΄ ΑΘΗΝΑΣ"/>
    <n v="43.230555555555554"/>
    <s v="41 - 45"/>
  </r>
  <r>
    <n v="99912442"/>
    <s v="Θ"/>
    <x v="8"/>
    <x v="8"/>
    <m/>
    <m/>
    <s v="Β΄"/>
    <n v="4"/>
    <s v="5606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5-13T00:00:00"/>
    <x v="1"/>
    <s v="ΔΙΕΥΘΥΝΣΗ Π.Ε. ΑΝΑΤΟΛΙΚΗΣ ΑΤΤΙΚΗΣ"/>
    <n v="43.233333333333334"/>
    <s v="41 - 45"/>
  </r>
  <r>
    <n v="99912443"/>
    <s v="Α"/>
    <x v="15"/>
    <x v="1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5-10T00:00:00"/>
    <x v="0"/>
    <s v="ΔΙΕΥΘΥΝΣΗ Δ.Ε. Γ΄ ΑΘΗΝΑΣ"/>
    <n v="43.241666666666667"/>
    <s v="41 - 45"/>
  </r>
  <r>
    <n v="99912444"/>
    <s v="Θ"/>
    <x v="10"/>
    <x v="1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5-07T00:00:00"/>
    <x v="1"/>
    <s v="ΔΙΕΥΘΥΝΣΗ Π.Ε. Β΄ ΑΘΗΝΑΣ"/>
    <n v="43.25"/>
    <s v="41 - 45"/>
  </r>
  <r>
    <n v="99912445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05-05T00:00:00"/>
    <x v="0"/>
    <s v="ΔΙΕΥΘΥΝΣΗ Δ.Ε. ΑΝΑΤΟΛΙΚΗΣ ΑΤΤΙΚΗΣ"/>
    <n v="43.255555555555553"/>
    <s v="41 - 45"/>
  </r>
  <r>
    <n v="99912446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4-25T00:00:00"/>
    <x v="1"/>
    <s v="ΔΙΕΥΘΥΝΣΗ Π.Ε. ΑΝΑΤΟΛΙΚΗΣ ΑΤΤΙΚΗΣ"/>
    <n v="43.283333333333331"/>
    <s v="41 - 45"/>
  </r>
  <r>
    <n v="99912447"/>
    <s v="Θ"/>
    <x v="18"/>
    <x v="18"/>
    <m/>
    <m/>
    <s v="Α΄"/>
    <n v="3"/>
    <m/>
    <m/>
    <s v="Α΄ ΜΑΓΝΗΣΙΑΣ (Π.Ε.) 2018"/>
    <s v="ΔΙΕΥΘΥΝΣΗ Π.Ε. ΜΑΓΝΗΣΙΑΣ"/>
    <s v="ΠΕΡΙΦΕΡΕΙΑΚΗ Δ/ΝΣΗ Α/ΘΜΙΑΣ ΚΑΙ Β/ΘΜΙΑΣ ΕΚΠ/ΣΗΣ ΘΕΣΣΑΛΙΑΣ"/>
    <n v="12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04-11T00:00:00"/>
    <x v="1"/>
    <s v="ΔΙΕΥΘΥΝΣΗ Π.Ε. ΜΑΓΝΗΣΙΑΣ"/>
    <n v="43.322222222222223"/>
    <s v="41 - 45"/>
  </r>
  <r>
    <n v="99912448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00"/>
    <s v="ΙΔΙΩΤΙΚΟ ΔΗΜΟΤΙΚΟ ΒΑΡΥΜΠΟΜΠΗ - ΜΟΝΤΕΣΣΟΡΙΑΝΑ ΣΧΟΛΕΙΑ"/>
    <s v="Β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4-07T00:00:00"/>
    <x v="1"/>
    <s v="ΔΙΕΥΘΥΝΣΗ Π.Ε. ΑΝΑΤΟΛΙΚΗΣ ΑΤΤΙΚΗΣ"/>
    <n v="43.333333333333336"/>
    <s v="41 - 45"/>
  </r>
  <r>
    <n v="99912449"/>
    <s v="Α"/>
    <x v="1"/>
    <x v="1"/>
    <m/>
    <m/>
    <s v="Β΄"/>
    <n v="6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4-04T00:00:00"/>
    <x v="1"/>
    <s v="ΔΙΕΥΘΥΝΣΗ Π.Ε. Δ΄ ΑΘΗΝΑΣ"/>
    <n v="43.341666666666669"/>
    <s v="41 - 45"/>
  </r>
  <r>
    <n v="99912450"/>
    <s v="Θ"/>
    <x v="19"/>
    <x v="19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6-04-04T00:00:00"/>
    <x v="0"/>
    <s v="ΔΙΕΥΘΥΝΣΗ Δ.Ε. ΙΩΑΝΝΙΝΩΝ"/>
    <n v="43.341666666666669"/>
    <s v="41 - 45"/>
  </r>
  <r>
    <n v="99912451"/>
    <s v="Θ"/>
    <x v="18"/>
    <x v="18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4-01T00:00:00"/>
    <x v="0"/>
    <s v="ΔΙΕΥΘΥΝΣΗ Δ.Ε. Α΄ ΑΘΗΝΑΣ"/>
    <n v="43.35"/>
    <s v="41 - 45"/>
  </r>
  <r>
    <n v="99912452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4-01T00:00:00"/>
    <x v="0"/>
    <s v="ΔΙΕΥΘΥΝΣΗ Δ.Ε. ΠΕΙΡΑΙΑ"/>
    <n v="43.35"/>
    <s v="41 - 45"/>
  </r>
  <r>
    <n v="99912453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3-31T00:00:00"/>
    <x v="0"/>
    <s v="ΔΙΕΥΘΥΝΣΗ Δ.Ε. Β΄ ΑΘΗΝΑΣ"/>
    <n v="43.352777777777774"/>
    <s v="41 - 45"/>
  </r>
  <r>
    <n v="99912454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28T00:00:00"/>
    <x v="0"/>
    <s v="ΔΙΕΥΘΥΝΣΗ Δ.Ε. Β΄ ΑΘΗΝΑΣ"/>
    <n v="43.361111111111114"/>
    <s v="41 - 45"/>
  </r>
  <r>
    <n v="99912455"/>
    <s v="Θ"/>
    <x v="0"/>
    <x v="0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27T00:00:00"/>
    <x v="1"/>
    <s v="ΔΙΕΥΘΥΝΣΗ Π.Ε. Α΄ ΑΘΗΝΑΣ"/>
    <n v="43.363888888888887"/>
    <s v="41 - 45"/>
  </r>
  <r>
    <n v="99912456"/>
    <s v="Α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3-27T00:00:00"/>
    <x v="1"/>
    <s v="ΔΙΕΥΘΥΝΣΗ Π.Ε. ΑΝΑΤ. ΘΕΣ/ΝΙΚΗΣ"/>
    <n v="43.363888888888887"/>
    <s v="41 - 45"/>
  </r>
  <r>
    <n v="99912457"/>
    <s v="Θ"/>
    <x v="6"/>
    <x v="6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23T00:00:00"/>
    <x v="1"/>
    <s v="ΔΙΕΥΘΥΝΣΗ Π.Ε. ΠΕΙΡΑΙΑ"/>
    <n v="43.375"/>
    <s v="41 - 45"/>
  </r>
  <r>
    <n v="99912458"/>
    <s v="Α"/>
    <x v="3"/>
    <x v="3"/>
    <m/>
    <m/>
    <s v="Γ΄"/>
    <n v="1"/>
    <s v="13128/Φ17.2"/>
    <d v="2018-10-03T00:00:00"/>
    <s v="ΞΑΝΘΗΣ (Δ.Ε.) 2018"/>
    <s v="ΔΙΕΥΘΥΝΣΗ Δ.Ε. ΞΑΝΘΗΣ"/>
    <s v="ΠΕΡΙΦΕΡΕΙΑΚΗ Δ/ΝΣΗ Α/ΘΜΙΑΣ ΚΑΙ Β/ΘΜΙΑΣ ΕΚΠ/ΣΗΣ ΑΝ. ΜΑΚΕΔΟΝΙΑΣ ΚΑΙ ΘΡΑΚΗΣ"/>
    <n v="14"/>
    <s v="ΟΧΙ"/>
    <s v="ΟΧΙ"/>
    <s v="ΟΧΙ"/>
    <s v="ΟΧΙ"/>
    <s v="ΟΧΙ"/>
    <m/>
    <d v="2018-10-03T00:00:00"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Αναπληρωτής Ιδιωτικής Εκπαίδευσης (ν. 682/1977 άρ.35, παρ.4)"/>
    <s v="Τοποθέτηση σε Ιδιωτική Εκπαίδευση"/>
    <d v="1976-03-20T00:00:00"/>
    <x v="0"/>
    <s v="ΔΙΕΥΘΥΝΣΗ Δ.Ε. ΞΑΝΘΗΣ"/>
    <n v="43.383333333333333"/>
    <s v="41 - 45"/>
  </r>
  <r>
    <n v="99912459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07T00:00:00"/>
    <x v="0"/>
    <s v="ΔΙΕΥΘΥΝΣΗ Δ.Ε. Β΄ ΑΘΗΝΑΣ"/>
    <n v="43.419444444444444"/>
    <s v="41 - 45"/>
  </r>
  <r>
    <n v="99912460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06T00:00:00"/>
    <x v="0"/>
    <s v="ΔΙΕΥΘΥΝΣΗ Δ.Ε. Β΄ ΑΘΗΝΑΣ"/>
    <n v="43.422222222222224"/>
    <s v="41 - 45"/>
  </r>
  <r>
    <n v="99912461"/>
    <s v="Θ"/>
    <x v="0"/>
    <x v="0"/>
    <m/>
    <m/>
    <s v="Α΄"/>
    <n v="9"/>
    <s v="Φ.15.Α8/7260/15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03-06T00:00:00"/>
    <x v="1"/>
    <s v="ΔΙΕΥΘΥΝΣΗ Π.Ε. ΑΝΑΤΟΛΙΚΗΣ ΑΤΤΙΚΗΣ"/>
    <n v="43.422222222222224"/>
    <s v="41 - 45"/>
  </r>
  <r>
    <n v="99912462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05T00:00:00"/>
    <x v="0"/>
    <s v="ΔΙΕΥΘΥΝΣΗ Δ.Ε. ΠΕΙΡΑΙΑ"/>
    <n v="43.424999999999997"/>
    <s v="41 - 45"/>
  </r>
  <r>
    <n v="99912463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3-03T00:00:00"/>
    <x v="0"/>
    <s v="ΔΙΕΥΘΥΝΣΗ Δ.Ε. ΑΝΑΤΟΛΙΚΗΣ ΑΤΤΙΚΗΣ"/>
    <n v="43.430555555555557"/>
    <s v="41 - 45"/>
  </r>
  <r>
    <n v="99912464"/>
    <s v="Α"/>
    <x v="2"/>
    <x v="2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2"/>
    <s v="7192017"/>
    <s v="ΙΔΙΩΤΙΚΟ ΝΗΠΙΑΓΩΓΕΙ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2-29T00:00:00"/>
    <x v="1"/>
    <s v="ΔΙΕΥΘΥΝΣΗ Π.Ε. ΔΥΤ. ΘΕΣ/ΝΙΚΗΣ"/>
    <n v="43.43888888888889"/>
    <s v="41 - 45"/>
  </r>
  <r>
    <n v="99912465"/>
    <s v="Θ"/>
    <x v="1"/>
    <x v="1"/>
    <m/>
    <m/>
    <s v="Α΄"/>
    <n v="8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8-11-28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02-28T00:00:00"/>
    <x v="1"/>
    <s v="ΔΙΕΥΘΥΝΣΗ Π.Ε. ΑΝΑΤΟΛΙΚΗΣ ΑΤΤΙΚΗΣ"/>
    <n v="43.44166666666667"/>
    <s v="41 - 45"/>
  </r>
  <r>
    <n v="99912466"/>
    <s v="Α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2-24T00:00:00"/>
    <x v="0"/>
    <s v="ΔΙΕΥΘΥΝΣΗ Δ.Ε. ΑΝΑΤ. ΘΕΣ/ΝΙΚΗΣ"/>
    <n v="43.452777777777776"/>
    <s v="41 - 45"/>
  </r>
  <r>
    <n v="99912467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541005"/>
    <s v="ΙΔΙΩΤΙΚΟ ΝΗΠΙΑΓΩΓΕΙΟ ΔΡΑΠΕΤΣΩΝΑ - ΠΕΤΡΟΥΤΣΟΠΟΥΛΟΥ ΕΛΕΝΗ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22T00:00:00"/>
    <x v="1"/>
    <s v="ΔΙΕΥΘΥΝΣΗ Π.Ε. ΠΕΙΡΑΙΑ"/>
    <n v="43.458333333333336"/>
    <s v="41 - 45"/>
  </r>
  <r>
    <n v="99912468"/>
    <s v="Θ"/>
    <x v="5"/>
    <x v="5"/>
    <m/>
    <m/>
    <s v="Γ΄"/>
    <n v="1"/>
    <s v="18279/22"/>
    <d v="2018-09-01T00:00:00"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m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2-21T00:00:00"/>
    <x v="0"/>
    <s v="ΔΙΕΥΘΥΝΣΗ Δ.Ε. Γ΄ ΑΘΗΝΑΣ"/>
    <n v="43.461111111111109"/>
    <s v="41 - 45"/>
  </r>
  <r>
    <n v="99912469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6-02-19T00:00:00"/>
    <x v="0"/>
    <s v="ΔΙΕΥΘΥΝΣΗ Δ.Ε. ΛΑΡΙΣΑΣ"/>
    <n v="43.466666666666669"/>
    <s v="41 - 45"/>
  </r>
  <r>
    <n v="99912470"/>
    <s v="Θ"/>
    <x v="6"/>
    <x v="6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18T00:00:00"/>
    <x v="1"/>
    <s v="ΔΙΕΥΘΥΝΣΗ Π.Ε. Β΄ ΑΘΗΝΑΣ"/>
    <n v="43.469444444444441"/>
    <s v="41 - 45"/>
  </r>
  <r>
    <n v="99912471"/>
    <s v="Α"/>
    <x v="4"/>
    <x v="4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2-18T00:00:00"/>
    <x v="0"/>
    <s v="ΔΙΕΥΘΥΝΣΗ Δ.Ε. ΑΝΑΤ. ΘΕΣ/ΝΙΚΗΣ"/>
    <n v="43.469444444444441"/>
    <s v="41 - 45"/>
  </r>
  <r>
    <n v="99912472"/>
    <s v="Α"/>
    <x v="5"/>
    <x v="5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1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6-02-18T00:00:00"/>
    <x v="0"/>
    <s v="ΔΙΕΥΘΥΝΣΗ Δ.Ε. ΚΟΡΙΝΘΙΑΣ"/>
    <n v="43.469444444444441"/>
    <s v="41 - 45"/>
  </r>
  <r>
    <n v="99912473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14T00:00:00"/>
    <x v="0"/>
    <s v="ΔΙΕΥΘΥΝΣΗ Δ.Ε. Α΄ ΑΘΗΝΑΣ"/>
    <n v="43.480555555555554"/>
    <s v="41 - 45"/>
  </r>
  <r>
    <n v="99912474"/>
    <s v="Θ"/>
    <x v="0"/>
    <x v="0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2-13T00:00:00"/>
    <x v="0"/>
    <s v="ΔΙΕΥΘΥΝΣΗ Δ.Ε. Β΄ ΑΘΗΝΑΣ"/>
    <n v="43.483333333333334"/>
    <s v="41 - 45"/>
  </r>
  <r>
    <n v="99912475"/>
    <s v="Θ"/>
    <x v="0"/>
    <x v="0"/>
    <m/>
    <m/>
    <s v="Γ΄"/>
    <n v="1"/>
    <s v="Φ.60.2/25000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521030"/>
    <s v="ΙΔΙΩΤΙΚΟ ΔΗΜΟΤΙΚΟ - ΕΚΠΑΙΔΕΥΤΗΡΙΑ ΣΤ. ΚΑΛΑΝΔΡΟΥ &amp; ΣΙΑ Ο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13T00:00:00"/>
    <x v="1"/>
    <s v="ΔΙΕΥΘΥΝΣΗ Π.Ε. ΑΝΑΤΟΛΙΚΗΣ ΑΤΤΙΚΗΣ"/>
    <n v="43.483333333333334"/>
    <s v="41 - 45"/>
  </r>
  <r>
    <n v="99912476"/>
    <s v="Θ"/>
    <x v="2"/>
    <x v="2"/>
    <m/>
    <m/>
    <s v="Β΄"/>
    <n v="3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151"/>
    <s v="ΣΥΣΤΕΓΑΖΟΜΕΝΟ ΝΗΠΙΑΓΩΓΕΙΟ - ΜΑΡΙΑ ΡΕΝΤΖΕΠΗ ΚΑΙ ΣΙΑ ΕΤΕΡΟΡΡΥΘΜΟΣ ΕΤΑΙΡΕΙΑ - ΜΑΡΗ ΡΕΝΤΖΕΠ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13T00:00:00"/>
    <x v="1"/>
    <s v="ΔΙΕΥΘΥΝΣΗ Π.Ε. Δ΄ ΑΘΗΝΑΣ"/>
    <n v="43.483333333333334"/>
    <s v="41 - 45"/>
  </r>
  <r>
    <n v="99912477"/>
    <s v="Α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2-12T00:00:00"/>
    <x v="0"/>
    <s v="ΔΙΕΥΘΥΝΣΗ Δ.Ε. ΑΝΑΤ. ΘΕΣ/ΝΙΚΗΣ"/>
    <n v="43.486111111111114"/>
    <s v="41 - 45"/>
  </r>
  <r>
    <n v="9991247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06T00:00:00"/>
    <x v="0"/>
    <s v="ΔΙΕΥΘΥΝΣΗ Δ.Ε. Β΄ ΑΘΗΝΑΣ"/>
    <n v="43.50277777777778"/>
    <s v="41 - 45"/>
  </r>
  <r>
    <n v="99912479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06T00:00:00"/>
    <x v="0"/>
    <s v="ΔΙΕΥΘΥΝΣΗ Δ.Ε. Γ΄ ΑΘΗΝΑΣ"/>
    <n v="43.50277777777778"/>
    <s v="41 - 45"/>
  </r>
  <r>
    <n v="99912480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04T00:00:00"/>
    <x v="0"/>
    <s v="ΔΙΕΥΘΥΝΣΗ Δ.Ε. ΑΝΑΤΟΛΙΚΗΣ ΑΤΤΙΚΗΣ"/>
    <n v="43.508333333333333"/>
    <s v="41 - 45"/>
  </r>
  <r>
    <n v="99912481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02-01T00:00:00"/>
    <x v="0"/>
    <s v="ΔΙΕΥΘΥΝΣΗ Δ.Ε. ΑΝΑΤΟΛΙΚΗΣ ΑΤΤΙΚΗΣ"/>
    <n v="43.516666666666666"/>
    <s v="41 - 45"/>
  </r>
  <r>
    <n v="99912482"/>
    <s v="Θ"/>
    <x v="18"/>
    <x v="1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2-01T00:00:00"/>
    <x v="1"/>
    <s v="ΔΙΕΥΘΥΝΣΗ Π.Ε. Α΄ ΑΘΗΝΑΣ"/>
    <n v="43.516666666666666"/>
    <s v="41 - 45"/>
  </r>
  <r>
    <n v="9991248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12T00:00:00"/>
    <x v="0"/>
    <s v="ΔΙΕΥΘΥΝΣΗ Δ.Ε. ΑΝΑΤΟΛΙΚΗΣ ΑΤΤΙΚΗΣ"/>
    <n v="43.572222222222223"/>
    <s v="41 - 45"/>
  </r>
  <r>
    <n v="99912484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7T00:00:00"/>
    <x v="0"/>
    <s v="ΔΙΕΥΘΥΝΣΗ Δ.Ε. Γ΄ ΑΘΗΝΑΣ"/>
    <n v="43.586111111111109"/>
    <s v="41 - 45"/>
  </r>
  <r>
    <n v="99912485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4T00:00:00"/>
    <x v="0"/>
    <s v="ΔΙΕΥΘΥΝΣΗ Δ.Ε. ΑΝΑΤΟΛΙΚΗΣ ΑΤΤΙΚΗΣ"/>
    <n v="43.594444444444441"/>
    <s v="41 - 45"/>
  </r>
  <r>
    <n v="99912486"/>
    <s v="Θ"/>
    <x v="11"/>
    <x v="11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5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1-02T00:00:00"/>
    <x v="0"/>
    <s v="ΔΙΕΥΘΥΝΣΗ Δ.Ε. ΑΝΑΤ. ΘΕΣ/ΝΙΚΗΣ"/>
    <n v="43.6"/>
    <s v="41 - 45"/>
  </r>
  <r>
    <n v="99912487"/>
    <s v="Θ"/>
    <x v="8"/>
    <x v="8"/>
    <m/>
    <m/>
    <s v="Γ΄"/>
    <n v="1"/>
    <s v="7018/1"/>
    <d v="2018-09-26T00:00:00"/>
    <s v="ΞΑΝΘΗΣ (Π.Ε.) 2018"/>
    <s v="ΔΙΕΥΘΥΝΣΗ Π.Ε. ΞΑΝΘΗΣ"/>
    <s v="ΠΕΡΙΦΕΡΕΙΑΚΗ Δ/ΝΣΗ Α/ΘΜΙΑΣ ΚΑΙ Β/ΘΜΙΑΣ ΕΚΠ/ΣΗΣ ΑΝ. ΜΑΚΕΔΟΝΙΑΣ ΚΑΙ ΘΡΑΚΗΣ"/>
    <n v="16"/>
    <s v="ΟΧΙ"/>
    <s v="ΟΧΙ"/>
    <s v="ΟΧΙ"/>
    <s v="ΟΧΙ"/>
    <s v="ΟΧΙ"/>
    <m/>
    <d v="2018-09-26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76-01-01T00:00:00"/>
    <x v="1"/>
    <s v="ΔΙΕΥΘΥΝΣΗ Π.Ε. ΞΑΝΘΗΣ"/>
    <n v="43.602777777777774"/>
    <s v="41 - 45"/>
  </r>
  <r>
    <n v="99912488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6-01-01T00:00:00"/>
    <x v="0"/>
    <s v="ΔΙΕΥΘΥΝΣΗ Δ.Ε. ΑΝΑΤΟΛΙΚΗΣ ΑΤΤΙΚΗΣ"/>
    <n v="43.602777777777774"/>
    <s v="41 - 45"/>
  </r>
  <r>
    <n v="99912489"/>
    <s v="Α"/>
    <x v="14"/>
    <x v="1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0"/>
    <s v="ΔΙΕΥΘΥΝΣΗ Δ.Ε. ΑΝΑΤΟΛΙΚΗΣ ΑΤΤΙΚΗΣ"/>
    <n v="43.602777777777774"/>
    <s v="41 - 45"/>
  </r>
  <r>
    <n v="99912490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0"/>
    <s v="ΔΙΕΥΘΥΝΣΗ Δ.Ε. Β΄ ΑΘΗΝΑΣ"/>
    <n v="43.602777777777774"/>
    <s v="41 - 45"/>
  </r>
  <r>
    <n v="99912491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0"/>
    <s v="ΔΙΕΥΘΥΝΣΗ Δ.Ε. Β΄ ΑΘΗΝΑΣ"/>
    <n v="43.602777777777774"/>
    <s v="41 - 45"/>
  </r>
  <r>
    <n v="99912492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1-01T00:00:00"/>
    <x v="0"/>
    <s v="ΔΙΕΥΘΥΝΣΗ Δ.Ε. Β΄ ΑΘΗΝΑΣ"/>
    <n v="43.602777777777774"/>
    <s v="41 - 45"/>
  </r>
  <r>
    <n v="99912493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0"/>
    <s v="ΔΙΕΥΘΥΝΣΗ Δ.Ε. Γ΄ ΑΘΗΝΑΣ"/>
    <n v="43.602777777777774"/>
    <s v="41 - 45"/>
  </r>
  <r>
    <n v="99912494"/>
    <s v="Α"/>
    <x v="18"/>
    <x v="18"/>
    <m/>
    <m/>
    <s v="Γ΄"/>
    <n v="1"/>
    <s v="22397/20"/>
    <d v="2018-11-23T00:00:00"/>
    <s v="Γ΄ ΑΘΗΝΑΣ (Δ.Ε.) 2018"/>
    <s v="ΔΙΕΥΘΥΝΣΗ Δ.Ε. Γ΄ ΑΘΗΝΑΣ"/>
    <s v="ΠΕΡΙΦΕΡΕΙΑΚΗ Δ/ΝΣΗ Α/ΘΜΙΑΣ ΚΑΙ Β/ΘΜΙΑΣ ΕΚΠ/ΣΗΣ ΑΤΤΙΚΗΣ"/>
    <n v="3"/>
    <s v="ΟΧΙ"/>
    <s v="ΟΧΙ"/>
    <s v="ΟΧΙ"/>
    <s v="ΟΧΙ"/>
    <s v="ΟΧΙ"/>
    <m/>
    <d v="2018-11-23T00:00:00"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1-01T00:00:00"/>
    <x v="0"/>
    <s v="ΔΙΕΥΘΥΝΣΗ Δ.Ε. Γ΄ ΑΘΗΝΑΣ"/>
    <n v="43.602777777777774"/>
    <s v="41 - 45"/>
  </r>
  <r>
    <n v="99912495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0"/>
    <s v="ΔΙΕΥΘΥΝΣΗ Δ.Ε. Δ΄ ΑΘΗΝΑΣ"/>
    <n v="43.602777777777774"/>
    <s v="41 - 45"/>
  </r>
  <r>
    <n v="99912496"/>
    <s v="Θ"/>
    <x v="4"/>
    <x v="4"/>
    <m/>
    <m/>
    <s v="Γ΄"/>
    <n v="1"/>
    <n v="21123"/>
    <d v="2017-09-27T00:00:00"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s v="ΟΧΙ"/>
    <s v="ΟΧΙ"/>
    <m/>
    <d v="2017-12-04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6-01-01T00:00:00"/>
    <x v="0"/>
    <s v="ΔΙΕΥΘΥΝΣΗ Δ.Ε. ΠΕΙΡΑΙΑ"/>
    <n v="43.602777777777774"/>
    <s v="41 - 45"/>
  </r>
  <r>
    <n v="99912497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0"/>
    <s v="ΔΙΕΥΘΥΝΣΗ Δ.Ε. ΠΕΙΡΑΙΑ"/>
    <n v="43.602777777777774"/>
    <s v="41 - 45"/>
  </r>
  <r>
    <n v="99912498"/>
    <s v="Θ"/>
    <x v="14"/>
    <x v="14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1"/>
    <s v="ΔΙΕΥΘΥΝΣΗ Π.Ε. ΑΝΑΤΟΛΙΚΗΣ ΑΤΤΙΚΗΣ"/>
    <n v="43.602777777777774"/>
    <s v="41 - 45"/>
  </r>
  <r>
    <n v="99912499"/>
    <s v="Α"/>
    <x v="8"/>
    <x v="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1"/>
    <s v="ΔΙΕΥΘΥΝΣΗ Π.Ε. ΑΝΑΤΟΛΙΚΗΣ ΑΤΤΙΚΗΣ"/>
    <n v="43.602777777777774"/>
    <s v="41 - 45"/>
  </r>
  <r>
    <n v="99912500"/>
    <s v="Θ"/>
    <x v="6"/>
    <x v="6"/>
    <m/>
    <m/>
    <s v="Γ΄"/>
    <n v="1"/>
    <n v="1302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1"/>
    <s v="ΔΙΕΥΘΥΝΣΗ Π.Ε. Δ΄ ΑΘΗΝΑΣ"/>
    <n v="43.602777777777774"/>
    <s v="41 - 45"/>
  </r>
  <r>
    <n v="99912501"/>
    <s v="Θ"/>
    <x v="0"/>
    <x v="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6-01-01T00:00:00"/>
    <x v="1"/>
    <s v="ΔΙΕΥΘΥΝΣΗ Π.Ε. Δ΄ ΑΘΗΝΑΣ"/>
    <n v="43.602777777777774"/>
    <s v="41 - 45"/>
  </r>
  <r>
    <n v="99912502"/>
    <s v="Θ"/>
    <x v="4"/>
    <x v="4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1-01T00:00:00"/>
    <x v="0"/>
    <s v="ΔΙΕΥΘΥΝΣΗ Δ.Ε. ΑΙΤΩΛΟΑΚΑΡΝΑΝΙΑΣ"/>
    <n v="43.602777777777774"/>
    <s v="41 - 45"/>
  </r>
  <r>
    <n v="99912503"/>
    <s v="Θ"/>
    <x v="11"/>
    <x v="11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s v="ΟΧΙ"/>
    <s v="ΟΧΙ"/>
    <s v="ΟΧΙ"/>
    <s v="ΟΧΙ"/>
    <s v="ΟΧΙ"/>
    <m/>
    <m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1-01T00:00:00"/>
    <x v="0"/>
    <s v="ΔΙΕΥΘΥΝΣΗ Δ.Ε. ΑΙΤΩΛΟΑΚΑΡΝΑΝΙΑΣ"/>
    <n v="43.602777777777774"/>
    <s v="41 - 45"/>
  </r>
  <r>
    <n v="99912504"/>
    <s v="Α"/>
    <x v="11"/>
    <x v="11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1-01T00:00:00"/>
    <x v="0"/>
    <s v="ΔΙΕΥΘΥΝΣΗ Δ.Ε. ΑΧΑΪΑΣ"/>
    <n v="43.602777777777774"/>
    <s v="41 - 45"/>
  </r>
  <r>
    <n v="99912505"/>
    <s v="Θ"/>
    <x v="3"/>
    <x v="3"/>
    <m/>
    <m/>
    <s v="Γ΄"/>
    <n v="1"/>
    <s v="Φ. 17.2_ A/14075/1/8-11-2018"/>
    <d v="2018-09-01T00:00:00"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d v="2018-09-01T00:00:00"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1-01T00:00:00"/>
    <x v="0"/>
    <s v="ΔΙΕΥΘΥΝΣΗ Δ.Ε. ΑΧΑΪΑΣ"/>
    <n v="43.602777777777774"/>
    <s v="41 - 45"/>
  </r>
  <r>
    <n v="99912506"/>
    <s v="Α"/>
    <x v="9"/>
    <x v="9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6-01-01T00:00:00"/>
    <x v="0"/>
    <s v="ΔΙΕΥΘΥΝΣΗ Δ.Ε. ΑΧΑΪΑΣ"/>
    <n v="43.602777777777774"/>
    <s v="41 - 45"/>
  </r>
  <r>
    <n v="99912507"/>
    <s v="Θ"/>
    <x v="8"/>
    <x v="8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6-01-01T00:00:00"/>
    <x v="1"/>
    <s v="ΔΙΕΥΘΥΝΣΗ Π.Ε. ΑΧΑΪΑΣ"/>
    <n v="43.602777777777774"/>
    <s v="41 - 45"/>
  </r>
  <r>
    <n v="99912508"/>
    <s v="Θ"/>
    <x v="13"/>
    <x v="13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01-01T00:00:00"/>
    <x v="1"/>
    <s v="ΔΙΕΥΘΥΝΣΗ Π.Ε. ΛΑΡΙΣΑΣ"/>
    <n v="43.602777777777774"/>
    <s v="41 - 45"/>
  </r>
  <r>
    <n v="99912509"/>
    <s v="Θ"/>
    <x v="0"/>
    <x v="0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6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01-01T00:00:00"/>
    <x v="1"/>
    <s v="ΔΙΕΥΘΥΝΣΗ Π.Ε. ΛΑΡΙΣΑΣ"/>
    <n v="43.602777777777774"/>
    <s v="41 - 45"/>
  </r>
  <r>
    <n v="99912510"/>
    <s v="Θ"/>
    <x v="8"/>
    <x v="8"/>
    <m/>
    <m/>
    <s v="Γ΄"/>
    <n v="1"/>
    <n v="411"/>
    <d v="2018-09-01T00:00:00"/>
    <s v="ΛΑΡΙΣΑΣ (Π.Ε.) 2018"/>
    <s v="ΔΙΕΥΘΥΝΣΗ Π.Ε. ΛΑΡΙΣΑΣ"/>
    <s v="ΠΕΡΙΦΕΡΕΙΑΚΗ Δ/ΝΣΗ Α/ΘΜΙΑΣ ΚΑΙ Β/ΘΜΙΑΣ ΕΚΠ/ΣΗΣ ΘΕΣΣΑΛΙΑΣ"/>
    <n v="8"/>
    <s v="ΟΧΙ"/>
    <m/>
    <m/>
    <m/>
    <s v="ΟΧΙ"/>
    <m/>
    <d v="2018-09-01T00:00:00"/>
    <s v="Ιδιωτικά Σχολεία"/>
    <x v="1"/>
    <s v="7311000"/>
    <s v="ΙΔΙΩΤΙΚΟ ΔΗΜΟΤΙΚΟ ΛΑΡΙΣΑ - Α.ΔΡΑΚΟΣ-Γ. ΜΑΛΑΧΤΑΡΗ ΟΕ ΕΛΛΗΝΙΚΑ ΕΚΠΑΙΔΕΥΤΗΡΙ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6-01-01T00:00:00"/>
    <x v="1"/>
    <s v="ΔΙΕΥΘΥΝΣΗ Π.Ε. ΛΑΡΙΣΑΣ"/>
    <n v="43.602777777777774"/>
    <s v="41 - 45"/>
  </r>
  <r>
    <n v="99912511"/>
    <s v="Θ"/>
    <x v="0"/>
    <x v="0"/>
    <m/>
    <m/>
    <s v="Γ΄"/>
    <n v="1"/>
    <n v="13658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01-01T00:00:00"/>
    <x v="1"/>
    <s v="ΔΙΕΥΘΥΝΣΗ Π.Ε. ΛΑΡΙΣΑΣ"/>
    <n v="43.602777777777774"/>
    <s v="41 - 45"/>
  </r>
  <r>
    <n v="99912512"/>
    <s v="Θ"/>
    <x v="8"/>
    <x v="8"/>
    <m/>
    <m/>
    <s v="Γ΄"/>
    <n v="1"/>
    <m/>
    <m/>
    <s v="Α΄ ΜΑΓΝΗΣΙΑΣ (Π.Ε.) 2018"/>
    <s v="ΔΙΕΥΘΥΝΣΗ Π.Ε. ΜΑΓΝΗΣΙΑΣ"/>
    <s v="ΠΕΡΙΦΕΡΕΙΑΚΗ Δ/ΝΣΗ Α/ΘΜΙΑΣ ΚΑΙ Β/ΘΜΙΑΣ ΕΚΠ/ΣΗΣ ΘΕΣΣΑΛΙΑΣ"/>
    <n v="8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6-01-01T00:00:00"/>
    <x v="1"/>
    <s v="ΔΙΕΥΘΥΝΣΗ Π.Ε. ΜΑΓΝΗΣΙΑΣ"/>
    <n v="43.602777777777774"/>
    <s v="41 - 45"/>
  </r>
  <r>
    <n v="99912513"/>
    <s v="Α"/>
    <x v="15"/>
    <x v="15"/>
    <m/>
    <m/>
    <s v="Γ΄"/>
    <n v="1"/>
    <n v="14662"/>
    <d v="2017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d v="2017-09-01T00:00:00"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6-01-01T00:00:00"/>
    <x v="0"/>
    <s v="ΔΙΕΥΘΥΝΣΗ Δ.Ε. ΔΥΤ. ΘΕΣ/ΝΙΚΗΣ"/>
    <n v="43.602777777777774"/>
    <s v="41 - 45"/>
  </r>
  <r>
    <n v="99912514"/>
    <s v="Θ"/>
    <x v="0"/>
    <x v="0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1-01T00:00:00"/>
    <x v="1"/>
    <s v="ΔΙΕΥΘΥΝΣΗ Π.Ε. ΑΝΑΤ. ΘΕΣ/ΝΙΚΗΣ"/>
    <n v="43.602777777777774"/>
    <s v="41 - 45"/>
  </r>
  <r>
    <n v="99912515"/>
    <s v="Θ"/>
    <x v="1"/>
    <x v="1"/>
    <m/>
    <m/>
    <s v="Α΄"/>
    <n v="1"/>
    <s v="ΒΙ6Ζ9-2ΙΞ"/>
    <d v="2014-01-1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4-01-13T00:00:00"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6-01-01T00:00:00"/>
    <x v="1"/>
    <s v="ΔΙΕΥΘΥΝΣΗ Π.Ε. ΔΥΤ. ΘΕΣ/ΝΙΚΗΣ"/>
    <n v="43.602777777777774"/>
    <s v="41 - 45"/>
  </r>
  <r>
    <n v="99912516"/>
    <s v="Θ"/>
    <x v="18"/>
    <x v="18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6"/>
    <s v="ΟΧΙ"/>
    <s v="ΟΧΙ"/>
    <s v="ΟΧΙ"/>
    <s v="ΟΧΙ"/>
    <s v="ΟΧΙ"/>
    <m/>
    <m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6-01-01T00:00:00"/>
    <x v="1"/>
    <s v="ΔΙΕΥΘΥΝΣΗ Π.Ε. ΧΑΝΙΩΝ"/>
    <n v="43.602777777777774"/>
    <s v="41 - 45"/>
  </r>
  <r>
    <n v="99912517"/>
    <s v="Α"/>
    <x v="8"/>
    <x v="8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8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6-01-01T00:00:00"/>
    <x v="0"/>
    <s v="ΔΙΕΥΘΥΝΣΗ Δ.Ε. ΚΥΚΛΑΔΩΝ"/>
    <n v="43.602777777777774"/>
    <s v="41 - 45"/>
  </r>
  <r>
    <n v="99912518"/>
    <s v="Α"/>
    <x v="18"/>
    <x v="18"/>
    <m/>
    <m/>
    <s v="Γ΄"/>
    <n v="1"/>
    <m/>
    <m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2-31T00:00:00"/>
    <x v="0"/>
    <s v="ΔΙΕΥΘΥΝΣΗ Δ.Ε. Α΄ ΑΘΗΝΑΣ"/>
    <n v="43.605555555555554"/>
    <s v="41 - 45"/>
  </r>
  <r>
    <n v="99912519"/>
    <s v="Θ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2-18T00:00:00"/>
    <x v="0"/>
    <s v="ΔΙΕΥΘΥΝΣΗ Δ.Ε. ΠΕΙΡΑΙΑ"/>
    <n v="43.641666666666666"/>
    <s v="41 - 45"/>
  </r>
  <r>
    <n v="99912520"/>
    <s v="Θ"/>
    <x v="5"/>
    <x v="5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12-18T00:00:00"/>
    <x v="0"/>
    <s v="ΔΙΕΥΘΥΝΣΗ Δ.Ε. ΑΝΑΤ. ΘΕΣ/ΝΙΚΗΣ"/>
    <n v="43.641666666666666"/>
    <s v="41 - 45"/>
  </r>
  <r>
    <n v="99912521"/>
    <s v="Θ"/>
    <x v="3"/>
    <x v="3"/>
    <m/>
    <m/>
    <s v="Γ΄"/>
    <n v="1"/>
    <n v="18448"/>
    <d v="2018-09-01T00:00:00"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m/>
    <s v="ΟΧΙ"/>
    <m/>
    <d v="2018-09-01T00:00:00"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2-12T00:00:00"/>
    <x v="0"/>
    <s v="ΔΙΕΥΘΥΝΣΗ Δ.Ε. ΠΕΙΡΑΙΑ"/>
    <n v="43.658333333333331"/>
    <s v="41 - 45"/>
  </r>
  <r>
    <n v="99912522"/>
    <s v="Θ"/>
    <x v="7"/>
    <x v="7"/>
    <m/>
    <m/>
    <s v="Α΄"/>
    <n v="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7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12-11T00:00:00"/>
    <x v="0"/>
    <s v="ΔΙΕΥΘΥΝΣΗ Δ.Ε. ΑΝΑΤ. ΘΕΣ/ΝΙΚΗΣ"/>
    <n v="43.661111111111111"/>
    <s v="41 - 45"/>
  </r>
  <r>
    <n v="99912523"/>
    <s v="Θ"/>
    <x v="1"/>
    <x v="1"/>
    <m/>
    <m/>
    <s v="Γ΄"/>
    <n v="8"/>
    <n v="399"/>
    <d v="2011-06-16T00:00:00"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d v="2011-06-16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12-06T00:00:00"/>
    <x v="1"/>
    <s v="ΔΙΕΥΘΥΝΣΗ Π.Ε. Β΄ ΑΘΗΝΑΣ"/>
    <n v="43.674999999999997"/>
    <s v="41 - 45"/>
  </r>
  <r>
    <n v="99912524"/>
    <s v="Α"/>
    <x v="5"/>
    <x v="5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5-12-06T00:00:00"/>
    <x v="0"/>
    <s v="ΔΙΕΥΘΥΝΣΗ Δ.Ε. ΛΑΡΙΣΑΣ"/>
    <n v="43.674999999999997"/>
    <s v="41 - 45"/>
  </r>
  <r>
    <n v="99912525"/>
    <s v="Θ"/>
    <x v="3"/>
    <x v="3"/>
    <m/>
    <m/>
    <s v="Γ΄"/>
    <n v="1"/>
    <n v="15443"/>
    <d v="2018-09-01T00:00:00"/>
    <s v="Δ΄ ΑΘΗΝΑΣ (Δ.Ε.) 2018"/>
    <s v="ΔΙΕΥΘΥΝΣΗ Δ.Ε. Δ΄ ΑΘΗΝΑΣ"/>
    <s v="ΠΕΡΙΦΕΡΕΙΑΚΗ Δ/ΝΣΗ Α/ΘΜΙΑΣ ΚΑΙ Β/ΘΜΙΑΣ ΕΚΠ/ΣΗΣ ΑΤΤΙΚΗΣ"/>
    <n v="17"/>
    <s v="ΟΧΙ"/>
    <s v="ΟΧΙ"/>
    <s v="ΟΧΙ"/>
    <s v="ΟΧΙ"/>
    <s v="ΟΧΙ"/>
    <m/>
    <d v="2018-09-01T00:00:00"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5-12-03T00:00:00"/>
    <x v="0"/>
    <s v="ΔΙΕΥΘΥΝΣΗ Δ.Ε. Δ΄ ΑΘΗΝΑΣ"/>
    <n v="43.68333333333333"/>
    <s v="41 - 45"/>
  </r>
  <r>
    <n v="99912526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2"/>
    <s v="7051021"/>
    <s v="ΙΔΙΩΤΙΚΟ ΝΗΠΙΑΓΩΓΕΙΟ ΑΘΗΝΑ - ΕΚΠΑΙΔΕΥΤΗΡΙΑ ΑΓΙΟΣ ΠΑΥΛΟΣ ΕΠ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12-03T00:00:00"/>
    <x v="1"/>
    <s v="ΔΙΕΥΘΥΝΣΗ Π.Ε. Α΄ ΑΘΗΝΑΣ"/>
    <n v="43.68333333333333"/>
    <s v="41 - 45"/>
  </r>
  <r>
    <n v="99912527"/>
    <s v="Α"/>
    <x v="19"/>
    <x v="19"/>
    <m/>
    <m/>
    <s v="Γ΄"/>
    <n v="1"/>
    <s v="58/27-11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2-01T00:00:00"/>
    <x v="0"/>
    <s v="ΔΙΕΥΘΥΝΣΗ Δ.Ε. Δ΄ ΑΘΗΝΑΣ"/>
    <n v="43.68888888888889"/>
    <s v="41 - 45"/>
  </r>
  <r>
    <n v="99912528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1-30T00:00:00"/>
    <x v="1"/>
    <s v="ΔΙΕΥΘΥΝΣΗ Π.Ε. ΑΝΑΤΟΛΙΚΗΣ ΑΤΤΙΚΗΣ"/>
    <n v="43.69166666666667"/>
    <s v="41 - 45"/>
  </r>
  <r>
    <n v="9991252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1-28T00:00:00"/>
    <x v="0"/>
    <s v="ΔΙΕΥΘΥΝΣΗ Δ.Ε. Β΄ ΑΘΗΝΑΣ"/>
    <n v="43.697222222222223"/>
    <s v="41 - 45"/>
  </r>
  <r>
    <n v="99912530"/>
    <s v="Θ"/>
    <x v="2"/>
    <x v="2"/>
    <m/>
    <m/>
    <s v="Γ΄"/>
    <n v="1"/>
    <n v="1003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01"/>
    <s v="ΙΔΙΩΤΙΚΟ ΝΗΠΙΑΓΩΓΕΙΟ - ΕΥΡΩΠΑΙΚΟ ΠΡΟΤΥΠ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1-28T00:00:00"/>
    <x v="1"/>
    <s v="ΔΙΕΥΘΥΝΣΗ Π.Ε. Δ΄ ΑΘΗΝΑΣ"/>
    <n v="43.697222222222223"/>
    <s v="41 - 45"/>
  </r>
  <r>
    <n v="99912531"/>
    <s v="Α"/>
    <x v="19"/>
    <x v="19"/>
    <m/>
    <m/>
    <s v="Α΄"/>
    <n v="8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1-25T00:00:00"/>
    <x v="0"/>
    <s v="ΔΙΕΥΘΥΝΣΗ Δ.Ε. Δ΄ ΑΘΗΝΑΣ"/>
    <n v="43.705555555555556"/>
    <s v="41 - 45"/>
  </r>
  <r>
    <n v="99912532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1-08T00:00:00"/>
    <x v="1"/>
    <s v="ΔΙΕΥΘΥΝΣΗ Π.Ε. Α΄ ΑΘΗΝΑΣ"/>
    <n v="43.75277777777778"/>
    <s v="41 - 45"/>
  </r>
  <r>
    <n v="99912533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2"/>
    <s v="7052021"/>
    <s v="ΙΔΙΩΤΙΚΟ ΝΗΠΙΑΓΩΓΕΙΟ Ν.ΨΥΧΙΚΟ - ΔΗΜΗΤΡΑ ΠΑΝΟΥΣΗ ΚΑΙ ΣΙΑ Ε.Ε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11-03T00:00:00"/>
    <x v="1"/>
    <s v="ΔΙΕΥΘΥΝΣΗ Π.Ε. Β΄ ΑΘΗΝΑΣ"/>
    <n v="43.766666666666666"/>
    <s v="41 - 45"/>
  </r>
  <r>
    <n v="99912534"/>
    <s v="Θ"/>
    <x v="10"/>
    <x v="10"/>
    <m/>
    <m/>
    <s v="Γ΄"/>
    <n v="1"/>
    <s v="12822/13-11-2018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22"/>
    <s v="ΟΧΙ"/>
    <m/>
    <m/>
    <m/>
    <s v="ΟΧΙ"/>
    <m/>
    <d v="2018-11-01T00:00:00"/>
    <m/>
    <x v="5"/>
    <s v=""/>
    <m/>
    <m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5-10-24T00:00:00"/>
    <x v="0"/>
    <s v="ΔΙΕΥΘΥΝΣΗ Δ.Ε. ΠΙΕΡΙΑΣ"/>
    <n v="43.794444444444444"/>
    <s v="41 - 45"/>
  </r>
  <r>
    <n v="99912535"/>
    <s v="Α"/>
    <x v="14"/>
    <x v="14"/>
    <m/>
    <m/>
    <s v="Γ΄"/>
    <n v="1"/>
    <s v="Φ.17.2/8576"/>
    <d v="2018-10-01T00:00:00"/>
    <s v="ΧΑΝΙΩΝ (Π.Ε.) 2018"/>
    <s v="ΔΙΕΥΘΥΝΣΗ Π.Ε. ΧΑΝΙΩΝ"/>
    <s v="ΠΕΡΙΦΕΡΕΙΑΚΗ Δ/ΝΣΗ Α/ΘΜΙΑΣ ΚΑΙ Β/ΘΜΙΑΣ ΕΚΠ/ΣΗΣ ΚΡΗΤΗΣ"/>
    <n v="12"/>
    <s v="ΟΧΙ"/>
    <m/>
    <m/>
    <m/>
    <s v="ΟΧΙ"/>
    <m/>
    <d v="2018-10-01T00:00:00"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Ορισμένου Χρόνου (Ι.Δ.Ο.Χ.)"/>
    <s v="Τοποθέτηση σε Ιδιωτική Εκπαίδευση"/>
    <d v="1975-10-23T00:00:00"/>
    <x v="1"/>
    <s v="ΔΙΕΥΘΥΝΣΗ Π.Ε. ΧΑΝΙΩΝ"/>
    <n v="43.797222222222224"/>
    <s v="41 - 45"/>
  </r>
  <r>
    <n v="99912536"/>
    <s v="Θ"/>
    <x v="7"/>
    <x v="7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0-22T00:00:00"/>
    <x v="1"/>
    <s v="ΔΙΕΥΘΥΝΣΗ Π.Ε. Β΄ ΑΘΗΝΑΣ"/>
    <n v="43.8"/>
    <s v="41 - 45"/>
  </r>
  <r>
    <n v="99912537"/>
    <s v="Θ"/>
    <x v="0"/>
    <x v="0"/>
    <m/>
    <m/>
    <s v="Γ΄"/>
    <n v="1"/>
    <n v="13021"/>
    <d v="2018-09-01T00:00:00"/>
    <s v="Δ΄ ΑΘΗΝΑΣ (Π.Ε.) 2018"/>
    <s v="ΔΙΕΥΘΥΝΣΗ Π.Ε. Δ΄ ΑΘΗΝΑΣ"/>
    <s v="ΠΕΡΙΦΕΡΕΙΑΚΗ Δ/ΝΣΗ Α/ΘΜΙΑΣ ΚΑΙ Β/ΘΜΙΑΣ ΕΚΠ/ΣΗΣ ΑΤΤΙΚΗΣ"/>
    <n v="14"/>
    <s v="ΟΧΙ"/>
    <m/>
    <m/>
    <m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0-18T00:00:00"/>
    <x v="1"/>
    <s v="ΔΙΕΥΘΥΝΣΗ Π.Ε. Δ΄ ΑΘΗΝΑΣ"/>
    <n v="43.81111111111111"/>
    <s v="41 - 45"/>
  </r>
  <r>
    <n v="99912538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0-17T00:00:00"/>
    <x v="0"/>
    <s v="ΔΙΕΥΘΥΝΣΗ Δ.Ε. ΠΕΙΡΑΙΑ"/>
    <n v="43.81388888888889"/>
    <s v="41 - 45"/>
  </r>
  <r>
    <n v="99912539"/>
    <s v="Θ"/>
    <x v="2"/>
    <x v="2"/>
    <m/>
    <m/>
    <s v="Γ΄"/>
    <n v="1"/>
    <s v="11495/21-9-2016"/>
    <d v="2018-09-01T00:00:00"/>
    <s v="Α΄ ΕΥΒΟΙΑΣ (Π.Ε.) 2018"/>
    <s v="ΔΙΕΥΘΥΝΣΗ Π.Ε. ΕΥΒΟΙΑΣ"/>
    <s v="ΠΕΡΙΦΕΡΕΙΑΚΗ Δ/ΝΣΗ Α/ΘΜΙΑΣ ΚΑΙ Β/ΘΜΙΑΣ ΕΚΠ/ΣΗΣ ΣΤΕΡΕΑΣ ΕΛΛΑΔΑΣ"/>
    <n v="6"/>
    <s v="ΟΧΙ"/>
    <s v="ΟΧΙ"/>
    <s v="ΟΧΙ"/>
    <m/>
    <s v="ΟΧΙ"/>
    <m/>
    <d v="2018-09-01T00:00:00"/>
    <s v="Ιδιωτικά Σχολεία"/>
    <x v="2"/>
    <s v="7121019"/>
    <s v="ΣΥΣΤΕΓΑΖΟΜΕΝΟ ΝΗΠΙΑΓΩΓΕΙΟ - ΠΑΝΤΑΖΗ ΜΑΡΙΑΝΘΗ"/>
    <s v="Α΄ ΕΥΒΟΙΑΣ (Π.Ε.) 2018"/>
    <x v="31"/>
    <s v="ΠΕΡΙΦΕΡΕΙΑΚΗ Δ/ΝΣΗ Α/ΘΜΙΑΣ ΚΑΙ Β/ΘΜΙΑΣ ΕΚΠ/ΣΗΣ ΣΤΕΡΕΑΣ ΕΛΛΑΔΑΣ"/>
    <s v="Ιδιωτικού Δικαίου Ορισμένου Χρόνου (Ι.Δ.Ο.Χ.)"/>
    <s v="Τοποθέτηση σε Ιδιωτική Εκπαίδευση"/>
    <d v="1975-10-10T00:00:00"/>
    <x v="1"/>
    <s v="ΔΙΕΥΘΥΝΣΗ Π.Ε. ΕΥΒΟΙΑΣ"/>
    <n v="43.833333333333336"/>
    <s v="41 - 45"/>
  </r>
  <r>
    <n v="99912540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10-09T00:00:00"/>
    <x v="0"/>
    <s v="ΔΙΕΥΘΥΝΣΗ Δ.Ε. Β΄ ΑΘΗΝΑΣ"/>
    <n v="43.836111111111109"/>
    <s v="41 - 45"/>
  </r>
  <r>
    <n v="99912541"/>
    <s v="Θ"/>
    <x v="11"/>
    <x v="11"/>
    <m/>
    <m/>
    <s v="Γ΄"/>
    <n v="1"/>
    <n v="6467"/>
    <d v="2018-09-01T00:00:00"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s v="ΟΧΙ"/>
    <s v="ΟΧΙ"/>
    <m/>
    <d v="2018-09-01T00:00:00"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5-10-02T00:00:00"/>
    <x v="0"/>
    <s v="ΔΙΕΥΘΥΝΣΗ Δ.Ε. Γ΄ ΑΘΗΝΑΣ"/>
    <n v="43.855555555555554"/>
    <s v="41 - 45"/>
  </r>
  <r>
    <n v="99912542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10-01T00:00:00"/>
    <x v="1"/>
    <s v="ΔΙΕΥΘΥΝΣΗ Π.Ε. ΑΝΑΤ. ΘΕΣ/ΝΙΚΗΣ"/>
    <n v="43.858333333333334"/>
    <s v="41 - 45"/>
  </r>
  <r>
    <n v="99912543"/>
    <s v="Α"/>
    <x v="19"/>
    <x v="19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26"/>
    <s v="ΙΔΙΩΤΙΚΟ ΓΥΜΝΑΣ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9-30T00:00:00"/>
    <x v="0"/>
    <s v="ΔΙΕΥΘΥΝΣΗ Δ.Ε. ΑΝΑΤΟΛΙΚΗΣ ΑΤΤΙΚΗΣ"/>
    <n v="43.861111111111114"/>
    <s v="41 - 45"/>
  </r>
  <r>
    <n v="99912544"/>
    <s v="Α"/>
    <x v="8"/>
    <x v="8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3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9-26T00:00:00"/>
    <x v="1"/>
    <s v="ΔΙΕΥΘΥΝΣΗ Π.Ε. ΗΡΑΚΛΕΙΟΥ"/>
    <n v="43.87222222222222"/>
    <s v="41 - 45"/>
  </r>
  <r>
    <n v="99912545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9-24T00:00:00"/>
    <x v="0"/>
    <s v="ΔΙΕΥΘΥΝΣΗ Δ.Ε. Β΄ ΑΘΗΝΑΣ"/>
    <n v="43.87777777777778"/>
    <s v="41 - 45"/>
  </r>
  <r>
    <n v="99912546"/>
    <s v="Α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9-23T00:00:00"/>
    <x v="0"/>
    <s v="ΔΙΕΥΘΥΝΣΗ Δ.Ε. Γ΄ ΑΘΗΝΑΣ"/>
    <n v="43.880555555555553"/>
    <s v="41 - 45"/>
  </r>
  <r>
    <n v="99912547"/>
    <s v="Θ"/>
    <x v="0"/>
    <x v="0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9-22T00:00:00"/>
    <x v="1"/>
    <s v="ΔΙΕΥΘΥΝΣΗ Π.Ε. Α΄ ΑΘΗΝΑΣ"/>
    <n v="43.883333333333333"/>
    <s v="41 - 45"/>
  </r>
  <r>
    <n v="99912548"/>
    <s v="Α"/>
    <x v="14"/>
    <x v="14"/>
    <m/>
    <m/>
    <s v="Γ΄"/>
    <n v="1"/>
    <s v="Φ.17/16539/10/24-10-2018"/>
    <d v="2018-09-19T00:00:00"/>
    <s v="ΑΧΑΪΑΣ (Δ.Ε.) 2018"/>
    <s v="ΔΙΕΥΘΥΝΣΗ Δ.Ε. ΑΧΑΪΑΣ"/>
    <s v="ΠΕΡΙΦΕΡΕΙΑΚΗ Δ/ΝΣΗ Α/ΘΜΙΑΣ ΚΑΙ Β/ΘΜΙΑΣ ΕΚΠ/ΣΗΣ ΔΥΤΙΚΗΣ ΕΛΛΑΔΑΣ"/>
    <n v="3"/>
    <s v="ΟΧΙ"/>
    <m/>
    <m/>
    <m/>
    <s v="ΟΧΙ"/>
    <m/>
    <d v="2018-09-19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5-09-20T00:00:00"/>
    <x v="0"/>
    <s v="ΔΙΕΥΘΥΝΣΗ Δ.Ε. ΑΧΑΪΑΣ"/>
    <n v="43.888888888888886"/>
    <s v="41 - 45"/>
  </r>
  <r>
    <n v="99912549"/>
    <s v="Θ"/>
    <x v="0"/>
    <x v="0"/>
    <m/>
    <m/>
    <s v="Γ΄"/>
    <n v="3"/>
    <s v="Φ.17.2/256/6822"/>
    <d v="2018-10-15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10-15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9-15T00:00:00"/>
    <x v="1"/>
    <s v="ΔΙΕΥΘΥΝΣΗ Π.Ε. Β΄ ΑΘΗΝΑΣ"/>
    <n v="43.902777777777779"/>
    <s v="41 - 45"/>
  </r>
  <r>
    <n v="99912550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5-09-14T00:00:00"/>
    <x v="0"/>
    <s v="ΔΙΕΥΘΥΝΣΗ Δ.Ε. ΛΑΡΙΣΑΣ"/>
    <n v="43.905555555555559"/>
    <s v="41 - 45"/>
  </r>
  <r>
    <n v="99912551"/>
    <s v="Θ"/>
    <x v="0"/>
    <x v="0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5-09-02T00:00:00"/>
    <x v="1"/>
    <s v="ΔΙΕΥΘΥΝΣΗ Π.Ε. ΑΧΑΪΑΣ"/>
    <n v="43.93888888888889"/>
    <s v="41 - 45"/>
  </r>
  <r>
    <n v="99912552"/>
    <s v="Θ"/>
    <x v="18"/>
    <x v="18"/>
    <m/>
    <m/>
    <s v="Γ΄"/>
    <n v="1"/>
    <n v="3215"/>
    <d v="2018-09-01T00:00:00"/>
    <s v="ΤΡΙΚΑΛΩΝ (Π.Ε.) 2018"/>
    <s v="ΔΙΕΥΘΥΝΣΗ Π.Ε. ΤΡΙΚΑΛΩΝ"/>
    <s v="ΠΕΡΙΦΕΡΕΙΑΚΗ Δ/ΝΣΗ Α/ΘΜΙΑΣ ΚΑΙ Β/ΘΜΙΑΣ ΕΚΠ/ΣΗΣ ΘΕΣΣΑΛΙΑΣ"/>
    <n v="4"/>
    <s v="ΟΧΙ"/>
    <s v="ΟΧΙ"/>
    <s v="ΟΧΙ"/>
    <s v="ΟΧΙ"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5-09-02T00:00:00"/>
    <x v="1"/>
    <s v="ΔΙΕΥΘΥΝΣΗ Π.Ε. ΤΡΙΚΑΛΩΝ"/>
    <n v="43.93888888888889"/>
    <s v="41 - 45"/>
  </r>
  <r>
    <n v="99912553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27T00:00:00"/>
    <x v="0"/>
    <s v="ΔΙΕΥΘΥΝΣΗ Δ.Ε. Γ΄ ΑΘΗΝΑΣ"/>
    <n v="43.955555555555556"/>
    <s v="41 - 45"/>
  </r>
  <r>
    <n v="99912554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23T00:00:00"/>
    <x v="0"/>
    <s v="ΔΙΕΥΘΥΝΣΗ Δ.Ε. Β΄ ΑΘΗΝΑΣ"/>
    <n v="43.966666666666669"/>
    <s v="41 - 45"/>
  </r>
  <r>
    <n v="99912555"/>
    <s v="Θ"/>
    <x v="6"/>
    <x v="6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23T00:00:00"/>
    <x v="1"/>
    <s v="ΔΙΕΥΘΥΝΣΗ Π.Ε. Α΄ ΑΘΗΝΑΣ"/>
    <n v="43.966666666666669"/>
    <s v="41 - 45"/>
  </r>
  <r>
    <n v="99912556"/>
    <s v="Α"/>
    <x v="0"/>
    <x v="0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5-08-22T00:00:00"/>
    <x v="1"/>
    <s v="ΔΙΕΥΘΥΝΣΗ Π.Ε. ΜΕΣΣΗΝΙΑΣ"/>
    <n v="43.969444444444441"/>
    <s v="41 - 45"/>
  </r>
  <r>
    <n v="99912557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20T00:00:00"/>
    <x v="0"/>
    <s v="ΔΙΕΥΘΥΝΣΗ Δ.Ε. Γ΄ ΑΘΗΝΑΣ"/>
    <n v="43.975000000000001"/>
    <s v="41 - 45"/>
  </r>
  <r>
    <n v="99912558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8-20T00:00:00"/>
    <x v="1"/>
    <s v="ΔΙΕΥΘΥΝΣΗ Π.Ε. ΑΝΑΤ. ΘΕΣ/ΝΙΚΗΣ"/>
    <n v="43.975000000000001"/>
    <s v="41 - 45"/>
  </r>
  <r>
    <n v="99912559"/>
    <s v="Α"/>
    <x v="14"/>
    <x v="14"/>
    <s v="ΠΕ84"/>
    <s v="ΗΛΕΚΤΡΟΝΙΚΩΝ"/>
    <s v="Γ΄"/>
    <n v="1"/>
    <s v="Β2ΙΕ9-ΥΥΕ"/>
    <d v="2014-09-18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4-09-18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19T00:00:00"/>
    <x v="0"/>
    <s v="ΔΙΕΥΘΥΝΣΗ Δ.Ε. Β΄ ΑΘΗΝΑΣ"/>
    <n v="43.977777777777774"/>
    <s v="41 - 45"/>
  </r>
  <r>
    <n v="99912560"/>
    <s v="Α"/>
    <x v="1"/>
    <x v="1"/>
    <m/>
    <m/>
    <s v="Γ΄"/>
    <n v="1"/>
    <s v="3100/26-10-11"/>
    <d v="2018-09-01T00:00:00"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18T00:00:00"/>
    <x v="1"/>
    <s v="ΔΙΕΥΘΥΝΣΗ Π.Ε. Β΄ ΑΘΗΝΑΣ"/>
    <n v="43.980555555555554"/>
    <s v="41 - 45"/>
  </r>
  <r>
    <n v="9991256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13T00:00:00"/>
    <x v="0"/>
    <s v="ΔΙΕΥΘΥΝΣΗ Δ.Ε. Β΄ ΑΘΗΝΑΣ"/>
    <n v="43.994444444444447"/>
    <s v="41 - 45"/>
  </r>
  <r>
    <n v="99912562"/>
    <s v="Θ"/>
    <x v="2"/>
    <x v="2"/>
    <m/>
    <m/>
    <s v="Γ΄"/>
    <n v="1"/>
    <n v="10328"/>
    <d v="2018-09-18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18T00:00:00"/>
    <s v="Ιδιωτικά Σχολεία"/>
    <x v="2"/>
    <s v="7054011"/>
    <s v="ΙΔΙΩΤΙΚΟ ΝΗΠΙΑΓΩΓΕΙΟ ΕΚΠΑΙΔΕΥΤΗΡΙΩΝ ΓΙΑΝΝΟΠΟΥΛΟΥ Α.Ε."/>
    <s v="Δ΄ ΑΘΗΝΑΣ (Π.Ε.) 2018"/>
    <x v="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5-08-13T00:00:00"/>
    <x v="1"/>
    <s v="ΔΙΕΥΘΥΝΣΗ Π.Ε. Δ΄ ΑΘΗΝΑΣ"/>
    <n v="43.994444444444447"/>
    <s v="41 - 45"/>
  </r>
  <r>
    <n v="99912563"/>
    <s v="Θ"/>
    <x v="6"/>
    <x v="6"/>
    <m/>
    <m/>
    <s v="Γ΄"/>
    <n v="1"/>
    <n v="991"/>
    <d v="2018-09-01T00:00:00"/>
    <s v="Δ΄ ΑΘΗΝΑΣ (Π.Ε.) 2018"/>
    <s v="ΔΙΕΥΘΥΝΣΗ Π.Ε. Δ΄ ΑΘΗΝΑΣ"/>
    <s v="ΠΕΡΙΦΕΡΕΙΑΚΗ Δ/ΝΣΗ Α/ΘΜΙΑΣ ΚΑΙ Β/ΘΜΙΑΣ ΕΚΠ/ΣΗΣ ΑΤΤΙΚΗΣ"/>
    <n v="5"/>
    <s v="ΟΧΙ"/>
    <m/>
    <m/>
    <m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12T00:00:00"/>
    <x v="1"/>
    <s v="ΔΙΕΥΘΥΝΣΗ Π.Ε. Δ΄ ΑΘΗΝΑΣ"/>
    <n v="43.99722222222222"/>
    <s v="41 - 45"/>
  </r>
  <r>
    <n v="99912564"/>
    <s v="Α"/>
    <x v="7"/>
    <x v="7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08T00:00:00"/>
    <x v="1"/>
    <s v="ΔΙΕΥΘΥΝΣΗ Π.Ε. Β΄ ΑΘΗΝΑΣ"/>
    <n v="44.008333333333333"/>
    <s v="41 - 45"/>
  </r>
  <r>
    <n v="99912565"/>
    <s v="Θ"/>
    <x v="0"/>
    <x v="0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2"/>
    <s v="ΟΧΙ"/>
    <s v="ΟΧΙ"/>
    <s v="ΟΧΙ"/>
    <m/>
    <s v="ΟΧΙ"/>
    <m/>
    <m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5-08-08T00:00:00"/>
    <x v="0"/>
    <s v="ΔΙΕΥΘΥΝΣΗ Δ.Ε. ΑΧΑΪΑΣ"/>
    <n v="44.008333333333333"/>
    <s v="41 - 45"/>
  </r>
  <r>
    <n v="99912566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8-06T00:00:00"/>
    <x v="0"/>
    <s v="ΔΙΕΥΘΥΝΣΗ Δ.Ε. ΑΝΑΤΟΛΙΚΗΣ ΑΤΤΙΚΗΣ"/>
    <n v="44.013888888888886"/>
    <s v="41 - 45"/>
  </r>
  <r>
    <n v="99912567"/>
    <s v="Θ"/>
    <x v="15"/>
    <x v="15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8-04T00:00:00"/>
    <x v="0"/>
    <s v="ΔΙΕΥΘΥΝΣΗ Δ.Ε. ΑΝΑΤΟΛΙΚΗΣ ΑΤΤΙΚΗΣ"/>
    <n v="44.019444444444446"/>
    <s v="41 - 45"/>
  </r>
  <r>
    <n v="99912568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29T00:00:00"/>
    <x v="0"/>
    <s v="ΔΙΕΥΘΥΝΣΗ Δ.Ε. ΠΕΙΡΑΙΑ"/>
    <n v="44.036111111111111"/>
    <s v="41 - 45"/>
  </r>
  <r>
    <n v="9991256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25T00:00:00"/>
    <x v="0"/>
    <s v="ΔΙΕΥΘΥΝΣΗ Δ.Ε. Β΄ ΑΘΗΝΑΣ"/>
    <n v="44.047222222222224"/>
    <s v="41 - 45"/>
  </r>
  <r>
    <n v="99912570"/>
    <s v="Θ"/>
    <x v="2"/>
    <x v="2"/>
    <m/>
    <m/>
    <s v="Γ΄"/>
    <n v="1"/>
    <s v="2374/16-09-2005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2"/>
    <s v="7052041"/>
    <s v="ΙΔΙΩΤΙΚΟ ΝΗΠΙΑΓΩΓΕΙ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22T00:00:00"/>
    <x v="1"/>
    <s v="ΔΙΕΥΘΥΝΣΗ Π.Ε. Β΄ ΑΘΗΝΑΣ"/>
    <n v="44.055555555555557"/>
    <s v="41 - 45"/>
  </r>
  <r>
    <n v="99912571"/>
    <s v="Θ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0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5-07-21T00:00:00"/>
    <x v="0"/>
    <s v="ΔΙΕΥΘΥΝΣΗ Δ.Ε. ΚΥΚΛΑΔΩΝ"/>
    <n v="44.05833333333333"/>
    <s v="41 - 45"/>
  </r>
  <r>
    <n v="99912572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14T00:00:00"/>
    <x v="0"/>
    <s v="ΔΙΕΥΘΥΝΣΗ Δ.Ε. Γ΄ ΑΘΗΝΑΣ"/>
    <n v="44.077777777777776"/>
    <s v="41 - 45"/>
  </r>
  <r>
    <n v="99912573"/>
    <s v="Θ"/>
    <x v="0"/>
    <x v="0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14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5-07-14T00:00:00"/>
    <x v="1"/>
    <s v="ΔΙΕΥΘΥΝΣΗ Π.Ε. ΚΟΡΙΝΘΙΑΣ"/>
    <n v="44.077777777777776"/>
    <s v="41 - 45"/>
  </r>
  <r>
    <n v="99912574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7-09T00:00:00"/>
    <x v="0"/>
    <s v="ΔΙΕΥΘΥΝΣΗ Δ.Ε. ΑΝΑΤΟΛΙΚΗΣ ΑΤΤΙΚΗΣ"/>
    <n v="44.091666666666669"/>
    <s v="41 - 45"/>
  </r>
  <r>
    <n v="99912575"/>
    <s v="Α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03T00:00:00"/>
    <x v="0"/>
    <s v="ΔΙΕΥΘΥΝΣΗ Δ.Ε. Β΄ ΑΘΗΝΑΣ"/>
    <n v="44.108333333333334"/>
    <s v="41 - 45"/>
  </r>
  <r>
    <n v="99912576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1011"/>
    <s v="ΜΟΝΤΕΣΣΟΡΙΑΝΗ ΣΧΟΛΗ ΑΘΗΝΩΝ ΜΑΡΙΑ ΓΟΥΔΕΛΗ ΑΕΕ - ΝΗΠΙΑΓΩΓΕΙΟ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02T00:00:00"/>
    <x v="1"/>
    <s v="ΔΙΕΥΘΥΝΣΗ Π.Ε. Α΄ ΑΘΗΝΑΣ"/>
    <n v="44.111111111111114"/>
    <s v="41 - 45"/>
  </r>
  <r>
    <n v="99912577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7-01T00:00:00"/>
    <x v="0"/>
    <s v="ΔΙΕΥΘΥΝΣΗ Δ.Ε. Β΄ ΑΘΗΝΑΣ"/>
    <n v="44.113888888888887"/>
    <s v="41 - 45"/>
  </r>
  <r>
    <n v="99912578"/>
    <s v="Α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7-01T00:00:00"/>
    <x v="0"/>
    <s v="ΔΙΕΥΘΥΝΣΗ Δ.Ε. Β΄ ΑΘΗΝΑΣ"/>
    <n v="44.113888888888887"/>
    <s v="41 - 45"/>
  </r>
  <r>
    <n v="99912579"/>
    <s v="Θ"/>
    <x v="10"/>
    <x v="1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6-24T00:00:00"/>
    <x v="0"/>
    <s v="ΔΙΕΥΘΥΝΣΗ Δ.Ε. ΑΝΑΤ. ΘΕΣ/ΝΙΚΗΣ"/>
    <n v="44.133333333333333"/>
    <s v="41 - 45"/>
  </r>
  <r>
    <n v="99912580"/>
    <s v="Θ"/>
    <x v="18"/>
    <x v="18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6-23T00:00:00"/>
    <x v="1"/>
    <s v="ΔΙΕΥΘΥΝΣΗ Π.Ε. Α΄ ΑΘΗΝΑΣ"/>
    <n v="44.136111111111113"/>
    <s v="41 - 45"/>
  </r>
  <r>
    <n v="99912581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6-19T00:00:00"/>
    <x v="0"/>
    <s v="ΔΙΕΥΘΥΝΣΗ Δ.Ε. Β΄ ΑΘΗΝΑΣ"/>
    <n v="44.147222222222226"/>
    <s v="41 - 45"/>
  </r>
  <r>
    <n v="99912582"/>
    <s v="Θ"/>
    <x v="1"/>
    <x v="1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8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6-17T00:00:00"/>
    <x v="1"/>
    <s v="ΔΙΕΥΘΥΝΣΗ Π.Ε. Β΄ ΑΘΗΝΑΣ"/>
    <n v="44.152777777777779"/>
    <s v="41 - 45"/>
  </r>
  <r>
    <n v="99912583"/>
    <s v="Θ"/>
    <x v="0"/>
    <x v="0"/>
    <m/>
    <m/>
    <s v="Β΄"/>
    <n v="3"/>
    <s v="Φ.Ι.Α./2164/6-4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6-14T00:00:00"/>
    <x v="1"/>
    <s v="ΔΙΕΥΘΥΝΣΗ Π.Ε. ΑΝΑΤΟΛΙΚΗΣ ΑΤΤΙΚΗΣ"/>
    <n v="44.161111111111111"/>
    <s v="41 - 45"/>
  </r>
  <r>
    <n v="99912584"/>
    <s v="Α"/>
    <x v="31"/>
    <x v="30"/>
    <m/>
    <m/>
    <s v="Γ΄"/>
    <n v="1"/>
    <s v="ΩΕ3Π4653ΠΣ-Ψ0Ν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6-13T00:00:00"/>
    <x v="0"/>
    <s v="ΔΙΕΥΘΥΝΣΗ Δ.Ε. Β΄ ΑΘΗΝΑΣ"/>
    <n v="44.163888888888891"/>
    <s v="41 - 45"/>
  </r>
  <r>
    <n v="9991258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6-11T00:00:00"/>
    <x v="0"/>
    <s v="ΔΙΕΥΘΥΝΣΗ Δ.Ε. Β΄ ΑΘΗΝΑΣ"/>
    <n v="44.169444444444444"/>
    <s v="41 - 45"/>
  </r>
  <r>
    <n v="99912586"/>
    <s v="Θ"/>
    <x v="0"/>
    <x v="0"/>
    <m/>
    <m/>
    <s v="Γ΄"/>
    <n v="1"/>
    <m/>
    <d v="2006-09-15T00:00:00"/>
    <s v="ΣΕΡΡΩΝ (Δ.Ε.) 2018"/>
    <s v="ΔΙΕΥΘΥΝΣΗ Δ.Ε. ΣΕΡΡΩΝ"/>
    <s v="ΠΕΡΙΦΕΡΕΙΑΚΗ Δ/ΝΣΗ Α/ΘΜΙΑΣ ΚΑΙ Β/ΘΜΙΑΣ ΕΚΠ/ΣΗΣ ΚΕΝΤΡΙΚΗΣ ΜΑΚΕΔΟΝΙΑΣ"/>
    <n v="10"/>
    <s v="ΟΧΙ"/>
    <s v="ΟΧΙ"/>
    <s v="ΟΧΙ"/>
    <s v="ΟΧΙ"/>
    <s v="ΟΧΙ"/>
    <m/>
    <d v="2006-09-15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6-08T00:00:00"/>
    <x v="0"/>
    <s v="ΔΙΕΥΘΥΝΣΗ Δ.Ε. ΣΕΡΡΩΝ"/>
    <n v="44.177777777777777"/>
    <s v="41 - 45"/>
  </r>
  <r>
    <n v="99912587"/>
    <s v="Θ"/>
    <x v="2"/>
    <x v="2"/>
    <m/>
    <m/>
    <s v="Γ΄"/>
    <n v="1"/>
    <s v="26094/17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03"/>
    <s v="ΙΔΙΩΤΙΚΟ ΝΗΠΙΑΓΩΓΕΙΟ ΑΣΒΕΣΤΟΧΩΡΙ ΘΕΣΣΑΛΟΝΙΚΗΣ - Μ.Μ. ΚΩΝΣΤΑΝΤΙΝΙΔΟΥ - Μ. ΠΕΤΡΙΔΗΣ Ο.Ε.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5-06-05T00:00:00"/>
    <x v="1"/>
    <s v="ΔΙΕΥΘΥΝΣΗ Π.Ε. ΑΝΑΤ. ΘΕΣ/ΝΙΚΗΣ"/>
    <n v="44.18611111111111"/>
    <s v="41 - 45"/>
  </r>
  <r>
    <n v="99912588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6-03T00:00:00"/>
    <x v="0"/>
    <s v="ΔΙΕΥΘΥΝΣΗ Δ.Ε. Β΄ ΑΘΗΝΑΣ"/>
    <n v="44.19166666666667"/>
    <s v="41 - 45"/>
  </r>
  <r>
    <n v="99912589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5-28T00:00:00"/>
    <x v="0"/>
    <s v="ΔΙΕΥΘΥΝΣΗ Δ.Ε. Γ΄ ΑΘΗΝΑΣ"/>
    <n v="44.208333333333336"/>
    <s v="41 - 45"/>
  </r>
  <r>
    <n v="99912590"/>
    <s v="Θ"/>
    <x v="3"/>
    <x v="3"/>
    <m/>
    <m/>
    <s v="Γ΄"/>
    <n v="1"/>
    <n v="13977"/>
    <d v="2018-10-01T00:00:00"/>
    <s v="Δ΄ ΑΘΗΝΑΣ (Δ.Ε.) 2018"/>
    <s v="ΔΙΕΥΘΥΝΣΗ Δ.Ε. Δ΄ ΑΘΗΝΑΣ"/>
    <s v="ΠΕΡΙΦΕΡΕΙΑΚΗ Δ/ΝΣΗ Α/ΘΜΙΑΣ ΚΑΙ Β/ΘΜΙΑΣ ΕΚΠ/ΣΗΣ ΑΤΤΙΚΗΣ"/>
    <n v="10"/>
    <s v="ΟΧΙ"/>
    <s v="ΟΧΙ"/>
    <s v="ΟΧΙ"/>
    <m/>
    <s v="ΟΧΙ"/>
    <m/>
    <d v="2018-10-01T00:00:00"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5-05-26T00:00:00"/>
    <x v="0"/>
    <s v="ΔΙΕΥΘΥΝΣΗ Δ.Ε. Δ΄ ΑΘΗΝΑΣ"/>
    <n v="44.213888888888889"/>
    <s v="41 - 45"/>
  </r>
  <r>
    <n v="99912591"/>
    <s v="Θ"/>
    <x v="19"/>
    <x v="19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5-11T00:00:00"/>
    <x v="0"/>
    <s v="ΔΙΕΥΘΥΝΣΗ Δ.Ε. ΔΥΤ. ΘΕΣ/ΝΙΚΗΣ"/>
    <n v="44.255555555555553"/>
    <s v="41 - 45"/>
  </r>
  <r>
    <n v="99912592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5-04T00:00:00"/>
    <x v="1"/>
    <s v="ΔΙΕΥΘΥΝΣΗ Π.Ε. ΑΝΑΤΟΛΙΚΗΣ ΑΤΤΙΚΗΣ"/>
    <n v="44.274999999999999"/>
    <s v="41 - 45"/>
  </r>
  <r>
    <n v="99912593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5-01T00:00:00"/>
    <x v="0"/>
    <s v="ΔΙΕΥΘΥΝΣΗ Δ.Ε. Γ΄ ΑΘΗΝΑΣ"/>
    <n v="44.283333333333331"/>
    <s v="41 - 45"/>
  </r>
  <r>
    <n v="99912594"/>
    <s v="Α"/>
    <x v="0"/>
    <x v="0"/>
    <m/>
    <m/>
    <s v="Γ΄"/>
    <n v="1"/>
    <n v="19287"/>
    <d v="2018-09-03T00:00:00"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m/>
    <s v="ΟΧΙ"/>
    <m/>
    <d v="2018-09-03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5-04-28T00:00:00"/>
    <x v="0"/>
    <s v="ΔΙΕΥΘΥΝΣΗ Δ.Ε. ΠΕΙΡΑΙΑ"/>
    <n v="44.291666666666664"/>
    <s v="41 - 45"/>
  </r>
  <r>
    <n v="99912595"/>
    <s v="Θ"/>
    <x v="1"/>
    <x v="1"/>
    <m/>
    <m/>
    <s v="Α΄"/>
    <n v="8"/>
    <m/>
    <m/>
    <s v="Α΄ ΜΑΓΝΗΣΙΑΣ (Π.Ε.) 2018"/>
    <s v="ΔΙΕΥΘΥΝΣΗ Π.Ε. ΜΑΓΝΗΣΙΑΣ"/>
    <s v="ΠΕΡΙΦΕΡΕΙΑΚΗ Δ/ΝΣΗ Α/ΘΜΙΑΣ ΚΑΙ Β/ΘΜΙΑΣ ΕΚΠ/ΣΗΣ ΘΕΣΣΑΛΙΑΣ"/>
    <n v="22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5-04-22T00:00:00"/>
    <x v="1"/>
    <s v="ΔΙΕΥΘΥΝΣΗ Π.Ε. ΜΑΓΝΗΣΙΑΣ"/>
    <n v="44.30833333333333"/>
    <s v="41 - 45"/>
  </r>
  <r>
    <n v="99912596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4-15T00:00:00"/>
    <x v="1"/>
    <s v="ΔΙΕΥΘΥΝΣΗ Π.Ε. ΧΑΝΙΩΝ"/>
    <n v="44.327777777777776"/>
    <s v="41 - 45"/>
  </r>
  <r>
    <n v="99912597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4-14T00:00:00"/>
    <x v="1"/>
    <s v="ΔΙΕΥΘΥΝΣΗ Π.Ε. ΠΕΙΡΑΙΑ"/>
    <n v="44.330555555555556"/>
    <s v="41 - 45"/>
  </r>
  <r>
    <n v="99912598"/>
    <s v="Θ"/>
    <x v="7"/>
    <x v="7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4-02T00:00:00"/>
    <x v="1"/>
    <s v="ΔΙΕΥΘΥΝΣΗ Π.Ε. ΑΝΑΤΟΛΙΚΗΣ ΑΤΤΙΚΗΣ"/>
    <n v="44.363888888888887"/>
    <s v="41 - 45"/>
  </r>
  <r>
    <n v="99912599"/>
    <s v="Θ"/>
    <x v="1"/>
    <x v="1"/>
    <m/>
    <m/>
    <s v="Γ΄"/>
    <n v="1"/>
    <n v="2750"/>
    <d v="2018-09-01T00:00:00"/>
    <s v="ΤΡΙΚΑΛΩΝ (Π.Ε.) 2018"/>
    <s v="ΔΙΕΥΘΥΝΣΗ Π.Ε. ΤΡΙΚΑΛΩΝ"/>
    <s v="ΠΕΡΙΦΕΡΕΙΑΚΗ Δ/ΝΣΗ Α/ΘΜΙΑΣ ΚΑΙ Β/ΘΜΙΑΣ ΕΚΠ/ΣΗΣ ΘΕΣΣΑΛΙΑΣ"/>
    <n v="21"/>
    <s v="ΟΧΙ"/>
    <m/>
    <m/>
    <m/>
    <s v="ΟΧΙ"/>
    <m/>
    <d v="2018-09-01T00:00:00"/>
    <s v="Ιδιωτικά Σχολεία"/>
    <x v="1"/>
    <s v="7451000"/>
    <s v="ΙΔΙΩΤΙΚΟ ΔΗΜΟΤΙΚΟ ΤΡΙΚΑΛΑ - Φ. ΣΑΚΚΑ ΚΑΙ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5-03-31T00:00:00"/>
    <x v="1"/>
    <s v="ΔΙΕΥΘΥΝΣΗ Π.Ε. ΤΡΙΚΑΛΩΝ"/>
    <n v="44.369444444444447"/>
    <s v="41 - 45"/>
  </r>
  <r>
    <n v="99912600"/>
    <s v="Θ"/>
    <x v="0"/>
    <x v="0"/>
    <m/>
    <m/>
    <s v="Α΄"/>
    <n v="5"/>
    <s v="Φ.Ι.Α.1/23423/15-0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2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3-22T00:00:00"/>
    <x v="1"/>
    <s v="ΔΙΕΥΘΥΝΣΗ Π.Ε. ΑΝΑΤΟΛΙΚΗΣ ΑΤΤΙΚΗΣ"/>
    <n v="44.394444444444446"/>
    <s v="41 - 45"/>
  </r>
  <r>
    <n v="99912601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15T00:00:00"/>
    <x v="0"/>
    <s v="ΔΙΕΥΘΥΝΣΗ Δ.Ε. Γ΄ ΑΘΗΝΑΣ"/>
    <n v="44.413888888888891"/>
    <s v="41 - 45"/>
  </r>
  <r>
    <n v="99912602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1025"/>
    <s v="ΙΔΙΩΤΙΚΟ ΝΗΠΙΑΓΩΓΕΙΟ ΜΑΥΡΟΜΜΑΤΗ ΜΑΡΙΑ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14T00:00:00"/>
    <x v="1"/>
    <s v="ΔΙΕΥΘΥΝΣΗ Π.Ε. Α΄ ΑΘΗΝΑΣ"/>
    <n v="44.416666666666664"/>
    <s v="41 - 45"/>
  </r>
  <r>
    <n v="99912603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2"/>
    <s v="7541049"/>
    <s v="ΣΥΣΤΕΓΑΖΟΜΕΝΟ ΝΗΠΙΑΓΩΓΕΙΟ - ΚΥΡΑΓΙΑΝΝΗ ΜΑΡΓΑΡΙΤΑ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14T00:00:00"/>
    <x v="1"/>
    <s v="ΔΙΕΥΘΥΝΣΗ Π.Ε. ΠΕΙΡΑΙΑ"/>
    <n v="44.416666666666664"/>
    <s v="41 - 45"/>
  </r>
  <r>
    <n v="99912604"/>
    <s v="Α"/>
    <x v="0"/>
    <x v="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12T00:00:00"/>
    <x v="0"/>
    <s v="ΔΙΕΥΘΥΝΣΗ Δ.Ε. Α΄ ΑΘΗΝΑΣ"/>
    <n v="44.422222222222224"/>
    <s v="41 - 45"/>
  </r>
  <r>
    <n v="99912605"/>
    <s v="Θ"/>
    <x v="9"/>
    <x v="9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3T00:00:00"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5-03-11T00:00:00"/>
    <x v="0"/>
    <s v="ΔΙΕΥΘΥΝΣΗ Δ.Ε. Δ΄ ΑΘΗΝΑΣ"/>
    <n v="44.424999999999997"/>
    <s v="41 - 45"/>
  </r>
  <r>
    <n v="99912606"/>
    <s v="Θ"/>
    <x v="3"/>
    <x v="3"/>
    <m/>
    <m/>
    <s v="Γ΄"/>
    <n v="1"/>
    <s v="18177/10-10-2018"/>
    <d v="2018-09-01T00:00:00"/>
    <s v="ΛΑΡΙΣΑΣ (Δ.Ε.) 2018"/>
    <s v="ΔΙΕΥΘΥΝΣΗ Δ.Ε. ΛΑΡΙΣΑΣ"/>
    <s v="ΠΕΡΙΦΕΡΕΙΑΚΗ Δ/ΝΣΗ Α/ΘΜΙΑΣ ΚΑΙ Β/ΘΜΙΑΣ ΕΚΠ/ΣΗΣ ΘΕΣΣΑΛΙΑΣ"/>
    <n v="8"/>
    <s v="ΟΧΙ"/>
    <s v="ΟΧΙ"/>
    <s v="ΟΧΙ"/>
    <s v="ΟΧΙ"/>
    <s v="ΟΧΙ"/>
    <m/>
    <d v="2018-09-01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5-03-11T00:00:00"/>
    <x v="0"/>
    <s v="ΔΙΕΥΘΥΝΣΗ Δ.Ε. ΛΑΡΙΣΑΣ"/>
    <n v="44.424999999999997"/>
    <s v="41 - 45"/>
  </r>
  <r>
    <n v="9991260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3-09T00:00:00"/>
    <x v="0"/>
    <s v="ΔΙΕΥΘΥΝΣΗ Δ.Ε. Β΄ ΑΘΗΝΑΣ"/>
    <n v="44.430555555555557"/>
    <s v="41 - 45"/>
  </r>
  <r>
    <n v="99912608"/>
    <s v="Θ"/>
    <x v="8"/>
    <x v="8"/>
    <m/>
    <m/>
    <s v="Α΄"/>
    <n v="1"/>
    <s v="6008/17-12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9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08T00:00:00"/>
    <x v="1"/>
    <s v="ΔΙΕΥΘΥΝΣΗ Π.Ε. ΑΝΑΤΟΛΙΚΗΣ ΑΤΤΙΚΗΣ"/>
    <n v="44.43333333333333"/>
    <s v="41 - 45"/>
  </r>
  <r>
    <n v="99912609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5-03-03T00:00:00"/>
    <x v="0"/>
    <s v="ΔΙΕΥΘΥΝΣΗ Δ.Ε. Β΄ ΑΘΗΝΑΣ"/>
    <n v="44.447222222222223"/>
    <s v="41 - 45"/>
  </r>
  <r>
    <n v="99912610"/>
    <s v="Α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03T00:00:00"/>
    <x v="1"/>
    <s v="ΔΙΕΥΘΥΝΣΗ Π.Ε. Β΄ ΑΘΗΝΑΣ"/>
    <n v="44.447222222222223"/>
    <s v="41 - 45"/>
  </r>
  <r>
    <n v="99912611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3-02T00:00:00"/>
    <x v="0"/>
    <s v="ΔΙΕΥΘΥΝΣΗ Δ.Ε. ΑΝΑΤΟΛΙΚΗΣ ΑΤΤΙΚΗΣ"/>
    <n v="44.45"/>
    <s v="41 - 45"/>
  </r>
  <r>
    <n v="99912612"/>
    <s v="Θ"/>
    <x v="7"/>
    <x v="7"/>
    <m/>
    <m/>
    <s v="Α΄"/>
    <n v="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3-01T00:00:00"/>
    <x v="0"/>
    <s v="ΔΙΕΥΘΥΝΣΗ Δ.Ε. ΑΝΑΤ. ΘΕΣ/ΝΙΚΗΣ"/>
    <n v="44.452777777777776"/>
    <s v="41 - 45"/>
  </r>
  <r>
    <n v="99912613"/>
    <s v="Α"/>
    <x v="5"/>
    <x v="5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2-27T00:00:00"/>
    <x v="0"/>
    <s v="ΔΙΕΥΘΥΝΣΗ Δ.Ε. ΧΑΝΙΩΝ"/>
    <n v="44.458333333333336"/>
    <s v="41 - 45"/>
  </r>
  <r>
    <n v="99912614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24T00:00:00"/>
    <x v="0"/>
    <s v="ΔΙΕΥΘΥΝΣΗ Δ.Ε. ΑΝΑΤΟΛΙΚΗΣ ΑΤΤΙΚΗΣ"/>
    <n v="44.466666666666669"/>
    <s v="41 - 45"/>
  </r>
  <r>
    <n v="99912615"/>
    <s v="Α"/>
    <x v="8"/>
    <x v="8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m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2-23T00:00:00"/>
    <x v="1"/>
    <s v="ΔΙΕΥΘΥΝΣΗ Π.Ε. ΧΑΝΙΩΝ"/>
    <n v="44.469444444444441"/>
    <s v="41 - 45"/>
  </r>
  <r>
    <n v="99912616"/>
    <s v="Α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22T00:00:00"/>
    <x v="0"/>
    <s v="ΔΙΕΥΘΥΝΣΗ Δ.Ε. ΠΕΙΡΑΙΑ"/>
    <n v="44.472222222222221"/>
    <s v="41 - 45"/>
  </r>
  <r>
    <n v="99912617"/>
    <s v="Θ"/>
    <x v="2"/>
    <x v="2"/>
    <m/>
    <m/>
    <s v="Γ΄"/>
    <n v="1"/>
    <s v="Φ.Ι.Α.5/25515/4-10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s v="ΟΧΙ"/>
    <s v="ΟΧΙ"/>
    <m/>
    <d v="2016-09-01T00:00:00"/>
    <s v="Ιδιωτικά Σχολεία"/>
    <x v="2"/>
    <s v="7521145"/>
    <s v="ΙΔΙΩΤΙΚΟ ΝΗΠΙΑΓΩΓΕΙΟ - ΕΛΛΗΝΟΑΓΓΛΙΚΗ ΓΝΩΣΗ ΚΑΙ ΠΑΙΔΕΙ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21T00:00:00"/>
    <x v="1"/>
    <s v="ΔΙΕΥΘΥΝΣΗ Π.Ε. ΑΝΑΤΟΛΙΚΗΣ ΑΤΤΙΚΗΣ"/>
    <n v="44.475000000000001"/>
    <s v="41 - 45"/>
  </r>
  <r>
    <n v="99912618"/>
    <s v="Α"/>
    <x v="8"/>
    <x v="8"/>
    <s v="ΠΕ01"/>
    <s v="ΘΕΟΛΟΓΟΙ"/>
    <s v="Α΄"/>
    <n v="4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17T00:00:00"/>
    <x v="1"/>
    <s v="ΔΙΕΥΘΥΝΣΗ Π.Ε. ΑΝΑΤΟΛΙΚΗΣ ΑΤΤΙΚΗΣ"/>
    <n v="44.486111111111114"/>
    <s v="41 - 45"/>
  </r>
  <r>
    <n v="99912619"/>
    <s v="Θ"/>
    <x v="6"/>
    <x v="6"/>
    <m/>
    <m/>
    <s v="Γ΄"/>
    <n v="1"/>
    <s v="42/18-12-2008"/>
    <d v="2018-10-15T00:00:00"/>
    <s v="Α΄ ΕΥΒΟΙΑΣ (Π.Ε.) 2018"/>
    <s v="ΔΙΕΥΘΥΝΣΗ Π.Ε. ΕΥΒΟΙΑΣ"/>
    <s v="ΠΕΡΙΦΕΡΕΙΑΚΗ Δ/ΝΣΗ Α/ΘΜΙΑΣ ΚΑΙ Β/ΘΜΙΑΣ ΕΚΠ/ΣΗΣ ΣΤΕΡΕΑΣ ΕΛΛΑΔΑΣ"/>
    <n v="6"/>
    <s v="ΟΧΙ"/>
    <s v="ΟΧΙ"/>
    <s v="ΟΧΙ"/>
    <s v="ΟΧΙ"/>
    <s v="ΟΧΙ"/>
    <m/>
    <d v="2018-10-15T00:00:00"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5-02-17T00:00:00"/>
    <x v="1"/>
    <s v="ΔΙΕΥΘΥΝΣΗ Π.Ε. ΕΥΒΟΙΑΣ"/>
    <n v="44.486111111111114"/>
    <s v="41 - 45"/>
  </r>
  <r>
    <n v="99912620"/>
    <s v="Α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08T00:00:00"/>
    <x v="0"/>
    <s v="ΔΙΕΥΘΥΝΣΗ Δ.Ε. Β΄ ΑΘΗΝΑΣ"/>
    <n v="44.511111111111113"/>
    <s v="41 - 45"/>
  </r>
  <r>
    <n v="9991262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2-08T00:00:00"/>
    <x v="0"/>
    <s v="ΔΙΕΥΘΥΝΣΗ Δ.Ε. Β΄ ΑΘΗΝΑΣ"/>
    <n v="44.511111111111113"/>
    <s v="41 - 45"/>
  </r>
  <r>
    <n v="99912622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06T00:00:00"/>
    <x v="0"/>
    <s v="ΔΙΕΥΘΥΝΣΗ Δ.Ε. ΑΝΑΤΟΛΙΚΗΣ ΑΤΤΙΚΗΣ"/>
    <n v="44.516666666666666"/>
    <s v="41 - 45"/>
  </r>
  <r>
    <n v="99912623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2-03T00:00:00"/>
    <x v="0"/>
    <s v="ΔΙΕΥΘΥΝΣΗ Δ.Ε. Β΄ ΑΘΗΝΑΣ"/>
    <n v="44.524999999999999"/>
    <s v="41 - 45"/>
  </r>
  <r>
    <n v="99912624"/>
    <s v="Θ"/>
    <x v="2"/>
    <x v="2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s v="ΟΧΙ"/>
    <s v="ΟΧΙ"/>
    <s v="ΟΧΙ"/>
    <s v="ΟΧΙ"/>
    <s v="ΟΧΙ"/>
    <m/>
    <m/>
    <s v="Ιδιωτικά Σχολεία"/>
    <x v="2"/>
    <s v="7271013"/>
    <s v="ΙΔΙΩΤΙΚΟ ΝΗΠΙΑΓΩΓΕΙΟ ΠΤΟΛΕΜΑΪΔΑ - ΠΙΣΤΙΚΟΥΔΗ ΜΑΡΙΑΝΘΗ"/>
    <s v="ΚΟΖΑΝΗΣ (Π.Ε.) 2018"/>
    <x v="24"/>
    <s v="ΠΕΡΙΦΕΡΕΙΑΚΗ Δ/ΝΣΗ Α/ΘΜΙΑΣ ΚΑΙ Β/ΘΜΙΑΣ ΕΚΠ/ΣΗΣ ΔΥΤΙΚΗΣ ΜΑΚΕΔΟΝΙΑΣ"/>
    <s v="Ιδιωτικού Δικαίου Αορίστου Χρόνου (Ι.Δ.Α.Χ.)"/>
    <s v="Τοποθέτηση σε Ιδιωτική Εκπαίδευση"/>
    <d v="1975-01-27T00:00:00"/>
    <x v="1"/>
    <s v="ΔΙΕΥΘΥΝΣΗ Π.Ε. ΚΟΖΑΝΗΣ"/>
    <n v="44.544444444444444"/>
    <s v="41 - 45"/>
  </r>
  <r>
    <n v="99912625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2"/>
    <s v="7051021"/>
    <s v="ΙΔΙΩΤΙΚΟ ΝΗΠΙΑΓΩΓΕΙΟ ΑΘΗΝΑ - ΕΚΠΑΙΔΕΥΤΗΡΙΑ ΑΓΙΟΣ ΠΑΥΛΟΣ ΕΠ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5-01-21T00:00:00"/>
    <x v="1"/>
    <s v="ΔΙΕΥΘΥΝΣΗ Π.Ε. Α΄ ΑΘΗΝΑΣ"/>
    <n v="44.56111111111111"/>
    <s v="41 - 45"/>
  </r>
  <r>
    <n v="99912626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1027"/>
    <s v="ΙΔΙΩΤΙΚΟ ΝΗΠΙΑΓΩΓ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20T00:00:00"/>
    <x v="1"/>
    <s v="ΔΙΕΥΘΥΝΣΗ Π.Ε. Α΄ ΑΘΗΝΑΣ"/>
    <n v="44.56388888888889"/>
    <s v="41 - 45"/>
  </r>
  <r>
    <n v="99912627"/>
    <s v="Θ"/>
    <x v="2"/>
    <x v="2"/>
    <m/>
    <m/>
    <s v="Γ΄"/>
    <n v="1"/>
    <s v="3184/06-10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01"/>
    <s v="ΙΔΙΩΤΙΚΟ ΝΗΠΙΑΓΩΓΕΙΟ ΑΣΒΕΣΤΟΧΩΡΙ ΘΕΣΣΑΛΟΝΙΚΗΣ - Ο ΜΙΚΡΟΣ ΠΡΙΓΚΙΠΑΣ ΣΥΓΧΡΟΝΑ ΕΚΠΑΙΔΕΥΤΙΚΑ ΠΡΟΓΡΑΜΜΑΤΑ Α.Ε.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5-01-17T00:00:00"/>
    <x v="1"/>
    <s v="ΔΙΕΥΘΥΝΣΗ Π.Ε. ΑΝΑΤ. ΘΕΣ/ΝΙΚΗΣ"/>
    <n v="44.572222222222223"/>
    <s v="41 - 45"/>
  </r>
  <r>
    <n v="99912628"/>
    <s v="Θ"/>
    <x v="1"/>
    <x v="1"/>
    <m/>
    <m/>
    <s v="Β΄"/>
    <n v="3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9T00:00:00"/>
    <x v="1"/>
    <s v="ΔΙΕΥΘΥΝΣΗ Π.Ε. Δ΄ ΑΘΗΝΑΣ"/>
    <n v="44.594444444444441"/>
    <s v="41 - 45"/>
  </r>
  <r>
    <n v="99912629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6T00:00:00"/>
    <x v="0"/>
    <s v="ΔΙΕΥΘΥΝΣΗ Δ.Ε. Β΄ ΑΘΗΝΑΣ"/>
    <n v="44.602777777777774"/>
    <s v="41 - 45"/>
  </r>
  <r>
    <n v="99912630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5T00:00:00"/>
    <x v="0"/>
    <s v="ΔΙΕΥΘΥΝΣΗ Δ.Ε. Β΄ ΑΘΗΝΑΣ"/>
    <n v="44.605555555555554"/>
    <s v="41 - 45"/>
  </r>
  <r>
    <n v="99912631"/>
    <s v="Θ"/>
    <x v="7"/>
    <x v="7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0"/>
    <s v="ΔΙΕΥΘΥΝΣΗ Δ.Ε. Α΄ ΑΘΗΝΑΣ"/>
    <n v="44.616666666666667"/>
    <s v="41 - 45"/>
  </r>
  <r>
    <n v="99912632"/>
    <s v="Α"/>
    <x v="7"/>
    <x v="7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0"/>
    <s v="ΔΙΕΥΘΥΝΣΗ Δ.Ε. ΑΝΑΤΟΛΙΚΗΣ ΑΤΤΙΚΗΣ"/>
    <n v="44.616666666666667"/>
    <s v="41 - 45"/>
  </r>
  <r>
    <n v="99912633"/>
    <s v="Θ"/>
    <x v="7"/>
    <x v="7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0"/>
    <s v="ΔΙΕΥΘΥΝΣΗ Δ.Ε. ΑΝΑΤΟΛΙΚΗΣ ΑΤΤΙΚΗΣ"/>
    <n v="44.616666666666667"/>
    <s v="41 - 45"/>
  </r>
  <r>
    <n v="99912634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0"/>
    <s v="ΔΙΕΥΘΥΝΣΗ Δ.Ε. Β΄ ΑΘΗΝΑΣ"/>
    <n v="44.616666666666667"/>
    <s v="41 - 45"/>
  </r>
  <r>
    <n v="99912635"/>
    <s v="Θ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5-01-01T00:00:00"/>
    <x v="0"/>
    <s v="ΔΙΕΥΘΥΝΣΗ Δ.Ε. Β΄ ΑΘΗΝΑΣ"/>
    <n v="44.616666666666667"/>
    <s v="41 - 45"/>
  </r>
  <r>
    <n v="99912636"/>
    <s v="Θ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5-01-01T00:00:00"/>
    <x v="0"/>
    <s v="ΔΙΕΥΘΥΝΣΗ Δ.Ε. Β΄ ΑΘΗΝΑΣ"/>
    <n v="44.616666666666667"/>
    <s v="41 - 45"/>
  </r>
  <r>
    <n v="99912637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0"/>
    <s v="ΔΙΕΥΘΥΝΣΗ Δ.Ε. Β΄ ΑΘΗΝΑΣ"/>
    <n v="44.616666666666667"/>
    <s v="41 - 45"/>
  </r>
  <r>
    <n v="99912638"/>
    <s v="Θ"/>
    <x v="10"/>
    <x v="1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0"/>
    <s v="ΔΙΕΥΘΥΝΣΗ Δ.Ε. Γ΄ ΑΘΗΝΑΣ"/>
    <n v="44.616666666666667"/>
    <s v="41 - 45"/>
  </r>
  <r>
    <n v="99912639"/>
    <s v="Α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5-01-01T00:00:00"/>
    <x v="1"/>
    <s v="ΔΙΕΥΘΥΝΣΗ Π.Ε. ΑΝΑΤΟΛΙΚΗΣ ΑΤΤΙΚΗΣ"/>
    <n v="44.616666666666667"/>
    <s v="41 - 45"/>
  </r>
  <r>
    <n v="99912640"/>
    <s v="Θ"/>
    <x v="13"/>
    <x v="13"/>
    <m/>
    <m/>
    <s v="Β΄"/>
    <n v="2"/>
    <s v="9691/29-10-2015"/>
    <d v="2018-09-01T00:00:00"/>
    <s v="ΑΧΑΪΑΣ (Π.Ε.) 2018"/>
    <s v="ΔΙΕΥΘΥΝΣΗ Π.Ε. ΑΧΑΪΑΣ"/>
    <s v="ΠΕΡΙΦΕΡΕΙΑΚΗ Δ/ΝΣΗ Α/ΘΜΙΑΣ ΚΑΙ Β/ΘΜΙΑΣ ΕΚΠ/ΣΗΣ ΔΥΤΙΚΗΣ ΕΛΛΑΔΑΣ"/>
    <n v="11"/>
    <s v="ΟΧΙ"/>
    <s v="ΟΧΙ"/>
    <s v="ΟΧΙ"/>
    <s v="ΟΧΙ"/>
    <s v="ΟΧΙ"/>
    <m/>
    <d v="2018-09-01T00:00:00"/>
    <s v="Ιδιωτικά Σχολεία"/>
    <x v="1"/>
    <s v="7061004"/>
    <s v="ΙΔΙΩΤΙΚΟ ΔΗΜΟΤΙΚΟ ΠΑΤΡΑΣ ΕΚΠΑΙΔΕΥΤΗΡΙΑ ΑΝΑΓΕΝΝΗΣΗ ΙΚΕ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5-01-01T00:00:00"/>
    <x v="1"/>
    <s v="ΔΙΕΥΘΥΝΣΗ Π.Ε. ΑΧΑΪΑΣ"/>
    <n v="44.616666666666667"/>
    <s v="41 - 45"/>
  </r>
  <r>
    <n v="99912641"/>
    <s v="Α"/>
    <x v="0"/>
    <x v="0"/>
    <m/>
    <m/>
    <s v="Γ΄"/>
    <n v="1"/>
    <s v="10956/7-11-2018"/>
    <d v="2018-11-02T00:00:00"/>
    <s v="ΙΩΑΝΝΙΝΩΝ (Δ.Ε.) 2018"/>
    <s v="ΔΙΕΥΘΥΝΣΗ Δ.Ε. ΙΩΑΝΝΙΝΩΝ"/>
    <s v="ΠΕΡΙΦΕΡΕΙΑΚΗ Δ/ΝΣΗ Α/ΘΜΙΑΣ ΚΑΙ Β/ΘΜΙΑΣ ΕΚΠ/ΣΗΣ ΗΠΕΙΡΟΥ"/>
    <n v="6"/>
    <s v="ΟΧΙ"/>
    <s v="ΟΧΙ"/>
    <s v="ΟΧΙ"/>
    <s v="ΟΧΙ"/>
    <s v="ΟΧΙ"/>
    <m/>
    <d v="2018-11-02T00:00:00"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d v="1975-01-01T00:00:00"/>
    <x v="0"/>
    <s v="ΔΙΕΥΘΥΝΣΗ Δ.Ε. ΙΩΑΝΝΙΝΩΝ"/>
    <n v="44.616666666666667"/>
    <s v="41 - 45"/>
  </r>
  <r>
    <n v="99912642"/>
    <s v="Α"/>
    <x v="10"/>
    <x v="10"/>
    <m/>
    <m/>
    <s v="Γ΄"/>
    <n v="1"/>
    <s v="4341/3-12-2010"/>
    <d v="2018-09-01T00:00:00"/>
    <s v="ΙΩΑΝΝΙΝΩΝ (Π.Ε.) 2018"/>
    <s v="ΔΙΕΥΘΥΝΣΗ Π.Ε. ΙΩΑΝΝΙΝΩΝ"/>
    <s v="ΠΕΡΙΦΕΡΕΙΑΚΗ Δ/ΝΣΗ Α/ΘΜΙΑΣ ΚΑΙ Β/ΘΜΙΑΣ ΕΚΠ/ΣΗΣ ΗΠΕΙΡΟΥ"/>
    <n v="4"/>
    <s v="ΟΧΙ"/>
    <s v="ΟΧΙ"/>
    <s v="ΟΧΙ"/>
    <s v="ΟΧΙ"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5-01-01T00:00:00"/>
    <x v="1"/>
    <s v="ΔΙΕΥΘΥΝΣΗ Π.Ε. ΙΩΑΝΝΙΝΩΝ"/>
    <n v="44.616666666666667"/>
    <s v="41 - 45"/>
  </r>
  <r>
    <n v="99912643"/>
    <s v="Α"/>
    <x v="19"/>
    <x v="19"/>
    <m/>
    <m/>
    <s v="Γ΄"/>
    <n v="1"/>
    <s v="ΑΠ1655321"/>
    <d v="2017-09-07T00:00:00"/>
    <s v="Α΄ ΜΑΓΝΗΣΙΑΣ (Δ.Ε.) 2018"/>
    <s v="ΔΙΕΥΘΥΝΣΗ Δ.Ε. ΜΑΓΝΗΣΙΑΣ"/>
    <s v="ΠΕΡΙΦΕΡΕΙΑΚΗ Δ/ΝΣΗ Α/ΘΜΙΑΣ ΚΑΙ Β/ΘΜΙΑΣ ΕΚΠ/ΣΗΣ ΘΕΣΣΑΛΙΑΣ"/>
    <n v="23"/>
    <s v="ΟΧΙ"/>
    <s v="ΟΧΙ"/>
    <s v="ΟΧΙ"/>
    <s v="ΟΧΙ"/>
    <s v="ΟΧΙ"/>
    <m/>
    <d v="2017-09-07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5-01-01T00:00:00"/>
    <x v="0"/>
    <s v="ΔΙΕΥΘΥΝΣΗ Δ.Ε. ΜΑΓΝΗΣΙΑΣ"/>
    <n v="44.616666666666667"/>
    <s v="41 - 45"/>
  </r>
  <r>
    <n v="99912644"/>
    <s v="Θ"/>
    <x v="2"/>
    <x v="2"/>
    <m/>
    <m/>
    <s v="Γ΄"/>
    <n v="4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17"/>
    <s v="ΙΔΙΩΤΙΚΟ ΝΗΠΙΑΓΩΓΕΙΟ - ΠΛΑΣΤΑΡΑ ΑΘΑΝΑΣΙΑ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5-01-01T00:00:00"/>
    <x v="1"/>
    <s v="ΔΙΕΥΘΥΝΣΗ Π.Ε. ΜΑΓΝΗΣΙΑΣ"/>
    <n v="44.616666666666667"/>
    <s v="41 - 45"/>
  </r>
  <r>
    <n v="99912645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1-01T00:00:00"/>
    <x v="0"/>
    <s v="ΔΙΕΥΘΥΝΣΗ Δ.Ε. ΑΝΑΤ. ΘΕΣ/ΝΙΚΗΣ"/>
    <n v="44.616666666666667"/>
    <s v="41 - 45"/>
  </r>
  <r>
    <n v="99912646"/>
    <s v="Θ"/>
    <x v="0"/>
    <x v="0"/>
    <m/>
    <m/>
    <s v="Α΄"/>
    <n v="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5-01-01T00:00:00"/>
    <x v="0"/>
    <s v="ΔΙΕΥΘΥΝΣΗ Δ.Ε. ΑΝΑΤ. ΘΕΣ/ΝΙΚΗΣ"/>
    <n v="44.616666666666667"/>
    <s v="41 - 45"/>
  </r>
  <r>
    <n v="99912647"/>
    <s v="Θ"/>
    <x v="3"/>
    <x v="3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1-01T00:00:00"/>
    <x v="0"/>
    <s v="ΔΙΕΥΘΥΝΣΗ Δ.Ε. ΗΡΑΚΛΕΙΟΥ"/>
    <n v="44.616666666666667"/>
    <s v="41 - 45"/>
  </r>
  <r>
    <n v="99912648"/>
    <s v="Θ"/>
    <x v="19"/>
    <x v="19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8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1-01T00:00:00"/>
    <x v="0"/>
    <s v="ΔΙΕΥΘΥΝΣΗ Δ.Ε. ΗΡΑΚΛΕΙΟΥ"/>
    <n v="44.616666666666667"/>
    <s v="41 - 45"/>
  </r>
  <r>
    <n v="99912649"/>
    <s v="Θ"/>
    <x v="0"/>
    <x v="0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1-01T00:00:00"/>
    <x v="1"/>
    <s v="ΔΙΕΥΘΥΝΣΗ Π.Ε. ΧΑΝΙΩΝ"/>
    <n v="44.616666666666667"/>
    <s v="41 - 45"/>
  </r>
  <r>
    <n v="99912650"/>
    <s v="Θ"/>
    <x v="13"/>
    <x v="13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11"/>
    <s v="ΟΧΙ"/>
    <s v="ΟΧΙ"/>
    <s v="ΟΧΙ"/>
    <s v="ΟΧΙ"/>
    <s v="ΟΧΙ"/>
    <m/>
    <m/>
    <s v="Ιδιωτικά Σχολεία"/>
    <x v="1"/>
    <s v="7501004"/>
    <s v="ΙΔΙΩΤΙΚΟ ΔΗΜΟΤΙΚΟ ΣΧΟΛΕΙΟ - ΖΗΤΑ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5-01-01T00:00:00"/>
    <x v="1"/>
    <s v="ΔΙΕΥΘΥΝΣΗ Π.Ε. ΧΑΝΙΩΝ"/>
    <n v="44.616666666666667"/>
    <s v="41 - 45"/>
  </r>
  <r>
    <n v="99912651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2-23T00:00:00"/>
    <x v="0"/>
    <s v="ΔΙΕΥΘΥΝΣΗ Δ.Ε. Β΄ ΑΘΗΝΑΣ"/>
    <n v="44.641666666666666"/>
    <s v="41 - 45"/>
  </r>
  <r>
    <n v="99912652"/>
    <s v="Θ"/>
    <x v="0"/>
    <x v="0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4-12-19T00:00:00"/>
    <x v="1"/>
    <s v="ΔΙΕΥΘΥΝΣΗ Π.Ε. ΑΧΑΪΑΣ"/>
    <n v="44.652777777777779"/>
    <s v="41 - 45"/>
  </r>
  <r>
    <n v="99912653"/>
    <s v="Α"/>
    <x v="18"/>
    <x v="1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2-16T00:00:00"/>
    <x v="0"/>
    <s v="ΔΙΕΥΘΥΝΣΗ Δ.Ε. Γ΄ ΑΘΗΝΑΣ"/>
    <n v="44.661111111111111"/>
    <s v="41 - 45"/>
  </r>
  <r>
    <n v="99912654"/>
    <s v="Θ"/>
    <x v="28"/>
    <x v="27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2-14T00:00:00"/>
    <x v="0"/>
    <s v="ΔΙΕΥΘΥΝΣΗ Δ.Ε. Γ΄ ΑΘΗΝΑΣ"/>
    <n v="44.666666666666664"/>
    <s v="41 - 45"/>
  </r>
  <r>
    <n v="99912655"/>
    <s v="Α"/>
    <x v="14"/>
    <x v="14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9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2-13T00:00:00"/>
    <x v="0"/>
    <s v="ΔΙΕΥΘΥΝΣΗ Δ.Ε. ΑΝΑΤΟΛΙΚΗΣ ΑΤΤΙΚΗΣ"/>
    <n v="44.669444444444444"/>
    <s v="41 - 45"/>
  </r>
  <r>
    <n v="99912656"/>
    <s v="Α"/>
    <x v="1"/>
    <x v="1"/>
    <m/>
    <m/>
    <s v="Α΄"/>
    <n v="10"/>
    <s v="Φ.15.Α6/7058/18-11-2009"/>
    <d v="2009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9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12-09T00:00:00"/>
    <x v="1"/>
    <s v="ΔΙΕΥΘΥΝΣΗ Π.Ε. ΑΝΑΤΟΛΙΚΗΣ ΑΤΤΙΚΗΣ"/>
    <n v="44.680555555555557"/>
    <s v="41 - 45"/>
  </r>
  <r>
    <n v="99912657"/>
    <s v="Θ"/>
    <x v="0"/>
    <x v="0"/>
    <m/>
    <m/>
    <s v="Γ΄"/>
    <n v="1"/>
    <d v="2016-09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12-09T00:00:00"/>
    <x v="1"/>
    <s v="ΔΙΕΥΘΥΝΣΗ Π.Ε. ΑΝΑΤ. ΘΕΣ/ΝΙΚΗΣ"/>
    <n v="44.680555555555557"/>
    <s v="41 - 45"/>
  </r>
  <r>
    <n v="99912658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2-05T00:00:00"/>
    <x v="0"/>
    <s v="ΔΙΕΥΘΥΝΣΗ Δ.Ε. Β΄ ΑΘΗΝΑΣ"/>
    <n v="44.69166666666667"/>
    <s v="41 - 45"/>
  </r>
  <r>
    <n v="99912659"/>
    <s v="Α"/>
    <x v="37"/>
    <x v="36"/>
    <m/>
    <m/>
    <s v="Γ΄"/>
    <n v="5"/>
    <n v="4479"/>
    <d v="2018-09-01T00:00:00"/>
    <s v="Α΄ ΧΙΟΥ (Δ.Ε.) 2018"/>
    <s v="ΔΙΕΥΘΥΝΣΗ Δ.Ε. ΧΙΟΥ"/>
    <s v="ΠΕΡΙΦΕΡΕΙΑΚΗ Δ/ΝΣΗ Α/ΘΜΙΑΣ ΚΑΙ Β/ΘΜΙΑΣ ΕΚΠ/ΣΗΣ ΒΟΡΕΙΟΥ ΑΙΓΑΙΟΥ"/>
    <n v="23"/>
    <s v="ΟΧΙ"/>
    <s v="ΟΧΙ"/>
    <s v="ΟΧΙ"/>
    <s v="ΟΧΙ"/>
    <s v="ΟΧΙ"/>
    <m/>
    <d v="2018-09-01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74-12-04T00:00:00"/>
    <x v="0"/>
    <s v="ΔΙΕΥΘΥΝΣΗ Δ.Ε. ΧΙΟΥ"/>
    <n v="44.694444444444443"/>
    <s v="41 - 45"/>
  </r>
  <r>
    <n v="99912660"/>
    <s v="Θ"/>
    <x v="0"/>
    <x v="0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2-02T00:00:00"/>
    <x v="1"/>
    <s v="ΔΙΕΥΘΥΝΣΗ Π.Ε. Α΄ ΑΘΗΝΑΣ"/>
    <n v="44.7"/>
    <s v="41 - 45"/>
  </r>
  <r>
    <n v="99912661"/>
    <s v="Θ"/>
    <x v="12"/>
    <x v="12"/>
    <s v="ΠΕ02"/>
    <s v="ΦΙΛΟΛΟΓΟΙ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30T00:00:00"/>
    <x v="0"/>
    <s v="ΔΙΕΥΘΥΝΣΗ Δ.Ε. Β΄ ΑΘΗΝΑΣ"/>
    <n v="44.705555555555556"/>
    <s v="41 - 45"/>
  </r>
  <r>
    <n v="99912662"/>
    <s v="Θ"/>
    <x v="1"/>
    <x v="1"/>
    <m/>
    <m/>
    <s v="Α΄"/>
    <n v="10"/>
    <s v="Φ.15.Α5/6438/27-11-2008"/>
    <d v="2008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8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11-25T00:00:00"/>
    <x v="1"/>
    <s v="ΔΙΕΥΘΥΝΣΗ Π.Ε. ΑΝΑΤΟΛΙΚΗΣ ΑΤΤΙΚΗΣ"/>
    <n v="44.719444444444441"/>
    <s v="41 - 45"/>
  </r>
  <r>
    <n v="99912663"/>
    <s v="Α"/>
    <x v="7"/>
    <x v="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24T00:00:00"/>
    <x v="0"/>
    <s v="ΔΙΕΥΘΥΝΣΗ Δ.Ε. Β΄ ΑΘΗΝΑΣ"/>
    <n v="44.722222222222221"/>
    <s v="41 - 45"/>
  </r>
  <r>
    <n v="99912664"/>
    <s v="Θ"/>
    <x v="1"/>
    <x v="1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s v="ΟΧΙ"/>
    <s v="ΟΧΙ"/>
    <s v="ΟΧΙ"/>
    <m/>
    <s v="ΟΧΙ"/>
    <m/>
    <m/>
    <s v="Ιδιωτικά Σχολεία"/>
    <x v="1"/>
    <s v="7121000"/>
    <s v="ΙΔΙΩΤΙΚΟ ΔΗΜΟΤΙΚΟ ΧΑΛΚΙΔΑ - ΣΧΟΛΗ ΚΥΡΑΝΑ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4-11-24T00:00:00"/>
    <x v="1"/>
    <s v="ΔΙΕΥΘΥΝΣΗ Π.Ε. ΕΥΒΟΙΑΣ"/>
    <n v="44.722222222222221"/>
    <s v="41 - 45"/>
  </r>
  <r>
    <n v="99912665"/>
    <s v="Θ"/>
    <x v="2"/>
    <x v="2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2"/>
    <s v="7192021"/>
    <s v="ΙΔΙΩΤΙΚΟ ΝΗΠΙΑΓΩΓΕΙΟ ΩΡΑΙΟΚΑΣΤΡΟ ΘΕΣΣΑΛΟΝΙΚΗΣ - Κ. ΑΝΔΡΕΑΔΗΣ Α.Ε.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11-20T00:00:00"/>
    <x v="1"/>
    <s v="ΔΙΕΥΘΥΝΣΗ Π.Ε. ΔΥΤ. ΘΕΣ/ΝΙΚΗΣ"/>
    <n v="44.733333333333334"/>
    <s v="41 - 45"/>
  </r>
  <r>
    <n v="99912666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18T00:00:00"/>
    <x v="1"/>
    <s v="ΔΙΕΥΘΥΝΣΗ Π.Ε. Β΄ ΑΘΗΝΑΣ"/>
    <n v="44.738888888888887"/>
    <s v="41 - 45"/>
  </r>
  <r>
    <n v="99912667"/>
    <s v="Θ"/>
    <x v="10"/>
    <x v="10"/>
    <m/>
    <m/>
    <s v="Γ΄"/>
    <n v="1"/>
    <s v="16059/01-09-2018"/>
    <d v="2018-09-01T00:00:00"/>
    <s v="ΛΑΡΙΣΑΣ (Δ.Ε.) 2018"/>
    <s v="ΔΙΕΥΘΥΝΣΗ Δ.Ε. ΛΑΡΙΣΑΣ"/>
    <s v="ΠΕΡΙΦΕΡΕΙΑΚΗ Δ/ΝΣΗ Α/ΘΜΙΑΣ ΚΑΙ Β/ΘΜΙΑΣ ΕΚΠ/ΣΗΣ ΘΕΣΣΑΛΙΑΣ"/>
    <n v="9"/>
    <s v="ΟΧΙ"/>
    <s v="ΟΧΙ"/>
    <s v="ΟΧΙ"/>
    <s v="ΟΧΙ"/>
    <s v="ΟΧΙ"/>
    <m/>
    <d v="2018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4-11-16T00:00:00"/>
    <x v="0"/>
    <s v="ΔΙΕΥΘΥΝΣΗ Δ.Ε. ΛΑΡΙΣΑΣ"/>
    <n v="44.744444444444447"/>
    <s v="41 - 45"/>
  </r>
  <r>
    <n v="99912668"/>
    <s v="Θ"/>
    <x v="29"/>
    <x v="2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14T00:00:00"/>
    <x v="0"/>
    <s v="ΔΙΕΥΘΥΝΣΗ Δ.Ε. Δ΄ ΑΘΗΝΑΣ"/>
    <n v="44.75"/>
    <s v="41 - 45"/>
  </r>
  <r>
    <n v="99912669"/>
    <s v="Θ"/>
    <x v="2"/>
    <x v="2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14T00:00:00"/>
    <x v="1"/>
    <s v="ΔΙΕΥΘΥΝΣΗ Π.Ε. ΠΕΙΡΑΙΑ"/>
    <n v="44.75"/>
    <s v="41 - 45"/>
  </r>
  <r>
    <n v="99912670"/>
    <s v="Θ"/>
    <x v="14"/>
    <x v="14"/>
    <m/>
    <m/>
    <s v="Γ΄"/>
    <n v="1"/>
    <s v="Φ.Ι.Α.5/25574/27-12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6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4-11-12T00:00:00"/>
    <x v="1"/>
    <s v="ΔΙΕΥΘΥΝΣΗ Π.Ε. ΑΝΑΤΟΛΙΚΗΣ ΑΤΤΙΚΗΣ"/>
    <n v="44.755555555555553"/>
    <s v="41 - 45"/>
  </r>
  <r>
    <n v="99912671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09T00:00:00"/>
    <x v="0"/>
    <s v="ΔΙΕΥΘΥΝΣΗ Δ.Ε. Β΄ ΑΘΗΝΑΣ"/>
    <n v="44.763888888888886"/>
    <s v="41 - 45"/>
  </r>
  <r>
    <n v="99912672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09T00:00:00"/>
    <x v="0"/>
    <s v="ΔΙΕΥΘΥΝΣΗ Δ.Ε. Δ΄ ΑΘΗΝΑΣ"/>
    <n v="44.763888888888886"/>
    <s v="41 - 45"/>
  </r>
  <r>
    <n v="99912673"/>
    <s v="Θ"/>
    <x v="3"/>
    <x v="3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4-11-08T00:00:00"/>
    <x v="0"/>
    <s v="ΔΙΕΥΘΥΝΣΗ Δ.Ε. ΛΑΡΙΣΑΣ"/>
    <n v="44.766666666666666"/>
    <s v="41 - 45"/>
  </r>
  <r>
    <n v="99912674"/>
    <s v="Θ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4-11-07T00:00:00"/>
    <x v="0"/>
    <s v="ΔΙΕΥΘΥΝΣΗ Δ.Ε. ΑΧΑΪΑΣ"/>
    <n v="44.769444444444446"/>
    <s v="41 - 45"/>
  </r>
  <r>
    <n v="99912675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07"/>
    <s v="ΙΔΙΩΤΙΚΟ ΝΗΠΙΑΓΩΓΕΙΟ ΛΑΜΙΑΣ - ΣΥΨΑ ΖΩΗ -&quot; ΟΥΡΑΝΙΟ ΤΟΞΟ&quot;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4-11-05T00:00:00"/>
    <x v="1"/>
    <s v="ΔΙΕΥΘΥΝΣΗ Π.Ε. ΦΘΙΩΤΙΔΑΣ"/>
    <n v="44.774999999999999"/>
    <s v="41 - 45"/>
  </r>
  <r>
    <n v="99912676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1-04T00:00:00"/>
    <x v="1"/>
    <s v="ΔΙΕΥΘΥΝΣΗ Π.Ε. Β΄ ΑΘΗΝΑΣ"/>
    <n v="44.777777777777779"/>
    <s v="41 - 45"/>
  </r>
  <r>
    <n v="99912677"/>
    <s v="Θ"/>
    <x v="3"/>
    <x v="3"/>
    <m/>
    <m/>
    <s v="Α΄"/>
    <n v="5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05-02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31T00:00:00"/>
    <x v="0"/>
    <s v="ΔΙΕΥΘΥΝΣΗ Δ.Ε. Α΄ ΑΘΗΝΑΣ"/>
    <n v="44.788888888888891"/>
    <s v="41 - 45"/>
  </r>
  <r>
    <n v="99912678"/>
    <s v="Θ"/>
    <x v="6"/>
    <x v="6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541026"/>
    <s v="ΙΔΙΩΤΙΚΟ ΔΗΜΟΤΙΚ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22T00:00:00"/>
    <x v="1"/>
    <s v="ΔΙΕΥΘΥΝΣΗ Π.Ε. ΠΕΙΡΑΙΑ"/>
    <n v="44.81388888888889"/>
    <s v="41 - 45"/>
  </r>
  <r>
    <n v="99912679"/>
    <s v="Θ"/>
    <x v="1"/>
    <x v="1"/>
    <m/>
    <m/>
    <s v="Α΄"/>
    <n v="11"/>
    <s v="Φ.15/3388/14-11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20T00:00:00"/>
    <x v="1"/>
    <s v="ΔΙΕΥΘΥΝΣΗ Π.Ε. ΑΝΑΤΟΛΙΚΗΣ ΑΤΤΙΚΗΣ"/>
    <n v="44.819444444444443"/>
    <s v="41 - 45"/>
  </r>
  <r>
    <n v="99912680"/>
    <s v="Θ"/>
    <x v="3"/>
    <x v="3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5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74-10-14T00:00:00"/>
    <x v="0"/>
    <s v="ΔΙΕΥΘΥΝΣΗ Δ.Ε. ΧΙΟΥ"/>
    <n v="44.836111111111109"/>
    <s v="41 - 45"/>
  </r>
  <r>
    <n v="99912681"/>
    <s v="Α"/>
    <x v="14"/>
    <x v="14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13T00:00:00"/>
    <x v="0"/>
    <s v="ΔΙΕΥΘΥΝΣΗ Δ.Ε. Α΄ ΑΘΗΝΑΣ"/>
    <n v="44.838888888888889"/>
    <s v="41 - 45"/>
  </r>
  <r>
    <n v="99912682"/>
    <s v="Θ"/>
    <x v="1"/>
    <x v="1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1-15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10-13T00:00:00"/>
    <x v="1"/>
    <s v="ΔΙΕΥΘΥΝΣΗ Π.Ε. ΑΝΑΤΟΛΙΚΗΣ ΑΤΤΙΚΗΣ"/>
    <n v="44.838888888888889"/>
    <s v="41 - 45"/>
  </r>
  <r>
    <n v="99912683"/>
    <s v="Θ"/>
    <x v="2"/>
    <x v="2"/>
    <m/>
    <m/>
    <s v="Γ΄"/>
    <n v="1"/>
    <n v="1459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04"/>
    <s v="ΙΔΙΩΤΙΚΟ ΔΗΜΟΤΙΚΟ - ΠΑΣΧΑΛΗΣ ΑΝΤΩΝΗΣ ΙΔΙΩΤΙΚΑ ΕΚΠΑΙΔΕΥΤΗΡΙΑ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10T00:00:00"/>
    <x v="1"/>
    <s v="ΔΙΕΥΘΥΝΣΗ Π.Ε. Δ΄ ΑΘΗΝΑΣ"/>
    <n v="44.847222222222221"/>
    <s v="41 - 45"/>
  </r>
  <r>
    <n v="9991268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05T00:00:00"/>
    <x v="0"/>
    <s v="ΔΙΕΥΘΥΝΣΗ Δ.Ε. Β΄ ΑΘΗΝΑΣ"/>
    <n v="44.861111111111114"/>
    <s v="41 - 45"/>
  </r>
  <r>
    <n v="99912685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10-01T00:00:00"/>
    <x v="0"/>
    <s v="ΔΙΕΥΘΥΝΣΗ Δ.Ε. Β΄ ΑΘΗΝΑΣ"/>
    <n v="44.87222222222222"/>
    <s v="41 - 45"/>
  </r>
  <r>
    <n v="99912686"/>
    <s v="Θ"/>
    <x v="0"/>
    <x v="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9-29T00:00:00"/>
    <x v="0"/>
    <s v="ΔΙΕΥΘΥΝΣΗ Δ.Ε. ΑΝΑΤ. ΘΕΣ/ΝΙΚΗΣ"/>
    <n v="44.87777777777778"/>
    <s v="41 - 45"/>
  </r>
  <r>
    <n v="99912687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9-28T00:00:00"/>
    <x v="0"/>
    <s v="ΔΙΕΥΘΥΝΣΗ Δ.Ε. Γ΄ ΑΘΗΝΑΣ"/>
    <n v="44.880555555555553"/>
    <s v="41 - 45"/>
  </r>
  <r>
    <n v="99912688"/>
    <s v="Θ"/>
    <x v="9"/>
    <x v="9"/>
    <m/>
    <m/>
    <s v="Α΄"/>
    <n v="1"/>
    <s v="12821/17-09-2012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9-28T00:00:00"/>
    <x v="0"/>
    <s v="ΔΙΕΥΘΥΝΣΗ Δ.Ε. ΔΥΤ. ΘΕΣ/ΝΙΚΗΣ"/>
    <n v="44.880555555555553"/>
    <s v="41 - 45"/>
  </r>
  <r>
    <n v="99912689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9-22T00:00:00"/>
    <x v="1"/>
    <s v="ΔΙΕΥΘΥΝΣΗ Π.Ε. ΑΝΑΤ. ΘΕΣ/ΝΙΚΗΣ"/>
    <n v="44.897222222222226"/>
    <s v="41 - 45"/>
  </r>
  <r>
    <n v="99912690"/>
    <s v="Θ"/>
    <x v="3"/>
    <x v="3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4-09-22T00:00:00"/>
    <x v="0"/>
    <s v="ΔΙΕΥΘΥΝΣΗ Δ.Ε. ΔΩΔΕΚΑΝΗΣΟΥ"/>
    <n v="44.897222222222226"/>
    <s v="41 - 45"/>
  </r>
  <r>
    <n v="99912691"/>
    <s v="Θ"/>
    <x v="0"/>
    <x v="0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9-18T00:00:00"/>
    <x v="1"/>
    <s v="ΔΙΕΥΘΥΝΣΗ Π.Ε. Γ΄ ΑΘΗΝΑΣ"/>
    <n v="44.908333333333331"/>
    <s v="41 - 45"/>
  </r>
  <r>
    <n v="99912692"/>
    <s v="Θ"/>
    <x v="6"/>
    <x v="6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9-14T00:00:00"/>
    <x v="1"/>
    <s v="ΔΙΕΥΘΥΝΣΗ Π.Ε. ΠΕΙΡΑΙΑ"/>
    <n v="44.919444444444444"/>
    <s v="41 - 45"/>
  </r>
  <r>
    <n v="99912693"/>
    <s v="Θ"/>
    <x v="14"/>
    <x v="14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9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4-09-12T00:00:00"/>
    <x v="1"/>
    <s v="ΔΙΕΥΘΥΝΣΗ Π.Ε. ΑΝΑΤ. ΘΕΣ/ΝΙΚΗΣ"/>
    <n v="44.924999999999997"/>
    <s v="41 - 45"/>
  </r>
  <r>
    <n v="99912694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9-07T00:00:00"/>
    <x v="0"/>
    <s v="ΔΙΕΥΘΥΝΣΗ Δ.Ε. ΠΕΙΡΑΙΑ"/>
    <n v="44.93888888888889"/>
    <s v="41 - 45"/>
  </r>
  <r>
    <n v="99912695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9-05T00:00:00"/>
    <x v="0"/>
    <s v="ΔΙΕΥΘΥΝΣΗ Δ.Ε. ΑΝΑΤΟΛΙΚΗΣ ΑΤΤΙΚΗΣ"/>
    <n v="44.944444444444443"/>
    <s v="41 - 45"/>
  </r>
  <r>
    <n v="99912696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49"/>
    <s v="ΙΔΙΩΤΙΚΟ ΝΗΠΙΑΓΩΓΕΙΟ ΠΑΝΟΡΑΜΑ - ΠΑΙΔΙΚΟΡΑΜ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9-05T00:00:00"/>
    <x v="1"/>
    <s v="ΔΙΕΥΘΥΝΣΗ Π.Ε. ΑΝΑΤ. ΘΕΣ/ΝΙΚΗΣ"/>
    <n v="44.944444444444443"/>
    <s v="41 - 45"/>
  </r>
  <r>
    <n v="99912697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4-09-04T00:00:00"/>
    <x v="0"/>
    <s v="ΔΙΕΥΘΥΝΣΗ Δ.Ε. ΠΕΙΡΑΙΑ"/>
    <n v="44.947222222222223"/>
    <s v="41 - 45"/>
  </r>
  <r>
    <n v="99912698"/>
    <s v="Α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8-30T00:00:00"/>
    <x v="0"/>
    <s v="ΔΙΕΥΘΥΝΣΗ Δ.Ε. ΠΕΙΡΑΙΑ"/>
    <n v="44.961111111111109"/>
    <s v="41 - 45"/>
  </r>
  <r>
    <n v="99912699"/>
    <s v="Θ"/>
    <x v="18"/>
    <x v="18"/>
    <m/>
    <m/>
    <s v="Γ΄"/>
    <n v="9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8-21T00:00:00"/>
    <x v="1"/>
    <s v="ΔΙΕΥΘΥΝΣΗ Π.Ε. Β΄ ΑΘΗΝΑΣ"/>
    <n v="44.986111111111114"/>
    <s v="41 - 45"/>
  </r>
  <r>
    <n v="99912700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2"/>
    <s v="7053055"/>
    <s v="ΣΥΣΤΕΓΑΖΟΜΕΝΟ ΝΗΠΙΑΓΩΓΕΙΟ - ΤΑΤΣΙΟΥ ΚΩΝΣΤΑΝΤΙΝΑ (ΠΑΙΧΝΙΔΙΑ ΚΑΙ ΟΝΕΙΡΑ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8-17T00:00:00"/>
    <x v="1"/>
    <s v="ΔΙΕΥΘΥΝΣΗ Π.Ε. Γ΄ ΑΘΗΝΑΣ"/>
    <n v="44.99722222222222"/>
    <s v="41 - 45"/>
  </r>
  <r>
    <n v="99912701"/>
    <s v="Α"/>
    <x v="8"/>
    <x v="8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0"/>
    <s v="ΟΧΙ"/>
    <s v="ΟΧΙ"/>
    <s v="ΟΧΙ"/>
    <s v="ΟΧΙ"/>
    <s v="ΟΧΙ"/>
    <m/>
    <m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4-08-13T00:00:00"/>
    <x v="0"/>
    <s v="ΔΙΕΥΘΥΝΣΗ Δ.Ε. ΙΩΑΝΝΙΝΩΝ"/>
    <n v="45.008333333333333"/>
    <s v="41 - 45"/>
  </r>
  <r>
    <n v="99912702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8-10T00:00:00"/>
    <x v="0"/>
    <s v="ΔΙΕΥΘΥΝΣΗ Δ.Ε. ΑΝΑΤΟΛΙΚΗΣ ΑΤΤΙΚΗΣ"/>
    <n v="45.016666666666666"/>
    <s v="41 - 45"/>
  </r>
  <r>
    <n v="99912703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8-05T00:00:00"/>
    <x v="0"/>
    <s v="ΔΙΕΥΘΥΝΣΗ Δ.Ε. ΑΝΑΤΟΛΙΚΗΣ ΑΤΤΙΚΗΣ"/>
    <n v="45.030555555555559"/>
    <s v="41 - 45"/>
  </r>
  <r>
    <n v="99912704"/>
    <s v="Θ"/>
    <x v="10"/>
    <x v="10"/>
    <m/>
    <m/>
    <s v="Γ΄"/>
    <n v="1"/>
    <s v="Φ.17.2/7486"/>
    <d v="2018-09-19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s v="ΟΧΙ"/>
    <s v="ΟΧΙ"/>
    <m/>
    <d v="2018-09-19T00:00:00"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Αναπληρωτής Ιδιωτικής Εκπαίδευσης (ν. 682/1977 άρ.35, παρ.4)"/>
    <s v="Τοποθέτηση σε Ιδιωτική Εκπαίδευση"/>
    <d v="1974-08-04T00:00:00"/>
    <x v="1"/>
    <s v="ΔΙΕΥΘΥΝΣΗ Π.Ε. ΧΑΝΙΩΝ"/>
    <n v="45.033333333333331"/>
    <s v="41 - 45"/>
  </r>
  <r>
    <n v="99912705"/>
    <s v="Θ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7-24T00:00:00"/>
    <x v="0"/>
    <s v="ΔΙΕΥΘΥΝΣΗ Δ.Ε. ΑΝΑΤΟΛΙΚΗΣ ΑΤΤΙΚΗΣ"/>
    <n v="45.06388888888889"/>
    <s v="41 - 45"/>
  </r>
  <r>
    <n v="99912706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7-21T00:00:00"/>
    <x v="0"/>
    <s v="ΔΙΕΥΘΥΝΣΗ Δ.Ε. Β΄ ΑΘΗΝΑΣ"/>
    <n v="45.072222222222223"/>
    <s v="41 - 45"/>
  </r>
  <r>
    <n v="99912707"/>
    <s v="Θ"/>
    <x v="2"/>
    <x v="2"/>
    <m/>
    <m/>
    <s v="Γ΄"/>
    <n v="2"/>
    <s v="6ΛΜ74653ΠΣ-ΘΝ6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d v="2018-09-03T00:00:00"/>
    <s v="Ιδιωτικά Σχολεία"/>
    <x v="2"/>
    <s v="7192053"/>
    <s v="2ο ΙΔΙΩΤΙΚΟ ΣΥΣΤΕΓΑΖΟΜΕΝΟ ΝΗΠΙΑΓΩΓΕΙΟ - NEVERLAND - Η ΧΩΡΑ ΤΟΥ ΠΟΤ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7-20T00:00:00"/>
    <x v="1"/>
    <s v="ΔΙΕΥΘΥΝΣΗ Π.Ε. ΔΥΤ. ΘΕΣ/ΝΙΚΗΣ"/>
    <n v="45.075000000000003"/>
    <s v="41 - 45"/>
  </r>
  <r>
    <n v="99912708"/>
    <s v="Θ"/>
    <x v="7"/>
    <x v="7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7-06T00:00:00"/>
    <x v="1"/>
    <s v="ΔΙΕΥΘΥΝΣΗ Π.Ε. Α΄ ΑΘΗΝΑΣ"/>
    <n v="45.113888888888887"/>
    <s v="41 - 45"/>
  </r>
  <r>
    <n v="99912709"/>
    <s v="Θ"/>
    <x v="1"/>
    <x v="1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2"/>
    <s v="2ο ΙΔΙΩΤΙΚΟ ΔΗΜΟΤΙΚΟ ΘΕΣΣΑΛΟΝΙΚΗ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7-04T00:00:00"/>
    <x v="1"/>
    <s v="ΔΙΕΥΘΥΝΣΗ Π.Ε. ΑΝΑΤ. ΘΕΣ/ΝΙΚΗΣ"/>
    <n v="45.119444444444447"/>
    <s v="41 - 45"/>
  </r>
  <r>
    <n v="99912710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7-01T00:00:00"/>
    <x v="0"/>
    <s v="ΔΙΕΥΘΥΝΣΗ Δ.Ε. ΑΝΑΤΟΛΙΚΗΣ ΑΤΤΙΚΗΣ"/>
    <n v="45.12777777777778"/>
    <s v="41 - 45"/>
  </r>
  <r>
    <n v="99912711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30T00:00:00"/>
    <x v="1"/>
    <s v="ΔΙΕΥΘΥΝΣΗ Π.Ε. Α΄ ΑΘΗΝΑΣ"/>
    <n v="45.130555555555553"/>
    <s v="41 - 45"/>
  </r>
  <r>
    <n v="99912712"/>
    <s v="Θ"/>
    <x v="2"/>
    <x v="2"/>
    <m/>
    <m/>
    <s v="Γ΄"/>
    <n v="1"/>
    <d v="2016-11-1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03"/>
    <s v="ΙΔΙΩΤΙΚΟ ΝΗΠΙΑΓΩΓΕΙ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6-30T00:00:00"/>
    <x v="1"/>
    <s v="ΔΙΕΥΘΥΝΣΗ Π.Ε. ΑΝΑΤ. ΘΕΣ/ΝΙΚΗΣ"/>
    <n v="45.130555555555553"/>
    <s v="41 - 45"/>
  </r>
  <r>
    <n v="9991271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29T00:00:00"/>
    <x v="0"/>
    <s v="ΔΙΕΥΘΥΝΣΗ Δ.Ε. ΑΝΑΤΟΛΙΚΗΣ ΑΤΤΙΚΗΣ"/>
    <n v="45.133333333333333"/>
    <s v="41 - 45"/>
  </r>
  <r>
    <n v="99912714"/>
    <s v="Θ"/>
    <x v="20"/>
    <x v="2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7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4-06-21T00:00:00"/>
    <x v="0"/>
    <s v="ΔΙΕΥΘΥΝΣΗ Δ.Ε. ΛΑΡΙΣΑΣ"/>
    <n v="45.155555555555559"/>
    <s v="41 - 45"/>
  </r>
  <r>
    <n v="99912715"/>
    <s v="Α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6-21T00:00:00"/>
    <x v="1"/>
    <s v="ΔΙΕΥΘΥΝΣΗ Π.Ε. ΑΝΑΤ. ΘΕΣ/ΝΙΚΗΣ"/>
    <n v="45.155555555555559"/>
    <s v="41 - 45"/>
  </r>
  <r>
    <n v="99912716"/>
    <s v="Θ"/>
    <x v="18"/>
    <x v="1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19T00:00:00"/>
    <x v="0"/>
    <s v="ΔΙΕΥΘΥΝΣΗ Δ.Ε. Γ΄ ΑΘΗΝΑΣ"/>
    <n v="45.161111111111111"/>
    <s v="41 - 45"/>
  </r>
  <r>
    <n v="99912717"/>
    <s v="Θ"/>
    <x v="2"/>
    <x v="2"/>
    <m/>
    <m/>
    <s v="Γ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33"/>
    <s v="ΙΔΙΩΤΙΚΟ ΝΗΠΙΑΓΩΓΕΙΟ - ΙΔΙΩΤΙΚΟ ΝΗΠΙΑΓΩΓΕΙΟ ΤΣΙΤΣΑ ΑΣΠΑΣΙΑ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6-17T00:00:00"/>
    <x v="1"/>
    <s v="ΔΙΕΥΘΥΝΣΗ Π.Ε. ΔΥΤ. ΘΕΣ/ΝΙΚΗΣ"/>
    <n v="45.166666666666664"/>
    <s v="41 - 45"/>
  </r>
  <r>
    <n v="99912718"/>
    <s v="Α"/>
    <x v="12"/>
    <x v="12"/>
    <m/>
    <m/>
    <s v="Α΄"/>
    <n v="7"/>
    <s v="5631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12T00:00:00"/>
    <x v="1"/>
    <s v="ΔΙΕΥΘΥΝΣΗ Π.Ε. ΑΝΑΤΟΛΙΚΗΣ ΑΤΤΙΚΗΣ"/>
    <n v="45.180555555555557"/>
    <s v="41 - 45"/>
  </r>
  <r>
    <n v="99912719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11T00:00:00"/>
    <x v="0"/>
    <s v="ΔΙΕΥΘΥΝΣΗ Δ.Ε. Δ΄ ΑΘΗΝΑΣ"/>
    <n v="45.18333333333333"/>
    <s v="41 - 45"/>
  </r>
  <r>
    <n v="99912720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10T00:00:00"/>
    <x v="0"/>
    <s v="ΔΙΕΥΘΥΝΣΗ Δ.Ε. Β΄ ΑΘΗΝΑΣ"/>
    <n v="45.18611111111111"/>
    <s v="41 - 45"/>
  </r>
  <r>
    <n v="99912721"/>
    <s v="Θ"/>
    <x v="10"/>
    <x v="1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09T00:00:00"/>
    <x v="0"/>
    <s v="ΔΙΕΥΘΥΝΣΗ Δ.Ε. ΑΝΑΤΟΛΙΚΗΣ ΑΤΤΙΚΗΣ"/>
    <n v="45.18888888888889"/>
    <s v="41 - 45"/>
  </r>
  <r>
    <n v="99912722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09T00:00:00"/>
    <x v="0"/>
    <s v="ΔΙΕΥΘΥΝΣΗ Δ.Ε. Β΄ ΑΘΗΝΑΣ"/>
    <n v="45.18888888888889"/>
    <s v="41 - 45"/>
  </r>
  <r>
    <n v="99912723"/>
    <s v="Θ"/>
    <x v="3"/>
    <x v="3"/>
    <m/>
    <m/>
    <s v="Γ΄"/>
    <n v="1"/>
    <n v="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4"/>
    <s v="ΟΧΙ"/>
    <s v="ΟΧΙ"/>
    <s v="ΟΧΙ"/>
    <s v="ΟΧΙ"/>
    <s v="ΟΧΙ"/>
    <m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6-04T00:00:00"/>
    <x v="0"/>
    <s v="ΔΙΕΥΘΥΝΣΗ Δ.Ε. ΣΕΡΡΩΝ"/>
    <n v="45.202777777777776"/>
    <s v="41 - 45"/>
  </r>
  <r>
    <n v="99912724"/>
    <s v="Α"/>
    <x v="13"/>
    <x v="13"/>
    <m/>
    <m/>
    <s v="Γ΄"/>
    <n v="1"/>
    <s v="ΩΞ1Ε4653ΠΣ-ΩΦ7"/>
    <d v="2018-09-26T00:00:00"/>
    <s v="ΞΑΝΘΗΣ (Π.Ε.) 2018"/>
    <s v="ΔΙΕΥΘΥΝΣΗ Π.Ε. ΞΑΝΘΗΣ"/>
    <s v="ΠΕΡΙΦΕΡΕΙΑΚΗ Δ/ΝΣΗ Α/ΘΜΙΑΣ ΚΑΙ Β/ΘΜΙΑΣ ΕΚΠ/ΣΗΣ ΑΝ. ΜΑΚΕΔΟΝΙΑΣ ΚΑΙ ΘΡΑΚΗΣ"/>
    <n v="9"/>
    <s v="ΟΧΙ"/>
    <s v="ΟΧΙ"/>
    <s v="ΟΧΙ"/>
    <s v="ΟΧΙ"/>
    <s v="ΟΧΙ"/>
    <m/>
    <d v="2018-09-26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74-06-03T00:00:00"/>
    <x v="1"/>
    <s v="ΔΙΕΥΘΥΝΣΗ Π.Ε. ΞΑΝΘΗΣ"/>
    <n v="45.205555555555556"/>
    <s v="41 - 45"/>
  </r>
  <r>
    <n v="99912725"/>
    <s v="Θ"/>
    <x v="0"/>
    <x v="0"/>
    <m/>
    <m/>
    <s v="Γ΄"/>
    <n v="1"/>
    <n v="19689"/>
    <d v="2018-09-01T00:00:00"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s v="ΟΧΙ"/>
    <s v="ΟΧΙ"/>
    <m/>
    <d v="2018-09-01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6-02T00:00:00"/>
    <x v="0"/>
    <s v="ΔΙΕΥΘΥΝΣΗ Δ.Ε. ΠΕΙΡΑΙΑ"/>
    <n v="45.208333333333336"/>
    <s v="41 - 45"/>
  </r>
  <r>
    <n v="99912726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5-23T00:00:00"/>
    <x v="0"/>
    <s v="ΔΙΕΥΘΥΝΣΗ Δ.Ε. Δ΄ ΑΘΗΝΑΣ"/>
    <n v="45.236111111111114"/>
    <s v="41 - 45"/>
  </r>
  <r>
    <n v="99912727"/>
    <s v="Θ"/>
    <x v="3"/>
    <x v="3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5-22T00:00:00"/>
    <x v="0"/>
    <s v="ΔΙΕΥΘΥΝΣΗ Δ.Ε. Δ΄ ΑΘΗΝΑΣ"/>
    <n v="45.238888888888887"/>
    <s v="41 - 45"/>
  </r>
  <r>
    <n v="99912728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4-05-21T00:00:00"/>
    <x v="0"/>
    <s v="ΔΙΕΥΘΥΝΣΗ Δ.Ε. ΑΝΑΤ. ΘΕΣ/ΝΙΚΗΣ"/>
    <n v="45.241666666666667"/>
    <s v="41 - 45"/>
  </r>
  <r>
    <n v="99912729"/>
    <s v="Α"/>
    <x v="3"/>
    <x v="3"/>
    <m/>
    <m/>
    <s v="Β΄"/>
    <n v="1"/>
    <s v="13248/07-01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5-21T00:00:00"/>
    <x v="0"/>
    <s v="ΔΙΕΥΘΥΝΣΗ Δ.Ε. ΔΥΤ. ΘΕΣ/ΝΙΚΗΣ"/>
    <n v="45.241666666666667"/>
    <s v="41 - 45"/>
  </r>
  <r>
    <n v="9991273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5-17T00:00:00"/>
    <x v="1"/>
    <s v="ΔΙΕΥΘΥΝΣΗ Π.Ε. Β΄ ΑΘΗΝΑΣ"/>
    <n v="45.25277777777778"/>
    <s v="41 - 45"/>
  </r>
  <r>
    <n v="99912731"/>
    <s v="Θ"/>
    <x v="13"/>
    <x v="13"/>
    <m/>
    <m/>
    <s v="Α΄"/>
    <n v="7"/>
    <m/>
    <m/>
    <s v="Δ΄ ΑΘΗΝΑΣ (Π.Ε.) 2018"/>
    <s v="ΔΙΕΥΘΥΝΣΗ Π.Ε. Δ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5-13T00:00:00"/>
    <x v="1"/>
    <s v="ΔΙΕΥΘΥΝΣΗ Π.Ε. Δ΄ ΑΘΗΝΑΣ"/>
    <n v="45.263888888888886"/>
    <s v="41 - 45"/>
  </r>
  <r>
    <n v="99912732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5-12T00:00:00"/>
    <x v="0"/>
    <s v="ΔΙΕΥΘΥΝΣΗ Δ.Ε. Γ΄ ΑΘΗΝΑΣ"/>
    <n v="45.266666666666666"/>
    <s v="41 - 45"/>
  </r>
  <r>
    <n v="99912733"/>
    <s v="Θ"/>
    <x v="1"/>
    <x v="1"/>
    <m/>
    <m/>
    <s v="Γ΄"/>
    <n v="1"/>
    <d v="200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5-11T00:00:00"/>
    <x v="1"/>
    <s v="ΔΙΕΥΘΥΝΣΗ Π.Ε. ΑΝΑΤ. ΘΕΣ/ΝΙΚΗΣ"/>
    <n v="45.269444444444446"/>
    <s v="41 - 45"/>
  </r>
  <r>
    <n v="99912734"/>
    <s v="Α"/>
    <x v="2"/>
    <x v="2"/>
    <m/>
    <m/>
    <s v="Α΄"/>
    <n v="4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5-01T00:00:00"/>
    <x v="1"/>
    <s v="ΔΙΕΥΘΥΝΣΗ Π.Ε. ΑΝΑΤΟΛΙΚΗΣ ΑΤΤΙΚΗΣ"/>
    <n v="45.297222222222224"/>
    <s v="41 - 45"/>
  </r>
  <r>
    <n v="99912735"/>
    <s v="Α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m/>
    <m/>
    <m/>
    <s v="ΟΧΙ"/>
    <m/>
    <m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4-27T00:00:00"/>
    <x v="1"/>
    <s v="ΔΙΕΥΘΥΝΣΗ Π.Ε. Δ΄ ΑΘΗΝΑΣ"/>
    <n v="45.30833333333333"/>
    <s v="41 - 45"/>
  </r>
  <r>
    <n v="99912736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4-24T00:00:00"/>
    <x v="0"/>
    <s v="ΔΙΕΥΘΥΝΣΗ Δ.Ε. Δ΄ ΑΘΗΝΑΣ"/>
    <n v="45.31666666666667"/>
    <s v="41 - 45"/>
  </r>
  <r>
    <n v="99912737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4-04-21T00:00:00"/>
    <x v="1"/>
    <s v="ΔΙΕΥΘΥΝΣΗ Π.Ε. ΛΑΡΙΣΑΣ"/>
    <n v="45.325000000000003"/>
    <s v="41 - 45"/>
  </r>
  <r>
    <n v="99912738"/>
    <s v="Α"/>
    <x v="28"/>
    <x v="2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4-19T00:00:00"/>
    <x v="0"/>
    <s v="ΔΙΕΥΘΥΝΣΗ Δ.Ε. Β΄ ΑΘΗΝΑΣ"/>
    <n v="45.330555555555556"/>
    <s v="41 - 45"/>
  </r>
  <r>
    <n v="99912739"/>
    <s v="Θ"/>
    <x v="12"/>
    <x v="12"/>
    <m/>
    <m/>
    <s v="Α΄"/>
    <n v="10"/>
    <s v="5783/29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04-18T00:00:00"/>
    <x v="1"/>
    <s v="ΔΙΕΥΘΥΝΣΗ Π.Ε. ΑΝΑΤΟΛΙΚΗΣ ΑΤΤΙΚΗΣ"/>
    <n v="45.333333333333336"/>
    <s v="41 - 45"/>
  </r>
  <r>
    <n v="99912740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4-06T00:00:00"/>
    <x v="0"/>
    <s v="ΔΙΕΥΘΥΝΣΗ Δ.Ε. ΠΕΙΡΑΙΑ"/>
    <n v="45.366666666666667"/>
    <s v="41 - 45"/>
  </r>
  <r>
    <n v="99912741"/>
    <s v="Θ"/>
    <x v="3"/>
    <x v="3"/>
    <m/>
    <m/>
    <s v="Γ΄"/>
    <n v="1"/>
    <n v="21559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4-04-05T00:00:00"/>
    <x v="0"/>
    <s v="ΔΙΕΥΘΥΝΣΗ Δ.Ε. Β΄ ΑΘΗΝΑΣ"/>
    <n v="45.369444444444447"/>
    <s v="41 - 45"/>
  </r>
  <r>
    <n v="99912742"/>
    <s v="Θ"/>
    <x v="2"/>
    <x v="2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201011"/>
    <s v="ΙΔΙΩΤΙΚΟ ΝΗΠΙΑΓΩΓΕΙΟ ΓΕΩΡΓΙΑΣ ΓΙΑΝΝΑΚΟΠΟΥΛ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4-04-05T00:00:00"/>
    <x v="1"/>
    <s v="ΔΙΕΥΘΥΝΣΗ Π.Ε. ΙΩΑΝΝΙΝΩΝ"/>
    <n v="45.369444444444447"/>
    <s v="41 - 45"/>
  </r>
  <r>
    <n v="99912743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4-04-04T00:00:00"/>
    <x v="0"/>
    <s v="ΔΙΕΥΘΥΝΣΗ Δ.Ε. ΠΕΙΡΑΙΑ"/>
    <n v="45.37222222222222"/>
    <s v="41 - 45"/>
  </r>
  <r>
    <n v="9991274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04-02T00:00:00"/>
    <x v="0"/>
    <s v="ΔΙΕΥΘΥΝΣΗ Δ.Ε. Β΄ ΑΘΗΝΑΣ"/>
    <n v="45.37777777777778"/>
    <s v="41 - 45"/>
  </r>
  <r>
    <n v="99912745"/>
    <s v="Α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4-01T00:00:00"/>
    <x v="0"/>
    <s v="ΔΙΕΥΘΥΝΣΗ Δ.Ε. Γ΄ ΑΘΗΝΑΣ"/>
    <n v="45.380555555555553"/>
    <s v="41 - 45"/>
  </r>
  <r>
    <n v="99912746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4-01T00:00:00"/>
    <x v="1"/>
    <s v="ΔΙΕΥΘΥΝΣΗ Π.Ε. Α΄ ΑΘΗΝΑΣ"/>
    <n v="45.380555555555553"/>
    <s v="41 - 45"/>
  </r>
  <r>
    <n v="99912747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30T00:00:00"/>
    <x v="0"/>
    <s v="ΔΙΕΥΘΥΝΣΗ Δ.Ε. ΑΝΑΤΟΛΙΚΗΣ ΑΤΤΙΚΗΣ"/>
    <n v="45.386111111111113"/>
    <s v="41 - 45"/>
  </r>
  <r>
    <n v="99912748"/>
    <s v="Α"/>
    <x v="14"/>
    <x v="14"/>
    <s v="ΠΕ03"/>
    <s v="ΜΑΘΗΜΑΤΙΚΟΙ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29T00:00:00"/>
    <x v="0"/>
    <s v="ΔΙΕΥΘΥΝΣΗ Δ.Ε. Β΄ ΑΘΗΝΑΣ"/>
    <n v="45.388888888888886"/>
    <s v="41 - 45"/>
  </r>
  <r>
    <n v="99912749"/>
    <s v="Α"/>
    <x v="13"/>
    <x v="13"/>
    <m/>
    <m/>
    <s v="Α΄"/>
    <n v="1"/>
    <s v="Φ.Ι.Α.3/35528/15-12-2014"/>
    <d v="2014-09-02T00:00:00"/>
    <s v="Α΄ ΑΝΑΤ. ΑΤΤΙΚΗΣ (Π.Ε.) 2018"/>
    <s v="ΔΙΕΥΘΥΝΣΗ Π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d v="2014-09-02T00:00:00"/>
    <s v="Ιδιωτικά Σχολεία"/>
    <x v="1"/>
    <s v="7521054"/>
    <s v="ΙΔΙΩΤΙΚΟ ΔΗΜΟΤΙΚΟ ΣΧΟΛΕΙΟ - ΕΚΠΑΙΔΕΥΤΗΡΙΑ Ν. ΖΑΓΟΡΙΑΝΑΚ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29T00:00:00"/>
    <x v="1"/>
    <s v="ΔΙΕΥΘΥΝΣΗ Π.Ε. ΑΝΑΤΟΛΙΚΗΣ ΑΤΤΙΚΗΣ"/>
    <n v="45.388888888888886"/>
    <s v="41 - 45"/>
  </r>
  <r>
    <n v="9991275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29T00:00:00"/>
    <x v="1"/>
    <s v="ΔΙΕΥΘΥΝΣΗ Π.Ε. Β΄ ΑΘΗΝΑΣ"/>
    <n v="45.388888888888886"/>
    <s v="41 - 45"/>
  </r>
  <r>
    <n v="99912751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23T00:00:00"/>
    <x v="0"/>
    <s v="ΔΙΕΥΘΥΝΣΗ Δ.Ε. ΠΕΙΡΑΙΑ"/>
    <n v="45.405555555555559"/>
    <s v="41 - 45"/>
  </r>
  <r>
    <n v="99912752"/>
    <s v="Θ"/>
    <x v="3"/>
    <x v="3"/>
    <m/>
    <m/>
    <s v="Α΄"/>
    <n v="1"/>
    <s v="6833α/17-09-2010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3-20T00:00:00"/>
    <x v="0"/>
    <s v="ΔΙΕΥΘΥΝΣΗ Δ.Ε. ΔΥΤ. ΘΕΣ/ΝΙΚΗΣ"/>
    <n v="45.413888888888891"/>
    <s v="41 - 45"/>
  </r>
  <r>
    <n v="99912753"/>
    <s v="Θ"/>
    <x v="20"/>
    <x v="2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18T00:00:00"/>
    <x v="0"/>
    <s v="ΔΙΕΥΘΥΝΣΗ Δ.Ε. Δ΄ ΑΘΗΝΑΣ"/>
    <n v="45.419444444444444"/>
    <s v="41 - 45"/>
  </r>
  <r>
    <n v="99912754"/>
    <s v="Θ"/>
    <x v="1"/>
    <x v="1"/>
    <m/>
    <m/>
    <s v="Γ΄"/>
    <n v="8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03-17T00:00:00"/>
    <x v="1"/>
    <s v="ΔΙΕΥΘΥΝΣΗ Π.Ε. Β΄ ΑΘΗΝΑΣ"/>
    <n v="45.422222222222224"/>
    <s v="41 - 45"/>
  </r>
  <r>
    <n v="99912755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4-03-17T00:00:00"/>
    <x v="1"/>
    <s v="ΔΙΕΥΘΥΝΣΗ Π.Ε. ΑΧΑΪΑΣ"/>
    <n v="45.422222222222224"/>
    <s v="41 - 45"/>
  </r>
  <r>
    <n v="99912756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s v="ΟΧΙ"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4-03-07T00:00:00"/>
    <x v="0"/>
    <s v="ΔΙΕΥΘΥΝΣΗ Δ.Ε. Β΄ ΑΘΗΝΑΣ"/>
    <n v="45.45"/>
    <s v="41 - 45"/>
  </r>
  <r>
    <n v="99912757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07T00:00:00"/>
    <x v="0"/>
    <s v="ΔΙΕΥΘΥΝΣΗ Δ.Ε. Γ΄ ΑΘΗΝΑΣ"/>
    <n v="45.45"/>
    <s v="41 - 45"/>
  </r>
  <r>
    <n v="99912758"/>
    <s v="Α"/>
    <x v="8"/>
    <x v="8"/>
    <m/>
    <m/>
    <s v="Α΄"/>
    <n v="5"/>
    <s v="Φ.Ι.Α.1/736/15-1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12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07T00:00:00"/>
    <x v="1"/>
    <s v="ΔΙΕΥΘΥΝΣΗ Π.Ε. ΑΝΑΤΟΛΙΚΗΣ ΑΤΤΙΚΗΣ"/>
    <n v="45.45"/>
    <s v="41 - 45"/>
  </r>
  <r>
    <n v="99912759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3-06T00:00:00"/>
    <x v="0"/>
    <s v="ΔΙΕΥΘΥΝΣΗ Δ.Ε. ΠΕΙΡΑΙΑ"/>
    <n v="45.452777777777776"/>
    <s v="41 - 45"/>
  </r>
  <r>
    <n v="99912760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26T00:00:00"/>
    <x v="1"/>
    <s v="ΔΙΕΥΘΥΝΣΗ Π.Ε. ΑΝΑΤΟΛΙΚΗΣ ΑΤΤΙΚΗΣ"/>
    <n v="45.475000000000001"/>
    <s v="41 - 45"/>
  </r>
  <r>
    <n v="99912761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25T00:00:00"/>
    <x v="0"/>
    <s v="ΔΙΕΥΘΥΝΣΗ Δ.Ε. ΑΝΑΤΟΛΙΚΗΣ ΑΤΤΙΚΗΣ"/>
    <n v="45.477777777777774"/>
    <s v="41 - 45"/>
  </r>
  <r>
    <n v="99912762"/>
    <s v="Θ"/>
    <x v="7"/>
    <x v="7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24T00:00:00"/>
    <x v="0"/>
    <s v="ΔΙΕΥΘΥΝΣΗ Δ.Ε. ΑΝΑΤΟΛΙΚΗΣ ΑΤΤΙΚΗΣ"/>
    <n v="45.480555555555554"/>
    <s v="41 - 45"/>
  </r>
  <r>
    <n v="99912763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22T00:00:00"/>
    <x v="0"/>
    <s v="ΔΙΕΥΘΥΝΣΗ Δ.Ε. ΑΝΑΤΟΛΙΚΗΣ ΑΤΤΙΚΗΣ"/>
    <n v="45.486111111111114"/>
    <s v="41 - 45"/>
  </r>
  <r>
    <n v="99912764"/>
    <s v="Θ"/>
    <x v="11"/>
    <x v="11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21T00:00:00"/>
    <x v="0"/>
    <s v="ΔΙΕΥΘΥΝΣΗ Δ.Ε. Γ΄ ΑΘΗΝΑΣ"/>
    <n v="45.488888888888887"/>
    <s v="41 - 45"/>
  </r>
  <r>
    <n v="99912765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13T00:00:00"/>
    <x v="0"/>
    <s v="ΔΙΕΥΘΥΝΣΗ Δ.Ε. ΑΝΑΤΟΛΙΚΗΣ ΑΤΤΙΚΗΣ"/>
    <n v="45.511111111111113"/>
    <s v="46 - 50"/>
  </r>
  <r>
    <n v="99912766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13T00:00:00"/>
    <x v="0"/>
    <s v="ΔΙΕΥΘΥΝΣΗ Δ.Ε. ΠΕΙΡΑΙΑ"/>
    <n v="45.511111111111113"/>
    <s v="46 - 50"/>
  </r>
  <r>
    <n v="99912767"/>
    <s v="Θ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4-02-13T00:00:00"/>
    <x v="0"/>
    <s v="ΔΙΕΥΘΥΝΣΗ Δ.Ε. ΑΧΑΪΑΣ"/>
    <n v="45.511111111111113"/>
    <s v="46 - 50"/>
  </r>
  <r>
    <n v="99912768"/>
    <s v="Θ"/>
    <x v="3"/>
    <x v="3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4-02-12T00:00:00"/>
    <x v="0"/>
    <s v="ΔΙΕΥΘΥΝΣΗ Δ.Ε. ΤΡΙΚΑΛΩΝ"/>
    <n v="45.513888888888886"/>
    <s v="46 - 50"/>
  </r>
  <r>
    <n v="99912769"/>
    <s v="Θ"/>
    <x v="2"/>
    <x v="2"/>
    <m/>
    <m/>
    <s v="Γ΄"/>
    <n v="1"/>
    <n v="2039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09T00:00:00"/>
    <x v="1"/>
    <s v="ΔΙΕΥΘΥΝΣΗ Π.Ε. Δ΄ ΑΘΗΝΑΣ"/>
    <n v="45.522222222222226"/>
    <s v="46 - 50"/>
  </r>
  <r>
    <n v="99912770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07T00:00:00"/>
    <x v="0"/>
    <s v="ΔΙΕΥΘΥΝΣΗ Δ.Ε. Β΄ ΑΘΗΝΑΣ"/>
    <n v="45.527777777777779"/>
    <s v="46 - 50"/>
  </r>
  <r>
    <n v="99912771"/>
    <s v="Θ"/>
    <x v="0"/>
    <x v="0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07T00:00:00"/>
    <x v="1"/>
    <s v="ΔΙΕΥΘΥΝΣΗ Π.Ε. Δ΄ ΑΘΗΝΑΣ"/>
    <n v="45.527777777777779"/>
    <s v="46 - 50"/>
  </r>
  <r>
    <n v="99912772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02-04T00:00:00"/>
    <x v="0"/>
    <s v="ΔΙΕΥΘΥΝΣΗ Δ.Ε. ΑΝΑΤΟΛΙΚΗΣ ΑΤΤΙΚΗΣ"/>
    <n v="45.536111111111111"/>
    <s v="46 - 50"/>
  </r>
  <r>
    <n v="99912773"/>
    <s v="Θ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04T00:00:00"/>
    <x v="0"/>
    <s v="ΔΙΕΥΘΥΝΣΗ Δ.Ε. Β΄ ΑΘΗΝΑΣ"/>
    <n v="45.536111111111111"/>
    <s v="46 - 50"/>
  </r>
  <r>
    <n v="99912774"/>
    <s v="Θ"/>
    <x v="0"/>
    <x v="0"/>
    <m/>
    <m/>
    <s v="Γ΄"/>
    <n v="9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02T00:00:00"/>
    <x v="1"/>
    <s v="ΔΙΕΥΘΥΝΣΗ Π.Ε. Β΄ ΑΘΗΝΑΣ"/>
    <n v="45.541666666666664"/>
    <s v="46 - 50"/>
  </r>
  <r>
    <n v="99912775"/>
    <s v="Θ"/>
    <x v="8"/>
    <x v="8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2-01T00:00:00"/>
    <x v="1"/>
    <s v="ΔΙΕΥΘΥΝΣΗ Π.Ε. ΑΝΑΤΟΛΙΚΗΣ ΑΤΤΙΚΗΣ"/>
    <n v="45.544444444444444"/>
    <s v="46 - 50"/>
  </r>
  <r>
    <n v="99912776"/>
    <s v="Α"/>
    <x v="19"/>
    <x v="19"/>
    <m/>
    <m/>
    <s v="Γ΄"/>
    <n v="1"/>
    <s v="3841/24-09-2018"/>
    <d v="2018-09-01T00:00:00"/>
    <s v="ΜΕΣΣΗΝΙΑΣ (Δ.Ε.) 2018"/>
    <s v="ΔΙΕΥΘΥΝΣΗ Δ.Ε. ΜΕΣΣΗΝΙΑΣ"/>
    <s v="ΠΕΡΙΦΕΡΕΙΑΚΗ Δ/ΝΣΗ Α/ΘΜΙΑΣ ΚΑΙ Β/ΘΜΙΑΣ ΕΚΠ/ΣΗΣ ΠΕΛΟΠΟΝΝΗΣΟΥ"/>
    <n v="23"/>
    <s v="ΟΧΙ"/>
    <s v="ΟΧΙ"/>
    <s v="ΟΧΙ"/>
    <s v="ΟΧΙ"/>
    <s v="ΟΧΙ"/>
    <m/>
    <d v="2018-09-01T00:00:00"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4-01-28T00:00:00"/>
    <x v="0"/>
    <s v="ΔΙΕΥΘΥΝΣΗ Δ.Ε. ΜΕΣΣΗΝΙΑΣ"/>
    <n v="45.555555555555557"/>
    <s v="46 - 50"/>
  </r>
  <r>
    <n v="99912777"/>
    <s v="Α"/>
    <x v="15"/>
    <x v="1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25T00:00:00"/>
    <x v="0"/>
    <s v="ΔΙΕΥΘΥΝΣΗ Δ.Ε. Β΄ ΑΘΗΝΑΣ"/>
    <n v="45.56388888888889"/>
    <s v="46 - 50"/>
  </r>
  <r>
    <n v="99912778"/>
    <s v="Θ"/>
    <x v="2"/>
    <x v="2"/>
    <m/>
    <m/>
    <s v="Γ΄"/>
    <n v="1"/>
    <n v="1060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173"/>
    <s v="ΙΔΙΩΤΙΚΟ ΣΥΣΤΕΓΑΖΟΜΕΝΟ ΝΗΠΙΑΓΩΓΕΙΟ - ΑΛΚΗΣΤΗ Ι.Κ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23T00:00:00"/>
    <x v="1"/>
    <s v="ΔΙΕΥΘΥΝΣΗ Π.Ε. Δ΄ ΑΘΗΝΑΣ"/>
    <n v="45.569444444444443"/>
    <s v="46 - 50"/>
  </r>
  <r>
    <n v="99912779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17T00:00:00"/>
    <x v="0"/>
    <s v="ΔΙΕΥΘΥΝΣΗ Δ.Ε. Β΄ ΑΘΗΝΑΣ"/>
    <n v="45.586111111111109"/>
    <s v="46 - 50"/>
  </r>
  <r>
    <n v="99912780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16T00:00:00"/>
    <x v="1"/>
    <s v="ΔΙΕΥΘΥΝΣΗ Π.Ε. Α΄ ΑΘΗΝΑΣ"/>
    <n v="45.588888888888889"/>
    <s v="46 - 50"/>
  </r>
  <r>
    <n v="99912781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1-16T00:00:00"/>
    <x v="0"/>
    <s v="ΔΙΕΥΘΥΝΣΗ Δ.Ε. ΑΝΑΤ. ΘΕΣ/ΝΙΚΗΣ"/>
    <n v="45.588888888888889"/>
    <s v="46 - 50"/>
  </r>
  <r>
    <n v="99912782"/>
    <s v="Α"/>
    <x v="8"/>
    <x v="8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15T00:00:00"/>
    <x v="1"/>
    <s v="ΔΙΕΥΘΥΝΣΗ Π.Ε. Β΄ ΑΘΗΝΑΣ"/>
    <n v="45.591666666666669"/>
    <s v="46 - 50"/>
  </r>
  <r>
    <n v="99912783"/>
    <s v="Θ"/>
    <x v="2"/>
    <x v="2"/>
    <m/>
    <m/>
    <s v="Γ΄"/>
    <n v="1"/>
    <n v="2075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03"/>
    <s v="ΙΔΙΩΤΙΚΟ ΝΗΠΙΑΓΩΓΕΙΟ - ΣΤΑΥΡ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8T00:00:00"/>
    <x v="1"/>
    <s v="ΔΙΕΥΘΥΝΣΗ Π.Ε. Δ΄ ΑΘΗΝΑΣ"/>
    <n v="45.611111111111114"/>
    <s v="46 - 50"/>
  </r>
  <r>
    <n v="99912784"/>
    <s v="Α"/>
    <x v="15"/>
    <x v="15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s v="ΟΧΙ"/>
    <s v="ΟΧΙ"/>
    <s v="ΟΧΙ"/>
    <s v="ΟΧΙ"/>
    <s v="ΟΧΙ"/>
    <m/>
    <m/>
    <s v="Ιδιωτικά Σχολεία"/>
    <x v="0"/>
    <s v="2881010"/>
    <s v="ΙΔΙΩΤΙΚΟ ΓΥΜΝΑΣΙΟ ΚΟΡΙΝΘΟΥ - ΑΡΙΣΤΟΤΕΛΕΙΟ ΚΟΡΙΝΘΙΑΚΟ ΕΚΠΑΙΔΕΥΤΗΡ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4-01-08T00:00:00"/>
    <x v="0"/>
    <s v="ΔΙΕΥΘΥΝΣΗ Δ.Ε. ΚΟΡΙΝΘΙΑΣ"/>
    <n v="45.611111111111114"/>
    <s v="46 - 50"/>
  </r>
  <r>
    <n v="9991278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4T00:00:00"/>
    <x v="0"/>
    <s v="ΔΙΕΥΘΥΝΣΗ Δ.Ε. Β΄ ΑΘΗΝΑΣ"/>
    <n v="45.62222222222222"/>
    <s v="46 - 50"/>
  </r>
  <r>
    <n v="99912786"/>
    <s v="Θ"/>
    <x v="0"/>
    <x v="0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8"/>
    <s v="ΟΧΙ"/>
    <s v="ΟΧΙ"/>
    <s v="ΟΧΙ"/>
    <m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4-01-03T00:00:00"/>
    <x v="1"/>
    <s v="ΔΙΕΥΘΥΝΣΗ Π.Ε. ΚΥΚΛΑΔΩΝ"/>
    <n v="45.625"/>
    <s v="46 - 50"/>
  </r>
  <r>
    <n v="99912787"/>
    <s v="Θ"/>
    <x v="0"/>
    <x v="0"/>
    <m/>
    <m/>
    <s v="Γ΄"/>
    <n v="1"/>
    <s v="1053/25-09-2018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6"/>
    <s v="ΟΧΙ"/>
    <s v="ΟΧΙ"/>
    <s v="ΟΧΙ"/>
    <s v="ΟΧΙ"/>
    <s v="ΟΧΙ"/>
    <m/>
    <d v="2018-09-01T00:00:00"/>
    <s v="Ιδιωτικά Σχολεία"/>
    <x v="1"/>
    <s v="7371000"/>
    <s v="ΑΞΙΟΝ ΙΔΙΩΤΙΚΟ ΔΗΜΟΤΙΚΟ ΣΧΟΛΕΙΟ ΞΑΝΘΗΣ"/>
    <s v="ΞΑΝΘΗΣ (Π.Ε.) 2018"/>
    <x v="21"/>
    <s v="ΠΕΡΙΦΕΡΕΙΑΚΗ Δ/ΝΣΗ Α/ΘΜΙΑΣ ΚΑΙ Β/ΘΜΙΑΣ ΕΚΠ/ΣΗΣ ΑΝ. ΜΑΚΕΔΟΝΙΑΣ ΚΑΙ ΘΡΑΚΗΣ"/>
    <s v="Ιδιωτικού Δικαίου Ορισμένου Χρόνου (Ι.Δ.Ο.Χ.)"/>
    <s v="Τοποθέτηση σε Ιδιωτική Εκπαίδευση"/>
    <d v="1974-01-01T00:00:00"/>
    <x v="1"/>
    <s v="ΔΙΕΥΘΥΝΣΗ Π.Ε. ΞΑΝΘΗΣ"/>
    <n v="45.630555555555553"/>
    <s v="46 - 50"/>
  </r>
  <r>
    <n v="99912788"/>
    <s v="Α"/>
    <x v="3"/>
    <x v="3"/>
    <s v="ΠΕ01"/>
    <s v="ΘΕΟΛΟΓ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ΑΝΑΤΟΛΙΚΗΣ ΑΤΤΙΚΗΣ"/>
    <n v="45.630555555555553"/>
    <s v="46 - 50"/>
  </r>
  <r>
    <n v="99912789"/>
    <s v="Θ"/>
    <x v="6"/>
    <x v="6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ΑΝΑΤΟΛΙΚΗΣ ΑΤΤΙΚΗΣ"/>
    <n v="45.630555555555553"/>
    <s v="46 - 50"/>
  </r>
  <r>
    <n v="99912790"/>
    <s v="Θ"/>
    <x v="4"/>
    <x v="4"/>
    <m/>
    <m/>
    <s v="Γ΄"/>
    <n v="1"/>
    <s v="744Υ9-529"/>
    <d v="2014-09-18T00:00:00"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14-09-18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ΑΝΑΤΟΛΙΚΗΣ ΑΤΤΙΚΗΣ"/>
    <n v="45.630555555555553"/>
    <s v="46 - 50"/>
  </r>
  <r>
    <n v="99912791"/>
    <s v="Θ"/>
    <x v="18"/>
    <x v="18"/>
    <m/>
    <m/>
    <s v="Γ΄"/>
    <n v="1"/>
    <n v="16687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"/>
    <s v="ΟΧΙ"/>
    <s v="ΟΧΙ"/>
    <s v="ΟΧΙ"/>
    <s v="ΟΧΙ"/>
    <s v="ΟΧΙ"/>
    <m/>
    <d v="2018-09-01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74-01-01T00:00:00"/>
    <x v="0"/>
    <s v="ΔΙΕΥΘΥΝΣΗ Δ.Ε. ΑΝΑΤΟΛΙΚΗΣ ΑΤΤΙΚΗΣ"/>
    <n v="45.630555555555553"/>
    <s v="46 - 50"/>
  </r>
  <r>
    <n v="99912792"/>
    <s v="Θ"/>
    <x v="13"/>
    <x v="1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ΑΝΑΤΟΛΙΚΗΣ ΑΤΤΙΚΗΣ"/>
    <n v="45.630555555555553"/>
    <s v="46 - 50"/>
  </r>
  <r>
    <n v="99912793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s v="ΟΧΙ"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4-01-01T00:00:00"/>
    <x v="0"/>
    <s v="ΔΙΕΥΘΥΝΣΗ Δ.Ε. Β΄ ΑΘΗΝΑΣ"/>
    <n v="45.630555555555553"/>
    <s v="46 - 50"/>
  </r>
  <r>
    <n v="99912794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Γ΄ ΑΘΗΝΑΣ"/>
    <n v="45.630555555555553"/>
    <s v="46 - 50"/>
  </r>
  <r>
    <n v="99912795"/>
    <s v="Α"/>
    <x v="15"/>
    <x v="1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Γ΄ ΑΘΗΝΑΣ"/>
    <n v="45.630555555555553"/>
    <s v="46 - 50"/>
  </r>
  <r>
    <n v="99912796"/>
    <s v="Α"/>
    <x v="18"/>
    <x v="1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Γ΄ ΑΘΗΝΑΣ"/>
    <n v="45.630555555555553"/>
    <s v="46 - 50"/>
  </r>
  <r>
    <n v="99912797"/>
    <s v="Α"/>
    <x v="10"/>
    <x v="10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0"/>
    <s v="ΔΙΕΥΘΥΝΣΗ Δ.Ε. Δ΄ ΑΘΗΝΑΣ"/>
    <n v="45.630555555555553"/>
    <s v="46 - 50"/>
  </r>
  <r>
    <n v="99912798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2-07-17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4-01-01T00:00:00"/>
    <x v="1"/>
    <s v="ΔΙΕΥΘΥΝΣΗ Π.Ε. ΑΝΑΤΟΛΙΚΗΣ ΑΤΤΙΚΗΣ"/>
    <n v="45.630555555555553"/>
    <s v="46 - 50"/>
  </r>
  <r>
    <n v="99912799"/>
    <s v="Θ"/>
    <x v="8"/>
    <x v="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1"/>
    <s v="ΔΙΕΥΘΥΝΣΗ Π.Ε. Β΄ ΑΘΗΝΑΣ"/>
    <n v="45.630555555555553"/>
    <s v="46 - 50"/>
  </r>
  <r>
    <n v="9991280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1"/>
    <s v="ΔΙΕΥΘΥΝΣΗ Π.Ε. Β΄ ΑΘΗΝΑΣ"/>
    <n v="45.630555555555553"/>
    <s v="46 - 50"/>
  </r>
  <r>
    <n v="99912801"/>
    <s v="Θ"/>
    <x v="6"/>
    <x v="6"/>
    <m/>
    <m/>
    <s v="Γ΄"/>
    <n v="1"/>
    <n v="1838"/>
    <d v="2018-09-01T00:00:00"/>
    <s v="Δ΄ ΑΘΗΝΑΣ (Π.Ε.) 2018"/>
    <s v="ΔΙΕΥΘΥΝΣΗ Π.Ε. Δ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4-01-01T00:00:00"/>
    <x v="1"/>
    <s v="ΔΙΕΥΘΥΝΣΗ Π.Ε. Δ΄ ΑΘΗΝΑΣ"/>
    <n v="45.630555555555553"/>
    <s v="46 - 50"/>
  </r>
  <r>
    <n v="99912802"/>
    <s v="Θ"/>
    <x v="10"/>
    <x v="10"/>
    <m/>
    <m/>
    <s v="Γ΄"/>
    <n v="1"/>
    <s v="Φ. 17.2_ A/12078/1"/>
    <d v="2018-09-28T00:00:00"/>
    <s v="ΑΧΑΪΑΣ (Δ.Ε.) 2018"/>
    <s v="ΔΙΕΥΘΥΝΣΗ Δ.Ε. ΑΧΑΪΑΣ"/>
    <s v="ΠΕΡΙΦΕΡΕΙΑΚΗ Δ/ΝΣΗ Α/ΘΜΙΑΣ ΚΑΙ Β/ΘΜΙΑΣ ΕΚΠ/ΣΗΣ ΔΥΤΙΚΗΣ ΕΛΛΑΔΑΣ"/>
    <n v="6"/>
    <s v="ΟΧΙ"/>
    <s v="ΟΧΙ"/>
    <s v="ΟΧΙ"/>
    <s v="ΟΧΙ"/>
    <s v="ΟΧΙ"/>
    <m/>
    <d v="2018-09-28T00:00:00"/>
    <s v="Ιδιωτικά Σχολεία"/>
    <x v="0"/>
    <s v="0645053"/>
    <s v="ΙΔΙΩΤΙΚΟ ΓΥΜΝΑΣΙΟ &quot;ΑΝΑΓΕΝΝΗΣΗ IKE&quot;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4-01-01T00:00:00"/>
    <x v="0"/>
    <s v="ΔΙΕΥΘΥΝΣΗ Δ.Ε. ΑΧΑΪΑΣ"/>
    <n v="45.630555555555553"/>
    <s v="46 - 50"/>
  </r>
  <r>
    <n v="99912803"/>
    <s v="Α"/>
    <x v="14"/>
    <x v="14"/>
    <m/>
    <m/>
    <s v="Α΄"/>
    <n v="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1-01T00:00:00"/>
    <x v="0"/>
    <s v="ΔΙΕΥΘΥΝΣΗ Δ.Ε. ΑΝΑΤ. ΘΕΣ/ΝΙΚΗΣ"/>
    <n v="45.630555555555553"/>
    <s v="46 - 50"/>
  </r>
  <r>
    <n v="99912804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1-01T00:00:00"/>
    <x v="0"/>
    <s v="ΔΙΕΥΘΥΝΣΗ Δ.Ε. ΑΝΑΤ. ΘΕΣ/ΝΙΚΗΣ"/>
    <n v="45.630555555555553"/>
    <s v="46 - 50"/>
  </r>
  <r>
    <n v="99912805"/>
    <s v="Α"/>
    <x v="9"/>
    <x v="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s v="ΟΧΙ"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1-01T00:00:00"/>
    <x v="0"/>
    <s v="ΔΙΕΥΘΥΝΣΗ Δ.Ε. ΑΝΑΤ. ΘΕΣ/ΝΙΚΗΣ"/>
    <n v="45.630555555555553"/>
    <s v="46 - 50"/>
  </r>
  <r>
    <n v="99912806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13"/>
    <s v="ΙΔΙΩΤΙΚΟ ΝΗΠΙΑΓΩΓΕΙΟ ΠΥΛΑΙΑΣ - ΑΡΣΑΚΕΙΟ ΝΗΠΙΑΓΩΓΕΙΟ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4-01-01T00:00:00"/>
    <x v="1"/>
    <s v="ΔΙΕΥΘΥΝΣΗ Π.Ε. ΑΝΑΤ. ΘΕΣ/ΝΙΚΗΣ"/>
    <n v="45.630555555555553"/>
    <s v="46 - 50"/>
  </r>
  <r>
    <n v="99912807"/>
    <s v="Θ"/>
    <x v="2"/>
    <x v="2"/>
    <m/>
    <m/>
    <s v="Α΄"/>
    <n v="5"/>
    <n v="11273"/>
    <d v="2017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d v="2017-09-01T00:00:00"/>
    <s v="Ιδιωτικά Σχολεία"/>
    <x v="2"/>
    <s v="7192013"/>
    <s v="ΙΔΙΩΤΙΚΟ ΣΥΣΤΕΓΑΖΟΜΕΝΟ ΝΗΠΙΑΓΩΓΕΙΟ ΝΤΕΚΡΟΛΙ"/>
    <s v="Β΄ ΘΕΣΣΑΛΟΝΙΚΗΣ (Π.Ε.) 2018"/>
    <x v="2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4-01-01T00:00:00"/>
    <x v="1"/>
    <s v="ΔΙΕΥΘΥΝΣΗ Π.Ε. ΔΥΤ. ΘΕΣ/ΝΙΚΗΣ"/>
    <n v="45.630555555555553"/>
    <s v="46 - 50"/>
  </r>
  <r>
    <n v="99912808"/>
    <s v="Θ"/>
    <x v="0"/>
    <x v="0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4-01-01T00:00:00"/>
    <x v="0"/>
    <s v="ΔΙΕΥΘΥΝΣΗ Δ.Ε. ΗΡΑΚΛΕΙΟΥ"/>
    <n v="45.630555555555553"/>
    <s v="46 - 50"/>
  </r>
  <r>
    <n v="99912809"/>
    <s v="Θ"/>
    <x v="5"/>
    <x v="5"/>
    <m/>
    <m/>
    <s v="Γ΄"/>
    <n v="1"/>
    <s v="17.2/14669"/>
    <d v="2018-09-17T00:00:00"/>
    <s v="ΗΡΑΚΛΕΙΟΥ (Δ.Ε.) 2018"/>
    <s v="ΔΙΕΥΘΥΝΣΗ Δ.Ε. ΗΡΑΚΛΕΙΟΥ"/>
    <s v="ΠΕΡΙΦΕΡΕΙΑΚΗ Δ/ΝΣΗ Α/ΘΜΙΑΣ ΚΑΙ Β/ΘΜΙΑΣ ΕΚΠ/ΣΗΣ ΚΡΗΤΗΣ"/>
    <n v="10"/>
    <s v="ΟΧΙ"/>
    <s v="ΟΧΙ"/>
    <s v="ΟΧΙ"/>
    <s v="ΟΧΙ"/>
    <s v="ΟΧΙ"/>
    <m/>
    <d v="2018-09-17T00:00:00"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Αναπληρωτής Ιδιωτικής Εκπαίδευσης (ν. 682/1977 άρ.35, παρ.4)"/>
    <s v="Τοποθέτηση σε Ιδιωτική Εκπαίδευση"/>
    <d v="1974-01-01T00:00:00"/>
    <x v="0"/>
    <s v="ΔΙΕΥΘΥΝΣΗ Δ.Ε. ΗΡΑΚΛΕΙΟΥ"/>
    <n v="45.630555555555553"/>
    <s v="46 - 50"/>
  </r>
  <r>
    <n v="99912810"/>
    <s v="Θ"/>
    <x v="1"/>
    <x v="1"/>
    <m/>
    <m/>
    <s v="Α΄"/>
    <n v="8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28T00:00:00"/>
    <x v="1"/>
    <s v="ΔΙΕΥΘΥΝΣΗ Π.Ε. Δ΄ ΑΘΗΝΑΣ"/>
    <n v="45.641666666666666"/>
    <s v="46 - 50"/>
  </r>
  <r>
    <n v="99912811"/>
    <s v="Θ"/>
    <x v="6"/>
    <x v="6"/>
    <m/>
    <m/>
    <s v="Β΄"/>
    <n v="3"/>
    <s v="Φ.Ι.Α.4/32311/14-12-2015"/>
    <d v="2015-09-15T00:00:00"/>
    <s v="Β΄ ΑΝΑΤ. ΑΤΤΙΚΗΣ (Π.Ε.) 2018"/>
    <s v="ΔΙΕΥΘΥΝΣΗ Π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d v="2015-09-15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25T00:00:00"/>
    <x v="1"/>
    <s v="ΔΙΕΥΘΥΝΣΗ Π.Ε. ΑΝΑΤΟΛΙΚΗΣ ΑΤΤΙΚΗΣ"/>
    <n v="45.65"/>
    <s v="46 - 50"/>
  </r>
  <r>
    <n v="99912812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3-12-25T00:00:00"/>
    <x v="1"/>
    <s v="ΔΙΕΥΘΥΝΣΗ Π.Ε. ΑΧΑΪΑΣ"/>
    <n v="45.65"/>
    <s v="46 - 50"/>
  </r>
  <r>
    <n v="99912813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12-24T00:00:00"/>
    <x v="1"/>
    <s v="ΔΙΕΥΘΥΝΣΗ Π.Ε. ΑΝΑΤ. ΘΕΣ/ΝΙΚΗΣ"/>
    <n v="45.652777777777779"/>
    <s v="46 - 50"/>
  </r>
  <r>
    <n v="99912814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22T00:00:00"/>
    <x v="0"/>
    <s v="ΔΙΕΥΘΥΝΣΗ Δ.Ε. ΑΝΑΤΟΛΙΚΗΣ ΑΤΤΙΚΗΣ"/>
    <n v="45.658333333333331"/>
    <s v="46 - 50"/>
  </r>
  <r>
    <n v="99912815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20T00:00:00"/>
    <x v="0"/>
    <s v="ΔΙΕΥΘΥΝΣΗ Δ.Ε. Γ΄ ΑΘΗΝΑΣ"/>
    <n v="45.663888888888891"/>
    <s v="46 - 50"/>
  </r>
  <r>
    <n v="99912816"/>
    <s v="Θ"/>
    <x v="1"/>
    <x v="1"/>
    <m/>
    <m/>
    <s v="Α΄"/>
    <n v="12"/>
    <s v="Φ.15/2908/27-9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5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12-15T00:00:00"/>
    <x v="1"/>
    <s v="ΔΙΕΥΘΥΝΣΗ Π.Ε. ΑΝΑΤΟΛΙΚΗΣ ΑΤΤΙΚΗΣ"/>
    <n v="45.677777777777777"/>
    <s v="46 - 50"/>
  </r>
  <r>
    <n v="99912817"/>
    <s v="Θ"/>
    <x v="1"/>
    <x v="1"/>
    <m/>
    <m/>
    <s v="Α΄"/>
    <n v="9"/>
    <s v="Φ.15.Α.4/4125/22-10-2007"/>
    <d v="2007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7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14T00:00:00"/>
    <x v="1"/>
    <s v="ΔΙΕΥΘΥΝΣΗ Π.Ε. ΑΝΑΤΟΛΙΚΗΣ ΑΤΤΙΚΗΣ"/>
    <n v="45.680555555555557"/>
    <s v="46 - 50"/>
  </r>
  <r>
    <n v="99912818"/>
    <s v="Θ"/>
    <x v="1"/>
    <x v="1"/>
    <m/>
    <m/>
    <s v="Α΄"/>
    <n v="9"/>
    <n v="1936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13T00:00:00"/>
    <x v="1"/>
    <s v="ΔΙΕΥΘΥΝΣΗ Π.Ε. Δ΄ ΑΘΗΝΑΣ"/>
    <n v="45.68333333333333"/>
    <s v="46 - 50"/>
  </r>
  <r>
    <n v="99912819"/>
    <s v="Α"/>
    <x v="8"/>
    <x v="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05T00:00:00"/>
    <x v="1"/>
    <s v="ΔΙΕΥΘΥΝΣΗ Π.Ε. Α΄ ΑΘΗΝΑΣ"/>
    <n v="45.705555555555556"/>
    <s v="46 - 50"/>
  </r>
  <r>
    <n v="99912820"/>
    <s v="Θ"/>
    <x v="6"/>
    <x v="6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03T00:00:00"/>
    <x v="0"/>
    <s v="ΔΙΕΥΘΥΝΣΗ Δ.Ε. Δ΄ ΑΘΗΝΑΣ"/>
    <n v="45.711111111111109"/>
    <s v="46 - 50"/>
  </r>
  <r>
    <n v="99912821"/>
    <s v="Θ"/>
    <x v="6"/>
    <x v="6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2-03T00:00:00"/>
    <x v="1"/>
    <s v="ΔΙΕΥΘΥΝΣΗ Π.Ε. Β΄ ΑΘΗΝΑΣ"/>
    <n v="45.711111111111109"/>
    <s v="46 - 50"/>
  </r>
  <r>
    <n v="99912822"/>
    <s v="Θ"/>
    <x v="18"/>
    <x v="18"/>
    <m/>
    <m/>
    <s v="Γ΄"/>
    <n v="1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12-01T00:00:00"/>
    <x v="1"/>
    <s v="ΔΙΕΥΘΥΝΣΗ Π.Ε. Β΄ ΑΘΗΝΑΣ"/>
    <n v="45.716666666666669"/>
    <s v="46 - 50"/>
  </r>
  <r>
    <n v="99912823"/>
    <s v="Θ"/>
    <x v="2"/>
    <x v="2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6"/>
    <s v="ΟΧΙ"/>
    <s v="ΟΧΙ"/>
    <s v="ΟΧΙ"/>
    <m/>
    <s v="ΟΧΙ"/>
    <m/>
    <m/>
    <s v="Ιδιωτικά Σχολεία"/>
    <x v="2"/>
    <s v="7011005"/>
    <s v="ΙΔΙΩΤΙΚΟ ΝΗΠΙΑΓΩΓΕΙΟ ΚΟΛΟΒΟΥ ΒΑΣΙΛΙΚΗ  ''ΜΑΓΙΚΟΣ ΑΥΛΟΣ''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3-11-28T00:00:00"/>
    <x v="1"/>
    <s v="ΔΙΕΥΘΥΝΣΗ Π.Ε. ΑΙΤΩΛΟΑΚΑΡΝΑΝΙΑΣ"/>
    <n v="45.725000000000001"/>
    <s v="46 - 50"/>
  </r>
  <r>
    <n v="99912824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25T00:00:00"/>
    <x v="0"/>
    <s v="ΔΙΕΥΘΥΝΣΗ Δ.Ε. Β΄ ΑΘΗΝΑΣ"/>
    <n v="45.733333333333334"/>
    <s v="46 - 50"/>
  </r>
  <r>
    <n v="99912825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23T00:00:00"/>
    <x v="0"/>
    <s v="ΔΙΕΥΘΥΝΣΗ Δ.Ε. Γ΄ ΑΘΗΝΑΣ"/>
    <n v="45.738888888888887"/>
    <s v="46 - 50"/>
  </r>
  <r>
    <n v="99912826"/>
    <s v="Α"/>
    <x v="9"/>
    <x v="9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21T00:00:00"/>
    <x v="0"/>
    <s v="ΔΙΕΥΘΥΝΣΗ Δ.Ε. Α΄ ΑΘΗΝΑΣ"/>
    <n v="45.744444444444447"/>
    <s v="46 - 50"/>
  </r>
  <r>
    <n v="99912827"/>
    <s v="Θ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21T00:00:00"/>
    <x v="0"/>
    <s v="ΔΙΕΥΘΥΝΣΗ Δ.Ε. Α΄ ΑΘΗΝΑΣ"/>
    <n v="45.744444444444447"/>
    <s v="46 - 50"/>
  </r>
  <r>
    <n v="99912828"/>
    <s v="Θ"/>
    <x v="1"/>
    <x v="1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11-21T00:00:00"/>
    <x v="1"/>
    <s v="ΔΙΕΥΘΥΝΣΗ Π.Ε. Β΄ ΑΘΗΝΑΣ"/>
    <n v="45.744444444444447"/>
    <s v="46 - 50"/>
  </r>
  <r>
    <n v="99912829"/>
    <s v="Θ"/>
    <x v="2"/>
    <x v="2"/>
    <m/>
    <m/>
    <s v="Α΄"/>
    <n v="4"/>
    <s v="70/27-10-2011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d v="2018-09-01T00:00:00"/>
    <s v="Ιδιωτικά Σχολεία"/>
    <x v="2"/>
    <s v="7061015"/>
    <s v="ΙΔ. ΝΗΠ. ΜΑΝΙΚΑ ΑΙΚΑΤΕΡΙΝΗ - &quot;ΤΟ ΠΑΡΑΜΥΘΙ&quot;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3-11-18T00:00:00"/>
    <x v="1"/>
    <s v="ΔΙΕΥΘΥΝΣΗ Π.Ε. ΑΧΑΪΑΣ"/>
    <n v="45.75277777777778"/>
    <s v="46 - 50"/>
  </r>
  <r>
    <n v="99912830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11-18T00:00:00"/>
    <x v="0"/>
    <s v="ΔΙΕΥΘΥΝΣΗ Δ.Ε. ΑΝΑΤ. ΘΕΣ/ΝΙΚΗΣ"/>
    <n v="45.75277777777778"/>
    <s v="46 - 50"/>
  </r>
  <r>
    <n v="99912831"/>
    <s v="Α"/>
    <x v="8"/>
    <x v="8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15T00:00:00"/>
    <x v="1"/>
    <s v="ΔΙΕΥΘΥΝΣΗ Π.Ε. Β΄ ΑΘΗΝΑΣ"/>
    <n v="45.761111111111113"/>
    <s v="46 - 50"/>
  </r>
  <r>
    <n v="99912832"/>
    <s v="Α"/>
    <x v="1"/>
    <x v="1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15T00:00:00"/>
    <x v="1"/>
    <s v="ΔΙΕΥΘΥΝΣΗ Π.Ε. Δ΄ ΑΘΗΝΑΣ"/>
    <n v="45.761111111111113"/>
    <s v="46 - 50"/>
  </r>
  <r>
    <n v="99912833"/>
    <s v="Θ"/>
    <x v="14"/>
    <x v="14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3-11-14T00:00:00"/>
    <x v="0"/>
    <s v="ΔΙΕΥΘΥΝΣΗ Δ.Ε. ΑΝΑΤ. ΘΕΣ/ΝΙΚΗΣ"/>
    <n v="45.763888888888886"/>
    <s v="46 - 50"/>
  </r>
  <r>
    <n v="99912834"/>
    <s v="Α"/>
    <x v="11"/>
    <x v="11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13T00:00:00"/>
    <x v="0"/>
    <s v="ΔΙΕΥΘΥΝΣΗ Δ.Ε. Γ΄ ΑΘΗΝΑΣ"/>
    <n v="45.766666666666666"/>
    <s v="46 - 50"/>
  </r>
  <r>
    <n v="99912835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107"/>
    <s v="ΙΔΙΩΤΙΚΟ - ΙΣΟΤΙΜΟ ΝΗΠΙΑΓΩΓΕΙΟ - Β΄ ΑΡΣΑΚΕΙΟ - ΤΟΣΙΤΣΕΙΟ ΝΗΠΙΑΓΩΓ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11-12T00:00:00"/>
    <x v="1"/>
    <s v="ΔΙΕΥΘΥΝΣΗ Π.Ε. ΑΝΑΤΟΛΙΚΗΣ ΑΤΤΙΚΗΣ"/>
    <n v="45.769444444444446"/>
    <s v="46 - 50"/>
  </r>
  <r>
    <n v="99912836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1-04T00:00:00"/>
    <x v="0"/>
    <s v="ΔΙΕΥΘΥΝΣΗ Δ.Ε. Β΄ ΑΘΗΝΑΣ"/>
    <n v="45.791666666666664"/>
    <s v="46 - 50"/>
  </r>
  <r>
    <n v="99912837"/>
    <s v="Α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2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3-11-04T00:00:00"/>
    <x v="1"/>
    <s v="ΔΙΕΥΘΥΝΣΗ Π.Ε. ΗΡΑΚΛΕΙΟΥ"/>
    <n v="45.791666666666664"/>
    <s v="46 - 50"/>
  </r>
  <r>
    <n v="99912838"/>
    <s v="Θ"/>
    <x v="2"/>
    <x v="2"/>
    <m/>
    <m/>
    <s v="Γ΄"/>
    <n v="1"/>
    <d v="2002-09-0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10-30T00:00:00"/>
    <x v="1"/>
    <s v="ΔΙΕΥΘΥΝΣΗ Π.Ε. ΑΝΑΤ. ΘΕΣ/ΝΙΚΗΣ"/>
    <n v="45.805555555555557"/>
    <s v="46 - 50"/>
  </r>
  <r>
    <n v="99912839"/>
    <s v="Θ"/>
    <x v="3"/>
    <x v="3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0-28T00:00:00"/>
    <x v="0"/>
    <s v="ΔΙΕΥΘΥΝΣΗ Δ.Ε. Δ΄ ΑΘΗΝΑΣ"/>
    <n v="45.81111111111111"/>
    <s v="46 - 50"/>
  </r>
  <r>
    <n v="99912840"/>
    <s v="Α"/>
    <x v="3"/>
    <x v="3"/>
    <m/>
    <m/>
    <s v="Α΄"/>
    <n v="7"/>
    <m/>
    <m/>
    <s v="ΞΑΝΘΗΣ (Δ.Ε.) 2018"/>
    <s v="ΔΙΕΥΘΥΝΣΗ Δ.Ε. ΞΑΝΘΗΣ"/>
    <s v="ΠΕΡΙΦΕΡΕΙΑΚΗ Δ/ΝΣΗ Α/ΘΜΙΑΣ ΚΑΙ Β/ΘΜΙΑΣ ΕΚΠ/ΣΗΣ ΑΝ. ΜΑΚΕΔΟΝΙΑΣ ΚΑΙ ΘΡΑΚΗΣ"/>
    <n v="10"/>
    <s v="ΟΧΙ"/>
    <s v="ΟΧΙ"/>
    <s v="ΟΧΙ"/>
    <s v="ΟΧΙ"/>
    <s v="ΟΧΙ"/>
    <m/>
    <m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3-10-22T00:00:00"/>
    <x v="0"/>
    <s v="ΔΙΕΥΘΥΝΣΗ Δ.Ε. ΞΑΝΘΗΣ"/>
    <n v="45.827777777777776"/>
    <s v="46 - 50"/>
  </r>
  <r>
    <n v="99912841"/>
    <s v="Θ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0-22T00:00:00"/>
    <x v="0"/>
    <s v="ΔΙΕΥΘΥΝΣΗ Δ.Ε. Γ΄ ΑΘΗΝΑΣ"/>
    <n v="45.827777777777776"/>
    <s v="46 - 50"/>
  </r>
  <r>
    <n v="99912842"/>
    <s v="Θ"/>
    <x v="5"/>
    <x v="5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10-18T00:00:00"/>
    <x v="0"/>
    <s v="ΔΙΕΥΘΥΝΣΗ Δ.Ε. Α΄ ΑΘΗΝΑΣ"/>
    <n v="45.838888888888889"/>
    <s v="46 - 50"/>
  </r>
  <r>
    <n v="99912843"/>
    <s v="Θ"/>
    <x v="2"/>
    <x v="2"/>
    <m/>
    <m/>
    <s v="Γ΄"/>
    <n v="1"/>
    <s v="1800/1645/11-10-2004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2"/>
    <s v="7052041"/>
    <s v="ΙΔΙΩΤΙΚΟ ΝΗΠΙΑΓΩΓΕΙ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9-25T00:00:00"/>
    <x v="1"/>
    <s v="ΔΙΕΥΘΥΝΣΗ Π.Ε. Β΄ ΑΘΗΝΑΣ"/>
    <n v="45.902777777777779"/>
    <s v="46 - 50"/>
  </r>
  <r>
    <n v="99912844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3-09-22T00:00:00"/>
    <x v="1"/>
    <s v="ΔΙΕΥΘΥΝΣΗ Π.Ε. ΛΑΡΙΣΑΣ"/>
    <n v="45.911111111111111"/>
    <s v="46 - 50"/>
  </r>
  <r>
    <n v="99912845"/>
    <s v="Θ"/>
    <x v="2"/>
    <x v="2"/>
    <m/>
    <m/>
    <s v="Γ΄"/>
    <n v="1"/>
    <n v="2710"/>
    <d v="2018-09-01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451001"/>
    <s v="ΙΔΙΩΤΙΚΟ ΝΗΠΙΑΓΩΓΕΙΟ ΤΡΙΚΑΛΑ - ΣΠΥΡΟΠΟΥΛΟΥ ΜΑΡΙΑ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3-09-20T00:00:00"/>
    <x v="1"/>
    <s v="ΔΙΕΥΘΥΝΣΗ Π.Ε. ΤΡΙΚΑΛΩΝ"/>
    <n v="45.916666666666664"/>
    <s v="46 - 50"/>
  </r>
  <r>
    <n v="99912846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9-11T00:00:00"/>
    <x v="0"/>
    <s v="ΔΙΕΥΘΥΝΣΗ Δ.Ε. Β΄ ΑΘΗΝΑΣ"/>
    <n v="45.94166666666667"/>
    <s v="46 - 50"/>
  </r>
  <r>
    <n v="99912847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15"/>
    <s v="ΙΔΙΩΤΙΚΟ ΝΗΠΙΑΓΩΓΕΙΟ ΧΑΛΑΝΔΡΙ - ΑΛΛΗΛΟΒΟΗΘΗΤΙΚΟ ΤΑΜΕΙΟ ΠΕΡΙΘΑΛΨΗΣ ΣΥΛΛΟΓΟΥ ΥΠΑΛΛΗΛΩΝ ΤΡΑΠΕΖΑΣ ΕΛΛΑΔ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9-10T00:00:00"/>
    <x v="1"/>
    <s v="ΔΙΕΥΘΥΝΣΗ Π.Ε. Β΄ ΑΘΗΝΑΣ"/>
    <n v="45.944444444444443"/>
    <s v="46 - 50"/>
  </r>
  <r>
    <n v="99912848"/>
    <s v="Α"/>
    <x v="14"/>
    <x v="14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9-08T00:00:00"/>
    <x v="0"/>
    <s v="ΔΙΕΥΘΥΝΣΗ Δ.Ε. ΑΝΑΤΟΛΙΚΗΣ ΑΤΤΙΚΗΣ"/>
    <n v="45.95"/>
    <s v="46 - 50"/>
  </r>
  <r>
    <n v="99912849"/>
    <s v="Θ"/>
    <x v="1"/>
    <x v="1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9-06T00:00:00"/>
    <x v="1"/>
    <s v="ΔΙΕΥΘΥΝΣΗ Π.Ε. Β΄ ΑΘΗΝΑΣ"/>
    <n v="45.955555555555556"/>
    <s v="46 - 50"/>
  </r>
  <r>
    <n v="99912850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31T00:00:00"/>
    <x v="0"/>
    <s v="ΔΙΕΥΘΥΝΣΗ Δ.Ε. Γ΄ ΑΘΗΝΑΣ"/>
    <n v="45.972222222222221"/>
    <s v="46 - 50"/>
  </r>
  <r>
    <n v="99912851"/>
    <s v="Θ"/>
    <x v="2"/>
    <x v="2"/>
    <m/>
    <m/>
    <s v="Γ΄"/>
    <n v="2"/>
    <n v="231"/>
    <d v="2004-08-3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d v="2004-08-31T00:00:00"/>
    <s v="Ιδιωτικά Σχολεία"/>
    <x v="2"/>
    <s v="7192049"/>
    <s v="ΙΔΙΩΤΙΚΟ ΣΥΣΤΕΓΑΖΟΜΕΝΟ ΝΗΠΙΑΓΩΓΕΙΟ - ΜΑΛΙΓΓΑΝΗ ΑΝΑΣΤΑΣΙΑ (ΦΡΟΥΤΟΠΙΑ bebe!)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8-31T00:00:00"/>
    <x v="1"/>
    <s v="ΔΙΕΥΘΥΝΣΗ Π.Ε. ΔΥΤ. ΘΕΣ/ΝΙΚΗΣ"/>
    <n v="45.972222222222221"/>
    <s v="46 - 50"/>
  </r>
  <r>
    <n v="99912852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2"/>
    <s v="7053073"/>
    <s v="ΙΔΙΩΤΙΚΟ ΝΗΠΙΑΓΩΓΕΙΟ - ΠΑΙΔΟΣΤΡΟΒΙΛΟΣ (Φ.ΛΥΣΣΑΡΗ - Φ.ΠΑΝΑΓΟΠΟΥΛΟΥ ΟΕ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27T00:00:00"/>
    <x v="1"/>
    <s v="ΔΙΕΥΘΥΝΣΗ Π.Ε. Γ΄ ΑΘΗΝΑΣ"/>
    <n v="45.983333333333334"/>
    <s v="46 - 50"/>
  </r>
  <r>
    <n v="99912853"/>
    <s v="Θ"/>
    <x v="6"/>
    <x v="6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18T00:00:00"/>
    <x v="1"/>
    <s v="ΔΙΕΥΘΥΝΣΗ Π.Ε. ΑΝΑΤΟΛΙΚΗΣ ΑΤΤΙΚΗΣ"/>
    <n v="46.008333333333333"/>
    <s v="46 - 50"/>
  </r>
  <r>
    <n v="99912854"/>
    <s v="Θ"/>
    <x v="3"/>
    <x v="3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3-08-16T00:00:00"/>
    <x v="0"/>
    <s v="ΔΙΕΥΘΥΝΣΗ Δ.Ε. ΙΩΑΝΝΙΝΩΝ"/>
    <n v="46.013888888888886"/>
    <s v="46 - 50"/>
  </r>
  <r>
    <n v="99912855"/>
    <s v="Θ"/>
    <x v="6"/>
    <x v="6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10T00:00:00"/>
    <x v="0"/>
    <s v="ΔΙΕΥΘΥΝΣΗ Δ.Ε. Δ΄ ΑΘΗΝΑΣ"/>
    <n v="46.030555555555559"/>
    <s v="46 - 50"/>
  </r>
  <r>
    <n v="99912856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1011"/>
    <s v="ΜΟΝΤΕΣΣΟΡΙΑΝΗ ΣΧΟΛΗ ΑΘΗΝΩΝ ΜΑΡΙΑ ΓΟΥΔΕΛΗ ΑΕΕ - ΝΗΠΙΑΓΩΓΕΙΟ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09T00:00:00"/>
    <x v="1"/>
    <s v="ΔΙΕΥΘΥΝΣΗ Π.Ε. Α΄ ΑΘΗΝΑΣ"/>
    <n v="46.033333333333331"/>
    <s v="46 - 50"/>
  </r>
  <r>
    <n v="99912857"/>
    <s v="Θ"/>
    <x v="8"/>
    <x v="8"/>
    <m/>
    <m/>
    <s v="Γ΄"/>
    <n v="1"/>
    <n v="2433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07T00:00:00"/>
    <x v="1"/>
    <s v="ΔΙΕΥΘΥΝΣΗ Π.Ε. Δ΄ ΑΘΗΝΑΣ"/>
    <n v="46.038888888888891"/>
    <s v="46 - 50"/>
  </r>
  <r>
    <n v="99912858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06T00:00:00"/>
    <x v="1"/>
    <s v="ΔΙΕΥΘΥΝΣΗ Π.Ε. Α΄ ΑΘΗΝΑΣ"/>
    <n v="46.041666666666664"/>
    <s v="46 - 50"/>
  </r>
  <r>
    <n v="99912859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73-08-05T00:00:00"/>
    <x v="0"/>
    <s v="ΔΙΕΥΘΥΝΣΗ Δ.Ε. ΛΑΡΙΣΑΣ"/>
    <n v="46.044444444444444"/>
    <s v="46 - 50"/>
  </r>
  <r>
    <n v="9991286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03T00:00:00"/>
    <x v="0"/>
    <s v="ΔΙΕΥΘΥΝΣΗ Δ.Ε. Δ΄ ΑΘΗΝΑΣ"/>
    <n v="46.05"/>
    <s v="46 - 50"/>
  </r>
  <r>
    <n v="99912861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8-02T00:00:00"/>
    <x v="0"/>
    <s v="ΔΙΕΥΘΥΝΣΗ Δ.Ε. Β΄ ΑΘΗΝΑΣ"/>
    <n v="46.052777777777777"/>
    <s v="46 - 50"/>
  </r>
  <r>
    <n v="99912862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111"/>
    <s v="ΙΔΙΩΤΙΚΟ - ΙΣΟΤΙΜΟ ΝΗΠΙΑΓΩΓΕΙΟ - Δ΄ ΑΡΣΑΚΕΙΟ - ΤΟΣΙΤΣΕΙΟ ΝΗΠΙΑΓΩΓ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8-01T00:00:00"/>
    <x v="1"/>
    <s v="ΔΙΕΥΘΥΝΣΗ Π.Ε. ΑΝΑΤΟΛΙΚΗΣ ΑΤΤΙΚΗΣ"/>
    <n v="46.055555555555557"/>
    <s v="46 - 50"/>
  </r>
  <r>
    <n v="99912863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1"/>
    <s v="ΙΔΙΩΤΙΚΟ ΝΗΠΙΑΓΩΓΕΙΟ ΧΑΝΙΩΝ - ΙΔΙΩΤΙΚΟ ΝΗΠΙΑΓΩΓ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3-07-31T00:00:00"/>
    <x v="1"/>
    <s v="ΔΙΕΥΘΥΝΣΗ Π.Ε. ΧΑΝΙΩΝ"/>
    <n v="46.05833333333333"/>
    <s v="46 - 50"/>
  </r>
  <r>
    <n v="99912864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25T00:00:00"/>
    <x v="0"/>
    <s v="ΔΙΕΥΘΥΝΣΗ Δ.Ε. Β΄ ΑΘΗΝΑΣ"/>
    <n v="46.075000000000003"/>
    <s v="46 - 50"/>
  </r>
  <r>
    <n v="99912865"/>
    <s v="Θ"/>
    <x v="0"/>
    <x v="0"/>
    <m/>
    <m/>
    <s v="Γ΄"/>
    <n v="1"/>
    <s v="Φ. 17.2_ A_/13968/4"/>
    <d v="2018-09-01T00:00:00"/>
    <s v="ΑΧΑΪΑΣ (Δ.Ε.) 2018"/>
    <s v="ΔΙΕΥΘΥΝΣΗ Δ.Ε. ΑΧΑΪΑΣ"/>
    <s v="ΠΕΡΙΦΕΡΕΙΑΚΗ Δ/ΝΣΗ Α/ΘΜΙΑΣ ΚΑΙ Β/ΘΜΙΑΣ ΕΚΠ/ΣΗΣ ΔΥΤΙΚΗΣ ΕΛΛΑΔΑΣ"/>
    <n v="21"/>
    <s v="ΟΧΙ"/>
    <m/>
    <m/>
    <m/>
    <s v="ΟΧΙ"/>
    <m/>
    <d v="2018-09-01T00:00:00"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3-07-23T00:00:00"/>
    <x v="0"/>
    <s v="ΔΙΕΥΘΥΝΣΗ Δ.Ε. ΑΧΑΪΑΣ"/>
    <n v="46.080555555555556"/>
    <s v="46 - 50"/>
  </r>
  <r>
    <n v="99912866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21T00:00:00"/>
    <x v="1"/>
    <s v="ΔΙΕΥΘΥΝΣΗ Π.Ε. ΑΝΑΤΟΛΙΚΗΣ ΑΤΤΙΚΗΣ"/>
    <n v="46.086111111111109"/>
    <s v="46 - 50"/>
  </r>
  <r>
    <n v="99912867"/>
    <s v="Θ"/>
    <x v="3"/>
    <x v="3"/>
    <m/>
    <m/>
    <s v="Γ΄"/>
    <n v="1"/>
    <s v="4512/1-9-2015"/>
    <d v="2018-09-01T00:00:00"/>
    <s v="ΑΡΓΟΛΙΔΑΣ (Δ.Ε.) 2018"/>
    <s v="ΔΙΕΥΘΥΝΣΗ Δ.Ε. ΑΡΓΟΛΙΔΑΣ"/>
    <s v="ΠΕΡΙΦΕΡΕΙΑΚΗ Δ/ΝΣΗ Α/ΘΜΙΑΣ ΚΑΙ Β/ΘΜΙΑΣ ΕΚΠ/ΣΗΣ ΠΕΛΟΠΟΝΝΗΣΟΥ"/>
    <n v="20"/>
    <s v="ΟΧΙ"/>
    <s v="ΟΧΙ"/>
    <s v="ΟΧΙ"/>
    <s v="ΟΧΙ"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3-07-21T00:00:00"/>
    <x v="0"/>
    <s v="ΔΙΕΥΘΥΝΣΗ Δ.Ε. ΑΡΓΟΛΙΔΑΣ"/>
    <n v="46.086111111111109"/>
    <s v="46 - 50"/>
  </r>
  <r>
    <n v="99912868"/>
    <s v="Α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18T00:00:00"/>
    <x v="0"/>
    <s v="ΔΙΕΥΘΥΝΣΗ Δ.Ε. Β΄ ΑΘΗΝΑΣ"/>
    <n v="46.094444444444441"/>
    <s v="46 - 50"/>
  </r>
  <r>
    <n v="99912869"/>
    <s v="Α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17T00:00:00"/>
    <x v="0"/>
    <s v="ΔΙΕΥΘΥΝΣΗ Δ.Ε. Α΄ ΑΘΗΝΑΣ"/>
    <n v="46.097222222222221"/>
    <s v="46 - 50"/>
  </r>
  <r>
    <n v="99912870"/>
    <s v="Θ"/>
    <x v="18"/>
    <x v="1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17T00:00:00"/>
    <x v="1"/>
    <s v="ΔΙΕΥΘΥΝΣΗ Π.Ε. Β΄ ΑΘΗΝΑΣ"/>
    <n v="46.097222222222221"/>
    <s v="46 - 50"/>
  </r>
  <r>
    <n v="99912871"/>
    <s v="Α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7-16T00:00:00"/>
    <x v="0"/>
    <s v="ΔΙΕΥΘΥΝΣΗ Δ.Ε. ΑΝΑΤ. ΘΕΣ/ΝΙΚΗΣ"/>
    <n v="46.1"/>
    <s v="46 - 50"/>
  </r>
  <r>
    <n v="99912872"/>
    <s v="Θ"/>
    <x v="6"/>
    <x v="6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2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11T00:00:00"/>
    <x v="1"/>
    <s v="ΔΙΕΥΘΥΝΣΗ Π.Ε. Β΄ ΑΘΗΝΑΣ"/>
    <n v="46.113888888888887"/>
    <s v="46 - 50"/>
  </r>
  <r>
    <n v="99912873"/>
    <s v="Θ"/>
    <x v="1"/>
    <x v="1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m/>
    <s v="ΟΧΙ"/>
    <m/>
    <d v="2018-09-01T00:00:00"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3-07-08T00:00:00"/>
    <x v="1"/>
    <s v="ΔΙΕΥΘΥΝΣΗ Π.Ε. ΑΙΤΩΛΟΑΚΑΡΝΑΝΙΑΣ"/>
    <n v="46.12222222222222"/>
    <s v="46 - 50"/>
  </r>
  <r>
    <n v="99912874"/>
    <s v="Θ"/>
    <x v="6"/>
    <x v="6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7-06T00:00:00"/>
    <x v="1"/>
    <s v="ΔΙΕΥΘΥΝΣΗ Π.Ε. ΠΕΙΡΑΙΑ"/>
    <n v="46.12777777777778"/>
    <s v="46 - 50"/>
  </r>
  <r>
    <n v="99912875"/>
    <s v="Α"/>
    <x v="5"/>
    <x v="5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3-07-02T00:00:00"/>
    <x v="0"/>
    <s v="ΔΙΕΥΘΥΝΣΗ Δ.Ε. ΠΕΙΡΑΙΑ"/>
    <n v="46.138888888888886"/>
    <s v="46 - 50"/>
  </r>
  <r>
    <n v="99912876"/>
    <s v="Θ"/>
    <x v="1"/>
    <x v="1"/>
    <m/>
    <m/>
    <s v="Α΄"/>
    <n v="11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3-07-01T00:00:00"/>
    <x v="1"/>
    <s v="ΔΙΕΥΘΥΝΣΗ Π.Ε. ΜΑΓΝΗΣΙΑΣ"/>
    <n v="46.141666666666666"/>
    <s v="46 - 50"/>
  </r>
  <r>
    <n v="99912877"/>
    <s v="Θ"/>
    <x v="14"/>
    <x v="14"/>
    <s v="ΠΕ03"/>
    <s v="ΜΑΘΗΜΑΤΙΚΟΙ"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29T00:00:00"/>
    <x v="0"/>
    <s v="ΔΙΕΥΘΥΝΣΗ Δ.Ε. ΑΝΑΤΟΛΙΚΗΣ ΑΤΤΙΚΗΣ"/>
    <n v="46.147222222222226"/>
    <s v="46 - 50"/>
  </r>
  <r>
    <n v="99912878"/>
    <s v="Α"/>
    <x v="4"/>
    <x v="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29T00:00:00"/>
    <x v="0"/>
    <s v="ΔΙΕΥΘΥΝΣΗ Δ.Ε. ΑΝΑΤΟΛΙΚΗΣ ΑΤΤΙΚΗΣ"/>
    <n v="46.147222222222226"/>
    <s v="46 - 50"/>
  </r>
  <r>
    <n v="99912879"/>
    <s v="Θ"/>
    <x v="3"/>
    <x v="3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3-06-29T00:00:00"/>
    <x v="0"/>
    <s v="ΔΙΕΥΘΥΝΣΗ Δ.Ε. ΛΑΡΙΣΑΣ"/>
    <n v="46.147222222222226"/>
    <s v="46 - 50"/>
  </r>
  <r>
    <n v="99912880"/>
    <s v="Θ"/>
    <x v="6"/>
    <x v="6"/>
    <m/>
    <m/>
    <s v="Α΄"/>
    <n v="8"/>
    <n v="194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d v="2018-09-01T00:00:00"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6-29T00:00:00"/>
    <x v="1"/>
    <s v="ΔΙΕΥΘΥΝΣΗ Π.Ε. ΔΥΤ. ΘΕΣ/ΝΙΚΗΣ"/>
    <n v="46.147222222222226"/>
    <s v="46 - 50"/>
  </r>
  <r>
    <n v="99912881"/>
    <s v="Θ"/>
    <x v="2"/>
    <x v="2"/>
    <m/>
    <m/>
    <s v="Γ΄"/>
    <n v="1"/>
    <s v="2886/1-9-2007"/>
    <d v="2018-09-01T00:00:00"/>
    <s v="Β΄ ΑΘΗΝΑΣ (Π.Ε.) 2018"/>
    <s v="ΔΙΕΥΘΥΝΣΗ Π.Ε. Β΄ ΑΘΗΝΑΣ"/>
    <s v="ΠΕΡΙΦΕΡΕΙΑΚΗ Δ/ΝΣΗ Α/ΘΜΙΑΣ ΚΑΙ Β/ΘΜΙΑΣ ΕΚΠ/ΣΗΣ ΑΤΤΙΚΗΣ"/>
    <n v="22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25T00:00:00"/>
    <x v="1"/>
    <s v="ΔΙΕΥΘΥΝΣΗ Π.Ε. Β΄ ΑΘΗΝΑΣ"/>
    <n v="46.158333333333331"/>
    <s v="46 - 50"/>
  </r>
  <r>
    <n v="99912882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6-24T00:00:00"/>
    <x v="0"/>
    <s v="ΔΙΕΥΘΥΝΣΗ Δ.Ε. Γ΄ ΑΘΗΝΑΣ"/>
    <n v="46.161111111111111"/>
    <s v="46 - 50"/>
  </r>
  <r>
    <n v="99912883"/>
    <s v="Α"/>
    <x v="8"/>
    <x v="8"/>
    <m/>
    <m/>
    <s v="Α΄"/>
    <n v="8"/>
    <s v="8621/3-7-2014"/>
    <d v="2018-09-01T00:00:00"/>
    <s v="ΑΧΑΪΑΣ (Π.Ε.) 2018"/>
    <s v="ΔΙΕΥΘΥΝΣΗ Π.Ε. ΑΧΑΪΑΣ"/>
    <s v="ΠΕΡΙΦΕΡΕΙΑΚΗ Δ/ΝΣΗ Α/ΘΜΙΑΣ ΚΑΙ Β/ΘΜΙΑΣ ΕΚΠ/ΣΗΣ ΔΥΤΙΚΗΣ ΕΛΛΑΔΑΣ"/>
    <n v="24"/>
    <s v="ΟΧΙ"/>
    <s v="ΟΧΙ"/>
    <s v="ΟΧΙ"/>
    <s v="ΟΧΙ"/>
    <s v="ΟΧΙ"/>
    <m/>
    <d v="2018-09-01T00:00:00"/>
    <s v="Ιδιωτικά Σχολεία"/>
    <x v="1"/>
    <s v="7061004"/>
    <s v="ΙΔΙΩΤΙΚΟ ΔΗΜΟΤΙΚΟ ΠΑΤΡΑΣ ΕΚΠΑΙΔΕΥΤΗΡΙΑ ΑΝΑΓΕΝΝΗΣΗ ΙΚΕ"/>
    <s v="ΑΧΑΪΑΣ (Π.Ε.) 2018"/>
    <x v="2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3-06-21T00:00:00"/>
    <x v="1"/>
    <s v="ΔΙΕΥΘΥΝΣΗ Π.Ε. ΑΧΑΪΑΣ"/>
    <n v="46.169444444444444"/>
    <s v="46 - 50"/>
  </r>
  <r>
    <n v="99912884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3-06-20T00:00:00"/>
    <x v="1"/>
    <s v="ΔΙΕΥΘΥΝΣΗ Π.Ε. ΑΧΑΪΑΣ"/>
    <n v="46.172222222222224"/>
    <s v="46 - 50"/>
  </r>
  <r>
    <n v="99912885"/>
    <s v="Θ"/>
    <x v="1"/>
    <x v="1"/>
    <m/>
    <m/>
    <s v="Α΄"/>
    <n v="6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6-16T00:00:00"/>
    <x v="1"/>
    <s v="ΔΙΕΥΘΥΝΣΗ Π.Ε. ΔΥΤ. ΘΕΣ/ΝΙΚΗΣ"/>
    <n v="46.18333333333333"/>
    <s v="46 - 50"/>
  </r>
  <r>
    <n v="99912886"/>
    <s v="Α"/>
    <x v="3"/>
    <x v="3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13T00:00:00"/>
    <x v="0"/>
    <s v="ΔΙΕΥΘΥΝΣΗ Δ.Ε. Δ΄ ΑΘΗΝΑΣ"/>
    <n v="46.19166666666667"/>
    <s v="46 - 50"/>
  </r>
  <r>
    <n v="99912887"/>
    <s v="Α"/>
    <x v="5"/>
    <x v="5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3-06-12T00:00:00"/>
    <x v="0"/>
    <s v="ΔΙΕΥΘΥΝΣΗ Δ.Ε. ΛΑΡΙΣΑΣ"/>
    <n v="46.194444444444443"/>
    <s v="46 - 50"/>
  </r>
  <r>
    <n v="99912888"/>
    <s v="Α"/>
    <x v="9"/>
    <x v="9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2"/>
    <s v="ΟΧΙ"/>
    <m/>
    <m/>
    <m/>
    <s v="ΟΧΙ"/>
    <m/>
    <d v="2018-09-01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3-06-11T00:00:00"/>
    <x v="0"/>
    <s v="ΔΙΕΥΘΥΝΣΗ Δ.Ε. ΑΡΓΟΛΙΔΑΣ"/>
    <n v="46.197222222222223"/>
    <s v="46 - 50"/>
  </r>
  <r>
    <n v="9991288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09T00:00:00"/>
    <x v="0"/>
    <s v="ΔΙΕΥΘΥΝΣΗ Δ.Ε. Β΄ ΑΘΗΝΑΣ"/>
    <n v="46.202777777777776"/>
    <s v="46 - 50"/>
  </r>
  <r>
    <n v="99912890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6-09T00:00:00"/>
    <x v="0"/>
    <s v="ΔΙΕΥΘΥΝΣΗ Δ.Ε. ΑΝΑΤ. ΘΕΣ/ΝΙΚΗΣ"/>
    <n v="46.202777777777776"/>
    <s v="46 - 50"/>
  </r>
  <r>
    <n v="99912891"/>
    <s v="Θ"/>
    <x v="7"/>
    <x v="7"/>
    <m/>
    <m/>
    <s v="Γ΄"/>
    <n v="1"/>
    <s v="17957/8-10-2018"/>
    <d v="2018-09-24T00:00:00"/>
    <s v="ΛΑΡΙΣΑΣ (Δ.Ε.) 2018"/>
    <s v="ΔΙΕΥΘΥΝΣΗ Δ.Ε. ΛΑΡΙΣΑΣ"/>
    <s v="ΠΕΡΙΦΕΡΕΙΑΚΗ Δ/ΝΣΗ Α/ΘΜΙΑΣ ΚΑΙ Β/ΘΜΙΑΣ ΕΚΠ/ΣΗΣ ΘΕΣΣΑΛΙΑΣ"/>
    <n v="8"/>
    <s v="ΟΧΙ"/>
    <m/>
    <m/>
    <m/>
    <s v="ΟΧΙ"/>
    <m/>
    <d v="2018-09-24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3-06-08T00:00:00"/>
    <x v="0"/>
    <s v="ΔΙΕΥΘΥΝΣΗ Δ.Ε. ΛΑΡΙΣΑΣ"/>
    <n v="46.205555555555556"/>
    <s v="46 - 50"/>
  </r>
  <r>
    <n v="99912892"/>
    <s v="Α"/>
    <x v="15"/>
    <x v="1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06T00:00:00"/>
    <x v="0"/>
    <s v="ΔΙΕΥΘΥΝΣΗ Δ.Ε. Γ΄ ΑΘΗΝΑΣ"/>
    <n v="46.211111111111109"/>
    <s v="46 - 50"/>
  </r>
  <r>
    <n v="99912893"/>
    <s v="Α"/>
    <x v="5"/>
    <x v="5"/>
    <m/>
    <m/>
    <s v="Γ΄"/>
    <n v="1"/>
    <n v="17839"/>
    <d v="2018-09-03T00:00:00"/>
    <s v="Α΄ ΠΕΙΡΑΙΑ (Δ.Ε.) 2018"/>
    <s v="ΔΙΕΥΘΥΝΣΗ Δ.Ε. ΠΕΙΡΑΙΑ"/>
    <s v="ΠΕΡΙΦΕΡΕΙΑΚΗ Δ/ΝΣΗ Α/ΘΜΙΑΣ ΚΑΙ Β/ΘΜΙΑΣ ΕΚΠ/ΣΗΣ ΑΤΤΙΚΗΣ"/>
    <n v="23"/>
    <s v="ΟΧΙ"/>
    <m/>
    <m/>
    <m/>
    <s v="ΟΧΙ"/>
    <m/>
    <d v="2018-09-03T00:00:00"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3-06-05T00:00:00"/>
    <x v="0"/>
    <s v="ΔΙΕΥΘΥΝΣΗ Δ.Ε. ΠΕΙΡΑΙΑ"/>
    <n v="46.213888888888889"/>
    <s v="46 - 50"/>
  </r>
  <r>
    <n v="99912894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04T00:00:00"/>
    <x v="0"/>
    <s v="ΔΙΕΥΘΥΝΣΗ Δ.Ε. Β΄ ΑΘΗΝΑΣ"/>
    <n v="46.216666666666669"/>
    <s v="46 - 50"/>
  </r>
  <r>
    <n v="99912895"/>
    <s v="Θ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6-02T00:00:00"/>
    <x v="1"/>
    <s v="ΔΙΕΥΘΥΝΣΗ Π.Ε. ΑΝΑΤΟΛΙΚΗΣ ΑΤΤΙΚΗΣ"/>
    <n v="46.222222222222221"/>
    <s v="46 - 50"/>
  </r>
  <r>
    <n v="99912896"/>
    <s v="Θ"/>
    <x v="0"/>
    <x v="0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6-01T00:00:00"/>
    <x v="0"/>
    <s v="ΔΙΕΥΘΥΝΣΗ Δ.Ε. ΑΝΑΤ. ΘΕΣ/ΝΙΚΗΣ"/>
    <n v="46.225000000000001"/>
    <s v="46 - 50"/>
  </r>
  <r>
    <n v="99912897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25T00:00:00"/>
    <x v="1"/>
    <s v="ΔΙΕΥΘΥΝΣΗ Π.Ε. Α΄ ΑΘΗΝΑΣ"/>
    <n v="46.244444444444447"/>
    <s v="46 - 50"/>
  </r>
  <r>
    <n v="99912898"/>
    <s v="Α"/>
    <x v="3"/>
    <x v="3"/>
    <m/>
    <m/>
    <s v="Α΄"/>
    <n v="1"/>
    <s v="ΒΙΨ19-ΝΝΚ"/>
    <d v="2014-01-28T00:00:00"/>
    <s v="ΚΟΡΙΝΘΙΑΣ (Δ.Ε.) 2018"/>
    <s v="ΔΙΕΥΘΥΝΣΗ Δ.Ε. ΚΟΡΙΝΘΙΑΣ"/>
    <s v="ΠΕΡΙΦΕΡΕΙΑΚΗ Δ/ΝΣΗ Α/ΘΜΙΑΣ ΚΑΙ Β/ΘΜΙΑΣ ΕΚΠ/ΣΗΣ ΠΕΛΟΠΟΝΝΗΣΟΥ"/>
    <n v="25"/>
    <s v="ΟΧΙ"/>
    <s v="ΟΧΙ"/>
    <s v="ΟΧΙ"/>
    <s v="ΟΧΙ"/>
    <s v="ΟΧΙ"/>
    <m/>
    <d v="2016-09-01T00:00:00"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3-05-25T00:00:00"/>
    <x v="0"/>
    <s v="ΔΙΕΥΘΥΝΣΗ Δ.Ε. ΚΟΡΙΝΘΙΑΣ"/>
    <n v="46.244444444444447"/>
    <s v="46 - 50"/>
  </r>
  <r>
    <n v="99912899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24T00:00:00"/>
    <x v="0"/>
    <s v="ΔΙΕΥΘΥΝΣΗ Δ.Ε. Β΄ ΑΘΗΝΑΣ"/>
    <n v="46.24722222222222"/>
    <s v="46 - 50"/>
  </r>
  <r>
    <n v="99912900"/>
    <s v="Θ"/>
    <x v="6"/>
    <x v="6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24T00:00:00"/>
    <x v="1"/>
    <s v="ΔΙΕΥΘΥΝΣΗ Π.Ε. Α΄ ΑΘΗΝΑΣ"/>
    <n v="46.24722222222222"/>
    <s v="46 - 50"/>
  </r>
  <r>
    <n v="99912901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16T00:00:00"/>
    <x v="0"/>
    <s v="ΔΙΕΥΘΥΝΣΗ Δ.Ε. Γ΄ ΑΘΗΝΑΣ"/>
    <n v="46.269444444444446"/>
    <s v="46 - 50"/>
  </r>
  <r>
    <n v="99912902"/>
    <s v="Θ"/>
    <x v="20"/>
    <x v="2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15T00:00:00"/>
    <x v="0"/>
    <s v="ΔΙΕΥΘΥΝΣΗ Δ.Ε. Δ΄ ΑΘΗΝΑΣ"/>
    <n v="46.272222222222226"/>
    <s v="46 - 50"/>
  </r>
  <r>
    <n v="99912903"/>
    <s v="Θ"/>
    <x v="1"/>
    <x v="1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3-05-15T00:00:00"/>
    <x v="1"/>
    <s v="ΔΙΕΥΘΥΝΣΗ Π.Ε. ΜΑΓΝΗΣΙΑΣ"/>
    <n v="46.272222222222226"/>
    <s v="46 - 50"/>
  </r>
  <r>
    <n v="99912904"/>
    <s v="Α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12T00:00:00"/>
    <x v="0"/>
    <s v="ΔΙΕΥΘΥΝΣΗ Δ.Ε. Β΄ ΑΘΗΝΑΣ"/>
    <n v="46.280555555555559"/>
    <s v="46 - 50"/>
  </r>
  <r>
    <n v="99912905"/>
    <s v="Θ"/>
    <x v="2"/>
    <x v="2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3-05-11T00:00:00"/>
    <x v="1"/>
    <s v="ΔΙΕΥΘΥΝΣΗ Π.Ε. ΑΝΑΤ. ΘΕΣ/ΝΙΚΗΣ"/>
    <n v="46.283333333333331"/>
    <s v="46 - 50"/>
  </r>
  <r>
    <n v="99912906"/>
    <s v="Α"/>
    <x v="1"/>
    <x v="1"/>
    <m/>
    <m/>
    <s v="Α΄"/>
    <n v="7"/>
    <s v="Φ.15.Α6/6407/9-10-2009"/>
    <d v="2009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09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10T00:00:00"/>
    <x v="1"/>
    <s v="ΔΙΕΥΘΥΝΣΗ Π.Ε. ΑΝΑΤΟΛΙΚΗΣ ΑΤΤΙΚΗΣ"/>
    <n v="46.286111111111111"/>
    <s v="46 - 50"/>
  </r>
  <r>
    <n v="99912907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5-01T00:00:00"/>
    <x v="0"/>
    <s v="ΔΙΕΥΘΥΝΣΗ Δ.Ε. Β΄ ΑΘΗΝΑΣ"/>
    <n v="46.31111111111111"/>
    <s v="46 - 50"/>
  </r>
  <r>
    <n v="99912908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28T00:00:00"/>
    <x v="0"/>
    <s v="ΔΙΕΥΘΥΝΣΗ Δ.Ε. ΑΝΑΤΟΛΙΚΗΣ ΑΤΤΙΚΗΣ"/>
    <n v="46.319444444444443"/>
    <s v="46 - 50"/>
  </r>
  <r>
    <n v="9991290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4-26T00:00:00"/>
    <x v="0"/>
    <s v="ΔΙΕΥΘΥΝΣΗ Δ.Ε. Β΄ ΑΘΗΝΑΣ"/>
    <n v="46.325000000000003"/>
    <s v="46 - 50"/>
  </r>
  <r>
    <n v="99912910"/>
    <s v="Α"/>
    <x v="19"/>
    <x v="19"/>
    <m/>
    <m/>
    <s v="Γ΄"/>
    <n v="1"/>
    <s v="6ΝΛΖ9-ΙΓ7"/>
    <d v="2014-12-30T00:00:00"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d v="2015-01-07T00:00:00"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22T00:00:00"/>
    <x v="0"/>
    <s v="ΔΙΕΥΘΥΝΣΗ Δ.Ε. Δ΄ ΑΘΗΝΑΣ"/>
    <n v="46.336111111111109"/>
    <s v="46 - 50"/>
  </r>
  <r>
    <n v="99912911"/>
    <s v="Θ"/>
    <x v="8"/>
    <x v="8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18T00:00:00"/>
    <x v="0"/>
    <s v="ΔΙΕΥΘΥΝΣΗ Δ.Ε. Γ΄ ΑΘΗΝΑΣ"/>
    <n v="46.347222222222221"/>
    <s v="46 - 50"/>
  </r>
  <r>
    <n v="99912912"/>
    <s v="Θ"/>
    <x v="14"/>
    <x v="14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13T00:00:00"/>
    <x v="0"/>
    <s v="ΔΙΕΥΘΥΝΣΗ Δ.Ε. Α΄ ΑΘΗΝΑΣ"/>
    <n v="46.361111111111114"/>
    <s v="46 - 50"/>
  </r>
  <r>
    <n v="99912913"/>
    <s v="Α"/>
    <x v="18"/>
    <x v="1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12T00:00:00"/>
    <x v="1"/>
    <s v="ΔΙΕΥΘΥΝΣΗ Π.Ε. Β΄ ΑΘΗΝΑΣ"/>
    <n v="46.363888888888887"/>
    <s v="46 - 50"/>
  </r>
  <r>
    <n v="99912914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05T00:00:00"/>
    <x v="0"/>
    <s v="ΔΙΕΥΘΥΝΣΗ Δ.Ε. Α΄ ΑΘΗΝΑΣ"/>
    <n v="46.383333333333333"/>
    <s v="46 - 50"/>
  </r>
  <r>
    <n v="99912915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2"/>
    <s v="7051031"/>
    <s v="ΙΔΙΩΤΙΚΟ ΝΗΠΙΑΓΩΓΕΙΟ - ΕΛΛΗΝΙΚΑ ΕΚΠΑΙΔΕΥΤΗΡΙΑ &quot;ΣΥΓΧΡΟΝΗ ΠΑΙΔΕΙΑ&quot;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4-03T00:00:00"/>
    <x v="1"/>
    <s v="ΔΙΕΥΘΥΝΣΗ Π.Ε. Α΄ ΑΘΗΝΑΣ"/>
    <n v="46.388888888888886"/>
    <s v="46 - 50"/>
  </r>
  <r>
    <n v="99912916"/>
    <s v="Θ"/>
    <x v="8"/>
    <x v="8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2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3-03-29T00:00:00"/>
    <x v="1"/>
    <s v="ΔΙΕΥΘΥΝΣΗ Π.Ε. ΧΑΝΙΩΝ"/>
    <n v="46.402777777777779"/>
    <s v="46 - 50"/>
  </r>
  <r>
    <n v="99912917"/>
    <s v="Α"/>
    <x v="5"/>
    <x v="5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3-03-28T00:00:00"/>
    <x v="0"/>
    <s v="ΔΙΕΥΘΥΝΣΗ Δ.Ε. ΠΕΙΡΑΙΑ"/>
    <n v="46.405555555555559"/>
    <s v="46 - 50"/>
  </r>
  <r>
    <n v="99912918"/>
    <s v="Α"/>
    <x v="2"/>
    <x v="2"/>
    <m/>
    <m/>
    <s v="Γ΄"/>
    <n v="1"/>
    <s v="ΙΔΙΟΚΤΗΤΗΣ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m/>
    <m/>
    <m/>
    <s v="ΟΧΙ"/>
    <m/>
    <m/>
    <s v="Ιδιωτικά Σχολεία"/>
    <x v="2"/>
    <s v="7052093"/>
    <s v="ΜΕΛΩΔΙΕΣ ΤΗΣ ΠΛΩΡΗΣ - ΚΩΝΣΤΑΝΤΙΝΟΣ ΛΥΝΤΕΡΗ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28T00:00:00"/>
    <x v="1"/>
    <s v="ΔΙΕΥΘΥΝΣΗ Π.Ε. Β΄ ΑΘΗΝΑΣ"/>
    <n v="46.405555555555559"/>
    <s v="46 - 50"/>
  </r>
  <r>
    <n v="99912919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25T00:00:00"/>
    <x v="0"/>
    <s v="ΔΙΕΥΘΥΝΣΗ Δ.Ε. Β΄ ΑΘΗΝΑΣ"/>
    <n v="46.413888888888891"/>
    <s v="46 - 50"/>
  </r>
  <r>
    <n v="99912920"/>
    <s v="Θ"/>
    <x v="8"/>
    <x v="8"/>
    <m/>
    <m/>
    <s v="Γ΄"/>
    <n v="1"/>
    <s v="Φ.Ι.Α.4/32311/14-12-2015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5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19T00:00:00"/>
    <x v="1"/>
    <s v="ΔΙΕΥΘΥΝΣΗ Π.Ε. ΑΝΑΤΟΛΙΚΗΣ ΑΤΤΙΚΗΣ"/>
    <n v="46.430555555555557"/>
    <s v="46 - 50"/>
  </r>
  <r>
    <n v="99912921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2"/>
    <s v="7052067"/>
    <s v="ΙΔΙΩΤΙΚΟ ΝΗΠΙΑΓΩΓΕΙΟ - Μ. ΤΣΙΤΣΙΛΙΑΝΗ ΕΚΠΑΙΔΕΥΣΗ Μ.Ε.Π.Ε.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18T00:00:00"/>
    <x v="1"/>
    <s v="ΔΙΕΥΘΥΝΣΗ Π.Ε. Β΄ ΑΘΗΝΑΣ"/>
    <n v="46.43333333333333"/>
    <s v="46 - 50"/>
  </r>
  <r>
    <n v="99912922"/>
    <s v="Θ"/>
    <x v="20"/>
    <x v="20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1996-09-1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17T00:00:00"/>
    <x v="0"/>
    <s v="ΔΙΕΥΘΥΝΣΗ Δ.Ε. Α΄ ΑΘΗΝΑΣ"/>
    <n v="46.43611111111111"/>
    <s v="46 - 50"/>
  </r>
  <r>
    <n v="99912923"/>
    <s v="Θ"/>
    <x v="1"/>
    <x v="1"/>
    <m/>
    <m/>
    <s v="Α΄"/>
    <n v="9"/>
    <n v="10"/>
    <d v="2007-01-15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1-15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3-16T00:00:00"/>
    <x v="1"/>
    <s v="ΔΙΕΥΘΥΝΣΗ Π.Ε. ΑΝΑΤΟΛΙΚΗΣ ΑΤΤΙΚΗΣ"/>
    <n v="46.43888888888889"/>
    <s v="46 - 50"/>
  </r>
  <r>
    <n v="99912924"/>
    <s v="Α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15T00:00:00"/>
    <x v="0"/>
    <s v="ΔΙΕΥΘΥΝΣΗ Δ.Ε. ΠΕΙΡΑΙΑ"/>
    <n v="46.44166666666667"/>
    <s v="46 - 50"/>
  </r>
  <r>
    <n v="99912925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09T00:00:00"/>
    <x v="0"/>
    <s v="ΔΙΕΥΘΥΝΣΗ Δ.Ε. Β΄ ΑΘΗΝΑΣ"/>
    <n v="46.458333333333336"/>
    <s v="46 - 50"/>
  </r>
  <r>
    <n v="99912926"/>
    <s v="Θ"/>
    <x v="1"/>
    <x v="1"/>
    <m/>
    <m/>
    <s v="Α΄"/>
    <n v="10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09T00:00:00"/>
    <x v="1"/>
    <s v="ΔΙΕΥΘΥΝΣΗ Π.Ε. Δ΄ ΑΘΗΝΑΣ"/>
    <n v="46.458333333333336"/>
    <s v="46 - 50"/>
  </r>
  <r>
    <n v="99912927"/>
    <s v="Θ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8"/>
    <s v="ΟΧΙ"/>
    <s v="ΟΧΙ"/>
    <s v="ΟΧΙ"/>
    <s v="ΟΧΙ"/>
    <s v="ΟΧΙ"/>
    <m/>
    <m/>
    <s v="Ιδιωτικά Σχολεία"/>
    <x v="3"/>
    <s v="2880010"/>
    <s v="ΙΔΙΩΤΙΚΟ ΗΜΕΡΗΣΙΟ ΛΥΚΕΙΟ ΚΟΡΙΝΘΟΣ - ΑΡΙΣΤΟΤΕΛΕΙΟ ΓΕΝΙΚΟ ΛΥΚΕ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3-03-09T00:00:00"/>
    <x v="0"/>
    <s v="ΔΙΕΥΘΥΝΣΗ Δ.Ε. ΚΟΡΙΝΘΙΑΣ"/>
    <n v="46.458333333333336"/>
    <s v="46 - 50"/>
  </r>
  <r>
    <n v="99912928"/>
    <s v="Θ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3-04T00:00:00"/>
    <x v="0"/>
    <s v="ΔΙΕΥΘΥΝΣΗ Δ.Ε. Α΄ ΑΘΗΝΑΣ"/>
    <n v="46.472222222222221"/>
    <s v="46 - 50"/>
  </r>
  <r>
    <n v="99912929"/>
    <s v="Θ"/>
    <x v="7"/>
    <x v="7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12"/>
    <s v="ΟΧΙ"/>
    <s v="ΟΧΙ"/>
    <s v="ΟΧΙ"/>
    <s v="ΟΧΙ"/>
    <s v="ΟΧΙ"/>
    <m/>
    <d v="2006-10-02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27T00:00:00"/>
    <x v="0"/>
    <s v="ΔΙΕΥΘΥΝΣΗ Δ.Ε. Α΄ ΑΘΗΝΑΣ"/>
    <n v="46.486111111111114"/>
    <s v="46 - 50"/>
  </r>
  <r>
    <n v="99912930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23T00:00:00"/>
    <x v="0"/>
    <s v="ΔΙΕΥΘΥΝΣΗ Δ.Ε. Β΄ ΑΘΗΝΑΣ"/>
    <n v="46.49722222222222"/>
    <s v="46 - 50"/>
  </r>
  <r>
    <n v="99912931"/>
    <s v="Θ"/>
    <x v="2"/>
    <x v="2"/>
    <m/>
    <m/>
    <s v="Α΄"/>
    <n v="2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3053"/>
    <s v="ΣΥΣΤΕΓΑΖΟΜΕΝΟ ΝΗΠΙΑΓΩΓΕΙΟ - ΚΟΛΕΛΗ ΑΙΜΙΛΙΑ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23T00:00:00"/>
    <x v="1"/>
    <s v="ΔΙΕΥΘΥΝΣΗ Π.Ε. Γ΄ ΑΘΗΝΑΣ"/>
    <n v="46.49722222222222"/>
    <s v="46 - 50"/>
  </r>
  <r>
    <n v="99912932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18T00:00:00"/>
    <x v="0"/>
    <s v="ΔΙΕΥΘΥΝΣΗ Δ.Ε. ΠΕΙΡΑΙΑ"/>
    <n v="46.511111111111113"/>
    <s v="46 - 50"/>
  </r>
  <r>
    <n v="99912933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2-17T00:00:00"/>
    <x v="0"/>
    <s v="ΔΙΕΥΘΥΝΣΗ Δ.Ε. ΑΝΑΤΟΛΙΚΗΣ ΑΤΤΙΚΗΣ"/>
    <n v="46.513888888888886"/>
    <s v="46 - 50"/>
  </r>
  <r>
    <n v="99912934"/>
    <s v="Θ"/>
    <x v="1"/>
    <x v="1"/>
    <m/>
    <m/>
    <s v="Γ΄"/>
    <n v="1"/>
    <s v="3412/9/11/2001"/>
    <d v="2018-09-01T00:00:00"/>
    <s v="ΙΩΑΝΝΙΝΩΝ (Π.Ε.) 2018"/>
    <s v="ΔΙΕΥΘΥΝΣΗ Π.Ε. ΙΩΑΝΝΙΝΩΝ"/>
    <s v="ΠΕΡΙΦΕΡΕΙΑΚΗ Δ/ΝΣΗ Α/ΘΜΙΑΣ ΚΑΙ Β/ΘΜΙΑΣ ΕΚΠ/ΣΗΣ ΗΠΕΙΡΟΥ"/>
    <n v="21"/>
    <s v="ΟΧΙ"/>
    <m/>
    <m/>
    <m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3-02-16T00:00:00"/>
    <x v="1"/>
    <s v="ΔΙΕΥΘΥΝΣΗ Π.Ε. ΙΩΑΝΝΙΝΩΝ"/>
    <n v="46.516666666666666"/>
    <s v="46 - 50"/>
  </r>
  <r>
    <n v="99912935"/>
    <s v="Θ"/>
    <x v="20"/>
    <x v="2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12T00:00:00"/>
    <x v="0"/>
    <s v="ΔΙΕΥΘΥΝΣΗ Δ.Ε. Β΄ ΑΘΗΝΑΣ"/>
    <n v="46.527777777777779"/>
    <s v="46 - 50"/>
  </r>
  <r>
    <n v="99912936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12T00:00:00"/>
    <x v="0"/>
    <s v="ΔΙΕΥΘΥΝΣΗ Δ.Ε. Δ΄ ΑΘΗΝΑΣ"/>
    <n v="46.527777777777779"/>
    <s v="46 - 50"/>
  </r>
  <r>
    <n v="99912937"/>
    <s v="Α"/>
    <x v="19"/>
    <x v="19"/>
    <m/>
    <m/>
    <s v="Α΄"/>
    <n v="7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2-10T00:00:00"/>
    <x v="0"/>
    <s v="ΔΙΕΥΘΥΝΣΗ Δ.Ε. ΔΥΤ. ΘΕΣ/ΝΙΚΗΣ"/>
    <n v="46.533333333333331"/>
    <s v="46 - 50"/>
  </r>
  <r>
    <n v="99912938"/>
    <s v="Α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2-01T00:00:00"/>
    <x v="0"/>
    <s v="ΔΙΕΥΘΥΝΣΗ Δ.Ε. Β΄ ΑΘΗΝΑΣ"/>
    <n v="46.55833333333333"/>
    <s v="46 - 50"/>
  </r>
  <r>
    <n v="99912939"/>
    <s v="Θ"/>
    <x v="2"/>
    <x v="2"/>
    <m/>
    <m/>
    <s v="Γ΄"/>
    <n v="1"/>
    <s v="Φ.17.2/304/13919/7.11.13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30T00:00:00"/>
    <x v="1"/>
    <s v="ΔΙΕΥΘΥΝΣΗ Π.Ε. Β΄ ΑΘΗΝΑΣ"/>
    <n v="46.56388888888889"/>
    <s v="46 - 50"/>
  </r>
  <r>
    <n v="99912940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29T00:00:00"/>
    <x v="0"/>
    <s v="ΔΙΕΥΘΥΝΣΗ Δ.Ε. ΠΕΙΡΑΙΑ"/>
    <n v="46.56666666666667"/>
    <s v="46 - 50"/>
  </r>
  <r>
    <n v="99912941"/>
    <s v="Θ"/>
    <x v="1"/>
    <x v="1"/>
    <m/>
    <m/>
    <s v="Β΄"/>
    <n v="4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28T00:00:00"/>
    <x v="1"/>
    <s v="ΔΙΕΥΘΥΝΣΗ Π.Ε. Δ΄ ΑΘΗΝΑΣ"/>
    <n v="46.569444444444443"/>
    <s v="46 - 50"/>
  </r>
  <r>
    <n v="99912942"/>
    <s v="Θ"/>
    <x v="10"/>
    <x v="10"/>
    <m/>
    <m/>
    <s v="Γ΄"/>
    <n v="1"/>
    <m/>
    <m/>
    <s v="ΞΑΝΘΗΣ (Δ.Ε.) 2018"/>
    <s v="ΔΙΕΥΘΥΝΣΗ Δ.Ε. ΞΑΝΘΗΣ"/>
    <s v="ΠΕΡΙΦΕΡΕΙΑΚΗ Δ/ΝΣΗ Α/ΘΜΙΑΣ ΚΑΙ Β/ΘΜΙΑΣ ΕΚΠ/ΣΗΣ ΑΝ. ΜΑΚΕΔΟΝΙΑΣ ΚΑΙ ΘΡΑΚΗΣ"/>
    <n v="10"/>
    <s v="ΟΧΙ"/>
    <s v="ΟΧΙ"/>
    <s v="ΟΧΙ"/>
    <s v="ΟΧΙ"/>
    <s v="ΟΧΙ"/>
    <m/>
    <m/>
    <s v="Ιδιωτικά Σχολεία"/>
    <x v="0"/>
    <s v="3781010"/>
    <s v="ΙΔΙΩΤΙΚΟ ΓΥΜΝΑΣ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3-01-25T00:00:00"/>
    <x v="0"/>
    <s v="ΔΙΕΥΘΥΝΣΗ Δ.Ε. ΞΑΝΘΗΣ"/>
    <n v="46.577777777777776"/>
    <s v="46 - 50"/>
  </r>
  <r>
    <n v="99912943"/>
    <s v="Θ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23T00:00:00"/>
    <x v="0"/>
    <s v="ΔΙΕΥΘΥΝΣΗ Δ.Ε. Β΄ ΑΘΗΝΑΣ"/>
    <n v="46.583333333333336"/>
    <s v="46 - 50"/>
  </r>
  <r>
    <n v="99912944"/>
    <s v="Θ"/>
    <x v="1"/>
    <x v="1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3-01-22T00:00:00"/>
    <x v="1"/>
    <s v="ΔΙΕΥΘΥΝΣΗ Π.Ε. Β΄ ΑΘΗΝΑΣ"/>
    <n v="46.586111111111109"/>
    <s v="46 - 50"/>
  </r>
  <r>
    <n v="99912945"/>
    <s v="Θ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21T00:00:00"/>
    <x v="0"/>
    <s v="ΔΙΕΥΘΥΝΣΗ Δ.Ε. ΑΝΑΤ. ΘΕΣ/ΝΙΚΗΣ"/>
    <n v="46.588888888888889"/>
    <s v="46 - 50"/>
  </r>
  <r>
    <n v="99912946"/>
    <s v="Θ"/>
    <x v="6"/>
    <x v="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17T00:00:00"/>
    <x v="0"/>
    <s v="ΔΙΕΥΘΥΝΣΗ Δ.Ε. Β΄ ΑΘΗΝΑΣ"/>
    <n v="46.6"/>
    <s v="46 - 50"/>
  </r>
  <r>
    <n v="99912947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6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13T00:00:00"/>
    <x v="0"/>
    <s v="ΔΙΕΥΘΥΝΣΗ Δ.Ε. Γ΄ ΑΘΗΝΑΣ"/>
    <n v="46.611111111111114"/>
    <s v="46 - 50"/>
  </r>
  <r>
    <n v="99912948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12T00:00:00"/>
    <x v="1"/>
    <s v="ΔΙΕΥΘΥΝΣΗ Π.Ε. Β΄ ΑΘΗΝΑΣ"/>
    <n v="46.613888888888887"/>
    <s v="46 - 50"/>
  </r>
  <r>
    <n v="99912949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8T00:00:00"/>
    <x v="0"/>
    <s v="ΔΙΕΥΘΥΝΣΗ Δ.Ε. Δ΄ ΑΘΗΝΑΣ"/>
    <n v="46.625"/>
    <s v="46 - 50"/>
  </r>
  <r>
    <n v="99912950"/>
    <s v="Θ"/>
    <x v="3"/>
    <x v="3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3-01-04T00:00:00"/>
    <x v="0"/>
    <s v="ΔΙΕΥΘΥΝΣΗ Δ.Ε. ΑΡΓΟΛΙΔΑΣ"/>
    <n v="46.636111111111113"/>
    <s v="46 - 50"/>
  </r>
  <r>
    <n v="99912951"/>
    <s v="Α"/>
    <x v="15"/>
    <x v="1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3T00:00:00"/>
    <x v="0"/>
    <s v="ΔΙΕΥΘΥΝΣΗ Δ.Ε. Δ΄ ΑΘΗΝΑΣ"/>
    <n v="46.638888888888886"/>
    <s v="46 - 50"/>
  </r>
  <r>
    <n v="99912952"/>
    <s v="Θ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3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3-01-03T00:00:00"/>
    <x v="0"/>
    <s v="ΔΙΕΥΘΥΝΣΗ Δ.Ε. ΚΟΡΙΝΘΙΑΣ"/>
    <n v="46.638888888888886"/>
    <s v="46 - 50"/>
  </r>
  <r>
    <n v="99912953"/>
    <s v="Θ"/>
    <x v="0"/>
    <x v="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0"/>
    <s v="ΔΙΕΥΘΥΝΣΗ Δ.Ε. Α΄ ΑΘΗΝΑΣ"/>
    <n v="46.644444444444446"/>
    <s v="46 - 50"/>
  </r>
  <r>
    <n v="99912954"/>
    <s v="Α"/>
    <x v="4"/>
    <x v="4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0"/>
    <s v="ΔΙΕΥΘΥΝΣΗ Δ.Ε. Α΄ ΑΘΗΝΑΣ"/>
    <n v="46.644444444444446"/>
    <s v="46 - 50"/>
  </r>
  <r>
    <n v="99912955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3-01-01T00:00:00"/>
    <x v="0"/>
    <s v="ΔΙΕΥΘΥΝΣΗ Δ.Ε. Β΄ ΑΘΗΝΑΣ"/>
    <n v="46.644444444444446"/>
    <s v="46 - 50"/>
  </r>
  <r>
    <n v="99912956"/>
    <s v="Θ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0"/>
    <s v="ΔΙΕΥΘΥΝΣΗ Δ.Ε. Β΄ ΑΘΗΝΑΣ"/>
    <n v="46.644444444444446"/>
    <s v="46 - 50"/>
  </r>
  <r>
    <n v="99912957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0"/>
    <s v="ΔΙΕΥΘΥΝΣΗ Δ.Ε. Β΄ ΑΘΗΝΑΣ"/>
    <n v="46.644444444444446"/>
    <s v="46 - 50"/>
  </r>
  <r>
    <n v="99912958"/>
    <s v="Α"/>
    <x v="19"/>
    <x v="19"/>
    <m/>
    <m/>
    <s v="Γ΄"/>
    <n v="1"/>
    <s v="18279/26"/>
    <d v="2018-09-01T00:00:00"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0"/>
    <s v="ΔΙΕΥΘΥΝΣΗ Δ.Ε. Γ΄ ΑΘΗΝΑΣ"/>
    <n v="46.644444444444446"/>
    <s v="46 - 50"/>
  </r>
  <r>
    <n v="99912959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1"/>
    <s v="ΔΙΕΥΘΥΝΣΗ Π.Ε. ΑΝΑΤΟΛΙΚΗΣ ΑΤΤΙΚΗΣ"/>
    <n v="46.644444444444446"/>
    <s v="46 - 50"/>
  </r>
  <r>
    <n v="99912960"/>
    <s v="Α"/>
    <x v="8"/>
    <x v="8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1"/>
    <s v="ΔΙΕΥΘΥΝΣΗ Π.Ε. ΑΝΑΤΟΛΙΚΗΣ ΑΤΤΙΚΗΣ"/>
    <n v="46.644444444444446"/>
    <s v="46 - 50"/>
  </r>
  <r>
    <n v="99912961"/>
    <s v="Θ"/>
    <x v="10"/>
    <x v="10"/>
    <m/>
    <m/>
    <s v="Γ΄"/>
    <n v="1"/>
    <s v="Φ.17.2/241/9774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1"/>
    <s v="ΔΙΕΥΘΥΝΣΗ Π.Ε. Β΄ ΑΘΗΝΑΣ"/>
    <n v="46.644444444444446"/>
    <s v="46 - 50"/>
  </r>
  <r>
    <n v="99912962"/>
    <s v="Θ"/>
    <x v="10"/>
    <x v="10"/>
    <m/>
    <m/>
    <s v="Γ΄"/>
    <n v="1"/>
    <n v="991"/>
    <d v="2018-09-01T00:00:00"/>
    <s v="Δ΄ ΑΘΗΝΑΣ (Π.Ε.) 2018"/>
    <s v="ΔΙΕΥΘΥΝΣΗ Π.Ε. Δ΄ ΑΘΗΝΑΣ"/>
    <s v="ΠΕΡΙΦΕΡΕΙΑΚΗ Δ/ΝΣΗ Α/ΘΜΙΑΣ ΚΑΙ Β/ΘΜΙΑΣ ΕΚΠ/ΣΗΣ ΑΤΤΙΚΗΣ"/>
    <n v="5"/>
    <s v="ΟΧΙ"/>
    <s v="ΟΧΙ"/>
    <s v="ΟΧΙ"/>
    <s v="ΟΧΙ"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1"/>
    <s v="ΔΙΕΥΘΥΝΣΗ Π.Ε. Δ΄ ΑΘΗΝΑΣ"/>
    <n v="46.644444444444446"/>
    <s v="46 - 50"/>
  </r>
  <r>
    <n v="99912963"/>
    <s v="Α"/>
    <x v="8"/>
    <x v="8"/>
    <m/>
    <m/>
    <s v="Γ΄"/>
    <n v="1"/>
    <n v="16995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3-01-01T00:00:00"/>
    <x v="1"/>
    <s v="ΔΙΕΥΘΥΝΣΗ Π.Ε. Δ΄ ΑΘΗΝΑΣ"/>
    <n v="46.644444444444446"/>
    <s v="46 - 50"/>
  </r>
  <r>
    <n v="99912964"/>
    <s v="Θ"/>
    <x v="0"/>
    <x v="0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s v="ΟΧΙ"/>
    <s v="ΟΧΙ"/>
    <s v="ΟΧΙ"/>
    <s v="ΟΧΙ"/>
    <m/>
    <m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3-01-01T00:00:00"/>
    <x v="1"/>
    <s v="ΔΙΕΥΘΥΝΣΗ Π.Ε. ΑΙΤΩΛΟΑΚΑΡΝΑΝΙΑΣ"/>
    <n v="46.644444444444446"/>
    <s v="46 - 50"/>
  </r>
  <r>
    <n v="99912965"/>
    <s v="Α"/>
    <x v="3"/>
    <x v="3"/>
    <m/>
    <m/>
    <s v="Γ΄"/>
    <n v="1"/>
    <s v="ΑΠ2027157"/>
    <d v="2018-09-27T00:00:00"/>
    <s v="Α΄ ΜΑΓΝΗΣΙΑΣ (Δ.Ε.) 2018"/>
    <s v="ΔΙΕΥΘΥΝΣΗ Δ.Ε. ΜΑΓΝΗΣΙΑΣ"/>
    <s v="ΠΕΡΙΦΕΡΕΙΑΚΗ Δ/ΝΣΗ Α/ΘΜΙΑΣ ΚΑΙ Β/ΘΜΙΑΣ ΕΚΠ/ΣΗΣ ΘΕΣΣΑΛΙΑΣ"/>
    <n v="23"/>
    <s v="ΟΧΙ"/>
    <s v="ΟΧΙ"/>
    <s v="ΟΧΙ"/>
    <s v="ΟΧΙ"/>
    <s v="ΟΧΙ"/>
    <m/>
    <d v="2018-09-27T00:00:00"/>
    <s v="Ιδιωτικά Σχολεία"/>
    <x v="3"/>
    <s v="3561001"/>
    <s v="ΙΔΙΩΤΙΚΟ ΓΕΝΙΚΟ ΛΥΚΕ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3-01-01T00:00:00"/>
    <x v="0"/>
    <s v="ΔΙΕΥΘΥΝΣΗ Δ.Ε. ΜΑΓΝΗΣΙΑΣ"/>
    <n v="46.644444444444446"/>
    <s v="46 - 50"/>
  </r>
  <r>
    <n v="99912966"/>
    <s v="Α"/>
    <x v="13"/>
    <x v="13"/>
    <m/>
    <m/>
    <s v="Γ΄"/>
    <n v="1"/>
    <s v="ΑΠ2027553"/>
    <d v="2018-10-15T00:00:00"/>
    <s v="Α΄ ΜΑΓΝΗΣΙΑΣ (Δ.Ε.) 2018"/>
    <s v="ΔΙΕΥΘΥΝΣΗ Δ.Ε. ΜΑΓΝΗΣΙΑΣ"/>
    <s v="ΠΕΡΙΦΕΡΕΙΑΚΗ Δ/ΝΣΗ Α/ΘΜΙΑΣ ΚΑΙ Β/ΘΜΙΑΣ ΕΚΠ/ΣΗΣ ΘΕΣΣΑΛΙΑΣ"/>
    <n v="11"/>
    <s v="ΟΧΙ"/>
    <s v="ΟΧΙ"/>
    <s v="ΟΧΙ"/>
    <s v="ΟΧΙ"/>
    <s v="ΟΧΙ"/>
    <m/>
    <d v="2018-10-15T00:00:00"/>
    <s v="Ιδιωτικά Σχολεία"/>
    <x v="0"/>
    <s v="3560001"/>
    <s v="ΙΔΙΩΤΙΚΟ ΓΥΜΝΑΣ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3-01-01T00:00:00"/>
    <x v="0"/>
    <s v="ΔΙΕΥΘΥΝΣΗ Δ.Ε. ΜΑΓΝΗΣΙΑΣ"/>
    <n v="46.644444444444446"/>
    <s v="46 - 50"/>
  </r>
  <r>
    <n v="99912967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s v="ΟΧΙ"/>
    <s v="ΟΧΙ"/>
    <m/>
    <m/>
    <s v="Ιδιωτικά Σχολεία"/>
    <x v="0"/>
    <s v="1981913"/>
    <s v="ΙΔΙΩΤΙΚΟ ΓΥΜΝΑΣ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ΑΝΑΤ. ΘΕΣ/ΝΙΚΗΣ"/>
    <n v="46.644444444444446"/>
    <s v="46 - 50"/>
  </r>
  <r>
    <n v="99912968"/>
    <s v="Α"/>
    <x v="12"/>
    <x v="12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ΑΝΑΤ. ΘΕΣ/ΝΙΚΗΣ"/>
    <n v="46.644444444444446"/>
    <s v="46 - 50"/>
  </r>
  <r>
    <n v="9991296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s v="ΟΧΙ"/>
    <s v="ΟΧΙ"/>
    <m/>
    <m/>
    <s v="Ιδιωτικά Σχολεία"/>
    <x v="0"/>
    <s v="1981913"/>
    <s v="ΙΔΙΩΤΙΚΟ ΓΥΜΝΑΣ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ΑΝΑΤ. ΘΕΣ/ΝΙΚΗΣ"/>
    <n v="46.644444444444446"/>
    <s v="46 - 50"/>
  </r>
  <r>
    <n v="99912970"/>
    <s v="Α"/>
    <x v="19"/>
    <x v="19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ΑΝΑΤ. ΘΕΣ/ΝΙΚΗΣ"/>
    <n v="46.644444444444446"/>
    <s v="46 - 50"/>
  </r>
  <r>
    <n v="99912971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ΑΝΑΤ. ΘΕΣ/ΝΙΚΗΣ"/>
    <n v="46.644444444444446"/>
    <s v="46 - 50"/>
  </r>
  <r>
    <n v="99912972"/>
    <s v="Α"/>
    <x v="3"/>
    <x v="3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ΔΥΤ. ΘΕΣ/ΝΙΚΗΣ"/>
    <n v="46.644444444444446"/>
    <s v="46 - 50"/>
  </r>
  <r>
    <n v="99912973"/>
    <s v="Θ"/>
    <x v="15"/>
    <x v="15"/>
    <m/>
    <m/>
    <s v="Γ΄"/>
    <n v="1"/>
    <n v="11340"/>
    <d v="2018-09-17T00:00:00"/>
    <s v="ΠΙΕΡΙΑΣ (Δ.Ε.) 2018"/>
    <s v="ΔΙΕΥΘΥΝΣΗ Δ.Ε. ΠΙΕΡΙΑΣ"/>
    <s v="ΠΕΡΙΦΕΡΕΙΑΚΗ Δ/ΝΣΗ Α/ΘΜΙΑΣ ΚΑΙ Β/ΘΜΙΑΣ ΕΚΠ/ΣΗΣ ΚΕΝΤΡΙΚΗΣ ΜΑΚΕΔΟΝΙΑΣ"/>
    <n v="12"/>
    <s v="ΟΧΙ"/>
    <s v="ΟΧΙ"/>
    <s v="ΟΧΙ"/>
    <s v="ΟΧΙ"/>
    <s v="ΟΧΙ"/>
    <m/>
    <d v="2018-09-17T00:00:00"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3-01-01T00:00:00"/>
    <x v="0"/>
    <s v="ΔΙΕΥΘΥΝΣΗ Δ.Ε. ΠΙΕΡΙΑΣ"/>
    <n v="46.644444444444446"/>
    <s v="46 - 50"/>
  </r>
  <r>
    <n v="99912974"/>
    <s v="Θ"/>
    <x v="10"/>
    <x v="10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3-01-01T00:00:00"/>
    <x v="0"/>
    <s v="ΔΙΕΥΘΥΝΣΗ Δ.Ε. ΠΙΕΡΙΑΣ"/>
    <n v="46.644444444444446"/>
    <s v="46 - 50"/>
  </r>
  <r>
    <n v="99912975"/>
    <s v="Α"/>
    <x v="19"/>
    <x v="19"/>
    <s v="ΠΕ86"/>
    <s v="ΠΛΗΡΟΦΟΡΙΚΗΣ"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2-28T00:00:00"/>
    <x v="0"/>
    <s v="ΔΙΕΥΘΥΝΣΗ Δ.Ε. Γ΄ ΑΘΗΝΑΣ"/>
    <n v="46.655555555555559"/>
    <s v="46 - 50"/>
  </r>
  <r>
    <n v="99912976"/>
    <s v="Α"/>
    <x v="20"/>
    <x v="20"/>
    <m/>
    <m/>
    <s v="Γ΄"/>
    <n v="1"/>
    <s v="55/11-05-2017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2-27T00:00:00"/>
    <x v="0"/>
    <s v="ΔΙΕΥΘΥΝΣΗ Δ.Ε. Δ΄ ΑΘΗΝΑΣ"/>
    <n v="46.658333333333331"/>
    <s v="46 - 50"/>
  </r>
  <r>
    <n v="99912977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12-24T00:00:00"/>
    <x v="0"/>
    <s v="ΔΙΕΥΘΥΝΣΗ Δ.Ε. Β΄ ΑΘΗΝΑΣ"/>
    <n v="46.666666666666664"/>
    <s v="46 - 50"/>
  </r>
  <r>
    <n v="99912978"/>
    <s v="Θ"/>
    <x v="9"/>
    <x v="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2-21T00:00:00"/>
    <x v="0"/>
    <s v="ΔΙΕΥΘΥΝΣΗ Δ.Ε. Δ΄ ΑΘΗΝΑΣ"/>
    <n v="46.674999999999997"/>
    <s v="46 - 50"/>
  </r>
  <r>
    <n v="99912979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2-15T00:00:00"/>
    <x v="0"/>
    <s v="ΔΙΕΥΘΥΝΣΗ Δ.Ε. ΑΝΑΤΟΛΙΚΗΣ ΑΤΤΙΚΗΣ"/>
    <n v="46.69166666666667"/>
    <s v="46 - 50"/>
  </r>
  <r>
    <n v="99912980"/>
    <s v="Α"/>
    <x v="19"/>
    <x v="19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12-14T00:00:00"/>
    <x v="0"/>
    <s v="ΔΙΕΥΘΥΝΣΗ Δ.Ε. ΠΙΕΡΙΑΣ"/>
    <n v="46.694444444444443"/>
    <s v="46 - 50"/>
  </r>
  <r>
    <n v="99912981"/>
    <s v="Θ"/>
    <x v="8"/>
    <x v="8"/>
    <m/>
    <m/>
    <s v="Α΄"/>
    <n v="7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09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2-11T00:00:00"/>
    <x v="1"/>
    <s v="ΔΙΕΥΘΥΝΣΗ Π.Ε. ΑΝΑΤΟΛΙΚΗΣ ΑΤΤΙΚΗΣ"/>
    <n v="46.702777777777776"/>
    <s v="46 - 50"/>
  </r>
  <r>
    <n v="99912982"/>
    <s v="Θ"/>
    <x v="3"/>
    <x v="3"/>
    <m/>
    <m/>
    <s v="Α΄"/>
    <n v="7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01-09-03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2-03T00:00:00"/>
    <x v="0"/>
    <s v="ΔΙΕΥΘΥΝΣΗ Δ.Ε. Α΄ ΑΘΗΝΑΣ"/>
    <n v="46.725000000000001"/>
    <s v="46 - 50"/>
  </r>
  <r>
    <n v="99912983"/>
    <s v="Θ"/>
    <x v="1"/>
    <x v="1"/>
    <m/>
    <m/>
    <s v="Α΄"/>
    <n v="10"/>
    <s v="Φ.Ι.Α.4/1721/25-1-2016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15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12-01T00:00:00"/>
    <x v="1"/>
    <s v="ΔΙΕΥΘΥΝΣΗ Π.Ε. ΑΝΑΤΟΛΙΚΗΣ ΑΤΤΙΚΗΣ"/>
    <n v="46.730555555555554"/>
    <s v="46 - 50"/>
  </r>
  <r>
    <n v="99912984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29T00:00:00"/>
    <x v="0"/>
    <s v="ΔΙΕΥΘΥΝΣΗ Δ.Ε. Β΄ ΑΘΗΝΑΣ"/>
    <n v="46.736111111111114"/>
    <s v="46 - 50"/>
  </r>
  <r>
    <n v="99912985"/>
    <s v="Α"/>
    <x v="11"/>
    <x v="11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28T00:00:00"/>
    <x v="0"/>
    <s v="ΔΙΕΥΘΥΝΣΗ Δ.Ε. Δ΄ ΑΘΗΝΑΣ"/>
    <n v="46.738888888888887"/>
    <s v="46 - 50"/>
  </r>
  <r>
    <n v="99912986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11-27T00:00:00"/>
    <x v="1"/>
    <s v="ΔΙΕΥΘΥΝΣΗ Π.Ε. ΑΝΑΤ. ΘΕΣ/ΝΙΚΗΣ"/>
    <n v="46.741666666666667"/>
    <s v="46 - 50"/>
  </r>
  <r>
    <n v="99912987"/>
    <s v="Α"/>
    <x v="19"/>
    <x v="19"/>
    <m/>
    <m/>
    <s v="Γ΄"/>
    <n v="1"/>
    <s v="19724/24-10-2018"/>
    <d v="2018-09-01T00:00:00"/>
    <s v="ΛΑΡΙΣΑΣ (Δ.Ε.) 2018"/>
    <s v="ΔΙΕΥΘΥΝΣΗ Δ.Ε. ΛΑΡΙΣΑΣ"/>
    <s v="ΠΕΡΙΦΕΡΕΙΑΚΗ Δ/ΝΣΗ Α/ΘΜΙΑΣ ΚΑΙ Β/ΘΜΙΑΣ ΕΚΠ/ΣΗΣ ΘΕΣΣΑΛΙΑΣ"/>
    <n v="11"/>
    <s v="ΟΧΙ"/>
    <s v="ΟΧΙ"/>
    <s v="ΟΧΙ"/>
    <s v="ΟΧΙ"/>
    <s v="ΟΧΙ"/>
    <m/>
    <d v="2018-09-01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2-11-24T00:00:00"/>
    <x v="0"/>
    <s v="ΔΙΕΥΘΥΝΣΗ Δ.Ε. ΛΑΡΙΣΑΣ"/>
    <n v="46.75"/>
    <s v="46 - 50"/>
  </r>
  <r>
    <n v="99912988"/>
    <s v="Θ"/>
    <x v="1"/>
    <x v="1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s v="ΟΧΙ"/>
    <s v="ΟΧΙ"/>
    <s v="ΟΧΙ"/>
    <m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2-11-23T00:00:00"/>
    <x v="1"/>
    <s v="ΔΙΕΥΘΥΝΣΗ Π.Ε. ΔΩΔΕΚΑΝΗΣΟΥ"/>
    <n v="46.75277777777778"/>
    <s v="46 - 50"/>
  </r>
  <r>
    <n v="99912989"/>
    <s v="Θ"/>
    <x v="2"/>
    <x v="2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2"/>
    <s v="7311015"/>
    <s v="ΙΔΙΩΤΙΚΟ ΝΗΠΙΑΓΩΓΕΙΟ ΛΑΡΙΣΑ - ΙΔΙΩΤΙΚΟ ΝΗΠΙΑΓΩΓΕΙΟ ΕΛΕΝΗΣ ΣΑΡΜΑΝΙΩ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11-21T00:00:00"/>
    <x v="1"/>
    <s v="ΔΙΕΥΘΥΝΣΗ Π.Ε. ΛΑΡΙΣΑΣ"/>
    <n v="46.758333333333333"/>
    <s v="46 - 50"/>
  </r>
  <r>
    <n v="99912990"/>
    <s v="Θ"/>
    <x v="1"/>
    <x v="1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2"/>
    <s v="ΟΧΙ"/>
    <s v="ΟΧΙ"/>
    <s v="ΟΧΙ"/>
    <m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2-11-21T00:00:00"/>
    <x v="1"/>
    <s v="ΔΙΕΥΘΥΝΣΗ Π.Ε. ΚΥΚΛΑΔΩΝ"/>
    <n v="46.758333333333333"/>
    <s v="46 - 50"/>
  </r>
  <r>
    <n v="99912991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20T00:00:00"/>
    <x v="0"/>
    <s v="ΔΙΕΥΘΥΝΣΗ Δ.Ε. Β΄ ΑΘΗΝΑΣ"/>
    <n v="46.761111111111113"/>
    <s v="46 - 50"/>
  </r>
  <r>
    <n v="99912992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18T00:00:00"/>
    <x v="0"/>
    <s v="ΔΙΕΥΘΥΝΣΗ Δ.Ε. Β΄ ΑΘΗΝΑΣ"/>
    <n v="46.766666666666666"/>
    <s v="46 - 50"/>
  </r>
  <r>
    <n v="99912993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11-17T00:00:00"/>
    <x v="0"/>
    <s v="ΔΙΕΥΘΥΝΣΗ Δ.Ε. Γ΄ ΑΘΗΝΑΣ"/>
    <n v="46.769444444444446"/>
    <s v="46 - 50"/>
  </r>
  <r>
    <n v="99912994"/>
    <s v="Α"/>
    <x v="3"/>
    <x v="3"/>
    <m/>
    <m/>
    <s v="Γ΄"/>
    <n v="1"/>
    <m/>
    <d v="2005-08-31T00:00:00"/>
    <s v="ΣΕΡΡΩΝ (Δ.Ε.) 2018"/>
    <s v="ΔΙΕΥΘΥΝΣΗ Δ.Ε. ΣΕΡΡΩΝ"/>
    <s v="ΠΕΡΙΦΕΡΕΙΑΚΗ Δ/ΝΣΗ Α/ΘΜΙΑΣ ΚΑΙ Β/ΘΜΙΑΣ ΕΚΠ/ΣΗΣ ΚΕΝΤΡΙΚΗΣ ΜΑΚΕΔΟΝΙΑΣ"/>
    <n v="16"/>
    <s v="ΟΧΙ"/>
    <s v="ΟΧΙ"/>
    <s v="ΟΧΙ"/>
    <s v="ΟΧΙ"/>
    <s v="ΟΧΙ"/>
    <m/>
    <d v="2005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11-14T00:00:00"/>
    <x v="0"/>
    <s v="ΔΙΕΥΘΥΝΣΗ Δ.Ε. ΣΕΡΡΩΝ"/>
    <n v="46.777777777777779"/>
    <s v="46 - 50"/>
  </r>
  <r>
    <n v="99912995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13T00:00:00"/>
    <x v="1"/>
    <s v="ΔΙΕΥΘΥΝΣΗ Π.Ε. Δ΄ ΑΘΗΝΑΣ"/>
    <n v="46.780555555555559"/>
    <s v="46 - 50"/>
  </r>
  <r>
    <n v="99912996"/>
    <s v="Α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10T00:00:00"/>
    <x v="0"/>
    <s v="ΔΙΕΥΘΥΝΣΗ Δ.Ε. ΑΝΑΤΟΛΙΚΗΣ ΑΤΤΙΚΗΣ"/>
    <n v="46.788888888888891"/>
    <s v="46 - 50"/>
  </r>
  <r>
    <n v="99912997"/>
    <s v="Θ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11-05T00:00:00"/>
    <x v="0"/>
    <s v="ΔΙΕΥΘΥΝΣΗ Δ.Ε. Β΄ ΑΘΗΝΑΣ"/>
    <n v="46.802777777777777"/>
    <s v="46 - 50"/>
  </r>
  <r>
    <n v="99912998"/>
    <s v="Θ"/>
    <x v="1"/>
    <x v="1"/>
    <m/>
    <m/>
    <s v="Α΄"/>
    <n v="1"/>
    <n v="218"/>
    <d v="2001-08-3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01-09-04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2-11-03T00:00:00"/>
    <x v="1"/>
    <s v="ΔΙΕΥΘΥΝΣΗ Π.Ε. ΑΝΑΤ. ΘΕΣ/ΝΙΚΗΣ"/>
    <n v="46.80833333333333"/>
    <s v="46 - 50"/>
  </r>
  <r>
    <n v="99912999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1-01T00:00:00"/>
    <x v="1"/>
    <s v="ΔΙΕΥΘΥΝΣΗ Π.Ε. Α΄ ΑΘΗΝΑΣ"/>
    <n v="46.81388888888889"/>
    <s v="46 - 50"/>
  </r>
  <r>
    <n v="99913000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29T00:00:00"/>
    <x v="0"/>
    <s v="ΔΙΕΥΘΥΝΣΗ Δ.Ε. Β΄ ΑΘΗΝΑΣ"/>
    <n v="46.822222222222223"/>
    <s v="46 - 50"/>
  </r>
  <r>
    <n v="99913001"/>
    <s v="Α"/>
    <x v="19"/>
    <x v="19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29T00:00:00"/>
    <x v="0"/>
    <s v="ΔΙΕΥΘΥΝΣΗ Δ.Ε. Γ΄ ΑΘΗΝΑΣ"/>
    <n v="46.822222222222223"/>
    <s v="46 - 50"/>
  </r>
  <r>
    <n v="99913002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25T00:00:00"/>
    <x v="0"/>
    <s v="ΔΙΕΥΘΥΝΣΗ Δ.Ε. Β΄ ΑΘΗΝΑΣ"/>
    <n v="46.833333333333336"/>
    <s v="46 - 50"/>
  </r>
  <r>
    <n v="99913003"/>
    <s v="Α"/>
    <x v="5"/>
    <x v="5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10-22T00:00:00"/>
    <x v="0"/>
    <s v="ΔΙΕΥΘΥΝΣΗ Δ.Ε. ΑΧΑΪΑΣ"/>
    <n v="46.841666666666669"/>
    <s v="46 - 50"/>
  </r>
  <r>
    <n v="99913004"/>
    <s v="Θ"/>
    <x v="3"/>
    <x v="3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10-21T00:00:00"/>
    <x v="0"/>
    <s v="ΔΙΕΥΘΥΝΣΗ Δ.Ε. ΑΝΑΤ. ΘΕΣ/ΝΙΚΗΣ"/>
    <n v="46.844444444444441"/>
    <s v="46 - 50"/>
  </r>
  <r>
    <n v="99913005"/>
    <s v="Θ"/>
    <x v="19"/>
    <x v="19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10-21T00:00:00"/>
    <x v="0"/>
    <s v="ΔΙΕΥΘΥΝΣΗ Δ.Ε. ΠΙΕΡΙΑΣ"/>
    <n v="46.844444444444441"/>
    <s v="46 - 50"/>
  </r>
  <r>
    <n v="99913006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17T00:00:00"/>
    <x v="0"/>
    <s v="ΔΙΕΥΘΥΝΣΗ Δ.Ε. ΠΕΙΡΑΙΑ"/>
    <n v="46.855555555555554"/>
    <s v="46 - 50"/>
  </r>
  <r>
    <n v="99913007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8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16T00:00:00"/>
    <x v="0"/>
    <s v="ΔΙΕΥΘΥΝΣΗ Δ.Ε. Β΄ ΑΘΗΝΑΣ"/>
    <n v="46.858333333333334"/>
    <s v="46 - 50"/>
  </r>
  <r>
    <n v="99913008"/>
    <s v="Θ"/>
    <x v="20"/>
    <x v="20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7"/>
    <s v="ΟΧΙ"/>
    <s v="ΟΧΙ"/>
    <s v="ΟΧΙ"/>
    <m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10-16T00:00:00"/>
    <x v="0"/>
    <s v="ΔΙΕΥΘΥΝΣΗ Δ.Ε. ΑΙΤΩΛΟΑΚΑΡΝΑΝΙΑΣ"/>
    <n v="46.858333333333334"/>
    <s v="46 - 50"/>
  </r>
  <r>
    <n v="99913009"/>
    <s v="Α"/>
    <x v="5"/>
    <x v="5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61004"/>
    <s v="ΙΔΙΩΤΙΚΟ ΛΥΚΕ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14T00:00:00"/>
    <x v="0"/>
    <s v="ΔΙΕΥΘΥΝΣΗ Δ.Ε. ΑΝΑΤΟΛΙΚΗΣ ΑΤΤΙΚΗΣ"/>
    <n v="46.863888888888887"/>
    <s v="46 - 50"/>
  </r>
  <r>
    <n v="99913010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12T00:00:00"/>
    <x v="0"/>
    <s v="ΔΙΕΥΘΥΝΣΗ Δ.Ε. Β΄ ΑΘΗΝΑΣ"/>
    <n v="46.869444444444447"/>
    <s v="46 - 50"/>
  </r>
  <r>
    <n v="99913011"/>
    <s v="Θ"/>
    <x v="0"/>
    <x v="0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09T00:00:00"/>
    <x v="1"/>
    <s v="ΔΙΕΥΘΥΝΣΗ Π.Ε. Δ΄ ΑΘΗΝΑΣ"/>
    <n v="46.87777777777778"/>
    <s v="46 - 50"/>
  </r>
  <r>
    <n v="99913012"/>
    <s v="Α"/>
    <x v="15"/>
    <x v="1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m/>
    <s v="ΟΧΙ"/>
    <m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 με Οργανική σε Ισότιμο προς τα Δημόσια Σχολείο"/>
    <s v="Τοποθέτηση σε Ιδιωτική Εκπαίδευση"/>
    <d v="1972-10-09T00:00:00"/>
    <x v="0"/>
    <s v="ΔΙΕΥΘΥΝΣΗ Δ.Ε. ΔΩΔΕΚΑΝΗΣΟΥ"/>
    <n v="46.87777777777778"/>
    <s v="46 - 50"/>
  </r>
  <r>
    <n v="9991301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10-08T00:00:00"/>
    <x v="0"/>
    <s v="ΔΙΕΥΘΥΝΣΗ Δ.Ε. Β΄ ΑΘΗΝΑΣ"/>
    <n v="46.880555555555553"/>
    <s v="46 - 50"/>
  </r>
  <r>
    <n v="99913014"/>
    <s v="Θ"/>
    <x v="0"/>
    <x v="0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08T00:00:00"/>
    <x v="0"/>
    <s v="ΔΙΕΥΘΥΝΣΗ Δ.Ε. Δ΄ ΑΘΗΝΑΣ"/>
    <n v="46.880555555555553"/>
    <s v="46 - 50"/>
  </r>
  <r>
    <n v="9991301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10-05T00:00:00"/>
    <x v="0"/>
    <s v="ΔΙΕΥΘΥΝΣΗ Δ.Ε. Β΄ ΑΘΗΝΑΣ"/>
    <n v="46.888888888888886"/>
    <s v="46 - 50"/>
  </r>
  <r>
    <n v="99913016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30T00:00:00"/>
    <x v="0"/>
    <s v="ΔΙΕΥΘΥΝΣΗ Δ.Ε. Β΄ ΑΘΗΝΑΣ"/>
    <n v="46.902777777777779"/>
    <s v="46 - 50"/>
  </r>
  <r>
    <n v="99913017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29T00:00:00"/>
    <x v="0"/>
    <s v="ΔΙΕΥΘΥΝΣΗ Δ.Ε. Β΄ ΑΘΗΝΑΣ"/>
    <n v="46.905555555555559"/>
    <s v="46 - 50"/>
  </r>
  <r>
    <n v="99913018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29T00:00:00"/>
    <x v="0"/>
    <s v="ΔΙΕΥΘΥΝΣΗ Δ.Ε. Γ΄ ΑΘΗΝΑΣ"/>
    <n v="46.905555555555559"/>
    <s v="46 - 50"/>
  </r>
  <r>
    <n v="99913019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27T00:00:00"/>
    <x v="1"/>
    <s v="ΔΙΕΥΘΥΝΣΗ Π.Ε. ΑΝΑΤΟΛΙΚΗΣ ΑΤΤΙΚΗΣ"/>
    <n v="46.911111111111111"/>
    <s v="46 - 50"/>
  </r>
  <r>
    <n v="99913020"/>
    <s v="Θ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21T00:00:00"/>
    <x v="0"/>
    <s v="ΔΙΕΥΘΥΝΣΗ Δ.Ε. Γ΄ ΑΘΗΝΑΣ"/>
    <n v="46.927777777777777"/>
    <s v="46 - 50"/>
  </r>
  <r>
    <n v="99913021"/>
    <s v="Θ"/>
    <x v="2"/>
    <x v="2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21"/>
    <s v="1ο ΙΔΙΩΤΙΚΟ ΝΗΠΙΑΓΩΓΕΙ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21T00:00:00"/>
    <x v="1"/>
    <s v="ΔΙΕΥΘΥΝΣΗ Π.Ε. ΑΝΑΤΟΛΙΚΗΣ ΑΤΤΙΚΗΣ"/>
    <n v="46.927777777777777"/>
    <s v="46 - 50"/>
  </r>
  <r>
    <n v="99913022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18T00:00:00"/>
    <x v="0"/>
    <s v="ΔΙΕΥΘΥΝΣΗ Δ.Ε. Β΄ ΑΘΗΝΑΣ"/>
    <n v="46.93611111111111"/>
    <s v="46 - 50"/>
  </r>
  <r>
    <n v="99913023"/>
    <s v="Θ"/>
    <x v="4"/>
    <x v="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2-09-16T00:00:00"/>
    <x v="0"/>
    <s v="ΔΙΕΥΘΥΝΣΗ Δ.Ε. Β΄ ΑΘΗΝΑΣ"/>
    <n v="46.94166666666667"/>
    <s v="46 - 50"/>
  </r>
  <r>
    <n v="99913024"/>
    <s v="Θ"/>
    <x v="0"/>
    <x v="0"/>
    <m/>
    <m/>
    <s v="Γ΄"/>
    <n v="1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16T00:00:00"/>
    <x v="1"/>
    <s v="ΔΙΕΥΘΥΝΣΗ Π.Ε. Β΄ ΑΘΗΝΑΣ"/>
    <n v="46.94166666666667"/>
    <s v="46 - 50"/>
  </r>
  <r>
    <n v="99913025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14T00:00:00"/>
    <x v="0"/>
    <s v="ΔΙΕΥΘΥΝΣΗ Δ.Ε. ΠΕΙΡΑΙΑ"/>
    <n v="46.947222222222223"/>
    <s v="46 - 50"/>
  </r>
  <r>
    <n v="99913026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9-13T00:00:00"/>
    <x v="1"/>
    <s v="ΔΙΕΥΘΥΝΣΗ Π.Ε. Β΄ ΑΘΗΝΑΣ"/>
    <n v="46.95"/>
    <s v="46 - 50"/>
  </r>
  <r>
    <n v="99913027"/>
    <s v="Θ"/>
    <x v="3"/>
    <x v="3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5"/>
    <s v="ΟΧΙ"/>
    <s v="ΟΧΙ"/>
    <s v="ΟΧΙ"/>
    <s v="ΟΧΙ"/>
    <s v="ΟΧΙ"/>
    <m/>
    <d v="2004-08-31T00:00:00"/>
    <s v="Ιδιωτικά Σχολεία"/>
    <x v="0"/>
    <s v="4475075"/>
    <s v="ΙΔΙΩΤΙΚΟ ΓΥΜΝΑΣ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9-04T00:00:00"/>
    <x v="0"/>
    <s v="ΔΙΕΥΘΥΝΣΗ Δ.Ε. ΣΕΡΡΩΝ"/>
    <n v="46.975000000000001"/>
    <s v="46 - 50"/>
  </r>
  <r>
    <n v="99913028"/>
    <s v="Θ"/>
    <x v="24"/>
    <x v="24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8-31T00:00:00"/>
    <x v="0"/>
    <s v="ΔΙΕΥΘΥΝΣΗ Δ.Ε. ΑΝΑΤΟΛΙΚΗΣ ΑΤΤΙΚΗΣ"/>
    <n v="46.986111111111114"/>
    <s v="46 - 50"/>
  </r>
  <r>
    <n v="99913029"/>
    <s v="Θ"/>
    <x v="5"/>
    <x v="5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8-29T00:00:00"/>
    <x v="0"/>
    <s v="ΔΙΕΥΘΥΝΣΗ Δ.Ε. ΑΝΑΤ. ΘΕΣ/ΝΙΚΗΣ"/>
    <n v="46.991666666666667"/>
    <s v="46 - 50"/>
  </r>
  <r>
    <n v="99913030"/>
    <s v="Θ"/>
    <x v="8"/>
    <x v="8"/>
    <m/>
    <m/>
    <s v="Γ΄"/>
    <n v="8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8-18T00:00:00"/>
    <x v="1"/>
    <s v="ΔΙΕΥΘΥΝΣΗ Π.Ε. Β΄ ΑΘΗΝΑΣ"/>
    <n v="47.022222222222226"/>
    <s v="46 - 50"/>
  </r>
  <r>
    <n v="9991303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8-17T00:00:00"/>
    <x v="1"/>
    <s v="ΔΙΕΥΘΥΝΣΗ Π.Ε. Β΄ ΑΘΗΝΑΣ"/>
    <n v="47.024999999999999"/>
    <s v="46 - 50"/>
  </r>
  <r>
    <n v="99913032"/>
    <s v="Θ"/>
    <x v="2"/>
    <x v="2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311021"/>
    <s v="ΙΔΙΩΤΙΚΟ ΝΗΠΙΑΓΩΓΕΙΟ ΛΑΡΙΣΑ - ΙΔΙΩΤΙΚΟ ΝΗΠΙΑΓΩΓΕΙΟ ¶ΣΠΑ &amp; ΧΡΙΣΤΙΝΑ ΚΑΡΑΤΖΙ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8-12T00:00:00"/>
    <x v="1"/>
    <s v="ΔΙΕΥΘΥΝΣΗ Π.Ε. ΛΑΡΙΣΑΣ"/>
    <n v="47.038888888888891"/>
    <s v="46 - 50"/>
  </r>
  <r>
    <n v="99913033"/>
    <s v="Θ"/>
    <x v="3"/>
    <x v="3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4"/>
    <s v="ΟΧΙ"/>
    <s v="ΟΧΙ"/>
    <s v="ΟΧΙ"/>
    <s v="ΟΧΙ"/>
    <s v="ΟΧΙ"/>
    <m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8-02T00:00:00"/>
    <x v="0"/>
    <s v="ΔΙΕΥΘΥΝΣΗ Δ.Ε. ΣΕΡΡΩΝ"/>
    <n v="47.06666666666667"/>
    <s v="46 - 50"/>
  </r>
  <r>
    <n v="99913034"/>
    <s v="Θ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8-01T00:00:00"/>
    <x v="0"/>
    <s v="ΔΙΕΥΘΥΝΣΗ Δ.Ε. Α΄ ΑΘΗΝΑΣ"/>
    <n v="47.069444444444443"/>
    <s v="46 - 50"/>
  </r>
  <r>
    <n v="99913035"/>
    <s v="Α"/>
    <x v="3"/>
    <x v="3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8-01T00:00:00"/>
    <x v="0"/>
    <s v="ΔΙΕΥΘΥΝΣΗ Δ.Ε. ΤΡΙΚΑΛΩΝ"/>
    <n v="47.069444444444443"/>
    <s v="46 - 50"/>
  </r>
  <r>
    <n v="99913036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30T00:00:00"/>
    <x v="0"/>
    <s v="ΔΙΕΥΘΥΝΣΗ Δ.Ε. Γ΄ ΑΘΗΝΑΣ"/>
    <n v="47.075000000000003"/>
    <s v="46 - 50"/>
  </r>
  <r>
    <n v="99913037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2-07-28T00:00:00"/>
    <x v="0"/>
    <s v="ΔΙΕΥΘΥΝΣΗ Δ.Ε. Β΄ ΑΘΗΝΑΣ"/>
    <n v="47.080555555555556"/>
    <s v="46 - 50"/>
  </r>
  <r>
    <n v="99913038"/>
    <s v="Θ"/>
    <x v="0"/>
    <x v="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28T00:00:00"/>
    <x v="1"/>
    <s v="ΔΙΕΥΘΥΝΣΗ Π.Ε. Δ΄ ΑΘΗΝΑΣ"/>
    <n v="47.080555555555556"/>
    <s v="46 - 50"/>
  </r>
  <r>
    <n v="99913039"/>
    <s v="Α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26T00:00:00"/>
    <x v="0"/>
    <s v="ΔΙΕΥΘΥΝΣΗ Δ.Ε. ΑΝΑΤΟΛΙΚΗΣ ΑΤΤΙΚΗΣ"/>
    <n v="47.086111111111109"/>
    <s v="46 - 50"/>
  </r>
  <r>
    <n v="99913040"/>
    <s v="Α"/>
    <x v="18"/>
    <x v="18"/>
    <m/>
    <m/>
    <s v="Β΄"/>
    <n v="2"/>
    <s v="Φ.Ι.Α.4/32311/14-12-2015"/>
    <d v="2015-09-14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5-09-14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26T00:00:00"/>
    <x v="1"/>
    <s v="ΔΙΕΥΘΥΝΣΗ Π.Ε. ΑΝΑΤΟΛΙΚΗΣ ΑΤΤΙΚΗΣ"/>
    <n v="47.086111111111109"/>
    <s v="46 - 50"/>
  </r>
  <r>
    <n v="99913041"/>
    <s v="Α"/>
    <x v="5"/>
    <x v="5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24T00:00:00"/>
    <x v="0"/>
    <s v="ΔΙΕΥΘΥΝΣΗ Δ.Ε. Δ΄ ΑΘΗΝΑΣ"/>
    <n v="47.091666666666669"/>
    <s v="46 - 50"/>
  </r>
  <r>
    <n v="99913042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22T00:00:00"/>
    <x v="0"/>
    <s v="ΔΙΕΥΘΥΝΣΗ Δ.Ε. Β΄ ΑΘΗΝΑΣ"/>
    <n v="47.097222222222221"/>
    <s v="46 - 50"/>
  </r>
  <r>
    <n v="99913043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21T00:00:00"/>
    <x v="0"/>
    <s v="ΔΙΕΥΘΥΝΣΗ Δ.Ε. Β΄ ΑΘΗΝΑΣ"/>
    <n v="47.1"/>
    <s v="46 - 50"/>
  </r>
  <r>
    <n v="99913044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18T00:00:00"/>
    <x v="1"/>
    <s v="ΔΙΕΥΘΥΝΣΗ Π.Ε. Β΄ ΑΘΗΝΑΣ"/>
    <n v="47.108333333333334"/>
    <s v="46 - 50"/>
  </r>
  <r>
    <n v="99913045"/>
    <s v="Θ"/>
    <x v="3"/>
    <x v="3"/>
    <m/>
    <m/>
    <s v="Γ΄"/>
    <n v="1"/>
    <n v="6844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m/>
    <m/>
    <m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7-12T00:00:00"/>
    <x v="0"/>
    <s v="ΔΙΕΥΘΥΝΣΗ Δ.Ε. ΔΥΤ. ΘΕΣ/ΝΙΚΗΣ"/>
    <n v="47.125"/>
    <s v="46 - 50"/>
  </r>
  <r>
    <n v="99913046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07-09T00:00:00"/>
    <x v="0"/>
    <s v="ΔΙΕΥΘΥΝΣΗ Δ.Ε. Β΄ ΑΘΗΝΑΣ"/>
    <n v="47.133333333333333"/>
    <s v="46 - 50"/>
  </r>
  <r>
    <n v="99913047"/>
    <s v="Θ"/>
    <x v="26"/>
    <x v="26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07-08T00:00:00"/>
    <x v="1"/>
    <s v="ΔΙΕΥΘΥΝΣΗ Π.Ε. ΑΧΑΪΑΣ"/>
    <n v="47.136111111111113"/>
    <s v="46 - 50"/>
  </r>
  <r>
    <n v="9991304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07T00:00:00"/>
    <x v="0"/>
    <s v="ΔΙΕΥΘΥΝΣΗ Δ.Ε. Β΄ ΑΘΗΝΑΣ"/>
    <n v="47.138888888888886"/>
    <s v="46 - 50"/>
  </r>
  <r>
    <n v="9991304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7-06T00:00:00"/>
    <x v="0"/>
    <s v="ΔΙΕΥΘΥΝΣΗ Δ.Ε. Β΄ ΑΘΗΝΑΣ"/>
    <n v="47.141666666666666"/>
    <s v="46 - 50"/>
  </r>
  <r>
    <n v="99913050"/>
    <s v="Θ"/>
    <x v="1"/>
    <x v="1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5-11-08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07-04T00:00:00"/>
    <x v="1"/>
    <s v="ΔΙΕΥΘΥΝΣΗ Π.Ε. ΑΝΑΤΟΛΙΚΗΣ ΑΤΤΙΚΗΣ"/>
    <n v="47.147222222222226"/>
    <s v="46 - 50"/>
  </r>
  <r>
    <n v="99913051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7-03T00:00:00"/>
    <x v="0"/>
    <s v="ΔΙΕΥΘΥΝΣΗ Δ.Ε. ΑΝΑΤ. ΘΕΣ/ΝΙΚΗΣ"/>
    <n v="47.15"/>
    <s v="46 - 50"/>
  </r>
  <r>
    <n v="99913052"/>
    <s v="Θ"/>
    <x v="5"/>
    <x v="5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0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2-07-01T00:00:00"/>
    <x v="0"/>
    <s v="ΔΙΕΥΘΥΝΣΗ Δ.Ε. ΜΕΣΣΗΝΙΑΣ"/>
    <n v="47.155555555555559"/>
    <s v="46 - 50"/>
  </r>
  <r>
    <n v="99913053"/>
    <s v="Θ"/>
    <x v="2"/>
    <x v="2"/>
    <m/>
    <m/>
    <s v="Γ΄"/>
    <n v="1"/>
    <n v="178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19"/>
    <s v="ΙΔΙΩΤΙΚΟ ΝΗΠΙΑΓΩΓΕΙ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29T00:00:00"/>
    <x v="1"/>
    <s v="ΔΙΕΥΘΥΝΣΗ Π.Ε. Δ΄ ΑΘΗΝΑΣ"/>
    <n v="47.161111111111111"/>
    <s v="46 - 50"/>
  </r>
  <r>
    <n v="99913054"/>
    <s v="Θ"/>
    <x v="9"/>
    <x v="9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6"/>
    <s v="ΟΧΙ"/>
    <s v="ΟΧΙ"/>
    <s v="ΟΧΙ"/>
    <s v="ΟΧΙ"/>
    <s v="ΟΧΙ"/>
    <m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6-29T00:00:00"/>
    <x v="0"/>
    <s v="ΔΙΕΥΘΥΝΣΗ Δ.Ε. ΣΕΡΡΩΝ"/>
    <n v="47.161111111111111"/>
    <s v="46 - 50"/>
  </r>
  <r>
    <n v="99913055"/>
    <s v="Θ"/>
    <x v="6"/>
    <x v="6"/>
    <m/>
    <m/>
    <s v="Γ΄"/>
    <n v="1"/>
    <n v="14662"/>
    <d v="2018-09-05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4"/>
    <s v="ΟΧΙ"/>
    <m/>
    <m/>
    <m/>
    <s v="ΟΧΙ"/>
    <m/>
    <d v="2018-09-05T00:00:00"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2-06-25T00:00:00"/>
    <x v="0"/>
    <s v="ΔΙΕΥΘΥΝΣΗ Δ.Ε. ΔΥΤ. ΘΕΣ/ΝΙΚΗΣ"/>
    <n v="47.172222222222224"/>
    <s v="46 - 50"/>
  </r>
  <r>
    <n v="99913056"/>
    <s v="Α"/>
    <x v="19"/>
    <x v="19"/>
    <s v="ΠΕ86"/>
    <s v="ΠΛΗΡΟΦΟΡΙΚΗΣ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6-24T00:00:00"/>
    <x v="0"/>
    <s v="ΔΙΕΥΘΥΝΣΗ Δ.Ε. ΑΝΑΤ. ΘΕΣ/ΝΙΚΗΣ"/>
    <n v="47.174999999999997"/>
    <s v="46 - 50"/>
  </r>
  <r>
    <n v="99913057"/>
    <s v="Α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22T00:00:00"/>
    <x v="0"/>
    <s v="ΔΙΕΥΘΥΝΣΗ Δ.Ε. ΑΝΑΤΟΛΙΚΗΣ ΑΤΤΙΚΗΣ"/>
    <n v="47.180555555555557"/>
    <s v="46 - 50"/>
  </r>
  <r>
    <n v="99913058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22T00:00:00"/>
    <x v="0"/>
    <s v="ΔΙΕΥΘΥΝΣΗ Δ.Ε. Γ΄ ΑΘΗΝΑΣ"/>
    <n v="47.180555555555557"/>
    <s v="46 - 50"/>
  </r>
  <r>
    <n v="99913059"/>
    <s v="Θ"/>
    <x v="2"/>
    <x v="2"/>
    <m/>
    <m/>
    <s v="Γ΄"/>
    <n v="1"/>
    <d v="2009-09-1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6-16T00:00:00"/>
    <x v="1"/>
    <s v="ΔΙΕΥΘΥΝΣΗ Π.Ε. ΑΝΑΤ. ΘΕΣ/ΝΙΚΗΣ"/>
    <n v="47.197222222222223"/>
    <s v="46 - 50"/>
  </r>
  <r>
    <n v="99913060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06-13T00:00:00"/>
    <x v="0"/>
    <s v="ΔΙΕΥΘΥΝΣΗ Δ.Ε. Β΄ ΑΘΗΝΑΣ"/>
    <n v="47.205555555555556"/>
    <s v="46 - 50"/>
  </r>
  <r>
    <n v="99913061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11T00:00:00"/>
    <x v="1"/>
    <s v="ΔΙΕΥΘΥΝΣΗ Π.Ε. Β΄ ΑΘΗΝΑΣ"/>
    <n v="47.211111111111109"/>
    <s v="46 - 50"/>
  </r>
  <r>
    <n v="99913062"/>
    <s v="Α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10T00:00:00"/>
    <x v="0"/>
    <s v="ΔΙΕΥΘΥΝΣΗ Δ.Ε. ΠΕΙΡΑΙΑ"/>
    <n v="47.213888888888889"/>
    <s v="46 - 50"/>
  </r>
  <r>
    <n v="99913063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05T00:00:00"/>
    <x v="1"/>
    <s v="ΔΙΕΥΘΥΝΣΗ Π.Ε. ΑΝΑΤΟΛΙΚΗΣ ΑΤΤΙΚΗΣ"/>
    <n v="47.227777777777774"/>
    <s v="46 - 50"/>
  </r>
  <r>
    <n v="99913064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052235"/>
    <s v="ΙΔΙΩΤΙΚΟ ΝΗΠΙΑΓΩΓΕΙΟ - NATASHA'S BABYLAND - WONDERLAND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6-01T00:00:00"/>
    <x v="1"/>
    <s v="ΔΙΕΥΘΥΝΣΗ Π.Ε. Β΄ ΑΘΗΝΑΣ"/>
    <n v="47.238888888888887"/>
    <s v="46 - 50"/>
  </r>
  <r>
    <n v="99913065"/>
    <s v="Θ"/>
    <x v="10"/>
    <x v="10"/>
    <m/>
    <m/>
    <s v="Β΄"/>
    <n v="2"/>
    <s v="Φ.15.Α8/7260/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05-31T00:00:00"/>
    <x v="1"/>
    <s v="ΔΙΕΥΘΥΝΣΗ Π.Ε. ΑΝΑΤΟΛΙΚΗΣ ΑΤΤΙΚΗΣ"/>
    <n v="47.241666666666667"/>
    <s v="46 - 50"/>
  </r>
  <r>
    <n v="99913066"/>
    <s v="Α"/>
    <x v="1"/>
    <x v="1"/>
    <m/>
    <m/>
    <s v="Α΄"/>
    <n v="9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31T00:00:00"/>
    <x v="1"/>
    <s v="ΔΙΕΥΘΥΝΣΗ Π.Ε. Δ΄ ΑΘΗΝΑΣ"/>
    <n v="47.241666666666667"/>
    <s v="46 - 50"/>
  </r>
  <r>
    <n v="99913067"/>
    <s v="Α"/>
    <x v="15"/>
    <x v="15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3"/>
    <s v="ΟΧΙ"/>
    <s v="ΟΧΙ"/>
    <s v="ΟΧΙ"/>
    <s v="ΟΧΙ"/>
    <s v="ΟΧΙ"/>
    <m/>
    <m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05-30T00:00:00"/>
    <x v="0"/>
    <s v="ΔΙΕΥΘΥΝΣΗ Δ.Ε. ΑΧΑΪΑΣ"/>
    <n v="47.244444444444447"/>
    <s v="46 - 50"/>
  </r>
  <r>
    <n v="99913068"/>
    <s v="Θ"/>
    <x v="3"/>
    <x v="3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2-05-30T00:00:00"/>
    <x v="0"/>
    <s v="ΔΙΕΥΘΥΝΣΗ Δ.Ε. ΙΩΑΝΝΙΝΩΝ"/>
    <n v="47.244444444444447"/>
    <s v="46 - 50"/>
  </r>
  <r>
    <n v="99913069"/>
    <s v="Θ"/>
    <x v="6"/>
    <x v="6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5-29T00:00:00"/>
    <x v="1"/>
    <s v="ΔΙΕΥΘΥΝΣΗ Π.Ε. ΔΥΤ. ΘΕΣ/ΝΙΚΗΣ"/>
    <n v="47.24722222222222"/>
    <s v="46 - 50"/>
  </r>
  <r>
    <n v="99913070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7T00:00:00"/>
    <x v="0"/>
    <s v="ΔΙΕΥΘΥΝΣΗ Δ.Ε. Β΄ ΑΘΗΝΑΣ"/>
    <n v="47.25277777777778"/>
    <s v="46 - 50"/>
  </r>
  <r>
    <n v="99913071"/>
    <s v="Θ"/>
    <x v="6"/>
    <x v="6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5-27T00:00:00"/>
    <x v="0"/>
    <s v="ΔΙΕΥΘΥΝΣΗ Δ.Ε. ΑΝΑΤ. ΘΕΣ/ΝΙΚΗΣ"/>
    <n v="47.25277777777778"/>
    <s v="46 - 50"/>
  </r>
  <r>
    <n v="99913072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03"/>
    <s v="ΙΔΙΩΤΙΚΟ ΝΗΠΙΑΓΩΓΕΙΟ ΛΑΜΙΑ - ΠΑΡΑΜΥΘΟΚΟΣΜΟΣ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2-05-26T00:00:00"/>
    <x v="1"/>
    <s v="ΔΙΕΥΘΥΝΣΗ Π.Ε. ΦΘΙΩΤΙΔΑΣ"/>
    <n v="47.255555555555553"/>
    <s v="46 - 50"/>
  </r>
  <r>
    <n v="99913073"/>
    <s v="Θ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5T00:00:00"/>
    <x v="0"/>
    <s v="ΔΙΕΥΘΥΝΣΗ Δ.Ε. Γ΄ ΑΘΗΝΑΣ"/>
    <n v="47.258333333333333"/>
    <s v="46 - 50"/>
  </r>
  <r>
    <n v="99913074"/>
    <s v="Α"/>
    <x v="24"/>
    <x v="2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2-05-23T00:00:00"/>
    <x v="0"/>
    <s v="ΔΙΕΥΘΥΝΣΗ Δ.Ε. Β΄ ΑΘΗΝΑΣ"/>
    <n v="47.263888888888886"/>
    <s v="46 - 50"/>
  </r>
  <r>
    <n v="9991307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3T00:00:00"/>
    <x v="0"/>
    <s v="ΔΙΕΥΘΥΝΣΗ Δ.Ε. Β΄ ΑΘΗΝΑΣ"/>
    <n v="47.263888888888886"/>
    <s v="46 - 50"/>
  </r>
  <r>
    <n v="99913076"/>
    <s v="Θ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3T00:00:00"/>
    <x v="0"/>
    <s v="ΔΙΕΥΘΥΝΣΗ Δ.Ε. Β΄ ΑΘΗΝΑΣ"/>
    <n v="47.263888888888886"/>
    <s v="46 - 50"/>
  </r>
  <r>
    <n v="99913077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052195"/>
    <s v="ΣΥΣΤΕΓΑΖΟΜΕΝΟ ΝΗΠΙΑΓΩΓΕΙΟ - ΔΗΜΙΟΥΡΓΙΚΟ ΕΡΓΑΣΤΗΡΙ ΠΡΟΣΧΟΛΙΚΗΣ ΑΓΩΓΗΣ - Α. ΣΤΑΘΑΚΟΠΟΥΛΟΥ &amp; ΣΙΑ Ο.Ε. - ΑΡΤΕΜΙΣ &amp; ΙΑΣ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3T00:00:00"/>
    <x v="1"/>
    <s v="ΔΙΕΥΘΥΝΣΗ Π.Ε. Β΄ ΑΘΗΝΑΣ"/>
    <n v="47.263888888888886"/>
    <s v="46 - 50"/>
  </r>
  <r>
    <n v="99913078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2T00:00:00"/>
    <x v="0"/>
    <s v="ΔΙΕΥΘΥΝΣΗ Δ.Ε. Α΄ ΑΘΗΝΑΣ"/>
    <n v="47.266666666666666"/>
    <s v="46 - 50"/>
  </r>
  <r>
    <n v="99913079"/>
    <s v="Θ"/>
    <x v="3"/>
    <x v="3"/>
    <m/>
    <m/>
    <s v="Γ΄"/>
    <n v="10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2T00:00:00"/>
    <x v="0"/>
    <s v="ΔΙΕΥΘΥΝΣΗ Δ.Ε. Δ΄ ΑΘΗΝΑΣ"/>
    <n v="47.266666666666666"/>
    <s v="46 - 50"/>
  </r>
  <r>
    <n v="9991308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1T00:00:00"/>
    <x v="0"/>
    <s v="ΔΙΕΥΘΥΝΣΗ Δ.Ε. Δ΄ ΑΘΗΝΑΣ"/>
    <n v="47.269444444444446"/>
    <s v="46 - 50"/>
  </r>
  <r>
    <n v="99913081"/>
    <s v="Θ"/>
    <x v="5"/>
    <x v="5"/>
    <m/>
    <m/>
    <s v="Α΄"/>
    <n v="1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96-09-1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20T00:00:00"/>
    <x v="0"/>
    <s v="ΔΙΕΥΘΥΝΣΗ Δ.Ε. Α΄ ΑΘΗΝΑΣ"/>
    <n v="47.272222222222226"/>
    <s v="46 - 50"/>
  </r>
  <r>
    <n v="99913082"/>
    <s v="Θ"/>
    <x v="6"/>
    <x v="6"/>
    <s v="ΠΕ02"/>
    <s v="ΦΙΛΟΛΟΓΟΙ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19T00:00:00"/>
    <x v="0"/>
    <s v="ΔΙΕΥΘΥΝΣΗ Δ.Ε. Β΄ ΑΘΗΝΑΣ"/>
    <n v="47.274999999999999"/>
    <s v="46 - 50"/>
  </r>
  <r>
    <n v="99913083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19T00:00:00"/>
    <x v="1"/>
    <s v="ΔΙΕΥΘΥΝΣΗ Π.Ε. Α΄ ΑΘΗΝΑΣ"/>
    <n v="47.274999999999999"/>
    <s v="46 - 50"/>
  </r>
  <r>
    <n v="99913084"/>
    <s v="Θ"/>
    <x v="10"/>
    <x v="1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5-17T00:00:00"/>
    <x v="0"/>
    <s v="ΔΙΕΥΘΥΝΣΗ Δ.Ε. ΑΝΑΤ. ΘΕΣ/ΝΙΚΗΣ"/>
    <n v="47.280555555555559"/>
    <s v="46 - 50"/>
  </r>
  <r>
    <n v="99913085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16T00:00:00"/>
    <x v="0"/>
    <s v="ΔΙΕΥΘΥΝΣΗ Δ.Ε. ΑΝΑΤΟΛΙΚΗΣ ΑΤΤΙΚΗΣ"/>
    <n v="47.283333333333331"/>
    <s v="46 - 50"/>
  </r>
  <r>
    <n v="99913086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05-15T00:00:00"/>
    <x v="0"/>
    <s v="ΔΙΕΥΘΥΝΣΗ Δ.Ε. Β΄ ΑΘΗΝΑΣ"/>
    <n v="47.286111111111111"/>
    <s v="46 - 50"/>
  </r>
  <r>
    <n v="99913087"/>
    <s v="Θ"/>
    <x v="8"/>
    <x v="8"/>
    <m/>
    <m/>
    <s v="Γ΄"/>
    <n v="1"/>
    <n v="2668"/>
    <d v="2018-09-01T00:00:00"/>
    <s v="Α΄ ΠΕΙΡΑΙΑ (Π.Ε.) 2018"/>
    <s v="ΔΙΕΥΘΥΝΣΗ Π.Ε. ΠΕΙΡΑΙΑ"/>
    <s v="ΠΕΡΙΦΕΡΕΙΑΚΗ Δ/ΝΣΗ Α/ΘΜΙΑΣ ΚΑΙ Β/ΘΜΙΑΣ ΕΚΠ/ΣΗΣ ΑΤΤΙΚΗΣ"/>
    <n v="16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5-04T00:00:00"/>
    <x v="1"/>
    <s v="ΔΙΕΥΘΥΝΣΗ Π.Ε. ΠΕΙΡΑΙΑ"/>
    <n v="47.31666666666667"/>
    <s v="46 - 50"/>
  </r>
  <r>
    <n v="99913088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4-29T00:00:00"/>
    <x v="1"/>
    <s v="ΔΙΕΥΘΥΝΣΗ Π.Ε. Β΄ ΑΘΗΝΑΣ"/>
    <n v="47.330555555555556"/>
    <s v="46 - 50"/>
  </r>
  <r>
    <n v="99913089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4-28T00:00:00"/>
    <x v="0"/>
    <s v="ΔΙΕΥΘΥΝΣΗ Δ.Ε. Β΄ ΑΘΗΝΑΣ"/>
    <n v="47.333333333333336"/>
    <s v="46 - 50"/>
  </r>
  <r>
    <n v="99913090"/>
    <s v="Α"/>
    <x v="2"/>
    <x v="2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4-28T00:00:00"/>
    <x v="1"/>
    <s v="ΔΙΕΥΘΥΝΣΗ Π.Ε. ΠΕΙΡΑΙΑ"/>
    <n v="47.333333333333336"/>
    <s v="46 - 50"/>
  </r>
  <r>
    <n v="99913091"/>
    <s v="Α"/>
    <x v="9"/>
    <x v="9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4-28T00:00:00"/>
    <x v="0"/>
    <s v="ΔΙΕΥΘΥΝΣΗ Δ.Ε. ΑΝΑΤ. ΘΕΣ/ΝΙΚΗΣ"/>
    <n v="47.333333333333336"/>
    <s v="46 - 50"/>
  </r>
  <r>
    <n v="99913092"/>
    <s v="Θ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4-26T00:00:00"/>
    <x v="0"/>
    <s v="ΔΙΕΥΘΥΝΣΗ Δ.Ε. ΑΝΑΤΟΛΙΚΗΣ ΑΤΤΙΚΗΣ"/>
    <n v="47.338888888888889"/>
    <s v="46 - 50"/>
  </r>
  <r>
    <n v="99913093"/>
    <s v="Α"/>
    <x v="3"/>
    <x v="3"/>
    <m/>
    <m/>
    <s v="Α΄"/>
    <n v="7"/>
    <m/>
    <m/>
    <s v="ΙΩΑΝΝΙΝΩΝ (Δ.Ε.) 2018"/>
    <s v="ΔΙΕΥΘΥΝΣΗ Δ.Ε. ΙΩΑΝΝΙΝΩΝ"/>
    <s v="ΠΕΡΙΦΕΡΕΙΑΚΗ Δ/ΝΣΗ Α/ΘΜΙΑΣ ΚΑΙ Β/ΘΜΙΑΣ ΕΚΠ/ΣΗΣ ΗΠΕΙΡΟΥ"/>
    <n v="20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2-04-25T00:00:00"/>
    <x v="0"/>
    <s v="ΔΙΕΥΘΥΝΣΗ Δ.Ε. ΙΩΑΝΝΙΝΩΝ"/>
    <n v="47.341666666666669"/>
    <s v="46 - 50"/>
  </r>
  <r>
    <n v="99913094"/>
    <s v="Θ"/>
    <x v="3"/>
    <x v="3"/>
    <m/>
    <m/>
    <s v="Γ΄"/>
    <n v="1"/>
    <s v="ΨΡ6Φ4653ΠΣ-ΣΘΑ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2-04-21T00:00:00"/>
    <x v="0"/>
    <s v="ΔΙΕΥΘΥΝΣΗ Δ.Ε. Β΄ ΑΘΗΝΑΣ"/>
    <n v="47.352777777777774"/>
    <s v="46 - 50"/>
  </r>
  <r>
    <n v="99913095"/>
    <s v="Α"/>
    <x v="18"/>
    <x v="18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4-21T00:00:00"/>
    <x v="1"/>
    <s v="ΔΙΕΥΘΥΝΣΗ Π.Ε. ΛΑΡΙΣΑΣ"/>
    <n v="47.352777777777774"/>
    <s v="46 - 50"/>
  </r>
  <r>
    <n v="99913096"/>
    <s v="Α"/>
    <x v="4"/>
    <x v="4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4-20T00:00:00"/>
    <x v="0"/>
    <s v="ΔΙΕΥΘΥΝΣΗ Δ.Ε. ΑΝΑΤ. ΘΕΣ/ΝΙΚΗΣ"/>
    <n v="47.355555555555554"/>
    <s v="46 - 50"/>
  </r>
  <r>
    <n v="99913097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15"/>
    <s v="ΙΔΙΩΤΙΚΟ ΝΗΠΙΑΓΩΓΕΙΟ ΧΑΛΑΝΔΡΙ - ΑΛΛΗΛΟΒΟΗΘΗΤΙΚΟ ΤΑΜΕΙΟ ΠΕΡΙΘΑΛΨΗΣ ΣΥΛΛΟΓΟΥ ΥΠΑΛΛΗΛΩΝ ΤΡΑΠΕΖΑΣ ΕΛΛΑΔ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4-18T00:00:00"/>
    <x v="1"/>
    <s v="ΔΙΕΥΘΥΝΣΗ Π.Ε. Β΄ ΑΘΗΝΑΣ"/>
    <n v="47.361111111111114"/>
    <s v="46 - 50"/>
  </r>
  <r>
    <n v="99913098"/>
    <s v="Θ"/>
    <x v="10"/>
    <x v="10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4-16T00:00:00"/>
    <x v="0"/>
    <s v="ΔΙΕΥΘΥΝΣΗ Δ.Ε. ΑΝΑΤ. ΘΕΣ/ΝΙΚΗΣ"/>
    <n v="47.366666666666667"/>
    <s v="46 - 50"/>
  </r>
  <r>
    <n v="99913099"/>
    <s v="Θ"/>
    <x v="1"/>
    <x v="1"/>
    <m/>
    <m/>
    <s v="Α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4-13T00:00:00"/>
    <x v="1"/>
    <s v="ΔΙΕΥΘΥΝΣΗ Π.Ε. ΔΥΤ. ΘΕΣ/ΝΙΚΗΣ"/>
    <n v="47.375"/>
    <s v="46 - 50"/>
  </r>
  <r>
    <n v="99913100"/>
    <s v="Θ"/>
    <x v="33"/>
    <x v="32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4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2-04-13T00:00:00"/>
    <x v="0"/>
    <s v="ΔΙΕΥΘΥΝΣΗ Δ.Ε. ΜΕΣΣΗΝΙΑΣ"/>
    <n v="47.375"/>
    <s v="46 - 50"/>
  </r>
  <r>
    <n v="99913101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4-01T00:00:00"/>
    <x v="0"/>
    <s v="ΔΙΕΥΘΥΝΣΗ Δ.Ε. Β΄ ΑΘΗΝΑΣ"/>
    <n v="47.408333333333331"/>
    <s v="46 - 50"/>
  </r>
  <r>
    <n v="99913102"/>
    <s v="Θ"/>
    <x v="2"/>
    <x v="2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5"/>
    <s v="ΟΧΙ"/>
    <m/>
    <m/>
    <m/>
    <s v="ΟΧΙ"/>
    <m/>
    <d v="2018-09-01T00:00:00"/>
    <s v="Ιδιωτικά Σχολεία"/>
    <x v="2"/>
    <s v="7011007"/>
    <s v="Ιδιωτικό Νηπιαγωγείο &quot;Η Κιβωτός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04-01T00:00:00"/>
    <x v="1"/>
    <s v="ΔΙΕΥΘΥΝΣΗ Π.Ε. ΑΙΤΩΛΟΑΚΑΡΝΑΝΙΑΣ"/>
    <n v="47.408333333333331"/>
    <s v="46 - 50"/>
  </r>
  <r>
    <n v="99913103"/>
    <s v="Θ"/>
    <x v="2"/>
    <x v="2"/>
    <m/>
    <m/>
    <s v="Γ΄"/>
    <n v="1"/>
    <s v="995/28-03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45"/>
    <s v="ΙΔΙΩΤΙΚΟ ΝΗΠΙΑΓΩΓΕΙΟ ΠΑΝΟΡΑΜΑ - ΜΠΟΥΜΠΟΥΚΑΚΙΑ ΑΚΑΔΗΜ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4-01T00:00:00"/>
    <x v="1"/>
    <s v="ΔΙΕΥΘΥΝΣΗ Π.Ε. ΑΝΑΤ. ΘΕΣ/ΝΙΚΗΣ"/>
    <n v="47.408333333333331"/>
    <s v="46 - 50"/>
  </r>
  <r>
    <n v="99913104"/>
    <s v="Θ"/>
    <x v="2"/>
    <x v="2"/>
    <m/>
    <m/>
    <s v="Γ΄"/>
    <n v="1"/>
    <s v="28695/15-12-2015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93"/>
    <s v="ΙΔΙΩΤΙΚΟ ΝΗΠΙΑΓΩΓΕΙΟ - ΧΡΙΣΤΙΑΝΙΚΗ ΑΔΕΛΦΟΤΗΣ ΝΕΩΝ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2-03-31T00:00:00"/>
    <x v="1"/>
    <s v="ΔΙΕΥΘΥΝΣΗ Π.Ε. ΑΝΑΤ. ΘΕΣ/ΝΙΚΗΣ"/>
    <n v="47.411111111111111"/>
    <s v="46 - 50"/>
  </r>
  <r>
    <n v="99913105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28T00:00:00"/>
    <x v="0"/>
    <s v="ΔΙΕΥΘΥΝΣΗ Δ.Ε. Β΄ ΑΘΗΝΑΣ"/>
    <n v="47.419444444444444"/>
    <s v="46 - 50"/>
  </r>
  <r>
    <n v="99913106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3-23T00:00:00"/>
    <x v="0"/>
    <s v="ΔΙΕΥΘΥΝΣΗ Δ.Ε. ΑΝΑΤ. ΘΕΣ/ΝΙΚΗΣ"/>
    <n v="47.43333333333333"/>
    <s v="46 - 50"/>
  </r>
  <r>
    <n v="99913107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22T00:00:00"/>
    <x v="0"/>
    <s v="ΔΙΕΥΘΥΝΣΗ Δ.Ε. Α΄ ΑΘΗΝΑΣ"/>
    <n v="47.43611111111111"/>
    <s v="46 - 50"/>
  </r>
  <r>
    <n v="99913108"/>
    <s v="Θ"/>
    <x v="8"/>
    <x v="8"/>
    <m/>
    <m/>
    <s v="Α΄"/>
    <n v="6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18T00:00:00"/>
    <x v="1"/>
    <s v="ΔΙΕΥΘΥΝΣΗ Π.Ε. Β΄ ΑΘΗΝΑΣ"/>
    <n v="47.447222222222223"/>
    <s v="46 - 50"/>
  </r>
  <r>
    <n v="99913109"/>
    <s v="Θ"/>
    <x v="8"/>
    <x v="8"/>
    <m/>
    <m/>
    <s v="Γ΄"/>
    <n v="1"/>
    <n v="283"/>
    <d v="2018-09-01T00:00:00"/>
    <s v="Δ΄ ΑΘΗΝΑΣ (Π.Ε.) 2018"/>
    <s v="ΔΙΕΥΘΥΝΣΗ Π.Ε. Δ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4016"/>
    <s v="ΙΔΙΩΤΙΚΟ ΔΗΜΟΤΙΚΟ - ΙΟΡΔΑΝΑΚΕΙΟ ΣΥΓΧΡΟΝΑ ΕΚΠΑΙΔΕΥΤΗΡΙΑ Α.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18T00:00:00"/>
    <x v="1"/>
    <s v="ΔΙΕΥΘΥΝΣΗ Π.Ε. Δ΄ ΑΘΗΝΑΣ"/>
    <n v="47.447222222222223"/>
    <s v="46 - 50"/>
  </r>
  <r>
    <n v="99913110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16T00:00:00"/>
    <x v="0"/>
    <s v="ΔΙΕΥΘΥΝΣΗ Δ.Ε. Α΄ ΑΘΗΝΑΣ"/>
    <n v="47.452777777777776"/>
    <s v="46 - 50"/>
  </r>
  <r>
    <n v="99913111"/>
    <s v="Α"/>
    <x v="1"/>
    <x v="1"/>
    <m/>
    <m/>
    <s v="Α΄"/>
    <n v="9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13T00:00:00"/>
    <x v="1"/>
    <s v="ΔΙΕΥΘΥΝΣΗ Π.Ε. Δ΄ ΑΘΗΝΑΣ"/>
    <n v="47.461111111111109"/>
    <s v="46 - 50"/>
  </r>
  <r>
    <n v="99913112"/>
    <s v="Α"/>
    <x v="11"/>
    <x v="11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3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2-03-08T00:00:00"/>
    <x v="0"/>
    <s v="ΔΙΕΥΘΥΝΣΗ Δ.Ε. ΔΩΔΕΚΑΝΗΣΟΥ"/>
    <n v="47.475000000000001"/>
    <s v="46 - 50"/>
  </r>
  <r>
    <n v="99913113"/>
    <s v="Θ"/>
    <x v="6"/>
    <x v="6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07T00:00:00"/>
    <x v="1"/>
    <s v="ΔΙΕΥΘΥΝΣΗ Π.Ε. Δ΄ ΑΘΗΝΑΣ"/>
    <n v="47.477777777777774"/>
    <s v="46 - 50"/>
  </r>
  <r>
    <n v="99913114"/>
    <s v="Α"/>
    <x v="9"/>
    <x v="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06T00:00:00"/>
    <x v="0"/>
    <s v="ΔΙΕΥΘΥΝΣΗ Δ.Ε. ΑΝΑΤΟΛΙΚΗΣ ΑΤΤΙΚΗΣ"/>
    <n v="47.480555555555554"/>
    <s v="46 - 50"/>
  </r>
  <r>
    <n v="99913115"/>
    <s v="Θ"/>
    <x v="0"/>
    <x v="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3-06T00:00:00"/>
    <x v="0"/>
    <s v="ΔΙΕΥΘΥΝΣΗ Δ.Ε. ΛΑΡΙΣΑΣ"/>
    <n v="47.480555555555554"/>
    <s v="46 - 50"/>
  </r>
  <r>
    <n v="99913116"/>
    <s v="Α"/>
    <x v="1"/>
    <x v="1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3-02T00:00:00"/>
    <x v="1"/>
    <s v="ΔΙΕΥΘΥΝΣΗ Π.Ε. Δ΄ ΑΘΗΝΑΣ"/>
    <n v="47.491666666666667"/>
    <s v="46 - 50"/>
  </r>
  <r>
    <n v="99913117"/>
    <s v="Θ"/>
    <x v="2"/>
    <x v="2"/>
    <m/>
    <m/>
    <s v="Γ΄"/>
    <n v="1"/>
    <n v="850110"/>
    <d v="2018-09-01T00:00:00"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s v="ΟΧΙ"/>
    <s v="ΟΧΙ"/>
    <m/>
    <d v="2018-09-01T00:00:00"/>
    <s v="Ιδιωτικά Σχολεία"/>
    <x v="2"/>
    <s v="7052125"/>
    <s v="ΝΗΠΙΑΓΩΓΕΙΟ Κ. ΠΑΠΠΑ &amp; ΣΙΑ Ο.Ε. (Κ. ΠΑΠΠΑ &amp; ΣΙΑ Ο.Ε.)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2-20T00:00:00"/>
    <x v="1"/>
    <s v="ΔΙΕΥΘΥΝΣΗ Π.Ε. Β΄ ΑΘΗΝΑΣ"/>
    <n v="47.522222222222226"/>
    <s v="46 - 50"/>
  </r>
  <r>
    <n v="99913118"/>
    <s v="Θ"/>
    <x v="3"/>
    <x v="3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2-16T00:00:00"/>
    <x v="0"/>
    <s v="ΔΙΕΥΘΥΝΣΗ Δ.Ε. Δ΄ ΑΘΗΝΑΣ"/>
    <n v="47.533333333333331"/>
    <s v="46 - 50"/>
  </r>
  <r>
    <n v="99913119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2-14T00:00:00"/>
    <x v="0"/>
    <s v="ΔΙΕΥΘΥΝΣΗ Δ.Ε. Β΄ ΑΘΗΝΑΣ"/>
    <n v="47.538888888888891"/>
    <s v="46 - 50"/>
  </r>
  <r>
    <n v="99913120"/>
    <s v="Θ"/>
    <x v="6"/>
    <x v="6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2-12T00:00:00"/>
    <x v="0"/>
    <s v="ΔΙΕΥΘΥΝΣΗ Δ.Ε. ΠΕΙΡΑΙΑ"/>
    <n v="47.544444444444444"/>
    <s v="46 - 50"/>
  </r>
  <r>
    <n v="99913121"/>
    <s v="Α"/>
    <x v="3"/>
    <x v="3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s v="ΟΧΙ"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2-02-11T00:00:00"/>
    <x v="0"/>
    <s v="ΔΙΕΥΘΥΝΣΗ Δ.Ε. ΜΕΣΣΗΝΙΑΣ"/>
    <n v="47.547222222222224"/>
    <s v="46 - 50"/>
  </r>
  <r>
    <n v="9991312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2-04T00:00:00"/>
    <x v="0"/>
    <s v="ΔΙΕΥΘΥΝΣΗ Δ.Ε. Β΄ ΑΘΗΝΑΣ"/>
    <n v="47.56666666666667"/>
    <s v="46 - 50"/>
  </r>
  <r>
    <n v="99913123"/>
    <s v="Θ"/>
    <x v="2"/>
    <x v="2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s v="ΟΧΙ"/>
    <s v="ΟΧΙ"/>
    <m/>
    <d v="2018-09-01T00:00:00"/>
    <s v="Ιδιωτικά Σχολεία"/>
    <x v="2"/>
    <s v="7311005"/>
    <s v="ΙΔΙΩΤΙΚΟ ΝΗΠΙΑΓΩΓΕΙΟ ΛΑΡΙΣΑ - ΓΙΑΝΝΑΚΑΚΗ ΡΟΔΟΠ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2-01T00:00:00"/>
    <x v="1"/>
    <s v="ΔΙΕΥΘΥΝΣΗ Π.Ε. ΛΑΡΙΣΑΣ"/>
    <n v="47.575000000000003"/>
    <s v="46 - 50"/>
  </r>
  <r>
    <n v="99913124"/>
    <s v="Α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29T00:00:00"/>
    <x v="0"/>
    <s v="ΔΙΕΥΘΥΝΣΗ Δ.Ε. Α΄ ΑΘΗΝΑΣ"/>
    <n v="47.583333333333336"/>
    <s v="46 - 50"/>
  </r>
  <r>
    <n v="99913125"/>
    <s v="Θ"/>
    <x v="1"/>
    <x v="1"/>
    <m/>
    <m/>
    <s v="Α΄"/>
    <n v="9"/>
    <s v="Φ.15/3388/14-11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27T00:00:00"/>
    <x v="1"/>
    <s v="ΔΙΕΥΘΥΝΣΗ Π.Ε. ΑΝΑΤΟΛΙΚΗΣ ΑΤΤΙΚΗΣ"/>
    <n v="47.588888888888889"/>
    <s v="46 - 50"/>
  </r>
  <r>
    <n v="9991312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26T00:00:00"/>
    <x v="0"/>
    <s v="ΔΙΕΥΘΥΝΣΗ Δ.Ε. Β΄ ΑΘΗΝΑΣ"/>
    <n v="47.591666666666669"/>
    <s v="46 - 50"/>
  </r>
  <r>
    <n v="99913127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2-01-22T00:00:00"/>
    <x v="0"/>
    <s v="ΔΙΕΥΘΥΝΣΗ Δ.Ε. Β΄ ΑΘΗΝΑΣ"/>
    <n v="47.602777777777774"/>
    <s v="46 - 50"/>
  </r>
  <r>
    <n v="99913128"/>
    <s v="Θ"/>
    <x v="6"/>
    <x v="6"/>
    <m/>
    <m/>
    <s v="Γ΄"/>
    <n v="1"/>
    <n v="21106"/>
    <d v="2018-09-01T00:00:00"/>
    <s v="Α΄ ΠΕΙΡΑΙΑ (Δ.Ε.) 2018"/>
    <s v="ΔΙΕΥΘΥΝΣΗ Δ.Ε. ΠΕΙΡΑΙΑ"/>
    <s v="ΠΕΡΙΦΕΡΕΙΑΚΗ Δ/ΝΣΗ Α/ΘΜΙΑΣ ΚΑΙ Β/ΘΜΙΑΣ ΕΚΠ/ΣΗΣ ΑΤΤΙΚΗΣ"/>
    <n v="5"/>
    <s v="ΟΧΙ"/>
    <m/>
    <m/>
    <m/>
    <s v="ΟΧΙ"/>
    <m/>
    <d v="2018-09-01T00:00:00"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2-01-22T00:00:00"/>
    <x v="0"/>
    <s v="ΔΙΕΥΘΥΝΣΗ Δ.Ε. ΠΕΙΡΑΙΑ"/>
    <n v="47.602777777777774"/>
    <s v="46 - 50"/>
  </r>
  <r>
    <n v="99913129"/>
    <s v="Θ"/>
    <x v="0"/>
    <x v="0"/>
    <m/>
    <m/>
    <s v="Α΄"/>
    <n v="10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1-22T00:00:00"/>
    <x v="1"/>
    <s v="ΔΙΕΥΘΥΝΣΗ Π.Ε. ΔΥΤ. ΘΕΣ/ΝΙΚΗΣ"/>
    <n v="47.602777777777774"/>
    <s v="46 - 50"/>
  </r>
  <r>
    <n v="99913130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715"/>
    <s v="ΙΔΙΩΤΙΚΟ ΗΜΕΡΗΣΙΟ ΓΕΛ ΣΥΓΧΡΟΝΗ ΠΑΙΔΕΙΑ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19T00:00:00"/>
    <x v="0"/>
    <s v="ΔΙΕΥΘΥΝΣΗ Δ.Ε. Α΄ ΑΘΗΝΑΣ"/>
    <n v="47.611111111111114"/>
    <s v="46 - 50"/>
  </r>
  <r>
    <n v="99913131"/>
    <s v="Θ"/>
    <x v="2"/>
    <x v="2"/>
    <m/>
    <m/>
    <s v="Α΄"/>
    <n v="4"/>
    <s v="100/19-11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d v="2018-09-01T00:00:00"/>
    <s v="Ιδιωτικά Σχολεία"/>
    <x v="2"/>
    <s v="7061015"/>
    <s v="ΙΔ. ΝΗΠ. ΜΑΝΙΚΑ ΑΙΚΑΤΕΡΙΝΗ - &quot;ΤΟ ΠΑΡΑΜΥΘΙ&quot;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01-16T00:00:00"/>
    <x v="1"/>
    <s v="ΔΙΕΥΘΥΝΣΗ Π.Ε. ΑΧΑΪΑΣ"/>
    <n v="47.619444444444447"/>
    <s v="46 - 50"/>
  </r>
  <r>
    <n v="99913132"/>
    <s v="Θ"/>
    <x v="2"/>
    <x v="2"/>
    <m/>
    <m/>
    <s v="Γ΄"/>
    <n v="1"/>
    <n v="2941"/>
    <d v="2018-09-01T00:00:00"/>
    <s v="ΛΑΡΙΣΑΣ (Π.Ε.) 2018"/>
    <s v="ΔΙΕΥΘΥΝΣΗ Π.Ε. ΛΑΡΙΣΑΣ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311023"/>
    <s v="ΙΔΙΩΤΙΚΟ ΝΗΠΙΑΓΩΓΕΙΟ ΛΑΡΙΣΑ - ΙΔΙΩΤΙΚΟ ΝΗΠΙΑΓΩΓΕΙΟ ΕΛΕΝΗΣ ΣΟΛΩΜ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1-12T00:00:00"/>
    <x v="1"/>
    <s v="ΔΙΕΥΘΥΝΣΗ Π.Ε. ΛΑΡΙΣΑΣ"/>
    <n v="47.630555555555553"/>
    <s v="46 - 50"/>
  </r>
  <r>
    <n v="99913133"/>
    <s v="Θ"/>
    <x v="18"/>
    <x v="18"/>
    <m/>
    <m/>
    <s v="Β΄"/>
    <n v="3"/>
    <m/>
    <m/>
    <s v="Α΄ ΠΕΙΡΑΙΑ (Π.Ε.) 2018"/>
    <s v="ΔΙΕΥΘΥΝΣΗ Π.Ε. ΠΕΙΡΑΙΑ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7T00:00:00"/>
    <x v="1"/>
    <s v="ΔΙΕΥΘΥΝΣΗ Π.Ε. ΠΕΙΡΑΙΑ"/>
    <n v="47.644444444444446"/>
    <s v="46 - 50"/>
  </r>
  <r>
    <n v="99913134"/>
    <s v="Θ"/>
    <x v="18"/>
    <x v="18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1-07T00:00:00"/>
    <x v="1"/>
    <s v="ΔΙΕΥΘΥΝΣΗ Π.Ε. ΔΥΤ. ΘΕΣ/ΝΙΚΗΣ"/>
    <n v="47.644444444444446"/>
    <s v="46 - 50"/>
  </r>
  <r>
    <n v="99913135"/>
    <s v="Θ"/>
    <x v="3"/>
    <x v="3"/>
    <m/>
    <m/>
    <s v="Γ΄"/>
    <n v="1"/>
    <n v="4620"/>
    <d v="2018-09-01T00:00:00"/>
    <s v="ΜΕΣΣΗΝΙΑΣ (Δ.Ε.) 2018"/>
    <s v="ΔΙΕΥΘΥΝΣΗ Δ.Ε. ΜΕΣΣΗΝΙΑΣ"/>
    <s v="ΠΕΡΙΦΕΡΕΙΑΚΗ Δ/ΝΣΗ Α/ΘΜΙΑΣ ΚΑΙ Β/ΘΜΙΑΣ ΕΚΠ/ΣΗΣ ΠΕΛΟΠΟΝΝΗΣΟΥ"/>
    <n v="23"/>
    <s v="ΟΧΙ"/>
    <s v="ΟΧΙ"/>
    <s v="ΟΧΙ"/>
    <s v="ΟΧΙ"/>
    <s v="ΟΧΙ"/>
    <m/>
    <d v="2018-09-01T00:00:00"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72-01-04T00:00:00"/>
    <x v="0"/>
    <s v="ΔΙΕΥΘΥΝΣΗ Δ.Ε. ΜΕΣΣΗΝΙΑΣ"/>
    <n v="47.652777777777779"/>
    <s v="46 - 50"/>
  </r>
  <r>
    <n v="99913136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ΑΝΑΤΟΛΙΚΗΣ ΑΤΤΙΚΗΣ"/>
    <n v="47.661111111111111"/>
    <s v="46 - 50"/>
  </r>
  <r>
    <n v="99913137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ΑΝΑΤΟΛΙΚΗΣ ΑΤΤΙΚΗΣ"/>
    <n v="47.661111111111111"/>
    <s v="46 - 50"/>
  </r>
  <r>
    <n v="99913138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ΑΝΑΤΟΛΙΚΗΣ ΑΤΤΙΚΗΣ"/>
    <n v="47.661111111111111"/>
    <s v="46 - 50"/>
  </r>
  <r>
    <n v="99913139"/>
    <s v="Α"/>
    <x v="11"/>
    <x v="11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ΑΝΑΤΟΛΙΚΗΣ ΑΤΤΙΚΗΣ"/>
    <n v="47.661111111111111"/>
    <s v="46 - 50"/>
  </r>
  <r>
    <n v="99913140"/>
    <s v="Α"/>
    <x v="19"/>
    <x v="19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26"/>
    <s v="ΙΔΙΩΤΙΚΟ ΓΥΜΝΑΣΙΟ - ΕΚΠΑΙΔΕΥΤΗΡΙΑ Ν. ΖΑΓΟΡΙΑΝΑΚΟΥ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ΑΝΑΤΟΛΙΚΗΣ ΑΤΤΙΚΗΣ"/>
    <n v="47.661111111111111"/>
    <s v="46 - 50"/>
  </r>
  <r>
    <n v="99913141"/>
    <s v="Α"/>
    <x v="20"/>
    <x v="2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Γ΄ ΑΘΗΝΑΣ"/>
    <n v="47.661111111111111"/>
    <s v="46 - 50"/>
  </r>
  <r>
    <n v="99913142"/>
    <s v="Θ"/>
    <x v="11"/>
    <x v="11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Γ΄ ΑΘΗΝΑΣ"/>
    <n v="47.661111111111111"/>
    <s v="46 - 50"/>
  </r>
  <r>
    <n v="99913143"/>
    <s v="Θ"/>
    <x v="12"/>
    <x v="12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Δ΄ ΑΘΗΝΑΣ"/>
    <n v="47.661111111111111"/>
    <s v="46 - 50"/>
  </r>
  <r>
    <n v="99913144"/>
    <s v="Α"/>
    <x v="19"/>
    <x v="19"/>
    <m/>
    <m/>
    <s v="Γ΄"/>
    <n v="1"/>
    <n v="48"/>
    <d v="2018-09-03T00:00:00"/>
    <s v="Δ΄ ΑΘΗΝΑΣ (Δ.Ε.) 2018"/>
    <s v="ΔΙΕΥΘΥΝΣΗ Δ.Ε. Δ΄ ΑΘΗΝΑΣ"/>
    <s v="ΠΕΡΙΦΕΡΕΙΑΚΗ Δ/ΝΣΗ Α/ΘΜΙΑΣ ΚΑΙ Β/ΘΜΙΑΣ ΕΚΠ/ΣΗΣ ΑΤΤΙΚΗΣ"/>
    <n v="10"/>
    <s v="ΟΧΙ"/>
    <s v="ΟΧΙ"/>
    <s v="ΟΧΙ"/>
    <s v="ΟΧΙ"/>
    <s v="ΟΧΙ"/>
    <m/>
    <d v="2018-09-03T00:00:00"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2-01-01T00:00:00"/>
    <x v="0"/>
    <s v="ΔΙΕΥΘΥΝΣΗ Δ.Ε. Δ΄ ΑΘΗΝΑΣ"/>
    <n v="47.661111111111111"/>
    <s v="46 - 50"/>
  </r>
  <r>
    <n v="99913145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Δ΄ ΑΘΗΝΑΣ"/>
    <n v="47.661111111111111"/>
    <s v="46 - 50"/>
  </r>
  <r>
    <n v="99913146"/>
    <s v="Θ"/>
    <x v="10"/>
    <x v="1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Δ΄ ΑΘΗΝΑΣ"/>
    <n v="47.661111111111111"/>
    <s v="46 - 50"/>
  </r>
  <r>
    <n v="99913147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28"/>
    <s v="ΙΔΡΥΜΑ ΠΡΟΣΤΑΣΙΑΣ ΝΕΟΤΗΤΑΣ  ΑΓΙΟΣ ΠΟΛΥΚΑΡΠΟΣ - ΑΓΙΟΣ ΓΕΩΡΓΙΟΣΑρ. ¶δειας Ιδρύσεως: Φ1/63/40869/Δ-5 10-4-2012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0"/>
    <s v="ΔΙΕΥΘΥΝΣΗ Δ.Ε. ΠΕΙΡΑΙΑ"/>
    <n v="47.661111111111111"/>
    <s v="46 - 50"/>
  </r>
  <r>
    <n v="99913148"/>
    <s v="Θ"/>
    <x v="0"/>
    <x v="0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1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1"/>
    <s v="ΔΙΕΥΘΥΝΣΗ Π.Ε. ΑΝΑΤΟΛΙΚΗΣ ΑΤΤΙΚΗΣ"/>
    <n v="47.661111111111111"/>
    <s v="46 - 50"/>
  </r>
  <r>
    <n v="99913149"/>
    <s v="Θ"/>
    <x v="1"/>
    <x v="1"/>
    <m/>
    <m/>
    <s v="Α΄"/>
    <n v="1"/>
    <m/>
    <m/>
    <s v="ΧΑΝΙΩΝ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2-01-01T00:00:00"/>
    <x v="1"/>
    <s v="ΔΙΕΥΘΥΝΣΗ Π.Ε. Β΄ ΑΘΗΝΑΣ"/>
    <n v="47.661111111111111"/>
    <s v="46 - 50"/>
  </r>
  <r>
    <n v="99913150"/>
    <s v="Θ"/>
    <x v="0"/>
    <x v="0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2-01-01T00:00:00"/>
    <x v="1"/>
    <s v="ΔΙΕΥΘΥΝΣΗ Π.Ε. ΠΕΙΡΑΙΑ"/>
    <n v="47.661111111111111"/>
    <s v="46 - 50"/>
  </r>
  <r>
    <n v="99913151"/>
    <s v="Θ"/>
    <x v="10"/>
    <x v="10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1"/>
    <s v="ΟΧΙ"/>
    <s v="ΟΧΙ"/>
    <s v="ΟΧΙ"/>
    <s v="ΟΧΙ"/>
    <s v="ΟΧΙ"/>
    <m/>
    <m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2-01-01T00:00:00"/>
    <x v="1"/>
    <s v="ΔΙΕΥΘΥΝΣΗ Π.Ε. ΑΙΤΩΛΟΑΚΑΡΝΑΝΙΑΣ"/>
    <n v="47.661111111111111"/>
    <s v="46 - 50"/>
  </r>
  <r>
    <n v="99913152"/>
    <s v="Θ"/>
    <x v="3"/>
    <x v="3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2-01-01T00:00:00"/>
    <x v="0"/>
    <s v="ΔΙΕΥΘΥΝΣΗ Δ.Ε. ΛΑΡΙΣΑΣ"/>
    <n v="47.661111111111111"/>
    <s v="46 - 50"/>
  </r>
  <r>
    <n v="99913153"/>
    <s v="Α"/>
    <x v="3"/>
    <x v="3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s v="ΟΧΙ"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1-01T00:00:00"/>
    <x v="0"/>
    <s v="ΔΙΕΥΘΥΝΣΗ Δ.Ε. ΑΝΑΤ. ΘΕΣ/ΝΙΚΗΣ"/>
    <n v="47.661111111111111"/>
    <s v="46 - 50"/>
  </r>
  <r>
    <n v="99913154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1-01T00:00:00"/>
    <x v="0"/>
    <s v="ΔΙΕΥΘΥΝΣΗ Δ.Ε. ΑΝΑΤ. ΘΕΣ/ΝΙΚΗΣ"/>
    <n v="47.661111111111111"/>
    <s v="46 - 50"/>
  </r>
  <r>
    <n v="99913155"/>
    <s v="Θ"/>
    <x v="10"/>
    <x v="10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1-01T00:00:00"/>
    <x v="1"/>
    <s v="ΔΙΕΥΘΥΝΣΗ Π.Ε. ΑΝΑΤ. ΘΕΣ/ΝΙΚΗΣ"/>
    <n v="47.661111111111111"/>
    <s v="46 - 50"/>
  </r>
  <r>
    <n v="99913156"/>
    <s v="Θ"/>
    <x v="18"/>
    <x v="18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2-01-01T00:00:00"/>
    <x v="1"/>
    <s v="ΔΙΕΥΘΥΝΣΗ Π.Ε. ΑΝΑΤ. ΘΕΣ/ΝΙΚΗΣ"/>
    <n v="47.661111111111111"/>
    <s v="46 - 50"/>
  </r>
  <r>
    <n v="99913157"/>
    <s v="Α"/>
    <x v="8"/>
    <x v="8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0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2-01-01T00:00:00"/>
    <x v="0"/>
    <s v="ΔΙΕΥΘΥΝΣΗ Δ.Ε. ΗΡΑΚΛΕΙΟΥ"/>
    <n v="47.661111111111111"/>
    <s v="46 - 50"/>
  </r>
  <r>
    <n v="99913158"/>
    <s v="Θ"/>
    <x v="8"/>
    <x v="8"/>
    <m/>
    <m/>
    <s v="Γ΄"/>
    <n v="1"/>
    <s v="Φ.17.2/7365"/>
    <d v="2018-09-17T00:00:00"/>
    <s v="ΧΑΝΙΩΝ (Π.Ε.) 2018"/>
    <s v="ΔΙΕΥΘΥΝΣΗ Π.Ε. ΧΑΝΙΩΝ"/>
    <s v="ΠΕΡΙΦΕΡΕΙΑΚΗ Δ/ΝΣΗ Α/ΘΜΙΑΣ ΚΑΙ Β/ΘΜΙΑΣ ΕΚΠ/ΣΗΣ ΚΡΗΤΗΣ"/>
    <n v="8"/>
    <s v="ΟΧΙ"/>
    <s v="ΟΧΙ"/>
    <s v="ΟΧΙ"/>
    <s v="ΟΧΙ"/>
    <s v="ΟΧΙ"/>
    <m/>
    <d v="2018-09-17T00:00:00"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1-12-22T00:00:00"/>
    <x v="1"/>
    <s v="ΔΙΕΥΘΥΝΣΗ Π.Ε. ΧΑΝΙΩΝ"/>
    <n v="47.68888888888889"/>
    <s v="46 - 50"/>
  </r>
  <r>
    <n v="99913159"/>
    <s v="Α"/>
    <x v="1"/>
    <x v="1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21T00:00:00"/>
    <x v="1"/>
    <s v="ΔΙΕΥΘΥΝΣΗ Π.Ε. Δ΄ ΑΘΗΝΑΣ"/>
    <n v="47.69166666666667"/>
    <s v="46 - 50"/>
  </r>
  <r>
    <n v="99913160"/>
    <s v="Α"/>
    <x v="24"/>
    <x v="24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60031"/>
    <s v="ΙΔΙΩΤΙΚΟ ΓΥΜΝΑΣΙΟ - ΣΧΟΛΗ ΚΑΛΟΓΕΡΟΠΟΥΛΟΥ ΕΠ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19T00:00:00"/>
    <x v="0"/>
    <s v="ΔΙΕΥΘΥΝΣΗ Δ.Ε. ΑΝΑΤΟΛΙΚΗΣ ΑΤΤΙΚΗΣ"/>
    <n v="47.697222222222223"/>
    <s v="46 - 50"/>
  </r>
  <r>
    <n v="99913161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12-17T00:00:00"/>
    <x v="0"/>
    <s v="ΔΙΕΥΘΥΝΣΗ Δ.Ε. ΑΝΑΤ. ΘΕΣ/ΝΙΚΗΣ"/>
    <n v="47.702777777777776"/>
    <s v="46 - 50"/>
  </r>
  <r>
    <n v="99913162"/>
    <s v="Θ"/>
    <x v="3"/>
    <x v="3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12-17T00:00:00"/>
    <x v="0"/>
    <s v="ΔΙΕΥΘΥΝΣΗ Δ.Ε. ΑΝΑΤ. ΘΕΣ/ΝΙΚΗΣ"/>
    <n v="47.702777777777776"/>
    <s v="46 - 50"/>
  </r>
  <r>
    <n v="99913163"/>
    <s v="Θ"/>
    <x v="1"/>
    <x v="1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1-12-16T00:00:00"/>
    <x v="1"/>
    <s v="ΔΙΕΥΘΥΝΣΗ Π.Ε. ΙΩΑΝΝΙΝΩΝ"/>
    <n v="47.705555555555556"/>
    <s v="46 - 50"/>
  </r>
  <r>
    <n v="99913164"/>
    <s v="Α"/>
    <x v="3"/>
    <x v="3"/>
    <m/>
    <m/>
    <s v="Γ΄"/>
    <n v="1"/>
    <s v="2/23-01-2018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15T00:00:00"/>
    <x v="0"/>
    <s v="ΔΙΕΥΘΥΝΣΗ Δ.Ε. Δ΄ ΑΘΗΝΑΣ"/>
    <n v="47.708333333333336"/>
    <s v="46 - 50"/>
  </r>
  <r>
    <n v="99913165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14T00:00:00"/>
    <x v="0"/>
    <s v="ΔΙΕΥΘΥΝΣΗ Δ.Ε. ΠΕΙΡΑΙΑ"/>
    <n v="47.711111111111109"/>
    <s v="46 - 50"/>
  </r>
  <r>
    <n v="99913166"/>
    <s v="Θ"/>
    <x v="0"/>
    <x v="0"/>
    <m/>
    <m/>
    <s v="Γ΄"/>
    <n v="1"/>
    <s v="24/3416/26-10-10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14T00:00:00"/>
    <x v="1"/>
    <s v="ΔΙΕΥΘΥΝΣΗ Π.Ε. Β΄ ΑΘΗΝΑΣ"/>
    <n v="47.711111111111109"/>
    <s v="46 - 50"/>
  </r>
  <r>
    <n v="99913167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07T00:00:00"/>
    <x v="0"/>
    <s v="ΔΙΕΥΘΥΝΣΗ Δ.Ε. Β΄ ΑΘΗΝΑΣ"/>
    <n v="47.730555555555554"/>
    <s v="46 - 50"/>
  </r>
  <r>
    <n v="99913168"/>
    <s v="Θ"/>
    <x v="1"/>
    <x v="1"/>
    <m/>
    <m/>
    <s v="Α΄"/>
    <n v="10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06T00:00:00"/>
    <x v="1"/>
    <s v="ΔΙΕΥΘΥΝΣΗ Π.Ε. Δ΄ ΑΘΗΝΑΣ"/>
    <n v="47.733333333333334"/>
    <s v="46 - 50"/>
  </r>
  <r>
    <n v="99913169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01T00:00:00"/>
    <x v="0"/>
    <s v="ΔΙΕΥΘΥΝΣΗ Δ.Ε. ΑΝΑΤΟΛΙΚΗΣ ΑΤΤΙΚΗΣ"/>
    <n v="47.74722222222222"/>
    <s v="46 - 50"/>
  </r>
  <r>
    <n v="99913170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2-01T00:00:00"/>
    <x v="0"/>
    <s v="ΔΙΕΥΘΥΝΣΗ Δ.Ε. Β΄ ΑΘΗΝΑΣ"/>
    <n v="47.74722222222222"/>
    <s v="46 - 50"/>
  </r>
  <r>
    <n v="99913171"/>
    <s v="Θ"/>
    <x v="10"/>
    <x v="10"/>
    <m/>
    <m/>
    <s v="Γ΄"/>
    <n v="1"/>
    <s v="9172/30-09-2015"/>
    <d v="2018-09-01T00:00:00"/>
    <s v="ΙΩΑΝΝΙΝΩΝ (Δ.Ε.) 2018"/>
    <s v="ΔΙΕΥΘΥΝΣΗ Δ.Ε. ΙΩΑΝΝΙΝΩΝ"/>
    <s v="ΠΕΡΙΦΕΡΕΙΑΚΗ Δ/ΝΣΗ Α/ΘΜΙΑΣ ΚΑΙ Β/ΘΜΙΑΣ ΕΚΠ/ΣΗΣ ΗΠΕΙΡΟΥ"/>
    <n v="10"/>
    <s v="ΟΧΙ"/>
    <s v="ΟΧΙ"/>
    <s v="ΟΧΙ"/>
    <s v="ΟΧΙ"/>
    <s v="ΟΧΙ"/>
    <m/>
    <d v="2018-09-01T00:00:00"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1-11-30T00:00:00"/>
    <x v="0"/>
    <s v="ΔΙΕΥΘΥΝΣΗ Δ.Ε. ΙΩΑΝΝΙΝΩΝ"/>
    <n v="47.75"/>
    <s v="46 - 50"/>
  </r>
  <r>
    <n v="99913172"/>
    <s v="Α"/>
    <x v="3"/>
    <x v="3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11-27T00:00:00"/>
    <x v="0"/>
    <s v="ΔΙΕΥΘΥΝΣΗ Δ.Ε. ΑΝΑΤ. ΘΕΣ/ΝΙΚΗΣ"/>
    <n v="47.758333333333333"/>
    <s v="46 - 50"/>
  </r>
  <r>
    <n v="99913173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20T00:00:00"/>
    <x v="0"/>
    <s v="ΔΙΕΥΘΥΝΣΗ Δ.Ε. ΑΝΑΤΟΛΙΚΗΣ ΑΤΤΙΚΗΣ"/>
    <n v="47.777777777777779"/>
    <s v="46 - 50"/>
  </r>
  <r>
    <n v="9991317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11-20T00:00:00"/>
    <x v="0"/>
    <s v="ΔΙΕΥΘΥΝΣΗ Δ.Ε. Β΄ ΑΘΗΝΑΣ"/>
    <n v="47.777777777777779"/>
    <s v="46 - 50"/>
  </r>
  <r>
    <n v="99913175"/>
    <s v="Θ"/>
    <x v="1"/>
    <x v="1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1"/>
    <s v="ΟΧΙ"/>
    <s v="ΟΧΙ"/>
    <s v="ΟΧΙ"/>
    <s v="ΟΧΙ"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1-11-20T00:00:00"/>
    <x v="1"/>
    <s v="ΔΙΕΥΘΥΝΣΗ Π.Ε. ΑΡΓΟΛΙΔΑΣ"/>
    <n v="47.777777777777779"/>
    <s v="46 - 50"/>
  </r>
  <r>
    <n v="99913176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17T00:00:00"/>
    <x v="0"/>
    <s v="ΔΙΕΥΘΥΝΣΗ Δ.Ε. ΑΝΑΤΟΛΙΚΗΣ ΑΤΤΙΚΗΣ"/>
    <n v="47.786111111111111"/>
    <s v="46 - 50"/>
  </r>
  <r>
    <n v="99913177"/>
    <s v="Θ"/>
    <x v="6"/>
    <x v="6"/>
    <m/>
    <m/>
    <s v="Γ΄"/>
    <n v="1"/>
    <s v="2010/23-10-2002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17T00:00:00"/>
    <x v="1"/>
    <s v="ΔΙΕΥΘΥΝΣΗ Π.Ε. Β΄ ΑΘΗΝΑΣ"/>
    <n v="47.786111111111111"/>
    <s v="46 - 50"/>
  </r>
  <r>
    <n v="99913178"/>
    <s v="Θ"/>
    <x v="4"/>
    <x v="4"/>
    <s v="ΠΕ78"/>
    <s v="ΚΟΙΝΩΝΙΚΩΝ ΕΠΙΣΤΗΜΩΝ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11-16T00:00:00"/>
    <x v="0"/>
    <s v="ΔΙΕΥΘΥΝΣΗ Δ.Ε. ΑΝΑΤ. ΘΕΣ/ΝΙΚΗΣ"/>
    <n v="47.788888888888891"/>
    <s v="46 - 50"/>
  </r>
  <r>
    <n v="99913179"/>
    <s v="Α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15T00:00:00"/>
    <x v="0"/>
    <s v="ΔΙΕΥΘΥΝΣΗ Δ.Ε. ΑΝΑΤΟΛΙΚΗΣ ΑΤΤΙΚΗΣ"/>
    <n v="47.791666666666664"/>
    <s v="46 - 50"/>
  </r>
  <r>
    <n v="99913180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11T00:00:00"/>
    <x v="0"/>
    <s v="ΔΙΕΥΘΥΝΣΗ Δ.Ε. ΑΝΑΤΟΛΙΚΗΣ ΑΤΤΙΚΗΣ"/>
    <n v="47.802777777777777"/>
    <s v="46 - 50"/>
  </r>
  <r>
    <n v="99913181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8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1-11-09T00:00:00"/>
    <x v="1"/>
    <s v="ΔΙΕΥΘΥΝΣΗ Π.Ε. ΑΧΑΪΑΣ"/>
    <n v="47.80833333333333"/>
    <s v="46 - 50"/>
  </r>
  <r>
    <n v="99913182"/>
    <s v="Θ"/>
    <x v="2"/>
    <x v="2"/>
    <m/>
    <m/>
    <s v="Γ΄"/>
    <n v="1"/>
    <s v="24511/05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97"/>
    <s v="1ο ΝΗΠΙΑΓΩΓΕΙΟ ΜΕΡΙΜΝΑ ΠΑΙΔΙΟΥ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1-11-09T00:00:00"/>
    <x v="1"/>
    <s v="ΔΙΕΥΘΥΝΣΗ Π.Ε. ΑΝΑΤ. ΘΕΣ/ΝΙΚΗΣ"/>
    <n v="47.80833333333333"/>
    <s v="46 - 50"/>
  </r>
  <r>
    <n v="99913183"/>
    <s v="Α"/>
    <x v="20"/>
    <x v="20"/>
    <m/>
    <m/>
    <s v="Γ΄"/>
    <n v="1"/>
    <s v="18279/50"/>
    <d v="2018-09-01T00:00:00"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08T00:00:00"/>
    <x v="0"/>
    <s v="ΔΙΕΥΘΥΝΣΗ Δ.Ε. Γ΄ ΑΘΗΝΑΣ"/>
    <n v="47.81111111111111"/>
    <s v="46 - 50"/>
  </r>
  <r>
    <n v="99913184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1-11-06T00:00:00"/>
    <x v="1"/>
    <s v="ΔΙΕΥΘΥΝΣΗ Π.Ε. ΑΧΑΪΑΣ"/>
    <n v="47.81666666666667"/>
    <s v="46 - 50"/>
  </r>
  <r>
    <n v="99913185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1-01T00:00:00"/>
    <x v="0"/>
    <s v="ΔΙΕΥΘΥΝΣΗ Δ.Ε. Β΄ ΑΘΗΝΑΣ"/>
    <n v="47.830555555555556"/>
    <s v="46 - 50"/>
  </r>
  <r>
    <n v="99913186"/>
    <s v="Θ"/>
    <x v="1"/>
    <x v="1"/>
    <m/>
    <m/>
    <s v="Α΄"/>
    <n v="5"/>
    <m/>
    <m/>
    <s v="Α΄ ΠΕΙΡΑΙΑ (Π.Ε.) 2018"/>
    <s v="ΔΙΕΥΘΥΝΣΗ Π.Ε. ΠΕΙΡΑΙΑ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1"/>
    <s v="7541012"/>
    <s v="ΙΔΙΩΤΙΚΟ ΔΗΜΟΤΙΚΟ ΣΧΟΛΕΙΟ- ΘΕΜΙΣΤΟΚΛΗ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30T00:00:00"/>
    <x v="1"/>
    <s v="ΔΙΕΥΘΥΝΣΗ Π.Ε. ΠΕΙΡΑΙΑ"/>
    <n v="47.836111111111109"/>
    <s v="46 - 50"/>
  </r>
  <r>
    <n v="99913187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29T00:00:00"/>
    <x v="0"/>
    <s v="ΔΙΕΥΘΥΝΣΗ Δ.Ε. Γ΄ ΑΘΗΝΑΣ"/>
    <n v="47.838888888888889"/>
    <s v="46 - 50"/>
  </r>
  <r>
    <n v="99913188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29T00:00:00"/>
    <x v="0"/>
    <s v="ΔΙΕΥΘΥΝΣΗ Δ.Ε. Γ΄ ΑΘΗΝΑΣ"/>
    <n v="47.838888888888889"/>
    <s v="46 - 50"/>
  </r>
  <r>
    <n v="99913189"/>
    <s v="Α"/>
    <x v="19"/>
    <x v="19"/>
    <m/>
    <m/>
    <s v="Α΄"/>
    <n v="1"/>
    <s v="Ψ3364653ΠΣ-ΘΛΙ"/>
    <d v="2016-09-26T00:00:00"/>
    <s v="ΧΑΝΙΩΝ (Δ.Ε.) 2018"/>
    <s v="ΔΙΕΥΘΥΝΣΗ Δ.Ε. ΧΑΝΙΩΝ"/>
    <s v="ΠΕΡΙΦΕΡΕΙΑΚΗ Δ/ΝΣΗ Α/ΘΜΙΑΣ ΚΑΙ Β/ΘΜΙΑΣ ΕΚΠ/ΣΗΣ ΚΡΗΤΗΣ"/>
    <n v="23"/>
    <s v="ΟΧΙ"/>
    <s v="ΟΧΙ"/>
    <s v="ΟΧΙ"/>
    <s v="ΟΧΙ"/>
    <s v="ΟΧΙ"/>
    <m/>
    <d v="2016-09-26T00:00:00"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1-10-21T00:00:00"/>
    <x v="0"/>
    <s v="ΔΙΕΥΘΥΝΣΗ Δ.Ε. ΧΑΝΙΩΝ"/>
    <n v="47.861111111111114"/>
    <s v="46 - 50"/>
  </r>
  <r>
    <n v="99913190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18T00:00:00"/>
    <x v="0"/>
    <s v="ΔΙΕΥΘΥΝΣΗ Δ.Ε. Β΄ ΑΘΗΝΑΣ"/>
    <n v="47.869444444444447"/>
    <s v="46 - 50"/>
  </r>
  <r>
    <n v="99913191"/>
    <s v="Θ"/>
    <x v="1"/>
    <x v="1"/>
    <m/>
    <m/>
    <s v="Γ΄"/>
    <n v="1"/>
    <n v="1838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15T00:00:00"/>
    <x v="1"/>
    <s v="ΔΙΕΥΘΥΝΣΗ Π.Ε. Δ΄ ΑΘΗΝΑΣ"/>
    <n v="47.87777777777778"/>
    <s v="46 - 50"/>
  </r>
  <r>
    <n v="99913192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13T00:00:00"/>
    <x v="0"/>
    <s v="ΔΙΕΥΘΥΝΣΗ Δ.Ε. ΠΕΙΡΑΙΑ"/>
    <n v="47.883333333333333"/>
    <s v="46 - 50"/>
  </r>
  <r>
    <n v="99913193"/>
    <s v="Α"/>
    <x v="18"/>
    <x v="18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5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10-13T00:00:00"/>
    <x v="0"/>
    <s v="ΔΙΕΥΘΥΝΣΗ Δ.Ε. ΤΡΙΚΑΛΩΝ"/>
    <n v="47.883333333333333"/>
    <s v="46 - 50"/>
  </r>
  <r>
    <n v="99913194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10T00:00:00"/>
    <x v="0"/>
    <s v="ΔΙΕΥΘΥΝΣΗ Δ.Ε. Δ΄ ΑΘΗΝΑΣ"/>
    <n v="47.891666666666666"/>
    <s v="46 - 50"/>
  </r>
  <r>
    <n v="99913195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06T00:00:00"/>
    <x v="0"/>
    <s v="ΔΙΕΥΘΥΝΣΗ Δ.Ε. ΑΝΑΤΟΛΙΚΗΣ ΑΤΤΙΚΗΣ"/>
    <n v="47.902777777777779"/>
    <s v="46 - 50"/>
  </r>
  <r>
    <n v="99913196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10-03T00:00:00"/>
    <x v="0"/>
    <s v="ΔΙΕΥΘΥΝΣΗ Δ.Ε. Δ΄ ΑΘΗΝΑΣ"/>
    <n v="47.911111111111111"/>
    <s v="46 - 50"/>
  </r>
  <r>
    <n v="99913197"/>
    <s v="Θ"/>
    <x v="11"/>
    <x v="11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30T00:00:00"/>
    <x v="0"/>
    <s v="ΔΙΕΥΘΥΝΣΗ Δ.Ε. Γ΄ ΑΘΗΝΑΣ"/>
    <n v="47.919444444444444"/>
    <s v="46 - 50"/>
  </r>
  <r>
    <n v="99913198"/>
    <s v="Θ"/>
    <x v="2"/>
    <x v="2"/>
    <m/>
    <m/>
    <s v="Γ΄"/>
    <n v="1"/>
    <m/>
    <m/>
    <s v="Α΄ ΚΑΒΑΛΑΣ (Π.Ε.) 2018"/>
    <s v="ΔΙΕΥΘΥΝΣΗ Π.Ε. ΚΑΒΑΛΑΣ"/>
    <s v="ΠΕΡΙΦΕΡΕΙΑΚΗ Δ/ΝΣΗ Α/ΘΜΙΑΣ ΚΑΙ Β/ΘΜΙΑΣ ΕΚΠ/ΣΗΣ ΑΝ. ΜΑΚΕΔΟΝΙΑΣ ΚΑΙ ΘΡΑΚΗΣ"/>
    <n v="25"/>
    <s v="ΟΧΙ"/>
    <s v="ΟΧΙ"/>
    <s v="ΟΧΙ"/>
    <s v="ΟΧΙ"/>
    <s v="ΟΧΙ"/>
    <m/>
    <m/>
    <s v="Ιδιωτικά Σχολεία"/>
    <x v="2"/>
    <s v="7211001"/>
    <s v="ΙΔΙΩΤΙΚΟ ΝΗΠΙΑΓΩΓΕΙΟ ΚΩΝΣΤΑΝΤΙΝΑΣ ΘΩΜΑ"/>
    <s v="Α΄ ΚΑΒΑΛΑΣ (Π.Ε.) 2018"/>
    <x v="45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1-09-27T00:00:00"/>
    <x v="1"/>
    <s v="ΔΙΕΥΘΥΝΣΗ Π.Ε. ΚΑΒΑΛΑΣ"/>
    <n v="47.927777777777777"/>
    <s v="46 - 50"/>
  </r>
  <r>
    <n v="99913199"/>
    <s v="Θ"/>
    <x v="20"/>
    <x v="20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9-26T00:00:00"/>
    <x v="0"/>
    <s v="ΔΙΕΥΘΥΝΣΗ Δ.Ε. Γ΄ ΑΘΗΝΑΣ"/>
    <n v="47.930555555555557"/>
    <s v="46 - 50"/>
  </r>
  <r>
    <n v="99913200"/>
    <s v="Θ"/>
    <x v="2"/>
    <x v="2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11"/>
    <s v="ΙΔΙΩΤΙΚΟ ΝΗΠΙΑΓΩΓΕΙΟ ΕΥΟΣΜΟΣ ΘΕΣΣΑΛΟΝΙΚΗΣ - ΜΑΡΤΣΙΚΑΛΗ ΜΑΓΔΑΛΗΝ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9-25T00:00:00"/>
    <x v="1"/>
    <s v="ΔΙΕΥΘΥΝΣΗ Π.Ε. ΔΥΤ. ΘΕΣ/ΝΙΚΗΣ"/>
    <n v="47.93333333333333"/>
    <s v="46 - 50"/>
  </r>
  <r>
    <n v="9991320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24T00:00:00"/>
    <x v="0"/>
    <s v="ΔΙΕΥΘΥΝΣΗ Δ.Ε. Β΄ ΑΘΗΝΑΣ"/>
    <n v="47.93611111111111"/>
    <s v="46 - 50"/>
  </r>
  <r>
    <n v="99913202"/>
    <s v="Θ"/>
    <x v="2"/>
    <x v="2"/>
    <m/>
    <m/>
    <s v="Γ΄"/>
    <n v="1"/>
    <m/>
    <d v="2018-09-01T00:00:00"/>
    <s v="Α΄ ΚΕΦΑΛΛΗΝΙΑΣ (Π.Ε.) 2018"/>
    <s v="ΔΙΕΥΘΥΝΣΗ Π.Ε. ΚΕΦΑΛΛΗΝΙΑΣ"/>
    <s v="ΠΕΡΙΦΕΡΕΙΑΚΗ Δ/ΝΣΗ Α/ΘΜΙΑΣ ΚΑΙ Β/ΘΜΙΑΣ ΕΚΠ/ΣΗΣ ΙΟΝΙΩΝ ΝΗΣΩΝ"/>
    <n v="25"/>
    <s v="ΟΧΙ"/>
    <s v="ΟΧΙ"/>
    <s v="ΟΧΙ"/>
    <s v="ΟΧΙ"/>
    <s v="ΟΧΙ"/>
    <m/>
    <d v="2018-09-01T00:00:00"/>
    <s v="Ιδιωτικά Σχολεία"/>
    <x v="2"/>
    <s v="7251001"/>
    <s v="Ιδιωτικό Συστεγαζόμενο Νηπιαγωγείο - ΒΑΛΣΑΜΟΥ ΒΑΣΙΛΙΚΗ"/>
    <s v="Α΄ ΚΕΦΑΛΛΗΝΙΑΣ (Π.Ε.) 2018"/>
    <x v="69"/>
    <s v="ΠΕΡΙΦΕΡΕΙΑΚΗ Δ/ΝΣΗ Α/ΘΜΙΑΣ ΚΑΙ Β/ΘΜΙΑΣ ΕΚΠ/ΣΗΣ ΙΟΝΙΩΝ ΝΗΣΩΝ"/>
    <s v="Ιδιωτικού Δικαίου Αορίστου Χρόνου (Ι.Δ.Α.Χ.)"/>
    <s v="Τοποθέτηση σε Ιδιωτική Εκπαίδευση"/>
    <d v="1971-09-24T00:00:00"/>
    <x v="1"/>
    <s v="ΔΙΕΥΘΥΝΣΗ Π.Ε. ΚΕΦΑΛΛΗΝΙΑΣ"/>
    <n v="47.93611111111111"/>
    <s v="46 - 50"/>
  </r>
  <r>
    <n v="9991320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9-23T00:00:00"/>
    <x v="0"/>
    <s v="ΔΙΕΥΘΥΝΣΗ Δ.Ε. Β΄ ΑΘΗΝΑΣ"/>
    <n v="47.93888888888889"/>
    <s v="46 - 50"/>
  </r>
  <r>
    <n v="99913204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21T00:00:00"/>
    <x v="0"/>
    <s v="ΔΙΕΥΘΥΝΣΗ Δ.Ε. Β΄ ΑΘΗΝΑΣ"/>
    <n v="47.944444444444443"/>
    <s v="46 - 50"/>
  </r>
  <r>
    <n v="99913205"/>
    <s v="Α"/>
    <x v="9"/>
    <x v="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19T00:00:00"/>
    <x v="0"/>
    <s v="ΔΙΕΥΘΥΝΣΗ Δ.Ε. ΑΝΑΤΟΛΙΚΗΣ ΑΤΤΙΚΗΣ"/>
    <n v="47.95"/>
    <s v="46 - 50"/>
  </r>
  <r>
    <n v="99913206"/>
    <s v="Θ"/>
    <x v="10"/>
    <x v="10"/>
    <m/>
    <m/>
    <s v="Γ΄"/>
    <n v="1"/>
    <s v="Φ.Ι.Α.6/30223/4-12-2017"/>
    <d v="2017-09-01T00:00:00"/>
    <s v="Α΄ ΑΝΑΤ. ΑΤΤΙΚΗΣ (Δ.Ε.) 2018"/>
    <s v="ΔΙΕΥΘΥΝΣΗ Δ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d v="2017-09-01T00:00:00"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9-17T00:00:00"/>
    <x v="0"/>
    <s v="ΔΙΕΥΘΥΝΣΗ Δ.Ε. ΑΝΑΤΟΛΙΚΗΣ ΑΤΤΙΚΗΣ"/>
    <n v="47.955555555555556"/>
    <s v="46 - 50"/>
  </r>
  <r>
    <n v="99913207"/>
    <s v="Θ"/>
    <x v="3"/>
    <x v="3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9-17T00:00:00"/>
    <x v="0"/>
    <s v="ΔΙΕΥΘΥΝΣΗ Δ.Ε. ΑΝΑΤ. ΘΕΣ/ΝΙΚΗΣ"/>
    <n v="47.955555555555556"/>
    <s v="46 - 50"/>
  </r>
  <r>
    <n v="99913208"/>
    <s v="Θ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7"/>
    <s v="ΟΧΙ"/>
    <s v="ΟΧΙ"/>
    <s v="ΟΧΙ"/>
    <s v="ΟΧΙ"/>
    <s v="ΟΧΙ"/>
    <m/>
    <m/>
    <s v="Ιδιωτικά Σχολεία"/>
    <x v="0"/>
    <s v="2960001"/>
    <s v="ΣΥΓΧΡΟΝΗ ΠΑΙΔΕΙΑ - ΙΔΙΩΤΙΚΟ ΓΥΜΝΑΣ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1-09-11T00:00:00"/>
    <x v="0"/>
    <s v="ΔΙΕΥΘΥΝΣΗ Δ.Ε. ΚΥΚΛΑΔΩΝ"/>
    <n v="47.972222222222221"/>
    <s v="46 - 50"/>
  </r>
  <r>
    <n v="99913209"/>
    <s v="Θ"/>
    <x v="1"/>
    <x v="1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4-10-20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9-10T00:00:00"/>
    <x v="1"/>
    <s v="ΔΙΕΥΘΥΝΣΗ Π.Ε. ΑΝΑΤΟΛΙΚΗΣ ΑΤΤΙΚΗΣ"/>
    <n v="47.975000000000001"/>
    <s v="46 - 50"/>
  </r>
  <r>
    <n v="99913210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03T00:00:00"/>
    <x v="0"/>
    <s v="ΔΙΕΥΘΥΝΣΗ Δ.Ε. ΑΝΑΤΟΛΙΚΗΣ ΑΤΤΙΚΗΣ"/>
    <n v="47.994444444444447"/>
    <s v="46 - 50"/>
  </r>
  <r>
    <n v="99913211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02T00:00:00"/>
    <x v="0"/>
    <s v="ΔΙΕΥΘΥΝΣΗ Δ.Ε. Β΄ ΑΘΗΝΑΣ"/>
    <n v="47.99722222222222"/>
    <s v="46 - 50"/>
  </r>
  <r>
    <n v="99913212"/>
    <s v="Α"/>
    <x v="8"/>
    <x v="8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7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1-09-02T00:00:00"/>
    <x v="0"/>
    <s v="ΔΙΕΥΘΥΝΣΗ Δ.Ε. ΚΟΡΙΝΘΙΑΣ"/>
    <n v="47.99722222222222"/>
    <s v="46 - 50"/>
  </r>
  <r>
    <n v="99913213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9-01T00:00:00"/>
    <x v="0"/>
    <s v="ΔΙΕΥΘΥΝΣΗ Δ.Ε. Β΄ ΑΘΗΝΑΣ"/>
    <n v="48"/>
    <s v="46 - 50"/>
  </r>
  <r>
    <n v="99913214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8-25T00:00:00"/>
    <x v="0"/>
    <s v="ΔΙΕΥΘΥΝΣΗ Δ.Ε. Β΄ ΑΘΗΝΑΣ"/>
    <n v="48.019444444444446"/>
    <s v="46 - 50"/>
  </r>
  <r>
    <n v="99913215"/>
    <s v="Θ"/>
    <x v="1"/>
    <x v="1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8-23T00:00:00"/>
    <x v="1"/>
    <s v="ΔΙΕΥΘΥΝΣΗ Π.Ε. Β΄ ΑΘΗΝΑΣ"/>
    <n v="48.024999999999999"/>
    <s v="46 - 50"/>
  </r>
  <r>
    <n v="99913216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8-19T00:00:00"/>
    <x v="0"/>
    <s v="ΔΙΕΥΘΥΝΣΗ Δ.Ε. Δ΄ ΑΘΗΝΑΣ"/>
    <n v="48.036111111111111"/>
    <s v="46 - 50"/>
  </r>
  <r>
    <n v="99913217"/>
    <s v="Α"/>
    <x v="1"/>
    <x v="1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8-19T00:00:00"/>
    <x v="1"/>
    <s v="ΔΙΕΥΘΥΝΣΗ Π.Ε. ΑΝΑΤ. ΘΕΣ/ΝΙΚΗΣ"/>
    <n v="48.036111111111111"/>
    <s v="46 - 50"/>
  </r>
  <r>
    <n v="99913218"/>
    <s v="Θ"/>
    <x v="3"/>
    <x v="3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4"/>
    <s v="ΟΧΙ"/>
    <s v="ΟΧΙ"/>
    <s v="ΟΧΙ"/>
    <s v="ΟΧΙ"/>
    <s v="ΟΧΙ"/>
    <m/>
    <d v="2004-08-31T00:00:00"/>
    <s v="Ιδιωτικά Σχολεία"/>
    <x v="0"/>
    <s v="4475075"/>
    <s v="ΙΔΙΩΤΙΚΟ ΓΥΜΝΑΣ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8-18T00:00:00"/>
    <x v="0"/>
    <s v="ΔΙΕΥΘΥΝΣΗ Δ.Ε. ΣΕΡΡΩΝ"/>
    <n v="48.038888888888891"/>
    <s v="46 - 50"/>
  </r>
  <r>
    <n v="99913219"/>
    <s v="Α"/>
    <x v="8"/>
    <x v="8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8-06T00:00:00"/>
    <x v="1"/>
    <s v="ΔΙΕΥΘΥΝΣΗ Π.Ε. ΑΝΑΤ. ΘΕΣ/ΝΙΚΗΣ"/>
    <n v="48.072222222222223"/>
    <s v="46 - 50"/>
  </r>
  <r>
    <n v="99913220"/>
    <s v="Α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8-02T00:00:00"/>
    <x v="0"/>
    <s v="ΔΙΕΥΘΥΝΣΗ Δ.Ε. Β΄ ΑΘΗΝΑΣ"/>
    <n v="48.083333333333336"/>
    <s v="46 - 50"/>
  </r>
  <r>
    <n v="99913221"/>
    <s v="Θ"/>
    <x v="11"/>
    <x v="11"/>
    <m/>
    <m/>
    <s v="Γ΄"/>
    <n v="1"/>
    <n v="672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m/>
    <m/>
    <m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7-31T00:00:00"/>
    <x v="0"/>
    <s v="ΔΙΕΥΘΥΝΣΗ Δ.Ε. ΔΥΤ. ΘΕΣ/ΝΙΚΗΣ"/>
    <n v="48.088888888888889"/>
    <s v="46 - 50"/>
  </r>
  <r>
    <n v="99913222"/>
    <s v="Θ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29T00:00:00"/>
    <x v="0"/>
    <s v="ΔΙΕΥΘΥΝΣΗ Δ.Ε. Β΄ ΑΘΗΝΑΣ"/>
    <n v="48.094444444444441"/>
    <s v="46 - 50"/>
  </r>
  <r>
    <n v="99913223"/>
    <s v="Α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7-27T00:00:00"/>
    <x v="1"/>
    <s v="ΔΙΕΥΘΥΝΣΗ Π.Ε. ΑΝΑΤ. ΘΕΣ/ΝΙΚΗΣ"/>
    <n v="48.1"/>
    <s v="46 - 50"/>
  </r>
  <r>
    <n v="99913224"/>
    <s v="Α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25T00:00:00"/>
    <x v="0"/>
    <s v="ΔΙΕΥΘΥΝΣΗ Δ.Ε. ΑΝΑΤΟΛΙΚΗΣ ΑΤΤΙΚΗΣ"/>
    <n v="48.105555555555554"/>
    <s v="46 - 50"/>
  </r>
  <r>
    <n v="99913225"/>
    <s v="Α"/>
    <x v="1"/>
    <x v="1"/>
    <m/>
    <m/>
    <s v="Α΄"/>
    <n v="7"/>
    <n v="1166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d v="2018-09-01T00:00:00"/>
    <s v="Ιδιωτικά Σχολεία"/>
    <x v="1"/>
    <s v="7192002"/>
    <s v="ΙΔΙΩΤΙΚΟ ΔΗΜΟΤΙΚΟ ΠΕΥΚΑ ΘΕΣΣΑΛΟΝΙΚΗΣ - ΕΚΠΑΙΔΕΥΤΗΡΙΑ ΦΡΥΓΑΝΙΩΤ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7-25T00:00:00"/>
    <x v="1"/>
    <s v="ΔΙΕΥΘΥΝΣΗ Π.Ε. ΔΥΤ. ΘΕΣ/ΝΙΚΗΣ"/>
    <n v="48.105555555555554"/>
    <s v="46 - 50"/>
  </r>
  <r>
    <n v="99913226"/>
    <s v="Θ"/>
    <x v="1"/>
    <x v="1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7-23T00:00:00"/>
    <x v="1"/>
    <s v="ΔΙΕΥΘΥΝΣΗ Π.Ε. ΔΥΤ. ΘΕΣ/ΝΙΚΗΣ"/>
    <n v="48.111111111111114"/>
    <s v="46 - 50"/>
  </r>
  <r>
    <n v="99913227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2"/>
    <s v="7521109"/>
    <s v="ΙΔΙΩΤΙΚΟ - ΙΣΟΤΙΜΟ ΝΗΠΙΑΓΩΓΕΙΟ - Γ΄ ΑΡΣΑΚΕΙΟ - ΤΟΣΙΤΣΕΙΟ ΝΗΠΙΑΓΩΓ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7-20T00:00:00"/>
    <x v="1"/>
    <s v="ΔΙΕΥΘΥΝΣΗ Π.Ε. ΑΝΑΤΟΛΙΚΗΣ ΑΤΤΙΚΗΣ"/>
    <n v="48.119444444444447"/>
    <s v="46 - 50"/>
  </r>
  <r>
    <n v="99913228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20T00:00:00"/>
    <x v="1"/>
    <s v="ΔΙΕΥΘΥΝΣΗ Π.Ε. Β΄ ΑΘΗΝΑΣ"/>
    <n v="48.119444444444447"/>
    <s v="46 - 50"/>
  </r>
  <r>
    <n v="99913229"/>
    <s v="Θ"/>
    <x v="2"/>
    <x v="2"/>
    <m/>
    <m/>
    <s v="Α΄"/>
    <n v="1"/>
    <m/>
    <m/>
    <s v="Α΄ ΕΒΡΟΥ (Π.Ε.) 2018"/>
    <s v="ΔΙΕΥΘΥΝΣΗ Π.Ε. ΕΒΡΟΥ"/>
    <s v="ΠΕΡΙΦΕΡΕΙΑΚΗ Δ/ΝΣΗ Α/ΘΜΙΑΣ ΚΑΙ Β/ΘΜΙΑΣ ΕΚΠ/ΣΗΣ ΑΝ. ΜΑΚΕΔΟΝΙΑΣ ΚΑΙ ΘΡΑΚΗΣ"/>
    <n v="25"/>
    <s v="ΟΧΙ"/>
    <s v="ΟΧΙ"/>
    <s v="ΟΧΙ"/>
    <s v="ΟΧΙ"/>
    <s v="ΟΧΙ"/>
    <m/>
    <m/>
    <s v="Ιδιωτικά Σχολεία"/>
    <x v="2"/>
    <s v="7111001"/>
    <s v="ΙΔΙΩΤΙΚΟ ΝΗΠΙΑΓΩΓΕΙΟ ΑΛΕΞΑΝΔΡΟΥΠΟΛΗΣ - ΙΔΙΩΤΙΚΟ ΝΗΠΙΑΓΩΓΕΙΟ ΝΙΑΡΧΕΙΟΥ ΕΚΚΛΗΣΙΑΣΤΙΚΟΥ ΙΔΡΥΜΑΤΟΣ ΒΡΕΦΩΝ ΚΑΙ ΝΗΠΙΩΝ Ο ΑΓΙΟΣ ΣΤΥΛΙΑΝΟΣ"/>
    <s v="Α΄ ΕΒΡΟΥ (Π.Ε.) 2018"/>
    <x v="55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71-07-19T00:00:00"/>
    <x v="1"/>
    <s v="ΔΙΕΥΘΥΝΣΗ Π.Ε. ΕΒΡΟΥ"/>
    <n v="48.12222222222222"/>
    <s v="46 - 50"/>
  </r>
  <r>
    <n v="99913230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19T00:00:00"/>
    <x v="0"/>
    <s v="ΔΙΕΥΘΥΝΣΗ Δ.Ε. Γ΄ ΑΘΗΝΑΣ"/>
    <n v="48.12222222222222"/>
    <s v="46 - 50"/>
  </r>
  <r>
    <n v="99913231"/>
    <s v="Α"/>
    <x v="18"/>
    <x v="1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19T00:00:00"/>
    <x v="0"/>
    <s v="ΔΙΕΥΘΥΝΣΗ Δ.Ε. ΠΕΙΡΑΙΑ"/>
    <n v="48.12222222222222"/>
    <s v="46 - 50"/>
  </r>
  <r>
    <n v="99913232"/>
    <s v="Θ"/>
    <x v="1"/>
    <x v="1"/>
    <m/>
    <m/>
    <s v="Γ΄"/>
    <n v="1"/>
    <s v="66Λ59-8ΩΒ"/>
    <d v="2014-11-24T00:00:00"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d v="2014-11-24T00:00:00"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17T00:00:00"/>
    <x v="1"/>
    <s v="ΔΙΕΥΘΥΝΣΗ Π.Ε. Α΄ ΑΘΗΝΑΣ"/>
    <n v="48.12777777777778"/>
    <s v="46 - 50"/>
  </r>
  <r>
    <n v="99913233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13T00:00:00"/>
    <x v="0"/>
    <s v="ΔΙΕΥΘΥΝΣΗ Δ.Ε. Δ΄ ΑΘΗΝΑΣ"/>
    <n v="48.138888888888886"/>
    <s v="46 - 50"/>
  </r>
  <r>
    <n v="99913234"/>
    <s v="Α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13T00:00:00"/>
    <x v="0"/>
    <s v="ΔΙΕΥΘΥΝΣΗ Δ.Ε. ΠΕΙΡΑΙΑ"/>
    <n v="48.138888888888886"/>
    <s v="46 - 50"/>
  </r>
  <r>
    <n v="99913235"/>
    <s v="Α"/>
    <x v="4"/>
    <x v="4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17"/>
    <s v="ΟΧΙ"/>
    <s v="ΟΧΙ"/>
    <s v="ΟΧΙ"/>
    <s v="ΟΧΙ"/>
    <s v="ΟΧΙ"/>
    <m/>
    <m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07-13T00:00:00"/>
    <x v="0"/>
    <s v="ΔΙΕΥΘΥΝΣΗ Δ.Ε. ΛΑΡΙΣΑΣ"/>
    <n v="48.138888888888886"/>
    <s v="46 - 50"/>
  </r>
  <r>
    <n v="99913236"/>
    <s v="Θ"/>
    <x v="8"/>
    <x v="8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11T00:00:00"/>
    <x v="1"/>
    <s v="ΔΙΕΥΘΥΝΣΗ Π.Ε. Δ΄ ΑΘΗΝΑΣ"/>
    <n v="48.144444444444446"/>
    <s v="46 - 50"/>
  </r>
  <r>
    <n v="99913237"/>
    <s v="Α"/>
    <x v="0"/>
    <x v="0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7-07T00:00:00"/>
    <x v="0"/>
    <s v="ΔΙΕΥΘΥΝΣΗ Δ.Ε. ΑΝΑΤ. ΘΕΣ/ΝΙΚΗΣ"/>
    <n v="48.155555555555559"/>
    <s v="46 - 50"/>
  </r>
  <r>
    <n v="9991323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7-01T00:00:00"/>
    <x v="0"/>
    <s v="ΔΙΕΥΘΥΝΣΗ Δ.Ε. Β΄ ΑΘΗΝΑΣ"/>
    <n v="48.172222222222224"/>
    <s v="46 - 50"/>
  </r>
  <r>
    <n v="99913239"/>
    <s v="Θ"/>
    <x v="1"/>
    <x v="1"/>
    <m/>
    <m/>
    <s v="Α΄"/>
    <n v="11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06-30T00:00:00"/>
    <x v="1"/>
    <s v="ΔΙΕΥΘΥΝΣΗ Π.Ε. ΜΑΓΝΗΣΙΑΣ"/>
    <n v="48.174999999999997"/>
    <s v="46 - 50"/>
  </r>
  <r>
    <n v="99913240"/>
    <s v="Α"/>
    <x v="19"/>
    <x v="19"/>
    <m/>
    <m/>
    <s v="Γ΄"/>
    <n v="1"/>
    <s v="Φ.17/16539/4/24-10-2018"/>
    <d v="2018-09-26T00:00:00"/>
    <s v="ΑΧΑΪΑΣ (Δ.Ε.) 2018"/>
    <s v="ΔΙΕΥΘΥΝΣΗ Δ.Ε. ΑΧΑΪΑΣ"/>
    <s v="ΠΕΡΙΦΕΡΕΙΑΚΗ Δ/ΝΣΗ Α/ΘΜΙΑΣ ΚΑΙ Β/ΘΜΙΑΣ ΕΚΠ/ΣΗΣ ΔΥΤΙΚΗΣ ΕΛΛΑΔΑΣ"/>
    <n v="6"/>
    <s v="ΟΧΙ"/>
    <m/>
    <m/>
    <m/>
    <s v="ΟΧΙ"/>
    <m/>
    <d v="2018-09-26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1-06-28T00:00:00"/>
    <x v="0"/>
    <s v="ΔΙΕΥΘΥΝΣΗ Δ.Ε. ΑΧΑΪΑΣ"/>
    <n v="48.180555555555557"/>
    <s v="46 - 50"/>
  </r>
  <r>
    <n v="99913241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27T00:00:00"/>
    <x v="0"/>
    <s v="ΔΙΕΥΘΥΝΣΗ Δ.Ε. Β΄ ΑΘΗΝΑΣ"/>
    <n v="48.18333333333333"/>
    <s v="46 - 50"/>
  </r>
  <r>
    <n v="99913242"/>
    <s v="Α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1"/>
    <s v="ΟΧΙ"/>
    <s v="ΟΧΙ"/>
    <s v="ΟΧΙ"/>
    <m/>
    <s v="ΟΧΙ"/>
    <m/>
    <m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1-06-26T00:00:00"/>
    <x v="0"/>
    <s v="ΔΙΕΥΘΥΝΣΗ Δ.Ε. ΑΧΑΪΑΣ"/>
    <n v="48.18611111111111"/>
    <s v="46 - 50"/>
  </r>
  <r>
    <n v="99913243"/>
    <s v="Α"/>
    <x v="11"/>
    <x v="11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24T00:00:00"/>
    <x v="0"/>
    <s v="ΔΙΕΥΘΥΝΣΗ Δ.Ε. ΠΕΙΡΑΙΑ"/>
    <n v="48.19166666666667"/>
    <s v="46 - 50"/>
  </r>
  <r>
    <n v="99913244"/>
    <s v="Θ"/>
    <x v="0"/>
    <x v="0"/>
    <m/>
    <m/>
    <s v="Α΄"/>
    <n v="7"/>
    <m/>
    <m/>
    <s v="Α΄ ΠΕΙΡΑΙΑ (Π.Ε.) 2018"/>
    <s v="ΔΙΕΥΘΥΝΣΗ Π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24T00:00:00"/>
    <x v="1"/>
    <s v="ΔΙΕΥΘΥΝΣΗ Π.Ε. ΠΕΙΡΑΙΑ"/>
    <n v="48.19166666666667"/>
    <s v="46 - 50"/>
  </r>
  <r>
    <n v="99913245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6-19T00:00:00"/>
    <x v="0"/>
    <s v="ΔΙΕΥΘΥΝΣΗ Δ.Ε. Β΄ ΑΘΗΝΑΣ"/>
    <n v="48.205555555555556"/>
    <s v="46 - 50"/>
  </r>
  <r>
    <n v="99913246"/>
    <s v="Α"/>
    <x v="9"/>
    <x v="9"/>
    <s v="ΠΕ04.02"/>
    <s v="ΧΗΜΙΚΟΙ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1-06-14T00:00:00"/>
    <x v="0"/>
    <s v="ΔΙΕΥΘΥΝΣΗ Δ.Ε. ΑΝΑΤ. ΘΕΣ/ΝΙΚΗΣ"/>
    <n v="48.219444444444441"/>
    <s v="46 - 50"/>
  </r>
  <r>
    <n v="99913247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12T00:00:00"/>
    <x v="0"/>
    <s v="ΔΙΕΥΘΥΝΣΗ Δ.Ε. Γ΄ ΑΘΗΝΑΣ"/>
    <n v="48.225000000000001"/>
    <s v="46 - 50"/>
  </r>
  <r>
    <n v="9991324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11T00:00:00"/>
    <x v="0"/>
    <s v="ΔΙΕΥΘΥΝΣΗ Δ.Ε. Β΄ ΑΘΗΝΑΣ"/>
    <n v="48.227777777777774"/>
    <s v="46 - 50"/>
  </r>
  <r>
    <n v="99913249"/>
    <s v="Α"/>
    <x v="3"/>
    <x v="3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9"/>
    <s v="ΟΧΙ"/>
    <s v="ΟΧΙ"/>
    <s v="ΟΧΙ"/>
    <s v="ΟΧΙ"/>
    <s v="ΟΧΙ"/>
    <m/>
    <m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1-06-11T00:00:00"/>
    <x v="0"/>
    <s v="ΔΙΕΥΘΥΝΣΗ Δ.Ε. ΑΡΓΟΛΙΔΑΣ"/>
    <n v="48.227777777777774"/>
    <s v="46 - 50"/>
  </r>
  <r>
    <n v="99913250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6-09T00:00:00"/>
    <x v="1"/>
    <s v="ΔΙΕΥΘΥΝΣΗ Π.Ε. ΑΝΑΤΟΛΙΚΗΣ ΑΤΤΙΚΗΣ"/>
    <n v="48.233333333333334"/>
    <s v="46 - 50"/>
  </r>
  <r>
    <n v="99913251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08T00:00:00"/>
    <x v="0"/>
    <s v="ΔΙΕΥΘΥΝΣΗ Δ.Ε. Β΄ ΑΘΗΝΑΣ"/>
    <n v="48.236111111111114"/>
    <s v="46 - 50"/>
  </r>
  <r>
    <n v="99913252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07T00:00:00"/>
    <x v="0"/>
    <s v="ΔΙΕΥΘΥΝΣΗ Δ.Ε. Β΄ ΑΘΗΝΑΣ"/>
    <n v="48.238888888888887"/>
    <s v="46 - 50"/>
  </r>
  <r>
    <n v="99913253"/>
    <s v="Θ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71-06-05T00:00:00"/>
    <x v="0"/>
    <s v="ΔΙΕΥΘΥΝΣΗ Δ.Ε. ΑΧΑΪΑΣ"/>
    <n v="48.244444444444447"/>
    <s v="46 - 50"/>
  </r>
  <r>
    <n v="99913254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03T00:00:00"/>
    <x v="0"/>
    <s v="ΔΙΕΥΘΥΝΣΗ Δ.Ε. Β΄ ΑΘΗΝΑΣ"/>
    <n v="48.25"/>
    <s v="46 - 50"/>
  </r>
  <r>
    <n v="99913255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03T00:00:00"/>
    <x v="0"/>
    <s v="ΔΙΕΥΘΥΝΣΗ Δ.Ε. Β΄ ΑΘΗΝΑΣ"/>
    <n v="48.25"/>
    <s v="46 - 50"/>
  </r>
  <r>
    <n v="99913256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6-01T00:00:00"/>
    <x v="1"/>
    <s v="ΔΙΕΥΘΥΝΣΗ Π.Ε. Β΄ ΑΘΗΝΑΣ"/>
    <n v="48.255555555555553"/>
    <s v="46 - 50"/>
  </r>
  <r>
    <n v="99913257"/>
    <s v="Θ"/>
    <x v="0"/>
    <x v="0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1-05-30T00:00:00"/>
    <x v="1"/>
    <s v="ΔΙΕΥΘΥΝΣΗ Π.Ε. ΑΝΑΤ. ΘΕΣ/ΝΙΚΗΣ"/>
    <n v="48.261111111111113"/>
    <s v="46 - 50"/>
  </r>
  <r>
    <n v="99913258"/>
    <s v="Θ"/>
    <x v="6"/>
    <x v="6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28T00:00:00"/>
    <x v="1"/>
    <s v="ΔΙΕΥΘΥΝΣΗ Π.Ε. Β΄ ΑΘΗΝΑΣ"/>
    <n v="48.266666666666666"/>
    <s v="46 - 50"/>
  </r>
  <r>
    <n v="99913259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23T00:00:00"/>
    <x v="0"/>
    <s v="ΔΙΕΥΘΥΝΣΗ Δ.Ε. Δ΄ ΑΘΗΝΑΣ"/>
    <n v="48.280555555555559"/>
    <s v="46 - 50"/>
  </r>
  <r>
    <n v="99913260"/>
    <s v="Θ"/>
    <x v="2"/>
    <x v="2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23T00:00:00"/>
    <x v="1"/>
    <s v="ΔΙΕΥΘΥΝΣΗ Π.Ε. Δ΄ ΑΘΗΝΑΣ"/>
    <n v="48.280555555555559"/>
    <s v="46 - 50"/>
  </r>
  <r>
    <n v="99913261"/>
    <s v="Θ"/>
    <x v="8"/>
    <x v="8"/>
    <m/>
    <m/>
    <s v="Γ΄"/>
    <n v="1"/>
    <n v="9914"/>
    <d v="2018-11-28T00:00:00"/>
    <s v="Α΄ ΠΕΙΡΑΙΑ (Π.Ε.) 2018"/>
    <s v="ΔΙΕΥΘΥΝΣΗ Π.Ε. ΠΕΙΡΑΙΑ"/>
    <s v="ΠΕΡΙΦΕΡΕΙΑΚΗ Δ/ΝΣΗ Α/ΘΜΙΑΣ ΚΑΙ Β/ΘΜΙΑΣ ΕΚΠ/ΣΗΣ ΑΤΤΙΚΗΣ"/>
    <n v="23"/>
    <s v="ΟΧΙ"/>
    <m/>
    <m/>
    <m/>
    <s v="ΟΧΙ"/>
    <m/>
    <d v="2018-11-28T00:00:00"/>
    <s v="Ιδιωτικά Σχολεία"/>
    <x v="2"/>
    <s v="7541001"/>
    <s v="ΙΔΙΩΤΙΚΟ ΝΗΠΙΑΓΩΓΕΙΟ ΠΕΙΡΑΙΑΣ - ΕΚΠΑΙΔΕΥΤΗΡΙΑ Μ. ΠΕΤΡΑΚΗ-ΒΑΛΣΑΜΙΔ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22T00:00:00"/>
    <x v="1"/>
    <s v="ΔΙΕΥΘΥΝΣΗ Π.Ε. ΠΕΙΡΑΙΑ"/>
    <n v="48.283333333333331"/>
    <s v="46 - 50"/>
  </r>
  <r>
    <n v="99913262"/>
    <s v="Α"/>
    <x v="3"/>
    <x v="3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21T00:00:00"/>
    <x v="0"/>
    <s v="ΔΙΕΥΘΥΝΣΗ Δ.Ε. Δ΄ ΑΘΗΝΑΣ"/>
    <n v="48.286111111111111"/>
    <s v="46 - 50"/>
  </r>
  <r>
    <n v="99913263"/>
    <s v="Θ"/>
    <x v="2"/>
    <x v="2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4091"/>
    <s v="ΣΥΣΤΕΓΑΖΟΜΕΝΟ ΝΗΠΙΑΓΩΓΕΙΟ: &quot;ΣΥΛΛΟΓΟΣ ΓΟΝΕΩΝ &amp; ΚΗΔΕΜΟΝΩΝ ΥΠΑΛΛΗΛΩΝ ΟΑΕΔ ΑΤΤΙΚΗΣ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15T00:00:00"/>
    <x v="1"/>
    <s v="ΔΙΕΥΘΥΝΣΗ Π.Ε. Δ΄ ΑΘΗΝΑΣ"/>
    <n v="48.302777777777777"/>
    <s v="46 - 50"/>
  </r>
  <r>
    <n v="99913264"/>
    <s v="Α"/>
    <x v="4"/>
    <x v="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5-14T00:00:00"/>
    <x v="0"/>
    <s v="ΔΙΕΥΘΥΝΣΗ Δ.Ε. ΑΝΑΤΟΛΙΚΗΣ ΑΤΤΙΚΗΣ"/>
    <n v="48.305555555555557"/>
    <s v="46 - 50"/>
  </r>
  <r>
    <n v="99913265"/>
    <s v="Α"/>
    <x v="3"/>
    <x v="3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5-12T00:00:00"/>
    <x v="0"/>
    <s v="ΔΙΕΥΘΥΝΣΗ Δ.Ε. ΑΝΑΤ. ΘΕΣ/ΝΙΚΗΣ"/>
    <n v="48.31111111111111"/>
    <s v="46 - 50"/>
  </r>
  <r>
    <n v="99913266"/>
    <s v="Θ"/>
    <x v="2"/>
    <x v="2"/>
    <m/>
    <m/>
    <s v="Γ΄"/>
    <n v="5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11"/>
    <s v="ΙΔΙΩΤΙΚΟ ΣΥΣΤΕΓΑΖΟΜΕΝΟ ΝΗΠΙΑΓΩΓΕΙΟ &quot;ΜΕΤΑΜΟΡΦΩΣΗ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05-11T00:00:00"/>
    <x v="1"/>
    <s v="ΔΙΕΥΘΥΝΣΗ Π.Ε. ΜΑΓΝΗΣΙΑΣ"/>
    <n v="48.31388888888889"/>
    <s v="46 - 50"/>
  </r>
  <r>
    <n v="99913267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10T00:00:00"/>
    <x v="0"/>
    <s v="ΔΙΕΥΘΥΝΣΗ Δ.Ε. ΑΝΑΤΟΛΙΚΗΣ ΑΤΤΙΚΗΣ"/>
    <n v="48.31666666666667"/>
    <s v="46 - 50"/>
  </r>
  <r>
    <n v="99913268"/>
    <s v="Α"/>
    <x v="8"/>
    <x v="8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5-10T00:00:00"/>
    <x v="1"/>
    <s v="ΔΙΕΥΘΥΝΣΗ Π.Ε. ΑΝΑΤ. ΘΕΣ/ΝΙΚΗΣ"/>
    <n v="48.31666666666667"/>
    <s v="46 - 50"/>
  </r>
  <r>
    <n v="99913269"/>
    <s v="Α"/>
    <x v="16"/>
    <x v="1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05T00:00:00"/>
    <x v="0"/>
    <s v="ΔΙΕΥΘΥΝΣΗ Δ.Ε. Β΄ ΑΘΗΝΑΣ"/>
    <n v="48.330555555555556"/>
    <s v="46 - 50"/>
  </r>
  <r>
    <n v="99913270"/>
    <s v="Θ"/>
    <x v="4"/>
    <x v="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05T00:00:00"/>
    <x v="0"/>
    <s v="ΔΙΕΥΘΥΝΣΗ Δ.Ε. Δ΄ ΑΘΗΝΑΣ"/>
    <n v="48.330555555555556"/>
    <s v="46 - 50"/>
  </r>
  <r>
    <n v="99913271"/>
    <s v="Α"/>
    <x v="5"/>
    <x v="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m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1-05-04T00:00:00"/>
    <x v="0"/>
    <s v="ΔΙΕΥΘΥΝΣΗ Δ.Ε. ΔΩΔΕΚΑΝΗΣΟΥ"/>
    <n v="48.333333333333336"/>
    <s v="46 - 50"/>
  </r>
  <r>
    <n v="9991327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5-02T00:00:00"/>
    <x v="0"/>
    <s v="ΔΙΕΥΘΥΝΣΗ Δ.Ε. Β΄ ΑΘΗΝΑΣ"/>
    <n v="48.338888888888889"/>
    <s v="46 - 50"/>
  </r>
  <r>
    <n v="99913273"/>
    <s v="Θ"/>
    <x v="3"/>
    <x v="3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10"/>
    <s v="ΟΧΙ"/>
    <s v="ΟΧΙ"/>
    <s v="ΟΧΙ"/>
    <s v="ΟΧΙ"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1-04-27T00:00:00"/>
    <x v="0"/>
    <s v="ΔΙΕΥΘΥΝΣΗ Δ.Ε. ΜΕΣΣΗΝΙΑΣ"/>
    <n v="48.352777777777774"/>
    <s v="46 - 50"/>
  </r>
  <r>
    <n v="99913274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1-04-26T00:00:00"/>
    <x v="0"/>
    <s v="ΔΙΕΥΘΥΝΣΗ Δ.Ε. Β΄ ΑΘΗΝΑΣ"/>
    <n v="48.355555555555554"/>
    <s v="46 - 50"/>
  </r>
  <r>
    <n v="99913275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26T00:00:00"/>
    <x v="0"/>
    <s v="ΔΙΕΥΘΥΝΣΗ Δ.Ε. Γ΄ ΑΘΗΝΑΣ"/>
    <n v="48.355555555555554"/>
    <s v="46 - 50"/>
  </r>
  <r>
    <n v="99913276"/>
    <s v="Θ"/>
    <x v="11"/>
    <x v="11"/>
    <m/>
    <m/>
    <s v="Γ΄"/>
    <n v="1"/>
    <s v="22266/10-11-2017"/>
    <d v="2017-11-10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d v="2017-11-10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1-04-25T00:00:00"/>
    <x v="0"/>
    <s v="ΔΙΕΥΘΥΝΣΗ Δ.Ε. ΛΑΡΙΣΑΣ"/>
    <n v="48.358333333333334"/>
    <s v="46 - 50"/>
  </r>
  <r>
    <n v="99913277"/>
    <s v="Θ"/>
    <x v="0"/>
    <x v="0"/>
    <m/>
    <m/>
    <s v="Α΄"/>
    <n v="10"/>
    <s v="7897/7-12-1999"/>
    <d v="1999-09-01T00:00:00"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9-09-01T00:00:00"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24T00:00:00"/>
    <x v="0"/>
    <s v="ΔΙΕΥΘΥΝΣΗ Δ.Ε. ΑΝΑΤΟΛΙΚΗΣ ΑΤΤΙΚΗΣ"/>
    <n v="48.361111111111114"/>
    <s v="46 - 50"/>
  </r>
  <r>
    <n v="99913278"/>
    <s v="Α"/>
    <x v="19"/>
    <x v="1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19T00:00:00"/>
    <x v="0"/>
    <s v="ΔΙΕΥΘΥΝΣΗ Δ.Ε. Α΄ ΑΘΗΝΑΣ"/>
    <n v="48.375"/>
    <s v="46 - 50"/>
  </r>
  <r>
    <n v="99913279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17T00:00:00"/>
    <x v="0"/>
    <s v="ΔΙΕΥΘΥΝΣΗ Δ.Ε. Γ΄ ΑΘΗΝΑΣ"/>
    <n v="48.380555555555553"/>
    <s v="46 - 50"/>
  </r>
  <r>
    <n v="99913280"/>
    <s v="Α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15T00:00:00"/>
    <x v="0"/>
    <s v="ΔΙΕΥΘΥΝΣΗ Δ.Ε. Β΄ ΑΘΗΝΑΣ"/>
    <n v="48.386111111111113"/>
    <s v="46 - 50"/>
  </r>
  <r>
    <n v="99913281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12T00:00:00"/>
    <x v="0"/>
    <s v="ΔΙΕΥΘΥΝΣΗ Δ.Ε. Γ΄ ΑΘΗΝΑΣ"/>
    <n v="48.394444444444446"/>
    <s v="46 - 50"/>
  </r>
  <r>
    <n v="99913282"/>
    <s v="Θ"/>
    <x v="10"/>
    <x v="1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09T00:00:00"/>
    <x v="0"/>
    <s v="ΔΙΕΥΘΥΝΣΗ Δ.Ε. Γ΄ ΑΘΗΝΑΣ"/>
    <n v="48.402777777777779"/>
    <s v="46 - 50"/>
  </r>
  <r>
    <n v="99913283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4-06T00:00:00"/>
    <x v="0"/>
    <s v="ΔΙΕΥΘΥΝΣΗ Δ.Ε. Β΄ ΑΘΗΝΑΣ"/>
    <n v="48.411111111111111"/>
    <s v="46 - 50"/>
  </r>
  <r>
    <n v="99913284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4-04T00:00:00"/>
    <x v="0"/>
    <s v="ΔΙΕΥΘΥΝΣΗ Δ.Ε. ΠΕΙΡΑΙΑ"/>
    <n v="48.416666666666664"/>
    <s v="46 - 50"/>
  </r>
  <r>
    <n v="99913285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1-03-31T00:00:00"/>
    <x v="0"/>
    <s v="ΔΙΕΥΘΥΝΣΗ Δ.Ε. ΑΝΑΤ. ΘΕΣ/ΝΙΚΗΣ"/>
    <n v="48.427777777777777"/>
    <s v="46 - 50"/>
  </r>
  <r>
    <n v="99913286"/>
    <s v="Α"/>
    <x v="15"/>
    <x v="1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30T00:00:00"/>
    <x v="0"/>
    <s v="ΔΙΕΥΘΥΝΣΗ Δ.Ε. Β΄ ΑΘΗΝΑΣ"/>
    <n v="48.430555555555557"/>
    <s v="46 - 50"/>
  </r>
  <r>
    <n v="99913287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28T00:00:00"/>
    <x v="1"/>
    <s v="ΔΙΕΥΘΥΝΣΗ Π.Ε. Γ΄ ΑΘΗΝΑΣ"/>
    <n v="48.43611111111111"/>
    <s v="46 - 50"/>
  </r>
  <r>
    <n v="99913288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24T00:00:00"/>
    <x v="0"/>
    <s v="ΔΙΕΥΘΥΝΣΗ Δ.Ε. Β΄ ΑΘΗΝΑΣ"/>
    <n v="48.447222222222223"/>
    <s v="46 - 50"/>
  </r>
  <r>
    <n v="99913289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2"/>
    <s v="7052109"/>
    <s v="ΣΥΣΤΕΓΑΖΟΜΕΝΟ ΝΗΠΙΑΓΩΓΕΙΟ Κ.ΚΩΝΣΤΑΝΤΕΛΛΟΣ-Θ.ΓΑΒΡΙΛΙΑΔΗ-Μ.ΣΤΕΦΑΝΟΥ Ο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24T00:00:00"/>
    <x v="1"/>
    <s v="ΔΙΕΥΘΥΝΣΗ Π.Ε. Β΄ ΑΘΗΝΑΣ"/>
    <n v="48.447222222222223"/>
    <s v="46 - 50"/>
  </r>
  <r>
    <n v="99913290"/>
    <s v="Θ"/>
    <x v="18"/>
    <x v="1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21T00:00:00"/>
    <x v="0"/>
    <s v="ΔΙΕΥΘΥΝΣΗ Δ.Ε. Β΄ ΑΘΗΝΑΣ"/>
    <n v="48.455555555555556"/>
    <s v="46 - 50"/>
  </r>
  <r>
    <n v="99913291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21T00:00:00"/>
    <x v="0"/>
    <s v="ΔΙΕΥΘΥΝΣΗ Δ.Ε. ΠΕΙΡΑΙΑ"/>
    <n v="48.455555555555556"/>
    <s v="46 - 50"/>
  </r>
  <r>
    <n v="99913292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20T00:00:00"/>
    <x v="1"/>
    <s v="ΔΙΕΥΘΥΝΣΗ Π.Ε. Β΄ ΑΘΗΝΑΣ"/>
    <n v="48.458333333333336"/>
    <s v="46 - 50"/>
  </r>
  <r>
    <n v="99913293"/>
    <s v="Α"/>
    <x v="16"/>
    <x v="16"/>
    <m/>
    <m/>
    <s v="Β΄"/>
    <n v="4"/>
    <s v="Φ.17/16539/8/24-10-2018"/>
    <d v="2018-09-10T00:00:00"/>
    <s v="ΑΧΑΪΑΣ (Δ.Ε.) 2018"/>
    <s v="ΔΙΕΥΘΥΝΣΗ Δ.Ε. ΑΧΑΪΑΣ"/>
    <s v="ΠΕΡΙΦΕΡΕΙΑΚΗ Δ/ΝΣΗ Α/ΘΜΙΑΣ ΚΑΙ Β/ΘΜΙΑΣ ΕΚΠ/ΣΗΣ ΔΥΤΙΚΗΣ ΕΛΛΑΔΑΣ"/>
    <n v="17"/>
    <s v="ΟΧΙ"/>
    <s v="ΟΧΙ"/>
    <s v="ΟΧΙ"/>
    <s v="ΟΧΙ"/>
    <s v="ΟΧΙ"/>
    <m/>
    <d v="2018-09-10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71-03-20T00:00:00"/>
    <x v="0"/>
    <s v="ΔΙΕΥΘΥΝΣΗ Δ.Ε. ΑΧΑΪΑΣ"/>
    <n v="48.458333333333336"/>
    <s v="46 - 50"/>
  </r>
  <r>
    <n v="99913294"/>
    <s v="Θ"/>
    <x v="9"/>
    <x v="9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5"/>
    <s v="ΟΧΙ"/>
    <s v="ΟΧΙ"/>
    <s v="ΟΧΙ"/>
    <s v="ΟΧΙ"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d v="1971-03-18T00:00:00"/>
    <x v="0"/>
    <s v="ΔΙΕΥΘΥΝΣΗ Δ.Ε. ΧΙΟΥ"/>
    <n v="48.463888888888889"/>
    <s v="46 - 50"/>
  </r>
  <r>
    <n v="99913295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17T00:00:00"/>
    <x v="0"/>
    <s v="ΔΙΕΥΘΥΝΣΗ Δ.Ε. Β΄ ΑΘΗΝΑΣ"/>
    <n v="48.466666666666669"/>
    <s v="46 - 50"/>
  </r>
  <r>
    <n v="99913296"/>
    <s v="Θ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15T00:00:00"/>
    <x v="0"/>
    <s v="ΔΙΕΥΘΥΝΣΗ Δ.Ε. Β΄ ΑΘΗΝΑΣ"/>
    <n v="48.472222222222221"/>
    <s v="46 - 50"/>
  </r>
  <r>
    <n v="99913297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15T00:00:00"/>
    <x v="0"/>
    <s v="ΔΙΕΥΘΥΝΣΗ Δ.Ε. Β΄ ΑΘΗΝΑΣ"/>
    <n v="48.472222222222221"/>
    <s v="46 - 50"/>
  </r>
  <r>
    <n v="99913298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15T00:00:00"/>
    <x v="0"/>
    <s v="ΔΙΕΥΘΥΝΣΗ Δ.Ε. Β΄ ΑΘΗΝΑΣ"/>
    <n v="48.472222222222221"/>
    <s v="46 - 50"/>
  </r>
  <r>
    <n v="99913299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12T00:00:00"/>
    <x v="0"/>
    <s v="ΔΙΕΥΘΥΝΣΗ Δ.Ε. ΑΝΑΤΟΛΙΚΗΣ ΑΤΤΙΚΗΣ"/>
    <n v="48.480555555555554"/>
    <s v="46 - 50"/>
  </r>
  <r>
    <n v="99913300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3-11T00:00:00"/>
    <x v="0"/>
    <s v="ΔΙΕΥΘΥΝΣΗ Δ.Ε. ΠΕΙΡΑΙΑ"/>
    <n v="48.483333333333334"/>
    <s v="46 - 50"/>
  </r>
  <r>
    <n v="99913301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28T00:00:00"/>
    <x v="0"/>
    <s v="ΔΙΕΥΘΥΝΣΗ Δ.Ε. Γ΄ ΑΘΗΝΑΣ"/>
    <n v="48.513888888888886"/>
    <s v="46 - 50"/>
  </r>
  <r>
    <n v="99913302"/>
    <s v="Θ"/>
    <x v="2"/>
    <x v="2"/>
    <s v="ΠΕ70"/>
    <s v="ΔΑΣΚΑΛΟΙ"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28T00:00:00"/>
    <x v="1"/>
    <s v="ΔΙΕΥΘΥΝΣΗ Π.Ε. Β΄ ΑΘΗΝΑΣ"/>
    <n v="48.513888888888886"/>
    <s v="46 - 50"/>
  </r>
  <r>
    <n v="99913303"/>
    <s v="Α"/>
    <x v="3"/>
    <x v="3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1-02-19T00:00:00"/>
    <x v="0"/>
    <s v="ΔΙΕΥΘΥΝΣΗ Δ.Ε. ΑΡΓΟΛΙΔΑΣ"/>
    <n v="48.538888888888891"/>
    <s v="46 - 50"/>
  </r>
  <r>
    <n v="99913304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15T00:00:00"/>
    <x v="1"/>
    <s v="ΔΙΕΥΘΥΝΣΗ Π.Ε. Δ΄ ΑΘΗΝΑΣ"/>
    <n v="48.55"/>
    <s v="46 - 50"/>
  </r>
  <r>
    <n v="99913305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12T00:00:00"/>
    <x v="0"/>
    <s v="ΔΙΕΥΘΥΝΣΗ Δ.Ε. Β΄ ΑΘΗΝΑΣ"/>
    <n v="48.55833333333333"/>
    <s v="46 - 50"/>
  </r>
  <r>
    <n v="99913306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12T00:00:00"/>
    <x v="1"/>
    <s v="ΔΙΕΥΘΥΝΣΗ Π.Ε. Β΄ ΑΘΗΝΑΣ"/>
    <n v="48.55833333333333"/>
    <s v="46 - 50"/>
  </r>
  <r>
    <n v="99913307"/>
    <s v="Θ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2-10T00:00:00"/>
    <x v="0"/>
    <s v="ΔΙΕΥΘΥΝΣΗ Δ.Ε. Β΄ ΑΘΗΝΑΣ"/>
    <n v="48.56388888888889"/>
    <s v="46 - 50"/>
  </r>
  <r>
    <n v="99913308"/>
    <s v="Α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10T00:00:00"/>
    <x v="0"/>
    <s v="ΔΙΕΥΘΥΝΣΗ Δ.Ε. ΠΕΙΡΑΙΑ"/>
    <n v="48.56388888888889"/>
    <s v="46 - 50"/>
  </r>
  <r>
    <n v="99913309"/>
    <s v="Α"/>
    <x v="3"/>
    <x v="3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02-10T00:00:00"/>
    <x v="0"/>
    <s v="ΔΙΕΥΘΥΝΣΗ Δ.Ε. ΤΡΙΚΑΛΩΝ"/>
    <n v="48.56388888888889"/>
    <s v="46 - 50"/>
  </r>
  <r>
    <n v="9991331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06T00:00:00"/>
    <x v="0"/>
    <s v="ΔΙΕΥΘΥΝΣΗ Δ.Ε. Δ΄ ΑΘΗΝΑΣ"/>
    <n v="48.575000000000003"/>
    <s v="46 - 50"/>
  </r>
  <r>
    <n v="99913311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02T00:00:00"/>
    <x v="1"/>
    <s v="ΔΙΕΥΘΥΝΣΗ Π.Ε. Α΄ ΑΘΗΝΑΣ"/>
    <n v="48.586111111111109"/>
    <s v="46 - 50"/>
  </r>
  <r>
    <n v="99913312"/>
    <s v="Α"/>
    <x v="8"/>
    <x v="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1"/>
    <s v="7052036"/>
    <s v="ΙΔΙΩΤΙΚΟ ΔΗΜΟΤΙΚ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2-02T00:00:00"/>
    <x v="1"/>
    <s v="ΔΙΕΥΘΥΝΣΗ Π.Ε. Β΄ ΑΘΗΝΑΣ"/>
    <n v="48.586111111111109"/>
    <s v="46 - 50"/>
  </r>
  <r>
    <n v="99913313"/>
    <s v="Θ"/>
    <x v="1"/>
    <x v="1"/>
    <m/>
    <m/>
    <s v="Γ΄"/>
    <n v="1"/>
    <n v="92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1-30T00:00:00"/>
    <x v="1"/>
    <s v="ΔΙΕΥΘΥΝΣΗ Π.Ε. Δ΄ ΑΘΗΝΑΣ"/>
    <n v="48.594444444444441"/>
    <s v="46 - 50"/>
  </r>
  <r>
    <n v="99913314"/>
    <s v="Θ"/>
    <x v="0"/>
    <x v="0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29T00:00:00"/>
    <x v="1"/>
    <s v="ΔΙΕΥΘΥΝΣΗ Π.Ε. Δ΄ ΑΘΗΝΑΣ"/>
    <n v="48.597222222222221"/>
    <s v="46 - 50"/>
  </r>
  <r>
    <n v="99913315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20T00:00:00"/>
    <x v="0"/>
    <s v="ΔΙΕΥΘΥΝΣΗ Δ.Ε. ΑΝΑΤΟΛΙΚΗΣ ΑΤΤΙΚΗΣ"/>
    <n v="48.62222222222222"/>
    <s v="46 - 50"/>
  </r>
  <r>
    <n v="99913316"/>
    <s v="Θ"/>
    <x v="1"/>
    <x v="1"/>
    <m/>
    <m/>
    <s v="Γ΄"/>
    <n v="1"/>
    <n v="15199"/>
    <d v="2018-09-01T00:00:00"/>
    <s v="Α΄ ΠΕΙΡΑΙΑ (Π.Ε.) 2018"/>
    <s v="ΔΙΕΥΘΥΝΣΗ Π.Ε. ΠΕΙΡΑΙΑ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19T00:00:00"/>
    <x v="1"/>
    <s v="ΔΙΕΥΘΥΝΣΗ Π.Ε. ΠΕΙΡΑΙΑ"/>
    <n v="48.625"/>
    <s v="46 - 50"/>
  </r>
  <r>
    <n v="99913317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1-01-16T00:00:00"/>
    <x v="0"/>
    <s v="ΔΙΕΥΘΥΝΣΗ Δ.Ε. ΑΝΑΤ. ΘΕΣ/ΝΙΚΗΣ"/>
    <n v="48.633333333333333"/>
    <s v="46 - 50"/>
  </r>
  <r>
    <n v="99913318"/>
    <s v="Θ"/>
    <x v="19"/>
    <x v="19"/>
    <m/>
    <m/>
    <s v="Γ΄"/>
    <n v="1"/>
    <n v="6569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9"/>
    <s v="ΟΧΙ"/>
    <m/>
    <m/>
    <m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1-15T00:00:00"/>
    <x v="0"/>
    <s v="ΔΙΕΥΘΥΝΣΗ Δ.Ε. ΔΥΤ. ΘΕΣ/ΝΙΚΗΣ"/>
    <n v="48.636111111111113"/>
    <s v="46 - 50"/>
  </r>
  <r>
    <n v="99913319"/>
    <s v="Θ"/>
    <x v="3"/>
    <x v="3"/>
    <m/>
    <m/>
    <s v="Α΄"/>
    <n v="7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01-09-03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13T00:00:00"/>
    <x v="0"/>
    <s v="ΔΙΕΥΘΥΝΣΗ Δ.Ε. Α΄ ΑΘΗΝΑΣ"/>
    <n v="48.641666666666666"/>
    <s v="46 - 50"/>
  </r>
  <r>
    <n v="99913320"/>
    <s v="Α"/>
    <x v="3"/>
    <x v="3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1-11T00:00:00"/>
    <x v="0"/>
    <s v="ΔΙΕΥΘΥΝΣΗ Δ.Ε. ΑΝΑΤ. ΘΕΣ/ΝΙΚΗΣ"/>
    <n v="48.647222222222226"/>
    <s v="46 - 50"/>
  </r>
  <r>
    <n v="99913321"/>
    <s v="Θ"/>
    <x v="2"/>
    <x v="2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01-08T00:00:00"/>
    <x v="1"/>
    <s v="ΔΙΕΥΘΥΝΣΗ Π.Ε. ΛΑΡΙΣΑΣ"/>
    <n v="48.655555555555559"/>
    <s v="46 - 50"/>
  </r>
  <r>
    <n v="99913322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6T00:00:00"/>
    <x v="0"/>
    <s v="ΔΙΕΥΘΥΝΣΗ Δ.Ε. Γ΄ ΑΘΗΝΑΣ"/>
    <n v="48.661111111111111"/>
    <s v="46 - 50"/>
  </r>
  <r>
    <n v="99913323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6T00:00:00"/>
    <x v="0"/>
    <s v="ΔΙΕΥΘΥΝΣΗ Δ.Ε. Δ΄ ΑΘΗΝΑΣ"/>
    <n v="48.661111111111111"/>
    <s v="46 - 50"/>
  </r>
  <r>
    <n v="99913324"/>
    <s v="Α"/>
    <x v="10"/>
    <x v="10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5T00:00:00"/>
    <x v="1"/>
    <s v="ΔΙΕΥΘΥΝΣΗ Π.Ε. ΑΝΑΤΟΛΙΚΗΣ ΑΤΤΙΚΗΣ"/>
    <n v="48.663888888888891"/>
    <s v="46 - 50"/>
  </r>
  <r>
    <n v="99913325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4T00:00:00"/>
    <x v="0"/>
    <s v="ΔΙΕΥΘΥΝΣΗ Δ.Ε. ΑΝΑΤΟΛΙΚΗΣ ΑΤΤΙΚΗΣ"/>
    <n v="48.666666666666664"/>
    <s v="46 - 50"/>
  </r>
  <r>
    <n v="99913326"/>
    <s v="Θ"/>
    <x v="2"/>
    <x v="2"/>
    <m/>
    <m/>
    <s v="Γ΄"/>
    <n v="1"/>
    <s v="Φ.17.2/449/7881/01-09-14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d v="2018-09-01T00:00:00"/>
    <s v="Ιδιωτικά Σχολεία"/>
    <x v="2"/>
    <s v="7052007"/>
    <s v="ΙΔΙΩΤΙΚΟ ΣΥΣΤΕΓΑΖΟΜΕΝΟ ΝΗΠΙΑΓΩΓΕΙΟ ΧΑΛΑΝΔΡΙ -  Μ. ΣΑΜΕΛΛΑ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1-03T00:00:00"/>
    <x v="1"/>
    <s v="ΔΙΕΥΘΥΝΣΗ Π.Ε. Β΄ ΑΘΗΝΑΣ"/>
    <n v="48.669444444444444"/>
    <s v="46 - 50"/>
  </r>
  <r>
    <n v="99913327"/>
    <s v="Α"/>
    <x v="5"/>
    <x v="5"/>
    <m/>
    <m/>
    <s v="Γ΄"/>
    <n v="1"/>
    <n v="22913"/>
    <d v="2018-09-01T00:00:00"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3"/>
    <s v="0561014"/>
    <s v="ΙΔΙΩΤΙΚΟ ΛΥΚΕΙΟ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1-01T00:00:00"/>
    <x v="0"/>
    <s v="ΔΙΕΥΘΥΝΣΗ Δ.Ε. Β΄ ΑΘΗΝΑΣ"/>
    <n v="48.674999999999997"/>
    <s v="46 - 50"/>
  </r>
  <r>
    <n v="99913328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0"/>
    <s v="ΔΙΕΥΘΥΝΣΗ Δ.Ε. Β΄ ΑΘΗΝΑΣ"/>
    <n v="48.674999999999997"/>
    <s v="46 - 50"/>
  </r>
  <r>
    <n v="99913329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0"/>
    <s v="ΔΙΕΥΘΥΝΣΗ Δ.Ε. Β΄ ΑΘΗΝΑΣ"/>
    <n v="48.674999999999997"/>
    <s v="46 - 50"/>
  </r>
  <r>
    <n v="99913330"/>
    <s v="Θ"/>
    <x v="3"/>
    <x v="3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0"/>
    <s v="ΔΙΕΥΘΥΝΣΗ Δ.Ε. Δ΄ ΑΘΗΝΑΣ"/>
    <n v="48.674999999999997"/>
    <s v="46 - 50"/>
  </r>
  <r>
    <n v="99913331"/>
    <s v="Α"/>
    <x v="6"/>
    <x v="6"/>
    <m/>
    <m/>
    <s v="Γ΄"/>
    <n v="1"/>
    <n v="7780"/>
    <d v="2018-09-01T00:00:00"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d v="2018-09-01T00:00:00"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0"/>
    <s v="ΔΙΕΥΘΥΝΣΗ Δ.Ε. ΠΕΙΡΑΙΑ"/>
    <n v="48.674999999999997"/>
    <s v="46 - 50"/>
  </r>
  <r>
    <n v="99913332"/>
    <s v="Θ"/>
    <x v="19"/>
    <x v="19"/>
    <m/>
    <m/>
    <s v="Γ΄"/>
    <n v="1"/>
    <n v="20135"/>
    <d v="2017-10-12T00:00:00"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s v="ΟΧΙ"/>
    <s v="ΟΧΙ"/>
    <m/>
    <d v="2017-10-12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1-01T00:00:00"/>
    <x v="0"/>
    <s v="ΔΙΕΥΘΥΝΣΗ Δ.Ε. ΠΕΙΡΑΙΑ"/>
    <n v="48.674999999999997"/>
    <s v="46 - 50"/>
  </r>
  <r>
    <n v="99913333"/>
    <s v="Θ"/>
    <x v="3"/>
    <x v="3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1-01-01T00:00:00"/>
    <x v="0"/>
    <s v="ΔΙΕΥΘΥΝΣΗ Δ.Ε. ΠΕΙΡΑΙΑ"/>
    <n v="48.674999999999997"/>
    <s v="46 - 50"/>
  </r>
  <r>
    <n v="99913334"/>
    <s v="Θ"/>
    <x v="18"/>
    <x v="18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1"/>
    <s v="ΔΙΕΥΘΥΝΣΗ Π.Ε. Α΄ ΑΘΗΝΑΣ"/>
    <n v="48.674999999999997"/>
    <s v="46 - 50"/>
  </r>
  <r>
    <n v="99913335"/>
    <s v="Θ"/>
    <x v="0"/>
    <x v="0"/>
    <m/>
    <m/>
    <s v="Γ΄"/>
    <n v="1"/>
    <n v="2716"/>
    <d v="2018-09-01T00:00:00"/>
    <s v="Β΄ ΑΘΗΝΑΣ (Π.Ε.) 2018"/>
    <s v="ΔΙΕΥΘΥΝΣΗ Π.Ε. Β΄ ΑΘΗΝΑΣ"/>
    <s v="ΠΕΡΙΦΕΡΕΙΑΚΗ Δ/ΝΣΗ Α/ΘΜΙΑΣ ΚΑΙ Β/ΘΜΙΑΣ ΕΚΠ/ΣΗΣ ΑΤΤΙΚΗΣ"/>
    <n v="19"/>
    <s v="ΟΧΙ"/>
    <s v="ΟΧΙ"/>
    <s v="ΟΧΙ"/>
    <s v="ΟΧΙ"/>
    <s v="ΟΧΙ"/>
    <m/>
    <d v="2018-09-01T00:00:00"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1"/>
    <s v="ΔΙΕΥΘΥΝΣΗ Π.Ε. Β΄ ΑΘΗΝΑΣ"/>
    <n v="48.674999999999997"/>
    <s v="46 - 50"/>
  </r>
  <r>
    <n v="99913336"/>
    <s v="Θ"/>
    <x v="18"/>
    <x v="18"/>
    <m/>
    <m/>
    <s v="Γ΄"/>
    <n v="1"/>
    <n v="360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1-01-01T00:00:00"/>
    <x v="1"/>
    <s v="ΔΙΕΥΘΥΝΣΗ Π.Ε. Δ΄ ΑΘΗΝΑΣ"/>
    <n v="48.674999999999997"/>
    <s v="46 - 50"/>
  </r>
  <r>
    <n v="99913337"/>
    <s v="Θ"/>
    <x v="6"/>
    <x v="6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1-01-01T00:00:00"/>
    <x v="0"/>
    <s v="ΔΙΕΥΘΥΝΣΗ Δ.Ε. ΤΡΙΚΑΛΩΝ"/>
    <n v="48.674999999999997"/>
    <s v="46 - 50"/>
  </r>
  <r>
    <n v="99913338"/>
    <s v="Θ"/>
    <x v="0"/>
    <x v="0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1-01T00:00:00"/>
    <x v="0"/>
    <s v="ΔΙΕΥΘΥΝΣΗ Δ.Ε. ΑΝΑΤ. ΘΕΣ/ΝΙΚΗΣ"/>
    <n v="48.674999999999997"/>
    <s v="46 - 50"/>
  </r>
  <r>
    <n v="99913339"/>
    <s v="Θ"/>
    <x v="3"/>
    <x v="3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1-01T00:00:00"/>
    <x v="0"/>
    <s v="ΔΙΕΥΘΥΝΣΗ Δ.Ε. ΑΝΑΤ. ΘΕΣ/ΝΙΚΗΣ"/>
    <n v="48.674999999999997"/>
    <s v="46 - 50"/>
  </r>
  <r>
    <n v="99913340"/>
    <s v="Θ"/>
    <x v="3"/>
    <x v="3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1-01T00:00:00"/>
    <x v="0"/>
    <s v="ΔΙΕΥΘΥΝΣΗ Δ.Ε. ΔΥΤ. ΘΕΣ/ΝΙΚΗΣ"/>
    <n v="48.674999999999997"/>
    <s v="46 - 50"/>
  </r>
  <r>
    <n v="99913341"/>
    <s v="Θ"/>
    <x v="3"/>
    <x v="3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1-01-01T00:00:00"/>
    <x v="0"/>
    <s v="ΔΙΕΥΘΥΝΣΗ Δ.Ε. ΠΙΕΡΙΑΣ"/>
    <n v="48.674999999999997"/>
    <s v="46 - 50"/>
  </r>
  <r>
    <n v="99913342"/>
    <s v="Θ"/>
    <x v="3"/>
    <x v="3"/>
    <m/>
    <m/>
    <s v="Α΄"/>
    <n v="1"/>
    <s v="Ω81Β465ΦΘ3-Δ7Ε"/>
    <d v="2015-09-29T00:00:00"/>
    <s v="ΧΑΝΙΩΝ (Δ.Ε.) 2018"/>
    <s v="ΔΙΕΥΘΥΝΣΗ Δ.Ε. ΧΑΝΙΩΝ"/>
    <s v="ΠΕΡΙΦΕΡΕΙΑΚΗ Δ/ΝΣΗ Α/ΘΜΙΑΣ ΚΑΙ Β/ΘΜΙΑΣ ΕΚΠ/ΣΗΣ ΚΡΗΤΗΣ"/>
    <n v="20"/>
    <s v="ΟΧΙ"/>
    <s v="ΟΧΙ"/>
    <s v="ΟΧΙ"/>
    <s v="ΟΧΙ"/>
    <s v="ΟΧΙ"/>
    <m/>
    <d v="2015-09-29T00:00:00"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1-01-01T00:00:00"/>
    <x v="0"/>
    <s v="ΔΙΕΥΘΥΝΣΗ Δ.Ε. ΧΑΝΙΩΝ"/>
    <n v="48.674999999999997"/>
    <s v="46 - 50"/>
  </r>
  <r>
    <n v="99913343"/>
    <s v="Α"/>
    <x v="8"/>
    <x v="8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6"/>
    <s v="ΟΧΙ"/>
    <s v="ΟΧΙ"/>
    <s v="ΟΧΙ"/>
    <s v="ΟΧΙ"/>
    <s v="ΟΧΙ"/>
    <m/>
    <m/>
    <s v="Ιδιωτικά Σχολεία"/>
    <x v="1"/>
    <s v="7021002"/>
    <s v="ΙΔΙΩΤΙΚΟ ΔΗΜΟΤΙΚΟ ΣΧΟΛΕΙΟ ΑΥΤΕΝΕΡΓΩ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1-01-01T00:00:00"/>
    <x v="1"/>
    <s v="ΔΙΕΥΘΥΝΣΗ Π.Ε. ΑΡΓΟΛΙΔΑΣ"/>
    <n v="48.674999999999997"/>
    <s v="46 - 50"/>
  </r>
  <r>
    <n v="99913344"/>
    <s v="Θ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30T00:00:00"/>
    <x v="0"/>
    <s v="ΔΙΕΥΘΥΝΣΗ Δ.Ε. Β΄ ΑΘΗΝΑΣ"/>
    <n v="48.680555555555557"/>
    <s v="46 - 50"/>
  </r>
  <r>
    <n v="99913345"/>
    <s v="Θ"/>
    <x v="8"/>
    <x v="8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m/>
    <s v="ΟΧΙ"/>
    <m/>
    <s v="ΟΧΙ"/>
    <m/>
    <m/>
    <s v="Ιδιωτικά Σχολεία"/>
    <x v="1"/>
    <s v="7521000"/>
    <s v="ΙΔΙΩΤΙΚΟ ΔΗΜΟΤΙΚΟ ΒΑΡΥΜΠΟΜΠΗ - ΜΟΝΤΕΣΣΟΡΙΑΝΑ ΣΧΟΛΕΙΑ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30T00:00:00"/>
    <x v="1"/>
    <s v="ΔΙΕΥΘΥΝΣΗ Π.Ε. ΑΝΑΤΟΛΙΚΗΣ ΑΤΤΙΚΗΣ"/>
    <n v="48.680555555555557"/>
    <s v="46 - 50"/>
  </r>
  <r>
    <n v="99913346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25T00:00:00"/>
    <x v="0"/>
    <s v="ΔΙΕΥΘΥΝΣΗ Δ.Ε. Γ΄ ΑΘΗΝΑΣ"/>
    <n v="48.694444444444443"/>
    <s v="46 - 50"/>
  </r>
  <r>
    <n v="99913347"/>
    <s v="Θ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12-24T00:00:00"/>
    <x v="0"/>
    <s v="ΔΙΕΥΘΥΝΣΗ Δ.Ε. ΑΝΑΤΟΛΙΚΗΣ ΑΤΤΙΚΗΣ"/>
    <n v="48.697222222222223"/>
    <s v="46 - 50"/>
  </r>
  <r>
    <n v="99913348"/>
    <s v="Θ"/>
    <x v="18"/>
    <x v="18"/>
    <m/>
    <m/>
    <s v="Γ΄"/>
    <n v="1"/>
    <s v="2886/3-10-2017"/>
    <d v="2018-09-01T00:00:00"/>
    <s v="Β΄ ΑΘΗΝΑΣ (Π.Ε.) 2018"/>
    <s v="ΔΙΕΥΘΥΝΣΗ Π.Ε. Β΄ ΑΘΗΝΑΣ"/>
    <s v="ΠΕΡΙΦΕΡΕΙΑΚΗ Δ/ΝΣΗ Α/ΘΜΙΑΣ ΚΑΙ Β/ΘΜΙΑΣ ΕΚΠ/ΣΗΣ ΑΤΤΙΚΗΣ"/>
    <n v="13"/>
    <s v="ΟΧΙ"/>
    <m/>
    <m/>
    <m/>
    <s v="ΟΧΙ"/>
    <m/>
    <d v="2018-09-01T00:00:00"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23T00:00:00"/>
    <x v="1"/>
    <s v="ΔΙΕΥΘΥΝΣΗ Π.Ε. Β΄ ΑΘΗΝΑΣ"/>
    <n v="48.7"/>
    <s v="46 - 50"/>
  </r>
  <r>
    <n v="9991334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12-22T00:00:00"/>
    <x v="0"/>
    <s v="ΔΙΕΥΘΥΝΣΗ Δ.Ε. ΑΝΑΤ. ΘΕΣ/ΝΙΚΗΣ"/>
    <n v="48.702777777777776"/>
    <s v="46 - 50"/>
  </r>
  <r>
    <n v="99913350"/>
    <s v="Θ"/>
    <x v="18"/>
    <x v="18"/>
    <m/>
    <m/>
    <s v="Α΄"/>
    <n v="5"/>
    <m/>
    <m/>
    <s v="Α΄ ΠΕΙΡΑΙΑ (Π.Ε.) 2018"/>
    <s v="ΔΙΕΥΘΥΝΣΗ Π.Ε. ΠΕΙΡΑΙΑ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20T00:00:00"/>
    <x v="1"/>
    <s v="ΔΙΕΥΘΥΝΣΗ Π.Ε. ΠΕΙΡΑΙΑ"/>
    <n v="48.708333333333336"/>
    <s v="46 - 50"/>
  </r>
  <r>
    <n v="99913351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11T00:00:00"/>
    <x v="0"/>
    <s v="ΔΙΕΥΘΥΝΣΗ Δ.Ε. Α΄ ΑΘΗΝΑΣ"/>
    <n v="48.733333333333334"/>
    <s v="46 - 50"/>
  </r>
  <r>
    <n v="99913352"/>
    <s v="Θ"/>
    <x v="18"/>
    <x v="18"/>
    <m/>
    <m/>
    <s v="Α΄"/>
    <n v="8"/>
    <m/>
    <m/>
    <s v="Α΄ ΠΕΙΡΑΙΑ (Π.Ε.) 2018"/>
    <s v="ΔΙΕΥΘΥΝΣΗ Π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10T00:00:00"/>
    <x v="1"/>
    <s v="ΔΙΕΥΘΥΝΣΗ Π.Ε. ΠΕΙΡΑΙΑ"/>
    <n v="48.736111111111114"/>
    <s v="46 - 50"/>
  </r>
  <r>
    <n v="99913353"/>
    <s v="Θ"/>
    <x v="11"/>
    <x v="11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08T00:00:00"/>
    <x v="0"/>
    <s v="ΔΙΕΥΘΥΝΣΗ Δ.Ε. Δ΄ ΑΘΗΝΑΣ"/>
    <n v="48.741666666666667"/>
    <s v="46 - 50"/>
  </r>
  <r>
    <n v="99913354"/>
    <s v="Θ"/>
    <x v="14"/>
    <x v="14"/>
    <s v="ΠΕ04.01"/>
    <s v="ΦΥΣΙΚ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07T00:00:00"/>
    <x v="0"/>
    <s v="ΔΙΕΥΘΥΝΣΗ Δ.Ε. ΑΝΑΤΟΛΙΚΗΣ ΑΤΤΙΚΗΣ"/>
    <n v="48.744444444444447"/>
    <s v="46 - 50"/>
  </r>
  <r>
    <n v="99913355"/>
    <s v="Α"/>
    <x v="19"/>
    <x v="19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12-06T00:00:00"/>
    <x v="0"/>
    <s v="ΔΙΕΥΘΥΝΣΗ Δ.Ε. ΙΩΑΝΝΙΝΩΝ"/>
    <n v="48.74722222222222"/>
    <s v="46 - 50"/>
  </r>
  <r>
    <n v="99913356"/>
    <s v="Θ"/>
    <x v="6"/>
    <x v="6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2-05T00:00:00"/>
    <x v="1"/>
    <s v="ΔΙΕΥΘΥΝΣΗ Π.Ε. ΑΝΑΤΟΛΙΚΗΣ ΑΤΤΙΚΗΣ"/>
    <n v="48.75"/>
    <s v="46 - 50"/>
  </r>
  <r>
    <n v="99913357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23T00:00:00"/>
    <x v="0"/>
    <s v="ΔΙΕΥΘΥΝΣΗ Δ.Ε. ΑΝΑΤΟΛΙΚΗΣ ΑΤΤΙΚΗΣ"/>
    <n v="48.783333333333331"/>
    <s v="46 - 50"/>
  </r>
  <r>
    <n v="99913358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20T00:00:00"/>
    <x v="0"/>
    <s v="ΔΙΕΥΘΥΝΣΗ Δ.Ε. Β΄ ΑΘΗΝΑΣ"/>
    <n v="48.791666666666664"/>
    <s v="46 - 50"/>
  </r>
  <r>
    <n v="99913359"/>
    <s v="Θ"/>
    <x v="1"/>
    <x v="1"/>
    <m/>
    <m/>
    <s v="Α΄"/>
    <n v="9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15T00:00:00"/>
    <x v="1"/>
    <s v="ΔΙΕΥΘΥΝΣΗ Π.Ε. Δ΄ ΑΘΗΝΑΣ"/>
    <n v="48.805555555555557"/>
    <s v="46 - 50"/>
  </r>
  <r>
    <n v="99913360"/>
    <s v="Θ"/>
    <x v="2"/>
    <x v="2"/>
    <m/>
    <m/>
    <s v="Γ΄"/>
    <n v="1"/>
    <s v="4284/18-11-2011"/>
    <d v="2018-09-01T00:00:00"/>
    <s v="ΙΩΑΝΝΙΝΩΝ (Π.Ε.) 2018"/>
    <s v="ΔΙΕΥΘΥΝΣΗ Π.Ε. ΙΩΑΝΝΙΝΩΝ"/>
    <s v="ΠΕΡΙΦΕΡΕΙΑΚΗ Δ/ΝΣΗ Α/ΘΜΙΑΣ ΚΑΙ Β/ΘΜΙΑΣ ΕΚΠ/ΣΗΣ ΗΠΕΙΡΟΥ"/>
    <n v="25"/>
    <s v="ΟΧΙ"/>
    <m/>
    <m/>
    <m/>
    <s v="ΟΧΙ"/>
    <m/>
    <d v="2018-09-01T00:00:00"/>
    <s v="Ιδιωτικά Σχολεία"/>
    <x v="2"/>
    <s v="7201019"/>
    <s v="ΙΔΙΩΤΙΚΟ ΝΗΠΙΑΓΩΓΕΙΟ &quot;ΤΣΙΟΥΚΡΑ Ε. - ΜΗΤΣΗ Β. Ο.Ε.''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11-12T00:00:00"/>
    <x v="1"/>
    <s v="ΔΙΕΥΘΥΝΣΗ Π.Ε. ΙΩΑΝΝΙΝΩΝ"/>
    <n v="48.81388888888889"/>
    <s v="46 - 50"/>
  </r>
  <r>
    <n v="99913361"/>
    <s v="Θ"/>
    <x v="6"/>
    <x v="6"/>
    <m/>
    <m/>
    <s v="Β΄"/>
    <n v="1"/>
    <s v="12854/30-09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5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11-12T00:00:00"/>
    <x v="0"/>
    <s v="ΔΙΕΥΘΥΝΣΗ Δ.Ε. ΔΥΤ. ΘΕΣ/ΝΙΚΗΣ"/>
    <n v="48.81388888888889"/>
    <s v="46 - 50"/>
  </r>
  <r>
    <n v="99913362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09T00:00:00"/>
    <x v="1"/>
    <s v="ΔΙΕΥΘΥΝΣΗ Π.Ε. Β΄ ΑΘΗΝΑΣ"/>
    <n v="48.822222222222223"/>
    <s v="46 - 50"/>
  </r>
  <r>
    <n v="99913363"/>
    <s v="Θ"/>
    <x v="1"/>
    <x v="1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5-11-08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11-08T00:00:00"/>
    <x v="1"/>
    <s v="ΔΙΕΥΘΥΝΣΗ Π.Ε. ΑΝΑΤΟΛΙΚΗΣ ΑΤΤΙΚΗΣ"/>
    <n v="48.825000000000003"/>
    <s v="46 - 50"/>
  </r>
  <r>
    <n v="99913364"/>
    <s v="Α"/>
    <x v="8"/>
    <x v="8"/>
    <m/>
    <m/>
    <s v="Γ΄"/>
    <n v="1"/>
    <s v="Φ.Ι.Α.6/9399/23-3-2017"/>
    <d v="2016-09-01T00:00:00"/>
    <s v="Β΄ ΑΝΑΤ. ΑΤΤΙΚΗΣ (Π.Ε.) 2018"/>
    <s v="ΔΙΕΥΘΥΝΣΗ Π.Ε. ΑΝΑΤΟΛΙΚΗΣ ΑΤΤΙΚΗΣ"/>
    <s v="ΠΕΡΙΦΕΡΕΙΑΚΗ Δ/ΝΣΗ Α/ΘΜΙΑΣ ΚΑΙ Β/ΘΜΙΑΣ ΕΚΠ/ΣΗΣ ΑΤΤΙΚΗΣ"/>
    <n v="11"/>
    <s v="ΟΧΙ"/>
    <s v="ΟΧΙ"/>
    <s v="ΟΧΙ"/>
    <s v="ΟΧΙ"/>
    <s v="ΟΧΙ"/>
    <m/>
    <d v="2016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08T00:00:00"/>
    <x v="1"/>
    <s v="ΔΙΕΥΘΥΝΣΗ Π.Ε. ΑΝΑΤΟΛΙΚΗΣ ΑΤΤΙΚΗΣ"/>
    <n v="48.825000000000003"/>
    <s v="46 - 50"/>
  </r>
  <r>
    <n v="99913365"/>
    <s v="Α"/>
    <x v="1"/>
    <x v="1"/>
    <m/>
    <m/>
    <s v="Α΄"/>
    <n v="12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08T00:00:00"/>
    <x v="1"/>
    <s v="ΔΙΕΥΘΥΝΣΗ Π.Ε. Δ΄ ΑΘΗΝΑΣ"/>
    <n v="48.825000000000003"/>
    <s v="46 - 50"/>
  </r>
  <r>
    <n v="99913366"/>
    <s v="Α"/>
    <x v="3"/>
    <x v="3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11-07T00:00:00"/>
    <x v="0"/>
    <s v="ΔΙΕΥΘΥΝΣΗ Δ.Ε. ΙΩΑΝΝΙΝΩΝ"/>
    <n v="48.827777777777776"/>
    <s v="46 - 50"/>
  </r>
  <r>
    <n v="99913367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1-02T00:00:00"/>
    <x v="0"/>
    <s v="ΔΙΕΥΘΥΝΣΗ Δ.Ε. Β΄ ΑΘΗΝΑΣ"/>
    <n v="48.841666666666669"/>
    <s v="46 - 50"/>
  </r>
  <r>
    <n v="99913368"/>
    <s v="Θ"/>
    <x v="8"/>
    <x v="8"/>
    <m/>
    <m/>
    <s v="Γ΄"/>
    <n v="1"/>
    <d v="2004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11-02T00:00:00"/>
    <x v="1"/>
    <s v="ΔΙΕΥΘΥΝΣΗ Π.Ε. ΑΝΑΤ. ΘΕΣ/ΝΙΚΗΣ"/>
    <n v="48.841666666666669"/>
    <s v="46 - 50"/>
  </r>
  <r>
    <n v="99913369"/>
    <s v="Θ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1"/>
    <s v="7191016"/>
    <s v="ΙΔΙΩΤΙΚΟ ΔΗΜΟΤΙΚΟ ΘΕΣΣΑΛΟΝΙΚΗ - ΙΔ. ΔΗΜΟΤΙΚΟ ΣΧΟΛΕΙΟ ΙΚΘ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10-31T00:00:00"/>
    <x v="1"/>
    <s v="ΔΙΕΥΘΥΝΣΗ Π.Ε. ΑΝΑΤ. ΘΕΣ/ΝΙΚΗΣ"/>
    <n v="48.847222222222221"/>
    <s v="46 - 50"/>
  </r>
  <r>
    <n v="99913370"/>
    <s v="Θ"/>
    <x v="1"/>
    <x v="1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1"/>
    <s v="ΟΧΙ"/>
    <s v="ΟΧΙ"/>
    <s v="ΟΧΙ"/>
    <m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0-10-30T00:00:00"/>
    <x v="1"/>
    <s v="ΔΙΕΥΘΥΝΣΗ Π.Ε. ΚΥΚΛΑΔΩΝ"/>
    <n v="48.85"/>
    <s v="46 - 50"/>
  </r>
  <r>
    <n v="9991337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28T00:00:00"/>
    <x v="0"/>
    <s v="ΔΙΕΥΘΥΝΣΗ Δ.Ε. Β΄ ΑΘΗΝΑΣ"/>
    <n v="48.855555555555554"/>
    <s v="46 - 50"/>
  </r>
  <r>
    <n v="99913372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24T00:00:00"/>
    <x v="1"/>
    <s v="ΔΙΕΥΘΥΝΣΗ Π.Ε. Β΄ ΑΘΗΝΑΣ"/>
    <n v="48.866666666666667"/>
    <s v="46 - 50"/>
  </r>
  <r>
    <n v="99913373"/>
    <s v="Θ"/>
    <x v="1"/>
    <x v="1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10-24T00:00:00"/>
    <x v="1"/>
    <s v="ΔΙΕΥΘΥΝΣΗ Π.Ε. ΔΥΤ. ΘΕΣ/ΝΙΚΗΣ"/>
    <n v="48.866666666666667"/>
    <s v="46 - 50"/>
  </r>
  <r>
    <n v="99913374"/>
    <s v="Θ"/>
    <x v="6"/>
    <x v="6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10-22T00:00:00"/>
    <x v="1"/>
    <s v="ΔΙΕΥΘΥΝΣΗ Π.Ε. ΜΑΓΝΗΣΙΑΣ"/>
    <n v="48.87222222222222"/>
    <s v="46 - 50"/>
  </r>
  <r>
    <n v="99913375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0-10-22T00:00:00"/>
    <x v="0"/>
    <s v="ΔΙΕΥΘΥΝΣΗ Δ.Ε. ΑΝΑΤ. ΘΕΣ/ΝΙΚΗΣ"/>
    <n v="48.87222222222222"/>
    <s v="46 - 50"/>
  </r>
  <r>
    <n v="99913376"/>
    <s v="Θ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20T00:00:00"/>
    <x v="0"/>
    <s v="ΔΙΕΥΘΥΝΣΗ Δ.Ε. Β΄ ΑΘΗΝΑΣ"/>
    <n v="48.87777777777778"/>
    <s v="46 - 50"/>
  </r>
  <r>
    <n v="99913377"/>
    <s v="Θ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18T00:00:00"/>
    <x v="0"/>
    <s v="ΔΙΕΥΘΥΝΣΗ Δ.Ε. Β΄ ΑΘΗΝΑΣ"/>
    <n v="48.883333333333333"/>
    <s v="46 - 50"/>
  </r>
  <r>
    <n v="99913378"/>
    <s v="Θ"/>
    <x v="20"/>
    <x v="2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17T00:00:00"/>
    <x v="0"/>
    <s v="ΔΙΕΥΘΥΝΣΗ Δ.Ε. Β΄ ΑΘΗΝΑΣ"/>
    <n v="48.886111111111113"/>
    <s v="46 - 50"/>
  </r>
  <r>
    <n v="99913379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15T00:00:00"/>
    <x v="0"/>
    <s v="ΔΙΕΥΘΥΝΣΗ Δ.Ε. Δ΄ ΑΘΗΝΑΣ"/>
    <n v="48.891666666666666"/>
    <s v="46 - 50"/>
  </r>
  <r>
    <n v="99913380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14T00:00:00"/>
    <x v="1"/>
    <s v="ΔΙΕΥΘΥΝΣΗ Π.Ε. ΠΕΙΡΑΙΑ"/>
    <n v="48.894444444444446"/>
    <s v="46 - 50"/>
  </r>
  <r>
    <n v="99913381"/>
    <s v="Θ"/>
    <x v="8"/>
    <x v="8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9"/>
    <s v="ΟΧΙ"/>
    <s v="ΟΧΙ"/>
    <s v="ΟΧΙ"/>
    <s v="ΟΧΙ"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70-10-13T00:00:00"/>
    <x v="1"/>
    <s v="ΔΙΕΥΘΥΝΣΗ Π.Ε. ΔΩΔΕΚΑΝΗΣΟΥ"/>
    <n v="48.897222222222226"/>
    <s v="46 - 50"/>
  </r>
  <r>
    <n v="99913382"/>
    <s v="Θ"/>
    <x v="8"/>
    <x v="8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10-11T00:00:00"/>
    <x v="1"/>
    <s v="ΔΙΕΥΘΥΝΣΗ Π.Ε. Β΄ ΑΘΗΝΑΣ"/>
    <n v="48.902777777777779"/>
    <s v="46 - 50"/>
  </r>
  <r>
    <n v="99913383"/>
    <s v="Θ"/>
    <x v="8"/>
    <x v="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10T00:00:00"/>
    <x v="0"/>
    <s v="ΔΙΕΥΘΥΝΣΗ Δ.Ε. Δ΄ ΑΘΗΝΑΣ"/>
    <n v="48.905555555555559"/>
    <s v="46 - 50"/>
  </r>
  <r>
    <n v="99913384"/>
    <s v="Α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10T00:00:00"/>
    <x v="0"/>
    <s v="ΔΙΕΥΘΥΝΣΗ Δ.Ε. ΠΕΙΡΑΙΑ"/>
    <n v="48.905555555555559"/>
    <s v="46 - 50"/>
  </r>
  <r>
    <n v="99913385"/>
    <s v="Θ"/>
    <x v="2"/>
    <x v="2"/>
    <m/>
    <m/>
    <s v="Α΄"/>
    <n v="1"/>
    <m/>
    <m/>
    <s v="ΛΑΚΩΝΙΑΣ (Π.Ε.) 2018"/>
    <s v="ΔΙΕΥΘΥΝΣΗ Π.Ε. ΛΑΚΩΝΙΑΣ"/>
    <s v="ΠΕΡΙΦΕΡΕΙΑΚΗ Δ/ΝΣΗ Α/ΘΜΙΑΣ ΚΑΙ Β/ΘΜΙΑΣ ΕΚΠ/ΣΗΣ ΠΕΛΟΠΟΝΝΗΣΟΥ"/>
    <n v="25"/>
    <s v="ΟΧΙ"/>
    <s v="ΟΧΙ"/>
    <s v="ΟΧΙ"/>
    <m/>
    <s v="ΟΧΙ"/>
    <m/>
    <m/>
    <s v="Ιδιωτικά Σχολεία"/>
    <x v="2"/>
    <s v="7301005"/>
    <s v="ΙΔΙΩΤΙΚΟ ΝΗΠΙΑΓΩΓΕΙΟ ΣΠΑΡΤΗ - ΠΑΙΔΙΚΟ ΕΡΓΑΣΤΗΡΙ"/>
    <s v="ΛΑΚΩΝΙΑΣ (Π.Ε.) 2018"/>
    <x v="5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0-10-09T00:00:00"/>
    <x v="1"/>
    <s v="ΔΙΕΥΘΥΝΣΗ Π.Ε. ΛΑΚΩΝΙΑΣ"/>
    <n v="48.908333333333331"/>
    <s v="46 - 50"/>
  </r>
  <r>
    <n v="99913386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07T00:00:00"/>
    <x v="0"/>
    <s v="ΔΙΕΥΘΥΝΣΗ Δ.Ε. ΑΝΑΤΟΛΙΚΗΣ ΑΤΤΙΚΗΣ"/>
    <n v="48.913888888888891"/>
    <s v="46 - 50"/>
  </r>
  <r>
    <n v="99913387"/>
    <s v="Θ"/>
    <x v="0"/>
    <x v="0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07T00:00:00"/>
    <x v="1"/>
    <s v="ΔΙΕΥΘΥΝΣΗ Π.Ε. ΠΕΙΡΑΙΑ"/>
    <n v="48.913888888888891"/>
    <s v="46 - 50"/>
  </r>
  <r>
    <n v="99913388"/>
    <s v="Θ"/>
    <x v="0"/>
    <x v="0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06T00:00:00"/>
    <x v="1"/>
    <s v="ΔΙΕΥΘΥΝΣΗ Π.Ε. Α΄ ΑΘΗΝΑΣ"/>
    <n v="48.916666666666664"/>
    <s v="46 - 50"/>
  </r>
  <r>
    <n v="99913389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03T00:00:00"/>
    <x v="0"/>
    <s v="ΔΙΕΥΘΥΝΣΗ Δ.Ε. ΑΝΑΤΟΛΙΚΗΣ ΑΤΤΙΚΗΣ"/>
    <n v="48.924999999999997"/>
    <s v="46 - 50"/>
  </r>
  <r>
    <n v="99913390"/>
    <s v="Α"/>
    <x v="14"/>
    <x v="14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10-03T00:00:00"/>
    <x v="1"/>
    <s v="ΔΙΕΥΘΥΝΣΗ Π.Ε. ΠΕΙΡΑΙΑ"/>
    <n v="48.924999999999997"/>
    <s v="46 - 50"/>
  </r>
  <r>
    <n v="99913391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05"/>
    <s v="ΙΔΙΩΤΙΚΟ ΝΗΠΙΑΓΩΓΕΙΟ ΑΓΛΑΪΑ ΜΠΑΡΜΠΑ - ΤΟ ΦΕΓΓΑΡΑΚΙ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70-10-02T00:00:00"/>
    <x v="1"/>
    <s v="ΔΙΕΥΘΥΝΣΗ Π.Ε. ΕΥΒΟΙΑΣ"/>
    <n v="48.927777777777777"/>
    <s v="46 - 50"/>
  </r>
  <r>
    <n v="99913392"/>
    <s v="Α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9-27T00:00:00"/>
    <x v="1"/>
    <s v="ΔΙΕΥΘΥΝΣΗ Π.Ε. ΛΑΡΙΣΑΣ"/>
    <n v="48.94166666666667"/>
    <s v="46 - 50"/>
  </r>
  <r>
    <n v="99913393"/>
    <s v="Α"/>
    <x v="8"/>
    <x v="8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0-09-27T00:00:00"/>
    <x v="1"/>
    <s v="ΔΙΕΥΘΥΝΣΗ Π.Ε. ΧΑΝΙΩΝ"/>
    <n v="48.94166666666667"/>
    <s v="46 - 50"/>
  </r>
  <r>
    <n v="99913394"/>
    <s v="Θ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9-24T00:00:00"/>
    <x v="0"/>
    <s v="ΔΙΕΥΘΥΝΣΗ Δ.Ε. Β΄ ΑΘΗΝΑΣ"/>
    <n v="48.95"/>
    <s v="46 - 50"/>
  </r>
  <r>
    <n v="99913395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9-24T00:00:00"/>
    <x v="0"/>
    <s v="ΔΙΕΥΘΥΝΣΗ Δ.Ε. Δ΄ ΑΘΗΝΑΣ"/>
    <n v="48.95"/>
    <s v="46 - 50"/>
  </r>
  <r>
    <n v="99913396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9-22T00:00:00"/>
    <x v="0"/>
    <s v="ΔΙΕΥΘΥΝΣΗ Δ.Ε. Β΄ ΑΘΗΝΑΣ"/>
    <n v="48.955555555555556"/>
    <s v="46 - 50"/>
  </r>
  <r>
    <n v="99913397"/>
    <s v="Α"/>
    <x v="9"/>
    <x v="9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3"/>
    <s v="ΟΧΙ"/>
    <s v="ΟΧΙ"/>
    <s v="ΟΧΙ"/>
    <s v="ΟΧΙ"/>
    <s v="ΟΧΙ"/>
    <m/>
    <m/>
    <s v="Ιδιωτικά Σχολεία"/>
    <x v="0"/>
    <s v="2060004"/>
    <s v="ΑΡΣΑΚΕΙΟ ΓΥΜΝΑΣ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9-21T00:00:00"/>
    <x v="0"/>
    <s v="ΔΙΕΥΘΥΝΣΗ Δ.Ε. ΙΩΑΝΝΙΝΩΝ"/>
    <n v="48.958333333333336"/>
    <s v="46 - 50"/>
  </r>
  <r>
    <n v="99913398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9-13T00:00:00"/>
    <x v="0"/>
    <s v="ΔΙΕΥΘΥΝΣΗ Δ.Ε. ΑΝΑΤΟΛΙΚΗΣ ΑΤΤΙΚΗΣ"/>
    <n v="48.980555555555554"/>
    <s v="46 - 50"/>
  </r>
  <r>
    <n v="9991339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9-11T00:00:00"/>
    <x v="0"/>
    <s v="ΔΙΕΥΘΥΝΣΗ Δ.Ε. Β΄ ΑΘΗΝΑΣ"/>
    <n v="48.986111111111114"/>
    <s v="46 - 50"/>
  </r>
  <r>
    <n v="99913400"/>
    <s v="Θ"/>
    <x v="3"/>
    <x v="3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0-09-11T00:00:00"/>
    <x v="0"/>
    <s v="ΔΙΕΥΘΥΝΣΗ Δ.Ε. ΑΝΑΤ. ΘΕΣ/ΝΙΚΗΣ"/>
    <n v="48.986111111111114"/>
    <s v="46 - 50"/>
  </r>
  <r>
    <n v="99913401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9-06T00:00:00"/>
    <x v="0"/>
    <s v="ΔΙΕΥΘΥΝΣΗ Δ.Ε. Β΄ ΑΘΗΝΑΣ"/>
    <n v="49"/>
    <s v="46 - 50"/>
  </r>
  <r>
    <n v="99913402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9-01T00:00:00"/>
    <x v="0"/>
    <s v="ΔΙΕΥΘΥΝΣΗ Δ.Ε. Β΄ ΑΘΗΝΑΣ"/>
    <n v="49.013888888888886"/>
    <s v="46 - 50"/>
  </r>
  <r>
    <n v="99913403"/>
    <s v="Θ"/>
    <x v="8"/>
    <x v="8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0-09-01T00:00:00"/>
    <x v="0"/>
    <s v="ΔΙΕΥΘΥΝΣΗ Δ.Ε. ΑΧΑΪΑΣ"/>
    <n v="49.013888888888886"/>
    <s v="46 - 50"/>
  </r>
  <r>
    <n v="99913404"/>
    <s v="Θ"/>
    <x v="11"/>
    <x v="11"/>
    <m/>
    <m/>
    <s v="Γ΄"/>
    <n v="1"/>
    <s v="9625/15-10-2015"/>
    <d v="2018-09-01T00:00:00"/>
    <s v="ΙΩΑΝΝΙΝΩΝ (Δ.Ε.) 2018"/>
    <s v="ΔΙΕΥΘΥΝΣΗ Δ.Ε. ΙΩΑΝΝΙΝΩΝ"/>
    <s v="ΠΕΡΙΦΕΡΕΙΑΚΗ Δ/ΝΣΗ Α/ΘΜΙΑΣ ΚΑΙ Β/ΘΜΙΑΣ ΕΚΠ/ΣΗΣ ΗΠΕΙΡΟΥ"/>
    <n v="18"/>
    <s v="ΟΧΙ"/>
    <s v="ΟΧΙ"/>
    <s v="ΟΧΙ"/>
    <s v="ΟΧΙ"/>
    <s v="ΟΧΙ"/>
    <m/>
    <d v="2018-09-01T00:00:00"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8-29T00:00:00"/>
    <x v="0"/>
    <s v="ΔΙΕΥΘΥΝΣΗ Δ.Ε. ΙΩΑΝΝΙΝΩΝ"/>
    <n v="49.022222222222226"/>
    <s v="46 - 50"/>
  </r>
  <r>
    <n v="99913405"/>
    <s v="Θ"/>
    <x v="9"/>
    <x v="9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0"/>
    <s v="2060005"/>
    <s v="ΑΝΩΝΥΜΗ ΕΚΠΑΙΔΕΥΤΙΚΗ ΜΟΡΦΩΤΙΚΗ ΕΤΑΙΡΕΙΑ ΓΥΜΝΑΣΙΟ ΕΚΠΑΙΔΕΥΤΗΡΙΩΝ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8-27T00:00:00"/>
    <x v="0"/>
    <s v="ΔΙΕΥΘΥΝΣΗ Δ.Ε. ΙΩΑΝΝΙΝΩΝ"/>
    <n v="49.027777777777779"/>
    <s v="46 - 50"/>
  </r>
  <r>
    <n v="99913406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8-26T00:00:00"/>
    <x v="0"/>
    <s v="ΔΙΕΥΘΥΝΣΗ Δ.Ε. Γ΄ ΑΘΗΝΑΣ"/>
    <n v="49.030555555555559"/>
    <s v="46 - 50"/>
  </r>
  <r>
    <n v="99913407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8-20T00:00:00"/>
    <x v="0"/>
    <s v="ΔΙΕΥΘΥΝΣΗ Δ.Ε. Γ΄ ΑΘΗΝΑΣ"/>
    <n v="49.047222222222224"/>
    <s v="46 - 50"/>
  </r>
  <r>
    <n v="99913408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8-19T00:00:00"/>
    <x v="0"/>
    <s v="ΔΙΕΥΘΥΝΣΗ Δ.Ε. ΛΑΡΙΣΑΣ"/>
    <n v="49.05"/>
    <s v="46 - 50"/>
  </r>
  <r>
    <n v="99913409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8-13T00:00:00"/>
    <x v="0"/>
    <s v="ΔΙΕΥΘΥΝΣΗ Δ.Ε. Β΄ ΑΘΗΝΑΣ"/>
    <n v="49.06666666666667"/>
    <s v="46 - 50"/>
  </r>
  <r>
    <n v="99913410"/>
    <s v="Α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8-13T00:00:00"/>
    <x v="1"/>
    <s v="ΔΙΕΥΘΥΝΣΗ Π.Ε. ΑΝΑΤΟΛΙΚΗΣ ΑΤΤΙΚΗΣ"/>
    <n v="49.06666666666667"/>
    <s v="46 - 50"/>
  </r>
  <r>
    <n v="99913411"/>
    <s v="Θ"/>
    <x v="18"/>
    <x v="18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0-08-13T00:00:00"/>
    <x v="0"/>
    <s v="ΔΙΕΥΘΥΝΣΗ Δ.Ε. ΑΝΑΤ. ΘΕΣ/ΝΙΚΗΣ"/>
    <n v="49.06666666666667"/>
    <s v="46 - 50"/>
  </r>
  <r>
    <n v="99913412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8-05T00:00:00"/>
    <x v="0"/>
    <s v="ΔΙΕΥΘΥΝΣΗ Δ.Ε. ΑΝΑΤΟΛΙΚΗΣ ΑΤΤΙΚΗΣ"/>
    <n v="49.088888888888889"/>
    <s v="46 - 50"/>
  </r>
  <r>
    <n v="99913413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8-04T00:00:00"/>
    <x v="1"/>
    <s v="ΔΙΕΥΘΥΝΣΗ Π.Ε. Β΄ ΑΘΗΝΑΣ"/>
    <n v="49.091666666666669"/>
    <s v="46 - 50"/>
  </r>
  <r>
    <n v="99913414"/>
    <s v="Θ"/>
    <x v="1"/>
    <x v="1"/>
    <m/>
    <m/>
    <s v="Α΄"/>
    <n v="7"/>
    <s v="Φ.15.Α5/7500/4-12-2008"/>
    <d v="2008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8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8-03T00:00:00"/>
    <x v="1"/>
    <s v="ΔΙΕΥΘΥΝΣΗ Π.Ε. ΑΝΑΤΟΛΙΚΗΣ ΑΤΤΙΚΗΣ"/>
    <n v="49.094444444444441"/>
    <s v="46 - 50"/>
  </r>
  <r>
    <n v="99913415"/>
    <s v="Θ"/>
    <x v="1"/>
    <x v="1"/>
    <m/>
    <m/>
    <s v="Α΄"/>
    <n v="1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31T00:00:00"/>
    <x v="1"/>
    <s v="ΔΙΕΥΘΥΝΣΗ Π.Ε. Δ΄ ΑΘΗΝΑΣ"/>
    <n v="49.102777777777774"/>
    <s v="46 - 50"/>
  </r>
  <r>
    <n v="99913416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7-30T00:00:00"/>
    <x v="0"/>
    <s v="ΔΙΕΥΘΥΝΣΗ Δ.Ε. ΑΝΑΤ. ΘΕΣ/ΝΙΚΗΣ"/>
    <n v="49.105555555555554"/>
    <s v="46 - 50"/>
  </r>
  <r>
    <n v="9991341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7-29T00:00:00"/>
    <x v="0"/>
    <s v="ΔΙΕΥΘΥΝΣΗ Δ.Ε. Β΄ ΑΘΗΝΑΣ"/>
    <n v="49.108333333333334"/>
    <s v="46 - 50"/>
  </r>
  <r>
    <n v="99913418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0-07-28T00:00:00"/>
    <x v="0"/>
    <s v="ΔΙΕΥΘΥΝΣΗ Δ.Ε. ΑΝΑΤ. ΘΕΣ/ΝΙΚΗΣ"/>
    <n v="49.111111111111114"/>
    <s v="46 - 50"/>
  </r>
  <r>
    <n v="99913419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27T00:00:00"/>
    <x v="0"/>
    <s v="ΔΙΕΥΘΥΝΣΗ Δ.Ε. Γ΄ ΑΘΗΝΑΣ"/>
    <n v="49.113888888888887"/>
    <s v="46 - 50"/>
  </r>
  <r>
    <n v="99913420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26T00:00:00"/>
    <x v="0"/>
    <s v="ΔΙΕΥΘΥΝΣΗ Δ.Ε. Β΄ ΑΘΗΝΑΣ"/>
    <n v="49.116666666666667"/>
    <s v="46 - 50"/>
  </r>
  <r>
    <n v="99913421"/>
    <s v="Α"/>
    <x v="6"/>
    <x v="6"/>
    <m/>
    <m/>
    <s v="Α΄"/>
    <n v="6"/>
    <m/>
    <m/>
    <s v="Α΄ ΠΕΙΡΑΙΑ (Π.Ε.) 2018"/>
    <s v="ΔΙΕΥΘΥΝΣΗ Π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25T00:00:00"/>
    <x v="1"/>
    <s v="ΔΙΕΥΘΥΝΣΗ Π.Ε. ΠΕΙΡΑΙΑ"/>
    <n v="49.119444444444447"/>
    <s v="46 - 50"/>
  </r>
  <r>
    <n v="99913422"/>
    <s v="Θ"/>
    <x v="13"/>
    <x v="13"/>
    <m/>
    <m/>
    <s v="Γ΄"/>
    <n v="1"/>
    <s v="ΦΔ12.2/6764"/>
    <d v="2018-09-26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7"/>
    <s v="ΟΧΙ"/>
    <s v="ΟΧΙ"/>
    <s v="ΟΧΙ"/>
    <s v="ΟΧΙ"/>
    <s v="ΟΧΙ"/>
    <m/>
    <d v="2018-09-26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0-07-24T00:00:00"/>
    <x v="1"/>
    <s v="ΔΙΕΥΘΥΝΣΗ Π.Ε. ΑΙΤΩΛΟΑΚΑΡΝΑΝΙΑΣ"/>
    <n v="49.12222222222222"/>
    <s v="46 - 50"/>
  </r>
  <r>
    <n v="99913423"/>
    <s v="Α"/>
    <x v="9"/>
    <x v="9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23T00:00:00"/>
    <x v="0"/>
    <s v="ΔΙΕΥΘΥΝΣΗ Δ.Ε. Δ΄ ΑΘΗΝΑΣ"/>
    <n v="49.125"/>
    <s v="46 - 50"/>
  </r>
  <r>
    <n v="99913424"/>
    <s v="Θ"/>
    <x v="4"/>
    <x v="4"/>
    <m/>
    <m/>
    <s v="Γ΄"/>
    <n v="1"/>
    <s v="7/11-1-2002"/>
    <d v="2018-09-01T00:00:00"/>
    <s v="ΑΡΓΟΛΙΔΑΣ (Δ.Ε.) 2018"/>
    <s v="ΔΙΕΥΘΥΝΣΗ Δ.Ε. ΑΡΓΟΛΙΔΑΣ"/>
    <s v="ΠΕΡΙΦΕΡΕΙΑΚΗ Δ/ΝΣΗ Α/ΘΜΙΑΣ ΚΑΙ Β/ΘΜΙΑΣ ΕΚΠ/ΣΗΣ ΠΕΛΟΠΟΝΝΗΣΟΥ"/>
    <n v="20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0-07-23T00:00:00"/>
    <x v="0"/>
    <s v="ΔΙΕΥΘΥΝΣΗ Δ.Ε. ΑΡΓΟΛΙΔΑΣ"/>
    <n v="49.125"/>
    <s v="46 - 50"/>
  </r>
  <r>
    <n v="99913425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20T00:00:00"/>
    <x v="0"/>
    <s v="ΔΙΕΥΘΥΝΣΗ Δ.Ε. Β΄ ΑΘΗΝΑΣ"/>
    <n v="49.133333333333333"/>
    <s v="46 - 50"/>
  </r>
  <r>
    <n v="99913426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19T00:00:00"/>
    <x v="0"/>
    <s v="ΔΙΕΥΘΥΝΣΗ Δ.Ε. Β΄ ΑΘΗΝΑΣ"/>
    <n v="49.136111111111113"/>
    <s v="46 - 50"/>
  </r>
  <r>
    <n v="99913427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19T00:00:00"/>
    <x v="0"/>
    <s v="ΔΙΕΥΘΥΝΣΗ Δ.Ε. Β΄ ΑΘΗΝΑΣ"/>
    <n v="49.136111111111113"/>
    <s v="46 - 50"/>
  </r>
  <r>
    <n v="99913428"/>
    <s v="Α"/>
    <x v="3"/>
    <x v="3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7-19T00:00:00"/>
    <x v="0"/>
    <s v="ΔΙΕΥΘΥΝΣΗ Δ.Ε. ΙΩΑΝΝΙΝΩΝ"/>
    <n v="49.136111111111113"/>
    <s v="46 - 50"/>
  </r>
  <r>
    <n v="99913429"/>
    <s v="Α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17T00:00:00"/>
    <x v="1"/>
    <s v="ΔΙΕΥΘΥΝΣΗ Π.Ε. Β΄ ΑΘΗΝΑΣ"/>
    <n v="49.141666666666666"/>
    <s v="46 - 50"/>
  </r>
  <r>
    <n v="99913430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7-16T00:00:00"/>
    <x v="0"/>
    <s v="ΔΙΕΥΘΥΝΣΗ Δ.Ε. ΑΝΑΤΟΛΙΚΗΣ ΑΤΤΙΚΗΣ"/>
    <n v="49.144444444444446"/>
    <s v="46 - 50"/>
  </r>
  <r>
    <n v="99913431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15T00:00:00"/>
    <x v="0"/>
    <s v="ΔΙΕΥΘΥΝΣΗ Δ.Ε. ΑΝΑΤΟΛΙΚΗΣ ΑΤΤΙΚΗΣ"/>
    <n v="49.147222222222226"/>
    <s v="46 - 50"/>
  </r>
  <r>
    <n v="99913432"/>
    <s v="Α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7-13T00:00:00"/>
    <x v="0"/>
    <s v="ΔΙΕΥΘΥΝΣΗ Δ.Ε. ΛΑΡΙΣΑΣ"/>
    <n v="49.152777777777779"/>
    <s v="46 - 50"/>
  </r>
  <r>
    <n v="99913433"/>
    <s v="Θ"/>
    <x v="14"/>
    <x v="14"/>
    <s v="ΠΕ03"/>
    <s v="ΜΑΘΗΜΑΤΙΚΟΙ"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7-12T00:00:00"/>
    <x v="0"/>
    <s v="ΔΙΕΥΘΥΝΣΗ Δ.Ε. ΑΝΑΤΟΛΙΚΗΣ ΑΤΤΙΚΗΣ"/>
    <n v="49.155555555555559"/>
    <s v="46 - 50"/>
  </r>
  <r>
    <n v="99913434"/>
    <s v="Θ"/>
    <x v="18"/>
    <x v="18"/>
    <m/>
    <m/>
    <s v="Γ΄"/>
    <n v="1"/>
    <d v="1998-12-1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7-12T00:00:00"/>
    <x v="1"/>
    <s v="ΔΙΕΥΘΥΝΣΗ Π.Ε. ΑΝΑΤ. ΘΕΣ/ΝΙΚΗΣ"/>
    <n v="49.155555555555559"/>
    <s v="46 - 50"/>
  </r>
  <r>
    <n v="99913435"/>
    <s v="Α"/>
    <x v="8"/>
    <x v="8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6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70-07-08T00:00:00"/>
    <x v="1"/>
    <s v="ΔΙΕΥΘΥΝΣΗ Π.Ε. ΑΝΑΤ. ΘΕΣ/ΝΙΚΗΣ"/>
    <n v="49.166666666666664"/>
    <s v="46 - 50"/>
  </r>
  <r>
    <n v="99913436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29T00:00:00"/>
    <x v="0"/>
    <s v="ΔΙΕΥΘΥΝΣΗ Δ.Ε. Β΄ ΑΘΗΝΑΣ"/>
    <n v="49.19166666666667"/>
    <s v="46 - 50"/>
  </r>
  <r>
    <n v="99913437"/>
    <s v="Θ"/>
    <x v="3"/>
    <x v="3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0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6-29T00:00:00"/>
    <x v="0"/>
    <s v="ΔΙΕΥΘΥΝΣΗ Δ.Ε. ΙΩΑΝΝΙΝΩΝ"/>
    <n v="49.19166666666667"/>
    <s v="46 - 50"/>
  </r>
  <r>
    <n v="99913438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28T00:00:00"/>
    <x v="0"/>
    <s v="ΔΙΕΥΘΥΝΣΗ Δ.Ε. ΑΝΑΤΟΛΙΚΗΣ ΑΤΤΙΚΗΣ"/>
    <n v="49.194444444444443"/>
    <s v="46 - 50"/>
  </r>
  <r>
    <n v="99913439"/>
    <s v="Θ"/>
    <x v="1"/>
    <x v="1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4-10-20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6-28T00:00:00"/>
    <x v="1"/>
    <s v="ΔΙΕΥΘΥΝΣΗ Π.Ε. ΑΝΑΤΟΛΙΚΗΣ ΑΤΤΙΚΗΣ"/>
    <n v="49.194444444444443"/>
    <s v="46 - 50"/>
  </r>
  <r>
    <n v="99913440"/>
    <s v="Θ"/>
    <x v="10"/>
    <x v="10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6-28T00:00:00"/>
    <x v="0"/>
    <s v="ΔΙΕΥΘΥΝΣΗ Δ.Ε. ΑΝΑΤ. ΘΕΣ/ΝΙΚΗΣ"/>
    <n v="49.194444444444443"/>
    <s v="46 - 50"/>
  </r>
  <r>
    <n v="99913441"/>
    <s v="Θ"/>
    <x v="8"/>
    <x v="8"/>
    <m/>
    <m/>
    <s v="Α΄"/>
    <n v="7"/>
    <s v="5617α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26T00:00:00"/>
    <x v="1"/>
    <s v="ΔΙΕΥΘΥΝΣΗ Π.Ε. ΑΝΑΤΟΛΙΚΗΣ ΑΤΤΙΚΗΣ"/>
    <n v="49.2"/>
    <s v="46 - 50"/>
  </r>
  <r>
    <n v="99913442"/>
    <s v="Α"/>
    <x v="3"/>
    <x v="3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0-06-25T00:00:00"/>
    <x v="0"/>
    <s v="ΔΙΕΥΘΥΝΣΗ Δ.Ε. ΧΑΝΙΩΝ"/>
    <n v="49.202777777777776"/>
    <s v="46 - 50"/>
  </r>
  <r>
    <n v="99913443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23T00:00:00"/>
    <x v="0"/>
    <s v="ΔΙΕΥΘΥΝΣΗ Δ.Ε. Β΄ ΑΘΗΝΑΣ"/>
    <n v="49.208333333333336"/>
    <s v="46 - 50"/>
  </r>
  <r>
    <n v="99913444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18T00:00:00"/>
    <x v="0"/>
    <s v="ΔΙΕΥΘΥΝΣΗ Δ.Ε. Δ΄ ΑΘΗΝΑΣ"/>
    <n v="49.222222222222221"/>
    <s v="46 - 50"/>
  </r>
  <r>
    <n v="99913445"/>
    <s v="Θ"/>
    <x v="0"/>
    <x v="0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18T00:00:00"/>
    <x v="1"/>
    <s v="ΔΙΕΥΘΥΝΣΗ Π.Ε. ΠΕΙΡΑΙΑ"/>
    <n v="49.222222222222221"/>
    <s v="46 - 50"/>
  </r>
  <r>
    <n v="99913446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17T00:00:00"/>
    <x v="0"/>
    <s v="ΔΙΕΥΘΥΝΣΗ Δ.Ε. Β΄ ΑΘΗΝΑΣ"/>
    <n v="49.225000000000001"/>
    <s v="46 - 50"/>
  </r>
  <r>
    <n v="99913447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16T00:00:00"/>
    <x v="0"/>
    <s v="ΔΙΕΥΘΥΝΣΗ Δ.Ε. Β΄ ΑΘΗΝΑΣ"/>
    <n v="49.227777777777774"/>
    <s v="46 - 50"/>
  </r>
  <r>
    <n v="99913448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0-06-13T00:00:00"/>
    <x v="0"/>
    <s v="ΔΙΕΥΘΥΝΣΗ Δ.Ε. ΑΝΑΤ. ΘΕΣ/ΝΙΚΗΣ"/>
    <n v="49.236111111111114"/>
    <s v="46 - 50"/>
  </r>
  <r>
    <n v="99913449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6-12T00:00:00"/>
    <x v="0"/>
    <s v="ΔΙΕΥΘΥΝΣΗ Δ.Ε. ΑΝΑΤΟΛΙΚΗΣ ΑΤΤΙΚΗΣ"/>
    <n v="49.238888888888887"/>
    <s v="46 - 50"/>
  </r>
  <r>
    <n v="99913450"/>
    <s v="Θ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0-06-11T00:00:00"/>
    <x v="0"/>
    <s v="ΔΙΕΥΘΥΝΣΗ Δ.Ε. ΑΙΤΩΛΟΑΚΑΡΝΑΝΙΑΣ"/>
    <n v="49.241666666666667"/>
    <s v="46 - 50"/>
  </r>
  <r>
    <n v="99913451"/>
    <s v="Θ"/>
    <x v="6"/>
    <x v="6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11"/>
    <s v="ΟΧΙ"/>
    <s v="ΟΧΙ"/>
    <s v="ΟΧΙ"/>
    <s v="ΟΧΙ"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6-11T00:00:00"/>
    <x v="1"/>
    <s v="ΔΙΕΥΘΥΝΣΗ Π.Ε. ΑΝΑΤ. ΘΕΣ/ΝΙΚΗΣ"/>
    <n v="49.241666666666667"/>
    <s v="46 - 50"/>
  </r>
  <r>
    <n v="99913452"/>
    <s v="Α"/>
    <x v="4"/>
    <x v="4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0-06-08T00:00:00"/>
    <x v="0"/>
    <s v="ΔΙΕΥΘΥΝΣΗ Δ.Ε. ΚΟΡΙΝΘΙΑΣ"/>
    <n v="49.25"/>
    <s v="46 - 50"/>
  </r>
  <r>
    <n v="99913453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6-07T00:00:00"/>
    <x v="0"/>
    <s v="ΔΙΕΥΘΥΝΣΗ Δ.Ε. ΑΝΑΤΟΛΙΚΗΣ ΑΤΤΙΚΗΣ"/>
    <n v="49.25277777777778"/>
    <s v="46 - 50"/>
  </r>
  <r>
    <n v="99913454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06T00:00:00"/>
    <x v="0"/>
    <s v="ΔΙΕΥΘΥΝΣΗ Δ.Ε. ΑΝΑΤΟΛΙΚΗΣ ΑΤΤΙΚΗΣ"/>
    <n v="49.255555555555553"/>
    <s v="46 - 50"/>
  </r>
  <r>
    <n v="99913455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05T00:00:00"/>
    <x v="0"/>
    <s v="ΔΙΕΥΘΥΝΣΗ Δ.Ε. Β΄ ΑΘΗΝΑΣ"/>
    <n v="49.258333333333333"/>
    <s v="46 - 50"/>
  </r>
  <r>
    <n v="9991345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6-04T00:00:00"/>
    <x v="0"/>
    <s v="ΔΙΕΥΘΥΝΣΗ Δ.Ε. Β΄ ΑΘΗΝΑΣ"/>
    <n v="49.261111111111113"/>
    <s v="46 - 50"/>
  </r>
  <r>
    <n v="99913457"/>
    <s v="Θ"/>
    <x v="6"/>
    <x v="6"/>
    <m/>
    <m/>
    <s v="Γ΄"/>
    <n v="1"/>
    <s v="Φ. 17.2/8655/26-10-2017"/>
    <d v="2018-09-01T00:00:00"/>
    <s v="Α΄ ΜΑΓΝΗΣΙΑΣ (Δ.Ε.) 2018"/>
    <s v="ΔΙΕΥΘΥΝΣΗ Δ.Ε. ΜΑΓΝΗΣΙΑΣ"/>
    <s v="ΠΕΡΙΦΕΡΕΙΑΚΗ Δ/ΝΣΗ Α/ΘΜΙΑΣ ΚΑΙ Β/ΘΜΙΑΣ ΕΚΠ/ΣΗΣ ΘΕΣΣΑΛΙΑΣ"/>
    <n v="1"/>
    <s v="ΟΧΙ"/>
    <s v="ΟΧΙ"/>
    <s v="ΟΧΙ"/>
    <m/>
    <s v="ΟΧΙ"/>
    <m/>
    <d v="2018-09-01T00:00:00"/>
    <s v="Ιδιωτικά Σχολεία"/>
    <x v="0"/>
    <s v="3560001"/>
    <s v="ΙΔΙΩΤΙΚΟ ΓΥΜΝΑΣΙΟ ΒΟΛΟΥ - ΠΡΟΜΗΘΕΑΣ"/>
    <s v="Α΄ ΜΑΓΝΗΣΙΑΣ (Δ.Ε.) 2018"/>
    <x v="1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70-06-03T00:00:00"/>
    <x v="0"/>
    <s v="ΔΙΕΥΘΥΝΣΗ Δ.Ε. ΜΑΓΝΗΣΙΑΣ"/>
    <n v="49.263888888888886"/>
    <s v="46 - 50"/>
  </r>
  <r>
    <n v="99913458"/>
    <s v="Θ"/>
    <x v="3"/>
    <x v="3"/>
    <m/>
    <m/>
    <s v="Β΄"/>
    <n v="1"/>
    <s v="13562/10-09-2013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6-01T00:00:00"/>
    <x v="0"/>
    <s v="ΔΙΕΥΘΥΝΣΗ Δ.Ε. ΔΥΤ. ΘΕΣ/ΝΙΚΗΣ"/>
    <n v="49.269444444444446"/>
    <s v="46 - 50"/>
  </r>
  <r>
    <n v="99913459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7T00:00:00"/>
    <x v="0"/>
    <s v="ΔΙΕΥΘΥΝΣΗ Δ.Ε. Β΄ ΑΘΗΝΑΣ"/>
    <n v="49.283333333333331"/>
    <s v="46 - 50"/>
  </r>
  <r>
    <n v="99913460"/>
    <s v="Θ"/>
    <x v="2"/>
    <x v="2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m/>
    <s v="ΟΧΙ"/>
    <m/>
    <s v="ΟΧΙ"/>
    <m/>
    <m/>
    <s v="Ιδιωτικά Σχολεία"/>
    <x v="2"/>
    <s v="7311001"/>
    <s v="ΙΔΙΩΤΙΚΟ ΝΗΠΙΑΓΩΓΕΙΟ ΛΑΡΙΣΑ - ΕΚΠΑΙΔΕΥΤΗΡΙΑ ΜΑΙΡΗΣ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5-27T00:00:00"/>
    <x v="1"/>
    <s v="ΔΙΕΥΘΥΝΣΗ Π.Ε. ΛΑΡΙΣΑΣ"/>
    <n v="49.283333333333331"/>
    <s v="46 - 50"/>
  </r>
  <r>
    <n v="9991346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6T00:00:00"/>
    <x v="1"/>
    <s v="ΔΙΕΥΘΥΝΣΗ Π.Ε. Β΄ ΑΘΗΝΑΣ"/>
    <n v="49.286111111111111"/>
    <s v="46 - 50"/>
  </r>
  <r>
    <n v="99913462"/>
    <s v="Α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5T00:00:00"/>
    <x v="0"/>
    <s v="ΔΙΕΥΘΥΝΣΗ Δ.Ε. Β΄ ΑΘΗΝΑΣ"/>
    <n v="49.288888888888891"/>
    <s v="46 - 50"/>
  </r>
  <r>
    <n v="99913463"/>
    <s v="Θ"/>
    <x v="6"/>
    <x v="6"/>
    <m/>
    <m/>
    <s v="Γ΄"/>
    <n v="1"/>
    <n v="19020"/>
    <d v="2018-09-01T00:00:00"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4T00:00:00"/>
    <x v="0"/>
    <s v="ΔΙΕΥΘΥΝΣΗ Δ.Ε. Α΄ ΑΘΗΝΑΣ"/>
    <n v="49.291666666666664"/>
    <s v="46 - 50"/>
  </r>
  <r>
    <n v="99913464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4T00:00:00"/>
    <x v="0"/>
    <s v="ΔΙΕΥΘΥΝΣΗ Δ.Ε. Β΄ ΑΘΗΝΑΣ"/>
    <n v="49.291666666666664"/>
    <s v="46 - 50"/>
  </r>
  <r>
    <n v="99913465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3T00:00:00"/>
    <x v="0"/>
    <s v="ΔΙΕΥΘΥΝΣΗ Δ.Ε. Β΄ ΑΘΗΝΑΣ"/>
    <n v="49.294444444444444"/>
    <s v="46 - 50"/>
  </r>
  <r>
    <n v="99913466"/>
    <s v="Α"/>
    <x v="20"/>
    <x v="20"/>
    <m/>
    <m/>
    <s v="Γ΄"/>
    <n v="1"/>
    <s v="2855/11-9-2000"/>
    <d v="2018-09-01T00:00:00"/>
    <s v="ΑΡΓΟΛΙΔΑΣ (Δ.Ε.) 2018"/>
    <s v="ΔΙΕΥΘΥΝΣΗ Δ.Ε. ΑΡΓΟΛΙΔΑΣ"/>
    <s v="ΠΕΡΙΦΕΡΕΙΑΚΗ Δ/ΝΣΗ Α/ΘΜΙΑΣ ΚΑΙ Β/ΘΜΙΑΣ ΕΚΠ/ΣΗΣ ΠΕΛΟΠΟΝΝΗΣΟΥ"/>
    <n v="20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0-05-22T00:00:00"/>
    <x v="0"/>
    <s v="ΔΙΕΥΘΥΝΣΗ Δ.Ε. ΑΡΓΟΛΙΔΑΣ"/>
    <n v="49.297222222222224"/>
    <s v="46 - 50"/>
  </r>
  <r>
    <n v="99913467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1T00:00:00"/>
    <x v="0"/>
    <s v="ΔΙΕΥΘΥΝΣΗ Δ.Ε. ΑΝΑΤΟΛΙΚΗΣ ΑΤΤΙΚΗΣ"/>
    <n v="49.3"/>
    <s v="46 - 50"/>
  </r>
  <r>
    <n v="99913468"/>
    <s v="Θ"/>
    <x v="0"/>
    <x v="0"/>
    <m/>
    <m/>
    <s v="Α΄"/>
    <n v="1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20T00:00:00"/>
    <x v="1"/>
    <s v="ΔΙΕΥΘΥΝΣΗ Π.Ε. Δ΄ ΑΘΗΝΑΣ"/>
    <n v="49.302777777777777"/>
    <s v="46 - 50"/>
  </r>
  <r>
    <n v="99913469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18T00:00:00"/>
    <x v="1"/>
    <s v="ΔΙΕΥΘΥΝΣΗ Π.Ε. Β΄ ΑΘΗΝΑΣ"/>
    <n v="49.30833333333333"/>
    <s v="46 - 50"/>
  </r>
  <r>
    <n v="99913470"/>
    <s v="Α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17T00:00:00"/>
    <x v="0"/>
    <s v="ΔΙΕΥΘΥΝΣΗ Δ.Ε. Γ΄ ΑΘΗΝΑΣ"/>
    <n v="49.31111111111111"/>
    <s v="46 - 50"/>
  </r>
  <r>
    <n v="99913471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16T00:00:00"/>
    <x v="0"/>
    <s v="ΔΙΕΥΘΥΝΣΗ Δ.Ε. Β΄ ΑΘΗΝΑΣ"/>
    <n v="49.31388888888889"/>
    <s v="46 - 50"/>
  </r>
  <r>
    <n v="99913472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5-16T00:00:00"/>
    <x v="0"/>
    <s v="ΔΙΕΥΘΥΝΣΗ Δ.Ε. Β΄ ΑΘΗΝΑΣ"/>
    <n v="49.31388888888889"/>
    <s v="46 - 50"/>
  </r>
  <r>
    <n v="99913473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15T00:00:00"/>
    <x v="0"/>
    <s v="ΔΙΕΥΘΥΝΣΗ Δ.Ε. Β΄ ΑΘΗΝΑΣ"/>
    <n v="49.31666666666667"/>
    <s v="46 - 50"/>
  </r>
  <r>
    <n v="99913474"/>
    <s v="Θ"/>
    <x v="1"/>
    <x v="1"/>
    <m/>
    <m/>
    <s v="Α΄"/>
    <n v="1"/>
    <m/>
    <m/>
    <s v="Α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15T00:00:00"/>
    <x v="1"/>
    <s v="ΔΙΕΥΘΥΝΣΗ Π.Ε. Δ΄ ΑΘΗΝΑΣ"/>
    <n v="49.31666666666667"/>
    <s v="46 - 50"/>
  </r>
  <r>
    <n v="99913475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13T00:00:00"/>
    <x v="1"/>
    <s v="ΔΙΕΥΘΥΝΣΗ Π.Ε. Β΄ ΑΘΗΝΑΣ"/>
    <n v="49.322222222222223"/>
    <s v="46 - 50"/>
  </r>
  <r>
    <n v="99913476"/>
    <s v="Θ"/>
    <x v="0"/>
    <x v="0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09T00:00:00"/>
    <x v="1"/>
    <s v="ΔΙΕΥΘΥΝΣΗ Π.Ε. Α΄ ΑΘΗΝΑΣ"/>
    <n v="49.333333333333336"/>
    <s v="46 - 50"/>
  </r>
  <r>
    <n v="99913477"/>
    <s v="Θ"/>
    <x v="3"/>
    <x v="3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s v="ΟΧΙ"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0-05-09T00:00:00"/>
    <x v="0"/>
    <s v="ΔΙΕΥΘΥΝΣΗ Δ.Ε. ΜΕΣΣΗΝΙΑΣ"/>
    <n v="49.333333333333336"/>
    <s v="46 - 50"/>
  </r>
  <r>
    <n v="99913478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5-07T00:00:00"/>
    <x v="0"/>
    <s v="ΔΙΕΥΘΥΝΣΗ Δ.Ε. ΑΝΑΤ. ΘΕΣ/ΝΙΚΗΣ"/>
    <n v="49.338888888888889"/>
    <s v="46 - 50"/>
  </r>
  <r>
    <n v="99913479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02T00:00:00"/>
    <x v="0"/>
    <s v="ΔΙΕΥΘΥΝΣΗ Δ.Ε. ΑΝΑΤΟΛΙΚΗΣ ΑΤΤΙΚΗΣ"/>
    <n v="49.352777777777774"/>
    <s v="46 - 50"/>
  </r>
  <r>
    <n v="99913480"/>
    <s v="Α"/>
    <x v="8"/>
    <x v="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1026"/>
    <s v="ΙΔΙΩΤΙΚΟ ΔΗΜΟΤΙΚΟ - ΕΛΛΗΝΙΚΑ ΕΚΠΑΙΔΕΥΤΗΡΙΑ &quot;ΣΥΓΧΡΟΝΗ ΠΑΙΔΕΙΑ&quot; ΑΦΟΙ ΒΑΘΕΙΑ - ΚΥΡΑΪΛΙΔΗΣ Χ. Ο.Ε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5-02T00:00:00"/>
    <x v="1"/>
    <s v="ΔΙΕΥΘΥΝΣΗ Π.Ε. Α΄ ΑΘΗΝΑΣ"/>
    <n v="49.352777777777774"/>
    <s v="46 - 50"/>
  </r>
  <r>
    <n v="99913481"/>
    <s v="Α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24T00:00:00"/>
    <x v="0"/>
    <s v="ΔΙΕΥΘΥΝΣΗ Δ.Ε. Β΄ ΑΘΗΝΑΣ"/>
    <n v="49.375"/>
    <s v="46 - 50"/>
  </r>
  <r>
    <n v="99913482"/>
    <s v="Θ"/>
    <x v="10"/>
    <x v="10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23T00:00:00"/>
    <x v="0"/>
    <s v="ΔΙΕΥΘΥΝΣΗ Δ.Ε. Δ΄ ΑΘΗΝΑΣ"/>
    <n v="49.37777777777778"/>
    <s v="46 - 50"/>
  </r>
  <r>
    <n v="99913483"/>
    <s v="Α"/>
    <x v="8"/>
    <x v="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23T00:00:00"/>
    <x v="0"/>
    <s v="ΔΙΕΥΘΥΝΣΗ Δ.Ε. Δ΄ ΑΘΗΝΑΣ"/>
    <n v="49.37777777777778"/>
    <s v="46 - 50"/>
  </r>
  <r>
    <n v="99913484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23T00:00:00"/>
    <x v="1"/>
    <s v="ΔΙΕΥΘΥΝΣΗ Π.Ε. Α΄ ΑΘΗΝΑΣ"/>
    <n v="49.37777777777778"/>
    <s v="46 - 50"/>
  </r>
  <r>
    <n v="99913485"/>
    <s v="Α"/>
    <x v="8"/>
    <x v="8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16"/>
    <s v="ΟΧΙ"/>
    <s v="ΟΧΙ"/>
    <s v="ΟΧΙ"/>
    <m/>
    <s v="ΟΧΙ"/>
    <m/>
    <m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0-04-20T00:00:00"/>
    <x v="1"/>
    <s v="ΔΙΕΥΘΥΝΣΗ Π.Ε. ΑΙΤΩΛΟΑΚΑΡΝΑΝΙΑΣ"/>
    <n v="49.386111111111113"/>
    <s v="46 - 50"/>
  </r>
  <r>
    <n v="99913486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17T00:00:00"/>
    <x v="0"/>
    <s v="ΔΙΕΥΘΥΝΣΗ Δ.Ε. ΑΝΑΤΟΛΙΚΗΣ ΑΤΤΙΚΗΣ"/>
    <n v="49.394444444444446"/>
    <s v="46 - 50"/>
  </r>
  <r>
    <n v="99913487"/>
    <s v="Θ"/>
    <x v="9"/>
    <x v="9"/>
    <m/>
    <m/>
    <s v="Γ΄"/>
    <n v="1"/>
    <s v="17886/01-09-2018"/>
    <d v="2018-09-01T00:00:00"/>
    <s v="ΛΑΡΙΣΑΣ (Δ.Ε.) 2018"/>
    <s v="ΔΙΕΥΘΥΝΣΗ Δ.Ε. ΛΑΡΙΣΑΣ"/>
    <s v="ΠΕΡΙΦΕΡΕΙΑΚΗ Δ/ΝΣΗ Α/ΘΜΙΑΣ ΚΑΙ Β/ΘΜΙΑΣ ΕΚΠ/ΣΗΣ ΘΕΣΣΑΛΙΑΣ"/>
    <n v="8"/>
    <s v="ΟΧΙ"/>
    <s v="ΟΧΙ"/>
    <s v="ΟΧΙ"/>
    <s v="ΟΧΙ"/>
    <s v="ΟΧΙ"/>
    <m/>
    <d v="2018-09-01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4-16T00:00:00"/>
    <x v="0"/>
    <s v="ΔΙΕΥΘΥΝΣΗ Δ.Ε. ΛΑΡΙΣΑΣ"/>
    <n v="49.397222222222226"/>
    <s v="46 - 50"/>
  </r>
  <r>
    <n v="99913488"/>
    <s v="Θ"/>
    <x v="3"/>
    <x v="3"/>
    <m/>
    <m/>
    <s v="Γ΄"/>
    <n v="3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13T00:00:00"/>
    <x v="0"/>
    <s v="ΔΙΕΥΘΥΝΣΗ Δ.Ε. Δ΄ ΑΘΗΝΑΣ"/>
    <n v="49.405555555555559"/>
    <s v="46 - 50"/>
  </r>
  <r>
    <n v="99913489"/>
    <s v="Α"/>
    <x v="1"/>
    <x v="1"/>
    <m/>
    <m/>
    <s v="Γ΄"/>
    <n v="1"/>
    <s v="3063/11/9/2008"/>
    <d v="2018-09-01T00:00:00"/>
    <s v="ΙΩΑΝΝΙΝΩΝ (Π.Ε.) 2018"/>
    <s v="ΔΙΕΥΘΥΝΣΗ Π.Ε. ΙΩΑΝΝΙΝΩΝ"/>
    <s v="ΠΕΡΙΦΕΡΕΙΑΚΗ Δ/ΝΣΗ Α/ΘΜΙΑΣ ΚΑΙ Β/ΘΜΙΑΣ ΕΚΠ/ΣΗΣ ΗΠΕΙΡΟΥ"/>
    <n v="22"/>
    <s v="ΟΧΙ"/>
    <m/>
    <m/>
    <m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4-13T00:00:00"/>
    <x v="1"/>
    <s v="ΔΙΕΥΘΥΝΣΗ Π.Ε. ΙΩΑΝΝΙΝΩΝ"/>
    <n v="49.405555555555559"/>
    <s v="46 - 50"/>
  </r>
  <r>
    <n v="99913490"/>
    <s v="Α"/>
    <x v="18"/>
    <x v="18"/>
    <m/>
    <m/>
    <s v="Γ΄"/>
    <n v="1"/>
    <s v="4703/1-10-2016"/>
    <d v="2018-09-01T00:00:00"/>
    <s v="ΑΡΓΟΛΙΔΑΣ (Δ.Ε.) 2018"/>
    <s v="ΔΙΕΥΘΥΝΣΗ Δ.Ε. ΑΡΓΟΛΙΔΑΣ"/>
    <s v="ΠΕΡΙΦΕΡΕΙΑΚΗ Δ/ΝΣΗ Α/ΘΜΙΑΣ ΚΑΙ Β/ΘΜΙΑΣ ΕΚΠ/ΣΗΣ ΠΕΛΟΠΟΝΝΗΣΟΥ"/>
    <n v="5"/>
    <s v="ΟΧΙ"/>
    <m/>
    <m/>
    <m/>
    <s v="ΟΧΙ"/>
    <m/>
    <d v="2018-09-01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70-04-13T00:00:00"/>
    <x v="0"/>
    <s v="ΔΙΕΥΘΥΝΣΗ Δ.Ε. ΑΡΓΟΛΙΔΑΣ"/>
    <n v="49.405555555555559"/>
    <s v="46 - 50"/>
  </r>
  <r>
    <n v="99913491"/>
    <s v="Α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0-04-11T00:00:00"/>
    <x v="0"/>
    <s v="ΔΙΕΥΘΥΝΣΗ Δ.Ε. Β΄ ΑΘΗΝΑΣ"/>
    <n v="49.411111111111111"/>
    <s v="46 - 50"/>
  </r>
  <r>
    <n v="99913492"/>
    <s v="Θ"/>
    <x v="3"/>
    <x v="3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7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4-10T00:00:00"/>
    <x v="0"/>
    <s v="ΔΙΕΥΘΥΝΣΗ Δ.Ε. ΑΝΑΤ. ΘΕΣ/ΝΙΚΗΣ"/>
    <n v="49.413888888888891"/>
    <s v="46 - 50"/>
  </r>
  <r>
    <n v="9991349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09T00:00:00"/>
    <x v="0"/>
    <s v="ΔΙΕΥΘΥΝΣΗ Δ.Ε. ΑΝΑΤΟΛΙΚΗΣ ΑΤΤΙΚΗΣ"/>
    <n v="49.416666666666664"/>
    <s v="46 - 50"/>
  </r>
  <r>
    <n v="99913494"/>
    <s v="Α"/>
    <x v="3"/>
    <x v="3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4-08T00:00:00"/>
    <x v="0"/>
    <s v="ΔΙΕΥΘΥΝΣΗ Δ.Ε. ΑΝΑΤ. ΘΕΣ/ΝΙΚΗΣ"/>
    <n v="49.419444444444444"/>
    <s v="46 - 50"/>
  </r>
  <r>
    <n v="99913495"/>
    <s v="Α"/>
    <x v="8"/>
    <x v="8"/>
    <m/>
    <m/>
    <s v="Α΄"/>
    <n v="5"/>
    <s v="5627γ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4-06T00:00:00"/>
    <x v="1"/>
    <s v="ΔΙΕΥΘΥΝΣΗ Π.Ε. ΑΝΑΤΟΛΙΚΗΣ ΑΤΤΙΚΗΣ"/>
    <n v="49.424999999999997"/>
    <s v="46 - 50"/>
  </r>
  <r>
    <n v="99913496"/>
    <s v="Θ"/>
    <x v="3"/>
    <x v="3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4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4-06T00:00:00"/>
    <x v="0"/>
    <s v="ΔΙΕΥΘΥΝΣΗ Δ.Ε. ΣΕΡΡΩΝ"/>
    <n v="49.424999999999997"/>
    <s v="46 - 50"/>
  </r>
  <r>
    <n v="99913497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4-01T00:00:00"/>
    <x v="0"/>
    <s v="ΔΙΕΥΘΥΝΣΗ Δ.Ε. Γ΄ ΑΘΗΝΑΣ"/>
    <n v="49.43888888888889"/>
    <s v="46 - 50"/>
  </r>
  <r>
    <n v="99913498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3-31T00:00:00"/>
    <x v="0"/>
    <s v="ΔΙΕΥΘΥΝΣΗ Δ.Ε. Β΄ ΑΘΗΝΑΣ"/>
    <n v="49.44166666666667"/>
    <s v="46 - 50"/>
  </r>
  <r>
    <n v="9991349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3-30T00:00:00"/>
    <x v="0"/>
    <s v="ΔΙΕΥΘΥΝΣΗ Δ.Ε. Β΄ ΑΘΗΝΑΣ"/>
    <n v="49.444444444444443"/>
    <s v="46 - 50"/>
  </r>
  <r>
    <n v="99913500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3-28T00:00:00"/>
    <x v="1"/>
    <s v="ΔΙΕΥΘΥΝΣΗ Π.Ε. Β΄ ΑΘΗΝΑΣ"/>
    <n v="49.45"/>
    <s v="46 - 50"/>
  </r>
  <r>
    <n v="99913501"/>
    <s v="Θ"/>
    <x v="1"/>
    <x v="1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1"/>
    <s v="7201004"/>
    <s v="ΙΔΙΩΤΙΚΟ ΔΗΜΟΤΙΚΟ - ΜΟΡΦΩΤΙΚΟΣ ΚΑΙ ΠΟΛΙΤΙΣΤΙΚΟΣ ΣΥΛΛΟΓΟΣ &quot;ΤΟ ΑΝΘΟΣ&quot; (ΔΟΥΡΑΧΑΝΗΣ)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70-03-22T00:00:00"/>
    <x v="1"/>
    <s v="ΔΙΕΥΘΥΝΣΗ Π.Ε. ΙΩΑΝΝΙΝΩΝ"/>
    <n v="49.466666666666669"/>
    <s v="46 - 50"/>
  </r>
  <r>
    <n v="99913502"/>
    <s v="Θ"/>
    <x v="0"/>
    <x v="0"/>
    <m/>
    <m/>
    <s v="Γ΄"/>
    <n v="12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3-21T00:00:00"/>
    <x v="1"/>
    <s v="ΔΙΕΥΘΥΝΣΗ Π.Ε. Β΄ ΑΘΗΝΑΣ"/>
    <n v="49.469444444444441"/>
    <s v="46 - 50"/>
  </r>
  <r>
    <n v="99913503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3-19T00:00:00"/>
    <x v="0"/>
    <s v="ΔΙΕΥΘΥΝΣΗ Δ.Ε. Δ΄ ΑΘΗΝΑΣ"/>
    <n v="49.475000000000001"/>
    <s v="46 - 50"/>
  </r>
  <r>
    <n v="99913504"/>
    <s v="Θ"/>
    <x v="2"/>
    <x v="2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s v="ΟΧΙ"/>
    <s v="ΟΧΙ"/>
    <m/>
    <m/>
    <s v="Ιδιωτικά Σχολεία"/>
    <x v="2"/>
    <s v="7501013"/>
    <s v="ΙΔΙΩΤΙΚΟΣΥΣΤΕΓΑΖΟΜΕΝΟ ΝΗΠΙΑΓΩΓΕΙΟ ΧΑΝΙΑ - ΠΑΠΑΔΟΠΕΤΡΟΥ ΙΩΑΝΝΑ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70-03-17T00:00:00"/>
    <x v="1"/>
    <s v="ΔΙΕΥΘΥΝΣΗ Π.Ε. ΧΑΝΙΩΝ"/>
    <n v="49.480555555555554"/>
    <s v="46 - 50"/>
  </r>
  <r>
    <n v="99913505"/>
    <s v="Α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3-14T00:00:00"/>
    <x v="0"/>
    <s v="ΔΙΕΥΘΥΝΣΗ Δ.Ε. Β΄ ΑΘΗΝΑΣ"/>
    <n v="49.488888888888887"/>
    <s v="46 - 50"/>
  </r>
  <r>
    <n v="99913506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3-12T00:00:00"/>
    <x v="0"/>
    <s v="ΔΙΕΥΘΥΝΣΗ Δ.Ε. Δ΄ ΑΘΗΝΑΣ"/>
    <n v="49.494444444444447"/>
    <s v="46 - 50"/>
  </r>
  <r>
    <n v="99913507"/>
    <s v="Θ"/>
    <x v="6"/>
    <x v="6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3-03T00:00:00"/>
    <x v="1"/>
    <s v="ΔΙΕΥΘΥΝΣΗ Π.Ε. ΑΝΑΤ. ΘΕΣ/ΝΙΚΗΣ"/>
    <n v="49.519444444444446"/>
    <s v="46 - 50"/>
  </r>
  <r>
    <n v="99913508"/>
    <s v="Θ"/>
    <x v="6"/>
    <x v="6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2-26T00:00:00"/>
    <x v="1"/>
    <s v="ΔΙΕΥΘΥΝΣΗ Π.Ε. Β΄ ΑΘΗΝΑΣ"/>
    <n v="49.533333333333331"/>
    <s v="46 - 50"/>
  </r>
  <r>
    <n v="99913509"/>
    <s v="Θ"/>
    <x v="0"/>
    <x v="0"/>
    <m/>
    <m/>
    <s v="Α΄"/>
    <n v="12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2-24T00:00:00"/>
    <x v="1"/>
    <s v="ΔΙΕΥΘΥΝΣΗ Π.Ε. ΑΝΑΤΟΛΙΚΗΣ ΑΤΤΙΚΗΣ"/>
    <n v="49.538888888888891"/>
    <s v="46 - 50"/>
  </r>
  <r>
    <n v="99913510"/>
    <s v="Α"/>
    <x v="38"/>
    <x v="37"/>
    <s v="ΠΕ86"/>
    <s v="ΠΛΗΡΟΦΟΡΙΚΗΣ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9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2-24T00:00:00"/>
    <x v="0"/>
    <s v="ΔΙΕΥΘΥΝΣΗ Δ.Ε. ΑΝΑΤ. ΘΕΣ/ΝΙΚΗΣ"/>
    <n v="49.538888888888891"/>
    <s v="46 - 50"/>
  </r>
  <r>
    <n v="99913511"/>
    <s v="Θ"/>
    <x v="10"/>
    <x v="1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2-23T00:00:00"/>
    <x v="0"/>
    <s v="ΔΙΕΥΘΥΝΣΗ Δ.Ε. ΑΝΑΤΟΛΙΚΗΣ ΑΤΤΙΚΗΣ"/>
    <n v="49.541666666666664"/>
    <s v="46 - 50"/>
  </r>
  <r>
    <n v="99913512"/>
    <s v="Θ"/>
    <x v="9"/>
    <x v="9"/>
    <s v="ΠΕ02"/>
    <s v="ΦΙΛΟΛΟΓΟΙ"/>
    <s v="Α΄"/>
    <n v="1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94-09-12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2-19T00:00:00"/>
    <x v="0"/>
    <s v="ΔΙΕΥΘΥΝΣΗ Δ.Ε. Α΄ ΑΘΗΝΑΣ"/>
    <n v="49.552777777777777"/>
    <s v="46 - 50"/>
  </r>
  <r>
    <n v="99913513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2-16T00:00:00"/>
    <x v="0"/>
    <s v="ΔΙΕΥΘΥΝΣΗ Δ.Ε. ΑΝΑΤ. ΘΕΣ/ΝΙΚΗΣ"/>
    <n v="49.56111111111111"/>
    <s v="46 - 50"/>
  </r>
  <r>
    <n v="99913514"/>
    <s v="Θ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2-12T00:00:00"/>
    <x v="0"/>
    <s v="ΔΙΕΥΘΥΝΣΗ Δ.Ε. Γ΄ ΑΘΗΝΑΣ"/>
    <n v="49.572222222222223"/>
    <s v="46 - 50"/>
  </r>
  <r>
    <n v="99913515"/>
    <s v="Θ"/>
    <x v="6"/>
    <x v="6"/>
    <m/>
    <m/>
    <s v="Α΄"/>
    <n v="5"/>
    <s v="Φ.Ι.Α.1/21895/15-1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d v="2012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2-10T00:00:00"/>
    <x v="1"/>
    <s v="ΔΙΕΥΘΥΝΣΗ Π.Ε. ΑΝΑΤΟΛΙΚΗΣ ΑΤΤΙΚΗΣ"/>
    <n v="49.577777777777776"/>
    <s v="46 - 50"/>
  </r>
  <r>
    <n v="99913516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2-06T00:00:00"/>
    <x v="1"/>
    <s v="ΔΙΕΥΘΥΝΣΗ Π.Ε. Α΄ ΑΘΗΝΑΣ"/>
    <n v="49.588888888888889"/>
    <s v="46 - 50"/>
  </r>
  <r>
    <n v="99913517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2-04T00:00:00"/>
    <x v="0"/>
    <s v="ΔΙΕΥΘΥΝΣΗ Δ.Ε. Β΄ ΑΘΗΝΑΣ"/>
    <n v="49.594444444444441"/>
    <s v="46 - 50"/>
  </r>
  <r>
    <n v="99913518"/>
    <s v="Α"/>
    <x v="7"/>
    <x v="7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30T00:00:00"/>
    <x v="0"/>
    <s v="ΔΙΕΥΘΥΝΣΗ Δ.Ε. Δ΄ ΑΘΗΝΑΣ"/>
    <n v="49.608333333333334"/>
    <s v="46 - 50"/>
  </r>
  <r>
    <n v="99913519"/>
    <s v="Θ"/>
    <x v="8"/>
    <x v="8"/>
    <m/>
    <m/>
    <s v="Α΄"/>
    <n v="5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0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1-16T00:00:00"/>
    <x v="1"/>
    <s v="ΔΙΕΥΘΥΝΣΗ Π.Ε. ΑΝΑΤΟΛΙΚΗΣ ΑΤΤΙΚΗΣ"/>
    <n v="49.647222222222226"/>
    <s v="46 - 50"/>
  </r>
  <r>
    <n v="99913520"/>
    <s v="Θ"/>
    <x v="2"/>
    <x v="2"/>
    <m/>
    <m/>
    <s v="Α΄"/>
    <n v="1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m/>
    <s v="Ιδιωτικά Σχολεία"/>
    <x v="2"/>
    <s v="7061041"/>
    <s v="ΙΔΙΩΤΙΚΟ ΝΗΠΙΑΓΩΓΕΙΟ ΑΙΓΙΟ - ΕΚΚΛΗΣΙΑΣΤΙΚΟΣ ΒΡΕΦΟΝΗΠΙΑΚΟΣ ΣΤΑΘΜΟΣ ΤΑ ΑΓΓΕΛΟΥΔΑΚΙΑ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70-01-15T00:00:00"/>
    <x v="1"/>
    <s v="ΔΙΕΥΘΥΝΣΗ Π.Ε. ΑΧΑΪΑΣ"/>
    <n v="49.65"/>
    <s v="46 - 50"/>
  </r>
  <r>
    <n v="99913521"/>
    <s v="Α"/>
    <x v="0"/>
    <x v="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1-11T00:00:00"/>
    <x v="0"/>
    <s v="ΔΙΕΥΘΥΝΣΗ Δ.Ε. ΛΑΡΙΣΑΣ"/>
    <n v="49.661111111111111"/>
    <s v="46 - 50"/>
  </r>
  <r>
    <n v="99913522"/>
    <s v="Θ"/>
    <x v="14"/>
    <x v="1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10T00:00:00"/>
    <x v="0"/>
    <s v="ΔΙΕΥΘΥΝΣΗ Δ.Ε. ΠΕΙΡΑΙΑ"/>
    <n v="49.663888888888891"/>
    <s v="46 - 50"/>
  </r>
  <r>
    <n v="9991352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2T00:00:00"/>
    <x v="0"/>
    <s v="ΔΙΕΥΘΥΝΣΗ Δ.Ε. ΑΝΑΤΟΛΙΚΗΣ ΑΤΤΙΚΗΣ"/>
    <n v="49.68611111111111"/>
    <s v="46 - 50"/>
  </r>
  <r>
    <n v="99913524"/>
    <s v="Θ"/>
    <x v="14"/>
    <x v="14"/>
    <s v="ΠΕ03"/>
    <s v="ΜΑΘΗΜΑΤΙΚΟΙ"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0"/>
    <s v="ΔΙΕΥΘΥΝΣΗ Δ.Ε. ΑΝΑΤΟΛΙΚΗΣ ΑΤΤΙΚΗΣ"/>
    <n v="49.68888888888889"/>
    <s v="46 - 50"/>
  </r>
  <r>
    <n v="99913525"/>
    <s v="Α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0"/>
    <s v="ΔΙΕΥΘΥΝΣΗ Δ.Ε. ΑΝΑΤΟΛΙΚΗΣ ΑΤΤΙΚΗΣ"/>
    <n v="49.68888888888889"/>
    <s v="46 - 50"/>
  </r>
  <r>
    <n v="99913526"/>
    <s v="Θ"/>
    <x v="8"/>
    <x v="8"/>
    <m/>
    <m/>
    <s v="Γ΄"/>
    <n v="1"/>
    <s v="16688/ 02/10/2018"/>
    <d v="2018-09-11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8-09-11T00:00:00"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70-01-01T00:00:00"/>
    <x v="0"/>
    <s v="ΔΙΕΥΘΥΝΣΗ Δ.Ε. ΑΝΑΤΟΛΙΚΗΣ ΑΤΤΙΚΗΣ"/>
    <n v="49.68888888888889"/>
    <s v="46 - 50"/>
  </r>
  <r>
    <n v="99913527"/>
    <s v="Α"/>
    <x v="11"/>
    <x v="11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1-01T00:00:00"/>
    <x v="0"/>
    <s v="ΔΙΕΥΘΥΝΣΗ Δ.Ε. Γ΄ ΑΘΗΝΑΣ"/>
    <n v="49.68888888888889"/>
    <s v="46 - 50"/>
  </r>
  <r>
    <n v="99913528"/>
    <s v="Θ"/>
    <x v="0"/>
    <x v="0"/>
    <m/>
    <m/>
    <s v="Α΄"/>
    <n v="2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0"/>
    <s v="ΔΙΕΥΘΥΝΣΗ Δ.Ε. Δ΄ ΑΘΗΝΑΣ"/>
    <n v="49.68888888888889"/>
    <s v="46 - 50"/>
  </r>
  <r>
    <n v="99913529"/>
    <s v="Θ"/>
    <x v="5"/>
    <x v="5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0"/>
    <s v="ΔΙΕΥΘΥΝΣΗ Δ.Ε. Δ΄ ΑΘΗΝΑΣ"/>
    <n v="49.68888888888889"/>
    <s v="46 - 50"/>
  </r>
  <r>
    <n v="99913530"/>
    <s v="Θ"/>
    <x v="0"/>
    <x v="0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1"/>
    <s v="ΔΙΕΥΘΥΝΣΗ Π.Ε. ΑΝΑΤΟΛΙΚΗΣ ΑΤΤΙΚΗΣ"/>
    <n v="49.68888888888889"/>
    <s v="46 - 50"/>
  </r>
  <r>
    <n v="99913531"/>
    <s v="Θ"/>
    <x v="1"/>
    <x v="1"/>
    <m/>
    <m/>
    <s v="Α΄"/>
    <n v="6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10-29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1-01T00:00:00"/>
    <x v="1"/>
    <s v="ΔΙΕΥΘΥΝΣΗ Π.Ε. ΑΝΑΤΟΛΙΚΗΣ ΑΤΤΙΚΗΣ"/>
    <n v="49.68888888888889"/>
    <s v="46 - 50"/>
  </r>
  <r>
    <n v="99913532"/>
    <s v="Θ"/>
    <x v="0"/>
    <x v="0"/>
    <m/>
    <m/>
    <s v="Α΄"/>
    <n v="12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3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1"/>
    <s v="ΔΙΕΥΘΥΝΣΗ Π.Ε. ΑΝΑΤΟΛΙΚΗΣ ΑΤΤΙΚΗΣ"/>
    <n v="49.68888888888889"/>
    <s v="46 - 50"/>
  </r>
  <r>
    <n v="99913533"/>
    <s v="Α"/>
    <x v="1"/>
    <x v="1"/>
    <m/>
    <m/>
    <s v="Α΄"/>
    <n v="15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70-01-01T00:00:00"/>
    <x v="1"/>
    <s v="ΔΙΕΥΘΥΝΣΗ Π.Ε. ΑΝΑΤΟΛΙΚΗΣ ΑΤΤΙΚΗΣ"/>
    <n v="49.68888888888889"/>
    <s v="46 - 50"/>
  </r>
  <r>
    <n v="99913534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185"/>
    <s v="ΙΔΙΩΤΙΚΟ ΣΥΣΤΕΓΑΖΟΜΕΝΟ ΝΗΠΙΑΓΩΓΕΙΟ - ΗΛΙΟΦΕΓΓΑΡΟ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1"/>
    <s v="ΔΙΕΥΘΥΝΣΗ Π.Ε. Β΄ ΑΘΗΝΑΣ"/>
    <n v="49.68888888888889"/>
    <s v="46 - 50"/>
  </r>
  <r>
    <n v="99913535"/>
    <s v="Θ"/>
    <x v="6"/>
    <x v="6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70-01-01T00:00:00"/>
    <x v="1"/>
    <s v="ΔΙΕΥΘΥΝΣΗ Π.Ε. Β΄ ΑΘΗΝΑΣ"/>
    <n v="49.68888888888889"/>
    <s v="46 - 50"/>
  </r>
  <r>
    <n v="99913536"/>
    <s v="Α"/>
    <x v="8"/>
    <x v="8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1-01T00:00:00"/>
    <x v="0"/>
    <s v="ΔΙΕΥΘΥΝΣΗ Δ.Ε. ΛΑΡΙΣΑΣ"/>
    <n v="49.68888888888889"/>
    <s v="46 - 50"/>
  </r>
  <r>
    <n v="99913537"/>
    <s v="Θ"/>
    <x v="8"/>
    <x v="8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70-01-01T00:00:00"/>
    <x v="1"/>
    <s v="ΔΙΕΥΘΥΝΣΗ Π.Ε. ΛΑΡΙΣΑΣ"/>
    <n v="49.68888888888889"/>
    <s v="46 - 50"/>
  </r>
  <r>
    <n v="99913538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70-01-01T00:00:00"/>
    <x v="0"/>
    <s v="ΔΙΕΥΘΥΝΣΗ Δ.Ε. ΑΝΑΤ. ΘΕΣ/ΝΙΚΗΣ"/>
    <n v="49.68888888888889"/>
    <s v="46 - 50"/>
  </r>
  <r>
    <n v="99913539"/>
    <s v="Θ"/>
    <x v="15"/>
    <x v="15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70-01-01T00:00:00"/>
    <x v="0"/>
    <s v="ΔΙΕΥΘΥΝΣΗ Δ.Ε. ΔΥΤ. ΘΕΣ/ΝΙΚΗΣ"/>
    <n v="49.68888888888889"/>
    <s v="46 - 50"/>
  </r>
  <r>
    <n v="99913540"/>
    <s v="Θ"/>
    <x v="13"/>
    <x v="13"/>
    <m/>
    <m/>
    <s v="Γ΄"/>
    <n v="1"/>
    <s v="3855/18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6"/>
    <s v="ΟΧΙ"/>
    <s v="ΟΧΙ"/>
    <s v="ΟΧΙ"/>
    <s v="ΟΧΙ"/>
    <s v="ΟΧΙ"/>
    <m/>
    <d v="2018-09-01T00:00:00"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70-01-01T00:00:00"/>
    <x v="0"/>
    <s v="ΔΙΕΥΘΥΝΣΗ Δ.Ε. ΑΡΓΟΛΙΔΑΣ"/>
    <n v="49.68888888888889"/>
    <s v="46 - 50"/>
  </r>
  <r>
    <n v="99913541"/>
    <s v="Θ"/>
    <x v="0"/>
    <x v="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s v="ΟΧΙ"/>
    <s v="ΟΧΙ"/>
    <s v="ΟΧΙ"/>
    <s v="ΟΧΙ"/>
    <s v="ΟΧΙ"/>
    <m/>
    <m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69-12-27T00:00:00"/>
    <x v="0"/>
    <s v="ΔΙΕΥΘΥΝΣΗ Δ.Ε. ΛΑΡΙΣΑΣ"/>
    <n v="49.702777777777776"/>
    <s v="46 - 50"/>
  </r>
  <r>
    <n v="99913542"/>
    <s v="Θ"/>
    <x v="9"/>
    <x v="9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m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12-24T00:00:00"/>
    <x v="0"/>
    <s v="ΔΙΕΥΘΥΝΣΗ Δ.Ε. ΜΕΣΣΗΝΙΑΣ"/>
    <n v="49.711111111111109"/>
    <s v="46 - 50"/>
  </r>
  <r>
    <n v="99913543"/>
    <s v="Α"/>
    <x v="3"/>
    <x v="3"/>
    <m/>
    <m/>
    <s v="Α΄"/>
    <n v="12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2-19T00:00:00"/>
    <x v="0"/>
    <s v="ΔΙΕΥΘΥΝΣΗ Δ.Ε. Δ΄ ΑΘΗΝΑΣ"/>
    <n v="49.725000000000001"/>
    <s v="46 - 50"/>
  </r>
  <r>
    <n v="99913544"/>
    <s v="Α"/>
    <x v="8"/>
    <x v="8"/>
    <m/>
    <m/>
    <s v="Α΄"/>
    <n v="5"/>
    <s v="5605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2-19T00:00:00"/>
    <x v="1"/>
    <s v="ΔΙΕΥΘΥΝΣΗ Π.Ε. ΑΝΑΤΟΛΙΚΗΣ ΑΤΤΙΚΗΣ"/>
    <n v="49.725000000000001"/>
    <s v="46 - 50"/>
  </r>
  <r>
    <n v="99913545"/>
    <s v="Θ"/>
    <x v="3"/>
    <x v="3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12-19T00:00:00"/>
    <x v="0"/>
    <s v="ΔΙΕΥΘΥΝΣΗ Δ.Ε. ΑΝΑΤ. ΘΕΣ/ΝΙΚΗΣ"/>
    <n v="49.725000000000001"/>
    <s v="46 - 50"/>
  </r>
  <r>
    <n v="99913546"/>
    <s v="Α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2-16T00:00:00"/>
    <x v="1"/>
    <s v="ΔΙΕΥΘΥΝΣΗ Π.Ε. Β΄ ΑΘΗΝΑΣ"/>
    <n v="49.733333333333334"/>
    <s v="46 - 50"/>
  </r>
  <r>
    <n v="99913547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2-11T00:00:00"/>
    <x v="1"/>
    <s v="ΔΙΕΥΘΥΝΣΗ Π.Ε. Β΄ ΑΘΗΝΑΣ"/>
    <n v="49.74722222222222"/>
    <s v="46 - 50"/>
  </r>
  <r>
    <n v="99913548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2-07T00:00:00"/>
    <x v="0"/>
    <s v="ΔΙΕΥΘΥΝΣΗ Δ.Ε. ΑΝΑΤΟΛΙΚΗΣ ΑΤΤΙΚΗΣ"/>
    <n v="49.758333333333333"/>
    <s v="46 - 50"/>
  </r>
  <r>
    <n v="9991354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12-07T00:00:00"/>
    <x v="0"/>
    <s v="ΔΙΕΥΘΥΝΣΗ Δ.Ε. Β΄ ΑΘΗΝΑΣ"/>
    <n v="49.758333333333333"/>
    <s v="46 - 50"/>
  </r>
  <r>
    <n v="99913550"/>
    <s v="Α"/>
    <x v="5"/>
    <x v="5"/>
    <m/>
    <m/>
    <s v="Α΄"/>
    <n v="1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0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12-06T00:00:00"/>
    <x v="0"/>
    <s v="ΔΙΕΥΘΥΝΣΗ Δ.Ε. ΔΥΤ. ΘΕΣ/ΝΙΚΗΣ"/>
    <n v="49.761111111111113"/>
    <s v="46 - 50"/>
  </r>
  <r>
    <n v="99913551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2-04T00:00:00"/>
    <x v="0"/>
    <s v="ΔΙΕΥΘΥΝΣΗ Δ.Ε. Β΄ ΑΘΗΝΑΣ"/>
    <n v="49.766666666666666"/>
    <s v="46 - 50"/>
  </r>
  <r>
    <n v="99913552"/>
    <s v="Α"/>
    <x v="8"/>
    <x v="8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8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11-28T00:00:00"/>
    <x v="0"/>
    <s v="ΔΙΕΥΘΥΝΣΗ Δ.Ε. ΤΡΙΚΑΛΩΝ"/>
    <n v="49.783333333333331"/>
    <s v="46 - 50"/>
  </r>
  <r>
    <n v="99913553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27T00:00:00"/>
    <x v="0"/>
    <s v="ΔΙΕΥΘΥΝΣΗ Δ.Ε. Β΄ ΑΘΗΝΑΣ"/>
    <n v="49.786111111111111"/>
    <s v="46 - 50"/>
  </r>
  <r>
    <n v="99913554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20T00:00:00"/>
    <x v="0"/>
    <s v="ΔΙΕΥΘΥΝΣΗ Δ.Ε. ΑΝΑΤΟΛΙΚΗΣ ΑΤΤΙΚΗΣ"/>
    <n v="49.805555555555557"/>
    <s v="46 - 50"/>
  </r>
  <r>
    <n v="99913555"/>
    <s v="Α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9T00:00:00"/>
    <x v="1"/>
    <s v="ΔΙΕΥΘΥΝΣΗ Π.Ε. Δ΄ ΑΘΗΝΑΣ"/>
    <n v="49.80833333333333"/>
    <s v="46 - 50"/>
  </r>
  <r>
    <n v="99913556"/>
    <s v="Θ"/>
    <x v="2"/>
    <x v="2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6"/>
    <s v="ΟΧΙ"/>
    <s v="ΟΧΙ"/>
    <s v="ΟΧΙ"/>
    <s v="ΟΧΙ"/>
    <s v="ΟΧΙ"/>
    <m/>
    <m/>
    <s v="Ιδιωτικά Σχολεία"/>
    <x v="2"/>
    <s v="7171019"/>
    <s v="ΙΔΙΩΤΙΚΟ ΝΗΠΙΑΓΩΓΕΙΟ ΧΕΡΣΟΝΗΣΟΥ ΚΥΡΙΑΚΑΚΗ Ε.ΛΑΜΠΡΑΚΗΣ Μ.&amp;ΣΙΑ ΟΕ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9-11-19T00:00:00"/>
    <x v="1"/>
    <s v="ΔΙΕΥΘΥΝΣΗ Π.Ε. ΗΡΑΚΛΕΙΟΥ"/>
    <n v="49.80833333333333"/>
    <s v="46 - 50"/>
  </r>
  <r>
    <n v="99913557"/>
    <s v="Θ"/>
    <x v="11"/>
    <x v="11"/>
    <m/>
    <m/>
    <s v="Α΄"/>
    <n v="10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01-09-03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7T00:00:00"/>
    <x v="0"/>
    <s v="ΔΙΕΥΘΥΝΣΗ Δ.Ε. Α΄ ΑΘΗΝΑΣ"/>
    <n v="49.81388888888889"/>
    <s v="46 - 50"/>
  </r>
  <r>
    <n v="99913558"/>
    <s v="Α"/>
    <x v="39"/>
    <x v="3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11-17T00:00:00"/>
    <x v="0"/>
    <s v="ΔΙΕΥΘΥΝΣΗ Δ.Ε. ΑΝΑΤ. ΘΕΣ/ΝΙΚΗΣ"/>
    <n v="49.81388888888889"/>
    <s v="46 - 50"/>
  </r>
  <r>
    <n v="9991355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6T00:00:00"/>
    <x v="0"/>
    <s v="ΔΙΕΥΘΥΝΣΗ Δ.Ε. Β΄ ΑΘΗΝΑΣ"/>
    <n v="49.81666666666667"/>
    <s v="46 - 50"/>
  </r>
  <r>
    <n v="99913560"/>
    <s v="Α"/>
    <x v="19"/>
    <x v="19"/>
    <m/>
    <m/>
    <s v="Γ΄"/>
    <n v="1"/>
    <s v="ΩΔΣΩ4653ΠΣ-ΞΛΦ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5T00:00:00"/>
    <x v="0"/>
    <s v="ΔΙΕΥΘΥΝΣΗ Δ.Ε. Β΄ ΑΘΗΝΑΣ"/>
    <n v="49.819444444444443"/>
    <s v="46 - 50"/>
  </r>
  <r>
    <n v="99913561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4T00:00:00"/>
    <x v="0"/>
    <s v="ΔΙΕΥΘΥΝΣΗ Δ.Ε. Γ΄ ΑΘΗΝΑΣ"/>
    <n v="49.822222222222223"/>
    <s v="46 - 50"/>
  </r>
  <r>
    <n v="99913562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4T00:00:00"/>
    <x v="0"/>
    <s v="ΔΙΕΥΘΥΝΣΗ Δ.Ε. Γ΄ ΑΘΗΝΑΣ"/>
    <n v="49.822222222222223"/>
    <s v="46 - 50"/>
  </r>
  <r>
    <n v="99913563"/>
    <s v="Α"/>
    <x v="11"/>
    <x v="11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3T00:00:00"/>
    <x v="0"/>
    <s v="ΔΙΕΥΘΥΝΣΗ Δ.Ε. ΑΝΑΤΟΛΙΚΗΣ ΑΤΤΙΚΗΣ"/>
    <n v="49.825000000000003"/>
    <s v="46 - 50"/>
  </r>
  <r>
    <n v="99913564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11T00:00:00"/>
    <x v="0"/>
    <s v="ΔΙΕΥΘΥΝΣΗ Δ.Ε. ΑΝΑΤΟΛΙΚΗΣ ΑΤΤΙΚΗΣ"/>
    <n v="49.830555555555556"/>
    <s v="46 - 50"/>
  </r>
  <r>
    <n v="99913565"/>
    <s v="Θ"/>
    <x v="1"/>
    <x v="1"/>
    <m/>
    <m/>
    <s v="Γ΄"/>
    <n v="9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11-05T00:00:00"/>
    <x v="1"/>
    <s v="ΔΙΕΥΘΥΝΣΗ Π.Ε. Β΄ ΑΘΗΝΑΣ"/>
    <n v="49.847222222222221"/>
    <s v="46 - 50"/>
  </r>
  <r>
    <n v="99913566"/>
    <s v="Θ"/>
    <x v="0"/>
    <x v="0"/>
    <m/>
    <m/>
    <s v="Γ΄"/>
    <n v="1"/>
    <s v="24/14-01-00"/>
    <d v="2018-09-01T00:00:00"/>
    <s v="Β΄ ΑΘΗΝΑΣ (Π.Ε.) 2018"/>
    <s v="ΔΙΕΥΘΥΝΣΗ Π.Ε. Β΄ ΑΘΗΝΑΣ"/>
    <s v="ΠΕΡΙΦΕΡΕΙΑΚΗ Δ/ΝΣΗ Α/ΘΜΙΑΣ ΚΑΙ Β/ΘΜΙΑΣ ΕΚΠ/ΣΗΣ ΑΤΤΙΚΗΣ"/>
    <n v="22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1-01T00:00:00"/>
    <x v="1"/>
    <s v="ΔΙΕΥΘΥΝΣΗ Π.Ε. Β΄ ΑΘΗΝΑΣ"/>
    <n v="49.858333333333334"/>
    <s v="46 - 50"/>
  </r>
  <r>
    <n v="9991356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10-26T00:00:00"/>
    <x v="0"/>
    <s v="ΔΙΕΥΘΥΝΣΗ Δ.Ε. Β΄ ΑΘΗΝΑΣ"/>
    <n v="49.875"/>
    <s v="46 - 50"/>
  </r>
  <r>
    <n v="99913568"/>
    <s v="Θ"/>
    <x v="0"/>
    <x v="0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m/>
    <s v="ΟΧΙ"/>
    <m/>
    <m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9-10-25T00:00:00"/>
    <x v="1"/>
    <s v="ΔΙΕΥΘΥΝΣΗ Π.Ε. ΙΩΑΝΝΙΝΩΝ"/>
    <n v="49.87777777777778"/>
    <s v="46 - 50"/>
  </r>
  <r>
    <n v="99913569"/>
    <s v="Α"/>
    <x v="5"/>
    <x v="5"/>
    <m/>
    <m/>
    <s v="Γ΄"/>
    <n v="1"/>
    <s v="16084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d v="2018-09-01T00:00:00"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10-21T00:00:00"/>
    <x v="0"/>
    <s v="ΔΙΕΥΘΥΝΣΗ Δ.Ε. ΛΑΡΙΣΑΣ"/>
    <n v="49.888888888888886"/>
    <s v="46 - 50"/>
  </r>
  <r>
    <n v="99913570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10-16T00:00:00"/>
    <x v="0"/>
    <s v="ΔΙΕΥΘΥΝΣΗ Δ.Ε. ΑΝΑΤΟΛΙΚΗΣ ΑΤΤΙΚΗΣ"/>
    <n v="49.902777777777779"/>
    <s v="46 - 50"/>
  </r>
  <r>
    <n v="99913571"/>
    <s v="Α"/>
    <x v="5"/>
    <x v="5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0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10-16T00:00:00"/>
    <x v="0"/>
    <s v="ΔΙΕΥΘΥΝΣΗ Δ.Ε. ΚΟΡΙΝΘΙΑΣ"/>
    <n v="49.902777777777779"/>
    <s v="46 - 50"/>
  </r>
  <r>
    <n v="99913572"/>
    <s v="Θ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10-12T00:00:00"/>
    <x v="0"/>
    <s v="ΔΙΕΥΘΥΝΣΗ Δ.Ε. ΑΝΑΤ. ΘΕΣ/ΝΙΚΗΣ"/>
    <n v="49.913888888888891"/>
    <s v="46 - 50"/>
  </r>
  <r>
    <n v="99913573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0-11T00:00:00"/>
    <x v="0"/>
    <s v="ΔΙΕΥΘΥΝΣΗ Δ.Ε. ΑΝΑΤΟΛΙΚΗΣ ΑΤΤΙΚΗΣ"/>
    <n v="49.916666666666664"/>
    <s v="46 - 50"/>
  </r>
  <r>
    <n v="99913574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0-09T00:00:00"/>
    <x v="0"/>
    <s v="ΔΙΕΥΘΥΝΣΗ Δ.Ε. Β΄ ΑΘΗΝΑΣ"/>
    <n v="49.922222222222224"/>
    <s v="46 - 50"/>
  </r>
  <r>
    <n v="99913575"/>
    <s v="Θ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0-09T00:00:00"/>
    <x v="0"/>
    <s v="ΔΙΕΥΘΥΝΣΗ Δ.Ε. Β΄ ΑΘΗΝΑΣ"/>
    <n v="49.922222222222224"/>
    <s v="46 - 50"/>
  </r>
  <r>
    <n v="99913576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10-09T00:00:00"/>
    <x v="1"/>
    <s v="ΔΙΕΥΘΥΝΣΗ Π.Ε. Β΄ ΑΘΗΝΑΣ"/>
    <n v="49.922222222222224"/>
    <s v="46 - 50"/>
  </r>
  <r>
    <n v="99913577"/>
    <s v="Θ"/>
    <x v="10"/>
    <x v="1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9-30T00:00:00"/>
    <x v="0"/>
    <s v="ΔΙΕΥΘΥΝΣΗ Δ.Ε. ΑΝΑΤ. ΘΕΣ/ΝΙΚΗΣ"/>
    <n v="49.947222222222223"/>
    <s v="46 - 50"/>
  </r>
  <r>
    <n v="99913578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105"/>
    <s v="ΙΔΙΩΤΙΚΟ - ΙΣΟΤΙΜΟ ΝΗΠΙΑΓΩΓΕΙΟ - Α΄ ΑΡΣΑΚΕΙΟ - ΤΟΣΙΤΣΕΙΟ ΝΗΠΙΑΓΩΓ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9-27T00:00:00"/>
    <x v="1"/>
    <s v="ΔΙΕΥΘΥΝΣΗ Π.Ε. ΑΝΑΤΟΛΙΚΗΣ ΑΤΤΙΚΗΣ"/>
    <n v="49.955555555555556"/>
    <s v="46 - 50"/>
  </r>
  <r>
    <n v="99913579"/>
    <s v="Α"/>
    <x v="19"/>
    <x v="19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9-27T00:00:00"/>
    <x v="0"/>
    <s v="ΔΙΕΥΘΥΝΣΗ Δ.Ε. ΛΑΡΙΣΑΣ"/>
    <n v="49.955555555555556"/>
    <s v="46 - 50"/>
  </r>
  <r>
    <n v="9991358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26T00:00:00"/>
    <x v="0"/>
    <s v="ΔΙΕΥΘΥΝΣΗ Δ.Ε. Δ΄ ΑΘΗΝΑΣ"/>
    <n v="49.958333333333336"/>
    <s v="46 - 50"/>
  </r>
  <r>
    <n v="99913581"/>
    <s v="Θ"/>
    <x v="1"/>
    <x v="1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3"/>
    <s v="ΟΧΙ"/>
    <s v="ΟΧΙ"/>
    <s v="ΟΧΙ"/>
    <m/>
    <s v="ΟΧΙ"/>
    <m/>
    <m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9-09-26T00:00:00"/>
    <x v="1"/>
    <s v="ΔΙΕΥΘΥΝΣΗ Π.Ε. ΑΙΤΩΛΟΑΚΑΡΝΑΝΙΑΣ"/>
    <n v="49.958333333333336"/>
    <s v="46 - 50"/>
  </r>
  <r>
    <n v="99913582"/>
    <s v="Α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0"/>
    <s v="ΟΧΙ"/>
    <s v="ΟΧΙ"/>
    <s v="ΟΧΙ"/>
    <s v="ΟΧΙ"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9-09-24T00:00:00"/>
    <x v="0"/>
    <s v="ΔΙΕΥΘΥΝΣΗ Δ.Ε. ΑΙΤΩΛΟΑΚΑΡΝΑΝΙΑΣ"/>
    <n v="49.963888888888889"/>
    <s v="46 - 50"/>
  </r>
  <r>
    <n v="99913583"/>
    <s v="Θ"/>
    <x v="14"/>
    <x v="14"/>
    <s v="ΠΕ03"/>
    <s v="ΜΑΘΗΜΑΤΙΚΟΙ"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21T00:00:00"/>
    <x v="1"/>
    <s v="ΔΙΕΥΘΥΝΣΗ Π.Ε. ΑΝΑΤΟΛΙΚΗΣ ΑΤΤΙΚΗΣ"/>
    <n v="49.972222222222221"/>
    <s v="46 - 50"/>
  </r>
  <r>
    <n v="99913584"/>
    <s v="Θ"/>
    <x v="10"/>
    <x v="10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20T00:00:00"/>
    <x v="1"/>
    <s v="ΔΙΕΥΘΥΝΣΗ Π.Ε. Β΄ ΑΘΗΝΑΣ"/>
    <n v="49.975000000000001"/>
    <s v="46 - 50"/>
  </r>
  <r>
    <n v="99913585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9-19T00:00:00"/>
    <x v="0"/>
    <s v="ΔΙΕΥΘΥΝΣΗ Δ.Ε. ΑΝΑΤΟΛΙΚΗΣ ΑΤΤΙΚΗΣ"/>
    <n v="49.977777777777774"/>
    <s v="46 - 50"/>
  </r>
  <r>
    <n v="99913586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13T00:00:00"/>
    <x v="0"/>
    <s v="ΔΙΕΥΘΥΝΣΗ Δ.Ε. ΠΕΙΡΑΙΑ"/>
    <n v="49.994444444444447"/>
    <s v="46 - 50"/>
  </r>
  <r>
    <n v="99913587"/>
    <s v="Θ"/>
    <x v="2"/>
    <x v="2"/>
    <m/>
    <m/>
    <s v="Α΄"/>
    <n v="5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01"/>
    <s v="ΣΥΣΤΕΓΑΖΟΜΕΝΟ ΝΗΠΙΑΓΩΓΕΙΟ- ΚΕΝΤΡΟ ΠΡΟΣΧΟΛΙΚΗΣ ΕΚΠ/ΣΗΣ ΚΑΙ ΑΓΩΓΗΣ Μ. ΜΑΡΓΩΝΗ Κ ΣΙΑ Ο.Ε. - &quot;Η ΠΑΡΕΟΥΛΑ ΜΑΣ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9-10T00:00:00"/>
    <x v="1"/>
    <s v="ΔΙΕΥΘΥΝΣΗ Π.Ε. ΜΑΓΝΗΣΙΑΣ"/>
    <n v="50.00277777777778"/>
    <s v="46 - 50"/>
  </r>
  <r>
    <n v="99913588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06T00:00:00"/>
    <x v="1"/>
    <s v="ΔΙΕΥΘΥΝΣΗ Π.Ε. Α΄ ΑΘΗΝΑΣ"/>
    <n v="50.013888888888886"/>
    <s v="46 - 50"/>
  </r>
  <r>
    <n v="99913589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03T00:00:00"/>
    <x v="0"/>
    <s v="ΔΙΕΥΘΥΝΣΗ Δ.Ε. Β΄ ΑΘΗΝΑΣ"/>
    <n v="50.022222222222226"/>
    <s v="46 - 50"/>
  </r>
  <r>
    <n v="99913590"/>
    <s v="Α"/>
    <x v="3"/>
    <x v="3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4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9-09-03T00:00:00"/>
    <x v="0"/>
    <s v="ΔΙΕΥΘΥΝΣΗ Δ.Ε. ΙΩΑΝΝΙΝΩΝ"/>
    <n v="50.022222222222226"/>
    <s v="46 - 50"/>
  </r>
  <r>
    <n v="99913591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9-01T00:00:00"/>
    <x v="0"/>
    <s v="ΔΙΕΥΘΥΝΣΗ Δ.Ε. ΠΕΙΡΑΙΑ"/>
    <n v="50.027777777777779"/>
    <s v="46 - 50"/>
  </r>
  <r>
    <n v="99913592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2-07-17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8-30T00:00:00"/>
    <x v="1"/>
    <s v="ΔΙΕΥΘΥΝΣΗ Π.Ε. ΑΝΑΤΟΛΙΚΗΣ ΑΤΤΙΚΗΣ"/>
    <n v="50.033333333333331"/>
    <s v="46 - 50"/>
  </r>
  <r>
    <n v="99913593"/>
    <s v="Θ"/>
    <x v="0"/>
    <x v="0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3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30T00:00:00"/>
    <x v="1"/>
    <s v="ΔΙΕΥΘΥΝΣΗ Π.Ε. ΑΝΑΤΟΛΙΚΗΣ ΑΤΤΙΚΗΣ"/>
    <n v="50.033333333333331"/>
    <s v="46 - 50"/>
  </r>
  <r>
    <n v="99913594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29T00:00:00"/>
    <x v="0"/>
    <s v="ΔΙΕΥΘΥΝΣΗ Δ.Ε. Β΄ ΑΘΗΝΑΣ"/>
    <n v="50.036111111111111"/>
    <s v="46 - 50"/>
  </r>
  <r>
    <n v="99913595"/>
    <s v="Α"/>
    <x v="8"/>
    <x v="8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28T00:00:00"/>
    <x v="0"/>
    <s v="ΔΙΕΥΘΥΝΣΗ Δ.Ε. ΑΝΑΤΟΛΙΚΗΣ ΑΤΤΙΚΗΣ"/>
    <n v="50.038888888888891"/>
    <s v="46 - 50"/>
  </r>
  <r>
    <n v="99913596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27T00:00:00"/>
    <x v="0"/>
    <s v="ΔΙΕΥΘΥΝΣΗ Δ.Ε. Γ΄ ΑΘΗΝΑΣ"/>
    <n v="50.041666666666664"/>
    <s v="46 - 50"/>
  </r>
  <r>
    <n v="99913597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26T00:00:00"/>
    <x v="0"/>
    <s v="ΔΙΕΥΘΥΝΣΗ Δ.Ε. Δ΄ ΑΘΗΝΑΣ"/>
    <n v="50.044444444444444"/>
    <s v="46 - 50"/>
  </r>
  <r>
    <n v="99913598"/>
    <s v="Α"/>
    <x v="1"/>
    <x v="1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26T00:00:00"/>
    <x v="1"/>
    <s v="ΔΙΕΥΘΥΝΣΗ Π.Ε. Δ΄ ΑΘΗΝΑΣ"/>
    <n v="50.044444444444444"/>
    <s v="46 - 50"/>
  </r>
  <r>
    <n v="99913599"/>
    <s v="Α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25T00:00:00"/>
    <x v="0"/>
    <s v="ΔΙΕΥΘΥΝΣΗ Δ.Ε. Β΄ ΑΘΗΝΑΣ"/>
    <n v="50.047222222222224"/>
    <s v="46 - 50"/>
  </r>
  <r>
    <n v="99913600"/>
    <s v="Θ"/>
    <x v="0"/>
    <x v="0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8-25T00:00:00"/>
    <x v="1"/>
    <s v="ΔΙΕΥΘΥΝΣΗ Π.Ε. ΑΝΑΤ. ΘΕΣ/ΝΙΚΗΣ"/>
    <n v="50.047222222222224"/>
    <s v="46 - 50"/>
  </r>
  <r>
    <n v="99913601"/>
    <s v="Θ"/>
    <x v="3"/>
    <x v="3"/>
    <m/>
    <m/>
    <s v="Γ΄"/>
    <n v="1"/>
    <s v="ΦΕΚ 215/τ. Γ΄/ 18/9/2002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8-24T00:00:00"/>
    <x v="0"/>
    <s v="ΔΙΕΥΘΥΝΣΗ Δ.Ε. ΑΝΑΤΟΛΙΚΗΣ ΑΤΤΙΚΗΣ"/>
    <n v="50.05"/>
    <s v="46 - 50"/>
  </r>
  <r>
    <n v="99913602"/>
    <s v="Θ"/>
    <x v="0"/>
    <x v="0"/>
    <m/>
    <m/>
    <s v="Α΄"/>
    <n v="11"/>
    <s v="Φ.60.2/9503/20-2-2003"/>
    <d v="2002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02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18T00:00:00"/>
    <x v="1"/>
    <s v="ΔΙΕΥΘΥΝΣΗ Π.Ε. ΑΝΑΤΟΛΙΚΗΣ ΑΤΤΙΚΗΣ"/>
    <n v="50.06666666666667"/>
    <s v="46 - 50"/>
  </r>
  <r>
    <n v="99913603"/>
    <s v="Θ"/>
    <x v="11"/>
    <x v="11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s v="ΟΧΙ"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08-17T00:00:00"/>
    <x v="0"/>
    <s v="ΔΙΕΥΘΥΝΣΗ Δ.Ε. ΜΕΣΣΗΝΙΑΣ"/>
    <n v="50.069444444444443"/>
    <s v="46 - 50"/>
  </r>
  <r>
    <n v="9991360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14T00:00:00"/>
    <x v="0"/>
    <s v="ΔΙΕΥΘΥΝΣΗ Δ.Ε. Β΄ ΑΘΗΝΑΣ"/>
    <n v="50.077777777777776"/>
    <s v="46 - 50"/>
  </r>
  <r>
    <n v="99913605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14T00:00:00"/>
    <x v="0"/>
    <s v="ΔΙΕΥΘΥΝΣΗ Δ.Ε. Γ΄ ΑΘΗΝΑΣ"/>
    <n v="50.077777777777776"/>
    <s v="46 - 50"/>
  </r>
  <r>
    <n v="99913606"/>
    <s v="Θ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s v="ΟΧΙ"/>
    <s v="ΟΧΙ"/>
    <s v="ΟΧΙ"/>
    <m/>
    <s v="ΟΧΙ"/>
    <m/>
    <m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9-08-14T00:00:00"/>
    <x v="0"/>
    <s v="ΔΙΕΥΘΥΝΣΗ Δ.Ε. ΑΙΤΩΛΟΑΚΑΡΝΑΝΙΑΣ"/>
    <n v="50.077777777777776"/>
    <s v="46 - 50"/>
  </r>
  <r>
    <n v="99913607"/>
    <s v="Θ"/>
    <x v="2"/>
    <x v="2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m/>
    <s v="ΟΧΙ"/>
    <m/>
    <m/>
    <s v="Ιδιωτικά Σχολεία"/>
    <x v="2"/>
    <s v="7061007"/>
    <s v="ΙΔΙΩΤΙΚΟ ΝΗΠΙΑΓΩΓΕΙΟ ΑΙΓΙΟ - ΝΙΚΟΛΟΠΟΥΛΟΥ ΤΡΙΣΕΥΓΕΝΗ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9-08-13T00:00:00"/>
    <x v="1"/>
    <s v="ΔΙΕΥΘΥΝΣΗ Π.Ε. ΑΧΑΪΑΣ"/>
    <n v="50.080555555555556"/>
    <s v="46 - 50"/>
  </r>
  <r>
    <n v="99913608"/>
    <s v="Α"/>
    <x v="8"/>
    <x v="8"/>
    <m/>
    <m/>
    <s v="Γ΄"/>
    <n v="1"/>
    <n v="6569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m/>
    <m/>
    <m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9-08-10T00:00:00"/>
    <x v="0"/>
    <s v="ΔΙΕΥΘΥΝΣΗ Δ.Ε. ΔΥΤ. ΘΕΣ/ΝΙΚΗΣ"/>
    <n v="50.088888888888889"/>
    <s v="46 - 50"/>
  </r>
  <r>
    <n v="99913609"/>
    <s v="Θ"/>
    <x v="2"/>
    <x v="2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201001"/>
    <s v="ΙΔΙΩΤΙΚΟ ΣΥΣΤΕΓΑΖΟΜΕΝΟ ΝΗΠΙΑΓΩΓΕΙΟ - ΣΥΓΧΡΟΝΟ ΝΗΠΙΑΓΩΓΕΙΟ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9-08-08T00:00:00"/>
    <x v="1"/>
    <s v="ΔΙΕΥΘΥΝΣΗ Π.Ε. ΙΩΑΝΝΙΝΩΝ"/>
    <n v="50.094444444444441"/>
    <s v="46 - 50"/>
  </r>
  <r>
    <n v="99913610"/>
    <s v="Α"/>
    <x v="8"/>
    <x v="8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7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07T00:00:00"/>
    <x v="0"/>
    <s v="ΔΙΕΥΘΥΝΣΗ Δ.Ε. Δ΄ ΑΘΗΝΑΣ"/>
    <n v="50.097222222222221"/>
    <s v="46 - 50"/>
  </r>
  <r>
    <n v="99913611"/>
    <s v="Α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07T00:00:00"/>
    <x v="0"/>
    <s v="ΔΙΕΥΘΥΝΣΗ Δ.Ε. ΠΕΙΡΑΙΑ"/>
    <n v="50.097222222222221"/>
    <s v="46 - 50"/>
  </r>
  <r>
    <n v="99913612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04T00:00:00"/>
    <x v="0"/>
    <s v="ΔΙΕΥΘΥΝΣΗ Δ.Ε. Β΄ ΑΘΗΝΑΣ"/>
    <n v="50.105555555555554"/>
    <s v="46 - 50"/>
  </r>
  <r>
    <n v="99913613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02T00:00:00"/>
    <x v="0"/>
    <s v="ΔΙΕΥΘΥΝΣΗ Δ.Ε. Β΄ ΑΘΗΝΑΣ"/>
    <n v="50.111111111111114"/>
    <s v="46 - 50"/>
  </r>
  <r>
    <n v="99913614"/>
    <s v="Θ"/>
    <x v="6"/>
    <x v="6"/>
    <m/>
    <m/>
    <s v="Α΄"/>
    <n v="7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8-02T00:00:00"/>
    <x v="1"/>
    <s v="ΔΙΕΥΘΥΝΣΗ Π.Ε. ΑΝΑΤΟΛΙΚΗΣ ΑΤΤΙΚΗΣ"/>
    <n v="50.111111111111114"/>
    <s v="46 - 50"/>
  </r>
  <r>
    <n v="99913615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01T00:00:00"/>
    <x v="0"/>
    <s v="ΔΙΕΥΘΥΝΣΗ Δ.Ε. Β΄ ΑΘΗΝΑΣ"/>
    <n v="50.113888888888887"/>
    <s v="46 - 50"/>
  </r>
  <r>
    <n v="99913616"/>
    <s v="Θ"/>
    <x v="1"/>
    <x v="1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8-01T00:00:00"/>
    <x v="1"/>
    <s v="ΔΙΕΥΘΥΝΣΗ Π.Ε. Δ΄ ΑΘΗΝΑΣ"/>
    <n v="50.113888888888887"/>
    <s v="46 - 50"/>
  </r>
  <r>
    <n v="99913617"/>
    <s v="Θ"/>
    <x v="10"/>
    <x v="1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31T00:00:00"/>
    <x v="0"/>
    <s v="ΔΙΕΥΘΥΝΣΗ Δ.Ε. ΑΝΑΤΟΛΙΚΗΣ ΑΤΤΙΚΗΣ"/>
    <n v="50.116666666666667"/>
    <s v="46 - 50"/>
  </r>
  <r>
    <n v="99913618"/>
    <s v="Θ"/>
    <x v="0"/>
    <x v="0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31T00:00:00"/>
    <x v="0"/>
    <s v="ΔΙΕΥΘΥΝΣΗ Δ.Ε. Δ΄ ΑΘΗΝΑΣ"/>
    <n v="50.116666666666667"/>
    <s v="46 - 50"/>
  </r>
  <r>
    <n v="99913619"/>
    <s v="Θ"/>
    <x v="2"/>
    <x v="2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311009"/>
    <s v="ΙΔΙΩΤΙΚΟ ΝΗΠΙΑΓΩΓΕΙΟ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7-31T00:00:00"/>
    <x v="1"/>
    <s v="ΔΙΕΥΘΥΝΣΗ Π.Ε. ΛΑΡΙΣΑΣ"/>
    <n v="50.116666666666667"/>
    <s v="46 - 50"/>
  </r>
  <r>
    <n v="99913620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052016"/>
    <s v="ΙΔΙΩΤΙΚΟ ΔΗΜΟΤΙΚΟ - ΕΚΠΑΙΔΕΥΤΗΡΙΑ Κ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28T00:00:00"/>
    <x v="1"/>
    <s v="ΔΙΕΥΘΥΝΣΗ Π.Ε. Β΄ ΑΘΗΝΑΣ"/>
    <n v="50.125"/>
    <s v="46 - 50"/>
  </r>
  <r>
    <n v="99913621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25T00:00:00"/>
    <x v="0"/>
    <s v="ΔΙΕΥΘΥΝΣΗ Δ.Ε. ΠΕΙΡΑΙΑ"/>
    <n v="50.133333333333333"/>
    <s v="46 - 50"/>
  </r>
  <r>
    <n v="99913622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24T00:00:00"/>
    <x v="0"/>
    <s v="ΔΙΕΥΘΥΝΣΗ Δ.Ε. Β΄ ΑΘΗΝΑΣ"/>
    <n v="50.136111111111113"/>
    <s v="46 - 50"/>
  </r>
  <r>
    <n v="99913623"/>
    <s v="Θ"/>
    <x v="2"/>
    <x v="2"/>
    <m/>
    <m/>
    <s v="Α΄"/>
    <n v="4"/>
    <s v="1524/8-9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d v="2018-09-01T00:00:00"/>
    <s v="Ιδιωτικά Σχολεία"/>
    <x v="2"/>
    <s v="7061005"/>
    <s v="ΙΔΙΩΤΙΚΟ ΝΗΠΙΑΓΩΓΕΙΟ ΑΙΓΙΟ - ΔΗΜΟΠΟΥΛΟΥ ΜΑΡΙΑΝΘΗ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9-07-24T00:00:00"/>
    <x v="1"/>
    <s v="ΔΙΕΥΘΥΝΣΗ Π.Ε. ΑΧΑΪΑΣ"/>
    <n v="50.136111111111113"/>
    <s v="46 - 50"/>
  </r>
  <r>
    <n v="99913624"/>
    <s v="Α"/>
    <x v="14"/>
    <x v="14"/>
    <s v="ΠΕ03"/>
    <s v="ΜΑΘΗΜΑΤΙΚΟΙ"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7-24T00:00:00"/>
    <x v="0"/>
    <s v="ΔΙΕΥΘΥΝΣΗ Δ.Ε. ΤΡΙΚΑΛΩΝ"/>
    <n v="50.136111111111113"/>
    <s v="46 - 50"/>
  </r>
  <r>
    <n v="99913625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23T00:00:00"/>
    <x v="0"/>
    <s v="ΔΙΕΥΘΥΝΣΗ Δ.Ε. ΑΝΑΤΟΛΙΚΗΣ ΑΤΤΙΚΗΣ"/>
    <n v="50.138888888888886"/>
    <s v="46 - 50"/>
  </r>
  <r>
    <n v="99913626"/>
    <s v="Θ"/>
    <x v="2"/>
    <x v="2"/>
    <m/>
    <m/>
    <s v="Γ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5"/>
    <s v="ΟΧΙ"/>
    <s v="ΟΧΙ"/>
    <s v="ΟΧΙ"/>
    <m/>
    <s v="ΟΧΙ"/>
    <m/>
    <m/>
    <s v="Ιδιωτικά Σχολεία"/>
    <x v="2"/>
    <s v="7011001"/>
    <s v="ΙΔΙΩΤΙΚΟ ΝΗΠΙΑΓΩΓΕΙΟ - ΜΑΓΙΚΟΣ ΠΑΡΑΜΥΘΕΝΙΟΣ ΚΟΣΜΟΣ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9-07-23T00:00:00"/>
    <x v="1"/>
    <s v="ΔΙΕΥΘΥΝΣΗ Π.Ε. ΑΙΤΩΛΟΑΚΑΡΝΑΝΙΑΣ"/>
    <n v="50.138888888888886"/>
    <s v="46 - 50"/>
  </r>
  <r>
    <n v="99913627"/>
    <s v="Θ"/>
    <x v="3"/>
    <x v="3"/>
    <m/>
    <m/>
    <s v="Γ΄"/>
    <n v="1"/>
    <n v="20348"/>
    <d v="2017-10-12T00:00:00"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d v="2017-10-12T00:00:00"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9-07-22T00:00:00"/>
    <x v="0"/>
    <s v="ΔΙΕΥΘΥΝΣΗ Δ.Ε. ΠΕΙΡΑΙΑ"/>
    <n v="50.141666666666666"/>
    <s v="46 - 50"/>
  </r>
  <r>
    <n v="99913628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21T00:00:00"/>
    <x v="1"/>
    <s v="ΔΙΕΥΘΥΝΣΗ Π.Ε. Α΄ ΑΘΗΝΑΣ"/>
    <n v="50.144444444444446"/>
    <s v="46 - 50"/>
  </r>
  <r>
    <n v="99913629"/>
    <s v="Α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18T00:00:00"/>
    <x v="0"/>
    <s v="ΔΙΕΥΘΥΝΣΗ Δ.Ε. Β΄ ΑΘΗΝΑΣ"/>
    <n v="50.152777777777779"/>
    <s v="46 - 50"/>
  </r>
  <r>
    <n v="99913630"/>
    <s v="Θ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7-15T00:00:00"/>
    <x v="1"/>
    <s v="ΔΙΕΥΘΥΝΣΗ Π.Ε. ΑΝΑΤ. ΘΕΣ/ΝΙΚΗΣ"/>
    <n v="50.161111111111111"/>
    <s v="46 - 50"/>
  </r>
  <r>
    <n v="99913631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49"/>
    <s v="ΙΔΙΩΤΙΚΟ ΝΗΠΙΑΓΩΓΕΙΟ ΠΑΝΟΡΑΜΑ - ΠΑΙΔΙΚΟΡΑΜ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7-13T00:00:00"/>
    <x v="1"/>
    <s v="ΔΙΕΥΘΥΝΣΗ Π.Ε. ΑΝΑΤ. ΘΕΣ/ΝΙΚΗΣ"/>
    <n v="50.166666666666664"/>
    <s v="46 - 50"/>
  </r>
  <r>
    <n v="99913632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10T00:00:00"/>
    <x v="0"/>
    <s v="ΔΙΕΥΘΥΝΣΗ Δ.Ε. Δ΄ ΑΘΗΝΑΣ"/>
    <n v="50.174999999999997"/>
    <s v="46 - 50"/>
  </r>
  <r>
    <n v="99913633"/>
    <s v="Α"/>
    <x v="19"/>
    <x v="19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7-09T00:00:00"/>
    <x v="0"/>
    <s v="ΔΙΕΥΘΥΝΣΗ Δ.Ε. Δ΄ ΑΘΗΝΑΣ"/>
    <n v="50.177777777777777"/>
    <s v="46 - 50"/>
  </r>
  <r>
    <n v="99913634"/>
    <s v="Α"/>
    <x v="19"/>
    <x v="19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0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07-02T00:00:00"/>
    <x v="0"/>
    <s v="ΔΙΕΥΘΥΝΣΗ Δ.Ε. ΑΡΓΟΛΙΔΑΣ"/>
    <n v="50.197222222222223"/>
    <s v="46 - 50"/>
  </r>
  <r>
    <n v="99913635"/>
    <s v="Θ"/>
    <x v="6"/>
    <x v="6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1"/>
    <s v="ΟΧΙ"/>
    <s v="ΟΧΙ"/>
    <s v="ΟΧΙ"/>
    <s v="ΟΧΙ"/>
    <s v="ΟΧΙ"/>
    <m/>
    <m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06-30T00:00:00"/>
    <x v="0"/>
    <s v="ΔΙΕΥΘΥΝΣΗ Δ.Ε. ΑΡΓΟΛΙΔΑΣ"/>
    <n v="50.202777777777776"/>
    <s v="46 - 50"/>
  </r>
  <r>
    <n v="99913636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6-29T00:00:00"/>
    <x v="0"/>
    <s v="ΔΙΕΥΘΥΝΣΗ Δ.Ε. ΑΝΑΤΟΛΙΚΗΣ ΑΤΤΙΚΗΣ"/>
    <n v="50.205555555555556"/>
    <s v="46 - 50"/>
  </r>
  <r>
    <n v="99913637"/>
    <s v="Θ"/>
    <x v="11"/>
    <x v="11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6-21T00:00:00"/>
    <x v="0"/>
    <s v="ΔΙΕΥΘΥΝΣΗ Δ.Ε. Α΄ ΑΘΗΝΑΣ"/>
    <n v="50.227777777777774"/>
    <s v="46 - 50"/>
  </r>
  <r>
    <n v="99913638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6-21T00:00:00"/>
    <x v="0"/>
    <s v="ΔΙΕΥΘΥΝΣΗ Δ.Ε. Γ΄ ΑΘΗΝΑΣ"/>
    <n v="50.227777777777774"/>
    <s v="46 - 50"/>
  </r>
  <r>
    <n v="99913639"/>
    <s v="Α"/>
    <x v="2"/>
    <x v="2"/>
    <m/>
    <m/>
    <s v="Γ΄"/>
    <n v="1"/>
    <s v="1722/24-03-2015"/>
    <d v="2018-09-01T00:00:00"/>
    <s v="ΑΡΤΑΣ (Π.Ε.) 2018"/>
    <s v="ΔΙΕΥΘΥΝΣΗ Π.Ε. ΑΡΤΑΣ"/>
    <s v="ΠΕΡΙΦΕΡΕΙΑΚΗ Δ/ΝΣΗ Α/ΘΜΙΑΣ ΚΑΙ Β/ΘΜΙΑΣ ΕΚΠ/ΣΗΣ ΗΠΕΙΡΟΥ"/>
    <n v="25"/>
    <s v="ΟΧΙ"/>
    <m/>
    <m/>
    <m/>
    <s v="ΟΧΙ"/>
    <m/>
    <d v="2018-09-01T00:00:00"/>
    <s v="Ιδιωτικά Σχολεία"/>
    <x v="2"/>
    <s v="7041003"/>
    <s v="ΙΔΙΩΤΙΚΟ ΝΗΠΙΑΓΩΓΕΙΟ ΝΙΚΗΦΟΡΟΥ ΠΑΠΑΧΡΗΣΤΟΥ"/>
    <s v="ΑΡΤΑΣ (Π.Ε.) 2018"/>
    <x v="67"/>
    <s v="ΠΕΡΙΦΕΡΕΙΑΚΗ Δ/ΝΣΗ Α/ΘΜΙΑΣ ΚΑΙ Β/ΘΜΙΑΣ ΕΚΠ/ΣΗΣ ΗΠΕΙΡΟΥ"/>
    <s v="Ιδιωτικού Δικαίου Αορίστου Χρόνου (Ι.Δ.Α.Χ.) με Οργανική σε Ισότιμο προς τα Δημόσια Σχολείο"/>
    <s v="Τοποθέτηση σε Ιδιωτική Εκπαίδευση"/>
    <d v="1969-06-19T00:00:00"/>
    <x v="1"/>
    <s v="ΔΙΕΥΘΥΝΣΗ Π.Ε. ΑΡΤΑΣ"/>
    <n v="50.233333333333334"/>
    <s v="46 - 50"/>
  </r>
  <r>
    <n v="99913640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6-14T00:00:00"/>
    <x v="0"/>
    <s v="ΔΙΕΥΘΥΝΣΗ Δ.Ε. ΑΝΑΤ. ΘΕΣ/ΝΙΚΗΣ"/>
    <n v="50.24722222222222"/>
    <s v="46 - 50"/>
  </r>
  <r>
    <n v="99913641"/>
    <s v="Α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6-12T00:00:00"/>
    <x v="0"/>
    <s v="ΔΙΕΥΘΥΝΣΗ Δ.Ε. ΑΝΑΤΟΛΙΚΗΣ ΑΤΤΙΚΗΣ"/>
    <n v="50.25277777777778"/>
    <s v="46 - 50"/>
  </r>
  <r>
    <n v="99913642"/>
    <s v="Α"/>
    <x v="3"/>
    <x v="3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9-06-08T00:00:00"/>
    <x v="0"/>
    <s v="ΔΙΕΥΘΥΝΣΗ Δ.Ε. ΙΩΑΝΝΙΝΩΝ"/>
    <n v="50.263888888888886"/>
    <s v="46 - 50"/>
  </r>
  <r>
    <n v="99913643"/>
    <s v="Θ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9-06-07T00:00:00"/>
    <x v="0"/>
    <s v="ΔΙΕΥΘΥΝΣΗ Δ.Ε. ΑΝΑΤ. ΘΕΣ/ΝΙΚΗΣ"/>
    <n v="50.266666666666666"/>
    <s v="46 - 50"/>
  </r>
  <r>
    <n v="99913644"/>
    <s v="Α"/>
    <x v="4"/>
    <x v="4"/>
    <m/>
    <m/>
    <s v="Γ΄"/>
    <n v="1"/>
    <n v="1646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d v="2018-09-01T00:00:00"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69-06-04T00:00:00"/>
    <x v="0"/>
    <s v="ΔΙΕΥΘΥΝΣΗ Δ.Ε. Δ΄ ΑΘΗΝΑΣ"/>
    <n v="50.274999999999999"/>
    <s v="46 - 50"/>
  </r>
  <r>
    <n v="99913645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6-01T00:00:00"/>
    <x v="0"/>
    <s v="ΔΙΕΥΘΥΝΣΗ Δ.Ε. Β΄ ΑΘΗΝΑΣ"/>
    <n v="50.283333333333331"/>
    <s v="46 - 50"/>
  </r>
  <r>
    <n v="99913646"/>
    <s v="Θ"/>
    <x v="13"/>
    <x v="13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6-01T00:00:00"/>
    <x v="1"/>
    <s v="ΔΙΕΥΘΥΝΣΗ Π.Ε. Β΄ ΑΘΗΝΑΣ"/>
    <n v="50.283333333333331"/>
    <s v="46 - 50"/>
  </r>
  <r>
    <n v="9991364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30T00:00:00"/>
    <x v="0"/>
    <s v="ΔΙΕΥΘΥΝΣΗ Δ.Ε. Β΄ ΑΘΗΝΑΣ"/>
    <n v="50.288888888888891"/>
    <s v="46 - 50"/>
  </r>
  <r>
    <n v="99913648"/>
    <s v="Α"/>
    <x v="3"/>
    <x v="3"/>
    <m/>
    <m/>
    <s v="Γ΄"/>
    <n v="1"/>
    <s v="63/06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61006"/>
    <s v="ΙΔΙΩΤΙΚΟ ΓΕΛ. ΕΚΠΑΙΔΕΥΤΗΡΙΑ ΓΕΩΡΓΙΟΥ 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30T00:00:00"/>
    <x v="0"/>
    <s v="ΔΙΕΥΘΥΝΣΗ Δ.Ε. Δ΄ ΑΘΗΝΑΣ"/>
    <n v="50.288888888888891"/>
    <s v="46 - 50"/>
  </r>
  <r>
    <n v="9991364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28T00:00:00"/>
    <x v="0"/>
    <s v="ΔΙΕΥΘΥΝΣΗ Δ.Ε. Β΄ ΑΘΗΝΑΣ"/>
    <n v="50.294444444444444"/>
    <s v="46 - 50"/>
  </r>
  <r>
    <n v="99913650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27T00:00:00"/>
    <x v="0"/>
    <s v="ΔΙΕΥΘΥΝΣΗ Δ.Ε. ΠΕΙΡΑΙΑ"/>
    <n v="50.297222222222224"/>
    <s v="46 - 50"/>
  </r>
  <r>
    <n v="99913651"/>
    <s v="Θ"/>
    <x v="2"/>
    <x v="2"/>
    <m/>
    <m/>
    <s v="Γ΄"/>
    <n v="1"/>
    <n v="187770"/>
    <d v="2018-09-01T00:00:00"/>
    <s v="ΑΡΤΑΣ (Π.Ε.) 2018"/>
    <s v="ΔΙΕΥΘΥΝΣΗ Π.Ε. ΑΡΤΑΣ"/>
    <s v="ΠΕΡΙΦΕΡΕΙΑΚΗ Δ/ΝΣΗ Α/ΘΜΙΑΣ ΚΑΙ Β/ΘΜΙΑΣ ΕΚΠ/ΣΗΣ ΗΠΕΙΡΟΥ"/>
    <n v="25"/>
    <s v="ΟΧΙ"/>
    <m/>
    <m/>
    <m/>
    <s v="ΟΧΙ"/>
    <m/>
    <d v="2018-09-01T00:00:00"/>
    <s v="Ιδιωτικά Σχολεία"/>
    <x v="2"/>
    <s v="7041007"/>
    <s v="ΙΔΙΩΤΙΚΟ ΝΗΠΙΑΓΩΓΕΙΟ ΑΡΤΑ - Θ. ΜΠΟΖΙΟΥ ΚΑΙ Σ.Ι.Α. Ο.Ε."/>
    <s v="ΑΡΤΑΣ (Π.Ε.) 2018"/>
    <x v="67"/>
    <s v="ΠΕΡΙΦΕΡΕΙΑΚΗ Δ/ΝΣΗ Α/ΘΜΙΑΣ ΚΑΙ Β/ΘΜΙΑΣ ΕΚΠ/ΣΗΣ ΗΠΕΙΡΟΥ"/>
    <s v="Ιδιωτικού Δικαίου Αορίστου Χρόνου (Ι.Δ.Α.Χ.) με Οργανική σε Ισότιμο προς τα Δημόσια Σχολείο"/>
    <s v="Τοποθέτηση σε Ιδιωτική Εκπαίδευση"/>
    <d v="1969-05-26T00:00:00"/>
    <x v="1"/>
    <s v="ΔΙΕΥΘΥΝΣΗ Π.Ε. ΑΡΤΑΣ"/>
    <n v="50.3"/>
    <s v="46 - 50"/>
  </r>
  <r>
    <n v="99913652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23T00:00:00"/>
    <x v="0"/>
    <s v="ΔΙΕΥΘΥΝΣΗ Δ.Ε. Δ΄ ΑΘΗΝΑΣ"/>
    <n v="50.30833333333333"/>
    <s v="46 - 50"/>
  </r>
  <r>
    <n v="99913653"/>
    <s v="Θ"/>
    <x v="0"/>
    <x v="0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5-20T00:00:00"/>
    <x v="1"/>
    <s v="ΔΙΕΥΘΥΝΣΗ Π.Ε. ΔΥΤ. ΘΕΣ/ΝΙΚΗΣ"/>
    <n v="50.31666666666667"/>
    <s v="46 - 50"/>
  </r>
  <r>
    <n v="99913654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17T00:00:00"/>
    <x v="0"/>
    <s v="ΔΙΕΥΘΥΝΣΗ Δ.Ε. ΑΝΑΤΟΛΙΚΗΣ ΑΤΤΙΚΗΣ"/>
    <n v="50.325000000000003"/>
    <s v="46 - 50"/>
  </r>
  <r>
    <n v="99913655"/>
    <s v="Α"/>
    <x v="6"/>
    <x v="6"/>
    <m/>
    <m/>
    <s v="Α΄"/>
    <n v="10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17T00:00:00"/>
    <x v="0"/>
    <s v="ΔΙΕΥΘΥΝΣΗ Δ.Ε. Δ΄ ΑΘΗΝΑΣ"/>
    <n v="50.325000000000003"/>
    <s v="46 - 50"/>
  </r>
  <r>
    <n v="99913656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16T00:00:00"/>
    <x v="0"/>
    <s v="ΔΙΕΥΘΥΝΣΗ Δ.Ε. ΑΝΑΤΟΛΙΚΗΣ ΑΤΤΙΚΗΣ"/>
    <n v="50.327777777777776"/>
    <s v="46 - 50"/>
  </r>
  <r>
    <n v="99913657"/>
    <s v="Α"/>
    <x v="8"/>
    <x v="8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9-05-15T00:00:00"/>
    <x v="0"/>
    <s v="ΔΙΕΥΘΥΝΣΗ Δ.Ε. Β΄ ΑΘΗΝΑΣ"/>
    <n v="50.330555555555556"/>
    <s v="46 - 50"/>
  </r>
  <r>
    <n v="99913658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12T00:00:00"/>
    <x v="0"/>
    <s v="ΔΙΕΥΘΥΝΣΗ Δ.Ε. ΑΝΑΤΟΛΙΚΗΣ ΑΤΤΙΚΗΣ"/>
    <n v="50.338888888888889"/>
    <s v="46 - 50"/>
  </r>
  <r>
    <n v="9991365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5-11T00:00:00"/>
    <x v="0"/>
    <s v="ΔΙΕΥΘΥΝΣΗ Δ.Ε. Β΄ ΑΘΗΝΑΣ"/>
    <n v="50.341666666666669"/>
    <s v="46 - 50"/>
  </r>
  <r>
    <n v="99913660"/>
    <s v="Θ"/>
    <x v="11"/>
    <x v="11"/>
    <m/>
    <m/>
    <s v="Γ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5-11T00:00:00"/>
    <x v="0"/>
    <s v="ΔΙΕΥΘΥΝΣΗ Δ.Ε. ΑΝΑΤ. ΘΕΣ/ΝΙΚΗΣ"/>
    <n v="50.341666666666669"/>
    <s v="46 - 50"/>
  </r>
  <r>
    <n v="99913661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10T00:00:00"/>
    <x v="1"/>
    <s v="ΔΙΕΥΘΥΝΣΗ Π.Ε. Β΄ ΑΘΗΝΑΣ"/>
    <n v="50.344444444444441"/>
    <s v="46 - 50"/>
  </r>
  <r>
    <n v="99913662"/>
    <s v="Α"/>
    <x v="19"/>
    <x v="19"/>
    <m/>
    <m/>
    <s v="Α΄"/>
    <n v="11"/>
    <m/>
    <m/>
    <s v="ΙΩΑΝΝΙΝΩΝ (Δ.Ε.) 2018"/>
    <s v="ΔΙΕΥΘΥΝΣΗ Δ.Ε. ΙΩΑΝΝΙΝΩΝ"/>
    <s v="ΠΕΡΙΦΕΡΕΙΑΚΗ Δ/ΝΣΗ Α/ΘΜΙΑΣ ΚΑΙ Β/ΘΜΙΑΣ ΕΚΠ/ΣΗΣ ΗΠΕΙΡΟΥ"/>
    <n v="12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9-05-09T00:00:00"/>
    <x v="0"/>
    <s v="ΔΙΕΥΘΥΝΣΗ Δ.Ε. ΙΩΑΝΝΙΝΩΝ"/>
    <n v="50.347222222222221"/>
    <s v="46 - 50"/>
  </r>
  <r>
    <n v="99913663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1012"/>
    <s v="ΜΟΝΤΕΣΣΟΡΙΑΝΗ ΣΧΟΛΗ ΑΘΗΝΩΝ ΜΑΡΙΑ ΓΟΥΔΕΛΗ ΑΕΕ - ΔΗΜΟΤΙΚΟ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08T00:00:00"/>
    <x v="1"/>
    <s v="ΔΙΕΥΘΥΝΣΗ Π.Ε. Α΄ ΑΘΗΝΑΣ"/>
    <n v="50.35"/>
    <s v="46 - 50"/>
  </r>
  <r>
    <n v="99913664"/>
    <s v="Α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06T00:00:00"/>
    <x v="0"/>
    <s v="ΔΙΕΥΘΥΝΣΗ Δ.Ε. ΠΕΙΡΑΙΑ"/>
    <n v="50.355555555555554"/>
    <s v="46 - 50"/>
  </r>
  <r>
    <n v="99913665"/>
    <s v="Θ"/>
    <x v="0"/>
    <x v="0"/>
    <m/>
    <m/>
    <s v="Β΄"/>
    <n v="4"/>
    <s v="Φ.Ι.Α.3/34045/21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4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06T00:00:00"/>
    <x v="1"/>
    <s v="ΔΙΕΥΘΥΝΣΗ Π.Ε. ΑΝΑΤΟΛΙΚΗΣ ΑΤΤΙΚΗΣ"/>
    <n v="50.355555555555554"/>
    <s v="46 - 50"/>
  </r>
  <r>
    <n v="99913666"/>
    <s v="Θ"/>
    <x v="1"/>
    <x v="1"/>
    <m/>
    <m/>
    <s v="Α΄"/>
    <n v="11"/>
    <s v="4962/6-11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9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5-02T00:00:00"/>
    <x v="1"/>
    <s v="ΔΙΕΥΘΥΝΣΗ Π.Ε. ΑΝΑΤΟΛΙΚΗΣ ΑΤΤΙΚΗΣ"/>
    <n v="50.366666666666667"/>
    <s v="46 - 50"/>
  </r>
  <r>
    <n v="99913667"/>
    <s v="Α"/>
    <x v="1"/>
    <x v="1"/>
    <m/>
    <m/>
    <s v="Α΄"/>
    <n v="11"/>
    <n v="164"/>
    <d v="2002-07-17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2-07-17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5-02T00:00:00"/>
    <x v="1"/>
    <s v="ΔΙΕΥΘΥΝΣΗ Π.Ε. ΑΝΑΤΟΛΙΚΗΣ ΑΤΤΙΚΗΣ"/>
    <n v="50.366666666666667"/>
    <s v="46 - 50"/>
  </r>
  <r>
    <n v="99913668"/>
    <s v="Θ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30T00:00:00"/>
    <x v="0"/>
    <s v="ΔΙΕΥΘΥΝΣΗ Δ.Ε. Δ΄ ΑΘΗΝΑΣ"/>
    <n v="50.37222222222222"/>
    <s v="46 - 50"/>
  </r>
  <r>
    <n v="99913669"/>
    <s v="Θ"/>
    <x v="11"/>
    <x v="11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26T00:00:00"/>
    <x v="0"/>
    <s v="ΔΙΕΥΘΥΝΣΗ Δ.Ε. ΑΝΑΤΟΛΙΚΗΣ ΑΤΤΙΚΗΣ"/>
    <n v="50.383333333333333"/>
    <s v="46 - 50"/>
  </r>
  <r>
    <n v="99913670"/>
    <s v="Θ"/>
    <x v="0"/>
    <x v="0"/>
    <m/>
    <m/>
    <s v="Α΄"/>
    <n v="5"/>
    <s v="Φ.Ι.Α.4/1725/22-1-2016"/>
    <d v="2015-02-17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5-02-17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26T00:00:00"/>
    <x v="1"/>
    <s v="ΔΙΕΥΘΥΝΣΗ Π.Ε. ΑΝΑΤΟΛΙΚΗΣ ΑΤΤΙΚΗΣ"/>
    <n v="50.383333333333333"/>
    <s v="46 - 50"/>
  </r>
  <r>
    <n v="99913671"/>
    <s v="Θ"/>
    <x v="18"/>
    <x v="18"/>
    <m/>
    <m/>
    <s v="Γ΄"/>
    <n v="1"/>
    <m/>
    <m/>
    <s v="Γ΄ ΑΘΗΝΑΣ (Π.Ε.) 2018"/>
    <s v="ΔΙΕΥΘΥΝΣΗ Π.Ε. Γ΄ ΑΘΗΝΑ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22T00:00:00"/>
    <x v="1"/>
    <s v="ΔΙΕΥΘΥΝΣΗ Π.Ε. Γ΄ ΑΘΗΝΑΣ"/>
    <n v="50.394444444444446"/>
    <s v="46 - 50"/>
  </r>
  <r>
    <n v="99913672"/>
    <s v="Θ"/>
    <x v="4"/>
    <x v="4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4-21T00:00:00"/>
    <x v="0"/>
    <s v="ΔΙΕΥΘΥΝΣΗ Δ.Ε. ΛΑΡΙΣΑΣ"/>
    <n v="50.397222222222226"/>
    <s v="46 - 50"/>
  </r>
  <r>
    <n v="99913673"/>
    <s v="Θ"/>
    <x v="2"/>
    <x v="2"/>
    <m/>
    <m/>
    <s v="Γ΄"/>
    <n v="1"/>
    <n v="12312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m/>
    <m/>
    <m/>
    <s v="ΟΧΙ"/>
    <m/>
    <d v="2018-09-01T00:00:00"/>
    <s v="Ιδιωτικά Σχολεία"/>
    <x v="2"/>
    <s v="7192045"/>
    <s v="ΙΔΙΩΤΙΚΟ ΝΗΠΙΑΓΩΓΕΙΟ ΣΤ.ΚΥΡΙΑΚΟΥ-Ε.ΒΛΑΧΟΔΗΜΟΥ ΟΕ-FAIRYLAND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4-16T00:00:00"/>
    <x v="1"/>
    <s v="ΔΙΕΥΘΥΝΣΗ Π.Ε. ΔΥΤ. ΘΕΣ/ΝΙΚΗΣ"/>
    <n v="50.411111111111111"/>
    <s v="46 - 50"/>
  </r>
  <r>
    <n v="99913674"/>
    <s v="Α"/>
    <x v="9"/>
    <x v="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15T00:00:00"/>
    <x v="0"/>
    <s v="ΔΙΕΥΘΥΝΣΗ Δ.Ε. Β΄ ΑΘΗΝΑΣ"/>
    <n v="50.413888888888891"/>
    <s v="46 - 50"/>
  </r>
  <r>
    <n v="99913675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15T00:00:00"/>
    <x v="0"/>
    <s v="ΔΙΕΥΘΥΝΣΗ Δ.Ε. Δ΄ ΑΘΗΝΑΣ"/>
    <n v="50.413888888888891"/>
    <s v="46 - 50"/>
  </r>
  <r>
    <n v="99913676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13T00:00:00"/>
    <x v="0"/>
    <s v="ΔΙΕΥΘΥΝΣΗ Δ.Ε. Δ΄ ΑΘΗΝΑΣ"/>
    <n v="50.419444444444444"/>
    <s v="46 - 50"/>
  </r>
  <r>
    <n v="99913677"/>
    <s v="Θ"/>
    <x v="1"/>
    <x v="1"/>
    <m/>
    <m/>
    <s v="Α΄"/>
    <n v="1"/>
    <s v="623Η4653ΠΣ-ΛΔΟ"/>
    <d v="2015-11-03T00:00:00"/>
    <s v="ΠΙΕΡΙΑΣ (Π.Ε.) 2018"/>
    <s v="ΔΙΕΥΘΥΝΣΗ Π.Ε. ΠΙΕΡΙΑΣ"/>
    <s v="ΠΕΡΙΦΕΡΕΙΑΚΗ Δ/ΝΣΗ Α/ΘΜΙΑΣ ΚΑΙ Β/ΘΜΙΑΣ ΕΚΠ/ΣΗΣ ΚΕΝΤΡΙΚΗΣ ΜΑΚΕΔΟΝΙΑΣ"/>
    <n v="12"/>
    <s v="ΟΧΙ"/>
    <s v="ΟΧΙ"/>
    <s v="ΟΧΙ"/>
    <s v="ΟΧΙ"/>
    <s v="ΟΧΙ"/>
    <m/>
    <d v="2015-11-03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4-11T00:00:00"/>
    <x v="1"/>
    <s v="ΔΙΕΥΘΥΝΣΗ Π.Ε. ΠΙΕΡΙΑΣ"/>
    <n v="50.424999999999997"/>
    <s v="46 - 50"/>
  </r>
  <r>
    <n v="99913678"/>
    <s v="Θ"/>
    <x v="3"/>
    <x v="3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9-04-06T00:00:00"/>
    <x v="0"/>
    <s v="ΔΙΕΥΘΥΝΣΗ Δ.Ε. ΑΝΑΤ. ΘΕΣ/ΝΙΚΗΣ"/>
    <n v="50.43888888888889"/>
    <s v="46 - 50"/>
  </r>
  <r>
    <n v="99913679"/>
    <s v="Α"/>
    <x v="11"/>
    <x v="11"/>
    <m/>
    <m/>
    <s v="Α΄"/>
    <n v="1"/>
    <s v="12821/17-09-2012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5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4-06T00:00:00"/>
    <x v="0"/>
    <s v="ΔΙΕΥΘΥΝΣΗ Δ.Ε. ΔΥΤ. ΘΕΣ/ΝΙΚΗΣ"/>
    <n v="50.43888888888889"/>
    <s v="46 - 50"/>
  </r>
  <r>
    <n v="99913680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4-01T00:00:00"/>
    <x v="0"/>
    <s v="ΔΙΕΥΘΥΝΣΗ Δ.Ε. ΠΕΙΡΑΙΑ"/>
    <n v="50.452777777777776"/>
    <s v="46 - 50"/>
  </r>
  <r>
    <n v="99913681"/>
    <s v="Θ"/>
    <x v="6"/>
    <x v="6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0"/>
    <s v="ΟΧΙ"/>
    <s v="ΟΧΙ"/>
    <s v="ΟΧΙ"/>
    <s v="ΟΧΙ"/>
    <s v="ΟΧΙ"/>
    <m/>
    <m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03-31T00:00:00"/>
    <x v="1"/>
    <s v="ΔΙΕΥΘΥΝΣΗ Π.Ε. ΚΟΡΙΝΘΙΑΣ"/>
    <n v="50.455555555555556"/>
    <s v="46 - 50"/>
  </r>
  <r>
    <n v="99913682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30T00:00:00"/>
    <x v="0"/>
    <s v="ΔΙΕΥΘΥΝΣΗ Δ.Ε. ΠΕΙΡΑΙΑ"/>
    <n v="50.458333333333336"/>
    <s v="46 - 50"/>
  </r>
  <r>
    <n v="99913683"/>
    <s v="Θ"/>
    <x v="8"/>
    <x v="8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3-29T00:00:00"/>
    <x v="0"/>
    <s v="ΔΙΕΥΘΥΝΣΗ Δ.Ε. ΑΝΑΤΟΛΙΚΗΣ ΑΤΤΙΚΗΣ"/>
    <n v="50.461111111111109"/>
    <s v="46 - 50"/>
  </r>
  <r>
    <n v="99913684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28T00:00:00"/>
    <x v="0"/>
    <s v="ΔΙΕΥΘΥΝΣΗ Δ.Ε. ΑΝΑΤΟΛΙΚΗΣ ΑΤΤΙΚΗΣ"/>
    <n v="50.463888888888889"/>
    <s v="46 - 50"/>
  </r>
  <r>
    <n v="99913685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26T00:00:00"/>
    <x v="0"/>
    <s v="ΔΙΕΥΘΥΝΣΗ Δ.Ε. Β΄ ΑΘΗΝΑΣ"/>
    <n v="50.469444444444441"/>
    <s v="46 - 50"/>
  </r>
  <r>
    <n v="99913686"/>
    <s v="Θ"/>
    <x v="0"/>
    <x v="0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26T00:00:00"/>
    <x v="1"/>
    <s v="ΔΙΕΥΘΥΝΣΗ Π.Ε. ΑΝΑΤΟΛΙΚΗΣ ΑΤΤΙΚΗΣ"/>
    <n v="50.469444444444441"/>
    <s v="46 - 50"/>
  </r>
  <r>
    <n v="99913687"/>
    <s v="Α"/>
    <x v="8"/>
    <x v="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26T00:00:00"/>
    <x v="1"/>
    <s v="ΔΙΕΥΘΥΝΣΗ Π.Ε. ΑΝΑΤΟΛΙΚΗΣ ΑΤΤΙΚΗΣ"/>
    <n v="50.469444444444441"/>
    <s v="46 - 50"/>
  </r>
  <r>
    <n v="99913688"/>
    <s v="Α"/>
    <x v="11"/>
    <x v="11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24T00:00:00"/>
    <x v="0"/>
    <s v="ΔΙΕΥΘΥΝΣΗ Δ.Ε. Γ΄ ΑΘΗΝΑΣ"/>
    <n v="50.475000000000001"/>
    <s v="46 - 50"/>
  </r>
  <r>
    <n v="99913689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19T00:00:00"/>
    <x v="1"/>
    <s v="ΔΙΕΥΘΥΝΣΗ Π.Ε. Δ΄ ΑΘΗΝΑΣ"/>
    <n v="50.488888888888887"/>
    <s v="46 - 50"/>
  </r>
  <r>
    <n v="99913690"/>
    <s v="Θ"/>
    <x v="2"/>
    <x v="2"/>
    <m/>
    <m/>
    <s v="Γ΄"/>
    <n v="1"/>
    <s v="4300/02-12-201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37"/>
    <s v="ΙΔΙΩΤΙΚΟ ΝΗΠΙΑΓΩΓΕΙΟ ΘΕΣΣΑΛΟΝΙΚΗΣ - ΑΡΓΩ - ΜΕΡΙΜΝΑ ΠΟΝΤΙΩΝ ΚΥΡΙΩΝ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3-17T00:00:00"/>
    <x v="1"/>
    <s v="ΔΙΕΥΘΥΝΣΗ Π.Ε. ΑΝΑΤ. ΘΕΣ/ΝΙΚΗΣ"/>
    <n v="50.494444444444447"/>
    <s v="46 - 50"/>
  </r>
  <r>
    <n v="99913691"/>
    <s v="Θ"/>
    <x v="4"/>
    <x v="4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15T00:00:00"/>
    <x v="0"/>
    <s v="ΔΙΕΥΘΥΝΣΗ Δ.Ε. ΑΝΑΤΟΛΙΚΗΣ ΑΤΤΙΚΗΣ"/>
    <n v="50.5"/>
    <s v="51 - 55"/>
  </r>
  <r>
    <n v="99913692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3-10T00:00:00"/>
    <x v="0"/>
    <s v="ΔΙΕΥΘΥΝΣΗ Δ.Ε. ΑΝΑΤ. ΘΕΣ/ΝΙΚΗΣ"/>
    <n v="50.513888888888886"/>
    <s v="51 - 55"/>
  </r>
  <r>
    <n v="99913693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09T00:00:00"/>
    <x v="0"/>
    <s v="ΔΙΕΥΘΥΝΣΗ Δ.Ε. Β΄ ΑΘΗΝΑΣ"/>
    <n v="50.516666666666666"/>
    <s v="51 - 55"/>
  </r>
  <r>
    <n v="99913694"/>
    <s v="Θ"/>
    <x v="3"/>
    <x v="3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3-09T00:00:00"/>
    <x v="0"/>
    <s v="ΔΙΕΥΘΥΝΣΗ Δ.Ε. ΔΥΤ. ΘΕΣ/ΝΙΚΗΣ"/>
    <n v="50.516666666666666"/>
    <s v="51 - 55"/>
  </r>
  <r>
    <n v="99913695"/>
    <s v="Θ"/>
    <x v="8"/>
    <x v="8"/>
    <m/>
    <m/>
    <s v="Α΄"/>
    <n v="13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3-07T00:00:00"/>
    <x v="1"/>
    <s v="ΔΙΕΥΘΥΝΣΗ Π.Ε. ΔΥΤ. ΘΕΣ/ΝΙΚΗΣ"/>
    <n v="50.522222222222226"/>
    <s v="51 - 55"/>
  </r>
  <r>
    <n v="99913696"/>
    <s v="Θ"/>
    <x v="2"/>
    <x v="2"/>
    <m/>
    <m/>
    <s v="Α΄"/>
    <n v="1"/>
    <m/>
    <d v="2009-09-02T00:00:00"/>
    <s v="ΗΜΑΘΙΑΣ (Π.Ε.) 2018"/>
    <s v="ΔΙΕΥΘΥΝΣΗ Π.Ε. ΗΜΑΘΙΑΣ"/>
    <s v="ΠΕΡΙΦΕΡΕΙΑΚΗ Δ/ΝΣΗ Α/ΘΜΙΑΣ ΚΑΙ Β/ΘΜΙΑΣ ΕΚΠ/ΣΗΣ ΚΕΝΤΡΙΚΗΣ ΜΑΚΕΔΟΝΙΑΣ"/>
    <n v="25"/>
    <s v="ΟΧΙ"/>
    <s v="ΟΧΙ"/>
    <s v="ΟΧΙ"/>
    <s v="ΟΧΙ"/>
    <s v="ΟΧΙ"/>
    <m/>
    <d v="2009-09-02T00:00:00"/>
    <s v="Ιδιωτικά Σχολεία"/>
    <x v="2"/>
    <s v="7161007"/>
    <s v="ΙΔΙΩΤΙΚΟ ΝΗΠΙΑΓΩΓΕΙΟ ΒΕΡΟΙΑ - Α. ΛΑΖΟΓΛΟΥ ΚΑΙ ΣΙΑ Ο.Ε."/>
    <s v="ΗΜΑΘΙΑΣ (Π.Ε.) 2018"/>
    <x v="7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3-07T00:00:00"/>
    <x v="1"/>
    <s v="ΔΙΕΥΘΥΝΣΗ Π.Ε. ΗΜΑΘΙΑΣ"/>
    <n v="50.522222222222226"/>
    <s v="51 - 55"/>
  </r>
  <r>
    <n v="99913697"/>
    <s v="Θ"/>
    <x v="8"/>
    <x v="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3-05T00:00:00"/>
    <x v="0"/>
    <s v="ΔΙΕΥΘΥΝΣΗ Δ.Ε. Δ΄ ΑΘΗΝΑΣ"/>
    <n v="50.527777777777779"/>
    <s v="51 - 55"/>
  </r>
  <r>
    <n v="99913698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2"/>
    <s v="ΟΧΙ"/>
    <s v="ΟΧΙ"/>
    <s v="ΟΧΙ"/>
    <m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3-05T00:00:00"/>
    <x v="1"/>
    <s v="ΔΙΕΥΘΥΝΣΗ Π.Ε. ΛΑΡΙΣΑΣ"/>
    <n v="50.527777777777779"/>
    <s v="51 - 55"/>
  </r>
  <r>
    <n v="99913699"/>
    <s v="Θ"/>
    <x v="2"/>
    <x v="2"/>
    <m/>
    <m/>
    <s v="Α΄"/>
    <n v="1"/>
    <m/>
    <m/>
    <s v="ΠΕΛΛΑΣ (Π.Ε.) 2018"/>
    <s v="ΔΙΕΥΘΥΝΣΗ Π.Ε. ΠΕΛΛΑΣ"/>
    <s v="ΠΕΡΙΦΕΡΕΙΑΚΗ Δ/ΝΣΗ Α/ΘΜΙΑΣ ΚΑΙ Β/ΘΜΙΑΣ ΕΚΠ/ΣΗΣ ΚΕΝΤΡΙΚΗΣ ΜΑΚΕΔΟΝΙΑΣ"/>
    <n v="8"/>
    <s v="ΟΧΙ"/>
    <s v="ΟΧΙ"/>
    <s v="ΟΧΙ"/>
    <m/>
    <s v="ΟΧΙ"/>
    <m/>
    <m/>
    <s v="Ιδιωτικά Σχολεία"/>
    <x v="2"/>
    <s v="7381003"/>
    <s v="ΙΔΙΩΤΙΚΟ ΝΗΠΙΑΓΩΓΕΙΟ ΕΔΕΣΣΑ - ΙΔΙΩΤΙΚΟ ΣΤΕΦΑΝΙΔΟΥ"/>
    <s v="ΠΕΛΛΑΣ (Π.Ε.) 2018"/>
    <x v="46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3-05T00:00:00"/>
    <x v="1"/>
    <s v="ΔΙΕΥΘΥΝΣΗ Π.Ε. ΠΕΛΛΑΣ"/>
    <n v="50.527777777777779"/>
    <s v="51 - 55"/>
  </r>
  <r>
    <n v="99913700"/>
    <s v="Θ"/>
    <x v="8"/>
    <x v="8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9-03-04T00:00:00"/>
    <x v="1"/>
    <s v="ΔΙΕΥΘΥΝΣΗ Π.Ε. ΑΧΑΪΑΣ"/>
    <n v="50.530555555555559"/>
    <s v="51 - 55"/>
  </r>
  <r>
    <n v="99913701"/>
    <s v="Θ"/>
    <x v="6"/>
    <x v="6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2-26T00:00:00"/>
    <x v="0"/>
    <s v="ΔΙΕΥΘΥΝΣΗ Δ.Ε. ΑΝΑΤ. ΘΕΣ/ΝΙΚΗΣ"/>
    <n v="50.547222222222224"/>
    <s v="51 - 55"/>
  </r>
  <r>
    <n v="99913702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25T00:00:00"/>
    <x v="1"/>
    <s v="ΔΙΕΥΘΥΝΣΗ Π.Ε. Β΄ ΑΘΗΝΑΣ"/>
    <n v="50.55"/>
    <s v="51 - 55"/>
  </r>
  <r>
    <n v="99913703"/>
    <s v="Θ"/>
    <x v="3"/>
    <x v="3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9-02-23T00:00:00"/>
    <x v="0"/>
    <s v="ΔΙΕΥΘΥΝΣΗ Δ.Ε. ΧΑΝΙΩΝ"/>
    <n v="50.555555555555557"/>
    <s v="51 - 55"/>
  </r>
  <r>
    <n v="99913704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21T00:00:00"/>
    <x v="0"/>
    <s v="ΔΙΕΥΘΥΝΣΗ Δ.Ε. Α΄ ΑΘΗΝΑΣ"/>
    <n v="50.56111111111111"/>
    <s v="51 - 55"/>
  </r>
  <r>
    <n v="99913705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21T00:00:00"/>
    <x v="0"/>
    <s v="ΔΙΕΥΘΥΝΣΗ Δ.Ε. ΑΝΑΤΟΛΙΚΗΣ ΑΤΤΙΚΗΣ"/>
    <n v="50.56111111111111"/>
    <s v="51 - 55"/>
  </r>
  <r>
    <n v="99913706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063"/>
    <s v="1ο ΙΔΙΩΤΙΚΟ ΝΗΠΙΑΓΩΓΕΙΟ ΚΗΦΙΣΙΑ - ΜΠΕΝΑΚΕΙΟ ΠΑΙΔΙΚΟ ΙΔΡΥΜΑ ΚΗΦΙΣ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16T00:00:00"/>
    <x v="1"/>
    <s v="ΔΙΕΥΘΥΝΣΗ Π.Ε. Β΄ ΑΘΗΝΑΣ"/>
    <n v="50.575000000000003"/>
    <s v="51 - 55"/>
  </r>
  <r>
    <n v="99913707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10T00:00:00"/>
    <x v="0"/>
    <s v="ΔΙΕΥΘΥΝΣΗ Δ.Ε. Β΄ ΑΘΗΝΑΣ"/>
    <n v="50.591666666666669"/>
    <s v="51 - 55"/>
  </r>
  <r>
    <n v="99913708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09T00:00:00"/>
    <x v="0"/>
    <s v="ΔΙΕΥΘΥΝΣΗ Δ.Ε. Β΄ ΑΘΗΝΑΣ"/>
    <n v="50.594444444444441"/>
    <s v="51 - 55"/>
  </r>
  <r>
    <n v="99913709"/>
    <s v="Α"/>
    <x v="0"/>
    <x v="0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541026"/>
    <s v="ΙΔΙΩΤΙΚΟ ΔΗΜΟΤΙΚΟ ΚΟΡΥΔΑΛΛΟΣ - ΕΚΠΑΙΔΕΥΤΗΡΙΑ ΜΑΚΡΥΓΙΑΝΝΗ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05T00:00:00"/>
    <x v="1"/>
    <s v="ΔΙΕΥΘΥΝΣΗ Π.Ε. ΠΕΙΡΑΙΑ"/>
    <n v="50.605555555555554"/>
    <s v="51 - 55"/>
  </r>
  <r>
    <n v="99913710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2-05T00:00:00"/>
    <x v="0"/>
    <s v="ΔΙΕΥΘΥΝΣΗ Δ.Ε. ΑΝΑΤ. ΘΕΣ/ΝΙΚΗΣ"/>
    <n v="50.605555555555554"/>
    <s v="51 - 55"/>
  </r>
  <r>
    <n v="99913711"/>
    <s v="Α"/>
    <x v="8"/>
    <x v="8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1"/>
    <s v="7191016"/>
    <s v="ΙΔΙΩΤΙΚΟ ΔΗΜΟΤΙΚΟ ΘΕΣΣΑΛΟΝΙΚΗ - ΙΔ. ΔΗΜΟΤΙΚΟ ΣΧΟΛΕΙΟ ΙΚΘ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2-05T00:00:00"/>
    <x v="1"/>
    <s v="ΔΙΕΥΘΥΝΣΗ Π.Ε. ΑΝΑΤ. ΘΕΣ/ΝΙΚΗΣ"/>
    <n v="50.605555555555554"/>
    <s v="51 - 55"/>
  </r>
  <r>
    <n v="99913712"/>
    <s v="Α"/>
    <x v="8"/>
    <x v="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2-04T00:00:00"/>
    <x v="0"/>
    <s v="ΔΙΕΥΘΥΝΣΗ Δ.Ε. Β΄ ΑΘΗΝΑΣ"/>
    <n v="50.608333333333334"/>
    <s v="51 - 55"/>
  </r>
  <r>
    <n v="99913713"/>
    <s v="Θ"/>
    <x v="2"/>
    <x v="2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201001"/>
    <s v="ΙΔΙΩΤΙΚΟ ΣΥΣΤΕΓΑΖΟΜΕΝΟ ΝΗΠΙΑΓΩΓΕΙΟ - ΣΥΓΧΡΟΝΟ ΝΗΠΙΑΓΩΓΕΙΟ"/>
    <s v="ΙΩΑΝΝΙΝΩΝ (Π.Ε.) 2018"/>
    <x v="34"/>
    <s v="ΠΕΡΙΦΕΡΕΙΑΚΗ Δ/ΝΣΗ Α/ΘΜΙΑΣ ΚΑΙ Β/ΘΜΙΑΣ ΕΚΠ/ΣΗΣ ΗΠΕΙΡΟΥ"/>
    <s v="Ιδιωτικού Δικαίου Αορίστου Χρόνου (Ι.Δ.Α.Χ.) με Οργανική σε Ισότιμο προς τα Δημόσια Σχολείο"/>
    <s v="Τοποθέτηση σε Ιδιωτική Εκπαίδευση"/>
    <d v="1969-02-01T00:00:00"/>
    <x v="1"/>
    <s v="ΔΙΕΥΘΥΝΣΗ Π.Ε. ΙΩΑΝΝΙΝΩΝ"/>
    <n v="50.616666666666667"/>
    <s v="51 - 55"/>
  </r>
  <r>
    <n v="99913714"/>
    <s v="Α"/>
    <x v="5"/>
    <x v="5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m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9-01-30T00:00:00"/>
    <x v="0"/>
    <s v="ΔΙΕΥΘΥΝΣΗ Δ.Ε. ΜΕΣΣΗΝΙΑΣ"/>
    <n v="50.62222222222222"/>
    <s v="51 - 55"/>
  </r>
  <r>
    <n v="99913715"/>
    <s v="Θ"/>
    <x v="2"/>
    <x v="2"/>
    <m/>
    <m/>
    <s v="Γ΄"/>
    <n v="1"/>
    <s v="Φ.17.2/3296/2.9.10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27T00:00:00"/>
    <x v="1"/>
    <s v="ΔΙΕΥΘΥΝΣΗ Π.Ε. Β΄ ΑΘΗΝΑΣ"/>
    <n v="50.630555555555553"/>
    <s v="51 - 55"/>
  </r>
  <r>
    <n v="99913716"/>
    <s v="Θ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26T00:00:00"/>
    <x v="0"/>
    <s v="ΔΙΕΥΘΥΝΣΗ Δ.Ε. Β΄ ΑΘΗΝΑΣ"/>
    <n v="50.633333333333333"/>
    <s v="51 - 55"/>
  </r>
  <r>
    <n v="99913717"/>
    <s v="Α"/>
    <x v="1"/>
    <x v="1"/>
    <m/>
    <m/>
    <s v="Α΄"/>
    <n v="15"/>
    <s v="Φ.15/3388/14-11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5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26T00:00:00"/>
    <x v="1"/>
    <s v="ΔΙΕΥΘΥΝΣΗ Π.Ε. ΑΝΑΤΟΛΙΚΗΣ ΑΤΤΙΚΗΣ"/>
    <n v="50.633333333333333"/>
    <s v="51 - 55"/>
  </r>
  <r>
    <n v="99913718"/>
    <s v="Θ"/>
    <x v="0"/>
    <x v="0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1-26T00:00:00"/>
    <x v="1"/>
    <s v="ΔΙΕΥΘΥΝΣΗ Π.Ε. ΛΑΡΙΣΑΣ"/>
    <n v="50.633333333333333"/>
    <s v="51 - 55"/>
  </r>
  <r>
    <n v="99913719"/>
    <s v="Θ"/>
    <x v="10"/>
    <x v="10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19T00:00:00"/>
    <x v="1"/>
    <s v="ΔΙΕΥΘΥΝΣΗ Π.Ε. Β΄ ΑΘΗΝΑΣ"/>
    <n v="50.652777777777779"/>
    <s v="51 - 55"/>
  </r>
  <r>
    <n v="99913720"/>
    <s v="Θ"/>
    <x v="6"/>
    <x v="6"/>
    <m/>
    <m/>
    <s v="Γ΄"/>
    <n v="4"/>
    <n v="3189"/>
    <d v="2018-09-01T00:00:00"/>
    <s v="Β΄ ΑΘΗΝΑΣ (Π.Ε.) 2018"/>
    <s v="ΔΙΕΥΘΥΝΣΗ Π.Ε. Β΄ ΑΘΗΝΑΣ"/>
    <s v="ΠΕΡΙΦΕΡΕΙΑΚΗ Δ/ΝΣΗ Α/ΘΜΙΑΣ ΚΑΙ Β/ΘΜΙΑΣ ΕΚΠ/ΣΗΣ ΑΤΤΙΚΗΣ"/>
    <n v="8"/>
    <s v="ΟΧΙ"/>
    <s v="ΟΧΙ"/>
    <s v="ΟΧΙ"/>
    <s v="ΟΧΙ"/>
    <s v="ΟΧΙ"/>
    <m/>
    <d v="2018-09-01T00:00:00"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16T00:00:00"/>
    <x v="1"/>
    <s v="ΔΙΕΥΘΥΝΣΗ Π.Ε. Β΄ ΑΘΗΝΑΣ"/>
    <n v="50.661111111111111"/>
    <s v="51 - 55"/>
  </r>
  <r>
    <n v="99913721"/>
    <s v="Θ"/>
    <x v="8"/>
    <x v="8"/>
    <m/>
    <m/>
    <s v="Γ΄"/>
    <n v="1"/>
    <m/>
    <m/>
    <s v="Γ΄ ΑΘΗΝΑΣ (Π.Ε.) 2018"/>
    <s v="ΔΙΕΥΘΥΝΣΗ Π.Ε. Γ΄ ΑΘΗΝΑ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11T00:00:00"/>
    <x v="1"/>
    <s v="ΔΙΕΥΘΥΝΣΗ Π.Ε. Γ΄ ΑΘΗΝΑΣ"/>
    <n v="50.674999999999997"/>
    <s v="51 - 55"/>
  </r>
  <r>
    <n v="99913722"/>
    <s v="Α"/>
    <x v="5"/>
    <x v="5"/>
    <m/>
    <m/>
    <s v="Γ΄"/>
    <n v="8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9T00:00:00"/>
    <x v="0"/>
    <s v="ΔΙΕΥΘΥΝΣΗ Δ.Ε. Δ΄ ΑΘΗΝΑΣ"/>
    <n v="50.680555555555557"/>
    <s v="51 - 55"/>
  </r>
  <r>
    <n v="9991372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9-01-04T00:00:00"/>
    <x v="0"/>
    <s v="ΔΙΕΥΘΥΝΣΗ Δ.Ε. Β΄ ΑΘΗΝΑΣ"/>
    <n v="50.694444444444443"/>
    <s v="51 - 55"/>
  </r>
  <r>
    <n v="99913724"/>
    <s v="Θ"/>
    <x v="0"/>
    <x v="0"/>
    <m/>
    <m/>
    <s v="Γ΄"/>
    <n v="1"/>
    <s v="Φ.Ι.Α.5/25574/27-12/2016"/>
    <d v="2016-09-01T00:00:00"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6-09-01T00:00:00"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9-01-01T00:00:00"/>
    <x v="0"/>
    <s v="ΔΙΕΥΘΥΝΣΗ Δ.Ε. ΑΝΑΤΟΛΙΚΗΣ ΑΤΤΙΚΗΣ"/>
    <n v="50.702777777777776"/>
    <s v="51 - 55"/>
  </r>
  <r>
    <n v="99913725"/>
    <s v="Α"/>
    <x v="8"/>
    <x v="8"/>
    <m/>
    <m/>
    <s v="Α΄"/>
    <n v="1"/>
    <s v="ΒΛ1Γ9-41Ε"/>
    <d v="2013-11-21T00:00:00"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d v="2013-11-21T00:00:00"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0"/>
    <s v="ΔΙΕΥΘΥΝΣΗ Δ.Ε. Β΄ ΑΘΗΝΑΣ"/>
    <n v="50.702777777777776"/>
    <s v="51 - 55"/>
  </r>
  <r>
    <n v="99913726"/>
    <s v="Θ"/>
    <x v="18"/>
    <x v="1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0"/>
    <s v="ΔΙΕΥΘΥΝΣΗ Δ.Ε. Γ΄ ΑΘΗΝΑΣ"/>
    <n v="50.702777777777776"/>
    <s v="51 - 55"/>
  </r>
  <r>
    <n v="99913727"/>
    <s v="Θ"/>
    <x v="14"/>
    <x v="1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0"/>
    <s v="ΔΙΕΥΘΥΝΣΗ Δ.Ε. Γ΄ ΑΘΗΝΑΣ"/>
    <n v="50.702777777777776"/>
    <s v="51 - 55"/>
  </r>
  <r>
    <n v="99913728"/>
    <s v="Θ"/>
    <x v="11"/>
    <x v="11"/>
    <m/>
    <m/>
    <s v="Γ΄"/>
    <n v="1"/>
    <s v="ΨΣ994653ΠΣ-0Η7"/>
    <d v="2018-09-05T00:00:00"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d v="2018-09-05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9-01-01T00:00:00"/>
    <x v="0"/>
    <s v="ΔΙΕΥΘΥΝΣΗ Δ.Ε. ΠΕΙΡΑΙΑ"/>
    <n v="50.702777777777776"/>
    <s v="51 - 55"/>
  </r>
  <r>
    <n v="99913729"/>
    <s v="Α"/>
    <x v="1"/>
    <x v="1"/>
    <m/>
    <m/>
    <s v="Γ΄"/>
    <n v="1"/>
    <n v="207"/>
    <d v="2003-09-02T00:00:00"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s v="ΟΧΙ"/>
    <s v="ΟΧΙ"/>
    <m/>
    <d v="2003-09-02T00:00:00"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1"/>
    <s v="ΔΙΕΥΘΥΝΣΗ Π.Ε. Α΄ ΑΘΗΝΑΣ"/>
    <n v="50.702777777777776"/>
    <s v="51 - 55"/>
  </r>
  <r>
    <n v="99913730"/>
    <s v="Θ"/>
    <x v="6"/>
    <x v="6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1"/>
    <s v="ΔΙΕΥΘΥΝΣΗ Π.Ε. ΑΝΑΤΟΛΙΚΗΣ ΑΤΤΙΚΗΣ"/>
    <n v="50.702777777777776"/>
    <s v="51 - 55"/>
  </r>
  <r>
    <n v="9991373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1"/>
    <s v="ΔΙΕΥΘΥΝΣΗ Π.Ε. Β΄ ΑΘΗΝΑΣ"/>
    <n v="50.702777777777776"/>
    <s v="51 - 55"/>
  </r>
  <r>
    <n v="99913732"/>
    <s v="Θ"/>
    <x v="8"/>
    <x v="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1"/>
    <s v="ΔΙΕΥΘΥΝΣΗ Π.Ε. Β΄ ΑΘΗΝΑΣ"/>
    <n v="50.702777777777776"/>
    <s v="51 - 55"/>
  </r>
  <r>
    <n v="99913733"/>
    <s v="Θ"/>
    <x v="1"/>
    <x v="1"/>
    <m/>
    <m/>
    <s v="Α΄"/>
    <n v="12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9-01-01T00:00:00"/>
    <x v="1"/>
    <s v="ΔΙΕΥΘΥΝΣΗ Π.Ε. Δ΄ ΑΘΗΝΑΣ"/>
    <n v="50.702777777777776"/>
    <s v="51 - 55"/>
  </r>
  <r>
    <n v="99913734"/>
    <s v="Θ"/>
    <x v="2"/>
    <x v="2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s v="ΟΧΙ"/>
    <s v="ΟΧΙ"/>
    <s v="ΟΧΙ"/>
    <s v="ΟΧΙ"/>
    <s v="ΟΧΙ"/>
    <m/>
    <m/>
    <s v="Ιδιωτικά Σχολεία"/>
    <x v="2"/>
    <s v="7271003"/>
    <s v="ΙΔΙΩΤΙΚΟ ΝΗΠΙΑΓΩΓΕΙΟ ΚΟΖΑΝΗ - Α-ΜΠΕ-ΜΠΑ-ΜΠΛΟΜ"/>
    <s v="ΚΟΖΑΝΗΣ (Π.Ε.) 2018"/>
    <x v="24"/>
    <s v="ΠΕΡΙΦΕΡΕΙΑΚΗ Δ/ΝΣΗ Α/ΘΜΙΑΣ ΚΑΙ Β/ΘΜΙΑΣ ΕΚΠ/ΣΗΣ ΔΥΤΙΚΗΣ ΜΑΚΕΔΟΝΙΑΣ"/>
    <s v="Ιδιωτικού Δικαίου Αορίστου Χρόνου (Ι.Δ.Α.Χ.)"/>
    <s v="Τοποθέτηση σε Ιδιωτική Εκπαίδευση"/>
    <d v="1969-01-01T00:00:00"/>
    <x v="1"/>
    <s v="ΔΙΕΥΘΥΝΣΗ Π.Ε. ΚΟΖΑΝΗΣ"/>
    <n v="50.702777777777776"/>
    <s v="51 - 55"/>
  </r>
  <r>
    <n v="99913735"/>
    <s v="Θ"/>
    <x v="2"/>
    <x v="2"/>
    <m/>
    <m/>
    <s v="Γ΄"/>
    <n v="3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09"/>
    <s v="ΣΥΣΤΕΓΑΖΟΜΕΝΟ ΝΗΠΙΑΓΩΓΕΙΟ - BABYLAND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9-01-01T00:00:00"/>
    <x v="1"/>
    <s v="ΔΙΕΥΘΥΝΣΗ Π.Ε. ΜΑΓΝΗΣΙΑΣ"/>
    <n v="50.702777777777776"/>
    <s v="51 - 55"/>
  </r>
  <r>
    <n v="99913736"/>
    <s v="Θ"/>
    <x v="3"/>
    <x v="3"/>
    <m/>
    <m/>
    <s v="Γ΄"/>
    <n v="1"/>
    <n v="672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9-01-01T00:00:00"/>
    <x v="0"/>
    <s v="ΔΙΕΥΘΥΝΣΗ Δ.Ε. ΔΥΤ. ΘΕΣ/ΝΙΚΗΣ"/>
    <n v="50.702777777777776"/>
    <s v="51 - 55"/>
  </r>
  <r>
    <n v="99913737"/>
    <s v="Α"/>
    <x v="14"/>
    <x v="14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9-01-01T00:00:00"/>
    <x v="0"/>
    <s v="ΔΙΕΥΘΥΝΣΗ Δ.Ε. ΗΡΑΚΛΕΙΟΥ"/>
    <n v="50.702777777777776"/>
    <s v="51 - 55"/>
  </r>
  <r>
    <n v="99913738"/>
    <s v="Θ"/>
    <x v="15"/>
    <x v="15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3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9-01-01T00:00:00"/>
    <x v="0"/>
    <s v="ΔΙΕΥΘΥΝΣΗ Δ.Ε. ΗΡΑΚΛΕΙΟΥ"/>
    <n v="50.702777777777776"/>
    <s v="51 - 55"/>
  </r>
  <r>
    <n v="99913739"/>
    <s v="Θ"/>
    <x v="5"/>
    <x v="5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9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9-01-01T00:00:00"/>
    <x v="0"/>
    <s v="ΔΙΕΥΘΥΝΣΗ Δ.Ε. ΚΥΚΛΑΔΩΝ"/>
    <n v="50.702777777777776"/>
    <s v="51 - 55"/>
  </r>
  <r>
    <n v="99913740"/>
    <s v="Θ"/>
    <x v="2"/>
    <x v="2"/>
    <m/>
    <m/>
    <s v="Γ΄"/>
    <n v="1"/>
    <d v="1992-09-2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03"/>
    <s v="ΙΔΙΩΤΙΚΟ ΝΗΠΙΑΓΩΓΕΙ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12-27T00:00:00"/>
    <x v="1"/>
    <s v="ΔΙΕΥΘΥΝΣΗ Π.Ε. ΑΝΑΤ. ΘΕΣ/ΝΙΚΗΣ"/>
    <n v="50.716666666666669"/>
    <s v="51 - 55"/>
  </r>
  <r>
    <n v="99913741"/>
    <s v="Θ"/>
    <x v="9"/>
    <x v="9"/>
    <m/>
    <m/>
    <s v="Α΄"/>
    <n v="13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26T00:00:00"/>
    <x v="0"/>
    <s v="ΔΙΕΥΘΥΝΣΗ Δ.Ε. Δ΄ ΑΘΗΝΑΣ"/>
    <n v="50.719444444444441"/>
    <s v="51 - 55"/>
  </r>
  <r>
    <n v="99913742"/>
    <s v="Θ"/>
    <x v="15"/>
    <x v="15"/>
    <m/>
    <m/>
    <s v="Α΄"/>
    <n v="1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12-24T00:00:00"/>
    <x v="0"/>
    <s v="ΔΙΕΥΘΥΝΣΗ Δ.Ε. ΑΝΑΤ. ΘΕΣ/ΝΙΚΗΣ"/>
    <n v="50.725000000000001"/>
    <s v="51 - 55"/>
  </r>
  <r>
    <n v="9991374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19T00:00:00"/>
    <x v="0"/>
    <s v="ΔΙΕΥΘΥΝΣΗ Δ.Ε. Β΄ ΑΘΗΝΑΣ"/>
    <n v="50.738888888888887"/>
    <s v="51 - 55"/>
  </r>
  <r>
    <n v="99913744"/>
    <s v="Θ"/>
    <x v="2"/>
    <x v="2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8"/>
    <s v="ΟΧΙ"/>
    <s v="ΟΧΙ"/>
    <s v="ΟΧΙ"/>
    <m/>
    <s v="ΟΧΙ"/>
    <m/>
    <m/>
    <s v="Ιδιωτικά Σχολεία"/>
    <x v="2"/>
    <s v="7311037"/>
    <s v="ΙΔΙΩΤΙΚΟ ΝΗΠΙΑΓΩΓΕΙΟ - ΚΟΚΚΙΝΑ ΔΗΜΗΤΡΑ (2o)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12-17T00:00:00"/>
    <x v="1"/>
    <s v="ΔΙΕΥΘΥΝΣΗ Π.Ε. ΛΑΡΙΣΑΣ"/>
    <n v="50.744444444444447"/>
    <s v="51 - 55"/>
  </r>
  <r>
    <n v="99913745"/>
    <s v="Α"/>
    <x v="3"/>
    <x v="3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m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8-12-17T00:00:00"/>
    <x v="0"/>
    <s v="ΔΙΕΥΘΥΝΣΗ Δ.Ε. ΔΩΔΕΚΑΝΗΣΟΥ"/>
    <n v="50.744444444444447"/>
    <s v="51 - 55"/>
  </r>
  <r>
    <n v="99913746"/>
    <s v="Θ"/>
    <x v="3"/>
    <x v="3"/>
    <m/>
    <m/>
    <s v="Α΄"/>
    <n v="1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3"/>
    <s v="ΙΔΙΩΤΙΚΟ ΓΕΝΙΚΟ ΛΥΚΕΙΟ ΔΕΛΑΣΑΛ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12-15T00:00:00"/>
    <x v="0"/>
    <s v="ΔΙΕΥΘΥΝΣΗ Δ.Ε. ΔΥΤ. ΘΕΣ/ΝΙΚΗΣ"/>
    <n v="50.75"/>
    <s v="51 - 55"/>
  </r>
  <r>
    <n v="99913747"/>
    <s v="Θ"/>
    <x v="10"/>
    <x v="1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14T00:00:00"/>
    <x v="0"/>
    <s v="ΔΙΕΥΘΥΝΣΗ Δ.Ε. ΑΝΑΤΟΛΙΚΗΣ ΑΤΤΙΚΗΣ"/>
    <n v="50.75277777777778"/>
    <s v="51 - 55"/>
  </r>
  <r>
    <n v="99913748"/>
    <s v="Α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14T00:00:00"/>
    <x v="0"/>
    <s v="ΔΙΕΥΘΥΝΣΗ Δ.Ε. Β΄ ΑΘΗΝΑΣ"/>
    <n v="50.75277777777778"/>
    <s v="51 - 55"/>
  </r>
  <r>
    <n v="99913749"/>
    <s v="Θ"/>
    <x v="2"/>
    <x v="2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m/>
    <s v="ΟΧΙ"/>
    <m/>
    <s v="ΟΧΙ"/>
    <m/>
    <m/>
    <s v="Ιδιωτικά Σχολεία"/>
    <x v="2"/>
    <s v="7311007"/>
    <s v="ΙΔΙΩΤΙΚΟ ΝΗΠΙΑΓΩΓΕΙΟ ΛΑΡΙΣΑ - ΙΔ ΝΗΠΙΑΓΩΓ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12-11T00:00:00"/>
    <x v="1"/>
    <s v="ΔΙΕΥΘΥΝΣΗ Π.Ε. ΛΑΡΙΣΑΣ"/>
    <n v="50.761111111111113"/>
    <s v="51 - 55"/>
  </r>
  <r>
    <n v="99913750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09T00:00:00"/>
    <x v="0"/>
    <s v="ΔΙΕΥΘΥΝΣΗ Δ.Ε. ΑΝΑΤΟΛΙΚΗΣ ΑΤΤΙΚΗΣ"/>
    <n v="50.766666666666666"/>
    <s v="51 - 55"/>
  </r>
  <r>
    <n v="99913751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08T00:00:00"/>
    <x v="0"/>
    <s v="ΔΙΕΥΘΥΝΣΗ Δ.Ε. Δ΄ ΑΘΗΝΑΣ"/>
    <n v="50.769444444444446"/>
    <s v="51 - 55"/>
  </r>
  <r>
    <n v="99913752"/>
    <s v="Θ"/>
    <x v="2"/>
    <x v="2"/>
    <m/>
    <m/>
    <s v="Γ΄"/>
    <n v="1"/>
    <s v="3348/04-11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67"/>
    <s v="ΙΔΙΩΤΙΚΟ ΝΗΠΙΑΓΩΓΕΙΟ ΘΕΣΣΑΛΟΝΙΚΗ - ΠΟΛΥΧΡΩΜΟ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12-08T00:00:00"/>
    <x v="1"/>
    <s v="ΔΙΕΥΘΥΝΣΗ Π.Ε. ΑΝΑΤ. ΘΕΣ/ΝΙΚΗΣ"/>
    <n v="50.769444444444446"/>
    <s v="51 - 55"/>
  </r>
  <r>
    <n v="99913753"/>
    <s v="Θ"/>
    <x v="2"/>
    <x v="2"/>
    <m/>
    <m/>
    <s v="Γ΄"/>
    <n v="1"/>
    <n v="3183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91"/>
    <s v="ΣΟΥΖΑΝ ΤΖΟΝΣΟΝ ΜΟΝΟΠΡΟΣΩΠΗ ΙΚ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2-01T00:00:00"/>
    <x v="1"/>
    <s v="ΔΙΕΥΘΥΝΣΗ Π.Ε. Β΄ ΑΘΗΝΑΣ"/>
    <n v="50.788888888888891"/>
    <s v="51 - 55"/>
  </r>
  <r>
    <n v="99913754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27T00:00:00"/>
    <x v="0"/>
    <s v="ΔΙΕΥΘΥΝΣΗ Δ.Ε. ΑΝΑΤΟΛΙΚΗΣ ΑΤΤΙΚΗΣ"/>
    <n v="50.8"/>
    <s v="51 - 55"/>
  </r>
  <r>
    <n v="99913755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27T00:00:00"/>
    <x v="1"/>
    <s v="ΔΙΕΥΘΥΝΣΗ Π.Ε. Β΄ ΑΘΗΝΑΣ"/>
    <n v="50.8"/>
    <s v="51 - 55"/>
  </r>
  <r>
    <n v="99913756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25T00:00:00"/>
    <x v="0"/>
    <s v="ΔΙΕΥΘΥΝΣΗ Δ.Ε. Β΄ ΑΘΗΝΑΣ"/>
    <n v="50.805555555555557"/>
    <s v="51 - 55"/>
  </r>
  <r>
    <n v="99913757"/>
    <s v="Α"/>
    <x v="8"/>
    <x v="8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1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11-24T00:00:00"/>
    <x v="0"/>
    <s v="ΔΙΕΥΘΥΝΣΗ Δ.Ε. ΣΕΡΡΩΝ"/>
    <n v="50.80833333333333"/>
    <s v="51 - 55"/>
  </r>
  <r>
    <n v="99913758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21T00:00:00"/>
    <x v="0"/>
    <s v="ΔΙΕΥΘΥΝΣΗ Δ.Ε. Δ΄ ΑΘΗΝΑΣ"/>
    <n v="50.81666666666667"/>
    <s v="51 - 55"/>
  </r>
  <r>
    <n v="99913759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16T00:00:00"/>
    <x v="1"/>
    <s v="ΔΙΕΥΘΥΝΣΗ Π.Ε. Α΄ ΑΘΗΝΑΣ"/>
    <n v="50.830555555555556"/>
    <s v="51 - 55"/>
  </r>
  <r>
    <n v="99913760"/>
    <s v="Θ"/>
    <x v="18"/>
    <x v="18"/>
    <m/>
    <m/>
    <s v="Γ΄"/>
    <n v="1"/>
    <s v="Φ 17.2/319/8047/4-10-2015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15T00:00:00"/>
    <x v="1"/>
    <s v="ΔΙΕΥΘΥΝΣΗ Π.Ε. Β΄ ΑΘΗΝΑΣ"/>
    <n v="50.833333333333336"/>
    <s v="51 - 55"/>
  </r>
  <r>
    <n v="9991376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12T00:00:00"/>
    <x v="0"/>
    <s v="ΔΙΕΥΘΥΝΣΗ Δ.Ε. Β΄ ΑΘΗΝΑΣ"/>
    <n v="50.841666666666669"/>
    <s v="51 - 55"/>
  </r>
  <r>
    <n v="99913762"/>
    <s v="Θ"/>
    <x v="8"/>
    <x v="8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s v="ΟΧΙ"/>
    <m/>
    <m/>
    <m/>
    <s v="ΟΧΙ"/>
    <m/>
    <d v="2018-09-01T00:00:00"/>
    <s v="Ιδιωτικά Σχολεία"/>
    <x v="1"/>
    <s v="7011004"/>
    <s v="ΙΔΙΩΤΙΚΟ ΔΗΜΟΤΙΚΟ ΠΑΛΑΙΟΠΑΝΑΓΙΑ ΝΑΥΠΑΚΤΟΥ - ΙΔΙΩΤΙΚΟ ΔΗΜΟΤΙΚΟ ΣΧΟΛΕΙΟ ΕΚΠΑΙΔΕΥΤΗΡΙΑ ΠΑΝΟ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11-11T00:00:00"/>
    <x v="1"/>
    <s v="ΔΙΕΥΘΥΝΣΗ Π.Ε. ΑΙΤΩΛΟΑΚΑΡΝΑΝΙΑΣ"/>
    <n v="50.844444444444441"/>
    <s v="51 - 55"/>
  </r>
  <r>
    <n v="99913763"/>
    <s v="Θ"/>
    <x v="6"/>
    <x v="6"/>
    <m/>
    <m/>
    <s v="Γ΄"/>
    <n v="1"/>
    <s v="19089/01-09-2017"/>
    <d v="2017-09-01T00:00:00"/>
    <s v="ΛΑΡΙΣΑΣ (Δ.Ε.) 2018"/>
    <s v="ΔΙΕΥΘΥΝΣΗ Δ.Ε. ΛΑΡΙΣΑΣ"/>
    <s v="ΠΕΡΙΦΕΡΕΙΑΚΗ Δ/ΝΣΗ Α/ΘΜΙΑΣ ΚΑΙ Β/ΘΜΙΑΣ ΕΚΠ/ΣΗΣ ΘΕΣΣΑΛΙΑΣ"/>
    <n v="9"/>
    <s v="ΟΧΙ"/>
    <s v="ΟΧΙ"/>
    <s v="ΟΧΙ"/>
    <s v="ΟΧΙ"/>
    <s v="ΟΧΙ"/>
    <m/>
    <d v="2017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11-10T00:00:00"/>
    <x v="0"/>
    <s v="ΔΙΕΥΘΥΝΣΗ Δ.Ε. ΛΑΡΙΣΑΣ"/>
    <n v="50.847222222222221"/>
    <s v="51 - 55"/>
  </r>
  <r>
    <n v="99913764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08T00:00:00"/>
    <x v="0"/>
    <s v="ΔΙΕΥΘΥΝΣΗ Δ.Ε. Β΄ ΑΘΗΝΑΣ"/>
    <n v="50.852777777777774"/>
    <s v="51 - 55"/>
  </r>
  <r>
    <n v="99913765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11-08T00:00:00"/>
    <x v="0"/>
    <s v="ΔΙΕΥΘΥΝΣΗ Δ.Ε. Γ΄ ΑΘΗΝΑΣ"/>
    <n v="50.852777777777774"/>
    <s v="51 - 55"/>
  </r>
  <r>
    <n v="99913766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11-06T00:00:00"/>
    <x v="0"/>
    <s v="ΔΙΕΥΘΥΝΣΗ Δ.Ε. Β΄ ΑΘΗΝΑΣ"/>
    <n v="50.858333333333334"/>
    <s v="51 - 55"/>
  </r>
  <r>
    <n v="99913767"/>
    <s v="Θ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06T00:00:00"/>
    <x v="0"/>
    <s v="ΔΙΕΥΘΥΝΣΗ Δ.Ε. Γ΄ ΑΘΗΝΑΣ"/>
    <n v="50.858333333333334"/>
    <s v="51 - 55"/>
  </r>
  <r>
    <n v="99913768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1-04T00:00:00"/>
    <x v="0"/>
    <s v="ΔΙΕΥΘΥΝΣΗ Δ.Ε. Β΄ ΑΘΗΝΑΣ"/>
    <n v="50.863888888888887"/>
    <s v="51 - 55"/>
  </r>
  <r>
    <n v="99913769"/>
    <s v="Α"/>
    <x v="9"/>
    <x v="9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9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8-10-31T00:00:00"/>
    <x v="0"/>
    <s v="ΔΙΕΥΘΥΝΣΗ Δ.Ε. ΙΩΑΝΝΙΝΩΝ"/>
    <n v="50.875"/>
    <s v="51 - 55"/>
  </r>
  <r>
    <n v="99913770"/>
    <s v="Α"/>
    <x v="1"/>
    <x v="1"/>
    <m/>
    <m/>
    <s v="Α΄"/>
    <n v="8"/>
    <s v="Φ.15.Α.3/4125/22-10-2007"/>
    <d v="2007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7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30T00:00:00"/>
    <x v="1"/>
    <s v="ΔΙΕΥΘΥΝΣΗ Π.Ε. ΑΝΑΤΟΛΙΚΗΣ ΑΤΤΙΚΗΣ"/>
    <n v="50.87777777777778"/>
    <s v="51 - 55"/>
  </r>
  <r>
    <n v="99913771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28T00:00:00"/>
    <x v="0"/>
    <s v="ΔΙΕΥΘΥΝΣΗ Δ.Ε. Δ΄ ΑΘΗΝΑΣ"/>
    <n v="50.883333333333333"/>
    <s v="51 - 55"/>
  </r>
  <r>
    <n v="99913772"/>
    <s v="Θ"/>
    <x v="0"/>
    <x v="0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28T00:00:00"/>
    <x v="1"/>
    <s v="ΔΙΕΥΘΥΝΣΗ Π.Ε. Β΄ ΑΘΗΝΑΣ"/>
    <n v="50.883333333333333"/>
    <s v="51 - 55"/>
  </r>
  <r>
    <n v="9991377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24T00:00:00"/>
    <x v="0"/>
    <s v="ΔΙΕΥΘΥΝΣΗ Δ.Ε. ΑΝΑΤΟΛΙΚΗΣ ΑΤΤΙΚΗΣ"/>
    <n v="50.894444444444446"/>
    <s v="51 - 55"/>
  </r>
  <r>
    <n v="99913774"/>
    <s v="Θ"/>
    <x v="1"/>
    <x v="1"/>
    <m/>
    <m/>
    <s v="Γ΄"/>
    <n v="1"/>
    <s v="1217/20/5/1997"/>
    <d v="2018-09-01T00:00:00"/>
    <s v="ΙΩΑΝΝΙΝΩΝ (Π.Ε.) 2018"/>
    <s v="ΔΙΕΥΘΥΝΣΗ Π.Ε. ΙΩΑΝΝΙΝΩΝ"/>
    <s v="ΠΕΡΙΦΕΡΕΙΑΚΗ Δ/ΝΣΗ Α/ΘΜΙΑΣ ΚΑΙ Β/ΘΜΙΑΣ ΕΚΠ/ΣΗΣ ΗΠΕΙΡΟΥ"/>
    <n v="21"/>
    <s v="ΟΧΙ"/>
    <m/>
    <m/>
    <m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8-10-21T00:00:00"/>
    <x v="1"/>
    <s v="ΔΙΕΥΘΥΝΣΗ Π.Ε. ΙΩΑΝΝΙΝΩΝ"/>
    <n v="50.902777777777779"/>
    <s v="51 - 55"/>
  </r>
  <r>
    <n v="99913775"/>
    <s v="Α"/>
    <x v="5"/>
    <x v="5"/>
    <m/>
    <m/>
    <s v="Γ΄"/>
    <n v="12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19T00:00:00"/>
    <x v="0"/>
    <s v="ΔΙΕΥΘΥΝΣΗ Δ.Ε. Δ΄ ΑΘΗΝΑΣ"/>
    <n v="50.908333333333331"/>
    <s v="51 - 55"/>
  </r>
  <r>
    <n v="99913776"/>
    <s v="Α"/>
    <x v="14"/>
    <x v="14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s v="ΟΧΙ"/>
    <s v="ΟΧΙ"/>
    <s v="ΟΧΙ"/>
    <m/>
    <s v="ΟΧΙ"/>
    <m/>
    <m/>
    <s v="Ιδιωτικά Σχολεία"/>
    <x v="1"/>
    <s v="7191028"/>
    <s v="1ο ΙΔΙΩΤΙΚΟ ΔΗΜΟΤΙΚΟ ΕΛΑΙΩΝΕΣ ΠΥΛΑΙΑΣ ΘΕΣΣΑΛΟΝΙΚΗΣ - ΠΡΟΤΥΠΑ ΕΚΠΑΙΔΕΥΤΗΡΙΑ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10-19T00:00:00"/>
    <x v="1"/>
    <s v="ΔΙΕΥΘΥΝΣΗ Π.Ε. ΑΝΑΤ. ΘΕΣ/ΝΙΚΗΣ"/>
    <n v="50.908333333333331"/>
    <s v="51 - 55"/>
  </r>
  <r>
    <n v="99913777"/>
    <s v="Θ"/>
    <x v="2"/>
    <x v="2"/>
    <m/>
    <m/>
    <s v="Γ΄"/>
    <n v="1"/>
    <n v="2766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23"/>
    <s v="ΙΔΙΩΤΙΚΟ ΝΗΠΙΑΓΩΓΕΙΟ ΠΑΛΑΙΟ ΦΑΛΗΡΟ - ΝΕΑ ΕΚΠΑΙΔΕΥΤΗΡΙΑ Γ ΜΑΛΛΙΑΡΑ ΝΗΠΙΑΓΩΓ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18T00:00:00"/>
    <x v="1"/>
    <s v="ΔΙΕΥΘΥΝΣΗ Π.Ε. Δ΄ ΑΘΗΝΑΣ"/>
    <n v="50.911111111111111"/>
    <s v="51 - 55"/>
  </r>
  <r>
    <n v="99913778"/>
    <s v="Α"/>
    <x v="8"/>
    <x v="8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1"/>
    <s v="ΟΧΙ"/>
    <s v="ΟΧΙ"/>
    <s v="ΟΧΙ"/>
    <m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10-17T00:00:00"/>
    <x v="0"/>
    <s v="ΔΙΕΥΘΥΝΣΗ Δ.Ε. ΑΙΤΩΛΟΑΚΑΡΝΑΝΙΑΣ"/>
    <n v="50.913888888888891"/>
    <s v="51 - 55"/>
  </r>
  <r>
    <n v="99913779"/>
    <s v="Θ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10-17T00:00:00"/>
    <x v="0"/>
    <s v="ΔΙΕΥΘΥΝΣΗ Δ.Ε. ΑΝΑΤ. ΘΕΣ/ΝΙΚΗΣ"/>
    <n v="50.913888888888891"/>
    <s v="51 - 55"/>
  </r>
  <r>
    <n v="99913780"/>
    <s v="Θ"/>
    <x v="5"/>
    <x v="5"/>
    <m/>
    <m/>
    <s v="Α΄"/>
    <n v="13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14T00:00:00"/>
    <x v="0"/>
    <s v="ΔΙΕΥΘΥΝΣΗ Δ.Ε. Δ΄ ΑΘΗΝΑΣ"/>
    <n v="50.922222222222224"/>
    <s v="51 - 55"/>
  </r>
  <r>
    <n v="99913781"/>
    <s v="Θ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9"/>
    <s v="ΟΧΙ"/>
    <s v="ΟΧΙ"/>
    <s v="ΟΧΙ"/>
    <s v="ΟΧΙ"/>
    <s v="ΟΧΙ"/>
    <m/>
    <m/>
    <s v="Ιδιωτικά Σχολεία"/>
    <x v="3"/>
    <s v="0161002"/>
    <s v="ΙΔΙΩΤΙΚΟ ΓΕΛ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10-14T00:00:00"/>
    <x v="0"/>
    <s v="ΔΙΕΥΘΥΝΣΗ Δ.Ε. ΑΙΤΩΛΟΑΚΑΡΝΑΝΙΑΣ"/>
    <n v="50.922222222222224"/>
    <s v="51 - 55"/>
  </r>
  <r>
    <n v="99913782"/>
    <s v="Α"/>
    <x v="9"/>
    <x v="9"/>
    <m/>
    <m/>
    <s v="Α΄"/>
    <n v="12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13T00:00:00"/>
    <x v="0"/>
    <s v="ΔΙΕΥΘΥΝΣΗ Δ.Ε. Δ΄ ΑΘΗΝΑΣ"/>
    <n v="50.924999999999997"/>
    <s v="51 - 55"/>
  </r>
  <r>
    <n v="99913783"/>
    <s v="Θ"/>
    <x v="2"/>
    <x v="2"/>
    <m/>
    <m/>
    <s v="Α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531003"/>
    <s v="ΙΔΙΩΤΙΚΟ ΝΗΠΙΑΓΩΓΕΙΟ ΕΛΕΥΣΙΝΑ - ΤΟ ΣΠΙΤΑΚΙ ΤΗΣ ΣΟΚΟΛΑΤΑΣ"/>
    <s v="ΔΥΤ. ΑΤΤΙΚΗΣ (Π.Ε.) 2018"/>
    <x v="26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13T00:00:00"/>
    <x v="1"/>
    <s v="ΔΙΕΥΘΥΝΣΗ Π.Ε. ΔΥΤΙΚΗΣ ΑΤΤΙΚΗΣ"/>
    <n v="50.924999999999997"/>
    <s v="51 - 55"/>
  </r>
  <r>
    <n v="99913784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10T00:00:00"/>
    <x v="0"/>
    <s v="ΔΙΕΥΘΥΝΣΗ Δ.Ε. Α΄ ΑΘΗΝΑΣ"/>
    <n v="50.93333333333333"/>
    <s v="51 - 55"/>
  </r>
  <r>
    <n v="99913785"/>
    <s v="Θ"/>
    <x v="19"/>
    <x v="19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7"/>
    <s v="ΟΧΙ"/>
    <s v="ΟΧΙ"/>
    <s v="ΟΧΙ"/>
    <s v="ΟΧΙ"/>
    <s v="ΟΧΙ"/>
    <m/>
    <d v="2017-10-19T00:00:00"/>
    <s v="Ιδιωτικά Σχολεία"/>
    <x v="0"/>
    <s v="0561020"/>
    <s v="ΠΡΟΤΥΠΑ ΠΕΙΡΑΪΚΑ ΕΚΠΑΙΔΕΥΤΗΡΙΑ Μ.Ε.Π.Ε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8-10-10T00:00:00"/>
    <x v="0"/>
    <s v="ΔΙΕΥΘΥΝΣΗ Δ.Ε. ΠΕΙΡΑΙΑ"/>
    <n v="50.93333333333333"/>
    <s v="51 - 55"/>
  </r>
  <r>
    <n v="99913786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9T00:00:00"/>
    <x v="0"/>
    <s v="ΔΙΕΥΘΥΝΣΗ Δ.Ε. Δ΄ ΑΘΗΝΑΣ"/>
    <n v="50.93611111111111"/>
    <s v="51 - 55"/>
  </r>
  <r>
    <n v="99913787"/>
    <s v="Θ"/>
    <x v="7"/>
    <x v="7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9T00:00:00"/>
    <x v="0"/>
    <s v="ΔΙΕΥΘΥΝΣΗ Δ.Ε. ΠΕΙΡΑΙΑ"/>
    <n v="50.93611111111111"/>
    <s v="51 - 55"/>
  </r>
  <r>
    <n v="99913788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8T00:00:00"/>
    <x v="0"/>
    <s v="ΔΙΕΥΘΥΝΣΗ Δ.Ε. ΠΕΙΡΑΙΑ"/>
    <n v="50.93888888888889"/>
    <s v="51 - 55"/>
  </r>
  <r>
    <n v="99913789"/>
    <s v="Α"/>
    <x v="3"/>
    <x v="3"/>
    <m/>
    <m/>
    <s v="Γ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0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10-08T00:00:00"/>
    <x v="0"/>
    <s v="ΔΙΕΥΘΥΝΣΗ Δ.Ε. ΑΙΤΩΛΟΑΚΑΡΝΑΝΙΑΣ"/>
    <n v="50.93888888888889"/>
    <s v="51 - 55"/>
  </r>
  <r>
    <n v="99913790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10-07T00:00:00"/>
    <x v="0"/>
    <s v="ΔΙΕΥΘΥΝΣΗ Δ.Ε. ΑΝΑΤΟΛΙΚΗΣ ΑΤΤΙΚΗΣ"/>
    <n v="50.94166666666667"/>
    <s v="51 - 55"/>
  </r>
  <r>
    <n v="99913791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7T00:00:00"/>
    <x v="0"/>
    <s v="ΔΙΕΥΘΥΝΣΗ Δ.Ε. Β΄ ΑΘΗΝΑΣ"/>
    <n v="50.94166666666667"/>
    <s v="51 - 55"/>
  </r>
  <r>
    <n v="99913792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3T00:00:00"/>
    <x v="1"/>
    <s v="ΔΙΕΥΘΥΝΣΗ Π.Ε. Α΄ ΑΘΗΝΑΣ"/>
    <n v="50.952777777777776"/>
    <s v="51 - 55"/>
  </r>
  <r>
    <n v="99913793"/>
    <s v="Α"/>
    <x v="3"/>
    <x v="3"/>
    <m/>
    <m/>
    <s v="Α΄"/>
    <n v="8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00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2T00:00:00"/>
    <x v="0"/>
    <s v="ΔΙΕΥΘΥΝΣΗ Δ.Ε. Α΄ ΑΘΗΝΑΣ"/>
    <n v="50.955555555555556"/>
    <s v="51 - 55"/>
  </r>
  <r>
    <n v="99913794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10-02T00:00:00"/>
    <x v="0"/>
    <s v="ΔΙΕΥΘΥΝΣΗ Δ.Ε. Δ΄ ΑΘΗΝΑΣ"/>
    <n v="50.955555555555556"/>
    <s v="51 - 55"/>
  </r>
  <r>
    <n v="99913795"/>
    <s v="Θ"/>
    <x v="19"/>
    <x v="19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9-30T00:00:00"/>
    <x v="0"/>
    <s v="ΔΙΕΥΘΥΝΣΗ Δ.Ε. ΛΑΡΙΣΑΣ"/>
    <n v="50.961111111111109"/>
    <s v="51 - 55"/>
  </r>
  <r>
    <n v="99913796"/>
    <s v="Θ"/>
    <x v="3"/>
    <x v="3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4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9-22T00:00:00"/>
    <x v="0"/>
    <s v="ΔΙΕΥΘΥΝΣΗ Δ.Ε. ΣΕΡΡΩΝ"/>
    <n v="50.983333333333334"/>
    <s v="51 - 55"/>
  </r>
  <r>
    <n v="99913797"/>
    <s v="Θ"/>
    <x v="3"/>
    <x v="3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1999-02-10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20T00:00:00"/>
    <x v="0"/>
    <s v="ΔΙΕΥΘΥΝΣΗ Δ.Ε. Α΄ ΑΘΗΝΑΣ"/>
    <n v="50.988888888888887"/>
    <s v="51 - 55"/>
  </r>
  <r>
    <n v="99913798"/>
    <s v="Θ"/>
    <x v="11"/>
    <x v="11"/>
    <m/>
    <m/>
    <s v="Α΄"/>
    <n v="7"/>
    <m/>
    <m/>
    <s v="Α΄ ΑΘΗΝΑΣ (Δ.Ε.) 2018"/>
    <s v="ΔΙΕΥΘΥΝΣΗ Δ.Ε. Α΄ ΑΘΗΝΑΣ"/>
    <s v="ΠΕΡΙΦΕΡΕΙΑΚΗ Δ/ΝΣΗ Α/ΘΜΙΑΣ ΚΑΙ Β/ΘΜΙΑΣ ΕΚΠ/ΣΗΣ ΑΤΤΙΚΗΣ"/>
    <n v="16"/>
    <s v="ΟΧΙ"/>
    <s v="ΟΧΙ"/>
    <s v="ΟΧΙ"/>
    <s v="ΟΧΙ"/>
    <s v="ΟΧΙ"/>
    <m/>
    <d v="2002-09-1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20T00:00:00"/>
    <x v="0"/>
    <s v="ΔΙΕΥΘΥΝΣΗ Δ.Ε. Α΄ ΑΘΗΝΑΣ"/>
    <n v="50.988888888888887"/>
    <s v="51 - 55"/>
  </r>
  <r>
    <n v="99913799"/>
    <s v="Α"/>
    <x v="18"/>
    <x v="18"/>
    <m/>
    <m/>
    <s v="Α΄"/>
    <n v="1"/>
    <s v="Φ.17/6126/10-09-2018"/>
    <d v="2018-09-01T00:00:00"/>
    <s v="ΙΩΑΝΝΙΝΩΝ (Π.Ε.) 2018"/>
    <s v="ΔΙΕΥΘΥΝΣΗ Π.Ε. ΙΩΑΝΝΙΝΩΝ"/>
    <s v="ΠΕΡΙΦΕΡΕΙΑΚΗ Δ/ΝΣΗ Α/ΘΜΙΑΣ ΚΑΙ Β/ΘΜΙΑΣ ΕΚΠ/ΣΗΣ ΗΠΕΙΡΟΥ"/>
    <n v="11"/>
    <s v="ΟΧΙ"/>
    <s v="ΟΧΙ"/>
    <s v="ΟΧΙ"/>
    <s v="ΟΧΙ"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8-09-20T00:00:00"/>
    <x v="1"/>
    <s v="ΔΙΕΥΘΥΝΣΗ Π.Ε. ΙΩΑΝΝΙΝΩΝ"/>
    <n v="50.988888888888887"/>
    <s v="51 - 55"/>
  </r>
  <r>
    <n v="99913800"/>
    <s v="Θ"/>
    <x v="14"/>
    <x v="1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15T00:00:00"/>
    <x v="0"/>
    <s v="ΔΙΕΥΘΥΝΣΗ Δ.Ε. Δ΄ ΑΘΗΝΑΣ"/>
    <n v="51.00277777777778"/>
    <s v="51 - 55"/>
  </r>
  <r>
    <n v="99913801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9-13T00:00:00"/>
    <x v="0"/>
    <s v="ΔΙΕΥΘΥΝΣΗ Δ.Ε. Β΄ ΑΘΗΝΑΣ"/>
    <n v="51.008333333333333"/>
    <s v="51 - 55"/>
  </r>
  <r>
    <n v="99913802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12T00:00:00"/>
    <x v="0"/>
    <s v="ΔΙΕΥΘΥΝΣΗ Δ.Ε. Γ΄ ΑΘΗΝΑΣ"/>
    <n v="51.011111111111113"/>
    <s v="51 - 55"/>
  </r>
  <r>
    <n v="99913803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09T00:00:00"/>
    <x v="0"/>
    <s v="ΔΙΕΥΘΥΝΣΗ Δ.Ε. Δ΄ ΑΘΗΝΑΣ"/>
    <n v="51.019444444444446"/>
    <s v="51 - 55"/>
  </r>
  <r>
    <n v="99913804"/>
    <s v="Α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80030"/>
    <s v="ΙΔΙΩΤΙΚΟ ΗΜΕΡΗΣΙΟ ΛΥΚΕΙΟ ΘΕΣΣΑΛΟΝΙΚΗΣ &quot; ΕΚΠΑΙΔΕΥΤΗΡΙΑ ΒΑΣΙΛΕΙΑΔΗ 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9-08T00:00:00"/>
    <x v="0"/>
    <s v="ΔΙΕΥΘΥΝΣΗ Δ.Ε. ΑΝΑΤ. ΘΕΣ/ΝΙΚΗΣ"/>
    <n v="51.022222222222226"/>
    <s v="51 - 55"/>
  </r>
  <r>
    <n v="99913805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9-06T00:00:00"/>
    <x v="0"/>
    <s v="ΔΙΕΥΘΥΝΣΗ Δ.Ε. ΑΝΑΤ. ΘΕΣ/ΝΙΚΗΣ"/>
    <n v="51.027777777777779"/>
    <s v="51 - 55"/>
  </r>
  <r>
    <n v="99913806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04T00:00:00"/>
    <x v="1"/>
    <s v="ΔΙΕΥΘΥΝΣΗ Π.Ε. ΑΝΑΤΟΛΙΚΗΣ ΑΤΤΙΚΗΣ"/>
    <n v="51.033333333333331"/>
    <s v="51 - 55"/>
  </r>
  <r>
    <n v="99913807"/>
    <s v="Θ"/>
    <x v="19"/>
    <x v="19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4"/>
    <s v="ΟΧΙ"/>
    <s v="ΟΧΙ"/>
    <s v="ΟΧΙ"/>
    <s v="ΟΧΙ"/>
    <s v="ΟΧΙ"/>
    <m/>
    <d v="2010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03T00:00:00"/>
    <x v="0"/>
    <s v="ΔΙΕΥΘΥΝΣΗ Δ.Ε. Α΄ ΑΘΗΝΑΣ"/>
    <n v="51.036111111111111"/>
    <s v="51 - 55"/>
  </r>
  <r>
    <n v="99913808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9-03T00:00:00"/>
    <x v="0"/>
    <s v="ΔΙΕΥΘΥΝΣΗ Δ.Ε. ΑΝΑΤΟΛΙΚΗΣ ΑΤΤΙΚΗΣ"/>
    <n v="51.036111111111111"/>
    <s v="51 - 55"/>
  </r>
  <r>
    <n v="99913809"/>
    <s v="Θ"/>
    <x v="6"/>
    <x v="6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6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9-01T00:00:00"/>
    <x v="0"/>
    <s v="ΔΙΕΥΘΥΝΣΗ Δ.Ε. ΑΝΑΤ. ΘΕΣ/ΝΙΚΗΣ"/>
    <n v="51.041666666666664"/>
    <s v="51 - 55"/>
  </r>
  <r>
    <n v="99913810"/>
    <s v="Α"/>
    <x v="19"/>
    <x v="19"/>
    <m/>
    <m/>
    <s v="Γ΄"/>
    <n v="1"/>
    <s v="1214/01-09-2017"/>
    <d v="2017-09-01T00:00:00"/>
    <s v="ΛΑΡΙΣΑΣ (Δ.Ε.) 2018"/>
    <s v="ΔΙΕΥΘΥΝΣΗ Δ.Ε. ΛΑΡΙΣΑΣ"/>
    <s v="ΠΕΡΙΦΕΡΕΙΑΚΗ Δ/ΝΣΗ Α/ΘΜΙΑΣ ΚΑΙ Β/ΘΜΙΑΣ ΕΚΠ/ΣΗΣ ΘΕΣΣΑΛΙΑΣ"/>
    <n v="14"/>
    <s v="ΟΧΙ"/>
    <m/>
    <m/>
    <m/>
    <s v="ΟΧΙ"/>
    <m/>
    <d v="2017-09-01T00:00:00"/>
    <s v="Ιδιωτικά Σχολεία"/>
    <x v="0"/>
    <s v="3160003"/>
    <s v="INTERNATIONAL COMMUNITY SCHOOL OF LARISSA (ΓΥΜΝΑΣΙΟ)"/>
    <s v="ΛΑΡΙΣΑΣ (Δ.Ε.) 2018"/>
    <x v="44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68-08-30T00:00:00"/>
    <x v="0"/>
    <s v="ΔΙΕΥΘΥΝΣΗ Δ.Ε. ΛΑΡΙΣΑΣ"/>
    <n v="51.047222222222224"/>
    <s v="51 - 55"/>
  </r>
  <r>
    <n v="99913811"/>
    <s v="Θ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29T00:00:00"/>
    <x v="0"/>
    <s v="ΔΙΕΥΘΥΝΣΗ Δ.Ε. Γ΄ ΑΘΗΝΑΣ"/>
    <n v="51.05"/>
    <s v="51 - 55"/>
  </r>
  <r>
    <n v="99913812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m/>
    <s v="ΟΧΙ"/>
    <m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28T00:00:00"/>
    <x v="1"/>
    <s v="ΔΙΕΥΘΥΝΣΗ Π.Ε. Β΄ ΑΘΗΝΑΣ"/>
    <n v="51.052777777777777"/>
    <s v="51 - 55"/>
  </r>
  <r>
    <n v="99913813"/>
    <s v="Θ"/>
    <x v="8"/>
    <x v="8"/>
    <m/>
    <m/>
    <s v="Γ΄"/>
    <n v="1"/>
    <s v="2603/14-10-92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28T00:00:00"/>
    <x v="1"/>
    <s v="ΔΙΕΥΘΥΝΣΗ Π.Ε. Β΄ ΑΘΗΝΑΣ"/>
    <n v="51.052777777777777"/>
    <s v="51 - 55"/>
  </r>
  <r>
    <n v="99913814"/>
    <s v="Α"/>
    <x v="5"/>
    <x v="5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8-08-28T00:00:00"/>
    <x v="0"/>
    <s v="ΔΙΕΥΘΥΝΣΗ Δ.Ε. ΙΩΑΝΝΙΝΩΝ"/>
    <n v="51.052777777777777"/>
    <s v="51 - 55"/>
  </r>
  <r>
    <n v="99913815"/>
    <s v="Θ"/>
    <x v="0"/>
    <x v="0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27T00:00:00"/>
    <x v="0"/>
    <s v="ΔΙΕΥΘΥΝΣΗ Δ.Ε. Δ΄ ΑΘΗΝΑΣ"/>
    <n v="51.055555555555557"/>
    <s v="51 - 55"/>
  </r>
  <r>
    <n v="99913816"/>
    <s v="Θ"/>
    <x v="2"/>
    <x v="2"/>
    <m/>
    <m/>
    <s v="Α΄"/>
    <n v="1"/>
    <m/>
    <m/>
    <s v="ΠΙΕΡΙΑΣ (Π.Ε.) 2018"/>
    <s v="ΔΙΕΥΘΥΝΣΗ Π.Ε. ΠΙΕΡΙΑ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391009"/>
    <s v="Ιδιωτικό Συστεγαζόμενο Νηπιαγωγείο - ΑΣΤΕΡΑΚΙΑ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8-20T00:00:00"/>
    <x v="1"/>
    <s v="ΔΙΕΥΘΥΝΣΗ Π.Ε. ΠΙΕΡΙΑΣ"/>
    <n v="51.075000000000003"/>
    <s v="51 - 55"/>
  </r>
  <r>
    <n v="99913817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18T00:00:00"/>
    <x v="0"/>
    <s v="ΔΙΕΥΘΥΝΣΗ Δ.Ε. ΑΝΑΤΟΛΙΚΗΣ ΑΤΤΙΚΗΣ"/>
    <n v="51.080555555555556"/>
    <s v="51 - 55"/>
  </r>
  <r>
    <n v="99913818"/>
    <s v="Α"/>
    <x v="14"/>
    <x v="1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18T00:00:00"/>
    <x v="0"/>
    <s v="ΔΙΕΥΘΥΝΣΗ Δ.Ε. ΑΝΑΤΟΛΙΚΗΣ ΑΤΤΙΚΗΣ"/>
    <n v="51.080555555555556"/>
    <s v="51 - 55"/>
  </r>
  <r>
    <n v="99913819"/>
    <s v="Θ"/>
    <x v="8"/>
    <x v="8"/>
    <m/>
    <m/>
    <s v="Α΄"/>
    <n v="1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8-16T00:00:00"/>
    <x v="1"/>
    <s v="ΔΙΕΥΘΥΝΣΗ Π.Ε. ΔΥΤ. ΘΕΣ/ΝΙΚΗΣ"/>
    <n v="51.086111111111109"/>
    <s v="51 - 55"/>
  </r>
  <r>
    <n v="99913820"/>
    <s v="Θ"/>
    <x v="1"/>
    <x v="1"/>
    <m/>
    <m/>
    <s v="Α΄"/>
    <n v="14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8-15T00:00:00"/>
    <x v="1"/>
    <s v="ΔΙΕΥΘΥΝΣΗ Π.Ε. ΑΝΑΤΟΛΙΚΗΣ ΑΤΤΙΚΗΣ"/>
    <n v="51.088888888888889"/>
    <s v="51 - 55"/>
  </r>
  <r>
    <n v="99913821"/>
    <s v="Θ"/>
    <x v="2"/>
    <x v="2"/>
    <m/>
    <m/>
    <s v="Γ΄"/>
    <n v="1"/>
    <n v="9415"/>
    <d v="2018-09-01T00:00:00"/>
    <s v="ΛΑΡΙΣΑΣ (Π.Ε.) 2018"/>
    <s v="ΔΙΕΥΘΥΝΣΗ Π.Ε. ΛΑΡΙΣΑΣ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311007"/>
    <s v="ΙΔΙΩΤΙΚΟ ΝΗΠΙΑΓΩΓΕΙΟ ΛΑΡΙΣΑ - ΙΔ ΝΗΠΙΑΓΩΓ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d v="1968-08-15T00:00:00"/>
    <x v="1"/>
    <s v="ΔΙΕΥΘΥΝΣΗ Π.Ε. ΛΑΡΙΣΑΣ"/>
    <n v="51.088888888888889"/>
    <s v="51 - 55"/>
  </r>
  <r>
    <n v="99913822"/>
    <s v="Θ"/>
    <x v="2"/>
    <x v="2"/>
    <m/>
    <m/>
    <s v="Γ΄"/>
    <n v="1"/>
    <s v="4341/3-12-2010"/>
    <d v="2018-09-01T00:00:00"/>
    <s v="ΙΩΑΝΝΙΝΩΝ (Π.Ε.) 2018"/>
    <s v="ΔΙΕΥΘΥΝΣΗ Π.Ε. ΙΩΑΝΝΙΝΩΝ"/>
    <s v="ΠΕΡΙΦΕΡΕΙΑΚΗ Δ/ΝΣΗ Α/ΘΜΙΑΣ ΚΑΙ Β/ΘΜΙΑΣ ΕΚΠ/ΣΗΣ ΗΠΕΙΡΟΥ"/>
    <n v="25"/>
    <s v="ΟΧΙ"/>
    <m/>
    <m/>
    <m/>
    <s v="ΟΧΙ"/>
    <m/>
    <d v="2018-09-01T00:00:00"/>
    <s v="Ιδιωτικά Σχολεία"/>
    <x v="2"/>
    <s v="7201013"/>
    <s v="ΙΔΙΩΤΙΚΟ ΝΗΠΙΑΓΩΓΕΙΟ - ΙΔΙΩΤΙΚΟ Ν/Γ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8-08-11T00:00:00"/>
    <x v="1"/>
    <s v="ΔΙΕΥΘΥΝΣΗ Π.Ε. ΙΩΑΝΝΙΝΩΝ"/>
    <n v="51.1"/>
    <s v="51 - 55"/>
  </r>
  <r>
    <n v="99913823"/>
    <s v="Α"/>
    <x v="14"/>
    <x v="14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10T00:00:00"/>
    <x v="0"/>
    <s v="ΔΙΕΥΘΥΝΣΗ Δ.Ε. Α΄ ΑΘΗΝΑΣ"/>
    <n v="51.102777777777774"/>
    <s v="51 - 55"/>
  </r>
  <r>
    <n v="99913824"/>
    <s v="Α"/>
    <x v="11"/>
    <x v="11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07T00:00:00"/>
    <x v="0"/>
    <s v="ΔΙΕΥΘΥΝΣΗ Δ.Ε. ΑΝΑΤΟΛΙΚΗΣ ΑΤΤΙΚΗΣ"/>
    <n v="51.111111111111114"/>
    <s v="51 - 55"/>
  </r>
  <r>
    <n v="99913825"/>
    <s v="Θ"/>
    <x v="3"/>
    <x v="3"/>
    <m/>
    <m/>
    <s v="Γ΄"/>
    <n v="12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05T00:00:00"/>
    <x v="0"/>
    <s v="ΔΙΕΥΘΥΝΣΗ Δ.Ε. Δ΄ ΑΘΗΝΑΣ"/>
    <n v="51.116666666666667"/>
    <s v="51 - 55"/>
  </r>
  <r>
    <n v="99913826"/>
    <s v="Θ"/>
    <x v="2"/>
    <x v="2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s v="ΟΧΙ"/>
    <s v="ΟΧΙ"/>
    <s v="ΟΧΙ"/>
    <m/>
    <s v="ΟΧΙ"/>
    <m/>
    <m/>
    <s v="Ιδιωτικά Σχολεία"/>
    <x v="2"/>
    <s v="7271001"/>
    <s v="ΙΔΙΩΤΙΚΟ ΝΗΠΙΑΓΩΓΕΙΟ ΚΡΟΚΟΣ ΚΟΖΑΝΗΣ - ΛΙΛΙΠΟΥΠΟΛΗ"/>
    <s v="ΚΟΖΑΝΗΣ (Π.Ε.) 2018"/>
    <x v="24"/>
    <s v="ΠΕΡΙΦΕΡΕΙΑΚΗ Δ/ΝΣΗ Α/ΘΜΙΑΣ ΚΑΙ Β/ΘΜΙΑΣ ΕΚΠ/ΣΗΣ ΔΥΤΙΚΗΣ ΜΑΚΕΔΟΝΙΑΣ"/>
    <s v="Ιδιωτικού Δικαίου Αορίστου Χρόνου (Ι.Δ.Α.Χ.)"/>
    <s v="Τοποθέτηση σε Ιδιωτική Εκπαίδευση"/>
    <d v="1968-08-05T00:00:00"/>
    <x v="1"/>
    <s v="ΔΙΕΥΘΥΝΣΗ Π.Ε. ΚΟΖΑΝΗΣ"/>
    <n v="51.116666666666667"/>
    <s v="51 - 55"/>
  </r>
  <r>
    <n v="99913827"/>
    <s v="Θ"/>
    <x v="0"/>
    <x v="0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8-04T00:00:00"/>
    <x v="0"/>
    <s v="ΔΙΕΥΘΥΝΣΗ Δ.Ε. ΑΝΑΤΟΛΙΚΗΣ ΑΤΤΙΚΗΣ"/>
    <n v="51.119444444444447"/>
    <s v="51 - 55"/>
  </r>
  <r>
    <n v="99913828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8-04T00:00:00"/>
    <x v="0"/>
    <s v="ΔΙΕΥΘΥΝΣΗ Δ.Ε. Β΄ ΑΘΗΝΑΣ"/>
    <n v="51.119444444444447"/>
    <s v="51 - 55"/>
  </r>
  <r>
    <n v="99913829"/>
    <s v="Θ"/>
    <x v="10"/>
    <x v="10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8-04T00:00:00"/>
    <x v="1"/>
    <s v="ΔΙΕΥΘΥΝΣΗ Π.Ε. Β΄ ΑΘΗΝΑΣ"/>
    <n v="51.119444444444447"/>
    <s v="51 - 55"/>
  </r>
  <r>
    <n v="99913830"/>
    <s v="Θ"/>
    <x v="2"/>
    <x v="2"/>
    <m/>
    <m/>
    <s v="Α΄"/>
    <n v="4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m/>
    <s v="Ιδιωτικά Σχολεία"/>
    <x v="2"/>
    <s v="7061031"/>
    <s v="ΙΔΙΩΤΙΚΟ ΝΗΠΙΑΓΩΓΕΙΟ ΜΕΣΑΤΙΔΑ ΑΧΑΪΑΣ - ΙΔ. ΝΗΠ. ΣΚΟΥΡΑΣ ΠΑΥΛΟΣ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08-02T00:00:00"/>
    <x v="1"/>
    <s v="ΔΙΕΥΘΥΝΣΗ Π.Ε. ΑΧΑΪΑΣ"/>
    <n v="51.125"/>
    <s v="51 - 55"/>
  </r>
  <r>
    <n v="99913831"/>
    <s v="Θ"/>
    <x v="3"/>
    <x v="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29T00:00:00"/>
    <x v="0"/>
    <s v="ΔΙΕΥΘΥΝΣΗ Δ.Ε. Δ΄ ΑΘΗΝΑΣ"/>
    <n v="51.136111111111113"/>
    <s v="51 - 55"/>
  </r>
  <r>
    <n v="99913832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28T00:00:00"/>
    <x v="1"/>
    <s v="ΔΙΕΥΘΥΝΣΗ Π.Ε. Δ΄ ΑΘΗΝΑΣ"/>
    <n v="51.138888888888886"/>
    <s v="51 - 55"/>
  </r>
  <r>
    <n v="99913833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m/>
    <s v="Ιδιωτικά Σχολεία"/>
    <x v="2"/>
    <s v="7052013"/>
    <s v="ΙΔΙΩΤΙΚΟ ΝΗΠΙΑΓΩΓΕΙΟ ΒΡΙΛΗΣΣΙΑ - ΕΛΛΗΝΟΓΕΡΜΑΝΙΚΟΣ ΕΚΠΑΙΔΕΥΤΙ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25T00:00:00"/>
    <x v="1"/>
    <s v="ΔΙΕΥΘΥΝΣΗ Π.Ε. Β΄ ΑΘΗΝΑΣ"/>
    <n v="51.147222222222226"/>
    <s v="51 - 55"/>
  </r>
  <r>
    <n v="99913834"/>
    <s v="Α"/>
    <x v="11"/>
    <x v="11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24T00:00:00"/>
    <x v="0"/>
    <s v="ΔΙΕΥΘΥΝΣΗ Δ.Ε. ΠΕΙΡΑΙΑ"/>
    <n v="51.15"/>
    <s v="51 - 55"/>
  </r>
  <r>
    <n v="99913835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17T00:00:00"/>
    <x v="0"/>
    <s v="ΔΙΕΥΘΥΝΣΗ Δ.Ε. Β΄ ΑΘΗΝΑΣ"/>
    <n v="51.169444444444444"/>
    <s v="51 - 55"/>
  </r>
  <r>
    <n v="99913836"/>
    <s v="Α"/>
    <x v="18"/>
    <x v="1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15T00:00:00"/>
    <x v="0"/>
    <s v="ΔΙΕΥΘΥΝΣΗ Δ.Ε. Β΄ ΑΘΗΝΑΣ"/>
    <n v="51.174999999999997"/>
    <s v="51 - 55"/>
  </r>
  <r>
    <n v="99913837"/>
    <s v="Θ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8-07-14T00:00:00"/>
    <x v="0"/>
    <s v="ΔΙΕΥΘΥΝΣΗ Δ.Ε. ΑΧΑΪΑΣ"/>
    <n v="51.177777777777777"/>
    <s v="51 - 55"/>
  </r>
  <r>
    <n v="99913838"/>
    <s v="Α"/>
    <x v="19"/>
    <x v="19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13T00:00:00"/>
    <x v="0"/>
    <s v="ΔΙΕΥΘΥΝΣΗ Δ.Ε. Δ΄ ΑΘΗΝΑΣ"/>
    <n v="51.180555555555557"/>
    <s v="51 - 55"/>
  </r>
  <r>
    <n v="99913839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7-11T00:00:00"/>
    <x v="0"/>
    <s v="ΔΙΕΥΘΥΝΣΗ Δ.Ε. Β΄ ΑΘΗΝΑΣ"/>
    <n v="51.18611111111111"/>
    <s v="51 - 55"/>
  </r>
  <r>
    <n v="99913840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11T00:00:00"/>
    <x v="0"/>
    <s v="ΔΙΕΥΘΥΝΣΗ Δ.Ε. Β΄ ΑΘΗΝΑΣ"/>
    <n v="51.18611111111111"/>
    <s v="51 - 55"/>
  </r>
  <r>
    <n v="99913841"/>
    <s v="Θ"/>
    <x v="15"/>
    <x v="15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7-11T00:00:00"/>
    <x v="0"/>
    <s v="ΔΙΕΥΘΥΝΣΗ Δ.Ε. ΑΝΑΤ. ΘΕΣ/ΝΙΚΗΣ"/>
    <n v="51.18611111111111"/>
    <s v="51 - 55"/>
  </r>
  <r>
    <n v="99913842"/>
    <s v="Α"/>
    <x v="3"/>
    <x v="3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s v="ΟΧΙ"/>
    <s v="ΟΧΙ"/>
    <s v="ΟΧΙ"/>
    <s v="ΟΧΙ"/>
    <s v="ΟΧΙ"/>
    <m/>
    <m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07-10T00:00:00"/>
    <x v="0"/>
    <s v="ΔΙΕΥΘΥΝΣΗ Δ.Ε. ΑΙΤΩΛΟΑΚΑΡΝΑΝΙΑΣ"/>
    <n v="51.18888888888889"/>
    <s v="51 - 55"/>
  </r>
  <r>
    <n v="99913843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09T00:00:00"/>
    <x v="0"/>
    <s v="ΔΙΕΥΘΥΝΣΗ Δ.Ε. Β΄ ΑΘΗΝΑΣ"/>
    <n v="51.19166666666667"/>
    <s v="51 - 55"/>
  </r>
  <r>
    <n v="99913844"/>
    <s v="Α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07T00:00:00"/>
    <x v="0"/>
    <s v="ΔΙΕΥΘΥΝΣΗ Δ.Ε. ΑΝΑΤΟΛΙΚΗΣ ΑΤΤΙΚΗΣ"/>
    <n v="51.197222222222223"/>
    <s v="51 - 55"/>
  </r>
  <r>
    <n v="99913845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7-03T00:00:00"/>
    <x v="0"/>
    <s v="ΔΙΕΥΘΥΝΣΗ Δ.Ε. ΑΝΑΤΟΛΙΚΗΣ ΑΤΤΙΚΗΣ"/>
    <n v="51.208333333333336"/>
    <s v="51 - 55"/>
  </r>
  <r>
    <n v="99913846"/>
    <s v="Θ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7-03T00:00:00"/>
    <x v="1"/>
    <s v="ΔΙΕΥΘΥΝΣΗ Π.Ε. Γ΄ ΑΘΗΝΑΣ"/>
    <n v="51.208333333333336"/>
    <s v="51 - 55"/>
  </r>
  <r>
    <n v="99913847"/>
    <s v="Θ"/>
    <x v="15"/>
    <x v="1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29T00:00:00"/>
    <x v="0"/>
    <s v="ΔΙΕΥΘΥΝΣΗ Δ.Ε. ΑΝΑΤΟΛΙΚΗΣ ΑΤΤΙΚΗΣ"/>
    <n v="51.219444444444441"/>
    <s v="51 - 55"/>
  </r>
  <r>
    <n v="99913848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28T00:00:00"/>
    <x v="0"/>
    <s v="ΔΙΕΥΘΥΝΣΗ Δ.Ε. ΑΝΑΤΟΛΙΚΗΣ ΑΤΤΙΚΗΣ"/>
    <n v="51.222222222222221"/>
    <s v="51 - 55"/>
  </r>
  <r>
    <n v="99913849"/>
    <s v="Θ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28T00:00:00"/>
    <x v="0"/>
    <s v="ΔΙΕΥΘΥΝΣΗ Δ.Ε. ΑΝΑΤΟΛΙΚΗΣ ΑΤΤΙΚΗΣ"/>
    <n v="51.222222222222221"/>
    <s v="51 - 55"/>
  </r>
  <r>
    <n v="99913850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8-06-28T00:00:00"/>
    <x v="0"/>
    <s v="ΔΙΕΥΘΥΝΣΗ Δ.Ε. Β΄ ΑΘΗΝΑΣ"/>
    <n v="51.222222222222221"/>
    <s v="51 - 55"/>
  </r>
  <r>
    <n v="99913851"/>
    <s v="Θ"/>
    <x v="2"/>
    <x v="2"/>
    <m/>
    <m/>
    <s v="Γ΄"/>
    <n v="1"/>
    <s v="3527/04-11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95"/>
    <s v="ΙΔΙΩΤΙΚΟ ΝΗΠΙΑΓΩΓΕΙΟ ΦΟΥΝΤΑΣ ΣΠΥΡΙΔΩΝ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6-27T00:00:00"/>
    <x v="1"/>
    <s v="ΔΙΕΥΘΥΝΣΗ Π.Ε. ΑΝΑΤ. ΘΕΣ/ΝΙΚΗΣ"/>
    <n v="51.225000000000001"/>
    <s v="51 - 55"/>
  </r>
  <r>
    <n v="99913852"/>
    <s v="Θ"/>
    <x v="8"/>
    <x v="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21T00:00:00"/>
    <x v="0"/>
    <s v="ΔΙΕΥΘΥΝΣΗ Δ.Ε. Α΄ ΑΘΗΝΑΣ"/>
    <n v="51.241666666666667"/>
    <s v="51 - 55"/>
  </r>
  <r>
    <n v="99913853"/>
    <s v="Θ"/>
    <x v="2"/>
    <x v="2"/>
    <m/>
    <m/>
    <s v="Γ΄"/>
    <n v="1"/>
    <n v="3900"/>
    <d v="2018-09-01T00:00:00"/>
    <s v="ΜΕΣΣΗΝΙΑΣ (Π.Ε.) 2018"/>
    <s v="ΔΙΕΥΘΥΝΣΗ Π.Ε. ΜΕΣΣΗΝΙΑΣ"/>
    <s v="ΠΕΡΙΦΕΡΕΙΑΚΗ Δ/ΝΣΗ Α/ΘΜΙΑΣ ΚΑΙ Β/ΘΜΙΑΣ ΕΚΠ/ΣΗΣ ΠΕΛΟΠΟΝΝΗΣΟΥ"/>
    <n v="25"/>
    <s v="ΟΧΙ"/>
    <m/>
    <m/>
    <m/>
    <s v="ΟΧΙ"/>
    <m/>
    <d v="2018-09-01T00:00:00"/>
    <s v="Ιδιωτικά Σχολεία"/>
    <x v="2"/>
    <s v="7361007"/>
    <s v="ΙΔΙΩΤΙΚΟ 1/ΘΕΣΙΟ ΝΗΠ/ΓΕΙΟ &quot;ΠΑΙΧΝΙΔΟΥΠΟΛΗ&quot; (Γ. ΧΡΟΝΟΠΟΥΛΟΥ - Ε. ΝΙΚΟΛΑΚΕΑ Ο.Ε.)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8-06-20T00:00:00"/>
    <x v="1"/>
    <s v="ΔΙΕΥΘΥΝΣΗ Π.Ε. ΜΕΣΣΗΝΙΑΣ"/>
    <n v="51.244444444444447"/>
    <s v="51 - 55"/>
  </r>
  <r>
    <n v="99913854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18T00:00:00"/>
    <x v="0"/>
    <s v="ΔΙΕΥΘΥΝΣΗ Δ.Ε. Γ΄ ΑΘΗΝΑΣ"/>
    <n v="51.25"/>
    <s v="51 - 55"/>
  </r>
  <r>
    <n v="99913855"/>
    <s v="Θ"/>
    <x v="6"/>
    <x v="6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18T00:00:00"/>
    <x v="1"/>
    <s v="ΔΙΕΥΘΥΝΣΗ Π.Ε. Δ΄ ΑΘΗΝΑΣ"/>
    <n v="51.25"/>
    <s v="51 - 55"/>
  </r>
  <r>
    <n v="99913856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6-18T00:00:00"/>
    <x v="0"/>
    <s v="ΔΙΕΥΘΥΝΣΗ Δ.Ε. ΑΝΑΤ. ΘΕΣ/ΝΙΚΗΣ"/>
    <n v="51.25"/>
    <s v="51 - 55"/>
  </r>
  <r>
    <n v="99913857"/>
    <s v="Θ"/>
    <x v="18"/>
    <x v="1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17T00:00:00"/>
    <x v="1"/>
    <s v="ΔΙΕΥΘΥΝΣΗ Π.Ε. ΑΝΑΤΟΛΙΚΗΣ ΑΤΤΙΚΗΣ"/>
    <n v="51.25277777777778"/>
    <s v="51 - 55"/>
  </r>
  <r>
    <n v="99913858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6-12T00:00:00"/>
    <x v="0"/>
    <s v="ΔΙΕΥΘΥΝΣΗ Δ.Ε. ΑΝΑΤ. ΘΕΣ/ΝΙΚΗΣ"/>
    <n v="51.266666666666666"/>
    <s v="51 - 55"/>
  </r>
  <r>
    <n v="99913859"/>
    <s v="Θ"/>
    <x v="3"/>
    <x v="3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6-11T00:00:00"/>
    <x v="0"/>
    <s v="ΔΙΕΥΘΥΝΣΗ Δ.Ε. ΑΝΑΤ. ΘΕΣ/ΝΙΚΗΣ"/>
    <n v="51.269444444444446"/>
    <s v="51 - 55"/>
  </r>
  <r>
    <n v="99913860"/>
    <s v="Α"/>
    <x v="1"/>
    <x v="1"/>
    <m/>
    <m/>
    <s v="Α΄"/>
    <n v="11"/>
    <s v="4962/6-11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9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09T00:00:00"/>
    <x v="1"/>
    <s v="ΔΙΕΥΘΥΝΣΗ Π.Ε. ΑΝΑΤΟΛΙΚΗΣ ΑΤΤΙΚΗΣ"/>
    <n v="51.274999999999999"/>
    <s v="51 - 55"/>
  </r>
  <r>
    <n v="99913861"/>
    <s v="Θ"/>
    <x v="2"/>
    <x v="2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m/>
    <s v="Ιδιωτικά Σχολεία"/>
    <x v="2"/>
    <s v="7061017"/>
    <s v="ΙΔΙΩΤΙΚΟ ΝΗΠΙΑΓΩΓΕΙΟ ΡΙΟ ΠΑΤΡΩΝ - ΙΔ. ΝΗΠ. ΧΡΙΣΤΟΠΟΥΛΟΥ ΕΛΕΝΗ-ΕΙΡΗΝΗ-ΝΑΥΤΙΛΟΣ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06-08T00:00:00"/>
    <x v="1"/>
    <s v="ΔΙΕΥΘΥΝΣΗ Π.Ε. ΑΧΑΪΑΣ"/>
    <n v="51.277777777777779"/>
    <s v="51 - 55"/>
  </r>
  <r>
    <n v="99913862"/>
    <s v="Α"/>
    <x v="3"/>
    <x v="3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6-08T00:00:00"/>
    <x v="0"/>
    <s v="ΔΙΕΥΘΥΝΣΗ Δ.Ε. ΤΡΙΚΑΛΩΝ"/>
    <n v="51.277777777777779"/>
    <s v="51 - 55"/>
  </r>
  <r>
    <n v="99913863"/>
    <s v="Α"/>
    <x v="2"/>
    <x v="2"/>
    <m/>
    <m/>
    <s v="Α΄"/>
    <n v="1"/>
    <m/>
    <m/>
    <s v="ΚΑΡΔΙΤΣΑΣ (Π.Ε.) 2018"/>
    <s v="ΔΙΕΥΘΥΝΣΗ Π.Ε. ΚΑΡΔΙΤ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221003"/>
    <s v="ΙΔΙΩΤΙΚΟ ΝΗΠΙΑΓΩΓΕΙΟ ΚΑΡΔΙΤΣΑ - ΙΔΙΩΤΙΚΟ ΝΗΠΙΑΓΩΓΕΙΟ ΣΠΥΡΙΔΩΝΑ ΣΑΚΕΛΛΑΡΟΠΟΥΛΟΥ"/>
    <s v="ΚΑΡΔΙΤΣΑΣ (Π.Ε.) 2018"/>
    <x v="66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6-08T00:00:00"/>
    <x v="1"/>
    <s v="ΔΙΕΥΘΥΝΣΗ Π.Ε. ΚΑΡΔΙΤΣΑΣ"/>
    <n v="51.277777777777779"/>
    <s v="51 - 55"/>
  </r>
  <r>
    <n v="99913864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07T00:00:00"/>
    <x v="0"/>
    <s v="ΔΙΕΥΘΥΝΣΗ Δ.Ε. Β΄ ΑΘΗΝΑΣ"/>
    <n v="51.280555555555559"/>
    <s v="51 - 55"/>
  </r>
  <r>
    <n v="99913865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6-03T00:00:00"/>
    <x v="0"/>
    <s v="ΔΙΕΥΘΥΝΣΗ Δ.Ε. ΑΝΑΤ. ΘΕΣ/ΝΙΚΗΣ"/>
    <n v="51.291666666666664"/>
    <s v="51 - 55"/>
  </r>
  <r>
    <n v="99913866"/>
    <s v="Α"/>
    <x v="8"/>
    <x v="8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8-06-03T00:00:00"/>
    <x v="0"/>
    <s v="ΔΙΕΥΘΥΝΣΗ Δ.Ε. ΧΑΝΙΩΝ"/>
    <n v="51.291666666666664"/>
    <s v="51 - 55"/>
  </r>
  <r>
    <n v="99913867"/>
    <s v="Α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6-02T00:00:00"/>
    <x v="0"/>
    <s v="ΔΙΕΥΘΥΝΣΗ Δ.Ε. ΠΕΙΡΑΙΑ"/>
    <n v="51.294444444444444"/>
    <s v="51 - 55"/>
  </r>
  <r>
    <n v="99913868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28T00:00:00"/>
    <x v="0"/>
    <s v="ΔΙΕΥΘΥΝΣΗ Δ.Ε. Β΄ ΑΘΗΝΑΣ"/>
    <n v="51.30833333333333"/>
    <s v="51 - 55"/>
  </r>
  <r>
    <n v="99913869"/>
    <s v="Θ"/>
    <x v="13"/>
    <x v="13"/>
    <m/>
    <m/>
    <s v="Γ΄"/>
    <n v="1"/>
    <n v="18277"/>
    <d v="2018-09-01T00:00:00"/>
    <s v="Γ΄ ΑΘΗΝΑΣ (Δ.Ε.) 2018"/>
    <s v="ΔΙΕΥΘΥΝΣΗ Δ.Ε. Γ΄ ΑΘΗΝΑΣ"/>
    <s v="ΠΕΡΙΦΕΡΕΙΑΚΗ Δ/ΝΣΗ Α/ΘΜΙΑΣ ΚΑΙ Β/ΘΜΙΑΣ ΕΚΠ/ΣΗΣ ΑΤΤΙΚΗΣ"/>
    <n v="9"/>
    <s v="ΟΧΙ"/>
    <m/>
    <m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68-05-28T00:00:00"/>
    <x v="0"/>
    <s v="ΔΙΕΥΘΥΝΣΗ Δ.Ε. Γ΄ ΑΘΗΝΑΣ"/>
    <n v="51.30833333333333"/>
    <s v="51 - 55"/>
  </r>
  <r>
    <n v="99913870"/>
    <s v="Α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28T00:00:00"/>
    <x v="0"/>
    <s v="ΔΙΕΥΘΥΝΣΗ Δ.Ε. ΠΕΙΡΑΙΑ"/>
    <n v="51.30833333333333"/>
    <s v="51 - 55"/>
  </r>
  <r>
    <n v="99913871"/>
    <s v="Θ"/>
    <x v="2"/>
    <x v="2"/>
    <m/>
    <m/>
    <s v="Γ΄"/>
    <n v="1"/>
    <s v="Φ. 17.2/289/10431/2-10-2017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2041"/>
    <s v="ΙΔΙΩΤΙΚΟ ΝΗΠΙΑΓΩΓΕΙ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28T00:00:00"/>
    <x v="1"/>
    <s v="ΔΙΕΥΘΥΝΣΗ Π.Ε. Β΄ ΑΘΗΝΑΣ"/>
    <n v="51.30833333333333"/>
    <s v="51 - 55"/>
  </r>
  <r>
    <n v="99913872"/>
    <s v="Α"/>
    <x v="19"/>
    <x v="19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5-22T00:00:00"/>
    <x v="0"/>
    <s v="ΔΙΕΥΘΥΝΣΗ Δ.Ε. Γ΄ ΑΘΗΝΑΣ"/>
    <n v="51.325000000000003"/>
    <s v="51 - 55"/>
  </r>
  <r>
    <n v="99913873"/>
    <s v="Θ"/>
    <x v="18"/>
    <x v="1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22T00:00:00"/>
    <x v="0"/>
    <s v="ΔΙΕΥΘΥΝΣΗ Δ.Ε. ΠΕΙΡΑΙΑ"/>
    <n v="51.325000000000003"/>
    <s v="51 - 55"/>
  </r>
  <r>
    <n v="99913874"/>
    <s v="Θ"/>
    <x v="6"/>
    <x v="6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18T00:00:00"/>
    <x v="1"/>
    <s v="ΔΙΕΥΘΥΝΣΗ Π.Ε. ΑΝΑΤΟΛΙΚΗΣ ΑΤΤΙΚΗΣ"/>
    <n v="51.336111111111109"/>
    <s v="51 - 55"/>
  </r>
  <r>
    <n v="99913875"/>
    <s v="Θ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5-17T00:00:00"/>
    <x v="0"/>
    <s v="ΔΙΕΥΘΥΝΣΗ Δ.Ε. ΑΝΑΤΟΛΙΚΗΣ ΑΤΤΙΚΗΣ"/>
    <n v="51.338888888888889"/>
    <s v="51 - 55"/>
  </r>
  <r>
    <n v="99913876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5-17T00:00:00"/>
    <x v="0"/>
    <s v="ΔΙΕΥΘΥΝΣΗ Δ.Ε. Β΄ ΑΘΗΝΑΣ"/>
    <n v="51.338888888888889"/>
    <s v="51 - 55"/>
  </r>
  <r>
    <n v="99913877"/>
    <s v="Α"/>
    <x v="4"/>
    <x v="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16T00:00:00"/>
    <x v="0"/>
    <s v="ΔΙΕΥΘΥΝΣΗ Δ.Ε. ΠΕΙΡΑΙΑ"/>
    <n v="51.341666666666669"/>
    <s v="51 - 55"/>
  </r>
  <r>
    <n v="99913878"/>
    <s v="Θ"/>
    <x v="5"/>
    <x v="5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5-11T00:00:00"/>
    <x v="0"/>
    <s v="ΔΙΕΥΘΥΝΣΗ Δ.Ε. ΑΝΑΤ. ΘΕΣ/ΝΙΚΗΣ"/>
    <n v="51.355555555555554"/>
    <s v="51 - 55"/>
  </r>
  <r>
    <n v="99913879"/>
    <s v="Θ"/>
    <x v="4"/>
    <x v="4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5-10T00:00:00"/>
    <x v="0"/>
    <s v="ΔΙΕΥΘΥΝΣΗ Δ.Ε. ΛΑΡΙΣΑΣ"/>
    <n v="51.358333333333334"/>
    <s v="51 - 55"/>
  </r>
  <r>
    <n v="99913880"/>
    <s v="Θ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5-09T00:00:00"/>
    <x v="0"/>
    <s v="ΔΙΕΥΘΥΝΣΗ Δ.Ε. ΑΝΑΤΟΛΙΚΗΣ ΑΤΤΙΚΗΣ"/>
    <n v="51.361111111111114"/>
    <s v="51 - 55"/>
  </r>
  <r>
    <n v="99913881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06T00:00:00"/>
    <x v="0"/>
    <s v="ΔΙΕΥΘΥΝΣΗ Δ.Ε. ΑΝΑΤΟΛΙΚΗΣ ΑΤΤΙΚΗΣ"/>
    <n v="51.369444444444447"/>
    <s v="51 - 55"/>
  </r>
  <r>
    <n v="99913882"/>
    <s v="Θ"/>
    <x v="3"/>
    <x v="3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05T00:00:00"/>
    <x v="0"/>
    <s v="ΔΙΕΥΘΥΝΣΗ Δ.Ε. Δ΄ ΑΘΗΝΑΣ"/>
    <n v="51.37222222222222"/>
    <s v="51 - 55"/>
  </r>
  <r>
    <n v="99913883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05T00:00:00"/>
    <x v="1"/>
    <s v="ΔΙΕΥΘΥΝΣΗ Π.Ε. ΑΝΑΤΟΛΙΚΗΣ ΑΤΤΙΚΗΣ"/>
    <n v="51.37222222222222"/>
    <s v="51 - 55"/>
  </r>
  <r>
    <n v="99913884"/>
    <s v="Α"/>
    <x v="5"/>
    <x v="5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5-04T00:00:00"/>
    <x v="0"/>
    <s v="ΔΙΕΥΘΥΝΣΗ Δ.Ε. ΤΡΙΚΑΛΩΝ"/>
    <n v="51.375"/>
    <s v="51 - 55"/>
  </r>
  <r>
    <n v="99913885"/>
    <s v="Θ"/>
    <x v="6"/>
    <x v="6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03T00:00:00"/>
    <x v="0"/>
    <s v="ΔΙΕΥΘΥΝΣΗ Δ.Ε. Δ΄ ΑΘΗΝΑΣ"/>
    <n v="51.37777777777778"/>
    <s v="51 - 55"/>
  </r>
  <r>
    <n v="99913886"/>
    <s v="Θ"/>
    <x v="6"/>
    <x v="6"/>
    <m/>
    <m/>
    <s v="Α΄"/>
    <n v="11"/>
    <s v="3522/12-9-2007"/>
    <d v="2007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5-03T00:00:00"/>
    <x v="1"/>
    <s v="ΔΙΕΥΘΥΝΣΗ Π.Ε. ΑΝΑΤΟΛΙΚΗΣ ΑΤΤΙΚΗΣ"/>
    <n v="51.37777777777778"/>
    <s v="51 - 55"/>
  </r>
  <r>
    <n v="99913887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5-01T00:00:00"/>
    <x v="0"/>
    <s v="ΔΙΕΥΘΥΝΣΗ Δ.Ε. Β΄ ΑΘΗΝΑΣ"/>
    <n v="51.383333333333333"/>
    <s v="51 - 55"/>
  </r>
  <r>
    <n v="99913888"/>
    <s v="Α"/>
    <x v="19"/>
    <x v="19"/>
    <m/>
    <m/>
    <s v="Γ΄"/>
    <n v="1"/>
    <n v="9266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19"/>
    <s v="ΟΧΙ"/>
    <s v="ΟΧΙ"/>
    <s v="ΟΧΙ"/>
    <s v="ΟΧΙ"/>
    <s v="ΟΧΙ"/>
    <m/>
    <d v="2018-09-01T00:00:00"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5-01T00:00:00"/>
    <x v="0"/>
    <s v="ΔΙΕΥΘΥΝΣΗ Δ.Ε. ΠΙΕΡΙΑΣ"/>
    <n v="51.383333333333333"/>
    <s v="51 - 55"/>
  </r>
  <r>
    <n v="99913889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9T00:00:00"/>
    <x v="0"/>
    <s v="ΔΙΕΥΘΥΝΣΗ Δ.Ε. ΑΝΑΤΟΛΙΚΗΣ ΑΤΤΙΚΗΣ"/>
    <n v="51.388888888888886"/>
    <s v="51 - 55"/>
  </r>
  <r>
    <n v="99913890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9T00:00:00"/>
    <x v="0"/>
    <s v="ΔΙΕΥΘΥΝΣΗ Δ.Ε. Γ΄ ΑΘΗΝΑΣ"/>
    <n v="51.388888888888886"/>
    <s v="51 - 55"/>
  </r>
  <r>
    <n v="99913891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8T00:00:00"/>
    <x v="0"/>
    <s v="ΔΙΕΥΘΥΝΣΗ Δ.Ε. ΑΝΑΤΟΛΙΚΗΣ ΑΤΤΙΚΗΣ"/>
    <n v="51.391666666666666"/>
    <s v="51 - 55"/>
  </r>
  <r>
    <n v="99913892"/>
    <s v="Α"/>
    <x v="24"/>
    <x v="24"/>
    <s v="ΠΕ04.05"/>
    <s v="ΓΕΩΛΟΓΟΙ"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8T00:00:00"/>
    <x v="0"/>
    <s v="ΔΙΕΥΘΥΝΣΗ Δ.Ε. Β΄ ΑΘΗΝΑΣ"/>
    <n v="51.391666666666666"/>
    <s v="51 - 55"/>
  </r>
  <r>
    <n v="99913893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4-28T00:00:00"/>
    <x v="0"/>
    <s v="ΔΙΕΥΘΥΝΣΗ Δ.Ε. ΑΝΑΤ. ΘΕΣ/ΝΙΚΗΣ"/>
    <n v="51.391666666666666"/>
    <s v="51 - 55"/>
  </r>
  <r>
    <n v="99913894"/>
    <s v="Θ"/>
    <x v="0"/>
    <x v="0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4-26T00:00:00"/>
    <x v="1"/>
    <s v="ΔΙΕΥΘΥΝΣΗ Π.Ε. Α΄ ΑΘΗΝΑΣ"/>
    <n v="51.397222222222226"/>
    <s v="51 - 55"/>
  </r>
  <r>
    <n v="99913895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5T00:00:00"/>
    <x v="0"/>
    <s v="ΔΙΕΥΘΥΝΣΗ Δ.Ε. Β΄ ΑΘΗΝΑΣ"/>
    <n v="51.4"/>
    <s v="51 - 55"/>
  </r>
  <r>
    <n v="99913896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4T00:00:00"/>
    <x v="0"/>
    <s v="ΔΙΕΥΘΥΝΣΗ Δ.Ε. Β΄ ΑΘΗΝΑΣ"/>
    <n v="51.402777777777779"/>
    <s v="51 - 55"/>
  </r>
  <r>
    <n v="99913897"/>
    <s v="Α"/>
    <x v="20"/>
    <x v="20"/>
    <m/>
    <m/>
    <s v="Γ΄"/>
    <n v="1"/>
    <m/>
    <d v="2005-08-31T00:00:00"/>
    <s v="ΣΕΡΡΩΝ (Δ.Ε.) 2018"/>
    <s v="ΔΙΕΥΘΥΝΣΗ Δ.Ε. ΣΕΡΡΩΝ"/>
    <s v="ΠΕΡΙΦΕΡΕΙΑΚΗ Δ/ΝΣΗ Α/ΘΜΙΑΣ ΚΑΙ Β/ΘΜΙΑΣ ΕΚΠ/ΣΗΣ ΚΕΝΤΡΙΚΗΣ ΜΑΚΕΔΟΝΙΑΣ"/>
    <n v="15"/>
    <s v="ΟΧΙ"/>
    <s v="ΟΧΙ"/>
    <s v="ΟΧΙ"/>
    <s v="ΟΧΙ"/>
    <s v="ΟΧΙ"/>
    <m/>
    <d v="2005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4-24T00:00:00"/>
    <x v="0"/>
    <s v="ΔΙΕΥΘΥΝΣΗ Δ.Ε. ΣΕΡΡΩΝ"/>
    <n v="51.402777777777779"/>
    <s v="51 - 55"/>
  </r>
  <r>
    <n v="99913898"/>
    <s v="Α"/>
    <x v="9"/>
    <x v="9"/>
    <m/>
    <m/>
    <s v="Α΄"/>
    <n v="14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3T00:00:00"/>
    <x v="0"/>
    <s v="ΔΙΕΥΘΥΝΣΗ Δ.Ε. ΑΝΑΤΟΛΙΚΗΣ ΑΤΤΙΚΗΣ"/>
    <n v="51.405555555555559"/>
    <s v="51 - 55"/>
  </r>
  <r>
    <n v="99913899"/>
    <s v="Α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3T00:00:00"/>
    <x v="1"/>
    <s v="ΔΙΕΥΘΥΝΣΗ Π.Ε. Δ΄ ΑΘΗΝΑΣ"/>
    <n v="51.405555555555559"/>
    <s v="51 - 55"/>
  </r>
  <r>
    <n v="99913900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20T00:00:00"/>
    <x v="0"/>
    <s v="ΔΙΕΥΘΥΝΣΗ Δ.Ε. Β΄ ΑΘΗΝΑΣ"/>
    <n v="51.413888888888891"/>
    <s v="51 - 55"/>
  </r>
  <r>
    <n v="99913901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4-20T00:00:00"/>
    <x v="0"/>
    <s v="ΔΙΕΥΘΥΝΣΗ Δ.Ε. Β΄ ΑΘΗΝΑΣ"/>
    <n v="51.413888888888891"/>
    <s v="51 - 55"/>
  </r>
  <r>
    <n v="99913902"/>
    <s v="Α"/>
    <x v="9"/>
    <x v="9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s v="ΟΧΙ"/>
    <s v="ΟΧΙ"/>
    <s v="ΟΧΙ"/>
    <s v="ΟΧΙ"/>
    <s v="ΟΧΙ"/>
    <m/>
    <m/>
    <s v="Ιδιωτικά Σχολεία"/>
    <x v="0"/>
    <s v="0160075"/>
    <s v="ΙΔΙΩΤΙΚΟ ΓΥΜΝΑΣΙΟ ΝΑΥΠΑΚΤΟΣ - ΕΚΠΑΙΔΕΥΤΗΡΙΑ ΠΑΝΟΥ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8-04-18T00:00:00"/>
    <x v="0"/>
    <s v="ΔΙΕΥΘΥΝΣΗ Δ.Ε. ΑΙΤΩΛΟΑΚΑΡΝΑΝΙΑΣ"/>
    <n v="51.419444444444444"/>
    <s v="51 - 55"/>
  </r>
  <r>
    <n v="99913903"/>
    <s v="Α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5"/>
    <s v="ΟΧΙ"/>
    <s v="ΟΧΙ"/>
    <s v="ΟΧΙ"/>
    <m/>
    <s v="ΟΧΙ"/>
    <m/>
    <m/>
    <s v="Ιδιωτικά Σχολεία"/>
    <x v="3"/>
    <s v="2880010"/>
    <s v="ΙΔΙΩΤΙΚΟ ΗΜΕΡΗΣΙΟ ΛΥΚΕΙΟ ΚΟΡΙΝΘΟΣ - ΑΡΙΣΤΟΤΕΛΕΙΟ ΓΕΝΙΚΟ ΛΥΚΕ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8-04-18T00:00:00"/>
    <x v="0"/>
    <s v="ΔΙΕΥΘΥΝΣΗ Δ.Ε. ΚΟΡΙΝΘΙΑΣ"/>
    <n v="51.419444444444444"/>
    <s v="51 - 55"/>
  </r>
  <r>
    <n v="99913904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4-15T00:00:00"/>
    <x v="0"/>
    <s v="ΔΙΕΥΘΥΝΣΗ Δ.Ε. Γ΄ ΑΘΗΝΑΣ"/>
    <n v="51.427777777777777"/>
    <s v="51 - 55"/>
  </r>
  <r>
    <n v="99913905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4-10T00:00:00"/>
    <x v="0"/>
    <s v="ΔΙΕΥΘΥΝΣΗ Δ.Ε. Β΄ ΑΘΗΝΑΣ"/>
    <n v="51.44166666666667"/>
    <s v="51 - 55"/>
  </r>
  <r>
    <n v="99913906"/>
    <s v="Θ"/>
    <x v="15"/>
    <x v="15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4-09T00:00:00"/>
    <x v="0"/>
    <s v="ΔΙΕΥΘΥΝΣΗ Δ.Ε. ΤΡΙΚΑΛΩΝ"/>
    <n v="51.444444444444443"/>
    <s v="51 - 55"/>
  </r>
  <r>
    <n v="99913907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4-07T00:00:00"/>
    <x v="0"/>
    <s v="ΔΙΕΥΘΥΝΣΗ Δ.Ε. Γ΄ ΑΘΗΝΑΣ"/>
    <n v="51.45"/>
    <s v="51 - 55"/>
  </r>
  <r>
    <n v="99913908"/>
    <s v="Α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12"/>
    <s v="ΟΧΙ"/>
    <s v="ΟΧΙ"/>
    <s v="ΟΧΙ"/>
    <s v="ΟΧΙ"/>
    <s v="ΟΧΙ"/>
    <m/>
    <m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8-04-07T00:00:00"/>
    <x v="1"/>
    <s v="ΔΙΕΥΘΥΝΣΗ Π.Ε. ΧΑΝΙΩΝ"/>
    <n v="51.45"/>
    <s v="51 - 55"/>
  </r>
  <r>
    <n v="99913909"/>
    <s v="Α"/>
    <x v="3"/>
    <x v="3"/>
    <m/>
    <m/>
    <s v="Γ΄"/>
    <n v="1"/>
    <s v="17774/01-09-2017"/>
    <d v="2017-09-01T00:00:00"/>
    <s v="ΛΑΡΙΣΑΣ (Δ.Ε.) 2018"/>
    <s v="ΔΙΕΥΘΥΝΣΗ Δ.Ε. ΛΑΡΙΣΑΣ"/>
    <s v="ΠΕΡΙΦΕΡΕΙΑΚΗ Δ/ΝΣΗ Α/ΘΜΙΑΣ ΚΑΙ Β/ΘΜΙΑΣ ΕΚΠ/ΣΗΣ ΘΕΣΣΑΛΙΑΣ"/>
    <n v="23"/>
    <s v="ΟΧΙ"/>
    <s v="ΟΧΙ"/>
    <s v="ΟΧΙ"/>
    <m/>
    <s v="ΟΧΙ"/>
    <m/>
    <d v="2017-09-01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4-04T00:00:00"/>
    <x v="0"/>
    <s v="ΔΙΕΥΘΥΝΣΗ Δ.Ε. ΛΑΡΙΣΑΣ"/>
    <n v="51.458333333333336"/>
    <s v="51 - 55"/>
  </r>
  <r>
    <n v="99913910"/>
    <s v="Θ"/>
    <x v="0"/>
    <x v="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4-04T00:00:00"/>
    <x v="0"/>
    <s v="ΔΙΕΥΘΥΝΣΗ Δ.Ε. ΑΝΑΤ. ΘΕΣ/ΝΙΚΗΣ"/>
    <n v="51.458333333333336"/>
    <s v="51 - 55"/>
  </r>
  <r>
    <n v="99913911"/>
    <s v="Α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31T00:00:00"/>
    <x v="0"/>
    <s v="ΔΙΕΥΘΥΝΣΗ Δ.Ε. Β΄ ΑΘΗΝΑΣ"/>
    <n v="51.469444444444441"/>
    <s v="51 - 55"/>
  </r>
  <r>
    <n v="99913912"/>
    <s v="Θ"/>
    <x v="8"/>
    <x v="8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3-30T00:00:00"/>
    <x v="0"/>
    <s v="ΔΙΕΥΘΥΝΣΗ Δ.Ε. ΑΝΑΤ. ΘΕΣ/ΝΙΚΗΣ"/>
    <n v="51.472222222222221"/>
    <s v="51 - 55"/>
  </r>
  <r>
    <n v="99913913"/>
    <s v="Θ"/>
    <x v="3"/>
    <x v="3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6"/>
    <s v="ΟΧΙ"/>
    <s v="ΟΧΙ"/>
    <s v="ΟΧΙ"/>
    <s v="ΟΧΙ"/>
    <s v="ΟΧΙ"/>
    <m/>
    <m/>
    <s v="Ιδιωτικά Σχολεία"/>
    <x v="3"/>
    <s v="2880010"/>
    <s v="ΙΔΙΩΤΙΚΟ ΗΜΕΡΗΣΙΟ ΛΥΚΕΙΟ ΚΟΡΙΝΘΟΣ - ΑΡΙΣΤΟΤΕΛΕΙΟ ΓΕΝΙΚΟ ΛΥΚΕ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8-03-30T00:00:00"/>
    <x v="0"/>
    <s v="ΔΙΕΥΘΥΝΣΗ Δ.Ε. ΚΟΡΙΝΘΙΑΣ"/>
    <n v="51.472222222222221"/>
    <s v="51 - 55"/>
  </r>
  <r>
    <n v="99913914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9T00:00:00"/>
    <x v="0"/>
    <s v="ΔΙΕΥΘΥΝΣΗ Δ.Ε. Β΄ ΑΘΗΝΑΣ"/>
    <n v="51.475000000000001"/>
    <s v="51 - 55"/>
  </r>
  <r>
    <n v="99913915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8T00:00:00"/>
    <x v="0"/>
    <s v="ΔΙΕΥΘΥΝΣΗ Δ.Ε. Β΄ ΑΘΗΝΑΣ"/>
    <n v="51.477777777777774"/>
    <s v="51 - 55"/>
  </r>
  <r>
    <n v="9991391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5T00:00:00"/>
    <x v="0"/>
    <s v="ΔΙΕΥΘΥΝΣΗ Δ.Ε. Β΄ ΑΘΗΝΑΣ"/>
    <n v="51.486111111111114"/>
    <s v="51 - 55"/>
  </r>
  <r>
    <n v="99913917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4T00:00:00"/>
    <x v="0"/>
    <s v="ΔΙΕΥΘΥΝΣΗ Δ.Ε. ΑΝΑΤΟΛΙΚΗΣ ΑΤΤΙΚΗΣ"/>
    <n v="51.488888888888887"/>
    <s v="51 - 55"/>
  </r>
  <r>
    <n v="99913918"/>
    <s v="Θ"/>
    <x v="6"/>
    <x v="6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4"/>
    <s v="ΟΧΙ"/>
    <s v="ΟΧΙ"/>
    <s v="ΟΧΙ"/>
    <m/>
    <s v="ΟΧΙ"/>
    <m/>
    <m/>
    <s v="Ιδιωτικά Σχολεία"/>
    <x v="1"/>
    <s v="7171002"/>
    <s v="ΙΔΙΩΤΙΚΟ ΔΗΜΟΤΙΚΟ ΗΡΑΚΛΕΙΟ - ΙΔΙΩΤΙΚΟ ΔΗΜΟΤΙΚΟ ΖΑΝΝΕΙΟ ΕΚΠΑΙΔΕΥΤΗΡΙΟ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8-03-24T00:00:00"/>
    <x v="1"/>
    <s v="ΔΙΕΥΘΥΝΣΗ Π.Ε. ΗΡΑΚΛΕΙΟΥ"/>
    <n v="51.488888888888887"/>
    <s v="51 - 55"/>
  </r>
  <r>
    <n v="9991391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3T00:00:00"/>
    <x v="0"/>
    <s v="ΔΙΕΥΘΥΝΣΗ Δ.Ε. Β΄ ΑΘΗΝΑΣ"/>
    <n v="51.491666666666667"/>
    <s v="51 - 55"/>
  </r>
  <r>
    <n v="9991392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3T00:00:00"/>
    <x v="0"/>
    <s v="ΔΙΕΥΘΥΝΣΗ Δ.Ε. Δ΄ ΑΘΗΝΑΣ"/>
    <n v="51.491666666666667"/>
    <s v="51 - 55"/>
  </r>
  <r>
    <n v="99913921"/>
    <s v="Θ"/>
    <x v="2"/>
    <x v="2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m/>
    <s v="ΟΧΙ"/>
    <m/>
    <s v="ΟΧΙ"/>
    <m/>
    <m/>
    <s v="Ιδιωτικά Σχολεία"/>
    <x v="2"/>
    <s v="7311001"/>
    <s v="ΙΔΙΩΤΙΚΟ ΝΗΠΙΑΓΩΓΕΙΟ ΛΑΡΙΣΑ - ΕΚΠΑΙΔΕΥΤΗΡΙΑ ΜΑΙΡΗΣ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3-22T00:00:00"/>
    <x v="1"/>
    <s v="ΔΙΕΥΘΥΝΣΗ Π.Ε. ΛΑΡΙΣΑΣ"/>
    <n v="51.494444444444447"/>
    <s v="51 - 55"/>
  </r>
  <r>
    <n v="99913922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2"/>
    <s v="7052001"/>
    <s v="ΙΔΙΩΤΙΚΟ ΝΗΠΙΑΓΩΓΕΙΟ ΨΥΧΙΚΟ - ΑΡΣΑΚΕΙΟ ΝΗΠΙΑΓΩΓ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1T00:00:00"/>
    <x v="1"/>
    <s v="ΔΙΕΥΘΥΝΣΗ Π.Ε. Β΄ ΑΘΗΝΑΣ"/>
    <n v="51.49722222222222"/>
    <s v="51 - 55"/>
  </r>
  <r>
    <n v="99913923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20T00:00:00"/>
    <x v="0"/>
    <s v="ΔΙΕΥΘΥΝΣΗ Δ.Ε. ΠΕΙΡΑΙΑ"/>
    <n v="51.5"/>
    <s v="51 - 55"/>
  </r>
  <r>
    <n v="99913924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18T00:00:00"/>
    <x v="0"/>
    <s v="ΔΙΕΥΘΥΝΣΗ Δ.Ε. Β΄ ΑΘΗΝΑΣ"/>
    <n v="51.505555555555553"/>
    <s v="51 - 55"/>
  </r>
  <r>
    <n v="99913925"/>
    <s v="Θ"/>
    <x v="6"/>
    <x v="6"/>
    <m/>
    <m/>
    <s v="Α΄"/>
    <n v="9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3-18T00:00:00"/>
    <x v="1"/>
    <s v="ΔΙΕΥΘΥΝΣΗ Π.Ε. ΜΑΓΝΗΣΙΑΣ"/>
    <n v="51.505555555555553"/>
    <s v="51 - 55"/>
  </r>
  <r>
    <n v="99913926"/>
    <s v="Θ"/>
    <x v="1"/>
    <x v="1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3-16T00:00:00"/>
    <x v="1"/>
    <s v="ΔΙΕΥΘΥΝΣΗ Π.Ε. Β΄ ΑΘΗΝΑΣ"/>
    <n v="51.511111111111113"/>
    <s v="51 - 55"/>
  </r>
  <r>
    <n v="99913927"/>
    <s v="Θ"/>
    <x v="1"/>
    <x v="1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32"/>
    <s v="2ο ΙΔΙΩΤΙΚΟ ΔΗΜΟΤΙΚΟ ΘΕΣΣΑΛΟΝΙΚΗ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3-16T00:00:00"/>
    <x v="1"/>
    <s v="ΔΙΕΥΘΥΝΣΗ Π.Ε. ΑΝΑΤ. ΘΕΣ/ΝΙΚΗΣ"/>
    <n v="51.511111111111113"/>
    <s v="51 - 55"/>
  </r>
  <r>
    <n v="99913928"/>
    <s v="Α"/>
    <x v="19"/>
    <x v="19"/>
    <s v="ΠΕ84"/>
    <s v="ΗΛΕΚΤΡΟΝΙΚΩΝ"/>
    <s v="Α΄"/>
    <n v="9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8-03-15T00:00:00"/>
    <x v="0"/>
    <s v="ΔΙΕΥΘΥΝΣΗ Δ.Ε. ΛΑΡΙΣΑΣ"/>
    <n v="51.513888888888886"/>
    <s v="51 - 55"/>
  </r>
  <r>
    <n v="99913929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3-11T00:00:00"/>
    <x v="0"/>
    <s v="ΔΙΕΥΘΥΝΣΗ Δ.Ε. Γ΄ ΑΘΗΝΑΣ"/>
    <n v="51.524999999999999"/>
    <s v="51 - 55"/>
  </r>
  <r>
    <n v="99913930"/>
    <s v="Θ"/>
    <x v="0"/>
    <x v="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09T00:00:00"/>
    <x v="0"/>
    <s v="ΔΙΕΥΘΥΝΣΗ Δ.Ε. ΠΕΙΡΑΙΑ"/>
    <n v="51.530555555555559"/>
    <s v="51 - 55"/>
  </r>
  <r>
    <n v="99913931"/>
    <s v="Θ"/>
    <x v="3"/>
    <x v="3"/>
    <m/>
    <m/>
    <s v="Γ΄"/>
    <n v="1"/>
    <n v="18459"/>
    <d v="2018-09-10T00:00:00"/>
    <s v="Α΄ ΠΕΙΡΑΙΑ (Δ.Ε.) 2018"/>
    <s v="ΔΙΕΥΘΥΝΣΗ Δ.Ε. ΠΕΙΡΑΙΑ"/>
    <s v="ΠΕΡΙΦΕΡΕΙΑΚΗ Δ/ΝΣΗ Α/ΘΜΙΑΣ ΚΑΙ Β/ΘΜΙΑΣ ΕΚΠ/ΣΗΣ ΑΤΤΙΚΗΣ"/>
    <n v="18"/>
    <s v="ΟΧΙ"/>
    <m/>
    <m/>
    <m/>
    <s v="ΟΧΙ"/>
    <m/>
    <d v="2018-09-10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8-03-09T00:00:00"/>
    <x v="0"/>
    <s v="ΔΙΕΥΘΥΝΣΗ Δ.Ε. ΠΕΙΡΑΙΑ"/>
    <n v="51.530555555555559"/>
    <s v="51 - 55"/>
  </r>
  <r>
    <n v="99913932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3-09T00:00:00"/>
    <x v="1"/>
    <s v="ΔΙΕΥΘΥΝΣΗ Π.Ε. ΑΝΑΤΟΛΙΚΗΣ ΑΤΤΙΚΗΣ"/>
    <n v="51.530555555555559"/>
    <s v="51 - 55"/>
  </r>
  <r>
    <n v="99913933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3-08T00:00:00"/>
    <x v="0"/>
    <s v="ΔΙΕΥΘΥΝΣΗ Δ.Ε. Β΄ ΑΘΗΝΑΣ"/>
    <n v="51.533333333333331"/>
    <s v="51 - 55"/>
  </r>
  <r>
    <n v="99913934"/>
    <s v="Θ"/>
    <x v="1"/>
    <x v="1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3-07T00:00:00"/>
    <x v="1"/>
    <s v="ΔΙΕΥΘΥΝΣΗ Π.Ε. Β΄ ΑΘΗΝΑΣ"/>
    <n v="51.536111111111111"/>
    <s v="51 - 55"/>
  </r>
  <r>
    <n v="99913935"/>
    <s v="Θ"/>
    <x v="10"/>
    <x v="10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3-06T00:00:00"/>
    <x v="0"/>
    <s v="ΔΙΕΥΘΥΝΣΗ Δ.Ε. ΑΝΑΤ. ΘΕΣ/ΝΙΚΗΣ"/>
    <n v="51.538888888888891"/>
    <s v="51 - 55"/>
  </r>
  <r>
    <n v="99913936"/>
    <s v="Α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02T00:00:00"/>
    <x v="0"/>
    <s v="ΔΙΕΥΘΥΝΣΗ Δ.Ε. Β΄ ΑΘΗΝΑΣ"/>
    <n v="51.55"/>
    <s v="51 - 55"/>
  </r>
  <r>
    <n v="99913937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3-01T00:00:00"/>
    <x v="0"/>
    <s v="ΔΙΕΥΘΥΝΣΗ Δ.Ε. Γ΄ ΑΘΗΝΑΣ"/>
    <n v="51.552777777777777"/>
    <s v="51 - 55"/>
  </r>
  <r>
    <n v="99913938"/>
    <s v="Α"/>
    <x v="8"/>
    <x v="8"/>
    <m/>
    <m/>
    <s v="Γ΄"/>
    <n v="1"/>
    <s v="ΑΠ1787590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s v="ΟΧΙ"/>
    <s v="ΟΧΙ"/>
    <s v="ΟΧΙ"/>
    <m/>
    <s v="ΟΧΙ"/>
    <m/>
    <d v="2018-09-01T00:00:00"/>
    <s v="Ιδιωτικά Σχολεία"/>
    <x v="1"/>
    <s v="7391000"/>
    <s v="ΙΔΙΩΤΙΚΟ ΔΗΜΟΤΙΚΟ ΚΑΤΕΡΙΝΗΣ - ΙΔΙΩΤΙΚΟ ΔΗΜ ΣΧΟΛΕΙΟ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3-01T00:00:00"/>
    <x v="1"/>
    <s v="ΔΙΕΥΘΥΝΣΗ Π.Ε. ΠΙΕΡΙΑΣ"/>
    <n v="51.552777777777777"/>
    <s v="51 - 55"/>
  </r>
  <r>
    <n v="99913939"/>
    <s v="Θ"/>
    <x v="2"/>
    <x v="2"/>
    <m/>
    <m/>
    <s v="Γ΄"/>
    <n v="1"/>
    <m/>
    <m/>
    <s v="ΠΡΕΒΕΖΑΣ (Π.Ε.) 2018"/>
    <s v="ΔΙΕΥΘΥΝΣΗ Π.Ε. ΠΡΕΒΕΖΑΣ"/>
    <s v="ΠΕΡΙΦΕΡΕΙΑΚΗ Δ/ΝΣΗ Α/ΘΜΙΑΣ ΚΑΙ Β/ΘΜΙΑΣ ΕΚΠ/ΣΗΣ ΗΠΕΙΡΟΥ"/>
    <n v="25"/>
    <s v="ΟΧΙ"/>
    <s v="ΟΧΙ"/>
    <s v="ΟΧΙ"/>
    <s v="ΟΧΙ"/>
    <s v="ΟΧΙ"/>
    <m/>
    <m/>
    <s v="Ιδιωτικά Σχολεία"/>
    <x v="2"/>
    <s v="7401003"/>
    <s v="ΙΔΙΩΤΙΚΟ ΝΗΠΙΑΓΩΓΕΙΟ - ΚΛΗΡΟΔΟΤΗΜΑ ΣΠΥΡΙΔΩΝΟΣ ΚΑΡΑΜΑΝΗ"/>
    <s v="ΠΡΕΒΕΖΑΣ (Π.Ε.) 2018"/>
    <x v="68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8-02-26T00:00:00"/>
    <x v="1"/>
    <s v="ΔΙΕΥΘΥΝΣΗ Π.Ε. ΠΡΕΒΕΖΑΣ"/>
    <n v="51.56388888888889"/>
    <s v="51 - 55"/>
  </r>
  <r>
    <n v="99913940"/>
    <s v="Θ"/>
    <x v="1"/>
    <x v="1"/>
    <m/>
    <m/>
    <s v="Α΄"/>
    <n v="8"/>
    <s v="4962/6-11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09-09-01T00:00:00"/>
    <s v="Ιδιωτικά Σχολεία"/>
    <x v="1"/>
    <s v="7521052"/>
    <s v="2ο ΙΔΙΩΤΙΚΟ ΔΗΜΟΤΙΚΟ ΣΧΟΛΕΙΟ-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2-25T00:00:00"/>
    <x v="1"/>
    <s v="ΔΙΕΥΘΥΝΣΗ Π.Ε. ΑΝΑΤΟΛΙΚΗΣ ΑΤΤΙΚΗΣ"/>
    <n v="51.56666666666667"/>
    <s v="51 - 55"/>
  </r>
  <r>
    <n v="9991394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2-22T00:00:00"/>
    <x v="0"/>
    <s v="ΔΙΕΥΘΥΝΣΗ Δ.Ε. Β΄ ΑΘΗΝΑΣ"/>
    <n v="51.575000000000003"/>
    <s v="51 - 55"/>
  </r>
  <r>
    <n v="99913942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2-17T00:00:00"/>
    <x v="0"/>
    <s v="ΔΙΕΥΘΥΝΣΗ Δ.Ε. Β΄ ΑΘΗΝΑΣ"/>
    <n v="51.588888888888889"/>
    <s v="51 - 55"/>
  </r>
  <r>
    <n v="99913943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2-12T00:00:00"/>
    <x v="0"/>
    <s v="ΔΙΕΥΘΥΝΣΗ Δ.Ε. Β΄ ΑΘΗΝΑΣ"/>
    <n v="51.602777777777774"/>
    <s v="51 - 55"/>
  </r>
  <r>
    <n v="99913944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2-09T00:00:00"/>
    <x v="0"/>
    <s v="ΔΙΕΥΘΥΝΣΗ Δ.Ε. ΑΝΑΤ. ΘΕΣ/ΝΙΚΗΣ"/>
    <n v="51.611111111111114"/>
    <s v="51 - 55"/>
  </r>
  <r>
    <n v="99913945"/>
    <s v="Θ"/>
    <x v="8"/>
    <x v="8"/>
    <m/>
    <m/>
    <s v="Α΄"/>
    <n v="9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2-08T00:00:00"/>
    <x v="0"/>
    <s v="ΔΙΕΥΘΥΝΣΗ Δ.Ε. Δ΄ ΑΘΗΝΑΣ"/>
    <n v="51.613888888888887"/>
    <s v="51 - 55"/>
  </r>
  <r>
    <n v="99913946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2-05T00:00:00"/>
    <x v="0"/>
    <s v="ΔΙΕΥΘΥΝΣΗ Δ.Ε. Β΄ ΑΘΗΝΑΣ"/>
    <n v="51.62222222222222"/>
    <s v="51 - 55"/>
  </r>
  <r>
    <n v="99913947"/>
    <s v="Θ"/>
    <x v="20"/>
    <x v="2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2-05T00:00:00"/>
    <x v="0"/>
    <s v="ΔΙΕΥΘΥΝΣΗ Δ.Ε. ΠΕΙΡΑΙΑ"/>
    <n v="51.62222222222222"/>
    <s v="51 - 55"/>
  </r>
  <r>
    <n v="99913948"/>
    <s v="Α"/>
    <x v="3"/>
    <x v="3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2-02T00:00:00"/>
    <x v="0"/>
    <s v="ΔΙΕΥΘΥΝΣΗ Δ.Ε. ΑΝΑΤ. ΘΕΣ/ΝΙΚΗΣ"/>
    <n v="51.630555555555553"/>
    <s v="51 - 55"/>
  </r>
  <r>
    <n v="9991394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30T00:00:00"/>
    <x v="0"/>
    <s v="ΔΙΕΥΘΥΝΣΗ Δ.Ε. Β΄ ΑΘΗΝΑΣ"/>
    <n v="51.638888888888886"/>
    <s v="51 - 55"/>
  </r>
  <r>
    <n v="99913950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30T00:00:00"/>
    <x v="0"/>
    <s v="ΔΙΕΥΘΥΝΣΗ Δ.Ε. Γ΄ ΑΘΗΝΑΣ"/>
    <n v="51.638888888888886"/>
    <s v="51 - 55"/>
  </r>
  <r>
    <n v="99913951"/>
    <s v="Α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30T00:00:00"/>
    <x v="0"/>
    <s v="ΔΙΕΥΘΥΝΣΗ Δ.Ε. Γ΄ ΑΘΗΝΑΣ"/>
    <n v="51.638888888888886"/>
    <s v="51 - 55"/>
  </r>
  <r>
    <n v="99913952"/>
    <s v="Α"/>
    <x v="8"/>
    <x v="8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1-29T00:00:00"/>
    <x v="0"/>
    <s v="ΔΙΕΥΘΥΝΣΗ Δ.Ε. ΑΝΑΤ. ΘΕΣ/ΝΙΚΗΣ"/>
    <n v="51.641666666666666"/>
    <s v="51 - 55"/>
  </r>
  <r>
    <n v="99913953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28T00:00:00"/>
    <x v="0"/>
    <s v="ΔΙΕΥΘΥΝΣΗ Δ.Ε. Β΄ ΑΘΗΝΑΣ"/>
    <n v="51.644444444444446"/>
    <s v="51 - 55"/>
  </r>
  <r>
    <n v="99913954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23T00:00:00"/>
    <x v="1"/>
    <s v="ΔΙΕΥΘΥΝΣΗ Π.Ε. Β΄ ΑΘΗΝΑΣ"/>
    <n v="51.658333333333331"/>
    <s v="51 - 55"/>
  </r>
  <r>
    <n v="99913955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22T00:00:00"/>
    <x v="0"/>
    <s v="ΔΙΕΥΘΥΝΣΗ Δ.Ε. Δ΄ ΑΘΗΝΑΣ"/>
    <n v="51.661111111111111"/>
    <s v="51 - 55"/>
  </r>
  <r>
    <n v="9991395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21T00:00:00"/>
    <x v="0"/>
    <s v="ΔΙΕΥΘΥΝΣΗ Δ.Ε. Β΄ ΑΘΗΝΑΣ"/>
    <n v="51.663888888888891"/>
    <s v="51 - 55"/>
  </r>
  <r>
    <n v="99913957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21T00:00:00"/>
    <x v="0"/>
    <s v="ΔΙΕΥΘΥΝΣΗ Δ.Ε. Β΄ ΑΘΗΝΑΣ"/>
    <n v="51.663888888888891"/>
    <s v="51 - 55"/>
  </r>
  <r>
    <n v="99913958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21T00:00:00"/>
    <x v="0"/>
    <s v="ΔΙΕΥΘΥΝΣΗ Δ.Ε. Δ΄ ΑΘΗΝΑΣ"/>
    <n v="51.663888888888891"/>
    <s v="51 - 55"/>
  </r>
  <r>
    <n v="99913959"/>
    <s v="Θ"/>
    <x v="6"/>
    <x v="6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20T00:00:00"/>
    <x v="0"/>
    <s v="ΔΙΕΥΘΥΝΣΗ Δ.Ε. ΑΝΑΤ. ΘΕΣ/ΝΙΚΗΣ"/>
    <n v="51.666666666666664"/>
    <s v="51 - 55"/>
  </r>
  <r>
    <n v="99913960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1-19T00:00:00"/>
    <x v="0"/>
    <s v="ΔΙΕΥΘΥΝΣΗ Δ.Ε. Β΄ ΑΘΗΝΑΣ"/>
    <n v="51.669444444444444"/>
    <s v="51 - 55"/>
  </r>
  <r>
    <n v="99913961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18T00:00:00"/>
    <x v="0"/>
    <s v="ΔΙΕΥΘΥΝΣΗ Δ.Ε. ΑΝΑΤ. ΘΕΣ/ΝΙΚΗΣ"/>
    <n v="51.672222222222224"/>
    <s v="51 - 55"/>
  </r>
  <r>
    <n v="99913962"/>
    <s v="Θ"/>
    <x v="7"/>
    <x v="7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17T00:00:00"/>
    <x v="0"/>
    <s v="ΔΙΕΥΘΥΝΣΗ Δ.Ε. ΑΝΑΤΟΛΙΚΗΣ ΑΤΤΙΚΗΣ"/>
    <n v="51.674999999999997"/>
    <s v="51 - 55"/>
  </r>
  <r>
    <n v="99913963"/>
    <s v="Θ"/>
    <x v="0"/>
    <x v="0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17T00:00:00"/>
    <x v="1"/>
    <s v="ΔΙΕΥΘΥΝΣΗ Π.Ε. Β΄ ΑΘΗΝΑΣ"/>
    <n v="51.674999999999997"/>
    <s v="51 - 55"/>
  </r>
  <r>
    <n v="99913964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8-01-13T00:00:00"/>
    <x v="0"/>
    <s v="ΔΙΕΥΘΥΝΣΗ Δ.Ε. ΑΝΑΤΟΛΙΚΗΣ ΑΤΤΙΚΗΣ"/>
    <n v="51.68611111111111"/>
    <s v="51 - 55"/>
  </r>
  <r>
    <n v="99913965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13T00:00:00"/>
    <x v="0"/>
    <s v="ΔΙΕΥΘΥΝΣΗ Δ.Ε. ΑΝΑΤΟΛΙΚΗΣ ΑΤΤΙΚΗΣ"/>
    <n v="51.68611111111111"/>
    <s v="51 - 55"/>
  </r>
  <r>
    <n v="99913966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13T00:00:00"/>
    <x v="0"/>
    <s v="ΔΙΕΥΘΥΝΣΗ Δ.Ε. Β΄ ΑΘΗΝΑΣ"/>
    <n v="51.68611111111111"/>
    <s v="51 - 55"/>
  </r>
  <r>
    <n v="99913967"/>
    <s v="Θ"/>
    <x v="0"/>
    <x v="0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3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10T00:00:00"/>
    <x v="1"/>
    <s v="ΔΙΕΥΘΥΝΣΗ Π.Ε. ΑΝΑΤΟΛΙΚΗΣ ΑΤΤΙΚΗΣ"/>
    <n v="51.694444444444443"/>
    <s v="51 - 55"/>
  </r>
  <r>
    <n v="99913968"/>
    <s v="Θ"/>
    <x v="9"/>
    <x v="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8-01-05T00:00:00"/>
    <x v="0"/>
    <s v="ΔΙΕΥΘΥΝΣΗ Δ.Ε. ΑΝΑΤ. ΘΕΣ/ΝΙΚΗΣ"/>
    <n v="51.708333333333336"/>
    <s v="51 - 55"/>
  </r>
  <r>
    <n v="99913969"/>
    <s v="Θ"/>
    <x v="18"/>
    <x v="18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3T00:00:00"/>
    <x v="0"/>
    <s v="ΔΙΕΥΘΥΝΣΗ Δ.Ε. Δ΄ ΑΘΗΝΑΣ"/>
    <n v="51.713888888888889"/>
    <s v="51 - 55"/>
  </r>
  <r>
    <n v="9991397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3T00:00:00"/>
    <x v="0"/>
    <s v="ΔΙΕΥΘΥΝΣΗ Δ.Ε. Δ΄ ΑΘΗΝΑΣ"/>
    <n v="51.713888888888889"/>
    <s v="51 - 55"/>
  </r>
  <r>
    <n v="99913971"/>
    <s v="Α"/>
    <x v="8"/>
    <x v="8"/>
    <m/>
    <m/>
    <s v="Γ΄"/>
    <n v="1"/>
    <d v="1994-09-06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02T00:00:00"/>
    <x v="1"/>
    <s v="ΔΙΕΥΘΥΝΣΗ Π.Ε. ΑΝΑΤ. ΘΕΣ/ΝΙΚΗΣ"/>
    <n v="51.716666666666669"/>
    <s v="51 - 55"/>
  </r>
  <r>
    <n v="99913972"/>
    <s v="Α"/>
    <x v="5"/>
    <x v="5"/>
    <m/>
    <m/>
    <s v="Γ΄"/>
    <n v="1"/>
    <n v="12870"/>
    <d v="2018-09-01T00:00:00"/>
    <s v="Α΄ ΑΘΗΝΑΣ (Δ.Ε.) 2018"/>
    <s v="ΔΙΕΥΘΥΝΣΗ Δ.Ε. Α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8-01-01T00:00:00"/>
    <x v="0"/>
    <s v="ΔΙΕΥΘΥΝΣΗ Δ.Ε. Α΄ ΑΘΗΝΑΣ"/>
    <n v="51.719444444444441"/>
    <s v="51 - 55"/>
  </r>
  <r>
    <n v="99913973"/>
    <s v="Θ"/>
    <x v="14"/>
    <x v="14"/>
    <m/>
    <m/>
    <s v="Γ΄"/>
    <n v="1"/>
    <s v="ΒΙΡ89-ΠΙΔ"/>
    <d v="2014-02-14T00:00:00"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4-02-14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0"/>
    <s v="ΔΙΕΥΘΥΝΣΗ Δ.Ε. ΑΝΑΤΟΛΙΚΗΣ ΑΤΤΙΚΗΣ"/>
    <n v="51.719444444444441"/>
    <s v="51 - 55"/>
  </r>
  <r>
    <n v="9991397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0"/>
    <s v="ΔΙΕΥΘΥΝΣΗ Δ.Ε. Β΄ ΑΘΗΝΑΣ"/>
    <n v="51.719444444444441"/>
    <s v="51 - 55"/>
  </r>
  <r>
    <n v="99913975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0"/>
    <s v="ΔΙΕΥΘΥΝΣΗ Δ.Ε. Β΄ ΑΘΗΝΑΣ"/>
    <n v="51.719444444444441"/>
    <s v="51 - 55"/>
  </r>
  <r>
    <n v="99913976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0"/>
    <s v="ΔΙΕΥΘΥΝΣΗ Δ.Ε. Δ΄ ΑΘΗΝΑΣ"/>
    <n v="51.719444444444441"/>
    <s v="51 - 55"/>
  </r>
  <r>
    <n v="99913977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0"/>
    <s v="ΔΙΕΥΘΥΝΣΗ Δ.Ε. Δ΄ ΑΘΗΝΑΣ"/>
    <n v="51.719444444444441"/>
    <s v="51 - 55"/>
  </r>
  <r>
    <n v="99913978"/>
    <s v="Α"/>
    <x v="7"/>
    <x v="7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1"/>
    <s v="ΔΙΕΥΘΥΝΣΗ Π.Ε. ΑΝΑΤΟΛΙΚΗΣ ΑΤΤΙΚΗΣ"/>
    <n v="51.719444444444441"/>
    <s v="51 - 55"/>
  </r>
  <r>
    <n v="99913979"/>
    <s v="Α"/>
    <x v="8"/>
    <x v="8"/>
    <m/>
    <m/>
    <s v="Γ΄"/>
    <n v="1"/>
    <n v="3050"/>
    <d v="2018-09-01T00:00:00"/>
    <s v="Δ΄ ΑΘΗΝΑΣ (Π.Ε.) 2018"/>
    <s v="ΔΙΕΥΘΥΝΣΗ Π.Ε. Δ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1"/>
    <s v="ΔΙΕΥΘΥΝΣΗ Π.Ε. Δ΄ ΑΘΗΝΑΣ"/>
    <n v="51.719444444444441"/>
    <s v="51 - 55"/>
  </r>
  <r>
    <n v="99913980"/>
    <s v="Θ"/>
    <x v="1"/>
    <x v="1"/>
    <m/>
    <m/>
    <s v="Γ΄"/>
    <n v="1"/>
    <n v="14590"/>
    <d v="2018-09-01T00:00:00"/>
    <s v="Δ΄ ΑΘΗΝΑΣ (Π.Ε.) 2018"/>
    <s v="ΔΙΕΥΘΥΝΣΗ Π.Ε. Δ΄ ΑΘΗΝΑΣ"/>
    <s v="ΠΕΡΙΦΕΡΕΙΑΚΗ Δ/ΝΣΗ Α/ΘΜΙΑΣ ΚΑΙ Β/ΘΜΙΑΣ ΕΚΠ/ΣΗΣ ΑΤΤΙΚΗΣ"/>
    <n v="24"/>
    <s v="ΟΧΙ"/>
    <m/>
    <s v="ΟΧΙ"/>
    <m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1"/>
    <s v="ΔΙΕΥΘΥΝΣΗ Π.Ε. Δ΄ ΑΘΗΝΑΣ"/>
    <n v="51.719444444444441"/>
    <s v="51 - 55"/>
  </r>
  <r>
    <n v="99913981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8-01-01T00:00:00"/>
    <x v="1"/>
    <s v="ΔΙΕΥΘΥΝΣΗ Π.Ε. Δ΄ ΑΘΗΝΑΣ"/>
    <n v="51.719444444444441"/>
    <s v="51 - 55"/>
  </r>
  <r>
    <n v="99913982"/>
    <s v="Α"/>
    <x v="19"/>
    <x v="1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01T00:00:00"/>
    <x v="0"/>
    <s v="ΔΙΕΥΘΥΝΣΗ Δ.Ε. ΑΝΑΤ. ΘΕΣ/ΝΙΚΗΣ"/>
    <n v="51.719444444444441"/>
    <s v="51 - 55"/>
  </r>
  <r>
    <n v="99913983"/>
    <s v="Θ"/>
    <x v="3"/>
    <x v="3"/>
    <m/>
    <m/>
    <s v="Γ΄"/>
    <n v="1"/>
    <n v="16805"/>
    <d v="2018-10-15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5"/>
    <s v="ΟΧΙ"/>
    <s v="ΟΧΙ"/>
    <s v="ΟΧΙ"/>
    <s v="ΟΧΙ"/>
    <s v="ΟΧΙ"/>
    <m/>
    <d v="2018-10-15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68-01-01T00:00:00"/>
    <x v="0"/>
    <s v="ΔΙΕΥΘΥΝΣΗ Δ.Ε. ΔΥΤ. ΘΕΣ/ΝΙΚΗΣ"/>
    <n v="51.719444444444441"/>
    <s v="51 - 55"/>
  </r>
  <r>
    <n v="99913984"/>
    <s v="Α"/>
    <x v="19"/>
    <x v="19"/>
    <m/>
    <m/>
    <s v="Γ΄"/>
    <n v="1"/>
    <n v="6844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01T00:00:00"/>
    <x v="0"/>
    <s v="ΔΙΕΥΘΥΝΣΗ Δ.Ε. ΔΥΤ. ΘΕΣ/ΝΙΚΗΣ"/>
    <n v="51.719444444444441"/>
    <s v="51 - 55"/>
  </r>
  <r>
    <n v="99913985"/>
    <s v="Θ"/>
    <x v="6"/>
    <x v="6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6"/>
    <s v="ΟΧΙ"/>
    <s v="ΟΧΙ"/>
    <s v="ΟΧΙ"/>
    <s v="ΟΧΙ"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01T00:00:00"/>
    <x v="0"/>
    <s v="ΔΙΕΥΘΥΝΣΗ Δ.Ε. ΔΥΤ. ΘΕΣ/ΝΙΚΗΣ"/>
    <n v="51.719444444444441"/>
    <s v="51 - 55"/>
  </r>
  <r>
    <n v="99913986"/>
    <s v="Θ"/>
    <x v="8"/>
    <x v="8"/>
    <m/>
    <m/>
    <s v="Γ΄"/>
    <n v="1"/>
    <d v="2007-11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8-01-01T00:00:00"/>
    <x v="1"/>
    <s v="ΔΙΕΥΘΥΝΣΗ Π.Ε. ΑΝΑΤ. ΘΕΣ/ΝΙΚΗΣ"/>
    <n v="51.719444444444441"/>
    <s v="51 - 55"/>
  </r>
  <r>
    <n v="99913987"/>
    <s v="Θ"/>
    <x v="13"/>
    <x v="13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9"/>
    <s v="ΟΧΙ"/>
    <s v="ΟΧΙ"/>
    <s v="ΟΧΙ"/>
    <s v="ΟΧΙ"/>
    <s v="ΟΧΙ"/>
    <m/>
    <m/>
    <s v="Ιδιωτικά Σχολεία"/>
    <x v="1"/>
    <s v="7281006"/>
    <s v="HOMO EDUCANDUS ΑΓΩΓΗ ΔΗΜΟΤΙΚΟ ΙΚΕ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8-01-01T00:00:00"/>
    <x v="1"/>
    <s v="ΔΙΕΥΘΥΝΣΗ Π.Ε. ΚΟΡΙΝΘΙΑΣ"/>
    <n v="51.719444444444441"/>
    <s v="51 - 55"/>
  </r>
  <r>
    <n v="99913988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28T00:00:00"/>
    <x v="0"/>
    <s v="ΔΙΕΥΘΥΝΣΗ Δ.Ε. Β΄ ΑΘΗΝΑΣ"/>
    <n v="51.730555555555554"/>
    <s v="51 - 55"/>
  </r>
  <r>
    <n v="9991398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2-28T00:00:00"/>
    <x v="0"/>
    <s v="ΔΙΕΥΘΥΝΣΗ Δ.Ε. Β΄ ΑΘΗΝΑΣ"/>
    <n v="51.730555555555554"/>
    <s v="51 - 55"/>
  </r>
  <r>
    <n v="99913990"/>
    <s v="Θ"/>
    <x v="10"/>
    <x v="10"/>
    <m/>
    <m/>
    <s v="Α΄"/>
    <n v="5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2-26T00:00:00"/>
    <x v="1"/>
    <s v="ΔΙΕΥΘΥΝΣΗ Π.Ε. ΑΝΑΤΟΛΙΚΗΣ ΑΤΤΙΚΗΣ"/>
    <n v="51.736111111111114"/>
    <s v="51 - 55"/>
  </r>
  <r>
    <n v="99913991"/>
    <s v="Α"/>
    <x v="3"/>
    <x v="3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12-24T00:00:00"/>
    <x v="0"/>
    <s v="ΔΙΕΥΘΥΝΣΗ Δ.Ε. ΤΡΙΚΑΛΩΝ"/>
    <n v="51.741666666666667"/>
    <s v="51 - 55"/>
  </r>
  <r>
    <n v="99913992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23T00:00:00"/>
    <x v="0"/>
    <s v="ΔΙΕΥΘΥΝΣΗ Δ.Ε. Β΄ ΑΘΗΝΑΣ"/>
    <n v="51.744444444444447"/>
    <s v="51 - 55"/>
  </r>
  <r>
    <n v="99913993"/>
    <s v="Θ"/>
    <x v="1"/>
    <x v="1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2-19T00:00:00"/>
    <x v="1"/>
    <s v="ΔΙΕΥΘΥΝΣΗ Π.Ε. Β΄ ΑΘΗΝΑΣ"/>
    <n v="51.755555555555553"/>
    <s v="51 - 55"/>
  </r>
  <r>
    <n v="99913994"/>
    <s v="Α"/>
    <x v="16"/>
    <x v="1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2-17T00:00:00"/>
    <x v="0"/>
    <s v="ΔΙΕΥΘΥΝΣΗ Δ.Ε. Β΄ ΑΘΗΝΑΣ"/>
    <n v="51.761111111111113"/>
    <s v="51 - 55"/>
  </r>
  <r>
    <n v="99913995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6"/>
    <s v="ΟΧΙ"/>
    <s v="ΟΧΙ"/>
    <s v="ΟΧΙ"/>
    <m/>
    <s v="ΟΧΙ"/>
    <m/>
    <m/>
    <s v="Ιδιωτικά Σχολεία"/>
    <x v="2"/>
    <s v="7361011"/>
    <s v="ΙΔΙΩΤΙΚΟ ΣΥΣΤΕΓΑΖΟΜΕΝΟ ΝΗΠΙΑΓΩΓΕΙΟ - ΤΟ ΠΕΡΙΒΟΛΙ ΤΗΣ ΓΙΑΓΙΑΣ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12-17T00:00:00"/>
    <x v="1"/>
    <s v="ΔΙΕΥΘΥΝΣΗ Π.Ε. ΜΕΣΣΗΝΙΑΣ"/>
    <n v="51.761111111111113"/>
    <s v="51 - 55"/>
  </r>
  <r>
    <n v="99913996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2-16T00:00:00"/>
    <x v="0"/>
    <s v="ΔΙΕΥΘΥΝΣΗ Δ.Ε. ΑΝΑΤΟΛΙΚΗΣ ΑΤΤΙΚΗΣ"/>
    <n v="51.763888888888886"/>
    <s v="51 - 55"/>
  </r>
  <r>
    <n v="99913997"/>
    <s v="Θ"/>
    <x v="2"/>
    <x v="2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s v="ΟΧΙ"/>
    <s v="ΟΧΙ"/>
    <s v="ΟΧΙ"/>
    <m/>
    <s v="ΟΧΙ"/>
    <m/>
    <m/>
    <s v="Ιδιωτικά Σχολεία"/>
    <x v="2"/>
    <s v="7101001"/>
    <s v="ΙΔΙΩΤΙΚΟ ΝΗΠΙΑΓΩΓΕΙ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7-12-15T00:00:00"/>
    <x v="1"/>
    <s v="ΔΙΕΥΘΥΝΣΗ Π.Ε. ΔΩΔΕΚΑΝΗΣΟΥ"/>
    <n v="51.766666666666666"/>
    <s v="51 - 55"/>
  </r>
  <r>
    <n v="99913998"/>
    <s v="Α"/>
    <x v="15"/>
    <x v="1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13T00:00:00"/>
    <x v="0"/>
    <s v="ΔΙΕΥΘΥΝΣΗ Δ.Ε. ΑΝΑΤΟΛΙΚΗΣ ΑΤΤΙΚΗΣ"/>
    <n v="51.772222222222226"/>
    <s v="51 - 55"/>
  </r>
  <r>
    <n v="99913999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s v="ΟΧΙ"/>
    <s v="ΟΧΙ"/>
    <s v="ΟΧΙ"/>
    <m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12-12T00:00:00"/>
    <x v="1"/>
    <s v="ΔΙΕΥΘΥΝΣΗ Π.Ε. ΛΑΡΙΣΑΣ"/>
    <n v="51.774999999999999"/>
    <s v="51 - 55"/>
  </r>
  <r>
    <n v="99914000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11T00:00:00"/>
    <x v="0"/>
    <s v="ΔΙΕΥΘΥΝΣΗ Δ.Ε. ΑΝΑΤΟΛΙΚΗΣ ΑΤΤΙΚΗΣ"/>
    <n v="51.777777777777779"/>
    <s v="51 - 55"/>
  </r>
  <r>
    <n v="99914001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10T00:00:00"/>
    <x v="0"/>
    <s v="ΔΙΕΥΘΥΝΣΗ Δ.Ε. Β΄ ΑΘΗΝΑΣ"/>
    <n v="51.780555555555559"/>
    <s v="51 - 55"/>
  </r>
  <r>
    <n v="99914002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10T00:00:00"/>
    <x v="0"/>
    <s v="ΔΙΕΥΘΥΝΣΗ Δ.Ε. Β΄ ΑΘΗΝΑΣ"/>
    <n v="51.780555555555559"/>
    <s v="51 - 55"/>
  </r>
  <r>
    <n v="99914003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09T00:00:00"/>
    <x v="0"/>
    <s v="ΔΙΕΥΘΥΝΣΗ Δ.Ε. Δ΄ ΑΘΗΝΑΣ"/>
    <n v="51.783333333333331"/>
    <s v="51 - 55"/>
  </r>
  <r>
    <n v="99914004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2-07T00:00:00"/>
    <x v="0"/>
    <s v="ΔΙΕΥΘΥΝΣΗ Δ.Ε. Β΄ ΑΘΗΝΑΣ"/>
    <n v="51.788888888888891"/>
    <s v="51 - 55"/>
  </r>
  <r>
    <n v="99914005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07T00:00:00"/>
    <x v="0"/>
    <s v="ΔΙΕΥΘΥΝΣΗ Δ.Ε. Β΄ ΑΘΗΝΑΣ"/>
    <n v="51.788888888888891"/>
    <s v="51 - 55"/>
  </r>
  <r>
    <n v="99914006"/>
    <s v="Θ"/>
    <x v="8"/>
    <x v="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07T00:00:00"/>
    <x v="1"/>
    <s v="ΔΙΕΥΘΥΝΣΗ Π.Ε. Β΄ ΑΘΗΝΑΣ"/>
    <n v="51.788888888888891"/>
    <s v="51 - 55"/>
  </r>
  <r>
    <n v="99914007"/>
    <s v="Θ"/>
    <x v="8"/>
    <x v="8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06T00:00:00"/>
    <x v="1"/>
    <s v="ΔΙΕΥΘΥΝΣΗ Π.Ε. Α΄ ΑΘΗΝΑΣ"/>
    <n v="51.791666666666664"/>
    <s v="51 - 55"/>
  </r>
  <r>
    <n v="9991400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2-04T00:00:00"/>
    <x v="0"/>
    <s v="ΔΙΕΥΘΥΝΣΗ Δ.Ε. Β΄ ΑΘΗΝΑΣ"/>
    <n v="51.797222222222224"/>
    <s v="51 - 55"/>
  </r>
  <r>
    <n v="99914009"/>
    <s v="Θ"/>
    <x v="18"/>
    <x v="18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7"/>
    <s v="ΟΧΙ"/>
    <s v="ΟΧΙ"/>
    <s v="ΟΧΙ"/>
    <s v="ΟΧΙ"/>
    <s v="ΟΧΙ"/>
    <m/>
    <m/>
    <s v="Ιδιωτικά Σχολεία"/>
    <x v="1"/>
    <s v="7291000"/>
    <s v="ΙΔΙΩΤΙΚΟ ΔΗΜΟΤΙΚΟ ΜΑΡΑΘΙ ΜΥΚΟΝΟΣ - ΣΥΓΧΡΟΝΗ ΠΑΙΔΕΙΑ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7-12-02T00:00:00"/>
    <x v="1"/>
    <s v="ΔΙΕΥΘΥΝΣΗ Π.Ε. ΚΥΚΛΑΔΩΝ"/>
    <n v="51.802777777777777"/>
    <s v="51 - 55"/>
  </r>
  <r>
    <n v="99914010"/>
    <s v="Α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26T00:00:00"/>
    <x v="1"/>
    <s v="ΔΙΕΥΘΥΝΣΗ Π.Ε. ΑΝΑΤΟΛΙΚΗΣ ΑΤΤΙΚΗΣ"/>
    <n v="51.819444444444443"/>
    <s v="51 - 55"/>
  </r>
  <r>
    <n v="99914011"/>
    <s v="Θ"/>
    <x v="2"/>
    <x v="2"/>
    <m/>
    <m/>
    <s v="Γ΄"/>
    <n v="1"/>
    <n v="5876"/>
    <d v="2018-09-21T00:00:00"/>
    <s v="ΗΛΕΙΑΣ (Π.Ε.) 2018"/>
    <s v="ΔΙΕΥΘΥΝΣΗ Π.Ε. ΗΛΕΙΑΣ"/>
    <s v="ΠΕΡΙΦΕΡΕΙΑΚΗ Δ/ΝΣΗ Α/ΘΜΙΑΣ ΚΑΙ Β/ΘΜΙΑΣ ΕΚΠ/ΣΗΣ ΔΥΤΙΚΗΣ ΕΛΛΑΔΑΣ"/>
    <n v="25"/>
    <s v="ΟΧΙ"/>
    <m/>
    <m/>
    <m/>
    <s v="ΟΧΙ"/>
    <m/>
    <d v="2018-09-21T00:00:00"/>
    <s v="Ιδιωτικά Σχολεία"/>
    <x v="2"/>
    <s v="7151001"/>
    <s v="ΙΔΙΩΤΙΚΟ ΝΗΠΙΑΓΩΓΕΙΟ ΠΥΡΓΟΣ ΗΛΕΙΑΣ - ΜΙΚΡΟΚΟΣΜΟΣ"/>
    <s v="ΗΛΕΙΑΣ (Π.Ε.) 2018"/>
    <x v="4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7-11-23T00:00:00"/>
    <x v="1"/>
    <s v="ΔΙΕΥΘΥΝΣΗ Π.Ε. ΗΛΕΙΑΣ"/>
    <n v="51.827777777777776"/>
    <s v="51 - 55"/>
  </r>
  <r>
    <n v="99914012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1010"/>
    <s v="ΙΔΙΩΤΙΚΟ ΔΗΜΟΤΙΚΟ ΑΘΗΝΑ - ΣΧΟΛΗ ΧΙΛ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20T00:00:00"/>
    <x v="1"/>
    <s v="ΔΙΕΥΘΥΝΣΗ Π.Ε. Α΄ ΑΘΗΝΑΣ"/>
    <n v="51.836111111111109"/>
    <s v="51 - 55"/>
  </r>
  <r>
    <n v="99914013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461005"/>
    <s v="ΠΡΟΤΥΠΟ ΠΑΙΔΑΓΩΓΙΚΟ ΚΕΝΤΡΟ ΠΡΟΣΧΟΛΙΚΗΣ ΗΛΙΚΙΑΣ - ΜΕΛΩΔΙ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67-11-18T00:00:00"/>
    <x v="1"/>
    <s v="ΔΙΕΥΘΥΝΣΗ Π.Ε. ΦΘΙΩΤΙΔΑΣ"/>
    <n v="51.841666666666669"/>
    <s v="51 - 55"/>
  </r>
  <r>
    <n v="99914014"/>
    <s v="Α"/>
    <x v="8"/>
    <x v="8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18"/>
    <s v="ΟΧΙ"/>
    <s v="ΟΧΙ"/>
    <s v="ΟΧΙ"/>
    <m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7-11-14T00:00:00"/>
    <x v="1"/>
    <s v="ΔΙΕΥΘΥΝΣΗ Π.Ε. ΗΡΑΚΛΕΙΟΥ"/>
    <n v="51.852777777777774"/>
    <s v="51 - 55"/>
  </r>
  <r>
    <n v="99914015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13T00:00:00"/>
    <x v="0"/>
    <s v="ΔΙΕΥΘΥΝΣΗ Δ.Ε. Β΄ ΑΘΗΝΑΣ"/>
    <n v="51.855555555555554"/>
    <s v="51 - 55"/>
  </r>
  <r>
    <n v="99914016"/>
    <s v="Θ"/>
    <x v="6"/>
    <x v="6"/>
    <m/>
    <m/>
    <s v="Β΄"/>
    <n v="2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2010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1-07T00:00:00"/>
    <x v="1"/>
    <s v="ΔΙΕΥΘΥΝΣΗ Π.Ε. ΑΝΑΤΟΛΙΚΗΣ ΑΤΤΙΚΗΣ"/>
    <n v="51.87222222222222"/>
    <s v="51 - 55"/>
  </r>
  <r>
    <n v="99914017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04T00:00:00"/>
    <x v="1"/>
    <s v="ΔΙΕΥΘΥΝΣΗ Π.Ε. Α΄ ΑΘΗΝΑΣ"/>
    <n v="51.880555555555553"/>
    <s v="51 - 55"/>
  </r>
  <r>
    <n v="99914018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02T00:00:00"/>
    <x v="0"/>
    <s v="ΔΙΕΥΘΥΝΣΗ Δ.Ε. ΑΝΑΤΟΛΙΚΗΣ ΑΤΤΙΚΗΣ"/>
    <n v="51.886111111111113"/>
    <s v="51 - 55"/>
  </r>
  <r>
    <n v="99914019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02T00:00:00"/>
    <x v="0"/>
    <s v="ΔΙΕΥΘΥΝΣΗ Δ.Ε. Β΄ ΑΘΗΝΑΣ"/>
    <n v="51.886111111111113"/>
    <s v="51 - 55"/>
  </r>
  <r>
    <n v="9991402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1-01T00:00:00"/>
    <x v="0"/>
    <s v="ΔΙΕΥΘΥΝΣΗ Δ.Ε. Δ΄ ΑΘΗΝΑΣ"/>
    <n v="51.888888888888886"/>
    <s v="51 - 55"/>
  </r>
  <r>
    <n v="99914021"/>
    <s v="Θ"/>
    <x v="9"/>
    <x v="9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9"/>
    <s v="ΟΧΙ"/>
    <s v="ΟΧΙ"/>
    <s v="ΟΧΙ"/>
    <s v="ΟΧΙ"/>
    <s v="ΟΧΙ"/>
    <m/>
    <m/>
    <s v="Ιδιωτικά Σχολεία"/>
    <x v="3"/>
    <s v="2880010"/>
    <s v="ΙΔΙΩΤΙΚΟ ΗΜΕΡΗΣΙΟ ΛΥΚΕΙΟ ΚΟΡΙΝΘΟΣ - ΑΡΙΣΤΟΤΕΛΕΙΟ ΓΕΝΙΚΟ ΛΥΚΕ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10-27T00:00:00"/>
    <x v="0"/>
    <s v="ΔΙΕΥΘΥΝΣΗ Δ.Ε. ΚΟΡΙΝΘΙΑΣ"/>
    <n v="51.902777777777779"/>
    <s v="51 - 55"/>
  </r>
  <r>
    <n v="99914022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26T00:00:00"/>
    <x v="0"/>
    <s v="ΔΙΕΥΘΥΝΣΗ Δ.Ε. Β΄ ΑΘΗΝΑΣ"/>
    <n v="51.905555555555559"/>
    <s v="51 - 55"/>
  </r>
  <r>
    <n v="99914023"/>
    <s v="Θ"/>
    <x v="2"/>
    <x v="2"/>
    <m/>
    <m/>
    <s v="Γ΄"/>
    <n v="1"/>
    <n v="1060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m/>
    <s v="ΟΧΙ"/>
    <m/>
    <d v="2018-09-01T00:00:00"/>
    <s v="Ιδιωτικά Σχολεία"/>
    <x v="2"/>
    <s v="7054025"/>
    <s v="ΙΔΙΩΤΙΚΟ ΝΗΠΙΑΓΩΓΕΙΟ ΑΛΙΜΟΣ - ΙΔΙΩΤΙΚΟ ΝΗΠΙΑΓΩΓΕΙΟ ΓΕΝΝΑΔΙΟΣ ΕΚΠΑΙΔΕΥΤΙΚΗ Κ.ΖΩΗ ΑΕ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7-10-24T00:00:00"/>
    <x v="1"/>
    <s v="ΔΙΕΥΘΥΝΣΗ Π.Ε. Δ΄ ΑΘΗΝΑΣ"/>
    <n v="51.911111111111111"/>
    <s v="51 - 55"/>
  </r>
  <r>
    <n v="99914024"/>
    <s v="Α"/>
    <x v="8"/>
    <x v="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21T00:00:00"/>
    <x v="0"/>
    <s v="ΔΙΕΥΘΥΝΣΗ Δ.Ε. Α΄ ΑΘΗΝΑΣ"/>
    <n v="51.919444444444444"/>
    <s v="51 - 55"/>
  </r>
  <r>
    <n v="99914025"/>
    <s v="Θ"/>
    <x v="9"/>
    <x v="9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0"/>
    <s v="5060001"/>
    <s v="ΙΔΙΩΤΙΚΟ ΓΥΜΝΑΣΙΟ -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7-10-20T00:00:00"/>
    <x v="0"/>
    <s v="ΔΙΕΥΘΥΝΣΗ Δ.Ε. ΧΑΝΙΩΝ"/>
    <n v="51.922222222222224"/>
    <s v="51 - 55"/>
  </r>
  <r>
    <n v="99914026"/>
    <s v="Θ"/>
    <x v="3"/>
    <x v="3"/>
    <m/>
    <m/>
    <s v="Γ΄"/>
    <n v="1"/>
    <n v="21085"/>
    <d v="2017-09-27T00:00:00"/>
    <s v="Α΄ ΠΕΙΡΑΙΑ (Δ.Ε.) 2018"/>
    <s v="ΔΙΕΥΘΥΝΣΗ Δ.Ε. ΠΕΙΡΑΙΑ"/>
    <s v="ΠΕΡΙΦΕΡΕΙΑΚΗ Δ/ΝΣΗ Α/ΘΜΙΑΣ ΚΑΙ Β/ΘΜΙΑΣ ΕΚΠ/ΣΗΣ ΑΤΤΙΚΗΣ"/>
    <n v="23"/>
    <s v="ΟΧΙ"/>
    <s v="ΟΧΙ"/>
    <s v="ΟΧΙ"/>
    <s v="ΟΧΙ"/>
    <s v="ΟΧΙ"/>
    <m/>
    <d v="2017-09-27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7-10-17T00:00:00"/>
    <x v="0"/>
    <s v="ΔΙΕΥΘΥΝΣΗ Δ.Ε. ΠΕΙΡΑΙΑ"/>
    <n v="51.930555555555557"/>
    <s v="51 - 55"/>
  </r>
  <r>
    <n v="99914027"/>
    <s v="Α"/>
    <x v="1"/>
    <x v="1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10-17T00:00:00"/>
    <x v="1"/>
    <s v="ΔΙΕΥΘΥΝΣΗ Π.Ε. ΑΝΑΤ. ΘΕΣ/ΝΙΚΗΣ"/>
    <n v="51.930555555555557"/>
    <s v="51 - 55"/>
  </r>
  <r>
    <n v="99914028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16T00:00:00"/>
    <x v="1"/>
    <s v="ΔΙΕΥΘΥΝΣΗ Π.Ε. Β΄ ΑΘΗΝΑΣ"/>
    <n v="51.93333333333333"/>
    <s v="51 - 55"/>
  </r>
  <r>
    <n v="9991402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15T00:00:00"/>
    <x v="0"/>
    <s v="ΔΙΕΥΘΥΝΣΗ Δ.Ε. Β΄ ΑΘΗΝΑΣ"/>
    <n v="51.93611111111111"/>
    <s v="51 - 55"/>
  </r>
  <r>
    <n v="99914030"/>
    <s v="Θ"/>
    <x v="19"/>
    <x v="19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0-14T00:00:00"/>
    <x v="0"/>
    <s v="ΔΙΕΥΘΥΝΣΗ Δ.Ε. Γ΄ ΑΘΗΝΑΣ"/>
    <n v="51.93888888888889"/>
    <s v="51 - 55"/>
  </r>
  <r>
    <n v="99914031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11T00:00:00"/>
    <x v="0"/>
    <s v="ΔΙΕΥΘΥΝΣΗ Δ.Ε. ΑΝΑΤΟΛΙΚΗΣ ΑΤΤΙΚΗΣ"/>
    <n v="51.947222222222223"/>
    <s v="51 - 55"/>
  </r>
  <r>
    <n v="99914032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0-09T00:00:00"/>
    <x v="0"/>
    <s v="ΔΙΕΥΘΥΝΣΗ Δ.Ε. Β΄ ΑΘΗΝΑΣ"/>
    <n v="51.952777777777776"/>
    <s v="51 - 55"/>
  </r>
  <r>
    <n v="99914033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08T00:00:00"/>
    <x v="0"/>
    <s v="ΔΙΕΥΘΥΝΣΗ Δ.Ε. ΑΝΑΤΟΛΙΚΗΣ ΑΤΤΙΚΗΣ"/>
    <n v="51.955555555555556"/>
    <s v="51 - 55"/>
  </r>
  <r>
    <n v="99914034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08T00:00:00"/>
    <x v="0"/>
    <s v="ΔΙΕΥΘΥΝΣΗ Δ.Ε. ΠΕΙΡΑΙΑ"/>
    <n v="51.955555555555556"/>
    <s v="51 - 55"/>
  </r>
  <r>
    <n v="99914035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06T00:00:00"/>
    <x v="0"/>
    <s v="ΔΙΕΥΘΥΝΣΗ Δ.Ε. Δ΄ ΑΘΗΝΑΣ"/>
    <n v="51.961111111111109"/>
    <s v="51 - 55"/>
  </r>
  <r>
    <n v="99914036"/>
    <s v="Θ"/>
    <x v="6"/>
    <x v="6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05T00:00:00"/>
    <x v="1"/>
    <s v="ΔΙΕΥΘΥΝΣΗ Π.Ε. ΠΕΙΡΑΙΑ"/>
    <n v="51.963888888888889"/>
    <s v="51 - 55"/>
  </r>
  <r>
    <n v="99914037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10-04T00:00:00"/>
    <x v="0"/>
    <s v="ΔΙΕΥΘΥΝΣΗ Δ.Ε. ΠΕΙΡΑΙΑ"/>
    <n v="51.966666666666669"/>
    <s v="51 - 55"/>
  </r>
  <r>
    <n v="99914038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10-03T00:00:00"/>
    <x v="0"/>
    <s v="ΔΙΕΥΘΥΝΣΗ Δ.Ε. ΑΝΑΤΟΛΙΚΗΣ ΑΤΤΙΚΗΣ"/>
    <n v="51.969444444444441"/>
    <s v="51 - 55"/>
  </r>
  <r>
    <n v="99914039"/>
    <s v="Θ"/>
    <x v="6"/>
    <x v="6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28T00:00:00"/>
    <x v="1"/>
    <s v="ΔΙΕΥΘΥΝΣΗ Π.Ε. ΠΕΙΡΑΙΑ"/>
    <n v="51.983333333333334"/>
    <s v="51 - 55"/>
  </r>
  <r>
    <n v="99914040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25T00:00:00"/>
    <x v="0"/>
    <s v="ΔΙΕΥΘΥΝΣΗ Δ.Ε. ΠΕΙΡΑΙΑ"/>
    <n v="51.991666666666667"/>
    <s v="51 - 55"/>
  </r>
  <r>
    <n v="99914041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22T00:00:00"/>
    <x v="0"/>
    <s v="ΔΙΕΥΘΥΝΣΗ Δ.Ε. Β΄ ΑΘΗΝΑΣ"/>
    <n v="52"/>
    <s v="51 - 55"/>
  </r>
  <r>
    <n v="99914042"/>
    <s v="Θ"/>
    <x v="2"/>
    <x v="2"/>
    <m/>
    <m/>
    <s v="Γ΄"/>
    <n v="1"/>
    <s v="4440/27-10-200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59"/>
    <s v="ΙΔΙΩΤΙΚΟ ΝΗΠΙΑΓΩΓΕΙΟ ΚΑΡΔΙΑ - ΣΥΝΝΕΦΟΥΛ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9-21T00:00:00"/>
    <x v="1"/>
    <s v="ΔΙΕΥΘΥΝΣΗ Π.Ε. ΑΝΑΤ. ΘΕΣ/ΝΙΚΗΣ"/>
    <n v="52.00277777777778"/>
    <s v="51 - 55"/>
  </r>
  <r>
    <n v="99914043"/>
    <s v="Α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19T00:00:00"/>
    <x v="0"/>
    <s v="ΔΙΕΥΘΥΝΣΗ Δ.Ε. ΑΝΑΤΟΛΙΚΗΣ ΑΤΤΙΚΗΣ"/>
    <n v="52.008333333333333"/>
    <s v="51 - 55"/>
  </r>
  <r>
    <n v="99914044"/>
    <s v="Α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19T00:00:00"/>
    <x v="0"/>
    <s v="ΔΙΕΥΘΥΝΣΗ Δ.Ε. Β΄ ΑΘΗΝΑΣ"/>
    <n v="52.008333333333333"/>
    <s v="51 - 55"/>
  </r>
  <r>
    <n v="99914045"/>
    <s v="Α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5"/>
    <s v="ΟΧΙ"/>
    <s v="ΟΧΙ"/>
    <s v="ΟΧΙ"/>
    <s v="ΟΧΙ"/>
    <s v="ΟΧΙ"/>
    <m/>
    <m/>
    <s v="Ιδιωτικά Σχολεία"/>
    <x v="2"/>
    <s v="7361011"/>
    <s v="ΙΔΙΩΤΙΚΟ ΣΥΣΤΕΓΑΖΟΜΕΝΟ ΝΗΠΙΑΓΩΓΕΙΟ - ΤΟ ΠΕΡΙΒΟΛΙ ΤΗΣ ΓΙΑΓΙΑΣ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09-17T00:00:00"/>
    <x v="1"/>
    <s v="ΔΙΕΥΘΥΝΣΗ Π.Ε. ΜΕΣΣΗΝΙΑΣ"/>
    <n v="52.013888888888886"/>
    <s v="51 - 55"/>
  </r>
  <r>
    <n v="99914046"/>
    <s v="Θ"/>
    <x v="0"/>
    <x v="0"/>
    <m/>
    <m/>
    <s v="Γ΄"/>
    <n v="1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15T00:00:00"/>
    <x v="1"/>
    <s v="ΔΙΕΥΘΥΝΣΗ Π.Ε. Β΄ ΑΘΗΝΑΣ"/>
    <n v="52.019444444444446"/>
    <s v="51 - 55"/>
  </r>
  <r>
    <n v="99914047"/>
    <s v="Θ"/>
    <x v="6"/>
    <x v="6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13T00:00:00"/>
    <x v="1"/>
    <s v="ΔΙΕΥΘΥΝΣΗ Π.Ε. Β΄ ΑΘΗΝΑΣ"/>
    <n v="52.024999999999999"/>
    <s v="51 - 55"/>
  </r>
  <r>
    <n v="99914048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9-08T00:00:00"/>
    <x v="0"/>
    <s v="ΔΙΕΥΘΥΝΣΗ Δ.Ε. Δ΄ ΑΘΗΝΑΣ"/>
    <n v="52.038888888888891"/>
    <s v="51 - 55"/>
  </r>
  <r>
    <n v="99914049"/>
    <s v="Α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9-06T00:00:00"/>
    <x v="0"/>
    <s v="ΔΙΕΥΘΥΝΣΗ Δ.Ε. ΑΝΑΤ. ΘΕΣ/ΝΙΚΗΣ"/>
    <n v="52.044444444444444"/>
    <s v="51 - 55"/>
  </r>
  <r>
    <n v="99914050"/>
    <s v="Α"/>
    <x v="11"/>
    <x v="11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09-04T00:00:00"/>
    <x v="0"/>
    <s v="ΔΙΕΥΘΥΝΣΗ Δ.Ε. ΤΡΙΚΑΛΩΝ"/>
    <n v="52.05"/>
    <s v="51 - 55"/>
  </r>
  <r>
    <n v="99914051"/>
    <s v="Α"/>
    <x v="19"/>
    <x v="19"/>
    <m/>
    <m/>
    <s v="Γ΄"/>
    <n v="6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31T00:00:00"/>
    <x v="0"/>
    <s v="ΔΙΕΥΘΥΝΣΗ Δ.Ε. Δ΄ ΑΘΗΝΑΣ"/>
    <n v="52.06111111111111"/>
    <s v="51 - 55"/>
  </r>
  <r>
    <n v="99914052"/>
    <s v="Θ"/>
    <x v="10"/>
    <x v="1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28T00:00:00"/>
    <x v="0"/>
    <s v="ΔΙΕΥΘΥΝΣΗ Δ.Ε. ΑΝΑΤΟΛΙΚΗΣ ΑΤΤΙΚΗΣ"/>
    <n v="52.069444444444443"/>
    <s v="51 - 55"/>
  </r>
  <r>
    <n v="9991405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27T00:00:00"/>
    <x v="0"/>
    <s v="ΔΙΕΥΘΥΝΣΗ Δ.Ε. ΑΝΑΤΟΛΙΚΗΣ ΑΤΤΙΚΗΣ"/>
    <n v="52.072222222222223"/>
    <s v="51 - 55"/>
  </r>
  <r>
    <n v="9991405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8-25T00:00:00"/>
    <x v="0"/>
    <s v="ΔΙΕΥΘΥΝΣΗ Δ.Ε. Β΄ ΑΘΗΝΑΣ"/>
    <n v="52.077777777777776"/>
    <s v="51 - 55"/>
  </r>
  <r>
    <n v="99914055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8-25T00:00:00"/>
    <x v="1"/>
    <s v="ΔΙΕΥΘΥΝΣΗ Π.Ε. ΑΝΑΤΟΛΙΚΗΣ ΑΤΤΙΚΗΣ"/>
    <n v="52.077777777777776"/>
    <s v="51 - 55"/>
  </r>
  <r>
    <n v="99914056"/>
    <s v="Θ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24T00:00:00"/>
    <x v="0"/>
    <s v="ΔΙΕΥΘΥΝΣΗ Δ.Ε. Β΄ ΑΘΗΝΑΣ"/>
    <n v="52.080555555555556"/>
    <s v="51 - 55"/>
  </r>
  <r>
    <n v="99914057"/>
    <s v="Θ"/>
    <x v="6"/>
    <x v="6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0"/>
    <s v="ΟΧΙ"/>
    <s v="ΟΧΙ"/>
    <s v="ΟΧΙ"/>
    <s v="ΟΧΙ"/>
    <s v="ΟΧΙ"/>
    <m/>
    <d v="2004-08-31T00:00:00"/>
    <s v="Ιδιωτικά Σχολεία"/>
    <x v="0"/>
    <s v="4475075"/>
    <s v="ΙΔΙΩΤΙΚΟ ΓΥΜΝΑΣ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8-24T00:00:00"/>
    <x v="0"/>
    <s v="ΔΙΕΥΘΥΝΣΗ Δ.Ε. ΣΕΡΡΩΝ"/>
    <n v="52.080555555555556"/>
    <s v="51 - 55"/>
  </r>
  <r>
    <n v="99914058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20T00:00:00"/>
    <x v="0"/>
    <s v="ΔΙΕΥΘΥΝΣΗ Δ.Ε. Β΄ ΑΘΗΝΑΣ"/>
    <n v="52.091666666666669"/>
    <s v="51 - 55"/>
  </r>
  <r>
    <n v="99914059"/>
    <s v="Θ"/>
    <x v="8"/>
    <x v="8"/>
    <m/>
    <m/>
    <s v="Α΄"/>
    <n v="11"/>
    <n v="164"/>
    <d v="2002-07-17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2-07-17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8-20T00:00:00"/>
    <x v="1"/>
    <s v="ΔΙΕΥΘΥΝΣΗ Π.Ε. ΑΝΑΤΟΛΙΚΗΣ ΑΤΤΙΚΗΣ"/>
    <n v="52.091666666666669"/>
    <s v="51 - 55"/>
  </r>
  <r>
    <n v="99914060"/>
    <s v="Θ"/>
    <x v="6"/>
    <x v="6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8-19T00:00:00"/>
    <x v="0"/>
    <s v="ΔΙΕΥΘΥΝΣΗ Δ.Ε. ΑΝΑΤ. ΘΕΣ/ΝΙΚΗΣ"/>
    <n v="52.094444444444441"/>
    <s v="51 - 55"/>
  </r>
  <r>
    <n v="99914061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16T00:00:00"/>
    <x v="0"/>
    <s v="ΔΙΕΥΘΥΝΣΗ Δ.Ε. Γ΄ ΑΘΗΝΑΣ"/>
    <n v="52.102777777777774"/>
    <s v="51 - 55"/>
  </r>
  <r>
    <n v="99914062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7"/>
    <s v="ΕΛΛΗΝΟΓΑΛΛΙΚΗ ΣΧΟΛΗ ΟΥΡΣΟΥΛΙΝΩΝ - ΙΔΙΩΤΙΚΟ ΓΕΝΙΚΟ ΛΥΚΕ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15T00:00:00"/>
    <x v="0"/>
    <s v="ΔΙΕΥΘΥΝΣΗ Δ.Ε. Β΄ ΑΘΗΝΑΣ"/>
    <n v="52.105555555555554"/>
    <s v="51 - 55"/>
  </r>
  <r>
    <n v="99914063"/>
    <s v="Θ"/>
    <x v="18"/>
    <x v="1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13T00:00:00"/>
    <x v="1"/>
    <s v="ΔΙΕΥΘΥΝΣΗ Π.Ε. Β΄ ΑΘΗΝΑΣ"/>
    <n v="52.111111111111114"/>
    <s v="51 - 55"/>
  </r>
  <r>
    <n v="99914064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6"/>
    <s v="ΟΧΙ"/>
    <s v="ΟΧΙ"/>
    <s v="ΟΧΙ"/>
    <s v="ΟΧΙ"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8-11T00:00:00"/>
    <x v="0"/>
    <s v="ΔΙΕΥΘΥΝΣΗ Δ.Ε. ΑΝΑΤ. ΘΕΣ/ΝΙΚΗΣ"/>
    <n v="52.116666666666667"/>
    <s v="51 - 55"/>
  </r>
  <r>
    <n v="99914065"/>
    <s v="Θ"/>
    <x v="4"/>
    <x v="4"/>
    <m/>
    <m/>
    <s v="Γ΄"/>
    <n v="1"/>
    <s v="20349/7"/>
    <d v="2018-09-01T00:00:00"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10T00:00:00"/>
    <x v="0"/>
    <s v="ΔΙΕΥΘΥΝΣΗ Δ.Ε. Γ΄ ΑΘΗΝΑΣ"/>
    <n v="52.119444444444447"/>
    <s v="51 - 55"/>
  </r>
  <r>
    <n v="99914066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8-08T00:00:00"/>
    <x v="0"/>
    <s v="ΔΙΕΥΘΥΝΣΗ Δ.Ε. Β΄ ΑΘΗΝΑΣ"/>
    <n v="52.125"/>
    <s v="51 - 55"/>
  </r>
  <r>
    <n v="99914067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08T00:00:00"/>
    <x v="0"/>
    <s v="ΔΙΕΥΘΥΝΣΗ Δ.Ε. Δ΄ ΑΘΗΝΑΣ"/>
    <n v="52.125"/>
    <s v="51 - 55"/>
  </r>
  <r>
    <n v="99914068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005"/>
    <s v="ΙΔΙΩΤΙΚΟ ΝΗΠΙΑΓΩΓΕΙΟ ΠΑΛΑΙΟ ΨΥΧΙΚΟ - ΝΗΠΙΑΓΩΓΕΙΟ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8-06T00:00:00"/>
    <x v="1"/>
    <s v="ΔΙΕΥΘΥΝΣΗ Π.Ε. Β΄ ΑΘΗΝΑΣ"/>
    <n v="52.130555555555553"/>
    <s v="51 - 55"/>
  </r>
  <r>
    <n v="99914069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8-03T00:00:00"/>
    <x v="0"/>
    <s v="ΔΙΕΥΘΥΝΣΗ Δ.Ε. Γ΄ ΑΘΗΝΑΣ"/>
    <n v="52.138888888888886"/>
    <s v="51 - 55"/>
  </r>
  <r>
    <n v="99914070"/>
    <s v="Α"/>
    <x v="4"/>
    <x v="4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7-08-03T00:00:00"/>
    <x v="0"/>
    <s v="ΔΙΕΥΘΥΝΣΗ Δ.Ε. ΗΡΑΚΛΕΙΟΥ"/>
    <n v="52.138888888888886"/>
    <s v="51 - 55"/>
  </r>
  <r>
    <n v="99914071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7-31T00:00:00"/>
    <x v="0"/>
    <s v="ΔΙΕΥΘΥΝΣΗ Δ.Ε. Β΄ ΑΘΗΝΑΣ"/>
    <n v="52.147222222222226"/>
    <s v="51 - 55"/>
  </r>
  <r>
    <n v="99914072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052121"/>
    <s v="ΙΔΙΩΤΙΚΟ ΝΗΠΙΑΓΩΓΕΙΟ ΑΘΗΝΑ - ΙΔΙΩΤΙΚΟ ΝΗΠΙΑΓΩΓΕΙΟ ΑΝΑΣΤΑΣΙΑ ΧΡΗΣΤΑΚ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29T00:00:00"/>
    <x v="1"/>
    <s v="ΔΙΕΥΘΥΝΣΗ Π.Ε. Β΄ ΑΘΗΝΑΣ"/>
    <n v="52.152777777777779"/>
    <s v="51 - 55"/>
  </r>
  <r>
    <n v="99914073"/>
    <s v="Α"/>
    <x v="11"/>
    <x v="11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7"/>
    <s v="ΟΧΙ"/>
    <s v="ΟΧΙ"/>
    <s v="ΟΧΙ"/>
    <s v="ΟΧΙ"/>
    <s v="ΟΧΙ"/>
    <m/>
    <d v="2004-08-31T00:00:00"/>
    <s v="Ιδιωτικά Σχολεία"/>
    <x v="0"/>
    <s v="4475075"/>
    <s v="ΙΔΙΩΤΙΚΟ ΓΥΜΝΑΣ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7-29T00:00:00"/>
    <x v="0"/>
    <s v="ΔΙΕΥΘΥΝΣΗ Δ.Ε. ΣΕΡΡΩΝ"/>
    <n v="52.152777777777779"/>
    <s v="51 - 55"/>
  </r>
  <r>
    <n v="99914074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28T00:00:00"/>
    <x v="0"/>
    <s v="ΔΙΕΥΘΥΝΣΗ Δ.Ε. ΠΕΙΡΑΙΑ"/>
    <n v="52.155555555555559"/>
    <s v="51 - 55"/>
  </r>
  <r>
    <n v="99914075"/>
    <s v="Α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7-26T00:00:00"/>
    <x v="0"/>
    <s v="ΔΙΕΥΘΥΝΣΗ Δ.Ε. ΑΝΑΤΟΛΙΚΗΣ ΑΤΤΙΚΗΣ"/>
    <n v="52.161111111111111"/>
    <s v="51 - 55"/>
  </r>
  <r>
    <n v="99914076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21T00:00:00"/>
    <x v="0"/>
    <s v="ΔΙΕΥΘΥΝΣΗ Δ.Ε. Β΄ ΑΘΗΝΑΣ"/>
    <n v="52.174999999999997"/>
    <s v="51 - 55"/>
  </r>
  <r>
    <n v="99914077"/>
    <s v="Θ"/>
    <x v="2"/>
    <x v="2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39"/>
    <s v="ΙΔΙΩΤΙΚΟ ΣΥΣΤΕΓΑΖΟΜΕΝΟ ΝΗΠΙΑΓΩΓΕΙΟ - ΓΚΟΚΑ ΒΑΣΙΛΙΚΗ (ΤΟ ΡΟΔΙ)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7-20T00:00:00"/>
    <x v="1"/>
    <s v="ΔΙΕΥΘΥΝΣΗ Π.Ε. ΔΥΤ. ΘΕΣ/ΝΙΚΗΣ"/>
    <n v="52.177777777777777"/>
    <s v="51 - 55"/>
  </r>
  <r>
    <n v="99914078"/>
    <s v="Θ"/>
    <x v="8"/>
    <x v="8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9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7-07-18T00:00:00"/>
    <x v="1"/>
    <s v="ΔΙΕΥΘΥΝΣΗ Π.Ε. ΗΡΑΚΛΕΙΟΥ"/>
    <n v="52.18333333333333"/>
    <s v="51 - 55"/>
  </r>
  <r>
    <n v="9991407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16T00:00:00"/>
    <x v="0"/>
    <s v="ΔΙΕΥΘΥΝΣΗ Δ.Ε. Β΄ ΑΘΗΝΑΣ"/>
    <n v="52.18888888888889"/>
    <s v="51 - 55"/>
  </r>
  <r>
    <n v="99914080"/>
    <s v="Θ"/>
    <x v="2"/>
    <x v="2"/>
    <m/>
    <m/>
    <s v="Γ΄"/>
    <n v="1"/>
    <d v="200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7-14T00:00:00"/>
    <x v="1"/>
    <s v="ΔΙΕΥΘΥΝΣΗ Π.Ε. ΑΝΑΤ. ΘΕΣ/ΝΙΚΗΣ"/>
    <n v="52.194444444444443"/>
    <s v="51 - 55"/>
  </r>
  <r>
    <n v="99914081"/>
    <s v="Θ"/>
    <x v="2"/>
    <x v="2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07"/>
    <s v="ΙΔΙΩΤΙΚΟ ΝΗΠΙΑΓΩΓΕΙΟ ΩΡΑΙΟΚΑΣΤΡΟ - Ο ΜΙΚΡΟΣ ΜΑΕΣΤΡΟΣ - ΤΣΙΤΙΡΙΔΗΣ ΝΙΚΟΛΑΟΣ ΚΑΙ ΣΙΑ Ο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7-13T00:00:00"/>
    <x v="1"/>
    <s v="ΔΙΕΥΘΥΝΣΗ Π.Ε. ΔΥΤ. ΘΕΣ/ΝΙΚΗΣ"/>
    <n v="52.197222222222223"/>
    <s v="51 - 55"/>
  </r>
  <r>
    <n v="99914082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12T00:00:00"/>
    <x v="0"/>
    <s v="ΔΙΕΥΘΥΝΣΗ Δ.Ε. Β΄ ΑΘΗΝΑΣ"/>
    <n v="52.2"/>
    <s v="51 - 55"/>
  </r>
  <r>
    <n v="99914083"/>
    <s v="Θ"/>
    <x v="3"/>
    <x v="3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m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7-07-11T00:00:00"/>
    <x v="0"/>
    <s v="ΔΙΕΥΘΥΝΣΗ Δ.Ε. ΑΧΑΪΑΣ"/>
    <n v="52.202777777777776"/>
    <s v="51 - 55"/>
  </r>
  <r>
    <n v="99914084"/>
    <s v="Α"/>
    <x v="5"/>
    <x v="5"/>
    <m/>
    <m/>
    <s v="Α΄"/>
    <n v="9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07-10T00:00:00"/>
    <x v="0"/>
    <s v="ΔΙΕΥΘΥΝΣΗ Δ.Ε. ΛΑΡΙΣΑΣ"/>
    <n v="52.205555555555556"/>
    <s v="51 - 55"/>
  </r>
  <r>
    <n v="9991408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09T00:00:00"/>
    <x v="0"/>
    <s v="ΔΙΕΥΘΥΝΣΗ Δ.Ε. Β΄ ΑΘΗΝΑΣ"/>
    <n v="52.208333333333336"/>
    <s v="51 - 55"/>
  </r>
  <r>
    <n v="99914086"/>
    <s v="Α"/>
    <x v="3"/>
    <x v="3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7-03T00:00:00"/>
    <x v="0"/>
    <s v="ΔΙΕΥΘΥΝΣΗ Δ.Ε. Α΄ ΑΘΗΝΑΣ"/>
    <n v="52.225000000000001"/>
    <s v="51 - 55"/>
  </r>
  <r>
    <n v="99914087"/>
    <s v="Α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7-03T00:00:00"/>
    <x v="0"/>
    <s v="ΔΙΕΥΘΥΝΣΗ Δ.Ε. ΑΝΑΤ. ΘΕΣ/ΝΙΚΗΣ"/>
    <n v="52.225000000000001"/>
    <s v="51 - 55"/>
  </r>
  <r>
    <n v="9991408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7-01T00:00:00"/>
    <x v="0"/>
    <s v="ΔΙΕΥΘΥΝΣΗ Δ.Ε. Β΄ ΑΘΗΝΑΣ"/>
    <n v="52.230555555555554"/>
    <s v="51 - 55"/>
  </r>
  <r>
    <n v="99914089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24T00:00:00"/>
    <x v="0"/>
    <s v="ΔΙΕΥΘΥΝΣΗ Δ.Ε. ΑΝΑΤΟΛΙΚΗΣ ΑΤΤΙΚΗΣ"/>
    <n v="52.25"/>
    <s v="51 - 55"/>
  </r>
  <r>
    <n v="99914090"/>
    <s v="Α"/>
    <x v="20"/>
    <x v="2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22T00:00:00"/>
    <x v="0"/>
    <s v="ΔΙΕΥΘΥΝΣΗ Δ.Ε. Δ΄ ΑΘΗΝΑΣ"/>
    <n v="52.255555555555553"/>
    <s v="51 - 55"/>
  </r>
  <r>
    <n v="99914091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21T00:00:00"/>
    <x v="0"/>
    <s v="ΔΙΕΥΘΥΝΣΗ Δ.Ε. ΑΝΑΤΟΛΙΚΗΣ ΑΤΤΙΚΗΣ"/>
    <n v="52.258333333333333"/>
    <s v="51 - 55"/>
  </r>
  <r>
    <n v="99914092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6-21T00:00:00"/>
    <x v="0"/>
    <s v="ΔΙΕΥΘΥΝΣΗ Δ.Ε. Β΄ ΑΘΗΝΑΣ"/>
    <n v="52.258333333333333"/>
    <s v="51 - 55"/>
  </r>
  <r>
    <n v="99914093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6-20T00:00:00"/>
    <x v="0"/>
    <s v="ΔΙΕΥΘΥΝΣΗ Δ.Ε. ΑΝΑΤΟΛΙΚΗΣ ΑΤΤΙΚΗΣ"/>
    <n v="52.261111111111113"/>
    <s v="51 - 55"/>
  </r>
  <r>
    <n v="99914094"/>
    <s v="Θ"/>
    <x v="1"/>
    <x v="1"/>
    <m/>
    <m/>
    <s v="Α΄"/>
    <n v="13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20T00:00:00"/>
    <x v="1"/>
    <s v="ΔΙΕΥΘΥΝΣΗ Π.Ε. Δ΄ ΑΘΗΝΑΣ"/>
    <n v="52.261111111111113"/>
    <s v="51 - 55"/>
  </r>
  <r>
    <n v="99914095"/>
    <s v="Θ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06-14T00:00:00"/>
    <x v="0"/>
    <s v="ΔΙΕΥΘΥΝΣΗ Δ.Ε. ΛΑΡΙΣΑΣ"/>
    <n v="52.277777777777779"/>
    <s v="51 - 55"/>
  </r>
  <r>
    <n v="99914096"/>
    <s v="Θ"/>
    <x v="1"/>
    <x v="1"/>
    <m/>
    <m/>
    <s v="Γ΄"/>
    <n v="1"/>
    <n v="359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NAI"/>
    <s v="ΟΧΙ"/>
    <s v="ΟΧΙ"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67-06-12T00:00:00"/>
    <x v="1"/>
    <s v="ΔΙΕΥΘΥΝΣΗ Π.Ε. ΑΝΑΤ. ΘΕΣ/ΝΙΚΗΣ"/>
    <n v="52.283333333333331"/>
    <s v="51 - 55"/>
  </r>
  <r>
    <n v="99914097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11T00:00:00"/>
    <x v="1"/>
    <s v="ΔΙΕΥΘΥΝΣΗ Π.Ε. Β΄ ΑΘΗΝΑΣ"/>
    <n v="52.286111111111111"/>
    <s v="51 - 55"/>
  </r>
  <r>
    <n v="99914098"/>
    <s v="Θ"/>
    <x v="6"/>
    <x v="6"/>
    <m/>
    <m/>
    <s v="Α΄"/>
    <n v="3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10T00:00:00"/>
    <x v="1"/>
    <s v="ΔΙΕΥΘΥΝΣΗ Π.Ε. Β΄ ΑΘΗΝΑΣ"/>
    <n v="52.288888888888891"/>
    <s v="51 - 55"/>
  </r>
  <r>
    <n v="99914099"/>
    <s v="Α"/>
    <x v="0"/>
    <x v="0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3981100"/>
    <s v="ΙΔΙΩΤΙΚΟ ΓΥΜΝΑΣΙΟ ΚΑΤΕΡΙΝΗ - ΓΥΜΝΑΣ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6-10T00:00:00"/>
    <x v="0"/>
    <s v="ΔΙΕΥΘΥΝΣΗ Δ.Ε. ΠΙΕΡΙΑΣ"/>
    <n v="52.288888888888891"/>
    <s v="51 - 55"/>
  </r>
  <r>
    <n v="99914100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07T00:00:00"/>
    <x v="0"/>
    <s v="ΔΙΕΥΘΥΝΣΗ Δ.Ε. Β΄ ΑΘΗΝΑΣ"/>
    <n v="52.297222222222224"/>
    <s v="51 - 55"/>
  </r>
  <r>
    <n v="99914101"/>
    <s v="Α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07T00:00:00"/>
    <x v="0"/>
    <s v="ΔΙΕΥΘΥΝΣΗ Δ.Ε. ΠΕΙΡΑΙΑ"/>
    <n v="52.297222222222224"/>
    <s v="51 - 55"/>
  </r>
  <r>
    <n v="99914102"/>
    <s v="Θ"/>
    <x v="2"/>
    <x v="2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2"/>
    <s v="7052075"/>
    <s v="ΙΔΙΩΤΙΚΟ ΝΗΠΙΑΓΩΓΕΙΟ - &quot;ΑΓΙΟΣ ΙΩΣΗΦ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06T00:00:00"/>
    <x v="1"/>
    <s v="ΔΙΕΥΘΥΝΣΗ Π.Ε. Β΄ ΑΘΗΝΑΣ"/>
    <n v="52.3"/>
    <s v="51 - 55"/>
  </r>
  <r>
    <n v="99914103"/>
    <s v="Θ"/>
    <x v="2"/>
    <x v="2"/>
    <m/>
    <m/>
    <s v="Γ΄"/>
    <n v="1"/>
    <n v="2802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67"/>
    <s v="ΙΔΙΩΤΙΚΟ ΣΥΣΤΕΓΑΖΟΜΕΝΟ ΝΗΠΙΑΓΩΓΕΙΟ ΓΙΑΝΝΟΥΔΑΚΟΣ ΔΗΜ. ΚΑΙ ΕΛΕΝΗ Ο.Ε.-ΦΩΤΕΙΝ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05T00:00:00"/>
    <x v="1"/>
    <s v="ΔΙΕΥΘΥΝΣΗ Π.Ε. Δ΄ ΑΘΗΝΑΣ"/>
    <n v="52.302777777777777"/>
    <s v="51 - 55"/>
  </r>
  <r>
    <n v="99914104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6-04T00:00:00"/>
    <x v="0"/>
    <s v="ΔΙΕΥΘΥΝΣΗ Δ.Ε. ΑΝΑΤ. ΘΕΣ/ΝΙΚΗΣ"/>
    <n v="52.305555555555557"/>
    <s v="51 - 55"/>
  </r>
  <r>
    <n v="99914105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6-03T00:00:00"/>
    <x v="1"/>
    <s v="ΔΙΕΥΘΥΝΣΗ Π.Ε. ΑΝΑΤΟΛΙΚΗΣ ΑΤΤΙΚΗΣ"/>
    <n v="52.30833333333333"/>
    <s v="51 - 55"/>
  </r>
  <r>
    <n v="99914106"/>
    <s v="Α"/>
    <x v="5"/>
    <x v="5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m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7-05-31T00:00:00"/>
    <x v="0"/>
    <s v="ΔΙΕΥΘΥΝΣΗ Δ.Ε. ΙΩΑΝΝΙΝΩΝ"/>
    <n v="52.31666666666667"/>
    <s v="51 - 55"/>
  </r>
  <r>
    <n v="99914107"/>
    <s v="Α"/>
    <x v="5"/>
    <x v="5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0"/>
    <s v="ΟΧΙ"/>
    <s v="ΟΧΙ"/>
    <s v="ΟΧΙ"/>
    <m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7-05-31T00:00:00"/>
    <x v="0"/>
    <s v="ΔΙΕΥΘΥΝΣΗ Δ.Ε. ΙΩΑΝΝΙΝΩΝ"/>
    <n v="52.31666666666667"/>
    <s v="51 - 55"/>
  </r>
  <r>
    <n v="99914108"/>
    <s v="Θ"/>
    <x v="4"/>
    <x v="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5-26T00:00:00"/>
    <x v="0"/>
    <s v="ΔΙΕΥΘΥΝΣΗ Δ.Ε. ΑΝΑΤΟΛΙΚΗΣ ΑΤΤΙΚΗΣ"/>
    <n v="52.330555555555556"/>
    <s v="51 - 55"/>
  </r>
  <r>
    <n v="99914109"/>
    <s v="Α"/>
    <x v="9"/>
    <x v="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26T00:00:00"/>
    <x v="0"/>
    <s v="ΔΙΕΥΘΥΝΣΗ Δ.Ε. ΑΝΑΤΟΛΙΚΗΣ ΑΤΤΙΚΗΣ"/>
    <n v="52.330555555555556"/>
    <s v="51 - 55"/>
  </r>
  <r>
    <n v="99914110"/>
    <s v="Α"/>
    <x v="9"/>
    <x v="9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1"/>
    <s v="ΑΜΕΡΙΚΑΝΙΚΟ ΚΟΛΛΕΓΙΟ &quot;ΑΝΑΤΟΛΙΑ&quot;  1ο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5-26T00:00:00"/>
    <x v="0"/>
    <s v="ΔΙΕΥΘΥΝΣΗ Δ.Ε. ΑΝΑΤ. ΘΕΣ/ΝΙΚΗΣ"/>
    <n v="52.330555555555556"/>
    <s v="51 - 55"/>
  </r>
  <r>
    <n v="99914111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24T00:00:00"/>
    <x v="0"/>
    <s v="ΔΙΕΥΘΥΝΣΗ Δ.Ε. Α΄ ΑΘΗΝΑΣ"/>
    <n v="52.336111111111109"/>
    <s v="51 - 55"/>
  </r>
  <r>
    <n v="99914112"/>
    <s v="Θ"/>
    <x v="10"/>
    <x v="10"/>
    <m/>
    <m/>
    <s v="Γ΄"/>
    <n v="1"/>
    <s v="ΨΔΧΟ4653ΠΣ-ΦΟΡ"/>
    <d v="2018-09-05T00:00:00"/>
    <s v="Δ΄ ΑΘΗΝΑΣ (Π.Ε.) 2018"/>
    <s v="ΔΙΕΥΘΥΝΣΗ Π.Ε. Δ΄ ΑΘΗΝΑΣ"/>
    <s v="ΠΕΡΙΦΕΡΕΙΑΚΗ Δ/ΝΣΗ Α/ΘΜΙΑΣ ΚΑΙ Β/ΘΜΙΑΣ ΕΚΠ/ΣΗΣ ΑΤΤΙΚΗΣ"/>
    <n v="5"/>
    <s v="ΟΧΙ"/>
    <s v="ΟΧΙ"/>
    <s v="ΟΧΙ"/>
    <s v="ΟΧΙ"/>
    <s v="ΟΧΙ"/>
    <m/>
    <d v="2018-09-05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24T00:00:00"/>
    <x v="1"/>
    <s v="ΔΙΕΥΘΥΝΣΗ Π.Ε. Δ΄ ΑΘΗΝΑΣ"/>
    <n v="52.336111111111109"/>
    <s v="51 - 55"/>
  </r>
  <r>
    <n v="99914113"/>
    <s v="Θ"/>
    <x v="6"/>
    <x v="6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5-23T00:00:00"/>
    <x v="0"/>
    <s v="ΔΙΕΥΘΥΝΣΗ Δ.Ε. ΑΝΑΤ. ΘΕΣ/ΝΙΚΗΣ"/>
    <n v="52.338888888888889"/>
    <s v="51 - 55"/>
  </r>
  <r>
    <n v="99914114"/>
    <s v="Θ"/>
    <x v="4"/>
    <x v="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7-05-22T00:00:00"/>
    <x v="0"/>
    <s v="ΔΙΕΥΘΥΝΣΗ Δ.Ε. ΑΝΑΤ. ΘΕΣ/ΝΙΚΗΣ"/>
    <n v="52.341666666666669"/>
    <s v="51 - 55"/>
  </r>
  <r>
    <n v="99914115"/>
    <s v="Θ"/>
    <x v="4"/>
    <x v="4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7-05-22T00:00:00"/>
    <x v="0"/>
    <s v="ΔΙΕΥΘΥΝΣΗ Δ.Ε. ΔΩΔΕΚΑΝΗΣΟΥ"/>
    <n v="52.341666666666669"/>
    <s v="51 - 55"/>
  </r>
  <r>
    <n v="99914116"/>
    <s v="Θ"/>
    <x v="8"/>
    <x v="8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16T00:00:00"/>
    <x v="1"/>
    <s v="ΔΙΕΥΘΥΝΣΗ Π.Ε. ΠΕΙΡΑΙΑ"/>
    <n v="52.358333333333334"/>
    <s v="51 - 55"/>
  </r>
  <r>
    <n v="99914117"/>
    <s v="Θ"/>
    <x v="1"/>
    <x v="1"/>
    <m/>
    <m/>
    <s v="Γ΄"/>
    <n v="12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5-15T00:00:00"/>
    <x v="1"/>
    <s v="ΔΙΕΥΘΥΝΣΗ Π.Ε. Β΄ ΑΘΗΝΑΣ"/>
    <n v="52.361111111111114"/>
    <s v="51 - 55"/>
  </r>
  <r>
    <n v="99914118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14T00:00:00"/>
    <x v="0"/>
    <s v="ΔΙΕΥΘΥΝΣΗ Δ.Ε. Β΄ ΑΘΗΝΑΣ"/>
    <n v="52.363888888888887"/>
    <s v="51 - 55"/>
  </r>
  <r>
    <n v="99914119"/>
    <s v="Α"/>
    <x v="26"/>
    <x v="2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13T00:00:00"/>
    <x v="0"/>
    <s v="ΔΙΕΥΘΥΝΣΗ Δ.Ε. Γ΄ ΑΘΗΝΑΣ"/>
    <n v="52.366666666666667"/>
    <s v="51 - 55"/>
  </r>
  <r>
    <n v="99914120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5-13T00:00:00"/>
    <x v="1"/>
    <s v="ΔΙΕΥΘΥΝΣΗ Π.Ε. ΑΝΑΤΟΛΙΚΗΣ ΑΤΤΙΚΗΣ"/>
    <n v="52.366666666666667"/>
    <s v="51 - 55"/>
  </r>
  <r>
    <n v="99914121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09T00:00:00"/>
    <x v="0"/>
    <s v="ΔΙΕΥΘΥΝΣΗ Δ.Ε. Β΄ ΑΘΗΝΑΣ"/>
    <n v="52.37777777777778"/>
    <s v="51 - 55"/>
  </r>
  <r>
    <n v="99914122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5-08T00:00:00"/>
    <x v="0"/>
    <s v="ΔΙΕΥΘΥΝΣΗ Δ.Ε. Β΄ ΑΘΗΝΑΣ"/>
    <n v="52.380555555555553"/>
    <s v="51 - 55"/>
  </r>
  <r>
    <n v="99914123"/>
    <s v="Θ"/>
    <x v="2"/>
    <x v="2"/>
    <m/>
    <m/>
    <s v="Α΄"/>
    <n v="6"/>
    <m/>
    <m/>
    <s v="Α΄ ΜΑΓΝΗΣΙΑΣ (Π.Ε.) 2018"/>
    <s v="ΔΙΕΥΘΥΝΣΗ Π.Ε. ΜΑΓΝΗΣΙΑΣ"/>
    <s v="ΠΕΡΙΦΕΡΕΙΑΚΗ Δ/ΝΣΗ Α/ΘΜΙΑΣ ΚΑΙ Β/ΘΜΙΑΣ ΕΚΠ/ΣΗΣ ΘΕΣΣΑΛΙΑΣ"/>
    <n v="25"/>
    <s v="ΟΧΙ"/>
    <s v="ΟΧΙ"/>
    <s v="ΟΧΙ"/>
    <s v="ΟΧΙ"/>
    <s v="ΟΧΙ"/>
    <m/>
    <m/>
    <s v="Ιδιωτικά Σχολεία"/>
    <x v="2"/>
    <s v="7351005"/>
    <s v="ΙΔΙΩΤΙΚΟ ΝΗΠΙΑΓΩΓΕΙΟ ΒΟΛΟΣ - ΚΑΡΑΪΣΚΟΥ ΣΤΑΥΡΟΥΛΑ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05-08T00:00:00"/>
    <x v="1"/>
    <s v="ΔΙΕΥΘΥΝΣΗ Π.Ε. ΜΑΓΝΗΣΙΑΣ"/>
    <n v="52.380555555555553"/>
    <s v="51 - 55"/>
  </r>
  <r>
    <n v="99914124"/>
    <s v="Θ"/>
    <x v="1"/>
    <x v="1"/>
    <m/>
    <m/>
    <s v="Α΄"/>
    <n v="13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5-07T00:00:00"/>
    <x v="1"/>
    <s v="ΔΙΕΥΘΥΝΣΗ Π.Ε. ΑΝΑΤΟΛΙΚΗΣ ΑΤΤΙΚΗΣ"/>
    <n v="52.383333333333333"/>
    <s v="51 - 55"/>
  </r>
  <r>
    <n v="99914125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5-06T00:00:00"/>
    <x v="0"/>
    <s v="ΔΙΕΥΘΥΝΣΗ Δ.Ε. Β΄ ΑΘΗΝΑΣ"/>
    <n v="52.386111111111113"/>
    <s v="51 - 55"/>
  </r>
  <r>
    <n v="99914126"/>
    <s v="Α"/>
    <x v="9"/>
    <x v="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7-05-05T00:00:00"/>
    <x v="0"/>
    <s v="ΔΙΕΥΘΥΝΣΗ Δ.Ε. Β΄ ΑΘΗΝΑΣ"/>
    <n v="52.388888888888886"/>
    <s v="51 - 55"/>
  </r>
  <r>
    <n v="99914127"/>
    <s v="Θ"/>
    <x v="2"/>
    <x v="2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s v="ΟΧΙ"/>
    <s v="ΟΧΙ"/>
    <s v="ΟΧΙ"/>
    <m/>
    <s v="ΟΧΙ"/>
    <m/>
    <m/>
    <s v="Ιδιωτικά Σχολεία"/>
    <x v="2"/>
    <s v="7121007"/>
    <s v="ΣΥΛΛΟΓΟΣ ΓΟΝΕΩΝ ΠΑΙΔΙΩΝ ΤΟΥ Β΄ ΒΡΕΦΙΚΟΥ ΠΑΙΔΙΚΟΥ ΣΤΑΘΜΟΥ &amp; ΝΗΠ/ΓΕΙΟΥ ΧΑΛΚΙΔΑΣ 1ο ΝΗΠ/ΓΕΙΟ"/>
    <s v="Α΄ ΕΥΒΟΙΑΣ (Π.Ε.) 2018"/>
    <x v="31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67-05-05T00:00:00"/>
    <x v="1"/>
    <s v="ΔΙΕΥΘΥΝΣΗ Π.Ε. ΕΥΒΟΙΑΣ"/>
    <n v="52.388888888888886"/>
    <s v="51 - 55"/>
  </r>
  <r>
    <n v="99914128"/>
    <s v="Α"/>
    <x v="8"/>
    <x v="8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1"/>
    <s v="7291002"/>
    <s v="ΙΔΙΩΤΙΚΟ ΔΗΜΟΤΙΚΟ ΕΡΜΟΥΠΟΛΗ - ΣΥΡΟΣ - Ο ΑΓΙΟΣ ΓΕΩΡΓΙΟΣ"/>
    <s v="Δ΄ ΚΥΚΛΑΔΩΝ (Π.Ε.) 2018"/>
    <x v="2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7-05-03T00:00:00"/>
    <x v="1"/>
    <s v="ΔΙΕΥΘΥΝΣΗ Π.Ε. ΚΥΚΛΑΔΩΝ"/>
    <n v="52.394444444444446"/>
    <s v="51 - 55"/>
  </r>
  <r>
    <n v="99914129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4-26T00:00:00"/>
    <x v="0"/>
    <s v="ΔΙΕΥΘΥΝΣΗ Δ.Ε. ΠΕΙΡΑΙΑ"/>
    <n v="52.413888888888891"/>
    <s v="51 - 55"/>
  </r>
  <r>
    <n v="99914130"/>
    <s v="Θ"/>
    <x v="2"/>
    <x v="2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5"/>
    <s v="ΟΧΙ"/>
    <s v="ΟΧΙ"/>
    <s v="ΟΧΙ"/>
    <s v="ΟΧΙ"/>
    <s v="ΟΧΙ"/>
    <m/>
    <m/>
    <s v="Ιδιωτικά Σχολεία"/>
    <x v="2"/>
    <s v="7021019"/>
    <s v="ΙΔΙΩΤΙΚΟ ΝΗΠΙΑΓΩΓΕΙΟ ΑΡΙΑ ΝΑΥΠΛΙΟΥ - ΝΗΠΙΑΓΩΓΕΙΟ ΠΑΙΔΙΚΗ ΑΓΚΑΛΙΑ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04-20T00:00:00"/>
    <x v="1"/>
    <s v="ΔΙΕΥΘΥΝΣΗ Π.Ε. ΑΡΓΟΛΙΔΑΣ"/>
    <n v="52.430555555555557"/>
    <s v="51 - 55"/>
  </r>
  <r>
    <n v="99914131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4-19T00:00:00"/>
    <x v="0"/>
    <s v="ΔΙΕΥΘΥΝΣΗ Δ.Ε. Α΄ ΑΘΗΝΑΣ"/>
    <n v="52.43333333333333"/>
    <s v="51 - 55"/>
  </r>
  <r>
    <n v="99914132"/>
    <s v="Θ"/>
    <x v="9"/>
    <x v="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4-18T00:00:00"/>
    <x v="0"/>
    <s v="ΔΙΕΥΘΥΝΣΗ Δ.Ε. Δ΄ ΑΘΗΝΑΣ"/>
    <n v="52.43611111111111"/>
    <s v="51 - 55"/>
  </r>
  <r>
    <n v="99914133"/>
    <s v="Α"/>
    <x v="19"/>
    <x v="19"/>
    <m/>
    <m/>
    <s v="Γ΄"/>
    <n v="1"/>
    <n v="21868"/>
    <d v="2018-09-01T00:00:00"/>
    <s v="Α΄ ΠΕΙΡΑΙΑ (Δ.Ε.) 2018"/>
    <s v="ΔΙΕΥΘΥΝΣΗ Δ.Ε. ΠΕΙΡΑΙΑ"/>
    <s v="ΠΕΡΙΦΕΡΕΙΑΚΗ Δ/ΝΣΗ Α/ΘΜΙΑΣ ΚΑΙ Β/ΘΜΙΑΣ ΕΚΠ/ΣΗΣ ΑΤΤΙΚΗΣ"/>
    <n v="12"/>
    <s v="ΟΧΙ"/>
    <m/>
    <m/>
    <m/>
    <s v="ΟΧΙ"/>
    <m/>
    <d v="2018-09-01T00:00:00"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7-04-12T00:00:00"/>
    <x v="0"/>
    <s v="ΔΙΕΥΘΥΝΣΗ Δ.Ε. ΠΕΙΡΑΙΑ"/>
    <n v="52.452777777777776"/>
    <s v="51 - 55"/>
  </r>
  <r>
    <n v="99914134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7-04-12T00:00:00"/>
    <x v="0"/>
    <s v="ΔΙΕΥΘΥΝΣΗ Δ.Ε. ΑΝΑΤ. ΘΕΣ/ΝΙΚΗΣ"/>
    <n v="52.452777777777776"/>
    <s v="51 - 55"/>
  </r>
  <r>
    <n v="99914135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4-07T00:00:00"/>
    <x v="0"/>
    <s v="ΔΙΕΥΘΥΝΣΗ Δ.Ε. ΑΝΑΤΟΛΙΚΗΣ ΑΤΤΙΚΗΣ"/>
    <n v="52.466666666666669"/>
    <s v="51 - 55"/>
  </r>
  <r>
    <n v="99914136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4-01T00:00:00"/>
    <x v="1"/>
    <s v="ΔΙΕΥΘΥΝΣΗ Π.Ε. ΑΝΑΤΟΛΙΚΗΣ ΑΤΤΙΚΗΣ"/>
    <n v="52.483333333333334"/>
    <s v="51 - 55"/>
  </r>
  <r>
    <n v="99914137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4-01T00:00:00"/>
    <x v="1"/>
    <s v="ΔΙΕΥΘΥΝΣΗ Π.Ε. Β΄ ΑΘΗΝΑΣ"/>
    <n v="52.483333333333334"/>
    <s v="51 - 55"/>
  </r>
  <r>
    <n v="99914138"/>
    <s v="Α"/>
    <x v="9"/>
    <x v="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31T00:00:00"/>
    <x v="0"/>
    <s v="ΔΙΕΥΘΥΝΣΗ Δ.Ε. ΑΝΑΤΟΛΙΚΗΣ ΑΤΤΙΚΗΣ"/>
    <n v="52.486111111111114"/>
    <s v="51 - 55"/>
  </r>
  <r>
    <n v="9991413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3-28T00:00:00"/>
    <x v="0"/>
    <s v="ΔΙΕΥΘΥΝΣΗ Δ.Ε. Β΄ ΑΘΗΝΑΣ"/>
    <n v="52.494444444444447"/>
    <s v="51 - 55"/>
  </r>
  <r>
    <n v="99914140"/>
    <s v="Θ"/>
    <x v="0"/>
    <x v="0"/>
    <m/>
    <m/>
    <s v="Α΄"/>
    <n v="9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8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27T00:00:00"/>
    <x v="1"/>
    <s v="ΔΙΕΥΘΥΝΣΗ Π.Ε. ΑΝΑΤΟΛΙΚΗΣ ΑΤΤΙΚΗΣ"/>
    <n v="52.49722222222222"/>
    <s v="51 - 55"/>
  </r>
  <r>
    <n v="99914141"/>
    <s v="Θ"/>
    <x v="2"/>
    <x v="2"/>
    <m/>
    <m/>
    <s v="Γ΄"/>
    <n v="1"/>
    <n v="3899"/>
    <d v="2018-09-01T00:00:00"/>
    <s v="ΜΕΣΣΗΝΙΑΣ (Π.Ε.) 2018"/>
    <s v="ΔΙΕΥΘΥΝΣΗ Π.Ε. ΜΕΣΣΗΝΙΑΣ"/>
    <s v="ΠΕΡΙΦΕΡΕΙΑΚΗ Δ/ΝΣΗ Α/ΘΜΙΑΣ ΚΑΙ Β/ΘΜΙΑΣ ΕΚΠ/ΣΗΣ ΠΕΛΟΠΟΝΝΗΣΟΥ"/>
    <n v="25"/>
    <s v="ΟΧΙ"/>
    <m/>
    <m/>
    <m/>
    <s v="ΟΧΙ"/>
    <m/>
    <d v="2018-09-01T00:00:00"/>
    <s v="Ιδιωτικά Σχολεία"/>
    <x v="2"/>
    <s v="7361005"/>
    <s v="ΙΔΙΩΤΙΚΟ 1/ΘΕΣΙΟ ΝΗΠ/ΓΕΙΟ ΕΛΕΝΗ Ν. ΠΕΦΑΝΗ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03-26T00:00:00"/>
    <x v="1"/>
    <s v="ΔΙΕΥΘΥΝΣΗ Π.Ε. ΜΕΣΣΗΝΙΑΣ"/>
    <n v="52.5"/>
    <s v="51 - 55"/>
  </r>
  <r>
    <n v="99914142"/>
    <s v="Θ"/>
    <x v="6"/>
    <x v="6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24T00:00:00"/>
    <x v="0"/>
    <s v="ΔΙΕΥΘΥΝΣΗ Δ.Ε. ΑΝΑΤΟΛΙΚΗΣ ΑΤΤΙΚΗΣ"/>
    <n v="52.505555555555553"/>
    <s v="51 - 55"/>
  </r>
  <r>
    <n v="99914143"/>
    <s v="Θ"/>
    <x v="1"/>
    <x v="1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3-24T00:00:00"/>
    <x v="1"/>
    <s v="ΔΙΕΥΘΥΝΣΗ Π.Ε. Β΄ ΑΘΗΝΑΣ"/>
    <n v="52.505555555555553"/>
    <s v="51 - 55"/>
  </r>
  <r>
    <n v="99914144"/>
    <s v="Θ"/>
    <x v="2"/>
    <x v="2"/>
    <m/>
    <m/>
    <s v="Α΄"/>
    <n v="1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m/>
    <s v="ΟΧΙ"/>
    <m/>
    <m/>
    <s v="Ιδιωτικά Σχολεία"/>
    <x v="2"/>
    <s v="7061029"/>
    <s v="ΙΔΙΩΤΙΚΟ ΝΗΠΙΑΓΩΓΕΙΟ ΠΑΤΡΑ ΜΑΡΙΑ ΑΝΤΩΝΙΑΔΗ ΜΟΝΟΠΡΟΣΩΠΗ ΕΠΕ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7-03-21T00:00:00"/>
    <x v="1"/>
    <s v="ΔΙΕΥΘΥΝΣΗ Π.Ε. ΑΧΑΪΑΣ"/>
    <n v="52.513888888888886"/>
    <s v="51 - 55"/>
  </r>
  <r>
    <n v="99914145"/>
    <s v="Θ"/>
    <x v="5"/>
    <x v="5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7-03-20T00:00:00"/>
    <x v="0"/>
    <s v="ΔΙΕΥΘΥΝΣΗ Δ.Ε. ΑΝΑΤ. ΘΕΣ/ΝΙΚΗΣ"/>
    <n v="52.516666666666666"/>
    <s v="51 - 55"/>
  </r>
  <r>
    <n v="99914146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16T00:00:00"/>
    <x v="0"/>
    <s v="ΔΙΕΥΘΥΝΣΗ Δ.Ε. ΠΕΙΡΑΙΑ"/>
    <n v="52.527777777777779"/>
    <s v="51 - 55"/>
  </r>
  <r>
    <n v="99914147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3-14T00:00:00"/>
    <x v="0"/>
    <s v="ΔΙΕΥΘΥΝΣΗ Δ.Ε. ΑΝΑΤΟΛΙΚΗΣ ΑΤΤΙΚΗΣ"/>
    <n v="52.533333333333331"/>
    <s v="51 - 55"/>
  </r>
  <r>
    <n v="99914148"/>
    <s v="Θ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14T00:00:00"/>
    <x v="0"/>
    <s v="ΔΙΕΥΘΥΝΣΗ Δ.Ε. ΑΝΑΤΟΛΙΚΗΣ ΑΤΤΙΚΗΣ"/>
    <n v="52.533333333333331"/>
    <s v="51 - 55"/>
  </r>
  <r>
    <n v="99914149"/>
    <s v="Α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11T00:00:00"/>
    <x v="0"/>
    <s v="ΔΙΕΥΘΥΝΣΗ Δ.Ε. Β΄ ΑΘΗΝΑΣ"/>
    <n v="52.541666666666664"/>
    <s v="51 - 55"/>
  </r>
  <r>
    <n v="99914150"/>
    <s v="Θ"/>
    <x v="2"/>
    <x v="2"/>
    <m/>
    <m/>
    <s v="Α΄"/>
    <n v="1"/>
    <m/>
    <m/>
    <s v="ΔΡΑΜΑΣ (Π.Ε.) 2018"/>
    <s v="ΔΙΕΥΘΥΝΣΗ Π.Ε. ΔΡΑΜΑΣ"/>
    <s v="ΠΕΡΙΦΕΡΕΙΑΚΗ Δ/ΝΣΗ Α/ΘΜΙΑΣ ΚΑΙ Β/ΘΜΙΑΣ ΕΚΠ/ΣΗΣ ΑΝ. ΜΑΚΕΔΟΝΙΑΣ ΚΑΙ ΘΡΑΚΗΣ"/>
    <n v="25"/>
    <s v="ΟΧΙ"/>
    <s v="ΟΧΙ"/>
    <s v="ΟΧΙ"/>
    <m/>
    <s v="ΟΧΙ"/>
    <m/>
    <m/>
    <s v="Ιδιωτικά Σχολεία"/>
    <x v="2"/>
    <s v="7091001"/>
    <s v="ΙΔΙΩΤΙΚΟ ΝΗΠΙΑΓΩΓΕΙΟ ΔΡΑΜΑ - ΚΥΡΓΕΛΑΝΗ ΚΥΡΙΑΚΟΥΛΑΣ"/>
    <s v="ΔΡΑΜΑΣ (Π.Ε.) 2018"/>
    <x v="57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67-03-08T00:00:00"/>
    <x v="1"/>
    <s v="ΔΙΕΥΘΥΝΣΗ Π.Ε. ΔΡΑΜΑΣ"/>
    <n v="52.55"/>
    <s v="51 - 55"/>
  </r>
  <r>
    <n v="99914151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3-04T00:00:00"/>
    <x v="0"/>
    <s v="ΔΙΕΥΘΥΝΣΗ Δ.Ε. ΑΝΑΤΟΛΙΚΗΣ ΑΤΤΙΚΗΣ"/>
    <n v="52.56111111111111"/>
    <s v="51 - 55"/>
  </r>
  <r>
    <n v="99914152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02T00:00:00"/>
    <x v="0"/>
    <s v="ΔΙΕΥΘΥΝΣΗ Δ.Ε. ΠΕΙΡΑΙΑ"/>
    <n v="52.56666666666667"/>
    <s v="51 - 55"/>
  </r>
  <r>
    <n v="99914153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3-01T00:00:00"/>
    <x v="1"/>
    <s v="ΔΙΕΥΘΥΝΣΗ Π.Ε. ΑΝΑΤΟΛΙΚΗΣ ΑΤΤΙΚΗΣ"/>
    <n v="52.569444444444443"/>
    <s v="51 - 55"/>
  </r>
  <r>
    <n v="99914154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715"/>
    <s v="ΙΔΙΩΤΙΚΟ ΗΜΕΡΗΣΙΟ ΓΕΛ ΣΥΓΧΡΟΝΗ ΠΑΙΔΕΙΑ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25T00:00:00"/>
    <x v="0"/>
    <s v="ΔΙΕΥΘΥΝΣΗ Δ.Ε. Α΄ ΑΘΗΝΑΣ"/>
    <n v="52.580555555555556"/>
    <s v="51 - 55"/>
  </r>
  <r>
    <n v="99914155"/>
    <s v="Θ"/>
    <x v="11"/>
    <x v="11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24T00:00:00"/>
    <x v="0"/>
    <s v="ΔΙΕΥΘΥΝΣΗ Δ.Ε. ΠΕΙΡΑΙΑ"/>
    <n v="52.583333333333336"/>
    <s v="51 - 55"/>
  </r>
  <r>
    <n v="9991415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22T00:00:00"/>
    <x v="0"/>
    <s v="ΔΙΕΥΘΥΝΣΗ Δ.Ε. Β΄ ΑΘΗΝΑΣ"/>
    <n v="52.588888888888889"/>
    <s v="51 - 55"/>
  </r>
  <r>
    <n v="99914157"/>
    <s v="Α"/>
    <x v="23"/>
    <x v="23"/>
    <s v="ΠΕ86"/>
    <s v="ΠΛΗΡΟΦΟΡΙΚΗΣ"/>
    <s v="Α΄"/>
    <n v="1"/>
    <m/>
    <m/>
    <s v="ΧΑΝΙΩΝ (Δ.Ε.) 2018"/>
    <s v="ΔΙΕΥΘΥΝΣΗ Δ.Ε. ΧΑΝΙΩΝ"/>
    <s v="ΠΕΡΙΦΕΡΕΙΑΚΗ Δ/ΝΣΗ Α/ΘΜΙΑΣ ΚΑΙ Β/ΘΜΙΑΣ ΕΚΠ/ΣΗΣ ΚΡΗΤΗΣ"/>
    <n v="20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7-02-20T00:00:00"/>
    <x v="0"/>
    <s v="ΔΙΕΥΘΥΝΣΗ Δ.Ε. ΧΑΝΙΩΝ"/>
    <n v="52.594444444444441"/>
    <s v="51 - 55"/>
  </r>
  <r>
    <n v="99914158"/>
    <s v="Θ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2-18T00:00:00"/>
    <x v="0"/>
    <s v="ΔΙΕΥΘΥΝΣΗ Δ.Ε. Γ΄ ΑΘΗΝΑΣ"/>
    <n v="52.6"/>
    <s v="51 - 55"/>
  </r>
  <r>
    <n v="99914159"/>
    <s v="Α"/>
    <x v="19"/>
    <x v="19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7-02-18T00:00:00"/>
    <x v="0"/>
    <s v="ΔΙΕΥΘΥΝΣΗ Δ.Ε. ΤΡΙΚΑΛΩΝ"/>
    <n v="52.6"/>
    <s v="51 - 55"/>
  </r>
  <r>
    <n v="99914160"/>
    <s v="Θ"/>
    <x v="0"/>
    <x v="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15T00:00:00"/>
    <x v="0"/>
    <s v="ΔΙΕΥΘΥΝΣΗ Δ.Ε. Α΄ ΑΘΗΝΑΣ"/>
    <n v="52.608333333333334"/>
    <s v="51 - 55"/>
  </r>
  <r>
    <n v="99914161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15T00:00:00"/>
    <x v="0"/>
    <s v="ΔΙΕΥΘΥΝΣΗ Δ.Ε. ΑΝΑΤΟΛΙΚΗΣ ΑΤΤΙΚΗΣ"/>
    <n v="52.608333333333334"/>
    <s v="51 - 55"/>
  </r>
  <r>
    <n v="99914162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2-14T00:00:00"/>
    <x v="0"/>
    <s v="ΔΙΕΥΘΥΝΣΗ Δ.Ε. Β΄ ΑΘΗΝΑΣ"/>
    <n v="52.611111111111114"/>
    <s v="51 - 55"/>
  </r>
  <r>
    <n v="99914163"/>
    <s v="Θ"/>
    <x v="2"/>
    <x v="2"/>
    <m/>
    <m/>
    <s v="Β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37"/>
    <s v="ΙΔΙΩΤΙΚΟ ΝΗΠΙΑΓΩΓΕΙΟ ΤΟΥΣΤΣΟΓΛΟΥ ΑΦΡΟΔΙΤΗ (ΠΟΡΤΟΚΑΛΟΚΗΠΟΣ)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2-13T00:00:00"/>
    <x v="1"/>
    <s v="ΔΙΕΥΘΥΝΣΗ Π.Ε. ΔΥΤ. ΘΕΣ/ΝΙΚΗΣ"/>
    <n v="52.613888888888887"/>
    <s v="51 - 55"/>
  </r>
  <r>
    <n v="99914164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11T00:00:00"/>
    <x v="0"/>
    <s v="ΔΙΕΥΘΥΝΣΗ Δ.Ε. ΠΕΙΡΑΙΑ"/>
    <n v="52.619444444444447"/>
    <s v="51 - 55"/>
  </r>
  <r>
    <n v="99914165"/>
    <s v="Θ"/>
    <x v="2"/>
    <x v="2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2"/>
    <s v="7051049"/>
    <s v="ΙΔΙΩΤΙΚΟ ΝΗΠΙΑΓΩΓΕΙΟ ΗΛΙΟΧΑΜΟΓΕΛΟ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2-11T00:00:00"/>
    <x v="1"/>
    <s v="ΔΙΕΥΘΥΝΣΗ Π.Ε. Α΄ ΑΘΗΝΑΣ"/>
    <n v="52.619444444444447"/>
    <s v="51 - 55"/>
  </r>
  <r>
    <n v="99914166"/>
    <s v="Θ"/>
    <x v="1"/>
    <x v="1"/>
    <m/>
    <m/>
    <s v="Γ΄"/>
    <n v="1"/>
    <n v="179"/>
    <d v="1997-09-01T00:00:00"/>
    <s v="ΙΩΑΝΝΙΝΩΝ (Π.Ε.) 2018"/>
    <s v="ΔΙΕΥΘΥΝΣΗ Π.Ε. ΙΩΑΝΝΙΝΩΝ"/>
    <s v="ΠΕΡΙΦΕΡΕΙΑΚΗ Δ/ΝΣΗ Α/ΘΜΙΑΣ ΚΑΙ Β/ΘΜΙΑΣ ΕΚΠ/ΣΗΣ ΗΠΕΙΡΟΥ"/>
    <n v="21"/>
    <s v="ΟΧΙ"/>
    <s v="ΟΧΙ"/>
    <s v="ΟΧΙ"/>
    <s v="ΟΧΙ"/>
    <s v="ΟΧΙ"/>
    <m/>
    <d v="1997-09-08T00:00:00"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7-02-08T00:00:00"/>
    <x v="1"/>
    <s v="ΔΙΕΥΘΥΝΣΗ Π.Ε. ΙΩΑΝΝΙΝΩΝ"/>
    <n v="52.62777777777778"/>
    <s v="51 - 55"/>
  </r>
  <r>
    <n v="99914167"/>
    <s v="Θ"/>
    <x v="2"/>
    <x v="2"/>
    <m/>
    <m/>
    <s v="Γ΄"/>
    <n v="1"/>
    <n v="55"/>
    <d v="2018-09-01T00:00:00"/>
    <s v="ΑΡΓΟΛΙΔΑΣ (Π.Ε.) 2018"/>
    <s v="ΔΙΕΥΘΥΝΣΗ Π.Ε. ΑΡΓΟΛΙΔΑΣ"/>
    <s v="ΠΕΡΙΦΕΡΕΙΑΚΗ Δ/ΝΣΗ Α/ΘΜΙΑΣ ΚΑΙ Β/ΘΜΙΑΣ ΕΚΠ/ΣΗΣ ΠΕΛΟΠΟΝΝΗΣΟΥ"/>
    <n v="25"/>
    <s v="ΟΧΙ"/>
    <m/>
    <m/>
    <m/>
    <s v="ΟΧΙ"/>
    <m/>
    <d v="2018-09-01T00:00:00"/>
    <s v="Ιδιωτικά Σχολεία"/>
    <x v="2"/>
    <s v="7021001"/>
    <s v="ΙΔΙΩΤΙΚΟ ΝΗΠΙΑΓΩΓΕΙΟ ΑΡΙΑ ΝΑΥΠΛΙΟΥ - ΙΔ. ΝΗΠΙΑΓΩΓΕΙΟ ΠΑΛΑΤΑΚΙ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02-08T00:00:00"/>
    <x v="1"/>
    <s v="ΔΙΕΥΘΥΝΣΗ Π.Ε. ΑΡΓΟΛΙΔΑΣ"/>
    <n v="52.62777777777778"/>
    <s v="51 - 55"/>
  </r>
  <r>
    <n v="99914168"/>
    <s v="Θ"/>
    <x v="0"/>
    <x v="0"/>
    <m/>
    <m/>
    <s v="Γ΄"/>
    <n v="1"/>
    <d v="1993-11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2-07T00:00:00"/>
    <x v="1"/>
    <s v="ΔΙΕΥΘΥΝΣΗ Π.Ε. ΑΝΑΤ. ΘΕΣ/ΝΙΚΗΣ"/>
    <n v="52.630555555555553"/>
    <s v="51 - 55"/>
  </r>
  <r>
    <n v="99914169"/>
    <s v="Θ"/>
    <x v="20"/>
    <x v="20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7-02-05T00:00:00"/>
    <x v="0"/>
    <s v="ΔΙΕΥΘΥΝΣΗ Δ.Ε. ΙΩΑΝΝΙΝΩΝ"/>
    <n v="52.636111111111113"/>
    <s v="51 - 55"/>
  </r>
  <r>
    <n v="99914170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29T00:00:00"/>
    <x v="0"/>
    <s v="ΔΙΕΥΘΥΝΣΗ Δ.Ε. Β΄ ΑΘΗΝΑΣ"/>
    <n v="52.655555555555559"/>
    <s v="51 - 55"/>
  </r>
  <r>
    <n v="99914171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29T00:00:00"/>
    <x v="0"/>
    <s v="ΔΙΕΥΘΥΝΣΗ Δ.Ε. Β΄ ΑΘΗΝΑΣ"/>
    <n v="52.655555555555559"/>
    <s v="51 - 55"/>
  </r>
  <r>
    <n v="99914172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27T00:00:00"/>
    <x v="0"/>
    <s v="ΔΙΕΥΘΥΝΣΗ Δ.Ε. Β΄ ΑΘΗΝΑΣ"/>
    <n v="52.661111111111111"/>
    <s v="51 - 55"/>
  </r>
  <r>
    <n v="99914173"/>
    <s v="Θ"/>
    <x v="2"/>
    <x v="2"/>
    <m/>
    <m/>
    <s v="Γ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0"/>
    <s v="ΟΧΙ"/>
    <s v="ΟΧΙ"/>
    <s v="ΟΧΙ"/>
    <m/>
    <s v="ΟΧΙ"/>
    <m/>
    <m/>
    <s v="Ιδιωτικά Σχολεία"/>
    <x v="2"/>
    <s v="7011011"/>
    <s v="ΙΔΙΩΤΙΚΟ ΝΗΠΙΑΓΩΓΕΙΟ ΑΓΡΙΝΙΟ - Ο ΚΟΣΜΟΣ ΤΟΥ ΝΤΙΣΝΕΥ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7-01-27T00:00:00"/>
    <x v="1"/>
    <s v="ΔΙΕΥΘΥΝΣΗ Π.Ε. ΑΙΤΩΛΟΑΚΑΡΝΑΝΙΑΣ"/>
    <n v="52.661111111111111"/>
    <s v="51 - 55"/>
  </r>
  <r>
    <n v="99914174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1-25T00:00:00"/>
    <x v="0"/>
    <s v="ΔΙΕΥΘΥΝΣΗ Δ.Ε. ΑΝΑΤ. ΘΕΣ/ΝΙΚΗΣ"/>
    <n v="52.666666666666664"/>
    <s v="51 - 55"/>
  </r>
  <r>
    <n v="99914175"/>
    <s v="Θ"/>
    <x v="10"/>
    <x v="10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24T00:00:00"/>
    <x v="1"/>
    <s v="ΔΙΕΥΘΥΝΣΗ Π.Ε. Α΄ ΑΘΗΝΑΣ"/>
    <n v="52.669444444444444"/>
    <s v="51 - 55"/>
  </r>
  <r>
    <n v="99914176"/>
    <s v="Θ"/>
    <x v="1"/>
    <x v="1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1-12T00:00:00"/>
    <x v="1"/>
    <s v="ΔΙΕΥΘΥΝΣΗ Π.Ε. Β΄ ΑΘΗΝΑΣ"/>
    <n v="52.702777777777776"/>
    <s v="51 - 55"/>
  </r>
  <r>
    <n v="99914177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12T00:00:00"/>
    <x v="0"/>
    <s v="ΔΙΕΥΘΥΝΣΗ Δ.Ε. ΑΝΑΤΟΛΙΚΗΣ ΑΤΤΙΚΗΣ"/>
    <n v="52.702777777777776"/>
    <s v="51 - 55"/>
  </r>
  <r>
    <n v="99914178"/>
    <s v="Θ"/>
    <x v="6"/>
    <x v="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11T00:00:00"/>
    <x v="0"/>
    <s v="ΔΙΕΥΘΥΝΣΗ Δ.Ε. Β΄ ΑΘΗΝΑΣ"/>
    <n v="52.705555555555556"/>
    <s v="51 - 55"/>
  </r>
  <r>
    <n v="99914179"/>
    <s v="Α"/>
    <x v="1"/>
    <x v="1"/>
    <m/>
    <m/>
    <s v="Α΄"/>
    <n v="11"/>
    <s v="Φ.15.Α6/7058/18-11-2009"/>
    <d v="2009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9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1-08T00:00:00"/>
    <x v="1"/>
    <s v="ΔΙΕΥΘΥΝΣΗ Π.Ε. ΑΝΑΤΟΛΙΚΗΣ ΑΤΤΙΚΗΣ"/>
    <n v="52.713888888888889"/>
    <s v="51 - 55"/>
  </r>
  <r>
    <n v="99914180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6T00:00:00"/>
    <x v="0"/>
    <s v="ΔΙΕΥΘΥΝΣΗ Δ.Ε. Β΄ ΑΘΗΝΑΣ"/>
    <n v="52.719444444444441"/>
    <s v="51 - 55"/>
  </r>
  <r>
    <n v="99914181"/>
    <s v="Α"/>
    <x v="8"/>
    <x v="8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1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1-06T00:00:00"/>
    <x v="0"/>
    <s v="ΔΙΕΥΘΥΝΣΗ Δ.Ε. ΣΕΡΡΩΝ"/>
    <n v="52.719444444444441"/>
    <s v="51 - 55"/>
  </r>
  <r>
    <n v="99914182"/>
    <s v="Θ"/>
    <x v="0"/>
    <x v="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5T00:00:00"/>
    <x v="0"/>
    <s v="ΔΙΕΥΘΥΝΣΗ Δ.Ε. Α΄ ΑΘΗΝΑΣ"/>
    <n v="52.722222222222221"/>
    <s v="51 - 55"/>
  </r>
  <r>
    <n v="99914183"/>
    <s v="Α"/>
    <x v="1"/>
    <x v="1"/>
    <m/>
    <m/>
    <s v="Γ΄"/>
    <n v="1"/>
    <s v="1217/20/5/1997"/>
    <d v="2018-09-01T00:00:00"/>
    <s v="ΙΩΑΝΝΙΝΩΝ (Π.Ε.) 2018"/>
    <s v="ΔΙΕΥΘΥΝΣΗ Π.Ε. ΙΩΑΝΝΙΝΩΝ"/>
    <s v="ΠΕΡΙΦΕΡΕΙΑΚΗ Δ/ΝΣΗ Α/ΘΜΙΑΣ ΚΑΙ Β/ΘΜΙΑΣ ΕΚΠ/ΣΗΣ ΗΠΕΙΡΟΥ"/>
    <n v="21"/>
    <s v="ΟΧΙ"/>
    <m/>
    <m/>
    <m/>
    <s v="ΟΧΙ"/>
    <m/>
    <d v="2018-09-01T00:00:00"/>
    <s v="Ιδιωτικά Σχολεία"/>
    <x v="1"/>
    <s v="7201000"/>
    <s v="ΙΔΙΩΤΙΚΟ ΔΗΜΟΤΙΚΟ - ΙΔΙΩΤΙΚΟ ΔΗΜΟΤΙΚΟ ΣΧΟΛΕΙΟ ΟΛΓΑΣ ΝΤΟΤΗ-ΟΙΚΟΝΟΜΟΥ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7-01-05T00:00:00"/>
    <x v="1"/>
    <s v="ΔΙΕΥΘΥΝΣΗ Π.Ε. ΙΩΑΝΝΙΝΩΝ"/>
    <n v="52.722222222222221"/>
    <s v="51 - 55"/>
  </r>
  <r>
    <n v="99914184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2T00:00:00"/>
    <x v="0"/>
    <s v="ΔΙΕΥΘΥΝΣΗ Δ.Ε. Β΄ ΑΘΗΝΑΣ"/>
    <n v="52.730555555555554"/>
    <s v="51 - 55"/>
  </r>
  <r>
    <n v="99914185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Α΄ ΑΘΗΝΑΣ"/>
    <n v="52.733333333333334"/>
    <s v="51 - 55"/>
  </r>
  <r>
    <n v="99914186"/>
    <s v="Θ"/>
    <x v="0"/>
    <x v="0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7-01-01T00:00:00"/>
    <x v="0"/>
    <s v="ΔΙΕΥΘΥΝΣΗ Δ.Ε. ΑΝΑΤΟΛΙΚΗΣ ΑΤΤΙΚΗΣ"/>
    <n v="52.733333333333334"/>
    <s v="51 - 55"/>
  </r>
  <r>
    <n v="99914187"/>
    <s v="Θ"/>
    <x v="7"/>
    <x v="7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ΑΝΑΤΟΛΙΚΗΣ ΑΤΤΙΚΗΣ"/>
    <n v="52.733333333333334"/>
    <s v="51 - 55"/>
  </r>
  <r>
    <n v="99914188"/>
    <s v="Θ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60030"/>
    <s v="ΙΔΙΩΤΙΚΟ ΓΥΜΝΑΣΙΟ -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Β΄ ΑΘΗΝΑΣ"/>
    <n v="52.733333333333334"/>
    <s v="51 - 55"/>
  </r>
  <r>
    <n v="99914189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Γ΄ ΑΘΗΝΑΣ"/>
    <n v="52.733333333333334"/>
    <s v="51 - 55"/>
  </r>
  <r>
    <n v="99914190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Γ΄ ΑΘΗΝΑΣ"/>
    <n v="52.733333333333334"/>
    <s v="51 - 55"/>
  </r>
  <r>
    <n v="99914191"/>
    <s v="Θ"/>
    <x v="13"/>
    <x v="13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Δ΄ ΑΘΗΝΑΣ"/>
    <n v="52.733333333333334"/>
    <s v="51 - 55"/>
  </r>
  <r>
    <n v="99914192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Δ΄ ΑΘΗΝΑΣ"/>
    <n v="52.733333333333334"/>
    <s v="51 - 55"/>
  </r>
  <r>
    <n v="99914193"/>
    <s v="Α"/>
    <x v="19"/>
    <x v="19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Δ΄ ΑΘΗΝΑΣ"/>
    <n v="52.733333333333334"/>
    <s v="51 - 55"/>
  </r>
  <r>
    <n v="99914194"/>
    <s v="Θ"/>
    <x v="11"/>
    <x v="11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9"/>
    <s v="ΟΧΙ"/>
    <s v="ΟΧΙ"/>
    <s v="ΟΧΙ"/>
    <s v="ΟΧΙ"/>
    <s v="ΟΧΙ"/>
    <m/>
    <d v="2018-09-03T00:00:00"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d v="1967-01-01T00:00:00"/>
    <x v="0"/>
    <s v="ΔΙΕΥΘΥΝΣΗ Δ.Ε. Δ΄ ΑΘΗΝΑΣ"/>
    <n v="52.733333333333334"/>
    <s v="51 - 55"/>
  </r>
  <r>
    <n v="99914195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0"/>
    <s v="ΔΙΕΥΘΥΝΣΗ Δ.Ε. ΠΕΙΡΑΙΑ"/>
    <n v="52.733333333333334"/>
    <s v="51 - 55"/>
  </r>
  <r>
    <n v="99914196"/>
    <s v="Θ"/>
    <x v="6"/>
    <x v="6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1"/>
    <s v="ΔΙΕΥΘΥΝΣΗ Π.Ε. Β΄ ΑΘΗΝΑΣ"/>
    <n v="52.733333333333334"/>
    <s v="51 - 55"/>
  </r>
  <r>
    <n v="99914197"/>
    <s v="Θ"/>
    <x v="14"/>
    <x v="14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1"/>
    <s v="ΟΧΙ"/>
    <s v="ΟΧΙ"/>
    <s v="ΟΧΙ"/>
    <s v="ΟΧΙ"/>
    <s v="ΟΧΙ"/>
    <m/>
    <d v="2018-09-01T00:00:00"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1"/>
    <s v="ΔΙΕΥΘΥΝΣΗ Π.Ε. Β΄ ΑΘΗΝΑΣ"/>
    <n v="52.733333333333334"/>
    <s v="51 - 55"/>
  </r>
  <r>
    <n v="99914198"/>
    <s v="Α"/>
    <x v="8"/>
    <x v="8"/>
    <m/>
    <m/>
    <s v="Γ΄"/>
    <n v="1"/>
    <n v="14194"/>
    <d v="2018-09-01T00:00:00"/>
    <s v="Δ΄ ΑΘΗΝΑΣ (Π.Ε.) 2018"/>
    <s v="ΔΙΕΥΘΥΝΣΗ Π.Ε. Δ΄ ΑΘΗΝΑΣ"/>
    <s v="ΠΕΡΙΦΕΡΕΙΑΚΗ Δ/ΝΣΗ Α/ΘΜΙΑΣ ΚΑΙ Β/ΘΜΙΑΣ ΕΚΠ/ΣΗΣ ΑΤΤΙΚΗΣ"/>
    <n v="12"/>
    <s v="ΟΧΙ"/>
    <m/>
    <m/>
    <m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1"/>
    <s v="ΔΙΕΥΘΥΝΣΗ Π.Ε. Δ΄ ΑΘΗΝΑΣ"/>
    <n v="52.733333333333334"/>
    <s v="51 - 55"/>
  </r>
  <r>
    <n v="99914199"/>
    <s v="Θ"/>
    <x v="1"/>
    <x v="1"/>
    <m/>
    <m/>
    <s v="Γ΄"/>
    <n v="1"/>
    <s v="1900/06-10-1998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1"/>
    <s v="ΔΙΕΥΘΥΝΣΗ Π.Ε. Δ΄ ΑΘΗΝΑΣ"/>
    <n v="52.733333333333334"/>
    <s v="51 - 55"/>
  </r>
  <r>
    <n v="99914200"/>
    <s v="Θ"/>
    <x v="18"/>
    <x v="18"/>
    <m/>
    <m/>
    <s v="Γ΄"/>
    <n v="1"/>
    <n v="731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1"/>
    <s v="ΔΙΕΥΘΥΝΣΗ Π.Ε. Δ΄ ΑΘΗΝΑΣ"/>
    <n v="52.733333333333334"/>
    <s v="51 - 55"/>
  </r>
  <r>
    <n v="99914201"/>
    <s v="Θ"/>
    <x v="8"/>
    <x v="8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7-01-01T00:00:00"/>
    <x v="1"/>
    <s v="ΔΙΕΥΘΥΝΣΗ Π.Ε. ΠΕΙΡΑΙΑ"/>
    <n v="52.733333333333334"/>
    <s v="51 - 55"/>
  </r>
  <r>
    <n v="99914202"/>
    <s v="Α"/>
    <x v="4"/>
    <x v="4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8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7-01-01T00:00:00"/>
    <x v="0"/>
    <s v="ΔΙΕΥΘΥΝΣΗ Δ.Ε. ΑΧΑΪΑΣ"/>
    <n v="52.733333333333334"/>
    <s v="51 - 55"/>
  </r>
  <r>
    <n v="99914203"/>
    <s v="Α"/>
    <x v="9"/>
    <x v="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s v="ΟΧΙ"/>
    <s v="ΟΧΙ"/>
    <s v="ΟΧΙ"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1-01T00:00:00"/>
    <x v="0"/>
    <s v="ΔΙΕΥΘΥΝΣΗ Δ.Ε. ΑΝΑΤ. ΘΕΣ/ΝΙΚΗΣ"/>
    <n v="52.733333333333334"/>
    <s v="51 - 55"/>
  </r>
  <r>
    <n v="99914204"/>
    <s v="Θ"/>
    <x v="0"/>
    <x v="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1-01T00:00:00"/>
    <x v="0"/>
    <s v="ΔΙΕΥΘΥΝΣΗ Δ.Ε. ΑΝΑΤ. ΘΕΣ/ΝΙΚΗΣ"/>
    <n v="52.733333333333334"/>
    <s v="51 - 55"/>
  </r>
  <r>
    <n v="99914205"/>
    <s v="Θ"/>
    <x v="2"/>
    <x v="2"/>
    <m/>
    <m/>
    <s v="Γ΄"/>
    <n v="1"/>
    <n v="195"/>
    <d v="2002-08-29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02-08-29T00:00:00"/>
    <s v="Ιδιωτικά Σχολεία"/>
    <x v="2"/>
    <s v="7191047"/>
    <s v="ΙΔΙΩΤΙΚΟ ΝΗΠΙΑΓΩΓΕΙΟ ΚΑΤΩ ΤΟΥΜΠΑ - ΝΕΟΣ ΝΗΠΙΑΚΟΣ ΚΗΠ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7-01-01T00:00:00"/>
    <x v="1"/>
    <s v="ΔΙΕΥΘΥΝΣΗ Π.Ε. ΑΝΑΤ. ΘΕΣ/ΝΙΚΗΣ"/>
    <n v="52.733333333333334"/>
    <s v="51 - 55"/>
  </r>
  <r>
    <n v="99914206"/>
    <s v="Θ"/>
    <x v="13"/>
    <x v="13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7-01-01T00:00:00"/>
    <x v="1"/>
    <s v="ΔΙΕΥΘΥΝΣΗ Π.Ε. ΑΝΑΤ. ΘΕΣ/ΝΙΚΗΣ"/>
    <n v="52.733333333333334"/>
    <s v="51 - 55"/>
  </r>
  <r>
    <n v="99914207"/>
    <s v="Θ"/>
    <x v="15"/>
    <x v="15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7-01-01T00:00:00"/>
    <x v="0"/>
    <s v="ΔΙΕΥΘΥΝΣΗ Δ.Ε. ΧΑΝΙΩΝ"/>
    <n v="52.733333333333334"/>
    <s v="51 - 55"/>
  </r>
  <r>
    <n v="99914208"/>
    <s v="Α"/>
    <x v="5"/>
    <x v="5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s v="ΟΧΙ"/>
    <s v="ΟΧΙ"/>
    <s v="ΟΧΙ"/>
    <s v="ΟΧΙ"/>
    <s v="ΟΧΙ"/>
    <m/>
    <m/>
    <s v="Ιδιωτικά Σχολεία"/>
    <x v="3"/>
    <s v="2861001"/>
    <s v="ΙΔΙΩΤΙΚΟ ΛΥΚΕΙΟ - HOMO EDUCANDUS ΑΓΩΓΗ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01-01T00:00:00"/>
    <x v="0"/>
    <s v="ΔΙΕΥΘΥΝΣΗ Δ.Ε. ΚΟΡΙΝΘΙΑΣ"/>
    <n v="52.733333333333334"/>
    <s v="51 - 55"/>
  </r>
  <r>
    <n v="99914209"/>
    <s v="Θ"/>
    <x v="8"/>
    <x v="8"/>
    <m/>
    <m/>
    <s v="Γ΄"/>
    <n v="4"/>
    <m/>
    <m/>
    <s v="ΚΟΡΙΝΘΙΑΣ (Π.Ε.) 2018"/>
    <s v="ΔΙΕΥΘΥΝΣΗ Π.Ε. ΚΟΡΙΝΘΙΑΣ"/>
    <s v="ΠΕΡΙΦΕΡΕΙΑΚΗ Δ/ΝΣΗ Α/ΘΜΙΑΣ ΚΑΙ Β/ΘΜΙΑΣ ΕΚΠ/ΣΗΣ ΠΕΛΟΠΟΝΝΗΣΟΥ"/>
    <n v="15"/>
    <s v="ΟΧΙ"/>
    <s v="ΟΧΙ"/>
    <s v="ΟΧΙ"/>
    <s v="ΟΧΙ"/>
    <s v="ΟΧΙ"/>
    <m/>
    <m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7-01-01T00:00:00"/>
    <x v="1"/>
    <s v="ΔΙΕΥΘΥΝΣΗ Π.Ε. ΚΟΡΙΝΘΙΑΣ"/>
    <n v="52.733333333333334"/>
    <s v="51 - 55"/>
  </r>
  <r>
    <n v="99914210"/>
    <s v="Α"/>
    <x v="19"/>
    <x v="1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715"/>
    <s v="ΙΔΙΩΤΙΚΟ ΗΜΕΡΗΣΙΟ ΓΕΛ ΣΥΓΧΡΟΝΗ ΠΑΙΔΕΙΑ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2-24T00:00:00"/>
    <x v="0"/>
    <s v="ΔΙΕΥΘΥΝΣΗ Δ.Ε. Α΄ ΑΘΗΝΑΣ"/>
    <n v="52.755555555555553"/>
    <s v="51 - 55"/>
  </r>
  <r>
    <n v="99914211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2-22T00:00:00"/>
    <x v="0"/>
    <s v="ΔΙΕΥΘΥΝΣΗ Δ.Ε. Β΄ ΑΘΗΝΑΣ"/>
    <n v="52.761111111111113"/>
    <s v="51 - 55"/>
  </r>
  <r>
    <n v="99914212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12-11T00:00:00"/>
    <x v="0"/>
    <s v="ΔΙΕΥΘΥΝΣΗ Δ.Ε. ΑΝΑΤ. ΘΕΣ/ΝΙΚΗΣ"/>
    <n v="52.791666666666664"/>
    <s v="51 - 55"/>
  </r>
  <r>
    <n v="99914213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2-10T00:00:00"/>
    <x v="0"/>
    <s v="ΔΙΕΥΘΥΝΣΗ Δ.Ε. Β΄ ΑΘΗΝΑΣ"/>
    <n v="52.794444444444444"/>
    <s v="51 - 55"/>
  </r>
  <r>
    <n v="99914214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2-08T00:00:00"/>
    <x v="0"/>
    <s v="ΔΙΕΥΘΥΝΣΗ Δ.Ε. ΑΝΑΤΟΛΙΚΗΣ ΑΤΤΙΚΗΣ"/>
    <n v="52.8"/>
    <s v="51 - 55"/>
  </r>
  <r>
    <n v="99914215"/>
    <s v="Α"/>
    <x v="8"/>
    <x v="8"/>
    <m/>
    <m/>
    <s v="Γ΄"/>
    <n v="13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2-07T00:00:00"/>
    <x v="0"/>
    <s v="ΔΙΕΥΘΥΝΣΗ Δ.Ε. Δ΄ ΑΘΗΝΑΣ"/>
    <n v="52.802777777777777"/>
    <s v="51 - 55"/>
  </r>
  <r>
    <n v="99914216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2-06T00:00:00"/>
    <x v="0"/>
    <s v="ΔΙΕΥΘΥΝΣΗ Δ.Ε. Β΄ ΑΘΗΝΑΣ"/>
    <n v="52.805555555555557"/>
    <s v="51 - 55"/>
  </r>
  <r>
    <n v="99914217"/>
    <s v="Θ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2-06T00:00:00"/>
    <x v="0"/>
    <s v="ΔΙΕΥΘΥΝΣΗ Δ.Ε. ΠΕΙΡΑΙΑ"/>
    <n v="52.805555555555557"/>
    <s v="51 - 55"/>
  </r>
  <r>
    <n v="99914218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2-05T00:00:00"/>
    <x v="0"/>
    <s v="ΔΙΕΥΘΥΝΣΗ Δ.Ε. Β΄ ΑΘΗΝΑΣ"/>
    <n v="52.80833333333333"/>
    <s v="51 - 55"/>
  </r>
  <r>
    <n v="99914219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2-05T00:00:00"/>
    <x v="0"/>
    <s v="ΔΙΕΥΘΥΝΣΗ Δ.Ε. Β΄ ΑΘΗΝΑΣ"/>
    <n v="52.80833333333333"/>
    <s v="51 - 55"/>
  </r>
  <r>
    <n v="99914220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1-30T00:00:00"/>
    <x v="0"/>
    <s v="ΔΙΕΥΘΥΝΣΗ Δ.Ε. ΑΝΑΤΟΛΙΚΗΣ ΑΤΤΙΚΗΣ"/>
    <n v="52.822222222222223"/>
    <s v="51 - 55"/>
  </r>
  <r>
    <n v="99914221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28T00:00:00"/>
    <x v="0"/>
    <s v="ΔΙΕΥΘΥΝΣΗ Δ.Ε. Β΄ ΑΘΗΝΑΣ"/>
    <n v="52.827777777777776"/>
    <s v="51 - 55"/>
  </r>
  <r>
    <n v="99914222"/>
    <s v="Θ"/>
    <x v="9"/>
    <x v="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24T00:00:00"/>
    <x v="0"/>
    <s v="ΔΙΕΥΘΥΝΣΗ Δ.Ε. ΑΝΑΤΟΛΙΚΗΣ ΑΤΤΙΚΗΣ"/>
    <n v="52.838888888888889"/>
    <s v="51 - 55"/>
  </r>
  <r>
    <n v="99914223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22T00:00:00"/>
    <x v="0"/>
    <s v="ΔΙΕΥΘΥΝΣΗ Δ.Ε. Β΄ ΑΘΗΝΑΣ"/>
    <n v="52.844444444444441"/>
    <s v="51 - 55"/>
  </r>
  <r>
    <n v="99914224"/>
    <s v="Θ"/>
    <x v="8"/>
    <x v="8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1-21T00:00:00"/>
    <x v="1"/>
    <s v="ΔΙΕΥΘΥΝΣΗ Π.Ε. ΑΝΑΤΟΛΙΚΗΣ ΑΤΤΙΚΗΣ"/>
    <n v="52.847222222222221"/>
    <s v="51 - 55"/>
  </r>
  <r>
    <n v="99914225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9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6-11-19T00:00:00"/>
    <x v="0"/>
    <s v="ΔΙΕΥΘΥΝΣΗ Δ.Ε. ΑΝΑΤ. ΘΕΣ/ΝΙΚΗΣ"/>
    <n v="52.852777777777774"/>
    <s v="51 - 55"/>
  </r>
  <r>
    <n v="99914226"/>
    <s v="Α"/>
    <x v="5"/>
    <x v="5"/>
    <m/>
    <m/>
    <s v="Γ΄"/>
    <n v="1"/>
    <s v="16635/22"/>
    <d v="2018-09-01T00:00:00"/>
    <s v="Γ΄ ΑΘΗΝΑΣ (Δ.Ε.) 2018"/>
    <s v="ΔΙΕΥΘΥΝΣΗ Δ.Ε. Γ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18T00:00:00"/>
    <x v="0"/>
    <s v="ΔΙΕΥΘΥΝΣΗ Δ.Ε. Γ΄ ΑΘΗΝΑΣ"/>
    <n v="52.855555555555554"/>
    <s v="51 - 55"/>
  </r>
  <r>
    <n v="99914227"/>
    <s v="Θ"/>
    <x v="15"/>
    <x v="15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12T00:00:00"/>
    <x v="0"/>
    <s v="ΔΙΕΥΘΥΝΣΗ Δ.Ε. Α΄ ΑΘΗΝΑΣ"/>
    <n v="52.87222222222222"/>
    <s v="51 - 55"/>
  </r>
  <r>
    <n v="99914228"/>
    <s v="Θ"/>
    <x v="19"/>
    <x v="19"/>
    <m/>
    <m/>
    <s v="Γ΄"/>
    <n v="1"/>
    <n v="5775"/>
    <d v="2018-09-05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8-09-05T00:00:00"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1-12T00:00:00"/>
    <x v="0"/>
    <s v="ΔΙΕΥΘΥΝΣΗ Δ.Ε. ΑΝΑΤΟΛΙΚΗΣ ΑΤΤΙΚΗΣ"/>
    <n v="52.87222222222222"/>
    <s v="51 - 55"/>
  </r>
  <r>
    <n v="9991422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12T00:00:00"/>
    <x v="0"/>
    <s v="ΔΙΕΥΘΥΝΣΗ Δ.Ε. Β΄ ΑΘΗΝΑΣ"/>
    <n v="52.87222222222222"/>
    <s v="51 - 55"/>
  </r>
  <r>
    <n v="99914230"/>
    <s v="Θ"/>
    <x v="8"/>
    <x v="8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1-12T00:00:00"/>
    <x v="0"/>
    <s v="ΔΙΕΥΘΥΝΣΗ Δ.Ε. Γ΄ ΑΘΗΝΑΣ"/>
    <n v="52.87222222222222"/>
    <s v="51 - 55"/>
  </r>
  <r>
    <n v="99914231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07T00:00:00"/>
    <x v="0"/>
    <s v="ΔΙΕΥΘΥΝΣΗ Δ.Ε. Β΄ ΑΘΗΝΑΣ"/>
    <n v="52.886111111111113"/>
    <s v="51 - 55"/>
  </r>
  <r>
    <n v="99914232"/>
    <s v="Α"/>
    <x v="1"/>
    <x v="1"/>
    <m/>
    <m/>
    <s v="Α΄"/>
    <n v="8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05T00:00:00"/>
    <x v="1"/>
    <s v="ΔΙΕΥΘΥΝΣΗ Π.Ε. Δ΄ ΑΘΗΝΑΣ"/>
    <n v="52.891666666666666"/>
    <s v="51 - 55"/>
  </r>
  <r>
    <n v="99914233"/>
    <s v="Α"/>
    <x v="1"/>
    <x v="1"/>
    <m/>
    <m/>
    <s v="Α΄"/>
    <n v="13"/>
    <s v="Φ.Ι.Α/2163/6-4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0-09-01T00:00:00"/>
    <s v="Ιδιωτικά Σχολεία"/>
    <x v="1"/>
    <s v="7521032"/>
    <s v="ΙΔΙΩΤΙΚΟ ΔΗΜΟΤΙΚΟ ΓΕΡΑΚΑΣ - ΕΚΠΑΙΔΕΥΤΗΡΙΑ ΑΡΓΥΡΗ-ΛΑΙΜ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1-03T00:00:00"/>
    <x v="1"/>
    <s v="ΔΙΕΥΘΥΝΣΗ Π.Ε. ΑΝΑΤΟΛΙΚΗΣ ΑΤΤΙΚΗΣ"/>
    <n v="52.897222222222226"/>
    <s v="51 - 55"/>
  </r>
  <r>
    <n v="99914234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31T00:00:00"/>
    <x v="0"/>
    <s v="ΔΙΕΥΘΥΝΣΗ Δ.Ε. Β΄ ΑΘΗΝΑΣ"/>
    <n v="52.905555555555559"/>
    <s v="51 - 55"/>
  </r>
  <r>
    <n v="99914235"/>
    <s v="Α"/>
    <x v="7"/>
    <x v="7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0-30T00:00:00"/>
    <x v="0"/>
    <s v="ΔΙΕΥΘΥΝΣΗ Δ.Ε. Γ΄ ΑΘΗΝΑΣ"/>
    <n v="52.908333333333331"/>
    <s v="51 - 55"/>
  </r>
  <r>
    <n v="99914236"/>
    <s v="Θ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m/>
    <s v="ΟΧΙ"/>
    <m/>
    <m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6-10-30T00:00:00"/>
    <x v="1"/>
    <s v="ΔΙΕΥΘΥΝΣΗ Π.Ε. ΑΝΑΤ. ΘΕΣ/ΝΙΚΗΣ"/>
    <n v="52.908333333333331"/>
    <s v="51 - 55"/>
  </r>
  <r>
    <n v="99914237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25T00:00:00"/>
    <x v="0"/>
    <s v="ΔΙΕΥΘΥΝΣΗ Δ.Ε. Β΄ ΑΘΗΝΑΣ"/>
    <n v="52.922222222222224"/>
    <s v="51 - 55"/>
  </r>
  <r>
    <n v="99914238"/>
    <s v="Α"/>
    <x v="9"/>
    <x v="9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2"/>
    <s v="ΟΧΙ"/>
    <s v="ΟΧΙ"/>
    <s v="ΟΧΙ"/>
    <m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6-10-25T00:00:00"/>
    <x v="0"/>
    <s v="ΔΙΕΥΘΥΝΣΗ Δ.Ε. ΑΙΤΩΛΟΑΚΑΡΝΑΝΙΑΣ"/>
    <n v="52.922222222222224"/>
    <s v="51 - 55"/>
  </r>
  <r>
    <n v="99914239"/>
    <s v="Θ"/>
    <x v="5"/>
    <x v="5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m/>
    <s v="ΟΧΙ"/>
    <m/>
    <m/>
    <s v="Ιδιωτικά Σχολεία"/>
    <x v="3"/>
    <s v="3680015"/>
    <s v="ΙΔΙΩΤΙΚΟ ΗΜΕΡΗΣΙΟ ΛΥΚΕ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6-10-25T00:00:00"/>
    <x v="0"/>
    <s v="ΔΙΕΥΘΥΝΣΗ Δ.Ε. ΜΕΣΣΗΝΙΑΣ"/>
    <n v="52.922222222222224"/>
    <s v="51 - 55"/>
  </r>
  <r>
    <n v="99914240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0-23T00:00:00"/>
    <x v="0"/>
    <s v="ΔΙΕΥΘΥΝΣΗ Δ.Ε. Β΄ ΑΘΗΝΑΣ"/>
    <n v="52.927777777777777"/>
    <s v="51 - 55"/>
  </r>
  <r>
    <n v="99914241"/>
    <s v="Θ"/>
    <x v="5"/>
    <x v="5"/>
    <m/>
    <m/>
    <s v="Γ΄"/>
    <n v="1"/>
    <s v="5774 / 5-10-2007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21T00:00:00"/>
    <x v="0"/>
    <s v="ΔΙΕΥΘΥΝΣΗ Δ.Ε. ΑΝΑΤΟΛΙΚΗΣ ΑΤΤΙΚΗΣ"/>
    <n v="52.93333333333333"/>
    <s v="51 - 55"/>
  </r>
  <r>
    <n v="99914242"/>
    <s v="Θ"/>
    <x v="10"/>
    <x v="10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0-21T00:00:00"/>
    <x v="0"/>
    <s v="ΔΙΕΥΘΥΝΣΗ Δ.Ε. Δ΄ ΑΘΗΝΑΣ"/>
    <n v="52.93333333333333"/>
    <s v="51 - 55"/>
  </r>
  <r>
    <n v="99914243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0-19T00:00:00"/>
    <x v="0"/>
    <s v="ΔΙΕΥΘΥΝΣΗ Δ.Ε. ΑΝΑΤΟΛΙΚΗΣ ΑΤΤΙΚΗΣ"/>
    <n v="52.93888888888889"/>
    <s v="51 - 55"/>
  </r>
  <r>
    <n v="99914244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10-17T00:00:00"/>
    <x v="0"/>
    <s v="ΔΙΕΥΘΥΝΣΗ Δ.Ε. ΑΝΑΤ. ΘΕΣ/ΝΙΚΗΣ"/>
    <n v="52.944444444444443"/>
    <s v="51 - 55"/>
  </r>
  <r>
    <n v="9991424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16T00:00:00"/>
    <x v="0"/>
    <s v="ΔΙΕΥΘΥΝΣΗ Δ.Ε. Β΄ ΑΘΗΝΑΣ"/>
    <n v="52.947222222222223"/>
    <s v="51 - 55"/>
  </r>
  <r>
    <n v="9991424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14T00:00:00"/>
    <x v="0"/>
    <s v="ΔΙΕΥΘΥΝΣΗ Δ.Ε. Β΄ ΑΘΗΝΑΣ"/>
    <n v="52.952777777777776"/>
    <s v="51 - 55"/>
  </r>
  <r>
    <n v="99914247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13T00:00:00"/>
    <x v="0"/>
    <s v="ΔΙΕΥΘΥΝΣΗ Δ.Ε. Β΄ ΑΘΗΝΑΣ"/>
    <n v="52.955555555555556"/>
    <s v="51 - 55"/>
  </r>
  <r>
    <n v="9991424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10-12T00:00:00"/>
    <x v="0"/>
    <s v="ΔΙΕΥΘΥΝΣΗ Δ.Ε. Β΄ ΑΘΗΝΑΣ"/>
    <n v="52.958333333333336"/>
    <s v="51 - 55"/>
  </r>
  <r>
    <n v="99914249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0-10T00:00:00"/>
    <x v="0"/>
    <s v="ΔΙΕΥΘΥΝΣΗ Δ.Ε. ΠΕΙΡΑΙΑ"/>
    <n v="52.963888888888889"/>
    <s v="51 - 55"/>
  </r>
  <r>
    <n v="99914250"/>
    <s v="Θ"/>
    <x v="2"/>
    <x v="2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s v="ΟΧΙ"/>
    <s v="ΟΧΙ"/>
    <s v="ΟΧΙ"/>
    <s v="ΟΧΙ"/>
    <s v="ΟΧΙ"/>
    <m/>
    <m/>
    <s v="Ιδιωτικά Σχολεία"/>
    <x v="2"/>
    <s v="7461015"/>
    <s v="ΙΔΙΩΤΙΚΟ ΝΗΠΙΑΓΩΓΕΙΟ ΛΑΜΙΑ - ΜΕΛΙΣΣΑΚΙΑ"/>
    <s v="ΦΘΙΩΤΙΔΑΣ (Π.Ε.) 2018"/>
    <x v="49"/>
    <s v="ΠΕΡΙΦΕΡΕΙΑΚΗ Δ/ΝΣΗ Α/ΘΜΙΑΣ ΚΑΙ Β/ΘΜΙΑΣ ΕΚΠ/ΣΗΣ ΣΤΕΡΕΑΣ ΕΛΛΑΔΑΣ"/>
    <s v="Ιδιωτικού Δικαίου Αορίστου Χρόνου (Ι.Δ.Α.Χ.)"/>
    <s v="Τοποθέτηση σε Ιδιωτική Εκπαίδευση"/>
    <d v="1966-10-08T00:00:00"/>
    <x v="1"/>
    <s v="ΔΙΕΥΘΥΝΣΗ Π.Ε. ΦΘΙΩΤΙΔΑΣ"/>
    <n v="52.969444444444441"/>
    <s v="51 - 55"/>
  </r>
  <r>
    <n v="99914251"/>
    <s v="Θ"/>
    <x v="18"/>
    <x v="1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0"/>
    <s v="0560024"/>
    <s v="Εκπαιδευτήρια «ΣΥΓΧΡΟΝΗ ΠΑΙΔΕΙΑ» ΙΔΙΩΤΙΚΟ ΓΥΜΝΑΣΙΟ Αφοι Βαθειά - Κυραϊλίδης Χ. Ο.Ε.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10-01T00:00:00"/>
    <x v="0"/>
    <s v="ΔΙΕΥΘΥΝΣΗ Δ.Ε. Α΄ ΑΘΗΝΑΣ"/>
    <n v="52.988888888888887"/>
    <s v="51 - 55"/>
  </r>
  <r>
    <n v="99914252"/>
    <s v="Θ"/>
    <x v="6"/>
    <x v="6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5"/>
    <s v="ΟΧΙ"/>
    <s v="ΟΧΙ"/>
    <s v="ΟΧΙ"/>
    <s v="ΟΧΙ"/>
    <s v="ΟΧΙ"/>
    <m/>
    <m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30T00:00:00"/>
    <x v="0"/>
    <s v="ΔΙΕΥΘΥΝΣΗ Δ.Ε. Δ΄ ΑΘΗΝΑΣ"/>
    <n v="52.991666666666667"/>
    <s v="51 - 55"/>
  </r>
  <r>
    <n v="99914253"/>
    <s v="Θ"/>
    <x v="0"/>
    <x v="0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7-09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24T00:00:00"/>
    <x v="1"/>
    <s v="ΔΙΕΥΘΥΝΣΗ Π.Ε. ΑΝΑΤΟΛΙΚΗΣ ΑΤΤΙΚΗΣ"/>
    <n v="53.008333333333333"/>
    <s v="51 - 55"/>
  </r>
  <r>
    <n v="99914254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22T00:00:00"/>
    <x v="0"/>
    <s v="ΔΙΕΥΘΥΝΣΗ Δ.Ε. Β΄ ΑΘΗΝΑΣ"/>
    <n v="53.013888888888886"/>
    <s v="51 - 55"/>
  </r>
  <r>
    <n v="99914255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18T00:00:00"/>
    <x v="0"/>
    <s v="ΔΙΕΥΘΥΝΣΗ Δ.Ε. ΑΝΑΤΟΛΙΚΗΣ ΑΤΤΙΚΗΣ"/>
    <n v="53.024999999999999"/>
    <s v="51 - 55"/>
  </r>
  <r>
    <n v="99914256"/>
    <s v="Α"/>
    <x v="39"/>
    <x v="3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9-17T00:00:00"/>
    <x v="0"/>
    <s v="ΔΙΕΥΘΥΝΣΗ Δ.Ε. ΑΝΑΤ. ΘΕΣ/ΝΙΚΗΣ"/>
    <n v="53.027777777777779"/>
    <s v="51 - 55"/>
  </r>
  <r>
    <n v="9991425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14T00:00:00"/>
    <x v="0"/>
    <s v="ΔΙΕΥΘΥΝΣΗ Δ.Ε. Β΄ ΑΘΗΝΑΣ"/>
    <n v="53.036111111111111"/>
    <s v="51 - 55"/>
  </r>
  <r>
    <n v="99914258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9T00:00:00"/>
    <x v="0"/>
    <s v="ΔΙΕΥΘΥΝΣΗ Δ.Ε. Β΄ ΑΘΗΝΑΣ"/>
    <n v="53.05"/>
    <s v="51 - 55"/>
  </r>
  <r>
    <n v="9991425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9T00:00:00"/>
    <x v="0"/>
    <s v="ΔΙΕΥΘΥΝΣΗ Δ.Ε. Β΄ ΑΘΗΝΑΣ"/>
    <n v="53.05"/>
    <s v="51 - 55"/>
  </r>
  <r>
    <n v="99914260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9-08T00:00:00"/>
    <x v="0"/>
    <s v="ΔΙΕΥΘΥΝΣΗ Δ.Ε. Β΄ ΑΘΗΝΑΣ"/>
    <n v="53.052777777777777"/>
    <s v="51 - 55"/>
  </r>
  <r>
    <n v="99914261"/>
    <s v="Θ"/>
    <x v="8"/>
    <x v="8"/>
    <m/>
    <m/>
    <s v="Α΄"/>
    <n v="14"/>
    <s v="Φ.60.2/9503/20-2-2003"/>
    <d v="2002-09-01T00:00:00"/>
    <s v="Α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d v="2002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5T00:00:00"/>
    <x v="1"/>
    <s v="ΔΙΕΥΘΥΝΣΗ Π.Ε. ΑΝΑΤΟΛΙΚΗΣ ΑΤΤΙΚΗΣ"/>
    <n v="53.06111111111111"/>
    <s v="51 - 55"/>
  </r>
  <r>
    <n v="99914262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m/>
    <s v="Ιδιωτικά Σχολεία"/>
    <x v="2"/>
    <s v="7052015"/>
    <s v="ΙΔΙΩΤΙΚΟ ΝΗΠΙΑΓΩΓΕΙΟ ΧΑΛΑΝΔΡΙ - ΑΛΛΗΛΟΒΟΗΘΗΤΙΚΟ ΤΑΜΕΙΟ ΠΕΡΙΘΑΛΨΗΣ ΣΥΛΛΟΓΟΥ ΥΠΑΛΛΗΛΩΝ ΤΡΑΠΕΖΑΣ ΕΛΛΑΔ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5T00:00:00"/>
    <x v="1"/>
    <s v="ΔΙΕΥΘΥΝΣΗ Π.Ε. Β΄ ΑΘΗΝΑΣ"/>
    <n v="53.06111111111111"/>
    <s v="51 - 55"/>
  </r>
  <r>
    <n v="99914263"/>
    <s v="Α"/>
    <x v="20"/>
    <x v="2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3T00:00:00"/>
    <x v="0"/>
    <s v="ΔΙΕΥΘΥΝΣΗ Δ.Ε. ΑΝΑΤΟΛΙΚΗΣ ΑΤΤΙΚΗΣ"/>
    <n v="53.06666666666667"/>
    <s v="51 - 55"/>
  </r>
  <r>
    <n v="99914264"/>
    <s v="Α"/>
    <x v="4"/>
    <x v="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3T00:00:00"/>
    <x v="0"/>
    <s v="ΔΙΕΥΘΥΝΣΗ Δ.Ε. Δ΄ ΑΘΗΝΑΣ"/>
    <n v="53.06666666666667"/>
    <s v="51 - 55"/>
  </r>
  <r>
    <n v="99914265"/>
    <s v="Α"/>
    <x v="39"/>
    <x v="3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9-02T00:00:00"/>
    <x v="0"/>
    <s v="ΔΙΕΥΘΥΝΣΗ Δ.Ε. ΑΝΑΤ. ΘΕΣ/ΝΙΚΗΣ"/>
    <n v="53.069444444444443"/>
    <s v="51 - 55"/>
  </r>
  <r>
    <n v="99914266"/>
    <s v="Α"/>
    <x v="20"/>
    <x v="2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9-01T00:00:00"/>
    <x v="0"/>
    <s v="ΔΙΕΥΘΥΝΣΗ Δ.Ε. Β΄ ΑΘΗΝΑΣ"/>
    <n v="53.072222222222223"/>
    <s v="51 - 55"/>
  </r>
  <r>
    <n v="99914267"/>
    <s v="Α"/>
    <x v="15"/>
    <x v="1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9-01T00:00:00"/>
    <x v="0"/>
    <s v="ΔΙΕΥΘΥΝΣΗ Δ.Ε. ΑΝΑΤ. ΘΕΣ/ΝΙΚΗΣ"/>
    <n v="53.072222222222223"/>
    <s v="51 - 55"/>
  </r>
  <r>
    <n v="99914268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8-28T00:00:00"/>
    <x v="0"/>
    <s v="ΔΙΕΥΘΥΝΣΗ Δ.Ε. Β΄ ΑΘΗΝΑΣ"/>
    <n v="53.083333333333336"/>
    <s v="51 - 55"/>
  </r>
  <r>
    <n v="99914269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8-23T00:00:00"/>
    <x v="0"/>
    <s v="ΔΙΕΥΘΥΝΣΗ Δ.Ε. Δ΄ ΑΘΗΝΑΣ"/>
    <n v="53.097222222222221"/>
    <s v="51 - 55"/>
  </r>
  <r>
    <n v="99914270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8-19T00:00:00"/>
    <x v="0"/>
    <s v="ΔΙΕΥΘΥΝΣΗ Δ.Ε. Β΄ ΑΘΗΝΑΣ"/>
    <n v="53.108333333333334"/>
    <s v="51 - 55"/>
  </r>
  <r>
    <n v="99914271"/>
    <s v="Α"/>
    <x v="1"/>
    <x v="1"/>
    <m/>
    <m/>
    <s v="Α΄"/>
    <n v="14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8-10T00:00:00"/>
    <x v="1"/>
    <s v="ΔΙΕΥΘΥΝΣΗ Π.Ε. ΑΝΑΤΟΛΙΚΗΣ ΑΤΤΙΚΗΣ"/>
    <n v="53.133333333333333"/>
    <s v="51 - 55"/>
  </r>
  <r>
    <n v="99914272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8-08T00:00:00"/>
    <x v="0"/>
    <s v="ΔΙΕΥΘΥΝΣΗ Δ.Ε. Β΄ ΑΘΗΝΑΣ"/>
    <n v="53.138888888888886"/>
    <s v="51 - 55"/>
  </r>
  <r>
    <n v="99914273"/>
    <s v="Θ"/>
    <x v="1"/>
    <x v="1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8-08T00:00:00"/>
    <x v="1"/>
    <s v="ΔΙΕΥΘΥΝΣΗ Π.Ε. ΔΥΤ. ΘΕΣ/ΝΙΚΗΣ"/>
    <n v="53.138888888888886"/>
    <s v="51 - 55"/>
  </r>
  <r>
    <n v="99914274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8-03T00:00:00"/>
    <x v="0"/>
    <s v="ΔΙΕΥΘΥΝΣΗ Δ.Ε. Β΄ ΑΘΗΝΑΣ"/>
    <n v="53.152777777777779"/>
    <s v="51 - 55"/>
  </r>
  <r>
    <n v="99914275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8-01T00:00:00"/>
    <x v="0"/>
    <s v="ΔΙΕΥΘΥΝΣΗ Δ.Ε. ΑΝΑΤΟΛΙΚΗΣ ΑΤΤΙΚΗΣ"/>
    <n v="53.158333333333331"/>
    <s v="51 - 55"/>
  </r>
  <r>
    <n v="99914276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13"/>
    <s v="ΙΔΙΩΤΙΚΟ ΝΗΠΙΑΓΩΓΕΙΟ ΠΥΛΑΙΑΣ - ΑΡΣΑΚΕΙΟ ΝΗΠΙΑΓΩΓΕΙΟ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8-01T00:00:00"/>
    <x v="1"/>
    <s v="ΔΙΕΥΘΥΝΣΗ Π.Ε. ΑΝΑΤ. ΘΕΣ/ΝΙΚΗΣ"/>
    <n v="53.158333333333331"/>
    <s v="51 - 55"/>
  </r>
  <r>
    <n v="99914277"/>
    <s v="Θ"/>
    <x v="6"/>
    <x v="6"/>
    <m/>
    <m/>
    <s v="Α΄"/>
    <n v="12"/>
    <s v="5133/22-11-2007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7-28T00:00:00"/>
    <x v="1"/>
    <s v="ΔΙΕΥΘΥΝΣΗ Π.Ε. ΑΝΑΤΟΛΙΚΗΣ ΑΤΤΙΚΗΣ"/>
    <n v="53.169444444444444"/>
    <s v="51 - 55"/>
  </r>
  <r>
    <n v="99914278"/>
    <s v="Α"/>
    <x v="9"/>
    <x v="9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7-25T00:00:00"/>
    <x v="0"/>
    <s v="ΔΙΕΥΘΥΝΣΗ Δ.Ε. ΑΝΑΤΟΛΙΚΗΣ ΑΤΤΙΚΗΣ"/>
    <n v="53.177777777777777"/>
    <s v="51 - 55"/>
  </r>
  <r>
    <n v="99914279"/>
    <s v="Α"/>
    <x v="11"/>
    <x v="11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7-24T00:00:00"/>
    <x v="0"/>
    <s v="ΔΙΕΥΘΥΝΣΗ Δ.Ε. Β΄ ΑΘΗΝΑΣ"/>
    <n v="53.180555555555557"/>
    <s v="51 - 55"/>
  </r>
  <r>
    <n v="99914280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7-24T00:00:00"/>
    <x v="0"/>
    <s v="ΔΙΕΥΘΥΝΣΗ Δ.Ε. ΑΝΑΤ. ΘΕΣ/ΝΙΚΗΣ"/>
    <n v="53.180555555555557"/>
    <s v="51 - 55"/>
  </r>
  <r>
    <n v="99914281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7-20T00:00:00"/>
    <x v="0"/>
    <s v="ΔΙΕΥΘΥΝΣΗ Δ.Ε. Δ΄ ΑΘΗΝΑΣ"/>
    <n v="53.19166666666667"/>
    <s v="51 - 55"/>
  </r>
  <r>
    <n v="99914282"/>
    <s v="Α"/>
    <x v="40"/>
    <x v="3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7-19T00:00:00"/>
    <x v="0"/>
    <s v="ΔΙΕΥΘΥΝΣΗ Δ.Ε. Β΄ ΑΘΗΝΑΣ"/>
    <n v="53.194444444444443"/>
    <s v="51 - 55"/>
  </r>
  <r>
    <n v="99914283"/>
    <s v="Θ"/>
    <x v="7"/>
    <x v="7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2010"/>
    <s v="ΙΔΙΩΤΙΚΟ ΔΗΜΟΤΙΚΟ ΠΑΛΑΙΟ ΨΥΧΙΚΟ - ΙΔΙΩΤΙΚΟ ΔΗΜΟΤΙΚΟ ΣΧΟΛΕΙΟ ΤΗΣ ΙΣΡΑΗΛΙΤΙΚΗΣ ΚΟΙΝΟΤΗΤΑΣ ΑΘΗ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7-17T00:00:00"/>
    <x v="1"/>
    <s v="ΔΙΕΥΘΥΝΣΗ Π.Ε. Β΄ ΑΘΗΝΑΣ"/>
    <n v="53.2"/>
    <s v="51 - 55"/>
  </r>
  <r>
    <n v="99914284"/>
    <s v="Θ"/>
    <x v="1"/>
    <x v="1"/>
    <m/>
    <m/>
    <s v="Α΄"/>
    <n v="12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7-13T00:00:00"/>
    <x v="1"/>
    <s v="ΔΙΕΥΘΥΝΣΗ Π.Ε. ΑΝΑΤΟΛΙΚΗΣ ΑΤΤΙΚΗΣ"/>
    <n v="53.211111111111109"/>
    <s v="51 - 55"/>
  </r>
  <r>
    <n v="99914285"/>
    <s v="Α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8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6-07-11T00:00:00"/>
    <x v="1"/>
    <s v="ΔΙΕΥΘΥΝΣΗ Π.Ε. ΧΑΝΙΩΝ"/>
    <n v="53.216666666666669"/>
    <s v="51 - 55"/>
  </r>
  <r>
    <n v="99914286"/>
    <s v="Θ"/>
    <x v="9"/>
    <x v="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7-08T00:00:00"/>
    <x v="0"/>
    <s v="ΔΙΕΥΘΥΝΣΗ Δ.Ε. ΠΕΙΡΑΙΑ"/>
    <n v="53.225000000000001"/>
    <s v="51 - 55"/>
  </r>
  <r>
    <n v="99914287"/>
    <s v="Α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7-03T00:00:00"/>
    <x v="0"/>
    <s v="ΔΙΕΥΘΥΝΣΗ Δ.Ε. ΑΝΑΤ. ΘΕΣ/ΝΙΚΗΣ"/>
    <n v="53.238888888888887"/>
    <s v="51 - 55"/>
  </r>
  <r>
    <n v="99914288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7-01T00:00:00"/>
    <x v="0"/>
    <s v="ΔΙΕΥΘΥΝΣΗ Δ.Ε. Β΄ ΑΘΗΝΑΣ"/>
    <n v="53.244444444444447"/>
    <s v="51 - 55"/>
  </r>
  <r>
    <n v="99914289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6-28T00:00:00"/>
    <x v="1"/>
    <s v="ΔΙΕΥΘΥΝΣΗ Π.Ε. ΑΝΑΤΟΛΙΚΗΣ ΑΤΤΙΚΗΣ"/>
    <n v="53.25277777777778"/>
    <s v="51 - 55"/>
  </r>
  <r>
    <n v="99914290"/>
    <s v="Α"/>
    <x v="41"/>
    <x v="4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6-27T00:00:00"/>
    <x v="0"/>
    <s v="ΔΙΕΥΘΥΝΣΗ Δ.Ε. ΑΝΑΤ. ΘΕΣ/ΝΙΚΗΣ"/>
    <n v="53.255555555555553"/>
    <s v="51 - 55"/>
  </r>
  <r>
    <n v="99914291"/>
    <s v="Θ"/>
    <x v="8"/>
    <x v="8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6-26T00:00:00"/>
    <x v="1"/>
    <s v="ΔΙΕΥΘΥΝΣΗ Π.Ε. Β΄ ΑΘΗΝΑΣ"/>
    <n v="53.258333333333333"/>
    <s v="51 - 55"/>
  </r>
  <r>
    <n v="99914292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6-24T00:00:00"/>
    <x v="0"/>
    <s v="ΔΙΕΥΘΥΝΣΗ Δ.Ε. Δ΄ ΑΘΗΝΑΣ"/>
    <n v="53.263888888888886"/>
    <s v="51 - 55"/>
  </r>
  <r>
    <n v="99914293"/>
    <s v="Θ"/>
    <x v="2"/>
    <x v="2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6-22T00:00:00"/>
    <x v="1"/>
    <s v="ΔΙΕΥΘΥΝΣΗ Π.Ε. ΠΕΙΡΑΙΑ"/>
    <n v="53.269444444444446"/>
    <s v="51 - 55"/>
  </r>
  <r>
    <n v="99914294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6-21T00:00:00"/>
    <x v="0"/>
    <s v="ΔΙΕΥΘΥΝΣΗ Δ.Ε. Γ΄ ΑΘΗΝΑΣ"/>
    <n v="53.272222222222226"/>
    <s v="51 - 55"/>
  </r>
  <r>
    <n v="99914295"/>
    <s v="Α"/>
    <x v="8"/>
    <x v="8"/>
    <m/>
    <m/>
    <s v="Α΄"/>
    <n v="8"/>
    <m/>
    <m/>
    <s v="Α΄ ΜΑΓΝΗΣΙΑΣ (Π.Ε.) 2018"/>
    <s v="ΔΙΕΥΘΥΝΣΗ Π.Ε. ΜΑΓΝΗΣΙΑΣ"/>
    <s v="ΠΕΡΙΦΕΡΕΙΑΚΗ Δ/ΝΣΗ Α/ΘΜΙΑΣ ΚΑΙ Β/ΘΜΙΑΣ ΕΚΠ/ΣΗΣ ΘΕΣΣΑΛΙΑΣ"/>
    <n v="22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6-06-14T00:00:00"/>
    <x v="1"/>
    <s v="ΔΙΕΥΘΥΝΣΗ Π.Ε. ΜΑΓΝΗΣΙΑΣ"/>
    <n v="53.291666666666664"/>
    <s v="51 - 55"/>
  </r>
  <r>
    <n v="99914296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0"/>
    <s v="ΟΧΙ"/>
    <s v="ΟΧΙ"/>
    <s v="ΟΧΙ"/>
    <s v="ΟΧΙ"/>
    <s v="ΟΧΙ"/>
    <m/>
    <m/>
    <s v="Ιδιωτικά Σχολεία"/>
    <x v="1"/>
    <s v="7311008"/>
    <s v="ΠΡΩΤΟ ΙΔΙΩΤΙΚΟ ΔΗΜΟΤΙΚΟ ΣΧΟΛΕΙΟ N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6-06-13T00:00:00"/>
    <x v="1"/>
    <s v="ΔΙΕΥΘΥΝΣΗ Π.Ε. ΛΑΡΙΣΑΣ"/>
    <n v="53.294444444444444"/>
    <s v="51 - 55"/>
  </r>
  <r>
    <n v="99914297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6-12T00:00:00"/>
    <x v="0"/>
    <s v="ΔΙΕΥΘΥΝΣΗ Δ.Ε. Β΄ ΑΘΗΝΑΣ"/>
    <n v="53.297222222222224"/>
    <s v="51 - 55"/>
  </r>
  <r>
    <n v="99914298"/>
    <s v="Θ"/>
    <x v="1"/>
    <x v="1"/>
    <m/>
    <m/>
    <s v="Α΄"/>
    <n v="14"/>
    <s v="ΦΕΚ 177/τ.Γ'/17-9-199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6-12T00:00:00"/>
    <x v="1"/>
    <s v="ΔΙΕΥΘΥΝΣΗ Π.Ε. ΑΝΑΤΟΛΙΚΗΣ ΑΤΤΙΚΗΣ"/>
    <n v="53.297222222222224"/>
    <s v="51 - 55"/>
  </r>
  <r>
    <n v="99914299"/>
    <s v="Θ"/>
    <x v="0"/>
    <x v="0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6-06-12T00:00:00"/>
    <x v="0"/>
    <s v="ΔΙΕΥΘΥΝΣΗ Δ.Ε. ΙΩΑΝΝΙΝΩΝ"/>
    <n v="53.297222222222224"/>
    <s v="51 - 55"/>
  </r>
  <r>
    <n v="99914300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6-11T00:00:00"/>
    <x v="0"/>
    <s v="ΔΙΕΥΘΥΝΣΗ Δ.Ε. Β΄ ΑΘΗΝΑΣ"/>
    <n v="53.3"/>
    <s v="51 - 55"/>
  </r>
  <r>
    <n v="99914301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6-10T00:00:00"/>
    <x v="0"/>
    <s v="ΔΙΕΥΘΥΝΣΗ Δ.Ε. Β΄ ΑΘΗΝΑΣ"/>
    <n v="53.302777777777777"/>
    <s v="51 - 55"/>
  </r>
  <r>
    <n v="99914302"/>
    <s v="Θ"/>
    <x v="1"/>
    <x v="1"/>
    <m/>
    <m/>
    <s v="Α΄"/>
    <n v="15"/>
    <s v="ΦΕΚ 89/τ.Γ'/4-6-1993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m/>
    <x v="5"/>
    <s v=""/>
    <m/>
    <m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6-06T00:00:00"/>
    <x v="1"/>
    <s v="ΔΙΕΥΘΥΝΣΗ Π.Ε. ΑΝΑΤΟΛΙΚΗΣ ΑΤΤΙΚΗΣ"/>
    <n v="53.31388888888889"/>
    <s v="51 - 55"/>
  </r>
  <r>
    <n v="99914303"/>
    <s v="Θ"/>
    <x v="1"/>
    <x v="1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4-10-20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6-05T00:00:00"/>
    <x v="1"/>
    <s v="ΔΙΕΥΘΥΝΣΗ Π.Ε. ΑΝΑΤΟΛΙΚΗΣ ΑΤΤΙΚΗΣ"/>
    <n v="53.31666666666667"/>
    <s v="51 - 55"/>
  </r>
  <r>
    <n v="99914304"/>
    <s v="Θ"/>
    <x v="11"/>
    <x v="11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5-31T00:00:00"/>
    <x v="0"/>
    <s v="ΔΙΕΥΘΥΝΣΗ Δ.Ε. Δ΄ ΑΘΗΝΑΣ"/>
    <n v="53.330555555555556"/>
    <s v="51 - 55"/>
  </r>
  <r>
    <n v="99914305"/>
    <s v="Θ"/>
    <x v="1"/>
    <x v="1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5-30T00:00:00"/>
    <x v="1"/>
    <s v="ΔΙΕΥΘΥΝΣΗ Π.Ε. Β΄ ΑΘΗΝΑΣ"/>
    <n v="53.333333333333336"/>
    <s v="51 - 55"/>
  </r>
  <r>
    <n v="99914306"/>
    <s v="Θ"/>
    <x v="6"/>
    <x v="6"/>
    <m/>
    <m/>
    <s v="Γ΄"/>
    <n v="1"/>
    <m/>
    <m/>
    <s v="ΜΕΣΣΗΝΙΑΣ (Π.Ε.) 2018"/>
    <s v="ΔΙΕΥΘΥΝΣΗ Π.Ε. ΜΕΣΣΗΝΙΑΣ"/>
    <s v="ΠΕΡΙΦΕΡΕΙΑΚΗ Δ/ΝΣΗ Α/ΘΜΙΑΣ ΚΑΙ Β/ΘΜΙΑΣ ΕΚΠ/ΣΗΣ ΠΕΛΟΠΟΝΝΗΣΟΥ"/>
    <n v="12"/>
    <s v="ΟΧΙ"/>
    <s v="ΟΧΙ"/>
    <s v="ΟΧΙ"/>
    <s v="ΟΧΙ"/>
    <s v="ΟΧΙ"/>
    <m/>
    <m/>
    <s v="Ιδιωτικά Σχολεία"/>
    <x v="1"/>
    <s v="7361000"/>
    <s v="ΙΔΙΩΤΙΚΟ ΔΗΜΟΤΙΚ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6-05-30T00:00:00"/>
    <x v="1"/>
    <s v="ΔΙΕΥΘΥΝΣΗ Π.Ε. ΜΕΣΣΗΝΙΑΣ"/>
    <n v="53.333333333333336"/>
    <s v="51 - 55"/>
  </r>
  <r>
    <n v="99914307"/>
    <s v="Θ"/>
    <x v="1"/>
    <x v="1"/>
    <m/>
    <m/>
    <s v="Α΄"/>
    <n v="16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5-27T00:00:00"/>
    <x v="1"/>
    <s v="ΔΙΕΥΘΥΝΣΗ Π.Ε. ΑΝΑΤΟΛΙΚΗΣ ΑΤΤΙΚΗΣ"/>
    <n v="53.341666666666669"/>
    <s v="51 - 55"/>
  </r>
  <r>
    <n v="99914308"/>
    <s v="Α"/>
    <x v="1"/>
    <x v="1"/>
    <m/>
    <m/>
    <s v="Α΄"/>
    <n v="14"/>
    <s v="27/302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1"/>
    <s v="7192002"/>
    <s v="ΙΔΙΩΤΙΚΟ ΔΗΜΟΤΙΚΟ ΠΕΥΚΑ ΘΕΣΣΑΛΟΝΙΚΗΣ - ΕΚΠΑΙΔΕΥΤΗΡΙΑ ΦΡΥΓΑΝΙΩΤ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5-26T00:00:00"/>
    <x v="1"/>
    <s v="ΔΙΕΥΘΥΝΣΗ Π.Ε. ΔΥΤ. ΘΕΣ/ΝΙΚΗΣ"/>
    <n v="53.344444444444441"/>
    <s v="51 - 55"/>
  </r>
  <r>
    <n v="99914309"/>
    <s v="Α"/>
    <x v="19"/>
    <x v="19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6-05-24T00:00:00"/>
    <x v="0"/>
    <s v="ΔΙΕΥΘΥΝΣΗ Δ.Ε. ΔΩΔΕΚΑΝΗΣΟΥ"/>
    <n v="53.35"/>
    <s v="51 - 55"/>
  </r>
  <r>
    <n v="99914310"/>
    <s v="Θ"/>
    <x v="5"/>
    <x v="5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s v="ΟΧΙ"/>
    <s v="ΟΧΙ"/>
    <s v="ΟΧΙ"/>
    <m/>
    <s v="ΟΧΙ"/>
    <m/>
    <m/>
    <s v="Ιδιωτικά Σχολεία"/>
    <x v="0"/>
    <s v="3681015"/>
    <s v="ΙΔΙΩΤΙΚΟ ΓΥΜΝΑΣΙΟ ΚΑΛΑΜΑΤΑ - ΕΚΠΑΙΔΕΥΤΗΡΙΑ ΜΠΟΥΓΑ"/>
    <s v="ΜΕΣΣΗΝΙΑΣ (Δ.Ε.) 2018"/>
    <x v="4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6-05-22T00:00:00"/>
    <x v="0"/>
    <s v="ΔΙΕΥΘΥΝΣΗ Δ.Ε. ΜΕΣΣΗΝΙΑΣ"/>
    <n v="53.355555555555554"/>
    <s v="51 - 55"/>
  </r>
  <r>
    <n v="99914311"/>
    <s v="Θ"/>
    <x v="1"/>
    <x v="1"/>
    <m/>
    <m/>
    <s v="Α΄"/>
    <n v="14"/>
    <m/>
    <m/>
    <s v="Δ΄ ΑΘΗΝΑΣ (Π.Ε.) 2018"/>
    <s v="ΔΙΕΥΘΥΝΣΗ Π.Ε. Δ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4042"/>
    <s v="ΙΔΙΩΤΙΚΟ ΔΗΜΟΤΙΚΟ ΔΕΛΑΣΑΛ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5-20T00:00:00"/>
    <x v="1"/>
    <s v="ΔΙΕΥΘΥΝΣΗ Π.Ε. Δ΄ ΑΘΗΝΑΣ"/>
    <n v="53.361111111111114"/>
    <s v="51 - 55"/>
  </r>
  <r>
    <n v="99914312"/>
    <s v="Α"/>
    <x v="9"/>
    <x v="9"/>
    <m/>
    <m/>
    <s v="Α΄"/>
    <n v="8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5-14T00:00:00"/>
    <x v="0"/>
    <s v="ΔΙΕΥΘΥΝΣΗ Δ.Ε. Δ΄ ΑΘΗΝΑΣ"/>
    <n v="53.37777777777778"/>
    <s v="51 - 55"/>
  </r>
  <r>
    <n v="99914313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5-13T00:00:00"/>
    <x v="0"/>
    <s v="ΔΙΕΥΘΥΝΣΗ Δ.Ε. Β΄ ΑΘΗΝΑΣ"/>
    <n v="53.380555555555553"/>
    <s v="51 - 55"/>
  </r>
  <r>
    <n v="99914314"/>
    <s v="Θ"/>
    <x v="0"/>
    <x v="0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5-11T00:00:00"/>
    <x v="0"/>
    <s v="ΔΙΕΥΘΥΝΣΗ Δ.Ε. Δ΄ ΑΘΗΝΑΣ"/>
    <n v="53.386111111111113"/>
    <s v="51 - 55"/>
  </r>
  <r>
    <n v="99914315"/>
    <s v="Θ"/>
    <x v="1"/>
    <x v="1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11-02T00:00:00"/>
    <s v="Ιδιωτικά Σχολεία"/>
    <x v="1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5-11T00:00:00"/>
    <x v="1"/>
    <s v="ΔΙΕΥΘΥΝΣΗ Π.Ε. ΑΝΑΤ. ΘΕΣ/ΝΙΚΗΣ"/>
    <n v="53.386111111111113"/>
    <s v="51 - 55"/>
  </r>
  <r>
    <n v="99914316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5-08T00:00:00"/>
    <x v="1"/>
    <s v="ΔΙΕΥΘΥΝΣΗ Π.Ε. Β΄ ΑΘΗΝΑΣ"/>
    <n v="53.394444444444446"/>
    <s v="51 - 55"/>
  </r>
  <r>
    <n v="99914317"/>
    <s v="Α"/>
    <x v="1"/>
    <x v="1"/>
    <m/>
    <m/>
    <s v="Γ΄"/>
    <n v="1"/>
    <n v="7768"/>
    <d v="2018-10-10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10-10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Αναπληρωτής Ιδιωτικής Εκπαίδευσης (ν. 682/1977 άρ.35, παρ.4)"/>
    <s v="Τοποθέτηση σε Ιδιωτική Εκπαίδευση"/>
    <d v="1966-05-02T00:00:00"/>
    <x v="1"/>
    <s v="ΔΙΕΥΘΥΝΣΗ Π.Ε. ΛΑΡΙΣΑΣ"/>
    <n v="53.411111111111111"/>
    <s v="51 - 55"/>
  </r>
  <r>
    <n v="99914318"/>
    <s v="Θ"/>
    <x v="0"/>
    <x v="0"/>
    <m/>
    <m/>
    <s v="Α΄"/>
    <n v="1"/>
    <s v="7243/23-09-2010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9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4-28T00:00:00"/>
    <x v="0"/>
    <s v="ΔΙΕΥΘΥΝΣΗ Δ.Ε. ΔΥΤ. ΘΕΣ/ΝΙΚΗΣ"/>
    <n v="53.422222222222224"/>
    <s v="51 - 55"/>
  </r>
  <r>
    <n v="99914319"/>
    <s v="Α"/>
    <x v="22"/>
    <x v="22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4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6-04-23T00:00:00"/>
    <x v="0"/>
    <s v="ΔΙΕΥΘΥΝΣΗ Δ.Ε. ΑΡΓΟΛΙΔΑΣ"/>
    <n v="53.43611111111111"/>
    <s v="51 - 55"/>
  </r>
  <r>
    <n v="99914320"/>
    <s v="Α"/>
    <x v="19"/>
    <x v="19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s v="ΟΧΙ"/>
    <s v="ΟΧΙ"/>
    <s v="ΟΧΙ"/>
    <s v="ΟΧΙ"/>
    <s v="ΟΧΙ"/>
    <m/>
    <m/>
    <s v="Ιδιωτικά Σχολεία"/>
    <x v="0"/>
    <s v="1981911"/>
    <s v="ΑΜΕΡΙΚΑΝΙΚΟ ΚΟΛΛΕΓΙΟ &quot;ΑΝΑΤΟΛΙΑ&quot;  1ο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4-22T00:00:00"/>
    <x v="0"/>
    <s v="ΔΙΕΥΘΥΝΣΗ Δ.Ε. ΑΝΑΤ. ΘΕΣ/ΝΙΚΗΣ"/>
    <n v="53.43888888888889"/>
    <s v="51 - 55"/>
  </r>
  <r>
    <n v="99914321"/>
    <s v="Θ"/>
    <x v="0"/>
    <x v="0"/>
    <m/>
    <m/>
    <s v="Γ΄"/>
    <n v="1"/>
    <s v="16653/1"/>
    <d v="2018-09-01T00:00:00"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s v="ΟΧΙ"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4-21T00:00:00"/>
    <x v="0"/>
    <s v="ΔΙΕΥΘΥΝΣΗ Δ.Ε. Γ΄ ΑΘΗΝΑΣ"/>
    <n v="53.44166666666667"/>
    <s v="51 - 55"/>
  </r>
  <r>
    <n v="99914322"/>
    <s v="Θ"/>
    <x v="5"/>
    <x v="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0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6-04-21T00:00:00"/>
    <x v="0"/>
    <s v="ΔΙΕΥΘΥΝΣΗ Δ.Ε. ΔΩΔΕΚΑΝΗΣΟΥ"/>
    <n v="53.44166666666667"/>
    <s v="51 - 55"/>
  </r>
  <r>
    <n v="9991432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4-19T00:00:00"/>
    <x v="0"/>
    <s v="ΔΙΕΥΘΥΝΣΗ Δ.Ε. Β΄ ΑΘΗΝΑΣ"/>
    <n v="53.447222222222223"/>
    <s v="51 - 55"/>
  </r>
  <r>
    <n v="99914324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4-18T00:00:00"/>
    <x v="0"/>
    <s v="ΔΙΕΥΘΥΝΣΗ Δ.Ε. ΑΝΑΤΟΛΙΚΗΣ ΑΤΤΙΚΗΣ"/>
    <n v="53.45"/>
    <s v="51 - 55"/>
  </r>
  <r>
    <n v="99914325"/>
    <s v="Θ"/>
    <x v="2"/>
    <x v="2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m/>
    <s v="ΟΧΙ"/>
    <m/>
    <s v="ΟΧΙ"/>
    <m/>
    <m/>
    <s v="Ιδιωτικά Σχολεία"/>
    <x v="1"/>
    <s v="7521000"/>
    <s v="ΙΔΙΩΤΙΚΟ ΔΗΜΟΤΙΚΟ ΒΑΡΥΜΠΟΜΠΗ - ΜΟΝΤΕΣΣΟΡΙΑΝΑ ΣΧΟΛΕΙΑ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4-16T00:00:00"/>
    <x v="1"/>
    <s v="ΔΙΕΥΘΥΝΣΗ Π.Ε. ΑΝΑΤΟΛΙΚΗΣ ΑΤΤΙΚΗΣ"/>
    <n v="53.455555555555556"/>
    <s v="51 - 55"/>
  </r>
  <r>
    <n v="99914326"/>
    <s v="Α"/>
    <x v="18"/>
    <x v="18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2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6-04-16T00:00:00"/>
    <x v="1"/>
    <s v="ΔΙΕΥΘΥΝΣΗ Π.Ε. ΗΡΑΚΛΕΙΟΥ"/>
    <n v="53.455555555555556"/>
    <s v="51 - 55"/>
  </r>
  <r>
    <n v="99914327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4-11T00:00:00"/>
    <x v="0"/>
    <s v="ΔΙΕΥΘΥΝΣΗ Δ.Ε. Β΄ ΑΘΗΝΑΣ"/>
    <n v="53.469444444444441"/>
    <s v="51 - 55"/>
  </r>
  <r>
    <n v="99914328"/>
    <s v="Θ"/>
    <x v="0"/>
    <x v="0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4-04T00:00:00"/>
    <x v="1"/>
    <s v="ΔΙΕΥΘΥΝΣΗ Π.Ε. Β΄ ΑΘΗΝΑΣ"/>
    <n v="53.488888888888887"/>
    <s v="51 - 55"/>
  </r>
  <r>
    <n v="99914329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6-04-03T00:00:00"/>
    <x v="1"/>
    <s v="ΔΙΕΥΘΥΝΣΗ Π.Ε. ΗΡΑΚΛΕΙΟΥ"/>
    <n v="53.491666666666667"/>
    <s v="51 - 55"/>
  </r>
  <r>
    <n v="99914330"/>
    <s v="Θ"/>
    <x v="20"/>
    <x v="2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3-31T00:00:00"/>
    <x v="0"/>
    <s v="ΔΙΕΥΘΥΝΣΗ Δ.Ε. ΑΝΑΤΟΛΙΚΗΣ ΑΤΤΙΚΗΣ"/>
    <n v="53.5"/>
    <s v="51 - 55"/>
  </r>
  <r>
    <n v="99914331"/>
    <s v="Α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6-03-31T00:00:00"/>
    <x v="0"/>
    <s v="ΔΙΕΥΘΥΝΣΗ Δ.Ε. ΑΝΑΤ. ΘΕΣ/ΝΙΚΗΣ"/>
    <n v="53.5"/>
    <s v="51 - 55"/>
  </r>
  <r>
    <n v="99914332"/>
    <s v="Θ"/>
    <x v="10"/>
    <x v="1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3-20T00:00:00"/>
    <x v="0"/>
    <s v="ΔΙΕΥΘΥΝΣΗ Δ.Ε. Γ΄ ΑΘΗΝΑΣ"/>
    <n v="53.530555555555559"/>
    <s v="51 - 55"/>
  </r>
  <r>
    <n v="99914333"/>
    <s v="Θ"/>
    <x v="0"/>
    <x v="0"/>
    <m/>
    <m/>
    <s v="Α΄"/>
    <n v="11"/>
    <n v="189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1"/>
    <s v="7192002"/>
    <s v="ΙΔΙΩΤΙΚΟ ΔΗΜΟΤΙΚΟ ΠΕΥΚΑ ΘΕΣΣΑΛΟΝΙΚΗΣ - ΕΚΠΑΙΔΕΥΤΗΡΙΑ ΦΡΥΓΑΝΙΩΤΗ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3-18T00:00:00"/>
    <x v="1"/>
    <s v="ΔΙΕΥΘΥΝΣΗ Π.Ε. ΔΥΤ. ΘΕΣ/ΝΙΚΗΣ"/>
    <n v="53.536111111111111"/>
    <s v="51 - 55"/>
  </r>
  <r>
    <n v="99914334"/>
    <s v="Θ"/>
    <x v="14"/>
    <x v="14"/>
    <s v="ΠΕ04.01"/>
    <s v="ΦΥΣΙΚ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3-15T00:00:00"/>
    <x v="0"/>
    <s v="ΔΙΕΥΘΥΝΣΗ Δ.Ε. ΑΝΑΤΟΛΙΚΗΣ ΑΤΤΙΚΗΣ"/>
    <n v="53.544444444444444"/>
    <s v="51 - 55"/>
  </r>
  <r>
    <n v="99914335"/>
    <s v="Θ"/>
    <x v="5"/>
    <x v="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m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6-03-13T00:00:00"/>
    <x v="0"/>
    <s v="ΔΙΕΥΘΥΝΣΗ Δ.Ε. ΔΩΔΕΚΑΝΗΣΟΥ"/>
    <n v="53.55"/>
    <s v="51 - 55"/>
  </r>
  <r>
    <n v="99914336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3-09T00:00:00"/>
    <x v="0"/>
    <s v="ΔΙΕΥΘΥΝΣΗ Δ.Ε. Β΄ ΑΘΗΝΑΣ"/>
    <n v="53.56111111111111"/>
    <s v="51 - 55"/>
  </r>
  <r>
    <n v="99914337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3-08T00:00:00"/>
    <x v="0"/>
    <s v="ΔΙΕΥΘΥΝΣΗ Δ.Ε. Β΄ ΑΘΗΝΑΣ"/>
    <n v="53.56388888888889"/>
    <s v="51 - 55"/>
  </r>
  <r>
    <n v="99914338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3-05T00:00:00"/>
    <x v="1"/>
    <s v="ΔΙΕΥΘΥΝΣΗ Π.Ε. Β΄ ΑΘΗΝΑΣ"/>
    <n v="53.572222222222223"/>
    <s v="51 - 55"/>
  </r>
  <r>
    <n v="99914339"/>
    <s v="Α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3-04T00:00:00"/>
    <x v="0"/>
    <s v="ΔΙΕΥΘΥΝΣΗ Δ.Ε. Γ΄ ΑΘΗΝΑΣ"/>
    <n v="53.575000000000003"/>
    <s v="51 - 55"/>
  </r>
  <r>
    <n v="99914340"/>
    <s v="Θ"/>
    <x v="8"/>
    <x v="8"/>
    <m/>
    <m/>
    <s v="Α΄"/>
    <n v="1"/>
    <m/>
    <d v="1990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1990-09-01T00:00:00"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3-04T00:00:00"/>
    <x v="0"/>
    <s v="ΔΙΕΥΘΥΝΣΗ Δ.Ε. ΑΝΑΤ. ΘΕΣ/ΝΙΚΗΣ"/>
    <n v="53.575000000000003"/>
    <s v="51 - 55"/>
  </r>
  <r>
    <n v="9991434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3-03T00:00:00"/>
    <x v="1"/>
    <s v="ΔΙΕΥΘΥΝΣΗ Π.Ε. Β΄ ΑΘΗΝΑΣ"/>
    <n v="53.577777777777776"/>
    <s v="51 - 55"/>
  </r>
  <r>
    <n v="99914342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28T00:00:00"/>
    <x v="0"/>
    <s v="ΔΙΕΥΘΥΝΣΗ Δ.Ε. Β΄ ΑΘΗΝΑΣ"/>
    <n v="53.586111111111109"/>
    <s v="51 - 55"/>
  </r>
  <r>
    <n v="99914343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27T00:00:00"/>
    <x v="0"/>
    <s v="ΔΙΕΥΘΥΝΣΗ Δ.Ε. Β΄ ΑΘΗΝΑΣ"/>
    <n v="53.588888888888889"/>
    <s v="51 - 55"/>
  </r>
  <r>
    <n v="99914344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2-26T00:00:00"/>
    <x v="0"/>
    <s v="ΔΙΕΥΘΥΝΣΗ Δ.Ε. ΑΝΑΤΟΛΙΚΗΣ ΑΤΤΙΚΗΣ"/>
    <n v="53.591666666666669"/>
    <s v="51 - 55"/>
  </r>
  <r>
    <n v="99914345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24T00:00:00"/>
    <x v="0"/>
    <s v="ΔΙΕΥΘΥΝΣΗ Δ.Ε. Β΄ ΑΘΗΝΑΣ"/>
    <n v="53.597222222222221"/>
    <s v="51 - 55"/>
  </r>
  <r>
    <n v="99914346"/>
    <s v="Θ"/>
    <x v="1"/>
    <x v="1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2-20T00:00:00"/>
    <x v="1"/>
    <s v="ΔΙΕΥΘΥΝΣΗ Π.Ε. Β΄ ΑΘΗΝΑΣ"/>
    <n v="53.608333333333334"/>
    <s v="51 - 55"/>
  </r>
  <r>
    <n v="99914347"/>
    <s v="Θ"/>
    <x v="5"/>
    <x v="5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2009-09-10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17T00:00:00"/>
    <x v="0"/>
    <s v="ΔΙΕΥΘΥΝΣΗ Δ.Ε. Α΄ ΑΘΗΝΑΣ"/>
    <n v="53.616666666666667"/>
    <s v="51 - 55"/>
  </r>
  <r>
    <n v="99914348"/>
    <s v="Θ"/>
    <x v="3"/>
    <x v="3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11T00:00:00"/>
    <x v="0"/>
    <s v="ΔΙΕΥΘΥΝΣΗ Δ.Ε. Δ΄ ΑΘΗΝΑΣ"/>
    <n v="53.633333333333333"/>
    <s v="51 - 55"/>
  </r>
  <r>
    <n v="99914349"/>
    <s v="Θ"/>
    <x v="14"/>
    <x v="1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09T00:00:00"/>
    <x v="0"/>
    <s v="ΔΙΕΥΘΥΝΣΗ Δ.Ε. Δ΄ ΑΘΗΝΑΣ"/>
    <n v="53.638888888888886"/>
    <s v="51 - 55"/>
  </r>
  <r>
    <n v="99914350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07T00:00:00"/>
    <x v="0"/>
    <s v="ΔΙΕΥΘΥΝΣΗ Δ.Ε. Β΄ ΑΘΗΝΑΣ"/>
    <n v="53.644444444444446"/>
    <s v="51 - 55"/>
  </r>
  <r>
    <n v="99914351"/>
    <s v="Θ"/>
    <x v="6"/>
    <x v="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03T00:00:00"/>
    <x v="0"/>
    <s v="ΔΙΕΥΘΥΝΣΗ Δ.Ε. Β΄ ΑΘΗΝΑΣ"/>
    <n v="53.655555555555559"/>
    <s v="51 - 55"/>
  </r>
  <r>
    <n v="99914352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7"/>
    <s v="ΟΧΙ"/>
    <m/>
    <m/>
    <m/>
    <s v="ΟΧΙ"/>
    <m/>
    <d v="2018-09-01T00:00:00"/>
    <s v="Ιδιωτικά Σχολεία"/>
    <x v="3"/>
    <s v="0590907"/>
    <s v="ΕΛΛΗΝΟΓΑΛΛΙΚΗ ΣΧΟΛΗ ΟΥΡΣΟΥΛΙΝΩΝ - ΙΔΙΩΤΙΚΟ ΓΕΝΙΚΟ ΛΥΚΕ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03T00:00:00"/>
    <x v="0"/>
    <s v="ΔΙΕΥΘΥΝΣΗ Δ.Ε. Β΄ ΑΘΗΝΑΣ"/>
    <n v="53.655555555555559"/>
    <s v="51 - 55"/>
  </r>
  <r>
    <n v="99914353"/>
    <s v="Θ"/>
    <x v="24"/>
    <x v="2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2-02T00:00:00"/>
    <x v="0"/>
    <s v="ΔΙΕΥΘΥΝΣΗ Δ.Ε. ΠΕΙΡΑΙΑ"/>
    <n v="53.658333333333331"/>
    <s v="51 - 55"/>
  </r>
  <r>
    <n v="99914354"/>
    <s v="Α"/>
    <x v="9"/>
    <x v="9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6-02-01T00:00:00"/>
    <x v="0"/>
    <s v="ΔΙΕΥΘΥΝΣΗ Δ.Ε. ΑΝΑΤ. ΘΕΣ/ΝΙΚΗΣ"/>
    <n v="53.661111111111111"/>
    <s v="51 - 55"/>
  </r>
  <r>
    <n v="99914355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30T00:00:00"/>
    <x v="0"/>
    <s v="ΔΙΕΥΘΥΝΣΗ Δ.Ε. Β΄ ΑΘΗΝΑΣ"/>
    <n v="53.666666666666664"/>
    <s v="51 - 55"/>
  </r>
  <r>
    <n v="99914356"/>
    <s v="Θ"/>
    <x v="18"/>
    <x v="18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6"/>
    <s v="ΟΧΙ"/>
    <s v="ΟΧΙ"/>
    <s v="ΟΧΙ"/>
    <m/>
    <s v="ΟΧΙ"/>
    <m/>
    <m/>
    <s v="Ιδιωτικά Σχολεία"/>
    <x v="0"/>
    <s v="0180017"/>
    <s v="ΙΔΙΩΤΙΚΟ ΓΥΜΝΑΣΙΟ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6-01-28T00:00:00"/>
    <x v="0"/>
    <s v="ΔΙΕΥΘΥΝΣΗ Δ.Ε. ΑΙΤΩΛΟΑΚΑΡΝΑΝΙΑΣ"/>
    <n v="53.672222222222224"/>
    <s v="51 - 55"/>
  </r>
  <r>
    <n v="99914357"/>
    <s v="Θ"/>
    <x v="9"/>
    <x v="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1-27T00:00:00"/>
    <x v="0"/>
    <s v="ΔΙΕΥΘΥΝΣΗ Δ.Ε. ΑΝΑΤΟΛΙΚΗΣ ΑΤΤΙΚΗΣ"/>
    <n v="53.674999999999997"/>
    <s v="51 - 55"/>
  </r>
  <r>
    <n v="99914358"/>
    <s v="Θ"/>
    <x v="2"/>
    <x v="2"/>
    <s v="ΠΕ01"/>
    <s v="ΘΕΟΛΟΓΟΙ"/>
    <s v="Γ΄"/>
    <n v="1"/>
    <n v="16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1-27T00:00:00"/>
    <x v="1"/>
    <s v="ΔΙΕΥΘΥΝΣΗ Π.Ε. ΑΝΑΤ. ΘΕΣ/ΝΙΚΗΣ"/>
    <n v="53.674999999999997"/>
    <s v="51 - 55"/>
  </r>
  <r>
    <n v="99914359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24T00:00:00"/>
    <x v="0"/>
    <s v="ΔΙΕΥΘΥΝΣΗ Δ.Ε. Β΄ ΑΘΗΝΑΣ"/>
    <n v="53.68333333333333"/>
    <s v="51 - 55"/>
  </r>
  <r>
    <n v="99914360"/>
    <s v="Θ"/>
    <x v="1"/>
    <x v="1"/>
    <m/>
    <m/>
    <s v="Α΄"/>
    <n v="13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1-23T00:00:00"/>
    <x v="1"/>
    <s v="ΔΙΕΥΘΥΝΣΗ Π.Ε. ΔΥΤ. ΘΕΣ/ΝΙΚΗΣ"/>
    <n v="53.68611111111111"/>
    <s v="51 - 55"/>
  </r>
  <r>
    <n v="99914361"/>
    <s v="Α"/>
    <x v="19"/>
    <x v="19"/>
    <m/>
    <m/>
    <s v="Γ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1-22T00:00:00"/>
    <x v="0"/>
    <s v="ΔΙΕΥΘΥΝΣΗ Δ.Ε. ΑΝΑΤ. ΘΕΣ/ΝΙΚΗΣ"/>
    <n v="53.68888888888889"/>
    <s v="51 - 55"/>
  </r>
  <r>
    <n v="99914362"/>
    <s v="Θ"/>
    <x v="3"/>
    <x v="3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1-22T00:00:00"/>
    <x v="0"/>
    <s v="ΔΙΕΥΘΥΝΣΗ Δ.Ε. ΑΝΑΤ. ΘΕΣ/ΝΙΚΗΣ"/>
    <n v="53.68888888888889"/>
    <s v="51 - 55"/>
  </r>
  <r>
    <n v="99914363"/>
    <s v="Θ"/>
    <x v="15"/>
    <x v="15"/>
    <m/>
    <m/>
    <s v="Γ΄"/>
    <n v="1"/>
    <s v="ΦΔ18/2/7018/19.09.2017"/>
    <d v="2018-10-09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s v="ΟΧΙ"/>
    <s v="ΟΧΙ"/>
    <s v="ΟΧΙ"/>
    <s v="ΟΧΙ"/>
    <s v="ΟΧΙ"/>
    <m/>
    <d v="2018-10-09T00:00:00"/>
    <s v="Ιδιωτικά Σχολεία"/>
    <x v="3"/>
    <s v="0161002"/>
    <s v="ΙΔΙΩΤΙΚΟ ΓΕΛ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66-01-20T00:00:00"/>
    <x v="0"/>
    <s v="ΔΙΕΥΘΥΝΣΗ Δ.Ε. ΑΙΤΩΛΟΑΚΑΡΝΑΝΙΑΣ"/>
    <n v="53.694444444444443"/>
    <s v="51 - 55"/>
  </r>
  <r>
    <n v="99914364"/>
    <s v="Α"/>
    <x v="20"/>
    <x v="20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6-01-19T00:00:00"/>
    <x v="0"/>
    <s v="ΔΙΕΥΘΥΝΣΗ Δ.Ε. ΑΧΑΪΑΣ"/>
    <n v="53.697222222222223"/>
    <s v="51 - 55"/>
  </r>
  <r>
    <n v="99914365"/>
    <s v="Α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11T00:00:00"/>
    <x v="0"/>
    <s v="ΔΙΕΥΘΥΝΣΗ Δ.Ε. Β΄ ΑΘΗΝΑΣ"/>
    <n v="53.719444444444441"/>
    <s v="51 - 55"/>
  </r>
  <r>
    <n v="99914366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1-09T00:00:00"/>
    <x v="0"/>
    <s v="ΔΙΕΥΘΥΝΣΗ Δ.Ε. Β΄ ΑΘΗΝΑΣ"/>
    <n v="53.725000000000001"/>
    <s v="51 - 55"/>
  </r>
  <r>
    <n v="99914367"/>
    <s v="Θ"/>
    <x v="1"/>
    <x v="1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1-08T00:00:00"/>
    <x v="1"/>
    <s v="ΔΙΕΥΘΥΝΣΗ Π.Ε. Β΄ ΑΘΗΝΑΣ"/>
    <n v="53.727777777777774"/>
    <s v="51 - 55"/>
  </r>
  <r>
    <n v="99914368"/>
    <s v="Α"/>
    <x v="14"/>
    <x v="14"/>
    <m/>
    <m/>
    <s v="Γ΄"/>
    <n v="12"/>
    <m/>
    <m/>
    <s v="Δ΄ ΑΘΗΝΑΣ (Δ.Ε.) 2018"/>
    <s v="ΔΙΕΥΘΥΝΣΗ Δ.Ε. Δ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7T00:00:00"/>
    <x v="0"/>
    <s v="ΔΙΕΥΘΥΝΣΗ Δ.Ε. Δ΄ ΑΘΗΝΑΣ"/>
    <n v="53.730555555555554"/>
    <s v="51 - 55"/>
  </r>
  <r>
    <n v="99914369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5T00:00:00"/>
    <x v="0"/>
    <s v="ΔΙΕΥΘΥΝΣΗ Δ.Ε. Γ΄ ΑΘΗΝΑΣ"/>
    <n v="53.736111111111114"/>
    <s v="51 - 55"/>
  </r>
  <r>
    <n v="99914370"/>
    <s v="Θ"/>
    <x v="20"/>
    <x v="20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1-03T00:00:00"/>
    <x v="0"/>
    <s v="ΔΙΕΥΘΥΝΣΗ Δ.Ε. ΑΝΑΤ. ΘΕΣ/ΝΙΚΗΣ"/>
    <n v="53.741666666666667"/>
    <s v="51 - 55"/>
  </r>
  <r>
    <n v="99914371"/>
    <s v="Θ"/>
    <x v="10"/>
    <x v="1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6-01-01T00:00:00"/>
    <x v="0"/>
    <s v="ΔΙΕΥΘΥΝΣΗ Δ.Ε. Β΄ ΑΘΗΝΑΣ"/>
    <n v="53.74722222222222"/>
    <s v="51 - 55"/>
  </r>
  <r>
    <n v="99914372"/>
    <s v="Θ"/>
    <x v="18"/>
    <x v="1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1T00:00:00"/>
    <x v="0"/>
    <s v="ΔΙΕΥΘΥΝΣΗ Δ.Ε. Β΄ ΑΘΗΝΑΣ"/>
    <n v="53.74722222222222"/>
    <s v="51 - 55"/>
  </r>
  <r>
    <n v="99914373"/>
    <s v="Α"/>
    <x v="5"/>
    <x v="5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1T00:00:00"/>
    <x v="0"/>
    <s v="ΔΙΕΥΘΥΝΣΗ Δ.Ε. Δ΄ ΑΘΗΝΑΣ"/>
    <n v="53.74722222222222"/>
    <s v="51 - 55"/>
  </r>
  <r>
    <n v="99914374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1-01T00:00:00"/>
    <x v="1"/>
    <s v="ΔΙΕΥΘΥΝΣΗ Π.Ε. Α΄ ΑΘΗΝΑΣ"/>
    <n v="53.74722222222222"/>
    <s v="51 - 55"/>
  </r>
  <r>
    <n v="99914375"/>
    <s v="Θ"/>
    <x v="2"/>
    <x v="2"/>
    <m/>
    <m/>
    <s v="Α΄"/>
    <n v="1"/>
    <n v="176"/>
    <d v="1999-08-31T00:00:00"/>
    <s v="Α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1999-08-31T00:00:00"/>
    <s v="Ιδιωτικά Σχολεία"/>
    <x v="2"/>
    <s v="7521049"/>
    <s v="ΔΙΑΔΡΑΣΤΙΚΟ ΕΥΡΩΠΑΪΚΟ ΣΧΟΛΕΙΟ - ΚΩΝΣΤΑΝΤΑΡΑ ΜΠΗΛΙΩ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1T00:00:00"/>
    <x v="1"/>
    <s v="ΔΙΕΥΘΥΝΣΗ Π.Ε. ΑΝΑΤΟΛΙΚΗΣ ΑΤΤΙΚΗΣ"/>
    <n v="53.74722222222222"/>
    <s v="51 - 55"/>
  </r>
  <r>
    <n v="99914376"/>
    <s v="Θ"/>
    <x v="1"/>
    <x v="1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8-09-17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6-01-01T00:00:00"/>
    <x v="1"/>
    <s v="ΔΙΕΥΘΥΝΣΗ Π.Ε. ΑΝΑΤΟΛΙΚΗΣ ΑΤΤΙΚΗΣ"/>
    <n v="53.74722222222222"/>
    <s v="51 - 55"/>
  </r>
  <r>
    <n v="99914377"/>
    <s v="Θ"/>
    <x v="2"/>
    <x v="2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1T00:00:00"/>
    <x v="1"/>
    <s v="ΔΙΕΥΘΥΝΣΗ Π.Ε. Β΄ ΑΘΗΝΑΣ"/>
    <n v="53.74722222222222"/>
    <s v="51 - 55"/>
  </r>
  <r>
    <n v="99914378"/>
    <s v="Θ"/>
    <x v="8"/>
    <x v="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6-01-01T00:00:00"/>
    <x v="1"/>
    <s v="ΔΙΕΥΘΥΝΣΗ Π.Ε. Δ΄ ΑΘΗΝΑΣ"/>
    <n v="53.74722222222222"/>
    <s v="51 - 55"/>
  </r>
  <r>
    <n v="99914379"/>
    <s v="Θ"/>
    <x v="2"/>
    <x v="2"/>
    <m/>
    <m/>
    <s v="Γ΄"/>
    <n v="1"/>
    <n v="9623"/>
    <d v="2018-09-01T00:00:00"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s v="ΟΧΙ"/>
    <s v="ΟΧΙ"/>
    <m/>
    <d v="2018-09-01T00:00:00"/>
    <s v="Ιδιωτικά Σχολεία"/>
    <x v="2"/>
    <s v="7311029"/>
    <s v="ΙΔΙΩΤΙΚΟ ΝΗΠΙΑΓΩΓΕΙΟ ΛΑΡΙΣΑ - ΒΑΪΟΠΟΥΛΟΥ-ΤΣΙΡΑΚΟΠΟΥΛ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6-01-01T00:00:00"/>
    <x v="1"/>
    <s v="ΔΙΕΥΘΥΝΣΗ Π.Ε. ΛΑΡΙΣΑΣ"/>
    <n v="53.74722222222222"/>
    <s v="51 - 55"/>
  </r>
  <r>
    <n v="99914380"/>
    <s v="Α"/>
    <x v="3"/>
    <x v="3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6-01-01T00:00:00"/>
    <x v="0"/>
    <s v="ΔΙΕΥΘΥΝΣΗ Δ.Ε. ΔΥΤ. ΘΕΣ/ΝΙΚΗΣ"/>
    <n v="53.74722222222222"/>
    <s v="51 - 55"/>
  </r>
  <r>
    <n v="99914381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2-25T00:00:00"/>
    <x v="0"/>
    <s v="ΔΙΕΥΘΥΝΣΗ Δ.Ε. Δ΄ ΑΘΗΝΑΣ"/>
    <n v="53.766666666666666"/>
    <s v="51 - 55"/>
  </r>
  <r>
    <n v="99914382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2-16T00:00:00"/>
    <x v="0"/>
    <s v="ΔΙΕΥΘΥΝΣΗ Δ.Ε. ΑΝΑΤΟΛΙΚΗΣ ΑΤΤΙΚΗΣ"/>
    <n v="53.791666666666664"/>
    <s v="51 - 55"/>
  </r>
  <r>
    <n v="99914383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2-09T00:00:00"/>
    <x v="0"/>
    <s v="ΔΙΕΥΘΥΝΣΗ Δ.Ε. ΑΝΑΤΟΛΙΚΗΣ ΑΤΤΙΚΗΣ"/>
    <n v="53.81111111111111"/>
    <s v="51 - 55"/>
  </r>
  <r>
    <n v="99914384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2-01T00:00:00"/>
    <x v="0"/>
    <s v="ΔΙΕΥΘΥΝΣΗ Δ.Ε. Β΄ ΑΘΗΝΑΣ"/>
    <n v="53.833333333333336"/>
    <s v="51 - 55"/>
  </r>
  <r>
    <n v="99914385"/>
    <s v="Θ"/>
    <x v="15"/>
    <x v="15"/>
    <s v="ΠΕ01"/>
    <s v="ΘΕΟΛΟΓΟΙ"/>
    <s v="Α΄"/>
    <n v="15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1-30T00:00:00"/>
    <x v="0"/>
    <s v="ΔΙΕΥΘΥΝΣΗ Δ.Ε. Δ΄ ΑΘΗΝΑΣ"/>
    <n v="53.836111111111109"/>
    <s v="51 - 55"/>
  </r>
  <r>
    <n v="99914386"/>
    <s v="Θ"/>
    <x v="1"/>
    <x v="1"/>
    <m/>
    <m/>
    <s v="Α΄"/>
    <n v="6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1-27T00:00:00"/>
    <x v="1"/>
    <s v="ΔΙΕΥΘΥΝΣΗ Π.Ε. Δ΄ ΑΘΗΝΑΣ"/>
    <n v="53.844444444444441"/>
    <s v="51 - 55"/>
  </r>
  <r>
    <n v="99914387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1-22T00:00:00"/>
    <x v="0"/>
    <s v="ΔΙΕΥΘΥΝΣΗ Δ.Ε. Β΄ ΑΘΗΝΑΣ"/>
    <n v="53.858333333333334"/>
    <s v="51 - 55"/>
  </r>
  <r>
    <n v="99914388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1-20T00:00:00"/>
    <x v="0"/>
    <s v="ΔΙΕΥΘΥΝΣΗ Δ.Ε. Δ΄ ΑΘΗΝΑΣ"/>
    <n v="53.863888888888887"/>
    <s v="51 - 55"/>
  </r>
  <r>
    <n v="9991438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1-19T00:00:00"/>
    <x v="0"/>
    <s v="ΔΙΕΥΘΥΝΣΗ Δ.Ε. Β΄ ΑΘΗΝΑΣ"/>
    <n v="53.866666666666667"/>
    <s v="51 - 55"/>
  </r>
  <r>
    <n v="99914390"/>
    <s v="Θ"/>
    <x v="9"/>
    <x v="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1-17T00:00:00"/>
    <x v="0"/>
    <s v="ΔΙΕΥΘΥΝΣΗ Δ.Ε. ΑΝΑΤΟΛΙΚΗΣ ΑΤΤΙΚΗΣ"/>
    <n v="53.87222222222222"/>
    <s v="51 - 55"/>
  </r>
  <r>
    <n v="99914391"/>
    <s v="Α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1-09T00:00:00"/>
    <x v="0"/>
    <s v="ΔΙΕΥΘΥΝΣΗ Δ.Ε. Β΄ ΑΘΗΝΑΣ"/>
    <n v="53.894444444444446"/>
    <s v="51 - 55"/>
  </r>
  <r>
    <n v="99914392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1-08T00:00:00"/>
    <x v="0"/>
    <s v="ΔΙΕΥΘΥΝΣΗ Δ.Ε. Β΄ ΑΘΗΝΑΣ"/>
    <n v="53.897222222222226"/>
    <s v="51 - 55"/>
  </r>
  <r>
    <n v="99914393"/>
    <s v="Θ"/>
    <x v="1"/>
    <x v="1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0-26T00:00:00"/>
    <x v="1"/>
    <s v="ΔΙΕΥΘΥΝΣΗ Π.Ε. Β΄ ΑΘΗΝΑΣ"/>
    <n v="53.93333333333333"/>
    <s v="51 - 55"/>
  </r>
  <r>
    <n v="99914394"/>
    <s v="Θ"/>
    <x v="1"/>
    <x v="1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26T00:00:00"/>
    <x v="1"/>
    <s v="ΔΙΕΥΘΥΝΣΗ Π.Ε. Β΄ ΑΘΗΝΑΣ"/>
    <n v="53.93333333333333"/>
    <s v="51 - 55"/>
  </r>
  <r>
    <n v="99914395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0-22T00:00:00"/>
    <x v="0"/>
    <s v="ΔΙΕΥΘΥΝΣΗ Δ.Ε. ΑΝΑΤΟΛΙΚΗΣ ΑΤΤΙΚΗΣ"/>
    <n v="53.944444444444443"/>
    <s v="51 - 55"/>
  </r>
  <r>
    <n v="99914396"/>
    <s v="Θ"/>
    <x v="1"/>
    <x v="1"/>
    <m/>
    <m/>
    <s v="Α΄"/>
    <n v="15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0-12-3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0-22T00:00:00"/>
    <x v="1"/>
    <s v="ΔΙΕΥΘΥΝΣΗ Π.Ε. ΑΝΑΤΟΛΙΚΗΣ ΑΤΤΙΚΗΣ"/>
    <n v="53.944444444444443"/>
    <s v="51 - 55"/>
  </r>
  <r>
    <n v="99914397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0-17T00:00:00"/>
    <x v="0"/>
    <s v="ΔΙΕΥΘΥΝΣΗ Δ.Ε. Β΄ ΑΘΗΝΑΣ"/>
    <n v="53.958333333333336"/>
    <s v="51 - 55"/>
  </r>
  <r>
    <n v="9991439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0-17T00:00:00"/>
    <x v="0"/>
    <s v="ΔΙΕΥΘΥΝΣΗ Δ.Ε. Β΄ ΑΘΗΝΑΣ"/>
    <n v="53.958333333333336"/>
    <s v="51 - 55"/>
  </r>
  <r>
    <n v="99914399"/>
    <s v="Α"/>
    <x v="31"/>
    <x v="30"/>
    <m/>
    <m/>
    <s v="Α΄"/>
    <n v="7"/>
    <s v="6008/17-12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s v="ΟΧΙ"/>
    <s v="ΟΧΙ"/>
    <m/>
    <d v="2009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16T00:00:00"/>
    <x v="1"/>
    <s v="ΔΙΕΥΘΥΝΣΗ Π.Ε. ΑΝΑΤΟΛΙΚΗΣ ΑΤΤΙΚΗΣ"/>
    <n v="53.961111111111109"/>
    <s v="51 - 55"/>
  </r>
  <r>
    <n v="99914400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11T00:00:00"/>
    <x v="0"/>
    <s v="ΔΙΕΥΘΥΝΣΗ Δ.Ε. ΑΝΑΤΟΛΙΚΗΣ ΑΤΤΙΚΗΣ"/>
    <n v="53.975000000000001"/>
    <s v="51 - 55"/>
  </r>
  <r>
    <n v="99914401"/>
    <s v="Θ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10-11T00:00:00"/>
    <x v="0"/>
    <s v="ΔΙΕΥΘΥΝΣΗ Δ.Ε. Β΄ ΑΘΗΝΑΣ"/>
    <n v="53.975000000000001"/>
    <s v="51 - 55"/>
  </r>
  <r>
    <n v="99914402"/>
    <s v="Α"/>
    <x v="15"/>
    <x v="1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09T00:00:00"/>
    <x v="0"/>
    <s v="ΔΙΕΥΘΥΝΣΗ Δ.Ε. ΑΝΑΤΟΛΙΚΗΣ ΑΤΤΙΚΗΣ"/>
    <n v="53.980555555555554"/>
    <s v="51 - 55"/>
  </r>
  <r>
    <n v="99914403"/>
    <s v="Θ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06T00:00:00"/>
    <x v="0"/>
    <s v="ΔΙΕΥΘΥΝΣΗ Δ.Ε. Α΄ ΑΘΗΝΑΣ"/>
    <n v="53.988888888888887"/>
    <s v="51 - 55"/>
  </r>
  <r>
    <n v="99914404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05T00:00:00"/>
    <x v="0"/>
    <s v="ΔΙΕΥΘΥΝΣΗ Δ.Ε. Δ΄ ΑΘΗΝΑΣ"/>
    <n v="53.991666666666667"/>
    <s v="51 - 55"/>
  </r>
  <r>
    <n v="99914405"/>
    <s v="Θ"/>
    <x v="2"/>
    <x v="2"/>
    <m/>
    <m/>
    <s v="Γ΄"/>
    <n v="1"/>
    <n v="9956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d v="2018-09-01T00:00:00"/>
    <s v="Ιδιωτικά Σχολεία"/>
    <x v="2"/>
    <s v="7192041"/>
    <s v="ΣΥΣΤΕΓΑΖΟΜΕΝΟ ΝΗΠΙΑΓΩΓΕΙΟ - NEVERLAND - Η ΧΩΡΑ ΤΟΥ ΠΟΤ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10-05T00:00:00"/>
    <x v="1"/>
    <s v="ΔΙΕΥΘΥΝΣΗ Π.Ε. ΔΥΤ. ΘΕΣ/ΝΙΚΗΣ"/>
    <n v="53.991666666666667"/>
    <s v="51 - 55"/>
  </r>
  <r>
    <n v="99914406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04T00:00:00"/>
    <x v="0"/>
    <s v="ΔΙΕΥΘΥΝΣΗ Δ.Ε. Β΄ ΑΘΗΝΑΣ"/>
    <n v="53.994444444444447"/>
    <s v="51 - 55"/>
  </r>
  <r>
    <n v="99914407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10-04T00:00:00"/>
    <x v="0"/>
    <s v="ΔΙΕΥΘΥΝΣΗ Δ.Ε. Β΄ ΑΘΗΝΑΣ"/>
    <n v="53.994444444444447"/>
    <s v="51 - 55"/>
  </r>
  <r>
    <n v="99914408"/>
    <s v="Α"/>
    <x v="20"/>
    <x v="2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9-30T00:00:00"/>
    <x v="0"/>
    <s v="ΔΙΕΥΘΥΝΣΗ Δ.Ε. ΠΕΙΡΑΙΑ"/>
    <n v="54.005555555555553"/>
    <s v="51 - 55"/>
  </r>
  <r>
    <n v="99914409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9-27T00:00:00"/>
    <x v="0"/>
    <s v="ΔΙΕΥΘΥΝΣΗ Δ.Ε. Β΄ ΑΘΗΝΑΣ"/>
    <n v="54.013888888888886"/>
    <s v="51 - 55"/>
  </r>
  <r>
    <n v="99914410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5-09-21T00:00:00"/>
    <x v="1"/>
    <s v="ΔΙΕΥΘΥΝΣΗ Π.Ε. ΑΧΑΪΑΣ"/>
    <n v="54.030555555555559"/>
    <s v="51 - 55"/>
  </r>
  <r>
    <n v="99914411"/>
    <s v="Θ"/>
    <x v="1"/>
    <x v="1"/>
    <m/>
    <m/>
    <s v="Α΄"/>
    <n v="19"/>
    <n v="213"/>
    <d v="1990-12-3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0-12-3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9-18T00:00:00"/>
    <x v="1"/>
    <s v="ΔΙΕΥΘΥΝΣΗ Π.Ε. ΑΝΑΤΟΛΙΚΗΣ ΑΤΤΙΚΗΣ"/>
    <n v="54.038888888888891"/>
    <s v="51 - 55"/>
  </r>
  <r>
    <n v="99914412"/>
    <s v="Α"/>
    <x v="24"/>
    <x v="2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9-16T00:00:00"/>
    <x v="0"/>
    <s v="ΔΙΕΥΘΥΝΣΗ Δ.Ε. Β΄ ΑΘΗΝΑΣ"/>
    <n v="54.044444444444444"/>
    <s v="51 - 55"/>
  </r>
  <r>
    <n v="99914413"/>
    <s v="Α"/>
    <x v="10"/>
    <x v="1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9-16T00:00:00"/>
    <x v="0"/>
    <s v="ΔΙΕΥΘΥΝΣΗ Δ.Ε. Γ΄ ΑΘΗΝΑΣ"/>
    <n v="54.044444444444444"/>
    <s v="51 - 55"/>
  </r>
  <r>
    <n v="99914414"/>
    <s v="Θ"/>
    <x v="2"/>
    <x v="2"/>
    <m/>
    <m/>
    <s v="Γ΄"/>
    <n v="1"/>
    <s v="Φ.17.2/359/9718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2079"/>
    <s v="ΙΔΙΩΤΙΚΟ ΝΗΠΙΑΓΩΓΕΙΟ ΝΕΟ ΗΡΑΚΛΕΙΟ - ΒΕΝΕΤΣΑΝΟΥ ΙΩΑΝΝ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9-09T00:00:00"/>
    <x v="1"/>
    <s v="ΔΙΕΥΘΥΝΣΗ Π.Ε. Β΄ ΑΘΗΝΑΣ"/>
    <n v="54.06388888888889"/>
    <s v="51 - 55"/>
  </r>
  <r>
    <n v="99914415"/>
    <s v="Θ"/>
    <x v="8"/>
    <x v="8"/>
    <m/>
    <m/>
    <s v="Α΄"/>
    <n v="5"/>
    <s v="Φ.15.Α.4/4125/22-10-2007"/>
    <d v="2007-09-01T00:00:00"/>
    <s v="Α΄ ΑΝΑΤ. ΑΤΤΙΚΗΣ (Π.Ε.) 2018"/>
    <s v="ΔΙΕΥΘΥΝΣΗ Π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d v="2007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9-08T00:00:00"/>
    <x v="1"/>
    <s v="ΔΙΕΥΘΥΝΣΗ Π.Ε. ΑΝΑΤΟΛΙΚΗΣ ΑΤΤΙΚΗΣ"/>
    <n v="54.06666666666667"/>
    <s v="51 - 55"/>
  </r>
  <r>
    <n v="99914416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9-06T00:00:00"/>
    <x v="0"/>
    <s v="ΔΙΕΥΘΥΝΣΗ Δ.Ε. Β΄ ΑΘΗΝΑΣ"/>
    <n v="54.072222222222223"/>
    <s v="51 - 55"/>
  </r>
  <r>
    <n v="99914417"/>
    <s v="Θ"/>
    <x v="0"/>
    <x v="0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9-04T00:00:00"/>
    <x v="0"/>
    <s v="ΔΙΕΥΘΥΝΣΗ Δ.Ε. ΑΝΑΤ. ΘΕΣ/ΝΙΚΗΣ"/>
    <n v="54.077777777777776"/>
    <s v="51 - 55"/>
  </r>
  <r>
    <n v="99914418"/>
    <s v="Θ"/>
    <x v="9"/>
    <x v="9"/>
    <m/>
    <m/>
    <s v="Γ΄"/>
    <n v="1"/>
    <n v="21562"/>
    <d v="2018-09-01T00:00:00"/>
    <s v="Β΄ ΑΘΗΝΑΣ (Δ.Ε.) 2018"/>
    <s v="ΔΙΕΥΘΥΝΣΗ Δ.Ε. Β΄ ΑΘΗΝΑΣ"/>
    <s v="ΠΕΡΙΦΕΡΕΙΑΚΗ Δ/ΝΣΗ Α/ΘΜΙΑΣ ΚΑΙ Β/ΘΜΙΑΣ ΕΚΠ/ΣΗΣ ΑΤΤΙΚΗΣ"/>
    <n v="12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5-08-30T00:00:00"/>
    <x v="0"/>
    <s v="ΔΙΕΥΘΥΝΣΗ Δ.Ε. Β΄ ΑΘΗΝΑΣ"/>
    <n v="54.091666666666669"/>
    <s v="51 - 55"/>
  </r>
  <r>
    <n v="99914419"/>
    <s v="Α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8-27T00:00:00"/>
    <x v="0"/>
    <s v="ΔΙΕΥΘΥΝΣΗ Δ.Ε. ΑΝΑΤ. ΘΕΣ/ΝΙΚΗΣ"/>
    <n v="54.1"/>
    <s v="51 - 55"/>
  </r>
  <r>
    <n v="99914420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8-22T00:00:00"/>
    <x v="0"/>
    <s v="ΔΙΕΥΘΥΝΣΗ Δ.Ε. Β΄ ΑΘΗΝΑΣ"/>
    <n v="54.113888888888887"/>
    <s v="51 - 55"/>
  </r>
  <r>
    <n v="99914421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8-21T00:00:00"/>
    <x v="0"/>
    <s v="ΔΙΕΥΘΥΝΣΗ Δ.Ε. Δ΄ ΑΘΗΝΑΣ"/>
    <n v="54.116666666666667"/>
    <s v="51 - 55"/>
  </r>
  <r>
    <n v="99914422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8-15T00:00:00"/>
    <x v="0"/>
    <s v="ΔΙΕΥΘΥΝΣΗ Δ.Ε. ΑΝΑΤΟΛΙΚΗΣ ΑΤΤΙΚΗΣ"/>
    <n v="54.133333333333333"/>
    <s v="51 - 55"/>
  </r>
  <r>
    <n v="99914423"/>
    <s v="Θ"/>
    <x v="9"/>
    <x v="9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8-12T00:00:00"/>
    <x v="0"/>
    <s v="ΔΙΕΥΘΥΝΣΗ Δ.Ε. Γ΄ ΑΘΗΝΑΣ"/>
    <n v="54.141666666666666"/>
    <s v="51 - 55"/>
  </r>
  <r>
    <n v="99914424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8-08T00:00:00"/>
    <x v="0"/>
    <s v="ΔΙΕΥΘΥΝΣΗ Δ.Ε. Γ΄ ΑΘΗΝΑΣ"/>
    <n v="54.152777777777779"/>
    <s v="51 - 55"/>
  </r>
  <r>
    <n v="99914425"/>
    <s v="Α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m/>
    <s v="ΟΧΙ"/>
    <m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8-08T00:00:00"/>
    <x v="1"/>
    <s v="ΔΙΕΥΘΥΝΣΗ Π.Ε. Β΄ ΑΘΗΝΑΣ"/>
    <n v="54.152777777777779"/>
    <s v="51 - 55"/>
  </r>
  <r>
    <n v="99914426"/>
    <s v="Θ"/>
    <x v="1"/>
    <x v="1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1"/>
    <s v="ΟΧΙ"/>
    <s v="ΟΧΙ"/>
    <s v="ΟΧΙ"/>
    <m/>
    <s v="ΟΧΙ"/>
    <m/>
    <m/>
    <s v="Ιδιωτικά Σχολεία"/>
    <x v="1"/>
    <s v="7011000"/>
    <s v="ΙΔΙΩΤΙΚΟ ΔΗΜΟΤΙΚΟ ΣΧΟΛΕΙΟ &quot;ΠΑΝΑΓΙΑ ΠΡΟΥΣΙΩΤΙΣΣΑ&quot;"/>
    <s v="ΑΙΤΩΛΟΑΚΑΡΝΑΝΙΑΣ (Π.Ε.) 2018"/>
    <x v="28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5-08-07T00:00:00"/>
    <x v="1"/>
    <s v="ΔΙΕΥΘΥΝΣΗ Π.Ε. ΑΙΤΩΛΟΑΚΑΡΝΑΝΙΑΣ"/>
    <n v="54.155555555555559"/>
    <s v="51 - 55"/>
  </r>
  <r>
    <n v="99914427"/>
    <s v="Α"/>
    <x v="1"/>
    <x v="1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8-03T00:00:00"/>
    <x v="1"/>
    <s v="ΔΙΕΥΘΥΝΣΗ Π.Ε. Β΄ ΑΘΗΝΑΣ"/>
    <n v="54.166666666666664"/>
    <s v="51 - 55"/>
  </r>
  <r>
    <n v="99914428"/>
    <s v="Θ"/>
    <x v="0"/>
    <x v="0"/>
    <m/>
    <m/>
    <s v="Γ΄"/>
    <n v="1"/>
    <s v="16255/ 29/9/2017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18-09-01T00:00:00"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8-01T00:00:00"/>
    <x v="0"/>
    <s v="ΔΙΕΥΘΥΝΣΗ Δ.Ε. ΑΝΑΤΟΛΙΚΗΣ ΑΤΤΙΚΗΣ"/>
    <n v="54.172222222222224"/>
    <s v="51 - 55"/>
  </r>
  <r>
    <n v="99914429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30T00:00:00"/>
    <x v="1"/>
    <s v="ΔΙΕΥΘΥΝΣΗ Π.Ε. Β΄ ΑΘΗΝΑΣ"/>
    <n v="54.177777777777777"/>
    <s v="51 - 55"/>
  </r>
  <r>
    <n v="99914430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7-27T00:00:00"/>
    <x v="0"/>
    <s v="ΔΙΕΥΘΥΝΣΗ Δ.Ε. Β΄ ΑΘΗΝΑΣ"/>
    <n v="54.18611111111111"/>
    <s v="51 - 55"/>
  </r>
  <r>
    <n v="9991443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26T00:00:00"/>
    <x v="0"/>
    <s v="ΔΙΕΥΘΥΝΣΗ Δ.Ε. Β΄ ΑΘΗΝΑΣ"/>
    <n v="54.18888888888889"/>
    <s v="51 - 55"/>
  </r>
  <r>
    <n v="99914432"/>
    <s v="Α"/>
    <x v="3"/>
    <x v="3"/>
    <m/>
    <m/>
    <s v="Α΄"/>
    <n v="4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25T00:00:00"/>
    <x v="0"/>
    <s v="ΔΙΕΥΘΥΝΣΗ Δ.Ε. Α΄ ΑΘΗΝΑΣ"/>
    <n v="54.19166666666667"/>
    <s v="51 - 55"/>
  </r>
  <r>
    <n v="99914433"/>
    <s v="Α"/>
    <x v="5"/>
    <x v="5"/>
    <m/>
    <m/>
    <s v="Γ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7-24T00:00:00"/>
    <x v="0"/>
    <s v="ΔΙΕΥΘΥΝΣΗ Δ.Ε. ΑΝΑΤ. ΘΕΣ/ΝΙΚΗΣ"/>
    <n v="54.194444444444443"/>
    <s v="51 - 55"/>
  </r>
  <r>
    <n v="99914434"/>
    <s v="Θ"/>
    <x v="10"/>
    <x v="1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19T00:00:00"/>
    <x v="0"/>
    <s v="ΔΙΕΥΘΥΝΣΗ Δ.Ε. ΑΝΑΤΟΛΙΚΗΣ ΑΤΤΙΚΗΣ"/>
    <n v="54.208333333333336"/>
    <s v="51 - 55"/>
  </r>
  <r>
    <n v="99914435"/>
    <s v="Α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16T00:00:00"/>
    <x v="0"/>
    <s v="ΔΙΕΥΘΥΝΣΗ Δ.Ε. Β΄ ΑΘΗΝΑΣ"/>
    <n v="54.216666666666669"/>
    <s v="51 - 55"/>
  </r>
  <r>
    <n v="99914436"/>
    <s v="Θ"/>
    <x v="9"/>
    <x v="9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7-15T00:00:00"/>
    <x v="0"/>
    <s v="ΔΙΕΥΘΥΝΣΗ Δ.Ε. ΑΝΑΤ. ΘΕΣ/ΝΙΚΗΣ"/>
    <n v="54.219444444444441"/>
    <s v="51 - 55"/>
  </r>
  <r>
    <n v="99914437"/>
    <s v="Α"/>
    <x v="1"/>
    <x v="1"/>
    <m/>
    <m/>
    <s v="Α΄"/>
    <n v="14"/>
    <s v="Φ.Ι.Α.6/25574/8-2-2017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16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13T00:00:00"/>
    <x v="1"/>
    <s v="ΔΙΕΥΘΥΝΣΗ Π.Ε. ΑΝΑΤΟΛΙΚΗΣ ΑΤΤΙΚΗΣ"/>
    <n v="54.225000000000001"/>
    <s v="51 - 55"/>
  </r>
  <r>
    <n v="99914438"/>
    <s v="Α"/>
    <x v="18"/>
    <x v="1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10T00:00:00"/>
    <x v="0"/>
    <s v="ΔΙΕΥΘΥΝΣΗ Δ.Ε. Δ΄ ΑΘΗΝΑΣ"/>
    <n v="54.233333333333334"/>
    <s v="51 - 55"/>
  </r>
  <r>
    <n v="99914439"/>
    <s v="Θ"/>
    <x v="6"/>
    <x v="6"/>
    <m/>
    <m/>
    <s v="Γ΄"/>
    <n v="1"/>
    <s v="11513/22-11-2016"/>
    <d v="2018-09-01T00:00:00"/>
    <s v="ΛΑΡΙΣΑΣ (Δ.Ε.) 2018"/>
    <s v="ΔΙΕΥΘΥΝΣΗ Δ.Ε. ΛΑΡΙΣΑΣ"/>
    <s v="ΠΕΡΙΦΕΡΕΙΑΚΗ Δ/ΝΣΗ Α/ΘΜΙΑΣ ΚΑΙ Β/ΘΜΙΑΣ ΕΚΠ/ΣΗΣ ΘΕΣΣΑΛΙΑΣ"/>
    <n v="10"/>
    <s v="ΟΧΙ"/>
    <s v="ΟΧΙ"/>
    <s v="ΟΧΙ"/>
    <s v="ΟΧΙ"/>
    <s v="ΟΧΙ"/>
    <m/>
    <d v="2018-09-01T00:00:00"/>
    <s v="Ιδιωτικά Σχολεία"/>
    <x v="0"/>
    <s v="3160002"/>
    <s v="ΙΔΙΩΤΙΚΟ ΓΥΜΝΑΣΙΟ -ΣΧΟΛΗ ΚΑΡΑΒΑΝΑ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5-07-10T00:00:00"/>
    <x v="0"/>
    <s v="ΔΙΕΥΘΥΝΣΗ Δ.Ε. ΛΑΡΙΣΑΣ"/>
    <n v="54.233333333333334"/>
    <s v="51 - 55"/>
  </r>
  <r>
    <n v="99914440"/>
    <s v="Θ"/>
    <x v="2"/>
    <x v="2"/>
    <m/>
    <m/>
    <s v="Α΄"/>
    <n v="1"/>
    <m/>
    <m/>
    <s v="ΠΙΕΡΙΑΣ (Π.Ε.) 2018"/>
    <s v="ΔΙΕΥΘΥΝΣΗ Π.Ε. ΠΙΕΡΙΑ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391005"/>
    <s v="ΖΙΩΓΑΝΑ ΕΥΛΑΜΠΙΑ ΟΥΡΑΝΙΟ ΤΟΞΟ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7-10T00:00:00"/>
    <x v="1"/>
    <s v="ΔΙΕΥΘΥΝΣΗ Π.Ε. ΠΙΕΡΙΑΣ"/>
    <n v="54.233333333333334"/>
    <s v="51 - 55"/>
  </r>
  <r>
    <n v="99914441"/>
    <s v="Θ"/>
    <x v="42"/>
    <x v="4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7-09T00:00:00"/>
    <x v="0"/>
    <s v="ΔΙΕΥΘΥΝΣΗ Δ.Ε. Β΄ ΑΘΗΝΑΣ"/>
    <n v="54.236111111111114"/>
    <s v="51 - 55"/>
  </r>
  <r>
    <n v="99914442"/>
    <s v="Θ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04T00:00:00"/>
    <x v="0"/>
    <s v="ΔΙΕΥΘΥΝΣΗ Δ.Ε. ΑΝΑΤΟΛΙΚΗΣ ΑΤΤΙΚΗΣ"/>
    <n v="54.25"/>
    <s v="51 - 55"/>
  </r>
  <r>
    <n v="99914443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7-04T00:00:00"/>
    <x v="0"/>
    <s v="ΔΙΕΥΘΥΝΣΗ Δ.Ε. ΠΕΙΡΑΙΑ"/>
    <n v="54.25"/>
    <s v="51 - 55"/>
  </r>
  <r>
    <n v="99914444"/>
    <s v="Θ"/>
    <x v="0"/>
    <x v="0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91915"/>
    <s v="ΙΔΙΩΤΙΚΟ ΗΜΕΡΗΣΙΟ ΓΥΜΝΑΣΙΟ ΦΡΥΓΑΝΙΩΤΗ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7-04T00:00:00"/>
    <x v="0"/>
    <s v="ΔΙΕΥΘΥΝΣΗ Δ.Ε. ΔΥΤ. ΘΕΣ/ΝΙΚΗΣ"/>
    <n v="54.25"/>
    <s v="51 - 55"/>
  </r>
  <r>
    <n v="99914445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1"/>
    <s v="ΙΔΙΩΤΙΚΟ ΝΗΠΙΑΓΩΓΕΙΟ ΧΑΝΙΩΝ - ΙΔΙΩΤΙΚΟ ΝΗΠΙΑΓΩΓ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5-06-30T00:00:00"/>
    <x v="1"/>
    <s v="ΔΙΕΥΘΥΝΣΗ Π.Ε. ΧΑΝΙΩΝ"/>
    <n v="54.261111111111113"/>
    <s v="51 - 55"/>
  </r>
  <r>
    <n v="99914446"/>
    <s v="Θ"/>
    <x v="3"/>
    <x v="3"/>
    <m/>
    <m/>
    <s v="Α΄"/>
    <n v="13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89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29T00:00:00"/>
    <x v="0"/>
    <s v="ΔΙΕΥΘΥΝΣΗ Δ.Ε. Α΄ ΑΘΗΝΑΣ"/>
    <n v="54.263888888888886"/>
    <s v="51 - 55"/>
  </r>
  <r>
    <n v="99914447"/>
    <s v="Θ"/>
    <x v="3"/>
    <x v="3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6-28T00:00:00"/>
    <x v="0"/>
    <s v="ΔΙΕΥΘΥΝΣΗ Δ.Ε. ΑΝΑΤ. ΘΕΣ/ΝΙΚΗΣ"/>
    <n v="54.266666666666666"/>
    <s v="51 - 55"/>
  </r>
  <r>
    <n v="99914448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27T00:00:00"/>
    <x v="0"/>
    <s v="ΔΙΕΥΘΥΝΣΗ Δ.Ε. Δ΄ ΑΘΗΝΑΣ"/>
    <n v="54.269444444444446"/>
    <s v="51 - 55"/>
  </r>
  <r>
    <n v="99914449"/>
    <s v="Θ"/>
    <x v="5"/>
    <x v="5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26T00:00:00"/>
    <x v="0"/>
    <s v="ΔΙΕΥΘΥΝΣΗ Δ.Ε. Δ΄ ΑΘΗΝΑΣ"/>
    <n v="54.272222222222226"/>
    <s v="51 - 55"/>
  </r>
  <r>
    <n v="99914450"/>
    <s v="Α"/>
    <x v="8"/>
    <x v="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6"/>
    <s v="ΟΧΙ"/>
    <m/>
    <s v="ΟΧΙ"/>
    <m/>
    <s v="ΟΧΙ"/>
    <m/>
    <m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24T00:00:00"/>
    <x v="1"/>
    <s v="ΔΙΕΥΘΥΝΣΗ Π.Ε. Δ΄ ΑΘΗΝΑΣ"/>
    <n v="54.277777777777779"/>
    <s v="51 - 55"/>
  </r>
  <r>
    <n v="99914451"/>
    <s v="Α"/>
    <x v="20"/>
    <x v="20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5-06-23T00:00:00"/>
    <x v="0"/>
    <s v="ΔΙΕΥΘΥΝΣΗ Δ.Ε. ΛΑΡΙΣΑΣ"/>
    <n v="54.280555555555559"/>
    <s v="51 - 55"/>
  </r>
  <r>
    <n v="99914452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22T00:00:00"/>
    <x v="0"/>
    <s v="ΔΙΕΥΘΥΝΣΗ Δ.Ε. ΑΝΑΤΟΛΙΚΗΣ ΑΤΤΙΚΗΣ"/>
    <n v="54.283333333333331"/>
    <s v="51 - 55"/>
  </r>
  <r>
    <n v="99914453"/>
    <s v="Θ"/>
    <x v="3"/>
    <x v="3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5-06-22T00:00:00"/>
    <x v="0"/>
    <s v="ΔΙΕΥΘΥΝΣΗ Δ.Ε. ΑΝΑΤ. ΘΕΣ/ΝΙΚΗΣ"/>
    <n v="54.283333333333331"/>
    <s v="51 - 55"/>
  </r>
  <r>
    <n v="99914454"/>
    <s v="Θ"/>
    <x v="1"/>
    <x v="1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6-18T00:00:00"/>
    <x v="1"/>
    <s v="ΔΙΕΥΘΥΝΣΗ Π.Ε. Β΄ ΑΘΗΝΑΣ"/>
    <n v="54.294444444444444"/>
    <s v="51 - 55"/>
  </r>
  <r>
    <n v="99914455"/>
    <s v="Θ"/>
    <x v="20"/>
    <x v="2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6-16T00:00:00"/>
    <x v="0"/>
    <s v="ΔΙΕΥΘΥΝΣΗ Δ.Ε. ΑΝΑΤΟΛΙΚΗΣ ΑΤΤΙΚΗΣ"/>
    <n v="54.3"/>
    <s v="51 - 55"/>
  </r>
  <r>
    <n v="99914456"/>
    <s v="Θ"/>
    <x v="0"/>
    <x v="0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11T00:00:00"/>
    <x v="1"/>
    <s v="ΔΙΕΥΘΥΝΣΗ Π.Ε. Β΄ ΑΘΗΝΑΣ"/>
    <n v="54.31388888888889"/>
    <s v="51 - 55"/>
  </r>
  <r>
    <n v="99914457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09T00:00:00"/>
    <x v="0"/>
    <s v="ΔΙΕΥΘΥΝΣΗ Δ.Ε. Δ΄ ΑΘΗΝΑΣ"/>
    <n v="54.319444444444443"/>
    <s v="51 - 55"/>
  </r>
  <r>
    <n v="99914458"/>
    <s v="Θ"/>
    <x v="0"/>
    <x v="0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6-09T00:00:00"/>
    <x v="0"/>
    <s v="ΔΙΕΥΘΥΝΣΗ Δ.Ε. ΑΝΑΤ. ΘΕΣ/ΝΙΚΗΣ"/>
    <n v="54.319444444444443"/>
    <s v="51 - 55"/>
  </r>
  <r>
    <n v="99914459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6-06T00:00:00"/>
    <x v="0"/>
    <s v="ΔΙΕΥΘΥΝΣΗ Δ.Ε. ΑΝΑΤΟΛΙΚΗΣ ΑΤΤΙΚΗΣ"/>
    <n v="54.327777777777776"/>
    <s v="51 - 55"/>
  </r>
  <r>
    <n v="99914460"/>
    <s v="Θ"/>
    <x v="8"/>
    <x v="8"/>
    <m/>
    <m/>
    <s v="Γ΄"/>
    <n v="1"/>
    <n v="2025"/>
    <d v="2018-09-01T00:00:00"/>
    <s v="Δ΄ ΑΘΗΝΑΣ (Π.Ε.) 2018"/>
    <s v="ΔΙΕΥΘΥΝΣΗ Π.Ε. Δ΄ ΑΘΗΝΑΣ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1"/>
    <s v="7054012"/>
    <s v="ΕΚΠΑΙΔΕΥΤΗΡΙΑ Γ. ΖΩΗ - ΙΔΙΩΤΙΚO ΔΗΜΟΤΙΚO ΣΧΟΛ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6-04T00:00:00"/>
    <x v="1"/>
    <s v="ΔΙΕΥΘΥΝΣΗ Π.Ε. Δ΄ ΑΘΗΝΑΣ"/>
    <n v="54.333333333333336"/>
    <s v="51 - 55"/>
  </r>
  <r>
    <n v="99914461"/>
    <s v="Α"/>
    <x v="19"/>
    <x v="19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4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5-06-01T00:00:00"/>
    <x v="0"/>
    <s v="ΔΙΕΥΘΥΝΣΗ Δ.Ε. ΙΩΑΝΝΙΝΩΝ"/>
    <n v="54.341666666666669"/>
    <s v="51 - 55"/>
  </r>
  <r>
    <n v="99914462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6-01T00:00:00"/>
    <x v="0"/>
    <s v="ΔΙΕΥΘΥΝΣΗ Δ.Ε. ΑΝΑΤ. ΘΕΣ/ΝΙΚΗΣ"/>
    <n v="54.341666666666669"/>
    <s v="51 - 55"/>
  </r>
  <r>
    <n v="99914463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30T00:00:00"/>
    <x v="0"/>
    <s v="ΔΙΕΥΘΥΝΣΗ Δ.Ε. Β΄ ΑΘΗΝΑΣ"/>
    <n v="54.347222222222221"/>
    <s v="51 - 55"/>
  </r>
  <r>
    <n v="99914464"/>
    <s v="Θ"/>
    <x v="6"/>
    <x v="6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30T00:00:00"/>
    <x v="1"/>
    <s v="ΔΙΕΥΘΥΝΣΗ Π.Ε. Β΄ ΑΘΗΝΑΣ"/>
    <n v="54.347222222222221"/>
    <s v="51 - 55"/>
  </r>
  <r>
    <n v="99914465"/>
    <s v="Θ"/>
    <x v="7"/>
    <x v="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9T00:00:00"/>
    <x v="0"/>
    <s v="ΔΙΕΥΘΥΝΣΗ Δ.Ε. Β΄ ΑΘΗΝΑΣ"/>
    <n v="54.35"/>
    <s v="51 - 55"/>
  </r>
  <r>
    <n v="99914466"/>
    <s v="Α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9T00:00:00"/>
    <x v="0"/>
    <s v="ΔΙΕΥΘΥΝΣΗ Δ.Ε. Δ΄ ΑΘΗΝΑΣ"/>
    <n v="54.35"/>
    <s v="51 - 55"/>
  </r>
  <r>
    <n v="99914467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7T00:00:00"/>
    <x v="0"/>
    <s v="ΔΙΕΥΘΥΝΣΗ Δ.Ε. Δ΄ ΑΘΗΝΑΣ"/>
    <n v="54.355555555555554"/>
    <s v="51 - 55"/>
  </r>
  <r>
    <n v="99914468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7"/>
    <s v="ΙΔΙΩΤΙΚΟ ΝΗΠΙΑΓΩΓΕΙΟ - ΙΔΙΩΤΙΚΑ ΕΚΠΑΙΔΕΥΤΗΡΙΑ ΘΕΟΔΩΡΟΠΟΥΛΟΥ Α.Ε.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5-05-27T00:00:00"/>
    <x v="1"/>
    <s v="ΔΙΕΥΘΥΝΣΗ Π.Ε. ΧΑΝΙΩΝ"/>
    <n v="54.355555555555554"/>
    <s v="51 - 55"/>
  </r>
  <r>
    <n v="99914469"/>
    <s v="Θ"/>
    <x v="1"/>
    <x v="1"/>
    <m/>
    <m/>
    <s v="Γ΄"/>
    <n v="1"/>
    <d v="1985-09-1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5-26T00:00:00"/>
    <x v="1"/>
    <s v="ΔΙΕΥΘΥΝΣΗ Π.Ε. ΑΝΑΤ. ΘΕΣ/ΝΙΚΗΣ"/>
    <n v="54.358333333333334"/>
    <s v="51 - 55"/>
  </r>
  <r>
    <n v="99914470"/>
    <s v="Θ"/>
    <x v="11"/>
    <x v="11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7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4T00:00:00"/>
    <x v="0"/>
    <s v="ΔΙΕΥΘΥΝΣΗ Δ.Ε. Γ΄ ΑΘΗΝΑΣ"/>
    <n v="54.363888888888887"/>
    <s v="51 - 55"/>
  </r>
  <r>
    <n v="99914471"/>
    <s v="Θ"/>
    <x v="1"/>
    <x v="1"/>
    <m/>
    <m/>
    <s v="Α΄"/>
    <n v="15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1T00:00:00"/>
    <x v="1"/>
    <s v="ΔΙΕΥΘΥΝΣΗ Π.Ε. Δ΄ ΑΘΗΝΑΣ"/>
    <n v="54.37222222222222"/>
    <s v="51 - 55"/>
  </r>
  <r>
    <n v="99914472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0T00:00:00"/>
    <x v="0"/>
    <s v="ΔΙΕΥΘΥΝΣΗ Δ.Ε. Β΄ ΑΘΗΝΑΣ"/>
    <n v="54.375"/>
    <s v="51 - 55"/>
  </r>
  <r>
    <n v="99914473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61014"/>
    <s v="ΙΔΙΩΤΙΚΟ ΛΥΚΕΙΟ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20T00:00:00"/>
    <x v="0"/>
    <s v="ΔΙΕΥΘΥΝΣΗ Δ.Ε. Β΄ ΑΘΗΝΑΣ"/>
    <n v="54.375"/>
    <s v="51 - 55"/>
  </r>
  <r>
    <n v="99914474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5-19T00:00:00"/>
    <x v="0"/>
    <s v="ΔΙΕΥΘΥΝΣΗ Δ.Ε. Β΄ ΑΘΗΝΑΣ"/>
    <n v="54.37777777777778"/>
    <s v="51 - 55"/>
  </r>
  <r>
    <n v="99914475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09T00:00:00"/>
    <x v="0"/>
    <s v="ΔΙΕΥΘΥΝΣΗ Δ.Ε. ΑΝΑΤΟΛΙΚΗΣ ΑΤΤΙΚΗΣ"/>
    <n v="54.405555555555559"/>
    <s v="51 - 55"/>
  </r>
  <r>
    <n v="99914476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09T00:00:00"/>
    <x v="0"/>
    <s v="ΔΙΕΥΘΥΝΣΗ Δ.Ε. Β΄ ΑΘΗΝΑΣ"/>
    <n v="54.405555555555559"/>
    <s v="51 - 55"/>
  </r>
  <r>
    <n v="99914477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08T00:00:00"/>
    <x v="0"/>
    <s v="ΔΙΕΥΘΥΝΣΗ Δ.Ε. ΑΝΑΤΟΛΙΚΗΣ ΑΤΤΙΚΗΣ"/>
    <n v="54.408333333333331"/>
    <s v="51 - 55"/>
  </r>
  <r>
    <n v="99914478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06T00:00:00"/>
    <x v="1"/>
    <s v="ΔΙΕΥΘΥΝΣΗ Π.Ε. Β΄ ΑΘΗΝΑΣ"/>
    <n v="54.413888888888891"/>
    <s v="51 - 55"/>
  </r>
  <r>
    <n v="99914479"/>
    <s v="Α"/>
    <x v="8"/>
    <x v="8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9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5-05-06T00:00:00"/>
    <x v="0"/>
    <s v="ΔΙΕΥΘΥΝΣΗ Δ.Ε. ΙΩΑΝΝΙΝΩΝ"/>
    <n v="54.413888888888891"/>
    <s v="51 - 55"/>
  </r>
  <r>
    <n v="99914480"/>
    <s v="Θ"/>
    <x v="0"/>
    <x v="0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0-09-01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5-01T00:00:00"/>
    <x v="1"/>
    <s v="ΔΙΕΥΘΥΝΣΗ Π.Ε. ΑΝΑΤΟΛΙΚΗΣ ΑΤΤΙΚΗΣ"/>
    <n v="54.427777777777777"/>
    <s v="51 - 55"/>
  </r>
  <r>
    <n v="99914481"/>
    <s v="Θ"/>
    <x v="0"/>
    <x v="0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5-01T00:00:00"/>
    <x v="1"/>
    <s v="ΔΙΕΥΘΥΝΣΗ Π.Ε. Β΄ ΑΘΗΝΑΣ"/>
    <n v="54.427777777777777"/>
    <s v="51 - 55"/>
  </r>
  <r>
    <n v="99914482"/>
    <s v="Α"/>
    <x v="19"/>
    <x v="19"/>
    <m/>
    <m/>
    <s v="Γ΄"/>
    <n v="1"/>
    <s v="Φ.17.2_Α/17529/13-11-2018"/>
    <d v="2018-09-01T00:00:00"/>
    <s v="ΑΧΑΪΑΣ (Δ.Ε.) 2018"/>
    <s v="ΔΙΕΥΘΥΝΣΗ Δ.Ε. ΑΧΑΪΑΣ"/>
    <s v="ΠΕΡΙΦΕΡΕΙΑΚΗ Δ/ΝΣΗ Α/ΘΜΙΑΣ ΚΑΙ Β/ΘΜΙΑΣ ΕΚΠ/ΣΗΣ ΔΥΤΙΚΗΣ ΕΛΛΑΔΑΣ"/>
    <n v="20"/>
    <s v="ΟΧΙ"/>
    <m/>
    <m/>
    <m/>
    <s v="ΟΧΙ"/>
    <m/>
    <d v="2018-09-01T00:00:00"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5-05-01T00:00:00"/>
    <x v="0"/>
    <s v="ΔΙΕΥΘΥΝΣΗ Δ.Ε. ΑΧΑΪΑΣ"/>
    <n v="54.427777777777777"/>
    <s v="51 - 55"/>
  </r>
  <r>
    <n v="99914483"/>
    <s v="Θ"/>
    <x v="2"/>
    <x v="2"/>
    <m/>
    <m/>
    <s v="Γ΄"/>
    <n v="1"/>
    <s v="12592/31-10-2012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079"/>
    <s v="ΙΔΙΩΤΙΚΟ ΝΗΠΙΑΓΩΓΕΙΟ ΘΕΣΣΑΛΟΝΙΚΗ - ΑΓΚΑΛΙΤΣΕ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5-01T00:00:00"/>
    <x v="1"/>
    <s v="ΔΙΕΥΘΥΝΣΗ Π.Ε. ΑΝΑΤ. ΘΕΣ/ΝΙΚΗΣ"/>
    <n v="54.427777777777777"/>
    <s v="51 - 55"/>
  </r>
  <r>
    <n v="99914484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4-27T00:00:00"/>
    <x v="0"/>
    <s v="ΔΙΕΥΘΥΝΣΗ Δ.Ε. ΑΝΑΤΟΛΙΚΗΣ ΑΤΤΙΚΗΣ"/>
    <n v="54.43888888888889"/>
    <s v="51 - 55"/>
  </r>
  <r>
    <n v="99914485"/>
    <s v="Α"/>
    <x v="2"/>
    <x v="2"/>
    <m/>
    <m/>
    <s v="Γ΄"/>
    <n v="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s v="ΟΧΙ"/>
    <s v="ΟΧΙ"/>
    <s v="ΟΧΙ"/>
    <s v="ΟΧΙ"/>
    <s v="ΟΧΙ"/>
    <m/>
    <m/>
    <s v="Ιδιωτικά Σχολεία"/>
    <x v="2"/>
    <s v="7192001"/>
    <s v="ΙΔΙΩΤΙΚΟ ΝΗΠΙΑΓΩΓΕΙΟ ΠΕΥΚΑ ΘΕΣΣΑΛΟΝΙΚΗΣ - ΔΟΥΚΑΣ Α. -ΚΟΛΕΤΣΑ Ζ. Ο.Ε.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4-27T00:00:00"/>
    <x v="1"/>
    <s v="ΔΙΕΥΘΥΝΣΗ Π.Ε. ΔΥΤ. ΘΕΣ/ΝΙΚΗΣ"/>
    <n v="54.43888888888889"/>
    <s v="51 - 55"/>
  </r>
  <r>
    <n v="99914486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4-23T00:00:00"/>
    <x v="0"/>
    <s v="ΔΙΕΥΘΥΝΣΗ Δ.Ε. Β΄ ΑΘΗΝΑΣ"/>
    <n v="54.45"/>
    <s v="51 - 55"/>
  </r>
  <r>
    <n v="99914487"/>
    <s v="Θ"/>
    <x v="8"/>
    <x v="8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4-15T00:00:00"/>
    <x v="0"/>
    <s v="ΔΙΕΥΘΥΝΣΗ Δ.Ε. ΑΝΑΤ. ΘΕΣ/ΝΙΚΗΣ"/>
    <n v="54.472222222222221"/>
    <s v="51 - 55"/>
  </r>
  <r>
    <n v="99914488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4-04T00:00:00"/>
    <x v="0"/>
    <s v="ΔΙΕΥΘΥΝΣΗ Δ.Ε. ΑΝΑΤΟΛΙΚΗΣ ΑΤΤΙΚΗΣ"/>
    <n v="54.50277777777778"/>
    <s v="51 - 55"/>
  </r>
  <r>
    <n v="99914489"/>
    <s v="Θ"/>
    <x v="8"/>
    <x v="8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4-02T00:00:00"/>
    <x v="1"/>
    <s v="ΔΙΕΥΘΥΝΣΗ Π.Ε. Β΄ ΑΘΗΝΑΣ"/>
    <n v="54.508333333333333"/>
    <s v="51 - 55"/>
  </r>
  <r>
    <n v="99914490"/>
    <s v="Α"/>
    <x v="5"/>
    <x v="5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3-28T00:00:00"/>
    <x v="0"/>
    <s v="ΔΙΕΥΘΥΝΣΗ Δ.Ε. ΑΝΑΤ. ΘΕΣ/ΝΙΚΗΣ"/>
    <n v="54.522222222222226"/>
    <s v="51 - 55"/>
  </r>
  <r>
    <n v="99914491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3-27T00:00:00"/>
    <x v="0"/>
    <s v="ΔΙΕΥΘΥΝΣΗ Δ.Ε. Β΄ ΑΘΗΝΑΣ"/>
    <n v="54.524999999999999"/>
    <s v="51 - 55"/>
  </r>
  <r>
    <n v="99914492"/>
    <s v="Θ"/>
    <x v="5"/>
    <x v="5"/>
    <m/>
    <m/>
    <s v="Α΄"/>
    <n v="12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93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3-21T00:00:00"/>
    <x v="0"/>
    <s v="ΔΙΕΥΘΥΝΣΗ Δ.Ε. Α΄ ΑΘΗΝΑΣ"/>
    <n v="54.541666666666664"/>
    <s v="51 - 55"/>
  </r>
  <r>
    <n v="9991449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3-20T00:00:00"/>
    <x v="0"/>
    <s v="ΔΙΕΥΘΥΝΣΗ Δ.Ε. Β΄ ΑΘΗΝΑΣ"/>
    <n v="54.544444444444444"/>
    <s v="51 - 55"/>
  </r>
  <r>
    <n v="99914494"/>
    <s v="Θ"/>
    <x v="0"/>
    <x v="0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3-20T00:00:00"/>
    <x v="1"/>
    <s v="ΔΙΕΥΘΥΝΣΗ Π.Ε. Α΄ ΑΘΗΝΑΣ"/>
    <n v="54.544444444444444"/>
    <s v="51 - 55"/>
  </r>
  <r>
    <n v="99914495"/>
    <s v="Θ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3-06T00:00:00"/>
    <x v="0"/>
    <s v="ΔΙΕΥΘΥΝΣΗ Δ.Ε. Β΄ ΑΘΗΝΑΣ"/>
    <n v="54.583333333333336"/>
    <s v="51 - 55"/>
  </r>
  <r>
    <n v="99914496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3-03T00:00:00"/>
    <x v="0"/>
    <s v="ΔΙΕΥΘΥΝΣΗ Δ.Ε. Β΄ ΑΘΗΝΑΣ"/>
    <n v="54.591666666666669"/>
    <s v="51 - 55"/>
  </r>
  <r>
    <n v="99914497"/>
    <s v="Θ"/>
    <x v="3"/>
    <x v="3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5"/>
    <s v="ΟΧΙ"/>
    <s v="ΟΧΙ"/>
    <s v="ΟΧΙ"/>
    <s v="ΟΧΙ"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5-03-01T00:00:00"/>
    <x v="0"/>
    <s v="ΔΙΕΥΘΥΝΣΗ Δ.Ε. ΗΡΑΚΛΕΙΟΥ"/>
    <n v="54.597222222222221"/>
    <s v="51 - 55"/>
  </r>
  <r>
    <n v="99914498"/>
    <s v="Α"/>
    <x v="5"/>
    <x v="5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5-02-28T00:00:00"/>
    <x v="0"/>
    <s v="ΔΙΕΥΘΥΝΣΗ Δ.Ε. ΗΡΑΚΛΕΙΟΥ"/>
    <n v="54.6"/>
    <s v="51 - 55"/>
  </r>
  <r>
    <n v="9991449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25T00:00:00"/>
    <x v="0"/>
    <s v="ΔΙΕΥΘΥΝΣΗ Δ.Ε. Β΄ ΑΘΗΝΑΣ"/>
    <n v="54.608333333333334"/>
    <s v="51 - 55"/>
  </r>
  <r>
    <n v="99914500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2-19T00:00:00"/>
    <x v="0"/>
    <s v="ΔΙΕΥΘΥΝΣΗ Δ.Ε. Β΄ ΑΘΗΝΑΣ"/>
    <n v="54.625"/>
    <s v="51 - 55"/>
  </r>
  <r>
    <n v="99914501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19T00:00:00"/>
    <x v="0"/>
    <s v="ΔΙΕΥΘΥΝΣΗ Δ.Ε. Β΄ ΑΘΗΝΑΣ"/>
    <n v="54.625"/>
    <s v="51 - 55"/>
  </r>
  <r>
    <n v="99914502"/>
    <s v="Α"/>
    <x v="38"/>
    <x v="37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3"/>
    <s v="ΟΧΙ"/>
    <s v="ΟΧΙ"/>
    <s v="ΟΧΙ"/>
    <s v="ΟΧΙ"/>
    <s v="ΟΧΙ"/>
    <m/>
    <m/>
    <s v="Ιδιωτικά Σχολεία"/>
    <x v="0"/>
    <s v="2860001"/>
    <s v="ΙΔΙΩΤΙΚΟ ΓΥΜΝΑΣΙΟ Homo educandus - Αγωγή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5-02-18T00:00:00"/>
    <x v="0"/>
    <s v="ΔΙΕΥΘΥΝΣΗ Δ.Ε. ΚΟΡΙΝΘΙΑΣ"/>
    <n v="54.62777777777778"/>
    <s v="51 - 55"/>
  </r>
  <r>
    <n v="99914503"/>
    <s v="Θ"/>
    <x v="18"/>
    <x v="18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13T00:00:00"/>
    <x v="1"/>
    <s v="ΔΙΕΥΘΥΝΣΗ Π.Ε. Δ΄ ΑΘΗΝΑΣ"/>
    <n v="54.641666666666666"/>
    <s v="51 - 55"/>
  </r>
  <r>
    <n v="99914504"/>
    <s v="Θ"/>
    <x v="18"/>
    <x v="1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13T00:00:00"/>
    <x v="1"/>
    <s v="ΔΙΕΥΘΥΝΣΗ Π.Ε. Δ΄ ΑΘΗΝΑΣ"/>
    <n v="54.641666666666666"/>
    <s v="51 - 55"/>
  </r>
  <r>
    <n v="99914505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08T00:00:00"/>
    <x v="0"/>
    <s v="ΔΙΕΥΘΥΝΣΗ Δ.Ε. ΑΝΑΤΟΛΙΚΗΣ ΑΤΤΙΚΗΣ"/>
    <n v="54.655555555555559"/>
    <s v="51 - 55"/>
  </r>
  <r>
    <n v="99914506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08T00:00:00"/>
    <x v="0"/>
    <s v="ΔΙΕΥΘΥΝΣΗ Δ.Ε. Β΄ ΑΘΗΝΑΣ"/>
    <n v="54.655555555555559"/>
    <s v="51 - 55"/>
  </r>
  <r>
    <n v="99914507"/>
    <s v="Θ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07T00:00:00"/>
    <x v="0"/>
    <s v="ΔΙΕΥΘΥΝΣΗ Δ.Ε. Β΄ ΑΘΗΝΑΣ"/>
    <n v="54.658333333333331"/>
    <s v="51 - 55"/>
  </r>
  <r>
    <n v="99914508"/>
    <s v="Α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2-02T00:00:00"/>
    <x v="0"/>
    <s v="ΔΙΕΥΘΥΝΣΗ Δ.Ε. ΑΝΑΤΟΛΙΚΗΣ ΑΤΤΙΚΗΣ"/>
    <n v="54.672222222222224"/>
    <s v="51 - 55"/>
  </r>
  <r>
    <n v="99914509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31T00:00:00"/>
    <x v="0"/>
    <s v="ΔΙΕΥΘΥΝΣΗ Δ.Ε. Δ΄ ΑΘΗΝΑΣ"/>
    <n v="54.677777777777777"/>
    <s v="51 - 55"/>
  </r>
  <r>
    <n v="99914510"/>
    <s v="Α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1-30T00:00:00"/>
    <x v="0"/>
    <s v="ΔΙΕΥΘΥΝΣΗ Δ.Ε. ΑΝΑΤ. ΘΕΣ/ΝΙΚΗΣ"/>
    <n v="54.680555555555557"/>
    <s v="51 - 55"/>
  </r>
  <r>
    <n v="99914511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1-23T00:00:00"/>
    <x v="0"/>
    <s v="ΔΙΕΥΘΥΝΣΗ Δ.Ε. Β΄ ΑΘΗΝΑΣ"/>
    <n v="54.7"/>
    <s v="51 - 55"/>
  </r>
  <r>
    <n v="99914512"/>
    <s v="Θ"/>
    <x v="11"/>
    <x v="11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5-01-21T00:00:00"/>
    <x v="0"/>
    <s v="ΔΙΕΥΘΥΝΣΗ Δ.Ε. ΑΝΑΤ. ΘΕΣ/ΝΙΚΗΣ"/>
    <n v="54.705555555555556"/>
    <s v="51 - 55"/>
  </r>
  <r>
    <n v="9991451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1-20T00:00:00"/>
    <x v="0"/>
    <s v="ΔΙΕΥΘΥΝΣΗ Δ.Ε. Β΄ ΑΘΗΝΑΣ"/>
    <n v="54.708333333333336"/>
    <s v="51 - 55"/>
  </r>
  <r>
    <n v="99914514"/>
    <s v="Θ"/>
    <x v="20"/>
    <x v="20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8"/>
    <s v="ΟΧΙ"/>
    <s v="ΟΧΙ"/>
    <s v="ΟΧΙ"/>
    <s v="ΟΧΙ"/>
    <s v="ΟΧΙ"/>
    <m/>
    <m/>
    <s v="Ιδιωτικά Σχολεία"/>
    <x v="3"/>
    <s v="2880010"/>
    <s v="ΙΔΙΩΤΙΚΟ ΗΜΕΡΗΣΙΟ ΛΥΚΕΙΟ ΚΟΡΙΝΘΟΣ - ΑΡΙΣΤΟΤΕΛΕΙΟ ΓΕΝΙΚΟ ΛΥΚΕ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5-01-19T00:00:00"/>
    <x v="0"/>
    <s v="ΔΙΕΥΘΥΝΣΗ Δ.Ε. ΚΟΡΙΝΘΙΑΣ"/>
    <n v="54.711111111111109"/>
    <s v="51 - 55"/>
  </r>
  <r>
    <n v="99914515"/>
    <s v="Θ"/>
    <x v="2"/>
    <x v="2"/>
    <m/>
    <m/>
    <s v="Γ΄"/>
    <n v="1"/>
    <s v="4341/3-12-2010"/>
    <d v="2018-09-01T00:00:00"/>
    <s v="ΙΩΑΝΝΙΝΩΝ (Π.Ε.) 2018"/>
    <s v="ΔΙΕΥΘΥΝΣΗ Π.Ε. ΙΩΑΝΝΙΝΩΝ"/>
    <s v="ΠΕΡΙΦΕΡΕΙΑΚΗ Δ/ΝΣΗ Α/ΘΜΙΑΣ ΚΑΙ Β/ΘΜΙΑΣ ΕΚΠ/ΣΗΣ ΗΠΕΙΡΟΥ"/>
    <n v="25"/>
    <s v="ΟΧΙ"/>
    <m/>
    <m/>
    <m/>
    <s v="ΟΧΙ"/>
    <m/>
    <d v="2018-09-01T00:00:00"/>
    <s v="Ιδιωτικά Σχολεία"/>
    <x v="2"/>
    <s v="7201003"/>
    <s v="ΙΔΙΩΤΙΚΟ ΝΗΠΙΑΓΩΓΕΙΟ - Η ΦΩΛΙΑ ΜΑΣ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5-01-13T00:00:00"/>
    <x v="1"/>
    <s v="ΔΙΕΥΘΥΝΣΗ Π.Ε. ΙΩΑΝΝΙΝΩΝ"/>
    <n v="54.727777777777774"/>
    <s v="51 - 55"/>
  </r>
  <r>
    <n v="99914516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5-01-10T00:00:00"/>
    <x v="0"/>
    <s v="ΔΙΕΥΘΥΝΣΗ Δ.Ε. ΑΝΑΤ. ΘΕΣ/ΝΙΚΗΣ"/>
    <n v="54.736111111111114"/>
    <s v="51 - 55"/>
  </r>
  <r>
    <n v="99914517"/>
    <s v="Θ"/>
    <x v="20"/>
    <x v="2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8T00:00:00"/>
    <x v="0"/>
    <s v="ΔΙΕΥΘΥΝΣΗ Δ.Ε. ΠΕΙΡΑΙΑ"/>
    <n v="54.741666666666667"/>
    <s v="51 - 55"/>
  </r>
  <r>
    <n v="99914518"/>
    <s v="Θ"/>
    <x v="0"/>
    <x v="0"/>
    <m/>
    <m/>
    <s v="Α΄"/>
    <n v="13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4T00:00:00"/>
    <x v="0"/>
    <s v="ΔΙΕΥΘΥΝΣΗ Δ.Ε. Δ΄ ΑΘΗΝΑΣ"/>
    <n v="54.75277777777778"/>
    <s v="51 - 55"/>
  </r>
  <r>
    <n v="99914519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3T00:00:00"/>
    <x v="0"/>
    <s v="ΔΙΕΥΘΥΝΣΗ Δ.Ε. ΑΝΑΤΟΛΙΚΗΣ ΑΤΤΙΚΗΣ"/>
    <n v="54.755555555555553"/>
    <s v="51 - 55"/>
  </r>
  <r>
    <n v="99914520"/>
    <s v="Θ"/>
    <x v="7"/>
    <x v="7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3T00:00:00"/>
    <x v="0"/>
    <s v="ΔΙΕΥΘΥΝΣΗ Δ.Ε. Δ΄ ΑΘΗΝΑΣ"/>
    <n v="54.755555555555553"/>
    <s v="51 - 55"/>
  </r>
  <r>
    <n v="99914521"/>
    <s v="Α"/>
    <x v="19"/>
    <x v="19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s v="ΟΧΙ"/>
    <s v="ΟΧΙ"/>
    <m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5-01-02T00:00:00"/>
    <x v="0"/>
    <s v="ΔΙΕΥΘΥΝΣΗ Δ.Ε. ΔΩΔΕΚΑΝΗΣΟΥ"/>
    <n v="54.758333333333333"/>
    <s v="51 - 55"/>
  </r>
  <r>
    <n v="99914522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1-01T00:00:00"/>
    <x v="0"/>
    <s v="ΔΙΕΥΘΥΝΣΗ Δ.Ε. Β΄ ΑΘΗΝΑΣ"/>
    <n v="54.761111111111113"/>
    <s v="51 - 55"/>
  </r>
  <r>
    <n v="99914523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1T00:00:00"/>
    <x v="0"/>
    <s v="ΔΙΕΥΘΥΝΣΗ Δ.Ε. Β΄ ΑΘΗΝΑΣ"/>
    <n v="54.761111111111113"/>
    <s v="51 - 55"/>
  </r>
  <r>
    <n v="99914524"/>
    <s v="Θ"/>
    <x v="1"/>
    <x v="1"/>
    <m/>
    <m/>
    <s v="Α΄"/>
    <n v="16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5-01-01T00:00:00"/>
    <x v="1"/>
    <s v="ΔΙΕΥΘΥΝΣΗ Π.Ε. ΑΝΑΤΟΛΙΚΗΣ ΑΤΤΙΚΗΣ"/>
    <n v="54.761111111111113"/>
    <s v="51 - 55"/>
  </r>
  <r>
    <n v="99914525"/>
    <s v="Α"/>
    <x v="8"/>
    <x v="8"/>
    <m/>
    <m/>
    <s v="Γ΄"/>
    <n v="1"/>
    <n v="2732"/>
    <d v="2018-09-01T00:00:00"/>
    <s v="Β΄ ΑΘΗΝΑΣ (Π.Ε.) 2018"/>
    <s v="ΔΙΕΥΘΥΝΣΗ Π.Ε. Β΄ ΑΘΗΝΑΣ"/>
    <s v="ΠΕΡΙΦΕΡΕΙΑΚΗ Δ/ΝΣΗ Α/ΘΜΙΑΣ ΚΑΙ Β/ΘΜΙΑΣ ΕΚΠ/ΣΗΣ ΑΤΤΙΚΗΣ"/>
    <n v="18"/>
    <s v="ΟΧΙ"/>
    <m/>
    <m/>
    <m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1T00:00:00"/>
    <x v="1"/>
    <s v="ΔΙΕΥΘΥΝΣΗ Π.Ε. Β΄ ΑΘΗΝΑΣ"/>
    <n v="54.761111111111113"/>
    <s v="51 - 55"/>
  </r>
  <r>
    <n v="99914526"/>
    <s v="Α"/>
    <x v="8"/>
    <x v="8"/>
    <m/>
    <m/>
    <s v="Γ΄"/>
    <n v="1"/>
    <n v="13010"/>
    <d v="2018-09-01T00:00:00"/>
    <s v="Δ΄ ΑΘΗΝΑΣ (Π.Ε.) 2018"/>
    <s v="ΔΙΕΥΘΥΝΣΗ Π.Ε. Δ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5-01-01T00:00:00"/>
    <x v="1"/>
    <s v="ΔΙΕΥΘΥΝΣΗ Π.Ε. Δ΄ ΑΘΗΝΑΣ"/>
    <n v="54.761111111111113"/>
    <s v="51 - 55"/>
  </r>
  <r>
    <n v="99914527"/>
    <s v="Θ"/>
    <x v="9"/>
    <x v="9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5-01-01T00:00:00"/>
    <x v="0"/>
    <s v="ΔΙΕΥΘΥΝΣΗ Δ.Ε. ΤΡΙΚΑΛΩΝ"/>
    <n v="54.761111111111113"/>
    <s v="51 - 55"/>
  </r>
  <r>
    <n v="99914528"/>
    <s v="Θ"/>
    <x v="1"/>
    <x v="1"/>
    <m/>
    <m/>
    <s v="Α΄"/>
    <n v="1"/>
    <n v="179"/>
    <d v="1997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1997-09-08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5-01-01T00:00:00"/>
    <x v="1"/>
    <s v="ΔΙΕΥΘΥΝΣΗ Π.Ε. ΑΝΑΤ. ΘΕΣ/ΝΙΚΗΣ"/>
    <n v="54.761111111111113"/>
    <s v="51 - 55"/>
  </r>
  <r>
    <n v="99914529"/>
    <s v="Θ"/>
    <x v="0"/>
    <x v="0"/>
    <m/>
    <m/>
    <s v="Α΄"/>
    <n v="1"/>
    <n v="177"/>
    <d v="1999-08-31T00:00:00"/>
    <s v="ΧΑΝΙΩΝ (Δ.Ε.) 2018"/>
    <s v="ΔΙΕΥΘΥΝΣΗ Δ.Ε. ΧΑΝΙΩΝ"/>
    <s v="ΠΕΡΙΦΕΡΕΙΑΚΗ Δ/ΝΣΗ Α/ΘΜΙΑΣ ΚΑΙ Β/ΘΜΙΑΣ ΕΚΠ/ΣΗΣ ΚΡΗΤΗΣ"/>
    <n v="21"/>
    <s v="ΟΧΙ"/>
    <s v="ΟΧΙ"/>
    <s v="ΟΧΙ"/>
    <s v="ΟΧΙ"/>
    <s v="ΟΧΙ"/>
    <m/>
    <d v="1999-08-31T00:00:00"/>
    <s v="Ιδιωτικά Σχολεία"/>
    <x v="3"/>
    <s v="5080015"/>
    <s v="ΙΔΙΩΤΙΚΟ ΓΕΝΙΚΟ ΛΥΚΕΙΟ ΙΔΙΩΤΙΚΑ ΕΚΠΑΙΔΕΥΤΗΡΙΑ ΘΕΟΔΩΡΟΠΟΥΛΟΥ Α.Ε."/>
    <s v="ΧΑΝΙΩΝ (Δ.Ε.) 2018"/>
    <x v="6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5-01-01T00:00:00"/>
    <x v="0"/>
    <s v="ΔΙΕΥΘΥΝΣΗ Δ.Ε. ΧΑΝΙΩΝ"/>
    <n v="54.761111111111113"/>
    <s v="51 - 55"/>
  </r>
  <r>
    <n v="99914530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30T00:00:00"/>
    <x v="0"/>
    <s v="ΔΙΕΥΘΥΝΣΗ Δ.Ε. Β΄ ΑΘΗΝΑΣ"/>
    <n v="54.766666666666666"/>
    <s v="51 - 55"/>
  </r>
  <r>
    <n v="99914531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12-20T00:00:00"/>
    <x v="0"/>
    <s v="ΔΙΕΥΘΥΝΣΗ Δ.Ε. Β΄ ΑΘΗΝΑΣ"/>
    <n v="54.794444444444444"/>
    <s v="51 - 55"/>
  </r>
  <r>
    <n v="99914532"/>
    <s v="Α"/>
    <x v="19"/>
    <x v="19"/>
    <m/>
    <m/>
    <s v="Α΄"/>
    <n v="1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12-19T00:00:00"/>
    <x v="0"/>
    <s v="ΔΙΕΥΘΥΝΣΗ Δ.Ε. ΔΥΤ. ΘΕΣ/ΝΙΚΗΣ"/>
    <n v="54.797222222222224"/>
    <s v="51 - 55"/>
  </r>
  <r>
    <n v="99914533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17T00:00:00"/>
    <x v="0"/>
    <s v="ΔΙΕΥΘΥΝΣΗ Δ.Ε. ΠΕΙΡΑΙΑ"/>
    <n v="54.802777777777777"/>
    <s v="51 - 55"/>
  </r>
  <r>
    <n v="99914534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15T00:00:00"/>
    <x v="0"/>
    <s v="ΔΙΕΥΘΥΝΣΗ Δ.Ε. Β΄ ΑΘΗΝΑΣ"/>
    <n v="54.80833333333333"/>
    <s v="51 - 55"/>
  </r>
  <r>
    <n v="99914535"/>
    <s v="Α"/>
    <x v="39"/>
    <x v="3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5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12-13T00:00:00"/>
    <x v="0"/>
    <s v="ΔΙΕΥΘΥΝΣΗ Δ.Ε. ΑΝΑΤ. ΘΕΣ/ΝΙΚΗΣ"/>
    <n v="54.81388888888889"/>
    <s v="51 - 55"/>
  </r>
  <r>
    <n v="99914536"/>
    <s v="Θ"/>
    <x v="2"/>
    <x v="2"/>
    <m/>
    <m/>
    <s v="Α΄"/>
    <n v="13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25"/>
    <s v="ΙΔΙΩΤΙΚΟ ΝΗΠΙΑΓΩΓΕΙΟ ΑΛΙΜΟΣ - ΙΔΙΩΤΙΚΟ ΝΗΠΙΑΓΩΓΕΙΟ ΓΕΝΝΑΔΙΟΣ ΕΚΠΑΙΔΕΥΤΙΚΗ Κ.ΖΩΗ ΑΕ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10T00:00:00"/>
    <x v="1"/>
    <s v="ΔΙΕΥΘΥΝΣΗ Π.Ε. Δ΄ ΑΘΗΝΑΣ"/>
    <n v="54.822222222222223"/>
    <s v="51 - 55"/>
  </r>
  <r>
    <n v="99914537"/>
    <s v="Θ"/>
    <x v="3"/>
    <x v="3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07T00:00:00"/>
    <x v="0"/>
    <s v="ΔΙΕΥΘΥΝΣΗ Δ.Ε. Α΄ ΑΘΗΝΑΣ"/>
    <n v="54.830555555555556"/>
    <s v="51 - 55"/>
  </r>
  <r>
    <n v="99914538"/>
    <s v="Α"/>
    <x v="40"/>
    <x v="3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02T00:00:00"/>
    <x v="0"/>
    <s v="ΔΙΕΥΘΥΝΣΗ Δ.Ε. Β΄ ΑΘΗΝΑΣ"/>
    <n v="54.844444444444441"/>
    <s v="51 - 55"/>
  </r>
  <r>
    <n v="99914539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2-02T00:00:00"/>
    <x v="0"/>
    <s v="ΔΙΕΥΘΥΝΣΗ Δ.Ε. Β΄ ΑΘΗΝΑΣ"/>
    <n v="54.844444444444441"/>
    <s v="51 - 55"/>
  </r>
  <r>
    <n v="99914540"/>
    <s v="Α"/>
    <x v="8"/>
    <x v="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1-28T00:00:00"/>
    <x v="1"/>
    <s v="ΔΙΕΥΘΥΝΣΗ Π.Ε. Β΄ ΑΘΗΝΑΣ"/>
    <n v="54.855555555555554"/>
    <s v="51 - 55"/>
  </r>
  <r>
    <n v="99914541"/>
    <s v="Θ"/>
    <x v="5"/>
    <x v="5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17"/>
    <s v="ΟΧΙ"/>
    <s v="ΟΧΙ"/>
    <s v="ΟΧΙ"/>
    <m/>
    <s v="ΟΧΙ"/>
    <m/>
    <d v="2018-09-12T00:00:00"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1-26T00:00:00"/>
    <x v="0"/>
    <s v="ΔΙΕΥΘΥΝΣΗ Δ.Ε. Δ΄ ΑΘΗΝΑΣ"/>
    <n v="54.861111111111114"/>
    <s v="51 - 55"/>
  </r>
  <r>
    <n v="99914542"/>
    <s v="Θ"/>
    <x v="3"/>
    <x v="3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4-11-22T00:00:00"/>
    <x v="0"/>
    <s v="ΔΙΕΥΘΥΝΣΗ Δ.Ε. ΑΝΑΤ. ΘΕΣ/ΝΙΚΗΣ"/>
    <n v="54.87222222222222"/>
    <s v="51 - 55"/>
  </r>
  <r>
    <n v="99914543"/>
    <s v="Θ"/>
    <x v="6"/>
    <x v="6"/>
    <m/>
    <m/>
    <s v="Γ΄"/>
    <n v="1"/>
    <s v="19083/01-09-2017"/>
    <d v="2017-09-01T00:00:00"/>
    <s v="ΛΑΡΙΣΑΣ (Δ.Ε.) 2018"/>
    <s v="ΔΙΕΥΘΥΝΣΗ Δ.Ε. ΛΑΡΙΣΑΣ"/>
    <s v="ΠΕΡΙΦΕΡΕΙΑΚΗ Δ/ΝΣΗ Α/ΘΜΙΑΣ ΚΑΙ Β/ΘΜΙΑΣ ΕΚΠ/ΣΗΣ ΘΕΣΣΑΛΙΑΣ"/>
    <n v="9"/>
    <s v="ΟΧΙ"/>
    <s v="ΟΧΙ"/>
    <s v="ΟΧΙ"/>
    <s v="ΟΧΙ"/>
    <s v="ΟΧΙ"/>
    <m/>
    <d v="2017-09-01T00:00:00"/>
    <s v="Ιδιωτικά Σχολεία"/>
    <x v="0"/>
    <s v="3181015"/>
    <s v="ΙΔ. ΓΥΜΝΑΣΙΟ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11-19T00:00:00"/>
    <x v="0"/>
    <s v="ΔΙΕΥΘΥΝΣΗ Δ.Ε. ΛΑΡΙΣΑΣ"/>
    <n v="54.880555555555553"/>
    <s v="51 - 55"/>
  </r>
  <r>
    <n v="99914544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11-17T00:00:00"/>
    <x v="0"/>
    <s v="ΔΙΕΥΘΥΝΣΗ Δ.Ε. ΑΝΑΤΟΛΙΚΗΣ ΑΤΤΙΚΗΣ"/>
    <n v="54.886111111111113"/>
    <s v="51 - 55"/>
  </r>
  <r>
    <n v="99914545"/>
    <s v="Α"/>
    <x v="1"/>
    <x v="1"/>
    <m/>
    <m/>
    <s v="Α΄"/>
    <n v="14"/>
    <s v="3283/18-10-1995"/>
    <d v="1995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d v="1995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11-17T00:00:00"/>
    <x v="1"/>
    <s v="ΔΙΕΥΘΥΝΣΗ Π.Ε. ΑΝΑΤΟΛΙΚΗΣ ΑΤΤΙΚΗΣ"/>
    <n v="54.886111111111113"/>
    <s v="51 - 55"/>
  </r>
  <r>
    <n v="99914546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1-13T00:00:00"/>
    <x v="0"/>
    <s v="ΔΙΕΥΘΥΝΣΗ Δ.Ε. Β΄ ΑΘΗΝΑΣ"/>
    <n v="54.897222222222226"/>
    <s v="51 - 55"/>
  </r>
  <r>
    <n v="99914547"/>
    <s v="Θ"/>
    <x v="1"/>
    <x v="1"/>
    <m/>
    <m/>
    <s v="Γ΄"/>
    <n v="1"/>
    <n v="135362"/>
    <d v="2018-09-01T00:00:00"/>
    <s v="Α΄ ΠΕΙΡΑΙΑ (Π.Ε.) 2018"/>
    <s v="ΔΙΕΥΘΥΝΣΗ Π.Ε. ΠΕΙΡΑΙΑ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541024"/>
    <s v="ΙΔΙΩΤΙΚΟ ΔΗΜΟΤΙΚΟ ΠΕΡΑΜΑ - ΑΓΙΟΣ ΓΕΩΡΓΙΟΣ Ε.ΠΑΥΛΟΠΟΥΛΟΥ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1-04T00:00:00"/>
    <x v="1"/>
    <s v="ΔΙΕΥΘΥΝΣΗ Π.Ε. ΠΕΙΡΑΙΑ"/>
    <n v="54.922222222222224"/>
    <s v="51 - 55"/>
  </r>
  <r>
    <n v="99914548"/>
    <s v="Α"/>
    <x v="11"/>
    <x v="11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80650"/>
    <s v="ΙΔΙΩΤΙΚΟ ΓΕΝΙΚΟ ΛΥΚΕΙΟ ΓΕΝΝΑΔΙΟΣ ΕΚΠΑΙΔΕΥΤΙΚΗ Κ. ΖΩΗ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0-26T00:00:00"/>
    <x v="0"/>
    <s v="ΔΙΕΥΘΥΝΣΗ Δ.Ε. Δ΄ ΑΘΗΝΑΣ"/>
    <n v="54.947222222222223"/>
    <s v="51 - 55"/>
  </r>
  <r>
    <n v="99914549"/>
    <s v="Θ"/>
    <x v="1"/>
    <x v="1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10-22T00:00:00"/>
    <x v="1"/>
    <s v="ΔΙΕΥΘΥΝΣΗ Π.Ε. Β΄ ΑΘΗΝΑΣ"/>
    <n v="54.958333333333336"/>
    <s v="51 - 55"/>
  </r>
  <r>
    <n v="99914550"/>
    <s v="Α"/>
    <x v="5"/>
    <x v="5"/>
    <m/>
    <m/>
    <s v="Α΄"/>
    <n v="10"/>
    <m/>
    <m/>
    <s v="Δ΄ ΑΘΗΝΑΣ (Δ.Ε.) 2018"/>
    <s v="ΔΙΕΥΘΥΝΣΗ Δ.Ε. Δ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0-19T00:00:00"/>
    <x v="0"/>
    <s v="ΔΙΕΥΘΥΝΣΗ Δ.Ε. Δ΄ ΑΘΗΝΑΣ"/>
    <n v="54.966666666666669"/>
    <s v="51 - 55"/>
  </r>
  <r>
    <n v="99914551"/>
    <s v="Θ"/>
    <x v="6"/>
    <x v="6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5"/>
    <s v="ΟΧΙ"/>
    <m/>
    <s v="ΟΧΙ"/>
    <m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0-14T00:00:00"/>
    <x v="1"/>
    <s v="ΔΙΕΥΘΥΝΣΗ Π.Ε. Β΄ ΑΘΗΝΑΣ"/>
    <n v="54.980555555555554"/>
    <s v="51 - 55"/>
  </r>
  <r>
    <n v="99914552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0-14T00:00:00"/>
    <x v="1"/>
    <s v="ΔΙΕΥΘΥΝΣΗ Π.Ε. Β΄ ΑΘΗΝΑΣ"/>
    <n v="54.980555555555554"/>
    <s v="51 - 55"/>
  </r>
  <r>
    <n v="99914553"/>
    <s v="Θ"/>
    <x v="1"/>
    <x v="1"/>
    <m/>
    <m/>
    <s v="Α΄"/>
    <n v="11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10-14T00:00:00"/>
    <x v="1"/>
    <s v="ΔΙΕΥΘΥΝΣΗ Π.Ε. ΜΑΓΝΗΣΙΑΣ"/>
    <n v="54.980555555555554"/>
    <s v="51 - 55"/>
  </r>
  <r>
    <n v="99914554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0-12T00:00:00"/>
    <x v="0"/>
    <s v="ΔΙΕΥΘΥΝΣΗ Δ.Ε. Γ΄ ΑΘΗΝΑΣ"/>
    <n v="54.986111111111114"/>
    <s v="51 - 55"/>
  </r>
  <r>
    <n v="99914555"/>
    <s v="Θ"/>
    <x v="8"/>
    <x v="8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10-08T00:00:00"/>
    <x v="1"/>
    <s v="ΔΙΕΥΘΥΝΣΗ Π.Ε. ΠΕΙΡΑΙΑ"/>
    <n v="54.99722222222222"/>
    <s v="51 - 55"/>
  </r>
  <r>
    <n v="99914556"/>
    <s v="Θ"/>
    <x v="8"/>
    <x v="8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9"/>
    <s v="ΟΧΙ"/>
    <s v="ΟΧΙ"/>
    <s v="ΟΧΙ"/>
    <s v="ΟΧΙ"/>
    <s v="ΟΧΙ"/>
    <m/>
    <m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10-02T00:00:00"/>
    <x v="1"/>
    <s v="ΔΙΕΥΘΥΝΣΗ Π.Ε. ΛΑΡΙΣΑΣ"/>
    <n v="55.013888888888886"/>
    <s v="51 - 55"/>
  </r>
  <r>
    <n v="99914557"/>
    <s v="Α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30T00:00:00"/>
    <x v="0"/>
    <s v="ΔΙΕΥΘΥΝΣΗ Δ.Ε. Δ΄ ΑΘΗΝΑΣ"/>
    <n v="55.019444444444446"/>
    <s v="51 - 55"/>
  </r>
  <r>
    <n v="99914558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29T00:00:00"/>
    <x v="0"/>
    <s v="ΔΙΕΥΘΥΝΣΗ Δ.Ε. Β΄ ΑΘΗΝΑΣ"/>
    <n v="55.022222222222226"/>
    <s v="51 - 55"/>
  </r>
  <r>
    <n v="9991455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28T00:00:00"/>
    <x v="0"/>
    <s v="ΔΙΕΥΘΥΝΣΗ Δ.Ε. Β΄ ΑΘΗΝΑΣ"/>
    <n v="55.024999999999999"/>
    <s v="51 - 55"/>
  </r>
  <r>
    <n v="99914560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28T00:00:00"/>
    <x v="0"/>
    <s v="ΔΙΕΥΘΥΝΣΗ Δ.Ε. Γ΄ ΑΘΗΝΑΣ"/>
    <n v="55.024999999999999"/>
    <s v="51 - 55"/>
  </r>
  <r>
    <n v="99914561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26T00:00:00"/>
    <x v="0"/>
    <s v="ΔΙΕΥΘΥΝΣΗ Δ.Ε. Β΄ ΑΘΗΝΑΣ"/>
    <n v="55.030555555555559"/>
    <s v="51 - 55"/>
  </r>
  <r>
    <n v="99914562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22T00:00:00"/>
    <x v="0"/>
    <s v="ΔΙΕΥΘΥΝΣΗ Δ.Ε. Β΄ ΑΘΗΝΑΣ"/>
    <n v="55.041666666666664"/>
    <s v="51 - 55"/>
  </r>
  <r>
    <n v="99914563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21T00:00:00"/>
    <x v="0"/>
    <s v="ΔΙΕΥΘΥΝΣΗ Δ.Ε. Α΄ ΑΘΗΝΑΣ"/>
    <n v="55.044444444444444"/>
    <s v="51 - 55"/>
  </r>
  <r>
    <n v="9991456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9-21T00:00:00"/>
    <x v="0"/>
    <s v="ΔΙΕΥΘΥΝΣΗ Δ.Ε. Β΄ ΑΘΗΝΑΣ"/>
    <n v="55.044444444444444"/>
    <s v="51 - 55"/>
  </r>
  <r>
    <n v="99914565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16T00:00:00"/>
    <x v="0"/>
    <s v="ΔΙΕΥΘΥΝΣΗ Δ.Ε. Δ΄ ΑΘΗΝΑΣ"/>
    <n v="55.05833333333333"/>
    <s v="51 - 55"/>
  </r>
  <r>
    <n v="99914566"/>
    <s v="Θ"/>
    <x v="14"/>
    <x v="14"/>
    <s v="ΠΕ03"/>
    <s v="ΜΑΘΗΜΑΤΙΚΟΙ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4-09-14T00:00:00"/>
    <x v="0"/>
    <s v="ΔΙΕΥΘΥΝΣΗ Δ.Ε. ΑΝΑΤ. ΘΕΣ/ΝΙΚΗΣ"/>
    <n v="55.06388888888889"/>
    <s v="51 - 55"/>
  </r>
  <r>
    <n v="99914567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09T00:00:00"/>
    <x v="0"/>
    <s v="ΔΙΕΥΘΥΝΣΗ Δ.Ε. Β΄ ΑΘΗΝΑΣ"/>
    <n v="55.077777777777776"/>
    <s v="51 - 55"/>
  </r>
  <r>
    <n v="99914568"/>
    <s v="Α"/>
    <x v="19"/>
    <x v="19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05T00:00:00"/>
    <x v="0"/>
    <s v="ΔΙΕΥΘΥΝΣΗ Δ.Ε. Α΄ ΑΘΗΝΑΣ"/>
    <n v="55.088888888888889"/>
    <s v="51 - 55"/>
  </r>
  <r>
    <n v="99914569"/>
    <s v="Α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9-04T00:00:00"/>
    <x v="0"/>
    <s v="ΔΙΕΥΘΥΝΣΗ Δ.Ε. Β΄ ΑΘΗΝΑΣ"/>
    <n v="55.091666666666669"/>
    <s v="51 - 55"/>
  </r>
  <r>
    <n v="99914570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9-01T00:00:00"/>
    <x v="0"/>
    <s v="ΔΙΕΥΘΥΝΣΗ Δ.Ε. ΑΝΑΤΟΛΙΚΗΣ ΑΤΤΙΚΗΣ"/>
    <n v="55.1"/>
    <s v="51 - 55"/>
  </r>
  <r>
    <n v="99914571"/>
    <s v="Α"/>
    <x v="5"/>
    <x v="5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8-31T00:00:00"/>
    <x v="0"/>
    <s v="ΔΙΕΥΘΥΝΣΗ Δ.Ε. ΑΝΑΤΟΛΙΚΗΣ ΑΤΤΙΚΗΣ"/>
    <n v="55.102777777777774"/>
    <s v="51 - 55"/>
  </r>
  <r>
    <n v="99914572"/>
    <s v="Θ"/>
    <x v="3"/>
    <x v="3"/>
    <m/>
    <m/>
    <s v="Α΄"/>
    <n v="14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31T00:00:00"/>
    <x v="0"/>
    <s v="ΔΙΕΥΘΥΝΣΗ Δ.Ε. Β΄ ΑΘΗΝΑΣ"/>
    <n v="55.102777777777774"/>
    <s v="51 - 55"/>
  </r>
  <r>
    <n v="99914573"/>
    <s v="Α"/>
    <x v="8"/>
    <x v="8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2"/>
    <s v="ΟΧΙ"/>
    <s v="ΟΧΙ"/>
    <s v="ΟΧΙ"/>
    <s v="ΟΧΙ"/>
    <s v="ΟΧΙ"/>
    <m/>
    <m/>
    <s v="Ιδιωτικά Σχολεία"/>
    <x v="1"/>
    <s v="7501002"/>
    <s v="ΙΔΙΩΤΙΚΟ ΔΗΜΟΤΙΚΟ ΧΑΝΙΩΝ - ΜΑΥΡΟΜΑΤΑΚΗ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4-08-27T00:00:00"/>
    <x v="1"/>
    <s v="ΔΙΕΥΘΥΝΣΗ Π.Ε. ΧΑΝΙΩΝ"/>
    <n v="55.113888888888887"/>
    <s v="51 - 55"/>
  </r>
  <r>
    <n v="99914574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8-25T00:00:00"/>
    <x v="0"/>
    <s v="ΔΙΕΥΘΥΝΣΗ Δ.Ε. ΑΝΑΤΟΛΙΚΗΣ ΑΤΤΙΚΗΣ"/>
    <n v="55.119444444444447"/>
    <s v="51 - 55"/>
  </r>
  <r>
    <n v="99914575"/>
    <s v="Θ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0"/>
    <s v="0560027"/>
    <s v="ΙΔΙΩΤΙΚΟ ΗΜΕΡΗΣΙΟ ΓΥΜΝΑΣ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23T00:00:00"/>
    <x v="0"/>
    <s v="ΔΙΕΥΘΥΝΣΗ Δ.Ε. ΑΝΑΤΟΛΙΚΗΣ ΑΤΤΙΚΗΣ"/>
    <n v="55.125"/>
    <s v="51 - 55"/>
  </r>
  <r>
    <n v="99914576"/>
    <s v="Α"/>
    <x v="8"/>
    <x v="8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4-08-23T00:00:00"/>
    <x v="0"/>
    <s v="ΔΙΕΥΘΥΝΣΗ Δ.Ε. ΑΧΑΪΑΣ"/>
    <n v="55.125"/>
    <s v="51 - 55"/>
  </r>
  <r>
    <n v="99914577"/>
    <s v="Θ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22T00:00:00"/>
    <x v="0"/>
    <s v="ΔΙΕΥΘΥΝΣΗ Δ.Ε. ΠΕΙΡΑΙΑ"/>
    <n v="55.12777777777778"/>
    <s v="51 - 55"/>
  </r>
  <r>
    <n v="99914578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19T00:00:00"/>
    <x v="0"/>
    <s v="ΔΙΕΥΘΥΝΣΗ Δ.Ε. Β΄ ΑΘΗΝΑΣ"/>
    <n v="55.136111111111113"/>
    <s v="51 - 55"/>
  </r>
  <r>
    <n v="99914579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19T00:00:00"/>
    <x v="0"/>
    <s v="ΔΙΕΥΘΥΝΣΗ Δ.Ε. ΠΕΙΡΑΙΑ"/>
    <n v="55.136111111111113"/>
    <s v="51 - 55"/>
  </r>
  <r>
    <n v="99914580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8-17T00:00:00"/>
    <x v="0"/>
    <s v="ΔΙΕΥΘΥΝΣΗ Δ.Ε. ΑΝΑΤ. ΘΕΣ/ΝΙΚΗΣ"/>
    <n v="55.141666666666666"/>
    <s v="51 - 55"/>
  </r>
  <r>
    <n v="99914581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15T00:00:00"/>
    <x v="0"/>
    <s v="ΔΙΕΥΘΥΝΣΗ Δ.Ε. Β΄ ΑΘΗΝΑΣ"/>
    <n v="55.147222222222226"/>
    <s v="51 - 55"/>
  </r>
  <r>
    <n v="99914582"/>
    <s v="Α"/>
    <x v="1"/>
    <x v="1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8-14T00:00:00"/>
    <x v="1"/>
    <s v="ΔΙΕΥΘΥΝΣΗ Π.Ε. ΑΝΑΤ. ΘΕΣ/ΝΙΚΗΣ"/>
    <n v="55.15"/>
    <s v="51 - 55"/>
  </r>
  <r>
    <n v="99914583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8-09T00:00:00"/>
    <x v="0"/>
    <s v="ΔΙΕΥΘΥΝΣΗ Δ.Ε. ΑΝΑΤΟΛΙΚΗΣ ΑΤΤΙΚΗΣ"/>
    <n v="55.163888888888891"/>
    <s v="51 - 55"/>
  </r>
  <r>
    <n v="99914584"/>
    <s v="Α"/>
    <x v="8"/>
    <x v="8"/>
    <m/>
    <m/>
    <s v="Α΄"/>
    <n v="11"/>
    <m/>
    <m/>
    <s v="Α΄ ΠΕΙΡΑΙΑ (Π.Ε.) 2018"/>
    <s v="ΔΙΕΥΘΥΝΣΗ Π.Ε. ΠΕΙΡΑΙΑ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41004"/>
    <s v="ΠΑΙΔΑΓΩΓΙΚΗ Ιδιωτικό Δημοτικό Σχολείο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04T00:00:00"/>
    <x v="1"/>
    <s v="ΔΙΕΥΘΥΝΣΗ Π.Ε. ΠΕΙΡΑΙΑ"/>
    <n v="55.177777777777777"/>
    <s v="51 - 55"/>
  </r>
  <r>
    <n v="99914585"/>
    <s v="Α"/>
    <x v="18"/>
    <x v="1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8-01T00:00:00"/>
    <x v="1"/>
    <s v="ΔΙΕΥΘΥΝΣΗ Π.Ε. ΑΝΑΤΟΛΙΚΗΣ ΑΤΤΙΚΗΣ"/>
    <n v="55.18611111111111"/>
    <s v="51 - 55"/>
  </r>
  <r>
    <n v="99914586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4-08-01T00:00:00"/>
    <x v="1"/>
    <s v="ΔΙΕΥΘΥΝΣΗ Π.Ε. ΗΡΑΚΛΕΙΟΥ"/>
    <n v="55.18611111111111"/>
    <s v="51 - 55"/>
  </r>
  <r>
    <n v="99914587"/>
    <s v="Θ"/>
    <x v="4"/>
    <x v="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26T00:00:00"/>
    <x v="0"/>
    <s v="ΔΙΕΥΘΥΝΣΗ Δ.Ε. ΑΝΑΤΟΛΙΚΗΣ ΑΤΤΙΚΗΣ"/>
    <n v="55.202777777777776"/>
    <s v="51 - 55"/>
  </r>
  <r>
    <n v="99914588"/>
    <s v="Θ"/>
    <x v="1"/>
    <x v="1"/>
    <m/>
    <m/>
    <s v="Α΄"/>
    <n v="14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3-06-04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7-22T00:00:00"/>
    <x v="1"/>
    <s v="ΔΙΕΥΘΥΝΣΗ Π.Ε. ΑΝΑΤΟΛΙΚΗΣ ΑΤΤΙΚΗΣ"/>
    <n v="55.213888888888889"/>
    <s v="51 - 55"/>
  </r>
  <r>
    <n v="99914589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19T00:00:00"/>
    <x v="0"/>
    <s v="ΔΙΕΥΘΥΝΣΗ Δ.Ε. Α΄ ΑΘΗΝΑΣ"/>
    <n v="55.222222222222221"/>
    <s v="51 - 55"/>
  </r>
  <r>
    <n v="99914590"/>
    <s v="Θ"/>
    <x v="19"/>
    <x v="19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7-19T00:00:00"/>
    <x v="0"/>
    <s v="ΔΙΕΥΘΥΝΣΗ Δ.Ε. ΑΝΑΤΟΛΙΚΗΣ ΑΤΤΙΚΗΣ"/>
    <n v="55.222222222222221"/>
    <s v="51 - 55"/>
  </r>
  <r>
    <n v="99914591"/>
    <s v="Α"/>
    <x v="8"/>
    <x v="8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4-07-19T00:00:00"/>
    <x v="0"/>
    <s v="ΔΙΕΥΘΥΝΣΗ Δ.Ε. ΔΩΔΕΚΑΝΗΣΟΥ"/>
    <n v="55.222222222222221"/>
    <s v="51 - 55"/>
  </r>
  <r>
    <n v="99914592"/>
    <s v="Θ"/>
    <x v="2"/>
    <x v="2"/>
    <m/>
    <m/>
    <s v="Γ΄"/>
    <n v="1"/>
    <s v="55/1-9-1990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2"/>
    <s v="7052043"/>
    <s v="ΙΔΙΩΤΙΚΟ ΝΗΠΙΑΓΩΓΕΙΟ ΜΑΡΟΥΣΙ - ΙΟΝΙΟΣ ΣΧΟΛΗ ΑΜΑΡΟΥΣΙΟΥ Α.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13T00:00:00"/>
    <x v="1"/>
    <s v="ΔΙΕΥΘΥΝΣΗ Π.Ε. Β΄ ΑΘΗΝΑΣ"/>
    <n v="55.238888888888887"/>
    <s v="51 - 55"/>
  </r>
  <r>
    <n v="99914593"/>
    <s v="Θ"/>
    <x v="0"/>
    <x v="0"/>
    <m/>
    <m/>
    <s v="Γ΄"/>
    <n v="1"/>
    <s v="3453/19-10-2009"/>
    <d v="2018-09-01T00:00:00"/>
    <s v="Β΄ ΑΘΗΝΑΣ (Π.Ε.) 2018"/>
    <s v="ΔΙΕΥΘΥΝΣΗ Π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11T00:00:00"/>
    <x v="1"/>
    <s v="ΔΙΕΥΘΥΝΣΗ Π.Ε. Β΄ ΑΘΗΝΑΣ"/>
    <n v="55.244444444444447"/>
    <s v="51 - 55"/>
  </r>
  <r>
    <n v="99914594"/>
    <s v="Α"/>
    <x v="20"/>
    <x v="2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7-11T00:00:00"/>
    <x v="0"/>
    <s v="ΔΙΕΥΘΥΝΣΗ Δ.Ε. ΑΝΑΤ. ΘΕΣ/ΝΙΚΗΣ"/>
    <n v="55.244444444444447"/>
    <s v="51 - 55"/>
  </r>
  <r>
    <n v="99914595"/>
    <s v="Θ"/>
    <x v="1"/>
    <x v="1"/>
    <m/>
    <m/>
    <s v="Α΄"/>
    <n v="1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1"/>
    <s v="7192004"/>
    <s v="ΙΔΙΩΤΙΚΟ ΔΗΜΟΤΙΚΟ ΩΡΑΙΟΚΑΣΤΡΟ ΘΕΣΣΑΛΟΝΙΚΗΣ - Κ. ΑΝΔΡΕΑΔΗ Α.Ε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7-09T00:00:00"/>
    <x v="1"/>
    <s v="ΔΙΕΥΘΥΝΣΗ Π.Ε. ΔΥΤ. ΘΕΣ/ΝΙΚΗΣ"/>
    <n v="55.25"/>
    <s v="51 - 55"/>
  </r>
  <r>
    <n v="9991459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08T00:00:00"/>
    <x v="0"/>
    <s v="ΔΙΕΥΘΥΝΣΗ Δ.Ε. Β΄ ΑΘΗΝΑΣ"/>
    <n v="55.25277777777778"/>
    <s v="51 - 55"/>
  </r>
  <r>
    <n v="99914597"/>
    <s v="Θ"/>
    <x v="18"/>
    <x v="1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04T00:00:00"/>
    <x v="0"/>
    <s v="ΔΙΕΥΘΥΝΣΗ Δ.Ε. ΑΝΑΤΟΛΙΚΗΣ ΑΤΤΙΚΗΣ"/>
    <n v="55.263888888888886"/>
    <s v="51 - 55"/>
  </r>
  <r>
    <n v="99914598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7-04T00:00:00"/>
    <x v="0"/>
    <s v="ΔΙΕΥΘΥΝΣΗ Δ.Ε. ΑΝΑΤ. ΘΕΣ/ΝΙΚΗΣ"/>
    <n v="55.263888888888886"/>
    <s v="51 - 55"/>
  </r>
  <r>
    <n v="99914599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7-03T00:00:00"/>
    <x v="0"/>
    <s v="ΔΙΕΥΘΥΝΣΗ Δ.Ε. Β΄ ΑΘΗΝΑΣ"/>
    <n v="55.266666666666666"/>
    <s v="51 - 55"/>
  </r>
  <r>
    <n v="99914600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6-30T00:00:00"/>
    <x v="0"/>
    <s v="ΔΙΕΥΘΥΝΣΗ Δ.Ε. Β΄ ΑΘΗΝΑΣ"/>
    <n v="55.274999999999999"/>
    <s v="51 - 55"/>
  </r>
  <r>
    <n v="99914601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6-24T00:00:00"/>
    <x v="0"/>
    <s v="ΔΙΕΥΘΥΝΣΗ Δ.Ε. Α΄ ΑΘΗΝΑΣ"/>
    <n v="55.291666666666664"/>
    <s v="51 - 55"/>
  </r>
  <r>
    <n v="99914602"/>
    <s v="Α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s v="ΟΧΙ"/>
    <s v="ΟΧΙ"/>
    <s v="ΟΧΙ"/>
    <s v="ΟΧΙ"/>
    <s v="ΟΧΙ"/>
    <m/>
    <m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6-23T00:00:00"/>
    <x v="1"/>
    <s v="ΔΙΕΥΘΥΝΣΗ Π.Ε. ΑΝΑΤ. ΘΕΣ/ΝΙΚΗΣ"/>
    <n v="55.294444444444444"/>
    <s v="51 - 55"/>
  </r>
  <r>
    <n v="99914603"/>
    <s v="Θ"/>
    <x v="1"/>
    <x v="1"/>
    <m/>
    <m/>
    <s v="Γ΄"/>
    <n v="1"/>
    <n v="2289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m/>
    <m/>
    <m/>
    <s v="ΟΧΙ"/>
    <m/>
    <d v="2018-09-01T00:00:00"/>
    <s v="Ιδιωτικά Σχολεία"/>
    <x v="1"/>
    <s v="7311000"/>
    <s v="ΙΔΙΩΤΙΚΟ ΔΗΜΟΤΙΚΟ ΛΑΡΙΣΑ - Α.ΔΡΑΚΟΣ-Γ. ΜΑΛΑΧΤΑΡΗ ΟΕ ΕΛΛΗΝΙΚΑ ΕΚΠΑΙΔΕΥΤΗΡΙΑ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06-15T00:00:00"/>
    <x v="1"/>
    <s v="ΔΙΕΥΘΥΝΣΗ Π.Ε. ΛΑΡΙΣΑΣ"/>
    <n v="55.31666666666667"/>
    <s v="51 - 55"/>
  </r>
  <r>
    <n v="99914604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6-14T00:00:00"/>
    <x v="0"/>
    <s v="ΔΙΕΥΘΥΝΣΗ Δ.Ε. Β΄ ΑΘΗΝΑΣ"/>
    <n v="55.319444444444443"/>
    <s v="51 - 55"/>
  </r>
  <r>
    <n v="99914605"/>
    <s v="Θ"/>
    <x v="1"/>
    <x v="1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12"/>
    <s v="ΟΧΙ"/>
    <s v="ΟΧΙ"/>
    <s v="ΟΧΙ"/>
    <m/>
    <s v="ΟΧΙ"/>
    <m/>
    <m/>
    <s v="Ιδιωτικά Σχολεία"/>
    <x v="1"/>
    <s v="7191016"/>
    <s v="ΙΔΙΩΤΙΚΟ ΔΗΜΟΤΙΚΟ ΘΕΣΣΑΛΟΝΙΚΗ - ΙΔ. ΔΗΜΟΤΙΚΟ ΣΧΟΛΕΙΟ ΙΚΘ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6-10T00:00:00"/>
    <x v="1"/>
    <s v="ΔΙΕΥΘΥΝΣΗ Π.Ε. ΑΝΑΤ. ΘΕΣ/ΝΙΚΗΣ"/>
    <n v="55.330555555555556"/>
    <s v="51 - 55"/>
  </r>
  <r>
    <n v="99914606"/>
    <s v="Α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6-08T00:00:00"/>
    <x v="0"/>
    <s v="ΔΙΕΥΘΥΝΣΗ Δ.Ε. Β΄ ΑΘΗΝΑΣ"/>
    <n v="55.336111111111109"/>
    <s v="51 - 55"/>
  </r>
  <r>
    <n v="99914607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6-08T00:00:00"/>
    <x v="0"/>
    <s v="ΔΙΕΥΘΥΝΣΗ Δ.Ε. Β΄ ΑΘΗΝΑΣ"/>
    <n v="55.336111111111109"/>
    <s v="51 - 55"/>
  </r>
  <r>
    <n v="99914608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6-08T00:00:00"/>
    <x v="0"/>
    <s v="ΔΙΕΥΘΥΝΣΗ Δ.Ε. Β΄ ΑΘΗΝΑΣ"/>
    <n v="55.336111111111109"/>
    <s v="51 - 55"/>
  </r>
  <r>
    <n v="99914609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6-05T00:00:00"/>
    <x v="0"/>
    <s v="ΔΙΕΥΘΥΝΣΗ Δ.Ε. ΑΝΑΤΟΛΙΚΗΣ ΑΤΤΙΚΗΣ"/>
    <n v="55.344444444444441"/>
    <s v="51 - 55"/>
  </r>
  <r>
    <n v="99914610"/>
    <s v="Θ"/>
    <x v="0"/>
    <x v="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6-03T00:00:00"/>
    <x v="0"/>
    <s v="ΔΙΕΥΘΥΝΣΗ Δ.Ε. Α΄ ΑΘΗΝΑΣ"/>
    <n v="55.35"/>
    <s v="51 - 55"/>
  </r>
  <r>
    <n v="9991461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5-29T00:00:00"/>
    <x v="1"/>
    <s v="ΔΙΕΥΘΥΝΣΗ Π.Ε. Β΄ ΑΘΗΝΑΣ"/>
    <n v="55.363888888888887"/>
    <s v="51 - 55"/>
  </r>
  <r>
    <n v="99914612"/>
    <s v="Α"/>
    <x v="19"/>
    <x v="19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3"/>
    <s v="0161002"/>
    <s v="ΙΔΙΩΤΙΚΟ ΓΕΛ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4-05-27T00:00:00"/>
    <x v="0"/>
    <s v="ΔΙΕΥΘΥΝΣΗ Δ.Ε. ΑΙΤΩΛΟΑΚΑΡΝΑΝΙΑΣ"/>
    <n v="55.369444444444447"/>
    <s v="51 - 55"/>
  </r>
  <r>
    <n v="99914613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4-05-25T00:00:00"/>
    <x v="0"/>
    <s v="ΔΙΕΥΘΥΝΣΗ Δ.Ε. ΑΝΑΤ. ΘΕΣ/ΝΙΚΗΣ"/>
    <n v="55.375"/>
    <s v="51 - 55"/>
  </r>
  <r>
    <n v="99914614"/>
    <s v="Α"/>
    <x v="8"/>
    <x v="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s v="ΟΧΙ"/>
    <s v="ΟΧΙ"/>
    <s v="ΟΧΙ"/>
    <m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5-25T00:00:00"/>
    <x v="0"/>
    <s v="ΔΙΕΥΘΥΝΣΗ Δ.Ε. ΑΝΑΤ. ΘΕΣ/ΝΙΚΗΣ"/>
    <n v="55.375"/>
    <s v="51 - 55"/>
  </r>
  <r>
    <n v="99914615"/>
    <s v="Α"/>
    <x v="19"/>
    <x v="19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d v="1998-12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5-24T00:00:00"/>
    <x v="0"/>
    <s v="ΔΙΕΥΘΥΝΣΗ Δ.Ε. Α΄ ΑΘΗΝΑΣ"/>
    <n v="55.37777777777778"/>
    <s v="51 - 55"/>
  </r>
  <r>
    <n v="99914616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5-18T00:00:00"/>
    <x v="0"/>
    <s v="ΔΙΕΥΘΥΝΣΗ Δ.Ε. ΑΝΑΤΟΛΙΚΗΣ ΑΤΤΙΚΗΣ"/>
    <n v="55.394444444444446"/>
    <s v="51 - 55"/>
  </r>
  <r>
    <n v="99914617"/>
    <s v="Α"/>
    <x v="19"/>
    <x v="1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5-14T00:00:00"/>
    <x v="0"/>
    <s v="ΔΙΕΥΘΥΝΣΗ Δ.Ε. Α΄ ΑΘΗΝΑΣ"/>
    <n v="55.405555555555559"/>
    <s v="51 - 55"/>
  </r>
  <r>
    <n v="99914618"/>
    <s v="Θ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5-10T00:00:00"/>
    <x v="0"/>
    <s v="ΔΙΕΥΘΥΝΣΗ Δ.Ε. ΑΝΑΤ. ΘΕΣ/ΝΙΚΗΣ"/>
    <n v="55.416666666666664"/>
    <s v="51 - 55"/>
  </r>
  <r>
    <n v="99914619"/>
    <s v="Θ"/>
    <x v="4"/>
    <x v="4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5-08T00:00:00"/>
    <x v="0"/>
    <s v="ΔΙΕΥΘΥΝΣΗ Δ.Ε. Α΄ ΑΘΗΝΑΣ"/>
    <n v="55.422222222222224"/>
    <s v="51 - 55"/>
  </r>
  <r>
    <n v="99914620"/>
    <s v="Θ"/>
    <x v="1"/>
    <x v="1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5-05T00:00:00"/>
    <x v="1"/>
    <s v="ΔΙΕΥΘΥΝΣΗ Π.Ε. Β΄ ΑΘΗΝΑΣ"/>
    <n v="55.430555555555557"/>
    <s v="51 - 55"/>
  </r>
  <r>
    <n v="99914621"/>
    <s v="Θ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5-04T00:00:00"/>
    <x v="0"/>
    <s v="ΔΙΕΥΘΥΝΣΗ Δ.Ε. Α΄ ΑΘΗΝΑΣ"/>
    <n v="55.43333333333333"/>
    <s v="51 - 55"/>
  </r>
  <r>
    <n v="99914622"/>
    <s v="Θ"/>
    <x v="15"/>
    <x v="15"/>
    <s v="ΠΕ02"/>
    <s v="ΦΙΛΟΛΟΓΟΙ"/>
    <s v="Α΄"/>
    <n v="12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29T00:00:00"/>
    <x v="0"/>
    <s v="ΔΙΕΥΘΥΝΣΗ Δ.Ε. Δ΄ ΑΘΗΝΑΣ"/>
    <n v="55.447222222222223"/>
    <s v="51 - 55"/>
  </r>
  <r>
    <n v="99914623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4-04-26T00:00:00"/>
    <x v="1"/>
    <s v="ΔΙΕΥΘΥΝΣΗ Π.Ε. ΗΡΑΚΛΕΙΟΥ"/>
    <n v="55.455555555555556"/>
    <s v="51 - 55"/>
  </r>
  <r>
    <n v="99914624"/>
    <s v="Α"/>
    <x v="19"/>
    <x v="19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9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4-04-25T00:00:00"/>
    <x v="0"/>
    <s v="ΔΙΕΥΘΥΝΣΗ Δ.Ε. ΑΧΑΪΑΣ"/>
    <n v="55.458333333333336"/>
    <s v="51 - 55"/>
  </r>
  <r>
    <n v="99914625"/>
    <s v="Α"/>
    <x v="19"/>
    <x v="19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s v="ΟΧΙ"/>
    <s v="ΟΧΙ"/>
    <s v="ΟΧΙ"/>
    <s v="ΟΧΙ"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4-04-25T00:00:00"/>
    <x v="0"/>
    <s v="ΔΙΕΥΘΥΝΣΗ Δ.Ε. ΔΩΔΕΚΑΝΗΣΟΥ"/>
    <n v="55.458333333333336"/>
    <s v="51 - 55"/>
  </r>
  <r>
    <n v="99914626"/>
    <s v="Θ"/>
    <x v="5"/>
    <x v="5"/>
    <m/>
    <m/>
    <s v="Γ΄"/>
    <n v="1"/>
    <n v="789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6"/>
    <s v="ΟΧΙ"/>
    <s v="ΟΧΙ"/>
    <s v="ΟΧΙ"/>
    <s v="ΟΧΙ"/>
    <s v="ΟΧΙ"/>
    <m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Ορισμένου Χρόνου (Ι.Δ.Ο.Χ.)"/>
    <s v="Τοποθέτηση σε Ιδιωτική Εκπαίδευση"/>
    <d v="1964-04-23T00:00:00"/>
    <x v="0"/>
    <s v="ΔΙΕΥΘΥΝΣΗ Δ.Ε. ΔΩΔΕΚΑΝΗΣΟΥ"/>
    <n v="55.463888888888889"/>
    <s v="51 - 55"/>
  </r>
  <r>
    <n v="99914627"/>
    <s v="Θ"/>
    <x v="10"/>
    <x v="10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21T00:00:00"/>
    <x v="1"/>
    <s v="ΔΙΕΥΘΥΝΣΗ Π.Ε. Δ΄ ΑΘΗΝΑΣ"/>
    <n v="55.469444444444441"/>
    <s v="51 - 55"/>
  </r>
  <r>
    <n v="99914628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4-15T00:00:00"/>
    <x v="0"/>
    <s v="ΔΙΕΥΘΥΝΣΗ Δ.Ε. ΑΝΑΤΟΛΙΚΗΣ ΑΤΤΙΚΗΣ"/>
    <n v="55.486111111111114"/>
    <s v="51 - 55"/>
  </r>
  <r>
    <n v="9991462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4-15T00:00:00"/>
    <x v="0"/>
    <s v="ΔΙΕΥΘΥΝΣΗ Δ.Ε. Β΄ ΑΘΗΝΑΣ"/>
    <n v="55.486111111111114"/>
    <s v="51 - 55"/>
  </r>
  <r>
    <n v="99914630"/>
    <s v="Θ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14T00:00:00"/>
    <x v="0"/>
    <s v="ΔΙΕΥΘΥΝΣΗ Δ.Ε. Δ΄ ΑΘΗΝΑΣ"/>
    <n v="55.488888888888887"/>
    <s v="51 - 55"/>
  </r>
  <r>
    <n v="99914631"/>
    <s v="Α"/>
    <x v="3"/>
    <x v="3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12T00:00:00"/>
    <x v="0"/>
    <s v="ΔΙΕΥΘΥΝΣΗ Δ.Ε. Α΄ ΑΘΗΝΑΣ"/>
    <n v="55.494444444444447"/>
    <s v="51 - 55"/>
  </r>
  <r>
    <n v="99914632"/>
    <s v="Α"/>
    <x v="14"/>
    <x v="14"/>
    <s v="ΠΕ04.01"/>
    <s v="ΦΥΣΙΚΟΙ"/>
    <s v="Α΄"/>
    <n v="13"/>
    <m/>
    <m/>
    <s v="Δ΄ ΑΘΗΝΑΣ (Δ.Ε.) 2018"/>
    <s v="ΔΙΕΥΘΥΝΣΗ Δ.Ε. Δ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12T00:00:00"/>
    <x v="0"/>
    <s v="ΔΙΕΥΘΥΝΣΗ Δ.Ε. Δ΄ ΑΘΗΝΑΣ"/>
    <n v="55.494444444444447"/>
    <s v="51 - 55"/>
  </r>
  <r>
    <n v="99914633"/>
    <s v="Α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4-11T00:00:00"/>
    <x v="0"/>
    <s v="ΔΙΕΥΘΥΝΣΗ Δ.Ε. ΑΝΑΤ. ΘΕΣ/ΝΙΚΗΣ"/>
    <n v="55.49722222222222"/>
    <s v="51 - 55"/>
  </r>
  <r>
    <n v="99914634"/>
    <s v="Θ"/>
    <x v="6"/>
    <x v="6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10T00:00:00"/>
    <x v="0"/>
    <s v="ΔΙΕΥΘΥΝΣΗ Δ.Ε. Γ΄ ΑΘΗΝΑΣ"/>
    <n v="55.5"/>
    <s v="56 - 60"/>
  </r>
  <r>
    <n v="99914635"/>
    <s v="Θ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05T00:00:00"/>
    <x v="0"/>
    <s v="ΔΙΕΥΘΥΝΣΗ Δ.Ε. Β΄ ΑΘΗΝΑΣ"/>
    <n v="55.513888888888886"/>
    <s v="56 - 60"/>
  </r>
  <r>
    <n v="99914636"/>
    <s v="Θ"/>
    <x v="6"/>
    <x v="6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05T00:00:00"/>
    <x v="1"/>
    <s v="ΔΙΕΥΘΥΝΣΗ Π.Ε. ΑΝΑΤΟΛΙΚΗΣ ΑΤΤΙΚΗΣ"/>
    <n v="55.513888888888886"/>
    <s v="56 - 60"/>
  </r>
  <r>
    <n v="99914637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04T00:00:00"/>
    <x v="0"/>
    <s v="ΔΙΕΥΘΥΝΣΗ Δ.Ε. Β΄ ΑΘΗΝΑΣ"/>
    <n v="55.516666666666666"/>
    <s v="56 - 60"/>
  </r>
  <r>
    <n v="99914638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4-01T00:00:00"/>
    <x v="0"/>
    <s v="ΔΙΕΥΘΥΝΣΗ Δ.Ε. ΑΝΑΤΟΛΙΚΗΣ ΑΤΤΙΚΗΣ"/>
    <n v="55.524999999999999"/>
    <s v="56 - 60"/>
  </r>
  <r>
    <n v="99914639"/>
    <s v="Α"/>
    <x v="5"/>
    <x v="5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4-01T00:00:00"/>
    <x v="0"/>
    <s v="ΔΙΕΥΘΥΝΣΗ Δ.Ε. Δ΄ ΑΘΗΝΑΣ"/>
    <n v="55.524999999999999"/>
    <s v="56 - 60"/>
  </r>
  <r>
    <n v="99914640"/>
    <s v="Α"/>
    <x v="11"/>
    <x v="11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03-26T00:00:00"/>
    <x v="0"/>
    <s v="ΔΙΕΥΘΥΝΣΗ Δ.Ε. ΤΡΙΚΑΛΩΝ"/>
    <n v="55.541666666666664"/>
    <s v="56 - 60"/>
  </r>
  <r>
    <n v="99914641"/>
    <s v="Α"/>
    <x v="18"/>
    <x v="18"/>
    <m/>
    <m/>
    <s v="Α΄"/>
    <n v="1"/>
    <s v="9608/05-12-1991"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1"/>
    <s v="7192000"/>
    <s v="ΙΔΙΩΤΙΚΟ ΔΗΜΟΤΙΚ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3-19T00:00:00"/>
    <x v="1"/>
    <s v="ΔΙΕΥΘΥΝΣΗ Π.Ε. ΔΥΤ. ΘΕΣ/ΝΙΚΗΣ"/>
    <n v="55.56111111111111"/>
    <s v="56 - 60"/>
  </r>
  <r>
    <n v="99914642"/>
    <s v="Θ"/>
    <x v="18"/>
    <x v="1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3-18T00:00:00"/>
    <x v="0"/>
    <s v="ΔΙΕΥΘΥΝΣΗ Δ.Ε. Δ΄ ΑΘΗΝΑΣ"/>
    <n v="55.56388888888889"/>
    <s v="56 - 60"/>
  </r>
  <r>
    <n v="99914643"/>
    <s v="Θ"/>
    <x v="7"/>
    <x v="7"/>
    <m/>
    <m/>
    <s v="Α΄"/>
    <n v="12"/>
    <s v="Φ.60.2/6439/10-9-2003"/>
    <d v="2003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3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3-17T00:00:00"/>
    <x v="1"/>
    <s v="ΔΙΕΥΘΥΝΣΗ Π.Ε. ΑΝΑΤΟΛΙΚΗΣ ΑΤΤΙΚΗΣ"/>
    <n v="55.56666666666667"/>
    <s v="56 - 60"/>
  </r>
  <r>
    <n v="99914644"/>
    <s v="Α"/>
    <x v="18"/>
    <x v="18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s v="ΟΧΙ"/>
    <s v="ΟΧΙ"/>
    <s v="ΟΧΙ"/>
    <m/>
    <s v="ΟΧΙ"/>
    <m/>
    <m/>
    <s v="Ιδιωτικά Σχολεία"/>
    <x v="1"/>
    <s v="7101000"/>
    <s v="ΙΔΙΩΤΙΚΟ ΔΗΜΟΤΙΚΟ ΡΟΔΟΣ - ΡΟΔΙΩΝ ΠΑΙΔΕΙΑ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4-03-14T00:00:00"/>
    <x v="1"/>
    <s v="ΔΙΕΥΘΥΝΣΗ Π.Ε. ΔΩΔΕΚΑΝΗΣΟΥ"/>
    <n v="55.575000000000003"/>
    <s v="56 - 60"/>
  </r>
  <r>
    <n v="99914645"/>
    <s v="Θ"/>
    <x v="10"/>
    <x v="1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3-12T00:00:00"/>
    <x v="0"/>
    <s v="ΔΙΕΥΘΥΝΣΗ Δ.Ε. ΑΝΑΤΟΛΙΚΗΣ ΑΤΤΙΚΗΣ"/>
    <n v="55.580555555555556"/>
    <s v="56 - 60"/>
  </r>
  <r>
    <n v="99914646"/>
    <s v="Α"/>
    <x v="39"/>
    <x v="38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3-11T00:00:00"/>
    <x v="0"/>
    <s v="ΔΙΕΥΘΥΝΣΗ Δ.Ε. ΑΝΑΤ. ΘΕΣ/ΝΙΚΗΣ"/>
    <n v="55.583333333333336"/>
    <s v="56 - 60"/>
  </r>
  <r>
    <n v="99914647"/>
    <s v="Θ"/>
    <x v="20"/>
    <x v="2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3-03T00:00:00"/>
    <x v="0"/>
    <s v="ΔΙΕΥΘΥΝΣΗ Δ.Ε. ΑΝΑΤΟΛΙΚΗΣ ΑΤΤΙΚΗΣ"/>
    <n v="55.605555555555554"/>
    <s v="56 - 60"/>
  </r>
  <r>
    <n v="99914648"/>
    <s v="Θ"/>
    <x v="1"/>
    <x v="1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0"/>
    <s v="ΟΧΙ"/>
    <s v="ΟΧΙ"/>
    <s v="ΟΧΙ"/>
    <m/>
    <s v="ΟΧΙ"/>
    <m/>
    <m/>
    <s v="Ιδιωτικά Σχολεία"/>
    <x v="1"/>
    <s v="7311010"/>
    <s v="ΔΕΥΤΕΡΟ ΙΔΙΩΤΙΚΟ ΔΗΜΟΤΙΚΟ ΣΧΟΛΕΙΟ Ν. ΜΠΑΚΟΓΙΑΝΝΗ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03-03T00:00:00"/>
    <x v="1"/>
    <s v="ΔΙΕΥΘΥΝΣΗ Π.Ε. ΛΑΡΙΣΑΣ"/>
    <n v="55.605555555555554"/>
    <s v="56 - 60"/>
  </r>
  <r>
    <n v="99914649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3-01T00:00:00"/>
    <x v="0"/>
    <s v="ΔΙΕΥΘΥΝΣΗ Δ.Ε. ΑΝΑΤΟΛΙΚΗΣ ΑΤΤΙΚΗΣ"/>
    <n v="55.611111111111114"/>
    <s v="56 - 60"/>
  </r>
  <r>
    <n v="99914650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3-01T00:00:00"/>
    <x v="0"/>
    <s v="ΔΙΕΥΘΥΝΣΗ Δ.Ε. Β΄ ΑΘΗΝΑΣ"/>
    <n v="55.611111111111114"/>
    <s v="56 - 60"/>
  </r>
  <r>
    <n v="99914651"/>
    <s v="Θ"/>
    <x v="6"/>
    <x v="6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4-02-20T00:00:00"/>
    <x v="0"/>
    <s v="ΔΙΕΥΘΥΝΣΗ Δ.Ε. ΑΝΑΤ. ΘΕΣ/ΝΙΚΗΣ"/>
    <n v="55.638888888888886"/>
    <s v="56 - 60"/>
  </r>
  <r>
    <n v="99914652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34"/>
    <s v="ΙΔΙΩΤΙΚΟ ΔΗΜΟΤΙΚΟ ΚΗΦΙΣΙΑ - ΣΧΟΛΗ Β. ΜΑΝΤ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2-19T00:00:00"/>
    <x v="1"/>
    <s v="ΔΙΕΥΘΥΝΣΗ Π.Ε. Β΄ ΑΘΗΝΑΣ"/>
    <n v="55.641666666666666"/>
    <s v="56 - 60"/>
  </r>
  <r>
    <n v="99914653"/>
    <s v="Α"/>
    <x v="8"/>
    <x v="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2-15T00:00:00"/>
    <x v="0"/>
    <s v="ΔΙΕΥΘΥΝΣΗ Δ.Ε. Α΄ ΑΘΗΝΑΣ"/>
    <n v="55.652777777777779"/>
    <s v="56 - 60"/>
  </r>
  <r>
    <n v="99914654"/>
    <s v="Α"/>
    <x v="8"/>
    <x v="8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054004"/>
    <s v="ΙΔΙΩΤΙΚΟ ΔΗΜΟΤΙΚΟ - ΠΑΣΧΑΛΗΣ ΑΝΤΩΝΗΣ ΙΔΙΩΤΙΚΑ ΕΚΠΑΙΔΕΥΤΗΡΙΑ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2-15T00:00:00"/>
    <x v="1"/>
    <s v="ΔΙΕΥΘΥΝΣΗ Π.Ε. Δ΄ ΑΘΗΝΑΣ"/>
    <n v="55.652777777777779"/>
    <s v="56 - 60"/>
  </r>
  <r>
    <n v="99914655"/>
    <s v="Θ"/>
    <x v="1"/>
    <x v="1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1"/>
    <s v="ΟΧΙ"/>
    <s v="ΟΧΙ"/>
    <s v="ΟΧΙ"/>
    <s v="ΟΧΙ"/>
    <s v="ΟΧΙ"/>
    <m/>
    <m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4-02-12T00:00:00"/>
    <x v="1"/>
    <s v="ΔΙΕΥΘΥΝΣΗ Π.Ε. ΜΑΓΝΗΣΙΑΣ"/>
    <n v="55.661111111111111"/>
    <s v="56 - 60"/>
  </r>
  <r>
    <n v="99914656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4-02-04T00:00:00"/>
    <x v="0"/>
    <s v="ΔΙΕΥΘΥΝΣΗ Δ.Ε. ΑΝΑΤ. ΘΕΣ/ΝΙΚΗΣ"/>
    <n v="55.68333333333333"/>
    <s v="56 - 60"/>
  </r>
  <r>
    <n v="99914657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1-25T00:00:00"/>
    <x v="0"/>
    <s v="ΔΙΕΥΘΥΝΣΗ Δ.Ε. ΑΝΑΤΟΛΙΚΗΣ ΑΤΤΙΚΗΣ"/>
    <n v="55.711111111111109"/>
    <s v="56 - 60"/>
  </r>
  <r>
    <n v="99914658"/>
    <s v="Α"/>
    <x v="19"/>
    <x v="19"/>
    <m/>
    <m/>
    <s v="Γ΄"/>
    <n v="1"/>
    <s v="ΦΔ18/2/6796/14-09-2017"/>
    <d v="2017-09-01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16"/>
    <s v="ΟΧΙ"/>
    <s v="ΟΧΙ"/>
    <s v="ΟΧΙ"/>
    <s v="ΟΧΙ"/>
    <s v="ΟΧΙ"/>
    <m/>
    <d v="2017-09-01T00:00:00"/>
    <s v="Ιδιωτικά Σχολεία"/>
    <x v="3"/>
    <s v="0161002"/>
    <s v="ΙΔΙΩΤΙΚΟ ΓΕΛ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64-01-24T00:00:00"/>
    <x v="0"/>
    <s v="ΔΙΕΥΘΥΝΣΗ Δ.Ε. ΑΙΤΩΛΟΑΚΑΡΝΑΝΙΑΣ"/>
    <n v="55.713888888888889"/>
    <s v="56 - 60"/>
  </r>
  <r>
    <n v="99914659"/>
    <s v="Θ"/>
    <x v="1"/>
    <x v="1"/>
    <m/>
    <m/>
    <s v="Α΄"/>
    <n v="16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88-02-16T00:00:00"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4-01-19T00:00:00"/>
    <x v="1"/>
    <s v="ΔΙΕΥΘΥΝΣΗ Π.Ε. ΑΝΑΤΟΛΙΚΗΣ ΑΤΤΙΚΗΣ"/>
    <n v="55.727777777777774"/>
    <s v="56 - 60"/>
  </r>
  <r>
    <n v="99914660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1-18T00:00:00"/>
    <x v="0"/>
    <s v="ΔΙΕΥΘΥΝΣΗ Δ.Ε. Β΄ ΑΘΗΝΑΣ"/>
    <n v="55.730555555555554"/>
    <s v="56 - 60"/>
  </r>
  <r>
    <n v="99914661"/>
    <s v="Α"/>
    <x v="19"/>
    <x v="19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9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4-01-17T00:00:00"/>
    <x v="0"/>
    <s v="ΔΙΕΥΘΥΝΣΗ Δ.Ε. ΔΩΔΕΚΑΝΗΣΟΥ"/>
    <n v="55.733333333333334"/>
    <s v="56 - 60"/>
  </r>
  <r>
    <n v="99914662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1-01T00:00:00"/>
    <x v="0"/>
    <s v="ΔΙΕΥΘΥΝΣΗ Δ.Ε. ΑΝΑΤΟΛΙΚΗΣ ΑΤΤΙΚΗΣ"/>
    <n v="55.777777777777779"/>
    <s v="56 - 60"/>
  </r>
  <r>
    <n v="99914663"/>
    <s v="Α"/>
    <x v="18"/>
    <x v="1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s v="ΟΧΙ"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4-01-01T00:00:00"/>
    <x v="0"/>
    <s v="ΔΙΕΥΘΥΝΣΗ Δ.Ε. Β΄ ΑΘΗΝΑΣ"/>
    <n v="55.777777777777779"/>
    <s v="56 - 60"/>
  </r>
  <r>
    <n v="99914664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1-01T00:00:00"/>
    <x v="0"/>
    <s v="ΔΙΕΥΘΥΝΣΗ Δ.Ε. Γ΄ ΑΘΗΝΑΣ"/>
    <n v="55.777777777777779"/>
    <s v="56 - 60"/>
  </r>
  <r>
    <n v="99914665"/>
    <s v="Θ"/>
    <x v="8"/>
    <x v="8"/>
    <m/>
    <m/>
    <s v="Γ΄"/>
    <n v="1"/>
    <n v="28878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4-01-01T00:00:00"/>
    <x v="1"/>
    <s v="ΔΙΕΥΘΥΝΣΗ Π.Ε. Δ΄ ΑΘΗΝΑΣ"/>
    <n v="55.777777777777779"/>
    <s v="56 - 60"/>
  </r>
  <r>
    <n v="99914666"/>
    <s v="Θ"/>
    <x v="10"/>
    <x v="10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4-01-01T00:00:00"/>
    <x v="0"/>
    <s v="ΔΙΕΥΘΥΝΣΗ Δ.Ε. ΑΧΑΪΑΣ"/>
    <n v="55.777777777777779"/>
    <s v="56 - 60"/>
  </r>
  <r>
    <n v="99914667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4-01-01T00:00:00"/>
    <x v="0"/>
    <s v="ΔΙΕΥΘΥΝΣΗ Δ.Ε. ΑΝΑΤ. ΘΕΣ/ΝΙΚΗΣ"/>
    <n v="55.777777777777779"/>
    <s v="56 - 60"/>
  </r>
  <r>
    <n v="99914668"/>
    <s v="Α"/>
    <x v="19"/>
    <x v="19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4-01-01T00:00:00"/>
    <x v="0"/>
    <s v="ΔΙΕΥΘΥΝΣΗ Δ.Ε. ΗΡΑΚΛΕΙΟΥ"/>
    <n v="55.777777777777779"/>
    <s v="56 - 60"/>
  </r>
  <r>
    <n v="99914669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30T00:00:00"/>
    <x v="0"/>
    <s v="ΔΙΕΥΘΥΝΣΗ Δ.Ε. Β΄ ΑΘΗΝΑΣ"/>
    <n v="55.783333333333331"/>
    <s v="56 - 60"/>
  </r>
  <r>
    <n v="99914670"/>
    <s v="Α"/>
    <x v="22"/>
    <x v="22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931"/>
    <s v="ΙΔΙΩΤΙΚΟ ΗΜΕΡΗΣΙΟ ΛΥΚΕ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30T00:00:00"/>
    <x v="0"/>
    <s v="ΔΙΕΥΘΥΝΣΗ Δ.Ε. Δ΄ ΑΘΗΝΑΣ"/>
    <n v="55.783333333333331"/>
    <s v="56 - 60"/>
  </r>
  <r>
    <n v="99914671"/>
    <s v="Α"/>
    <x v="8"/>
    <x v="8"/>
    <m/>
    <m/>
    <s v="Γ΄"/>
    <n v="1"/>
    <d v="199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12-30T00:00:00"/>
    <x v="1"/>
    <s v="ΔΙΕΥΘΥΝΣΗ Π.Ε. ΑΝΑΤ. ΘΕΣ/ΝΙΚΗΣ"/>
    <n v="55.783333333333331"/>
    <s v="56 - 60"/>
  </r>
  <r>
    <n v="99914672"/>
    <s v="Θ"/>
    <x v="18"/>
    <x v="18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1"/>
    <s v="ΟΧΙ"/>
    <m/>
    <s v="ΟΧΙ"/>
    <m/>
    <s v="ΟΧΙ"/>
    <m/>
    <d v="2018-09-12T00:00:00"/>
    <s v="Ιδιωτικά Σχολεία"/>
    <x v="0"/>
    <s v="0560032"/>
    <s v="ΙΔΙΩΤΙΚΟ ΓΥΜΝΑΣΙΟ - ΕΥΡΩΠΑΙΚΟ ΠΡΟΤΥΠΟ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21T00:00:00"/>
    <x v="0"/>
    <s v="ΔΙΕΥΘΥΝΣΗ Δ.Ε. Δ΄ ΑΘΗΝΑΣ"/>
    <n v="55.80833333333333"/>
    <s v="56 - 60"/>
  </r>
  <r>
    <n v="99914673"/>
    <s v="Θ"/>
    <x v="0"/>
    <x v="0"/>
    <m/>
    <m/>
    <s v="Α΄"/>
    <n v="12"/>
    <s v="50/2036/4-10-99"/>
    <d v="1999-09-01T00:00:00"/>
    <s v="Α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1999-09-01T00:00:00"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14T00:00:00"/>
    <x v="1"/>
    <s v="ΔΙΕΥΘΥΝΣΗ Π.Ε. ΑΝΑΤΟΛΙΚΗΣ ΑΤΤΙΚΗΣ"/>
    <n v="55.827777777777776"/>
    <s v="56 - 60"/>
  </r>
  <r>
    <n v="99914674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07T00:00:00"/>
    <x v="0"/>
    <s v="ΔΙΕΥΘΥΝΣΗ Δ.Ε. Β΄ ΑΘΗΝΑΣ"/>
    <n v="55.847222222222221"/>
    <s v="56 - 60"/>
  </r>
  <r>
    <n v="99914675"/>
    <s v="Α"/>
    <x v="19"/>
    <x v="19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m/>
    <s v="ΟΧΙ"/>
    <m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 με Οργανική σε Ισότιμο προς τα Δημόσια Σχολείο"/>
    <s v="Τοποθέτηση σε Ιδιωτική Εκπαίδευση"/>
    <d v="1963-12-06T00:00:00"/>
    <x v="0"/>
    <s v="ΔΙΕΥΘΥΝΣΗ Δ.Ε. ΔΩΔΕΚΑΝΗΣΟΥ"/>
    <n v="55.85"/>
    <s v="56 - 60"/>
  </r>
  <r>
    <n v="99914676"/>
    <s v="Α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02T00:00:00"/>
    <x v="0"/>
    <s v="ΔΙΕΥΘΥΝΣΗ Δ.Ε. Β΄ ΑΘΗΝΑΣ"/>
    <n v="55.861111111111114"/>
    <s v="56 - 60"/>
  </r>
  <r>
    <n v="99914677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2-01T00:00:00"/>
    <x v="0"/>
    <s v="ΔΙΕΥΘΥΝΣΗ Δ.Ε. Β΄ ΑΘΗΝΑΣ"/>
    <n v="55.863888888888887"/>
    <s v="56 - 60"/>
  </r>
  <r>
    <n v="99914678"/>
    <s v="Θ"/>
    <x v="14"/>
    <x v="1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12-01T00:00:00"/>
    <x v="0"/>
    <s v="ΔΙΕΥΘΥΝΣΗ Δ.Ε. Β΄ ΑΘΗΝΑΣ"/>
    <n v="55.863888888888887"/>
    <s v="56 - 60"/>
  </r>
  <r>
    <n v="99914679"/>
    <s v="Α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1-29T00:00:00"/>
    <x v="0"/>
    <s v="ΔΙΕΥΘΥΝΣΗ Δ.Ε. ΑΝΑΤΟΛΙΚΗΣ ΑΤΤΙΚΗΣ"/>
    <n v="55.869444444444447"/>
    <s v="56 - 60"/>
  </r>
  <r>
    <n v="99914680"/>
    <s v="Θ"/>
    <x v="1"/>
    <x v="1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11-22T00:00:00"/>
    <x v="1"/>
    <s v="ΔΙΕΥΘΥΝΣΗ Π.Ε. Β΄ ΑΘΗΝΑΣ"/>
    <n v="55.888888888888886"/>
    <s v="56 - 60"/>
  </r>
  <r>
    <n v="99914681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3-11-15T00:00:00"/>
    <x v="0"/>
    <s v="ΔΙΕΥΘΥΝΣΗ Δ.Ε. ΑΝΑΤ. ΘΕΣ/ΝΙΚΗΣ"/>
    <n v="55.908333333333331"/>
    <s v="56 - 60"/>
  </r>
  <r>
    <n v="99914682"/>
    <s v="Α"/>
    <x v="13"/>
    <x v="13"/>
    <m/>
    <m/>
    <s v="Β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1-10T00:00:00"/>
    <x v="1"/>
    <s v="ΔΙΕΥΘΥΝΣΗ Π.Ε. ΠΕΙΡΑΙΑ"/>
    <n v="55.922222222222224"/>
    <s v="56 - 60"/>
  </r>
  <r>
    <n v="99914683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22"/>
    <s v="ΙΔΙΩΤΙΚΟ ΔΗΜΟΤΙΚΟ ΣΧΟΛΕΙΟ «Η ΘΕΟΜΗΤΩΡ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1-08T00:00:00"/>
    <x v="1"/>
    <s v="ΔΙΕΥΘΥΝΣΗ Π.Ε. Α΄ ΑΘΗΝΑΣ"/>
    <n v="55.927777777777777"/>
    <s v="56 - 60"/>
  </r>
  <r>
    <n v="99914684"/>
    <s v="Α"/>
    <x v="6"/>
    <x v="6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1-07T00:00:00"/>
    <x v="0"/>
    <s v="ΔΙΕΥΘΥΝΣΗ Δ.Ε. Α΄ ΑΘΗΝΑΣ"/>
    <n v="55.930555555555557"/>
    <s v="56 - 60"/>
  </r>
  <r>
    <n v="99914685"/>
    <s v="Α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1-02T00:00:00"/>
    <x v="0"/>
    <s v="ΔΙΕΥΘΥΝΣΗ Δ.Ε. Β΄ ΑΘΗΝΑΣ"/>
    <n v="55.944444444444443"/>
    <s v="56 - 60"/>
  </r>
  <r>
    <n v="99914686"/>
    <s v="Α"/>
    <x v="7"/>
    <x v="7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1"/>
    <s v="7541008"/>
    <s v="ΙΔΙΩΤΙΚΟ ΔΗΜΟΤΙΚΟ ΠΕΙΡΑΙΑΣ - ΑΓΙΟΣ ΠΟΛΥΚΑΡΠΟΣ - ΑΓΙΟΣ ΓΕΩΡΓΙΟΣ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29T00:00:00"/>
    <x v="1"/>
    <s v="ΔΙΕΥΘΥΝΣΗ Π.Ε. ΠΕΙΡΑΙΑ"/>
    <n v="55.955555555555556"/>
    <s v="56 - 60"/>
  </r>
  <r>
    <n v="99914687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10-28T00:00:00"/>
    <x v="0"/>
    <s v="ΔΙΕΥΘΥΝΣΗ Δ.Ε. Β΄ ΑΘΗΝΑΣ"/>
    <n v="55.958333333333336"/>
    <s v="56 - 60"/>
  </r>
  <r>
    <n v="99914688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10-24T00:00:00"/>
    <x v="0"/>
    <s v="ΔΙΕΥΘΥΝΣΗ Δ.Ε. ΑΝΑΤΟΛΙΚΗΣ ΑΤΤΙΚΗΣ"/>
    <n v="55.969444444444441"/>
    <s v="56 - 60"/>
  </r>
  <r>
    <n v="99914689"/>
    <s v="Α"/>
    <x v="20"/>
    <x v="2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22T00:00:00"/>
    <x v="0"/>
    <s v="ΔΙΕΥΘΥΝΣΗ Δ.Ε. Δ΄ ΑΘΗΝΑΣ"/>
    <n v="55.975000000000001"/>
    <s v="56 - 60"/>
  </r>
  <r>
    <n v="99914690"/>
    <s v="Θ"/>
    <x v="0"/>
    <x v="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21T00:00:00"/>
    <x v="1"/>
    <s v="ΔΙΕΥΘΥΝΣΗ Π.Ε. Δ΄ ΑΘΗΝΑΣ"/>
    <n v="55.977777777777774"/>
    <s v="56 - 60"/>
  </r>
  <r>
    <n v="99914691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18T00:00:00"/>
    <x v="0"/>
    <s v="ΔΙΕΥΘΥΝΣΗ Δ.Ε. Β΄ ΑΘΗΝΑΣ"/>
    <n v="55.986111111111114"/>
    <s v="56 - 60"/>
  </r>
  <r>
    <n v="99914692"/>
    <s v="Θ"/>
    <x v="10"/>
    <x v="10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7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3-10-14T00:00:00"/>
    <x v="0"/>
    <s v="ΔΙΕΥΘΥΝΣΗ Δ.Ε. ΙΩΑΝΝΙΝΩΝ"/>
    <n v="55.99722222222222"/>
    <s v="56 - 60"/>
  </r>
  <r>
    <n v="99914693"/>
    <s v="Α"/>
    <x v="4"/>
    <x v="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13T00:00:00"/>
    <x v="0"/>
    <s v="ΔΙΕΥΘΥΝΣΗ Δ.Ε. ΑΝΑΤΟΛΙΚΗΣ ΑΤΤΙΚΗΣ"/>
    <n v="56"/>
    <s v="56 - 60"/>
  </r>
  <r>
    <n v="99914694"/>
    <s v="Θ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7"/>
    <s v="ΕΛΛΗΝΟΓΑΛΛΙΚΗ ΣΧΟΛΗ ΟΥΡΣΟΥΛΙΝΩΝ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07T00:00:00"/>
    <x v="0"/>
    <s v="ΔΙΕΥΘΥΝΣΗ Δ.Ε. Β΄ ΑΘΗΝΑΣ"/>
    <n v="56.016666666666666"/>
    <s v="56 - 60"/>
  </r>
  <r>
    <n v="99914695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10-05T00:00:00"/>
    <x v="1"/>
    <s v="ΔΙΕΥΘΥΝΣΗ Π.Ε. Β΄ ΑΘΗΝΑΣ"/>
    <n v="56.022222222222226"/>
    <s v="56 - 60"/>
  </r>
  <r>
    <n v="99914696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052042"/>
    <s v="ΙΔΙΩΤΙΚΟ ΔΗΜΟΤΙΚΟ Ν.ΗΡΑΚΛΕΙΟ ΑΤΤΙΚΗΣ - ΣΥΓΧΡΟΝΑ ΕΚΠΑΙΔΕΥΤΗΡΙΑ ΜΑΝΕΣ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10-02T00:00:00"/>
    <x v="1"/>
    <s v="ΔΙΕΥΘΥΝΣΗ Π.Ε. Β΄ ΑΘΗΝΑΣ"/>
    <n v="56.030555555555559"/>
    <s v="56 - 60"/>
  </r>
  <r>
    <n v="99914697"/>
    <s v="Α"/>
    <x v="2"/>
    <x v="2"/>
    <m/>
    <m/>
    <s v="Γ΄"/>
    <n v="1"/>
    <s v="995/28-03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d v="2018-09-01T00:00:00"/>
    <s v="Ιδιωτικά Σχολεία"/>
    <x v="2"/>
    <s v="7191027"/>
    <s v="ΙΔΙΩΤΙΚΟ ΝΗΠΙΑΓΩΓΕΙΟ ΘΕΣΣΑΛΟΝΙΚΗ - ΚΟΠΕΡΤΙ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10-02T00:00:00"/>
    <x v="1"/>
    <s v="ΔΙΕΥΘΥΝΣΗ Π.Ε. ΑΝΑΤ. ΘΕΣ/ΝΙΚΗΣ"/>
    <n v="56.030555555555559"/>
    <s v="56 - 60"/>
  </r>
  <r>
    <n v="99914698"/>
    <s v="Θ"/>
    <x v="10"/>
    <x v="1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9-30T00:00:00"/>
    <x v="0"/>
    <s v="ΔΙΕΥΘΥΝΣΗ Δ.Ε. ΑΝΑΤΟΛΙΚΗΣ ΑΤΤΙΚΗΣ"/>
    <n v="56.036111111111111"/>
    <s v="56 - 60"/>
  </r>
  <r>
    <n v="99914699"/>
    <s v="Α"/>
    <x v="19"/>
    <x v="19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3980100"/>
    <s v="ΙΔΙΩΤΙΚΟ ΗΜΕΡΗΣΙΟ ΛΥΚΕΙΟ ΚΑΤΕΡΙΝΗ - ΛΥΚΕΙΟ ΠΛΑΤΩΝ"/>
    <s v="ΠΙΕΡΙΑΣ (Δ.Ε.) 2018"/>
    <x v="3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9-29T00:00:00"/>
    <x v="0"/>
    <s v="ΔΙΕΥΘΥΝΣΗ Δ.Ε. ΠΙΕΡΙΑΣ"/>
    <n v="56.038888888888891"/>
    <s v="56 - 60"/>
  </r>
  <r>
    <n v="99914700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9-26T00:00:00"/>
    <x v="0"/>
    <s v="ΔΙΕΥΘΥΝΣΗ Δ.Ε. Β΄ ΑΘΗΝΑΣ"/>
    <n v="56.047222222222224"/>
    <s v="56 - 60"/>
  </r>
  <r>
    <n v="99914701"/>
    <s v="Α"/>
    <x v="22"/>
    <x v="22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3-09-25T00:00:00"/>
    <x v="0"/>
    <s v="ΔΙΕΥΘΥΝΣΗ Δ.Ε. ΤΡΙΚΑΛΩΝ"/>
    <n v="56.05"/>
    <s v="56 - 60"/>
  </r>
  <r>
    <n v="99914702"/>
    <s v="Θ"/>
    <x v="1"/>
    <x v="1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3-09-23T00:00:00"/>
    <x v="1"/>
    <s v="ΔΙΕΥΘΥΝΣΗ Π.Ε. ΑΧΑΪΑΣ"/>
    <n v="56.055555555555557"/>
    <s v="56 - 60"/>
  </r>
  <r>
    <n v="99914703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0"/>
    <s v="0581350"/>
    <s v="Ιδιωτικό Γυμνάσιο - ΜΟΝΤΕΣΣΟΡΙΑΝΑ ΣΧΟΛΕΙΑ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9-19T00:00:00"/>
    <x v="0"/>
    <s v="ΔΙΕΥΘΥΝΣΗ Δ.Ε. ΑΝΑΤΟΛΙΚΗΣ ΑΤΤΙΚΗΣ"/>
    <n v="56.06666666666667"/>
    <s v="56 - 60"/>
  </r>
  <r>
    <n v="99914704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9-15T00:00:00"/>
    <x v="0"/>
    <s v="ΔΙΕΥΘΥΝΣΗ Δ.Ε. Β΄ ΑΘΗΝΑΣ"/>
    <n v="56.077777777777776"/>
    <s v="56 - 60"/>
  </r>
  <r>
    <n v="99914705"/>
    <s v="Α"/>
    <x v="5"/>
    <x v="5"/>
    <m/>
    <m/>
    <s v="Γ΄"/>
    <n v="1"/>
    <n v="23821"/>
    <d v="2018-10-09T00:00:00"/>
    <s v="Α΄ ΠΕΙΡΑΙΑ (Δ.Ε.) 2018"/>
    <s v="ΔΙΕΥΘΥΝΣΗ Δ.Ε. ΠΕΙΡΑΙΑ"/>
    <s v="ΠΕΡΙΦΕΡΕΙΑΚΗ Δ/ΝΣΗ Α/ΘΜΙΑΣ ΚΑΙ Β/ΘΜΙΑΣ ΕΚΠ/ΣΗΣ ΑΤΤΙΚΗΣ"/>
    <n v="11"/>
    <s v="ΟΧΙ"/>
    <m/>
    <m/>
    <m/>
    <s v="ΟΧΙ"/>
    <m/>
    <d v="2018-10-09T00:00:00"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3-09-05T00:00:00"/>
    <x v="0"/>
    <s v="ΔΙΕΥΘΥΝΣΗ Δ.Ε. ΠΕΙΡΑΙΑ"/>
    <n v="56.105555555555554"/>
    <s v="56 - 60"/>
  </r>
  <r>
    <n v="99914706"/>
    <s v="Α"/>
    <x v="0"/>
    <x v="0"/>
    <m/>
    <m/>
    <s v="Α΄"/>
    <n v="12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9-03T00:00:00"/>
    <x v="0"/>
    <s v="ΔΙΕΥΘΥΝΣΗ Δ.Ε. Δ΄ ΑΘΗΝΑΣ"/>
    <n v="56.111111111111114"/>
    <s v="56 - 60"/>
  </r>
  <r>
    <n v="99914707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9-01T00:00:00"/>
    <x v="0"/>
    <s v="ΔΙΕΥΘΥΝΣΗ Δ.Ε. Β΄ ΑΘΗΝΑΣ"/>
    <n v="56.116666666666667"/>
    <s v="56 - 60"/>
  </r>
  <r>
    <n v="99914708"/>
    <s v="Θ"/>
    <x v="11"/>
    <x v="11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8-29T00:00:00"/>
    <x v="0"/>
    <s v="ΔΙΕΥΘΥΝΣΗ Δ.Ε. ΠΕΙΡΑΙΑ"/>
    <n v="56.125"/>
    <s v="56 - 60"/>
  </r>
  <r>
    <n v="99914709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18"/>
    <s v="ΙΔΙΩΤΙΚΟ ΓΥΜΝΑΣΙΟ ΗΡΑΚΛΕΙΟ ΑΤΤΙΚΗΣ -  ΣΥΓΧΡΟΝΑ ΕΚΠΑΙΔΕΥΤΗΡΙΑ ΜΑΝΕΣ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8-28T00:00:00"/>
    <x v="0"/>
    <s v="ΔΙΕΥΘΥΝΣΗ Δ.Ε. Β΄ ΑΘΗΝΑΣ"/>
    <n v="56.12777777777778"/>
    <s v="56 - 60"/>
  </r>
  <r>
    <n v="99914710"/>
    <s v="Θ"/>
    <x v="3"/>
    <x v="3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8-28T00:00:00"/>
    <x v="0"/>
    <s v="ΔΙΕΥΘΥΝΣΗ Δ.Ε. ΑΝΑΤ. ΘΕΣ/ΝΙΚΗΣ"/>
    <n v="56.12777777777778"/>
    <s v="56 - 60"/>
  </r>
  <r>
    <n v="99914711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8-25T00:00:00"/>
    <x v="0"/>
    <s v="ΔΙΕΥΘΥΝΣΗ Δ.Ε. Β΄ ΑΘΗΝΑΣ"/>
    <n v="56.136111111111113"/>
    <s v="56 - 60"/>
  </r>
  <r>
    <n v="99914712"/>
    <s v="Α"/>
    <x v="19"/>
    <x v="19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3-08-25T00:00:00"/>
    <x v="0"/>
    <s v="ΔΙΕΥΘΥΝΣΗ Δ.Ε. ΑΝΑΤ. ΘΕΣ/ΝΙΚΗΣ"/>
    <n v="56.136111111111113"/>
    <s v="56 - 60"/>
  </r>
  <r>
    <n v="99914713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521095"/>
    <s v="ΚΩΝΣΤΑΝΤΙΝΑ ΑΘΑΝΑΣΙΟΥ-ΑΝΔΡΕΟΥ ΜΟΝΟΠΡΟΣΩΠΗ Ε.Π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8-16T00:00:00"/>
    <x v="1"/>
    <s v="ΔΙΕΥΘΥΝΣΗ Π.Ε. ΑΝΑΤΟΛΙΚΗΣ ΑΤΤΙΚΗΣ"/>
    <n v="56.161111111111111"/>
    <s v="56 - 60"/>
  </r>
  <r>
    <n v="99914714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8-09T00:00:00"/>
    <x v="0"/>
    <s v="ΔΙΕΥΘΥΝΣΗ Δ.Ε. Δ΄ ΑΘΗΝΑΣ"/>
    <n v="56.180555555555557"/>
    <s v="56 - 60"/>
  </r>
  <r>
    <n v="99914715"/>
    <s v="Θ"/>
    <x v="1"/>
    <x v="1"/>
    <m/>
    <m/>
    <s v="Γ΄"/>
    <n v="17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8-09T00:00:00"/>
    <x v="1"/>
    <s v="ΔΙΕΥΘΥΝΣΗ Π.Ε. Β΄ ΑΘΗΝΑΣ"/>
    <n v="56.180555555555557"/>
    <s v="56 - 60"/>
  </r>
  <r>
    <n v="99914716"/>
    <s v="Θ"/>
    <x v="2"/>
    <x v="2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s v="ΟΧΙ"/>
    <s v="ΟΧΙ"/>
    <s v="ΟΧΙ"/>
    <s v="ΟΧΙ"/>
    <s v="ΟΧΙ"/>
    <m/>
    <m/>
    <s v="Ιδιωτικά Σχολεία"/>
    <x v="2"/>
    <s v="7192017"/>
    <s v="ΙΔΙΩΤΙΚΟ ΝΗΠΙΑΓΩΓΕΙΟ &quot;I.M. ΔΕΛΑΣΑΛ&quot;"/>
    <s v="Β΄ ΘΕΣΣΑΛΟΝΙΚΗΣ (Π.Ε.) 2018"/>
    <x v="2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8-01T00:00:00"/>
    <x v="1"/>
    <s v="ΔΙΕΥΘΥΝΣΗ Π.Ε. ΔΥΤ. ΘΕΣ/ΝΙΚΗΣ"/>
    <n v="56.202777777777776"/>
    <s v="56 - 60"/>
  </r>
  <r>
    <n v="99914717"/>
    <s v="Θ"/>
    <x v="11"/>
    <x v="11"/>
    <m/>
    <m/>
    <s v="Α΄"/>
    <n v="12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93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7-30T00:00:00"/>
    <x v="0"/>
    <s v="ΔΙΕΥΘΥΝΣΗ Δ.Ε. Α΄ ΑΘΗΝΑΣ"/>
    <n v="56.208333333333336"/>
    <s v="56 - 60"/>
  </r>
  <r>
    <n v="99914718"/>
    <s v="Α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7-29T00:00:00"/>
    <x v="0"/>
    <s v="ΔΙΕΥΘΥΝΣΗ Δ.Ε. Β΄ ΑΘΗΝΑΣ"/>
    <n v="56.211111111111109"/>
    <s v="56 - 60"/>
  </r>
  <r>
    <n v="99914719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7-13T00:00:00"/>
    <x v="1"/>
    <s v="ΔΙΕΥΘΥΝΣΗ Π.Ε. Β΄ ΑΘΗΝΑΣ"/>
    <n v="56.255555555555553"/>
    <s v="56 - 60"/>
  </r>
  <r>
    <n v="99914720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7-01T00:00:00"/>
    <x v="0"/>
    <s v="ΔΙΕΥΘΥΝΣΗ Δ.Ε. Β΄ ΑΘΗΝΑΣ"/>
    <n v="56.288888888888891"/>
    <s v="56 - 60"/>
  </r>
  <r>
    <n v="99914721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6-29T00:00:00"/>
    <x v="0"/>
    <s v="ΔΙΕΥΘΥΝΣΗ Δ.Ε. ΠΕΙΡΑΙΑ"/>
    <n v="56.294444444444444"/>
    <s v="56 - 60"/>
  </r>
  <r>
    <n v="99914722"/>
    <s v="Θ"/>
    <x v="14"/>
    <x v="14"/>
    <s v="ΠΕ03"/>
    <s v="ΜΑΘΗΜΑΤΙΚ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6-25T00:00:00"/>
    <x v="0"/>
    <s v="ΔΙΕΥΘΥΝΣΗ Δ.Ε. ΑΝΑΤΟΛΙΚΗΣ ΑΤΤΙΚΗΣ"/>
    <n v="56.305555555555557"/>
    <s v="56 - 60"/>
  </r>
  <r>
    <n v="99914723"/>
    <s v="Θ"/>
    <x v="20"/>
    <x v="2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6-24T00:00:00"/>
    <x v="0"/>
    <s v="ΔΙΕΥΘΥΝΣΗ Δ.Ε. ΑΝΑΤΟΛΙΚΗΣ ΑΤΤΙΚΗΣ"/>
    <n v="56.30833333333333"/>
    <s v="56 - 60"/>
  </r>
  <r>
    <n v="99914724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6-24T00:00:00"/>
    <x v="1"/>
    <s v="ΔΙΕΥΘΥΝΣΗ Π.Ε. Β΄ ΑΘΗΝΑΣ"/>
    <n v="56.30833333333333"/>
    <s v="56 - 60"/>
  </r>
  <r>
    <n v="99914725"/>
    <s v="Α"/>
    <x v="19"/>
    <x v="19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3-06-21T00:00:00"/>
    <x v="0"/>
    <s v="ΔΙΕΥΘΥΝΣΗ Δ.Ε. ΤΡΙΚΑΛΩΝ"/>
    <n v="56.31666666666667"/>
    <s v="56 - 60"/>
  </r>
  <r>
    <n v="99914726"/>
    <s v="Θ"/>
    <x v="6"/>
    <x v="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6-17T00:00:00"/>
    <x v="0"/>
    <s v="ΔΙΕΥΘΥΝΣΗ Δ.Ε. Β΄ ΑΘΗΝΑΣ"/>
    <n v="56.327777777777776"/>
    <s v="56 - 60"/>
  </r>
  <r>
    <n v="99914727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6-13T00:00:00"/>
    <x v="0"/>
    <s v="ΔΙΕΥΘΥΝΣΗ Δ.Ε. ΑΝΑΤΟΛΙΚΗΣ ΑΤΤΙΚΗΣ"/>
    <n v="56.338888888888889"/>
    <s v="56 - 60"/>
  </r>
  <r>
    <n v="99914728"/>
    <s v="Θ"/>
    <x v="7"/>
    <x v="7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6-13T00:00:00"/>
    <x v="1"/>
    <s v="ΔΙΕΥΘΥΝΣΗ Π.Ε. ΑΝΑΤ. ΘΕΣ/ΝΙΚΗΣ"/>
    <n v="56.338888888888889"/>
    <s v="56 - 60"/>
  </r>
  <r>
    <n v="99914729"/>
    <s v="Θ"/>
    <x v="10"/>
    <x v="1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5-31T00:00:00"/>
    <x v="0"/>
    <s v="ΔΙΕΥΘΥΝΣΗ Δ.Ε. ΑΝΑΤΟΛΙΚΗΣ ΑΤΤΙΚΗΣ"/>
    <n v="56.375"/>
    <s v="56 - 60"/>
  </r>
  <r>
    <n v="99914730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5-31T00:00:00"/>
    <x v="0"/>
    <s v="ΔΙΕΥΘΥΝΣΗ Δ.Ε. Β΄ ΑΘΗΝΑΣ"/>
    <n v="56.375"/>
    <s v="56 - 60"/>
  </r>
  <r>
    <n v="99914731"/>
    <s v="Θ"/>
    <x v="2"/>
    <x v="2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361003"/>
    <s v="ΙΔΙΩΤΙΚΟ ΝΗΠΙΑΓΩΓΕΙΟ ΚΑΛΑΜΑΤΑ - ΕΚΠΑΙΔΕΥΤΗΡΙΑ ΜΠΟΥΓΑ"/>
    <s v="ΜΕΣΣΗΝΙΑΣ (Π.Ε.) 2018"/>
    <x v="40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3-05-21T00:00:00"/>
    <x v="1"/>
    <s v="ΔΙΕΥΘΥΝΣΗ Π.Ε. ΜΕΣΣΗΝΙΑΣ"/>
    <n v="56.402777777777779"/>
    <s v="56 - 60"/>
  </r>
  <r>
    <n v="99914732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5-18T00:00:00"/>
    <x v="0"/>
    <s v="ΔΙΕΥΘΥΝΣΗ Δ.Ε. ΑΝΑΤΟΛΙΚΗΣ ΑΤΤΙΚΗΣ"/>
    <n v="56.411111111111111"/>
    <s v="56 - 60"/>
  </r>
  <r>
    <n v="99914733"/>
    <s v="Θ"/>
    <x v="10"/>
    <x v="1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5-18T00:00:00"/>
    <x v="0"/>
    <s v="ΔΙΕΥΘΥΝΣΗ Δ.Ε. ΑΝΑΤΟΛΙΚΗΣ ΑΤΤΙΚΗΣ"/>
    <n v="56.411111111111111"/>
    <s v="56 - 60"/>
  </r>
  <r>
    <n v="99914734"/>
    <s v="Θ"/>
    <x v="20"/>
    <x v="20"/>
    <s v="ΠΕ05"/>
    <s v="ΓΑΛΛΙΚΗΣ ΦΙΛΟΛΟΓΙΑΣ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5-14T00:00:00"/>
    <x v="0"/>
    <s v="ΔΙΕΥΘΥΝΣΗ Δ.Ε. Β΄ ΑΘΗΝΑΣ"/>
    <n v="56.422222222222224"/>
    <s v="56 - 60"/>
  </r>
  <r>
    <n v="99914735"/>
    <s v="Θ"/>
    <x v="3"/>
    <x v="3"/>
    <m/>
    <m/>
    <s v="Α΄"/>
    <n v="1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3-05-11T00:00:00"/>
    <x v="0"/>
    <s v="ΔΙΕΥΘΥΝΣΗ Δ.Ε. ΑΝΑΤ. ΘΕΣ/ΝΙΚΗΣ"/>
    <n v="56.430555555555557"/>
    <s v="56 - 60"/>
  </r>
  <r>
    <n v="99914736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5-05T00:00:00"/>
    <x v="0"/>
    <s v="ΔΙΕΥΘΥΝΣΗ Δ.Ε. ΑΝΑΤΟΛΙΚΗΣ ΑΤΤΙΚΗΣ"/>
    <n v="56.447222222222223"/>
    <s v="56 - 60"/>
  </r>
  <r>
    <n v="99914737"/>
    <s v="Θ"/>
    <x v="0"/>
    <x v="0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4-20T00:00:00"/>
    <x v="0"/>
    <s v="ΔΙΕΥΘΥΝΣΗ Δ.Ε. ΑΝΑΤ. ΘΕΣ/ΝΙΚΗΣ"/>
    <n v="56.488888888888887"/>
    <s v="56 - 60"/>
  </r>
  <r>
    <n v="99914738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4-18T00:00:00"/>
    <x v="0"/>
    <s v="ΔΙΕΥΘΥΝΣΗ Δ.Ε. Δ΄ ΑΘΗΝΑΣ"/>
    <n v="56.494444444444447"/>
    <s v="56 - 60"/>
  </r>
  <r>
    <n v="99914739"/>
    <s v="Α"/>
    <x v="19"/>
    <x v="1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4-18T00:00:00"/>
    <x v="0"/>
    <s v="ΔΙΕΥΘΥΝΣΗ Δ.Ε. ΑΝΑΤ. ΘΕΣ/ΝΙΚΗΣ"/>
    <n v="56.494444444444447"/>
    <s v="56 - 60"/>
  </r>
  <r>
    <n v="99914740"/>
    <s v="Α"/>
    <x v="14"/>
    <x v="14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4-11T00:00:00"/>
    <x v="0"/>
    <s v="ΔΙΕΥΘΥΝΣΗ Δ.Ε. ΑΝΑΤ. ΘΕΣ/ΝΙΚΗΣ"/>
    <n v="56.513888888888886"/>
    <s v="56 - 60"/>
  </r>
  <r>
    <n v="99914741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4-03T00:00:00"/>
    <x v="0"/>
    <s v="ΔΙΕΥΘΥΝΣΗ Δ.Ε. ΑΝΑΤ. ΘΕΣ/ΝΙΚΗΣ"/>
    <n v="56.536111111111111"/>
    <s v="56 - 60"/>
  </r>
  <r>
    <n v="99914742"/>
    <s v="Θ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3-04-02T00:00:00"/>
    <x v="0"/>
    <s v="ΔΙΕΥΘΥΝΣΗ Δ.Ε. Β΄ ΑΘΗΝΑΣ"/>
    <n v="56.538888888888891"/>
    <s v="56 - 60"/>
  </r>
  <r>
    <n v="99914743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m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3-29T00:00:00"/>
    <x v="0"/>
    <s v="ΔΙΕΥΘΥΝΣΗ Δ.Ε. ΑΝΑΤ. ΘΕΣ/ΝΙΚΗΣ"/>
    <n v="56.55"/>
    <s v="56 - 60"/>
  </r>
  <r>
    <n v="99914744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3-26T00:00:00"/>
    <x v="0"/>
    <s v="ΔΙΕΥΘΥΝΣΗ Δ.Ε. Β΄ ΑΘΗΝΑΣ"/>
    <n v="56.55833333333333"/>
    <s v="56 - 60"/>
  </r>
  <r>
    <n v="99914745"/>
    <s v="Θ"/>
    <x v="2"/>
    <x v="2"/>
    <m/>
    <m/>
    <s v="Γ΄"/>
    <n v="1"/>
    <d v="1986-09-2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21"/>
    <s v="2ο ΙΔΙΩΤΙΚΟ ΝΗΠΙΑΓΩΓΕΙΟ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3-24T00:00:00"/>
    <x v="1"/>
    <s v="ΔΙΕΥΘΥΝΣΗ Π.Ε. ΑΝΑΤ. ΘΕΣ/ΝΙΚΗΣ"/>
    <n v="56.56388888888889"/>
    <s v="56 - 60"/>
  </r>
  <r>
    <n v="99914746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3-13T00:00:00"/>
    <x v="0"/>
    <s v="ΔΙΕΥΘΥΝΣΗ Δ.Ε. ΑΝΑΤ. ΘΕΣ/ΝΙΚΗΣ"/>
    <n v="56.594444444444441"/>
    <s v="56 - 60"/>
  </r>
  <r>
    <n v="99914747"/>
    <s v="Α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3-11T00:00:00"/>
    <x v="0"/>
    <s v="ΔΙΕΥΘΥΝΣΗ Δ.Ε. Β΄ ΑΘΗΝΑΣ"/>
    <n v="56.6"/>
    <s v="56 - 60"/>
  </r>
  <r>
    <n v="99914748"/>
    <s v="Α"/>
    <x v="5"/>
    <x v="5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6"/>
    <s v="ΟΧΙ"/>
    <s v="ΟΧΙ"/>
    <s v="ΟΧΙ"/>
    <s v="ΟΧΙ"/>
    <s v="ΟΧΙ"/>
    <m/>
    <d v="2004-08-31T00:00:00"/>
    <s v="Ιδιωτικά Σχολεία"/>
    <x v="0"/>
    <s v="4475075"/>
    <s v="ΙΔΙΩΤΙΚΟ ΓΥΜΝΑΣ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3-03-07T00:00:00"/>
    <x v="0"/>
    <s v="ΔΙΕΥΘΥΝΣΗ Δ.Ε. ΣΕΡΡΩΝ"/>
    <n v="56.611111111111114"/>
    <s v="56 - 60"/>
  </r>
  <r>
    <n v="9991474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3-06T00:00:00"/>
    <x v="0"/>
    <s v="ΔΙΕΥΘΥΝΣΗ Δ.Ε. Β΄ ΑΘΗΝΑΣ"/>
    <n v="56.613888888888887"/>
    <s v="56 - 60"/>
  </r>
  <r>
    <n v="99914750"/>
    <s v="Θ"/>
    <x v="6"/>
    <x v="6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3-05T00:00:00"/>
    <x v="1"/>
    <s v="ΔΙΕΥΘΥΝΣΗ Π.Ε. Β΄ ΑΘΗΝΑΣ"/>
    <n v="56.616666666666667"/>
    <s v="56 - 60"/>
  </r>
  <r>
    <n v="99914751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3-02T00:00:00"/>
    <x v="0"/>
    <s v="ΔΙΕΥΘΥΝΣΗ Δ.Ε. Β΄ ΑΘΗΝΑΣ"/>
    <n v="56.625"/>
    <s v="56 - 60"/>
  </r>
  <r>
    <n v="99914752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2-27T00:00:00"/>
    <x v="0"/>
    <s v="ΔΙΕΥΘΥΝΣΗ Δ.Ε. ΠΕΙΡΑΙΑ"/>
    <n v="56.633333333333333"/>
    <s v="56 - 60"/>
  </r>
  <r>
    <n v="99914753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2-12T00:00:00"/>
    <x v="1"/>
    <s v="ΔΙΕΥΘΥΝΣΗ Π.Ε. ΑΝΑΤΟΛΙΚΗΣ ΑΤΤΙΚΗΣ"/>
    <n v="56.674999999999997"/>
    <s v="56 - 60"/>
  </r>
  <r>
    <n v="99914754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2-11T00:00:00"/>
    <x v="1"/>
    <s v="ΔΙΕΥΘΥΝΣΗ Π.Ε. Β΄ ΑΘΗΝΑΣ"/>
    <n v="56.677777777777777"/>
    <s v="56 - 60"/>
  </r>
  <r>
    <n v="99914755"/>
    <s v="Α"/>
    <x v="5"/>
    <x v="5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s v="ΟΧΙ"/>
    <s v="ΟΧΙ"/>
    <s v="ΟΧΙ"/>
    <s v="ΟΧΙ"/>
    <s v="ΟΧΙ"/>
    <m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 με Οργανική σε Ισότιμο προς τα Δημόσια Σχολείο"/>
    <s v="Τοποθέτηση σε Ιδιωτική Εκπαίδευση"/>
    <d v="1963-02-10T00:00:00"/>
    <x v="0"/>
    <s v="ΔΙΕΥΘΥΝΣΗ Δ.Ε. ΔΩΔΕΚΑΝΗΣΟΥ"/>
    <n v="56.680555555555557"/>
    <s v="56 - 60"/>
  </r>
  <r>
    <n v="99914756"/>
    <s v="Α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0"/>
    <s v="ΛΕΟΝΤΕΙΟ ΛΥΚΕΙΟ ΝΕΑΣ ΣΜΥΡΝΗΣ - ΔΗΜΟΤΙΚΟ ΑΓ. ΔΙΟΝΥΣΙΟΣ ΑΡΕΟΠΑΓΙΤ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2-06T00:00:00"/>
    <x v="1"/>
    <s v="ΔΙΕΥΘΥΝΣΗ Π.Ε. Δ΄ ΑΘΗΝΑΣ"/>
    <n v="56.69166666666667"/>
    <s v="56 - 60"/>
  </r>
  <r>
    <n v="99914757"/>
    <s v="Θ"/>
    <x v="8"/>
    <x v="8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1-31T00:00:00"/>
    <x v="1"/>
    <s v="ΔΙΕΥΘΥΝΣΗ Π.Ε. Β΄ ΑΘΗΝΑΣ"/>
    <n v="56.708333333333336"/>
    <s v="56 - 60"/>
  </r>
  <r>
    <n v="99914758"/>
    <s v="Α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30T00:00:00"/>
    <x v="0"/>
    <s v="ΔΙΕΥΘΥΝΣΗ Δ.Ε. Γ΄ ΑΘΗΝΑΣ"/>
    <n v="56.711111111111109"/>
    <s v="56 - 60"/>
  </r>
  <r>
    <n v="99914759"/>
    <s v="Α"/>
    <x v="1"/>
    <x v="1"/>
    <m/>
    <m/>
    <s v="Α΄"/>
    <n v="14"/>
    <s v="Φ.15/2686/25-10-2004"/>
    <d v="2004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4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3-01-30T00:00:00"/>
    <x v="1"/>
    <s v="ΔΙΕΥΘΥΝΣΗ Π.Ε. ΑΝΑΤΟΛΙΚΗΣ ΑΤΤΙΚΗΣ"/>
    <n v="56.711111111111109"/>
    <s v="56 - 60"/>
  </r>
  <r>
    <n v="99914760"/>
    <s v="Α"/>
    <x v="11"/>
    <x v="11"/>
    <m/>
    <m/>
    <s v="Α΄"/>
    <n v="1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3-01-29T00:00:00"/>
    <x v="0"/>
    <s v="ΔΙΕΥΘΥΝΣΗ Δ.Ε. ΑΝΑΤ. ΘΕΣ/ΝΙΚΗΣ"/>
    <n v="56.713888888888889"/>
    <s v="56 - 60"/>
  </r>
  <r>
    <n v="99914761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27T00:00:00"/>
    <x v="1"/>
    <s v="ΔΙΕΥΘΥΝΣΗ Π.Ε. ΠΕΙΡΑΙΑ"/>
    <n v="56.719444444444441"/>
    <s v="56 - 60"/>
  </r>
  <r>
    <n v="99914762"/>
    <s v="Θ"/>
    <x v="10"/>
    <x v="1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1"/>
    <s v="7521022"/>
    <s v="ΙΔΙΩΤΙΚΟ ΔΗΜΟΤΙΚΟ - ΕΚΠΑΙΔΕΥΤΙΚΗ ΜΟΝΟΠΡΟΣΩΠΗ ΕΠΕ - ΝΕΑ ΓΕΝΙΑ ΖΗΡΙΔΗ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24T00:00:00"/>
    <x v="1"/>
    <s v="ΔΙΕΥΘΥΝΣΗ Π.Ε. ΑΝΑΤΟΛΙΚΗΣ ΑΤΤΙΚΗΣ"/>
    <n v="56.727777777777774"/>
    <s v="56 - 60"/>
  </r>
  <r>
    <n v="9991476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10T00:00:00"/>
    <x v="0"/>
    <s v="ΔΙΕΥΘΥΝΣΗ Δ.Ε. Β΄ ΑΘΗΝΑΣ"/>
    <n v="56.766666666666666"/>
    <s v="56 - 60"/>
  </r>
  <r>
    <n v="99914764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03T00:00:00"/>
    <x v="0"/>
    <s v="ΔΙΕΥΘΥΝΣΗ Δ.Ε. Β΄ ΑΘΗΝΑΣ"/>
    <n v="56.786111111111111"/>
    <s v="56 - 60"/>
  </r>
  <r>
    <n v="99914765"/>
    <s v="Θ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01T00:00:00"/>
    <x v="0"/>
    <s v="ΔΙΕΥΘΥΝΣΗ Δ.Ε. Δ΄ ΑΘΗΝΑΣ"/>
    <n v="56.791666666666664"/>
    <s v="56 - 60"/>
  </r>
  <r>
    <n v="99914766"/>
    <s v="Θ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01T00:00:00"/>
    <x v="0"/>
    <s v="ΔΙΕΥΘΥΝΣΗ Δ.Ε. Δ΄ ΑΘΗΝΑΣ"/>
    <n v="56.791666666666664"/>
    <s v="56 - 60"/>
  </r>
  <r>
    <n v="99914767"/>
    <s v="Θ"/>
    <x v="8"/>
    <x v="8"/>
    <m/>
    <m/>
    <s v="Γ΄"/>
    <n v="1"/>
    <n v="1981"/>
    <d v="2018-09-01T00:00:00"/>
    <s v="Β΄ ΑΘΗΝΑΣ (Π.Ε.) 2018"/>
    <s v="ΔΙΕΥΘΥΝΣΗ Π.Ε. Β΄ ΑΘΗΝΑΣ"/>
    <s v="ΠΕΡΙΦΕΡΕΙΑΚΗ Δ/ΝΣΗ Α/ΘΜΙΑΣ ΚΑΙ Β/ΘΜΙΑΣ ΕΚΠ/ΣΗΣ ΑΤΤΙΚΗΣ"/>
    <n v="18"/>
    <s v="ΟΧΙ"/>
    <m/>
    <m/>
    <m/>
    <s v="ΟΧΙ"/>
    <m/>
    <m/>
    <s v="Ιδιωτικά Σχολεία"/>
    <x v="1"/>
    <s v="7052012"/>
    <s v="ΙΔΙΩΤΙΚΟ ΔΗΜΟΤΙΚΟ ΦΙΛΟΘΕΗ - ΙΟΝΙΟΣ ΣΧΟΛΗ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01T00:00:00"/>
    <x v="1"/>
    <s v="ΔΙΕΥΘΥΝΣΗ Π.Ε. Β΄ ΑΘΗΝΑΣ"/>
    <n v="56.791666666666664"/>
    <s v="56 - 60"/>
  </r>
  <r>
    <n v="99914768"/>
    <s v="Θ"/>
    <x v="13"/>
    <x v="13"/>
    <m/>
    <m/>
    <s v="Β΄"/>
    <n v="5"/>
    <m/>
    <m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3-01-01T00:00:00"/>
    <x v="1"/>
    <s v="ΔΙΕΥΘΥΝΣΗ Π.Ε. Δ΄ ΑΘΗΝΑΣ"/>
    <n v="56.791666666666664"/>
    <s v="56 - 60"/>
  </r>
  <r>
    <n v="99914769"/>
    <s v="Α"/>
    <x v="8"/>
    <x v="8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s v="ΟΧΙ"/>
    <s v="ΟΧΙ"/>
    <s v="ΟΧΙ"/>
    <s v="ΟΧΙ"/>
    <s v="ΟΧΙ"/>
    <m/>
    <m/>
    <s v="Ιδιωτικά Σχολεία"/>
    <x v="1"/>
    <s v="7201006"/>
    <s v="ΑΡΣΑΚΕΙΟ ΔΗΜΟΤΙΚΟ ΣΧΟΛΕΙΟ ΙΩΑΝΝΙΝΩΝ"/>
    <s v="ΙΩΑΝΝΙΝΩΝ (Π.Ε.) 2018"/>
    <x v="34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3-01-01T00:00:00"/>
    <x v="1"/>
    <s v="ΔΙΕΥΘΥΝΣΗ Π.Ε. ΙΩΑΝΝΙΝΩΝ"/>
    <n v="56.791666666666664"/>
    <s v="56 - 60"/>
  </r>
  <r>
    <n v="99914770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2-29T00:00:00"/>
    <x v="0"/>
    <s v="ΔΙΕΥΘΥΝΣΗ Δ.Ε. Β΄ ΑΘΗΝΑΣ"/>
    <n v="56.8"/>
    <s v="56 - 60"/>
  </r>
  <r>
    <n v="99914771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2-12T00:00:00"/>
    <x v="0"/>
    <s v="ΔΙΕΥΘΥΝΣΗ Δ.Ε. Β΄ ΑΘΗΝΑΣ"/>
    <n v="56.847222222222221"/>
    <s v="56 - 60"/>
  </r>
  <r>
    <n v="99914772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2-07T00:00:00"/>
    <x v="0"/>
    <s v="ΔΙΕΥΘΥΝΣΗ Δ.Ε. ΑΝΑΤΟΛΙΚΗΣ ΑΤΤΙΚΗΣ"/>
    <n v="56.861111111111114"/>
    <s v="56 - 60"/>
  </r>
  <r>
    <n v="99914773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2-07T00:00:00"/>
    <x v="0"/>
    <s v="ΔΙΕΥΘΥΝΣΗ Δ.Ε. Β΄ ΑΘΗΝΑΣ"/>
    <n v="56.861111111111114"/>
    <s v="56 - 60"/>
  </r>
  <r>
    <n v="99914774"/>
    <s v="Α"/>
    <x v="1"/>
    <x v="1"/>
    <m/>
    <m/>
    <s v="Α΄"/>
    <n v="6"/>
    <s v="2757/30-9-1996"/>
    <d v="1996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6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2-04T00:00:00"/>
    <x v="1"/>
    <s v="ΔΙΕΥΘΥΝΣΗ Π.Ε. ΑΝΑΤΟΛΙΚΗΣ ΑΤΤΙΚΗΣ"/>
    <n v="56.869444444444447"/>
    <s v="56 - 60"/>
  </r>
  <r>
    <n v="99914775"/>
    <s v="Θ"/>
    <x v="18"/>
    <x v="18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0"/>
    <s v="ΟΧΙ"/>
    <s v="ΟΧΙ"/>
    <s v="ΟΧΙ"/>
    <m/>
    <s v="ΟΧΙ"/>
    <m/>
    <m/>
    <s v="Ιδιωτικά Σχολεία"/>
    <x v="1"/>
    <s v="7061000"/>
    <s v="ΙΔΙΩΤΙΚΟ ΔΗΜΟΤΙΚΟ ΠΛΑΤΑΝΙ ΡΙΟΥ - ΑΡΣΑΚΕΙΟ ΔΗΜ.ΣΧ.ΠΑΤΡΩΝ"/>
    <s v="ΑΧΑΪΑΣ (Π.Ε.) 2018"/>
    <x v="2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2-11-29T00:00:00"/>
    <x v="1"/>
    <s v="ΔΙΕΥΘΥΝΣΗ Π.Ε. ΑΧΑΪΑΣ"/>
    <n v="56.883333333333333"/>
    <s v="56 - 60"/>
  </r>
  <r>
    <n v="99914776"/>
    <s v="Θ"/>
    <x v="0"/>
    <x v="0"/>
    <m/>
    <m/>
    <s v="Γ΄"/>
    <n v="1"/>
    <d v="1991-09-2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11-20T00:00:00"/>
    <x v="1"/>
    <s v="ΔΙΕΥΘΥΝΣΗ Π.Ε. ΑΝΑΤ. ΘΕΣ/ΝΙΚΗΣ"/>
    <n v="56.908333333333331"/>
    <s v="56 - 60"/>
  </r>
  <r>
    <n v="99914777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1-17T00:00:00"/>
    <x v="0"/>
    <s v="ΔΙΕΥΘΥΝΣΗ Δ.Ε. ΑΝΑΤΟΛΙΚΗΣ ΑΤΤΙΚΗΣ"/>
    <n v="56.916666666666664"/>
    <s v="56 - 60"/>
  </r>
  <r>
    <n v="99914778"/>
    <s v="Α"/>
    <x v="19"/>
    <x v="19"/>
    <m/>
    <m/>
    <s v="Γ΄"/>
    <n v="1"/>
    <s v="ΨΝΧΣ4653ΠΣ-Ξ9Υ/66ΨΞ4653ΠΣ-98Ω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2-11-17T00:00:00"/>
    <x v="0"/>
    <s v="ΔΙΕΥΘΥΝΣΗ Δ.Ε. Β΄ ΑΘΗΝΑΣ"/>
    <n v="56.916666666666664"/>
    <s v="56 - 60"/>
  </r>
  <r>
    <n v="99914779"/>
    <s v="Α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1-16T00:00:00"/>
    <x v="0"/>
    <s v="ΔΙΕΥΘΥΝΣΗ Δ.Ε. Β΄ ΑΘΗΝΑΣ"/>
    <n v="56.919444444444444"/>
    <s v="56 - 60"/>
  </r>
  <r>
    <n v="99914780"/>
    <s v="Θ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1-12T00:00:00"/>
    <x v="0"/>
    <s v="ΔΙΕΥΘΥΝΣΗ Δ.Ε. Β΄ ΑΘΗΝΑΣ"/>
    <n v="56.930555555555557"/>
    <s v="56 - 60"/>
  </r>
  <r>
    <n v="99914781"/>
    <s v="Θ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7"/>
    <s v="ΕΛΛΗΝΟΓΑΛΛΙΚΗ ΣΧΟΛΗ ΟΥΡΣΟΥΛΙΝΩΝ - ΙΔΙΩΤΙΚΟ ΓΕΝΙΚΟ ΛΥΚΕ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1-11T00:00:00"/>
    <x v="0"/>
    <s v="ΔΙΕΥΘΥΝΣΗ Δ.Ε. Β΄ ΑΘΗΝΑΣ"/>
    <n v="56.93333333333333"/>
    <s v="56 - 60"/>
  </r>
  <r>
    <n v="99914782"/>
    <s v="Θ"/>
    <x v="8"/>
    <x v="8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1-10T00:00:00"/>
    <x v="0"/>
    <s v="ΔΙΕΥΘΥΝΣΗ Δ.Ε. ΠΕΙΡΑΙΑ"/>
    <n v="56.93611111111111"/>
    <s v="56 - 60"/>
  </r>
  <r>
    <n v="99914783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1-05T00:00:00"/>
    <x v="0"/>
    <s v="ΔΙΕΥΘΥΝΣΗ Δ.Ε. Δ΄ ΑΘΗΝΑΣ"/>
    <n v="56.95"/>
    <s v="56 - 60"/>
  </r>
  <r>
    <n v="99914784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27T00:00:00"/>
    <x v="0"/>
    <s v="ΔΙΕΥΘΥΝΣΗ Δ.Ε. Δ΄ ΑΘΗΝΑΣ"/>
    <n v="56.975000000000001"/>
    <s v="56 - 60"/>
  </r>
  <r>
    <n v="99914785"/>
    <s v="Θ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24T00:00:00"/>
    <x v="0"/>
    <s v="ΔΙΕΥΘΥΝΣΗ Δ.Ε. Β΄ ΑΘΗΝΑΣ"/>
    <n v="56.983333333333334"/>
    <s v="56 - 60"/>
  </r>
  <r>
    <n v="99914786"/>
    <s v="Α"/>
    <x v="5"/>
    <x v="5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2-10-24T00:00:00"/>
    <x v="0"/>
    <s v="ΔΙΕΥΘΥΝΣΗ Δ.Ε. ΑΧΑΪΑΣ"/>
    <n v="56.983333333333334"/>
    <s v="56 - 60"/>
  </r>
  <r>
    <n v="99914787"/>
    <s v="Θ"/>
    <x v="0"/>
    <x v="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0-23T00:00:00"/>
    <x v="0"/>
    <s v="ΔΙΕΥΘΥΝΣΗ Δ.Ε. ΑΝΑΤΟΛΙΚΗΣ ΑΤΤΙΚΗΣ"/>
    <n v="56.986111111111114"/>
    <s v="56 - 60"/>
  </r>
  <r>
    <n v="99914788"/>
    <s v="Α"/>
    <x v="8"/>
    <x v="8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23T00:00:00"/>
    <x v="1"/>
    <s v="ΔΙΕΥΘΥΝΣΗ Π.Ε. Δ΄ ΑΘΗΝΑΣ"/>
    <n v="56.986111111111114"/>
    <s v="56 - 60"/>
  </r>
  <r>
    <n v="99914789"/>
    <s v="Α"/>
    <x v="4"/>
    <x v="4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21T00:00:00"/>
    <x v="0"/>
    <s v="ΔΙΕΥΘΥΝΣΗ Δ.Ε. Δ΄ ΑΘΗΝΑΣ"/>
    <n v="56.991666666666667"/>
    <s v="56 - 60"/>
  </r>
  <r>
    <n v="99914790"/>
    <s v="Θ"/>
    <x v="20"/>
    <x v="20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17T00:00:00"/>
    <x v="0"/>
    <s v="ΔΙΕΥΘΥΝΣΗ Δ.Ε. Α΄ ΑΘΗΝΑΣ"/>
    <n v="57.00277777777778"/>
    <s v="56 - 60"/>
  </r>
  <r>
    <n v="99914791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17T00:00:00"/>
    <x v="0"/>
    <s v="ΔΙΕΥΘΥΝΣΗ Δ.Ε. ΠΕΙΡΑΙΑ"/>
    <n v="57.00277777777778"/>
    <s v="56 - 60"/>
  </r>
  <r>
    <n v="99914792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16T00:00:00"/>
    <x v="0"/>
    <s v="ΔΙΕΥΘΥΝΣΗ Δ.Ε. Δ΄ ΑΘΗΝΑΣ"/>
    <n v="57.005555555555553"/>
    <s v="56 - 60"/>
  </r>
  <r>
    <n v="99914793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12T00:00:00"/>
    <x v="0"/>
    <s v="ΔΙΕΥΘΥΝΣΗ Δ.Ε. Β΄ ΑΘΗΝΑΣ"/>
    <n v="57.016666666666666"/>
    <s v="56 - 60"/>
  </r>
  <r>
    <n v="99914794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11T00:00:00"/>
    <x v="0"/>
    <s v="ΔΙΕΥΘΥΝΣΗ Δ.Ε. Β΄ ΑΘΗΝΑΣ"/>
    <n v="57.019444444444446"/>
    <s v="56 - 60"/>
  </r>
  <r>
    <n v="99914795"/>
    <s v="Θ"/>
    <x v="3"/>
    <x v="3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2-10-11T00:00:00"/>
    <x v="0"/>
    <s v="ΔΙΕΥΘΥΝΣΗ Δ.Ε. ΑΝΑΤ. ΘΕΣ/ΝΙΚΗΣ"/>
    <n v="57.019444444444446"/>
    <s v="56 - 60"/>
  </r>
  <r>
    <n v="99914796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10-04T00:00:00"/>
    <x v="1"/>
    <s v="ΔΙΕΥΘΥΝΣΗ Π.Ε. Α΄ ΑΘΗΝΑΣ"/>
    <n v="57.038888888888891"/>
    <s v="56 - 60"/>
  </r>
  <r>
    <n v="99914797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10-03T00:00:00"/>
    <x v="0"/>
    <s v="ΔΙΕΥΘΥΝΣΗ Δ.Ε. ΑΝΑΤΟΛΙΚΗΣ ΑΤΤΙΚΗΣ"/>
    <n v="57.041666666666664"/>
    <s v="56 - 60"/>
  </r>
  <r>
    <n v="99914798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9-24T00:00:00"/>
    <x v="0"/>
    <s v="ΔΙΕΥΘΥΝΣΗ Δ.Ε. Β΄ ΑΘΗΝΑΣ"/>
    <n v="57.06666666666667"/>
    <s v="56 - 60"/>
  </r>
  <r>
    <n v="99914799"/>
    <s v="Θ"/>
    <x v="1"/>
    <x v="1"/>
    <m/>
    <m/>
    <s v="Γ΄"/>
    <n v="17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9-24T00:00:00"/>
    <x v="1"/>
    <s v="ΔΙΕΥΘΥΝΣΗ Π.Ε. Β΄ ΑΘΗΝΑΣ"/>
    <n v="57.06666666666667"/>
    <s v="56 - 60"/>
  </r>
  <r>
    <n v="99914800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9-21T00:00:00"/>
    <x v="0"/>
    <s v="ΔΙΕΥΘΥΝΣΗ Δ.Ε. ΑΝΑΤΟΛΙΚΗΣ ΑΤΤΙΚΗΣ"/>
    <n v="57.075000000000003"/>
    <s v="56 - 60"/>
  </r>
  <r>
    <n v="99914801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9-20T00:00:00"/>
    <x v="0"/>
    <s v="ΔΙΕΥΘΥΝΣΗ Δ.Ε. ΑΝΑΤΟΛΙΚΗΣ ΑΤΤΙΚΗΣ"/>
    <n v="57.077777777777776"/>
    <s v="56 - 60"/>
  </r>
  <r>
    <n v="99914802"/>
    <s v="Θ"/>
    <x v="12"/>
    <x v="12"/>
    <m/>
    <m/>
    <s v="Α΄"/>
    <n v="6"/>
    <s v="6ΙΤΤ4653ΠΣ-71Π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s v="ΟΧΙ"/>
    <s v="ΟΧΙ"/>
    <m/>
    <d v="2018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2-09-19T00:00:00"/>
    <x v="1"/>
    <s v="ΔΙΕΥΘΥΝΣΗ Π.Ε. ΑΝΑΤΟΛΙΚΗΣ ΑΤΤΙΚΗΣ"/>
    <n v="57.080555555555556"/>
    <s v="56 - 60"/>
  </r>
  <r>
    <n v="99914803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9-13T00:00:00"/>
    <x v="0"/>
    <s v="ΔΙΕΥΘΥΝΣΗ Δ.Ε. Β΄ ΑΘΗΝΑΣ"/>
    <n v="57.097222222222221"/>
    <s v="56 - 60"/>
  </r>
  <r>
    <n v="99914804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9-10T00:00:00"/>
    <x v="0"/>
    <s v="ΔΙΕΥΘΥΝΣΗ Δ.Ε. ΠΕΙΡΑΙΑ"/>
    <n v="57.105555555555554"/>
    <s v="56 - 60"/>
  </r>
  <r>
    <n v="99914805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9-08T00:00:00"/>
    <x v="0"/>
    <s v="ΔΙΕΥΘΥΝΣΗ Δ.Ε. Β΄ ΑΘΗΝΑΣ"/>
    <n v="57.111111111111114"/>
    <s v="56 - 60"/>
  </r>
  <r>
    <n v="99914806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9-06T00:00:00"/>
    <x v="0"/>
    <s v="ΔΙΕΥΘΥΝΣΗ Δ.Ε. Β΄ ΑΘΗΝΑΣ"/>
    <n v="57.116666666666667"/>
    <s v="56 - 60"/>
  </r>
  <r>
    <n v="99914807"/>
    <s v="Θ"/>
    <x v="5"/>
    <x v="5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9-01T00:00:00"/>
    <x v="0"/>
    <s v="ΔΙΕΥΘΥΝΣΗ Δ.Ε. ΑΝΑΤΟΛΙΚΗΣ ΑΤΤΙΚΗΣ"/>
    <n v="57.130555555555553"/>
    <s v="56 - 60"/>
  </r>
  <r>
    <n v="99914808"/>
    <s v="Α"/>
    <x v="10"/>
    <x v="10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s v="ΟΧΙ"/>
    <s v="ΟΧΙ"/>
    <s v="ΟΧΙ"/>
    <m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2-08-28T00:00:00"/>
    <x v="0"/>
    <s v="ΔΙΕΥΘΥΝΣΗ Δ.Ε. ΤΡΙΚΑΛΩΝ"/>
    <n v="57.141666666666666"/>
    <s v="56 - 60"/>
  </r>
  <r>
    <n v="99914809"/>
    <s v="Θ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8-27T00:00:00"/>
    <x v="0"/>
    <s v="ΔΙΕΥΘΥΝΣΗ Δ.Ε. Β΄ ΑΘΗΝΑΣ"/>
    <n v="57.144444444444446"/>
    <s v="56 - 60"/>
  </r>
  <r>
    <n v="99914810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8-25T00:00:00"/>
    <x v="0"/>
    <s v="ΔΙΕΥΘΥΝΣΗ Δ.Ε. Β΄ ΑΘΗΝΑΣ"/>
    <n v="57.15"/>
    <s v="56 - 60"/>
  </r>
  <r>
    <n v="9991481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8-20T00:00:00"/>
    <x v="0"/>
    <s v="ΔΙΕΥΘΥΝΣΗ Δ.Ε. Β΄ ΑΘΗΝΑΣ"/>
    <n v="57.163888888888891"/>
    <s v="56 - 60"/>
  </r>
  <r>
    <n v="99914812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8-19T00:00:00"/>
    <x v="0"/>
    <s v="ΔΙΕΥΘΥΝΣΗ Δ.Ε. Β΄ ΑΘΗΝΑΣ"/>
    <n v="57.166666666666664"/>
    <s v="56 - 60"/>
  </r>
  <r>
    <n v="99914813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8-16T00:00:00"/>
    <x v="0"/>
    <s v="ΔΙΕΥΘΥΝΣΗ Δ.Ε. Β΄ ΑΘΗΝΑΣ"/>
    <n v="57.174999999999997"/>
    <s v="56 - 60"/>
  </r>
  <r>
    <n v="99914814"/>
    <s v="Α"/>
    <x v="19"/>
    <x v="19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2-08-16T00:00:00"/>
    <x v="0"/>
    <s v="ΔΙΕΥΘΥΝΣΗ Δ.Ε. ΑΝΑΤ. ΘΕΣ/ΝΙΚΗΣ"/>
    <n v="57.174999999999997"/>
    <s v="56 - 60"/>
  </r>
  <r>
    <n v="99914815"/>
    <s v="Α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8-12T00:00:00"/>
    <x v="1"/>
    <s v="ΔΙΕΥΘΥΝΣΗ Π.Ε. Δ΄ ΑΘΗΝΑΣ"/>
    <n v="57.18611111111111"/>
    <s v="56 - 60"/>
  </r>
  <r>
    <n v="99914816"/>
    <s v="Α"/>
    <x v="1"/>
    <x v="1"/>
    <m/>
    <m/>
    <s v="Γ΄"/>
    <n v="1"/>
    <s v="3452/16-10-09"/>
    <d v="2018-09-01T00:00:00"/>
    <s v="Β΄ ΑΘΗΝΑΣ (Π.Ε.) 2018"/>
    <s v="ΔΙΕΥΘΥΝΣΗ Π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8-10T00:00:00"/>
    <x v="1"/>
    <s v="ΔΙΕΥΘΥΝΣΗ Π.Ε. Β΄ ΑΘΗΝΑΣ"/>
    <n v="57.19166666666667"/>
    <s v="56 - 60"/>
  </r>
  <r>
    <n v="99914817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40"/>
    <s v="ΙΔΙΩΤΙΚΟ ΔΗΜΟΤΙΚΟ ΗΡΑΚΛΕΙΟ ΑΤΤΙΚΗΣ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8-04T00:00:00"/>
    <x v="1"/>
    <s v="ΔΙΕΥΘΥΝΣΗ Π.Ε. Β΄ ΑΘΗΝΑΣ"/>
    <n v="57.208333333333336"/>
    <s v="56 - 60"/>
  </r>
  <r>
    <n v="9991481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8-03T00:00:00"/>
    <x v="0"/>
    <s v="ΔΙΕΥΘΥΝΣΗ Δ.Ε. Β΄ ΑΘΗΝΑΣ"/>
    <n v="57.211111111111109"/>
    <s v="56 - 60"/>
  </r>
  <r>
    <n v="99914819"/>
    <s v="Α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7-31T00:00:00"/>
    <x v="1"/>
    <s v="ΔΙΕΥΘΥΝΣΗ Π.Ε. Α΄ ΑΘΗΝΑΣ"/>
    <n v="57.219444444444441"/>
    <s v="56 - 60"/>
  </r>
  <r>
    <n v="99914820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07-31T00:00:00"/>
    <x v="0"/>
    <s v="ΔΙΕΥΘΥΝΣΗ Δ.Ε. ΑΝΑΤ. ΘΕΣ/ΝΙΚΗΣ"/>
    <n v="57.219444444444441"/>
    <s v="56 - 60"/>
  </r>
  <r>
    <n v="99914821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605"/>
    <s v="ΙΔΙΩΤΙΚΟ ΛΥΚΕ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7-26T00:00:00"/>
    <x v="0"/>
    <s v="ΔΙΕΥΘΥΝΣΗ Δ.Ε. Δ΄ ΑΘΗΝΑΣ"/>
    <n v="57.233333333333334"/>
    <s v="56 - 60"/>
  </r>
  <r>
    <n v="99914822"/>
    <s v="Θ"/>
    <x v="2"/>
    <x v="2"/>
    <m/>
    <m/>
    <s v="Α΄"/>
    <n v="4"/>
    <m/>
    <m/>
    <s v="ΑΧΑΪΑΣ (Π.Ε.) 2018"/>
    <s v="ΔΙΕΥΘΥΝΣΗ Π.Ε. ΑΧΑΪΑΣ"/>
    <s v="ΠΕΡΙΦΕΡΕΙΑΚΗ Δ/ΝΣΗ Α/ΘΜΙΑΣ ΚΑΙ Β/ΘΜΙΑΣ ΕΚΠ/ΣΗΣ ΔΥΤΙΚΗΣ ΕΛΛΑΔΑΣ"/>
    <n v="25"/>
    <s v="ΟΧΙ"/>
    <s v="ΟΧΙ"/>
    <s v="ΟΧΙ"/>
    <s v="ΟΧΙ"/>
    <s v="ΟΧΙ"/>
    <m/>
    <m/>
    <s v="Ιδιωτικά Σχολεία"/>
    <x v="2"/>
    <s v="7061023"/>
    <s v="ΙΔΙΩΤΙΚΟ ΝΗΠΙΑΓΩΓΕΙΟ ΠΑΤΡΑ - ΙΔ. ΝΗΠ. ΚΑΡΑΠΑΠΑ ΚΩΝΣΤΑΝΤΙΝΑ"/>
    <s v="ΑΧΑΪΑΣ (Π.Ε.) 2018"/>
    <x v="2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2-07-23T00:00:00"/>
    <x v="1"/>
    <s v="ΔΙΕΥΘΥΝΣΗ Π.Ε. ΑΧΑΪΑΣ"/>
    <n v="57.241666666666667"/>
    <s v="56 - 60"/>
  </r>
  <r>
    <n v="9991482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7-20T00:00:00"/>
    <x v="0"/>
    <s v="ΔΙΕΥΘΥΝΣΗ Δ.Ε. Β΄ ΑΘΗΝΑΣ"/>
    <n v="57.25"/>
    <s v="56 - 60"/>
  </r>
  <r>
    <n v="99914824"/>
    <s v="Α"/>
    <x v="8"/>
    <x v="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7-09T00:00:00"/>
    <x v="0"/>
    <s v="ΔΙΕΥΘΥΝΣΗ Δ.Ε. Δ΄ ΑΘΗΝΑΣ"/>
    <n v="57.280555555555559"/>
    <s v="56 - 60"/>
  </r>
  <r>
    <n v="99914825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2"/>
    <s v="7521011"/>
    <s v="ΙΔΙΩΤΙΚΟ ΝΗΠΙΑΓΩΓΕΙ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7-01T00:00:00"/>
    <x v="1"/>
    <s v="ΔΙΕΥΘΥΝΣΗ Π.Ε. ΑΝΑΤΟΛΙΚΗΣ ΑΤΤΙΚΗΣ"/>
    <n v="57.302777777777777"/>
    <s v="56 - 60"/>
  </r>
  <r>
    <n v="9991482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6-30T00:00:00"/>
    <x v="0"/>
    <s v="ΔΙΕΥΘΥΝΣΗ Δ.Ε. Β΄ ΑΘΗΝΑΣ"/>
    <n v="57.305555555555557"/>
    <s v="56 - 60"/>
  </r>
  <r>
    <n v="99914827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6-26T00:00:00"/>
    <x v="0"/>
    <s v="ΔΙΕΥΘΥΝΣΗ Δ.Ε. Β΄ ΑΘΗΝΑΣ"/>
    <n v="57.31666666666667"/>
    <s v="56 - 60"/>
  </r>
  <r>
    <n v="99914828"/>
    <s v="Θ"/>
    <x v="3"/>
    <x v="3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6-22T00:00:00"/>
    <x v="0"/>
    <s v="ΔΙΕΥΘΥΝΣΗ Δ.Ε. Δ΄ ΑΘΗΝΑΣ"/>
    <n v="57.327777777777776"/>
    <s v="56 - 60"/>
  </r>
  <r>
    <n v="99914829"/>
    <s v="Θ"/>
    <x v="6"/>
    <x v="6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06-19T00:00:00"/>
    <x v="0"/>
    <s v="ΔΙΕΥΘΥΝΣΗ Δ.Ε. ΑΝΑΤ. ΘΕΣ/ΝΙΚΗΣ"/>
    <n v="57.336111111111109"/>
    <s v="56 - 60"/>
  </r>
  <r>
    <n v="99914830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6-15T00:00:00"/>
    <x v="1"/>
    <s v="ΔΙΕΥΘΥΝΣΗ Π.Ε. Β΄ ΑΘΗΝΑΣ"/>
    <n v="57.347222222222221"/>
    <s v="56 - 60"/>
  </r>
  <r>
    <n v="99914831"/>
    <s v="Θ"/>
    <x v="0"/>
    <x v="0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6-10T00:00:00"/>
    <x v="0"/>
    <s v="ΔΙΕΥΘΥΝΣΗ Δ.Ε. ΑΝΑΤΟΛΙΚΗΣ ΑΤΤΙΚΗΣ"/>
    <n v="57.361111111111114"/>
    <s v="56 - 60"/>
  </r>
  <r>
    <n v="99914832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31T00:00:00"/>
    <x v="0"/>
    <s v="ΔΙΕΥΘΥΝΣΗ Δ.Ε. Β΄ ΑΘΗΝΑΣ"/>
    <n v="57.388888888888886"/>
    <s v="56 - 60"/>
  </r>
  <r>
    <n v="99914833"/>
    <s v="Α"/>
    <x v="19"/>
    <x v="19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7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05-30T00:00:00"/>
    <x v="0"/>
    <s v="ΔΙΕΥΘΥΝΣΗ Δ.Ε. ΣΕΡΡΩΝ"/>
    <n v="57.391666666666666"/>
    <s v="56 - 60"/>
  </r>
  <r>
    <n v="99914834"/>
    <s v="Α"/>
    <x v="18"/>
    <x v="1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28T00:00:00"/>
    <x v="1"/>
    <s v="ΔΙΕΥΘΥΝΣΗ Π.Ε. Α΄ ΑΘΗΝΑΣ"/>
    <n v="57.397222222222226"/>
    <s v="56 - 60"/>
  </r>
  <r>
    <n v="99914835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25T00:00:00"/>
    <x v="0"/>
    <s v="ΔΙΕΥΘΥΝΣΗ Δ.Ε. ΑΝΑΤΟΛΙΚΗΣ ΑΤΤΙΚΗΣ"/>
    <n v="57.405555555555559"/>
    <s v="56 - 60"/>
  </r>
  <r>
    <n v="99914836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25T00:00:00"/>
    <x v="0"/>
    <s v="ΔΙΕΥΘΥΝΣΗ Δ.Ε. ΑΝΑΤΟΛΙΚΗΣ ΑΤΤΙΚΗΣ"/>
    <n v="57.405555555555559"/>
    <s v="56 - 60"/>
  </r>
  <r>
    <n v="99914837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22T00:00:00"/>
    <x v="0"/>
    <s v="ΔΙΕΥΘΥΝΣΗ Δ.Ε. Β΄ ΑΘΗΝΑΣ"/>
    <n v="57.413888888888891"/>
    <s v="56 - 60"/>
  </r>
  <r>
    <n v="99914838"/>
    <s v="Θ"/>
    <x v="5"/>
    <x v="5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0"/>
    <s v="ΟΧΙ"/>
    <s v="ΟΧΙ"/>
    <s v="ΟΧΙ"/>
    <s v="ΟΧΙ"/>
    <s v="ΟΧΙ"/>
    <m/>
    <m/>
    <s v="Ιδιωτικά Σχολεία"/>
    <x v="0"/>
    <s v="1060001"/>
    <s v="ΙΔΙΩΤΙΚΟ ΓΥΜΝΑΣΙΟ -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2-05-16T00:00:00"/>
    <x v="0"/>
    <s v="ΔΙΕΥΘΥΝΣΗ Δ.Ε. ΔΩΔΕΚΑΝΗΣΟΥ"/>
    <n v="57.430555555555557"/>
    <s v="56 - 60"/>
  </r>
  <r>
    <n v="9991483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14T00:00:00"/>
    <x v="0"/>
    <s v="ΔΙΕΥΘΥΝΣΗ Δ.Ε. Β΄ ΑΘΗΝΑΣ"/>
    <n v="57.43611111111111"/>
    <s v="56 - 60"/>
  </r>
  <r>
    <n v="99914840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14T00:00:00"/>
    <x v="0"/>
    <s v="ΔΙΕΥΘΥΝΣΗ Δ.Ε. ΠΕΙΡΑΙΑ"/>
    <n v="57.43611111111111"/>
    <s v="56 - 60"/>
  </r>
  <r>
    <n v="9991484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5-12T00:00:00"/>
    <x v="0"/>
    <s v="ΔΙΕΥΘΥΝΣΗ Δ.Ε. Β΄ ΑΘΗΝΑΣ"/>
    <n v="57.44166666666667"/>
    <s v="56 - 60"/>
  </r>
  <r>
    <n v="99914842"/>
    <s v="Α"/>
    <x v="19"/>
    <x v="19"/>
    <m/>
    <m/>
    <s v="Γ΄"/>
    <n v="1"/>
    <s v="Φ. 17.2_ A_/12078/5/28-9-2018"/>
    <d v="2018-09-01T00:00:00"/>
    <s v="ΑΧΑΪΑΣ (Δ.Ε.) 2018"/>
    <s v="ΔΙΕΥΘΥΝΣΗ Δ.Ε. ΑΧΑΪΑΣ"/>
    <s v="ΠΕΡΙΦΕΡΕΙΑΚΗ Δ/ΝΣΗ Α/ΘΜΙΑΣ ΚΑΙ Β/ΘΜΙΑΣ ΕΚΠ/ΣΗΣ ΔΥΤΙΚΗΣ ΕΛΛΑΔΑΣ"/>
    <n v="15"/>
    <s v="ΟΧΙ"/>
    <s v="ΟΧΙ"/>
    <s v="ΟΧΙ"/>
    <m/>
    <s v="ΟΧΙ"/>
    <m/>
    <d v="2018-09-01T00:00:00"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2-05-08T00:00:00"/>
    <x v="0"/>
    <s v="ΔΙΕΥΘΥΝΣΗ Δ.Ε. ΑΧΑΪΑΣ"/>
    <n v="57.452777777777776"/>
    <s v="56 - 60"/>
  </r>
  <r>
    <n v="99914843"/>
    <s v="Θ"/>
    <x v="4"/>
    <x v="4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9"/>
    <s v="ΟΧΙ"/>
    <s v="ΟΧΙ"/>
    <s v="ΟΧΙ"/>
    <s v="ΟΧΙ"/>
    <s v="ΟΧΙ"/>
    <m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 με Οργανική σε Ισότιμο προς τα Δημόσια Σχολείο"/>
    <s v="Τοποθέτηση σε Ιδιωτική Εκπαίδευση"/>
    <d v="1962-04-29T00:00:00"/>
    <x v="0"/>
    <s v="ΔΙΕΥΘΥΝΣΗ Δ.Ε. ΔΩΔΕΚΑΝΗΣΟΥ"/>
    <n v="57.477777777777774"/>
    <s v="56 - 60"/>
  </r>
  <r>
    <n v="99914844"/>
    <s v="Θ"/>
    <x v="3"/>
    <x v="3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4-26T00:00:00"/>
    <x v="0"/>
    <s v="ΔΙΕΥΘΥΝΣΗ Δ.Ε. ΠΕΙΡΑΙΑ"/>
    <n v="57.486111111111114"/>
    <s v="56 - 60"/>
  </r>
  <r>
    <n v="99914845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04-26T00:00:00"/>
    <x v="0"/>
    <s v="ΔΙΕΥΘΥΝΣΗ Δ.Ε. ΑΝΑΤ. ΘΕΣ/ΝΙΚΗΣ"/>
    <n v="57.486111111111114"/>
    <s v="56 - 60"/>
  </r>
  <r>
    <n v="99914846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4-23T00:00:00"/>
    <x v="0"/>
    <s v="ΔΙΕΥΘΥΝΣΗ Δ.Ε. Β΄ ΑΘΗΝΑΣ"/>
    <n v="57.494444444444447"/>
    <s v="56 - 60"/>
  </r>
  <r>
    <n v="99914847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4-15T00:00:00"/>
    <x v="0"/>
    <s v="ΔΙΕΥΘΥΝΣΗ Δ.Ε. Β΄ ΑΘΗΝΑΣ"/>
    <n v="57.516666666666666"/>
    <s v="56 - 60"/>
  </r>
  <r>
    <n v="99914848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4-13T00:00:00"/>
    <x v="0"/>
    <s v="ΔΙΕΥΘΥΝΣΗ Δ.Ε. ΑΝΑΤΟΛΙΚΗΣ ΑΤΤΙΚΗΣ"/>
    <n v="57.522222222222226"/>
    <s v="56 - 60"/>
  </r>
  <r>
    <n v="99914849"/>
    <s v="Α"/>
    <x v="20"/>
    <x v="20"/>
    <m/>
    <m/>
    <s v="Γ΄"/>
    <n v="1"/>
    <n v="22501"/>
    <d v="2018-10-25T00:00:00"/>
    <s v="Α΄ ΠΕΙΡΑΙΑ (Δ.Ε.) 2018"/>
    <s v="ΔΙΕΥΘΥΝΣΗ Δ.Ε. ΠΕΙΡΑΙΑ"/>
    <s v="ΠΕΡΙΦΕΡΕΙΑΚΗ Δ/ΝΣΗ Α/ΘΜΙΑΣ ΚΑΙ Β/ΘΜΙΑΣ ΕΚΠ/ΣΗΣ ΑΤΤΙΚΗΣ"/>
    <n v="2"/>
    <s v="ΟΧΙ"/>
    <m/>
    <m/>
    <m/>
    <s v="ΟΧΙ"/>
    <m/>
    <d v="2018-10-25T00:00:00"/>
    <s v="Ιδιωτικά Σχολεία"/>
    <x v="0"/>
    <s v="0581575"/>
    <s v="ΙΔΙΩΤΙΚΟ ΓΥΜΝΑΣΙΟ ΑΙΚΑΤΕΡΙΝΗΣ ΚΑΡΑΧΑΛΙΟΥ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2-04-10T00:00:00"/>
    <x v="0"/>
    <s v="ΔΙΕΥΘΥΝΣΗ Δ.Ε. ΠΕΙΡΑΙΑ"/>
    <n v="57.530555555555559"/>
    <s v="56 - 60"/>
  </r>
  <r>
    <n v="99914850"/>
    <s v="Α"/>
    <x v="8"/>
    <x v="8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04-10T00:00:00"/>
    <x v="0"/>
    <s v="ΔΙΕΥΘΥΝΣΗ Δ.Ε. ΑΝΑΤ. ΘΕΣ/ΝΙΚΗΣ"/>
    <n v="57.530555555555559"/>
    <s v="56 - 60"/>
  </r>
  <r>
    <n v="99914851"/>
    <s v="Θ"/>
    <x v="5"/>
    <x v="5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2-04-09T00:00:00"/>
    <x v="0"/>
    <s v="ΔΙΕΥΘΥΝΣΗ Δ.Ε. ΑΝΑΤ. ΘΕΣ/ΝΙΚΗΣ"/>
    <n v="57.533333333333331"/>
    <s v="56 - 60"/>
  </r>
  <r>
    <n v="99914852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4-06T00:00:00"/>
    <x v="1"/>
    <s v="ΔΙΕΥΘΥΝΣΗ Π.Ε. Α΄ ΑΘΗΝΑΣ"/>
    <n v="57.541666666666664"/>
    <s v="56 - 60"/>
  </r>
  <r>
    <n v="99914853"/>
    <s v="Α"/>
    <x v="5"/>
    <x v="5"/>
    <m/>
    <m/>
    <s v="Γ΄"/>
    <n v="8"/>
    <m/>
    <m/>
    <s v="Δ΄ ΑΘΗΝΑΣ (Δ.Ε.) 2018"/>
    <s v="ΔΙΕΥΘΥΝΣΗ Δ.Ε. Δ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4-01T00:00:00"/>
    <x v="0"/>
    <s v="ΔΙΕΥΘΥΝΣΗ Δ.Ε. Δ΄ ΑΘΗΝΑΣ"/>
    <n v="57.555555555555557"/>
    <s v="56 - 60"/>
  </r>
  <r>
    <n v="99914854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31T00:00:00"/>
    <x v="0"/>
    <s v="ΔΙΕΥΘΥΝΣΗ Δ.Ε. Δ΄ ΑΘΗΝΑΣ"/>
    <n v="57.55833333333333"/>
    <s v="56 - 60"/>
  </r>
  <r>
    <n v="99914855"/>
    <s v="Α"/>
    <x v="19"/>
    <x v="1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29T00:00:00"/>
    <x v="0"/>
    <s v="ΔΙΕΥΘΥΝΣΗ Δ.Ε. Α΄ ΑΘΗΝΑΣ"/>
    <n v="57.56388888888889"/>
    <s v="56 - 60"/>
  </r>
  <r>
    <n v="99914856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27T00:00:00"/>
    <x v="0"/>
    <s v="ΔΙΕΥΘΥΝΣΗ Δ.Ε. Β΄ ΑΘΗΝΑΣ"/>
    <n v="57.569444444444443"/>
    <s v="56 - 60"/>
  </r>
  <r>
    <n v="99914857"/>
    <s v="Θ"/>
    <x v="6"/>
    <x v="6"/>
    <m/>
    <m/>
    <s v="Α΄"/>
    <n v="1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24T00:00:00"/>
    <x v="1"/>
    <s v="ΔΙΕΥΘΥΝΣΗ Π.Ε. Δ΄ ΑΘΗΝΑΣ"/>
    <n v="57.577777777777776"/>
    <s v="56 - 60"/>
  </r>
  <r>
    <n v="99914858"/>
    <s v="Θ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20T00:00:00"/>
    <x v="0"/>
    <s v="ΔΙΕΥΘΥΝΣΗ Δ.Ε. ΑΝΑΤΟΛΙΚΗΣ ΑΤΤΙΚΗΣ"/>
    <n v="57.588888888888889"/>
    <s v="56 - 60"/>
  </r>
  <r>
    <n v="99914859"/>
    <s v="Θ"/>
    <x v="1"/>
    <x v="1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17T00:00:00"/>
    <x v="1"/>
    <s v="ΔΙΕΥΘΥΝΣΗ Π.Ε. Δ΄ ΑΘΗΝΑΣ"/>
    <n v="57.597222222222221"/>
    <s v="56 - 60"/>
  </r>
  <r>
    <n v="99914860"/>
    <s v="Θ"/>
    <x v="23"/>
    <x v="2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16T00:00:00"/>
    <x v="0"/>
    <s v="ΔΙΕΥΘΥΝΣΗ Δ.Ε. Γ΄ ΑΘΗΝΑΣ"/>
    <n v="57.6"/>
    <s v="56 - 60"/>
  </r>
  <r>
    <n v="99914861"/>
    <s v="Θ"/>
    <x v="0"/>
    <x v="0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3"/>
    <s v="0680030"/>
    <s v="Ιδιωτικό Ισότιμο Λύκειο - ΑΡΣΑΚΕΙΟ ΓΕΝΙΚΟ ΛΥΚΕΙΟ ΠΑΤΡΩΝ"/>
    <s v="ΑΧΑΪΑΣ (Δ.Ε.) 2018"/>
    <x v="53"/>
    <s v="ΠΕΡΙΦΕΡΕΙΑΚΗ Δ/ΝΣΗ Α/ΘΜΙΑΣ ΚΑΙ Β/ΘΜΙΑΣ ΕΚΠ/ΣΗΣ ΔΥΤΙΚΗΣ ΕΛΛΑΔΑΣ"/>
    <s v="Ιδιωτικού Δικαίου Αορίστου Χρόνου (Ι.Δ.Α.Χ.) με Οργανική σε Ισότιμο προς τα Δημόσια Σχολείο"/>
    <s v="Τοποθέτηση σε Ιδιωτική Εκπαίδευση"/>
    <d v="1962-03-04T00:00:00"/>
    <x v="0"/>
    <s v="ΔΙΕΥΘΥΝΣΗ Δ.Ε. ΑΧΑΪΑΣ"/>
    <n v="57.633333333333333"/>
    <s v="56 - 60"/>
  </r>
  <r>
    <n v="99914862"/>
    <s v="Α"/>
    <x v="3"/>
    <x v="3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2-03-02T00:00:00"/>
    <x v="0"/>
    <s v="ΔΙΕΥΘΥΝΣΗ Δ.Ε. ΑΝΑΤ. ΘΕΣ/ΝΙΚΗΣ"/>
    <n v="57.638888888888886"/>
    <s v="56 - 60"/>
  </r>
  <r>
    <n v="99914863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3-01T00:00:00"/>
    <x v="0"/>
    <s v="ΔΙΕΥΘΥΝΣΗ Δ.Ε. Β΄ ΑΘΗΝΑΣ"/>
    <n v="57.641666666666666"/>
    <s v="56 - 60"/>
  </r>
  <r>
    <n v="99914864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2-17T00:00:00"/>
    <x v="0"/>
    <s v="ΔΙΕΥΘΥΝΣΗ Δ.Ε. Β΄ ΑΘΗΝΑΣ"/>
    <n v="57.674999999999997"/>
    <s v="56 - 60"/>
  </r>
  <r>
    <n v="99914865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2-12T00:00:00"/>
    <x v="0"/>
    <s v="ΔΙΕΥΘΥΝΣΗ Δ.Ε. ΑΝΑΤΟΛΙΚΗΣ ΑΤΤΙΚΗΣ"/>
    <n v="57.68888888888889"/>
    <s v="56 - 60"/>
  </r>
  <r>
    <n v="99914866"/>
    <s v="Α"/>
    <x v="3"/>
    <x v="3"/>
    <m/>
    <m/>
    <s v="Α΄"/>
    <n v="16"/>
    <n v="18255"/>
    <d v="2018-09-01T00:00:00"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2-08T00:00:00"/>
    <x v="0"/>
    <s v="ΔΙΕΥΘΥΝΣΗ Δ.Ε. Β΄ ΑΘΗΝΑΣ"/>
    <n v="57.7"/>
    <s v="56 - 60"/>
  </r>
  <r>
    <n v="99914867"/>
    <s v="Θ"/>
    <x v="2"/>
    <x v="2"/>
    <m/>
    <m/>
    <s v="Γ΄"/>
    <n v="1"/>
    <s v="2418/20.10.87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m/>
    <s v="Ιδιωτικά Σχολεία"/>
    <x v="2"/>
    <s v="7052071"/>
    <s v="ΙΔΙΩΤΙΚΟ ΝΗΠΙΑΓΩΓΕΙΟ ΗΡΑΚΛΕΙΟ - Η ΕΛΛΗΝΙΚΗ ΠΑΙΔΕ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2-07T00:00:00"/>
    <x v="1"/>
    <s v="ΔΙΕΥΘΥΝΣΗ Π.Ε. Β΄ ΑΘΗΝΑΣ"/>
    <n v="57.702777777777776"/>
    <s v="56 - 60"/>
  </r>
  <r>
    <n v="99914868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2-01-28T00:00:00"/>
    <x v="0"/>
    <s v="ΔΙΕΥΘΥΝΣΗ Δ.Ε. ΑΝΑΤΟΛΙΚΗΣ ΑΤΤΙΚΗΣ"/>
    <n v="57.730555555555554"/>
    <s v="56 - 60"/>
  </r>
  <r>
    <n v="99914869"/>
    <s v="Θ"/>
    <x v="2"/>
    <x v="2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91021"/>
    <s v="ΙΔΙΩΤΙΚΟ ΝΗΠΙΑΓΩΓΕΙΟ ΘΕΣΣΑΛΟΝΙΚΗ - ΙΔ. ΝΗΠΙΑΓΩΓΕΙΟ Ι.Κ.Θ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2-01-19T00:00:00"/>
    <x v="1"/>
    <s v="ΔΙΕΥΘΥΝΣΗ Π.Ε. ΑΝΑΤ. ΘΕΣ/ΝΙΚΗΣ"/>
    <n v="57.755555555555553"/>
    <s v="56 - 60"/>
  </r>
  <r>
    <n v="99914870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2-01-06T00:00:00"/>
    <x v="1"/>
    <s v="ΔΙΕΥΘΥΝΣΗ Π.Ε. ΗΡΑΚΛΕΙΟΥ"/>
    <n v="57.791666666666664"/>
    <s v="56 - 60"/>
  </r>
  <r>
    <n v="99914871"/>
    <s v="Θ"/>
    <x v="20"/>
    <x v="20"/>
    <m/>
    <m/>
    <s v="Α΄"/>
    <n v="4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1-01T00:00:00"/>
    <x v="0"/>
    <s v="ΔΙΕΥΘΥΝΣΗ Δ.Ε. Α΄ ΑΘΗΝΑΣ"/>
    <n v="57.805555555555557"/>
    <s v="56 - 60"/>
  </r>
  <r>
    <n v="99914872"/>
    <s v="Α"/>
    <x v="9"/>
    <x v="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1-01T00:00:00"/>
    <x v="0"/>
    <s v="ΔΙΕΥΘΥΝΣΗ Δ.Ε. ΑΝΑΤΟΛΙΚΗΣ ΑΤΤΙΚΗΣ"/>
    <n v="57.805555555555557"/>
    <s v="56 - 60"/>
  </r>
  <r>
    <n v="99914873"/>
    <s v="Α"/>
    <x v="20"/>
    <x v="20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81859"/>
    <s v="ΙΔΙΩΤΙΚΟ ΓΥΜΝΑΣΙΟ Α.Δ. ΣΤΕΓΚΑ Ο.Ε.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2-01-01T00:00:00"/>
    <x v="0"/>
    <s v="ΔΙΕΥΘΥΝΣΗ Δ.Ε. ΠΕΙΡΑΙΑ"/>
    <n v="57.805555555555557"/>
    <s v="56 - 60"/>
  </r>
  <r>
    <n v="99914874"/>
    <s v="Α"/>
    <x v="6"/>
    <x v="6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2-28T00:00:00"/>
    <x v="0"/>
    <s v="ΔΙΕΥΘΥΝΣΗ Δ.Ε. Δ΄ ΑΘΗΝΑΣ"/>
    <n v="57.81666666666667"/>
    <s v="56 - 60"/>
  </r>
  <r>
    <n v="99914875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12-25T00:00:00"/>
    <x v="0"/>
    <s v="ΔΙΕΥΘΥΝΣΗ Δ.Ε. ΑΝΑΤ. ΘΕΣ/ΝΙΚΗΣ"/>
    <n v="57.825000000000003"/>
    <s v="56 - 60"/>
  </r>
  <r>
    <n v="99914876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2-17T00:00:00"/>
    <x v="0"/>
    <s v="ΔΙΕΥΘΥΝΣΗ Δ.Ε. Β΄ ΑΘΗΝΑΣ"/>
    <n v="57.847222222222221"/>
    <s v="56 - 60"/>
  </r>
  <r>
    <n v="99914877"/>
    <s v="Θ"/>
    <x v="3"/>
    <x v="3"/>
    <m/>
    <m/>
    <s v="Α΄"/>
    <n v="15"/>
    <m/>
    <m/>
    <s v="Α΄ ΑΘΗΝΑΣ (Δ.Ε.) 2018"/>
    <s v="ΔΙΕΥΘΥΝΣΗ Δ.Ε. Α΄ ΑΘΗΝΑΣ"/>
    <s v="ΠΕΡΙΦΕΡΕΙΑΚΗ Δ/ΝΣΗ Α/ΘΜΙΑΣ ΚΑΙ Β/ΘΜΙΑΣ ΕΚΠ/ΣΗΣ ΑΤΤΙΚΗΣ"/>
    <n v="6"/>
    <s v="ΟΧΙ"/>
    <s v="ΟΧΙ"/>
    <s v="ΟΧΙ"/>
    <s v="ΟΧΙ"/>
    <s v="ΟΧΙ"/>
    <m/>
    <d v="1992-09-01T00:00:00"/>
    <s v="Ιδιωτικά Σχολεία"/>
    <x v="3"/>
    <s v="0561011"/>
    <s v="ΙΔΙΩΤΙΚΟ ΓΕΝΙΚΟ ΛΥΚΕΙΟ &quot;Η ΘΕΟΜΗΤΩΡ&quot;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2-02T00:00:00"/>
    <x v="0"/>
    <s v="ΔΙΕΥΘΥΝΣΗ Δ.Ε. Α΄ ΑΘΗΝΑΣ"/>
    <n v="57.888888888888886"/>
    <s v="56 - 60"/>
  </r>
  <r>
    <n v="99914878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1-28T00:00:00"/>
    <x v="0"/>
    <s v="ΔΙΕΥΘΥΝΣΗ Δ.Ε. Β΄ ΑΘΗΝΑΣ"/>
    <n v="57.9"/>
    <s v="56 - 60"/>
  </r>
  <r>
    <n v="9991487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2"/>
    <s v="ΟΧΙ"/>
    <s v="ΟΧΙ"/>
    <s v="ΟΧΙ"/>
    <m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1-11-26T00:00:00"/>
    <x v="0"/>
    <s v="ΔΙΕΥΘΥΝΣΗ Δ.Ε. ΑΝΑΤ. ΘΕΣ/ΝΙΚΗΣ"/>
    <n v="57.905555555555559"/>
    <s v="56 - 60"/>
  </r>
  <r>
    <n v="99914880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1-10T00:00:00"/>
    <x v="0"/>
    <s v="ΔΙΕΥΘΥΝΣΗ Δ.Ε. Β΄ ΑΘΗΝΑΣ"/>
    <n v="57.95"/>
    <s v="56 - 60"/>
  </r>
  <r>
    <n v="99914881"/>
    <s v="Α"/>
    <x v="11"/>
    <x v="11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11-06T00:00:00"/>
    <x v="0"/>
    <s v="ΔΙΕΥΘΥΝΣΗ Δ.Ε. ΑΝΑΤ. ΘΕΣ/ΝΙΚΗΣ"/>
    <n v="57.961111111111109"/>
    <s v="56 - 60"/>
  </r>
  <r>
    <n v="99914882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1-04T00:00:00"/>
    <x v="0"/>
    <s v="ΔΙΕΥΘΥΝΣΗ Δ.Ε. ΑΝΑΤΟΛΙΚΗΣ ΑΤΤΙΚΗΣ"/>
    <n v="57.966666666666669"/>
    <s v="56 - 60"/>
  </r>
  <r>
    <n v="99914883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1-10-31T00:00:00"/>
    <x v="0"/>
    <s v="ΔΙΕΥΘΥΝΣΗ Δ.Ε. Β΄ ΑΘΗΝΑΣ"/>
    <n v="57.977777777777774"/>
    <s v="56 - 60"/>
  </r>
  <r>
    <n v="99914884"/>
    <s v="Θ"/>
    <x v="33"/>
    <x v="32"/>
    <s v="ΠΕ78"/>
    <s v="ΚΟΙΝΩΝΙΚΩΝ ΕΠΙΣΤΗΜΩΝ"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30T00:00:00"/>
    <x v="0"/>
    <s v="ΔΙΕΥΘΥΝΣΗ Δ.Ε. Β΄ ΑΘΗΝΑΣ"/>
    <n v="57.980555555555554"/>
    <s v="56 - 60"/>
  </r>
  <r>
    <n v="99914885"/>
    <s v="Θ"/>
    <x v="6"/>
    <x v="6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5"/>
    <s v="ΟΧΙ"/>
    <s v="ΟΧΙ"/>
    <s v="ΟΧΙ"/>
    <s v="ΟΧΙ"/>
    <s v="ΟΧΙ"/>
    <m/>
    <m/>
    <s v="Ιδιωτικά Σχολεία"/>
    <x v="0"/>
    <s v="2080025"/>
    <s v="ΙΔΙΩΤΙΚΟ ΓΥΜΝΑΣΙΟ ΙΩΑΝΝΙΝΑ - ΔΩΔΩΝΑΙΑ ΕΚΠΑΙΔΕΥΤΗΡΙΑ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61-10-30T00:00:00"/>
    <x v="0"/>
    <s v="ΔΙΕΥΘΥΝΣΗ Δ.Ε. ΙΩΑΝΝΙΝΩΝ"/>
    <n v="57.980555555555554"/>
    <s v="56 - 60"/>
  </r>
  <r>
    <n v="99914886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10-29T00:00:00"/>
    <x v="0"/>
    <s v="ΔΙΕΥΘΥΝΣΗ Δ.Ε. Β΄ ΑΘΗΝΑΣ"/>
    <n v="57.983333333333334"/>
    <s v="56 - 60"/>
  </r>
  <r>
    <n v="99914887"/>
    <s v="Θ"/>
    <x v="20"/>
    <x v="2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27T00:00:00"/>
    <x v="0"/>
    <s v="ΔΙΕΥΘΥΝΣΗ Δ.Ε. Δ΄ ΑΘΗΝΑΣ"/>
    <n v="57.988888888888887"/>
    <s v="56 - 60"/>
  </r>
  <r>
    <n v="9991488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10-25T00:00:00"/>
    <x v="0"/>
    <s v="ΔΙΕΥΘΥΝΣΗ Δ.Ε. Β΄ ΑΘΗΝΑΣ"/>
    <n v="57.994444444444447"/>
    <s v="56 - 60"/>
  </r>
  <r>
    <n v="99914889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25T00:00:00"/>
    <x v="1"/>
    <s v="ΔΙΕΥΘΥΝΣΗ Π.Ε. Β΄ ΑΘΗΝΑΣ"/>
    <n v="57.994444444444447"/>
    <s v="56 - 60"/>
  </r>
  <r>
    <n v="99914890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18T00:00:00"/>
    <x v="0"/>
    <s v="ΔΙΕΥΘΥΝΣΗ Δ.Ε. Β΄ ΑΘΗΝΑΣ"/>
    <n v="58.013888888888886"/>
    <s v="56 - 60"/>
  </r>
  <r>
    <n v="99914891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10-14T00:00:00"/>
    <x v="0"/>
    <s v="ΔΙΕΥΘΥΝΣΗ Δ.Ε. Β΄ ΑΘΗΝΑΣ"/>
    <n v="58.024999999999999"/>
    <s v="56 - 60"/>
  </r>
  <r>
    <n v="99914892"/>
    <s v="Α"/>
    <x v="29"/>
    <x v="2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11T00:00:00"/>
    <x v="0"/>
    <s v="ΔΙΕΥΘΥΝΣΗ Δ.Ε. Δ΄ ΑΘΗΝΑΣ"/>
    <n v="58.033333333333331"/>
    <s v="56 - 60"/>
  </r>
  <r>
    <n v="99914893"/>
    <s v="Α"/>
    <x v="18"/>
    <x v="1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10T00:00:00"/>
    <x v="0"/>
    <s v="ΔΙΕΥΘΥΝΣΗ Δ.Ε. Γ΄ ΑΘΗΝΑΣ"/>
    <n v="58.036111111111111"/>
    <s v="56 - 60"/>
  </r>
  <r>
    <n v="99914894"/>
    <s v="Θ"/>
    <x v="1"/>
    <x v="1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10-09T00:00:00"/>
    <x v="1"/>
    <s v="ΔΙΕΥΘΥΝΣΗ Π.Ε. Β΄ ΑΘΗΝΑΣ"/>
    <n v="58.038888888888891"/>
    <s v="56 - 60"/>
  </r>
  <r>
    <n v="99914895"/>
    <s v="Θ"/>
    <x v="0"/>
    <x v="0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01T00:00:00"/>
    <x v="1"/>
    <s v="ΔΙΕΥΘΥΝΣΗ Π.Ε. Β΄ ΑΘΗΝΑΣ"/>
    <n v="58.06111111111111"/>
    <s v="56 - 60"/>
  </r>
  <r>
    <n v="99914896"/>
    <s v="Θ"/>
    <x v="6"/>
    <x v="6"/>
    <m/>
    <m/>
    <s v="Γ΄"/>
    <n v="1"/>
    <s v="2770/18-11-94"/>
    <d v="2018-09-01T00:00:00"/>
    <s v="Β΄ ΑΘΗΝΑΣ (Π.Ε.) 2018"/>
    <s v="ΔΙΕΥΘΥΝΣΗ Π.Ε. Β΄ ΑΘΗΝΑΣ"/>
    <s v="ΠΕΡΙΦΕΡΕΙΑΚΗ Δ/ΝΣΗ Α/ΘΜΙΑΣ ΚΑΙ Β/ΘΜΙΑΣ ΕΚΠ/ΣΗΣ ΑΤΤΙΚΗΣ"/>
    <n v="13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10-01T00:00:00"/>
    <x v="1"/>
    <s v="ΔΙΕΥΘΥΝΣΗ Π.Ε. Β΄ ΑΘΗΝΑΣ"/>
    <n v="58.06111111111111"/>
    <s v="56 - 60"/>
  </r>
  <r>
    <n v="99914897"/>
    <s v="Θ"/>
    <x v="3"/>
    <x v="3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10-01T00:00:00"/>
    <x v="0"/>
    <s v="ΔΙΕΥΘΥΝΣΗ Δ.Ε. ΑΝΑΤ. ΘΕΣ/ΝΙΚΗΣ"/>
    <n v="58.06111111111111"/>
    <s v="56 - 60"/>
  </r>
  <r>
    <n v="99914898"/>
    <s v="Α"/>
    <x v="11"/>
    <x v="11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9-22T00:00:00"/>
    <x v="0"/>
    <s v="ΔΙΕΥΘΥΝΣΗ Δ.Ε. ΑΝΑΤΟΛΙΚΗΣ ΑΤΤΙΚΗΣ"/>
    <n v="58.086111111111109"/>
    <s v="56 - 60"/>
  </r>
  <r>
    <n v="99914899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9-22T00:00:00"/>
    <x v="0"/>
    <s v="ΔΙΕΥΘΥΝΣΗ Δ.Ε. Β΄ ΑΘΗΝΑΣ"/>
    <n v="58.086111111111109"/>
    <s v="56 - 60"/>
  </r>
  <r>
    <n v="99914900"/>
    <s v="Α"/>
    <x v="1"/>
    <x v="1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4"/>
    <s v="ΙΔΙΩΤΙΚΟ ΔΗΜΟΤΙΚΟ ΠΥΛΑΙΑ - ΕΚΠΑΙΔΕΥΤΙΚΟΣ ΟΜΙΛΟΣ ΑΝΑΤΟΛΙΑ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9-19T00:00:00"/>
    <x v="1"/>
    <s v="ΔΙΕΥΘΥΝΣΗ Π.Ε. ΑΝΑΤ. ΘΕΣ/ΝΙΚΗΣ"/>
    <n v="58.094444444444441"/>
    <s v="56 - 60"/>
  </r>
  <r>
    <n v="99914901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735"/>
    <s v="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9-17T00:00:00"/>
    <x v="0"/>
    <s v="ΔΙΕΥΘΥΝΣΗ Δ.Ε. ΑΝΑΤΟΛΙΚΗΣ ΑΤΤΙΚΗΣ"/>
    <n v="58.1"/>
    <s v="56 - 60"/>
  </r>
  <r>
    <n v="99914902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9-16T00:00:00"/>
    <x v="0"/>
    <s v="ΔΙΕΥΘΥΝΣΗ Δ.Ε. Δ΄ ΑΘΗΝΑΣ"/>
    <n v="58.102777777777774"/>
    <s v="56 - 60"/>
  </r>
  <r>
    <n v="99914903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9-01T00:00:00"/>
    <x v="0"/>
    <s v="ΔΙΕΥΘΥΝΣΗ Δ.Ε. Β΄ ΑΘΗΝΑΣ"/>
    <n v="58.144444444444446"/>
    <s v="56 - 60"/>
  </r>
  <r>
    <n v="9991490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8-31T00:00:00"/>
    <x v="0"/>
    <s v="ΔΙΕΥΘΥΝΣΗ Δ.Ε. Β΄ ΑΘΗΝΑΣ"/>
    <n v="58.147222222222226"/>
    <s v="56 - 60"/>
  </r>
  <r>
    <n v="99914905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8-30T00:00:00"/>
    <x v="0"/>
    <s v="ΔΙΕΥΘΥΝΣΗ Δ.Ε. Γ΄ ΑΘΗΝΑΣ"/>
    <n v="58.15"/>
    <s v="56 - 60"/>
  </r>
  <r>
    <n v="99914906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8-27T00:00:00"/>
    <x v="0"/>
    <s v="ΔΙΕΥΘΥΝΣΗ Δ.Ε. Β΄ ΑΘΗΝΑΣ"/>
    <n v="58.158333333333331"/>
    <s v="56 - 60"/>
  </r>
  <r>
    <n v="99914907"/>
    <s v="Θ"/>
    <x v="6"/>
    <x v="6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1"/>
    <s v="7700026"/>
    <s v="ΙΔΙΩΤΙΚΟ ΔΗΜΟΤΙΚΟ ΠΑΤΗΣΙΑ - ΛΕΟΝΤΕΙΟΣ ΣΧΟΛΗ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8-06T00:00:00"/>
    <x v="1"/>
    <s v="ΔΙΕΥΘΥΝΣΗ Π.Ε. Α΄ ΑΘΗΝΑΣ"/>
    <n v="58.216666666666669"/>
    <s v="56 - 60"/>
  </r>
  <r>
    <n v="9991490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7-16T00:00:00"/>
    <x v="0"/>
    <s v="ΔΙΕΥΘΥΝΣΗ Δ.Ε. Β΄ ΑΘΗΝΑΣ"/>
    <n v="58.274999999999999"/>
    <s v="56 - 60"/>
  </r>
  <r>
    <n v="99914909"/>
    <s v="Θ"/>
    <x v="0"/>
    <x v="0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11-02T00:00:00"/>
    <s v="Ιδιωτικά Σχολεία"/>
    <x v="1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7-14T00:00:00"/>
    <x v="1"/>
    <s v="ΔΙΕΥΘΥΝΣΗ Π.Ε. ΑΝΑΤ. ΘΕΣ/ΝΙΚΗΣ"/>
    <n v="58.280555555555559"/>
    <s v="56 - 60"/>
  </r>
  <r>
    <n v="99914910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7-13T00:00:00"/>
    <x v="0"/>
    <s v="ΔΙΕΥΘΥΝΣΗ Δ.Ε. Β΄ ΑΘΗΝΑΣ"/>
    <n v="58.283333333333331"/>
    <s v="56 - 60"/>
  </r>
  <r>
    <n v="99914911"/>
    <s v="Α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7-11T00:00:00"/>
    <x v="0"/>
    <s v="ΔΙΕΥΘΥΝΣΗ Δ.Ε. ΑΝΑΤΟΛΙΚΗΣ ΑΤΤΙΚΗΣ"/>
    <n v="58.288888888888891"/>
    <s v="56 - 60"/>
  </r>
  <r>
    <n v="99914912"/>
    <s v="Θ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7-09T00:00:00"/>
    <x v="0"/>
    <s v="ΔΙΕΥΘΥΝΣΗ Δ.Ε. ΑΝΑΤΟΛΙΚΗΣ ΑΤΤΙΚΗΣ"/>
    <n v="58.294444444444444"/>
    <s v="56 - 60"/>
  </r>
  <r>
    <n v="99914913"/>
    <s v="Θ"/>
    <x v="5"/>
    <x v="5"/>
    <m/>
    <m/>
    <s v="Α΄"/>
    <n v="14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92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7-07T00:00:00"/>
    <x v="0"/>
    <s v="ΔΙΕΥΘΥΝΣΗ Δ.Ε. Α΄ ΑΘΗΝΑΣ"/>
    <n v="58.3"/>
    <s v="56 - 60"/>
  </r>
  <r>
    <n v="99914914"/>
    <s v="Θ"/>
    <x v="3"/>
    <x v="3"/>
    <m/>
    <m/>
    <s v="Α΄"/>
    <n v="13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d v="1990-09-01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7-06T00:00:00"/>
    <x v="0"/>
    <s v="ΔΙΕΥΘΥΝΣΗ Δ.Ε. Α΄ ΑΘΗΝΑΣ"/>
    <n v="58.302777777777777"/>
    <s v="56 - 60"/>
  </r>
  <r>
    <n v="99914915"/>
    <s v="Α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7-01T00:00:00"/>
    <x v="0"/>
    <s v="ΔΙΕΥΘΥΝΣΗ Δ.Ε. ΑΝΑΤΟΛΙΚΗΣ ΑΤΤΙΚΗΣ"/>
    <n v="58.31666666666667"/>
    <s v="56 - 60"/>
  </r>
  <r>
    <n v="99914916"/>
    <s v="Θ"/>
    <x v="18"/>
    <x v="1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6-30T00:00:00"/>
    <x v="0"/>
    <s v="ΔΙΕΥΘΥΝΣΗ Δ.Ε. ΑΝΑΤ. ΘΕΣ/ΝΙΚΗΣ"/>
    <n v="58.319444444444443"/>
    <s v="56 - 60"/>
  </r>
  <r>
    <n v="99914917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6-27T00:00:00"/>
    <x v="0"/>
    <s v="ΔΙΕΥΘΥΝΣΗ Δ.Ε. Β΄ ΑΘΗΝΑΣ"/>
    <n v="58.327777777777776"/>
    <s v="56 - 60"/>
  </r>
  <r>
    <n v="99914918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6-24T00:00:00"/>
    <x v="0"/>
    <s v="ΔΙΕΥΘΥΝΣΗ Δ.Ε. ΑΝΑΤ. ΘΕΣ/ΝΙΚΗΣ"/>
    <n v="58.336111111111109"/>
    <s v="56 - 60"/>
  </r>
  <r>
    <n v="99914919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6-17T00:00:00"/>
    <x v="0"/>
    <s v="ΔΙΕΥΘΥΝΣΗ Δ.Ε. Β΄ ΑΘΗΝΑΣ"/>
    <n v="58.355555555555554"/>
    <s v="56 - 60"/>
  </r>
  <r>
    <n v="99914920"/>
    <s v="Α"/>
    <x v="5"/>
    <x v="5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5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6-16T00:00:00"/>
    <x v="0"/>
    <s v="ΔΙΕΥΘΥΝΣΗ Δ.Ε. ΣΕΡΡΩΝ"/>
    <n v="58.358333333333334"/>
    <s v="56 - 60"/>
  </r>
  <r>
    <n v="99914921"/>
    <s v="Α"/>
    <x v="5"/>
    <x v="5"/>
    <m/>
    <m/>
    <s v="Α΄"/>
    <n v="14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6-08T00:00:00"/>
    <x v="0"/>
    <s v="ΔΙΕΥΘΥΝΣΗ Δ.Ε. Δ΄ ΑΘΗΝΑΣ"/>
    <n v="58.380555555555553"/>
    <s v="56 - 60"/>
  </r>
  <r>
    <n v="99914922"/>
    <s v="Α"/>
    <x v="1"/>
    <x v="1"/>
    <m/>
    <m/>
    <s v="Α΄"/>
    <n v="14"/>
    <s v="Φ.60.2/8023/20-10-2003"/>
    <d v="2003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3-09-01T00:00:00"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6-07T00:00:00"/>
    <x v="1"/>
    <s v="ΔΙΕΥΘΥΝΣΗ Π.Ε. ΑΝΑΤΟΛΙΚΗΣ ΑΤΤΙΚΗΣ"/>
    <n v="58.383333333333333"/>
    <s v="56 - 60"/>
  </r>
  <r>
    <n v="99914923"/>
    <s v="Α"/>
    <x v="38"/>
    <x v="37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6-01T00:00:00"/>
    <x v="0"/>
    <s v="ΔΙΕΥΘΥΝΣΗ Δ.Ε. ΑΝΑΤ. ΘΕΣ/ΝΙΚΗΣ"/>
    <n v="58.4"/>
    <s v="56 - 60"/>
  </r>
  <r>
    <n v="99914924"/>
    <s v="Θ"/>
    <x v="2"/>
    <x v="2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5"/>
    <s v="ΟΧΙ"/>
    <s v="ΟΧΙ"/>
    <s v="ΟΧΙ"/>
    <s v="ΟΧΙ"/>
    <s v="ΟΧΙ"/>
    <m/>
    <m/>
    <s v="Ιδιωτικά Σχολεία"/>
    <x v="2"/>
    <s v="7281009"/>
    <s v="ΙΔΙΩΤΙΚΟ ΝΗΠΙΑΓΩΓΕΙΟ ΞΥΛΟΚΑΣΤΡΟ - ΜΕΝΟΥΝΟΥ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1-06-01T00:00:00"/>
    <x v="1"/>
    <s v="ΔΙΕΥΘΥΝΣΗ Π.Ε. ΚΟΡΙΝΘΙΑΣ"/>
    <n v="58.4"/>
    <s v="56 - 60"/>
  </r>
  <r>
    <n v="99914925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5-28T00:00:00"/>
    <x v="0"/>
    <s v="ΔΙΕΥΘΥΝΣΗ Δ.Ε. Β΄ ΑΘΗΝΑΣ"/>
    <n v="58.411111111111111"/>
    <s v="56 - 60"/>
  </r>
  <r>
    <n v="99914926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5-26T00:00:00"/>
    <x v="0"/>
    <s v="ΔΙΕΥΘΥΝΣΗ Δ.Ε. Β΄ ΑΘΗΝΑΣ"/>
    <n v="58.416666666666664"/>
    <s v="56 - 60"/>
  </r>
  <r>
    <n v="99914927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5-14T00:00:00"/>
    <x v="0"/>
    <s v="ΔΙΕΥΘΥΝΣΗ Δ.Ε. ΑΝΑΤΟΛΙΚΗΣ ΑΤΤΙΚΗΣ"/>
    <n v="58.45"/>
    <s v="56 - 60"/>
  </r>
  <r>
    <n v="99914928"/>
    <s v="Θ"/>
    <x v="6"/>
    <x v="6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5-11T00:00:00"/>
    <x v="0"/>
    <s v="ΔΙΕΥΘΥΝΣΗ Δ.Ε. ΑΝΑΤΟΛΙΚΗΣ ΑΤΤΙΚΗΣ"/>
    <n v="58.458333333333336"/>
    <s v="56 - 60"/>
  </r>
  <r>
    <n v="9991492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1-04-30T00:00:00"/>
    <x v="0"/>
    <s v="ΔΙΕΥΘΥΝΣΗ Δ.Ε. ΑΝΑΤ. ΘΕΣ/ΝΙΚΗΣ"/>
    <n v="58.488888888888887"/>
    <s v="56 - 60"/>
  </r>
  <r>
    <n v="99914930"/>
    <s v="Α"/>
    <x v="19"/>
    <x v="19"/>
    <m/>
    <m/>
    <s v="Α΄"/>
    <n v="14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4-27T00:00:00"/>
    <x v="0"/>
    <s v="ΔΙΕΥΘΥΝΣΗ Δ.Ε. Δ΄ ΑΘΗΝΑΣ"/>
    <n v="58.49722222222222"/>
    <s v="56 - 60"/>
  </r>
  <r>
    <n v="99914931"/>
    <s v="Α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4-23T00:00:00"/>
    <x v="0"/>
    <s v="ΔΙΕΥΘΥΝΣΗ Δ.Ε. Γ΄ ΑΘΗΝΑΣ"/>
    <n v="58.508333333333333"/>
    <s v="56 - 60"/>
  </r>
  <r>
    <n v="99914932"/>
    <s v="Α"/>
    <x v="5"/>
    <x v="5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61-04-22T00:00:00"/>
    <x v="0"/>
    <s v="ΔΙΕΥΘΥΝΣΗ Δ.Ε. ΔΩΔΕΚΑΝΗΣΟΥ"/>
    <n v="58.511111111111113"/>
    <s v="56 - 60"/>
  </r>
  <r>
    <n v="99914933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1-04-01T00:00:00"/>
    <x v="0"/>
    <s v="ΔΙΕΥΘΥΝΣΗ Δ.Ε. ΑΝΑΤ. ΘΕΣ/ΝΙΚΗΣ"/>
    <n v="58.569444444444443"/>
    <s v="56 - 60"/>
  </r>
  <r>
    <n v="9991493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3-27T00:00:00"/>
    <x v="0"/>
    <s v="ΔΙΕΥΘΥΝΣΗ Δ.Ε. Β΄ ΑΘΗΝΑΣ"/>
    <n v="58.583333333333336"/>
    <s v="56 - 60"/>
  </r>
  <r>
    <n v="99914935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3-26T00:00:00"/>
    <x v="0"/>
    <s v="ΔΙΕΥΘΥΝΣΗ Δ.Ε. ΑΝΑΤΟΛΙΚΗΣ ΑΤΤΙΚΗΣ"/>
    <n v="58.586111111111109"/>
    <s v="56 - 60"/>
  </r>
  <r>
    <n v="99914936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3-24T00:00:00"/>
    <x v="0"/>
    <s v="ΔΙΕΥΘΥΝΣΗ Δ.Ε. Β΄ ΑΘΗΝΑΣ"/>
    <n v="58.591666666666669"/>
    <s v="56 - 60"/>
  </r>
  <r>
    <n v="99914937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3-21T00:00:00"/>
    <x v="0"/>
    <s v="ΔΙΕΥΘΥΝΣΗ Δ.Ε. Β΄ ΑΘΗΝΑΣ"/>
    <n v="58.6"/>
    <s v="56 - 60"/>
  </r>
  <r>
    <n v="9991493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3-20T00:00:00"/>
    <x v="0"/>
    <s v="ΔΙΕΥΘΥΝΣΗ Δ.Ε. Β΄ ΑΘΗΝΑΣ"/>
    <n v="58.602777777777774"/>
    <s v="56 - 60"/>
  </r>
  <r>
    <n v="99914939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3-19T00:00:00"/>
    <x v="0"/>
    <s v="ΔΙΕΥΘΥΝΣΗ Δ.Ε. Β΄ ΑΘΗΝΑΣ"/>
    <n v="58.605555555555554"/>
    <s v="56 - 60"/>
  </r>
  <r>
    <n v="99914940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3-12T00:00:00"/>
    <x v="0"/>
    <s v="ΔΙΕΥΘΥΝΣΗ Δ.Ε. Β΄ ΑΘΗΝΑΣ"/>
    <n v="58.625"/>
    <s v="56 - 60"/>
  </r>
  <r>
    <n v="99914941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3-11T00:00:00"/>
    <x v="1"/>
    <s v="ΔΙΕΥΘΥΝΣΗ Π.Ε. ΑΝΑΤΟΛΙΚΗΣ ΑΤΤΙΚΗΣ"/>
    <n v="58.62777777777778"/>
    <s v="56 - 60"/>
  </r>
  <r>
    <n v="99914942"/>
    <s v="Α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3-10T00:00:00"/>
    <x v="0"/>
    <s v="ΔΙΕΥΘΥΝΣΗ Δ.Ε. Β΄ ΑΘΗΝΑΣ"/>
    <n v="58.630555555555553"/>
    <s v="56 - 60"/>
  </r>
  <r>
    <n v="99914943"/>
    <s v="Θ"/>
    <x v="17"/>
    <x v="17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3-06T00:00:00"/>
    <x v="1"/>
    <s v="ΔΙΕΥΘΥΝΣΗ Π.Ε. Β΄ ΑΘΗΝΑΣ"/>
    <n v="58.641666666666666"/>
    <s v="56 - 60"/>
  </r>
  <r>
    <n v="99914944"/>
    <s v="Θ"/>
    <x v="1"/>
    <x v="1"/>
    <m/>
    <m/>
    <s v="Α΄"/>
    <n v="17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85-02-01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2-03T00:00:00"/>
    <x v="1"/>
    <s v="ΔΙΕΥΘΥΝΣΗ Π.Ε. ΑΝΑΤΟΛΙΚΗΣ ΑΤΤΙΚΗΣ"/>
    <n v="58.727777777777774"/>
    <s v="56 - 60"/>
  </r>
  <r>
    <n v="99914945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2"/>
    <s v="7051109"/>
    <s v="ΣΥΣΤΕΓΑΖΟΜΕΝΟ ΙΔΙΩΤΙΚΟ ΝΗΠΙΑΓΩΓΕΙΟ - ΛΕΟΝΤΕΙΟ ΛΥΚΕΙΟ ΠΑΤΗΣΙΩΝ - ΑΝΩΝΥΜΗ ΕΚΠΑΙΔΕΥΤΙΚΗ ΕΤΑΙΡΕΙΑ - ΛΕΟΝΤΕΙΟ ΛΥΚΕΙΟ ΠΑΤΗΣΙΩΝ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2-02T00:00:00"/>
    <x v="1"/>
    <s v="ΔΙΕΥΘΥΝΣΗ Π.Ε. Α΄ ΑΘΗΝΑΣ"/>
    <n v="58.730555555555554"/>
    <s v="56 - 60"/>
  </r>
  <r>
    <n v="99914946"/>
    <s v="Θ"/>
    <x v="0"/>
    <x v="0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2-01T00:00:00"/>
    <x v="1"/>
    <s v="ΔΙΕΥΘΥΝΣΗ Π.Ε. Β΄ ΑΘΗΝΑΣ"/>
    <n v="58.733333333333334"/>
    <s v="56 - 60"/>
  </r>
  <r>
    <n v="99914947"/>
    <s v="Θ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1-21T00:00:00"/>
    <x v="0"/>
    <s v="ΔΙΕΥΘΥΝΣΗ Δ.Ε. ΑΝΑΤΟΛΙΚΗΣ ΑΤΤΙΚΗΣ"/>
    <n v="58.763888888888886"/>
    <s v="56 - 60"/>
  </r>
  <r>
    <n v="99914948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1-21T00:00:00"/>
    <x v="0"/>
    <s v="ΔΙΕΥΘΥΝΣΗ Δ.Ε. Β΄ ΑΘΗΝΑΣ"/>
    <n v="58.763888888888886"/>
    <s v="56 - 60"/>
  </r>
  <r>
    <n v="99914949"/>
    <s v="Α"/>
    <x v="18"/>
    <x v="18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5"/>
    <s v="ΟΧΙ"/>
    <m/>
    <m/>
    <m/>
    <s v="ΟΧΙ"/>
    <m/>
    <m/>
    <s v="Ιδιωτικά Σχολεία"/>
    <x v="1"/>
    <s v="7052018"/>
    <s v="ΙΔΙΩΤΙΚΟ ΔΗΜΟΤΙΚΟ - ΕΛΛΗΝΟΓΕΡΜΑΝΙΚΟΣ ΕΚΠ/ΚΟΣ ΣΥΛΛΟΓΟΣ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1-15T00:00:00"/>
    <x v="1"/>
    <s v="ΔΙΕΥΘΥΝΣΗ Π.Ε. Β΄ ΑΘΗΝΑΣ"/>
    <n v="58.780555555555559"/>
    <s v="56 - 60"/>
  </r>
  <r>
    <n v="99914950"/>
    <s v="Θ"/>
    <x v="0"/>
    <x v="0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1-11T00:00:00"/>
    <x v="1"/>
    <s v="ΔΙΕΥΘΥΝΣΗ Π.Ε. Β΄ ΑΘΗΝΑΣ"/>
    <n v="58.791666666666664"/>
    <s v="56 - 60"/>
  </r>
  <r>
    <n v="99914951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61010"/>
    <s v="ΙΔΙΩΤΙΚΟ ΗΜΕΡΗΣΙΟ ΛΥΚΕΙΟ ΘΕΜΙΣΤΟΚΛΗ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1-01T00:00:00"/>
    <x v="0"/>
    <s v="ΔΙΕΥΘΥΝΣΗ Δ.Ε. ΠΕΙΡΑΙΑ"/>
    <n v="58.819444444444443"/>
    <s v="56 - 60"/>
  </r>
  <r>
    <n v="99914952"/>
    <s v="Θ"/>
    <x v="1"/>
    <x v="1"/>
    <s v="ΠΕ04.01"/>
    <s v="ΦΥΣΙΚΟΙ"/>
    <s v="Α΄"/>
    <n v="17"/>
    <n v="213"/>
    <d v="1990-12-31T00:00:00"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90-12-31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1-01-01T00:00:00"/>
    <x v="1"/>
    <s v="ΔΙΕΥΘΥΝΣΗ Π.Ε. ΑΝΑΤΟΛΙΚΗΣ ΑΤΤΙΚΗΣ"/>
    <n v="58.819444444444443"/>
    <s v="56 - 60"/>
  </r>
  <r>
    <n v="99914953"/>
    <s v="Θ"/>
    <x v="2"/>
    <x v="2"/>
    <m/>
    <m/>
    <s v="Α΄"/>
    <n v="18"/>
    <n v="155181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05"/>
    <s v="ΙΔΙΩΤΙΚΟ ΝΗΠΙΑΓΩΓΕΙΟ - ΤΟ ΕΡΓΑΣΤΗΡΙ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1-01-01T00:00:00"/>
    <x v="1"/>
    <s v="ΔΙΕΥΘΥΝΣΗ Π.Ε. Δ΄ ΑΘΗΝΑΣ"/>
    <n v="58.819444444444443"/>
    <s v="56 - 60"/>
  </r>
  <r>
    <n v="99914954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60020"/>
    <s v="ΙΔΙΩΤΙΚΟ ΓΥΜΝΑΣΙΟ &quot;ΣΠΥΡΙΔΩΝ ΝΤΑΓΚΑΣ ΚΑΙ ΣΙΑ Ο.Ε. - ΝΕΑ ΠΑΙΔΕΙ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2-23T00:00:00"/>
    <x v="0"/>
    <s v="ΔΙΕΥΘΥΝΣΗ Δ.Ε. Γ΄ ΑΘΗΝΑΣ"/>
    <n v="58.844444444444441"/>
    <s v="56 - 60"/>
  </r>
  <r>
    <n v="99914955"/>
    <s v="Θ"/>
    <x v="2"/>
    <x v="2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2017"/>
    <s v="ΙΔΙΩΤΙΚΟ ΝΗΠΙΑΓΩΓΕΙΟ ΧΑΛΑΝΔΡΙ - ΑΓΓΕΛΙΚΗ Β. ΑΛΕΞΑΝΔΡΑΚΗ ΜΕΠΕ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2-14T00:00:00"/>
    <x v="1"/>
    <s v="ΔΙΕΥΘΥΝΣΗ Π.Ε. Β΄ ΑΘΗΝΑΣ"/>
    <n v="58.869444444444447"/>
    <s v="56 - 60"/>
  </r>
  <r>
    <n v="99914956"/>
    <s v="Θ"/>
    <x v="14"/>
    <x v="1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12-09T00:00:00"/>
    <x v="0"/>
    <s v="ΔΙΕΥΘΥΝΣΗ Δ.Ε. Β΄ ΑΘΗΝΑΣ"/>
    <n v="58.883333333333333"/>
    <s v="56 - 60"/>
  </r>
  <r>
    <n v="99914957"/>
    <s v="Θ"/>
    <x v="18"/>
    <x v="18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2002-07-17T00:00:00"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11-27T00:00:00"/>
    <x v="1"/>
    <s v="ΔΙΕΥΘΥΝΣΗ Π.Ε. ΑΝΑΤΟΛΙΚΗΣ ΑΤΤΙΚΗΣ"/>
    <n v="58.916666666666664"/>
    <s v="56 - 60"/>
  </r>
  <r>
    <n v="99914958"/>
    <s v="Α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11-22T00:00:00"/>
    <x v="0"/>
    <s v="ΔΙΕΥΘΥΝΣΗ Δ.Ε. ΑΝΑΤ. ΘΕΣ/ΝΙΚΗΣ"/>
    <n v="58.930555555555557"/>
    <s v="56 - 60"/>
  </r>
  <r>
    <n v="99914959"/>
    <s v="Α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6"/>
    <s v="ΙΔΙΩΤΙΚΟ ΔΗΜΟΤΙΚΟ ΠΑΛΛΗΝΗ - ΕΚΠΑΙΔΕΥΤΗΡΙΑ ΚΩΣΤΕΑ-ΓΕΙΤΟΝΑ Α.Ε.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1-19T00:00:00"/>
    <x v="1"/>
    <s v="ΔΙΕΥΘΥΝΣΗ Π.Ε. ΑΝΑΤΟΛΙΚΗΣ ΑΤΤΙΚΗΣ"/>
    <n v="58.93888888888889"/>
    <s v="56 - 60"/>
  </r>
  <r>
    <n v="99914960"/>
    <s v="Θ"/>
    <x v="5"/>
    <x v="5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5"/>
    <s v="ΟΧΙ"/>
    <s v="ΟΧΙ"/>
    <s v="ΟΧΙ"/>
    <s v="ΟΧΙ"/>
    <s v="ΟΧΙ"/>
    <m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11-19T00:00:00"/>
    <x v="0"/>
    <s v="ΔΙΕΥΘΥΝΣΗ Δ.Ε. ΣΕΡΡΩΝ"/>
    <n v="58.93888888888889"/>
    <s v="56 - 60"/>
  </r>
  <r>
    <n v="99914961"/>
    <s v="Α"/>
    <x v="18"/>
    <x v="18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1-13T00:00:00"/>
    <x v="1"/>
    <s v="ΔΙΕΥΘΥΝΣΗ Π.Ε. ΠΕΙΡΑΙΑ"/>
    <n v="58.955555555555556"/>
    <s v="56 - 60"/>
  </r>
  <r>
    <n v="99914962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60-11-08T00:00:00"/>
    <x v="0"/>
    <s v="ΔΙΕΥΘΥΝΣΗ Δ.Ε. ΠΕΙΡΑΙΑ"/>
    <n v="58.969444444444441"/>
    <s v="56 - 60"/>
  </r>
  <r>
    <n v="99914963"/>
    <s v="Θ"/>
    <x v="6"/>
    <x v="6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11-04T00:00:00"/>
    <x v="0"/>
    <s v="ΔΙΕΥΘΥΝΣΗ Δ.Ε. ΑΝΑΤ. ΘΕΣ/ΝΙΚΗΣ"/>
    <n v="58.980555555555554"/>
    <s v="56 - 60"/>
  </r>
  <r>
    <n v="99914964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0-23T00:00:00"/>
    <x v="0"/>
    <s v="ΔΙΕΥΘΥΝΣΗ Δ.Ε. Β΄ ΑΘΗΝΑΣ"/>
    <n v="59.013888888888886"/>
    <s v="56 - 60"/>
  </r>
  <r>
    <n v="99914965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0-18T00:00:00"/>
    <x v="0"/>
    <s v="ΔΙΕΥΘΥΝΣΗ Δ.Ε. Β΄ ΑΘΗΝΑΣ"/>
    <n v="59.027777777777779"/>
    <s v="56 - 60"/>
  </r>
  <r>
    <n v="99914966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10-11T00:00:00"/>
    <x v="0"/>
    <s v="ΔΙΕΥΘΥΝΣΗ Δ.Ε. Β΄ ΑΘΗΝΑΣ"/>
    <n v="59.047222222222224"/>
    <s v="56 - 60"/>
  </r>
  <r>
    <n v="99914967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10-05T00:00:00"/>
    <x v="0"/>
    <s v="ΔΙΕΥΘΥΝΣΗ Δ.Ε. Β΄ ΑΘΗΝΑΣ"/>
    <n v="59.06388888888889"/>
    <s v="56 - 60"/>
  </r>
  <r>
    <n v="99914968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10-04T00:00:00"/>
    <x v="0"/>
    <s v="ΔΙΕΥΘΥΝΣΗ Δ.Ε. Β΄ ΑΘΗΝΑΣ"/>
    <n v="59.06666666666667"/>
    <s v="56 - 60"/>
  </r>
  <r>
    <n v="99914969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9-30T00:00:00"/>
    <x v="0"/>
    <s v="ΔΙΕΥΘΥΝΣΗ Δ.Ε. Α΄ ΑΘΗΝΑΣ"/>
    <n v="59.077777777777776"/>
    <s v="56 - 60"/>
  </r>
  <r>
    <n v="99914970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9-29T00:00:00"/>
    <x v="0"/>
    <s v="ΔΙΕΥΘΥΝΣΗ Δ.Ε. ΑΝΑΤ. ΘΕΣ/ΝΙΚΗΣ"/>
    <n v="59.080555555555556"/>
    <s v="56 - 60"/>
  </r>
  <r>
    <n v="99914971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9-21T00:00:00"/>
    <x v="0"/>
    <s v="ΔΙΕΥΘΥΝΣΗ Δ.Ε. Α΄ ΑΘΗΝΑΣ"/>
    <n v="59.102777777777774"/>
    <s v="56 - 60"/>
  </r>
  <r>
    <n v="99914972"/>
    <s v="Θ"/>
    <x v="18"/>
    <x v="18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9-20T00:00:00"/>
    <x v="0"/>
    <s v="ΔΙΕΥΘΥΝΣΗ Δ.Ε. Δ΄ ΑΘΗΝΑΣ"/>
    <n v="59.105555555555554"/>
    <s v="56 - 60"/>
  </r>
  <r>
    <n v="99914973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9-18T00:00:00"/>
    <x v="0"/>
    <s v="ΔΙΕΥΘΥΝΣΗ Δ.Ε. Β΄ ΑΘΗΝΑΣ"/>
    <n v="59.111111111111114"/>
    <s v="56 - 60"/>
  </r>
  <r>
    <n v="99914974"/>
    <s v="Α"/>
    <x v="5"/>
    <x v="5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60004"/>
    <s v="ΙΔΙΩΤΙΚΟ ΓΥΜΝΑΣΙΟ ΘΕΣΣΑΛΟΝΙΚΗΣ &quot; ΕΚΠΑΙΔΕΥΤΗΡΙΑ ΒΑΣΙΛΕΙΑΔ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9-18T00:00:00"/>
    <x v="0"/>
    <s v="ΔΙΕΥΘΥΝΣΗ Δ.Ε. ΑΝΑΤ. ΘΕΣ/ΝΙΚΗΣ"/>
    <n v="59.111111111111114"/>
    <s v="56 - 60"/>
  </r>
  <r>
    <n v="99914975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90907"/>
    <s v="ΕΛΛΗΝΟΓΑΛΛΙΚΗ ΣΧΟΛΗ ΟΥΡΣΟΥΛΙΝΩΝ - ΙΔΙΩΤΙΚΟ ΓΕΝΙΚΟ ΛΥΚΕ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9-12T00:00:00"/>
    <x v="0"/>
    <s v="ΔΙΕΥΘΥΝΣΗ Δ.Ε. Β΄ ΑΘΗΝΑΣ"/>
    <n v="59.12777777777778"/>
    <s v="56 - 60"/>
  </r>
  <r>
    <n v="99914976"/>
    <s v="Α"/>
    <x v="1"/>
    <x v="1"/>
    <m/>
    <m/>
    <s v="Α΄"/>
    <n v="17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9-05T00:00:00"/>
    <x v="1"/>
    <s v="ΔΙΕΥΘΥΝΣΗ Π.Ε. Δ΄ ΑΘΗΝΑΣ"/>
    <n v="59.147222222222226"/>
    <s v="56 - 60"/>
  </r>
  <r>
    <n v="99914977"/>
    <s v="Α"/>
    <x v="4"/>
    <x v="4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60-08-23T00:00:00"/>
    <x v="0"/>
    <s v="ΔΙΕΥΘΥΝΣΗ Δ.Ε. ΑΝΑΤ. ΘΕΣ/ΝΙΚΗΣ"/>
    <n v="59.18333333333333"/>
    <s v="56 - 60"/>
  </r>
  <r>
    <n v="99914978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0-08-22T00:00:00"/>
    <x v="1"/>
    <s v="ΔΙΕΥΘΥΝΣΗ Π.Ε. ΗΡΑΚΛΕΙΟΥ"/>
    <n v="59.18611111111111"/>
    <s v="56 - 60"/>
  </r>
  <r>
    <n v="99914979"/>
    <s v="Θ"/>
    <x v="2"/>
    <x v="2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m/>
    <s v="ΟΧΙ"/>
    <m/>
    <m/>
    <s v="Ιδιωτικά Σχολεία"/>
    <x v="2"/>
    <s v="7501003"/>
    <s v="ΙΔΙΩΤΙΚΟ ΝΗΠΙΑΓΩΓΕΙΟ ΧΑΝΙΩΝ - ΣΥΣΤΕΓΑΖΟΜΕΝΟ ΝΗΠΙΑΓΩΓΕΙΟ-ΠΟΙΜΕΝΙΔΟΥ ΜΑΡΙΝΑ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0-08-22T00:00:00"/>
    <x v="1"/>
    <s v="ΔΙΕΥΘΥΝΣΗ Π.Ε. ΧΑΝΙΩΝ"/>
    <n v="59.18611111111111"/>
    <s v="56 - 60"/>
  </r>
  <r>
    <n v="99914980"/>
    <s v="Θ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8-15T00:00:00"/>
    <x v="0"/>
    <s v="ΔΙΕΥΘΥΝΣΗ Δ.Ε. ΑΝΑΤΟΛΙΚΗΣ ΑΤΤΙΚΗΣ"/>
    <n v="59.205555555555556"/>
    <s v="56 - 60"/>
  </r>
  <r>
    <n v="99914981"/>
    <s v="Θ"/>
    <x v="15"/>
    <x v="15"/>
    <s v="ΠΕ88.04"/>
    <s v="ΔΙΑΤΡΟΦΗΣ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40902"/>
    <s v="ΙΔΙΩΤΙΚΟ ΓΥΜΝΑΣ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8-13T00:00:00"/>
    <x v="0"/>
    <s v="ΔΙΕΥΘΥΝΣΗ Δ.Ε. Β΄ ΑΘΗΝΑΣ"/>
    <n v="59.211111111111109"/>
    <s v="56 - 60"/>
  </r>
  <r>
    <n v="99914982"/>
    <s v="Α"/>
    <x v="8"/>
    <x v="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8-12T00:00:00"/>
    <x v="1"/>
    <s v="ΔΙΕΥΘΥΝΣΗ Π.Ε. Δ΄ ΑΘΗΝΑΣ"/>
    <n v="59.213888888888889"/>
    <s v="56 - 60"/>
  </r>
  <r>
    <n v="99914983"/>
    <s v="Α"/>
    <x v="19"/>
    <x v="19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605"/>
    <s v="ΙΔΙΩΤΙΚΟ ΓΥΜΝΑΣΙΟ &quot;ΕΚΠΑΙΔΕΥΤΗΡΙΑ ΛΑΜΠΙΡΗ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8-10T00:00:00"/>
    <x v="0"/>
    <s v="ΔΙΕΥΘΥΝΣΗ Δ.Ε. Δ΄ ΑΘΗΝΑΣ"/>
    <n v="59.219444444444441"/>
    <s v="56 - 60"/>
  </r>
  <r>
    <n v="99914984"/>
    <s v="Α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7-13T00:00:00"/>
    <x v="0"/>
    <s v="ΔΙΕΥΘΥΝΣΗ Δ.Ε. Β΄ ΑΘΗΝΑΣ"/>
    <n v="59.297222222222224"/>
    <s v="56 - 60"/>
  </r>
  <r>
    <n v="9991498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6-26T00:00:00"/>
    <x v="0"/>
    <s v="ΔΙΕΥΘΥΝΣΗ Δ.Ε. Β΄ ΑΘΗΝΑΣ"/>
    <n v="59.344444444444441"/>
    <s v="56 - 60"/>
  </r>
  <r>
    <n v="99914986"/>
    <s v="Α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6-21T00:00:00"/>
    <x v="0"/>
    <s v="ΔΙΕΥΘΥΝΣΗ Δ.Ε. Β΄ ΑΘΗΝΑΣ"/>
    <n v="59.358333333333334"/>
    <s v="56 - 60"/>
  </r>
  <r>
    <n v="99914987"/>
    <s v="Θ"/>
    <x v="14"/>
    <x v="14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6-21T00:00:00"/>
    <x v="1"/>
    <s v="ΔΙΕΥΘΥΝΣΗ Π.Ε. ΠΕΙΡΑΙΑ"/>
    <n v="59.358333333333334"/>
    <s v="56 - 60"/>
  </r>
  <r>
    <n v="99914988"/>
    <s v="Θ"/>
    <x v="7"/>
    <x v="7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6-19T00:00:00"/>
    <x v="0"/>
    <s v="ΔΙΕΥΘΥΝΣΗ Δ.Ε. Β΄ ΑΘΗΝΑΣ"/>
    <n v="59.363888888888887"/>
    <s v="56 - 60"/>
  </r>
  <r>
    <n v="9991498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6-19T00:00:00"/>
    <x v="0"/>
    <s v="ΔΙΕΥΘΥΝΣΗ Δ.Ε. Β΄ ΑΘΗΝΑΣ"/>
    <n v="59.363888888888887"/>
    <s v="56 - 60"/>
  </r>
  <r>
    <n v="99914990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6-15T00:00:00"/>
    <x v="0"/>
    <s v="ΔΙΕΥΘΥΝΣΗ Δ.Ε. ΑΝΑΤΟΛΙΚΗΣ ΑΤΤΙΚΗΣ"/>
    <n v="59.375"/>
    <s v="56 - 60"/>
  </r>
  <r>
    <n v="99914991"/>
    <s v="Θ"/>
    <x v="1"/>
    <x v="1"/>
    <m/>
    <m/>
    <s v="Γ΄"/>
    <n v="1"/>
    <s v="54/7-10-1986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6-11T00:00:00"/>
    <x v="1"/>
    <s v="ΔΙΕΥΘΥΝΣΗ Π.Ε. Β΄ ΑΘΗΝΑΣ"/>
    <n v="59.386111111111113"/>
    <s v="56 - 60"/>
  </r>
  <r>
    <n v="99914992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90907"/>
    <s v="ΕΛΛΗΝΟΓΑΛΛΙΚΗ ΣΧΟΛΗ ΟΥΡΣΟΥΛΙΝΩΝ - ΙΔΙΩΤΙΚΟ ΓΕΝΙΚΟ ΛΥΚΕ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6-10T00:00:00"/>
    <x v="0"/>
    <s v="ΔΙΕΥΘΥΝΣΗ Δ.Ε. Β΄ ΑΘΗΝΑΣ"/>
    <n v="59.388888888888886"/>
    <s v="56 - 60"/>
  </r>
  <r>
    <n v="99914993"/>
    <s v="Θ"/>
    <x v="0"/>
    <x v="0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s v="ΟΧΙ"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60-05-30T00:00:00"/>
    <x v="0"/>
    <s v="ΔΙΕΥΘΥΝΣΗ Δ.Ε. ΤΡΙΚΑΛΩΝ"/>
    <n v="59.419444444444444"/>
    <s v="56 - 60"/>
  </r>
  <r>
    <n v="99914994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1"/>
    <s v="7052028"/>
    <s v="ΙΔΙΩΤΙΚΟ ΔΗΜΟΤΙΚΟ ΑΜΑΡΟΥΣΙΟΥ - &quot;Η ΕΛΛΗΝΙΚΗ ΠΑΙΔΕΙΑ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5-23T00:00:00"/>
    <x v="1"/>
    <s v="ΔΙΕΥΘΥΝΣΗ Π.Ε. Β΄ ΑΘΗΝΑΣ"/>
    <n v="59.43888888888889"/>
    <s v="56 - 60"/>
  </r>
  <r>
    <n v="99914995"/>
    <s v="Α"/>
    <x v="20"/>
    <x v="2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9"/>
    <s v="ΟΧΙ"/>
    <s v="ΟΧΙ"/>
    <s v="ΟΧΙ"/>
    <s v="ΟΧΙ"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5-22T00:00:00"/>
    <x v="0"/>
    <s v="ΔΙΕΥΘΥΝΣΗ Δ.Ε. Β΄ ΑΘΗΝΑΣ"/>
    <n v="59.44166666666667"/>
    <s v="56 - 60"/>
  </r>
  <r>
    <n v="99914996"/>
    <s v="Α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5-22T00:00:00"/>
    <x v="0"/>
    <s v="ΔΙΕΥΘΥΝΣΗ Δ.Ε. Β΄ ΑΘΗΝΑΣ"/>
    <n v="59.44166666666667"/>
    <s v="56 - 60"/>
  </r>
  <r>
    <n v="99914997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5-20T00:00:00"/>
    <x v="0"/>
    <s v="ΔΙΕΥΘΥΝΣΗ Δ.Ε. Β΄ ΑΘΗΝΑΣ"/>
    <n v="59.447222222222223"/>
    <s v="56 - 60"/>
  </r>
  <r>
    <n v="99914998"/>
    <s v="Α"/>
    <x v="19"/>
    <x v="19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5"/>
    <s v="ΟΧΙ"/>
    <s v="ΟΧΙ"/>
    <s v="ΟΧΙ"/>
    <s v="ΟΧΙ"/>
    <s v="ΟΧΙ"/>
    <m/>
    <m/>
    <s v="Ιδιωτικά Σχολεία"/>
    <x v="0"/>
    <s v="2881010"/>
    <s v="ΙΔΙΩΤΙΚΟ ΓΥΜΝΑΣΙΟ ΚΟΡΙΝΘΟΥ - ΑΡΙΣΤΟΤΕΛΕΙΟ ΚΟΡΙΝΘΙΑΚΟ ΕΚΠΑΙΔΕΥΤΗΡ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60-05-16T00:00:00"/>
    <x v="0"/>
    <s v="ΔΙΕΥΘΥΝΣΗ Δ.Ε. ΚΟΡΙΝΘΙΑΣ"/>
    <n v="59.458333333333336"/>
    <s v="56 - 60"/>
  </r>
  <r>
    <n v="99914999"/>
    <s v="Θ"/>
    <x v="1"/>
    <x v="1"/>
    <m/>
    <m/>
    <s v="Γ΄"/>
    <n v="18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5-12T00:00:00"/>
    <x v="1"/>
    <s v="ΔΙΕΥΘΥΝΣΗ Π.Ε. Β΄ ΑΘΗΝΑΣ"/>
    <n v="59.469444444444441"/>
    <s v="56 - 60"/>
  </r>
  <r>
    <n v="99915000"/>
    <s v="Α"/>
    <x v="8"/>
    <x v="8"/>
    <m/>
    <m/>
    <s v="Α΄"/>
    <n v="1"/>
    <s v="6040/25-10-1994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91913"/>
    <s v="ΙΔΙΩΤΙΚΟ ΗΜΕΡΗΣΙΟ ΓΥΜΝΑΣΙΟ ΔΕΛΑΣΑΛ ΘΕΣΣΑΛΟΝΙΚΗΣ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5-11T00:00:00"/>
    <x v="0"/>
    <s v="ΔΙΕΥΘΥΝΣΗ Δ.Ε. ΔΥΤ. ΘΕΣ/ΝΙΚΗΣ"/>
    <n v="59.472222222222221"/>
    <s v="56 - 60"/>
  </r>
  <r>
    <n v="99915001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4-25T00:00:00"/>
    <x v="0"/>
    <s v="ΔΙΕΥΘΥΝΣΗ Δ.Ε. Β΄ ΑΘΗΝΑΣ"/>
    <n v="59.516666666666666"/>
    <s v="56 - 60"/>
  </r>
  <r>
    <n v="99915002"/>
    <s v="Α"/>
    <x v="8"/>
    <x v="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4-15T00:00:00"/>
    <x v="0"/>
    <s v="ΔΙΕΥΘΥΝΣΗ Δ.Ε. ΑΝΑΤΟΛΙΚΗΣ ΑΤΤΙΚΗΣ"/>
    <n v="59.544444444444444"/>
    <s v="56 - 60"/>
  </r>
  <r>
    <n v="99915003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4-08T00:00:00"/>
    <x v="0"/>
    <s v="ΔΙΕΥΘΥΝΣΗ Δ.Ε. Β΄ ΑΘΗΝΑΣ"/>
    <n v="59.56388888888889"/>
    <s v="56 - 60"/>
  </r>
  <r>
    <n v="99915004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4-06T00:00:00"/>
    <x v="0"/>
    <s v="ΔΙΕΥΘΥΝΣΗ Δ.Ε. Α΄ ΑΘΗΝΑΣ"/>
    <n v="59.569444444444443"/>
    <s v="56 - 60"/>
  </r>
  <r>
    <n v="99915005"/>
    <s v="Θ"/>
    <x v="6"/>
    <x v="6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4-01T00:00:00"/>
    <x v="0"/>
    <s v="ΔΙΕΥΘΥΝΣΗ Δ.Ε. ΑΝΑΤ. ΘΕΣ/ΝΙΚΗΣ"/>
    <n v="59.583333333333336"/>
    <s v="56 - 60"/>
  </r>
  <r>
    <n v="99915006"/>
    <s v="Α"/>
    <x v="5"/>
    <x v="5"/>
    <m/>
    <m/>
    <s v="Γ΄"/>
    <n v="1"/>
    <m/>
    <d v="2004-08-25T00:00:00"/>
    <s v="ΣΕΡΡΩΝ (Δ.Ε.) 2018"/>
    <s v="ΔΙΕΥΘΥΝΣΗ Δ.Ε. ΣΕΡΡΩΝ"/>
    <s v="ΠΕΡΙΦΕΡΕΙΑΚΗ Δ/ΝΣΗ Α/ΘΜΙΑΣ ΚΑΙ Β/ΘΜΙΑΣ ΕΚΠ/ΣΗΣ ΚΕΝΤΡΙΚΗΣ ΜΑΚΕΔΟΝΙΑΣ"/>
    <n v="6"/>
    <s v="ΟΧΙ"/>
    <s v="ΟΧΙ"/>
    <s v="ΟΧΙ"/>
    <s v="ΟΧΙ"/>
    <s v="ΟΧΙ"/>
    <m/>
    <d v="2004-08-25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3-30T00:00:00"/>
    <x v="0"/>
    <s v="ΔΙΕΥΘΥΝΣΗ Δ.Ε. ΣΕΡΡΩΝ"/>
    <n v="59.588888888888889"/>
    <s v="56 - 60"/>
  </r>
  <r>
    <n v="99915007"/>
    <s v="Θ"/>
    <x v="1"/>
    <x v="1"/>
    <m/>
    <m/>
    <s v="Α΄"/>
    <n v="19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s v="ΟΧΙ"/>
    <s v="ΟΧΙ"/>
    <m/>
    <d v="1984-02-10T00:00:00"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3-29T00:00:00"/>
    <x v="1"/>
    <s v="ΔΙΕΥΘΥΝΣΗ Π.Ε. ΑΝΑΤΟΛΙΚΗΣ ΑΤΤΙΚΗΣ"/>
    <n v="59.591666666666669"/>
    <s v="56 - 60"/>
  </r>
  <r>
    <n v="99915008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3-14T00:00:00"/>
    <x v="0"/>
    <s v="ΔΙΕΥΘΥΝΣΗ Δ.Ε. ΑΝΑΤΟΛΙΚΗΣ ΑΤΤΙΚΗΣ"/>
    <n v="59.633333333333333"/>
    <s v="56 - 60"/>
  </r>
  <r>
    <n v="99915009"/>
    <s v="Θ"/>
    <x v="7"/>
    <x v="7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3-11T00:00:00"/>
    <x v="0"/>
    <s v="ΔΙΕΥΘΥΝΣΗ Δ.Ε. ΑΝΑΤ. ΘΕΣ/ΝΙΚΗΣ"/>
    <n v="59.641666666666666"/>
    <s v="56 - 60"/>
  </r>
  <r>
    <n v="99915010"/>
    <s v="Θ"/>
    <x v="8"/>
    <x v="8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3-08T00:00:00"/>
    <x v="0"/>
    <s v="ΔΙΕΥΘΥΝΣΗ Δ.Ε. Β΄ ΑΘΗΝΑΣ"/>
    <n v="59.65"/>
    <s v="56 - 60"/>
  </r>
  <r>
    <n v="99915011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2-27T00:00:00"/>
    <x v="1"/>
    <s v="ΔΙΕΥΘΥΝΣΗ Π.Ε. Β΄ ΑΘΗΝΑΣ"/>
    <n v="59.677777777777777"/>
    <s v="56 - 60"/>
  </r>
  <r>
    <n v="99915012"/>
    <s v="Α"/>
    <x v="1"/>
    <x v="1"/>
    <m/>
    <m/>
    <s v="Α΄"/>
    <n v="12"/>
    <m/>
    <m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4004"/>
    <s v="ΙΔΙΩΤΙΚΟ ΔΗΜΟΤΙΚΟ - ΠΑΣΧΑΛΗΣ ΑΝΤΩΝΗΣ ΙΔΙΩΤΙΚΑ ΕΚΠΑΙΔΕΥΤΗΡΙΑ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2-26T00:00:00"/>
    <x v="1"/>
    <s v="ΔΙΕΥΘΥΝΣΗ Π.Ε. Δ΄ ΑΘΗΝΑΣ"/>
    <n v="59.680555555555557"/>
    <s v="56 - 60"/>
  </r>
  <r>
    <n v="99915013"/>
    <s v="Α"/>
    <x v="18"/>
    <x v="18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2-22T00:00:00"/>
    <x v="1"/>
    <s v="ΔΙΕΥΘΥΝΣΗ Π.Ε. ΠΕΙΡΑΙΑ"/>
    <n v="59.69166666666667"/>
    <s v="56 - 60"/>
  </r>
  <r>
    <n v="99915014"/>
    <s v="Θ"/>
    <x v="1"/>
    <x v="1"/>
    <m/>
    <m/>
    <s v="Γ΄"/>
    <n v="1"/>
    <s v="1289/18-10-80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2-18T00:00:00"/>
    <x v="1"/>
    <s v="ΔΙΕΥΘΥΝΣΗ Π.Ε. Β΄ ΑΘΗΝΑΣ"/>
    <n v="59.702777777777776"/>
    <s v="56 - 60"/>
  </r>
  <r>
    <n v="9991501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2-06T00:00:00"/>
    <x v="0"/>
    <s v="ΔΙΕΥΘΥΝΣΗ Δ.Ε. Β΄ ΑΘΗΝΑΣ"/>
    <n v="59.736111111111114"/>
    <s v="56 - 60"/>
  </r>
  <r>
    <n v="99915016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2-04T00:00:00"/>
    <x v="0"/>
    <s v="ΔΙΕΥΘΥΝΣΗ Δ.Ε. Β΄ ΑΘΗΝΑΣ"/>
    <n v="59.741666666666667"/>
    <s v="56 - 60"/>
  </r>
  <r>
    <n v="99915017"/>
    <s v="Θ"/>
    <x v="10"/>
    <x v="1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60-01-09T00:00:00"/>
    <x v="0"/>
    <s v="ΔΙΕΥΘΥΝΣΗ Δ.Ε. Δ΄ ΑΘΗΝΑΣ"/>
    <n v="59.81388888888889"/>
    <s v="56 - 60"/>
  </r>
  <r>
    <n v="99915018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1-01T00:00:00"/>
    <x v="0"/>
    <s v="ΔΙΕΥΘΥΝΣΗ Δ.Ε. Β΄ ΑΘΗΝΑΣ"/>
    <n v="59.836111111111109"/>
    <s v="56 - 60"/>
  </r>
  <r>
    <n v="99915019"/>
    <s v="Θ"/>
    <x v="0"/>
    <x v="0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4"/>
    <s v="ΙΔΙΩΤΙΚΟ ΔΗΜΟΤΙΚΟ ΨΥΧΙΚΟ - Β ΑΡΣΑΚΕΙΟ ΔΗΜΟΤΙΚΟ ΣΧΟΛΕΙΟ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60-01-01T00:00:00"/>
    <x v="1"/>
    <s v="ΔΙΕΥΘΥΝΣΗ Π.Ε. Β΄ ΑΘΗΝΑΣ"/>
    <n v="59.836111111111109"/>
    <s v="56 - 60"/>
  </r>
  <r>
    <n v="99915020"/>
    <s v="Θ"/>
    <x v="6"/>
    <x v="6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60-01-01T00:00:00"/>
    <x v="0"/>
    <s v="ΔΙΕΥΘΥΝΣΗ Δ.Ε. ΑΧΑΪΑΣ"/>
    <n v="59.836111111111109"/>
    <s v="56 - 60"/>
  </r>
  <r>
    <n v="99915021"/>
    <s v="Α"/>
    <x v="5"/>
    <x v="5"/>
    <m/>
    <m/>
    <s v="Γ΄"/>
    <n v="1"/>
    <n v="672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60-01-01T00:00:00"/>
    <x v="0"/>
    <s v="ΔΙΕΥΘΥΝΣΗ Δ.Ε. ΔΥΤ. ΘΕΣ/ΝΙΚΗΣ"/>
    <n v="59.836111111111109"/>
    <s v="56 - 60"/>
  </r>
  <r>
    <n v="99915022"/>
    <s v="Θ"/>
    <x v="18"/>
    <x v="18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60-01-01T00:00:00"/>
    <x v="1"/>
    <s v="ΔΙΕΥΘΥΝΣΗ Π.Ε. ΧΑΝΙΩΝ"/>
    <n v="59.836111111111109"/>
    <s v="56 - 60"/>
  </r>
  <r>
    <n v="99915023"/>
    <s v="Α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12-31T00:00:00"/>
    <x v="0"/>
    <s v="ΔΙΕΥΘΥΝΣΗ Δ.Ε. Β΄ ΑΘΗΝΑΣ"/>
    <n v="59.838888888888889"/>
    <s v="56 - 60"/>
  </r>
  <r>
    <n v="99915024"/>
    <s v="Θ"/>
    <x v="18"/>
    <x v="18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12-27T00:00:00"/>
    <x v="1"/>
    <s v="ΔΙΕΥΘΥΝΣΗ Π.Ε. Β΄ ΑΘΗΝΑΣ"/>
    <n v="59.85"/>
    <s v="56 - 60"/>
  </r>
  <r>
    <n v="99915025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59-12-23T00:00:00"/>
    <x v="0"/>
    <s v="ΔΙΕΥΘΥΝΣΗ Δ.Ε. Β΄ ΑΘΗΝΑΣ"/>
    <n v="59.861111111111114"/>
    <s v="56 - 60"/>
  </r>
  <r>
    <n v="99915026"/>
    <s v="Θ"/>
    <x v="1"/>
    <x v="1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"/>
    <s v="ΟΧΙ"/>
    <s v="ΟΧΙ"/>
    <s v="ΟΧΙ"/>
    <m/>
    <s v="ΟΧΙ"/>
    <m/>
    <m/>
    <s v="Ιδιωτικά Σχολεία"/>
    <x v="1"/>
    <s v="7051010"/>
    <s v="ΙΔΙΩΤΙΚΟ ΔΗΜΟΤΙΚΟ ΑΘΗΝΑ - ΣΧΟΛΗ ΧΙΛΛ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12-14T00:00:00"/>
    <x v="1"/>
    <s v="ΔΙΕΥΘΥΝΣΗ Π.Ε. Α΄ ΑΘΗΝΑΣ"/>
    <n v="59.886111111111113"/>
    <s v="56 - 60"/>
  </r>
  <r>
    <n v="99915027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12-10T00:00:00"/>
    <x v="0"/>
    <s v="ΔΙΕΥΘΥΝΣΗ Δ.Ε. Β΄ ΑΘΗΝΑΣ"/>
    <n v="59.897222222222226"/>
    <s v="56 - 60"/>
  </r>
  <r>
    <n v="9991502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11-26T00:00:00"/>
    <x v="0"/>
    <s v="ΔΙΕΥΘΥΝΣΗ Δ.Ε. Β΄ ΑΘΗΝΑΣ"/>
    <n v="59.93611111111111"/>
    <s v="56 - 60"/>
  </r>
  <r>
    <n v="99915029"/>
    <s v="Θ"/>
    <x v="0"/>
    <x v="0"/>
    <m/>
    <m/>
    <s v="Γ΄"/>
    <n v="1"/>
    <n v="18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36"/>
    <s v="ΧΡΙΣΤΙΑΝΙΚΗ ΕΛΠΙΣ ΟΡΘΟΔΟΞΗ ΑΔΕΛΦΟΤΗΤΑ - ΕΛΠΙΔΑ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d v="1959-11-06T00:00:00"/>
    <x v="1"/>
    <s v="ΔΙΕΥΘΥΝΣΗ Π.Ε. ΑΝΑΤ. ΘΕΣ/ΝΙΚΗΣ"/>
    <n v="59.991666666666667"/>
    <s v="56 - 60"/>
  </r>
  <r>
    <n v="99915030"/>
    <s v="Α"/>
    <x v="19"/>
    <x v="1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9-10-28T00:00:00"/>
    <x v="0"/>
    <s v="ΔΙΕΥΘΥΝΣΗ Δ.Ε. ΑΝΑΤ. ΘΕΣ/ΝΙΚΗΣ"/>
    <n v="60.016666666666666"/>
    <s v="56 - 60"/>
  </r>
  <r>
    <n v="99915031"/>
    <s v="Θ"/>
    <x v="0"/>
    <x v="0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9"/>
    <s v="ΙΔΙΩΤΙΚΟ ΓΥΜΝΑΣΙΟ ΠΕΙΡΑΙΑΣ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10-20T00:00:00"/>
    <x v="0"/>
    <s v="ΔΙΕΥΘΥΝΣΗ Δ.Ε. ΠΕΙΡΑΙΑ"/>
    <n v="60.038888888888891"/>
    <s v="56 - 60"/>
  </r>
  <r>
    <n v="99915032"/>
    <s v="Α"/>
    <x v="18"/>
    <x v="18"/>
    <m/>
    <m/>
    <s v="Α΄"/>
    <n v="7"/>
    <s v="5620β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s v="ΟΧΙ"/>
    <s v="ΟΧΙ"/>
    <m/>
    <d v="2010-09-01T00:00:00"/>
    <s v="Ιδιωτικά Σχολεία"/>
    <x v="1"/>
    <s v="7521050"/>
    <s v="1ο ΙΔΙΩΤΙΚΟ ΔΗΜΟΤΙΚΟ ΕΚΠΑΙΔΕΥΤΙΚΗ ΑΝΑΓΕΝΝΗΣΗ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10-12T00:00:00"/>
    <x v="1"/>
    <s v="ΔΙΕΥΘΥΝΣΗ Π.Ε. ΑΝΑΤΟΛΙΚΗΣ ΑΤΤΙΚΗΣ"/>
    <n v="60.06111111111111"/>
    <s v="56 - 60"/>
  </r>
  <r>
    <n v="99915033"/>
    <s v="Α"/>
    <x v="14"/>
    <x v="14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9-10-12T00:00:00"/>
    <x v="0"/>
    <s v="ΔΙΕΥΘΥΝΣΗ Δ.Ε. ΑΝΑΤ. ΘΕΣ/ΝΙΚΗΣ"/>
    <n v="60.06111111111111"/>
    <s v="56 - 60"/>
  </r>
  <r>
    <n v="99915034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10-10T00:00:00"/>
    <x v="0"/>
    <s v="ΔΙΕΥΘΥΝΣΗ Δ.Ε. Β΄ ΑΘΗΝΑΣ"/>
    <n v="60.06666666666667"/>
    <s v="56 - 60"/>
  </r>
  <r>
    <n v="99915035"/>
    <s v="Θ"/>
    <x v="2"/>
    <x v="2"/>
    <m/>
    <m/>
    <s v="Α΄"/>
    <n v="1"/>
    <m/>
    <m/>
    <s v="ΠΙΕΡΙΑΣ (Π.Ε.) 2018"/>
    <s v="ΔΙΕΥΘΥΝΣΗ Π.Ε. ΠΙΕΡΙΑ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391001"/>
    <s v="ΙΔΙΩΤΙΚΟ ΝΗΠΙΑΓΩΓΕΙΟ ΚΑΤΕΡΙΝΗΣ - ΙΔΙΩΤΙΚΟ ΝΗΠ. ΠΛΑΤΩΝ"/>
    <s v="ΠΙΕΡΙΑΣ (Π.Ε.) 2018"/>
    <x v="1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9-10-07T00:00:00"/>
    <x v="1"/>
    <s v="ΔΙΕΥΘΥΝΣΗ Π.Ε. ΠΙΕΡΙΑΣ"/>
    <n v="60.075000000000003"/>
    <s v="56 - 60"/>
  </r>
  <r>
    <n v="99915036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9-26T00:00:00"/>
    <x v="0"/>
    <s v="ΔΙΕΥΘΥΝΣΗ Δ.Ε. ΑΝΑΤΟΛΙΚΗΣ ΑΤΤΙΚΗΣ"/>
    <n v="60.105555555555554"/>
    <s v="56 - 60"/>
  </r>
  <r>
    <n v="99915037"/>
    <s v="Θ"/>
    <x v="0"/>
    <x v="0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03"/>
    <s v="ΙΔΙΩΤΙΚΟ ΓΥΜΝΑΣΙΟ ΓΕΝΝΑΔΙΟΣ ΕΚΠΑΙΔΕΥΤΙΚΗ Κ. ΖΩΗ ΑΕ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9-22T00:00:00"/>
    <x v="0"/>
    <s v="ΔΙΕΥΘΥΝΣΗ Δ.Ε. Δ΄ ΑΘΗΝΑΣ"/>
    <n v="60.116666666666667"/>
    <s v="56 - 60"/>
  </r>
  <r>
    <n v="99915038"/>
    <s v="Θ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9-08T00:00:00"/>
    <x v="0"/>
    <s v="ΔΙΕΥΘΥΝΣΗ Δ.Ε. Β΄ ΑΘΗΝΑΣ"/>
    <n v="60.155555555555559"/>
    <s v="56 - 60"/>
  </r>
  <r>
    <n v="99915039"/>
    <s v="Α"/>
    <x v="11"/>
    <x v="11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s v="ΟΧΙ"/>
    <s v="ΟΧΙ"/>
    <s v="ΟΧΙ"/>
    <s v="ΟΧΙ"/>
    <s v="ΟΧΙ"/>
    <m/>
    <m/>
    <s v="Ιδιωτικά Σχολεία"/>
    <x v="0"/>
    <s v="2881010"/>
    <s v="ΙΔΙΩΤΙΚΟ ΓΥΜΝΑΣΙΟ ΚΟΡΙΝΘΟΥ - ΑΡΙΣΤΟΤΕΛΕΙΟ ΚΟΡΙΝΘΙΑΚΟ ΕΚΠΑΙΔΕΥΤΗΡΙΟ"/>
    <s v="ΚΟΡΙΝΘΙΑΣ (Δ.Ε.) 2018"/>
    <x v="39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59-09-01T00:00:00"/>
    <x v="0"/>
    <s v="ΔΙΕΥΘΥΝΣΗ Δ.Ε. ΚΟΡΙΝΘΙΑΣ"/>
    <n v="60.174999999999997"/>
    <s v="56 - 60"/>
  </r>
  <r>
    <n v="99915040"/>
    <s v="Θ"/>
    <x v="1"/>
    <x v="1"/>
    <m/>
    <m/>
    <s v="Γ΄"/>
    <n v="1"/>
    <s v="1899/02-10-84"/>
    <d v="2018-09-01T00:00:00"/>
    <s v="Β΄ ΑΘΗΝΑΣ (Π.Ε.) 2018"/>
    <s v="ΔΙΕΥΘΥΝΣΗ Π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8-31T00:00:00"/>
    <x v="1"/>
    <s v="ΔΙΕΥΘΥΝΣΗ Π.Ε. Β΄ ΑΘΗΝΑΣ"/>
    <n v="60.177777777777777"/>
    <s v="56 - 60"/>
  </r>
  <r>
    <n v="99915041"/>
    <s v="Θ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8-28T00:00:00"/>
    <x v="0"/>
    <s v="ΔΙΕΥΘΥΝΣΗ Δ.Ε. Α΄ ΑΘΗΝΑΣ"/>
    <n v="60.18611111111111"/>
    <s v="56 - 60"/>
  </r>
  <r>
    <n v="99915042"/>
    <s v="Θ"/>
    <x v="1"/>
    <x v="1"/>
    <m/>
    <m/>
    <s v="Γ΄"/>
    <n v="1"/>
    <s v="2483/17-10-1996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32"/>
    <s v="ΙΔΙΩΤΙΚΟ ΔΗΜΟΤΙΚΟ ΑΛΙΜΟΣ - ΝΕΑ ΕΚΠΑΙΔΕΥΤΗΡΙΑ Γ ΜΑΛΛΙΑΡΑ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8-19T00:00:00"/>
    <x v="1"/>
    <s v="ΔΙΕΥΘΥΝΣΗ Π.Ε. Δ΄ ΑΘΗΝΑΣ"/>
    <n v="60.211111111111109"/>
    <s v="56 - 60"/>
  </r>
  <r>
    <n v="99915043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8-13T00:00:00"/>
    <x v="0"/>
    <s v="ΔΙΕΥΘΥΝΣΗ Δ.Ε. Α΄ ΑΘΗΝΑΣ"/>
    <n v="60.227777777777774"/>
    <s v="56 - 60"/>
  </r>
  <r>
    <n v="99915044"/>
    <s v="Θ"/>
    <x v="2"/>
    <x v="2"/>
    <m/>
    <m/>
    <s v="Β΄"/>
    <n v="4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4027"/>
    <s v="ΙΔΙΩΤΙΚΟ ΝΗΠΙΑΓΩΓΕΙΟ ΑΛΙΜΟΣ - ΤΟ ΣΠΙΤΙ ΤΩΝ ΜΙΚΡΩΝ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8-03T00:00:00"/>
    <x v="1"/>
    <s v="ΔΙΕΥΘΥΝΣΗ Π.Ε. Δ΄ ΑΘΗΝΑΣ"/>
    <n v="60.255555555555553"/>
    <s v="56 - 60"/>
  </r>
  <r>
    <n v="99915045"/>
    <s v="Α"/>
    <x v="11"/>
    <x v="11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9"/>
    <s v="ΟΧΙ"/>
    <s v="ΟΧΙ"/>
    <s v="ΟΧΙ"/>
    <s v="ΟΧΙ"/>
    <s v="ΟΧΙ"/>
    <m/>
    <m/>
    <s v="Ιδιωτικά Σχολεία"/>
    <x v="3"/>
    <s v="0680039"/>
    <s v="ΙΔΙΩΤΙΚΟ ΓΕΝΙΚΟ ΛΥΚΕΙΟ ΑΝΑΓΕΝΝΗΣΗ ΙΚΕ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59-07-20T00:00:00"/>
    <x v="0"/>
    <s v="ΔΙΕΥΘΥΝΣΗ Δ.Ε. ΑΧΑΪΑΣ"/>
    <n v="60.294444444444444"/>
    <s v="56 - 60"/>
  </r>
  <r>
    <n v="9991504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07-19T00:00:00"/>
    <x v="0"/>
    <s v="ΔΙΕΥΘΥΝΣΗ Δ.Ε. Β΄ ΑΘΗΝΑΣ"/>
    <n v="60.297222222222224"/>
    <s v="56 - 60"/>
  </r>
  <r>
    <n v="99915047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10"/>
    <s v="ΙΔΙΩΤΙΚΟ ΓΥΜΝΑΣΙΟ ΕΚΠΑΙΔΕΥΤΗΡΙΑ ΚΩΣΤΕΑ - ΓΕΙΤΟΝΑ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7-17T00:00:00"/>
    <x v="0"/>
    <s v="ΔΙΕΥΘΥΝΣΗ Δ.Ε. ΑΝΑΤΟΛΙΚΗΣ ΑΤΤΙΚΗΣ"/>
    <n v="60.302777777777777"/>
    <s v="56 - 60"/>
  </r>
  <r>
    <n v="99915048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7-14T00:00:00"/>
    <x v="0"/>
    <s v="ΔΙΕΥΘΥΝΣΗ Δ.Ε. Β΄ ΑΘΗΝΑΣ"/>
    <n v="60.31111111111111"/>
    <s v="56 - 60"/>
  </r>
  <r>
    <n v="99915049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5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9-06-26T00:00:00"/>
    <x v="0"/>
    <s v="ΔΙΕΥΘΥΝΣΗ Δ.Ε. ΑΝΑΤ. ΘΕΣ/ΝΙΚΗΣ"/>
    <n v="60.361111111111114"/>
    <s v="56 - 60"/>
  </r>
  <r>
    <n v="99915050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6-03T00:00:00"/>
    <x v="0"/>
    <s v="ΔΙΕΥΘΥΝΣΗ Δ.Ε. Γ΄ ΑΘΗΝΑΣ"/>
    <n v="60.424999999999997"/>
    <s v="56 - 60"/>
  </r>
  <r>
    <n v="99915051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5-03T00:00:00"/>
    <x v="0"/>
    <s v="ΔΙΕΥΘΥΝΣΗ Δ.Ε. Β΄ ΑΘΗΝΑΣ"/>
    <n v="60.511111111111113"/>
    <s v="61 - 65"/>
  </r>
  <r>
    <n v="99915052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04-29T00:00:00"/>
    <x v="0"/>
    <s v="ΔΙΕΥΘΥΝΣΗ Δ.Ε. ΑΝΑΤΟΛΙΚΗΣ ΑΤΤΙΚΗΣ"/>
    <n v="60.522222222222226"/>
    <s v="61 - 65"/>
  </r>
  <r>
    <n v="99915053"/>
    <s v="Α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4-27T00:00:00"/>
    <x v="0"/>
    <s v="ΔΙΕΥΘΥΝΣΗ Δ.Ε. Α΄ ΑΘΗΝΑΣ"/>
    <n v="60.527777777777779"/>
    <s v="61 - 65"/>
  </r>
  <r>
    <n v="99915054"/>
    <s v="Θ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s v="ΟΧΙ"/>
    <s v="ΟΧΙ"/>
    <s v="ΟΧΙ"/>
    <s v="ΟΧΙ"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4-25T00:00:00"/>
    <x v="0"/>
    <s v="ΔΙΕΥΘΥΝΣΗ Δ.Ε. Β΄ ΑΘΗΝΑΣ"/>
    <n v="60.533333333333331"/>
    <s v="61 - 65"/>
  </r>
  <r>
    <n v="99915055"/>
    <s v="Θ"/>
    <x v="3"/>
    <x v="3"/>
    <m/>
    <m/>
    <s v="Α΄"/>
    <n v="1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9-04-23T00:00:00"/>
    <x v="0"/>
    <s v="ΔΙΕΥΘΥΝΣΗ Δ.Ε. ΑΝΑΤ. ΘΕΣ/ΝΙΚΗΣ"/>
    <n v="60.538888888888891"/>
    <s v="61 - 65"/>
  </r>
  <r>
    <n v="99915056"/>
    <s v="Θ"/>
    <x v="1"/>
    <x v="1"/>
    <m/>
    <m/>
    <s v="Α΄"/>
    <n v="17"/>
    <m/>
    <d v="2018-09-01T00:00:00"/>
    <s v="Δ΄ ΑΘΗΝΑΣ (Π.Ε.) 2018"/>
    <s v="ΔΙΕΥΘΥΝΣΗ Π.Ε. Δ΄ ΑΘΗΝΑΣ"/>
    <s v="ΠΕΡΙΦΕΡΕΙΑΚΗ Δ/ΝΣΗ Α/ΘΜΙΑΣ ΚΑΙ Β/ΘΜΙΑΣ ΕΚΠ/ΣΗΣ ΑΤΤΙΚΗΣ"/>
    <n v="12"/>
    <s v="ΟΧΙ"/>
    <s v="ΟΧΙ"/>
    <s v="ΟΧΙ"/>
    <s v="ΟΧΙ"/>
    <s v="ΟΧΙ"/>
    <m/>
    <d v="2018-09-01T00:00:00"/>
    <s v="Ιδιωτικά Σχολεία"/>
    <x v="1"/>
    <s v="7054028"/>
    <s v="ΙΔΙΩΤΙΚΟ ΔΗΜΟΤΙΚΟ Π. ΦΑΛΗΡΟ - ΣΥΓΧΡΟΝΑ ΕΚΠΑΙΔΕΥΤΗΡΙΑ Μ.ΧΟΥΡΔΑΚΗ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4-21T00:00:00"/>
    <x v="1"/>
    <s v="ΔΙΕΥΘΥΝΣΗ Π.Ε. Δ΄ ΑΘΗΝΑΣ"/>
    <n v="60.544444444444444"/>
    <s v="61 - 65"/>
  </r>
  <r>
    <n v="99915057"/>
    <s v="Α"/>
    <x v="3"/>
    <x v="3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9-04-21T00:00:00"/>
    <x v="0"/>
    <s v="ΔΙΕΥΘΥΝΣΗ Δ.Ε. ΑΝΑΤ. ΘΕΣ/ΝΙΚΗΣ"/>
    <n v="60.544444444444444"/>
    <s v="61 - 65"/>
  </r>
  <r>
    <n v="9991505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4-14T00:00:00"/>
    <x v="0"/>
    <s v="ΔΙΕΥΘΥΝΣΗ Δ.Ε. Β΄ ΑΘΗΝΑΣ"/>
    <n v="60.56388888888889"/>
    <s v="61 - 65"/>
  </r>
  <r>
    <n v="99915059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4-08T00:00:00"/>
    <x v="0"/>
    <s v="ΔΙΕΥΘΥΝΣΗ Δ.Ε. Β΄ ΑΘΗΝΑΣ"/>
    <n v="60.580555555555556"/>
    <s v="61 - 65"/>
  </r>
  <r>
    <n v="99915060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03-20T00:00:00"/>
    <x v="0"/>
    <s v="ΔΙΕΥΘΥΝΣΗ Δ.Ε. Β΄ ΑΘΗΝΑΣ"/>
    <n v="60.633333333333333"/>
    <s v="61 - 65"/>
  </r>
  <r>
    <n v="99915061"/>
    <s v="Θ"/>
    <x v="1"/>
    <x v="1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59-03-17T00:00:00"/>
    <x v="1"/>
    <s v="ΔΙΕΥΘΥΝΣΗ Π.Ε. ΗΡΑΚΛΕΙΟΥ"/>
    <n v="60.641666666666666"/>
    <s v="61 - 65"/>
  </r>
  <r>
    <n v="99915062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9-03-13T00:00:00"/>
    <x v="0"/>
    <s v="ΔΙΕΥΘΥΝΣΗ Δ.Ε. ΑΝΑΤ. ΘΕΣ/ΝΙΚΗΣ"/>
    <n v="60.652777777777779"/>
    <s v="61 - 65"/>
  </r>
  <r>
    <n v="99915063"/>
    <s v="Θ"/>
    <x v="5"/>
    <x v="5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9-03-11T00:00:00"/>
    <x v="0"/>
    <s v="ΔΙΕΥΘΥΝΣΗ Δ.Ε. ΑΝΑΤ. ΘΕΣ/ΝΙΚΗΣ"/>
    <n v="60.658333333333331"/>
    <s v="61 - 65"/>
  </r>
  <r>
    <n v="9991506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03-01T00:00:00"/>
    <x v="0"/>
    <s v="ΔΙΕΥΘΥΝΣΗ Δ.Ε. Β΄ ΑΘΗΝΑΣ"/>
    <n v="60.68611111111111"/>
    <s v="61 - 65"/>
  </r>
  <r>
    <n v="99915065"/>
    <s v="Α"/>
    <x v="3"/>
    <x v="3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9"/>
    <s v="ΟΧΙ"/>
    <s v="ΟΧΙ"/>
    <s v="ΟΧΙ"/>
    <s v="ΟΧΙ"/>
    <s v="ΟΧΙ"/>
    <m/>
    <m/>
    <s v="Ιδιωτικά Σχολεία"/>
    <x v="3"/>
    <s v="2961001"/>
    <s v="ΣΥΓΧΡΟΝΗ ΠΑΙΔΕΙΑ - ΙΔΙΩΤΙΚΟ ΛΥΚΕΙΟ"/>
    <s v="Δ΄ ΚΥΚΛΑΔΩΝ (Δ.Ε.) 2018"/>
    <x v="5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59-02-27T00:00:00"/>
    <x v="0"/>
    <s v="ΔΙΕΥΘΥΝΣΗ Δ.Ε. ΚΥΚΛΑΔΩΝ"/>
    <n v="60.69166666666667"/>
    <s v="61 - 65"/>
  </r>
  <r>
    <n v="99915066"/>
    <s v="Θ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2-25T00:00:00"/>
    <x v="0"/>
    <s v="ΔΙΕΥΘΥΝΣΗ Δ.Ε. Δ΄ ΑΘΗΝΑΣ"/>
    <n v="60.697222222222223"/>
    <s v="61 - 65"/>
  </r>
  <r>
    <n v="99915067"/>
    <s v="Θ"/>
    <x v="2"/>
    <x v="2"/>
    <m/>
    <m/>
    <s v="Γ΄"/>
    <n v="4"/>
    <m/>
    <m/>
    <s v="ΘΕΣΠΡΩΤΙΑΣ (Π.Ε.) 2018"/>
    <s v="ΔΙΕΥΘΥΝΣΗ Π.Ε. ΘΕΣΠΡΩΤΙΑΣ"/>
    <s v="ΠΕΡΙΦΕΡΕΙΑΚΗ Δ/ΝΣΗ Α/ΘΜΙΑΣ ΚΑΙ Β/ΘΜΙΑΣ ΕΚΠ/ΣΗΣ ΗΠΕΙΡΟΥ"/>
    <n v="5"/>
    <s v="ΟΧΙ"/>
    <s v="ΟΧΙ"/>
    <s v="ΟΧΙ"/>
    <s v="ΟΧΙ"/>
    <s v="ΟΧΙ"/>
    <m/>
    <m/>
    <s v="Ιδιωτικά Σχολεία"/>
    <x v="2"/>
    <s v="7181001"/>
    <s v="ΙΔΙΩΤΙΚΟ ΝΗΠΙΑΓΩΓΕΙΟ ΗΓΟΥΜΕΝΙΤΣΑΣ - Φ.ΜΕΣΧΙΝΗ ΚΑΙ ΣΙΑ Ο.Ε."/>
    <s v="ΘΕΣΠΡΩΤΙΑΣ (Π.Ε.) 2018"/>
    <x v="71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59-02-20T00:00:00"/>
    <x v="1"/>
    <s v="ΔΙΕΥΘΥΝΣΗ Π.Ε. ΘΕΣΠΡΩΤΙΑΣ"/>
    <n v="60.711111111111109"/>
    <s v="61 - 65"/>
  </r>
  <r>
    <n v="9991506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2-18T00:00:00"/>
    <x v="0"/>
    <s v="ΔΙΕΥΘΥΝΣΗ Δ.Ε. Β΄ ΑΘΗΝΑΣ"/>
    <n v="60.716666666666669"/>
    <s v="61 - 65"/>
  </r>
  <r>
    <n v="9991506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2-17T00:00:00"/>
    <x v="0"/>
    <s v="ΔΙΕΥΘΥΝΣΗ Δ.Ε. Β΄ ΑΘΗΝΑΣ"/>
    <n v="60.719444444444441"/>
    <s v="61 - 65"/>
  </r>
  <r>
    <n v="99915070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02-15T00:00:00"/>
    <x v="0"/>
    <s v="ΔΙΕΥΘΥΝΣΗ Δ.Ε. Β΄ ΑΘΗΝΑΣ"/>
    <n v="60.725000000000001"/>
    <s v="61 - 65"/>
  </r>
  <r>
    <n v="99915071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9-02-13T00:00:00"/>
    <x v="0"/>
    <s v="ΔΙΕΥΘΥΝΣΗ Δ.Ε. Β΄ ΑΘΗΝΑΣ"/>
    <n v="60.730555555555554"/>
    <s v="61 - 65"/>
  </r>
  <r>
    <n v="99915072"/>
    <s v="Θ"/>
    <x v="10"/>
    <x v="10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s v="ΟΧΙ"/>
    <s v="ΟΧΙ"/>
    <s v="ΟΧΙ"/>
    <s v="ΟΧΙ"/>
    <s v="ΟΧΙ"/>
    <m/>
    <m/>
    <s v="Ιδιωτικά Σχολεία"/>
    <x v="0"/>
    <s v="1081010"/>
    <s v="ΙΔΙΩΤΙΚΟ ΓΥΜΝΑΣΙΟ ΕΚΠΑΙΔΕΥΤΗΡΙΩΝ ΔΩΔΕΚΑΝΗΣΟΥ &quot;ΡΟΔΙΩΝ ΠΑΙΔΕΙΑ&quot;"/>
    <s v="Α΄ ΔΩΔΕΚΑΝΗΣΟΥ (Δ.Ε.) 2018"/>
    <x v="36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d v="1959-02-02T00:00:00"/>
    <x v="0"/>
    <s v="ΔΙΕΥΘΥΝΣΗ Δ.Ε. ΔΩΔΕΚΑΝΗΣΟΥ"/>
    <n v="60.761111111111113"/>
    <s v="61 - 65"/>
  </r>
  <r>
    <n v="99915073"/>
    <s v="Α"/>
    <x v="4"/>
    <x v="4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3"/>
    <s v="0561001"/>
    <s v="ΠΑΠΑΧΑΡΑΛΑΜΠΕΙΟ ΕΚΠΑΙΔΕΥΤΗΡΙΟ ΙΔΙΩΤΙΚΟ ΓΕΝΙΚΟ ΛΥΚΕΙΟ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1-21T00:00:00"/>
    <x v="0"/>
    <s v="ΔΙΕΥΘΥΝΣΗ Δ.Ε. Γ΄ ΑΘΗΝΑΣ"/>
    <n v="60.794444444444444"/>
    <s v="61 - 65"/>
  </r>
  <r>
    <n v="99915074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9-01-08T00:00:00"/>
    <x v="0"/>
    <s v="ΔΙΕΥΘΥΝΣΗ Δ.Ε. Γ΄ ΑΘΗΝΑΣ"/>
    <n v="60.830555555555556"/>
    <s v="61 - 65"/>
  </r>
  <r>
    <n v="99915075"/>
    <s v="Θ"/>
    <x v="1"/>
    <x v="1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12-17T00:00:00"/>
    <x v="1"/>
    <s v="ΔΙΕΥΘΥΝΣΗ Π.Ε. ΠΕΙΡΑΙΑ"/>
    <n v="60.891666666666666"/>
    <s v="61 - 65"/>
  </r>
  <r>
    <n v="99915076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12-14T00:00:00"/>
    <x v="0"/>
    <s v="ΔΙΕΥΘΥΝΣΗ Δ.Ε. Β΄ ΑΘΗΝΑΣ"/>
    <n v="60.9"/>
    <s v="61 - 65"/>
  </r>
  <r>
    <n v="99915077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11-19T00:00:00"/>
    <x v="0"/>
    <s v="ΔΙΕΥΘΥΝΣΗ Δ.Ε. ΑΝΑΤΟΛΙΚΗΣ ΑΤΤΙΚΗΣ"/>
    <n v="60.969444444444441"/>
    <s v="61 - 65"/>
  </r>
  <r>
    <n v="99915078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10-30T00:00:00"/>
    <x v="0"/>
    <s v="ΔΙΕΥΘΥΝΣΗ Δ.Ε. ΑΝΑΤΟΛΙΚΗΣ ΑΤΤΙΚΗΣ"/>
    <n v="61.024999999999999"/>
    <s v="61 - 65"/>
  </r>
  <r>
    <n v="99915079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175"/>
    <s v="ΙΔΙΩΤΙΚΟ ΗΜΕΡΗΣΙΟ ΓΕΝΙΚΟ ΛΥΚΕΙΟ Ι.ΤΣΙΑΜΟΥΛΗ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10-30T00:00:00"/>
    <x v="0"/>
    <s v="ΔΙΕΥΘΥΝΣΗ Δ.Ε. Γ΄ ΑΘΗΝΑΣ"/>
    <n v="61.024999999999999"/>
    <s v="61 - 65"/>
  </r>
  <r>
    <n v="99915080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10-24T00:00:00"/>
    <x v="0"/>
    <s v="ΔΙΕΥΘΥΝΣΗ Δ.Ε. Β΄ ΑΘΗΝΑΣ"/>
    <n v="61.041666666666664"/>
    <s v="61 - 65"/>
  </r>
  <r>
    <n v="99915081"/>
    <s v="Α"/>
    <x v="23"/>
    <x v="23"/>
    <m/>
    <m/>
    <s v="Α΄"/>
    <n v="10"/>
    <s v="Φ.17/16539/9/24-10-2018"/>
    <d v="2018-09-01T00:00:00"/>
    <s v="ΑΧΑΪΑΣ (Δ.Ε.) 2018"/>
    <s v="ΔΙΕΥΘΥΝΣΗ Δ.Ε. ΑΧΑΪΑΣ"/>
    <s v="ΠΕΡΙΦΕΡΕΙΑΚΗ Δ/ΝΣΗ Α/ΘΜΙΑΣ ΚΑΙ Β/ΘΜΙΑΣ ΕΚΠ/ΣΗΣ ΔΥΤΙΚΗΣ ΕΛΛΑΔΑΣ"/>
    <n v="6"/>
    <s v="ΟΧΙ"/>
    <s v="ΟΧΙ"/>
    <s v="ΟΧΙ"/>
    <s v="ΟΧΙ"/>
    <s v="ΟΧΙ"/>
    <m/>
    <d v="2018-09-01T00:00:00"/>
    <s v="Ιδιωτικά Σχολεία"/>
    <x v="7"/>
    <s v="0610801"/>
    <s v="Ιδιωτικό Εσπερινό ΕΠΑ.Λ - ΤΡΙΑΝΤΕΙΟ ΕΣΠΕΡΙΝΟ ΕΠΑ.Λ"/>
    <s v="ΑΧΑΪΑΣ (Δ.Ε.) 2018"/>
    <x v="53"/>
    <s v="ΠΕΡΙΦΕΡΕΙΑΚΗ Δ/ΝΣΗ Α/ΘΜΙΑΣ ΚΑΙ Β/ΘΜΙΑΣ ΕΚΠ/ΣΗΣ ΔΥΤΙΚΗΣ ΕΛΛΑΔΑΣ"/>
    <s v="Ιδιωτικού Δικαίου Ορισμένου Χρόνου (Ι.Δ.Ο.Χ.)"/>
    <s v="Τοποθέτηση σε Ιδιωτική Εκπαίδευση"/>
    <d v="1958-10-10T00:00:00"/>
    <x v="0"/>
    <s v="ΔΙΕΥΘΥΝΣΗ Δ.Ε. ΑΧΑΪΑΣ"/>
    <n v="61.080555555555556"/>
    <s v="61 - 65"/>
  </r>
  <r>
    <n v="99915082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10-04T00:00:00"/>
    <x v="0"/>
    <s v="ΔΙΕΥΘΥΝΣΗ Δ.Ε. Δ΄ ΑΘΗΝΑΣ"/>
    <n v="61.097222222222221"/>
    <s v="61 - 65"/>
  </r>
  <r>
    <n v="99915083"/>
    <s v="Α"/>
    <x v="15"/>
    <x v="1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10-04T00:00:00"/>
    <x v="0"/>
    <s v="ΔΙΕΥΘΥΝΣΗ Δ.Ε. ΑΝΑΤ. ΘΕΣ/ΝΙΚΗΣ"/>
    <n v="61.097222222222221"/>
    <s v="61 - 65"/>
  </r>
  <r>
    <n v="99915084"/>
    <s v="Α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8-09-23T00:00:00"/>
    <x v="0"/>
    <s v="ΔΙΕΥΘΥΝΣΗ Δ.Ε. ΑΝΑΤ. ΘΕΣ/ΝΙΚΗΣ"/>
    <n v="61.12777777777778"/>
    <s v="61 - 65"/>
  </r>
  <r>
    <n v="99915085"/>
    <s v="Α"/>
    <x v="5"/>
    <x v="5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x v="44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d v="1958-09-20T00:00:00"/>
    <x v="0"/>
    <s v="ΔΙΕΥΘΥΝΣΗ Δ.Ε. ΛΑΡΙΣΑΣ"/>
    <n v="61.136111111111113"/>
    <s v="61 - 65"/>
  </r>
  <r>
    <n v="99915086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9-08T00:00:00"/>
    <x v="0"/>
    <s v="ΔΙΕΥΘΥΝΣΗ Δ.Ε. Β΄ ΑΘΗΝΑΣ"/>
    <n v="61.169444444444444"/>
    <s v="61 - 65"/>
  </r>
  <r>
    <n v="99915087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9-08T00:00:00"/>
    <x v="0"/>
    <s v="ΔΙΕΥΘΥΝΣΗ Δ.Ε. ΠΕΙΡΑΙΑ"/>
    <n v="61.169444444444444"/>
    <s v="61 - 65"/>
  </r>
  <r>
    <n v="99915088"/>
    <s v="Α"/>
    <x v="8"/>
    <x v="8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9-06T00:00:00"/>
    <x v="0"/>
    <s v="ΔΙΕΥΘΥΝΣΗ Δ.Ε. Α΄ ΑΘΗΝΑΣ"/>
    <n v="61.174999999999997"/>
    <s v="61 - 65"/>
  </r>
  <r>
    <n v="99915089"/>
    <s v="Α"/>
    <x v="5"/>
    <x v="5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0"/>
    <s v="ΟΧΙ"/>
    <s v="ΟΧΙ"/>
    <s v="ΟΧΙ"/>
    <s v="ΟΧΙ"/>
    <s v="ΟΧΙ"/>
    <m/>
    <m/>
    <s v="Ιδιωτικά Σχολεία"/>
    <x v="3"/>
    <s v="0161003"/>
    <s v="ΕΚΠΑΙΔΕΥΤΗΡΙΑ ΠΑΝΟΥ - ΓΕΝΙΚΟ ΛΥΚΕΙΟ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58-08-26T00:00:00"/>
    <x v="0"/>
    <s v="ΔΙΕΥΘΥΝΣΗ Δ.Ε. ΑΙΤΩΛΟΑΚΑΡΝΑΝΙΑΣ"/>
    <n v="61.205555555555556"/>
    <s v="61 - 65"/>
  </r>
  <r>
    <n v="99915090"/>
    <s v="Α"/>
    <x v="3"/>
    <x v="3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8-25T00:00:00"/>
    <x v="0"/>
    <s v="ΔΙΕΥΘΥΝΣΗ Δ.Ε. Δ΄ ΑΘΗΝΑΣ"/>
    <n v="61.208333333333336"/>
    <s v="61 - 65"/>
  </r>
  <r>
    <n v="99915091"/>
    <s v="Α"/>
    <x v="11"/>
    <x v="11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0"/>
    <s v="ΟΧΙ"/>
    <s v="ΟΧΙ"/>
    <s v="ΟΧΙ"/>
    <m/>
    <s v="ΟΧΙ"/>
    <m/>
    <m/>
    <s v="Ιδιωτικά Σχολεία"/>
    <x v="3"/>
    <s v="2061003"/>
    <s v="ΙΔΙΩΤΙΚΟ ΗΜΕΡΗΣΙΟ ΛΥΚΕΙΟ ΙΩΑΝΝΙΝΑ - ΕΚΠΑΙΔΕΥΤΗΡΙΑ ΓΕΝΕΣΙΣ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58-08-21T00:00:00"/>
    <x v="0"/>
    <s v="ΔΙΕΥΘΥΝΣΗ Δ.Ε. ΙΩΑΝΝΙΝΩΝ"/>
    <n v="61.219444444444441"/>
    <s v="61 - 65"/>
  </r>
  <r>
    <n v="99915092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8-18T00:00:00"/>
    <x v="0"/>
    <s v="ΔΙΕΥΘΥΝΣΗ Δ.Ε. Β΄ ΑΘΗΝΑΣ"/>
    <n v="61.227777777777774"/>
    <s v="61 - 65"/>
  </r>
  <r>
    <n v="99915093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8-18T00:00:00"/>
    <x v="0"/>
    <s v="ΔΙΕΥΘΥΝΣΗ Δ.Ε. ΠΕΙΡΑΙΑ"/>
    <n v="61.227777777777774"/>
    <s v="61 - 65"/>
  </r>
  <r>
    <n v="99915094"/>
    <s v="Θ"/>
    <x v="0"/>
    <x v="0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4038"/>
    <s v="ΙΔΙΩΤΙΚΟ ΔΗΜΟΤΙΚΟ ΣΧΟΛΕΙΟ &quot;ΓΕΝΝΑΔΙΟΣ ΕΚΠΑΙΔΕΥΤΙΚΗ Κ. ΖΩΗ Α.Ε&quot;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8-08T00:00:00"/>
    <x v="1"/>
    <s v="ΔΙΕΥΘΥΝΣΗ Π.Ε. Δ΄ ΑΘΗΝΑΣ"/>
    <n v="61.255555555555553"/>
    <s v="61 - 65"/>
  </r>
  <r>
    <n v="99915095"/>
    <s v="Α"/>
    <x v="11"/>
    <x v="11"/>
    <m/>
    <m/>
    <s v="Α΄"/>
    <n v="14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08-07T00:00:00"/>
    <x v="0"/>
    <s v="ΔΙΕΥΘΥΝΣΗ Δ.Ε. ΑΝΑΤΟΛΙΚΗΣ ΑΤΤΙΚΗΣ"/>
    <n v="61.258333333333333"/>
    <s v="61 - 65"/>
  </r>
  <r>
    <n v="99915096"/>
    <s v="Θ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s v="ΟΧΙ"/>
    <s v="ΟΧΙ"/>
    <s v="ΟΧΙ"/>
    <m/>
    <s v="ΟΧΙ"/>
    <m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7-14T00:00:00"/>
    <x v="0"/>
    <s v="ΔΙΕΥΘΥΝΣΗ Δ.Ε. ΑΝΑΤ. ΘΕΣ/ΝΙΚΗΣ"/>
    <n v="61.325000000000003"/>
    <s v="61 - 65"/>
  </r>
  <r>
    <n v="99915097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07-13T00:00:00"/>
    <x v="0"/>
    <s v="ΔΙΕΥΘΥΝΣΗ Δ.Ε. Β΄ ΑΘΗΝΑΣ"/>
    <n v="61.327777777777776"/>
    <s v="61 - 65"/>
  </r>
  <r>
    <n v="99915098"/>
    <s v="Α"/>
    <x v="1"/>
    <x v="1"/>
    <m/>
    <m/>
    <s v="Γ΄"/>
    <n v="1"/>
    <s v="3416/26-10-10"/>
    <d v="2018-09-01T00:00:00"/>
    <s v="Β΄ ΑΘΗΝΑΣ (Π.Ε.) 2018"/>
    <s v="ΔΙΕΥΘΥΝΣΗ Π.Ε. Β΄ ΑΘΗΝΑΣ"/>
    <s v="ΠΕΡΙΦΕΡΕΙΑΚΗ Δ/ΝΣΗ Α/ΘΜΙΑΣ ΚΑΙ Β/ΘΜΙΑΣ ΕΚΠ/ΣΗΣ ΑΤΤΙΚΗΣ"/>
    <n v="8"/>
    <s v="ΟΧΙ"/>
    <m/>
    <m/>
    <m/>
    <s v="ΟΧΙ"/>
    <m/>
    <d v="2018-09-01T00:00:00"/>
    <s v="Ιδιωτικά Σχολεία"/>
    <x v="1"/>
    <s v="7052020"/>
    <s v="ΙΔΙΩΤΙΚΟ ΔΗΜΟΤΙΚΟ ΜΑΡΟΥΣΙ ΑΤΤΙΚΗΣ - ΔΗΜΟΤΙΚΟ ΕΛΛΗΝΟΓΑΛΛΙΚΗΣ ΣΧΟΛΗΣ ΟΥΡΣΟΥΛΙΝΩΝ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7-06T00:00:00"/>
    <x v="1"/>
    <s v="ΔΙΕΥΘΥΝΣΗ Π.Ε. Β΄ ΑΘΗΝΑΣ"/>
    <n v="61.347222222222221"/>
    <s v="61 - 65"/>
  </r>
  <r>
    <n v="99915099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06-30T00:00:00"/>
    <x v="0"/>
    <s v="ΔΙΕΥΘΥΝΣΗ Δ.Ε. Β΄ ΑΘΗΝΑΣ"/>
    <n v="61.363888888888887"/>
    <s v="61 - 65"/>
  </r>
  <r>
    <n v="99915100"/>
    <s v="Α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6-26T00:00:00"/>
    <x v="0"/>
    <s v="ΔΙΕΥΘΥΝΣΗ Δ.Ε. ΑΝΑΤ. ΘΕΣ/ΝΙΚΗΣ"/>
    <n v="61.375"/>
    <s v="61 - 65"/>
  </r>
  <r>
    <n v="99915101"/>
    <s v="Α"/>
    <x v="19"/>
    <x v="19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6-26T00:00:00"/>
    <x v="0"/>
    <s v="ΔΙΕΥΘΥΝΣΗ Δ.Ε. ΑΝΑΤ. ΘΕΣ/ΝΙΚΗΣ"/>
    <n v="61.375"/>
    <s v="61 - 65"/>
  </r>
  <r>
    <n v="99915102"/>
    <s v="Θ"/>
    <x v="4"/>
    <x v="4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6-25T00:00:00"/>
    <x v="0"/>
    <s v="ΔΙΕΥΘΥΝΣΗ Δ.Ε. ΠΕΙΡΑΙΑ"/>
    <n v="61.37777777777778"/>
    <s v="61 - 65"/>
  </r>
  <r>
    <n v="99915103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5"/>
    <s v="ΟΧΙ"/>
    <s v="ΟΧΙ"/>
    <s v="ΟΧΙ"/>
    <m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6-25T00:00:00"/>
    <x v="0"/>
    <s v="ΔΙΕΥΘΥΝΣΗ Δ.Ε. ΑΝΑΤ. ΘΕΣ/ΝΙΚΗΣ"/>
    <n v="61.37777777777778"/>
    <s v="61 - 65"/>
  </r>
  <r>
    <n v="99915104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5"/>
    <s v="ΛΕΟΝΤΕΙΟ ΛΥΚΕΙΟ ΠΑΤΗΣΙΩΝ ΙΔΙΩΤΙΚΟ ΗΜΕΡΗΣΙΟ ΛΥΚΕΙΟ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6-22T00:00:00"/>
    <x v="0"/>
    <s v="ΔΙΕΥΘΥΝΣΗ Δ.Ε. Α΄ ΑΘΗΝΑΣ"/>
    <n v="61.386111111111113"/>
    <s v="61 - 65"/>
  </r>
  <r>
    <n v="9991510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06-11T00:00:00"/>
    <x v="0"/>
    <s v="ΔΙΕΥΘΥΝΣΗ Δ.Ε. Β΄ ΑΘΗΝΑΣ"/>
    <n v="61.416666666666664"/>
    <s v="61 - 65"/>
  </r>
  <r>
    <n v="99915106"/>
    <s v="Θ"/>
    <x v="5"/>
    <x v="5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6-02T00:00:00"/>
    <x v="0"/>
    <s v="ΔΙΕΥΘΥΝΣΗ Δ.Ε. ΑΝΑΤ. ΘΕΣ/ΝΙΚΗΣ"/>
    <n v="61.44166666666667"/>
    <s v="61 - 65"/>
  </r>
  <r>
    <n v="99915107"/>
    <s v="Α"/>
    <x v="1"/>
    <x v="1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s v="ΟΧΙ"/>
    <s v="ΟΧΙ"/>
    <s v="ΟΧΙ"/>
    <m/>
    <s v="ΟΧΙ"/>
    <m/>
    <m/>
    <s v="Ιδιωτικά Σχολεία"/>
    <x v="1"/>
    <s v="7191006"/>
    <s v="1ο ΙΔΙΩΤΙΚΟ ΔΗΜΟΤΙΚΟ ΠΥΛΑΙΑ ΘΕΣΣΑΛΟΝΙΚΗΣ - ΕΚΠΑΙΔΕΥΤΗΡΙΑ Ο ΑΠΟΣΤΟΛΟΣ ΠΑΥΛΟ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5-28T00:00:00"/>
    <x v="1"/>
    <s v="ΔΙΕΥΘΥΝΣΗ Π.Ε. ΑΝΑΤ. ΘΕΣ/ΝΙΚΗΣ"/>
    <n v="61.455555555555556"/>
    <s v="61 - 65"/>
  </r>
  <r>
    <n v="99915108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0"/>
    <s v="ΙΔΙΩΤΙΚΟ ΛΥΚΕ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5-20T00:00:00"/>
    <x v="0"/>
    <s v="ΔΙΕΥΘΥΝΣΗ Δ.Ε. Β΄ ΑΘΗΝΑΣ"/>
    <n v="61.477777777777774"/>
    <s v="61 - 65"/>
  </r>
  <r>
    <n v="99915109"/>
    <s v="Α"/>
    <x v="11"/>
    <x v="11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5-13T00:00:00"/>
    <x v="0"/>
    <s v="ΔΙΕΥΘΥΝΣΗ Δ.Ε. ΑΝΑΤΟΛΙΚΗΣ ΑΤΤΙΚΗΣ"/>
    <n v="61.49722222222222"/>
    <s v="61 - 65"/>
  </r>
  <r>
    <n v="99915110"/>
    <s v="Θ"/>
    <x v="18"/>
    <x v="18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5-09T00:00:00"/>
    <x v="0"/>
    <s v="ΔΙΕΥΘΥΝΣΗ Δ.Ε. ΑΝΑΤΟΛΙΚΗΣ ΑΤΤΙΚΗΣ"/>
    <n v="61.508333333333333"/>
    <s v="61 - 65"/>
  </r>
  <r>
    <n v="99915111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4-24T00:00:00"/>
    <x v="0"/>
    <s v="ΔΙΕΥΘΥΝΣΗ Δ.Ε. Β΄ ΑΘΗΝΑΣ"/>
    <n v="61.55"/>
    <s v="61 - 65"/>
  </r>
  <r>
    <n v="99915112"/>
    <s v="Θ"/>
    <x v="7"/>
    <x v="7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s v="ΟΧΙ"/>
    <s v="ΟΧΙ"/>
    <s v="ΟΧΙ"/>
    <s v="ΟΧΙ"/>
    <s v="ΟΧΙ"/>
    <m/>
    <m/>
    <s v="Ιδιωτικά Σχολεία"/>
    <x v="0"/>
    <s v="0560004"/>
    <s v="ΙΔΙΩΤΙΚΟ ΓΥΜΝΑΣΙΟ ΕΚΠΑΙΔΕΥΤΗΡΙΩΝ ΓΙΑΝΝΟΠΟΥΛΟΥ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4-23T00:00:00"/>
    <x v="0"/>
    <s v="ΔΙΕΥΘΥΝΣΗ Δ.Ε. Δ΄ ΑΘΗΝΑΣ"/>
    <n v="61.552777777777777"/>
    <s v="61 - 65"/>
  </r>
  <r>
    <n v="99915113"/>
    <s v="Θ"/>
    <x v="2"/>
    <x v="2"/>
    <m/>
    <m/>
    <s v="Γ΄"/>
    <n v="1"/>
    <n v="149653"/>
    <d v="2018-09-01T00:00:00"/>
    <s v="Δ΄ ΑΘΗΝΑΣ (Π.Ε.) 2018"/>
    <s v="ΔΙΕΥΘΥΝΣΗ Π.Ε. Δ΄ ΑΘΗΝΑΣ"/>
    <s v="ΠΕΡΙΦΕΡΕΙΑΚΗ Δ/ΝΣΗ Α/ΘΜΙΑΣ ΚΑΙ Β/ΘΜΙΑΣ ΕΚΠ/ΣΗΣ ΑΤΤΙΚΗΣ"/>
    <n v="25"/>
    <s v="ΟΧΙ"/>
    <m/>
    <m/>
    <m/>
    <s v="ΟΧΙ"/>
    <m/>
    <d v="2018-09-01T00:00:00"/>
    <s v="Ιδιωτικά Σχολεία"/>
    <x v="2"/>
    <s v="7054023"/>
    <s v="ΙΔΙΩΤΙΚΟ ΝΗΠΙΑΓΩΓΕΙΟ ΠΑΛΑΙΟ ΦΑΛΗΡΟ - ΝΕΑ ΕΚΠΑΙΔΕΥΤΗΡΙΑ Γ ΜΑΛΛΙΑΡΑ ΝΗΠΙΑΓΩΓΕΙ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4-11T00:00:00"/>
    <x v="1"/>
    <s v="ΔΙΕΥΘΥΝΣΗ Π.Ε. Δ΄ ΑΘΗΝΑΣ"/>
    <n v="61.586111111111109"/>
    <s v="61 - 65"/>
  </r>
  <r>
    <n v="99915114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4-07T00:00:00"/>
    <x v="0"/>
    <s v="ΔΙΕΥΘΥΝΣΗ Δ.Ε. ΑΝΑΤΟΛΙΚΗΣ ΑΤΤΙΚΗΣ"/>
    <n v="61.597222222222221"/>
    <s v="61 - 65"/>
  </r>
  <r>
    <n v="99915115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3-28T00:00:00"/>
    <x v="0"/>
    <s v="ΔΙΕΥΘΥΝΣΗ Δ.Ε. ΑΝΑΤΟΛΙΚΗΣ ΑΤΤΙΚΗΣ"/>
    <n v="61.625"/>
    <s v="61 - 65"/>
  </r>
  <r>
    <n v="99915116"/>
    <s v="Α"/>
    <x v="18"/>
    <x v="18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3-28T00:00:00"/>
    <x v="1"/>
    <s v="ΔΙΕΥΘΥΝΣΗ Π.Ε. Δ΄ ΑΘΗΝΑΣ"/>
    <n v="61.625"/>
    <s v="61 - 65"/>
  </r>
  <r>
    <n v="99915117"/>
    <s v="Α"/>
    <x v="5"/>
    <x v="5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3-20T00:00:00"/>
    <x v="0"/>
    <s v="ΔΙΕΥΘΥΝΣΗ Δ.Ε. ΔΥΤ. ΘΕΣ/ΝΙΚΗΣ"/>
    <n v="61.647222222222226"/>
    <s v="61 - 65"/>
  </r>
  <r>
    <n v="99915118"/>
    <s v="Θ"/>
    <x v="0"/>
    <x v="0"/>
    <m/>
    <m/>
    <s v="Α΄"/>
    <n v="11"/>
    <s v="Φ.60.2/9503/20-2-2003"/>
    <d v="2002-09-01T00:00:00"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d v="2002-09-01T00:00:00"/>
    <s v="Ιδιωτικά Σχολεία"/>
    <x v="0"/>
    <s v="0560006"/>
    <s v="ΙΔΙΩΤΙΚΟ ΓΥΜΝΑΣ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3-15T00:00:00"/>
    <x v="0"/>
    <s v="ΔΙΕΥΘΥΝΣΗ Δ.Ε. ΑΝΑΤΟΛΙΚΗΣ ΑΤΤΙΚΗΣ"/>
    <n v="61.661111111111111"/>
    <s v="61 - 65"/>
  </r>
  <r>
    <n v="99915119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8-03-14T00:00:00"/>
    <x v="0"/>
    <s v="ΔΙΕΥΘΥΝΣΗ Δ.Ε. Β΄ ΑΘΗΝΑΣ"/>
    <n v="61.663888888888891"/>
    <s v="61 - 65"/>
  </r>
  <r>
    <n v="99915120"/>
    <s v="Θ"/>
    <x v="8"/>
    <x v="8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8"/>
    <s v="ΟΧΙ"/>
    <s v="ΟΧΙ"/>
    <s v="ΟΧΙ"/>
    <s v="ΟΧΙ"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8-02-28T00:00:00"/>
    <x v="0"/>
    <s v="ΔΙΕΥΘΥΝΣΗ Δ.Ε. ΤΡΙΚΑΛΩΝ"/>
    <n v="61.702777777777776"/>
    <s v="61 - 65"/>
  </r>
  <r>
    <n v="99915121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2-16T00:00:00"/>
    <x v="0"/>
    <s v="ΔΙΕΥΘΥΝΣΗ Δ.Ε. Γ΄ ΑΘΗΝΑΣ"/>
    <n v="61.736111111111114"/>
    <s v="61 - 65"/>
  </r>
  <r>
    <n v="99915122"/>
    <s v="Α"/>
    <x v="18"/>
    <x v="18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81912"/>
    <s v="2o ΓΥΜΝΑΣΙΟ ΑΜΕΡΙΚΑΝΙΚΟΥ ΚΟΛΛΕΓΙΟΥ &quot;ΑΝΑΤΟΛΙΑ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8-01-31T00:00:00"/>
    <x v="0"/>
    <s v="ΔΙΕΥΘΥΝΣΗ Δ.Ε. ΑΝΑΤ. ΘΕΣ/ΝΙΚΗΣ"/>
    <n v="61.780555555555559"/>
    <s v="61 - 65"/>
  </r>
  <r>
    <n v="99915123"/>
    <s v="Α"/>
    <x v="9"/>
    <x v="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1-17T00:00:00"/>
    <x v="0"/>
    <s v="ΔΙΕΥΘΥΝΣΗ Δ.Ε. ΑΝΑΤΟΛΙΚΗΣ ΑΤΤΙΚΗΣ"/>
    <n v="61.819444444444443"/>
    <s v="61 - 65"/>
  </r>
  <r>
    <n v="99915124"/>
    <s v="Θ"/>
    <x v="2"/>
    <x v="2"/>
    <m/>
    <m/>
    <s v="Γ΄"/>
    <n v="1"/>
    <n v="0"/>
    <d v="2018-09-01T00:00:00"/>
    <s v="Α΄ ΚΕΡΚΥΡΑΣ (Π.Ε.) 2018"/>
    <s v="ΔΙΕΥΘΥΝΣΗ Π.Ε. ΚΕΡΚΥΡΑΣ"/>
    <s v="ΠΕΡΙΦΕΡΕΙΑΚΗ Δ/ΝΣΗ Α/ΘΜΙΑΣ ΚΑΙ Β/ΘΜΙΑΣ ΕΚΠ/ΣΗΣ ΙΟΝΙΩΝ ΝΗΣΩΝ"/>
    <n v="25"/>
    <s v="ΟΧΙ"/>
    <m/>
    <m/>
    <m/>
    <s v="ΟΧΙ"/>
    <m/>
    <d v="2018-09-01T00:00:00"/>
    <s v="Ιδιωτικά Σχολεία"/>
    <x v="2"/>
    <s v="7241005"/>
    <s v="ΙΔΙΩΤΙΚΟ ΝΗΠΙΑΓΩΓΕΙΟ &quot;ΗΛΙΑΧΤΙΔΑ&quot;"/>
    <s v="Α΄ ΚΕΡΚΥΡΑΣ (Π.Ε.) 2018"/>
    <x v="18"/>
    <s v="ΠΕΡΙΦΕΡΕΙΑΚΗ Δ/ΝΣΗ Α/ΘΜΙΑΣ ΚΑΙ Β/ΘΜΙΑΣ ΕΚΠ/ΣΗΣ ΙΟΝΙΩΝ ΝΗΣΩΝ"/>
    <s v="Ιδιωτικού Δικαίου Αορίστου Χρόνου (Ι.Δ.Α.Χ.)"/>
    <s v="Τοποθέτηση σε Ιδιωτική Εκπαίδευση"/>
    <d v="1958-01-12T00:00:00"/>
    <x v="1"/>
    <s v="ΔΙΕΥΘΥΝΣΗ Π.Ε. ΚΕΡΚΥΡΑΣ"/>
    <n v="61.833333333333336"/>
    <s v="61 - 65"/>
  </r>
  <r>
    <n v="99915125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1-02T00:00:00"/>
    <x v="0"/>
    <s v="ΔΙΕΥΘΥΝΣΗ Δ.Ε. Γ΄ ΑΘΗΝΑΣ"/>
    <n v="61.861111111111114"/>
    <s v="61 - 65"/>
  </r>
  <r>
    <n v="99915126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61014"/>
    <s v="ΙΔΙΩΤΙΚΟ ΛΥΚΕΙΟ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8-01-01T00:00:00"/>
    <x v="0"/>
    <s v="ΔΙΕΥΘΥΝΣΗ Δ.Ε. Β΄ ΑΘΗΝΑΣ"/>
    <n v="61.863888888888887"/>
    <s v="61 - 65"/>
  </r>
  <r>
    <n v="99915127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12-29T00:00:00"/>
    <x v="0"/>
    <s v="ΔΙΕΥΘΥΝΣΗ Δ.Ε. Β΄ ΑΘΗΝΑΣ"/>
    <n v="61.87222222222222"/>
    <s v="61 - 65"/>
  </r>
  <r>
    <n v="99915128"/>
    <s v="Α"/>
    <x v="5"/>
    <x v="5"/>
    <s v="ΠΕ86"/>
    <s v="ΠΛΗΡΟΦΟΡΙΚΗΣ"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12-21T00:00:00"/>
    <x v="0"/>
    <s v="ΔΙΕΥΘΥΝΣΗ Δ.Ε. Β΄ ΑΘΗΝΑΣ"/>
    <n v="61.894444444444446"/>
    <s v="61 - 65"/>
  </r>
  <r>
    <n v="9991512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s v="ΟΧΙ"/>
    <s v="ΟΧΙ"/>
    <s v="ΟΧΙ"/>
    <s v="ΟΧΙ"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12-18T00:00:00"/>
    <x v="0"/>
    <s v="ΔΙΕΥΘΥΝΣΗ Δ.Ε. Β΄ ΑΘΗΝΑΣ"/>
    <n v="61.902777777777779"/>
    <s v="61 - 65"/>
  </r>
  <r>
    <n v="99915130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12-13T00:00:00"/>
    <x v="0"/>
    <s v="ΔΙΕΥΘΥΝΣΗ Δ.Ε. Β΄ ΑΘΗΝΑΣ"/>
    <n v="61.916666666666664"/>
    <s v="61 - 65"/>
  </r>
  <r>
    <n v="99915131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11-26T00:00:00"/>
    <x v="0"/>
    <s v="ΔΙΕΥΘΥΝΣΗ Δ.Ε. Β΄ ΑΘΗΝΑΣ"/>
    <n v="61.963888888888889"/>
    <s v="61 - 65"/>
  </r>
  <r>
    <n v="99915132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11-25T00:00:00"/>
    <x v="0"/>
    <s v="ΔΙΕΥΘΥΝΣΗ Δ.Ε. ΠΕΙΡΑΙΑ"/>
    <n v="61.966666666666669"/>
    <s v="61 - 65"/>
  </r>
  <r>
    <n v="99915133"/>
    <s v="Α"/>
    <x v="5"/>
    <x v="5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7-11-11T00:00:00"/>
    <x v="0"/>
    <s v="ΔΙΕΥΘΥΝΣΗ Δ.Ε. ΑΝΑΤ. ΘΕΣ/ΝΙΚΗΣ"/>
    <n v="62.005555555555553"/>
    <s v="61 - 65"/>
  </r>
  <r>
    <n v="99915134"/>
    <s v="Α"/>
    <x v="6"/>
    <x v="6"/>
    <m/>
    <m/>
    <s v="Β΄"/>
    <n v="4"/>
    <s v="Φ.I.A.4/1721/25-1-2016"/>
    <d v="2015-09-01T00:00:00"/>
    <s v="Β΄ ΑΘΗΝΑΣ (Δ.Ε.) 2018"/>
    <s v="ΔΙΕΥΘΥΝΣΗ Δ.Ε. Β΄ ΑΘΗΝΑΣ"/>
    <s v="ΠΕΡΙΦΕΡΕΙΑΚΗ Δ/ΝΣΗ Α/ΘΜΙΑΣ ΚΑΙ Β/ΘΜΙΑΣ ΕΚΠ/ΣΗΣ ΑΤΤΙΚΗΣ"/>
    <n v="26"/>
    <s v="ΟΧΙ"/>
    <s v="ΟΧΙ"/>
    <s v="ΟΧΙ"/>
    <s v="ΟΧΙ"/>
    <s v="ΟΧΙ"/>
    <m/>
    <d v="2015-09-01T00:00:00"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10-31T00:00:00"/>
    <x v="0"/>
    <s v="ΔΙΕΥΘΥΝΣΗ Δ.Ε. Β΄ ΑΘΗΝΑΣ"/>
    <n v="62.036111111111111"/>
    <s v="61 - 65"/>
  </r>
  <r>
    <n v="99915135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10-15T00:00:00"/>
    <x v="0"/>
    <s v="ΔΙΕΥΘΥΝΣΗ Δ.Ε. ΑΝΑΤΟΛΙΚΗΣ ΑΤΤΙΚΗΣ"/>
    <n v="62.080555555555556"/>
    <s v="61 - 65"/>
  </r>
  <r>
    <n v="99915136"/>
    <s v="Θ"/>
    <x v="18"/>
    <x v="1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10-15T00:00:00"/>
    <x v="1"/>
    <s v="ΔΙΕΥΘΥΝΣΗ Π.Ε. Β΄ ΑΘΗΝΑΣ"/>
    <n v="62.080555555555556"/>
    <s v="61 - 65"/>
  </r>
  <r>
    <n v="9991513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4"/>
    <s v="ΙΔΙΩΤΙΚΟ - ΙΣΟΤΙΜΟ ΛΥΚΕΙΟ - Β'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10-05T00:00:00"/>
    <x v="0"/>
    <s v="ΔΙΕΥΘΥΝΣΗ Δ.Ε. Β΄ ΑΘΗΝΑΣ"/>
    <n v="62.108333333333334"/>
    <s v="61 - 65"/>
  </r>
  <r>
    <n v="99915138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9-23T00:00:00"/>
    <x v="0"/>
    <s v="ΔΙΕΥΘΥΝΣΗ Δ.Ε. Β΄ ΑΘΗΝΑΣ"/>
    <n v="62.141666666666666"/>
    <s v="61 - 65"/>
  </r>
  <r>
    <n v="99915139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9-20T00:00:00"/>
    <x v="0"/>
    <s v="ΔΙΕΥΘΥΝΣΗ Δ.Ε. ΑΝΑΤΟΛΙΚΗΣ ΑΤΤΙΚΗΣ"/>
    <n v="62.15"/>
    <s v="61 - 65"/>
  </r>
  <r>
    <n v="99915140"/>
    <s v="Α"/>
    <x v="41"/>
    <x v="4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9-20T00:00:00"/>
    <x v="0"/>
    <s v="ΔΙΕΥΘΥΝΣΗ Δ.Ε. ΑΝΑΤ. ΘΕΣ/ΝΙΚΗΣ"/>
    <n v="62.15"/>
    <s v="61 - 65"/>
  </r>
  <r>
    <n v="99915141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9-13T00:00:00"/>
    <x v="0"/>
    <s v="ΔΙΕΥΘΥΝΣΗ Δ.Ε. Β΄ ΑΘΗΝΑΣ"/>
    <n v="62.169444444444444"/>
    <s v="61 - 65"/>
  </r>
  <r>
    <n v="99915142"/>
    <s v="Α"/>
    <x v="18"/>
    <x v="18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m/>
    <s v="ΟΧΙ"/>
    <m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9-03T00:00:00"/>
    <x v="0"/>
    <s v="ΔΙΕΥΘΥΝΣΗ Δ.Ε. Β΄ ΑΘΗΝΑΣ"/>
    <n v="62.197222222222223"/>
    <s v="61 - 65"/>
  </r>
  <r>
    <n v="9991514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9-02T00:00:00"/>
    <x v="0"/>
    <s v="ΔΙΕΥΘΥΝΣΗ Δ.Ε. Β΄ ΑΘΗΝΑΣ"/>
    <n v="62.2"/>
    <s v="61 - 65"/>
  </r>
  <r>
    <n v="99915144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9-01T00:00:00"/>
    <x v="0"/>
    <s v="ΔΙΕΥΘΥΝΣΗ Δ.Ε. Β΄ ΑΘΗΝΑΣ"/>
    <n v="62.202777777777776"/>
    <s v="61 - 65"/>
  </r>
  <r>
    <n v="99915145"/>
    <s v="Α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8-26T00:00:00"/>
    <x v="0"/>
    <s v="ΔΙΕΥΘΥΝΣΗ Δ.Ε. Β΄ ΑΘΗΝΑΣ"/>
    <n v="62.219444444444441"/>
    <s v="61 - 65"/>
  </r>
  <r>
    <n v="99915146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8-25T00:00:00"/>
    <x v="0"/>
    <s v="ΔΙΕΥΘΥΝΣΗ Δ.Ε. Β΄ ΑΘΗΝΑΣ"/>
    <n v="62.222222222222221"/>
    <s v="61 - 65"/>
  </r>
  <r>
    <n v="99915147"/>
    <s v="Α"/>
    <x v="14"/>
    <x v="14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8-20T00:00:00"/>
    <x v="0"/>
    <s v="ΔΙΕΥΘΥΝΣΗ Δ.Ε. ΑΝΑΤΟΛΙΚΗΣ ΑΤΤΙΚΗΣ"/>
    <n v="62.236111111111114"/>
    <s v="61 - 65"/>
  </r>
  <r>
    <n v="99915148"/>
    <s v="Θ"/>
    <x v="2"/>
    <x v="2"/>
    <m/>
    <m/>
    <s v="Γ΄"/>
    <n v="1"/>
    <m/>
    <m/>
    <s v="ΑΡΓΟΛΙΔΑΣ (Π.Ε.) 2018"/>
    <s v="ΔΙΕΥΘΥΝΣΗ Π.Ε. ΑΡΓΟΛΙΔΑΣ"/>
    <s v="ΠΕΡΙΦΕΡΕΙΑΚΗ Δ/ΝΣΗ Α/ΘΜΙΑΣ ΚΑΙ Β/ΘΜΙΑΣ ΕΚΠ/ΣΗΣ ΠΕΛΟΠΟΝΝΗΣΟΥ"/>
    <n v="6"/>
    <s v="ΟΧΙ"/>
    <s v="ΟΧΙ"/>
    <s v="ΟΧΙ"/>
    <m/>
    <s v="ΟΧΙ"/>
    <m/>
    <m/>
    <s v="Ιδιωτικά Σχολεία"/>
    <x v="2"/>
    <s v="7021009"/>
    <s v="ΙΔΙΩΤΙΚΟ ΝΗΠΙΑΓΩΓΕΙΟ ΔΑΛΑΜΑΝΑΡΑ - ΟΝΕΙΡΟ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57-08-20T00:00:00"/>
    <x v="1"/>
    <s v="ΔΙΕΥΘΥΝΣΗ Π.Ε. ΑΡΓΟΛΙΔΑΣ"/>
    <n v="62.236111111111114"/>
    <s v="61 - 65"/>
  </r>
  <r>
    <n v="99915149"/>
    <s v="Α"/>
    <x v="19"/>
    <x v="1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8-13T00:00:00"/>
    <x v="0"/>
    <s v="ΔΙΕΥΘΥΝΣΗ Δ.Ε. ΑΝΑΤ. ΘΕΣ/ΝΙΚΗΣ"/>
    <n v="62.255555555555553"/>
    <s v="61 - 65"/>
  </r>
  <r>
    <n v="99915150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8-09T00:00:00"/>
    <x v="0"/>
    <s v="ΔΙΕΥΘΥΝΣΗ Δ.Ε. Β΄ ΑΘΗΝΑΣ"/>
    <n v="62.266666666666666"/>
    <s v="61 - 65"/>
  </r>
  <r>
    <n v="99915151"/>
    <s v="Α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7-21T00:00:00"/>
    <x v="0"/>
    <s v="ΔΙΕΥΘΥΝΣΗ Δ.Ε. Β΄ ΑΘΗΝΑΣ"/>
    <n v="62.319444444444443"/>
    <s v="61 - 65"/>
  </r>
  <r>
    <n v="99915152"/>
    <s v="Θ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7-20T00:00:00"/>
    <x v="0"/>
    <s v="ΔΙΕΥΘΥΝΣΗ Δ.Ε. ΠΕΙΡΑΙΑ"/>
    <n v="62.322222222222223"/>
    <s v="61 - 65"/>
  </r>
  <r>
    <n v="99915153"/>
    <s v="Α"/>
    <x v="19"/>
    <x v="19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9"/>
    <s v="ΟΧΙ"/>
    <s v="ΟΧΙ"/>
    <s v="ΟΧΙ"/>
    <m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7-07-05T00:00:00"/>
    <x v="0"/>
    <s v="ΔΙΕΥΘΥΝΣΗ Δ.Ε. ΛΑΡΙΣΑΣ"/>
    <n v="62.363888888888887"/>
    <s v="61 - 65"/>
  </r>
  <r>
    <n v="99915154"/>
    <s v="Α"/>
    <x v="5"/>
    <x v="5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3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6-21T00:00:00"/>
    <x v="0"/>
    <s v="ΔΙΕΥΘΥΝΣΗ Δ.Ε. Α΄ ΑΘΗΝΑΣ"/>
    <n v="62.402777777777779"/>
    <s v="61 - 65"/>
  </r>
  <r>
    <n v="99915155"/>
    <s v="Α"/>
    <x v="19"/>
    <x v="19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4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57-06-10T00:00:00"/>
    <x v="0"/>
    <s v="ΔΙΕΥΘΥΝΣΗ Δ.Ε. ΑΡΓΟΛΙΔΑΣ"/>
    <n v="62.43333333333333"/>
    <s v="61 - 65"/>
  </r>
  <r>
    <n v="99915156"/>
    <s v="Α"/>
    <x v="11"/>
    <x v="11"/>
    <m/>
    <m/>
    <s v="Γ΄"/>
    <n v="1"/>
    <m/>
    <d v="2004-08-25T00:00:00"/>
    <s v="ΣΕΡΡΩΝ (Δ.Ε.) 2018"/>
    <s v="ΔΙΕΥΘΥΝΣΗ Δ.Ε. ΣΕΡΡΩΝ"/>
    <s v="ΠΕΡΙΦΕΡΕΙΑΚΗ Δ/ΝΣΗ Α/ΘΜΙΑΣ ΚΑΙ Β/ΘΜΙΑΣ ΕΚΠ/ΣΗΣ ΚΕΝΤΡΙΚΗΣ ΜΑΚΕΔΟΝΙΑΣ"/>
    <n v="6"/>
    <s v="ΟΧΙ"/>
    <s v="ΟΧΙ"/>
    <s v="ΟΧΙ"/>
    <s v="ΟΧΙ"/>
    <s v="ΟΧΙ"/>
    <m/>
    <d v="2004-08-25T00:00:00"/>
    <s v="Ιδιωτικά Σχολεία"/>
    <x v="3"/>
    <s v="4475070"/>
    <s v="ΙΔΙΩΤΙΚΟ ΗΜΕΡΗΣΙΟ ΛΥΚΕΙΟ ΣΕΡΡΕΣ - ΑΡΙΣΤΟΤΕΛΕΙΟ ΕΚΠΑΙΔΕΥΤΗΡΙΟ"/>
    <s v="ΣΕΡΡΩΝ (Δ.Ε.) 2018"/>
    <x v="6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6-05T00:00:00"/>
    <x v="0"/>
    <s v="ΔΙΕΥΘΥΝΣΗ Δ.Ε. ΣΕΡΡΩΝ"/>
    <n v="62.447222222222223"/>
    <s v="61 - 65"/>
  </r>
  <r>
    <n v="99915157"/>
    <s v="Θ"/>
    <x v="1"/>
    <x v="1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6-03T00:00:00"/>
    <x v="1"/>
    <s v="ΔΙΕΥΘΥΝΣΗ Π.Ε. Β΄ ΑΘΗΝΑΣ"/>
    <n v="62.452777777777776"/>
    <s v="61 - 65"/>
  </r>
  <r>
    <n v="99915158"/>
    <s v="Θ"/>
    <x v="1"/>
    <x v="1"/>
    <m/>
    <m/>
    <s v="Α΄"/>
    <n v="14"/>
    <m/>
    <d v="2018-09-01T00:00:00"/>
    <s v="Δ΄ ΑΘΗΝΑΣ (Π.Ε.) 2018"/>
    <s v="ΔΙΕΥΘΥΝΣΗ Π.Ε. Δ΄ ΑΘΗΝΑΣ"/>
    <s v="ΠΕΡΙΦΕΡΕΙΑΚΗ Δ/ΝΣΗ Α/ΘΜΙΑΣ ΚΑΙ Β/ΘΜΙΑΣ ΕΚΠ/ΣΗΣ ΑΤΤΙΚΗΣ"/>
    <n v="13"/>
    <s v="ΟΧΙ"/>
    <s v="ΟΧΙ"/>
    <s v="ΟΧΙ"/>
    <s v="ΟΧΙ"/>
    <s v="ΟΧΙ"/>
    <m/>
    <d v="2018-09-01T00:00:00"/>
    <s v="Ιδιωτικά Σχολεία"/>
    <x v="1"/>
    <s v="7054006"/>
    <s v="Β ΔΗΜΟΤΙΚΟ ΠΑΣΧΑΛΗΣ ΑΝΤΩΝΗΣ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6-03T00:00:00"/>
    <x v="1"/>
    <s v="ΔΙΕΥΘΥΝΣΗ Π.Ε. Δ΄ ΑΘΗΝΑΣ"/>
    <n v="62.452777777777776"/>
    <s v="61 - 65"/>
  </r>
  <r>
    <n v="99915159"/>
    <s v="Θ"/>
    <x v="41"/>
    <x v="40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4"/>
    <s v="1950001"/>
    <s v="ΙΔΙΩΤΙΚΟ ΗΜΕΡΗΣΙΟ ΕΠΑΓΓΕΛΜΑΤΙΚΟ ΛΥΚΕΙΟ  &quot;ΑΜΕΡΙΚΑΝΙΚΗ ΓΕΩΡΓΙΚΗ ΣΧΟΛΗ&quot; (Φ1/26/87157/Δ5/28-9-2006 ΥΠΕΠΘ)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5-25T00:00:00"/>
    <x v="0"/>
    <s v="ΔΙΕΥΘΥΝΣΗ Δ.Ε. ΑΝΑΤ. ΘΕΣ/ΝΙΚΗΣ"/>
    <n v="62.477777777777774"/>
    <s v="61 - 65"/>
  </r>
  <r>
    <n v="99915160"/>
    <s v="Α"/>
    <x v="5"/>
    <x v="5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5-23T00:00:00"/>
    <x v="0"/>
    <s v="ΔΙΕΥΘΥΝΣΗ Δ.Ε. Δ΄ ΑΘΗΝΑΣ"/>
    <n v="62.483333333333334"/>
    <s v="61 - 65"/>
  </r>
  <r>
    <n v="99915161"/>
    <s v="Α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5-20T00:00:00"/>
    <x v="0"/>
    <s v="ΔΙΕΥΘΥΝΣΗ Δ.Ε. Β΄ ΑΘΗΝΑΣ"/>
    <n v="62.491666666666667"/>
    <s v="61 - 65"/>
  </r>
  <r>
    <n v="99915162"/>
    <s v="Θ"/>
    <x v="6"/>
    <x v="6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0"/>
    <s v="1981055"/>
    <s v="ΑΡΣΑΚΕΙΟ ΓΥΜΝΑΣ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7-05-07T00:00:00"/>
    <x v="0"/>
    <s v="ΔΙΕΥΘΥΝΣΗ Δ.Ε. ΑΝΑΤ. ΘΕΣ/ΝΙΚΗΣ"/>
    <n v="62.527777777777779"/>
    <s v="61 - 65"/>
  </r>
  <r>
    <n v="99915163"/>
    <s v="Α"/>
    <x v="19"/>
    <x v="19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0"/>
    <s v="1960001"/>
    <s v="ΕΚΠΑΙΔΕΥΤΗΡΙΑ &quot;Ο ΑΠΟΣΤΟΛΟΣ ΠΑΥΛΟΣ&quot;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3-30T00:00:00"/>
    <x v="0"/>
    <s v="ΔΙΕΥΘΥΝΣΗ Δ.Ε. ΑΝΑΤ. ΘΕΣ/ΝΙΚΗΣ"/>
    <n v="62.633333333333333"/>
    <s v="61 - 65"/>
  </r>
  <r>
    <n v="99915164"/>
    <s v="Α"/>
    <x v="11"/>
    <x v="11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s v="ΟΧΙ"/>
    <s v="ΟΧΙ"/>
    <s v="ΟΧΙ"/>
    <s v="ΟΧΙ"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57-03-29T00:00:00"/>
    <x v="0"/>
    <s v="ΔΙΕΥΘΥΝΣΗ Δ.Ε. ΗΡΑΚΛΕΙΟΥ"/>
    <n v="62.636111111111113"/>
    <s v="61 - 65"/>
  </r>
  <r>
    <n v="9991516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3-26T00:00:00"/>
    <x v="0"/>
    <s v="ΔΙΕΥΘΥΝΣΗ Δ.Ε. Β΄ ΑΘΗΝΑΣ"/>
    <n v="62.644444444444446"/>
    <s v="61 - 65"/>
  </r>
  <r>
    <n v="99915166"/>
    <s v="Α"/>
    <x v="5"/>
    <x v="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s v="ΟΧΙ"/>
    <s v="ΟΧΙ"/>
    <m/>
    <m/>
    <s v="Ιδιωτικά Σχολεία"/>
    <x v="3"/>
    <s v="0580330"/>
    <s v="ΙΔΙΩΤΙΚΟ ΗΜΕΡΗΣΙΟ ΓΕΝΙΚΟ ΛΥΚΕΙΟ ΩΘ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3-15T00:00:00"/>
    <x v="0"/>
    <s v="ΔΙΕΥΘΥΝΣΗ Δ.Ε. ΑΝΑΤΟΛΙΚΗΣ ΑΤΤΙΚΗΣ"/>
    <n v="62.674999999999997"/>
    <s v="61 - 65"/>
  </r>
  <r>
    <n v="99915167"/>
    <s v="Α"/>
    <x v="7"/>
    <x v="7"/>
    <m/>
    <m/>
    <s v="Γ΄"/>
    <n v="1"/>
    <n v="18261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d v="2018-09-01T00:00:00"/>
    <s v="Ιδιωτικά Σχολεία"/>
    <x v="0"/>
    <s v="0560008"/>
    <s v="ΕΚΠΑΙΔΕΥΤΗΡΙΑ ΚΑΝΤΑ - 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57-02-11T00:00:00"/>
    <x v="0"/>
    <s v="ΔΙΕΥΘΥΝΣΗ Δ.Ε. Β΄ ΑΘΗΝΑΣ"/>
    <n v="62.763888888888886"/>
    <s v="61 - 65"/>
  </r>
  <r>
    <n v="99915168"/>
    <s v="Θ"/>
    <x v="1"/>
    <x v="1"/>
    <m/>
    <m/>
    <s v="Γ΄"/>
    <n v="1"/>
    <d v="1983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2-11T00:00:00"/>
    <x v="1"/>
    <s v="ΔΙΕΥΘΥΝΣΗ Π.Ε. ΑΝΑΤ. ΘΕΣ/ΝΙΚΗΣ"/>
    <n v="62.763888888888886"/>
    <s v="61 - 65"/>
  </r>
  <r>
    <n v="99915169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2-03T00:00:00"/>
    <x v="0"/>
    <s v="ΔΙΕΥΘΥΝΣΗ Δ.Ε. Β΄ ΑΘΗΝΑΣ"/>
    <n v="62.786111111111111"/>
    <s v="61 - 65"/>
  </r>
  <r>
    <n v="99915170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1-21T00:00:00"/>
    <x v="0"/>
    <s v="ΔΙΕΥΘΥΝΣΗ Δ.Ε. Β΄ ΑΘΗΝΑΣ"/>
    <n v="62.822222222222223"/>
    <s v="61 - 65"/>
  </r>
  <r>
    <n v="99915171"/>
    <s v="Θ"/>
    <x v="2"/>
    <x v="2"/>
    <m/>
    <m/>
    <s v="Α΄"/>
    <n v="1"/>
    <m/>
    <m/>
    <s v="ΗΜΑΘΙΑΣ (Π.Ε.) 2018"/>
    <s v="ΔΙΕΥΘΥΝΣΗ Π.Ε. ΗΜΑΘΙΑΣ"/>
    <s v="ΠΕΡΙΦΕΡΕΙΑΚΗ Δ/ΝΣΗ Α/ΘΜΙΑΣ ΚΑΙ Β/ΘΜΙΑΣ ΕΚΠ/ΣΗΣ ΚΕΝΤΡΙΚΗΣ ΜΑΚΕΔΟΝΙΑΣ"/>
    <n v="25"/>
    <s v="ΟΧΙ"/>
    <s v="ΟΧΙ"/>
    <s v="ΟΧΙ"/>
    <m/>
    <s v="ΟΧΙ"/>
    <m/>
    <m/>
    <s v="Ιδιωτικά Σχολεία"/>
    <x v="2"/>
    <s v="7161001"/>
    <s v="ΙΔΙΩΤΙΚΟ ΝΗΠΙΑΓΩΓΕΙΟ ΒΕΡΟΙΑ - ΙΔΙΩΤΙΚΟ ΝΗΠΙΑΓΩΓΕΙΟ ΖΥΓΑΝΙΤΙΔΟΥ ΕΛΕΝΗΣ"/>
    <s v="ΗΜΑΘΙΑΣ (Π.Ε.) 2018"/>
    <x v="70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7-01-18T00:00:00"/>
    <x v="1"/>
    <s v="ΔΙΕΥΘΥΝΣΗ Π.Ε. ΗΜΑΘΙΑΣ"/>
    <n v="62.830555555555556"/>
    <s v="61 - 65"/>
  </r>
  <r>
    <n v="99915172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7-01-09T00:00:00"/>
    <x v="1"/>
    <s v="ΔΙΕΥΘΥΝΣΗ Π.Ε. Β΄ ΑΘΗΝΑΣ"/>
    <n v="62.855555555555554"/>
    <s v="61 - 65"/>
  </r>
  <r>
    <n v="99915173"/>
    <s v="Α"/>
    <x v="11"/>
    <x v="11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3"/>
    <s v="0561019"/>
    <s v="ΙΔΙΩΤΙΚΟ ΛΥΚΕΙΟ ΝΕΑ ΕΚΠΑΙΔΕΥΤΗΡΙΑ Γ. 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7-01-01T00:00:00"/>
    <x v="0"/>
    <s v="ΔΙΕΥΘΥΝΣΗ Δ.Ε. Δ΄ ΑΘΗΝΑΣ"/>
    <n v="62.87777777777778"/>
    <s v="61 - 65"/>
  </r>
  <r>
    <n v="99915174"/>
    <s v="Α"/>
    <x v="3"/>
    <x v="3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7-01-01T00:00:00"/>
    <x v="0"/>
    <s v="ΔΙΕΥΘΥΝΣΗ Δ.Ε. ΤΡΙΚΑΛΩΝ"/>
    <n v="62.87777777777778"/>
    <s v="61 - 65"/>
  </r>
  <r>
    <n v="99915175"/>
    <s v="Α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12-09T00:00:00"/>
    <x v="0"/>
    <s v="ΔΙΕΥΘΥΝΣΗ Δ.Ε. ΠΕΙΡΑΙΑ"/>
    <n v="62.94166666666667"/>
    <s v="61 - 65"/>
  </r>
  <r>
    <n v="99915176"/>
    <s v="Α"/>
    <x v="5"/>
    <x v="5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s v="ΟΧΙ"/>
    <s v="ΟΧΙ"/>
    <s v="ΟΧΙ"/>
    <s v="ΟΧΙ"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56-11-15T00:00:00"/>
    <x v="0"/>
    <s v="ΔΙΕΥΘΥΝΣΗ Δ.Ε. ΙΩΑΝΝΙΝΩΝ"/>
    <n v="63.008333333333333"/>
    <s v="61 - 65"/>
  </r>
  <r>
    <n v="99915177"/>
    <s v="Α"/>
    <x v="8"/>
    <x v="8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6-11-10T00:00:00"/>
    <x v="0"/>
    <s v="ΔΙΕΥΘΥΝΣΗ Δ.Ε. ΑΝΑΤ. ΘΕΣ/ΝΙΚΗΣ"/>
    <n v="63.022222222222226"/>
    <s v="61 - 65"/>
  </r>
  <r>
    <n v="9991517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11-09T00:00:00"/>
    <x v="0"/>
    <s v="ΔΙΕΥΘΥΝΣΗ Δ.Ε. Β΄ ΑΘΗΝΑΣ"/>
    <n v="63.024999999999999"/>
    <s v="61 - 65"/>
  </r>
  <r>
    <n v="99915179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11-06T00:00:00"/>
    <x v="0"/>
    <s v="ΔΙΕΥΘΥΝΣΗ Δ.Ε. Β΄ ΑΘΗΝΑΣ"/>
    <n v="63.033333333333331"/>
    <s v="61 - 65"/>
  </r>
  <r>
    <n v="99915180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10-19T00:00:00"/>
    <x v="0"/>
    <s v="ΔΙΕΥΘΥΝΣΗ Δ.Ε. Β΄ ΑΘΗΝΑΣ"/>
    <n v="63.083333333333336"/>
    <s v="61 - 65"/>
  </r>
  <r>
    <n v="99915181"/>
    <s v="Θ"/>
    <x v="18"/>
    <x v="1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10-16T00:00:00"/>
    <x v="1"/>
    <s v="ΔΙΕΥΘΥΝΣΗ Π.Ε. Β΄ ΑΘΗΝΑΣ"/>
    <n v="63.091666666666669"/>
    <s v="61 - 65"/>
  </r>
  <r>
    <n v="99915182"/>
    <s v="Α"/>
    <x v="5"/>
    <x v="5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10-11T00:00:00"/>
    <x v="0"/>
    <s v="ΔΙΕΥΘΥΝΣΗ Δ.Ε. Γ΄ ΑΘΗΝΑΣ"/>
    <n v="63.105555555555554"/>
    <s v="61 - 65"/>
  </r>
  <r>
    <n v="99915183"/>
    <s v="Α"/>
    <x v="3"/>
    <x v="3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s v="ΟΧΙ"/>
    <s v="ΟΧΙ"/>
    <s v="ΟΧΙ"/>
    <s v="ΟΧΙ"/>
    <s v="ΟΧΙ"/>
    <m/>
    <m/>
    <s v="Ιδιωτικά Σχολεία"/>
    <x v="3"/>
    <s v="3180015"/>
    <s v="ΙΔ. ΓΕΝ. ΛΥΚ. Ν. ΜΠΑΚΟΓΙΑΝΝΗ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6-10-05T00:00:00"/>
    <x v="0"/>
    <s v="ΔΙΕΥΘΥΝΣΗ Δ.Ε. ΛΑΡΙΣΑΣ"/>
    <n v="63.12222222222222"/>
    <s v="61 - 65"/>
  </r>
  <r>
    <n v="9991518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9-06T00:00:00"/>
    <x v="0"/>
    <s v="ΔΙΕΥΘΥΝΣΗ Δ.Ε. Β΄ ΑΘΗΝΑΣ"/>
    <n v="63.202777777777776"/>
    <s v="61 - 65"/>
  </r>
  <r>
    <n v="99915185"/>
    <s v="Α"/>
    <x v="5"/>
    <x v="5"/>
    <m/>
    <m/>
    <s v="Α΄"/>
    <n v="4"/>
    <m/>
    <m/>
    <s v="ΞΑΝΘΗΣ (Δ.Ε.) 2018"/>
    <s v="ΔΙΕΥΘΥΝΣΗ Δ.Ε. ΞΑΝΘΗΣ"/>
    <s v="ΠΕΡΙΦΕΡΕΙΑΚΗ Δ/ΝΣΗ Α/ΘΜΙΑΣ ΚΑΙ Β/ΘΜΙΑΣ ΕΚΠ/ΣΗΣ ΑΝ. ΜΑΚΕΔΟΝΙΑΣ ΚΑΙ ΘΡΑΚΗΣ"/>
    <n v="18"/>
    <s v="ΟΧΙ"/>
    <s v="ΟΧΙ"/>
    <s v="ΟΧΙ"/>
    <s v="ΟΧΙ"/>
    <s v="ΟΧΙ"/>
    <m/>
    <m/>
    <s v="Ιδιωτικά Σχολεία"/>
    <x v="3"/>
    <s v="3780010"/>
    <s v="ΙΔΙΩΤΙΚΟ ΗΜΕΡΗΣΙΟ ΛΥΚΕΙΟ ΞΑΝΘΗ - ΑΞΙΟΝ"/>
    <s v="ΞΑΝΘΗΣ (Δ.Ε.) 2018"/>
    <x v="54"/>
    <s v="ΠΕΡΙΦΕΡΕΙΑΚΗ Δ/ΝΣΗ Α/ΘΜΙΑΣ ΚΑΙ Β/ΘΜΙΑΣ ΕΚΠ/ΣΗΣ ΑΝ. ΜΑΚΕΔΟΝΙΑΣ ΚΑΙ ΘΡΑΚΗΣ"/>
    <s v="Ιδιωτικού Δικαίου Αορίστου Χρόνου (Ι.Δ.Α.Χ.)"/>
    <s v="Τοποθέτηση σε Ιδιωτική Εκπαίδευση"/>
    <d v="1956-08-22T00:00:00"/>
    <x v="0"/>
    <s v="ΔΙΕΥΘΥΝΣΗ Δ.Ε. ΞΑΝΘΗΣ"/>
    <n v="63.244444444444447"/>
    <s v="61 - 65"/>
  </r>
  <r>
    <n v="99915186"/>
    <s v="Θ"/>
    <x v="1"/>
    <x v="1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1"/>
    <s v="ΟΧΙ"/>
    <s v="ΟΧΙ"/>
    <s v="ΟΧΙ"/>
    <s v="ΟΧΙ"/>
    <s v="ΟΧΙ"/>
    <m/>
    <m/>
    <s v="Ιδιωτικά Σχολεία"/>
    <x v="1"/>
    <s v="7171000"/>
    <s v="Ιδιωτικό Δημοτικό Σχολείο- ΕΚΠΑΙΔΕΥΤΗΡΙΟ &quot;ΤΟ ΠΑΓΚΡΗΤΙΟΝ&quot;"/>
    <s v="ΗΡΑΚΛΕΙΟΥ (Π.Ε.) 2018"/>
    <x v="38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d v="1956-08-18T00:00:00"/>
    <x v="1"/>
    <s v="ΔΙΕΥΘΥΝΣΗ Π.Ε. ΗΡΑΚΛΕΙΟΥ"/>
    <n v="63.255555555555553"/>
    <s v="61 - 65"/>
  </r>
  <r>
    <n v="99915187"/>
    <s v="Θ"/>
    <x v="0"/>
    <x v="0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7-24T00:00:00"/>
    <x v="0"/>
    <s v="ΔΙΕΥΘΥΝΣΗ Δ.Ε. Δ΄ ΑΘΗΝΑΣ"/>
    <n v="63.325000000000003"/>
    <s v="61 - 65"/>
  </r>
  <r>
    <n v="99915188"/>
    <s v="Α"/>
    <x v="15"/>
    <x v="1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6-07-23T00:00:00"/>
    <x v="0"/>
    <s v="ΔΙΕΥΘΥΝΣΗ Δ.Ε. ΑΝΑΤ. ΘΕΣ/ΝΙΚΗΣ"/>
    <n v="63.327777777777776"/>
    <s v="61 - 65"/>
  </r>
  <r>
    <n v="99915189"/>
    <s v="Θ"/>
    <x v="1"/>
    <x v="1"/>
    <m/>
    <m/>
    <s v="Α΄"/>
    <n v="12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4004"/>
    <s v="ΙΔΙΩΤΙΚΟ ΔΗΜΟΤΙΚΟ - ΠΑΣΧΑΛΗΣ ΑΝΤΩΝΗΣ ΙΔΙΩΤΙΚΑ ΕΚΠΑΙΔΕΥΤΗΡΙΑ &amp; ΣΙΑ Ε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7-22T00:00:00"/>
    <x v="1"/>
    <s v="ΔΙΕΥΘΥΝΣΗ Π.Ε. Δ΄ ΑΘΗΝΑΣ"/>
    <n v="63.330555555555556"/>
    <s v="61 - 65"/>
  </r>
  <r>
    <n v="99915190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7-18T00:00:00"/>
    <x v="0"/>
    <s v="ΔΙΕΥΘΥΝΣΗ Δ.Ε. Β΄ ΑΘΗΝΑΣ"/>
    <n v="63.341666666666669"/>
    <s v="61 - 65"/>
  </r>
  <r>
    <n v="99915191"/>
    <s v="Α"/>
    <x v="5"/>
    <x v="5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s v="ΟΧΙ"/>
    <s v="ΟΧΙ"/>
    <s v="ΟΧΙ"/>
    <s v="ΟΧΙ"/>
    <s v="ΟΧΙ"/>
    <m/>
    <m/>
    <s v="Ιδιωτικά Σχολεία"/>
    <x v="0"/>
    <s v="0605000"/>
    <s v="ΑΡΣΑΚΕΙΟ ΓΥΜΝΑΣΙΟ ΠΑΤΡΑΣ"/>
    <s v="ΑΧΑΪΑΣ (Δ.Ε.) 2018"/>
    <x v="53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56-06-27T00:00:00"/>
    <x v="0"/>
    <s v="ΔΙΕΥΘΥΝΣΗ Δ.Ε. ΑΧΑΪΑΣ"/>
    <n v="63.4"/>
    <s v="61 - 65"/>
  </r>
  <r>
    <n v="99915192"/>
    <s v="Α"/>
    <x v="19"/>
    <x v="19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6-06-27T00:00:00"/>
    <x v="0"/>
    <s v="ΔΙΕΥΘΥΝΣΗ Δ.Ε. ΑΝΑΤ. ΘΕΣ/ΝΙΚΗΣ"/>
    <n v="63.4"/>
    <s v="61 - 65"/>
  </r>
  <r>
    <n v="99915193"/>
    <s v="Α"/>
    <x v="19"/>
    <x v="1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6-22T00:00:00"/>
    <x v="0"/>
    <s v="ΔΙΕΥΘΥΝΣΗ Δ.Ε. Α΄ ΑΘΗΝΑΣ"/>
    <n v="63.413888888888891"/>
    <s v="61 - 65"/>
  </r>
  <r>
    <n v="99915194"/>
    <s v="Α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0"/>
    <s v="0560029"/>
    <s v="ΠΑΠΑΧΑΡΑΛΑΜΠΕΙΟ ΕΚΠΑΙΔΕΥΤΗΡΙΟ - ΙΔΙΩΤΙΚΟ ΓΥΜΝΑΣΙΟ"/>
    <s v="Γ΄ ΑΘΗΝΑΣ (Δ.Ε.) 2018"/>
    <x v="42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06-19T00:00:00"/>
    <x v="0"/>
    <s v="ΔΙΕΥΘΥΝΣΗ Δ.Ε. Γ΄ ΑΘΗΝΑΣ"/>
    <n v="63.422222222222224"/>
    <s v="61 - 65"/>
  </r>
  <r>
    <n v="99915195"/>
    <s v="Θ"/>
    <x v="9"/>
    <x v="9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6-06-04T00:00:00"/>
    <x v="0"/>
    <s v="ΔΙΕΥΘΥΝΣΗ Δ.Ε. ΑΝΑΤ. ΘΕΣ/ΝΙΚΗΣ"/>
    <n v="63.463888888888889"/>
    <s v="61 - 65"/>
  </r>
  <r>
    <n v="99915196"/>
    <s v="Α"/>
    <x v="8"/>
    <x v="8"/>
    <m/>
    <m/>
    <s v="Γ΄"/>
    <n v="3"/>
    <s v="Φ.17/8958"/>
    <d v="2018-09-01T00:00:00"/>
    <s v="ΚΟΡΙΝΘΙΑΣ (Π.Ε.) 2018"/>
    <s v="ΔΙΕΥΘΥΝΣΗ Π.Ε. ΚΟΡΙΝΘΙΑΣ"/>
    <s v="ΠΕΡΙΦΕΡΕΙΑΚΗ Δ/ΝΣΗ Α/ΘΜΙΑΣ ΚΑΙ Β/ΘΜΙΑΣ ΕΚΠ/ΣΗΣ ΠΕΛΟΠΟΝΝΗΣΟΥ"/>
    <n v="12"/>
    <s v="ΟΧΙ"/>
    <s v="ΟΧΙ"/>
    <s v="ΟΧΙ"/>
    <s v="ΟΧΙ"/>
    <s v="ΟΧΙ"/>
    <m/>
    <d v="2018-09-01T00:00:00"/>
    <s v="Ιδιωτικά Σχολεία"/>
    <x v="1"/>
    <s v="7281000"/>
    <s v="ΙΔΙΩΤΙΚΟ ΔΗΜΟΤΙΚΟ ΚΟΡΙΝΘΟΣ - Ο ΜΙΚΡΟΣ ΝΑΥΤΙΛΟΣ"/>
    <s v="ΚΟΡΙΝΘΙΑΣ (Π.Ε.) 2018"/>
    <x v="2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56-05-19T00:00:00"/>
    <x v="1"/>
    <s v="ΔΙΕΥΘΥΝΣΗ Π.Ε. ΚΟΡΙΝΘΙΑΣ"/>
    <n v="63.508333333333333"/>
    <s v="61 - 65"/>
  </r>
  <r>
    <n v="99915197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04-28T00:00:00"/>
    <x v="0"/>
    <s v="ΔΙΕΥΘΥΝΣΗ Δ.Ε. Β΄ ΑΘΗΝΑΣ"/>
    <n v="63.56666666666667"/>
    <s v="61 - 65"/>
  </r>
  <r>
    <n v="99915198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4-21T00:00:00"/>
    <x v="0"/>
    <s v="ΔΙΕΥΘΥΝΣΗ Δ.Ε. Β΄ ΑΘΗΝΑΣ"/>
    <n v="63.586111111111109"/>
    <s v="61 - 65"/>
  </r>
  <r>
    <n v="99915199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04-16T00:00:00"/>
    <x v="0"/>
    <s v="ΔΙΕΥΘΥΝΣΗ Δ.Ε. Β΄ ΑΘΗΝΑΣ"/>
    <n v="63.6"/>
    <s v="61 - 65"/>
  </r>
  <r>
    <n v="99915200"/>
    <s v="Α"/>
    <x v="5"/>
    <x v="5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6-04-16T00:00:00"/>
    <x v="0"/>
    <s v="ΔΙΕΥΘΥΝΣΗ Δ.Ε. ΤΡΙΚΑΛΩΝ"/>
    <n v="63.6"/>
    <s v="61 - 65"/>
  </r>
  <r>
    <n v="99915201"/>
    <s v="Θ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4"/>
    <s v="Β΄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04-08T00:00:00"/>
    <x v="0"/>
    <s v="ΔΙΕΥΘΥΝΣΗ Δ.Ε. Β΄ ΑΘΗΝΑΣ"/>
    <n v="63.62222222222222"/>
    <s v="61 - 65"/>
  </r>
  <r>
    <n v="99915202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4-08T00:00:00"/>
    <x v="0"/>
    <s v="ΔΙΕΥΘΥΝΣΗ Δ.Ε. ΠΕΙΡΑΙΑ"/>
    <n v="63.62222222222222"/>
    <s v="61 - 65"/>
  </r>
  <r>
    <n v="99915203"/>
    <s v="Θ"/>
    <x v="6"/>
    <x v="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6-02-05T00:00:00"/>
    <x v="0"/>
    <s v="ΔΙΕΥΘΥΝΣΗ Δ.Ε. Β΄ ΑΘΗΝΑΣ"/>
    <n v="63.797222222222224"/>
    <s v="61 - 65"/>
  </r>
  <r>
    <n v="99915204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01-24T00:00:00"/>
    <x v="0"/>
    <s v="ΔΙΕΥΘΥΝΣΗ Δ.Ε. Β΄ ΑΘΗΝΑΣ"/>
    <n v="63.830555555555556"/>
    <s v="61 - 65"/>
  </r>
  <r>
    <n v="99915205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m/>
    <s v="Ιδιωτικά Σχολεία"/>
    <x v="3"/>
    <s v="0580203"/>
    <s v="ΙΔΙΩΤΙΚΟ-ΙΣΟΤΙΜΟ ΛΥΚΕΙΟ -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6-01-19T00:00:00"/>
    <x v="0"/>
    <s v="ΔΙΕΥΘΥΝΣΗ Δ.Ε. Β΄ ΑΘΗΝΑΣ"/>
    <n v="63.844444444444441"/>
    <s v="61 - 65"/>
  </r>
  <r>
    <n v="99915206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2"/>
    <s v="ΙΔΙΩΤΙΚΟ - ΙΣΟΤΙΜΟ ΛΥΚΕΙΟ - Α΄ ΑΡΣΑΚΕΙΟ ΓΕΝΙΚΟ ΛΥΚΕ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10-21T00:00:00"/>
    <x v="0"/>
    <s v="ΔΙΕΥΘΥΝΣΗ Δ.Ε. Β΄ ΑΘΗΝΑΣ"/>
    <n v="64.094444444444449"/>
    <s v="61 - 65"/>
  </r>
  <r>
    <n v="99915207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10-18T00:00:00"/>
    <x v="0"/>
    <s v="ΔΙΕΥΘΥΝΣΗ Δ.Ε. Β΄ ΑΘΗΝΑΣ"/>
    <n v="64.102777777777774"/>
    <s v="61 - 65"/>
  </r>
  <r>
    <n v="99915208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5-10-09T00:00:00"/>
    <x v="0"/>
    <s v="ΔΙΕΥΘΥΝΣΗ Δ.Ε. ΑΝΑΤ. ΘΕΣ/ΝΙΚΗΣ"/>
    <n v="64.12777777777778"/>
    <s v="61 - 65"/>
  </r>
  <r>
    <n v="99915209"/>
    <s v="Α"/>
    <x v="15"/>
    <x v="1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10-04T00:00:00"/>
    <x v="0"/>
    <s v="ΔΙΕΥΘΥΝΣΗ Δ.Ε. Β΄ ΑΘΗΝΑΣ"/>
    <n v="64.141666666666666"/>
    <s v="61 - 65"/>
  </r>
  <r>
    <n v="99915210"/>
    <s v="Α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9-21T00:00:00"/>
    <x v="0"/>
    <s v="ΔΙΕΥΘΥΝΣΗ Δ.Ε. Β΄ ΑΘΗΝΑΣ"/>
    <n v="64.177777777777777"/>
    <s v="61 - 65"/>
  </r>
  <r>
    <n v="99915211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5-09-15T00:00:00"/>
    <x v="0"/>
    <s v="ΔΙΕΥΘΥΝΣΗ Δ.Ε. ΑΝΑΤΟΛΙΚΗΣ ΑΤΤΙΚΗΣ"/>
    <n v="64.194444444444443"/>
    <s v="61 - 65"/>
  </r>
  <r>
    <n v="99915212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3019"/>
    <s v="ΣΥΣΤΕΓΑΖΟΜΕΝΟ ΝΗΠΙΑΓΩΓΕΙΟ - ΣΧΟΛΗ ΡΑΔΟΥ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9-04T00:00:00"/>
    <x v="1"/>
    <s v="ΔΙΕΥΘΥΝΣΗ Π.Ε. Γ΄ ΑΘΗΝΑΣ"/>
    <n v="64.224999999999994"/>
    <s v="61 - 65"/>
  </r>
  <r>
    <n v="99915213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s v="ΟΧΙ"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8-11T00:00:00"/>
    <x v="0"/>
    <s v="ΔΙΕΥΘΥΝΣΗ Δ.Ε. Β΄ ΑΘΗΝΑΣ"/>
    <n v="64.291666666666671"/>
    <s v="61 - 65"/>
  </r>
  <r>
    <n v="99915214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7-28T00:00:00"/>
    <x v="0"/>
    <s v="ΔΙΕΥΘΥΝΣΗ Δ.Ε. Β΄ ΑΘΗΝΑΣ"/>
    <n v="64.330555555555549"/>
    <s v="61 - 65"/>
  </r>
  <r>
    <n v="99915215"/>
    <s v="Θ"/>
    <x v="3"/>
    <x v="3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5-04-30T00:00:00"/>
    <x v="0"/>
    <s v="ΔΙΕΥΘΥΝΣΗ Δ.Ε. Β΄ ΑΘΗΝΑΣ"/>
    <n v="64.577777777777783"/>
    <s v="61 - 65"/>
  </r>
  <r>
    <n v="99915216"/>
    <s v="Α"/>
    <x v="5"/>
    <x v="5"/>
    <m/>
    <m/>
    <s v="Γ΄"/>
    <n v="1"/>
    <s v="4479/1-9-2016"/>
    <d v="2018-09-01T00:00:00"/>
    <s v="ΑΡΓΟΛΙΔΑΣ (Δ.Ε.) 2018"/>
    <s v="ΔΙΕΥΘΥΝΣΗ Δ.Ε. ΑΡΓΟΛΙΔΑΣ"/>
    <s v="ΠΕΡΙΦΕΡΕΙΑΚΗ Δ/ΝΣΗ Α/ΘΜΙΑΣ ΚΑΙ Β/ΘΜΙΑΣ ΕΚΠ/ΣΗΣ ΠΕΛΟΠΟΝΝΗΣΟΥ"/>
    <n v="14"/>
    <s v="ΟΧΙ"/>
    <m/>
    <m/>
    <m/>
    <s v="ΟΧΙ"/>
    <m/>
    <d v="2018-09-01T00:00:00"/>
    <s v="Ιδιωτικά Σχολεία"/>
    <x v="3"/>
    <s v="0280020"/>
    <s v="ΙΔΙΩΤΙΚΟ ΗΜΕΡΗΣΙΟ ΓΕΝΙΚΟ ΛΥΚΕΙΟ &quot;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d v="1955-04-08T00:00:00"/>
    <x v="0"/>
    <s v="ΔΙΕΥΘΥΝΣΗ Δ.Ε. ΑΡΓΟΛΙΔΑΣ"/>
    <n v="64.638888888888886"/>
    <s v="61 - 65"/>
  </r>
  <r>
    <n v="99915217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d v="2018-09-01T00:00:00"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5-04-02T00:00:00"/>
    <x v="0"/>
    <s v="ΔΙΕΥΘΥΝΣΗ Δ.Ε. Β΄ ΑΘΗΝΑΣ"/>
    <n v="64.655555555555551"/>
    <s v="61 - 65"/>
  </r>
  <r>
    <n v="99915218"/>
    <s v="Α"/>
    <x v="19"/>
    <x v="1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3-28T00:00:00"/>
    <x v="0"/>
    <s v="ΔΙΕΥΘΥΝΣΗ Δ.Ε. Γ΄ ΑΘΗΝΑΣ"/>
    <n v="64.669444444444451"/>
    <s v="61 - 65"/>
  </r>
  <r>
    <n v="99915219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5-03-23T00:00:00"/>
    <x v="0"/>
    <s v="ΔΙΕΥΘΥΝΣΗ Δ.Ε. ΑΝΑΤ. ΘΕΣ/ΝΙΚΗΣ"/>
    <n v="64.683333333333337"/>
    <s v="61 - 65"/>
  </r>
  <r>
    <n v="99915220"/>
    <s v="Α"/>
    <x v="19"/>
    <x v="19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7"/>
    <s v="ΟΧΙ"/>
    <s v="ΟΧΙ"/>
    <s v="ΟΧΙ"/>
    <s v="ΟΧΙ"/>
    <s v="ΟΧΙ"/>
    <m/>
    <m/>
    <s v="Ιδιωτικά Σχολεία"/>
    <x v="0"/>
    <s v="0591908"/>
    <s v="ΙΔΙΩΤΙΚΟ ΓΥΜΝΑΣΙΟ ΕΛΛΗΝΟΓΑΛΛΙΚΗΣ ΣΧΟΛΗΣ &quot;JEANNE D'ARC&quot;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2-16T00:00:00"/>
    <x v="0"/>
    <s v="ΔΙΕΥΘΥΝΣΗ Δ.Ε. ΠΕΙΡΑΙΑ"/>
    <n v="64.780555555555551"/>
    <s v="61 - 65"/>
  </r>
  <r>
    <n v="99915221"/>
    <s v="Θ"/>
    <x v="0"/>
    <x v="0"/>
    <m/>
    <m/>
    <s v="Γ΄"/>
    <n v="17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1"/>
    <s v="7052006"/>
    <s v="ΙΔΙΩΤΙΚΟ ΔΗΜΟΤΙΚΟ ΠΑΛΑΙΟ ΨΥΧΙΚΟ - Γ ΑΡΣΑΚΕΙΟ ΔΗΜΟΤΙΚΟ ΣΧΟΛΕΙΟ ΨΥΧΙΚ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2-11T00:00:00"/>
    <x v="1"/>
    <s v="ΔΙΕΥΘΥΝΣΗ Π.Ε. Β΄ ΑΘΗΝΑΣ"/>
    <n v="64.794444444444451"/>
    <s v="61 - 65"/>
  </r>
  <r>
    <n v="99915222"/>
    <s v="Θ"/>
    <x v="6"/>
    <x v="6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5-02-08T00:00:00"/>
    <x v="0"/>
    <s v="ΔΙΕΥΘΥΝΣΗ Δ.Ε. ΑΝΑΤΟΛΙΚΗΣ ΑΤΤΙΚΗΣ"/>
    <n v="64.802777777777777"/>
    <s v="61 - 65"/>
  </r>
  <r>
    <n v="99915223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0"/>
    <s v="0560019"/>
    <s v="ΙΔΙΩΤΙΚΟ ΓΥΜΝΑΣΙΟ - ΠΡΟΤΥΠΟ ΕΚΠΑΙΔΕΥΤΗΡΙΟ ΑΘΗΝΩΝ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2-05T00:00:00"/>
    <x v="0"/>
    <s v="ΔΙΕΥΘΥΝΣΗ Δ.Ε. ΑΝΑΤΟΛΙΚΗΣ ΑΤΤΙΚΗΣ"/>
    <n v="64.811111111111117"/>
    <s v="61 - 65"/>
  </r>
  <r>
    <n v="99915224"/>
    <s v="Α"/>
    <x v="5"/>
    <x v="5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0"/>
    <s v="ΟΧΙ"/>
    <s v="ΟΧΙ"/>
    <s v="ΟΧΙ"/>
    <m/>
    <s v="ΟΧΙ"/>
    <m/>
    <m/>
    <s v="Ιδιωτικά Σχολεία"/>
    <x v="3"/>
    <s v="2061001"/>
    <s v="ΔΩΔΩΝΑΙΑ ΕΚΠΑΙΔΕΥΤΗΡΙΑ - ΙΔΙΩΤΙΚΟ ΗΜΕΡΗΣΙΟ ΛΥΚΕΙΟ ΙΩΑΝΝΙΝΩΝ"/>
    <s v="ΙΩΑΝΝΙΝΩΝ (Δ.Ε.) 2018"/>
    <x v="17"/>
    <s v="ΠΕΡΙΦΕΡΕΙΑΚΗ Δ/ΝΣΗ Α/ΘΜΙΑΣ ΚΑΙ Β/ΘΜΙΑΣ ΕΚΠ/ΣΗΣ ΗΠΕΙΡΟΥ"/>
    <s v="Ιδιωτικού Δικαίου Αορίστου Χρόνου (Ι.Δ.Α.Χ.)"/>
    <s v="Τοποθέτηση σε Ιδιωτική Εκπαίδευση"/>
    <d v="1955-02-04T00:00:00"/>
    <x v="0"/>
    <s v="ΔΙΕΥΘΥΝΣΗ Δ.Ε. ΙΩΑΝΝΙΝΩΝ"/>
    <n v="64.813888888888883"/>
    <s v="61 - 65"/>
  </r>
  <r>
    <n v="99915225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81200"/>
    <s v="ΙΔΙΩΤΙΚΟ ΓΥΜΝΑΣΙΟ &quot;ΣΧΟΛΗ ΜΩΡΑΪΤΗ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1-02T00:00:00"/>
    <x v="0"/>
    <s v="ΔΙΕΥΘΥΝΣΗ Δ.Ε. Β΄ ΑΘΗΝΑΣ"/>
    <n v="64.905555555555551"/>
    <s v="61 - 65"/>
  </r>
  <r>
    <n v="99915226"/>
    <s v="Α"/>
    <x v="5"/>
    <x v="5"/>
    <m/>
    <m/>
    <s v="Α΄"/>
    <n v="8"/>
    <m/>
    <m/>
    <s v="Δ΄ ΑΘΗΝΑΣ (Δ.Ε.) 2018"/>
    <s v="ΔΙΕΥΘΥΝΣΗ Δ.Ε. Δ΄ ΑΘΗΝΑΣ"/>
    <s v="ΠΕΡΙΦΕΡΕΙΑΚΗ Δ/ΝΣΗ Α/ΘΜΙΑΣ ΚΑΙ Β/ΘΜΙΑΣ ΕΚΠ/ΣΗΣ ΑΤΤΙΚΗΣ"/>
    <n v="20"/>
    <s v="ΟΧΙ"/>
    <s v="ΟΧΙ"/>
    <s v="ΟΧΙ"/>
    <s v="ΟΧΙ"/>
    <s v="ΟΧΙ"/>
    <m/>
    <m/>
    <s v="Ιδιωτικά Σχολεία"/>
    <x v="0"/>
    <s v="0561021"/>
    <s v="Ιδιωτικό Γυμνάσιο  ΝΕΑ ΕΚΠΑΙΔΕΥΤΗΡΙΑ Γ.ΜΑΛΛΙΑΡΑΣ Α.Ε.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5-01-01T00:00:00"/>
    <x v="0"/>
    <s v="ΔΙΕΥΘΥΝΣΗ Δ.Ε. Δ΄ ΑΘΗΝΑΣ"/>
    <n v="64.908333333333331"/>
    <s v="61 - 65"/>
  </r>
  <r>
    <n v="99915227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4-11-29T00:00:00"/>
    <x v="0"/>
    <s v="ΔΙΕΥΘΥΝΣΗ Δ.Ε. Β΄ ΑΘΗΝΑΣ"/>
    <n v="65"/>
    <s v="61 - 65"/>
  </r>
  <r>
    <n v="99915228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11-17T00:00:00"/>
    <x v="0"/>
    <s v="ΔΙΕΥΘΥΝΣΗ Δ.Ε. Β΄ ΑΘΗΝΑΣ"/>
    <n v="65.033333333333331"/>
    <s v="61 - 65"/>
  </r>
  <r>
    <n v="99915229"/>
    <s v="Α"/>
    <x v="26"/>
    <x v="2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5"/>
    <s v="ΟΧΙ"/>
    <s v="ΟΧΙ"/>
    <s v="ΟΧΙ"/>
    <s v="ΟΧΙ"/>
    <s v="ΟΧΙ"/>
    <m/>
    <m/>
    <s v="Ιδιωτικά Σχολεία"/>
    <x v="0"/>
    <s v="0580552"/>
    <s v="ΘΕΜΙΣΤΟΚΛΗΣ» - ΙΔΙΩΤΙΚΟ ΓΥΜΝΑΣΙΟ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10-05T00:00:00"/>
    <x v="0"/>
    <s v="ΔΙΕΥΘΥΝΣΗ Δ.Ε. ΠΕΙΡΑΙΑ"/>
    <n v="65.152777777777771"/>
    <s v="61 - 65"/>
  </r>
  <r>
    <n v="99915230"/>
    <s v="Α"/>
    <x v="5"/>
    <x v="5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4-09-22T00:00:00"/>
    <x v="0"/>
    <s v="ΔΙΕΥΘΥΝΣΗ Δ.Ε. ΑΝΑΤ. ΘΕΣ/ΝΙΚΗΣ"/>
    <n v="65.188888888888883"/>
    <s v="61 - 65"/>
  </r>
  <r>
    <n v="99915231"/>
    <s v="Α"/>
    <x v="5"/>
    <x v="5"/>
    <m/>
    <m/>
    <s v="Γ΄"/>
    <n v="1"/>
    <n v="18255"/>
    <d v="2018-09-01T00:00:00"/>
    <s v="Β΄ ΑΘΗΝΑΣ (Δ.Ε.) 2018"/>
    <s v="ΔΙΕΥΘΥΝΣΗ Δ.Ε. Β΄ ΑΘΗΝΑΣ"/>
    <s v="ΠΕΡΙΦΕΡΕΙΑΚΗ Δ/ΝΣΗ Α/ΘΜΙΑΣ ΚΑΙ Β/ΘΜΙΑΣ ΕΚΠ/ΣΗΣ ΑΤΤΙΚΗΣ"/>
    <n v="8"/>
    <s v="ΟΧΙ"/>
    <s v="ΟΧΙ"/>
    <s v="ΟΧΙ"/>
    <s v="ΟΧΙ"/>
    <s v="ΟΧΙ"/>
    <m/>
    <d v="2018-09-01T00:00:00"/>
    <s v="Ιδιωτικά Σχολεία"/>
    <x v="3"/>
    <s v="0580345"/>
    <s v="ΙΔΙΩΤΙΚΟ ΓΕΝΙΚΟ ΛΥΚΕΙΟ ΕΚΠΑΙΔΕΥΤΗΡΙΑ ΚΑΝΤ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08-05T00:00:00"/>
    <x v="0"/>
    <s v="ΔΙΕΥΘΥΝΣΗ Δ.Ε. Β΄ ΑΘΗΝΑΣ"/>
    <n v="65.322222222222223"/>
    <s v="61 - 65"/>
  </r>
  <r>
    <n v="99915232"/>
    <s v="Α"/>
    <x v="16"/>
    <x v="16"/>
    <m/>
    <m/>
    <s v="Γ΄"/>
    <n v="1"/>
    <n v="23977"/>
    <d v="2018-12-05T00:00:00"/>
    <s v="Γ΄ ΑΘΗΝΑΣ (Δ.Ε.) 2018"/>
    <s v="ΔΙΕΥΘΥΝΣΗ Δ.Ε. Γ΄ ΑΘΗΝΑΣ"/>
    <s v="ΠΕΡΙΦΕΡΕΙΑΚΗ Δ/ΝΣΗ Α/ΘΜΙΑΣ ΚΑΙ Β/ΘΜΙΑΣ ΕΚΠ/ΣΗΣ ΑΤΤΙΚΗΣ"/>
    <n v="3"/>
    <s v="ΟΧΙ"/>
    <s v="ΟΧΙ"/>
    <s v="ΟΧΙ"/>
    <s v="ΟΧΙ"/>
    <s v="ΟΧΙ"/>
    <m/>
    <d v="2018-12-05T00:00:00"/>
    <s v="Ιδιωτικά Σχολεία"/>
    <x v="0"/>
    <s v="0560013"/>
    <s v="ΙΔΙΩΤΙΚΟ ΗΜΕΡΗΣΙΟ ΓΥΜΝΑΣΙΟ Ι. ΤΣΙΑΜΟΥΛΗ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54-07-18T00:00:00"/>
    <x v="0"/>
    <s v="ΔΙΕΥΘΥΝΣΗ Δ.Ε. Γ΄ ΑΘΗΝΑΣ"/>
    <n v="65.37222222222222"/>
    <s v="61 - 65"/>
  </r>
  <r>
    <n v="99915233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s v="ΟΧΙ"/>
    <s v="ΟΧΙ"/>
    <s v="ΟΧΙ"/>
    <m/>
    <s v="ΟΧΙ"/>
    <m/>
    <m/>
    <s v="Ιδιωτικά Σχολεία"/>
    <x v="0"/>
    <s v="1981914"/>
    <s v="ΕΛΛΗΝΟΓΑΛΛΙΚΗ ΣΧΟΛΗ ΚΑΛΑΜΑΡΙ - ΙΔΙΩΤΙΚΟ ΓΥΜΝΑΣ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4-06-24T00:00:00"/>
    <x v="0"/>
    <s v="ΔΙΕΥΘΥΝΣΗ Δ.Ε. ΑΝΑΤ. ΘΕΣ/ΝΙΚΗΣ"/>
    <n v="65.438888888888883"/>
    <s v="61 - 65"/>
  </r>
  <r>
    <n v="99915234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09999"/>
    <s v="ΙΔΙΩΤΙΚΟ ΓΥΜΝΑΣΙΟ ΗΡΑΚΛΕΙΟΥ - Η ΕΛΛΗΝΙΚΗ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06-07T00:00:00"/>
    <x v="0"/>
    <s v="ΔΙΕΥΘΥΝΣΗ Δ.Ε. Β΄ ΑΘΗΝΑΣ"/>
    <n v="65.486111111111114"/>
    <s v="61 - 65"/>
  </r>
  <r>
    <n v="99915235"/>
    <s v="Θ"/>
    <x v="2"/>
    <x v="2"/>
    <m/>
    <m/>
    <s v="Γ΄"/>
    <n v="1"/>
    <s v="Φ7/2/37149"/>
    <d v="2018-09-01T00:00:00"/>
    <s v="ΤΡΙΚΑΛΩΝ (Π.Ε.) 2018"/>
    <s v="ΔΙΕΥΘΥΝΣΗ Π.Ε. ΤΡΙΚΑΛΩΝ"/>
    <s v="ΠΕΡΙΦΕΡΕΙΑΚΗ Δ/ΝΣΗ Α/ΘΜΙΑΣ ΚΑΙ Β/ΘΜΙΑΣ ΕΚΠ/ΣΗΣ ΘΕΣΣΑΛΙΑΣ"/>
    <n v="25"/>
    <s v="ΟΧΙ"/>
    <m/>
    <m/>
    <m/>
    <s v="ΟΧΙ"/>
    <m/>
    <d v="2018-09-01T00:00:00"/>
    <s v="Ιδιωτικά Σχολεία"/>
    <x v="2"/>
    <s v="7451005"/>
    <s v="ΙΔΙΩΤΙΚΟ ΝΗΠΙΑΓΩΓΕΙΟ ΤΡΙΚΑΛΑ - Φ. ΣΑΚΚΑ ΦΩΤΕΙΝΗ ΣΙΑ Ο.Ε."/>
    <s v="ΤΡΙΚΑΛΩΝ (Π.Ε.) 2018"/>
    <x v="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4-04-23T00:00:00"/>
    <x v="1"/>
    <s v="ΔΙΕΥΘΥΝΣΗ Π.Ε. ΤΡΙΚΑΛΩΝ"/>
    <n v="65.611111111111114"/>
    <s v="66+"/>
  </r>
  <r>
    <n v="99915236"/>
    <s v="Α"/>
    <x v="6"/>
    <x v="6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04-15T00:00:00"/>
    <x v="0"/>
    <s v="ΔΙΕΥΘΥΝΣΗ Δ.Ε. Δ΄ ΑΘΗΝΑΣ"/>
    <n v="65.63333333333334"/>
    <s v="66+"/>
  </r>
  <r>
    <n v="99915237"/>
    <s v="Α"/>
    <x v="9"/>
    <x v="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4-01-29T00:00:00"/>
    <x v="0"/>
    <s v="ΔΙΕΥΘΥΝΣΗ Δ.Ε. Β΄ ΑΘΗΝΑΣ"/>
    <n v="65.844444444444449"/>
    <s v="66+"/>
  </r>
  <r>
    <n v="99915238"/>
    <s v="Α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01-28T00:00:00"/>
    <x v="1"/>
    <s v="ΔΙΕΥΘΥΝΣΗ Π.Ε. Α΄ ΑΘΗΝΑΣ"/>
    <n v="65.847222222222229"/>
    <s v="66+"/>
  </r>
  <r>
    <n v="99915239"/>
    <s v="Α"/>
    <x v="5"/>
    <x v="5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9"/>
    <s v="ΙΔΙΩΤΙΚΟ ΓΕΛ ΠΕΙΡΑΙΑ - Ο ΑΓΙΟΣ ΠΑΥΛΟΣ"/>
    <s v="Α΄ ΠΕΙΡΑΙΑ (Δ.Ε.) 2018"/>
    <x v="4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01-21T00:00:00"/>
    <x v="0"/>
    <s v="ΔΙΕΥΘΥΝΣΗ Δ.Ε. ΠΕΙΡΑΙΑ"/>
    <n v="65.86666666666666"/>
    <s v="66+"/>
  </r>
  <r>
    <n v="99915240"/>
    <s v="Θ"/>
    <x v="6"/>
    <x v="6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3"/>
    <s v="0590908"/>
    <s v="ΙΔΙΩΤΙΚΟ ΗΜΕΡΗΣΙΟ ΛΥΚΕΙΟ ΕΛΛΗΝΟΓΑΛΛΙΚΗΣ ΣΧΟΛΗΣ &quot;JEANNE D' ARC&quot;"/>
    <s v="Α΄ ΠΕΙΡΑΙΑ (Δ.Ε.) 2018"/>
    <x v="4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954-01-05T00:00:00"/>
    <x v="0"/>
    <s v="ΔΙΕΥΘΥΝΣΗ Δ.Ε. ΠΕΙΡΑΙΑ"/>
    <n v="65.911111111111111"/>
    <s v="66+"/>
  </r>
  <r>
    <n v="99915241"/>
    <s v="Θ"/>
    <x v="1"/>
    <x v="1"/>
    <m/>
    <m/>
    <s v="Γ΄"/>
    <n v="1"/>
    <n v="117602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4-01-01T00:00:00"/>
    <x v="1"/>
    <s v="ΔΙΕΥΘΥΝΣΗ Π.Ε. Δ΄ ΑΘΗΝΑΣ"/>
    <n v="65.922222222222217"/>
    <s v="66+"/>
  </r>
  <r>
    <n v="99915242"/>
    <s v="Α"/>
    <x v="1"/>
    <x v="1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053000"/>
    <s v="ΙΔΙΩΤΙΚΟ ΔΗΜΟΤΙΚΟ ΑΦΟΙ Ι.ΔΙΑΜΑΝΤΟΠΟΥΛΟΥ Ο.Ε.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12-12T00:00:00"/>
    <x v="1"/>
    <s v="ΔΙΕΥΘΥΝΣΗ Π.Ε. Γ΄ ΑΘΗΝΑΣ"/>
    <n v="65.977777777777774"/>
    <s v="66+"/>
  </r>
  <r>
    <n v="99915243"/>
    <s v="Θ"/>
    <x v="1"/>
    <x v="1"/>
    <m/>
    <m/>
    <s v="Α΄"/>
    <n v="7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s v="ΟΧΙ"/>
    <s v="ΟΧΙ"/>
    <s v="ΟΧΙ"/>
    <s v="ΟΧΙ"/>
    <s v="ΟΧΙ"/>
    <m/>
    <d v="2018-09-01T00:00:00"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10-23T00:00:00"/>
    <x v="1"/>
    <s v="ΔΙΕΥΘΥΝΣΗ Π.Ε. Δ΄ ΑΘΗΝΑΣ"/>
    <n v="66.11666666666666"/>
    <s v="66+"/>
  </r>
  <r>
    <n v="99915244"/>
    <s v="Α"/>
    <x v="19"/>
    <x v="19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3-10-05T00:00:00"/>
    <x v="0"/>
    <s v="ΔΙΕΥΘΥΝΣΗ Δ.Ε. ΑΝΑΤΟΛΙΚΗΣ ΑΤΤΙΚΗΣ"/>
    <n v="66.166666666666671"/>
    <s v="66+"/>
  </r>
  <r>
    <n v="99915245"/>
    <s v="Α"/>
    <x v="19"/>
    <x v="19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s v="ΟΧΙ"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9-30T00:00:00"/>
    <x v="0"/>
    <s v="ΔΙΕΥΘΥΝΣΗ Δ.Ε. ΑΝΑΤΟΛΙΚΗΣ ΑΤΤΙΚΗΣ"/>
    <n v="66.180555555555557"/>
    <s v="66+"/>
  </r>
  <r>
    <n v="99915246"/>
    <s v="Α"/>
    <x v="11"/>
    <x v="11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7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9-18T00:00:00"/>
    <x v="0"/>
    <s v="ΔΙΕΥΘΥΝΣΗ Δ.Ε. ΑΝΑΤΟΛΙΚΗΣ ΑΤΤΙΚΗΣ"/>
    <n v="66.213888888888889"/>
    <s v="66+"/>
  </r>
  <r>
    <n v="99915247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8-23T00:00:00"/>
    <x v="0"/>
    <s v="ΔΙΕΥΘΥΝΣΗ Δ.Ε. Β΄ ΑΘΗΝΑΣ"/>
    <n v="66.286111111111111"/>
    <s v="66+"/>
  </r>
  <r>
    <n v="99915248"/>
    <s v="Α"/>
    <x v="5"/>
    <x v="5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s v="ΟΧΙ"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8-13T00:00:00"/>
    <x v="0"/>
    <s v="ΔΙΕΥΘΥΝΣΗ Δ.Ε. ΑΝΑΤΟΛΙΚΗΣ ΑΤΤΙΚΗΣ"/>
    <n v="66.313888888888883"/>
    <s v="66+"/>
  </r>
  <r>
    <n v="99915249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3"/>
    <s v="0561007"/>
    <s v="ΙΔ. ΛΥΚΕΙΟ - ΔΙΕΘΝΕΣ ΚΕΝΤΡΟ ΣΠΟΥΔΩΝ ΣΧΟΛΗΣ ΜΩΡΑΪΤ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7-05T00:00:00"/>
    <x v="0"/>
    <s v="ΔΙΕΥΘΥΝΣΗ Δ.Ε. Β΄ ΑΘΗΝΑΣ"/>
    <n v="66.422222222222217"/>
    <s v="66+"/>
  </r>
  <r>
    <n v="99915250"/>
    <s v="Α"/>
    <x v="7"/>
    <x v="7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3-06-07T00:00:00"/>
    <x v="0"/>
    <s v="ΔΙΕΥΘΥΝΣΗ Δ.Ε. ΑΝΑΤ. ΘΕΣ/ΝΙΚΗΣ"/>
    <n v="66.5"/>
    <s v="66+"/>
  </r>
  <r>
    <n v="99915251"/>
    <s v="Α"/>
    <x v="5"/>
    <x v="5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0"/>
    <s v="ΟΧΙ"/>
    <s v="ΟΧΙ"/>
    <s v="ΟΧΙ"/>
    <m/>
    <s v="ΟΧΙ"/>
    <m/>
    <m/>
    <s v="Ιδιωτικά Σχολεία"/>
    <x v="3"/>
    <s v="4580015"/>
    <s v="ΙΔΙΩΤΙΚΟ ΗΜΕΡΗΣΙΟ ΛΥΚΕ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953-05-01T00:00:00"/>
    <x v="0"/>
    <s v="ΔΙΕΥΘΥΝΣΗ Δ.Ε. ΤΡΙΚΑΛΩΝ"/>
    <n v="66.602777777777774"/>
    <s v="66+"/>
  </r>
  <r>
    <n v="99915252"/>
    <s v="Α"/>
    <x v="11"/>
    <x v="11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m/>
    <s v="ΟΧΙ"/>
    <m/>
    <m/>
    <s v="Ιδιωτικά Σχολεία"/>
    <x v="3"/>
    <s v="1990914"/>
    <s v="ΕΛΛΗΝΟΓΑΛΛΙΚΗ ΣΧΟΛΗ ΚΑΛΑΜΑΡΙ - ΙΔΙΩΤΙΚΟ ΓΕΝΙΚΟ ΛΥΚΕΙΟ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3-03-16T00:00:00"/>
    <x v="0"/>
    <s v="ΔΙΕΥΘΥΝΣΗ Δ.Ε. ΑΝΑΤ. ΘΕΣ/ΝΙΚΗΣ"/>
    <n v="66.730555555555554"/>
    <s v="66+"/>
  </r>
  <r>
    <n v="99915253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2-11T00:00:00"/>
    <x v="0"/>
    <s v="ΔΙΕΥΘΥΝΣΗ Δ.Ε. Β΄ ΑΘΗΝΑΣ"/>
    <n v="66.822222222222223"/>
    <s v="66+"/>
  </r>
  <r>
    <n v="99915254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052000"/>
    <s v="ΙΔΙΩΤΙΚΟ ΔΗΜΟΤΙΚΟ ΣΧΟΛΕΙΟ-ΕΚΠΑΙΔΕΥΤΗΡΙΑ &quot;ΔΙΟΝΥΣΙΟΣ ΣΟΛΩΜΟΣ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2-02T00:00:00"/>
    <x v="1"/>
    <s v="ΔΙΕΥΘΥΝΣΗ Π.Ε. Β΄ ΑΘΗΝΑΣ"/>
    <n v="66.847222222222229"/>
    <s v="66+"/>
  </r>
  <r>
    <n v="99915255"/>
    <s v="Α"/>
    <x v="1"/>
    <x v="1"/>
    <m/>
    <m/>
    <s v="Α΄"/>
    <n v="19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s v="ΟΧΙ"/>
    <s v="ΟΧΙ"/>
    <s v="ΟΧΙ"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1-26T00:00:00"/>
    <x v="1"/>
    <s v="ΔΙΕΥΘΥΝΣΗ Π.Ε. Δ΄ ΑΘΗΝΑΣ"/>
    <n v="66.86666666666666"/>
    <s v="66+"/>
  </r>
  <r>
    <n v="99915256"/>
    <s v="Θ"/>
    <x v="6"/>
    <x v="6"/>
    <m/>
    <m/>
    <s v="Α΄"/>
    <n v="17"/>
    <m/>
    <m/>
    <s v="Δ΄ ΑΘΗΝΑΣ (Δ.Ε.) 2018"/>
    <s v="ΔΙΕΥΘΥΝΣΗ Δ.Ε. Δ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90906"/>
    <s v="ΙΔΙΩΤΙΚΟ ΓΕΝΙΚΟ ΛΥΚΕ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1-25T00:00:00"/>
    <x v="0"/>
    <s v="ΔΙΕΥΘΥΝΣΗ Δ.Ε. Δ΄ ΑΘΗΝΑΣ"/>
    <n v="66.86944444444444"/>
    <s v="66+"/>
  </r>
  <r>
    <n v="99915257"/>
    <s v="Α"/>
    <x v="1"/>
    <x v="1"/>
    <m/>
    <m/>
    <s v="Γ΄"/>
    <n v="1"/>
    <n v="136806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22"/>
    <s v="ΙΔΙΩΤΙΚΟ ΔΗΜΟΤΙΚΟ Ν. ΣΜΥΡΝΗ - ΛΕΟΝΤΕΙΟ ΛΥΚΕΙΟ Ν. ΣΜΥΡΝΗΣ - ΧΡΥΣΟΣΤΟΜΟΣ ΣΜΥΡΝΗΣ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3-01-01T00:00:00"/>
    <x v="1"/>
    <s v="ΔΙΕΥΘΥΝΣΗ Π.Ε. Δ΄ ΑΘΗΝΑΣ"/>
    <n v="66.936111111111117"/>
    <s v="66+"/>
  </r>
  <r>
    <n v="99915258"/>
    <s v="Α"/>
    <x v="5"/>
    <x v="5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55"/>
    <s v="ΑΡΣΑΚΕΙΟ ΓΕΝΙΚΟ ΛΥΚΕΙΟ ΘΕΣΣΑΛΟΝΙΚΗΣ ΤΗΣ Φ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53-01-01T00:00:00"/>
    <x v="0"/>
    <s v="ΔΙΕΥΘΥΝΣΗ Δ.Ε. ΑΝΑΤ. ΘΕΣ/ΝΙΚΗΣ"/>
    <n v="66.936111111111117"/>
    <s v="66+"/>
  </r>
  <r>
    <n v="99915259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2-12-25T00:00:00"/>
    <x v="1"/>
    <s v="ΔΙΕΥΘΥΝΣΗ Π.Ε. Α΄ ΑΘΗΝΑΣ"/>
    <n v="66.955555555555549"/>
    <s v="66+"/>
  </r>
  <r>
    <n v="99915260"/>
    <s v="Α"/>
    <x v="5"/>
    <x v="5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s v="ΟΧΙ"/>
    <s v="ΟΧΙ"/>
    <s v="ΟΧΙ"/>
    <s v="ΟΧΙ"/>
    <s v="ΟΧΙ"/>
    <m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d v="1952-11-23T00:00:00"/>
    <x v="0"/>
    <s v="ΔΙΕΥΘΥΝΣΗ Δ.Ε. ΑΝΑΤ. ΘΕΣ/ΝΙΚΗΣ"/>
    <n v="67.044444444444451"/>
    <s v="66+"/>
  </r>
  <r>
    <n v="99915261"/>
    <s v="Θ"/>
    <x v="6"/>
    <x v="6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2-11-22T00:00:00"/>
    <x v="0"/>
    <s v="ΔΙΕΥΘΥΝΣΗ Δ.Ε. ΑΝΑΤΟΛΙΚΗΣ ΑΤΤΙΚΗΣ"/>
    <n v="67.047222222222217"/>
    <s v="66+"/>
  </r>
  <r>
    <n v="99915262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30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2-11-14T00:00:00"/>
    <x v="0"/>
    <s v="ΔΙΕΥΘΥΝΣΗ Δ.Ε. Β΄ ΑΘΗΝΑΣ"/>
    <n v="67.069444444444443"/>
    <s v="66+"/>
  </r>
  <r>
    <n v="99915263"/>
    <s v="Θ"/>
    <x v="10"/>
    <x v="1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0"/>
    <s v="0581202"/>
    <s v="Α΄ ΑΡΣΑΚΕΙΟ ΓΥΜΝΑΣΙΟ ΨΥΧΙΚΟΥ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2-11-05T00:00:00"/>
    <x v="0"/>
    <s v="ΔΙΕΥΘΥΝΣΗ Δ.Ε. Β΄ ΑΘΗΝΑΣ"/>
    <n v="67.094444444444449"/>
    <s v="66+"/>
  </r>
  <r>
    <n v="99915264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s v="ΟΧΙ"/>
    <s v="ΟΧΙ"/>
    <m/>
    <m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2-06-05T00:00:00"/>
    <x v="0"/>
    <s v="ΔΙΕΥΘΥΝΣΗ Δ.Ε. Β΄ ΑΘΗΝΑΣ"/>
    <n v="67.519444444444446"/>
    <s v="66+"/>
  </r>
  <r>
    <n v="99915265"/>
    <s v="Α"/>
    <x v="16"/>
    <x v="1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5"/>
    <s v="ΟΧΙ"/>
    <s v="ΟΧΙ"/>
    <s v="ΟΧΙ"/>
    <s v="ΟΧΙ"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2-01-16T00:00:00"/>
    <x v="0"/>
    <s v="ΔΙΕΥΘΥΝΣΗ Δ.Ε. Γ΄ ΑΘΗΝΑΣ"/>
    <n v="67.911111111111111"/>
    <s v="66+"/>
  </r>
  <r>
    <n v="99915266"/>
    <s v="Θ"/>
    <x v="0"/>
    <x v="0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3"/>
    <s v="ΟΧΙ"/>
    <s v="ΟΧΙ"/>
    <s v="ΟΧΙ"/>
    <m/>
    <s v="ΟΧΙ"/>
    <m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1-10-19T00:00:00"/>
    <x v="0"/>
    <s v="ΔΙΕΥΘΥΝΣΗ Δ.Ε. ΑΝΑΤΟΛΙΚΗΣ ΑΤΤΙΚΗΣ"/>
    <n v="68.158333333333331"/>
    <s v="66+"/>
  </r>
  <r>
    <n v="99915267"/>
    <s v="Θ"/>
    <x v="10"/>
    <x v="10"/>
    <m/>
    <m/>
    <s v="Γ΄"/>
    <n v="1"/>
    <n v="3722"/>
    <d v="2018-09-11T00:00:00"/>
    <s v="ΑΡΓΟΛΙΔΑΣ (Δ.Ε.) 2018"/>
    <s v="ΔΙΕΥΘΥΝΣΗ Δ.Ε. ΑΡΓΟΛΙΔΑΣ"/>
    <s v="ΠΕΡΙΦΕΡΕΙΑΚΗ Δ/ΝΣΗ Α/ΘΜΙΑΣ ΚΑΙ Β/ΘΜΙΑΣ ΕΚΠ/ΣΗΣ ΠΕΛΟΠΟΝΝΗΣΟΥ"/>
    <n v="6"/>
    <s v="ΟΧΙ"/>
    <s v="ΟΧΙ"/>
    <s v="ΟΧΙ"/>
    <s v="ΟΧΙ"/>
    <s v="ΟΧΙ"/>
    <m/>
    <d v="2018-09-11T00:00:00"/>
    <s v="Ιδιωτικά Σχολεία"/>
    <x v="0"/>
    <s v="0260002"/>
    <s v="ΙΔΙΩΤΙΚΟ ΓΥΜΝΑΣΙΟ ΑΥΤΕΝΕΡΓΩ"/>
    <s v="ΑΡΓΟΛΙΔΑΣ (Δ.Ε.) 2018"/>
    <x v="61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d v="1951-07-28T00:00:00"/>
    <x v="0"/>
    <s v="ΔΙΕΥΘΥΝΣΗ Δ.Ε. ΑΡΓΟΛΙΔΑΣ"/>
    <n v="68.388888888888886"/>
    <s v="66+"/>
  </r>
  <r>
    <n v="99915268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1-05-20T00:00:00"/>
    <x v="0"/>
    <s v="ΔΙΕΥΘΥΝΣΗ Δ.Ε. Β΄ ΑΘΗΝΑΣ"/>
    <n v="68.580555555555549"/>
    <s v="66+"/>
  </r>
  <r>
    <n v="99915269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s v="ΟΧΙ"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1-05-16T00:00:00"/>
    <x v="0"/>
    <s v="ΔΙΕΥΘΥΝΣΗ Δ.Ε. Β΄ ΑΘΗΝΑΣ"/>
    <n v="68.591666666666669"/>
    <s v="66+"/>
  </r>
  <r>
    <n v="99915270"/>
    <s v="Α"/>
    <x v="1"/>
    <x v="1"/>
    <m/>
    <m/>
    <s v="Α΄"/>
    <n v="19"/>
    <m/>
    <m/>
    <s v="Δ΄ ΑΘΗΝΑΣ (Π.Ε.) 2018"/>
    <s v="ΔΙΕΥΘΥΝΣΗ Π.Ε. Δ΄ ΑΘΗΝΑΣ"/>
    <s v="ΠΕΡΙΦΕΡΕΙΑΚΗ Δ/ΝΣΗ Α/ΘΜΙΑΣ ΚΑΙ Β/ΘΜΙΑΣ ΕΚΠ/ΣΗΣ ΑΤΤΙΚΗΣ"/>
    <n v="12"/>
    <s v="ΟΧΙ"/>
    <s v="ΟΧΙ"/>
    <s v="ΟΧΙ"/>
    <s v="ΟΧΙ"/>
    <s v="ΟΧΙ"/>
    <m/>
    <m/>
    <s v="Ιδιωτικά Σχολεία"/>
    <x v="1"/>
    <s v="7054002"/>
    <s v="ΙΔΙΩΤΙΚΟ ΔΗΜΟΤΙΚΟ ΕΚΠΑΙΔΕΥΤΗΡΙΩΝ ΓΙΑΝΝΟΠΟΥΛΟΥ Α.Ε.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0-11-28T00:00:00"/>
    <x v="1"/>
    <s v="ΔΙΕΥΘΥΝΣΗ Π.Ε. Δ΄ ΑΘΗΝΑΣ"/>
    <n v="69.061111111111117"/>
    <s v="66+"/>
  </r>
  <r>
    <n v="99915271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65"/>
    <s v="ΙΔΙΩΤΙΚΟ ΗΜΕΡΗΣΙΟ ΓΥΜΝΑΣΙΟ ΑΜΑΡΟΥΣΙΟΥ &quot;Η ΕΛΛΗΝΙΚΗ ΠΑΙΔΕΙ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0-11-04T00:00:00"/>
    <x v="0"/>
    <s v="ΔΙΕΥΘΥΝΣΗ Δ.Ε. Β΄ ΑΘΗΝΑΣ"/>
    <n v="69.12777777777778"/>
    <s v="66+"/>
  </r>
  <r>
    <n v="99915272"/>
    <s v="Θ"/>
    <x v="6"/>
    <x v="6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700025"/>
    <s v="ΔΗΜΟΤΙΚΟ ΕΛΛΗΝΟΓΑΛΛΙΚΗΣ ΣΧΟΛΗΣ &quot;JEANNE D' ARC&quot; (ΙΔΙΩΤΙΚΟ)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0-09-08T00:00:00"/>
    <x v="1"/>
    <s v="ΔΙΕΥΘΥΝΣΗ Π.Ε. ΠΕΙΡΑΙΑ"/>
    <n v="69.286111111111111"/>
    <s v="66+"/>
  </r>
  <r>
    <n v="99915273"/>
    <s v="Α"/>
    <x v="5"/>
    <x v="5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5"/>
    <s v="ΟΧΙ"/>
    <s v="ΟΧΙ"/>
    <s v="ΟΧΙ"/>
    <m/>
    <s v="ΟΧΙ"/>
    <m/>
    <m/>
    <s v="Ιδιωτικά Σχολεία"/>
    <x v="3"/>
    <s v="0161002"/>
    <s v="ΙΔΙΩΤΙΚΟ ΓΕΛ &quot;ΠΑΝΑΓΙΑ ΠΡΟΥΣΙΩΤΙΣΣΑ&quot;"/>
    <s v="ΑΙΤΩΛΟΑΚΑΡΝΑΝΙΑΣ (Δ.Ε.) 2018"/>
    <x v="35"/>
    <s v="ΠΕΡΙΦΕΡΕΙΑΚΗ Δ/ΝΣΗ Α/ΘΜΙΑΣ ΚΑΙ Β/ΘΜΙΑΣ ΕΚΠ/ΣΗΣ ΔΥΤΙΚΗΣ ΕΛΛΑΔΑΣ"/>
    <s v="Ιδιωτικού Δικαίου Αορίστου Χρόνου (Ι.Δ.Α.Χ.)"/>
    <s v="Τοποθέτηση σε Ιδιωτική Εκπαίδευση"/>
    <d v="1950-08-27T00:00:00"/>
    <x v="0"/>
    <s v="ΔΙΕΥΘΥΝΣΗ Δ.Ε. ΑΙΤΩΛΟΑΚΑΡΝΑΝΙΑΣ"/>
    <n v="69.319444444444443"/>
    <s v="66+"/>
  </r>
  <r>
    <n v="99915274"/>
    <s v="Θ"/>
    <x v="1"/>
    <x v="1"/>
    <m/>
    <m/>
    <s v="Γ΄"/>
    <n v="1"/>
    <n v="117773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08"/>
    <s v="ΙΔΙΩΤΙΚΟ ΔΗΜΟΤΙΚΟ - ΣΧΟΛΕΙΟ ΣΤΑΥΡΑΚΗ 2+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0-08-25T00:00:00"/>
    <x v="1"/>
    <s v="ΔΙΕΥΘΥΝΣΗ Π.Ε. Δ΄ ΑΘΗΝΑΣ"/>
    <n v="69.325000000000003"/>
    <s v="66+"/>
  </r>
  <r>
    <n v="99915275"/>
    <s v="Α"/>
    <x v="26"/>
    <x v="26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0-08-19T00:00:00"/>
    <x v="0"/>
    <s v="ΔΙΕΥΘΥΝΣΗ Δ.Ε. Β΄ ΑΘΗΝΑΣ"/>
    <n v="69.341666666666669"/>
    <s v="66+"/>
  </r>
  <r>
    <n v="99915276"/>
    <s v="Θ"/>
    <x v="15"/>
    <x v="15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s v="ΟΧΙ"/>
    <s v="ΟΧΙ"/>
    <m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50-06-17T00:00:00"/>
    <x v="0"/>
    <s v="ΔΙΕΥΘΥΝΣΗ Δ.Ε. ΑΝΑΤΟΛΙΚΗΣ ΑΤΤΙΚΗΣ"/>
    <n v="69.516666666666666"/>
    <s v="66+"/>
  </r>
  <r>
    <n v="99915277"/>
    <s v="Α"/>
    <x v="19"/>
    <x v="19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50-03-21T00:00:00"/>
    <x v="0"/>
    <s v="ΔΙΕΥΘΥΝΣΗ Δ.Ε. Β΄ ΑΘΗΝΑΣ"/>
    <n v="69.761111111111106"/>
    <s v="66+"/>
  </r>
  <r>
    <n v="99915278"/>
    <s v="Α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s v="ΟΧΙ"/>
    <s v="ΟΧΙ"/>
    <s v="ΟΧΙ"/>
    <s v="ΟΧΙ"/>
    <s v="ΟΧΙ"/>
    <m/>
    <m/>
    <s v="Ιδιωτικά Σχολεία"/>
    <x v="3"/>
    <s v="1990911"/>
    <s v="1ο ΙΔΙΩΤΙΚΟ ΗΜΕΡΗΣΙΟ ΛΥΚΕΙΟ ΘΕΣΣΑΛΟΝΙΚΗΣ - ΑΝΑΤΟΛΙΑ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 με Οργανική σε Ισότιμο προς τα Δημόσια Σχολείο"/>
    <s v="Τοποθέτηση σε Ιδιωτική Εκπαίδευση"/>
    <d v="1949-09-28T00:00:00"/>
    <x v="0"/>
    <s v="ΔΙΕΥΘΥΝΣΗ Δ.Ε. ΑΝΑΤ. ΘΕΣ/ΝΙΚΗΣ"/>
    <n v="70.24444444444444"/>
    <s v="66+"/>
  </r>
  <r>
    <n v="99915279"/>
    <s v="Α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0"/>
    <s v="ΙΔΙΩΤΙΚΟ ΔΗΜΟΤΙΚΟ ΣΧΟΛΗ ΠΟΡΙΩΤΟΥ - ΣΧΟΛΗ ΠΟΡΙΩΤ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48-12-03T00:00:00"/>
    <x v="1"/>
    <s v="ΔΙΕΥΘΥΝΣΗ Π.Ε. ΑΝΑΤΟΛΙΚΗΣ ΑΤΤΙΚΗΣ"/>
    <n v="71.075000000000003"/>
    <s v="66+"/>
  </r>
  <r>
    <n v="99915280"/>
    <s v="Α"/>
    <x v="5"/>
    <x v="5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48-09-21T00:00:00"/>
    <x v="0"/>
    <s v="ΔΙΕΥΘΥΝΣΗ Δ.Ε. Β΄ ΑΘΗΝΑΣ"/>
    <n v="71.277777777777771"/>
    <s v="66+"/>
  </r>
  <r>
    <n v="99915281"/>
    <s v="Θ"/>
    <x v="2"/>
    <x v="2"/>
    <m/>
    <m/>
    <s v="Γ΄"/>
    <n v="1"/>
    <n v="0"/>
    <d v="2018-09-01T00:00:00"/>
    <s v="Α΄ ΚΕΡΚΥΡΑΣ (Π.Ε.) 2018"/>
    <s v="ΔΙΕΥΘΥΝΣΗ Π.Ε. ΚΕΡΚΥΡΑΣ"/>
    <s v="ΠΕΡΙΦΕΡΕΙΑΚΗ Δ/ΝΣΗ Α/ΘΜΙΑΣ ΚΑΙ Β/ΘΜΙΑΣ ΕΚΠ/ΣΗΣ ΙΟΝΙΩΝ ΝΗΣΩΝ"/>
    <n v="25"/>
    <s v="ΟΧΙ"/>
    <m/>
    <m/>
    <m/>
    <s v="ΟΧΙ"/>
    <m/>
    <d v="2018-09-01T00:00:00"/>
    <s v="Ιδιωτικά Σχολεία"/>
    <x v="2"/>
    <s v="7241001"/>
    <s v="ΣΥΣΤΕΓΑΖΟΜΕΝΟ ΙΔΙΩΤΙΚΟ ΝΗΠΙΑΓΩΓΕΙΟ &quot;ΛΙΝΑΡΔΟΥ ΜΑΡΙΑΣ-ΒΑΣΙΛΙΚΗΣ&quot;"/>
    <s v="Α΄ ΚΕΡΚΥΡΑΣ (Π.Ε.) 2018"/>
    <x v="18"/>
    <s v="ΠΕΡΙΦΕΡΕΙΑΚΗ Δ/ΝΣΗ Α/ΘΜΙΑΣ ΚΑΙ Β/ΘΜΙΑΣ ΕΚΠ/ΣΗΣ ΙΟΝΙΩΝ ΝΗΣΩΝ"/>
    <s v="Ιδιωτικού Δικαίου Αορίστου Χρόνου (Ι.Δ.Α.Χ.)"/>
    <s v="Τοποθέτηση σε Ιδιωτική Εκπαίδευση"/>
    <d v="1948-09-10T00:00:00"/>
    <x v="1"/>
    <s v="ΔΙΕΥΘΥΝΣΗ Π.Ε. ΚΕΡΚΥΡΑΣ"/>
    <n v="71.308333333333337"/>
    <s v="66+"/>
  </r>
  <r>
    <n v="99915282"/>
    <s v="Α"/>
    <x v="20"/>
    <x v="20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948-09-01T00:00:00"/>
    <x v="0"/>
    <s v="ΔΙΕΥΘΥΝΣΗ Δ.Ε. ΑΝΑΤΟΛΙΚΗΣ ΑΤΤΙΚΗΣ"/>
    <n v="71.333333333333329"/>
    <s v="66+"/>
  </r>
  <r>
    <n v="99915283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521010"/>
    <s v="ΙΔΙΩΤΙΚΟ ΔΗΜΟΤΙΚΟ ΣΧΟΛΗ ΠΟΡΙΩΤΟΥ - ΣΧΟΛΗ ΠΟΡΙΩΤΟΥ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d v="1948-02-17T00:00:00"/>
    <x v="1"/>
    <s v="ΔΙΕΥΘΥΝΣΗ Π.Ε. ΑΝΑΤΟΛΙΚΗΣ ΑΤΤΙΚΗΣ"/>
    <n v="71.88055555555556"/>
    <s v="66+"/>
  </r>
  <r>
    <n v="99915284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d v="1899-12-31T00:00:00"/>
    <x v="0"/>
    <s v="ΔΙΕΥΘΥΝΣΗ Δ.Ε. Β΄ ΑΘΗΝΑΣ"/>
    <n v="120.71111111111111"/>
    <s v="δ/υ"/>
  </r>
  <r>
    <n v="99915285"/>
    <s v="Θ"/>
    <x v="8"/>
    <x v="8"/>
    <m/>
    <m/>
    <s v="Γ΄"/>
    <n v="1"/>
    <s v="Β2ΙΕ9-ΥΥΕ"/>
    <d v="2014-09-18T00:00:00"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s v="ΟΧΙ"/>
    <s v="ΟΧΙ"/>
    <m/>
    <d v="2014-09-18T00:00:00"/>
    <s v="Ιδιωτικά Σχολεία"/>
    <x v="1"/>
    <s v="7051032"/>
    <s v="ΙΔΙΩΤΙΚΟ ΔΗΜΟΤΙΚΟ - NEUE SCHULE A.E.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d v="1899-12-31T00:00:00"/>
    <x v="1"/>
    <s v="ΔΙΕΥΘΥΝΣΗ Π.Ε. Α΄ ΑΘΗΝΑΣ"/>
    <n v="120.71111111111111"/>
    <s v="δ/υ"/>
  </r>
  <r>
    <n v="99915286"/>
    <s v="Α"/>
    <x v="1"/>
    <x v="1"/>
    <m/>
    <m/>
    <s v="Γ΄"/>
    <n v="1"/>
    <n v="945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s v="ΟΧΙ"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d v="1899-12-31T00:00:00"/>
    <x v="1"/>
    <s v="ΔΙΕΥΘΥΝΣΗ Π.Ε. ΛΑΡΙΣΑΣ"/>
    <n v="120.71111111111111"/>
    <s v="δ/υ"/>
  </r>
  <r>
    <n v="99915287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88"/>
    <s v="Α"/>
    <x v="19"/>
    <x v="1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89"/>
    <s v="Α"/>
    <x v="5"/>
    <x v="5"/>
    <m/>
    <m/>
    <s v="Γ΄"/>
    <n v="1"/>
    <s v="δυ"/>
    <d v="2018-09-01T00:00:00"/>
    <s v="Α΄ ΑΘΗΝΑΣ (Δ.Ε.) 2018"/>
    <s v="ΔΙΕΥΘΥΝΣΗ Δ.Ε. Α΄ ΑΘΗΝΑΣ"/>
    <s v="ΠΕΡΙΦΕΡΕΙΑΚΗ Δ/ΝΣΗ Α/ΘΜΙΑΣ ΚΑΙ Β/ΘΜΙΑΣ ΕΚΠ/ΣΗΣ ΑΤΤΙΚΗΣ"/>
    <n v="18"/>
    <s v="ΟΧΙ"/>
    <m/>
    <m/>
    <m/>
    <s v="ΟΧΙ"/>
    <m/>
    <d v="2018-09-01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90"/>
    <s v="Α"/>
    <x v="24"/>
    <x v="24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91"/>
    <s v="Θ"/>
    <x v="3"/>
    <x v="3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92"/>
    <s v="Α"/>
    <x v="3"/>
    <x v="3"/>
    <m/>
    <m/>
    <s v="Γ΄"/>
    <n v="1"/>
    <n v="22274"/>
    <d v="2018-10-24T00:00:00"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m/>
    <s v="ΟΧΙ"/>
    <m/>
    <d v="2018-10-24T00:00:00"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93"/>
    <s v="Θ"/>
    <x v="6"/>
    <x v="6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94"/>
    <s v="Θ"/>
    <x v="18"/>
    <x v="18"/>
    <m/>
    <m/>
    <s v="Γ΄"/>
    <n v="1"/>
    <d v="2018-10-09T00:00:00"/>
    <d v="2018-10-09T00:00:00"/>
    <s v="Α΄ ΑΘΗΝΑΣ (Δ.Ε.) 2018"/>
    <s v="ΔΙΕΥΘΥΝΣΗ Δ.Ε. Α΄ ΑΘΗΝΑΣ"/>
    <s v="ΠΕΡΙΦΕΡΕΙΑΚΗ Δ/ΝΣΗ Α/ΘΜΙΑΣ ΚΑΙ Β/ΘΜΙΑΣ ΕΚΠ/ΣΗΣ ΑΤΤΙΚΗΣ"/>
    <n v="8"/>
    <s v="ΟΧΙ"/>
    <m/>
    <m/>
    <m/>
    <s v="ΟΧΙ"/>
    <m/>
    <d v="2018-10-09T00:00:00"/>
    <s v="Ιδιωτικά Σχολεία"/>
    <x v="0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x v="3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Α΄ ΑΘΗΝΑΣ"/>
    <n v="120.71388888888889"/>
    <s v="δ/υ"/>
  </r>
  <r>
    <n v="99915295"/>
    <s v="Α"/>
    <x v="9"/>
    <x v="9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91905"/>
    <s v="ΙΔΙΩΤΙΚΟ ΓΥΜΝΑΣΙΟ ΑΝΩ ΠΑΤΗΣΙΑ - ΛΕΟΝΤΕΙΟ ΛΥΚΕΙΟ ΠΑΤΗΣΙΩΝ"/>
    <s v="Α΄ ΑΘΗΝΑΣ (Δ.Ε.) 2018"/>
    <x v="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΄ ΑΘΗΝΑΣ"/>
    <n v="120.71388888888889"/>
    <s v="δ/υ"/>
  </r>
  <r>
    <n v="99915296"/>
    <s v="Θ"/>
    <x v="5"/>
    <x v="5"/>
    <m/>
    <m/>
    <s v="Γ΄"/>
    <n v="1"/>
    <n v="19614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m/>
    <m/>
    <m/>
    <s v="ΟΧΙ"/>
    <m/>
    <d v="2018-11-08T00:00:00"/>
    <s v="Ιδιωτικά Σχολεία"/>
    <x v="0"/>
    <s v="0560042"/>
    <s v="ST. LAWRENCE COLLEGE (ΓΥΜΝΑΣ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297"/>
    <s v="Θ"/>
    <x v="9"/>
    <x v="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298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299"/>
    <s v="Α"/>
    <x v="19"/>
    <x v="19"/>
    <m/>
    <m/>
    <s v="Γ΄"/>
    <n v="1"/>
    <n v="18994"/>
    <d v="2018-11-07T00:00:00"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m/>
    <m/>
    <m/>
    <s v="ΟΧΙ"/>
    <m/>
    <d v="2018-11-07T00:00:00"/>
    <s v="Ιδιωτικά Σχολεία"/>
    <x v="0"/>
    <s v="0560042"/>
    <s v="ST. LAWRENCE COLLEGE (ΓΥΜΝΑΣΙΟ)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ΑΝΑΤΟΛΙΚΗΣ ΑΤΤΙΚΗΣ"/>
    <n v="120.71388888888889"/>
    <s v="δ/υ"/>
  </r>
  <r>
    <n v="99915300"/>
    <s v="Θ"/>
    <x v="20"/>
    <x v="2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1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2"/>
    <s v="Α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3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4"/>
    <s v="Θ"/>
    <x v="5"/>
    <x v="5"/>
    <m/>
    <m/>
    <s v="Γ΄"/>
    <n v="1"/>
    <n v="19616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m/>
    <m/>
    <m/>
    <s v="ΟΧΙ"/>
    <m/>
    <d v="2018-11-08T00:00:00"/>
    <s v="Ιδιωτικά Σχολεία"/>
    <x v="3"/>
    <s v="0561031"/>
    <s v="ST. LAWRENCE COLLEGE (ΛΥΚΕ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5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6"/>
    <s v="Θ"/>
    <x v="6"/>
    <x v="6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7"/>
    <s v="Θ"/>
    <x v="3"/>
    <x v="3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"/>
    <s v="ΟΧΙ"/>
    <s v="ΟΧΙ"/>
    <s v="ΟΧΙ"/>
    <m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8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09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0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1"/>
    <s v="Θ"/>
    <x v="15"/>
    <x v="15"/>
    <m/>
    <m/>
    <s v="Γ΄"/>
    <n v="1"/>
    <n v="20235"/>
    <d v="2018-11-14T00:00:00"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m/>
    <m/>
    <m/>
    <s v="ΟΧΙ"/>
    <m/>
    <d v="2018-11-14T00:00:00"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2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03"/>
    <s v="ΙΔΙΩΤΙΚΟ ΓΥΜΝΑΣΙΟ ΑΦΙΔΝΕΣ ΑΤΤΙΚΗΣ - ΕΚΠΑΙΔΕΥΤΙΚΗ ΑΝΑΓΕΝΝΗΣΗ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3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4"/>
    <s v="Θ"/>
    <x v="3"/>
    <x v="3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5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6"/>
    <s v="Α"/>
    <x v="34"/>
    <x v="33"/>
    <s v="ΠΕ04.01"/>
    <s v="ΦΥΣΙΚΟΙ"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7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7"/>
    <s v="Θ"/>
    <x v="3"/>
    <x v="3"/>
    <m/>
    <m/>
    <s v="Γ΄"/>
    <n v="1"/>
    <n v="19617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4"/>
    <s v="ΟΧΙ"/>
    <m/>
    <m/>
    <m/>
    <s v="ΟΧΙ"/>
    <m/>
    <d v="2018-11-08T00:00:00"/>
    <s v="Ιδιωτικά Σχολεία"/>
    <x v="3"/>
    <s v="0561031"/>
    <s v="ST. LAWRENCE COLLEGE (ΛΥΚΕ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8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19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0"/>
    <s v="Θ"/>
    <x v="6"/>
    <x v="6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9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1"/>
    <s v="Α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2"/>
    <s v="Α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3"/>
    <s v="Α"/>
    <x v="11"/>
    <x v="11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4"/>
    <s v="Α"/>
    <x v="5"/>
    <x v="5"/>
    <m/>
    <m/>
    <s v="Γ΄"/>
    <n v="1"/>
    <n v="23138"/>
    <d v="2018-12-17T00:00:00"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d v="2018-12-17T00:00:00"/>
    <m/>
    <x v="5"/>
    <s v=""/>
    <m/>
    <m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5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6"/>
    <s v="Θ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7"/>
    <s v="Θ"/>
    <x v="20"/>
    <x v="2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8"/>
    <s v="Θ"/>
    <x v="20"/>
    <x v="20"/>
    <m/>
    <m/>
    <s v="Γ΄"/>
    <n v="1"/>
    <n v="19618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m/>
    <m/>
    <m/>
    <s v="ΟΧΙ"/>
    <m/>
    <d v="2018-11-08T00:00:00"/>
    <s v="Ιδιωτικά Σχολεία"/>
    <x v="3"/>
    <s v="0561031"/>
    <s v="ST. LAWRENCE COLLEGE (ΛΥΚΕ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29"/>
    <s v="Θ"/>
    <x v="20"/>
    <x v="2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0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1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2"/>
    <s v="Α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3"/>
    <s v="Α"/>
    <x v="9"/>
    <x v="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34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5"/>
    <s v="Θ"/>
    <x v="8"/>
    <x v="8"/>
    <m/>
    <m/>
    <s v="Γ΄"/>
    <n v="1"/>
    <n v="19619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0"/>
    <s v="ΟΧΙ"/>
    <m/>
    <m/>
    <m/>
    <s v="ΟΧΙ"/>
    <m/>
    <d v="2018-11-08T00:00:00"/>
    <s v="Ιδιωτικά Σχολεία"/>
    <x v="0"/>
    <s v="0560042"/>
    <s v="ST. LAWRENCE COLLEGE (ΓΥΜΝΑΣ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6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7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38"/>
    <s v="Α"/>
    <x v="9"/>
    <x v="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39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0"/>
    <s v="Α"/>
    <x v="10"/>
    <x v="1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1"/>
    <s v="Θ"/>
    <x v="6"/>
    <x v="6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2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3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4"/>
    <s v="Θ"/>
    <x v="9"/>
    <x v="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5"/>
    <s v="Α"/>
    <x v="3"/>
    <x v="3"/>
    <m/>
    <m/>
    <s v="Γ΄"/>
    <n v="1"/>
    <n v="19615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m/>
    <m/>
    <m/>
    <s v="ΟΧΙ"/>
    <m/>
    <d v="2018-11-08T00:00:00"/>
    <s v="Ιδιωτικά Σχολεία"/>
    <x v="0"/>
    <s v="0560042"/>
    <s v="ST. LAWRENCE COLLEGE (ΓΥΜΝΑΣ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6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7"/>
    <s v="Θ"/>
    <x v="19"/>
    <x v="19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48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49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50"/>
    <s v="Α"/>
    <x v="15"/>
    <x v="1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1"/>
    <s v="Α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2"/>
    <s v="Θ"/>
    <x v="18"/>
    <x v="1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3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4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55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6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7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8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7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59"/>
    <s v="Θ"/>
    <x v="15"/>
    <x v="1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0"/>
    <s v="Θ"/>
    <x v="14"/>
    <x v="1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1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2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3"/>
    <s v="Α"/>
    <x v="8"/>
    <x v="8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4"/>
    <s v="Α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5"/>
    <s v="Θ"/>
    <x v="4"/>
    <x v="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6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7"/>
    <s v="Θ"/>
    <x v="11"/>
    <x v="11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8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69"/>
    <s v="Θ"/>
    <x v="6"/>
    <x v="6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0"/>
    <s v="Θ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1"/>
    <s v="Θ"/>
    <x v="28"/>
    <x v="27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2"/>
    <s v="Α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3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4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5"/>
    <s v="Α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6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7"/>
    <s v="Θ"/>
    <x v="7"/>
    <x v="7"/>
    <m/>
    <m/>
    <s v="Γ΄"/>
    <n v="1"/>
    <s v="20232/ 14-11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9"/>
    <s v="ΟΧΙ"/>
    <m/>
    <m/>
    <m/>
    <s v="ΟΧΙ"/>
    <m/>
    <d v="2018-09-01T00:00:00"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ΑΝΑΤΟΛΙΚΗΣ ΑΤΤΙΚΗΣ"/>
    <n v="120.71388888888889"/>
    <s v="δ/υ"/>
  </r>
  <r>
    <n v="99915378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79"/>
    <s v="Α"/>
    <x v="8"/>
    <x v="8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0"/>
    <s v="Θ"/>
    <x v="3"/>
    <x v="3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1"/>
    <s v="Θ"/>
    <x v="9"/>
    <x v="9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82"/>
    <s v="Θ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3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4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5"/>
    <s v="Α"/>
    <x v="18"/>
    <x v="1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6"/>
    <s v="Θ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87"/>
    <s v="Α"/>
    <x v="9"/>
    <x v="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8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8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89"/>
    <s v="Θ"/>
    <x v="24"/>
    <x v="24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90"/>
    <s v="Θ"/>
    <x v="5"/>
    <x v="5"/>
    <m/>
    <m/>
    <s v="Γ΄"/>
    <n v="1"/>
    <n v="19620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3"/>
    <s v="ΟΧΙ"/>
    <m/>
    <m/>
    <m/>
    <s v="ΟΧΙ"/>
    <m/>
    <d v="2018-11-08T00:00:00"/>
    <s v="Ιδιωτικά Σχολεία"/>
    <x v="3"/>
    <s v="0561031"/>
    <s v="ST. LAWRENCE COLLEGE (ΛΥΚΕ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91"/>
    <s v="Θ"/>
    <x v="24"/>
    <x v="2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92"/>
    <s v="Α"/>
    <x v="5"/>
    <x v="5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93"/>
    <s v="Θ"/>
    <x v="5"/>
    <x v="5"/>
    <m/>
    <m/>
    <s v="Γ΄"/>
    <n v="1"/>
    <s v="12868 / 3/10/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3"/>
    <s v="ΟΧΙ"/>
    <m/>
    <m/>
    <m/>
    <s v="ΟΧΙ"/>
    <m/>
    <d v="2018-09-01T00:00:00"/>
    <s v="Ιδιωτικά Σχολεία"/>
    <x v="0"/>
    <s v="2990102"/>
    <s v="Ιδιωτικό Γυμνάσιο ΚΟΡΑΗΣ ΕΚΠΑΙΔΕΥΤΙΚΗ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ΑΝΑΤΟΛΙΚΗΣ ΑΤΤΙΚΗΣ"/>
    <n v="120.71388888888889"/>
    <s v="δ/υ"/>
  </r>
  <r>
    <n v="99915394"/>
    <s v="Θ"/>
    <x v="0"/>
    <x v="0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95"/>
    <s v="Θ"/>
    <x v="3"/>
    <x v="3"/>
    <m/>
    <m/>
    <s v="Γ΄"/>
    <n v="1"/>
    <n v="19758"/>
    <d v="2018-12-03T00:00:00"/>
    <s v="Α΄ ΑΝΑΤ. ΑΤΤΙΚΗΣ (Δ.Ε.) 2018"/>
    <s v="ΔΙΕΥΘΥΝΣΗ Δ.Ε. ΑΝΑΤΟΛΙΚΗΣ ΑΤΤΙΚΗΣ"/>
    <s v="ΠΕΡΙΦΕΡΕΙΑΚΗ Δ/ΝΣΗ Α/ΘΜΙΑΣ ΚΑΙ Β/ΘΜΙΑΣ ΕΚΠ/ΣΗΣ ΑΤΤΙΚΗΣ"/>
    <n v="18"/>
    <s v="ΟΧΙ"/>
    <m/>
    <m/>
    <m/>
    <s v="ΟΧΙ"/>
    <m/>
    <d v="2018-12-03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ΑΝΑΤΟΛΙΚΗΣ ΑΤΤΙΚΗΣ"/>
    <n v="120.71388888888889"/>
    <s v="δ/υ"/>
  </r>
  <r>
    <n v="99915396"/>
    <s v="Α"/>
    <x v="8"/>
    <x v="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97"/>
    <s v="Α"/>
    <x v="19"/>
    <x v="19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61005"/>
    <s v="ΙΔΙΩΤΙΚΟ ΗΜΕΡΗΣΙΟ ΓΕΝΙΚΟ ΛΥΚΕ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398"/>
    <s v="Θ"/>
    <x v="3"/>
    <x v="3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ΑΝΑΤΟΛΙΚΗΣ ΑΤΤΙΚΗΣ"/>
    <n v="120.71388888888889"/>
    <s v="δ/υ"/>
  </r>
  <r>
    <n v="99915399"/>
    <s v="Θ"/>
    <x v="7"/>
    <x v="7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0"/>
    <s v="0580505"/>
    <s v="ΙΔΙΩΤΙΚΟ ΗΜΕΡΗΣΙΟ ΓΥΜΝΑΣΙΟ ΕΚΠΑΙΔΕΥΤΗΡΙΑ ΓΕΙΤΟΝΑ ΑΕΜΕ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0"/>
    <s v="Θ"/>
    <x v="6"/>
    <x v="6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1"/>
    <s v="Θ"/>
    <x v="9"/>
    <x v="9"/>
    <m/>
    <m/>
    <s v="Γ΄"/>
    <n v="1"/>
    <n v="19621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0"/>
    <s v="ΟΧΙ"/>
    <m/>
    <m/>
    <m/>
    <s v="ΟΧΙ"/>
    <m/>
    <d v="2018-11-08T00:00:00"/>
    <s v="Ιδιωτικά Σχολεία"/>
    <x v="3"/>
    <s v="0561031"/>
    <s v="ST. LAWRENCE COLLEGE (ΛΥΚΕΙΟ)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2"/>
    <s v="Α"/>
    <x v="18"/>
    <x v="18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3"/>
    <s v="Θ"/>
    <x v="11"/>
    <x v="11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05050"/>
    <s v="Α΄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4"/>
    <s v="Θ"/>
    <x v="24"/>
    <x v="24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0"/>
    <s v="0560011"/>
    <s v="ΙΔΙΩΤΙΚΟ ΗΜΕΡΗΣΙΟ ΓΥΜΝΑΣΙΟ ΕΚΠΑΙΔΕΥΤΗΡΙΑ &quot;Ο ΠΛΑΤΩΝ&quot;"/>
    <s v="Α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5"/>
    <s v="Θ"/>
    <x v="8"/>
    <x v="8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0"/>
    <s v="0581325"/>
    <s v="Β' ΑΡΣΑΚΕΙΟ-ΤΟΣΙΤΣΕΙΟ ΓΥΜΝΑΣΙΟ ΕΚΑΛΗΣ"/>
    <s v="Β΄ ΑΝΑΤ. ΑΤΤΙΚΗΣ (Δ.Ε.) 2018"/>
    <x v="4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ΑΝΑΤΟΛΙΚΗΣ ΑΤΤΙΚΗΣ"/>
    <n v="120.71388888888889"/>
    <s v="δ/υ"/>
  </r>
  <r>
    <n v="99915406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07"/>
    <s v="Θ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08"/>
    <s v="Θ"/>
    <x v="0"/>
    <x v="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09"/>
    <s v="Α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0"/>
    <s v="0591910"/>
    <s v="ΙΔΙΩΤΙΚΟ ΗΜΕΡΗΣΙΟ ΓΥΜΝΑΣ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0"/>
    <s v="Α"/>
    <x v="10"/>
    <x v="1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1"/>
    <s v="Θ"/>
    <x v="6"/>
    <x v="6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s v="ΟΧΙ"/>
    <s v="ΟΧΙ"/>
    <s v="ΟΧΙ"/>
    <m/>
    <s v="ΟΧΙ"/>
    <m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2"/>
    <s v="Α"/>
    <x v="4"/>
    <x v="4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3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4"/>
    <s v="Α"/>
    <x v="24"/>
    <x v="2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15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1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17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8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19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20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21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22"/>
    <s v="Θ"/>
    <x v="7"/>
    <x v="7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s v="ΟΧΙ"/>
    <m/>
    <s v="ΟΧΙ"/>
    <m/>
    <d v="2018-09-01T00:00:00"/>
    <s v="Ιδιωτικά Σχολεία"/>
    <x v="0"/>
    <s v="0561022"/>
    <s v="ΙΔΙΩΤΙΚΟ ΓΥΜΝΑΣΙΟ - ΙΟΝΙΟΣ ΣΧΟΛΗ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2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24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2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26"/>
    <s v="Θ"/>
    <x v="11"/>
    <x v="11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90903"/>
    <s v="ΙΔΙΩΤΙΚΟ ΗΜΕΡΗΣΙΟ ΛΥΚΕΙΟ - ΓΕΡΜΑΝΙΚΗ ΣΧΟΛΗ ΑΘΗΝΩΝ (3511/28.07.1956)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27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28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29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30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4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31"/>
    <s v="Α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32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33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34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35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36"/>
    <s v="Α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37"/>
    <s v="Θ"/>
    <x v="4"/>
    <x v="4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61014"/>
    <s v="ΙΔΙΩΤΙΚΟ ΛΥΚΕΙΟ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38"/>
    <s v="Θ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s v="ΟΧΙ"/>
    <s v="ΟΧΙ"/>
    <s v="ΟΧΙ"/>
    <m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39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40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41"/>
    <s v="Α"/>
    <x v="7"/>
    <x v="7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81206"/>
    <s v="ΓΥΜΝΑΣ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42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43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44"/>
    <s v="Α"/>
    <x v="20"/>
    <x v="20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5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45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46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47"/>
    <s v="Θ"/>
    <x v="0"/>
    <x v="0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48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49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50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1"/>
    <s v="Θ"/>
    <x v="3"/>
    <x v="3"/>
    <m/>
    <m/>
    <s v="Γ΄"/>
    <n v="1"/>
    <s v="ΒΛΕΖ9-ΤΣΗ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s v="ΟΧΙ"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2"/>
    <s v="Θ"/>
    <x v="6"/>
    <x v="6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s v="ΟΧΙ"/>
    <s v="ΟΧΙ"/>
    <s v="ΟΧΙ"/>
    <m/>
    <s v="ΟΧΙ"/>
    <m/>
    <d v="2018-09-01T00:00:00"/>
    <s v="Ιδιωτικά Σχολεία"/>
    <x v="0"/>
    <s v="0560034"/>
    <s v="Ιδιωτικό Γυμνάσιο - ΓΥΜΝΑΣΙΟ ΙΕΡΟΥ ΝΑΟΥ ΜΕΤΑΜΟΡΦΩΣΕΩΣ ΒΡΙΛΗΣΣΙ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5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4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3"/>
    <s v="0561014"/>
    <s v="ΙΔΙΩΤΙΚΟ ΛΥΚΕΙΟ ΕΚΠΑΙΔΕΥΤΗΡΙΑ ΑΘΗΝΑΙΚΗ ΑΓΩΓΗ &amp; ΠΑΙΔΕΙΑ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5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6"/>
    <s v="Α"/>
    <x v="18"/>
    <x v="18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s v="ΟΧΙ"/>
    <m/>
    <m/>
    <m/>
    <s v="ΟΧΙ"/>
    <m/>
    <d v="2018-09-01T00:00:00"/>
    <s v="Ιδιωτικά Σχολεία"/>
    <x v="3"/>
    <s v="0580206"/>
    <s v="ΙΔΙΩΤΙΚΟ ΓΕΝΙΚΟ ΛΥΚΕΙΟ ΚΟΛΛΕΓΙΟΥ ΨΥΧΙΚΟΥ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7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58"/>
    <s v="Α"/>
    <x v="7"/>
    <x v="7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59"/>
    <s v="Α"/>
    <x v="19"/>
    <x v="1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0"/>
    <s v="0581207"/>
    <s v="ΙΔΙΩΤΙΚΟ-ΙΣΟΤΙΜΟ ΓΥΜΝΑΣΙΟ-ΚΟΛΛΕΓΙΟ ΑΘΗΝΩΝΑναγνωρισμένο με το Ν.3776/1929, ισότιμο με τα Δημόσια Σχολεία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60"/>
    <s v="Θ"/>
    <x v="11"/>
    <x v="11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61"/>
    <s v="Θ"/>
    <x v="3"/>
    <x v="3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7"/>
    <s v="ΟΧΙ"/>
    <s v="ΟΧΙ"/>
    <s v="ΟΧΙ"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62"/>
    <s v="Α"/>
    <x v="15"/>
    <x v="1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63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64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65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66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315"/>
    <s v="ΙΔΙΩΤΙΚΟ ΓΕΝΙΚΟ ΛΥΚΕΙΟ ΙΟΝΙΟΣ ΣΧΟΛΗ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67"/>
    <s v="Θ"/>
    <x v="24"/>
    <x v="24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68"/>
    <s v="Α"/>
    <x v="5"/>
    <x v="5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69"/>
    <s v="Α"/>
    <x v="9"/>
    <x v="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s v="ΟΧΙ"/>
    <s v="ΟΧΙ"/>
    <s v="ΟΧΙ"/>
    <m/>
    <s v="ΟΧΙ"/>
    <m/>
    <d v="2018-09-01T00:00:00"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70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71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72"/>
    <s v="Α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73"/>
    <s v="Α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74"/>
    <s v="Θ"/>
    <x v="3"/>
    <x v="3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75"/>
    <s v="Α"/>
    <x v="9"/>
    <x v="9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76"/>
    <s v="Θ"/>
    <x v="8"/>
    <x v="8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16"/>
    <s v="«ΙΟΝΙΟΣ ΣΧΟΛΗ» Α.Ε.Ε. - ΙΔΙΩΤΙΚΟ ΓΥΜΝΑΣΙΟ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77"/>
    <s v="Α"/>
    <x v="5"/>
    <x v="5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0"/>
    <s v="ΔΙΕΥΘΥΝΣΗ Δ.Ε. Β΄ ΑΘΗΝΑΣ"/>
    <n v="120.71388888888889"/>
    <s v="δ/υ"/>
  </r>
  <r>
    <n v="99915478"/>
    <s v="Θ"/>
    <x v="0"/>
    <x v="0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3"/>
    <s v="0580207"/>
    <s v="ΙΔΙΩΤΙΚΟ-ΙΣΟΤΙΜΟ ΛΥΚΕΙΟ-ΚΟΛΛΕΓΙΟ ΑΘΗΝΩΝ"/>
    <s v="Β΄ ΑΘΗΝΑΣ (Δ.Ε.) 2018"/>
    <x v="0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Β΄ ΑΘΗΝΑΣ"/>
    <n v="120.71388888888889"/>
    <s v="δ/υ"/>
  </r>
  <r>
    <n v="99915479"/>
    <s v="Θ"/>
    <x v="19"/>
    <x v="19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0"/>
    <s v="0591901"/>
    <s v="ΑΜΕΡΙΚΑΝΙΚΟ ΚΟΛΛΕΓΙΟ ΕΛΛΑΔΟΣ-ΙΔΙΩΤΙΚΟ ΓΥΜΝΑΣΙΟ"/>
    <s v="Β΄ ΑΘΗΝΑΣ (Δ.Ε.) 2018"/>
    <x v="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Β΄ ΑΘΗΝΑΣ"/>
    <n v="120.71388888888889"/>
    <s v="δ/υ"/>
  </r>
  <r>
    <n v="99915480"/>
    <s v="Θ"/>
    <x v="9"/>
    <x v="9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1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2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3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4"/>
    <s v="Θ"/>
    <x v="3"/>
    <x v="3"/>
    <m/>
    <m/>
    <s v="Γ΄"/>
    <n v="1"/>
    <s v="16653/51"/>
    <d v="2018-09-01T00:00:00"/>
    <s v="Γ΄ ΑΘΗΝΑΣ (Δ.Ε.) 2018"/>
    <s v="ΔΙΕΥΘΥΝΣΗ Δ.Ε. Γ΄ ΑΘΗΝΑΣ"/>
    <s v="ΠΕΡΙΦΕΡΕΙΑΚΗ Δ/ΝΣΗ Α/ΘΜΙΑΣ ΚΑΙ Β/ΘΜΙΑΣ ΕΚΠ/ΣΗΣ ΑΤΤΙΚΗΣ"/>
    <n v="5"/>
    <s v="ΟΧΙ"/>
    <s v="ΟΧΙ"/>
    <s v="ΟΧΙ"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Γ΄ ΑΘΗΝΑΣ"/>
    <n v="120.71388888888889"/>
    <s v="δ/υ"/>
  </r>
  <r>
    <n v="99915485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6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7"/>
    <s v="Α"/>
    <x v="15"/>
    <x v="1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8"/>
    <s v="Θ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89"/>
    <s v="Θ"/>
    <x v="6"/>
    <x v="6"/>
    <m/>
    <m/>
    <s v="Γ΄"/>
    <n v="1"/>
    <s v="16653/48"/>
    <d v="2018-09-01T00:00:00"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0"/>
    <s v="Θ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1"/>
    <s v="Θ"/>
    <x v="0"/>
    <x v="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2"/>
    <s v="Α"/>
    <x v="11"/>
    <x v="11"/>
    <m/>
    <m/>
    <s v="Γ΄"/>
    <n v="1"/>
    <s v="16653/43"/>
    <d v="2018-09-01T00:00:00"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m/>
    <s v="ΟΧΙ"/>
    <m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Γ΄ ΑΘΗΝΑΣ"/>
    <n v="120.71388888888889"/>
    <s v="δ/υ"/>
  </r>
  <r>
    <n v="99915493"/>
    <s v="Α"/>
    <x v="20"/>
    <x v="2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4"/>
    <s v="Θ"/>
    <x v="3"/>
    <x v="3"/>
    <m/>
    <m/>
    <s v="Γ΄"/>
    <n v="1"/>
    <s v="16653/44"/>
    <d v="2018-09-01T00:00:00"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Γ΄ ΑΘΗΝΑΣ"/>
    <n v="120.71388888888889"/>
    <s v="δ/υ"/>
  </r>
  <r>
    <n v="99915495"/>
    <s v="Θ"/>
    <x v="6"/>
    <x v="6"/>
    <m/>
    <m/>
    <s v="Γ΄"/>
    <n v="1"/>
    <s v="21790/2/30-11-2018"/>
    <d v="2018-09-01T00:00:00"/>
    <s v="Γ΄ ΑΘΗΝΑΣ (Δ.Ε.) 2018"/>
    <s v="ΔΙΕΥΘΥΝΣΗ Δ.Ε. Γ΄ ΑΘΗΝΑΣ"/>
    <s v="ΠΕΡΙΦΕΡΕΙΑΚΗ Δ/ΝΣΗ Α/ΘΜΙΑΣ ΚΑΙ Β/ΘΜΙΑΣ ΕΚΠ/ΣΗΣ ΑΤΤΙΚΗΣ"/>
    <n v="14"/>
    <s v="ΟΧΙ"/>
    <m/>
    <s v="ΟΧΙ"/>
    <m/>
    <s v="ΟΧΙ"/>
    <m/>
    <d v="2018-09-01T00:00:00"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6"/>
    <s v="Α"/>
    <x v="3"/>
    <x v="3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7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0"/>
    <s v="0560022"/>
    <s v="ΙΔΙΩΤΙΚΟ ΗΜΕΡΗΣΙΟ ΓΥΜΝΑΣΙΟ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8"/>
    <s v="Θ"/>
    <x v="18"/>
    <x v="1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499"/>
    <s v="Α"/>
    <x v="19"/>
    <x v="19"/>
    <m/>
    <m/>
    <s v="Γ΄"/>
    <n v="1"/>
    <s v="16653/46"/>
    <d v="2018-09-01T00:00:00"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Γ΄ ΑΘΗΝΑΣ"/>
    <n v="120.71388888888889"/>
    <s v="δ/υ"/>
  </r>
  <r>
    <n v="99915500"/>
    <s v="Θ"/>
    <x v="3"/>
    <x v="3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1"/>
    <s v="Θ"/>
    <x v="6"/>
    <x v="6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2"/>
    <s v="Θ"/>
    <x v="10"/>
    <x v="1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3"/>
    <s v="Θ"/>
    <x v="10"/>
    <x v="10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4"/>
    <s v="Α"/>
    <x v="11"/>
    <x v="11"/>
    <m/>
    <m/>
    <s v="Γ΄"/>
    <n v="1"/>
    <s v="16635/25"/>
    <d v="2018-09-01T00:00:00"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m/>
    <s v="ΟΧΙ"/>
    <m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5"/>
    <s v="Α"/>
    <x v="5"/>
    <x v="5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6"/>
    <s v="Α"/>
    <x v="8"/>
    <x v="8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s v="ΟΧΙ"/>
    <s v="ΟΧΙ"/>
    <s v="ΟΧΙ"/>
    <m/>
    <s v="ΟΧΙ"/>
    <m/>
    <m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7"/>
    <s v="Θ"/>
    <x v="5"/>
    <x v="5"/>
    <m/>
    <m/>
    <s v="Γ΄"/>
    <n v="1"/>
    <s v="16653/47"/>
    <d v="2018-09-01T00:00:00"/>
    <s v="Γ΄ ΑΘΗΝΑΣ (Δ.Ε.) 2018"/>
    <s v="ΔΙΕΥΘΥΝΣΗ Δ.Ε. Γ΄ ΑΘΗΝΑΣ"/>
    <s v="ΠΕΡΙΦΕΡΕΙΑΚΗ Δ/ΝΣΗ Α/ΘΜΙΑΣ ΚΑΙ Β/ΘΜΙΑΣ ΕΚΠ/ΣΗΣ ΑΤΤΙΚΗΣ"/>
    <n v="19"/>
    <s v="ΟΧΙ"/>
    <s v="ΟΧΙ"/>
    <s v="ΟΧΙ"/>
    <m/>
    <s v="ΟΧΙ"/>
    <m/>
    <d v="2018-09-01T00:00:00"/>
    <s v="Ιδιωτικά Σχολεία"/>
    <x v="0"/>
    <s v="0560001"/>
    <s v="ΙΔΙΩΤΙΚΟ ΗΜΕΡΗΣΙΟ ΓΥΜΝΑΣΙΟ Σ.ΑΥΓΟΥΛΕΑ -ΛΙΝΑΡΔΑΤΟΥ ΑΕΕ"/>
    <s v="Γ΄ ΑΘΗΝΑΣ (Δ.Ε.) 2018"/>
    <x v="42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Γ΄ ΑΘΗΝΑΣ"/>
    <n v="120.71388888888889"/>
    <s v="δ/υ"/>
  </r>
  <r>
    <n v="99915508"/>
    <s v="Α"/>
    <x v="5"/>
    <x v="5"/>
    <m/>
    <m/>
    <s v="Γ΄"/>
    <n v="1"/>
    <s v="16635/30"/>
    <d v="2018-09-01T00:00:00"/>
    <s v="Γ΄ ΑΘΗΝΑΣ (Δ.Ε.) 2018"/>
    <s v="ΔΙΕΥΘΥΝΣΗ Δ.Ε. Γ΄ ΑΘΗΝΑΣ"/>
    <s v="ΠΕΡΙΦΕΡΕΙΑΚΗ Δ/ΝΣΗ Α/ΘΜΙΑΣ ΚΑΙ Β/ΘΜΙΑΣ ΕΚΠ/ΣΗΣ ΑΤΤΙΚΗΣ"/>
    <n v="23"/>
    <s v="ΟΧΙ"/>
    <s v="ΟΧΙ"/>
    <s v="ΟΧΙ"/>
    <m/>
    <s v="ΟΧΙ"/>
    <m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x v="42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0"/>
    <s v="ΔΙΕΥΘΥΝΣΗ Δ.Ε. Γ΄ ΑΘΗΝΑΣ"/>
    <n v="120.71388888888889"/>
    <s v="δ/υ"/>
  </r>
  <r>
    <n v="99915509"/>
    <s v="Α"/>
    <x v="9"/>
    <x v="9"/>
    <m/>
    <m/>
    <s v="Γ΄"/>
    <n v="1"/>
    <n v="15011"/>
    <d v="2018-09-10T00:00:00"/>
    <s v="Δ΄ ΑΘΗΝΑΣ (Δ.Ε.) 2018"/>
    <s v="ΔΙΕΥΘΥΝΣΗ Δ.Ε. Δ΄ ΑΘΗΝΑΣ"/>
    <s v="ΠΕΡΙΦΕΡΕΙΑΚΗ Δ/ΝΣΗ Α/ΘΜΙΑΣ ΚΑΙ Β/ΘΜΙΑΣ ΕΚΠ/ΣΗΣ ΑΤΤΙΚΗΣ"/>
    <n v="22"/>
    <s v="ΟΧΙ"/>
    <m/>
    <m/>
    <m/>
    <s v="ΟΧΙ"/>
    <m/>
    <d v="2018-09-10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0"/>
    <s v="Α"/>
    <x v="19"/>
    <x v="19"/>
    <m/>
    <m/>
    <s v="Γ΄"/>
    <n v="1"/>
    <n v="19694"/>
    <d v="2018-11-01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11-01T00:00:00"/>
    <s v="Ιδιωτικά Σχολεία"/>
    <x v="8"/>
    <s v="0580655"/>
    <s v="ΙΔΙΩΤΙΚΟ ΕΣΠΕΡΙΝΟ ΓΕΝΙΚΟ ΛΥΚΕΙΟ Β. ΚΟΡΟΠΟΥΛΗ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m/>
    <x v="0"/>
    <s v="ΔΙΕΥΘΥΝΣΗ Δ.Ε. Δ΄ ΑΘΗΝΑΣ"/>
    <n v="120.71388888888889"/>
    <s v="δ/υ"/>
  </r>
  <r>
    <n v="99915511"/>
    <s v="Α"/>
    <x v="14"/>
    <x v="14"/>
    <m/>
    <m/>
    <s v="Γ΄"/>
    <n v="1"/>
    <n v="16634"/>
    <d v="2018-11-26T00:00:00"/>
    <s v="Δ΄ ΑΘΗΝΑΣ (Δ.Ε.) 2018"/>
    <s v="ΔΙΕΥΘΥΝΣΗ Δ.Ε. Δ΄ ΑΘΗΝΑΣ"/>
    <s v="ΠΕΡΙΦΕΡΕΙΑΚΗ Δ/ΝΣΗ Α/ΘΜΙΑΣ ΚΑΙ Β/ΘΜΙΑΣ ΕΚΠ/ΣΗΣ ΑΤΤΙΚΗΣ"/>
    <n v="11"/>
    <s v="ΟΧΙ"/>
    <m/>
    <m/>
    <m/>
    <s v="ΟΧΙ"/>
    <m/>
    <d v="2018-11-26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2"/>
    <s v="Θ"/>
    <x v="11"/>
    <x v="11"/>
    <m/>
    <m/>
    <s v="Γ΄"/>
    <n v="1"/>
    <n v="16635"/>
    <d v="2018-11-26T00:00:00"/>
    <s v="Δ΄ ΑΘΗΝΑΣ (Δ.Ε.) 2018"/>
    <s v="ΔΙΕΥΘΥΝΣΗ Δ.Ε. Δ΄ ΑΘΗΝΑΣ"/>
    <s v="ΠΕΡΙΦΕΡΕΙΑΚΗ Δ/ΝΣΗ Α/ΘΜΙΑΣ ΚΑΙ Β/ΘΜΙΑΣ ΕΚΠ/ΣΗΣ ΑΤΤΙΚΗΣ"/>
    <n v="9"/>
    <s v="ΟΧΙ"/>
    <m/>
    <m/>
    <m/>
    <s v="ΟΧΙ"/>
    <m/>
    <d v="2018-11-26T00:00:00"/>
    <s v="Ιδιωτικά Σχολεία"/>
    <x v="3"/>
    <s v="0580615"/>
    <s v="ΙΔΙΩΤΙΚΟ ΗΜΕΡΗΣΙΟ ΓΕΝΙΚΟ ΛΥΚΕΙΟ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3"/>
    <s v="Θ"/>
    <x v="31"/>
    <x v="30"/>
    <m/>
    <m/>
    <s v="Γ΄"/>
    <n v="1"/>
    <n v="21564"/>
    <d v="2018-09-01T00:00:00"/>
    <s v="Δ΄ ΑΘΗΝΑΣ (Δ.Ε.) 2018"/>
    <s v="ΔΙΕΥΘΥΝΣΗ Δ.Ε. Δ΄ ΑΘΗΝΑΣ"/>
    <s v="ΠΕΡΙΦΕΡΕΙΑΚΗ Δ/ΝΣΗ Α/ΘΜΙΑΣ ΚΑΙ Β/ΘΜΙΑΣ ΕΚΠ/ΣΗΣ ΑΤΤΙΚΗΣ"/>
    <n v="3"/>
    <s v="ΟΧΙ"/>
    <m/>
    <m/>
    <m/>
    <s v="ΟΧΙ"/>
    <m/>
    <d v="2018-09-01T00:00:00"/>
    <s v="Ιδιωτικά Σχολεία"/>
    <x v="0"/>
    <s v="0581660"/>
    <s v="ΙΔΙΩΤΙΚΟ ΗΜΕΡΗΣΙΟ ΓΥΜΝΑΣΙΟ                                         ΚΟΡΑΗΣ ΕΚΠΑΙΔΕΥΤΙΚΗ Α. Ε.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4"/>
    <s v="Α"/>
    <x v="19"/>
    <x v="19"/>
    <m/>
    <m/>
    <s v="Γ΄"/>
    <n v="1"/>
    <n v="15011"/>
    <d v="2018-09-03T00:00:00"/>
    <s v="Δ΄ ΑΘΗΝΑΣ (Δ.Ε.) 2018"/>
    <s v="ΔΙΕΥΘΥΝΣΗ Δ.Ε. Δ΄ ΑΘΗΝΑΣ"/>
    <s v="ΠΕΡΙΦΕΡΕΙΑΚΗ Δ/ΝΣΗ Α/ΘΜΙΑΣ ΚΑΙ Β/ΘΜΙΑΣ ΕΚΠ/ΣΗΣ ΑΤΤΙΚΗΣ"/>
    <n v="23"/>
    <s v="ΟΧΙ"/>
    <m/>
    <m/>
    <m/>
    <s v="ΟΧΙ"/>
    <m/>
    <d v="2018-09-03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m/>
    <x v="0"/>
    <s v="ΔΙΕΥΘΥΝΣΗ Δ.Ε. Δ΄ ΑΘΗΝΑΣ"/>
    <n v="120.71388888888889"/>
    <s v="δ/υ"/>
  </r>
  <r>
    <n v="99915515"/>
    <s v="Α"/>
    <x v="3"/>
    <x v="3"/>
    <m/>
    <m/>
    <s v="Γ΄"/>
    <n v="1"/>
    <n v="15011"/>
    <d v="2018-09-03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03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6"/>
    <s v="Α"/>
    <x v="5"/>
    <x v="5"/>
    <m/>
    <m/>
    <s v="Γ΄"/>
    <n v="1"/>
    <n v="15011"/>
    <d v="2018-09-14T00:00:00"/>
    <s v="Δ΄ ΑΘΗΝΑΣ (Δ.Ε.) 2018"/>
    <s v="ΔΙΕΥΘΥΝΣΗ Δ.Ε. Δ΄ ΑΘΗΝΑΣ"/>
    <s v="ΠΕΡΙΦΕΡΕΙΑΚΗ Δ/ΝΣΗ Α/ΘΜΙΑΣ ΚΑΙ Β/ΘΜΙΑΣ ΕΚΠ/ΣΗΣ ΑΤΤΙΚΗΣ"/>
    <n v="16"/>
    <s v="ΟΧΙ"/>
    <s v="ΟΧΙ"/>
    <s v="ΟΧΙ"/>
    <s v="ΟΧΙ"/>
    <s v="ΟΧΙ"/>
    <m/>
    <d v="2018-09-14T00:00:00"/>
    <s v="Ιδιωτικά Σχολεία"/>
    <x v="3"/>
    <s v="0580155"/>
    <s v="ΙΔΙΩΤΙΚΟ ΓΕNIKO ΛΥΚΕΙΟ «ΣΧΟΛΗ ΞΕΝΟΠΟΥΛΟΥ»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7"/>
    <s v="Θ"/>
    <x v="8"/>
    <x v="8"/>
    <m/>
    <m/>
    <s v="Γ΄"/>
    <n v="1"/>
    <n v="15011"/>
    <d v="2018-11-26T00:00:00"/>
    <s v="Δ΄ ΑΘΗΝΑΣ (Δ.Ε.) 2018"/>
    <s v="ΔΙΕΥΘΥΝΣΗ Δ.Ε. Δ΄ ΑΘΗΝΑΣ"/>
    <s v="ΠΕΡΙΦΕΡΕΙΑΚΗ Δ/ΝΣΗ Α/ΘΜΙΑΣ ΚΑΙ Β/ΘΜΙΑΣ ΕΚΠ/ΣΗΣ ΑΤΤΙΚΗΣ"/>
    <n v="4"/>
    <s v="ΟΧΙ"/>
    <m/>
    <m/>
    <m/>
    <s v="ΟΧΙ"/>
    <m/>
    <d v="2018-11-26T00:00:00"/>
    <s v="Ιδιωτικά Σχολεία"/>
    <x v="0"/>
    <s v="0581155"/>
    <s v="ΙΔΙΩΤΙΚΟ ΓΥΜΝΑΣΙΟ «ΣΧΟΛΗ ΞΕΝΟΠΟΥΛΟΥ»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8"/>
    <s v="Α"/>
    <x v="9"/>
    <x v="9"/>
    <m/>
    <m/>
    <s v="Γ΄"/>
    <n v="1"/>
    <n v="16388"/>
    <d v="2018-09-19T00:00:00"/>
    <s v="Δ΄ ΑΘΗΝΑΣ (Δ.Ε.) 2018"/>
    <s v="ΔΙΕΥΘΥΝΣΗ Δ.Ε. Δ΄ ΑΘΗΝΑΣ"/>
    <s v="ΠΕΡΙΦΕΡΕΙΑΚΗ Δ/ΝΣΗ Α/ΘΜΙΑΣ ΚΑΙ Β/ΘΜΙΑΣ ΕΚΠ/ΣΗΣ ΑΤΤΙΚΗΣ"/>
    <n v="21"/>
    <s v="ΟΧΙ"/>
    <m/>
    <m/>
    <m/>
    <s v="ΟΧΙ"/>
    <m/>
    <d v="2018-09-19T00:00:00"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19"/>
    <s v="Α"/>
    <x v="14"/>
    <x v="14"/>
    <m/>
    <m/>
    <s v="Γ΄"/>
    <n v="1"/>
    <n v="16389"/>
    <d v="2018-11-26T00:00:00"/>
    <s v="Δ΄ ΑΘΗΝΑΣ (Δ.Ε.) 2018"/>
    <s v="ΔΙΕΥΘΥΝΣΗ Δ.Ε. Δ΄ ΑΘΗΝΑΣ"/>
    <s v="ΠΕΡΙΦΕΡΕΙΑΚΗ Δ/ΝΣΗ Α/ΘΜΙΑΣ ΚΑΙ Β/ΘΜΙΑΣ ΕΚΠ/ΣΗΣ ΑΤΤΙΚΗΣ"/>
    <n v="4"/>
    <s v="ΟΧΙ"/>
    <m/>
    <m/>
    <m/>
    <s v="ΟΧΙ"/>
    <m/>
    <d v="2018-11-26T00:00:00"/>
    <s v="Ιδιωτικά Σχολεία"/>
    <x v="0"/>
    <s v="0560007"/>
    <s v="ΙΔΙΩΤΙΚΟ ΓΥΜΝΑΣΙΟ - ΕΚΠΑΙΔΕΥΤΗΡΙΑ Γ.ΖΩΗ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20"/>
    <s v="Α"/>
    <x v="16"/>
    <x v="16"/>
    <m/>
    <m/>
    <s v="Γ΄"/>
    <n v="1"/>
    <n v="18346"/>
    <d v="2018-10-19T00:00:00"/>
    <s v="Δ΄ ΑΘΗΝΑΣ (Δ.Ε.) 2018"/>
    <s v="ΔΙΕΥΘΥΝΣΗ Δ.Ε. Δ΄ ΑΘΗΝΑΣ"/>
    <s v="ΠΕΡΙΦΕΡΕΙΑΚΗ Δ/ΝΣΗ Α/ΘΜΙΑΣ ΚΑΙ Β/ΘΜΙΑΣ ΕΚΠ/ΣΗΣ ΑΤΤΙΚΗΣ"/>
    <n v="18"/>
    <s v="ΟΧΙ"/>
    <m/>
    <m/>
    <m/>
    <s v="ΟΧΙ"/>
    <m/>
    <d v="2018-10-19T00:00:00"/>
    <s v="Ιδιωτικά Σχολεία"/>
    <x v="0"/>
    <s v="0591906"/>
    <s v="ΙΔΙΩΤΙΚΟ ΗΜΕΡΗΣΙΟ ΓΥΜΝΑΣΙΟ &quot;ΛΕΟΝΤΕΙΟ ΛΥΚΕΙΟ ΝΕΑΣ ΣΜΥΡΝΗΣ&quot;"/>
    <s v="Δ΄ ΑΘΗΝΑΣ (Δ.Ε.) 2018"/>
    <x v="50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0"/>
    <s v="ΔΙΕΥΘΥΝΣΗ Δ.Ε. Δ΄ ΑΘΗΝΑΣ"/>
    <n v="120.71388888888889"/>
    <s v="δ/υ"/>
  </r>
  <r>
    <n v="99915521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΄ ΑΘΗΝΑΣ"/>
    <n v="120.71388888888889"/>
    <s v="δ/υ"/>
  </r>
  <r>
    <n v="99915522"/>
    <s v="Θ"/>
    <x v="8"/>
    <x v="8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΄ ΑΘΗΝΑΣ"/>
    <n v="120.71388888888889"/>
    <s v="δ/υ"/>
  </r>
  <r>
    <n v="99915523"/>
    <s v="Θ"/>
    <x v="6"/>
    <x v="6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΄ ΑΘΗΝΑΣ"/>
    <n v="120.71388888888889"/>
    <s v="δ/υ"/>
  </r>
  <r>
    <n v="99915524"/>
    <s v="Θ"/>
    <x v="2"/>
    <x v="2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΄ ΑΘΗΝΑΣ"/>
    <n v="120.71388888888889"/>
    <s v="δ/υ"/>
  </r>
  <r>
    <n v="99915525"/>
    <s v="Θ"/>
    <x v="0"/>
    <x v="0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1014"/>
    <s v="4ο ΙΔΙΩΤΙΚΟ ΔΗΜΟΤΙΚΟ ΑΘΗΝΑ - ΕΚΠΑΙΔΕΥΤΗΡΙΑ ΑΓΙΟΣ ΠΑΥΛΟΣ ΙΚΕ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΄ ΑΘΗΝΑΣ"/>
    <n v="120.71388888888889"/>
    <s v="δ/υ"/>
  </r>
  <r>
    <n v="99915526"/>
    <s v="Α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1002"/>
    <s v="ΙΔΙΩΤΙΚΟ ΔΗΜΟΤΙΚΟ ΚΟΛΩΝΟΣ -ΑΘΗΝΑ - ΛΑΚΩΝΙΚΗ ΣΧΟΛΗ Ι.Π.Σ. ΦΡΑΓΚΗ"/>
    <s v="Α΄ ΑΘΗΝΑΣ (Π.Ε.) 2018"/>
    <x v="33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΄ ΑΘΗΝΑΣ"/>
    <n v="120.71388888888889"/>
    <s v="δ/υ"/>
  </r>
  <r>
    <n v="99915527"/>
    <s v="Θ"/>
    <x v="1"/>
    <x v="1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051016"/>
    <s v="ΙΔΙΩΤΙΚΟ ΔΗΜΟΤΙΚΟ ΝΕΑ ΦΙΛΑΔΈΛΦΕΙΑ - ΣΧΟΛΗ ΧΑΤΖΗΒΕΗ"/>
    <s v="Α΄ ΑΘΗΝΑΣ (Π.Ε.) 2018"/>
    <x v="33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΄ ΑΘΗΝΑΣ"/>
    <n v="120.71388888888889"/>
    <s v="δ/υ"/>
  </r>
  <r>
    <n v="99915528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29"/>
    <s v="Α"/>
    <x v="8"/>
    <x v="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0"/>
    <s v="Θ"/>
    <x v="0"/>
    <x v="0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1"/>
    <s v="Θ"/>
    <x v="2"/>
    <x v="2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2"/>
    <s v="Θ"/>
    <x v="18"/>
    <x v="1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3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4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5"/>
    <s v="Α"/>
    <x v="7"/>
    <x v="7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6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7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38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39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40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41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42"/>
    <s v="Θ"/>
    <x v="18"/>
    <x v="1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43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44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45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46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47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48"/>
    <s v="Α"/>
    <x v="8"/>
    <x v="8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6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49"/>
    <s v="Α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0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1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2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53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4"/>
    <s v="Θ"/>
    <x v="0"/>
    <x v="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5"/>
    <s v="Θ"/>
    <x v="18"/>
    <x v="1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56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57"/>
    <s v="Θ"/>
    <x v="8"/>
    <x v="8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8"/>
    <s v="Θ"/>
    <x v="2"/>
    <x v="2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s v="ΟΧΙ"/>
    <s v="ΟΧΙ"/>
    <s v="ΟΧΙ"/>
    <m/>
    <s v="ΟΧΙ"/>
    <m/>
    <m/>
    <s v="Ιδιωτικά Σχολεία"/>
    <x v="2"/>
    <s v="7521059"/>
    <s v="ΤΑ ΜΕΛΙΣΣΑΚΙΑ (ΑΘ. ΕΥΑΓΓΕΛΟΠΟΥΛΟΥ - ΕΥΑΓ. ΠΑΠΑΓΕΩΡΓΙΟΥ &amp; ΣΙΑ Ε.Ε.)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59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0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1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2"/>
    <s v="Θ"/>
    <x v="0"/>
    <x v="0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3"/>
    <s v="Θ"/>
    <x v="6"/>
    <x v="6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4"/>
    <s v="Θ"/>
    <x v="1"/>
    <x v="1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5"/>
    <s v="Α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66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7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8"/>
    <s v="Θ"/>
    <x v="7"/>
    <x v="7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69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0"/>
    <s v="Θ"/>
    <x v="14"/>
    <x v="14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521056"/>
    <s v="ΙΔΙΩΤΙΚΟ ΔΗΜΟΤΙΚΟ ΒΑΡΗ - ΕΚΠΑΙΔΕΥΤΗΡΙΑ ΠΑΛΛΑΔΙΟ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1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72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3"/>
    <s v="Θ"/>
    <x v="7"/>
    <x v="7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4"/>
    <s v="Θ"/>
    <x v="6"/>
    <x v="6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5"/>
    <s v="Θ"/>
    <x v="0"/>
    <x v="0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76"/>
    <s v="Θ"/>
    <x v="10"/>
    <x v="1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7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78"/>
    <s v="Θ"/>
    <x v="10"/>
    <x v="1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79"/>
    <s v="Θ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80"/>
    <s v="Α"/>
    <x v="1"/>
    <x v="1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81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82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6"/>
    <s v="Γ' 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83"/>
    <s v="Θ"/>
    <x v="10"/>
    <x v="10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84"/>
    <s v="Θ"/>
    <x v="7"/>
    <x v="7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12"/>
    <s v="ΔΗΜΟΤΙΚΟ ΚΟΛΛΕΓΙΟΥ ΑΘΗΝΩΝ - Αναγνωρισμένο με το Νόμο 3776/1929 ως ισότιμο προς τα Δημόσια Σχολεία"/>
    <s v="Α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85"/>
    <s v="Θ"/>
    <x v="0"/>
    <x v="0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4"/>
    <s v="Β΄ΑΡΣΑΚΕΙΟ-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ΑΝΑΤΟΛΙΚΗΣ ΑΤΤΙΚΗΣ"/>
    <n v="120.71388888888889"/>
    <s v="δ/υ"/>
  </r>
  <r>
    <n v="99915586"/>
    <s v="Θ"/>
    <x v="1"/>
    <x v="1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521042"/>
    <s v="Α΄ ΑΡΣΑΚΕΙΟ - ΤΟΣΙΤΣΕΙΟ ΔΗΜΟΤΙΚΟ ΣΧΟΛΕΙΟ ΕΚΑΛΗΣ"/>
    <s v="Β΄ ΑΝΑΤ. ΑΤΤΙΚΗΣ (Π.Ε.) 2018"/>
    <x v="27"/>
    <s v="ΠΕΡΙΦΕΡΕΙΑΚΗ Δ/ΝΣΗ Α/ΘΜΙΑΣ ΚΑΙ Β/ΘΜΙΑΣ ΕΚΠ/ΣΗΣ ΑΤΤΙΚΗ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ΑΝΑΤΟΛΙΚΗΣ ΑΤΤΙΚΗΣ"/>
    <n v="120.71388888888889"/>
    <s v="δ/υ"/>
  </r>
  <r>
    <n v="99915587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Αναπληρωτής Ιδιωτικής Εκπαίδευσης (ν. 682/1977 άρ.35, παρ.4)"/>
    <s v="Τοποθέτηση σε Ιδιωτική Εκπαίδευση"/>
    <m/>
    <x v="1"/>
    <s v="ΔΙΕΥΘΥΝΣΗ Π.Ε. Β΄ ΑΘΗΝΑΣ"/>
    <n v="120.71388888888889"/>
    <s v="δ/υ"/>
  </r>
  <r>
    <n v="99915588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08"/>
    <s v="ΙΔΙΩΤΙΚΟ ΔΗΜΟΤΙΚΟ &quot;ΣΧΟΛΗ ΜΩΡΑΪΤΗ&quot;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89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0"/>
    <s v="Θ"/>
    <x v="8"/>
    <x v="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1"/>
    <s v="Α"/>
    <x v="14"/>
    <x v="14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2"/>
    <s v="Θ"/>
    <x v="6"/>
    <x v="6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3"/>
    <s v="Θ"/>
    <x v="0"/>
    <x v="0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5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4"/>
    <s v="Θ"/>
    <x v="18"/>
    <x v="18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5"/>
    <s v="Θ"/>
    <x v="2"/>
    <x v="2"/>
    <m/>
    <m/>
    <s v="Γ΄"/>
    <n v="1"/>
    <n v="1"/>
    <d v="2018-09-01T00:00:00"/>
    <s v="Β΄ ΑΘΗΝΑΣ (Π.Ε.) 2018"/>
    <s v="ΔΙΕΥΘΥΝΣΗ Π.Ε. Β΄ ΑΘΗΝΑΣ"/>
    <s v="ΠΕΡΙΦΕΡΕΙΑΚΗ Δ/ΝΣΗ Α/ΘΜΙΑΣ ΚΑΙ Β/ΘΜΙΑΣ ΕΚΠ/ΣΗΣ ΑΤΤΙΚΗΣ"/>
    <n v="25"/>
    <s v="ΟΧΙ"/>
    <s v="ΟΧΙ"/>
    <s v="ΟΧΙ"/>
    <s v="ΟΧΙ"/>
    <s v="ΟΧΙ"/>
    <m/>
    <d v="2018-09-01T00:00:00"/>
    <s v="Ιδιωτικά Σχολεία"/>
    <x v="2"/>
    <s v="7052069"/>
    <s v="ΙΔΙΩΤΙΚΟ ΝΗΠΙΑΓΩΓΕΙΟ - ΚΑΨΑΛΗ ΚΩΝΣΤΑΝΤΙΑ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6"/>
    <s v="Θ"/>
    <x v="1"/>
    <x v="1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2"/>
    <s v="ΟΧΙ"/>
    <s v="ΟΧΙ"/>
    <s v="ΟΧΙ"/>
    <m/>
    <s v="ΟΧΙ"/>
    <m/>
    <m/>
    <s v="Ιδιωτικά Σχολεία"/>
    <x v="1"/>
    <s v="7052036"/>
    <s v="ΙΔΙΩΤΙΚΟ ΔΗΜΟΤΙΚ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7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598"/>
    <s v="Θ"/>
    <x v="1"/>
    <x v="1"/>
    <m/>
    <m/>
    <s v="Γ΄"/>
    <n v="1"/>
    <n v="3226"/>
    <d v="2018-09-01T00:00:00"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d v="2018-09-01T00:00:00"/>
    <s v="Ιδιωτικά Σχολεία"/>
    <x v="1"/>
    <s v="7052002"/>
    <s v="1ο ΙΔΙΩΤΙΚΟ ΔΗΜΟΤΙΚΟ ΨΥΧΙΚΟ - Α ΑΡΣΑΚΕΙΟ ΔΗΜ. ΣΧΟΛ. ΨΥΧΙΚΟΥ ΤΗΣ ΦΙΛΕΚΠΑΙΔΕΥΤΙΚΗΣ ΕΤΑΙΡΕΙΑΣ"/>
    <s v="Β΄ ΑΘΗΝΑΣ (Π.Ε.) 2018"/>
    <x v="1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1"/>
    <s v="ΔΙΕΥΘΥΝΣΗ Π.Ε. Β΄ ΑΘΗΝΑΣ"/>
    <n v="120.71388888888889"/>
    <s v="δ/υ"/>
  </r>
  <r>
    <n v="99915599"/>
    <s v="Θ"/>
    <x v="18"/>
    <x v="18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7"/>
    <s v="ΟΧΙ"/>
    <s v="ΟΧΙ"/>
    <s v="ΟΧΙ"/>
    <m/>
    <s v="ΟΧΙ"/>
    <m/>
    <m/>
    <s v="Ιδιωτικά Σχολεία"/>
    <x v="1"/>
    <s v="7052036"/>
    <s v="ΙΔΙΩΤΙΚΟ ΔΗΜΟΤΙΚ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0"/>
    <s v="Θ"/>
    <x v="6"/>
    <x v="6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1"/>
    <s v="7052036"/>
    <s v="ΙΔΙΩΤΙΚΟ ΔΗΜΟΤΙΚΟ - ΜΑΝΟΥ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1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2"/>
    <s v="Α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3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4"/>
    <s v="Θ"/>
    <x v="6"/>
    <x v="6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5"/>
    <s v="Θ"/>
    <x v="1"/>
    <x v="1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6"/>
    <s v="Θ"/>
    <x v="6"/>
    <x v="6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s v="ΟΧΙ"/>
    <s v="ΟΧΙ"/>
    <s v="ΟΧΙ"/>
    <m/>
    <s v="ΟΧΙ"/>
    <m/>
    <m/>
    <s v="Ιδιωτικά Σχολεία"/>
    <x v="1"/>
    <s v="7052044"/>
    <s v="ΙΔΙΩΤΙΚΟ ΔΗΜΟΤΙΚΟ - ΕΛΛΗΝΟΓΑΛΛΙΚΗ ΣΧΟΛΗ SAINT JOSEPH"/>
    <s v="Β΄ ΑΘΗΝΑΣ (Π.Ε.) 2018"/>
    <x v="1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Β΄ ΑΘΗΝΑΣ"/>
    <n v="120.71388888888889"/>
    <s v="δ/υ"/>
  </r>
  <r>
    <n v="99915607"/>
    <s v="Θ"/>
    <x v="6"/>
    <x v="6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4"/>
    <s v="ΟΧΙ"/>
    <s v="ΟΧΙ"/>
    <s v="ΟΧΙ"/>
    <m/>
    <s v="ΟΧΙ"/>
    <m/>
    <m/>
    <s v="Ιδιωτικά Σχολεία"/>
    <x v="1"/>
    <s v="7053018"/>
    <s v="ΙΔΙΩΤΙΚΟ ΔΗΜΟΤΙΚΟ ΑΦΟΙ ΚΑΣΣΑΒΗΤΑ Ο.Ε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Γ΄ ΑΘΗΝΑΣ"/>
    <n v="120.71388888888889"/>
    <s v="δ/υ"/>
  </r>
  <r>
    <n v="99915608"/>
    <s v="Θ"/>
    <x v="2"/>
    <x v="2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s v="ΟΧΙ"/>
    <s v="ΟΧΙ"/>
    <s v="ΟΧΙ"/>
    <m/>
    <s v="ΟΧΙ"/>
    <m/>
    <m/>
    <s v="Ιδιωτικά Σχολεία"/>
    <x v="2"/>
    <s v="7053029"/>
    <s v="ΙΔΙΩΤΙΚΟ ΝΗΠΙΑΓΩΓΕΙΟ - Α. ΣΟΦΙΟΥ Ε.Ε. (ΑΓΩΓΗ ΚΑΙ ΦΡΟΝΤΙΔΑ)"/>
    <s v="Γ΄ ΑΘΗΝΑΣ (Π.Ε.) 2018"/>
    <x v="59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Γ΄ ΑΘΗΝΑΣ"/>
    <n v="120.71388888888889"/>
    <s v="δ/υ"/>
  </r>
  <r>
    <n v="99915609"/>
    <s v="Θ"/>
    <x v="0"/>
    <x v="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0"/>
    <s v="ΟΧΙ"/>
    <s v="ΟΧΙ"/>
    <s v="ΟΧΙ"/>
    <m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0"/>
    <s v="Α"/>
    <x v="1"/>
    <x v="1"/>
    <m/>
    <m/>
    <s v="Γ΄"/>
    <n v="1"/>
    <s v="144689/25-09-1990"/>
    <d v="2018-09-01T00:00:00"/>
    <s v="Δ΄ ΑΘΗΝΑΣ (Π.Ε.) 2018"/>
    <s v="ΔΙΕΥΘΥΝΣΗ Π.Ε. Δ΄ ΑΘΗΝΑΣ"/>
    <s v="ΠΕΡΙΦΕΡΕΙΑΚΗ Δ/ΝΣΗ Α/ΘΜΙΑΣ ΚΑΙ Β/ΘΜΙΑΣ ΕΚΠ/ΣΗΣ ΑΤΤΙΚΗΣ"/>
    <n v="21"/>
    <s v="ΟΧΙ"/>
    <m/>
    <m/>
    <m/>
    <s v="ΟΧΙ"/>
    <m/>
    <d v="2018-09-01T00:00:00"/>
    <s v="Ιδιωτικά Σχολεία"/>
    <x v="1"/>
    <s v="7054024"/>
    <s v="ΙΔΙΩΤΙΚΟ ΔΗΜΟΤΙΚΟ ΣΧΟΛΗ ΞΕΝΟΠΟΥΛΟΥ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1"/>
    <s v="Θ"/>
    <x v="10"/>
    <x v="10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2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3"/>
    <s v="Θ"/>
    <x v="12"/>
    <x v="12"/>
    <m/>
    <m/>
    <s v="Γ΄"/>
    <n v="1"/>
    <n v="10615"/>
    <d v="2018-09-01T00:00:00"/>
    <s v="Δ΄ ΑΘΗΝΑΣ (Π.Ε.) 2018"/>
    <s v="ΔΙΕΥΘΥΝΣΗ Π.Ε. Δ΄ ΑΘΗΝΑΣ"/>
    <s v="ΠΕΡΙΦΕΡΕΙΑΚΗ Δ/ΝΣΗ Α/ΘΜΙΑΣ ΚΑΙ Β/ΘΜΙΑΣ ΕΚΠ/ΣΗΣ ΑΤΤΙΚΗΣ"/>
    <n v="10"/>
    <s v="ΟΧΙ"/>
    <s v="ΟΧΙ"/>
    <s v="ΟΧΙ"/>
    <m/>
    <s v="ΟΧΙ"/>
    <m/>
    <d v="2018-09-01T00:00:00"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1"/>
    <s v="ΔΙΕΥΘΥΝΣΗ Π.Ε. Δ΄ ΑΘΗΝΑΣ"/>
    <n v="120.71388888888889"/>
    <s v="δ/υ"/>
  </r>
  <r>
    <n v="99915614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5"/>
    <s v="Θ"/>
    <x v="6"/>
    <x v="6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0"/>
    <s v="ΟΧΙ"/>
    <s v="ΟΧΙ"/>
    <s v="ΟΧΙ"/>
    <m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6"/>
    <s v="Θ"/>
    <x v="1"/>
    <x v="1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054000"/>
    <s v="ΕΚΠΑΙΔΕΥΤΗΡΙΑ ΛΑΜΠΙΡΗ - ΔΗΜΟΤΙΚΟ"/>
    <s v="Δ΄ ΑΘΗΝΑΣ (Π.Ε.) 2018"/>
    <x v="1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Δ΄ ΑΘΗΝΑΣ"/>
    <n v="120.71388888888889"/>
    <s v="δ/υ"/>
  </r>
  <r>
    <n v="99915617"/>
    <s v="Θ"/>
    <x v="0"/>
    <x v="0"/>
    <m/>
    <m/>
    <s v="Γ΄"/>
    <n v="1"/>
    <n v="19684"/>
    <d v="2017-09-01T00:00:00"/>
    <s v="Δ΄ ΑΘΗΝΑΣ (Π.Ε.) 2018"/>
    <s v="ΔΙΕΥΘΥΝΣΗ Π.Ε. Δ΄ ΑΘΗΝΑΣ"/>
    <s v="ΠΕΡΙΦΕΡΕΙΑΚΗ Δ/ΝΣΗ Α/ΘΜΙΑΣ ΚΑΙ Β/ΘΜΙΑΣ ΕΚΠ/ΣΗΣ ΑΤΤΙΚΗΣ"/>
    <n v="23"/>
    <s v="ΟΧΙ"/>
    <m/>
    <m/>
    <m/>
    <s v="ΟΧΙ"/>
    <m/>
    <d v="2017-09-01T00:00:00"/>
    <s v="Ιδιωτικά Σχολεία"/>
    <x v="1"/>
    <s v="7054018"/>
    <s v="ΙΔΙΩΤΙΚΟ ΔΗΜΟΤΙΚΟ - ΕΥΡΩΠΑΪΚΟ ΠΡΟΤΥΠΟ"/>
    <s v="Δ΄ ΑΘΗΝΑΣ (Π.Ε.) 2018"/>
    <x v="1"/>
    <s v="ΠΕΡΙΦΕΡΕΙΑΚΗ Δ/ΝΣΗ Α/ΘΜΙΑΣ ΚΑΙ Β/ΘΜΙΑΣ ΕΚΠ/ΣΗΣ ΑΤΤΙΚΗΣ"/>
    <s v="Ιδιωτικού Δικαίου Ορισμένου Χρόνου (Ι.Δ.Ο.Χ.)"/>
    <s v="Τοποθέτηση σε Ιδιωτική Εκπαίδευση"/>
    <m/>
    <x v="1"/>
    <s v="ΔΙΕΥΘΥΝΣΗ Π.Ε. Δ΄ ΑΘΗΝΑΣ"/>
    <n v="120.71388888888889"/>
    <s v="δ/υ"/>
  </r>
  <r>
    <n v="99915618"/>
    <s v="Θ"/>
    <x v="2"/>
    <x v="2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ΠΕΙΡΑΙΑ"/>
    <n v="120.71388888888889"/>
    <s v="δ/υ"/>
  </r>
  <r>
    <n v="99915619"/>
    <s v="Θ"/>
    <x v="1"/>
    <x v="1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ΠΕΙΡΑΙΑ"/>
    <n v="120.71388888888889"/>
    <s v="δ/υ"/>
  </r>
  <r>
    <n v="99915620"/>
    <s v="Θ"/>
    <x v="2"/>
    <x v="2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s v="ΟΧΙ"/>
    <s v="ΟΧΙ"/>
    <s v="ΟΧΙ"/>
    <m/>
    <s v="ΟΧΙ"/>
    <m/>
    <m/>
    <s v="Ιδιωτικά Σχολεία"/>
    <x v="1"/>
    <s v="7541010"/>
    <s v="ΙΔΙΩΤΙΚΟ ΔΗΜΟΤΙΚΟ ΠΕΙΡΑΙΑΣ -ΠΡΟΤΥΠΑ ΠΕΙΡΑΪΚΑ ΕΚΠΑΙΔΕΥΤΗΡΙΑ MΕΠΕ"/>
    <s v="Α΄ ΠΕΙΡΑΙΑ (Π.Ε.) 2018"/>
    <x v="15"/>
    <s v="ΠΕΡΙΦΕΡΕΙΑΚΗ Δ/ΝΣΗ Α/ΘΜΙΑΣ ΚΑΙ Β/ΘΜΙΑΣ ΕΚΠ/ΣΗΣ ΑΤΤΙΚΗΣ"/>
    <s v="Ιδιωτικού Δικαίου Αορίστου Χρόνου (Ι.Δ.Α.Χ.)"/>
    <s v="Τοποθέτηση σε Ιδιωτική Εκπαίδευση"/>
    <m/>
    <x v="1"/>
    <s v="ΔΙΕΥΘΥΝΣΗ Π.Ε. ΠΕΙΡΑΙΑ"/>
    <n v="120.71388888888889"/>
    <s v="δ/υ"/>
  </r>
  <r>
    <n v="99915621"/>
    <s v="Α"/>
    <x v="14"/>
    <x v="14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6"/>
    <s v="ΟΧΙ"/>
    <m/>
    <m/>
    <m/>
    <s v="ΟΧΙ"/>
    <m/>
    <d v="2018-09-07T00:00:00"/>
    <s v="Ιδιωτικά Σχολεία"/>
    <x v="4"/>
    <s v="5162001"/>
    <s v="Ιδιωτικό ΕΠΑ.Λ - ΤΣΑΚΟΣ ΕΛΛΗΝΙΚΑ ΕΚΠΑΙΔΕΥΤΗΡΙΑ ΝΑΥΤΙΚΩΝ ΣΠΟΥΔΩΝ"/>
    <s v="Α΄ ΧΙΟΥ (Δ.Ε.) 2018"/>
    <x v="16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m/>
    <x v="0"/>
    <s v="ΔΙΕΥΘΥΝΣΗ Δ.Ε. ΧΙΟΥ"/>
    <n v="120.71388888888889"/>
    <s v="δ/υ"/>
  </r>
  <r>
    <n v="99915622"/>
    <s v="Θ"/>
    <x v="2"/>
    <x v="2"/>
    <m/>
    <m/>
    <s v="Γ΄"/>
    <n v="1"/>
    <n v="4665"/>
    <d v="2018-09-01T00:00:00"/>
    <s v="Α΄ ΛΕΣΒΟΥ (Π.Ε.) 2018"/>
    <s v="ΔΙΕΥΘΥΝΣΗ Π.Ε. ΛΕΣΒΟΥ"/>
    <s v="ΠΕΡΙΦΕΡΕΙΑΚΗ Δ/ΝΣΗ Α/ΘΜΙΑΣ ΚΑΙ Β/ΘΜΙΑΣ ΕΚΠ/ΣΗΣ ΒΟΡΕΙΟΥ ΑΙΓΑΙΟΥ"/>
    <n v="25"/>
    <s v="ΟΧΙ"/>
    <m/>
    <m/>
    <m/>
    <s v="ΟΧΙ"/>
    <m/>
    <d v="2018-09-01T00:00:00"/>
    <s v="Ιδιωτικά Σχολεία"/>
    <x v="2"/>
    <s v="7331001"/>
    <s v="ΙΔΙΩΤΙΚΟ ΝΗΠΙΑΓΩΓΕΙΟ ΠΛΑΤΩΝΟΣ-ΝΗΠΙΑΓΩΓΕΙΟ Ο ΠΑΡΑΜΥΘΕΝΙΟΣ ΚΟΣΜΟΣ"/>
    <s v="Α΄ ΛΕΣΒΟΥ (Π.Ε.) 2018"/>
    <x v="64"/>
    <s v="ΠΕΡΙΦΕΡΕΙΑΚΗ Δ/ΝΣΗ Α/ΘΜΙΑΣ ΚΑΙ Β/ΘΜΙΑΣ ΕΚΠ/ΣΗΣ ΒΟΡΕΙΟΥ ΑΙΓΑΙΟΥ"/>
    <s v="Ιδιωτικού Δικαίου Ορισμένου Χρόνου (Ι.Δ.Ο.Χ.)"/>
    <s v="Τοποθέτηση σε Ιδιωτική Εκπαίδευση"/>
    <m/>
    <x v="1"/>
    <s v="ΔΙΕΥΘΥΝΣΗ Π.Ε. ΛΕΣΒΟΥ"/>
    <n v="120.71388888888889"/>
    <s v="δ/υ"/>
  </r>
  <r>
    <n v="99915623"/>
    <s v="Θ"/>
    <x v="19"/>
    <x v="19"/>
    <m/>
    <m/>
    <s v="Γ΄"/>
    <n v="1"/>
    <s v="8703/25-9-2018"/>
    <d v="2018-09-12T00:00:00"/>
    <s v="ΙΩΑΝΝΙΝΩΝ (Δ.Ε.) 2018"/>
    <s v="ΔΙΕΥΘΥΝΣΗ Δ.Ε. ΙΩΑΝΝΙΝΩΝ"/>
    <s v="ΠΕΡΙΦΕΡΕΙΑΚΗ Δ/ΝΣΗ Α/ΘΜΙΑΣ ΚΑΙ Β/ΘΜΙΑΣ ΕΚΠ/ΣΗΣ ΗΠΕΙΡΟΥ"/>
    <n v="13"/>
    <s v="ΟΧΙ"/>
    <s v="ΟΧΙ"/>
    <s v="ΟΧΙ"/>
    <s v="ΟΧΙ"/>
    <s v="ΟΧΙ"/>
    <m/>
    <d v="2018-09-12T00:00:00"/>
    <s v="Ιδιωτικά Σχολεία"/>
    <x v="3"/>
    <s v="2061004"/>
    <s v="ΑΡΣΑΚΕΙΟ ΓΕΝΙΚΟ ΛΥΚΕΙΟ IΩΑΝΝΙΝΩΝ"/>
    <s v="ΙΩΑΝΝΙΝΩΝ (Δ.Ε.) 2018"/>
    <x v="17"/>
    <s v="ΠΕΡΙΦΕΡΕΙΑΚΗ Δ/ΝΣΗ Α/ΘΜΙΑΣ ΚΑΙ Β/ΘΜΙΑΣ ΕΚΠ/ΣΗΣ ΗΠΕΙΡΟΥ"/>
    <s v="Ιδιωτικού Δικαίου Ορισμένου Χρόνου (Ι.Δ.Ο.Χ.)"/>
    <s v="Τοποθέτηση σε Ιδιωτική Εκπαίδευση"/>
    <m/>
    <x v="0"/>
    <s v="ΔΙΕΥΘΥΝΣΗ Δ.Ε. ΙΩΑΝΝΙΝΩΝ"/>
    <n v="120.71388888888889"/>
    <s v="δ/υ"/>
  </r>
  <r>
    <n v="99915624"/>
    <s v="Θ"/>
    <x v="15"/>
    <x v="15"/>
    <m/>
    <m/>
    <s v="Α΄"/>
    <n v="1"/>
    <s v="ΒΙ6Ζ9-7Ι6"/>
    <d v="2014-01-13T00:00:00"/>
    <s v="ΛΑΡΙΣΑΣ (Δ.Ε.) 2018"/>
    <s v="ΔΙΕΥΘΥΝΣΗ Δ.Ε. ΛΑΡΙΣΑΣ"/>
    <s v="ΠΕΡΙΦΕΡΕΙΑΚΗ Δ/ΝΣΗ Α/ΘΜΙΑΣ ΚΑΙ Β/ΘΜΙΑΣ ΕΚΠ/ΣΗΣ ΘΕΣΣΑΛΙΑΣ"/>
    <n v="8"/>
    <s v="ΟΧΙ"/>
    <s v="ΟΧΙ"/>
    <s v="ΟΧΙ"/>
    <s v="ΟΧΙ"/>
    <s v="ΟΧΙ"/>
    <m/>
    <d v="2014-01-13T00:00:00"/>
    <s v="Ιδιωτικά Σχολεία"/>
    <x v="0"/>
    <s v="3181010"/>
    <s v="ΙΔΙΩΤΙΚΟ ΗΜΕΡΗΣΙΟ ΓΥΜΝΑΣΙΟ ΜΑΙΡΗΣ Ν. ΡΑΠΤΟΥ / ΚΕΝΤΡΟ ΕΛΛΗΝΙΚΗΣ ΠΑΙΔΕΙΑΣ"/>
    <s v="ΛΑΡΙΣΑΣ (Δ.Ε.) 2018"/>
    <x v="44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0"/>
    <s v="ΔΙΕΥΘΥΝΣΗ Δ.Ε. ΛΑΡΙΣΑΣ"/>
    <n v="120.71388888888889"/>
    <s v="δ/υ"/>
  </r>
  <r>
    <n v="99915625"/>
    <s v="Θ"/>
    <x v="3"/>
    <x v="3"/>
    <m/>
    <m/>
    <s v="Γ΄"/>
    <n v="1"/>
    <n v="8345"/>
    <d v="2018-09-20T00:00:00"/>
    <s v="ΤΡΙΚΑΛΩΝ (Δ.Ε.) 2018"/>
    <s v="ΔΙΕΥΘΥΝΣΗ Δ.Ε. ΤΡΙΚΑΛΩΝ"/>
    <s v="ΠΕΡΙΦΕΡΕΙΑΚΗ Δ/ΝΣΗ Α/ΘΜΙΑΣ ΚΑΙ Β/ΘΜΙΑΣ ΕΚΠ/ΣΗΣ ΘΕΣΣΑΛΙΑΣ"/>
    <n v="6"/>
    <s v="ΟΧΙ"/>
    <m/>
    <m/>
    <m/>
    <s v="ΟΧΙ"/>
    <m/>
    <d v="2018-09-20T00:00:00"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m/>
    <x v="0"/>
    <s v="ΔΙΕΥΘΥΝΣΗ Δ.Ε. ΤΡΙΚΑΛΩΝ"/>
    <n v="120.71388888888889"/>
    <s v="δ/υ"/>
  </r>
  <r>
    <n v="99915626"/>
    <s v="Α"/>
    <x v="19"/>
    <x v="19"/>
    <m/>
    <m/>
    <s v="Γ΄"/>
    <n v="1"/>
    <n v="8077"/>
    <d v="2018-09-14T00:00:00"/>
    <s v="ΤΡΙΚΑΛΩΝ (Δ.Ε.) 2018"/>
    <s v="ΔΙΕΥΘΥΝΣΗ Δ.Ε. ΤΡΙΚΑΛΩΝ"/>
    <s v="ΠΕΡΙΦΕΡΕΙΑΚΗ Δ/ΝΣΗ Α/ΘΜΙΑΣ ΚΑΙ Β/ΘΜΙΑΣ ΕΚΠ/ΣΗΣ ΘΕΣΣΑΛΙΑΣ"/>
    <n v="3"/>
    <s v="ΟΧΙ"/>
    <m/>
    <m/>
    <m/>
    <s v="ΟΧΙ"/>
    <m/>
    <d v="2018-09-14T00:00:00"/>
    <s v="Ιδιωτικά Σχολεία"/>
    <x v="0"/>
    <s v="4581015"/>
    <s v="ΙΔΙΩΤΙΚΟ ΓΥΜΝΑΣΙΟ ΤΡΙΚΑΛΩΝ - ΕΚΠΑΙΔΕΥΤΗΡΙΑ ΑΘΗΝΑ"/>
    <s v="ΤΡΙΚΑΛΩΝ (Δ.Ε.) 2018"/>
    <x v="58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m/>
    <x v="0"/>
    <s v="ΔΙΕΥΘΥΝΣΗ Δ.Ε. ΤΡΙΚΑΛΩΝ"/>
    <n v="120.71388888888889"/>
    <s v="δ/υ"/>
  </r>
  <r>
    <n v="99915627"/>
    <s v="Θ"/>
    <x v="1"/>
    <x v="1"/>
    <m/>
    <m/>
    <s v="Γ΄"/>
    <n v="1"/>
    <n v="9417"/>
    <d v="2018-09-01T00:00:00"/>
    <s v="ΛΑΡΙΣΑΣ (Π.Ε.) 2018"/>
    <s v="ΔΙΕΥΘΥΝΣΗ Π.Ε. ΛΑΡΙΣΑΣ"/>
    <s v="ΠΕΡΙΦΕΡΕΙΑΚΗ Δ/ΝΣΗ Α/ΘΜΙΑΣ ΚΑΙ Β/ΘΜΙΑΣ ΕΚΠ/ΣΗΣ ΘΕΣΣΑΛΙΑΣ"/>
    <n v="24"/>
    <s v="ΟΧΙ"/>
    <s v="ΟΧΙ"/>
    <s v="ΟΧΙ"/>
    <m/>
    <s v="ΟΧΙ"/>
    <m/>
    <d v="2018-09-01T00:00:00"/>
    <s v="Ιδιωτικά Σχολεία"/>
    <x v="1"/>
    <s v="7311006"/>
    <s v="ΙΔ ΔΗΜΟΤΙΚΟ ΣΧΟΛΕΙΟ ΣΧΟΛΗ ΚΑΡΑΒΑΝΑ"/>
    <s v="ΛΑΡΙΣΑΣ (Π.Ε.) 2018"/>
    <x v="19"/>
    <s v="ΠΕΡΙΦΕΡΕΙΑΚΗ Δ/ΝΣΗ Α/ΘΜΙΑΣ ΚΑΙ Β/ΘΜΙΑΣ ΕΚΠ/ΣΗΣ ΘΕΣΣΑΛΙΑΣ"/>
    <s v="Ιδιωτικού Δικαίου Ορισμένου Χρόνου (Ι.Δ.Ο.Χ.)"/>
    <s v="Τοποθέτηση σε Ιδιωτική Εκπαίδευση"/>
    <m/>
    <x v="1"/>
    <s v="ΔΙΕΥΘΥΝΣΗ Π.Ε. ΛΑΡΙΣΑΣ"/>
    <n v="120.71388888888889"/>
    <s v="δ/υ"/>
  </r>
  <r>
    <n v="99915628"/>
    <s v="Θ"/>
    <x v="8"/>
    <x v="8"/>
    <m/>
    <m/>
    <s v="Γ΄"/>
    <n v="1"/>
    <n v="1466"/>
    <d v="2018-09-01T00:00:00"/>
    <s v="ΛΑΡΙΣΑΣ (Π.Ε.) 2018"/>
    <s v="ΔΙΕΥΘΥΝΣΗ Π.Ε. ΛΑΡΙΣΑΣ"/>
    <s v="ΠΕΡΙΦΕΡΕΙΑΚΗ Δ/ΝΣΗ Α/ΘΜΙΑΣ ΚΑΙ Β/ΘΜΙΑΣ ΕΚΠ/ΣΗΣ ΘΕΣΣΑΛΙΑΣ"/>
    <n v="18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1"/>
    <s v="ΔΙΕΥΘΥΝΣΗ Π.Ε. ΛΑΡΙΣΑΣ"/>
    <n v="120.71388888888889"/>
    <s v="δ/υ"/>
  </r>
  <r>
    <n v="99915629"/>
    <s v="Θ"/>
    <x v="6"/>
    <x v="6"/>
    <m/>
    <m/>
    <s v="Γ΄"/>
    <n v="1"/>
    <n v="927"/>
    <d v="2018-09-01T00:00:00"/>
    <s v="ΛΑΡΙΣΑΣ (Π.Ε.) 2018"/>
    <s v="ΔΙΕΥΘΥΝΣΗ Π.Ε. ΛΑΡΙΣΑΣ"/>
    <s v="ΠΕΡΙΦΕΡΕΙΑΚΗ Δ/ΝΣΗ Α/ΘΜΙΑΣ ΚΑΙ Β/ΘΜΙΑΣ ΕΚΠ/ΣΗΣ ΘΕΣΣΑΛΙΑΣ"/>
    <n v="5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1"/>
    <s v="ΔΙΕΥΘΥΝΣΗ Π.Ε. ΛΑΡΙΣΑΣ"/>
    <n v="120.71388888888889"/>
    <s v="δ/υ"/>
  </r>
  <r>
    <n v="99915630"/>
    <s v="Θ"/>
    <x v="2"/>
    <x v="2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s v="ΟΧΙ"/>
    <s v="ΟΧΙ"/>
    <s v="ΟΧΙ"/>
    <m/>
    <s v="ΟΧΙ"/>
    <m/>
    <m/>
    <s v="Ιδιωτικά Σχολεία"/>
    <x v="2"/>
    <s v="7311019"/>
    <s v="ΙΔΙΩΤΙΚΟ ΝΗΠΙΑΓΩΓΕΙΟ ΛΑΡΙΣΑ - ΙΔ ΝΗΠΙΑΓΩΓΕΙΟ ΜΠΛΑΝΑ ΕΥΘΥΜΙΑΣ"/>
    <s v="ΛΑΡΙΣΑΣ (Π.Ε.) 2018"/>
    <x v="19"/>
    <s v="ΠΕΡΙΦΕΡΕΙΑΚΗ Δ/ΝΣΗ Α/ΘΜΙΑΣ ΚΑΙ Β/ΘΜΙΑΣ ΕΚΠ/ΣΗΣ ΘΕΣΣΑΛΙΑΣ"/>
    <s v="Ιδιωτικού Δικαίου Αορίστου Χρόνου (Ι.Δ.Α.Χ.) με Οργανική σε Ισότιμο προς τα Δημόσια Σχολείο"/>
    <s v="Τοποθέτηση σε Ιδιωτική Εκπαίδευση"/>
    <m/>
    <x v="1"/>
    <s v="ΔΙΕΥΘΥΝΣΗ Π.Ε. ΛΑΡΙΣΑΣ"/>
    <n v="120.71388888888889"/>
    <s v="δ/υ"/>
  </r>
  <r>
    <n v="99915631"/>
    <s v="Θ"/>
    <x v="10"/>
    <x v="10"/>
    <m/>
    <m/>
    <s v="Γ΄"/>
    <n v="1"/>
    <n v="8037"/>
    <d v="2018-09-01T00:00:00"/>
    <s v="ΛΑΡΙΣΑΣ (Π.Ε.) 2018"/>
    <s v="ΔΙΕΥΘΥΝΣΗ Π.Ε. ΛΑΡΙΣΑΣ"/>
    <s v="ΠΕΡΙΦΕΡΕΙΑΚΗ Δ/ΝΣΗ Α/ΘΜΙΑΣ ΚΑΙ Β/ΘΜΙΑΣ ΕΚΠ/ΣΗΣ ΘΕΣΣΑΛΙΑΣ"/>
    <n v="5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1"/>
    <s v="ΔΙΕΥΘΥΝΣΗ Π.Ε. ΛΑΡΙΣΑΣ"/>
    <n v="120.71388888888889"/>
    <s v="δ/υ"/>
  </r>
  <r>
    <n v="99915632"/>
    <s v="Θ"/>
    <x v="14"/>
    <x v="14"/>
    <m/>
    <m/>
    <s v="Γ΄"/>
    <n v="1"/>
    <n v="9288"/>
    <d v="2018-09-01T00:00:00"/>
    <s v="ΛΑΡΙΣΑΣ (Π.Ε.) 2018"/>
    <s v="ΔΙΕΥΘΥΝΣΗ Π.Ε. ΛΑΡΙΣΑΣ"/>
    <s v="ΠΕΡΙΦΕΡΕΙΑΚΗ Δ/ΝΣΗ Α/ΘΜΙΑΣ ΚΑΙ Β/ΘΜΙΑΣ ΕΚΠ/ΣΗΣ ΘΕΣΣΑΛΙΑΣ"/>
    <n v="19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1"/>
    <s v="ΔΙΕΥΘΥΝΣΗ Π.Ε. ΛΑΡΙΣΑΣ"/>
    <n v="120.71388888888889"/>
    <s v="δ/υ"/>
  </r>
  <r>
    <n v="99915633"/>
    <s v="Θ"/>
    <x v="8"/>
    <x v="8"/>
    <m/>
    <m/>
    <s v="Γ΄"/>
    <n v="1"/>
    <n v="9286"/>
    <d v="2018-09-01T00:00:00"/>
    <s v="ΛΑΡΙΣΑΣ (Π.Ε.) 2018"/>
    <s v="ΔΙΕΥΘΥΝΣΗ Π.Ε. ΛΑΡΙΣΑΣ"/>
    <s v="ΠΕΡΙΦΕΡΕΙΑΚΗ Δ/ΝΣΗ Α/ΘΜΙΑΣ ΚΑΙ Β/ΘΜΙΑΣ ΕΚΠ/ΣΗΣ ΘΕΣΣΑΛΙΑΣ"/>
    <n v="22"/>
    <s v="ΟΧΙ"/>
    <m/>
    <m/>
    <m/>
    <s v="ΟΧΙ"/>
    <m/>
    <d v="2018-09-01T00:00:00"/>
    <s v="Ιδιωτικά Σχολεία"/>
    <x v="1"/>
    <s v="7311002"/>
    <s v="ΙΔΙΩΤΙΚΟ ΔΗΜΟΤΙΚΟ ΛΑΡΙΣΑ - ΠΡΩΤΟ ΙΔ ΔΗΜΟΤΙΚΟ ΣΧΟΛΕΙΟ Μ ΡΑΠΤΟΥ"/>
    <s v="ΛΑΡΙΣΑΣ (Π.Ε.) 2018"/>
    <x v="19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1"/>
    <s v="ΔΙΕΥΘΥΝΣΗ Π.Ε. ΛΑΡΙΣΑΣ"/>
    <n v="120.71388888888889"/>
    <s v="δ/υ"/>
  </r>
  <r>
    <n v="99915634"/>
    <s v="Θ"/>
    <x v="12"/>
    <x v="12"/>
    <m/>
    <m/>
    <s v="Γ΄"/>
    <n v="1"/>
    <s v="Φ.17.2/873/17-2-2014"/>
    <d v="2018-09-01T00:00:00"/>
    <s v="Α΄ ΜΑΓΝΗΣΙΑΣ (Π.Ε.) 2018"/>
    <s v="ΔΙΕΥΘΥΝΣΗ Π.Ε. ΜΑΓΝΗΣΙΑΣ"/>
    <s v="ΠΕΡΙΦΕΡΕΙΑΚΗ Δ/ΝΣΗ Α/ΘΜΙΑΣ ΚΑΙ Β/ΘΜΙΑΣ ΕΚΠ/ΣΗΣ ΘΕΣΣΑΛΙΑΣ"/>
    <n v="1"/>
    <s v="ΟΧΙ"/>
    <s v="ΟΧΙ"/>
    <s v="ΟΧΙ"/>
    <s v="ΟΧΙ"/>
    <s v="ΟΧΙ"/>
    <m/>
    <d v="2018-09-01T00:00:00"/>
    <s v="Ιδιωτικά Σχολεία"/>
    <x v="1"/>
    <s v="7351000"/>
    <s v="ΙΔΙΩΤΙΚΟ ΔΗΜΟΤΙΚΟ ΣΧΟΛΕΙΟ &quot;ΑΓΙΟΣ ΙΩΣΗΦ&quot;"/>
    <s v="Α΄ ΜΑΓΝΗΣΙΑΣ (Π.Ε.) 2018"/>
    <x v="13"/>
    <s v="ΠΕΡΙΦΕΡΕΙΑΚΗ Δ/ΝΣΗ Α/ΘΜΙΑΣ ΚΑΙ Β/ΘΜΙΑΣ ΕΚΠ/ΣΗΣ ΘΕΣΣΑΛΙΑΣ"/>
    <s v="Ιδιωτικού Δικαίου Αορίστου Χρόνου (Ι.Δ.Α.Χ.)"/>
    <s v="Τοποθέτηση σε Ιδιωτική Εκπαίδευση"/>
    <m/>
    <x v="1"/>
    <s v="ΔΙΕΥΘΥΝΣΗ Π.Ε. ΜΑΓΝΗΣΙΑΣ"/>
    <n v="120.71388888888889"/>
    <s v="δ/υ"/>
  </r>
  <r>
    <n v="99915635"/>
    <s v="Θ"/>
    <x v="0"/>
    <x v="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36"/>
    <s v="Θ"/>
    <x v="10"/>
    <x v="1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37"/>
    <s v="Θ"/>
    <x v="5"/>
    <x v="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38"/>
    <s v="Α"/>
    <x v="8"/>
    <x v="8"/>
    <m/>
    <m/>
    <s v="Γ΄"/>
    <n v="1"/>
    <s v="8247/24-11-2006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m/>
    <m/>
    <m/>
    <s v="ΟΧΙ"/>
    <m/>
    <d v="2018-09-01T00:00:00"/>
    <s v="Ιδιωτικά Σχολεία"/>
    <x v="3"/>
    <s v="1980080"/>
    <s v="Ιδιωτικό Λύκειο - ΕΚΠΑΙΔΕΥΤΗΡΙΑ Ε. ΜΑΝΤΟΥΛΙΔΗ Α.Ε.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39"/>
    <s v="Α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0"/>
    <s v="Θ"/>
    <x v="9"/>
    <x v="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1"/>
    <s v="Α"/>
    <x v="11"/>
    <x v="11"/>
    <m/>
    <m/>
    <s v="Γ΄"/>
    <n v="1"/>
    <s v="7466/26-11-2001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s v="ΟΧΙ"/>
    <m/>
    <m/>
    <m/>
    <s v="ΟΧΙ"/>
    <m/>
    <d v="2018-09-01T00:00:00"/>
    <m/>
    <x v="5"/>
    <s v=""/>
    <m/>
    <m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2"/>
    <s v="Α"/>
    <x v="14"/>
    <x v="14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s v="ΟΧΙ"/>
    <s v="ΟΧΙ"/>
    <s v="ΟΧΙ"/>
    <m/>
    <s v="ΟΧΙ"/>
    <m/>
    <m/>
    <s v="Ιδιωτικά Σχολεία"/>
    <x v="3"/>
    <s v="1980030"/>
    <s v="ΙΔΙΩΤΙΚΟ ΗΜΕΡΗΣΙΟ ΛΥΚΕΙΟ ΘΕΣΣΑΛΟΝΙΚΗΣ &quot; ΕΚΠΑΙΔΕΥΤΗΡΙΑ ΒΑΣΙΛΕΙΑΔΗ &quot;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3"/>
    <s v="Θ"/>
    <x v="18"/>
    <x v="1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4"/>
    <s v="Α"/>
    <x v="15"/>
    <x v="15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5"/>
    <s v="Θ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6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7"/>
    <s v="Α"/>
    <x v="14"/>
    <x v="1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8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49"/>
    <s v="Α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0"/>
    <s v="Α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1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2"/>
    <s v="Θ"/>
    <x v="4"/>
    <x v="4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3"/>
    <s v="Α"/>
    <x v="11"/>
    <x v="11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8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4"/>
    <s v="Θ"/>
    <x v="10"/>
    <x v="1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5"/>
    <s v="Θ"/>
    <x v="10"/>
    <x v="1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6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7"/>
    <s v="Θ"/>
    <x v="3"/>
    <x v="3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8"/>
    <s v="Θ"/>
    <x v="20"/>
    <x v="20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59"/>
    <s v="Α"/>
    <x v="19"/>
    <x v="1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60"/>
    <s v="Θ"/>
    <x v="8"/>
    <x v="8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61"/>
    <s v="Α"/>
    <x v="9"/>
    <x v="9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s v="ΟΧΙ"/>
    <s v="ΟΧΙ"/>
    <s v="ΟΧΙ"/>
    <m/>
    <s v="ΟΧΙ"/>
    <m/>
    <m/>
    <s v="Ιδιωτικά Σχολεία"/>
    <x v="3"/>
    <s v="1990912"/>
    <s v="ΙΔΙΩΤΙΚΟ ΗΜΕΡΗΣΙΟ ΛΥΚΕΙΟ - ΓΕΡΜΑΝΙΚΗ ΣΧΟΛΗ ΘΕΣΣΑΛΟΝΙΚΗΣ"/>
    <s v="Α΄ ΘΕΣΣΑΛΟΝΙΚΗΣ (Δ.Ε.) 2018"/>
    <x v="41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ΑΝΑΤ. ΘΕΣ/ΝΙΚΗΣ"/>
    <n v="120.71388888888889"/>
    <s v="δ/υ"/>
  </r>
  <r>
    <n v="99915662"/>
    <s v="Θ"/>
    <x v="3"/>
    <x v="3"/>
    <m/>
    <m/>
    <s v="Γ΄"/>
    <n v="1"/>
    <n v="6965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s v="ΟΧΙ"/>
    <m/>
    <m/>
    <m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ΔΥΤ. ΘΕΣ/ΝΙΚΗΣ"/>
    <n v="120.71388888888889"/>
    <s v="δ/υ"/>
  </r>
  <r>
    <n v="99915663"/>
    <s v="Α"/>
    <x v="4"/>
    <x v="4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s v="ΟΧΙ"/>
    <m/>
    <m/>
    <m/>
    <s v="ΟΧΙ"/>
    <m/>
    <d v="2018-09-01T00:00:00"/>
    <s v="Ιδιωτικά Σχολεία"/>
    <x v="3"/>
    <s v="1990915"/>
    <s v="ΙΔΙΩΤΙΚΟ ΓΕΝΙΚΟ ΛΥΚΕΙΟ ΦΡΥΓΑΝΙΩΤΗ"/>
    <s v="Β΄ ΘΕΣΣΑΛΟΝΙΚΗΣ (Δ.Ε.) 2018"/>
    <x v="37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0"/>
    <s v="ΔΙΕΥΘΥΝΣΗ Δ.Ε. ΔΥΤ. ΘΕΣ/ΝΙΚΗΣ"/>
    <n v="120.71388888888889"/>
    <s v="δ/υ"/>
  </r>
  <r>
    <n v="99915664"/>
    <s v="Θ"/>
    <x v="2"/>
    <x v="2"/>
    <m/>
    <m/>
    <s v="Γ΄"/>
    <n v="1"/>
    <s v="24511/05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m/>
    <m/>
    <m/>
    <s v="ΟΧΙ"/>
    <m/>
    <d v="2018-09-01T00:00:00"/>
    <s v="Ιδιωτικά Σχολεία"/>
    <x v="2"/>
    <s v="7191119"/>
    <s v="Ιδιωτικό νηπιαγωγείο THE ZOO CLUB"/>
    <s v="Α΄ ΘΕΣΣΑΛΟΝΙΚΗΣ (Π.Ε.) 2018"/>
    <x v="9"/>
    <s v="ΠΕΡΙΦΕΡΕΙΑΚΗ Δ/ΝΣΗ Α/ΘΜΙΑΣ ΚΑΙ Β/ΘΜΙΑΣ ΕΚΠ/ΣΗΣ ΚΕΝΤΡΙΚΗΣ ΜΑΚΕΔΟΝΙΑΣ"/>
    <s v="Ιδιωτικού Δικαίου Ορισμένου Χρόνου (Ι.Δ.Ο.Χ.)"/>
    <s v="Τοποθέτηση σε Ιδιωτική Εκπαίδευση"/>
    <m/>
    <x v="1"/>
    <s v="ΔΙΕΥΘΥΝΣΗ Π.Ε. ΑΝΑΤ. ΘΕΣ/ΝΙΚΗΣ"/>
    <n v="120.71388888888889"/>
    <s v="δ/υ"/>
  </r>
  <r>
    <n v="99915665"/>
    <s v="Θ"/>
    <x v="43"/>
    <x v="42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1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1"/>
    <s v="ΔΙΕΥΘΥΝΣΗ Π.Ε. ΑΝΑΤ. ΘΕΣ/ΝΙΚΗΣ"/>
    <n v="120.71388888888889"/>
    <s v="δ/υ"/>
  </r>
  <r>
    <n v="99915666"/>
    <s v="Θ"/>
    <x v="1"/>
    <x v="1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s v="ΟΧΙ"/>
    <s v="ΟΧΙ"/>
    <s v="ΟΧΙ"/>
    <s v="ΟΧΙ"/>
    <s v="ΟΧΙ"/>
    <m/>
    <d v="2018-09-01T00:00:00"/>
    <s v="Ιδιωτικά Σχολεία"/>
    <x v="1"/>
    <s v="7191000"/>
    <s v="ΙΔΙΩΤΙΚΟ ΔΗΜΟΤΙΚΟ ΠΥΛΑΙΑ - ΑΔΑΜΑΝΤΙΟΣ ΣΧΟΛΗ Α.Ε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1"/>
    <s v="ΔΙΕΥΘΥΝΣΗ Π.Ε. ΑΝΑΤ. ΘΕΣ/ΝΙΚΗΣ"/>
    <n v="120.71388888888889"/>
    <s v="δ/υ"/>
  </r>
  <r>
    <n v="99915667"/>
    <s v="Θ"/>
    <x v="7"/>
    <x v="7"/>
    <m/>
    <m/>
    <s v="Γ΄"/>
    <n v="1"/>
    <d v="2016-10-19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5"/>
    <s v="ΟΧΙ"/>
    <s v="ΟΧΙ"/>
    <s v="ΟΧΙ"/>
    <s v="ΟΧΙ"/>
    <s v="ΟΧΙ"/>
    <m/>
    <d v="2018-09-01T00:00:00"/>
    <s v="Ιδιωτικά Σχολεία"/>
    <x v="1"/>
    <s v="7191034"/>
    <s v="ΟΜΙΛΟΣ ΣΧΟΛΕΙΩΝ ΒΙΩΜΑΤΙΚΗΣ ΜΑΘΗΣΗΣ ΘΕΣΣΑΛΟΝΙΚΗΣ"/>
    <s v="Α΄ ΘΕΣΣΑΛΟΝΙΚΗΣ (Π.Ε.) 2018"/>
    <x v="9"/>
    <s v="ΠΕΡΙΦΕΡΕΙΑΚΗ Δ/ΝΣΗ Α/ΘΜΙΑΣ ΚΑΙ Β/ΘΜΙΑΣ ΕΚΠ/ΣΗΣ ΚΕΝΤΡΙΚΗΣ ΜΑΚΕΔΟΝΙΑΣ"/>
    <s v="Ιδιωτικού Δικαίου Αορίστου Χρόνου (Ι.Δ.Α.Χ.)"/>
    <s v="Τοποθέτηση σε Ιδιωτική Εκπαίδευση"/>
    <m/>
    <x v="1"/>
    <s v="ΔΙΕΥΘΥΝΣΗ Π.Ε. ΑΝΑΤ. ΘΕΣ/ΝΙΚΗΣ"/>
    <n v="120.71388888888889"/>
    <s v="δ/υ"/>
  </r>
  <r>
    <n v="99915668"/>
    <s v="Θ"/>
    <x v="3"/>
    <x v="3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s v="ΟΧΙ"/>
    <s v="ΟΧΙ"/>
    <s v="ΟΧΙ"/>
    <m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0"/>
    <s v="ΔΙΕΥΘΥΝΣΗ Δ.Ε. ΗΡΑΚΛΕΙΟΥ"/>
    <n v="120.71388888888889"/>
    <s v="δ/υ"/>
  </r>
  <r>
    <n v="99915669"/>
    <s v="Α"/>
    <x v="8"/>
    <x v="8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s v="ΟΧΙ"/>
    <s v="ΟΧΙ"/>
    <s v="ΟΧΙ"/>
    <m/>
    <s v="ΟΧΙ"/>
    <m/>
    <m/>
    <s v="Ιδιωτικά Σχολεία"/>
    <x v="0"/>
    <s v="1760001"/>
    <s v="ΙΔΙΩΤΙΚΟ ΓΥΜΝΑΣΙΟ ΗΡΑΚΛΕΙΟΥ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0"/>
    <s v="ΔΙΕΥΘΥΝΣΗ Δ.Ε. ΗΡΑΚΛΕΙΟΥ"/>
    <n v="120.71388888888889"/>
    <s v="δ/υ"/>
  </r>
  <r>
    <n v="99915670"/>
    <s v="Θ"/>
    <x v="3"/>
    <x v="3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5"/>
    <s v="ΟΧΙ"/>
    <s v="ΟΧΙ"/>
    <s v="ΟΧΙ"/>
    <m/>
    <s v="ΟΧΙ"/>
    <m/>
    <m/>
    <s v="Ιδιωτικά Σχολεία"/>
    <x v="3"/>
    <s v="1780020"/>
    <s v="ΙΔΙΩΤΙΚΟ ΛΥΚΕΙΟ - ΕΚΠΑΙΔΕΥΤΗΡΙΟ &quot;ΤΟ ΠΑΓΚΡΗΤΙΟΝ&quot;"/>
    <s v="ΗΡΑΚΛΕΙΟΥ (Δ.Ε.) 2018"/>
    <x v="65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0"/>
    <s v="ΔΙΕΥΘΥΝΣΗ Δ.Ε. ΗΡΑΚΛΕΙΟΥ"/>
    <n v="120.71388888888889"/>
    <s v="δ/υ"/>
  </r>
  <r>
    <n v="99915671"/>
    <s v="Θ"/>
    <x v="1"/>
    <x v="1"/>
    <m/>
    <m/>
    <s v="Γ΄"/>
    <n v="1"/>
    <s v="Φ.17.2/7485"/>
    <d v="2018-09-12T00:00:00"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d v="2018-09-12T00:00:00"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Αναπληρωτής Ιδιωτικής Εκπαίδευσης (ν. 682/1977 άρ.35, παρ.4)"/>
    <s v="Τοποθέτηση σε Ιδιωτική Εκπαίδευση"/>
    <m/>
    <x v="1"/>
    <s v="ΔΙΕΥΘΥΝΣΗ Π.Ε. ΧΑΝΙΩΝ"/>
    <n v="120.71388888888889"/>
    <s v="δ/υ"/>
  </r>
  <r>
    <n v="99915672"/>
    <s v="Θ"/>
    <x v="2"/>
    <x v="2"/>
    <m/>
    <m/>
    <s v="Γ΄"/>
    <n v="1"/>
    <s v="Φ.17.2/6633"/>
    <d v="2018-09-01T00:00:00"/>
    <s v="ΧΑΝΙΩΝ (Π.Ε.) 2018"/>
    <s v="ΔΙΕΥΘΥΝΣΗ Π.Ε. ΧΑΝΙΩΝ"/>
    <s v="ΠΕΡΙΦΕΡΕΙΑΚΗ Δ/ΝΣΗ Α/ΘΜΙΑΣ ΚΑΙ Β/ΘΜΙΑΣ ΕΚΠ/ΣΗΣ ΚΡΗΤΗΣ"/>
    <n v="25"/>
    <s v="ΟΧΙ"/>
    <s v="ΟΧΙ"/>
    <s v="ΟΧΙ"/>
    <s v="ΟΧΙ"/>
    <s v="ΟΧΙ"/>
    <m/>
    <d v="2018-09-01T00:00:00"/>
    <s v="Ιδιωτικά Σχολεία"/>
    <x v="2"/>
    <s v="7501001"/>
    <s v="ΙΔΙΩΤΙΚΟ ΝΗΠΙΑΓΩΓΕΙΟ ΧΑΝΙΩΝ - ΙΔΙΩΤΙΚΟ ΝΗΠΙΑΓΩΓ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1"/>
    <s v="ΔΙΕΥΘΥΝΣΗ Π.Ε. ΧΑΝΙΩΝ"/>
    <n v="120.71388888888889"/>
    <s v="δ/υ"/>
  </r>
  <r>
    <n v="99915673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m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1"/>
    <s v="ΔΙΕΥΘΥΝΣΗ Π.Ε. ΧΑΝΙΩΝ"/>
    <n v="120.71388888888889"/>
    <s v="δ/υ"/>
  </r>
  <r>
    <n v="99915674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s v="ΟΧΙ"/>
    <s v="ΟΧΙ"/>
    <s v="ΟΧΙ"/>
    <m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1"/>
    <s v="ΔΙΕΥΘΥΝΣΗ Π.Ε. ΧΑΝΙΩΝ"/>
    <n v="120.71388888888889"/>
    <s v="δ/υ"/>
  </r>
  <r>
    <n v="99915675"/>
    <s v="Θ"/>
    <x v="1"/>
    <x v="1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s v="ΟΧΙ"/>
    <s v="ΟΧΙ"/>
    <s v="ΟΧΙ"/>
    <m/>
    <s v="ΟΧΙ"/>
    <m/>
    <m/>
    <s v="Ιδιωτικά Σχολεία"/>
    <x v="1"/>
    <s v="7501000"/>
    <s v="ΙΔΙΩΤΙΚΟ ΔΗΜΟΤΙΚΟ ΧΑΝΙΩΝ - ΙΔΙΩΤΙΚΟ ΔΗΜΟΤΙΚΟ ΣΧΟΛΕΙΟ-Δ.Δ.Μ.Ν. ΝΑΥΣΤΑΘΜΟΥ ΚΡΗΤΗΣ"/>
    <s v="ΧΑΝΙΩΝ (Π.Ε.) 2018"/>
    <x v="7"/>
    <s v="ΠΕΡΙΦΕΡΕΙΑΚΗ Δ/ΝΣΗ Α/ΘΜΙΑΣ ΚΑΙ Β/ΘΜΙΑΣ ΕΚΠ/ΣΗΣ ΚΡΗΤΗΣ"/>
    <s v="Ιδιωτικού Δικαίου Αορίστου Χρόνου (Ι.Δ.Α.Χ.)"/>
    <s v="Τοποθέτηση σε Ιδιωτική Εκπαίδευση"/>
    <m/>
    <x v="1"/>
    <s v="ΔΙΕΥΘΥΝΣΗ Π.Ε. ΧΑΝΙΩΝ"/>
    <n v="120.71388888888889"/>
    <s v="δ/υ"/>
  </r>
  <r>
    <n v="99915676"/>
    <s v="Θ"/>
    <x v="2"/>
    <x v="2"/>
    <m/>
    <m/>
    <s v="Γ΄"/>
    <n v="1"/>
    <s v="7362/13-10-2015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m/>
    <m/>
    <m/>
    <s v="ΟΧΙ"/>
    <m/>
    <d v="2018-09-01T00:00:00"/>
    <s v="Ιδιωτικά Σχολεία"/>
    <x v="2"/>
    <s v="7101011"/>
    <s v="ΙΔΙΩΤΙΚΟ ΝΗΠΙΑΓΩΓΕΙ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m/>
    <x v="1"/>
    <s v="ΔΙΕΥΘΥΝΣΗ Π.Ε. ΔΩΔΕΚΑΝΗΣΟΥ"/>
    <n v="120.71388888888889"/>
    <s v="δ/υ"/>
  </r>
  <r>
    <n v="99915677"/>
    <s v="Θ"/>
    <x v="1"/>
    <x v="1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s v="ΟΧΙ"/>
    <s v="ΟΧΙ"/>
    <s v="ΟΧΙ"/>
    <m/>
    <s v="ΟΧΙ"/>
    <m/>
    <m/>
    <s v="Ιδιωτικά Σχολεία"/>
    <x v="1"/>
    <s v="7101002"/>
    <s v="ΙΔΙΩΤΙΚΟ ΔΗΜΟΤΙΚΟ - ΕΚΠΑΙΔΕΥΤΗΡΙΑ ΡΟΔΟΥ ΠΥΘΑΓΟΡΑΣ"/>
    <s v="Α΄ ΔΩΔΕΚΑΝΗΣΟΥ (Π.Ε.) 2018"/>
    <x v="5"/>
    <s v="ΠΕΡΙΦΕΡΕΙΑΚΗ Δ/ΝΣΗ Α/ΘΜΙΑΣ ΚΑΙ Β/ΘΜΙΑΣ ΕΚΠ/ΣΗΣ ΝΟΤΙΟΥ ΑΙΓΑΙΟΥ"/>
    <s v="Ιδιωτικού Δικαίου Αορίστου Χρόνου (Ι.Δ.Α.Χ.)"/>
    <s v="Τοποθέτηση σε Ιδιωτική Εκπαίδευση"/>
    <m/>
    <x v="1"/>
    <s v="ΔΙΕΥΘΥΝΣΗ Π.Ε. ΔΩΔΕΚΑΝΗΣΟΥ"/>
    <n v="120.71388888888889"/>
    <s v="δ/υ"/>
  </r>
  <r>
    <n v="99915678"/>
    <s v="Θ"/>
    <x v="0"/>
    <x v="0"/>
    <m/>
    <m/>
    <s v="Γ΄"/>
    <n v="1"/>
    <s v="4298γ/1-9-2016"/>
    <d v="2018-09-01T00:00:00"/>
    <s v="ΑΡΓΟΛΙΔΑΣ (Δ.Ε.) 2018"/>
    <s v="ΔΙΕΥΘΥΝΣΗ Δ.Ε. ΑΡΓΟΛΙΔΑΣ"/>
    <s v="ΠΕΡΙΦΕΡΕΙΑΚΗ Δ/ΝΣΗ Α/ΘΜΙΑΣ ΚΑΙ Β/ΘΜΙΑΣ ΕΚΠ/ΣΗΣ ΠΕΛΟΠΟΝΝΗΣΟΥ"/>
    <n v="12"/>
    <s v="ΟΧΙ"/>
    <m/>
    <m/>
    <m/>
    <s v="ΟΧΙ"/>
    <m/>
    <d v="2018-09-01T00:00:00"/>
    <s v="Ιδιωτικά Σχολεία"/>
    <x v="0"/>
    <s v="0260001"/>
    <s v="ΙΔΙΩΤΙΚΟ ΓΥΜΝΑΣΙΟ &quot; ΝΕΟ ΣΧΟΛΕΙΟ&quot;"/>
    <s v="ΑΡΓΟΛΙΔΑΣ (Δ.Ε.) 2018"/>
    <x v="61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m/>
    <x v="0"/>
    <s v="ΔΙΕΥΘΥΝΣΗ Δ.Ε. ΑΡΓΟΛΙΔΑΣ"/>
    <n v="120.71388888888889"/>
    <s v="δ/υ"/>
  </r>
  <r>
    <n v="99915679"/>
    <s v="Θ"/>
    <x v="1"/>
    <x v="1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3"/>
    <s v="ΟΧΙ"/>
    <s v="ΟΧΙ"/>
    <s v="ΟΧΙ"/>
    <m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m/>
    <x v="1"/>
    <s v="ΔΙΕΥΘΥΝΣΗ Π.Ε. ΑΡΓΟΛΙΔΑΣ"/>
    <n v="120.71388888888889"/>
    <s v="δ/υ"/>
  </r>
  <r>
    <n v="99915680"/>
    <s v="Θ"/>
    <x v="1"/>
    <x v="1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s v="ΟΧΙ"/>
    <s v="ΟΧΙ"/>
    <s v="ΟΧΙ"/>
    <m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m/>
    <x v="1"/>
    <s v="ΔΙΕΥΘΥΝΣΗ Π.Ε. ΑΡΓΟΛΙΔΑΣ"/>
    <n v="120.71388888888889"/>
    <s v="δ/υ"/>
  </r>
  <r>
    <n v="99915681"/>
    <s v="Θ"/>
    <x v="13"/>
    <x v="13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9"/>
    <s v="ΟΧΙ"/>
    <s v="ΟΧΙ"/>
    <s v="ΟΧΙ"/>
    <m/>
    <s v="ΟΧΙ"/>
    <m/>
    <m/>
    <s v="Ιδιωτικά Σχολεία"/>
    <x v="1"/>
    <s v="7021000"/>
    <s v="ΙΔΙΩΤΙΚΟ ΔΗΜΟΤΙΚ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m/>
    <x v="1"/>
    <s v="ΔΙΕΥΘΥΝΣΗ Π.Ε. ΑΡΓΟΛΙΔΑΣ"/>
    <n v="120.71388888888889"/>
    <s v="δ/υ"/>
  </r>
  <r>
    <n v="99915682"/>
    <s v="Θ"/>
    <x v="2"/>
    <x v="2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5"/>
    <s v="ΟΧΙ"/>
    <s v="ΟΧΙ"/>
    <s v="ΟΧΙ"/>
    <m/>
    <s v="ΟΧΙ"/>
    <m/>
    <m/>
    <s v="Ιδιωτικά Σχολεία"/>
    <x v="2"/>
    <s v="7021011"/>
    <s v="ΙΔΙΩΤΙΚΟ ΝΗΠΙΑΓΩΓΕΙΟ ΑΡΓΟΣ - ΠΡΟΤΥΠΑ ΕΚΠΑΙΔΕΥΤΗΡΙΑ ΑΦΩΝ ΜΑΛΤΕΖΟΥ"/>
    <s v="ΑΡΓΟΛΙΔΑΣ (Π.Ε.) 2018"/>
    <x v="32"/>
    <s v="ΠΕΡΙΦΕΡΕΙΑΚΗ Δ/ΝΣΗ Α/ΘΜΙΑΣ ΚΑΙ Β/ΘΜΙΑΣ ΕΚΠ/ΣΗΣ ΠΕΛΟΠΟΝΝΗΣΟΥ"/>
    <s v="Ιδιωτικού Δικαίου Αορίστου Χρόνου (Ι.Δ.Α.Χ.)"/>
    <s v="Τοποθέτηση σε Ιδιωτική Εκπαίδευση"/>
    <m/>
    <x v="1"/>
    <s v="ΔΙΕΥΘΥΝΣΗ Π.Ε. ΑΡΓΟΛΙΔΑΣ"/>
    <n v="120.71388888888889"/>
    <s v="δ/υ"/>
  </r>
  <r>
    <n v="99915683"/>
    <s v="Θ"/>
    <x v="1"/>
    <x v="1"/>
    <m/>
    <m/>
    <s v="Γ΄"/>
    <n v="1"/>
    <s v="Φ.17/3676"/>
    <d v="2018-09-11T00:00:00"/>
    <s v="ΚΟΡΙΝΘΙΑΣ (Π.Ε.) 2018"/>
    <s v="ΔΙΕΥΘΥΝΣΗ Π.Ε. ΚΟΡΙΝΘΙΑΣ"/>
    <s v="ΠΕΡΙΦΕΡΕΙΑΚΗ Δ/ΝΣΗ Α/ΘΜΙΑΣ ΚΑΙ Β/ΘΜΙΑΣ ΕΚΠ/ΣΗΣ ΠΕΛΟΠΟΝΝΗΣΟΥ"/>
    <n v="24"/>
    <s v="ΟΧΙ"/>
    <m/>
    <m/>
    <m/>
    <s v="ΟΧΙ"/>
    <m/>
    <d v="2018-09-11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m/>
    <x v="1"/>
    <s v="ΔΙΕΥΘΥΝΣΗ Π.Ε. ΚΟΡΙΝΘΙΑΣ"/>
    <n v="120.71388888888889"/>
    <s v="δ/υ"/>
  </r>
  <r>
    <n v="99915684"/>
    <s v="Θ"/>
    <x v="14"/>
    <x v="14"/>
    <m/>
    <m/>
    <s v="Γ΄"/>
    <n v="1"/>
    <s v="Φ.17/3558"/>
    <d v="2018-09-07T00:00:00"/>
    <s v="ΚΟΡΙΝΘΙΑΣ (Π.Ε.) 2018"/>
    <s v="ΔΙΕΥΘΥΝΣΗ Π.Ε. ΚΟΡΙΝΘΙΑΣ"/>
    <s v="ΠΕΡΙΦΕΡΕΙΑΚΗ Δ/ΝΣΗ Α/ΘΜΙΑΣ ΚΑΙ Β/ΘΜΙΑΣ ΕΚΠ/ΣΗΣ ΠΕΛΟΠΟΝΝΗΣΟΥ"/>
    <n v="6"/>
    <s v="ΟΧΙ"/>
    <m/>
    <m/>
    <m/>
    <s v="ΟΧΙ"/>
    <m/>
    <d v="2018-09-07T00:00:00"/>
    <s v="Ιδιωτικά Σχολεία"/>
    <x v="1"/>
    <s v="7281004"/>
    <s v="1ο ΙΔΙΩΤΙΚΟ ΔΗΜΟΤΙΚΟ ΙΣΘΜΟΣ ΚΟΡΙΝΘΟΥ - ΑΡΙΣΤΟΤΕΛΕΙΟ ΚΟΡΙΝΘΙΑΚΟ ΕΚΠΑΙΔΕΥΤΗΡΙΟ-ΔΗΜ.ΣΧΟΛΕΙΟ"/>
    <s v="ΚΟΡΙΝΘΙΑΣ (Π.Ε.) 2018"/>
    <x v="2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m/>
    <x v="1"/>
    <s v="ΔΙΕΥΘΥΝΣΗ Π.Ε. ΚΟΡΙΝΘΙΑΣ"/>
    <n v="120.71388888888889"/>
    <s v="δ/υ"/>
  </r>
  <r>
    <n v="99915685"/>
    <s v="Θ"/>
    <x v="1"/>
    <x v="1"/>
    <m/>
    <m/>
    <s v="Γ΄"/>
    <n v="1"/>
    <n v="5150"/>
    <d v="2018-09-17T00:00:00"/>
    <s v="ΛΑΚΩΝΙΑΣ (Π.Ε.) 2018"/>
    <s v="ΔΙΕΥΘΥΝΣΗ Π.Ε. ΛΑΚΩΝΙΑΣ"/>
    <s v="ΠΕΡΙΦΕΡΕΙΑΚΗ Δ/ΝΣΗ Α/ΘΜΙΑΣ ΚΑΙ Β/ΘΜΙΑΣ ΕΚΠ/ΣΗΣ ΠΕΛΟΠΟΝΝΗΣΟΥ"/>
    <n v="24"/>
    <s v="ΟΧΙ"/>
    <m/>
    <m/>
    <m/>
    <s v="ΟΧΙ"/>
    <m/>
    <d v="2018-09-17T00:00:00"/>
    <s v="Ιδιωτικά Σχολεία"/>
    <x v="1"/>
    <s v="7301000"/>
    <s v="ΙΔΙΩΤΙΚΟ ΔΗΜΟΤΙΚΟ ΣΠΑΡΤΗ - ΙΔΙΩΤΙΚΟ ΔΗΜΟΤΙΚΟ ΣΧΟΛΕΙΟ ΙΩΑΝΝΑΣ ΠΟΛΥΧΡΟΝΑΚΟΥ"/>
    <s v="ΛΑΚΩΝΙΑΣ (Π.Ε.) 2018"/>
    <x v="5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m/>
    <x v="1"/>
    <s v="ΔΙΕΥΘΥΝΣΗ Π.Ε. ΛΑΚΩΝΙΑΣ"/>
    <n v="120.71388888888889"/>
    <s v="δ/υ"/>
  </r>
  <r>
    <n v="99915686"/>
    <s v="Θ"/>
    <x v="2"/>
    <x v="2"/>
    <m/>
    <m/>
    <s v="Γ΄"/>
    <n v="1"/>
    <n v="4893"/>
    <d v="2018-09-11T00:00:00"/>
    <s v="ΛΑΚΩΝΙΑΣ (Π.Ε.) 2018"/>
    <s v="ΔΙΕΥΘΥΝΣΗ Π.Ε. ΛΑΚΩΝΙΑΣ"/>
    <s v="ΠΕΡΙΦΕΡΕΙΑΚΗ Δ/ΝΣΗ Α/ΘΜΙΑΣ ΚΑΙ Β/ΘΜΙΑΣ ΕΚΠ/ΣΗΣ ΠΕΛΟΠΟΝΝΗΣΟΥ"/>
    <n v="25"/>
    <s v="ΟΧΙ"/>
    <m/>
    <m/>
    <m/>
    <s v="ΟΧΙ"/>
    <m/>
    <d v="2018-09-11T00:00:00"/>
    <s v="Ιδιωτικά Σχολεία"/>
    <x v="2"/>
    <s v="7301001"/>
    <s v="ΙΔΙΩΤΙΚΟ ΝΗΠΙΑΓΩΓΕΙΟ ΣΠΑΡΤΗ - ΙΔΙΩΤΙΚΟ ΝΗΠΙΑΓΩΓΕΙΟ ΙΩΑΝΝΑΣ ΠΟΛΥΧΡΟΝΑΚΟΥ"/>
    <s v="ΛΑΚΩΝΙΑΣ (Π.Ε.) 2018"/>
    <x v="52"/>
    <s v="ΠΕΡΙΦΕΡΕΙΑΚΗ Δ/ΝΣΗ Α/ΘΜΙΑΣ ΚΑΙ Β/ΘΜΙΑΣ ΕΚΠ/ΣΗΣ ΠΕΛΟΠΟΝΝΗΣΟΥ"/>
    <s v="Ιδιωτικού Δικαίου Ορισμένου Χρόνου (Ι.Δ.Ο.Χ.)"/>
    <s v="Τοποθέτηση σε Ιδιωτική Εκπαίδευση"/>
    <m/>
    <x v="1"/>
    <s v="ΔΙΕΥΘΥΝΣΗ Π.Ε. ΛΑΚΩΝΙΑΣ"/>
    <n v="120.71388888888889"/>
    <s v="δ/υ"/>
  </r>
  <r>
    <m/>
    <m/>
    <x v="32"/>
    <x v="31"/>
    <m/>
    <m/>
    <m/>
    <m/>
    <m/>
    <m/>
    <m/>
    <m/>
    <m/>
    <m/>
    <m/>
    <m/>
    <m/>
    <m/>
    <m/>
    <m/>
    <m/>
    <m/>
    <x v="5"/>
    <m/>
    <m/>
    <m/>
    <x v="72"/>
    <m/>
    <m/>
    <m/>
    <m/>
    <x v="2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88">
  <r>
    <x v="0"/>
    <x v="0"/>
    <s v="ΠΕ11"/>
    <s v="ΦΥΣΙΚΗΣ ΑΓΩΓΗΣ"/>
    <m/>
    <m/>
    <s v="Γ΄"/>
    <n v="1"/>
    <s v="Φ.17/16539/6/24-10-2018"/>
    <d v="2018-09-19T00:00:00"/>
    <s v="ΑΧΑΪΑΣ (Δ.Ε.) 2018"/>
    <s v="ΔΙΕΥΘΥΝΣΗ Δ.Ε. ΑΧΑΪΑΣ"/>
    <s v="ΠΕΡΙΦΕΡΕΙΑΚΗ Δ/ΝΣΗ Α/ΘΜΙΑΣ ΚΑΙ Β/ΘΜΙΑΣ ΕΚΠ/ΣΗΣ ΔΥΤΙΚΗΣ ΕΛΛΑΔΑΣ"/>
    <n v="1"/>
    <d v="2018-09-19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86-05-12T00:00:00"/>
    <x v="0"/>
    <s v="ΔΙΕΥΘΥΝΣΗ Δ.Ε. ΑΧΑΪΑΣ"/>
    <x v="0"/>
  </r>
  <r>
    <x v="1"/>
    <x v="1"/>
    <s v="ΠΕ60"/>
    <s v="ΝΗΠΙΑΓΩΓ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1"/>
    <m/>
    <s v="Ιδιωτικά Σχολεία"/>
    <x v="1"/>
    <s v="7171009"/>
    <s v="ΙΔΙΩΤΙΚΟ ΝΗΠΙΑΓΩΓΕΙΟ ΗΡΑΚΛΕΙΟ ΚΡΗΤΗΣ - ΝΕΑ ΔΗΜΙΟΥΡΓΙΑ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4-12-04T00:00:00"/>
    <x v="1"/>
    <s v="ΔΙΕΥΘΥΝΣΗ Π.Ε. ΗΡΑΚΛΕΙΟΥ"/>
    <x v="0"/>
  </r>
  <r>
    <x v="2"/>
    <x v="1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3-08-11T00:00:00"/>
    <x v="0"/>
    <s v="ΔΙΕΥΘΥΝΣΗ Δ.Ε. ΑΝΑΤΟΛΙΚΗΣ ΑΤΤΙΚΗΣ"/>
    <x v="0"/>
  </r>
  <r>
    <x v="3"/>
    <x v="0"/>
    <s v="ΠΕ01"/>
    <s v="ΘΕΟΛΟΓΟΙ"/>
    <m/>
    <m/>
    <s v="Γ΄"/>
    <n v="1"/>
    <s v="Φ.17/16539/1/24-10-2018"/>
    <d v="2018-09-20T00:00:00"/>
    <s v="ΑΧΑΪΑΣ (Δ.Ε.) 2018"/>
    <s v="ΔΙΕΥΘΥΝΣΗ Δ.Ε. ΑΧΑΪΑΣ"/>
    <s v="ΠΕΡΙΦΕΡΕΙΑΚΗ Δ/ΝΣΗ Α/ΘΜΙΑΣ ΚΑΙ Β/ΘΜΙΑΣ ΕΚΠ/ΣΗΣ ΔΥΤΙΚΗΣ ΕΛΛΑΔΑΣ"/>
    <n v="1"/>
    <d v="2018-09-20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81-03-25T00:00:00"/>
    <x v="0"/>
    <s v="ΔΙΕΥΘΥΝΣΗ Δ.Ε. ΑΧΑΪΑΣ"/>
    <x v="0"/>
  </r>
  <r>
    <x v="4"/>
    <x v="0"/>
    <s v="ΠΕ86"/>
    <s v="ΠΛΗΡΟΦΟΡΙΚ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ΑΝΑΤΟΛΙΚΗΣ ΑΤΤΙΚΗΣ"/>
    <x v="0"/>
  </r>
  <r>
    <x v="5"/>
    <x v="1"/>
    <s v="ΠΕ05"/>
    <s v="ΓΑΛΛΙΚΗΣ ΦΙΛΟΛΟΓΙΑΣ"/>
    <m/>
    <m/>
    <s v="Γ΄"/>
    <n v="1"/>
    <s v="Φ. 17.2/8655/26-10-2017"/>
    <d v="2018-09-01T00:00:00"/>
    <s v="Α΄ ΜΑΓΝΗΣΙΑΣ (Δ.Ε.) 2018"/>
    <s v="ΔΙΕΥΘΥΝΣΗ Δ.Ε. ΜΑΓΝΗΣΙΑΣ"/>
    <s v="ΠΕΡΙΦΕΡΕΙΑΚΗ Δ/ΝΣΗ Α/ΘΜΙΑΣ ΚΑΙ Β/ΘΜΙΑΣ ΕΚΠ/ΣΗΣ ΘΕΣΣΑΛΙΑΣ"/>
    <n v="1"/>
    <d v="2018-09-01T00:00:00"/>
    <s v="Ιδιωτικά Σχολεία"/>
    <x v="2"/>
    <s v="3560001"/>
    <s v="ΙΔΙΩΤΙΚΟ ΓΥΜΝΑΣ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70-06-03T00:00:00"/>
    <x v="0"/>
    <s v="ΔΙΕΥΘΥΝΣΗ Δ.Ε. ΜΑΓΝΗΣΙΑΣ"/>
    <x v="0"/>
  </r>
  <r>
    <x v="6"/>
    <x v="1"/>
    <s v="ΠΕ79.01"/>
    <s v="ΜΟΥΣΙΚΗΣ ΕΠΙΣΤΗΜΗΣ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1"/>
    <d v="2018-09-12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12-21T00:00:00"/>
    <x v="0"/>
    <s v="ΔΙΕΥΘΥΝΣΗ Δ.Ε. Δ΄ ΑΘΗΝΑΣ"/>
    <x v="0"/>
  </r>
  <r>
    <x v="7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12-25T00:00:00"/>
    <x v="0"/>
    <s v="ΔΙΕΥΘΥΝΣΗ Δ.Ε. ΑΝΑΤ. ΘΕΣ/ΝΙΚΗΣ"/>
    <x v="0"/>
  </r>
  <r>
    <x v="8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"/>
    <m/>
    <s v="Ιδιωτικά Σχολεία"/>
    <x v="4"/>
    <s v="7051010"/>
    <s v="ΙΔΙΩΤΙΚΟ ΔΗΜΟΤΙΚΟ ΑΘΗΝΑ - ΣΧΟΛΗ ΧΙΛ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59-12-14T00:00:00"/>
    <x v="1"/>
    <s v="ΔΙΕΥΘΥΝΣΗ Π.Ε. Α΄ ΑΘΗΝΑΣ"/>
    <x v="0"/>
  </r>
  <r>
    <x v="9"/>
    <x v="1"/>
    <s v="ΠΕ91.01"/>
    <s v="ΘΕΑΤΡΙΚΩΝ ΣΠΟΥΔΩΝ"/>
    <m/>
    <m/>
    <s v="Γ΄"/>
    <n v="1"/>
    <s v="Φ.17.2/873/17-2-2014"/>
    <d v="2018-09-01T00:00:00"/>
    <s v="Α΄ ΜΑΓΝΗΣΙΑΣ (Π.Ε.) 2018"/>
    <s v="ΔΙΕΥΘΥΝΣΗ Π.Ε. ΜΑΓΝΗΣΙΑΣ"/>
    <s v="ΠΕΡΙΦΕΡΕΙΑΚΗ Δ/ΝΣΗ Α/ΘΜΙΑΣ ΚΑΙ Β/ΘΜΙΑΣ ΕΚΠ/ΣΗΣ ΘΕΣΣΑΛΙΑΣ"/>
    <n v="1"/>
    <d v="2018-09-01T00:00:00"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m/>
    <x v="1"/>
    <s v="ΔΙΕΥΘΥΝΣΗ Π.Ε. ΜΑΓΝΗΣΙΑΣ"/>
    <x v="0"/>
  </r>
  <r>
    <x v="10"/>
    <x v="0"/>
    <s v="ΠΕ08"/>
    <s v="ΚΑΛΛΙΤΕΧΝΙΚΩΝ"/>
    <m/>
    <m/>
    <s v="Γ΄"/>
    <n v="1"/>
    <n v="24574"/>
    <d v="2018-11-01T00:00:00"/>
    <s v="Α΄ ΠΕΙΡΑΙΑ (Δ.Ε.) 2018"/>
    <s v="ΔΙΕΥΘΥΝΣΗ Δ.Ε. ΠΕΙΡΑΙΑ"/>
    <s v="ΠΕΡΙΦΕΡΕΙΑΚΗ Δ/ΝΣΗ Α/ΘΜΙΑΣ ΚΑΙ Β/ΘΜΙΑΣ ΕΚΠ/ΣΗΣ ΑΤΤΙΚΗΣ"/>
    <n v="2"/>
    <d v="2018-11-01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92-08-02T00:00:00"/>
    <x v="0"/>
    <s v="ΔΙΕΥΘΥΝΣΗ Δ.Ε. ΠΕΙΡΑΙΑ"/>
    <x v="0"/>
  </r>
  <r>
    <x v="11"/>
    <x v="1"/>
    <s v="ΠΕ11"/>
    <s v="ΦΥΣΙΚΗΣ ΑΓΩΓΗΣ"/>
    <m/>
    <m/>
    <s v="Γ΄"/>
    <n v="1"/>
    <n v="22914"/>
    <d v="2018-10-01T00:00:00"/>
    <s v="Α΄ ΠΕΙΡΑΙΑ (Π.Ε.) 2018"/>
    <s v="ΔΙΕΥΘΥΝΣΗ Π.Ε. ΠΕΙΡΑΙΑ"/>
    <s v="ΠΕΡΙΦΕΡΕΙΑΚΗ Δ/ΝΣΗ Α/ΘΜΙΑΣ ΚΑΙ Β/ΘΜΙΑΣ ΕΚΠ/ΣΗΣ ΑΤΤΙΚΗΣ"/>
    <n v="2"/>
    <d v="2018-10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2-07-24T00:00:00"/>
    <x v="1"/>
    <s v="ΔΙΕΥΘΥΝΣΗ Π.Ε. ΠΕΙΡΑΙΑ"/>
    <x v="0"/>
  </r>
  <r>
    <x v="12"/>
    <x v="1"/>
    <s v="ΠΕ86"/>
    <s v="ΠΛΗΡΟΦΟΡΙΚΗΣ"/>
    <m/>
    <m/>
    <s v="Γ΄"/>
    <n v="1"/>
    <n v="22116"/>
    <d v="2017-10-19T00:00:00"/>
    <s v="Α΄ ΠΕΙΡΑΙΑ (Δ.Ε.) 2018"/>
    <s v="ΔΙΕΥΘΥΝΣΗ Δ.Ε. ΠΕΙΡΑΙΑ"/>
    <s v="ΠΕΡΙΦΕΡΕΙΑΚΗ Δ/ΝΣΗ Α/ΘΜΙΑΣ ΚΑΙ Β/ΘΜΙΑΣ ΕΚΠ/ΣΗΣ ΑΤΤΙΚΗΣ"/>
    <n v="2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8-07-26T00:00:00"/>
    <x v="0"/>
    <s v="ΔΙΕΥΘΥΝΣΗ Δ.Ε. ΠΕΙΡΑΙΑ"/>
    <x v="0"/>
  </r>
  <r>
    <x v="13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6-09-09T00:00:00"/>
    <x v="0"/>
    <s v="ΔΙΕΥΘΥΝΣΗ Δ.Ε. Γ΄ ΑΘΗΝΑΣ"/>
    <x v="0"/>
  </r>
  <r>
    <x v="14"/>
    <x v="1"/>
    <s v="ΠΕ05"/>
    <s v="ΓΑΛ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"/>
    <m/>
    <s v="Ιδιωτικά Σχολεία"/>
    <x v="1"/>
    <s v="7054021"/>
    <s v="ΙΔΙΩΤΙΚΟ ΝΗΠΙΑΓΩΓΕΙΟ Ε.Μ.Ε.D.O.F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5-29T00:00:00"/>
    <x v="1"/>
    <s v="ΔΙΕΥΘΥΝΣΗ Π.Ε. Δ΄ ΑΘΗΝΑΣ"/>
    <x v="0"/>
  </r>
  <r>
    <x v="15"/>
    <x v="1"/>
    <s v="ΠΕ01"/>
    <s v="ΘΕΟΛΟΓΟΙ"/>
    <m/>
    <m/>
    <s v="Γ΄"/>
    <n v="1"/>
    <s v="16299/ 02/10/2018"/>
    <d v="2018-09-11T00:00:00"/>
    <s v="Β΄ ΑΝΑΤ. ΑΤΤΙΚΗΣ (Δ.Ε.) 2018"/>
    <s v="ΔΙΕΥΘΥΝΣΗ Δ.Ε. ΑΝΑΤΟΛΙΚΗΣ ΑΤΤΙΚΗΣ"/>
    <s v="ΠΕΡΙΦΕΡΕΙΑΚΗ Δ/ΝΣΗ Α/ΘΜΙΑΣ ΚΑΙ Β/ΘΜΙΑΣ ΕΚΠ/ΣΗΣ ΑΤΤΙΚΗΣ"/>
    <n v="2"/>
    <d v="2018-09-11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5-04-29T00:00:00"/>
    <x v="0"/>
    <s v="ΔΙΕΥΘΥΝΣΗ Δ.Ε. ΑΝΑΤΟΛΙΚΗΣ ΑΤΤΙΚΗΣ"/>
    <x v="0"/>
  </r>
  <r>
    <x v="16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4-12-15T00:00:00"/>
    <x v="0"/>
    <s v="ΔΙΕΥΘΥΝΣΗ Δ.Ε. Γ΄ ΑΘΗΝΑΣ"/>
    <x v="0"/>
  </r>
  <r>
    <x v="17"/>
    <x v="1"/>
    <s v="ΠΕ80"/>
    <s v="ΟΙΚΟΝΟΜΙΑΣ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2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4-01-01T00:00:00"/>
    <x v="0"/>
    <s v="ΔΙΕΥΘΥΝΣΗ Δ.Ε. ΠΕΙΡΑΙΑ"/>
    <x v="0"/>
  </r>
  <r>
    <x v="18"/>
    <x v="1"/>
    <s v="ΠΕ80"/>
    <s v="ΟΙΚΟΝΟΜΙΑΣ"/>
    <m/>
    <m/>
    <s v="Γ΄"/>
    <n v="1"/>
    <m/>
    <m/>
    <s v="ΚΟΡΙΝΘΙΑΣ (Δ.Ε.) 2018"/>
    <s v="ΔΙΕΥΘΥΝΣΗ Δ.Ε. ΚΟΡΙΝΘΙΑΣ"/>
    <s v="ΠΕΡΙΦΕΡΕΙΑΚΗ Δ/ΝΣΗ Α/ΘΜΙΑΣ ΚΑΙ Β/ΘΜΙΑΣ ΕΚΠ/ΣΗΣ ΠΕΛΟΠΟΝΝΗΣΟΥ"/>
    <n v="2"/>
    <m/>
    <s v="Ιδιωτικά Σχολεία"/>
    <x v="2"/>
    <s v="2881020"/>
    <s v="ΙΔΙΩΤΙΚΟ ΓΥΜΝΑΣΙΟ ΚΟΡΙΝΘΟΥ - ΑΠΟΣΤΟΛΟΣ ΠΑΥΛΟΣ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1-05-21T00:00:00"/>
    <x v="0"/>
    <s v="ΔΙΕΥΘΥΝΣΗ Δ.Ε. ΚΟΡΙΝΘΙΑΣ"/>
    <x v="0"/>
  </r>
  <r>
    <x v="19"/>
    <x v="1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Γ΄ ΑΘΗΝΑΣ"/>
    <x v="0"/>
  </r>
  <r>
    <x v="20"/>
    <x v="1"/>
    <s v="ΠΕ81"/>
    <s v="ΠΟΛ.ΜΗΧΑΝΙΚΩΝ-ΑΡΧΙΤΕΚΤΟΝ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10-06T00:00:00"/>
    <x v="0"/>
    <s v="ΔΙΕΥΘΥΝΣΗ Δ.Ε. Β΄ ΑΘΗΝΑΣ"/>
    <x v="0"/>
  </r>
  <r>
    <x v="21"/>
    <x v="1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"/>
    <m/>
    <s v="Ιδιωτικά Σχολεία"/>
    <x v="2"/>
    <s v="2881010"/>
    <s v="ΙΔΙΩΤΙΚΟ ΓΥΜΝΑΣΙΟ ΚΟΡΙΝΘΟΥ - ΑΡΙΣΤΟΤΕΛΕΙΟ ΚΟΡΙΝΘΙΑΚΟ ΕΚΠΑΙΔΕΥΤΗΡ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9-01-01T00:00:00"/>
    <x v="0"/>
    <s v="ΔΙΕΥΘΥΝΣΗ Δ.Ε. ΚΟΡΙΝΘΙΑΣ"/>
    <x v="0"/>
  </r>
  <r>
    <x v="22"/>
    <x v="1"/>
    <s v="ΠΕ06"/>
    <s v="ΑΓΓΛΙΚΗΣ ΦΙΛΟΛΟΓΙΑΣ"/>
    <m/>
    <m/>
    <s v="Γ΄"/>
    <n v="1"/>
    <n v="4178"/>
    <d v="2018-09-10T00:00:00"/>
    <s v="ΑΡΓΟΛΙΔΑΣ (Π.Ε.) 2018"/>
    <s v="ΔΙΕΥΘΥΝΣΗ Π.Ε. ΑΡΓΟΛΙΔΑΣ"/>
    <s v="ΠΕΡΙΦΕΡΕΙΑΚΗ Δ/ΝΣΗ Α/ΘΜΙΑΣ ΚΑΙ Β/ΘΜΙΑΣ ΕΚΠ/ΣΗΣ ΠΕΛΟΠΟΝΝΗΣΟΥ"/>
    <n v="2"/>
    <d v="2018-09-10T00:00:00"/>
    <s v="Ιδιωτικά Σχολεία"/>
    <x v="1"/>
    <s v="7021011"/>
    <s v="ΙΔΙΩΤΙΚΟ ΝΗΠΙΑΓΩΓΕΙ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78-05-11T00:00:00"/>
    <x v="1"/>
    <s v="ΔΙΕΥΘΥΝΣΗ Π.Ε. ΑΡΓΟΛΙΔΑΣ"/>
    <x v="0"/>
  </r>
  <r>
    <x v="23"/>
    <x v="1"/>
    <s v="ΠΕ78"/>
    <s v="ΚΟΙΝΩΝΙΚΩΝ ΕΠΙΣΤΗΜΩΝ"/>
    <m/>
    <m/>
    <s v="Γ΄"/>
    <n v="1"/>
    <s v="21811/12-10-2018"/>
    <d v="2018-10-12T00:00:00"/>
    <s v="ΛΑΡΙΣΑΣ (Δ.Ε.) 2018"/>
    <s v="ΔΙΕΥΘΥΝΣΗ Δ.Ε. ΛΑΡΙΣΑΣ"/>
    <s v="ΠΕΡΙΦΕΡΕΙΑΚΗ Δ/ΝΣΗ Α/ΘΜΙΑΣ ΚΑΙ Β/ΘΜΙΑΣ ΕΚΠ/ΣΗΣ ΘΕΣΣΑΛΙΑΣ"/>
    <n v="2"/>
    <d v="2018-10-12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2"/>
    <s v="Τοποθέτηση σε Ιδιωτική Εκπαίδευση"/>
    <d v="1977-05-11T00:00:00"/>
    <x v="0"/>
    <s v="ΔΙΕΥΘΥΝΣΗ Δ.Ε. ΛΑΡΙΣΑΣ"/>
    <x v="0"/>
  </r>
  <r>
    <x v="24"/>
    <x v="1"/>
    <s v="ΠΕ79.01"/>
    <s v="ΜΟΥΣΙΚΗΣ ΕΠΙΣΤΗΜΗΣ"/>
    <m/>
    <m/>
    <s v="Γ΄"/>
    <n v="1"/>
    <n v="16687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"/>
    <d v="2018-09-01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2"/>
    <s v="Τοποθέτηση σε Ιδιωτική Εκπαίδευση"/>
    <d v="1974-01-01T00:00:00"/>
    <x v="0"/>
    <s v="ΔΙΕΥΘΥΝΣΗ Δ.Ε. ΑΝΑΤΟΛΙΚΗΣ ΑΤΤΙΚΗΣ"/>
    <x v="0"/>
  </r>
  <r>
    <x v="25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10-18T00:00:00"/>
    <x v="0"/>
    <s v="ΔΙΕΥΘΥΝΣΗ Δ.Ε. Β΄ ΑΘΗΝΑΣ"/>
    <x v="0"/>
  </r>
  <r>
    <x v="26"/>
    <x v="1"/>
    <s v="ΠΕ79.01"/>
    <s v="ΜΟΥΣΙΚΗΣ ΕΠΙΣΤΗΜΗΣ"/>
    <m/>
    <m/>
    <s v="Γ΄"/>
    <n v="1"/>
    <m/>
    <m/>
    <s v="Γ΄ ΑΘΗΝΑΣ (Π.Ε.) 2018"/>
    <s v="ΔΙΕΥΘΥΝΣΗ Π.Ε. Γ΄ ΑΘΗΝΑΣ"/>
    <s v="ΠΕΡΙΦΕΡΕΙΑΚΗ Δ/ΝΣΗ Α/ΘΜΙΑΣ ΚΑΙ Β/ΘΜΙΑΣ ΕΚΠ/ΣΗΣ ΑΤΤΙΚΗΣ"/>
    <n v="2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69-04-22T00:00:00"/>
    <x v="1"/>
    <s v="ΔΙΕΥΘΥΝΣΗ Π.Ε. Γ΄ ΑΘΗΝΑΣ"/>
    <x v="0"/>
  </r>
  <r>
    <x v="27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11-02T00:00:00"/>
    <x v="0"/>
    <s v="ΔΙΕΥΘΥΝΣΗ Δ.Ε. ΑΝΑΤΟΛΙΚΗΣ ΑΤΤΙΚΗΣ"/>
    <x v="0"/>
  </r>
  <r>
    <x v="2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3-28T00:00:00"/>
    <x v="0"/>
    <s v="ΔΙΕΥΘΥΝΣΗ Δ.Ε. Β΄ ΑΘΗΝΑΣ"/>
    <x v="0"/>
  </r>
  <r>
    <x v="29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08-01T00:00:00"/>
    <x v="0"/>
    <s v="ΔΙΕΥΘΥΝΣΗ Δ.Ε. ΑΝΑΤΟΛΙΚΗΣ ΑΤΤΙΚΗΣ"/>
    <x v="0"/>
  </r>
  <r>
    <x v="30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5-08-08T00:00:00"/>
    <x v="0"/>
    <s v="ΔΙΕΥΘΥΝΣΗ Δ.Ε. Γ΄ ΑΘΗΝΑΣ"/>
    <x v="0"/>
  </r>
  <r>
    <x v="31"/>
    <x v="1"/>
    <s v="ΠΕ79.01"/>
    <s v="ΜΟΥΣΙΚΗΣ ΕΠΙΣΤΗΜ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4-07-04T00:00:00"/>
    <x v="0"/>
    <s v="ΔΙΕΥΘΥΝΣΗ Δ.Ε. ΑΝΑΤΟΛΙΚΗΣ ΑΤΤΙΚΗΣ"/>
    <x v="0"/>
  </r>
  <r>
    <x v="32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2-04-26T00:00:00"/>
    <x v="0"/>
    <s v="ΔΙΕΥΘΥΝΣΗ Δ.Ε. ΠΕΙΡΑΙΑ"/>
    <x v="0"/>
  </r>
  <r>
    <x v="33"/>
    <x v="0"/>
    <s v="ΠΕ78"/>
    <s v="ΚΟΙΝΩΝΙΚΩΝ ΕΠΙΣΤΗΜΩΝ"/>
    <m/>
    <m/>
    <s v="Γ΄"/>
    <n v="1"/>
    <n v="22501"/>
    <d v="2018-10-25T00:00:00"/>
    <s v="Α΄ ΠΕΙΡΑΙΑ (Δ.Ε.) 2018"/>
    <s v="ΔΙΕΥΘΥΝΣΗ Δ.Ε. ΠΕΙΡΑΙΑ"/>
    <s v="ΠΕΡΙΦΕΡΕΙΑΚΗ Δ/ΝΣΗ Α/ΘΜΙΑΣ ΚΑΙ Β/ΘΜΙΑΣ ΕΚΠ/ΣΗΣ ΑΤΤΙΚΗΣ"/>
    <n v="2"/>
    <d v="2018-10-25T00:00:00"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2-04-10T00:00:00"/>
    <x v="0"/>
    <s v="ΔΙΕΥΘΥΝΣΗ Δ.Ε. ΠΕΙΡΑΙΑ"/>
    <x v="0"/>
  </r>
  <r>
    <x v="34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8-27T00:00:00"/>
    <x v="0"/>
    <s v="ΔΙΕΥΘΥΝΣΗ Δ.Ε. Β΄ ΑΘΗΝΑΣ"/>
    <x v="0"/>
  </r>
  <r>
    <x v="35"/>
    <x v="0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03-10T00:00:00"/>
    <x v="0"/>
    <s v="ΔΙΕΥΘΥΝΣΗ Δ.Ε. Β΄ ΑΘΗΝΑΣ"/>
    <x v="0"/>
  </r>
  <r>
    <x v="36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7-11-25T00:00:00"/>
    <x v="0"/>
    <s v="ΔΙΕΥΘΥΝΣΗ Δ.Ε. ΠΕΙΡΑΙΑ"/>
    <x v="0"/>
  </r>
  <r>
    <x v="37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08-11T00:00:00"/>
    <x v="0"/>
    <s v="ΔΙΕΥΘΥΝΣΗ Δ.Ε. Β΄ ΑΘΗΝΑΣ"/>
    <x v="0"/>
  </r>
  <r>
    <x v="38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3-07-05T00:00:00"/>
    <x v="0"/>
    <s v="ΔΙΕΥΘΥΝΣΗ Δ.Ε. Β΄ ΑΘΗΝΑΣ"/>
    <x v="0"/>
  </r>
  <r>
    <x v="39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0"/>
  </r>
  <r>
    <x v="40"/>
    <x v="1"/>
    <s v="ΠΕ04.04"/>
    <s v="ΒΙ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3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92-11-28T00:00:00"/>
    <x v="0"/>
    <s v="ΔΙΕΥΘΥΝΣΗ Δ.Ε. ΚΟΡΙΝΘΙΑΣ"/>
    <x v="0"/>
  </r>
  <r>
    <x v="41"/>
    <x v="1"/>
    <s v="ΤΕ16"/>
    <s v="ΜΟΥΣΙΚΗΣ ΜΗ ΑΝΩΤΑΤΩΝ ΙΔΡΥΜΑΤΩΝ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3"/>
    <m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91-01-21T00:00:00"/>
    <x v="0"/>
    <s v="ΔΙΕΥΘΥΝΣΗ Δ.Ε. ΙΩΑΝΝΙΝΩΝ"/>
    <x v="0"/>
  </r>
  <r>
    <x v="42"/>
    <x v="1"/>
    <s v="ΠΕ06"/>
    <s v="ΑΓΓΛΙΚΗΣ ΦΙΛΟΛΟΓΙΑΣ"/>
    <m/>
    <m/>
    <s v="Γ΄"/>
    <n v="1"/>
    <n v="21106"/>
    <d v="2018-09-01T00:00:00"/>
    <s v="Α΄ ΠΕΙΡΑΙΑ (Δ.Ε.) 2018"/>
    <s v="ΔΙΕΥΘΥΝΣΗ Δ.Ε. ΠΕΙΡΑΙΑ"/>
    <s v="ΠΕΡΙΦΕΡΕΙΑΚΗ Δ/ΝΣΗ Α/ΘΜΙΑΣ ΚΑΙ Β/ΘΜΙΑΣ ΕΚΠ/ΣΗΣ ΑΤΤΙΚΗΣ"/>
    <n v="3"/>
    <d v="2018-09-01T00:00:00"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90-12-24T00:00:00"/>
    <x v="0"/>
    <s v="ΔΙΕΥΘΥΝΣΗ Δ.Ε. ΠΕΙΡΑΙΑ"/>
    <x v="0"/>
  </r>
  <r>
    <x v="43"/>
    <x v="1"/>
    <s v="ΠΕ91.01"/>
    <s v="ΘΕΑΤΡΙΚΩΝ ΣΠΟΥΔΩΝ"/>
    <m/>
    <m/>
    <s v="Γ΄"/>
    <n v="1"/>
    <n v="16633"/>
    <d v="2018-09-18T00:00:00"/>
    <s v="Δ΄ ΑΘΗΝΑΣ (Δ.Ε.) 2018"/>
    <s v="ΔΙΕΥΘΥΝΣΗ Δ.Ε. Δ΄ ΑΘΗΝΑΣ"/>
    <s v="ΠΕΡΙΦΕΡΕΙΑΚΗ Δ/ΝΣΗ Α/ΘΜΙΑΣ ΚΑΙ Β/ΘΜΙΑΣ ΕΚΠ/ΣΗΣ ΑΤΤΙΚΗΣ"/>
    <n v="3"/>
    <d v="2018-09-18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90-11-20T00:00:00"/>
    <x v="0"/>
    <s v="ΔΙΕΥΘΥΝΣΗ Δ.Ε. Δ΄ ΑΘΗΝΑΣ"/>
    <x v="0"/>
  </r>
  <r>
    <x v="44"/>
    <x v="1"/>
    <s v="ΠΕ79.01"/>
    <s v="ΜΟΥΣΙΚΗΣ ΕΠΙΣΤΗΜΗΣ"/>
    <m/>
    <m/>
    <s v="Γ΄"/>
    <n v="1"/>
    <n v="23965"/>
    <d v="2018-09-01T00:00:00"/>
    <s v="Β΄ ΑΘΗΝΑΣ (Δ.Ε.) 2018"/>
    <s v="ΔΙΕΥΘΥΝΣΗ Δ.Ε. Β΄ ΑΘΗΝΑΣ"/>
    <s v="ΠΕΡΙΦΕΡΕΙΑΚΗ Δ/ΝΣΗ Α/ΘΜΙΑΣ ΚΑΙ Β/ΘΜΙΑΣ ΕΚΠ/ΣΗΣ ΑΤΤΙΚΗΣ"/>
    <n v="3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10-05T00:00:00"/>
    <x v="0"/>
    <s v="ΔΙΕΥΘΥΝΣΗ Δ.Ε. Β΄ ΑΘΗΝΑΣ"/>
    <x v="0"/>
  </r>
  <r>
    <x v="45"/>
    <x v="1"/>
    <s v="ΠΕ86"/>
    <s v="ΠΛΗΡΟΦΟΡΙΚΗΣ"/>
    <m/>
    <m/>
    <s v="Γ΄"/>
    <n v="1"/>
    <n v="18262"/>
    <d v="2018-09-01T00:00:00"/>
    <s v="Β΄ ΑΘΗΝΑΣ (Δ.Ε.) 2018"/>
    <s v="ΔΙΕΥΘΥΝΣΗ Δ.Ε. Β΄ ΑΘΗΝΑΣ"/>
    <s v="ΠΕΡΙΦΕΡΕΙΑΚΗ Δ/ΝΣΗ Α/ΘΜΙΑΣ ΚΑΙ Β/ΘΜΙΑΣ ΕΚΠ/ΣΗΣ ΑΤΤΙΚΗΣ"/>
    <n v="3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07-21T00:00:00"/>
    <x v="0"/>
    <s v="ΔΙΕΥΘΥΝΣΗ Δ.Ε. Β΄ ΑΘΗΝΑΣ"/>
    <x v="0"/>
  </r>
  <r>
    <x v="46"/>
    <x v="1"/>
    <s v="ΠΕ08"/>
    <s v="ΚΑΛΛΙΤΕΧΝΙΚΩΝ"/>
    <m/>
    <m/>
    <s v="Γ΄"/>
    <n v="1"/>
    <n v="22813"/>
    <d v="2018-11-13T00:00:00"/>
    <s v="Γ΄ ΑΘΗΝΑΣ (Δ.Ε.) 2018"/>
    <s v="ΔΙΕΥΘΥΝΣΗ Δ.Ε. Γ΄ ΑΘΗΝΑΣ"/>
    <s v="ΠΕΡΙΦΕΡΕΙΑΚΗ Δ/ΝΣΗ Α/ΘΜΙΑΣ ΚΑΙ Β/ΘΜΙΑΣ ΕΚΠ/ΣΗΣ ΑΤΤΙΚΗΣ"/>
    <n v="3"/>
    <d v="2018-11-13T00:00:00"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89-06-07T00:00:00"/>
    <x v="0"/>
    <s v="ΔΙΕΥΘΥΝΣΗ Δ.Ε. Γ΄ ΑΘΗΝΑΣ"/>
    <x v="0"/>
  </r>
  <r>
    <x v="47"/>
    <x v="0"/>
    <s v="ΠΕ81"/>
    <s v="ΠΟΛ.ΜΗΧΑΝΙΚΩΝ-ΑΡΧΙΤΕΚΤΟΝΩΝ"/>
    <m/>
    <m/>
    <s v="Γ΄"/>
    <n v="1"/>
    <n v="5265"/>
    <d v="2018-03-05T00:00:00"/>
    <s v="Α΄ ΠΕΙΡΑΙΑ (Δ.Ε.) 2018"/>
    <s v="ΔΙΕΥΘΥΝΣΗ Δ.Ε. ΠΕΙΡΑΙΑ"/>
    <s v="ΠΕΡΙΦΕΡΕΙΑΚΗ Δ/ΝΣΗ Α/ΘΜΙΑΣ ΚΑΙ Β/ΘΜΙΑΣ ΕΚΠ/ΣΗΣ ΑΤΤΙΚΗΣ"/>
    <n v="3"/>
    <d v="2018-03-05T00:00:00"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8-07-21T00:00:00"/>
    <x v="0"/>
    <s v="ΔΙΕΥΘΥΝΣΗ Δ.Ε. ΠΕΙΡΑΙΑ"/>
    <x v="0"/>
  </r>
  <r>
    <x v="48"/>
    <x v="0"/>
    <s v="ΠΕ08"/>
    <s v="ΚΑΛΛΙΤΕΧΝΙΚΩΝ"/>
    <m/>
    <m/>
    <s v="Γ΄"/>
    <n v="1"/>
    <n v="22627"/>
    <d v="2018-09-11T00:00:00"/>
    <s v="Α΄ ΠΕΙΡΑΙΑ (Δ.Ε.) 2018"/>
    <s v="ΔΙΕΥΘΥΝΣΗ Δ.Ε. ΠΕΙΡΑΙΑ"/>
    <s v="ΠΕΡΙΦΕΡΕΙΑΚΗ Δ/ΝΣΗ Α/ΘΜΙΑΣ ΚΑΙ Β/ΘΜΙΑΣ ΕΚΠ/ΣΗΣ ΑΤΤΙΚΗΣ"/>
    <n v="3"/>
    <d v="2018-09-11T00:00:00"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8-06-21T00:00:00"/>
    <x v="0"/>
    <s v="ΔΙΕΥΘΥΝΣΗ Δ.Ε. ΠΕΙΡΑΙΑ"/>
    <x v="0"/>
  </r>
  <r>
    <x v="49"/>
    <x v="1"/>
    <s v="ΠΕ07"/>
    <s v="ΓΕΡΜΑΝΙΚΗΣ ΦΙΛΟΛΟΓΙΑΣ"/>
    <m/>
    <m/>
    <s v="Γ΄"/>
    <n v="1"/>
    <n v="22864"/>
    <d v="2018-09-01T00:00:00"/>
    <s v="Γ΄ ΑΘΗΝΑΣ (Δ.Ε.) 2018"/>
    <s v="ΔΙΕΥΘΥΝΣΗ Δ.Ε. Γ΄ ΑΘΗΝΑΣ"/>
    <s v="ΠΕΡΙΦΕΡΕΙΑΚΗ Δ/ΝΣΗ Α/ΘΜΙΑΣ ΚΑΙ Β/ΘΜΙΑΣ ΕΚΠ/ΣΗΣ ΑΤΤΙΚΗΣ"/>
    <n v="3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87-04-29T00:00:00"/>
    <x v="0"/>
    <s v="ΔΙΕΥΘΥΝΣΗ Δ.Ε. Γ΄ ΑΘΗΝΑΣ"/>
    <x v="0"/>
  </r>
  <r>
    <x v="50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3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5-10-17T00:00:00"/>
    <x v="0"/>
    <s v="ΔΙΕΥΘΥΝΣΗ Δ.Ε. ΠΕΙΡΑΙΑ"/>
    <x v="0"/>
  </r>
  <r>
    <x v="51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3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4-10-01T00:00:00"/>
    <x v="0"/>
    <s v="ΔΙΕΥΘΥΝΣΗ Δ.Ε. Γ΄ ΑΘΗΝΑΣ"/>
    <x v="0"/>
  </r>
  <r>
    <x v="52"/>
    <x v="0"/>
    <s v="ΠΕ80"/>
    <s v="ΟΙΚΟΝΟΜΙΑΣ"/>
    <m/>
    <m/>
    <s v="Γ΄"/>
    <n v="1"/>
    <s v="Φ.17/16539/7/24-10-2018"/>
    <d v="2018-09-10T00:00:00"/>
    <s v="ΑΧΑΪΑΣ (Δ.Ε.) 2018"/>
    <s v="ΔΙΕΥΘΥΝΣΗ Δ.Ε. ΑΧΑΪΑΣ"/>
    <s v="ΠΕΡΙΦΕΡΕΙΑΚΗ Δ/ΝΣΗ Α/ΘΜΙΑΣ ΚΑΙ Β/ΘΜΙΑΣ ΕΚΠ/ΣΗΣ ΔΥΤΙΚΗΣ ΕΛΛΑΔΑΣ"/>
    <n v="3"/>
    <d v="2018-09-10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83-12-02T00:00:00"/>
    <x v="0"/>
    <s v="ΔΙΕΥΘΥΝΣΗ Δ.Ε. ΑΧΑΪΑΣ"/>
    <x v="0"/>
  </r>
  <r>
    <x v="53"/>
    <x v="1"/>
    <s v="ΠΕ84"/>
    <s v="ΗΛΕΚΤΡΟΝΙΚΩΝ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3"/>
    <m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3-02-05T00:00:00"/>
    <x v="0"/>
    <s v="ΔΙΕΥΘΥΝΣΗ Δ.Ε. ΛΑΡΙΣΑΣ"/>
    <x v="0"/>
  </r>
  <r>
    <x v="54"/>
    <x v="1"/>
    <s v="ΠΕ06"/>
    <s v="ΑΓΓΛΙΚΗΣ ΦΙΛΟΛΟΓΙΑΣ"/>
    <m/>
    <m/>
    <s v="Γ΄"/>
    <n v="1"/>
    <n v="24050"/>
    <d v="2018-09-01T00:00:00"/>
    <s v="Α΄ ΠΕΙΡΑΙΑ (Δ.Ε.) 2018"/>
    <s v="ΔΙΕΥΘΥΝΣΗ Δ.Ε. ΠΕΙΡΑΙΑ"/>
    <s v="ΠΕΡΙΦΕΡΕΙΑΚΗ Δ/ΝΣΗ Α/ΘΜΙΑΣ ΚΑΙ Β/ΘΜΙΑΣ ΕΚΠ/ΣΗΣ ΑΤΤΙΚΗΣ"/>
    <n v="3"/>
    <d v="2018-09-01T00:00:00"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2-08-30T00:00:00"/>
    <x v="0"/>
    <s v="ΔΙΕΥΘΥΝΣΗ Δ.Ε. ΠΕΙΡΑΙΑ"/>
    <x v="0"/>
  </r>
  <r>
    <x v="55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3"/>
    <m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1-06-09T00:00:00"/>
    <x v="0"/>
    <s v="ΔΙΕΥΘΥΝΣΗ Δ.Ε. Δ΄ ΑΘΗΝΑΣ"/>
    <x v="0"/>
  </r>
  <r>
    <x v="56"/>
    <x v="1"/>
    <s v="ΠΕ07"/>
    <s v="ΓΕΡΜΑΝ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4-13T00:00:00"/>
    <x v="0"/>
    <s v="ΔΙΕΥΘΥΝΣΗ Δ.Ε. ΑΝΑΤΟΛΙΚΗΣ ΑΤΤΙΚΗΣ"/>
    <x v="0"/>
  </r>
  <r>
    <x v="57"/>
    <x v="1"/>
    <s v="ΠΕ08"/>
    <s v="ΚΑΛΛΙΤΕΧΝΙΚ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3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0-06-30T00:00:00"/>
    <x v="0"/>
    <s v="ΔΙΕΥΘΥΝΣΗ Δ.Ε. Β΄ ΑΘΗΝΑΣ"/>
    <x v="0"/>
  </r>
  <r>
    <x v="58"/>
    <x v="1"/>
    <s v="ΠΕ05"/>
    <s v="ΓΑΛ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1-01T00:00:00"/>
    <x v="1"/>
    <s v="ΔΙΕΥΘΥΝΣΗ Π.Ε. Β΄ ΑΘΗΝΑΣ"/>
    <x v="0"/>
  </r>
  <r>
    <x v="59"/>
    <x v="1"/>
    <s v="ΠΕ11"/>
    <s v="ΦΥΣΙΚΗΣ ΑΓΩΓΗΣ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3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2-23T00:00:00"/>
    <x v="1"/>
    <s v="ΔΙΕΥΘΥΝΣΗ Π.Ε. ΑΝΑΤ. ΘΕΣ/ΝΙΚΗΣ"/>
    <x v="0"/>
  </r>
  <r>
    <x v="60"/>
    <x v="0"/>
    <s v="ΠΕ81"/>
    <s v="ΠΟΛ.ΜΗΧΑΝΙΚΩΝ-ΑΡΧΙΤΕΚΤΟΝΩΝ"/>
    <m/>
    <m/>
    <s v="Γ΄"/>
    <n v="1"/>
    <n v="10309"/>
    <d v="2018-10-24T00:00:00"/>
    <s v="ΙΩΑΝΝΙΝΩΝ (Δ.Ε.) 2018"/>
    <s v="ΔΙΕΥΘΥΝΣΗ Δ.Ε. ΙΩΑΝΝΙΝΩΝ"/>
    <s v="ΠΕΡΙΦΕΡΕΙΑΚΗ Δ/ΝΣΗ Α/ΘΜΙΑΣ ΚΑΙ Β/ΘΜΙΑΣ ΕΚΠ/ΣΗΣ ΗΠΕΙΡΟΥ"/>
    <n v="3"/>
    <d v="2018-10-24T00:00:00"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9-02-08T00:00:00"/>
    <x v="0"/>
    <s v="ΔΙΕΥΘΥΝΣΗ Δ.Ε. ΙΩΑΝΝΙΝΩΝ"/>
    <x v="0"/>
  </r>
  <r>
    <x v="61"/>
    <x v="1"/>
    <s v="ΠΕ04.01"/>
    <s v="ΦΥΣΙΚΟΙ"/>
    <m/>
    <m/>
    <s v="Γ΄"/>
    <n v="1"/>
    <n v="8819"/>
    <d v="2017-09-01T00:00:00"/>
    <s v="Δ΄ ΑΘΗΝΑΣ (Δ.Ε.) 2018"/>
    <s v="ΔΙΕΥΘΥΝΣΗ Δ.Ε. Δ΄ ΑΘΗΝΑΣ"/>
    <s v="ΠΕΡΙΦΕΡΕΙΑΚΗ Δ/ΝΣΗ Α/ΘΜΙΑΣ ΚΑΙ Β/ΘΜΙΑΣ ΕΚΠ/ΣΗΣ ΑΤΤΙΚΗΣ"/>
    <n v="3"/>
    <d v="2017-09-01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10-25T00:00:00"/>
    <x v="0"/>
    <s v="ΔΙΕΥΘΥΝΣΗ Δ.Ε. Δ΄ ΑΘΗΝΑΣ"/>
    <x v="0"/>
  </r>
  <r>
    <x v="62"/>
    <x v="1"/>
    <s v="ΠΕ07"/>
    <s v="ΓΕΡΜΑΝΙΚΗΣ ΦΙΛΟΛΟΓΙΑΣ"/>
    <m/>
    <m/>
    <s v="Γ΄"/>
    <n v="1"/>
    <s v="23853/3-9-2018"/>
    <d v="2018-09-03T00:00:00"/>
    <s v="ΛΑΡΙΣΑΣ (Δ.Ε.) 2018"/>
    <s v="ΔΙΕΥΘΥΝΣΗ Δ.Ε. ΛΑΡΙΣΑΣ"/>
    <s v="ΠΕΡΙΦΕΡΕΙΑΚΗ Δ/ΝΣΗ Α/ΘΜΙΑΣ ΚΑΙ Β/ΘΜΙΑΣ ΕΚΠ/ΣΗΣ ΘΕΣΣΑΛΙΑΣ"/>
    <n v="3"/>
    <d v="2018-09-03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7-04-05T00:00:00"/>
    <x v="0"/>
    <s v="ΔΙΕΥΘΥΝΣΗ Δ.Ε. ΛΑΡΙΣΑΣ"/>
    <x v="0"/>
  </r>
  <r>
    <x v="63"/>
    <x v="1"/>
    <s v="ΠΕ08"/>
    <s v="ΚΑΛΛΙΤΕΧΝΙΚΩΝ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3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6-08-05T00:00:00"/>
    <x v="0"/>
    <s v="ΔΙΕΥΘΥΝΣΗ Δ.Ε. Δ΄ ΑΘΗΝΑΣ"/>
    <x v="0"/>
  </r>
  <r>
    <x v="64"/>
    <x v="0"/>
    <s v="ΠΕ79.01"/>
    <s v="ΜΟΥΣΙΚΗΣ ΕΠΙΣΤΗΜΗΣ"/>
    <m/>
    <m/>
    <s v="Γ΄"/>
    <n v="1"/>
    <s v="22397/20"/>
    <d v="2018-11-23T00:00:00"/>
    <s v="Γ΄ ΑΘΗΝΑΣ (Δ.Ε.) 2018"/>
    <s v="ΔΙΕΥΘΥΝΣΗ Δ.Ε. Γ΄ ΑΘΗΝΑΣ"/>
    <s v="ΠΕΡΙΦΕΡΕΙΑΚΗ Δ/ΝΣΗ Α/ΘΜΙΑΣ ΚΑΙ Β/ΘΜΙΑΣ ΕΚΠ/ΣΗΣ ΑΤΤΙΚΗΣ"/>
    <n v="3"/>
    <d v="2018-11-23T00:00:00"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76-01-01T00:00:00"/>
    <x v="0"/>
    <s v="ΔΙΕΥΘΥΝΣΗ Δ.Ε. Γ΄ ΑΘΗΝΑΣ"/>
    <x v="0"/>
  </r>
  <r>
    <x v="65"/>
    <x v="0"/>
    <s v="ΠΕ86"/>
    <s v="ΠΛΗΡΟΦΟΡΙΚΗΣ"/>
    <m/>
    <m/>
    <s v="Γ΄"/>
    <n v="1"/>
    <s v="Φ.17/16539/10/24-10-2018"/>
    <d v="2018-09-19T00:00:00"/>
    <s v="ΑΧΑΪΑΣ (Δ.Ε.) 2018"/>
    <s v="ΔΙΕΥΘΥΝΣΗ Δ.Ε. ΑΧΑΪΑΣ"/>
    <s v="ΠΕΡΙΦΕΡΕΙΑΚΗ Δ/ΝΣΗ Α/ΘΜΙΑΣ ΚΑΙ Β/ΘΜΙΑΣ ΕΚΠ/ΣΗΣ ΔΥΤΙΚΗΣ ΕΛΛΑΔΑΣ"/>
    <n v="3"/>
    <d v="2018-09-19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75-09-20T00:00:00"/>
    <x v="0"/>
    <s v="ΔΙΕΥΘΥΝΣΗ Δ.Ε. ΑΧΑΪΑΣ"/>
    <x v="0"/>
  </r>
  <r>
    <x v="66"/>
    <x v="0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6-22T00:00:00"/>
    <x v="0"/>
    <s v="ΔΙΕΥΘΥΝΣΗ Δ.Ε. ΑΝΑΤΟΛΙΚΗΣ ΑΤΤΙΚΗΣ"/>
    <x v="0"/>
  </r>
  <r>
    <x v="67"/>
    <x v="0"/>
    <s v="ΠΕ81"/>
    <s v="ΠΟΛ.ΜΗΧΑΝΙΚΩΝ-ΑΡΧΙΤΕΚΤΟΝ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3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2-05-23T00:00:00"/>
    <x v="0"/>
    <s v="ΔΙΕΥΘΥΝΣΗ Δ.Ε. Β΄ ΑΘΗΝΑΣ"/>
    <x v="0"/>
  </r>
  <r>
    <x v="68"/>
    <x v="0"/>
    <s v="ΠΕ79.01"/>
    <s v="ΜΟΥΣΙΚΗΣ ΕΠΙΣΤΗΜ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3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7-19T00:00:00"/>
    <x v="0"/>
    <s v="ΔΙΕΥΘΥΝΣΗ Δ.Ε. ΠΕΙΡΑΙΑ"/>
    <x v="0"/>
  </r>
  <r>
    <x v="69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8-04T00:00:00"/>
    <x v="0"/>
    <s v="ΔΙΕΥΘΥΝΣΗ Δ.Ε. Β΄ ΑΘΗΝΑΣ"/>
    <x v="0"/>
  </r>
  <r>
    <x v="70"/>
    <x v="1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m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Β΄ ΑΘΗΝΑΣ"/>
    <x v="0"/>
  </r>
  <r>
    <x v="71"/>
    <x v="0"/>
    <s v="ΠΕ88.01"/>
    <s v="ΓΕΩΠΟΝ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3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5-02-18T00:00:00"/>
    <x v="0"/>
    <s v="ΔΙΕΥΘΥΝΣΗ Δ.Ε. ΚΟΡΙΝΘΙΑΣ"/>
    <x v="0"/>
  </r>
  <r>
    <x v="7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1-20T00:00:00"/>
    <x v="0"/>
    <s v="ΔΙΕΥΘΥΝΣΗ Δ.Ε. Β΄ ΑΘΗΝΑΣ"/>
    <x v="0"/>
  </r>
  <r>
    <x v="73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12-07T00:00:00"/>
    <x v="0"/>
    <s v="ΔΙΕΥΘΥΝΣΗ Δ.Ε. Β΄ ΑΘΗΝΑΣ"/>
    <x v="0"/>
  </r>
  <r>
    <x v="74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01-28T00:00:00"/>
    <x v="0"/>
    <s v="ΔΙΕΥΘΥΝΣΗ Δ.Ε. ΑΝΑΤΟΛΙΚΗΣ ΑΤΤΙΚΗΣ"/>
    <x v="0"/>
  </r>
  <r>
    <x v="75"/>
    <x v="0"/>
    <s v="ΠΕ79.01"/>
    <s v="ΜΟΥΣΙΚΗΣ ΕΠΙΣΤΗΜ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3"/>
    <m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1-10-10T00:00:00"/>
    <x v="0"/>
    <s v="ΔΙΕΥΘΥΝΣΗ Δ.Ε. Γ΄ ΑΘΗΝΑΣ"/>
    <x v="0"/>
  </r>
  <r>
    <x v="76"/>
    <x v="1"/>
    <s v="ΠΕ79.01"/>
    <s v="ΜΟΥΣΙΚΗΣ ΕΠΙΣΤΗΜ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3"/>
    <m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0-09-20T00:00:00"/>
    <x v="0"/>
    <s v="ΔΙΕΥΘΥΝΣΗ Δ.Ε. Δ΄ ΑΘΗΝΑΣ"/>
    <x v="0"/>
  </r>
  <r>
    <x v="77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3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8-11-19T00:00:00"/>
    <x v="0"/>
    <s v="ΔΙΕΥΘΥΝΣΗ Δ.Ε. ΑΝΑΤΟΛΙΚΗΣ ΑΤΤΙΚΗΣ"/>
    <x v="0"/>
  </r>
  <r>
    <x v="78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3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7-06-21T00:00:00"/>
    <x v="0"/>
    <s v="ΔΙΕΥΘΥΝΣΗ Δ.Ε. Α΄ ΑΘΗΝΑΣ"/>
    <x v="0"/>
  </r>
  <r>
    <x v="79"/>
    <x v="0"/>
    <s v="ΠΕ82"/>
    <s v="ΜΗΧΑΝΟΛΟΓΩΝ"/>
    <m/>
    <m/>
    <s v="Γ΄"/>
    <n v="1"/>
    <n v="23977"/>
    <d v="2018-12-05T00:00:00"/>
    <s v="Γ΄ ΑΘΗΝΑΣ (Δ.Ε.) 2018"/>
    <s v="ΔΙΕΥΘΥΝΣΗ Δ.Ε. Γ΄ ΑΘΗΝΑΣ"/>
    <s v="ΠΕΡΙΦΕΡΕΙΑΚΗ Δ/ΝΣΗ Α/ΘΜΙΑΣ ΚΑΙ Β/ΘΜΙΑΣ ΕΚΠ/ΣΗΣ ΑΤΤΙΚΗΣ"/>
    <n v="3"/>
    <d v="2018-12-05T00:00:00"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54-07-18T00:00:00"/>
    <x v="0"/>
    <s v="ΔΙΕΥΘΥΝΣΗ Δ.Ε. Γ΄ ΑΘΗΝΑΣ"/>
    <x v="0"/>
  </r>
  <r>
    <x v="80"/>
    <x v="1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0"/>
  </r>
  <r>
    <x v="81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0"/>
  </r>
  <r>
    <x v="82"/>
    <x v="1"/>
    <s v="ΠΕ89.02"/>
    <s v="ΣΧΕΔΙΑΣΜΟΥ ΚΑΙ ΠΑΡΑΓΩΓΗΣ ΠΡΟΪΟΝΤΩΝ"/>
    <m/>
    <m/>
    <s v="Γ΄"/>
    <n v="1"/>
    <n v="21564"/>
    <d v="2018-09-01T00:00:00"/>
    <s v="Δ΄ ΑΘΗΝΑΣ (Δ.Ε.) 2018"/>
    <s v="ΔΙΕΥΘΥΝΣΗ Δ.Ε. Δ΄ ΑΘΗΝΑΣ"/>
    <s v="ΠΕΡΙΦΕΡΕΙΑΚΗ Δ/ΝΣΗ Α/ΘΜΙΑΣ ΚΑΙ Β/ΘΜΙΑΣ ΕΚΠ/ΣΗΣ ΑΤΤΙΚΗΣ"/>
    <n v="3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0"/>
  </r>
  <r>
    <x v="83"/>
    <x v="1"/>
    <s v="ΠΕ79.01"/>
    <s v="ΜΟΥΣΙΚΗΣ ΕΠΙΣΤΗΜ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0"/>
  </r>
  <r>
    <x v="84"/>
    <x v="0"/>
    <s v="ΠΕ04.01"/>
    <s v="ΦΥΣΙΚΟΙ"/>
    <m/>
    <m/>
    <s v="Γ΄"/>
    <n v="1"/>
    <n v="8077"/>
    <d v="2018-09-14T00:00:00"/>
    <s v="ΤΡΙΚΑΛΩΝ (Δ.Ε.) 2018"/>
    <s v="ΔΙΕΥΘΥΝΣΗ Δ.Ε. ΤΡΙΚΑΛΩΝ"/>
    <s v="ΠΕΡΙΦΕΡΕΙΑΚΗ Δ/ΝΣΗ Α/ΘΜΙΑΣ ΚΑΙ Β/ΘΜΙΑΣ ΕΚΠ/ΣΗΣ ΘΕΣΣΑΛΙΑΣ"/>
    <n v="3"/>
    <d v="2018-09-14T00:00:00"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0"/>
    <s v="Τοποθέτηση σε Ιδιωτική Εκπαίδευση"/>
    <m/>
    <x v="0"/>
    <s v="ΔΙΕΥΘΥΝΣΗ Δ.Ε. ΤΡΙΚΑΛΩΝ"/>
    <x v="0"/>
  </r>
  <r>
    <x v="85"/>
    <x v="1"/>
    <s v="ΠΕ07"/>
    <s v="ΓΕΡΜΑΝΙΚΗΣ ΦΙΛΟΛΟΓΙΑΣ"/>
    <m/>
    <m/>
    <s v="Γ΄"/>
    <n v="1"/>
    <d v="2016-09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2-08-03T00:00:00"/>
    <x v="1"/>
    <s v="ΔΙΕΥΘΥΝΣΗ Π.Ε. ΑΝΑΤ. ΘΕΣ/ΝΙΚΗΣ"/>
    <x v="0"/>
  </r>
  <r>
    <x v="86"/>
    <x v="1"/>
    <s v="ΠΕ80"/>
    <s v="ΟΙΚΟΝΟΜΙΑΣ"/>
    <m/>
    <m/>
    <s v="Γ΄"/>
    <n v="1"/>
    <d v="2015-09-11T00:00:00"/>
    <d v="2018-09-01T00:00:00"/>
    <s v="Α΄ ΑΘΗΝΑΣ (Δ.Ε.) 2018"/>
    <s v="ΔΙΕΥΘΥΝΣΗ Δ.Ε. Α΄ ΑΘΗΝΑΣ"/>
    <s v="ΠΕΡΙΦΕΡΕΙΑΚΗ Δ/ΝΣΗ Α/ΘΜΙΑΣ ΚΑΙ Β/ΘΜΙΑΣ ΕΚΠ/ΣΗΣ ΑΤΤΙΚΗΣ"/>
    <n v="4"/>
    <d v="2018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92-04-16T00:00:00"/>
    <x v="0"/>
    <s v="ΔΙΕΥΘΥΝΣΗ Δ.Ε. Α΄ ΑΘΗΝΑΣ"/>
    <x v="0"/>
  </r>
  <r>
    <x v="87"/>
    <x v="1"/>
    <s v="ΠΕ05"/>
    <s v="ΓΑΛΛΙΚΗΣ ΦΙΛΟΛΟΓΙΑΣ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4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1-06-12T00:00:00"/>
    <x v="1"/>
    <s v="ΔΙΕΥΘΥΝΣΗ Π.Ε. ΚΟΡΙΝΘΙΑΣ"/>
    <x v="0"/>
  </r>
  <r>
    <x v="88"/>
    <x v="1"/>
    <s v="ΠΕ06"/>
    <s v="ΑΓΓΛΙΚΗΣ ΦΙΛΟΛΟΓΙΑΣ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4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90-12-28T00:00:00"/>
    <x v="1"/>
    <s v="ΔΙΕΥΘΥΝΣΗ Π.Ε. ΚΥΚΛΑΔΩΝ"/>
    <x v="0"/>
  </r>
  <r>
    <x v="89"/>
    <x v="1"/>
    <s v="ΠΕ91.01"/>
    <s v="ΘΕΑΤΡΙΚΩΝ ΣΠΟΥΔΩΝ"/>
    <m/>
    <m/>
    <s v="Γ΄"/>
    <n v="1"/>
    <s v="9504/28-9-2017"/>
    <d v="2018-09-01T00:00:00"/>
    <s v="ΑΧΑΪΑΣ (Π.Ε.) 2018"/>
    <s v="ΔΙΕΥΘΥΝΣΗ Π.Ε. ΑΧΑΪΑΣ"/>
    <s v="ΠΕΡΙΦΕΡΕΙΑΚΗ Δ/ΝΣΗ Α/ΘΜΙΑΣ ΚΑΙ Β/ΘΜΙΑΣ ΕΚΠ/ΣΗΣ ΔΥΤΙΚΗΣ ΕΛΛΑΔΑΣ"/>
    <n v="4"/>
    <d v="2018-09-01T00:00:00"/>
    <s v="Ιδιωτικά Σχολεία"/>
    <x v="4"/>
    <s v="7061004"/>
    <s v="ΙΔΙΩΤΙΚΟ ΔΗΜΟΤΙΚΟ ΠΑΤΡΑΣ ΕΚΠΑΙΔΕΥΤΗΡΙΑ ΑΝΑΓΕΝΝΗΣΗ ΙΚΕ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90-12-21T00:00:00"/>
    <x v="1"/>
    <s v="ΔΙΕΥΘΥΝΣΗ Π.Ε. ΑΧΑΪΑΣ"/>
    <x v="0"/>
  </r>
  <r>
    <x v="90"/>
    <x v="1"/>
    <s v="ΠΕ05"/>
    <s v="ΓΑΛΛΙΚΗΣ ΦΙΛΟΛΟΓΙΑΣ"/>
    <m/>
    <m/>
    <s v="Γ΄"/>
    <n v="1"/>
    <s v="5581/Γ"/>
    <d v="2018-09-01T00:00:00"/>
    <s v="Α΄ ΠΕΙΡΑΙΑ (Π.Ε.) 2018"/>
    <s v="ΔΙΕΥΘΥΝΣΗ Π.Ε. ΠΕΙΡΑΙΑ"/>
    <s v="ΠΕΡΙΦΕΡΕΙΑΚΗ Δ/ΝΣΗ Α/ΘΜΙΑΣ ΚΑΙ Β/ΘΜΙΑΣ ΕΚΠ/ΣΗΣ ΑΤΤΙΚΗΣ"/>
    <n v="4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0-04-23T00:00:00"/>
    <x v="1"/>
    <s v="ΔΙΕΥΘΥΝΣΗ Π.Ε. ΠΕΙΡΑΙΑ"/>
    <x v="0"/>
  </r>
  <r>
    <x v="91"/>
    <x v="0"/>
    <s v="ΠΕ86"/>
    <s v="ΠΛΗΡΟΦΟΡΙΚ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9-07-10T00:00:00"/>
    <x v="0"/>
    <s v="ΔΙΕΥΘΥΝΣΗ Δ.Ε. Γ΄ ΑΘΗΝΑΣ"/>
    <x v="0"/>
  </r>
  <r>
    <x v="92"/>
    <x v="1"/>
    <s v="ΠΕ01"/>
    <s v="ΘΕΟΛΟΓΟΙ"/>
    <m/>
    <m/>
    <s v="Γ΄"/>
    <n v="1"/>
    <n v="19331"/>
    <d v="2018-09-24T00:00:00"/>
    <s v="Α΄ ΠΕΙΡΑΙΑ (Δ.Ε.) 2018"/>
    <s v="ΔΙΕΥΘΥΝΣΗ Δ.Ε. ΠΕΙΡΑΙΑ"/>
    <s v="ΠΕΡΙΦΕΡΕΙΑΚΗ Δ/ΝΣΗ Α/ΘΜΙΑΣ ΚΑΙ Β/ΘΜΙΑΣ ΕΚΠ/ΣΗΣ ΑΤΤΙΚΗΣ"/>
    <n v="4"/>
    <d v="2018-09-24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9-03-20T00:00:00"/>
    <x v="0"/>
    <s v="ΔΙΕΥΘΥΝΣΗ Δ.Ε. ΠΕΙΡΑΙΑ"/>
    <x v="0"/>
  </r>
  <r>
    <x v="93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8-08-12T00:00:00"/>
    <x v="0"/>
    <s v="ΔΙΕΥΘΥΝΣΗ Δ.Ε. Γ΄ ΑΘΗΝΑΣ"/>
    <x v="0"/>
  </r>
  <r>
    <x v="94"/>
    <x v="1"/>
    <s v="ΠΕ06"/>
    <s v="ΑΓΓΛΙΚΗΣ ΦΙΛΟΛΟΓΙΑΣ"/>
    <m/>
    <m/>
    <s v="Γ΄"/>
    <n v="1"/>
    <n v="14429"/>
    <d v="2018-09-01T00:00:00"/>
    <s v="Δ΄ ΑΘΗΝΑΣ (Π.Ε.) 2018"/>
    <s v="ΔΙΕΥΘΥΝΣΗ Π.Ε. Δ΄ ΑΘΗΝΑΣ"/>
    <s v="ΠΕΡΙΦΕΡΕΙΑΚΗ Δ/ΝΣΗ Α/ΘΜΙΑΣ ΚΑΙ Β/ΘΜΙΑΣ ΕΚΠ/ΣΗΣ ΑΤΤΙΚΗΣ"/>
    <n v="4"/>
    <d v="2018-09-01T00:00:00"/>
    <s v="Ιδιωτικά Σχολεία"/>
    <x v="4"/>
    <s v="7054018"/>
    <s v="ΙΔΙΩΤΙΚΟ ΔΗΜΟΤΙΚΟ - ΕΥΡΩΠΑΪΚΟ ΠΡΟΤΥΠ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7-07-19T00:00:00"/>
    <x v="1"/>
    <s v="ΔΙΕΥΘΥΝΣΗ Π.Ε. Δ΄ ΑΘΗΝΑΣ"/>
    <x v="0"/>
  </r>
  <r>
    <x v="95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87-02-10T00:00:00"/>
    <x v="0"/>
    <s v="ΔΙΕΥΘΥΝΣΗ Δ.Ε. Γ΄ ΑΘΗΝΑΣ"/>
    <x v="0"/>
  </r>
  <r>
    <x v="96"/>
    <x v="1"/>
    <s v="ΠΕ80"/>
    <s v="ΟΙΚΟΝΟΜΙΑΣ"/>
    <m/>
    <m/>
    <s v="Α΄"/>
    <n v="1"/>
    <s v="ΒΛΓΠ9-ΝΚ3"/>
    <d v="2013-12-06T00:00:00"/>
    <s v="Γ΄ ΑΘΗΝΑΣ (Δ.Ε.) 2018"/>
    <s v="ΔΙΕΥΘΥΝΣΗ Δ.Ε. Γ΄ ΑΘΗΝΑΣ"/>
    <s v="ΠΕΡΙΦΕΡΕΙΑΚΗ Δ/ΝΣΗ Α/ΘΜΙΑΣ ΚΑΙ Β/ΘΜΙΑΣ ΕΚΠ/ΣΗΣ ΑΤΤΙΚΗΣ"/>
    <n v="4"/>
    <d v="2013-12-06T00:00:00"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87-01-01T00:00:00"/>
    <x v="0"/>
    <s v="ΔΙΕΥΘΥΝΣΗ Δ.Ε. Γ΄ ΑΘΗΝΑΣ"/>
    <x v="0"/>
  </r>
  <r>
    <x v="97"/>
    <x v="1"/>
    <s v="ΠΕ07"/>
    <s v="ΓΕΡΜΑΝ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6-04-19T00:00:00"/>
    <x v="0"/>
    <s v="ΔΙΕΥΘΥΝΣΗ Δ.Ε. Β΄ ΑΘΗΝΑΣ"/>
    <x v="0"/>
  </r>
  <r>
    <x v="98"/>
    <x v="1"/>
    <s v="ΠΕ81"/>
    <s v="ΠΟΛ.ΜΗΧΑΝΙΚΩΝ-ΑΡΧΙΤΕΚΤΟΝΩΝ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4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6-03-21T00:00:00"/>
    <x v="0"/>
    <s v="ΔΙΕΥΘΥΝΣΗ Δ.Ε. Δ΄ ΑΘΗΝΑΣ"/>
    <x v="0"/>
  </r>
  <r>
    <x v="99"/>
    <x v="0"/>
    <s v="ΠΕ03"/>
    <s v="ΜΑΘΗΜΑΤΙΚ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4"/>
    <d v="2018-09-12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5-09-25T00:00:00"/>
    <x v="0"/>
    <s v="ΔΙΕΥΘΥΝΣΗ Δ.Ε. Δ΄ ΑΘΗΝΑΣ"/>
    <x v="0"/>
  </r>
  <r>
    <x v="100"/>
    <x v="0"/>
    <s v="ΠΕ11"/>
    <s v="ΦΥΣΙΚΗΣ ΑΓΩΓΗΣ"/>
    <m/>
    <m/>
    <s v="Γ΄"/>
    <n v="1"/>
    <n v="14666"/>
    <d v="2017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4"/>
    <d v="2017-09-01T00:00:00"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85-06-13T00:00:00"/>
    <x v="0"/>
    <s v="ΔΙΕΥΘΥΝΣΗ Δ.Ε. ΔΥΤ. ΘΕΣ/ΝΙΚΗΣ"/>
    <x v="0"/>
  </r>
  <r>
    <x v="101"/>
    <x v="0"/>
    <s v="ΠΕ86"/>
    <s v="ΠΛΗΡΟΦΟΡΙΚΗΣ"/>
    <m/>
    <m/>
    <s v="Γ΄"/>
    <n v="1"/>
    <s v="Φ.17/3689"/>
    <d v="2018-09-01T00:00:00"/>
    <s v="ΚΟΡΙΝΘΙΑΣ (Π.Ε.) 2018"/>
    <s v="ΔΙΕΥΘΥΝΣΗ Π.Ε. ΚΟΡΙΝΘΙΑΣ"/>
    <s v="ΠΕΡΙΦΕΡΕΙΑΚΗ Δ/ΝΣΗ Α/ΘΜΙΑΣ ΚΑΙ Β/ΘΜΙΑΣ ΕΚΠ/ΣΗΣ ΠΕΛΟΠΟΝΝΗΣΟΥ"/>
    <n v="4"/>
    <d v="2018-09-01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5-01-01T00:00:00"/>
    <x v="1"/>
    <s v="ΔΙΕΥΘΥΝΣΗ Π.Ε. ΚΟΡΙΝΘΙΑΣ"/>
    <x v="0"/>
  </r>
  <r>
    <x v="102"/>
    <x v="1"/>
    <s v="ΠΕ06"/>
    <s v="ΑΓΓΛΙΚΗΣ ΦΙΛΟΛΟΓΙΑΣ"/>
    <m/>
    <m/>
    <s v="Β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4"/>
    <m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9-24T00:00:00"/>
    <x v="0"/>
    <s v="ΔΙΕΥΘΥΝΣΗ Δ.Ε. ΑΝΑΤΟΛΙΚΗΣ ΑΤΤΙΚΗΣ"/>
    <x v="0"/>
  </r>
  <r>
    <x v="103"/>
    <x v="1"/>
    <s v="ΠΕ11"/>
    <s v="ΦΥΣΙΚΗΣ ΑΓΩΓΗΣ"/>
    <m/>
    <m/>
    <s v="Γ΄"/>
    <n v="1"/>
    <s v="22881/24-9-2018"/>
    <d v="2018-09-24T00:00:00"/>
    <s v="ΛΑΡΙΣΑΣ (Δ.Ε.) 2018"/>
    <s v="ΔΙΕΥΘΥΝΣΗ Δ.Ε. ΛΑΡΙΣΑΣ"/>
    <s v="ΠΕΡΙΦΕΡΕΙΑΚΗ Δ/ΝΣΗ Α/ΘΜΙΑΣ ΚΑΙ Β/ΘΜΙΑΣ ΕΚΠ/ΣΗΣ ΘΕΣΣΑΛΙΑΣ"/>
    <n v="4"/>
    <d v="2018-09-24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4-08-31T00:00:00"/>
    <x v="0"/>
    <s v="ΔΙΕΥΘΥΝΣΗ Δ.Ε. ΛΑΡΙΣΑΣ"/>
    <x v="0"/>
  </r>
  <r>
    <x v="104"/>
    <x v="0"/>
    <s v="ΠΕ02"/>
    <s v="ΦΙΛΟΛΟΓΟΙ"/>
    <m/>
    <m/>
    <s v="Γ΄"/>
    <n v="1"/>
    <m/>
    <m/>
    <s v="ΚΟΡΙΝΘΙΑΣ (Δ.Ε.) 2018"/>
    <s v="ΔΙΕΥΘΥΝΣΗ Δ.Ε. ΚΟΡΙΝΘΙΑΣ"/>
    <s v="ΠΕΡΙΦΕΡΕΙΑΚΗ Δ/ΝΣΗ Α/ΘΜΙΑΣ ΚΑΙ Β/ΘΜΙΑΣ ΕΚΠ/ΣΗΣ ΠΕΛΟΠΟΝΝΗΣΟΥ"/>
    <n v="4"/>
    <m/>
    <s v="Ιδιωτικά Σχολεία"/>
    <x v="2"/>
    <s v="2881020"/>
    <s v="ΙΔΙΩΤΙΚΟ ΓΥΜΝΑΣΙΟ ΚΟΡΙΝΘΟΥ - ΑΠΟΣΤΟΛΟΣ ΠΑΥΛΟΣ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4-08-05T00:00:00"/>
    <x v="0"/>
    <s v="ΔΙΕΥΘΥΝΣΗ Δ.Ε. ΚΟΡΙΝΘΙΑΣ"/>
    <x v="0"/>
  </r>
  <r>
    <x v="105"/>
    <x v="1"/>
    <s v="ΠΕ05"/>
    <s v="ΓΑΛΛΙΚΗΣ ΦΙΛΟΛΟΓΙΑΣ"/>
    <m/>
    <m/>
    <s v="Γ΄"/>
    <n v="1"/>
    <n v="4138"/>
    <d v="2018-09-01T00:00:00"/>
    <s v="Α΄ ΠΕΙΡΑΙΑ (Π.Ε.) 2018"/>
    <s v="ΔΙΕΥΘΥΝΣΗ Π.Ε. ΠΕΙΡΑΙΑ"/>
    <s v="ΠΕΡΙΦΕΡΕΙΑΚΗ Δ/ΝΣΗ Α/ΘΜΙΑΣ ΚΑΙ Β/ΘΜΙΑΣ ΕΚΠ/ΣΗΣ ΑΤΤΙΚΗΣ"/>
    <n v="4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4-07-01T00:00:00"/>
    <x v="1"/>
    <s v="ΔΙΕΥΘΥΝΣΗ Π.Ε. ΠΕΙΡΑΙΑ"/>
    <x v="0"/>
  </r>
  <r>
    <x v="106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4-04-14T00:00:00"/>
    <x v="0"/>
    <s v="ΔΙΕΥΘΥΝΣΗ Δ.Ε. Γ΄ ΑΘΗΝΑΣ"/>
    <x v="0"/>
  </r>
  <r>
    <x v="107"/>
    <x v="1"/>
    <s v="ΠΕ81"/>
    <s v="ΠΟΛ.ΜΗΧΑΝΙΚΩΝ-ΑΡΧΙΤΕΚΤΟΝΩΝ"/>
    <m/>
    <m/>
    <s v="Γ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4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4-04-07T00:00:00"/>
    <x v="0"/>
    <s v="ΔΙΕΥΘΥΝΣΗ Δ.Ε. ΑΙΤΩΛΟΑΚΑΡΝΑΝΙΑΣ"/>
    <x v="0"/>
  </r>
  <r>
    <x v="108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4"/>
    <m/>
    <s v="Ιδιωτικά Σχολεία"/>
    <x v="1"/>
    <s v="7051139"/>
    <s v="ΙΔΙΩΤΙΚΟ ΣΥΣΤΕΓΑΖΟΜΕΝΟ ΝΗΠΙΑΓΩΓΕΙΟ - ΜΑΓΙΑ ΚΑΙ ΜΠΙΛΛΥ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4-01-06T00:00:00"/>
    <x v="1"/>
    <s v="ΔΙΕΥΘΥΝΣΗ Π.Ε. Α΄ ΑΘΗΝΑΣ"/>
    <x v="0"/>
  </r>
  <r>
    <x v="109"/>
    <x v="1"/>
    <s v="ΠΕ05"/>
    <s v="ΓΑΛΛΙΚΗΣ ΦΙΛΟΛΟΓΙΑΣ"/>
    <m/>
    <m/>
    <s v="Γ΄"/>
    <n v="1"/>
    <n v="103"/>
    <d v="2018-09-01T00:00:00"/>
    <s v="Δ΄ ΑΘΗΝΑΣ (Π.Ε.) 2018"/>
    <s v="ΔΙΕΥΘΥΝΣΗ Π.Ε. Δ΄ ΑΘΗΝΑΣ"/>
    <s v="ΠΕΡΙΦΕΡΕΙΑΚΗ Δ/ΝΣΗ Α/ΘΜΙΑΣ ΚΑΙ Β/ΘΜΙΑΣ ΕΚΠ/ΣΗΣ ΑΤΤΙΚΗΣ"/>
    <n v="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3-07-06T00:00:00"/>
    <x v="1"/>
    <s v="ΔΙΕΥΘΥΝΣΗ Π.Ε. Δ΄ ΑΘΗΝΑΣ"/>
    <x v="0"/>
  </r>
  <r>
    <x v="110"/>
    <x v="0"/>
    <s v="ΠΕ86"/>
    <s v="ΠΛΗΡΟΦΟΡΙΚΗΣ"/>
    <m/>
    <m/>
    <s v="Γ΄"/>
    <n v="1"/>
    <s v="18279/53"/>
    <d v="2018-09-01T00:00:00"/>
    <s v="Γ΄ ΑΘΗΝΑΣ (Δ.Ε.) 2018"/>
    <s v="ΔΙΕΥΘΥΝΣΗ Δ.Ε. Γ΄ ΑΘΗΝΑΣ"/>
    <s v="ΠΕΡΙΦΕΡΕΙΑΚΗ Δ/ΝΣΗ Α/ΘΜΙΑΣ ΚΑΙ Β/ΘΜΙΑΣ ΕΚΠ/ΣΗΣ ΑΤΤΙΚΗΣ"/>
    <n v="4"/>
    <d v="2018-09-01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3-01-01T00:00:00"/>
    <x v="0"/>
    <s v="ΔΙΕΥΘΥΝΣΗ Δ.Ε. Γ΄ ΑΘΗΝΑΣ"/>
    <x v="0"/>
  </r>
  <r>
    <x v="111"/>
    <x v="1"/>
    <s v="ΠΕ06"/>
    <s v="ΑΓΓΛΙΚΗΣ ΦΙΛΟΛΟΓΙΑΣ"/>
    <m/>
    <m/>
    <s v="Γ΄"/>
    <n v="1"/>
    <s v="Φ.17/16539/5/24-10-2018"/>
    <d v="2018-09-10T00:00:00"/>
    <s v="ΑΧΑΪΑΣ (Δ.Ε.) 2018"/>
    <s v="ΔΙΕΥΘΥΝΣΗ Δ.Ε. ΑΧΑΪΑΣ"/>
    <s v="ΠΕΡΙΦΕΡΕΙΑΚΗ Δ/ΝΣΗ Α/ΘΜΙΑΣ ΚΑΙ Β/ΘΜΙΑΣ ΕΚΠ/ΣΗΣ ΔΥΤΙΚΗΣ ΕΛΛΑΔΑΣ"/>
    <n v="4"/>
    <d v="2018-09-10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82-05-21T00:00:00"/>
    <x v="0"/>
    <s v="ΔΙΕΥΘΥΝΣΗ Δ.Ε. ΑΧΑΪΑΣ"/>
    <x v="0"/>
  </r>
  <r>
    <x v="112"/>
    <x v="1"/>
    <s v="ΠΕ04.01"/>
    <s v="ΦΥΣ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4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1-10-06T00:00:00"/>
    <x v="0"/>
    <s v="ΔΙΕΥΘΥΝΣΗ Δ.Ε. ΚΟΡΙΝΘΙΑΣ"/>
    <x v="0"/>
  </r>
  <r>
    <x v="113"/>
    <x v="0"/>
    <s v="ΠΕ07"/>
    <s v="ΓΕΡΜΑΝΙΚΗΣ ΦΙΛΟΛΟΓΙΑΣ"/>
    <m/>
    <m/>
    <s v="Γ΄"/>
    <n v="1"/>
    <s v="22397/12"/>
    <d v="2018-09-01T00:00:00"/>
    <s v="Γ΄ ΑΘΗΝΑΣ (Δ.Ε.) 2018"/>
    <s v="ΔΙΕΥΘΥΝΣΗ Δ.Ε. Γ΄ ΑΘΗΝΑΣ"/>
    <s v="ΠΕΡΙΦΕΡΕΙΑΚΗ Δ/ΝΣΗ Α/ΘΜΙΑΣ ΚΑΙ Β/ΘΜΙΑΣ ΕΚΠ/ΣΗΣ ΑΤΤΙΚΗΣ"/>
    <n v="4"/>
    <d v="2018-09-01T00:00:00"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1-09-24T00:00:00"/>
    <x v="0"/>
    <s v="ΔΙΕΥΘΥΝΣΗ Δ.Ε. Γ΄ ΑΘΗΝΑΣ"/>
    <x v="0"/>
  </r>
  <r>
    <x v="114"/>
    <x v="1"/>
    <s v="ΠΕ07"/>
    <s v="ΓΕΡΜΑΝ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9-03T00:00:00"/>
    <x v="1"/>
    <s v="ΔΙΕΥΘΥΝΣΗ Π.Ε. Β΄ ΑΘΗΝΑΣ"/>
    <x v="0"/>
  </r>
  <r>
    <x v="115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2-25T00:00:00"/>
    <x v="0"/>
    <s v="ΔΙΕΥΘΥΝΣΗ Δ.Ε. Β΄ ΑΘΗΝΑΣ"/>
    <x v="0"/>
  </r>
  <r>
    <x v="116"/>
    <x v="1"/>
    <s v="ΠΕ07"/>
    <s v="ΓΕΡΜΑΝΙΚΗΣ ΦΙΛΟΛΟΓΙΑΣ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0-12-28T00:00:00"/>
    <x v="1"/>
    <s v="ΔΙΕΥΘΥΝΣΗ Π.Ε. ΗΡΑΚΛΕΙΟΥ"/>
    <x v="0"/>
  </r>
  <r>
    <x v="117"/>
    <x v="1"/>
    <s v="ΠΕ79.01"/>
    <s v="ΜΟΥΣΙΚΗΣ ΕΠΙΣΤΗΜ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6-21T00:00:00"/>
    <x v="0"/>
    <s v="ΔΙΕΥΘΥΝΣΗ Δ.Ε. Β΄ ΑΘΗΝΑΣ"/>
    <x v="0"/>
  </r>
  <r>
    <x v="118"/>
    <x v="1"/>
    <s v="ΠΕ04.02"/>
    <s v="ΧΗΜ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0-06-13T00:00:00"/>
    <x v="0"/>
    <s v="ΔΙΕΥΘΥΝΣΗ Δ.Ε. Β΄ ΑΘΗΝΑΣ"/>
    <x v="0"/>
  </r>
  <r>
    <x v="119"/>
    <x v="1"/>
    <s v="ΠΕ11"/>
    <s v="ΦΥΣΙΚΗΣ ΑΓΩΓΗΣ"/>
    <m/>
    <m/>
    <s v="Γ΄"/>
    <n v="1"/>
    <s v="3944/02-12-201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4"/>
    <d v="2018-09-01T00:00:00"/>
    <s v="Ιδιωτικά Σχολεία"/>
    <x v="1"/>
    <s v="7191001"/>
    <s v="ΙΔΙΩΤΙΚΟ ΝΗΠΙΑΓΩΓΕΙΟ ΠΥΛΑΙΑ - ΑΓΑΠΗ ΚΑΙ ΑΓΩΓΗ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6-03T00:00:00"/>
    <x v="1"/>
    <s v="ΔΙΕΥΘΥΝΣΗ Π.Ε. ΑΝΑΤ. ΘΕΣ/ΝΙΚΗΣ"/>
    <x v="0"/>
  </r>
  <r>
    <x v="120"/>
    <x v="1"/>
    <s v="ΠΕ11"/>
    <s v="ΦΥΣΙΚΗΣ ΑΓΩΓΗΣ"/>
    <m/>
    <m/>
    <s v="Γ΄"/>
    <n v="1"/>
    <n v="13011"/>
    <d v="2018-09-01T00:00:00"/>
    <s v="Δ΄ ΑΘΗΝΑΣ (Π.Ε.) 2018"/>
    <s v="ΔΙΕΥΘΥΝΣΗ Π.Ε. Δ΄ ΑΘΗΝΑΣ"/>
    <s v="ΠΕΡΙΦΕΡΕΙΑΚΗ Δ/ΝΣΗ Α/ΘΜΙΑΣ ΚΑΙ Β/ΘΜΙΑΣ ΕΚΠ/ΣΗΣ ΑΤΤΙΚΗΣ"/>
    <n v="4"/>
    <d v="2018-09-01T00:00:00"/>
    <s v="Ιδιωτικά Σχολεία"/>
    <x v="1"/>
    <s v="7054025"/>
    <s v="ΙΔΙΩΤΙΚΟ ΝΗΠΙΑΓΩΓΕΙΟ ΑΛΙΜΟΣ - ΙΔΙΩΤΙΚΟ ΝΗΠΙΑΓΩΓΕΙΟ ΓΕΝΝΑΔΙΟΣ ΕΚΠΑΙΔΕΥΤΙΚΗ Κ.ΖΩΗ Α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0-04-19T00:00:00"/>
    <x v="1"/>
    <s v="ΔΙΕΥΘΥΝΣΗ Π.Ε. Δ΄ ΑΘΗΝΑΣ"/>
    <x v="0"/>
  </r>
  <r>
    <x v="121"/>
    <x v="0"/>
    <s v="ΠΕ11"/>
    <s v="ΦΥΣΙΚΗΣ ΑΓΩΓΗΣ"/>
    <m/>
    <m/>
    <s v="Γ΄"/>
    <n v="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4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9-09-30T00:00:00"/>
    <x v="1"/>
    <s v="ΔΙΕΥΘΥΝΣΗ Π.Ε. ΔΥΤ. ΘΕΣ/ΝΙΚΗΣ"/>
    <x v="0"/>
  </r>
  <r>
    <x v="122"/>
    <x v="1"/>
    <s v="ΠΕ05"/>
    <s v="ΓΑΛΛΙΚΗΣ ΦΙΛΟΛΟΓΙΑΣ"/>
    <m/>
    <m/>
    <s v="Γ΄"/>
    <n v="1"/>
    <d v="2018-09-19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9-08-01T00:00:00"/>
    <x v="1"/>
    <s v="ΔΙΕΥΘΥΝΣΗ Π.Ε. ΑΝΑΤ. ΘΕΣ/ΝΙΚΗΣ"/>
    <x v="0"/>
  </r>
  <r>
    <x v="123"/>
    <x v="1"/>
    <s v="ΠΕ88.04"/>
    <s v="ΔΙΑΤΡΟΦΗΣ"/>
    <m/>
    <m/>
    <s v="Γ΄"/>
    <n v="1"/>
    <n v="18264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9-07-11T00:00:00"/>
    <x v="0"/>
    <s v="ΔΙΕΥΘΥΝΣΗ Δ.Ε. Β΄ ΑΘΗΝΑΣ"/>
    <x v="0"/>
  </r>
  <r>
    <x v="124"/>
    <x v="1"/>
    <s v="ΠΕ07"/>
    <s v="ΓΕΡΜΑΝ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4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6-04T00:00:00"/>
    <x v="0"/>
    <s v="ΔΙΕΥΘΥΝΣΗ Δ.Ε. Δ΄ ΑΘΗΝΑΣ"/>
    <x v="0"/>
  </r>
  <r>
    <x v="12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1-16T00:00:00"/>
    <x v="0"/>
    <s v="ΔΙΕΥΘΥΝΣΗ Δ.Ε. Β΄ ΑΘΗΝΑΣ"/>
    <x v="0"/>
  </r>
  <r>
    <x v="126"/>
    <x v="1"/>
    <s v="ΠΕ05"/>
    <s v="ΓΑΛ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4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3-09T00:00:00"/>
    <x v="1"/>
    <s v="ΔΙΕΥΘΥΝΣΗ Π.Ε. Β΄ ΑΘΗΝΑΣ"/>
    <x v="0"/>
  </r>
  <r>
    <x v="127"/>
    <x v="0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01-13T00:00:00"/>
    <x v="1"/>
    <s v="ΔΙΕΥΘΥΝΣΗ Π.Ε. ΑΝΑΤΟΛΙΚΗΣ ΑΤΤΙΚΗΣ"/>
    <x v="0"/>
  </r>
  <r>
    <x v="128"/>
    <x v="1"/>
    <s v="ΠΕ07"/>
    <s v="ΓΕΡΜΑΝΙΚΗΣ ΦΙΛΟΛΟΓΙΑΣ"/>
    <m/>
    <m/>
    <s v="Γ΄"/>
    <n v="1"/>
    <n v="10851"/>
    <d v="2018-09-07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4"/>
    <d v="2018-09-07T00:00:00"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76-06-18T00:00:00"/>
    <x v="1"/>
    <s v="ΔΙΕΥΘΥΝΣΗ Π.Ε. ΔΥΤ. ΘΕΣ/ΝΙΚΗΣ"/>
    <x v="0"/>
  </r>
  <r>
    <x v="129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4"/>
    <m/>
    <s v="Ιδιωτικά Σχολεία"/>
    <x v="1"/>
    <s v="7052021"/>
    <s v="ΙΔΙΩΤΙΚΟ ΝΗΠΙΑΓΩΓΕΙΟ Ν.ΨΥΧΙΚΟ - ΔΗΜΗΤΡΑ ΠΑΝΟΥΣΗ ΚΑΙ ΣΙΑ Ε.Ε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5-11-03T00:00:00"/>
    <x v="1"/>
    <s v="ΔΙΕΥΘΥΝΣΗ Π.Ε. Β΄ ΑΘΗΝΑΣ"/>
    <x v="0"/>
  </r>
  <r>
    <x v="130"/>
    <x v="1"/>
    <s v="ΠΕ79.01"/>
    <s v="ΜΟΥΣΙΚΗΣ ΕΠΙΣΤΗΜΗΣ"/>
    <m/>
    <m/>
    <s v="Γ΄"/>
    <n v="1"/>
    <n v="3215"/>
    <d v="2018-09-01T00:00:00"/>
    <s v="ΤΡΙΚΑΛΩΝ (Π.Ε.) 2018"/>
    <s v="ΔΙΕΥΘΥΝΣΗ Π.Ε. ΤΡΙΚΑΛΩΝ"/>
    <s v="ΠΕΡΙΦΕΡΕΙΑΚΗ Δ/ΝΣΗ Α/ΘΜΙΑΣ ΚΑΙ Β/ΘΜΙΑΣ ΕΚΠ/ΣΗΣ ΘΕΣΣΑΛΙΑΣ"/>
    <n v="4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75-09-02T00:00:00"/>
    <x v="1"/>
    <s v="ΔΙΕΥΘΥΝΣΗ Π.Ε. ΤΡΙΚΑΛΩΝ"/>
    <x v="0"/>
  </r>
  <r>
    <x v="131"/>
    <x v="0"/>
    <s v="ΠΕ07"/>
    <s v="ΓΕΡΜΑΝΙΚΗΣ ΦΙΛΟΛΟΓΙΑΣ"/>
    <m/>
    <m/>
    <s v="Γ΄"/>
    <n v="1"/>
    <s v="4341/3-12-2010"/>
    <d v="2018-09-01T00:00:00"/>
    <s v="ΙΩΑΝΝΙΝΩΝ (Π.Ε.) 2018"/>
    <s v="ΔΙΕΥΘΥΝΣΗ Π.Ε. ΙΩΑΝΝΙΝΩΝ"/>
    <s v="ΠΕΡΙΦΕΡΕΙΑΚΗ Δ/ΝΣΗ Α/ΘΜΙΑΣ ΚΑΙ Β/ΘΜΙΑΣ ΕΚΠ/ΣΗΣ ΗΠΕΙΡΟΥ"/>
    <n v="4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5-01-01T00:00:00"/>
    <x v="1"/>
    <s v="ΔΙΕΥΘΥΝΣΗ Π.Ε. ΙΩΑΝΝΙΝΩΝ"/>
    <x v="0"/>
  </r>
  <r>
    <x v="132"/>
    <x v="1"/>
    <s v="ΠΕ07"/>
    <s v="ΓΕΡΜΑΝ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4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6-09T00:00:00"/>
    <x v="0"/>
    <s v="ΔΙΕΥΘΥΝΣΗ Δ.Ε. ΑΝΑΤΟΛΙΚΗΣ ΑΤΤΙΚΗΣ"/>
    <x v="0"/>
  </r>
  <r>
    <x v="133"/>
    <x v="1"/>
    <s v="ΤΕ16"/>
    <s v="ΜΟΥΣΙΚΗΣ ΜΗ ΑΝΩΤΑΤΩΝ ΙΔΡΥΜΑΤ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4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ΑΝΑΤΟΛΙΚΗΣ ΑΤΤΙΚΗΣ"/>
    <x v="0"/>
  </r>
  <r>
    <x v="134"/>
    <x v="1"/>
    <s v="ΠΕ05"/>
    <s v="ΓΑΛΛΙΚΗΣ ΦΙΛΟΛΟΓΙΑΣ"/>
    <m/>
    <m/>
    <s v="Γ΄"/>
    <n v="1"/>
    <n v="1838"/>
    <d v="2018-09-01T00:00:00"/>
    <s v="Δ΄ ΑΘΗΝΑΣ (Π.Ε.) 2018"/>
    <s v="ΔΙΕΥΘΥΝΣΗ Π.Ε. Δ΄ ΑΘΗΝΑΣ"/>
    <s v="ΠΕΡΙΦΕΡΕΙΑΚΗ Δ/ΝΣΗ Α/ΘΜΙΑΣ ΚΑΙ Β/ΘΜΙΑΣ ΕΚΠ/ΣΗΣ ΑΤΤΙΚΗΣ"/>
    <n v="4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1-01T00:00:00"/>
    <x v="1"/>
    <s v="ΔΙΕΥΘΥΝΣΗ Π.Ε. Δ΄ ΑΘΗΝΑΣ"/>
    <x v="0"/>
  </r>
  <r>
    <x v="135"/>
    <x v="1"/>
    <s v="ΠΕ05"/>
    <s v="ΓΑΛΛΙΚΗΣ ΦΙΛΟΛΟΓΙΑΣ"/>
    <m/>
    <m/>
    <s v="Γ΄"/>
    <n v="1"/>
    <n v="14662"/>
    <d v="2018-09-05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4"/>
    <d v="2018-09-05T00:00:00"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72-06-25T00:00:00"/>
    <x v="0"/>
    <s v="ΔΙΕΥΘΥΝΣΗ Δ.Ε. ΔΥΤ. ΘΕΣ/ΝΙΚΗΣ"/>
    <x v="0"/>
  </r>
  <r>
    <x v="136"/>
    <x v="1"/>
    <s v="ΠΕ34"/>
    <s v="ΙΤΑΛΙΚΗΣ ΦΙΛΟΛΟΓΙΑΣ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4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2-04-13T00:00:00"/>
    <x v="0"/>
    <s v="ΔΙΕΥΘΥΝΣΗ Δ.Ε. ΜΕΣΣΗΝΙΑΣ"/>
    <x v="0"/>
  </r>
  <r>
    <x v="137"/>
    <x v="1"/>
    <s v="ΠΕ04.02"/>
    <s v="ΧΗΜ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9-30T00:00:00"/>
    <x v="0"/>
    <s v="ΔΙΕΥΘΥΝΣΗ Δ.Ε. Γ΄ ΑΘΗΝΑΣ"/>
    <x v="0"/>
  </r>
  <r>
    <x v="138"/>
    <x v="1"/>
    <s v="ΠΕ07"/>
    <s v="ΓΕΡΜΑΝ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4"/>
    <m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4-23T00:00:00"/>
    <x v="0"/>
    <s v="ΔΙΕΥΘΥΝΣΗ Δ.Ε. Δ΄ ΑΘΗΝΑΣ"/>
    <x v="0"/>
  </r>
  <r>
    <x v="139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12-04T00:00:00"/>
    <x v="0"/>
    <s v="ΔΙΕΥΘΥΝΣΗ Δ.Ε. Β΄ ΑΘΗΝΑΣ"/>
    <x v="0"/>
  </r>
  <r>
    <x v="140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11-27T00:00:00"/>
    <x v="0"/>
    <s v="ΔΙΕΥΘΥΝΣΗ Δ.Ε. Β΄ ΑΘΗΝΑΣ"/>
    <x v="0"/>
  </r>
  <r>
    <x v="14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2-19T00:00:00"/>
    <x v="0"/>
    <s v="ΔΙΕΥΘΥΝΣΗ Δ.Ε. Β΄ ΑΘΗΝΑΣ"/>
    <x v="0"/>
  </r>
  <r>
    <x v="14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1-12T00:00:00"/>
    <x v="0"/>
    <s v="ΔΙΕΥΘΥΝΣΗ Δ.Ε. Β΄ ΑΘΗΝΑΣ"/>
    <x v="0"/>
  </r>
  <r>
    <x v="143"/>
    <x v="1"/>
    <s v="ΠΕ05"/>
    <s v="ΓΑΛΛΙΚΗΣ ΦΙΛΟΛΟΓΙΑΣ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8-03-24T00:00:00"/>
    <x v="1"/>
    <s v="ΔΙΕΥΘΥΝΣΗ Π.Ε. ΗΡΑΚΛΕΙΟΥ"/>
    <x v="0"/>
  </r>
  <r>
    <x v="144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2-17T00:00:00"/>
    <x v="0"/>
    <s v="ΔΙΕΥΘΥΝΣΗ Δ.Ε. Β΄ ΑΘΗΝΑΣ"/>
    <x v="0"/>
  </r>
  <r>
    <x v="145"/>
    <x v="1"/>
    <s v="ΠΕ05"/>
    <s v="ΓΑΛ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4"/>
    <m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1-01T00:00:00"/>
    <x v="1"/>
    <s v="ΔΙΕΥΘΥΝΣΗ Π.Ε. Β΄ ΑΘΗΝΑΣ"/>
    <x v="0"/>
  </r>
  <r>
    <x v="146"/>
    <x v="1"/>
    <s v="ΠΕ79.01"/>
    <s v="ΜΟΥΣΙΚΗΣ ΕΠΙΣΤΗΜ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4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6-10-01T00:00:00"/>
    <x v="0"/>
    <s v="ΔΙΕΥΘΥΝΣΗ Δ.Ε. Α΄ ΑΘΗΝΑΣ"/>
    <x v="0"/>
  </r>
  <r>
    <x v="147"/>
    <x v="0"/>
    <s v="ΠΕ88.05"/>
    <s v="ΦΥΣΙΚΟΥ ΠΕΡΙΒΑΛΛΟΝΤΟ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12-02T00:00:00"/>
    <x v="0"/>
    <s v="ΔΙΕΥΘΥΝΣΗ Δ.Ε. Β΄ ΑΘΗΝΑΣ"/>
    <x v="0"/>
  </r>
  <r>
    <x v="148"/>
    <x v="1"/>
    <s v="ΠΕ02"/>
    <s v="ΦΙΛΟΛΟΓΟΙ"/>
    <m/>
    <m/>
    <s v="Α΄"/>
    <n v="14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8-31T00:00:00"/>
    <x v="0"/>
    <s v="ΔΙΕΥΘΥΝΣΗ Δ.Ε. Β΄ ΑΘΗΝΑΣ"/>
    <x v="0"/>
  </r>
  <r>
    <x v="149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8-10-24T00:00:00"/>
    <x v="0"/>
    <s v="ΔΙΕΥΘΥΝΣΗ Δ.Ε. Β΄ ΑΘΗΝΑΣ"/>
    <x v="0"/>
  </r>
  <r>
    <x v="150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8-07-13T00:00:00"/>
    <x v="0"/>
    <s v="ΔΙΕΥΘΥΝΣΗ Δ.Ε. Β΄ ΑΘΗΝΑΣ"/>
    <x v="0"/>
  </r>
  <r>
    <x v="151"/>
    <x v="0"/>
    <s v="ΠΕ79.01"/>
    <s v="ΜΟΥΣΙΚΗΣ ΕΠΙΣΤΗΜΗΣ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9-03T00:00:00"/>
    <x v="0"/>
    <s v="ΔΙΕΥΘΥΝΣΗ Δ.Ε. Β΄ ΑΘΗΝΑΣ"/>
    <x v="0"/>
  </r>
  <r>
    <x v="152"/>
    <x v="0"/>
    <s v="ΠΕ08"/>
    <s v="ΚΑΛΛΙΤΕΧΝΙΚΩΝ"/>
    <m/>
    <m/>
    <s v="Γ΄"/>
    <n v="1"/>
    <n v="18261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57-02-11T00:00:00"/>
    <x v="0"/>
    <s v="ΔΙΕΥΘΥΝΣΗ Δ.Ε. Β΄ ΑΘΗΝΑΣ"/>
    <x v="0"/>
  </r>
  <r>
    <x v="153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4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1-21T00:00:00"/>
    <x v="0"/>
    <s v="ΔΙΕΥΘΥΝΣΗ Δ.Ε. Β΄ ΑΘΗΝΑΣ"/>
    <x v="0"/>
  </r>
  <r>
    <x v="154"/>
    <x v="1"/>
    <s v="ΠΕ81"/>
    <s v="ΠΟΛ.ΜΗΧΑΝΙΚΩΝ-ΑΡΧΙΤΕΚΤΟΝ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0"/>
  </r>
  <r>
    <x v="155"/>
    <x v="0"/>
    <s v="ΠΕ01"/>
    <s v="ΘΕ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4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0"/>
  </r>
  <r>
    <x v="156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4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0"/>
  </r>
  <r>
    <x v="157"/>
    <x v="1"/>
    <s v="ΠΕ11"/>
    <s v="ΦΥΣΙΚΗΣ ΑΓΩΓΗΣ"/>
    <m/>
    <m/>
    <s v="Γ΄"/>
    <n v="1"/>
    <n v="15011"/>
    <d v="2018-11-26T00:00:00"/>
    <s v="Δ΄ ΑΘΗΝΑΣ (Δ.Ε.) 2018"/>
    <s v="ΔΙΕΥΘΥΝΣΗ Δ.Ε. Δ΄ ΑΘΗΝΑΣ"/>
    <s v="ΠΕΡΙΦΕΡΕΙΑΚΗ Δ/ΝΣΗ Α/ΘΜΙΑΣ ΚΑΙ Β/ΘΜΙΑΣ ΕΚΠ/ΣΗΣ ΑΤΤΙΚΗΣ"/>
    <n v="4"/>
    <d v="2018-11-26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0"/>
  </r>
  <r>
    <x v="158"/>
    <x v="0"/>
    <s v="ΠΕ86"/>
    <s v="ΠΛΗΡΟΦΟΡΙΚΗΣ"/>
    <m/>
    <m/>
    <s v="Γ΄"/>
    <n v="1"/>
    <n v="16389"/>
    <d v="2018-11-26T00:00:00"/>
    <s v="Δ΄ ΑΘΗΝΑΣ (Δ.Ε.) 2018"/>
    <s v="ΔΙΕΥΘΥΝΣΗ Δ.Ε. Δ΄ ΑΘΗΝΑΣ"/>
    <s v="ΠΕΡΙΦΕΡΕΙΑΚΗ Δ/ΝΣΗ Α/ΘΜΙΑΣ ΚΑΙ Β/ΘΜΙΑΣ ΕΚΠ/ΣΗΣ ΑΤΤΙΚΗΣ"/>
    <n v="4"/>
    <d v="2018-11-26T00:00:00"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0"/>
  </r>
  <r>
    <x v="159"/>
    <x v="1"/>
    <s v="ΠΕ05"/>
    <s v="ΓΑΛ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4"/>
    <m/>
    <s v="Ιδιωτικά Σχολεία"/>
    <x v="4"/>
    <s v="7052036"/>
    <s v="ΙΔΙΩΤΙΚΟ ΔΗΜΟΤΙΚ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0"/>
  </r>
  <r>
    <x v="160"/>
    <x v="1"/>
    <s v="ΠΕ05"/>
    <s v="ΓΑΛΛΙΚΗΣ ΦΙΛΟΛΟΓΙΑΣ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4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Γ΄ ΑΘΗΝΑΣ"/>
    <x v="0"/>
  </r>
  <r>
    <x v="161"/>
    <x v="1"/>
    <s v="ΠΕ08"/>
    <s v="ΚΑΛΛΙΤΕΧΝΙΚΩΝ"/>
    <m/>
    <m/>
    <s v="Γ΄"/>
    <n v="1"/>
    <n v="9893"/>
    <d v="2018-10-19T00:00:00"/>
    <s v="ΙΩΑΝΝΙΝΩΝ (Δ.Ε.) 2018"/>
    <s v="ΔΙΕΥΘΥΝΣΗ Δ.Ε. ΙΩΑΝΝΙΝΩΝ"/>
    <s v="ΠΕΡΙΦΕΡΕΙΑΚΗ Δ/ΝΣΗ Α/ΘΜΙΑΣ ΚΑΙ Β/ΘΜΙΑΣ ΕΚΠ/ΣΗΣ ΗΠΕΙΡΟΥ"/>
    <n v="5"/>
    <d v="2018-10-19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95-06-05T00:00:00"/>
    <x v="0"/>
    <s v="ΔΙΕΥΘΥΝΣΗ Δ.Ε. ΙΩΑΝΝΙΝΩΝ"/>
    <x v="0"/>
  </r>
  <r>
    <x v="162"/>
    <x v="1"/>
    <s v="ΠΕ02"/>
    <s v="ΦΙΛΟΛΟΓΟΙ"/>
    <m/>
    <m/>
    <s v="Γ΄"/>
    <n v="1"/>
    <n v="23695"/>
    <d v="2018-09-01T00:00:00"/>
    <s v="Β΄ ΑΘΗΝΑΣ (Δ.Ε.) 2018"/>
    <s v="ΔΙΕΥΘΥΝΣΗ Δ.Ε. Β΄ ΑΘΗΝΑΣ"/>
    <s v="ΠΕΡΙΦΕΡΕΙΑΚΗ Δ/ΝΣΗ Α/ΘΜΙΑΣ ΚΑΙ Β/ΘΜΙΑΣ ΕΚΠ/ΣΗΣ ΑΤΤΙΚΗΣ"/>
    <n v="5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2-05-02T00:00:00"/>
    <x v="0"/>
    <s v="ΔΙΕΥΘΥΝΣΗ Δ.Ε. Β΄ ΑΘΗΝΑΣ"/>
    <x v="0"/>
  </r>
  <r>
    <x v="163"/>
    <x v="1"/>
    <s v="ΠΕ08"/>
    <s v="ΚΑΛΛΙΤΕΧΝΙΚΩΝ"/>
    <m/>
    <m/>
    <s v="Γ΄"/>
    <n v="1"/>
    <s v="8412/18-9-2018"/>
    <d v="2018-09-11T00:00:00"/>
    <s v="ΙΩΑΝΝΙΝΩΝ (Δ.Ε.) 2018"/>
    <s v="ΔΙΕΥΘΥΝΣΗ Δ.Ε. ΙΩΑΝΝΙΝΩΝ"/>
    <s v="ΠΕΡΙΦΕΡΕΙΑΚΗ Δ/ΝΣΗ Α/ΘΜΙΑΣ ΚΑΙ Β/ΘΜΙΑΣ ΕΚΠ/ΣΗΣ ΗΠΕΙΡΟΥ"/>
    <n v="5"/>
    <d v="2018-09-11T00:00:00"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92-02-26T00:00:00"/>
    <x v="0"/>
    <s v="ΔΙΕΥΘΥΝΣΗ Δ.Ε. ΙΩΑΝΝΙΝΩΝ"/>
    <x v="0"/>
  </r>
  <r>
    <x v="164"/>
    <x v="1"/>
    <s v="ΠΕ80"/>
    <s v="ΟΙΚΟΝΟΜ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5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9-06-29T00:00:00"/>
    <x v="0"/>
    <s v="ΔΙΕΥΘΥΝΣΗ Δ.Ε. ΑΝΑΤΟΛΙΚΗΣ ΑΤΤΙΚΗΣ"/>
    <x v="0"/>
  </r>
  <r>
    <x v="165"/>
    <x v="1"/>
    <s v="ΠΕ06"/>
    <s v="ΑΓΓΛΙΚΗΣ ΦΙΛΟΛΟΓΙΑΣ"/>
    <m/>
    <m/>
    <s v="Γ΄"/>
    <n v="1"/>
    <s v="17336/01-09-2018"/>
    <d v="2018-09-01T00:00:00"/>
    <s v="ΛΑΡΙΣΑΣ (Δ.Ε.) 2018"/>
    <s v="ΔΙΕΥΘΥΝΣΗ Δ.Ε. ΛΑΡΙΣΑΣ"/>
    <s v="ΠΕΡΙΦΕΡΕΙΑΚΗ Δ/ΝΣΗ Α/ΘΜΙΑΣ ΚΑΙ Β/ΘΜΙΑΣ ΕΚΠ/ΣΗΣ ΘΕΣΣΑΛΙΑΣ"/>
    <n v="5"/>
    <d v="2018-09-01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9-04-25T00:00:00"/>
    <x v="0"/>
    <s v="ΔΙΕΥΘΥΝΣΗ Δ.Ε. ΛΑΡΙΣΑΣ"/>
    <x v="0"/>
  </r>
  <r>
    <x v="166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5"/>
    <m/>
    <s v="Ιδιωτικά Σχολεία"/>
    <x v="1"/>
    <s v="7521063"/>
    <s v="ΠΑΙΔΙΚΟ ΠΑΝΕΠΙΣΤΗΜΙΟ (ΤΣΑΡΑΜΙΑΔΟΥ ΤΑΤΙΑΝΗ - ΗΛΙΑΣ ΤΕΡΖΑΚΗΣ Ε.Π.Ε.)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9-15T00:00:00"/>
    <x v="1"/>
    <s v="ΔΙΕΥΘΥΝΣΗ Π.Ε. ΑΝΑΤΟΛΙΚΗΣ ΑΤΤΙΚΗΣ"/>
    <x v="0"/>
  </r>
  <r>
    <x v="167"/>
    <x v="1"/>
    <s v="ΠΕ05"/>
    <s v="ΓΑΛΛΙΚΗΣ ΦΙΛΟΛΟΓΙΑΣ"/>
    <m/>
    <m/>
    <s v="Γ΄"/>
    <n v="1"/>
    <n v="15954"/>
    <d v="2018-09-01T00:00:00"/>
    <s v="Α΄ ΠΕΙΡΑΙΑ (Π.Ε.) 2018"/>
    <s v="ΔΙΕΥΘΥΝΣΗ Π.Ε. ΠΕΙΡΑΙΑ"/>
    <s v="ΠΕΡΙΦΕΡΕΙΑΚΗ Δ/ΝΣΗ Α/ΘΜΙΑΣ ΚΑΙ Β/ΘΜΙΑΣ ΕΚΠ/ΣΗΣ ΑΤΤΙΚΗΣ"/>
    <n v="5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8-07-16T00:00:00"/>
    <x v="1"/>
    <s v="ΔΙΕΥΘΥΝΣΗ Π.Ε. ΠΕΙΡΑΙΑ"/>
    <x v="0"/>
  </r>
  <r>
    <x v="168"/>
    <x v="1"/>
    <s v="ΠΕ02"/>
    <s v="ΦΙΛΟΛΟΓ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5"/>
    <d v="2018-09-12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7-07-31T00:00:00"/>
    <x v="0"/>
    <s v="ΔΙΕΥΘΥΝΣΗ Δ.Ε. Δ΄ ΑΘΗΝΑΣ"/>
    <x v="0"/>
  </r>
  <r>
    <x v="169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5"/>
    <m/>
    <s v="Ιδιωτικά Σχολεία"/>
    <x v="1"/>
    <s v="7521083"/>
    <s v="ΙΔΙΩΤΙΚΟ ΝΗΠΙΑΓΩΓΕΙΟ ΣΤΑΜΑΤΑ ΑΤΤΙΚΗΣ - Π. ΚΑΙ Ι. ΠΙΠΕΡΗ Ο.Ε.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5-26T00:00:00"/>
    <x v="1"/>
    <s v="ΔΙΕΥΘΥΝΣΗ Π.Ε. ΑΝΑΤΟΛΙΚΗΣ ΑΤΤΙΚΗΣ"/>
    <x v="0"/>
  </r>
  <r>
    <x v="170"/>
    <x v="1"/>
    <s v="ΠΕ08"/>
    <s v="ΚΑΛΛΙΤΕΧΝΙΚΩΝ"/>
    <m/>
    <m/>
    <s v="Γ΄"/>
    <n v="1"/>
    <s v="3956β/14-9-2018"/>
    <d v="2018-09-14T00:00:00"/>
    <s v="ΑΡΓΟΛΙΔΑΣ (Δ.Ε.) 2018"/>
    <s v="ΔΙΕΥΘΥΝΣΗ Δ.Ε. ΑΡΓΟΛΙΔΑΣ"/>
    <s v="ΠΕΡΙΦΕΡΕΙΑΚΗ Δ/ΝΣΗ Α/ΘΜΙΑΣ ΚΑΙ Β/ΘΜΙΑΣ ΕΚΠ/ΣΗΣ ΠΕΛΟΠΟΝΝΗΣΟΥ"/>
    <n v="5"/>
    <d v="2018-09-14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86-06-05T00:00:00"/>
    <x v="0"/>
    <s v="ΔΙΕΥΘΥΝΣΗ Δ.Ε. ΑΡΓΟΛΙΔΑΣ"/>
    <x v="0"/>
  </r>
  <r>
    <x v="171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m/>
    <s v="Ιδιωτικά Σχολεία"/>
    <x v="1"/>
    <s v="7541033"/>
    <s v="ΙΔΙΩΤΙΚΟ ΝΗΠΙΑΓΩΓΕΙΟ ΚΟΡΥΔΑΛΛΟΣ - ΠΑΛΑΤΑΚΙ ΜΟΝΟΠΡΟΣΩΠΗ 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6-04-21T00:00:00"/>
    <x v="1"/>
    <s v="ΔΙΕΥΘΥΝΣΗ Π.Ε. ΠΕΙΡΑΙΑ"/>
    <x v="0"/>
  </r>
  <r>
    <x v="172"/>
    <x v="1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5"/>
    <m/>
    <s v="Ιδιωτικά Σχολεία"/>
    <x v="1"/>
    <s v="7521093"/>
    <s v="ΕΛΕΝΑ ΣΚΟΤΤ &amp; ΣΙΑ Ο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6-01-24T00:00:00"/>
    <x v="1"/>
    <s v="ΔΙΕΥΘΥΝΣΗ Π.Ε. ΑΝΑΤΟΛΙΚΗΣ ΑΤΤΙΚΗΣ"/>
    <x v="0"/>
  </r>
  <r>
    <x v="173"/>
    <x v="1"/>
    <s v="ΠΕ60"/>
    <s v="ΝΗΠΙΑΓΩΓ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5"/>
    <m/>
    <s v="Ιδιωτικά Σχολεία"/>
    <x v="1"/>
    <s v="7101007"/>
    <s v="ΙΔΙΩΤΙΚΟ ΝΗΠΙΑΓΩΓΕΙΟ ΡΟΔΟΣ - ΔΗΜΙΟΥΡΓ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5-04-30T00:00:00"/>
    <x v="1"/>
    <s v="ΔΙΕΥΘΥΝΣΗ Π.Ε. ΔΩΔΕΚΑΝΗΣΟΥ"/>
    <x v="0"/>
  </r>
  <r>
    <x v="174"/>
    <x v="1"/>
    <s v="ΠΕ60"/>
    <s v="ΝΗΠΙΑΓΩΓΟΙ"/>
    <m/>
    <m/>
    <s v="Γ΄"/>
    <n v="1"/>
    <n v="1"/>
    <d v="2018-12-12T00:00:00"/>
    <s v="ΗΡΑΚΛΕΙΟΥ (Π.Ε.) 2018"/>
    <s v="ΔΙΕΥΘΥΝΣΗ Π.Ε. ΗΡΑΚΛΕΙΟΥ"/>
    <s v="ΠΕΡΙΦΕΡΕΙΑΚΗ Δ/ΝΣΗ Α/ΘΜΙΑΣ ΚΑΙ Β/ΘΜΙΑΣ ΕΚΠ/ΣΗΣ ΚΡΗΤΗΣ"/>
    <n v="5"/>
    <d v="2018-12-12T00:00:00"/>
    <m/>
    <x v="6"/>
    <s v=""/>
    <m/>
    <m/>
    <s v="ΔΙΕΥΘΥΝΣΗ Π.Ε. ΗΡΑΚΛΕΙΟΥ"/>
    <s v="ΠΕΡΙΦΕΡΕΙΑΚΗ Δ/ΝΣΗ Α/ΘΜΙΑΣ ΚΑΙ Β/ΘΜΙΑΣ ΕΚΠ/ΣΗΣ ΚΡΗΤΗΣ"/>
    <x v="0"/>
    <s v="Τοποθέτηση σε Ιδιωτική Εκπαίδευση"/>
    <d v="1984-10-05T00:00:00"/>
    <x v="1"/>
    <s v="ΔΙΕΥΘΥΝΣΗ Π.Ε. ΗΡΑΚΛΕΙΟΥ"/>
    <x v="0"/>
  </r>
  <r>
    <x v="175"/>
    <x v="1"/>
    <s v="ΠΕ04.01"/>
    <s v="ΦΥΣΙΚΟΙ"/>
    <m/>
    <m/>
    <s v="Γ΄"/>
    <n v="1"/>
    <n v="20583"/>
    <d v="2018-09-01T00:00:00"/>
    <s v="Δ΄ ΑΘΗΝΑΣ (Δ.Ε.) 2018"/>
    <s v="ΔΙΕΥΘΥΝΣΗ Δ.Ε. Δ΄ ΑΘΗΝΑΣ"/>
    <s v="ΠΕΡΙΦΕΡΕΙΑΚΗ Δ/ΝΣΗ Α/ΘΜΙΑΣ ΚΑΙ Β/ΘΜΙΑΣ ΕΚΠ/ΣΗΣ ΑΤΤΙΚΗΣ"/>
    <n v="5"/>
    <d v="2018-09-01T00:00:00"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4-09-05T00:00:00"/>
    <x v="0"/>
    <s v="ΔΙΕΥΘΥΝΣΗ Δ.Ε. Δ΄ ΑΘΗΝΑΣ"/>
    <x v="0"/>
  </r>
  <r>
    <x v="176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5"/>
    <m/>
    <s v="Ιδιωτικά Σχολεία"/>
    <x v="1"/>
    <s v="7053047"/>
    <s v="ΣΥΣΤΕΓΑΖΟΜΕΝΟ ΝΗΠΙΑΓΩΓΕΙΟ - ΧΑΛΚΙΑΣ ΓΕΩΡΓΙΟΣ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4-05-18T00:00:00"/>
    <x v="1"/>
    <s v="ΔΙΕΥΘΥΝΣΗ Π.Ε. Γ΄ ΑΘΗΝΑΣ"/>
    <x v="0"/>
  </r>
  <r>
    <x v="177"/>
    <x v="1"/>
    <s v="ΠΕ02"/>
    <s v="ΦΙΛΟΛΟΓΟΙ"/>
    <m/>
    <m/>
    <s v="Γ΄"/>
    <n v="1"/>
    <s v="18279/54"/>
    <d v="2018-09-10T00:00:00"/>
    <s v="Γ΄ ΑΘΗΝΑΣ (Δ.Ε.) 2018"/>
    <s v="ΔΙΕΥΘΥΝΣΗ Δ.Ε. Γ΄ ΑΘΗΝΑΣ"/>
    <s v="ΠΕΡΙΦΕΡΕΙΑΚΗ Δ/ΝΣΗ Α/ΘΜΙΑΣ ΚΑΙ Β/ΘΜΙΑΣ ΕΚΠ/ΣΗΣ ΑΤΤΙΚΗΣ"/>
    <n v="5"/>
    <d v="2018-09-10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83-05-21T00:00:00"/>
    <x v="0"/>
    <s v="ΔΙΕΥΘΥΝΣΗ Δ.Ε. Γ΄ ΑΘΗΝΑΣ"/>
    <x v="0"/>
  </r>
  <r>
    <x v="178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m/>
    <s v="Ιδιωτικά Σχολεία"/>
    <x v="1"/>
    <s v="7541097"/>
    <s v="2ο ΙΔΙΩΤΙΚΟ ΣΥΣΤΕΓΑΖΟΜΕΝΟ ΝΗΠΙΑΓΩΓΕΙΟ - ΚΑΡΟΥΖΕΛ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2-12-23T00:00:00"/>
    <x v="1"/>
    <s v="ΔΙΕΥΘΥΝΣΗ Π.Ε. ΠΕΙΡΑΙΑ"/>
    <x v="0"/>
  </r>
  <r>
    <x v="179"/>
    <x v="1"/>
    <s v="ΠΕ60"/>
    <s v="ΝΗΠΙΑΓΩΓ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5"/>
    <m/>
    <s v="Ιδιωτικά Σχολεία"/>
    <x v="1"/>
    <s v="7171017"/>
    <s v="ΙΔΙΩΤΙΚΟ ΝΗΠΙΑΓΩΓΕΙΟ ΗΡΑΚΛΕΙΟ - ΙΔΙΩΤΙΚΟ ΝΗΠΙΑΓΩΓΕΙ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2-12-09T00:00:00"/>
    <x v="1"/>
    <s v="ΔΙΕΥΘΥΝΣΗ Π.Ε. ΗΡΑΚΛΕΙΟΥ"/>
    <x v="0"/>
  </r>
  <r>
    <x v="180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m/>
    <s v="Ιδιωτικά Σχολεία"/>
    <x v="1"/>
    <s v="7541039"/>
    <s v="ΙΔΙΩΤΙΚΟ ΝΗΠΙΑΓΩΓΕΙΟ - Μ. ΛΑΜΠΙΡΗ &amp; ΣΙΑ Ο.Ε."/>
    <s v="Α΄ ΠΕΙΡΑΙΑ (Π.Ε.) 2018"/>
    <s v="ΔΙΕΥΘΥΝΣΗ Π.Ε. ΠΕΙΡΑΙΑ"/>
    <s v="ΠΕΡΙΦΕΡΕΙΑΚΗ Δ/ΝΣΗ Α/ΘΜΙΑΣ ΚΑΙ Β/ΘΜΙΑΣ ΕΚΠ/ΣΗΣ ΑΤΤΙΚΗΣ"/>
    <x v="3"/>
    <s v="Τοποθέτηση σε Ιδιωτική Εκπαίδευση"/>
    <d v="1982-06-09T00:00:00"/>
    <x v="1"/>
    <s v="ΔΙΕΥΘΥΝΣΗ Π.Ε. ΠΕΙΡΑΙΑ"/>
    <x v="0"/>
  </r>
  <r>
    <x v="181"/>
    <x v="1"/>
    <s v="ΠΕ07"/>
    <s v="ΓΕΡΜΑΝΙΚΗΣ ΦΙΛΟΛΟΓΙΑΣ"/>
    <m/>
    <m/>
    <s v="Γ΄"/>
    <n v="1"/>
    <n v="4549"/>
    <d v="2018-09-19T00:00:00"/>
    <s v="ΑΡΓΟΛΙΔΑΣ (Π.Ε.) 2018"/>
    <s v="ΔΙΕΥΘΥΝΣΗ Π.Ε. ΑΡΓΟΛΙΔΑΣ"/>
    <s v="ΠΕΡΙΦΕΡΕΙΑΚΗ Δ/ΝΣΗ Α/ΘΜΙΑΣ ΚΑΙ Β/ΘΜΙΑΣ ΕΚΠ/ΣΗΣ ΠΕΛΟΠΟΝΝΗΣΟΥ"/>
    <n v="5"/>
    <d v="2018-09-19T00:00:00"/>
    <m/>
    <x v="6"/>
    <s v=""/>
    <m/>
    <m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81-01-01T00:00:00"/>
    <x v="1"/>
    <s v="ΔΙΕΥΘΥΝΣΗ Π.Ε. ΑΡΓΟΛΙΔΑΣ"/>
    <x v="0"/>
  </r>
  <r>
    <x v="182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m/>
    <s v="Ιδιωτικά Σχολεία"/>
    <x v="1"/>
    <s v="7541039"/>
    <s v="ΙΔΙΩΤΙΚΟ ΝΗΠΙΑΓΩΓΕΙΟ - Μ. ΛΑΜΠΙΡΗ &amp; ΣΙΑ Ο.Ε."/>
    <s v="Α΄ ΠΕΙΡΑΙΑ (Π.Ε.) 2018"/>
    <s v="ΔΙΕΥΘΥΝΣΗ Π.Ε. ΠΕΙΡΑΙΑ"/>
    <s v="ΠΕΡΙΦΕΡΕΙΑΚΗ Δ/ΝΣΗ Α/ΘΜΙΑΣ ΚΑΙ Β/ΘΜΙΑΣ ΕΚΠ/ΣΗΣ ΑΤΤΙΚΗΣ"/>
    <x v="3"/>
    <s v="Τοποθέτηση σε Ιδιωτική Εκπαίδευση"/>
    <d v="1979-11-27T00:00:00"/>
    <x v="1"/>
    <s v="ΔΙΕΥΘΥΝΣΗ Π.Ε. ΠΕΙΡΑΙΑ"/>
    <x v="0"/>
  </r>
  <r>
    <x v="183"/>
    <x v="1"/>
    <s v="ΠΕ07"/>
    <s v="ΓΕΡΜΑΝΙΚΗΣ ΦΙΛΟΛΟΓΙΑΣ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5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79-01-01T00:00:00"/>
    <x v="1"/>
    <s v="ΔΙΕΥΘΥΝΣΗ Π.Ε. ΑΡΓΟΛΙΔΑΣ"/>
    <x v="0"/>
  </r>
  <r>
    <x v="18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5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8-07-29T00:00:00"/>
    <x v="0"/>
    <s v="ΔΙΕΥΘΥΝΣΗ Δ.Ε. Β΄ ΑΘΗΝΑΣ"/>
    <x v="0"/>
  </r>
  <r>
    <x v="185"/>
    <x v="1"/>
    <s v="ΠΕ60"/>
    <s v="ΝΗΠΙΑΓΩΓ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5"/>
    <m/>
    <s v="Ιδιωτικά Σχολεία"/>
    <x v="1"/>
    <s v="7021005"/>
    <s v="ΙΔΙΩΤΙΚΟ ΝΗΠΙΑΓΩΓΕΙΟ ΑΡΓΟΣ - ΙΔΙΩΤΙΚΟ ΝΗΠΙΑΓΩΓΕΙΟ ΑΥΤΕΝΕΡΓΩ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77-09-15T00:00:00"/>
    <x v="1"/>
    <s v="ΔΙΕΥΘΥΝΣΗ Π.Ε. ΑΡΓΟΛΙΔΑΣ"/>
    <x v="0"/>
  </r>
  <r>
    <x v="186"/>
    <x v="0"/>
    <s v="ΠΕ01"/>
    <s v="ΘΕ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5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7-01-01T00:00:00"/>
    <x v="0"/>
    <s v="ΔΙΕΥΘΥΝΣΗ Δ.Ε. ΗΡΑΚΛΕΙΟΥ"/>
    <x v="0"/>
  </r>
  <r>
    <x v="187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5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6-12-01T00:00:00"/>
    <x v="0"/>
    <s v="ΔΙΕΥΘΥΝΣΗ Δ.Ε. ΠΕΙΡΑΙΑ"/>
    <x v="0"/>
  </r>
  <r>
    <x v="188"/>
    <x v="1"/>
    <s v="ΠΕ04.02"/>
    <s v="ΧΗΜ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5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1-02T00:00:00"/>
    <x v="0"/>
    <s v="ΔΙΕΥΘΥΝΣΗ Δ.Ε. ΑΝΑΤ. ΘΕΣ/ΝΙΚΗΣ"/>
    <x v="0"/>
  </r>
  <r>
    <x v="189"/>
    <x v="1"/>
    <s v="ΠΕ05"/>
    <s v="ΓΑΛΛΙΚΗΣ ΦΙΛΟΛΟΓΙΑΣ"/>
    <m/>
    <m/>
    <s v="Γ΄"/>
    <n v="1"/>
    <n v="991"/>
    <d v="2018-09-01T00:00:00"/>
    <s v="Δ΄ ΑΘΗΝΑΣ (Π.Ε.) 2018"/>
    <s v="ΔΙΕΥΘΥΝΣΗ Π.Ε. Δ΄ ΑΘΗΝΑΣ"/>
    <s v="ΠΕΡΙΦΕΡΕΙΑΚΗ Δ/ΝΣΗ Α/ΘΜΙΑΣ ΚΑΙ Β/ΘΜΙΑΣ ΕΚΠ/ΣΗΣ ΑΤΤΙΚΗΣ"/>
    <n v="5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5-08-12T00:00:00"/>
    <x v="1"/>
    <s v="ΔΙΕΥΘΥΝΣΗ Π.Ε. Δ΄ ΑΘΗΝΑΣ"/>
    <x v="0"/>
  </r>
  <r>
    <x v="190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5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4-09-04T00:00:00"/>
    <x v="0"/>
    <s v="ΔΙΕΥΘΥΝΣΗ Δ.Ε. ΠΕΙΡΑΙΑ"/>
    <x v="0"/>
  </r>
  <r>
    <x v="191"/>
    <x v="0"/>
    <s v="ΠΕ01"/>
    <s v="ΘΕΟΛΟΓΟΙ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5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11-21T00:00:00"/>
    <x v="0"/>
    <s v="ΔΙΕΥΘΥΝΣΗ Δ.Ε. Α΄ ΑΘΗΝΑΣ"/>
    <x v="0"/>
  </r>
  <r>
    <x v="192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5"/>
    <m/>
    <s v="Ιδιωτικά Σχολεία"/>
    <x v="1"/>
    <s v="7053073"/>
    <s v="ΙΔΙΩΤΙΚΟ ΝΗΠΙΑΓΩΓΕΙΟ - ΠΑΙΔΟΣΤΡΟΒΙΛΟΣ (Φ.ΛΥΣΣΑΡΗ - Φ.ΠΑΝΑΓΟΠΟΥΛΟΥ ΟΕ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3-08-27T00:00:00"/>
    <x v="1"/>
    <s v="ΔΙΕΥΘΥΝΣΗ Π.Ε. Γ΄ ΑΘΗΝΑΣ"/>
    <x v="0"/>
  </r>
  <r>
    <x v="193"/>
    <x v="0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5-12T00:00:00"/>
    <x v="0"/>
    <s v="ΔΙΕΥΘΥΝΣΗ Δ.Ε. Β΄ ΑΘΗΝΑΣ"/>
    <x v="0"/>
  </r>
  <r>
    <x v="194"/>
    <x v="1"/>
    <s v="ΠΕ07"/>
    <s v="ΓΕΡΜΑΝΙΚΗΣ ΦΙΛΟΛΟΓΙΑΣ"/>
    <m/>
    <m/>
    <s v="Γ΄"/>
    <n v="1"/>
    <n v="991"/>
    <d v="2018-09-01T00:00:00"/>
    <s v="Δ΄ ΑΘΗΝΑΣ (Π.Ε.) 2018"/>
    <s v="ΔΙΕΥΘΥΝΣΗ Π.Ε. Δ΄ ΑΘΗΝΑΣ"/>
    <s v="ΠΕΡΙΦΕΡΕΙΑΚΗ Δ/ΝΣΗ Α/ΘΜΙΑΣ ΚΑΙ Β/ΘΜΙΑΣ ΕΚΠ/ΣΗΣ ΑΤΤΙΚΗΣ"/>
    <n v="5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01-01T00:00:00"/>
    <x v="1"/>
    <s v="ΔΙΕΥΘΥΝΣΗ Π.Ε. Δ΄ ΑΘΗΝΑΣ"/>
    <x v="0"/>
  </r>
  <r>
    <x v="195"/>
    <x v="1"/>
    <s v="ΠΕ05"/>
    <s v="ΓΑΛΛΙΚΗΣ ΦΙΛΟΛΟΓΙΑΣ"/>
    <m/>
    <m/>
    <s v="Γ΄"/>
    <n v="1"/>
    <n v="21106"/>
    <d v="2018-09-01T00:00:00"/>
    <s v="Α΄ ΠΕΙΡΑΙΑ (Δ.Ε.) 2018"/>
    <s v="ΔΙΕΥΘΥΝΣΗ Δ.Ε. ΠΕΙΡΑΙΑ"/>
    <s v="ΠΕΡΙΦΕΡΕΙΑΚΗ Δ/ΝΣΗ Α/ΘΜΙΑΣ ΚΑΙ Β/ΘΜΙΑΣ ΕΚΠ/ΣΗΣ ΑΤΤΙΚΗΣ"/>
    <n v="5"/>
    <d v="2018-09-01T00:00:00"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2-01-22T00:00:00"/>
    <x v="0"/>
    <s v="ΔΙΕΥΘΥΝΣΗ Δ.Ε. ΠΕΙΡΑΙΑ"/>
    <x v="0"/>
  </r>
  <r>
    <x v="196"/>
    <x v="1"/>
    <s v="ΠΕ01"/>
    <s v="ΘΕΟΛΟΓΟΙ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5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71-03-18T00:00:00"/>
    <x v="0"/>
    <s v="ΔΙΕΥΘΥΝΣΗ Δ.Ε. ΧΙΟΥ"/>
    <x v="0"/>
  </r>
  <r>
    <x v="197"/>
    <x v="0"/>
    <s v="ΠΕ79.01"/>
    <s v="ΜΟΥΣΙΚΗΣ ΕΠΙΣΤΗΜΗΣ"/>
    <m/>
    <m/>
    <s v="Γ΄"/>
    <n v="1"/>
    <s v="4703/1-10-2016"/>
    <d v="2018-09-01T00:00:00"/>
    <s v="ΑΡΓΟΛΙΔΑΣ (Δ.Ε.) 2018"/>
    <s v="ΔΙΕΥΘΥΝΣΗ Δ.Ε. ΑΡΓΟΛΙΔΑΣ"/>
    <s v="ΠΕΡΙΦΕΡΕΙΑΚΗ Δ/ΝΣΗ Α/ΘΜΙΑΣ ΚΑΙ Β/ΘΜΙΑΣ ΕΚΠ/ΣΗΣ ΠΕΛΟΠΟΝΝΗΣΟΥ"/>
    <n v="5"/>
    <d v="2018-09-01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0-04-13T00:00:00"/>
    <x v="0"/>
    <s v="ΔΙΕΥΘΥΝΣΗ Δ.Ε. ΑΡΓΟΛΙΔΑΣ"/>
    <x v="0"/>
  </r>
  <r>
    <x v="19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25T00:00:00"/>
    <x v="0"/>
    <s v="ΔΙΕΥΘΥΝΣΗ Δ.Ε. Β΄ ΑΘΗΝΑΣ"/>
    <x v="0"/>
  </r>
  <r>
    <x v="199"/>
    <x v="1"/>
    <s v="ΠΕ02"/>
    <s v="ΦΙΛΟΛΟΓΟΙ"/>
    <m/>
    <m/>
    <s v="Γ΄"/>
    <n v="1"/>
    <n v="16805"/>
    <d v="2018-10-15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5"/>
    <d v="2018-10-15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68-01-01T00:00:00"/>
    <x v="0"/>
    <s v="ΔΙΕΥΘΥΝΣΗ Δ.Ε. ΔΥΤ. ΘΕΣ/ΝΙΚΗΣ"/>
    <x v="0"/>
  </r>
  <r>
    <x v="200"/>
    <x v="0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5"/>
    <m/>
    <s v="Ιδιωτικά Σχολεία"/>
    <x v="1"/>
    <s v="7361011"/>
    <s v="ΙΔΙΩΤΙΚΟ ΣΥΣΤΕΓΑΖΟΜΕΝΟ ΝΗΠΙΑΓΩΓΕΙΟ - ΤΟ ΠΕΡΙΒΟΛΙ ΤΗΣ ΓΙΑΓΙΑΣ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67-09-17T00:00:00"/>
    <x v="1"/>
    <s v="ΔΙΕΥΘΥΝΣΗ Π.Ε. ΜΕΣΣΗΝΙΑΣ"/>
    <x v="0"/>
  </r>
  <r>
    <x v="201"/>
    <x v="1"/>
    <s v="ΠΕ07"/>
    <s v="ΓΕΡΜΑΝΙΚΗΣ ΦΙΛΟΛΟΓΙΑΣ"/>
    <m/>
    <m/>
    <s v="Γ΄"/>
    <n v="1"/>
    <s v="ΨΔΧΟ4653ΠΣ-ΦΟΡ"/>
    <d v="2018-09-05T00:00:00"/>
    <s v="Δ΄ ΑΘΗΝΑΣ (Π.Ε.) 2018"/>
    <s v="ΔΙΕΥΘΥΝΣΗ Π.Ε. Δ΄ ΑΘΗΝΑΣ"/>
    <s v="ΠΕΡΙΦΕΡΕΙΑΚΗ Δ/ΝΣΗ Α/ΘΜΙΑΣ ΚΑΙ Β/ΘΜΙΑΣ ΕΚΠ/ΣΗΣ ΑΤΤΙΚΗΣ"/>
    <n v="5"/>
    <d v="2018-09-05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7-05-24T00:00:00"/>
    <x v="1"/>
    <s v="ΔΙΕΥΘΥΝΣΗ Π.Ε. Δ΄ ΑΘΗΝΑΣ"/>
    <x v="0"/>
  </r>
  <r>
    <x v="202"/>
    <x v="1"/>
    <s v="ΠΕ60"/>
    <s v="ΝΗΠΙΑΓΩΓ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5"/>
    <m/>
    <s v="Ιδιωτικά Σχολεία"/>
    <x v="1"/>
    <s v="7021019"/>
    <s v="ΙΔΙΩΤΙΚΟ ΝΗΠΙΑΓΩΓΕΙΟ ΑΡΙΑ ΝΑΥΠΛΙΟΥ - ΝΗΠΙΑΓΩΓΕΙΟ ΠΑΙΔΙΚΗ ΑΓΚΑΛΙΑ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67-04-20T00:00:00"/>
    <x v="1"/>
    <s v="ΔΙΕΥΘΥΝΣΗ Π.Ε. ΑΡΓΟΛΙΔΑΣ"/>
    <x v="0"/>
  </r>
  <r>
    <x v="203"/>
    <x v="0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11-09T00:00:00"/>
    <x v="0"/>
    <s v="ΔΙΕΥΘΥΝΣΗ Δ.Ε. Β΄ ΑΘΗΝΑΣ"/>
    <x v="0"/>
  </r>
  <r>
    <x v="20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7-26T00:00:00"/>
    <x v="0"/>
    <s v="ΔΙΕΥΘΥΝΣΗ Δ.Ε. Β΄ ΑΘΗΝΑΣ"/>
    <x v="0"/>
  </r>
  <r>
    <x v="205"/>
    <x v="1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5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7-04T00:00:00"/>
    <x v="0"/>
    <s v="ΔΙΕΥΘΥΝΣΗ Δ.Ε. ΑΝΑΤΟΛΙΚΗΣ ΑΤΤΙΚΗΣ"/>
    <x v="0"/>
  </r>
  <r>
    <x v="206"/>
    <x v="0"/>
    <s v="ΠΕ03"/>
    <s v="ΜΑΘΗΜΑΤΙΚΟΙ"/>
    <m/>
    <m/>
    <s v="Α΄"/>
    <n v="10"/>
    <m/>
    <m/>
    <s v="Δ΄ ΑΘΗΝΑΣ (Δ.Ε.) 2018"/>
    <s v="ΔΙΕΥΘΥΝΣΗ Δ.Ε. Δ΄ ΑΘΗΝΑΣ"/>
    <s v="ΠΕΡΙΦΕΡΕΙΑΚΗ Δ/ΝΣΗ Α/ΘΜΙΑΣ ΚΑΙ Β/ΘΜΙΑΣ ΕΚΠ/ΣΗΣ ΑΤΤΙΚΗΣ"/>
    <n v="5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10-19T00:00:00"/>
    <x v="0"/>
    <s v="ΔΙΕΥΘΥΝΣΗ Δ.Ε. Δ΄ ΑΘΗΝΑΣ"/>
    <x v="0"/>
  </r>
  <r>
    <x v="207"/>
    <x v="1"/>
    <s v="ΠΕ05"/>
    <s v="ΓΑΛ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5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10-14T00:00:00"/>
    <x v="1"/>
    <s v="ΔΙΕΥΘΥΝΣΗ Π.Ε. Β΄ ΑΘΗΝΑΣ"/>
    <x v="0"/>
  </r>
  <r>
    <x v="208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5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3-01T00:00:00"/>
    <x v="0"/>
    <s v="ΔΙΕΥΘΥΝΣΗ Δ.Ε. ΑΝΑΤΟΛΙΚΗΣ ΑΤΤΙΚΗΣ"/>
    <x v="0"/>
  </r>
  <r>
    <x v="209"/>
    <x v="1"/>
    <s v="ΠΕ83"/>
    <s v="ΗΛΕΚΤΡΟΛΟΓΩΝ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5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2-03-16T00:00:00"/>
    <x v="0"/>
    <s v="ΔΙΕΥΘΥΝΣΗ Δ.Ε. Γ΄ ΑΘΗΝΑΣ"/>
    <x v="0"/>
  </r>
  <r>
    <x v="210"/>
    <x v="1"/>
    <s v="ΠΕ05"/>
    <s v="ΓΑΛ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5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1-08-06T00:00:00"/>
    <x v="1"/>
    <s v="ΔΙΕΥΘΥΝΣΗ Π.Ε. Α΄ ΑΘΗΝΑΣ"/>
    <x v="0"/>
  </r>
  <r>
    <x v="211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3-20T00:00:00"/>
    <x v="0"/>
    <s v="ΔΙΕΥΘΥΝΣΗ Δ.Ε. Β΄ ΑΘΗΝΑΣ"/>
    <x v="0"/>
  </r>
  <r>
    <x v="212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3-19T00:00:00"/>
    <x v="0"/>
    <s v="ΔΙΕΥΘΥΝΣΗ Δ.Ε. Β΄ ΑΘΗΝΑΣ"/>
    <x v="0"/>
  </r>
  <r>
    <x v="213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5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0-11-08T00:00:00"/>
    <x v="0"/>
    <s v="ΔΙΕΥΘΥΝΣΗ Δ.Ε. ΠΕΙΡΑΙΑ"/>
    <x v="0"/>
  </r>
  <r>
    <x v="214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5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9-06-26T00:00:00"/>
    <x v="0"/>
    <s v="ΔΙΕΥΘΥΝΣΗ Δ.Ε. ΑΝΑΤ. ΘΕΣ/ΝΙΚΗΣ"/>
    <x v="0"/>
  </r>
  <r>
    <x v="215"/>
    <x v="1"/>
    <s v="ΠΕ60"/>
    <s v="ΝΗΠΙΑΓΩΓΟΙ"/>
    <m/>
    <m/>
    <s v="Γ΄"/>
    <n v="4"/>
    <m/>
    <m/>
    <s v="ΘΕΣΠΡΩΤΙΑΣ (Π.Ε.) 2018"/>
    <s v="ΔΙΕΥΘΥΝΣΗ Π.Ε. ΘΕΣΠΡΩΤΙΑΣ"/>
    <s v="ΠΕΡΙΦΕΡΕΙΑΚΗ Δ/ΝΣΗ Α/ΘΜΙΑΣ ΚΑΙ Β/ΘΜΙΑΣ ΕΚΠ/ΣΗΣ ΗΠΕΙΡΟΥ"/>
    <n v="5"/>
    <m/>
    <s v="Ιδιωτικά Σχολεία"/>
    <x v="1"/>
    <s v="7181001"/>
    <s v="ΙΔΙΩΤΙΚΟ ΝΗΠΙΑΓΩΓΕΙΟ ΗΓΟΥΜΕΝΙΤΣΑΣ - Φ.ΜΕΣΧΙΝΗ ΚΑΙ ΣΙΑ Ο.Ε."/>
    <s v="ΘΕΣΠΡΩΤΙΑΣ (Π.Ε.) 2018"/>
    <s v="ΔΙΕΥΘΥΝΣΗ Π.Ε. ΘΕΣΠΡΩΤΙΑΣ"/>
    <s v="ΠΕΡΙΦΕΡΕΙΑΚΗ Δ/ΝΣΗ Α/ΘΜΙΑΣ ΚΑΙ Β/ΘΜΙΑΣ ΕΚΠ/ΣΗΣ ΗΠΕΙΡΟΥ"/>
    <x v="1"/>
    <s v="Τοποθέτηση σε Ιδιωτική Εκπαίδευση"/>
    <d v="1959-02-20T00:00:00"/>
    <x v="1"/>
    <s v="ΔΙΕΥΘΥΝΣΗ Π.Ε. ΘΕΣΠΡΩΤΙΑΣ"/>
    <x v="0"/>
  </r>
  <r>
    <x v="216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5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58-12-17T00:00:00"/>
    <x v="1"/>
    <s v="ΔΙΕΥΘΥΝΣΗ Π.Ε. ΠΕΙΡΑΙΑ"/>
    <x v="0"/>
  </r>
  <r>
    <x v="217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5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6-25T00:00:00"/>
    <x v="0"/>
    <s v="ΔΙΕΥΘΥΝΣΗ Δ.Ε. ΑΝΑΤ. ΘΕΣ/ΝΙΚΗΣ"/>
    <x v="0"/>
  </r>
  <r>
    <x v="218"/>
    <x v="0"/>
    <s v="ΠΕ82"/>
    <s v="ΜΗΧΑΝΟΛΟΓΩΝ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5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2-01-16T00:00:00"/>
    <x v="0"/>
    <s v="ΔΙΕΥΘΥΝΣΗ Δ.Ε. Γ΄ ΑΘΗΝΑΣ"/>
    <x v="0"/>
  </r>
  <r>
    <x v="219"/>
    <x v="0"/>
    <s v="ΠΕ04.02"/>
    <s v="ΧΗΜ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5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0"/>
  </r>
  <r>
    <x v="220"/>
    <x v="1"/>
    <s v="ΠΕ79.01"/>
    <s v="ΜΟΥΣΙΚΗΣ ΕΠΙΣΤΗΜ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5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0"/>
  </r>
  <r>
    <x v="221"/>
    <x v="0"/>
    <s v="ΠΕ78"/>
    <s v="ΚΟΙΝΩΝΙΚΩΝ ΕΠΙΣΤΗΜ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5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0"/>
  </r>
  <r>
    <x v="222"/>
    <x v="1"/>
    <s v="ΠΕ02"/>
    <s v="ΦΙΛΟΛΟΓΟΙ"/>
    <m/>
    <m/>
    <s v="Γ΄"/>
    <n v="1"/>
    <s v="16653/51"/>
    <d v="2018-09-01T00:00:00"/>
    <s v="Γ΄ ΑΘΗΝΑΣ (Δ.Ε.) 2018"/>
    <s v="ΔΙΕΥΘΥΝΣΗ Δ.Ε. Γ΄ ΑΘΗΝΑΣ"/>
    <s v="ΠΕΡΙΦΕΡΕΙΑΚΗ Δ/ΝΣΗ Α/ΘΜΙΑΣ ΚΑΙ Β/ΘΜΙΑΣ ΕΚΠ/ΣΗΣ ΑΤΤΙΚΗΣ"/>
    <n v="5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Γ΄ ΑΘΗΝΑΣ"/>
    <x v="0"/>
  </r>
  <r>
    <x v="223"/>
    <x v="1"/>
    <s v="ΠΕ05"/>
    <s v="ΓΑΛΛΙΚΗΣ ΦΙΛΟΛΟΓΙΑΣ"/>
    <m/>
    <m/>
    <s v="Γ΄"/>
    <n v="1"/>
    <n v="927"/>
    <d v="2018-09-01T00:00:00"/>
    <s v="ΛΑΡΙΣΑΣ (Π.Ε.) 2018"/>
    <s v="ΔΙΕΥΘΥΝΣΗ Π.Ε. ΛΑΡΙΣΑΣ"/>
    <s v="ΠΕΡΙΦΕΡΕΙΑΚΗ Δ/ΝΣΗ Α/ΘΜΙΑΣ ΚΑΙ Β/ΘΜΙΑΣ ΕΚΠ/ΣΗΣ ΘΕΣΣΑΛΙΑΣ"/>
    <n v="5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m/>
    <x v="1"/>
    <s v="ΔΙΕΥΘΥΝΣΗ Π.Ε. ΛΑΡΙΣΑΣ"/>
    <x v="0"/>
  </r>
  <r>
    <x v="224"/>
    <x v="1"/>
    <s v="ΠΕ07"/>
    <s v="ΓΕΡΜΑΝΙΚΗΣ ΦΙΛΟΛΟΓΙΑΣ"/>
    <m/>
    <m/>
    <s v="Γ΄"/>
    <n v="1"/>
    <n v="8037"/>
    <d v="2018-09-01T00:00:00"/>
    <s v="ΛΑΡΙΣΑΣ (Π.Ε.) 2018"/>
    <s v="ΔΙΕΥΘΥΝΣΗ Π.Ε. ΛΑΡΙΣΑΣ"/>
    <s v="ΠΕΡΙΦΕΡΕΙΑΚΗ Δ/ΝΣΗ Α/ΘΜΙΑΣ ΚΑΙ Β/ΘΜΙΑΣ ΕΚΠ/ΣΗΣ ΘΕΣΣΑΛΙΑΣ"/>
    <n v="5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m/>
    <x v="1"/>
    <s v="ΔΙΕΥΘΥΝΣΗ Π.Ε. ΛΑΡΙΣΑΣ"/>
    <x v="0"/>
  </r>
  <r>
    <x v="225"/>
    <x v="0"/>
    <s v="ΠΕ01"/>
    <s v="ΘΕ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0-01-01T00:00:00"/>
    <x v="0"/>
    <s v="ΔΙΕΥΘΥΝΣΗ Δ.Ε. Β΄ ΑΘΗΝΑΣ"/>
    <x v="1"/>
  </r>
  <r>
    <x v="226"/>
    <x v="0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4-03-15T00:00:00"/>
    <x v="0"/>
    <s v="ΔΙΕΥΘΥΝΣΗ Δ.Ε. Β΄ ΑΘΗΝΑΣ"/>
    <x v="1"/>
  </r>
  <r>
    <x v="227"/>
    <x v="1"/>
    <s v="ΠΕ86"/>
    <s v="ΠΛΗΡΟΦΟΡΙΚΗΣ"/>
    <m/>
    <m/>
    <s v="Γ΄"/>
    <n v="1"/>
    <n v="19299"/>
    <d v="2018-10-03T00:00:00"/>
    <s v="Α΄ ΠΕΙΡΑΙΑ (Π.Ε.) 2018"/>
    <s v="ΔΙΕΥΘΥΝΣΗ Π.Ε. ΠΕΙΡΑΙΑ"/>
    <s v="ΠΕΡΙΦΕΡΕΙΑΚΗ Δ/ΝΣΗ Α/ΘΜΙΑΣ ΚΑΙ Β/ΘΜΙΑΣ ΕΚΠ/ΣΗΣ ΑΤΤΙΚΗΣ"/>
    <n v="6"/>
    <d v="2018-10-03T00:00:00"/>
    <s v="Ιδιωτικά Σχολεία"/>
    <x v="4"/>
    <s v="7541026"/>
    <s v="ΙΔΙΩΤΙΚΟ ΔΗΜΟΤΙΚ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3-06-01T00:00:00"/>
    <x v="1"/>
    <s v="ΔΙΕΥΘΥΝΣΗ Π.Ε. ΠΕΙΡΑΙΑ"/>
    <x v="1"/>
  </r>
  <r>
    <x v="228"/>
    <x v="1"/>
    <s v="ΕΜ16.00"/>
    <s v="ΜΟΥΣΙΚΗΣ - ΕΜΠΕΙΡΟΤΕΧΝΕΣ"/>
    <m/>
    <m/>
    <s v="Γ΄"/>
    <n v="1"/>
    <s v="Φ.17/4309"/>
    <d v="2018-10-02T00:00:00"/>
    <s v="ΚΟΡΙΝΘΙΑΣ (Π.Ε.) 2018"/>
    <s v="ΔΙΕΥΘΥΝΣΗ Π.Ε. ΚΟΡΙΝΘΙΑΣ"/>
    <s v="ΠΕΡΙΦΕΡΕΙΑΚΗ Δ/ΝΣΗ Α/ΘΜΙΑΣ ΚΑΙ Β/ΘΜΙΑΣ ΕΚΠ/ΣΗΣ ΠΕΛΟΠΟΝΝΗΣΟΥ"/>
    <n v="6"/>
    <d v="2018-10-02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1-12-19T00:00:00"/>
    <x v="1"/>
    <s v="ΔΙΕΥΘΥΝΣΗ Π.Ε. ΚΟΡΙΝΘΙΑΣ"/>
    <x v="1"/>
  </r>
  <r>
    <x v="229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6"/>
    <m/>
    <s v="Ιδιωτικά Σχολεία"/>
    <x v="1"/>
    <s v="7541075"/>
    <s v="ΙΔΙΩΤΙΚΟ ΣΥΣΤΕΓΑΖΟΜΕΝΟ ΝΗΠΙΑΓΩΓΕΙΟ - ΚΑΡΟΥΖΕΛ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1-08-16T00:00:00"/>
    <x v="1"/>
    <s v="ΔΙΕΥΘΥΝΣΗ Π.Ε. ΠΕΙΡΑΙΑ"/>
    <x v="1"/>
  </r>
  <r>
    <x v="230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6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90-11-10T00:00:00"/>
    <x v="0"/>
    <s v="ΔΙΕΥΘΥΝΣΗ Δ.Ε. Β΄ ΑΘΗΝΑΣ"/>
    <x v="1"/>
  </r>
  <r>
    <x v="231"/>
    <x v="1"/>
    <s v="ΠΕ78"/>
    <s v="ΚΟΙΝΩΝΙΚΩΝ ΕΠΙΣΤΗΜ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90-01-01T00:00:00"/>
    <x v="0"/>
    <s v="ΔΙΕΥΘΥΝΣΗ Δ.Ε. Β΄ ΑΘΗΝΑΣ"/>
    <x v="1"/>
  </r>
  <r>
    <x v="232"/>
    <x v="1"/>
    <s v="ΠΕ07"/>
    <s v="ΓΕΡΜΑΝΙΚΗΣ ΦΙΛΟΛΟΓΙΑΣ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6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10-11T00:00:00"/>
    <x v="1"/>
    <s v="ΔΙΕΥΘΥΝΣΗ Π.Ε. ΑΝΑΤ. ΘΕΣ/ΝΙΚΗΣ"/>
    <x v="1"/>
  </r>
  <r>
    <x v="233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6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9-09-15T00:00:00"/>
    <x v="0"/>
    <s v="ΔΙΕΥΘΥΝΣΗ Δ.Ε. Γ΄ ΑΘΗΝΑΣ"/>
    <x v="1"/>
  </r>
  <r>
    <x v="234"/>
    <x v="1"/>
    <s v="ΠΕ02"/>
    <s v="ΦΙΛΟΛΟΓΟΙ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6"/>
    <d v="2018-09-03T00:00:00"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89-08-17T00:00:00"/>
    <x v="0"/>
    <s v="ΔΙΕΥΘΥΝΣΗ Δ.Ε. Δ΄ ΑΘΗΝΑΣ"/>
    <x v="1"/>
  </r>
  <r>
    <x v="235"/>
    <x v="1"/>
    <s v="ΠΕ05"/>
    <s v="ΓΑΛΛΙΚΗΣ ΦΙΛΟΛΟΓΙΑΣ"/>
    <m/>
    <m/>
    <s v="Γ΄"/>
    <n v="1"/>
    <n v="18766"/>
    <d v="2018-09-01T00:00:00"/>
    <s v="Α΄ ΠΕΙΡΑΙΑ (Δ.Ε.) 2018"/>
    <s v="ΔΙΕΥΘΥΝΣΗ Δ.Ε. ΠΕΙΡΑΙΑ"/>
    <s v="ΠΕΡΙΦΕΡΕΙΑΚΗ Δ/ΝΣΗ Α/ΘΜΙΑΣ ΚΑΙ Β/ΘΜΙΑΣ ΕΚΠ/ΣΗΣ ΑΤΤΙΚΗΣ"/>
    <n v="6"/>
    <d v="2018-09-01T00:00:00"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89-06-17T00:00:00"/>
    <x v="0"/>
    <s v="ΔΙΕΥΘΥΝΣΗ Δ.Ε. ΠΕΙΡΑΙΑ"/>
    <x v="1"/>
  </r>
  <r>
    <x v="236"/>
    <x v="1"/>
    <s v="ΠΕ05"/>
    <s v="ΓΑΛΛΙΚΗΣ ΦΙΛΟΛΟΓΙΑΣ"/>
    <m/>
    <m/>
    <s v="Γ΄"/>
    <n v="1"/>
    <n v="24050"/>
    <d v="2018-09-16T00:00:00"/>
    <s v="Α΄ ΠΕΙΡΑΙΑ (Δ.Ε.) 2018"/>
    <s v="ΔΙΕΥΘΥΝΣΗ Δ.Ε. ΠΕΙΡΑΙΑ"/>
    <s v="ΠΕΡΙΦΕΡΕΙΑΚΗ Δ/ΝΣΗ Α/ΘΜΙΑΣ ΚΑΙ Β/ΘΜΙΑΣ ΕΚΠ/ΣΗΣ ΑΤΤΙΚΗΣ"/>
    <n v="6"/>
    <d v="2018-09-16T00:00:00"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89-02-22T00:00:00"/>
    <x v="0"/>
    <s v="ΔΙΕΥΘΥΝΣΗ Δ.Ε. ΠΕΙΡΑΙΑ"/>
    <x v="1"/>
  </r>
  <r>
    <x v="237"/>
    <x v="1"/>
    <s v="ΠΕ81"/>
    <s v="ΠΟΛ.ΜΗΧΑΝΙΚΩΝ-ΑΡΧΙΤΕΚΤΟΝΩΝ"/>
    <m/>
    <m/>
    <s v="Γ΄"/>
    <n v="1"/>
    <n v="16390"/>
    <d v="2018-09-11T00:00:00"/>
    <s v="Δ΄ ΑΘΗΝΑΣ (Δ.Ε.) 2018"/>
    <s v="ΔΙΕΥΘΥΝΣΗ Δ.Ε. Δ΄ ΑΘΗΝΑΣ"/>
    <s v="ΠΕΡΙΦΕΡΕΙΑΚΗ Δ/ΝΣΗ Α/ΘΜΙΑΣ ΚΑΙ Β/ΘΜΙΑΣ ΕΚΠ/ΣΗΣ ΑΤΤΙΚΗΣ"/>
    <n v="6"/>
    <d v="2018-09-11T00:00:00"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9-02-09T00:00:00"/>
    <x v="0"/>
    <s v="ΔΙΕΥΘΥΝΣΗ Δ.Ε. Δ΄ ΑΘΗΝΑΣ"/>
    <x v="1"/>
  </r>
  <r>
    <x v="238"/>
    <x v="0"/>
    <s v="ΠΕ86"/>
    <s v="ΠΛΗΡΟΦΟΡΙΚΗΣ"/>
    <m/>
    <m/>
    <s v="Γ΄"/>
    <n v="1"/>
    <s v="Φ.17.2/7428"/>
    <d v="2018-09-01T00:00:00"/>
    <s v="ΧΑΝΙΩΝ (Π.Ε.) 2018"/>
    <s v="ΔΙΕΥΘΥΝΣΗ Π.Ε. ΧΑΝΙΩΝ"/>
    <s v="ΠΕΡΙΦΕΡΕΙΑΚΗ Δ/ΝΣΗ Α/ΘΜΙΑΣ ΚΑΙ Β/ΘΜΙΑΣ ΕΚΠ/ΣΗΣ ΚΡΗΤΗΣ"/>
    <n v="6"/>
    <d v="2018-09-01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10-12T00:00:00"/>
    <x v="1"/>
    <s v="ΔΙΕΥΘΥΝΣΗ Π.Ε. ΧΑΝΙΩΝ"/>
    <x v="1"/>
  </r>
  <r>
    <x v="239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6"/>
    <m/>
    <s v="Ιδιωτικά Σχολεία"/>
    <x v="1"/>
    <s v="7361001"/>
    <s v="Συστεγαζόμενο Ιδιωτικό Νηπιαγωγείο - Γελαστή Πολιτεί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8-09-29T00:00:00"/>
    <x v="1"/>
    <s v="ΔΙΕΥΘΥΝΣΗ Π.Ε. ΜΕΣΣΗΝΙΑΣ"/>
    <x v="1"/>
  </r>
  <r>
    <x v="240"/>
    <x v="1"/>
    <s v="ΠΕ05"/>
    <s v="ΓΑΛΛ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6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8-07-20T00:00:00"/>
    <x v="0"/>
    <s v="ΔΙΕΥΘΥΝΣΗ Δ.Ε. Δ΄ ΑΘΗΝΑΣ"/>
    <x v="1"/>
  </r>
  <r>
    <x v="241"/>
    <x v="1"/>
    <s v="ΠΕ80"/>
    <s v="ΟΙΚΟΝΟΜΙΑΣ"/>
    <m/>
    <m/>
    <s v="Γ΄"/>
    <n v="1"/>
    <s v="Φ. 17.2_ A/15378/1/26-10-2018"/>
    <d v="2018-09-01T00:00:00"/>
    <s v="ΑΧΑΪΑΣ (Δ.Ε.) 2018"/>
    <s v="ΔΙΕΥΘΥΝΣΗ Δ.Ε. ΑΧΑΪΑΣ"/>
    <s v="ΠΕΡΙΦΕΡΕΙΑΚΗ Δ/ΝΣΗ Α/ΘΜΙΑΣ ΚΑΙ Β/ΘΜΙΑΣ ΕΚΠ/ΣΗΣ ΔΥΤΙΚΗΣ ΕΛΛΑΔΑΣ"/>
    <n v="6"/>
    <d v="2018-09-01T00:00:00"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8-07-10T00:00:00"/>
    <x v="0"/>
    <s v="ΔΙΕΥΘΥΝΣΗ Δ.Ε. ΑΧΑΪΑΣ"/>
    <x v="1"/>
  </r>
  <r>
    <x v="242"/>
    <x v="1"/>
    <s v="ΠΕ06"/>
    <s v="ΑΓΓΛΙΚΗΣ ΦΙΛΟΛΟΓΙΑΣ"/>
    <m/>
    <m/>
    <s v="Γ΄"/>
    <n v="1"/>
    <n v="4544"/>
    <d v="2018-09-19T00:00:00"/>
    <s v="ΑΡΓΟΛΙΔΑΣ (Π.Ε.) 2018"/>
    <s v="ΔΙΕΥΘΥΝΣΗ Π.Ε. ΑΡΓΟΛΙΔΑΣ"/>
    <s v="ΠΕΡΙΦΕΡΕΙΑΚΗ Δ/ΝΣΗ Α/ΘΜΙΑΣ ΚΑΙ Β/ΘΜΙΑΣ ΕΚΠ/ΣΗΣ ΠΕΛΟΠΟΝΝΗΣΟΥ"/>
    <n v="6"/>
    <d v="2018-09-19T00:00:00"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88-03-08T00:00:00"/>
    <x v="1"/>
    <s v="ΔΙΕΥΘΥΝΣΗ Π.Ε. ΑΡΓΟΛΙΔΑΣ"/>
    <x v="1"/>
  </r>
  <r>
    <x v="243"/>
    <x v="1"/>
    <s v="ΠΕ07"/>
    <s v="ΓΕΡΜΑΝΙΚΗΣ ΦΙΛΟΛΟΓΙΑΣ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6"/>
    <d v="2018-09-01T00:00:00"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88-02-08T00:00:00"/>
    <x v="0"/>
    <s v="ΔΙΕΥΘΥΝΣΗ Δ.Ε. ΠΕΙΡΑΙΑ"/>
    <x v="1"/>
  </r>
  <r>
    <x v="244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6"/>
    <m/>
    <s v="Ιδιωτικά Σχολεία"/>
    <x v="1"/>
    <s v="7521085"/>
    <s v="ΑΦΟΙ Π. &amp; Δ. ΣΠΕΤΖΟΥΡΗ Ο.Ε.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2-05T00:00:00"/>
    <x v="1"/>
    <s v="ΔΙΕΥΘΥΝΣΗ Π.Ε. ΑΝΑΤΟΛΙΚΗΣ ΑΤΤΙΚΗΣ"/>
    <x v="1"/>
  </r>
  <r>
    <x v="245"/>
    <x v="1"/>
    <s v="ΠΕ60"/>
    <s v="ΝΗΠΙΑΓΩΓ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6"/>
    <m/>
    <s v="Ιδιωτικά Σχολεία"/>
    <x v="1"/>
    <s v="7171009"/>
    <s v="ΙΔΙΩΤΙΚΟ ΝΗΠΙΑΓΩΓΕΙΟ ΗΡΑΚΛΕΙΟ ΚΡΗΤΗΣ - ΝΕΑ ΔΗΜΙΟΥΡΓΙΑ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6-11-10T00:00:00"/>
    <x v="1"/>
    <s v="ΔΙΕΥΘΥΝΣΗ Π.Ε. ΗΡΑΚΛΕΙΟΥ"/>
    <x v="1"/>
  </r>
  <r>
    <x v="246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6-06-24T00:00:00"/>
    <x v="0"/>
    <s v="ΔΙΕΥΘΥΝΣΗ Δ.Ε. Β΄ ΑΘΗΝΑΣ"/>
    <x v="1"/>
  </r>
  <r>
    <x v="247"/>
    <x v="1"/>
    <s v="ΠΕ07"/>
    <s v="ΓΕΡΜΑΝΙΚΗΣ ΦΙΛΟΛΟΓΙΑΣ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6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6-01-01T00:00:00"/>
    <x v="0"/>
    <s v="ΔΙΕΥΘΥΝΣΗ Δ.Ε. ΑΡΓΟΛΙΔΑΣ"/>
    <x v="1"/>
  </r>
  <r>
    <x v="248"/>
    <x v="1"/>
    <s v="ΠΕ08"/>
    <s v="ΚΑΛΛΙΤΕΧΝΙΚΩΝ"/>
    <m/>
    <m/>
    <s v="Γ΄"/>
    <n v="1"/>
    <n v="21384"/>
    <d v="2018-09-18T00:00:00"/>
    <s v="Α΄ ΠΕΙΡΑΙΑ (Δ.Ε.) 2018"/>
    <s v="ΔΙΕΥΘΥΝΣΗ Δ.Ε. ΠΕΙΡΑΙΑ"/>
    <s v="ΠΕΡΙΦΕΡΕΙΑΚΗ Δ/ΝΣΗ Α/ΘΜΙΑΣ ΚΑΙ Β/ΘΜΙΑΣ ΕΚΠ/ΣΗΣ ΑΤΤΙΚΗΣ"/>
    <n v="6"/>
    <d v="2018-09-18T00:00:00"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5-12-25T00:00:00"/>
    <x v="0"/>
    <s v="ΔΙΕΥΘΥΝΣΗ Δ.Ε. ΠΕΙΡΑΙΑ"/>
    <x v="1"/>
  </r>
  <r>
    <x v="249"/>
    <x v="1"/>
    <s v="ΠΕ86"/>
    <s v="ΠΛΗΡΟΦΟΡΙΚΗΣ"/>
    <m/>
    <m/>
    <s v="Γ΄"/>
    <n v="1"/>
    <s v="4154/29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6"/>
    <d v="2018-09-01T00:00:00"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85-12-02T00:00:00"/>
    <x v="0"/>
    <s v="ΔΙΕΥΘΥΝΣΗ Δ.Ε. ΑΡΓΟΛΙΔΑΣ"/>
    <x v="1"/>
  </r>
  <r>
    <x v="250"/>
    <x v="0"/>
    <s v="ΠΕ79.01"/>
    <s v="ΜΟΥΣΙΚΗΣ ΕΠΙΣΤΗΜ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5-06-19T00:00:00"/>
    <x v="0"/>
    <s v="ΔΙΕΥΘΥΝΣΗ Δ.Ε. ΑΝΑΤΟΛΙΚΗΣ ΑΤΤΙΚΗΣ"/>
    <x v="1"/>
  </r>
  <r>
    <x v="251"/>
    <x v="1"/>
    <s v="ΠΕ60"/>
    <s v="ΝΗΠΙΑΓΩΓΟΙ"/>
    <m/>
    <m/>
    <s v="Α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6"/>
    <m/>
    <s v="Ιδιωτικά Σχολεία"/>
    <x v="1"/>
    <s v="7531001"/>
    <s v="ΙΔΙΩΤΙΚΟ ΝΗΠΙΑΓΩΓΕΙΟ ΜΑΓΟΥΛΑ - ΚΑΜΑΚΑΡΗ ΑΙΚΑΤΕΡΙΝΗ"/>
    <s v="ΔΥΤ. ΑΤΤΙΚΗΣ (Π.Ε.) 2018"/>
    <s v="ΔΙΕΥΘΥΝΣΗ Π.Ε. ΔΥΤΙΚΗΣ ΑΤΤΙΚΗΣ"/>
    <s v="ΠΕΡΙΦΕΡΕΙΑΚΗ Δ/ΝΣΗ Α/ΘΜΙΑΣ ΚΑΙ Β/ΘΜΙΑΣ ΕΚΠ/ΣΗΣ ΑΤΤΙΚΗΣ"/>
    <x v="1"/>
    <s v="Τοποθέτηση σε Ιδιωτική Εκπαίδευση"/>
    <d v="1985-05-20T00:00:00"/>
    <x v="1"/>
    <s v="ΔΙΕΥΘΥΝΣΗ Π.Ε. ΔΥΤΙΚΗΣ ΑΤΤΙΚΗΣ"/>
    <x v="1"/>
  </r>
  <r>
    <x v="252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6"/>
    <m/>
    <s v="Ιδιωτικά Σχολεία"/>
    <x v="1"/>
    <s v="7541085"/>
    <s v="ΙΔΙΩΤΙΚΟ ΣΥΣΤΕΓΑΖΟΜΕΝΟ ΝΗΠΙΑΓΩΓΕΙΟ - ΠΑΡΑΜΥΘΕΝΙΟ ΚΟΥΚΛΟΣΠΙΤΟ"/>
    <s v="Α΄ ΠΕΙΡΑΙΑ (Π.Ε.) 2018"/>
    <s v="ΔΙΕΥΘΥΝΣΗ Π.Ε. ΠΕΙΡΑΙΑ"/>
    <s v="ΠΕΡΙΦΕΡΕΙΑΚΗ Δ/ΝΣΗ Α/ΘΜΙΑΣ ΚΑΙ Β/ΘΜΙΑΣ ΕΚΠ/ΣΗΣ ΑΤΤΙΚΗΣ"/>
    <x v="3"/>
    <s v="Τοποθέτηση σε Ιδιωτική Εκπαίδευση"/>
    <d v="1985-05-08T00:00:00"/>
    <x v="1"/>
    <s v="ΔΙΕΥΘΥΝΣΗ Π.Ε. ΠΕΙΡΑΙΑ"/>
    <x v="1"/>
  </r>
  <r>
    <x v="253"/>
    <x v="1"/>
    <s v="ΠΕ60"/>
    <s v="ΝΗΠΙΑΓΩΓ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6"/>
    <m/>
    <s v="Ιδιωτικά Σχολεία"/>
    <x v="1"/>
    <s v="7171001"/>
    <s v="22ο ΙΔΙΩΤΙΚΟ ΝΗΠΙΑΓΩΓΕΙΟ ΗΡΑΚΛΕΙΟ ΚΡΗΤΗΣ - ΡΟΔΟΜΗΛΙΑ"/>
    <s v="ΗΡΑΚΛΕΙΟΥ (Π.Ε.) 2018"/>
    <s v="ΔΙΕΥΘΥΝΣΗ Π.Ε. ΗΡΑΚΛΕΙΟΥ"/>
    <s v="ΠΕΡΙΦΕΡΕΙΑΚΗ Δ/ΝΣΗ Α/ΘΜΙΑΣ ΚΑΙ Β/ΘΜΙΑΣ ΕΚΠ/ΣΗΣ ΚΡΗΤΗΣ"/>
    <x v="3"/>
    <s v="Τοποθέτηση σε Ιδιωτική Εκπαίδευση"/>
    <d v="1985-04-09T00:00:00"/>
    <x v="1"/>
    <s v="ΔΙΕΥΘΥΝΣΗ Π.Ε. ΗΡΑΚΛΕΙΟΥ"/>
    <x v="1"/>
  </r>
  <r>
    <x v="254"/>
    <x v="1"/>
    <s v="ΠΕ82"/>
    <s v="ΜΗΧΑΝΟΛΟΓΩΝ"/>
    <s v="ΠΕ70"/>
    <s v="ΔΑΣΚΑΛΟΙ"/>
    <s v="Γ΄"/>
    <n v="1"/>
    <n v="18458"/>
    <d v="2018-09-18T00:00:00"/>
    <s v="Α΄ ΠΕΙΡΑΙΑ (Δ.Ε.) 2018"/>
    <s v="ΔΙΕΥΘΥΝΣΗ Δ.Ε. ΠΕΙΡΑΙΑ"/>
    <s v="ΠΕΡΙΦΕΡΕΙΑΚΗ Δ/ΝΣΗ Α/ΘΜΙΑΣ ΚΑΙ Β/ΘΜΙΑΣ ΕΚΠ/ΣΗΣ ΑΤΤΙΚΗΣ"/>
    <n v="6"/>
    <d v="2018-09-18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4-12-22T00:00:00"/>
    <x v="0"/>
    <s v="ΔΙΕΥΘΥΝΣΗ Δ.Ε. ΠΕΙΡΑΙΑ"/>
    <x v="1"/>
  </r>
  <r>
    <x v="255"/>
    <x v="1"/>
    <s v="ΠΕ60"/>
    <s v="ΝΗΠΙΑΓΩΓΟΙ"/>
    <m/>
    <m/>
    <s v="Γ΄"/>
    <n v="1"/>
    <s v="11489/9-10-2015"/>
    <d v="2018-09-01T00:00:00"/>
    <s v="Α΄ ΕΥΒΟΙΑΣ (Π.Ε.) 2018"/>
    <s v="ΔΙΕΥΘΥΝΣΗ Π.Ε. ΕΥΒΟΙΑΣ"/>
    <s v="ΠΕΡΙΦΕΡΕΙΑΚΗ Δ/ΝΣΗ Α/ΘΜΙΑΣ ΚΑΙ Β/ΘΜΙΑΣ ΕΚΠ/ΣΗΣ ΣΤΕΡΕΑΣ ΕΛΛΑΔΑΣ"/>
    <n v="6"/>
    <d v="2018-09-01T00:00:00"/>
    <s v="Ιδιωτικά Σχολεία"/>
    <x v="1"/>
    <s v="7121019"/>
    <s v="ΣΥΣΤΕΓΑΖΟΜΕΝΟ ΝΗΠΙΑΓΩΓΕΙΟ - ΠΑΝΤΑΖΗ ΜΑΡΙΑΝΘΗ"/>
    <s v="Α΄ ΕΥΒΟΙΑΣ (Π.Ε.) 2018"/>
    <s v="ΔΙΕΥΘΥΝΣΗ Π.Ε. ΕΥΒΟΙΑΣ"/>
    <s v="ΠΕΡΙΦΕΡΕΙΑΚΗ Δ/ΝΣΗ Α/ΘΜΙΑΣ ΚΑΙ Β/ΘΜΙΑΣ ΕΚΠ/ΣΗΣ ΣΤΕΡΕΑΣ ΕΛΛΑΔΑΣ"/>
    <x v="0"/>
    <s v="Τοποθέτηση σε Ιδιωτική Εκπαίδευση"/>
    <d v="1984-05-31T00:00:00"/>
    <x v="1"/>
    <s v="ΔΙΕΥΘΥΝΣΗ Π.Ε. ΕΥΒΟΙΑΣ"/>
    <x v="1"/>
  </r>
  <r>
    <x v="256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6"/>
    <m/>
    <s v="Ιδιωτικά Σχολεία"/>
    <x v="1"/>
    <s v="7051141"/>
    <s v="ΙΔΙΩΤΙΚΟ ΝΗΠΙΑΓΩΓΕΙΟ - ΣΕΛΛΗ ΧΑΡΙΚΛΕ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3-12-31T00:00:00"/>
    <x v="1"/>
    <s v="ΔΙΕΥΘΥΝΣΗ Π.Ε. Α΄ ΑΘΗΝΑΣ"/>
    <x v="1"/>
  </r>
  <r>
    <x v="257"/>
    <x v="0"/>
    <s v="ΠΕ08"/>
    <s v="ΚΑΛΛΙΤΕΧΝΙΚΩΝ"/>
    <m/>
    <m/>
    <s v="Γ΄"/>
    <n v="1"/>
    <n v="14661"/>
    <d v="2018-09-13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6"/>
    <d v="2018-09-13T00:00:00"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83-09-23T00:00:00"/>
    <x v="0"/>
    <s v="ΔΙΕΥΘΥΝΣΗ Δ.Ε. ΔΥΤ. ΘΕΣ/ΝΙΚΗΣ"/>
    <x v="1"/>
  </r>
  <r>
    <x v="258"/>
    <x v="1"/>
    <s v="ΠΕ81"/>
    <s v="ΠΟΛ.ΜΗΧΑΝΙΚΩΝ-ΑΡΧΙΤΕΚΤΟΝΩΝ"/>
    <m/>
    <m/>
    <s v="Γ΄"/>
    <n v="1"/>
    <n v="8138"/>
    <d v="2018-09-01T00:00:00"/>
    <s v="ΙΩΑΝΝΙΝΩΝ (Δ.Ε.) 2018"/>
    <s v="ΔΙΕΥΘΥΝΣΗ Δ.Ε. ΙΩΑΝΝΙΝΩΝ"/>
    <s v="ΠΕΡΙΦΕΡΕΙΑΚΗ Δ/ΝΣΗ Α/ΘΜΙΑΣ ΚΑΙ Β/ΘΜΙΑΣ ΕΚΠ/ΣΗΣ ΗΠΕΙΡΟΥ"/>
    <n v="6"/>
    <d v="2018-09-01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3-08-06T00:00:00"/>
    <x v="0"/>
    <s v="ΔΙΕΥΘΥΝΣΗ Δ.Ε. ΙΩΑΝΝΙΝΩΝ"/>
    <x v="1"/>
  </r>
  <r>
    <x v="259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6"/>
    <m/>
    <s v="Ιδιωτικά Σχολεία"/>
    <x v="1"/>
    <s v="7521079"/>
    <s v="ΣΥΣΤΕΓΑΖΟΜΕΝΟ ΙΔΙΩΤΙΚΟ ΝΗΠΙΑΓΩΓΕΙΟ - ΜΕΞΗ ΕΛΕΝ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7-02T00:00:00"/>
    <x v="1"/>
    <s v="ΔΙΕΥΘΥΝΣΗ Π.Ε. ΑΝΑΤΟΛΙΚΗΣ ΑΤΤΙΚΗΣ"/>
    <x v="1"/>
  </r>
  <r>
    <x v="260"/>
    <x v="1"/>
    <s v="ΠΕ86"/>
    <s v="ΠΛΗΡΟΦΟΡΙΚΗΣ"/>
    <m/>
    <m/>
    <s v="Γ΄"/>
    <n v="1"/>
    <n v="13284"/>
    <d v="2018-09-01T00:00:00"/>
    <s v="Α΄ ΠΕΙΡΑΙΑ (Π.Ε.) 2018"/>
    <s v="ΔΙΕΥΘΥΝΣΗ Π.Ε. ΠΕΙΡΑΙΑ"/>
    <s v="ΠΕΡΙΦΕΡΕΙΑΚΗ Δ/ΝΣΗ Α/ΘΜΙΑΣ ΚΑΙ Β/ΘΜΙΑΣ ΕΚΠ/ΣΗΣ ΑΤΤΙΚΗΣ"/>
    <n v="6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3-04-23T00:00:00"/>
    <x v="1"/>
    <s v="ΔΙΕΥΘΥΝΣΗ Π.Ε. ΠΕΙΡΑΙΑ"/>
    <x v="1"/>
  </r>
  <r>
    <x v="261"/>
    <x v="0"/>
    <s v="ΠΕ86"/>
    <s v="ΠΛΗΡΟΦΟΡΙΚΗΣ"/>
    <m/>
    <m/>
    <s v="Γ΄"/>
    <n v="1"/>
    <s v="Φ17/13320/12-10-2018"/>
    <d v="2018-10-12T00:00:00"/>
    <s v="Α΄ ΕΥΒΟΙΑΣ (Π.Ε.) 2018"/>
    <s v="ΔΙΕΥΘΥΝΣΗ Π.Ε. ΕΥΒΟΙΑΣ"/>
    <s v="ΠΕΡΙΦΕΡΕΙΑΚΗ Δ/ΝΣΗ Α/ΘΜΙΑΣ ΚΑΙ Β/ΘΜΙΑΣ ΕΚΠ/ΣΗΣ ΣΤΕΡΕΑΣ ΕΛΛΑΔΑΣ"/>
    <n v="6"/>
    <d v="2018-10-12T00:00:00"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0"/>
    <s v="Τοποθέτηση σε Ιδιωτική Εκπαίδευση"/>
    <d v="1983-04-07T00:00:00"/>
    <x v="1"/>
    <s v="ΔΙΕΥΘΥΝΣΗ Π.Ε. ΕΥΒΟΙΑΣ"/>
    <x v="1"/>
  </r>
  <r>
    <x v="262"/>
    <x v="1"/>
    <s v="ΠΕ06"/>
    <s v="ΑΓΓ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6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3-30T00:00:00"/>
    <x v="0"/>
    <s v="ΔΙΕΥΘΥΝΣΗ Δ.Ε. ΑΝΑΤ. ΘΕΣ/ΝΙΚΗΣ"/>
    <x v="1"/>
  </r>
  <r>
    <x v="263"/>
    <x v="1"/>
    <s v="ΠΕ78"/>
    <s v="ΚΟΙΝΩΝΙΚΩΝ ΕΠΙΣΤΗΜ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3-02-25T00:00:00"/>
    <x v="0"/>
    <s v="ΔΙΕΥΘΥΝΣΗ Δ.Ε. ΑΝΑΤΟΛΙΚΗΣ ΑΤΤΙΚΗΣ"/>
    <x v="1"/>
  </r>
  <r>
    <x v="264"/>
    <x v="1"/>
    <s v="ΠΕ05"/>
    <s v="ΓΑΛΛΙΚΗΣ ΦΙΛΟΛΟΓΙΑ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6"/>
    <m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3-01-01T00:00:00"/>
    <x v="1"/>
    <s v="ΔΙΕΥΘΥΝΣΗ Π.Ε. ΧΑΝΙΩΝ"/>
    <x v="1"/>
  </r>
  <r>
    <x v="265"/>
    <x v="1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6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3-01-01T00:00:00"/>
    <x v="0"/>
    <s v="ΔΙΕΥΘΥΝΣΗ Δ.Ε. ΚΥΚΛΑΔΩΝ"/>
    <x v="1"/>
  </r>
  <r>
    <x v="266"/>
    <x v="1"/>
    <s v="ΠΕ60"/>
    <s v="ΝΗΠΙΑΓΩΓ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6"/>
    <m/>
    <s v="Ιδιωτικά Σχολεία"/>
    <x v="1"/>
    <s v="7171001"/>
    <s v="22ο ΙΔΙΩΤΙΚΟ ΝΗΠΙΑΓΩΓΕΙΟ ΗΡΑΚΛΕΙΟ ΚΡΗΤΗΣ - ΡΟΔΟΜΗΛΙΑ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2-12-13T00:00:00"/>
    <x v="1"/>
    <s v="ΔΙΕΥΘΥΝΣΗ Π.Ε. ΗΡΑΚΛΕΙΟΥ"/>
    <x v="1"/>
  </r>
  <r>
    <x v="267"/>
    <x v="1"/>
    <s v="ΠΕ01"/>
    <s v="ΘΕΟΛΟΓΟΙ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6"/>
    <d v="2005-09-08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2-10-09T00:00:00"/>
    <x v="0"/>
    <s v="ΔΙΕΥΘΥΝΣΗ Δ.Ε. Α΄ ΑΘΗΝΑΣ"/>
    <x v="1"/>
  </r>
  <r>
    <x v="268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6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6-23T00:00:00"/>
    <x v="0"/>
    <s v="ΔΙΕΥΘΥΝΣΗ Δ.Ε. Β΄ ΑΘΗΝΑΣ"/>
    <x v="1"/>
  </r>
  <r>
    <x v="269"/>
    <x v="1"/>
    <s v="ΠΕ07"/>
    <s v="ΓΕΡΜΑΝ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01-01T00:00:00"/>
    <x v="0"/>
    <s v="ΔΙΕΥΘΥΝΣΗ Δ.Ε. Β΄ ΑΘΗΝΑΣ"/>
    <x v="1"/>
  </r>
  <r>
    <x v="270"/>
    <x v="1"/>
    <s v="ΠΕ07"/>
    <s v="ΓΕΡΜΑΝΙΚΗΣ ΦΙΛΟΛΟΓΙΑΣ"/>
    <m/>
    <m/>
    <s v="Γ΄"/>
    <n v="1"/>
    <n v="24505"/>
    <d v="2018-09-01T00:00:00"/>
    <s v="Α΄ ΠΕΙΡΑΙΑ (Δ.Ε.) 2018"/>
    <s v="ΔΙΕΥΘΥΝΣΗ Δ.Ε. ΠΕΙΡΑΙΑ"/>
    <s v="ΠΕΡΙΦΕΡΕΙΑΚΗ Δ/ΝΣΗ Α/ΘΜΙΑΣ ΚΑΙ Β/ΘΜΙΑΣ ΕΚΠ/ΣΗΣ ΑΤΤΙΚΗΣ"/>
    <n v="6"/>
    <d v="2018-09-01T00:00:00"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ΠΕΙΡΑΙΑ"/>
    <x v="1"/>
  </r>
  <r>
    <x v="271"/>
    <x v="1"/>
    <s v="ΠΕ07"/>
    <s v="ΓΕΡΜΑΝΙΚΗΣ ΦΙΛΟΛΟΓΙΑΣ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6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Γ΄ ΑΘΗΝΑΣ"/>
    <x v="1"/>
  </r>
  <r>
    <x v="272"/>
    <x v="1"/>
    <s v="ΠΕ79.01"/>
    <s v="ΜΟΥΣΙΚΗΣ ΕΠΙΣΤΗΜ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1-12-29T00:00:00"/>
    <x v="0"/>
    <s v="ΔΙΕΥΘΥΝΣΗ Δ.Ε. ΠΕΙΡΑΙΑ"/>
    <x v="1"/>
  </r>
  <r>
    <x v="273"/>
    <x v="1"/>
    <s v="ΠΕ05"/>
    <s v="ΓΑΛΛΙΚΗΣ ΦΙΛΟΛΟΓΙΑΣ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6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1-10-04T00:00:00"/>
    <x v="0"/>
    <s v="ΔΙΕΥΘΥΝΣΗ Δ.Ε. ΚΟΡΙΝΘΙΑΣ"/>
    <x v="1"/>
  </r>
  <r>
    <x v="274"/>
    <x v="0"/>
    <s v="ΠΕ03"/>
    <s v="ΜΑΘΗΜΑΤΙΚΟΙ"/>
    <m/>
    <m/>
    <s v="Γ΄"/>
    <n v="1"/>
    <n v="19729"/>
    <d v="2018-09-01T00:00:00"/>
    <s v="ΛΑΡΙΣΑΣ (Δ.Ε.) 2018"/>
    <s v="ΔΙΕΥΘΥΝΣΗ Δ.Ε. ΛΑΡΙΣΑΣ"/>
    <s v="ΠΕΡΙΦΕΡΕΙΑΚΗ Δ/ΝΣΗ Α/ΘΜΙΑΣ ΚΑΙ Β/ΘΜΙΑΣ ΕΚΠ/ΣΗΣ ΘΕΣΣΑΛΙΑΣ"/>
    <n v="6"/>
    <d v="2018-09-01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2"/>
    <s v="Τοποθέτηση σε Ιδιωτική Εκπαίδευση"/>
    <d v="1981-09-19T00:00:00"/>
    <x v="0"/>
    <s v="ΔΙΕΥΘΥΝΣΗ Δ.Ε. ΛΑΡΙΣΑΣ"/>
    <x v="1"/>
  </r>
  <r>
    <x v="275"/>
    <x v="0"/>
    <s v="ΠΕ86"/>
    <s v="ΠΛΗΡΟΦΟΡΙΚΗΣ"/>
    <m/>
    <m/>
    <s v="Γ΄"/>
    <n v="1"/>
    <s v="Ω7ΜΞ4653ΠΣ-ΗΤ3"/>
    <d v="2018-09-01T00:00:00"/>
    <s v="Β΄ ΑΘΗΝΑΣ (Π.Ε.) 2018"/>
    <s v="ΔΙΕΥΘΥΝΣΗ Π.Ε. Β΄ ΑΘΗΝΑΣ"/>
    <s v="ΠΕΡΙΦΕΡΕΙΑΚΗ Δ/ΝΣΗ Α/ΘΜΙΑΣ ΚΑΙ Β/ΘΜΙΑΣ ΕΚΠ/ΣΗΣ ΑΤΤΙΚΗΣ"/>
    <n v="6"/>
    <d v="2018-09-01T00:00:00"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9-09T00:00:00"/>
    <x v="1"/>
    <s v="ΔΙΕΥΘΥΝΣΗ Π.Ε. Β΄ ΑΘΗΝΑΣ"/>
    <x v="1"/>
  </r>
  <r>
    <x v="276"/>
    <x v="1"/>
    <s v="ΠΕ11"/>
    <s v="ΦΥΣΙΚΗΣ ΑΓΩΓΗΣ"/>
    <m/>
    <m/>
    <s v="Γ΄"/>
    <n v="1"/>
    <s v="3621/18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6"/>
    <d v="2018-09-01T00:00:00"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81-07-22T00:00:00"/>
    <x v="0"/>
    <s v="ΔΙΕΥΘΥΝΣΗ Δ.Ε. ΑΡΓΟΛΙΔΑΣ"/>
    <x v="1"/>
  </r>
  <r>
    <x v="277"/>
    <x v="1"/>
    <s v="ΠΕ07"/>
    <s v="ΓΕΡΜΑΝ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1-01T00:00:00"/>
    <x v="0"/>
    <s v="ΔΙΕΥΘΥΝΣΗ Δ.Ε. ΑΝΑΤΟΛΙΚΗΣ ΑΤΤΙΚΗΣ"/>
    <x v="1"/>
  </r>
  <r>
    <x v="278"/>
    <x v="1"/>
    <s v="ΠΕ07"/>
    <s v="ΓΕΡΜΑΝΙΚΗΣ ΦΙΛΟΛΟΓΙΑΣ"/>
    <m/>
    <m/>
    <s v="Γ΄"/>
    <n v="1"/>
    <s v="ΩΖΨΑ4653ΠΣ-Θ19"/>
    <d v="2018-09-01T00:00:00"/>
    <s v="Δ΄ ΑΘΗΝΑΣ (Π.Ε.) 2018"/>
    <s v="ΔΙΕΥΘΥΝΣΗ Π.Ε. Δ΄ ΑΘΗΝΑΣ"/>
    <s v="ΠΕΡΙΦΕΡΕΙΑΚΗ Δ/ΝΣΗ Α/ΘΜΙΑΣ ΚΑΙ Β/ΘΜΙΑΣ ΕΚΠ/ΣΗΣ ΑΤΤΙΚΗΣ"/>
    <n v="6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Δ΄ ΑΘΗΝΑΣ"/>
    <x v="1"/>
  </r>
  <r>
    <x v="279"/>
    <x v="0"/>
    <s v="ΠΕ01"/>
    <s v="ΘΕΟΛΟΓΟΙ"/>
    <m/>
    <m/>
    <s v="Γ΄"/>
    <n v="1"/>
    <n v="22626"/>
    <d v="2018-09-14T00:00:00"/>
    <s v="Α΄ ΠΕΙΡΑΙΑ (Δ.Ε.) 2018"/>
    <s v="ΔΙΕΥΘΥΝΣΗ Δ.Ε. ΠΕΙΡΑΙΑ"/>
    <s v="ΠΕΡΙΦΕΡΕΙΑΚΗ Δ/ΝΣΗ Α/ΘΜΙΑΣ ΚΑΙ Β/ΘΜΙΑΣ ΕΚΠ/ΣΗΣ ΑΤΤΙΚΗΣ"/>
    <n v="6"/>
    <d v="2018-09-14T00:00:00"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0-07-10T00:00:00"/>
    <x v="0"/>
    <s v="ΔΙΕΥΘΥΝΣΗ Δ.Ε. ΠΕΙΡΑΙΑ"/>
    <x v="1"/>
  </r>
  <r>
    <x v="280"/>
    <x v="0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5-05T00:00:00"/>
    <x v="1"/>
    <s v="ΔΙΕΥΘΥΝΣΗ Π.Ε. ΑΝΑΤΟΛΙΚΗΣ ΑΤΤΙΚΗΣ"/>
    <x v="1"/>
  </r>
  <r>
    <x v="281"/>
    <x v="1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m/>
    <s v="Ιδιωτικά Σχολεία"/>
    <x v="1"/>
    <s v="7521091"/>
    <s v="Δ. ΜΑΡΟΥΣΟΣ - Δ. ΣΩΤΗΡΟΠΟΥΛΟΥ Ο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4-15T00:00:00"/>
    <x v="1"/>
    <s v="ΔΙΕΥΘΥΝΣΗ Π.Ε. ΑΝΑΤΟΛΙΚΗΣ ΑΤΤΙΚΗΣ"/>
    <x v="1"/>
  </r>
  <r>
    <x v="282"/>
    <x v="0"/>
    <s v="ΠΕ86"/>
    <s v="ΠΛΗΡΟΦΟΡΙΚΗΣ"/>
    <m/>
    <m/>
    <s v="Γ΄"/>
    <n v="1"/>
    <s v="Φ.17.2/394/9243"/>
    <d v="2018-09-01T00:00:00"/>
    <s v="Β΄ ΑΘΗΝΑΣ (Π.Ε.) 2018"/>
    <s v="ΔΙΕΥΘΥΝΣΗ Π.Ε. Β΄ ΑΘΗΝΑΣ"/>
    <s v="ΠΕΡΙΦΕΡΕΙΑΚΗ Δ/ΝΣΗ Α/ΘΜΙΑΣ ΚΑΙ Β/ΘΜΙΑΣ ΕΚΠ/ΣΗΣ ΑΤΤΙΚΗΣ"/>
    <n v="6"/>
    <d v="2018-09-01T00:00:00"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2-20T00:00:00"/>
    <x v="1"/>
    <s v="ΔΙΕΥΘΥΝΣΗ Π.Ε. Β΄ ΑΘΗΝΑΣ"/>
    <x v="1"/>
  </r>
  <r>
    <x v="283"/>
    <x v="1"/>
    <s v="ΠΕ05"/>
    <s v="ΓΑΛ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ΑΝΑΤΟΛΙΚΗΣ ΑΤΤΙΚΗΣ"/>
    <x v="1"/>
  </r>
  <r>
    <x v="284"/>
    <x v="1"/>
    <s v="ΠΕ07"/>
    <s v="ΓΕΡΜΑΝΙΚΗΣ ΦΙΛΟΛΟΓΙΑΣ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Β΄ ΑΘΗΝΑΣ"/>
    <x v="1"/>
  </r>
  <r>
    <x v="285"/>
    <x v="1"/>
    <s v="ΠΕ60"/>
    <s v="ΝΗΠΙΑΓΩΓΟΙ"/>
    <m/>
    <m/>
    <s v="Α΄"/>
    <n v="1"/>
    <s v="ΨΗ9Η9-6ΥΓ"/>
    <d v="2015-01-23T00:00:00"/>
    <s v="Β΄ ΑΘΗΝΑΣ (Π.Ε.) 2018"/>
    <s v="ΔΙΕΥΘΥΝΣΗ Π.Ε. Β΄ ΑΘΗΝΑΣ"/>
    <s v="ΠΕΡΙΦΕΡΕΙΑΚΗ Δ/ΝΣΗ Α/ΘΜΙΑΣ ΚΑΙ Β/ΘΜΙΑΣ ΕΚΠ/ΣΗΣ ΑΤΤΙΚΗΣ"/>
    <n v="6"/>
    <d v="2015-01-27T00:00:00"/>
    <s v="Ιδιωτικά Σχολεία"/>
    <x v="1"/>
    <s v="7052029"/>
    <s v="ΙΔΙΩΤΙΚΟ ΝΗΠΙΑΓΩΓΕΙΟ ΦΙΛΟΘΕΗ - ΝΗΠΙΑΚΗ ΑΓΩΓ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1-01T00:00:00"/>
    <x v="1"/>
    <s v="ΔΙΕΥΘΥΝΣΗ Π.Ε. Β΄ ΑΘΗΝΑΣ"/>
    <x v="1"/>
  </r>
  <r>
    <x v="286"/>
    <x v="1"/>
    <s v="ΠΕ05"/>
    <s v="ΓΑΛ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6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8-02T00:00:00"/>
    <x v="1"/>
    <s v="ΔΙΕΥΘΥΝΣΗ Π.Ε. Δ΄ ΑΘΗΝΑΣ"/>
    <x v="1"/>
  </r>
  <r>
    <x v="287"/>
    <x v="0"/>
    <s v="ΠΕ03"/>
    <s v="ΜΑΘΗΜΑΤΙΚΟΙ"/>
    <m/>
    <m/>
    <s v="Γ΄"/>
    <n v="1"/>
    <n v="19765"/>
    <d v="2018-11-29T00:00:00"/>
    <s v="Α΄ ΑΝΑΤ. ΑΤΤΙΚΗΣ (Δ.Ε.) 2018"/>
    <s v="ΔΙΕΥΘΥΝΣΗ Δ.Ε. ΑΝΑΤΟΛΙΚΗΣ ΑΤΤΙΚΗΣ"/>
    <s v="ΠΕΡΙΦΕΡΕΙΑΚΗ Δ/ΝΣΗ Α/ΘΜΙΑΣ ΚΑΙ Β/ΘΜΙΑΣ ΕΚΠ/ΣΗΣ ΑΤΤΙΚΗΣ"/>
    <n v="6"/>
    <d v="2018-11-29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79-07-17T00:00:00"/>
    <x v="0"/>
    <s v="ΔΙΕΥΘΥΝΣΗ Δ.Ε. ΑΝΑΤΟΛΙΚΗΣ ΑΤΤΙΚΗΣ"/>
    <x v="1"/>
  </r>
  <r>
    <x v="288"/>
    <x v="1"/>
    <s v="ΠΕ05"/>
    <s v="ΓΑΛΛΙΚΗΣ ΦΙΛΟΛΟΓΙΑΣ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6"/>
    <m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9-04-16T00:00:00"/>
    <x v="0"/>
    <s v="ΔΙΕΥΘΥΝΣΗ Δ.Ε. ΙΩΑΝΝΙΝΩΝ"/>
    <x v="1"/>
  </r>
  <r>
    <x v="289"/>
    <x v="1"/>
    <s v="ΠΕ04.04"/>
    <s v="ΒΙΟΛΟΓΟΙ"/>
    <m/>
    <m/>
    <s v="Γ΄"/>
    <n v="1"/>
    <s v="16053/01-09-2018"/>
    <d v="2018-09-01T00:00:00"/>
    <s v="ΛΑΡΙΣΑΣ (Δ.Ε.) 2018"/>
    <s v="ΔΙΕΥΘΥΝΣΗ Δ.Ε. ΛΑΡΙΣΑΣ"/>
    <s v="ΠΕΡΙΦΕΡΕΙΑΚΗ Δ/ΝΣΗ Α/ΘΜΙΑΣ ΚΑΙ Β/ΘΜΙΑΣ ΕΚΠ/ΣΗΣ ΘΕΣΣΑΛΙΑΣ"/>
    <n v="6"/>
    <d v="2018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9-02-08T00:00:00"/>
    <x v="0"/>
    <s v="ΔΙΕΥΘΥΝΣΗ Δ.Ε. ΛΑΡΙΣΑΣ"/>
    <x v="1"/>
  </r>
  <r>
    <x v="290"/>
    <x v="1"/>
    <s v="ΠΕ07"/>
    <s v="ΓΕΡΜΑΝ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ΑΝΑΤΟΛΙΚΗΣ ΑΤΤΙΚΗΣ"/>
    <x v="1"/>
  </r>
  <r>
    <x v="291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6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Γ΄ ΑΘΗΝΑΣ"/>
    <x v="1"/>
  </r>
  <r>
    <x v="292"/>
    <x v="1"/>
    <s v="ΠΕ07"/>
    <s v="ΓΕΡΜΑΝΙΚΗΣ ΦΙΛΟΛΟΓΙΑΣ"/>
    <m/>
    <m/>
    <s v="Γ΄"/>
    <n v="1"/>
    <s v="3956α/17-9-2018"/>
    <d v="2018-09-17T00:00:00"/>
    <s v="ΑΡΓΟΛΙΔΑΣ (Δ.Ε.) 2018"/>
    <s v="ΔΙΕΥΘΥΝΣΗ Δ.Ε. ΑΡΓΟΛΙΔΑΣ"/>
    <s v="ΠΕΡΙΦΕΡΕΙΑΚΗ Δ/ΝΣΗ Α/ΘΜΙΑΣ ΚΑΙ Β/ΘΜΙΑΣ ΕΚΠ/ΣΗΣ ΠΕΛΟΠΟΝΝΗΣΟΥ"/>
    <n v="6"/>
    <d v="2018-09-17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79-01-01T00:00:00"/>
    <x v="0"/>
    <s v="ΔΙΕΥΘΥΝΣΗ Δ.Ε. ΑΡΓΟΛΙΔΑΣ"/>
    <x v="1"/>
  </r>
  <r>
    <x v="293"/>
    <x v="1"/>
    <s v="ΠΕ84"/>
    <s v="ΗΛΕΚΤΡΟΝΙΚΩΝ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6"/>
    <m/>
    <s v="Ιδιωτικά Σχολεία"/>
    <x v="2"/>
    <s v="2881010"/>
    <s v="ΙΔΙΩΤΙΚΟ ΓΥΜΝΑΣΙΟ ΚΟΡΙΝΘΟΥ - ΑΡΙΣΤΟΤΕΛΕΙΟ ΚΟΡΙΝΘΙΑΚΟ ΕΚΠΑΙΔΕΥΤΗΡ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8-11-18T00:00:00"/>
    <x v="0"/>
    <s v="ΔΙΕΥΘΥΝΣΗ Δ.Ε. ΚΟΡΙΝΘΙΑΣ"/>
    <x v="1"/>
  </r>
  <r>
    <x v="294"/>
    <x v="1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8-06-24T00:00:00"/>
    <x v="0"/>
    <s v="ΔΙΕΥΘΥΝΣΗ Δ.Ε. Β΄ ΑΘΗΝΑΣ"/>
    <x v="1"/>
  </r>
  <r>
    <x v="295"/>
    <x v="1"/>
    <s v="ΠΕ03"/>
    <s v="ΜΑΘΗΜΑΤΙΚΟΙ"/>
    <m/>
    <m/>
    <s v="Γ΄"/>
    <n v="1"/>
    <s v="3733/11-9-2018"/>
    <d v="2018-09-11T00:00:00"/>
    <s v="ΑΡΓΟΛΙΔΑΣ (Δ.Ε.) 2018"/>
    <s v="ΔΙΕΥΘΥΝΣΗ Δ.Ε. ΑΡΓΟΛΙΔΑΣ"/>
    <s v="ΠΕΡΙΦΕΡΕΙΑΚΗ Δ/ΝΣΗ Α/ΘΜΙΑΣ ΚΑΙ Β/ΘΜΙΑΣ ΕΚΠ/ΣΗΣ ΠΕΛΟΠΟΝΝΗΣΟΥ"/>
    <n v="6"/>
    <d v="2018-09-11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78-06-02T00:00:00"/>
    <x v="0"/>
    <s v="ΔΙΕΥΘΥΝΣΗ Δ.Ε. ΑΡΓΟΛΙΔΑΣ"/>
    <x v="1"/>
  </r>
  <r>
    <x v="296"/>
    <x v="1"/>
    <s v="ΠΕ79.01"/>
    <s v="ΜΟΥΣΙΚΗΣ ΕΠΙΣΤΗΜΗΣ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6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8-02-20T00:00:00"/>
    <x v="1"/>
    <s v="ΔΙΕΥΘΥΝΣΗ Π.Ε. Γ΄ ΑΘΗΝΑΣ"/>
    <x v="1"/>
  </r>
  <r>
    <x v="297"/>
    <x v="0"/>
    <s v="ΠΕ86"/>
    <s v="ΠΛΗΡΟΦΟΡΙΚΗΣ"/>
    <m/>
    <m/>
    <s v="Γ΄"/>
    <n v="1"/>
    <s v="1819/13/3/2014"/>
    <d v="2018-09-01T00:00:00"/>
    <s v="ΙΩΑΝΝΙΝΩΝ (Π.Ε.) 2018"/>
    <s v="ΔΙΕΥΘΥΝΣΗ Π.Ε. ΙΩΑΝΝΙΝΩΝ"/>
    <s v="ΠΕΡΙΦΕΡΕΙΑΚΗ Δ/ΝΣΗ Α/ΘΜΙΑΣ ΚΑΙ Β/ΘΜΙΑΣ ΕΚΠ/ΣΗΣ ΗΠΕΙΡΟΥ"/>
    <n v="6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8-02-12T00:00:00"/>
    <x v="1"/>
    <s v="ΔΙΕΥΘΥΝΣΗ Π.Ε. ΙΩΑΝΝΙΝΩΝ"/>
    <x v="1"/>
  </r>
  <r>
    <x v="298"/>
    <x v="1"/>
    <s v="ΠΕ07"/>
    <s v="ΓΕΡΜΑΝ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8-01-01T00:00:00"/>
    <x v="0"/>
    <s v="ΔΙΕΥΘΥΝΣΗ Δ.Ε. ΠΕΙΡΑΙΑ"/>
    <x v="1"/>
  </r>
  <r>
    <x v="299"/>
    <x v="1"/>
    <s v="ΠΕ40"/>
    <s v="ΙΣΠΑΝ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1-01T00:00:00"/>
    <x v="1"/>
    <s v="ΔΙΕΥΘΥΝΣΗ Π.Ε. ΑΝΑΤΟΛΙΚΗΣ ΑΤΤΙΚΗΣ"/>
    <x v="1"/>
  </r>
  <r>
    <x v="300"/>
    <x v="1"/>
    <s v="ΤΕ16"/>
    <s v="ΜΟΥΣΙΚΗΣ ΜΗ ΑΝΩΤΑΤΩΝ ΙΔΡΥΜΑΤΩΝ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6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8-01-01T00:00:00"/>
    <x v="1"/>
    <s v="ΔΙΕΥΘΥΝΣΗ Π.Ε. ΚΥΚΛΑΔΩΝ"/>
    <x v="1"/>
  </r>
  <r>
    <x v="301"/>
    <x v="1"/>
    <s v="ΠΕ06"/>
    <s v="ΑΓΓΛΙΚΗΣ ΦΙΛΟΛΟΓΙΑΣ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6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7-12-15T00:00:00"/>
    <x v="1"/>
    <s v="ΔΙΕΥΘΥΝΣΗ Π.Ε. ΑΝΑΤ. ΘΕΣ/ΝΙΚΗΣ"/>
    <x v="1"/>
  </r>
  <r>
    <x v="302"/>
    <x v="1"/>
    <s v="ΠΕ06"/>
    <s v="ΑΓΓΛΙΚΗΣ ΦΙΛΟΛΟΓΙΑΣ"/>
    <m/>
    <m/>
    <s v="Γ΄"/>
    <n v="1"/>
    <n v="2078634"/>
    <d v="2018-10-04T00:00:00"/>
    <s v="Β΄ ΑΘΗΝΑΣ (Π.Ε.) 2018"/>
    <s v="ΔΙΕΥΘΥΝΣΗ Π.Ε. Β΄ ΑΘΗΝΑΣ"/>
    <s v="ΠΕΡΙΦΕΡΕΙΑΚΗ Δ/ΝΣΗ Α/ΘΜΙΑΣ ΚΑΙ Β/ΘΜΙΑΣ ΕΚΠ/ΣΗΣ ΑΤΤΙΚΗΣ"/>
    <n v="6"/>
    <d v="2018-10-04T00:00:00"/>
    <s v="Ιδιωτικά Σχολεία"/>
    <x v="1"/>
    <s v="7052169"/>
    <s v="ΣΥΣΤΕΓΑΖΟΜΕΝΟ ΝΗΠΙΑΓΩΓΕΙΟ - LUDUS Μ.Ε.Π.Ε.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77-07-03T00:00:00"/>
    <x v="1"/>
    <s v="ΔΙΕΥΘΥΝΣΗ Π.Ε. Β΄ ΑΘΗΝΑΣ"/>
    <x v="1"/>
  </r>
  <r>
    <x v="303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4-20T00:00:00"/>
    <x v="0"/>
    <s v="ΔΙΕΥΘΥΝΣΗ Δ.Ε. ΑΝΑΤΟΛΙΚΗΣ ΑΤΤΙΚΗΣ"/>
    <x v="1"/>
  </r>
  <r>
    <x v="304"/>
    <x v="1"/>
    <s v="ΠΕ05"/>
    <s v="ΓΑΛΛΙΚΗΣ ΦΙΛΟΛΟΓΙΑΣ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01-01T00:00:00"/>
    <x v="0"/>
    <s v="ΔΙΕΥΘΥΝΣΗ Δ.Ε. Β΄ ΑΘΗΝΑΣ"/>
    <x v="1"/>
  </r>
  <r>
    <x v="305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6-12-19T00:00:00"/>
    <x v="0"/>
    <s v="ΔΙΕΥΘΥΝΣΗ Δ.Ε. ΠΕΙΡΑΙΑ"/>
    <x v="1"/>
  </r>
  <r>
    <x v="306"/>
    <x v="1"/>
    <s v="ΠΕ07"/>
    <s v="ΓΕΡΜΑΝΙΚΗΣ ΦΙΛΟΛΟΓΙΑΣ"/>
    <m/>
    <m/>
    <s v="Γ΄"/>
    <n v="4"/>
    <d v="2006-09-01T00:00:00"/>
    <d v="2018-09-01T00:00:00"/>
    <s v="Α΄ ΑΘΗΝΑΣ (Δ.Ε.) 2018"/>
    <s v="ΔΙΕΥΘΥΝΣΗ Δ.Ε. Α΄ ΑΘΗΝΑΣ"/>
    <s v="ΠΕΡΙΦΕΡΕΙΑΚΗ Δ/ΝΣΗ Α/ΘΜΙΑΣ ΚΑΙ Β/ΘΜΙΑΣ ΕΚΠ/ΣΗΣ ΑΤΤΙΚΗΣ"/>
    <n v="6"/>
    <d v="2018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6-08-13T00:00:00"/>
    <x v="0"/>
    <s v="ΔΙΕΥΘΥΝΣΗ Δ.Ε. Α΄ ΑΘΗΝΑΣ"/>
    <x v="1"/>
  </r>
  <r>
    <x v="307"/>
    <x v="1"/>
    <s v="ΠΕ05"/>
    <s v="ΓΑΛΛΙΚΗΣ ΦΙΛΟΛΟΓΙΑΣ"/>
    <m/>
    <m/>
    <s v="Γ΄"/>
    <n v="1"/>
    <s v="604Ε4653ΠΣ-ΒΔΚ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6-05-14T00:00:00"/>
    <x v="0"/>
    <s v="ΔΙΕΥΘΥΝΣΗ Δ.Ε. Β΄ ΑΘΗΝΑΣ"/>
    <x v="1"/>
  </r>
  <r>
    <x v="308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04-01T00:00:00"/>
    <x v="0"/>
    <s v="ΔΙΕΥΘΥΝΣΗ Δ.Ε. ΠΕΙΡΑΙΑ"/>
    <x v="1"/>
  </r>
  <r>
    <x v="309"/>
    <x v="1"/>
    <s v="ΠΕ79.01"/>
    <s v="ΜΟΥΣΙΚΗΣ ΕΠΙΣΤΗΜΗ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6"/>
    <m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6-01-01T00:00:00"/>
    <x v="1"/>
    <s v="ΔΙΕΥΘΥΝΣΗ Π.Ε. ΧΑΝΙΩΝ"/>
    <x v="1"/>
  </r>
  <r>
    <x v="310"/>
    <x v="1"/>
    <s v="ΠΕ60"/>
    <s v="ΝΗΠΙΑΓΩΓΟΙ"/>
    <m/>
    <m/>
    <s v="Γ΄"/>
    <n v="1"/>
    <s v="11495/21-9-2016"/>
    <d v="2018-09-01T00:00:00"/>
    <s v="Α΄ ΕΥΒΟΙΑΣ (Π.Ε.) 2018"/>
    <s v="ΔΙΕΥΘΥΝΣΗ Π.Ε. ΕΥΒΟΙΑΣ"/>
    <s v="ΠΕΡΙΦΕΡΕΙΑΚΗ Δ/ΝΣΗ Α/ΘΜΙΑΣ ΚΑΙ Β/ΘΜΙΑΣ ΕΚΠ/ΣΗΣ ΣΤΕΡΕΑΣ ΕΛΛΑΔΑΣ"/>
    <n v="6"/>
    <d v="2018-09-01T00:00:00"/>
    <s v="Ιδιωτικά Σχολεία"/>
    <x v="1"/>
    <s v="7121019"/>
    <s v="ΣΥΣΤΕΓΑΖΟΜΕΝΟ ΝΗΠΙΑΓΩΓΕΙΟ - ΠΑΝΤΑΖΗ ΜΑΡΙΑΝΘΗ"/>
    <s v="Α΄ ΕΥΒΟΙΑΣ (Π.Ε.) 2018"/>
    <s v="ΔΙΕΥΘΥΝΣΗ Π.Ε. ΕΥΒΟΙΑΣ"/>
    <s v="ΠΕΡΙΦΕΡΕΙΑΚΗ Δ/ΝΣΗ Α/ΘΜΙΑΣ ΚΑΙ Β/ΘΜΙΑΣ ΕΚΠ/ΣΗΣ ΣΤΕΡΕΑΣ ΕΛΛΑΔΑΣ"/>
    <x v="0"/>
    <s v="Τοποθέτηση σε Ιδιωτική Εκπαίδευση"/>
    <d v="1975-10-10T00:00:00"/>
    <x v="1"/>
    <s v="ΔΙΕΥΘΥΝΣΗ Π.Ε. ΕΥΒΟΙΑΣ"/>
    <x v="1"/>
  </r>
  <r>
    <x v="311"/>
    <x v="1"/>
    <s v="ΠΕ05"/>
    <s v="ΓΑΛΛΙΚΗΣ ΦΙΛΟΛΟΓΙΑΣ"/>
    <m/>
    <m/>
    <s v="Γ΄"/>
    <n v="1"/>
    <s v="42/18-12-2008"/>
    <d v="2018-10-15T00:00:00"/>
    <s v="Α΄ ΕΥΒΟΙΑΣ (Π.Ε.) 2018"/>
    <s v="ΔΙΕΥΘΥΝΣΗ Π.Ε. ΕΥΒΟΙΑΣ"/>
    <s v="ΠΕΡΙΦΕΡΕΙΑΚΗ Δ/ΝΣΗ Α/ΘΜΙΑΣ ΚΑΙ Β/ΘΜΙΑΣ ΕΚΠ/ΣΗΣ ΣΤΕΡΕΑΣ ΕΛΛΑΔΑΣ"/>
    <n v="6"/>
    <d v="2018-10-15T00:00:00"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75-02-17T00:00:00"/>
    <x v="1"/>
    <s v="ΔΙΕΥΘΥΝΣΗ Π.Ε. ΕΥΒΟΙΑΣ"/>
    <x v="1"/>
  </r>
  <r>
    <x v="312"/>
    <x v="0"/>
    <s v="ΠΕ06"/>
    <s v="ΑΓΓΛΙΚΗΣ ΦΙΛΟΛΟΓΙΑΣ"/>
    <m/>
    <m/>
    <s v="Γ΄"/>
    <n v="1"/>
    <s v="10956/7-11-2018"/>
    <d v="2018-11-02T00:00:00"/>
    <s v="ΙΩΑΝΝΙΝΩΝ (Δ.Ε.) 2018"/>
    <s v="ΔΙΕΥΘΥΝΣΗ Δ.Ε. ΙΩΑΝΝΙΝΩΝ"/>
    <s v="ΠΕΡΙΦΕΡΕΙΑΚΗ Δ/ΝΣΗ Α/ΘΜΙΑΣ ΚΑΙ Β/ΘΜΙΑΣ ΕΚΠ/ΣΗΣ ΗΠΕΙΡΟΥ"/>
    <n v="6"/>
    <d v="2018-11-02T00:00:00"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75-01-01T00:00:00"/>
    <x v="0"/>
    <s v="ΔΙΕΥΘΥΝΣΗ Δ.Ε. ΙΩΑΝΝΙΝΩΝ"/>
    <x v="1"/>
  </r>
  <r>
    <x v="313"/>
    <x v="1"/>
    <s v="ΠΕ06"/>
    <s v="ΑΓΓΛΙΚΗΣ ΦΙΛΟΛΟΓΙΑΣ"/>
    <m/>
    <m/>
    <s v="Γ΄"/>
    <n v="1"/>
    <s v="1053/25-09-2018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6"/>
    <d v="2018-09-01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74-01-01T00:00:00"/>
    <x v="1"/>
    <s v="ΔΙΕΥΘΥΝΣΗ Π.Ε. ΞΑΝΘΗΣ"/>
    <x v="1"/>
  </r>
  <r>
    <x v="314"/>
    <x v="1"/>
    <s v="ΠΕ05"/>
    <s v="ΓΑΛ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ΑΝΑΤΟΛΙΚΗΣ ΑΤΤΙΚΗΣ"/>
    <x v="1"/>
  </r>
  <r>
    <x v="315"/>
    <x v="1"/>
    <s v="ΠΕ07"/>
    <s v="ΓΕΡΜΑΝΙΚΗΣ ΦΙΛΟΛΟΓΙΑΣ"/>
    <m/>
    <m/>
    <s v="Γ΄"/>
    <n v="1"/>
    <s v="Φ. 17.2_ A/12078/1"/>
    <d v="2018-09-28T00:00:00"/>
    <s v="ΑΧΑΪΑΣ (Δ.Ε.) 2018"/>
    <s v="ΔΙΕΥΘΥΝΣΗ Δ.Ε. ΑΧΑΪΑΣ"/>
    <s v="ΠΕΡΙΦΕΡΕΙΑΚΗ Δ/ΝΣΗ Α/ΘΜΙΑΣ ΚΑΙ Β/ΘΜΙΑΣ ΕΚΠ/ΣΗΣ ΔΥΤΙΚΗΣ ΕΛΛΑΔΑΣ"/>
    <n v="6"/>
    <d v="2018-09-28T00:00:00"/>
    <s v="Ιδιωτικά Σχολεία"/>
    <x v="2"/>
    <s v="0645053"/>
    <s v="ΙΔΙΩΤΙΚΟ ΓΥΜΝΑΣΙΟ &quot;ΑΝΑΓΕΝΝΗΣΗ IKE&quot;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4-01-01T00:00:00"/>
    <x v="0"/>
    <s v="ΔΙΕΥΘΥΝΣΗ Δ.Ε. ΑΧΑΪΑΣ"/>
    <x v="1"/>
  </r>
  <r>
    <x v="316"/>
    <x v="1"/>
    <s v="ΠΕ60"/>
    <s v="ΝΗΠΙΑΓΩΓΟΙ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6"/>
    <m/>
    <s v="Ιδιωτικά Σχολεία"/>
    <x v="1"/>
    <s v="7011005"/>
    <s v="ΙΔΙΩΤΙΚΟ ΝΗΠΙΑΓΩΓΕΙΟ ΚΟΛΟΒΟΥ ΒΑΣΙΛΙΚΗ  ''ΜΑΓΙΚΟΣ ΑΥΛΟΣ''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3-11-28T00:00:00"/>
    <x v="1"/>
    <s v="ΔΙΕΥΘΥΝΣΗ Π.Ε. ΑΙΤΩΛΟΑΚΑΡΝΑΝΙΑΣ"/>
    <x v="1"/>
  </r>
  <r>
    <x v="317"/>
    <x v="1"/>
    <s v="ΠΕ05"/>
    <s v="ΓΑΛΛ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d v="2018-09-01T00:00:00"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8-18T00:00:00"/>
    <x v="1"/>
    <s v="ΔΙΕΥΘΥΝΣΗ Π.Ε. ΑΝΑΤΟΛΙΚΗΣ ΑΤΤΙΚΗΣ"/>
    <x v="1"/>
  </r>
  <r>
    <x v="318"/>
    <x v="1"/>
    <s v="ΠΕ05"/>
    <s v="ΓΑΛΛ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6"/>
    <m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8-10T00:00:00"/>
    <x v="0"/>
    <s v="ΔΙΕΥΘΥΝΣΗ Δ.Ε. Δ΄ ΑΘΗΝΑΣ"/>
    <x v="1"/>
  </r>
  <r>
    <x v="319"/>
    <x v="1"/>
    <s v="ΠΕ79.01"/>
    <s v="ΜΟΥΣΙΚΗΣ ΕΠΙΣΤΗΜ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7-17T00:00:00"/>
    <x v="1"/>
    <s v="ΔΙΕΥΘΥΝΣΗ Π.Ε. Β΄ ΑΘΗΝΑΣ"/>
    <x v="1"/>
  </r>
  <r>
    <x v="320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1"/>
    <s v="7052235"/>
    <s v="ΙΔΙΩΤΙΚΟ ΝΗΠΙΑΓΩΓΕΙΟ - NATASHA'S BABYLAND - WONDERLAND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6-01T00:00:00"/>
    <x v="1"/>
    <s v="ΔΙΕΥΘΥΝΣΗ Π.Ε. Β΄ ΑΘΗΝΑΣ"/>
    <x v="1"/>
  </r>
  <r>
    <x v="321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1"/>
    <s v="7052195"/>
    <s v="ΣΥΣΤΕΓΑΖΟΜΕΝΟ ΝΗΠΙΑΓΩΓΕΙΟ - ΔΗΜΙΟΥΡΓΙΚΟ ΕΡΓΑΣΤΗΡΙ ΠΡΟΣΧΟΛΙΚΗΣ ΑΓΩΓΗΣ - Α. ΣΤΑΘΑΚΟΠΟΥΛΟΥ &amp; ΣΙΑ Ο.Ε. - ΑΡΤΕΜΙΣ &amp; ΙΑΣ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5-23T00:00:00"/>
    <x v="1"/>
    <s v="ΔΙΕΥΘΥΝΣΗ Π.Ε. Β΄ ΑΘΗΝΑΣ"/>
    <x v="1"/>
  </r>
  <r>
    <x v="322"/>
    <x v="0"/>
    <s v="ΠΕ04.01"/>
    <s v="ΦΥΣΙΚΟΙ"/>
    <m/>
    <m/>
    <s v="Γ΄"/>
    <n v="1"/>
    <s v="Φ.17/16539/4/24-10-2018"/>
    <d v="2018-09-26T00:00:00"/>
    <s v="ΑΧΑΪΑΣ (Δ.Ε.) 2018"/>
    <s v="ΔΙΕΥΘΥΝΣΗ Δ.Ε. ΑΧΑΪΑΣ"/>
    <s v="ΠΕΡΙΦΕΡΕΙΑΚΗ Δ/ΝΣΗ Α/ΘΜΙΑΣ ΚΑΙ Β/ΘΜΙΑΣ ΕΚΠ/ΣΗΣ ΔΥΤΙΚΗΣ ΕΛΛΑΔΑΣ"/>
    <n v="6"/>
    <d v="2018-09-26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71-06-28T00:00:00"/>
    <x v="0"/>
    <s v="ΔΙΕΥΘΥΝΣΗ Δ.Ε. ΑΧΑΪΑΣ"/>
    <x v="1"/>
  </r>
  <r>
    <x v="323"/>
    <x v="0"/>
    <s v="ΠΕ05"/>
    <s v="ΓΑΛΛΙΚΗΣ ΦΙΛΟΛΟΓΙΑΣ"/>
    <m/>
    <m/>
    <s v="Γ΄"/>
    <n v="1"/>
    <n v="7780"/>
    <d v="2018-09-01T00:00:00"/>
    <s v="Α΄ ΠΕΙΡΑΙΑ (Δ.Ε.) 2018"/>
    <s v="ΔΙΕΥΘΥΝΣΗ Δ.Ε. ΠΕΙΡΑΙΑ"/>
    <s v="ΠΕΡΙΦΕΡΕΙΑΚΗ Δ/ΝΣΗ Α/ΘΜΙΑΣ ΚΑΙ Β/ΘΜΙΑΣ ΕΚΠ/ΣΗΣ ΑΤΤΙΚΗΣ"/>
    <n v="6"/>
    <d v="2018-09-01T00:00:00"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1-01T00:00:00"/>
    <x v="0"/>
    <s v="ΔΙΕΥΘΥΝΣΗ Δ.Ε. ΠΕΙΡΑΙΑ"/>
    <x v="1"/>
  </r>
  <r>
    <x v="324"/>
    <x v="0"/>
    <s v="ΠΕ11"/>
    <s v="ΦΥΣΙΚΗΣ ΑΓΩΓΗΣ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6"/>
    <m/>
    <s v="Ιδιωτικά Σχολεία"/>
    <x v="4"/>
    <s v="7021002"/>
    <s v="ΙΔΙΩΤΙΚΟ ΔΗΜΟΤΙΚΟ ΣΧΟΛΕΙΟ ΑΥΤΕΝΕΡΓΩ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71-01-01T00:00:00"/>
    <x v="1"/>
    <s v="ΔΙΕΥΘΥΝΣΗ Π.Ε. ΑΡΓΟΛΙΔΑΣ"/>
    <x v="1"/>
  </r>
  <r>
    <x v="325"/>
    <x v="1"/>
    <s v="ΠΕ79.01"/>
    <s v="ΜΟΥΣΙΚΗΣ ΕΠΙΣΤΗΜΗΣ"/>
    <m/>
    <m/>
    <s v="Α΄"/>
    <n v="5"/>
    <m/>
    <m/>
    <s v="Α΄ ΠΕΙΡΑΙΑ (Π.Ε.) 2018"/>
    <s v="ΔΙΕΥΘΥΝΣΗ Π.Ε. ΠΕΙΡΑΙΑ"/>
    <s v="ΠΕΡΙΦΕΡΕΙΑΚΗ Δ/ΝΣΗ Α/ΘΜΙΑΣ ΚΑΙ Β/ΘΜΙΑΣ ΕΚΠ/ΣΗΣ ΑΤΤΙΚΗΣ"/>
    <n v="6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12-20T00:00:00"/>
    <x v="1"/>
    <s v="ΔΙΕΥΘΥΝΣΗ Π.Ε. ΠΕΙΡΑΙΑ"/>
    <x v="1"/>
  </r>
  <r>
    <x v="326"/>
    <x v="0"/>
    <s v="ΠΕ11"/>
    <s v="ΦΥΣΙΚΗΣ ΑΓΩΓΗΣ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6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0-07-08T00:00:00"/>
    <x v="1"/>
    <s v="ΔΙΕΥΘΥΝΣΗ Π.Ε. ΑΝΑΤ. ΘΕΣ/ΝΙΚΗΣ"/>
    <x v="1"/>
  </r>
  <r>
    <x v="327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4-17T00:00:00"/>
    <x v="0"/>
    <s v="ΔΙΕΥΘΥΝΣΗ Δ.Ε. ΑΝΑΤΟΛΙΚΗΣ ΑΤΤΙΚΗΣ"/>
    <x v="1"/>
  </r>
  <r>
    <x v="328"/>
    <x v="1"/>
    <s v="ΤΕ16"/>
    <s v="ΜΟΥΣΙΚΗΣ ΜΗ ΑΝΩΤΑΤΩΝ ΙΔΡΥΜΑΤΩΝ"/>
    <m/>
    <m/>
    <s v="Γ΄"/>
    <n v="1"/>
    <s v="3855/18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6"/>
    <d v="2018-09-01T00:00:00"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70-01-01T00:00:00"/>
    <x v="0"/>
    <s v="ΔΙΕΥΘΥΝΣΗ Δ.Ε. ΑΡΓΟΛΙΔΑΣ"/>
    <x v="1"/>
  </r>
  <r>
    <x v="329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12-07T00:00:00"/>
    <x v="0"/>
    <s v="ΔΙΕΥΘΥΝΣΗ Δ.Ε. ΑΝΑΤΟΛΙΚΗΣ ΑΤΤΙΚΗΣ"/>
    <x v="1"/>
  </r>
  <r>
    <x v="330"/>
    <x v="1"/>
    <s v="ΠΕ60"/>
    <s v="ΝΗΠΙΑΓΩΓ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6"/>
    <m/>
    <s v="Ιδιωτικά Σχολεία"/>
    <x v="1"/>
    <s v="7171019"/>
    <s v="ΙΔΙΩΤΙΚΟ ΝΗΠΙΑΓΩΓΕΙΟ ΧΕΡΣΟΝΗΣΟΥ ΚΥΡΙΑΚΑΚΗ Ε.ΛΑΜΠΡΑΚΗΣ Μ.&amp;ΣΙΑ ΟΕ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9-11-19T00:00:00"/>
    <x v="1"/>
    <s v="ΔΙΕΥΘΥΝΣΗ Π.Ε. ΗΡΑΚΛΕΙΟΥ"/>
    <x v="1"/>
  </r>
  <r>
    <x v="331"/>
    <x v="1"/>
    <s v="ΠΕ07"/>
    <s v="ΓΕΡΜΑΝ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7-31T00:00:00"/>
    <x v="0"/>
    <s v="ΔΙΕΥΘΥΝΣΗ Δ.Ε. ΑΝΑΤΟΛΙΚΗΣ ΑΤΤΙΚΗΣ"/>
    <x v="1"/>
  </r>
  <r>
    <x v="332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7-25T00:00:00"/>
    <x v="0"/>
    <s v="ΔΙΕΥΘΥΝΣΗ Δ.Ε. ΠΕΙΡΑΙΑ"/>
    <x v="1"/>
  </r>
  <r>
    <x v="333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6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10-09T00:00:00"/>
    <x v="0"/>
    <s v="ΔΙΕΥΘΥΝΣΗ Δ.Ε. Δ΄ ΑΘΗΝΑΣ"/>
    <x v="1"/>
  </r>
  <r>
    <x v="334"/>
    <x v="1"/>
    <s v="ΠΕ06"/>
    <s v="ΑΓΓΛΙΚΗΣ ΦΙΛΟΛΟΓΙΑΣ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6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8-27T00:00:00"/>
    <x v="0"/>
    <s v="ΔΙΕΥΘΥΝΣΗ Δ.Ε. Δ΄ ΑΘΗΝΑΣ"/>
    <x v="1"/>
  </r>
  <r>
    <x v="335"/>
    <x v="1"/>
    <s v="ΠΕ05"/>
    <s v="ΓΑΛΛΙΚΗΣ ΦΙΛΟΛΟΓΙΑΣ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6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5-03T00:00:00"/>
    <x v="0"/>
    <s v="ΔΙΕΥΘΥΝΣΗ Δ.Ε. Δ΄ ΑΘΗΝΑΣ"/>
    <x v="1"/>
  </r>
  <r>
    <x v="336"/>
    <x v="1"/>
    <s v="ΠΕ05"/>
    <s v="ΓΑΛΛΙΚΗΣ ΦΙΛΟΛΟΓΙΑΣ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6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8-01-01T00:00:00"/>
    <x v="0"/>
    <s v="ΔΙΕΥΘΥΝΣΗ Δ.Ε. ΔΥΤ. ΘΕΣ/ΝΙΚΗΣ"/>
    <x v="1"/>
  </r>
  <r>
    <x v="337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6"/>
    <m/>
    <s v="Ιδιωτικά Σχολεία"/>
    <x v="1"/>
    <s v="7361011"/>
    <s v="ΙΔΙΩΤΙΚΟ ΣΥΣΤΕΓΑΖΟΜΕΝΟ ΝΗΠΙΑΓΩΓΕΙΟ - ΤΟ ΠΕΡΙΒΟΛΙ ΤΗΣ ΓΙΑΓΙΑΣ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67-12-17T00:00:00"/>
    <x v="1"/>
    <s v="ΔΙΕΥΘΥΝΣΗ Π.Ε. ΜΕΣΣΗΝΙΑΣ"/>
    <x v="1"/>
  </r>
  <r>
    <x v="338"/>
    <x v="1"/>
    <s v="ΠΕ79.01"/>
    <s v="ΜΟΥΣΙΚΗΣ ΕΠΙΣΤΗΜ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8-13T00:00:00"/>
    <x v="1"/>
    <s v="ΔΙΕΥΘΥΝΣΗ Π.Ε. Β΄ ΑΘΗΝΑΣ"/>
    <x v="1"/>
  </r>
  <r>
    <x v="339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1"/>
    <s v="7052121"/>
    <s v="ΙΔΙΩΤΙΚΟ ΝΗΠΙΑΓΩΓΕΙΟ ΑΘΗΝΑ - ΙΔΙΩΤΙΚΟ ΝΗΠΙΑΓΩΓΕΙΟ ΑΝΑΣΤΑΣΙΑ ΧΡΗΣΤΑΚ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7-29T00:00:00"/>
    <x v="1"/>
    <s v="ΔΙΕΥΘΥΝΣΗ Π.Ε. Β΄ ΑΘΗΝΑΣ"/>
    <x v="1"/>
  </r>
  <r>
    <x v="340"/>
    <x v="0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6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6-07T00:00:00"/>
    <x v="0"/>
    <s v="ΔΙΕΥΘΥΝΣΗ Δ.Ε. ΠΕΙΡΑΙΑ"/>
    <x v="1"/>
  </r>
  <r>
    <x v="341"/>
    <x v="1"/>
    <s v="ΠΕ70"/>
    <s v="ΔΑΣΚΑΛΟΙ"/>
    <m/>
    <m/>
    <s v="Α΄"/>
    <n v="14"/>
    <m/>
    <m/>
    <s v="Δ΄ ΑΘΗΝΑΣ (Π.Ε.) 2018"/>
    <s v="ΔΙΕΥΘΥΝΣΗ Π.Ε. Δ΄ ΑΘΗΝΑΣ"/>
    <s v="ΠΕΡΙΦΕΡΕΙΑΚΗ Δ/ΝΣΗ Α/ΘΜΙΑΣ ΚΑΙ Β/ΘΜΙΑΣ ΕΚΠ/ΣΗΣ ΑΤΤΙΚΗΣ"/>
    <n v="6"/>
    <m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6-05-20T00:00:00"/>
    <x v="1"/>
    <s v="ΔΙΕΥΘΥΝΣΗ Π.Ε. Δ΄ ΑΘΗΝΑΣ"/>
    <x v="1"/>
  </r>
  <r>
    <x v="342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04-18T00:00:00"/>
    <x v="0"/>
    <s v="ΔΙΕΥΘΥΝΣΗ Δ.Ε. ΑΝΑΤΟΛΙΚΗΣ ΑΤΤΙΚΗΣ"/>
    <x v="1"/>
  </r>
  <r>
    <x v="343"/>
    <x v="1"/>
    <s v="ΠΕ79.01"/>
    <s v="ΜΟΥΣΙΚΗΣ ΕΠΙΣΤΗΜΗΣ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6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6-01-28T00:00:00"/>
    <x v="0"/>
    <s v="ΔΙΕΥΘΥΝΣΗ Δ.Ε. ΑΙΤΩΛΟΑΚΑΡΝΑΝΙΑΣ"/>
    <x v="1"/>
  </r>
  <r>
    <x v="344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10-22T00:00:00"/>
    <x v="0"/>
    <s v="ΔΙΕΥΘΥΝΣΗ Δ.Ε. ΑΝΑΤΟΛΙΚΗΣ ΑΤΤΙΚΗΣ"/>
    <x v="1"/>
  </r>
  <r>
    <x v="345"/>
    <x v="1"/>
    <s v="ΠΕ07"/>
    <s v="ΓΕΡΜΑΝ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7-19T00:00:00"/>
    <x v="0"/>
    <s v="ΔΙΕΥΘΥΝΣΗ Δ.Ε. ΑΝΑΤΟΛΙΚΗΣ ΑΤΤΙΚΗΣ"/>
    <x v="1"/>
  </r>
  <r>
    <x v="346"/>
    <x v="1"/>
    <s v="ΠΕ11"/>
    <s v="ΦΥΣΙΚΗΣ ΑΓΩΓΗΣ"/>
    <m/>
    <m/>
    <s v="Γ΄"/>
    <n v="1"/>
    <n v="2025"/>
    <d v="2018-09-01T00:00:00"/>
    <s v="Δ΄ ΑΘΗΝΑΣ (Π.Ε.) 2018"/>
    <s v="ΔΙΕΥΘΥΝΣΗ Π.Ε. Δ΄ ΑΘΗΝΑΣ"/>
    <s v="ΠΕΡΙΦΕΡΕΙΑΚΗ Δ/ΝΣΗ Α/ΘΜΙΑΣ ΚΑΙ Β/ΘΜΙΑΣ ΕΚΠ/ΣΗΣ ΑΤΤΙΚΗΣ"/>
    <n v="6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06-04T00:00:00"/>
    <x v="1"/>
    <s v="ΔΙΕΥΘΥΝΣΗ Π.Ε. Δ΄ ΑΘΗΝΑΣ"/>
    <x v="1"/>
  </r>
  <r>
    <x v="347"/>
    <x v="1"/>
    <s v="ΠΕ04.04"/>
    <s v="ΒΙ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4-07-26T00:00:00"/>
    <x v="0"/>
    <s v="ΔΙΕΥΘΥΝΣΗ Δ.Ε. ΑΝΑΤΟΛΙΚΗΣ ΑΤΤΙΚΗΣ"/>
    <x v="1"/>
  </r>
  <r>
    <x v="348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6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6-08T00:00:00"/>
    <x v="0"/>
    <s v="ΔΙΕΥΘΥΝΣΗ Δ.Ε. Β΄ ΑΘΗΝΑΣ"/>
    <x v="1"/>
  </r>
  <r>
    <x v="34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05-29T00:00:00"/>
    <x v="1"/>
    <s v="ΔΙΕΥΘΥΝΣΗ Π.Ε. Β΄ ΑΘΗΝΑΣ"/>
    <x v="1"/>
  </r>
  <r>
    <x v="350"/>
    <x v="1"/>
    <s v="ΠΕ03"/>
    <s v="ΜΑΘΗΜΑΤΙΚΟΙ"/>
    <m/>
    <m/>
    <s v="Γ΄"/>
    <n v="1"/>
    <n v="789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6"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64-04-23T00:00:00"/>
    <x v="0"/>
    <s v="ΔΙΕΥΘΥΝΣΗ Δ.Ε. ΔΩΔΕΚΑΝΗΣΟΥ"/>
    <x v="1"/>
  </r>
  <r>
    <x v="351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3-07-13T00:00:00"/>
    <x v="1"/>
    <s v="ΔΙΕΥΘΥΝΣΗ Π.Ε. Β΄ ΑΘΗΝΑΣ"/>
    <x v="1"/>
  </r>
  <r>
    <x v="352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2-06-15T00:00:00"/>
    <x v="1"/>
    <s v="ΔΙΕΥΘΥΝΣΗ Π.Ε. Β΄ ΑΘΗΝΑΣ"/>
    <x v="1"/>
  </r>
  <r>
    <x v="353"/>
    <x v="1"/>
    <s v="ΠΕ02"/>
    <s v="ΦΙΛΟΛΟΓΟΙ"/>
    <m/>
    <m/>
    <s v="Α΄"/>
    <n v="15"/>
    <m/>
    <m/>
    <s v="Α΄ ΑΘΗΝΑΣ (Δ.Ε.) 2018"/>
    <s v="ΔΙΕΥΘΥΝΣΗ Δ.Ε. Α΄ ΑΘΗΝΑΣ"/>
    <s v="ΠΕΡΙΦΕΡΕΙΑΚΗ Δ/ΝΣΗ Α/ΘΜΙΑΣ ΚΑΙ Β/ΘΜΙΑΣ ΕΚΠ/ΣΗΣ ΑΤΤΙΚΗΣ"/>
    <n v="6"/>
    <d v="1992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1-12-02T00:00:00"/>
    <x v="0"/>
    <s v="ΔΙΕΥΘΥΝΣΗ Δ.Ε. Α΄ ΑΘΗΝΑΣ"/>
    <x v="1"/>
  </r>
  <r>
    <x v="354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1-05-14T00:00:00"/>
    <x v="0"/>
    <s v="ΔΙΕΥΘΥΝΣΗ Δ.Ε. ΑΝΑΤΟΛΙΚΗΣ ΑΤΤΙΚΗΣ"/>
    <x v="1"/>
  </r>
  <r>
    <x v="355"/>
    <x v="1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6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12-09T00:00:00"/>
    <x v="0"/>
    <s v="ΔΙΕΥΘΥΝΣΗ Δ.Ε. Β΄ ΑΘΗΝΑΣ"/>
    <x v="1"/>
  </r>
  <r>
    <x v="356"/>
    <x v="0"/>
    <s v="ΠΕ03"/>
    <s v="ΜΑΘΗΜΑΤΙΚΟΙ"/>
    <m/>
    <m/>
    <s v="Γ΄"/>
    <n v="1"/>
    <m/>
    <d v="2004-08-25T00:00:00"/>
    <s v="ΣΕΡΡΩΝ (Δ.Ε.) 2018"/>
    <s v="ΔΙΕΥΘΥΝΣΗ Δ.Ε. ΣΕΡΡΩΝ"/>
    <s v="ΠΕΡΙΦΕΡΕΙΑΚΗ Δ/ΝΣΗ Α/ΘΜΙΑΣ ΚΑΙ Β/ΘΜΙΑΣ ΕΚΠ/ΣΗΣ ΚΕΝΤΡΙΚΗΣ ΜΑΚΕΔΟΝΙΑΣ"/>
    <n v="6"/>
    <d v="2004-08-25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0-03-30T00:00:00"/>
    <x v="0"/>
    <s v="ΔΙΕΥΘΥΝΣΗ Δ.Ε. ΣΕΡΡΩΝ"/>
    <x v="1"/>
  </r>
  <r>
    <x v="357"/>
    <x v="0"/>
    <s v="ΠΕ83"/>
    <s v="ΗΛΕΚΤΡΟΛΟΓΩΝ"/>
    <m/>
    <m/>
    <s v="Α΄"/>
    <n v="10"/>
    <s v="Φ.17/16539/9/24-10-2018"/>
    <d v="2018-09-01T00:00:00"/>
    <s v="ΑΧΑΪΑΣ (Δ.Ε.) 2018"/>
    <s v="ΔΙΕΥΘΥΝΣΗ Δ.Ε. ΑΧΑΪΑΣ"/>
    <s v="ΠΕΡΙΦΕΡΕΙΑΚΗ Δ/ΝΣΗ Α/ΘΜΙΑΣ ΚΑΙ Β/ΘΜΙΑΣ ΕΚΠ/ΣΗΣ ΔΥΤΙΚΗΣ ΕΛΛΑΔΑΣ"/>
    <n v="6"/>
    <d v="2018-09-01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58-10-10T00:00:00"/>
    <x v="0"/>
    <s v="ΔΙΕΥΘΥΝΣΗ Δ.Ε. ΑΧΑΪΑΣ"/>
    <x v="1"/>
  </r>
  <r>
    <x v="358"/>
    <x v="1"/>
    <s v="ΠΕ60"/>
    <s v="ΝΗΠΙΑΓΩΓΟΙ"/>
    <m/>
    <m/>
    <s v="Γ΄"/>
    <n v="1"/>
    <m/>
    <m/>
    <s v="ΑΡΓΟΛΙΔΑΣ (Π.Ε.) 2018"/>
    <s v="ΔΙΕΥΘΥΝΣΗ Π.Ε. ΑΡΓΟΛΙΔΑΣ"/>
    <s v="ΠΕΡΙΦΕΡΕΙΑΚΗ Δ/ΝΣΗ Α/ΘΜΙΑΣ ΚΑΙ Β/ΘΜΙΑΣ ΕΚΠ/ΣΗΣ ΠΕΛΟΠΟΝΝΗΣΟΥ"/>
    <n v="6"/>
    <m/>
    <s v="Ιδιωτικά Σχολεία"/>
    <x v="1"/>
    <s v="7021009"/>
    <s v="ΙΔΙΩΤΙΚΟ ΝΗΠΙΑΓΩΓΕΙΟ ΔΑΛΑΜΑΝΑΡΑ - ΟΝΕΙΡΟ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57-08-20T00:00:00"/>
    <x v="1"/>
    <s v="ΔΙΕΥΘΥΝΣΗ Π.Ε. ΑΡΓΟΛΙΔΑΣ"/>
    <x v="1"/>
  </r>
  <r>
    <x v="359"/>
    <x v="0"/>
    <s v="ΠΕ04.02"/>
    <s v="ΧΗΜΙΚΟΙ"/>
    <m/>
    <m/>
    <s v="Γ΄"/>
    <n v="1"/>
    <m/>
    <d v="2004-08-25T00:00:00"/>
    <s v="ΣΕΡΡΩΝ (Δ.Ε.) 2018"/>
    <s v="ΔΙΕΥΘΥΝΣΗ Δ.Ε. ΣΕΡΡΩΝ"/>
    <s v="ΠΕΡΙΦΕΡΕΙΑΚΗ Δ/ΝΣΗ Α/ΘΜΙΑΣ ΚΑΙ Β/ΘΜΙΑΣ ΕΚΠ/ΣΗΣ ΚΕΝΤΡΙΚΗΣ ΜΑΚΕΔΟΝΙΑΣ"/>
    <n v="6"/>
    <d v="2004-08-25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57-06-05T00:00:00"/>
    <x v="0"/>
    <s v="ΔΙΕΥΘΥΝΣΗ Δ.Ε. ΣΕΡΡΩΝ"/>
    <x v="1"/>
  </r>
  <r>
    <x v="360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6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57-01-09T00:00:00"/>
    <x v="1"/>
    <s v="ΔΙΕΥΘΥΝΣΗ Π.Ε. Β΄ ΑΘΗΝΑΣ"/>
    <x v="1"/>
  </r>
  <r>
    <x v="361"/>
    <x v="1"/>
    <s v="ΠΕ07"/>
    <s v="ΓΕΡΜΑΝΙΚΗΣ ΦΙΛΟΛΟΓΙΑΣ"/>
    <m/>
    <m/>
    <s v="Γ΄"/>
    <n v="1"/>
    <n v="3722"/>
    <d v="2018-09-11T00:00:00"/>
    <s v="ΑΡΓΟΛΙΔΑΣ (Δ.Ε.) 2018"/>
    <s v="ΔΙΕΥΘΥΝΣΗ Δ.Ε. ΑΡΓΟΛΙΔΑΣ"/>
    <s v="ΠΕΡΙΦΕΡΕΙΑΚΗ Δ/ΝΣΗ Α/ΘΜΙΑΣ ΚΑΙ Β/ΘΜΙΑΣ ΕΚΠ/ΣΗΣ ΠΕΛΟΠΟΝΝΗΣΟΥ"/>
    <n v="6"/>
    <d v="2018-09-11T00:00:00"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51-07-28T00:00:00"/>
    <x v="0"/>
    <s v="ΔΙΕΥΘΥΝΣΗ Δ.Ε. ΑΡΓΟΛΙΔΑΣ"/>
    <x v="1"/>
  </r>
  <r>
    <x v="362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363"/>
    <x v="1"/>
    <s v="ΠΕ05"/>
    <s v="ΓΑΛ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364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6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1"/>
  </r>
  <r>
    <x v="365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1"/>
  </r>
  <r>
    <x v="366"/>
    <x v="1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6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1"/>
  </r>
  <r>
    <x v="367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6"/>
    <m/>
    <s v="Ιδιωτικά Σχολεία"/>
    <x v="1"/>
    <s v="7521059"/>
    <s v="ΤΑ ΜΕΛΙΣΣΑΚΙΑ (ΑΘ. ΕΥΑΓΓΕΛΟΠΟΥΛΟΥ - ΕΥΑΓ. ΠΑΠΑΓΕΩΡΓΙΟΥ &amp; ΣΙΑ Ε.Ε.)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1"/>
  </r>
  <r>
    <x v="368"/>
    <x v="0"/>
    <s v="ΠΕ86"/>
    <s v="ΠΛΗΡΟΦΟΡΙΚΗΣ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6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m/>
    <x v="0"/>
    <s v="ΔΙΕΥΘΥΝΣΗ Δ.Ε. ΧΙΟΥ"/>
    <x v="1"/>
  </r>
  <r>
    <x v="369"/>
    <x v="1"/>
    <s v="ΠΕ02"/>
    <s v="ΦΙΛΟΛΟΓΟΙ"/>
    <m/>
    <m/>
    <s v="Γ΄"/>
    <n v="1"/>
    <n v="8345"/>
    <d v="2018-09-20T00:00:00"/>
    <s v="ΤΡΙΚΑΛΩΝ (Δ.Ε.) 2018"/>
    <s v="ΔΙΕΥΘΥΝΣΗ Δ.Ε. ΤΡΙΚΑΛΩΝ"/>
    <s v="ΠΕΡΙΦΕΡΕΙΑΚΗ Δ/ΝΣΗ Α/ΘΜΙΑΣ ΚΑΙ Β/ΘΜΙΑΣ ΕΚΠ/ΣΗΣ ΘΕΣΣΑΛΙΑΣ"/>
    <n v="6"/>
    <d v="2018-09-20T00:00:00"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0"/>
    <s v="Τοποθέτηση σε Ιδιωτική Εκπαίδευση"/>
    <m/>
    <x v="0"/>
    <s v="ΔΙΕΥΘΥΝΣΗ Δ.Ε. ΤΡΙΚΑΛΩΝ"/>
    <x v="1"/>
  </r>
  <r>
    <x v="370"/>
    <x v="1"/>
    <s v="ΠΕ86"/>
    <s v="ΠΛΗΡΟΦΟΡΙΚΗΣ"/>
    <m/>
    <m/>
    <s v="Γ΄"/>
    <n v="1"/>
    <s v="Φ.17/3558"/>
    <d v="2018-09-07T00:00:00"/>
    <s v="ΚΟΡΙΝΘΙΑΣ (Π.Ε.) 2018"/>
    <s v="ΔΙΕΥΘΥΝΣΗ Π.Ε. ΚΟΡΙΝΘΙΑΣ"/>
    <s v="ΠΕΡΙΦΕΡΕΙΑΚΗ Δ/ΝΣΗ Α/ΘΜΙΑΣ ΚΑΙ Β/ΘΜΙΑΣ ΕΚΠ/ΣΗΣ ΠΕΛΟΠΟΝΝΗΣΟΥ"/>
    <n v="6"/>
    <d v="2018-09-07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m/>
    <x v="1"/>
    <s v="ΔΙΕΥΘΥΝΣΗ Π.Ε. ΚΟΡΙΝΘΙΑΣ"/>
    <x v="1"/>
  </r>
  <r>
    <x v="371"/>
    <x v="1"/>
    <s v="ΠΕ78"/>
    <s v="ΚΟΙΝΩΝΙΚΩΝ ΕΠΙΣΤΗΜΩΝ"/>
    <m/>
    <m/>
    <s v="Γ΄"/>
    <n v="1"/>
    <n v="21565"/>
    <d v="2018-09-01T00:00:00"/>
    <s v="Β΄ ΑΘΗΝΑΣ (Δ.Ε.) 2018"/>
    <s v="ΔΙΕΥΘΥΝΣΗ Δ.Ε. Β΄ ΑΘΗΝΑΣ"/>
    <s v="ΠΕΡΙΦΕΡΕΙΑΚΗ Δ/ΝΣΗ Α/ΘΜΙΑΣ ΚΑΙ Β/ΘΜΙΑΣ ΕΚΠ/ΣΗΣ ΑΤΤΙΚΗΣ"/>
    <n v="7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10-08T00:00:00"/>
    <x v="0"/>
    <s v="ΔΙΕΥΘΥΝΣΗ Δ.Ε. Β΄ ΑΘΗΝΑΣ"/>
    <x v="1"/>
  </r>
  <r>
    <x v="372"/>
    <x v="0"/>
    <s v="ΠΕ11"/>
    <s v="ΦΥΣΙΚΗΣ ΑΓΩΓΗΣ"/>
    <m/>
    <m/>
    <s v="Γ΄"/>
    <n v="1"/>
    <n v="22517"/>
    <d v="2018-09-28T00:00:00"/>
    <s v="Γ΄ ΑΘΗΝΑΣ (Δ.Ε.) 2018"/>
    <s v="ΔΙΕΥΘΥΝΣΗ Δ.Ε. Γ΄ ΑΘΗΝΑΣ"/>
    <s v="ΠΕΡΙΦΕΡΕΙΑΚΗ Δ/ΝΣΗ Α/ΘΜΙΑΣ ΚΑΙ Β/ΘΜΙΑΣ ΕΚΠ/ΣΗΣ ΑΤΤΙΚΗΣ"/>
    <n v="7"/>
    <d v="2018-09-28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88-05-28T00:00:00"/>
    <x v="0"/>
    <s v="ΔΙΕΥΘΥΝΣΗ Δ.Ε. Γ΄ ΑΘΗΝΑΣ"/>
    <x v="1"/>
  </r>
  <r>
    <x v="373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7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8-28T00:00:00"/>
    <x v="0"/>
    <s v="ΔΙΕΥΘΥΝΣΗ Δ.Ε. Β΄ ΑΘΗΝΑΣ"/>
    <x v="1"/>
  </r>
  <r>
    <x v="374"/>
    <x v="1"/>
    <s v="ΠΕ86"/>
    <s v="ΠΛΗΡΟΦΟΡΙΚΗΣ"/>
    <m/>
    <m/>
    <s v="Γ΄"/>
    <n v="1"/>
    <n v="19174"/>
    <d v="2018-09-01T00:00:00"/>
    <s v="Α΄ ΠΕΙΡΑΙΑ (Π.Ε.) 2018"/>
    <s v="ΔΙΕΥΘΥΝΣΗ Π.Ε. ΠΕΙΡΑΙΑ"/>
    <s v="ΠΕΡΙΦΕΡΕΙΑΚΗ Δ/ΝΣΗ Α/ΘΜΙΑΣ ΚΑΙ Β/ΘΜΙΑΣ ΕΚΠ/ΣΗΣ ΑΤΤΙΚΗΣ"/>
    <n v="7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6-07-12T00:00:00"/>
    <x v="1"/>
    <s v="ΔΙΕΥΘΥΝΣΗ Π.Ε. ΠΕΙΡΑΙΑ"/>
    <x v="1"/>
  </r>
  <r>
    <x v="375"/>
    <x v="0"/>
    <s v="ΠΕ04.01"/>
    <s v="ΦΥΣΙΚΟΙ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7"/>
    <d v="2018-09-01T00:00:00"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5-11-05T00:00:00"/>
    <x v="0"/>
    <s v="ΔΙΕΥΘΥΝΣΗ Δ.Ε. ΠΕΙΡΑΙΑ"/>
    <x v="1"/>
  </r>
  <r>
    <x v="376"/>
    <x v="0"/>
    <s v="ΠΕ11"/>
    <s v="ΦΥΣΙΚΗΣ ΑΓΩΓ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7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5-08-23T00:00:00"/>
    <x v="0"/>
    <s v="ΔΙΕΥΘΥΝΣΗ Δ.Ε. Α΄ ΑΘΗΝΑΣ"/>
    <x v="1"/>
  </r>
  <r>
    <x v="377"/>
    <x v="0"/>
    <s v="ΠΕ81"/>
    <s v="ΠΟΛ.ΜΗΧΑΝΙΚΩΝ-ΑΡΧΙΤΕΚΤΟΝ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7-30T00:00:00"/>
    <x v="0"/>
    <s v="ΔΙΕΥΘΥΝΣΗ Δ.Ε. ΑΝΑΤΟΛΙΚΗΣ ΑΤΤΙΚΗΣ"/>
    <x v="1"/>
  </r>
  <r>
    <x v="378"/>
    <x v="0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3-12-20T00:00:00"/>
    <x v="0"/>
    <s v="ΔΙΕΥΘΥΝΣΗ Δ.Ε. ΑΝΑΤΟΛΙΚΗΣ ΑΤΤΙΚΗΣ"/>
    <x v="1"/>
  </r>
  <r>
    <x v="379"/>
    <x v="1"/>
    <s v="ΠΕ03"/>
    <s v="ΜΑΘΗΜΑΤΙΚΟΙ"/>
    <m/>
    <m/>
    <s v="Γ΄"/>
    <n v="1"/>
    <s v="Φ. 17.2_ A_/12926/11-10-2017"/>
    <d v="2018-09-01T00:00:00"/>
    <s v="ΑΧΑΪΑΣ (Δ.Ε.) 2018"/>
    <s v="ΔΙΕΥΘΥΝΣΗ Δ.Ε. ΑΧΑΪΑΣ"/>
    <s v="ΠΕΡΙΦΕΡΕΙΑΚΗ Δ/ΝΣΗ Α/ΘΜΙΑΣ ΚΑΙ Β/ΘΜΙΑΣ ΕΚΠ/ΣΗΣ ΔΥΤΙΚΗΣ ΕΛΛΑΔΑΣ"/>
    <n v="7"/>
    <d v="2018-09-01T00:00:00"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83-10-22T00:00:00"/>
    <x v="0"/>
    <s v="ΔΙΕΥΘΥΝΣΗ Δ.Ε. ΑΧΑΪΑΣ"/>
    <x v="1"/>
  </r>
  <r>
    <x v="380"/>
    <x v="1"/>
    <s v="ΠΕ01"/>
    <s v="ΘΕΟΛΟΓΟΙ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7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2-10-04T00:00:00"/>
    <x v="0"/>
    <s v="ΔΙΕΥΘΥΝΣΗ Δ.Ε. Δ΄ ΑΘΗΝΑΣ"/>
    <x v="1"/>
  </r>
  <r>
    <x v="381"/>
    <x v="1"/>
    <s v="ΠΕ79.02"/>
    <s v="ΤΕΧΝΟΛΟΓΟΙ ΜΟΥΣΙΚΗΣ ΤΕΧΝΟΛΟΓΙΑΣ, ΗΧΟΥ ΚΑΙ ΜΟΥΣΙΚΩΝ ΟΡΓΑΝΩΝ"/>
    <m/>
    <m/>
    <s v="Γ΄"/>
    <n v="1"/>
    <s v="Φ.17/6423"/>
    <d v="2018-09-01T00:00:00"/>
    <s v="ΚΟΡΙΝΘΙΑΣ (Π.Ε.) 2018"/>
    <s v="ΔΙΕΥΘΥΝΣΗ Π.Ε. ΚΟΡΙΝΘΙΑΣ"/>
    <s v="ΠΕΡΙΦΕΡΕΙΑΚΗ Δ/ΝΣΗ Α/ΘΜΙΑΣ ΚΑΙ Β/ΘΜΙΑΣ ΕΚΠ/ΣΗΣ ΠΕΛΟΠΟΝΝΗΣΟΥ"/>
    <n v="7"/>
    <d v="2018-09-01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2-06-29T00:00:00"/>
    <x v="1"/>
    <s v="ΔΙΕΥΘΥΝΣΗ Π.Ε. ΚΟΡΙΝΘΙΑΣ"/>
    <x v="1"/>
  </r>
  <r>
    <x v="382"/>
    <x v="1"/>
    <s v="ΠΕ06"/>
    <s v="ΑΓΓΛΙΚΗΣ ΦΙΛΟΛΟΓΙΑΣ"/>
    <m/>
    <m/>
    <s v="Γ΄"/>
    <n v="1"/>
    <s v="18279/41"/>
    <d v="2018-09-01T00:00:00"/>
    <s v="Γ΄ ΑΘΗΝΑΣ (Δ.Ε.) 2018"/>
    <s v="ΔΙΕΥΘΥΝΣΗ Δ.Ε. Γ΄ ΑΘΗΝΑΣ"/>
    <s v="ΠΕΡΙΦΕΡΕΙΑΚΗ Δ/ΝΣΗ Α/ΘΜΙΑΣ ΚΑΙ Β/ΘΜΙΑΣ ΕΚΠ/ΣΗΣ ΑΤΤΙΚΗΣ"/>
    <n v="7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82-06-04T00:00:00"/>
    <x v="0"/>
    <s v="ΔΙΕΥΘΥΝΣΗ Δ.Ε. Γ΄ ΑΘΗΝΑΣ"/>
    <x v="1"/>
  </r>
  <r>
    <x v="383"/>
    <x v="0"/>
    <s v="ΠΕ86"/>
    <s v="ΠΛΗΡΟΦΟΡΙΚΗΣ"/>
    <m/>
    <m/>
    <s v="Γ΄"/>
    <n v="1"/>
    <s v="18963/10-11-2017"/>
    <d v="2017-10-30T00:00:00"/>
    <s v="ΗΡΑΚΛΕΙΟΥ (Δ.Ε.) 2018"/>
    <s v="ΔΙΕΥΘΥΝΣΗ Δ.Ε. ΗΡΑΚΛΕΙΟΥ"/>
    <s v="ΠΕΡΙΦΕΡΕΙΑΚΗ Δ/ΝΣΗ Α/ΘΜΙΑΣ ΚΑΙ Β/ΘΜΙΑΣ ΕΚΠ/ΣΗΣ ΚΡΗΤΗΣ"/>
    <n v="7"/>
    <d v="2018-09-01T00:00:00"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0"/>
    <s v="Τοποθέτηση σε Ιδιωτική Εκπαίδευση"/>
    <d v="1981-04-02T00:00:00"/>
    <x v="0"/>
    <s v="ΔΙΕΥΘΥΝΣΗ Δ.Ε. ΗΡΑΚΛΕΙΟΥ"/>
    <x v="1"/>
  </r>
  <r>
    <x v="384"/>
    <x v="1"/>
    <s v="ΤΕ16"/>
    <s v="ΜΟΥΣΙΚΗΣ ΜΗ ΑΝΩΤΑΤΩΝ ΙΔΡΥΜΑΤΩΝ"/>
    <m/>
    <m/>
    <s v="Γ΄"/>
    <n v="1"/>
    <s v="19997/2"/>
    <d v="2018-09-01T00:00:00"/>
    <s v="Α΄ ΠΕΙΡΑΙΑ (Π.Ε.) 2018"/>
    <s v="ΔΙΕΥΘΥΝΣΗ Π.Ε. ΠΕΙΡΑΙΑ"/>
    <s v="ΠΕΡΙΦΕΡΕΙΑΚΗ Δ/ΝΣΗ Α/ΘΜΙΑΣ ΚΑΙ Β/ΘΜΙΑΣ ΕΚΠ/ΣΗΣ ΑΤΤΙΚΗΣ"/>
    <n v="7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1-01-07T00:00:00"/>
    <x v="1"/>
    <s v="ΔΙΕΥΘΥΝΣΗ Π.Ε. ΠΕΙΡΑΙΑ"/>
    <x v="1"/>
  </r>
  <r>
    <x v="385"/>
    <x v="1"/>
    <s v="ΠΕ81"/>
    <s v="ΠΟΛ.ΜΗΧΑΝΙΚΩΝ-ΑΡΧΙΤΕΚΤΟΝΩΝ"/>
    <m/>
    <m/>
    <s v="Γ΄"/>
    <n v="1"/>
    <s v="23851/3-9-2018"/>
    <d v="2018-09-03T00:00:00"/>
    <s v="ΛΑΡΙΣΑΣ (Δ.Ε.) 2018"/>
    <s v="ΔΙΕΥΘΥΝΣΗ Δ.Ε. ΛΑΡΙΣΑΣ"/>
    <s v="ΠΕΡΙΦΕΡΕΙΑΚΗ Δ/ΝΣΗ Α/ΘΜΙΑΣ ΚΑΙ Β/ΘΜΙΑΣ ΕΚΠ/ΣΗΣ ΘΕΣΣΑΛΙΑΣ"/>
    <n v="7"/>
    <d v="2018-09-03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0-07-01T00:00:00"/>
    <x v="0"/>
    <s v="ΔΙΕΥΘΥΝΣΗ Δ.Ε. ΛΑΡΙΣΑΣ"/>
    <x v="1"/>
  </r>
  <r>
    <x v="38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2-15T00:00:00"/>
    <x v="0"/>
    <s v="ΔΙΕΥΘΥΝΣΗ Δ.Ε. Β΄ ΑΘΗΝΑΣ"/>
    <x v="1"/>
  </r>
  <r>
    <x v="387"/>
    <x v="0"/>
    <s v="ΠΕ08"/>
    <s v="ΚΑΛΛΙΤΕΧ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7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Δ΄ ΑΘΗΝΑΣ"/>
    <x v="1"/>
  </r>
  <r>
    <x v="388"/>
    <x v="1"/>
    <s v="ΠΕ07"/>
    <s v="ΓΕΡΜΑΝ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7"/>
    <m/>
    <s v="Ιδιωτικά Σχολεία"/>
    <x v="4"/>
    <s v="7521060"/>
    <s v="ΙΔΙΩΤΙΚΟ ΔΗΜΟΤΙΚΟ ΣΧΟΛΕΙΟ - ΔΕΣ ΔΗΜΟΤΙΚΟ ΙΚΕ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79-09-22T00:00:00"/>
    <x v="1"/>
    <s v="ΔΙΕΥΘΥΝΣΗ Π.Ε. ΑΝΑΤΟΛΙΚΗΣ ΑΤΤΙΚΗΣ"/>
    <x v="1"/>
  </r>
  <r>
    <x v="389"/>
    <x v="0"/>
    <s v="ΠΕ80"/>
    <s v="ΟΙΚΟΝΟΜΙΑΣ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7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9-07-19T00:00:00"/>
    <x v="0"/>
    <s v="ΔΙΕΥΘΥΝΣΗ Δ.Ε. ΚΟΡΙΝΘΙΑΣ"/>
    <x v="1"/>
  </r>
  <r>
    <x v="390"/>
    <x v="0"/>
    <s v="ΠΕ86"/>
    <s v="ΠΛΗΡΟΦΟΡΙΚΗ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7"/>
    <m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9-01-22T00:00:00"/>
    <x v="0"/>
    <s v="ΔΙΕΥΘΥΝΣΗ Δ.Ε. ΑΧΑΪΑΣ"/>
    <x v="1"/>
  </r>
  <r>
    <x v="391"/>
    <x v="0"/>
    <s v="ΠΕ04.01"/>
    <s v="ΦΥΣΙΚΟΙ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7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9-01-01T00:00:00"/>
    <x v="0"/>
    <s v="ΔΙΕΥΘΥΝΣΗ Δ.Ε. ΠΕΙΡΑΙΑ"/>
    <x v="1"/>
  </r>
  <r>
    <x v="392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1-19T00:00:00"/>
    <x v="0"/>
    <s v="ΔΙΕΥΘΥΝΣΗ Δ.Ε. Β΄ ΑΘΗΝΑΣ"/>
    <x v="1"/>
  </r>
  <r>
    <x v="393"/>
    <x v="1"/>
    <s v="ΠΕ03"/>
    <s v="ΜΑΘΗΜΑΤΙΚΟΙ"/>
    <m/>
    <m/>
    <s v="Γ΄"/>
    <n v="1"/>
    <s v="Φ.17/16539/3/24-10-2018"/>
    <d v="2018-09-10T00:00:00"/>
    <s v="ΑΧΑΪΑΣ (Δ.Ε.) 2018"/>
    <s v="ΔΙΕΥΘΥΝΣΗ Δ.Ε. ΑΧΑΪΑΣ"/>
    <s v="ΠΕΡΙΦΕΡΕΙΑΚΗ Δ/ΝΣΗ Α/ΘΜΙΑΣ ΚΑΙ Β/ΘΜΙΑΣ ΕΚΠ/ΣΗΣ ΔΥΤΙΚΗΣ ΕΛΛΑΔΑΣ"/>
    <n v="7"/>
    <d v="2018-09-10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77-06-16T00:00:00"/>
    <x v="0"/>
    <s v="ΔΙΕΥΘΥΝΣΗ Δ.Ε. ΑΧΑΪΑΣ"/>
    <x v="1"/>
  </r>
  <r>
    <x v="394"/>
    <x v="1"/>
    <s v="ΠΕ05"/>
    <s v="ΓΑΛΛΙΚΗΣ ΦΙΛΟΛΟΓΙΑΣ"/>
    <m/>
    <m/>
    <s v="Β΄"/>
    <n v="3"/>
    <s v="Φ.Ι.Α.1/736/15-1-2013"/>
    <d v="2012-09-01T00:00:00"/>
    <s v="Α΄ ΑΝΑΤ. ΑΤΤΙΚΗΣ (Δ.Ε.) 2018"/>
    <s v="ΔΙΕΥΘΥΝΣΗ Δ.Ε. ΑΝΑΤΟΛΙΚΗΣ ΑΤΤΙΚΗΣ"/>
    <s v="ΠΕΡΙΦΕΡΕΙΑΚΗ Δ/ΝΣΗ Α/ΘΜΙΑΣ ΚΑΙ Β/ΘΜΙΑΣ ΕΚΠ/ΣΗΣ ΑΤΤΙΚΗΣ"/>
    <n v="7"/>
    <d v="2012-09-01T00:00:00"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9-09T00:00:00"/>
    <x v="0"/>
    <s v="ΔΙΕΥΘΥΝΣΗ Δ.Ε. ΑΝΑΤΟΛΙΚΗΣ ΑΤΤΙΚΗΣ"/>
    <x v="1"/>
  </r>
  <r>
    <x v="39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6-15T00:00:00"/>
    <x v="0"/>
    <s v="ΔΙΕΥΘΥΝΣΗ Δ.Ε. Β΄ ΑΘΗΝΑΣ"/>
    <x v="1"/>
  </r>
  <r>
    <x v="396"/>
    <x v="1"/>
    <s v="ΠΕ08"/>
    <s v="ΚΑΛΛΙΤΕΧΝΙΚ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2-24T00:00:00"/>
    <x v="0"/>
    <s v="ΔΙΕΥΘΥΝΣΗ Δ.Ε. ΑΝΑΤΟΛΙΚΗΣ ΑΤΤΙΚΗΣ"/>
    <x v="1"/>
  </r>
  <r>
    <x v="397"/>
    <x v="0"/>
    <s v="ΠΕ02"/>
    <s v="ΦΙΛΟΛΟΓΟΙ"/>
    <s v="ΠΕ01"/>
    <s v="ΘΕΟΛΟΓ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ΑΝΑΤΟΛΙΚΗΣ ΑΤΤΙΚΗΣ"/>
    <x v="1"/>
  </r>
  <r>
    <x v="398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7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4-01-01T00:00:00"/>
    <x v="0"/>
    <s v="ΔΙΕΥΘΥΝΣΗ Δ.Ε. Β΄ ΑΘΗΝΑΣ"/>
    <x v="1"/>
  </r>
  <r>
    <x v="399"/>
    <x v="1"/>
    <s v="ΠΕ78"/>
    <s v="ΚΟΙΝΩΝΙΚΩΝ ΕΠΙΣΤΗΜΩΝ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7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2-10-16T00:00:00"/>
    <x v="0"/>
    <s v="ΔΙΕΥΘΥΝΣΗ Δ.Ε. ΑΙΤΩΛΟΑΚΑΡΝΑΝΙΑΣ"/>
    <x v="1"/>
  </r>
  <r>
    <x v="400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7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10-13T00:00:00"/>
    <x v="0"/>
    <s v="ΔΙΕΥΘΥΝΣΗ Δ.Ε. ΠΕΙΡΑΙΑ"/>
    <x v="1"/>
  </r>
  <r>
    <x v="401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7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3-19T00:00:00"/>
    <x v="0"/>
    <s v="ΔΙΕΥΘΥΝΣΗ Δ.Ε. Δ΄ ΑΘΗΝΑΣ"/>
    <x v="1"/>
  </r>
  <r>
    <x v="402"/>
    <x v="0"/>
    <s v="ΠΕ11"/>
    <s v="ΦΥΣΙΚΗΣ ΑΓΩΓΗ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8-28T00:00:00"/>
    <x v="0"/>
    <s v="ΔΙΕΥΘΥΝΣΗ Δ.Ε. ΑΝΑΤΟΛΙΚΗΣ ΑΤΤΙΚΗΣ"/>
    <x v="1"/>
  </r>
  <r>
    <x v="403"/>
    <x v="0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6-12T00:00:00"/>
    <x v="0"/>
    <s v="ΔΙΕΥΘΥΝΣΗ Δ.Ε. ΑΝΑΤΟΛΙΚΗΣ ΑΤΤΙΚΗΣ"/>
    <x v="1"/>
  </r>
  <r>
    <x v="404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7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5-27T00:00:00"/>
    <x v="0"/>
    <s v="ΔΙΕΥΘΥΝΣΗ Δ.Ε. ΠΕΙΡΑΙΑ"/>
    <x v="1"/>
  </r>
  <r>
    <x v="405"/>
    <x v="1"/>
    <s v="ΠΕ04.01"/>
    <s v="ΦΥΣΙΚΟΙ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7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8-10-10T00:00:00"/>
    <x v="0"/>
    <s v="ΔΙΕΥΘΥΝΣΗ Δ.Ε. ΠΕΙΡΑΙΑ"/>
    <x v="1"/>
  </r>
  <r>
    <x v="406"/>
    <x v="1"/>
    <s v="ΠΕ79.01"/>
    <s v="ΜΟΥΣΙΚΗΣ ΕΠΙΣΤΗΜΗΣ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7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67-12-02T00:00:00"/>
    <x v="1"/>
    <s v="ΔΙΕΥΘΥΝΣΗ Π.Ε. ΚΥΚΛΑΔΩΝ"/>
    <x v="1"/>
  </r>
  <r>
    <x v="407"/>
    <x v="0"/>
    <s v="ΠΕ04.01"/>
    <s v="ΦΥΣΙΚΟΙ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m/>
    <s v="Ιδιωτικά Σχολεία"/>
    <x v="2"/>
    <s v="1981911"/>
    <s v="ΑΜΕΡΙΚΑΝΙΚΟ ΚΟΛΛΕΓΙΟ &quot;ΑΝΑΤΟΛΙΑ&quot;  1ο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4-22T00:00:00"/>
    <x v="0"/>
    <s v="ΔΙΕΥΘΥΝΣΗ Δ.Ε. ΑΝΑΤ. ΘΕΣ/ΝΙΚΗΣ"/>
    <x v="1"/>
  </r>
  <r>
    <x v="408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7"/>
    <d v="2018-09-01T00:00:00"/>
    <s v="Ιδιωτικά Σχολεία"/>
    <x v="3"/>
    <s v="0590907"/>
    <s v="ΕΛΛΗΝΟΓΑΛΛΙΚΗ ΣΧΟΛΗ ΟΥΡΣΟΥΛΙΝΩΝ - ΙΔΙΩΤΙΚΟ ΓΕΝΙΚΟ ΛΥΚΕ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2-03T00:00:00"/>
    <x v="0"/>
    <s v="ΔΙΕΥΘΥΝΣΗ Δ.Ε. Β΄ ΑΘΗΝΑΣ"/>
    <x v="1"/>
  </r>
  <r>
    <x v="409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9-27T00:00:00"/>
    <x v="0"/>
    <s v="ΔΙΕΥΘΥΝΣΗ Δ.Ε. Β΄ ΑΘΗΝΑΣ"/>
    <x v="1"/>
  </r>
  <r>
    <x v="410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6-14T00:00:00"/>
    <x v="0"/>
    <s v="ΔΙΕΥΘΥΝΣΗ Δ.Ε. Β΄ ΑΘΗΝΑΣ"/>
    <x v="1"/>
  </r>
  <r>
    <x v="411"/>
    <x v="0"/>
    <s v="ΠΕ86"/>
    <s v="ΠΛΗΡΟΦΟΡΙΚΗΣ"/>
    <s v="ΠΕ04.01"/>
    <s v="ΦΥΣΙΚΟΙ"/>
    <s v="Α΄"/>
    <n v="13"/>
    <m/>
    <m/>
    <s v="Δ΄ ΑΘΗΝΑΣ (Δ.Ε.) 2018"/>
    <s v="ΔΙΕΥΘΥΝΣΗ Δ.Ε. Δ΄ ΑΘΗΝΑΣ"/>
    <s v="ΠΕΡΙΦΕΡΕΙΑΚΗ Δ/ΝΣΗ Α/ΘΜΙΑΣ ΚΑΙ Β/ΘΜΙΑΣ ΕΚΠ/ΣΗΣ ΑΤΤΙΚΗΣ"/>
    <n v="7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4-12T00:00:00"/>
    <x v="0"/>
    <s v="ΔΙΕΥΘΥΝΣΗ Δ.Ε. Δ΄ ΑΘΗΝΑΣ"/>
    <x v="1"/>
  </r>
  <r>
    <x v="412"/>
    <x v="1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03-20T00:00:00"/>
    <x v="0"/>
    <s v="ΔΙΕΥΘΥΝΣΗ Δ.Ε. ΑΝΑΤΟΛΙΚΗΣ ΑΤΤΙΚΗΣ"/>
    <x v="1"/>
  </r>
  <r>
    <x v="413"/>
    <x v="0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7-01T00:00:00"/>
    <x v="0"/>
    <s v="ΔΙΕΥΘΥΝΣΗ Δ.Ε. ΑΝΑΤΟΛΙΚΗΣ ΑΤΤΙΚΗΣ"/>
    <x v="1"/>
  </r>
  <r>
    <x v="414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5-26T00:00:00"/>
    <x v="0"/>
    <s v="ΔΙΕΥΘΥΝΣΗ Δ.Ε. Β΄ ΑΘΗΝΑΣ"/>
    <x v="1"/>
  </r>
  <r>
    <x v="415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04-30T00:00:00"/>
    <x v="0"/>
    <s v="ΔΙΕΥΘΥΝΣΗ Δ.Ε. ΑΝΑΤ. ΘΕΣ/ΝΙΚΗΣ"/>
    <x v="1"/>
  </r>
  <r>
    <x v="416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7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4-25T00:00:00"/>
    <x v="0"/>
    <s v="ΔΙΕΥΘΥΝΣΗ Δ.Ε. Β΄ ΑΘΗΝΑΣ"/>
    <x v="1"/>
  </r>
  <r>
    <x v="417"/>
    <x v="0"/>
    <s v="ΠΕ04.01"/>
    <s v="ΦΥΣ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6-06-27T00:00:00"/>
    <x v="0"/>
    <s v="ΔΙΕΥΘΥΝΣΗ Δ.Ε. ΑΝΑΤ. ΘΕΣ/ΝΙΚΗΣ"/>
    <x v="1"/>
  </r>
  <r>
    <x v="418"/>
    <x v="1"/>
    <s v="ΠΕ01"/>
    <s v="ΘΕ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419"/>
    <x v="0"/>
    <s v="ΠΕ01"/>
    <s v="ΘΕ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7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1"/>
  </r>
  <r>
    <x v="420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7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1"/>
  </r>
  <r>
    <x v="421"/>
    <x v="1"/>
    <s v="ΠΕ79.01"/>
    <s v="ΜΟΥΣΙΚΗΣ ΕΠΙΣΤΗΜ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7"/>
    <m/>
    <s v="Ιδιωτικά Σχολεία"/>
    <x v="4"/>
    <s v="7052036"/>
    <s v="ΙΔΙΩΤΙΚΟ ΔΗΜΟΤΙΚ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1"/>
  </r>
  <r>
    <x v="422"/>
    <x v="0"/>
    <s v="ΠΕ86"/>
    <s v="ΠΛΗΡΟΦΟΡΙΚ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7"/>
    <m/>
    <s v="Ιδιωτικά Σχολεία"/>
    <x v="3"/>
    <s v="1980030"/>
    <s v="ΙΔΙΩΤΙΚΟ ΗΜΕΡΗΣΙΟ ΛΥΚΕΙΟ ΘΕΣΣΑΛΟΝΙΚΗΣ &quot; ΕΚΠΑΙΔΕΥΤΗΡΙΑ ΒΑΣΙΛΕΙΑΔΗ 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1"/>
  </r>
  <r>
    <x v="423"/>
    <x v="1"/>
    <s v="ΠΕ02"/>
    <s v="ΦΙΛΟΛΟΓΟΙ"/>
    <m/>
    <m/>
    <s v="Α΄"/>
    <n v="9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2000-01-01T00:00:00"/>
    <x v="0"/>
    <s v="ΔΙΕΥΘΥΝΣΗ Δ.Ε. Β΄ ΑΘΗΝΑΣ"/>
    <x v="1"/>
  </r>
  <r>
    <x v="424"/>
    <x v="1"/>
    <s v="ΠΕ11"/>
    <s v="ΦΥΣΙΚΗΣ ΑΓΩΓΗΣ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8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95-06-29T00:00:00"/>
    <x v="0"/>
    <s v="ΔΙΕΥΘΥΝΣΗ Δ.Ε. ΧΙΟΥ"/>
    <x v="1"/>
  </r>
  <r>
    <x v="425"/>
    <x v="1"/>
    <s v="ΠΕ06"/>
    <s v="ΑΓΓΛΙΚΗΣ ΦΙΛΟΛΟΓΙΑΣ"/>
    <m/>
    <m/>
    <s v="Γ΄"/>
    <n v="1"/>
    <d v="2018-09-18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4-07-29T00:00:00"/>
    <x v="1"/>
    <s v="ΔΙΕΥΘΥΝΣΗ Π.Ε. ΑΝΑΤ. ΘΕΣ/ΝΙΚΗΣ"/>
    <x v="1"/>
  </r>
  <r>
    <x v="426"/>
    <x v="1"/>
    <s v="ΠΕ03"/>
    <s v="ΜΑΘΗΜΑΤΙΚΟΙ"/>
    <m/>
    <m/>
    <s v="Γ΄"/>
    <n v="1"/>
    <n v="1635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93-01-21T00:00:00"/>
    <x v="0"/>
    <s v="ΔΙΕΥΘΥΝΣΗ Δ.Ε. ΔΥΤ. ΘΕΣ/ΝΙΚΗΣ"/>
    <x v="1"/>
  </r>
  <r>
    <x v="427"/>
    <x v="1"/>
    <s v="ΠΕ06"/>
    <s v="ΑΓΓΛΙΚΗΣ ΦΙΛΟΛΟΓΙΑΣ"/>
    <m/>
    <m/>
    <s v="Γ΄"/>
    <n v="1"/>
    <s v="Φ.17.2/11663"/>
    <d v="2018-09-01T00:00:00"/>
    <s v="ΧΑΝΙΩΝ (Π.Ε.) 2018"/>
    <s v="ΔΙΕΥΘΥΝΣΗ Π.Ε. ΧΑΝΙΩΝ"/>
    <s v="ΠΕΡΙΦΕΡΕΙΑΚΗ Δ/ΝΣΗ Α/ΘΜΙΑΣ ΚΑΙ Β/ΘΜΙΑΣ ΕΚΠ/ΣΗΣ ΚΡΗΤΗΣ"/>
    <n v="8"/>
    <d v="2018-09-01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91-08-06T00:00:00"/>
    <x v="1"/>
    <s v="ΔΙΕΥΘΥΝΣΗ Π.Ε. ΧΑΝΙΩΝ"/>
    <x v="1"/>
  </r>
  <r>
    <x v="428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1"/>
    <s v="7521145"/>
    <s v="ΙΔΙΩΤΙΚΟ ΝΗΠΙΑΓΩΓΕΙΟ - ΕΛΛΗΝΟΑΓΓΛΙΚΗ ΓΝΩΣΗ ΚΑΙ ΠΑΙΔΕΙ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11-04T00:00:00"/>
    <x v="1"/>
    <s v="ΔΙΕΥΘΥΝΣΗ Π.Ε. ΑΝΑΤΟΛΙΚΗΣ ΑΤΤΙΚΗΣ"/>
    <x v="1"/>
  </r>
  <r>
    <x v="429"/>
    <x v="1"/>
    <s v="ΠΕ07"/>
    <s v="ΓΕΡΜΑΝΙΚΗΣ ΦΙΛΟΛΟΓΙΑΣ"/>
    <m/>
    <m/>
    <s v="Γ΄"/>
    <n v="1"/>
    <s v="Φ.17.2/7373"/>
    <d v="2018-09-01T00:00:00"/>
    <s v="ΧΑΝΙΩΝ (Π.Ε.) 2018"/>
    <s v="ΔΙΕΥΘΥΝΣΗ Π.Ε. ΧΑΝΙΩΝ"/>
    <s v="ΠΕΡΙΦΕΡΕΙΑΚΗ Δ/ΝΣΗ Α/ΘΜΙΑΣ ΚΑΙ Β/ΘΜΙΑΣ ΕΚΠ/ΣΗΣ ΚΡΗΤΗΣ"/>
    <n v="8"/>
    <d v="2018-09-01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9-10-31T00:00:00"/>
    <x v="1"/>
    <s v="ΔΙΕΥΘΥΝΣΗ Π.Ε. ΧΑΝΙΩΝ"/>
    <x v="1"/>
  </r>
  <r>
    <x v="430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m/>
    <s v="Ιδιωτικά Σχολεία"/>
    <x v="1"/>
    <s v="7191089"/>
    <s v="Ν.ΝΙΚΟΛΑΪΔΗΣ ΕΠΕ (BABY SCHOOL ΕΠΕ)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8-02-28T00:00:00"/>
    <x v="1"/>
    <s v="ΔΙΕΥΘΥΝΣΗ Π.Ε. ΑΝΑΤ. ΘΕΣ/ΝΙΚΗΣ"/>
    <x v="1"/>
  </r>
  <r>
    <x v="431"/>
    <x v="1"/>
    <s v="ΠΕ06"/>
    <s v="ΑΓΓΛΙΚΗΣ ΦΙΛΟΛΟΓΙΑΣ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8"/>
    <d v="2018-09-12T00:00:00"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7-11-17T00:00:00"/>
    <x v="0"/>
    <s v="ΔΙΕΥΘΥΝΣΗ Δ.Ε. Δ΄ ΑΘΗΝΑΣ"/>
    <x v="1"/>
  </r>
  <r>
    <x v="432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1"/>
    <s v="7521149"/>
    <s v="ΙΔΙΩΤΙΚΟ ΣΥΣΤΕΓΑΖΟΜΕΝΟ ΝΗΠΙΑΓΩΓΕΙΟ - ΜΑΓΙΚΗ ΚΙΜΩΛΙΑ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8-09T00:00:00"/>
    <x v="1"/>
    <s v="ΔΙΕΥΘΥΝΣΗ Π.Ε. ΑΝΑΤΟΛΙΚΗΣ ΑΤΤΙΚΗΣ"/>
    <x v="1"/>
  </r>
  <r>
    <x v="433"/>
    <x v="1"/>
    <s v="ΠΕ03"/>
    <s v="ΜΑΘΗΜΑΤΙΚΟΙ"/>
    <m/>
    <m/>
    <s v="Γ΄"/>
    <n v="1"/>
    <n v="14670"/>
    <d v="2018-09-10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d v="2018-09-10T00:00:00"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87-08-09T00:00:00"/>
    <x v="0"/>
    <s v="ΔΙΕΥΘΥΝΣΗ Δ.Ε. ΔΥΤ. ΘΕΣ/ΝΙΚΗΣ"/>
    <x v="1"/>
  </r>
  <r>
    <x v="434"/>
    <x v="1"/>
    <s v="ΠΕ04.05"/>
    <s v="ΓΕΩΛΟΓΟΙ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8"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7-06-09T00:00:00"/>
    <x v="0"/>
    <s v="ΔΙΕΥΘΥΝΣΗ Δ.Ε. ΔΩΔΕΚΑΝΗΣΟΥ"/>
    <x v="1"/>
  </r>
  <r>
    <x v="435"/>
    <x v="1"/>
    <s v="ΠΕ11"/>
    <s v="ΦΥΣΙΚΗΣ ΑΓΩΓΗΣ"/>
    <m/>
    <m/>
    <s v="Γ΄"/>
    <n v="1"/>
    <s v="Φ17/664/21-1-2014"/>
    <d v="2018-09-01T00:00:00"/>
    <s v="Α΄ ΕΥΒΟΙΑΣ (Π.Ε.) 2018"/>
    <s v="ΔΙΕΥΘΥΝΣΗ Π.Ε. ΕΥΒΟΙΑΣ"/>
    <s v="ΠΕΡΙΦΕΡΕΙΑΚΗ Δ/ΝΣΗ Α/ΘΜΙΑΣ ΚΑΙ Β/ΘΜΙΑΣ ΕΚΠ/ΣΗΣ ΣΤΕΡΕΑΣ ΕΛΛΑΔΑΣ"/>
    <n v="8"/>
    <d v="2018-09-01T00:00:00"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7-05-22T00:00:00"/>
    <x v="1"/>
    <s v="ΔΙΕΥΘΥΝΣΗ Π.Ε. ΕΥΒΟΙΑΣ"/>
    <x v="1"/>
  </r>
  <r>
    <x v="436"/>
    <x v="1"/>
    <s v="ΠΕ02"/>
    <s v="ΦΙΛΟΛΟΓΟΙ"/>
    <m/>
    <m/>
    <s v="Γ΄"/>
    <n v="1"/>
    <s v="ΑΠ1893102"/>
    <d v="2018-09-11T00:00:00"/>
    <s v="Α΄ ΜΑΓΝΗΣΙΑΣ (Δ.Ε.) 2018"/>
    <s v="ΔΙΕΥΘΥΝΣΗ Δ.Ε. ΜΑΓΝΗΣΙΑΣ"/>
    <s v="ΠΕΡΙΦΕΡΕΙΑΚΗ Δ/ΝΣΗ Α/ΘΜΙΑΣ ΚΑΙ Β/ΘΜΙΑΣ ΕΚΠ/ΣΗΣ ΘΕΣΣΑΛΙΑΣ"/>
    <n v="8"/>
    <d v="2018-09-11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7-02-27T00:00:00"/>
    <x v="0"/>
    <s v="ΔΙΕΥΘΥΝΣΗ Δ.Ε. ΜΑΓΝΗΣΙΑΣ"/>
    <x v="1"/>
  </r>
  <r>
    <x v="437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87-01-01T00:00:00"/>
    <x v="1"/>
    <s v="ΔΙΕΥΘΥΝΣΗ Π.Ε. Α΄ ΑΘΗΝΑΣ"/>
    <x v="1"/>
  </r>
  <r>
    <x v="438"/>
    <x v="1"/>
    <s v="ΠΕ91.01"/>
    <s v="ΘΕΑΤΡΙΚΩΝ ΣΠΟΥΔΩΝ"/>
    <m/>
    <m/>
    <s v="Γ΄"/>
    <n v="1"/>
    <s v="ΨΔΧΟ4653ΠΣ-ΦΟΡ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8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86-06-11T00:00:00"/>
    <x v="1"/>
    <s v="ΔΙΕΥΘΥΝΣΗ Π.Ε. ΑΙΤΩΛΟΑΚΑΡΝΑΝΙΑΣ"/>
    <x v="1"/>
  </r>
  <r>
    <x v="439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5-11-22T00:00:00"/>
    <x v="0"/>
    <s v="ΔΙΕΥΘΥΝΣΗ Δ.Ε. ΠΕΙΡΑΙΑ"/>
    <x v="1"/>
  </r>
  <r>
    <x v="440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1"/>
    <s v="7051055"/>
    <s v="Β. &amp; Π. ΚΑΝΤΕΡΕ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5-03-02T00:00:00"/>
    <x v="1"/>
    <s v="ΔΙΕΥΘΥΝΣΗ Π.Ε. Α΄ ΑΘΗΝΑΣ"/>
    <x v="1"/>
  </r>
  <r>
    <x v="441"/>
    <x v="1"/>
    <s v="ΠΕ02"/>
    <s v="ΦΙΛΟΛΟΓΟΙ"/>
    <m/>
    <m/>
    <s v="Γ΄"/>
    <n v="1"/>
    <s v="Φ.17/16539/2/24-10-2018"/>
    <d v="2018-09-19T00:00:00"/>
    <s v="ΑΧΑΪΑΣ (Δ.Ε.) 2018"/>
    <s v="ΔΙΕΥΘΥΝΣΗ Δ.Ε. ΑΧΑΪΑΣ"/>
    <s v="ΠΕΡΙΦΕΡΕΙΑΚΗ Δ/ΝΣΗ Α/ΘΜΙΑΣ ΚΑΙ Β/ΘΜΙΑΣ ΕΚΠ/ΣΗΣ ΔΥΤΙΚΗΣ ΕΛΛΑΔΑΣ"/>
    <n v="8"/>
    <d v="2018-09-19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84-12-19T00:00:00"/>
    <x v="0"/>
    <s v="ΔΙΕΥΘΥΝΣΗ Δ.Ε. ΑΧΑΪΑΣ"/>
    <x v="1"/>
  </r>
  <r>
    <x v="442"/>
    <x v="1"/>
    <s v="ΠΕ07"/>
    <s v="ΓΕΡΜΑΝ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8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4-07-10T00:00:00"/>
    <x v="1"/>
    <s v="ΔΙΕΥΘΥΝΣΗ Π.Ε. ΠΕΙΡΑΙΑ"/>
    <x v="1"/>
  </r>
  <r>
    <x v="443"/>
    <x v="1"/>
    <s v="ΠΕ03"/>
    <s v="ΜΑΘΗΜΑΤΙΚΟΙ"/>
    <m/>
    <m/>
    <s v="Γ΄"/>
    <n v="1"/>
    <n v="16642"/>
    <d v="2018-09-1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d v="2018-09-1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84-01-01T00:00:00"/>
    <x v="0"/>
    <s v="ΔΙΕΥΘΥΝΣΗ Δ.Ε. ΔΥΤ. ΘΕΣ/ΝΙΚΗΣ"/>
    <x v="1"/>
  </r>
  <r>
    <x v="444"/>
    <x v="0"/>
    <s v="ΠΕ86"/>
    <s v="ΠΛΗΡΟΦΟΡΙΚ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3-11-29T00:00:00"/>
    <x v="0"/>
    <s v="ΔΙΕΥΘΥΝΣΗ Δ.Ε. Γ΄ ΑΘΗΝΑΣ"/>
    <x v="1"/>
  </r>
  <r>
    <x v="445"/>
    <x v="1"/>
    <s v="ΠΕ40"/>
    <s v="ΙΣΠ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9-26T00:00:00"/>
    <x v="0"/>
    <s v="ΔΙΕΥΘΥΝΣΗ Δ.Ε. Β΄ ΑΘΗΝΑΣ"/>
    <x v="1"/>
  </r>
  <r>
    <x v="446"/>
    <x v="1"/>
    <s v="ΠΕ60"/>
    <s v="ΝΗΠΙΑΓΩΓ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8"/>
    <m/>
    <s v="Ιδιωτικά Σχολεία"/>
    <x v="1"/>
    <s v="7201019"/>
    <s v="ΙΔΙΩΤΙΚΟ ΝΗΠΙΑΓΩΓΕΙΟ &quot;ΤΣΙΟΥΚΡΑ Ε. - ΜΗΤΣΗ Β. Ο.Ε.''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3-03-31T00:00:00"/>
    <x v="1"/>
    <s v="ΔΙΕΥΘΥΝΣΗ Π.Ε. ΙΩΑΝΝΙΝΩΝ"/>
    <x v="1"/>
  </r>
  <r>
    <x v="447"/>
    <x v="1"/>
    <s v="ΠΕ02"/>
    <s v="ΦΙΛΟΛΟΓΟΙ"/>
    <m/>
    <m/>
    <s v="Γ΄"/>
    <n v="1"/>
    <s v="ΦΔ12.2/7651/28-9-2018"/>
    <d v="2018-09-18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8"/>
    <d v="2018-09-18T00:00:00"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0"/>
    <s v="Τοποθέτηση σε Ιδιωτική Εκπαίδευση"/>
    <d v="1983-03-05T00:00:00"/>
    <x v="0"/>
    <s v="ΔΙΕΥΘΥΝΣΗ Δ.Ε. ΑΙΤΩΛΟΑΚΑΡΝΑΝΙΑΣ"/>
    <x v="1"/>
  </r>
  <r>
    <x v="448"/>
    <x v="1"/>
    <s v="ΠΕ02"/>
    <s v="ΦΙΛΟΛΟΓΟΙ"/>
    <m/>
    <m/>
    <s v="Γ΄"/>
    <n v="1"/>
    <n v="1775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8"/>
    <d v="2018-09-01T00:00:00"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83-02-13T00:00:00"/>
    <x v="0"/>
    <s v="ΔΙΕΥΘΥΝΣΗ Δ.Ε. ΔΥΤ. ΘΕΣ/ΝΙΚΗΣ"/>
    <x v="1"/>
  </r>
  <r>
    <x v="449"/>
    <x v="1"/>
    <s v="ΠΕ04.02"/>
    <s v="ΧΗΜΙΚΟΙ"/>
    <m/>
    <m/>
    <s v="Γ΄"/>
    <n v="1"/>
    <s v="18279/29"/>
    <d v="2018-09-01T00:00:00"/>
    <s v="Γ΄ ΑΘΗΝΑΣ (Δ.Ε.) 2018"/>
    <s v="ΔΙΕΥΘΥΝΣΗ Δ.Ε. Γ΄ ΑΘΗΝΑΣ"/>
    <s v="ΠΕΡΙΦΕΡΕΙΑΚΗ Δ/ΝΣΗ Α/ΘΜΙΑΣ ΚΑΙ Β/ΘΜΙΑΣ ΕΚΠ/ΣΗΣ ΑΤΤΙΚΗΣ"/>
    <n v="8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3-01-01T00:00:00"/>
    <x v="0"/>
    <s v="ΔΙΕΥΘΥΝΣΗ Δ.Ε. Γ΄ ΑΘΗΝΑΣ"/>
    <x v="1"/>
  </r>
  <r>
    <x v="450"/>
    <x v="1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2-11-03T00:00:00"/>
    <x v="0"/>
    <s v="ΔΙΕΥΘΥΝΣΗ Δ.Ε. ΠΕΙΡΑΙΑ"/>
    <x v="1"/>
  </r>
  <r>
    <x v="451"/>
    <x v="1"/>
    <s v="ΠΕ40"/>
    <s v="ΙΣΠ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2-27T00:00:00"/>
    <x v="0"/>
    <s v="ΔΙΕΥΘΥΝΣΗ Δ.Ε. Β΄ ΑΘΗΝΑΣ"/>
    <x v="1"/>
  </r>
  <r>
    <x v="452"/>
    <x v="1"/>
    <s v="ΠΕ05"/>
    <s v="ΓΑΛ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2-01-20T00:00:00"/>
    <x v="1"/>
    <s v="ΔΙΕΥΘΥΝΣΗ Π.Ε. Α΄ ΑΘΗΝΑΣ"/>
    <x v="1"/>
  </r>
  <r>
    <x v="453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82-01-01T00:00:00"/>
    <x v="0"/>
    <s v="ΔΙΕΥΘΥΝΣΗ Δ.Ε. Δ΄ ΑΘΗΝΑΣ"/>
    <x v="1"/>
  </r>
  <r>
    <x v="454"/>
    <x v="1"/>
    <s v="ΠΕ05"/>
    <s v="ΓΑΛΛΙΚΗΣ ΦΙΛΟΛΟΓΙΑΣ"/>
    <m/>
    <m/>
    <s v="Γ΄"/>
    <n v="1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1-11-23T00:00:00"/>
    <x v="1"/>
    <s v="ΔΙΕΥΘΥΝΣΗ Π.Ε. ΑΝΑΤΟΛΙΚΗΣ ΑΤΤΙΚΗΣ"/>
    <x v="1"/>
  </r>
  <r>
    <x v="455"/>
    <x v="1"/>
    <s v="ΠΕ06"/>
    <s v="ΑΓΓΛΙΚΗΣ ΦΙΛΟΛΟΓΙΑΣ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8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1-08-28T00:00:00"/>
    <x v="0"/>
    <s v="ΔΙΕΥΘΥΝΣΗ Δ.Ε. ΠΕΙΡΑΙΑ"/>
    <x v="1"/>
  </r>
  <r>
    <x v="456"/>
    <x v="0"/>
    <s v="ΠΕ01"/>
    <s v="ΘΕΟΛΟΓΟΙ"/>
    <m/>
    <m/>
    <s v="Γ΄"/>
    <n v="1"/>
    <n v="8819"/>
    <d v="2018-09-01T00:00:00"/>
    <s v="Β΄ ΑΘΗΝΑΣ (Δ.Ε.) 2018"/>
    <s v="ΔΙΕΥΘΥΝΣΗ Δ.Ε. Β΄ ΑΘΗΝΑΣ"/>
    <s v="ΠΕΡΙΦΕΡΕΙΑΚΗ Δ/ΝΣΗ Α/ΘΜΙΑΣ ΚΑΙ Β/ΘΜΙΑΣ ΕΚΠ/ΣΗΣ ΑΤΤΙΚΗΣ"/>
    <n v="8"/>
    <d v="2018-09-01T00:00:00"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1-06-19T00:00:00"/>
    <x v="0"/>
    <s v="ΔΙΕΥΘΥΝΣΗ Δ.Ε. Β΄ ΑΘΗΝΑΣ"/>
    <x v="1"/>
  </r>
  <r>
    <x v="457"/>
    <x v="1"/>
    <s v="ΠΕ07"/>
    <s v="ΓΕΡΜΑΝΙΚΗΣ ΦΙΛΟΛΟΓΙΑΣ"/>
    <m/>
    <m/>
    <s v="Γ΄"/>
    <n v="1"/>
    <s v="18279/43"/>
    <d v="2018-10-19T00:00:00"/>
    <s v="Γ΄ ΑΘΗΝΑΣ (Δ.Ε.) 2018"/>
    <s v="ΔΙΕΥΘΥΝΣΗ Δ.Ε. Γ΄ ΑΘΗΝΑΣ"/>
    <s v="ΠΕΡΙΦΕΡΕΙΑΚΗ Δ/ΝΣΗ Α/ΘΜΙΑΣ ΚΑΙ Β/ΘΜΙΑΣ ΕΚΠ/ΣΗΣ ΑΤΤΙΚΗΣ"/>
    <n v="8"/>
    <d v="2018-10-19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1-01-01T00:00:00"/>
    <x v="0"/>
    <s v="ΔΙΕΥΘΥΝΣΗ Δ.Ε. Γ΄ ΑΘΗΝΑΣ"/>
    <x v="1"/>
  </r>
  <r>
    <x v="458"/>
    <x v="0"/>
    <s v="ΠΕ03"/>
    <s v="ΜΑΘΗΜΑΤΙΚΟΙ"/>
    <m/>
    <m/>
    <s v="Γ΄"/>
    <n v="1"/>
    <s v="20103/01-09-2017"/>
    <d v="2017-09-01T00:00:00"/>
    <s v="ΛΑΡΙΣΑΣ (Δ.Ε.) 2018"/>
    <s v="ΔΙΕΥΘΥΝΣΗ Δ.Ε. ΛΑΡΙΣΑΣ"/>
    <s v="ΠΕΡΙΦΕΡΕΙΑΚΗ Δ/ΝΣΗ Α/ΘΜΙΑΣ ΚΑΙ Β/ΘΜΙΑΣ ΕΚΠ/ΣΗΣ ΘΕΣΣΑΛΙΑΣ"/>
    <n v="8"/>
    <d v="2017-09-01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0-09-30T00:00:00"/>
    <x v="0"/>
    <s v="ΔΙΕΥΘΥΝΣΗ Δ.Ε. ΛΑΡΙΣΑΣ"/>
    <x v="1"/>
  </r>
  <r>
    <x v="459"/>
    <x v="0"/>
    <s v="ΠΕ04.04"/>
    <s v="ΒΙ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0-06-17T00:00:00"/>
    <x v="0"/>
    <s v="ΔΙΕΥΘΥΝΣΗ Δ.Ε. ΑΝΑΤΟΛΙΚΗΣ ΑΤΤΙΚΗΣ"/>
    <x v="1"/>
  </r>
  <r>
    <x v="460"/>
    <x v="0"/>
    <s v="ΠΕ86"/>
    <s v="ΠΛΗΡΟΦΟΡΙΚΗΣ"/>
    <m/>
    <m/>
    <s v="Γ΄"/>
    <n v="1"/>
    <n v="10957"/>
    <d v="2018-11-06T00:00:00"/>
    <s v="ΙΩΑΝΝΙΝΩΝ (Δ.Ε.) 2018"/>
    <s v="ΔΙΕΥΘΥΝΣΗ Δ.Ε. ΙΩΑΝΝΙΝΩΝ"/>
    <s v="ΠΕΡΙΦΕΡΕΙΑΚΗ Δ/ΝΣΗ Α/ΘΜΙΑΣ ΚΑΙ Β/ΘΜΙΑΣ ΕΚΠ/ΣΗΣ ΗΠΕΙΡΟΥ"/>
    <n v="8"/>
    <d v="2018-11-06T00:00:00"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80-04-12T00:00:00"/>
    <x v="0"/>
    <s v="ΔΙΕΥΘΥΝΣΗ Δ.Ε. ΙΩΑΝΝΙΝΩΝ"/>
    <x v="1"/>
  </r>
  <r>
    <x v="461"/>
    <x v="1"/>
    <s v="ΠΕ34"/>
    <s v="ΙΤΑ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Γ΄ ΑΘΗΝΑΣ"/>
    <x v="1"/>
  </r>
  <r>
    <x v="462"/>
    <x v="1"/>
    <s v="ΠΕ06"/>
    <s v="ΑΓΓΛΙΚΗΣ ΦΙΛΟΛΟΓΙΑΣ"/>
    <m/>
    <m/>
    <s v="Γ΄"/>
    <n v="1"/>
    <s v="ΩΟΡΧ4653ΠΣ-ΧΩΙ"/>
    <d v="2018-09-07T00:00:00"/>
    <s v="Α΄ ΧΙΟΥ (Δ.Ε.) 2018"/>
    <s v="ΔΙΕΥΘΥΝΣΗ Δ.Ε. ΧΙΟΥ"/>
    <s v="ΠΕΡΙΦΕΡΕΙΑΚΗ Δ/ΝΣΗ Α/ΘΜΙΑΣ ΚΑΙ Β/ΘΜΙΑΣ ΕΚΠ/ΣΗΣ ΒΟΡΕΙΟΥ ΑΙΓΑΙΟΥ"/>
    <n v="8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80-01-01T00:00:00"/>
    <x v="0"/>
    <s v="ΔΙΕΥΘΥΝΣΗ Δ.Ε. ΧΙΟΥ"/>
    <x v="1"/>
  </r>
  <r>
    <x v="463"/>
    <x v="1"/>
    <s v="ΠΕ11"/>
    <s v="ΦΥΣΙΚΗΣ ΑΓΩΓΗΣ"/>
    <m/>
    <m/>
    <s v="Γ΄"/>
    <n v="1"/>
    <n v="1978"/>
    <d v="2018-09-01T00:00:00"/>
    <s v="ΤΡΙΚΑΛΩΝ (Π.Ε.) 2018"/>
    <s v="ΔΙΕΥΘΥΝΣΗ Π.Ε. ΤΡΙΚΑΛΩΝ"/>
    <s v="ΠΕΡΙΦΕΡΕΙΑΚΗ Δ/ΝΣΗ Α/ΘΜΙΑΣ ΚΑΙ Β/ΘΜΙΑΣ ΕΚΠ/ΣΗΣ ΘΕΣΣΑΛΙΑΣ"/>
    <n v="8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79-12-28T00:00:00"/>
    <x v="1"/>
    <s v="ΔΙΕΥΘΥΝΣΗ Π.Ε. ΤΡΙΚΑΛΩΝ"/>
    <x v="1"/>
  </r>
  <r>
    <x v="464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3-28T00:00:00"/>
    <x v="0"/>
    <s v="ΔΙΕΥΘΥΝΣΗ Δ.Ε. Γ΄ ΑΘΗΝΑΣ"/>
    <x v="1"/>
  </r>
  <r>
    <x v="465"/>
    <x v="1"/>
    <s v="ΠΕ05"/>
    <s v="ΓΑΛΛΙΚΗΣ ΦΙΛΟΛΟΓΙΑΣ"/>
    <m/>
    <m/>
    <s v="Β΄"/>
    <n v="2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8-12-03T00:00:00"/>
    <x v="1"/>
    <s v="ΔΙΕΥΘΥΝΣΗ Π.Ε. ΑΝΑΤΟΛΙΚΗΣ ΑΤΤΙΚΗΣ"/>
    <x v="1"/>
  </r>
  <r>
    <x v="466"/>
    <x v="0"/>
    <s v="ΠΕ04.02"/>
    <s v="ΧΗΜΙΚΟΙ"/>
    <m/>
    <m/>
    <s v="Γ΄"/>
    <n v="1"/>
    <s v="18279/30"/>
    <d v="2018-09-01T00:00:00"/>
    <s v="Γ΄ ΑΘΗΝΑΣ (Δ.Ε.) 2018"/>
    <s v="ΔΙΕΥΘΥΝΣΗ Δ.Ε. Γ΄ ΑΘΗΝΑΣ"/>
    <s v="ΠΕΡΙΦΕΡΕΙΑΚΗ Δ/ΝΣΗ Α/ΘΜΙΑΣ ΚΑΙ Β/ΘΜΙΑΣ ΕΚΠ/ΣΗΣ ΑΤΤΙΚΗΣ"/>
    <n v="8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11-02T00:00:00"/>
    <x v="0"/>
    <s v="ΔΙΕΥΘΥΝΣΗ Δ.Ε. Γ΄ ΑΘΗΝΑΣ"/>
    <x v="1"/>
  </r>
  <r>
    <x v="467"/>
    <x v="0"/>
    <s v="ΠΕ86"/>
    <s v="ΠΛΗΡΟΦΟΡΙΚΗΣ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8"/>
    <m/>
    <s v="Ιδιωτικά Σχολεία"/>
    <x v="2"/>
    <s v="2881010"/>
    <s v="ΙΔΙΩΤΙΚΟ ΓΥΜΝΑΣΙΟ ΚΟΡΙΝΘΟΥ - ΑΡΙΣΤΟΤΕΛΕΙΟ ΚΟΡΙΝΘΙΑΚΟ ΕΚΠΑΙΔΕΥΤΗΡ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8-05-31T00:00:00"/>
    <x v="0"/>
    <s v="ΔΙΕΥΘΥΝΣΗ Δ.Ε. ΚΟΡΙΝΘΙΑΣ"/>
    <x v="1"/>
  </r>
  <r>
    <x v="468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4-29T00:00:00"/>
    <x v="0"/>
    <s v="ΔΙΕΥΘΥΝΣΗ Δ.Ε. Β΄ ΑΘΗΝΑΣ"/>
    <x v="1"/>
  </r>
  <r>
    <x v="469"/>
    <x v="1"/>
    <s v="ΠΕ05"/>
    <s v="ΓΑΛΛΙΚΗΣ ΦΙΛΟΛΟΓΙΑΣ"/>
    <m/>
    <m/>
    <s v="Α΄"/>
    <n v="4"/>
    <m/>
    <m/>
    <s v="Α΄ ΜΑΓΝΗΣΙΑΣ (Π.Ε.) 2018"/>
    <s v="ΔΙΕΥΘΥΝΣΗ Π.Ε. ΜΑΓΝΗΣΙΑΣ"/>
    <s v="ΠΕΡΙΦΕΡΕΙΑΚΗ Δ/ΝΣΗ Α/ΘΜΙΑΣ ΚΑΙ Β/ΘΜΙΑΣ ΕΚΠ/ΣΗΣ ΘΕΣΣΑΛΙΑΣ"/>
    <n v="8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8-04-25T00:00:00"/>
    <x v="1"/>
    <s v="ΔΙΕΥΘΥΝΣΗ Π.Ε. ΜΑΓΝΗΣΙΑΣ"/>
    <x v="1"/>
  </r>
  <r>
    <x v="470"/>
    <x v="1"/>
    <s v="ΠΕ07"/>
    <s v="ΓΕΡΜΑΝ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8-01-28T00:00:00"/>
    <x v="1"/>
    <s v="ΔΙΕΥΘΥΝΣΗ Π.Ε. Α΄ ΑΘΗΝΑΣ"/>
    <x v="1"/>
  </r>
  <r>
    <x v="471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1-18T00:00:00"/>
    <x v="0"/>
    <s v="ΔΙΕΥΘΥΝΣΗ Δ.Ε. Β΄ ΑΘΗΝΑΣ"/>
    <x v="1"/>
  </r>
  <r>
    <x v="472"/>
    <x v="1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01-13T00:00:00"/>
    <x v="0"/>
    <s v="ΔΙΕΥΘΥΝΣΗ Δ.Ε. Γ΄ ΑΘΗΝΑΣ"/>
    <x v="1"/>
  </r>
  <r>
    <x v="473"/>
    <x v="1"/>
    <s v="ΠΕ05"/>
    <s v="ΓΑΛΛΙΚΗΣ ΦΙΛΟΛΟΓΙΑΣ"/>
    <m/>
    <m/>
    <s v="Β΄"/>
    <n v="2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8-01-13T00:00:00"/>
    <x v="1"/>
    <s v="ΔΙΕΥΘΥΝΣΗ Π.Ε. ΑΝΑΤΟΛΙΚΗΣ ΑΤΤΙΚΗΣ"/>
    <x v="1"/>
  </r>
  <r>
    <x v="474"/>
    <x v="1"/>
    <s v="ΠΕ11"/>
    <s v="ΦΥΣΙΚΗΣ ΑΓΩΓΗΣ"/>
    <m/>
    <m/>
    <s v="Γ΄"/>
    <n v="1"/>
    <n v="2668"/>
    <d v="2018-09-01T00:00:00"/>
    <s v="Α΄ ΠΕΙΡΑΙΑ (Π.Ε.) 2018"/>
    <s v="ΔΙΕΥΘΥΝΣΗ Π.Ε. ΠΕΙΡΑΙΑ"/>
    <s v="ΠΕΡΙΦΕΡΕΙΑΚΗ Δ/ΝΣΗ Α/ΘΜΙΑΣ ΚΑΙ Β/ΘΜΙΑΣ ΕΚΠ/ΣΗΣ ΑΤΤΙΚΗΣ"/>
    <n v="8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7-12-16T00:00:00"/>
    <x v="1"/>
    <s v="ΔΙΕΥΘΥΝΣΗ Π.Ε. ΠΕΙΡΑΙΑ"/>
    <x v="1"/>
  </r>
  <r>
    <x v="475"/>
    <x v="0"/>
    <s v="ΤΕ16"/>
    <s v="ΜΟΥΣΙΚΗΣ ΜΗ ΑΝΩΤΑΤΩΝ ΙΔΡΥΜΑΤΩΝ"/>
    <m/>
    <m/>
    <s v="Γ΄"/>
    <n v="1"/>
    <s v="Φ.17.2 / 8581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8"/>
    <d v="2018-09-01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77-08-09T00:00:00"/>
    <x v="0"/>
    <s v="ΔΙΕΥΘΥΝΣΗ Δ.Ε. ΔΩΔΕΚΑΝΗΣΟΥ"/>
    <x v="1"/>
  </r>
  <r>
    <x v="476"/>
    <x v="1"/>
    <s v="ΠΕ04.02"/>
    <s v="ΧΗΜΙΚΟΙ"/>
    <m/>
    <m/>
    <s v="Β΄"/>
    <n v="4"/>
    <s v="69ΣΝ4653ΠΣ-Ψ48"/>
    <d v="2016-10-04T00:00:00"/>
    <s v="Α΄ ΑΝΑΤ. ΑΤΤΙΚΗΣ (Δ.Ε.) 2018"/>
    <s v="ΔΙΕΥΘΥΝΣΗ Δ.Ε. ΑΝΑΤΟΛΙΚΗΣ ΑΤΤΙΚΗΣ"/>
    <s v="ΠΕΡΙΦΕΡΕΙΑΚΗ Δ/ΝΣΗ Α/ΘΜΙΑΣ ΚΑΙ Β/ΘΜΙΑΣ ΕΚΠ/ΣΗΣ ΑΤΤΙΚΗΣ"/>
    <n v="8"/>
    <d v="2016-10-04T00:00:00"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3-24T00:00:00"/>
    <x v="0"/>
    <s v="ΔΙΕΥΘΥΝΣΗ Δ.Ε. ΑΝΑΤΟΛΙΚΗΣ ΑΤΤΙΚΗΣ"/>
    <x v="1"/>
  </r>
  <r>
    <x v="477"/>
    <x v="0"/>
    <s v="ΠΕ84"/>
    <s v="ΗΛΕΚΤΡΟΝΙΚ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02-02T00:00:00"/>
    <x v="0"/>
    <s v="ΔΙΕΥΘΥΝΣΗ Δ.Ε. ΠΕΙΡΑΙΑ"/>
    <x v="1"/>
  </r>
  <r>
    <x v="478"/>
    <x v="1"/>
    <s v="ΠΕ40"/>
    <s v="ΙΣΠΑΝΙΚΗΣ ΦΙΛΟΛΟΓΙΑΣ"/>
    <m/>
    <m/>
    <s v="Γ΄"/>
    <n v="1"/>
    <s v="18279/55"/>
    <d v="2018-09-25T00:00:00"/>
    <s v="Γ΄ ΑΘΗΝΑΣ (Δ.Ε.) 2018"/>
    <s v="ΔΙΕΥΘΥΝΣΗ Δ.Ε. Γ΄ ΑΘΗΝΑΣ"/>
    <s v="ΠΕΡΙΦΕΡΕΙΑΚΗ Δ/ΝΣΗ Α/ΘΜΙΑΣ ΚΑΙ Β/ΘΜΙΑΣ ΕΚΠ/ΣΗΣ ΑΤΤΙΚΗΣ"/>
    <n v="8"/>
    <d v="2018-09-25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77-01-19T00:00:00"/>
    <x v="0"/>
    <s v="ΔΙΕΥΘΥΝΣΗ Δ.Ε. Γ΄ ΑΘΗΝΑΣ"/>
    <x v="1"/>
  </r>
  <r>
    <x v="479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8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01-16T00:00:00"/>
    <x v="0"/>
    <s v="ΔΙΕΥΘΥΝΣΗ Δ.Ε. Β΄ ΑΘΗΝΑΣ"/>
    <x v="1"/>
  </r>
  <r>
    <x v="480"/>
    <x v="1"/>
    <s v="ΠΕ05"/>
    <s v="ΓΑΛ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7-17T00:00:00"/>
    <x v="0"/>
    <s v="ΔΙΕΥΘΥΝΣΗ Δ.Ε. Β΄ ΑΘΗΝΑΣ"/>
    <x v="1"/>
  </r>
  <r>
    <x v="481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5-27T00:00:00"/>
    <x v="0"/>
    <s v="ΔΙΕΥΘΥΝΣΗ Δ.Ε. Β΄ ΑΘΗΝΑΣ"/>
    <x v="1"/>
  </r>
  <r>
    <x v="482"/>
    <x v="1"/>
    <s v="ΠΕ07"/>
    <s v="ΓΕΡΜΑΝ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8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05-07T00:00:00"/>
    <x v="1"/>
    <s v="ΔΙΕΥΘΥΝΣΗ Π.Ε. Β΄ ΑΘΗΝΑΣ"/>
    <x v="1"/>
  </r>
  <r>
    <x v="483"/>
    <x v="1"/>
    <s v="ΠΕ05"/>
    <s v="ΓΑΛΛΙΚΗΣ ΦΙΛΟΛΟΓΙΑΣ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8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6-03-23T00:00:00"/>
    <x v="1"/>
    <s v="ΔΙΕΥΘΥΝΣΗ Π.Ε. ΠΕΙΡΑΙΑ"/>
    <x v="1"/>
  </r>
  <r>
    <x v="484"/>
    <x v="1"/>
    <s v="ΠΕ11"/>
    <s v="ΦΥΣΙΚΗΣ ΑΓΩΓΗΣ"/>
    <m/>
    <m/>
    <s v="Γ΄"/>
    <n v="1"/>
    <n v="411"/>
    <d v="2018-09-01T00:00:00"/>
    <s v="ΛΑΡΙΣΑΣ (Π.Ε.) 2018"/>
    <s v="ΔΙΕΥΘΥΝΣΗ Π.Ε. ΛΑΡΙΣΑΣ"/>
    <s v="ΠΕΡΙΦΕΡΕΙΑΚΗ Δ/ΝΣΗ Α/ΘΜΙΑΣ ΚΑΙ Β/ΘΜΙΑΣ ΕΚΠ/ΣΗΣ ΘΕΣΣΑΛΙΑΣ"/>
    <n v="8"/>
    <d v="2018-09-01T00:00:00"/>
    <s v="Ιδιωτικά Σχολεία"/>
    <x v="4"/>
    <s v="7311000"/>
    <s v="ΙΔΙΩΤΙΚΟ ΔΗΜΟΤΙΚΟ ΛΑΡΙΣΑ - Α.ΔΡΑΚΟΣ-Γ. ΜΑΛΑΧΤΑΡΗ ΟΕ ΕΛΛΗΝΙΚΑ ΕΚΠΑΙΔΕΥΤΗΡΙ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76-01-01T00:00:00"/>
    <x v="1"/>
    <s v="ΔΙΕΥΘΥΝΣΗ Π.Ε. ΛΑΡΙΣΑΣ"/>
    <x v="1"/>
  </r>
  <r>
    <x v="485"/>
    <x v="1"/>
    <s v="ΠΕ11"/>
    <s v="ΦΥΣΙΚΗΣ ΑΓΩΓΗΣ"/>
    <m/>
    <m/>
    <s v="Γ΄"/>
    <n v="1"/>
    <m/>
    <m/>
    <s v="Α΄ ΜΑΓΝΗΣΙΑΣ (Π.Ε.) 2018"/>
    <s v="ΔΙΕΥΘΥΝΣΗ Π.Ε. ΜΑΓΝΗΣΙΑΣ"/>
    <s v="ΠΕΡΙΦΕΡΕΙΑΚΗ Δ/ΝΣΗ Α/ΘΜΙΑΣ ΚΑΙ Β/ΘΜΙΑΣ ΕΚΠ/ΣΗΣ ΘΕΣΣΑΛΙΑΣ"/>
    <n v="8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6-01-01T00:00:00"/>
    <x v="1"/>
    <s v="ΔΙΕΥΘΥΝΣΗ Π.Ε. ΜΑΓΝΗΣΙΑΣ"/>
    <x v="1"/>
  </r>
  <r>
    <x v="486"/>
    <x v="0"/>
    <s v="ΠΕ11"/>
    <s v="ΦΥΣΙΚΗΣ ΑΓΩΓΗΣ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8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76-01-01T00:00:00"/>
    <x v="0"/>
    <s v="ΔΙΕΥΘΥΝΣΗ Δ.Ε. ΚΥΚΛΑΔΩΝ"/>
    <x v="1"/>
  </r>
  <r>
    <x v="487"/>
    <x v="1"/>
    <s v="ΠΕ02"/>
    <s v="ΦΙΛΟΛΟΓΟΙ"/>
    <m/>
    <m/>
    <s v="Γ΄"/>
    <n v="1"/>
    <n v="18448"/>
    <d v="2018-09-01T00:00:00"/>
    <s v="Α΄ ΠΕΙΡΑΙΑ (Δ.Ε.) 2018"/>
    <s v="ΔΙΕΥΘΥΝΣΗ Δ.Ε. ΠΕΙΡΑΙΑ"/>
    <s v="ΠΕΡΙΦΕΡΕΙΑΚΗ Δ/ΝΣΗ Α/ΘΜΙΑΣ ΚΑΙ Β/ΘΜΙΑΣ ΕΚΠ/ΣΗΣ ΑΤΤΙΚΗΣ"/>
    <n v="8"/>
    <d v="2018-09-01T00:00:00"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5-12-12T00:00:00"/>
    <x v="0"/>
    <s v="ΔΙΕΥΘΥΝΣΗ Δ.Ε. ΠΕΙΡΑΙΑ"/>
    <x v="1"/>
  </r>
  <r>
    <x v="488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8-06T00:00:00"/>
    <x v="0"/>
    <s v="ΔΙΕΥΘΥΝΣΗ Δ.Ε. ΑΝΑΤΟΛΙΚΗΣ ΑΤΤΙΚΗΣ"/>
    <x v="1"/>
  </r>
  <r>
    <x v="489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8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06-17T00:00:00"/>
    <x v="1"/>
    <s v="ΔΙΕΥΘΥΝΣΗ Π.Ε. Β΄ ΑΘΗΝΑΣ"/>
    <x v="1"/>
  </r>
  <r>
    <x v="490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8"/>
    <m/>
    <s v="Ιδιωτικά Σχολεία"/>
    <x v="1"/>
    <s v="7541049"/>
    <s v="ΣΥΣΤΕΓΑΖΟΜΕΝΟ ΝΗΠΙΑΓΩΓΕΙΟ - ΚΥΡΑΓΙΑΝΝΗ ΜΑΡΓΑΡΙΤΑ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5-03-14T00:00:00"/>
    <x v="1"/>
    <s v="ΔΙΕΥΘΥΝΣΗ Π.Ε. ΠΕΙΡΑΙΑ"/>
    <x v="1"/>
  </r>
  <r>
    <x v="491"/>
    <x v="1"/>
    <s v="ΠΕ02"/>
    <s v="ΦΙΛΟΛΟΓΟΙ"/>
    <m/>
    <m/>
    <s v="Γ΄"/>
    <n v="1"/>
    <s v="18177/10-10-2018"/>
    <d v="2018-09-01T00:00:00"/>
    <s v="ΛΑΡΙΣΑΣ (Δ.Ε.) 2018"/>
    <s v="ΔΙΕΥΘΥΝΣΗ Δ.Ε. ΛΑΡΙΣΑΣ"/>
    <s v="ΠΕΡΙΦΕΡΕΙΑΚΗ Δ/ΝΣΗ Α/ΘΜΙΑΣ ΚΑΙ Β/ΘΜΙΑΣ ΕΚΠ/ΣΗΣ ΘΕΣΣΑΛΙΑΣ"/>
    <n v="8"/>
    <d v="2018-09-01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5-03-11T00:00:00"/>
    <x v="0"/>
    <s v="ΔΙΕΥΘΥΝΣΗ Δ.Ε. ΛΑΡΙΣΑΣ"/>
    <x v="1"/>
  </r>
  <r>
    <x v="492"/>
    <x v="0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03-03T00:00:00"/>
    <x v="1"/>
    <s v="ΔΙΕΥΘΥΝΣΗ Π.Ε. Β΄ ΑΘΗΝΑΣ"/>
    <x v="1"/>
  </r>
  <r>
    <x v="493"/>
    <x v="1"/>
    <s v="ΠΕ04.01"/>
    <s v="ΦΥΣΙΚ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8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5-01-01T00:00:00"/>
    <x v="0"/>
    <s v="ΔΙΕΥΘΥΝΣΗ Δ.Ε. ΗΡΑΚΛΕΙΟΥ"/>
    <x v="1"/>
  </r>
  <r>
    <x v="494"/>
    <x v="0"/>
    <s v="ΠΕ79.01"/>
    <s v="ΜΟΥΣΙΚΗΣ ΕΠΙΣΤΗΜ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12-16T00:00:00"/>
    <x v="0"/>
    <s v="ΔΙΕΥΘΥΝΣΗ Δ.Ε. Γ΄ ΑΘΗΝΑΣ"/>
    <x v="1"/>
  </r>
  <r>
    <x v="495"/>
    <x v="1"/>
    <s v="ΠΕ40"/>
    <s v="ΙΣΠ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12-14T00:00:00"/>
    <x v="0"/>
    <s v="ΔΙΕΥΘΥΝΣΗ Δ.Ε. Γ΄ ΑΘΗΝΑΣ"/>
    <x v="1"/>
  </r>
  <r>
    <x v="496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0-01T00:00:00"/>
    <x v="0"/>
    <s v="ΔΙΕΥΘΥΝΣΗ Δ.Ε. Β΄ ΑΘΗΝΑΣ"/>
    <x v="1"/>
  </r>
  <r>
    <x v="497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8"/>
    <m/>
    <s v="Ιδιωτικά Σχολεία"/>
    <x v="1"/>
    <s v="7053055"/>
    <s v="ΣΥΣΤΕΓΑΖΟΜΕΝΟ ΝΗΠΙΑΓΩΓΕΙΟ - ΤΑΤΣΙΟΥ ΚΩΝΣΤΑΝΤΙΝΑ (ΠΑΙΧΝΙΔΙΑ ΚΑΙ ΟΝΕΙΡΑ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4-08-17T00:00:00"/>
    <x v="1"/>
    <s v="ΔΙΕΥΘΥΝΣΗ Π.Ε. Γ΄ ΑΘΗΝΑΣ"/>
    <x v="1"/>
  </r>
  <r>
    <x v="498"/>
    <x v="1"/>
    <s v="ΤΕ16"/>
    <s v="ΜΟΥΣΙΚΗΣ ΜΗ ΑΝΩΤΑΤΩΝ ΙΔΡΥΜΑΤΩΝ"/>
    <m/>
    <m/>
    <s v="Α΄"/>
    <n v="7"/>
    <m/>
    <m/>
    <s v="Δ΄ ΑΘΗΝΑΣ (Π.Ε.) 2018"/>
    <s v="ΔΙΕΥΘΥΝΣΗ Π.Ε. Δ΄ ΑΘΗΝΑΣ"/>
    <s v="ΠΕΡΙΦΕΡΕΙΑΚΗ Δ/ΝΣΗ Α/ΘΜΙΑΣ ΚΑΙ Β/ΘΜΙΑΣ ΕΚΠ/ΣΗΣ ΑΤΤΙΚΗΣ"/>
    <n v="8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5-13T00:00:00"/>
    <x v="1"/>
    <s v="ΔΙΕΥΘΥΝΣΗ Π.Ε. Δ΄ ΑΘΗΝΑΣ"/>
    <x v="1"/>
  </r>
  <r>
    <x v="499"/>
    <x v="0"/>
    <s v="ΠΕ40"/>
    <s v="ΙΣΠ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4-19T00:00:00"/>
    <x v="0"/>
    <s v="ΔΙΕΥΘΥΝΣΗ Δ.Ε. Β΄ ΑΘΗΝΑΣ"/>
    <x v="1"/>
  </r>
  <r>
    <x v="500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4-04-04T00:00:00"/>
    <x v="0"/>
    <s v="ΔΙΕΥΘΥΝΣΗ Δ.Ε. ΠΕΙΡΑΙΑ"/>
    <x v="1"/>
  </r>
  <r>
    <x v="501"/>
    <x v="1"/>
    <s v="ΠΕ08"/>
    <s v="ΚΑΛΛΙΤΕΧΝΙΚΩΝ"/>
    <m/>
    <m/>
    <s v="Γ΄"/>
    <n v="1"/>
    <s v="17957/8-10-2018"/>
    <d v="2018-09-24T00:00:00"/>
    <s v="ΛΑΡΙΣΑΣ (Δ.Ε.) 2018"/>
    <s v="ΔΙΕΥΘΥΝΣΗ Δ.Ε. ΛΑΡΙΣΑΣ"/>
    <s v="ΠΕΡΙΦΕΡΕΙΑΚΗ Δ/ΝΣΗ Α/ΘΜΙΑΣ ΚΑΙ Β/ΘΜΙΑΣ ΕΚΠ/ΣΗΣ ΘΕΣΣΑΛΙΑΣ"/>
    <n v="8"/>
    <d v="2018-09-24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3-06-08T00:00:00"/>
    <x v="0"/>
    <s v="ΔΙΕΥΘΥΝΣΗ Δ.Ε. ΛΑΡΙΣΑΣ"/>
    <x v="1"/>
  </r>
  <r>
    <x v="502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8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0-16T00:00:00"/>
    <x v="0"/>
    <s v="ΔΙΕΥΘΥΝΣΗ Δ.Ε. Β΄ ΑΘΗΝΑΣ"/>
    <x v="1"/>
  </r>
  <r>
    <x v="503"/>
    <x v="0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2-06-10T00:00:00"/>
    <x v="0"/>
    <s v="ΔΙΕΥΘΥΝΣΗ Δ.Ε. ΠΕΙΡΑΙΑ"/>
    <x v="1"/>
  </r>
  <r>
    <x v="504"/>
    <x v="1"/>
    <s v="ΠΕ07"/>
    <s v="ΓΕΡΜΑΝΙΚΗΣ ΦΙΛΟΛΟΓΙΑΣ"/>
    <m/>
    <m/>
    <s v="Β΄"/>
    <n v="2"/>
    <s v="Φ.15.Α8/7260/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2-05-31T00:00:00"/>
    <x v="1"/>
    <s v="ΔΙΕΥΘΥΝΣΗ Π.Ε. ΑΝΑΤΟΛΙΚΗΣ ΑΤΤΙΚΗΣ"/>
    <x v="1"/>
  </r>
  <r>
    <x v="505"/>
    <x v="1"/>
    <s v="ΠΕ11"/>
    <s v="ΦΥΣΙΚΗΣ ΑΓΩΓΗΣ"/>
    <m/>
    <m/>
    <s v="Γ΄"/>
    <n v="1"/>
    <s v="Φ.17.2/7365"/>
    <d v="2018-09-17T00:00:00"/>
    <s v="ΧΑΝΙΩΝ (Π.Ε.) 2018"/>
    <s v="ΔΙΕΥΘΥΝΣΗ Π.Ε. ΧΑΝΙΩΝ"/>
    <s v="ΠΕΡΙΦΕΡΕΙΑΚΗ Δ/ΝΣΗ Α/ΘΜΙΑΣ ΚΑΙ Β/ΘΜΙΑΣ ΕΚΠ/ΣΗΣ ΚΡΗΤΗΣ"/>
    <n v="8"/>
    <d v="2018-09-17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1-12-22T00:00:00"/>
    <x v="1"/>
    <s v="ΔΙΕΥΘΥΝΣΗ Π.Ε. ΧΑΝΙΩΝ"/>
    <x v="1"/>
  </r>
  <r>
    <x v="506"/>
    <x v="0"/>
    <s v="ΠΕ81"/>
    <s v="ΠΟΛ.ΜΗΧΑΝΙΚΩΝ-ΑΡΧΙΤΕΚΤΟΝΩΝ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2"/>
    <s v="0560031"/>
    <s v="ΙΔΙΩΤΙΚΟ ΓΥΜΝΑΣΙΟ - ΣΧΟΛΗ ΚΑΛΟΓΕΡΟΠΟΥΛΟΥ ΕΠ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12-19T00:00:00"/>
    <x v="0"/>
    <s v="ΔΙΕΥΘΥΝΣΗ Δ.Ε. ΑΝΑΤΟΛΙΚΗΣ ΑΤΤΙΚΗΣ"/>
    <x v="1"/>
  </r>
  <r>
    <x v="507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11-20T00:00:00"/>
    <x v="0"/>
    <s v="ΔΙΕΥΘΥΝΣΗ Δ.Ε. ΑΝΑΤΟΛΙΚΗΣ ΑΤΤΙΚΗΣ"/>
    <x v="1"/>
  </r>
  <r>
    <x v="508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11-11T00:00:00"/>
    <x v="0"/>
    <s v="ΔΙΕΥΘΥΝΣΗ Δ.Ε. ΑΝΑΤΟΛΙΚΗΣ ΑΤΤΙΚΗΣ"/>
    <x v="1"/>
  </r>
  <r>
    <x v="509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8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1-11-09T00:00:00"/>
    <x v="1"/>
    <s v="ΔΙΕΥΘΥΝΣΗ Π.Ε. ΑΧΑΪΑΣ"/>
    <x v="1"/>
  </r>
  <r>
    <x v="510"/>
    <x v="0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7-27T00:00:00"/>
    <x v="1"/>
    <s v="ΔΙΕΥΘΥΝΣΗ Π.Ε. ΑΝΑΤ. ΘΕΣ/ΝΙΚΗΣ"/>
    <x v="1"/>
  </r>
  <r>
    <x v="511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1-04-04T00:00:00"/>
    <x v="0"/>
    <s v="ΔΙΕΥΘΥΝΣΗ Δ.Ε. ΠΕΙΡΑΙΑ"/>
    <x v="1"/>
  </r>
  <r>
    <x v="512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0-08-26T00:00:00"/>
    <x v="0"/>
    <s v="ΔΙΕΥΘΥΝΣΗ Δ.Ε. Γ΄ ΑΘΗΝΑΣ"/>
    <x v="1"/>
  </r>
  <r>
    <x v="513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0-04-23T00:00:00"/>
    <x v="1"/>
    <s v="ΔΙΕΥΘΥΝΣΗ Π.Ε. Α΄ ΑΘΗΝΑΣ"/>
    <x v="1"/>
  </r>
  <r>
    <x v="514"/>
    <x v="1"/>
    <s v="ΠΕ01"/>
    <s v="ΘΕΟΛΟΓΟΙ"/>
    <m/>
    <m/>
    <s v="Γ΄"/>
    <n v="1"/>
    <s v="17886/01-09-2018"/>
    <d v="2018-09-01T00:00:00"/>
    <s v="ΛΑΡΙΣΑΣ (Δ.Ε.) 2018"/>
    <s v="ΔΙΕΥΘΥΝΣΗ Δ.Ε. ΛΑΡΙΣΑΣ"/>
    <s v="ΠΕΡΙΦΕΡΕΙΑΚΗ Δ/ΝΣΗ Α/ΘΜΙΑΣ ΚΑΙ Β/ΘΜΙΑΣ ΕΚΠ/ΣΗΣ ΘΕΣΣΑΛΙΑΣ"/>
    <n v="8"/>
    <d v="2018-09-01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0-04-16T00:00:00"/>
    <x v="0"/>
    <s v="ΔΙΕΥΘΥΝΣΗ Δ.Ε. ΛΑΡΙΣΑΣ"/>
    <x v="1"/>
  </r>
  <r>
    <x v="515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11-20T00:00:00"/>
    <x v="0"/>
    <s v="ΔΙΕΥΘΥΝΣΗ Δ.Ε. ΑΝΑΤΟΛΙΚΗΣ ΑΤΤΙΚΗΣ"/>
    <x v="1"/>
  </r>
  <r>
    <x v="516"/>
    <x v="1"/>
    <s v="ΠΕ60"/>
    <s v="ΝΗΠΙΑΓΩΓΟΙ"/>
    <m/>
    <m/>
    <s v="Α΄"/>
    <n v="1"/>
    <m/>
    <m/>
    <s v="ΠΕΛΛΑΣ (Π.Ε.) 2018"/>
    <s v="ΔΙΕΥΘΥΝΣΗ Π.Ε. ΠΕΛΛΑΣ"/>
    <s v="ΠΕΡΙΦΕΡΕΙΑΚΗ Δ/ΝΣΗ Α/ΘΜΙΑΣ ΚΑΙ Β/ΘΜΙΑΣ ΕΚΠ/ΣΗΣ ΚΕΝΤΡΙΚΗΣ ΜΑΚΕΔΟΝΙΑΣ"/>
    <n v="8"/>
    <m/>
    <s v="Ιδιωτικά Σχολεία"/>
    <x v="1"/>
    <s v="7381003"/>
    <s v="ΙΔΙΩΤΙΚΟ ΝΗΠΙΑΓΩΓΕΙΟ ΕΔΕΣΣΑ - ΙΔΙΩΤΙΚΟ ΣΤΕΦΑΝΙΔΟΥ"/>
    <s v="ΠΕΛΛΑΣ (Π.Ε.) 2018"/>
    <s v="ΔΙΕΥΘΥΝΣΗ Π.Ε. ΠΕΛΛΑΣ"/>
    <s v="ΠΕΡΙΦΕΡΕΙΑΚΗ Δ/ΝΣΗ Α/ΘΜΙΑΣ ΚΑΙ Β/ΘΜΙΑΣ ΕΚΠ/ΣΗΣ ΚΕΝΤΡΙΚΗΣ ΜΑΚΕΔΟΝΙΑΣ"/>
    <x v="1"/>
    <s v="Τοποθέτηση σε Ιδιωτική Εκπαίδευση"/>
    <d v="1969-03-05T00:00:00"/>
    <x v="1"/>
    <s v="ΔΙΕΥΘΥΝΣΗ Π.Ε. ΠΕΛΛΑΣ"/>
    <x v="1"/>
  </r>
  <r>
    <x v="517"/>
    <x v="1"/>
    <s v="ΠΕ05"/>
    <s v="ΓΑΛΛΙΚΗΣ ΦΙΛΟΛΟΓΙΑΣ"/>
    <m/>
    <m/>
    <s v="Γ΄"/>
    <n v="4"/>
    <n v="3189"/>
    <d v="2018-09-01T00:00:00"/>
    <s v="Β΄ ΑΘΗΝΑΣ (Π.Ε.) 2018"/>
    <s v="ΔΙΕΥΘΥΝΣΗ Π.Ε. Β΄ ΑΘΗΝΑΣ"/>
    <s v="ΠΕΡΙΦΕΡΕΙΑΚΗ Δ/ΝΣΗ Α/ΘΜΙΑΣ ΚΑΙ Β/ΘΜΙΑΣ ΕΚΠ/ΣΗΣ ΑΤΤΙΚΗΣ"/>
    <n v="8"/>
    <d v="2018-09-01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1-16T00:00:00"/>
    <x v="1"/>
    <s v="ΔΙΕΥΘΥΝΣΗ Π.Ε. Β΄ ΑΘΗΝΑΣ"/>
    <x v="1"/>
  </r>
  <r>
    <x v="518"/>
    <x v="1"/>
    <s v="ΠΕ60"/>
    <s v="ΝΗΠΙΑΓΩΓ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8"/>
    <m/>
    <s v="Ιδιωτικά Σχολεία"/>
    <x v="1"/>
    <s v="7311037"/>
    <s v="ΙΔΙΩΤΙΚΟ ΝΗΠΙΑΓΩΓΕΙΟ - ΚΟΚΚΙΝΑ ΔΗΜΗΤΡΑ (2o)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8-12-17T00:00:00"/>
    <x v="1"/>
    <s v="ΔΙΕΥΘΥΝΣΗ Π.Ε. ΛΑΡΙΣΑΣ"/>
    <x v="1"/>
  </r>
  <r>
    <x v="519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m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1-21T00:00:00"/>
    <x v="0"/>
    <s v="ΔΙΕΥΘΥΝΣΗ Δ.Ε. Δ΄ ΑΘΗΝΑΣ"/>
    <x v="1"/>
  </r>
  <r>
    <x v="520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0-07T00:00:00"/>
    <x v="0"/>
    <s v="ΔΙΕΥΘΥΝΣΗ Δ.Ε. Β΄ ΑΘΗΝΑΣ"/>
    <x v="1"/>
  </r>
  <r>
    <x v="521"/>
    <x v="1"/>
    <s v="ΠΕ05"/>
    <s v="ΓΑΛΛΙΚΗΣ ΦΙΛΟΛΟΓΙΑΣ"/>
    <m/>
    <m/>
    <s v="Β΄"/>
    <n v="2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11-07T00:00:00"/>
    <x v="1"/>
    <s v="ΔΙΕΥΘΥΝΣΗ Π.Ε. ΑΝΑΤΟΛΙΚΗΣ ΑΤΤΙΚΗΣ"/>
    <x v="1"/>
  </r>
  <r>
    <x v="522"/>
    <x v="1"/>
    <s v="ΠΕ05"/>
    <s v="ΓΑΛ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8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9-13T00:00:00"/>
    <x v="1"/>
    <s v="ΔΙΕΥΘΥΝΣΗ Π.Ε. Β΄ ΑΘΗΝΑΣ"/>
    <x v="1"/>
  </r>
  <r>
    <x v="523"/>
    <x v="0"/>
    <s v="ΠΕ01"/>
    <s v="ΘΕ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3-31T00:00:00"/>
    <x v="0"/>
    <s v="ΔΙΕΥΘΥΝΣΗ Δ.Ε. ΑΝΑΤΟΛΙΚΗΣ ΑΤΤΙΚΗΣ"/>
    <x v="1"/>
  </r>
  <r>
    <x v="524"/>
    <x v="1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7-02-18T00:00:00"/>
    <x v="0"/>
    <s v="ΔΙΕΥΘΥΝΣΗ Δ.Ε. Γ΄ ΑΘΗΝΑΣ"/>
    <x v="1"/>
  </r>
  <r>
    <x v="525"/>
    <x v="1"/>
    <s v="ΠΕ08"/>
    <s v="ΚΑΛΛΙΤΕΧΝΙΚΩΝ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ΑΝΑΤΟΛΙΚΗΣ ΑΤΤΙΚΗΣ"/>
    <x v="1"/>
  </r>
  <r>
    <x v="526"/>
    <x v="0"/>
    <s v="ΠΕ04.04"/>
    <s v="ΒΙ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8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67-01-01T00:00:00"/>
    <x v="0"/>
    <s v="ΔΙΕΥΘΥΝΣΗ Δ.Ε. ΑΧΑΪΑΣ"/>
    <x v="1"/>
  </r>
  <r>
    <x v="527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0-23T00:00:00"/>
    <x v="0"/>
    <s v="ΔΙΕΥΘΥΝΣΗ Δ.Ε. Β΄ ΑΘΗΝΑΣ"/>
    <x v="1"/>
  </r>
  <r>
    <x v="528"/>
    <x v="1"/>
    <s v="ΠΕ08"/>
    <s v="ΚΑΛΛΙΤΕΧΝΙΚΩΝ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8"/>
    <m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6-07-17T00:00:00"/>
    <x v="1"/>
    <s v="ΔΙΕΥΘΥΝΣΗ Π.Ε. Β΄ ΑΘΗΝΑΣ"/>
    <x v="1"/>
  </r>
  <r>
    <x v="529"/>
    <x v="0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8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6-07-11T00:00:00"/>
    <x v="1"/>
    <s v="ΔΙΕΥΘΥΝΣΗ Π.Ε. ΧΑΝΙΩΝ"/>
    <x v="1"/>
  </r>
  <r>
    <x v="530"/>
    <x v="1"/>
    <s v="ΠΕ07"/>
    <s v="ΓΕΡΜ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6-03-20T00:00:00"/>
    <x v="0"/>
    <s v="ΔΙΕΥΘΥΝΣΗ Δ.Ε. Γ΄ ΑΘΗΝΑΣ"/>
    <x v="1"/>
  </r>
  <r>
    <x v="531"/>
    <x v="1"/>
    <s v="ΠΕ05"/>
    <s v="ΓΑΛ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2-03T00:00:00"/>
    <x v="0"/>
    <s v="ΔΙΕΥΘΥΝΣΗ Δ.Ε. Β΄ ΑΘΗΝΑΣ"/>
    <x v="1"/>
  </r>
  <r>
    <x v="532"/>
    <x v="0"/>
    <s v="ΠΕ86"/>
    <s v="ΠΛΗΡΟΦΟΡΙΚΗΣ"/>
    <m/>
    <m/>
    <s v="Γ΄"/>
    <n v="12"/>
    <m/>
    <m/>
    <s v="Δ΄ ΑΘΗΝΑΣ (Δ.Ε.) 2018"/>
    <s v="ΔΙΕΥΘΥΝΣΗ Δ.Ε. Δ΄ ΑΘΗΝΑΣ"/>
    <s v="ΠΕΡΙΦΕΡΕΙΑΚΗ Δ/ΝΣΗ Α/ΘΜΙΑΣ ΚΑΙ Β/ΘΜΙΑΣ ΕΚΠ/ΣΗΣ ΑΤΤΙΚΗΣ"/>
    <n v="8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1-07T00:00:00"/>
    <x v="0"/>
    <s v="ΔΙΕΥΘΥΝΣΗ Δ.Ε. Δ΄ ΑΘΗΝΑΣ"/>
    <x v="1"/>
  </r>
  <r>
    <x v="533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5-27T00:00:00"/>
    <x v="0"/>
    <s v="ΔΙΕΥΘΥΝΣΗ Δ.Ε. Δ΄ ΑΘΗΝΑΣ"/>
    <x v="1"/>
  </r>
  <r>
    <x v="534"/>
    <x v="0"/>
    <s v="ΠΕ70"/>
    <s v="ΔΑΣΚΑΛΟΙ"/>
    <m/>
    <m/>
    <s v="Α΄"/>
    <n v="14"/>
    <s v="3283/18-10-1995"/>
    <d v="1995-09-01T00:00:00"/>
    <s v="Α΄ ΑΝΑΤ. ΑΤΤΙΚΗΣ (Π.Ε.) 2018"/>
    <s v="ΔΙΕΥΘΥΝΣΗ Π.Ε. ΑΝΑΤΟΛΙΚΗΣ ΑΤΤΙΚΗΣ"/>
    <s v="ΠΕΡΙΦΕΡΕΙΑΚΗ Δ/ΝΣΗ Α/ΘΜΙΑΣ ΚΑΙ Β/ΘΜΙΑΣ ΕΚΠ/ΣΗΣ ΑΤΤΙΚΗΣ"/>
    <n v="8"/>
    <d v="1995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4-11-17T00:00:00"/>
    <x v="1"/>
    <s v="ΔΙΕΥΘΥΝΣΗ Π.Ε. ΑΝΑΤΟΛΙΚΗΣ ΑΤΤΙΚΗΣ"/>
    <x v="1"/>
  </r>
  <r>
    <x v="53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8-15T00:00:00"/>
    <x v="0"/>
    <s v="ΔΙΕΥΘΥΝΣΗ Δ.Ε. Β΄ ΑΘΗΝΑΣ"/>
    <x v="1"/>
  </r>
  <r>
    <x v="536"/>
    <x v="0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8"/>
    <m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6-23T00:00:00"/>
    <x v="1"/>
    <s v="ΔΙΕΥΘΥΝΣΗ Π.Ε. ΑΝΑΤ. ΘΕΣ/ΝΙΚΗΣ"/>
    <x v="1"/>
  </r>
  <r>
    <x v="537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4-15T00:00:00"/>
    <x v="0"/>
    <s v="ΔΙΕΥΘΥΝΣΗ Δ.Ε. ΑΝΑΤΟΛΙΚΗΣ ΑΤΤΙΚΗΣ"/>
    <x v="1"/>
  </r>
  <r>
    <x v="538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8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10-16T00:00:00"/>
    <x v="0"/>
    <s v="ΔΙΕΥΘΥΝΣΗ Δ.Ε. Δ΄ ΑΘΗΝΑΣ"/>
    <x v="1"/>
  </r>
  <r>
    <x v="539"/>
    <x v="0"/>
    <s v="ΠΕ79.01"/>
    <s v="ΜΟΥΣΙΚΗΣ ΕΠΙΣΤΗΜ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2-05-28T00:00:00"/>
    <x v="1"/>
    <s v="ΔΙΕΥΘΥΝΣΗ Π.Ε. Α΄ ΑΘΗΝΑΣ"/>
    <x v="1"/>
  </r>
  <r>
    <x v="540"/>
    <x v="0"/>
    <s v="ΠΕ02"/>
    <s v="ΦΙΛΟΛΟΓΟΙ"/>
    <m/>
    <m/>
    <s v="Α΄"/>
    <n v="16"/>
    <n v="18255"/>
    <d v="2018-09-01T00:00:00"/>
    <s v="Β΄ ΑΘΗΝΑΣ (Δ.Ε.) 2018"/>
    <s v="ΔΙΕΥΘΥΝΣΗ Δ.Ε. Β΄ ΑΘΗΝΑΣ"/>
    <s v="ΠΕΡΙΦΕΡΕΙΑΚΗ Δ/ΝΣΗ Α/ΘΜΙΑΣ ΚΑΙ Β/ΘΜΙΑΣ ΕΚΠ/ΣΗΣ ΑΤΤΙΚΗΣ"/>
    <n v="8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2-08T00:00:00"/>
    <x v="0"/>
    <s v="ΔΙΕΥΘΥΝΣΗ Δ.Ε. Β΄ ΑΘΗΝΑΣ"/>
    <x v="1"/>
  </r>
  <r>
    <x v="541"/>
    <x v="0"/>
    <s v="ΠΕ78"/>
    <s v="ΚΟΙΝΩΝΙΚΩΝ ΕΠΙΣΤΗΜ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2-01-01T00:00:00"/>
    <x v="0"/>
    <s v="ΔΙΕΥΘΥΝΣΗ Δ.Ε. ΠΕΙΡΑΙΑ"/>
    <x v="1"/>
  </r>
  <r>
    <x v="542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11-04T00:00:00"/>
    <x v="0"/>
    <s v="ΔΙΕΥΘΥΝΣΗ Δ.Ε. ΑΝΑΤΟΛΙΚΗΣ ΑΤΤΙΚΗΣ"/>
    <x v="1"/>
  </r>
  <r>
    <x v="543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0-12-23T00:00:00"/>
    <x v="0"/>
    <s v="ΔΙΕΥΘΥΝΣΗ Δ.Ε. Γ΄ ΑΘΗΝΑΣ"/>
    <x v="1"/>
  </r>
  <r>
    <x v="544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2-04T00:00:00"/>
    <x v="0"/>
    <s v="ΔΙΕΥΘΥΝΣΗ Δ.Ε. Β΄ ΑΘΗΝΑΣ"/>
    <x v="1"/>
  </r>
  <r>
    <x v="545"/>
    <x v="0"/>
    <s v="ΠΕ70"/>
    <s v="ΔΑΣΚΑΛΟΙ"/>
    <m/>
    <m/>
    <s v="Γ΄"/>
    <n v="1"/>
    <s v="3416/26-10-10"/>
    <d v="2018-09-01T00:00:00"/>
    <s v="Β΄ ΑΘΗΝΑΣ (Π.Ε.) 2018"/>
    <s v="ΔΙΕΥΘΥΝΣΗ Π.Ε. Β΄ ΑΘΗΝΑΣ"/>
    <s v="ΠΕΡΙΦΕΡΕΙΑΚΗ Δ/ΝΣΗ Α/ΘΜΙΑΣ ΚΑΙ Β/ΘΜΙΑΣ ΕΚΠ/ΣΗΣ ΑΤΤΙΚΗΣ"/>
    <n v="8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58-07-06T00:00:00"/>
    <x v="1"/>
    <s v="ΔΙΕΥΘΥΝΣΗ Π.Ε. Β΄ ΑΘΗΝΑΣ"/>
    <x v="1"/>
  </r>
  <r>
    <x v="54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8-06-30T00:00:00"/>
    <x v="0"/>
    <s v="ΔΙΕΥΘΥΝΣΗ Δ.Ε. Β΄ ΑΘΗΝΑΣ"/>
    <x v="1"/>
  </r>
  <r>
    <x v="547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8-01-02T00:00:00"/>
    <x v="0"/>
    <s v="ΔΙΕΥΘΥΝΣΗ Δ.Ε. Γ΄ ΑΘΗΝΑΣ"/>
    <x v="1"/>
  </r>
  <r>
    <x v="548"/>
    <x v="1"/>
    <s v="ΠΕ05"/>
    <s v="ΓΑΛ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6-02-05T00:00:00"/>
    <x v="0"/>
    <s v="ΔΙΕΥΘΥΝΣΗ Δ.Ε. Β΄ ΑΘΗΝΑΣ"/>
    <x v="1"/>
  </r>
  <r>
    <x v="549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01-19T00:00:00"/>
    <x v="0"/>
    <s v="ΔΙΕΥΘΥΝΣΗ Δ.Ε. Β΄ ΑΘΗΝΑΣ"/>
    <x v="1"/>
  </r>
  <r>
    <x v="550"/>
    <x v="0"/>
    <s v="ΠΕ03"/>
    <s v="ΜΑΘΗΜΑΤΙΚΟΙ"/>
    <m/>
    <m/>
    <s v="Γ΄"/>
    <n v="1"/>
    <n v="18255"/>
    <d v="2018-09-01T00:00:00"/>
    <s v="Β΄ ΑΘΗΝΑΣ (Δ.Ε.) 2018"/>
    <s v="ΔΙΕΥΘΥΝΣΗ Δ.Ε. Β΄ ΑΘΗΝΑΣ"/>
    <s v="ΠΕΡΙΦΕΡΕΙΑΚΗ Δ/ΝΣΗ Α/ΘΜΙΑΣ ΚΑΙ Β/ΘΜΙΑΣ ΕΚΠ/ΣΗΣ ΑΤΤΙΚΗΣ"/>
    <n v="8"/>
    <d v="2018-09-01T00:00:00"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4-08-05T00:00:00"/>
    <x v="0"/>
    <s v="ΔΙΕΥΘΥΝΣΗ Δ.Ε. Β΄ ΑΘΗΝΑΣ"/>
    <x v="1"/>
  </r>
  <r>
    <x v="551"/>
    <x v="0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54-01-28T00:00:00"/>
    <x v="1"/>
    <s v="ΔΙΕΥΘΥΝΣΗ Π.Ε. Α΄ ΑΘΗΝΑΣ"/>
    <x v="1"/>
  </r>
  <r>
    <x v="552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54-01-05T00:00:00"/>
    <x v="0"/>
    <s v="ΔΙΕΥΘΥΝΣΗ Δ.Ε. ΠΕΙΡΑΙΑ"/>
    <x v="1"/>
  </r>
  <r>
    <x v="553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4"/>
    <s v="7521010"/>
    <s v="ΙΔΙΩΤΙΚΟ ΔΗΜΟΤΙΚΟ ΣΧΟΛΗ ΠΟΡΙΩΤΟΥ - ΣΧΟΛΗ ΠΟΡΙΩΤΟΥ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48-02-17T00:00:00"/>
    <x v="1"/>
    <s v="ΔΙΕΥΘΥΝΣΗ Π.Ε. ΑΝΑΤΟΛΙΚΗΣ ΑΤΤΙΚΗΣ"/>
    <x v="1"/>
  </r>
  <r>
    <x v="554"/>
    <x v="1"/>
    <s v="ΠΕ79.01"/>
    <s v="ΜΟΥΣΙΚΗΣ ΕΠΙΣΤΗΜΗΣ"/>
    <m/>
    <m/>
    <s v="Γ΄"/>
    <n v="1"/>
    <d v="2018-10-09T00:00:00"/>
    <d v="2018-10-09T00:00:00"/>
    <s v="Α΄ ΑΘΗΝΑΣ (Δ.Ε.) 2018"/>
    <s v="ΔΙΕΥΘΥΝΣΗ Δ.Ε. Α΄ ΑΘΗΝΑΣ"/>
    <s v="ΠΕΡΙΦΕΡΕΙΑΚΗ Δ/ΝΣΗ Α/ΘΜΙΑΣ ΚΑΙ Β/ΘΜΙΑΣ ΕΚΠ/ΣΗΣ ΑΤΤΙΚΗΣ"/>
    <n v="8"/>
    <d v="2018-10-09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Α΄ ΑΘΗΝΑΣ"/>
    <x v="1"/>
  </r>
  <r>
    <x v="555"/>
    <x v="1"/>
    <s v="ΠΕ81"/>
    <s v="ΠΟΛ.ΜΗΧΑΝΙΚΩΝ-ΑΡΧΙΤΕΚΤΟΝ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556"/>
    <x v="0"/>
    <s v="ΠΕ04.02"/>
    <s v="ΧΗΜΙΚΟΙ"/>
    <m/>
    <m/>
    <s v="Γ΄"/>
    <n v="1"/>
    <s v="16635/25"/>
    <d v="2018-09-01T00:00:00"/>
    <s v="Γ΄ ΑΘΗΝΑΣ (Δ.Ε.) 2018"/>
    <s v="ΔΙΕΥΘΥΝΣΗ Δ.Ε. Γ΄ ΑΘΗΝΑΣ"/>
    <s v="ΠΕΡΙΦΕΡΕΙΑΚΗ Δ/ΝΣΗ Α/ΘΜΙΑΣ ΚΑΙ Β/ΘΜΙΑΣ ΕΚΠ/ΣΗΣ ΑΤΤΙΚΗΣ"/>
    <n v="8"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1"/>
  </r>
  <r>
    <x v="557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8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1"/>
  </r>
  <r>
    <x v="558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8"/>
    <m/>
    <s v="Ιδιωτικά Σχολεία"/>
    <x v="4"/>
    <s v="7051016"/>
    <s v="ΙΔΙΩΤΙΚΟ ΔΗΜΟΤΙΚΟ ΝΕΑ ΦΙΛΑΔΈΛΦΕΙΑ - ΣΧΟΛΗ ΧΑΤΖΗΒΕΗ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m/>
    <x v="1"/>
    <s v="ΔΙΕΥΘΥΝΣΗ Π.Ε. Α΄ ΑΘΗΝΑΣ"/>
    <x v="1"/>
  </r>
  <r>
    <x v="559"/>
    <x v="1"/>
    <s v="ΠΕ05"/>
    <s v="ΓΑΛ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1"/>
  </r>
  <r>
    <x v="560"/>
    <x v="1"/>
    <s v="ΠΕ05"/>
    <s v="ΓΑΛ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1"/>
  </r>
  <r>
    <x v="561"/>
    <x v="1"/>
    <s v="ΠΕ07"/>
    <s v="ΓΕΡΜΑΝ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1"/>
  </r>
  <r>
    <x v="562"/>
    <x v="1"/>
    <s v="ΠΕ07"/>
    <s v="ΓΕΡΜΑΝ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1"/>
  </r>
  <r>
    <x v="563"/>
    <x v="1"/>
    <s v="ΠΕ07"/>
    <s v="ΓΕΡΜΑΝ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8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1"/>
  </r>
  <r>
    <x v="564"/>
    <x v="1"/>
    <s v="ΠΕ80"/>
    <s v="ΟΙΚΟΝΟΜΙΑΣ"/>
    <m/>
    <m/>
    <s v="Α΄"/>
    <n v="1"/>
    <s v="ΒΙ6Ζ9-7Ι6"/>
    <d v="2014-01-13T00:00:00"/>
    <s v="ΛΑΡΙΣΑΣ (Δ.Ε.) 2018"/>
    <s v="ΔΙΕΥΘΥΝΣΗ Δ.Ε. ΛΑΡΙΣΑΣ"/>
    <s v="ΠΕΡΙΦΕΡΕΙΑΚΗ Δ/ΝΣΗ Α/ΘΜΙΑΣ ΚΑΙ Β/ΘΜΙΑΣ ΕΚΠ/ΣΗΣ ΘΕΣΣΑΛΙΑΣ"/>
    <n v="8"/>
    <d v="2014-01-13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m/>
    <x v="0"/>
    <s v="ΔΙΕΥΘΥΝΣΗ Δ.Ε. ΛΑΡΙΣΑΣ"/>
    <x v="1"/>
  </r>
  <r>
    <x v="565"/>
    <x v="0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8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1"/>
  </r>
  <r>
    <x v="566"/>
    <x v="0"/>
    <s v="ΠΕ06"/>
    <s v="ΑΓΓΛΙΚΗΣ ΦΙΛΟΛΟΓΙΑΣ"/>
    <m/>
    <m/>
    <s v="Γ΄"/>
    <n v="1"/>
    <d v="2017-09-0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9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06-09T00:00:00"/>
    <x v="1"/>
    <s v="ΔΙΕΥΘΥΝΣΗ Π.Ε. ΑΝΑΤ. ΘΕΣ/ΝΙΚΗΣ"/>
    <x v="1"/>
  </r>
  <r>
    <x v="567"/>
    <x v="0"/>
    <s v="ΠΕ79.01"/>
    <s v="ΜΟΥΣΙΚΗΣ ΕΠΙΣΤΗΜΗΣ"/>
    <m/>
    <m/>
    <s v="Γ΄"/>
    <n v="1"/>
    <n v="4179"/>
    <d v="2018-09-01T00:00:00"/>
    <s v="Δ΄ ΑΘΗΝΑΣ (Π.Ε.) 2018"/>
    <s v="ΔΙΕΥΘΥΝΣΗ Π.Ε. Δ΄ ΑΘΗΝΑΣ"/>
    <s v="ΠΕΡΙΦΕΡΕΙΑΚΗ Δ/ΝΣΗ Α/ΘΜΙΑΣ ΚΑΙ Β/ΘΜΙΑΣ ΕΚΠ/ΣΗΣ ΑΤΤΙΚΗΣ"/>
    <n v="9"/>
    <d v="2018-09-01T00:00:00"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8-02-05T00:00:00"/>
    <x v="1"/>
    <s v="ΔΙΕΥΘΥΝΣΗ Π.Ε. Δ΄ ΑΘΗΝΑΣ"/>
    <x v="1"/>
  </r>
  <r>
    <x v="568"/>
    <x v="1"/>
    <s v="ΠΕ79.01"/>
    <s v="ΜΟΥΣΙΚΗΣ ΕΠΙΣΤΗΜΗΣ"/>
    <m/>
    <m/>
    <s v="Γ΄"/>
    <n v="1"/>
    <s v="Φ.17.2/572/105/17"/>
    <d v="2018-09-01T00:00:00"/>
    <s v="Β΄ ΑΘΗΝΑΣ (Π.Ε.) 2018"/>
    <s v="ΔΙΕΥΘΥΝΣΗ Π.Ε. Β΄ ΑΘΗΝΑΣ"/>
    <s v="ΠΕΡΙΦΕΡΕΙΑΚΗ Δ/ΝΣΗ Α/ΘΜΙΑΣ ΚΑΙ Β/ΘΜΙΑΣ ΕΚΠ/ΣΗΣ ΑΤΤΙΚΗΣ"/>
    <n v="9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8-01-01T00:00:00"/>
    <x v="1"/>
    <s v="ΔΙΕΥΘΥΝΣΗ Π.Ε. Β΄ ΑΘΗΝΑΣ"/>
    <x v="1"/>
  </r>
  <r>
    <x v="569"/>
    <x v="1"/>
    <s v="ΠΕ86"/>
    <s v="ΠΛΗΡΟΦΟΡΙΚΗΣ"/>
    <m/>
    <m/>
    <s v="Γ΄"/>
    <n v="1"/>
    <m/>
    <d v="2011-09-07T00:00:00"/>
    <s v="ΣΕΡΡΩΝ (Δ.Ε.) 2018"/>
    <s v="ΔΙΕΥΘΥΝΣΗ Δ.Ε. ΣΕΡΡΩΝ"/>
    <s v="ΠΕΡΙΦΕΡΕΙΑΚΗ Δ/ΝΣΗ Α/ΘΜΙΑΣ ΚΑΙ Β/ΘΜΙΑΣ ΕΚΠ/ΣΗΣ ΚΕΝΤΡΙΚΗΣ ΜΑΚΕΔΟΝΙΑΣ"/>
    <n v="9"/>
    <d v="2011-09-07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87-09-15T00:00:00"/>
    <x v="0"/>
    <s v="ΔΙΕΥΘΥΝΣΗ Δ.Ε. ΣΕΡΡΩΝ"/>
    <x v="1"/>
  </r>
  <r>
    <x v="570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9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6-08-29T00:00:00"/>
    <x v="0"/>
    <s v="ΔΙΕΥΘΥΝΣΗ Δ.Ε. ΑΝΑΤΟΛΙΚΗΣ ΑΤΤΙΚΗΣ"/>
    <x v="1"/>
  </r>
  <r>
    <x v="571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6-04-01T00:00:00"/>
    <x v="0"/>
    <s v="ΔΙΕΥΘΥΝΣΗ Δ.Ε. ΠΕΙΡΑΙΑ"/>
    <x v="1"/>
  </r>
  <r>
    <x v="572"/>
    <x v="1"/>
    <s v="ΠΕ04.04"/>
    <s v="ΒΙ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9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5-07-20T00:00:00"/>
    <x v="0"/>
    <s v="ΔΙΕΥΘΥΝΣΗ Δ.Ε. ΑΙΤΩΛΟΑΚΑΡΝΑΝΙΑΣ"/>
    <x v="1"/>
  </r>
  <r>
    <x v="573"/>
    <x v="0"/>
    <s v="ΠΕ07"/>
    <s v="ΓΕΡΜΑΝ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9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06-09T00:00:00"/>
    <x v="0"/>
    <s v="ΔΙΕΥΘΥΝΣΗ Δ.Ε. Β΄ ΑΘΗΝΑΣ"/>
    <x v="1"/>
  </r>
  <r>
    <x v="574"/>
    <x v="1"/>
    <s v="ΠΕ91.01"/>
    <s v="ΘΕΑΤΡΙΚΩΝ ΣΠΟΥΔΩΝ"/>
    <m/>
    <m/>
    <s v="Β΄"/>
    <n v="2"/>
    <s v="Φ.Ι.Α.2/26359/14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9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4-17T00:00:00"/>
    <x v="1"/>
    <s v="ΔΙΕΥΘΥΝΣΗ Π.Ε. ΑΝΑΤΟΛΙΚΗΣ ΑΤΤΙΚΗΣ"/>
    <x v="1"/>
  </r>
  <r>
    <x v="575"/>
    <x v="0"/>
    <s v="ΠΕ86"/>
    <s v="ΠΛΗΡΟΦΟΡΙΚΗΣ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9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3-03-23T00:00:00"/>
    <x v="0"/>
    <s v="ΔΙΕΥΘΥΝΣΗ Δ.Ε. ΔΩΔΕΚΑΝΗΣΟΥ"/>
    <x v="1"/>
  </r>
  <r>
    <x v="576"/>
    <x v="1"/>
    <s v="ΠΕ04.02"/>
    <s v="ΧΗΜΙΚΟΙ"/>
    <m/>
    <m/>
    <s v="Β΄"/>
    <n v="7"/>
    <s v="ΩΡΔΩ4653ΠΣ-ΟΥ0/66Σ54653ΠΣ-ΜΗΝ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9"/>
    <d v="2018-09-01T00:00:00"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3-01-01T00:00:00"/>
    <x v="0"/>
    <s v="ΔΙΕΥΘΥΝΣΗ Δ.Ε. ΑΝΑΤΟΛΙΚΗΣ ΑΤΤΙΚΗΣ"/>
    <x v="1"/>
  </r>
  <r>
    <x v="577"/>
    <x v="0"/>
    <s v="ΠΕ86"/>
    <s v="ΠΛΗΡΟΦΟΡΙΚΗΣ"/>
    <m/>
    <m/>
    <s v="Γ΄"/>
    <n v="1"/>
    <s v="ΦΔ12.2/7650"/>
    <d v="2018-09-28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9"/>
    <d v="2018-09-28T00:00:00"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0"/>
    <s v="Τοποθέτηση σε Ιδιωτική Εκπαίδευση"/>
    <d v="1982-10-12T00:00:00"/>
    <x v="0"/>
    <s v="ΔΙΕΥΘΥΝΣΗ Δ.Ε. ΑΙΤΩΛΟΑΚΑΡΝΑΝΙΑΣ"/>
    <x v="1"/>
  </r>
  <r>
    <x v="578"/>
    <x v="1"/>
    <s v="ΠΕ07"/>
    <s v="ΓΕΡΜΑΝΙΚΗΣ ΦΙΛΟΛΟΓΙΑΣ"/>
    <m/>
    <m/>
    <s v="Γ΄"/>
    <n v="1"/>
    <s v="ΩΘΒΟ4653ΠΣ-Η6Θ"/>
    <d v="2018-09-01T00:00:00"/>
    <s v="Β΄ ΑΘΗΝΑΣ (Δ.Ε.) 2018"/>
    <s v="ΔΙΕΥΘΥΝΣΗ Δ.Ε. Β΄ ΑΘΗΝΑΣ"/>
    <s v="ΠΕΡΙΦΕΡΕΙΑΚΗ Δ/ΝΣΗ Α/ΘΜΙΑΣ ΚΑΙ Β/ΘΜΙΑΣ ΕΚΠ/ΣΗΣ ΑΤΤΙΚΗΣ"/>
    <n v="9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09-24T00:00:00"/>
    <x v="0"/>
    <s v="ΔΙΕΥΘΥΝΣΗ Δ.Ε. Β΄ ΑΘΗΝΑΣ"/>
    <x v="1"/>
  </r>
  <r>
    <x v="579"/>
    <x v="0"/>
    <s v="ΠΕ86"/>
    <s v="ΠΛΗΡΟΦΟΡΙΚΗΣ"/>
    <m/>
    <m/>
    <s v="Γ΄"/>
    <n v="3"/>
    <s v="Φ.Ι.Α.5/31269/29-12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9"/>
    <d v="2016-09-01T00:00:00"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8-24T00:00:00"/>
    <x v="1"/>
    <s v="ΔΙΕΥΘΥΝΣΗ Π.Ε. ΑΝΑΤΟΛΙΚΗΣ ΑΤΤΙΚΗΣ"/>
    <x v="1"/>
  </r>
  <r>
    <x v="580"/>
    <x v="1"/>
    <s v="ΠΕ07"/>
    <s v="ΓΕΡΜΑΝ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9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2-01T00:00:00"/>
    <x v="1"/>
    <s v="ΔΙΕΥΘΥΝΣΗ Π.Ε. Β΄ ΑΘΗΝΑΣ"/>
    <x v="1"/>
  </r>
  <r>
    <x v="581"/>
    <x v="1"/>
    <s v="ΠΕ06"/>
    <s v="ΑΓΓΛΙΚΗΣ ΦΙΛΟΛΟΓΙΑΣ"/>
    <m/>
    <m/>
    <s v="Γ΄"/>
    <n v="1"/>
    <s v="ΩΜΤΩ4653ΠΣ-ΡΚΣ"/>
    <d v="2018-09-01T00:00:00"/>
    <s v="Β΄ ΑΘΗΝΑΣ (Δ.Ε.) 2018"/>
    <s v="ΔΙΕΥΘΥΝΣΗ Δ.Ε. Β΄ ΑΘΗΝΑΣ"/>
    <s v="ΠΕΡΙΦΕΡΕΙΑΚΗ Δ/ΝΣΗ Α/ΘΜΙΑΣ ΚΑΙ Β/ΘΜΙΑΣ ΕΚΠ/ΣΗΣ ΑΤΤΙΚΗΣ"/>
    <n v="9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01-01T00:00:00"/>
    <x v="0"/>
    <s v="ΔΙΕΥΘΥΝΣΗ Δ.Ε. Β΄ ΑΘΗΝΑΣ"/>
    <x v="1"/>
  </r>
  <r>
    <x v="582"/>
    <x v="0"/>
    <s v="ΠΕ02"/>
    <s v="ΦΙΛΟΛΟΓΟΙ"/>
    <m/>
    <m/>
    <s v="Γ΄"/>
    <n v="3"/>
    <m/>
    <m/>
    <s v="Α΄ ΑΝΑΤ. ΑΤΤΙΚΗΣ (Δ.Ε.) 2018"/>
    <s v="ΔΙΕΥΘΥΝΣΗ Δ.Ε. ΑΝΑΤΟΛΙΚΗΣ ΑΤΤΙΚΗΣ"/>
    <s v="ΠΕΡΙΦΕΡΕΙΑΚΗ Δ/ΝΣΗ Α/ΘΜΙΑΣ ΚΑΙ Β/ΘΜΙΑΣ ΕΚΠ/ΣΗΣ ΑΤΤΙΚΗΣ"/>
    <n v="9"/>
    <m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8-11T00:00:00"/>
    <x v="0"/>
    <s v="ΔΙΕΥΘΥΝΣΗ Δ.Ε. ΑΝΑΤΟΛΙΚΗΣ ΑΤΤΙΚΗΣ"/>
    <x v="1"/>
  </r>
  <r>
    <x v="583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9"/>
    <d v="2018-09-01T00:00:00"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1-02-28T00:00:00"/>
    <x v="0"/>
    <s v="ΔΙΕΥΘΥΝΣΗ Δ.Ε. Β΄ ΑΘΗΝΑΣ"/>
    <x v="1"/>
  </r>
  <r>
    <x v="584"/>
    <x v="0"/>
    <s v="ΠΕ11"/>
    <s v="ΦΥΣΙΚΗΣ ΑΓΩΓ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9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0-10-15T00:00:00"/>
    <x v="1"/>
    <s v="ΔΙΕΥΘΥΝΣΗ Π.Ε. Δ΄ ΑΘΗΝΑΣ"/>
    <x v="1"/>
  </r>
  <r>
    <x v="585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9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0-10-08T00:00:00"/>
    <x v="1"/>
    <s v="ΔΙΕΥΘΥΝΣΗ Π.Ε. Α΄ ΑΘΗΝΑΣ"/>
    <x v="1"/>
  </r>
  <r>
    <x v="586"/>
    <x v="1"/>
    <s v="ΠΕ08"/>
    <s v="ΚΑΛΛΙΤΕΧ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9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12-15T00:00:00"/>
    <x v="0"/>
    <s v="ΔΙΕΥΘΥΝΣΗ Δ.Ε. Δ΄ ΑΘΗΝΑΣ"/>
    <x v="1"/>
  </r>
  <r>
    <x v="587"/>
    <x v="1"/>
    <s v="ΠΕ07"/>
    <s v="ΓΕΡΜΑΝΙΚΗΣ ΦΙΛΟΛΟΓΙΑΣ"/>
    <m/>
    <m/>
    <s v="Γ΄"/>
    <n v="1"/>
    <s v="Φ. 17.2/294/13168"/>
    <d v="2018-09-01T00:00:00"/>
    <s v="Β΄ ΑΘΗΝΑΣ (Π.Ε.) 2018"/>
    <s v="ΔΙΕΥΘΥΝΣΗ Π.Ε. Β΄ ΑΘΗΝΑΣ"/>
    <s v="ΠΕΡΙΦΕΡΕΙΑΚΗ Δ/ΝΣΗ Α/ΘΜΙΑΣ ΚΑΙ Β/ΘΜΙΑΣ ΕΚΠ/ΣΗΣ ΑΤΤΙΚΗΣ"/>
    <n v="9"/>
    <d v="2018-09-01T00:00:00"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1-01T00:00:00"/>
    <x v="1"/>
    <s v="ΔΙΕΥΘΥΝΣΗ Π.Ε. Β΄ ΑΘΗΝΑΣ"/>
    <x v="1"/>
  </r>
  <r>
    <x v="588"/>
    <x v="1"/>
    <s v="ΠΕ79.01"/>
    <s v="ΜΟΥΣΙΚΗΣ ΕΠΙΣΤΗΜ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9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4-07T00:00:00"/>
    <x v="1"/>
    <s v="ΔΙΕΥΘΥΝΣΗ Π.Ε. Β΄ ΑΘΗΝΑΣ"/>
    <x v="1"/>
  </r>
  <r>
    <x v="589"/>
    <x v="1"/>
    <s v="ΠΕ86"/>
    <s v="ΠΛΗΡΟΦΟΡΙΚΗΣ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9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78-02-02T00:00:00"/>
    <x v="1"/>
    <s v="ΔΙΕΥΘΥΝΣΗ Π.Ε. ΗΡΑΚΛΕΙΟΥ"/>
    <x v="1"/>
  </r>
  <r>
    <x v="590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12-06T00:00:00"/>
    <x v="0"/>
    <s v="ΔΙΕΥΘΥΝΣΗ Δ.Ε. ΠΕΙΡΑΙΑ"/>
    <x v="1"/>
  </r>
  <r>
    <x v="591"/>
    <x v="0"/>
    <s v="ΠΕ84"/>
    <s v="ΗΛΕΚΤΡΟΝΙΚΩΝ"/>
    <m/>
    <m/>
    <s v="Γ΄"/>
    <n v="2"/>
    <d v="2016-09-16T00:00:00"/>
    <d v="2018-09-01T00:00:00"/>
    <s v="Α΄ ΑΘΗΝΑΣ (Δ.Ε.) 2018"/>
    <s v="ΔΙΕΥΘΥΝΣΗ Δ.Ε. Α΄ ΑΘΗΝΑΣ"/>
    <s v="ΠΕΡΙΦΕΡΕΙΑΚΗ Δ/ΝΣΗ Α/ΘΜΙΑΣ ΚΑΙ Β/ΘΜΙΑΣ ΕΚΠ/ΣΗΣ ΑΤΤΙΚΗΣ"/>
    <n v="9"/>
    <d v="2018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77-05-19T00:00:00"/>
    <x v="0"/>
    <s v="ΔΙΕΥΘΥΝΣΗ Δ.Ε. Α΄ ΑΘΗΝΑΣ"/>
    <x v="1"/>
  </r>
  <r>
    <x v="592"/>
    <x v="1"/>
    <s v="ΠΕ07"/>
    <s v="ΓΕΡΜΑΝΙΚΗΣ ΦΙΛΟΛΟΓΙΑΣ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9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7-04-21T00:00:00"/>
    <x v="0"/>
    <s v="ΔΙΕΥΘΥΝΣΗ Δ.Ε. Γ΄ ΑΘΗΝΑΣ"/>
    <x v="1"/>
  </r>
  <r>
    <x v="593"/>
    <x v="1"/>
    <s v="ΤΕ16"/>
    <s v="ΜΟΥΣΙΚΗΣ ΜΗ ΑΝΩΤΑΤΩΝ ΙΔΡΥΜΑΤΩΝ"/>
    <m/>
    <m/>
    <s v="Γ΄"/>
    <n v="1"/>
    <s v="17.2/374/14896/31-12-12"/>
    <d v="2018-09-01T00:00:00"/>
    <s v="Β΄ ΑΘΗΝΑΣ (Π.Ε.) 2018"/>
    <s v="ΔΙΕΥΘΥΝΣΗ Π.Ε. Β΄ ΑΘΗΝΑΣ"/>
    <s v="ΠΕΡΙΦΕΡΕΙΑΚΗ Δ/ΝΣΗ Α/ΘΜΙΑΣ ΚΑΙ Β/ΘΜΙΑΣ ΕΚΠ/ΣΗΣ ΑΤΤΙΚΗΣ"/>
    <n v="9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4-07T00:00:00"/>
    <x v="1"/>
    <s v="ΔΙΕΥΘΥΝΣΗ Π.Ε. Β΄ ΑΘΗΝΑΣ"/>
    <x v="1"/>
  </r>
  <r>
    <x v="594"/>
    <x v="1"/>
    <s v="ΠΕ07"/>
    <s v="ΓΕΡΜΑΝΙΚΗΣ ΦΙΛΟΛΟΓ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9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6-10-25T00:00:00"/>
    <x v="0"/>
    <s v="ΔΙΕΥΘΥΝΣΗ Δ.Ε. ΛΑΡΙΣΑΣ"/>
    <x v="1"/>
  </r>
  <r>
    <x v="595"/>
    <x v="1"/>
    <s v="ΠΕ06"/>
    <s v="ΑΓΓΛΙΚΗΣ ΦΙΛΟΛΟΓΙΑΣ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9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6-02-13T00:00:00"/>
    <x v="0"/>
    <s v="ΔΙΕΥΘΥΝΣΗ Δ.Ε. Β΄ ΑΘΗΝΑΣ"/>
    <x v="1"/>
  </r>
  <r>
    <x v="596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9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6-01-01T00:00:00"/>
    <x v="0"/>
    <s v="ΔΙΕΥΘΥΝΣΗ Δ.Ε. Δ΄ ΑΘΗΝΑΣ"/>
    <x v="1"/>
  </r>
  <r>
    <x v="597"/>
    <x v="1"/>
    <s v="ΠΕ04.02"/>
    <s v="ΧΗΜΙΚΟΙ"/>
    <m/>
    <m/>
    <s v="Γ΄"/>
    <n v="1"/>
    <n v="6467"/>
    <d v="2018-09-01T00:00:00"/>
    <s v="Γ΄ ΑΘΗΝΑΣ (Δ.Ε.) 2018"/>
    <s v="ΔΙΕΥΘΥΝΣΗ Δ.Ε. Γ΄ ΑΘΗΝΑΣ"/>
    <s v="ΠΕΡΙΦΕΡΕΙΑΚΗ Δ/ΝΣΗ Α/ΘΜΙΑΣ ΚΑΙ Β/ΘΜΙΑΣ ΕΚΠ/ΣΗΣ ΑΤΤΙΚΗΣ"/>
    <n v="9"/>
    <d v="2018-09-01T00:00:00"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75-10-02T00:00:00"/>
    <x v="0"/>
    <s v="ΔΙΕΥΘΥΝΣΗ Δ.Ε. Γ΄ ΑΘΗΝΑΣ"/>
    <x v="1"/>
  </r>
  <r>
    <x v="598"/>
    <x v="0"/>
    <s v="ΠΕ06"/>
    <s v="ΑΓΓΛΙΚΗΣ ΦΙΛΟΛΟΓΙΑΣ"/>
    <m/>
    <m/>
    <s v="Γ΄"/>
    <n v="1"/>
    <n v="19287"/>
    <d v="2018-09-03T00:00:00"/>
    <s v="Α΄ ΠΕΙΡΑΙΑ (Δ.Ε.) 2018"/>
    <s v="ΔΙΕΥΘΥΝΣΗ Δ.Ε. ΠΕΙΡΑΙΑ"/>
    <s v="ΠΕΡΙΦΕΡΕΙΑΚΗ Δ/ΝΣΗ Α/ΘΜΙΑΣ ΚΑΙ Β/ΘΜΙΑΣ ΕΚΠ/ΣΗΣ ΑΤΤΙΚΗΣ"/>
    <n v="9"/>
    <d v="2018-09-03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75-04-28T00:00:00"/>
    <x v="0"/>
    <s v="ΔΙΕΥΘΥΝΣΗ Δ.Ε. ΠΕΙΡΑΙΑ"/>
    <x v="1"/>
  </r>
  <r>
    <x v="599"/>
    <x v="1"/>
    <s v="ΠΕ07"/>
    <s v="ΓΕΡΜΑΝΙΚΗΣ ΦΙΛΟΛΟΓΙΑΣ"/>
    <m/>
    <m/>
    <s v="Γ΄"/>
    <n v="1"/>
    <s v="16059/01-09-2018"/>
    <d v="2018-09-01T00:00:00"/>
    <s v="ΛΑΡΙΣΑΣ (Δ.Ε.) 2018"/>
    <s v="ΔΙΕΥΘΥΝΣΗ Δ.Ε. ΛΑΡΙΣΑΣ"/>
    <s v="ΠΕΡΙΦΕΡΕΙΑΚΗ Δ/ΝΣΗ Α/ΘΜΙΑΣ ΚΑΙ Β/ΘΜΙΑΣ ΕΚΠ/ΣΗΣ ΘΕΣΣΑΛΙΑΣ"/>
    <n v="9"/>
    <d v="2018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4-11-16T00:00:00"/>
    <x v="0"/>
    <s v="ΔΙΕΥΘΥΝΣΗ Δ.Ε. ΛΑΡΙΣΑΣ"/>
    <x v="1"/>
  </r>
  <r>
    <x v="600"/>
    <x v="0"/>
    <s v="ΤΕ16"/>
    <s v="ΜΟΥΣΙΚΗΣ ΜΗ ΑΝΩΤΑΤΩΝ ΙΔΡΥΜΑΤΩΝ"/>
    <m/>
    <m/>
    <s v="Γ΄"/>
    <n v="1"/>
    <s v="ΩΞ1Ε4653ΠΣ-ΩΦ7"/>
    <d v="2018-09-26T00:00:00"/>
    <s v="ΞΑΝΘΗΣ (Π.Ε.) 2018"/>
    <s v="ΔΙΕΥΘΥΝΣΗ Π.Ε. ΞΑΝΘΗΣ"/>
    <s v="ΠΕΡΙΦΕΡΕΙΑΚΗ Δ/ΝΣΗ Α/ΘΜΙΑΣ ΚΑΙ Β/ΘΜΙΑΣ ΕΚΠ/ΣΗΣ ΑΝ. ΜΑΚΕΔΟΝΙΑΣ ΚΑΙ ΘΡΑΚΗΣ"/>
    <n v="9"/>
    <d v="2018-09-26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74-06-03T00:00:00"/>
    <x v="1"/>
    <s v="ΔΙΕΥΘΥΝΣΗ Π.Ε. ΞΑΝΘΗΣ"/>
    <x v="1"/>
  </r>
  <r>
    <x v="601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9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2-13T00:00:00"/>
    <x v="0"/>
    <s v="ΔΙΕΥΘΥΝΣΗ Δ.Ε. ΑΝΑΤΟΛΙΚΗΣ ΑΤΤΙΚΗΣ"/>
    <x v="1"/>
  </r>
  <r>
    <x v="602"/>
    <x v="0"/>
    <s v="ΠΕ80"/>
    <s v="ΟΙΚΟΝΟΜΙΑΣ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m/>
    <s v="Ιδιωτικά Σχολεία"/>
    <x v="2"/>
    <s v="2881010"/>
    <s v="ΙΔΙΩΤΙΚΟ ΓΥΜΝΑΣΙΟ ΚΟΡΙΝΘΟΥ - ΑΡΙΣΤΟΤΕΛΕΙΟ ΚΟΡΙΝΘΙΑΚΟ ΕΚΠΑΙΔΕΥΤΗΡ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4-01-08T00:00:00"/>
    <x v="0"/>
    <s v="ΔΙΕΥΘΥΝΣΗ Δ.Ε. ΚΟΡΙΝΘΙΑΣ"/>
    <x v="1"/>
  </r>
  <r>
    <x v="603"/>
    <x v="1"/>
    <s v="ΠΕ70"/>
    <s v="ΔΑΣΚΑΛΟΙ"/>
    <m/>
    <m/>
    <s v="Α΄"/>
    <n v="5"/>
    <m/>
    <m/>
    <s v="Α΄ ΠΕΙΡΑΙΑ (Π.Ε.) 2018"/>
    <s v="ΔΙΕΥΘΥΝΣΗ Π.Ε. ΠΕΙΡΑΙΑ"/>
    <s v="ΠΕΡΙΦΕΡΕΙΑΚΗ Δ/ΝΣΗ Α/ΘΜΙΑΣ ΚΑΙ Β/ΘΜΙΑΣ ΕΚΠ/ΣΗΣ ΑΤΤΙΚΗΣ"/>
    <n v="9"/>
    <m/>
    <s v="Ιδιωτικά Σχολεία"/>
    <x v="4"/>
    <s v="7541012"/>
    <s v="ΙΔΙΩΤΙΚΟ ΔΗΜΟΤΙΚΟ ΣΧΟΛΕΙΟ- ΘΕΜΙΣΤΟΚΛΗ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1-10-30T00:00:00"/>
    <x v="1"/>
    <s v="ΔΙΕΥΘΥΝΣΗ Π.Ε. ΠΕΙΡΑΙΑ"/>
    <x v="1"/>
  </r>
  <r>
    <x v="604"/>
    <x v="1"/>
    <s v="ΠΕ07"/>
    <s v="ΓΕΡΜΑΝΙΚΗΣ ΦΙΛΟΛΟΓΙΑΣ"/>
    <m/>
    <m/>
    <s v="Γ΄"/>
    <n v="1"/>
    <s v="Φ.Ι.Α.6/30223/4-12-2017"/>
    <d v="2017-09-01T00:00:00"/>
    <s v="Α΄ ΑΝΑΤ. ΑΤΤΙΚΗΣ (Δ.Ε.) 2018"/>
    <s v="ΔΙΕΥΘΥΝΣΗ Δ.Ε. ΑΝΑΤΟΛΙΚΗΣ ΑΤΤΙΚΗΣ"/>
    <s v="ΠΕΡΙΦΕΡΕΙΑΚΗ Δ/ΝΣΗ Α/ΘΜΙΑΣ ΚΑΙ Β/ΘΜΙΑΣ ΕΚΠ/ΣΗΣ ΑΤΤΙΚΗΣ"/>
    <n v="9"/>
    <d v="2017-09-01T00:00:00"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71-09-17T00:00:00"/>
    <x v="0"/>
    <s v="ΔΙΕΥΘΥΝΣΗ Δ.Ε. ΑΝΑΤΟΛΙΚΗΣ ΑΤΤΙΚΗΣ"/>
    <x v="1"/>
  </r>
  <r>
    <x v="605"/>
    <x v="0"/>
    <s v="ΠΕ04.02"/>
    <s v="ΧΗΜ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6-24T00:00:00"/>
    <x v="0"/>
    <s v="ΔΙΕΥΘΥΝΣΗ Δ.Ε. ΠΕΙΡΑΙΑ"/>
    <x v="1"/>
  </r>
  <r>
    <x v="606"/>
    <x v="1"/>
    <s v="ΠΕ04.01"/>
    <s v="ΦΥΣΙΚΟΙ"/>
    <m/>
    <m/>
    <s v="Γ΄"/>
    <n v="1"/>
    <n v="6569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9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1-01-15T00:00:00"/>
    <x v="0"/>
    <s v="ΔΙΕΥΘΥΝΣΗ Δ.Ε. ΔΥΤ. ΘΕΣ/ΝΙΚΗΣ"/>
    <x v="1"/>
  </r>
  <r>
    <x v="607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9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0-08-20T00:00:00"/>
    <x v="0"/>
    <s v="ΔΙΕΥΘΥΝΣΗ Δ.Ε. Γ΄ ΑΘΗΝΑΣ"/>
    <x v="1"/>
  </r>
  <r>
    <x v="608"/>
    <x v="0"/>
    <s v="ΠΕ04.04"/>
    <s v="ΒΙ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0-06-08T00:00:00"/>
    <x v="0"/>
    <s v="ΔΙΕΥΘΥΝΣΗ Δ.Ε. ΚΟΡΙΝΘΙΑΣ"/>
    <x v="1"/>
  </r>
  <r>
    <x v="609"/>
    <x v="0"/>
    <s v="ΠΕ88.01"/>
    <s v="ΓΕΩΠΟΝΟΙ"/>
    <s v="ΠΕ86"/>
    <s v="ΠΛΗΡΟΦΟΡΙΚΗΣ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9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2-24T00:00:00"/>
    <x v="0"/>
    <s v="ΔΙΕΥΘΥΝΣΗ Δ.Ε. ΑΝΑΤ. ΘΕΣ/ΝΙΚΗΣ"/>
    <x v="1"/>
  </r>
  <r>
    <x v="610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4-01T00:00:00"/>
    <x v="0"/>
    <s v="ΔΙΕΥΘΥΝΣΗ Δ.Ε. ΠΕΙΡΑΙΑ"/>
    <x v="1"/>
  </r>
  <r>
    <x v="611"/>
    <x v="1"/>
    <s v="ΠΕ05"/>
    <s v="ΓΑΛΛΙΚΗΣ ΦΙΛΟΛΟΓΙΑΣ"/>
    <m/>
    <m/>
    <s v="Γ΄"/>
    <n v="1"/>
    <s v="19089/01-09-2017"/>
    <d v="2017-09-01T00:00:00"/>
    <s v="ΛΑΡΙΣΑΣ (Δ.Ε.) 2018"/>
    <s v="ΔΙΕΥΘΥΝΣΗ Δ.Ε. ΛΑΡΙΣΑΣ"/>
    <s v="ΠΕΡΙΦΕΡΕΙΑΚΗ Δ/ΝΣΗ Α/ΘΜΙΑΣ ΚΑΙ Β/ΘΜΙΑΣ ΕΚΠ/ΣΗΣ ΘΕΣΣΑΛΙΑΣ"/>
    <n v="9"/>
    <d v="2017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8-11-10T00:00:00"/>
    <x v="0"/>
    <s v="ΔΙΕΥΘΥΝΣΗ Δ.Ε. ΛΑΡΙΣΑΣ"/>
    <x v="1"/>
  </r>
  <r>
    <x v="612"/>
    <x v="1"/>
    <s v="ΤΕ16"/>
    <s v="ΜΟΥΣΙΚΗΣ ΜΗ ΑΝΩΤΑΤΩΝ ΙΔΡΥΜΑΤΩΝ"/>
    <m/>
    <m/>
    <s v="Γ΄"/>
    <n v="1"/>
    <n v="18277"/>
    <d v="2018-09-01T00:00:00"/>
    <s v="Γ΄ ΑΘΗΝΑΣ (Δ.Ε.) 2018"/>
    <s v="ΔΙΕΥΘΥΝΣΗ Δ.Ε. Γ΄ ΑΘΗΝΑΣ"/>
    <s v="ΠΕΡΙΦΕΡΕΙΑΚΗ Δ/ΝΣΗ Α/ΘΜΙΑΣ ΚΑΙ Β/ΘΜΙΑΣ ΕΚΠ/ΣΗΣ ΑΤΤΙΚΗΣ"/>
    <n v="9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2"/>
    <s v="Τοποθέτηση σε Ιδιωτική Εκπαίδευση"/>
    <d v="1968-05-28T00:00:00"/>
    <x v="0"/>
    <s v="ΔΙΕΥΘΥΝΣΗ Δ.Ε. Γ΄ ΑΘΗΝΑΣ"/>
    <x v="1"/>
  </r>
  <r>
    <x v="613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3-01T00:00:00"/>
    <x v="0"/>
    <s v="ΔΙΕΥΘΥΝΣΗ Δ.Ε. Γ΄ ΑΘΗΝΑΣ"/>
    <x v="1"/>
  </r>
  <r>
    <x v="614"/>
    <x v="1"/>
    <s v="ΤΕ16"/>
    <s v="ΜΟΥΣΙΚΗΣ ΜΗ ΑΝΩΤΑΤΩΝ ΙΔΡΥΜΑΤΩΝ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9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68-01-01T00:00:00"/>
    <x v="1"/>
    <s v="ΔΙΕΥΘΥΝΣΗ Π.Ε. ΚΟΡΙΝΘΙΑΣ"/>
    <x v="1"/>
  </r>
  <r>
    <x v="615"/>
    <x v="1"/>
    <s v="ΠΕ11"/>
    <s v="ΦΥΣΙΚΗΣ ΑΓΩΓΗΣ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9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7-07-18T00:00:00"/>
    <x v="1"/>
    <s v="ΔΙΕΥΘΥΝΣΗ Π.Ε. ΗΡΑΚΛΕΙΟΥ"/>
    <x v="1"/>
  </r>
  <r>
    <x v="61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9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3-14T00:00:00"/>
    <x v="0"/>
    <s v="ΔΙΕΥΘΥΝΣΗ Δ.Ε. ΑΝΑΤΟΛΙΚΗΣ ΑΤΤΙΚΗΣ"/>
    <x v="1"/>
  </r>
  <r>
    <x v="617"/>
    <x v="1"/>
    <s v="ΠΕ04.02"/>
    <s v="ΧΗΜΙΚΟΙ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9"/>
    <d v="2018-09-03T00:00:00"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67-01-01T00:00:00"/>
    <x v="0"/>
    <s v="ΔΙΕΥΘΥΝΣΗ Δ.Ε. Δ΄ ΑΘΗΝΑΣ"/>
    <x v="1"/>
  </r>
  <r>
    <x v="618"/>
    <x v="0"/>
    <s v="ΠΕ03"/>
    <s v="ΜΑΘΗΜΑΤ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7-01-01T00:00:00"/>
    <x v="0"/>
    <s v="ΔΙΕΥΘΥΝΣΗ Δ.Ε. ΚΟΡΙΝΘΙΑΣ"/>
    <x v="1"/>
  </r>
  <r>
    <x v="619"/>
    <x v="1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6-12-06T00:00:00"/>
    <x v="0"/>
    <s v="ΔΙΕΥΘΥΝΣΗ Δ.Ε. ΠΕΙΡΑΙΑ"/>
    <x v="1"/>
  </r>
  <r>
    <x v="620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9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6-11-19T00:00:00"/>
    <x v="0"/>
    <s v="ΔΙΕΥΘΥΝΣΗ Δ.Ε. ΑΝΑΤ. ΘΕΣ/ΝΙΚΗΣ"/>
    <x v="1"/>
  </r>
  <r>
    <x v="621"/>
    <x v="0"/>
    <s v="ΠΕ78"/>
    <s v="ΚΟΙΝΩΝΙΚΩΝ ΕΠΙΣΤΗΜ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9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9-01T00:00:00"/>
    <x v="0"/>
    <s v="ΔΙΕΥΘΥΝΣΗ Δ.Ε. Β΄ ΑΘΗΝΑΣ"/>
    <x v="1"/>
  </r>
  <r>
    <x v="622"/>
    <x v="1"/>
    <s v="ΠΕ06"/>
    <s v="ΑΓΓΛΙΚΗΣ ΦΙΛΟΛΟΓΙΑΣ"/>
    <m/>
    <m/>
    <s v="Α΄"/>
    <n v="1"/>
    <s v="7243/23-09-2010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9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6-04-28T00:00:00"/>
    <x v="0"/>
    <s v="ΔΙΕΥΘΥΝΣΗ Δ.Ε. ΔΥΤ. ΘΕΣ/ΝΙΚΗΣ"/>
    <x v="1"/>
  </r>
  <r>
    <x v="623"/>
    <x v="1"/>
    <s v="ΠΕ81"/>
    <s v="ΠΟΛ.ΜΗΧΑΝΙΚΩΝ-ΑΡΧΙΤΕΚΤΟΝ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9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6-02-02T00:00:00"/>
    <x v="0"/>
    <s v="ΔΙΕΥΘΥΝΣΗ Δ.Ε. ΠΕΙΡΑΙΑ"/>
    <x v="1"/>
  </r>
  <r>
    <x v="624"/>
    <x v="1"/>
    <s v="ΠΕ05"/>
    <s v="ΓΑΛΛΙΚΗΣ ΦΙΛΟΛΟΓΙΑΣ"/>
    <m/>
    <m/>
    <s v="Γ΄"/>
    <n v="1"/>
    <s v="19083/01-09-2017"/>
    <d v="2017-09-01T00:00:00"/>
    <s v="ΛΑΡΙΣΑΣ (Δ.Ε.) 2018"/>
    <s v="ΔΙΕΥΘΥΝΣΗ Δ.Ε. ΛΑΡΙΣΑΣ"/>
    <s v="ΠΕΡΙΦΕΡΕΙΑΚΗ Δ/ΝΣΗ Α/ΘΜΙΑΣ ΚΑΙ Β/ΘΜΙΑΣ ΕΚΠ/ΣΗΣ ΘΕΣΣΑΛΙΑΣ"/>
    <n v="9"/>
    <d v="2017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4-11-19T00:00:00"/>
    <x v="0"/>
    <s v="ΔΙΕΥΘΥΝΣΗ Δ.Ε. ΛΑΡΙΣΑΣ"/>
    <x v="1"/>
  </r>
  <r>
    <x v="625"/>
    <x v="0"/>
    <s v="ΠΕ04.02"/>
    <s v="ΧΗΜ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9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10-26T00:00:00"/>
    <x v="0"/>
    <s v="ΔΙΕΥΘΥΝΣΗ Δ.Ε. Δ΄ ΑΘΗΝΑΣ"/>
    <x v="1"/>
  </r>
  <r>
    <x v="626"/>
    <x v="1"/>
    <s v="ΠΕ11"/>
    <s v="ΦΥΣΙΚΗΣ ΑΓΩΓΗ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9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4-10-02T00:00:00"/>
    <x v="1"/>
    <s v="ΔΙΕΥΘΥΝΣΗ Π.Ε. ΛΑΡΙΣΑΣ"/>
    <x v="1"/>
  </r>
  <r>
    <x v="627"/>
    <x v="0"/>
    <s v="ΠΕ79.01"/>
    <s v="ΜΟΥΣΙΚΗΣ ΕΠΙΣΤΗΜ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9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4-08-01T00:00:00"/>
    <x v="1"/>
    <s v="ΔΙΕΥΘΥΝΣΗ Π.Ε. ΑΝΑΤΟΛΙΚΗΣ ΑΤΤΙΚΗΣ"/>
    <x v="1"/>
  </r>
  <r>
    <x v="628"/>
    <x v="0"/>
    <s v="ΠΕ04.01"/>
    <s v="ΦΥΣΙΚ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9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4-04-25T00:00:00"/>
    <x v="0"/>
    <s v="ΔΙΕΥΘΥΝΣΗ Δ.Ε. ΑΧΑΪΑΣ"/>
    <x v="1"/>
  </r>
  <r>
    <x v="629"/>
    <x v="0"/>
    <s v="ΠΕ04.01"/>
    <s v="ΦΥΣ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9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4-01-17T00:00:00"/>
    <x v="0"/>
    <s v="ΔΙΕΥΘΥΝΣΗ Δ.Ε. ΔΩΔΕΚΑΝΗΣΟΥ"/>
    <x v="1"/>
  </r>
  <r>
    <x v="63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9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5-12T00:00:00"/>
    <x v="0"/>
    <s v="ΔΙΕΥΘΥΝΣΗ Δ.Ε. Β΄ ΑΘΗΝΑΣ"/>
    <x v="1"/>
  </r>
  <r>
    <x v="631"/>
    <x v="1"/>
    <s v="ΠΕ04.04"/>
    <s v="ΒΙ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9"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3"/>
    <s v="Τοποθέτηση σε Ιδιωτική Εκπαίδευση"/>
    <d v="1962-04-29T00:00:00"/>
    <x v="0"/>
    <s v="ΔΙΕΥΘΥΝΣΗ Δ.Ε. ΔΩΔΕΚΑΝΗΣΟΥ"/>
    <x v="1"/>
  </r>
  <r>
    <x v="632"/>
    <x v="0"/>
    <s v="ΠΕ03"/>
    <s v="ΜΑΘΗΜΑΤΙΚΟΙ"/>
    <m/>
    <m/>
    <s v="Γ΄"/>
    <n v="8"/>
    <m/>
    <m/>
    <s v="Δ΄ ΑΘΗΝΑΣ (Δ.Ε.) 2018"/>
    <s v="ΔΙΕΥΘΥΝΣΗ Δ.Ε. Δ΄ ΑΘΗΝΑΣ"/>
    <s v="ΠΕΡΙΦΕΡΕΙΑΚΗ Δ/ΝΣΗ Α/ΘΜΙΑΣ ΚΑΙ Β/ΘΜΙΑΣ ΕΚΠ/ΣΗΣ ΑΤΤΙΚΗΣ"/>
    <n v="9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04-01T00:00:00"/>
    <x v="0"/>
    <s v="ΔΙΕΥΘΥΝΣΗ Δ.Ε. Δ΄ ΑΘΗΝΑΣ"/>
    <x v="1"/>
  </r>
  <r>
    <x v="633"/>
    <x v="0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9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5-22T00:00:00"/>
    <x v="0"/>
    <s v="ΔΙΕΥΘΥΝΣΗ Δ.Ε. Β΄ ΑΘΗΝΑΣ"/>
    <x v="1"/>
  </r>
  <r>
    <x v="634"/>
    <x v="0"/>
    <s v="ΠΕ04.02"/>
    <s v="ΧΗΜ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9"/>
    <m/>
    <s v="Ιδιωτικά Σχολεία"/>
    <x v="2"/>
    <s v="2881010"/>
    <s v="ΙΔΙΩΤΙΚΟ ΓΥΜΝΑΣΙΟ ΚΟΡΙΝΘΟΥ - ΑΡΙΣΤΟΤΕΛΕΙΟ ΚΟΡΙΝΘΙΑΚΟ ΕΚΠΑΙΔΕΥΤΗΡ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59-09-01T00:00:00"/>
    <x v="0"/>
    <s v="ΔΙΕΥΘΥΝΣΗ Δ.Ε. ΚΟΡΙΝΘΙΑΣ"/>
    <x v="1"/>
  </r>
  <r>
    <x v="635"/>
    <x v="0"/>
    <s v="ΠΕ04.02"/>
    <s v="ΧΗΜΙΚ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9"/>
    <m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59-07-20T00:00:00"/>
    <x v="0"/>
    <s v="ΔΙΕΥΘΥΝΣΗ Δ.Ε. ΑΧΑΪΑΣ"/>
    <x v="1"/>
  </r>
  <r>
    <x v="636"/>
    <x v="0"/>
    <s v="ΠΕ04.01"/>
    <s v="ΦΥΣΙΚ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9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57-07-05T00:00:00"/>
    <x v="0"/>
    <s v="ΔΙΕΥΘΥΝΣΗ Δ.Ε. ΛΑΡΙΣΑΣ"/>
    <x v="1"/>
  </r>
  <r>
    <x v="637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5-03-28T00:00:00"/>
    <x v="0"/>
    <s v="ΔΙΕΥΘΥΝΣΗ Δ.Ε. Γ΄ ΑΘΗΝΑΣ"/>
    <x v="1"/>
  </r>
  <r>
    <x v="638"/>
    <x v="1"/>
    <s v="ΠΕ08"/>
    <s v="ΚΑΛΛΙΤΕΧΝΙΚΩΝ"/>
    <m/>
    <m/>
    <s v="Γ΄"/>
    <n v="1"/>
    <s v="20232/ 14-11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9"/>
    <d v="2018-09-01T00:00:00"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m/>
    <x v="0"/>
    <s v="ΔΙΕΥΘΥΝΣΗ Δ.Ε. ΑΝΑΤΟΛΙΚΗΣ ΑΤΤΙΚΗΣ"/>
    <x v="1"/>
  </r>
  <r>
    <x v="639"/>
    <x v="1"/>
    <s v="ΠΕ05"/>
    <s v="ΓΑΛΛΙΚΗΣ ΦΙΛΟΛΟΓΙΑΣ"/>
    <m/>
    <m/>
    <s v="Γ΄"/>
    <n v="1"/>
    <s v="16653/48"/>
    <d v="2018-09-01T00:00:00"/>
    <s v="Γ΄ ΑΘΗΝΑΣ (Δ.Ε.) 2018"/>
    <s v="ΔΙΕΥΘΥΝΣΗ Δ.Ε. Γ΄ ΑΘΗΝΑΣ"/>
    <s v="ΠΕΡΙΦΕΡΕΙΑΚΗ Δ/ΝΣΗ Α/ΘΜΙΑΣ ΚΑΙ Β/ΘΜΙΑΣ ΕΚΠ/ΣΗΣ ΑΤΤΙΚΗΣ"/>
    <n v="9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1"/>
  </r>
  <r>
    <x v="640"/>
    <x v="1"/>
    <s v="ΠΕ79.01"/>
    <s v="ΜΟΥΣΙΚΗΣ ΕΠΙΣΤΗΜ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1"/>
  </r>
  <r>
    <x v="641"/>
    <x v="1"/>
    <s v="ΠΕ07"/>
    <s v="ΓΕΡΜ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9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1"/>
  </r>
  <r>
    <x v="642"/>
    <x v="1"/>
    <s v="ΠΕ04.02"/>
    <s v="ΧΗΜΙΚΟΙ"/>
    <m/>
    <m/>
    <s v="Γ΄"/>
    <n v="1"/>
    <n v="16635"/>
    <d v="2018-11-26T00:00:00"/>
    <s v="Δ΄ ΑΘΗΝΑΣ (Δ.Ε.) 2018"/>
    <s v="ΔΙΕΥΘΥΝΣΗ Δ.Ε. Δ΄ ΑΘΗΝΑΣ"/>
    <s v="ΠΕΡΙΦΕΡΕΙΑΚΗ Δ/ΝΣΗ Α/ΘΜΙΑΣ ΚΑΙ Β/ΘΜΙΑΣ ΕΚΠ/ΣΗΣ ΑΤΤΙΚΗΣ"/>
    <n v="9"/>
    <d v="2018-11-26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1"/>
  </r>
  <r>
    <x v="643"/>
    <x v="1"/>
    <s v="ΤΕ16"/>
    <s v="ΜΟΥΣΙΚΗΣ ΜΗ ΑΝΩΤΑΤΩΝ ΙΔΡΥΜΑΤΩΝ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9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m/>
    <x v="1"/>
    <s v="ΔΙΕΥΘΥΝΣΗ Π.Ε. ΑΡΓΟΛΙΔΑΣ"/>
    <x v="1"/>
  </r>
  <r>
    <x v="644"/>
    <x v="1"/>
    <s v="ΠΕ06"/>
    <s v="ΑΓΓΛΙΚΗΣ ΦΙΛΟΛΟΓΙΑΣ"/>
    <m/>
    <m/>
    <s v="Γ΄"/>
    <n v="1"/>
    <n v="17171"/>
    <d v="2018-09-01T00:00:00"/>
    <s v="Γ΄ ΑΘΗΝΑΣ (Δ.Ε.) 2018"/>
    <s v="ΔΙΕΥΘΥΝΣΗ Δ.Ε. Γ΄ ΑΘΗΝΑΣ"/>
    <s v="ΠΕΡΙΦΕΡΕΙΑΚΗ Δ/ΝΣΗ Α/ΘΜΙΑΣ ΚΑΙ Β/ΘΜΙΑΣ ΕΚΠ/ΣΗΣ ΑΤΤΙΚΗΣ"/>
    <n v="10"/>
    <d v="2018-09-01T00:00:00"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92-08-11T00:00:00"/>
    <x v="0"/>
    <s v="ΔΙΕΥΘΥΝΣΗ Δ.Ε. Γ΄ ΑΘΗΝΑΣ"/>
    <x v="1"/>
  </r>
  <r>
    <x v="645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2-06-16T00:00:00"/>
    <x v="1"/>
    <s v="ΔΙΕΥΘΥΝΣΗ Π.Ε. ΑΝΑΤΟΛΙΚΗΣ ΑΤΤΙΚΗΣ"/>
    <x v="1"/>
  </r>
  <r>
    <x v="646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2-04-29T00:00:00"/>
    <x v="1"/>
    <s v="ΔΙΕΥΘΥΝΣΗ Π.Ε. ΑΝΑΤΟΛΙΚΗΣ ΑΤΤΙΚΗΣ"/>
    <x v="1"/>
  </r>
  <r>
    <x v="647"/>
    <x v="0"/>
    <s v="ΠΕ82"/>
    <s v="ΜΗΧΑΝΟΛΟΓΩΝ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0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92-01-01T00:00:00"/>
    <x v="0"/>
    <s v="ΔΙΕΥΘΥΝΣΗ Δ.Ε. ΧΙΟΥ"/>
    <x v="1"/>
  </r>
  <r>
    <x v="648"/>
    <x v="1"/>
    <s v="ΠΕ02"/>
    <s v="ΦΙΛΟΛΟΓΟΙ"/>
    <m/>
    <m/>
    <s v="Γ΄"/>
    <n v="1"/>
    <n v="12816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10"/>
    <d v="2018-11-01T00:00:00"/>
    <m/>
    <x v="6"/>
    <s v=""/>
    <m/>
    <m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89-07-27T00:00:00"/>
    <x v="0"/>
    <s v="ΔΙΕΥΘΥΝΣΗ Δ.Ε. ΠΙΕΡΙΑΣ"/>
    <x v="1"/>
  </r>
  <r>
    <x v="649"/>
    <x v="1"/>
    <s v="ΠΕ86"/>
    <s v="ΠΛΗΡΟΦΟΡΙΚΗΣ"/>
    <m/>
    <m/>
    <s v="Γ΄"/>
    <n v="1"/>
    <s v="501/13155/8-12-2017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9-04-27T00:00:00"/>
    <x v="1"/>
    <s v="ΔΙΕΥΘΥΝΣΗ Π.Ε. Β΄ ΑΘΗΝΑΣ"/>
    <x v="1"/>
  </r>
  <r>
    <x v="650"/>
    <x v="0"/>
    <s v="ΠΕ82"/>
    <s v="ΜΗΧΑΝΟΛΟΓΩΝ"/>
    <m/>
    <m/>
    <s v="Γ΄"/>
    <n v="1"/>
    <s v="18279/52"/>
    <d v="2018-09-01T00:00:00"/>
    <s v="Γ΄ ΑΘΗΝΑΣ (Δ.Ε.) 2018"/>
    <s v="ΔΙΕΥΘΥΝΣΗ Δ.Ε. Γ΄ ΑΘΗΝΑΣ"/>
    <s v="ΠΕΡΙΦΕΡΕΙΑΚΗ Δ/ΝΣΗ Α/ΘΜΙΑΣ ΚΑΙ Β/ΘΜΙΑΣ ΕΚΠ/ΣΗΣ ΑΤΤΙΚΗΣ"/>
    <n v="10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8-06-04T00:00:00"/>
    <x v="0"/>
    <s v="ΔΙΕΥΘΥΝΣΗ Δ.Ε. Γ΄ ΑΘΗΝΑΣ"/>
    <x v="1"/>
  </r>
  <r>
    <x v="651"/>
    <x v="0"/>
    <s v="ΠΕ01"/>
    <s v="ΘΕΟΛΟΓΟΙ"/>
    <m/>
    <m/>
    <s v="Γ΄"/>
    <n v="1"/>
    <s v="19759/29-11-2018"/>
    <d v="2018-09-18T00:00:00"/>
    <s v="Α΄ ΑΝΑΤ. ΑΤΤΙΚΗΣ (Δ.Ε.) 2018"/>
    <s v="ΔΙΕΥΘΥΝΣΗ Δ.Ε. ΑΝΑΤΟΛΙΚΗΣ ΑΤΤΙΚΗΣ"/>
    <s v="ΠΕΡΙΦΕΡΕΙΑΚΗ Δ/ΝΣΗ Α/ΘΜΙΑΣ ΚΑΙ Β/ΘΜΙΑΣ ΕΚΠ/ΣΗΣ ΑΤΤΙΚΗΣ"/>
    <n v="10"/>
    <d v="2018-09-18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7-11-12T00:00:00"/>
    <x v="0"/>
    <s v="ΔΙΕΥΘΥΝΣΗ Δ.Ε. ΑΝΑΤΟΛΙΚΗΣ ΑΤΤΙΚΗΣ"/>
    <x v="1"/>
  </r>
  <r>
    <x v="652"/>
    <x v="1"/>
    <s v="ΠΕ02"/>
    <s v="ΦΙΛΟΛΟΓΟΙ"/>
    <m/>
    <m/>
    <s v="Γ΄"/>
    <n v="1"/>
    <s v="3733/5-9-2018"/>
    <d v="2018-09-05T00:00:00"/>
    <s v="ΑΡΓΟΛΙΔΑΣ (Δ.Ε.) 2018"/>
    <s v="ΔΙΕΥΘΥΝΣΗ Δ.Ε. ΑΡΓΟΛΙΔΑΣ"/>
    <s v="ΠΕΡΙΦΕΡΕΙΑΚΗ Δ/ΝΣΗ Α/ΘΜΙΑΣ ΚΑΙ Β/ΘΜΙΑΣ ΕΚΠ/ΣΗΣ ΠΕΛΟΠΟΝΝΗΣΟΥ"/>
    <n v="10"/>
    <d v="2018-09-05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87-07-27T00:00:00"/>
    <x v="0"/>
    <s v="ΔΙΕΥΘΥΝΣΗ Δ.Ε. ΑΡΓΟΛΙΔΑΣ"/>
    <x v="1"/>
  </r>
  <r>
    <x v="653"/>
    <x v="1"/>
    <s v="ΠΕ07"/>
    <s v="ΓΕΡΜΑΝΙΚΗΣ ΦΙΛΟΛΟΓΙΑΣ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0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6-11-03T00:00:00"/>
    <x v="0"/>
    <s v="ΔΙΕΥΘΥΝΣΗ Δ.Ε. ΚΟΡΙΝΘΙΑΣ"/>
    <x v="1"/>
  </r>
  <r>
    <x v="654"/>
    <x v="0"/>
    <s v="ΠΕ08"/>
    <s v="ΚΑΛΛΙΤΕΧΝΙΚΩΝ"/>
    <m/>
    <m/>
    <s v="Γ΄"/>
    <n v="1"/>
    <s v="ΩΚ8Π4653ΠΣ-ΝΨΡ"/>
    <d v="2018-09-01T00:00:00"/>
    <s v="ΧΑΝΙΩΝ (Π.Ε.) 2018"/>
    <s v="ΔΙΕΥΘΥΝΣΗ Π.Ε. ΧΑΝΙΩΝ"/>
    <s v="ΠΕΡΙΦΕΡΕΙΑΚΗ Δ/ΝΣΗ Α/ΘΜΙΑΣ ΚΑΙ Β/ΘΜΙΑΣ ΕΚΠ/ΣΗΣ ΚΡΗΤΗΣ"/>
    <n v="10"/>
    <d v="2018-09-01T00:00:00"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86-06-26T00:00:00"/>
    <x v="1"/>
    <s v="ΔΙΕΥΘΥΝΣΗ Π.Ε. ΧΑΝΙΩΝ"/>
    <x v="1"/>
  </r>
  <r>
    <x v="655"/>
    <x v="1"/>
    <s v="ΠΕ80"/>
    <s v="ΟΙΚΟΝΟΜ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6-06-11T00:00:00"/>
    <x v="0"/>
    <s v="ΔΙΕΥΘΥΝΣΗ Δ.Ε. ΠΕΙΡΑΙΑ"/>
    <x v="1"/>
  </r>
  <r>
    <x v="656"/>
    <x v="1"/>
    <s v="ΠΕ05"/>
    <s v="ΓΑΛΛΙΚΗΣ ΦΙΛΟΛΟΓΙΑΣ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0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5-11-11T00:00:00"/>
    <x v="0"/>
    <s v="ΔΙΕΥΘΥΝΣΗ Δ.Ε. ΚΥΚΛΑΔΩΝ"/>
    <x v="1"/>
  </r>
  <r>
    <x v="657"/>
    <x v="1"/>
    <s v="ΠΕ03"/>
    <s v="ΜΑΘΗΜΑΤΙΚΟΙ"/>
    <m/>
    <m/>
    <s v="Γ΄"/>
    <n v="1"/>
    <s v="19261/10-11-2017"/>
    <d v="2017-11-02T00:00:00"/>
    <s v="ΗΡΑΚΛΕΙΟΥ (Δ.Ε.) 2018"/>
    <s v="ΔΙΕΥΘΥΝΣΗ Δ.Ε. ΗΡΑΚΛΕΙΟΥ"/>
    <s v="ΠΕΡΙΦΕΡΕΙΑΚΗ Δ/ΝΣΗ Α/ΘΜΙΑΣ ΚΑΙ Β/ΘΜΙΑΣ ΕΚΠ/ΣΗΣ ΚΡΗΤΗΣ"/>
    <n v="10"/>
    <d v="2017-11-02T00:00:00"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0"/>
    <s v="Τοποθέτηση σε Ιδιωτική Εκπαίδευση"/>
    <d v="1985-08-02T00:00:00"/>
    <x v="0"/>
    <s v="ΔΙΕΥΘΥΝΣΗ Δ.Ε. ΗΡΑΚΛΕΙΟΥ"/>
    <x v="1"/>
  </r>
  <r>
    <x v="658"/>
    <x v="1"/>
    <s v="ΠΕ02"/>
    <s v="ΦΙΛΟΛΟΓΟΙ"/>
    <m/>
    <m/>
    <s v="Γ΄"/>
    <n v="1"/>
    <n v="12095"/>
    <d v="2018-09-01T00:00:00"/>
    <s v="Δ΄ ΑΘΗΝΑΣ (Δ.Ε.) 2018"/>
    <s v="ΔΙΕΥΘΥΝΣΗ Δ.Ε. Δ΄ ΑΘΗΝΑΣ"/>
    <s v="ΠΕΡΙΦΕΡΕΙΑΚΗ Δ/ΝΣΗ Α/ΘΜΙΑΣ ΚΑΙ Β/ΘΜΙΑΣ ΕΚΠ/ΣΗΣ ΑΤΤΙΚΗΣ"/>
    <n v="10"/>
    <d v="2018-09-01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5-07-11T00:00:00"/>
    <x v="0"/>
    <s v="ΔΙΕΥΘΥΝΣΗ Δ.Ε. Δ΄ ΑΘΗΝΑΣ"/>
    <x v="1"/>
  </r>
  <r>
    <x v="659"/>
    <x v="1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5-05-20T00:00:00"/>
    <x v="0"/>
    <s v="ΔΙΕΥΘΥΝΣΗ Δ.Ε. ΠΕΙΡΑΙΑ"/>
    <x v="1"/>
  </r>
  <r>
    <x v="660"/>
    <x v="1"/>
    <s v="ΠΕ11"/>
    <s v="ΦΥΣΙΚΗΣ ΑΓΩΓΗΣ"/>
    <m/>
    <m/>
    <s v="Γ΄"/>
    <n v="1"/>
    <s v="Φ.Ι.Α.6/25385/16-11-2017"/>
    <d v="2017-09-04T00:00:00"/>
    <s v="Α΄ ΑΝΑΤ. ΑΤΤΙΚΗΣ (Π.Ε.) 2018"/>
    <s v="ΔΙΕΥΘΥΝΣΗ Π.Ε. ΑΝΑΤΟΛΙΚΗΣ ΑΤΤΙΚΗΣ"/>
    <s v="ΠΕΡΙΦΕΡΕΙΑΚΗ Δ/ΝΣΗ Α/ΘΜΙΑΣ ΚΑΙ Β/ΘΜΙΑΣ ΕΚΠ/ΣΗΣ ΑΤΤΙΚΗΣ"/>
    <n v="10"/>
    <d v="2017-09-04T00:00:00"/>
    <s v="Ιδιωτικά Σχολεία"/>
    <x v="1"/>
    <s v="7521019"/>
    <s v="ΙΔΙΩΤΙΚΟ ΝΗΠΙΑΓΩΓΕΙΟ ΕΛΛΗΝΟΓΕΡΜΑΝΙΚΗ ΑΓΩΓΗ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85-01-01T00:00:00"/>
    <x v="1"/>
    <s v="ΔΙΕΥΘΥΝΣΗ Π.Ε. ΑΝΑΤΟΛΙΚΗΣ ΑΤΤΙΚΗΣ"/>
    <x v="1"/>
  </r>
  <r>
    <x v="661"/>
    <x v="1"/>
    <s v="ΠΕ01"/>
    <s v="ΘΕΟΛΟΓΟΙ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0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4-01-03T00:00:00"/>
    <x v="0"/>
    <s v="ΔΙΕΥΘΥΝΣΗ Δ.Ε. ΑΡΓΟΛΙΔΑΣ"/>
    <x v="1"/>
  </r>
  <r>
    <x v="662"/>
    <x v="0"/>
    <s v="ΠΕ80"/>
    <s v="ΟΙΚΟΝΟΜΙΑΣ"/>
    <m/>
    <m/>
    <s v="Α΄"/>
    <n v="1"/>
    <s v="ΒΛΓΠ9-ΝΚ3"/>
    <d v="2013-12-06T00:00:00"/>
    <s v="Δ΄ ΑΘΗΝΑΣ (Δ.Ε.) 2018"/>
    <s v="ΔΙΕΥΘΥΝΣΗ Δ.Ε. Δ΄ ΑΘΗΝΑΣ"/>
    <s v="ΠΕΡΙΦΕΡΕΙΑΚΗ Δ/ΝΣΗ Α/ΘΜΙΑΣ ΚΑΙ Β/ΘΜΙΑΣ ΕΚΠ/ΣΗΣ ΑΤΤΙΚΗΣ"/>
    <n v="10"/>
    <d v="2013-12-06T00:00:00"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4-01-01T00:00:00"/>
    <x v="0"/>
    <s v="ΔΙΕΥΘΥΝΣΗ Δ.Ε. Δ΄ ΑΘΗΝΑΣ"/>
    <x v="1"/>
  </r>
  <r>
    <x v="663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2-11-17T00:00:00"/>
    <x v="0"/>
    <s v="ΔΙΕΥΘΥΝΣΗ Δ.Ε. ΑΝΑΤΟΛΙΚΗΣ ΑΤΤΙΚΗΣ"/>
    <x v="1"/>
  </r>
  <r>
    <x v="664"/>
    <x v="0"/>
    <s v="ΠΕ07"/>
    <s v="ΓΕΡΜΑΝΙΚΗΣ ΦΙΛΟΛΟΓΙΑΣ"/>
    <m/>
    <m/>
    <s v="Γ΄"/>
    <n v="1"/>
    <s v="18175/10-10-2018"/>
    <d v="2018-09-01T00:00:00"/>
    <s v="ΛΑΡΙΣΑΣ (Δ.Ε.) 2018"/>
    <s v="ΔΙΕΥΘΥΝΣΗ Δ.Ε. ΛΑΡΙΣΑΣ"/>
    <s v="ΠΕΡΙΦΕΡΕΙΑΚΗ Δ/ΝΣΗ Α/ΘΜΙΑΣ ΚΑΙ Β/ΘΜΙΑΣ ΕΚΠ/ΣΗΣ ΘΕΣΣΑΛΙΑΣ"/>
    <n v="10"/>
    <d v="2018-09-01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2-11-09T00:00:00"/>
    <x v="0"/>
    <s v="ΔΙΕΥΘΥΝΣΗ Δ.Ε. ΛΑΡΙΣΑΣ"/>
    <x v="1"/>
  </r>
  <r>
    <x v="665"/>
    <x v="1"/>
    <s v="ΠΕ06"/>
    <s v="ΑΓΓΛΙΚΗΣ ΦΙΛΟΛΟΓΙΑΣ"/>
    <m/>
    <m/>
    <s v="Γ΄"/>
    <n v="1"/>
    <s v="Φ 17.2/34/826/3-2-2016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10-09T00:00:00"/>
    <x v="1"/>
    <s v="ΔΙΕΥΘΥΝΣΗ Π.Ε. Β΄ ΑΘΗΝΑΣ"/>
    <x v="1"/>
  </r>
  <r>
    <x v="666"/>
    <x v="1"/>
    <s v="ΠΕ06"/>
    <s v="ΑΓΓΛΙΚΗΣ ΦΙΛΟΛΟΓΙΑΣ"/>
    <m/>
    <m/>
    <s v="Γ΄"/>
    <n v="1"/>
    <s v="16058/01-09-2018"/>
    <d v="2018-09-01T00:00:00"/>
    <s v="ΛΑΡΙΣΑΣ (Δ.Ε.) 2018"/>
    <s v="ΔΙΕΥΘΥΝΣΗ Δ.Ε. ΛΑΡΙΣΑΣ"/>
    <s v="ΠΕΡΙΦΕΡΕΙΑΚΗ Δ/ΝΣΗ Α/ΘΜΙΑΣ ΚΑΙ Β/ΘΜΙΑΣ ΕΚΠ/ΣΗΣ ΘΕΣΣΑΛΙΑΣ"/>
    <n v="10"/>
    <d v="2018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2-09-06T00:00:00"/>
    <x v="0"/>
    <s v="ΔΙΕΥΘΥΝΣΗ Δ.Ε. ΛΑΡΙΣΑΣ"/>
    <x v="1"/>
  </r>
  <r>
    <x v="667"/>
    <x v="1"/>
    <s v="ΠΕ03"/>
    <s v="ΜΑΘΗΜΑΤ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0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2-08-31T00:00:00"/>
    <x v="0"/>
    <s v="ΔΙΕΥΘΥΝΣΗ Δ.Ε. ΔΩΔΕΚΑΝΗΣΟΥ"/>
    <x v="1"/>
  </r>
  <r>
    <x v="668"/>
    <x v="0"/>
    <s v="ΠΕ04.01"/>
    <s v="ΦΥΣ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2-08-04T00:00:00"/>
    <x v="0"/>
    <s v="ΔΙΕΥΘΥΝΣΗ Δ.Ε. Γ΄ ΑΘΗΝΑΣ"/>
    <x v="1"/>
  </r>
  <r>
    <x v="669"/>
    <x v="1"/>
    <s v="ΠΕ07"/>
    <s v="ΓΕΡΜΑΝΙΚΗΣ ΦΙΛΟΛΟΓΙΑΣ"/>
    <m/>
    <m/>
    <s v="Γ΄"/>
    <n v="1"/>
    <n v="16870"/>
    <d v="2018-09-01T00:00:00"/>
    <s v="Δ΄ ΑΘΗΝΑΣ (Π.Ε.) 2018"/>
    <s v="ΔΙΕΥΘΥΝΣΗ Π.Ε. Δ΄ ΑΘΗΝΑΣ"/>
    <s v="ΠΕΡΙΦΕΡΕΙΑΚΗ Δ/ΝΣΗ Α/ΘΜΙΑΣ ΚΑΙ Β/ΘΜΙΑΣ ΕΚΠ/ΣΗΣ ΑΤΤΙΚΗΣ"/>
    <n v="10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Δ΄ ΑΘΗΝΑΣ"/>
    <x v="1"/>
  </r>
  <r>
    <x v="670"/>
    <x v="1"/>
    <s v="ΠΕ07"/>
    <s v="ΓΕΡΜΑΝΙΚΗΣ ΦΙΛΟΛΟΓΙΑΣ"/>
    <m/>
    <m/>
    <s v="Γ΄"/>
    <n v="3"/>
    <s v="Φ.17/3633"/>
    <d v="2018-09-11T00:00:00"/>
    <s v="ΚΟΡΙΝΘΙΑΣ (Π.Ε.) 2018"/>
    <s v="ΔΙΕΥΘΥΝΣΗ Π.Ε. ΚΟΡΙΝΘΙΑΣ"/>
    <s v="ΠΕΡΙΦΕΡΕΙΑΚΗ Δ/ΝΣΗ Α/ΘΜΙΑΣ ΚΑΙ Β/ΘΜΙΑΣ ΕΚΠ/ΣΗΣ ΠΕΛΟΠΟΝΝΗΣΟΥ"/>
    <n v="10"/>
    <d v="2018-09-1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2-01-01T00:00:00"/>
    <x v="1"/>
    <s v="ΔΙΕΥΘΥΝΣΗ Π.Ε. ΚΟΡΙΝΘΙΑΣ"/>
    <x v="1"/>
  </r>
  <r>
    <x v="671"/>
    <x v="1"/>
    <s v="ΠΕ06"/>
    <s v="ΑΓΓΛΙΚΗΣ ΦΙΛΟΛΟΓΙΑΣ"/>
    <m/>
    <m/>
    <s v="Γ΄"/>
    <n v="1"/>
    <s v="67/20-12-2017"/>
    <d v="2018-09-01T00:00:00"/>
    <s v="Δ΄ ΑΘΗΝΑΣ (Δ.Ε.) 2018"/>
    <s v="ΔΙΕΥΘΥΝΣΗ Δ.Ε. Δ΄ ΑΘΗΝΑΣ"/>
    <s v="ΠΕΡΙΦΕΡΕΙΑΚΗ Δ/ΝΣΗ Α/ΘΜΙΑΣ ΚΑΙ Β/ΘΜΙΑΣ ΕΚΠ/ΣΗΣ ΑΤΤΙΚΗΣ"/>
    <n v="10"/>
    <d v="2018-09-01T00:00:00"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1-07-31T00:00:00"/>
    <x v="0"/>
    <s v="ΔΙΕΥΘΥΝΣΗ Δ.Ε. Δ΄ ΑΘΗΝΑΣ"/>
    <x v="1"/>
  </r>
  <r>
    <x v="672"/>
    <x v="1"/>
    <s v="ΠΕ06"/>
    <s v="ΑΓΓΛΙΚΗΣ ΦΙΛΟΛΟΓΙΑ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0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1-02-25T00:00:00"/>
    <x v="1"/>
    <s v="ΔΙΕΥΘΥΝΣΗ Π.Ε. ΛΑΡΙΣΑΣ"/>
    <x v="1"/>
  </r>
  <r>
    <x v="673"/>
    <x v="1"/>
    <s v="ΠΕ86"/>
    <s v="ΠΛΗΡΟΦΟΡΙΚΗΣ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10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81-01-01T00:00:00"/>
    <x v="1"/>
    <s v="ΔΙΕΥΘΥΝΣΗ Π.Ε. ΛΑΡΙΣΑΣ"/>
    <x v="1"/>
  </r>
  <r>
    <x v="674"/>
    <x v="1"/>
    <s v="ΠΕ07"/>
    <s v="ΓΕΡΜΑΝΙΚΗΣ ΦΙΛΟΛΟΓΙΑΣ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10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1-01-01T00:00:00"/>
    <x v="1"/>
    <s v="ΔΙΕΥΘΥΝΣΗ Π.Ε. ΛΑΡΙΣΑΣ"/>
    <x v="1"/>
  </r>
  <r>
    <x v="675"/>
    <x v="1"/>
    <s v="ΠΕ07"/>
    <s v="ΓΕΡΜΑΝΙΚΗΣ ΦΙΛΟΛΟΓΙΑΣ"/>
    <m/>
    <m/>
    <s v="Γ΄"/>
    <n v="1"/>
    <s v="14181/13-9-2018"/>
    <d v="2018-09-01T00:00:00"/>
    <s v="ΗΡΑΚΛΕΙΟΥ (Δ.Ε.) 2018"/>
    <s v="ΔΙΕΥΘΥΝΣΗ Δ.Ε. ΗΡΑΚΛΕΙΟΥ"/>
    <s v="ΠΕΡΙΦΕΡΕΙΑΚΗ Δ/ΝΣΗ Α/ΘΜΙΑΣ ΚΑΙ Β/ΘΜΙΑΣ ΕΚΠ/ΣΗΣ ΚΡΗΤΗΣ"/>
    <n v="10"/>
    <d v="2018-09-01T00:00:00"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81-01-01T00:00:00"/>
    <x v="0"/>
    <s v="ΔΙΕΥΘΥΝΣΗ Δ.Ε. ΗΡΑΚΛΕΙΟΥ"/>
    <x v="1"/>
  </r>
  <r>
    <x v="676"/>
    <x v="1"/>
    <s v="ΠΕ02"/>
    <s v="ΦΙΛΟΛΟΓΟΙ"/>
    <m/>
    <m/>
    <s v="Γ΄"/>
    <n v="1"/>
    <s v="18461/13-09-2018"/>
    <d v="2018-09-13T00:00:00"/>
    <s v="ΛΑΡΙΣΑΣ (Δ.Ε.) 2018"/>
    <s v="ΔΙΕΥΘΥΝΣΗ Δ.Ε. ΛΑΡΙΣΑΣ"/>
    <s v="ΠΕΡΙΦΕΡΕΙΑΚΗ Δ/ΝΣΗ Α/ΘΜΙΑΣ ΚΑΙ Β/ΘΜΙΑΣ ΕΚΠ/ΣΗΣ ΘΕΣΣΑΛΙΑΣ"/>
    <n v="10"/>
    <d v="2018-09-13T00:00:00"/>
    <s v="Ιδιωτικά Σχολεία"/>
    <x v="2"/>
    <s v="3160003"/>
    <s v="INTERNATIONAL COMMUNITY SCHOOL OF LARISSA (ΓΥΜΝΑΣΙΟ)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0-10-08T00:00:00"/>
    <x v="0"/>
    <s v="ΔΙΕΥΘΥΝΣΗ Δ.Ε. ΛΑΡΙΣΑΣ"/>
    <x v="1"/>
  </r>
  <r>
    <x v="677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4-14T00:00:00"/>
    <x v="0"/>
    <s v="ΔΙΕΥΘΥΝΣΗ Δ.Ε. Β΄ ΑΘΗΝΑΣ"/>
    <x v="1"/>
  </r>
  <r>
    <x v="678"/>
    <x v="1"/>
    <s v="ΠΕ04.04"/>
    <s v="ΒΙΟΛΟΓΟΙ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m/>
    <s v="Ιδιωτικά Σχολεία"/>
    <x v="2"/>
    <s v="1981911"/>
    <s v="ΑΜΕΡΙΚΑΝΙΚΟ ΚΟΛΛΕΓΙΟ &quot;ΑΝΑΤΟΛΙΑ&quot;  1ο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2-19T00:00:00"/>
    <x v="0"/>
    <s v="ΔΙΕΥΘΥΝΣΗ Δ.Ε. ΑΝΑΤ. ΘΕΣ/ΝΙΚΗΣ"/>
    <x v="1"/>
  </r>
  <r>
    <x v="679"/>
    <x v="1"/>
    <s v="ΠΕ86"/>
    <s v="ΠΛΗΡΟΦΟΡΙΚΗΣ"/>
    <m/>
    <m/>
    <s v="Γ΄"/>
    <n v="2"/>
    <s v="Φ.17.2/9654/24-10-2016"/>
    <d v="2018-09-01T00:00:00"/>
    <s v="Α΄ ΜΑΓΝΗΣΙΑΣ (Π.Ε.) 2018"/>
    <s v="ΔΙΕΥΘΥΝΣΗ Π.Ε. ΜΑΓΝΗΣΙΑΣ"/>
    <s v="ΠΕΡΙΦΕΡΕΙΑΚΗ Δ/ΝΣΗ Α/ΘΜΙΑΣ ΚΑΙ Β/ΘΜΙΑΣ ΕΚΠ/ΣΗΣ ΘΕΣΣΑΛΙΑΣ"/>
    <n v="10"/>
    <d v="2018-09-01T00:00:00"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0-01-01T00:00:00"/>
    <x v="1"/>
    <s v="ΔΙΕΥΘΥΝΣΗ Π.Ε. ΜΑΓΝΗΣΙΑΣ"/>
    <x v="1"/>
  </r>
  <r>
    <x v="680"/>
    <x v="0"/>
    <s v="ΠΕ04.01"/>
    <s v="ΦΥΣ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0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9-11-17T00:00:00"/>
    <x v="0"/>
    <s v="ΔΙΕΥΘΥΝΣΗ Δ.Ε. ΚΟΡΙΝΘΙΑΣ"/>
    <x v="1"/>
  </r>
  <r>
    <x v="681"/>
    <x v="1"/>
    <s v="ΠΕ05"/>
    <s v="ΓΑΛΛΙΚΗΣ ΦΙΛΟΛΟΓΙΑΣ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0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9-11-11T00:00:00"/>
    <x v="0"/>
    <s v="ΔΙΕΥΘΥΝΣΗ Δ.Ε. ΗΡΑΚΛΕΙΟΥ"/>
    <x v="1"/>
  </r>
  <r>
    <x v="682"/>
    <x v="0"/>
    <s v="ΠΕ01"/>
    <s v="ΘΕΟΛΟΓ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10"/>
    <m/>
    <s v="Ιδιωτικά Σχολεία"/>
    <x v="2"/>
    <s v="2060001"/>
    <s v="ΙΔΙΩΤΙΚΟ ΓΥΜΝΑΣΙΟ-ΜΟΡΦΩΤΙΚΟΣ ΚΑΙ ΠΟΛΙΤΙΣΤΙΚΟΣ ΣΥΛΛΟΓΟΣ &quot; ΤΟ ΑΝΘΟΣ &quot;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9-09-29T00:00:00"/>
    <x v="0"/>
    <s v="ΔΙΕΥΘΥΝΣΗ Δ.Ε. ΙΩΑΝΝΙΝΩΝ"/>
    <x v="1"/>
  </r>
  <r>
    <x v="683"/>
    <x v="1"/>
    <s v="ΠΕ06"/>
    <s v="ΑΓΓΛΙΚΗΣ ΦΙΛΟΛΟΓΙΑΣ"/>
    <m/>
    <m/>
    <s v="Γ΄"/>
    <n v="3"/>
    <d v="2016-09-12T00:00:00"/>
    <d v="2018-09-01T00:00:00"/>
    <s v="Α΄ ΑΘΗΝΑΣ (Δ.Ε.) 2018"/>
    <s v="ΔΙΕΥΘΥΝΣΗ Δ.Ε. Α΄ ΑΘΗΝΑΣ"/>
    <s v="ΠΕΡΙΦΕΡΕΙΑΚΗ Δ/ΝΣΗ Α/ΘΜΙΑΣ ΚΑΙ Β/ΘΜΙΑΣ ΕΚΠ/ΣΗΣ ΑΤΤΙΚΗΣ"/>
    <n v="10"/>
    <d v="2018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9-06-06T00:00:00"/>
    <x v="0"/>
    <s v="ΔΙΕΥΘΥΝΣΗ Δ.Ε. Α΄ ΑΘΗΝΑΣ"/>
    <x v="1"/>
  </r>
  <r>
    <x v="684"/>
    <x v="1"/>
    <s v="ΠΕ91.01"/>
    <s v="ΘΕΑΤΡΙΚΩΝ ΣΠΟΥΔΩΝ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9-01-28T00:00:00"/>
    <x v="0"/>
    <s v="ΔΙΕΥΘΥΝΣΗ Δ.Ε. Α΄ ΑΘΗΝΑΣ"/>
    <x v="1"/>
  </r>
  <r>
    <x v="685"/>
    <x v="0"/>
    <s v="ΠΕ03"/>
    <s v="ΜΑΘΗΜΑΤΙΚΟΙ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0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79-01-01T00:00:00"/>
    <x v="0"/>
    <s v="ΔΙΕΥΘΥΝΣΗ Δ.Ε. ΧΙΟΥ"/>
    <x v="1"/>
  </r>
  <r>
    <x v="686"/>
    <x v="1"/>
    <s v="ΠΕ05"/>
    <s v="ΓΑΛΛΙΚΗΣ ΦΙΛΟΛΟΓΙΑΣ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10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9-01-01T00:00:00"/>
    <x v="1"/>
    <s v="ΔΙΕΥΘΥΝΣΗ Π.Ε. ΛΑΡΙΣΑΣ"/>
    <x v="1"/>
  </r>
  <r>
    <x v="687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2-27T00:00:00"/>
    <x v="1"/>
    <s v="ΔΙΕΥΘΥΝΣΗ Π.Ε. ΑΝΑΤΟΛΙΚΗΣ ΑΤΤΙΚΗΣ"/>
    <x v="1"/>
  </r>
  <r>
    <x v="688"/>
    <x v="0"/>
    <s v="ΠΕ07"/>
    <s v="ΓΕΡΜΑΝΙΚΗΣ ΦΙΛΟΛΟΓΙΑΣ"/>
    <m/>
    <m/>
    <s v="Γ΄"/>
    <n v="1"/>
    <m/>
    <d v="2006-09-15T00:00:00"/>
    <s v="ΣΕΡΡΩΝ (Δ.Ε.) 2018"/>
    <s v="ΔΙΕΥΘΥΝΣΗ Δ.Ε. ΣΕΡΡΩΝ"/>
    <s v="ΠΕΡΙΦΕΡΕΙΑΚΗ Δ/ΝΣΗ Α/ΘΜΙΑΣ ΚΑΙ Β/ΘΜΙΑΣ ΕΚΠ/ΣΗΣ ΚΕΝΤΡΙΚΗΣ ΜΑΚΕΔΟΝΙΑΣ"/>
    <n v="10"/>
    <d v="2006-09-15T00:00:00"/>
    <s v="Ιδιωτικά Σχολεία"/>
    <x v="2"/>
    <s v="4475075"/>
    <s v="ΙΔΙΩΤΙΚΟ ΓΥΜΝΑΣ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8-02-04T00:00:00"/>
    <x v="0"/>
    <s v="ΔΙΕΥΘΥΝΣΗ Δ.Ε. ΣΕΡΡΩΝ"/>
    <x v="1"/>
  </r>
  <r>
    <x v="689"/>
    <x v="1"/>
    <s v="ΠΕ05"/>
    <s v="ΓΑΛΛΙΚΗΣ ΦΙΛΟΛΟΓΙΑΣ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12-03T00:00:00"/>
    <x v="1"/>
    <s v="ΔΙΕΥΘΥΝΣΗ Π.Ε. Β΄ ΑΘΗΝΑΣ"/>
    <x v="1"/>
  </r>
  <r>
    <x v="690"/>
    <x v="0"/>
    <s v="ΠΕ03"/>
    <s v="ΜΑΘΗΜΑΤΙΚΟΙ"/>
    <m/>
    <m/>
    <s v="Γ΄"/>
    <n v="1"/>
    <n v="7844"/>
    <d v="2018-09-11T00:00:00"/>
    <s v="ΤΡΙΚΑΛΩΝ (Δ.Ε.) 2018"/>
    <s v="ΔΙΕΥΘΥΝΣΗ Δ.Ε. ΤΡΙΚΑΛΩΝ"/>
    <s v="ΠΕΡΙΦΕΡΕΙΑΚΗ Δ/ΝΣΗ Α/ΘΜΙΑΣ ΚΑΙ Β/ΘΜΙΑΣ ΕΚΠ/ΣΗΣ ΘΕΣΣΑΛΙΑΣ"/>
    <n v="10"/>
    <d v="2018-09-11T00:00:00"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0"/>
    <s v="Τοποθέτηση σε Ιδιωτική Εκπαίδευση"/>
    <d v="1977-11-29T00:00:00"/>
    <x v="0"/>
    <s v="ΔΙΕΥΘΥΝΣΗ Δ.Ε. ΤΡΙΚΑΛΩΝ"/>
    <x v="1"/>
  </r>
  <r>
    <x v="691"/>
    <x v="1"/>
    <s v="ΠΕ05"/>
    <s v="ΓΑΛΛΙΚΗΣ ΦΙΛΟΛΟΓΙΑΣ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9-16T00:00:00"/>
    <x v="1"/>
    <s v="ΔΙΕΥΘΥΝΣΗ Π.Ε. Β΄ ΑΘΗΝΑΣ"/>
    <x v="1"/>
  </r>
  <r>
    <x v="692"/>
    <x v="1"/>
    <s v="ΠΕ03"/>
    <s v="ΜΑΘΗΜΑΤΙΚΟΙ"/>
    <m/>
    <m/>
    <s v="Γ΄"/>
    <n v="1"/>
    <s v="ΨΡΝ34653ΠΣ-ΕΤΙ"/>
    <d v="2018-09-07T00:00:00"/>
    <s v="Α΄ ΧΙΟΥ (Δ.Ε.) 2018"/>
    <s v="ΔΙΕΥΘΥΝΣΗ Δ.Ε. ΧΙΟΥ"/>
    <s v="ΠΕΡΙΦΕΡΕΙΑΚΗ Δ/ΝΣΗ Α/ΘΜΙΑΣ ΚΑΙ Β/ΘΜΙΑΣ ΕΚΠ/ΣΗΣ ΒΟΡΕΙΟΥ ΑΙΓΑΙΟΥ"/>
    <n v="10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77-07-17T00:00:00"/>
    <x v="0"/>
    <s v="ΔΙΕΥΘΥΝΣΗ Δ.Ε. ΧΙΟΥ"/>
    <x v="1"/>
  </r>
  <r>
    <x v="693"/>
    <x v="1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7-15T00:00:00"/>
    <x v="0"/>
    <s v="ΔΙΕΥΘΥΝΣΗ Δ.Ε. ΑΝΑΤΟΛΙΚΗΣ ΑΤΤΙΚΗΣ"/>
    <x v="1"/>
  </r>
  <r>
    <x v="694"/>
    <x v="1"/>
    <s v="ΠΕ04.01"/>
    <s v="ΦΥΣ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0"/>
    <m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7-06-01T00:00:00"/>
    <x v="0"/>
    <s v="ΔΙΕΥΘΥΝΣΗ Δ.Ε. ΙΩΑΝΝΙΝΩΝ"/>
    <x v="1"/>
  </r>
  <r>
    <x v="695"/>
    <x v="1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7-03-07T00:00:00"/>
    <x v="0"/>
    <s v="ΔΙΕΥΘΥΝΣΗ Δ.Ε. Γ΄ ΑΘΗΝΑΣ"/>
    <x v="1"/>
  </r>
  <r>
    <x v="696"/>
    <x v="1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1-10T00:00:00"/>
    <x v="0"/>
    <s v="ΔΙΕΥΘΥΝΣΗ Δ.Ε. Β΄ ΑΘΗΝΑΣ"/>
    <x v="1"/>
  </r>
  <r>
    <x v="697"/>
    <x v="1"/>
    <s v="ΠΕ05"/>
    <s v="ΓΑΛΛΙΚΗΣ ΦΙΛΟΛΟΓΙΑΣ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10-21T00:00:00"/>
    <x v="1"/>
    <s v="ΔΙΕΥΘΥΝΣΗ Π.Ε. Β΄ ΑΘΗΝΑΣ"/>
    <x v="1"/>
  </r>
  <r>
    <x v="698"/>
    <x v="0"/>
    <s v="ΠΕ08"/>
    <s v="ΚΑΛΛΙΤΕΧΝΙΚΩΝ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6-08-16T00:00:00"/>
    <x v="0"/>
    <s v="ΔΙΕΥΘΥΝΣΗ Δ.Ε. Γ΄ ΑΘΗΝΑΣ"/>
    <x v="1"/>
  </r>
  <r>
    <x v="699"/>
    <x v="1"/>
    <s v="ΠΕ03"/>
    <s v="ΜΑΘΗΜΑΤΙΚΟΙ"/>
    <m/>
    <m/>
    <s v="Γ΄"/>
    <n v="1"/>
    <s v="18279/22"/>
    <d v="2018-09-01T00:00:00"/>
    <s v="Γ΄ ΑΘΗΝΑΣ (Δ.Ε.) 2018"/>
    <s v="ΔΙΕΥΘΥΝΣΗ Δ.Ε. Γ΄ ΑΘΗΝΑΣ"/>
    <s v="ΠΕΡΙΦΕΡΕΙΑΚΗ Δ/ΝΣΗ Α/ΘΜΙΑΣ ΚΑΙ Β/ΘΜΙΑΣ ΕΚΠ/ΣΗΣ ΑΤΤΙΚΗΣ"/>
    <n v="10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76-02-21T00:00:00"/>
    <x v="0"/>
    <s v="ΔΙΕΥΘΥΝΣΗ Δ.Ε. Γ΄ ΑΘΗΝΑΣ"/>
    <x v="1"/>
  </r>
  <r>
    <x v="700"/>
    <x v="1"/>
    <s v="ΠΕ05"/>
    <s v="ΓΑΛΛΙΚΗΣ ΦΙΛΟΛΟΓΙΑΣ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02-18T00:00:00"/>
    <x v="1"/>
    <s v="ΔΙΕΥΘΥΝΣΗ Π.Ε. Β΄ ΑΘΗΝΑΣ"/>
    <x v="1"/>
  </r>
  <r>
    <x v="701"/>
    <x v="1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0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75-07-21T00:00:00"/>
    <x v="0"/>
    <s v="ΔΙΕΥΘΥΝΣΗ Δ.Ε. ΚΥΚΛΑΔΩΝ"/>
    <x v="1"/>
  </r>
  <r>
    <x v="702"/>
    <x v="1"/>
    <s v="ΠΕ06"/>
    <s v="ΑΓΓΛΙΚΗΣ ΦΙΛΟΛΟΓΙΑΣ"/>
    <m/>
    <m/>
    <s v="Γ΄"/>
    <n v="1"/>
    <m/>
    <d v="2006-09-15T00:00:00"/>
    <s v="ΣΕΡΡΩΝ (Δ.Ε.) 2018"/>
    <s v="ΔΙΕΥΘΥΝΣΗ Δ.Ε. ΣΕΡΡΩΝ"/>
    <s v="ΠΕΡΙΦΕΡΕΙΑΚΗ Δ/ΝΣΗ Α/ΘΜΙΑΣ ΚΑΙ Β/ΘΜΙΑΣ ΕΚΠ/ΣΗΣ ΚΕΝΤΡΙΚΗΣ ΜΑΚΕΔΟΝΙΑΣ"/>
    <n v="10"/>
    <d v="2006-09-15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5-06-08T00:00:00"/>
    <x v="0"/>
    <s v="ΔΙΕΥΘΥΝΣΗ Δ.Ε. ΣΕΡΡΩΝ"/>
    <x v="1"/>
  </r>
  <r>
    <x v="703"/>
    <x v="1"/>
    <s v="ΠΕ02"/>
    <s v="ΦΙΛΟΛΟΓΟΙ"/>
    <m/>
    <m/>
    <s v="Γ΄"/>
    <n v="1"/>
    <n v="13977"/>
    <d v="2018-10-01T00:00:00"/>
    <s v="Δ΄ ΑΘΗΝΑΣ (Δ.Ε.) 2018"/>
    <s v="ΔΙΕΥΘΥΝΣΗ Δ.Ε. Δ΄ ΑΘΗΝΑΣ"/>
    <s v="ΠΕΡΙΦΕΡΕΙΑΚΗ Δ/ΝΣΗ Α/ΘΜΙΑΣ ΚΑΙ Β/ΘΜΙΑΣ ΕΚΠ/ΣΗΣ ΑΤΤΙΚΗΣ"/>
    <n v="10"/>
    <d v="2018-10-01T00:00:00"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75-05-26T00:00:00"/>
    <x v="0"/>
    <s v="ΔΙΕΥΘΥΝΣΗ Δ.Ε. Δ΄ ΑΘΗΝΑΣ"/>
    <x v="1"/>
  </r>
  <r>
    <x v="704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0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5-03-03T00:00:00"/>
    <x v="0"/>
    <s v="ΔΙΕΥΘΥΝΣΗ Δ.Ε. Β΄ ΑΘΗΝΑΣ"/>
    <x v="1"/>
  </r>
  <r>
    <x v="705"/>
    <x v="1"/>
    <s v="ΠΕ05"/>
    <s v="ΓΑΛ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0"/>
    <m/>
    <s v="Ιδιωτικά Σχολεία"/>
    <x v="4"/>
    <s v="7541026"/>
    <s v="ΙΔΙΩΤΙΚΟ ΔΗΜΟΤΙΚ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4-10-22T00:00:00"/>
    <x v="1"/>
    <s v="ΔΙΕΥΘΥΝΣΗ Π.Ε. ΠΕΙΡΑΙΑ"/>
    <x v="1"/>
  </r>
  <r>
    <x v="706"/>
    <x v="0"/>
    <s v="ΠΕ11"/>
    <s v="ΦΥΣΙΚΗΣ ΑΓΩΓΗ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0"/>
    <m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4-08-13T00:00:00"/>
    <x v="0"/>
    <s v="ΔΙΕΥΘΥΝΣΗ Δ.Ε. ΙΩΑΝΝΙΝΩΝ"/>
    <x v="1"/>
  </r>
  <r>
    <x v="707"/>
    <x v="1"/>
    <s v="ΠΕ79.01"/>
    <s v="ΜΟΥΣΙΚΗΣ ΕΠΙΣΤΗΜ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6-19T00:00:00"/>
    <x v="0"/>
    <s v="ΔΙΕΥΘΥΝΣΗ Δ.Ε. Γ΄ ΑΘΗΝΑΣ"/>
    <x v="1"/>
  </r>
  <r>
    <x v="708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1-17T00:00:00"/>
    <x v="0"/>
    <s v="ΔΙΕΥΘΥΝΣΗ Δ.Ε. Β΄ ΑΘΗΝΑΣ"/>
    <x v="1"/>
  </r>
  <r>
    <x v="709"/>
    <x v="1"/>
    <s v="ΠΕ03"/>
    <s v="ΜΑΘΗΜΑΤΙΚΟΙ"/>
    <m/>
    <m/>
    <s v="Γ΄"/>
    <n v="1"/>
    <s v="17.2/14669"/>
    <d v="2018-09-17T00:00:00"/>
    <s v="ΗΡΑΚΛΕΙΟΥ (Δ.Ε.) 2018"/>
    <s v="ΔΙΕΥΘΥΝΣΗ Δ.Ε. ΗΡΑΚΛΕΙΟΥ"/>
    <s v="ΠΕΡΙΦΕΡΕΙΑΚΗ Δ/ΝΣΗ Α/ΘΜΙΑΣ ΚΑΙ Β/ΘΜΙΑΣ ΕΚΠ/ΣΗΣ ΚΡΗΤΗΣ"/>
    <n v="10"/>
    <d v="2018-09-17T00:00:00"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2"/>
    <s v="Τοποθέτηση σε Ιδιωτική Εκπαίδευση"/>
    <d v="1974-01-01T00:00:00"/>
    <x v="0"/>
    <s v="ΔΙΕΥΘΥΝΣΗ Δ.Ε. ΗΡΑΚΛΕΙΟΥ"/>
    <x v="1"/>
  </r>
  <r>
    <x v="710"/>
    <x v="0"/>
    <s v="ΠΕ02"/>
    <s v="ΦΙΛΟΛΟΓΟΙ"/>
    <m/>
    <m/>
    <s v="Α΄"/>
    <n v="7"/>
    <m/>
    <m/>
    <s v="ΞΑΝΘΗΣ (Δ.Ε.) 2018"/>
    <s v="ΔΙΕΥΘΥΝΣΗ Δ.Ε. ΞΑΝΘΗΣ"/>
    <s v="ΠΕΡΙΦΕΡΕΙΑΚΗ Δ/ΝΣΗ Α/ΘΜΙΑΣ ΚΑΙ Β/ΘΜΙΑΣ ΕΚΠ/ΣΗΣ ΑΝ. ΜΑΚΕΔΟΝΙΑΣ ΚΑΙ ΘΡΑΚΗΣ"/>
    <n v="10"/>
    <m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73-10-22T00:00:00"/>
    <x v="0"/>
    <s v="ΔΙΕΥΘΥΝΣΗ Δ.Ε. ΞΑΝΘΗΣ"/>
    <x v="1"/>
  </r>
  <r>
    <x v="711"/>
    <x v="1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10-22T00:00:00"/>
    <x v="0"/>
    <s v="ΔΙΕΥΘΥΝΣΗ Δ.Ε. Γ΄ ΑΘΗΝΑΣ"/>
    <x v="1"/>
  </r>
  <r>
    <x v="712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3-02-18T00:00:00"/>
    <x v="0"/>
    <s v="ΔΙΕΥΘΥΝΣΗ Δ.Ε. ΠΕΙΡΑΙΑ"/>
    <x v="1"/>
  </r>
  <r>
    <x v="713"/>
    <x v="1"/>
    <s v="ΠΕ07"/>
    <s v="ΓΕΡΜΑΝΙΚΗΣ ΦΙΛΟΛΟΓΙΑΣ"/>
    <m/>
    <m/>
    <s v="Γ΄"/>
    <n v="1"/>
    <m/>
    <m/>
    <s v="ΞΑΝΘΗΣ (Δ.Ε.) 2018"/>
    <s v="ΔΙΕΥΘΥΝΣΗ Δ.Ε. ΞΑΝΘΗΣ"/>
    <s v="ΠΕΡΙΦΕΡΕΙΑΚΗ Δ/ΝΣΗ Α/ΘΜΙΑΣ ΚΑΙ Β/ΘΜΙΑΣ ΕΚΠ/ΣΗΣ ΑΝ. ΜΑΚΕΔΟΝΙΑΣ ΚΑΙ ΘΡΑΚΗΣ"/>
    <n v="10"/>
    <m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73-01-25T00:00:00"/>
    <x v="0"/>
    <s v="ΔΙΕΥΘΥΝΣΗ Δ.Ε. ΞΑΝΘΗΣ"/>
    <x v="1"/>
  </r>
  <r>
    <x v="714"/>
    <x v="0"/>
    <s v="ΠΕ04.01"/>
    <s v="ΦΥΣΙΚΟΙ"/>
    <m/>
    <m/>
    <s v="Γ΄"/>
    <n v="1"/>
    <s v="18279/26"/>
    <d v="2018-09-01T00:00:00"/>
    <s v="Γ΄ ΑΘΗΝΑΣ (Δ.Ε.) 2018"/>
    <s v="ΔΙΕΥΘΥΝΣΗ Δ.Ε. Γ΄ ΑΘΗΝΑΣ"/>
    <s v="ΠΕΡΙΦΕΡΕΙΑΚΗ Δ/ΝΣΗ Α/ΘΜΙΑΣ ΚΑΙ Β/ΘΜΙΑΣ ΕΚΠ/ΣΗΣ ΑΤΤΙΚΗΣ"/>
    <n v="10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01-01T00:00:00"/>
    <x v="0"/>
    <s v="ΔΙΕΥΘΥΝΣΗ Δ.Ε. Γ΄ ΑΘΗΝΑΣ"/>
    <x v="1"/>
  </r>
  <r>
    <x v="715"/>
    <x v="0"/>
    <s v="ΠΕ04.01"/>
    <s v="ΦΥΣΙΚΟΙ"/>
    <m/>
    <m/>
    <s v="Γ΄"/>
    <n v="1"/>
    <n v="48"/>
    <d v="2018-09-03T00:00:00"/>
    <s v="Δ΄ ΑΘΗΝΑΣ (Δ.Ε.) 2018"/>
    <s v="ΔΙΕΥΘΥΝΣΗ Δ.Ε. Δ΄ ΑΘΗΝΑΣ"/>
    <s v="ΠΕΡΙΦΕΡΕΙΑΚΗ Δ/ΝΣΗ Α/ΘΜΙΑΣ ΚΑΙ Β/ΘΜΙΑΣ ΕΚΠ/ΣΗΣ ΑΤΤΙΚΗΣ"/>
    <n v="10"/>
    <d v="2018-09-03T00:00:00"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72-01-01T00:00:00"/>
    <x v="0"/>
    <s v="ΔΙΕΥΘΥΝΣΗ Δ.Ε. Δ΄ ΑΘΗΝΑΣ"/>
    <x v="1"/>
  </r>
  <r>
    <x v="716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ΠΕΙΡΑΙΑ"/>
    <x v="1"/>
  </r>
  <r>
    <x v="717"/>
    <x v="0"/>
    <s v="ΠΕ11"/>
    <s v="ΦΥΣΙΚΗΣ ΑΓΩΓΗΣ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0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2-01-01T00:00:00"/>
    <x v="0"/>
    <s v="ΔΙΕΥΘΥΝΣΗ Δ.Ε. ΗΡΑΚΛΕΙΟΥ"/>
    <x v="1"/>
  </r>
  <r>
    <x v="718"/>
    <x v="1"/>
    <s v="ΠΕ07"/>
    <s v="ΓΕΡΜΑΝΙΚΗΣ ΦΙΛΟΛΟΓΙΑΣ"/>
    <m/>
    <m/>
    <s v="Γ΄"/>
    <n v="1"/>
    <s v="9172/30-09-2015"/>
    <d v="2018-09-01T00:00:00"/>
    <s v="ΙΩΑΝΝΙΝΩΝ (Δ.Ε.) 2018"/>
    <s v="ΔΙΕΥΘΥΝΣΗ Δ.Ε. ΙΩΑΝΝΙΝΩΝ"/>
    <s v="ΠΕΡΙΦΕΡΕΙΑΚΗ Δ/ΝΣΗ Α/ΘΜΙΑΣ ΚΑΙ Β/ΘΜΙΑΣ ΕΚΠ/ΣΗΣ ΗΠΕΙΡΟΥ"/>
    <n v="10"/>
    <d v="2018-09-01T00:00:00"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1-11-30T00:00:00"/>
    <x v="0"/>
    <s v="ΔΙΕΥΘΥΝΣΗ Δ.Ε. ΙΩΑΝΝΙΝΩΝ"/>
    <x v="1"/>
  </r>
  <r>
    <x v="719"/>
    <x v="1"/>
    <s v="ΠΕ05"/>
    <s v="ΓΑΛΛΙΚΗΣ ΦΙΛΟΛΟΓΙΑΣ"/>
    <m/>
    <m/>
    <s v="Γ΄"/>
    <n v="1"/>
    <s v="2010/23-10-2002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11-17T00:00:00"/>
    <x v="1"/>
    <s v="ΔΙΕΥΘΥΝΣΗ Π.Ε. Β΄ ΑΘΗΝΑΣ"/>
    <x v="1"/>
  </r>
  <r>
    <x v="720"/>
    <x v="1"/>
    <s v="ΠΕ02"/>
    <s v="ΦΙΛ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10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1-04-27T00:00:00"/>
    <x v="0"/>
    <s v="ΔΙΕΥΘΥΝΣΗ Δ.Ε. ΜΕΣΣΗΝΙΑΣ"/>
    <x v="1"/>
  </r>
  <r>
    <x v="721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2-28T00:00:00"/>
    <x v="0"/>
    <s v="ΔΙΕΥΘΥΝΣΗ Δ.Ε. Γ΄ ΑΘΗΝΑΣ"/>
    <x v="1"/>
  </r>
  <r>
    <x v="722"/>
    <x v="0"/>
    <s v="ΠΕ07"/>
    <s v="ΓΕΡΜΑΝ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1-01-05T00:00:00"/>
    <x v="1"/>
    <s v="ΔΙΕΥΘΥΝΣΗ Π.Ε. ΑΝΑΤΟΛΙΚΗΣ ΑΤΤΙΚΗΣ"/>
    <x v="1"/>
  </r>
  <r>
    <x v="723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11-23T00:00:00"/>
    <x v="0"/>
    <s v="ΔΙΕΥΘΥΝΣΗ Δ.Ε. ΑΝΑΤΟΛΙΚΗΣ ΑΤΤΙΚΗΣ"/>
    <x v="1"/>
  </r>
  <r>
    <x v="724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10-07T00:00:00"/>
    <x v="0"/>
    <s v="ΔΙΕΥΘΥΝΣΗ Δ.Ε. ΑΝΑΤΟΛΙΚΗΣ ΑΤΤΙΚΗΣ"/>
    <x v="1"/>
  </r>
  <r>
    <x v="725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0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9-24T00:00:00"/>
    <x v="0"/>
    <s v="ΔΙΕΥΘΥΝΣΗ Δ.Ε. Δ΄ ΑΘΗΝΑΣ"/>
    <x v="1"/>
  </r>
  <r>
    <x v="726"/>
    <x v="1"/>
    <s v="ΠΕ07"/>
    <s v="ΓΕΡΜΑΝ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0-02-23T00:00:00"/>
    <x v="0"/>
    <s v="ΔΙΕΥΘΥΝΣΗ Δ.Ε. ΑΝΑΤΟΛΙΚΗΣ ΑΤΤΙΚΗΣ"/>
    <x v="1"/>
  </r>
  <r>
    <x v="727"/>
    <x v="0"/>
    <s v="ΠΕ03"/>
    <s v="ΜΑΘΗΜΑΤΙΚΟΙ"/>
    <m/>
    <m/>
    <s v="Α΄"/>
    <n v="1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0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9-12-06T00:00:00"/>
    <x v="0"/>
    <s v="ΔΙΕΥΘΥΝΣΗ Δ.Ε. ΔΥΤ. ΘΕΣ/ΝΙΚΗΣ"/>
    <x v="1"/>
  </r>
  <r>
    <x v="728"/>
    <x v="0"/>
    <s v="ΠΕ03"/>
    <s v="ΜΑΘΗΜΑΤ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0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9-10-16T00:00:00"/>
    <x v="0"/>
    <s v="ΔΙΕΥΘΥΝΣΗ Δ.Ε. ΚΟΡΙΝΘΙΑΣ"/>
    <x v="1"/>
  </r>
  <r>
    <x v="729"/>
    <x v="0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0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9-09-24T00:00:00"/>
    <x v="0"/>
    <s v="ΔΙΕΥΘΥΝΣΗ Δ.Ε. ΑΙΤΩΛΟΑΚΑΡΝΑΝΙΑΣ"/>
    <x v="1"/>
  </r>
  <r>
    <x v="73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0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7-28T00:00:00"/>
    <x v="1"/>
    <s v="ΔΙΕΥΘΥΝΣΗ Π.Ε. Β΄ ΑΘΗΝΑΣ"/>
    <x v="1"/>
  </r>
  <r>
    <x v="731"/>
    <x v="0"/>
    <s v="ΠΕ04.01"/>
    <s v="ΦΥΣΙΚΟΙ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0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69-07-02T00:00:00"/>
    <x v="0"/>
    <s v="ΔΙΕΥΘΥΝΣΗ Δ.Ε. ΑΡΓΟΛΙΔΑΣ"/>
    <x v="1"/>
  </r>
  <r>
    <x v="732"/>
    <x v="1"/>
    <s v="ΤΕ16"/>
    <s v="ΜΟΥΣΙΚΗΣ ΜΗ ΑΝΩΤΑΤΩΝ ΙΔΡΥΜΑΤΩΝ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0"/>
    <m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6-01T00:00:00"/>
    <x v="1"/>
    <s v="ΔΙΕΥΘΥΝΣΗ Π.Ε. Β΄ ΑΘΗΝΑΣ"/>
    <x v="1"/>
  </r>
  <r>
    <x v="733"/>
    <x v="1"/>
    <s v="ΠΕ79.01"/>
    <s v="ΜΟΥΣΙΚΗΣ ΕΠΙΣΤΗΜ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01-01T00:00:00"/>
    <x v="0"/>
    <s v="ΔΙΕΥΘΥΝΣΗ Δ.Ε. Γ΄ ΑΘΗΝΑΣ"/>
    <x v="1"/>
  </r>
  <r>
    <x v="734"/>
    <x v="0"/>
    <s v="ΠΕ02"/>
    <s v="ΦΙΛΟΛΟΓΟΙ"/>
    <m/>
    <m/>
    <s v="Γ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0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8-10-08T00:00:00"/>
    <x v="0"/>
    <s v="ΔΙΕΥΘΥΝΣΗ Δ.Ε. ΑΙΤΩΛΟΑΚΑΡΝΑΝΙΑΣ"/>
    <x v="1"/>
  </r>
  <r>
    <x v="735"/>
    <x v="1"/>
    <s v="ΠΕ05"/>
    <s v="ΓΑΛΛ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0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5-18T00:00:00"/>
    <x v="1"/>
    <s v="ΔΙΕΥΘΥΝΣΗ Π.Ε. ΑΝΑΤΟΛΙΚΗΣ ΑΤΤΙΚΗΣ"/>
    <x v="1"/>
  </r>
  <r>
    <x v="736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5-06T00:00:00"/>
    <x v="0"/>
    <s v="ΔΙΕΥΘΥΝΣΗ Δ.Ε. ΑΝΑΤΟΛΙΚΗΣ ΑΤΤΙΚΗΣ"/>
    <x v="1"/>
  </r>
  <r>
    <x v="737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2-23T00:00:00"/>
    <x v="0"/>
    <s v="ΔΙΕΥΘΥΝΣΗ Δ.Ε. Β΄ ΑΘΗΝΑΣ"/>
    <x v="1"/>
  </r>
  <r>
    <x v="738"/>
    <x v="1"/>
    <s v="ΠΕ05"/>
    <s v="ΓΑΛΛΙΚΗΣ ΦΙΛΟΛΟΓΙΑΣ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0"/>
    <d v="2004-08-31T00:00:00"/>
    <s v="Ιδιωτικά Σχολεία"/>
    <x v="2"/>
    <s v="4475075"/>
    <s v="ΙΔΙΩΤΙΚΟ ΓΥΜΝΑΣ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7-08-24T00:00:00"/>
    <x v="0"/>
    <s v="ΔΙΕΥΘΥΝΣΗ Δ.Ε. ΣΕΡΡΩΝ"/>
    <x v="1"/>
  </r>
  <r>
    <x v="739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0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7-08-16T00:00:00"/>
    <x v="0"/>
    <s v="ΔΙΕΥΘΥΝΣΗ Δ.Ε. Γ΄ ΑΘΗΝΑΣ"/>
    <x v="1"/>
  </r>
  <r>
    <x v="740"/>
    <x v="1"/>
    <s v="ΠΕ04.02"/>
    <s v="ΧΗΜ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0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2-24T00:00:00"/>
    <x v="0"/>
    <s v="ΔΙΕΥΘΥΝΣΗ Δ.Ε. ΠΕΙΡΑΙΑ"/>
    <x v="1"/>
  </r>
  <r>
    <x v="741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0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6-06-13T00:00:00"/>
    <x v="1"/>
    <s v="ΔΙΕΥΘΥΝΣΗ Π.Ε. ΛΑΡΙΣΑΣ"/>
    <x v="1"/>
  </r>
  <r>
    <x v="742"/>
    <x v="1"/>
    <s v="ΠΕ03"/>
    <s v="ΜΑΘΗΜΑΤ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0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6-04-21T00:00:00"/>
    <x v="0"/>
    <s v="ΔΙΕΥΘΥΝΣΗ Δ.Ε. ΔΩΔΕΚΑΝΗΣΟΥ"/>
    <x v="1"/>
  </r>
  <r>
    <x v="743"/>
    <x v="1"/>
    <s v="ΠΕ05"/>
    <s v="ΓΑΛΛΙΚΗΣ ΦΙΛΟΛΟΓΙΑΣ"/>
    <m/>
    <m/>
    <s v="Γ΄"/>
    <n v="1"/>
    <s v="11513/22-11-2016"/>
    <d v="2018-09-01T00:00:00"/>
    <s v="ΛΑΡΙΣΑΣ (Δ.Ε.) 2018"/>
    <s v="ΔΙΕΥΘΥΝΣΗ Δ.Ε. ΛΑΡΙΣΑΣ"/>
    <s v="ΠΕΡΙΦΕΡΕΙΑΚΗ Δ/ΝΣΗ Α/ΘΜΙΑΣ ΚΑΙ Β/ΘΜΙΑΣ ΕΚΠ/ΣΗΣ ΘΕΣΣΑΛΙΑΣ"/>
    <n v="10"/>
    <d v="2018-09-01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5-07-10T00:00:00"/>
    <x v="0"/>
    <s v="ΔΙΕΥΘΥΝΣΗ Δ.Ε. ΛΑΡΙΣΑΣ"/>
    <x v="1"/>
  </r>
  <r>
    <x v="744"/>
    <x v="1"/>
    <s v="ΠΕ05"/>
    <s v="ΓΑΛΛΙΚΗΣ ΦΙΛΟΛΟΓΙΑΣ"/>
    <m/>
    <m/>
    <s v="Γ΄"/>
    <n v="1"/>
    <s v="2010/23-10-02"/>
    <d v="2018-09-01T00:00:00"/>
    <s v="Β΄ ΑΘΗΝΑΣ (Π.Ε.) 2018"/>
    <s v="ΔΙΕΥΘΥΝΣΗ Π.Ε. Β΄ ΑΘΗΝΑΣ"/>
    <s v="ΠΕΡΙΦΕΡΕΙΑΚΗ Δ/ΝΣΗ Α/ΘΜΙΑΣ ΚΑΙ Β/ΘΜΙΑΣ ΕΚΠ/ΣΗΣ ΑΤΤΙΚΗΣ"/>
    <n v="1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5-30T00:00:00"/>
    <x v="1"/>
    <s v="ΔΙΕΥΘΥΝΣΗ Π.Ε. Β΄ ΑΘΗΝΑΣ"/>
    <x v="1"/>
  </r>
  <r>
    <x v="745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5-19T00:00:00"/>
    <x v="0"/>
    <s v="ΔΙΕΥΘΥΝΣΗ Δ.Ε. Β΄ ΑΘΗΝΑΣ"/>
    <x v="1"/>
  </r>
  <r>
    <x v="746"/>
    <x v="0"/>
    <s v="ΠΕ11"/>
    <s v="ΦΥΣΙΚΗΣ 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5-25T00:00:00"/>
    <x v="0"/>
    <s v="ΔΙΕΥΘΥΝΣΗ Δ.Ε. ΑΝΑΤ. ΘΕΣ/ΝΙΚΗΣ"/>
    <x v="1"/>
  </r>
  <r>
    <x v="747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0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4-03-03T00:00:00"/>
    <x v="1"/>
    <s v="ΔΙΕΥΘΥΝΣΗ Π.Ε. ΛΑΡΙΣΑΣ"/>
    <x v="1"/>
  </r>
  <r>
    <x v="748"/>
    <x v="1"/>
    <s v="ΠΕ03"/>
    <s v="ΜΑΘΗΜΑΤΙΚ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09-01T00:00:00"/>
    <x v="0"/>
    <s v="ΔΙΕΥΘΥΝΣΗ Δ.Ε. ΑΝΑΤΟΛΙΚΗΣ ΑΤΤΙΚΗΣ"/>
    <x v="1"/>
  </r>
  <r>
    <x v="749"/>
    <x v="1"/>
    <s v="ΠΕ03"/>
    <s v="ΜΑΘΗΜΑΤΙΚΟΙ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0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2-05-16T00:00:00"/>
    <x v="0"/>
    <s v="ΔΙΕΥΘΥΝΣΗ Δ.Ε. ΔΩΔΕΚΑΝΗΣΟΥ"/>
    <x v="1"/>
  </r>
  <r>
    <x v="750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0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0-05-23T00:00:00"/>
    <x v="1"/>
    <s v="ΔΙΕΥΘΥΝΣΗ Π.Ε. Β΄ ΑΘΗΝΑΣ"/>
    <x v="1"/>
  </r>
  <r>
    <x v="751"/>
    <x v="0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8-09-23T00:00:00"/>
    <x v="0"/>
    <s v="ΔΙΕΥΘΥΝΣΗ Δ.Ε. ΑΝΑΤ. ΘΕΣ/ΝΙΚΗΣ"/>
    <x v="1"/>
  </r>
  <r>
    <x v="752"/>
    <x v="0"/>
    <s v="ΠΕ03"/>
    <s v="ΜΑΘΗΜΑΤ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0"/>
    <m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58-08-26T00:00:00"/>
    <x v="0"/>
    <s v="ΔΙΕΥΘΥΝΣΗ Δ.Ε. ΑΙΤΩΛΟΑΚΑΡΝΑΝΙΑΣ"/>
    <x v="1"/>
  </r>
  <r>
    <x v="753"/>
    <x v="0"/>
    <s v="ΠΕ04.02"/>
    <s v="ΧΗΜ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0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58-08-21T00:00:00"/>
    <x v="0"/>
    <s v="ΔΙΕΥΘΥΝΣΗ Δ.Ε. ΙΩΑΝΝΙΝΩΝ"/>
    <x v="1"/>
  </r>
  <r>
    <x v="754"/>
    <x v="1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7-14T00:00:00"/>
    <x v="0"/>
    <s v="ΔΙΕΥΘΥΝΣΗ Δ.Ε. ΑΝΑΤ. ΘΕΣ/ΝΙΚΗΣ"/>
    <x v="1"/>
  </r>
  <r>
    <x v="755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8-03-14T00:00:00"/>
    <x v="0"/>
    <s v="ΔΙΕΥΘΥΝΣΗ Δ.Ε. Β΄ ΑΘΗΝΑΣ"/>
    <x v="1"/>
  </r>
  <r>
    <x v="75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12-18T00:00:00"/>
    <x v="0"/>
    <s v="ΔΙΕΥΘΥΝΣΗ Δ.Ε. Β΄ ΑΘΗΝΑΣ"/>
    <x v="1"/>
  </r>
  <r>
    <x v="757"/>
    <x v="1"/>
    <s v="ΠΕ05"/>
    <s v="ΓΑΛ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758"/>
    <x v="1"/>
    <s v="ΠΕ11"/>
    <s v="ΦΥΣΙΚΗΣ ΑΓΩΓΗΣ"/>
    <m/>
    <m/>
    <s v="Γ΄"/>
    <n v="1"/>
    <n v="19619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0"/>
    <d v="2018-11-08T00:00:00"/>
    <s v="Ιδιωτικά Σχολεία"/>
    <x v="2"/>
    <s v="0560042"/>
    <s v="ST. LAWRENCE COLLEGE (ΓΥΜΝΑΣ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759"/>
    <x v="1"/>
    <s v="ΠΕ05"/>
    <s v="ΓΑΛ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1"/>
  </r>
  <r>
    <x v="760"/>
    <x v="1"/>
    <s v="ΠΕ07"/>
    <s v="ΓΕΡΜΑΝ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0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1"/>
  </r>
  <r>
    <x v="761"/>
    <x v="1"/>
    <s v="ΠΕ91.01"/>
    <s v="ΘΕΑΤΡΙΚΩΝ ΣΠΟΥΔΩΝ"/>
    <m/>
    <m/>
    <s v="Γ΄"/>
    <n v="1"/>
    <n v="10615"/>
    <d v="2018-09-01T00:00:00"/>
    <s v="Δ΄ ΑΘΗΝΑΣ (Π.Ε.) 2018"/>
    <s v="ΔΙΕΥΘΥΝΣΗ Π.Ε. Δ΄ ΑΘΗΝΑΣ"/>
    <s v="ΠΕΡΙΦΕΡΕΙΑΚΗ Δ/ΝΣΗ Α/ΘΜΙΑΣ ΚΑΙ Β/ΘΜΙΑΣ ΕΚΠ/ΣΗΣ ΑΤΤΙΚΗΣ"/>
    <n v="10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m/>
    <x v="1"/>
    <s v="ΔΙΕΥΘΥΝΣΗ Π.Ε. Δ΄ ΑΘΗΝΑΣ"/>
    <x v="1"/>
  </r>
  <r>
    <x v="762"/>
    <x v="1"/>
    <s v="ΠΕ05"/>
    <s v="ΓΑΛ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0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1"/>
  </r>
  <r>
    <x v="763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2-06-06T00:00:00"/>
    <x v="0"/>
    <s v="ΔΙΕΥΘΥΝΣΗ Δ.Ε. Β΄ ΑΘΗΝΑΣ"/>
    <x v="2"/>
  </r>
  <r>
    <x v="764"/>
    <x v="0"/>
    <s v="ΠΕ03"/>
    <s v="ΜΑΘΗΜΑΤΙΚΟΙ"/>
    <m/>
    <m/>
    <s v="Γ΄"/>
    <n v="1"/>
    <s v="8412/18-9-2018"/>
    <d v="2018-09-11T00:00:00"/>
    <s v="ΙΩΑΝΝΙΝΩΝ (Δ.Ε.) 2018"/>
    <s v="ΔΙΕΥΘΥΝΣΗ Δ.Ε. ΙΩΑΝΝΙΝΩΝ"/>
    <s v="ΠΕΡΙΦΕΡΕΙΑΚΗ Δ/ΝΣΗ Α/ΘΜΙΑΣ ΚΑΙ Β/ΘΜΙΑΣ ΕΚΠ/ΣΗΣ ΗΠΕΙΡΟΥ"/>
    <n v="11"/>
    <d v="2018-09-11T00:00:00"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91-04-01T00:00:00"/>
    <x v="0"/>
    <s v="ΔΙΕΥΘΥΝΣΗ Δ.Ε. ΙΩΑΝΝΙΝΩΝ"/>
    <x v="2"/>
  </r>
  <r>
    <x v="765"/>
    <x v="1"/>
    <s v="ΠΕ01"/>
    <s v="ΘΕΟΛΟΓΟΙ"/>
    <m/>
    <m/>
    <s v="Γ΄"/>
    <n v="1"/>
    <n v="18707"/>
    <d v="2018-09-11T00:00:00"/>
    <s v="Δ΄ ΑΘΗΝΑΣ (Δ.Ε.) 2018"/>
    <s v="ΔΙΕΥΘΥΝΣΗ Δ.Ε. Δ΄ ΑΘΗΝΑΣ"/>
    <s v="ΠΕΡΙΦΕΡΕΙΑΚΗ Δ/ΝΣΗ Α/ΘΜΙΑΣ ΚΑΙ Β/ΘΜΙΑΣ ΕΚΠ/ΣΗΣ ΑΤΤΙΚΗΣ"/>
    <n v="11"/>
    <d v="2018-09-11T00:00:00"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9-07-07T00:00:00"/>
    <x v="0"/>
    <s v="ΔΙΕΥΘΥΝΣΗ Δ.Ε. Δ΄ ΑΘΗΝΑΣ"/>
    <x v="2"/>
  </r>
  <r>
    <x v="766"/>
    <x v="1"/>
    <s v="ΠΕ80"/>
    <s v="ΟΙΚΟΝΟΜΙΑΣ"/>
    <m/>
    <m/>
    <s v="Γ΄"/>
    <n v="1"/>
    <n v="9186"/>
    <d v="2018-09-07T00:00:00"/>
    <s v="ΙΩΑΝΝΙΝΩΝ (Δ.Ε.) 2018"/>
    <s v="ΔΙΕΥΘΥΝΣΗ Δ.Ε. ΙΩΑΝΝΙΝΩΝ"/>
    <s v="ΠΕΡΙΦΕΡΕΙΑΚΗ Δ/ΝΣΗ Α/ΘΜΙΑΣ ΚΑΙ Β/ΘΜΙΑΣ ΕΚΠ/ΣΗΣ ΗΠΕΙΡΟΥ"/>
    <n v="11"/>
    <d v="2018-09-07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9-01-01T00:00:00"/>
    <x v="0"/>
    <s v="ΔΙΕΥΘΥΝΣΗ Δ.Ε. ΙΩΑΝΝΙΝΩΝ"/>
    <x v="2"/>
  </r>
  <r>
    <x v="767"/>
    <x v="1"/>
    <s v="ΠΕ04.04"/>
    <s v="ΒΙΟΛΟΓΟΙ"/>
    <m/>
    <m/>
    <s v="Γ΄"/>
    <n v="1"/>
    <n v="21566"/>
    <d v="2018-09-01T00:00:00"/>
    <s v="Δ΄ ΑΘΗΝΑΣ (Δ.Ε.) 2018"/>
    <s v="ΔΙΕΥΘΥΝΣΗ Δ.Ε. Δ΄ ΑΘΗΝΑΣ"/>
    <s v="ΠΕΡΙΦΕΡΕΙΑΚΗ Δ/ΝΣΗ Α/ΘΜΙΑΣ ΚΑΙ Β/ΘΜΙΑΣ ΕΚΠ/ΣΗΣ ΑΤΤΙΚΗΣ"/>
    <n v="11"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8-09-28T00:00:00"/>
    <x v="0"/>
    <s v="ΔΙΕΥΘΥΝΣΗ Δ.Ε. Δ΄ ΑΘΗΝΑΣ"/>
    <x v="2"/>
  </r>
  <r>
    <x v="768"/>
    <x v="1"/>
    <s v="ΠΕ11"/>
    <s v="ΦΥΣΙΚΗΣ ΑΓΩΓΗΣ"/>
    <m/>
    <m/>
    <s v="Γ΄"/>
    <n v="3"/>
    <s v="Φ.17/5986"/>
    <d v="2018-09-01T00:00:00"/>
    <s v="ΚΟΡΙΝΘΙΑΣ (Π.Ε.) 2018"/>
    <s v="ΔΙΕΥΘΥΝΣΗ Π.Ε. ΚΟΡΙΝΘΙΑΣ"/>
    <s v="ΠΕΡΙΦΕΡΕΙΑΚΗ Δ/ΝΣΗ Α/ΘΜΙΑΣ ΚΑΙ Β/ΘΜΙΑΣ ΕΚΠ/ΣΗΣ ΠΕΛΟΠΟΝΝΗΣΟΥ"/>
    <n v="11"/>
    <d v="2018-09-01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8-04-21T00:00:00"/>
    <x v="1"/>
    <s v="ΔΙΕΥΘΥΝΣΗ Π.Ε. ΚΟΡΙΝΘΙΑΣ"/>
    <x v="2"/>
  </r>
  <r>
    <x v="769"/>
    <x v="0"/>
    <s v="ΠΕ04.04"/>
    <s v="ΒΙ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1"/>
    <m/>
    <s v="Ιδιωτικά Σχολεία"/>
    <x v="3"/>
    <s v="2880010"/>
    <s v="ΙΔΙΩΤΙΚΟ ΗΜΕΡΗΣΙΟ ΛΥΚΕΙΟ ΚΟΡΙΝΘΟΣ - ΑΡΙΣΤΟΤΕΛΕΙΟ ΓΕΝΙΚΟ ΛΥΚΕ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7-09-06T00:00:00"/>
    <x v="0"/>
    <s v="ΔΙΕΥΘΥΝΣΗ Δ.Ε. ΚΟΡΙΝΘΙΑΣ"/>
    <x v="2"/>
  </r>
  <r>
    <x v="770"/>
    <x v="0"/>
    <s v="ΠΕ86"/>
    <s v="ΠΛΗΡΟΦΟΡΙΚΗΣ"/>
    <m/>
    <m/>
    <s v="Γ΄"/>
    <n v="1"/>
    <n v="21868"/>
    <d v="2018-09-01T00:00:00"/>
    <s v="Α΄ ΠΕΙΡΑΙΑ (Δ.Ε.) 2018"/>
    <s v="ΔΙΕΥΘΥΝΣΗ Δ.Ε. ΠΕΙΡΑΙΑ"/>
    <s v="ΠΕΡΙΦΕΡΕΙΑΚΗ Δ/ΝΣΗ Α/ΘΜΙΑΣ ΚΑΙ Β/ΘΜΙΑΣ ΕΚΠ/ΣΗΣ ΑΤΤΙΚΗΣ"/>
    <n v="11"/>
    <d v="2018-09-01T00:00:00"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7-04-17T00:00:00"/>
    <x v="0"/>
    <s v="ΔΙΕΥΘΥΝΣΗ Δ.Ε. ΠΕΙΡΑΙΑ"/>
    <x v="2"/>
  </r>
  <r>
    <x v="771"/>
    <x v="0"/>
    <s v="ΠΕ02"/>
    <s v="ΦΙΛΟΛΟΓΟΙ"/>
    <m/>
    <m/>
    <s v="Γ΄"/>
    <n v="1"/>
    <s v="Φ.17.2 / 786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1"/>
    <d v="2018-09-01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6-11-06T00:00:00"/>
    <x v="0"/>
    <s v="ΔΙΕΥΘΥΝΣΗ Δ.Ε. ΔΩΔΕΚΑΝΗΣΟΥ"/>
    <x v="2"/>
  </r>
  <r>
    <x v="772"/>
    <x v="1"/>
    <s v="ΠΕ86"/>
    <s v="ΠΛΗΡΟΦΟΡΙΚΗΣ"/>
    <m/>
    <m/>
    <s v="Γ΄"/>
    <n v="1"/>
    <s v="ΑΠ88635"/>
    <d v="2018-01-18T00:00:00"/>
    <s v="Α΄ ΜΑΓΝΗΣΙΑΣ (Δ.Ε.) 2018"/>
    <s v="ΔΙΕΥΘΥΝΣΗ Δ.Ε. ΜΑΓΝΗΣΙΑΣ"/>
    <s v="ΠΕΡΙΦΕΡΕΙΑΚΗ Δ/ΝΣΗ Α/ΘΜΙΑΣ ΚΑΙ Β/ΘΜΙΑΣ ΕΚΠ/ΣΗΣ ΘΕΣΣΑΛΙΑΣ"/>
    <n v="11"/>
    <d v="2018-01-18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6-08-29T00:00:00"/>
    <x v="0"/>
    <s v="ΔΙΕΥΘΥΝΣΗ Δ.Ε. ΜΑΓΝΗΣΙΑΣ"/>
    <x v="2"/>
  </r>
  <r>
    <x v="773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86-05-24T00:00:00"/>
    <x v="0"/>
    <s v="ΔΙΕΥΘΥΝΣΗ Δ.Ε. Β΄ ΑΘΗΝΑΣ"/>
    <x v="2"/>
  </r>
  <r>
    <x v="774"/>
    <x v="1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5-13T00:00:00"/>
    <x v="0"/>
    <s v="ΔΙΕΥΘΥΝΣΗ Δ.Ε. Β΄ ΑΘΗΝΑΣ"/>
    <x v="2"/>
  </r>
  <r>
    <x v="775"/>
    <x v="1"/>
    <s v="ΠΕ86"/>
    <s v="ΠΛΗΡΟΦΟΡΙΚΗΣ"/>
    <m/>
    <m/>
    <s v="Γ΄"/>
    <n v="1"/>
    <d v="2016-09-0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1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4-29T00:00:00"/>
    <x v="1"/>
    <s v="ΔΙΕΥΘΥΝΣΗ Π.Ε. ΑΝΑΤ. ΘΕΣ/ΝΙΚΗΣ"/>
    <x v="2"/>
  </r>
  <r>
    <x v="776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1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4-06-29T00:00:00"/>
    <x v="0"/>
    <s v="ΔΙΕΥΘΥΝΣΗ Δ.Ε. ΠΕΙΡΑΙΑ"/>
    <x v="2"/>
  </r>
  <r>
    <x v="777"/>
    <x v="1"/>
    <s v="ΠΕ02"/>
    <s v="ΦΙΛΟΛΟΓΟΙ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1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84-05-27T00:00:00"/>
    <x v="0"/>
    <s v="ΔΙΕΥΘΥΝΣΗ Δ.Ε. ΧΙΟΥ"/>
    <x v="2"/>
  </r>
  <r>
    <x v="778"/>
    <x v="1"/>
    <s v="ΠΕ11"/>
    <s v="ΦΥΣΙΚΗΣ ΑΓΩΓΗΣ"/>
    <m/>
    <m/>
    <s v="Γ΄"/>
    <n v="1"/>
    <s v="Φ.17/6191/31-10-2016"/>
    <d v="2018-09-01T00:00:00"/>
    <s v="ΚΟΡΙΝΘΙΑΣ (Π.Ε.) 2018"/>
    <s v="ΔΙΕΥΘΥΝΣΗ Π.Ε. ΚΟΡΙΝΘΙΑΣ"/>
    <s v="ΠΕΡΙΦΕΡΕΙΑΚΗ Δ/ΝΣΗ Α/ΘΜΙΑΣ ΚΑΙ Β/ΘΜΙΑΣ ΕΚΠ/ΣΗΣ ΠΕΛΟΠΟΝΝΗΣΟΥ"/>
    <n v="11"/>
    <d v="2018-09-01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4-03-08T00:00:00"/>
    <x v="1"/>
    <s v="ΔΙΕΥΘΥΝΣΗ Π.Ε. ΚΟΡΙΝΘΙΑΣ"/>
    <x v="2"/>
  </r>
  <r>
    <x v="779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1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3-08-11T00:00:00"/>
    <x v="0"/>
    <s v="ΔΙΕΥΘΥΝΣΗ Δ.Ε. ΠΕΙΡΑΙΑ"/>
    <x v="2"/>
  </r>
  <r>
    <x v="780"/>
    <x v="1"/>
    <s v="ΠΕ04.04"/>
    <s v="ΒΙ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d v="2018-09-01T00:00:00"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06-14T00:00:00"/>
    <x v="0"/>
    <s v="ΔΙΕΥΘΥΝΣΗ Δ.Ε. Β΄ ΑΘΗΝΑΣ"/>
    <x v="2"/>
  </r>
  <r>
    <x v="781"/>
    <x v="1"/>
    <s v="ΠΕ06"/>
    <s v="ΑΓΓΛΙΚΗΣ ΦΙΛΟΛΟΓΙΑΣ"/>
    <m/>
    <m/>
    <s v="Γ΄"/>
    <n v="2"/>
    <s v="18656/29-10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1"/>
    <d v="2018-09-01T00:00:00"/>
    <s v="Ιδιωτικά Σχολεία"/>
    <x v="2"/>
    <s v="0560026"/>
    <s v="ΙΔΙΩΤΙΚΟ ΓΥΜΝΑΣ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3-01-01T00:00:00"/>
    <x v="0"/>
    <s v="ΔΙΕΥΘΥΝΣΗ Δ.Ε. ΑΝΑΤΟΛΙΚΗΣ ΑΤΤΙΚΗΣ"/>
    <x v="2"/>
  </r>
  <r>
    <x v="782"/>
    <x v="1"/>
    <s v="ΠΕ06"/>
    <s v="ΑΓΓΛΙΚΗΣ ΦΙΛΟΛΟΓΙΑΣ"/>
    <m/>
    <m/>
    <s v="Γ΄"/>
    <n v="1"/>
    <n v="21456"/>
    <d v="2018-09-01T00:00:00"/>
    <s v="Α΄ ΠΕΙΡΑΙΑ (Δ.Ε.) 2018"/>
    <s v="ΔΙΕΥΘΥΝΣΗ Δ.Ε. ΠΕΙΡΑΙΑ"/>
    <s v="ΠΕΡΙΦΕΡΕΙΑΚΗ Δ/ΝΣΗ Α/ΘΜΙΑΣ ΚΑΙ Β/ΘΜΙΑΣ ΕΚΠ/ΣΗΣ ΑΤΤΙΚΗΣ"/>
    <n v="11"/>
    <d v="2018-09-01T00:00:00"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3-01-01T00:00:00"/>
    <x v="0"/>
    <s v="ΔΙΕΥΘΥΝΣΗ Δ.Ε. ΠΕΙΡΑΙΑ"/>
    <x v="2"/>
  </r>
  <r>
    <x v="783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2-21T00:00:00"/>
    <x v="0"/>
    <s v="ΔΙΕΥΘΥΝΣΗ Δ.Ε. Β΄ ΑΘΗΝΑΣ"/>
    <x v="2"/>
  </r>
  <r>
    <x v="784"/>
    <x v="1"/>
    <s v="ΠΕ02"/>
    <s v="ΦΙΛΟΛΟΓΟΙ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1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82-01-01T00:00:00"/>
    <x v="0"/>
    <s v="ΔΙΕΥΘΥΝΣΗ Δ.Ε. ΧΙΟΥ"/>
    <x v="2"/>
  </r>
  <r>
    <x v="785"/>
    <x v="1"/>
    <s v="ΠΕ91.01"/>
    <s v="ΘΕΑΤΡΙΚΩΝ ΣΠΟΥΔΩΝ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1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ΑΝΑΤΟΛΙΚΗΣ ΑΤΤΙΚΗΣ"/>
    <x v="2"/>
  </r>
  <r>
    <x v="786"/>
    <x v="0"/>
    <s v="ΠΕ11"/>
    <s v="ΦΥΣΙΚΗΣ ΑΓΩΓΗΣ"/>
    <m/>
    <m/>
    <s v="Γ΄"/>
    <n v="1"/>
    <s v="18654/29-10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1"/>
    <d v="2018-09-01T00:00:00"/>
    <s v="Ιδιωτικά Σχολεία"/>
    <x v="2"/>
    <s v="0560026"/>
    <s v="ΙΔΙΩΤΙΚΟ ΓΥΜΝΑΣ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0-02-11T00:00:00"/>
    <x v="0"/>
    <s v="ΔΙΕΥΘΥΝΣΗ Δ.Ε. ΑΝΑΤΟΛΙΚΗΣ ΑΤΤΙΚΗΣ"/>
    <x v="2"/>
  </r>
  <r>
    <x v="787"/>
    <x v="0"/>
    <s v="ΠΕ04.01"/>
    <s v="ΦΥΣΙΚΟΙ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1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79-10-15T00:00:00"/>
    <x v="0"/>
    <s v="ΔΙΕΥΘΥΝΣΗ Δ.Ε. ΧΙΟΥ"/>
    <x v="2"/>
  </r>
  <r>
    <x v="788"/>
    <x v="0"/>
    <s v="ΠΕ11"/>
    <s v="ΦΥΣΙΚΗΣ ΑΓΩΓΗΣ"/>
    <m/>
    <m/>
    <s v="Γ΄"/>
    <n v="1"/>
    <n v="18429"/>
    <d v="2018-09-01T00:00:00"/>
    <s v="Α΄ ΠΕΙΡΑΙΑ (Δ.Ε.) 2018"/>
    <s v="ΔΙΕΥΘΥΝΣΗ Δ.Ε. ΠΕΙΡΑΙΑ"/>
    <s v="ΠΕΡΙΦΕΡΕΙΑΚΗ Δ/ΝΣΗ Α/ΘΜΙΑΣ ΚΑΙ Β/ΘΜΙΑΣ ΕΚΠ/ΣΗΣ ΑΤΤΙΚΗΣ"/>
    <n v="11"/>
    <d v="2018-09-01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9-10-09T00:00:00"/>
    <x v="0"/>
    <s v="ΔΙΕΥΘΥΝΣΗ Δ.Ε. ΠΕΙΡΑΙΑ"/>
    <x v="2"/>
  </r>
  <r>
    <x v="789"/>
    <x v="1"/>
    <s v="ΠΕ02"/>
    <s v="ΦΙΛΟΛΟΓΟΙ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1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79-07-25T00:00:00"/>
    <x v="0"/>
    <s v="ΔΙΕΥΘΥΝΣΗ Δ.Ε. ΠΕΙΡΑΙΑ"/>
    <x v="2"/>
  </r>
  <r>
    <x v="790"/>
    <x v="0"/>
    <s v="ΠΕ11"/>
    <s v="ΦΥΣΙΚΗΣ ΑΓΩΓΗ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1"/>
    <m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9-07-24T00:00:00"/>
    <x v="0"/>
    <s v="ΔΙΕΥΘΥΝΣΗ Δ.Ε. ΙΩΑΝΝΙΝΩΝ"/>
    <x v="2"/>
  </r>
  <r>
    <x v="791"/>
    <x v="0"/>
    <s v="ΠΕ79.01"/>
    <s v="ΜΟΥΣΙΚΗΣ ΕΠΙΣΤΗΜ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1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11-11T00:00:00"/>
    <x v="1"/>
    <s v="ΔΙΕΥΘΥΝΣΗ Π.Ε. ΑΝΑΤΟΛΙΚΗΣ ΑΤΤΙΚΗΣ"/>
    <x v="2"/>
  </r>
  <r>
    <x v="792"/>
    <x v="0"/>
    <s v="ΠΕ02"/>
    <s v="ΦΙΛ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1"/>
    <m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8-08-18T00:00:00"/>
    <x v="0"/>
    <s v="ΔΙΕΥΘΥΝΣΗ Δ.Ε. ΙΩΑΝΝΙΝΩΝ"/>
    <x v="2"/>
  </r>
  <r>
    <x v="793"/>
    <x v="1"/>
    <s v="ΠΕ06"/>
    <s v="ΑΓΓΛΙΚΗΣ ΦΙΛΟΛΟΓΙΑΣ"/>
    <m/>
    <m/>
    <s v="Γ΄"/>
    <n v="1"/>
    <n v="113826256"/>
    <d v="2018-10-05T00:00:00"/>
    <s v="Α΄ ΠΕΙΡΑΙΑ (Π.Ε.) 2018"/>
    <s v="ΔΙΕΥΘΥΝΣΗ Π.Ε. ΠΕΙΡΑΙΑ"/>
    <s v="ΠΕΡΙΦΕΡΕΙΑΚΗ Δ/ΝΣΗ Α/ΘΜΙΑΣ ΚΑΙ Β/ΘΜΙΑΣ ΕΚΠ/ΣΗΣ ΑΤΤΙΚΗΣ"/>
    <n v="11"/>
    <d v="2018-10-05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78-06-21T00:00:00"/>
    <x v="1"/>
    <s v="ΔΙΕΥΘΥΝΣΗ Π.Ε. ΠΕΙΡΑΙΑ"/>
    <x v="2"/>
  </r>
  <r>
    <x v="794"/>
    <x v="1"/>
    <s v="ΠΕ11"/>
    <s v="ΦΥΣΙΚΗΣ ΑΓΩΓΗΣ"/>
    <m/>
    <m/>
    <s v="Γ΄"/>
    <n v="1"/>
    <s v="Φ. 17.2_ A/12078/2"/>
    <d v="2018-09-28T00:00:00"/>
    <s v="ΑΧΑΪΑΣ (Δ.Ε.) 2018"/>
    <s v="ΔΙΕΥΘΥΝΣΗ Δ.Ε. ΑΧΑΪΑΣ"/>
    <s v="ΠΕΡΙΦΕΡΕΙΑΚΗ Δ/ΝΣΗ Α/ΘΜΙΑΣ ΚΑΙ Β/ΘΜΙΑΣ ΕΚΠ/ΣΗΣ ΔΥΤΙΚΗΣ ΕΛΛΑΔΑΣ"/>
    <n v="11"/>
    <d v="2018-09-28T00:00:00"/>
    <s v="Ιδιωτικά Σχολεία"/>
    <x v="2"/>
    <s v="0645053"/>
    <s v="ΙΔΙΩΤΙΚΟ ΓΥΜΝΑΣΙΟ &quot;ΑΝΑΓΕΝΝΗΣΗ IKE&quot;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8-03-21T00:00:00"/>
    <x v="0"/>
    <s v="ΔΙΕΥΘΥΝΣΗ Δ.Ε. ΑΧΑΪΑΣ"/>
    <x v="2"/>
  </r>
  <r>
    <x v="795"/>
    <x v="1"/>
    <s v="ΠΕ04.04"/>
    <s v="ΒΙ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1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10-04T00:00:00"/>
    <x v="0"/>
    <s v="ΔΙΕΥΘΥΝΣΗ Δ.Ε. Β΄ ΑΘΗΝΑΣ"/>
    <x v="2"/>
  </r>
  <r>
    <x v="796"/>
    <x v="0"/>
    <s v="ΠΕ04.02"/>
    <s v="ΧΗΜ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1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7-09-01T00:00:00"/>
    <x v="0"/>
    <s v="ΔΙΕΥΘΥΝΣΗ Δ.Ε. ΚΟΡΙΝΘΙΑΣ"/>
    <x v="2"/>
  </r>
  <r>
    <x v="797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2-20T00:00:00"/>
    <x v="0"/>
    <s v="ΔΙΕΥΘΥΝΣΗ Δ.Ε. Β΄ ΑΘΗΝΑΣ"/>
    <x v="2"/>
  </r>
  <r>
    <x v="798"/>
    <x v="0"/>
    <s v="ΠΕ04.04"/>
    <s v="ΒΙΟΛΟΓΟΙ"/>
    <m/>
    <m/>
    <s v="Γ΄"/>
    <n v="1"/>
    <s v="9416/Φ17.2/01-10-2018"/>
    <d v="2018-09-11T00:00:00"/>
    <s v="ΞΑΝΘΗΣ (Δ.Ε.) 2018"/>
    <s v="ΔΙΕΥΘΥΝΣΗ Δ.Ε. ΞΑΝΘΗΣ"/>
    <s v="ΠΕΡΙΦΕΡΕΙΑΚΗ Δ/ΝΣΗ Α/ΘΜΙΑΣ ΚΑΙ Β/ΘΜΙΑΣ ΕΚΠ/ΣΗΣ ΑΝ. ΜΑΚΕΔΟΝΙΑΣ ΚΑΙ ΘΡΑΚΗΣ"/>
    <n v="11"/>
    <d v="2018-09-11T00:00:00"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76-10-10T00:00:00"/>
    <x v="0"/>
    <s v="ΔΙΕΥΘΥΝΣΗ Δ.Ε. ΞΑΝΘΗΣ"/>
    <x v="2"/>
  </r>
  <r>
    <x v="799"/>
    <x v="0"/>
    <s v="ΠΕ80"/>
    <s v="ΟΙΚΟΝΟΜ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6-05-10T00:00:00"/>
    <x v="0"/>
    <s v="ΔΙΕΥΘΥΝΣΗ Δ.Ε. Γ΄ ΑΘΗΝΑΣ"/>
    <x v="2"/>
  </r>
  <r>
    <x v="800"/>
    <x v="1"/>
    <s v="ΤΕ16"/>
    <s v="ΜΟΥΣΙΚΗΣ ΜΗ ΑΝΩΤΑΤΩΝ ΙΔΡΥΜΑΤΩΝ"/>
    <m/>
    <m/>
    <s v="Β΄"/>
    <n v="2"/>
    <s v="9691/29-10-2015"/>
    <d v="2018-09-01T00:00:00"/>
    <s v="ΑΧΑΪΑΣ (Π.Ε.) 2018"/>
    <s v="ΔΙΕΥΘΥΝΣΗ Π.Ε. ΑΧΑΪΑΣ"/>
    <s v="ΠΕΡΙΦΕΡΕΙΑΚΗ Δ/ΝΣΗ Α/ΘΜΙΑΣ ΚΑΙ Β/ΘΜΙΑΣ ΕΚΠ/ΣΗΣ ΔΥΤΙΚΗΣ ΕΛΛΑΔΑΣ"/>
    <n v="11"/>
    <d v="2018-09-01T00:00:00"/>
    <s v="Ιδιωτικά Σχολεία"/>
    <x v="4"/>
    <s v="7061004"/>
    <s v="ΙΔΙΩΤΙΚΟ ΔΗΜΟΤΙΚΟ ΠΑΤΡΑΣ ΕΚΠΑΙΔΕΥΤΗΡΙΑ ΑΝΑΓΕΝΝΗΣΗ ΙΚΕ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75-01-01T00:00:00"/>
    <x v="1"/>
    <s v="ΔΙΕΥΘΥΝΣΗ Π.Ε. ΑΧΑΪΑΣ"/>
    <x v="2"/>
  </r>
  <r>
    <x v="801"/>
    <x v="1"/>
    <s v="ΤΕ16"/>
    <s v="ΜΟΥΣΙΚΗΣ ΜΗ ΑΝΩΤΑΤΩΝ ΙΔΡΥΜΑΤΩΝ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11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5-01-01T00:00:00"/>
    <x v="1"/>
    <s v="ΔΙΕΥΘΥΝΣΗ Π.Ε. ΧΑΝΙΩΝ"/>
    <x v="2"/>
  </r>
  <r>
    <x v="802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3-07T00:00:00"/>
    <x v="0"/>
    <s v="ΔΙΕΥΘΥΝΣΗ Δ.Ε. Γ΄ ΑΘΗΝΑΣ"/>
    <x v="2"/>
  </r>
  <r>
    <x v="803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3-12-22T00:00:00"/>
    <x v="0"/>
    <s v="ΔΙΕΥΘΥΝΣΗ Δ.Ε. ΑΝΑΤΟΛΙΚΗΣ ΑΤΤΙΚΗΣ"/>
    <x v="2"/>
  </r>
  <r>
    <x v="804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3-06-24T00:00:00"/>
    <x v="0"/>
    <s v="ΔΙΕΥΘΥΝΣΗ Δ.Ε. Γ΄ ΑΘΗΝΑΣ"/>
    <x v="2"/>
  </r>
  <r>
    <x v="805"/>
    <x v="0"/>
    <s v="ΠΕ03"/>
    <s v="ΜΑΘΗΜΑΤΙΚΟΙ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11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3-03-28T00:00:00"/>
    <x v="0"/>
    <s v="ΔΙΕΥΘΥΝΣΗ Δ.Ε. ΠΕΙΡΑΙΑ"/>
    <x v="2"/>
  </r>
  <r>
    <x v="806"/>
    <x v="1"/>
    <s v="ΠΕ05"/>
    <s v="ΓΑΛ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1-17T00:00:00"/>
    <x v="0"/>
    <s v="ΔΙΕΥΘΥΝΣΗ Δ.Ε. Β΄ ΑΘΗΝΑΣ"/>
    <x v="2"/>
  </r>
  <r>
    <x v="807"/>
    <x v="0"/>
    <s v="ΤΕ16"/>
    <s v="ΜΟΥΣΙΚΗΣ ΜΗ ΑΝΩΤΑΤΩΝ ΙΔΡΥΜΑΤΩΝ"/>
    <m/>
    <m/>
    <s v="Γ΄"/>
    <n v="1"/>
    <s v="ΑΠ2027553"/>
    <d v="2018-10-15T00:00:00"/>
    <s v="Α΄ ΜΑΓΝΗΣΙΑΣ (Δ.Ε.) 2018"/>
    <s v="ΔΙΕΥΘΥΝΣΗ Δ.Ε. ΜΑΓΝΗΣΙΑΣ"/>
    <s v="ΠΕΡΙΦΕΡΕΙΑΚΗ Δ/ΝΣΗ Α/ΘΜΙΑΣ ΚΑΙ Β/ΘΜΙΑΣ ΕΚΠ/ΣΗΣ ΘΕΣΣΑΛΙΑΣ"/>
    <n v="11"/>
    <d v="2018-10-15T00:00:00"/>
    <s v="Ιδιωτικά Σχολεία"/>
    <x v="2"/>
    <s v="3560001"/>
    <s v="ΙΔΙΩΤΙΚΟ ΓΥΜΝΑΣ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73-01-01T00:00:00"/>
    <x v="0"/>
    <s v="ΔΙΕΥΘΥΝΣΗ Δ.Ε. ΜΑΓΝΗΣΙΑΣ"/>
    <x v="2"/>
  </r>
  <r>
    <x v="808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12-15T00:00:00"/>
    <x v="0"/>
    <s v="ΔΙΕΥΘΥΝΣΗ Δ.Ε. ΑΝΑΤΟΛΙΚΗΣ ΑΤΤΙΚΗΣ"/>
    <x v="2"/>
  </r>
  <r>
    <x v="809"/>
    <x v="0"/>
    <s v="ΠΕ04.01"/>
    <s v="ΦΥΣΙΚΟΙ"/>
    <m/>
    <m/>
    <s v="Γ΄"/>
    <n v="1"/>
    <s v="19724/24-10-2018"/>
    <d v="2018-09-01T00:00:00"/>
    <s v="ΛΑΡΙΣΑΣ (Δ.Ε.) 2018"/>
    <s v="ΔΙΕΥΘΥΝΣΗ Δ.Ε. ΛΑΡΙΣΑΣ"/>
    <s v="ΠΕΡΙΦΕΡΕΙΑΚΗ Δ/ΝΣΗ Α/ΘΜΙΑΣ ΚΑΙ Β/ΘΜΙΑΣ ΕΚΠ/ΣΗΣ ΘΕΣΣΑΛΙΑΣ"/>
    <n v="11"/>
    <d v="2018-09-01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2-11-24T00:00:00"/>
    <x v="0"/>
    <s v="ΔΙΕΥΘΥΝΣΗ Δ.Ε. ΛΑΡΙΣΑΣ"/>
    <x v="2"/>
  </r>
  <r>
    <x v="810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ΑΝΑΤΟΛΙΚΗΣ ΑΤΤΙΚΗΣ"/>
    <x v="2"/>
  </r>
  <r>
    <x v="811"/>
    <x v="0"/>
    <s v="ΠΕ78"/>
    <s v="ΚΟΙΝΩΝΙΚΩΝ ΕΠΙΣΤΗΜΩΝ"/>
    <m/>
    <m/>
    <s v="Γ΄"/>
    <n v="1"/>
    <s v="18279/50"/>
    <d v="2018-09-01T00:00:00"/>
    <s v="Γ΄ ΑΘΗΝΑΣ (Δ.Ε.) 2018"/>
    <s v="ΔΙΕΥΘΥΝΣΗ Δ.Ε. Γ΄ ΑΘΗΝΑΣ"/>
    <s v="ΠΕΡΙΦΕΡΕΙΑΚΗ Δ/ΝΣΗ Α/ΘΜΙΑΣ ΚΑΙ Β/ΘΜΙΑΣ ΕΚΠ/ΣΗΣ ΑΤΤΙΚΗΣ"/>
    <n v="11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11-08T00:00:00"/>
    <x v="0"/>
    <s v="ΔΙΕΥΘΥΝΣΗ Δ.Ε. Γ΄ ΑΘΗΝΑΣ"/>
    <x v="2"/>
  </r>
  <r>
    <x v="812"/>
    <x v="0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1"/>
    <m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1-06-26T00:00:00"/>
    <x v="0"/>
    <s v="ΔΙΕΥΘΥΝΣΗ Δ.Ε. ΑΧΑΪΑΣ"/>
    <x v="2"/>
  </r>
  <r>
    <x v="813"/>
    <x v="0"/>
    <s v="ΠΕ11"/>
    <s v="ΦΥΣΙΚΗΣ ΑΓΩΓΗΣ"/>
    <m/>
    <m/>
    <s v="Γ΄"/>
    <n v="1"/>
    <s v="Φ.Ι.Α.6/9399/23-3-2017"/>
    <d v="2016-09-01T00:00:00"/>
    <s v="Β΄ ΑΝΑΤ. ΑΤΤΙΚΗΣ (Π.Ε.) 2018"/>
    <s v="ΔΙΕΥΘΥΝΣΗ Π.Ε. ΑΝΑΤΟΛΙΚΗΣ ΑΤΤΙΚΗΣ"/>
    <s v="ΠΕΡΙΦΕΡΕΙΑΚΗ Δ/ΝΣΗ Α/ΘΜΙΑΣ ΚΑΙ Β/ΘΜΙΑΣ ΕΚΠ/ΣΗΣ ΑΤΤΙΚΗΣ"/>
    <n v="11"/>
    <d v="2016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11-08T00:00:00"/>
    <x v="1"/>
    <s v="ΔΙΕΥΘΥΝΣΗ Π.Ε. ΑΝΑΤΟΛΙΚΗΣ ΑΤΤΙΚΗΣ"/>
    <x v="2"/>
  </r>
  <r>
    <x v="814"/>
    <x v="0"/>
    <s v="ΠΕ01"/>
    <s v="ΘΕΟΛΟΓ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11"/>
    <m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7-23T00:00:00"/>
    <x v="0"/>
    <s v="ΔΙΕΥΘΥΝΣΗ Δ.Ε. Δ΄ ΑΘΗΝΑΣ"/>
    <x v="2"/>
  </r>
  <r>
    <x v="815"/>
    <x v="1"/>
    <s v="ΠΕ05"/>
    <s v="ΓΑΛΛΙΚΗΣ ΦΙΛΟΛΟΓΙΑ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11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6-11T00:00:00"/>
    <x v="1"/>
    <s v="ΔΙΕΥΘΥΝΣΗ Π.Ε. ΑΝΑΤ. ΘΕΣ/ΝΙΚΗΣ"/>
    <x v="2"/>
  </r>
  <r>
    <x v="816"/>
    <x v="1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0-02-12T00:00:00"/>
    <x v="0"/>
    <s v="ΔΙΕΥΘΥΝΣΗ Δ.Ε. Γ΄ ΑΘΗΝΑΣ"/>
    <x v="2"/>
  </r>
  <r>
    <x v="817"/>
    <x v="1"/>
    <s v="ΠΕ05"/>
    <s v="ΓΑΛΛΙΚΗΣ ΦΙΛΟΛΟΓΙΑΣ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1"/>
    <m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69-06-30T00:00:00"/>
    <x v="0"/>
    <s v="ΔΙΕΥΘΥΝΣΗ Δ.Ε. ΑΡΓΟΛΙΔΑΣ"/>
    <x v="2"/>
  </r>
  <r>
    <x v="818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5-16T00:00:00"/>
    <x v="0"/>
    <s v="ΔΙΕΥΘΥΝΣΗ Δ.Ε. ΑΝΑΤΟΛΙΚΗΣ ΑΤΤΙΚΗΣ"/>
    <x v="2"/>
  </r>
  <r>
    <x v="819"/>
    <x v="0"/>
    <s v="ΠΕ11"/>
    <s v="ΦΥΣΙΚΗΣ ΑΓΩΓΗΣ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1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8-11-24T00:00:00"/>
    <x v="0"/>
    <s v="ΔΙΕΥΘΥΝΣΗ Δ.Ε. ΣΕΡΡΩΝ"/>
    <x v="2"/>
  </r>
  <r>
    <x v="820"/>
    <x v="0"/>
    <s v="ΠΕ11"/>
    <s v="ΦΥΣΙΚΗΣ ΑΓΩΓΗΣ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1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8-10-17T00:00:00"/>
    <x v="0"/>
    <s v="ΔΙΕΥΘΥΝΣΗ Δ.Ε. ΑΙΤΩΛΟΑΚΑΡΝΑΝΙΑΣ"/>
    <x v="2"/>
  </r>
  <r>
    <x v="821"/>
    <x v="0"/>
    <s v="ΠΕ79.01"/>
    <s v="ΜΟΥΣΙΚΗΣ ΕΠΙΣΤΗΜΗΣ"/>
    <m/>
    <m/>
    <s v="Α΄"/>
    <n v="1"/>
    <s v="Φ.17/6126/10-09-2018"/>
    <d v="2018-09-01T00:00:00"/>
    <s v="ΙΩΑΝΝΙΝΩΝ (Π.Ε.) 2018"/>
    <s v="ΔΙΕΥΘΥΝΣΗ Π.Ε. ΙΩΑΝΝΙΝΩΝ"/>
    <s v="ΠΕΡΙΦΕΡΕΙΑΚΗ Δ/ΝΣΗ Α/ΘΜΙΑΣ ΚΑΙ Β/ΘΜΙΑΣ ΕΚΠ/ΣΗΣ ΗΠΕΙΡΟΥ"/>
    <n v="11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8-09-20T00:00:00"/>
    <x v="1"/>
    <s v="ΔΙΕΥΘΥΝΣΗ Π.Ε. ΙΩΑΝΝΙΝΩΝ"/>
    <x v="2"/>
  </r>
  <r>
    <x v="822"/>
    <x v="1"/>
    <s v="ΠΕ79.01"/>
    <s v="ΜΟΥΣΙΚΗΣ ΕΠΙΣΤΗΜ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1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5-22T00:00:00"/>
    <x v="0"/>
    <s v="ΔΙΕΥΘΥΝΣΗ Δ.Ε. ΠΕΙΡΑΙΑ"/>
    <x v="2"/>
  </r>
  <r>
    <x v="823"/>
    <x v="1"/>
    <s v="ΠΕ04.04"/>
    <s v="ΒΙΟΛΟΓΟΙ"/>
    <m/>
    <m/>
    <s v="Γ΄"/>
    <n v="1"/>
    <s v="20349/7"/>
    <d v="2018-09-01T00:00:00"/>
    <s v="Γ΄ ΑΘΗΝΑΣ (Δ.Ε.) 2018"/>
    <s v="ΔΙΕΥΘΥΝΣΗ Δ.Ε. Γ΄ ΑΘΗΝΑΣ"/>
    <s v="ΠΕΡΙΦΕΡΕΙΑΚΗ Δ/ΝΣΗ Α/ΘΜΙΑΣ ΚΑΙ Β/ΘΜΙΑΣ ΕΚΠ/ΣΗΣ ΑΤΤΙΚΗΣ"/>
    <n v="11"/>
    <d v="2018-09-01T00:00:00"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7-08-10T00:00:00"/>
    <x v="0"/>
    <s v="ΔΙΕΥΘΥΝΣΗ Δ.Ε. Γ΄ ΑΘΗΝΑΣ"/>
    <x v="2"/>
  </r>
  <r>
    <x v="824"/>
    <x v="0"/>
    <s v="ΠΕ11"/>
    <s v="ΦΥΣΙΚΗΣ ΑΓΩΓΗΣ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1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7-01-06T00:00:00"/>
    <x v="0"/>
    <s v="ΔΙΕΥΘΥΝΣΗ Δ.Ε. ΣΕΡΡΩΝ"/>
    <x v="2"/>
  </r>
  <r>
    <x v="825"/>
    <x v="1"/>
    <s v="ΠΕ86"/>
    <s v="ΠΛΗΡΟΦΟΡΙΚ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1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1-01T00:00:00"/>
    <x v="1"/>
    <s v="ΔΙΕΥΘΥΝΣΗ Π.Ε. Β΄ ΑΘΗΝΑΣ"/>
    <x v="2"/>
  </r>
  <r>
    <x v="82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8-08T00:00:00"/>
    <x v="0"/>
    <s v="ΔΙΕΥΘΥΝΣΗ Δ.Ε. Β΄ ΑΘΗΝΑΣ"/>
    <x v="2"/>
  </r>
  <r>
    <x v="827"/>
    <x v="0"/>
    <s v="ΠΕ07"/>
    <s v="ΓΕΡΜ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5-09-16T00:00:00"/>
    <x v="0"/>
    <s v="ΔΙΕΥΘΥΝΣΗ Δ.Ε. Γ΄ ΑΘΗΝΑΣ"/>
    <x v="2"/>
  </r>
  <r>
    <x v="82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6-30T00:00:00"/>
    <x v="0"/>
    <s v="ΔΙΕΥΘΥΝΣΗ Δ.Ε. Β΄ ΑΘΗΝΑΣ"/>
    <x v="2"/>
  </r>
  <r>
    <x v="829"/>
    <x v="0"/>
    <s v="ΠΕ08"/>
    <s v="ΚΑΛΛΙΤΕΧΝΙΚΩΝ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1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3-10-29T00:00:00"/>
    <x v="1"/>
    <s v="ΔΙΕΥΘΥΝΣΗ Π.Ε. ΠΕΙΡΑΙΑ"/>
    <x v="2"/>
  </r>
  <r>
    <x v="830"/>
    <x v="0"/>
    <s v="ΠΕ03"/>
    <s v="ΜΑΘΗΜΑΤΙΚΟΙ"/>
    <m/>
    <m/>
    <s v="Γ΄"/>
    <n v="1"/>
    <n v="23821"/>
    <d v="2018-10-09T00:00:00"/>
    <s v="Α΄ ΠΕΙΡΑΙΑ (Δ.Ε.) 2018"/>
    <s v="ΔΙΕΥΘΥΝΣΗ Δ.Ε. ΠΕΙΡΑΙΑ"/>
    <s v="ΠΕΡΙΦΕΡΕΙΑΚΗ Δ/ΝΣΗ Α/ΘΜΙΑΣ ΚΑΙ Β/ΘΜΙΑΣ ΕΚΠ/ΣΗΣ ΑΤΤΙΚΗΣ"/>
    <n v="11"/>
    <d v="2018-10-09T00:00:00"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3-09-05T00:00:00"/>
    <x v="0"/>
    <s v="ΔΙΕΥΘΥΝΣΗ Δ.Ε. ΠΕΙΡΑΙΑ"/>
    <x v="2"/>
  </r>
  <r>
    <x v="831"/>
    <x v="1"/>
    <s v="ΠΕ05"/>
    <s v="ΓΑΛ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6-17T00:00:00"/>
    <x v="0"/>
    <s v="ΔΙΕΥΘΥΝΣΗ Δ.Ε. Β΄ ΑΘΗΝΑΣ"/>
    <x v="2"/>
  </r>
  <r>
    <x v="832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3-01T00:00:00"/>
    <x v="0"/>
    <s v="ΔΙΕΥΘΥΝΣΗ Δ.Ε. Β΄ ΑΘΗΝΑΣ"/>
    <x v="2"/>
  </r>
  <r>
    <x v="833"/>
    <x v="0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56-06-19T00:00:00"/>
    <x v="0"/>
    <s v="ΔΙΕΥΘΥΝΣΗ Δ.Ε. Γ΄ ΑΘΗΝΑΣ"/>
    <x v="2"/>
  </r>
  <r>
    <x v="834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3-09-30T00:00:00"/>
    <x v="0"/>
    <s v="ΔΙΕΥΘΥΝΣΗ Δ.Ε. ΑΝΑΤΟΛΙΚΗΣ ΑΤΤΙΚΗΣ"/>
    <x v="2"/>
  </r>
  <r>
    <x v="835"/>
    <x v="0"/>
    <s v="ΠΕ02"/>
    <s v="ΦΙΛΟΛΟΓΟΙ"/>
    <m/>
    <m/>
    <s v="Γ΄"/>
    <n v="1"/>
    <n v="19615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1"/>
    <d v="2018-11-08T00:00:00"/>
    <s v="Ιδιωτικά Σχολεία"/>
    <x v="2"/>
    <s v="0560042"/>
    <s v="ST. LAWRENCE COLLEGE (ΓΥΜΝΑΣ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836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837"/>
    <x v="0"/>
    <s v="ΠΕ79.01"/>
    <s v="ΜΟΥΣΙΚΗΣ ΕΠΙΣΤΗΜ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838"/>
    <x v="1"/>
    <s v="ΠΕ05"/>
    <s v="ΓΑΛ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2"/>
  </r>
  <r>
    <x v="839"/>
    <x v="1"/>
    <s v="ΠΕ07"/>
    <s v="ΓΕΡΜ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2"/>
  </r>
  <r>
    <x v="840"/>
    <x v="0"/>
    <s v="ΠΕ86"/>
    <s v="ΠΛΗΡΟΦΟΡΙΚΗΣ"/>
    <m/>
    <m/>
    <s v="Γ΄"/>
    <n v="1"/>
    <n v="16634"/>
    <d v="2018-11-26T00:00:00"/>
    <s v="Δ΄ ΑΘΗΝΑΣ (Δ.Ε.) 2018"/>
    <s v="ΔΙΕΥΘΥΝΣΗ Δ.Ε. Δ΄ ΑΘΗΝΑΣ"/>
    <s v="ΠΕΡΙΦΕΡΕΙΑΚΗ Δ/ΝΣΗ Α/ΘΜΙΑΣ ΚΑΙ Β/ΘΜΙΑΣ ΕΚΠ/ΣΗΣ ΑΤΤΙΚΗΣ"/>
    <n v="11"/>
    <d v="2018-11-26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2"/>
  </r>
  <r>
    <x v="841"/>
    <x v="1"/>
    <s v="ΠΕ16.01"/>
    <s v="ΜΟΥΣΙΚΗΣ ΠΤΥΧ. ΜΟΥΣΙΚΗΣ ΕΠΙΣΤΗΜΗ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1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1"/>
    <s v="ΔΙΕΥΘΥΝΣΗ Π.Ε. ΑΝΑΤ. ΘΕΣ/ΝΙΚΗΣ"/>
    <x v="2"/>
  </r>
  <r>
    <x v="842"/>
    <x v="0"/>
    <s v="ΠΕ86"/>
    <s v="ΠΛΗΡΟΦΟΡΙΚΗΣ"/>
    <m/>
    <m/>
    <s v="Γ΄"/>
    <n v="1"/>
    <n v="13804"/>
    <d v="2018-10-25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d v="2018-10-25T00:00:00"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2-11-04T00:00:00"/>
    <x v="1"/>
    <s v="ΔΙΕΥΘΥΝΣΗ Π.Ε. ΔΥΤ. ΘΕΣ/ΝΙΚΗΣ"/>
    <x v="2"/>
  </r>
  <r>
    <x v="843"/>
    <x v="1"/>
    <s v="ΠΕ07"/>
    <s v="ΓΕΡΜΑΝΙΚΗΣ ΦΙΛΟΛΟΓΙΑΣ"/>
    <m/>
    <m/>
    <s v="Γ΄"/>
    <n v="1"/>
    <s v="4620/3-10-2017"/>
    <d v="2018-09-01T00:00:00"/>
    <s v="ΜΕΣΣΗΝΙΑΣ (Δ.Ε.) 2018"/>
    <s v="ΔΙΕΥΘΥΝΣΗ Δ.Ε. ΜΕΣΣΗΝΙΑΣ"/>
    <s v="ΠΕΡΙΦΕΡΕΙΑΚΗ Δ/ΝΣΗ Α/ΘΜΙΑΣ ΚΑΙ Β/ΘΜΙΑΣ ΕΚΠ/ΣΗΣ ΠΕΛΟΠΟΝΝΗΣΟΥ"/>
    <n v="12"/>
    <d v="2018-09-01T00:00:00"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0"/>
    <s v="Τοποθέτηση σε Ιδιωτική Εκπαίδευση"/>
    <d v="1992-10-18T00:00:00"/>
    <x v="0"/>
    <s v="ΔΙΕΥΘΥΝΣΗ Δ.Ε. ΜΕΣΣΗΝΙΑΣ"/>
    <x v="2"/>
  </r>
  <r>
    <x v="84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2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2-07-08T00:00:00"/>
    <x v="0"/>
    <s v="ΔΙΕΥΘΥΝΣΗ Δ.Ε. Β΄ ΑΘΗΝΑΣ"/>
    <x v="2"/>
  </r>
  <r>
    <x v="845"/>
    <x v="0"/>
    <s v="ΠΕ11"/>
    <s v="ΦΥΣΙΚΗΣ ΑΓΩΓ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2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2-02-22T00:00:00"/>
    <x v="1"/>
    <s v="ΔΙΕΥΘΥΝΣΗ Π.Ε. Β΄ ΑΘΗΝΑΣ"/>
    <x v="2"/>
  </r>
  <r>
    <x v="846"/>
    <x v="0"/>
    <s v="ΠΕ11"/>
    <s v="ΦΥΣΙΚΗΣ ΑΓΩΓΗΣ"/>
    <m/>
    <m/>
    <s v="Γ΄"/>
    <n v="1"/>
    <s v="18178/10-10-2018"/>
    <d v="2018-09-06T00:00:00"/>
    <s v="ΛΑΡΙΣΑΣ (Δ.Ε.) 2018"/>
    <s v="ΔΙΕΥΘΥΝΣΗ Δ.Ε. ΛΑΡΙΣΑΣ"/>
    <s v="ΠΕΡΙΦΕΡΕΙΑΚΗ Δ/ΝΣΗ Α/ΘΜΙΑΣ ΚΑΙ Β/ΘΜΙΑΣ ΕΚΠ/ΣΗΣ ΘΕΣΣΑΛΙΑΣ"/>
    <n v="12"/>
    <d v="2018-09-06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91-09-18T00:00:00"/>
    <x v="0"/>
    <s v="ΔΙΕΥΘΥΝΣΗ Δ.Ε. ΛΑΡΙΣΑΣ"/>
    <x v="2"/>
  </r>
  <r>
    <x v="847"/>
    <x v="1"/>
    <s v="ΠΕ06"/>
    <s v="ΑΓΓΛΙΚΗΣ ΦΙΛΟΛΟΓΙΑΣ"/>
    <m/>
    <m/>
    <s v="Γ΄"/>
    <n v="1"/>
    <s v="16963/ 05/10/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2"/>
    <d v="2018-09-01T00:00:00"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91-08-13T00:00:00"/>
    <x v="0"/>
    <s v="ΔΙΕΥΘΥΝΣΗ Δ.Ε. ΑΝΑΤΟΛΙΚΗΣ ΑΤΤΙΚΗΣ"/>
    <x v="2"/>
  </r>
  <r>
    <x v="848"/>
    <x v="1"/>
    <s v="ΠΕ02"/>
    <s v="ΦΙΛΟΛΟΓΟΙ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12"/>
    <d v="2018-09-01T00:00:00"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91-08-10T00:00:00"/>
    <x v="0"/>
    <s v="ΔΙΕΥΘΥΝΣΗ Δ.Ε. ΠΕΙΡΑΙΑ"/>
    <x v="2"/>
  </r>
  <r>
    <x v="849"/>
    <x v="0"/>
    <s v="ΠΕ04.01"/>
    <s v="ΦΥΣΙΚΟΙ"/>
    <m/>
    <m/>
    <s v="Γ΄"/>
    <n v="1"/>
    <s v="160050/01-09-2018"/>
    <d v="2018-09-01T00:00:00"/>
    <s v="ΛΑΡΙΣΑΣ (Δ.Ε.) 2018"/>
    <s v="ΔΙΕΥΘΥΝΣΗ Δ.Ε. ΛΑΡΙΣΑΣ"/>
    <s v="ΠΕΡΙΦΕΡΕΙΑΚΗ Δ/ΝΣΗ Α/ΘΜΙΑΣ ΚΑΙ Β/ΘΜΙΑΣ ΕΚΠ/ΣΗΣ ΘΕΣΣΑΛΙΑΣ"/>
    <n v="12"/>
    <d v="2018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90-10-15T00:00:00"/>
    <x v="0"/>
    <s v="ΔΙΕΥΘΥΝΣΗ Δ.Ε. ΛΑΡΙΣΑΣ"/>
    <x v="2"/>
  </r>
  <r>
    <x v="85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2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12-14T00:00:00"/>
    <x v="1"/>
    <s v="ΔΙΕΥΘΥΝΣΗ Π.Ε. Β΄ ΑΘΗΝΑΣ"/>
    <x v="2"/>
  </r>
  <r>
    <x v="851"/>
    <x v="1"/>
    <s v="ΠΕ04.02"/>
    <s v="ΧΗΜΙΚΟΙ"/>
    <m/>
    <m/>
    <s v="Γ΄"/>
    <n v="1"/>
    <s v="10718/16-11-2016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2"/>
    <d v="2018-09-01T00:00:00"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88-12-03T00:00:00"/>
    <x v="0"/>
    <s v="ΔΙΕΥΘΥΝΣΗ Δ.Ε. ΞΑΝΘΗΣ"/>
    <x v="2"/>
  </r>
  <r>
    <x v="852"/>
    <x v="1"/>
    <s v="ΠΕ70"/>
    <s v="ΔΑΣΚΑΛ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8-03-14T00:00:00"/>
    <x v="1"/>
    <s v="ΔΙΕΥΘΥΝΣΗ Π.Ε. ΔΥΤ. ΘΕΣ/ΝΙΚΗΣ"/>
    <x v="2"/>
  </r>
  <r>
    <x v="853"/>
    <x v="1"/>
    <s v="ΠΕ06"/>
    <s v="ΑΓΓΛΙΚΗΣ ΦΙΛΟΛΟΓΙΑ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87-08-17T00:00:00"/>
    <x v="0"/>
    <s v="ΔΙΕΥΘΥΝΣΗ Δ.Ε. ΤΡΙΚΑΛΩΝ"/>
    <x v="2"/>
  </r>
  <r>
    <x v="854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2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ΑΝΑΤΟΛΙΚΗΣ ΑΤΤΙΚΗΣ"/>
    <x v="2"/>
  </r>
  <r>
    <x v="855"/>
    <x v="1"/>
    <s v="ΠΕ06"/>
    <s v="ΑΓΓΛΙΚΗΣ ΦΙΛΟΛΟΓΙΑΣ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2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6-05-29T00:00:00"/>
    <x v="0"/>
    <s v="ΔΙΕΥΘΥΝΣΗ Δ.Ε. ΑΡΓΟΛΙΔΑΣ"/>
    <x v="2"/>
  </r>
  <r>
    <x v="856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6-05-15T00:00:00"/>
    <x v="0"/>
    <s v="ΔΙΕΥΘΥΝΣΗ Δ.Ε. Β΄ ΑΘΗΝΑΣ"/>
    <x v="2"/>
  </r>
  <r>
    <x v="857"/>
    <x v="0"/>
    <s v="ΠΕ81"/>
    <s v="ΠΟΛ.ΜΗΧΑΝΙΚΩΝ-ΑΡΧΙΤΕΚΤΟΝ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5-12-13T00:00:00"/>
    <x v="0"/>
    <s v="ΔΙΕΥΘΥΝΣΗ Δ.Ε. ΑΝΑΤΟΛΙΚΗΣ ΑΤΤΙΚΗΣ"/>
    <x v="2"/>
  </r>
  <r>
    <x v="858"/>
    <x v="1"/>
    <s v="ΠΕ06"/>
    <s v="ΑΓΓΛΙΚΗΣ ΦΙΛΟΛΟΓΙΑΣ"/>
    <m/>
    <m/>
    <s v="Γ΄"/>
    <n v="1"/>
    <s v="9146/1-10-2018"/>
    <d v="2018-09-21T00:00:00"/>
    <s v="ΙΩΑΝΝΙΝΩΝ (Δ.Ε.) 2018"/>
    <s v="ΔΙΕΥΘΥΝΣΗ Δ.Ε. ΙΩΑΝΝΙΝΩΝ"/>
    <s v="ΠΕΡΙΦΕΡΕΙΑΚΗ Δ/ΝΣΗ Α/ΘΜΙΑΣ ΚΑΙ Β/ΘΜΙΑΣ ΕΚΠ/ΣΗΣ ΗΠΕΙΡΟΥ"/>
    <n v="12"/>
    <d v="2018-09-21T00:00:00"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85-11-25T00:00:00"/>
    <x v="0"/>
    <s v="ΔΙΕΥΘΥΝΣΗ Δ.Ε. ΙΩΑΝΝΙΝΩΝ"/>
    <x v="2"/>
  </r>
  <r>
    <x v="859"/>
    <x v="0"/>
    <s v="ΠΕ70"/>
    <s v="ΔΑΣΚΑΛ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2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5-05-04T00:00:00"/>
    <x v="1"/>
    <s v="ΔΙΕΥΘΥΝΣΗ Π.Ε. ΔΩΔΕΚΑΝΗΣΟΥ"/>
    <x v="2"/>
  </r>
  <r>
    <x v="860"/>
    <x v="0"/>
    <s v="ΠΕ04.04"/>
    <s v="ΒΙΟΛΟΓΟΙ"/>
    <m/>
    <m/>
    <s v="Γ΄"/>
    <n v="1"/>
    <s v="ΑΠ1893015"/>
    <d v="2018-09-11T00:00:00"/>
    <s v="Α΄ ΜΑΓΝΗΣΙΑΣ (Δ.Ε.) 2018"/>
    <s v="ΔΙΕΥΘΥΝΣΗ Δ.Ε. ΜΑΓΝΗΣΙΑΣ"/>
    <s v="ΠΕΡΙΦΕΡΕΙΑΚΗ Δ/ΝΣΗ Α/ΘΜΙΑΣ ΚΑΙ Β/ΘΜΙΑΣ ΕΚΠ/ΣΗΣ ΘΕΣΣΑΛΙΑΣ"/>
    <n v="12"/>
    <d v="2018-09-11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5-04-18T00:00:00"/>
    <x v="0"/>
    <s v="ΔΙΕΥΘΥΝΣΗ Δ.Ε. ΜΑΓΝΗΣΙΑΣ"/>
    <x v="2"/>
  </r>
  <r>
    <x v="861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2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5-01-15T00:00:00"/>
    <x v="0"/>
    <s v="ΔΙΕΥΘΥΝΣΗ Δ.Ε. ΠΕΙΡΑΙΑ"/>
    <x v="2"/>
  </r>
  <r>
    <x v="862"/>
    <x v="1"/>
    <s v="ΠΕ02"/>
    <s v="ΦΙΛΟΛΟΓΟΙ"/>
    <m/>
    <m/>
    <s v="Γ΄"/>
    <n v="1"/>
    <n v="21384"/>
    <d v="2018-09-01T00:00:00"/>
    <s v="Α΄ ΠΕΙΡΑΙΑ (Δ.Ε.) 2018"/>
    <s v="ΔΙΕΥΘΥΝΣΗ Δ.Ε. ΠΕΙΡΑΙΑ"/>
    <s v="ΠΕΡΙΦΕΡΕΙΑΚΗ Δ/ΝΣΗ Α/ΘΜΙΑΣ ΚΑΙ Β/ΘΜΙΑΣ ΕΚΠ/ΣΗΣ ΑΤΤΙΚΗΣ"/>
    <n v="12"/>
    <d v="2018-09-01T00:00:00"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5-01-12T00:00:00"/>
    <x v="0"/>
    <s v="ΔΙΕΥΘΥΝΣΗ Δ.Ε. ΠΕΙΡΑΙΑ"/>
    <x v="2"/>
  </r>
  <r>
    <x v="863"/>
    <x v="1"/>
    <s v="ΠΕ86"/>
    <s v="ΠΛΗΡΟΦΟΡΙΚΗΣ"/>
    <m/>
    <m/>
    <s v="Β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4-09-05T00:00:00"/>
    <x v="1"/>
    <s v="ΔΙΕΥΘΥΝΣΗ Π.Ε. ΔΥΤ. ΘΕΣ/ΝΙΚΗΣ"/>
    <x v="2"/>
  </r>
  <r>
    <x v="864"/>
    <x v="0"/>
    <s v="ΠΕ06"/>
    <s v="ΑΓΓΛΙΚΗΣ ΦΙΛΟΛΟΓΙΑΣ"/>
    <m/>
    <m/>
    <s v="Γ΄"/>
    <n v="1"/>
    <s v="Φ.17/5039"/>
    <d v="2018-09-01T00:00:00"/>
    <s v="ΚΟΡΙΝΘΙΑΣ (Π.Ε.) 2018"/>
    <s v="ΔΙΕΥΘΥΝΣΗ Π.Ε. ΚΟΡΙΝΘΙΑΣ"/>
    <s v="ΠΕΡΙΦΕΡΕΙΑΚΗ Δ/ΝΣΗ Α/ΘΜΙΑΣ ΚΑΙ Β/ΘΜΙΑΣ ΕΚΠ/ΣΗΣ ΠΕΛΟΠΟΝΝΗΣΟΥ"/>
    <n v="12"/>
    <d v="2018-09-01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4-02-16T00:00:00"/>
    <x v="1"/>
    <s v="ΔΙΕΥΘΥΝΣΗ Π.Ε. ΚΟΡΙΝΘΙΑΣ"/>
    <x v="2"/>
  </r>
  <r>
    <x v="865"/>
    <x v="1"/>
    <s v="ΠΕ86"/>
    <s v="ΠΛΗΡΟΦΟΡΙΚΗΣ"/>
    <m/>
    <m/>
    <s v="Α΄"/>
    <n v="1"/>
    <s v="Ω5Θ44653ΠΣ-ΒΞΧ"/>
    <d v="2016-09-26T00:00:00"/>
    <s v="Β΄ ΑΘΗΝΑΣ (Π.Ε.) 2018"/>
    <s v="ΔΙΕΥΘΥΝΣΗ Π.Ε. Β΄ ΑΘΗΝΑΣ"/>
    <s v="ΠΕΡΙΦΕΡΕΙΑΚΗ Δ/ΝΣΗ Α/ΘΜΙΑΣ ΚΑΙ Β/ΘΜΙΑΣ ΕΚΠ/ΣΗΣ ΑΤΤΙΚΗΣ"/>
    <n v="12"/>
    <d v="2016-09-26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11-07T00:00:00"/>
    <x v="1"/>
    <s v="ΔΙΕΥΘΥΝΣΗ Π.Ε. Β΄ ΑΘΗΝΑΣ"/>
    <x v="2"/>
  </r>
  <r>
    <x v="866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2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83-11-03T00:00:00"/>
    <x v="0"/>
    <s v="ΔΙΕΥΘΥΝΣΗ Δ.Ε. Δ΄ ΑΘΗΝΑΣ"/>
    <x v="2"/>
  </r>
  <r>
    <x v="867"/>
    <x v="1"/>
    <s v="ΠΕ05"/>
    <s v="ΓΑΛΛΙΚΗΣ ΦΙΛΟΛΟΓΙΑΣ"/>
    <m/>
    <m/>
    <s v="Γ΄"/>
    <n v="1"/>
    <n v="15437"/>
    <d v="2018-09-01T00:00:00"/>
    <s v="Δ΄ ΑΘΗΝΑΣ (Δ.Ε.) 2018"/>
    <s v="ΔΙΕΥΘΥΝΣΗ Δ.Ε. Δ΄ ΑΘΗΝΑΣ"/>
    <s v="ΠΕΡΙΦΕΡΕΙΑΚΗ Δ/ΝΣΗ Α/ΘΜΙΑΣ ΚΑΙ Β/ΘΜΙΑΣ ΕΚΠ/ΣΗΣ ΑΤΤΙΚΗΣ"/>
    <n v="12"/>
    <d v="2018-09-01T00:00:00"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3-10-25T00:00:00"/>
    <x v="0"/>
    <s v="ΔΙΕΥΘΥΝΣΗ Δ.Ε. Δ΄ ΑΘΗΝΑΣ"/>
    <x v="2"/>
  </r>
  <r>
    <x v="868"/>
    <x v="1"/>
    <s v="ΠΕ06"/>
    <s v="ΑΓΓΛΙΚΗΣ ΦΙΛΟΛΟΓΙΑ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83-09-19T00:00:00"/>
    <x v="0"/>
    <s v="ΔΙΕΥΘΥΝΣΗ Δ.Ε. ΤΡΙΚΑΛΩΝ"/>
    <x v="2"/>
  </r>
  <r>
    <x v="869"/>
    <x v="1"/>
    <s v="ΠΕ86"/>
    <s v="ΠΛΗΡΟΦΟΡΙΚΗΣ"/>
    <m/>
    <m/>
    <s v="Α΄"/>
    <n v="1"/>
    <s v="ΒΙΡ89-ΤΥ7"/>
    <d v="2014-02-14T00:00:00"/>
    <s v="ΚΟΡΙΝΘΙΑΣ (Δ.Ε.) 2018"/>
    <s v="ΔΙΕΥΘΥΝΣΗ Δ.Ε. ΚΟΡΙΝΘΙΑΣ"/>
    <s v="ΠΕΡΙΦΕΡΕΙΑΚΗ Δ/ΝΣΗ Α/ΘΜΙΑΣ ΚΑΙ Β/ΘΜΙΑΣ ΕΚΠ/ΣΗΣ ΠΕΛΟΠΟΝΝΗΣΟΥ"/>
    <n v="12"/>
    <d v="2014-02-14T00:00:00"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2-09-28T00:00:00"/>
    <x v="0"/>
    <s v="ΔΙΕΥΘΥΝΣΗ Δ.Ε. ΚΟΡΙΝΘΙΑΣ"/>
    <x v="2"/>
  </r>
  <r>
    <x v="870"/>
    <x v="1"/>
    <s v="ΠΕ06"/>
    <s v="ΑΓΓΛΙΚΗΣ ΦΙΛΟΛΟΓΙΑΣ"/>
    <m/>
    <m/>
    <s v="Γ΄"/>
    <n v="1"/>
    <n v="4138"/>
    <d v="2018-09-01T00:00:00"/>
    <s v="Α΄ ΠΕΙΡΑΙΑ (Π.Ε.) 2018"/>
    <s v="ΔΙΕΥΘΥΝΣΗ Π.Ε. ΠΕΙΡΑΙΑ"/>
    <s v="ΠΕΡΙΦΕΡΕΙΑΚΗ Δ/ΝΣΗ Α/ΘΜΙΑΣ ΚΑΙ Β/ΘΜΙΑΣ ΕΚΠ/ΣΗΣ ΑΤΤΙΚΗΣ"/>
    <n v="12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ΠΕΙΡΑΙΑ"/>
    <x v="2"/>
  </r>
  <r>
    <x v="871"/>
    <x v="1"/>
    <s v="ΠΕ07"/>
    <s v="ΓΕΡΜΑΝΙΚΗΣ ΦΙΛΟΛΟΓΙΑΣ"/>
    <m/>
    <m/>
    <s v="Α΄"/>
    <n v="1"/>
    <s v="ΒΘΛΧ9-ΖΜ1"/>
    <d v="2014-12-10T00:00:00"/>
    <s v="ΧΑΝΙΩΝ (Δ.Ε.) 2018"/>
    <s v="ΔΙΕΥΘΥΝΣΗ Δ.Ε. ΧΑΝΙΩΝ"/>
    <s v="ΠΕΡΙΦΕΡΕΙΑΚΗ Δ/ΝΣΗ Α/ΘΜΙΑΣ ΚΑΙ Β/ΘΜΙΑΣ ΕΚΠ/ΣΗΣ ΚΡΗΤΗΣ"/>
    <n v="12"/>
    <d v="2014-12-10T00:00:00"/>
    <s v="Ιδιωτικά Σχολεία"/>
    <x v="2"/>
    <s v="5060001"/>
    <s v="ΙΔΙΩΤΙΚΟ ΓΥΜΝΑΣΙΟ -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82-01-01T00:00:00"/>
    <x v="0"/>
    <s v="ΔΙΕΥΘΥΝΣΗ Δ.Ε. ΧΑΝΙΩΝ"/>
    <x v="2"/>
  </r>
  <r>
    <x v="872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2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11-15T00:00:00"/>
    <x v="0"/>
    <s v="ΔΙΕΥΘΥΝΣΗ Δ.Ε. ΑΝΑΤ. ΘΕΣ/ΝΙΚΗΣ"/>
    <x v="2"/>
  </r>
  <r>
    <x v="873"/>
    <x v="0"/>
    <s v="ΠΕ03"/>
    <s v="ΜΑΘΗΜΑΤΙΚΟΙ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12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1-06-27T00:00:00"/>
    <x v="0"/>
    <s v="ΔΙΕΥΘΥΝΣΗ Δ.Ε. Δ΄ ΑΘΗΝΑΣ"/>
    <x v="2"/>
  </r>
  <r>
    <x v="874"/>
    <x v="1"/>
    <s v="ΠΕ04.04"/>
    <s v="ΒΙΟΛΟΓΟΙ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12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81-01-01T00:00:00"/>
    <x v="0"/>
    <s v="ΔΙΕΥΘΥΝΣΗ Δ.Ε. ΤΡΙΚΑΛΩΝ"/>
    <x v="2"/>
  </r>
  <r>
    <x v="875"/>
    <x v="0"/>
    <s v="ΠΕ11"/>
    <s v="ΦΥΣΙΚΗΣ ΑΓΩΓΗΣ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2"/>
    <d v="2018-09-01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0-04-06T00:00:00"/>
    <x v="0"/>
    <s v="ΔΙΕΥΘΥΝΣΗ Δ.Ε. ΑΡΓΟΛΙΔΑΣ"/>
    <x v="2"/>
  </r>
  <r>
    <x v="876"/>
    <x v="1"/>
    <s v="ΠΕ03"/>
    <s v="ΜΑΘΗΜΑΤΙΚΟΙ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12"/>
    <d v="2018-09-03T00:00:00"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80-01-01T00:00:00"/>
    <x v="0"/>
    <s v="ΔΙΕΥΘΥΝΣΗ Δ.Ε. Δ΄ ΑΘΗΝΑΣ"/>
    <x v="2"/>
  </r>
  <r>
    <x v="877"/>
    <x v="1"/>
    <s v="ΠΕ79.01"/>
    <s v="ΜΟΥΣΙΚΗΣ ΕΠΙΣΤΗΜΗΣ"/>
    <m/>
    <m/>
    <s v="Γ΄"/>
    <n v="1"/>
    <s v="ΒΙ6Ζ9-ΔΛΩ"/>
    <d v="2014-01-13T00:00:00"/>
    <s v="Α΄ ΑΘΗΝΑΣ (Π.Ε.) 2018"/>
    <s v="ΔΙΕΥΘΥΝΣΗ Π.Ε. Α΄ ΑΘΗΝΑΣ"/>
    <s v="ΠΕΡΙΦΕΡΕΙΑΚΗ Δ/ΝΣΗ Α/ΘΜΙΑΣ ΚΑΙ Β/ΘΜΙΑΣ ΕΚΠ/ΣΗΣ ΑΤΤΙΚΗΣ"/>
    <n v="12"/>
    <d v="2014-01-13T00:00:00"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80-01-01T00:00:00"/>
    <x v="1"/>
    <s v="ΔΙΕΥΘΥΝΣΗ Π.Ε. Α΄ ΑΘΗΝΑΣ"/>
    <x v="2"/>
  </r>
  <r>
    <x v="878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2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6-25T00:00:00"/>
    <x v="0"/>
    <s v="ΔΙΕΥΘΥΝΣΗ Δ.Ε. Γ΄ ΑΘΗΝΑΣ"/>
    <x v="2"/>
  </r>
  <r>
    <x v="879"/>
    <x v="1"/>
    <s v="ΠΕ05"/>
    <s v="ΓΑΛΛΙΚΗΣ ΦΙΛΟΛΟΓΙΑΣ"/>
    <m/>
    <m/>
    <s v="Γ΄"/>
    <n v="1"/>
    <n v="11039"/>
    <d v="2018-09-01T00:00:00"/>
    <s v="ΙΩΑΝΝΙΝΩΝ (Δ.Ε.) 2018"/>
    <s v="ΔΙΕΥΘΥΝΣΗ Δ.Ε. ΙΩΑΝΝΙΝΩΝ"/>
    <s v="ΠΕΡΙΦΕΡΕΙΑΚΗ Δ/ΝΣΗ Α/ΘΜΙΑΣ ΚΑΙ Β/ΘΜΙΑΣ ΕΚΠ/ΣΗΣ ΗΠΕΙΡΟΥ"/>
    <n v="12"/>
    <d v="2018-09-01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79-06-18T00:00:00"/>
    <x v="0"/>
    <s v="ΔΙΕΥΘΥΝΣΗ Δ.Ε. ΙΩΑΝΝΙΝΩΝ"/>
    <x v="2"/>
  </r>
  <r>
    <x v="880"/>
    <x v="0"/>
    <s v="ΠΕ06"/>
    <s v="ΑΓΓΛΙΚΗΣ ΦΙΛΟΛΟΓΙΑΣ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12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8-11-30T00:00:00"/>
    <x v="1"/>
    <s v="ΔΙΕΥΘΥΝΣΗ Π.Ε. Γ΄ ΑΘΗΝΑΣ"/>
    <x v="2"/>
  </r>
  <r>
    <x v="881"/>
    <x v="1"/>
    <s v="ΠΕ06"/>
    <s v="ΑΓΓΛΙΚΗΣ ΦΙΛΟΛΟΓΙΑΣ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2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8-10-21T00:00:00"/>
    <x v="0"/>
    <s v="ΔΙΕΥΘΥΝΣΗ Δ.Ε. ΑΙΤΩΛΟΑΚΑΡΝΑΝΙΑΣ"/>
    <x v="2"/>
  </r>
  <r>
    <x v="882"/>
    <x v="1"/>
    <s v="ΠΕ06"/>
    <s v="ΑΓΓΛΙΚΗΣ ΦΙΛΟΛΟΓΙΑΣ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12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9-24T00:00:00"/>
    <x v="1"/>
    <s v="ΔΙΕΥΘΥΝΣΗ Π.Ε. Δ΄ ΑΘΗΝΑΣ"/>
    <x v="2"/>
  </r>
  <r>
    <x v="883"/>
    <x v="1"/>
    <s v="ΠΕ05"/>
    <s v="ΓΑΛΛ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2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8-06-26T00:00:00"/>
    <x v="1"/>
    <s v="ΔΙΕΥΘΥΝΣΗ Π.Ε. ΠΕΙΡΑΙΑ"/>
    <x v="2"/>
  </r>
  <r>
    <x v="884"/>
    <x v="1"/>
    <s v="ΠΕ06"/>
    <s v="ΑΓΓΛΙΚΗΣ ΦΙΛΟΛΟΓΙΑΣ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2"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8-05-31T00:00:00"/>
    <x v="0"/>
    <s v="ΔΙΕΥΘΥΝΣΗ Δ.Ε. ΣΕΡΡΩΝ"/>
    <x v="2"/>
  </r>
  <r>
    <x v="885"/>
    <x v="1"/>
    <s v="ΠΕ79.01"/>
    <s v="ΜΟΥΣΙΚΗΣ ΕΠΙΣΤΗΜ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2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3-11T00:00:00"/>
    <x v="0"/>
    <s v="ΔΙΕΥΘΥΝΣΗ Δ.Ε. ΑΝΑΤ. ΘΕΣ/ΝΙΚΗΣ"/>
    <x v="2"/>
  </r>
  <r>
    <x v="886"/>
    <x v="1"/>
    <s v="ΠΕ89.01"/>
    <s v="ΚΑΛΛΙΤΕΧΝΙΚΩΝ ΣΠΟΥΔΩΝ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2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78-02-02T00:00:00"/>
    <x v="0"/>
    <s v="ΔΙΕΥΘΥΝΣΗ Δ.Ε. ΚΥΚΛΑΔΩΝ"/>
    <x v="2"/>
  </r>
  <r>
    <x v="887"/>
    <x v="1"/>
    <s v="ΠΕ11"/>
    <s v="ΦΥΣΙΚΗΣ ΑΓΩΓ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2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1-01T00:00:00"/>
    <x v="0"/>
    <s v="ΔΙΕΥΘΥΝΣΗ Δ.Ε. Δ΄ ΑΘΗΝΑΣ"/>
    <x v="2"/>
  </r>
  <r>
    <x v="888"/>
    <x v="1"/>
    <s v="ΠΕ05"/>
    <s v="ΓΑΛΛΙΚΗΣ ΦΙΛΟΛΟΓΙΑΣ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12"/>
    <m/>
    <s v="Ιδιωτικά Σχολεία"/>
    <x v="2"/>
    <s v="5060001"/>
    <s v="ΙΔΙΩΤΙΚΟ ΓΥΜΝΑΣΙΟ -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78-01-01T00:00:00"/>
    <x v="0"/>
    <s v="ΔΙΕΥΘΥΝΣΗ Δ.Ε. ΧΑΝΙΩΝ"/>
    <x v="2"/>
  </r>
  <r>
    <x v="889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7-12-09T00:00:00"/>
    <x v="1"/>
    <s v="ΔΙΕΥΘΥΝΣΗ Π.Ε. Α΄ ΑΘΗΝΑΣ"/>
    <x v="2"/>
  </r>
  <r>
    <x v="890"/>
    <x v="0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2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10-10T00:00:00"/>
    <x v="0"/>
    <s v="ΔΙΕΥΘΥΝΣΗ Δ.Ε. Β΄ ΑΘΗΝΑΣ"/>
    <x v="2"/>
  </r>
  <r>
    <x v="891"/>
    <x v="0"/>
    <s v="ΠΕ05"/>
    <s v="ΓΑΛΛΙΚΗΣ ΦΙΛΟΛΟΓΙΑΣ"/>
    <m/>
    <m/>
    <s v="Β΄"/>
    <n v="1"/>
    <s v="12853/30-09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2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7-03-25T00:00:00"/>
    <x v="0"/>
    <s v="ΔΙΕΥΘΥΝΣΗ Δ.Ε. ΔΥΤ. ΘΕΣ/ΝΙΚΗΣ"/>
    <x v="2"/>
  </r>
  <r>
    <x v="892"/>
    <x v="1"/>
    <s v="ΠΕ04.04"/>
    <s v="ΒΙ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1-06T00:00:00"/>
    <x v="0"/>
    <s v="ΔΙΕΥΘΥΝΣΗ Δ.Ε. ΑΝΑΤΟΛΙΚΗΣ ΑΤΤΙΚΗΣ"/>
    <x v="2"/>
  </r>
  <r>
    <x v="893"/>
    <x v="1"/>
    <s v="ΠΕ06"/>
    <s v="ΑΓΓΛΙΚΗΣ ΦΙΛΟΛΟΓΙΑΣ"/>
    <m/>
    <m/>
    <s v="Α΄"/>
    <n v="7"/>
    <s v="5044/16-09-2008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2"/>
    <d v="2018-09-01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76-06-18T00:00:00"/>
    <x v="0"/>
    <s v="ΔΙΕΥΘΥΝΣΗ Δ.Ε. ΞΑΝΘΗΣ"/>
    <x v="2"/>
  </r>
  <r>
    <x v="894"/>
    <x v="1"/>
    <s v="ΠΕ79.01"/>
    <s v="ΜΟΥΣΙΚΗΣ ΕΠΙΣΤΗΜΗΣ"/>
    <m/>
    <m/>
    <s v="Α΄"/>
    <n v="3"/>
    <m/>
    <m/>
    <s v="Α΄ ΜΑΓΝΗΣΙΑΣ (Π.Ε.) 2018"/>
    <s v="ΔΙΕΥΘΥΝΣΗ Π.Ε. ΜΑΓΝΗΣΙΑΣ"/>
    <s v="ΠΕΡΙΦΕΡΕΙΑΚΗ Δ/ΝΣΗ Α/ΘΜΙΑΣ ΚΑΙ Β/ΘΜΙΑΣ ΕΚΠ/ΣΗΣ ΘΕΣΣΑΛΙΑΣ"/>
    <n v="12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6-04-11T00:00:00"/>
    <x v="1"/>
    <s v="ΔΙΕΥΘΥΝΣΗ Π.Ε. ΜΑΓΝΗΣΙΑΣ"/>
    <x v="2"/>
  </r>
  <r>
    <x v="895"/>
    <x v="0"/>
    <s v="ΠΕ86"/>
    <s v="ΠΛΗΡΟΦΟΡΙΚΗΣ"/>
    <m/>
    <m/>
    <s v="Γ΄"/>
    <n v="1"/>
    <s v="Φ.17.2/8576"/>
    <d v="2018-10-01T00:00:00"/>
    <s v="ΧΑΝΙΩΝ (Π.Ε.) 2018"/>
    <s v="ΔΙΕΥΘΥΝΣΗ Π.Ε. ΧΑΝΙΩΝ"/>
    <s v="ΠΕΡΙΦΕΡΕΙΑΚΗ Δ/ΝΣΗ Α/ΘΜΙΑΣ ΚΑΙ Β/ΘΜΙΑΣ ΕΚΠ/ΣΗΣ ΚΡΗΤΗΣ"/>
    <n v="12"/>
    <d v="2018-10-01T00:00:00"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75-10-23T00:00:00"/>
    <x v="1"/>
    <s v="ΔΙΕΥΘΥΝΣΗ Π.Ε. ΧΑΝΙΩΝ"/>
    <x v="2"/>
  </r>
  <r>
    <x v="896"/>
    <x v="1"/>
    <s v="ΠΕ06"/>
    <s v="ΑΓΓΛΙΚΗΣ ΦΙΛΟΛΟΓΙΑ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2"/>
    <m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5-08-08T00:00:00"/>
    <x v="0"/>
    <s v="ΔΙΕΥΘΥΝΣΗ Δ.Ε. ΑΧΑΪΑΣ"/>
    <x v="2"/>
  </r>
  <r>
    <x v="897"/>
    <x v="0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7-03T00:00:00"/>
    <x v="0"/>
    <s v="ΔΙΕΥΘΥΝΣΗ Δ.Ε. Β΄ ΑΘΗΝΑΣ"/>
    <x v="2"/>
  </r>
  <r>
    <x v="898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2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3-29T00:00:00"/>
    <x v="1"/>
    <s v="ΔΙΕΥΘΥΝΣΗ Π.Ε. Β΄ ΑΘΗΝΑΣ"/>
    <x v="2"/>
  </r>
  <r>
    <x v="899"/>
    <x v="0"/>
    <s v="ΠΕ79.01"/>
    <s v="ΜΟΥΣΙΚΗΣ ΕΠΙΣΤΗΜ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2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Γ΄ ΑΘΗΝΑΣ"/>
    <x v="2"/>
  </r>
  <r>
    <x v="900"/>
    <x v="1"/>
    <s v="ΠΕ05"/>
    <s v="ΓΑΛΛΙΚΗΣ ΦΙΛΟΛΟΓΙΑ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2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7-11T00:00:00"/>
    <x v="1"/>
    <s v="ΔΙΕΥΘΥΝΣΗ Π.Ε. Β΄ ΑΘΗΝΑΣ"/>
    <x v="2"/>
  </r>
  <r>
    <x v="901"/>
    <x v="0"/>
    <s v="ΠΕ01"/>
    <s v="ΘΕΟΛΟΓΟΙ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2"/>
    <d v="2018-09-01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3-06-11T00:00:00"/>
    <x v="0"/>
    <s v="ΔΙΕΥΘΥΝΣΗ Δ.Ε. ΑΡΓΟΛΙΔΑΣ"/>
    <x v="2"/>
  </r>
  <r>
    <x v="902"/>
    <x v="1"/>
    <s v="ΠΕ08"/>
    <s v="ΚΑΛΛΙΤΕΧΝΙΚΩΝ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12"/>
    <d v="2006-10-02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2-27T00:00:00"/>
    <x v="0"/>
    <s v="ΔΙΕΥΘΥΝΣΗ Δ.Ε. Α΄ ΑΘΗΝΑΣ"/>
    <x v="2"/>
  </r>
  <r>
    <x v="903"/>
    <x v="1"/>
    <s v="ΠΕ80"/>
    <s v="ΟΙΚΟΝΟΜΙΑΣ"/>
    <m/>
    <m/>
    <s v="Γ΄"/>
    <n v="1"/>
    <n v="11340"/>
    <d v="2018-09-17T00:00:00"/>
    <s v="ΠΙΕΡΙΑΣ (Δ.Ε.) 2018"/>
    <s v="ΔΙΕΥΘΥΝΣΗ Δ.Ε. ΠΙΕΡΙΑΣ"/>
    <s v="ΠΕΡΙΦΕΡΕΙΑΚΗ Δ/ΝΣΗ Α/ΘΜΙΑΣ ΚΑΙ Β/ΘΜΙΑΣ ΕΚΠ/ΣΗΣ ΚΕΝΤΡΙΚΗΣ ΜΑΚΕΔΟΝΙΑΣ"/>
    <n v="12"/>
    <d v="2018-09-17T00:00:00"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73-01-01T00:00:00"/>
    <x v="0"/>
    <s v="ΔΙΕΥΘΥΝΣΗ Δ.Ε. ΠΙΕΡΙΑΣ"/>
    <x v="2"/>
  </r>
  <r>
    <x v="904"/>
    <x v="1"/>
    <s v="ΠΕ70"/>
    <s v="ΔΑΣΚΑΛΟΙ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2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2-11-21T00:00:00"/>
    <x v="1"/>
    <s v="ΔΙΕΥΘΥΝΣΗ Π.Ε. ΚΥΚΛΑΔΩΝ"/>
    <x v="2"/>
  </r>
  <r>
    <x v="905"/>
    <x v="1"/>
    <s v="ΠΕ79.01"/>
    <s v="ΜΟΥΣΙΚΗΣ ΕΠΙΣΤΗΜΗΣ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2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2-01-07T00:00:00"/>
    <x v="1"/>
    <s v="ΔΙΕΥΘΥΝΣΗ Π.Ε. ΔΥΤ. ΘΕΣ/ΝΙΚΗΣ"/>
    <x v="2"/>
  </r>
  <r>
    <x v="906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ΑΝΑΤΟΛΙΚΗΣ ΑΤΤΙΚΗΣ"/>
    <x v="2"/>
  </r>
  <r>
    <x v="907"/>
    <x v="0"/>
    <s v="ΠΕ03"/>
    <s v="ΜΑΘΗΜΑΤΙΚΟΙ"/>
    <m/>
    <m/>
    <s v="Γ΄"/>
    <n v="1"/>
    <n v="22913"/>
    <d v="2018-09-01T00:00:00"/>
    <s v="Β΄ ΑΘΗΝΑΣ (Δ.Ε.) 2018"/>
    <s v="ΔΙΕΥΘΥΝΣΗ Δ.Ε. Β΄ ΑΘΗΝΑΣ"/>
    <s v="ΠΕΡΙΦΕΡΕΙΑΚΗ Δ/ΝΣΗ Α/ΘΜΙΑΣ ΚΑΙ Β/ΘΜΙΑΣ ΕΚΠ/ΣΗΣ ΑΤΤΙΚΗΣ"/>
    <n v="12"/>
    <d v="2018-09-01T00:00:00"/>
    <s v="Ιδιωτικά Σχολεία"/>
    <x v="3"/>
    <s v="0561014"/>
    <s v="ΙΔΙΩΤΙΚΟ ΛΥΚΕΙΟ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1-01-01T00:00:00"/>
    <x v="0"/>
    <s v="ΔΙΕΥΘΥΝΣΗ Δ.Ε. Β΄ ΑΘΗΝΑΣ"/>
    <x v="2"/>
  </r>
  <r>
    <x v="908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1-01T00:00:00"/>
    <x v="0"/>
    <s v="ΔΙΕΥΘΥΝΣΗ Δ.Ε. Β΄ ΑΘΗΝΑΣ"/>
    <x v="2"/>
  </r>
  <r>
    <x v="909"/>
    <x v="1"/>
    <s v="ΠΕ79.01"/>
    <s v="ΜΟΥΣΙΚΗΣ ΕΠΙΣΤΗΜΗ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12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1-01-01T00:00:00"/>
    <x v="1"/>
    <s v="ΔΙΕΥΘΥΝΣΗ Π.Ε. Α΄ ΑΘΗΝΑΣ"/>
    <x v="2"/>
  </r>
  <r>
    <x v="910"/>
    <x v="1"/>
    <s v="ΠΕ05"/>
    <s v="ΓΑΛΛΙΚΗΣ ΦΙΛΟΛΟΓΙΑ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71-01-01T00:00:00"/>
    <x v="0"/>
    <s v="ΔΙΕΥΘΥΝΣΗ Δ.Ε. ΤΡΙΚΑΛΩΝ"/>
    <x v="2"/>
  </r>
  <r>
    <x v="911"/>
    <x v="1"/>
    <s v="ΠΕ06"/>
    <s v="ΑΓΓ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12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0-10-06T00:00:00"/>
    <x v="1"/>
    <s v="ΔΙΕΥΘΥΝΣΗ Π.Ε. Α΄ ΑΘΗΝΑΣ"/>
    <x v="2"/>
  </r>
  <r>
    <x v="912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10-03T00:00:00"/>
    <x v="0"/>
    <s v="ΔΙΕΥΘΥΝΣΗ Δ.Ε. ΑΝΑΤΟΛΙΚΗΣ ΑΤΤΙΚΗΣ"/>
    <x v="2"/>
  </r>
  <r>
    <x v="913"/>
    <x v="0"/>
    <s v="ΠΕ04.01"/>
    <s v="ΦΥΣΙΚΟΙ"/>
    <m/>
    <m/>
    <s v="Α΄"/>
    <n v="11"/>
    <m/>
    <m/>
    <s v="ΙΩΑΝΝΙΝΩΝ (Δ.Ε.) 2018"/>
    <s v="ΔΙΕΥΘΥΝΣΗ Δ.Ε. ΙΩΑΝΝΙΝΩΝ"/>
    <s v="ΠΕΡΙΦΕΡΕΙΑΚΗ Δ/ΝΣΗ Α/ΘΜΙΑΣ ΚΑΙ Β/ΘΜΙΑΣ ΕΚΠ/ΣΗΣ ΗΠΕΙΡΟΥ"/>
    <n v="12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9-05-09T00:00:00"/>
    <x v="0"/>
    <s v="ΔΙΕΥΘΥΝΣΗ Δ.Ε. ΙΩΑΝΝΙΝΩΝ"/>
    <x v="2"/>
  </r>
  <r>
    <x v="914"/>
    <x v="1"/>
    <s v="ΠΕ70"/>
    <s v="ΔΑΣΚΑΛΟΙ"/>
    <m/>
    <m/>
    <s v="Α΄"/>
    <n v="1"/>
    <s v="623Η4653ΠΣ-ΛΔΟ"/>
    <d v="2015-11-03T00:00:00"/>
    <s v="ΠΙΕΡΙΑΣ (Π.Ε.) 2018"/>
    <s v="ΔΙΕΥΘΥΝΣΗ Π.Ε. ΠΙΕΡΙΑΣ"/>
    <s v="ΠΕΡΙΦΕΡΕΙΑΚΗ Δ/ΝΣΗ Α/ΘΜΙΑΣ ΚΑΙ Β/ΘΜΙΑΣ ΕΚΠ/ΣΗΣ ΚΕΝΤΡΙΚΗΣ ΜΑΚΕΔΟΝΙΑΣ"/>
    <n v="12"/>
    <d v="2015-11-03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69-04-11T00:00:00"/>
    <x v="1"/>
    <s v="ΔΙΕΥΘΥΝΣΗ Π.Ε. ΠΙΕΡΙΑΣ"/>
    <x v="2"/>
  </r>
  <r>
    <x v="915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2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9-03-05T00:00:00"/>
    <x v="1"/>
    <s v="ΔΙΕΥΘΥΝΣΗ Π.Ε. ΛΑΡΙΣΑΣ"/>
    <x v="2"/>
  </r>
  <r>
    <x v="916"/>
    <x v="0"/>
    <s v="ΠΕ06"/>
    <s v="ΑΓΓ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2"/>
    <m/>
    <s v="Ιδιωτικά Σχολεία"/>
    <x v="4"/>
    <s v="7541026"/>
    <s v="ΙΔΙΩΤΙΚΟ ΔΗΜΟΤΙΚ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9-02-05T00:00:00"/>
    <x v="1"/>
    <s v="ΔΙΕΥΘΥΝΣΗ Π.Ε. ΠΕΙΡΑΙΑ"/>
    <x v="2"/>
  </r>
  <r>
    <x v="917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2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8-04-15T00:00:00"/>
    <x v="0"/>
    <s v="ΔΙΕΥΘΥΝΣΗ Δ.Ε. Γ΄ ΑΘΗΝΑΣ"/>
    <x v="2"/>
  </r>
  <r>
    <x v="918"/>
    <x v="0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12"/>
    <m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8-04-07T00:00:00"/>
    <x v="1"/>
    <s v="ΔΙΕΥΘΥΝΣΗ Π.Ε. ΧΑΝΙΩΝ"/>
    <x v="2"/>
  </r>
  <r>
    <x v="91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29T00:00:00"/>
    <x v="0"/>
    <s v="ΔΙΕΥΘΥΝΣΗ Δ.Ε. Β΄ ΑΘΗΝΑΣ"/>
    <x v="2"/>
  </r>
  <r>
    <x v="92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2-22T00:00:00"/>
    <x v="0"/>
    <s v="ΔΙΕΥΘΥΝΣΗ Δ.Ε. Β΄ ΑΘΗΝΑΣ"/>
    <x v="2"/>
  </r>
  <r>
    <x v="921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2"/>
    <m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7-11-04T00:00:00"/>
    <x v="1"/>
    <s v="ΔΙΕΥΘΥΝΣΗ Π.Ε. Α΄ ΑΘΗΝΑΣ"/>
    <x v="2"/>
  </r>
  <r>
    <x v="922"/>
    <x v="0"/>
    <s v="ΠΕ04.01"/>
    <s v="ΦΥΣΙΚΟΙ"/>
    <m/>
    <m/>
    <s v="Γ΄"/>
    <n v="1"/>
    <n v="21868"/>
    <d v="2018-09-01T00:00:00"/>
    <s v="Α΄ ΠΕΙΡΑΙΑ (Δ.Ε.) 2018"/>
    <s v="ΔΙΕΥΘΥΝΣΗ Δ.Ε. ΠΕΙΡΑΙΑ"/>
    <s v="ΠΕΡΙΦΕΡΕΙΑΚΗ Δ/ΝΣΗ Α/ΘΜΙΑΣ ΚΑΙ Β/ΘΜΙΑΣ ΕΚΠ/ΣΗΣ ΑΤΤΙΚΗΣ"/>
    <n v="12"/>
    <d v="2018-09-01T00:00:00"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7-04-12T00:00:00"/>
    <x v="0"/>
    <s v="ΔΙΕΥΘΥΝΣΗ Δ.Ε. ΠΕΙΡΑΙΑ"/>
    <x v="2"/>
  </r>
  <r>
    <x v="923"/>
    <x v="0"/>
    <s v="ΠΕ11"/>
    <s v="ΦΥΣΙΚΗΣ ΑΓΩΓΗΣ"/>
    <m/>
    <m/>
    <s v="Γ΄"/>
    <n v="1"/>
    <n v="14194"/>
    <d v="2018-09-01T00:00:00"/>
    <s v="Δ΄ ΑΘΗΝΑΣ (Π.Ε.) 2018"/>
    <s v="ΔΙΕΥΘΥΝΣΗ Π.Ε. Δ΄ ΑΘΗΝΑΣ"/>
    <s v="ΠΕΡΙΦΕΡΕΙΑΚΗ Δ/ΝΣΗ Α/ΘΜΙΑΣ ΚΑΙ Β/ΘΜΙΑΣ ΕΚΠ/ΣΗΣ ΑΤΤΙΚΗΣ"/>
    <n v="12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7-01-01T00:00:00"/>
    <x v="1"/>
    <s v="ΔΙΕΥΘΥΝΣΗ Π.Ε. Δ΄ ΑΘΗΝΑΣ"/>
    <x v="2"/>
  </r>
  <r>
    <x v="924"/>
    <x v="0"/>
    <s v="ΠΕ01"/>
    <s v="ΘΕ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2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6-10-25T00:00:00"/>
    <x v="0"/>
    <s v="ΔΙΕΥΘΥΝΣΗ Δ.Ε. ΑΙΤΩΛΟΑΚΑΡΝΑΝΙΑΣ"/>
    <x v="2"/>
  </r>
  <r>
    <x v="925"/>
    <x v="1"/>
    <s v="ΠΕ05"/>
    <s v="ΓΑΛΛΙΚΗΣ ΦΙΛΟΛΟΓΙΑΣ"/>
    <m/>
    <m/>
    <s v="Γ΄"/>
    <n v="1"/>
    <m/>
    <m/>
    <s v="ΜΕΣΣΗΝΙΑΣ (Π.Ε.) 2018"/>
    <s v="ΔΙΕΥΘΥΝΣΗ Π.Ε. ΜΕΣΣΗΝΙΑΣ"/>
    <s v="ΠΕΡΙΦΕΡΕΙΑΚΗ Δ/ΝΣΗ Α/ΘΜΙΑΣ ΚΑΙ Β/ΘΜΙΑΣ ΕΚΠ/ΣΗΣ ΠΕΛΟΠΟΝΝΗΣΟΥ"/>
    <n v="12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66-05-30T00:00:00"/>
    <x v="1"/>
    <s v="ΔΙΕΥΘΥΝΣΗ Π.Ε. ΜΕΣΣΗΝΙΑΣ"/>
    <x v="2"/>
  </r>
  <r>
    <x v="926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2-27T00:00:00"/>
    <x v="0"/>
    <s v="ΔΙΕΥΘΥΝΣΗ Δ.Ε. Β΄ ΑΘΗΝΑΣ"/>
    <x v="2"/>
  </r>
  <r>
    <x v="927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12-16T00:00:00"/>
    <x v="0"/>
    <s v="ΔΙΕΥΘΥΝΣΗ Δ.Ε. ΑΝΑΤΟΛΙΚΗΣ ΑΤΤΙΚΗΣ"/>
    <x v="2"/>
  </r>
  <r>
    <x v="928"/>
    <x v="1"/>
    <s v="ΠΕ01"/>
    <s v="ΘΕΟΛΟΓΟΙ"/>
    <m/>
    <m/>
    <s v="Γ΄"/>
    <n v="1"/>
    <n v="21562"/>
    <d v="2018-09-01T00:00:00"/>
    <s v="Β΄ ΑΘΗΝΑΣ (Δ.Ε.) 2018"/>
    <s v="ΔΙΕΥΘΥΝΣΗ Δ.Ε. Β΄ ΑΘΗΝΑΣ"/>
    <s v="ΠΕΡΙΦΕΡΕΙΑΚΗ Δ/ΝΣΗ Α/ΘΜΙΑΣ ΚΑΙ Β/ΘΜΙΑΣ ΕΚΠ/ΣΗΣ ΑΤΤΙΚΗΣ"/>
    <n v="12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5-08-30T00:00:00"/>
    <x v="0"/>
    <s v="ΔΙΕΥΘΥΝΣΗ Δ.Ε. Β΄ ΑΘΗΝΑΣ"/>
    <x v="2"/>
  </r>
  <r>
    <x v="929"/>
    <x v="1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12"/>
    <m/>
    <s v="Ιδιωτικά Σχολεία"/>
    <x v="4"/>
    <s v="7191016"/>
    <s v="ΙΔΙΩΤΙΚΟ ΔΗΜΟΤΙΚΟ ΘΕΣΣΑΛΟΝΙΚΗ - ΙΔ. ΔΗΜΟΤΙΚΟ ΣΧΟΛΕΙΟ ΙΚΘ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6-10T00:00:00"/>
    <x v="1"/>
    <s v="ΔΙΕΥΘΥΝΣΗ Π.Ε. ΑΝΑΤ. ΘΕΣ/ΝΙΚΗΣ"/>
    <x v="2"/>
  </r>
  <r>
    <x v="930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4-05-18T00:00:00"/>
    <x v="0"/>
    <s v="ΔΙΕΥΘΥΝΣΗ Δ.Ε. ΑΝΑΤΟΛΙΚΗΣ ΑΤΤΙΚΗΣ"/>
    <x v="2"/>
  </r>
  <r>
    <x v="931"/>
    <x v="1"/>
    <s v="ΠΕ07"/>
    <s v="ΓΕΡΜΑΝ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4-03-12T00:00:00"/>
    <x v="0"/>
    <s v="ΔΙΕΥΘΥΝΣΗ Δ.Ε. ΑΝΑΤΟΛΙΚΗΣ ΑΤΤΙΚΗΣ"/>
    <x v="2"/>
  </r>
  <r>
    <x v="932"/>
    <x v="0"/>
    <s v="ΠΕ11"/>
    <s v="ΦΥΣΙΚΗΣ ΑΓΩΓΗΣ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12"/>
    <m/>
    <s v="Ιδιωτικά Σχολεία"/>
    <x v="4"/>
    <s v="7054004"/>
    <s v="ΙΔΙΩΤΙΚΟ ΔΗΜΟΤΙΚΟ - ΠΑΣΧΑΛΗΣ ΑΝΤΩΝΗΣ ΙΔΙΩΤΙΚΑ ΕΚΠΑΙΔΕΥΤΗΡΙΑ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4-02-15T00:00:00"/>
    <x v="1"/>
    <s v="ΔΙΕΥΘΥΝΣΗ Π.Ε. Δ΄ ΑΘΗΝΑΣ"/>
    <x v="2"/>
  </r>
  <r>
    <x v="933"/>
    <x v="1"/>
    <s v="ΠΕ07"/>
    <s v="ΓΕΡΜΑΝ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3-09-30T00:00:00"/>
    <x v="0"/>
    <s v="ΔΙΕΥΘΥΝΣΗ Δ.Ε. ΑΝΑΤΟΛΙΚΗΣ ΑΤΤΙΚΗΣ"/>
    <x v="2"/>
  </r>
  <r>
    <x v="934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09-20T00:00:00"/>
    <x v="0"/>
    <s v="ΔΙΕΥΘΥΝΣΗ Δ.Ε. ΑΝΑΤΟΛΙΚΗΣ ΑΤΤΙΚΗΣ"/>
    <x v="2"/>
  </r>
  <r>
    <x v="935"/>
    <x v="0"/>
    <s v="ΠΕ07"/>
    <s v="ΓΕΡΜΑΝΙΚΗΣ ΦΙΛΟΛΟΓΙΑ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2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2-08-28T00:00:00"/>
    <x v="0"/>
    <s v="ΔΙΕΥΘΥΝΣΗ Δ.Ε. ΤΡΙΚΑΛΩΝ"/>
    <x v="2"/>
  </r>
  <r>
    <x v="936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2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1-11-26T00:00:00"/>
    <x v="0"/>
    <s v="ΔΙΕΥΘΥΝΣΗ Δ.Ε. ΑΝΑΤ. ΘΕΣ/ΝΙΚΗΣ"/>
    <x v="2"/>
  </r>
  <r>
    <x v="937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2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9-22T00:00:00"/>
    <x v="0"/>
    <s v="ΔΙΕΥΘΥΝΣΗ Δ.Ε. Β΄ ΑΘΗΝΑΣ"/>
    <x v="2"/>
  </r>
  <r>
    <x v="938"/>
    <x v="1"/>
    <s v="ΠΕ70"/>
    <s v="ΔΑΣΚΑΛΟΙ"/>
    <m/>
    <m/>
    <s v="Α΄"/>
    <n v="17"/>
    <m/>
    <d v="2018-09-01T00:00:00"/>
    <s v="Δ΄ ΑΘΗΝΑΣ (Π.Ε.) 2018"/>
    <s v="ΔΙΕΥΘΥΝΣΗ Π.Ε. Δ΄ ΑΘΗΝΑΣ"/>
    <s v="ΠΕΡΙΦΕΡΕΙΑΚΗ Δ/ΝΣΗ Α/ΘΜΙΑΣ ΚΑΙ Β/ΘΜΙΑΣ ΕΚΠ/ΣΗΣ ΑΤΤΙΚΗΣ"/>
    <n v="12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9-04-21T00:00:00"/>
    <x v="1"/>
    <s v="ΔΙΕΥΘΥΝΣΗ Π.Ε. Δ΄ ΑΘΗΝΑΣ"/>
    <x v="2"/>
  </r>
  <r>
    <x v="939"/>
    <x v="0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2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9-01-21T00:00:00"/>
    <x v="0"/>
    <s v="ΔΙΕΥΘΥΝΣΗ Δ.Ε. Γ΄ ΑΘΗΝΑΣ"/>
    <x v="2"/>
  </r>
  <r>
    <x v="940"/>
    <x v="1"/>
    <s v="ΠΕ79.01"/>
    <s v="ΜΟΥΣΙΚΗΣ ΕΠΙΣΤΗΜ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2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56-10-16T00:00:00"/>
    <x v="1"/>
    <s v="ΔΙΕΥΘΥΝΣΗ Π.Ε. Β΄ ΑΘΗΝΑΣ"/>
    <x v="2"/>
  </r>
  <r>
    <x v="941"/>
    <x v="0"/>
    <s v="ΠΕ11"/>
    <s v="ΦΥΣΙΚΗΣ ΑΓΩΓΗΣ"/>
    <m/>
    <m/>
    <s v="Γ΄"/>
    <n v="3"/>
    <s v="Φ.17/8958"/>
    <d v="2018-09-01T00:00:00"/>
    <s v="ΚΟΡΙΝΘΙΑΣ (Π.Ε.) 2018"/>
    <s v="ΔΙΕΥΘΥΝΣΗ Π.Ε. ΚΟΡΙΝΘΙΑΣ"/>
    <s v="ΠΕΡΙΦΕΡΕΙΑΚΗ Δ/ΝΣΗ Α/ΘΜΙΑΣ ΚΑΙ Β/ΘΜΙΑΣ ΕΚΠ/ΣΗΣ ΠΕΛΟΠΟΝΝΗΣΟΥ"/>
    <n v="12"/>
    <d v="2018-09-01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56-05-19T00:00:00"/>
    <x v="1"/>
    <s v="ΔΙΕΥΘΥΝΣΗ Π.Ε. ΚΟΡΙΝΘΙΑΣ"/>
    <x v="2"/>
  </r>
  <r>
    <x v="942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5-02-05T00:00:00"/>
    <x v="0"/>
    <s v="ΔΙΕΥΘΥΝΣΗ Δ.Ε. ΑΝΑΤΟΛΙΚΗΣ ΑΤΤΙΚΗΣ"/>
    <x v="2"/>
  </r>
  <r>
    <x v="943"/>
    <x v="0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12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53-12-12T00:00:00"/>
    <x v="1"/>
    <s v="ΔΙΕΥΘΥΝΣΗ Π.Ε. Γ΄ ΑΘΗΝΑΣ"/>
    <x v="2"/>
  </r>
  <r>
    <x v="944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2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53-02-02T00:00:00"/>
    <x v="1"/>
    <s v="ΔΙΕΥΘΥΝΣΗ Π.Ε. Β΄ ΑΘΗΝΑΣ"/>
    <x v="2"/>
  </r>
  <r>
    <x v="945"/>
    <x v="0"/>
    <s v="ΠΕ70"/>
    <s v="ΔΑΣΚΑΛΟΙ"/>
    <m/>
    <m/>
    <s v="Α΄"/>
    <n v="19"/>
    <m/>
    <m/>
    <s v="Δ΄ ΑΘΗΝΑΣ (Π.Ε.) 2018"/>
    <s v="ΔΙΕΥΘΥΝΣΗ Π.Ε. Δ΄ ΑΘΗΝΑΣ"/>
    <s v="ΠΕΡΙΦΕΡΕΙΑΚΗ Δ/ΝΣΗ Α/ΘΜΙΑΣ ΚΑΙ Β/ΘΜΙΑΣ ΕΚΠ/ΣΗΣ ΑΤΤΙΚΗΣ"/>
    <n v="12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0-11-28T00:00:00"/>
    <x v="1"/>
    <s v="ΔΙΕΥΘΥΝΣΗ Π.Ε. Δ΄ ΑΘΗΝΑΣ"/>
    <x v="2"/>
  </r>
  <r>
    <x v="946"/>
    <x v="1"/>
    <s v="ΠΕ80"/>
    <s v="ΟΙΚΟΝΟΜΙΑΣ"/>
    <m/>
    <m/>
    <s v="Γ΄"/>
    <n v="1"/>
    <n v="20235"/>
    <d v="2018-11-14T00:00:00"/>
    <s v="Α΄ ΑΝΑΤ. ΑΤΤΙΚΗΣ (Δ.Ε.) 2018"/>
    <s v="ΔΙΕΥΘΥΝΣΗ Δ.Ε. ΑΝΑΤΟΛΙΚΗΣ ΑΤΤΙΚΗΣ"/>
    <s v="ΠΕΡΙΦΕΡΕΙΑΚΗ Δ/ΝΣΗ Α/ΘΜΙΑΣ ΚΑΙ Β/ΘΜΙΑΣ ΕΚΠ/ΣΗΣ ΑΤΤΙΚΗΣ"/>
    <n v="12"/>
    <d v="2018-11-14T00:00:00"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947"/>
    <x v="1"/>
    <s v="ΠΕ81"/>
    <s v="ΠΟΛ.ΜΗΧΑΝΙΚΩΝ-ΑΡΧΙΤΕΚΤΟΝ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2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948"/>
    <x v="1"/>
    <s v="ΠΕ79.01"/>
    <s v="ΜΟΥΣΙΚΗΣ ΕΠΙΣΤΗΜ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2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2"/>
  </r>
  <r>
    <x v="949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2"/>
    <m/>
    <s v="Ιδιωτικά Σχολεία"/>
    <x v="4"/>
    <s v="7052036"/>
    <s v="ΙΔΙΩΤΙΚΟ ΔΗΜΟΤΙΚ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2"/>
  </r>
  <r>
    <x v="950"/>
    <x v="1"/>
    <s v="ΠΕ06"/>
    <s v="ΑΓΓΛΙΚΗΣ ΦΙΛΟΛΟΓΙΑΣ"/>
    <m/>
    <m/>
    <s v="Γ΄"/>
    <n v="1"/>
    <s v="4298γ/1-9-2016"/>
    <d v="2018-09-01T00:00:00"/>
    <s v="ΑΡΓΟΛΙΔΑΣ (Δ.Ε.) 2018"/>
    <s v="ΔΙΕΥΘΥΝΣΗ Δ.Ε. ΑΡΓΟΛΙΔΑΣ"/>
    <s v="ΠΕΡΙΦΕΡΕΙΑΚΗ Δ/ΝΣΗ Α/ΘΜΙΑΣ ΚΑΙ Β/ΘΜΙΑΣ ΕΚΠ/ΣΗΣ ΠΕΛΟΠΟΝΝΗΣΟΥ"/>
    <n v="12"/>
    <d v="2018-09-01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m/>
    <x v="0"/>
    <s v="ΔΙΕΥΘΥΝΣΗ Δ.Ε. ΑΡΓΟΛΙΔΑΣ"/>
    <x v="2"/>
  </r>
  <r>
    <x v="951"/>
    <x v="1"/>
    <s v="ΤΕ16"/>
    <s v="ΜΟΥΣΙΚΗΣ ΜΗ ΑΝΩΤΑΤΩΝ ΙΔΡΥΜΑΤΩΝ"/>
    <m/>
    <m/>
    <s v="Γ΄"/>
    <n v="1"/>
    <s v="6489/21-9-2017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13"/>
    <d v="2018-09-01T00:00:00"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0"/>
    <s v="Τοποθέτηση σε Ιδιωτική Εκπαίδευση"/>
    <d v="1993-10-01T00:00:00"/>
    <x v="1"/>
    <s v="ΔΙΕΥΘΥΝΣΗ Π.Ε. ΔΩΔΕΚΑΝΗΣΟΥ"/>
    <x v="2"/>
  </r>
  <r>
    <x v="952"/>
    <x v="1"/>
    <s v="ΠΕ02"/>
    <s v="ΦΙΛΟΛΟΓΟΙ"/>
    <m/>
    <m/>
    <s v="Γ΄"/>
    <n v="1"/>
    <n v="18180"/>
    <d v="2018-09-04T00:00:00"/>
    <s v="ΛΑΡΙΣΑΣ (Δ.Ε.) 2018"/>
    <s v="ΔΙΕΥΘΥΝΣΗ Δ.Ε. ΛΑΡΙΣΑΣ"/>
    <s v="ΠΕΡΙΦΕΡΕΙΑΚΗ Δ/ΝΣΗ Α/ΘΜΙΑΣ ΚΑΙ Β/ΘΜΙΑΣ ΕΚΠ/ΣΗΣ ΘΕΣΣΑΛΙΑΣ"/>
    <n v="13"/>
    <d v="2018-09-04T00:00:00"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2"/>
    <s v="Τοποθέτηση σε Ιδιωτική Εκπαίδευση"/>
    <d v="1992-07-03T00:00:00"/>
    <x v="0"/>
    <s v="ΔΙΕΥΘΥΝΣΗ Δ.Ε. ΛΑΡΙΣΑΣ"/>
    <x v="2"/>
  </r>
  <r>
    <x v="953"/>
    <x v="1"/>
    <s v="ΠΕ04.04"/>
    <s v="ΒΙΟΛΟΓΟΙ"/>
    <m/>
    <m/>
    <s v="Γ΄"/>
    <n v="1"/>
    <n v="0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3"/>
    <d v="2018-09-01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9-11-30T00:00:00"/>
    <x v="0"/>
    <s v="ΔΙΕΥΘΥΝΣΗ Δ.Ε. ΔΩΔΕΚΑΝΗΣΟΥ"/>
    <x v="2"/>
  </r>
  <r>
    <x v="954"/>
    <x v="1"/>
    <s v="ΠΕ86"/>
    <s v="ΠΛΗΡΟΦΟΡΙΚΗΣ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3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9-03-20T00:00:00"/>
    <x v="0"/>
    <s v="ΔΙΕΥΘΥΝΣΗ Δ.Ε. ΚΥΚΛΑΔΩΝ"/>
    <x v="2"/>
  </r>
  <r>
    <x v="955"/>
    <x v="1"/>
    <s v="ΠΕ04.02"/>
    <s v="ΧΗΜΙΚΟΙ"/>
    <m/>
    <m/>
    <s v="Γ΄"/>
    <n v="1"/>
    <s v="Φ.17.2/7069"/>
    <d v="2018-10-10T00:00:00"/>
    <s v="Α΄ ΔΩΔΕΚΑΝΗΣΟΥ (Δ.Ε.) 2018"/>
    <s v="ΔΙΕΥΘΥΝΣΗ Δ.Ε. ΔΩΔΕΚΑΝΗΣΟΥ"/>
    <s v="ΠΕΡΙΦΕΡΕΙΑΚΗ Δ/ΝΣΗ Α/ΘΜΙΑΣ ΚΑΙ Β/ΘΜΙΑΣ ΕΚΠ/ΣΗΣ ΝΟΤΙΟΥ ΑΙΓΑΙΟΥ"/>
    <n v="13"/>
    <d v="2018-10-10T00:00:00"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2"/>
    <s v="Τοποθέτηση σε Ιδιωτική Εκπαίδευση"/>
    <d v="1988-02-13T00:00:00"/>
    <x v="0"/>
    <s v="ΔΙΕΥΘΥΝΣΗ Δ.Ε. ΔΩΔΕΚΑΝΗΣΟΥ"/>
    <x v="2"/>
  </r>
  <r>
    <x v="956"/>
    <x v="1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7-29T00:00:00"/>
    <x v="0"/>
    <s v="ΔΙΕΥΘΥΝΣΗ Δ.Ε. Β΄ ΑΘΗΝΑΣ"/>
    <x v="2"/>
  </r>
  <r>
    <x v="957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4-04T00:00:00"/>
    <x v="0"/>
    <s v="ΔΙΕΥΘΥΝΣΗ Δ.Ε. Β΄ ΑΘΗΝΑΣ"/>
    <x v="2"/>
  </r>
  <r>
    <x v="958"/>
    <x v="1"/>
    <s v="ΠΕ04.04"/>
    <s v="ΒΙΟΛΟΓΟΙ"/>
    <m/>
    <m/>
    <s v="Γ΄"/>
    <n v="1"/>
    <s v="13971/18-12-2017"/>
    <d v="2018-09-01T00:00:00"/>
    <s v="ΙΩΑΝΝΙΝΩΝ (Δ.Ε.) 2018"/>
    <s v="ΔΙΕΥΘΥΝΣΗ Δ.Ε. ΙΩΑΝΝΙΝΩΝ"/>
    <s v="ΠΕΡΙΦΕΡΕΙΑΚΗ Δ/ΝΣΗ Α/ΘΜΙΑΣ ΚΑΙ Β/ΘΜΙΑΣ ΕΚΠ/ΣΗΣ ΗΠΕΙΡΟΥ"/>
    <n v="13"/>
    <d v="2018-09-01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87-03-15T00:00:00"/>
    <x v="0"/>
    <s v="ΔΙΕΥΘΥΝΣΗ Δ.Ε. ΙΩΑΝΝΙΝΩΝ"/>
    <x v="2"/>
  </r>
  <r>
    <x v="959"/>
    <x v="1"/>
    <s v="ΠΕ86"/>
    <s v="ΠΛΗΡΟΦΟΡΙΚΗΣ"/>
    <m/>
    <m/>
    <s v="Γ΄"/>
    <n v="1"/>
    <s v="544/13173/20-12-2017"/>
    <d v="2018-09-01T00:00:00"/>
    <s v="Β΄ ΑΘΗΝΑΣ (Π.Ε.) 2018"/>
    <s v="ΔΙΕΥΘΥΝΣΗ Π.Ε. Β΄ ΑΘΗΝΑΣ"/>
    <s v="ΠΕΡΙΦΕΡΕΙΑΚΗ Δ/ΝΣΗ Α/ΘΜΙΑΣ ΚΑΙ Β/ΘΜΙΑΣ ΕΚΠ/ΣΗΣ ΑΤΤΙΚΗΣ"/>
    <n v="13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4-09-29T00:00:00"/>
    <x v="1"/>
    <s v="ΔΙΕΥΘΥΝΣΗ Π.Ε. Β΄ ΑΘΗΝΑΣ"/>
    <x v="2"/>
  </r>
  <r>
    <x v="960"/>
    <x v="1"/>
    <s v="ΠΕ06"/>
    <s v="ΑΓΓΛΙΚΗΣ ΦΙΛΟΛΟΓΙΑ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3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4-08-15T00:00:00"/>
    <x v="1"/>
    <s v="ΔΙΕΥΘΥΝΣΗ Π.Ε. ΛΑΡΙΣΑΣ"/>
    <x v="2"/>
  </r>
  <r>
    <x v="961"/>
    <x v="1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4-08-06T00:00:00"/>
    <x v="0"/>
    <s v="ΔΙΕΥΘΥΝΣΗ Δ.Ε. Γ΄ ΑΘΗΝΑΣ"/>
    <x v="2"/>
  </r>
  <r>
    <x v="962"/>
    <x v="1"/>
    <s v="ΠΕ06"/>
    <s v="ΑΓΓΛΙΚΗΣ ΦΙΛΟΛΟΓΙΑΣ"/>
    <m/>
    <m/>
    <s v="Α΄"/>
    <n v="1"/>
    <s v="Ω7ΠΡ9-6ΦΖ"/>
    <d v="2014-10-29T00:00:00"/>
    <s v="Β΄ ΑΘΗΝΑΣ (Π.Ε.) 2018"/>
    <s v="ΔΙΕΥΘΥΝΣΗ Π.Ε. Β΄ ΑΘΗΝΑΣ"/>
    <s v="ΠΕΡΙΦΕΡΕΙΑΚΗ Δ/ΝΣΗ Α/ΘΜΙΑΣ ΚΑΙ Β/ΘΜΙΑΣ ΕΚΠ/ΣΗΣ ΑΤΤΙΚΗΣ"/>
    <n v="13"/>
    <d v="2014-10-29T00:00:00"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1-01T00:00:00"/>
    <x v="1"/>
    <s v="ΔΙΕΥΘΥΝΣΗ Π.Ε. Β΄ ΑΘΗΝΑΣ"/>
    <x v="2"/>
  </r>
  <r>
    <x v="963"/>
    <x v="1"/>
    <s v="ΠΕ06"/>
    <s v="ΑΓΓΛΙΚΗΣ ΦΙΛΟΛΟΓΙΑΣ"/>
    <m/>
    <m/>
    <s v="Γ΄"/>
    <n v="1"/>
    <n v="11609"/>
    <d v="2018-09-01T00:00:00"/>
    <s v="Δ΄ ΑΘΗΝΑΣ (Π.Ε.) 2018"/>
    <s v="ΔΙΕΥΘΥΝΣΗ Π.Ε. Δ΄ ΑΘΗΝΑΣ"/>
    <s v="ΠΕΡΙΦΕΡΕΙΑΚΗ Δ/ΝΣΗ Α/ΘΜΙΑΣ ΚΑΙ Β/ΘΜΙΑΣ ΕΚΠ/ΣΗΣ ΑΤΤΙΚΗΣ"/>
    <n v="13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3-10-23T00:00:00"/>
    <x v="1"/>
    <s v="ΔΙΕΥΘΥΝΣΗ Π.Ε. Δ΄ ΑΘΗΝΑΣ"/>
    <x v="2"/>
  </r>
  <r>
    <x v="964"/>
    <x v="0"/>
    <s v="ΠΕ86"/>
    <s v="ΠΛΗΡΟΦΟΡΙΚ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3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05-18T00:00:00"/>
    <x v="0"/>
    <s v="ΔΙΕΥΘΥΝΣΗ Δ.Ε. Δ΄ ΑΘΗΝΑΣ"/>
    <x v="2"/>
  </r>
  <r>
    <x v="965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2-14T00:00:00"/>
    <x v="0"/>
    <s v="ΔΙΕΥΘΥΝΣΗ Δ.Ε. Β΄ ΑΘΗΝΑΣ"/>
    <x v="2"/>
  </r>
  <r>
    <x v="966"/>
    <x v="1"/>
    <s v="ΠΕ04.02"/>
    <s v="ΧΗΜΙΚΟΙ"/>
    <m/>
    <m/>
    <s v="Γ΄"/>
    <n v="1"/>
    <s v="ΦΑΦ/10272/6-10-2017"/>
    <d v="2017-09-08T00:00:00"/>
    <s v="ΙΩΑΝΝΙΝΩΝ (Δ.Ε.) 2018"/>
    <s v="ΔΙΕΥΘΥΝΣΗ Δ.Ε. ΙΩΑΝΝΙΝΩΝ"/>
    <s v="ΠΕΡΙΦΕΡΕΙΑΚΗ Δ/ΝΣΗ Α/ΘΜΙΑΣ ΚΑΙ Β/ΘΜΙΑΣ ΕΚΠ/ΣΗΣ ΗΠΕΙΡΟΥ"/>
    <n v="13"/>
    <d v="2017-09-08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83-01-01T00:00:00"/>
    <x v="0"/>
    <s v="ΔΙΕΥΘΥΝΣΗ Δ.Ε. ΙΩΑΝΝΙΝΩΝ"/>
    <x v="2"/>
  </r>
  <r>
    <x v="967"/>
    <x v="1"/>
    <s v="ΠΕ05"/>
    <s v="ΓΑΛΛΙΚΗΣ ΦΙΛΟΛΟΓΙΑΣ"/>
    <m/>
    <m/>
    <s v="Γ΄"/>
    <n v="1"/>
    <n v="19677"/>
    <d v="2018-09-19T00:00:00"/>
    <s v="Α΄ ΠΕΙΡΑΙΑ (Δ.Ε.) 2018"/>
    <s v="ΔΙΕΥΘΥΝΣΗ Δ.Ε. ΠΕΙΡΑΙΑ"/>
    <s v="ΠΕΡΙΦΕΡΕΙΑΚΗ Δ/ΝΣΗ Α/ΘΜΙΑΣ ΚΑΙ Β/ΘΜΙΑΣ ΕΚΠ/ΣΗΣ ΑΤΤΙΚΗΣ"/>
    <n v="13"/>
    <d v="2018-09-19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1-05-29T00:00:00"/>
    <x v="0"/>
    <s v="ΔΙΕΥΘΥΝΣΗ Δ.Ε. ΠΕΙΡΑΙΑ"/>
    <x v="2"/>
  </r>
  <r>
    <x v="968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5-28T00:00:00"/>
    <x v="0"/>
    <s v="ΔΙΕΥΘΥΝΣΗ Δ.Ε. Γ΄ ΑΘΗΝΑΣ"/>
    <x v="2"/>
  </r>
  <r>
    <x v="969"/>
    <x v="1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3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0-01-01T00:00:00"/>
    <x v="0"/>
    <s v="ΔΙΕΥΘΥΝΣΗ Δ.Ε. ΚΥΚΛΑΔΩΝ"/>
    <x v="2"/>
  </r>
  <r>
    <x v="970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9-10-10T00:00:00"/>
    <x v="0"/>
    <s v="ΔΙΕΥΘΥΝΣΗ Δ.Ε. Β΄ ΑΘΗΝΑΣ"/>
    <x v="2"/>
  </r>
  <r>
    <x v="971"/>
    <x v="0"/>
    <s v="ΠΕ04.01"/>
    <s v="ΦΥΣ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3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9-07-07T00:00:00"/>
    <x v="0"/>
    <s v="ΔΙΕΥΘΥΝΣΗ Δ.Ε. ΔΩΔΕΚΑΝΗΣΟΥ"/>
    <x v="2"/>
  </r>
  <r>
    <x v="972"/>
    <x v="0"/>
    <s v="ΠΕ07"/>
    <s v="ΓΕΡΜΑΝΙΚΗΣ ΦΙΛΟΛΟΓΙΑ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13"/>
    <m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9-06-18T00:00:00"/>
    <x v="1"/>
    <s v="ΔΙΕΥΘΥΝΣΗ Π.Ε. ΑΙΤΩΛΟΑΚΑΡΝΑΝΙΑΣ"/>
    <x v="2"/>
  </r>
  <r>
    <x v="973"/>
    <x v="1"/>
    <s v="ΠΕ11"/>
    <s v="ΦΥΣΙΚΗΣ ΑΓΩΓΗΣ"/>
    <m/>
    <m/>
    <s v="Γ΄"/>
    <n v="1"/>
    <s v="16056/01-09-2018"/>
    <d v="2018-09-01T00:00:00"/>
    <s v="ΛΑΡΙΣΑΣ (Δ.Ε.) 2018"/>
    <s v="ΔΙΕΥΘΥΝΣΗ Δ.Ε. ΛΑΡΙΣΑΣ"/>
    <s v="ΠΕΡΙΦΕΡΕΙΑΚΗ Δ/ΝΣΗ Α/ΘΜΙΑΣ ΚΑΙ Β/ΘΜΙΑΣ ΕΚΠ/ΣΗΣ ΘΕΣΣΑΛΙΑΣ"/>
    <n v="13"/>
    <d v="2018-09-01T00:00:00"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9-04-12T00:00:00"/>
    <x v="0"/>
    <s v="ΔΙΕΥΘΥΝΣΗ Δ.Ε. ΛΑΡΙΣΑΣ"/>
    <x v="2"/>
  </r>
  <r>
    <x v="974"/>
    <x v="1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11-06T00:00:00"/>
    <x v="0"/>
    <s v="ΔΙΕΥΘΥΝΣΗ Δ.Ε. Γ΄ ΑΘΗΝΑΣ"/>
    <x v="2"/>
  </r>
  <r>
    <x v="975"/>
    <x v="0"/>
    <s v="ΠΕ01"/>
    <s v="ΘΕ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3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7-11-03T00:00:00"/>
    <x v="0"/>
    <s v="ΔΙΕΥΘΥΝΣΗ Δ.Ε. ΚΟΡΙΝΘΙΑΣ"/>
    <x v="2"/>
  </r>
  <r>
    <x v="976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3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10-26T00:00:00"/>
    <x v="0"/>
    <s v="ΔΙΕΥΘΥΝΣΗ Δ.Ε. ΑΝΑΤΟΛΙΚΗΣ ΑΤΤΙΚΗΣ"/>
    <x v="2"/>
  </r>
  <r>
    <x v="977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09-06T00:00:00"/>
    <x v="0"/>
    <s v="ΔΙΕΥΘΥΝΣΗ Δ.Ε. ΠΕΙΡΑΙΑ"/>
    <x v="2"/>
  </r>
  <r>
    <x v="978"/>
    <x v="0"/>
    <s v="ΠΕ80"/>
    <s v="ΟΙΚΟΝΟΜΙΑΣ"/>
    <m/>
    <m/>
    <s v="Γ΄"/>
    <n v="1"/>
    <s v="8086/1/19-09-2017"/>
    <d v="2017-09-11T00:00:00"/>
    <s v="ΞΑΝΘΗΣ (Δ.Ε.) 2018"/>
    <s v="ΔΙΕΥΘΥΝΣΗ Δ.Ε. ΞΑΝΘΗΣ"/>
    <s v="ΠΕΡΙΦΕΡΕΙΑΚΗ Δ/ΝΣΗ Α/ΘΜΙΑΣ ΚΑΙ Β/ΘΜΙΑΣ ΕΚΠ/ΣΗΣ ΑΝ. ΜΑΚΕΔΟΝΙΑΣ ΚΑΙ ΘΡΑΚΗΣ"/>
    <n v="13"/>
    <d v="2017-09-11T00:00:00"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77-07-07T00:00:00"/>
    <x v="0"/>
    <s v="ΔΙΕΥΘΥΝΣΗ Δ.Ε. ΞΑΝΘΗΣ"/>
    <x v="2"/>
  </r>
  <r>
    <x v="979"/>
    <x v="0"/>
    <s v="ΠΕ03"/>
    <s v="ΜΑΘΗΜΑΤΙΚΟΙ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6-06-23T00:00:00"/>
    <x v="0"/>
    <s v="ΔΙΕΥΘΥΝΣΗ Δ.Ε. ΠΕΙΡΑΙΑ"/>
    <x v="2"/>
  </r>
  <r>
    <x v="980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06-14T00:00:00"/>
    <x v="0"/>
    <s v="ΔΙΕΥΘΥΝΣΗ Δ.Ε. ΠΕΙΡΑΙΑ"/>
    <x v="2"/>
  </r>
  <r>
    <x v="981"/>
    <x v="1"/>
    <s v="ΠΕ04.04"/>
    <s v="ΒΙ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6-01-01T00:00:00"/>
    <x v="0"/>
    <s v="ΔΙΕΥΘΥΝΣΗ Δ.Ε. ΑΙΤΩΛΟΑΚΑΡΝΑΝΙΑΣ"/>
    <x v="2"/>
  </r>
  <r>
    <x v="982"/>
    <x v="1"/>
    <s v="ΠΕ04.02"/>
    <s v="ΧΗΜ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m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6-01-01T00:00:00"/>
    <x v="0"/>
    <s v="ΔΙΕΥΘΥΝΣΗ Δ.Ε. ΑΙΤΩΛΟΑΚΑΡΝΑΝΙΑΣ"/>
    <x v="2"/>
  </r>
  <r>
    <x v="983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3-15T00:00:00"/>
    <x v="0"/>
    <s v="ΔΙΕΥΘΥΝΣΗ Δ.Ε. Γ΄ ΑΘΗΝΑΣ"/>
    <x v="2"/>
  </r>
  <r>
    <x v="984"/>
    <x v="1"/>
    <s v="ΠΕ07"/>
    <s v="ΓΕΡΜ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1-01T00:00:00"/>
    <x v="0"/>
    <s v="ΔΙΕΥΘΥΝΣΗ Δ.Ε. Γ΄ ΑΘΗΝΑΣ"/>
    <x v="2"/>
  </r>
  <r>
    <x v="985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4-06T00:00:00"/>
    <x v="0"/>
    <s v="ΔΙΕΥΘΥΝΣΗ Δ.Ε. ΠΕΙΡΑΙΑ"/>
    <x v="2"/>
  </r>
  <r>
    <x v="986"/>
    <x v="0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4-01T00:00:00"/>
    <x v="0"/>
    <s v="ΔΙΕΥΘΥΝΣΗ Δ.Ε. Γ΄ ΑΘΗΝΑΣ"/>
    <x v="2"/>
  </r>
  <r>
    <x v="987"/>
    <x v="0"/>
    <s v="ΠΕ03"/>
    <s v="ΜΑΘΗΜΑΤΙΚΟΙ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3-07-02T00:00:00"/>
    <x v="0"/>
    <s v="ΔΙΕΥΘΥΝΣΗ Δ.Ε. ΠΕΙΡΑΙΑ"/>
    <x v="2"/>
  </r>
  <r>
    <x v="988"/>
    <x v="1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3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3-01-03T00:00:00"/>
    <x v="0"/>
    <s v="ΔΙΕΥΘΥΝΣΗ Δ.Ε. ΚΟΡΙΝΘΙΑΣ"/>
    <x v="2"/>
  </r>
  <r>
    <x v="989"/>
    <x v="0"/>
    <s v="ΠΕ80"/>
    <s v="ΟΙΚΟΝΟΜΙΑ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3"/>
    <m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2-05-30T00:00:00"/>
    <x v="0"/>
    <s v="ΔΙΕΥΘΥΝΣΗ Δ.Ε. ΑΧΑΪΑΣ"/>
    <x v="2"/>
  </r>
  <r>
    <x v="990"/>
    <x v="0"/>
    <s v="ΠΕ04.02"/>
    <s v="ΧΗΜ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3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2-03-08T00:00:00"/>
    <x v="0"/>
    <s v="ΔΙΕΥΘΥΝΣΗ Δ.Ε. ΔΩΔΕΚΑΝΗΣΟΥ"/>
    <x v="2"/>
  </r>
  <r>
    <x v="991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01-22T00:00:00"/>
    <x v="0"/>
    <s v="ΔΙΕΥΘΥΝΣΗ Δ.Ε. Β΄ ΑΘΗΝΑΣ"/>
    <x v="2"/>
  </r>
  <r>
    <x v="992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3-21T00:00:00"/>
    <x v="0"/>
    <s v="ΔΙΕΥΘΥΝΣΗ Δ.Ε. ΠΕΙΡΑΙΑ"/>
    <x v="2"/>
  </r>
  <r>
    <x v="993"/>
    <x v="1"/>
    <s v="ΠΕ79.01"/>
    <s v="ΜΟΥΣΙΚΗΣ ΕΠΙΣΤΗΜΗΣ"/>
    <m/>
    <m/>
    <s v="Γ΄"/>
    <n v="1"/>
    <s v="2886/3-10-2017"/>
    <d v="2018-09-01T00:00:00"/>
    <s v="Β΄ ΑΘΗΝΑΣ (Π.Ε.) 2018"/>
    <s v="ΔΙΕΥΘΥΝΣΗ Π.Ε. Β΄ ΑΘΗΝΑΣ"/>
    <s v="ΠΕΡΙΦΕΡΕΙΑΚΗ Δ/ΝΣΗ Α/ΘΜΙΑΣ ΚΑΙ Β/ΘΜΙΑΣ ΕΚΠ/ΣΗΣ ΑΤΤΙΚΗΣ"/>
    <n v="13"/>
    <d v="2018-09-01T00:00:00"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12-23T00:00:00"/>
    <x v="1"/>
    <s v="ΔΙΕΥΘΥΝΣΗ Π.Ε. Β΄ ΑΘΗΝΑΣ"/>
    <x v="2"/>
  </r>
  <r>
    <x v="994"/>
    <x v="0"/>
    <s v="ΠΕ01"/>
    <s v="ΘΕ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3"/>
    <m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09-21T00:00:00"/>
    <x v="0"/>
    <s v="ΔΙΕΥΘΥΝΣΗ Δ.Ε. ΙΩΑΝΝΙΝΩΝ"/>
    <x v="2"/>
  </r>
  <r>
    <x v="995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8-13T00:00:00"/>
    <x v="0"/>
    <s v="ΔΙΕΥΘΥΝΣΗ Δ.Ε. Β΄ ΑΘΗΝΑΣ"/>
    <x v="2"/>
  </r>
  <r>
    <x v="996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3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0-07-16T00:00:00"/>
    <x v="0"/>
    <s v="ΔΙΕΥΘΥΝΣΗ Δ.Ε. ΑΝΑΤΟΛΙΚΗΣ ΑΤΤΙΚΗΣ"/>
    <x v="2"/>
  </r>
  <r>
    <x v="997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08-14T00:00:00"/>
    <x v="0"/>
    <s v="ΔΙΕΥΘΥΝΣΗ Δ.Ε. Γ΄ ΑΘΗΝΑΣ"/>
    <x v="2"/>
  </r>
  <r>
    <x v="998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7-24T00:00:00"/>
    <x v="0"/>
    <s v="ΔΙΕΥΘΥΝΣΗ Δ.Ε. Β΄ ΑΘΗΝΑΣ"/>
    <x v="2"/>
  </r>
  <r>
    <x v="999"/>
    <x v="1"/>
    <s v="ΠΕ04.02"/>
    <s v="ΧΗΜΙΚΟΙ"/>
    <m/>
    <m/>
    <s v="Γ΄"/>
    <n v="1"/>
    <s v="ΨΣ994653ΠΣ-0Η7"/>
    <d v="2018-09-05T00:00:00"/>
    <s v="Α΄ ΠΕΙΡΑΙΑ (Δ.Ε.) 2018"/>
    <s v="ΔΙΕΥΘΥΝΣΗ Δ.Ε. ΠΕΙΡΑΙΑ"/>
    <s v="ΠΕΡΙΦΕΡΕΙΑΚΗ Δ/ΝΣΗ Α/ΘΜΙΑΣ ΚΑΙ Β/ΘΜΙΑΣ ΕΚΠ/ΣΗΣ ΑΤΤΙΚΗΣ"/>
    <n v="13"/>
    <d v="2018-09-05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9-01-01T00:00:00"/>
    <x v="0"/>
    <s v="ΔΙΕΥΘΥΝΣΗ Δ.Ε. ΠΕΙΡΑΙΑ"/>
    <x v="2"/>
  </r>
  <r>
    <x v="1000"/>
    <x v="1"/>
    <s v="ΠΕ80"/>
    <s v="ΟΙΚΟΝΟΜΙΑΣ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3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69-01-01T00:00:00"/>
    <x v="0"/>
    <s v="ΔΙΕΥΘΥΝΣΗ Δ.Ε. ΗΡΑΚΛΕΙΟΥ"/>
    <x v="2"/>
  </r>
  <r>
    <x v="1001"/>
    <x v="0"/>
    <s v="ΠΕ01"/>
    <s v="ΘΕ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8-04-18T00:00:00"/>
    <x v="0"/>
    <s v="ΔΙΕΥΘΥΝΣΗ Δ.Ε. ΑΙΤΩΛΟΑΚΑΡΝΑΝΙΑΣ"/>
    <x v="2"/>
  </r>
  <r>
    <x v="1002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3-20T00:00:00"/>
    <x v="0"/>
    <s v="ΔΙΕΥΘΥΝΣΗ Δ.Ε. ΠΕΙΡΑΙΑ"/>
    <x v="2"/>
  </r>
  <r>
    <x v="1003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3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10-08T00:00:00"/>
    <x v="0"/>
    <s v="ΔΙΕΥΘΥΝΣΗ Δ.Ε. ΠΕΙΡΑΙΑ"/>
    <x v="2"/>
  </r>
  <r>
    <x v="1004"/>
    <x v="1"/>
    <s v="ΠΕ11"/>
    <s v="ΦΥΣΙΚΗΣ ΑΓΩΓΗ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3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7-01-01T00:00:00"/>
    <x v="1"/>
    <s v="ΔΙΕΥΘΥΝΣΗ Π.Ε. ΠΕΙΡΑΙΑ"/>
    <x v="2"/>
  </r>
  <r>
    <x v="1005"/>
    <x v="1"/>
    <s v="ΠΕ80"/>
    <s v="ΟΙΚΟΝΟΜΙΑΣ"/>
    <m/>
    <m/>
    <s v="Γ΄"/>
    <n v="1"/>
    <s v="ΦΔ18/2/7018/19.09.2017"/>
    <d v="2018-10-09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13"/>
    <d v="2018-10-09T00:00:00"/>
    <s v="Ιδιωτικά Σχολεία"/>
    <x v="3"/>
    <s v="0161002"/>
    <s v="ΙΔΙΩΤΙΚΟ ΓΕΛ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0"/>
    <s v="Τοποθέτηση σε Ιδιωτική Εκπαίδευση"/>
    <d v="1966-01-20T00:00:00"/>
    <x v="0"/>
    <s v="ΔΙΕΥΘΥΝΣΗ Δ.Ε. ΑΙΤΩΛΟΑΚΑΡΝΑΝΙΑΣ"/>
    <x v="2"/>
  </r>
  <r>
    <x v="1006"/>
    <x v="1"/>
    <s v="ΠΕ01"/>
    <s v="ΘΕ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3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5-08-12T00:00:00"/>
    <x v="0"/>
    <s v="ΔΙΕΥΘΥΝΣΗ Δ.Ε. Γ΄ ΑΘΗΝΑΣ"/>
    <x v="2"/>
  </r>
  <r>
    <x v="1007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12-02T00:00:00"/>
    <x v="0"/>
    <s v="ΔΙΕΥΘΥΝΣΗ Δ.Ε. Β΄ ΑΘΗΝΑΣ"/>
    <x v="2"/>
  </r>
  <r>
    <x v="1008"/>
    <x v="1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3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4-05T00:00:00"/>
    <x v="0"/>
    <s v="ΔΙΕΥΘΥΝΣΗ Δ.Ε. Β΄ ΑΘΗΝΑΣ"/>
    <x v="2"/>
  </r>
  <r>
    <x v="1009"/>
    <x v="0"/>
    <s v="ΠΕ79.01"/>
    <s v="ΜΟΥΣΙΚΗΣ ΕΠΙΣΤΗΜ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4-01-01T00:00:00"/>
    <x v="0"/>
    <s v="ΔΙΕΥΘΥΝΣΗ Δ.Ε. Β΄ ΑΘΗΝΑΣ"/>
    <x v="2"/>
  </r>
  <r>
    <x v="1010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1-10-31T00:00:00"/>
    <x v="0"/>
    <s v="ΔΙΕΥΘΥΝΣΗ Δ.Ε. Β΄ ΑΘΗΝΑΣ"/>
    <x v="2"/>
  </r>
  <r>
    <x v="1011"/>
    <x v="1"/>
    <s v="ΠΕ05"/>
    <s v="ΓΑΛΛΙΚΗΣ ΦΙΛΟΛΟΓΙΑΣ"/>
    <m/>
    <m/>
    <s v="Γ΄"/>
    <n v="1"/>
    <s v="2770/18-11-94"/>
    <d v="2018-09-01T00:00:00"/>
    <s v="Β΄ ΑΘΗΝΑΣ (Π.Ε.) 2018"/>
    <s v="ΔΙΕΥΘΥΝΣΗ Π.Ε. Β΄ ΑΘΗΝΑΣ"/>
    <s v="ΠΕΡΙΦΕΡΕΙΑΚΗ Δ/ΝΣΗ Α/ΘΜΙΑΣ ΚΑΙ Β/ΘΜΙΑΣ ΕΚΠ/ΣΗΣ ΑΤΤΙΚΗΣ"/>
    <n v="1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1-10-01T00:00:00"/>
    <x v="1"/>
    <s v="ΔΙΕΥΘΥΝΣΗ Π.Ε. Β΄ ΑΘΗΝΑΣ"/>
    <x v="2"/>
  </r>
  <r>
    <x v="1012"/>
    <x v="1"/>
    <s v="ΠΕ70"/>
    <s v="ΔΑΣΚΑΛΟΙ"/>
    <m/>
    <m/>
    <s v="Α΄"/>
    <n v="14"/>
    <m/>
    <d v="2018-09-01T00:00:00"/>
    <s v="Δ΄ ΑΘΗΝΑΣ (Π.Ε.) 2018"/>
    <s v="ΔΙΕΥΘΥΝΣΗ Π.Ε. Δ΄ ΑΘΗΝΑΣ"/>
    <s v="ΠΕΡΙΦΕΡΕΙΑΚΗ Δ/ΝΣΗ Α/ΘΜΙΑΣ ΚΑΙ Β/ΘΜΙΑΣ ΕΚΠ/ΣΗΣ ΑΤΤΙΚΗΣ"/>
    <n v="13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7-06-03T00:00:00"/>
    <x v="1"/>
    <s v="ΔΙΕΥΘΥΝΣΗ Π.Ε. Δ΄ ΑΘΗΝΑΣ"/>
    <x v="2"/>
  </r>
  <r>
    <x v="1013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3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1-10-19T00:00:00"/>
    <x v="0"/>
    <s v="ΔΙΕΥΘΥΝΣΗ Δ.Ε. ΑΝΑΤΟΛΙΚΗΣ ΑΤΤΙΚΗΣ"/>
    <x v="2"/>
  </r>
  <r>
    <x v="1014"/>
    <x v="1"/>
    <s v="ΠΕ03"/>
    <s v="ΜΑΘΗΜΑΤΙΚΟΙ"/>
    <m/>
    <m/>
    <s v="Γ΄"/>
    <n v="1"/>
    <s v="12868 / 3/10/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3"/>
    <d v="2018-09-01T00:00:00"/>
    <s v="Ιδιωτικά Σχολεία"/>
    <x v="2"/>
    <s v="2990102"/>
    <s v="Ιδιωτικό Γυμνάσιο ΚΟΡΑΗΣ ΕΚΠΑΙΔΕΥΤΙΚΗ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m/>
    <x v="0"/>
    <s v="ΔΙΕΥΘΥΝΣΗ Δ.Ε. ΑΝΑΤΟΛΙΚΗΣ ΑΤΤΙΚΗΣ"/>
    <x v="2"/>
  </r>
  <r>
    <x v="1015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2"/>
  </r>
  <r>
    <x v="1016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2"/>
  </r>
  <r>
    <x v="1017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3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2"/>
  </r>
  <r>
    <x v="1018"/>
    <x v="1"/>
    <s v="ΠΕ04.01"/>
    <s v="ΦΥΣΙΚΟΙ"/>
    <m/>
    <m/>
    <s v="Γ΄"/>
    <n v="1"/>
    <s v="8703/25-9-2018"/>
    <d v="2018-09-12T00:00:00"/>
    <s v="ΙΩΑΝΝΙΝΩΝ (Δ.Ε.) 2018"/>
    <s v="ΔΙΕΥΘΥΝΣΗ Δ.Ε. ΙΩΑΝΝΙΝΩΝ"/>
    <s v="ΠΕΡΙΦΕΡΕΙΑΚΗ Δ/ΝΣΗ Α/ΘΜΙΑΣ ΚΑΙ Β/ΘΜΙΑΣ ΕΚΠ/ΣΗΣ ΗΠΕΙΡΟΥ"/>
    <n v="13"/>
    <d v="2018-09-12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m/>
    <x v="0"/>
    <s v="ΔΙΕΥΘΥΝΣΗ Δ.Ε. ΙΩΑΝΝΙΝΩΝ"/>
    <x v="2"/>
  </r>
  <r>
    <x v="1019"/>
    <x v="1"/>
    <s v="ΠΕ02"/>
    <s v="ΦΙΛΟΛΟΓΟΙ"/>
    <m/>
    <m/>
    <s v="Γ΄"/>
    <n v="3"/>
    <s v="613/16-01-2018"/>
    <d v="2018-09-01T00:00:00"/>
    <s v="Α΄ ΑΘΗΝΑΣ (Δ.Ε.) 2018"/>
    <s v="ΔΙΕΥΘΥΝΣΗ Δ.Ε. Α΄ ΑΘΗΝΑΣ"/>
    <s v="ΠΕΡΙΦΕΡΕΙΑΚΗ Δ/ΝΣΗ Α/ΘΜΙΑΣ ΚΑΙ Β/ΘΜΙΑΣ ΕΚΠ/ΣΗΣ ΑΤΤΙΚΗΣ"/>
    <n v="14"/>
    <d v="2018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2018-04-06T00:00:00"/>
    <x v="0"/>
    <s v="ΔΙΕΥΘΥΝΣΗ Δ.Ε. Α΄ ΑΘΗΝΑΣ"/>
    <x v="2"/>
  </r>
  <r>
    <x v="1020"/>
    <x v="1"/>
    <s v="ΠΕ04.04"/>
    <s v="ΒΙ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14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2017-01-19T00:00:00"/>
    <x v="0"/>
    <s v="ΔΙΕΥΘΥΝΣΗ Δ.Ε. ΜΕΣΣΗΝΙΑΣ"/>
    <x v="2"/>
  </r>
  <r>
    <x v="1021"/>
    <x v="1"/>
    <s v="ΠΕ60"/>
    <s v="ΝΗΠΙΑΓΩΓ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4"/>
    <m/>
    <s v="Ιδιωτικά Σχολεία"/>
    <x v="1"/>
    <s v="7101009"/>
    <s v="ΙΔΙΩΤΙΚΟ ΝΗΠΙΑΓΩΓΕΙΟ ΙΑΛΥΣΟΣ - ΠΑΙΖΩ ΚΑΙ ΜΑΘΑΙΝΩ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94-10-25T00:00:00"/>
    <x v="1"/>
    <s v="ΔΙΕΥΘΥΝΣΗ Π.Ε. ΔΩΔΕΚΑΝΗΣΟΥ"/>
    <x v="2"/>
  </r>
  <r>
    <x v="1022"/>
    <x v="1"/>
    <s v="ΠΕ70"/>
    <s v="ΔΑΣΚΑΛΟΙ"/>
    <m/>
    <m/>
    <s v="Γ΄"/>
    <n v="1"/>
    <s v="Φ.17.2/9644/3-10-2018"/>
    <d v="2018-09-11T00:00:00"/>
    <s v="Α΄ ΜΑΓΝΗΣΙΑΣ (Π.Ε.) 2018"/>
    <s v="ΔΙΕΥΘΥΝΣΗ Π.Ε. ΜΑΓΝΗΣΙΑΣ"/>
    <s v="ΠΕΡΙΦΕΡΕΙΑΚΗ Δ/ΝΣΗ Α/ΘΜΙΑΣ ΚΑΙ Β/ΘΜΙΑΣ ΕΚΠ/ΣΗΣ ΘΕΣΣΑΛΙΑΣ"/>
    <n v="14"/>
    <d v="2018-09-11T00:00:00"/>
    <s v="Ιδιωτικά Σχολεία"/>
    <x v="4"/>
    <s v="7351004"/>
    <s v="ΙΔΙΩΤΙΚΟ ΔΗΜΟΤΙΚΟ ΑΛΛΗ ΜΕΡΙΑ - ΑΞΙΟΝ ΕΣΤΙ"/>
    <s v="Α΄ ΜΑΓΝΗΣΙΑΣ (Π.Ε.) 2018"/>
    <s v="ΔΙΕΥΘΥΝΣΗ Π.Ε. ΜΑΓΝΗΣΙΑΣ"/>
    <s v="ΠΕΡΙΦΕΡΕΙΑΚΗ Δ/ΝΣΗ Α/ΘΜΙΑΣ ΚΑΙ Β/ΘΜΙΑΣ ΕΚΠ/ΣΗΣ ΘΕΣΣΑΛΙΑΣ"/>
    <x v="0"/>
    <s v="Τοποθέτηση σε Ιδιωτική Εκπαίδευση"/>
    <d v="1993-12-21T00:00:00"/>
    <x v="1"/>
    <s v="ΔΙΕΥΘΥΝΣΗ Π.Ε. ΜΑΓΝΗΣΙΑΣ"/>
    <x v="2"/>
  </r>
  <r>
    <x v="1023"/>
    <x v="1"/>
    <s v="ΠΕ02"/>
    <s v="ΦΙΛΟΛΟΓΟΙ"/>
    <m/>
    <m/>
    <s v="Γ΄"/>
    <n v="1"/>
    <s v="8703/25-9-2018"/>
    <d v="2018-09-12T00:00:00"/>
    <s v="ΙΩΑΝΝΙΝΩΝ (Δ.Ε.) 2018"/>
    <s v="ΔΙΕΥΘΥΝΣΗ Δ.Ε. ΙΩΑΝΝΙΝΩΝ"/>
    <s v="ΠΕΡΙΦΕΡΕΙΑΚΗ Δ/ΝΣΗ Α/ΘΜΙΑΣ ΚΑΙ Β/ΘΜΙΑΣ ΕΚΠ/ΣΗΣ ΗΠΕΙΡΟΥ"/>
    <n v="14"/>
    <d v="2018-09-12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93-03-09T00:00:00"/>
    <x v="0"/>
    <s v="ΔΙΕΥΘΥΝΣΗ Δ.Ε. ΙΩΑΝΝΙΝΩΝ"/>
    <x v="2"/>
  </r>
  <r>
    <x v="1024"/>
    <x v="1"/>
    <s v="ΠΕ06"/>
    <s v="ΑΓΓΛΙΚΗΣ ΦΙΛΟΛΟΓΙΑΣ"/>
    <m/>
    <m/>
    <s v="Γ΄"/>
    <n v="1"/>
    <d v="2015-09-11T00:00:00"/>
    <d v="2018-09-01T00:00:00"/>
    <s v="Α΄ ΑΘΗΝΑΣ (Δ.Ε.) 2018"/>
    <s v="ΔΙΕΥΘΥΝΣΗ Δ.Ε. Α΄ ΑΘΗΝΑΣ"/>
    <s v="ΠΕΡΙΦΕΡΕΙΑΚΗ Δ/ΝΣΗ Α/ΘΜΙΑΣ ΚΑΙ Β/ΘΜΙΑΣ ΕΚΠ/ΣΗΣ ΑΤΤΙΚΗΣ"/>
    <n v="14"/>
    <d v="2018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92-10-23T00:00:00"/>
    <x v="0"/>
    <s v="ΔΙΕΥΘΥΝΣΗ Δ.Ε. Α΄ ΑΘΗΝΑΣ"/>
    <x v="2"/>
  </r>
  <r>
    <x v="1025"/>
    <x v="1"/>
    <s v="ΠΕ06"/>
    <s v="ΑΓΓΛΙΚΗΣ ΦΙΛΟΛΟΓΙΑΣ"/>
    <m/>
    <m/>
    <s v="Γ΄"/>
    <n v="1"/>
    <n v="142765886"/>
    <d v="2017-09-27T00:00:00"/>
    <s v="Α΄ ΠΕΙΡΑΙΑ (Δ.Ε.) 2018"/>
    <s v="ΔΙΕΥΘΥΝΣΗ Δ.Ε. ΠΕΙΡΑΙΑ"/>
    <s v="ΠΕΡΙΦΕΡΕΙΑΚΗ Δ/ΝΣΗ Α/ΘΜΙΑΣ ΚΑΙ Β/ΘΜΙΑΣ ΕΚΠ/ΣΗΣ ΑΤΤΙΚΗΣ"/>
    <n v="14"/>
    <d v="2017-09-27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90-09-05T00:00:00"/>
    <x v="0"/>
    <s v="ΔΙΕΥΘΥΝΣΗ Δ.Ε. ΠΕΙΡΑΙΑ"/>
    <x v="2"/>
  </r>
  <r>
    <x v="1026"/>
    <x v="0"/>
    <s v="ΠΕ86"/>
    <s v="ΠΛΗΡΟΦΟΡΙΚΗΣ"/>
    <m/>
    <m/>
    <s v="Γ΄"/>
    <n v="1"/>
    <n v="27589"/>
    <d v="2017-11-20T00:00:00"/>
    <s v="Α΄ ΠΕΙΡΑΙΑ (Δ.Ε.) 2018"/>
    <s v="ΔΙΕΥΘΥΝΣΗ Δ.Ε. ΠΕΙΡΑΙΑ"/>
    <s v="ΠΕΡΙΦΕΡΕΙΑΚΗ Δ/ΝΣΗ Α/ΘΜΙΑΣ ΚΑΙ Β/ΘΜΙΑΣ ΕΚΠ/ΣΗΣ ΑΤΤΙΚΗΣ"/>
    <n v="14"/>
    <d v="2017-11-20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9-10-11T00:00:00"/>
    <x v="0"/>
    <s v="ΔΙΕΥΘΥΝΣΗ Δ.Ε. ΠΕΙΡΑΙΑ"/>
    <x v="2"/>
  </r>
  <r>
    <x v="1027"/>
    <x v="0"/>
    <s v="ΠΕ86"/>
    <s v="ΠΛΗΡΟΦΟΡΙΚΗΣ"/>
    <m/>
    <m/>
    <s v="Γ΄"/>
    <n v="1"/>
    <n v="21563"/>
    <d v="2018-09-01T00:00:00"/>
    <s v="Δ΄ ΑΘΗΝΑΣ (Δ.Ε.) 2018"/>
    <s v="ΔΙΕΥΘΥΝΣΗ Δ.Ε. Δ΄ ΑΘΗΝΑΣ"/>
    <s v="ΠΕΡΙΦΕΡΕΙΑΚΗ Δ/ΝΣΗ Α/ΘΜΙΑΣ ΚΑΙ Β/ΘΜΙΑΣ ΕΚΠ/ΣΗΣ ΑΤΤΙΚΗΣ"/>
    <n v="14"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9-09-23T00:00:00"/>
    <x v="0"/>
    <s v="ΔΙΕΥΘΥΝΣΗ Δ.Ε. Δ΄ ΑΘΗΝΑΣ"/>
    <x v="2"/>
  </r>
  <r>
    <x v="1028"/>
    <x v="1"/>
    <s v="ΠΕ06"/>
    <s v="ΑΓΓΛΙΚΗΣ ΦΙΛΟΛΟΓΙΑΣ"/>
    <m/>
    <m/>
    <s v="Γ΄"/>
    <n v="1"/>
    <s v="Φ17/11143/5-10-2015"/>
    <d v="2018-09-01T00:00:00"/>
    <s v="Α΄ ΕΥΒΟΙΑΣ (Π.Ε.) 2018"/>
    <s v="ΔΙΕΥΘΥΝΣΗ Π.Ε. ΕΥΒΟΙΑΣ"/>
    <s v="ΠΕΡΙΦΕΡΕΙΑΚΗ Δ/ΝΣΗ Α/ΘΜΙΑΣ ΚΑΙ Β/ΘΜΙΑΣ ΕΚΠ/ΣΗΣ ΣΤΕΡΕΑΣ ΕΛΛΑΔΑΣ"/>
    <n v="14"/>
    <d v="2018-09-01T00:00:00"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9-05-23T00:00:00"/>
    <x v="1"/>
    <s v="ΔΙΕΥΘΥΝΣΗ Π.Ε. ΕΥΒΟΙΑΣ"/>
    <x v="2"/>
  </r>
  <r>
    <x v="1029"/>
    <x v="1"/>
    <s v="ΠΕ06"/>
    <s v="ΑΓΓΛΙΚΗΣ ΦΙΛΟΛΟΓΙΑΣ"/>
    <m/>
    <m/>
    <s v="Γ΄"/>
    <n v="1"/>
    <n v="4138"/>
    <d v="2018-09-01T00:00:00"/>
    <s v="Α΄ ΠΕΙΡΑΙΑ (Π.Ε.) 2018"/>
    <s v="ΔΙΕΥΘΥΝΣΗ Π.Ε. ΠΕΙΡΑΙΑ"/>
    <s v="ΠΕΡΙΦΕΡΕΙΑΚΗ Δ/ΝΣΗ Α/ΘΜΙΑΣ ΚΑΙ Β/ΘΜΙΑΣ ΕΚΠ/ΣΗΣ ΑΤΤΙΚΗΣ"/>
    <n v="14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7-08-15T00:00:00"/>
    <x v="1"/>
    <s v="ΔΙΕΥΘΥΝΣΗ Π.Ε. ΠΕΙΡΑΙΑ"/>
    <x v="2"/>
  </r>
  <r>
    <x v="1030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4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3-30T00:00:00"/>
    <x v="0"/>
    <s v="ΔΙΕΥΘΥΝΣΗ Δ.Ε. Β΄ ΑΘΗΝΑΣ"/>
    <x v="2"/>
  </r>
  <r>
    <x v="1031"/>
    <x v="1"/>
    <s v="ΠΕ06"/>
    <s v="ΑΓΓΛΙΚΗΣ ΦΙΛΟΛΟΓΙΑΣ"/>
    <m/>
    <m/>
    <s v="Γ΄"/>
    <n v="1"/>
    <s v="11818/24-12-2012"/>
    <d v="2018-09-01T00:00:00"/>
    <s v="ΙΩΑΝΝΙΝΩΝ (Π.Ε.) 2018"/>
    <s v="ΔΙΕΥΘΥΝΣΗ Π.Ε. ΙΩΑΝΝΙΝΩΝ"/>
    <s v="ΠΕΡΙΦΕΡΕΙΑΚΗ Δ/ΝΣΗ Α/ΘΜΙΑΣ ΚΑΙ Β/ΘΜΙΑΣ ΕΚΠ/ΣΗΣ ΗΠΕΙΡΟΥ"/>
    <n v="14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6-05-28T00:00:00"/>
    <x v="1"/>
    <s v="ΔΙΕΥΘΥΝΣΗ Π.Ε. ΙΩΑΝΝΙΝΩΝ"/>
    <x v="2"/>
  </r>
  <r>
    <x v="1032"/>
    <x v="1"/>
    <s v="ΠΕ11"/>
    <s v="ΦΥΣΙΚΗΣ ΑΓΩΓΗΣ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1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6-03-10T00:00:00"/>
    <x v="1"/>
    <s v="ΔΙΕΥΘΥΝΣΗ Π.Ε. ΙΩΑΝΝΙΝΩΝ"/>
    <x v="2"/>
  </r>
  <r>
    <x v="1033"/>
    <x v="1"/>
    <s v="ΠΕ80"/>
    <s v="ΟΙΚΟΝΟΜ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3-12T00:00:00"/>
    <x v="0"/>
    <s v="ΔΙΕΥΘΥΝΣΗ Δ.Ε. ΑΝΑΤΟΛΙΚΗΣ ΑΤΤΙΚΗΣ"/>
    <x v="2"/>
  </r>
  <r>
    <x v="1034"/>
    <x v="1"/>
    <s v="ΠΕ02"/>
    <s v="ΦΙΛΟΛΟΓΟΙ"/>
    <m/>
    <m/>
    <s v="Α΄"/>
    <n v="5"/>
    <m/>
    <m/>
    <s v="Α΄ ΑΘΗΝΑΣ (Δ.Ε.) 2018"/>
    <s v="ΔΙΕΥΘΥΝΣΗ Δ.Ε. Α΄ ΑΘΗΝΑΣ"/>
    <s v="ΠΕΡΙΦΕΡΕΙΑΚΗ Δ/ΝΣΗ Α/ΘΜΙΑΣ ΚΑΙ Β/ΘΜΙΑΣ ΕΚΠ/ΣΗΣ ΑΤΤΙΚΗΣ"/>
    <n v="14"/>
    <d v="2006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3-11-23T00:00:00"/>
    <x v="0"/>
    <s v="ΔΙΕΥΘΥΝΣΗ Δ.Ε. Α΄ ΑΘΗΝΑΣ"/>
    <x v="2"/>
  </r>
  <r>
    <x v="1035"/>
    <x v="1"/>
    <s v="ΠΕ07"/>
    <s v="ΓΕΡΜΑΝ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4"/>
    <m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6-16T00:00:00"/>
    <x v="1"/>
    <s v="ΔΙΕΥΘΥΝΣΗ Π.Ε. Δ΄ ΑΘΗΝΑΣ"/>
    <x v="2"/>
  </r>
  <r>
    <x v="1036"/>
    <x v="1"/>
    <s v="ΠΕ07"/>
    <s v="ΓΕΡΜΑΝΙΚΗΣ ΦΙΛΟΛΟΓΙΑΣ"/>
    <m/>
    <m/>
    <s v="Β΄"/>
    <n v="5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m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5-21T00:00:00"/>
    <x v="1"/>
    <s v="ΔΙΕΥΘΥΝΣΗ Π.Ε. ΑΝΑΤΟΛΙΚΗΣ ΑΤΤΙΚΗΣ"/>
    <x v="2"/>
  </r>
  <r>
    <x v="1037"/>
    <x v="0"/>
    <s v="ΠΕ04.04"/>
    <s v="ΒΙΟΛΟΓΟΙ"/>
    <m/>
    <m/>
    <s v="Γ΄"/>
    <n v="1"/>
    <s v="17838/18-10-2018"/>
    <d v="2018-09-01T00:00:00"/>
    <s v="Α΄ ΑΝΑΤ. ΑΤΤΙΚΗΣ (Δ.Ε.) 2018"/>
    <s v="ΔΙΕΥΘΥΝΣΗ Δ.Ε. ΑΝΑΤΟΛΙΚΗΣ ΑΤΤΙΚΗΣ"/>
    <s v="ΠΕΡΙΦΕΡΕΙΑΚΗ Δ/ΝΣΗ Α/ΘΜΙΑΣ ΚΑΙ Β/ΘΜΙΑΣ ΕΚΠ/ΣΗΣ ΑΤΤΙΚΗΣ"/>
    <n v="14"/>
    <d v="2018-09-01T00:00:00"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2"/>
    <s v="Τοποθέτηση σε Ιδιωτική Εκπαίδευση"/>
    <d v="1983-04-30T00:00:00"/>
    <x v="0"/>
    <s v="ΔΙΕΥΘΥΝΣΗ Δ.Ε. ΑΝΑΤΟΛΙΚΗΣ ΑΤΤΙΚΗΣ"/>
    <x v="2"/>
  </r>
  <r>
    <x v="1038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1-10-13T00:00:00"/>
    <x v="0"/>
    <s v="ΔΙΕΥΘΥΝΣΗ Δ.Ε. ΠΕΙΡΑΙΑ"/>
    <x v="2"/>
  </r>
  <r>
    <x v="1039"/>
    <x v="0"/>
    <s v="ΠΕ11"/>
    <s v="ΦΥΣΙΚΗΣ ΑΓΩΓΗΣ"/>
    <m/>
    <m/>
    <s v="Γ΄"/>
    <n v="1"/>
    <s v="ΑΠ1893229"/>
    <d v="2018-09-11T00:00:00"/>
    <s v="Α΄ ΜΑΓΝΗΣΙΑΣ (Δ.Ε.) 2018"/>
    <s v="ΔΙΕΥΘΥΝΣΗ Δ.Ε. ΜΑΓΝΗΣΙΑΣ"/>
    <s v="ΠΕΡΙΦΕΡΕΙΑΚΗ Δ/ΝΣΗ Α/ΘΜΙΑΣ ΚΑΙ Β/ΘΜΙΑΣ ΕΚΠ/ΣΗΣ ΘΕΣΣΑΛΙΑΣ"/>
    <n v="14"/>
    <d v="2018-09-11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1-08-06T00:00:00"/>
    <x v="0"/>
    <s v="ΔΙΕΥΘΥΝΣΗ Δ.Ε. ΜΑΓΝΗΣΙΑΣ"/>
    <x v="2"/>
  </r>
  <r>
    <x v="1040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5-07T00:00:00"/>
    <x v="0"/>
    <s v="ΔΙΕΥΘΥΝΣΗ Δ.Ε. Β΄ ΑΘΗΝΑΣ"/>
    <x v="2"/>
  </r>
  <r>
    <x v="1041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4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12-17T00:00:00"/>
    <x v="1"/>
    <s v="ΔΙΕΥΘΥΝΣΗ Π.Ε. Β΄ ΑΘΗΝΑΣ"/>
    <x v="2"/>
  </r>
  <r>
    <x v="1042"/>
    <x v="1"/>
    <s v="ΠΕ06"/>
    <s v="ΑΓΓΛΙΚΗΣ ΦΙΛΟΛΟΓΙΑΣ"/>
    <m/>
    <m/>
    <s v="Β΄"/>
    <n v="5"/>
    <s v="9691/29-10-2015"/>
    <d v="2018-09-01T00:00:00"/>
    <s v="ΑΧΑΪΑΣ (Π.Ε.) 2018"/>
    <s v="ΔΙΕΥΘΥΝΣΗ Π.Ε. ΑΧΑΪΑΣ"/>
    <s v="ΠΕΡΙΦΕΡΕΙΑΚΗ Δ/ΝΣΗ Α/ΘΜΙΑΣ ΚΑΙ Β/ΘΜΙΑΣ ΕΚΠ/ΣΗΣ ΔΥΤΙΚΗΣ ΕΛΛΑΔΑΣ"/>
    <n v="14"/>
    <d v="2018-09-01T00:00:00"/>
    <s v="Ιδιωτικά Σχολεία"/>
    <x v="4"/>
    <s v="7061004"/>
    <s v="ΙΔΙΩΤΙΚΟ ΔΗΜΟΤΙΚΟ ΠΑΤΡΑΣ ΕΚΠΑΙΔΕΥΤΗΡΙΑ ΑΝΑΓΕΝΝΗΣΗ ΙΚΕ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80-08-21T00:00:00"/>
    <x v="1"/>
    <s v="ΔΙΕΥΘΥΝΣΗ Π.Ε. ΑΧΑΪΑΣ"/>
    <x v="2"/>
  </r>
  <r>
    <x v="1043"/>
    <x v="1"/>
    <s v="ΠΕ05"/>
    <s v="ΓΑΛΛΙΚΗΣ ΦΙΛΟΛΟΓΙΑΣ"/>
    <m/>
    <m/>
    <s v="Γ΄"/>
    <n v="1"/>
    <n v="20192"/>
    <d v="2018-09-01T00:00:00"/>
    <s v="Α΄ ΠΕΙΡΑΙΑ (Δ.Ε.) 2018"/>
    <s v="ΔΙΕΥΘΥΝΣΗ Δ.Ε. ΠΕΙΡΑΙΑ"/>
    <s v="ΠΕΡΙΦΕΡΕΙΑΚΗ Δ/ΝΣΗ Α/ΘΜΙΑΣ ΚΑΙ Β/ΘΜΙΑΣ ΕΚΠ/ΣΗΣ ΑΤΤΙΚΗΣ"/>
    <n v="14"/>
    <d v="2018-09-01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80-04-22T00:00:00"/>
    <x v="0"/>
    <s v="ΔΙΕΥΘΥΝΣΗ Δ.Ε. ΠΕΙΡΑΙΑ"/>
    <x v="2"/>
  </r>
  <r>
    <x v="1044"/>
    <x v="0"/>
    <s v="ΠΕ40"/>
    <s v="ΙΣΠ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11-27T00:00:00"/>
    <x v="0"/>
    <s v="ΔΙΕΥΘΥΝΣΗ Δ.Ε. Β΄ ΑΘΗΝΑΣ"/>
    <x v="2"/>
  </r>
  <r>
    <x v="1045"/>
    <x v="1"/>
    <s v="ΠΕ06"/>
    <s v="ΑΓΓΛΙΚΗΣ ΦΙΛΟΛΟΓΙΑΣ"/>
    <m/>
    <m/>
    <s v="Γ΄"/>
    <n v="1"/>
    <s v="Φ.17/4261"/>
    <d v="2018-09-01T00:00:00"/>
    <s v="ΚΟΡΙΝΘΙΑΣ (Π.Ε.) 2018"/>
    <s v="ΔΙΕΥΘΥΝΣΗ Π.Ε. ΚΟΡΙΝΘΙΑΣ"/>
    <s v="ΠΕΡΙΦΕΡΕΙΑΚΗ Δ/ΝΣΗ Α/ΘΜΙΑΣ ΚΑΙ Β/ΘΜΙΑΣ ΕΚΠ/ΣΗΣ ΠΕΛΟΠΟΝΝΗΣΟΥ"/>
    <n v="14"/>
    <d v="2018-09-0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78-08-09T00:00:00"/>
    <x v="1"/>
    <s v="ΔΙΕΥΘΥΝΣΗ Π.Ε. ΚΟΡΙΝΘΙΑΣ"/>
    <x v="2"/>
  </r>
  <r>
    <x v="1046"/>
    <x v="1"/>
    <s v="ΠΕ05"/>
    <s v="ΓΑΛΛΙΚΗΣ ΦΙΛΟΛΟΓΙΑΣ"/>
    <m/>
    <m/>
    <s v="Β΄"/>
    <n v="2"/>
    <m/>
    <m/>
    <s v="Δ΄ ΑΘΗΝΑΣ (Π.Ε.) 2018"/>
    <s v="ΔΙΕΥΘΥΝΣΗ Π.Ε. Δ΄ ΑΘΗΝΑΣ"/>
    <s v="ΠΕΡΙΦΕΡΕΙΑΚΗ Δ/ΝΣΗ Α/ΘΜΙΑΣ ΚΑΙ Β/ΘΜΙΑΣ ΕΚΠ/ΣΗΣ ΑΤΤΙΚΗΣ"/>
    <n v="14"/>
    <m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11-04T00:00:00"/>
    <x v="1"/>
    <s v="ΔΙΕΥΘΥΝΣΗ Π.Ε. Δ΄ ΑΘΗΝΑΣ"/>
    <x v="2"/>
  </r>
  <r>
    <x v="1047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9-14T00:00:00"/>
    <x v="0"/>
    <s v="ΔΙΕΥΘΥΝΣΗ Δ.Ε. ΑΝΑΤΟΛΙΚΗΣ ΑΤΤΙΚΗΣ"/>
    <x v="2"/>
  </r>
  <r>
    <x v="1048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8-10T00:00:00"/>
    <x v="0"/>
    <s v="ΔΙΕΥΘΥΝΣΗ Δ.Ε. ΑΝΑΤ. ΘΕΣ/ΝΙΚΗΣ"/>
    <x v="2"/>
  </r>
  <r>
    <x v="1049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7-02-19T00:00:00"/>
    <x v="0"/>
    <s v="ΔΙΕΥΘΥΝΣΗ Δ.Ε. ΑΝΑΤ. ΘΕΣ/ΝΙΚΗΣ"/>
    <x v="2"/>
  </r>
  <r>
    <x v="1050"/>
    <x v="1"/>
    <s v="ΠΕ05"/>
    <s v="ΓΑΛΛΙΚΗΣ ΦΙΛΟΛΟΓΙΑΣ"/>
    <m/>
    <m/>
    <s v="Γ΄"/>
    <n v="1"/>
    <s v="4284/18-11-2011"/>
    <d v="2018-09-01T00:00:00"/>
    <s v="ΙΩΑΝΝΙΝΩΝ (Π.Ε.) 2018"/>
    <s v="ΔΙΕΥΘΥΝΣΗ Π.Ε. ΙΩΑΝΝΙΝΩΝ"/>
    <s v="ΠΕΡΙΦΕΡΕΙΑΚΗ Δ/ΝΣΗ Α/ΘΜΙΑΣ ΚΑΙ Β/ΘΜΙΑΣ ΕΚΠ/ΣΗΣ ΗΠΕΙΡΟΥ"/>
    <n v="1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6-10-27T00:00:00"/>
    <x v="1"/>
    <s v="ΔΙΕΥΘΥΝΣΗ Π.Ε. ΙΩΑΝΝΙΝΩΝ"/>
    <x v="2"/>
  </r>
  <r>
    <x v="1051"/>
    <x v="0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07-30T00:00:00"/>
    <x v="0"/>
    <s v="ΔΙΕΥΘΥΝΣΗ Δ.Ε. ΠΕΙΡΑΙΑ"/>
    <x v="2"/>
  </r>
  <r>
    <x v="1052"/>
    <x v="0"/>
    <s v="ΠΕ02"/>
    <s v="ΦΙΛΟΛΟΓΟΙ"/>
    <m/>
    <m/>
    <s v="Γ΄"/>
    <n v="1"/>
    <s v="13128/Φ17.2"/>
    <d v="2018-10-03T00:00:00"/>
    <s v="ΞΑΝΘΗΣ (Δ.Ε.) 2018"/>
    <s v="ΔΙΕΥΘΥΝΣΗ Δ.Ε. ΞΑΝΘΗΣ"/>
    <s v="ΠΕΡΙΦΕΡΕΙΑΚΗ Δ/ΝΣΗ Α/ΘΜΙΑΣ ΚΑΙ Β/ΘΜΙΑΣ ΕΚΠ/ΣΗΣ ΑΝ. ΜΑΚΕΔΟΝΙΑΣ ΚΑΙ ΘΡΑΚΗΣ"/>
    <n v="14"/>
    <d v="2018-10-03T00:00:00"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2"/>
    <s v="Τοποθέτηση σε Ιδιωτική Εκπαίδευση"/>
    <d v="1976-03-20T00:00:00"/>
    <x v="0"/>
    <s v="ΔΙΕΥΘΥΝΣΗ Δ.Ε. ΞΑΝΘΗΣ"/>
    <x v="2"/>
  </r>
  <r>
    <x v="1053"/>
    <x v="1"/>
    <s v="ΠΕ06"/>
    <s v="ΑΓΓΛΙΚΗΣ ΦΙΛΟΛΟΓΙΑΣ"/>
    <m/>
    <m/>
    <s v="Γ΄"/>
    <n v="1"/>
    <n v="13021"/>
    <d v="2018-09-01T00:00:00"/>
    <s v="Δ΄ ΑΘΗΝΑΣ (Π.Ε.) 2018"/>
    <s v="ΔΙΕΥΘΥΝΣΗ Π.Ε. Δ΄ ΑΘΗΝΑΣ"/>
    <s v="ΠΕΡΙΦΕΡΕΙΑΚΗ Δ/ΝΣΗ Α/ΘΜΙΑΣ ΚΑΙ Β/ΘΜΙΑΣ ΕΚΠ/ΣΗΣ ΑΤΤΙΚΗΣ"/>
    <n v="14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5-10-18T00:00:00"/>
    <x v="1"/>
    <s v="ΔΙΕΥΘΥΝΣΗ Π.Ε. Δ΄ ΑΘΗΝΑΣ"/>
    <x v="2"/>
  </r>
  <r>
    <x v="1054"/>
    <x v="1"/>
    <s v="ΠΕ06"/>
    <s v="ΑΓΓΛΙΚΗΣ ΦΙΛΟΛΟΓΙΑΣ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14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75-07-14T00:00:00"/>
    <x v="1"/>
    <s v="ΔΙΕΥΘΥΝΣΗ Π.Ε. ΚΟΡΙΝΘΙΑΣ"/>
    <x v="2"/>
  </r>
  <r>
    <x v="1055"/>
    <x v="1"/>
    <s v="ΠΕ02"/>
    <s v="ΦΙΛΟΛΟΓΟΙ"/>
    <m/>
    <m/>
    <s v="Γ΄"/>
    <n v="1"/>
    <n v="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4"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4-06-04T00:00:00"/>
    <x v="0"/>
    <s v="ΔΙΕΥΘΥΝΣΗ Δ.Ε. ΣΕΡΡΩΝ"/>
    <x v="2"/>
  </r>
  <r>
    <x v="1056"/>
    <x v="0"/>
    <s v="ΤΕ16"/>
    <s v="ΜΟΥΣΙΚΗΣ ΜΗ ΑΝΩΤΑΤΩΝ ΙΔΡΥΜΑΤΩΝ"/>
    <m/>
    <m/>
    <s v="Α΄"/>
    <n v="1"/>
    <s v="Φ.Ι.Α.3/35528/15-12-2014"/>
    <d v="2014-09-02T00:00:00"/>
    <s v="Α΄ ΑΝΑΤ. ΑΤΤΙΚΗΣ (Π.Ε.) 2018"/>
    <s v="ΔΙΕΥΘΥΝΣΗ Π.Ε. ΑΝΑΤΟΛΙΚΗΣ ΑΤΤΙΚΗΣ"/>
    <s v="ΠΕΡΙΦΕΡΕΙΑΚΗ Δ/ΝΣΗ Α/ΘΜΙΑΣ ΚΑΙ Β/ΘΜΙΑΣ ΕΚΠ/ΣΗΣ ΑΤΤΙΚΗΣ"/>
    <n v="14"/>
    <d v="2014-09-02T00:00:00"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03-29T00:00:00"/>
    <x v="1"/>
    <s v="ΔΙΕΥΘΥΝΣΗ Π.Ε. ΑΝΑΤΟΛΙΚΗΣ ΑΤΤΙΚΗΣ"/>
    <x v="2"/>
  </r>
  <r>
    <x v="1057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3-06T00:00:00"/>
    <x v="0"/>
    <s v="ΔΙΕΥΘΥΝΣΗ Δ.Ε. ΠΕΙΡΑΙΑ"/>
    <x v="2"/>
  </r>
  <r>
    <x v="1058"/>
    <x v="1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1-23T00:00:00"/>
    <x v="0"/>
    <s v="ΔΙΕΥΘΥΝΣΗ Δ.Ε. Β΄ ΑΘΗΝΑΣ"/>
    <x v="2"/>
  </r>
  <r>
    <x v="1059"/>
    <x v="1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9-21T00:00:00"/>
    <x v="0"/>
    <s v="ΔΙΕΥΘΥΝΣΗ Δ.Ε. Γ΄ ΑΘΗΝΑΣ"/>
    <x v="2"/>
  </r>
  <r>
    <x v="1060"/>
    <x v="1"/>
    <s v="ΠΕ02"/>
    <s v="ΦΙΛΟΛΟΓΟΙ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4"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2-08-02T00:00:00"/>
    <x v="0"/>
    <s v="ΔΙΕΥΘΥΝΣΗ Δ.Ε. ΣΕΡΡΩΝ"/>
    <x v="2"/>
  </r>
  <r>
    <x v="1061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5-27T00:00:00"/>
    <x v="0"/>
    <s v="ΔΙΕΥΘΥΝΣΗ Δ.Ε. Β΄ ΑΘΗΝΑΣ"/>
    <x v="2"/>
  </r>
  <r>
    <x v="1062"/>
    <x v="1"/>
    <s v="ΠΕ02"/>
    <s v="ΦΙΛΟΛΟΓ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4"/>
    <d v="2004-08-31T00:00:00"/>
    <s v="Ιδιωτικά Σχολεία"/>
    <x v="2"/>
    <s v="4475075"/>
    <s v="ΙΔΙΩΤΙΚΟ ΓΥΜΝΑΣ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1-08-18T00:00:00"/>
    <x v="0"/>
    <s v="ΔΙΕΥΘΥΝΣΗ Δ.Ε. ΣΕΡΡΩΝ"/>
    <x v="2"/>
  </r>
  <r>
    <x v="1063"/>
    <x v="1"/>
    <s v="ΠΕ04.01"/>
    <s v="ΦΥΣΙΚΟΙ"/>
    <m/>
    <m/>
    <s v="Γ΄"/>
    <n v="1"/>
    <n v="20135"/>
    <d v="2017-10-12T00:00:00"/>
    <s v="Α΄ ΠΕΙΡΑΙΑ (Δ.Ε.) 2018"/>
    <s v="ΔΙΕΥΘΥΝΣΗ Δ.Ε. ΠΕΙΡΑΙΑ"/>
    <s v="ΠΕΡΙΦΕΡΕΙΑΚΗ Δ/ΝΣΗ Α/ΘΜΙΑΣ ΚΑΙ Β/ΘΜΙΑΣ ΕΚΠ/ΣΗΣ ΑΤΤΙΚΗΣ"/>
    <n v="14"/>
    <d v="2017-10-12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1-01-01T00:00:00"/>
    <x v="0"/>
    <s v="ΔΙΕΥΘΥΝΣΗ Δ.Ε. ΠΕΙΡΑΙΑ"/>
    <x v="2"/>
  </r>
  <r>
    <x v="1064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0-12-25T00:00:00"/>
    <x v="0"/>
    <s v="ΔΙΕΥΘΥΝΣΗ Δ.Ε. Γ΄ ΑΘΗΝΑΣ"/>
    <x v="2"/>
  </r>
  <r>
    <x v="1065"/>
    <x v="1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0-20T00:00:00"/>
    <x v="0"/>
    <s v="ΔΙΕΥΘΥΝΣΗ Δ.Ε. Β΄ ΑΘΗΝΑΣ"/>
    <x v="2"/>
  </r>
  <r>
    <x v="106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6-05T00:00:00"/>
    <x v="0"/>
    <s v="ΔΙΕΥΘΥΝΣΗ Δ.Ε. Β΄ ΑΘΗΝΑΣ"/>
    <x v="2"/>
  </r>
  <r>
    <x v="1067"/>
    <x v="1"/>
    <s v="ΠΕ02"/>
    <s v="ΦΙΛΟΛΟΓ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4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0-04-06T00:00:00"/>
    <x v="0"/>
    <s v="ΔΙΕΥΘΥΝΣΗ Δ.Ε. ΣΕΡΡΩΝ"/>
    <x v="2"/>
  </r>
  <r>
    <x v="1068"/>
    <x v="0"/>
    <s v="ΠΕ04.02"/>
    <s v="ΧΗΜ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4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0-01-01T00:00:00"/>
    <x v="0"/>
    <s v="ΔΙΕΥΘΥΝΣΗ Δ.Ε. Γ΄ ΑΘΗΝΑΣ"/>
    <x v="2"/>
  </r>
  <r>
    <x v="1069"/>
    <x v="1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10-12T00:00:00"/>
    <x v="0"/>
    <s v="ΔΙΕΥΘΥΝΣΗ Δ.Ε. ΑΝΑΤ. ΘΕΣ/ΝΙΚΗΣ"/>
    <x v="2"/>
  </r>
  <r>
    <x v="1070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10-11T00:00:00"/>
    <x v="0"/>
    <s v="ΔΙΕΥΘΥΝΣΗ Δ.Ε. ΑΝΑΤΟΛΙΚΗΣ ΑΤΤΙΚΗΣ"/>
    <x v="2"/>
  </r>
  <r>
    <x v="1071"/>
    <x v="0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4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8-07T00:00:00"/>
    <x v="0"/>
    <s v="ΔΙΕΥΘΥΝΣΗ Δ.Ε. ΠΕΙΡΑΙΑ"/>
    <x v="2"/>
  </r>
  <r>
    <x v="1072"/>
    <x v="1"/>
    <s v="ΠΕ05"/>
    <s v="ΓΑΛ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m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1-01T00:00:00"/>
    <x v="1"/>
    <s v="ΔΙΕΥΘΥΝΣΗ Π.Ε. ΑΝΑΤΟΛΙΚΗΣ ΑΤΤΙΚΗΣ"/>
    <x v="2"/>
  </r>
  <r>
    <x v="1073"/>
    <x v="1"/>
    <s v="ΠΕ80"/>
    <s v="ΟΙΚΟΝΟΜΙΑΣ"/>
    <m/>
    <m/>
    <s v="Α΄"/>
    <n v="1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12-24T00:00:00"/>
    <x v="0"/>
    <s v="ΔΙΕΥΘΥΝΣΗ Δ.Ε. ΑΝΑΤ. ΘΕΣ/ΝΙΚΗΣ"/>
    <x v="2"/>
  </r>
  <r>
    <x v="1074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4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2-08T00:00:00"/>
    <x v="0"/>
    <s v="ΔΙΕΥΘΥΝΣΗ Δ.Ε. Δ΄ ΑΘΗΝΑΣ"/>
    <x v="2"/>
  </r>
  <r>
    <x v="1075"/>
    <x v="1"/>
    <s v="ΠΕ02"/>
    <s v="ΦΙΛΟΛΟΓ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4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8-09-22T00:00:00"/>
    <x v="0"/>
    <s v="ΔΙΕΥΘΥΝΣΗ Δ.Ε. ΣΕΡΡΩΝ"/>
    <x v="2"/>
  </r>
  <r>
    <x v="1076"/>
    <x v="1"/>
    <s v="ΠΕ04.01"/>
    <s v="ΦΥΣΙΚΟΙ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4"/>
    <d v="2010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09-03T00:00:00"/>
    <x v="0"/>
    <s v="ΔΙΕΥΘΥΝΣΗ Δ.Ε. Α΄ ΑΘΗΝΑΣ"/>
    <x v="2"/>
  </r>
  <r>
    <x v="1077"/>
    <x v="0"/>
    <s v="ΠΕ04.01"/>
    <s v="ΦΥΣΙΚΟΙ"/>
    <m/>
    <m/>
    <s v="Γ΄"/>
    <n v="1"/>
    <s v="1214/01-09-2017"/>
    <d v="2017-09-01T00:00:00"/>
    <s v="ΛΑΡΙΣΑΣ (Δ.Ε.) 2018"/>
    <s v="ΔΙΕΥΘΥΝΣΗ Δ.Ε. ΛΑΡΙΣΑΣ"/>
    <s v="ΠΕΡΙΦΕΡΕΙΑΚΗ Δ/ΝΣΗ Α/ΘΜΙΑΣ ΚΑΙ Β/ΘΜΙΑΣ ΕΚΠ/ΣΗΣ ΘΕΣΣΑΛΙΑΣ"/>
    <n v="14"/>
    <d v="2017-09-01T00:00:00"/>
    <s v="Ιδιωτικά Σχολεία"/>
    <x v="2"/>
    <s v="3160003"/>
    <s v="INTERNATIONAL COMMUNITY SCHOOL OF LARISSA (ΓΥΜΝΑΣΙΟ)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68-08-30T00:00:00"/>
    <x v="0"/>
    <s v="ΔΙΕΥΘΥΝΣΗ Δ.Ε. ΛΑΡΙΣΑΣ"/>
    <x v="2"/>
  </r>
  <r>
    <x v="1078"/>
    <x v="1"/>
    <s v="ΠΕ11"/>
    <s v="ΦΥΣΙΚΗΣ ΑΓΩΓ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4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06-21T00:00:00"/>
    <x v="0"/>
    <s v="ΔΙΕΥΘΥΝΣΗ Δ.Ε. Α΄ ΑΘΗΝΑΣ"/>
    <x v="2"/>
  </r>
  <r>
    <x v="1079"/>
    <x v="0"/>
    <s v="ΠΕ01"/>
    <s v="ΘΕΟΛΟΓΟΙ"/>
    <m/>
    <m/>
    <s v="Α΄"/>
    <n v="14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4-23T00:00:00"/>
    <x v="0"/>
    <s v="ΔΙΕΥΘΥΝΣΗ Δ.Ε. ΑΝΑΤΟΛΙΚΗΣ ΑΤΤΙΚΗΣ"/>
    <x v="2"/>
  </r>
  <r>
    <x v="1080"/>
    <x v="0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31T00:00:00"/>
    <x v="0"/>
    <s v="ΔΙΕΥΘΥΝΣΗ Δ.Ε. Β΄ ΑΘΗΝΑΣ"/>
    <x v="2"/>
  </r>
  <r>
    <x v="1081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1-13T00:00:00"/>
    <x v="0"/>
    <s v="ΔΙΕΥΘΥΝΣΗ Δ.Ε. ΑΝΑΤΟΛΙΚΗΣ ΑΤΤΙΚΗΣ"/>
    <x v="2"/>
  </r>
  <r>
    <x v="1082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4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11-01T00:00:00"/>
    <x v="0"/>
    <s v="ΔΙΕΥΘΥΝΣΗ Δ.Ε. Δ΄ ΑΘΗΝΑΣ"/>
    <x v="2"/>
  </r>
  <r>
    <x v="1083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4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4-19T00:00:00"/>
    <x v="0"/>
    <s v="ΔΙΕΥΘΥΝΣΗ Δ.Ε. Α΄ ΑΘΗΝΑΣ"/>
    <x v="2"/>
  </r>
  <r>
    <x v="1084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1-25T00:00:00"/>
    <x v="0"/>
    <s v="ΔΙΕΥΘΥΝΣΗ Δ.Ε. ΑΝΑΤ. ΘΕΣ/ΝΙΚΗΣ"/>
    <x v="2"/>
  </r>
  <r>
    <x v="1085"/>
    <x v="1"/>
    <s v="ΠΕ11"/>
    <s v="ΦΥΣΙΚΗΣ ΑΓΩΓΗΣ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4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6-11-12T00:00:00"/>
    <x v="0"/>
    <s v="ΔΙΕΥΘΥΝΣΗ Δ.Ε. Γ΄ ΑΘΗΝΑΣ"/>
    <x v="2"/>
  </r>
  <r>
    <x v="1086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0-25T00:00:00"/>
    <x v="0"/>
    <s v="ΔΙΕΥΘΥΝΣΗ Δ.Ε. Β΄ ΑΘΗΝΑΣ"/>
    <x v="2"/>
  </r>
  <r>
    <x v="1087"/>
    <x v="0"/>
    <s v="ΠΕ85"/>
    <s v="ΧΗΜΙΚΩΝ ΜΗΧΑΝΙΚΩΝ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4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66-04-23T00:00:00"/>
    <x v="0"/>
    <s v="ΔΙΕΥΘΥΝΣΗ Δ.Ε. ΑΡΓΟΛΙΔΑΣ"/>
    <x v="2"/>
  </r>
  <r>
    <x v="1088"/>
    <x v="1"/>
    <s v="ΠΕ11"/>
    <s v="ΦΥΣΙΚΗΣ ΑΓΩΓΗΣ"/>
    <m/>
    <m/>
    <s v="Α΄"/>
    <n v="5"/>
    <s v="Φ.15.Α.4/4125/22-10-2007"/>
    <d v="2007-09-01T00:00:00"/>
    <s v="Α΄ ΑΝΑΤ. ΑΤΤΙΚΗΣ (Π.Ε.) 2018"/>
    <s v="ΔΙΕΥΘΥΝΣΗ Π.Ε. ΑΝΑΤΟΛΙΚΗΣ ΑΤΤΙΚΗΣ"/>
    <s v="ΠΕΡΙΦΕΡΕΙΑΚΗ Δ/ΝΣΗ Α/ΘΜΙΑΣ ΚΑΙ Β/ΘΜΙΑΣ ΕΚΠ/ΣΗΣ ΑΤΤΙΚΗΣ"/>
    <n v="14"/>
    <d v="2007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5-09-08T00:00:00"/>
    <x v="1"/>
    <s v="ΔΙΕΥΘΥΝΣΗ Π.Ε. ΑΝΑΤΟΛΙΚΗΣ ΑΤΤΙΚΗΣ"/>
    <x v="2"/>
  </r>
  <r>
    <x v="1089"/>
    <x v="0"/>
    <s v="ΠΕ04.01"/>
    <s v="ΦΥΣ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4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5-06-01T00:00:00"/>
    <x v="0"/>
    <s v="ΔΙΕΥΘΥΝΣΗ Δ.Ε. ΙΩΑΝΝΙΝΩΝ"/>
    <x v="2"/>
  </r>
  <r>
    <x v="1090"/>
    <x v="1"/>
    <s v="ΠΕ86"/>
    <s v="ΠΛΗΡΟΦΟΡΙΚΗΣ"/>
    <s v="ΠΕ03"/>
    <s v="ΜΑΘΗΜΑΤΙΚΟΙ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4-09-14T00:00:00"/>
    <x v="0"/>
    <s v="ΔΙΕΥΘΥΝΣΗ Δ.Ε. ΑΝΑΤ. ΘΕΣ/ΝΙΚΗΣ"/>
    <x v="2"/>
  </r>
  <r>
    <x v="1091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0-18T00:00:00"/>
    <x v="0"/>
    <s v="ΔΙΕΥΘΥΝΣΗ Δ.Ε. Β΄ ΑΘΗΝΑΣ"/>
    <x v="2"/>
  </r>
  <r>
    <x v="1092"/>
    <x v="1"/>
    <s v="ΠΕ86"/>
    <s v="ΠΛΗΡΟΦΟΡΙΚΗΣ"/>
    <s v="ΠΕ03"/>
    <s v="ΜΑΘΗΜΑΤΙΚ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3-06-25T00:00:00"/>
    <x v="0"/>
    <s v="ΔΙΕΥΘΥΝΣΗ Δ.Ε. ΑΝΑΤΟΛΙΚΗΣ ΑΤΤΙΚΗΣ"/>
    <x v="2"/>
  </r>
  <r>
    <x v="1093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3-29T00:00:00"/>
    <x v="0"/>
    <s v="ΔΙΕΥΘΥΝΣΗ Δ.Ε. ΑΝΑΤ. ΘΕΣ/ΝΙΚΗΣ"/>
    <x v="2"/>
  </r>
  <r>
    <x v="1094"/>
    <x v="1"/>
    <s v="ΠΕ07"/>
    <s v="ΓΕΡΜΑΝ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m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3-01-24T00:00:00"/>
    <x v="1"/>
    <s v="ΔΙΕΥΘΥΝΣΗ Π.Ε. ΑΝΑΤΟΛΙΚΗΣ ΑΤΤΙΚΗΣ"/>
    <x v="2"/>
  </r>
  <r>
    <x v="1095"/>
    <x v="0"/>
    <s v="ΠΕ11"/>
    <s v="ΦΥΣΙΚΗΣ ΑΓΩΓ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4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07-09T00:00:00"/>
    <x v="0"/>
    <s v="ΔΙΕΥΘΥΝΣΗ Δ.Ε. Δ΄ ΑΘΗΝΑΣ"/>
    <x v="2"/>
  </r>
  <r>
    <x v="1096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12-17T00:00:00"/>
    <x v="0"/>
    <s v="ΔΙΕΥΘΥΝΣΗ Δ.Ε. Β΄ ΑΘΗΝΑΣ"/>
    <x v="2"/>
  </r>
  <r>
    <x v="1097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9-01T00:00:00"/>
    <x v="0"/>
    <s v="ΔΙΕΥΘΥΝΣΗ Δ.Ε. Β΄ ΑΘΗΝΑΣ"/>
    <x v="2"/>
  </r>
  <r>
    <x v="1098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1-03-11T00:00:00"/>
    <x v="1"/>
    <s v="ΔΙΕΥΘΥΝΣΗ Π.Ε. ΑΝΑΤΟΛΙΚΗΣ ΑΤΤΙΚΗΣ"/>
    <x v="2"/>
  </r>
  <r>
    <x v="1099"/>
    <x v="0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0-11-22T00:00:00"/>
    <x v="0"/>
    <s v="ΔΙΕΥΘΥΝΣΗ Δ.Ε. ΑΝΑΤ. ΘΕΣ/ΝΙΚΗΣ"/>
    <x v="2"/>
  </r>
  <r>
    <x v="1100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8-10-30T00:00:00"/>
    <x v="0"/>
    <s v="ΔΙΕΥΘΥΝΣΗ Δ.Ε. Γ΄ ΑΘΗΝΑΣ"/>
    <x v="2"/>
  </r>
  <r>
    <x v="1101"/>
    <x v="0"/>
    <s v="ΠΕ04.02"/>
    <s v="ΧΗΜΙΚΟΙ"/>
    <m/>
    <m/>
    <s v="Α΄"/>
    <n v="14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8-08-07T00:00:00"/>
    <x v="0"/>
    <s v="ΔΙΕΥΘΥΝΣΗ Δ.Ε. ΑΝΑΤΟΛΙΚΗΣ ΑΤΤΙΚΗΣ"/>
    <x v="2"/>
  </r>
  <r>
    <x v="1102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8-06-11T00:00:00"/>
    <x v="0"/>
    <s v="ΔΙΕΥΘΥΝΣΗ Δ.Ε. Β΄ ΑΘΗΝΑΣ"/>
    <x v="2"/>
  </r>
  <r>
    <x v="1103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7-09-20T00:00:00"/>
    <x v="0"/>
    <s v="ΔΙΕΥΘΥΝΣΗ Δ.Ε. ΑΝΑΤΟΛΙΚΗΣ ΑΤΤΙΚΗΣ"/>
    <x v="2"/>
  </r>
  <r>
    <x v="1104"/>
    <x v="0"/>
    <s v="ΠΕ04.01"/>
    <s v="ΦΥΣΙΚΟΙ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4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57-06-10T00:00:00"/>
    <x v="0"/>
    <s v="ΔΙΕΥΘΥΝΣΗ Δ.Ε. ΑΡΓΟΛΙΔΑΣ"/>
    <x v="2"/>
  </r>
  <r>
    <x v="1105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7-03-15T00:00:00"/>
    <x v="0"/>
    <s v="ΔΙΕΥΘΥΝΣΗ Δ.Ε. ΑΝΑΤΟΛΙΚΗΣ ΑΤΤΙΚΗΣ"/>
    <x v="2"/>
  </r>
  <r>
    <x v="1106"/>
    <x v="0"/>
    <s v="ΠΕ03"/>
    <s v="ΜΑΘΗΜΑΤΙΚΟΙ"/>
    <m/>
    <m/>
    <s v="Γ΄"/>
    <n v="1"/>
    <s v="4479/1-9-2016"/>
    <d v="2018-09-01T00:00:00"/>
    <s v="ΑΡΓΟΛΙΔΑΣ (Δ.Ε.) 2018"/>
    <s v="ΔΙΕΥΘΥΝΣΗ Δ.Ε. ΑΡΓΟΛΙΔΑΣ"/>
    <s v="ΠΕΡΙΦΕΡΕΙΑΚΗ Δ/ΝΣΗ Α/ΘΜΙΑΣ ΚΑΙ Β/ΘΜΙΑΣ ΕΚΠ/ΣΗΣ ΠΕΛΟΠΟΝΝΗΣΟΥ"/>
    <n v="14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55-04-08T00:00:00"/>
    <x v="0"/>
    <s v="ΔΙΕΥΘΥΝΣΗ Δ.Ε. ΑΡΓΟΛΙΔΑΣ"/>
    <x v="2"/>
  </r>
  <r>
    <x v="1107"/>
    <x v="1"/>
    <s v="ΠΕ02"/>
    <s v="ΦΙΛΟΛΟΓΟΙ"/>
    <m/>
    <m/>
    <s v="Γ΄"/>
    <n v="1"/>
    <n v="19617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4"/>
    <d v="2018-11-08T00:00:00"/>
    <s v="Ιδιωτικά Σχολεία"/>
    <x v="3"/>
    <s v="0561031"/>
    <s v="ST. LAWRENCE COLLEGE (ΛΥΚΕ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1108"/>
    <x v="0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1109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4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2"/>
  </r>
  <r>
    <x v="1110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4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2"/>
  </r>
  <r>
    <x v="111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4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2"/>
  </r>
  <r>
    <x v="1112"/>
    <x v="1"/>
    <s v="ΠΕ05"/>
    <s v="ΓΑΛΛΙΚΗΣ ΦΙΛΟΛΟΓΙΑΣ"/>
    <m/>
    <m/>
    <s v="Γ΄"/>
    <n v="1"/>
    <s v="21790/2/30-11-2018"/>
    <d v="2018-09-01T00:00:00"/>
    <s v="Γ΄ ΑΘΗΝΑΣ (Δ.Ε.) 2018"/>
    <s v="ΔΙΕΥΘΥΝΣΗ Δ.Ε. Γ΄ ΑΘΗΝΑΣ"/>
    <s v="ΠΕΡΙΦΕΡΕΙΑΚΗ Δ/ΝΣΗ Α/ΘΜΙΑΣ ΚΑΙ Β/ΘΜΙΑΣ ΕΚΠ/ΣΗΣ ΑΤΤΙΚΗΣ"/>
    <n v="14"/>
    <d v="2018-09-01T00:00:00"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2"/>
  </r>
  <r>
    <x v="1113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4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2"/>
  </r>
  <r>
    <x v="1114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4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2"/>
  </r>
  <r>
    <x v="1115"/>
    <x v="1"/>
    <s v="ΠΕ01"/>
    <s v="ΘΕΟΛΟΓΟΙ"/>
    <m/>
    <m/>
    <s v="Γ΄"/>
    <n v="1"/>
    <n v="19786"/>
    <d v="2018-10-05T00:00:00"/>
    <s v="Β΄ ΑΘΗΝΑΣ (Δ.Ε.) 2018"/>
    <s v="ΔΙΕΥΘΥΝΣΗ Δ.Ε. Β΄ ΑΘΗΝΑΣ"/>
    <s v="ΠΕΡΙΦΕΡΕΙΑΚΗ Δ/ΝΣΗ Α/ΘΜΙΑΣ ΚΑΙ Β/ΘΜΙΑΣ ΕΚΠ/ΣΗΣ ΑΤΤΙΚΗΣ"/>
    <n v="15"/>
    <d v="2018-10-05T00:00:00"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94-05-17T00:00:00"/>
    <x v="0"/>
    <s v="ΔΙΕΥΘΥΝΣΗ Δ.Ε. Β΄ ΑΘΗΝΑΣ"/>
    <x v="2"/>
  </r>
  <r>
    <x v="1116"/>
    <x v="1"/>
    <s v="ΠΕ70"/>
    <s v="ΔΑΣΚΑΛΟΙ"/>
    <m/>
    <m/>
    <s v="Γ΄"/>
    <n v="3"/>
    <m/>
    <m/>
    <s v="ΚΟΡΙΝΘΙΑΣ (Π.Ε.) 2018"/>
    <s v="ΔΙΕΥΘΥΝΣΗ Π.Ε. ΚΟΡΙΝΘΙΑΣ"/>
    <s v="ΠΕΡΙΦΕΡΕΙΑΚΗ Δ/ΝΣΗ Α/ΘΜΙΑΣ ΚΑΙ Β/ΘΜΙΑΣ ΕΚΠ/ΣΗΣ ΠΕΛΟΠΟΝΝΗΣΟΥ"/>
    <n v="15"/>
    <m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3-06-23T00:00:00"/>
    <x v="1"/>
    <s v="ΔΙΕΥΘΥΝΣΗ Π.Ε. ΚΟΡΙΝΘΙΑΣ"/>
    <x v="2"/>
  </r>
  <r>
    <x v="1117"/>
    <x v="1"/>
    <s v="ΠΕ03"/>
    <s v="ΜΑΘΗΜΑΤΙΚΟΙ"/>
    <m/>
    <m/>
    <s v="Γ΄"/>
    <n v="1"/>
    <s v="Φ.17.2/6354"/>
    <d v="2018-10-10T00:00:00"/>
    <s v="Α΄ ΔΩΔΕΚΑΝΗΣΟΥ (Δ.Ε.) 2018"/>
    <s v="ΔΙΕΥΘΥΝΣΗ Δ.Ε. ΔΩΔΕΚΑΝΗΣΟΥ"/>
    <s v="ΠΕΡΙΦΕΡΕΙΑΚΗ Δ/ΝΣΗ Α/ΘΜΙΑΣ ΚΑΙ Β/ΘΜΙΑΣ ΕΚΠ/ΣΗΣ ΝΟΤΙΟΥ ΑΙΓΑΙΟΥ"/>
    <n v="15"/>
    <d v="2018-10-10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2"/>
    <s v="Τοποθέτηση σε Ιδιωτική Εκπαίδευση"/>
    <d v="1993-01-30T00:00:00"/>
    <x v="0"/>
    <s v="ΔΙΕΥΘΥΝΣΗ Δ.Ε. ΔΩΔΕΚΑΝΗΣΟΥ"/>
    <x v="2"/>
  </r>
  <r>
    <x v="1118"/>
    <x v="1"/>
    <s v="ΠΕ80"/>
    <s v="ΟΙΚΟΝΟΜΙΑΣ"/>
    <m/>
    <m/>
    <s v="Γ΄"/>
    <n v="1"/>
    <n v="9186"/>
    <d v="2018-10-04T00:00:00"/>
    <s v="ΙΩΑΝΝΙΝΩΝ (Δ.Ε.) 2018"/>
    <s v="ΔΙΕΥΘΥΝΣΗ Δ.Ε. ΙΩΑΝΝΙΝΩΝ"/>
    <s v="ΠΕΡΙΦΕΡΕΙΑΚΗ Δ/ΝΣΗ Α/ΘΜΙΑΣ ΚΑΙ Β/ΘΜΙΑΣ ΕΚΠ/ΣΗΣ ΗΠΕΙΡΟΥ"/>
    <n v="15"/>
    <d v="2018-10-04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2"/>
    <s v="Τοποθέτηση σε Ιδιωτική Εκπαίδευση"/>
    <d v="1992-01-29T00:00:00"/>
    <x v="0"/>
    <s v="ΔΙΕΥΘΥΝΣΗ Δ.Ε. ΙΩΑΝΝΙΝΩΝ"/>
    <x v="2"/>
  </r>
  <r>
    <x v="1119"/>
    <x v="0"/>
    <s v="ΠΕ83"/>
    <s v="ΗΛΕΚΤΡΟΛΟΓΩΝ"/>
    <m/>
    <m/>
    <s v="Γ΄"/>
    <n v="1"/>
    <s v="16653/42"/>
    <d v="2018-09-01T00:00:00"/>
    <s v="Γ΄ ΑΘΗΝΑΣ (Δ.Ε.) 2018"/>
    <s v="ΔΙΕΥΘΥΝΣΗ Δ.Ε. Γ΄ ΑΘΗΝΑΣ"/>
    <s v="ΠΕΡΙΦΕΡΕΙΑΚΗ Δ/ΝΣΗ Α/ΘΜΙΑΣ ΚΑΙ Β/ΘΜΙΑΣ ΕΚΠ/ΣΗΣ ΑΤΤΙΚΗΣ"/>
    <n v="15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d v="1989-05-30T00:00:00"/>
    <x v="0"/>
    <s v="ΔΙΕΥΘΥΝΣΗ Δ.Ε. Γ΄ ΑΘΗΝΑΣ"/>
    <x v="2"/>
  </r>
  <r>
    <x v="1120"/>
    <x v="1"/>
    <s v="ΠΕ80"/>
    <s v="ΟΙΚΟΝΟΜΙΑΣ"/>
    <m/>
    <m/>
    <s v="Γ΄"/>
    <n v="1"/>
    <n v="8138"/>
    <d v="2018-09-07T00:00:00"/>
    <s v="ΙΩΑΝΝΙΝΩΝ (Δ.Ε.) 2018"/>
    <s v="ΔΙΕΥΘΥΝΣΗ Δ.Ε. ΙΩΑΝΝΙΝΩΝ"/>
    <s v="ΠΕΡΙΦΕΡΕΙΑΚΗ Δ/ΝΣΗ Α/ΘΜΙΑΣ ΚΑΙ Β/ΘΜΙΑΣ ΕΚΠ/ΣΗΣ ΗΠΕΙΡΟΥ"/>
    <n v="15"/>
    <d v="2018-09-07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8-05-20T00:00:00"/>
    <x v="0"/>
    <s v="ΔΙΕΥΘΥΝΣΗ Δ.Ε. ΙΩΑΝΝΙΝΩΝ"/>
    <x v="2"/>
  </r>
  <r>
    <x v="1121"/>
    <x v="1"/>
    <s v="ΠΕ86"/>
    <s v="ΠΛΗΡΟΦΟΡΙΚΗΣ"/>
    <m/>
    <m/>
    <s v="Γ΄"/>
    <n v="1"/>
    <s v="11040/23-11-2016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5"/>
    <d v="2018-09-01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88-04-26T00:00:00"/>
    <x v="0"/>
    <s v="ΔΙΕΥΘΥΝΣΗ Δ.Ε. ΞΑΝΘΗΣ"/>
    <x v="2"/>
  </r>
  <r>
    <x v="1122"/>
    <x v="0"/>
    <s v="ΠΕ02"/>
    <s v="ΦΙΛΟΛΟΓΟΙ"/>
    <m/>
    <m/>
    <s v="Γ΄"/>
    <n v="1"/>
    <s v="Φ.17.2 / 177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5"/>
    <d v="2018-09-01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7-08-18T00:00:00"/>
    <x v="0"/>
    <s v="ΔΙΕΥΘΥΝΣΗ Δ.Ε. ΔΩΔΕΚΑΝΗΣΟΥ"/>
    <x v="2"/>
  </r>
  <r>
    <x v="1123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7-02-20T00:00:00"/>
    <x v="0"/>
    <s v="ΔΙΕΥΘΥΝΣΗ Δ.Ε. Β΄ ΑΘΗΝΑΣ"/>
    <x v="2"/>
  </r>
  <r>
    <x v="1124"/>
    <x v="1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5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6-03-13T00:00:00"/>
    <x v="0"/>
    <s v="ΔΙΕΥΘΥΝΣΗ Δ.Ε. ΚΥΚΛΑΔΩΝ"/>
    <x v="2"/>
  </r>
  <r>
    <x v="1125"/>
    <x v="0"/>
    <s v="ΠΕ83"/>
    <s v="ΗΛΕΚΤΡΟΛΟΓΩΝ"/>
    <m/>
    <m/>
    <s v="Γ΄"/>
    <n v="1"/>
    <s v="6ΝΛΖ9-ΙΓ7"/>
    <d v="2018-09-01T00:00:00"/>
    <s v="Β΄ ΑΘΗΝΑΣ (Δ.Ε.) 2018"/>
    <s v="ΔΙΕΥΘΥΝΣΗ Δ.Ε. Β΄ ΑΘΗΝΑΣ"/>
    <s v="ΠΕΡΙΦΕΡΕΙΑΚΗ Δ/ΝΣΗ Α/ΘΜΙΑΣ ΚΑΙ Β/ΘΜΙΑΣ ΕΚΠ/ΣΗΣ ΑΤΤΙΚΗΣ"/>
    <n v="15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6-01-07T00:00:00"/>
    <x v="0"/>
    <s v="ΔΙΕΥΘΥΝΣΗ Δ.Ε. Β΄ ΑΘΗΝΑΣ"/>
    <x v="2"/>
  </r>
  <r>
    <x v="1126"/>
    <x v="1"/>
    <s v="ΠΕ02"/>
    <s v="ΦΙΛΟΛΟΓΟΙ"/>
    <m/>
    <m/>
    <s v="Γ΄"/>
    <n v="1"/>
    <n v="18262"/>
    <d v="2018-09-01T00:00:00"/>
    <s v="Β΄ ΑΘΗΝΑΣ (Δ.Ε.) 2018"/>
    <s v="ΔΙΕΥΘΥΝΣΗ Δ.Ε. Β΄ ΑΘΗΝΑΣ"/>
    <s v="ΠΕΡΙΦΕΡΕΙΑΚΗ Δ/ΝΣΗ Α/ΘΜΙΑΣ ΚΑΙ Β/ΘΜΙΑΣ ΕΚΠ/ΣΗΣ ΑΤΤΙΚΗΣ"/>
    <n v="15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5-10-04T00:00:00"/>
    <x v="0"/>
    <s v="ΔΙΕΥΘΥΝΣΗ Δ.Ε. Β΄ ΑΘΗΝΑΣ"/>
    <x v="2"/>
  </r>
  <r>
    <x v="1127"/>
    <x v="1"/>
    <s v="ΠΕ01"/>
    <s v="ΘΕΟΛΟΓΟΙ"/>
    <m/>
    <m/>
    <s v="Γ΄"/>
    <n v="1"/>
    <s v="8927/11-10-2017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15"/>
    <d v="2018-09-01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2"/>
    <s v="Τοποθέτηση σε Ιδιωτική Εκπαίδευση"/>
    <d v="1984-11-17T00:00:00"/>
    <x v="0"/>
    <s v="ΔΙΕΥΘΥΝΣΗ Δ.Ε. ΞΑΝΘΗΣ"/>
    <x v="2"/>
  </r>
  <r>
    <x v="1128"/>
    <x v="1"/>
    <s v="ΠΕ06"/>
    <s v="ΑΓΓΛΙΚΗΣ ΦΙΛΟΛΟΓΙΑΣ"/>
    <m/>
    <m/>
    <s v="Γ΄"/>
    <n v="4"/>
    <m/>
    <m/>
    <s v="ΚΟΡΙΝΘΙΑΣ (Π.Ε.) 2018"/>
    <s v="ΔΙΕΥΘΥΝΣΗ Π.Ε. ΚΟΡΙΝΘΙΑΣ"/>
    <s v="ΠΕΡΙΦΕΡΕΙΑΚΗ Δ/ΝΣΗ Α/ΘΜΙΑΣ ΚΑΙ Β/ΘΜΙΑΣ ΕΚΠ/ΣΗΣ ΠΕΛΟΠΟΝΝΗΣΟΥ"/>
    <n v="15"/>
    <m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4-08-09T00:00:00"/>
    <x v="1"/>
    <s v="ΔΙΕΥΘΥΝΣΗ Π.Ε. ΚΟΡΙΝΘΙΑΣ"/>
    <x v="2"/>
  </r>
  <r>
    <x v="1129"/>
    <x v="0"/>
    <s v="ΠΕ04.01"/>
    <s v="ΦΥΣΙΚΟΙ"/>
    <m/>
    <m/>
    <s v="Γ΄"/>
    <n v="1"/>
    <s v="3621/11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d v="2018-09-01T00:00:00"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84-07-24T00:00:00"/>
    <x v="0"/>
    <s v="ΔΙΕΥΘΥΝΣΗ Δ.Ε. ΑΡΓΟΛΙΔΑΣ"/>
    <x v="2"/>
  </r>
  <r>
    <x v="1130"/>
    <x v="1"/>
    <s v="ΠΕ04.01"/>
    <s v="ΦΥΣΙΚΟΙ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5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4-06-30T00:00:00"/>
    <x v="0"/>
    <s v="ΔΙΕΥΘΥΝΣΗ Δ.Ε. ΑΡΓΟΛΙΔΑΣ"/>
    <x v="2"/>
  </r>
  <r>
    <x v="1131"/>
    <x v="0"/>
    <s v="ΠΕ02"/>
    <s v="ΦΙΛΟΛΟΓΟΙ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5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4-06-22T00:00:00"/>
    <x v="0"/>
    <s v="ΔΙΕΥΘΥΝΣΗ Δ.Ε. ΑΡΓΟΛΙΔΑΣ"/>
    <x v="2"/>
  </r>
  <r>
    <x v="1132"/>
    <x v="0"/>
    <s v="ΠΕ80"/>
    <s v="ΟΙΚΟΝΟΜΙΑΣ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m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3-11-01T00:00:00"/>
    <x v="0"/>
    <s v="ΔΙΕΥΘΥΝΣΗ Δ.Ε. ΑΝΑΤΟΛΙΚΗΣ ΑΤΤΙΚΗΣ"/>
    <x v="2"/>
  </r>
  <r>
    <x v="1133"/>
    <x v="1"/>
    <s v="ΠΕ08"/>
    <s v="ΚΑΛΛΙΤΕΧΝΙΚΩΝ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5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6-20T00:00:00"/>
    <x v="1"/>
    <s v="ΔΙΕΥΘΥΝΣΗ Π.Ε. ΑΝΑΤΟΛΙΚΗΣ ΑΤΤΙΚΗΣ"/>
    <x v="2"/>
  </r>
  <r>
    <x v="1134"/>
    <x v="1"/>
    <s v="ΠΕ03"/>
    <s v="ΜΑΘΗΜΑΤ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5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2-05-22T00:00:00"/>
    <x v="0"/>
    <s v="ΔΙΕΥΘΥΝΣΗ Δ.Ε. ΔΩΔΕΚΑΝΗΣΟΥ"/>
    <x v="2"/>
  </r>
  <r>
    <x v="1135"/>
    <x v="1"/>
    <s v="ΠΕ06"/>
    <s v="ΑΓΓΛΙΚΗΣ ΦΙΛΟΛΟΓΙΑΣ"/>
    <m/>
    <m/>
    <s v="Γ΄"/>
    <n v="1"/>
    <n v="14141"/>
    <d v="2018-09-01T00:00:00"/>
    <s v="Δ΄ ΑΘΗΝΑΣ (Π.Ε.) 2018"/>
    <s v="ΔΙΕΥΘΥΝΣΗ Π.Ε. Δ΄ ΑΘΗΝΑΣ"/>
    <s v="ΠΕΡΙΦΕΡΕΙΑΚΗ Δ/ΝΣΗ Α/ΘΜΙΑΣ ΚΑΙ Β/ΘΜΙΑΣ ΕΚΠ/ΣΗΣ ΑΤΤΙΚΗΣ"/>
    <n v="15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02-07T00:00:00"/>
    <x v="1"/>
    <s v="ΔΙΕΥΘΥΝΣΗ Π.Ε. Δ΄ ΑΘΗΝΑΣ"/>
    <x v="2"/>
  </r>
  <r>
    <x v="1136"/>
    <x v="1"/>
    <s v="ΠΕ89.02"/>
    <s v="ΣΧΕΔΙΑΣΜΟΥ ΚΑΙ ΠΑΡΑΓΩΓΗΣ ΠΡΟΪΟΝΤΩΝ"/>
    <m/>
    <m/>
    <s v="Γ΄"/>
    <n v="1"/>
    <s v="ΩΗ1Δ4653ΠΣ-Μ3Ν"/>
    <d v="2017-09-01T00:00:00"/>
    <s v="Δ΄ ΑΘΗΝΑΣ (Δ.Ε.) 2018"/>
    <s v="ΔΙΕΥΘΥΝΣΗ Δ.Ε. Δ΄ ΑΘΗΝΑΣ"/>
    <s v="ΠΕΡΙΦΕΡΕΙΑΚΗ Δ/ΝΣΗ Α/ΘΜΙΑΣ ΚΑΙ Β/ΘΜΙΑΣ ΕΚΠ/ΣΗΣ ΑΤΤΙΚΗΣ"/>
    <n v="15"/>
    <d v="2017-09-01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Δ΄ ΑΘΗΝΑΣ"/>
    <x v="2"/>
  </r>
  <r>
    <x v="1137"/>
    <x v="0"/>
    <s v="ΠΕ03"/>
    <s v="ΜΑΘΗΜΑΤΙΚΟΙ"/>
    <m/>
    <m/>
    <s v="Γ΄"/>
    <n v="1"/>
    <n v="17757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15"/>
    <d v="2018-09-01T00:00:00"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81-10-24T00:00:00"/>
    <x v="0"/>
    <s v="ΔΙΕΥΘΥΝΣΗ Δ.Ε. ΔΥΤ. ΘΕΣ/ΝΙΚΗΣ"/>
    <x v="2"/>
  </r>
  <r>
    <x v="1138"/>
    <x v="0"/>
    <s v="ΠΕ86"/>
    <s v="ΠΛΗΡΟΦΟΡΙΚΗΣ"/>
    <m/>
    <m/>
    <s v="Γ΄"/>
    <n v="1"/>
    <s v="6015/2014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1-01-21T00:00:00"/>
    <x v="0"/>
    <s v="ΔΙΕΥΘΥΝΣΗ Δ.Ε. ΑΡΓΟΛΙΔΑΣ"/>
    <x v="2"/>
  </r>
  <r>
    <x v="1139"/>
    <x v="1"/>
    <s v="ΠΕ07"/>
    <s v="ΓΕΡΜΑΝΙΚΗΣ ΦΙΛΟΛΟΓΙΑΣ"/>
    <m/>
    <m/>
    <s v="Γ΄"/>
    <n v="1"/>
    <n v="19764"/>
    <d v="2018-11-29T00:00:00"/>
    <s v="Α΄ ΑΝΑΤ. ΑΤΤΙΚΗΣ (Δ.Ε.) 2018"/>
    <s v="ΔΙΕΥΘΥΝΣΗ Δ.Ε. ΑΝΑΤΟΛΙΚΗΣ ΑΤΤΙΚΗΣ"/>
    <s v="ΠΕΡΙΦΕΡΕΙΑΚΗ Δ/ΝΣΗ Α/ΘΜΙΑΣ ΚΑΙ Β/ΘΜΙΑΣ ΕΚΠ/ΣΗΣ ΑΤΤΙΚΗΣ"/>
    <n v="15"/>
    <d v="2018-11-29T00:00:00"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1-01-01T00:00:00"/>
    <x v="0"/>
    <s v="ΔΙΕΥΘΥΝΣΗ Δ.Ε. ΑΝΑΤΟΛΙΚΗΣ ΑΤΤΙΚΗΣ"/>
    <x v="2"/>
  </r>
  <r>
    <x v="1140"/>
    <x v="1"/>
    <s v="ΠΕ02"/>
    <s v="ΦΙΛΟΛΟΓΟΙ"/>
    <m/>
    <m/>
    <s v="Γ΄"/>
    <n v="1"/>
    <s v="22397/15"/>
    <d v="2018-09-01T00:00:00"/>
    <s v="Γ΄ ΑΘΗΝΑΣ (Δ.Ε.) 2018"/>
    <s v="ΔΙΕΥΘΥΝΣΗ Δ.Ε. Γ΄ ΑΘΗΝΑΣ"/>
    <s v="ΠΕΡΙΦΕΡΕΙΑΚΗ Δ/ΝΣΗ Α/ΘΜΙΑΣ ΚΑΙ Β/ΘΜΙΑΣ ΕΚΠ/ΣΗΣ ΑΤΤΙΚΗΣ"/>
    <n v="15"/>
    <d v="2018-09-01T00:00:00"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6-10T00:00:00"/>
    <x v="0"/>
    <s v="ΔΙΕΥΘΥΝΣΗ Δ.Ε. Γ΄ ΑΘΗΝΑΣ"/>
    <x v="2"/>
  </r>
  <r>
    <x v="1141"/>
    <x v="0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11-03T00:00:00"/>
    <x v="0"/>
    <s v="ΔΙΕΥΘΥΝΣΗ Δ.Ε. Β΄ ΑΘΗΝΑΣ"/>
    <x v="2"/>
  </r>
  <r>
    <x v="1142"/>
    <x v="0"/>
    <s v="ΠΕ79.01"/>
    <s v="ΜΟΥΣΙΚΗΣ ΕΠΙΣΤΗΜΗΣ"/>
    <m/>
    <m/>
    <s v="Γ΄"/>
    <n v="1"/>
    <n v="12562"/>
    <d v="2018-09-01T00:00:00"/>
    <s v="Δ΄ ΑΘΗΝΑΣ (Π.Ε.) 2018"/>
    <s v="ΔΙΕΥΘΥΝΣΗ Π.Ε. Δ΄ ΑΘΗΝΑΣ"/>
    <s v="ΠΕΡΙΦΕΡΕΙΑΚΗ Δ/ΝΣΗ Α/ΘΜΙΑΣ ΚΑΙ Β/ΘΜΙΑΣ ΕΚΠ/ΣΗΣ ΑΤΤΙΚΗΣ"/>
    <n v="15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6-15T00:00:00"/>
    <x v="1"/>
    <s v="ΔΙΕΥΘΥΝΣΗ Π.Ε. Δ΄ ΑΘΗΝΑΣ"/>
    <x v="2"/>
  </r>
  <r>
    <x v="1143"/>
    <x v="1"/>
    <s v="ΠΕ06"/>
    <s v="ΑΓΓΛΙΚΗΣ ΦΙΛΟΛΟΓΙΑΣ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15"/>
    <d v="2018-09-01T00:00:00"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5-10T00:00:00"/>
    <x v="0"/>
    <s v="ΔΙΕΥΘΥΝΣΗ Δ.Ε. Β΄ ΑΘΗΝΑΣ"/>
    <x v="2"/>
  </r>
  <r>
    <x v="1144"/>
    <x v="1"/>
    <s v="ΠΕ03"/>
    <s v="ΜΑΘΗΜΑΤΙΚΟΙ"/>
    <m/>
    <m/>
    <s v="Γ΄"/>
    <n v="1"/>
    <m/>
    <m/>
    <s v="ΑΡΓΟΛΙΔΑΣ (Δ.Ε.) 2018"/>
    <s v="ΔΙΕΥΘΥΝΣΗ Δ.Ε. ΑΡΓΟΛΙΔΑΣ"/>
    <s v="ΠΕΡΙΦΕΡΕΙΑΚΗ Δ/ΝΣΗ Α/ΘΜΙΑΣ ΚΑΙ Β/ΘΜΙΑΣ ΕΚΠ/ΣΗΣ ΠΕΛΟΠΟΝΝΗΣΟΥ"/>
    <n v="15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9-01-01T00:00:00"/>
    <x v="0"/>
    <s v="ΔΙΕΥΘΥΝΣΗ Δ.Ε. ΑΡΓΟΛΙΔΑΣ"/>
    <x v="2"/>
  </r>
  <r>
    <x v="1145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4-25T00:00:00"/>
    <x v="0"/>
    <s v="ΔΙΕΥΘΥΝΣΗ Δ.Ε. Β΄ ΑΘΗΝΑΣ"/>
    <x v="2"/>
  </r>
  <r>
    <x v="1146"/>
    <x v="1"/>
    <s v="ΠΕ11"/>
    <s v="ΦΥΣΙΚΗΣ ΑΓΩΓΗΣ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5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6-07-22T00:00:00"/>
    <x v="1"/>
    <s v="ΔΙΕΥΘΥΝΣΗ Π.Ε. ΚΥΚΛΑΔΩΝ"/>
    <x v="2"/>
  </r>
  <r>
    <x v="1147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5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6-01-01T00:00:00"/>
    <x v="0"/>
    <s v="ΔΙΕΥΘΥΝΣΗ Δ.Ε. ΑΝΑΤΟΛΙΚΗΣ ΑΤΤΙΚΗΣ"/>
    <x v="2"/>
  </r>
  <r>
    <x v="1148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5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01-01T00:00:00"/>
    <x v="0"/>
    <s v="ΔΙΕΥΘΥΝΣΗ Δ.Ε. ΠΕΙΡΑΙΑ"/>
    <x v="2"/>
  </r>
  <r>
    <x v="1149"/>
    <x v="0"/>
    <s v="ΠΕ04.01"/>
    <s v="ΦΥΣΙΚΟΙ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m/>
    <s v="Ιδιωτικά Σχολεία"/>
    <x v="2"/>
    <s v="0560026"/>
    <s v="ΙΔΙΩΤΙΚΟ ΓΥΜΝΑΣ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9-30T00:00:00"/>
    <x v="0"/>
    <s v="ΔΙΕΥΘΥΝΣΗ Δ.Ε. ΑΝΑΤΟΛΙΚΗΣ ΑΤΤΙΚΗΣ"/>
    <x v="2"/>
  </r>
  <r>
    <x v="1150"/>
    <x v="1"/>
    <s v="ΠΕ02"/>
    <s v="ΦΙΛΟΛΟΓΟΙ"/>
    <m/>
    <m/>
    <s v="Γ΄"/>
    <n v="1"/>
    <n v="4616"/>
    <d v="2018-09-07T00:00:00"/>
    <s v="Α΄ ΧΙΟΥ (Δ.Ε.) 2018"/>
    <s v="ΔΙΕΥΘΥΝΣΗ Δ.Ε. ΧΙΟΥ"/>
    <s v="ΠΕΡΙΦΕΡΕΙΑΚΗ Δ/ΝΣΗ Α/ΘΜΙΑΣ ΚΑΙ Β/ΘΜΙΑΣ ΕΚΠ/ΣΗΣ ΒΟΡΕΙΟΥ ΑΙΓΑΙΟΥ"/>
    <n v="15"/>
    <d v="2018-09-07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74-10-14T00:00:00"/>
    <x v="0"/>
    <s v="ΔΙΕΥΘΥΝΣΗ Δ.Ε. ΧΙΟΥ"/>
    <x v="2"/>
  </r>
  <r>
    <x v="1151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5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9-07T00:00:00"/>
    <x v="0"/>
    <s v="ΔΙΕΥΘΥΝΣΗ Δ.Ε. ΠΕΙΡΑΙΑ"/>
    <x v="2"/>
  </r>
  <r>
    <x v="1152"/>
    <x v="1"/>
    <s v="ΠΕ02"/>
    <s v="ΦΙΛΟΛΟΓΟΙ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3-01-04T00:00:00"/>
    <x v="0"/>
    <s v="ΔΙΕΥΘΥΝΣΗ Δ.Ε. ΑΡΓΟΛΙΔΑΣ"/>
    <x v="2"/>
  </r>
  <r>
    <x v="1153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9-30T00:00:00"/>
    <x v="0"/>
    <s v="ΔΙΕΥΘΥΝΣΗ Δ.Ε. Β΄ ΑΘΗΝΑΣ"/>
    <x v="2"/>
  </r>
  <r>
    <x v="1154"/>
    <x v="1"/>
    <s v="ΠΕ02"/>
    <s v="ΦΙΛΟΛΟΓ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5"/>
    <d v="2004-08-31T00:00:00"/>
    <s v="Ιδιωτικά Σχολεία"/>
    <x v="2"/>
    <s v="4475075"/>
    <s v="ΙΔΙΩΤΙΚΟ ΓΥΜΝΑΣ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2-09-04T00:00:00"/>
    <x v="0"/>
    <s v="ΔΙΕΥΘΥΝΣΗ Δ.Ε. ΣΕΡΡΩΝ"/>
    <x v="2"/>
  </r>
  <r>
    <x v="1155"/>
    <x v="1"/>
    <s v="ΠΕ79.01"/>
    <s v="ΜΟΥΣΙΚΗΣ ΕΠΙΣΤΗΜΗΣ"/>
    <m/>
    <m/>
    <s v="Β΄"/>
    <n v="3"/>
    <m/>
    <m/>
    <s v="Α΄ ΠΕΙΡΑΙΑ (Π.Ε.) 2018"/>
    <s v="ΔΙΕΥΘΥΝΣΗ Π.Ε. ΠΕΙΡΑΙΑ"/>
    <s v="ΠΕΡΙΦΕΡΕΙΑΚΗ Δ/ΝΣΗ Α/ΘΜΙΑΣ ΚΑΙ Β/ΘΜΙΑΣ ΕΚΠ/ΣΗΣ ΑΤΤΙΚΗΣ"/>
    <n v="15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2-01-07T00:00:00"/>
    <x v="1"/>
    <s v="ΔΙΕΥΘΥΝΣΗ Π.Ε. ΠΕΙΡΑΙΑ"/>
    <x v="2"/>
  </r>
  <r>
    <x v="1156"/>
    <x v="0"/>
    <s v="ΠΕ04.01"/>
    <s v="ΦΥΣΙΚΟΙ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m/>
    <s v="Ιδιωτικά Σχολεία"/>
    <x v="2"/>
    <s v="0560026"/>
    <s v="ΙΔΙΩΤΙΚΟ ΓΥΜΝΑΣ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ΑΝΑΤΟΛΙΚΗΣ ΑΤΤΙΚΗΣ"/>
    <x v="2"/>
  </r>
  <r>
    <x v="1157"/>
    <x v="0"/>
    <s v="ΠΕ79.01"/>
    <s v="ΜΟΥΣΙΚΗΣ ΕΠΙΣΤΗΜΗ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5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71-10-13T00:00:00"/>
    <x v="0"/>
    <s v="ΔΙΕΥΘΥΝΣΗ Δ.Ε. ΤΡΙΚΑΛΩΝ"/>
    <x v="2"/>
  </r>
  <r>
    <x v="1158"/>
    <x v="0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4-15T00:00:00"/>
    <x v="0"/>
    <s v="ΔΙΕΥΘΥΝΣΗ Δ.Ε. Β΄ ΑΘΗΝΑΣ"/>
    <x v="2"/>
  </r>
  <r>
    <x v="1159"/>
    <x v="0"/>
    <s v="ΠΕ02"/>
    <s v="ΦΙΛΟΛΟΓΟΙ"/>
    <m/>
    <m/>
    <s v="Γ΄"/>
    <n v="1"/>
    <s v="6015/15-9-2014"/>
    <d v="2018-09-01T00:00:00"/>
    <s v="ΑΡΓΟΛΙΔΑΣ (Δ.Ε.) 2018"/>
    <s v="ΔΙΕΥΘΥΝΣΗ Δ.Ε. ΑΡΓΟΛΙΔΑΣ"/>
    <s v="ΠΕΡΙΦΕΡΕΙΑΚΗ Δ/ΝΣΗ Α/ΘΜΙΑΣ ΚΑΙ Β/ΘΜΙΑΣ ΕΚΠ/ΣΗΣ ΠΕΛΟΠΟΝΝΗΣΟΥ"/>
    <n v="15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1-02-19T00:00:00"/>
    <x v="0"/>
    <s v="ΔΙΕΥΘΥΝΣΗ Δ.Ε. ΑΡΓΟΛΙΔΑΣ"/>
    <x v="2"/>
  </r>
  <r>
    <x v="1160"/>
    <x v="1"/>
    <s v="ΠΕ05"/>
    <s v="ΓΑΛΛΙΚΗΣ ΦΙΛΟΛΟΓΙΑΣ"/>
    <m/>
    <m/>
    <s v="Β΄"/>
    <n v="1"/>
    <s v="12854/30-09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5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0-11-12T00:00:00"/>
    <x v="0"/>
    <s v="ΔΙΕΥΘΥΝΣΗ Δ.Ε. ΔΥΤ. ΘΕΣ/ΝΙΚΗΣ"/>
    <x v="2"/>
  </r>
  <r>
    <x v="1161"/>
    <x v="0"/>
    <s v="ΠΕ04.02"/>
    <s v="ΧΗΜΙΚΟΙ"/>
    <m/>
    <m/>
    <s v="Α΄"/>
    <n v="1"/>
    <s v="12821/17-09-2012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5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9-04-06T00:00:00"/>
    <x v="0"/>
    <s v="ΔΙΕΥΘΥΝΣΗ Δ.Ε. ΔΥΤ. ΘΕΣ/ΝΙΚΗΣ"/>
    <x v="2"/>
  </r>
  <r>
    <x v="1162"/>
    <x v="0"/>
    <s v="ΠΕ78"/>
    <s v="ΚΟΙΝΩΝΙΚΩΝ ΕΠΙΣΤΗΜΩΝ"/>
    <m/>
    <m/>
    <s v="Γ΄"/>
    <n v="1"/>
    <m/>
    <d v="2005-08-31T00:00:00"/>
    <s v="ΣΕΡΡΩΝ (Δ.Ε.) 2018"/>
    <s v="ΔΙΕΥΘΥΝΣΗ Δ.Ε. ΣΕΡΡΩΝ"/>
    <s v="ΠΕΡΙΦΕΡΕΙΑΚΗ Δ/ΝΣΗ Α/ΘΜΙΑΣ ΚΑΙ Β/ΘΜΙΑΣ ΕΚΠ/ΣΗΣ ΚΕΝΤΡΙΚΗΣ ΜΑΚΕΔΟΝΙΑΣ"/>
    <n v="15"/>
    <d v="2005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8-04-24T00:00:00"/>
    <x v="0"/>
    <s v="ΔΙΕΥΘΥΝΣΗ Δ.Ε. ΣΕΡΡΩΝ"/>
    <x v="2"/>
  </r>
  <r>
    <x v="1163"/>
    <x v="0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5"/>
    <m/>
    <s v="Ιδιωτικά Σχολεία"/>
    <x v="3"/>
    <s v="2880010"/>
    <s v="ΙΔΙΩΤΙΚΟ ΗΜΕΡΗΣΙΟ ΛΥΚΕΙΟ ΚΟΡΙΝΘΟΣ - ΑΡΙΣΤΟΤΕΛΕΙΟ ΓΕΝΙΚΟ ΛΥΚΕ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8-04-18T00:00:00"/>
    <x v="0"/>
    <s v="ΔΙΕΥΘΥΝΣΗ Δ.Ε. ΚΟΡΙΝΘΙΑΣ"/>
    <x v="2"/>
  </r>
  <r>
    <x v="1164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3-08T00:00:00"/>
    <x v="0"/>
    <s v="ΔΙΕΥΘΥΝΣΗ Δ.Ε. Β΄ ΑΘΗΝΑΣ"/>
    <x v="2"/>
  </r>
  <r>
    <x v="1165"/>
    <x v="1"/>
    <s v="ΠΕ11"/>
    <s v="ΦΥΣΙΚΗΣ ΑΓΩΓΗΣ"/>
    <m/>
    <m/>
    <s v="Γ΄"/>
    <n v="4"/>
    <m/>
    <m/>
    <s v="ΚΟΡΙΝΘΙΑΣ (Π.Ε.) 2018"/>
    <s v="ΔΙΕΥΘΥΝΣΗ Π.Ε. ΚΟΡΙΝΘΙΑΣ"/>
    <s v="ΠΕΡΙΦΕΡΕΙΑΚΗ Δ/ΝΣΗ Α/ΘΜΙΑΣ ΚΑΙ Β/ΘΜΙΑΣ ΕΚΠ/ΣΗΣ ΠΕΛΟΠΟΝΝΗΣΟΥ"/>
    <n v="15"/>
    <m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67-01-01T00:00:00"/>
    <x v="1"/>
    <s v="ΔΙΕΥΘΥΝΣΗ Π.Ε. ΚΟΡΙΝΘΙΑΣ"/>
    <x v="2"/>
  </r>
  <r>
    <x v="116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1-22T00:00:00"/>
    <x v="0"/>
    <s v="ΔΙΕΥΘΥΝΣΗ Δ.Ε. Β΄ ΑΘΗΝΑΣ"/>
    <x v="2"/>
  </r>
  <r>
    <x v="1167"/>
    <x v="0"/>
    <s v="ΠΕ08"/>
    <s v="ΚΑΛΛΙΤΕΧΝΙΚΩΝ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5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6-10-30T00:00:00"/>
    <x v="0"/>
    <s v="ΔΙΕΥΘΥΝΣΗ Δ.Ε. Γ΄ ΑΘΗΝΑΣ"/>
    <x v="2"/>
  </r>
  <r>
    <x v="1168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7-01T00:00:00"/>
    <x v="0"/>
    <s v="ΔΙΕΥΘΥΝΣΗ Δ.Ε. Β΄ ΑΘΗΝΑΣ"/>
    <x v="2"/>
  </r>
  <r>
    <x v="1169"/>
    <x v="1"/>
    <s v="ΠΕ06"/>
    <s v="ΑΓΓ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5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5-03-20T00:00:00"/>
    <x v="1"/>
    <s v="ΔΙΕΥΘΥΝΣΗ Π.Ε. Α΄ ΑΘΗΝΑΣ"/>
    <x v="2"/>
  </r>
  <r>
    <x v="1170"/>
    <x v="1"/>
    <s v="ΠΕ02"/>
    <s v="ΦΙΛ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5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65-03-01T00:00:00"/>
    <x v="0"/>
    <s v="ΔΙΕΥΘΥΝΣΗ Δ.Ε. ΗΡΑΚΛΕΙΟΥ"/>
    <x v="2"/>
  </r>
  <r>
    <x v="1171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1-01T00:00:00"/>
    <x v="0"/>
    <s v="ΔΙΕΥΘΥΝΣΗ Δ.Ε. Β΄ ΑΘΗΝΑΣ"/>
    <x v="2"/>
  </r>
  <r>
    <x v="1172"/>
    <x v="0"/>
    <s v="ΠΕ88.02"/>
    <s v="ΦΥΤ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5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12-13T00:00:00"/>
    <x v="0"/>
    <s v="ΔΙΕΥΘΥΝΣΗ Δ.Ε. ΑΝΑΤ. ΘΕΣ/ΝΙΚΗΣ"/>
    <x v="2"/>
  </r>
  <r>
    <x v="1173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5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4-09-28T00:00:00"/>
    <x v="0"/>
    <s v="ΔΙΕΥΘΥΝΣΗ Δ.Ε. Γ΄ ΑΘΗΝΑΣ"/>
    <x v="2"/>
  </r>
  <r>
    <x v="1174"/>
    <x v="0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1-02T00:00:00"/>
    <x v="0"/>
    <s v="ΔΙΕΥΘΥΝΣΗ Δ.Ε. Β΄ ΑΘΗΝΑΣ"/>
    <x v="2"/>
  </r>
  <r>
    <x v="1175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5"/>
    <m/>
    <s v="Ιδιωτικά Σχολεία"/>
    <x v="2"/>
    <s v="0581350"/>
    <s v="Ιδιωτικό Γυμνάσιο - ΜΟΝΤΕΣΣΟΡΙΑΝΑ ΣΧΟΛΕΙΑ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9-19T00:00:00"/>
    <x v="0"/>
    <s v="ΔΙΕΥΘΥΝΣΗ Δ.Ε. ΑΝΑΤΟΛΙΚΗΣ ΑΤΤΙΚΗΣ"/>
    <x v="2"/>
  </r>
  <r>
    <x v="1176"/>
    <x v="0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1-16T00:00:00"/>
    <x v="0"/>
    <s v="ΔΙΕΥΘΥΝΣΗ Δ.Ε. Β΄ ΑΘΗΝΑΣ"/>
    <x v="2"/>
  </r>
  <r>
    <x v="1177"/>
    <x v="0"/>
    <s v="ΠΕ04.01"/>
    <s v="ΦΥΣΙΚΟΙ"/>
    <m/>
    <m/>
    <s v="Γ΄"/>
    <n v="1"/>
    <s v="Φ. 17.2_ A_/12078/5/28-9-2018"/>
    <d v="2018-09-01T00:00:00"/>
    <s v="ΑΧΑΪΑΣ (Δ.Ε.) 2018"/>
    <s v="ΔΙΕΥΘΥΝΣΗ Δ.Ε. ΑΧΑΪΑΣ"/>
    <s v="ΠΕΡΙΦΕΡΕΙΑΚΗ Δ/ΝΣΗ Α/ΘΜΙΑΣ ΚΑΙ Β/ΘΜΙΑΣ ΕΚΠ/ΣΗΣ ΔΥΤΙΚΗΣ ΕΛΛΑΔΑΣ"/>
    <n v="15"/>
    <d v="2018-09-01T00:00:00"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62-05-08T00:00:00"/>
    <x v="0"/>
    <s v="ΔΙΕΥΘΥΝΣΗ Δ.Ε. ΑΧΑΪΑΣ"/>
    <x v="2"/>
  </r>
  <r>
    <x v="1178"/>
    <x v="1"/>
    <s v="ΠΕ05"/>
    <s v="ΓΑΛΛΙΚΗΣ ΦΙΛΟΛΟΓΙΑ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5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1-10-30T00:00:00"/>
    <x v="0"/>
    <s v="ΔΙΕΥΘΥΝΣΗ Δ.Ε. ΙΩΑΝΝΙΝΩΝ"/>
    <x v="2"/>
  </r>
  <r>
    <x v="1179"/>
    <x v="0"/>
    <s v="ΠΕ03"/>
    <s v="ΜΑΘΗΜΑΤΙΚ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5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1-06-16T00:00:00"/>
    <x v="0"/>
    <s v="ΔΙΕΥΘΥΝΣΗ Δ.Ε. ΣΕΡΡΩΝ"/>
    <x v="2"/>
  </r>
  <r>
    <x v="1180"/>
    <x v="0"/>
    <s v="ΠΕ79.01"/>
    <s v="ΜΟΥΣΙΚΗΣ ΕΠΙΣΤΗΜ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5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1-01-15T00:00:00"/>
    <x v="1"/>
    <s v="ΔΙΕΥΘΥΝΣΗ Π.Ε. Β΄ ΑΘΗΝΑΣ"/>
    <x v="2"/>
  </r>
  <r>
    <x v="1181"/>
    <x v="1"/>
    <s v="ΠΕ03"/>
    <s v="ΜΑΘΗΜΑΤΙΚ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5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0-11-19T00:00:00"/>
    <x v="0"/>
    <s v="ΔΙΕΥΘΥΝΣΗ Δ.Ε. ΣΕΡΡΩΝ"/>
    <x v="2"/>
  </r>
  <r>
    <x v="1182"/>
    <x v="0"/>
    <s v="ΠΕ04.01"/>
    <s v="ΦΥΣ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5"/>
    <m/>
    <s v="Ιδιωτικά Σχολεία"/>
    <x v="2"/>
    <s v="2881010"/>
    <s v="ΙΔΙΩΤΙΚΟ ΓΥΜΝΑΣΙΟ ΚΟΡΙΝΘΟΥ - ΑΡΙΣΤΟΤΕΛΕΙΟ ΚΟΡΙΝΘΙΑΚΟ ΕΚΠΑΙΔΕΥΤΗΡ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0-05-16T00:00:00"/>
    <x v="0"/>
    <s v="ΔΙΕΥΘΥΝΣΗ Δ.Ε. ΚΟΡΙΝΘΙΑΣ"/>
    <x v="2"/>
  </r>
  <r>
    <x v="1183"/>
    <x v="0"/>
    <s v="ΠΕ79.01"/>
    <s v="ΜΟΥΣΙΚΗΣ ΕΠΙΣΤΗΜΗ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5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0-02-22T00:00:00"/>
    <x v="1"/>
    <s v="ΔΙΕΥΘΥΝΣΗ Π.Ε. ΠΕΙΡΑΙΑ"/>
    <x v="2"/>
  </r>
  <r>
    <x v="118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2-06T00:00:00"/>
    <x v="0"/>
    <s v="ΔΙΕΥΘΥΝΣΗ Δ.Ε. Β΄ ΑΘΗΝΑΣ"/>
    <x v="2"/>
  </r>
  <r>
    <x v="1185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02-15T00:00:00"/>
    <x v="0"/>
    <s v="ΔΙΕΥΘΥΝΣΗ Δ.Ε. Β΄ ΑΘΗΝΑΣ"/>
    <x v="2"/>
  </r>
  <r>
    <x v="1186"/>
    <x v="1"/>
    <s v="ΠΕ79.01"/>
    <s v="ΜΟΥΣΙΚΗΣ ΕΠΙΣΤΗΜ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5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05-09T00:00:00"/>
    <x v="0"/>
    <s v="ΔΙΕΥΘΥΝΣΗ Δ.Ε. ΑΝΑΤΟΛΙΚΗΣ ΑΤΤΙΚΗΣ"/>
    <x v="2"/>
  </r>
  <r>
    <x v="1187"/>
    <x v="1"/>
    <s v="ΠΕ79.01"/>
    <s v="ΜΟΥΣΙΚΗΣ ΕΠΙΣΤΗΜ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5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57-10-15T00:00:00"/>
    <x v="1"/>
    <s v="ΔΙΕΥΘΥΝΣΗ Π.Ε. Β΄ ΑΘΗΝΑΣ"/>
    <x v="2"/>
  </r>
  <r>
    <x v="1188"/>
    <x v="0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5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6-10-11T00:00:00"/>
    <x v="0"/>
    <s v="ΔΙΕΥΘΥΝΣΗ Δ.Ε. Γ΄ ΑΘΗΝΑΣ"/>
    <x v="2"/>
  </r>
  <r>
    <x v="1189"/>
    <x v="0"/>
    <s v="ΠΕ04.05"/>
    <s v="ΓΕΩ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5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4-10-05T00:00:00"/>
    <x v="0"/>
    <s v="ΔΙΕΥΘΥΝΣΗ Δ.Ε. ΠΕΙΡΑΙΑ"/>
    <x v="2"/>
  </r>
  <r>
    <x v="1190"/>
    <x v="0"/>
    <s v="ΠΕ03"/>
    <s v="ΜΑΘΗΜΑΤ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5"/>
    <m/>
    <s v="Ιδιωτικά Σχολεία"/>
    <x v="3"/>
    <s v="0161002"/>
    <s v="ΙΔΙΩΤΙΚΟ ΓΕΛ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50-08-27T00:00:00"/>
    <x v="0"/>
    <s v="ΔΙΕΥΘΥΝΣΗ Δ.Ε. ΑΙΤΩΛΟΑΚΑΡΝΑΝΙΑΣ"/>
    <x v="2"/>
  </r>
  <r>
    <x v="1191"/>
    <x v="0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2"/>
  </r>
  <r>
    <x v="119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5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2"/>
  </r>
  <r>
    <x v="1193"/>
    <x v="1"/>
    <s v="ΠΕ06"/>
    <s v="ΑΓΓΛ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5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2"/>
  </r>
  <r>
    <x v="1194"/>
    <x v="0"/>
    <s v="ΠΕ86"/>
    <s v="ΠΛΗΡΟΦΟΡΙΚ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5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2"/>
  </r>
  <r>
    <x v="1195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5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2"/>
  </r>
  <r>
    <x v="1196"/>
    <x v="1"/>
    <s v="ΠΕ08"/>
    <s v="ΚΑΛΛΙΤΕΧΝΙΚΩΝ"/>
    <m/>
    <m/>
    <s v="Γ΄"/>
    <n v="1"/>
    <d v="2016-10-19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5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1"/>
    <s v="ΔΙΕΥΘΥΝΣΗ Π.Ε. ΑΝΑΤ. ΘΕΣ/ΝΙΚΗΣ"/>
    <x v="2"/>
  </r>
  <r>
    <x v="1197"/>
    <x v="1"/>
    <s v="ΠΕ02"/>
    <s v="ΦΙΛ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5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m/>
    <x v="0"/>
    <s v="ΔΙΕΥΘΥΝΣΗ Δ.Ε. ΗΡΑΚΛΕΙΟΥ"/>
    <x v="2"/>
  </r>
  <r>
    <x v="1198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1-05-06T00:00:00"/>
    <x v="0"/>
    <s v="ΔΙΕΥΘΥΝΣΗ Δ.Ε. Β΄ ΑΘΗΝΑΣ"/>
    <x v="3"/>
  </r>
  <r>
    <x v="1199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90-08-25T00:00:00"/>
    <x v="0"/>
    <s v="ΔΙΕΥΘΥΝΣΗ Δ.Ε. Γ΄ ΑΘΗΝΑΣ"/>
    <x v="3"/>
  </r>
  <r>
    <x v="1200"/>
    <x v="0"/>
    <s v="ΠΕ11"/>
    <s v="ΦΥΣΙΚΗΣ ΑΓΩΓΗΣ"/>
    <m/>
    <m/>
    <s v="Γ΄"/>
    <n v="1"/>
    <s v="Φ.17/9013/17-10-2017"/>
    <d v="2018-09-01T00:00:00"/>
    <s v="ΙΩΑΝΝΙΝΩΝ (Π.Ε.) 2018"/>
    <s v="ΔΙΕΥΘΥΝΣΗ Π.Ε. ΙΩΑΝΝΙΝΩΝ"/>
    <s v="ΠΕΡΙΦΕΡΕΙΑΚΗ Δ/ΝΣΗ Α/ΘΜΙΑΣ ΚΑΙ Β/ΘΜΙΑΣ ΕΚΠ/ΣΗΣ ΗΠΕΙΡΟΥ"/>
    <n v="16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90-02-02T00:00:00"/>
    <x v="1"/>
    <s v="ΔΙΕΥΘΥΝΣΗ Π.Ε. ΙΩΑΝΝΙΝΩΝ"/>
    <x v="3"/>
  </r>
  <r>
    <x v="1201"/>
    <x v="0"/>
    <s v="ΠΕ11"/>
    <s v="ΦΥΣΙΚΗΣ ΑΓΩΓΗΣ"/>
    <m/>
    <m/>
    <s v="Γ΄"/>
    <n v="1"/>
    <s v="9417/Φ17.2/01-10-2018"/>
    <d v="2018-09-11T00:00:00"/>
    <s v="ΞΑΝΘΗΣ (Δ.Ε.) 2018"/>
    <s v="ΔΙΕΥΘΥΝΣΗ Δ.Ε. ΞΑΝΘΗΣ"/>
    <s v="ΠΕΡΙΦΕΡΕΙΑΚΗ Δ/ΝΣΗ Α/ΘΜΙΑΣ ΚΑΙ Β/ΘΜΙΑΣ ΕΚΠ/ΣΗΣ ΑΝ. ΜΑΚΕΔΟΝΙΑΣ ΚΑΙ ΘΡΑΚΗΣ"/>
    <n v="16"/>
    <d v="2018-09-11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89-12-14T00:00:00"/>
    <x v="0"/>
    <s v="ΔΙΕΥΘΥΝΣΗ Δ.Ε. ΞΑΝΘΗΣ"/>
    <x v="3"/>
  </r>
  <r>
    <x v="1202"/>
    <x v="1"/>
    <s v="ΠΕ11"/>
    <s v="ΦΥΣΙΚΗΣ ΑΓΩΓ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6"/>
    <d v="2018-09-01T00:00:00"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10-16T00:00:00"/>
    <x v="1"/>
    <s v="ΔΙΕΥΘΥΝΣΗ Π.Ε. Β΄ ΑΘΗΝΑΣ"/>
    <x v="3"/>
  </r>
  <r>
    <x v="1203"/>
    <x v="1"/>
    <s v="ΠΕ11"/>
    <s v="ΦΥΣΙΚΗΣ ΑΓΩΓΗ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6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9-08-31T00:00:00"/>
    <x v="0"/>
    <s v="ΔΙΕΥΘΥΝΣΗ Δ.Ε. ΙΩΑΝΝΙΝΩΝ"/>
    <x v="3"/>
  </r>
  <r>
    <x v="120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06-06T00:00:00"/>
    <x v="0"/>
    <s v="ΔΙΕΥΘΥΝΣΗ Δ.Ε. Β΄ ΑΘΗΝΑΣ"/>
    <x v="3"/>
  </r>
  <r>
    <x v="1205"/>
    <x v="1"/>
    <s v="ΠΕ02"/>
    <s v="ΦΙΛΟΛΟΓΟΙ"/>
    <m/>
    <m/>
    <s v="Γ΄"/>
    <n v="1"/>
    <n v="21562"/>
    <d v="2018-09-01T00:00:00"/>
    <s v="Δ΄ ΑΘΗΝΑΣ (Δ.Ε.) 2018"/>
    <s v="ΔΙΕΥΘΥΝΣΗ Δ.Ε. Δ΄ ΑΘΗΝΑΣ"/>
    <s v="ΠΕΡΙΦΕΡΕΙΑΚΗ Δ/ΝΣΗ Α/ΘΜΙΑΣ ΚΑΙ Β/ΘΜΙΑΣ ΕΚΠ/ΣΗΣ ΑΤΤΙΚΗΣ"/>
    <n v="16"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9-01-31T00:00:00"/>
    <x v="0"/>
    <s v="ΔΙΕΥΘΥΝΣΗ Δ.Ε. Δ΄ ΑΘΗΝΑΣ"/>
    <x v="3"/>
  </r>
  <r>
    <x v="1206"/>
    <x v="1"/>
    <s v="ΠΕ02"/>
    <s v="ΦΙΛΟΛΟΓΟΙ"/>
    <m/>
    <m/>
    <s v="Γ΄"/>
    <n v="1"/>
    <s v="Φ. 17.2_ A/11971/2/5-9-2018"/>
    <d v="2018-09-01T00:00:00"/>
    <s v="ΑΧΑΪΑΣ (Δ.Ε.) 2018"/>
    <s v="ΔΙΕΥΘΥΝΣΗ Δ.Ε. ΑΧΑΪΑΣ"/>
    <s v="ΠΕΡΙΦΕΡΕΙΑΚΗ Δ/ΝΣΗ Α/ΘΜΙΑΣ ΚΑΙ Β/ΘΜΙΑΣ ΕΚΠ/ΣΗΣ ΔΥΤΙΚΗΣ ΕΛΛΑΔΑΣ"/>
    <n v="16"/>
    <d v="2018-09-01T00:00:00"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8-10-01T00:00:00"/>
    <x v="0"/>
    <s v="ΔΙΕΥΘΥΝΣΗ Δ.Ε. ΑΧΑΪΑΣ"/>
    <x v="3"/>
  </r>
  <r>
    <x v="1207"/>
    <x v="0"/>
    <s v="ΤΕ16"/>
    <s v="ΜΟΥΣΙΚΗΣ ΜΗ ΑΝΩΤΑΤΩΝ ΙΔΡΥΜΑΤΩΝ"/>
    <s v="ΤΕ16.00.50"/>
    <s v="ΜΟΥΣΙΚΗΣ ΜΗ ΑΝΩΤΑΤΩΝ ΙΔΡΥΜΑΤΩΝ ΕΙΔΙΚΗΣ ΑΓΩΓΗΣ"/>
    <s v="Γ΄"/>
    <n v="1"/>
    <s v="ΑΠ1788200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16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88-02-05T00:00:00"/>
    <x v="1"/>
    <s v="ΔΙΕΥΘΥΝΣΗ Π.Ε. ΠΙΕΡΙΑΣ"/>
    <x v="3"/>
  </r>
  <r>
    <x v="1208"/>
    <x v="0"/>
    <s v="ΠΕ70"/>
    <s v="ΔΑΣΚΑΛΟΙ"/>
    <m/>
    <m/>
    <s v="Γ΄"/>
    <n v="1"/>
    <n v="10362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16"/>
    <d v="2018-09-06T00:00:00"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87-05-03T00:00:00"/>
    <x v="1"/>
    <s v="ΔΙΕΥΘΥΝΣΗ Π.Ε. ΔΥΤ. ΘΕΣ/ΝΙΚΗΣ"/>
    <x v="3"/>
  </r>
  <r>
    <x v="1209"/>
    <x v="1"/>
    <s v="ΠΕ06"/>
    <s v="ΑΓΓΛΙΚΗΣ ΦΙΛΟΛΟΓΙΑΣ"/>
    <m/>
    <m/>
    <s v="Β΄"/>
    <n v="1"/>
    <s v="5442/27-04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6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87-02-16T00:00:00"/>
    <x v="0"/>
    <s v="ΔΙΕΥΘΥΝΣΗ Δ.Ε. ΔΥΤ. ΘΕΣ/ΝΙΚΗΣ"/>
    <x v="3"/>
  </r>
  <r>
    <x v="1210"/>
    <x v="1"/>
    <s v="ΠΕ06"/>
    <s v="ΑΓΓΛΙΚΗΣ ΦΙΛΟΛΟΓΙΑ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16"/>
    <m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7-01-17T00:00:00"/>
    <x v="1"/>
    <s v="ΔΙΕΥΘΥΝΣΗ Π.Ε. ΑΙΤΩΛΟΑΚΑΡΝΑΝΙΑΣ"/>
    <x v="3"/>
  </r>
  <r>
    <x v="1211"/>
    <x v="1"/>
    <s v="ΠΕ91.01"/>
    <s v="ΘΕΑΤΡΙΚΩΝ ΣΠΟΥΔΩΝ"/>
    <m/>
    <m/>
    <s v="Α΄"/>
    <n v="3"/>
    <s v="Φ.Ι.Α.5/21223/6-10-2016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16"/>
    <d v="2018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6-05-31T00:00:00"/>
    <x v="1"/>
    <s v="ΔΙΕΥΘΥΝΣΗ Π.Ε. ΑΝΑΤΟΛΙΚΗΣ ΑΤΤΙΚΗΣ"/>
    <x v="3"/>
  </r>
  <r>
    <x v="1212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6"/>
    <m/>
    <m/>
    <x v="6"/>
    <s v=""/>
    <m/>
    <m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6-03-16T00:00:00"/>
    <x v="0"/>
    <s v="ΔΙΕΥΘΥΝΣΗ Δ.Ε. ΑΝΑΤ. ΘΕΣ/ΝΙΚΗΣ"/>
    <x v="3"/>
  </r>
  <r>
    <x v="1213"/>
    <x v="1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5-05-15T00:00:00"/>
    <x v="0"/>
    <s v="ΔΙΕΥΘΥΝΣΗ Δ.Ε. Γ΄ ΑΘΗΝΑΣ"/>
    <x v="3"/>
  </r>
  <r>
    <x v="1214"/>
    <x v="1"/>
    <s v="ΠΕ01"/>
    <s v="ΘΕ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d v="2018-09-01T00:00:00"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5-02-03T00:00:00"/>
    <x v="0"/>
    <s v="ΔΙΕΥΘΥΝΣΗ Δ.Ε. Β΄ ΑΘΗΝΑΣ"/>
    <x v="3"/>
  </r>
  <r>
    <x v="1215"/>
    <x v="1"/>
    <s v="ΠΕ07"/>
    <s v="ΓΕΡΜΑΝΙΚΗΣ ΦΙΛΟΛΟΓΙΑΣ"/>
    <m/>
    <m/>
    <s v="Γ΄"/>
    <n v="1"/>
    <n v="17539"/>
    <d v="2018-09-03T00:00:00"/>
    <s v="Α΄ ΠΕΙΡΑΙΑ (Δ.Ε.) 2018"/>
    <s v="ΔΙΕΥΘΥΝΣΗ Δ.Ε. ΠΕΙΡΑΙΑ"/>
    <s v="ΠΕΡΙΦΕΡΕΙΑΚΗ Δ/ΝΣΗ Α/ΘΜΙΑΣ ΚΑΙ Β/ΘΜΙΑΣ ΕΚΠ/ΣΗΣ ΑΤΤΙΚΗΣ"/>
    <n v="16"/>
    <d v="2018-09-03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84-11-01T00:00:00"/>
    <x v="0"/>
    <s v="ΔΙΕΥΘΥΝΣΗ Δ.Ε. ΠΕΙΡΑΙΑ"/>
    <x v="3"/>
  </r>
  <r>
    <x v="1216"/>
    <x v="1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4-09-15T00:00:00"/>
    <x v="0"/>
    <s v="ΔΙΕΥΘΥΝΣΗ Δ.Ε. Β΄ ΑΘΗΝΑΣ"/>
    <x v="3"/>
  </r>
  <r>
    <x v="1217"/>
    <x v="1"/>
    <s v="ΠΕ86"/>
    <s v="ΠΛΗΡΟΦΟΡΙΚ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3-11-13T00:00:00"/>
    <x v="0"/>
    <s v="ΔΙΕΥΘΥΝΣΗ Δ.Ε. ΠΕΙΡΑΙΑ"/>
    <x v="3"/>
  </r>
  <r>
    <x v="1218"/>
    <x v="1"/>
    <s v="ΠΕ06"/>
    <s v="ΑΓΓΛΙΚΗΣ ΦΙΛΟΛΟΓΙΑΣ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6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3-11-02T00:00:00"/>
    <x v="0"/>
    <s v="ΔΙΕΥΘΥΝΣΗ Δ.Ε. ΑΙΤΩΛΟΑΚΑΡΝΑΝΙΑΣ"/>
    <x v="3"/>
  </r>
  <r>
    <x v="1219"/>
    <x v="0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6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3-04-23T00:00:00"/>
    <x v="0"/>
    <s v="ΔΙΕΥΘΥΝΣΗ Δ.Ε. Γ΄ ΑΘΗΝΑΣ"/>
    <x v="3"/>
  </r>
  <r>
    <x v="1220"/>
    <x v="1"/>
    <s v="ΠΕ86"/>
    <s v="ΠΛΗΡΟΦΟΡΙΚΗΣ"/>
    <m/>
    <m/>
    <s v="Α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6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3-04-01T00:00:00"/>
    <x v="1"/>
    <s v="ΔΙΕΥΘΥΝΣΗ Π.Ε. ΔΥΤ. ΘΕΣ/ΝΙΚΗΣ"/>
    <x v="3"/>
  </r>
  <r>
    <x v="1221"/>
    <x v="0"/>
    <s v="ΠΕ86"/>
    <s v="ΠΛΗΡΟΦΟΡΙΚΗΣ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6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3-03-03T00:00:00"/>
    <x v="1"/>
    <s v="ΔΙΕΥΘΥΝΣΗ Π.Ε. ΔΩΔΕΚΑΝΗΣΟΥ"/>
    <x v="3"/>
  </r>
  <r>
    <x v="1222"/>
    <x v="1"/>
    <s v="ΠΕ91.01"/>
    <s v="ΘΕΑΤΡΙΚΩΝ ΣΠΟΥΔΩΝ"/>
    <m/>
    <m/>
    <s v="Γ΄"/>
    <n v="1"/>
    <s v="Β2ΙΕ9-ΥΥΕ"/>
    <d v="2014-09-18T00:00:00"/>
    <s v="Δ΄ ΑΘΗΝΑΣ (Π.Ε.) 2018"/>
    <s v="ΔΙΕΥΘΥΝΣΗ Π.Ε. Δ΄ ΑΘΗΝΑΣ"/>
    <s v="ΠΕΡΙΦΕΡΕΙΑΚΗ Δ/ΝΣΗ Α/ΘΜΙΑΣ ΚΑΙ Β/ΘΜΙΑΣ ΕΚΠ/ΣΗΣ ΑΤΤΙΚΗΣ"/>
    <n v="16"/>
    <d v="2014-09-18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1-01T00:00:00"/>
    <x v="1"/>
    <s v="ΔΙΕΥΘΥΝΣΗ Π.Ε. Δ΄ ΑΘΗΝΑΣ"/>
    <x v="3"/>
  </r>
  <r>
    <x v="1223"/>
    <x v="1"/>
    <s v="ΠΕ02"/>
    <s v="ΦΙΛΟΛΟΓΟΙ"/>
    <m/>
    <m/>
    <s v="Γ΄"/>
    <n v="1"/>
    <s v="4479/1-9-2016"/>
    <d v="2018-09-01T00:00:00"/>
    <s v="ΑΡΓΟΛΙΔΑΣ (Δ.Ε.) 2018"/>
    <s v="ΔΙΕΥΘΥΝΣΗ Δ.Ε. ΑΡΓΟΛΙΔΑΣ"/>
    <s v="ΠΕΡΙΦΕΡΕΙΑΚΗ Δ/ΝΣΗ Α/ΘΜΙΑΣ ΚΑΙ Β/ΘΜΙΑΣ ΕΚΠ/ΣΗΣ ΠΕΛΟΠΟΝΝΗΣΟΥ"/>
    <n v="16"/>
    <d v="2018-09-01T00:00:00"/>
    <s v="Ιδιωτικά Σχολεία"/>
    <x v="2"/>
    <s v="0260001"/>
    <s v="ΙΔΙΩΤΙΚΟ ΓΥΜΝΑΣΙΟ &quot; 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82-04-20T00:00:00"/>
    <x v="0"/>
    <s v="ΔΙΕΥΘΥΝΣΗ Δ.Ε. ΑΡΓΟΛΙΔΑΣ"/>
    <x v="3"/>
  </r>
  <r>
    <x v="1224"/>
    <x v="1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6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04-17T00:00:00"/>
    <x v="0"/>
    <s v="ΔΙΕΥΘΥΝΣΗ Δ.Ε. Β΄ ΑΘΗΝΑΣ"/>
    <x v="3"/>
  </r>
  <r>
    <x v="1225"/>
    <x v="0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1-09-29T00:00:00"/>
    <x v="0"/>
    <s v="ΔΙΕΥΘΥΝΣΗ Δ.Ε. ΠΕΙΡΑΙΑ"/>
    <x v="3"/>
  </r>
  <r>
    <x v="1226"/>
    <x v="1"/>
    <s v="ΠΕ08"/>
    <s v="ΚΑΛΛΙΤΕΧΝΙΚΩΝ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6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9-19T00:00:00"/>
    <x v="1"/>
    <s v="ΔΙΕΥΘΥΝΣΗ Π.Ε. Β΄ ΑΘΗΝΑΣ"/>
    <x v="3"/>
  </r>
  <r>
    <x v="1227"/>
    <x v="1"/>
    <s v="ΠΕ80"/>
    <s v="ΟΙΚΟΝΟΜ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1-08-07T00:00:00"/>
    <x v="0"/>
    <s v="ΔΙΕΥΘΥΝΣΗ Δ.Ε. ΠΕΙΡΑΙΑ"/>
    <x v="3"/>
  </r>
  <r>
    <x v="1228"/>
    <x v="0"/>
    <s v="ΠΕ08"/>
    <s v="ΚΑΛΛΙΤΕΧΝΙΚΩΝ"/>
    <m/>
    <m/>
    <s v="Γ΄"/>
    <n v="1"/>
    <s v="Φ.Ι.Α.4/32311/18-12-2015"/>
    <d v="2015-10-21T00:00:00"/>
    <s v="Β΄ ΑΝΑΤ. ΑΤΤΙΚΗΣ (Π.Ε.) 2018"/>
    <s v="ΔΙΕΥΘΥΝΣΗ Π.Ε. ΑΝΑΤΟΛΙΚΗΣ ΑΤΤΙΚΗΣ"/>
    <s v="ΠΕΡΙΦΕΡΕΙΑΚΗ Δ/ΝΣΗ Α/ΘΜΙΑΣ ΚΑΙ Β/ΘΜΙΑΣ ΕΚΠ/ΣΗΣ ΑΤΤΙΚΗΣ"/>
    <n v="16"/>
    <d v="2015-10-2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7-23T00:00:00"/>
    <x v="1"/>
    <s v="ΔΙΕΥΘΥΝΣΗ Π.Ε. ΑΝΑΤΟΛΙΚΗΣ ΑΤΤΙΚΗΣ"/>
    <x v="3"/>
  </r>
  <r>
    <x v="1229"/>
    <x v="0"/>
    <s v="ΠΕ04.04"/>
    <s v="ΒΙΟΛΟΓΟΙ"/>
    <m/>
    <m/>
    <s v="Α΄"/>
    <n v="1"/>
    <s v="7967/14-10-2011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6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81-06-06T00:00:00"/>
    <x v="0"/>
    <s v="ΔΙΕΥΘΥΝΣΗ Δ.Ε. ΔΥΤ. ΘΕΣ/ΝΙΚΗΣ"/>
    <x v="3"/>
  </r>
  <r>
    <x v="1230"/>
    <x v="0"/>
    <s v="ΠΕ11"/>
    <s v="ΦΥΣΙΚΗΣ ΑΓΩΓΗΣ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16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1-03-16T00:00:00"/>
    <x v="1"/>
    <s v="ΔΙΕΥΘΥΝΣΗ Π.Ε. ΑΡΓΟΛΙΔΑΣ"/>
    <x v="3"/>
  </r>
  <r>
    <x v="1231"/>
    <x v="1"/>
    <s v="ΠΕ01"/>
    <s v="ΘΕΟΛΟΓΟΙ"/>
    <m/>
    <m/>
    <s v="Γ΄"/>
    <n v="1"/>
    <n v="11613"/>
    <d v="2018-10-22T00:00:00"/>
    <s v="ΠΙΕΡΙΑΣ (Δ.Ε.) 2018"/>
    <s v="ΔΙΕΥΘΥΝΣΗ Δ.Ε. ΠΙΕΡΙΑΣ"/>
    <s v="ΠΕΡΙΦΕΡΕΙΑΚΗ Δ/ΝΣΗ Α/ΘΜΙΑΣ ΚΑΙ Β/ΘΜΙΑΣ ΕΚΠ/ΣΗΣ ΚΕΝΤΡΙΚΗΣ ΜΑΚΕΔΟΝΙΑΣ"/>
    <n v="16"/>
    <d v="2018-10-22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81-01-08T00:00:00"/>
    <x v="0"/>
    <s v="ΔΙΕΥΘΥΝΣΗ Δ.Ε. ΠΙΕΡΙΑΣ"/>
    <x v="3"/>
  </r>
  <r>
    <x v="1232"/>
    <x v="1"/>
    <s v="ΠΕ04.01"/>
    <s v="ΦΥΣ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6"/>
    <m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1-01-01T00:00:00"/>
    <x v="0"/>
    <s v="ΔΙΕΥΘΥΝΣΗ Δ.Ε. ΑΙΤΩΛΟΑΚΑΡΝΑΝΙΑΣ"/>
    <x v="3"/>
  </r>
  <r>
    <x v="1233"/>
    <x v="1"/>
    <s v="ΠΕ06"/>
    <s v="ΑΓΓΛΙΚΗΣ ΦΙΛΟΛΟΓΙΑΣ"/>
    <m/>
    <m/>
    <s v="Γ΄"/>
    <n v="1"/>
    <n v="11620"/>
    <d v="2018-09-01T00:00:00"/>
    <s v="Δ΄ ΑΘΗΝΑΣ (Π.Ε.) 2018"/>
    <s v="ΔΙΕΥΘΥΝΣΗ Π.Ε. Δ΄ ΑΘΗΝΑΣ"/>
    <s v="ΠΕΡΙΦΕΡΕΙΑΚΗ Δ/ΝΣΗ Α/ΘΜΙΑΣ ΚΑΙ Β/ΘΜΙΑΣ ΕΚΠ/ΣΗΣ ΑΤΤΙΚΗΣ"/>
    <n v="16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0-10-10T00:00:00"/>
    <x v="1"/>
    <s v="ΔΙΕΥΘΥΝΣΗ Π.Ε. Δ΄ ΑΘΗΝΑΣ"/>
    <x v="3"/>
  </r>
  <r>
    <x v="1234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5-31T00:00:00"/>
    <x v="0"/>
    <s v="ΔΙΕΥΘΥΝΣΗ Δ.Ε. Β΄ ΑΘΗΝΑΣ"/>
    <x v="3"/>
  </r>
  <r>
    <x v="1235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ΑΝΑΤΟΛΙΚΗΣ ΑΤΤΙΚΗΣ"/>
    <x v="3"/>
  </r>
  <r>
    <x v="1236"/>
    <x v="1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6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0-01-01T00:00:00"/>
    <x v="0"/>
    <s v="ΔΙΕΥΘΥΝΣΗ Δ.Ε. ΚΥΚΛΑΔΩΝ"/>
    <x v="3"/>
  </r>
  <r>
    <x v="1237"/>
    <x v="0"/>
    <s v="ΠΕ04.02"/>
    <s v="ΧΗΜ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ΠΕΙΡΑΙΑ"/>
    <x v="3"/>
  </r>
  <r>
    <x v="1238"/>
    <x v="1"/>
    <s v="ΠΕ79.01"/>
    <s v="ΜΟΥΣΙΚΗΣ ΕΠΙΣΤΗΜΗ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6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7-11-01T00:00:00"/>
    <x v="0"/>
    <s v="ΔΙΕΥΘΥΝΣΗ Δ.Ε. ΑΧΑΪΑΣ"/>
    <x v="3"/>
  </r>
  <r>
    <x v="1239"/>
    <x v="1"/>
    <s v="ΠΕ91.01"/>
    <s v="ΘΕΑΤΡΙΚΩΝ ΣΠΟΥΔΩΝ"/>
    <m/>
    <m/>
    <s v="Α΄"/>
    <n v="4"/>
    <m/>
    <m/>
    <s v="Β΄ ΑΝΑΤ. ΑΤΤΙΚΗΣ (Π.Ε.) 2018"/>
    <s v="ΔΙΕΥΘΥΝΣΗ Π.Ε. ΑΝΑΤΟΛΙΚΗΣ ΑΤΤΙΚΗΣ"/>
    <s v="ΠΕΡΙΦΕΡΕΙΑΚΗ Δ/ΝΣΗ Α/ΘΜΙΑΣ ΚΑΙ Β/ΘΜΙΑΣ ΕΚΠ/ΣΗΣ ΑΤΤΙΚΗΣ"/>
    <n v="16"/>
    <d v="2010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09-12T00:00:00"/>
    <x v="1"/>
    <s v="ΔΙΕΥΘΥΝΣΗ Π.Ε. ΑΝΑΤΟΛΙΚΗΣ ΑΤΤΙΚΗΣ"/>
    <x v="3"/>
  </r>
  <r>
    <x v="1240"/>
    <x v="0"/>
    <s v="ΠΕ02"/>
    <s v="ΦΙΛ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7-01-01T00:00:00"/>
    <x v="0"/>
    <s v="ΔΙΕΥΘΥΝΣΗ Δ.Ε. ΗΡΑΚΛΕΙΟΥ"/>
    <x v="3"/>
  </r>
  <r>
    <x v="1241"/>
    <x v="1"/>
    <s v="ΠΕ05"/>
    <s v="ΓΑΛΛΙΚΗΣ ΦΙΛΟΛΟΓΙΑΣ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6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6-09-14T00:00:00"/>
    <x v="1"/>
    <s v="ΔΙΕΥΘΥΝΣΗ Π.Ε. ΚΥΚΛΑΔΩΝ"/>
    <x v="3"/>
  </r>
  <r>
    <x v="1242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2-04T00:00:00"/>
    <x v="0"/>
    <s v="ΔΙΕΥΘΥΝΣΗ Δ.Ε. ΑΝΑΤΟΛΙΚΗΣ ΑΤΤΙΚΗΣ"/>
    <x v="3"/>
  </r>
  <r>
    <x v="1243"/>
    <x v="1"/>
    <s v="ΠΕ11"/>
    <s v="ΦΥΣΙΚΗΣ ΑΓΩΓΗΣ"/>
    <m/>
    <m/>
    <s v="Γ΄"/>
    <n v="1"/>
    <s v="7018/1"/>
    <d v="2018-09-26T00:00:00"/>
    <s v="ΞΑΝΘΗΣ (Π.Ε.) 2018"/>
    <s v="ΔΙΕΥΘΥΝΣΗ Π.Ε. ΞΑΝΘΗΣ"/>
    <s v="ΠΕΡΙΦΕΡΕΙΑΚΗ Δ/ΝΣΗ Α/ΘΜΙΑΣ ΚΑΙ Β/ΘΜΙΑΣ ΕΚΠ/ΣΗΣ ΑΝ. ΜΑΚΕΔΟΝΙΑΣ ΚΑΙ ΘΡΑΚΗΣ"/>
    <n v="16"/>
    <d v="2018-09-26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76-01-01T00:00:00"/>
    <x v="1"/>
    <s v="ΔΙΕΥΘΥΝΣΗ Π.Ε. ΞΑΝΘΗΣ"/>
    <x v="3"/>
  </r>
  <r>
    <x v="1244"/>
    <x v="1"/>
    <s v="ΠΕ06"/>
    <s v="ΑΓΓΛΙΚΗΣ ΦΙΛΟΛΟΓΙΑ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6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6-01-01T00:00:00"/>
    <x v="1"/>
    <s v="ΔΙΕΥΘΥΝΣΗ Π.Ε. ΛΑΡΙΣΑΣ"/>
    <x v="3"/>
  </r>
  <r>
    <x v="1245"/>
    <x v="1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5-12-18T00:00:00"/>
    <x v="0"/>
    <s v="ΔΙΕΥΘΥΝΣΗ Δ.Ε. ΠΕΙΡΑΙΑ"/>
    <x v="3"/>
  </r>
  <r>
    <x v="1246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5-07-29T00:00:00"/>
    <x v="0"/>
    <s v="ΔΙΕΥΘΥΝΣΗ Δ.Ε. ΠΕΙΡΑΙΑ"/>
    <x v="3"/>
  </r>
  <r>
    <x v="1247"/>
    <x v="1"/>
    <s v="ΠΕ02"/>
    <s v="ΦΙΛ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5-01-01T00:00:00"/>
    <x v="0"/>
    <s v="ΔΙΕΥΘΥΝΣΗ Δ.Ε. ΗΡΑΚΛΕΙΟΥ"/>
    <x v="3"/>
  </r>
  <r>
    <x v="1248"/>
    <x v="1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7-24T00:00:00"/>
    <x v="0"/>
    <s v="ΔΙΕΥΘΥΝΣΗ Δ.Ε. ΑΝΑΤΟΛΙΚΗΣ ΑΤΤΙΚΗΣ"/>
    <x v="3"/>
  </r>
  <r>
    <x v="1249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7-01T00:00:00"/>
    <x v="0"/>
    <s v="ΔΙΕΥΘΥΝΣΗ Δ.Ε. ΑΝΑΤΟΛΙΚΗΣ ΑΤΤΙΚΗΣ"/>
    <x v="3"/>
  </r>
  <r>
    <x v="1250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6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4-05-21T00:00:00"/>
    <x v="0"/>
    <s v="ΔΙΕΥΘΥΝΣΗ Δ.Ε. ΑΝΑΤ. ΘΕΣ/ΝΙΚΗΣ"/>
    <x v="3"/>
  </r>
  <r>
    <x v="1251"/>
    <x v="1"/>
    <s v="ΠΕ91.01"/>
    <s v="ΘΕΑΤΡΙΚΩΝ ΣΠΟΥΔΩΝ"/>
    <m/>
    <m/>
    <s v="Α΄"/>
    <n v="10"/>
    <s v="5783/29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16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4-04-18T00:00:00"/>
    <x v="1"/>
    <s v="ΔΙΕΥΘΥΝΣΗ Π.Ε. ΑΝΑΤΟΛΙΚΗΣ ΑΤΤΙΚΗΣ"/>
    <x v="3"/>
  </r>
  <r>
    <x v="1252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2-25T00:00:00"/>
    <x v="0"/>
    <s v="ΔΙΕΥΘΥΝΣΗ Δ.Ε. ΑΝΑΤΟΛΙΚΗΣ ΑΤΤΙΚΗΣ"/>
    <x v="3"/>
  </r>
  <r>
    <x v="1253"/>
    <x v="1"/>
    <s v="ΠΕ06"/>
    <s v="ΑΓΓΛΙΚΗΣ ΦΙΛΟΛΟΓΙΑΣ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4-01-01T00:00:00"/>
    <x v="0"/>
    <s v="ΔΙΕΥΘΥΝΣΗ Δ.Ε. ΗΡΑΚΛΕΙΟΥ"/>
    <x v="3"/>
  </r>
  <r>
    <x v="1254"/>
    <x v="0"/>
    <s v="ΠΕ04.02"/>
    <s v="ΧΗΜ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11-13T00:00:00"/>
    <x v="0"/>
    <s v="ΔΙΕΥΘΥΝΣΗ Δ.Ε. Γ΄ ΑΘΗΝΑΣ"/>
    <x v="3"/>
  </r>
  <r>
    <x v="1255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7-25T00:00:00"/>
    <x v="0"/>
    <s v="ΔΙΕΥΘΥΝΣΗ Δ.Ε. Β΄ ΑΘΗΝΑΣ"/>
    <x v="3"/>
  </r>
  <r>
    <x v="1256"/>
    <x v="0"/>
    <s v="ΠΕ79.01"/>
    <s v="ΜΟΥΣΙΚΗΣ ΕΠΙΣΤΗΜ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6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4-12T00:00:00"/>
    <x v="1"/>
    <s v="ΔΙΕΥΘΥΝΣΗ Π.Ε. Β΄ ΑΘΗΝΑΣ"/>
    <x v="3"/>
  </r>
  <r>
    <x v="1257"/>
    <x v="1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1-01T00:00:00"/>
    <x v="0"/>
    <s v="ΔΙΕΥΘΥΝΣΗ Δ.Ε. Β΄ ΑΘΗΝΑΣ"/>
    <x v="3"/>
  </r>
  <r>
    <x v="1258"/>
    <x v="0"/>
    <s v="ΠΕ02"/>
    <s v="ΦΙΛΟΛΟΓΟΙ"/>
    <m/>
    <m/>
    <s v="Γ΄"/>
    <n v="1"/>
    <m/>
    <d v="2005-08-31T00:00:00"/>
    <s v="ΣΕΡΡΩΝ (Δ.Ε.) 2018"/>
    <s v="ΔΙΕΥΘΥΝΣΗ Δ.Ε. ΣΕΡΡΩΝ"/>
    <s v="ΠΕΡΙΦΕΡΕΙΑΚΗ Δ/ΝΣΗ Α/ΘΜΙΑΣ ΚΑΙ Β/ΘΜΙΑΣ ΕΚΠ/ΣΗΣ ΚΕΝΤΡΙΚΗΣ ΜΑΚΕΔΟΝΙΑΣ"/>
    <n v="16"/>
    <d v="2005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2-11-14T00:00:00"/>
    <x v="0"/>
    <s v="ΔΙΕΥΘΥΝΣΗ Δ.Ε. ΣΕΡΡΩΝ"/>
    <x v="3"/>
  </r>
  <r>
    <x v="1259"/>
    <x v="1"/>
    <s v="ΠΕ01"/>
    <s v="ΘΕΟΛΟΓΟΙ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6"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72-06-29T00:00:00"/>
    <x v="0"/>
    <s v="ΔΙΕΥΘΥΝΣΗ Δ.Ε. ΣΕΡΡΩΝ"/>
    <x v="3"/>
  </r>
  <r>
    <x v="1260"/>
    <x v="1"/>
    <s v="ΠΕ11"/>
    <s v="ΦΥΣΙΚΗΣ ΑΓΩΓΗΣ"/>
    <m/>
    <m/>
    <s v="Γ΄"/>
    <n v="1"/>
    <n v="2668"/>
    <d v="2018-09-01T00:00:00"/>
    <s v="Α΄ ΠΕΙΡΑΙΑ (Π.Ε.) 2018"/>
    <s v="ΔΙΕΥΘΥΝΣΗ Π.Ε. ΠΕΙΡΑΙΑ"/>
    <s v="ΠΕΡΙΦΕΡΕΙΑΚΗ Δ/ΝΣΗ Α/ΘΜΙΑΣ ΚΑΙ Β/ΘΜΙΑΣ ΕΚΠ/ΣΗΣ ΑΤΤΙΚΗΣ"/>
    <n v="16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2-05-04T00:00:00"/>
    <x v="1"/>
    <s v="ΔΙΕΥΘΥΝΣΗ Π.Ε. ΠΕΙΡΑΙΑ"/>
    <x v="3"/>
  </r>
  <r>
    <x v="1261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11-17T00:00:00"/>
    <x v="0"/>
    <s v="ΔΙΕΥΘΥΝΣΗ Δ.Ε. ΑΝΑΤΟΛΙΚΗΣ ΑΤΤΙΚΗΣ"/>
    <x v="3"/>
  </r>
  <r>
    <x v="126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11-01T00:00:00"/>
    <x v="0"/>
    <s v="ΔΙΕΥΘΥΝΣΗ Δ.Ε. Β΄ ΑΘΗΝΑΣ"/>
    <x v="3"/>
  </r>
  <r>
    <x v="1263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9-02T00:00:00"/>
    <x v="0"/>
    <s v="ΔΙΕΥΘΥΝΣΗ Δ.Ε. Β΄ ΑΘΗΝΑΣ"/>
    <x v="3"/>
  </r>
  <r>
    <x v="1264"/>
    <x v="0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8-02T00:00:00"/>
    <x v="0"/>
    <s v="ΔΙΕΥΘΥΝΣΗ Δ.Ε. Β΄ ΑΘΗΝΑΣ"/>
    <x v="3"/>
  </r>
  <r>
    <x v="1265"/>
    <x v="1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7-29T00:00:00"/>
    <x v="0"/>
    <s v="ΔΙΕΥΘΥΝΣΗ Δ.Ε. Β΄ ΑΘΗΝΑΣ"/>
    <x v="3"/>
  </r>
  <r>
    <x v="1266"/>
    <x v="0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7-25T00:00:00"/>
    <x v="0"/>
    <s v="ΔΙΕΥΘΥΝΣΗ Δ.Ε. ΑΝΑΤΟΛΙΚΗΣ ΑΤΤΙΚΗΣ"/>
    <x v="3"/>
  </r>
  <r>
    <x v="1267"/>
    <x v="1"/>
    <s v="ΠΕ86"/>
    <s v="ΠΛΗΡΟΦΟΡΙΚΗΣ"/>
    <s v="ΠΕ04.01"/>
    <s v="ΦΥΣΙΚ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12-07T00:00:00"/>
    <x v="0"/>
    <s v="ΔΙΕΥΘΥΝΣΗ Δ.Ε. ΑΝΑΤΟΛΙΚΗΣ ΑΤΤΙΚΗΣ"/>
    <x v="3"/>
  </r>
  <r>
    <x v="1268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5-21T00:00:00"/>
    <x v="0"/>
    <s v="ΔΙΕΥΘΥΝΣΗ Δ.Ε. ΑΝΑΤΟΛΙΚΗΣ ΑΤΤΙΚΗΣ"/>
    <x v="3"/>
  </r>
  <r>
    <x v="1269"/>
    <x v="0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6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0-05-17T00:00:00"/>
    <x v="0"/>
    <s v="ΔΙΕΥΘΥΝΣΗ Δ.Ε. Γ΄ ΑΘΗΝΑΣ"/>
    <x v="3"/>
  </r>
  <r>
    <x v="1270"/>
    <x v="0"/>
    <s v="ΠΕ11"/>
    <s v="ΦΥΣΙΚΗΣ ΑΓΩΓΗ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16"/>
    <m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0-04-20T00:00:00"/>
    <x v="1"/>
    <s v="ΔΙΕΥΘΥΝΣΗ Π.Ε. ΑΙΤΩΛΟΑΚΑΡΝΑΝΙΑΣ"/>
    <x v="3"/>
  </r>
  <r>
    <x v="1271"/>
    <x v="1"/>
    <s v="ΠΕ05"/>
    <s v="ΓΑΛ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6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1-01T00:00:00"/>
    <x v="1"/>
    <s v="ΔΙΕΥΘΥΝΣΗ Π.Ε. Β΄ ΑΘΗΝΑΣ"/>
    <x v="3"/>
  </r>
  <r>
    <x v="1272"/>
    <x v="0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6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12-16T00:00:00"/>
    <x v="1"/>
    <s v="ΔΙΕΥΘΥΝΣΗ Π.Ε. Β΄ ΑΘΗΝΑΣ"/>
    <x v="3"/>
  </r>
  <r>
    <x v="1273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2-09T00:00:00"/>
    <x v="0"/>
    <s v="ΔΙΕΥΘΥΝΣΗ Δ.Ε. Β΄ ΑΘΗΝΑΣ"/>
    <x v="3"/>
  </r>
  <r>
    <x v="1274"/>
    <x v="0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2-14T00:00:00"/>
    <x v="0"/>
    <s v="ΔΙΕΥΘΥΝΣΗ Δ.Ε. Β΄ ΑΘΗΝΑΣ"/>
    <x v="3"/>
  </r>
  <r>
    <x v="1275"/>
    <x v="1"/>
    <s v="ΠΕ04.02"/>
    <s v="ΧΗΜΙΚΟΙ"/>
    <m/>
    <m/>
    <s v="Α΄"/>
    <n v="7"/>
    <m/>
    <m/>
    <s v="Α΄ ΑΘΗΝΑΣ (Δ.Ε.) 2018"/>
    <s v="ΔΙΕΥΘΥΝΣΗ Δ.Ε. Α΄ ΑΘΗΝΑΣ"/>
    <s v="ΠΕΡΙΦΕΡΕΙΑΚΗ Δ/ΝΣΗ Α/ΘΜΙΑΣ ΚΑΙ Β/ΘΜΙΑΣ ΕΚΠ/ΣΗΣ ΑΤΤΙΚΗΣ"/>
    <n v="16"/>
    <d v="2002-09-1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09-20T00:00:00"/>
    <x v="0"/>
    <s v="ΔΙΕΥΘΥΝΣΗ Δ.Ε. Α΄ ΑΘΗΝΑΣ"/>
    <x v="3"/>
  </r>
  <r>
    <x v="1276"/>
    <x v="1"/>
    <s v="ΠΕ05"/>
    <s v="ΓΑΛΛΙΚΗΣ ΦΙΛΟΛΟΓΙΑΣ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6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9-01T00:00:00"/>
    <x v="0"/>
    <s v="ΔΙΕΥΘΥΝΣΗ Δ.Ε. ΑΝΑΤ. ΘΕΣ/ΝΙΚΗΣ"/>
    <x v="3"/>
  </r>
  <r>
    <x v="1277"/>
    <x v="0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7-07T00:00:00"/>
    <x v="0"/>
    <s v="ΔΙΕΥΘΥΝΣΗ Δ.Ε. ΑΝΑΤΟΛΙΚΗΣ ΑΤΤΙΚΗΣ"/>
    <x v="3"/>
  </r>
  <r>
    <x v="1278"/>
    <x v="0"/>
    <s v="ΠΕ04.04"/>
    <s v="ΒΙ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5-16T00:00:00"/>
    <x v="0"/>
    <s v="ΔΙΕΥΘΥΝΣΗ Δ.Ε. ΠΕΙΡΑΙΑ"/>
    <x v="3"/>
  </r>
  <r>
    <x v="1279"/>
    <x v="0"/>
    <s v="ΠΕ81"/>
    <s v="ΠΟΛ.ΜΗΧΑΝΙΚΩΝ-ΑΡΧΙΤΕΚΤΟΝΩΝ"/>
    <s v="ΠΕ04.05"/>
    <s v="ΓΕΩΛΟΓΟΙ"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4-28T00:00:00"/>
    <x v="0"/>
    <s v="ΔΙΕΥΘΥΝΣΗ Δ.Ε. Β΄ ΑΘΗΝΑΣ"/>
    <x v="3"/>
  </r>
  <r>
    <x v="1280"/>
    <x v="1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6"/>
    <m/>
    <s v="Ιδιωτικά Σχολεία"/>
    <x v="3"/>
    <s v="2880010"/>
    <s v="ΙΔΙΩΤΙΚΟ ΗΜΕΡΗΣΙΟ ΛΥΚΕΙΟ ΚΟΡΙΝΘΟΣ - ΑΡΙΣΤΟΤΕΛΕΙΟ ΓΕΝΙΚΟ ΛΥΚΕ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8-03-30T00:00:00"/>
    <x v="0"/>
    <s v="ΔΙΕΥΘΥΝΣΗ Δ.Ε. ΚΟΡΙΝΘΙΑΣ"/>
    <x v="3"/>
  </r>
  <r>
    <x v="1281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3-24T00:00:00"/>
    <x v="0"/>
    <s v="ΔΙΕΥΘΥΝΣΗ Δ.Ε. ΑΝΑΤΟΛΙΚΗΣ ΑΤΤΙΚΗΣ"/>
    <x v="3"/>
  </r>
  <r>
    <x v="1282"/>
    <x v="1"/>
    <s v="ΠΕ11"/>
    <s v="ΦΥΣΙΚΗΣ ΑΓΩΓ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6"/>
    <m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12-07T00:00:00"/>
    <x v="1"/>
    <s v="ΔΙΕΥΘΥΝΣΗ Π.Ε. Β΄ ΑΘΗΝΑΣ"/>
    <x v="3"/>
  </r>
  <r>
    <x v="1283"/>
    <x v="0"/>
    <s v="ΠΕ04.04"/>
    <s v="ΒΙ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6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67-08-03T00:00:00"/>
    <x v="0"/>
    <s v="ΔΙΕΥΘΥΝΣΗ Δ.Ε. ΗΡΑΚΛΕΙΟΥ"/>
    <x v="3"/>
  </r>
  <r>
    <x v="1284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6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6-11T00:00:00"/>
    <x v="1"/>
    <s v="ΔΙΕΥΘΥΝΣΗ Π.Ε. Β΄ ΑΘΗΝΑΣ"/>
    <x v="3"/>
  </r>
  <r>
    <x v="1285"/>
    <x v="1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3-14T00:00:00"/>
    <x v="0"/>
    <s v="ΔΙΕΥΘΥΝΣΗ Δ.Ε. ΑΝΑΤΟΛΙΚΗΣ ΑΤΤΙΚΗΣ"/>
    <x v="3"/>
  </r>
  <r>
    <x v="1286"/>
    <x v="0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3-11T00:00:00"/>
    <x v="0"/>
    <s v="ΔΙΕΥΘΥΝΣΗ Δ.Ε. Β΄ ΑΘΗΝΑΣ"/>
    <x v="3"/>
  </r>
  <r>
    <x v="1287"/>
    <x v="0"/>
    <s v="ΠΕ11"/>
    <s v="ΦΥΣΙΚΗΣ ΑΓΩΓ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6"/>
    <m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06-24T00:00:00"/>
    <x v="1"/>
    <s v="ΔΙΕΥΘΥΝΣΗ Π.Ε. Δ΄ ΑΘΗΝΑΣ"/>
    <x v="3"/>
  </r>
  <r>
    <x v="1288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6-05T00:00:00"/>
    <x v="0"/>
    <s v="ΔΙΕΥΘΥΝΣΗ Δ.Ε. ΑΝΑΤΟΛΙΚΗΣ ΑΤΤΙΚΗΣ"/>
    <x v="3"/>
  </r>
  <r>
    <x v="1289"/>
    <x v="0"/>
    <s v="ΠΕ04.01"/>
    <s v="ΦΥΣΙΚΟΙ"/>
    <m/>
    <m/>
    <s v="Γ΄"/>
    <n v="1"/>
    <s v="ΦΔ18/2/6796/14-09-2017"/>
    <d v="2017-09-01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16"/>
    <d v="2017-09-01T00:00:00"/>
    <s v="Ιδιωτικά Σχολεία"/>
    <x v="3"/>
    <s v="0161002"/>
    <s v="ΙΔΙΩΤΙΚΟ ΓΕΛ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0"/>
    <s v="Τοποθέτηση σε Ιδιωτική Εκπαίδευση"/>
    <d v="1964-01-24T00:00:00"/>
    <x v="0"/>
    <s v="ΔΙΕΥΘΥΝΣΗ Δ.Ε. ΑΙΤΩΛΟΑΚΑΡΝΑΝΙΑΣ"/>
    <x v="3"/>
  </r>
  <r>
    <x v="1290"/>
    <x v="0"/>
    <s v="ΠΕ03"/>
    <s v="ΜΑΘΗΜΑΤΙΚ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6"/>
    <d v="2004-08-31T00:00:00"/>
    <s v="Ιδιωτικά Σχολεία"/>
    <x v="2"/>
    <s v="4475075"/>
    <s v="ΙΔΙΩΤΙΚΟ ΓΥΜΝΑΣ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3-03-07T00:00:00"/>
    <x v="0"/>
    <s v="ΔΙΕΥΘΥΝΣΗ Δ.Ε. ΣΕΡΡΩΝ"/>
    <x v="3"/>
  </r>
  <r>
    <x v="1291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10-03T00:00:00"/>
    <x v="0"/>
    <s v="ΔΙΕΥΘΥΝΣΗ Δ.Ε. ΑΝΑΤΟΛΙΚΗΣ ΑΤΤΙΚΗΣ"/>
    <x v="3"/>
  </r>
  <r>
    <x v="1292"/>
    <x v="1"/>
    <s v="ΠΕ06"/>
    <s v="ΑΓΓΛΙΚΗΣ ΦΙΛΟΛΟΓΙΑ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06-10T00:00:00"/>
    <x v="0"/>
    <s v="ΔΙΕΥΘΥΝΣΗ Δ.Ε. ΑΝΑΤΟΛΙΚΗΣ ΑΤΤΙΚΗΣ"/>
    <x v="3"/>
  </r>
  <r>
    <x v="1293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07-16T00:00:00"/>
    <x v="0"/>
    <s v="ΔΙΕΥΘΥΝΣΗ Δ.Ε. Β΄ ΑΘΗΝΑΣ"/>
    <x v="3"/>
  </r>
  <r>
    <x v="1294"/>
    <x v="1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7-09T00:00:00"/>
    <x v="0"/>
    <s v="ΔΙΕΥΘΥΝΣΗ Δ.Ε. ΑΝΑΤΟΛΙΚΗΣ ΑΤΤΙΚΗΣ"/>
    <x v="3"/>
  </r>
  <r>
    <x v="129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61014"/>
    <s v="ΙΔΙΩΤΙΚΟ ΛΥΚΕΙΟ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8-01-01T00:00:00"/>
    <x v="0"/>
    <s v="ΔΙΕΥΘΥΝΣΗ Δ.Ε. Β΄ ΑΘΗΝΑΣ"/>
    <x v="3"/>
  </r>
  <r>
    <x v="1296"/>
    <x v="1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6"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7-07-20T00:00:00"/>
    <x v="0"/>
    <s v="ΔΙΕΥΘΥΝΣΗ Δ.Ε. ΠΕΙΡΑΙΑ"/>
    <x v="3"/>
  </r>
  <r>
    <x v="1297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1-05-16T00:00:00"/>
    <x v="0"/>
    <s v="ΔΙΕΥΘΥΝΣΗ Δ.Ε. Β΄ ΑΘΗΝΑΣ"/>
    <x v="3"/>
  </r>
  <r>
    <x v="1298"/>
    <x v="0"/>
    <s v="ΠΕ04.05"/>
    <s v="ΓΕΩ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0-08-19T00:00:00"/>
    <x v="0"/>
    <s v="ΔΙΕΥΘΥΝΣΗ Δ.Ε. Β΄ ΑΘΗΝΑΣ"/>
    <x v="3"/>
  </r>
  <r>
    <x v="1299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1300"/>
    <x v="0"/>
    <s v="ΠΕ01"/>
    <s v="ΘΕ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3"/>
  </r>
  <r>
    <x v="1301"/>
    <x v="0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1302"/>
    <x v="1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6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1303"/>
    <x v="1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1304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61014"/>
    <s v="ΙΔΙΩΤΙΚΟ ΛΥΚΕΙΟ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130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6"/>
    <m/>
    <s v="Ιδιωτικά Σχολεία"/>
    <x v="3"/>
    <s v="0561014"/>
    <s v="ΙΔΙΩΤΙΚΟ ΛΥΚΕΙΟ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1306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6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3"/>
  </r>
  <r>
    <x v="1307"/>
    <x v="0"/>
    <s v="ΠΕ03"/>
    <s v="ΜΑΘΗΜΑΤΙΚΟΙ"/>
    <m/>
    <m/>
    <s v="Γ΄"/>
    <n v="1"/>
    <n v="15011"/>
    <d v="2018-09-14T00:00:00"/>
    <s v="Δ΄ ΑΘΗΝΑΣ (Δ.Ε.) 2018"/>
    <s v="ΔΙΕΥΘΥΝΣΗ Δ.Ε. Δ΄ ΑΘΗΝΑΣ"/>
    <s v="ΠΕΡΙΦΕΡΕΙΑΚΗ Δ/ΝΣΗ Α/ΘΜΙΑΣ ΚΑΙ Β/ΘΜΙΑΣ ΕΚΠ/ΣΗΣ ΑΤΤΙΚΗΣ"/>
    <n v="16"/>
    <d v="2018-09-14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3"/>
  </r>
  <r>
    <x v="1308"/>
    <x v="0"/>
    <s v="ΠΕ11"/>
    <s v="ΦΥΣΙΚΗΣ ΑΓΩΓ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6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3"/>
  </r>
  <r>
    <x v="1309"/>
    <x v="0"/>
    <s v="ΠΕ11"/>
    <s v="ΦΥΣΙΚΗΣ ΑΓΩΓ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6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3"/>
  </r>
  <r>
    <x v="1310"/>
    <x v="1"/>
    <s v="ΠΕ06"/>
    <s v="ΑΓΓΛΙΚΗΣ ΦΙΛΟΛΟΓΙΑΣ"/>
    <m/>
    <m/>
    <s v="Γ΄"/>
    <n v="1"/>
    <n v="0"/>
    <d v="2018-09-01T00:00:00"/>
    <s v="Β΄ ΑΘΗΝΑΣ (Π.Ε.) 2018"/>
    <s v="ΔΙΕΥΘΥΝΣΗ Π.Ε. Β΄ ΑΘΗΝΑΣ"/>
    <s v="ΠΕΡΙΦΕΡΕΙΑΚΗ Δ/ΝΣΗ Α/ΘΜΙΑΣ ΚΑΙ Β/ΘΜΙΑΣ ΕΚΠ/ΣΗΣ ΑΤΤΙΚΗΣ"/>
    <n v="17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7-09-30T00:00:00"/>
    <x v="1"/>
    <s v="ΔΙΕΥΘΥΝΣΗ Π.Ε. Β΄ ΑΘΗΝΑΣ"/>
    <x v="3"/>
  </r>
  <r>
    <x v="1311"/>
    <x v="1"/>
    <s v="ΠΕ06"/>
    <s v="ΑΓΓΛΙΚΗΣ ΦΙΛΟΛΟΓΙΑΣ"/>
    <m/>
    <m/>
    <s v="Γ΄"/>
    <n v="1"/>
    <n v="20135"/>
    <d v="2017-10-12T00:00:00"/>
    <s v="Α΄ ΠΕΙΡΑΙΑ (Δ.Ε.) 2018"/>
    <s v="ΔΙΕΥΘΥΝΣΗ Δ.Ε. ΠΕΙΡΑΙΑ"/>
    <s v="ΠΕΡΙΦΕΡΕΙΑΚΗ Δ/ΝΣΗ Α/ΘΜΙΑΣ ΚΑΙ Β/ΘΜΙΑΣ ΕΚΠ/ΣΗΣ ΑΤΤΙΚΗΣ"/>
    <n v="17"/>
    <d v="2017-10-12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6-07-21T00:00:00"/>
    <x v="0"/>
    <s v="ΔΙΕΥΘΥΝΣΗ Δ.Ε. ΠΕΙΡΑΙΑ"/>
    <x v="3"/>
  </r>
  <r>
    <x v="1312"/>
    <x v="0"/>
    <s v="ΠΕ04.02"/>
    <s v="ΧΗΜΙΚΟΙ"/>
    <m/>
    <m/>
    <s v="Γ΄"/>
    <n v="1"/>
    <n v="20587"/>
    <d v="2018-10-15T00:00:00"/>
    <s v="Α΄ ΑΘΗΝΑΣ (Δ.Ε.) 2018"/>
    <s v="ΔΙΕΥΘΥΝΣΗ Δ.Ε. Α΄ ΑΘΗΝΑΣ"/>
    <s v="ΠΕΡΙΦΕΡΕΙΑΚΗ Δ/ΝΣΗ Α/ΘΜΙΑΣ ΚΑΙ Β/ΘΜΙΑΣ ΕΚΠ/ΣΗΣ ΑΤΤΙΚΗΣ"/>
    <n v="17"/>
    <d v="2018-10-15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85-11-05T00:00:00"/>
    <x v="0"/>
    <s v="ΔΙΕΥΘΥΝΣΗ Δ.Ε. Α΄ ΑΘΗΝΑΣ"/>
    <x v="3"/>
  </r>
  <r>
    <x v="1313"/>
    <x v="0"/>
    <s v="ΠΕ86"/>
    <s v="ΠΛΗΡΟΦΟΡΙΚΗΣ"/>
    <m/>
    <m/>
    <s v="Γ΄"/>
    <n v="1"/>
    <s v="Φ.17/5801"/>
    <d v="2018-09-01T00:00:00"/>
    <s v="ΚΟΡΙΝΘΙΑΣ (Π.Ε.) 2018"/>
    <s v="ΔΙΕΥΘΥΝΣΗ Π.Ε. ΚΟΡΙΝΘΙΑΣ"/>
    <s v="ΠΕΡΙΦΕΡΕΙΑΚΗ Δ/ΝΣΗ Α/ΘΜΙΑΣ ΚΑΙ Β/ΘΜΙΑΣ ΕΚΠ/ΣΗΣ ΠΕΛΟΠΟΝΝΗΣΟΥ"/>
    <n v="17"/>
    <d v="2018-09-01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5-10-30T00:00:00"/>
    <x v="1"/>
    <s v="ΔΙΕΥΘΥΝΣΗ Π.Ε. ΚΟΡΙΝΘΙΑΣ"/>
    <x v="3"/>
  </r>
  <r>
    <x v="1314"/>
    <x v="0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5-10-01T00:00:00"/>
    <x v="0"/>
    <s v="ΔΙΕΥΘΥΝΣΗ Δ.Ε. Γ΄ ΑΘΗΝΑΣ"/>
    <x v="3"/>
  </r>
  <r>
    <x v="1315"/>
    <x v="0"/>
    <s v="ΠΕ03"/>
    <s v="ΜΑΘΗΜΑΤΙΚΟΙ"/>
    <m/>
    <m/>
    <s v="Β΄"/>
    <n v="3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5-02-08T00:00:00"/>
    <x v="0"/>
    <s v="ΔΙΕΥΘΥΝΣΗ Δ.Ε. ΑΝΑΤΟΛΙΚΗΣ ΑΤΤΙΚΗΣ"/>
    <x v="3"/>
  </r>
  <r>
    <x v="1316"/>
    <x v="1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85-01-25T00:00:00"/>
    <x v="0"/>
    <s v="ΔΙΕΥΘΥΝΣΗ Δ.Ε. ΑΝΑΤΟΛΙΚΗΣ ΑΤΤΙΚΗΣ"/>
    <x v="3"/>
  </r>
  <r>
    <x v="1317"/>
    <x v="1"/>
    <s v="ΠΕ02"/>
    <s v="ΦΙΛΟΛΟΓΟΙ"/>
    <m/>
    <m/>
    <s v="Γ΄"/>
    <n v="1"/>
    <s v="ΑΠ1893252"/>
    <d v="2018-09-11T00:00:00"/>
    <s v="Α΄ ΜΑΓΝΗΣΙΑΣ (Δ.Ε.) 2018"/>
    <s v="ΔΙΕΥΘΥΝΣΗ Δ.Ε. ΜΑΓΝΗΣΙΑΣ"/>
    <s v="ΠΕΡΙΦΕΡΕΙΑΚΗ Δ/ΝΣΗ Α/ΘΜΙΑΣ ΚΑΙ Β/ΘΜΙΑΣ ΕΚΠ/ΣΗΣ ΘΕΣΣΑΛΙΑΣ"/>
    <n v="17"/>
    <d v="2018-09-11T00:00:00"/>
    <s v="Ιδιωτικά Σχολεία"/>
    <x v="2"/>
    <s v="3560001"/>
    <s v="ΙΔΙΩΤΙΚΟ ΓΥΜΝΑΣ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4-11-11T00:00:00"/>
    <x v="0"/>
    <s v="ΔΙΕΥΘΥΝΣΗ Δ.Ε. ΜΑΓΝΗΣΙΑΣ"/>
    <x v="3"/>
  </r>
  <r>
    <x v="1318"/>
    <x v="1"/>
    <s v="ΠΕ86"/>
    <s v="ΠΛΗΡΟΦΟΡΙΚ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17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0-05T00:00:00"/>
    <x v="1"/>
    <s v="ΔΙΕΥΘΥΝΣΗ Π.Ε. Δ΄ ΑΘΗΝΑΣ"/>
    <x v="3"/>
  </r>
  <r>
    <x v="1319"/>
    <x v="1"/>
    <s v="ΠΕ04.04"/>
    <s v="ΒΙΟΛΟΓΟΙ"/>
    <m/>
    <m/>
    <s v="Γ΄"/>
    <n v="1"/>
    <s v="Φ.17.2/9287"/>
    <d v="2018-09-21T00:00:00"/>
    <s v="ΣΕΡΡΩΝ (Δ.Ε.) 2018"/>
    <s v="ΔΙΕΥΘΥΝΣΗ Δ.Ε. ΣΕΡΡΩΝ"/>
    <s v="ΠΕΡΙΦΕΡΕΙΑΚΗ Δ/ΝΣΗ Α/ΘΜΙΑΣ ΚΑΙ Β/ΘΜΙΑΣ ΕΚΠ/ΣΗΣ ΚΕΝΤΡΙΚΗΣ ΜΑΚΕΔΟΝΙΑΣ"/>
    <n v="17"/>
    <d v="2018-09-2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84-08-18T00:00:00"/>
    <x v="0"/>
    <s v="ΔΙΕΥΘΥΝΣΗ Δ.Ε. ΣΕΡΡΩΝ"/>
    <x v="3"/>
  </r>
  <r>
    <x v="1320"/>
    <x v="0"/>
    <s v="ΠΕ11"/>
    <s v="ΦΥΣΙΚΗΣ ΑΓΩΓΗΣ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17"/>
    <m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4-03-18T00:00:00"/>
    <x v="1"/>
    <s v="ΔΙΕΥΘΥΝΣΗ Π.Ε. ΚΟΡΙΝΘΙΑΣ"/>
    <x v="3"/>
  </r>
  <r>
    <x v="1321"/>
    <x v="1"/>
    <s v="ΠΕ07"/>
    <s v="ΓΕΡΜΑΝΙΚΗΣ ΦΙΛΟΛΟΓΙΑ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17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1-01T00:00:00"/>
    <x v="1"/>
    <s v="ΔΙΕΥΘΥΝΣΗ Π.Ε. Β΄ ΑΘΗΝΑΣ"/>
    <x v="3"/>
  </r>
  <r>
    <x v="1322"/>
    <x v="0"/>
    <s v="ΠΕ03"/>
    <s v="ΜΑΘΗΜΑΤΙΚΟΙ"/>
    <m/>
    <m/>
    <s v="Γ΄"/>
    <n v="1"/>
    <s v="3802/5-9-2017"/>
    <d v="2018-09-01T00:00:00"/>
    <s v="ΑΡΓΟΛΙΔΑΣ (Δ.Ε.) 2018"/>
    <s v="ΔΙΕΥΘΥΝΣΗ Δ.Ε. ΑΡΓΟΛΙΔΑΣ"/>
    <s v="ΠΕΡΙΦΕΡΕΙΑΚΗ Δ/ΝΣΗ Α/ΘΜΙΑΣ ΚΑΙ Β/ΘΜΙΑΣ ΕΚΠ/ΣΗΣ ΠΕΛΟΠΟΝΝΗΣΟΥ"/>
    <n v="17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0"/>
    <s v="Τοποθέτηση σε Ιδιωτική Εκπαίδευση"/>
    <d v="1983-09-06T00:00:00"/>
    <x v="0"/>
    <s v="ΔΙΕΥΘΥΝΣΗ Δ.Ε. ΑΡΓΟΛΙΔΑΣ"/>
    <x v="3"/>
  </r>
  <r>
    <x v="1323"/>
    <x v="0"/>
    <s v="ΠΕ03"/>
    <s v="ΜΑΘΗΜΑΤΙΚΟΙ"/>
    <m/>
    <m/>
    <s v="Γ΄"/>
    <n v="1"/>
    <n v="10085"/>
    <d v="2018-09-01T00:00:00"/>
    <s v="ΙΩΑΝΝΙΝΩΝ (Δ.Ε.) 2018"/>
    <s v="ΔΙΕΥΘΥΝΣΗ Δ.Ε. ΙΩΑΝΝΙΝΩΝ"/>
    <s v="ΠΕΡΙΦΕΡΕΙΑΚΗ Δ/ΝΣΗ Α/ΘΜΙΑΣ ΚΑΙ Β/ΘΜΙΑΣ ΕΚΠ/ΣΗΣ ΗΠΕΙΡΟΥ"/>
    <n v="17"/>
    <d v="2018-09-01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83-03-11T00:00:00"/>
    <x v="0"/>
    <s v="ΔΙΕΥΘΥΝΣΗ Δ.Ε. ΙΩΑΝΝΙΝΩΝ"/>
    <x v="3"/>
  </r>
  <r>
    <x v="1324"/>
    <x v="1"/>
    <s v="ΠΕ05"/>
    <s v="ΓΑΛΛΙΚΗΣ ΦΙΛΟΛΟΓΙΑΣ"/>
    <m/>
    <m/>
    <s v="Γ΄"/>
    <n v="1"/>
    <n v="18424"/>
    <d v="2018-09-01T00:00:00"/>
    <s v="Α΄ ΠΕΙΡΑΙΑ (Δ.Ε.) 2018"/>
    <s v="ΔΙΕΥΘΥΝΣΗ Δ.Ε. ΠΕΙΡΑΙΑ"/>
    <s v="ΠΕΡΙΦΕΡΕΙΑΚΗ Δ/ΝΣΗ Α/ΘΜΙΑΣ ΚΑΙ Β/ΘΜΙΑΣ ΕΚΠ/ΣΗΣ ΑΤΤΙΚΗΣ"/>
    <n v="17"/>
    <d v="2018-09-01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3-01-03T00:00:00"/>
    <x v="0"/>
    <s v="ΔΙΕΥΘΥΝΣΗ Δ.Ε. ΠΕΙΡΑΙΑ"/>
    <x v="3"/>
  </r>
  <r>
    <x v="1325"/>
    <x v="0"/>
    <s v="ΠΕ86"/>
    <s v="ΠΛΗΡΟΦΟΡΙΚΗΣ"/>
    <s v="ΠΕ83"/>
    <s v="ΗΛΕΚΤΡΟΛΟΓΩΝ"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7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3-01-01T00:00:00"/>
    <x v="0"/>
    <s v="ΔΙΕΥΘΥΝΣΗ Δ.Ε. ΑΙΤΩΛΟΑΚΑΡΝΑΝΙΑΣ"/>
    <x v="3"/>
  </r>
  <r>
    <x v="1326"/>
    <x v="1"/>
    <s v="ΠΕ06"/>
    <s v="ΑΓΓΛΙΚΗΣ ΦΙΛΟΛΟΓΙΑΣ"/>
    <m/>
    <m/>
    <s v="Γ΄"/>
    <n v="1"/>
    <s v="Φ. 17.2_ A_/14075/4"/>
    <d v="2018-09-28T00:00:00"/>
    <s v="ΑΧΑΪΑΣ (Δ.Ε.) 2018"/>
    <s v="ΔΙΕΥΘΥΝΣΗ Δ.Ε. ΑΧΑΪΑΣ"/>
    <s v="ΠΕΡΙΦΕΡΕΙΑΚΗ Δ/ΝΣΗ Α/ΘΜΙΑΣ ΚΑΙ Β/ΘΜΙΑΣ ΕΚΠ/ΣΗΣ ΔΥΤΙΚΗΣ ΕΛΛΑΔΑΣ"/>
    <n v="17"/>
    <d v="2018-09-28T00:00:00"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3-01-01T00:00:00"/>
    <x v="0"/>
    <s v="ΔΙΕΥΘΥΝΣΗ Δ.Ε. ΑΧΑΪΑΣ"/>
    <x v="3"/>
  </r>
  <r>
    <x v="1327"/>
    <x v="1"/>
    <s v="ΠΕ05"/>
    <s v="ΓΑΛΛΙΚΗΣ ΦΙΛΟΛΟΓΙΑΣ"/>
    <m/>
    <m/>
    <s v="Γ΄"/>
    <n v="1"/>
    <s v="Φ. 17.2_ A/12078/7/5-10-2018"/>
    <d v="2018-09-01T00:00:00"/>
    <s v="ΑΧΑΪΑΣ (Δ.Ε.) 2018"/>
    <s v="ΔΙΕΥΘΥΝΣΗ Δ.Ε. ΑΧΑΪΑΣ"/>
    <s v="ΠΕΡΙΦΕΡΕΙΑΚΗ Δ/ΝΣΗ Α/ΘΜΙΑΣ ΚΑΙ Β/ΘΜΙΑΣ ΕΚΠ/ΣΗΣ ΔΥΤΙΚΗΣ ΕΛΛΑΔΑΣ"/>
    <n v="17"/>
    <d v="2018-09-01T00:00:00"/>
    <s v="Ιδιωτικά Σχολεία"/>
    <x v="2"/>
    <s v="0645053"/>
    <s v="ΙΔΙΩΤΙΚΟ ΓΥΜΝΑΣΙΟ &quot;ΑΝΑΓΕΝΝΗΣΗ IKE&quot;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3-01-01T00:00:00"/>
    <x v="0"/>
    <s v="ΔΙΕΥΘΥΝΣΗ Δ.Ε. ΑΧΑΪΑΣ"/>
    <x v="3"/>
  </r>
  <r>
    <x v="1328"/>
    <x v="0"/>
    <s v="ΠΕ82"/>
    <s v="ΜΗΧΑΝΟΛΟΓ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5-23T00:00:00"/>
    <x v="0"/>
    <s v="ΔΙΕΥΘΥΝΣΗ Δ.Ε. Β΄ ΑΘΗΝΑΣ"/>
    <x v="3"/>
  </r>
  <r>
    <x v="1329"/>
    <x v="0"/>
    <s v="ΠΕ04.04"/>
    <s v="ΒΙΟΛΟΓΟΙ"/>
    <m/>
    <m/>
    <s v="Γ΄"/>
    <n v="1"/>
    <s v="18279/33"/>
    <d v="2018-09-01T00:00:00"/>
    <s v="Γ΄ ΑΘΗΝΑΣ (Δ.Ε.) 2018"/>
    <s v="ΔΙΕΥΘΥΝΣΗ Δ.Ε. Γ΄ ΑΘΗΝΑΣ"/>
    <s v="ΠΕΡΙΦΕΡΕΙΑΚΗ Δ/ΝΣΗ Α/ΘΜΙΑΣ ΚΑΙ Β/ΘΜΙΑΣ ΕΚΠ/ΣΗΣ ΑΤΤΙΚΗΣ"/>
    <n v="17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8-14T00:00:00"/>
    <x v="0"/>
    <s v="ΔΙΕΥΘΥΝΣΗ Δ.Ε. Γ΄ ΑΘΗΝΑΣ"/>
    <x v="3"/>
  </r>
  <r>
    <x v="1330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8-04T00:00:00"/>
    <x v="1"/>
    <s v="ΔΙΕΥΘΥΝΣΗ Π.Ε. Β΄ ΑΘΗΝΑΣ"/>
    <x v="3"/>
  </r>
  <r>
    <x v="1331"/>
    <x v="1"/>
    <s v="ΠΕ04.04"/>
    <s v="ΒΙΟΛΟΓΟΙ"/>
    <m/>
    <m/>
    <s v="Γ΄"/>
    <n v="1"/>
    <s v="Φ. 17.2_ A_/12078/6/02-10-2018"/>
    <d v="2018-09-01T00:00:00"/>
    <s v="ΑΧΑΪΑΣ (Δ.Ε.) 2018"/>
    <s v="ΔΙΕΥΘΥΝΣΗ Δ.Ε. ΑΧΑΪΑΣ"/>
    <s v="ΠΕΡΙΦΕΡΕΙΑΚΗ Δ/ΝΣΗ Α/ΘΜΙΑΣ ΚΑΙ Β/ΘΜΙΑΣ ΕΚΠ/ΣΗΣ ΔΥΤΙΚΗΣ ΕΛΛΑΔΑΣ"/>
    <n v="17"/>
    <d v="2018-09-01T00:00:00"/>
    <s v="Ιδιωτικά Σχολεία"/>
    <x v="2"/>
    <s v="0645053"/>
    <s v="ΙΔΙΩΤΙΚΟ ΓΥΜΝΑΣΙΟ &quot;ΑΝΑΓΕΝΝΗΣΗ IKE&quot;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0-08-03T00:00:00"/>
    <x v="0"/>
    <s v="ΔΙΕΥΘΥΝΣΗ Δ.Ε. ΑΧΑΪΑΣ"/>
    <x v="3"/>
  </r>
  <r>
    <x v="1332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4-23T00:00:00"/>
    <x v="0"/>
    <s v="ΔΙΕΥΘΥΝΣΗ Δ.Ε. Β΄ ΑΘΗΝΑΣ"/>
    <x v="3"/>
  </r>
  <r>
    <x v="1333"/>
    <x v="0"/>
    <s v="ΠΕ86"/>
    <s v="ΠΛΗΡΟΦΟΡΙΚ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0-03-01T00:00:00"/>
    <x v="0"/>
    <s v="ΔΙΕΥΘΥΝΣΗ Δ.Ε. ΑΝΑΤΟΛΙΚΗΣ ΑΤΤΙΚΗΣ"/>
    <x v="3"/>
  </r>
  <r>
    <x v="1334"/>
    <x v="1"/>
    <s v="ΠΕ79.01"/>
    <s v="ΜΟΥΣΙΚΗΣ ΕΠΙΣΤΗΜΗΣ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17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0-01-01T00:00:00"/>
    <x v="1"/>
    <s v="ΔΙΕΥΘΥΝΣΗ Π.Ε. ΛΑΡΙΣΑΣ"/>
    <x v="3"/>
  </r>
  <r>
    <x v="1335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10-01T00:00:00"/>
    <x v="1"/>
    <s v="ΔΙΕΥΘΥΝΣΗ Π.Ε. Β΄ ΑΘΗΝΑΣ"/>
    <x v="3"/>
  </r>
  <r>
    <x v="1336"/>
    <x v="1"/>
    <s v="ΠΕ78"/>
    <s v="ΚΟΙΝΩΝΙΚΩΝ ΕΠΙΣΤΗΜΩΝ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02-24T00:00:00"/>
    <x v="0"/>
    <s v="ΔΙΕΥΘΥΝΣΗ Δ.Ε. Γ΄ ΑΘΗΝΑΣ"/>
    <x v="3"/>
  </r>
  <r>
    <x v="1337"/>
    <x v="1"/>
    <s v="ΠΕ07"/>
    <s v="ΓΕΡΜΑΝΙΚΗΣ ΦΙΛΟΛΟΓΙΑΣ"/>
    <m/>
    <m/>
    <s v="Γ΄"/>
    <n v="1"/>
    <s v="ΒΘΛΧ9-ΖΜ1"/>
    <d v="2014-12-10T00:00:00"/>
    <s v="ΑΧΑΪΑΣ (Π.Ε.) 2018"/>
    <s v="ΔΙΕΥΘΥΝΣΗ Π.Ε. ΑΧΑΪΑΣ"/>
    <s v="ΠΕΡΙΦΕΡΕΙΑΚΗ Δ/ΝΣΗ Α/ΘΜΙΑΣ ΚΑΙ Β/ΘΜΙΑΣ ΕΚΠ/ΣΗΣ ΔΥΤΙΚΗΣ ΕΛΛΑΔΑΣ"/>
    <n v="17"/>
    <d v="2014-12-10T00:00:00"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78-01-01T00:00:00"/>
    <x v="1"/>
    <s v="ΔΙΕΥΘΥΝΣΗ Π.Ε. ΑΧΑΪΑΣ"/>
    <x v="3"/>
  </r>
  <r>
    <x v="1338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7-06-02T00:00:00"/>
    <x v="0"/>
    <s v="ΔΙΕΥΘΥΝΣΗ Δ.Ε. Γ΄ ΑΘΗΝΑΣ"/>
    <x v="3"/>
  </r>
  <r>
    <x v="1339"/>
    <x v="1"/>
    <s v="ΠΕ05"/>
    <s v="ΓΑΛΛΙΚΗΣ ΦΙΛΟΛΟΓΙΑΣ"/>
    <m/>
    <m/>
    <s v="Γ΄"/>
    <n v="1"/>
    <n v="3393"/>
    <d v="2018-09-01T00:00:00"/>
    <s v="Α΄ ΠΕΙΡΑΙΑ (Δ.Ε.) 2018"/>
    <s v="ΔΙΕΥΘΥΝΣΗ Δ.Ε. ΠΕΙΡΑΙΑ"/>
    <s v="ΠΕΡΙΦΕΡΕΙΑΚΗ Δ/ΝΣΗ Α/ΘΜΙΑΣ ΚΑΙ Β/ΘΜΙΑΣ ΕΚΠ/ΣΗΣ ΑΤΤΙΚΗΣ"/>
    <n v="17"/>
    <d v="2018-09-01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05-20T00:00:00"/>
    <x v="0"/>
    <s v="ΔΙΕΥΘΥΝΣΗ Δ.Ε. ΠΕΙΡΑΙΑ"/>
    <x v="3"/>
  </r>
  <r>
    <x v="1340"/>
    <x v="1"/>
    <s v="ΠΕ08"/>
    <s v="ΚΑΛΛΙΤΕΧΝΙΚΩΝ"/>
    <m/>
    <m/>
    <s v="Γ΄"/>
    <n v="1"/>
    <n v="19613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17"/>
    <d v="2018-11-08T00:00:00"/>
    <s v="Ιδιωτικά Σχολεία"/>
    <x v="2"/>
    <s v="0560042"/>
    <s v="ST. LAWRENCE COLLEGE (ΓΥΜΝΑΣΙΟ)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76-07-06T00:00:00"/>
    <x v="0"/>
    <s v="ΔΙΕΥΘΥΝΣΗ Δ.Ε. ΑΝΑΤΟΛΙΚΗΣ ΑΤΤΙΚΗΣ"/>
    <x v="3"/>
  </r>
  <r>
    <x v="1341"/>
    <x v="1"/>
    <s v="ΠΕ04.04"/>
    <s v="ΒΙΟΛΟΓΟΙ"/>
    <m/>
    <m/>
    <s v="Γ΄"/>
    <n v="1"/>
    <n v="21123"/>
    <d v="2017-09-27T00:00:00"/>
    <s v="Α΄ ΠΕΙΡΑΙΑ (Δ.Ε.) 2018"/>
    <s v="ΔΙΕΥΘΥΝΣΗ Δ.Ε. ΠΕΙΡΑΙΑ"/>
    <s v="ΠΕΡΙΦΕΡΕΙΑΚΗ Δ/ΝΣΗ Α/ΘΜΙΑΣ ΚΑΙ Β/ΘΜΙΑΣ ΕΚΠ/ΣΗΣ ΑΤΤΙΚΗΣ"/>
    <n v="17"/>
    <d v="2017-12-04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6-01-01T00:00:00"/>
    <x v="0"/>
    <s v="ΔΙΕΥΘΥΝΣΗ Δ.Ε. ΠΕΙΡΑΙΑ"/>
    <x v="3"/>
  </r>
  <r>
    <x v="1342"/>
    <x v="1"/>
    <s v="ΠΕ08"/>
    <s v="ΚΑΛΛΙΤΕΧΝΙΚΩΝ"/>
    <m/>
    <m/>
    <s v="Α΄"/>
    <n v="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7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12-11T00:00:00"/>
    <x v="0"/>
    <s v="ΔΙΕΥΘΥΝΣΗ Δ.Ε. ΑΝΑΤ. ΘΕΣ/ΝΙΚΗΣ"/>
    <x v="3"/>
  </r>
  <r>
    <x v="1343"/>
    <x v="1"/>
    <s v="ΠΕ02"/>
    <s v="ΦΙΛΟΛΟΓΟΙ"/>
    <m/>
    <m/>
    <s v="Γ΄"/>
    <n v="1"/>
    <n v="15443"/>
    <d v="2018-09-01T00:00:00"/>
    <s v="Δ΄ ΑΘΗΝΑΣ (Δ.Ε.) 2018"/>
    <s v="ΔΙΕΥΘΥΝΣΗ Δ.Ε. Δ΄ ΑΘΗΝΑΣ"/>
    <s v="ΠΕΡΙΦΕΡΕΙΑΚΗ Δ/ΝΣΗ Α/ΘΜΙΑΣ ΚΑΙ Β/ΘΜΙΑΣ ΕΚΠ/ΣΗΣ ΑΤΤΙΚΗΣ"/>
    <n v="17"/>
    <d v="2018-09-01T00:00:00"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75-12-03T00:00:00"/>
    <x v="0"/>
    <s v="ΔΙΕΥΘΥΝΣΗ Δ.Ε. Δ΄ ΑΘΗΝΑΣ"/>
    <x v="3"/>
  </r>
  <r>
    <x v="1344"/>
    <x v="1"/>
    <s v="ΠΕ78"/>
    <s v="ΚΟΙΝΩΝΙΚΩΝ ΕΠΙΣΤΗΜΩΝ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7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4-06-21T00:00:00"/>
    <x v="0"/>
    <s v="ΔΙΕΥΘΥΝΣΗ Δ.Ε. ΛΑΡΙΣΑΣ"/>
    <x v="3"/>
  </r>
  <r>
    <x v="1345"/>
    <x v="1"/>
    <s v="ΠΕ06"/>
    <s v="ΑΓΓΛΙΚΗΣ ΦΙΛΟΛΟΓΙΑΣ"/>
    <m/>
    <m/>
    <s v="Γ΄"/>
    <n v="1"/>
    <n v="19689"/>
    <d v="2018-09-01T00:00:00"/>
    <s v="Α΄ ΠΕΙΡΑΙΑ (Δ.Ε.) 2018"/>
    <s v="ΔΙΕΥΘΥΝΣΗ Δ.Ε. ΠΕΙΡΑΙΑ"/>
    <s v="ΠΕΡΙΦΕΡΕΙΑΚΗ Δ/ΝΣΗ Α/ΘΜΙΑΣ ΚΑΙ Β/ΘΜΙΑΣ ΕΚΠ/ΣΗΣ ΑΤΤΙΚΗΣ"/>
    <n v="17"/>
    <d v="2018-09-01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6-02T00:00:00"/>
    <x v="0"/>
    <s v="ΔΙΕΥΘΥΝΣΗ Δ.Ε. ΠΕΙΡΑΙΑ"/>
    <x v="3"/>
  </r>
  <r>
    <x v="1346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7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3-23T00:00:00"/>
    <x v="0"/>
    <s v="ΔΙΕΥΘΥΝΣΗ Δ.Ε. ΠΕΙΡΑΙΑ"/>
    <x v="3"/>
  </r>
  <r>
    <x v="1347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Γ΄ ΑΘΗΝΑΣ"/>
    <x v="3"/>
  </r>
  <r>
    <x v="1348"/>
    <x v="0"/>
    <s v="ΠΕ03"/>
    <s v="ΜΑΘΗΜΑΤΙΚΟΙ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3"/>
    <s v="0561004"/>
    <s v="ΙΔΙΩΤΙΚΟ ΛΥΚΕ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10-14T00:00:00"/>
    <x v="0"/>
    <s v="ΔΙΕΥΘΥΝΣΗ Δ.Ε. ΑΝΑΤΟΛΙΚΗΣ ΑΤΤΙΚΗΣ"/>
    <x v="3"/>
  </r>
  <r>
    <x v="1349"/>
    <x v="1"/>
    <s v="ΠΕ78"/>
    <s v="ΚΟΙΝΩΝΙΚΩΝ ΕΠΙΣΤΗΜΩΝ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1-09-26T00:00:00"/>
    <x v="0"/>
    <s v="ΔΙΕΥΘΥΝΣΗ Δ.Ε. Γ΄ ΑΘΗΝΑΣ"/>
    <x v="3"/>
  </r>
  <r>
    <x v="1350"/>
    <x v="1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7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71-09-11T00:00:00"/>
    <x v="0"/>
    <s v="ΔΙΕΥΘΥΝΣΗ Δ.Ε. ΚΥΚΛΑΔΩΝ"/>
    <x v="3"/>
  </r>
  <r>
    <x v="1351"/>
    <x v="0"/>
    <s v="ΠΕ11"/>
    <s v="ΦΥΣΙΚΗΣ ΑΓΩΓΗΣ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7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1-09-02T00:00:00"/>
    <x v="0"/>
    <s v="ΔΙΕΥΘΥΝΣΗ Δ.Ε. ΚΟΡΙΝΘΙΑΣ"/>
    <x v="3"/>
  </r>
  <r>
    <x v="1352"/>
    <x v="0"/>
    <s v="ΠΕ04.04"/>
    <s v="ΒΙΟΛΟΓΟΙ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17"/>
    <m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1-07-13T00:00:00"/>
    <x v="0"/>
    <s v="ΔΙΕΥΘΥΝΣΗ Δ.Ε. ΛΑΡΙΣΑΣ"/>
    <x v="3"/>
  </r>
  <r>
    <x v="1353"/>
    <x v="1"/>
    <s v="ΠΕ79.01"/>
    <s v="ΜΟΥΣΙΚΗΣ ΕΠΙΣΤΗΜ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21T00:00:00"/>
    <x v="0"/>
    <s v="ΔΙΕΥΘΥΝΣΗ Δ.Ε. Β΄ ΑΘΗΝΑΣ"/>
    <x v="3"/>
  </r>
  <r>
    <x v="1354"/>
    <x v="0"/>
    <s v="ΠΕ82"/>
    <s v="ΜΗΧΑΝΟΛΟΓΩΝ"/>
    <m/>
    <m/>
    <s v="Β΄"/>
    <n v="4"/>
    <s v="Φ.17/16539/8/24-10-2018"/>
    <d v="2018-09-10T00:00:00"/>
    <s v="ΑΧΑΪΑΣ (Δ.Ε.) 2018"/>
    <s v="ΔΙΕΥΘΥΝΣΗ Δ.Ε. ΑΧΑΪΑΣ"/>
    <s v="ΠΕΡΙΦΕΡΕΙΑΚΗ Δ/ΝΣΗ Α/ΘΜΙΑΣ ΚΑΙ Β/ΘΜΙΑΣ ΕΚΠ/ΣΗΣ ΔΥΤΙΚΗΣ ΕΛΛΑΔΑΣ"/>
    <n v="17"/>
    <d v="2018-09-10T00:00:00"/>
    <s v="Ιδιωτικά Σχολεία"/>
    <x v="0"/>
    <s v="0610801"/>
    <s v="Ιδιωτικό Εσπερινό ΕΠΑ.Λ - ΤΡΙΑΝΤΕΙΟ ΕΣΠΕΡΙΝΟ ΕΠΑ.Λ"/>
    <s v="ΑΧΑΪΑΣ (Δ.Ε.) 2018"/>
    <s v="ΔΙΕΥΘΥΝΣΗ Δ.Ε. ΑΧΑΪΑΣ"/>
    <s v="ΠΕΡΙΦΕΡΕΙΑΚΗ Δ/ΝΣΗ Α/ΘΜΙΑΣ ΚΑΙ Β/ΘΜΙΑΣ ΕΚΠ/ΣΗΣ ΔΥΤΙΚΗΣ ΕΛΛΑΔΑΣ"/>
    <x v="0"/>
    <s v="Τοποθέτηση σε Ιδιωτική Εκπαίδευση"/>
    <d v="1971-03-20T00:00:00"/>
    <x v="0"/>
    <s v="ΔΙΕΥΘΥΝΣΗ Δ.Ε. ΑΧΑΪΑΣ"/>
    <x v="3"/>
  </r>
  <r>
    <x v="1355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11-09T00:00:00"/>
    <x v="1"/>
    <s v="ΔΙΕΥΘΥΝΣΗ Π.Ε. Β΄ ΑΘΗΝΑΣ"/>
    <x v="3"/>
  </r>
  <r>
    <x v="1356"/>
    <x v="1"/>
    <s v="ΤΕ16"/>
    <s v="ΜΟΥΣΙΚΗΣ ΜΗ ΑΝΩΤΑΤΩΝ ΙΔΡΥΜΑΤΩΝ"/>
    <m/>
    <m/>
    <s v="Γ΄"/>
    <n v="1"/>
    <s v="ΦΔ12.2/6764"/>
    <d v="2018-09-26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7"/>
    <d v="2018-09-26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0-07-24T00:00:00"/>
    <x v="1"/>
    <s v="ΔΙΕΥΘΥΝΣΗ Π.Ε. ΑΙΤΩΛΟΑΚΑΡΝΑΝΙΑΣ"/>
    <x v="3"/>
  </r>
  <r>
    <x v="1357"/>
    <x v="1"/>
    <s v="ΠΕ86"/>
    <s v="ΠΛΗΡΟΦΟΡΙΚΗΣ"/>
    <s v="ΠΕ03"/>
    <s v="ΜΑΘΗΜΑΤΙΚΟΙ"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7-12T00:00:00"/>
    <x v="0"/>
    <s v="ΔΙΕΥΘΥΝΣΗ Δ.Ε. ΑΝΑΤΟΛΙΚΗΣ ΑΤΤΙΚΗΣ"/>
    <x v="3"/>
  </r>
  <r>
    <x v="1358"/>
    <x v="1"/>
    <s v="ΠΕ02"/>
    <s v="ΦΙΛΟΛΟΓΟΙ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7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4-10T00:00:00"/>
    <x v="0"/>
    <s v="ΔΙΕΥΘΥΝΣΗ Δ.Ε. ΑΝΑΤ. ΘΕΣ/ΝΙΚΗΣ"/>
    <x v="3"/>
  </r>
  <r>
    <x v="1359"/>
    <x v="0"/>
    <s v="ΠΕ11"/>
    <s v="ΦΥΣΙΚΗΣ ΑΓΩΓΗΣ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7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8-07T00:00:00"/>
    <x v="0"/>
    <s v="ΔΙΕΥΘΥΝΣΗ Δ.Ε. Δ΄ ΑΘΗΝΑΣ"/>
    <x v="3"/>
  </r>
  <r>
    <x v="1360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6-29T00:00:00"/>
    <x v="0"/>
    <s v="ΔΙΕΥΘΥΝΣΗ Δ.Ε. ΑΝΑΤΟΛΙΚΗΣ ΑΤΤΙΚΗΣ"/>
    <x v="3"/>
  </r>
  <r>
    <x v="1361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7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1-23T00:00:00"/>
    <x v="1"/>
    <s v="ΔΙΕΥΘΥΝΣΗ Π.Ε. Β΄ ΑΘΗΝΑΣ"/>
    <x v="3"/>
  </r>
  <r>
    <x v="1362"/>
    <x v="1"/>
    <s v="ΠΕ04.01"/>
    <s v="ΦΥΣ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7-10-14T00:00:00"/>
    <x v="0"/>
    <s v="ΔΙΕΥΘΥΝΣΗ Δ.Ε. Γ΄ ΑΘΗΝΑΣ"/>
    <x v="3"/>
  </r>
  <r>
    <x v="1363"/>
    <x v="0"/>
    <s v="ΠΕ04.02"/>
    <s v="ΧΗΜΙΚ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7"/>
    <d v="2004-08-31T00:00:00"/>
    <s v="Ιδιωτικά Σχολεία"/>
    <x v="2"/>
    <s v="4475075"/>
    <s v="ΙΔΙΩΤΙΚΟ ΓΥΜΝΑΣ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7-07-29T00:00:00"/>
    <x v="0"/>
    <s v="ΔΙΕΥΘΥΝΣΗ Δ.Ε. ΣΕΡΡΩΝ"/>
    <x v="3"/>
  </r>
  <r>
    <x v="1364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6-24T00:00:00"/>
    <x v="0"/>
    <s v="ΔΙΕΥΘΥΝΣΗ Δ.Ε. ΑΝΑΤΟΛΙΚΗΣ ΑΤΤΙΚΗΣ"/>
    <x v="3"/>
  </r>
  <r>
    <x v="136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9-09T00:00:00"/>
    <x v="0"/>
    <s v="ΔΙΕΥΘΥΝΣΗ Δ.Ε. Β΄ ΑΘΗΝΑΣ"/>
    <x v="3"/>
  </r>
  <r>
    <x v="1366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8-28T00:00:00"/>
    <x v="0"/>
    <s v="ΔΙΕΥΘΥΝΣΗ Δ.Ε. Β΄ ΑΘΗΝΑΣ"/>
    <x v="3"/>
  </r>
  <r>
    <x v="1367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2-19T00:00:00"/>
    <x v="0"/>
    <s v="ΔΙΕΥΘΥΝΣΗ Δ.Ε. Β΄ ΑΘΗΝΑΣ"/>
    <x v="3"/>
  </r>
  <r>
    <x v="1368"/>
    <x v="1"/>
    <s v="ΠΕ03"/>
    <s v="ΜΑΘΗΜΑΤΙΚ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17"/>
    <d v="2018-09-12T00:00:00"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11-26T00:00:00"/>
    <x v="0"/>
    <s v="ΔΙΕΥΘΥΝΣΗ Δ.Ε. Δ΄ ΑΘΗΝΑΣ"/>
    <x v="3"/>
  </r>
  <r>
    <x v="1369"/>
    <x v="1"/>
    <s v="ΠΕ07"/>
    <s v="ΓΕΡΜΑΝΙΚΗΣ ΦΙΛΟΛΟΓΙΑ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7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3-10-14T00:00:00"/>
    <x v="0"/>
    <s v="ΔΙΕΥΘΥΝΣΗ Δ.Ε. ΙΩΑΝΝΙΝΩΝ"/>
    <x v="3"/>
  </r>
  <r>
    <x v="1370"/>
    <x v="0"/>
    <s v="ΠΕ04.01"/>
    <s v="ΦΥΣΙΚΟΙ"/>
    <m/>
    <m/>
    <s v="Γ΄"/>
    <n v="1"/>
    <m/>
    <d v="2004-08-31T00:00:00"/>
    <s v="ΣΕΡΡΩΝ (Δ.Ε.) 2018"/>
    <s v="ΔΙΕΥΘΥΝΣΗ Δ.Ε. ΣΕΡΡΩΝ"/>
    <s v="ΠΕΡΙΦΕΡΕΙΑΚΗ Δ/ΝΣΗ Α/ΘΜΙΑΣ ΚΑΙ Β/ΘΜΙΑΣ ΕΚΠ/ΣΗΣ ΚΕΝΤΡΙΚΗΣ ΜΑΚΕΔΟΝΙΑΣ"/>
    <n v="17"/>
    <d v="2004-08-31T00:00:00"/>
    <s v="Ιδιωτικά Σχολεία"/>
    <x v="3"/>
    <s v="4475070"/>
    <s v="ΙΔΙΩΤΙΚΟ ΗΜΕΡΗΣΙΟ ΛΥΚΕΙΟ ΣΕΡΡΕΣ - ΑΡΙΣΤΟΤΕΛΕΙΟ ΕΚΠΑΙΔΕΥΤΗΡΙΟ"/>
    <s v="ΣΕΡΡΩΝ (Δ.Ε.) 2018"/>
    <s v="ΔΙΕΥΘΥΝΣΗ Δ.Ε. ΣΕΡΡΩΝ"/>
    <s v="ΠΕΡΙΦΕΡΕΙΑΚΗ Δ/ΝΣΗ Α/ΘΜΙΑΣ ΚΑΙ Β/ΘΜΙΑΣ ΕΚΠ/ΣΗΣ ΚΕΝΤΡΙΚΗΣ ΜΑΚΕΔΟΝΙΑΣ"/>
    <x v="1"/>
    <s v="Τοποθέτηση σε Ιδιωτική Εκπαίδευση"/>
    <d v="1962-05-30T00:00:00"/>
    <x v="0"/>
    <s v="ΔΙΕΥΘΥΝΣΗ Δ.Ε. ΣΕΡΡΩΝ"/>
    <x v="3"/>
  </r>
  <r>
    <x v="1371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7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2-05-14T00:00:00"/>
    <x v="0"/>
    <s v="ΔΙΕΥΘΥΝΣΗ Δ.Ε. ΠΕΙΡΑΙΑ"/>
    <x v="3"/>
  </r>
  <r>
    <x v="1372"/>
    <x v="1"/>
    <s v="ΠΕ06"/>
    <s v="ΑΓΓΛΙΚΗΣ ΦΙΛΟΛΟΓΙΑΣ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17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1-10-01T00:00:00"/>
    <x v="1"/>
    <s v="ΔΙΕΥΘΥΝΣΗ Π.Ε. Β΄ ΑΘΗΝΑΣ"/>
    <x v="3"/>
  </r>
  <r>
    <x v="1373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03-24T00:00:00"/>
    <x v="0"/>
    <s v="ΔΙΕΥΘΥΝΣΗ Δ.Ε. Β΄ ΑΘΗΝΑΣ"/>
    <x v="3"/>
  </r>
  <r>
    <x v="1374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06-21T00:00:00"/>
    <x v="0"/>
    <s v="ΔΙΕΥΘΥΝΣΗ Δ.Ε. Β΄ ΑΘΗΝΑΣ"/>
    <x v="3"/>
  </r>
  <r>
    <x v="1375"/>
    <x v="1"/>
    <s v="ΠΕ86"/>
    <s v="ΠΛΗΡΟΦΟΡΙΚΗ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7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0-06-21T00:00:00"/>
    <x v="1"/>
    <s v="ΔΙΕΥΘΥΝΣΗ Π.Ε. ΠΕΙΡΑΙΑ"/>
    <x v="3"/>
  </r>
  <r>
    <x v="1376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5-20T00:00:00"/>
    <x v="0"/>
    <s v="ΔΙΕΥΘΥΝΣΗ Δ.Ε. Β΄ ΑΘΗΝΑΣ"/>
    <x v="3"/>
  </r>
  <r>
    <x v="1377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8-09-08T00:00:00"/>
    <x v="0"/>
    <s v="ΔΙΕΥΘΥΝΣΗ Δ.Ε. Β΄ ΑΘΗΝΑΣ"/>
    <x v="3"/>
  </r>
  <r>
    <x v="1378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7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8-08-18T00:00:00"/>
    <x v="0"/>
    <s v="ΔΙΕΥΘΥΝΣΗ Δ.Ε. Β΄ ΑΘΗΝΑΣ"/>
    <x v="3"/>
  </r>
  <r>
    <x v="1379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7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8-02-16T00:00:00"/>
    <x v="0"/>
    <s v="ΔΙΕΥΘΥΝΣΗ Δ.Ε. Γ΄ ΑΘΗΝΑΣ"/>
    <x v="3"/>
  </r>
  <r>
    <x v="1380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7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5-02-16T00:00:00"/>
    <x v="0"/>
    <s v="ΔΙΕΥΘΥΝΣΗ Δ.Ε. ΠΕΙΡΑΙΑ"/>
    <x v="3"/>
  </r>
  <r>
    <x v="1381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1382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7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3"/>
  </r>
  <r>
    <x v="1383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7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3"/>
  </r>
  <r>
    <x v="1384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96-12-25T00:00:00"/>
    <x v="0"/>
    <s v="ΔΙΕΥΘΥΝΣΗ Δ.Ε. Α΄ ΑΘΗΝΑΣ"/>
    <x v="3"/>
  </r>
  <r>
    <x v="1385"/>
    <x v="0"/>
    <s v="ΠΕ03"/>
    <s v="ΜΑΘΗΜΑΤΙΚΟΙ"/>
    <m/>
    <m/>
    <s v="Γ΄"/>
    <n v="1"/>
    <n v="12819"/>
    <d v="2018-11-13T00:00:00"/>
    <s v="ΠΙΕΡΙΑΣ (Δ.Ε.) 2018"/>
    <s v="ΔΙΕΥΘΥΝΣΗ Δ.Ε. ΠΙΕΡΙΑΣ"/>
    <s v="ΠΕΡΙΦΕΡΕΙΑΚΗ Δ/ΝΣΗ Α/ΘΜΙΑΣ ΚΑΙ Β/ΘΜΙΑΣ ΕΚΠ/ΣΗΣ ΚΕΝΤΡΙΚΗΣ ΜΑΚΕΔΟΝΙΑΣ"/>
    <n v="18"/>
    <d v="2018-11-13T00:00:00"/>
    <m/>
    <x v="6"/>
    <s v=""/>
    <m/>
    <m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93-10-15T00:00:00"/>
    <x v="0"/>
    <s v="ΔΙΕΥΘΥΝΣΗ Δ.Ε. ΠΙΕΡΙΑΣ"/>
    <x v="3"/>
  </r>
  <r>
    <x v="1386"/>
    <x v="1"/>
    <s v="ΠΕ07"/>
    <s v="ΓΕΡΜΑΝΙΚΗΣ ΦΙΛΟΛΟΓΙΑΣ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3-01-12T00:00:00"/>
    <x v="1"/>
    <s v="ΔΙΕΥΘΥΝΣΗ Π.Ε. ΑΝΑΤ. ΘΕΣ/ΝΙΚΗΣ"/>
    <x v="3"/>
  </r>
  <r>
    <x v="1387"/>
    <x v="0"/>
    <s v="ΠΕ79.01"/>
    <s v="ΜΟΥΣΙΚΗΣ ΕΠΙΣΤΗΜ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0-01-01T00:00:00"/>
    <x v="0"/>
    <s v="ΔΙΕΥΘΥΝΣΗ Δ.Ε. Β΄ ΑΘΗΝΑΣ"/>
    <x v="3"/>
  </r>
  <r>
    <x v="1388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90-01-01T00:00:00"/>
    <x v="0"/>
    <s v="ΔΙΕΥΘΥΝΣΗ Δ.Ε. Β΄ ΑΘΗΝΑΣ"/>
    <x v="3"/>
  </r>
  <r>
    <x v="1389"/>
    <x v="1"/>
    <s v="ΠΕ80"/>
    <s v="ΟΙΚΟΝΟΜΙΑΣ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9-11-02T00:00:00"/>
    <x v="0"/>
    <s v="ΔΙΕΥΘΥΝΣΗ Δ.Ε. ΠΕΙΡΑΙΑ"/>
    <x v="3"/>
  </r>
  <r>
    <x v="1390"/>
    <x v="0"/>
    <s v="ΠΕ85"/>
    <s v="ΧΗΜΙΚΩΝ ΜΗΧΑΝΙΚ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07-05T00:00:00"/>
    <x v="0"/>
    <s v="ΔΙΕΥΘΥΝΣΗ Δ.Ε. Β΄ ΑΘΗΝΑΣ"/>
    <x v="3"/>
  </r>
  <r>
    <x v="1391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9-04-19T00:00:00"/>
    <x v="0"/>
    <s v="ΔΙΕΥΘΥΝΣΗ Δ.Ε. Γ΄ ΑΘΗΝΑΣ"/>
    <x v="3"/>
  </r>
  <r>
    <x v="1392"/>
    <x v="1"/>
    <s v="ΠΕ02"/>
    <s v="ΦΙΛΟΛΟΓΟΙ"/>
    <m/>
    <m/>
    <s v="Γ΄"/>
    <n v="1"/>
    <n v="11290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18"/>
    <d v="2018-09-01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9-01-14T00:00:00"/>
    <x v="0"/>
    <s v="ΔΙΕΥΘΥΝΣΗ Δ.Ε. ΠΙΕΡΙΑΣ"/>
    <x v="3"/>
  </r>
  <r>
    <x v="1393"/>
    <x v="1"/>
    <s v="ΠΕ04.01"/>
    <s v="ΦΥΣΙΚ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8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8-07-27T00:00:00"/>
    <x v="0"/>
    <s v="ΔΙΕΥΘΥΝΣΗ Δ.Ε. ΚΥΚΛΑΔΩΝ"/>
    <x v="3"/>
  </r>
  <r>
    <x v="1394"/>
    <x v="1"/>
    <s v="ΠΕ19"/>
    <s v="ΠΛΗΡΟΦΟΡΙΚΗΣ Α.Ε.Ι."/>
    <m/>
    <m/>
    <s v="Γ΄"/>
    <n v="1"/>
    <n v="14598"/>
    <d v="2018-09-01T00:00:00"/>
    <s v="Δ΄ ΑΘΗΝΑΣ (Π.Ε.) 2018"/>
    <s v="ΔΙΕΥΘΥΝΣΗ Π.Ε. Δ΄ ΑΘΗΝΑΣ"/>
    <s v="ΠΕΡΙΦΕΡΕΙΑΚΗ Δ/ΝΣΗ Α/ΘΜΙΑΣ ΚΑΙ Β/ΘΜΙΑΣ ΕΚΠ/ΣΗΣ ΑΤΤΙΚΗΣ"/>
    <n v="18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6-22T00:00:00"/>
    <x v="1"/>
    <s v="ΔΙΕΥΘΥΝΣΗ Π.Ε. Δ΄ ΑΘΗΝΑΣ"/>
    <x v="3"/>
  </r>
  <r>
    <x v="1395"/>
    <x v="1"/>
    <s v="ΠΕ86"/>
    <s v="ΠΛΗΡΟΦΟΡΙΚΗΣ"/>
    <m/>
    <m/>
    <s v="Γ΄"/>
    <n v="1"/>
    <d v="2016-09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6-08-12T00:00:00"/>
    <x v="1"/>
    <s v="ΔΙΕΥΘΥΝΣΗ Π.Ε. ΑΝΑΤ. ΘΕΣ/ΝΙΚΗΣ"/>
    <x v="3"/>
  </r>
  <r>
    <x v="1396"/>
    <x v="1"/>
    <s v="ΠΕ07"/>
    <s v="ΓΕΡΜΑΝΙΚΗΣ ΦΙΛΟΛΟΓΙΑΣ"/>
    <m/>
    <m/>
    <s v="Γ΄"/>
    <n v="1"/>
    <s v="ΧΧΧ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18"/>
    <d v="2018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86-05-31T00:00:00"/>
    <x v="1"/>
    <s v="ΔΙΕΥΘΥΝΣΗ Π.Ε. ΑΝΑΤΟΛΙΚΗΣ ΑΤΤΙΚΗΣ"/>
    <x v="3"/>
  </r>
  <r>
    <x v="1397"/>
    <x v="0"/>
    <s v="ΠΕ11"/>
    <s v="ΦΥΣΙΚΗΣ ΑΓΩΓΗ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8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6-03-28T00:00:00"/>
    <x v="1"/>
    <s v="ΔΙΕΥΘΥΝΣΗ Π.Ε. ΠΕΙΡΑΙΑ"/>
    <x v="3"/>
  </r>
  <r>
    <x v="1398"/>
    <x v="0"/>
    <s v="ΠΕ04.01"/>
    <s v="ΦΥΣΙΚΟΙ"/>
    <m/>
    <m/>
    <s v="Γ΄"/>
    <n v="1"/>
    <s v="9415/Φ17.2/1-10-2018"/>
    <d v="2018-09-18T00:00:00"/>
    <s v="ΞΑΝΘΗΣ (Δ.Ε.) 2018"/>
    <s v="ΔΙΕΥΘΥΝΣΗ Δ.Ε. ΞΑΝΘΗΣ"/>
    <s v="ΠΕΡΙΦΕΡΕΙΑΚΗ Δ/ΝΣΗ Α/ΘΜΙΑΣ ΚΑΙ Β/ΘΜΙΑΣ ΕΚΠ/ΣΗΣ ΑΝ. ΜΑΚΕΔΟΝΙΑΣ ΚΑΙ ΘΡΑΚΗΣ"/>
    <n v="18"/>
    <d v="2018-09-18T00:00:00"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85-04-29T00:00:00"/>
    <x v="0"/>
    <s v="ΔΙΕΥΘΥΝΣΗ Δ.Ε. ΞΑΝΘΗΣ"/>
    <x v="3"/>
  </r>
  <r>
    <x v="1399"/>
    <x v="0"/>
    <s v="ΠΕ11"/>
    <s v="ΦΥΣΙΚΗΣ ΑΓΩΓΗΣ"/>
    <m/>
    <m/>
    <s v="Γ΄"/>
    <n v="1"/>
    <d v="2011-09-2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4-12-08T00:00:00"/>
    <x v="1"/>
    <s v="ΔΙΕΥΘΥΝΣΗ Π.Ε. ΑΝΑΤ. ΘΕΣ/ΝΙΚΗΣ"/>
    <x v="3"/>
  </r>
  <r>
    <x v="1400"/>
    <x v="0"/>
    <s v="ΠΕ80"/>
    <s v="ΟΙΚΟΝΟΜ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4-11-06T00:00:00"/>
    <x v="0"/>
    <s v="ΔΙΕΥΘΥΝΣΗ Δ.Ε. ΛΑΡΙΣΑΣ"/>
    <x v="3"/>
  </r>
  <r>
    <x v="1401"/>
    <x v="1"/>
    <s v="ΠΕ86"/>
    <s v="ΠΛΗΡΟΦΟΡΙΚΗΣ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8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4-03-16T00:00:00"/>
    <x v="1"/>
    <s v="ΔΙΕΥΘΥΝΣΗ Π.Ε. ΑΙΤΩΛΟΑΚΑΡΝΑΝΙΑΣ"/>
    <x v="3"/>
  </r>
  <r>
    <x v="1402"/>
    <x v="0"/>
    <s v="ΠΕ06"/>
    <s v="ΑΓΓΛΙΚΗΣ ΦΙΛΟΛΟΓΙΑΣ"/>
    <m/>
    <m/>
    <s v="Γ΄"/>
    <n v="1"/>
    <s v="ΩΓΧΑ9-895"/>
    <d v="2014-12-08T00:00:00"/>
    <s v="Α΄ ΑΝΑΤ. ΑΤΤΙΚΗΣ (Π.Ε.) 2018"/>
    <s v="ΔΙΕΥΘΥΝΣΗ Π.Ε. ΑΝΑΤΟΛΙΚΗΣ ΑΤΤΙΚΗΣ"/>
    <s v="ΠΕΡΙΦΕΡΕΙΑΚΗ Δ/ΝΣΗ Α/ΘΜΙΑΣ ΚΑΙ Β/ΘΜΙΑΣ ΕΚΠ/ΣΗΣ ΑΤΤΙΚΗΣ"/>
    <n v="18"/>
    <d v="2014-12-08T00:00:00"/>
    <s v="Ιδιωτικά Σχολεία"/>
    <x v="4"/>
    <s v="7521060"/>
    <s v="ΙΔΙΩΤΙΚΟ ΔΗΜΟΤΙΚΟ ΣΧΟΛΕΙΟ - ΔΕΣ ΔΗΜΟΤΙΚΟ ΙΚΕ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84-01-01T00:00:00"/>
    <x v="1"/>
    <s v="ΔΙΕΥΘΥΝΣΗ Π.Ε. ΑΝΑΤΟΛΙΚΗΣ ΑΤΤΙΚΗΣ"/>
    <x v="3"/>
  </r>
  <r>
    <x v="1403"/>
    <x v="1"/>
    <s v="ΠΕ05"/>
    <s v="ΓΑΛΛΙΚΗΣ ΦΙΛΟΛΟΓΙΑΣ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3-04-04T00:00:00"/>
    <x v="1"/>
    <s v="ΔΙΕΥΘΥΝΣΗ Π.Ε. ΑΝΑΤ. ΘΕΣ/ΝΙΚΗΣ"/>
    <x v="3"/>
  </r>
  <r>
    <x v="1404"/>
    <x v="1"/>
    <s v="ΠΕ04.04"/>
    <s v="ΒΙΟΛΟΓΟΙ"/>
    <m/>
    <m/>
    <s v="Γ΄"/>
    <n v="1"/>
    <n v="19763"/>
    <d v="2018-11-29T00:00:00"/>
    <s v="Α΄ ΑΝΑΤ. ΑΤΤΙΚΗΣ (Δ.Ε.) 2018"/>
    <s v="ΔΙΕΥΘΥΝΣΗ Δ.Ε. ΑΝΑΤΟΛΙΚΗΣ ΑΤΤΙΚΗΣ"/>
    <s v="ΠΕΡΙΦΕΡΕΙΑΚΗ Δ/ΝΣΗ Α/ΘΜΙΑΣ ΚΑΙ Β/ΘΜΙΑΣ ΕΚΠ/ΣΗΣ ΑΤΤΙΚΗΣ"/>
    <n v="18"/>
    <d v="2018-11-29T00:00:00"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3-01-22T00:00:00"/>
    <x v="0"/>
    <s v="ΔΙΕΥΘΥΝΣΗ Δ.Ε. ΑΝΑΤΟΛΙΚΗΣ ΑΤΤΙΚΗΣ"/>
    <x v="3"/>
  </r>
  <r>
    <x v="1405"/>
    <x v="1"/>
    <s v="ΠΕ03"/>
    <s v="ΜΑΘΗΜΑΤΙΚ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8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3-01-01T00:00:00"/>
    <x v="0"/>
    <s v="ΔΙΕΥΘΥΝΣΗ Δ.Ε. ΚΥΚΛΑΔΩΝ"/>
    <x v="3"/>
  </r>
  <r>
    <x v="1406"/>
    <x v="1"/>
    <s v="ΠΕ11"/>
    <s v="ΦΥΣΙΚΗΣ ΑΓΩΓΗΣ"/>
    <m/>
    <m/>
    <s v="Γ΄"/>
    <n v="1"/>
    <n v="22306"/>
    <d v="2018-09-01T00:00:00"/>
    <s v="Γ΄ ΑΘΗΝΑΣ (Δ.Ε.) 2018"/>
    <s v="ΔΙΕΥΘΥΝΣΗ Δ.Ε. Γ΄ ΑΘΗΝΑΣ"/>
    <s v="ΠΕΡΙΦΕΡΕΙΑΚΗ Δ/ΝΣΗ Α/ΘΜΙΑΣ ΚΑΙ Β/ΘΜΙΑΣ ΕΚΠ/ΣΗΣ ΑΤΤΙΚΗΣ"/>
    <n v="18"/>
    <d v="2018-09-0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2-05-16T00:00:00"/>
    <x v="0"/>
    <s v="ΔΙΕΥΘΥΝΣΗ Δ.Ε. Γ΄ ΑΘΗΝΑΣ"/>
    <x v="3"/>
  </r>
  <r>
    <x v="1407"/>
    <x v="1"/>
    <s v="ΠΕ06"/>
    <s v="ΑΓΓΛΙΚΗΣ ΦΙΛΟΛΟΓΙΑΣ"/>
    <m/>
    <m/>
    <s v="Γ΄"/>
    <n v="2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m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4-23T00:00:00"/>
    <x v="1"/>
    <s v="ΔΙΕΥΘΥΝΣΗ Π.Ε. ΑΝΑΤΟΛΙΚΗΣ ΑΤΤΙΚΗΣ"/>
    <x v="3"/>
  </r>
  <r>
    <x v="1408"/>
    <x v="0"/>
    <s v="ΠΕ11"/>
    <s v="ΦΥΣΙΚΗΣ ΑΓΩΓΗΣ"/>
    <m/>
    <m/>
    <s v="Γ΄"/>
    <n v="1"/>
    <s v="3100/26-10-11"/>
    <d v="2018-09-01T00:00:00"/>
    <s v="Β΄ ΑΘΗΝΑΣ (Π.Ε.) 2018"/>
    <s v="ΔΙΕΥΘΥΝΣΗ Π.Ε. Β΄ ΑΘΗΝΑΣ"/>
    <s v="ΠΕΡΙΦΕΡΕΙΑΚΗ Δ/ΝΣΗ Α/ΘΜΙΑΣ ΚΑΙ Β/ΘΜΙΑΣ ΕΚΠ/ΣΗΣ ΑΤΤΙΚΗΣ"/>
    <n v="18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4-03T00:00:00"/>
    <x v="1"/>
    <s v="ΔΙΕΥΘΥΝΣΗ Π.Ε. Β΄ ΑΘΗΝΑΣ"/>
    <x v="3"/>
  </r>
  <r>
    <x v="1409"/>
    <x v="1"/>
    <s v="ΠΕ08"/>
    <s v="ΚΑΛΛΙΤΕΧΝΙΚΩΝ"/>
    <m/>
    <m/>
    <s v="Β΄"/>
    <n v="3"/>
    <s v="Φ.Ι.Α.2/26367/14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18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2-07T00:00:00"/>
    <x v="1"/>
    <s v="ΔΙΕΥΘΥΝΣΗ Π.Ε. ΑΝΑΤΟΛΙΚΗΣ ΑΤΤΙΚΗΣ"/>
    <x v="3"/>
  </r>
  <r>
    <x v="1410"/>
    <x v="0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1-11-26T00:00:00"/>
    <x v="0"/>
    <s v="ΔΙΕΥΘΥΝΣΗ Δ.Ε. Β΄ ΑΘΗΝΑΣ"/>
    <x v="3"/>
  </r>
  <r>
    <x v="1411"/>
    <x v="0"/>
    <s v="ΠΕ04.02"/>
    <s v="ΧΗΜΙΚΟΙ"/>
    <m/>
    <m/>
    <s v="Γ΄"/>
    <n v="1"/>
    <s v="ΑΠ1656890"/>
    <d v="2017-09-11T00:00:00"/>
    <s v="Α΄ ΜΑΓΝΗΣΙΑΣ (Δ.Ε.) 2018"/>
    <s v="ΔΙΕΥΘΥΝΣΗ Δ.Ε. ΜΑΓΝΗΣΙΑΣ"/>
    <s v="ΠΕΡΙΦΕΡΕΙΑΚΗ Δ/ΝΣΗ Α/ΘΜΙΑΣ ΚΑΙ Β/ΘΜΙΑΣ ΕΚΠ/ΣΗΣ ΘΕΣΣΑΛΙΑΣ"/>
    <n v="18"/>
    <d v="2017-09-11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1-10-15T00:00:00"/>
    <x v="0"/>
    <s v="ΔΙΕΥΘΥΝΣΗ Δ.Ε. ΜΑΓΝΗΣΙΑΣ"/>
    <x v="3"/>
  </r>
  <r>
    <x v="1412"/>
    <x v="1"/>
    <s v="ΠΕ06"/>
    <s v="ΑΓΓΛΙΚΗΣ ΦΙΛΟΛΟΓΙΑΣ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8"/>
    <m/>
    <s v="Ιδιωτικά Σχολεία"/>
    <x v="2"/>
    <s v="2960001"/>
    <s v="ΣΥΓΧΡΟΝΗ ΠΑΙΔΕΙΑ - ΙΔΙΩΤΙΚΟ ΓΥΜΝΑΣ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81-09-03T00:00:00"/>
    <x v="0"/>
    <s v="ΔΙΕΥΘΥΝΣΗ Δ.Ε. ΚΥΚΛΑΔΩΝ"/>
    <x v="3"/>
  </r>
  <r>
    <x v="1413"/>
    <x v="1"/>
    <s v="ΠΕ07"/>
    <s v="ΓΕΡΜΑΝΙΚΗΣ ΦΙΛΟΛΟΓΙΑΣ"/>
    <m/>
    <m/>
    <s v="Γ΄"/>
    <n v="1"/>
    <s v="ΕΚΚΡΕΜΕΙ"/>
    <d v="2018-09-11T00:00:00"/>
    <s v="Β΄ ΑΘΗΝΑΣ (Δ.Ε.) 2018"/>
    <s v="ΔΙΕΥΘΥΝΣΗ Δ.Ε. Β΄ ΑΘΗΝΑΣ"/>
    <s v="ΠΕΡΙΦΕΡΕΙΑΚΗ Δ/ΝΣΗ Α/ΘΜΙΑΣ ΚΑΙ Β/ΘΜΙΑΣ ΕΚΠ/ΣΗΣ ΑΤΤΙΚΗΣ"/>
    <n v="18"/>
    <d v="2018-09-11T00:00:00"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1-05-16T00:00:00"/>
    <x v="0"/>
    <s v="ΔΙΕΥΘΥΝΣΗ Δ.Ε. Β΄ ΑΘΗΝΑΣ"/>
    <x v="3"/>
  </r>
  <r>
    <x v="1414"/>
    <x v="1"/>
    <s v="ΠΕ11"/>
    <s v="ΦΥΣΙΚΗΣ ΑΓΩΓΗΣ"/>
    <m/>
    <m/>
    <s v="Γ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18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1-04-23T00:00:00"/>
    <x v="1"/>
    <s v="ΔΙΕΥΘΥΝΣΗ Π.Ε. ΔΥΤ. ΘΕΣ/ΝΙΚΗΣ"/>
    <x v="3"/>
  </r>
  <r>
    <x v="1415"/>
    <x v="1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1-04-17T00:00:00"/>
    <x v="0"/>
    <s v="ΔΙΕΥΘΥΝΣΗ Δ.Ε. Γ΄ ΑΘΗΝΑΣ"/>
    <x v="3"/>
  </r>
  <r>
    <x v="1416"/>
    <x v="0"/>
    <s v="ΠΕ11"/>
    <s v="ΦΥΣΙΚΗΣ ΑΓΩΓΗΣ"/>
    <m/>
    <m/>
    <s v="Γ΄"/>
    <n v="1"/>
    <n v="8702"/>
    <d v="2017-08-31T00:00:00"/>
    <s v="ΠΙΕΡΙΑΣ (Δ.Ε.) 2018"/>
    <s v="ΔΙΕΥΘΥΝΣΗ Δ.Ε. ΠΙΕΡΙΑΣ"/>
    <s v="ΠΕΡΙΦΕΡΕΙΑΚΗ Δ/ΝΣΗ Α/ΘΜΙΑΣ ΚΑΙ Β/ΘΜΙΑΣ ΕΚΠ/ΣΗΣ ΚΕΝΤΡΙΚΗΣ ΜΑΚΕΔΟΝΙΑΣ"/>
    <n v="18"/>
    <d v="2017-09-01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0-05-22T00:00:00"/>
    <x v="0"/>
    <s v="ΔΙΕΥΘΥΝΣΗ Δ.Ε. ΠΙΕΡΙΑΣ"/>
    <x v="3"/>
  </r>
  <r>
    <x v="1417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3-08T00:00:00"/>
    <x v="0"/>
    <s v="ΔΙΕΥΘΥΝΣΗ Δ.Ε. Β΄ ΑΘΗΝΑΣ"/>
    <x v="3"/>
  </r>
  <r>
    <x v="1418"/>
    <x v="1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ΑΝΑΤΟΛΙΚΗΣ ΑΤΤΙΚΗΣ"/>
    <x v="3"/>
  </r>
  <r>
    <x v="1419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36"/>
    <s v="ΙΔΙΩΤΙΚΟ ΔΗΜΟΤΙΚ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1-01T00:00:00"/>
    <x v="1"/>
    <s v="ΔΙΕΥΘΥΝΣΗ Π.Ε. Β΄ ΑΘΗΝΑΣ"/>
    <x v="3"/>
  </r>
  <r>
    <x v="1420"/>
    <x v="1"/>
    <s v="ΠΕ01"/>
    <s v="ΘΕ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10-20T00:00:00"/>
    <x v="0"/>
    <s v="ΔΙΕΥΘΥΝΣΗ Δ.Ε. ΑΝΑΤ. ΘΕΣ/ΝΙΚΗΣ"/>
    <x v="3"/>
  </r>
  <r>
    <x v="1421"/>
    <x v="1"/>
    <s v="ΠΕ06"/>
    <s v="ΑΓΓΛΙΚΗΣ ΦΙΛΟΛΟΓΙΑΣ"/>
    <m/>
    <m/>
    <s v="Γ΄"/>
    <n v="1"/>
    <n v="8038"/>
    <d v="2018-09-01T00:00:00"/>
    <s v="ΛΑΡΙΣΑΣ (Π.Ε.) 2018"/>
    <s v="ΔΙΕΥΘΥΝΣΗ Π.Ε. ΛΑΡΙΣΑΣ"/>
    <s v="ΠΕΡΙΦΕΡΕΙΑΚΗ Δ/ΝΣΗ Α/ΘΜΙΑΣ ΚΑΙ Β/ΘΜΙΑΣ ΕΚΠ/ΣΗΣ ΘΕΣΣΑΛΙΑΣ"/>
    <n v="18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9-01-01T00:00:00"/>
    <x v="1"/>
    <s v="ΔΙΕΥΘΥΝΣΗ Π.Ε. ΛΑΡΙΣΑΣ"/>
    <x v="3"/>
  </r>
  <r>
    <x v="1422"/>
    <x v="0"/>
    <s v="ΠΕ01"/>
    <s v="ΘΕΟΛΟΓΟΙ"/>
    <s v="ΠΕ02"/>
    <s v="ΦΙΛΟΛΟΓΟΙ"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79-01-01T00:00:00"/>
    <x v="0"/>
    <s v="ΔΙΕΥΘΥΝΣΗ Δ.Ε. ΗΡΑΚΛΕΙΟΥ"/>
    <x v="3"/>
  </r>
  <r>
    <x v="1423"/>
    <x v="1"/>
    <s v="ΠΕ07"/>
    <s v="ΓΕΡΜΑΝΙΚΗΣ ΦΙΛΟΛΟΓ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8-09-30T00:00:00"/>
    <x v="0"/>
    <s v="ΔΙΕΥΘΥΝΣΗ Δ.Ε. ΛΑΡΙΣΑΣ"/>
    <x v="3"/>
  </r>
  <r>
    <x v="1424"/>
    <x v="1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2-21T00:00:00"/>
    <x v="0"/>
    <s v="ΔΙΕΥΘΥΝΣΗ Δ.Ε. Β΄ ΑΘΗΝΑΣ"/>
    <x v="3"/>
  </r>
  <r>
    <x v="1425"/>
    <x v="0"/>
    <s v="ΠΕ86"/>
    <s v="ΠΛΗΡΟΦΟΡΙΚ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1-31T00:00:00"/>
    <x v="0"/>
    <s v="ΔΙΕΥΘΥΝΣΗ Δ.Ε. Δ΄ ΑΘΗΝΑΣ"/>
    <x v="3"/>
  </r>
  <r>
    <x v="1426"/>
    <x v="0"/>
    <s v="ΠΕ08"/>
    <s v="ΚΑΛΛΙΤΕΧΝΙΚΩΝ"/>
    <m/>
    <m/>
    <s v="Γ΄"/>
    <n v="1"/>
    <s v="Φ 17.2/304/13919/07-11-13"/>
    <d v="2018-09-01T00:00:00"/>
    <s v="Β΄ ΑΘΗΝΑΣ (Π.Ε.) 2018"/>
    <s v="ΔΙΕΥΘΥΝΣΗ Π.Ε. Β΄ ΑΘΗΝΑΣ"/>
    <s v="ΠΕΡΙΦΕΡΕΙΑΚΗ Δ/ΝΣΗ Α/ΘΜΙΑΣ ΚΑΙ Β/ΘΜΙΑΣ ΕΚΠ/ΣΗΣ ΑΤΤΙΚΗΣ"/>
    <n v="18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1-27T00:00:00"/>
    <x v="1"/>
    <s v="ΔΙΕΥΘΥΝΣΗ Π.Ε. Β΄ ΑΘΗΝΑΣ"/>
    <x v="3"/>
  </r>
  <r>
    <x v="1427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5-23T00:00:00"/>
    <x v="0"/>
    <s v="ΔΙΕΥΘΥΝΣΗ Δ.Ε. Β΄ ΑΘΗΝΑΣ"/>
    <x v="3"/>
  </r>
  <r>
    <x v="1428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2-05T00:00:00"/>
    <x v="0"/>
    <s v="ΔΙΕΥΘΥΝΣΗ Δ.Ε. Β΄ ΑΘΗΝΑΣ"/>
    <x v="3"/>
  </r>
  <r>
    <x v="1429"/>
    <x v="1"/>
    <s v="ΠΕ79.01"/>
    <s v="ΜΟΥΣΙΚΗΣ ΕΠΙΣΤΗΜΗΣ"/>
    <m/>
    <m/>
    <s v="Γ΄"/>
    <n v="1"/>
    <n v="1084"/>
    <d v="2018-09-01T00:00:00"/>
    <s v="ΛΑΡΙΣΑΣ (Π.Ε.) 2018"/>
    <s v="ΔΙΕΥΘΥΝΣΗ Π.Ε. ΛΑΡΙΣΑΣ"/>
    <s v="ΠΕΡΙΦΕΡΕΙΑΚΗ Δ/ΝΣΗ Α/ΘΜΙΑΣ ΚΑΙ Β/ΘΜΙΑΣ ΕΚΠ/ΣΗΣ ΘΕΣΣΑΛΙΑΣ"/>
    <n v="18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7-01-01T00:00:00"/>
    <x v="1"/>
    <s v="ΔΙΕΥΘΥΝΣΗ Π.Ε. ΛΑΡΙΣΑΣ"/>
    <x v="3"/>
  </r>
  <r>
    <x v="1430"/>
    <x v="1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9-30T00:00:00"/>
    <x v="0"/>
    <s v="ΔΙΕΥΘΥΝΣΗ Δ.Ε. Β΄ ΑΘΗΝΑΣ"/>
    <x v="3"/>
  </r>
  <r>
    <x v="1431"/>
    <x v="0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6-09-16T00:00:00"/>
    <x v="0"/>
    <s v="ΔΙΕΥΘΥΝΣΗ Δ.Ε. Γ΄ ΑΘΗΝΑΣ"/>
    <x v="3"/>
  </r>
  <r>
    <x v="1432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06-16T00:00:00"/>
    <x v="0"/>
    <s v="ΔΙΕΥΘΥΝΣΗ Δ.Ε. Β΄ ΑΘΗΝΑΣ"/>
    <x v="3"/>
  </r>
  <r>
    <x v="1433"/>
    <x v="1"/>
    <s v="ΠΕ04.04"/>
    <s v="ΒΙ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8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6-05-27T00:00:00"/>
    <x v="0"/>
    <s v="ΔΙΕΥΘΥΝΣΗ Δ.Ε. ΑΙΤΩΛΟΑΚΑΡΝΑΝΙΑΣ"/>
    <x v="3"/>
  </r>
  <r>
    <x v="1434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1-12T00:00:00"/>
    <x v="0"/>
    <s v="ΔΙΕΥΘΥΝΣΗ Δ.Ε. ΑΝΑΤΟΛΙΚΗΣ ΑΤΤΙΚΗΣ"/>
    <x v="3"/>
  </r>
  <r>
    <x v="1435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6-01-01T00:00:00"/>
    <x v="0"/>
    <s v="ΔΙΕΥΘΥΝΣΗ Δ.Ε. Β΄ ΑΘΗΝΑΣ"/>
    <x v="3"/>
  </r>
  <r>
    <x v="1436"/>
    <x v="0"/>
    <s v="ΠΕ01"/>
    <s v="ΘΕ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6-01-01T00:00:00"/>
    <x v="0"/>
    <s v="ΔΙΕΥΘΥΝΣΗ Δ.Ε. ΑΧΑΪΑΣ"/>
    <x v="3"/>
  </r>
  <r>
    <x v="1437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10-09T00:00:00"/>
    <x v="0"/>
    <s v="ΔΙΕΥΘΥΝΣΗ Δ.Ε. Β΄ ΑΘΗΝΑΣ"/>
    <x v="3"/>
  </r>
  <r>
    <x v="1438"/>
    <x v="0"/>
    <s v="ΠΕ86"/>
    <s v="ΠΛΗΡΟΦΟΡΙΚΗΣ"/>
    <s v="ΠΕ84"/>
    <s v="ΗΛΕΚΤΡΟΝΙΚΩΝ"/>
    <s v="Γ΄"/>
    <n v="1"/>
    <s v="Β2ΙΕ9-ΥΥΕ"/>
    <d v="2014-09-18T00:00:00"/>
    <s v="Β΄ ΑΘΗΝΑΣ (Δ.Ε.) 2018"/>
    <s v="ΔΙΕΥΘΥΝΣΗ Δ.Ε. Β΄ ΑΘΗΝΑΣ"/>
    <s v="ΠΕΡΙΦΕΡΕΙΑΚΗ Δ/ΝΣΗ Α/ΘΜΙΑΣ ΚΑΙ Β/ΘΜΙΑΣ ΕΚΠ/ΣΗΣ ΑΤΤΙΚΗΣ"/>
    <n v="18"/>
    <d v="2014-09-18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8-19T00:00:00"/>
    <x v="0"/>
    <s v="ΔΙΕΥΘΥΝΣΗ Δ.Ε. Β΄ ΑΘΗΝΑΣ"/>
    <x v="3"/>
  </r>
  <r>
    <x v="1439"/>
    <x v="1"/>
    <s v="ΠΕ07"/>
    <s v="ΓΕΡΜΑΝ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06-24T00:00:00"/>
    <x v="0"/>
    <s v="ΔΙΕΥΘΥΝΣΗ Δ.Ε. ΑΝΑΤ. ΘΕΣ/ΝΙΚΗΣ"/>
    <x v="3"/>
  </r>
  <r>
    <x v="1440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3-02T00:00:00"/>
    <x v="0"/>
    <s v="ΔΙΕΥΘΥΝΣΗ Δ.Ε. ΑΝΑΤΟΛΙΚΗΣ ΑΤΤΙΚΗΣ"/>
    <x v="3"/>
  </r>
  <r>
    <x v="1441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2-06T00:00:00"/>
    <x v="0"/>
    <s v="ΔΙΕΥΘΥΝΣΗ Δ.Ε. ΑΝΑΤΟΛΙΚΗΣ ΑΤΤΙΚΗΣ"/>
    <x v="3"/>
  </r>
  <r>
    <x v="1442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11-18T00:00:00"/>
    <x v="1"/>
    <s v="ΔΙΕΥΘΥΝΣΗ Π.Ε. Β΄ ΑΘΗΝΑΣ"/>
    <x v="3"/>
  </r>
  <r>
    <x v="1443"/>
    <x v="1"/>
    <s v="ΠΕ06"/>
    <s v="ΑΓΓΛΙΚΗΣ ΦΙΛΟΛΟΓΙΑΣ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18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4-01-03T00:00:00"/>
    <x v="1"/>
    <s v="ΔΙΕΥΘΥΝΣΗ Π.Ε. ΚΥΚΛΑΔΩΝ"/>
    <x v="3"/>
  </r>
  <r>
    <x v="1444"/>
    <x v="1"/>
    <s v="ΠΕ03"/>
    <s v="ΜΑΘΗΜΑΤΙΚΟΙ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10-18T00:00:00"/>
    <x v="0"/>
    <s v="ΔΙΕΥΘΥΝΣΗ Δ.Ε. Α΄ ΑΘΗΝΑΣ"/>
    <x v="3"/>
  </r>
  <r>
    <x v="1445"/>
    <x v="1"/>
    <s v="ΠΕ78"/>
    <s v="ΚΟΙΝΩΝΙΚΩΝ ΕΠΙΣΤΗΜ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5-15T00:00:00"/>
    <x v="0"/>
    <s v="ΔΙΕΥΘΥΝΣΗ Δ.Ε. Δ΄ ΑΘΗΝΑΣ"/>
    <x v="3"/>
  </r>
  <r>
    <x v="1446"/>
    <x v="0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3-03-15T00:00:00"/>
    <x v="0"/>
    <s v="ΔΙΕΥΘΥΝΣΗ Δ.Ε. ΠΕΙΡΑΙΑ"/>
    <x v="3"/>
  </r>
  <r>
    <x v="1447"/>
    <x v="1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8"/>
    <m/>
    <s v="Ιδιωτικά Σχολεία"/>
    <x v="3"/>
    <s v="2880010"/>
    <s v="ΙΔΙΩΤΙΚΟ ΗΜΕΡΗΣΙΟ ΛΥΚΕΙΟ ΚΟΡΙΝΘΟΣ - ΑΡΙΣΤΟΤΕΛΕΙΟ ΓΕΝΙΚΟ ΛΥΚΕ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3-03-09T00:00:00"/>
    <x v="0"/>
    <s v="ΔΙΕΥΘΥΝΣΗ Δ.Ε. ΚΟΡΙΝΘΙΑΣ"/>
    <x v="3"/>
  </r>
  <r>
    <x v="1448"/>
    <x v="0"/>
    <s v="ΠΕ04.01"/>
    <s v="ΦΥΣΙΚΟΙ"/>
    <m/>
    <m/>
    <s v="Α΄"/>
    <n v="7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3-02-10T00:00:00"/>
    <x v="0"/>
    <s v="ΔΙΕΥΘΥΝΣΗ Δ.Ε. ΔΥΤ. ΘΕΣ/ΝΙΚΗΣ"/>
    <x v="3"/>
  </r>
  <r>
    <x v="1449"/>
    <x v="1"/>
    <s v="ΠΕ06"/>
    <s v="ΑΓΓ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1-01T00:00:00"/>
    <x v="0"/>
    <s v="ΔΙΕΥΘΥΝΣΗ Δ.Ε. Α΄ ΑΘΗΝΑΣ"/>
    <x v="3"/>
  </r>
  <r>
    <x v="1450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0-29T00:00:00"/>
    <x v="0"/>
    <s v="ΔΙΕΥΘΥΝΣΗ Δ.Ε. Β΄ ΑΘΗΝΑΣ"/>
    <x v="3"/>
  </r>
  <r>
    <x v="1451"/>
    <x v="1"/>
    <s v="ΠΕ02"/>
    <s v="ΦΙΛΟΛΟΓΟΙ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10-21T00:00:00"/>
    <x v="0"/>
    <s v="ΔΙΕΥΘΥΝΣΗ Δ.Ε. ΑΝΑΤ. ΘΕΣ/ΝΙΚΗΣ"/>
    <x v="3"/>
  </r>
  <r>
    <x v="1452"/>
    <x v="1"/>
    <s v="ΠΕ04.01"/>
    <s v="ΦΥΣΙΚΟΙ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8"/>
    <m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72-10-21T00:00:00"/>
    <x v="0"/>
    <s v="ΔΙΕΥΘΥΝΣΗ Δ.Ε. ΠΙΕΡΙΑΣ"/>
    <x v="3"/>
  </r>
  <r>
    <x v="1453"/>
    <x v="1"/>
    <s v="ΠΕ04.04"/>
    <s v="ΒΙ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2-09-16T00:00:00"/>
    <x v="0"/>
    <s v="ΔΙΕΥΘΥΝΣΗ Δ.Ε. Β΄ ΑΘΗΝΑΣ"/>
    <x v="3"/>
  </r>
  <r>
    <x v="1454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2-09-14T00:00:00"/>
    <x v="0"/>
    <s v="ΔΙΕΥΘΥΝΣΗ Δ.Ε. ΠΕΙΡΑΙΑ"/>
    <x v="3"/>
  </r>
  <r>
    <x v="1455"/>
    <x v="1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8-01T00:00:00"/>
    <x v="0"/>
    <s v="ΔΙΕΥΘΥΝΣΗ Δ.Ε. Α΄ ΑΘΗΝΑΣ"/>
    <x v="3"/>
  </r>
  <r>
    <x v="1456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7-03T00:00:00"/>
    <x v="0"/>
    <s v="ΔΙΕΥΘΥΝΣΗ Δ.Ε. ΑΝΑΤ. ΘΕΣ/ΝΙΚΗΣ"/>
    <x v="3"/>
  </r>
  <r>
    <x v="1457"/>
    <x v="1"/>
    <s v="ΠΕ02"/>
    <s v="ΦΙΛΟΛΟΓΟΙ"/>
    <m/>
    <m/>
    <s v="Γ΄"/>
    <n v="10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5-22T00:00:00"/>
    <x v="0"/>
    <s v="ΔΙΕΥΘΥΝΣΗ Δ.Ε. Δ΄ ΑΘΗΝΑΣ"/>
    <x v="3"/>
  </r>
  <r>
    <x v="1458"/>
    <x v="1"/>
    <s v="ΠΕ03"/>
    <s v="ΜΑΘΗΜΑΤΙΚΟΙ"/>
    <m/>
    <m/>
    <s v="Α΄"/>
    <n v="11"/>
    <m/>
    <m/>
    <s v="Α΄ ΑΘΗΝΑΣ (Δ.Ε.) 2018"/>
    <s v="ΔΙΕΥΘΥΝΣΗ Δ.Ε. Α΄ ΑΘΗΝΑΣ"/>
    <s v="ΠΕΡΙΦΕΡΕΙΑΚΗ Δ/ΝΣΗ Α/ΘΜΙΑΣ ΚΑΙ Β/ΘΜΙΑΣ ΕΚΠ/ΣΗΣ ΑΤΤΙΚΗΣ"/>
    <n v="18"/>
    <d v="1996-09-1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5-20T00:00:00"/>
    <x v="0"/>
    <s v="ΔΙΕΥΘΥΝΣΗ Δ.Ε. Α΄ ΑΘΗΝΑΣ"/>
    <x v="3"/>
  </r>
  <r>
    <x v="1459"/>
    <x v="0"/>
    <s v="ΠΕ01"/>
    <s v="ΘΕΟΛΟΓΟΙ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4-28T00:00:00"/>
    <x v="0"/>
    <s v="ΔΙΕΥΘΥΝΣΗ Δ.Ε. ΑΝΑΤ. ΘΕΣ/ΝΙΚΗΣ"/>
    <x v="3"/>
  </r>
  <r>
    <x v="1460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3-23T00:00:00"/>
    <x v="0"/>
    <s v="ΔΙΕΥΘΥΝΣΗ Δ.Ε. ΑΝΑΤ. ΘΕΣ/ΝΙΚΗΣ"/>
    <x v="3"/>
  </r>
  <r>
    <x v="1461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3-16T00:00:00"/>
    <x v="0"/>
    <s v="ΔΙΕΥΘΥΝΣΗ Δ.Ε. Α΄ ΑΘΗΝΑΣ"/>
    <x v="3"/>
  </r>
  <r>
    <x v="1462"/>
    <x v="1"/>
    <s v="ΠΕ05"/>
    <s v="ΓΑΛΛΙΚΗΣ ΦΙΛΟΛΟΓΙΑΣ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2-02-12T00:00:00"/>
    <x v="0"/>
    <s v="ΔΙΕΥΘΥΝΣΗ Δ.Ε. ΠΕΙΡΑΙΑ"/>
    <x v="3"/>
  </r>
  <r>
    <x v="1463"/>
    <x v="1"/>
    <s v="ΠΕ02"/>
    <s v="ΦΙΛΟΛΟΓΟΙ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12-17T00:00:00"/>
    <x v="0"/>
    <s v="ΔΙΕΥΘΥΝΣΗ Δ.Ε. ΑΝΑΤ. ΘΕΣ/ΝΙΚΗΣ"/>
    <x v="3"/>
  </r>
  <r>
    <x v="1464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12-14T00:00:00"/>
    <x v="0"/>
    <s v="ΔΙΕΥΘΥΝΣΗ Δ.Ε. ΠΕΙΡΑΙΑ"/>
    <x v="3"/>
  </r>
  <r>
    <x v="1465"/>
    <x v="0"/>
    <s v="ΠΕ02"/>
    <s v="ΦΙΛΟΛΟΓΟΙ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11-27T00:00:00"/>
    <x v="0"/>
    <s v="ΔΙΕΥΘΥΝΣΗ Δ.Ε. ΑΝΑΤ. ΘΕΣ/ΝΙΚΗΣ"/>
    <x v="3"/>
  </r>
  <r>
    <x v="1466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9-21T00:00:00"/>
    <x v="0"/>
    <s v="ΔΙΕΥΘΥΝΣΗ Δ.Ε. Β΄ ΑΘΗΝΑΣ"/>
    <x v="3"/>
  </r>
  <r>
    <x v="1467"/>
    <x v="1"/>
    <s v="ΠΕ02"/>
    <s v="ΦΙΛΟΛΟΓ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9-17T00:00:00"/>
    <x v="0"/>
    <s v="ΔΙΕΥΘΥΝΣΗ Δ.Ε. ΑΝΑΤ. ΘΕΣ/ΝΙΚΗΣ"/>
    <x v="3"/>
  </r>
  <r>
    <x v="1468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6-08T00:00:00"/>
    <x v="0"/>
    <s v="ΔΙΕΥΘΥΝΣΗ Δ.Ε. Β΄ ΑΘΗΝΑΣ"/>
    <x v="3"/>
  </r>
  <r>
    <x v="1469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6-03T00:00:00"/>
    <x v="0"/>
    <s v="ΔΙΕΥΘΥΝΣΗ Δ.Ε. Β΄ ΑΘΗΝΑΣ"/>
    <x v="3"/>
  </r>
  <r>
    <x v="1470"/>
    <x v="1"/>
    <s v="ΠΕ07"/>
    <s v="ΓΕΡΜΑΝ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4-09T00:00:00"/>
    <x v="0"/>
    <s v="ΔΙΕΥΘΥΝΣΗ Δ.Ε. Γ΄ ΑΘΗΝΑΣ"/>
    <x v="3"/>
  </r>
  <r>
    <x v="1471"/>
    <x v="0"/>
    <s v="ΠΕ80"/>
    <s v="ΟΙΚΟΝΟΜ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30T00:00:00"/>
    <x v="0"/>
    <s v="ΔΙΕΥΘΥΝΣΗ Δ.Ε. Β΄ ΑΘΗΝΑΣ"/>
    <x v="3"/>
  </r>
  <r>
    <x v="1472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1-06T00:00:00"/>
    <x v="0"/>
    <s v="ΔΙΕΥΘΥΝΣΗ Δ.Ε. Γ΄ ΑΘΗΝΑΣ"/>
    <x v="3"/>
  </r>
  <r>
    <x v="1473"/>
    <x v="1"/>
    <s v="ΠΕ02"/>
    <s v="ΦΙΛΟΛΟΓΟΙ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8"/>
    <m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71-01-01T00:00:00"/>
    <x v="0"/>
    <s v="ΔΙΕΥΘΥΝΣΗ Δ.Ε. ΠΙΕΡΙΑΣ"/>
    <x v="3"/>
  </r>
  <r>
    <x v="1474"/>
    <x v="1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0-12-24T00:00:00"/>
    <x v="0"/>
    <s v="ΔΙΕΥΘΥΝΣΗ Δ.Ε. ΑΝΑΤΟΛΙΚΗΣ ΑΤΤΙΚΗΣ"/>
    <x v="3"/>
  </r>
  <r>
    <x v="1475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0-12-11T00:00:00"/>
    <x v="0"/>
    <s v="ΔΙΕΥΘΥΝΣΗ Δ.Ε. Α΄ ΑΘΗΝΑΣ"/>
    <x v="3"/>
  </r>
  <r>
    <x v="1476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10-15T00:00:00"/>
    <x v="0"/>
    <s v="ΔΙΕΥΘΥΝΣΗ Δ.Ε. Δ΄ ΑΘΗΝΑΣ"/>
    <x v="3"/>
  </r>
  <r>
    <x v="1477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0-09-11T00:00:00"/>
    <x v="0"/>
    <s v="ΔΙΕΥΘΥΝΣΗ Δ.Ε. Β΄ ΑΘΗΝΑΣ"/>
    <x v="3"/>
  </r>
  <r>
    <x v="1478"/>
    <x v="1"/>
    <s v="ΠΕ02"/>
    <s v="ΦΙΛΟΛΟΓ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0-09-11T00:00:00"/>
    <x v="0"/>
    <s v="ΔΙΕΥΘΥΝΣΗ Δ.Ε. ΑΝΑΤ. ΘΕΣ/ΝΙΚΗΣ"/>
    <x v="3"/>
  </r>
  <r>
    <x v="1479"/>
    <x v="1"/>
    <s v="ΠΕ04.02"/>
    <s v="ΧΗΜΙΚΟΙ"/>
    <m/>
    <m/>
    <s v="Γ΄"/>
    <n v="1"/>
    <s v="9625/15-10-2015"/>
    <d v="2018-09-01T00:00:00"/>
    <s v="ΙΩΑΝΝΙΝΩΝ (Δ.Ε.) 2018"/>
    <s v="ΔΙΕΥΘΥΝΣΗ Δ.Ε. ΙΩΑΝΝΙΝΩΝ"/>
    <s v="ΠΕΡΙΦΕΡΕΙΑΚΗ Δ/ΝΣΗ Α/ΘΜΙΑΣ ΚΑΙ Β/ΘΜΙΑΣ ΕΚΠ/ΣΗΣ ΗΠΕΙΡΟΥ"/>
    <n v="18"/>
    <d v="2018-09-01T00:00:00"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08-29T00:00:00"/>
    <x v="0"/>
    <s v="ΔΙΕΥΘΥΝΣΗ Δ.Ε. ΙΩΑΝΝΙΝΩΝ"/>
    <x v="3"/>
  </r>
  <r>
    <x v="1480"/>
    <x v="0"/>
    <s v="ΠΕ05"/>
    <s v="ΓΑΛΛΙΚΗΣ ΦΙΛΟΛΟΓΙΑΣ"/>
    <m/>
    <m/>
    <s v="Α΄"/>
    <n v="6"/>
    <m/>
    <m/>
    <s v="Α΄ ΠΕΙΡΑΙΑ (Π.Ε.) 2018"/>
    <s v="ΔΙΕΥΘΥΝΣΗ Π.Ε. ΠΕΙΡΑΙΑ"/>
    <s v="ΠΕΡΙΦΕΡΕΙΑΚΗ Δ/ΝΣΗ Α/ΘΜΙΑΣ ΚΑΙ Β/ΘΜΙΑΣ ΕΚΠ/ΣΗΣ ΑΤΤΙΚΗΣ"/>
    <n v="18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07-25T00:00:00"/>
    <x v="1"/>
    <s v="ΔΙΕΥΘΥΝΣΗ Π.Ε. ΠΕΙΡΑΙΑ"/>
    <x v="3"/>
  </r>
  <r>
    <x v="1481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7-15T00:00:00"/>
    <x v="0"/>
    <s v="ΔΙΕΥΘΥΝΣΗ Δ.Ε. ΑΝΑΤΟΛΙΚΗΣ ΑΤΤΙΚΗΣ"/>
    <x v="3"/>
  </r>
  <r>
    <x v="1482"/>
    <x v="1"/>
    <s v="ΠΕ79.01"/>
    <s v="ΜΟΥΣΙΚΗΣ ΕΠΙΣΤΗΜΗΣ"/>
    <m/>
    <m/>
    <s v="Γ΄"/>
    <n v="1"/>
    <d v="1998-12-1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8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7-12T00:00:00"/>
    <x v="1"/>
    <s v="ΔΙΕΥΘΥΝΣΗ Π.Ε. ΑΝΑΤ. ΘΕΣ/ΝΙΚΗΣ"/>
    <x v="3"/>
  </r>
  <r>
    <x v="1483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6-17T00:00:00"/>
    <x v="0"/>
    <s v="ΔΙΕΥΘΥΝΣΗ Δ.Ε. Β΄ ΑΘΗΝΑΣ"/>
    <x v="3"/>
  </r>
  <r>
    <x v="1484"/>
    <x v="0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5-25T00:00:00"/>
    <x v="0"/>
    <s v="ΔΙΕΥΘΥΝΣΗ Δ.Ε. Β΄ ΑΘΗΝΑΣ"/>
    <x v="3"/>
  </r>
  <r>
    <x v="1485"/>
    <x v="0"/>
    <s v="ΠΕ11"/>
    <s v="ΦΥΣΙΚΗΣ ΑΓΩΓ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8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0-05-02T00:00:00"/>
    <x v="1"/>
    <s v="ΔΙΕΥΘΥΝΣΗ Π.Ε. Α΄ ΑΘΗΝΑΣ"/>
    <x v="3"/>
  </r>
  <r>
    <x v="148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4-09T00:00:00"/>
    <x v="0"/>
    <s v="ΔΙΕΥΘΥΝΣΗ Δ.Ε. ΑΝΑΤΟΛΙΚΗΣ ΑΤΤΙΚΗΣ"/>
    <x v="3"/>
  </r>
  <r>
    <x v="1487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0-04-01T00:00:00"/>
    <x v="0"/>
    <s v="ΔΙΕΥΘΥΝΣΗ Δ.Ε. Γ΄ ΑΘΗΝΑΣ"/>
    <x v="3"/>
  </r>
  <r>
    <x v="1488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3-30T00:00:00"/>
    <x v="0"/>
    <s v="ΔΙΕΥΘΥΝΣΗ Δ.Ε. Β΄ ΑΘΗΝΑΣ"/>
    <x v="3"/>
  </r>
  <r>
    <x v="1489"/>
    <x v="0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3-14T00:00:00"/>
    <x v="0"/>
    <s v="ΔΙΕΥΘΥΝΣΗ Δ.Ε. Β΄ ΑΘΗΝΑΣ"/>
    <x v="3"/>
  </r>
  <r>
    <x v="1490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3-12T00:00:00"/>
    <x v="0"/>
    <s v="ΔΙΕΥΘΥΝΣΗ Δ.Ε. Δ΄ ΑΘΗΝΑΣ"/>
    <x v="3"/>
  </r>
  <r>
    <x v="1491"/>
    <x v="1"/>
    <s v="ΠΕ01"/>
    <s v="ΘΕΟΛΟΓΟΙ"/>
    <s v="ΠΕ02"/>
    <s v="ΦΙΛΟΛΟΓΟΙ"/>
    <s v="Α΄"/>
    <n v="11"/>
    <m/>
    <m/>
    <s v="Α΄ ΑΘΗΝΑΣ (Δ.Ε.) 2018"/>
    <s v="ΔΙΕΥΘΥΝΣΗ Δ.Ε. Α΄ ΑΘΗΝΑΣ"/>
    <s v="ΠΕΡΙΦΕΡΕΙΑΚΗ Δ/ΝΣΗ Α/ΘΜΙΑΣ ΚΑΙ Β/ΘΜΙΑΣ ΕΚΠ/ΣΗΣ ΑΤΤΙΚΗΣ"/>
    <n v="18"/>
    <d v="1994-09-12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0-02-19T00:00:00"/>
    <x v="0"/>
    <s v="ΔΙΕΥΘΥΝΣΗ Δ.Ε. Α΄ ΑΘΗΝΑΣ"/>
    <x v="3"/>
  </r>
  <r>
    <x v="1492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2-16T00:00:00"/>
    <x v="0"/>
    <s v="ΔΙΕΥΘΥΝΣΗ Δ.Ε. ΑΝΑΤ. ΘΕΣ/ΝΙΚΗΣ"/>
    <x v="3"/>
  </r>
  <r>
    <x v="1493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0-02-04T00:00:00"/>
    <x v="0"/>
    <s v="ΔΙΕΥΘΥΝΣΗ Δ.Ε. Β΄ ΑΘΗΝΑΣ"/>
    <x v="3"/>
  </r>
  <r>
    <x v="1494"/>
    <x v="1"/>
    <s v="ΠΕ86"/>
    <s v="ΠΛΗΡΟΦΟΡΙΚ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0-01-10T00:00:00"/>
    <x v="0"/>
    <s v="ΔΙΕΥΘΥΝΣΗ Δ.Ε. ΠΕΙΡΑΙΑ"/>
    <x v="3"/>
  </r>
  <r>
    <x v="1495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1-02T00:00:00"/>
    <x v="0"/>
    <s v="ΔΙΕΥΘΥΝΣΗ Δ.Ε. ΑΝΑΤΟΛΙΚΗΣ ΑΤΤΙΚΗΣ"/>
    <x v="3"/>
  </r>
  <r>
    <x v="1496"/>
    <x v="1"/>
    <s v="ΠΕ06"/>
    <s v="ΑΓΓΛΙΚΗΣ ΦΙΛΟΛΟΓ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69-12-27T00:00:00"/>
    <x v="0"/>
    <s v="ΔΙΕΥΘΥΝΣΗ Δ.Ε. ΛΑΡΙΣΑΣ"/>
    <x v="3"/>
  </r>
  <r>
    <x v="1497"/>
    <x v="0"/>
    <s v="ΠΕ02"/>
    <s v="ΦΙΛΟΛΟΓΟΙ"/>
    <m/>
    <m/>
    <s v="Α΄"/>
    <n v="12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12-19T00:00:00"/>
    <x v="0"/>
    <s v="ΔΙΕΥΘΥΝΣΗ Δ.Ε. Δ΄ ΑΘΗΝΑΣ"/>
    <x v="3"/>
  </r>
  <r>
    <x v="149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9-12-07T00:00:00"/>
    <x v="0"/>
    <s v="ΔΙΕΥΘΥΝΣΗ Δ.Ε. Β΄ ΑΘΗΝΑΣ"/>
    <x v="3"/>
  </r>
  <r>
    <x v="1499"/>
    <x v="0"/>
    <s v="ΠΕ11"/>
    <s v="ΦΥΣΙΚΗΣ ΑΓΩΓΗ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8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9-11-28T00:00:00"/>
    <x v="0"/>
    <s v="ΔΙΕΥΘΥΝΣΗ Δ.Ε. ΤΡΙΚΑΛΩΝ"/>
    <x v="3"/>
  </r>
  <r>
    <x v="1500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10-09T00:00:00"/>
    <x v="0"/>
    <s v="ΔΙΕΥΘΥΝΣΗ Δ.Ε. Β΄ ΑΘΗΝΑΣ"/>
    <x v="3"/>
  </r>
  <r>
    <x v="1501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9-26T00:00:00"/>
    <x v="0"/>
    <s v="ΔΙΕΥΘΥΝΣΗ Δ.Ε. Δ΄ ΑΘΗΝΑΣ"/>
    <x v="3"/>
  </r>
  <r>
    <x v="1502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9-01T00:00:00"/>
    <x v="0"/>
    <s v="ΔΙΕΥΘΥΝΣΗ Δ.Ε. ΠΕΙΡΑΙΑ"/>
    <x v="3"/>
  </r>
  <r>
    <x v="1503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8-29T00:00:00"/>
    <x v="0"/>
    <s v="ΔΙΕΥΘΥΝΣΗ Δ.Ε. Β΄ ΑΘΗΝΑΣ"/>
    <x v="3"/>
  </r>
  <r>
    <x v="150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8-26T00:00:00"/>
    <x v="0"/>
    <s v="ΔΙΕΥΘΥΝΣΗ Δ.Ε. Δ΄ ΑΘΗΝΑΣ"/>
    <x v="3"/>
  </r>
  <r>
    <x v="1505"/>
    <x v="1"/>
    <s v="ΠΕ02"/>
    <s v="ΦΙΛΟΛΟΓΟΙ"/>
    <m/>
    <m/>
    <s v="Γ΄"/>
    <n v="1"/>
    <s v="ΦΕΚ 215/τ. Γ΄/ 18/9/2002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18"/>
    <d v="2018-09-01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9-08-24T00:00:00"/>
    <x v="0"/>
    <s v="ΔΙΕΥΘΥΝΣΗ Δ.Ε. ΑΝΑΤΟΛΙΚΗΣ ΑΤΤΙΚΗΣ"/>
    <x v="3"/>
  </r>
  <r>
    <x v="1506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7-10T00:00:00"/>
    <x v="0"/>
    <s v="ΔΙΕΥΘΥΝΣΗ Δ.Ε. Δ΄ ΑΘΗΝΑΣ"/>
    <x v="3"/>
  </r>
  <r>
    <x v="1507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06-21T00:00:00"/>
    <x v="0"/>
    <s v="ΔΙΕΥΘΥΝΣΗ Δ.Ε. Γ΄ ΑΘΗΝΑΣ"/>
    <x v="3"/>
  </r>
  <r>
    <x v="1508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9-06-01T00:00:00"/>
    <x v="0"/>
    <s v="ΔΙΕΥΘΥΝΣΗ Δ.Ε. Β΄ ΑΘΗΝΑΣ"/>
    <x v="3"/>
  </r>
  <r>
    <x v="150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5-28T00:00:00"/>
    <x v="0"/>
    <s v="ΔΙΕΥΘΥΝΣΗ Δ.Ε. Β΄ ΑΘΗΝΑΣ"/>
    <x v="3"/>
  </r>
  <r>
    <x v="1510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5-23T00:00:00"/>
    <x v="0"/>
    <s v="ΔΙΕΥΘΥΝΣΗ Δ.Ε. Δ΄ ΑΘΗΝΑΣ"/>
    <x v="3"/>
  </r>
  <r>
    <x v="151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9-05-11T00:00:00"/>
    <x v="0"/>
    <s v="ΔΙΕΥΘΥΝΣΗ Δ.Ε. Β΄ ΑΘΗΝΑΣ"/>
    <x v="3"/>
  </r>
  <r>
    <x v="1512"/>
    <x v="0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5-06T00:00:00"/>
    <x v="0"/>
    <s v="ΔΙΕΥΘΥΝΣΗ Δ.Ε. ΠΕΙΡΑΙΑ"/>
    <x v="3"/>
  </r>
  <r>
    <x v="1513"/>
    <x v="1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4-30T00:00:00"/>
    <x v="0"/>
    <s v="ΔΙΕΥΘΥΝΣΗ Δ.Ε. Δ΄ ΑΘΗΝΑΣ"/>
    <x v="3"/>
  </r>
  <r>
    <x v="1514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4-13T00:00:00"/>
    <x v="0"/>
    <s v="ΔΙΕΥΘΥΝΣΗ Δ.Ε. Δ΄ ΑΘΗΝΑΣ"/>
    <x v="3"/>
  </r>
  <r>
    <x v="1515"/>
    <x v="1"/>
    <s v="ΠΕ02"/>
    <s v="ΦΙΛΟΛΟΓ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9-04-06T00:00:00"/>
    <x v="0"/>
    <s v="ΔΙΕΥΘΥΝΣΗ Δ.Ε. ΑΝΑΤ. ΘΕΣ/ΝΙΚΗΣ"/>
    <x v="3"/>
  </r>
  <r>
    <x v="1516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3-30T00:00:00"/>
    <x v="0"/>
    <s v="ΔΙΕΥΘΥΝΣΗ Δ.Ε. ΠΕΙΡΑΙΑ"/>
    <x v="3"/>
  </r>
  <r>
    <x v="1517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3-09T00:00:00"/>
    <x v="0"/>
    <s v="ΔΙΕΥΘΥΝΣΗ Δ.Ε. Β΄ ΑΘΗΝΑΣ"/>
    <x v="3"/>
  </r>
  <r>
    <x v="1518"/>
    <x v="1"/>
    <s v="ΠΕ05"/>
    <s v="ΓΑΛ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2-26T00:00:00"/>
    <x v="0"/>
    <s v="ΔΙΕΥΘΥΝΣΗ Δ.Ε. ΑΝΑΤ. ΘΕΣ/ΝΙΚΗΣ"/>
    <x v="3"/>
  </r>
  <r>
    <x v="1519"/>
    <x v="0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2-04T00:00:00"/>
    <x v="0"/>
    <s v="ΔΙΕΥΘΥΝΣΗ Δ.Ε. Β΄ ΑΘΗΝΑΣ"/>
    <x v="3"/>
  </r>
  <r>
    <x v="152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9-01-04T00:00:00"/>
    <x v="0"/>
    <s v="ΔΙΕΥΘΥΝΣΗ Δ.Ε. Β΄ ΑΘΗΝΑΣ"/>
    <x v="3"/>
  </r>
  <r>
    <x v="1521"/>
    <x v="1"/>
    <s v="ΠΕ01"/>
    <s v="ΘΕΟΛΟΓΟΙ"/>
    <m/>
    <m/>
    <s v="Α΄"/>
    <n v="13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2-26T00:00:00"/>
    <x v="0"/>
    <s v="ΔΙΕΥΘΥΝΣΗ Δ.Ε. Δ΄ ΑΘΗΝΑΣ"/>
    <x v="3"/>
  </r>
  <r>
    <x v="152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1-08T00:00:00"/>
    <x v="0"/>
    <s v="ΔΙΕΥΘΥΝΣΗ Δ.Ε. Β΄ ΑΘΗΝΑΣ"/>
    <x v="3"/>
  </r>
  <r>
    <x v="1523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8-11-08T00:00:00"/>
    <x v="0"/>
    <s v="ΔΙΕΥΘΥΝΣΗ Δ.Ε. Γ΄ ΑΘΗΝΑΣ"/>
    <x v="3"/>
  </r>
  <r>
    <x v="1524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0-28T00:00:00"/>
    <x v="0"/>
    <s v="ΔΙΕΥΘΥΝΣΗ Δ.Ε. Δ΄ ΑΘΗΝΑΣ"/>
    <x v="3"/>
  </r>
  <r>
    <x v="1525"/>
    <x v="0"/>
    <s v="ΠΕ03"/>
    <s v="ΜΑΘΗΜΑΤΙΚΟΙ"/>
    <m/>
    <m/>
    <s v="Γ΄"/>
    <n v="12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0-19T00:00:00"/>
    <x v="0"/>
    <s v="ΔΙΕΥΘΥΝΣΗ Δ.Ε. Δ΄ ΑΘΗΝΑΣ"/>
    <x v="3"/>
  </r>
  <r>
    <x v="1526"/>
    <x v="1"/>
    <s v="ΠΕ03"/>
    <s v="ΜΑΘΗΜΑΤΙΚΟΙ"/>
    <m/>
    <m/>
    <s v="Α΄"/>
    <n v="13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0-14T00:00:00"/>
    <x v="0"/>
    <s v="ΔΙΕΥΘΥΝΣΗ Δ.Ε. Δ΄ ΑΘΗΝΑΣ"/>
    <x v="3"/>
  </r>
  <r>
    <x v="1527"/>
    <x v="0"/>
    <s v="ΠΕ01"/>
    <s v="ΘΕΟΛΟΓΟΙ"/>
    <m/>
    <m/>
    <s v="Α΄"/>
    <n v="12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0-13T00:00:00"/>
    <x v="0"/>
    <s v="ΔΙΕΥΘΥΝΣΗ Δ.Ε. Δ΄ ΑΘΗΝΑΣ"/>
    <x v="3"/>
  </r>
  <r>
    <x v="1528"/>
    <x v="1"/>
    <s v="ΠΕ08"/>
    <s v="ΚΑΛΛΙΤΕΧΝΙΚ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10-09T00:00:00"/>
    <x v="0"/>
    <s v="ΔΙΕΥΘΥΝΣΗ Δ.Ε. ΠΕΙΡΑΙΑ"/>
    <x v="3"/>
  </r>
  <r>
    <x v="1529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8-10-07T00:00:00"/>
    <x v="0"/>
    <s v="ΔΙΕΥΘΥΝΣΗ Δ.Ε. ΑΝΑΤΟΛΙΚΗΣ ΑΤΤΙΚΗΣ"/>
    <x v="3"/>
  </r>
  <r>
    <x v="1530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10-02T00:00:00"/>
    <x v="0"/>
    <s v="ΔΙΕΥΘΥΝΣΗ Δ.Ε. Δ΄ ΑΘΗΝΑΣ"/>
    <x v="3"/>
  </r>
  <r>
    <x v="1531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9-13T00:00:00"/>
    <x v="0"/>
    <s v="ΔΙΕΥΘΥΝΣΗ Δ.Ε. Β΄ ΑΘΗΝΑΣ"/>
    <x v="3"/>
  </r>
  <r>
    <x v="1532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9-09T00:00:00"/>
    <x v="0"/>
    <s v="ΔΙΕΥΘΥΝΣΗ Δ.Ε. Δ΄ ΑΘΗΝΑΣ"/>
    <x v="3"/>
  </r>
  <r>
    <x v="1533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9-03T00:00:00"/>
    <x v="0"/>
    <s v="ΔΙΕΥΘΥΝΣΗ Δ.Ε. ΑΝΑΤΟΛΙΚΗΣ ΑΤΤΙΚΗΣ"/>
    <x v="3"/>
  </r>
  <r>
    <x v="1534"/>
    <x v="1"/>
    <s v="ΠΕ06"/>
    <s v="ΑΓΓΛΙΚΗΣ ΦΙΛΟΛΟΓΙΑ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8-08-04T00:00:00"/>
    <x v="0"/>
    <s v="ΔΙΕΥΘΥΝΣΗ Δ.Ε. ΑΝΑΤΟΛΙΚΗΣ ΑΤΤΙΚΗΣ"/>
    <x v="3"/>
  </r>
  <r>
    <x v="153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8-04T00:00:00"/>
    <x v="0"/>
    <s v="ΔΙΕΥΘΥΝΣΗ Δ.Ε. Β΄ ΑΘΗΝΑΣ"/>
    <x v="3"/>
  </r>
  <r>
    <x v="1536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7-29T00:00:00"/>
    <x v="0"/>
    <s v="ΔΙΕΥΘΥΝΣΗ Δ.Ε. Δ΄ ΑΘΗΝΑΣ"/>
    <x v="3"/>
  </r>
  <r>
    <x v="1537"/>
    <x v="0"/>
    <s v="ΠΕ79.01"/>
    <s v="ΜΟΥΣΙΚΗΣ ΕΠΙΣΤΗΜ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7-15T00:00:00"/>
    <x v="0"/>
    <s v="ΔΙΕΥΘΥΝΣΗ Δ.Ε. Β΄ ΑΘΗΝΑΣ"/>
    <x v="3"/>
  </r>
  <r>
    <x v="1538"/>
    <x v="1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8-07-14T00:00:00"/>
    <x v="0"/>
    <s v="ΔΙΕΥΘΥΝΣΗ Δ.Ε. ΑΧΑΪΑΣ"/>
    <x v="3"/>
  </r>
  <r>
    <x v="1539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7-11T00:00:00"/>
    <x v="0"/>
    <s v="ΔΙΕΥΘΥΝΣΗ Δ.Ε. Β΄ ΑΘΗΝΑΣ"/>
    <x v="3"/>
  </r>
  <r>
    <x v="1540"/>
    <x v="1"/>
    <s v="ΠΕ02"/>
    <s v="ΦΙΛΟΛΟΓΟΙ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6-11T00:00:00"/>
    <x v="0"/>
    <s v="ΔΙΕΥΘΥΝΣΗ Δ.Ε. ΑΝΑΤ. ΘΕΣ/ΝΙΚΗΣ"/>
    <x v="3"/>
  </r>
  <r>
    <x v="1541"/>
    <x v="0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6-02T00:00:00"/>
    <x v="0"/>
    <s v="ΔΙΕΥΘΥΝΣΗ Δ.Ε. ΠΕΙΡΑΙΑ"/>
    <x v="3"/>
  </r>
  <r>
    <x v="1542"/>
    <x v="0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5-28T00:00:00"/>
    <x v="0"/>
    <s v="ΔΙΕΥΘΥΝΣΗ Δ.Ε. ΠΕΙΡΑΙΑ"/>
    <x v="3"/>
  </r>
  <r>
    <x v="1543"/>
    <x v="0"/>
    <s v="ΠΕ04.01"/>
    <s v="ΦΥΣ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8-05-22T00:00:00"/>
    <x v="0"/>
    <s v="ΔΙΕΥΘΥΝΣΗ Δ.Ε. Γ΄ ΑΘΗΝΑΣ"/>
    <x v="3"/>
  </r>
  <r>
    <x v="1544"/>
    <x v="1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8-05-17T00:00:00"/>
    <x v="0"/>
    <s v="ΔΙΕΥΘΥΝΣΗ Δ.Ε. ΑΝΑΤΟΛΙΚΗΣ ΑΤΤΙΚΗΣ"/>
    <x v="3"/>
  </r>
  <r>
    <x v="1545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5-17T00:00:00"/>
    <x v="0"/>
    <s v="ΔΙΕΥΘΥΝΣΗ Δ.Ε. Β΄ ΑΘΗΝΑΣ"/>
    <x v="3"/>
  </r>
  <r>
    <x v="1546"/>
    <x v="1"/>
    <s v="ΠΕ03"/>
    <s v="ΜΑΘΗΜΑΤΙΚ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5-11T00:00:00"/>
    <x v="0"/>
    <s v="ΔΙΕΥΘΥΝΣΗ Δ.Ε. ΑΝΑΤ. ΘΕΣ/ΝΙΚΗΣ"/>
    <x v="3"/>
  </r>
  <r>
    <x v="1547"/>
    <x v="1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8-05-09T00:00:00"/>
    <x v="0"/>
    <s v="ΔΙΕΥΘΥΝΣΗ Δ.Ε. ΑΝΑΤΟΛΙΚΗΣ ΑΤΤΙΚΗΣ"/>
    <x v="3"/>
  </r>
  <r>
    <x v="1548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4-29T00:00:00"/>
    <x v="0"/>
    <s v="ΔΙΕΥΘΥΝΣΗ Δ.Ε. Γ΄ ΑΘΗΝΑΣ"/>
    <x v="3"/>
  </r>
  <r>
    <x v="1549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4-28T00:00:00"/>
    <x v="0"/>
    <s v="ΔΙΕΥΘΥΝΣΗ Δ.Ε. ΑΝΑΤΟΛΙΚΗΣ ΑΤΤΙΚΗΣ"/>
    <x v="3"/>
  </r>
  <r>
    <x v="1550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4-28T00:00:00"/>
    <x v="0"/>
    <s v="ΔΙΕΥΘΥΝΣΗ Δ.Ε. ΑΝΑΤ. ΘΕΣ/ΝΙΚΗΣ"/>
    <x v="3"/>
  </r>
  <r>
    <x v="1551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4-20T00:00:00"/>
    <x v="0"/>
    <s v="ΔΙΕΥΘΥΝΣΗ Δ.Ε. Β΄ ΑΘΗΝΑΣ"/>
    <x v="3"/>
  </r>
  <r>
    <x v="1552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4-10T00:00:00"/>
    <x v="0"/>
    <s v="ΔΙΕΥΘΥΝΣΗ Δ.Ε. Β΄ ΑΘΗΝΑΣ"/>
    <x v="3"/>
  </r>
  <r>
    <x v="1553"/>
    <x v="1"/>
    <s v="ΠΕ11"/>
    <s v="ΦΥΣΙΚΗΣ ΑΓΩΓΗΣ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3-30T00:00:00"/>
    <x v="0"/>
    <s v="ΔΙΕΥΘΥΝΣΗ Δ.Ε. ΑΝΑΤ. ΘΕΣ/ΝΙΚΗΣ"/>
    <x v="3"/>
  </r>
  <r>
    <x v="155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3-23T00:00:00"/>
    <x v="0"/>
    <s v="ΔΙΕΥΘΥΝΣΗ Δ.Ε. Δ΄ ΑΘΗΝΑΣ"/>
    <x v="3"/>
  </r>
  <r>
    <x v="1555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18T00:00:00"/>
    <x v="0"/>
    <s v="ΔΙΕΥΘΥΝΣΗ Δ.Ε. Β΄ ΑΘΗΝΑΣ"/>
    <x v="3"/>
  </r>
  <r>
    <x v="1556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8-03-11T00:00:00"/>
    <x v="0"/>
    <s v="ΔΙΕΥΘΥΝΣΗ Δ.Ε. Γ΄ ΑΘΗΝΑΣ"/>
    <x v="3"/>
  </r>
  <r>
    <x v="1557"/>
    <x v="1"/>
    <s v="ΠΕ02"/>
    <s v="ΦΙΛΟΛΟΓΟΙ"/>
    <m/>
    <m/>
    <s v="Γ΄"/>
    <n v="1"/>
    <n v="18459"/>
    <d v="2018-09-10T00:00:00"/>
    <s v="Α΄ ΠΕΙΡΑΙΑ (Δ.Ε.) 2018"/>
    <s v="ΔΙΕΥΘΥΝΣΗ Δ.Ε. ΠΕΙΡΑΙΑ"/>
    <s v="ΠΕΡΙΦΕΡΕΙΑΚΗ Δ/ΝΣΗ Α/ΘΜΙΑΣ ΚΑΙ Β/ΘΜΙΑΣ ΕΚΠ/ΣΗΣ ΑΤΤΙΚΗΣ"/>
    <n v="18"/>
    <d v="2018-09-10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8-03-09T00:00:00"/>
    <x v="0"/>
    <s v="ΔΙΕΥΘΥΝΣΗ Δ.Ε. ΠΕΙΡΑΙΑ"/>
    <x v="3"/>
  </r>
  <r>
    <x v="1558"/>
    <x v="1"/>
    <s v="ΠΕ07"/>
    <s v="ΓΕΡΜΑΝΙΚΗΣ ΦΙΛΟΛΟΓΙΑΣ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3-06T00:00:00"/>
    <x v="0"/>
    <s v="ΔΙΕΥΘΥΝΣΗ Δ.Ε. ΑΝΑΤ. ΘΕΣ/ΝΙΚΗΣ"/>
    <x v="3"/>
  </r>
  <r>
    <x v="1559"/>
    <x v="0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02T00:00:00"/>
    <x v="0"/>
    <s v="ΔΙΕΥΘΥΝΣΗ Δ.Ε. Β΄ ΑΘΗΝΑΣ"/>
    <x v="3"/>
  </r>
  <r>
    <x v="1560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2-12T00:00:00"/>
    <x v="0"/>
    <s v="ΔΙΕΥΘΥΝΣΗ Δ.Ε. Β΄ ΑΘΗΝΑΣ"/>
    <x v="3"/>
  </r>
  <r>
    <x v="1561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2-09T00:00:00"/>
    <x v="0"/>
    <s v="ΔΙΕΥΘΥΝΣΗ Δ.Ε. ΑΝΑΤ. ΘΕΣ/ΝΙΚΗΣ"/>
    <x v="3"/>
  </r>
  <r>
    <x v="1562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30T00:00:00"/>
    <x v="0"/>
    <s v="ΔΙΕΥΘΥΝΣΗ Δ.Ε. Β΄ ΑΘΗΝΑΣ"/>
    <x v="3"/>
  </r>
  <r>
    <x v="1563"/>
    <x v="0"/>
    <s v="ΠΕ11"/>
    <s v="ΦΥΣΙΚΗΣ ΑΓΩΓΗΣ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1-29T00:00:00"/>
    <x v="0"/>
    <s v="ΔΙΕΥΘΥΝΣΗ Δ.Ε. ΑΝΑΤ. ΘΕΣ/ΝΙΚΗΣ"/>
    <x v="3"/>
  </r>
  <r>
    <x v="1564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28T00:00:00"/>
    <x v="0"/>
    <s v="ΔΙΕΥΘΥΝΣΗ Δ.Ε. Β΄ ΑΘΗΝΑΣ"/>
    <x v="3"/>
  </r>
  <r>
    <x v="1565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1-22T00:00:00"/>
    <x v="0"/>
    <s v="ΔΙΕΥΘΥΝΣΗ Δ.Ε. Δ΄ ΑΘΗΝΑΣ"/>
    <x v="3"/>
  </r>
  <r>
    <x v="1566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1-21T00:00:00"/>
    <x v="0"/>
    <s v="ΔΙΕΥΘΥΝΣΗ Δ.Ε. Δ΄ ΑΘΗΝΑΣ"/>
    <x v="3"/>
  </r>
  <r>
    <x v="1567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01-19T00:00:00"/>
    <x v="0"/>
    <s v="ΔΙΕΥΘΥΝΣΗ Δ.Ε. Β΄ ΑΘΗΝΑΣ"/>
    <x v="3"/>
  </r>
  <r>
    <x v="1568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8-01-13T00:00:00"/>
    <x v="0"/>
    <s v="ΔΙΕΥΘΥΝΣΗ Δ.Ε. ΑΝΑΤΟΛΙΚΗΣ ΑΤΤΙΚΗΣ"/>
    <x v="3"/>
  </r>
  <r>
    <x v="1569"/>
    <x v="1"/>
    <s v="ΠΕ01"/>
    <s v="ΘΕ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1-05T00:00:00"/>
    <x v="0"/>
    <s v="ΔΙΕΥΘΥΝΣΗ Δ.Ε. ΑΝΑΤ. ΘΕΣ/ΝΙΚΗΣ"/>
    <x v="3"/>
  </r>
  <r>
    <x v="1570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1-01T00:00:00"/>
    <x v="0"/>
    <s v="ΔΙΕΥΘΥΝΣΗ Δ.Ε. Δ΄ ΑΘΗΝΑΣ"/>
    <x v="3"/>
  </r>
  <r>
    <x v="1571"/>
    <x v="0"/>
    <s v="ΠΕ11"/>
    <s v="ΦΥΣΙΚΗΣ ΑΓΩΓΗΣ"/>
    <m/>
    <m/>
    <s v="Γ΄"/>
    <n v="1"/>
    <n v="3050"/>
    <d v="2018-09-01T00:00:00"/>
    <s v="Δ΄ ΑΘΗΝΑΣ (Π.Ε.) 2018"/>
    <s v="ΔΙΕΥΘΥΝΣΗ Π.Ε. Δ΄ ΑΘΗΝΑΣ"/>
    <s v="ΠΕΡΙΦΕΡΕΙΑΚΗ Δ/ΝΣΗ Α/ΘΜΙΑΣ ΚΑΙ Β/ΘΜΙΑΣ ΕΚΠ/ΣΗΣ ΑΤΤΙΚΗΣ"/>
    <n v="18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01-01T00:00:00"/>
    <x v="1"/>
    <s v="ΔΙΕΥΘΥΝΣΗ Π.Ε. Δ΄ ΑΘΗΝΑΣ"/>
    <x v="3"/>
  </r>
  <r>
    <x v="1572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12-28T00:00:00"/>
    <x v="0"/>
    <s v="ΔΙΕΥΘΥΝΣΗ Δ.Ε. Β΄ ΑΘΗΝΑΣ"/>
    <x v="3"/>
  </r>
  <r>
    <x v="1573"/>
    <x v="0"/>
    <s v="ΠΕ82"/>
    <s v="ΜΗΧΑΝΟΛΟΓ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12-17T00:00:00"/>
    <x v="0"/>
    <s v="ΔΙΕΥΘΥΝΣΗ Δ.Ε. Β΄ ΑΘΗΝΑΣ"/>
    <x v="3"/>
  </r>
  <r>
    <x v="157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2-10T00:00:00"/>
    <x v="0"/>
    <s v="ΔΙΕΥΘΥΝΣΗ Δ.Ε. Β΄ ΑΘΗΝΑΣ"/>
    <x v="3"/>
  </r>
  <r>
    <x v="1575"/>
    <x v="0"/>
    <s v="ΠΕ11"/>
    <s v="ΦΥΣΙΚΗΣ ΑΓΩΓΗΣ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18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7-11-14T00:00:00"/>
    <x v="1"/>
    <s v="ΔΙΕΥΘΥΝΣΗ Π.Ε. ΗΡΑΚΛΕΙΟΥ"/>
    <x v="3"/>
  </r>
  <r>
    <x v="1576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1-02T00:00:00"/>
    <x v="0"/>
    <s v="ΔΙΕΥΘΥΝΣΗ Δ.Ε. Β΄ ΑΘΗΝΑΣ"/>
    <x v="3"/>
  </r>
  <r>
    <x v="1577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10-11T00:00:00"/>
    <x v="0"/>
    <s v="ΔΙΕΥΘΥΝΣΗ Δ.Ε. ΑΝΑΤΟΛΙΚΗΣ ΑΤΤΙΚΗΣ"/>
    <x v="3"/>
  </r>
  <r>
    <x v="1578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10-06T00:00:00"/>
    <x v="0"/>
    <s v="ΔΙΕΥΘΥΝΣΗ Δ.Ε. Δ΄ ΑΘΗΝΑΣ"/>
    <x v="3"/>
  </r>
  <r>
    <x v="1579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10-03T00:00:00"/>
    <x v="0"/>
    <s v="ΔΙΕΥΘΥΝΣΗ Δ.Ε. ΑΝΑΤΟΛΙΚΗΣ ΑΤΤΙΚΗΣ"/>
    <x v="3"/>
  </r>
  <r>
    <x v="1580"/>
    <x v="1"/>
    <s v="ΠΕ05"/>
    <s v="ΓΑΛ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18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7-09-28T00:00:00"/>
    <x v="1"/>
    <s v="ΔΙΕΥΘΥΝΣΗ Π.Ε. ΠΕΙΡΑΙΑ"/>
    <x v="3"/>
  </r>
  <r>
    <x v="1581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9-25T00:00:00"/>
    <x v="0"/>
    <s v="ΔΙΕΥΘΥΝΣΗ Δ.Ε. ΠΕΙΡΑΙΑ"/>
    <x v="3"/>
  </r>
  <r>
    <x v="1582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9-22T00:00:00"/>
    <x v="0"/>
    <s v="ΔΙΕΥΘΥΝΣΗ Δ.Ε. Β΄ ΑΘΗΝΑΣ"/>
    <x v="3"/>
  </r>
  <r>
    <x v="1583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9-08T00:00:00"/>
    <x v="0"/>
    <s v="ΔΙΕΥΘΥΝΣΗ Δ.Ε. Δ΄ ΑΘΗΝΑΣ"/>
    <x v="3"/>
  </r>
  <r>
    <x v="1584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8-27T00:00:00"/>
    <x v="0"/>
    <s v="ΔΙΕΥΘΥΝΣΗ Δ.Ε. ΑΝΑΤΟΛΙΚΗΣ ΑΤΤΙΚΗΣ"/>
    <x v="3"/>
  </r>
  <r>
    <x v="158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8-25T00:00:00"/>
    <x v="0"/>
    <s v="ΔΙΕΥΘΥΝΣΗ Δ.Ε. Β΄ ΑΘΗΝΑΣ"/>
    <x v="3"/>
  </r>
  <r>
    <x v="1586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7"/>
    <s v="ΕΛΛΗΝΟΓΑΛΛΙΚΗ ΣΧΟΛΗ ΟΥΡΣΟΥΛΙΝΩΝ - ΙΔΙΩΤΙΚΟ ΓΕΝΙΚΟ ΛΥΚΕ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8-15T00:00:00"/>
    <x v="0"/>
    <s v="ΔΙΕΥΘΥΝΣΗ Δ.Ε. Β΄ ΑΘΗΝΑΣ"/>
    <x v="3"/>
  </r>
  <r>
    <x v="1587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8-08T00:00:00"/>
    <x v="0"/>
    <s v="ΔΙΕΥΘΥΝΣΗ Δ.Ε. Β΄ ΑΘΗΝΑΣ"/>
    <x v="3"/>
  </r>
  <r>
    <x v="1588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7-31T00:00:00"/>
    <x v="0"/>
    <s v="ΔΙΕΥΘΥΝΣΗ Δ.Ε. Β΄ ΑΘΗΝΑΣ"/>
    <x v="3"/>
  </r>
  <r>
    <x v="1589"/>
    <x v="0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7-26T00:00:00"/>
    <x v="0"/>
    <s v="ΔΙΕΥΘΥΝΣΗ Δ.Ε. ΑΝΑΤΟΛΙΚΗΣ ΑΤΤΙΚΗΣ"/>
    <x v="3"/>
  </r>
  <r>
    <x v="1590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7-16T00:00:00"/>
    <x v="0"/>
    <s v="ΔΙΕΥΘΥΝΣΗ Δ.Ε. Β΄ ΑΘΗΝΑΣ"/>
    <x v="3"/>
  </r>
  <r>
    <x v="1591"/>
    <x v="0"/>
    <s v="ΠΕ02"/>
    <s v="ΦΙΛΟΛΟΓΟΙ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7-03T00:00:00"/>
    <x v="0"/>
    <s v="ΔΙΕΥΘΥΝΣΗ Δ.Ε. Α΄ ΑΘΗΝΑΣ"/>
    <x v="3"/>
  </r>
  <r>
    <x v="1592"/>
    <x v="0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7-03T00:00:00"/>
    <x v="0"/>
    <s v="ΔΙΕΥΘΥΝΣΗ Δ.Ε. ΑΝΑΤ. ΘΕΣ/ΝΙΚΗΣ"/>
    <x v="3"/>
  </r>
  <r>
    <x v="159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7-01T00:00:00"/>
    <x v="0"/>
    <s v="ΔΙΕΥΘΥΝΣΗ Δ.Ε. Β΄ ΑΘΗΝΑΣ"/>
    <x v="3"/>
  </r>
  <r>
    <x v="1594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6-21T00:00:00"/>
    <x v="0"/>
    <s v="ΔΙΕΥΘΥΝΣΗ Δ.Ε. ΑΝΑΤΟΛΙΚΗΣ ΑΤΤΙΚΗΣ"/>
    <x v="3"/>
  </r>
  <r>
    <x v="1595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6-21T00:00:00"/>
    <x v="0"/>
    <s v="ΔΙΕΥΘΥΝΣΗ Δ.Ε. Β΄ ΑΘΗΝΑΣ"/>
    <x v="3"/>
  </r>
  <r>
    <x v="159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6-20T00:00:00"/>
    <x v="0"/>
    <s v="ΔΙΕΥΘΥΝΣΗ Δ.Ε. ΑΝΑΤΟΛΙΚΗΣ ΑΤΤΙΚΗΣ"/>
    <x v="3"/>
  </r>
  <r>
    <x v="1597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m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7-06-03T00:00:00"/>
    <x v="1"/>
    <s v="ΔΙΕΥΘΥΝΣΗ Π.Ε. ΑΝΑΤΟΛΙΚΗΣ ΑΤΤΙΚΗΣ"/>
    <x v="3"/>
  </r>
  <r>
    <x v="1598"/>
    <x v="1"/>
    <s v="ΠΕ04.04"/>
    <s v="ΒΙ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5-26T00:00:00"/>
    <x v="0"/>
    <s v="ΔΙΕΥΘΥΝΣΗ Δ.Ε. ΑΝΑΤΟΛΙΚΗΣ ΑΤΤΙΚΗΣ"/>
    <x v="3"/>
  </r>
  <r>
    <x v="1599"/>
    <x v="0"/>
    <s v="ΠΕ01"/>
    <s v="ΘΕΟΛΟΓΟΙ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1"/>
    <s v="ΑΜΕΡΙΚΑΝΙΚΟ ΚΟΛΛΕΓΙΟ &quot;ΑΝΑΤΟΛΙΑ&quot;  1ο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5-26T00:00:00"/>
    <x v="0"/>
    <s v="ΔΙΕΥΘΥΝΣΗ Δ.Ε. ΑΝΑΤ. ΘΕΣ/ΝΙΚΗΣ"/>
    <x v="3"/>
  </r>
  <r>
    <x v="1600"/>
    <x v="1"/>
    <s v="ΠΕ04.04"/>
    <s v="ΒΙ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7-05-22T00:00:00"/>
    <x v="0"/>
    <s v="ΔΙΕΥΘΥΝΣΗ Δ.Ε. ΑΝΑΤ. ΘΕΣ/ΝΙΚΗΣ"/>
    <x v="3"/>
  </r>
  <r>
    <x v="1601"/>
    <x v="0"/>
    <s v="ΠΕ04.05"/>
    <s v="ΓΕΩ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7-05-13T00:00:00"/>
    <x v="0"/>
    <s v="ΔΙΕΥΘΥΝΣΗ Δ.Ε. Γ΄ ΑΘΗΝΑΣ"/>
    <x v="3"/>
  </r>
  <r>
    <x v="1602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5-09T00:00:00"/>
    <x v="0"/>
    <s v="ΔΙΕΥΘΥΝΣΗ Δ.Ε. Β΄ ΑΘΗΝΑΣ"/>
    <x v="3"/>
  </r>
  <r>
    <x v="1603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5-06T00:00:00"/>
    <x v="0"/>
    <s v="ΔΙΕΥΘΥΝΣΗ Δ.Ε. Β΄ ΑΘΗΝΑΣ"/>
    <x v="3"/>
  </r>
  <r>
    <x v="1604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4-26T00:00:00"/>
    <x v="0"/>
    <s v="ΔΙΕΥΘΥΝΣΗ Δ.Ε. ΠΕΙΡΑΙΑ"/>
    <x v="3"/>
  </r>
  <r>
    <x v="1605"/>
    <x v="1"/>
    <s v="ΠΕ01"/>
    <s v="ΘΕ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4-18T00:00:00"/>
    <x v="0"/>
    <s v="ΔΙΕΥΘΥΝΣΗ Δ.Ε. Δ΄ ΑΘΗΝΑΣ"/>
    <x v="3"/>
  </r>
  <r>
    <x v="1606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4-07T00:00:00"/>
    <x v="0"/>
    <s v="ΔΙΕΥΘΥΝΣΗ Δ.Ε. ΑΝΑΤΟΛΙΚΗΣ ΑΤΤΙΚΗΣ"/>
    <x v="3"/>
  </r>
  <r>
    <x v="1607"/>
    <x v="1"/>
    <s v="ΠΕ03"/>
    <s v="ΜΑΘΗΜΑΤΙΚ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7-03-20T00:00:00"/>
    <x v="0"/>
    <s v="ΔΙΕΥΘΥΝΣΗ Δ.Ε. ΑΝΑΤ. ΘΕΣ/ΝΙΚΗΣ"/>
    <x v="3"/>
  </r>
  <r>
    <x v="1608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3-16T00:00:00"/>
    <x v="0"/>
    <s v="ΔΙΕΥΘΥΝΣΗ Δ.Ε. ΠΕΙΡΑΙΑ"/>
    <x v="3"/>
  </r>
  <r>
    <x v="1609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3-04T00:00:00"/>
    <x v="0"/>
    <s v="ΔΙΕΥΘΥΝΣΗ Δ.Ε. ΑΝΑΤΟΛΙΚΗΣ ΑΤΤΙΚΗΣ"/>
    <x v="3"/>
  </r>
  <r>
    <x v="1610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3-02T00:00:00"/>
    <x v="0"/>
    <s v="ΔΙΕΥΘΥΝΣΗ Δ.Ε. ΠΕΙΡΑΙΑ"/>
    <x v="3"/>
  </r>
  <r>
    <x v="1611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3-01T00:00:00"/>
    <x v="1"/>
    <s v="ΔΙΕΥΘΥΝΣΗ Π.Ε. ΑΝΑΤΟΛΙΚΗΣ ΑΤΤΙΚΗΣ"/>
    <x v="3"/>
  </r>
  <r>
    <x v="1612"/>
    <x v="1"/>
    <s v="ΠΕ06"/>
    <s v="ΑΓΓ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2-15T00:00:00"/>
    <x v="0"/>
    <s v="ΔΙΕΥΘΥΝΣΗ Δ.Ε. Α΄ ΑΘΗΝΑΣ"/>
    <x v="3"/>
  </r>
  <r>
    <x v="161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2-14T00:00:00"/>
    <x v="0"/>
    <s v="ΔΙΕΥΘΥΝΣΗ Δ.Ε. Β΄ ΑΘΗΝΑΣ"/>
    <x v="3"/>
  </r>
  <r>
    <x v="1614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2-11T00:00:00"/>
    <x v="0"/>
    <s v="ΔΙΕΥΘΥΝΣΗ Δ.Ε. ΠΕΙΡΑΙΑ"/>
    <x v="3"/>
  </r>
  <r>
    <x v="1615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1-29T00:00:00"/>
    <x v="0"/>
    <s v="ΔΙΕΥΘΥΝΣΗ Δ.Ε. Β΄ ΑΘΗΝΑΣ"/>
    <x v="3"/>
  </r>
  <r>
    <x v="1616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1-29T00:00:00"/>
    <x v="0"/>
    <s v="ΔΙΕΥΘΥΝΣΗ Δ.Ε. Β΄ ΑΘΗΝΑΣ"/>
    <x v="3"/>
  </r>
  <r>
    <x v="1617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1-06T00:00:00"/>
    <x v="0"/>
    <s v="ΔΙΕΥΘΥΝΣΗ Δ.Ε. Β΄ ΑΘΗΝΑΣ"/>
    <x v="3"/>
  </r>
  <r>
    <x v="1618"/>
    <x v="1"/>
    <s v="ΠΕ06"/>
    <s v="ΑΓΓ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1-05T00:00:00"/>
    <x v="0"/>
    <s v="ΔΙΕΥΘΥΝΣΗ Δ.Ε. Α΄ ΑΘΗΝΑΣ"/>
    <x v="3"/>
  </r>
  <r>
    <x v="1619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Α΄ ΑΘΗΝΑΣ"/>
    <x v="3"/>
  </r>
  <r>
    <x v="1620"/>
    <x v="1"/>
    <s v="ΠΕ06"/>
    <s v="ΑΓΓΛΙΚΗΣ ΦΙΛΟΛΟΓΙΑ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01-01T00:00:00"/>
    <x v="0"/>
    <s v="ΔΙΕΥΘΥΝΣΗ Δ.Ε. ΑΝΑΤΟΛΙΚΗΣ ΑΤΤΙΚΗΣ"/>
    <x v="3"/>
  </r>
  <r>
    <x v="1621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Δ΄ ΑΘΗΝΑΣ"/>
    <x v="3"/>
  </r>
  <r>
    <x v="1622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12-11T00:00:00"/>
    <x v="0"/>
    <s v="ΔΙΕΥΘΥΝΣΗ Δ.Ε. ΑΝΑΤ. ΘΕΣ/ΝΙΚΗΣ"/>
    <x v="3"/>
  </r>
  <r>
    <x v="1623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2-10T00:00:00"/>
    <x v="0"/>
    <s v="ΔΙΕΥΘΥΝΣΗ Δ.Ε. Β΄ ΑΘΗΝΑΣ"/>
    <x v="3"/>
  </r>
  <r>
    <x v="1624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12-08T00:00:00"/>
    <x v="0"/>
    <s v="ΔΙΕΥΘΥΝΣΗ Δ.Ε. ΑΝΑΤΟΛΙΚΗΣ ΑΤΤΙΚΗΣ"/>
    <x v="3"/>
  </r>
  <r>
    <x v="1625"/>
    <x v="0"/>
    <s v="ΠΕ11"/>
    <s v="ΦΥΣΙΚΗΣ ΑΓΩΓΗΣ"/>
    <m/>
    <m/>
    <s v="Γ΄"/>
    <n v="13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12-07T00:00:00"/>
    <x v="0"/>
    <s v="ΔΙΕΥΘΥΝΣΗ Δ.Ε. Δ΄ ΑΘΗΝΑΣ"/>
    <x v="3"/>
  </r>
  <r>
    <x v="162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11-30T00:00:00"/>
    <x v="0"/>
    <s v="ΔΙΕΥΘΥΝΣΗ Δ.Ε. ΑΝΑΤΟΛΙΚΗΣ ΑΤΤΙΚΗΣ"/>
    <x v="3"/>
  </r>
  <r>
    <x v="1627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1-28T00:00:00"/>
    <x v="0"/>
    <s v="ΔΙΕΥΘΥΝΣΗ Δ.Ε. Β΄ ΑΘΗΝΑΣ"/>
    <x v="3"/>
  </r>
  <r>
    <x v="1628"/>
    <x v="1"/>
    <s v="ΠΕ01"/>
    <s v="ΘΕ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11-24T00:00:00"/>
    <x v="0"/>
    <s v="ΔΙΕΥΘΥΝΣΗ Δ.Ε. ΑΝΑΤΟΛΙΚΗΣ ΑΤΤΙΚΗΣ"/>
    <x v="3"/>
  </r>
  <r>
    <x v="1629"/>
    <x v="1"/>
    <s v="ΠΕ80"/>
    <s v="ΟΙΚΟΝΟΜΙΑΣ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6-11-12T00:00:00"/>
    <x v="0"/>
    <s v="ΔΙΕΥΘΥΝΣΗ Δ.Ε. Α΄ ΑΘΗΝΑΣ"/>
    <x v="3"/>
  </r>
  <r>
    <x v="163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1-12T00:00:00"/>
    <x v="0"/>
    <s v="ΔΙΕΥΘΥΝΣΗ Δ.Ε. Β΄ ΑΘΗΝΑΣ"/>
    <x v="3"/>
  </r>
  <r>
    <x v="1631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0-31T00:00:00"/>
    <x v="0"/>
    <s v="ΔΙΕΥΘΥΝΣΗ Δ.Ε. Β΄ ΑΘΗΝΑΣ"/>
    <x v="3"/>
  </r>
  <r>
    <x v="1632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10-17T00:00:00"/>
    <x v="0"/>
    <s v="ΔΙΕΥΘΥΝΣΗ Δ.Ε. ΑΝΑΤ. ΘΕΣ/ΝΙΚΗΣ"/>
    <x v="3"/>
  </r>
  <r>
    <x v="1633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0-16T00:00:00"/>
    <x v="0"/>
    <s v="ΔΙΕΥΘΥΝΣΗ Δ.Ε. Β΄ ΑΘΗΝΑΣ"/>
    <x v="3"/>
  </r>
  <r>
    <x v="163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0-14T00:00:00"/>
    <x v="0"/>
    <s v="ΔΙΕΥΘΥΝΣΗ Δ.Ε. Β΄ ΑΘΗΝΑΣ"/>
    <x v="3"/>
  </r>
  <r>
    <x v="1635"/>
    <x v="0"/>
    <s v="ΠΕ88.02"/>
    <s v="ΦΥΤ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9-17T00:00:00"/>
    <x v="0"/>
    <s v="ΔΙΕΥΘΥΝΣΗ Δ.Ε. ΑΝΑΤ. ΘΕΣ/ΝΙΚΗΣ"/>
    <x v="3"/>
  </r>
  <r>
    <x v="163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9-14T00:00:00"/>
    <x v="0"/>
    <s v="ΔΙΕΥΘΥΝΣΗ Δ.Ε. Β΄ ΑΘΗΝΑΣ"/>
    <x v="3"/>
  </r>
  <r>
    <x v="1637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09-08T00:00:00"/>
    <x v="0"/>
    <s v="ΔΙΕΥΘΥΝΣΗ Δ.Ε. Β΄ ΑΘΗΝΑΣ"/>
    <x v="3"/>
  </r>
  <r>
    <x v="1638"/>
    <x v="1"/>
    <s v="ΠΕ11"/>
    <s v="ΦΥΣΙΚΗΣ ΑΓΩΓΗΣ"/>
    <m/>
    <m/>
    <s v="Α΄"/>
    <n v="14"/>
    <s v="Φ.60.2/9503/20-2-2003"/>
    <d v="2002-09-01T00:00:00"/>
    <s v="Α΄ ΑΝΑΤ. ΑΤΤΙΚΗΣ (Π.Ε.) 2018"/>
    <s v="ΔΙΕΥΘΥΝΣΗ Π.Ε. ΑΝΑΤΟΛΙΚΗΣ ΑΤΤΙΚΗΣ"/>
    <s v="ΠΕΡΙΦΕΡΕΙΑΚΗ Δ/ΝΣΗ Α/ΘΜΙΑΣ ΚΑΙ Β/ΘΜΙΑΣ ΕΚΠ/ΣΗΣ ΑΤΤΙΚΗΣ"/>
    <n v="18"/>
    <d v="2002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6-09-05T00:00:00"/>
    <x v="1"/>
    <s v="ΔΙΕΥΘΥΝΣΗ Π.Ε. ΑΝΑΤΟΛΙΚΗΣ ΑΤΤΙΚΗΣ"/>
    <x v="3"/>
  </r>
  <r>
    <x v="1639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8-23T00:00:00"/>
    <x v="0"/>
    <s v="ΔΙΕΥΘΥΝΣΗ Δ.Ε. Δ΄ ΑΘΗΝΑΣ"/>
    <x v="3"/>
  </r>
  <r>
    <x v="1640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8-19T00:00:00"/>
    <x v="0"/>
    <s v="ΔΙΕΥΘΥΝΣΗ Δ.Ε. Β΄ ΑΘΗΝΑΣ"/>
    <x v="3"/>
  </r>
  <r>
    <x v="1641"/>
    <x v="1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6-07-08T00:00:00"/>
    <x v="0"/>
    <s v="ΔΙΕΥΘΥΝΣΗ Δ.Ε. ΠΕΙΡΑΙΑ"/>
    <x v="3"/>
  </r>
  <r>
    <x v="1642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6-06-21T00:00:00"/>
    <x v="0"/>
    <s v="ΔΙΕΥΘΥΝΣΗ Δ.Ε. Γ΄ ΑΘΗΝΑΣ"/>
    <x v="3"/>
  </r>
  <r>
    <x v="1643"/>
    <x v="1"/>
    <s v="ΠΕ04.02"/>
    <s v="ΧΗΜ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5-31T00:00:00"/>
    <x v="0"/>
    <s v="ΔΙΕΥΘΥΝΣΗ Δ.Ε. Δ΄ ΑΘΗΝΑΣ"/>
    <x v="3"/>
  </r>
  <r>
    <x v="1644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05-13T00:00:00"/>
    <x v="0"/>
    <s v="ΔΙΕΥΘΥΝΣΗ Δ.Ε. Β΄ ΑΘΗΝΑΣ"/>
    <x v="3"/>
  </r>
  <r>
    <x v="1645"/>
    <x v="1"/>
    <s v="ΠΕ06"/>
    <s v="ΑΓΓΛΙΚΗΣ ΦΙΛΟΛΟΓΙΑΣ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5-11T00:00:00"/>
    <x v="0"/>
    <s v="ΔΙΕΥΘΥΝΣΗ Δ.Ε. Δ΄ ΑΘΗΝΑΣ"/>
    <x v="3"/>
  </r>
  <r>
    <x v="1646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6-05-08T00:00:00"/>
    <x v="1"/>
    <s v="ΔΙΕΥΘΥΝΣΗ Π.Ε. Β΄ ΑΘΗΝΑΣ"/>
    <x v="3"/>
  </r>
  <r>
    <x v="1647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4-19T00:00:00"/>
    <x v="0"/>
    <s v="ΔΙΕΥΘΥΝΣΗ Δ.Ε. Β΄ ΑΘΗΝΑΣ"/>
    <x v="3"/>
  </r>
  <r>
    <x v="1648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4-11T00:00:00"/>
    <x v="0"/>
    <s v="ΔΙΕΥΘΥΝΣΗ Δ.Ε. Β΄ ΑΘΗΝΑΣ"/>
    <x v="3"/>
  </r>
  <r>
    <x v="1649"/>
    <x v="1"/>
    <s v="ΠΕ78"/>
    <s v="ΚΟΙΝΩΝΙΚΩΝ ΕΠΙΣΤΗΜ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03-31T00:00:00"/>
    <x v="0"/>
    <s v="ΔΙΕΥΘΥΝΣΗ Δ.Ε. ΑΝΑΤΟΛΙΚΗΣ ΑΤΤΙΚΗΣ"/>
    <x v="3"/>
  </r>
  <r>
    <x v="1650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03-09T00:00:00"/>
    <x v="0"/>
    <s v="ΔΙΕΥΘΥΝΣΗ Δ.Ε. Β΄ ΑΘΗΝΑΣ"/>
    <x v="3"/>
  </r>
  <r>
    <x v="1651"/>
    <x v="1"/>
    <s v="ΠΕ11"/>
    <s v="ΦΥΣΙΚΗΣ ΑΓΩΓΗΣ"/>
    <m/>
    <m/>
    <s v="Α΄"/>
    <n v="1"/>
    <m/>
    <d v="1990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1990-09-01T00:00:00"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3-04T00:00:00"/>
    <x v="0"/>
    <s v="ΔΙΕΥΘΥΝΣΗ Δ.Ε. ΑΝΑΤ. ΘΕΣ/ΝΙΚΗΣ"/>
    <x v="3"/>
  </r>
  <r>
    <x v="1652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2-28T00:00:00"/>
    <x v="0"/>
    <s v="ΔΙΕΥΘΥΝΣΗ Δ.Ε. Β΄ ΑΘΗΝΑΣ"/>
    <x v="3"/>
  </r>
  <r>
    <x v="1653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02-26T00:00:00"/>
    <x v="0"/>
    <s v="ΔΙΕΥΘΥΝΣΗ Δ.Ε. ΑΝΑΤΟΛΙΚΗΣ ΑΤΤΙΚΗΣ"/>
    <x v="3"/>
  </r>
  <r>
    <x v="165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2-24T00:00:00"/>
    <x v="0"/>
    <s v="ΔΙΕΥΘΥΝΣΗ Δ.Ε. Β΄ ΑΘΗΝΑΣ"/>
    <x v="3"/>
  </r>
  <r>
    <x v="1655"/>
    <x v="1"/>
    <s v="ΠΕ02"/>
    <s v="ΦΙΛΟΛΟΓΟΙ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2-11T00:00:00"/>
    <x v="0"/>
    <s v="ΔΙΕΥΘΥΝΣΗ Δ.Ε. Δ΄ ΑΘΗΝΑΣ"/>
    <x v="3"/>
  </r>
  <r>
    <x v="1656"/>
    <x v="1"/>
    <s v="ΠΕ86"/>
    <s v="ΠΛΗΡΟΦΟΡΙΚ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2-09T00:00:00"/>
    <x v="0"/>
    <s v="ΔΙΕΥΘΥΝΣΗ Δ.Ε. Δ΄ ΑΘΗΝΑΣ"/>
    <x v="3"/>
  </r>
  <r>
    <x v="1657"/>
    <x v="0"/>
    <s v="ΠΕ01"/>
    <s v="ΘΕΟΛΟΓΟΙ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6-02-01T00:00:00"/>
    <x v="0"/>
    <s v="ΔΙΕΥΘΥΝΣΗ Δ.Ε. ΑΝΑΤ. ΘΕΣ/ΝΙΚΗΣ"/>
    <x v="3"/>
  </r>
  <r>
    <x v="1658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1-30T00:00:00"/>
    <x v="0"/>
    <s v="ΔΙΕΥΘΥΝΣΗ Δ.Ε. Β΄ ΑΘΗΝΑΣ"/>
    <x v="3"/>
  </r>
  <r>
    <x v="1659"/>
    <x v="1"/>
    <s v="ΠΕ01"/>
    <s v="ΘΕ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01-27T00:00:00"/>
    <x v="0"/>
    <s v="ΔΙΕΥΘΥΝΣΗ Δ.Ε. ΑΝΑΤΟΛΙΚΗΣ ΑΤΤΙΚΗΣ"/>
    <x v="3"/>
  </r>
  <r>
    <x v="1660"/>
    <x v="0"/>
    <s v="ΠΕ04.01"/>
    <s v="ΦΥΣΙΚΟΙ"/>
    <m/>
    <m/>
    <s v="Γ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1-22T00:00:00"/>
    <x v="0"/>
    <s v="ΔΙΕΥΘΥΝΣΗ Δ.Ε. ΑΝΑΤ. ΘΕΣ/ΝΙΚΗΣ"/>
    <x v="3"/>
  </r>
  <r>
    <x v="1661"/>
    <x v="1"/>
    <s v="ΠΕ02"/>
    <s v="ΦΙΛΟΛΟΓ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1-22T00:00:00"/>
    <x v="0"/>
    <s v="ΔΙΕΥΘΥΝΣΗ Δ.Ε. ΑΝΑΤ. ΘΕΣ/ΝΙΚΗΣ"/>
    <x v="3"/>
  </r>
  <r>
    <x v="1662"/>
    <x v="0"/>
    <s v="ΠΕ78"/>
    <s v="ΚΟΙΝΩΝΙΚΩΝ ΕΠΙΣΤΗΜΩΝ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6-01-19T00:00:00"/>
    <x v="0"/>
    <s v="ΔΙΕΥΘΥΝΣΗ Δ.Ε. ΑΧΑΪΑΣ"/>
    <x v="3"/>
  </r>
  <r>
    <x v="1663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01-09T00:00:00"/>
    <x v="0"/>
    <s v="ΔΙΕΥΘΥΝΣΗ Δ.Ε. Β΄ ΑΘΗΝΑΣ"/>
    <x v="3"/>
  </r>
  <r>
    <x v="1664"/>
    <x v="0"/>
    <s v="ΠΕ03"/>
    <s v="ΜΑΘΗΜΑΤΙΚ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18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1-01T00:00:00"/>
    <x v="0"/>
    <s v="ΔΙΕΥΘΥΝΣΗ Δ.Ε. Δ΄ ΑΘΗΝΑΣ"/>
    <x v="3"/>
  </r>
  <r>
    <x v="1665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12-25T00:00:00"/>
    <x v="0"/>
    <s v="ΔΙΕΥΘΥΝΣΗ Δ.Ε. Δ΄ ΑΘΗΝΑΣ"/>
    <x v="3"/>
  </r>
  <r>
    <x v="1666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12-09T00:00:00"/>
    <x v="0"/>
    <s v="ΔΙΕΥΘΥΝΣΗ Δ.Ε. ΑΝΑΤΟΛΙΚΗΣ ΑΤΤΙΚΗΣ"/>
    <x v="3"/>
  </r>
  <r>
    <x v="1667"/>
    <x v="1"/>
    <s v="ΠΕ80"/>
    <s v="ΟΙΚΟΝΟΜΙΑΣ"/>
    <s v="ΠΕ01"/>
    <s v="ΘΕΟΛΟΓΟΙ"/>
    <s v="Α΄"/>
    <n v="15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11-30T00:00:00"/>
    <x v="0"/>
    <s v="ΔΙΕΥΘΥΝΣΗ Δ.Ε. Δ΄ ΑΘΗΝΑΣ"/>
    <x v="3"/>
  </r>
  <r>
    <x v="1668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11-20T00:00:00"/>
    <x v="0"/>
    <s v="ΔΙΕΥΘΥΝΣΗ Δ.Ε. Δ΄ ΑΘΗΝΑΣ"/>
    <x v="3"/>
  </r>
  <r>
    <x v="1669"/>
    <x v="1"/>
    <s v="ΠΕ01"/>
    <s v="ΘΕ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11-17T00:00:00"/>
    <x v="0"/>
    <s v="ΔΙΕΥΘΥΝΣΗ Δ.Ε. ΑΝΑΤΟΛΙΚΗΣ ΑΤΤΙΚΗΣ"/>
    <x v="3"/>
  </r>
  <r>
    <x v="1670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11-08T00:00:00"/>
    <x v="0"/>
    <s v="ΔΙΕΥΘΥΝΣΗ Δ.Ε. Β΄ ΑΘΗΝΑΣ"/>
    <x v="3"/>
  </r>
  <r>
    <x v="167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10-17T00:00:00"/>
    <x v="0"/>
    <s v="ΔΙΕΥΘΥΝΣΗ Δ.Ε. Β΄ ΑΘΗΝΑΣ"/>
    <x v="3"/>
  </r>
  <r>
    <x v="1672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10-11T00:00:00"/>
    <x v="0"/>
    <s v="ΔΙΕΥΘΥΝΣΗ Δ.Ε. ΑΝΑΤΟΛΙΚΗΣ ΑΤΤΙΚΗΣ"/>
    <x v="3"/>
  </r>
  <r>
    <x v="1673"/>
    <x v="1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5-10-06T00:00:00"/>
    <x v="0"/>
    <s v="ΔΙΕΥΘΥΝΣΗ Δ.Ε. Α΄ ΑΘΗΝΑΣ"/>
    <x v="3"/>
  </r>
  <r>
    <x v="167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10-05T00:00:00"/>
    <x v="0"/>
    <s v="ΔΙΕΥΘΥΝΣΗ Δ.Ε. Δ΄ ΑΘΗΝΑΣ"/>
    <x v="3"/>
  </r>
  <r>
    <x v="1675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9-06T00:00:00"/>
    <x v="0"/>
    <s v="ΔΙΕΥΘΥΝΣΗ Δ.Ε. Β΄ ΑΘΗΝΑΣ"/>
    <x v="3"/>
  </r>
  <r>
    <x v="1676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8-15T00:00:00"/>
    <x v="0"/>
    <s v="ΔΙΕΥΘΥΝΣΗ Δ.Ε. ΑΝΑΤΟΛΙΚΗΣ ΑΤΤΙΚΗΣ"/>
    <x v="3"/>
  </r>
  <r>
    <x v="1677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7-30T00:00:00"/>
    <x v="1"/>
    <s v="ΔΙΕΥΘΥΝΣΗ Π.Ε. Β΄ ΑΘΗΝΑΣ"/>
    <x v="3"/>
  </r>
  <r>
    <x v="167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7-27T00:00:00"/>
    <x v="0"/>
    <s v="ΔΙΕΥΘΥΝΣΗ Δ.Ε. Β΄ ΑΘΗΝΑΣ"/>
    <x v="3"/>
  </r>
  <r>
    <x v="1679"/>
    <x v="0"/>
    <s v="ΠΕ02"/>
    <s v="ΦΙΛΟΛΟΓΟΙ"/>
    <m/>
    <m/>
    <s v="Α΄"/>
    <n v="4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5-07-25T00:00:00"/>
    <x v="0"/>
    <s v="ΔΙΕΥΘΥΝΣΗ Δ.Ε. Α΄ ΑΘΗΝΑΣ"/>
    <x v="3"/>
  </r>
  <r>
    <x v="1680"/>
    <x v="0"/>
    <s v="ΠΕ03"/>
    <s v="ΜΑΘΗΜΑΤΙΚΟΙ"/>
    <m/>
    <m/>
    <s v="Γ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7-24T00:00:00"/>
    <x v="0"/>
    <s v="ΔΙΕΥΘΥΝΣΗ Δ.Ε. ΑΝΑΤ. ΘΕΣ/ΝΙΚΗΣ"/>
    <x v="3"/>
  </r>
  <r>
    <x v="1681"/>
    <x v="0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7-16T00:00:00"/>
    <x v="0"/>
    <s v="ΔΙΕΥΘΥΝΣΗ Δ.Ε. Β΄ ΑΘΗΝΑΣ"/>
    <x v="3"/>
  </r>
  <r>
    <x v="1682"/>
    <x v="0"/>
    <s v="ΠΕ79.01"/>
    <s v="ΜΟΥΣΙΚΗΣ ΕΠΙΣΤΗΜ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7-10T00:00:00"/>
    <x v="0"/>
    <s v="ΔΙΕΥΘΥΝΣΗ Δ.Ε. Δ΄ ΑΘΗΝΑΣ"/>
    <x v="3"/>
  </r>
  <r>
    <x v="1683"/>
    <x v="1"/>
    <s v="ΠΕ04.03"/>
    <s v="ΦΥΣΙΟΓΝΩΣΤΕ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7-09T00:00:00"/>
    <x v="0"/>
    <s v="ΔΙΕΥΘΥΝΣΗ Δ.Ε. Β΄ ΑΘΗΝΑΣ"/>
    <x v="3"/>
  </r>
  <r>
    <x v="1684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5-07-04T00:00:00"/>
    <x v="0"/>
    <s v="ΔΙΕΥΘΥΝΣΗ Δ.Ε. ΠΕΙΡΑΙΑ"/>
    <x v="3"/>
  </r>
  <r>
    <x v="1685"/>
    <x v="1"/>
    <s v="ΠΕ06"/>
    <s v="ΑΓΓΛΙΚΗΣ ΦΙΛΟΛΟΓΙΑΣ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5-07-04T00:00:00"/>
    <x v="0"/>
    <s v="ΔΙΕΥΘΥΝΣΗ Δ.Ε. ΔΥΤ. ΘΕΣ/ΝΙΚΗΣ"/>
    <x v="3"/>
  </r>
  <r>
    <x v="1686"/>
    <x v="1"/>
    <s v="ΠΕ02"/>
    <s v="ΦΙΛΟΛΟΓΟΙ"/>
    <m/>
    <m/>
    <s v="Α΄"/>
    <n v="13"/>
    <m/>
    <m/>
    <s v="Α΄ ΑΘΗΝΑΣ (Δ.Ε.) 2018"/>
    <s v="ΔΙΕΥΘΥΝΣΗ Δ.Ε. Α΄ ΑΘΗΝΑΣ"/>
    <s v="ΠΕΡΙΦΕΡΕΙΑΚΗ Δ/ΝΣΗ Α/ΘΜΙΑΣ ΚΑΙ Β/ΘΜΙΑΣ ΕΚΠ/ΣΗΣ ΑΤΤΙΚΗΣ"/>
    <n v="18"/>
    <d v="1989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5-06-29T00:00:00"/>
    <x v="0"/>
    <s v="ΔΙΕΥΘΥΝΣΗ Δ.Ε. Α΄ ΑΘΗΝΑΣ"/>
    <x v="3"/>
  </r>
  <r>
    <x v="1687"/>
    <x v="1"/>
    <s v="ΠΕ02"/>
    <s v="ΦΙΛΟΛΟΓΟΙ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6-28T00:00:00"/>
    <x v="0"/>
    <s v="ΔΙΕΥΘΥΝΣΗ Δ.Ε. ΑΝΑΤ. ΘΕΣ/ΝΙΚΗΣ"/>
    <x v="3"/>
  </r>
  <r>
    <x v="1688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6-22T00:00:00"/>
    <x v="0"/>
    <s v="ΔΙΕΥΘΥΝΣΗ Δ.Ε. ΑΝΑΤΟΛΙΚΗΣ ΑΤΤΙΚΗΣ"/>
    <x v="3"/>
  </r>
  <r>
    <x v="1689"/>
    <x v="1"/>
    <s v="ΠΕ02"/>
    <s v="ΦΙΛΟΛΟΓΟΙ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5-06-22T00:00:00"/>
    <x v="0"/>
    <s v="ΔΙΕΥΘΥΝΣΗ Δ.Ε. ΑΝΑΤ. ΘΕΣ/ΝΙΚΗΣ"/>
    <x v="3"/>
  </r>
  <r>
    <x v="1690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6-09T00:00:00"/>
    <x v="0"/>
    <s v="ΔΙΕΥΘΥΝΣΗ Δ.Ε. Δ΄ ΑΘΗΝΑΣ"/>
    <x v="3"/>
  </r>
  <r>
    <x v="1691"/>
    <x v="1"/>
    <s v="ΠΕ06"/>
    <s v="ΑΓΓΛΙΚΗΣ ΦΙΛΟΛΟΓΙΑΣ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6-09T00:00:00"/>
    <x v="0"/>
    <s v="ΔΙΕΥΘΥΝΣΗ Δ.Ε. ΑΝΑΤ. ΘΕΣ/ΝΙΚΗΣ"/>
    <x v="3"/>
  </r>
  <r>
    <x v="1692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06-06T00:00:00"/>
    <x v="0"/>
    <s v="ΔΙΕΥΘΥΝΣΗ Δ.Ε. ΑΝΑΤΟΛΙΚΗΣ ΑΤΤΙΚΗΣ"/>
    <x v="3"/>
  </r>
  <r>
    <x v="1693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6-01T00:00:00"/>
    <x v="0"/>
    <s v="ΔΙΕΥΘΥΝΣΗ Δ.Ε. ΑΝΑΤ. ΘΕΣ/ΝΙΚΗΣ"/>
    <x v="3"/>
  </r>
  <r>
    <x v="1694"/>
    <x v="1"/>
    <s v="ΠΕ08"/>
    <s v="ΚΑΛΛΙΤΕΧΝΙΚ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5-29T00:00:00"/>
    <x v="0"/>
    <s v="ΔΙΕΥΘΥΝΣΗ Δ.Ε. Β΄ ΑΘΗΝΑΣ"/>
    <x v="3"/>
  </r>
  <r>
    <x v="1695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5-09T00:00:00"/>
    <x v="0"/>
    <s v="ΔΙΕΥΘΥΝΣΗ Δ.Ε. ΑΝΑΤΟΛΙΚΗΣ ΑΤΤΙΚΗΣ"/>
    <x v="3"/>
  </r>
  <r>
    <x v="1696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5-09T00:00:00"/>
    <x v="0"/>
    <s v="ΔΙΕΥΘΥΝΣΗ Δ.Ε. Β΄ ΑΘΗΝΑΣ"/>
    <x v="3"/>
  </r>
  <r>
    <x v="1697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04-27T00:00:00"/>
    <x v="0"/>
    <s v="ΔΙΕΥΘΥΝΣΗ Δ.Ε. ΑΝΑΤΟΛΙΚΗΣ ΑΤΤΙΚΗΣ"/>
    <x v="3"/>
  </r>
  <r>
    <x v="1698"/>
    <x v="1"/>
    <s v="ΠΕ11"/>
    <s v="ΦΥΣΙΚΗΣ ΑΓΩΓΗΣ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4-15T00:00:00"/>
    <x v="0"/>
    <s v="ΔΙΕΥΘΥΝΣΗ Δ.Ε. ΑΝΑΤ. ΘΕΣ/ΝΙΚΗΣ"/>
    <x v="3"/>
  </r>
  <r>
    <x v="1699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04-04T00:00:00"/>
    <x v="0"/>
    <s v="ΔΙΕΥΘΥΝΣΗ Δ.Ε. ΑΝΑΤΟΛΙΚΗΣ ΑΤΤΙΚΗΣ"/>
    <x v="3"/>
  </r>
  <r>
    <x v="1700"/>
    <x v="0"/>
    <s v="ΠΕ03"/>
    <s v="ΜΑΘΗΜΑΤΙΚ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3-28T00:00:00"/>
    <x v="0"/>
    <s v="ΔΙΕΥΘΥΝΣΗ Δ.Ε. ΑΝΑΤ. ΘΕΣ/ΝΙΚΗΣ"/>
    <x v="3"/>
  </r>
  <r>
    <x v="1701"/>
    <x v="1"/>
    <s v="ΠΕ03"/>
    <s v="ΜΑΘΗΜΑΤΙΚΟΙ"/>
    <m/>
    <m/>
    <s v="Α΄"/>
    <n v="12"/>
    <m/>
    <m/>
    <s v="Α΄ ΑΘΗΝΑΣ (Δ.Ε.) 2018"/>
    <s v="ΔΙΕΥΘΥΝΣΗ Δ.Ε. Α΄ ΑΘΗΝΑΣ"/>
    <s v="ΠΕΡΙΦΕΡΕΙΑΚΗ Δ/ΝΣΗ Α/ΘΜΙΑΣ ΚΑΙ Β/ΘΜΙΑΣ ΕΚΠ/ΣΗΣ ΑΤΤΙΚΗΣ"/>
    <n v="18"/>
    <d v="1993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5-03-21T00:00:00"/>
    <x v="0"/>
    <s v="ΔΙΕΥΘΥΝΣΗ Δ.Ε. Α΄ ΑΘΗΝΑΣ"/>
    <x v="3"/>
  </r>
  <r>
    <x v="170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3-20T00:00:00"/>
    <x v="0"/>
    <s v="ΔΙΕΥΘΥΝΣΗ Δ.Ε. Β΄ ΑΘΗΝΑΣ"/>
    <x v="3"/>
  </r>
  <r>
    <x v="1703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3-03T00:00:00"/>
    <x v="0"/>
    <s v="ΔΙΕΥΘΥΝΣΗ Δ.Ε. Β΄ ΑΘΗΝΑΣ"/>
    <x v="3"/>
  </r>
  <r>
    <x v="170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2-25T00:00:00"/>
    <x v="0"/>
    <s v="ΔΙΕΥΘΥΝΣΗ Δ.Ε. Β΄ ΑΘΗΝΑΣ"/>
    <x v="3"/>
  </r>
  <r>
    <x v="170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2-19T00:00:00"/>
    <x v="0"/>
    <s v="ΔΙΕΥΘΥΝΣΗ Δ.Ε. Β΄ ΑΘΗΝΑΣ"/>
    <x v="3"/>
  </r>
  <r>
    <x v="1706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2-08T00:00:00"/>
    <x v="0"/>
    <s v="ΔΙΕΥΘΥΝΣΗ Δ.Ε. ΑΝΑΤΟΛΙΚΗΣ ΑΤΤΙΚΗΣ"/>
    <x v="3"/>
  </r>
  <r>
    <x v="1707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2-08T00:00:00"/>
    <x v="0"/>
    <s v="ΔΙΕΥΘΥΝΣΗ Δ.Ε. Β΄ ΑΘΗΝΑΣ"/>
    <x v="3"/>
  </r>
  <r>
    <x v="1708"/>
    <x v="1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2-07T00:00:00"/>
    <x v="0"/>
    <s v="ΔΙΕΥΘΥΝΣΗ Δ.Ε. Β΄ ΑΘΗΝΑΣ"/>
    <x v="3"/>
  </r>
  <r>
    <x v="1709"/>
    <x v="0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2-02T00:00:00"/>
    <x v="0"/>
    <s v="ΔΙΕΥΘΥΝΣΗ Δ.Ε. ΑΝΑΤΟΛΙΚΗΣ ΑΤΤΙΚΗΣ"/>
    <x v="3"/>
  </r>
  <r>
    <x v="1710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1-31T00:00:00"/>
    <x v="0"/>
    <s v="ΔΙΕΥΘΥΝΣΗ Δ.Ε. Δ΄ ΑΘΗΝΑΣ"/>
    <x v="3"/>
  </r>
  <r>
    <x v="1711"/>
    <x v="0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1-30T00:00:00"/>
    <x v="0"/>
    <s v="ΔΙΕΥΘΥΝΣΗ Δ.Ε. ΑΝΑΤ. ΘΕΣ/ΝΙΚΗΣ"/>
    <x v="3"/>
  </r>
  <r>
    <x v="1712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01-23T00:00:00"/>
    <x v="0"/>
    <s v="ΔΙΕΥΘΥΝΣΗ Δ.Ε. Β΄ ΑΘΗΝΑΣ"/>
    <x v="3"/>
  </r>
  <r>
    <x v="1713"/>
    <x v="1"/>
    <s v="ΠΕ78"/>
    <s v="ΚΟΙΝΩΝΙΚΩΝ ΕΠΙΣΤΗΜΩΝ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8"/>
    <m/>
    <s v="Ιδιωτικά Σχολεία"/>
    <x v="3"/>
    <s v="2880010"/>
    <s v="ΙΔΙΩΤΙΚΟ ΗΜΕΡΗΣΙΟ ΛΥΚΕΙΟ ΚΟΡΙΝΘΟΣ - ΑΡΙΣΤΟΤΕΛΕΙΟ ΓΕΝΙΚΟ ΛΥΚΕ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5-01-19T00:00:00"/>
    <x v="0"/>
    <s v="ΔΙΕΥΘΥΝΣΗ Δ.Ε. ΚΟΡΙΝΘΙΑΣ"/>
    <x v="3"/>
  </r>
  <r>
    <x v="1714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5-01-10T00:00:00"/>
    <x v="0"/>
    <s v="ΔΙΕΥΘΥΝΣΗ Δ.Ε. ΑΝΑΤ. ΘΕΣ/ΝΙΚΗΣ"/>
    <x v="3"/>
  </r>
  <r>
    <x v="1715"/>
    <x v="1"/>
    <s v="ΠΕ06"/>
    <s v="ΑΓΓΛΙΚΗΣ ΦΙΛΟΛΟΓΙΑΣ"/>
    <m/>
    <m/>
    <s v="Α΄"/>
    <n v="13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1-04T00:00:00"/>
    <x v="0"/>
    <s v="ΔΙΕΥΘΥΝΣΗ Δ.Ε. Δ΄ ΑΘΗΝΑΣ"/>
    <x v="3"/>
  </r>
  <r>
    <x v="1716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1-03T00:00:00"/>
    <x v="0"/>
    <s v="ΔΙΕΥΘΥΝΣΗ Δ.Ε. ΑΝΑΤΟΛΙΚΗΣ ΑΤΤΙΚΗΣ"/>
    <x v="3"/>
  </r>
  <r>
    <x v="1717"/>
    <x v="0"/>
    <s v="ΠΕ11"/>
    <s v="ΦΥΣΙΚΗΣ ΑΓΩΓΗΣ"/>
    <m/>
    <m/>
    <s v="Γ΄"/>
    <n v="1"/>
    <n v="2732"/>
    <d v="2018-09-01T00:00:00"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1-01T00:00:00"/>
    <x v="1"/>
    <s v="ΔΙΕΥΘΥΝΣΗ Π.Ε. Β΄ ΑΘΗΝΑΣ"/>
    <x v="3"/>
  </r>
  <r>
    <x v="1718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4-12-20T00:00:00"/>
    <x v="0"/>
    <s v="ΔΙΕΥΘΥΝΣΗ Δ.Ε. Β΄ ΑΘΗΝΑΣ"/>
    <x v="3"/>
  </r>
  <r>
    <x v="1719"/>
    <x v="0"/>
    <s v="ΠΕ04.01"/>
    <s v="ΦΥΣΙΚΟΙ"/>
    <m/>
    <m/>
    <s v="Α΄"/>
    <n v="1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4-12-19T00:00:00"/>
    <x v="0"/>
    <s v="ΔΙΕΥΘΥΝΣΗ Δ.Ε. ΔΥΤ. ΘΕΣ/ΝΙΚΗΣ"/>
    <x v="3"/>
  </r>
  <r>
    <x v="1720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12-15T00:00:00"/>
    <x v="0"/>
    <s v="ΔΙΕΥΘΥΝΣΗ Δ.Ε. Β΄ ΑΘΗΝΑΣ"/>
    <x v="3"/>
  </r>
  <r>
    <x v="1721"/>
    <x v="1"/>
    <s v="ΠΕ02"/>
    <s v="ΦΙΛΟΛΟΓΟΙ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12-07T00:00:00"/>
    <x v="0"/>
    <s v="ΔΙΕΥΘΥΝΣΗ Δ.Ε. Α΄ ΑΘΗΝΑΣ"/>
    <x v="3"/>
  </r>
  <r>
    <x v="1722"/>
    <x v="1"/>
    <s v="ΠΕ02"/>
    <s v="ΦΙΛΟΛΟΓΟΙ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4-11-22T00:00:00"/>
    <x v="0"/>
    <s v="ΔΙΕΥΘΥΝΣΗ Δ.Ε. ΑΝΑΤ. ΘΕΣ/ΝΙΚΗΣ"/>
    <x v="3"/>
  </r>
  <r>
    <x v="1723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11-17T00:00:00"/>
    <x v="0"/>
    <s v="ΔΙΕΥΘΥΝΣΗ Δ.Ε. ΑΝΑΤΟΛΙΚΗΣ ΑΤΤΙΚΗΣ"/>
    <x v="3"/>
  </r>
  <r>
    <x v="172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11-13T00:00:00"/>
    <x v="0"/>
    <s v="ΔΙΕΥΘΥΝΣΗ Δ.Ε. Β΄ ΑΘΗΝΑΣ"/>
    <x v="3"/>
  </r>
  <r>
    <x v="1725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10-14T00:00:00"/>
    <x v="1"/>
    <s v="ΔΙΕΥΘΥΝΣΗ Π.Ε. Β΄ ΑΘΗΝΑΣ"/>
    <x v="3"/>
  </r>
  <r>
    <x v="1726"/>
    <x v="0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9-30T00:00:00"/>
    <x v="0"/>
    <s v="ΔΙΕΥΘΥΝΣΗ Δ.Ε. Δ΄ ΑΘΗΝΑΣ"/>
    <x v="3"/>
  </r>
  <r>
    <x v="1727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9-28T00:00:00"/>
    <x v="0"/>
    <s v="ΔΙΕΥΘΥΝΣΗ Δ.Ε. Β΄ ΑΘΗΝΑΣ"/>
    <x v="3"/>
  </r>
  <r>
    <x v="1728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9-22T00:00:00"/>
    <x v="0"/>
    <s v="ΔΙΕΥΘΥΝΣΗ Δ.Ε. Β΄ ΑΘΗΝΑΣ"/>
    <x v="3"/>
  </r>
  <r>
    <x v="1729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9-21T00:00:00"/>
    <x v="0"/>
    <s v="ΔΙΕΥΘΥΝΣΗ Δ.Ε. Α΄ ΑΘΗΝΑΣ"/>
    <x v="3"/>
  </r>
  <r>
    <x v="173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4-09-21T00:00:00"/>
    <x v="0"/>
    <s v="ΔΙΕΥΘΥΝΣΗ Δ.Ε. Β΄ ΑΘΗΝΑΣ"/>
    <x v="3"/>
  </r>
  <r>
    <x v="1731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9-16T00:00:00"/>
    <x v="0"/>
    <s v="ΔΙΕΥΘΥΝΣΗ Δ.Ε. Δ΄ ΑΘΗΝΑΣ"/>
    <x v="3"/>
  </r>
  <r>
    <x v="1732"/>
    <x v="0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9-04T00:00:00"/>
    <x v="0"/>
    <s v="ΔΙΕΥΘΥΝΣΗ Δ.Ε. Β΄ ΑΘΗΝΑΣ"/>
    <x v="3"/>
  </r>
  <r>
    <x v="1733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9-01T00:00:00"/>
    <x v="0"/>
    <s v="ΔΙΕΥΘΥΝΣΗ Δ.Ε. ΑΝΑΤΟΛΙΚΗΣ ΑΤΤΙΚΗΣ"/>
    <x v="3"/>
  </r>
  <r>
    <x v="1734"/>
    <x v="0"/>
    <s v="ΠΕ03"/>
    <s v="ΜΑΘΗΜΑΤΙΚ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8-31T00:00:00"/>
    <x v="0"/>
    <s v="ΔΙΕΥΘΥΝΣΗ Δ.Ε. ΑΝΑΤΟΛΙΚΗΣ ΑΤΤΙΚΗΣ"/>
    <x v="3"/>
  </r>
  <r>
    <x v="1735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8-25T00:00:00"/>
    <x v="0"/>
    <s v="ΔΙΕΥΘΥΝΣΗ Δ.Ε. ΑΝΑΤΟΛΙΚΗΣ ΑΤΤΙΚΗΣ"/>
    <x v="3"/>
  </r>
  <r>
    <x v="1736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4-08-19T00:00:00"/>
    <x v="0"/>
    <s v="ΔΙΕΥΘΥΝΣΗ Δ.Ε. ΠΕΙΡΑΙΑ"/>
    <x v="3"/>
  </r>
  <r>
    <x v="1737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8-17T00:00:00"/>
    <x v="0"/>
    <s v="ΔΙΕΥΘΥΝΣΗ Δ.Ε. ΑΝΑΤ. ΘΕΣ/ΝΙΚΗΣ"/>
    <x v="3"/>
  </r>
  <r>
    <x v="1738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8-09T00:00:00"/>
    <x v="0"/>
    <s v="ΔΙΕΥΘΥΝΣΗ Δ.Ε. ΑΝΑΤΟΛΙΚΗΣ ΑΤΤΙΚΗΣ"/>
    <x v="3"/>
  </r>
  <r>
    <x v="1739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7-19T00:00:00"/>
    <x v="0"/>
    <s v="ΔΙΕΥΘΥΝΣΗ Δ.Ε. Α΄ ΑΘΗΝΑΣ"/>
    <x v="3"/>
  </r>
  <r>
    <x v="1740"/>
    <x v="1"/>
    <s v="ΠΕ04.01"/>
    <s v="ΦΥΣΙΚ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7-19T00:00:00"/>
    <x v="0"/>
    <s v="ΔΙΕΥΘΥΝΣΗ Δ.Ε. ΑΝΑΤΟΛΙΚΗΣ ΑΤΤΙΚΗΣ"/>
    <x v="3"/>
  </r>
  <r>
    <x v="1741"/>
    <x v="0"/>
    <s v="ΠΕ78"/>
    <s v="ΚΟΙΝΩΝΙΚΩΝ ΕΠΙΣΤΗΜΩΝ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7-11T00:00:00"/>
    <x v="0"/>
    <s v="ΔΙΕΥΘΥΝΣΗ Δ.Ε. ΑΝΑΤ. ΘΕΣ/ΝΙΚΗΣ"/>
    <x v="3"/>
  </r>
  <r>
    <x v="174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7-08T00:00:00"/>
    <x v="0"/>
    <s v="ΔΙΕΥΘΥΝΣΗ Δ.Ε. Β΄ ΑΘΗΝΑΣ"/>
    <x v="3"/>
  </r>
  <r>
    <x v="1743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7-03T00:00:00"/>
    <x v="0"/>
    <s v="ΔΙΕΥΘΥΝΣΗ Δ.Ε. Β΄ ΑΘΗΝΑΣ"/>
    <x v="3"/>
  </r>
  <r>
    <x v="1744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6-24T00:00:00"/>
    <x v="0"/>
    <s v="ΔΙΕΥΘΥΝΣΗ Δ.Ε. Α΄ ΑΘΗΝΑΣ"/>
    <x v="3"/>
  </r>
  <r>
    <x v="1745"/>
    <x v="0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6-08T00:00:00"/>
    <x v="0"/>
    <s v="ΔΙΕΥΘΥΝΣΗ Δ.Ε. Β΄ ΑΘΗΝΑΣ"/>
    <x v="3"/>
  </r>
  <r>
    <x v="1746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4-06-08T00:00:00"/>
    <x v="0"/>
    <s v="ΔΙΕΥΘΥΝΣΗ Δ.Ε. Β΄ ΑΘΗΝΑΣ"/>
    <x v="3"/>
  </r>
  <r>
    <x v="1747"/>
    <x v="1"/>
    <s v="ΠΕ06"/>
    <s v="ΑΓΓ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6-03T00:00:00"/>
    <x v="0"/>
    <s v="ΔΙΕΥΘΥΝΣΗ Δ.Ε. Α΄ ΑΘΗΝΑΣ"/>
    <x v="3"/>
  </r>
  <r>
    <x v="1748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5-10T00:00:00"/>
    <x v="0"/>
    <s v="ΔΙΕΥΘΥΝΣΗ Δ.Ε. ΑΝΑΤ. ΘΕΣ/ΝΙΚΗΣ"/>
    <x v="3"/>
  </r>
  <r>
    <x v="1749"/>
    <x v="1"/>
    <s v="ΠΕ80"/>
    <s v="ΟΙΚΟΝΟΜΙΑΣ"/>
    <s v="ΠΕ02"/>
    <s v="ΦΙΛΟΛΟΓΟΙ"/>
    <s v="Α΄"/>
    <n v="12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4-29T00:00:00"/>
    <x v="0"/>
    <s v="ΔΙΕΥΘΥΝΣΗ Δ.Ε. Δ΄ ΑΘΗΝΑΣ"/>
    <x v="3"/>
  </r>
  <r>
    <x v="1750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4-04-15T00:00:00"/>
    <x v="0"/>
    <s v="ΔΙΕΥΘΥΝΣΗ Δ.Ε. Β΄ ΑΘΗΝΑΣ"/>
    <x v="3"/>
  </r>
  <r>
    <x v="1751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4-14T00:00:00"/>
    <x v="0"/>
    <s v="ΔΙΕΥΘΥΝΣΗ Δ.Ε. Δ΄ ΑΘΗΝΑΣ"/>
    <x v="3"/>
  </r>
  <r>
    <x v="1752"/>
    <x v="0"/>
    <s v="ΠΕ02"/>
    <s v="ΦΙΛΟΛΟΓΟΙ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4-12T00:00:00"/>
    <x v="0"/>
    <s v="ΔΙΕΥΘΥΝΣΗ Δ.Ε. Α΄ ΑΘΗΝΑΣ"/>
    <x v="3"/>
  </r>
  <r>
    <x v="1753"/>
    <x v="0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4-11T00:00:00"/>
    <x v="0"/>
    <s v="ΔΙΕΥΘΥΝΣΗ Δ.Ε. ΑΝΑΤ. ΘΕΣ/ΝΙΚΗΣ"/>
    <x v="3"/>
  </r>
  <r>
    <x v="1754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4-04T00:00:00"/>
    <x v="0"/>
    <s v="ΔΙΕΥΘΥΝΣΗ Δ.Ε. Β΄ ΑΘΗΝΑΣ"/>
    <x v="3"/>
  </r>
  <r>
    <x v="1755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4-01T00:00:00"/>
    <x v="0"/>
    <s v="ΔΙΕΥΘΥΝΣΗ Δ.Ε. ΑΝΑΤΟΛΙΚΗΣ ΑΤΤΙΚΗΣ"/>
    <x v="3"/>
  </r>
  <r>
    <x v="1756"/>
    <x v="1"/>
    <s v="ΠΕ78"/>
    <s v="ΚΟΙΝΩΝΙΚΩΝ ΕΠΙΣΤΗΜ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3-03T00:00:00"/>
    <x v="0"/>
    <s v="ΔΙΕΥΘΥΝΣΗ Δ.Ε. ΑΝΑΤΟΛΙΚΗΣ ΑΤΤΙΚΗΣ"/>
    <x v="3"/>
  </r>
  <r>
    <x v="1757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4-03-01T00:00:00"/>
    <x v="0"/>
    <s v="ΔΙΕΥΘΥΝΣΗ Δ.Ε. Β΄ ΑΘΗΝΑΣ"/>
    <x v="3"/>
  </r>
  <r>
    <x v="1758"/>
    <x v="1"/>
    <s v="ΠΕ05"/>
    <s v="ΓΑΛ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2-20T00:00:00"/>
    <x v="0"/>
    <s v="ΔΙΕΥΘΥΝΣΗ Δ.Ε. ΑΝΑΤ. ΘΕΣ/ΝΙΚΗΣ"/>
    <x v="3"/>
  </r>
  <r>
    <x v="1759"/>
    <x v="0"/>
    <s v="ΠΕ11"/>
    <s v="ΦΥΣΙΚΗΣ ΑΓΩΓ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2-15T00:00:00"/>
    <x v="0"/>
    <s v="ΔΙΕΥΘΥΝΣΗ Δ.Ε. Α΄ ΑΘΗΝΑΣ"/>
    <x v="3"/>
  </r>
  <r>
    <x v="1760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4-01-25T00:00:00"/>
    <x v="0"/>
    <s v="ΔΙΕΥΘΥΝΣΗ Δ.Ε. ΑΝΑΤΟΛΙΚΗΣ ΑΤΤΙΚΗΣ"/>
    <x v="3"/>
  </r>
  <r>
    <x v="1761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4-01-01T00:00:00"/>
    <x v="0"/>
    <s v="ΔΙΕΥΘΥΝΣΗ Δ.Ε. ΑΝΑΤΟΛΙΚΗΣ ΑΤΤΙΚΗΣ"/>
    <x v="3"/>
  </r>
  <r>
    <x v="1762"/>
    <x v="1"/>
    <s v="ΠΕ07"/>
    <s v="ΓΕΡΜΑΝΙΚΗΣ ΦΙΛΟΛΟΓΙΑ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4-01-01T00:00:00"/>
    <x v="0"/>
    <s v="ΔΙΕΥΘΥΝΣΗ Δ.Ε. ΑΧΑΪΑΣ"/>
    <x v="3"/>
  </r>
  <r>
    <x v="1763"/>
    <x v="0"/>
    <s v="ΠΕ04.01"/>
    <s v="ΦΥΣΙΚ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64-01-01T00:00:00"/>
    <x v="0"/>
    <s v="ΔΙΕΥΘΥΝΣΗ Δ.Ε. ΗΡΑΚΛΕΙΟΥ"/>
    <x v="3"/>
  </r>
  <r>
    <x v="1764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2-01T00:00:00"/>
    <x v="0"/>
    <s v="ΔΙΕΥΘΥΝΣΗ Δ.Ε. Β΄ ΑΘΗΝΑΣ"/>
    <x v="3"/>
  </r>
  <r>
    <x v="1765"/>
    <x v="0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11-29T00:00:00"/>
    <x v="0"/>
    <s v="ΔΙΕΥΘΥΝΣΗ Δ.Ε. ΑΝΑΤΟΛΙΚΗΣ ΑΤΤΙΚΗΣ"/>
    <x v="3"/>
  </r>
  <r>
    <x v="1766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3-11-15T00:00:00"/>
    <x v="0"/>
    <s v="ΔΙΕΥΘΥΝΣΗ Δ.Ε. ΑΝΑΤ. ΘΕΣ/ΝΙΚΗΣ"/>
    <x v="3"/>
  </r>
  <r>
    <x v="1767"/>
    <x v="0"/>
    <s v="ΠΕ05"/>
    <s v="ΓΑΛΛΙΚΗΣ ΦΙΛΟΛΟΓΙΑΣ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3-11-07T00:00:00"/>
    <x v="0"/>
    <s v="ΔΙΕΥΘΥΝΣΗ Δ.Ε. Α΄ ΑΘΗΝΑΣ"/>
    <x v="3"/>
  </r>
  <r>
    <x v="1768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3-10-28T00:00:00"/>
    <x v="0"/>
    <s v="ΔΙΕΥΘΥΝΣΗ Δ.Ε. Β΄ ΑΘΗΝΑΣ"/>
    <x v="3"/>
  </r>
  <r>
    <x v="1769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3-10-24T00:00:00"/>
    <x v="0"/>
    <s v="ΔΙΕΥΘΥΝΣΗ Δ.Ε. ΑΝΑΤΟΛΙΚΗΣ ΑΤΤΙΚΗΣ"/>
    <x v="3"/>
  </r>
  <r>
    <x v="1770"/>
    <x v="0"/>
    <s v="ΠΕ78"/>
    <s v="ΚΟΙΝΩΝΙΚΩΝ ΕΠΙΣΤΗΜ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10-22T00:00:00"/>
    <x v="0"/>
    <s v="ΔΙΕΥΘΥΝΣΗ Δ.Ε. Δ΄ ΑΘΗΝΑΣ"/>
    <x v="3"/>
  </r>
  <r>
    <x v="1771"/>
    <x v="1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0-07T00:00:00"/>
    <x v="0"/>
    <s v="ΔΙΕΥΘΥΝΣΗ Δ.Ε. Β΄ ΑΘΗΝΑΣ"/>
    <x v="3"/>
  </r>
  <r>
    <x v="1772"/>
    <x v="0"/>
    <s v="ΠΕ04.01"/>
    <s v="ΦΥΣΙΚΟΙ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8"/>
    <m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63-09-29T00:00:00"/>
    <x v="0"/>
    <s v="ΔΙΕΥΘΥΝΣΗ Δ.Ε. ΠΙΕΡΙΑΣ"/>
    <x v="3"/>
  </r>
  <r>
    <x v="1773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9-15T00:00:00"/>
    <x v="0"/>
    <s v="ΔΙΕΥΘΥΝΣΗ Δ.Ε. Β΄ ΑΘΗΝΑΣ"/>
    <x v="3"/>
  </r>
  <r>
    <x v="177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3-09-01T00:00:00"/>
    <x v="0"/>
    <s v="ΔΙΕΥΘΥΝΣΗ Δ.Ε. Β΄ ΑΘΗΝΑΣ"/>
    <x v="3"/>
  </r>
  <r>
    <x v="1775"/>
    <x v="1"/>
    <s v="ΠΕ04.02"/>
    <s v="ΧΗΜ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3-08-29T00:00:00"/>
    <x v="0"/>
    <s v="ΔΙΕΥΘΥΝΣΗ Δ.Ε. ΠΕΙΡΑΙΑ"/>
    <x v="3"/>
  </r>
  <r>
    <x v="1776"/>
    <x v="1"/>
    <s v="ΠΕ02"/>
    <s v="ΦΙΛΟΛΟΓΟΙ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8-28T00:00:00"/>
    <x v="0"/>
    <s v="ΔΙΕΥΘΥΝΣΗ Δ.Ε. ΑΝΑΤ. ΘΕΣ/ΝΙΚΗΣ"/>
    <x v="3"/>
  </r>
  <r>
    <x v="1777"/>
    <x v="0"/>
    <s v="ΠΕ04.01"/>
    <s v="ΦΥΣΙΚΟΙ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3-08-25T00:00:00"/>
    <x v="0"/>
    <s v="ΔΙΕΥΘΥΝΣΗ Δ.Ε. ΑΝΑΤ. ΘΕΣ/ΝΙΚΗΣ"/>
    <x v="3"/>
  </r>
  <r>
    <x v="1778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08-09T00:00:00"/>
    <x v="0"/>
    <s v="ΔΙΕΥΘΥΝΣΗ Δ.Ε. Δ΄ ΑΘΗΝΑΣ"/>
    <x v="3"/>
  </r>
  <r>
    <x v="1779"/>
    <x v="1"/>
    <s v="ΠΕ04.02"/>
    <s v="ΧΗΜΙΚΟΙ"/>
    <m/>
    <m/>
    <s v="Α΄"/>
    <n v="12"/>
    <m/>
    <m/>
    <s v="Α΄ ΑΘΗΝΑΣ (Δ.Ε.) 2018"/>
    <s v="ΔΙΕΥΘΥΝΣΗ Δ.Ε. Α΄ ΑΘΗΝΑΣ"/>
    <s v="ΠΕΡΙΦΕΡΕΙΑΚΗ Δ/ΝΣΗ Α/ΘΜΙΑΣ ΚΑΙ Β/ΘΜΙΑΣ ΕΚΠ/ΣΗΣ ΑΤΤΙΚΗΣ"/>
    <n v="18"/>
    <d v="1993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3-07-30T00:00:00"/>
    <x v="0"/>
    <s v="ΔΙΕΥΘΥΝΣΗ Δ.Ε. Α΄ ΑΘΗΝΑΣ"/>
    <x v="3"/>
  </r>
  <r>
    <x v="1780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7-01T00:00:00"/>
    <x v="0"/>
    <s v="ΔΙΕΥΘΥΝΣΗ Δ.Ε. Β΄ ΑΘΗΝΑΣ"/>
    <x v="3"/>
  </r>
  <r>
    <x v="1781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3-06-29T00:00:00"/>
    <x v="0"/>
    <s v="ΔΙΕΥΘΥΝΣΗ Δ.Ε. ΠΕΙΡΑΙΑ"/>
    <x v="3"/>
  </r>
  <r>
    <x v="1782"/>
    <x v="1"/>
    <s v="ΠΕ07"/>
    <s v="ΓΕΡΜΑΝ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5-31T00:00:00"/>
    <x v="0"/>
    <s v="ΔΙΕΥΘΥΝΣΗ Δ.Ε. ΑΝΑΤΟΛΙΚΗΣ ΑΤΤΙΚΗΣ"/>
    <x v="3"/>
  </r>
  <r>
    <x v="1783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3-05-31T00:00:00"/>
    <x v="0"/>
    <s v="ΔΙΕΥΘΥΝΣΗ Δ.Ε. Β΄ ΑΘΗΝΑΣ"/>
    <x v="3"/>
  </r>
  <r>
    <x v="1784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5-18T00:00:00"/>
    <x v="0"/>
    <s v="ΔΙΕΥΘΥΝΣΗ Δ.Ε. ΑΝΑΤΟΛΙΚΗΣ ΑΤΤΙΚΗΣ"/>
    <x v="3"/>
  </r>
  <r>
    <x v="1785"/>
    <x v="1"/>
    <s v="ΠΕ07"/>
    <s v="ΓΕΡΜΑΝ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5-18T00:00:00"/>
    <x v="0"/>
    <s v="ΔΙΕΥΘΥΝΣΗ Δ.Ε. ΑΝΑΤΟΛΙΚΗΣ ΑΤΤΙΚΗΣ"/>
    <x v="3"/>
  </r>
  <r>
    <x v="1786"/>
    <x v="1"/>
    <s v="ΠΕ02"/>
    <s v="ΦΙΛΟΛΟΓΟΙ"/>
    <m/>
    <m/>
    <s v="Α΄"/>
    <n v="1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3-05-11T00:00:00"/>
    <x v="0"/>
    <s v="ΔΙΕΥΘΥΝΣΗ Δ.Ε. ΑΝΑΤ. ΘΕΣ/ΝΙΚΗΣ"/>
    <x v="3"/>
  </r>
  <r>
    <x v="1787"/>
    <x v="1"/>
    <s v="ΠΕ06"/>
    <s v="ΑΓΓΛΙΚΗΣ ΦΙΛΟΛΟΓΙΑΣ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4-20T00:00:00"/>
    <x v="0"/>
    <s v="ΔΙΕΥΘΥΝΣΗ Δ.Ε. ΑΝΑΤ. ΘΕΣ/ΝΙΚΗΣ"/>
    <x v="3"/>
  </r>
  <r>
    <x v="1788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04-18T00:00:00"/>
    <x v="0"/>
    <s v="ΔΙΕΥΘΥΝΣΗ Δ.Ε. Δ΄ ΑΘΗΝΑΣ"/>
    <x v="3"/>
  </r>
  <r>
    <x v="1789"/>
    <x v="0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3-11T00:00:00"/>
    <x v="0"/>
    <s v="ΔΙΕΥΘΥΝΣΗ Δ.Ε. Β΄ ΑΘΗΝΑΣ"/>
    <x v="3"/>
  </r>
  <r>
    <x v="1790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3-02T00:00:00"/>
    <x v="0"/>
    <s v="ΔΙΕΥΘΥΝΣΗ Δ.Ε. Β΄ ΑΘΗΝΑΣ"/>
    <x v="3"/>
  </r>
  <r>
    <x v="1791"/>
    <x v="0"/>
    <s v="ΠΕ04.02"/>
    <s v="ΧΗΜΙΚΟΙ"/>
    <m/>
    <m/>
    <s v="Α΄"/>
    <n v="1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3-01-29T00:00:00"/>
    <x v="0"/>
    <s v="ΔΙΕΥΘΥΝΣΗ Δ.Ε. ΑΝΑΤ. ΘΕΣ/ΝΙΚΗΣ"/>
    <x v="3"/>
  </r>
  <r>
    <x v="179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1-10T00:00:00"/>
    <x v="0"/>
    <s v="ΔΙΕΥΘΥΝΣΗ Δ.Ε. Β΄ ΑΘΗΝΑΣ"/>
    <x v="3"/>
  </r>
  <r>
    <x v="1793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1-03T00:00:00"/>
    <x v="0"/>
    <s v="ΔΙΕΥΘΥΝΣΗ Δ.Ε. Β΄ ΑΘΗΝΑΣ"/>
    <x v="3"/>
  </r>
  <r>
    <x v="1794"/>
    <x v="1"/>
    <s v="ΠΕ11"/>
    <s v="ΦΥΣΙΚΗΣ ΑΓΩΓΗΣ"/>
    <m/>
    <m/>
    <s v="Γ΄"/>
    <n v="1"/>
    <n v="1981"/>
    <d v="2018-09-01T00:00:00"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3-01-01T00:00:00"/>
    <x v="1"/>
    <s v="ΔΙΕΥΘΥΝΣΗ Π.Ε. Β΄ ΑΘΗΝΑΣ"/>
    <x v="3"/>
  </r>
  <r>
    <x v="1795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2-29T00:00:00"/>
    <x v="0"/>
    <s v="ΔΙΕΥΘΥΝΣΗ Δ.Ε. Β΄ ΑΘΗΝΑΣ"/>
    <x v="3"/>
  </r>
  <r>
    <x v="179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12-07T00:00:00"/>
    <x v="0"/>
    <s v="ΔΙΕΥΘΥΝΣΗ Δ.Ε. ΑΝΑΤΟΛΙΚΗΣ ΑΤΤΙΚΗΣ"/>
    <x v="3"/>
  </r>
  <r>
    <x v="1797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11-17T00:00:00"/>
    <x v="0"/>
    <s v="ΔΙΕΥΘΥΝΣΗ Δ.Ε. ΑΝΑΤΟΛΙΚΗΣ ΑΤΤΙΚΗΣ"/>
    <x v="3"/>
  </r>
  <r>
    <x v="1798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11-12T00:00:00"/>
    <x v="0"/>
    <s v="ΔΙΕΥΘΥΝΣΗ Δ.Ε. Β΄ ΑΘΗΝΑΣ"/>
    <x v="3"/>
  </r>
  <r>
    <x v="1799"/>
    <x v="1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7"/>
    <s v="ΕΛΛΗΝΟΓΑΛΛΙΚΗ ΣΧΟΛΗ ΟΥΡΣΟΥΛΙΝΩΝ - ΙΔΙΩΤΙΚΟ ΓΕΝΙΚΟ ΛΥΚΕ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1-11T00:00:00"/>
    <x v="0"/>
    <s v="ΔΙΕΥΘΥΝΣΗ Δ.Ε. Β΄ ΑΘΗΝΑΣ"/>
    <x v="3"/>
  </r>
  <r>
    <x v="1800"/>
    <x v="1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2-11-10T00:00:00"/>
    <x v="0"/>
    <s v="ΔΙΕΥΘΥΝΣΗ Δ.Ε. ΠΕΙΡΑΙΑ"/>
    <x v="3"/>
  </r>
  <r>
    <x v="1801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11-05T00:00:00"/>
    <x v="0"/>
    <s v="ΔΙΕΥΘΥΝΣΗ Δ.Ε. Δ΄ ΑΘΗΝΑΣ"/>
    <x v="3"/>
  </r>
  <r>
    <x v="1802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10-27T00:00:00"/>
    <x v="0"/>
    <s v="ΔΙΕΥΘΥΝΣΗ Δ.Ε. Δ΄ ΑΘΗΝΑΣ"/>
    <x v="3"/>
  </r>
  <r>
    <x v="1803"/>
    <x v="0"/>
    <s v="ΠΕ03"/>
    <s v="ΜΑΘΗΜΑΤΙΚ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2-10-24T00:00:00"/>
    <x v="0"/>
    <s v="ΔΙΕΥΘΥΝΣΗ Δ.Ε. ΑΧΑΪΑΣ"/>
    <x v="3"/>
  </r>
  <r>
    <x v="1804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10-23T00:00:00"/>
    <x v="0"/>
    <s v="ΔΙΕΥΘΥΝΣΗ Δ.Ε. ΑΝΑΤΟΛΙΚΗΣ ΑΤΤΙΚΗΣ"/>
    <x v="3"/>
  </r>
  <r>
    <x v="1805"/>
    <x v="0"/>
    <s v="ΠΕ11"/>
    <s v="ΦΥΣΙΚΗΣ ΑΓΩΓ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18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2-10-23T00:00:00"/>
    <x v="1"/>
    <s v="ΔΙΕΥΘΥΝΣΗ Π.Ε. Δ΄ ΑΘΗΝΑΣ"/>
    <x v="3"/>
  </r>
  <r>
    <x v="1806"/>
    <x v="0"/>
    <s v="ΠΕ04.04"/>
    <s v="ΒΙ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10-21T00:00:00"/>
    <x v="0"/>
    <s v="ΔΙΕΥΘΥΝΣΗ Δ.Ε. Δ΄ ΑΘΗΝΑΣ"/>
    <x v="3"/>
  </r>
  <r>
    <x v="1807"/>
    <x v="1"/>
    <s v="ΠΕ78"/>
    <s v="ΚΟΙΝΩΝΙΚΩΝ ΕΠΙΣΤΗΜΩΝ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2-10-17T00:00:00"/>
    <x v="0"/>
    <s v="ΔΙΕΥΘΥΝΣΗ Δ.Ε. Α΄ ΑΘΗΝΑΣ"/>
    <x v="3"/>
  </r>
  <r>
    <x v="1808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0-12T00:00:00"/>
    <x v="0"/>
    <s v="ΔΙΕΥΘΥΝΣΗ Δ.Ε. Β΄ ΑΘΗΝΑΣ"/>
    <x v="3"/>
  </r>
  <r>
    <x v="1809"/>
    <x v="1"/>
    <s v="ΠΕ02"/>
    <s v="ΦΙΛΟΛΟΓΟΙ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2-10-11T00:00:00"/>
    <x v="0"/>
    <s v="ΔΙΕΥΘΥΝΣΗ Δ.Ε. ΑΝΑΤ. ΘΕΣ/ΝΙΚΗΣ"/>
    <x v="3"/>
  </r>
  <r>
    <x v="1810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9-13T00:00:00"/>
    <x v="0"/>
    <s v="ΔΙΕΥΘΥΝΣΗ Δ.Ε. Β΄ ΑΘΗΝΑΣ"/>
    <x v="3"/>
  </r>
  <r>
    <x v="1811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2-09-10T00:00:00"/>
    <x v="0"/>
    <s v="ΔΙΕΥΘΥΝΣΗ Δ.Ε. ΠΕΙΡΑΙΑ"/>
    <x v="3"/>
  </r>
  <r>
    <x v="1812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9-08T00:00:00"/>
    <x v="0"/>
    <s v="ΔΙΕΥΘΥΝΣΗ Δ.Ε. Β΄ ΑΘΗΝΑΣ"/>
    <x v="3"/>
  </r>
  <r>
    <x v="1813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9-06T00:00:00"/>
    <x v="0"/>
    <s v="ΔΙΕΥΘΥΝΣΗ Δ.Ε. Β΄ ΑΘΗΝΑΣ"/>
    <x v="3"/>
  </r>
  <r>
    <x v="181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8-25T00:00:00"/>
    <x v="0"/>
    <s v="ΔΙΕΥΘΥΝΣΗ Δ.Ε. Β΄ ΑΘΗΝΑΣ"/>
    <x v="3"/>
  </r>
  <r>
    <x v="181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8-20T00:00:00"/>
    <x v="0"/>
    <s v="ΔΙΕΥΘΥΝΣΗ Δ.Ε. Β΄ ΑΘΗΝΑΣ"/>
    <x v="3"/>
  </r>
  <r>
    <x v="1816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8-19T00:00:00"/>
    <x v="0"/>
    <s v="ΔΙΕΥΘΥΝΣΗ Δ.Ε. Β΄ ΑΘΗΝΑΣ"/>
    <x v="3"/>
  </r>
  <r>
    <x v="1817"/>
    <x v="0"/>
    <s v="ΠΕ04.01"/>
    <s v="ΦΥΣΙΚ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2-08-16T00:00:00"/>
    <x v="0"/>
    <s v="ΔΙΕΥΘΥΝΣΗ Δ.Ε. ΑΝΑΤ. ΘΕΣ/ΝΙΚΗΣ"/>
    <x v="3"/>
  </r>
  <r>
    <x v="1818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8-03T00:00:00"/>
    <x v="0"/>
    <s v="ΔΙΕΥΘΥΝΣΗ Δ.Ε. Β΄ ΑΘΗΝΑΣ"/>
    <x v="3"/>
  </r>
  <r>
    <x v="1819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2-07-31T00:00:00"/>
    <x v="0"/>
    <s v="ΔΙΕΥΘΥΝΣΗ Δ.Ε. ΑΝΑΤ. ΘΕΣ/ΝΙΚΗΣ"/>
    <x v="3"/>
  </r>
  <r>
    <x v="182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7-20T00:00:00"/>
    <x v="0"/>
    <s v="ΔΙΕΥΘΥΝΣΗ Δ.Ε. Β΄ ΑΘΗΝΑΣ"/>
    <x v="3"/>
  </r>
  <r>
    <x v="182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6-30T00:00:00"/>
    <x v="0"/>
    <s v="ΔΙΕΥΘΥΝΣΗ Δ.Ε. Β΄ ΑΘΗΝΑΣ"/>
    <x v="3"/>
  </r>
  <r>
    <x v="1822"/>
    <x v="1"/>
    <s v="ΠΕ02"/>
    <s v="ΦΙΛΟΛΟΓ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06-22T00:00:00"/>
    <x v="0"/>
    <s v="ΔΙΕΥΘΥΝΣΗ Δ.Ε. Δ΄ ΑΘΗΝΑΣ"/>
    <x v="3"/>
  </r>
  <r>
    <x v="1823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61007"/>
    <s v="ΙΔ. ΛΥΚΕΙΟ - ΔΙΕΘΝΕΣ ΚΕΝΤΡΟ ΣΠΟΥΔΩΝ ΣΧΟΛΗΣ ΜΩΡΑΪΤ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5-31T00:00:00"/>
    <x v="0"/>
    <s v="ΔΙΕΥΘΥΝΣΗ Δ.Ε. Β΄ ΑΘΗΝΑΣ"/>
    <x v="3"/>
  </r>
  <r>
    <x v="1824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05-25T00:00:00"/>
    <x v="0"/>
    <s v="ΔΙΕΥΘΥΝΣΗ Δ.Ε. ΑΝΑΤΟΛΙΚΗΣ ΑΤΤΙΚΗΣ"/>
    <x v="3"/>
  </r>
  <r>
    <x v="1825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5-22T00:00:00"/>
    <x v="0"/>
    <s v="ΔΙΕΥΘΥΝΣΗ Δ.Ε. Β΄ ΑΘΗΝΑΣ"/>
    <x v="3"/>
  </r>
  <r>
    <x v="1826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2-04-26T00:00:00"/>
    <x v="0"/>
    <s v="ΔΙΕΥΘΥΝΣΗ Δ.Ε. ΑΝΑΤ. ΘΕΣ/ΝΙΚΗΣ"/>
    <x v="3"/>
  </r>
  <r>
    <x v="1827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4-23T00:00:00"/>
    <x v="0"/>
    <s v="ΔΙΕΥΘΥΝΣΗ Δ.Ε. Β΄ ΑΘΗΝΑΣ"/>
    <x v="3"/>
  </r>
  <r>
    <x v="1828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04-13T00:00:00"/>
    <x v="0"/>
    <s v="ΔΙΕΥΘΥΝΣΗ Δ.Ε. ΑΝΑΤΟΛΙΚΗΣ ΑΤΤΙΚΗΣ"/>
    <x v="3"/>
  </r>
  <r>
    <x v="1829"/>
    <x v="0"/>
    <s v="ΠΕ11"/>
    <s v="ΦΥΣΙΚΗΣ ΑΓΩΓΗΣ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2-04-10T00:00:00"/>
    <x v="0"/>
    <s v="ΔΙΕΥΘΥΝΣΗ Δ.Ε. ΑΝΑΤ. ΘΕΣ/ΝΙΚΗΣ"/>
    <x v="3"/>
  </r>
  <r>
    <x v="1830"/>
    <x v="1"/>
    <s v="ΠΕ03"/>
    <s v="ΜΑΘΗΜΑΤΙΚΟΙ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2-04-09T00:00:00"/>
    <x v="0"/>
    <s v="ΔΙΕΥΘΥΝΣΗ Δ.Ε. ΑΝΑΤ. ΘΕΣ/ΝΙΚΗΣ"/>
    <x v="3"/>
  </r>
  <r>
    <x v="1831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03-31T00:00:00"/>
    <x v="0"/>
    <s v="ΔΙΕΥΘΥΝΣΗ Δ.Ε. Δ΄ ΑΘΗΝΑΣ"/>
    <x v="3"/>
  </r>
  <r>
    <x v="1832"/>
    <x v="1"/>
    <s v="ΠΕ06"/>
    <s v="ΑΓΓΛΙΚΗΣ ΦΙΛΟΛΟΓΙΑ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2-03-04T00:00:00"/>
    <x v="0"/>
    <s v="ΔΙΕΥΘΥΝΣΗ Δ.Ε. ΑΧΑΪΑΣ"/>
    <x v="3"/>
  </r>
  <r>
    <x v="1833"/>
    <x v="0"/>
    <s v="ΠΕ02"/>
    <s v="ΦΙΛΟΛΟΓΟΙ"/>
    <m/>
    <m/>
    <s v="Α΄"/>
    <n v="1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2-03-02T00:00:00"/>
    <x v="0"/>
    <s v="ΔΙΕΥΘΥΝΣΗ Δ.Ε. ΑΝΑΤ. ΘΕΣ/ΝΙΚΗΣ"/>
    <x v="3"/>
  </r>
  <r>
    <x v="1834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2-02-17T00:00:00"/>
    <x v="0"/>
    <s v="ΔΙΕΥΘΥΝΣΗ Δ.Ε. Β΄ ΑΘΗΝΑΣ"/>
    <x v="3"/>
  </r>
  <r>
    <x v="1835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2-02-12T00:00:00"/>
    <x v="0"/>
    <s v="ΔΙΕΥΘΥΝΣΗ Δ.Ε. ΑΝΑΤΟΛΙΚΗΣ ΑΤΤΙΚΗΣ"/>
    <x v="3"/>
  </r>
  <r>
    <x v="1836"/>
    <x v="1"/>
    <s v="ΠΕ78"/>
    <s v="ΚΟΙΝΩΝΙΚΩΝ ΕΠΙΣΤΗΜΩΝ"/>
    <m/>
    <m/>
    <s v="Α΄"/>
    <n v="4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2-01-01T00:00:00"/>
    <x v="0"/>
    <s v="ΔΙΕΥΘΥΝΣΗ Δ.Ε. Α΄ ΑΘΗΝΑΣ"/>
    <x v="3"/>
  </r>
  <r>
    <x v="1837"/>
    <x v="0"/>
    <s v="ΠΕ01"/>
    <s v="ΘΕ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01-01T00:00:00"/>
    <x v="0"/>
    <s v="ΔΙΕΥΘΥΝΣΗ Δ.Ε. ΑΝΑΤΟΛΙΚΗΣ ΑΤΤΙΚΗΣ"/>
    <x v="3"/>
  </r>
  <r>
    <x v="1838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11-10T00:00:00"/>
    <x v="0"/>
    <s v="ΔΙΕΥΘΥΝΣΗ Δ.Ε. Β΄ ΑΘΗΝΑΣ"/>
    <x v="3"/>
  </r>
  <r>
    <x v="1839"/>
    <x v="0"/>
    <s v="ΠΕ04.02"/>
    <s v="ΧΗΜΙΚΟΙ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11-06T00:00:00"/>
    <x v="0"/>
    <s v="ΔΙΕΥΘΥΝΣΗ Δ.Ε. ΑΝΑΤ. ΘΕΣ/ΝΙΚΗΣ"/>
    <x v="3"/>
  </r>
  <r>
    <x v="1840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10-29T00:00:00"/>
    <x v="0"/>
    <s v="ΔΙΕΥΘΥΝΣΗ Δ.Ε. Β΄ ΑΘΗΝΑΣ"/>
    <x v="3"/>
  </r>
  <r>
    <x v="1841"/>
    <x v="1"/>
    <s v="ΠΕ78"/>
    <s v="ΚΟΙΝΩΝΙΚΩΝ ΕΠΙΣΤΗΜ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1-10-27T00:00:00"/>
    <x v="0"/>
    <s v="ΔΙΕΥΘΥΝΣΗ Δ.Ε. Δ΄ ΑΘΗΝΑΣ"/>
    <x v="3"/>
  </r>
  <r>
    <x v="1842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10-25T00:00:00"/>
    <x v="0"/>
    <s v="ΔΙΕΥΘΥΝΣΗ Δ.Ε. Β΄ ΑΘΗΝΑΣ"/>
    <x v="3"/>
  </r>
  <r>
    <x v="1843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10-18T00:00:00"/>
    <x v="0"/>
    <s v="ΔΙΕΥΘΥΝΣΗ Δ.Ε. Β΄ ΑΘΗΝΑΣ"/>
    <x v="3"/>
  </r>
  <r>
    <x v="1844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10-14T00:00:00"/>
    <x v="0"/>
    <s v="ΔΙΕΥΘΥΝΣΗ Δ.Ε. Β΄ ΑΘΗΝΑΣ"/>
    <x v="3"/>
  </r>
  <r>
    <x v="1845"/>
    <x v="1"/>
    <s v="ΠΕ02"/>
    <s v="ΦΙΛΟΛΟΓΟΙ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10-01T00:00:00"/>
    <x v="0"/>
    <s v="ΔΙΕΥΘΥΝΣΗ Δ.Ε. ΑΝΑΤ. ΘΕΣ/ΝΙΚΗΣ"/>
    <x v="3"/>
  </r>
  <r>
    <x v="1846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1-09-16T00:00:00"/>
    <x v="0"/>
    <s v="ΔΙΕΥΘΥΝΣΗ Δ.Ε. Δ΄ ΑΘΗΝΑΣ"/>
    <x v="3"/>
  </r>
  <r>
    <x v="1847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8-31T00:00:00"/>
    <x v="0"/>
    <s v="ΔΙΕΥΘΥΝΣΗ Δ.Ε. Β΄ ΑΘΗΝΑΣ"/>
    <x v="3"/>
  </r>
  <r>
    <x v="1848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7-11T00:00:00"/>
    <x v="0"/>
    <s v="ΔΙΕΥΘΥΝΣΗ Δ.Ε. ΑΝΑΤΟΛΙΚΗΣ ΑΤΤΙΚΗΣ"/>
    <x v="3"/>
  </r>
  <r>
    <x v="1849"/>
    <x v="1"/>
    <s v="ΠΕ03"/>
    <s v="ΜΑΘΗΜΑΤΙΚΟΙ"/>
    <m/>
    <m/>
    <s v="Α΄"/>
    <n v="14"/>
    <m/>
    <m/>
    <s v="Α΄ ΑΘΗΝΑΣ (Δ.Ε.) 2018"/>
    <s v="ΔΙΕΥΘΥΝΣΗ Δ.Ε. Α΄ ΑΘΗΝΑΣ"/>
    <s v="ΠΕΡΙΦΕΡΕΙΑΚΗ Δ/ΝΣΗ Α/ΘΜΙΑΣ ΚΑΙ Β/ΘΜΙΑΣ ΕΚΠ/ΣΗΣ ΑΤΤΙΚΗΣ"/>
    <n v="18"/>
    <d v="1992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1-07-07T00:00:00"/>
    <x v="0"/>
    <s v="ΔΙΕΥΘΥΝΣΗ Δ.Ε. Α΄ ΑΘΗΝΑΣ"/>
    <x v="3"/>
  </r>
  <r>
    <x v="1850"/>
    <x v="1"/>
    <s v="ΠΕ02"/>
    <s v="ΦΙΛΟΛΟΓΟΙ"/>
    <m/>
    <m/>
    <s v="Α΄"/>
    <n v="13"/>
    <m/>
    <m/>
    <s v="Α΄ ΑΘΗΝΑΣ (Δ.Ε.) 2018"/>
    <s v="ΔΙΕΥΘΥΝΣΗ Δ.Ε. Α΄ ΑΘΗΝΑΣ"/>
    <s v="ΠΕΡΙΦΕΡΕΙΑΚΗ Δ/ΝΣΗ Α/ΘΜΙΑΣ ΚΑΙ Β/ΘΜΙΑΣ ΕΚΠ/ΣΗΣ ΑΤΤΙΚΗΣ"/>
    <n v="18"/>
    <d v="1990-09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1-07-06T00:00:00"/>
    <x v="0"/>
    <s v="ΔΙΕΥΘΥΝΣΗ Δ.Ε. Α΄ ΑΘΗΝΑΣ"/>
    <x v="3"/>
  </r>
  <r>
    <x v="1851"/>
    <x v="1"/>
    <s v="ΠΕ79.01"/>
    <s v="ΜΟΥΣΙΚΗΣ ΕΠΙΣΤΗΜ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06-30T00:00:00"/>
    <x v="0"/>
    <s v="ΔΙΕΥΘΥΝΣΗ Δ.Ε. ΑΝΑΤ. ΘΕΣ/ΝΙΚΗΣ"/>
    <x v="3"/>
  </r>
  <r>
    <x v="185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6-27T00:00:00"/>
    <x v="0"/>
    <s v="ΔΙΕΥΘΥΝΣΗ Δ.Ε. Β΄ ΑΘΗΝΑΣ"/>
    <x v="3"/>
  </r>
  <r>
    <x v="1853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06-24T00:00:00"/>
    <x v="0"/>
    <s v="ΔΙΕΥΘΥΝΣΗ Δ.Ε. ΑΝΑΤ. ΘΕΣ/ΝΙΚΗΣ"/>
    <x v="3"/>
  </r>
  <r>
    <x v="1854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6-17T00:00:00"/>
    <x v="0"/>
    <s v="ΔΙΕΥΘΥΝΣΗ Δ.Ε. Β΄ ΑΘΗΝΑΣ"/>
    <x v="3"/>
  </r>
  <r>
    <x v="1855"/>
    <x v="0"/>
    <s v="ΠΕ03"/>
    <s v="ΜΑΘΗΜΑΤΙΚΟΙ"/>
    <m/>
    <m/>
    <s v="Α΄"/>
    <n v="14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1-06-08T00:00:00"/>
    <x v="0"/>
    <s v="ΔΙΕΥΘΥΝΣΗ Δ.Ε. Δ΄ ΑΘΗΝΑΣ"/>
    <x v="3"/>
  </r>
  <r>
    <x v="1856"/>
    <x v="0"/>
    <s v="ΠΕ88.01"/>
    <s v="ΓΕΩΠΟΝ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06-01T00:00:00"/>
    <x v="0"/>
    <s v="ΔΙΕΥΘΥΝΣΗ Δ.Ε. ΑΝΑΤ. ΘΕΣ/ΝΙΚΗΣ"/>
    <x v="3"/>
  </r>
  <r>
    <x v="1857"/>
    <x v="1"/>
    <s v="ΠΕ05"/>
    <s v="ΓΑΛ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5-11T00:00:00"/>
    <x v="0"/>
    <s v="ΔΙΕΥΘΥΝΣΗ Δ.Ε. ΑΝΑΤΟΛΙΚΗΣ ΑΤΤΙΚΗΣ"/>
    <x v="3"/>
  </r>
  <r>
    <x v="1858"/>
    <x v="0"/>
    <s v="ΠΕ04.01"/>
    <s v="ΦΥΣΙΚΟΙ"/>
    <m/>
    <m/>
    <s v="Α΄"/>
    <n v="14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1-04-27T00:00:00"/>
    <x v="0"/>
    <s v="ΔΙΕΥΘΥΝΣΗ Δ.Ε. Δ΄ ΑΘΗΝΑΣ"/>
    <x v="3"/>
  </r>
  <r>
    <x v="1859"/>
    <x v="0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8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1-04-23T00:00:00"/>
    <x v="0"/>
    <s v="ΔΙΕΥΘΥΝΣΗ Δ.Ε. Γ΄ ΑΘΗΝΑΣ"/>
    <x v="3"/>
  </r>
  <r>
    <x v="1860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1-04-01T00:00:00"/>
    <x v="0"/>
    <s v="ΔΙΕΥΘΥΝΣΗ Δ.Ε. ΑΝΑΤ. ΘΕΣ/ΝΙΚΗΣ"/>
    <x v="3"/>
  </r>
  <r>
    <x v="186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03-27T00:00:00"/>
    <x v="0"/>
    <s v="ΔΙΕΥΘΥΝΣΗ Δ.Ε. Β΄ ΑΘΗΝΑΣ"/>
    <x v="3"/>
  </r>
  <r>
    <x v="1862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3-26T00:00:00"/>
    <x v="0"/>
    <s v="ΔΙΕΥΘΥΝΣΗ Δ.Ε. ΑΝΑΤΟΛΙΚΗΣ ΑΤΤΙΚΗΣ"/>
    <x v="3"/>
  </r>
  <r>
    <x v="1863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3-21T00:00:00"/>
    <x v="0"/>
    <s v="ΔΙΕΥΘΥΝΣΗ Δ.Ε. Β΄ ΑΘΗΝΑΣ"/>
    <x v="3"/>
  </r>
  <r>
    <x v="1864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03-12T00:00:00"/>
    <x v="0"/>
    <s v="ΔΙΕΥΘΥΝΣΗ Δ.Ε. Β΄ ΑΘΗΝΑΣ"/>
    <x v="3"/>
  </r>
  <r>
    <x v="1865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1-01-21T00:00:00"/>
    <x v="0"/>
    <s v="ΔΙΕΥΘΥΝΣΗ Δ.Ε. ΑΝΑΤΟΛΙΚΗΣ ΑΤΤΙΚΗΣ"/>
    <x v="3"/>
  </r>
  <r>
    <x v="186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1-01-21T00:00:00"/>
    <x v="0"/>
    <s v="ΔΙΕΥΘΥΝΣΗ Δ.Ε. Β΄ ΑΘΗΝΑΣ"/>
    <x v="3"/>
  </r>
  <r>
    <x v="1867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1-01-11T00:00:00"/>
    <x v="1"/>
    <s v="ΔΙΕΥΘΥΝΣΗ Π.Ε. Β΄ ΑΘΗΝΑΣ"/>
    <x v="3"/>
  </r>
  <r>
    <x v="1868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1-01-01T00:00:00"/>
    <x v="0"/>
    <s v="ΔΙΕΥΘΥΝΣΗ Δ.Ε. ΠΕΙΡΑΙΑ"/>
    <x v="3"/>
  </r>
  <r>
    <x v="1869"/>
    <x v="1"/>
    <s v="ΠΕ05"/>
    <s v="ΓΑΛ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0-11-04T00:00:00"/>
    <x v="0"/>
    <s v="ΔΙΕΥΘΥΝΣΗ Δ.Ε. ΑΝΑΤ. ΘΕΣ/ΝΙΚΗΣ"/>
    <x v="3"/>
  </r>
  <r>
    <x v="1870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10-23T00:00:00"/>
    <x v="0"/>
    <s v="ΔΙΕΥΘΥΝΣΗ Δ.Ε. Β΄ ΑΘΗΝΑΣ"/>
    <x v="3"/>
  </r>
  <r>
    <x v="1871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10-18T00:00:00"/>
    <x v="0"/>
    <s v="ΔΙΕΥΘΥΝΣΗ Δ.Ε. Β΄ ΑΘΗΝΑΣ"/>
    <x v="3"/>
  </r>
  <r>
    <x v="1872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10-05T00:00:00"/>
    <x v="0"/>
    <s v="ΔΙΕΥΘΥΝΣΗ Δ.Ε. Β΄ ΑΘΗΝΑΣ"/>
    <x v="3"/>
  </r>
  <r>
    <x v="1873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10-04T00:00:00"/>
    <x v="0"/>
    <s v="ΔΙΕΥΘΥΝΣΗ Δ.Ε. Β΄ ΑΘΗΝΑΣ"/>
    <x v="3"/>
  </r>
  <r>
    <x v="1874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0-09-30T00:00:00"/>
    <x v="0"/>
    <s v="ΔΙΕΥΘΥΝΣΗ Δ.Ε. Α΄ ΑΘΗΝΑΣ"/>
    <x v="3"/>
  </r>
  <r>
    <x v="1875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0-09-29T00:00:00"/>
    <x v="0"/>
    <s v="ΔΙΕΥΘΥΝΣΗ Δ.Ε. ΑΝΑΤ. ΘΕΣ/ΝΙΚΗΣ"/>
    <x v="3"/>
  </r>
  <r>
    <x v="1876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0-09-21T00:00:00"/>
    <x v="0"/>
    <s v="ΔΙΕΥΘΥΝΣΗ Δ.Ε. Α΄ ΑΘΗΝΑΣ"/>
    <x v="3"/>
  </r>
  <r>
    <x v="1877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9-18T00:00:00"/>
    <x v="0"/>
    <s v="ΔΙΕΥΘΥΝΣΗ Δ.Ε. Β΄ ΑΘΗΝΑΣ"/>
    <x v="3"/>
  </r>
  <r>
    <x v="1878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90907"/>
    <s v="ΕΛΛΗΝΟΓΑΛΛΙΚΗ ΣΧΟΛΗ ΟΥΡΣΟΥΛΙΝΩΝ - ΙΔΙΩΤΙΚΟ ΓΕΝΙΚΟ ΛΥΚΕ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9-12T00:00:00"/>
    <x v="0"/>
    <s v="ΔΙΕΥΘΥΝΣΗ Δ.Ε. Β΄ ΑΘΗΝΑΣ"/>
    <x v="3"/>
  </r>
  <r>
    <x v="1879"/>
    <x v="0"/>
    <s v="ΠΕ04.04"/>
    <s v="ΒΙΟΛΟΓΟΙ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0-08-23T00:00:00"/>
    <x v="0"/>
    <s v="ΔΙΕΥΘΥΝΣΗ Δ.Ε. ΑΝΑΤ. ΘΕΣ/ΝΙΚΗΣ"/>
    <x v="3"/>
  </r>
  <r>
    <x v="1880"/>
    <x v="1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0-08-15T00:00:00"/>
    <x v="0"/>
    <s v="ΔΙΕΥΘΥΝΣΗ Δ.Ε. ΑΝΑΤΟΛΙΚΗΣ ΑΤΤΙΚΗΣ"/>
    <x v="3"/>
  </r>
  <r>
    <x v="1881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0-08-10T00:00:00"/>
    <x v="0"/>
    <s v="ΔΙΕΥΘΥΝΣΗ Δ.Ε. Δ΄ ΑΘΗΝΑΣ"/>
    <x v="3"/>
  </r>
  <r>
    <x v="1882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7-13T00:00:00"/>
    <x v="0"/>
    <s v="ΔΙΕΥΘΥΝΣΗ Δ.Ε. Β΄ ΑΘΗΝΑΣ"/>
    <x v="3"/>
  </r>
  <r>
    <x v="1883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06-26T00:00:00"/>
    <x v="0"/>
    <s v="ΔΙΕΥΘΥΝΣΗ Δ.Ε. Β΄ ΑΘΗΝΑΣ"/>
    <x v="3"/>
  </r>
  <r>
    <x v="1884"/>
    <x v="1"/>
    <s v="ΠΕ08"/>
    <s v="ΚΑΛΛΙΤΕΧΝΙΚ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06-19T00:00:00"/>
    <x v="0"/>
    <s v="ΔΙΕΥΘΥΝΣΗ Δ.Ε. Β΄ ΑΘΗΝΑΣ"/>
    <x v="3"/>
  </r>
  <r>
    <x v="188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6-19T00:00:00"/>
    <x v="0"/>
    <s v="ΔΙΕΥΘΥΝΣΗ Δ.Ε. Β΄ ΑΘΗΝΑΣ"/>
    <x v="3"/>
  </r>
  <r>
    <x v="1886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90907"/>
    <s v="ΕΛΛΗΝΟΓΑΛΛΙΚΗ ΣΧΟΛΗ ΟΥΡΣΟΥΛΙΝΩΝ - ΙΔΙΩΤΙΚΟ ΓΕΝΙΚΟ ΛΥΚΕ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6-10T00:00:00"/>
    <x v="0"/>
    <s v="ΔΙΕΥΘΥΝΣΗ Δ.Ε. Β΄ ΑΘΗΝΑΣ"/>
    <x v="3"/>
  </r>
  <r>
    <x v="1887"/>
    <x v="0"/>
    <s v="ΠΕ11"/>
    <s v="ΦΥΣΙΚΗΣ ΑΓΩΓΗΣ"/>
    <m/>
    <m/>
    <s v="Α΄"/>
    <n v="1"/>
    <s v="6040/25-10-1994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18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0-05-11T00:00:00"/>
    <x v="0"/>
    <s v="ΔΙΕΥΘΥΝΣΗ Δ.Ε. ΔΥΤ. ΘΕΣ/ΝΙΚΗΣ"/>
    <x v="3"/>
  </r>
  <r>
    <x v="1888"/>
    <x v="0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0-04-15T00:00:00"/>
    <x v="0"/>
    <s v="ΔΙΕΥΘΥΝΣΗ Δ.Ε. ΑΝΑΤΟΛΙΚΗΣ ΑΤΤΙΚΗΣ"/>
    <x v="3"/>
  </r>
  <r>
    <x v="1889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4-08T00:00:00"/>
    <x v="0"/>
    <s v="ΔΙΕΥΘΥΝΣΗ Δ.Ε. Β΄ ΑΘΗΝΑΣ"/>
    <x v="3"/>
  </r>
  <r>
    <x v="1890"/>
    <x v="1"/>
    <s v="ΠΕ05"/>
    <s v="ΓΑΛΛΙΚΗΣ ΦΙΛΟΛΟΓΙΑΣ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0-04-01T00:00:00"/>
    <x v="0"/>
    <s v="ΔΙΕΥΘΥΝΣΗ Δ.Ε. ΑΝΑΤ. ΘΕΣ/ΝΙΚΗΣ"/>
    <x v="3"/>
  </r>
  <r>
    <x v="1891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0-03-14T00:00:00"/>
    <x v="0"/>
    <s v="ΔΙΕΥΘΥΝΣΗ Δ.Ε. ΑΝΑΤΟΛΙΚΗΣ ΑΤΤΙΚΗΣ"/>
    <x v="3"/>
  </r>
  <r>
    <x v="1892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3-08T00:00:00"/>
    <x v="0"/>
    <s v="ΔΙΕΥΘΥΝΣΗ Δ.Ε. Β΄ ΑΘΗΝΑΣ"/>
    <x v="3"/>
  </r>
  <r>
    <x v="1893"/>
    <x v="1"/>
    <s v="ΠΕ07"/>
    <s v="ΓΕΡΜΑΝ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0-01-09T00:00:00"/>
    <x v="0"/>
    <s v="ΔΙΕΥΘΥΝΣΗ Δ.Ε. Δ΄ ΑΘΗΝΑΣ"/>
    <x v="3"/>
  </r>
  <r>
    <x v="1894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01-01T00:00:00"/>
    <x v="0"/>
    <s v="ΔΙΕΥΘΥΝΣΗ Δ.Ε. Β΄ ΑΘΗΝΑΣ"/>
    <x v="3"/>
  </r>
  <r>
    <x v="1895"/>
    <x v="1"/>
    <s v="ΠΕ05"/>
    <s v="ΓΑΛΛΙΚΗΣ ΦΙΛΟΛΟΓΙΑ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8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60-01-01T00:00:00"/>
    <x v="0"/>
    <s v="ΔΙΕΥΘΥΝΣΗ Δ.Ε. ΑΧΑΪΑΣ"/>
    <x v="3"/>
  </r>
  <r>
    <x v="1896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12-10T00:00:00"/>
    <x v="0"/>
    <s v="ΔΙΕΥΘΥΝΣΗ Δ.Ε. Β΄ ΑΘΗΝΑΣ"/>
    <x v="3"/>
  </r>
  <r>
    <x v="1897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11-26T00:00:00"/>
    <x v="0"/>
    <s v="ΔΙΕΥΘΥΝΣΗ Δ.Ε. Β΄ ΑΘΗΝΑΣ"/>
    <x v="3"/>
  </r>
  <r>
    <x v="1898"/>
    <x v="0"/>
    <s v="ΠΕ04.01"/>
    <s v="ΦΥΣ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9-10-28T00:00:00"/>
    <x v="0"/>
    <s v="ΔΙΕΥΘΥΝΣΗ Δ.Ε. ΑΝΑΤ. ΘΕΣ/ΝΙΚΗΣ"/>
    <x v="3"/>
  </r>
  <r>
    <x v="1899"/>
    <x v="1"/>
    <s v="ΠΕ06"/>
    <s v="ΑΓΓΛΙΚΗΣ ΦΙΛΟΛΟΓΙΑΣ"/>
    <m/>
    <m/>
    <s v="Γ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9-10-20T00:00:00"/>
    <x v="0"/>
    <s v="ΔΙΕΥΘΥΝΣΗ Δ.Ε. ΠΕΙΡΑΙΑ"/>
    <x v="3"/>
  </r>
  <r>
    <x v="1900"/>
    <x v="0"/>
    <s v="ΠΕ86"/>
    <s v="ΠΛΗΡΟΦΟΡΙΚΗΣ"/>
    <m/>
    <m/>
    <s v="Α΄"/>
    <n v="1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9-10-12T00:00:00"/>
    <x v="0"/>
    <s v="ΔΙΕΥΘΥΝΣΗ Δ.Ε. ΑΝΑΤ. ΘΕΣ/ΝΙΚΗΣ"/>
    <x v="3"/>
  </r>
  <r>
    <x v="1901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9-09-26T00:00:00"/>
    <x v="0"/>
    <s v="ΔΙΕΥΘΥΝΣΗ Δ.Ε. ΑΝΑΤΟΛΙΚΗΣ ΑΤΤΙΚΗΣ"/>
    <x v="3"/>
  </r>
  <r>
    <x v="1902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03"/>
    <s v="ΙΔΙΩΤΙΚΟ ΓΥΜΝΑΣΙΟ ΓΕΝΝΑΔΙΟΣ ΕΚΠΑΙΔΕΥΤΙΚΗ Κ. ΖΩΗ ΑΕ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9-09-22T00:00:00"/>
    <x v="0"/>
    <s v="ΔΙΕΥΘΥΝΣΗ Δ.Ε. Δ΄ ΑΘΗΝΑΣ"/>
    <x v="3"/>
  </r>
  <r>
    <x v="1903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9-08T00:00:00"/>
    <x v="0"/>
    <s v="ΔΙΕΥΘΥΝΣΗ Δ.Ε. Β΄ ΑΘΗΝΑΣ"/>
    <x v="3"/>
  </r>
  <r>
    <x v="1904"/>
    <x v="1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9-08-28T00:00:00"/>
    <x v="0"/>
    <s v="ΔΙΕΥΘΥΝΣΗ Δ.Ε. Α΄ ΑΘΗΝΑΣ"/>
    <x v="3"/>
  </r>
  <r>
    <x v="1905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9-08-13T00:00:00"/>
    <x v="0"/>
    <s v="ΔΙΕΥΘΥΝΣΗ Δ.Ε. Α΄ ΑΘΗΝΑΣ"/>
    <x v="3"/>
  </r>
  <r>
    <x v="190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07-19T00:00:00"/>
    <x v="0"/>
    <s v="ΔΙΕΥΘΥΝΣΗ Δ.Ε. Β΄ ΑΘΗΝΑΣ"/>
    <x v="3"/>
  </r>
  <r>
    <x v="1907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9-07-17T00:00:00"/>
    <x v="0"/>
    <s v="ΔΙΕΥΘΥΝΣΗ Δ.Ε. ΑΝΑΤΟΛΙΚΗΣ ΑΤΤΙΚΗΣ"/>
    <x v="3"/>
  </r>
  <r>
    <x v="1908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7-14T00:00:00"/>
    <x v="0"/>
    <s v="ΔΙΕΥΘΥΝΣΗ Δ.Ε. Β΄ ΑΘΗΝΑΣ"/>
    <x v="3"/>
  </r>
  <r>
    <x v="1909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5-03T00:00:00"/>
    <x v="0"/>
    <s v="ΔΙΕΥΘΥΝΣΗ Δ.Ε. Β΄ ΑΘΗΝΑΣ"/>
    <x v="3"/>
  </r>
  <r>
    <x v="1910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9-04-29T00:00:00"/>
    <x v="0"/>
    <s v="ΔΙΕΥΘΥΝΣΗ Δ.Ε. ΑΝΑΤΟΛΙΚΗΣ ΑΤΤΙΚΗΣ"/>
    <x v="3"/>
  </r>
  <r>
    <x v="1911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9-04-27T00:00:00"/>
    <x v="0"/>
    <s v="ΔΙΕΥΘΥΝΣΗ Δ.Ε. Α΄ ΑΘΗΝΑΣ"/>
    <x v="3"/>
  </r>
  <r>
    <x v="1912"/>
    <x v="1"/>
    <s v="ΠΕ02"/>
    <s v="ΦΙΛΟΛΟΓΟΙ"/>
    <m/>
    <m/>
    <s v="Α΄"/>
    <n v="1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9-04-23T00:00:00"/>
    <x v="0"/>
    <s v="ΔΙΕΥΘΥΝΣΗ Δ.Ε. ΑΝΑΤ. ΘΕΣ/ΝΙΚΗΣ"/>
    <x v="3"/>
  </r>
  <r>
    <x v="1913"/>
    <x v="0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9-04-21T00:00:00"/>
    <x v="0"/>
    <s v="ΔΙΕΥΘΥΝΣΗ Δ.Ε. ΑΝΑΤ. ΘΕΣ/ΝΙΚΗΣ"/>
    <x v="3"/>
  </r>
  <r>
    <x v="191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4-14T00:00:00"/>
    <x v="0"/>
    <s v="ΔΙΕΥΘΥΝΣΗ Δ.Ε. Β΄ ΑΘΗΝΑΣ"/>
    <x v="3"/>
  </r>
  <r>
    <x v="191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03-20T00:00:00"/>
    <x v="0"/>
    <s v="ΔΙΕΥΘΥΝΣΗ Δ.Ε. Β΄ ΑΘΗΝΑΣ"/>
    <x v="3"/>
  </r>
  <r>
    <x v="1916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9-03-13T00:00:00"/>
    <x v="0"/>
    <s v="ΔΙΕΥΘΥΝΣΗ Δ.Ε. ΑΝΑΤ. ΘΕΣ/ΝΙΚΗΣ"/>
    <x v="3"/>
  </r>
  <r>
    <x v="1917"/>
    <x v="1"/>
    <s v="ΠΕ03"/>
    <s v="ΜΑΘΗΜΑΤΙΚΟΙ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9-03-11T00:00:00"/>
    <x v="0"/>
    <s v="ΔΙΕΥΘΥΝΣΗ Δ.Ε. ΑΝΑΤ. ΘΕΣ/ΝΙΚΗΣ"/>
    <x v="3"/>
  </r>
  <r>
    <x v="191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03-01T00:00:00"/>
    <x v="0"/>
    <s v="ΔΙΕΥΘΥΝΣΗ Δ.Ε. Β΄ ΑΘΗΝΑΣ"/>
    <x v="3"/>
  </r>
  <r>
    <x v="1919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9-02-25T00:00:00"/>
    <x v="0"/>
    <s v="ΔΙΕΥΘΥΝΣΗ Δ.Ε. Δ΄ ΑΘΗΝΑΣ"/>
    <x v="3"/>
  </r>
  <r>
    <x v="1920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9-02-13T00:00:00"/>
    <x v="0"/>
    <s v="ΔΙΕΥΘΥΝΣΗ Δ.Ε. Β΄ ΑΘΗΝΑΣ"/>
    <x v="3"/>
  </r>
  <r>
    <x v="1921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8-12-14T00:00:00"/>
    <x v="0"/>
    <s v="ΔΙΕΥΘΥΝΣΗ Δ.Ε. Β΄ ΑΘΗΝΑΣ"/>
    <x v="3"/>
  </r>
  <r>
    <x v="1922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8-10-04T00:00:00"/>
    <x v="0"/>
    <s v="ΔΙΕΥΘΥΝΣΗ Δ.Ε. Δ΄ ΑΘΗΝΑΣ"/>
    <x v="3"/>
  </r>
  <r>
    <x v="1923"/>
    <x v="0"/>
    <s v="ΠΕ80"/>
    <s v="ΟΙΚΟΝΟΜ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10-04T00:00:00"/>
    <x v="0"/>
    <s v="ΔΙΕΥΘΥΝΣΗ Δ.Ε. ΑΝΑΤ. ΘΕΣ/ΝΙΚΗΣ"/>
    <x v="3"/>
  </r>
  <r>
    <x v="1924"/>
    <x v="0"/>
    <s v="ΠΕ11"/>
    <s v="ΦΥΣΙΚΗΣ ΑΓΩΓ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8-09-06T00:00:00"/>
    <x v="0"/>
    <s v="ΔΙΕΥΘΥΝΣΗ Δ.Ε. Α΄ ΑΘΗΝΑΣ"/>
    <x v="3"/>
  </r>
  <r>
    <x v="1925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8-08-25T00:00:00"/>
    <x v="0"/>
    <s v="ΔΙΕΥΘΥΝΣΗ Δ.Ε. Δ΄ ΑΘΗΝΑΣ"/>
    <x v="3"/>
  </r>
  <r>
    <x v="1926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8-08-18T00:00:00"/>
    <x v="0"/>
    <s v="ΔΙΕΥΘΥΝΣΗ Δ.Ε. ΠΕΙΡΑΙΑ"/>
    <x v="3"/>
  </r>
  <r>
    <x v="1927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6-26T00:00:00"/>
    <x v="0"/>
    <s v="ΔΙΕΥΘΥΝΣΗ Δ.Ε. ΑΝΑΤ. ΘΕΣ/ΝΙΚΗΣ"/>
    <x v="3"/>
  </r>
  <r>
    <x v="1928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8-06-22T00:00:00"/>
    <x v="0"/>
    <s v="ΔΙΕΥΘΥΝΣΗ Δ.Ε. Α΄ ΑΘΗΝΑΣ"/>
    <x v="3"/>
  </r>
  <r>
    <x v="1929"/>
    <x v="1"/>
    <s v="ΠΕ03"/>
    <s v="ΜΑΘΗΜΑΤΙΚΟΙ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6-02T00:00:00"/>
    <x v="0"/>
    <s v="ΔΙΕΥΘΥΝΣΗ Δ.Ε. ΑΝΑΤ. ΘΕΣ/ΝΙΚΗΣ"/>
    <x v="3"/>
  </r>
  <r>
    <x v="1930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8-05-20T00:00:00"/>
    <x v="0"/>
    <s v="ΔΙΕΥΘΥΝΣΗ Δ.Ε. Β΄ ΑΘΗΝΑΣ"/>
    <x v="3"/>
  </r>
  <r>
    <x v="1931"/>
    <x v="0"/>
    <s v="ΠΕ04.02"/>
    <s v="ΧΗΜ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05-13T00:00:00"/>
    <x v="0"/>
    <s v="ΔΙΕΥΘΥΝΣΗ Δ.Ε. ΑΝΑΤΟΛΙΚΗΣ ΑΤΤΙΚΗΣ"/>
    <x v="3"/>
  </r>
  <r>
    <x v="1932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8-04-24T00:00:00"/>
    <x v="0"/>
    <s v="ΔΙΕΥΘΥΝΣΗ Δ.Ε. Β΄ ΑΘΗΝΑΣ"/>
    <x v="3"/>
  </r>
  <r>
    <x v="1933"/>
    <x v="1"/>
    <s v="ΠΕ11"/>
    <s v="ΦΥΣΙΚΗΣ ΑΓΩΓΗ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8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58-02-28T00:00:00"/>
    <x v="0"/>
    <s v="ΔΙΕΥΘΥΝΣΗ Δ.Ε. ΤΡΙΚΑΛΩΝ"/>
    <x v="3"/>
  </r>
  <r>
    <x v="1934"/>
    <x v="0"/>
    <s v="ΠΕ79.01"/>
    <s v="ΜΟΥΣΙΚΗΣ ΕΠΙΣΤΗΜΗΣ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1-31T00:00:00"/>
    <x v="0"/>
    <s v="ΔΙΕΥΘΥΝΣΗ Δ.Ε. ΑΝΑΤ. ΘΕΣ/ΝΙΚΗΣ"/>
    <x v="3"/>
  </r>
  <r>
    <x v="1935"/>
    <x v="0"/>
    <s v="ΠΕ01"/>
    <s v="ΘΕ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01-17T00:00:00"/>
    <x v="0"/>
    <s v="ΔΙΕΥΘΥΝΣΗ Δ.Ε. ΑΝΑΤΟΛΙΚΗΣ ΑΤΤΙΚΗΣ"/>
    <x v="3"/>
  </r>
  <r>
    <x v="1936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12-29T00:00:00"/>
    <x v="0"/>
    <s v="ΔΙΕΥΘΥΝΣΗ Δ.Ε. Β΄ ΑΘΗΝΑΣ"/>
    <x v="3"/>
  </r>
  <r>
    <x v="1937"/>
    <x v="0"/>
    <s v="ΠΕ03"/>
    <s v="ΜΑΘΗΜΑΤΙΚΟΙ"/>
    <s v="ΠΕ86"/>
    <s v="ΠΛΗΡΟΦΟΡΙΚΗΣ"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12-21T00:00:00"/>
    <x v="0"/>
    <s v="ΔΙΕΥΘΥΝΣΗ Δ.Ε. Β΄ ΑΘΗΝΑΣ"/>
    <x v="3"/>
  </r>
  <r>
    <x v="1938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12-13T00:00:00"/>
    <x v="0"/>
    <s v="ΔΙΕΥΘΥΝΣΗ Δ.Ε. Β΄ ΑΘΗΝΑΣ"/>
    <x v="3"/>
  </r>
  <r>
    <x v="1939"/>
    <x v="0"/>
    <s v="ΠΕ03"/>
    <s v="ΜΑΘΗΜΑΤΙΚΟΙ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7-11-11T00:00:00"/>
    <x v="0"/>
    <s v="ΔΙΕΥΘΥΝΣΗ Δ.Ε. ΑΝΑΤ. ΘΕΣ/ΝΙΚΗΣ"/>
    <x v="3"/>
  </r>
  <r>
    <x v="1940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7-10-15T00:00:00"/>
    <x v="0"/>
    <s v="ΔΙΕΥΘΥΝΣΗ Δ.Ε. ΑΝΑΤΟΛΙΚΗΣ ΑΤΤΙΚΗΣ"/>
    <x v="3"/>
  </r>
  <r>
    <x v="194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10-05T00:00:00"/>
    <x v="0"/>
    <s v="ΔΙΕΥΘΥΝΣΗ Δ.Ε. Β΄ ΑΘΗΝΑΣ"/>
    <x v="3"/>
  </r>
  <r>
    <x v="1942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09-23T00:00:00"/>
    <x v="0"/>
    <s v="ΔΙΕΥΘΥΝΣΗ Δ.Ε. Β΄ ΑΘΗΝΑΣ"/>
    <x v="3"/>
  </r>
  <r>
    <x v="1943"/>
    <x v="0"/>
    <s v="ΠΕ88.03"/>
    <s v="ΖΩ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7-09-20T00:00:00"/>
    <x v="0"/>
    <s v="ΔΙΕΥΘΥΝΣΗ Δ.Ε. ΑΝΑΤ. ΘΕΣ/ΝΙΚΗΣ"/>
    <x v="3"/>
  </r>
  <r>
    <x v="1944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9-13T00:00:00"/>
    <x v="0"/>
    <s v="ΔΙΕΥΘΥΝΣΗ Δ.Ε. Β΄ ΑΘΗΝΑΣ"/>
    <x v="3"/>
  </r>
  <r>
    <x v="194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9-02T00:00:00"/>
    <x v="0"/>
    <s v="ΔΙΕΥΘΥΝΣΗ Δ.Ε. Β΄ ΑΘΗΝΑΣ"/>
    <x v="3"/>
  </r>
  <r>
    <x v="1946"/>
    <x v="0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08-26T00:00:00"/>
    <x v="0"/>
    <s v="ΔΙΕΥΘΥΝΣΗ Δ.Ε. Β΄ ΑΘΗΝΑΣ"/>
    <x v="3"/>
  </r>
  <r>
    <x v="1947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08-25T00:00:00"/>
    <x v="0"/>
    <s v="ΔΙΕΥΘΥΝΣΗ Δ.Ε. Β΄ ΑΘΗΝΑΣ"/>
    <x v="3"/>
  </r>
  <r>
    <x v="1948"/>
    <x v="0"/>
    <s v="ΠΕ04.01"/>
    <s v="ΦΥΣ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7-08-13T00:00:00"/>
    <x v="0"/>
    <s v="ΔΙΕΥΘΥΝΣΗ Δ.Ε. ΑΝΑΤ. ΘΕΣ/ΝΙΚΗΣ"/>
    <x v="3"/>
  </r>
  <r>
    <x v="1949"/>
    <x v="0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7-21T00:00:00"/>
    <x v="0"/>
    <s v="ΔΙΕΥΘΥΝΣΗ Δ.Ε. Β΄ ΑΘΗΝΑΣ"/>
    <x v="3"/>
  </r>
  <r>
    <x v="1950"/>
    <x v="1"/>
    <s v="ΠΕ88.03"/>
    <s v="ΖΩ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7-05-25T00:00:00"/>
    <x v="0"/>
    <s v="ΔΙΕΥΘΥΝΣΗ Δ.Ε. ΑΝΑΤ. ΘΕΣ/ΝΙΚΗΣ"/>
    <x v="3"/>
  </r>
  <r>
    <x v="1951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7-05-23T00:00:00"/>
    <x v="0"/>
    <s v="ΔΙΕΥΘΥΝΣΗ Δ.Ε. Δ΄ ΑΘΗΝΑΣ"/>
    <x v="3"/>
  </r>
  <r>
    <x v="1952"/>
    <x v="1"/>
    <s v="ΠΕ05"/>
    <s v="ΓΑΛΛΙΚΗΣ ΦΙΛΟΛΟΓΙΑΣ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7-05-07T00:00:00"/>
    <x v="0"/>
    <s v="ΔΙΕΥΘΥΝΣΗ Δ.Ε. ΑΝΑΤ. ΘΕΣ/ΝΙΚΗΣ"/>
    <x v="3"/>
  </r>
  <r>
    <x v="1953"/>
    <x v="0"/>
    <s v="ΠΕ04.01"/>
    <s v="ΦΥΣΙΚΟΙ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7-03-30T00:00:00"/>
    <x v="0"/>
    <s v="ΔΙΕΥΘΥΝΣΗ Δ.Ε. ΑΝΑΤ. ΘΕΣ/ΝΙΚΗΣ"/>
    <x v="3"/>
  </r>
  <r>
    <x v="1954"/>
    <x v="0"/>
    <s v="ΠΕ04.02"/>
    <s v="ΧΗΜΙΚ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57-03-29T00:00:00"/>
    <x v="0"/>
    <s v="ΔΙΕΥΘΥΝΣΗ Δ.Ε. ΗΡΑΚΛΕΙΟΥ"/>
    <x v="3"/>
  </r>
  <r>
    <x v="195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03-26T00:00:00"/>
    <x v="0"/>
    <s v="ΔΙΕΥΘΥΝΣΗ Δ.Ε. Β΄ ΑΘΗΝΑΣ"/>
    <x v="3"/>
  </r>
  <r>
    <x v="1956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2-03T00:00:00"/>
    <x v="0"/>
    <s v="ΔΙΕΥΘΥΝΣΗ Δ.Ε. Β΄ ΑΘΗΝΑΣ"/>
    <x v="3"/>
  </r>
  <r>
    <x v="1957"/>
    <x v="0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6-12-09T00:00:00"/>
    <x v="0"/>
    <s v="ΔΙΕΥΘΥΝΣΗ Δ.Ε. ΠΕΙΡΑΙΑ"/>
    <x v="3"/>
  </r>
  <r>
    <x v="1958"/>
    <x v="0"/>
    <s v="ΠΕ11"/>
    <s v="ΦΥΣΙΚΗΣ ΑΓΩΓΗΣ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6-11-10T00:00:00"/>
    <x v="0"/>
    <s v="ΔΙΕΥΘΥΝΣΗ Δ.Ε. ΑΝΑΤ. ΘΕΣ/ΝΙΚΗΣ"/>
    <x v="3"/>
  </r>
  <r>
    <x v="1959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6-11-09T00:00:00"/>
    <x v="0"/>
    <s v="ΔΙΕΥΘΥΝΣΗ Δ.Ε. Β΄ ΑΘΗΝΑΣ"/>
    <x v="3"/>
  </r>
  <r>
    <x v="196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11-06T00:00:00"/>
    <x v="0"/>
    <s v="ΔΙΕΥΘΥΝΣΗ Δ.Ε. Β΄ ΑΘΗΝΑΣ"/>
    <x v="3"/>
  </r>
  <r>
    <x v="1961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10-19T00:00:00"/>
    <x v="0"/>
    <s v="ΔΙΕΥΘΥΝΣΗ Δ.Ε. Β΄ ΑΘΗΝΑΣ"/>
    <x v="3"/>
  </r>
  <r>
    <x v="1962"/>
    <x v="0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8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56-10-05T00:00:00"/>
    <x v="0"/>
    <s v="ΔΙΕΥΘΥΝΣΗ Δ.Ε. ΛΑΡΙΣΑΣ"/>
    <x v="3"/>
  </r>
  <r>
    <x v="196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6-09-06T00:00:00"/>
    <x v="0"/>
    <s v="ΔΙΕΥΘΥΝΣΗ Δ.Ε. Β΄ ΑΘΗΝΑΣ"/>
    <x v="3"/>
  </r>
  <r>
    <x v="1964"/>
    <x v="0"/>
    <s v="ΠΕ03"/>
    <s v="ΜΑΘΗΜΑΤΙΚΟΙ"/>
    <m/>
    <m/>
    <s v="Α΄"/>
    <n v="4"/>
    <m/>
    <m/>
    <s v="ΞΑΝΘΗΣ (Δ.Ε.) 2018"/>
    <s v="ΔΙΕΥΘΥΝΣΗ Δ.Ε. ΞΑΝΘΗΣ"/>
    <s v="ΠΕΡΙΦΕΡΕΙΑΚΗ Δ/ΝΣΗ Α/ΘΜΙΑΣ ΚΑΙ Β/ΘΜΙΑΣ ΕΚΠ/ΣΗΣ ΑΝ. ΜΑΚΕΔΟΝΙΑΣ ΚΑΙ ΘΡΑΚΗΣ"/>
    <n v="18"/>
    <m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56-08-22T00:00:00"/>
    <x v="0"/>
    <s v="ΔΙΕΥΘΥΝΣΗ Δ.Ε. ΞΑΝΘΗΣ"/>
    <x v="3"/>
  </r>
  <r>
    <x v="1965"/>
    <x v="1"/>
    <s v="ΠΕ06"/>
    <s v="ΑΓΓΛ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6-07-24T00:00:00"/>
    <x v="0"/>
    <s v="ΔΙΕΥΘΥΝΣΗ Δ.Ε. Δ΄ ΑΘΗΝΑΣ"/>
    <x v="3"/>
  </r>
  <r>
    <x v="1966"/>
    <x v="0"/>
    <s v="ΠΕ80"/>
    <s v="ΟΙΚΟΝΟΜ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6-07-23T00:00:00"/>
    <x v="0"/>
    <s v="ΔΙΕΥΘΥΝΣΗ Δ.Ε. ΑΝΑΤ. ΘΕΣ/ΝΙΚΗΣ"/>
    <x v="3"/>
  </r>
  <r>
    <x v="1967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6-07-18T00:00:00"/>
    <x v="0"/>
    <s v="ΔΙΕΥΘΥΝΣΗ Δ.Ε. Β΄ ΑΘΗΝΑΣ"/>
    <x v="3"/>
  </r>
  <r>
    <x v="1968"/>
    <x v="0"/>
    <s v="ΠΕ04.01"/>
    <s v="ΦΥΣ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56-06-22T00:00:00"/>
    <x v="0"/>
    <s v="ΔΙΕΥΘΥΝΣΗ Δ.Ε. Α΄ ΑΘΗΝΑΣ"/>
    <x v="3"/>
  </r>
  <r>
    <x v="1969"/>
    <x v="1"/>
    <s v="ΠΕ01"/>
    <s v="ΘΕΟΛΟΓΟΙ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6-06-04T00:00:00"/>
    <x v="0"/>
    <s v="ΔΙΕΥΘΥΝΣΗ Δ.Ε. ΑΝΑΤ. ΘΕΣ/ΝΙΚΗΣ"/>
    <x v="3"/>
  </r>
  <r>
    <x v="1970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04-28T00:00:00"/>
    <x v="0"/>
    <s v="ΔΙΕΥΘΥΝΣΗ Δ.Ε. Β΄ ΑΘΗΝΑΣ"/>
    <x v="3"/>
  </r>
  <r>
    <x v="1971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04-16T00:00:00"/>
    <x v="0"/>
    <s v="ΔΙΕΥΘΥΝΣΗ Δ.Ε. Β΄ ΑΘΗΝΑΣ"/>
    <x v="3"/>
  </r>
  <r>
    <x v="1972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04-08T00:00:00"/>
    <x v="0"/>
    <s v="ΔΙΕΥΘΥΝΣΗ Δ.Ε. Β΄ ΑΘΗΝΑΣ"/>
    <x v="3"/>
  </r>
  <r>
    <x v="1973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6-04-08T00:00:00"/>
    <x v="0"/>
    <s v="ΔΙΕΥΘΥΝΣΗ Δ.Ε. ΠΕΙΡΑΙΑ"/>
    <x v="3"/>
  </r>
  <r>
    <x v="1974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6-01-24T00:00:00"/>
    <x v="0"/>
    <s v="ΔΙΕΥΘΥΝΣΗ Δ.Ε. Β΄ ΑΘΗΝΑΣ"/>
    <x v="3"/>
  </r>
  <r>
    <x v="197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10-21T00:00:00"/>
    <x v="0"/>
    <s v="ΔΙΕΥΘΥΝΣΗ Δ.Ε. Β΄ ΑΘΗΝΑΣ"/>
    <x v="3"/>
  </r>
  <r>
    <x v="1976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10-18T00:00:00"/>
    <x v="0"/>
    <s v="ΔΙΕΥΘΥΝΣΗ Δ.Ε. Β΄ ΑΘΗΝΑΣ"/>
    <x v="3"/>
  </r>
  <r>
    <x v="1977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5-10-09T00:00:00"/>
    <x v="0"/>
    <s v="ΔΙΕΥΘΥΝΣΗ Δ.Ε. ΑΝΑΤ. ΘΕΣ/ΝΙΚΗΣ"/>
    <x v="3"/>
  </r>
  <r>
    <x v="1978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09-21T00:00:00"/>
    <x v="0"/>
    <s v="ΔΙΕΥΘΥΝΣΗ Δ.Ε. Β΄ ΑΘΗΝΑΣ"/>
    <x v="3"/>
  </r>
  <r>
    <x v="1979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5-09-15T00:00:00"/>
    <x v="0"/>
    <s v="ΔΙΕΥΘΥΝΣΗ Δ.Ε. ΑΝΑΤΟΛΙΚΗΣ ΑΤΤΙΚΗΣ"/>
    <x v="3"/>
  </r>
  <r>
    <x v="1980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07-28T00:00:00"/>
    <x v="0"/>
    <s v="ΔΙΕΥΘΥΝΣΗ Δ.Ε. Β΄ ΑΘΗΝΑΣ"/>
    <x v="3"/>
  </r>
  <r>
    <x v="1981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5-04-30T00:00:00"/>
    <x v="0"/>
    <s v="ΔΙΕΥΘΥΝΣΗ Δ.Ε. Β΄ ΑΘΗΝΑΣ"/>
    <x v="3"/>
  </r>
  <r>
    <x v="1982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8"/>
    <d v="2018-09-01T00:00:00"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5-04-02T00:00:00"/>
    <x v="0"/>
    <s v="ΔΙΕΥΘΥΝΣΗ Δ.Ε. Β΄ ΑΘΗΝΑΣ"/>
    <x v="3"/>
  </r>
  <r>
    <x v="1983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5-03-23T00:00:00"/>
    <x v="0"/>
    <s v="ΔΙΕΥΘΥΝΣΗ Δ.Ε. ΑΝΑΤ. ΘΕΣ/ΝΙΚΗΣ"/>
    <x v="3"/>
  </r>
  <r>
    <x v="1984"/>
    <x v="1"/>
    <s v="ΠΕ05"/>
    <s v="ΓΑΛΛΙΚΗΣ ΦΙΛΟΛΟΓΙΑ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5-02-08T00:00:00"/>
    <x v="0"/>
    <s v="ΔΙΕΥΘΥΝΣΗ Δ.Ε. ΑΝΑΤΟΛΙΚΗΣ ΑΤΤΙΚΗΣ"/>
    <x v="3"/>
  </r>
  <r>
    <x v="1985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4-11-29T00:00:00"/>
    <x v="0"/>
    <s v="ΔΙΕΥΘΥΝΣΗ Δ.Ε. Β΄ ΑΘΗΝΑΣ"/>
    <x v="3"/>
  </r>
  <r>
    <x v="1986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4-11-17T00:00:00"/>
    <x v="0"/>
    <s v="ΔΙΕΥΘΥΝΣΗ Δ.Ε. Β΄ ΑΘΗΝΑΣ"/>
    <x v="3"/>
  </r>
  <r>
    <x v="1987"/>
    <x v="0"/>
    <s v="ΠΕ03"/>
    <s v="ΜΑΘΗΜΑΤΙΚΟΙ"/>
    <m/>
    <m/>
    <s v="Α΄"/>
    <n v="1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4-09-22T00:00:00"/>
    <x v="0"/>
    <s v="ΔΙΕΥΘΥΝΣΗ Δ.Ε. ΑΝΑΤ. ΘΕΣ/ΝΙΚΗΣ"/>
    <x v="3"/>
  </r>
  <r>
    <x v="1988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4-06-07T00:00:00"/>
    <x v="0"/>
    <s v="ΔΙΕΥΘΥΝΣΗ Δ.Ε. Β΄ ΑΘΗΝΑΣ"/>
    <x v="3"/>
  </r>
  <r>
    <x v="1989"/>
    <x v="0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4-04-15T00:00:00"/>
    <x v="0"/>
    <s v="ΔΙΕΥΘΥΝΣΗ Δ.Ε. Δ΄ ΑΘΗΝΑΣ"/>
    <x v="3"/>
  </r>
  <r>
    <x v="1990"/>
    <x v="0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4-01-29T00:00:00"/>
    <x v="0"/>
    <s v="ΔΙΕΥΘΥΝΣΗ Δ.Ε. Β΄ ΑΘΗΝΑΣ"/>
    <x v="3"/>
  </r>
  <r>
    <x v="1991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8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4-01-21T00:00:00"/>
    <x v="0"/>
    <s v="ΔΙΕΥΘΥΝΣΗ Δ.Ε. ΠΕΙΡΑΙΑ"/>
    <x v="3"/>
  </r>
  <r>
    <x v="1992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3-10-05T00:00:00"/>
    <x v="0"/>
    <s v="ΔΙΕΥΘΥΝΣΗ Δ.Ε. ΑΝΑΤΟΛΙΚΗΣ ΑΤΤΙΚΗΣ"/>
    <x v="3"/>
  </r>
  <r>
    <x v="1993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3-08-23T00:00:00"/>
    <x v="0"/>
    <s v="ΔΙΕΥΘΥΝΣΗ Δ.Ε. Β΄ ΑΘΗΝΑΣ"/>
    <x v="3"/>
  </r>
  <r>
    <x v="1994"/>
    <x v="0"/>
    <s v="ΠΕ04.02"/>
    <s v="ΧΗΜ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3-03-16T00:00:00"/>
    <x v="0"/>
    <s v="ΔΙΕΥΘΥΝΣΗ Δ.Ε. ΑΝΑΤ. ΘΕΣ/ΝΙΚΗΣ"/>
    <x v="3"/>
  </r>
  <r>
    <x v="1995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3-02-11T00:00:00"/>
    <x v="0"/>
    <s v="ΔΙΕΥΘΥΝΣΗ Δ.Ε. Β΄ ΑΘΗΝΑΣ"/>
    <x v="3"/>
  </r>
  <r>
    <x v="1996"/>
    <x v="1"/>
    <s v="ΠΕ05"/>
    <s v="ΓΑΛΛΙΚΗΣ ΦΙΛΟΛΟΓΙΑΣ"/>
    <m/>
    <m/>
    <s v="Α΄"/>
    <n v="17"/>
    <m/>
    <m/>
    <s v="Δ΄ ΑΘΗΝΑΣ (Δ.Ε.) 2018"/>
    <s v="ΔΙΕΥΘΥΝΣΗ Δ.Ε. Δ΄ ΑΘΗΝΑΣ"/>
    <s v="ΠΕΡΙΦΕΡΕΙΑΚΗ Δ/ΝΣΗ Α/ΘΜΙΑΣ ΚΑΙ Β/ΘΜΙΑΣ ΕΚΠ/ΣΗΣ ΑΤΤΙΚΗΣ"/>
    <n v="18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3-01-25T00:00:00"/>
    <x v="0"/>
    <s v="ΔΙΕΥΘΥΝΣΗ Δ.Ε. Δ΄ ΑΘΗΝΑΣ"/>
    <x v="3"/>
  </r>
  <r>
    <x v="1997"/>
    <x v="0"/>
    <s v="ΠΕ03"/>
    <s v="ΜΑΘΗΜΑΤΙΚΟΙ"/>
    <m/>
    <m/>
    <s v="Α΄"/>
    <n v="1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53-01-01T00:00:00"/>
    <x v="0"/>
    <s v="ΔΙΕΥΘΥΝΣΗ Δ.Ε. ΑΝΑΤ. ΘΕΣ/ΝΙΚΗΣ"/>
    <x v="3"/>
  </r>
  <r>
    <x v="1998"/>
    <x v="0"/>
    <s v="ΠΕ03"/>
    <s v="ΜΑΘΗΜΑΤΙΚΟΙ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8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2-11-23T00:00:00"/>
    <x v="0"/>
    <s v="ΔΙΕΥΘΥΝΣΗ Δ.Ε. ΑΝΑΤ. ΘΕΣ/ΝΙΚΗΣ"/>
    <x v="3"/>
  </r>
  <r>
    <x v="1999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52-11-22T00:00:00"/>
    <x v="0"/>
    <s v="ΔΙΕΥΘΥΝΣΗ Δ.Ε. ΑΝΑΤΟΛΙΚΗΣ ΑΤΤΙΚΗΣ"/>
    <x v="3"/>
  </r>
  <r>
    <x v="2000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2-11-05T00:00:00"/>
    <x v="0"/>
    <s v="ΔΙΕΥΘΥΝΣΗ Δ.Ε. Β΄ ΑΘΗΝΑΣ"/>
    <x v="3"/>
  </r>
  <r>
    <x v="2001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1-05-20T00:00:00"/>
    <x v="0"/>
    <s v="ΔΙΕΥΘΥΝΣΗ Δ.Ε. Β΄ ΑΘΗΝΑΣ"/>
    <x v="3"/>
  </r>
  <r>
    <x v="200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0-11-04T00:00:00"/>
    <x v="0"/>
    <s v="ΔΙΕΥΘΥΝΣΗ Δ.Ε. Β΄ ΑΘΗΝΑΣ"/>
    <x v="3"/>
  </r>
  <r>
    <x v="2003"/>
    <x v="1"/>
    <s v="ΠΕ80"/>
    <s v="ΟΙΚΟΝΟΜ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0-06-17T00:00:00"/>
    <x v="0"/>
    <s v="ΔΙΕΥΘΥΝΣΗ Δ.Ε. ΑΝΑΤΟΛΙΚΗΣ ΑΤΤΙΚΗΣ"/>
    <x v="3"/>
  </r>
  <r>
    <x v="2004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0-03-21T00:00:00"/>
    <x v="0"/>
    <s v="ΔΙΕΥΘΥΝΣΗ Δ.Ε. Β΄ ΑΘΗΝΑΣ"/>
    <x v="3"/>
  </r>
  <r>
    <x v="2005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48-09-21T00:00:00"/>
    <x v="0"/>
    <s v="ΔΙΕΥΘΥΝΣΗ Δ.Ε. Β΄ ΑΘΗΝΑΣ"/>
    <x v="3"/>
  </r>
  <r>
    <x v="2006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3"/>
  </r>
  <r>
    <x v="2007"/>
    <x v="0"/>
    <s v="ΠΕ03"/>
    <s v="ΜΑΘΗΜΑΤΙΚΟΙ"/>
    <m/>
    <m/>
    <s v="Γ΄"/>
    <n v="1"/>
    <s v="δυ"/>
    <d v="2018-09-01T00:00:00"/>
    <s v="Α΄ ΑΘΗΝΑΣ (Δ.Ε.) 2018"/>
    <s v="ΔΙΕΥΘΥΝΣΗ Δ.Ε. Α΄ ΑΘΗΝΑΣ"/>
    <s v="ΠΕΡΙΦΕΡΕΙΑΚΗ Δ/ΝΣΗ Α/ΘΜΙΑΣ ΚΑΙ Β/ΘΜΙΑΣ ΕΚΠ/ΣΗΣ ΑΤΤΙΚΗΣ"/>
    <n v="18"/>
    <d v="2018-09-01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3"/>
  </r>
  <r>
    <x v="2008"/>
    <x v="0"/>
    <s v="ΠΕ02"/>
    <s v="ΦΙΛΟΛΟΓΟΙ"/>
    <m/>
    <m/>
    <s v="Γ΄"/>
    <n v="1"/>
    <n v="22274"/>
    <d v="2018-10-24T00:00:00"/>
    <s v="Α΄ ΑΘΗΝΑΣ (Δ.Ε.) 2018"/>
    <s v="ΔΙΕΥΘΥΝΣΗ Δ.Ε. Α΄ ΑΘΗΝΑΣ"/>
    <s v="ΠΕΡΙΦΕΡΕΙΑΚΗ Δ/ΝΣΗ Α/ΘΜΙΑΣ ΚΑΙ Β/ΘΜΙΑΣ ΕΚΠ/ΣΗΣ ΑΤΤΙΚΗΣ"/>
    <n v="18"/>
    <d v="2018-10-24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3"/>
  </r>
  <r>
    <x v="2009"/>
    <x v="1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3"/>
  </r>
  <r>
    <x v="2010"/>
    <x v="0"/>
    <s v="ΠΕ01"/>
    <s v="ΘΕ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18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3"/>
  </r>
  <r>
    <x v="2011"/>
    <x v="0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2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3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4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5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6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7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8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19"/>
    <x v="1"/>
    <s v="ΠΕ04.01"/>
    <s v="ΦΥΣΙΚ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3"/>
  </r>
  <r>
    <x v="2020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3"/>
  </r>
  <r>
    <x v="2021"/>
    <x v="1"/>
    <s v="ΠΕ80"/>
    <s v="ΟΙΚΟΝΟΜ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2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3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4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5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6"/>
    <x v="0"/>
    <s v="ΠΕ11"/>
    <s v="ΦΥΣΙΚΗΣ ΑΓΩΓΗ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7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028"/>
    <x v="1"/>
    <s v="ΠΕ81"/>
    <s v="ΠΟΛ.ΜΗΧΑΝΙΚΩΝ-ΑΡΧΙΤΕΚΤΟΝΩΝ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8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3"/>
  </r>
  <r>
    <x v="2029"/>
    <x v="1"/>
    <s v="ΠΕ02"/>
    <s v="ΦΙΛΟΛΟΓΟΙ"/>
    <m/>
    <m/>
    <s v="Γ΄"/>
    <n v="1"/>
    <n v="19758"/>
    <d v="2018-12-03T00:00:00"/>
    <s v="Α΄ ΑΝΑΤ. ΑΤΤΙΚΗΣ (Δ.Ε.) 2018"/>
    <s v="ΔΙΕΥΘΥΝΣΗ Δ.Ε. ΑΝΑΤΟΛΙΚΗΣ ΑΤΤΙΚΗΣ"/>
    <s v="ΠΕΡΙΦΕΡΕΙΑΚΗ Δ/ΝΣΗ Α/ΘΜΙΑΣ ΚΑΙ Β/ΘΜΙΑΣ ΕΚΠ/ΣΗΣ ΑΤΤΙΚΗΣ"/>
    <n v="18"/>
    <d v="2018-12-03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m/>
    <x v="0"/>
    <s v="ΔΙΕΥΘΥΝΣΗ Δ.Ε. ΑΝΑΤΟΛΙΚΗΣ ΑΤΤΙΚΗΣ"/>
    <x v="3"/>
  </r>
  <r>
    <x v="2030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31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3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33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3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3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36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37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38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39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40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41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42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43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4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3"/>
  </r>
  <r>
    <x v="2045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46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8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m/>
    <x v="0"/>
    <s v="ΔΙΕΥΘΥΝΣΗ Δ.Ε. Β΄ ΑΘΗΝΑΣ"/>
    <x v="3"/>
  </r>
  <r>
    <x v="2047"/>
    <x v="0"/>
    <s v="ΠΕ82"/>
    <s v="ΜΗΧΑΝΟΛΟΓΩΝ"/>
    <m/>
    <m/>
    <s v="Γ΄"/>
    <n v="1"/>
    <n v="18346"/>
    <d v="2018-10-19T00:00:00"/>
    <s v="Δ΄ ΑΘΗΝΑΣ (Δ.Ε.) 2018"/>
    <s v="ΔΙΕΥΘΥΝΣΗ Δ.Ε. Δ΄ ΑΘΗΝΑΣ"/>
    <s v="ΠΕΡΙΦΕΡΕΙΑΚΗ Δ/ΝΣΗ Α/ΘΜΙΑΣ ΚΑΙ Β/ΘΜΙΑΣ ΕΚΠ/ΣΗΣ ΑΤΤΙΚΗΣ"/>
    <n v="18"/>
    <d v="2018-10-19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3"/>
  </r>
  <r>
    <x v="2048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18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m/>
    <x v="1"/>
    <s v="ΔΙΕΥΘΥΝΣΗ Π.Ε. Α΄ ΑΘΗΝΑΣ"/>
    <x v="3"/>
  </r>
  <r>
    <x v="2049"/>
    <x v="0"/>
    <s v="ΠΕ08"/>
    <s v="ΚΑΛΛΙΤΕΧΝΙΚΩΝ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8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3"/>
  </r>
  <r>
    <x v="2050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3"/>
  </r>
  <r>
    <x v="2051"/>
    <x v="1"/>
    <s v="ΠΕ05"/>
    <s v="ΓΑΛ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3"/>
  </r>
  <r>
    <x v="2052"/>
    <x v="1"/>
    <s v="ΠΕ05"/>
    <s v="ΓΑΛ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8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3"/>
  </r>
  <r>
    <x v="2053"/>
    <x v="1"/>
    <s v="ΠΕ11"/>
    <s v="ΦΥΣΙΚΗΣ ΑΓΩΓΗΣ"/>
    <m/>
    <m/>
    <s v="Γ΄"/>
    <n v="1"/>
    <n v="1466"/>
    <d v="2018-09-01T00:00:00"/>
    <s v="ΛΑΡΙΣΑΣ (Π.Ε.) 2018"/>
    <s v="ΔΙΕΥΘΥΝΣΗ Π.Ε. ΛΑΡΙΣΑΣ"/>
    <s v="ΠΕΡΙΦΕΡΕΙΑΚΗ Δ/ΝΣΗ Α/ΘΜΙΑΣ ΚΑΙ Β/ΘΜΙΑΣ ΕΚΠ/ΣΗΣ ΘΕΣΣΑΛΙΑΣ"/>
    <n v="18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m/>
    <x v="1"/>
    <s v="ΔΙΕΥΘΥΝΣΗ Π.Ε. ΛΑΡΙΣΑΣ"/>
    <x v="3"/>
  </r>
  <r>
    <x v="2054"/>
    <x v="1"/>
    <s v="ΠΕ02"/>
    <s v="ΦΙΛΟΛΟΓ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m/>
    <x v="0"/>
    <s v="ΔΙΕΥΘΥΝΣΗ Δ.Ε. ΗΡΑΚΛΕΙΟΥ"/>
    <x v="3"/>
  </r>
  <r>
    <x v="2055"/>
    <x v="0"/>
    <s v="ΠΕ11"/>
    <s v="ΦΥΣΙΚΗΣ ΑΓΩΓΗΣ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18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m/>
    <x v="0"/>
    <s v="ΔΙΕΥΘΥΝΣΗ Δ.Ε. ΗΡΑΚΛΕΙΟΥ"/>
    <x v="3"/>
  </r>
  <r>
    <x v="2056"/>
    <x v="1"/>
    <s v="ΠΕ91.01"/>
    <s v="ΘΕΑΤΡΙΚΩΝ ΣΠΟΥΔΩΝ"/>
    <m/>
    <m/>
    <s v="Γ΄"/>
    <n v="1"/>
    <s v="Φ.17.2_Α/15053"/>
    <d v="2018-10-11T00:00:00"/>
    <s v="ΑΧΑΪΑΣ (Π.Ε.) 2018"/>
    <s v="ΔΙΕΥΘΥΝΣΗ Π.Ε. ΑΧΑΪΑΣ"/>
    <s v="ΠΕΡΙΦΕΡΕΙΑΚΗ Δ/ΝΣΗ Α/ΘΜΙΑΣ ΚΑΙ Β/ΘΜΙΑΣ ΕΚΠ/ΣΗΣ ΔΥΤΙΚΗΣ ΕΛΛΑΔΑΣ"/>
    <n v="19"/>
    <d v="2018-10-11T00:00:00"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2"/>
    <s v="Τοποθέτηση σε Ιδιωτική Εκπαίδευση"/>
    <d v="1994-06-27T00:00:00"/>
    <x v="1"/>
    <s v="ΔΙΕΥΘΥΝΣΗ Π.Ε. ΑΧΑΪΑΣ"/>
    <x v="3"/>
  </r>
  <r>
    <x v="2057"/>
    <x v="0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9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89-06-05T00:00:00"/>
    <x v="1"/>
    <s v="ΔΙΕΥΘΥΝΣΗ Π.Ε. ΑΙΤΩΛΟΑΚΑΡΝΑΝΙΑΣ"/>
    <x v="3"/>
  </r>
  <r>
    <x v="2058"/>
    <x v="1"/>
    <s v="ΠΕ02"/>
    <s v="ΦΙΛΟΛΟΓΟΙ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19"/>
    <d v="2018-09-01T00:00:00"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8-11-07T00:00:00"/>
    <x v="0"/>
    <s v="ΔΙΕΥΘΥΝΣΗ Δ.Ε. ΔΩΔΕΚΑΝΗΣΟΥ"/>
    <x v="3"/>
  </r>
  <r>
    <x v="2059"/>
    <x v="1"/>
    <s v="ΠΕ06"/>
    <s v="ΑΓΓΛΙΚΗΣ ΦΙΛΟΛΟΓΙΑΣ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19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8-10-19T00:00:00"/>
    <x v="1"/>
    <s v="ΔΙΕΥΘΥΝΣΗ Π.Ε. ΗΡΑΚΛΕΙΟΥ"/>
    <x v="3"/>
  </r>
  <r>
    <x v="2060"/>
    <x v="1"/>
    <s v="ΠΕ02"/>
    <s v="ΦΙΛΟΛΟΓ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19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88-08-20T00:00:00"/>
    <x v="0"/>
    <s v="ΔΙΕΥΘΥΝΣΗ Δ.Ε. ΤΡΙΚΑΛΩΝ"/>
    <x v="3"/>
  </r>
  <r>
    <x v="2061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87-09-02T00:00:00"/>
    <x v="0"/>
    <s v="ΔΙΕΥΘΥΝΣΗ Δ.Ε. Β΄ ΑΘΗΝΑΣ"/>
    <x v="3"/>
  </r>
  <r>
    <x v="2062"/>
    <x v="1"/>
    <s v="ΠΕ86"/>
    <s v="ΠΛΗΡΟΦΟΡΙΚΗΣ"/>
    <m/>
    <m/>
    <s v="Γ΄"/>
    <n v="1"/>
    <n v="13031"/>
    <d v="2018-09-01T00:00:00"/>
    <s v="Δ΄ ΑΘΗΝΑΣ (Π.Ε.) 2018"/>
    <s v="ΔΙΕΥΘΥΝΣΗ Π.Ε. Δ΄ ΑΘΗΝΑΣ"/>
    <s v="ΠΕΡΙΦΕΡΕΙΑΚΗ Δ/ΝΣΗ Α/ΘΜΙΑΣ ΚΑΙ Β/ΘΜΙΑΣ ΕΚΠ/ΣΗΣ ΑΤΤΙΚΗΣ"/>
    <n v="19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2-04T00:00:00"/>
    <x v="1"/>
    <s v="ΔΙΕΥΘΥΝΣΗ Π.Ε. Δ΄ ΑΘΗΝΑΣ"/>
    <x v="3"/>
  </r>
  <r>
    <x v="2063"/>
    <x v="0"/>
    <s v="ΠΕ82"/>
    <s v="ΜΗΧΑΝΟΛΟΓΩΝ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9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4-01-02T00:00:00"/>
    <x v="0"/>
    <s v="ΔΙΕΥΘΥΝΣΗ Δ.Ε. ΑΧΑΪΑΣ"/>
    <x v="3"/>
  </r>
  <r>
    <x v="2064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10-27T00:00:00"/>
    <x v="0"/>
    <s v="ΔΙΕΥΘΥΝΣΗ Δ.Ε. Β΄ ΑΘΗΝΑΣ"/>
    <x v="3"/>
  </r>
  <r>
    <x v="2065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10-07T00:00:00"/>
    <x v="0"/>
    <s v="ΔΙΕΥΘΥΝΣΗ Δ.Ε. Β΄ ΑΘΗΝΑΣ"/>
    <x v="3"/>
  </r>
  <r>
    <x v="2066"/>
    <x v="1"/>
    <s v="ΠΕ06"/>
    <s v="ΑΓΓΛΙΚΗΣ ΦΙΛΟΛΟΓΙΑΣ"/>
    <m/>
    <m/>
    <s v="Γ΄"/>
    <n v="1"/>
    <s v="3841/24-09-2018"/>
    <d v="2018-09-01T00:00:00"/>
    <s v="ΜΕΣΣΗΝΙΑΣ (Δ.Ε.) 2018"/>
    <s v="ΔΙΕΥΘΥΝΣΗ Δ.Ε. ΜΕΣΣΗΝΙΑΣ"/>
    <s v="ΠΕΡΙΦΕΡΕΙΑΚΗ Δ/ΝΣΗ Α/ΘΜΙΑΣ ΚΑΙ Β/ΘΜΙΑΣ ΕΚΠ/ΣΗΣ ΠΕΛΟΠΟΝΝΗΣΟΥ"/>
    <n v="19"/>
    <d v="2018-09-01T00:00:00"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83-07-11T00:00:00"/>
    <x v="0"/>
    <s v="ΔΙΕΥΘΥΝΣΗ Δ.Ε. ΜΕΣΣΗΝΙΑΣ"/>
    <x v="3"/>
  </r>
  <r>
    <x v="2067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3-01-01T00:00:00"/>
    <x v="0"/>
    <s v="ΔΙΕΥΘΥΝΣΗ Δ.Ε. ΠΕΙΡΑΙΑ"/>
    <x v="3"/>
  </r>
  <r>
    <x v="2068"/>
    <x v="1"/>
    <s v="ΠΕ91.01"/>
    <s v="ΘΕΑΤΡΙΚΩΝ ΣΠΟΥΔΩΝ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19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3-01-01T00:00:00"/>
    <x v="0"/>
    <s v="ΔΙΕΥΘΥΝΣΗ Δ.Ε. ΑΧΑΪΑΣ"/>
    <x v="3"/>
  </r>
  <r>
    <x v="2069"/>
    <x v="1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11-16T00:00:00"/>
    <x v="0"/>
    <s v="ΔΙΕΥΘΥΝΣΗ Δ.Ε. ΑΝΑΤ. ΘΕΣ/ΝΙΚΗΣ"/>
    <x v="3"/>
  </r>
  <r>
    <x v="2070"/>
    <x v="0"/>
    <s v="ΠΕ06"/>
    <s v="ΑΓΓΛΙΚΗΣ ΦΙΛΟΛΟΓΙΑΣ"/>
    <m/>
    <m/>
    <s v="Γ΄"/>
    <n v="1"/>
    <n v="8138"/>
    <d v="2018-09-07T00:00:00"/>
    <s v="ΙΩΑΝΝΙΝΩΝ (Δ.Ε.) 2018"/>
    <s v="ΔΙΕΥΘΥΝΣΗ Δ.Ε. ΙΩΑΝΝΙΝΩΝ"/>
    <s v="ΠΕΡΙΦΕΡΕΙΑΚΗ Δ/ΝΣΗ Α/ΘΜΙΑΣ ΚΑΙ Β/ΘΜΙΑΣ ΕΚΠ/ΣΗΣ ΗΠΕΙΡΟΥ"/>
    <n v="19"/>
    <d v="2018-09-07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2-09-03T00:00:00"/>
    <x v="0"/>
    <s v="ΔΙΕΥΘΥΝΣΗ Δ.Ε. ΙΩΑΝΝΙΝΩΝ"/>
    <x v="3"/>
  </r>
  <r>
    <x v="2071"/>
    <x v="1"/>
    <s v="ΠΕ07"/>
    <s v="ΓΕΡΜΑΝΙΚΗΣ ΦΙΛΟΛΟΓΙΑΣ"/>
    <m/>
    <m/>
    <s v="Β΄"/>
    <n v="2"/>
    <s v="Φ.Ι.Α.3/34045/19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19"/>
    <d v="2014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8-05T00:00:00"/>
    <x v="1"/>
    <s v="ΔΙΕΥΘΥΝΣΗ Π.Ε. ΑΝΑΤΟΛΙΚΗΣ ΑΤΤΙΚΗΣ"/>
    <x v="3"/>
  </r>
  <r>
    <x v="2072"/>
    <x v="0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Γ΄ ΑΘΗΝΑΣ"/>
    <x v="3"/>
  </r>
  <r>
    <x v="2073"/>
    <x v="0"/>
    <s v="ΠΕ91.01"/>
    <s v="ΘΕΑΤΡΙΚΩΝ ΣΠΟΥΔΩΝ"/>
    <m/>
    <m/>
    <s v="Γ΄"/>
    <n v="1"/>
    <s v="5397/1 18/1/2011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19"/>
    <d v="2018-09-01T00:00:00"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1-10-27T00:00:00"/>
    <x v="0"/>
    <s v="ΔΙΕΥΘΥΝΣΗ Δ.Ε. ΑΝΑΤΟΛΙΚΗΣ ΑΤΤΙΚΗΣ"/>
    <x v="3"/>
  </r>
  <r>
    <x v="2074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3-04T00:00:00"/>
    <x v="0"/>
    <s v="ΔΙΕΥΘΥΝΣΗ Δ.Ε. ΑΝΑΤ. ΘΕΣ/ΝΙΚΗΣ"/>
    <x v="3"/>
  </r>
  <r>
    <x v="2075"/>
    <x v="0"/>
    <s v="ΠΕ80"/>
    <s v="ΟΙΚΟΝΟΜΙΑΣ"/>
    <m/>
    <m/>
    <s v="Γ΄"/>
    <n v="1"/>
    <s v="ΑΠ2027268"/>
    <d v="2018-09-27T00:00:00"/>
    <s v="Α΄ ΜΑΓΝΗΣΙΑΣ (Δ.Ε.) 2018"/>
    <s v="ΔΙΕΥΘΥΝΣΗ Δ.Ε. ΜΑΓΝΗΣΙΑΣ"/>
    <s v="ΠΕΡΙΦΕΡΕΙΑΚΗ Δ/ΝΣΗ Α/ΘΜΙΑΣ ΚΑΙ Β/ΘΜΙΑΣ ΕΚΠ/ΣΗΣ ΘΕΣΣΑΛΙΑΣ"/>
    <n v="19"/>
    <d v="2018-09-27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0-09-10T00:00:00"/>
    <x v="0"/>
    <s v="ΔΙΕΥΘΥΝΣΗ Δ.Ε. ΜΑΓΝΗΣΙΑΣ"/>
    <x v="3"/>
  </r>
  <r>
    <x v="207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0-06-01T00:00:00"/>
    <x v="0"/>
    <s v="ΔΙΕΥΘΥΝΣΗ Δ.Ε. ΑΝΑΤΟΛΙΚΗΣ ΑΤΤΙΚΗΣ"/>
    <x v="3"/>
  </r>
  <r>
    <x v="2077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3-06T00:00:00"/>
    <x v="0"/>
    <s v="ΔΙΕΥΘΥΝΣΗ Δ.Ε. Γ΄ ΑΘΗΝΑΣ"/>
    <x v="3"/>
  </r>
  <r>
    <x v="2078"/>
    <x v="0"/>
    <s v="ΠΕ86"/>
    <s v="ΠΛΗΡΟΦΟΡΙΚΗ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19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0-02-09T00:00:00"/>
    <x v="1"/>
    <s v="ΔΙΕΥΘΥΝΣΗ Π.Ε. ΛΑΡΙΣΑΣ"/>
    <x v="3"/>
  </r>
  <r>
    <x v="2079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Γ΄ ΑΘΗΝΑΣ"/>
    <x v="3"/>
  </r>
  <r>
    <x v="2080"/>
    <x v="1"/>
    <s v="ΠΕ05"/>
    <s v="ΓΑΛΛΙΚΗΣ ΦΙΛΟΛΟΓΙΑΣ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9"/>
    <d v="2018-09-01T00:00:00"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9-07-15T00:00:00"/>
    <x v="1"/>
    <s v="ΔΙΕΥΘΥΝΣΗ Π.Ε. ΑΙΤΩΛΟΑΚΑΡΝΑΝΙΑΣ"/>
    <x v="3"/>
  </r>
  <r>
    <x v="2081"/>
    <x v="0"/>
    <s v="ΠΕ03"/>
    <s v="ΜΑΘΗΜΑΤΙΚΟΙ"/>
    <m/>
    <m/>
    <s v="Γ΄"/>
    <n v="1"/>
    <s v="18279/20"/>
    <d v="2018-09-01T00:00:00"/>
    <s v="Γ΄ ΑΘΗΝΑΣ (Δ.Ε.) 2018"/>
    <s v="ΔΙΕΥΘΥΝΣΗ Δ.Ε. Γ΄ ΑΘΗΝΑΣ"/>
    <s v="ΠΕΡΙΦΕΡΕΙΑΚΗ Δ/ΝΣΗ Α/ΘΜΙΑΣ ΚΑΙ Β/ΘΜΙΑΣ ΕΚΠ/ΣΗΣ ΑΤΤΙΚΗΣ"/>
    <n v="19"/>
    <d v="2018-09-01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8-11-09T00:00:00"/>
    <x v="0"/>
    <s v="ΔΙΕΥΘΥΝΣΗ Δ.Ε. Γ΄ ΑΘΗΝΑΣ"/>
    <x v="3"/>
  </r>
  <r>
    <x v="2082"/>
    <x v="0"/>
    <s v="ΠΕ01"/>
    <s v="ΘΕ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9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8-11-03T00:00:00"/>
    <x v="0"/>
    <s v="ΔΙΕΥΘΥΝΣΗ Δ.Ε. ΚΟΡΙΝΘΙΑΣ"/>
    <x v="3"/>
  </r>
  <r>
    <x v="2083"/>
    <x v="1"/>
    <s v="ΠΕ01"/>
    <s v="ΘΕΟΛΟΓΟΙ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19"/>
    <m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78-06-29T00:00:00"/>
    <x v="0"/>
    <s v="ΔΙΕΥΘΥΝΣΗ Δ.Ε. ΠΙΕΡΙΑΣ"/>
    <x v="3"/>
  </r>
  <r>
    <x v="2084"/>
    <x v="0"/>
    <s v="ΠΕ86"/>
    <s v="ΠΛΗΡΟΦΟΡΙΚ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8-06-14T00:00:00"/>
    <x v="0"/>
    <s v="ΔΙΕΥΘΥΝΣΗ Δ.Ε. Γ΄ ΑΘΗΝΑΣ"/>
    <x v="3"/>
  </r>
  <r>
    <x v="2085"/>
    <x v="1"/>
    <s v="ΤΕ16"/>
    <s v="ΜΟΥΣΙΚΗΣ ΜΗ ΑΝΩΤΑΤΩΝ ΙΔΡΥΜΑΤΩΝ"/>
    <m/>
    <m/>
    <s v="Γ΄"/>
    <n v="1"/>
    <n v="2325"/>
    <d v="2018-09-01T00:00:00"/>
    <s v="Δ΄ ΑΘΗΝΑΣ (Π.Ε.) 2018"/>
    <s v="ΔΙΕΥΘΥΝΣΗ Π.Ε. Δ΄ ΑΘΗΝΑΣ"/>
    <s v="ΠΕΡΙΦΕΡΕΙΑΚΗ Δ/ΝΣΗ Α/ΘΜΙΑΣ ΚΑΙ Β/ΘΜΙΑΣ ΕΚΠ/ΣΗΣ ΑΤΤΙΚΗΣ"/>
    <n v="19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5-15T00:00:00"/>
    <x v="1"/>
    <s v="ΔΙΕΥΘΥΝΣΗ Π.Ε. Δ΄ ΑΘΗΝΑΣ"/>
    <x v="3"/>
  </r>
  <r>
    <x v="2086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4-06T00:00:00"/>
    <x v="0"/>
    <s v="ΔΙΕΥΘΥΝΣΗ Δ.Ε. Β΄ ΑΘΗΝΑΣ"/>
    <x v="3"/>
  </r>
  <r>
    <x v="2087"/>
    <x v="1"/>
    <s v="ΠΕ80"/>
    <s v="ΟΙΚΟΝΟΜΙΑΣ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19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8-01-15T00:00:00"/>
    <x v="0"/>
    <s v="ΔΙΕΥΘΥΝΣΗ Δ.Ε. ΔΩΔΕΚΑΝΗΣΟΥ"/>
    <x v="3"/>
  </r>
  <r>
    <x v="2088"/>
    <x v="1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8-01-01T00:00:00"/>
    <x v="0"/>
    <s v="ΔΙΕΥΘΥΝΣΗ Δ.Ε. ΑΝΑΤ. ΘΕΣ/ΝΙΚΗΣ"/>
    <x v="3"/>
  </r>
  <r>
    <x v="2089"/>
    <x v="0"/>
    <s v="ΠΕ04.04"/>
    <s v="ΒΙΟΛΟΓΟΙ"/>
    <m/>
    <m/>
    <s v="Γ΄"/>
    <n v="1"/>
    <s v="11298/20-11-2018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19"/>
    <d v="2018-09-01T00:00:00"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78-01-01T00:00:00"/>
    <x v="0"/>
    <s v="ΔΙΕΥΘΥΝΣΗ Δ.Ε. ΠΙΕΡΙΑΣ"/>
    <x v="3"/>
  </r>
  <r>
    <x v="2090"/>
    <x v="1"/>
    <s v="ΠΕ86"/>
    <s v="ΠΛΗΡΟΦΟΡΙΚΗΣ"/>
    <s v="ΠΕ83"/>
    <s v="ΗΛΕΚΤΡΟΛΟΓΩΝ"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2-31T00:00:00"/>
    <x v="0"/>
    <s v="ΔΙΕΥΘΥΝΣΗ Δ.Ε. Β΄ ΑΘΗΝΑΣ"/>
    <x v="3"/>
  </r>
  <r>
    <x v="2091"/>
    <x v="0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6-04T00:00:00"/>
    <x v="0"/>
    <s v="ΔΙΕΥΘΥΝΣΗ Δ.Ε. ΑΝΑΤΟΛΙΚΗΣ ΑΤΤΙΚΗΣ"/>
    <x v="3"/>
  </r>
  <r>
    <x v="2092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4-06T00:00:00"/>
    <x v="0"/>
    <s v="ΔΙΕΥΘΥΝΣΗ Δ.Ε. Β΄ ΑΘΗΝΑΣ"/>
    <x v="3"/>
  </r>
  <r>
    <x v="2093"/>
    <x v="1"/>
    <s v="ΠΕ79.01"/>
    <s v="ΜΟΥΣΙΚΗΣ ΕΠΙΣΤΗΜ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ΑΝΑΤΟΛΙΚΗΣ ΑΤΤΙΚΗΣ"/>
    <x v="3"/>
  </r>
  <r>
    <x v="2094"/>
    <x v="0"/>
    <s v="ΠΕ11"/>
    <s v="ΦΥΣΙΚΗΣ ΑΓΩΓΗΣ"/>
    <m/>
    <m/>
    <s v="Γ΄"/>
    <n v="1"/>
    <s v="ΦΔ12.2/7652/28-9-2018"/>
    <d v="2018-09-03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19"/>
    <d v="2018-09-03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76-12-28T00:00:00"/>
    <x v="1"/>
    <s v="ΔΙΕΥΘΥΝΣΗ Π.Ε. ΑΙΤΩΛΟΑΚΑΡΝΑΝΙΑΣ"/>
    <x v="3"/>
  </r>
  <r>
    <x v="2095"/>
    <x v="0"/>
    <s v="ΠΕ11"/>
    <s v="ΦΥΣΙΚΗΣ ΑΓΩΓΗ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19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6-12-18T00:00:00"/>
    <x v="0"/>
    <s v="ΔΙΕΥΘΥΝΣΗ Δ.Ε. ΛΑΡΙΣΑΣ"/>
    <x v="3"/>
  </r>
  <r>
    <x v="2096"/>
    <x v="1"/>
    <s v="ΠΕ06"/>
    <s v="ΑΓΓΛΙΚΗΣ ΦΙΛΟΛΟΓΙΑΣ"/>
    <m/>
    <m/>
    <s v="Γ΄"/>
    <n v="1"/>
    <s v="16055/01-09-2018"/>
    <d v="2018-09-01T00:00:00"/>
    <s v="ΛΑΡΙΣΑΣ (Δ.Ε.) 2018"/>
    <s v="ΔΙΕΥΘΥΝΣΗ Δ.Ε. ΛΑΡΙΣΑΣ"/>
    <s v="ΠΕΡΙΦΕΡΕΙΑΚΗ Δ/ΝΣΗ Α/ΘΜΙΑΣ ΚΑΙ Β/ΘΜΙΑΣ ΕΚΠ/ΣΗΣ ΘΕΣΣΑΛΙΑΣ"/>
    <n v="19"/>
    <d v="2018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6-10-22T00:00:00"/>
    <x v="0"/>
    <s v="ΔΙΕΥΘΥΝΣΗ Δ.Ε. ΛΑΡΙΣΑΣ"/>
    <x v="3"/>
  </r>
  <r>
    <x v="2097"/>
    <x v="1"/>
    <s v="ΠΕ79.01"/>
    <s v="ΜΟΥΣΙΚΗΣ ΕΠΙΣΤΗΜΗΣ"/>
    <m/>
    <m/>
    <s v="Γ΄"/>
    <n v="1"/>
    <m/>
    <m/>
    <s v="ΜΕΣΣΗΝΙΑΣ (Π.Ε.) 2018"/>
    <s v="ΔΙΕΥΘΥΝΣΗ Π.Ε. ΜΕΣΣΗΝΙΑΣ"/>
    <s v="ΠΕΡΙΦΕΡΕΙΑΚΗ Δ/ΝΣΗ Α/ΘΜΙΑΣ ΚΑΙ Β/ΘΜΙΑΣ ΕΚΠ/ΣΗΣ ΠΕΛΟΠΟΝΝΗΣΟΥ"/>
    <n v="19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76-07-20T00:00:00"/>
    <x v="1"/>
    <s v="ΔΙΕΥΘΥΝΣΗ Π.Ε. ΜΕΣΣΗΝΙΑΣ"/>
    <x v="3"/>
  </r>
  <r>
    <x v="2098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3-28T00:00:00"/>
    <x v="0"/>
    <s v="ΔΙΕΥΘΥΝΣΗ Δ.Ε. Β΄ ΑΘΗΝΑΣ"/>
    <x v="3"/>
  </r>
  <r>
    <x v="2099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6-02-06T00:00:00"/>
    <x v="0"/>
    <s v="ΔΙΕΥΘΥΝΣΗ Δ.Ε. Γ΄ ΑΘΗΝΑΣ"/>
    <x v="3"/>
  </r>
  <r>
    <x v="2100"/>
    <x v="0"/>
    <s v="ΠΕ80"/>
    <s v="ΟΙΚΟΝΟΜΙΑΣ"/>
    <m/>
    <m/>
    <s v="Γ΄"/>
    <n v="1"/>
    <n v="14662"/>
    <d v="2017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19"/>
    <d v="2017-09-01T00:00:00"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0"/>
    <s v="Τοποθέτηση σε Ιδιωτική Εκπαίδευση"/>
    <d v="1976-01-01T00:00:00"/>
    <x v="0"/>
    <s v="ΔΙΕΥΘΥΝΣΗ Δ.Ε. ΔΥΤ. ΘΕΣ/ΝΙΚΗΣ"/>
    <x v="3"/>
  </r>
  <r>
    <x v="2101"/>
    <x v="0"/>
    <s v="ΠΕ08"/>
    <s v="ΚΑΛΛΙΤΕΧΝΙΚΩΝ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1-01T00:00:00"/>
    <x v="0"/>
    <s v="ΔΙΕΥΘΥΝΣΗ Δ.Ε. ΑΝΑΤΟΛΙΚΗΣ ΑΤΤΙΚΗΣ"/>
    <x v="3"/>
  </r>
  <r>
    <x v="2102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19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1-01T00:00:00"/>
    <x v="0"/>
    <s v="ΔΙΕΥΘΥΝΣΗ Δ.Ε. Β΄ ΑΘΗΝΑΣ"/>
    <x v="3"/>
  </r>
  <r>
    <x v="2103"/>
    <x v="1"/>
    <s v="ΠΕ05"/>
    <s v="ΓΑΛΛ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9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4-09-14T00:00:00"/>
    <x v="1"/>
    <s v="ΔΙΕΥΘΥΝΣΗ Π.Ε. ΠΕΙΡΑΙΑ"/>
    <x v="3"/>
  </r>
  <r>
    <x v="2104"/>
    <x v="1"/>
    <s v="ΠΕ86"/>
    <s v="ΠΛΗΡΟΦΟΡΙΚΗΣ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19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4-09-12T00:00:00"/>
    <x v="1"/>
    <s v="ΔΙΕΥΘΥΝΣΗ Π.Ε. ΑΝΑΤ. ΘΕΣ/ΝΙΚΗΣ"/>
    <x v="3"/>
  </r>
  <r>
    <x v="2105"/>
    <x v="1"/>
    <s v="ΠΕ05"/>
    <s v="ΓΑΛΛΙΚΗΣ ΦΙΛΟΛΟΓΙΑΣ"/>
    <m/>
    <m/>
    <s v="Β΄"/>
    <n v="3"/>
    <s v="Φ.Ι.Α.4/32311/14-12-2015"/>
    <d v="2015-09-15T00:00:00"/>
    <s v="Β΄ ΑΝΑΤ. ΑΤΤΙΚΗΣ (Π.Ε.) 2018"/>
    <s v="ΔΙΕΥΘΥΝΣΗ Π.Ε. ΑΝΑΤΟΛΙΚΗΣ ΑΤΤΙΚΗΣ"/>
    <s v="ΠΕΡΙΦΕΡΕΙΑΚΗ Δ/ΝΣΗ Α/ΘΜΙΑΣ ΚΑΙ Β/ΘΜΙΑΣ ΕΚΠ/ΣΗΣ ΑΤΤΙΚΗΣ"/>
    <n v="19"/>
    <d v="2015-09-15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12-25T00:00:00"/>
    <x v="1"/>
    <s v="ΔΙΕΥΘΥΝΣΗ Π.Ε. ΑΝΑΤΟΛΙΚΗΣ ΑΤΤΙΚΗΣ"/>
    <x v="3"/>
  </r>
  <r>
    <x v="2106"/>
    <x v="0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7-18T00:00:00"/>
    <x v="0"/>
    <s v="ΔΙΕΥΘΥΝΣΗ Δ.Ε. Β΄ ΑΘΗΝΑΣ"/>
    <x v="3"/>
  </r>
  <r>
    <x v="2107"/>
    <x v="0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7-16T00:00:00"/>
    <x v="0"/>
    <s v="ΔΙΕΥΘΥΝΣΗ Δ.Ε. ΑΝΑΤ. ΘΕΣ/ΝΙΚΗΣ"/>
    <x v="3"/>
  </r>
  <r>
    <x v="2108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19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05-16T00:00:00"/>
    <x v="0"/>
    <s v="ΔΙΕΥΘΥΝΣΗ Δ.Ε. Γ΄ ΑΘΗΝΑΣ"/>
    <x v="3"/>
  </r>
  <r>
    <x v="2109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3-04-28T00:00:00"/>
    <x v="0"/>
    <s v="ΔΙΕΥΘΥΝΣΗ Δ.Ε. ΑΝΑΤΟΛΙΚΗΣ ΑΤΤΙΚΗΣ"/>
    <x v="3"/>
  </r>
  <r>
    <x v="2110"/>
    <x v="1"/>
    <s v="ΠΕ03"/>
    <s v="ΜΑΘΗΜΑΤΙΚΟΙ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8-29T00:00:00"/>
    <x v="0"/>
    <s v="ΔΙΕΥΘΥΝΣΗ Δ.Ε. ΑΝΑΤ. ΘΕΣ/ΝΙΚΗΣ"/>
    <x v="3"/>
  </r>
  <r>
    <x v="2111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7-06T00:00:00"/>
    <x v="0"/>
    <s v="ΔΙΕΥΘΥΝΣΗ Δ.Ε. Β΄ ΑΘΗΝΑΣ"/>
    <x v="3"/>
  </r>
  <r>
    <x v="2112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9-03T00:00:00"/>
    <x v="0"/>
    <s v="ΔΙΕΥΘΥΝΣΗ Δ.Ε. ΑΝΑΤΟΛΙΚΗΣ ΑΤΤΙΚΗΣ"/>
    <x v="3"/>
  </r>
  <r>
    <x v="2113"/>
    <x v="0"/>
    <s v="ΠΕ02"/>
    <s v="ΦΙΛΟΛΟΓΟΙ"/>
    <m/>
    <m/>
    <s v="Α΄"/>
    <n v="1"/>
    <m/>
    <m/>
    <s v="ΑΡΓΟΛΙΔΑΣ (Δ.Ε.) 2018"/>
    <s v="ΔΙΕΥΘΥΝΣΗ Δ.Ε. ΑΡΓΟΛΙΔΑΣ"/>
    <s v="ΠΕΡΙΦΕΡΕΙΑΚΗ Δ/ΝΣΗ Α/ΘΜΙΑΣ ΚΑΙ Β/ΘΜΙΑΣ ΕΚΠ/ΣΗΣ ΠΕΛΟΠΟΝΝΗΣΟΥ"/>
    <n v="19"/>
    <m/>
    <s v="Ιδιωτικά Σχολεία"/>
    <x v="2"/>
    <s v="0260002"/>
    <s v="ΙΔΙΩΤΙΚΟ ΓΥΜΝΑΣΙΟ ΑΥΤΕΝΕΡΓΩ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1-06-11T00:00:00"/>
    <x v="0"/>
    <s v="ΔΙΕΥΘΥΝΣΗ Δ.Ε. ΑΡΓΟΛΙΔΑΣ"/>
    <x v="3"/>
  </r>
  <r>
    <x v="2114"/>
    <x v="1"/>
    <s v="ΠΕ05"/>
    <s v="ΓΑΛ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19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5-28T00:00:00"/>
    <x v="1"/>
    <s v="ΔΙΕΥΘΥΝΣΗ Π.Ε. Β΄ ΑΘΗΝΑΣ"/>
    <x v="3"/>
  </r>
  <r>
    <x v="2115"/>
    <x v="0"/>
    <s v="ΠΕ11"/>
    <s v="ΦΥΣΙΚΗΣ ΑΓΩΓ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19"/>
    <m/>
    <s v="Ιδιωτικά Σχολεία"/>
    <x v="4"/>
    <s v="7052036"/>
    <s v="ΙΔΙΩΤΙΚΟ ΔΗΜΟΤΙΚ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2-02T00:00:00"/>
    <x v="1"/>
    <s v="ΔΙΕΥΘΥΝΣΗ Π.Ε. Β΄ ΑΘΗΝΑΣ"/>
    <x v="3"/>
  </r>
  <r>
    <x v="2116"/>
    <x v="1"/>
    <s v="ΠΕ06"/>
    <s v="ΑΓΓΛΙΚΗΣ ΦΙΛΟΛΟΓΙΑΣ"/>
    <m/>
    <m/>
    <s v="Γ΄"/>
    <n v="1"/>
    <n v="2716"/>
    <d v="2018-09-01T00:00:00"/>
    <s v="Β΄ ΑΘΗΝΑΣ (Π.Ε.) 2018"/>
    <s v="ΔΙΕΥΘΥΝΣΗ Π.Ε. Β΄ ΑΘΗΝΑΣ"/>
    <s v="ΠΕΡΙΦΕΡΕΙΑΚΗ Δ/ΝΣΗ Α/ΘΜΙΑΣ ΚΑΙ Β/ΘΜΙΑΣ ΕΚΠ/ΣΗΣ ΑΤΤΙΚΗΣ"/>
    <n v="19"/>
    <d v="2018-09-01T00:00:00"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1-01T00:00:00"/>
    <x v="1"/>
    <s v="ΔΙΕΥΘΥΝΣΗ Π.Ε. Β΄ ΑΘΗΝΑΣ"/>
    <x v="3"/>
  </r>
  <r>
    <x v="2117"/>
    <x v="1"/>
    <s v="ΠΕ02"/>
    <s v="ΦΙΛΟΛΟΓΟΙ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1-01T00:00:00"/>
    <x v="0"/>
    <s v="ΔΙΕΥΘΥΝΣΗ Δ.Ε. ΑΝΑΤ. ΘΕΣ/ΝΙΚΗΣ"/>
    <x v="3"/>
  </r>
  <r>
    <x v="2118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0-10-22T00:00:00"/>
    <x v="0"/>
    <s v="ΔΙΕΥΘΥΝΣΗ Δ.Ε. ΑΝΑΤ. ΘΕΣ/ΝΙΚΗΣ"/>
    <x v="3"/>
  </r>
  <r>
    <x v="2119"/>
    <x v="1"/>
    <s v="ΠΕ11"/>
    <s v="ΦΥΣΙΚΗΣ ΑΓΩΓΗΣ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19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0-10-13T00:00:00"/>
    <x v="1"/>
    <s v="ΔΙΕΥΘΥΝΣΗ Π.Ε. ΔΩΔΕΚΑΝΗΣΟΥ"/>
    <x v="3"/>
  </r>
  <r>
    <x v="2120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0-06-12T00:00:00"/>
    <x v="0"/>
    <s v="ΔΙΕΥΘΥΝΣΗ Δ.Ε. ΑΝΑΤΟΛΙΚΗΣ ΑΤΤΙΚΗΣ"/>
    <x v="3"/>
  </r>
  <r>
    <x v="2121"/>
    <x v="1"/>
    <s v="ΠΕ05"/>
    <s v="ΓΑΛΛΙΚΗΣ ΦΙΛΟΛΟΓΙΑΣ"/>
    <m/>
    <m/>
    <s v="Α΄"/>
    <n v="5"/>
    <s v="Φ.Ι.Α.1/21895/15-1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19"/>
    <d v="2012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2-10T00:00:00"/>
    <x v="1"/>
    <s v="ΔΙΕΥΘΥΝΣΗ Π.Ε. ΑΝΑΤΟΛΙΚΗΣ ΑΤΤΙΚΗΣ"/>
    <x v="3"/>
  </r>
  <r>
    <x v="2122"/>
    <x v="1"/>
    <s v="ΠΕ86"/>
    <s v="ΠΛΗΡΟΦΟΡΙΚΗΣ"/>
    <s v="ΠΕ03"/>
    <s v="ΜΑΘΗΜΑΤΙΚΟΙ"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1-01T00:00:00"/>
    <x v="0"/>
    <s v="ΔΙΕΥΘΥΝΣΗ Δ.Ε. ΑΝΑΤΟΛΙΚΗΣ ΑΤΤΙΚΗΣ"/>
    <x v="3"/>
  </r>
  <r>
    <x v="2123"/>
    <x v="1"/>
    <s v="ΠΕ86"/>
    <s v="ΠΛΗΡΟΦΟΡΙΚΗΣ"/>
    <s v="ΠΕ03"/>
    <s v="ΜΑΘΗΜΑΤΙΚΟΙ"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19"/>
    <m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9-21T00:00:00"/>
    <x v="1"/>
    <s v="ΔΙΕΥΘΥΝΣΗ Π.Ε. ΑΝΑΤΟΛΙΚΗΣ ΑΤΤΙΚΗΣ"/>
    <x v="3"/>
  </r>
  <r>
    <x v="2124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19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4-15T00:00:00"/>
    <x v="0"/>
    <s v="ΔΙΕΥΘΥΝΣΗ Δ.Ε. Δ΄ ΑΘΗΝΑΣ"/>
    <x v="3"/>
  </r>
  <r>
    <x v="2125"/>
    <x v="1"/>
    <s v="ΠΕ11"/>
    <s v="ΦΥΣΙΚΗΣ ΑΓΩΓΗΣ"/>
    <m/>
    <m/>
    <s v="Γ΄"/>
    <n v="1"/>
    <m/>
    <m/>
    <s v="Γ΄ ΑΘΗΝΑΣ (Π.Ε.) 2018"/>
    <s v="ΔΙΕΥΘΥΝΣΗ Π.Ε. Γ΄ ΑΘΗΝΑΣ"/>
    <s v="ΠΕΡΙΦΕΡΕΙΑΚΗ Δ/ΝΣΗ Α/ΘΜΙΑΣ ΚΑΙ Β/ΘΜΙΑΣ ΕΚΠ/ΣΗΣ ΑΤΤΙΚΗΣ"/>
    <n v="19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69-01-11T00:00:00"/>
    <x v="1"/>
    <s v="ΔΙΕΥΘΥΝΣΗ Π.Ε. Γ΄ ΑΘΗΝΑΣ"/>
    <x v="3"/>
  </r>
  <r>
    <x v="2126"/>
    <x v="1"/>
    <s v="ΠΕ03"/>
    <s v="ΜΑΘΗΜΑΤΙΚ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9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69-01-01T00:00:00"/>
    <x v="0"/>
    <s v="ΔΙΕΥΘΥΝΣΗ Δ.Ε. ΚΥΚΛΑΔΩΝ"/>
    <x v="3"/>
  </r>
  <r>
    <x v="2127"/>
    <x v="1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19"/>
    <m/>
    <s v="Ιδιωτικά Σχολεία"/>
    <x v="3"/>
    <s v="0161002"/>
    <s v="ΙΔΙΩΤΙΚΟ ΓΕΛ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8-10-14T00:00:00"/>
    <x v="0"/>
    <s v="ΔΙΕΥΘΥΝΣΗ Δ.Ε. ΑΙΤΩΛΟΑΚΑΡΝΑΝΙΑΣ"/>
    <x v="3"/>
  </r>
  <r>
    <x v="2128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10-08T00:00:00"/>
    <x v="0"/>
    <s v="ΔΙΕΥΘΥΝΣΗ Δ.Ε. ΠΕΙΡΑΙΑ"/>
    <x v="3"/>
  </r>
  <r>
    <x v="2129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7-11T00:00:00"/>
    <x v="0"/>
    <s v="ΔΙΕΥΘΥΝΣΗ Δ.Ε. Β΄ ΑΘΗΝΑΣ"/>
    <x v="3"/>
  </r>
  <r>
    <x v="2130"/>
    <x v="1"/>
    <s v="ΠΕ80"/>
    <s v="ΟΙΚΟΝΟΜ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6-29T00:00:00"/>
    <x v="0"/>
    <s v="ΔΙΕΥΘΥΝΣΗ Δ.Ε. ΑΝΑΤΟΛΙΚΗΣ ΑΤΤΙΚΗΣ"/>
    <x v="3"/>
  </r>
  <r>
    <x v="2131"/>
    <x v="0"/>
    <s v="ΠΕ04.01"/>
    <s v="ΦΥΣΙΚΟΙ"/>
    <m/>
    <m/>
    <s v="Γ΄"/>
    <n v="1"/>
    <n v="9266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19"/>
    <d v="2018-09-01T00:00:00"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68-05-01T00:00:00"/>
    <x v="0"/>
    <s v="ΔΙΕΥΘΥΝΣΗ Δ.Ε. ΠΙΕΡΙΑΣ"/>
    <x v="3"/>
  </r>
  <r>
    <x v="2132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4-29T00:00:00"/>
    <x v="0"/>
    <s v="ΔΙΕΥΘΥΝΣΗ Δ.Ε. ΑΝΑΤΟΛΙΚΗΣ ΑΤΤΙΚΗΣ"/>
    <x v="3"/>
  </r>
  <r>
    <x v="2133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2-10T00:00:00"/>
    <x v="0"/>
    <s v="ΔΙΕΥΘΥΝΣΗ Δ.Ε. Β΄ ΑΘΗΝΑΣ"/>
    <x v="3"/>
  </r>
  <r>
    <x v="2134"/>
    <x v="1"/>
    <s v="ΠΕ11"/>
    <s v="ΦΥΣΙΚΗΣ ΑΓΩΓΗ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19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7-12-06T00:00:00"/>
    <x v="1"/>
    <s v="ΔΙΕΥΘΥΝΣΗ Π.Ε. Α΄ ΑΘΗΝΑΣ"/>
    <x v="3"/>
  </r>
  <r>
    <x v="2135"/>
    <x v="0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19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7-11-26T00:00:00"/>
    <x v="1"/>
    <s v="ΔΙΕΥΘΥΝΣΗ Π.Ε. ΑΝΑΤΟΛΙΚΗΣ ΑΤΤΙΚΗΣ"/>
    <x v="3"/>
  </r>
  <r>
    <x v="2136"/>
    <x v="1"/>
    <s v="ΠΕ01"/>
    <s v="ΘΕ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19"/>
    <m/>
    <s v="Ιδιωτικά Σχολεία"/>
    <x v="3"/>
    <s v="2880010"/>
    <s v="ΙΔΙΩΤΙΚΟ ΗΜΕΡΗΣΙΟ ΛΥΚΕΙΟ ΚΟΡΙΝΘΟΣ - ΑΡΙΣΤΟΤΕΛΕΙΟ ΓΕΝΙΚΟ ΛΥΚΕΙΟ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67-10-27T00:00:00"/>
    <x v="0"/>
    <s v="ΔΙΕΥΘΥΝΣΗ Δ.Ε. ΚΟΡΙΝΘΙΑΣ"/>
    <x v="3"/>
  </r>
  <r>
    <x v="2137"/>
    <x v="1"/>
    <s v="ΠΕ05"/>
    <s v="ΓΑΛΛ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19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7-10-05T00:00:00"/>
    <x v="1"/>
    <s v="ΔΙΕΥΘΥΝΣΗ Π.Ε. ΠΕΙΡΑΙΑ"/>
    <x v="3"/>
  </r>
  <r>
    <x v="2138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1-12T00:00:00"/>
    <x v="0"/>
    <s v="ΔΙΕΥΘΥΝΣΗ Δ.Ε. ΑΝΑΤΟΛΙΚΗΣ ΑΤΤΙΚΗΣ"/>
    <x v="3"/>
  </r>
  <r>
    <x v="2139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8-03T00:00:00"/>
    <x v="0"/>
    <s v="ΔΙΕΥΘΥΝΣΗ Δ.Ε. Β΄ ΑΘΗΝΑΣ"/>
    <x v="3"/>
  </r>
  <r>
    <x v="2140"/>
    <x v="1"/>
    <s v="ΠΕ06"/>
    <s v="ΑΓΓΛΙΚΗΣ ΦΙΛΟΛΟΓΙΑΣ"/>
    <m/>
    <m/>
    <s v="Γ΄"/>
    <n v="1"/>
    <s v="16653/1"/>
    <d v="2018-09-01T00:00:00"/>
    <s v="Γ΄ ΑΘΗΝΑΣ (Δ.Ε.) 2018"/>
    <s v="ΔΙΕΥΘΥΝΣΗ Δ.Ε. Γ΄ ΑΘΗΝΑΣ"/>
    <s v="ΠΕΡΙΦΕΡΕΙΑΚΗ Δ/ΝΣΗ Α/ΘΜΙΑΣ ΚΑΙ Β/ΘΜΙΑΣ ΕΚΠ/ΣΗΣ ΑΤΤΙΚΗΣ"/>
    <n v="19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6-04-21T00:00:00"/>
    <x v="0"/>
    <s v="ΔΙΕΥΘΥΝΣΗ Δ.Ε. Γ΄ ΑΘΗΝΑΣ"/>
    <x v="3"/>
  </r>
  <r>
    <x v="214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11-19T00:00:00"/>
    <x v="0"/>
    <s v="ΔΙΕΥΘΥΝΣΗ Δ.Ε. Β΄ ΑΘΗΝΑΣ"/>
    <x v="3"/>
  </r>
  <r>
    <x v="2142"/>
    <x v="0"/>
    <s v="ΠΕ80"/>
    <s v="ΟΙΚΟΝΟΜ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10-09T00:00:00"/>
    <x v="0"/>
    <s v="ΔΙΕΥΘΥΝΣΗ Δ.Ε. ΑΝΑΤΟΛΙΚΗΣ ΑΤΤΙΚΗΣ"/>
    <x v="3"/>
  </r>
  <r>
    <x v="2143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61014"/>
    <s v="ΙΔΙΩΤΙΚΟ ΛΥΚΕΙΟ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5-20T00:00:00"/>
    <x v="0"/>
    <s v="ΔΙΕΥΘΥΝΣΗ Δ.Ε. Β΄ ΑΘΗΝΑΣ"/>
    <x v="3"/>
  </r>
  <r>
    <x v="2144"/>
    <x v="0"/>
    <s v="ΠΕ11"/>
    <s v="ΦΥΣΙΚΗΣ ΑΓΩΓΗ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19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5-05-06T00:00:00"/>
    <x v="0"/>
    <s v="ΔΙΕΥΘΥΝΣΗ Δ.Ε. ΙΩΑΝΝΙΝΩΝ"/>
    <x v="3"/>
  </r>
  <r>
    <x v="2145"/>
    <x v="1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60027"/>
    <s v="ΙΔΙΩΤΙΚΟ ΗΜΕΡΗΣΙΟ ΓΥΜΝΑΣ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4-08-23T00:00:00"/>
    <x v="0"/>
    <s v="ΔΙΕΥΘΥΝΣΗ Δ.Ε. ΑΝΑΤΟΛΙΚΗΣ ΑΤΤΙΚΗΣ"/>
    <x v="3"/>
  </r>
  <r>
    <x v="2146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19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4-01-01T00:00:00"/>
    <x v="0"/>
    <s v="ΔΙΕΥΘΥΝΣΗ Δ.Ε. ΑΝΑΤ. ΘΕΣ/ΝΙΚΗΣ"/>
    <x v="3"/>
  </r>
  <r>
    <x v="2147"/>
    <x v="1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3-12-01T00:00:00"/>
    <x v="0"/>
    <s v="ΔΙΕΥΘΥΝΣΗ Δ.Ε. Β΄ ΑΘΗΝΑΣ"/>
    <x v="3"/>
  </r>
  <r>
    <x v="2148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3-02-27T00:00:00"/>
    <x v="0"/>
    <s v="ΔΙΕΥΘΥΝΣΗ Δ.Ε. ΠΕΙΡΑΙΑ"/>
    <x v="3"/>
  </r>
  <r>
    <x v="2149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09-21T00:00:00"/>
    <x v="0"/>
    <s v="ΔΙΕΥΘΥΝΣΗ Δ.Ε. ΑΝΑΤΟΛΙΚΗΣ ΑΤΤΙΚΗΣ"/>
    <x v="3"/>
  </r>
  <r>
    <x v="2150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4-15T00:00:00"/>
    <x v="0"/>
    <s v="ΔΙΕΥΘΥΝΣΗ Δ.Ε. Β΄ ΑΘΗΝΑΣ"/>
    <x v="3"/>
  </r>
  <r>
    <x v="2151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3-27T00:00:00"/>
    <x v="0"/>
    <s v="ΔΙΕΥΘΥΝΣΗ Δ.Ε. Β΄ ΑΘΗΝΑΣ"/>
    <x v="3"/>
  </r>
  <r>
    <x v="2152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0-06-15T00:00:00"/>
    <x v="0"/>
    <s v="ΔΙΕΥΘΥΝΣΗ Δ.Ε. ΑΝΑΤΟΛΙΚΗΣ ΑΤΤΙΚΗΣ"/>
    <x v="3"/>
  </r>
  <r>
    <x v="2153"/>
    <x v="0"/>
    <s v="ΠΕ02"/>
    <s v="ΦΙΛΟΛΟΓΟΙ"/>
    <m/>
    <m/>
    <s v="Α΄"/>
    <n v="1"/>
    <m/>
    <m/>
    <s v="Δ΄ ΚΥΚΛΑΔΩΝ (Δ.Ε.) 2018"/>
    <s v="ΔΙΕΥΘΥΝΣΗ Δ.Ε. ΚΥΚΛΑΔΩΝ"/>
    <s v="ΠΕΡΙΦΕΡΕΙΑΚΗ Δ/ΝΣΗ Α/ΘΜΙΑΣ ΚΑΙ Β/ΘΜΙΑΣ ΕΚΠ/ΣΗΣ ΝΟΤΙΟΥ ΑΙΓΑΙΟΥ"/>
    <n v="19"/>
    <m/>
    <s v="Ιδιωτικά Σχολεία"/>
    <x v="3"/>
    <s v="2961001"/>
    <s v="ΣΥΓΧΡΟΝΗ ΠΑΙΔΕΙΑ - ΙΔΙΩΤΙΚΟ ΛΥΚΕΙΟ"/>
    <s v="Δ΄ ΚΥΚΛΑΔΩΝ (Δ.Ε.) 2018"/>
    <s v="ΔΙΕΥΘΥΝΣΗ Δ.Ε. ΚΥΚΛΑΔΩΝ"/>
    <s v="ΠΕΡΙΦΕΡΕΙΑΚΗ Δ/ΝΣΗ Α/ΘΜΙΑΣ ΚΑΙ Β/ΘΜΙΑΣ ΕΚΠ/ΣΗΣ ΝΟΤΙΟΥ ΑΙΓΑΙΟΥ"/>
    <x v="1"/>
    <s v="Τοποθέτηση σε Ιδιωτική Εκπαίδευση"/>
    <d v="1959-02-27T00:00:00"/>
    <x v="0"/>
    <s v="ΔΙΕΥΘΥΝΣΗ Δ.Ε. ΚΥΚΛΑΔΩΝ"/>
    <x v="3"/>
  </r>
  <r>
    <x v="215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19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2-18T00:00:00"/>
    <x v="0"/>
    <s v="ΔΙΕΥΘΥΝΣΗ Δ.Ε. Β΄ ΑΘΗΝΑΣ"/>
    <x v="3"/>
  </r>
  <r>
    <x v="2155"/>
    <x v="1"/>
    <s v="ΠΕ04.04"/>
    <s v="ΒΙ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19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8-06-25T00:00:00"/>
    <x v="0"/>
    <s v="ΔΙΕΥΘΥΝΣΗ Δ.Ε. ΠΕΙΡΑΙΑ"/>
    <x v="3"/>
  </r>
  <r>
    <x v="2156"/>
    <x v="0"/>
    <s v="ΠΕ79.01"/>
    <s v="ΜΟΥΣΙΚΗΣ ΕΠΙΣΤΗΜ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19"/>
    <m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8-03-28T00:00:00"/>
    <x v="1"/>
    <s v="ΔΙΕΥΘΥΝΣΗ Π.Ε. Δ΄ ΑΘΗΝΑΣ"/>
    <x v="3"/>
  </r>
  <r>
    <x v="2157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3-08-13T00:00:00"/>
    <x v="0"/>
    <s v="ΔΙΕΥΘΥΝΣΗ Δ.Ε. ΑΝΑΤΟΛΙΚΗΣ ΑΤΤΙΚΗΣ"/>
    <x v="3"/>
  </r>
  <r>
    <x v="2158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19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3"/>
  </r>
  <r>
    <x v="2159"/>
    <x v="0"/>
    <s v="ΠΕ04.02"/>
    <s v="ΧΗΜΙΚΟΙ"/>
    <m/>
    <m/>
    <s v="Γ΄"/>
    <n v="1"/>
    <s v="16653/43"/>
    <d v="2018-09-01T00:00:00"/>
    <s v="Γ΄ ΑΘΗΝΑΣ (Δ.Ε.) 2018"/>
    <s v="ΔΙΕΥΘΥΝΣΗ Δ.Ε. Γ΄ ΑΘΗΝΑΣ"/>
    <s v="ΠΕΡΙΦΕΡΕΙΑΚΗ Δ/ΝΣΗ Α/ΘΜΙΑΣ ΚΑΙ Β/ΘΜΙΑΣ ΕΚΠ/ΣΗΣ ΑΤΤΙΚΗΣ"/>
    <n v="19"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Γ΄ ΑΘΗΝΑΣ"/>
    <x v="3"/>
  </r>
  <r>
    <x v="2160"/>
    <x v="1"/>
    <s v="ΠΕ03"/>
    <s v="ΜΑΘΗΜΑΤΙΚΟΙ"/>
    <m/>
    <m/>
    <s v="Γ΄"/>
    <n v="1"/>
    <s v="16653/47"/>
    <d v="2018-09-01T00:00:00"/>
    <s v="Γ΄ ΑΘΗΝΑΣ (Δ.Ε.) 2018"/>
    <s v="ΔΙΕΥΘΥΝΣΗ Δ.Ε. Γ΄ ΑΘΗΝΑΣ"/>
    <s v="ΠΕΡΙΦΕΡΕΙΑΚΗ Δ/ΝΣΗ Α/ΘΜΙΑΣ ΚΑΙ Β/ΘΜΙΑΣ ΕΚΠ/ΣΗΣ ΑΤΤΙΚΗΣ"/>
    <n v="19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Γ΄ ΑΘΗΝΑΣ"/>
    <x v="3"/>
  </r>
  <r>
    <x v="2161"/>
    <x v="1"/>
    <s v="ΠΕ86"/>
    <s v="ΠΛΗΡΟΦΟΡΙΚΗΣ"/>
    <m/>
    <m/>
    <s v="Γ΄"/>
    <n v="1"/>
    <n v="9288"/>
    <d v="2018-09-01T00:00:00"/>
    <s v="ΛΑΡΙΣΑΣ (Π.Ε.) 2018"/>
    <s v="ΔΙΕΥΘΥΝΣΗ Π.Ε. ΛΑΡΙΣΑΣ"/>
    <s v="ΠΕΡΙΦΕΡΕΙΑΚΗ Δ/ΝΣΗ Α/ΘΜΙΑΣ ΚΑΙ Β/ΘΜΙΑΣ ΕΚΠ/ΣΗΣ ΘΕΣΣΑΛΙΑΣ"/>
    <n v="19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m/>
    <x v="1"/>
    <s v="ΔΙΕΥΘΥΝΣΗ Π.Ε. ΛΑΡΙΣΑΣ"/>
    <x v="3"/>
  </r>
  <r>
    <x v="2162"/>
    <x v="1"/>
    <s v="ΠΕ02"/>
    <s v="ΦΙΛΟΛΟΓΟΙ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99-05-31T00:00:00"/>
    <x v="0"/>
    <s v="ΔΙΕΥΘΥΝΣΗ Δ.Ε. Α΄ ΑΘΗΝΑΣ"/>
    <x v="4"/>
  </r>
  <r>
    <x v="2163"/>
    <x v="1"/>
    <s v="ΠΕ60"/>
    <s v="ΝΗΠΙΑΓΩΓΟΙ"/>
    <m/>
    <m/>
    <s v="Γ΄"/>
    <n v="1"/>
    <s v="ΑΠ1902949"/>
    <d v="2018-09-12T00:00:00"/>
    <s v="ΠΙΕΡΙΑΣ (Π.Ε.) 2018"/>
    <s v="ΔΙΕΥΘΥΝΣΗ Π.Ε. ΠΙΕΡΙΑΣ"/>
    <s v="ΠΕΡΙΦΕΡΕΙΑΚΗ Δ/ΝΣΗ Α/ΘΜΙΑΣ ΚΑΙ Β/ΘΜΙΑΣ ΕΚΠ/ΣΗΣ ΚΕΝΤΡΙΚΗΣ ΜΑΚΕΔΟΝΙΑΣ"/>
    <n v="20"/>
    <d v="2018-09-12T00:00:00"/>
    <s v="Ιδιωτικά Σχολεία"/>
    <x v="1"/>
    <s v="7391001"/>
    <s v="ΙΔΙΩΤΙΚΟ ΝΗΠΙΑΓΩΓΕΙΟ ΚΑΤΕΡΙΝΗΣ - ΙΔΙΩΤΙΚΟ ΝΗΠ. ΠΛΑΤΩΝ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3-12-08T00:00:00"/>
    <x v="1"/>
    <s v="ΔΙΕΥΘΥΝΣΗ Π.Ε. ΠΙΕΡΙΑΣ"/>
    <x v="4"/>
  </r>
  <r>
    <x v="2164"/>
    <x v="1"/>
    <s v="ΠΕ06"/>
    <s v="ΑΓΓΛΙΚΗΣ ΦΙΛΟΛΟΓΙΑΣ"/>
    <m/>
    <m/>
    <s v="Γ΄"/>
    <n v="1"/>
    <n v="0"/>
    <d v="2018-09-01T00:00:00"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d v="2018-09-01T00:00:00"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0"/>
    <s v="Τοποθέτηση σε Ιδιωτική Εκπαίδευση"/>
    <d v="1993-02-14T00:00:00"/>
    <x v="0"/>
    <s v="ΔΙΕΥΘΥΝΣΗ Δ.Ε. ΑΙΤΩΛΟΑΚΑΡΝΑΝΙΑΣ"/>
    <x v="4"/>
  </r>
  <r>
    <x v="2165"/>
    <x v="1"/>
    <s v="ΠΕ08"/>
    <s v="ΚΑΛΛΙΤΕΧΝΙΚΩΝ"/>
    <m/>
    <m/>
    <s v="Γ΄"/>
    <n v="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92-05-05T00:00:00"/>
    <x v="1"/>
    <s v="ΔΙΕΥΘΥΝΣΗ Π.Ε. ΔΥΤ. ΘΕΣ/ΝΙΚΗΣ"/>
    <x v="4"/>
  </r>
  <r>
    <x v="2166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60034"/>
    <s v="Ιδιωτικό Γυμνάσιο - ΓΥΜΝΑΣΙΟ ΙΕΡΟΥ ΝΑΟΥ ΜΕΤΑΜΟΡΦΩΣΕΩΣ ΒΡΙΛΗΣΣΙ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0-06-30T00:00:00"/>
    <x v="0"/>
    <s v="ΔΙΕΥΘΥΝΣΗ Δ.Ε. Β΄ ΑΘΗΝΑΣ"/>
    <x v="4"/>
  </r>
  <r>
    <x v="2167"/>
    <x v="1"/>
    <s v="ΠΕ04.04"/>
    <s v="ΒΙΟΛΟΓΟΙ"/>
    <m/>
    <m/>
    <s v="Γ΄"/>
    <n v="1"/>
    <s v="Φ. 17.2_ A_/14075/3"/>
    <d v="2018-09-29T00:00:00"/>
    <s v="ΑΧΑΪΑΣ (Δ.Ε.) 2018"/>
    <s v="ΔΙΕΥΘΥΝΣΗ Δ.Ε. ΑΧΑΪΑΣ"/>
    <s v="ΠΕΡΙΦΕΡΕΙΑΚΗ Δ/ΝΣΗ Α/ΘΜΙΑΣ ΚΑΙ Β/ΘΜΙΑΣ ΕΚΠ/ΣΗΣ ΔΥΤΙΚΗΣ ΕΛΛΑΔΑΣ"/>
    <n v="20"/>
    <d v="2018-09-29T00:00:00"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90-03-30T00:00:00"/>
    <x v="0"/>
    <s v="ΔΙΕΥΘΥΝΣΗ Δ.Ε. ΑΧΑΪΑΣ"/>
    <x v="4"/>
  </r>
  <r>
    <x v="2168"/>
    <x v="1"/>
    <s v="ΠΕ60"/>
    <s v="ΝΗΠΙΑΓΩΓΟΙ"/>
    <m/>
    <m/>
    <s v="Γ΄"/>
    <n v="1"/>
    <n v="1779864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189"/>
    <s v="ΙΔΙΩΤΙΚΟ ΝΗΠΙΑΓΩΓΕΙΟ - ΙΕΡΟΥ ΝΑΟΥ ΜΕΤΑΜΟΡΦΩΣΗΣ ΣΩΤΗΡΟΣ ΤΗΣ ΙΕΡΑΣ ΑΡΧΙΕΠΙΣΚΟΠΗΣ ΑΘΗΝΩΝ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0-03-26T00:00:00"/>
    <x v="1"/>
    <s v="ΔΙΕΥΘΥΝΣΗ Π.Ε. Β΄ ΑΘΗΝΑΣ"/>
    <x v="4"/>
  </r>
  <r>
    <x v="2169"/>
    <x v="1"/>
    <s v="ΠΕ60"/>
    <s v="ΝΗΠΙΑΓΩΓΟΙ"/>
    <m/>
    <m/>
    <s v="Γ΄"/>
    <n v="1"/>
    <n v="1779623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189"/>
    <s v="ΙΔΙΩΤΙΚΟ ΝΗΠΙΑΓΩΓΕΙΟ - ΙΕΡΟΥ ΝΑΟΥ ΜΕΤΑΜΟΡΦΩΣΗΣ ΣΩΤΗΡΟΣ ΤΗΣ ΙΕΡΑΣ ΑΡΧΙΕΠΙΣΚΟΠΗ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1-30T00:00:00"/>
    <x v="1"/>
    <s v="ΔΙΕΥΘΥΝΣΗ Π.Ε. Β΄ ΑΘΗΝΑΣ"/>
    <x v="4"/>
  </r>
  <r>
    <x v="2170"/>
    <x v="1"/>
    <s v="ΠΕ70"/>
    <s v="ΔΑΣΚΑΛΟΙ"/>
    <m/>
    <m/>
    <s v="Γ΄"/>
    <n v="1"/>
    <s v="Φ.17/3688"/>
    <d v="2018-09-01T00:00:00"/>
    <s v="ΚΟΡΙΝΘΙΑΣ (Π.Ε.) 2018"/>
    <s v="ΔΙΕΥΘΥΝΣΗ Π.Ε. ΚΟΡΙΝΘΙΑΣ"/>
    <s v="ΠΕΡΙΦΕΡΕΙΑΚΗ Δ/ΝΣΗ Α/ΘΜΙΑΣ ΚΑΙ Β/ΘΜΙΑΣ ΕΚΠ/ΣΗΣ ΠΕΛΟΠΟΝΝΗΣΟΥ"/>
    <n v="20"/>
    <d v="2018-09-01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9-06-23T00:00:00"/>
    <x v="1"/>
    <s v="ΔΙΕΥΘΥΝΣΗ Π.Ε. ΚΟΡΙΝΘΙΑΣ"/>
    <x v="4"/>
  </r>
  <r>
    <x v="2171"/>
    <x v="0"/>
    <s v="ΠΕ04.02"/>
    <s v="ΧΗΜΙΚΟΙ"/>
    <m/>
    <m/>
    <s v="Γ΄"/>
    <n v="1"/>
    <s v="16298/02-10-2018"/>
    <d v="2018-09-14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8-09-14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9-05-18T00:00:00"/>
    <x v="0"/>
    <s v="ΔΙΕΥΘΥΝΣΗ Δ.Ε. ΑΝΑΤΟΛΙΚΗΣ ΑΤΤΙΚΗΣ"/>
    <x v="4"/>
  </r>
  <r>
    <x v="2172"/>
    <x v="1"/>
    <s v="ΠΕ06"/>
    <s v="ΑΓΓΛΙΚΗΣ ΦΙΛΟΛΟΓΙΑΣ"/>
    <m/>
    <m/>
    <s v="Γ΄"/>
    <n v="1"/>
    <s v="Φ.17.2/276/6871"/>
    <d v="2018-09-01T00:00:00"/>
    <s v="Β΄ ΑΘΗΝΑΣ (Π.Ε.) 2018"/>
    <s v="ΔΙΕΥΘΥΝΣΗ Π.Ε. Β΄ ΑΘΗΝΑΣ"/>
    <s v="ΠΕΡΙΦΕΡΕΙΑΚΗ Δ/ΝΣΗ Α/ΘΜΙΑΣ ΚΑΙ Β/ΘΜΙΑΣ ΕΚΠ/ΣΗΣ ΑΤΤΙΚΗΣ"/>
    <n v="20"/>
    <d v="2018-09-01T00:00:00"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8-09-03T00:00:00"/>
    <x v="1"/>
    <s v="ΔΙΕΥΘΥΝΣΗ Π.Ε. Β΄ ΑΘΗΝΑΣ"/>
    <x v="4"/>
  </r>
  <r>
    <x v="2173"/>
    <x v="1"/>
    <s v="ΠΕ60"/>
    <s v="ΝΗΠΙΑΓΩΓΟΙ"/>
    <m/>
    <m/>
    <s v="Γ΄"/>
    <n v="1"/>
    <n v="1779526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189"/>
    <s v="ΙΔΙΩΤΙΚΟ ΝΗΠΙΑΓΩΓΕΙΟ - ΙΕΡΟΥ ΝΑΟΥ ΜΕΤΑΜΟΡΦΩΣΗΣ ΣΩΤΗΡΟΣ ΤΗΣ ΙΕΡΑΣ ΑΡΧΙΕΠΙΣΚΟΠΗ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5-30T00:00:00"/>
    <x v="1"/>
    <s v="ΔΙΕΥΘΥΝΣΗ Π.Ε. Β΄ ΑΘΗΝΑΣ"/>
    <x v="4"/>
  </r>
  <r>
    <x v="2174"/>
    <x v="1"/>
    <s v="ΠΕ60"/>
    <s v="ΝΗΠΙΑΓΩΓΟΙ"/>
    <m/>
    <m/>
    <s v="Γ΄"/>
    <n v="1"/>
    <n v="1779739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189"/>
    <s v="ΙΔΙΩΤΙΚΟ ΝΗΠΙΑΓΩΓΕΙΟ - ΙΕΡΟΥ ΝΑΟΥ ΜΕΤΑΜΟΡΦΩΣΗΣ ΣΩΤΗΡΟΣ ΤΗΣ ΙΕΡΑΣ ΑΡΧΙΕΠΙΣΚΟΠΗ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4-03T00:00:00"/>
    <x v="1"/>
    <s v="ΔΙΕΥΘΥΝΣΗ Π.Ε. Β΄ ΑΘΗΝΑΣ"/>
    <x v="4"/>
  </r>
  <r>
    <x v="2175"/>
    <x v="0"/>
    <s v="ΠΕ04.01"/>
    <s v="ΦΥΣΙΚΟΙ"/>
    <m/>
    <m/>
    <s v="Γ΄"/>
    <n v="1"/>
    <n v="9267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20"/>
    <d v="2018-09-01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7-09-22T00:00:00"/>
    <x v="0"/>
    <s v="ΔΙΕΥΘΥΝΣΗ Δ.Ε. ΠΙΕΡΙΑΣ"/>
    <x v="4"/>
  </r>
  <r>
    <x v="2176"/>
    <x v="1"/>
    <s v="ΠΕ06"/>
    <s v="ΑΓΓΛΙΚΗΣ ΦΙΛΟΛΟΓΙΑΣ"/>
    <m/>
    <m/>
    <s v="Γ΄"/>
    <n v="1"/>
    <s v="18277/18-9-2018"/>
    <d v="2018-09-17T00:00:00"/>
    <s v="Β΄ ΑΘΗΝΑΣ (Δ.Ε.) 2018"/>
    <s v="ΔΙΕΥΘΥΝΣΗ Δ.Ε. Β΄ ΑΘΗΝΑΣ"/>
    <s v="ΠΕΡΙΦΕΡΕΙΑΚΗ Δ/ΝΣΗ Α/ΘΜΙΑΣ ΚΑΙ Β/ΘΜΙΑΣ ΕΚΠ/ΣΗΣ ΑΤΤΙΚΗΣ"/>
    <n v="20"/>
    <d v="2018-09-17T00:00:00"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87-04-29T00:00:00"/>
    <x v="0"/>
    <s v="ΔΙΕΥΘΥΝΣΗ Δ.Ε. Β΄ ΑΘΗΝΑΣ"/>
    <x v="4"/>
  </r>
  <r>
    <x v="2177"/>
    <x v="1"/>
    <s v="ΠΕ07"/>
    <s v="ΓΕΡΜΑΝ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11-07T00:00:00"/>
    <x v="1"/>
    <s v="ΔΙΕΥΘΥΝΣΗ Π.Ε. Β΄ ΑΘΗΝΑΣ"/>
    <x v="4"/>
  </r>
  <r>
    <x v="2178"/>
    <x v="0"/>
    <s v="ΠΕ11"/>
    <s v="ΦΥΣΙΚΗΣ ΑΓΩΓΗΣ"/>
    <m/>
    <m/>
    <s v="Γ΄"/>
    <n v="1"/>
    <n v="12334"/>
    <d v="2018-09-01T00:00:00"/>
    <s v="Δ΄ ΑΘΗΝΑΣ (Π.Ε.) 2018"/>
    <s v="ΔΙΕΥΘΥΝΣΗ Π.Ε. Δ΄ ΑΘΗΝΑΣ"/>
    <s v="ΠΕΡΙΦΕΡΕΙΑΚΗ Δ/ΝΣΗ Α/ΘΜΙΑΣ ΚΑΙ Β/ΘΜΙΑΣ ΕΚΠ/ΣΗΣ ΑΤΤΙΚΗΣ"/>
    <n v="20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6-07-24T00:00:00"/>
    <x v="1"/>
    <s v="ΔΙΕΥΘΥΝΣΗ Π.Ε. Δ΄ ΑΘΗΝΑΣ"/>
    <x v="4"/>
  </r>
  <r>
    <x v="2179"/>
    <x v="1"/>
    <s v="ΠΕ80"/>
    <s v="ΟΙΚΟΝΟΜΙΑΣ"/>
    <m/>
    <m/>
    <s v="Γ΄"/>
    <n v="1"/>
    <s v="19722/24-10-2018"/>
    <d v="2018-09-12T00:00:00"/>
    <s v="ΛΑΡΙΣΑΣ (Δ.Ε.) 2018"/>
    <s v="ΔΙΕΥΘΥΝΣΗ Δ.Ε. ΛΑΡΙΣΑΣ"/>
    <s v="ΠΕΡΙΦΕΡΕΙΑΚΗ Δ/ΝΣΗ Α/ΘΜΙΑΣ ΚΑΙ Β/ΘΜΙΑΣ ΕΚΠ/ΣΗΣ ΘΕΣΣΑΛΙΑΣ"/>
    <n v="20"/>
    <d v="2018-09-12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2"/>
    <s v="Τοποθέτηση σε Ιδιωτική Εκπαίδευση"/>
    <d v="1986-03-03T00:00:00"/>
    <x v="0"/>
    <s v="ΔΙΕΥΘΥΝΣΗ Δ.Ε. ΛΑΡΙΣΑΣ"/>
    <x v="4"/>
  </r>
  <r>
    <x v="2180"/>
    <x v="1"/>
    <s v="ΠΕ60"/>
    <s v="ΝΗΠΙΑΓΩΓΟΙ"/>
    <m/>
    <m/>
    <s v="Γ΄"/>
    <n v="1"/>
    <n v="1779435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189"/>
    <s v="ΙΔΙΩΤΙΚΟ ΝΗΠΙΑΓΩΓΕΙΟ - ΙΕΡΟΥ ΝΑΟΥ ΜΕΤΑΜΟΡΦΩΣΗΣ ΣΩΤΗΡΟΣ ΤΗΣ ΙΕΡΑΣ ΑΡΧΙΕΠΙΣΚΟΠΗ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1-14T00:00:00"/>
    <x v="1"/>
    <s v="ΔΙΕΥΘΥΝΣΗ Π.Ε. Β΄ ΑΘΗΝΑΣ"/>
    <x v="4"/>
  </r>
  <r>
    <x v="2181"/>
    <x v="1"/>
    <s v="ΠΕ03"/>
    <s v="ΜΑΘΗΜΑΤΙΚΟΙ"/>
    <m/>
    <m/>
    <s v="Γ΄"/>
    <n v="1"/>
    <s v="7ΔΤΙ4653ΠΣ-ΙΧΤ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6-01-01T00:00:00"/>
    <x v="0"/>
    <s v="ΔΙΕΥΘΥΝΣΗ Δ.Ε. Β΄ ΑΘΗΝΑΣ"/>
    <x v="4"/>
  </r>
  <r>
    <x v="2182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117"/>
    <s v="ΙΔΙΩΤΙΚΟ ΝΗΠΙΑΓΩΓΕΙΟ &quot;Π. ΔΗΜΗΤΡΟΥΛΑ &amp; Μ. ΔΗΜΗΤΡΟΥΛΑ Ο.Ε.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6-26T00:00:00"/>
    <x v="1"/>
    <s v="ΔΙΕΥΘΥΝΣΗ Π.Ε. Β΄ ΑΘΗΝΑΣ"/>
    <x v="4"/>
  </r>
  <r>
    <x v="2183"/>
    <x v="1"/>
    <s v="ΠΕ07"/>
    <s v="ΓΕΡΜΑΝΙΚΗΣ ΦΙΛΟΛΟΓΙΑ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0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5-01-01T00:00:00"/>
    <x v="1"/>
    <s v="ΔΙΕΥΘΥΝΣΗ Π.Ε. ΧΑΝΙΩΝ"/>
    <x v="4"/>
  </r>
  <r>
    <x v="2184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4-10-26T00:00:00"/>
    <x v="0"/>
    <s v="ΔΙΕΥΘΥΝΣΗ Δ.Ε. Γ΄ ΑΘΗΝΑΣ"/>
    <x v="4"/>
  </r>
  <r>
    <x v="2185"/>
    <x v="1"/>
    <s v="ΠΕ05"/>
    <s v="ΓΑΛΛΙΚΗΣ ΦΙΛΟΛΟΓΙΑΣ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4-08-19T00:00:00"/>
    <x v="0"/>
    <s v="ΔΙΕΥΘΥΝΣΗ Δ.Ε. ΔΩΔΕΚΑΝΗΣΟΥ"/>
    <x v="4"/>
  </r>
  <r>
    <x v="2186"/>
    <x v="0"/>
    <s v="ΠΕ86"/>
    <s v="ΠΛΗΡΟΦΟΡΙΚΗΣ"/>
    <m/>
    <m/>
    <s v="Γ΄"/>
    <n v="1"/>
    <n v="20586"/>
    <d v="2018-09-01T00:00:00"/>
    <s v="Α΄ ΑΘΗΝΑΣ (Δ.Ε.) 2018"/>
    <s v="ΔΙΕΥΘΥΝΣΗ Δ.Ε. Α΄ ΑΘΗΝΑΣ"/>
    <s v="ΠΕΡΙΦΕΡΕΙΑΚΗ Δ/ΝΣΗ Α/ΘΜΙΑΣ ΚΑΙ Β/ΘΜΙΑΣ ΕΚΠ/ΣΗΣ ΑΤΤΙΚΗΣ"/>
    <n v="20"/>
    <d v="2018-09-01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84-05-02T00:00:00"/>
    <x v="0"/>
    <s v="ΔΙΕΥΘΥΝΣΗ Δ.Ε. Α΄ ΑΘΗΝΑΣ"/>
    <x v="4"/>
  </r>
  <r>
    <x v="2187"/>
    <x v="1"/>
    <s v="ΠΕ60"/>
    <s v="ΝΗΠΙΑΓΩΓ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m/>
    <s v="Ιδιωτικά Σχολεία"/>
    <x v="1"/>
    <s v="7192017"/>
    <s v="ΙΔΙΩΤΙΚΟ ΝΗΠΙΑΓΩΓΕΙ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4-04-28T00:00:00"/>
    <x v="1"/>
    <s v="ΔΙΕΥΘΥΝΣΗ Π.Ε. ΔΥΤ. ΘΕΣ/ΝΙΚΗΣ"/>
    <x v="4"/>
  </r>
  <r>
    <x v="2188"/>
    <x v="0"/>
    <s v="ΠΕ86"/>
    <s v="ΠΛΗΡΟΦΟΡΙΚ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4-02T00:00:00"/>
    <x v="0"/>
    <s v="ΔΙΕΥΘΥΝΣΗ Δ.Ε. ΑΝΑΤΟΛΙΚΗΣ ΑΤΤΙΚΗΣ"/>
    <x v="4"/>
  </r>
  <r>
    <x v="2189"/>
    <x v="1"/>
    <s v="ΠΕ07"/>
    <s v="ΓΕΡΜΑΝ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0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4-01-01T00:00:00"/>
    <x v="1"/>
    <s v="ΔΙΕΥΘΥΝΣΗ Π.Ε. ΠΕΙΡΑΙΑ"/>
    <x v="4"/>
  </r>
  <r>
    <x v="2190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3-11-28T00:00:00"/>
    <x v="0"/>
    <s v="ΔΙΕΥΘΥΝΣΗ Δ.Ε. Γ΄ ΑΘΗΝΑΣ"/>
    <x v="4"/>
  </r>
  <r>
    <x v="2191"/>
    <x v="0"/>
    <s v="ΠΕ03"/>
    <s v="ΜΑΘΗΜΑΤΙΚΟΙ"/>
    <m/>
    <m/>
    <s v="Γ΄"/>
    <n v="1"/>
    <s v="18279/21"/>
    <d v="2018-09-01T00:00:00"/>
    <s v="Γ΄ ΑΘΗΝΑΣ (Δ.Ε.) 2018"/>
    <s v="ΔΙΕΥΘΥΝΣΗ Δ.Ε. Γ΄ ΑΘΗΝΑΣ"/>
    <s v="ΠΕΡΙΦΕΡΕΙΑΚΗ Δ/ΝΣΗ Α/ΘΜΙΑΣ ΚΑΙ Β/ΘΜΙΑΣ ΕΚΠ/ΣΗΣ ΑΤΤΙΚΗΣ"/>
    <n v="20"/>
    <d v="2018-09-01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3-10-12T00:00:00"/>
    <x v="0"/>
    <s v="ΔΙΕΥΘΥΝΣΗ Δ.Ε. Γ΄ ΑΘΗΝΑΣ"/>
    <x v="4"/>
  </r>
  <r>
    <x v="219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61014"/>
    <s v="ΙΔΙΩΤΙΚΟ ΛΥΚΕΙΟ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9-28T00:00:00"/>
    <x v="0"/>
    <s v="ΔΙΕΥΘΥΝΣΗ Δ.Ε. Β΄ ΑΘΗΝΑΣ"/>
    <x v="4"/>
  </r>
  <r>
    <x v="2193"/>
    <x v="1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0"/>
    <m/>
    <s v="Ιδιωτικά Σχολεία"/>
    <x v="3"/>
    <s v="2861001"/>
    <s v="ΙΔΙΩΤΙΚΟ ΛΥΚΕΙΟ - HOMO EDUCANDUS ΑΓΩΓΗ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3-05-13T00:00:00"/>
    <x v="0"/>
    <s v="ΔΙΕΥΘΥΝΣΗ Δ.Ε. ΚΟΡΙΝΘΙΑΣ"/>
    <x v="4"/>
  </r>
  <r>
    <x v="2194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1-13T00:00:00"/>
    <x v="0"/>
    <s v="ΔΙΕΥΘΥΝΣΗ Δ.Ε. Β΄ ΑΘΗΝΑΣ"/>
    <x v="4"/>
  </r>
  <r>
    <x v="2195"/>
    <x v="0"/>
    <s v="ΠΕ86"/>
    <s v="ΠΛΗΡΟΦΟΡΙΚΗΣ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83-01-01T00:00:00"/>
    <x v="0"/>
    <s v="ΔΙΕΥΘΥΝΣΗ Δ.Ε. ΧΑΝΙΩΝ"/>
    <x v="4"/>
  </r>
  <r>
    <x v="2196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2-10-06T00:00:00"/>
    <x v="0"/>
    <s v="ΔΙΕΥΘΥΝΣΗ Δ.Ε. Α΄ ΑΘΗΝΑΣ"/>
    <x v="4"/>
  </r>
  <r>
    <x v="2197"/>
    <x v="1"/>
    <s v="ΠΕ01"/>
    <s v="ΘΕΟΛΟΓΟΙ"/>
    <m/>
    <m/>
    <s v="Β΄"/>
    <n v="3"/>
    <s v="6228/1/11-09-2009"/>
    <d v="2018-09-01T00:00:00"/>
    <s v="ΞΑΝΘΗΣ (Δ.Ε.) 2018"/>
    <s v="ΔΙΕΥΘΥΝΣΗ Δ.Ε. ΞΑΝΘΗΣ"/>
    <s v="ΠΕΡΙΦΕΡΕΙΑΚΗ Δ/ΝΣΗ Α/ΘΜΙΑΣ ΚΑΙ Β/ΘΜΙΑΣ ΕΚΠ/ΣΗΣ ΑΝ. ΜΑΚΕΔΟΝΙΑΣ ΚΑΙ ΘΡΑΚΗΣ"/>
    <n v="20"/>
    <d v="2018-09-01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82-05-21T00:00:00"/>
    <x v="0"/>
    <s v="ΔΙΕΥΘΥΝΣΗ Δ.Ε. ΞΑΝΘΗΣ"/>
    <x v="4"/>
  </r>
  <r>
    <x v="2198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2-02-24T00:00:00"/>
    <x v="1"/>
    <s v="ΔΙΕΥΘΥΝΣΗ Π.Ε. Α΄ ΑΘΗΝΑΣ"/>
    <x v="4"/>
  </r>
  <r>
    <x v="2199"/>
    <x v="1"/>
    <s v="ΠΕ06"/>
    <s v="ΑΓΓΛΙΚΗΣ ΦΙΛΟΛΟΓΙΑΣ"/>
    <m/>
    <m/>
    <s v="Γ΄"/>
    <n v="1"/>
    <n v="12560"/>
    <d v="2018-09-01T00:00:00"/>
    <s v="Δ΄ ΑΘΗΝΑΣ (Π.Ε.) 2018"/>
    <s v="ΔΙΕΥΘΥΝΣΗ Π.Ε. Δ΄ ΑΘΗΝΑΣ"/>
    <s v="ΠΕΡΙΦΕΡΕΙΑΚΗ Δ/ΝΣΗ Α/ΘΜΙΑΣ ΚΑΙ Β/ΘΜΙΑΣ ΕΚΠ/ΣΗΣ ΑΤΤΙΚΗΣ"/>
    <n v="20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Δ΄ ΑΘΗΝΑΣ"/>
    <x v="4"/>
  </r>
  <r>
    <x v="2200"/>
    <x v="1"/>
    <s v="ΠΕ02"/>
    <s v="ΦΙΛ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1-11-07T00:00:00"/>
    <x v="0"/>
    <s v="ΔΙΕΥΘΥΝΣΗ Δ.Ε. ΔΩΔΕΚΑΝΗΣΟΥ"/>
    <x v="4"/>
  </r>
  <r>
    <x v="2201"/>
    <x v="1"/>
    <s v="ΠΕ07"/>
    <s v="ΓΕΡΜΑΝΙΚΗΣ ΦΙΛΟΛΟΓΙΑΣ"/>
    <m/>
    <m/>
    <s v="Γ΄"/>
    <n v="1"/>
    <s v="16940 / 10/10/2018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8-09-01T00:00:00"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81-09-13T00:00:00"/>
    <x v="0"/>
    <s v="ΔΙΕΥΘΥΝΣΗ Δ.Ε. ΑΝΑΤΟΛΙΚΗΣ ΑΤΤΙΚΗΣ"/>
    <x v="4"/>
  </r>
  <r>
    <x v="2202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1-09-05T00:00:00"/>
    <x v="0"/>
    <s v="ΔΙΕΥΘΥΝΣΗ Δ.Ε. Α΄ ΑΘΗΝΑΣ"/>
    <x v="4"/>
  </r>
  <r>
    <x v="2203"/>
    <x v="1"/>
    <s v="ΠΕ01"/>
    <s v="ΘΕ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1-08-30T00:00:00"/>
    <x v="0"/>
    <s v="ΔΙΕΥΘΥΝΣΗ Δ.Ε. Α΄ ΑΘΗΝΑΣ"/>
    <x v="4"/>
  </r>
  <r>
    <x v="2204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1-08-11T00:00:00"/>
    <x v="0"/>
    <s v="ΔΙΕΥΘΥΝΣΗ Δ.Ε. Β΄ ΑΘΗΝΑΣ"/>
    <x v="4"/>
  </r>
  <r>
    <x v="2205"/>
    <x v="0"/>
    <s v="ΠΕ11"/>
    <s v="ΦΥΣΙΚΗΣ ΑΓΩΓΗΣ"/>
    <m/>
    <m/>
    <s v="Β΄"/>
    <n v="2"/>
    <s v="Φ.Ι.Α.6/9399/23-3-2017"/>
    <d v="2016-09-01T00:00:00"/>
    <s v="Β΄ ΑΝΑΤ. ΑΤΤΙΚΗΣ (Π.Ε.) 2018"/>
    <s v="ΔΙΕΥΘΥΝΣΗ Π.Ε. ΑΝΑΤΟΛΙΚΗΣ ΑΤΤΙΚΗΣ"/>
    <s v="ΠΕΡΙΦΕΡΕΙΑΚΗ Δ/ΝΣΗ Α/ΘΜΙΑΣ ΚΑΙ Β/ΘΜΙΑΣ ΕΚΠ/ΣΗΣ ΑΤΤΙΚΗΣ"/>
    <n v="20"/>
    <d v="2016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7-08T00:00:00"/>
    <x v="1"/>
    <s v="ΔΙΕΥΘΥΝΣΗ Π.Ε. ΑΝΑΤΟΛΙΚΗΣ ΑΤΤΙΚΗΣ"/>
    <x v="4"/>
  </r>
  <r>
    <x v="2206"/>
    <x v="1"/>
    <s v="ΠΕ08"/>
    <s v="ΚΑΛΛΙΤΕΧΝΙΚ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6-15T00:00:00"/>
    <x v="0"/>
    <s v="ΔΙΕΥΘΥΝΣΗ Δ.Ε. ΑΝΑΤΟΛΙΚΗΣ ΑΤΤΙΚΗΣ"/>
    <x v="4"/>
  </r>
  <r>
    <x v="2207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1-05-18T00:00:00"/>
    <x v="0"/>
    <s v="ΔΙΕΥΘΥΝΣΗ Δ.Ε. Α΄ ΑΘΗΝΑΣ"/>
    <x v="4"/>
  </r>
  <r>
    <x v="2208"/>
    <x v="1"/>
    <s v="ΠΕ06"/>
    <s v="ΑΓΓΛΙΚΗΣ ΦΙΛΟΛΟΓΙΑΣ"/>
    <m/>
    <m/>
    <s v="Γ΄"/>
    <n v="1"/>
    <n v="6768"/>
    <d v="2018-09-01T00:00:00"/>
    <s v="ΛΑΡΙΣΑΣ (Π.Ε.) 2018"/>
    <s v="ΔΙΕΥΘΥΝΣΗ Π.Ε. ΛΑΡΙΣΑΣ"/>
    <s v="ΠΕΡΙΦΕΡΕΙΑΚΗ Δ/ΝΣΗ Α/ΘΜΙΑΣ ΚΑΙ Β/ΘΜΙΑΣ ΕΚΠ/ΣΗΣ ΘΕΣΣΑΛΙΑΣ"/>
    <n v="20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1-05-05T00:00:00"/>
    <x v="1"/>
    <s v="ΔΙΕΥΘΥΝΣΗ Π.Ε. ΛΑΡΙΣΑΣ"/>
    <x v="4"/>
  </r>
  <r>
    <x v="2209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m/>
    <s v="Ιδιωτικά Σχολεία"/>
    <x v="1"/>
    <s v="7521011"/>
    <s v="ΙΔΙΩΤΙΚΟ ΝΗΠΙΑΓΩΓΕΙ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9-06T00:00:00"/>
    <x v="1"/>
    <s v="ΔΙΕΥΘΥΝΣΗ Π.Ε. ΑΝΑΤΟΛΙΚΗΣ ΑΤΤΙΚΗΣ"/>
    <x v="4"/>
  </r>
  <r>
    <x v="2210"/>
    <x v="0"/>
    <s v="ΤΕ16"/>
    <s v="ΜΟΥΣΙΚΗΣ ΜΗ ΑΝΩΤΑΤΩΝ ΙΔΡΥΜΑΤΩΝ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8-21T00:00:00"/>
    <x v="1"/>
    <s v="ΔΙΕΥΘΥΝΣΗ Π.Ε. ΑΝΑΤ. ΘΕΣ/ΝΙΚΗΣ"/>
    <x v="4"/>
  </r>
  <r>
    <x v="2211"/>
    <x v="0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8-08T00:00:00"/>
    <x v="0"/>
    <s v="ΔΙΕΥΘΥΝΣΗ Δ.Ε. Β΄ ΑΘΗΝΑΣ"/>
    <x v="4"/>
  </r>
  <r>
    <x v="2212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7-04T00:00:00"/>
    <x v="0"/>
    <s v="ΔΙΕΥΘΥΝΣΗ Δ.Ε. Β΄ ΑΘΗΝΑΣ"/>
    <x v="4"/>
  </r>
  <r>
    <x v="2213"/>
    <x v="1"/>
    <s v="ΠΕ02"/>
    <s v="ΦΙΛΟΛΟΓΟΙ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5-31T00:00:00"/>
    <x v="0"/>
    <s v="ΔΙΕΥΘΥΝΣΗ Δ.Ε. ΑΝΑΤ. ΘΕΣ/ΝΙΚΗΣ"/>
    <x v="4"/>
  </r>
  <r>
    <x v="221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2-22T00:00:00"/>
    <x v="0"/>
    <s v="ΔΙΕΥΘΥΝΣΗ Δ.Ε. Β΄ ΑΘΗΝΑΣ"/>
    <x v="4"/>
  </r>
  <r>
    <x v="2215"/>
    <x v="0"/>
    <s v="ΠΕ86"/>
    <s v="ΠΛΗΡΟΦΟΡΙΚΗΣ"/>
    <m/>
    <m/>
    <s v="Γ΄"/>
    <n v="1"/>
    <s v="9159/Φ17.2/25-9-18"/>
    <d v="2018-09-19T00:00:00"/>
    <s v="ΞΑΝΘΗΣ (Δ.Ε.) 2018"/>
    <s v="ΔΙΕΥΘΥΝΣΗ Δ.Ε. ΞΑΝΘΗΣ"/>
    <s v="ΠΕΡΙΦΕΡΕΙΑΚΗ Δ/ΝΣΗ Α/ΘΜΙΑΣ ΚΑΙ Β/ΘΜΙΑΣ ΕΚΠ/ΣΗΣ ΑΝ. ΜΑΚΕΔΟΝΙΑΣ ΚΑΙ ΘΡΑΚΗΣ"/>
    <n v="20"/>
    <d v="2018-09-19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2"/>
    <s v="Τοποθέτηση σε Ιδιωτική Εκπαίδευση"/>
    <d v="1980-02-06T00:00:00"/>
    <x v="0"/>
    <s v="ΔΙΕΥΘΥΝΣΗ Δ.Ε. ΞΑΝΘΗΣ"/>
    <x v="4"/>
  </r>
  <r>
    <x v="2216"/>
    <x v="0"/>
    <s v="ΠΕ86"/>
    <s v="ΠΛΗΡΟΦΟΡΙΚΗΣ"/>
    <m/>
    <m/>
    <s v="Α΄"/>
    <n v="6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m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1-10T00:00:00"/>
    <x v="1"/>
    <s v="ΔΙΕΥΘΥΝΣΗ Π.Ε. ΑΝΑΤΟΛΙΚΗΣ ΑΤΤΙΚΗΣ"/>
    <x v="4"/>
  </r>
  <r>
    <x v="2217"/>
    <x v="1"/>
    <s v="ΠΕ06"/>
    <s v="ΑΓΓΛΙΚΗΣ ΦΙΛΟΛΟΓΙΑ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1-01T00:00:00"/>
    <x v="1"/>
    <s v="ΔΙΕΥΘΥΝΣΗ Π.Ε. ΑΝΑΤΟΛΙΚΗΣ ΑΤΤΙΚΗΣ"/>
    <x v="4"/>
  </r>
  <r>
    <x v="221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9-12-04T00:00:00"/>
    <x v="0"/>
    <s v="ΔΙΕΥΘΥΝΣΗ Δ.Ε. Β΄ ΑΘΗΝΑΣ"/>
    <x v="4"/>
  </r>
  <r>
    <x v="2219"/>
    <x v="1"/>
    <s v="ΠΕ02"/>
    <s v="ΦΙΛΟΛΟΓΟΙ"/>
    <s v="ΠΕ01"/>
    <s v="ΘΕΟΛΟΓΟΙ"/>
    <s v="Γ΄"/>
    <n v="1"/>
    <m/>
    <m/>
    <s v="ΚΟΡΙΝΘΙΑΣ (Δ.Ε.) 2018"/>
    <s v="ΔΙΕΥΘΥΝΣΗ Δ.Ε. ΚΟΡΙΝΘΙΑΣ"/>
    <s v="ΠΕΡΙΦΕΡΕΙΑΚΗ Δ/ΝΣΗ Α/ΘΜΙΑΣ ΚΑΙ Β/ΘΜΙΑΣ ΕΚΠ/ΣΗΣ ΠΕΛΟΠΟΝΝΗΣΟΥ"/>
    <n v="20"/>
    <m/>
    <s v="Ιδιωτικά Σχολεία"/>
    <x v="2"/>
    <s v="2881020"/>
    <s v="ΙΔΙΩΤΙΚΟ ΓΥΜΝΑΣΙΟ ΚΟΡΙΝΘΟΥ - ΑΠΟΣΤΟΛΟΣ ΠΑΥΛΟΣ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9-11-28T00:00:00"/>
    <x v="0"/>
    <s v="ΔΙΕΥΘΥΝΣΗ Δ.Ε. ΚΟΡΙΝΘΙΑΣ"/>
    <x v="4"/>
  </r>
  <r>
    <x v="2220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11-12T00:00:00"/>
    <x v="0"/>
    <s v="ΔΙΕΥΘΥΝΣΗ Δ.Ε. Β΄ ΑΘΗΝΑΣ"/>
    <x v="4"/>
  </r>
  <r>
    <x v="2221"/>
    <x v="1"/>
    <s v="ΠΕ86"/>
    <s v="ΠΛΗΡΟΦΟΡΙΚΗΣ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11-11T00:00:00"/>
    <x v="0"/>
    <s v="ΔΙΕΥΘΥΝΣΗ Δ.Ε. Δ΄ ΑΘΗΝΑΣ"/>
    <x v="4"/>
  </r>
  <r>
    <x v="2222"/>
    <x v="1"/>
    <s v="ΠΕ06"/>
    <s v="ΑΓΓΛΙΚΗΣ ΦΙΛΟΛΟΓΙΑΣ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10-26T00:00:00"/>
    <x v="0"/>
    <s v="ΔΙΕΥΘΥΝΣΗ Δ.Ε. Δ΄ ΑΘΗΝΑΣ"/>
    <x v="4"/>
  </r>
  <r>
    <x v="2223"/>
    <x v="0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2"/>
    <s v="0645053"/>
    <s v="ΙΔΙΩΤΙΚΟ ΓΥΜΝΑΣΙΟ &quot;ΑΝΑΓΕΝΝΗΣΗ IKE&quot;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9-06-18T00:00:00"/>
    <x v="0"/>
    <s v="ΔΙΕΥΘΥΝΣΗ Δ.Ε. ΑΧΑΪΑΣ"/>
    <x v="4"/>
  </r>
  <r>
    <x v="222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6-16T00:00:00"/>
    <x v="0"/>
    <s v="ΔΙΕΥΘΥΝΣΗ Δ.Ε. Β΄ ΑΘΗΝΑΣ"/>
    <x v="4"/>
  </r>
  <r>
    <x v="2225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6-05T00:00:00"/>
    <x v="0"/>
    <s v="ΔΙΕΥΘΥΝΣΗ Δ.Ε. Δ΄ ΑΘΗΝΑΣ"/>
    <x v="4"/>
  </r>
  <r>
    <x v="2226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9-05-21T00:00:00"/>
    <x v="0"/>
    <s v="ΔΙΕΥΘΥΝΣΗ Δ.Ε. Β΄ ΑΘΗΝΑΣ"/>
    <x v="4"/>
  </r>
  <r>
    <x v="2227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9-05-13T00:00:00"/>
    <x v="0"/>
    <s v="ΔΙΕΥΘΥΝΣΗ Δ.Ε. ΑΝΑΤΟΛΙΚΗΣ ΑΤΤΙΚΗΣ"/>
    <x v="4"/>
  </r>
  <r>
    <x v="2228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9-03-15T00:00:00"/>
    <x v="0"/>
    <s v="ΔΙΕΥΘΥΝΣΗ Δ.Ε. ΑΝΑΤΟΛΙΚΗΣ ΑΤΤΙΚΗΣ"/>
    <x v="4"/>
  </r>
  <r>
    <x v="2229"/>
    <x v="1"/>
    <s v="ΠΕ02"/>
    <s v="ΦΙΛΟΛΟΓΟΙ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1-02T00:00:00"/>
    <x v="0"/>
    <s v="ΔΙΕΥΘΥΝΣΗ Δ.Ε. ΑΝΑΤ. ΘΕΣ/ΝΙΚΗΣ"/>
    <x v="4"/>
  </r>
  <r>
    <x v="2230"/>
    <x v="1"/>
    <s v="ΠΕ05"/>
    <s v="ΓΑΛΛΙΚΗΣ ΦΙΛΟΛΟΓΙΑΣ"/>
    <m/>
    <m/>
    <s v="Γ΄"/>
    <n v="1"/>
    <n v="18525"/>
    <d v="2018-09-01T00:00:00"/>
    <s v="Α΄ ΑΘΗΝΑΣ (Δ.Ε.) 2018"/>
    <s v="ΔΙΕΥΘΥΝΣΗ Δ.Ε. Α΄ ΑΘΗΝΑΣ"/>
    <s v="ΠΕΡΙΦΕΡΕΙΑΚΗ Δ/ΝΣΗ Α/ΘΜΙΑΣ ΚΑΙ Β/ΘΜΙΑΣ ΕΚΠ/ΣΗΣ ΑΤΤΙΚΗΣ"/>
    <n v="20"/>
    <d v="2018-09-01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79-01-01T00:00:00"/>
    <x v="0"/>
    <s v="ΔΙΕΥΘΥΝΣΗ Δ.Ε. Α΄ ΑΘΗΝΑΣ"/>
    <x v="4"/>
  </r>
  <r>
    <x v="2231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Γ΄ ΑΘΗΝΑΣ"/>
    <x v="4"/>
  </r>
  <r>
    <x v="2232"/>
    <x v="0"/>
    <s v="ΠΕ02"/>
    <s v="ΦΙΛΟΛΟΓΟΙ"/>
    <m/>
    <m/>
    <s v="Γ΄"/>
    <n v="1"/>
    <s v="22568/21-11-2018"/>
    <d v="2018-11-21T00:00:00"/>
    <s v="Γ΄ ΑΘΗΝΑΣ (Δ.Ε.) 2018"/>
    <s v="ΔΙΕΥΘΥΝΣΗ Δ.Ε. Γ΄ ΑΘΗΝΑΣ"/>
    <s v="ΠΕΡΙΦΕΡΕΙΑΚΗ Δ/ΝΣΗ Α/ΘΜΙΑΣ ΚΑΙ Β/ΘΜΙΑΣ ΕΚΠ/ΣΗΣ ΑΤΤΙΚΗΣ"/>
    <n v="20"/>
    <d v="2018-11-21T00:00:00"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2"/>
    <s v="Τοποθέτηση σε Ιδιωτική Εκπαίδευση"/>
    <d v="1978-12-19T00:00:00"/>
    <x v="0"/>
    <s v="ΔΙΕΥΘΥΝΣΗ Δ.Ε. Γ΄ ΑΘΗΝΑΣ"/>
    <x v="4"/>
  </r>
  <r>
    <x v="2233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12-16T00:00:00"/>
    <x v="0"/>
    <s v="ΔΙΕΥΘΥΝΣΗ Δ.Ε. Β΄ ΑΘΗΝΑΣ"/>
    <x v="4"/>
  </r>
  <r>
    <x v="2234"/>
    <x v="1"/>
    <s v="ΠΕ02"/>
    <s v="ΦΙΛΟΛΟΓΟΙ"/>
    <m/>
    <m/>
    <s v="Γ΄"/>
    <n v="7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0"/>
    <d v="2018-09-12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9-28T00:00:00"/>
    <x v="0"/>
    <s v="ΔΙΕΥΘΥΝΣΗ Δ.Ε. Δ΄ ΑΘΗΝΑΣ"/>
    <x v="4"/>
  </r>
  <r>
    <x v="2235"/>
    <x v="1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8-09-28T00:00:00"/>
    <x v="0"/>
    <s v="ΔΙΕΥΘΥΝΣΗ Δ.Ε. ΑΙΤΩΛΟΑΚΑΡΝΑΝΙΑΣ"/>
    <x v="4"/>
  </r>
  <r>
    <x v="2236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7-03T00:00:00"/>
    <x v="0"/>
    <s v="ΔΙΕΥΘΥΝΣΗ Δ.Ε. Β΄ ΑΘΗΝΑΣ"/>
    <x v="4"/>
  </r>
  <r>
    <x v="2237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6-10T00:00:00"/>
    <x v="0"/>
    <s v="ΔΙΕΥΘΥΝΣΗ Δ.Ε. Δ΄ ΑΘΗΝΑΣ"/>
    <x v="4"/>
  </r>
  <r>
    <x v="2238"/>
    <x v="1"/>
    <s v="ΠΕ02"/>
    <s v="ΦΙΛΟΛΟΓΟΙ"/>
    <m/>
    <m/>
    <s v="Γ΄"/>
    <n v="1"/>
    <s v="23/11-05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5-11T00:00:00"/>
    <x v="0"/>
    <s v="ΔΙΕΥΘΥΝΣΗ Δ.Ε. Δ΄ ΑΘΗΝΑΣ"/>
    <x v="4"/>
  </r>
  <r>
    <x v="2239"/>
    <x v="1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3-13T00:00:00"/>
    <x v="0"/>
    <s v="ΔΙΕΥΘΥΝΣΗ Δ.Ε. Β΄ ΑΘΗΝΑΣ"/>
    <x v="4"/>
  </r>
  <r>
    <x v="2240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2-15T00:00:00"/>
    <x v="0"/>
    <s v="ΔΙΕΥΘΥΝΣΗ Δ.Ε. ΑΝΑΤ. ΘΕΣ/ΝΙΚΗΣ"/>
    <x v="4"/>
  </r>
  <r>
    <x v="2241"/>
    <x v="1"/>
    <s v="ΠΕ04.04"/>
    <s v="ΒΙ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2-05T00:00:00"/>
    <x v="0"/>
    <s v="ΔΙΕΥΘΥΝΣΗ Δ.Ε. Δ΄ ΑΘΗΝΑΣ"/>
    <x v="4"/>
  </r>
  <r>
    <x v="2242"/>
    <x v="1"/>
    <s v="ΠΕ06"/>
    <s v="ΑΓΓΛΙΚΗΣ ΦΙΛΟΛΟΓΙΑΣ"/>
    <m/>
    <m/>
    <s v="Γ΄"/>
    <n v="1"/>
    <s v="ΒΛ1Γ9-41Ε"/>
    <d v="2013-11-21T00:00:00"/>
    <s v="Δ΄ ΑΘΗΝΑΣ (Π.Ε.) 2018"/>
    <s v="ΔΙΕΥΘΥΝΣΗ Π.Ε. Δ΄ ΑΘΗΝΑΣ"/>
    <s v="ΠΕΡΙΦΕΡΕΙΑΚΗ Δ/ΝΣΗ Α/ΘΜΙΑΣ ΚΑΙ Β/ΘΜΙΑΣ ΕΚΠ/ΣΗΣ ΑΤΤΙΚΗΣ"/>
    <n v="20"/>
    <d v="2013-11-2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1-01T00:00:00"/>
    <x v="1"/>
    <s v="ΔΙΕΥΘΥΝΣΗ Π.Ε. Δ΄ ΑΘΗΝΑΣ"/>
    <x v="4"/>
  </r>
  <r>
    <x v="2243"/>
    <x v="1"/>
    <s v="ΠΕ86"/>
    <s v="ΠΛΗΡΟΦΟΡΙΚ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1-01T00:00:00"/>
    <x v="0"/>
    <s v="ΔΙΕΥΘΥΝΣΗ Δ.Ε. ΑΝΑΤ. ΘΕΣ/ΝΙΚΗΣ"/>
    <x v="4"/>
  </r>
  <r>
    <x v="224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0-30T00:00:00"/>
    <x v="0"/>
    <s v="ΔΙΕΥΘΥΝΣΗ Δ.Ε. Β΄ ΑΘΗΝΑΣ"/>
    <x v="4"/>
  </r>
  <r>
    <x v="224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7-09-05T00:00:00"/>
    <x v="0"/>
    <s v="ΔΙΕΥΘΥΝΣΗ Δ.Ε. Β΄ ΑΘΗΝΑΣ"/>
    <x v="4"/>
  </r>
  <r>
    <x v="224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8-22T00:00:00"/>
    <x v="0"/>
    <s v="ΔΙΕΥΘΥΝΣΗ Δ.Ε. Β΄ ΑΘΗΝΑΣ"/>
    <x v="4"/>
  </r>
  <r>
    <x v="2247"/>
    <x v="0"/>
    <s v="ΠΕ02"/>
    <s v="ΦΙΛΟΛΟΓΟΙ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7-26T00:00:00"/>
    <x v="0"/>
    <s v="ΔΙΕΥΘΥΝΣΗ Δ.Ε. Δ΄ ΑΘΗΝΑΣ"/>
    <x v="4"/>
  </r>
  <r>
    <x v="2248"/>
    <x v="1"/>
    <s v="ΠΕ86"/>
    <s v="ΠΛΗΡΟΦΟΡΙΚΗΣ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7-23T00:00:00"/>
    <x v="0"/>
    <s v="ΔΙΕΥΘΥΝΣΗ Δ.Ε. ΑΝΑΤ. ΘΕΣ/ΝΙΚΗΣ"/>
    <x v="4"/>
  </r>
  <r>
    <x v="2249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7-21T00:00:00"/>
    <x v="0"/>
    <s v="ΔΙΕΥΘΥΝΣΗ Δ.Ε. Β΄ ΑΘΗΝΑΣ"/>
    <x v="4"/>
  </r>
  <r>
    <x v="2250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7-07-08T00:00:00"/>
    <x v="1"/>
    <s v="ΔΙΕΥΘΥΝΣΗ Π.Ε. Α΄ ΑΘΗΝΑΣ"/>
    <x v="4"/>
  </r>
  <r>
    <x v="2251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6-21T00:00:00"/>
    <x v="0"/>
    <s v="ΔΙΕΥΘΥΝΣΗ Δ.Ε. ΑΝΑΤΟΛΙΚΗΣ ΑΤΤΙΚΗΣ"/>
    <x v="4"/>
  </r>
  <r>
    <x v="2252"/>
    <x v="1"/>
    <s v="ΠΕ78"/>
    <s v="ΚΟΙΝΩΝΙΚΩΝ ΕΠΙΣΤΗΜΩΝ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5-25T00:00:00"/>
    <x v="0"/>
    <s v="ΔΙΕΥΘΥΝΣΗ Δ.Ε. ΑΝΑΤΟΛΙΚΗΣ ΑΤΤΙΚΗΣ"/>
    <x v="4"/>
  </r>
  <r>
    <x v="2253"/>
    <x v="1"/>
    <s v="ΠΕ02"/>
    <s v="ΦΙΛΟΛΟΓΟΙ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4-26T00:00:00"/>
    <x v="0"/>
    <s v="ΔΙΕΥΘΥΝΣΗ Δ.Ε. ΑΝΑΤ. ΘΕΣ/ΝΙΚΗΣ"/>
    <x v="4"/>
  </r>
  <r>
    <x v="2254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7-04-05T00:00:00"/>
    <x v="0"/>
    <s v="ΔΙΕΥΘΥΝΣΗ Δ.Ε. ΑΝΑΤΟΛΙΚΗΣ ΑΤΤΙΚΗΣ"/>
    <x v="4"/>
  </r>
  <r>
    <x v="2255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2-13T00:00:00"/>
    <x v="0"/>
    <s v="ΔΙΕΥΘΥΝΣΗ Δ.Ε. ΑΝΑΤ. ΘΕΣ/ΝΙΚΗΣ"/>
    <x v="4"/>
  </r>
  <r>
    <x v="2256"/>
    <x v="0"/>
    <s v="ΠΕ04.04"/>
    <s v="ΒΙΟΛΟΓΟΙ"/>
    <m/>
    <m/>
    <s v="Α΄"/>
    <n v="1"/>
    <s v="ΒΛΓΠ9-ΝΚ3"/>
    <d v="2013-12-06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3-12-06T00:00:00"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ΑΝΑΤΟΛΙΚΗΣ ΑΤΤΙΚΗΣ"/>
    <x v="4"/>
  </r>
  <r>
    <x v="2257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Β΄ ΑΘΗΝΑΣ"/>
    <x v="4"/>
  </r>
  <r>
    <x v="2258"/>
    <x v="1"/>
    <s v="ΠΕ06"/>
    <s v="ΑΓΓΛΙΚΗΣ ΦΙΛΟΛΟΓΙΑΣ"/>
    <m/>
    <m/>
    <s v="Α΄"/>
    <n v="7"/>
    <m/>
    <m/>
    <s v="Δ΄ ΑΘΗΝΑΣ (Π.Ε.) 2018"/>
    <s v="ΔΙΕΥΘΥΝΣΗ Π.Ε. Δ΄ ΑΘΗΝΑΣ"/>
    <s v="ΠΕΡΙΦΕΡΕΙΑΚΗ Δ/ΝΣΗ Α/ΘΜΙΑΣ ΚΑΙ Β/ΘΜΙΑΣ ΕΚΠ/ΣΗΣ ΑΤΤΙΚΗΣ"/>
    <n v="20"/>
    <m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1-01T00:00:00"/>
    <x v="1"/>
    <s v="ΔΙΕΥΘΥΝΣΗ Π.Ε. Δ΄ ΑΘΗΝΑΣ"/>
    <x v="4"/>
  </r>
  <r>
    <x v="2259"/>
    <x v="0"/>
    <s v="ΠΕ11"/>
    <s v="ΦΥΣΙΚΗΣ ΑΓΩΓΗΣ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0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7-01-01T00:00:00"/>
    <x v="0"/>
    <s v="ΔΙΕΥΘΥΝΣΗ Δ.Ε. ΜΕΣΣΗΝΙΑΣ"/>
    <x v="4"/>
  </r>
  <r>
    <x v="2260"/>
    <x v="1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6-12-27T00:00:00"/>
    <x v="0"/>
    <s v="ΔΙΕΥΘΥΝΣΗ Δ.Ε. Α΄ ΑΘΗΝΑΣ"/>
    <x v="4"/>
  </r>
  <r>
    <x v="2261"/>
    <x v="0"/>
    <s v="ΠΕ01"/>
    <s v="ΘΕ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12-26T00:00:00"/>
    <x v="0"/>
    <s v="ΔΙΕΥΘΥΝΣΗ Δ.Ε. ΑΝΑΤΟΛΙΚΗΣ ΑΤΤΙΚΗΣ"/>
    <x v="4"/>
  </r>
  <r>
    <x v="2262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12-23T00:00:00"/>
    <x v="0"/>
    <s v="ΔΙΕΥΘΥΝΣΗ Δ.Ε. ΠΕΙΡΑΙΑ"/>
    <x v="4"/>
  </r>
  <r>
    <x v="2263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12-10T00:00:00"/>
    <x v="0"/>
    <s v="ΔΙΕΥΘΥΝΣΗ Δ.Ε. ΑΝΑΤΟΛΙΚΗΣ ΑΤΤΙΚΗΣ"/>
    <x v="4"/>
  </r>
  <r>
    <x v="2264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6-12-08T00:00:00"/>
    <x v="0"/>
    <s v="ΔΙΕΥΘΥΝΣΗ Δ.Ε. ΛΑΡΙΣΑΣ"/>
    <x v="4"/>
  </r>
  <r>
    <x v="226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10-24T00:00:00"/>
    <x v="0"/>
    <s v="ΔΙΕΥΘΥΝΣΗ Δ.Ε. Β΄ ΑΘΗΝΑΣ"/>
    <x v="4"/>
  </r>
  <r>
    <x v="2266"/>
    <x v="1"/>
    <s v="ΠΕ05"/>
    <s v="ΓΑΛΛΙΚΗΣ ΦΙΛΟΛΟΓΙΑΣ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9-18T00:00:00"/>
    <x v="0"/>
    <s v="ΔΙΕΥΘΥΝΣΗ Δ.Ε. ΑΝΑΤ. ΘΕΣ/ΝΙΚΗΣ"/>
    <x v="4"/>
  </r>
  <r>
    <x v="2267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9-01T00:00:00"/>
    <x v="0"/>
    <s v="ΔΙΕΥΘΥΝΣΗ Δ.Ε. Β΄ ΑΘΗΝΑΣ"/>
    <x v="4"/>
  </r>
  <r>
    <x v="2268"/>
    <x v="1"/>
    <s v="ΠΕ02"/>
    <s v="ΦΙΛ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6-08-18T00:00:00"/>
    <x v="0"/>
    <s v="ΔΙΕΥΘΥΝΣΗ Δ.Ε. ΔΩΔΕΚΑΝΗΣΟΥ"/>
    <x v="4"/>
  </r>
  <r>
    <x v="2269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8-09T00:00:00"/>
    <x v="0"/>
    <s v="ΔΙΕΥΘΥΝΣΗ Δ.Ε. ΑΝΑΤΟΛΙΚΗΣ ΑΤΤΙΚΗΣ"/>
    <x v="4"/>
  </r>
  <r>
    <x v="2270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6-07-26T00:00:00"/>
    <x v="0"/>
    <s v="ΔΙΕΥΘΥΝΣΗ Δ.Ε. Δ΄ ΑΘΗΝΑΣ"/>
    <x v="4"/>
  </r>
  <r>
    <x v="2271"/>
    <x v="1"/>
    <s v="ΠΕ02"/>
    <s v="ΦΙΛΟΛΟΓΟΙ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7-03T00:00:00"/>
    <x v="0"/>
    <s v="ΔΙΕΥΘΥΝΣΗ Δ.Ε. ΑΝΑΤ. ΘΕΣ/ΝΙΚΗΣ"/>
    <x v="4"/>
  </r>
  <r>
    <x v="2272"/>
    <x v="0"/>
    <s v="ΠΕ88.04"/>
    <s v="ΔΙΑΤΡΟΦ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5-27T00:00:00"/>
    <x v="0"/>
    <s v="ΔΙΕΥΘΥΝΣΗ Δ.Ε. ΑΝΑΤ. ΘΕΣ/ΝΙΚΗΣ"/>
    <x v="4"/>
  </r>
  <r>
    <x v="2273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6-05-05T00:00:00"/>
    <x v="0"/>
    <s v="ΔΙΕΥΘΥΝΣΗ Δ.Ε. ΑΝΑΤΟΛΙΚΗΣ ΑΤΤΙΚΗΣ"/>
    <x v="4"/>
  </r>
  <r>
    <x v="2274"/>
    <x v="1"/>
    <s v="ΠΕ79.01"/>
    <s v="ΜΟΥΣΙΚΗΣ ΕΠΙΣΤΗΜΗΣ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6-04-01T00:00:00"/>
    <x v="0"/>
    <s v="ΔΙΕΥΘΥΝΣΗ Δ.Ε. Α΄ ΑΘΗΝΑΣ"/>
    <x v="4"/>
  </r>
  <r>
    <x v="2275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6-02-19T00:00:00"/>
    <x v="0"/>
    <s v="ΔΙΕΥΘΥΝΣΗ Δ.Ε. ΛΑΡΙΣΑΣ"/>
    <x v="4"/>
  </r>
  <r>
    <x v="2276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6-02-14T00:00:00"/>
    <x v="0"/>
    <s v="ΔΙΕΥΘΥΝΣΗ Δ.Ε. Α΄ ΑΘΗΝΑΣ"/>
    <x v="4"/>
  </r>
  <r>
    <x v="2277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6-02-01T00:00:00"/>
    <x v="0"/>
    <s v="ΔΙΕΥΘΥΝΣΗ Δ.Ε. ΑΝΑΤΟΛΙΚΗΣ ΑΤΤΙΚΗΣ"/>
    <x v="4"/>
  </r>
  <r>
    <x v="2278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1-04T00:00:00"/>
    <x v="0"/>
    <s v="ΔΙΕΥΘΥΝΣΗ Δ.Ε. ΑΝΑΤΟΛΙΚΗΣ ΑΤΤΙΚΗΣ"/>
    <x v="4"/>
  </r>
  <r>
    <x v="2279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6-01-01T00:00:00"/>
    <x v="0"/>
    <s v="ΔΙΕΥΘΥΝΣΗ Δ.Ε. Γ΄ ΑΘΗΝΑΣ"/>
    <x v="4"/>
  </r>
  <r>
    <x v="2280"/>
    <x v="1"/>
    <s v="ΠΕ06"/>
    <s v="ΑΓΓ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0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1-01T00:00:00"/>
    <x v="1"/>
    <s v="ΔΙΕΥΘΥΝΣΗ Π.Ε. Δ΄ ΑΘΗΝΑΣ"/>
    <x v="4"/>
  </r>
  <r>
    <x v="2281"/>
    <x v="1"/>
    <s v="ΠΕ02"/>
    <s v="ΦΙΛΟΛΟΓΟΙ"/>
    <m/>
    <m/>
    <s v="Γ΄"/>
    <n v="1"/>
    <s v="Φ. 17.2_ A/14075/1/8-11-2018"/>
    <d v="2018-09-01T00:00:00"/>
    <s v="ΑΧΑΪΑΣ (Δ.Ε.) 2018"/>
    <s v="ΔΙΕΥΘΥΝΣΗ Δ.Ε. ΑΧΑΪΑΣ"/>
    <s v="ΠΕΡΙΦΕΡΕΙΑΚΗ Δ/ΝΣΗ Α/ΘΜΙΑΣ ΚΑΙ Β/ΘΜΙΑΣ ΕΚΠ/ΣΗΣ ΔΥΤΙΚΗΣ ΕΛΛΑΔΑΣ"/>
    <n v="20"/>
    <d v="2018-09-01T00:00:00"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6-01-01T00:00:00"/>
    <x v="0"/>
    <s v="ΔΙΕΥΘΥΝΣΗ Δ.Ε. ΑΧΑΪΑΣ"/>
    <x v="4"/>
  </r>
  <r>
    <x v="2282"/>
    <x v="1"/>
    <s v="ΠΕ03"/>
    <s v="ΜΑΘΗΜΑΤΙΚΟΙ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12-18T00:00:00"/>
    <x v="0"/>
    <s v="ΔΙΕΥΘΥΝΣΗ Δ.Ε. ΑΝΑΤ. ΘΕΣ/ΝΙΚΗΣ"/>
    <x v="4"/>
  </r>
  <r>
    <x v="2283"/>
    <x v="0"/>
    <s v="ΠΕ03"/>
    <s v="ΜΑΘΗΜΑΤΙΚ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5-12-06T00:00:00"/>
    <x v="0"/>
    <s v="ΔΙΕΥΘΥΝΣΗ Δ.Ε. ΛΑΡΙΣΑΣ"/>
    <x v="4"/>
  </r>
  <r>
    <x v="2284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10-01T00:00:00"/>
    <x v="1"/>
    <s v="ΔΙΕΥΘΥΝΣΗ Π.Ε. ΑΝΑΤ. ΘΕΣ/ΝΙΚΗΣ"/>
    <x v="4"/>
  </r>
  <r>
    <x v="2285"/>
    <x v="0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9-23T00:00:00"/>
    <x v="0"/>
    <s v="ΔΙΕΥΘΥΝΣΗ Δ.Ε. Γ΄ ΑΘΗΝΑΣ"/>
    <x v="4"/>
  </r>
  <r>
    <x v="2286"/>
    <x v="1"/>
    <s v="ΠΕ06"/>
    <s v="ΑΓΓ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09-22T00:00:00"/>
    <x v="1"/>
    <s v="ΔΙΕΥΘΥΝΣΗ Π.Ε. Α΄ ΑΘΗΝΑΣ"/>
    <x v="4"/>
  </r>
  <r>
    <x v="2287"/>
    <x v="1"/>
    <s v="ΠΕ05"/>
    <s v="ΓΑΛ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08-23T00:00:00"/>
    <x v="1"/>
    <s v="ΔΙΕΥΘΥΝΣΗ Π.Ε. Α΄ ΑΘΗΝΑΣ"/>
    <x v="4"/>
  </r>
  <r>
    <x v="2288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8-20T00:00:00"/>
    <x v="0"/>
    <s v="ΔΙΕΥΘΥΝΣΗ Δ.Ε. Γ΄ ΑΘΗΝΑΣ"/>
    <x v="4"/>
  </r>
  <r>
    <x v="2289"/>
    <x v="1"/>
    <s v="ΠΕ80"/>
    <s v="ΟΙΚΟΝΟΜΙΑ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5-08-04T00:00:00"/>
    <x v="0"/>
    <s v="ΔΙΕΥΘΥΝΣΗ Δ.Ε. ΑΝΑΤΟΛΙΚΗΣ ΑΤΤΙΚΗΣ"/>
    <x v="4"/>
  </r>
  <r>
    <x v="229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7-25T00:00:00"/>
    <x v="0"/>
    <s v="ΔΙΕΥΘΥΝΣΗ Δ.Ε. Β΄ ΑΘΗΝΑΣ"/>
    <x v="4"/>
  </r>
  <r>
    <x v="2291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5-07-09T00:00:00"/>
    <x v="0"/>
    <s v="ΔΙΕΥΘΥΝΣΗ Δ.Ε. ΑΝΑΤΟΛΙΚΗΣ ΑΤΤΙΚΗΣ"/>
    <x v="4"/>
  </r>
  <r>
    <x v="2292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5-06-19T00:00:00"/>
    <x v="0"/>
    <s v="ΔΙΕΥΘΥΝΣΗ Δ.Ε. Β΄ ΑΘΗΝΑΣ"/>
    <x v="4"/>
  </r>
  <r>
    <x v="2293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6-11T00:00:00"/>
    <x v="0"/>
    <s v="ΔΙΕΥΘΥΝΣΗ Δ.Ε. Β΄ ΑΘΗΝΑΣ"/>
    <x v="4"/>
  </r>
  <r>
    <x v="2294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6-03T00:00:00"/>
    <x v="0"/>
    <s v="ΔΙΕΥΘΥΝΣΗ Δ.Ε. Β΄ ΑΘΗΝΑΣ"/>
    <x v="4"/>
  </r>
  <r>
    <x v="2295"/>
    <x v="0"/>
    <s v="ΠΕ11"/>
    <s v="ΦΥΣΙΚΗΣ ΑΓΩΓ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5-28T00:00:00"/>
    <x v="0"/>
    <s v="ΔΙΕΥΘΥΝΣΗ Δ.Ε. Γ΄ ΑΘΗΝΑΣ"/>
    <x v="4"/>
  </r>
  <r>
    <x v="2296"/>
    <x v="1"/>
    <s v="ΠΕ04.01"/>
    <s v="ΦΥΣΙΚ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5-05-11T00:00:00"/>
    <x v="0"/>
    <s v="ΔΙΕΥΘΥΝΣΗ Δ.Ε. ΔΥΤ. ΘΕΣ/ΝΙΚΗΣ"/>
    <x v="4"/>
  </r>
  <r>
    <x v="2297"/>
    <x v="0"/>
    <s v="ΠΕ06"/>
    <s v="ΑΓΓ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5-03-12T00:00:00"/>
    <x v="0"/>
    <s v="ΔΙΕΥΘΥΝΣΗ Δ.Ε. Α΄ ΑΘΗΝΑΣ"/>
    <x v="4"/>
  </r>
  <r>
    <x v="229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5-03-09T00:00:00"/>
    <x v="0"/>
    <s v="ΔΙΕΥΘΥΝΣΗ Δ.Ε. Β΄ ΑΘΗΝΑΣ"/>
    <x v="4"/>
  </r>
  <r>
    <x v="2299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2-24T00:00:00"/>
    <x v="0"/>
    <s v="ΔΙΕΥΘΥΝΣΗ Δ.Ε. ΑΝΑΤΟΛΙΚΗΣ ΑΤΤΙΚΗΣ"/>
    <x v="4"/>
  </r>
  <r>
    <x v="230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5-02-08T00:00:00"/>
    <x v="0"/>
    <s v="ΔΙΕΥΘΥΝΣΗ Δ.Ε. Β΄ ΑΘΗΝΑΣ"/>
    <x v="4"/>
  </r>
  <r>
    <x v="2301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2-03T00:00:00"/>
    <x v="0"/>
    <s v="ΔΙΕΥΘΥΝΣΗ Δ.Ε. Β΄ ΑΘΗΝΑΣ"/>
    <x v="4"/>
  </r>
  <r>
    <x v="230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1-05T00:00:00"/>
    <x v="0"/>
    <s v="ΔΙΕΥΘΥΝΣΗ Δ.Ε. Β΄ ΑΘΗΝΑΣ"/>
    <x v="4"/>
  </r>
  <r>
    <x v="2303"/>
    <x v="1"/>
    <s v="ΠΕ08"/>
    <s v="ΚΑΛΛΙΤΕΧΝΙΚΩΝ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5-01-01T00:00:00"/>
    <x v="0"/>
    <s v="ΔΙΕΥΘΥΝΣΗ Δ.Ε. Α΄ ΑΘΗΝΑΣ"/>
    <x v="4"/>
  </r>
  <r>
    <x v="2304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01-01T00:00:00"/>
    <x v="0"/>
    <s v="ΔΙΕΥΘΥΝΣΗ Δ.Ε. ΑΝΑΤ. ΘΕΣ/ΝΙΚΗΣ"/>
    <x v="4"/>
  </r>
  <r>
    <x v="2305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2-23T00:00:00"/>
    <x v="0"/>
    <s v="ΔΙΕΥΘΥΝΣΗ Δ.Ε. Β΄ ΑΘΗΝΑΣ"/>
    <x v="4"/>
  </r>
  <r>
    <x v="230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2-05T00:00:00"/>
    <x v="0"/>
    <s v="ΔΙΕΥΘΥΝΣΗ Δ.Ε. Β΄ ΑΘΗΝΑΣ"/>
    <x v="4"/>
  </r>
  <r>
    <x v="2307"/>
    <x v="1"/>
    <s v="ΠΕ02"/>
    <s v="ΦΙΛΟΛΟΓΟΙ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4-11-08T00:00:00"/>
    <x v="0"/>
    <s v="ΔΙΕΥΘΥΝΣΗ Δ.Ε. ΛΑΡΙΣΑΣ"/>
    <x v="4"/>
  </r>
  <r>
    <x v="2308"/>
    <x v="1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74-11-07T00:00:00"/>
    <x v="0"/>
    <s v="ΔΙΕΥΘΥΝΣΗ Δ.Ε. ΑΧΑΪΑΣ"/>
    <x v="4"/>
  </r>
  <r>
    <x v="2309"/>
    <x v="1"/>
    <s v="ΠΕ02"/>
    <s v="ΦΙΛΟΛΟΓΟΙ"/>
    <m/>
    <m/>
    <s v="Α΄"/>
    <n v="5"/>
    <m/>
    <m/>
    <s v="Α΄ ΑΘΗΝΑΣ (Δ.Ε.) 2018"/>
    <s v="ΔΙΕΥΘΥΝΣΗ Δ.Ε. Α΄ ΑΘΗΝΑΣ"/>
    <s v="ΠΕΡΙΦΕΡΕΙΑΚΗ Δ/ΝΣΗ Α/ΘΜΙΑΣ ΚΑΙ Β/ΘΜΙΑΣ ΕΚΠ/ΣΗΣ ΑΤΤΙΚΗΣ"/>
    <n v="20"/>
    <d v="2005-02-01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4-10-31T00:00:00"/>
    <x v="0"/>
    <s v="ΔΙΕΥΘΥΝΣΗ Δ.Ε. Α΄ ΑΘΗΝΑΣ"/>
    <x v="4"/>
  </r>
  <r>
    <x v="2310"/>
    <x v="0"/>
    <s v="ΠΕ86"/>
    <s v="ΠΛΗΡΟΦΟΡΙΚ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4-10-13T00:00:00"/>
    <x v="0"/>
    <s v="ΔΙΕΥΘΥΝΣΗ Δ.Ε. Α΄ ΑΘΗΝΑΣ"/>
    <x v="4"/>
  </r>
  <r>
    <x v="231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0-05T00:00:00"/>
    <x v="0"/>
    <s v="ΔΙΕΥΘΥΝΣΗ Δ.Ε. Β΄ ΑΘΗΝΑΣ"/>
    <x v="4"/>
  </r>
  <r>
    <x v="2312"/>
    <x v="0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8-30T00:00:00"/>
    <x v="0"/>
    <s v="ΔΙΕΥΘΥΝΣΗ Δ.Ε. ΠΕΙΡΑΙΑ"/>
    <x v="4"/>
  </r>
  <r>
    <x v="2313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8-10T00:00:00"/>
    <x v="0"/>
    <s v="ΔΙΕΥΘΥΝΣΗ Δ.Ε. ΑΝΑΤΟΛΙΚΗΣ ΑΤΤΙΚΗΣ"/>
    <x v="4"/>
  </r>
  <r>
    <x v="231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7-21T00:00:00"/>
    <x v="0"/>
    <s v="ΔΙΕΥΘΥΝΣΗ Δ.Ε. Β΄ ΑΘΗΝΑΣ"/>
    <x v="4"/>
  </r>
  <r>
    <x v="2315"/>
    <x v="1"/>
    <s v="ΠΕ08"/>
    <s v="ΚΑΛΛΙΤΕΧΝΙΚΩΝ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4-07-06T00:00:00"/>
    <x v="1"/>
    <s v="ΔΙΕΥΘΥΝΣΗ Π.Ε. Α΄ ΑΘΗΝΑΣ"/>
    <x v="4"/>
  </r>
  <r>
    <x v="2316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6-10T00:00:00"/>
    <x v="0"/>
    <s v="ΔΙΕΥΘΥΝΣΗ Δ.Ε. Β΄ ΑΘΗΝΑΣ"/>
    <x v="4"/>
  </r>
  <r>
    <x v="2317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05-23T00:00:00"/>
    <x v="0"/>
    <s v="ΔΙΕΥΘΥΝΣΗ Δ.Ε. Δ΄ ΑΘΗΝΑΣ"/>
    <x v="4"/>
  </r>
  <r>
    <x v="2318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04-24T00:00:00"/>
    <x v="0"/>
    <s v="ΔΙΕΥΘΥΝΣΗ Δ.Ε. Δ΄ ΑΘΗΝΑΣ"/>
    <x v="4"/>
  </r>
  <r>
    <x v="2319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4-04-02T00:00:00"/>
    <x v="0"/>
    <s v="ΔΙΕΥΘΥΝΣΗ Δ.Ε. Β΄ ΑΘΗΝΑΣ"/>
    <x v="4"/>
  </r>
  <r>
    <x v="2320"/>
    <x v="1"/>
    <s v="ΠΕ02"/>
    <s v="ΦΙΛΟΛΟΓΟΙ"/>
    <m/>
    <m/>
    <s v="Α΄"/>
    <n v="1"/>
    <s v="6833α/17-09-2010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4-03-20T00:00:00"/>
    <x v="0"/>
    <s v="ΔΙΕΥΘΥΝΣΗ Δ.Ε. ΔΥΤ. ΘΕΣ/ΝΙΚΗΣ"/>
    <x v="4"/>
  </r>
  <r>
    <x v="2321"/>
    <x v="1"/>
    <s v="ΠΕ78"/>
    <s v="ΚΟΙΝΩΝΙΚΩΝ ΕΠΙΣΤΗΜ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03-18T00:00:00"/>
    <x v="0"/>
    <s v="ΔΙΕΥΘΥΝΣΗ Δ.Ε. Δ΄ ΑΘΗΝΑΣ"/>
    <x v="4"/>
  </r>
  <r>
    <x v="2322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4-03-07T00:00:00"/>
    <x v="0"/>
    <s v="ΔΙΕΥΘΥΝΣΗ Δ.Ε. Β΄ ΑΘΗΝΑΣ"/>
    <x v="4"/>
  </r>
  <r>
    <x v="2323"/>
    <x v="1"/>
    <s v="ΠΕ02"/>
    <s v="ΦΙΛΟΛΟΓ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74-02-12T00:00:00"/>
    <x v="0"/>
    <s v="ΔΙΕΥΘΥΝΣΗ Δ.Ε. ΤΡΙΚΑΛΩΝ"/>
    <x v="4"/>
  </r>
  <r>
    <x v="2324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2-07T00:00:00"/>
    <x v="0"/>
    <s v="ΔΙΕΥΘΥΝΣΗ Δ.Ε. Β΄ ΑΘΗΝΑΣ"/>
    <x v="4"/>
  </r>
  <r>
    <x v="2325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4-02-04T00:00:00"/>
    <x v="0"/>
    <s v="ΔΙΕΥΘΥΝΣΗ Δ.Ε. ΑΝΑΤΟΛΙΚΗΣ ΑΤΤΙΚΗΣ"/>
    <x v="4"/>
  </r>
  <r>
    <x v="2326"/>
    <x v="0"/>
    <s v="ΠΕ80"/>
    <s v="ΟΙΚΟΝΟΜ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1-25T00:00:00"/>
    <x v="0"/>
    <s v="ΔΙΕΥΘΥΝΣΗ Δ.Ε. Β΄ ΑΘΗΝΑΣ"/>
    <x v="4"/>
  </r>
  <r>
    <x v="2327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1-16T00:00:00"/>
    <x v="0"/>
    <s v="ΔΙΕΥΘΥΝΣΗ Δ.Ε. ΑΝΑΤ. ΘΕΣ/ΝΙΚΗΣ"/>
    <x v="4"/>
  </r>
  <r>
    <x v="2328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1-04T00:00:00"/>
    <x v="0"/>
    <s v="ΔΙΕΥΘΥΝΣΗ Δ.Ε. Β΄ ΑΘΗΝΑΣ"/>
    <x v="4"/>
  </r>
  <r>
    <x v="2329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1-01T00:00:00"/>
    <x v="0"/>
    <s v="ΔΙΕΥΘΥΝΣΗ Δ.Ε. ΑΝΑΤ. ΘΕΣ/ΝΙΚΗΣ"/>
    <x v="4"/>
  </r>
  <r>
    <x v="2330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11-18T00:00:00"/>
    <x v="0"/>
    <s v="ΔΙΕΥΘΥΝΣΗ Δ.Ε. ΑΝΑΤ. ΘΕΣ/ΝΙΚΗΣ"/>
    <x v="4"/>
  </r>
  <r>
    <x v="2331"/>
    <x v="1"/>
    <s v="ΠΕ86"/>
    <s v="ΠΛΗΡΟΦΟΡΙΚΗΣ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3-11-14T00:00:00"/>
    <x v="0"/>
    <s v="ΔΙΕΥΘΥΝΣΗ Δ.Ε. ΑΝΑΤ. ΘΕΣ/ΝΙΚΗΣ"/>
    <x v="4"/>
  </r>
  <r>
    <x v="2332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11-04T00:00:00"/>
    <x v="0"/>
    <s v="ΔΙΕΥΘΥΝΣΗ Δ.Ε. Β΄ ΑΘΗΝΑΣ"/>
    <x v="4"/>
  </r>
  <r>
    <x v="2333"/>
    <x v="1"/>
    <s v="ΠΕ02"/>
    <s v="ΦΙΛΟΛΟΓ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10-28T00:00:00"/>
    <x v="0"/>
    <s v="ΔΙΕΥΘΥΝΣΗ Δ.Ε. Δ΄ ΑΘΗΝΑΣ"/>
    <x v="4"/>
  </r>
  <r>
    <x v="2334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9-11T00:00:00"/>
    <x v="0"/>
    <s v="ΔΙΕΥΘΥΝΣΗ Δ.Ε. Β΄ ΑΘΗΝΑΣ"/>
    <x v="4"/>
  </r>
  <r>
    <x v="2335"/>
    <x v="0"/>
    <s v="ΠΕ86"/>
    <s v="ΠΛΗΡΟΦΟΡΙΚ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3-09-08T00:00:00"/>
    <x v="0"/>
    <s v="ΔΙΕΥΘΥΝΣΗ Δ.Ε. ΑΝΑΤΟΛΙΚΗΣ ΑΤΤΙΚΗΣ"/>
    <x v="4"/>
  </r>
  <r>
    <x v="2336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3-08-05T00:00:00"/>
    <x v="0"/>
    <s v="ΔΙΕΥΘΥΝΣΗ Δ.Ε. ΛΑΡΙΣΑΣ"/>
    <x v="4"/>
  </r>
  <r>
    <x v="2337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8-03T00:00:00"/>
    <x v="0"/>
    <s v="ΔΙΕΥΘΥΝΣΗ Δ.Ε. Δ΄ ΑΘΗΝΑΣ"/>
    <x v="4"/>
  </r>
  <r>
    <x v="2338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8-02T00:00:00"/>
    <x v="0"/>
    <s v="ΔΙΕΥΘΥΝΣΗ Δ.Ε. Β΄ ΑΘΗΝΑΣ"/>
    <x v="4"/>
  </r>
  <r>
    <x v="2339"/>
    <x v="1"/>
    <s v="ΠΕ02"/>
    <s v="ΦΙΛΟΛΟΓΟΙ"/>
    <m/>
    <m/>
    <s v="Γ΄"/>
    <n v="1"/>
    <s v="4512/1-9-2015"/>
    <d v="2018-09-01T00:00:00"/>
    <s v="ΑΡΓΟΛΙΔΑΣ (Δ.Ε.) 2018"/>
    <s v="ΔΙΕΥΘΥΝΣΗ Δ.Ε. ΑΡΓΟΛΙΔΑΣ"/>
    <s v="ΠΕΡΙΦΕΡΕΙΑΚΗ Δ/ΝΣΗ Α/ΘΜΙΑΣ ΚΑΙ Β/ΘΜΙΑΣ ΕΚΠ/ΣΗΣ ΠΕΛΟΠΟΝΝΗΣΟΥ"/>
    <n v="20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3-07-21T00:00:00"/>
    <x v="0"/>
    <s v="ΔΙΕΥΘΥΝΣΗ Δ.Ε. ΑΡΓΟΛΙΔΑΣ"/>
    <x v="4"/>
  </r>
  <r>
    <x v="2340"/>
    <x v="0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7-17T00:00:00"/>
    <x v="0"/>
    <s v="ΔΙΕΥΘΥΝΣΗ Δ.Ε. Α΄ ΑΘΗΝΑΣ"/>
    <x v="4"/>
  </r>
  <r>
    <x v="2341"/>
    <x v="1"/>
    <s v="ΠΕ02"/>
    <s v="ΦΙΛΟΛΟΓΟΙ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3-06-29T00:00:00"/>
    <x v="0"/>
    <s v="ΔΙΕΥΘΥΝΣΗ Δ.Ε. ΛΑΡΙΣΑΣ"/>
    <x v="4"/>
  </r>
  <r>
    <x v="234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6-09T00:00:00"/>
    <x v="0"/>
    <s v="ΔΙΕΥΘΥΝΣΗ Δ.Ε. Β΄ ΑΘΗΝΑΣ"/>
    <x v="4"/>
  </r>
  <r>
    <x v="2343"/>
    <x v="0"/>
    <s v="ΠΕ80"/>
    <s v="ΟΙΚΟΝΟΜ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06-06T00:00:00"/>
    <x v="0"/>
    <s v="ΔΙΕΥΘΥΝΣΗ Δ.Ε. Γ΄ ΑΘΗΝΑΣ"/>
    <x v="4"/>
  </r>
  <r>
    <x v="234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6-04T00:00:00"/>
    <x v="0"/>
    <s v="ΔΙΕΥΘΥΝΣΗ Δ.Ε. Β΄ ΑΘΗΝΑΣ"/>
    <x v="4"/>
  </r>
  <r>
    <x v="2345"/>
    <x v="1"/>
    <s v="ΠΕ06"/>
    <s v="ΑΓΓΛΙΚΗΣ ΦΙΛΟΛΟΓΙΑΣ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6-01T00:00:00"/>
    <x v="0"/>
    <s v="ΔΙΕΥΘΥΝΣΗ Δ.Ε. ΑΝΑΤ. ΘΕΣ/ΝΙΚΗΣ"/>
    <x v="4"/>
  </r>
  <r>
    <x v="2346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5-01T00:00:00"/>
    <x v="0"/>
    <s v="ΔΙΕΥΘΥΝΣΗ Δ.Ε. Β΄ ΑΘΗΝΑΣ"/>
    <x v="4"/>
  </r>
  <r>
    <x v="2347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3-04-26T00:00:00"/>
    <x v="0"/>
    <s v="ΔΙΕΥΘΥΝΣΗ Δ.Ε. Β΄ ΑΘΗΝΑΣ"/>
    <x v="4"/>
  </r>
  <r>
    <x v="2348"/>
    <x v="1"/>
    <s v="ΠΕ86"/>
    <s v="ΠΛΗΡΟΦΟΡΙΚ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4-13T00:00:00"/>
    <x v="0"/>
    <s v="ΔΙΕΥΘΥΝΣΗ Δ.Ε. Α΄ ΑΘΗΝΑΣ"/>
    <x v="4"/>
  </r>
  <r>
    <x v="2349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4-05T00:00:00"/>
    <x v="0"/>
    <s v="ΔΙΕΥΘΥΝΣΗ Δ.Ε. Α΄ ΑΘΗΝΑΣ"/>
    <x v="4"/>
  </r>
  <r>
    <x v="2350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3-25T00:00:00"/>
    <x v="0"/>
    <s v="ΔΙΕΥΘΥΝΣΗ Δ.Ε. Β΄ ΑΘΗΝΑΣ"/>
    <x v="4"/>
  </r>
  <r>
    <x v="2351"/>
    <x v="1"/>
    <s v="ΠΕ78"/>
    <s v="ΚΟΙΝΩΝΙΚΩΝ ΕΠΙΣΤΗΜΩΝ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20"/>
    <d v="1996-09-1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3-17T00:00:00"/>
    <x v="0"/>
    <s v="ΔΙΕΥΘΥΝΣΗ Δ.Ε. Α΄ ΑΘΗΝΑΣ"/>
    <x v="4"/>
  </r>
  <r>
    <x v="2352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2-23T00:00:00"/>
    <x v="0"/>
    <s v="ΔΙΕΥΘΥΝΣΗ Δ.Ε. Β΄ ΑΘΗΝΑΣ"/>
    <x v="4"/>
  </r>
  <r>
    <x v="2353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3-02-17T00:00:00"/>
    <x v="0"/>
    <s v="ΔΙΕΥΘΥΝΣΗ Δ.Ε. ΑΝΑΤΟΛΙΚΗΣ ΑΤΤΙΚΗΣ"/>
    <x v="4"/>
  </r>
  <r>
    <x v="235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2-12T00:00:00"/>
    <x v="0"/>
    <s v="ΔΙΕΥΘΥΝΣΗ Δ.Ε. Δ΄ ΑΘΗΝΑΣ"/>
    <x v="4"/>
  </r>
  <r>
    <x v="2355"/>
    <x v="0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2-01T00:00:00"/>
    <x v="0"/>
    <s v="ΔΙΕΥΘΥΝΣΗ Δ.Ε. Β΄ ΑΘΗΝΑΣ"/>
    <x v="4"/>
  </r>
  <r>
    <x v="2356"/>
    <x v="1"/>
    <s v="ΠΕ60"/>
    <s v="ΝΗΠΙΑΓΩΓΟΙ"/>
    <m/>
    <m/>
    <s v="Γ΄"/>
    <n v="1"/>
    <s v="Φ.17.2/304/13919/7.11.13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1-30T00:00:00"/>
    <x v="1"/>
    <s v="ΔΙΕΥΘΥΝΣΗ Π.Ε. Β΄ ΑΘΗΝΑΣ"/>
    <x v="4"/>
  </r>
  <r>
    <x v="2357"/>
    <x v="1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1-21T00:00:00"/>
    <x v="0"/>
    <s v="ΔΙΕΥΘΥΝΣΗ Δ.Ε. ΑΝΑΤ. ΘΕΣ/ΝΙΚΗΣ"/>
    <x v="4"/>
  </r>
  <r>
    <x v="2358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1-08T00:00:00"/>
    <x v="0"/>
    <s v="ΔΙΕΥΘΥΝΣΗ Δ.Ε. Δ΄ ΑΘΗΝΑΣ"/>
    <x v="4"/>
  </r>
  <r>
    <x v="2359"/>
    <x v="0"/>
    <s v="ΠΕ04.04"/>
    <s v="ΒΙ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1-01T00:00:00"/>
    <x v="0"/>
    <s v="ΔΙΕΥΘΥΝΣΗ Δ.Ε. Α΄ ΑΘΗΝΑΣ"/>
    <x v="4"/>
  </r>
  <r>
    <x v="2360"/>
    <x v="0"/>
    <s v="ΠΕ04.01"/>
    <s v="ΦΥΣΙΚ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ΑΝΑΤ. ΘΕΣ/ΝΙΚΗΣ"/>
    <x v="4"/>
  </r>
  <r>
    <x v="2361"/>
    <x v="0"/>
    <s v="ΠΕ02"/>
    <s v="ΦΙΛΟΛΟΓ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ΔΥΤ. ΘΕΣ/ΝΙΚΗΣ"/>
    <x v="4"/>
  </r>
  <r>
    <x v="2362"/>
    <x v="1"/>
    <s v="ΠΕ07"/>
    <s v="ΓΕΡΜΑΝΙΚΗΣ ΦΙΛΟΛΟΓΙΑΣ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0"/>
    <m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ΠΙΕΡΙΑΣ"/>
    <x v="4"/>
  </r>
  <r>
    <x v="2363"/>
    <x v="0"/>
    <s v="ΠΕ04.01"/>
    <s v="ΦΥΣΙΚΟΙ"/>
    <s v="ΠΕ86"/>
    <s v="ΠΛΗΡΟΦΟΡΙΚΗΣ"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12-28T00:00:00"/>
    <x v="0"/>
    <s v="ΔΙΕΥΘΥΝΣΗ Δ.Ε. Γ΄ ΑΘΗΝΑΣ"/>
    <x v="4"/>
  </r>
  <r>
    <x v="2364"/>
    <x v="1"/>
    <s v="ΠΕ01"/>
    <s v="ΘΕ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12-21T00:00:00"/>
    <x v="0"/>
    <s v="ΔΙΕΥΘΥΝΣΗ Δ.Ε. Δ΄ ΑΘΗΝΑΣ"/>
    <x v="4"/>
  </r>
  <r>
    <x v="2365"/>
    <x v="0"/>
    <s v="ΠΕ04.01"/>
    <s v="ΦΥΣΙΚΟΙ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0"/>
    <m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72-12-14T00:00:00"/>
    <x v="0"/>
    <s v="ΔΙΕΥΘΥΝΣΗ Δ.Ε. ΠΙΕΡΙΑΣ"/>
    <x v="4"/>
  </r>
  <r>
    <x v="2366"/>
    <x v="1"/>
    <s v="ΠΕ02"/>
    <s v="ΦΙΛΟΛΟΓΟΙ"/>
    <m/>
    <m/>
    <s v="Α΄"/>
    <n v="7"/>
    <m/>
    <m/>
    <s v="Α΄ ΑΘΗΝΑΣ (Δ.Ε.) 2018"/>
    <s v="ΔΙΕΥΘΥΝΣΗ Δ.Ε. Α΄ ΑΘΗΝΑΣ"/>
    <s v="ΠΕΡΙΦΕΡΕΙΑΚΗ Δ/ΝΣΗ Α/ΘΜΙΑΣ ΚΑΙ Β/ΘΜΙΑΣ ΕΚΠ/ΣΗΣ ΑΤΤΙΚΗΣ"/>
    <n v="20"/>
    <d v="2001-09-03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12-03T00:00:00"/>
    <x v="0"/>
    <s v="ΔΙΕΥΘΥΝΣΗ Δ.Ε. Α΄ ΑΘΗΝΑΣ"/>
    <x v="4"/>
  </r>
  <r>
    <x v="2367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1-29T00:00:00"/>
    <x v="0"/>
    <s v="ΔΙΕΥΘΥΝΣΗ Δ.Ε. Β΄ ΑΘΗΝΑΣ"/>
    <x v="4"/>
  </r>
  <r>
    <x v="2368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1-18T00:00:00"/>
    <x v="0"/>
    <s v="ΔΙΕΥΘΥΝΣΗ Δ.Ε. Β΄ ΑΘΗΝΑΣ"/>
    <x v="4"/>
  </r>
  <r>
    <x v="2369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72-11-17T00:00:00"/>
    <x v="0"/>
    <s v="ΔΙΕΥΘΥΝΣΗ Δ.Ε. Γ΄ ΑΘΗΝΑΣ"/>
    <x v="4"/>
  </r>
  <r>
    <x v="2370"/>
    <x v="1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11-05T00:00:00"/>
    <x v="0"/>
    <s v="ΔΙΕΥΘΥΝΣΗ Δ.Ε. Β΄ ΑΘΗΝΑΣ"/>
    <x v="4"/>
  </r>
  <r>
    <x v="2371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0-25T00:00:00"/>
    <x v="0"/>
    <s v="ΔΙΕΥΘΥΝΣΗ Δ.Ε. Β΄ ΑΘΗΝΑΣ"/>
    <x v="4"/>
  </r>
  <r>
    <x v="2372"/>
    <x v="0"/>
    <s v="ΠΕ03"/>
    <s v="ΜΑΘΗΜΑΤΙΚ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2-10-22T00:00:00"/>
    <x v="0"/>
    <s v="ΔΙΕΥΘΥΝΣΗ Δ.Ε. ΑΧΑΪΑΣ"/>
    <x v="4"/>
  </r>
  <r>
    <x v="237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10-08T00:00:00"/>
    <x v="0"/>
    <s v="ΔΙΕΥΘΥΝΣΗ Δ.Ε. Β΄ ΑΘΗΝΑΣ"/>
    <x v="4"/>
  </r>
  <r>
    <x v="2374"/>
    <x v="1"/>
    <s v="ΠΕ06"/>
    <s v="ΑΓΓΛΙΚΗΣ ΦΙΛΟΛΟΓΙΑΣ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10-08T00:00:00"/>
    <x v="0"/>
    <s v="ΔΙΕΥΘΥΝΣΗ Δ.Ε. Δ΄ ΑΘΗΝΑΣ"/>
    <x v="4"/>
  </r>
  <r>
    <x v="237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0-05T00:00:00"/>
    <x v="0"/>
    <s v="ΔΙΕΥΘΥΝΣΗ Δ.Ε. Β΄ ΑΘΗΝΑΣ"/>
    <x v="4"/>
  </r>
  <r>
    <x v="237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9-29T00:00:00"/>
    <x v="0"/>
    <s v="ΔΙΕΥΘΥΝΣΗ Δ.Ε. Β΄ ΑΘΗΝΑΣ"/>
    <x v="4"/>
  </r>
  <r>
    <x v="2377"/>
    <x v="0"/>
    <s v="ΠΕ02"/>
    <s v="ΦΙΛΟΛΟΓ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72-08-01T00:00:00"/>
    <x v="0"/>
    <s v="ΔΙΕΥΘΥΝΣΗ Δ.Ε. ΤΡΙΚΑΛΩΝ"/>
    <x v="4"/>
  </r>
  <r>
    <x v="2378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7-30T00:00:00"/>
    <x v="0"/>
    <s v="ΔΙΕΥΘΥΝΣΗ Δ.Ε. Γ΄ ΑΘΗΝΑΣ"/>
    <x v="4"/>
  </r>
  <r>
    <x v="2379"/>
    <x v="0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7-26T00:00:00"/>
    <x v="0"/>
    <s v="ΔΙΕΥΘΥΝΣΗ Δ.Ε. ΑΝΑΤΟΛΙΚΗΣ ΑΤΤΙΚΗΣ"/>
    <x v="4"/>
  </r>
  <r>
    <x v="2380"/>
    <x v="0"/>
    <s v="ΠΕ03"/>
    <s v="ΜΑΘΗΜΑΤΙΚ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7-24T00:00:00"/>
    <x v="0"/>
    <s v="ΔΙΕΥΘΥΝΣΗ Δ.Ε. Δ΄ ΑΘΗΝΑΣ"/>
    <x v="4"/>
  </r>
  <r>
    <x v="2381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7-22T00:00:00"/>
    <x v="0"/>
    <s v="ΔΙΕΥΘΥΝΣΗ Δ.Ε. Β΄ ΑΘΗΝΑΣ"/>
    <x v="4"/>
  </r>
  <r>
    <x v="238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7-21T00:00:00"/>
    <x v="0"/>
    <s v="ΔΙΕΥΘΥΝΣΗ Δ.Ε. Β΄ ΑΘΗΝΑΣ"/>
    <x v="4"/>
  </r>
  <r>
    <x v="2383"/>
    <x v="1"/>
    <s v="ΠΕ02"/>
    <s v="ΦΙΛΟΛΟΓΟΙ"/>
    <m/>
    <m/>
    <s v="Γ΄"/>
    <n v="1"/>
    <n v="6844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2-07-12T00:00:00"/>
    <x v="0"/>
    <s v="ΔΙΕΥΘΥΝΣΗ Δ.Ε. ΔΥΤ. ΘΕΣ/ΝΙΚΗΣ"/>
    <x v="4"/>
  </r>
  <r>
    <x v="2384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07-09T00:00:00"/>
    <x v="0"/>
    <s v="ΔΙΕΥΘΥΝΣΗ Δ.Ε. Β΄ ΑΘΗΝΑΣ"/>
    <x v="4"/>
  </r>
  <r>
    <x v="2385"/>
    <x v="1"/>
    <s v="ΠΕ04.05"/>
    <s v="ΓΕΩΛΟΓ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0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72-07-08T00:00:00"/>
    <x v="1"/>
    <s v="ΔΙΕΥΘΥΝΣΗ Π.Ε. ΑΧΑΪΑΣ"/>
    <x v="4"/>
  </r>
  <r>
    <x v="2386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7-07T00:00:00"/>
    <x v="0"/>
    <s v="ΔΙΕΥΘΥΝΣΗ Δ.Ε. Β΄ ΑΘΗΝΑΣ"/>
    <x v="4"/>
  </r>
  <r>
    <x v="2387"/>
    <x v="1"/>
    <s v="ΠΕ03"/>
    <s v="ΜΑΘΗΜΑΤΙΚ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0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2-07-01T00:00:00"/>
    <x v="0"/>
    <s v="ΔΙΕΥΘΥΝΣΗ Δ.Ε. ΜΕΣΣΗΝΙΑΣ"/>
    <x v="4"/>
  </r>
  <r>
    <x v="2388"/>
    <x v="0"/>
    <s v="ΠΕ04.01"/>
    <s v="ΦΥΣΙΚΟΙ"/>
    <s v="ΠΕ86"/>
    <s v="ΠΛΗΡΟΦΟΡΙΚΗΣ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6-24T00:00:00"/>
    <x v="0"/>
    <s v="ΔΙΕΥΘΥΝΣΗ Δ.Ε. ΑΝΑΤ. ΘΕΣ/ΝΙΚΗΣ"/>
    <x v="4"/>
  </r>
  <r>
    <x v="2389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6-22T00:00:00"/>
    <x v="0"/>
    <s v="ΔΙΕΥΘΥΝΣΗ Δ.Ε. Γ΄ ΑΘΗΝΑΣ"/>
    <x v="4"/>
  </r>
  <r>
    <x v="2390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06-13T00:00:00"/>
    <x v="0"/>
    <s v="ΔΙΕΥΘΥΝΣΗ Δ.Ε. Β΄ ΑΘΗΝΑΣ"/>
    <x v="4"/>
  </r>
  <r>
    <x v="2391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5-23T00:00:00"/>
    <x v="0"/>
    <s v="ΔΙΕΥΘΥΝΣΗ Δ.Ε. Β΄ ΑΘΗΝΑΣ"/>
    <x v="4"/>
  </r>
  <r>
    <x v="2392"/>
    <x v="1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5-23T00:00:00"/>
    <x v="0"/>
    <s v="ΔΙΕΥΘΥΝΣΗ Δ.Ε. Β΄ ΑΘΗΝΑΣ"/>
    <x v="4"/>
  </r>
  <r>
    <x v="2393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5-22T00:00:00"/>
    <x v="0"/>
    <s v="ΔΙΕΥΘΥΝΣΗ Δ.Ε. Α΄ ΑΘΗΝΑΣ"/>
    <x v="4"/>
  </r>
  <r>
    <x v="239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5-21T00:00:00"/>
    <x v="0"/>
    <s v="ΔΙΕΥΘΥΝΣΗ Δ.Ε. Δ΄ ΑΘΗΝΑΣ"/>
    <x v="4"/>
  </r>
  <r>
    <x v="2395"/>
    <x v="1"/>
    <s v="ΠΕ05"/>
    <s v="ΓΑΛΛΙΚΗΣ ΦΙΛΟΛΟΓΙΑΣ"/>
    <s v="ΠΕ02"/>
    <s v="ΦΙΛΟΛΟΓΟΙ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5-19T00:00:00"/>
    <x v="0"/>
    <s v="ΔΙΕΥΘΥΝΣΗ Δ.Ε. Β΄ ΑΘΗΝΑΣ"/>
    <x v="4"/>
  </r>
  <r>
    <x v="2396"/>
    <x v="1"/>
    <s v="ΠΕ07"/>
    <s v="ΓΕΡΜΑΝ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5-17T00:00:00"/>
    <x v="0"/>
    <s v="ΔΙΕΥΘΥΝΣΗ Δ.Ε. ΑΝΑΤ. ΘΕΣ/ΝΙΚΗΣ"/>
    <x v="4"/>
  </r>
  <r>
    <x v="2397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5-16T00:00:00"/>
    <x v="0"/>
    <s v="ΔΙΕΥΘΥΝΣΗ Δ.Ε. ΑΝΑΤΟΛΙΚΗΣ ΑΤΤΙΚΗΣ"/>
    <x v="4"/>
  </r>
  <r>
    <x v="2398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05-15T00:00:00"/>
    <x v="0"/>
    <s v="ΔΙΕΥΘΥΝΣΗ Δ.Ε. Β΄ ΑΘΗΝΑΣ"/>
    <x v="4"/>
  </r>
  <r>
    <x v="2399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4-28T00:00:00"/>
    <x v="0"/>
    <s v="ΔΙΕΥΘΥΝΣΗ Δ.Ε. Β΄ ΑΘΗΝΑΣ"/>
    <x v="4"/>
  </r>
  <r>
    <x v="2400"/>
    <x v="0"/>
    <s v="ΠΕ02"/>
    <s v="ΦΙΛΟΛΟΓΟΙ"/>
    <m/>
    <m/>
    <s v="Α΄"/>
    <n v="7"/>
    <m/>
    <m/>
    <s v="ΙΩΑΝΝΙΝΩΝ (Δ.Ε.) 2018"/>
    <s v="ΔΙΕΥΘΥΝΣΗ Δ.Ε. ΙΩΑΝΝΙΝΩΝ"/>
    <s v="ΠΕΡΙΦΕΡΕΙΑΚΗ Δ/ΝΣΗ Α/ΘΜΙΑΣ ΚΑΙ Β/ΘΜΙΑΣ ΕΚΠ/ΣΗΣ ΗΠΕΙΡΟΥ"/>
    <n v="20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2-04-25T00:00:00"/>
    <x v="0"/>
    <s v="ΔΙΕΥΘΥΝΣΗ Δ.Ε. ΙΩΑΝΝΙΝΩΝ"/>
    <x v="4"/>
  </r>
  <r>
    <x v="2401"/>
    <x v="1"/>
    <s v="ΠΕ02"/>
    <s v="ΦΙΛΟΛΟΓΟΙ"/>
    <m/>
    <m/>
    <s v="Γ΄"/>
    <n v="1"/>
    <s v="ΨΡ6Φ4653ΠΣ-ΣΘΑ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2-04-21T00:00:00"/>
    <x v="0"/>
    <s v="ΔΙΕΥΘΥΝΣΗ Δ.Ε. Β΄ ΑΘΗΝΑΣ"/>
    <x v="4"/>
  </r>
  <r>
    <x v="2402"/>
    <x v="0"/>
    <s v="ΠΕ04.04"/>
    <s v="ΒΙΟΛΟΓΟΙ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4-20T00:00:00"/>
    <x v="0"/>
    <s v="ΔΙΕΥΘΥΝΣΗ Δ.Ε. ΑΝΑΤ. ΘΕΣ/ΝΙΚΗΣ"/>
    <x v="4"/>
  </r>
  <r>
    <x v="2403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3-28T00:00:00"/>
    <x v="0"/>
    <s v="ΔΙΕΥΘΥΝΣΗ Δ.Ε. Β΄ ΑΘΗΝΑΣ"/>
    <x v="4"/>
  </r>
  <r>
    <x v="2404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3-22T00:00:00"/>
    <x v="0"/>
    <s v="ΔΙΕΥΘΥΝΣΗ Δ.Ε. Α΄ ΑΘΗΝΑΣ"/>
    <x v="4"/>
  </r>
  <r>
    <x v="2405"/>
    <x v="1"/>
    <s v="ΠΕ11"/>
    <s v="ΦΥΣΙΚΗΣ ΑΓΩΓΗΣ"/>
    <m/>
    <m/>
    <s v="Α΄"/>
    <n v="6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3-18T00:00:00"/>
    <x v="1"/>
    <s v="ΔΙΕΥΘΥΝΣΗ Π.Ε. Β΄ ΑΘΗΝΑΣ"/>
    <x v="4"/>
  </r>
  <r>
    <x v="2406"/>
    <x v="1"/>
    <s v="ΠΕ06"/>
    <s v="ΑΓΓΛΙΚΗΣ ΦΙΛΟΛΟΓ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2-03-06T00:00:00"/>
    <x v="0"/>
    <s v="ΔΙΕΥΘΥΝΣΗ Δ.Ε. ΛΑΡΙΣΑΣ"/>
    <x v="4"/>
  </r>
  <r>
    <x v="2407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2-04T00:00:00"/>
    <x v="0"/>
    <s v="ΔΙΕΥΘΥΝΣΗ Δ.Ε. Β΄ ΑΘΗΝΑΣ"/>
    <x v="4"/>
  </r>
  <r>
    <x v="2408"/>
    <x v="0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1-29T00:00:00"/>
    <x v="0"/>
    <s v="ΔΙΕΥΘΥΝΣΗ Δ.Ε. Α΄ ΑΘΗΝΑΣ"/>
    <x v="4"/>
  </r>
  <r>
    <x v="2409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1-26T00:00:00"/>
    <x v="0"/>
    <s v="ΔΙΕΥΘΥΝΣΗ Δ.Ε. Β΄ ΑΘΗΝΑΣ"/>
    <x v="4"/>
  </r>
  <r>
    <x v="2410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80715"/>
    <s v="ΙΔΙΩΤΙΚΟ ΗΜΕΡΗΣΙΟ ΓΕΛ ΣΥΓΧΡΟΝΗ ΠΑΙΔΕΙΑ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2-01-19T00:00:00"/>
    <x v="0"/>
    <s v="ΔΙΕΥΘΥΝΣΗ Δ.Ε. Α΄ ΑΘΗΝΑΣ"/>
    <x v="4"/>
  </r>
  <r>
    <x v="2411"/>
    <x v="0"/>
    <s v="ΠΕ78"/>
    <s v="ΚΟΙΝΩΝΙΚΩΝ ΕΠΙΣΤΗΜΩΝ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Γ΄ ΑΘΗΝΑΣ"/>
    <x v="4"/>
  </r>
  <r>
    <x v="2412"/>
    <x v="1"/>
    <s v="ΠΕ07"/>
    <s v="ΓΕΡΜΑΝ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Δ΄ ΑΘΗΝΑΣ"/>
    <x v="4"/>
  </r>
  <r>
    <x v="2413"/>
    <x v="1"/>
    <s v="ΠΕ06"/>
    <s v="ΑΓΓ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0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2-01-01T00:00:00"/>
    <x v="1"/>
    <s v="ΔΙΕΥΘΥΝΣΗ Π.Ε. ΠΕΙΡΑΙΑ"/>
    <x v="4"/>
  </r>
  <r>
    <x v="2414"/>
    <x v="1"/>
    <s v="ΠΕ02"/>
    <s v="ΦΙΛΟΛΟΓΟΙ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2-01-01T00:00:00"/>
    <x v="0"/>
    <s v="ΔΙΕΥΘΥΝΣΗ Δ.Ε. ΛΑΡΙΣΑΣ"/>
    <x v="4"/>
  </r>
  <r>
    <x v="2415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1-01T00:00:00"/>
    <x v="0"/>
    <s v="ΔΙΕΥΘΥΝΣΗ Δ.Ε. ΑΝΑΤ. ΘΕΣ/ΝΙΚΗΣ"/>
    <x v="4"/>
  </r>
  <r>
    <x v="2416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12-17T00:00:00"/>
    <x v="0"/>
    <s v="ΔΙΕΥΘΥΝΣΗ Δ.Ε. ΑΝΑΤ. ΘΕΣ/ΝΙΚΗΣ"/>
    <x v="4"/>
  </r>
  <r>
    <x v="2417"/>
    <x v="0"/>
    <s v="ΠΕ02"/>
    <s v="ΦΙΛΟΛΟΓΟΙ"/>
    <m/>
    <m/>
    <s v="Γ΄"/>
    <n v="1"/>
    <s v="2/23-01-2018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12-15T00:00:00"/>
    <x v="0"/>
    <s v="ΔΙΕΥΘΥΝΣΗ Δ.Ε. Δ΄ ΑΘΗΝΑΣ"/>
    <x v="4"/>
  </r>
  <r>
    <x v="2418"/>
    <x v="1"/>
    <s v="ΠΕ06"/>
    <s v="ΑΓΓΛΙΚΗΣ ΦΙΛΟΛΟΓΙΑΣ"/>
    <m/>
    <m/>
    <s v="Γ΄"/>
    <n v="1"/>
    <s v="24/3416/26-10-10"/>
    <d v="2018-09-01T00:00:00"/>
    <s v="Β΄ ΑΘΗΝΑΣ (Π.Ε.) 2018"/>
    <s v="ΔΙΕΥΘΥΝΣΗ Π.Ε. Β΄ ΑΘΗΝΑΣ"/>
    <s v="ΠΕΡΙΦΕΡΕΙΑΚΗ Δ/ΝΣΗ Α/ΘΜΙΑΣ ΚΑΙ Β/ΘΜΙΑΣ ΕΚΠ/ΣΗΣ ΑΤΤΙΚΗΣ"/>
    <n v="2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12-14T00:00:00"/>
    <x v="1"/>
    <s v="ΔΙΕΥΘΥΝΣΗ Π.Ε. Β΄ ΑΘΗΝΑΣ"/>
    <x v="4"/>
  </r>
  <r>
    <x v="2419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12-01T00:00:00"/>
    <x v="0"/>
    <s v="ΔΙΕΥΘΥΝΣΗ Δ.Ε. ΑΝΑΤΟΛΙΚΗΣ ΑΤΤΙΚΗΣ"/>
    <x v="4"/>
  </r>
  <r>
    <x v="2420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12-01T00:00:00"/>
    <x v="0"/>
    <s v="ΔΙΕΥΘΥΝΣΗ Δ.Ε. Β΄ ΑΘΗΝΑΣ"/>
    <x v="4"/>
  </r>
  <r>
    <x v="242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1-11-20T00:00:00"/>
    <x v="0"/>
    <s v="ΔΙΕΥΘΥΝΣΗ Δ.Ε. Β΄ ΑΘΗΝΑΣ"/>
    <x v="4"/>
  </r>
  <r>
    <x v="2422"/>
    <x v="1"/>
    <s v="ΠΕ04.04"/>
    <s v="ΒΙΟΛΟΓΟΙ"/>
    <s v="ΠΕ78"/>
    <s v="ΚΟΙΝΩΝΙΚΩΝ ΕΠΙΣΤΗΜΩΝ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11-16T00:00:00"/>
    <x v="0"/>
    <s v="ΔΙΕΥΘΥΝΣΗ Δ.Ε. ΑΝΑΤ. ΘΕΣ/ΝΙΚΗΣ"/>
    <x v="4"/>
  </r>
  <r>
    <x v="2423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10-10T00:00:00"/>
    <x v="0"/>
    <s v="ΔΙΕΥΘΥΝΣΗ Δ.Ε. Δ΄ ΑΘΗΝΑΣ"/>
    <x v="4"/>
  </r>
  <r>
    <x v="2424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10-06T00:00:00"/>
    <x v="0"/>
    <s v="ΔΙΕΥΘΥΝΣΗ Δ.Ε. ΑΝΑΤΟΛΙΚΗΣ ΑΤΤΙΚΗΣ"/>
    <x v="4"/>
  </r>
  <r>
    <x v="2425"/>
    <x v="1"/>
    <s v="ΠΕ06"/>
    <s v="ΑΓΓ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10-03T00:00:00"/>
    <x v="0"/>
    <s v="ΔΙΕΥΘΥΝΣΗ Δ.Ε. Δ΄ ΑΘΗΝΑΣ"/>
    <x v="4"/>
  </r>
  <r>
    <x v="242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1-09-23T00:00:00"/>
    <x v="0"/>
    <s v="ΔΙΕΥΘΥΝΣΗ Δ.Ε. Β΄ ΑΘΗΝΑΣ"/>
    <x v="4"/>
  </r>
  <r>
    <x v="2427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9-01T00:00:00"/>
    <x v="0"/>
    <s v="ΔΙΕΥΘΥΝΣΗ Δ.Ε. Β΄ ΑΘΗΝΑΣ"/>
    <x v="4"/>
  </r>
  <r>
    <x v="2428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8-25T00:00:00"/>
    <x v="0"/>
    <s v="ΔΙΕΥΘΥΝΣΗ Δ.Ε. Β΄ ΑΘΗΝΑΣ"/>
    <x v="4"/>
  </r>
  <r>
    <x v="2429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8-19T00:00:00"/>
    <x v="0"/>
    <s v="ΔΙΕΥΘΥΝΣΗ Δ.Ε. Δ΄ ΑΘΗΝΑΣ"/>
    <x v="4"/>
  </r>
  <r>
    <x v="2430"/>
    <x v="1"/>
    <s v="ΠΕ04.02"/>
    <s v="ΧΗΜΙΚΟΙ"/>
    <m/>
    <m/>
    <s v="Γ΄"/>
    <n v="1"/>
    <n v="672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1-07-31T00:00:00"/>
    <x v="0"/>
    <s v="ΔΙΕΥΘΥΝΣΗ Δ.Ε. ΔΥΤ. ΘΕΣ/ΝΙΚΗΣ"/>
    <x v="4"/>
  </r>
  <r>
    <x v="2431"/>
    <x v="0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7-13T00:00:00"/>
    <x v="0"/>
    <s v="ΔΙΕΥΘΥΝΣΗ Δ.Ε. ΠΕΙΡΑΙΑ"/>
    <x v="4"/>
  </r>
  <r>
    <x v="2432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7-01T00:00:00"/>
    <x v="0"/>
    <s v="ΔΙΕΥΘΥΝΣΗ Δ.Ε. Β΄ ΑΘΗΝΑΣ"/>
    <x v="4"/>
  </r>
  <r>
    <x v="2433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6-27T00:00:00"/>
    <x v="0"/>
    <s v="ΔΙΕΥΘΥΝΣΗ Δ.Ε. Β΄ ΑΘΗΝΑΣ"/>
    <x v="4"/>
  </r>
  <r>
    <x v="243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1-06-19T00:00:00"/>
    <x v="0"/>
    <s v="ΔΙΕΥΘΥΝΣΗ Δ.Ε. Β΄ ΑΘΗΝΑΣ"/>
    <x v="4"/>
  </r>
  <r>
    <x v="2435"/>
    <x v="0"/>
    <s v="ΠΕ01"/>
    <s v="ΘΕΟΛΟΓΟΙ"/>
    <s v="ΠΕ04.02"/>
    <s v="ΧΗΜΙΚΟΙ"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1-06-14T00:00:00"/>
    <x v="0"/>
    <s v="ΔΙΕΥΘΥΝΣΗ Δ.Ε. ΑΝΑΤ. ΘΕΣ/ΝΙΚΗΣ"/>
    <x v="4"/>
  </r>
  <r>
    <x v="2436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6-11T00:00:00"/>
    <x v="0"/>
    <s v="ΔΙΕΥΘΥΝΣΗ Δ.Ε. Β΄ ΑΘΗΝΑΣ"/>
    <x v="4"/>
  </r>
  <r>
    <x v="2437"/>
    <x v="1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71-06-05T00:00:00"/>
    <x v="0"/>
    <s v="ΔΙΕΥΘΥΝΣΗ Δ.Ε. ΑΧΑΪΑΣ"/>
    <x v="4"/>
  </r>
  <r>
    <x v="2438"/>
    <x v="0"/>
    <s v="ΠΕ02"/>
    <s v="ΦΙΛΟΛΟΓ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5-21T00:00:00"/>
    <x v="0"/>
    <s v="ΔΙΕΥΘΥΝΣΗ Δ.Ε. Δ΄ ΑΘΗΝΑΣ"/>
    <x v="4"/>
  </r>
  <r>
    <x v="2439"/>
    <x v="0"/>
    <s v="ΠΕ02"/>
    <s v="ΦΙΛΟΛΟΓΟΙ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5-12T00:00:00"/>
    <x v="0"/>
    <s v="ΔΙΕΥΘΥΝΣΗ Δ.Ε. ΑΝΑΤ. ΘΕΣ/ΝΙΚΗΣ"/>
    <x v="4"/>
  </r>
  <r>
    <x v="2440"/>
    <x v="0"/>
    <s v="ΠΕ82"/>
    <s v="ΜΗΧΑΝΟΛΟΓ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5-05T00:00:00"/>
    <x v="0"/>
    <s v="ΔΙΕΥΘΥΝΣΗ Δ.Ε. Β΄ ΑΘΗΝΑΣ"/>
    <x v="4"/>
  </r>
  <r>
    <x v="2441"/>
    <x v="1"/>
    <s v="ΠΕ04.04"/>
    <s v="ΒΙ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5-05T00:00:00"/>
    <x v="0"/>
    <s v="ΔΙΕΥΘΥΝΣΗ Δ.Ε. Δ΄ ΑΘΗΝΑΣ"/>
    <x v="4"/>
  </r>
  <r>
    <x v="2442"/>
    <x v="0"/>
    <s v="ΠΕ03"/>
    <s v="ΜΑΘΗΜΑΤ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1-05-04T00:00:00"/>
    <x v="0"/>
    <s v="ΔΙΕΥΘΥΝΣΗ Δ.Ε. ΔΩΔΕΚΑΝΗΣΟΥ"/>
    <x v="4"/>
  </r>
  <r>
    <x v="2443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5-02T00:00:00"/>
    <x v="0"/>
    <s v="ΔΙΕΥΘΥΝΣΗ Δ.Ε. Β΄ ΑΘΗΝΑΣ"/>
    <x v="4"/>
  </r>
  <r>
    <x v="244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1-04-26T00:00:00"/>
    <x v="0"/>
    <s v="ΔΙΕΥΘΥΝΣΗ Δ.Ε. Β΄ ΑΘΗΝΑΣ"/>
    <x v="4"/>
  </r>
  <r>
    <x v="2445"/>
    <x v="0"/>
    <s v="ΠΕ04.01"/>
    <s v="ΦΥΣ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1-04-19T00:00:00"/>
    <x v="0"/>
    <s v="ΔΙΕΥΘΥΝΣΗ Δ.Ε. Α΄ ΑΘΗΝΑΣ"/>
    <x v="4"/>
  </r>
  <r>
    <x v="2446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1-03-31T00:00:00"/>
    <x v="0"/>
    <s v="ΔΙΕΥΘΥΝΣΗ Δ.Ε. ΑΝΑΤ. ΘΕΣ/ΝΙΚΗΣ"/>
    <x v="4"/>
  </r>
  <r>
    <x v="2447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24T00:00:00"/>
    <x v="0"/>
    <s v="ΔΙΕΥΘΥΝΣΗ Δ.Ε. Β΄ ΑΘΗΝΑΣ"/>
    <x v="4"/>
  </r>
  <r>
    <x v="2448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3-20T00:00:00"/>
    <x v="1"/>
    <s v="ΔΙΕΥΘΥΝΣΗ Π.Ε. Β΄ ΑΘΗΝΑΣ"/>
    <x v="4"/>
  </r>
  <r>
    <x v="2449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3-11T00:00:00"/>
    <x v="0"/>
    <s v="ΔΙΕΥΘΥΝΣΗ Δ.Ε. ΠΕΙΡΑΙΑ"/>
    <x v="4"/>
  </r>
  <r>
    <x v="2450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2-12T00:00:00"/>
    <x v="0"/>
    <s v="ΔΙΕΥΘΥΝΣΗ Δ.Ε. Β΄ ΑΘΗΝΑΣ"/>
    <x v="4"/>
  </r>
  <r>
    <x v="2451"/>
    <x v="1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1-02-10T00:00:00"/>
    <x v="0"/>
    <s v="ΔΙΕΥΘΥΝΣΗ Δ.Ε. Β΄ ΑΘΗΝΑΣ"/>
    <x v="4"/>
  </r>
  <r>
    <x v="2452"/>
    <x v="0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1-02-10T00:00:00"/>
    <x v="0"/>
    <s v="ΔΙΕΥΘΥΝΣΗ Δ.Ε. ΠΕΙΡΑΙΑ"/>
    <x v="4"/>
  </r>
  <r>
    <x v="2453"/>
    <x v="0"/>
    <s v="ΠΕ02"/>
    <s v="ΦΙΛΟΛΟΓ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71-02-10T00:00:00"/>
    <x v="0"/>
    <s v="ΔΙΕΥΘΥΝΣΗ Δ.Ε. ΤΡΙΚΑΛΩΝ"/>
    <x v="4"/>
  </r>
  <r>
    <x v="245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2-06T00:00:00"/>
    <x v="0"/>
    <s v="ΔΙΕΥΘΥΝΣΗ Δ.Ε. Δ΄ ΑΘΗΝΑΣ"/>
    <x v="4"/>
  </r>
  <r>
    <x v="2455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1-01-16T00:00:00"/>
    <x v="0"/>
    <s v="ΔΙΕΥΘΥΝΣΗ Δ.Ε. ΑΝΑΤ. ΘΕΣ/ΝΙΚΗΣ"/>
    <x v="4"/>
  </r>
  <r>
    <x v="2456"/>
    <x v="1"/>
    <s v="ΠΕ02"/>
    <s v="ΦΙΛΟΛΟΓΟΙ"/>
    <m/>
    <m/>
    <s v="Α΄"/>
    <n v="7"/>
    <m/>
    <m/>
    <s v="Α΄ ΑΘΗΝΑΣ (Δ.Ε.) 2018"/>
    <s v="ΔΙΕΥΘΥΝΣΗ Δ.Ε. Α΄ ΑΘΗΝΑΣ"/>
    <s v="ΠΕΡΙΦΕΡΕΙΑΚΗ Δ/ΝΣΗ Α/ΘΜΙΑΣ ΚΑΙ Β/ΘΜΙΑΣ ΕΚΠ/ΣΗΣ ΑΤΤΙΚΗΣ"/>
    <n v="20"/>
    <d v="2001-09-03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1-01-13T00:00:00"/>
    <x v="0"/>
    <s v="ΔΙΕΥΘΥΝΣΗ Δ.Ε. Α΄ ΑΘΗΝΑΣ"/>
    <x v="4"/>
  </r>
  <r>
    <x v="2457"/>
    <x v="0"/>
    <s v="ΠΕ02"/>
    <s v="ΦΙΛΟΛΟΓΟΙ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1-11T00:00:00"/>
    <x v="0"/>
    <s v="ΔΙΕΥΘΥΝΣΗ Δ.Ε. ΑΝΑΤ. ΘΕΣ/ΝΙΚΗΣ"/>
    <x v="4"/>
  </r>
  <r>
    <x v="2458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1-04T00:00:00"/>
    <x v="0"/>
    <s v="ΔΙΕΥΘΥΝΣΗ Δ.Ε. ΑΝΑΤΟΛΙΚΗΣ ΑΤΤΙΚΗΣ"/>
    <x v="4"/>
  </r>
  <r>
    <x v="2459"/>
    <x v="1"/>
    <s v="ΠΕ06"/>
    <s v="ΑΓΓΛΙΚΗΣ ΦΙΛΟΛΟΓΙΑΣ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1-01T00:00:00"/>
    <x v="0"/>
    <s v="ΔΙΕΥΘΥΝΣΗ Δ.Ε. ΑΝΑΤ. ΘΕΣ/ΝΙΚΗΣ"/>
    <x v="4"/>
  </r>
  <r>
    <x v="2460"/>
    <x v="1"/>
    <s v="ΠΕ02"/>
    <s v="ΦΙΛΟΛΟΓ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1-01-01T00:00:00"/>
    <x v="0"/>
    <s v="ΔΙΕΥΘΥΝΣΗ Δ.Ε. ΔΥΤ. ΘΕΣ/ΝΙΚΗΣ"/>
    <x v="4"/>
  </r>
  <r>
    <x v="2461"/>
    <x v="1"/>
    <s v="ΠΕ02"/>
    <s v="ΦΙΛΟΛΟΓΟΙ"/>
    <m/>
    <m/>
    <s v="Α΄"/>
    <n v="1"/>
    <s v="Ω81Β465ΦΘ3-Δ7Ε"/>
    <d v="2015-09-29T00:00:00"/>
    <s v="ΧΑΝΙΩΝ (Δ.Ε.) 2018"/>
    <s v="ΔΙΕΥΘΥΝΣΗ Δ.Ε. ΧΑΝΙΩΝ"/>
    <s v="ΠΕΡΙΦΕΡΕΙΑΚΗ Δ/ΝΣΗ Α/ΘΜΙΑΣ ΚΑΙ Β/ΘΜΙΑΣ ΕΚΠ/ΣΗΣ ΚΡΗΤΗΣ"/>
    <n v="20"/>
    <d v="2015-09-29T00:00:00"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71-01-01T00:00:00"/>
    <x v="0"/>
    <s v="ΔΙΕΥΘΥΝΣΗ Δ.Ε. ΧΑΝΙΩΝ"/>
    <x v="4"/>
  </r>
  <r>
    <x v="2462"/>
    <x v="1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2-30T00:00:00"/>
    <x v="0"/>
    <s v="ΔΙΕΥΘΥΝΣΗ Δ.Ε. Β΄ ΑΘΗΝΑΣ"/>
    <x v="4"/>
  </r>
  <r>
    <x v="2463"/>
    <x v="1"/>
    <s v="ΠΕ04.02"/>
    <s v="ΧΗΜ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12-08T00:00:00"/>
    <x v="0"/>
    <s v="ΔΙΕΥΘΥΝΣΗ Δ.Ε. Δ΄ ΑΘΗΝΑΣ"/>
    <x v="4"/>
  </r>
  <r>
    <x v="246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0-28T00:00:00"/>
    <x v="0"/>
    <s v="ΔΙΕΥΘΥΝΣΗ Δ.Ε. Β΄ ΑΘΗΝΑΣ"/>
    <x v="4"/>
  </r>
  <r>
    <x v="2465"/>
    <x v="1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0-18T00:00:00"/>
    <x v="0"/>
    <s v="ΔΙΕΥΘΥΝΣΗ Δ.Ε. Β΄ ΑΘΗΝΑΣ"/>
    <x v="4"/>
  </r>
  <r>
    <x v="2466"/>
    <x v="1"/>
    <s v="ΠΕ78"/>
    <s v="ΚΟΙΝΩΝΙΚΩΝ ΕΠΙΣΤΗΜ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0-17T00:00:00"/>
    <x v="0"/>
    <s v="ΔΙΕΥΘΥΝΣΗ Δ.Ε. Β΄ ΑΘΗΝΑΣ"/>
    <x v="4"/>
  </r>
  <r>
    <x v="2467"/>
    <x v="1"/>
    <s v="ΠΕ11"/>
    <s v="ΦΥΣΙΚΗΣ ΑΓΩΓ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10-10T00:00:00"/>
    <x v="0"/>
    <s v="ΔΙΕΥΘΥΝΣΗ Δ.Ε. Δ΄ ΑΘΗΝΑΣ"/>
    <x v="4"/>
  </r>
  <r>
    <x v="2468"/>
    <x v="0"/>
    <s v="ΠΕ11"/>
    <s v="ΦΥΣΙΚΗΣ ΑΓΩΓ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0-10-10T00:00:00"/>
    <x v="0"/>
    <s v="ΔΙΕΥΘΥΝΣΗ Δ.Ε. ΠΕΙΡΑΙΑ"/>
    <x v="4"/>
  </r>
  <r>
    <x v="2469"/>
    <x v="1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9-24T00:00:00"/>
    <x v="0"/>
    <s v="ΔΙΕΥΘΥΝΣΗ Δ.Ε. Β΄ ΑΘΗΝΑΣ"/>
    <x v="4"/>
  </r>
  <r>
    <x v="2470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9-01T00:00:00"/>
    <x v="0"/>
    <s v="ΔΙΕΥΘΥΝΣΗ Δ.Ε. Β΄ ΑΘΗΝΑΣ"/>
    <x v="4"/>
  </r>
  <r>
    <x v="2471"/>
    <x v="1"/>
    <s v="ΠΕ11"/>
    <s v="ΦΥΣΙΚΗΣ ΑΓΩΓΗ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0-09-01T00:00:00"/>
    <x v="0"/>
    <s v="ΔΙΕΥΘΥΝΣΗ Δ.Ε. ΑΧΑΪΑΣ"/>
    <x v="4"/>
  </r>
  <r>
    <x v="2472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0-08-19T00:00:00"/>
    <x v="0"/>
    <s v="ΔΙΕΥΘΥΝΣΗ Δ.Ε. ΛΑΡΙΣΑΣ"/>
    <x v="4"/>
  </r>
  <r>
    <x v="2473"/>
    <x v="1"/>
    <s v="ΠΕ79.01"/>
    <s v="ΜΟΥΣΙΚΗΣ ΕΠΙΣΤΗΜΗΣ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0-08-13T00:00:00"/>
    <x v="0"/>
    <s v="ΔΙΕΥΘΥΝΣΗ Δ.Ε. ΑΝΑΤ. ΘΕΣ/ΝΙΚΗΣ"/>
    <x v="4"/>
  </r>
  <r>
    <x v="2474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0-08-05T00:00:00"/>
    <x v="0"/>
    <s v="ΔΙΕΥΘΥΝΣΗ Δ.Ε. ΑΝΑΤΟΛΙΚΗΣ ΑΤΤΙΚΗΣ"/>
    <x v="4"/>
  </r>
  <r>
    <x v="247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0-07-29T00:00:00"/>
    <x v="0"/>
    <s v="ΔΙΕΥΘΥΝΣΗ Δ.Ε. Β΄ ΑΘΗΝΑΣ"/>
    <x v="4"/>
  </r>
  <r>
    <x v="2476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0-07-28T00:00:00"/>
    <x v="0"/>
    <s v="ΔΙΕΥΘΥΝΣΗ Δ.Ε. ΑΝΑΤ. ΘΕΣ/ΝΙΚΗΣ"/>
    <x v="4"/>
  </r>
  <r>
    <x v="2477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0-07-27T00:00:00"/>
    <x v="0"/>
    <s v="ΔΙΕΥΘΥΝΣΗ Δ.Ε. Γ΄ ΑΘΗΝΑΣ"/>
    <x v="4"/>
  </r>
  <r>
    <x v="2478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7-26T00:00:00"/>
    <x v="0"/>
    <s v="ΔΙΕΥΘΥΝΣΗ Δ.Ε. Β΄ ΑΘΗΝΑΣ"/>
    <x v="4"/>
  </r>
  <r>
    <x v="2479"/>
    <x v="1"/>
    <s v="ΠΕ04.04"/>
    <s v="ΒΙΟΛΟΓΟΙ"/>
    <m/>
    <m/>
    <s v="Γ΄"/>
    <n v="1"/>
    <s v="7/11-1-2002"/>
    <d v="2018-09-01T00:00:00"/>
    <s v="ΑΡΓΟΛΙΔΑΣ (Δ.Ε.) 2018"/>
    <s v="ΔΙΕΥΘΥΝΣΗ Δ.Ε. ΑΡΓΟΛΙΔΑΣ"/>
    <s v="ΠΕΡΙΦΕΡΕΙΑΚΗ Δ/ΝΣΗ Α/ΘΜΙΑΣ ΚΑΙ Β/ΘΜΙΑΣ ΕΚΠ/ΣΗΣ ΠΕΛΟΠΟΝΝΗΣΟΥ"/>
    <n v="20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0-07-23T00:00:00"/>
    <x v="0"/>
    <s v="ΔΙΕΥΘΥΝΣΗ Δ.Ε. ΑΡΓΟΛΙΔΑΣ"/>
    <x v="4"/>
  </r>
  <r>
    <x v="2480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7-19T00:00:00"/>
    <x v="0"/>
    <s v="ΔΙΕΥΘΥΝΣΗ Δ.Ε. Β΄ ΑΘΗΝΑΣ"/>
    <x v="4"/>
  </r>
  <r>
    <x v="2481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7-19T00:00:00"/>
    <x v="0"/>
    <s v="ΔΙΕΥΘΥΝΣΗ Δ.Ε. Β΄ ΑΘΗΝΑΣ"/>
    <x v="4"/>
  </r>
  <r>
    <x v="2482"/>
    <x v="0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0-07-13T00:00:00"/>
    <x v="0"/>
    <s v="ΔΙΕΥΘΥΝΣΗ Δ.Ε. ΛΑΡΙΣΑΣ"/>
    <x v="4"/>
  </r>
  <r>
    <x v="2483"/>
    <x v="1"/>
    <s v="ΠΕ02"/>
    <s v="ΦΙΛ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0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06-29T00:00:00"/>
    <x v="0"/>
    <s v="ΔΙΕΥΘΥΝΣΗ Δ.Ε. ΙΩΑΝΝΙΝΩΝ"/>
    <x v="4"/>
  </r>
  <r>
    <x v="2484"/>
    <x v="1"/>
    <s v="ΠΕ07"/>
    <s v="ΓΕΡΜΑΝΙΚΗΣ ΦΙΛΟΛΟΓΙΑΣ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6-28T00:00:00"/>
    <x v="0"/>
    <s v="ΔΙΕΥΘΥΝΣΗ Δ.Ε. ΑΝΑΤ. ΘΕΣ/ΝΙΚΗΣ"/>
    <x v="4"/>
  </r>
  <r>
    <x v="2485"/>
    <x v="0"/>
    <s v="ΠΕ02"/>
    <s v="ΦΙΛΟΛΟΓ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70-06-25T00:00:00"/>
    <x v="0"/>
    <s v="ΔΙΕΥΘΥΝΣΗ Δ.Ε. ΧΑΝΙΩΝ"/>
    <x v="4"/>
  </r>
  <r>
    <x v="2486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6-23T00:00:00"/>
    <x v="0"/>
    <s v="ΔΙΕΥΘΥΝΣΗ Δ.Ε. Β΄ ΑΘΗΝΑΣ"/>
    <x v="4"/>
  </r>
  <r>
    <x v="2487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0-06-13T00:00:00"/>
    <x v="0"/>
    <s v="ΔΙΕΥΘΥΝΣΗ Δ.Ε. ΑΝΑΤ. ΘΕΣ/ΝΙΚΗΣ"/>
    <x v="4"/>
  </r>
  <r>
    <x v="2488"/>
    <x v="1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0-06-11T00:00:00"/>
    <x v="0"/>
    <s v="ΔΙΕΥΘΥΝΣΗ Δ.Ε. ΑΙΤΩΛΟΑΚΑΡΝΑΝΙΑΣ"/>
    <x v="4"/>
  </r>
  <r>
    <x v="2489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0-06-07T00:00:00"/>
    <x v="0"/>
    <s v="ΔΙΕΥΘΥΝΣΗ Δ.Ε. ΑΝΑΤΟΛΙΚΗΣ ΑΤΤΙΚΗΣ"/>
    <x v="4"/>
  </r>
  <r>
    <x v="2490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6-04T00:00:00"/>
    <x v="0"/>
    <s v="ΔΙΕΥΘΥΝΣΗ Δ.Ε. Β΄ ΑΘΗΝΑΣ"/>
    <x v="4"/>
  </r>
  <r>
    <x v="2491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5-24T00:00:00"/>
    <x v="0"/>
    <s v="ΔΙΕΥΘΥΝΣΗ Δ.Ε. Β΄ ΑΘΗΝΑΣ"/>
    <x v="4"/>
  </r>
  <r>
    <x v="2492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5-23T00:00:00"/>
    <x v="0"/>
    <s v="ΔΙΕΥΘΥΝΣΗ Δ.Ε. Β΄ ΑΘΗΝΑΣ"/>
    <x v="4"/>
  </r>
  <r>
    <x v="2493"/>
    <x v="0"/>
    <s v="ΠΕ78"/>
    <s v="ΚΟΙΝΩΝΙΚΩΝ ΕΠΙΣΤΗΜΩΝ"/>
    <m/>
    <m/>
    <s v="Γ΄"/>
    <n v="1"/>
    <s v="2855/11-9-2000"/>
    <d v="2018-09-01T00:00:00"/>
    <s v="ΑΡΓΟΛΙΔΑΣ (Δ.Ε.) 2018"/>
    <s v="ΔΙΕΥΘΥΝΣΗ Δ.Ε. ΑΡΓΟΛΙΔΑΣ"/>
    <s v="ΠΕΡΙΦΕΡΕΙΑΚΗ Δ/ΝΣΗ Α/ΘΜΙΑΣ ΚΑΙ Β/ΘΜΙΑΣ ΕΚΠ/ΣΗΣ ΠΕΛΟΠΟΝΝΗΣΟΥ"/>
    <n v="20"/>
    <d v="2018-09-01T00:00:00"/>
    <s v="Ιδιωτικά Σχολεία"/>
    <x v="3"/>
    <s v="0280020"/>
    <s v="ΙΔΙΩΤΙΚΟ ΗΜΕΡΗΣΙΟ ΓΕΝΙΚΟ ΛΥΚΕΙΟ &quot;ΝΕΟ ΣΧΟΛΕΙΟ&quot;"/>
    <s v="ΑΡΓΟΛΙΔΑΣ (Δ.Ε.) 2018"/>
    <s v="ΔΙΕΥΘΥΝΣΗ Δ.Ε. ΑΡΓΟΛΙΔΑΣ"/>
    <s v="ΠΕΡΙΦΕΡΕΙΑΚΗ Δ/ΝΣΗ Α/ΘΜΙΑΣ ΚΑΙ Β/ΘΜΙΑΣ ΕΚΠ/ΣΗΣ ΠΕΛΟΠΟΝΝΗΣΟΥ"/>
    <x v="1"/>
    <s v="Τοποθέτηση σε Ιδιωτική Εκπαίδευση"/>
    <d v="1970-05-22T00:00:00"/>
    <x v="0"/>
    <s v="ΔΙΕΥΘΥΝΣΗ Δ.Ε. ΑΡΓΟΛΙΔΑΣ"/>
    <x v="4"/>
  </r>
  <r>
    <x v="2494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5-16T00:00:00"/>
    <x v="0"/>
    <s v="ΔΙΕΥΘΥΝΣΗ Δ.Ε. Β΄ ΑΘΗΝΑΣ"/>
    <x v="4"/>
  </r>
  <r>
    <x v="2495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0-05-16T00:00:00"/>
    <x v="0"/>
    <s v="ΔΙΕΥΘΥΝΣΗ Δ.Ε. Β΄ ΑΘΗΝΑΣ"/>
    <x v="4"/>
  </r>
  <r>
    <x v="2496"/>
    <x v="1"/>
    <s v="ΠΕ06"/>
    <s v="ΑΓΓ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0-05-09T00:00:00"/>
    <x v="1"/>
    <s v="ΔΙΕΥΘΥΝΣΗ Π.Ε. Α΄ ΑΘΗΝΑΣ"/>
    <x v="4"/>
  </r>
  <r>
    <x v="2497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5-07T00:00:00"/>
    <x v="0"/>
    <s v="ΔΙΕΥΘΥΝΣΗ Δ.Ε. ΑΝΑΤ. ΘΕΣ/ΝΙΚΗΣ"/>
    <x v="4"/>
  </r>
  <r>
    <x v="2498"/>
    <x v="0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4-24T00:00:00"/>
    <x v="0"/>
    <s v="ΔΙΕΥΘΥΝΣΗ Δ.Ε. Β΄ ΑΘΗΝΑΣ"/>
    <x v="4"/>
  </r>
  <r>
    <x v="2499"/>
    <x v="0"/>
    <s v="ΠΕ11"/>
    <s v="ΦΥΣΙΚΗΣ ΑΓΩΓ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4-23T00:00:00"/>
    <x v="0"/>
    <s v="ΔΙΕΥΘΥΝΣΗ Δ.Ε. Δ΄ ΑΘΗΝΑΣ"/>
    <x v="4"/>
  </r>
  <r>
    <x v="2500"/>
    <x v="0"/>
    <s v="ΠΕ02"/>
    <s v="ΦΙΛΟΛΟΓΟΙ"/>
    <m/>
    <m/>
    <s v="Α΄"/>
    <n v="10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4-08T00:00:00"/>
    <x v="0"/>
    <s v="ΔΙΕΥΘΥΝΣΗ Δ.Ε. ΑΝΑΤ. ΘΕΣ/ΝΙΚΗΣ"/>
    <x v="4"/>
  </r>
  <r>
    <x v="2501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3-31T00:00:00"/>
    <x v="0"/>
    <s v="ΔΙΕΥΘΥΝΣΗ Δ.Ε. Β΄ ΑΘΗΝΑΣ"/>
    <x v="4"/>
  </r>
  <r>
    <x v="2502"/>
    <x v="0"/>
    <s v="ΠΕ08"/>
    <s v="ΚΑΛΛΙΤΕΧΝΙΚΩΝ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1-30T00:00:00"/>
    <x v="0"/>
    <s v="ΔΙΕΥΘΥΝΣΗ Δ.Ε. Δ΄ ΑΘΗΝΑΣ"/>
    <x v="4"/>
  </r>
  <r>
    <x v="2503"/>
    <x v="0"/>
    <s v="ΠΕ06"/>
    <s v="ΑΓΓΛΙΚΗΣ ΦΙΛΟΛΟΓ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0-01-11T00:00:00"/>
    <x v="0"/>
    <s v="ΔΙΕΥΘΥΝΣΗ Δ.Ε. ΛΑΡΙΣΑΣ"/>
    <x v="4"/>
  </r>
  <r>
    <x v="2504"/>
    <x v="1"/>
    <s v="ΠΕ11"/>
    <s v="ΦΥΣΙΚΗΣ ΑΓΩΓΗΣ"/>
    <m/>
    <m/>
    <s v="Γ΄"/>
    <n v="1"/>
    <s v="16688/ 02/10/2018"/>
    <d v="2018-09-11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8-09-11T00:00:00"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70-01-01T00:00:00"/>
    <x v="0"/>
    <s v="ΔΙΕΥΘΥΝΣΗ Δ.Ε. ΑΝΑΤΟΛΙΚΗΣ ΑΤΤΙΚΗΣ"/>
    <x v="4"/>
  </r>
  <r>
    <x v="2505"/>
    <x v="1"/>
    <s v="ΠΕ03"/>
    <s v="ΜΑΘΗΜΑΤΙΚΟΙ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1-01T00:00:00"/>
    <x v="0"/>
    <s v="ΔΙΕΥΘΥΝΣΗ Δ.Ε. Δ΄ ΑΘΗΝΑΣ"/>
    <x v="4"/>
  </r>
  <r>
    <x v="2506"/>
    <x v="0"/>
    <s v="ΠΕ11"/>
    <s v="ΦΥΣΙΚΗΣ ΑΓΩΓΗΣ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0-01-01T00:00:00"/>
    <x v="0"/>
    <s v="ΔΙΕΥΘΥΝΣΗ Δ.Ε. ΛΑΡΙΣΑΣ"/>
    <x v="4"/>
  </r>
  <r>
    <x v="2507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0-01-01T00:00:00"/>
    <x v="0"/>
    <s v="ΔΙΕΥΘΥΝΣΗ Δ.Ε. ΑΝΑΤ. ΘΕΣ/ΝΙΚΗΣ"/>
    <x v="4"/>
  </r>
  <r>
    <x v="2508"/>
    <x v="1"/>
    <s v="ΠΕ02"/>
    <s v="ΦΙΛΟΛΟΓΟΙ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12-19T00:00:00"/>
    <x v="0"/>
    <s v="ΔΙΕΥΘΥΝΣΗ Δ.Ε. ΑΝΑΤ. ΘΕΣ/ΝΙΚΗΣ"/>
    <x v="4"/>
  </r>
  <r>
    <x v="2509"/>
    <x v="1"/>
    <s v="ΠΕ04.02"/>
    <s v="ΧΗΜΙΚΟΙ"/>
    <m/>
    <m/>
    <s v="Α΄"/>
    <n v="10"/>
    <m/>
    <m/>
    <s v="Α΄ ΑΘΗΝΑΣ (Δ.Ε.) 2018"/>
    <s v="ΔΙΕΥΘΥΝΣΗ Δ.Ε. Α΄ ΑΘΗΝΑΣ"/>
    <s v="ΠΕΡΙΦΕΡΕΙΑΚΗ Δ/ΝΣΗ Α/ΘΜΙΑΣ ΚΑΙ Β/ΘΜΙΑΣ ΕΚΠ/ΣΗΣ ΑΤΤΙΚΗΣ"/>
    <n v="20"/>
    <d v="2001-09-03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9-11-17T00:00:00"/>
    <x v="0"/>
    <s v="ΔΙΕΥΘΥΝΣΗ Δ.Ε. Α΄ ΑΘΗΝΑΣ"/>
    <x v="4"/>
  </r>
  <r>
    <x v="2510"/>
    <x v="0"/>
    <s v="ΠΕ88.02"/>
    <s v="ΦΥΤ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11-17T00:00:00"/>
    <x v="0"/>
    <s v="ΔΙΕΥΘΥΝΣΗ Δ.Ε. ΑΝΑΤ. ΘΕΣ/ΝΙΚΗΣ"/>
    <x v="4"/>
  </r>
  <r>
    <x v="2511"/>
    <x v="0"/>
    <s v="ΠΕ04.01"/>
    <s v="ΦΥΣΙΚΟΙ"/>
    <m/>
    <m/>
    <s v="Γ΄"/>
    <n v="1"/>
    <s v="ΩΔΣΩ4653ΠΣ-ΞΛΦ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11-15T00:00:00"/>
    <x v="0"/>
    <s v="ΔΙΕΥΘΥΝΣΗ Δ.Ε. Β΄ ΑΘΗΝΑΣ"/>
    <x v="4"/>
  </r>
  <r>
    <x v="2512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11-14T00:00:00"/>
    <x v="0"/>
    <s v="ΔΙΕΥΘΥΝΣΗ Δ.Ε. Γ΄ ΑΘΗΝΑΣ"/>
    <x v="4"/>
  </r>
  <r>
    <x v="2513"/>
    <x v="0"/>
    <s v="ΠΕ04.02"/>
    <s v="ΧΗΜ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11-13T00:00:00"/>
    <x v="0"/>
    <s v="ΔΙΕΥΘΥΝΣΗ Δ.Ε. ΑΝΑΤΟΛΙΚΗΣ ΑΤΤΙΚΗΣ"/>
    <x v="4"/>
  </r>
  <r>
    <x v="251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9-10-26T00:00:00"/>
    <x v="0"/>
    <s v="ΔΙΕΥΘΥΝΣΗ Δ.Ε. Β΄ ΑΘΗΝΑΣ"/>
    <x v="4"/>
  </r>
  <r>
    <x v="2515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9-10-16T00:00:00"/>
    <x v="0"/>
    <s v="ΔΙΕΥΘΥΝΣΗ Δ.Ε. ΑΝΑΤΟΛΙΚΗΣ ΑΤΤΙΚΗΣ"/>
    <x v="4"/>
  </r>
  <r>
    <x v="2516"/>
    <x v="1"/>
    <s v="ΠΕ07"/>
    <s v="ΓΕΡΜΑΝ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9-30T00:00:00"/>
    <x v="0"/>
    <s v="ΔΙΕΥΘΥΝΣΗ Δ.Ε. ΑΝΑΤ. ΘΕΣ/ΝΙΚΗΣ"/>
    <x v="4"/>
  </r>
  <r>
    <x v="2517"/>
    <x v="0"/>
    <s v="ΠΕ04.01"/>
    <s v="ΦΥΣΙΚ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9-09-27T00:00:00"/>
    <x v="0"/>
    <s v="ΔΙΕΥΘΥΝΣΗ Δ.Ε. ΛΑΡΙΣΑΣ"/>
    <x v="4"/>
  </r>
  <r>
    <x v="2518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9-09-19T00:00:00"/>
    <x v="0"/>
    <s v="ΔΙΕΥΘΥΝΣΗ Δ.Ε. ΑΝΑΤΟΛΙΚΗΣ ΑΤΤΙΚΗΣ"/>
    <x v="4"/>
  </r>
  <r>
    <x v="2519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9-03T00:00:00"/>
    <x v="0"/>
    <s v="ΔΙΕΥΘΥΝΣΗ Δ.Ε. Β΄ ΑΘΗΝΑΣ"/>
    <x v="4"/>
  </r>
  <r>
    <x v="2520"/>
    <x v="0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8-25T00:00:00"/>
    <x v="0"/>
    <s v="ΔΙΕΥΘΥΝΣΗ Δ.Ε. Β΄ ΑΘΗΝΑΣ"/>
    <x v="4"/>
  </r>
  <r>
    <x v="252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8-14T00:00:00"/>
    <x v="0"/>
    <s v="ΔΙΕΥΘΥΝΣΗ Δ.Ε. Β΄ ΑΘΗΝΑΣ"/>
    <x v="4"/>
  </r>
  <r>
    <x v="2522"/>
    <x v="0"/>
    <s v="ΠΕ11"/>
    <s v="ΦΥΣΙΚΗΣ ΑΓΩΓΗΣ"/>
    <m/>
    <m/>
    <s v="Γ΄"/>
    <n v="1"/>
    <n v="6569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3"/>
    <s v="Τοποθέτηση σε Ιδιωτική Εκπαίδευση"/>
    <d v="1969-08-10T00:00:00"/>
    <x v="0"/>
    <s v="ΔΙΕΥΘΥΝΣΗ Δ.Ε. ΔΥΤ. ΘΕΣ/ΝΙΚΗΣ"/>
    <x v="4"/>
  </r>
  <r>
    <x v="2523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8-02T00:00:00"/>
    <x v="0"/>
    <s v="ΔΙΕΥΘΥΝΣΗ Δ.Ε. Β΄ ΑΘΗΝΑΣ"/>
    <x v="4"/>
  </r>
  <r>
    <x v="2524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8-01T00:00:00"/>
    <x v="0"/>
    <s v="ΔΙΕΥΘΥΝΣΗ Δ.Ε. Β΄ ΑΘΗΝΑΣ"/>
    <x v="4"/>
  </r>
  <r>
    <x v="2525"/>
    <x v="0"/>
    <s v="ΠΕ86"/>
    <s v="ΠΛΗΡΟΦΟΡΙΚΗΣ"/>
    <s v="ΠΕ03"/>
    <s v="ΜΑΘΗΜΑΤΙΚΟΙ"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9-07-24T00:00:00"/>
    <x v="0"/>
    <s v="ΔΙΕΥΘΥΝΣΗ Δ.Ε. ΤΡΙΚΑΛΩΝ"/>
    <x v="4"/>
  </r>
  <r>
    <x v="2526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7-23T00:00:00"/>
    <x v="0"/>
    <s v="ΔΙΕΥΘΥΝΣΗ Δ.Ε. ΑΝΑΤΟΛΙΚΗΣ ΑΤΤΙΚΗΣ"/>
    <x v="4"/>
  </r>
  <r>
    <x v="2527"/>
    <x v="0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7-18T00:00:00"/>
    <x v="0"/>
    <s v="ΔΙΕΥΘΥΝΣΗ Δ.Ε. Β΄ ΑΘΗΝΑΣ"/>
    <x v="4"/>
  </r>
  <r>
    <x v="2528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7-15T00:00:00"/>
    <x v="1"/>
    <s v="ΔΙΕΥΘΥΝΣΗ Π.Ε. ΑΝΑΤ. ΘΕΣ/ΝΙΚΗΣ"/>
    <x v="4"/>
  </r>
  <r>
    <x v="2529"/>
    <x v="0"/>
    <s v="ΠΕ04.01"/>
    <s v="ΦΥΣΙΚΟΙ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7-09T00:00:00"/>
    <x v="0"/>
    <s v="ΔΙΕΥΘΥΝΣΗ Δ.Ε. Δ΄ ΑΘΗΝΑΣ"/>
    <x v="4"/>
  </r>
  <r>
    <x v="2530"/>
    <x v="1"/>
    <s v="ΠΕ04.02"/>
    <s v="ΧΗΜ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9-06-21T00:00:00"/>
    <x v="0"/>
    <s v="ΔΙΕΥΘΥΝΣΗ Δ.Ε. Α΄ ΑΘΗΝΑΣ"/>
    <x v="4"/>
  </r>
  <r>
    <x v="2531"/>
    <x v="1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9-06-07T00:00:00"/>
    <x v="0"/>
    <s v="ΔΙΕΥΘΥΝΣΗ Δ.Ε. ΑΝΑΤ. ΘΕΣ/ΝΙΚΗΣ"/>
    <x v="4"/>
  </r>
  <r>
    <x v="2532"/>
    <x v="0"/>
    <s v="ΠΕ04.04"/>
    <s v="ΒΙΟΛΟΓΟΙ"/>
    <m/>
    <m/>
    <s v="Γ΄"/>
    <n v="1"/>
    <n v="1646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69-06-04T00:00:00"/>
    <x v="0"/>
    <s v="ΔΙΕΥΘΥΝΣΗ Δ.Ε. Δ΄ ΑΘΗΝΑΣ"/>
    <x v="4"/>
  </r>
  <r>
    <x v="253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5-30T00:00:00"/>
    <x v="0"/>
    <s v="ΔΙΕΥΘΥΝΣΗ Δ.Ε. Β΄ ΑΘΗΝΑΣ"/>
    <x v="4"/>
  </r>
  <r>
    <x v="2534"/>
    <x v="0"/>
    <s v="ΠΕ02"/>
    <s v="ΦΙΛΟΛΟΓΟΙ"/>
    <m/>
    <m/>
    <s v="Γ΄"/>
    <n v="1"/>
    <s v="63/06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5-30T00:00:00"/>
    <x v="0"/>
    <s v="ΔΙΕΥΘΥΝΣΗ Δ.Ε. Δ΄ ΑΘΗΝΑΣ"/>
    <x v="4"/>
  </r>
  <r>
    <x v="2535"/>
    <x v="1"/>
    <s v="ΠΕ06"/>
    <s v="ΑΓΓΛΙΚΗΣ ΦΙΛΟΛΟΓΙΑΣ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9-05-20T00:00:00"/>
    <x v="1"/>
    <s v="ΔΙΕΥΘΥΝΣΗ Π.Ε. ΔΥΤ. ΘΕΣ/ΝΙΚΗΣ"/>
    <x v="4"/>
  </r>
  <r>
    <x v="2536"/>
    <x v="0"/>
    <s v="ΠΕ05"/>
    <s v="ΓΑΛΛΙΚΗΣ ΦΙΛΟΛΟΓΙΑΣ"/>
    <m/>
    <m/>
    <s v="Α΄"/>
    <n v="10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5-17T00:00:00"/>
    <x v="0"/>
    <s v="ΔΙΕΥΘΥΝΣΗ Δ.Ε. Δ΄ ΑΘΗΝΑΣ"/>
    <x v="4"/>
  </r>
  <r>
    <x v="2537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5-10T00:00:00"/>
    <x v="1"/>
    <s v="ΔΙΕΥΘΥΝΣΗ Π.Ε. Β΄ ΑΘΗΝΑΣ"/>
    <x v="4"/>
  </r>
  <r>
    <x v="2538"/>
    <x v="1"/>
    <s v="ΠΕ04.04"/>
    <s v="ΒΙ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9-04-21T00:00:00"/>
    <x v="0"/>
    <s v="ΔΙΕΥΘΥΝΣΗ Δ.Ε. ΛΑΡΙΣΑΣ"/>
    <x v="4"/>
  </r>
  <r>
    <x v="2539"/>
    <x v="0"/>
    <s v="ΠΕ01"/>
    <s v="ΘΕ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4-15T00:00:00"/>
    <x v="0"/>
    <s v="ΔΙΕΥΘΥΝΣΗ Δ.Ε. Β΄ ΑΘΗΝΑΣ"/>
    <x v="4"/>
  </r>
  <r>
    <x v="2540"/>
    <x v="1"/>
    <s v="ΠΕ05"/>
    <s v="ΓΑΛΛΙΚΗΣ ΦΙΛΟΛΟΓΙΑΣ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0"/>
    <m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69-03-31T00:00:00"/>
    <x v="1"/>
    <s v="ΔΙΕΥΘΥΝΣΗ Π.Ε. ΚΟΡΙΝΘΙΑΣ"/>
    <x v="4"/>
  </r>
  <r>
    <x v="2541"/>
    <x v="1"/>
    <s v="ΠΕ11"/>
    <s v="ΦΥΣΙΚΗΣ ΑΓΩΓΗ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9-03-29T00:00:00"/>
    <x v="0"/>
    <s v="ΔΙΕΥΘΥΝΣΗ Δ.Ε. ΑΝΑΤΟΛΙΚΗΣ ΑΤΤΙΚΗΣ"/>
    <x v="4"/>
  </r>
  <r>
    <x v="254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3-26T00:00:00"/>
    <x v="0"/>
    <s v="ΔΙΕΥΘΥΝΣΗ Δ.Ε. Β΄ ΑΘΗΝΑΣ"/>
    <x v="4"/>
  </r>
  <r>
    <x v="2543"/>
    <x v="1"/>
    <s v="ΠΕ11"/>
    <s v="ΦΥΣΙΚΗΣ ΑΓΩΓ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3-05T00:00:00"/>
    <x v="0"/>
    <s v="ΔΙΕΥΘΥΝΣΗ Δ.Ε. Δ΄ ΑΘΗΝΑΣ"/>
    <x v="4"/>
  </r>
  <r>
    <x v="2544"/>
    <x v="1"/>
    <s v="ΠΕ02"/>
    <s v="ΦΙΛΟΛΟΓ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69-02-23T00:00:00"/>
    <x v="0"/>
    <s v="ΔΙΕΥΘΥΝΣΗ Δ.Ε. ΧΑΝΙΩΝ"/>
    <x v="4"/>
  </r>
  <r>
    <x v="2545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9-02-21T00:00:00"/>
    <x v="0"/>
    <s v="ΔΙΕΥΘΥΝΣΗ Δ.Ε. Α΄ ΑΘΗΝΑΣ"/>
    <x v="4"/>
  </r>
  <r>
    <x v="2546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2-21T00:00:00"/>
    <x v="0"/>
    <s v="ΔΙΕΥΘΥΝΣΗ Δ.Ε. ΑΝΑΤΟΛΙΚΗΣ ΑΤΤΙΚΗΣ"/>
    <x v="4"/>
  </r>
  <r>
    <x v="2547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2-10T00:00:00"/>
    <x v="0"/>
    <s v="ΔΙΕΥΘΥΝΣΗ Δ.Ε. Β΄ ΑΘΗΝΑΣ"/>
    <x v="4"/>
  </r>
  <r>
    <x v="2548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2-05T00:00:00"/>
    <x v="0"/>
    <s v="ΔΙΕΥΘΥΝΣΗ Δ.Ε. ΑΝΑΤ. ΘΕΣ/ΝΙΚΗΣ"/>
    <x v="4"/>
  </r>
  <r>
    <x v="2549"/>
    <x v="1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1-26T00:00:00"/>
    <x v="0"/>
    <s v="ΔΙΕΥΘΥΝΣΗ Δ.Ε. Β΄ ΑΘΗΝΑΣ"/>
    <x v="4"/>
  </r>
  <r>
    <x v="2550"/>
    <x v="1"/>
    <s v="ΠΕ86"/>
    <s v="ΠΛΗΡΟΦΟΡΙΚ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01-01T00:00:00"/>
    <x v="0"/>
    <s v="ΔΙΕΥΘΥΝΣΗ Δ.Ε. Γ΄ ΑΘΗΝΑΣ"/>
    <x v="4"/>
  </r>
  <r>
    <x v="2551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1-01T00:00:00"/>
    <x v="1"/>
    <s v="ΔΙΕΥΘΥΝΣΗ Π.Ε. Β΄ ΑΘΗΝΑΣ"/>
    <x v="4"/>
  </r>
  <r>
    <x v="2552"/>
    <x v="1"/>
    <s v="ΠΕ02"/>
    <s v="ΦΙΛΟΛΟΓΟΙ"/>
    <m/>
    <m/>
    <s v="Γ΄"/>
    <n v="1"/>
    <n v="672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9-01-01T00:00:00"/>
    <x v="0"/>
    <s v="ΔΙΕΥΘΥΝΣΗ Δ.Ε. ΔΥΤ. ΘΕΣ/ΝΙΚΗΣ"/>
    <x v="4"/>
  </r>
  <r>
    <x v="2553"/>
    <x v="0"/>
    <s v="ΠΕ86"/>
    <s v="ΠΛΗΡΟΦΟΡΙΚΗΣ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20"/>
    <m/>
    <s v="Ιδιωτικά Σχολεία"/>
    <x v="2"/>
    <s v="1760001"/>
    <s v="ΙΔΙΩΤΙΚΟ ΓΥΜΝΑΣΙΟ ΗΡΑΚΛΕΙΟΥ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69-01-01T00:00:00"/>
    <x v="0"/>
    <s v="ΔΙΕΥΘΥΝΣΗ Δ.Ε. ΗΡΑΚΛΕΙΟΥ"/>
    <x v="4"/>
  </r>
  <r>
    <x v="2554"/>
    <x v="0"/>
    <s v="ΠΕ02"/>
    <s v="ΦΙΛ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8-12-17T00:00:00"/>
    <x v="0"/>
    <s v="ΔΙΕΥΘΥΝΣΗ Δ.Ε. ΔΩΔΕΚΑΝΗΣΟΥ"/>
    <x v="4"/>
  </r>
  <r>
    <x v="2555"/>
    <x v="1"/>
    <s v="ΠΕ02"/>
    <s v="ΦΙΛΟΛΟΓΟΙ"/>
    <m/>
    <m/>
    <s v="Α΄"/>
    <n v="1"/>
    <s v="5834/30-09-2009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8-12-15T00:00:00"/>
    <x v="0"/>
    <s v="ΔΙΕΥΘΥΝΣΗ Δ.Ε. ΔΥΤ. ΘΕΣ/ΝΙΚΗΣ"/>
    <x v="4"/>
  </r>
  <r>
    <x v="2556"/>
    <x v="1"/>
    <s v="ΠΕ07"/>
    <s v="ΓΕΡΜΑΝ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12-14T00:00:00"/>
    <x v="0"/>
    <s v="ΔΙΕΥΘΥΝΣΗ Δ.Ε. ΑΝΑΤΟΛΙΚΗΣ ΑΤΤΙΚΗΣ"/>
    <x v="4"/>
  </r>
  <r>
    <x v="2557"/>
    <x v="1"/>
    <s v="ΠΕ79.01"/>
    <s v="ΜΟΥΣΙΚΗΣ ΕΠΙΣΤΗΜΗΣ"/>
    <m/>
    <m/>
    <s v="Γ΄"/>
    <n v="1"/>
    <s v="Φ 17.2/319/8047/4-10-2015"/>
    <d v="2018-09-01T00:00:00"/>
    <s v="Β΄ ΑΘΗΝΑΣ (Π.Ε.) 2018"/>
    <s v="ΔΙΕΥΘΥΝΣΗ Π.Ε. Β΄ ΑΘΗΝΑΣ"/>
    <s v="ΠΕΡΙΦΕΡΕΙΑΚΗ Δ/ΝΣΗ Α/ΘΜΙΑΣ ΚΑΙ Β/ΘΜΙΑΣ ΕΚΠ/ΣΗΣ ΑΤΤΙΚΗΣ"/>
    <n v="2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11-15T00:00:00"/>
    <x v="1"/>
    <s v="ΔΙΕΥΘΥΝΣΗ Π.Ε. Β΄ ΑΘΗΝΑΣ"/>
    <x v="4"/>
  </r>
  <r>
    <x v="2558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8-11-06T00:00:00"/>
    <x v="0"/>
    <s v="ΔΙΕΥΘΥΝΣΗ Δ.Ε. Β΄ ΑΘΗΝΑΣ"/>
    <x v="4"/>
  </r>
  <r>
    <x v="2559"/>
    <x v="1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11-06T00:00:00"/>
    <x v="0"/>
    <s v="ΔΙΕΥΘΥΝΣΗ Δ.Ε. Γ΄ ΑΘΗΝΑΣ"/>
    <x v="4"/>
  </r>
  <r>
    <x v="2560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1-04T00:00:00"/>
    <x v="0"/>
    <s v="ΔΙΕΥΘΥΝΣΗ Δ.Ε. Β΄ ΑΘΗΝΑΣ"/>
    <x v="4"/>
  </r>
  <r>
    <x v="2561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10-24T00:00:00"/>
    <x v="0"/>
    <s v="ΔΙΕΥΘΥΝΣΗ Δ.Ε. ΑΝΑΤΟΛΙΚΗΣ ΑΤΤΙΚΗΣ"/>
    <x v="4"/>
  </r>
  <r>
    <x v="2562"/>
    <x v="1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10-17T00:00:00"/>
    <x v="0"/>
    <s v="ΔΙΕΥΘΥΝΣΗ Δ.Ε. ΑΝΑΤ. ΘΕΣ/ΝΙΚΗΣ"/>
    <x v="4"/>
  </r>
  <r>
    <x v="2563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10-10T00:00:00"/>
    <x v="0"/>
    <s v="ΔΙΕΥΘΥΝΣΗ Δ.Ε. Α΄ ΑΘΗΝΑΣ"/>
    <x v="4"/>
  </r>
  <r>
    <x v="2564"/>
    <x v="0"/>
    <s v="ΠΕ02"/>
    <s v="ΦΙΛΟΛΟΓΟΙ"/>
    <m/>
    <m/>
    <s v="Α΄"/>
    <n v="8"/>
    <m/>
    <m/>
    <s v="Α΄ ΑΘΗΝΑΣ (Δ.Ε.) 2018"/>
    <s v="ΔΙΕΥΘΥΝΣΗ Δ.Ε. Α΄ ΑΘΗΝΑΣ"/>
    <s v="ΠΕΡΙΦΕΡΕΙΑΚΗ Δ/ΝΣΗ Α/ΘΜΙΑΣ ΚΑΙ Β/ΘΜΙΑΣ ΕΚΠ/ΣΗΣ ΑΤΤΙΚΗΣ"/>
    <n v="20"/>
    <d v="2000-09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10-02T00:00:00"/>
    <x v="0"/>
    <s v="ΔΙΕΥΘΥΝΣΗ Δ.Ε. Α΄ ΑΘΗΝΑΣ"/>
    <x v="4"/>
  </r>
  <r>
    <x v="2565"/>
    <x v="1"/>
    <s v="ΠΕ02"/>
    <s v="ΦΙΛΟΛΟΓΟΙ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20"/>
    <d v="1999-02-10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09-20T00:00:00"/>
    <x v="0"/>
    <s v="ΔΙΕΥΘΥΝΣΗ Δ.Ε. Α΄ ΑΘΗΝΑΣ"/>
    <x v="4"/>
  </r>
  <r>
    <x v="2566"/>
    <x v="1"/>
    <s v="ΠΕ86"/>
    <s v="ΠΛΗΡΟΦΟΡΙΚ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9-15T00:00:00"/>
    <x v="0"/>
    <s v="ΔΙΕΥΘΥΝΣΗ Δ.Ε. Δ΄ ΑΘΗΝΑΣ"/>
    <x v="4"/>
  </r>
  <r>
    <x v="2567"/>
    <x v="0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80030"/>
    <s v="ΙΔΙΩΤΙΚΟ ΗΜΕΡΗΣΙΟ ΛΥΚΕΙΟ ΘΕΣΣΑΛΟΝΙΚΗΣ &quot; ΕΚΠΑΙΔΕΥΤΗΡΙΑ ΒΑΣΙΛΕΙΑΔΗ 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9-08T00:00:00"/>
    <x v="0"/>
    <s v="ΔΙΕΥΘΥΝΣΗ Δ.Ε. ΑΝΑΤ. ΘΕΣ/ΝΙΚΗΣ"/>
    <x v="4"/>
  </r>
  <r>
    <x v="2568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9-06T00:00:00"/>
    <x v="0"/>
    <s v="ΔΙΕΥΘΥΝΣΗ Δ.Ε. ΑΝΑΤ. ΘΕΣ/ΝΙΚΗΣ"/>
    <x v="4"/>
  </r>
  <r>
    <x v="2569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30"/>
    <s v="ΙΔΙΩΤΙΚΟ ΗΜΕΡΗΣΙΟ ΓΕΝΙΚΟ ΛΥΚΕΙΟ ΩΘ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8-18T00:00:00"/>
    <x v="0"/>
    <s v="ΔΙΕΥΘΥΝΣΗ Δ.Ε. ΑΝΑΤΟΛΙΚΗΣ ΑΤΤΙΚΗΣ"/>
    <x v="4"/>
  </r>
  <r>
    <x v="2570"/>
    <x v="0"/>
    <s v="ΠΕ86"/>
    <s v="ΠΛΗΡΟΦΟΡΙΚ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8-18T00:00:00"/>
    <x v="0"/>
    <s v="ΔΙΕΥΘΥΝΣΗ Δ.Ε. ΑΝΑΤΟΛΙΚΗΣ ΑΤΤΙΚΗΣ"/>
    <x v="4"/>
  </r>
  <r>
    <x v="2571"/>
    <x v="0"/>
    <s v="ΠΕ86"/>
    <s v="ΠΛΗΡΟΦΟΡΙΚ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8-08-10T00:00:00"/>
    <x v="0"/>
    <s v="ΔΙΕΥΘΥΝΣΗ Δ.Ε. Α΄ ΑΘΗΝΑΣ"/>
    <x v="4"/>
  </r>
  <r>
    <x v="2572"/>
    <x v="1"/>
    <s v="ΠΕ02"/>
    <s v="ΦΙΛΟΛΟΓΟΙ"/>
    <m/>
    <m/>
    <s v="Γ΄"/>
    <n v="12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8-05T00:00:00"/>
    <x v="0"/>
    <s v="ΔΙΕΥΘΥΝΣΗ Δ.Ε. Δ΄ ΑΘΗΝΑΣ"/>
    <x v="4"/>
  </r>
  <r>
    <x v="2573"/>
    <x v="0"/>
    <s v="ΠΕ04.02"/>
    <s v="ΧΗΜ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7-24T00:00:00"/>
    <x v="0"/>
    <s v="ΔΙΕΥΘΥΝΣΗ Δ.Ε. ΠΕΙΡΑΙΑ"/>
    <x v="4"/>
  </r>
  <r>
    <x v="257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7-17T00:00:00"/>
    <x v="0"/>
    <s v="ΔΙΕΥΘΥΝΣΗ Δ.Ε. Β΄ ΑΘΗΝΑΣ"/>
    <x v="4"/>
  </r>
  <r>
    <x v="2575"/>
    <x v="0"/>
    <s v="ΠΕ04.01"/>
    <s v="ΦΥΣΙΚ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7-13T00:00:00"/>
    <x v="0"/>
    <s v="ΔΙΕΥΘΥΝΣΗ Δ.Ε. Δ΄ ΑΘΗΝΑΣ"/>
    <x v="4"/>
  </r>
  <r>
    <x v="2576"/>
    <x v="1"/>
    <s v="ΠΕ80"/>
    <s v="ΟΙΚΟΝΟΜΙΑΣ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7-11T00:00:00"/>
    <x v="0"/>
    <s v="ΔΙΕΥΘΥΝΣΗ Δ.Ε. ΑΝΑΤ. ΘΕΣ/ΝΙΚΗΣ"/>
    <x v="4"/>
  </r>
  <r>
    <x v="2577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8-07-03T00:00:00"/>
    <x v="0"/>
    <s v="ΔΙΕΥΘΥΝΣΗ Δ.Ε. ΑΝΑΤΟΛΙΚΗΣ ΑΤΤΙΚΗΣ"/>
    <x v="4"/>
  </r>
  <r>
    <x v="2578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6-28T00:00:00"/>
    <x v="0"/>
    <s v="ΔΙΕΥΘΥΝΣΗ Δ.Ε. ΑΝΑΤΟΛΙΚΗΣ ΑΤΤΙΚΗΣ"/>
    <x v="4"/>
  </r>
  <r>
    <x v="2579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6-18T00:00:00"/>
    <x v="0"/>
    <s v="ΔΙΕΥΘΥΝΣΗ Δ.Ε. ΑΝΑΤ. ΘΕΣ/ΝΙΚΗΣ"/>
    <x v="4"/>
  </r>
  <r>
    <x v="2580"/>
    <x v="0"/>
    <s v="ΠΕ02"/>
    <s v="ΦΙΛΟΛΟΓ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8-06-08T00:00:00"/>
    <x v="0"/>
    <s v="ΔΙΕΥΘΥΝΣΗ Δ.Ε. ΤΡΙΚΑΛΩΝ"/>
    <x v="4"/>
  </r>
  <r>
    <x v="2581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6-03T00:00:00"/>
    <x v="0"/>
    <s v="ΔΙΕΥΘΥΝΣΗ Δ.Ε. ΑΝΑΤ. ΘΕΣ/ΝΙΚΗΣ"/>
    <x v="4"/>
  </r>
  <r>
    <x v="2582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5-28T00:00:00"/>
    <x v="0"/>
    <s v="ΔΙΕΥΘΥΝΣΗ Δ.Ε. Β΄ ΑΘΗΝΑΣ"/>
    <x v="4"/>
  </r>
  <r>
    <x v="2583"/>
    <x v="1"/>
    <s v="ΠΕ04.04"/>
    <s v="ΒΙ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68-05-10T00:00:00"/>
    <x v="0"/>
    <s v="ΔΙΕΥΘΥΝΣΗ Δ.Ε. ΛΑΡΙΣΑΣ"/>
    <x v="4"/>
  </r>
  <r>
    <x v="2584"/>
    <x v="0"/>
    <s v="ΠΕ03"/>
    <s v="ΜΑΘΗΜΑΤΙΚ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8-05-04T00:00:00"/>
    <x v="0"/>
    <s v="ΔΙΕΥΘΥΝΣΗ Δ.Ε. ΤΡΙΚΑΛΩΝ"/>
    <x v="4"/>
  </r>
  <r>
    <x v="258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5-01T00:00:00"/>
    <x v="0"/>
    <s v="ΔΙΕΥΘΥΝΣΗ Δ.Ε. Β΄ ΑΘΗΝΑΣ"/>
    <x v="4"/>
  </r>
  <r>
    <x v="2586"/>
    <x v="1"/>
    <s v="ΠΕ80"/>
    <s v="ΟΙΚΟΝΟΜΙΑ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8-04-09T00:00:00"/>
    <x v="0"/>
    <s v="ΔΙΕΥΘΥΝΣΗ Δ.Ε. ΤΡΙΚΑΛΩΝ"/>
    <x v="4"/>
  </r>
  <r>
    <x v="2587"/>
    <x v="1"/>
    <s v="ΠΕ06"/>
    <s v="ΑΓΓ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4-04T00:00:00"/>
    <x v="0"/>
    <s v="ΔΙΕΥΘΥΝΣΗ Δ.Ε. ΑΝΑΤ. ΘΕΣ/ΝΙΚΗΣ"/>
    <x v="4"/>
  </r>
  <r>
    <x v="258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23T00:00:00"/>
    <x v="0"/>
    <s v="ΔΙΕΥΘΥΝΣΗ Δ.Ε. Β΄ ΑΘΗΝΑΣ"/>
    <x v="4"/>
  </r>
  <r>
    <x v="2589"/>
    <x v="0"/>
    <s v="ΠΕ04.01"/>
    <s v="ΦΥΣΙΚΟΙ"/>
    <s v="ΠΕ84"/>
    <s v="ΗΛΕΚΤΡΟΝΙΚΩΝ"/>
    <s v="Α΄"/>
    <n v="9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8-03-15T00:00:00"/>
    <x v="0"/>
    <s v="ΔΙΕΥΘΥΝΣΗ Δ.Ε. ΛΑΡΙΣΑΣ"/>
    <x v="4"/>
  </r>
  <r>
    <x v="2590"/>
    <x v="1"/>
    <s v="ΠΕ11"/>
    <s v="ΦΥΣΙΚΗΣ ΑΓΩΓΗΣ"/>
    <m/>
    <m/>
    <s v="Α΄"/>
    <n v="9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2-08T00:00:00"/>
    <x v="0"/>
    <s v="ΔΙΕΥΘΥΝΣΗ Δ.Ε. Δ΄ ΑΘΗΝΑΣ"/>
    <x v="4"/>
  </r>
  <r>
    <x v="2591"/>
    <x v="1"/>
    <s v="ΠΕ78"/>
    <s v="ΚΟΙΝΩΝΙΚΩΝ ΕΠΙΣΤΗΜ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2-05T00:00:00"/>
    <x v="0"/>
    <s v="ΔΙΕΥΘΥΝΣΗ Δ.Ε. ΠΕΙΡΑΙΑ"/>
    <x v="4"/>
  </r>
  <r>
    <x v="2592"/>
    <x v="0"/>
    <s v="ΠΕ02"/>
    <s v="ΦΙΛΟΛΟΓΟΙ"/>
    <m/>
    <m/>
    <s v="Α΄"/>
    <n v="1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8-02-02T00:00:00"/>
    <x v="0"/>
    <s v="ΔΙΕΥΘΥΝΣΗ Δ.Ε. ΑΝΑΤ. ΘΕΣ/ΝΙΚΗΣ"/>
    <x v="4"/>
  </r>
  <r>
    <x v="2593"/>
    <x v="0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1-30T00:00:00"/>
    <x v="0"/>
    <s v="ΔΙΕΥΘΥΝΣΗ Δ.Ε. Γ΄ ΑΘΗΝΑΣ"/>
    <x v="4"/>
  </r>
  <r>
    <x v="259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21T00:00:00"/>
    <x v="0"/>
    <s v="ΔΙΕΥΘΥΝΣΗ Δ.Ε. Β΄ ΑΘΗΝΑΣ"/>
    <x v="4"/>
  </r>
  <r>
    <x v="2595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21T00:00:00"/>
    <x v="0"/>
    <s v="ΔΙΕΥΘΥΝΣΗ Δ.Ε. Β΄ ΑΘΗΝΑΣ"/>
    <x v="4"/>
  </r>
  <r>
    <x v="2596"/>
    <x v="1"/>
    <s v="ΠΕ05"/>
    <s v="ΓΑΛ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1-20T00:00:00"/>
    <x v="0"/>
    <s v="ΔΙΕΥΘΥΝΣΗ Δ.Ε. ΑΝΑΤ. ΘΕΣ/ΝΙΚΗΣ"/>
    <x v="4"/>
  </r>
  <r>
    <x v="2597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1-18T00:00:00"/>
    <x v="0"/>
    <s v="ΔΙΕΥΘΥΝΣΗ Δ.Ε. ΑΝΑΤ. ΘΕΣ/ΝΙΚΗΣ"/>
    <x v="4"/>
  </r>
  <r>
    <x v="2598"/>
    <x v="1"/>
    <s v="ΠΕ08"/>
    <s v="ΚΑΛΛΙΤΕΧΝΙΚ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1-17T00:00:00"/>
    <x v="0"/>
    <s v="ΔΙΕΥΘΥΝΣΗ Δ.Ε. ΑΝΑΤΟΛΙΚΗΣ ΑΤΤΙΚΗΣ"/>
    <x v="4"/>
  </r>
  <r>
    <x v="259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13T00:00:00"/>
    <x v="0"/>
    <s v="ΔΙΕΥΘΥΝΣΗ Δ.Ε. Β΄ ΑΘΗΝΑΣ"/>
    <x v="4"/>
  </r>
  <r>
    <x v="2600"/>
    <x v="1"/>
    <s v="ΠΕ79.01"/>
    <s v="ΜΟΥΣΙΚΗΣ ΕΠΙΣΤΗΜΗ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1-03T00:00:00"/>
    <x v="0"/>
    <s v="ΔΙΕΥΘΥΝΣΗ Δ.Ε. Δ΄ ΑΘΗΝΑΣ"/>
    <x v="4"/>
  </r>
  <r>
    <x v="2601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1-03T00:00:00"/>
    <x v="0"/>
    <s v="ΔΙΕΥΘΥΝΣΗ Δ.Ε. Δ΄ ΑΘΗΝΑΣ"/>
    <x v="4"/>
  </r>
  <r>
    <x v="2602"/>
    <x v="1"/>
    <s v="ΠΕ86"/>
    <s v="ΠΛΗΡΟΦΟΡΙΚΗΣ"/>
    <m/>
    <m/>
    <s v="Γ΄"/>
    <n v="1"/>
    <s v="ΒΙΡ89-ΠΙΔ"/>
    <d v="2014-02-14T00:00:00"/>
    <s v="Α΄ ΑΝΑΤ. ΑΤΤΙΚΗΣ (Δ.Ε.) 2018"/>
    <s v="ΔΙΕΥΘΥΝΣΗ Δ.Ε. ΑΝΑΤΟΛΙΚΗΣ ΑΤΤΙΚΗΣ"/>
    <s v="ΠΕΡΙΦΕΡΕΙΑΚΗ Δ/ΝΣΗ Α/ΘΜΙΑΣ ΚΑΙ Β/ΘΜΙΑΣ ΕΚΠ/ΣΗΣ ΑΤΤΙΚΗΣ"/>
    <n v="20"/>
    <d v="2014-02-14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1-01T00:00:00"/>
    <x v="0"/>
    <s v="ΔΙΕΥΘΥΝΣΗ Δ.Ε. ΑΝΑΤΟΛΙΚΗΣ ΑΤΤΙΚΗΣ"/>
    <x v="4"/>
  </r>
  <r>
    <x v="2603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1-01T00:00:00"/>
    <x v="0"/>
    <s v="ΔΙΕΥΘΥΝΣΗ Δ.Ε. Δ΄ ΑΘΗΝΑΣ"/>
    <x v="4"/>
  </r>
  <r>
    <x v="2604"/>
    <x v="0"/>
    <s v="ΠΕ04.01"/>
    <s v="ΦΥΣΙΚΟΙ"/>
    <m/>
    <m/>
    <s v="Γ΄"/>
    <n v="1"/>
    <n v="6844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8-01-01T00:00:00"/>
    <x v="0"/>
    <s v="ΔΙΕΥΘΥΝΣΗ Δ.Ε. ΔΥΤ. ΘΕΣ/ΝΙΚΗΣ"/>
    <x v="4"/>
  </r>
  <r>
    <x v="2605"/>
    <x v="0"/>
    <s v="ΠΕ02"/>
    <s v="ΦΙΛΟΛΟΓΟΙ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7-12-24T00:00:00"/>
    <x v="0"/>
    <s v="ΔΙΕΥΘΥΝΣΗ Δ.Ε. ΤΡΙΚΑΛΩΝ"/>
    <x v="4"/>
  </r>
  <r>
    <x v="2606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7-12-16T00:00:00"/>
    <x v="0"/>
    <s v="ΔΙΕΥΘΥΝΣΗ Δ.Ε. ΑΝΑΤΟΛΙΚΗΣ ΑΤΤΙΚΗΣ"/>
    <x v="4"/>
  </r>
  <r>
    <x v="2607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12-11T00:00:00"/>
    <x v="0"/>
    <s v="ΔΙΕΥΘΥΝΣΗ Δ.Ε. ΑΝΑΤΟΛΙΚΗΣ ΑΤΤΙΚΗΣ"/>
    <x v="4"/>
  </r>
  <r>
    <x v="2608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12-09T00:00:00"/>
    <x v="0"/>
    <s v="ΔΙΕΥΘΥΝΣΗ Δ.Ε. Δ΄ ΑΘΗΝΑΣ"/>
    <x v="4"/>
  </r>
  <r>
    <x v="2609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2-07T00:00:00"/>
    <x v="0"/>
    <s v="ΔΙΕΥΘΥΝΣΗ Δ.Ε. Β΄ ΑΘΗΝΑΣ"/>
    <x v="4"/>
  </r>
  <r>
    <x v="2610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1-13T00:00:00"/>
    <x v="0"/>
    <s v="ΔΙΕΥΘΥΝΣΗ Δ.Ε. Β΄ ΑΘΗΝΑΣ"/>
    <x v="4"/>
  </r>
  <r>
    <x v="2611"/>
    <x v="0"/>
    <s v="ΠΕ11"/>
    <s v="ΦΥΣΙΚΗΣ ΑΓΩΓ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10-21T00:00:00"/>
    <x v="0"/>
    <s v="ΔΙΕΥΘΥΝΣΗ Δ.Ε. Α΄ ΑΘΗΝΑΣ"/>
    <x v="4"/>
  </r>
  <r>
    <x v="2612"/>
    <x v="1"/>
    <s v="ΠΕ01"/>
    <s v="ΘΕΟΛΟΓ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0"/>
    <m/>
    <s v="Ιδιωτικά Σχολεία"/>
    <x v="2"/>
    <s v="5060001"/>
    <s v="ΙΔΙΩΤΙΚΟ ΓΥΜΝΑΣΙΟ -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67-10-20T00:00:00"/>
    <x v="0"/>
    <s v="ΔΙΕΥΘΥΝΣΗ Δ.Ε. ΧΑΝΙΩΝ"/>
    <x v="4"/>
  </r>
  <r>
    <x v="261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0-15T00:00:00"/>
    <x v="0"/>
    <s v="ΔΙΕΥΘΥΝΣΗ Δ.Ε. Β΄ ΑΘΗΝΑΣ"/>
    <x v="4"/>
  </r>
  <r>
    <x v="2614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10-09T00:00:00"/>
    <x v="0"/>
    <s v="ΔΙΕΥΘΥΝΣΗ Δ.Ε. Β΄ ΑΘΗΝΑΣ"/>
    <x v="4"/>
  </r>
  <r>
    <x v="2615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10-08T00:00:00"/>
    <x v="0"/>
    <s v="ΔΙΕΥΘΥΝΣΗ Δ.Ε. ΑΝΑΤΟΛΙΚΗΣ ΑΤΤΙΚΗΣ"/>
    <x v="4"/>
  </r>
  <r>
    <x v="2616"/>
    <x v="1"/>
    <s v="ΠΕ05"/>
    <s v="ΓΑΛ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10-04T00:00:00"/>
    <x v="0"/>
    <s v="ΔΙΕΥΘΥΝΣΗ Δ.Ε. ΠΕΙΡΑΙΑ"/>
    <x v="4"/>
  </r>
  <r>
    <x v="2617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9-19T00:00:00"/>
    <x v="0"/>
    <s v="ΔΙΕΥΘΥΝΣΗ Δ.Ε. ΑΝΑΤΟΛΙΚΗΣ ΑΤΤΙΚΗΣ"/>
    <x v="4"/>
  </r>
  <r>
    <x v="2618"/>
    <x v="0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9-06T00:00:00"/>
    <x v="0"/>
    <s v="ΔΙΕΥΘΥΝΣΗ Δ.Ε. ΑΝΑΤ. ΘΕΣ/ΝΙΚΗΣ"/>
    <x v="4"/>
  </r>
  <r>
    <x v="2619"/>
    <x v="0"/>
    <s v="ΠΕ04.02"/>
    <s v="ΧΗΜΙΚ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7-09-04T00:00:00"/>
    <x v="0"/>
    <s v="ΔΙΕΥΘΥΝΣΗ Δ.Ε. ΤΡΙΚΑΛΩΝ"/>
    <x v="4"/>
  </r>
  <r>
    <x v="2620"/>
    <x v="0"/>
    <s v="ΠΕ04.01"/>
    <s v="ΦΥΣΙΚΟΙ"/>
    <m/>
    <m/>
    <s v="Γ΄"/>
    <n v="6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8-31T00:00:00"/>
    <x v="0"/>
    <s v="ΔΙΕΥΘΥΝΣΗ Δ.Ε. Δ΄ ΑΘΗΝΑΣ"/>
    <x v="4"/>
  </r>
  <r>
    <x v="2621"/>
    <x v="1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8-24T00:00:00"/>
    <x v="0"/>
    <s v="ΔΙΕΥΘΥΝΣΗ Δ.Ε. Β΄ ΑΘΗΝΑΣ"/>
    <x v="4"/>
  </r>
  <r>
    <x v="2622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7-08-03T00:00:00"/>
    <x v="0"/>
    <s v="ΔΙΕΥΘΥΝΣΗ Δ.Ε. Γ΄ ΑΘΗΝΑΣ"/>
    <x v="4"/>
  </r>
  <r>
    <x v="2623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7-21T00:00:00"/>
    <x v="0"/>
    <s v="ΔΙΕΥΘΥΝΣΗ Δ.Ε. Β΄ ΑΘΗΝΑΣ"/>
    <x v="4"/>
  </r>
  <r>
    <x v="2624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7-12T00:00:00"/>
    <x v="0"/>
    <s v="ΔΙΕΥΘΥΝΣΗ Δ.Ε. Β΄ ΑΘΗΝΑΣ"/>
    <x v="4"/>
  </r>
  <r>
    <x v="2625"/>
    <x v="1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3"/>
    <s v="Τοποθέτηση σε Ιδιωτική Εκπαίδευση"/>
    <d v="1967-07-11T00:00:00"/>
    <x v="0"/>
    <s v="ΔΙΕΥΘΥΝΣΗ Δ.Ε. ΑΧΑΪΑΣ"/>
    <x v="4"/>
  </r>
  <r>
    <x v="2626"/>
    <x v="0"/>
    <s v="ΠΕ03"/>
    <s v="ΜΑΘΗΜΑΤΙΚΟΙ"/>
    <m/>
    <m/>
    <s v="Α΄"/>
    <n v="9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7-07-10T00:00:00"/>
    <x v="0"/>
    <s v="ΔΙΕΥΘΥΝΣΗ Δ.Ε. ΛΑΡΙΣΑΣ"/>
    <x v="4"/>
  </r>
  <r>
    <x v="2627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7-09T00:00:00"/>
    <x v="0"/>
    <s v="ΔΙΕΥΘΥΝΣΗ Δ.Ε. Β΄ ΑΘΗΝΑΣ"/>
    <x v="4"/>
  </r>
  <r>
    <x v="2628"/>
    <x v="0"/>
    <s v="ΠΕ78"/>
    <s v="ΚΟΙΝΩΝΙΚΩΝ ΕΠΙΣΤΗΜ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6-22T00:00:00"/>
    <x v="0"/>
    <s v="ΔΙΕΥΘΥΝΣΗ Δ.Ε. Δ΄ ΑΘΗΝΑΣ"/>
    <x v="4"/>
  </r>
  <r>
    <x v="2629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7-06-14T00:00:00"/>
    <x v="0"/>
    <s v="ΔΙΕΥΘΥΝΣΗ Δ.Ε. ΛΑΡΙΣΑΣ"/>
    <x v="4"/>
  </r>
  <r>
    <x v="2630"/>
    <x v="0"/>
    <s v="ΠΕ06"/>
    <s v="ΑΓΓΛΙΚΗΣ ΦΙΛΟΛΟΓΙΑΣ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0"/>
    <m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67-06-10T00:00:00"/>
    <x v="0"/>
    <s v="ΔΙΕΥΘΥΝΣΗ Δ.Ε. ΠΙΕΡΙΑΣ"/>
    <x v="4"/>
  </r>
  <r>
    <x v="2631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6-04T00:00:00"/>
    <x v="0"/>
    <s v="ΔΙΕΥΘΥΝΣΗ Δ.Ε. ΑΝΑΤ. ΘΕΣ/ΝΙΚΗΣ"/>
    <x v="4"/>
  </r>
  <r>
    <x v="2632"/>
    <x v="0"/>
    <s v="ΠΕ03"/>
    <s v="ΜΑΘΗΜΑΤ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0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7-05-31T00:00:00"/>
    <x v="0"/>
    <s v="ΔΙΕΥΘΥΝΣΗ Δ.Ε. ΙΩΑΝΝΙΝΩΝ"/>
    <x v="4"/>
  </r>
  <r>
    <x v="2633"/>
    <x v="0"/>
    <s v="ΠΕ01"/>
    <s v="ΘΕ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5-26T00:00:00"/>
    <x v="0"/>
    <s v="ΔΙΕΥΘΥΝΣΗ Δ.Ε. ΑΝΑΤΟΛΙΚΗΣ ΑΤΤΙΚΗΣ"/>
    <x v="4"/>
  </r>
  <r>
    <x v="2634"/>
    <x v="1"/>
    <s v="ΠΕ05"/>
    <s v="ΓΑΛ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5-23T00:00:00"/>
    <x v="0"/>
    <s v="ΔΙΕΥΘΥΝΣΗ Δ.Ε. ΑΝΑΤ. ΘΕΣ/ΝΙΚΗΣ"/>
    <x v="4"/>
  </r>
  <r>
    <x v="2635"/>
    <x v="1"/>
    <s v="ΠΕ04.04"/>
    <s v="ΒΙ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7-05-22T00:00:00"/>
    <x v="0"/>
    <s v="ΔΙΕΥΘΥΝΣΗ Δ.Ε. ΔΩΔΕΚΑΝΗΣΟΥ"/>
    <x v="4"/>
  </r>
  <r>
    <x v="2636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5-14T00:00:00"/>
    <x v="0"/>
    <s v="ΔΙΕΥΘΥΝΣΗ Δ.Ε. Β΄ ΑΘΗΝΑΣ"/>
    <x v="4"/>
  </r>
  <r>
    <x v="2637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05-08T00:00:00"/>
    <x v="0"/>
    <s v="ΔΙΕΥΘΥΝΣΗ Δ.Ε. Β΄ ΑΘΗΝΑΣ"/>
    <x v="4"/>
  </r>
  <r>
    <x v="2638"/>
    <x v="0"/>
    <s v="ΠΕ01"/>
    <s v="ΘΕ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7-05-05T00:00:00"/>
    <x v="0"/>
    <s v="ΔΙΕΥΘΥΝΣΗ Δ.Ε. Β΄ ΑΘΗΝΑΣ"/>
    <x v="4"/>
  </r>
  <r>
    <x v="2639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7-04-12T00:00:00"/>
    <x v="0"/>
    <s v="ΔΙΕΥΘΥΝΣΗ Δ.Ε. ΑΝΑΤ. ΘΕΣ/ΝΙΚΗΣ"/>
    <x v="4"/>
  </r>
  <r>
    <x v="2640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80715"/>
    <s v="ΙΔΙΩΤΙΚΟ ΗΜΕΡΗΣΙΟ ΓΕΛ ΣΥΓΧΡΟΝΗ ΠΑΙΔΕΙΑ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2-25T00:00:00"/>
    <x v="0"/>
    <s v="ΔΙΕΥΘΥΝΣΗ Δ.Ε. Α΄ ΑΘΗΝΑΣ"/>
    <x v="4"/>
  </r>
  <r>
    <x v="264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2-22T00:00:00"/>
    <x v="0"/>
    <s v="ΔΙΕΥΘΥΝΣΗ Δ.Ε. Β΄ ΑΘΗΝΑΣ"/>
    <x v="4"/>
  </r>
  <r>
    <x v="2642"/>
    <x v="0"/>
    <s v="ΠΕ83"/>
    <s v="ΗΛΕΚΤΡΟΛΟΓΩΝ"/>
    <s v="ΠΕ86"/>
    <s v="ΠΛΗΡΟΦΟΡΙΚΗΣ"/>
    <s v="Α΄"/>
    <n v="1"/>
    <m/>
    <m/>
    <s v="ΧΑΝΙΩΝ (Δ.Ε.) 2018"/>
    <s v="ΔΙΕΥΘΥΝΣΗ Δ.Ε. ΧΑΝΙΩΝ"/>
    <s v="ΠΕΡΙΦΕΡΕΙΑΚΗ Δ/ΝΣΗ Α/ΘΜΙΑΣ ΚΑΙ Β/ΘΜΙΑΣ ΕΚΠ/ΣΗΣ ΚΡΗΤΗΣ"/>
    <n v="20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67-02-20T00:00:00"/>
    <x v="0"/>
    <s v="ΔΙΕΥΘΥΝΣΗ Δ.Ε. ΧΑΝΙΩΝ"/>
    <x v="4"/>
  </r>
  <r>
    <x v="2643"/>
    <x v="0"/>
    <s v="ΠΕ04.01"/>
    <s v="ΦΥΣΙΚ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7-02-18T00:00:00"/>
    <x v="0"/>
    <s v="ΔΙΕΥΘΥΝΣΗ Δ.Ε. ΤΡΙΚΑΛΩΝ"/>
    <x v="4"/>
  </r>
  <r>
    <x v="2644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1"/>
    <s v="7051049"/>
    <s v="ΙΔΙΩΤΙΚΟ ΝΗΠΙΑΓΩΓΕΙΟ ΗΛΙΟΧΑΜΟΓΕΛΟ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7-02-11T00:00:00"/>
    <x v="1"/>
    <s v="ΔΙΕΥΘΥΝΣΗ Π.Ε. Α΄ ΑΘΗΝΑΣ"/>
    <x v="4"/>
  </r>
  <r>
    <x v="2645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1-27T00:00:00"/>
    <x v="0"/>
    <s v="ΔΙΕΥΘΥΝΣΗ Δ.Ε. Β΄ ΑΘΗΝΑΣ"/>
    <x v="4"/>
  </r>
  <r>
    <x v="2646"/>
    <x v="1"/>
    <s v="ΠΕ60"/>
    <s v="ΝΗΠΙΑΓΩΓΟΙ"/>
    <m/>
    <m/>
    <s v="Γ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0"/>
    <m/>
    <s v="Ιδιωτικά Σχολεία"/>
    <x v="1"/>
    <s v="7011011"/>
    <s v="ΙΔΙΩΤΙΚΟ ΝΗΠΙΑΓΩΓΕΙΟ ΑΓΡΙΝΙΟ - Ο ΚΟΣΜΟΣ ΤΟΥ ΝΤΙΣΝΕΥ"/>
    <s v="ΑΙΤΩΛΟΑΚΑΡΝΑΝΙΑΣ (Π.Ε.) 2018"/>
    <s v="ΔΙΕΥΘΥΝΣΗ Π.Ε. ΑΙΤΩΛΟΑΚΑΡΝΑΝΙΑΣ"/>
    <s v="ΠΕΡΙΦΕΡΕΙΑΚΗ Δ/ΝΣΗ Α/ΘΜΙΑΣ ΚΑΙ Β/ΘΜΙΑΣ ΕΚΠ/ΣΗΣ ΔΥΤΙΚΗΣ ΕΛΛΑΔΑΣ"/>
    <x v="3"/>
    <s v="Τοποθέτηση σε Ιδιωτική Εκπαίδευση"/>
    <d v="1967-01-27T00:00:00"/>
    <x v="1"/>
    <s v="ΔΙΕΥΘΥΝΣΗ Π.Ε. ΑΙΤΩΛΟΑΚΑΡΝΑΝΙΑΣ"/>
    <x v="4"/>
  </r>
  <r>
    <x v="2647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Γ΄ ΑΘΗΝΑΣ"/>
    <x v="4"/>
  </r>
  <r>
    <x v="2648"/>
    <x v="0"/>
    <s v="ΠΕ04.01"/>
    <s v="ΦΥΣΙΚ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0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Δ΄ ΑΘΗΝΑΣ"/>
    <x v="4"/>
  </r>
  <r>
    <x v="2649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ΠΕΙΡΑΙΑ"/>
    <x v="4"/>
  </r>
  <r>
    <x v="2650"/>
    <x v="1"/>
    <s v="ΠΕ06"/>
    <s v="ΑΓΓ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1-01T00:00:00"/>
    <x v="0"/>
    <s v="ΔΙΕΥΘΥΝΣΗ Δ.Ε. ΑΝΑΤ. ΘΕΣ/ΝΙΚΗΣ"/>
    <x v="4"/>
  </r>
  <r>
    <x v="2651"/>
    <x v="1"/>
    <s v="ΠΕ60"/>
    <s v="ΝΗΠΙΑΓΩΓΟΙ"/>
    <m/>
    <m/>
    <s v="Γ΄"/>
    <n v="1"/>
    <n v="195"/>
    <d v="2002-08-29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0"/>
    <d v="2002-08-29T00:00:00"/>
    <s v="Ιδιωτικά Σχολεία"/>
    <x v="1"/>
    <s v="7191047"/>
    <s v="ΙΔΙΩΤΙΚΟ ΝΗΠΙΑΓΩΓΕΙΟ ΚΑΤΩ ΤΟΥΜΠΑ - ΝΕΟΣ ΝΗΠΙΑΚΟΣ ΚΗΠΟΣ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67-01-01T00:00:00"/>
    <x v="1"/>
    <s v="ΔΙΕΥΘΥΝΣΗ Π.Ε. ΑΝΑΤ. ΘΕΣ/ΝΙΚΗΣ"/>
    <x v="4"/>
  </r>
  <r>
    <x v="2652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2-22T00:00:00"/>
    <x v="0"/>
    <s v="ΔΙΕΥΘΥΝΣΗ Δ.Ε. Β΄ ΑΘΗΝΑΣ"/>
    <x v="4"/>
  </r>
  <r>
    <x v="2653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2-06T00:00:00"/>
    <x v="0"/>
    <s v="ΔΙΕΥΘΥΝΣΗ Δ.Ε. Β΄ ΑΘΗΝΑΣ"/>
    <x v="4"/>
  </r>
  <r>
    <x v="2654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2-05T00:00:00"/>
    <x v="0"/>
    <s v="ΔΙΕΥΘΥΝΣΗ Δ.Ε. Β΄ ΑΘΗΝΑΣ"/>
    <x v="4"/>
  </r>
  <r>
    <x v="2655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2-05T00:00:00"/>
    <x v="0"/>
    <s v="ΔΙΕΥΘΥΝΣΗ Δ.Ε. Β΄ ΑΘΗΝΑΣ"/>
    <x v="4"/>
  </r>
  <r>
    <x v="2656"/>
    <x v="1"/>
    <s v="ΠΕ04.01"/>
    <s v="ΦΥΣΙΚΟΙ"/>
    <m/>
    <m/>
    <s v="Γ΄"/>
    <n v="1"/>
    <n v="5775"/>
    <d v="2018-09-05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8-09-05T00:00:00"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11-12T00:00:00"/>
    <x v="0"/>
    <s v="ΔΙΕΥΘΥΝΣΗ Δ.Ε. ΑΝΑΤΟΛΙΚΗΣ ΑΤΤΙΚΗΣ"/>
    <x v="4"/>
  </r>
  <r>
    <x v="2657"/>
    <x v="1"/>
    <s v="ΠΕ03"/>
    <s v="ΜΑΘΗΜΑΤΙΚΟΙ"/>
    <m/>
    <m/>
    <s v="Γ΄"/>
    <n v="1"/>
    <s v="5774 / 5-10-2007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8-09-01T00:00:00"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10-21T00:00:00"/>
    <x v="0"/>
    <s v="ΔΙΕΥΘΥΝΣΗ Δ.Ε. ΑΝΑΤΟΛΙΚΗΣ ΑΤΤΙΚΗΣ"/>
    <x v="4"/>
  </r>
  <r>
    <x v="2658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0-13T00:00:00"/>
    <x v="0"/>
    <s v="ΔΙΕΥΘΥΝΣΗ Δ.Ε. Β΄ ΑΘΗΝΑΣ"/>
    <x v="4"/>
  </r>
  <r>
    <x v="2659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6-10-12T00:00:00"/>
    <x v="0"/>
    <s v="ΔΙΕΥΘΥΝΣΗ Δ.Ε. Β΄ ΑΘΗΝΑΣ"/>
    <x v="4"/>
  </r>
  <r>
    <x v="2660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6-10-10T00:00:00"/>
    <x v="0"/>
    <s v="ΔΙΕΥΘΥΝΣΗ Δ.Ε. ΠΕΙΡΑΙΑ"/>
    <x v="4"/>
  </r>
  <r>
    <x v="2661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9-22T00:00:00"/>
    <x v="0"/>
    <s v="ΔΙΕΥΘΥΝΣΗ Δ.Ε. Β΄ ΑΘΗΝΑΣ"/>
    <x v="4"/>
  </r>
  <r>
    <x v="2662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9-09T00:00:00"/>
    <x v="0"/>
    <s v="ΔΙΕΥΘΥΝΣΗ Δ.Ε. Β΄ ΑΘΗΝΑΣ"/>
    <x v="4"/>
  </r>
  <r>
    <x v="2663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1"/>
    <s v="7052015"/>
    <s v="ΙΔΙΩΤΙΚΟ ΝΗΠΙΑΓΩΓΕΙΟ ΧΑΛΑΝΔΡΙ - ΑΛΛΗΛΟΒΟΗΘΗΤΙΚΟ ΤΑΜΕΙΟ ΠΕΡΙΘΑΛΨΗΣ ΣΥΛΛΟΓΟΥ ΥΠΑΛΛΗΛΩΝ ΤΡΑΠΕΖΑΣ ΕΛΛΑΔ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6-09-05T00:00:00"/>
    <x v="1"/>
    <s v="ΔΙΕΥΘΥΝΣΗ Π.Ε. Β΄ ΑΘΗΝΑΣ"/>
    <x v="4"/>
  </r>
  <r>
    <x v="2664"/>
    <x v="0"/>
    <s v="ΠΕ78"/>
    <s v="ΚΟΙΝΩΝΙΚΩΝ ΕΠΙΣΤΗΜΩΝ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09-03T00:00:00"/>
    <x v="0"/>
    <s v="ΔΙΕΥΘΥΝΣΗ Δ.Ε. ΑΝΑΤΟΛΙΚΗΣ ΑΤΤΙΚΗΣ"/>
    <x v="4"/>
  </r>
  <r>
    <x v="2665"/>
    <x v="0"/>
    <s v="ΠΕ04.04"/>
    <s v="ΒΙ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9-03T00:00:00"/>
    <x v="0"/>
    <s v="ΔΙΕΥΘΥΝΣΗ Δ.Ε. Δ΄ ΑΘΗΝΑΣ"/>
    <x v="4"/>
  </r>
  <r>
    <x v="2666"/>
    <x v="0"/>
    <s v="ΠΕ88.02"/>
    <s v="ΦΥΤ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9-02T00:00:00"/>
    <x v="0"/>
    <s v="ΔΙΕΥΘΥΝΣΗ Δ.Ε. ΑΝΑΤ. ΘΕΣ/ΝΙΚΗΣ"/>
    <x v="4"/>
  </r>
  <r>
    <x v="2667"/>
    <x v="0"/>
    <s v="ΠΕ80"/>
    <s v="ΟΙΚΟΝΟΜ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9-01T00:00:00"/>
    <x v="0"/>
    <s v="ΔΙΕΥΘΥΝΣΗ Δ.Ε. ΑΝΑΤ. ΘΕΣ/ΝΙΚΗΣ"/>
    <x v="4"/>
  </r>
  <r>
    <x v="2668"/>
    <x v="0"/>
    <s v="ΠΕ01"/>
    <s v="ΘΕ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6-07-25T00:00:00"/>
    <x v="0"/>
    <s v="ΔΙΕΥΘΥΝΣΗ Δ.Ε. ΑΝΑΤΟΛΙΚΗΣ ΑΤΤΙΚΗΣ"/>
    <x v="4"/>
  </r>
  <r>
    <x v="2669"/>
    <x v="0"/>
    <s v="ΠΕ04.02"/>
    <s v="ΧΗΜ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7-24T00:00:00"/>
    <x v="0"/>
    <s v="ΔΙΕΥΘΥΝΣΗ Δ.Ε. Β΄ ΑΘΗΝΑΣ"/>
    <x v="4"/>
  </r>
  <r>
    <x v="2670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7-20T00:00:00"/>
    <x v="0"/>
    <s v="ΔΙΕΥΘΥΝΣΗ Δ.Ε. Δ΄ ΑΘΗΝΑΣ"/>
    <x v="4"/>
  </r>
  <r>
    <x v="2671"/>
    <x v="0"/>
    <s v="ΠΕ88.05"/>
    <s v="ΦΥΣΙΚΟΥ ΠΕΡΙΒΑΛΛΟΝΤΟ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7-19T00:00:00"/>
    <x v="0"/>
    <s v="ΔΙΕΥΘΥΝΣΗ Δ.Ε. Β΄ ΑΘΗΝΑΣ"/>
    <x v="4"/>
  </r>
  <r>
    <x v="2672"/>
    <x v="0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7-03T00:00:00"/>
    <x v="0"/>
    <s v="ΔΙΕΥΘΥΝΣΗ Δ.Ε. ΑΝΑΤ. ΘΕΣ/ΝΙΚΗΣ"/>
    <x v="4"/>
  </r>
  <r>
    <x v="2673"/>
    <x v="0"/>
    <s v="ΠΕ88.03"/>
    <s v="ΖΩ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6-27T00:00:00"/>
    <x v="0"/>
    <s v="ΔΙΕΥΘΥΝΣΗ Δ.Ε. ΑΝΑΤ. ΘΕΣ/ΝΙΚΗΣ"/>
    <x v="4"/>
  </r>
  <r>
    <x v="2674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6-12T00:00:00"/>
    <x v="0"/>
    <s v="ΔΙΕΥΘΥΝΣΗ Δ.Ε. Β΄ ΑΘΗΝΑΣ"/>
    <x v="4"/>
  </r>
  <r>
    <x v="2675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6-11T00:00:00"/>
    <x v="0"/>
    <s v="ΔΙΕΥΘΥΝΣΗ Δ.Ε. Β΄ ΑΘΗΝΑΣ"/>
    <x v="4"/>
  </r>
  <r>
    <x v="2676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6-10T00:00:00"/>
    <x v="0"/>
    <s v="ΔΙΕΥΘΥΝΣΗ Δ.Ε. Β΄ ΑΘΗΝΑΣ"/>
    <x v="4"/>
  </r>
  <r>
    <x v="2677"/>
    <x v="0"/>
    <s v="ΠΕ04.01"/>
    <s v="ΦΥΣ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6-05-24T00:00:00"/>
    <x v="0"/>
    <s v="ΔΙΕΥΘΥΝΣΗ Δ.Ε. ΔΩΔΕΚΑΝΗΣΟΥ"/>
    <x v="4"/>
  </r>
  <r>
    <x v="2678"/>
    <x v="0"/>
    <s v="ΠΕ01"/>
    <s v="ΘΕΟΛΟΓΟΙ"/>
    <m/>
    <m/>
    <s v="Α΄"/>
    <n v="8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5-14T00:00:00"/>
    <x v="0"/>
    <s v="ΔΙΕΥΘΥΝΣΗ Δ.Ε. Δ΄ ΑΘΗΝΑΣ"/>
    <x v="4"/>
  </r>
  <r>
    <x v="2679"/>
    <x v="0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6-03-31T00:00:00"/>
    <x v="0"/>
    <s v="ΔΙΕΥΘΥΝΣΗ Δ.Ε. ΑΝΑΤ. ΘΕΣ/ΝΙΚΗΣ"/>
    <x v="4"/>
  </r>
  <r>
    <x v="2680"/>
    <x v="1"/>
    <s v="ΠΕ86"/>
    <s v="ΠΛΗΡΟΦΟΡΙΚΗΣ"/>
    <s v="ΠΕ04.01"/>
    <s v="ΦΥΣΙΚΟΙ"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03-15T00:00:00"/>
    <x v="0"/>
    <s v="ΔΙΕΥΘΥΝΣΗ Δ.Ε. ΑΝΑΤΟΛΙΚΗΣ ΑΤΤΙΚΗΣ"/>
    <x v="4"/>
  </r>
  <r>
    <x v="2681"/>
    <x v="1"/>
    <s v="ΠΕ03"/>
    <s v="ΜΑΘΗΜΑΤ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6-03-13T00:00:00"/>
    <x v="0"/>
    <s v="ΔΙΕΥΘΥΝΣΗ Δ.Ε. ΔΩΔΕΚΑΝΗΣΟΥ"/>
    <x v="4"/>
  </r>
  <r>
    <x v="2682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3-08T00:00:00"/>
    <x v="0"/>
    <s v="ΔΙΕΥΘΥΝΣΗ Δ.Ε. Β΄ ΑΘΗΝΑΣ"/>
    <x v="4"/>
  </r>
  <r>
    <x v="2683"/>
    <x v="0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023"/>
    <s v="ΙΔΙΩΤΙΚΟ ΗΜΕΡΗΣΙΟ ΓΕΝΙΚΟ ΛΥΚΕΙΟ                                                                                                                                 ΕΚΠ. ΑΦΟΙ ΔΙΑΜΑΝΤΟΠΟΥΛΟΥ Ο.Ε."/>
    <s v="Γ΄ ΑΘΗΝΑΣ (Δ.Ε.) 2018"/>
    <s v="ΔΙΕΥΘΥΝΣΗ Δ.Ε. Γ΄ ΑΘΗΝΑΣ"/>
    <s v="ΠΕΡΙΦΕΡΕΙΑΚΗ Δ/ΝΣΗ Α/ΘΜΙΑΣ ΚΑΙ Β/ΘΜΙΑΣ ΕΚΠ/ΣΗΣ ΑΤΤΙΚΗΣ"/>
    <x v="3"/>
    <s v="Τοποθέτηση σε Ιδιωτική Εκπαίδευση"/>
    <d v="1966-03-04T00:00:00"/>
    <x v="0"/>
    <s v="ΔΙΕΥΘΥΝΣΗ Δ.Ε. Γ΄ ΑΘΗΝΑΣ"/>
    <x v="4"/>
  </r>
  <r>
    <x v="2684"/>
    <x v="1"/>
    <s v="ΠΕ03"/>
    <s v="ΜΑΘΗΜΑΤΙΚΟΙ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0"/>
    <d v="2009-09-10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6-02-17T00:00:00"/>
    <x v="0"/>
    <s v="ΔΙΕΥΘΥΝΣΗ Δ.Ε. Α΄ ΑΘΗΝΑΣ"/>
    <x v="4"/>
  </r>
  <r>
    <x v="2685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2-07T00:00:00"/>
    <x v="0"/>
    <s v="ΔΙΕΥΘΥΝΣΗ Δ.Ε. Β΄ ΑΘΗΝΑΣ"/>
    <x v="4"/>
  </r>
  <r>
    <x v="2686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1-24T00:00:00"/>
    <x v="0"/>
    <s v="ΔΙΕΥΘΥΝΣΗ Δ.Ε. Β΄ ΑΘΗΝΑΣ"/>
    <x v="4"/>
  </r>
  <r>
    <x v="2687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1-11T00:00:00"/>
    <x v="0"/>
    <s v="ΔΙΕΥΘΥΝΣΗ Δ.Ε. Β΄ ΑΘΗΝΑΣ"/>
    <x v="4"/>
  </r>
  <r>
    <x v="2688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6-01-05T00:00:00"/>
    <x v="0"/>
    <s v="ΔΙΕΥΘΥΝΣΗ Δ.Ε. Γ΄ ΑΘΗΝΑΣ"/>
    <x v="4"/>
  </r>
  <r>
    <x v="2689"/>
    <x v="1"/>
    <s v="ΠΕ78"/>
    <s v="ΚΟΙΝΩΝΙΚΩΝ ΕΠΙΣΤΗΜΩΝ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1-03T00:00:00"/>
    <x v="0"/>
    <s v="ΔΙΕΥΘΥΝΣΗ Δ.Ε. ΑΝΑΤ. ΘΕΣ/ΝΙΚΗΣ"/>
    <x v="4"/>
  </r>
  <r>
    <x v="2690"/>
    <x v="1"/>
    <s v="ΠΕ60"/>
    <s v="ΝΗΠΙΑΓΩΓΟΙ"/>
    <m/>
    <m/>
    <s v="Α΄"/>
    <n v="1"/>
    <n v="176"/>
    <d v="1999-08-31T00:00:00"/>
    <s v="Α΄ ΑΝΑΤ. ΑΤΤΙΚΗΣ (Π.Ε.) 2018"/>
    <s v="ΔΙΕΥΘΥΝΣΗ Π.Ε. ΑΝΑΤΟΛΙΚΗΣ ΑΤΤΙΚΗΣ"/>
    <s v="ΠΕΡΙΦΕΡΕΙΑΚΗ Δ/ΝΣΗ Α/ΘΜΙΑΣ ΚΑΙ Β/ΘΜΙΑΣ ΕΚΠ/ΣΗΣ ΑΤΤΙΚΗΣ"/>
    <n v="20"/>
    <d v="1999-08-31T00:00:00"/>
    <s v="Ιδιωτικά Σχολεία"/>
    <x v="1"/>
    <s v="7521049"/>
    <s v="ΔΙΑΔΡΑΣΤΙΚΟ ΕΥΡΩΠΑΪΚΟ ΣΧΟΛΕΙΟ - ΚΩΝΣΤΑΝΤΑΡΑ ΜΠΗΛΙΩ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6-01-01T00:00:00"/>
    <x v="1"/>
    <s v="ΔΙΕΥΘΥΝΣΗ Π.Ε. ΑΝΑΤΟΛΙΚΗΣ ΑΤΤΙΚΗΣ"/>
    <x v="4"/>
  </r>
  <r>
    <x v="2691"/>
    <x v="0"/>
    <s v="ΠΕ02"/>
    <s v="ΦΙΛΟΛΟΓ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6-01-01T00:00:00"/>
    <x v="0"/>
    <s v="ΔΙΕΥΘΥΝΣΗ Δ.Ε. ΔΥΤ. ΘΕΣ/ΝΙΚΗΣ"/>
    <x v="4"/>
  </r>
  <r>
    <x v="2692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12-01T00:00:00"/>
    <x v="0"/>
    <s v="ΔΙΕΥΘΥΝΣΗ Δ.Ε. Β΄ ΑΘΗΝΑΣ"/>
    <x v="4"/>
  </r>
  <r>
    <x v="2693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11-22T00:00:00"/>
    <x v="0"/>
    <s v="ΔΙΕΥΘΥΝΣΗ Δ.Ε. Β΄ ΑΘΗΝΑΣ"/>
    <x v="4"/>
  </r>
  <r>
    <x v="2694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10-17T00:00:00"/>
    <x v="0"/>
    <s v="ΔΙΕΥΘΥΝΣΗ Δ.Ε. Β΄ ΑΘΗΝΑΣ"/>
    <x v="4"/>
  </r>
  <r>
    <x v="2695"/>
    <x v="1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5-10-11T00:00:00"/>
    <x v="0"/>
    <s v="ΔΙΕΥΘΥΝΣΗ Δ.Ε. Β΄ ΑΘΗΝΑΣ"/>
    <x v="4"/>
  </r>
  <r>
    <x v="2696"/>
    <x v="1"/>
    <s v="ΠΕ06"/>
    <s v="ΑΓΓΛΙΚΗΣ ΦΙΛΟΛΟΓΙΑΣ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9-04T00:00:00"/>
    <x v="0"/>
    <s v="ΔΙΕΥΘΥΝΣΗ Δ.Ε. ΑΝΑΤ. ΘΕΣ/ΝΙΚΗΣ"/>
    <x v="4"/>
  </r>
  <r>
    <x v="2697"/>
    <x v="0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8-27T00:00:00"/>
    <x v="0"/>
    <s v="ΔΙΕΥΘΥΝΣΗ Δ.Ε. ΑΝΑΤ. ΘΕΣ/ΝΙΚΗΣ"/>
    <x v="4"/>
  </r>
  <r>
    <x v="2698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8-22T00:00:00"/>
    <x v="0"/>
    <s v="ΔΙΕΥΘΥΝΣΗ Δ.Ε. Β΄ ΑΘΗΝΑΣ"/>
    <x v="4"/>
  </r>
  <r>
    <x v="2699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8-21T00:00:00"/>
    <x v="0"/>
    <s v="ΔΙΕΥΘΥΝΣΗ Δ.Ε. Δ΄ ΑΘΗΝΑΣ"/>
    <x v="4"/>
  </r>
  <r>
    <x v="2700"/>
    <x v="1"/>
    <s v="ΠΕ06"/>
    <s v="ΑΓΓΛΙΚΗΣ ΦΙΛΟΛΟΓΙΑΣ"/>
    <m/>
    <m/>
    <s v="Γ΄"/>
    <n v="1"/>
    <s v="16255/ 29/9/2017"/>
    <d v="2018-09-01T00:00:00"/>
    <s v="Β΄ ΑΝΑΤ. ΑΤΤΙΚΗΣ (Δ.Ε.) 2018"/>
    <s v="ΔΙΕΥΘΥΝΣΗ Δ.Ε. ΑΝΑΤΟΛΙΚΗΣ ΑΤΤΙΚΗΣ"/>
    <s v="ΠΕΡΙΦΕΡΕΙΑΚΗ Δ/ΝΣΗ Α/ΘΜΙΑΣ ΚΑΙ Β/ΘΜΙΑΣ ΕΚΠ/ΣΗΣ ΑΤΤΙΚΗΣ"/>
    <n v="20"/>
    <d v="2018-09-01T00:00:00"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08-01T00:00:00"/>
    <x v="0"/>
    <s v="ΔΙΕΥΘΥΝΣΗ Δ.Ε. ΑΝΑΤΟΛΙΚΗΣ ΑΤΤΙΚΗΣ"/>
    <x v="4"/>
  </r>
  <r>
    <x v="2701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6-27T00:00:00"/>
    <x v="0"/>
    <s v="ΔΙΕΥΘΥΝΣΗ Δ.Ε. Δ΄ ΑΘΗΝΑΣ"/>
    <x v="4"/>
  </r>
  <r>
    <x v="2702"/>
    <x v="0"/>
    <s v="ΠΕ78"/>
    <s v="ΚΟΙΝΩΝΙΚΩΝ ΕΠΙΣΤΗΜΩΝ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5-06-23T00:00:00"/>
    <x v="0"/>
    <s v="ΔΙΕΥΘΥΝΣΗ Δ.Ε. ΛΑΡΙΣΑΣ"/>
    <x v="4"/>
  </r>
  <r>
    <x v="2703"/>
    <x v="1"/>
    <s v="ΠΕ78"/>
    <s v="ΚΟΙΝΩΝΙΚΩΝ ΕΠΙΣΤΗΜ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0"/>
    <s v="Ιδιωτικό-Ισότιμο Λύκειο-Φιλεκπαιδευτική Εταιρεία, Αρσάκεια-Τοσίτσεια Σχολεία, Α΄ Αρσάκειο-Τοσίτσειο Γενικό Λύκειο Εκά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65-06-16T00:00:00"/>
    <x v="0"/>
    <s v="ΔΙΕΥΘΥΝΣΗ Δ.Ε. ΑΝΑΤΟΛΙΚΗΣ ΑΤΤΙΚΗΣ"/>
    <x v="4"/>
  </r>
  <r>
    <x v="2704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5-30T00:00:00"/>
    <x v="0"/>
    <s v="ΔΙΕΥΘΥΝΣΗ Δ.Ε. Β΄ ΑΘΗΝΑΣ"/>
    <x v="4"/>
  </r>
  <r>
    <x v="2705"/>
    <x v="0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5-29T00:00:00"/>
    <x v="0"/>
    <s v="ΔΙΕΥΘΥΝΣΗ Δ.Ε. Δ΄ ΑΘΗΝΑΣ"/>
    <x v="4"/>
  </r>
  <r>
    <x v="2706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5-20T00:00:00"/>
    <x v="0"/>
    <s v="ΔΙΕΥΘΥΝΣΗ Δ.Ε. Β΄ ΑΘΗΝΑΣ"/>
    <x v="4"/>
  </r>
  <r>
    <x v="2707"/>
    <x v="0"/>
    <s v="ΠΕ04.01"/>
    <s v="ΦΥΣΙΚΟΙ"/>
    <m/>
    <m/>
    <s v="Γ΄"/>
    <n v="1"/>
    <s v="Φ.17.2_Α/17529/13-11-2018"/>
    <d v="2018-09-01T00:00:00"/>
    <s v="ΑΧΑΪΑΣ (Δ.Ε.) 2018"/>
    <s v="ΔΙΕΥΘΥΝΣΗ Δ.Ε. ΑΧΑΪΑΣ"/>
    <s v="ΠΕΡΙΦΕΡΕΙΑΚΗ Δ/ΝΣΗ Α/ΘΜΙΑΣ ΚΑΙ Β/ΘΜΙΑΣ ΕΚΠ/ΣΗΣ ΔΥΤΙΚΗΣ ΕΛΛΑΔΑΣ"/>
    <n v="20"/>
    <d v="2018-09-01T00:00:00"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65-05-01T00:00:00"/>
    <x v="0"/>
    <s v="ΔΙΕΥΘΥΝΣΗ Δ.Ε. ΑΧΑΪΑΣ"/>
    <x v="4"/>
  </r>
  <r>
    <x v="2708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4-23T00:00:00"/>
    <x v="0"/>
    <s v="ΔΙΕΥΘΥΝΣΗ Δ.Ε. Β΄ ΑΘΗΝΑΣ"/>
    <x v="4"/>
  </r>
  <r>
    <x v="2709"/>
    <x v="1"/>
    <s v="ΠΕ04.02"/>
    <s v="ΧΗΜΙΚΟΙ"/>
    <m/>
    <m/>
    <s v="Α΄"/>
    <n v="9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1-21T00:00:00"/>
    <x v="0"/>
    <s v="ΔΙΕΥΘΥΝΣΗ Δ.Ε. ΑΝΑΤ. ΘΕΣ/ΝΙΚΗΣ"/>
    <x v="4"/>
  </r>
  <r>
    <x v="2710"/>
    <x v="1"/>
    <s v="ΠΕ78"/>
    <s v="ΚΟΙΝΩΝΙΚΩΝ ΕΠΙΣΤΗΜ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5-01-08T00:00:00"/>
    <x v="0"/>
    <s v="ΔΙΕΥΘΥΝΣΗ Δ.Ε. ΠΕΙΡΑΙΑ"/>
    <x v="4"/>
  </r>
  <r>
    <x v="2711"/>
    <x v="1"/>
    <s v="ΠΕ08"/>
    <s v="ΚΑΛΛΙΤΕΧ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1-03T00:00:00"/>
    <x v="0"/>
    <s v="ΔΙΕΥΘΥΝΣΗ Δ.Ε. Δ΄ ΑΘΗΝΑΣ"/>
    <x v="4"/>
  </r>
  <r>
    <x v="2712"/>
    <x v="0"/>
    <s v="ΠΕ04.01"/>
    <s v="ΦΥΣ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5-01-02T00:00:00"/>
    <x v="0"/>
    <s v="ΔΙΕΥΘΥΝΣΗ Δ.Ε. ΔΩΔΕΚΑΝΗΣΟΥ"/>
    <x v="4"/>
  </r>
  <r>
    <x v="2713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1-01T00:00:00"/>
    <x v="0"/>
    <s v="ΔΙΕΥΘΥΝΣΗ Δ.Ε. Β΄ ΑΘΗΝΑΣ"/>
    <x v="4"/>
  </r>
  <r>
    <x v="2714"/>
    <x v="0"/>
    <s v="ΠΕ11"/>
    <s v="ΦΥΣΙΚΗΣ ΑΓΩΓΗΣ"/>
    <m/>
    <m/>
    <s v="Γ΄"/>
    <n v="1"/>
    <n v="13010"/>
    <d v="2018-09-01T00:00:00"/>
    <s v="Δ΄ ΑΘΗΝΑΣ (Π.Ε.) 2018"/>
    <s v="ΔΙΕΥΘΥΝΣΗ Π.Ε. Δ΄ ΑΘΗΝΑΣ"/>
    <s v="ΠΕΡΙΦΕΡΕΙΑΚΗ Δ/ΝΣΗ Α/ΘΜΙΑΣ ΚΑΙ Β/ΘΜΙΑΣ ΕΚΠ/ΣΗΣ ΑΤΤΙΚΗΣ"/>
    <n v="20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01-01T00:00:00"/>
    <x v="1"/>
    <s v="ΔΙΕΥΘΥΝΣΗ Π.Ε. Δ΄ ΑΘΗΝΑΣ"/>
    <x v="4"/>
  </r>
  <r>
    <x v="2715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4-10-12T00:00:00"/>
    <x v="0"/>
    <s v="ΔΙΕΥΘΥΝΣΗ Δ.Ε. Γ΄ ΑΘΗΝΑΣ"/>
    <x v="4"/>
  </r>
  <r>
    <x v="2716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9-29T00:00:00"/>
    <x v="0"/>
    <s v="ΔΙΕΥΘΥΝΣΗ Δ.Ε. Β΄ ΑΘΗΝΑΣ"/>
    <x v="4"/>
  </r>
  <r>
    <x v="2717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9-26T00:00:00"/>
    <x v="0"/>
    <s v="ΔΙΕΥΘΥΝΣΗ Δ.Ε. Β΄ ΑΘΗΝΑΣ"/>
    <x v="4"/>
  </r>
  <r>
    <x v="2718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9-09T00:00:00"/>
    <x v="0"/>
    <s v="ΔΙΕΥΘΥΝΣΗ Δ.Ε. Β΄ ΑΘΗΝΑΣ"/>
    <x v="4"/>
  </r>
  <r>
    <x v="2719"/>
    <x v="0"/>
    <s v="ΠΕ04.01"/>
    <s v="ΦΥΣΙΚΟΙ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9-05T00:00:00"/>
    <x v="0"/>
    <s v="ΔΙΕΥΘΥΝΣΗ Δ.Ε. Α΄ ΑΘΗΝΑΣ"/>
    <x v="4"/>
  </r>
  <r>
    <x v="2720"/>
    <x v="0"/>
    <s v="ΠΕ11"/>
    <s v="ΦΥΣΙΚΗΣ ΑΓΩΓΗΣ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64-08-23T00:00:00"/>
    <x v="0"/>
    <s v="ΔΙΕΥΘΥΝΣΗ Δ.Ε. ΑΧΑΪΑΣ"/>
    <x v="4"/>
  </r>
  <r>
    <x v="2721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8-19T00:00:00"/>
    <x v="0"/>
    <s v="ΔΙΕΥΘΥΝΣΗ Δ.Ε. Β΄ ΑΘΗΝΑΣ"/>
    <x v="4"/>
  </r>
  <r>
    <x v="2722"/>
    <x v="0"/>
    <s v="ΠΕ11"/>
    <s v="ΦΥΣΙΚΗΣ ΑΓΩΓΗΣ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4-07-19T00:00:00"/>
    <x v="0"/>
    <s v="ΔΙΕΥΘΥΝΣΗ Δ.Ε. ΔΩΔΕΚΑΝΗΣΟΥ"/>
    <x v="4"/>
  </r>
  <r>
    <x v="2723"/>
    <x v="1"/>
    <s v="ΠΕ60"/>
    <s v="ΝΗΠΙΑΓΩΓΟΙ"/>
    <m/>
    <m/>
    <s v="Γ΄"/>
    <n v="1"/>
    <s v="55/1-9-1990"/>
    <d v="2018-09-01T00:00:00"/>
    <s v="Β΄ ΑΘΗΝΑΣ (Π.Ε.) 2018"/>
    <s v="ΔΙΕΥΘΥΝΣΗ Π.Ε. Β΄ ΑΘΗΝΑΣ"/>
    <s v="ΠΕΡΙΦΕΡΕΙΑΚΗ Δ/ΝΣΗ Α/ΘΜΙΑΣ ΚΑΙ Β/ΘΜΙΑΣ ΕΚΠ/ΣΗΣ ΑΤΤΙΚΗΣ"/>
    <n v="20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07-13T00:00:00"/>
    <x v="1"/>
    <s v="ΔΙΕΥΘΥΝΣΗ Π.Ε. Β΄ ΑΘΗΝΑΣ"/>
    <x v="4"/>
  </r>
  <r>
    <x v="2724"/>
    <x v="1"/>
    <s v="ΠΕ06"/>
    <s v="ΑΓΓΛΙΚΗΣ ΦΙΛΟΛΟΓΙΑΣ"/>
    <m/>
    <m/>
    <s v="Γ΄"/>
    <n v="1"/>
    <s v="3453/19-10-2009"/>
    <d v="2018-09-01T00:00:00"/>
    <s v="Β΄ ΑΘΗΝΑΣ (Π.Ε.) 2018"/>
    <s v="ΔΙΕΥΘΥΝΣΗ Π.Ε. Β΄ ΑΘΗΝΑΣ"/>
    <s v="ΠΕΡΙΦΕΡΕΙΑΚΗ Δ/ΝΣΗ Α/ΘΜΙΑΣ ΚΑΙ Β/ΘΜΙΑΣ ΕΚΠ/ΣΗΣ ΑΤΤΙΚΗΣ"/>
    <n v="20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07-11T00:00:00"/>
    <x v="1"/>
    <s v="ΔΙΕΥΘΥΝΣΗ Π.Ε. Β΄ ΑΘΗΝΑΣ"/>
    <x v="4"/>
  </r>
  <r>
    <x v="2725"/>
    <x v="0"/>
    <s v="ΠΕ04.01"/>
    <s v="ΦΥΣ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0"/>
    <m/>
    <s v="Ιδιωτικά Σχολεία"/>
    <x v="3"/>
    <s v="0161002"/>
    <s v="ΙΔΙΩΤΙΚΟ ΓΕΛ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4-05-27T00:00:00"/>
    <x v="0"/>
    <s v="ΔΙΕΥΘΥΝΣΗ Δ.Ε. ΑΙΤΩΛΟΑΚΑΡΝΑΝΙΑΣ"/>
    <x v="4"/>
  </r>
  <r>
    <x v="2726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4-05-25T00:00:00"/>
    <x v="0"/>
    <s v="ΔΙΕΥΘΥΝΣΗ Δ.Ε. ΑΝΑΤ. ΘΕΣ/ΝΙΚΗΣ"/>
    <x v="4"/>
  </r>
  <r>
    <x v="2727"/>
    <x v="0"/>
    <s v="ΠΕ04.01"/>
    <s v="ΦΥΣΙΚΟΙ"/>
    <m/>
    <m/>
    <s v="Α΄"/>
    <n v="9"/>
    <m/>
    <m/>
    <s v="Α΄ ΑΘΗΝΑΣ (Δ.Ε.) 2018"/>
    <s v="ΔΙΕΥΘΥΝΣΗ Δ.Ε. Α΄ ΑΘΗΝΑΣ"/>
    <s v="ΠΕΡΙΦΕΡΕΙΑΚΗ Δ/ΝΣΗ Α/ΘΜΙΑΣ ΚΑΙ Β/ΘΜΙΑΣ ΕΚΠ/ΣΗΣ ΑΤΤΙΚΗΣ"/>
    <n v="20"/>
    <d v="1998-12-01T00:00:00"/>
    <s v="Ιδιωτικά Σχολεία"/>
    <x v="3"/>
    <s v="0561011"/>
    <s v="ΙΔΙΩΤΙΚΟ ΓΕΝΙΚΟ ΛΥΚΕΙΟ &quot;Η ΘΕΟΜΗΤΩΡ&quot;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5-24T00:00:00"/>
    <x v="0"/>
    <s v="ΔΙΕΥΘΥΝΣΗ Δ.Ε. Α΄ ΑΘΗΝΑΣ"/>
    <x v="4"/>
  </r>
  <r>
    <x v="2728"/>
    <x v="0"/>
    <s v="ΠΕ04.01"/>
    <s v="ΦΥΣ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5-14T00:00:00"/>
    <x v="0"/>
    <s v="ΔΙΕΥΘΥΝΣΗ Δ.Ε. Α΄ ΑΘΗΝΑΣ"/>
    <x v="4"/>
  </r>
  <r>
    <x v="2729"/>
    <x v="1"/>
    <s v="ΠΕ04.04"/>
    <s v="ΒΙ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5-08T00:00:00"/>
    <x v="0"/>
    <s v="ΔΙΕΥΘΥΝΣΗ Δ.Ε. Α΄ ΑΘΗΝΑΣ"/>
    <x v="4"/>
  </r>
  <r>
    <x v="2730"/>
    <x v="1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4-05-04T00:00:00"/>
    <x v="0"/>
    <s v="ΔΙΕΥΘΥΝΣΗ Δ.Ε. Α΄ ΑΘΗΝΑΣ"/>
    <x v="4"/>
  </r>
  <r>
    <x v="2731"/>
    <x v="0"/>
    <s v="ΠΕ03"/>
    <s v="ΜΑΘΗΜΑΤΙΚ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4-01T00:00:00"/>
    <x v="0"/>
    <s v="ΔΙΕΥΘΥΝΣΗ Δ.Ε. Δ΄ ΑΘΗΝΑΣ"/>
    <x v="4"/>
  </r>
  <r>
    <x v="2732"/>
    <x v="0"/>
    <s v="ΠΕ04.02"/>
    <s v="ΧΗΜΙΚ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4-03-26T00:00:00"/>
    <x v="0"/>
    <s v="ΔΙΕΥΘΥΝΣΗ Δ.Ε. ΤΡΙΚΑΛΩΝ"/>
    <x v="4"/>
  </r>
  <r>
    <x v="2733"/>
    <x v="0"/>
    <s v="ΠΕ79.01"/>
    <s v="ΜΟΥΣΙΚΗΣ ΕΠΙΣΤΗΜΗΣ"/>
    <m/>
    <m/>
    <s v="Α΄"/>
    <n v="1"/>
    <s v="9608/05-12-1991"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0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4-03-19T00:00:00"/>
    <x v="1"/>
    <s v="ΔΙΕΥΘΥΝΣΗ Π.Ε. ΔΥΤ. ΘΕΣ/ΝΙΚΗΣ"/>
    <x v="4"/>
  </r>
  <r>
    <x v="2734"/>
    <x v="0"/>
    <s v="ΠΕ88.02"/>
    <s v="ΦΥΤΙΚΗΣ ΠΑΡ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3-11T00:00:00"/>
    <x v="0"/>
    <s v="ΔΙΕΥΘΥΝΣΗ Δ.Ε. ΑΝΑΤ. ΘΕΣ/ΝΙΚΗΣ"/>
    <x v="4"/>
  </r>
  <r>
    <x v="2735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64-02-04T00:00:00"/>
    <x v="0"/>
    <s v="ΔΙΕΥΘΥΝΣΗ Δ.Ε. ΑΝΑΤ. ΘΕΣ/ΝΙΚΗΣ"/>
    <x v="4"/>
  </r>
  <r>
    <x v="2736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01-18T00:00:00"/>
    <x v="0"/>
    <s v="ΔΙΕΥΘΥΝΣΗ Δ.Ε. Β΄ ΑΘΗΝΑΣ"/>
    <x v="4"/>
  </r>
  <r>
    <x v="2737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2-30T00:00:00"/>
    <x v="0"/>
    <s v="ΔΙΕΥΘΥΝΣΗ Δ.Ε. Β΄ ΑΘΗΝΑΣ"/>
    <x v="4"/>
  </r>
  <r>
    <x v="2738"/>
    <x v="1"/>
    <s v="ΠΕ06"/>
    <s v="ΑΓΓΛΙΚΗΣ ΦΙΛΟΛΟΓΙΑΣ"/>
    <m/>
    <m/>
    <s v="Α΄"/>
    <n v="12"/>
    <s v="50/2036/4-10-99"/>
    <d v="1999-09-01T00:00:00"/>
    <s v="Α΄ ΑΝΑΤ. ΑΤΤΙΚΗΣ (Π.Ε.) 2018"/>
    <s v="ΔΙΕΥΘΥΝΣΗ Π.Ε. ΑΝΑΤΟΛΙΚΗΣ ΑΤΤΙΚΗΣ"/>
    <s v="ΠΕΡΙΦΕΡΕΙΑΚΗ Δ/ΝΣΗ Α/ΘΜΙΑΣ ΚΑΙ Β/ΘΜΙΑΣ ΕΚΠ/ΣΗΣ ΑΤΤΙΚΗΣ"/>
    <n v="20"/>
    <d v="1999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3-12-14T00:00:00"/>
    <x v="1"/>
    <s v="ΔΙΕΥΘΥΝΣΗ Π.Ε. ΑΝΑΤΟΛΙΚΗΣ ΑΤΤΙΚΗΣ"/>
    <x v="4"/>
  </r>
  <r>
    <x v="2739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2-07T00:00:00"/>
    <x v="0"/>
    <s v="ΔΙΕΥΘΥΝΣΗ Δ.Ε. Β΄ ΑΘΗΝΑΣ"/>
    <x v="4"/>
  </r>
  <r>
    <x v="2740"/>
    <x v="0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12-02T00:00:00"/>
    <x v="0"/>
    <s v="ΔΙΕΥΘΥΝΣΗ Δ.Ε. Β΄ ΑΘΗΝΑΣ"/>
    <x v="4"/>
  </r>
  <r>
    <x v="2741"/>
    <x v="0"/>
    <s v="ΠΕ04.04"/>
    <s v="ΒΙ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10-13T00:00:00"/>
    <x v="0"/>
    <s v="ΔΙΕΥΘΥΝΣΗ Δ.Ε. ΑΝΑΤΟΛΙΚΗΣ ΑΤΤΙΚΗΣ"/>
    <x v="4"/>
  </r>
  <r>
    <x v="2742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0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3-10-02T00:00:00"/>
    <x v="1"/>
    <s v="ΔΙΕΥΘΥΝΣΗ Π.Ε. Β΄ ΑΘΗΝΑΣ"/>
    <x v="4"/>
  </r>
  <r>
    <x v="2743"/>
    <x v="0"/>
    <s v="ΠΕ85"/>
    <s v="ΧΗΜΙΚΩΝ ΜΗΧΑΝΙΚΩΝ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3-09-25T00:00:00"/>
    <x v="0"/>
    <s v="ΔΙΕΥΘΥΝΣΗ Δ.Ε. ΤΡΙΚΑΛΩΝ"/>
    <x v="4"/>
  </r>
  <r>
    <x v="2744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8-28T00:00:00"/>
    <x v="0"/>
    <s v="ΔΙΕΥΘΥΝΣΗ Δ.Ε. Β΄ ΑΘΗΝΑΣ"/>
    <x v="4"/>
  </r>
  <r>
    <x v="274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8-25T00:00:00"/>
    <x v="0"/>
    <s v="ΔΙΕΥΘΥΝΣΗ Δ.Ε. Β΄ ΑΘΗΝΑΣ"/>
    <x v="4"/>
  </r>
  <r>
    <x v="2746"/>
    <x v="1"/>
    <s v="ΠΕ78"/>
    <s v="ΚΟΙΝΩΝΙΚΩΝ ΕΠΙΣΤΗΜ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6-24T00:00:00"/>
    <x v="0"/>
    <s v="ΔΙΕΥΘΥΝΣΗ Δ.Ε. ΑΝΑΤΟΛΙΚΗΣ ΑΤΤΙΚΗΣ"/>
    <x v="4"/>
  </r>
  <r>
    <x v="2747"/>
    <x v="0"/>
    <s v="ΠΕ04.01"/>
    <s v="ΦΥΣΙΚ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3-06-21T00:00:00"/>
    <x v="0"/>
    <s v="ΔΙΕΥΘΥΝΣΗ Δ.Ε. ΤΡΙΚΑΛΩΝ"/>
    <x v="4"/>
  </r>
  <r>
    <x v="2748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6-13T00:00:00"/>
    <x v="0"/>
    <s v="ΔΙΕΥΘΥΝΣΗ Δ.Ε. ΑΝΑΤΟΛΙΚΗΣ ΑΤΤΙΚΗΣ"/>
    <x v="4"/>
  </r>
  <r>
    <x v="2749"/>
    <x v="1"/>
    <s v="ΠΕ78"/>
    <s v="ΚΟΙΝΩΝΙΚΩΝ ΕΠΙΣΤΗΜΩΝ"/>
    <s v="ΠΕ05"/>
    <s v="ΓΑΛΛΙΚΗΣ ΦΙΛΟΛΟΓΙΑΣ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3"/>
    <s v="ΙΔΙΩΤΙΚΟ-ΙΣΟΤΙΜΟ ΛΥΚΕΙΟ -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5-14T00:00:00"/>
    <x v="0"/>
    <s v="ΔΙΕΥΘΥΝΣΗ Δ.Ε. Β΄ ΑΘΗΝΑΣ"/>
    <x v="4"/>
  </r>
  <r>
    <x v="2750"/>
    <x v="0"/>
    <s v="ΠΕ04.01"/>
    <s v="ΦΥΣ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4-18T00:00:00"/>
    <x v="0"/>
    <s v="ΔΙΕΥΘΥΝΣΗ Δ.Ε. ΑΝΑΤ. ΘΕΣ/ΝΙΚΗΣ"/>
    <x v="4"/>
  </r>
  <r>
    <x v="2751"/>
    <x v="0"/>
    <s v="ΠΕ86"/>
    <s v="ΠΛΗΡΟΦΟΡΙΚΗΣ"/>
    <m/>
    <m/>
    <s v="Α΄"/>
    <n v="1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4-11T00:00:00"/>
    <x v="0"/>
    <s v="ΔΙΕΥΘΥΝΣΗ Δ.Ε. ΑΝΑΤ. ΘΕΣ/ΝΙΚΗΣ"/>
    <x v="4"/>
  </r>
  <r>
    <x v="2752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3-26T00:00:00"/>
    <x v="0"/>
    <s v="ΔΙΕΥΘΥΝΣΗ Δ.Ε. Β΄ ΑΘΗΝΑΣ"/>
    <x v="4"/>
  </r>
  <r>
    <x v="2753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3-03-06T00:00:00"/>
    <x v="0"/>
    <s v="ΔΙΕΥΘΥΝΣΗ Δ.Ε. Β΄ ΑΘΗΝΑΣ"/>
    <x v="4"/>
  </r>
  <r>
    <x v="2754"/>
    <x v="0"/>
    <s v="ΠΕ03"/>
    <s v="ΜΑΘΗΜΑΤ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0"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3"/>
    <s v="Τοποθέτηση σε Ιδιωτική Εκπαίδευση"/>
    <d v="1963-02-10T00:00:00"/>
    <x v="0"/>
    <s v="ΔΙΕΥΘΥΝΣΗ Δ.Ε. ΔΩΔΕΚΑΝΗΣΟΥ"/>
    <x v="4"/>
  </r>
  <r>
    <x v="2755"/>
    <x v="1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01-01T00:00:00"/>
    <x v="0"/>
    <s v="ΔΙΕΥΘΥΝΣΗ Δ.Ε. Δ΄ ΑΘΗΝΑΣ"/>
    <x v="4"/>
  </r>
  <r>
    <x v="2756"/>
    <x v="1"/>
    <s v="ΤΕ16"/>
    <s v="ΜΟΥΣΙΚΗΣ ΜΗ ΑΝΩΤΑΤΩΝ ΙΔΡΥΜΑΤΩΝ"/>
    <m/>
    <m/>
    <s v="Β΄"/>
    <n v="5"/>
    <m/>
    <m/>
    <s v="Δ΄ ΑΘΗΝΑΣ (Π.Ε.) 2018"/>
    <s v="ΔΙΕΥΘΥΝΣΗ Π.Ε. Δ΄ ΑΘΗΝΑΣ"/>
    <s v="ΠΕΡΙΦΕΡΕΙΑΚΗ Δ/ΝΣΗ Α/ΘΜΙΑΣ ΚΑΙ Β/ΘΜΙΑΣ ΕΚΠ/ΣΗΣ ΑΤΤΙΚΗΣ"/>
    <n v="20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3-01-01T00:00:00"/>
    <x v="1"/>
    <s v="ΔΙΕΥΘΥΝΣΗ Π.Ε. Δ΄ ΑΘΗΝΑΣ"/>
    <x v="4"/>
  </r>
  <r>
    <x v="2757"/>
    <x v="1"/>
    <s v="ΠΕ79.01"/>
    <s v="ΜΟΥΣΙΚΗΣ ΕΠΙΣΤΗΜΗΣ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0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62-11-29T00:00:00"/>
    <x v="1"/>
    <s v="ΔΙΕΥΘΥΝΣΗ Π.Ε. ΑΧΑΪΑΣ"/>
    <x v="4"/>
  </r>
  <r>
    <x v="2758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0-24T00:00:00"/>
    <x v="0"/>
    <s v="ΔΙΕΥΘΥΝΣΗ Δ.Ε. Β΄ ΑΘΗΝΑΣ"/>
    <x v="4"/>
  </r>
  <r>
    <x v="2759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2-10-17T00:00:00"/>
    <x v="0"/>
    <s v="ΔΙΕΥΘΥΝΣΗ Δ.Ε. ΠΕΙΡΑΙΑ"/>
    <x v="4"/>
  </r>
  <r>
    <x v="2760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0-11T00:00:00"/>
    <x v="0"/>
    <s v="ΔΙΕΥΘΥΝΣΗ Δ.Ε. Β΄ ΑΘΗΝΑΣ"/>
    <x v="4"/>
  </r>
  <r>
    <x v="2761"/>
    <x v="1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8-27T00:00:00"/>
    <x v="0"/>
    <s v="ΔΙΕΥΘΥΝΣΗ Δ.Ε. Β΄ ΑΘΗΝΑΣ"/>
    <x v="4"/>
  </r>
  <r>
    <x v="2762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8-16T00:00:00"/>
    <x v="0"/>
    <s v="ΔΙΕΥΘΥΝΣΗ Δ.Ε. Β΄ ΑΘΗΝΑΣ"/>
    <x v="4"/>
  </r>
  <r>
    <x v="2763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6-26T00:00:00"/>
    <x v="0"/>
    <s v="ΔΙΕΥΘΥΝΣΗ Δ.Ε. Β΄ ΑΘΗΝΑΣ"/>
    <x v="4"/>
  </r>
  <r>
    <x v="2764"/>
    <x v="1"/>
    <s v="ΠΕ05"/>
    <s v="ΓΑΛ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2-06-19T00:00:00"/>
    <x v="0"/>
    <s v="ΔΙΕΥΘΥΝΣΗ Δ.Ε. ΑΝΑΤ. ΘΕΣ/ΝΙΚΗΣ"/>
    <x v="4"/>
  </r>
  <r>
    <x v="2765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2-05-25T00:00:00"/>
    <x v="0"/>
    <s v="ΔΙΕΥΘΥΝΣΗ Δ.Ε. ΑΝΑΤΟΛΙΚΗΣ ΑΤΤΙΚΗΣ"/>
    <x v="4"/>
  </r>
  <r>
    <x v="2766"/>
    <x v="0"/>
    <s v="ΠΕ04.01"/>
    <s v="ΦΥΣ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2-03-29T00:00:00"/>
    <x v="0"/>
    <s v="ΔΙΕΥΘΥΝΣΗ Δ.Ε. Α΄ ΑΘΗΝΑΣ"/>
    <x v="4"/>
  </r>
  <r>
    <x v="2767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11-28T00:00:00"/>
    <x v="0"/>
    <s v="ΔΙΕΥΘΥΝΣΗ Δ.Ε. Β΄ ΑΘΗΝΑΣ"/>
    <x v="4"/>
  </r>
  <r>
    <x v="2768"/>
    <x v="0"/>
    <s v="ΠΕ04.02"/>
    <s v="ΧΗΜ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9-22T00:00:00"/>
    <x v="0"/>
    <s v="ΔΙΕΥΘΥΝΣΗ Δ.Ε. ΑΝΑΤΟΛΙΚΗΣ ΑΤΤΙΚΗΣ"/>
    <x v="4"/>
  </r>
  <r>
    <x v="2769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1-09-17T00:00:00"/>
    <x v="0"/>
    <s v="ΔΙΕΥΘΥΝΣΗ Δ.Ε. ΑΝΑΤΟΛΙΚΗΣ ΑΤΤΙΚΗΣ"/>
    <x v="4"/>
  </r>
  <r>
    <x v="2770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7-13T00:00:00"/>
    <x v="0"/>
    <s v="ΔΙΕΥΘΥΝΣΗ Δ.Ε. Β΄ ΑΘΗΝΑΣ"/>
    <x v="4"/>
  </r>
  <r>
    <x v="2771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05-28T00:00:00"/>
    <x v="0"/>
    <s v="ΔΙΕΥΘΥΝΣΗ Δ.Ε. Β΄ ΑΘΗΝΑΣ"/>
    <x v="4"/>
  </r>
  <r>
    <x v="2772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0"/>
    <m/>
    <s v="Ιδιωτικά Σχολεία"/>
    <x v="1"/>
    <s v="7051109"/>
    <s v="ΣΥΣΤΕΓΑΖΟΜΕΝΟ ΙΔΙΩΤΙΚΟ ΝΗΠΙΑΓΩΓΕΙΟ - ΛΕΟΝΤΕΙΟ ΛΥΚΕΙΟ ΠΑΤΗΣΙΩΝ - ΑΝΩΝΥΜΗ ΕΚΠΑΙΔΕΥΤΙΚΗ ΕΤΑΙΡΕΙΑ - ΛΕΟΝΤΕΙΟ ΛΥΚΕΙΟ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1-02-02T00:00:00"/>
    <x v="1"/>
    <s v="ΔΙΕΥΘΥΝΣΗ Π.Ε. Α΄ ΑΘΗΝΑΣ"/>
    <x v="4"/>
  </r>
  <r>
    <x v="2773"/>
    <x v="0"/>
    <s v="ΠΕ79.01"/>
    <s v="ΜΟΥΣΙΚΗΣ ΕΠΙΣΤΗΜΗ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0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0-11-13T00:00:00"/>
    <x v="1"/>
    <s v="ΔΙΕΥΘΥΝΣΗ Π.Ε. ΠΕΙΡΑΙΑ"/>
    <x v="4"/>
  </r>
  <r>
    <x v="2774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0-10-11T00:00:00"/>
    <x v="0"/>
    <s v="ΔΙΕΥΘΥΝΣΗ Δ.Ε. Β΄ ΑΘΗΝΑΣ"/>
    <x v="4"/>
  </r>
  <r>
    <x v="2775"/>
    <x v="0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60004"/>
    <s v="ΙΔΙΩΤΙΚΟ ΓΥΜΝΑΣΙΟ ΘΕΣΣΑΛΟΝΙΚΗΣ &quot; ΕΚΠΑΙΔΕΥΤΗΡΙΑ ΒΑΣΙΛΕΙΑΔ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0-09-18T00:00:00"/>
    <x v="0"/>
    <s v="ΔΙΕΥΘΥΝΣΗ Δ.Ε. ΑΝΑΤ. ΘΕΣ/ΝΙΚΗΣ"/>
    <x v="4"/>
  </r>
  <r>
    <x v="2776"/>
    <x v="1"/>
    <s v="ΠΕ80"/>
    <s v="ΟΙΚΟΝΟΜΙΑΣ"/>
    <s v="ΠΕ88.04"/>
    <s v="ΔΙΑΤΡΟΦΗΣ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8-13T00:00:00"/>
    <x v="0"/>
    <s v="ΔΙΕΥΘΥΝΣΗ Δ.Ε. Β΄ ΑΘΗΝΑΣ"/>
    <x v="4"/>
  </r>
  <r>
    <x v="2777"/>
    <x v="1"/>
    <s v="ΠΕ06"/>
    <s v="ΑΓΓΛΙΚΗΣ ΦΙΛΟΛΟΓΙΑΣ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0-05-30T00:00:00"/>
    <x v="0"/>
    <s v="ΔΙΕΥΘΥΝΣΗ Δ.Ε. ΤΡΙΚΑΛΩΝ"/>
    <x v="4"/>
  </r>
  <r>
    <x v="2778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4-25T00:00:00"/>
    <x v="0"/>
    <s v="ΔΙΕΥΘΥΝΣΗ Δ.Ε. Β΄ ΑΘΗΝΑΣ"/>
    <x v="4"/>
  </r>
  <r>
    <x v="2779"/>
    <x v="0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0-04-06T00:00:00"/>
    <x v="0"/>
    <s v="ΔΙΕΥΘΥΝΣΗ Δ.Ε. Α΄ ΑΘΗΝΑΣ"/>
    <x v="4"/>
  </r>
  <r>
    <x v="2780"/>
    <x v="0"/>
    <s v="ΠΕ03"/>
    <s v="ΜΑΘΗΜΑΤΙΚΟΙ"/>
    <m/>
    <m/>
    <s v="Γ΄"/>
    <n v="1"/>
    <n v="6726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0-01-01T00:00:00"/>
    <x v="0"/>
    <s v="ΔΙΕΥΘΥΝΣΗ Δ.Ε. ΔΥΤ. ΘΕΣ/ΝΙΚΗΣ"/>
    <x v="4"/>
  </r>
  <r>
    <x v="2781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10-10T00:00:00"/>
    <x v="0"/>
    <s v="ΔΙΕΥΘΥΝΣΗ Δ.Ε. Β΄ ΑΘΗΝΑΣ"/>
    <x v="4"/>
  </r>
  <r>
    <x v="2782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9-06-03T00:00:00"/>
    <x v="0"/>
    <s v="ΔΙΕΥΘΥΝΣΗ Δ.Ε. Γ΄ ΑΘΗΝΑΣ"/>
    <x v="4"/>
  </r>
  <r>
    <x v="2783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4-08T00:00:00"/>
    <x v="0"/>
    <s v="ΔΙΕΥΘΥΝΣΗ Δ.Ε. Β΄ ΑΘΗΝΑΣ"/>
    <x v="4"/>
  </r>
  <r>
    <x v="2784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02-17T00:00:00"/>
    <x v="0"/>
    <s v="ΔΙΕΥΘΥΝΣΗ Δ.Ε. Β΄ ΑΘΗΝΑΣ"/>
    <x v="4"/>
  </r>
  <r>
    <x v="2785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59-01-08T00:00:00"/>
    <x v="0"/>
    <s v="ΔΙΕΥΘΥΝΣΗ Δ.Ε. Γ΄ ΑΘΗΝΑΣ"/>
    <x v="4"/>
  </r>
  <r>
    <x v="2786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325"/>
    <s v="ΙΔΙΩΤΙΚΟ - ΙΣΟΤΙΜΟ ΛΥΚΕΙΟ - Β΄ ΑΡΣΑΚΕΙΟ ΤΟΣΙΤΣΕΙΟ ΓΕΝΙΚΟ ΛΥΚΕ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10-30T00:00:00"/>
    <x v="0"/>
    <s v="ΔΙΕΥΘΥΝΣΗ Δ.Ε. ΑΝΑΤΟΛΙΚΗΣ ΑΤΤΙΚΗΣ"/>
    <x v="4"/>
  </r>
  <r>
    <x v="2787"/>
    <x v="0"/>
    <s v="ΠΕ03"/>
    <s v="ΜΑΘΗΜΑΤΙΚ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0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58-09-20T00:00:00"/>
    <x v="0"/>
    <s v="ΔΙΕΥΘΥΝΣΗ Δ.Ε. ΛΑΡΙΣΑΣ"/>
    <x v="4"/>
  </r>
  <r>
    <x v="2788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0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58-09-08T00:00:00"/>
    <x v="0"/>
    <s v="ΔΙΕΥΘΥΝΣΗ Δ.Ε. ΠΕΙΡΑΙΑ"/>
    <x v="4"/>
  </r>
  <r>
    <x v="2789"/>
    <x v="0"/>
    <s v="ΠΕ04.01"/>
    <s v="ΦΥΣΙΚΟΙ"/>
    <m/>
    <m/>
    <s v="Α΄"/>
    <n v="1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6-26T00:00:00"/>
    <x v="0"/>
    <s v="ΔΙΕΥΘΥΝΣΗ Δ.Ε. ΑΝΑΤ. ΘΕΣ/ΝΙΚΗΣ"/>
    <x v="4"/>
  </r>
  <r>
    <x v="2790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03-28T00:00:00"/>
    <x v="0"/>
    <s v="ΔΙΕΥΘΥΝΣΗ Δ.Ε. ΑΝΑΤΟΛΙΚΗΣ ΑΤΤΙΚΗΣ"/>
    <x v="4"/>
  </r>
  <r>
    <x v="2791"/>
    <x v="1"/>
    <s v="ΠΕ06"/>
    <s v="ΑΓΓΛΙΚΗΣ ΦΙΛΟΛΟΓΙΑΣ"/>
    <m/>
    <m/>
    <s v="Α΄"/>
    <n v="11"/>
    <s v="Φ.60.2/9503/20-2-2003"/>
    <d v="2002-09-01T00:00:00"/>
    <s v="Α΄ ΑΝΑΤ. ΑΤΤΙΚΗΣ (Δ.Ε.) 2018"/>
    <s v="ΔΙΕΥΘΥΝΣΗ Δ.Ε. ΑΝΑΤΟΛΙΚΗΣ ΑΤΤΙΚΗΣ"/>
    <s v="ΠΕΡΙΦΕΡΕΙΑΚΗ Δ/ΝΣΗ Α/ΘΜΙΑΣ ΚΑΙ Β/ΘΜΙΑΣ ΕΚΠ/ΣΗΣ ΑΤΤΙΚΗΣ"/>
    <n v="20"/>
    <d v="2002-09-01T00:00:00"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03-15T00:00:00"/>
    <x v="0"/>
    <s v="ΔΙΕΥΘΥΝΣΗ Δ.Ε. ΑΝΑΤΟΛΙΚΗΣ ΑΤΤΙΚΗΣ"/>
    <x v="4"/>
  </r>
  <r>
    <x v="2792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11-26T00:00:00"/>
    <x v="0"/>
    <s v="ΔΙΕΥΘΥΝΣΗ Δ.Ε. Β΄ ΑΘΗΝΑΣ"/>
    <x v="4"/>
  </r>
  <r>
    <x v="2793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9-01T00:00:00"/>
    <x v="0"/>
    <s v="ΔΙΕΥΘΥΝΣΗ Δ.Ε. Β΄ ΑΘΗΝΑΣ"/>
    <x v="4"/>
  </r>
  <r>
    <x v="2794"/>
    <x v="0"/>
    <s v="ΠΕ86"/>
    <s v="ΠΛΗΡΟΦΟΡΙΚ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7-08-20T00:00:00"/>
    <x v="0"/>
    <s v="ΔΙΕΥΘΥΝΣΗ Δ.Ε. ΑΝΑΤΟΛΙΚΗΣ ΑΤΤΙΚΗΣ"/>
    <x v="4"/>
  </r>
  <r>
    <x v="279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7-08-09T00:00:00"/>
    <x v="0"/>
    <s v="ΔΙΕΥΘΥΝΣΗ Δ.Ε. Β΄ ΑΘΗΝΑΣ"/>
    <x v="4"/>
  </r>
  <r>
    <x v="2796"/>
    <x v="0"/>
    <s v="ΠΕ02"/>
    <s v="ΦΙΛΟΛΟΓΟΙ"/>
    <m/>
    <m/>
    <s v="Α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57-01-01T00:00:00"/>
    <x v="0"/>
    <s v="ΔΙΕΥΘΥΝΣΗ Δ.Ε. ΤΡΙΚΑΛΩΝ"/>
    <x v="4"/>
  </r>
  <r>
    <x v="2797"/>
    <x v="0"/>
    <s v="ΠΕ03"/>
    <s v="ΜΑΘΗΜΑΤΙΚ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0"/>
    <m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56-06-27T00:00:00"/>
    <x v="0"/>
    <s v="ΔΙΕΥΘΥΝΣΗ Δ.Ε. ΑΧΑΪΑΣ"/>
    <x v="4"/>
  </r>
  <r>
    <x v="2798"/>
    <x v="0"/>
    <s v="ΠΕ03"/>
    <s v="ΜΑΘΗΜΑΤΙΚΟΙ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56-04-16T00:00:00"/>
    <x v="0"/>
    <s v="ΔΙΕΥΘΥΝΣΗ Δ.Ε. ΤΡΙΚΑΛΩΝ"/>
    <x v="4"/>
  </r>
  <r>
    <x v="2799"/>
    <x v="0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10-04T00:00:00"/>
    <x v="0"/>
    <s v="ΔΙΕΥΘΥΝΣΗ Δ.Ε. Β΄ ΑΘΗΝΑΣ"/>
    <x v="4"/>
  </r>
  <r>
    <x v="2800"/>
    <x v="0"/>
    <s v="ΠΕ03"/>
    <s v="ΜΑΘΗΜΑΤ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0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55-02-04T00:00:00"/>
    <x v="0"/>
    <s v="ΔΙΕΥΘΥΝΣΗ Δ.Ε. ΙΩΑΝΝΙΝΩΝ"/>
    <x v="4"/>
  </r>
  <r>
    <x v="2801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5-01-02T00:00:00"/>
    <x v="0"/>
    <s v="ΔΙΕΥΘΥΝΣΗ Δ.Ε. Β΄ ΑΘΗΝΑΣ"/>
    <x v="4"/>
  </r>
  <r>
    <x v="2802"/>
    <x v="0"/>
    <s v="ΠΕ03"/>
    <s v="ΜΑΘΗΜΑΤΙΚΟΙ"/>
    <m/>
    <m/>
    <s v="Α΄"/>
    <n v="8"/>
    <m/>
    <m/>
    <s v="Δ΄ ΑΘΗΝΑΣ (Δ.Ε.) 2018"/>
    <s v="ΔΙΕΥΘΥΝΣΗ Δ.Ε. Δ΄ ΑΘΗΝΑΣ"/>
    <s v="ΠΕΡΙΦΕΡΕΙΑΚΗ Δ/ΝΣΗ Α/ΘΜΙΑΣ ΚΑΙ Β/ΘΜΙΑΣ ΕΚΠ/ΣΗΣ ΑΤΤΙΚΗΣ"/>
    <n v="20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5-01-01T00:00:00"/>
    <x v="0"/>
    <s v="ΔΙΕΥΘΥΝΣΗ Δ.Ε. Δ΄ ΑΘΗΝΑΣ"/>
    <x v="4"/>
  </r>
  <r>
    <x v="2803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0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4-06-24T00:00:00"/>
    <x v="0"/>
    <s v="ΔΙΕΥΘΥΝΣΗ Δ.Ε. ΑΝΑΤ. ΘΕΣ/ΝΙΚΗΣ"/>
    <x v="4"/>
  </r>
  <r>
    <x v="2804"/>
    <x v="0"/>
    <s v="ΠΕ03"/>
    <s v="ΜΑΘΗΜΑΤΙΚΟΙ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0"/>
    <m/>
    <s v="Ιδιωτικά Σχολεία"/>
    <x v="3"/>
    <s v="4580015"/>
    <s v="ΙΔΙΩΤΙΚΟ ΗΜΕΡΗΣΙΟ ΛΥΚΕ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53-05-01T00:00:00"/>
    <x v="0"/>
    <s v="ΔΙΕΥΘΥΝΣΗ Δ.Ε. ΤΡΙΚΑΛΩΝ"/>
    <x v="4"/>
  </r>
  <r>
    <x v="2805"/>
    <x v="0"/>
    <s v="ΠΕ81"/>
    <s v="ΠΟΛ.ΜΗΧΑΝΙΚΩΝ-ΑΡΧΙΤΕΚΤΟΝΩΝ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0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4"/>
  </r>
  <r>
    <x v="2806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07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08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09"/>
    <x v="0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0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1"/>
    <x v="1"/>
    <s v="ΠΕ78"/>
    <s v="ΚΟΙΝΩΝΙΚΩΝ ΕΠΙΣΤΗΜ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2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3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4"/>
    <x v="0"/>
    <s v="ΠΕ80"/>
    <s v="ΟΙΚΟΝΟΜ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5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6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7"/>
    <x v="0"/>
    <s v="ΠΕ11"/>
    <s v="ΦΥΣΙΚΗΣ ΑΓΩΓΗΣ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8"/>
    <x v="1"/>
    <s v="ΠΕ04.04"/>
    <s v="ΒΙ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19"/>
    <x v="1"/>
    <s v="ΠΕ01"/>
    <s v="ΘΕ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m/>
    <x v="0"/>
    <s v="ΔΙΕΥΘΥΝΣΗ Δ.Ε. ΑΝΑΤΟΛΙΚΗΣ ΑΤΤΙΚΗΣ"/>
    <x v="4"/>
  </r>
  <r>
    <x v="2820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21"/>
    <x v="0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22"/>
    <x v="1"/>
    <s v="ΠΕ01"/>
    <s v="ΘΕΟΛΟΓΟΙ"/>
    <m/>
    <m/>
    <s v="Γ΄"/>
    <n v="1"/>
    <n v="19621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0"/>
    <d v="2018-11-08T00:00:00"/>
    <s v="Ιδιωτικά Σχολεία"/>
    <x v="3"/>
    <s v="0561031"/>
    <s v="ST. LAWRENCE COLLEGE (ΛΥΚΕ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4"/>
  </r>
  <r>
    <x v="282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24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2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26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27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28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29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0"/>
    <x v="0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3"/>
    <x v="0"/>
    <s v="ΠΕ79.01"/>
    <s v="ΜΟΥΣΙΚΗΣ ΕΠΙΣΤΗΜ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0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4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5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0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4"/>
  </r>
  <r>
    <x v="2836"/>
    <x v="1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37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38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39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40"/>
    <x v="0"/>
    <s v="ΠΕ80"/>
    <s v="ΟΙΚΟΝΟΜ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41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42"/>
    <x v="0"/>
    <s v="ΠΕ78"/>
    <s v="ΚΟΙΝΩΝΙΚΩΝ ΕΠΙΣΤΗΜΩΝ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43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0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4"/>
  </r>
  <r>
    <x v="2844"/>
    <x v="1"/>
    <s v="ΠΕ86"/>
    <s v="ΠΛΗΡΟΦΟΡΙΚ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0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4"/>
  </r>
  <r>
    <x v="2845"/>
    <x v="1"/>
    <s v="ΠΕ06"/>
    <s v="ΑΓΓ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0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4"/>
  </r>
  <r>
    <x v="2846"/>
    <x v="1"/>
    <s v="ΠΕ02"/>
    <s v="ΦΙΛΟΛΟΓΟΙ"/>
    <m/>
    <m/>
    <s v="Γ΄"/>
    <n v="1"/>
    <n v="6965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0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ΔΥΤ. ΘΕΣ/ΝΙΚΗΣ"/>
    <x v="4"/>
  </r>
  <r>
    <x v="2847"/>
    <x v="1"/>
    <s v="ΠΕ70"/>
    <s v="ΔΑΣΚΑΛΟΙ"/>
    <m/>
    <m/>
    <s v="Γ΄"/>
    <n v="1"/>
    <s v="ΑΠ1788247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6-11-13T00:00:00"/>
    <x v="1"/>
    <s v="ΔΙΕΥΘΥΝΣΗ Π.Ε. ΠΙΕΡΙΑΣ"/>
    <x v="5"/>
  </r>
  <r>
    <x v="2848"/>
    <x v="1"/>
    <s v="ΠΕ70"/>
    <s v="ΔΑΣΚΑΛΟΙ"/>
    <m/>
    <m/>
    <s v="Γ΄"/>
    <n v="1"/>
    <s v="ΑΠ1788224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6-04-09T00:00:00"/>
    <x v="1"/>
    <s v="ΔΙΕΥΘΥΝΣΗ Π.Ε. ΠΙΕΡΙΑΣ"/>
    <x v="5"/>
  </r>
  <r>
    <x v="2849"/>
    <x v="0"/>
    <s v="ΠΕ70"/>
    <s v="ΔΑΣΚΑΛΟΙ"/>
    <m/>
    <m/>
    <s v="Γ΄"/>
    <n v="1"/>
    <s v="ΑΠ1788299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5-01-03T00:00:00"/>
    <x v="1"/>
    <s v="ΔΙΕΥΘΥΝΣΗ Π.Ε. ΠΙΕΡΙΑΣ"/>
    <x v="5"/>
  </r>
  <r>
    <x v="2850"/>
    <x v="1"/>
    <s v="ΠΕ70"/>
    <s v="ΔΑΣΚΑΛΟΙ"/>
    <m/>
    <m/>
    <s v="Γ΄"/>
    <n v="1"/>
    <n v="320007"/>
    <d v="2018-03-05T00:00:00"/>
    <s v="ΠΙΕΡΙΑΣ (Π.Ε.) 2018"/>
    <s v="ΔΙΕΥΘΥΝΣΗ Π.Ε. ΠΙΕΡΙΑΣ"/>
    <s v="ΠΕΡΙΦΕΡΕΙΑΚΗ Δ/ΝΣΗ Α/ΘΜΙΑΣ ΚΑΙ Β/ΘΜΙΑΣ ΕΚΠ/ΣΗΣ ΚΕΝΤΡΙΚΗΣ ΜΑΚΕΔΟΝΙΑΣ"/>
    <n v="21"/>
    <d v="2018-03-05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4-12-27T00:00:00"/>
    <x v="1"/>
    <s v="ΔΙΕΥΘΥΝΣΗ Π.Ε. ΠΙΕΡΙΑΣ"/>
    <x v="5"/>
  </r>
  <r>
    <x v="2851"/>
    <x v="1"/>
    <s v="ΠΕ70"/>
    <s v="ΔΑΣΚΑΛΟΙ"/>
    <m/>
    <m/>
    <s v="Γ΄"/>
    <n v="1"/>
    <s v="2480300/3-12-2018"/>
    <d v="2018-12-03T00:00:00"/>
    <s v="ΠΙΕΡΙΑΣ (Π.Ε.) 2018"/>
    <s v="ΔΙΕΥΘΥΝΣΗ Π.Ε. ΠΙΕΡΙΑΣ"/>
    <s v="ΠΕΡΙΦΕΡΕΙΑΚΗ Δ/ΝΣΗ Α/ΘΜΙΑΣ ΚΑΙ Β/ΘΜΙΑΣ ΕΚΠ/ΣΗΣ ΚΕΝΤΡΙΚΗΣ ΜΑΚΕΔΟΝΙΑΣ"/>
    <n v="21"/>
    <d v="2018-12-03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3-05-17T00:00:00"/>
    <x v="1"/>
    <s v="ΔΙΕΥΘΥΝΣΗ Π.Ε. ΠΙΕΡΙΑΣ"/>
    <x v="5"/>
  </r>
  <r>
    <x v="2852"/>
    <x v="1"/>
    <s v="ΠΕ70"/>
    <s v="ΔΑΣΚΑΛΟΙ"/>
    <m/>
    <m/>
    <s v="Γ΄"/>
    <n v="1"/>
    <s v="ΑΠ1787739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3-02-01T00:00:00"/>
    <x v="1"/>
    <s v="ΔΙΕΥΘΥΝΣΗ Π.Ε. ΠΙΕΡΙΑΣ"/>
    <x v="5"/>
  </r>
  <r>
    <x v="2853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2-06-02T00:00:00"/>
    <x v="0"/>
    <s v="ΔΙΕΥΘΥΝΣΗ Δ.Ε. Β΄ ΑΘΗΝΑΣ"/>
    <x v="5"/>
  </r>
  <r>
    <x v="2854"/>
    <x v="1"/>
    <s v="ΠΕ60"/>
    <s v="ΝΗΠΙΑΓΩΓΟΙ"/>
    <m/>
    <m/>
    <s v="Γ΄"/>
    <n v="1"/>
    <s v="ΑΠ1794170"/>
    <d v="2018-09-03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3T00:00:00"/>
    <s v="Ιδιωτικά Σχολεία"/>
    <x v="1"/>
    <s v="7391001"/>
    <s v="ΙΔΙΩΤΙΚΟ ΝΗΠΙΑΓΩΓΕΙΟ ΚΑΤΕΡΙΝΗΣ - ΙΔΙΩΤΙΚΟ ΝΗΠ. ΠΛΑΤΩΝ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1-08-10T00:00:00"/>
    <x v="1"/>
    <s v="ΔΙΕΥΘΥΝΣΗ Π.Ε. ΠΙΕΡΙΑΣ"/>
    <x v="5"/>
  </r>
  <r>
    <x v="2855"/>
    <x v="1"/>
    <s v="ΠΕ86"/>
    <s v="ΠΛΗΡΟΦΟΡΙΚ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05-31T00:00:00"/>
    <x v="1"/>
    <s v="ΔΙΕΥΘΥΝΣΗ Π.Ε. Δ΄ ΑΘΗΝΑΣ"/>
    <x v="5"/>
  </r>
  <r>
    <x v="2856"/>
    <x v="1"/>
    <s v="ΠΕ08"/>
    <s v="ΚΑΛΛΙΤΕΧΝΙΚΩΝ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11-17T00:00:00"/>
    <x v="1"/>
    <s v="ΔΙΕΥΘΥΝΣΗ Π.Ε. ΑΝΑΤ. ΘΕΣ/ΝΙΚΗΣ"/>
    <x v="5"/>
  </r>
  <r>
    <x v="2857"/>
    <x v="1"/>
    <s v="ΠΕ70"/>
    <s v="ΔΑΣΚΑΛΟΙ"/>
    <m/>
    <m/>
    <s v="Γ΄"/>
    <n v="1"/>
    <s v="ΑΠ1788284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0-10-10T00:00:00"/>
    <x v="1"/>
    <s v="ΔΙΕΥΘΥΝΣΗ Π.Ε. ΠΙΕΡΙΑΣ"/>
    <x v="5"/>
  </r>
  <r>
    <x v="2858"/>
    <x v="0"/>
    <s v="ΠΕ70"/>
    <s v="ΔΑΣΚΑΛΟΙ"/>
    <m/>
    <m/>
    <s v="Γ΄"/>
    <n v="1"/>
    <s v="ΑΠ1787555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0"/>
    <s v="Τοποθέτηση σε Ιδιωτική Εκπαίδευση"/>
    <d v="1990-04-16T00:00:00"/>
    <x v="1"/>
    <s v="ΔΙΕΥΘΥΝΣΗ Π.Ε. ΠΙΕΡΙΑΣ"/>
    <x v="5"/>
  </r>
  <r>
    <x v="2859"/>
    <x v="1"/>
    <s v="ΠΕ03"/>
    <s v="ΜΑΘΗΜΑΤΙΚΟΙ"/>
    <m/>
    <m/>
    <s v="Γ΄"/>
    <n v="1"/>
    <n v="12362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21"/>
    <d v="2018-09-01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90-04-07T00:00:00"/>
    <x v="0"/>
    <s v="ΔΙΕΥΘΥΝΣΗ Δ.Ε. ΠΙΕΡΙΑΣ"/>
    <x v="5"/>
  </r>
  <r>
    <x v="2860"/>
    <x v="0"/>
    <s v="ΠΕ01"/>
    <s v="ΘΕΟΛΟΓΟΙ"/>
    <m/>
    <m/>
    <s v="Γ΄"/>
    <n v="1"/>
    <n v="4867"/>
    <d v="2018-09-01T00:00:00"/>
    <s v="Α΄ ΑΘΗΝΑΣ (Δ.Ε.) 2018"/>
    <s v="ΔΙΕΥΘΥΝΣΗ Δ.Ε. Α΄ ΑΘΗΝΑΣ"/>
    <s v="ΠΕΡΙΦΕΡΕΙΑΚΗ Δ/ΝΣΗ Α/ΘΜΙΑΣ ΚΑΙ Β/ΘΜΙΑΣ ΕΚΠ/ΣΗΣ ΑΤΤΙΚΗΣ"/>
    <n v="21"/>
    <d v="2018-09-01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2"/>
    <s v="Τοποθέτηση σε Ιδιωτική Εκπαίδευση"/>
    <d v="1990-01-01T00:00:00"/>
    <x v="0"/>
    <s v="ΔΙΕΥΘΥΝΣΗ Δ.Ε. Α΄ ΑΘΗΝΑΣ"/>
    <x v="5"/>
  </r>
  <r>
    <x v="2861"/>
    <x v="1"/>
    <s v="ΠΕ06"/>
    <s v="ΑΓΓΛΙΚΗΣ ΦΙΛΟΛΟΓΙΑΣ"/>
    <m/>
    <m/>
    <s v="Γ΄"/>
    <n v="1"/>
    <n v="785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89-04-22T00:00:00"/>
    <x v="0"/>
    <s v="ΔΙΕΥΘΥΝΣΗ Δ.Ε. Δ΄ ΑΘΗΝΑΣ"/>
    <x v="5"/>
  </r>
  <r>
    <x v="2862"/>
    <x v="1"/>
    <s v="ΠΕ86"/>
    <s v="ΠΛΗΡΟΦΟΡΙΚ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9-04-09T00:00:00"/>
    <x v="1"/>
    <s v="ΔΙΕΥΘΥΝΣΗ Π.Ε. Β΄ ΑΘΗΝΑΣ"/>
    <x v="5"/>
  </r>
  <r>
    <x v="2863"/>
    <x v="1"/>
    <s v="ΠΕ06"/>
    <s v="ΑΓΓΛΙΚΗΣ ΦΙΛΟΛΟΓΙΑΣ"/>
    <m/>
    <m/>
    <s v="Γ΄"/>
    <n v="1"/>
    <s v="12821/13-11-2018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21"/>
    <d v="2018-11-01T00:00:00"/>
    <m/>
    <x v="6"/>
    <s v=""/>
    <m/>
    <m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89-02-17T00:00:00"/>
    <x v="0"/>
    <s v="ΔΙΕΥΘΥΝΣΗ Δ.Ε. ΠΙΕΡΙΑΣ"/>
    <x v="5"/>
  </r>
  <r>
    <x v="2864"/>
    <x v="1"/>
    <s v="ΠΕ04.02"/>
    <s v="ΧΗΜ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02-06T00:00:00"/>
    <x v="0"/>
    <s v="ΔΙΕΥΘΥΝΣΗ Δ.Ε. Β΄ ΑΘΗΝΑΣ"/>
    <x v="5"/>
  </r>
  <r>
    <x v="2865"/>
    <x v="1"/>
    <s v="ΠΕ86"/>
    <s v="ΠΛΗΡΟΦΟΡΙΚΗΣ"/>
    <m/>
    <m/>
    <s v="Γ΄"/>
    <n v="1"/>
    <s v="Φ 17.2/549/7158/03-12-16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11-24T00:00:00"/>
    <x v="1"/>
    <s v="ΔΙΕΥΘΥΝΣΗ Π.Ε. Β΄ ΑΘΗΝΑΣ"/>
    <x v="5"/>
  </r>
  <r>
    <x v="2866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87-10-05T00:00:00"/>
    <x v="0"/>
    <s v="ΔΙΕΥΘΥΝΣΗ Δ.Ε. Β΄ ΑΘΗΝΑΣ"/>
    <x v="5"/>
  </r>
  <r>
    <x v="2867"/>
    <x v="1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7-07-27T00:00:00"/>
    <x v="0"/>
    <s v="ΔΙΕΥΘΥΝΣΗ Δ.Ε. Β΄ ΑΘΗΝΑΣ"/>
    <x v="5"/>
  </r>
  <r>
    <x v="2868"/>
    <x v="1"/>
    <s v="ΠΕ03"/>
    <s v="ΜΑΘΗΜΑΤΙΚΟΙ"/>
    <m/>
    <m/>
    <s v="Γ΄"/>
    <n v="1"/>
    <s v="Φ.17.2 / 6397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1"/>
    <d v="2018-09-01T00:00:00"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7-04-13T00:00:00"/>
    <x v="0"/>
    <s v="ΔΙΕΥΘΥΝΣΗ Δ.Ε. ΔΩΔΕΚΑΝΗΣΟΥ"/>
    <x v="5"/>
  </r>
  <r>
    <x v="2869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7-01-08T00:00:00"/>
    <x v="0"/>
    <s v="ΔΙΕΥΘΥΝΣΗ Δ.Ε. Β΄ ΑΘΗΝΑΣ"/>
    <x v="5"/>
  </r>
  <r>
    <x v="2870"/>
    <x v="1"/>
    <s v="ΠΕ05"/>
    <s v="ΓΑΛΛΙΚΗΣ ΦΙΛΟΛΟΓΙΑΣ"/>
    <m/>
    <m/>
    <s v="Γ΄"/>
    <n v="1"/>
    <n v="12096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2"/>
    <s v="0560032"/>
    <s v="ΙΔΙΩΤΙΚΟ ΓΥΜΝΑΣΙΟ - ΕΥΡΩΠΑΙΚΟ ΠΡΟΤΥΠΟ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d v="1986-11-21T00:00:00"/>
    <x v="0"/>
    <s v="ΔΙΕΥΘΥΝΣΗ Δ.Ε. Δ΄ ΑΘΗΝΑΣ"/>
    <x v="5"/>
  </r>
  <r>
    <x v="2871"/>
    <x v="1"/>
    <s v="ΠΕ86"/>
    <s v="ΠΛΗΡΟΦΟΡΙΚΗΣ"/>
    <m/>
    <m/>
    <s v="Α΄"/>
    <n v="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36"/>
    <s v="ΙΔΙΩΤΙΚΟ ΔΗΜΟΤΙΚ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11-20T00:00:00"/>
    <x v="1"/>
    <s v="ΔΙΕΥΘΥΝΣΗ Π.Ε. Β΄ ΑΘΗΝΑΣ"/>
    <x v="5"/>
  </r>
  <r>
    <x v="2872"/>
    <x v="0"/>
    <s v="ΠΕ02"/>
    <s v="ΦΙΛΟΛΟΓΟΙ"/>
    <m/>
    <m/>
    <s v="Α΄"/>
    <n v="4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6-10-08T00:00:00"/>
    <x v="0"/>
    <s v="ΔΙΕΥΘΥΝΣΗ Δ.Ε. Δ΄ ΑΘΗΝΑΣ"/>
    <x v="5"/>
  </r>
  <r>
    <x v="2873"/>
    <x v="1"/>
    <s v="ΠΕ03"/>
    <s v="ΜΑΘΗΜΑΤΙΚΟΙ"/>
    <m/>
    <m/>
    <s v="Γ΄"/>
    <n v="1"/>
    <s v="10062/1/6-11-2017"/>
    <d v="2017-10-30T00:00:00"/>
    <s v="ΞΑΝΘΗΣ (Δ.Ε.) 2018"/>
    <s v="ΔΙΕΥΘΥΝΣΗ Δ.Ε. ΞΑΝΘΗΣ"/>
    <s v="ΠΕΡΙΦΕΡΕΙΑΚΗ Δ/ΝΣΗ Α/ΘΜΙΑΣ ΚΑΙ Β/ΘΜΙΑΣ ΕΚΠ/ΣΗΣ ΑΝ. ΜΑΚΕΔΟΝΙΑΣ ΚΑΙ ΘΡΑΚΗΣ"/>
    <n v="21"/>
    <d v="2017-10-30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86-04-18T00:00:00"/>
    <x v="0"/>
    <s v="ΔΙΕΥΘΥΝΣΗ Δ.Ε. ΞΑΝΘΗΣ"/>
    <x v="5"/>
  </r>
  <r>
    <x v="2874"/>
    <x v="1"/>
    <s v="ΠΕ86"/>
    <s v="ΠΛΗΡΟΦΟΡΙΚ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6-03-15T00:00:00"/>
    <x v="0"/>
    <s v="ΔΙΕΥΘΥΝΣΗ Δ.Ε. ΑΝΑΤ. ΘΕΣ/ΝΙΚΗΣ"/>
    <x v="5"/>
  </r>
  <r>
    <x v="2875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8-29T00:00:00"/>
    <x v="0"/>
    <s v="ΔΙΕΥΘΥΝΣΗ Δ.Ε. Β΄ ΑΘΗΝΑΣ"/>
    <x v="5"/>
  </r>
  <r>
    <x v="2876"/>
    <x v="0"/>
    <s v="ΠΕ04.01"/>
    <s v="ΦΥΣΙΚΟΙ"/>
    <m/>
    <m/>
    <s v="Γ΄"/>
    <n v="1"/>
    <n v="15679"/>
    <d v="2018-09-12T00:00:00"/>
    <s v="Β΄ ΑΝΑΤ. ΑΤΤΙΚΗΣ (Δ.Ε.) 2018"/>
    <s v="ΔΙΕΥΘΥΝΣΗ Δ.Ε. ΑΝΑΤΟΛΙΚΗΣ ΑΤΤΙΚΗΣ"/>
    <s v="ΠΕΡΙΦΕΡΕΙΑΚΗ Δ/ΝΣΗ Α/ΘΜΙΑΣ ΚΑΙ Β/ΘΜΙΑΣ ΕΚΠ/ΣΗΣ ΑΤΤΙΚΗΣ"/>
    <n v="21"/>
    <d v="2018-09-12T00:00:00"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2"/>
    <s v="Τοποθέτηση σε Ιδιωτική Εκπαίδευση"/>
    <d v="1985-08-12T00:00:00"/>
    <x v="0"/>
    <s v="ΔΙΕΥΘΥΝΣΗ Δ.Ε. ΑΝΑΤΟΛΙΚΗΣ ΑΤΤΙΚΗΣ"/>
    <x v="5"/>
  </r>
  <r>
    <x v="2877"/>
    <x v="1"/>
    <s v="ΠΕ08"/>
    <s v="ΚΑΛΛΙΤΕΧΝΙΚΩΝ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5-07-30T00:00:00"/>
    <x v="1"/>
    <s v="ΔΙΕΥΘΥΝΣΗ Π.Ε. ΑΧΑΪΑΣ"/>
    <x v="5"/>
  </r>
  <r>
    <x v="2878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7-18T00:00:00"/>
    <x v="0"/>
    <s v="ΔΙΕΥΘΥΝΣΗ Δ.Ε. Β΄ ΑΘΗΝΑΣ"/>
    <x v="5"/>
  </r>
  <r>
    <x v="2879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5-05-24T00:00:00"/>
    <x v="0"/>
    <s v="ΔΙΕΥΘΥΝΣΗ Δ.Ε. Γ΄ ΑΘΗΝΑΣ"/>
    <x v="5"/>
  </r>
  <r>
    <x v="2880"/>
    <x v="1"/>
    <s v="ΠΕ04.02"/>
    <s v="ΧΗΜ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5-04-05T00:00:00"/>
    <x v="0"/>
    <s v="ΔΙΕΥΘΥΝΣΗ Δ.Ε. Α΄ ΑΘΗΝΑΣ"/>
    <x v="5"/>
  </r>
  <r>
    <x v="2881"/>
    <x v="1"/>
    <s v="ΠΕ05"/>
    <s v="ΓΑΛΛΙΚΗΣ ΦΙΛΟΛΟΓΙΑΣ"/>
    <m/>
    <m/>
    <s v="Γ΄"/>
    <n v="1"/>
    <s v="Φ.17.2 / 6450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1"/>
    <d v="2018-09-01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5-03-09T00:00:00"/>
    <x v="0"/>
    <s v="ΔΙΕΥΘΥΝΣΗ Δ.Ε. ΔΩΔΕΚΑΝΗΣΟΥ"/>
    <x v="5"/>
  </r>
  <r>
    <x v="2882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8-03T00:00:00"/>
    <x v="0"/>
    <s v="ΔΙΕΥΘΥΝΣΗ Δ.Ε. ΑΝΑΤΟΛΙΚΗΣ ΑΤΤΙΚΗΣ"/>
    <x v="5"/>
  </r>
  <r>
    <x v="2883"/>
    <x v="1"/>
    <s v="ΠΕ11"/>
    <s v="ΦΥΣΙΚΗΣ ΑΓΩΓΗΣ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1"/>
    <m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4-06-21T00:00:00"/>
    <x v="1"/>
    <s v="ΔΙΕΥΘΥΝΣΗ Π.Ε. ΙΩΑΝΝΙΝΩΝ"/>
    <x v="5"/>
  </r>
  <r>
    <x v="2884"/>
    <x v="0"/>
    <s v="ΠΕ03"/>
    <s v="ΜΑΘΗΜΑΤ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1"/>
    <m/>
    <s v="Ιδιωτικά Σχολεία"/>
    <x v="2"/>
    <s v="0180017"/>
    <s v="ΙΔΙΩΤΙΚΟ ΓΥΜΝΑΣΙΟ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4-03-26T00:00:00"/>
    <x v="0"/>
    <s v="ΔΙΕΥΘΥΝΣΗ Δ.Ε. ΑΙΤΩΛΟΑΚΑΡΝΑΝΙΑΣ"/>
    <x v="5"/>
  </r>
  <r>
    <x v="2885"/>
    <x v="1"/>
    <s v="ΠΕ03"/>
    <s v="ΜΑΘΗΜΑΤΙΚΟΙ"/>
    <m/>
    <m/>
    <s v="Γ΄"/>
    <n v="1"/>
    <s v="8923/Φ17.2/20-09-2018"/>
    <d v="2018-09-18T00:00:00"/>
    <s v="ΞΑΝΘΗΣ (Δ.Ε.) 2018"/>
    <s v="ΔΙΕΥΘΥΝΣΗ Δ.Ε. ΞΑΝΘΗΣ"/>
    <s v="ΠΕΡΙΦΕΡΕΙΑΚΗ Δ/ΝΣΗ Α/ΘΜΙΑΣ ΚΑΙ Β/ΘΜΙΑΣ ΕΚΠ/ΣΗΣ ΑΝ. ΜΑΚΕΔΟΝΙΑΣ ΚΑΙ ΘΡΑΚΗΣ"/>
    <n v="21"/>
    <d v="2018-09-18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2"/>
    <s v="Τοποθέτηση σε Ιδιωτική Εκπαίδευση"/>
    <d v="1983-12-16T00:00:00"/>
    <x v="0"/>
    <s v="ΔΙΕΥΘΥΝΣΗ Δ.Ε. ΞΑΝΘΗΣ"/>
    <x v="5"/>
  </r>
  <r>
    <x v="2886"/>
    <x v="1"/>
    <s v="ΠΕ86"/>
    <s v="ΠΛΗΡΟΦΟΡΙΚ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09-01T00:00:00"/>
    <x v="0"/>
    <s v="ΔΙΕΥΘΥΝΣΗ Δ.Ε. Δ΄ ΑΘΗΝΑΣ"/>
    <x v="5"/>
  </r>
  <r>
    <x v="2887"/>
    <x v="0"/>
    <s v="ΠΕ02"/>
    <s v="ΦΙΛΟΛΟΓΟΙ"/>
    <m/>
    <m/>
    <s v="Α΄"/>
    <n v="9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3-07-25T00:00:00"/>
    <x v="0"/>
    <s v="ΔΙΕΥΘΥΝΣΗ Δ.Ε. ΛΑΡΙΣΑΣ"/>
    <x v="5"/>
  </r>
  <r>
    <x v="2888"/>
    <x v="1"/>
    <s v="ΠΕ11"/>
    <s v="ΦΥΣΙΚΗΣ ΑΓΩΓ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6-19T00:00:00"/>
    <x v="1"/>
    <s v="ΔΙΕΥΘΥΝΣΗ Π.Ε. Δ΄ ΑΘΗΝΑΣ"/>
    <x v="5"/>
  </r>
  <r>
    <x v="2889"/>
    <x v="0"/>
    <s v="ΠΕ01"/>
    <s v="ΘΕ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83-06-15T00:00:00"/>
    <x v="0"/>
    <s v="ΔΙΕΥΘΥΝΣΗ Δ.Ε. ΑΝΑΤ. ΘΕΣ/ΝΙΚΗΣ"/>
    <x v="5"/>
  </r>
  <r>
    <x v="2890"/>
    <x v="0"/>
    <s v="ΠΕ86"/>
    <s v="ΠΛΗΡΟΦΟΡΙΚΗΣ"/>
    <m/>
    <m/>
    <s v="Α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1"/>
    <m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83-06-11T00:00:00"/>
    <x v="0"/>
    <s v="ΔΙΕΥΘΥΝΣΗ Δ.Ε. ΠΙΕΡΙΑΣ"/>
    <x v="5"/>
  </r>
  <r>
    <x v="2891"/>
    <x v="1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6-01T00:00:00"/>
    <x v="0"/>
    <s v="ΔΙΕΥΘΥΝΣΗ Δ.Ε. Β΄ ΑΘΗΝΑΣ"/>
    <x v="5"/>
  </r>
  <r>
    <x v="2892"/>
    <x v="1"/>
    <s v="ΠΕ02"/>
    <s v="ΦΙΛ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3-04-30T00:00:00"/>
    <x v="0"/>
    <s v="ΔΙΕΥΘΥΝΣΗ Δ.Ε. ΔΩΔΕΚΑΝΗΣΟΥ"/>
    <x v="5"/>
  </r>
  <r>
    <x v="289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4-18T00:00:00"/>
    <x v="0"/>
    <s v="ΔΙΕΥΘΥΝΣΗ Δ.Ε. Β΄ ΑΘΗΝΑΣ"/>
    <x v="5"/>
  </r>
  <r>
    <x v="2894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3-04-05T00:00:00"/>
    <x v="0"/>
    <s v="ΔΙΕΥΘΥΝΣΗ Δ.Ε. ΑΝΑΤΟΛΙΚΗΣ ΑΤΤΙΚΗΣ"/>
    <x v="5"/>
  </r>
  <r>
    <x v="2895"/>
    <x v="1"/>
    <s v="ΠΕ83"/>
    <s v="ΗΛΕΚΤΡΟΛΟΓΩΝ"/>
    <m/>
    <m/>
    <s v="Γ΄"/>
    <n v="1"/>
    <n v="17752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4-02T00:00:00"/>
    <x v="0"/>
    <s v="ΔΙΕΥΘΥΝΣΗ Δ.Ε. Β΄ ΑΘΗΝΑΣ"/>
    <x v="5"/>
  </r>
  <r>
    <x v="2896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3-24T00:00:00"/>
    <x v="0"/>
    <s v="ΔΙΕΥΘΥΝΣΗ Δ.Ε. ΑΝΑΤ. ΘΕΣ/ΝΙΚΗΣ"/>
    <x v="5"/>
  </r>
  <r>
    <x v="2897"/>
    <x v="1"/>
    <s v="ΠΕ08"/>
    <s v="ΚΑΛΛΙΤΕΧΝΙΚΩΝ"/>
    <m/>
    <m/>
    <s v="Γ΄"/>
    <n v="1"/>
    <s v="ΨΔΧΟ4653ΠΣ-ΦΟΡ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03-12T00:00:00"/>
    <x v="0"/>
    <s v="ΔΙΕΥΘΥΝΣΗ Δ.Ε. Β΄ ΑΘΗΝΑΣ"/>
    <x v="5"/>
  </r>
  <r>
    <x v="2898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2-17T00:00:00"/>
    <x v="0"/>
    <s v="ΔΙΕΥΘΥΝΣΗ Δ.Ε. Β΄ ΑΘΗΝΑΣ"/>
    <x v="5"/>
  </r>
  <r>
    <x v="2899"/>
    <x v="1"/>
    <s v="ΠΕ04.01"/>
    <s v="ΦΥΣΙΚΟΙ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01-01T00:00:00"/>
    <x v="0"/>
    <s v="ΔΙΕΥΘΥΝΣΗ Δ.Ε. Δ΄ ΑΘΗΝΑΣ"/>
    <x v="5"/>
  </r>
  <r>
    <x v="2900"/>
    <x v="1"/>
    <s v="ΠΕ86"/>
    <s v="ΠΛΗΡΟΦΟΡΙΚ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1-01T00:00:00"/>
    <x v="1"/>
    <s v="ΔΙΕΥΘΥΝΣΗ Π.Ε. Β΄ ΑΘΗΝΑΣ"/>
    <x v="5"/>
  </r>
  <r>
    <x v="2901"/>
    <x v="1"/>
    <s v="ΠΕ06"/>
    <s v="ΑΓΓΛΙΚΗΣ ΦΙΛΟΛΟΓΙΑΣ"/>
    <m/>
    <m/>
    <s v="Γ΄"/>
    <n v="1"/>
    <s v="9186/11-9-2017"/>
    <d v="2018-09-01T00:00:00"/>
    <s v="ΙΩΑΝΝΙΝΩΝ (Δ.Ε.) 2018"/>
    <s v="ΔΙΕΥΘΥΝΣΗ Δ.Ε. ΙΩΑΝΝΙΝΩΝ"/>
    <s v="ΠΕΡΙΦΕΡΕΙΑΚΗ Δ/ΝΣΗ Α/ΘΜΙΑΣ ΚΑΙ Β/ΘΜΙΑΣ ΕΚΠ/ΣΗΣ ΗΠΕΙΡΟΥ"/>
    <n v="21"/>
    <d v="2018-09-01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3-01-01T00:00:00"/>
    <x v="0"/>
    <s v="ΔΙΕΥΘΥΝΣΗ Δ.Ε. ΙΩΑΝΝΙΝΩΝ"/>
    <x v="5"/>
  </r>
  <r>
    <x v="2902"/>
    <x v="0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2-12-29T00:00:00"/>
    <x v="0"/>
    <s v="ΔΙΕΥΘΥΝΣΗ Δ.Ε. ΛΑΡΙΣΑΣ"/>
    <x v="5"/>
  </r>
  <r>
    <x v="2903"/>
    <x v="1"/>
    <s v="ΠΕ04.02"/>
    <s v="ΧΗΜ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12-21T00:00:00"/>
    <x v="0"/>
    <s v="ΔΙΕΥΘΥΝΣΗ Δ.Ε. Β΄ ΑΘΗΝΑΣ"/>
    <x v="5"/>
  </r>
  <r>
    <x v="2904"/>
    <x v="1"/>
    <s v="ΠΕ04.01"/>
    <s v="ΦΥΣΙΚΟΙ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2-12-11T00:00:00"/>
    <x v="0"/>
    <s v="ΔΙΕΥΘΥΝΣΗ Δ.Ε. ΔΩΔΕΚΑΝΗΣΟΥ"/>
    <x v="5"/>
  </r>
  <r>
    <x v="2905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10-06T00:00:00"/>
    <x v="0"/>
    <s v="ΔΙΕΥΘΥΝΣΗ Δ.Ε. Β΄ ΑΘΗΝΑΣ"/>
    <x v="5"/>
  </r>
  <r>
    <x v="2906"/>
    <x v="1"/>
    <s v="ΠΕ78"/>
    <s v="ΚΟΙΝΩΝΙΚΩΝ ΕΠΙΣΤΗΜ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9-30T00:00:00"/>
    <x v="0"/>
    <s v="ΔΙΕΥΘΥΝΣΗ Δ.Ε. Β΄ ΑΘΗΝΑΣ"/>
    <x v="5"/>
  </r>
  <r>
    <x v="2907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9-13T00:00:00"/>
    <x v="0"/>
    <s v="ΔΙΕΥΘΥΝΣΗ Δ.Ε. Β΄ ΑΘΗΝΑΣ"/>
    <x v="5"/>
  </r>
  <r>
    <x v="2908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8-16T00:00:00"/>
    <x v="0"/>
    <s v="ΔΙΕΥΘΥΝΣΗ Δ.Ε. ΑΝΑΤ. ΘΕΣ/ΝΙΚΗΣ"/>
    <x v="5"/>
  </r>
  <r>
    <x v="2909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8-07T00:00:00"/>
    <x v="0"/>
    <s v="ΔΙΕΥΘΥΝΣΗ Δ.Ε. ΑΝΑΤ. ΘΕΣ/ΝΙΚΗΣ"/>
    <x v="5"/>
  </r>
  <r>
    <x v="2910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8-05T00:00:00"/>
    <x v="0"/>
    <s v="ΔΙΕΥΘΥΝΣΗ Δ.Ε. ΑΝΑΤ. ΘΕΣ/ΝΙΚΗΣ"/>
    <x v="5"/>
  </r>
  <r>
    <x v="2911"/>
    <x v="1"/>
    <s v="ΠΕ02"/>
    <s v="ΦΙΛΟΛΟΓΟΙ"/>
    <m/>
    <m/>
    <s v="Α΄"/>
    <n v="7"/>
    <m/>
    <m/>
    <s v="ΞΑΝΘΗΣ (Δ.Ε.) 2018"/>
    <s v="ΔΙΕΥΘΥΝΣΗ Δ.Ε. ΞΑΝΘΗΣ"/>
    <s v="ΠΕΡΙΦΕΡΕΙΑΚΗ Δ/ΝΣΗ Α/ΘΜΙΑΣ ΚΑΙ Β/ΘΜΙΑΣ ΕΚΠ/ΣΗΣ ΑΝ. ΜΑΚΕΔΟΝΙΑΣ ΚΑΙ ΘΡΑΚΗΣ"/>
    <n v="21"/>
    <m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82-07-27T00:00:00"/>
    <x v="0"/>
    <s v="ΔΙΕΥΘΥΝΣΗ Δ.Ε. ΞΑΝΘΗΣ"/>
    <x v="5"/>
  </r>
  <r>
    <x v="2912"/>
    <x v="1"/>
    <s v="ΠΕ05"/>
    <s v="ΓΑΛΛΙΚΗΣ ΦΙΛΟΛΟΓΙΑΣ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2-07-05T00:00:00"/>
    <x v="0"/>
    <s v="ΔΙΕΥΘΥΝΣΗ Δ.Ε. ΔΩΔΕΚΑΝΗΣΟΥ"/>
    <x v="5"/>
  </r>
  <r>
    <x v="291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5-13T00:00:00"/>
    <x v="0"/>
    <s v="ΔΙΕΥΘΥΝΣΗ Δ.Ε. Β΄ ΑΘΗΝΑΣ"/>
    <x v="5"/>
  </r>
  <r>
    <x v="2914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2-05-01T00:00:00"/>
    <x v="0"/>
    <s v="ΔΙΕΥΘΥΝΣΗ Δ.Ε. Γ΄ ΑΘΗΝΑΣ"/>
    <x v="5"/>
  </r>
  <r>
    <x v="2915"/>
    <x v="0"/>
    <s v="ΠΕ04.02"/>
    <s v="ΧΗΜΙΚΟΙ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2-04-24T00:00:00"/>
    <x v="0"/>
    <s v="ΔΙΕΥΘΥΝΣΗ Δ.Ε. Δ΄ ΑΘΗΝΑΣ"/>
    <x v="5"/>
  </r>
  <r>
    <x v="291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2-01-08T00:00:00"/>
    <x v="0"/>
    <s v="ΔΙΕΥΘΥΝΣΗ Δ.Ε. ΑΝΑΤΟΛΙΚΗΣ ΑΤΤΙΚΗΣ"/>
    <x v="5"/>
  </r>
  <r>
    <x v="2917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Β΄ ΑΘΗΝΑΣ"/>
    <x v="5"/>
  </r>
  <r>
    <x v="2918"/>
    <x v="1"/>
    <s v="ΠΕ04.04"/>
    <s v="ΒΙ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Δ΄ ΑΘΗΝΑΣ"/>
    <x v="5"/>
  </r>
  <r>
    <x v="2919"/>
    <x v="1"/>
    <s v="ΠΕ06"/>
    <s v="ΑΓΓΛΙΚΗΣ ΦΙΛΟΛΟΓΙΑΣ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82-01-01T00:00:00"/>
    <x v="1"/>
    <s v="ΔΙΕΥΘΥΝΣΗ Π.Ε. ΑΧΑΪΑΣ"/>
    <x v="5"/>
  </r>
  <r>
    <x v="2920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12-08T00:00:00"/>
    <x v="0"/>
    <s v="ΔΙΕΥΘΥΝΣΗ Δ.Ε. Β΄ ΑΘΗΝΑΣ"/>
    <x v="5"/>
  </r>
  <r>
    <x v="2921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11-22T00:00:00"/>
    <x v="0"/>
    <s v="ΔΙΕΥΘΥΝΣΗ Δ.Ε. Β΄ ΑΘΗΝΑΣ"/>
    <x v="5"/>
  </r>
  <r>
    <x v="2922"/>
    <x v="1"/>
    <s v="ΠΕ06"/>
    <s v="ΑΓΓΛΙΚΗΣ ΦΙΛΟΛΟΓΙΑΣ"/>
    <m/>
    <m/>
    <s v="Γ΄"/>
    <n v="1"/>
    <s v="6Ι134653ΠΣ-0ΙΠ"/>
    <d v="2018-09-01T00:00:00"/>
    <s v="ΙΩΑΝΝΙΝΩΝ (Δ.Ε.) 2018"/>
    <s v="ΔΙΕΥΘΥΝΣΗ Δ.Ε. ΙΩΑΝΝΙΝΩΝ"/>
    <s v="ΠΕΡΙΦΕΡΕΙΑΚΗ Δ/ΝΣΗ Α/ΘΜΙΑΣ ΚΑΙ Β/ΘΜΙΑΣ ΕΚΠ/ΣΗΣ ΗΠΕΙΡΟΥ"/>
    <n v="21"/>
    <d v="2018-09-01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2"/>
    <s v="Τοποθέτηση σε Ιδιωτική Εκπαίδευση"/>
    <d v="1981-11-20T00:00:00"/>
    <x v="0"/>
    <s v="ΔΙΕΥΘΥΝΣΗ Δ.Ε. ΙΩΑΝΝΙΝΩΝ"/>
    <x v="5"/>
  </r>
  <r>
    <x v="2923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9-21T00:00:00"/>
    <x v="0"/>
    <s v="ΔΙΕΥΘΥΝΣΗ Δ.Ε. Β΄ ΑΘΗΝΑΣ"/>
    <x v="5"/>
  </r>
  <r>
    <x v="2924"/>
    <x v="1"/>
    <s v="ΠΕ80"/>
    <s v="ΟΙΚΟΝΟΜΙΑΣ"/>
    <m/>
    <m/>
    <s v="Α΄"/>
    <n v="7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9-17T00:00:00"/>
    <x v="0"/>
    <s v="ΔΙΕΥΘΥΝΣΗ Δ.Ε. ΑΝΑΤ. ΘΕΣ/ΝΙΚΗΣ"/>
    <x v="5"/>
  </r>
  <r>
    <x v="2925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9-01T00:00:00"/>
    <x v="0"/>
    <s v="ΔΙΕΥΘΥΝΣΗ Δ.Ε. ΑΝΑΤΟΛΙΚΗΣ ΑΤΤΙΚΗΣ"/>
    <x v="5"/>
  </r>
  <r>
    <x v="2926"/>
    <x v="0"/>
    <s v="ΠΕ01"/>
    <s v="ΘΕΟΛΟΓΟΙ"/>
    <m/>
    <m/>
    <s v="Α΄"/>
    <n v="4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1-09-01T00:00:00"/>
    <x v="0"/>
    <s v="ΔΙΕΥΘΥΝΣΗ Δ.Ε. Δ΄ ΑΘΗΝΑΣ"/>
    <x v="5"/>
  </r>
  <r>
    <x v="2927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7-31T00:00:00"/>
    <x v="0"/>
    <s v="ΔΙΕΥΘΥΝΣΗ Δ.Ε. Β΄ ΑΘΗΝΑΣ"/>
    <x v="5"/>
  </r>
  <r>
    <x v="2928"/>
    <x v="1"/>
    <s v="ΠΕ02"/>
    <s v="ΦΙΛΟΛΟΓΟΙ"/>
    <m/>
    <m/>
    <s v="Γ΄"/>
    <n v="1"/>
    <n v="15576"/>
    <d v="2018-09-10T00:00:00"/>
    <s v="Γ΄ ΑΘΗΝΑΣ (Δ.Ε.) 2018"/>
    <s v="ΔΙΕΥΘΥΝΣΗ Δ.Ε. Γ΄ ΑΘΗΝΑΣ"/>
    <s v="ΠΕΡΙΦΕΡΕΙΑΚΗ Δ/ΝΣΗ Α/ΘΜΙΑΣ ΚΑΙ Β/ΘΜΙΑΣ ΕΚΠ/ΣΗΣ ΑΤΤΙΚΗΣ"/>
    <n v="21"/>
    <d v="2018-09-10T00:00:00"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2"/>
    <s v="Τοποθέτηση σε Ιδιωτική Εκπαίδευση"/>
    <d v="1981-07-04T00:00:00"/>
    <x v="0"/>
    <s v="ΔΙΕΥΘΥΝΣΗ Δ.Ε. Γ΄ ΑΘΗΝΑΣ"/>
    <x v="5"/>
  </r>
  <r>
    <x v="2929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5-20T00:00:00"/>
    <x v="0"/>
    <s v="ΔΙΕΥΘΥΝΣΗ Δ.Ε. Β΄ ΑΘΗΝΑΣ"/>
    <x v="5"/>
  </r>
  <r>
    <x v="2930"/>
    <x v="1"/>
    <s v="ΠΕ01"/>
    <s v="ΘΕ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1-04-15T00:00:00"/>
    <x v="0"/>
    <s v="ΔΙΕΥΘΥΝΣΗ Δ.Ε. ΔΩΔΕΚΑΝΗΣΟΥ"/>
    <x v="5"/>
  </r>
  <r>
    <x v="2931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1-04-13T00:00:00"/>
    <x v="0"/>
    <s v="ΔΙΕΥΘΥΝΣΗ Δ.Ε. Δ΄ ΑΘΗΝΑΣ"/>
    <x v="5"/>
  </r>
  <r>
    <x v="2932"/>
    <x v="1"/>
    <s v="ΠΕ03"/>
    <s v="ΜΑΘΗΜΑΤΙΚ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4-10T00:00:00"/>
    <x v="0"/>
    <s v="ΔΙΕΥΘΥΝΣΗ Δ.Ε. ΑΝΑΤΟΛΙΚΗΣ ΑΤΤΙΚΗΣ"/>
    <x v="5"/>
  </r>
  <r>
    <x v="2933"/>
    <x v="1"/>
    <s v="ΠΕ02"/>
    <s v="ΦΙΛΟΛΟΓΟΙ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1"/>
    <d v="2018-09-01T00:00:00"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1-04-07T00:00:00"/>
    <x v="0"/>
    <s v="ΔΙΕΥΘΥΝΣΗ Δ.Ε. ΔΩΔΕΚΑΝΗΣΟΥ"/>
    <x v="5"/>
  </r>
  <r>
    <x v="2934"/>
    <x v="0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3-26T00:00:00"/>
    <x v="0"/>
    <s v="ΔΙΕΥΘΥΝΣΗ Δ.Ε. ΑΝΑΤΟΛΙΚΗΣ ΑΤΤΙΚΗΣ"/>
    <x v="5"/>
  </r>
  <r>
    <x v="293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3-07T00:00:00"/>
    <x v="0"/>
    <s v="ΔΙΕΥΘΥΝΣΗ Δ.Ε. Β΄ ΑΘΗΝΑΣ"/>
    <x v="5"/>
  </r>
  <r>
    <x v="293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2-28T00:00:00"/>
    <x v="0"/>
    <s v="ΔΙΕΥΘΥΝΣΗ Δ.Ε. Β΄ ΑΘΗΝΑΣ"/>
    <x v="5"/>
  </r>
  <r>
    <x v="2937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1-17T00:00:00"/>
    <x v="0"/>
    <s v="ΔΙΕΥΘΥΝΣΗ Δ.Ε. Β΄ ΑΘΗΝΑΣ"/>
    <x v="5"/>
  </r>
  <r>
    <x v="2938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1-16T00:00:00"/>
    <x v="0"/>
    <s v="ΔΙΕΥΘΥΝΣΗ Δ.Ε. Β΄ ΑΘΗΝΑΣ"/>
    <x v="5"/>
  </r>
  <r>
    <x v="2939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1-01-01T00:00:00"/>
    <x v="0"/>
    <s v="ΔΙΕΥΘΥΝΣΗ Δ.Ε. Γ΄ ΑΘΗΝΑΣ"/>
    <x v="5"/>
  </r>
  <r>
    <x v="2940"/>
    <x v="0"/>
    <s v="ΠΕ86"/>
    <s v="ΠΛΗΡΟΦΟΡΙΚΗΣ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1-01-01T00:00:00"/>
    <x v="0"/>
    <s v="ΔΙΕΥΘΥΝΣΗ Δ.Ε. ΛΑΡΙΣΑΣ"/>
    <x v="5"/>
  </r>
  <r>
    <x v="2941"/>
    <x v="1"/>
    <s v="ΠΕ07"/>
    <s v="ΓΕΡΜΑΝΙΚΗΣ ΦΙΛΟΛΟΓΙΑΣ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1-01T00:00:00"/>
    <x v="0"/>
    <s v="ΔΙΕΥΘΥΝΣΗ Δ.Ε. ΑΝΑΤ. ΘΕΣ/ΝΙΚΗΣ"/>
    <x v="5"/>
  </r>
  <r>
    <x v="2942"/>
    <x v="1"/>
    <s v="ΠΕ02"/>
    <s v="ΦΙΛ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60007"/>
    <s v="ΙΔΙΩΤΙΚΟ ΓΥΜΝΑΣΙΟ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1-01T00:00:00"/>
    <x v="0"/>
    <s v="ΔΙΕΥΘΥΝΣΗ Δ.Ε. ΑΝΑΤ. ΘΕΣ/ΝΙΚΗΣ"/>
    <x v="5"/>
  </r>
  <r>
    <x v="2943"/>
    <x v="0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12-12T00:00:00"/>
    <x v="0"/>
    <s v="ΔΙΕΥΘΥΝΣΗ Δ.Ε. Β΄ ΑΘΗΝΑΣ"/>
    <x v="5"/>
  </r>
  <r>
    <x v="2944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12-11T00:00:00"/>
    <x v="0"/>
    <s v="ΔΙΕΥΘΥΝΣΗ Δ.Ε. Β΄ ΑΘΗΝΑΣ"/>
    <x v="5"/>
  </r>
  <r>
    <x v="2945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9-14T00:00:00"/>
    <x v="0"/>
    <s v="ΔΙΕΥΘΥΝΣΗ Δ.Ε. Β΄ ΑΘΗΝΑΣ"/>
    <x v="5"/>
  </r>
  <r>
    <x v="2946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8-26T00:00:00"/>
    <x v="0"/>
    <s v="ΔΙΕΥΘΥΝΣΗ Δ.Ε. Β΄ ΑΘΗΝΑΣ"/>
    <x v="5"/>
  </r>
  <r>
    <x v="2947"/>
    <x v="1"/>
    <s v="ΠΕ01"/>
    <s v="ΘΕΟΛΟΓΟΙ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0-08-18T00:00:00"/>
    <x v="0"/>
    <s v="ΔΙΕΥΘΥΝΣΗ Δ.Ε. ΔΩΔΕΚΑΝΗΣΟΥ"/>
    <x v="5"/>
  </r>
  <r>
    <x v="2948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7-30T00:00:00"/>
    <x v="0"/>
    <s v="ΔΙΕΥΘΥΝΣΗ Δ.Ε. Δ΄ ΑΘΗΝΑΣ"/>
    <x v="5"/>
  </r>
  <r>
    <x v="2949"/>
    <x v="1"/>
    <s v="ΠΕ02"/>
    <s v="ΦΙΛΟΛΟΓΟΙ"/>
    <m/>
    <m/>
    <s v="Α΄"/>
    <n v="1"/>
    <s v="12821/17-09-2012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80-07-05T00:00:00"/>
    <x v="0"/>
    <s v="ΔΙΕΥΘΥΝΣΗ Δ.Ε. ΔΥΤ. ΘΕΣ/ΝΙΚΗΣ"/>
    <x v="5"/>
  </r>
  <r>
    <x v="2950"/>
    <x v="1"/>
    <s v="ΠΕ03"/>
    <s v="ΜΑΘΗΜΑΤΙΚΟΙ"/>
    <m/>
    <m/>
    <s v="Α΄"/>
    <n v="1"/>
    <s v="ΩΒ689-ΟΞΣ"/>
    <d v="2014-12-08T00:00:00"/>
    <s v="Α΄ ΠΕΙΡΑΙΑ (Δ.Ε.) 2018"/>
    <s v="ΔΙΕΥΘΥΝΣΗ Δ.Ε. ΠΕΙΡΑΙΑ"/>
    <s v="ΠΕΡΙΦΕΡΕΙΑΚΗ Δ/ΝΣΗ Α/ΘΜΙΑΣ ΚΑΙ Β/ΘΜΙΑΣ ΕΚΠ/ΣΗΣ ΑΤΤΙΚΗΣ"/>
    <n v="21"/>
    <d v="2014-12-08T00:00:00"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0-07-03T00:00:00"/>
    <x v="0"/>
    <s v="ΔΙΕΥΘΥΝΣΗ Δ.Ε. ΠΕΙΡΑΙΑ"/>
    <x v="5"/>
  </r>
  <r>
    <x v="2951"/>
    <x v="1"/>
    <s v="ΠΕ08"/>
    <s v="ΚΑΛΛΙΤΕΧΝΙΚ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4-22T00:00:00"/>
    <x v="0"/>
    <s v="ΔΙΕΥΘΥΝΣΗ Δ.Ε. Β΄ ΑΘΗΝΑΣ"/>
    <x v="5"/>
  </r>
  <r>
    <x v="2952"/>
    <x v="0"/>
    <s v="ΠΕ86"/>
    <s v="ΠΛΗΡΟΦΟΡΙΚΗΣ"/>
    <s v="ΠΕ84"/>
    <s v="ΗΛΕΚΤΡΟΝΙΚΩΝ"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3-22T00:00:00"/>
    <x v="0"/>
    <s v="ΔΙΕΥΘΥΝΣΗ Δ.Ε. Δ΄ ΑΘΗΝΑΣ"/>
    <x v="5"/>
  </r>
  <r>
    <x v="2953"/>
    <x v="1"/>
    <s v="ΠΕ06"/>
    <s v="ΑΓΓΛΙΚΗΣ ΦΙΛΟΛΟΓΙΑΣ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80-02-16T00:00:00"/>
    <x v="0"/>
    <s v="ΔΙΕΥΘΥΝΣΗ Δ.Ε. ΜΕΣΣΗΝΙΑΣ"/>
    <x v="5"/>
  </r>
  <r>
    <x v="295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1-31T00:00:00"/>
    <x v="0"/>
    <s v="ΔΙΕΥΘΥΝΣΗ Δ.Ε. Β΄ ΑΘΗΝΑΣ"/>
    <x v="5"/>
  </r>
  <r>
    <x v="2955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1-29T00:00:00"/>
    <x v="0"/>
    <s v="ΔΙΕΥΘΥΝΣΗ Δ.Ε. Β΄ ΑΘΗΝΑΣ"/>
    <x v="5"/>
  </r>
  <r>
    <x v="2956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1-26T00:00:00"/>
    <x v="0"/>
    <s v="ΔΙΕΥΘΥΝΣΗ Δ.Ε. Β΄ ΑΘΗΝΑΣ"/>
    <x v="5"/>
  </r>
  <r>
    <x v="2957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Β΄ ΑΘΗΝΑΣ"/>
    <x v="5"/>
  </r>
  <r>
    <x v="2958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Δ΄ ΑΘΗΝΑΣ"/>
    <x v="5"/>
  </r>
  <r>
    <x v="2959"/>
    <x v="1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1-01T00:00:00"/>
    <x v="0"/>
    <s v="ΔΙΕΥΘΥΝΣΗ Δ.Ε. ΑΝΑΤ. ΘΕΣ/ΝΙΚΗΣ"/>
    <x v="5"/>
  </r>
  <r>
    <x v="2960"/>
    <x v="1"/>
    <s v="ΠΕ02"/>
    <s v="ΦΙΛΟΛΟΓΟΙ"/>
    <m/>
    <m/>
    <s v="Α΄"/>
    <n v="4"/>
    <s v="ΔΥ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1-01T00:00:00"/>
    <x v="0"/>
    <s v="ΔΙΕΥΘΥΝΣΗ Δ.Ε. ΑΝΑΤ. ΘΕΣ/ΝΙΚΗΣ"/>
    <x v="5"/>
  </r>
  <r>
    <x v="2961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11-15T00:00:00"/>
    <x v="1"/>
    <s v="ΔΙΕΥΘΥΝΣΗ Π.Ε. Β΄ ΑΘΗΝΑΣ"/>
    <x v="5"/>
  </r>
  <r>
    <x v="2962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10-24T00:00:00"/>
    <x v="0"/>
    <s v="ΔΙΕΥΘΥΝΣΗ Δ.Ε. Β΄ ΑΘΗΝΑΣ"/>
    <x v="5"/>
  </r>
  <r>
    <x v="2963"/>
    <x v="1"/>
    <s v="ΠΕ02"/>
    <s v="ΦΙΛ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9-09-23T00:00:00"/>
    <x v="0"/>
    <s v="ΔΙΕΥΘΥΝΣΗ Δ.Ε. ΔΩΔΕΚΑΝΗΣΟΥ"/>
    <x v="5"/>
  </r>
  <r>
    <x v="2964"/>
    <x v="1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9-09-18T00:00:00"/>
    <x v="0"/>
    <s v="ΔΙΕΥΘΥΝΣΗ Δ.Ε. Β΄ ΑΘΗΝΑΣ"/>
    <x v="5"/>
  </r>
  <r>
    <x v="2965"/>
    <x v="1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9-08-11T00:00:00"/>
    <x v="0"/>
    <s v="ΔΙΕΥΘΥΝΣΗ Δ.Ε. ΠΕΙΡΑΙΑ"/>
    <x v="5"/>
  </r>
  <r>
    <x v="2966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8-08T00:00:00"/>
    <x v="0"/>
    <s v="ΔΙΕΥΘΥΝΣΗ Δ.Ε. Β΄ ΑΘΗΝΑΣ"/>
    <x v="5"/>
  </r>
  <r>
    <x v="2967"/>
    <x v="0"/>
    <s v="ΠΕ11"/>
    <s v="ΦΥΣΙΚΗΣ ΑΓΩΓΗΣ"/>
    <m/>
    <m/>
    <s v="Γ΄"/>
    <n v="3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9-08-06T00:00:00"/>
    <x v="1"/>
    <s v="ΔΙΕΥΘΥΝΣΗ Π.Ε. ΑΝΑΤΟΛΙΚΗΣ ΑΤΤΙΚΗΣ"/>
    <x v="5"/>
  </r>
  <r>
    <x v="2968"/>
    <x v="0"/>
    <s v="ΠΕ80"/>
    <s v="ΟΙΚΟΝΟΜΙΑΣ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1"/>
    <m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9-08-02T00:00:00"/>
    <x v="0"/>
    <s v="ΔΙΕΥΘΥΝΣΗ Δ.Ε. ΑΙΤΩΛΟΑΚΑΡΝΑΝΙΑΣ"/>
    <x v="5"/>
  </r>
  <r>
    <x v="2969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7-27T00:00:00"/>
    <x v="0"/>
    <s v="ΔΙΕΥΘΥΝΣΗ Δ.Ε. Γ΄ ΑΘΗΝΑΣ"/>
    <x v="5"/>
  </r>
  <r>
    <x v="2970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9-07-24T00:00:00"/>
    <x v="0"/>
    <s v="ΔΙΕΥΘΥΝΣΗ Δ.Ε. ΑΝΑΤ. ΘΕΣ/ΝΙΚΗΣ"/>
    <x v="5"/>
  </r>
  <r>
    <x v="2971"/>
    <x v="0"/>
    <s v="ΠΕ11"/>
    <s v="ΦΥΣΙΚΗΣ ΑΓΩΓΗΣ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6-26T00:00:00"/>
    <x v="0"/>
    <s v="ΔΙΕΥΘΥΝΣΗ Δ.Ε. Δ΄ ΑΘΗΝΑΣ"/>
    <x v="5"/>
  </r>
  <r>
    <x v="2972"/>
    <x v="0"/>
    <s v="ΠΕ04.04"/>
    <s v="ΒΙ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6-25T00:00:00"/>
    <x v="0"/>
    <s v="ΔΙΕΥΘΥΝΣΗ Δ.Ε. ΑΝΑΤ. ΘΕΣ/ΝΙΚΗΣ"/>
    <x v="5"/>
  </r>
  <r>
    <x v="2973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81575"/>
    <s v="ΙΔΙΩΤΙΚΟ ΓΥΜΝΑΣΙΟ ΑΙΚΑΤΕΡΙΝΗΣ ΚΑΡΑΧΑΛΙΟΥ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9-06-20T00:00:00"/>
    <x v="0"/>
    <s v="ΔΙΕΥΘΥΝΣΗ Δ.Ε. ΠΕΙΡΑΙΑ"/>
    <x v="5"/>
  </r>
  <r>
    <x v="2974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6-19T00:00:00"/>
    <x v="0"/>
    <s v="ΔΙΕΥΘΥΝΣΗ Δ.Ε. Β΄ ΑΘΗΝΑΣ"/>
    <x v="5"/>
  </r>
  <r>
    <x v="2975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6-16T00:00:00"/>
    <x v="0"/>
    <s v="ΔΙΕΥΘΥΝΣΗ Δ.Ε. Β΄ ΑΘΗΝΑΣ"/>
    <x v="5"/>
  </r>
  <r>
    <x v="2976"/>
    <x v="0"/>
    <s v="ΠΕ86"/>
    <s v="ΠΛΗΡΟΦΟΡΙΚΗΣ"/>
    <m/>
    <m/>
    <s v="Α΄"/>
    <n v="5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9-06-16T00:00:00"/>
    <x v="0"/>
    <s v="ΔΙΕΥΘΥΝΣΗ Δ.Ε. ΛΑΡΙΣΑΣ"/>
    <x v="5"/>
  </r>
  <r>
    <x v="2977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6-04T00:00:00"/>
    <x v="0"/>
    <s v="ΔΙΕΥΘΥΝΣΗ Δ.Ε. Β΄ ΑΘΗΝΑΣ"/>
    <x v="5"/>
  </r>
  <r>
    <x v="2978"/>
    <x v="0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5-14T00:00:00"/>
    <x v="0"/>
    <s v="ΔΙΕΥΘΥΝΣΗ Δ.Ε. Β΄ ΑΘΗΝΑΣ"/>
    <x v="5"/>
  </r>
  <r>
    <x v="2979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9-03-27T00:00:00"/>
    <x v="0"/>
    <s v="ΔΙΕΥΘΥΝΣΗ Δ.Ε. ΠΕΙΡΑΙΑ"/>
    <x v="5"/>
  </r>
  <r>
    <x v="2980"/>
    <x v="1"/>
    <s v="ΠΕ06"/>
    <s v="ΑΓΓΛΙΚΗΣ ΦΙΛΟΛΟΓΙΑΣ"/>
    <m/>
    <m/>
    <s v="Γ΄"/>
    <n v="1"/>
    <n v="231"/>
    <d v="2006-08-31T00:00:00"/>
    <s v="Β΄ ΑΘΗΝΑΣ (Δ.Ε.) 2018"/>
    <s v="ΔΙΕΥΘΥΝΣΗ Δ.Ε. Β΄ ΑΘΗΝΑΣ"/>
    <s v="ΠΕΡΙΦΕΡΕΙΑΚΗ Δ/ΝΣΗ Α/ΘΜΙΑΣ ΚΑΙ Β/ΘΜΙΑΣ ΕΚΠ/ΣΗΣ ΑΤΤΙΚΗΣ"/>
    <n v="21"/>
    <d v="2006-08-3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9-03-21T00:00:00"/>
    <x v="0"/>
    <s v="ΔΙΕΥΘΥΝΣΗ Δ.Ε. Β΄ ΑΘΗΝΑΣ"/>
    <x v="5"/>
  </r>
  <r>
    <x v="2981"/>
    <x v="1"/>
    <s v="ΠΕ06"/>
    <s v="ΑΓΓΛΙΚΗΣ ΦΙΛΟΛΟΓΙΑΣ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3-20T00:00:00"/>
    <x v="0"/>
    <s v="ΔΙΕΥΘΥΝΣΗ Δ.Ε. Δ΄ ΑΘΗΝΑΣ"/>
    <x v="5"/>
  </r>
  <r>
    <x v="2982"/>
    <x v="1"/>
    <s v="ΠΕ11"/>
    <s v="ΦΥΣΙΚΗΣ ΑΓΩΓΗΣ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3-20T00:00:00"/>
    <x v="0"/>
    <s v="ΔΙΕΥΘΥΝΣΗ Δ.Ε. ΑΝΑΤ. ΘΕΣ/ΝΙΚΗΣ"/>
    <x v="5"/>
  </r>
  <r>
    <x v="2983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9-03-15T00:00:00"/>
    <x v="0"/>
    <s v="ΔΙΕΥΘΥΝΣΗ Δ.Ε. ΛΑΡΙΣΑΣ"/>
    <x v="5"/>
  </r>
  <r>
    <x v="298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3-11T00:00:00"/>
    <x v="0"/>
    <s v="ΔΙΕΥΘΥΝΣΗ Δ.Ε. Β΄ ΑΘΗΝΑΣ"/>
    <x v="5"/>
  </r>
  <r>
    <x v="2985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3-07T00:00:00"/>
    <x v="0"/>
    <s v="ΔΙΕΥΘΥΝΣΗ Δ.Ε. Γ΄ ΑΘΗΝΑΣ"/>
    <x v="5"/>
  </r>
  <r>
    <x v="2986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ΑΝΑΤΟΛΙΚΗΣ ΑΤΤΙΚΗΣ"/>
    <x v="5"/>
  </r>
  <r>
    <x v="2987"/>
    <x v="0"/>
    <s v="ΠΕ02"/>
    <s v="ΦΙΛΟΛΟΓΟΙ"/>
    <m/>
    <m/>
    <s v="Α΄"/>
    <n v="1"/>
    <n v="588"/>
    <d v="2011-08-23T00:00:00"/>
    <s v="Β΄ ΑΘΗΝΑΣ (Δ.Ε.) 2018"/>
    <s v="ΔΙΕΥΘΥΝΣΗ Δ.Ε. Β΄ ΑΘΗΝΑΣ"/>
    <s v="ΠΕΡΙΦΕΡΕΙΑΚΗ Δ/ΝΣΗ Α/ΘΜΙΑΣ ΚΑΙ Β/ΘΜΙΑΣ ΕΚΠ/ΣΗΣ ΑΤΤΙΚΗΣ"/>
    <n v="21"/>
    <d v="2011-08-23T00:00:00"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Β΄ ΑΘΗΝΑΣ"/>
    <x v="5"/>
  </r>
  <r>
    <x v="2988"/>
    <x v="0"/>
    <s v="ΠΕ08"/>
    <s v="ΚΑΛΛΙΤΕΧΝΙΚΩΝ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3"/>
    <s v="ΙΔΙΩΤΙΚΟ ΓΥΜΝΑΣ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1-01T00:00:00"/>
    <x v="0"/>
    <s v="ΔΙΕΥΘΥΝΣΗ Δ.Ε. ΑΝΑΤ. ΘΕΣ/ΝΙΚΗΣ"/>
    <x v="5"/>
  </r>
  <r>
    <x v="2989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12-28T00:00:00"/>
    <x v="0"/>
    <s v="ΔΙΕΥΘΥΝΣΗ Δ.Ε. Β΄ ΑΘΗΝΑΣ"/>
    <x v="5"/>
  </r>
  <r>
    <x v="2990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12-14T00:00:00"/>
    <x v="0"/>
    <s v="ΔΙΕΥΘΥΝΣΗ Δ.Ε. Β΄ ΑΘΗΝΑΣ"/>
    <x v="5"/>
  </r>
  <r>
    <x v="2991"/>
    <x v="0"/>
    <s v="ΠΕ08"/>
    <s v="ΚΑΛΛΙΤΕΧΝΙΚΩΝ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11-24T00:00:00"/>
    <x v="0"/>
    <s v="ΔΙΕΥΘΥΝΣΗ Δ.Ε. ΑΝΑΤ. ΘΕΣ/ΝΙΚΗΣ"/>
    <x v="5"/>
  </r>
  <r>
    <x v="2992"/>
    <x v="0"/>
    <s v="ΠΕ86"/>
    <s v="ΠΛΗΡΟΦΟΡΙΚΗΣ"/>
    <m/>
    <m/>
    <s v="Α΄"/>
    <n v="7"/>
    <s v="7243/23-09-2010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8-11-24T00:00:00"/>
    <x v="0"/>
    <s v="ΔΙΕΥΘΥΝΣΗ Δ.Ε. ΔΥΤ. ΘΕΣ/ΝΙΚΗΣ"/>
    <x v="5"/>
  </r>
  <r>
    <x v="2993"/>
    <x v="0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8-11-18T00:00:00"/>
    <x v="0"/>
    <s v="ΔΙΕΥΘΥΝΣΗ Δ.Ε. Α΄ ΑΘΗΝΑΣ"/>
    <x v="5"/>
  </r>
  <r>
    <x v="2994"/>
    <x v="0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8-11-11T00:00:00"/>
    <x v="0"/>
    <s v="ΔΙΕΥΘΥΝΣΗ Δ.Ε. ΑΝΑΤΟΛΙΚΗΣ ΑΤΤΙΚΗΣ"/>
    <x v="5"/>
  </r>
  <r>
    <x v="2995"/>
    <x v="0"/>
    <s v="ΠΕ86"/>
    <s v="ΠΛΗΡΟΦΟΡΙΚΗΣ"/>
    <s v="ΠΕ83"/>
    <s v="ΗΛΕΚΤΡΟΛΟΓΩΝ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10-14T00:00:00"/>
    <x v="0"/>
    <s v="ΔΙΕΥΘΥΝΣΗ Δ.Ε. Β΄ ΑΘΗΝΑΣ"/>
    <x v="5"/>
  </r>
  <r>
    <x v="299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9-25T00:00:00"/>
    <x v="0"/>
    <s v="ΔΙΕΥΘΥΝΣΗ Δ.Ε. Β΄ ΑΘΗΝΑΣ"/>
    <x v="5"/>
  </r>
  <r>
    <x v="2997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8-24T00:00:00"/>
    <x v="0"/>
    <s v="ΔΙΕΥΘΥΝΣΗ Δ.Ε. Β΄ ΑΘΗΝΑΣ"/>
    <x v="5"/>
  </r>
  <r>
    <x v="2998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8-07-17T00:00:00"/>
    <x v="0"/>
    <s v="ΔΙΕΥΘΥΝΣΗ Δ.Ε. ΠΕΙΡΑΙΑ"/>
    <x v="5"/>
  </r>
  <r>
    <x v="2999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7-14T00:00:00"/>
    <x v="0"/>
    <s v="ΔΙΕΥΘΥΝΣΗ Δ.Ε. Β΄ ΑΘΗΝΑΣ"/>
    <x v="5"/>
  </r>
  <r>
    <x v="3000"/>
    <x v="1"/>
    <s v="ΠΕ02"/>
    <s v="ΦΙΛΟΛΟΓΟΙ"/>
    <m/>
    <m/>
    <s v="Α΄"/>
    <n v="5"/>
    <m/>
    <m/>
    <s v="ΞΑΝΘΗΣ (Δ.Ε.) 2018"/>
    <s v="ΔΙΕΥΘΥΝΣΗ Δ.Ε. ΞΑΝΘΗΣ"/>
    <s v="ΠΕΡΙΦΕΡΕΙΑΚΗ Δ/ΝΣΗ Α/ΘΜΙΑΣ ΚΑΙ Β/ΘΜΙΑΣ ΕΚΠ/ΣΗΣ ΑΝ. ΜΑΚΕΔΟΝΙΑΣ ΚΑΙ ΘΡΑΚΗΣ"/>
    <n v="21"/>
    <m/>
    <s v="Ιδιωτικά Σχολεία"/>
    <x v="3"/>
    <s v="3780010"/>
    <s v="ΙΔΙΩΤΙΚΟ ΗΜΕΡΗΣΙΟ ΛΥΚΕΙΟ ΞΑΝΘΗ - ΑΞΙΟΝ"/>
    <s v="ΞΑΝΘΗΣ (Δ.Ε.) 2018"/>
    <s v="ΔΙΕΥΘΥΝΣΗ Δ.Ε. ΞΑΝΘΗΣ"/>
    <s v="ΠΕΡΙΦΕΡΕΙΑΚΗ Δ/ΝΣΗ Α/ΘΜΙΑΣ ΚΑΙ Β/ΘΜΙΑΣ ΕΚΠ/ΣΗΣ ΑΝ. ΜΑΚΕΔΟΝΙΑΣ ΚΑΙ ΘΡΑΚΗΣ"/>
    <x v="1"/>
    <s v="Τοποθέτηση σε Ιδιωτική Εκπαίδευση"/>
    <d v="1978-07-06T00:00:00"/>
    <x v="0"/>
    <s v="ΔΙΕΥΘΥΝΣΗ Δ.Ε. ΞΑΝΘΗΣ"/>
    <x v="5"/>
  </r>
  <r>
    <x v="3001"/>
    <x v="0"/>
    <s v="ΠΕ01"/>
    <s v="ΘΕΟΛΟΓΟΙ"/>
    <m/>
    <m/>
    <s v="Γ΄"/>
    <n v="1"/>
    <n v="15800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78-06-26T00:00:00"/>
    <x v="0"/>
    <s v="ΔΙΕΥΘΥΝΣΗ Δ.Ε. Δ΄ ΑΘΗΝΑΣ"/>
    <x v="5"/>
  </r>
  <r>
    <x v="3002"/>
    <x v="0"/>
    <s v="ΠΕ03"/>
    <s v="ΜΑΘΗΜΑΤΙΚ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1"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6-20T00:00:00"/>
    <x v="0"/>
    <s v="ΔΙΕΥΘΥΝΣΗ Δ.Ε. Δ΄ ΑΘΗΝΑΣ"/>
    <x v="5"/>
  </r>
  <r>
    <x v="3003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06-17T00:00:00"/>
    <x v="0"/>
    <s v="ΔΙΕΥΘΥΝΣΗ Δ.Ε. Γ΄ ΑΘΗΝΑΣ"/>
    <x v="5"/>
  </r>
  <r>
    <x v="3004"/>
    <x v="1"/>
    <s v="ΠΕ79.01"/>
    <s v="ΜΟΥΣΙΚΗΣ ΕΠΙΣΤΗΜΗΣ"/>
    <m/>
    <m/>
    <s v="Β΄"/>
    <n v="2"/>
    <s v="Φ.Ι.Α.5/18618/19-7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16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6-10T00:00:00"/>
    <x v="1"/>
    <s v="ΔΙΕΥΘΥΝΣΗ Π.Ε. ΑΝΑΤΟΛΙΚΗΣ ΑΤΤΙΚΗΣ"/>
    <x v="5"/>
  </r>
  <r>
    <x v="3005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5-27T00:00:00"/>
    <x v="0"/>
    <s v="ΔΙΕΥΘΥΝΣΗ Δ.Ε. Δ΄ ΑΘΗΝΑΣ"/>
    <x v="5"/>
  </r>
  <r>
    <x v="3006"/>
    <x v="0"/>
    <s v="ΠΕ01"/>
    <s v="ΘΕ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8-04-21T00:00:00"/>
    <x v="0"/>
    <s v="ΔΙΕΥΘΥΝΣΗ Δ.Ε. ΛΑΡΙΣΑΣ"/>
    <x v="5"/>
  </r>
  <r>
    <x v="3007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4-20T00:00:00"/>
    <x v="0"/>
    <s v="ΔΙΕΥΘΥΝΣΗ Δ.Ε. Δ΄ ΑΘΗΝΑΣ"/>
    <x v="5"/>
  </r>
  <r>
    <x v="3008"/>
    <x v="1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4-10T00:00:00"/>
    <x v="0"/>
    <s v="ΔΙΕΥΘΥΝΣΗ Δ.Ε. ΑΝΑΤ. ΘΕΣ/ΝΙΚΗΣ"/>
    <x v="5"/>
  </r>
  <r>
    <x v="3009"/>
    <x v="1"/>
    <s v="ΠΕ80"/>
    <s v="ΟΙΚΟΝΟΜ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4-03T00:00:00"/>
    <x v="0"/>
    <s v="ΔΙΕΥΘΥΝΣΗ Δ.Ε. Β΄ ΑΘΗΝΑΣ"/>
    <x v="5"/>
  </r>
  <r>
    <x v="3010"/>
    <x v="0"/>
    <s v="ΠΕ78"/>
    <s v="ΚΟΙΝΩΝΙΚΩΝ ΕΠΙΣΤΗΜΩΝ"/>
    <m/>
    <m/>
    <s v="Γ΄"/>
    <n v="1"/>
    <s v="6ΡΕΛ4653ΠΣ-7Ψ4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8-03-20T00:00:00"/>
    <x v="0"/>
    <s v="ΔΙΕΥΘΥΝΣΗ Δ.Ε. Β΄ ΑΘΗΝΑΣ"/>
    <x v="5"/>
  </r>
  <r>
    <x v="3011"/>
    <x v="1"/>
    <s v="ΠΕ08"/>
    <s v="ΚΑΛΛΙΤΕΧΝΙΚ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2-20T00:00:00"/>
    <x v="0"/>
    <s v="ΔΙΕΥΘΥΝΣΗ Δ.Ε. Β΄ ΑΘΗΝΑΣ"/>
    <x v="5"/>
  </r>
  <r>
    <x v="3012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02-20T00:00:00"/>
    <x v="0"/>
    <s v="ΔΙΕΥΘΥΝΣΗ Δ.Ε. Γ΄ ΑΘΗΝΑΣ"/>
    <x v="5"/>
  </r>
  <r>
    <x v="3013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2-11T00:00:00"/>
    <x v="0"/>
    <s v="ΔΙΕΥΘΥΝΣΗ Δ.Ε. ΑΝΑΤ. ΘΕΣ/ΝΙΚΗΣ"/>
    <x v="5"/>
  </r>
  <r>
    <x v="3014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2-06T00:00:00"/>
    <x v="0"/>
    <s v="ΔΙΕΥΘΥΝΣΗ Δ.Ε. Β΄ ΑΘΗΝΑΣ"/>
    <x v="5"/>
  </r>
  <r>
    <x v="3015"/>
    <x v="1"/>
    <s v="ΠΕ05"/>
    <s v="ΓΑΛΛΙΚΗΣ ΦΙΛΟΛΟΓΙΑ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1"/>
    <m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8-01-19T00:00:00"/>
    <x v="1"/>
    <s v="ΔΙΕΥΘΥΝΣΗ Π.Ε. ΑΙΤΩΛΟΑΚΑΡΝΑΝΙΑΣ"/>
    <x v="5"/>
  </r>
  <r>
    <x v="3016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1-09T00:00:00"/>
    <x v="0"/>
    <s v="ΔΙΕΥΘΥΝΣΗ Δ.Ε. Β΄ ΑΘΗΝΑΣ"/>
    <x v="5"/>
  </r>
  <r>
    <x v="3017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1-01T00:00:00"/>
    <x v="0"/>
    <s v="ΔΙΕΥΘΥΝΣΗ Δ.Ε. Β΄ ΑΘΗΝΑΣ"/>
    <x v="5"/>
  </r>
  <r>
    <x v="3018"/>
    <x v="0"/>
    <s v="ΠΕ03"/>
    <s v="ΜΑΘΗΜΑΤΙΚ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8-01-01T00:00:00"/>
    <x v="0"/>
    <s v="ΔΙΕΥΘΥΝΣΗ Δ.Ε. Δ΄ ΑΘΗΝΑΣ"/>
    <x v="5"/>
  </r>
  <r>
    <x v="3019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2-09T00:00:00"/>
    <x v="0"/>
    <s v="ΔΙΕΥΘΥΝΣΗ Δ.Ε. Β΄ ΑΘΗΝΑΣ"/>
    <x v="5"/>
  </r>
  <r>
    <x v="3020"/>
    <x v="1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2-03T00:00:00"/>
    <x v="0"/>
    <s v="ΔΙΕΥΘΥΝΣΗ Δ.Ε. Β΄ ΑΘΗΝΑΣ"/>
    <x v="5"/>
  </r>
  <r>
    <x v="302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1-04T00:00:00"/>
    <x v="0"/>
    <s v="ΔΙΕΥΘΥΝΣΗ Δ.Ε. Β΄ ΑΘΗΝΑΣ"/>
    <x v="5"/>
  </r>
  <r>
    <x v="3022"/>
    <x v="0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10-10T00:00:00"/>
    <x v="0"/>
    <s v="ΔΙΕΥΘΥΝΣΗ Δ.Ε. Δ΄ ΑΘΗΝΑΣ"/>
    <x v="5"/>
  </r>
  <r>
    <x v="3023"/>
    <x v="1"/>
    <s v="ΠΕ06"/>
    <s v="ΑΓΓΛΙΚΗΣ ΦΙΛΟΛΟΓΙΑΣ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10-08T00:00:00"/>
    <x v="1"/>
    <s v="ΔΙΕΥΘΥΝΣΗ Π.Ε. ΑΝΑΤ. ΘΕΣ/ΝΙΚΗΣ"/>
    <x v="5"/>
  </r>
  <r>
    <x v="3024"/>
    <x v="0"/>
    <s v="ΠΕ86"/>
    <s v="ΠΛΗΡΟΦΟΡΙΚΗΣ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7-09-20T00:00:00"/>
    <x v="0"/>
    <s v="ΔΙΕΥΘΥΝΣΗ Δ.Ε. ΔΩΔΕΚΑΝΗΣΟΥ"/>
    <x v="5"/>
  </r>
  <r>
    <x v="3025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8-13T00:00:00"/>
    <x v="0"/>
    <s v="ΔΙΕΥΘΥΝΣΗ Δ.Ε. Β΄ ΑΘΗΝΑΣ"/>
    <x v="5"/>
  </r>
  <r>
    <x v="3026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8-05T00:00:00"/>
    <x v="0"/>
    <s v="ΔΙΕΥΘΥΝΣΗ Δ.Ε. ΑΝΑΤΟΛΙΚΗΣ ΑΤΤΙΚΗΣ"/>
    <x v="5"/>
  </r>
  <r>
    <x v="3027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8-05T00:00:00"/>
    <x v="0"/>
    <s v="ΔΙΕΥΘΥΝΣΗ Δ.Ε. Δ΄ ΑΘΗΝΑΣ"/>
    <x v="5"/>
  </r>
  <r>
    <x v="3028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91908"/>
    <s v="ΙΔΙΩΤΙΚΟ ΓΥΜΝΑΣΙΟ ΕΛΛΗΝΟΓΑΛΛΙΚΗΣ ΣΧΟΛΗΣ &quot;JEANNE D'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07-24T00:00:00"/>
    <x v="0"/>
    <s v="ΔΙΕΥΘΥΝΣΗ Δ.Ε. ΠΕΙΡΑΙΑ"/>
    <x v="5"/>
  </r>
  <r>
    <x v="3029"/>
    <x v="1"/>
    <s v="ΠΕ02"/>
    <s v="ΦΙΛΟΛΟΓΟΙ"/>
    <m/>
    <m/>
    <s v="Β΄"/>
    <n v="4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26"/>
    <s v="ΙΔΙΩΤΙΚΟ ΓΥΜΝΑΣΙΟ - ΕΚΠΑΙΔΕΥΤΗΡΙΑ Ν. ΖΑΓΟΡΙΑΝΑΚΟΥ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7-16T00:00:00"/>
    <x v="0"/>
    <s v="ΔΙΕΥΘΥΝΣΗ Δ.Ε. ΑΝΑΤΟΛΙΚΗΣ ΑΤΤΙΚΗΣ"/>
    <x v="5"/>
  </r>
  <r>
    <x v="3030"/>
    <x v="0"/>
    <s v="ΠΕ86"/>
    <s v="ΠΛΗΡΟΦΟΡΙΚ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07-08T00:00:00"/>
    <x v="0"/>
    <s v="ΔΙΕΥΘΥΝΣΗ Δ.Ε. Β΄ ΑΘΗΝΑΣ"/>
    <x v="5"/>
  </r>
  <r>
    <x v="3031"/>
    <x v="1"/>
    <s v="ΠΕ02"/>
    <s v="ΦΙΛΟΛΟΓΟΙ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7-08T00:00:00"/>
    <x v="0"/>
    <s v="ΔΙΕΥΘΥΝΣΗ Δ.Ε. Δ΄ ΑΘΗΝΑΣ"/>
    <x v="5"/>
  </r>
  <r>
    <x v="3032"/>
    <x v="0"/>
    <s v="ΠΕ08"/>
    <s v="ΚΑΛΛΙΤΕΧΝΙΚΩΝ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1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7-06-24T00:00:00"/>
    <x v="1"/>
    <s v="ΔΙΕΥΘΥΝΣΗ Π.Ε. ΠΕΙΡΑΙΑ"/>
    <x v="5"/>
  </r>
  <r>
    <x v="3033"/>
    <x v="1"/>
    <s v="ΠΕ06"/>
    <s v="ΑΓΓΛΙΚΗΣ ΦΙΛΟΛΟΓΙΑΣ"/>
    <m/>
    <m/>
    <s v="Γ΄"/>
    <n v="1"/>
    <n v="1350"/>
    <d v="2016-12-28T00:00:00"/>
    <s v="Β΄ ΑΘΗΝΑΣ (Δ.Ε.) 2018"/>
    <s v="ΔΙΕΥΘΥΝΣΗ Δ.Ε. Β΄ ΑΘΗΝΑΣ"/>
    <s v="ΠΕΡΙΦΕΡΕΙΑΚΗ Δ/ΝΣΗ Α/ΘΜΙΑΣ ΚΑΙ Β/ΘΜΙΑΣ ΕΚΠ/ΣΗΣ ΑΤΤΙΚΗΣ"/>
    <n v="21"/>
    <d v="2016-12-30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6-17T00:00:00"/>
    <x v="0"/>
    <s v="ΔΙΕΥΘΥΝΣΗ Δ.Ε. Β΄ ΑΘΗΝΑΣ"/>
    <x v="5"/>
  </r>
  <r>
    <x v="3034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6-17T00:00:00"/>
    <x v="0"/>
    <s v="ΔΙΕΥΘΥΝΣΗ Δ.Ε. Β΄ ΑΘΗΝΑΣ"/>
    <x v="5"/>
  </r>
  <r>
    <x v="303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5-28T00:00:00"/>
    <x v="0"/>
    <s v="ΔΙΕΥΘΥΝΣΗ Δ.Ε. Β΄ ΑΘΗΝΑΣ"/>
    <x v="5"/>
  </r>
  <r>
    <x v="3036"/>
    <x v="0"/>
    <s v="ΠΕ80"/>
    <s v="ΟΙΚΟΝΟΜΙΑΣ"/>
    <m/>
    <m/>
    <s v="Γ΄"/>
    <n v="5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5-05T00:00:00"/>
    <x v="0"/>
    <s v="ΔΙΕΥΘΥΝΣΗ Δ.Ε. Δ΄ ΑΘΗΝΑΣ"/>
    <x v="5"/>
  </r>
  <r>
    <x v="3037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3-22T00:00:00"/>
    <x v="0"/>
    <s v="ΔΙΕΥΘΥΝΣΗ Δ.Ε. ΑΝΑΤΟΛΙΚΗΣ ΑΤΤΙΚΗΣ"/>
    <x v="5"/>
  </r>
  <r>
    <x v="3038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3-13T00:00:00"/>
    <x v="0"/>
    <s v="ΔΙΕΥΘΥΝΣΗ Δ.Ε. ΑΝΑΤΟΛΙΚΗΣ ΑΤΤΙΚΗΣ"/>
    <x v="5"/>
  </r>
  <r>
    <x v="3039"/>
    <x v="1"/>
    <s v="ΠΕ70"/>
    <s v="ΔΑΣΚΑΛΟΙ"/>
    <m/>
    <m/>
    <s v="Α΄"/>
    <n v="7"/>
    <s v="ΦΕΚ 1090/τ.Γ'/28-11-200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18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7-03-11T00:00:00"/>
    <x v="1"/>
    <s v="ΔΙΕΥΘΥΝΣΗ Π.Ε. ΑΝΑΤΟΛΙΚΗΣ ΑΤΤΙΚΗΣ"/>
    <x v="5"/>
  </r>
  <r>
    <x v="3040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02-18T00:00:00"/>
    <x v="0"/>
    <s v="ΔΙΕΥΘΥΝΣΗ Δ.Ε. Β΄ ΑΘΗΝΑΣ"/>
    <x v="5"/>
  </r>
  <r>
    <x v="3041"/>
    <x v="1"/>
    <s v="ΠΕ03"/>
    <s v="ΜΑΘΗΜΑΤΙΚΟΙ"/>
    <m/>
    <m/>
    <s v="Γ΄"/>
    <n v="1"/>
    <s v="Ψ9Μ04653ΠΣ-5ΘΠ"/>
    <d v="2016-11-02T00:00:00"/>
    <s v="Β΄ ΑΘΗΝΑΣ (Δ.Ε.) 2018"/>
    <s v="ΔΙΕΥΘΥΝΣΗ Δ.Ε. Β΄ ΑΘΗΝΑΣ"/>
    <s v="ΠΕΡΙΦΕΡΕΙΑΚΗ Δ/ΝΣΗ Α/ΘΜΙΑΣ ΚΑΙ Β/ΘΜΙΑΣ ΕΚΠ/ΣΗΣ ΑΤΤΙΚΗΣ"/>
    <n v="21"/>
    <d v="2016-11-02T00:00:00"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7-01-30T00:00:00"/>
    <x v="0"/>
    <s v="ΔΙΕΥΘΥΝΣΗ Δ.Ε. Β΄ ΑΘΗΝΑΣ"/>
    <x v="5"/>
  </r>
  <r>
    <x v="3042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1-04T00:00:00"/>
    <x v="0"/>
    <s v="ΔΙΕΥΘΥΝΣΗ Δ.Ε. Δ΄ ΑΘΗΝΑΣ"/>
    <x v="5"/>
  </r>
  <r>
    <x v="3043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Β΄ ΑΘΗΝΑΣ"/>
    <x v="5"/>
  </r>
  <r>
    <x v="3044"/>
    <x v="1"/>
    <s v="ΠΕ04.01"/>
    <s v="ΦΥΣΙΚΟΙ"/>
    <s v="ΠΕ84"/>
    <s v="ΗΛΕΚΤΡΟΝΙΚΩΝ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Β΄ ΑΘΗΝΑΣ"/>
    <x v="5"/>
  </r>
  <r>
    <x v="3045"/>
    <x v="1"/>
    <s v="ΠΕ02"/>
    <s v="ΦΙΛΟΛΟΓΟΙ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Δ΄ ΑΘΗΝΑΣ"/>
    <x v="5"/>
  </r>
  <r>
    <x v="3046"/>
    <x v="0"/>
    <s v="ΠΕ03"/>
    <s v="ΜΑΘΗΜΑΤΙΚΟΙ"/>
    <m/>
    <m/>
    <s v="Α΄"/>
    <n v="1"/>
    <s v="13564/10-09-2013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7-01-01T00:00:00"/>
    <x v="0"/>
    <s v="ΔΙΕΥΘΥΝΣΗ Δ.Ε. ΔΥΤ. ΘΕΣ/ΝΙΚΗΣ"/>
    <x v="5"/>
  </r>
  <r>
    <x v="3047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11-30T00:00:00"/>
    <x v="0"/>
    <s v="ΔΙΕΥΘΥΝΣΗ Δ.Ε. Β΄ ΑΘΗΝΑΣ"/>
    <x v="5"/>
  </r>
  <r>
    <x v="3048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76-11-28T00:00:00"/>
    <x v="0"/>
    <s v="ΔΙΕΥΘΥΝΣΗ Δ.Ε. ΑΝΑΤ. ΘΕΣ/ΝΙΚΗΣ"/>
    <x v="5"/>
  </r>
  <r>
    <x v="3049"/>
    <x v="1"/>
    <s v="ΠΕ07"/>
    <s v="ΓΕΡΜΑΝΙΚΗΣ ΦΙΛΟΛΟΓΙΑΣ"/>
    <m/>
    <m/>
    <s v="Α΄"/>
    <n v="1"/>
    <s v="Φ.Ι.Α.2/8975/1-4-2014"/>
    <d v="2010-09-01T00:00:00"/>
    <s v="Β΄ ΑΝΑΤ. ΑΤΤΙΚΗΣ (Δ.Ε.) 2018"/>
    <s v="ΔΙΕΥΘΥΝΣΗ Δ.Ε. ΑΝΑΤΟΛΙΚΗΣ ΑΤΤΙΚΗΣ"/>
    <s v="ΠΕΡΙΦΕΡΕΙΑΚΗ Δ/ΝΣΗ Α/ΘΜΙΑΣ ΚΑΙ Β/ΘΜΙΑΣ ΕΚΠ/ΣΗΣ ΑΤΤΙΚΗΣ"/>
    <n v="21"/>
    <d v="2010-09-01T00:00:00"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11-25T00:00:00"/>
    <x v="0"/>
    <s v="ΔΙΕΥΘΥΝΣΗ Δ.Ε. ΑΝΑΤΟΛΙΚΗΣ ΑΤΤΙΚΗΣ"/>
    <x v="5"/>
  </r>
  <r>
    <x v="3050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6-10-04T00:00:00"/>
    <x v="0"/>
    <s v="ΔΙΕΥΘΥΝΣΗ Δ.Ε. Γ΄ ΑΘΗΝΑΣ"/>
    <x v="5"/>
  </r>
  <r>
    <x v="3051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6-09-08T00:00:00"/>
    <x v="0"/>
    <s v="ΔΙΕΥΘΥΝΣΗ Δ.Ε. Δ΄ ΑΘΗΝΑΣ"/>
    <x v="5"/>
  </r>
  <r>
    <x v="3052"/>
    <x v="1"/>
    <s v="ΠΕ06"/>
    <s v="ΑΓΓΛΙΚΗΣ ΦΙΛΟΛΟΓΙΑΣ"/>
    <m/>
    <m/>
    <s v="Γ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6-08-04T00:00:00"/>
    <x v="0"/>
    <s v="ΔΙΕΥΘΥΝΣΗ Δ.Ε. Α΄ ΑΘΗΝΑΣ"/>
    <x v="5"/>
  </r>
  <r>
    <x v="305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7-16T00:00:00"/>
    <x v="0"/>
    <s v="ΔΙΕΥΘΥΝΣΗ Δ.Ε. Β΄ ΑΘΗΝΑΣ"/>
    <x v="5"/>
  </r>
  <r>
    <x v="3054"/>
    <x v="0"/>
    <s v="ΤΕ02.07"/>
    <s v="ΓΕΩΠΟΝ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7"/>
    <s v="1950001"/>
    <s v="ΙΔΙΩΤΙΚΟ ΗΜΕΡΗΣΙΟ ΕΠΑΓΓΕΛΜΑΤΙΚΟ ΛΥΚΕΙΟ  &quot;ΑΜΕΡΙΚΑΝΙΚΗ ΓΕΩΡΓΙΚΗ ΣΧΟΛΗ&quot; (Φ1/26/87157/Δ5/28-9-2006 ΥΠΕΠΘ)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7-12T00:00:00"/>
    <x v="0"/>
    <s v="ΔΙΕΥΘΥΝΣΗ Δ.Ε. ΑΝΑΤ. ΘΕΣ/ΝΙΚΗΣ"/>
    <x v="5"/>
  </r>
  <r>
    <x v="3055"/>
    <x v="1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1"/>
    <m/>
    <s v="Ιδιωτικά Σχολεία"/>
    <x v="2"/>
    <s v="0645053"/>
    <s v="ΙΔΙΩΤΙΚΟ ΓΥΜΝΑΣΙΟ &quot;ΑΝΑΓΕΝΝΗΣΗ IKE&quot;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6-06-17T00:00:00"/>
    <x v="0"/>
    <s v="ΔΙΕΥΘΥΝΣΗ Δ.Ε. ΑΧΑΪΑΣ"/>
    <x v="5"/>
  </r>
  <r>
    <x v="3056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60018"/>
    <s v="ΙΔΙΩΤΙΚΟ ΓΥΜΝΑΣΙΟ ΗΡΑΚΛΕΙΟ ΑΤΤΙΚΗΣ -  ΣΥΓΧΡΟΝΑ ΕΚΠΑΙΔΕΥΤΗΡΙΑ ΜΑΝΕΣ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6-11T00:00:00"/>
    <x v="0"/>
    <s v="ΔΙΕΥΘΥΝΣΗ Δ.Ε. Β΄ ΑΘΗΝΑΣ"/>
    <x v="5"/>
  </r>
  <r>
    <x v="3057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6-08T00:00:00"/>
    <x v="0"/>
    <s v="ΔΙΕΥΘΥΝΣΗ Δ.Ε. ΑΝΑΤ. ΘΕΣ/ΝΙΚΗΣ"/>
    <x v="5"/>
  </r>
  <r>
    <x v="3058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5-21T00:00:00"/>
    <x v="0"/>
    <s v="ΔΙΕΥΘΥΝΣΗ Δ.Ε. Β΄ ΑΘΗΝΑΣ"/>
    <x v="5"/>
  </r>
  <r>
    <x v="305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3-06T00:00:00"/>
    <x v="0"/>
    <s v="ΔΙΕΥΘΥΝΣΗ Δ.Ε. Β΄ ΑΘΗΝΑΣ"/>
    <x v="5"/>
  </r>
  <r>
    <x v="3060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03-05T00:00:00"/>
    <x v="0"/>
    <s v="ΔΙΕΥΘΥΝΣΗ Δ.Ε. ΠΕΙΡΑΙΑ"/>
    <x v="5"/>
  </r>
  <r>
    <x v="3061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3-03T00:00:00"/>
    <x v="0"/>
    <s v="ΔΙΕΥΘΥΝΣΗ Δ.Ε. ΑΝΑΤΟΛΙΚΗΣ ΑΤΤΙΚΗΣ"/>
    <x v="5"/>
  </r>
  <r>
    <x v="3062"/>
    <x v="0"/>
    <s v="ΠΕ04.04"/>
    <s v="ΒΙ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2-18T00:00:00"/>
    <x v="0"/>
    <s v="ΔΙΕΥΘΥΝΣΗ Δ.Ε. ΑΝΑΤ. ΘΕΣ/ΝΙΚΗΣ"/>
    <x v="5"/>
  </r>
  <r>
    <x v="3063"/>
    <x v="0"/>
    <s v="ΠΕ03"/>
    <s v="ΜΑΘΗΜΑΤ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1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6-02-18T00:00:00"/>
    <x v="0"/>
    <s v="ΔΙΕΥΘΥΝΣΗ Δ.Ε. ΚΟΡΙΝΘΙΑΣ"/>
    <x v="5"/>
  </r>
  <r>
    <x v="3064"/>
    <x v="0"/>
    <s v="ΠΕ03"/>
    <s v="ΜΑΘΗΜΑΤ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2-12T00:00:00"/>
    <x v="0"/>
    <s v="ΔΙΕΥΘΥΝΣΗ Δ.Ε. ΑΝΑΤ. ΘΕΣ/ΝΙΚΗΣ"/>
    <x v="5"/>
  </r>
  <r>
    <x v="3065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2-06T00:00:00"/>
    <x v="0"/>
    <s v="ΔΙΕΥΘΥΝΣΗ Δ.Ε. Β΄ ΑΘΗΝΑΣ"/>
    <x v="5"/>
  </r>
  <r>
    <x v="3066"/>
    <x v="1"/>
    <s v="ΠΕ79.01"/>
    <s v="ΜΟΥΣΙΚΗΣ ΕΠΙΣΤΗΜ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6-02-01T00:00:00"/>
    <x v="1"/>
    <s v="ΔΙΕΥΘΥΝΣΗ Π.Ε. Α΄ ΑΘΗΝΑΣ"/>
    <x v="5"/>
  </r>
  <r>
    <x v="3067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6-01-07T00:00:00"/>
    <x v="0"/>
    <s v="ΔΙΕΥΘΥΝΣΗ Δ.Ε. Γ΄ ΑΘΗΝΑΣ"/>
    <x v="5"/>
  </r>
  <r>
    <x v="3068"/>
    <x v="0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1-01T00:00:00"/>
    <x v="0"/>
    <s v="ΔΙΕΥΘΥΝΣΗ Δ.Ε. Β΄ ΑΘΗΝΑΣ"/>
    <x v="5"/>
  </r>
  <r>
    <x v="3069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1-01T00:00:00"/>
    <x v="0"/>
    <s v="ΔΙΕΥΘΥΝΣΗ Δ.Ε. Β΄ ΑΘΗΝΑΣ"/>
    <x v="5"/>
  </r>
  <r>
    <x v="3070"/>
    <x v="0"/>
    <s v="ΠΕ04.02"/>
    <s v="ΧΗΜΙΚ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1"/>
    <m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6-01-01T00:00:00"/>
    <x v="0"/>
    <s v="ΔΙΕΥΘΥΝΣΗ Δ.Ε. ΑΧΑΪΑΣ"/>
    <x v="5"/>
  </r>
  <r>
    <x v="3071"/>
    <x v="1"/>
    <s v="ΠΕ11"/>
    <s v="ΦΥΣΙΚΗΣ ΑΓΩΓΗΣ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6-01-01T00:00:00"/>
    <x v="1"/>
    <s v="ΔΙΕΥΘΥΝΣΗ Π.Ε. ΑΧΑΪΑΣ"/>
    <x v="5"/>
  </r>
  <r>
    <x v="3072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11-28T00:00:00"/>
    <x v="0"/>
    <s v="ΔΙΕΥΘΥΝΣΗ Δ.Ε. Β΄ ΑΘΗΝΑΣ"/>
    <x v="5"/>
  </r>
  <r>
    <x v="3073"/>
    <x v="0"/>
    <s v="ΠΕ04.01"/>
    <s v="ΦΥΣΙΚΟΙ"/>
    <m/>
    <m/>
    <s v="Α΄"/>
    <n v="8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5-11-25T00:00:00"/>
    <x v="0"/>
    <s v="ΔΙΕΥΘΥΝΣΗ Δ.Ε. Δ΄ ΑΘΗΝΑΣ"/>
    <x v="5"/>
  </r>
  <r>
    <x v="3074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9-24T00:00:00"/>
    <x v="0"/>
    <s v="ΔΙΕΥΘΥΝΣΗ Δ.Ε. Β΄ ΑΘΗΝΑΣ"/>
    <x v="5"/>
  </r>
  <r>
    <x v="3075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5-09-14T00:00:00"/>
    <x v="0"/>
    <s v="ΔΙΕΥΘΥΝΣΗ Δ.Ε. ΛΑΡΙΣΑΣ"/>
    <x v="5"/>
  </r>
  <r>
    <x v="3076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8-23T00:00:00"/>
    <x v="0"/>
    <s v="ΔΙΕΥΘΥΝΣΗ Δ.Ε. Β΄ ΑΘΗΝΑΣ"/>
    <x v="5"/>
  </r>
  <r>
    <x v="3077"/>
    <x v="1"/>
    <s v="ΠΕ60"/>
    <s v="ΝΗΠΙΑΓΩΓΟΙ"/>
    <m/>
    <m/>
    <s v="Γ΄"/>
    <n v="1"/>
    <s v="2374/16-09-2005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1"/>
    <s v="7052041"/>
    <s v="ΙΔΙΩΤΙΚΟ ΝΗΠΙΑΓΩΓΕΙ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07-22T00:00:00"/>
    <x v="1"/>
    <s v="ΔΙΕΥΘΥΝΣΗ Π.Ε. Β΄ ΑΘΗΝΑΣ"/>
    <x v="5"/>
  </r>
  <r>
    <x v="3078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7-14T00:00:00"/>
    <x v="0"/>
    <s v="ΔΙΕΥΘΥΝΣΗ Δ.Ε. Γ΄ ΑΘΗΝΑΣ"/>
    <x v="5"/>
  </r>
  <r>
    <x v="307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7-01T00:00:00"/>
    <x v="0"/>
    <s v="ΔΙΕΥΘΥΝΣΗ Δ.Ε. Β΄ ΑΘΗΝΑΣ"/>
    <x v="5"/>
  </r>
  <r>
    <x v="3080"/>
    <x v="0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5-07-01T00:00:00"/>
    <x v="0"/>
    <s v="ΔΙΕΥΘΥΝΣΗ Δ.Ε. Β΄ ΑΘΗΝΑΣ"/>
    <x v="5"/>
  </r>
  <r>
    <x v="3081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1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5-04-15T00:00:00"/>
    <x v="1"/>
    <s v="ΔΙΕΥΘΥΝΣΗ Π.Ε. ΧΑΝΙΩΝ"/>
    <x v="5"/>
  </r>
  <r>
    <x v="3082"/>
    <x v="1"/>
    <s v="ΠΕ70"/>
    <s v="ΔΑΣΚΑΛΟΙ"/>
    <m/>
    <m/>
    <s v="Γ΄"/>
    <n v="1"/>
    <n v="2750"/>
    <d v="2018-09-01T00:00:00"/>
    <s v="ΤΡΙΚΑΛΩΝ (Π.Ε.) 2018"/>
    <s v="ΔΙΕΥΘΥΝΣΗ Π.Ε. ΤΡΙΚΑΛΩΝ"/>
    <s v="ΠΕΡΙΦΕΡΕΙΑΚΗ Δ/ΝΣΗ Α/ΘΜΙΑΣ ΚΑΙ Β/ΘΜΙΑΣ ΕΚΠ/ΣΗΣ ΘΕΣΣΑΛΙΑΣ"/>
    <n v="21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75-03-31T00:00:00"/>
    <x v="1"/>
    <s v="ΔΙΕΥΘΥΝΣΗ Π.Ε. ΤΡΙΚΑΛΩΝ"/>
    <x v="5"/>
  </r>
  <r>
    <x v="3083"/>
    <x v="1"/>
    <s v="ΠΕ01"/>
    <s v="ΘΕΟΛΟΓΟΙ"/>
    <m/>
    <m/>
    <s v="Γ΄"/>
    <n v="1"/>
    <n v="17327"/>
    <d v="2018-09-03T00:00:00"/>
    <s v="Δ΄ ΑΘΗΝΑΣ (Δ.Ε.) 2018"/>
    <s v="ΔΙΕΥΘΥΝΣΗ Δ.Ε. Δ΄ ΑΘΗΝΑΣ"/>
    <s v="ΠΕΡΙΦΕΡΕΙΑΚΗ Δ/ΝΣΗ Α/ΘΜΙΑΣ ΚΑΙ Β/ΘΜΙΑΣ ΕΚΠ/ΣΗΣ ΑΤΤΙΚΗΣ"/>
    <n v="21"/>
    <d v="2018-09-03T00:00:00"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75-03-11T00:00:00"/>
    <x v="0"/>
    <s v="ΔΙΕΥΘΥΝΣΗ Δ.Ε. Δ΄ ΑΘΗΝΑΣ"/>
    <x v="5"/>
  </r>
  <r>
    <x v="3084"/>
    <x v="0"/>
    <s v="ΠΕ03"/>
    <s v="ΜΑΘΗΜΑΤΙΚ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1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75-02-27T00:00:00"/>
    <x v="0"/>
    <s v="ΔΙΕΥΘΥΝΣΗ Δ.Ε. ΧΑΝΙΩΝ"/>
    <x v="5"/>
  </r>
  <r>
    <x v="3085"/>
    <x v="0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2-08T00:00:00"/>
    <x v="0"/>
    <s v="ΔΙΕΥΘΥΝΣΗ Δ.Ε. Β΄ ΑΘΗΝΑΣ"/>
    <x v="5"/>
  </r>
  <r>
    <x v="3086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1-06T00:00:00"/>
    <x v="0"/>
    <s v="ΔΙΕΥΘΥΝΣΗ Δ.Ε. Β΄ ΑΘΗΝΑΣ"/>
    <x v="5"/>
  </r>
  <r>
    <x v="3087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1-01T00:00:00"/>
    <x v="0"/>
    <s v="ΔΙΕΥΘΥΝΣΗ Δ.Ε. Β΄ ΑΘΗΝΑΣ"/>
    <x v="5"/>
  </r>
  <r>
    <x v="3088"/>
    <x v="0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1-01T00:00:00"/>
    <x v="1"/>
    <s v="ΔΙΕΥΘΥΝΣΗ Π.Ε. ΑΝΑΤΟΛΙΚΗΣ ΑΤΤΙΚΗΣ"/>
    <x v="5"/>
  </r>
  <r>
    <x v="3089"/>
    <x v="1"/>
    <s v="ΠΕ06"/>
    <s v="ΑΓΓΛΙΚΗΣ ΦΙΛΟΛΟΓΙΑΣ"/>
    <m/>
    <m/>
    <s v="Α΄"/>
    <n v="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01-01T00:00:00"/>
    <x v="0"/>
    <s v="ΔΙΕΥΘΥΝΣΗ Δ.Ε. ΑΝΑΤ. ΘΕΣ/ΝΙΚΗΣ"/>
    <x v="5"/>
  </r>
  <r>
    <x v="3090"/>
    <x v="1"/>
    <s v="ΠΕ91.01"/>
    <s v="ΘΕΑΤΡΙΚΩΝ ΣΠΟΥΔΩΝ"/>
    <s v="ΠΕ02"/>
    <s v="ΦΙΛΟΛΟΓΟΙ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4"/>
    <s v="Β΄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1-30T00:00:00"/>
    <x v="0"/>
    <s v="ΔΙΕΥΘΥΝΣΗ Δ.Ε. Β΄ ΑΘΗΝΑΣ"/>
    <x v="5"/>
  </r>
  <r>
    <x v="3091"/>
    <x v="1"/>
    <s v="ΠΕ70"/>
    <s v="ΔΑΣΚΑΛΟΙ"/>
    <m/>
    <m/>
    <s v="Α΄"/>
    <n v="10"/>
    <s v="Φ.15.Α5/6438/27-11-2008"/>
    <d v="2008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08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4-11-25T00:00:00"/>
    <x v="1"/>
    <s v="ΔΙΕΥΘΥΝΣΗ Π.Ε. ΑΝΑΤΟΛΙΚΗΣ ΑΤΤΙΚΗΣ"/>
    <x v="5"/>
  </r>
  <r>
    <x v="3092"/>
    <x v="0"/>
    <s v="ΠΕ08"/>
    <s v="ΚΑΛΛΙΤΕΧΝΙΚΩΝ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1-24T00:00:00"/>
    <x v="0"/>
    <s v="ΔΙΕΥΘΥΝΣΗ Δ.Ε. Β΄ ΑΘΗΝΑΣ"/>
    <x v="5"/>
  </r>
  <r>
    <x v="3093"/>
    <x v="1"/>
    <s v="ΠΕ70"/>
    <s v="ΔΑΣΚΑΛΟΙ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7-01-15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4-10-13T00:00:00"/>
    <x v="1"/>
    <s v="ΔΙΕΥΘΥΝΣΗ Π.Ε. ΑΝΑΤΟΛΙΚΗΣ ΑΤΤΙΚΗΣ"/>
    <x v="5"/>
  </r>
  <r>
    <x v="3094"/>
    <x v="1"/>
    <s v="ΠΕ06"/>
    <s v="ΑΓΓ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9-29T00:00:00"/>
    <x v="0"/>
    <s v="ΔΙΕΥΘΥΝΣΗ Δ.Ε. ΑΝΑΤ. ΘΕΣ/ΝΙΚΗΣ"/>
    <x v="5"/>
  </r>
  <r>
    <x v="3095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5"/>
    <s v="ΙΔΙΩΤΙΚΟ ΗΜΕΡΗΣΙΟ ΓΕΝΙΚΟ ΛΥΚΕΙΟ Ι.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9-28T00:00:00"/>
    <x v="0"/>
    <s v="ΔΙΕΥΘΥΝΣΗ Δ.Ε. Γ΄ ΑΘΗΝΑΣ"/>
    <x v="5"/>
  </r>
  <r>
    <x v="3096"/>
    <x v="1"/>
    <s v="ΠΕ01"/>
    <s v="ΘΕΟΛΟΓΟΙ"/>
    <m/>
    <m/>
    <s v="Α΄"/>
    <n v="1"/>
    <s v="12821/17-09-2012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4-09-28T00:00:00"/>
    <x v="0"/>
    <s v="ΔΙΕΥΘΥΝΣΗ Δ.Ε. ΔΥΤ. ΘΕΣ/ΝΙΚΗΣ"/>
    <x v="5"/>
  </r>
  <r>
    <x v="3097"/>
    <x v="1"/>
    <s v="ΠΕ06"/>
    <s v="ΑΓΓ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9-05T00:00:00"/>
    <x v="0"/>
    <s v="ΔΙΕΥΘΥΝΣΗ Δ.Ε. ΑΝΑΤΟΛΙΚΗΣ ΑΤΤΙΚΗΣ"/>
    <x v="5"/>
  </r>
  <r>
    <x v="3098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8-05T00:00:00"/>
    <x v="0"/>
    <s v="ΔΙΕΥΘΥΝΣΗ Δ.Ε. ΑΝΑΤΟΛΙΚΗΣ ΑΤΤΙΚΗΣ"/>
    <x v="5"/>
  </r>
  <r>
    <x v="3099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6-29T00:00:00"/>
    <x v="0"/>
    <s v="ΔΙΕΥΘΥΝΣΗ Δ.Ε. ΑΝΑΤΟΛΙΚΗΣ ΑΤΤΙΚΗΣ"/>
    <x v="5"/>
  </r>
  <r>
    <x v="3100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06-11T00:00:00"/>
    <x v="0"/>
    <s v="ΔΙΕΥΘΥΝΣΗ Δ.Ε. Δ΄ ΑΘΗΝΑΣ"/>
    <x v="5"/>
  </r>
  <r>
    <x v="3101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6-09T00:00:00"/>
    <x v="0"/>
    <s v="ΔΙΕΥΘΥΝΣΗ Δ.Ε. Β΄ ΑΘΗΝΑΣ"/>
    <x v="5"/>
  </r>
  <r>
    <x v="3102"/>
    <x v="1"/>
    <s v="ΠΕ02"/>
    <s v="ΦΙΛΟΛΟΓΟΙ"/>
    <m/>
    <m/>
    <s v="Α΄"/>
    <n v="7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05-22T00:00:00"/>
    <x v="0"/>
    <s v="ΔΙΕΥΘΥΝΣΗ Δ.Ε. Δ΄ ΑΘΗΝΑΣ"/>
    <x v="5"/>
  </r>
  <r>
    <x v="3103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5-12T00:00:00"/>
    <x v="0"/>
    <s v="ΔΙΕΥΘΥΝΣΗ Δ.Ε. Γ΄ ΑΘΗΝΑΣ"/>
    <x v="5"/>
  </r>
  <r>
    <x v="3104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2-22T00:00:00"/>
    <x v="0"/>
    <s v="ΔΙΕΥΘΥΝΣΗ Δ.Ε. ΑΝΑΤΟΛΙΚΗΣ ΑΤΤΙΚΗΣ"/>
    <x v="5"/>
  </r>
  <r>
    <x v="3105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81859"/>
    <s v="ΙΔΙΩΤΙΚΟ ΓΥΜΝΑΣΙΟ Α.Δ. ΣΤΕΓΚΑ Ο.Ε.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4-02-13T00:00:00"/>
    <x v="0"/>
    <s v="ΔΙΕΥΘΥΝΣΗ Δ.Ε. ΠΕΙΡΑΙΑ"/>
    <x v="5"/>
  </r>
  <r>
    <x v="3106"/>
    <x v="0"/>
    <s v="ΠΕ80"/>
    <s v="ΟΙΚΟΝΟΜ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Γ΄ ΑΘΗΝΑΣ"/>
    <x v="5"/>
  </r>
  <r>
    <x v="3107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2-07-17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4-01-01T00:00:00"/>
    <x v="1"/>
    <s v="ΔΙΕΥΘΥΝΣΗ Π.Ε. ΑΝΑΤΟΛΙΚΗΣ ΑΤΤΙΚΗΣ"/>
    <x v="5"/>
  </r>
  <r>
    <x v="3108"/>
    <x v="0"/>
    <s v="ΠΕ86"/>
    <s v="ΠΛΗΡΟΦΟΡΙΚΗΣ"/>
    <m/>
    <m/>
    <s v="Α΄"/>
    <n v="5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1-01T00:00:00"/>
    <x v="0"/>
    <s v="ΔΙΕΥΘΥΝΣΗ Δ.Ε. ΑΝΑΤ. ΘΕΣ/ΝΙΚΗΣ"/>
    <x v="5"/>
  </r>
  <r>
    <x v="3109"/>
    <x v="1"/>
    <s v="ΠΕ70"/>
    <s v="ΔΑΣΚΑΛΟΙ"/>
    <m/>
    <m/>
    <s v="Α΄"/>
    <n v="12"/>
    <s v="Φ.15/2908/27-9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05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3-12-15T00:00:00"/>
    <x v="1"/>
    <s v="ΔΙΕΥΘΥΝΣΗ Π.Ε. ΑΝΑΤΟΛΙΚΗΣ ΑΤΤΙΚΗΣ"/>
    <x v="5"/>
  </r>
  <r>
    <x v="3110"/>
    <x v="1"/>
    <s v="ΠΕ79.01"/>
    <s v="ΜΟΥΣΙΚΗΣ ΕΠΙΣΤΗΜΗΣ"/>
    <m/>
    <m/>
    <s v="Γ΄"/>
    <n v="1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3-12-01T00:00:00"/>
    <x v="1"/>
    <s v="ΔΙΕΥΘΥΝΣΗ Π.Ε. Β΄ ΑΘΗΝΑΣ"/>
    <x v="5"/>
  </r>
  <r>
    <x v="3111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11-25T00:00:00"/>
    <x v="0"/>
    <s v="ΔΙΕΥΘΥΝΣΗ Δ.Ε. Β΄ ΑΘΗΝΑΣ"/>
    <x v="5"/>
  </r>
  <r>
    <x v="3112"/>
    <x v="1"/>
    <s v="ΠΕ05"/>
    <s v="ΓΑΛΛΙΚΗΣ ΦΙΛΟΛΟΓΙΑ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11-21T00:00:00"/>
    <x v="0"/>
    <s v="ΔΙΕΥΘΥΝΣΗ Δ.Ε. Α΄ ΑΘΗΝΑΣ"/>
    <x v="5"/>
  </r>
  <r>
    <x v="3113"/>
    <x v="1"/>
    <s v="ΠΕ70"/>
    <s v="ΔΑΣΚΑΛΟΙ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3-11-21T00:00:00"/>
    <x v="1"/>
    <s v="ΔΙΕΥΘΥΝΣΗ Π.Ε. Β΄ ΑΘΗΝΑΣ"/>
    <x v="5"/>
  </r>
  <r>
    <x v="3114"/>
    <x v="1"/>
    <s v="ΠΕ60"/>
    <s v="ΝΗΠΙΑΓΩΓΟΙ"/>
    <m/>
    <m/>
    <s v="Γ΄"/>
    <n v="1"/>
    <s v="1800/1645/11-10-2004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1"/>
    <s v="7052041"/>
    <s v="ΙΔΙΩΤΙΚΟ ΝΗΠΙΑΓΩΓΕΙ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9-25T00:00:00"/>
    <x v="1"/>
    <s v="ΔΙΕΥΘΥΝΣΗ Π.Ε. Β΄ ΑΘΗΝΑΣ"/>
    <x v="5"/>
  </r>
  <r>
    <x v="3115"/>
    <x v="1"/>
    <s v="ΠΕ70"/>
    <s v="ΔΑΣΚΑΛΟΙ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3-09-06T00:00:00"/>
    <x v="1"/>
    <s v="ΔΙΕΥΘΥΝΣΗ Π.Ε. Β΄ ΑΘΗΝΑΣ"/>
    <x v="5"/>
  </r>
  <r>
    <x v="3116"/>
    <x v="1"/>
    <s v="ΠΕ06"/>
    <s v="ΑΓΓΛΙΚΗΣ ΦΙΛΟΛΟΓΙΑΣ"/>
    <m/>
    <m/>
    <s v="Γ΄"/>
    <n v="1"/>
    <s v="Φ. 17.2_ A_/13968/4"/>
    <d v="2018-09-01T00:00:00"/>
    <s v="ΑΧΑΪΑΣ (Δ.Ε.) 2018"/>
    <s v="ΔΙΕΥΘΥΝΣΗ Δ.Ε. ΑΧΑΪΑΣ"/>
    <s v="ΠΕΡΙΦΕΡΕΙΑΚΗ Δ/ΝΣΗ Α/ΘΜΙΑΣ ΚΑΙ Β/ΘΜΙΑΣ ΕΚΠ/ΣΗΣ ΔΥΤΙΚΗΣ ΕΛΛΑΔΑΣ"/>
    <n v="21"/>
    <d v="2018-09-01T00:00:00"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3-07-23T00:00:00"/>
    <x v="0"/>
    <s v="ΔΙΕΥΘΥΝΣΗ Δ.Ε. ΑΧΑΪΑΣ"/>
    <x v="5"/>
  </r>
  <r>
    <x v="3117"/>
    <x v="1"/>
    <s v="ΠΕ70"/>
    <s v="ΔΑΣΚΑΛΟΙ"/>
    <m/>
    <m/>
    <s v="Α΄"/>
    <n v="11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3-07-01T00:00:00"/>
    <x v="1"/>
    <s v="ΔΙΕΥΘΥΝΣΗ Π.Ε. ΜΑΓΝΗΣΙΑΣ"/>
    <x v="5"/>
  </r>
  <r>
    <x v="3118"/>
    <x v="1"/>
    <s v="ΠΕ86"/>
    <s v="ΠΛΗΡΟΦΟΡΙΚΗΣ"/>
    <s v="ΠΕ03"/>
    <s v="ΜΑΘΗΜΑΤΙΚΟΙ"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3-06-29T00:00:00"/>
    <x v="0"/>
    <s v="ΔΙΕΥΘΥΝΣΗ Δ.Ε. ΑΝΑΤΟΛΙΚΗΣ ΑΤΤΙΚΗΣ"/>
    <x v="5"/>
  </r>
  <r>
    <x v="3119"/>
    <x v="0"/>
    <s v="ΠΕ04.04"/>
    <s v="ΒΙ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3-06-29T00:00:00"/>
    <x v="0"/>
    <s v="ΔΙΕΥΘΥΝΣΗ Δ.Ε. ΑΝΑΤΟΛΙΚΗΣ ΑΤΤΙΚΗΣ"/>
    <x v="5"/>
  </r>
  <r>
    <x v="3120"/>
    <x v="0"/>
    <s v="ΠΕ02"/>
    <s v="ΦΙΛΟΛΟΓΟΙ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6-13T00:00:00"/>
    <x v="0"/>
    <s v="ΔΙΕΥΘΥΝΣΗ Δ.Ε. Δ΄ ΑΘΗΝΑΣ"/>
    <x v="5"/>
  </r>
  <r>
    <x v="3121"/>
    <x v="0"/>
    <s v="ΠΕ03"/>
    <s v="ΜΑΘΗΜΑΤΙΚΟΙ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1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73-06-12T00:00:00"/>
    <x v="0"/>
    <s v="ΔΙΕΥΘΥΝΣΗ Δ.Ε. ΛΑΡΙΣΑΣ"/>
    <x v="5"/>
  </r>
  <r>
    <x v="3122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6-09T00:00:00"/>
    <x v="0"/>
    <s v="ΔΙΕΥΘΥΝΣΗ Δ.Ε. ΑΝΑΤ. ΘΕΣ/ΝΙΚΗΣ"/>
    <x v="5"/>
  </r>
  <r>
    <x v="3123"/>
    <x v="1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5-24T00:00:00"/>
    <x v="0"/>
    <s v="ΔΙΕΥΘΥΝΣΗ Δ.Ε. Β΄ ΑΘΗΝΑΣ"/>
    <x v="5"/>
  </r>
  <r>
    <x v="3124"/>
    <x v="1"/>
    <s v="ΠΕ05"/>
    <s v="ΓΑΛ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3-05-24T00:00:00"/>
    <x v="1"/>
    <s v="ΔΙΕΥΘΥΝΣΗ Π.Ε. Α΄ ΑΘΗΝΑΣ"/>
    <x v="5"/>
  </r>
  <r>
    <x v="3125"/>
    <x v="1"/>
    <s v="ΠΕ70"/>
    <s v="ΔΑΣΚΑΛΟΙ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3-05-15T00:00:00"/>
    <x v="1"/>
    <s v="ΔΙΕΥΘΥΝΣΗ Π.Ε. ΜΑΓΝΗΣΙΑΣ"/>
    <x v="5"/>
  </r>
  <r>
    <x v="3126"/>
    <x v="0"/>
    <s v="ΠΕ04.01"/>
    <s v="ΦΥΣΙΚΟΙ"/>
    <m/>
    <m/>
    <s v="Γ΄"/>
    <n v="1"/>
    <s v="6ΝΛΖ9-ΙΓ7"/>
    <d v="2014-12-30T00:00:00"/>
    <s v="Δ΄ ΑΘΗΝΑΣ (Δ.Ε.) 2018"/>
    <s v="ΔΙΕΥΘΥΝΣΗ Δ.Ε. Δ΄ ΑΘΗΝΑΣ"/>
    <s v="ΠΕΡΙΦΕΡΕΙΑΚΗ Δ/ΝΣΗ Α/ΘΜΙΑΣ ΚΑΙ Β/ΘΜΙΑΣ ΕΚΠ/ΣΗΣ ΑΤΤΙΚΗΣ"/>
    <n v="21"/>
    <d v="2015-01-07T00:00:00"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4-22T00:00:00"/>
    <x v="0"/>
    <s v="ΔΙΕΥΘΥΝΣΗ Δ.Ε. Δ΄ ΑΘΗΝΑΣ"/>
    <x v="5"/>
  </r>
  <r>
    <x v="3127"/>
    <x v="1"/>
    <s v="ΠΕ70"/>
    <s v="ΔΑΣΚΑΛΟΙ"/>
    <m/>
    <m/>
    <s v="Α΄"/>
    <n v="9"/>
    <n v="10"/>
    <d v="2007-01-15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07-01-15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3-03-16T00:00:00"/>
    <x v="1"/>
    <s v="ΔΙΕΥΘΥΝΣΗ Π.Ε. ΑΝΑΤΟΛΙΚΗΣ ΑΤΤΙΚΗΣ"/>
    <x v="5"/>
  </r>
  <r>
    <x v="3128"/>
    <x v="1"/>
    <s v="ΠΕ03"/>
    <s v="ΜΑΘΗΜΑΤ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3-03-04T00:00:00"/>
    <x v="0"/>
    <s v="ΔΙΕΥΘΥΝΣΗ Δ.Ε. Α΄ ΑΘΗΝΑΣ"/>
    <x v="5"/>
  </r>
  <r>
    <x v="3129"/>
    <x v="1"/>
    <s v="ΠΕ70"/>
    <s v="ΔΑΣΚΑΛΟΙ"/>
    <m/>
    <m/>
    <s v="Γ΄"/>
    <n v="1"/>
    <s v="3412/9/11/2001"/>
    <d v="2018-09-01T00:00:00"/>
    <s v="ΙΩΑΝΝΙΝΩΝ (Π.Ε.) 2018"/>
    <s v="ΔΙΕΥΘΥΝΣΗ Π.Ε. ΙΩΑΝΝΙΝΩΝ"/>
    <s v="ΠΕΡΙΦΕΡΕΙΑΚΗ Δ/ΝΣΗ Α/ΘΜΙΑΣ ΚΑΙ Β/ΘΜΙΑΣ ΕΚΠ/ΣΗΣ ΗΠΕΙΡΟΥ"/>
    <n v="21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3-02-16T00:00:00"/>
    <x v="1"/>
    <s v="ΔΙΕΥΘΥΝΣΗ Π.Ε. ΙΩΑΝΝΙΝΩΝ"/>
    <x v="5"/>
  </r>
  <r>
    <x v="3130"/>
    <x v="1"/>
    <s v="ΠΕ70"/>
    <s v="ΔΑΣΚΑΛΟΙ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3-01-22T00:00:00"/>
    <x v="1"/>
    <s v="ΔΙΕΥΘΥΝΣΗ Π.Ε. Β΄ ΑΘΗΝΑΣ"/>
    <x v="5"/>
  </r>
  <r>
    <x v="3131"/>
    <x v="1"/>
    <s v="ΠΕ07"/>
    <s v="ΓΕΡΜΑΝΙΚΗΣ ΦΙΛΟΛΟΓΙΑΣ"/>
    <m/>
    <m/>
    <s v="Γ΄"/>
    <n v="1"/>
    <s v="Φ.17.2/241/9774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1-01T00:00:00"/>
    <x v="1"/>
    <s v="ΔΙΕΥΘΥΝΣΗ Π.Ε. Β΄ ΑΘΗΝΑΣ"/>
    <x v="5"/>
  </r>
  <r>
    <x v="3132"/>
    <x v="0"/>
    <s v="ΠΕ91.01"/>
    <s v="ΘΕΑΤΡΙΚΩΝ ΣΠΟΥΔΩΝ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ΑΝΑΤ. ΘΕΣ/ΝΙΚΗΣ"/>
    <x v="5"/>
  </r>
  <r>
    <x v="3133"/>
    <x v="0"/>
    <s v="ΠΕ78"/>
    <s v="ΚΟΙΝΩΝΙΚΩΝ ΕΠΙΣΤΗΜΩΝ"/>
    <m/>
    <m/>
    <s v="Γ΄"/>
    <n v="1"/>
    <s v="55/11-05-2017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12-27T00:00:00"/>
    <x v="0"/>
    <s v="ΔΙΕΥΘΥΝΣΗ Δ.Ε. Δ΄ ΑΘΗΝΑΣ"/>
    <x v="5"/>
  </r>
  <r>
    <x v="3134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72-12-24T00:00:00"/>
    <x v="0"/>
    <s v="ΔΙΕΥΘΥΝΣΗ Δ.Ε. Β΄ ΑΘΗΝΑΣ"/>
    <x v="5"/>
  </r>
  <r>
    <x v="3135"/>
    <x v="0"/>
    <s v="ΠΕ04.02"/>
    <s v="ΧΗΜ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11-28T00:00:00"/>
    <x v="0"/>
    <s v="ΔΙΕΥΘΥΝΣΗ Δ.Ε. Δ΄ ΑΘΗΝΑΣ"/>
    <x v="5"/>
  </r>
  <r>
    <x v="3136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1-20T00:00:00"/>
    <x v="0"/>
    <s v="ΔΙΕΥΘΥΝΣΗ Δ.Ε. Β΄ ΑΘΗΝΑΣ"/>
    <x v="5"/>
  </r>
  <r>
    <x v="3137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2-11-01T00:00:00"/>
    <x v="1"/>
    <s v="ΔΙΕΥΘΥΝΣΗ Π.Ε. Α΄ ΑΘΗΝΑΣ"/>
    <x v="5"/>
  </r>
  <r>
    <x v="3138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2-10-17T00:00:00"/>
    <x v="0"/>
    <s v="ΔΙΕΥΘΥΝΣΗ Δ.Ε. ΠΕΙΡΑΙΑ"/>
    <x v="5"/>
  </r>
  <r>
    <x v="3139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10-12T00:00:00"/>
    <x v="0"/>
    <s v="ΔΙΕΥΘΥΝΣΗ Δ.Ε. Β΄ ΑΘΗΝΑΣ"/>
    <x v="5"/>
  </r>
  <r>
    <x v="3140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2-07-28T00:00:00"/>
    <x v="0"/>
    <s v="ΔΙΕΥΘΥΝΣΗ Δ.Ε. Β΄ ΑΘΗΝΑΣ"/>
    <x v="5"/>
  </r>
  <r>
    <x v="3141"/>
    <x v="0"/>
    <s v="ΠΕ79.01"/>
    <s v="ΜΟΥΣΙΚΗΣ ΕΠΙΣΤΗΜΗΣ"/>
    <m/>
    <m/>
    <s v="Β΄"/>
    <n v="2"/>
    <s v="Φ.Ι.Α.4/32311/14-12-2015"/>
    <d v="2015-09-14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15-09-14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07-26T00:00:00"/>
    <x v="1"/>
    <s v="ΔΙΕΥΘΥΝΣΗ Π.Ε. ΑΝΑΤΟΛΙΚΗΣ ΑΤΤΙΚΗΣ"/>
    <x v="5"/>
  </r>
  <r>
    <x v="3142"/>
    <x v="1"/>
    <s v="ΠΕ70"/>
    <s v="ΔΑΣΚΑΛΟΙ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5-11-08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2-07-04T00:00:00"/>
    <x v="1"/>
    <s v="ΔΙΕΥΘΥΝΣΗ Π.Ε. ΑΝΑΤΟΛΙΚΗΣ ΑΤΤΙΚΗΣ"/>
    <x v="5"/>
  </r>
  <r>
    <x v="3143"/>
    <x v="1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5-25T00:00:00"/>
    <x v="0"/>
    <s v="ΔΙΕΥΘΥΝΣΗ Δ.Ε. Γ΄ ΑΘΗΝΑΣ"/>
    <x v="5"/>
  </r>
  <r>
    <x v="3144"/>
    <x v="1"/>
    <s v="ΠΕ07"/>
    <s v="ΓΕΡΜΑΝΙΚΗΣ ΦΙΛΟΛΟΓΙΑΣ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4-16T00:00:00"/>
    <x v="0"/>
    <s v="ΔΙΕΥΘΥΝΣΗ Δ.Ε. ΑΝΑΤ. ΘΕΣ/ΝΙΚΗΣ"/>
    <x v="5"/>
  </r>
  <r>
    <x v="3145"/>
    <x v="1"/>
    <s v="ΠΕ02"/>
    <s v="ΦΙΛΟΛΟΓΟΙ"/>
    <m/>
    <m/>
    <s v="Γ΄"/>
    <n v="1"/>
    <n v="18104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2-16T00:00:00"/>
    <x v="0"/>
    <s v="ΔΙΕΥΘΥΝΣΗ Δ.Ε. Δ΄ ΑΘΗΝΑΣ"/>
    <x v="5"/>
  </r>
  <r>
    <x v="3146"/>
    <x v="0"/>
    <s v="ΠΕ02"/>
    <s v="ΦΙΛ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2-02-11T00:00:00"/>
    <x v="0"/>
    <s v="ΔΙΕΥΘΥΝΣΗ Δ.Ε. ΜΕΣΣΗΝΙΑΣ"/>
    <x v="5"/>
  </r>
  <r>
    <x v="3147"/>
    <x v="1"/>
    <s v="ΠΕ06"/>
    <s v="ΑΓΓΛΙΚΗΣ ΦΙΛΟΛΟΓΙΑΣ"/>
    <m/>
    <m/>
    <s v="Α΄"/>
    <n v="10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2-01-22T00:00:00"/>
    <x v="1"/>
    <s v="ΔΙΕΥΘΥΝΣΗ Π.Ε. ΔΥΤ. ΘΕΣ/ΝΙΚΗΣ"/>
    <x v="5"/>
  </r>
  <r>
    <x v="3148"/>
    <x v="0"/>
    <s v="ΠΕ04.02"/>
    <s v="ΧΗΜ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ΑΝΑΤΟΛΙΚΗΣ ΑΤΤΙΚΗΣ"/>
    <x v="5"/>
  </r>
  <r>
    <x v="3149"/>
    <x v="1"/>
    <s v="ΠΕ04.02"/>
    <s v="ΧΗΜ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Γ΄ ΑΘΗΝΑΣ"/>
    <x v="5"/>
  </r>
  <r>
    <x v="3150"/>
    <x v="0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Δ΄ ΑΘΗΝΑΣ"/>
    <x v="5"/>
  </r>
  <r>
    <x v="3151"/>
    <x v="1"/>
    <s v="ΠΕ06"/>
    <s v="ΑΓΓΛΙΚΗΣ ΦΙΛΟΛΟΓΙΑΣ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1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01-01T00:00:00"/>
    <x v="1"/>
    <s v="ΔΙΕΥΘΥΝΣΗ Π.Ε. ΑΝΑΤΟΛΙΚΗΣ ΑΤΤΙΚΗΣ"/>
    <x v="5"/>
  </r>
  <r>
    <x v="3152"/>
    <x v="1"/>
    <s v="ΠΕ07"/>
    <s v="ΓΕΡΜΑΝΙΚΗΣ ΦΙΛΟΛΟΓΙΑ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1"/>
    <m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2-01-01T00:00:00"/>
    <x v="1"/>
    <s v="ΔΙΕΥΘΥΝΣΗ Π.Ε. ΑΙΤΩΛΟΑΚΑΡΝΑΝΙΑΣ"/>
    <x v="5"/>
  </r>
  <r>
    <x v="3153"/>
    <x v="1"/>
    <s v="ΠΕ70"/>
    <s v="ΔΑΣΚΑΛ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1"/>
    <m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1-12-16T00:00:00"/>
    <x v="1"/>
    <s v="ΔΙΕΥΘΥΝΣΗ Π.Ε. ΙΩΑΝΝΙΝΩΝ"/>
    <x v="5"/>
  </r>
  <r>
    <x v="3154"/>
    <x v="1"/>
    <s v="ΠΕ70"/>
    <s v="ΔΑΣΚΑΛ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1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71-11-20T00:00:00"/>
    <x v="1"/>
    <s v="ΔΙΕΥΘΥΝΣΗ Π.Ε. ΑΡΓΟΛΙΔΑΣ"/>
    <x v="5"/>
  </r>
  <r>
    <x v="3155"/>
    <x v="0"/>
    <s v="ΠΕ11"/>
    <s v="ΦΥΣΙΚΗΣ ΑΓΩΓΗ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1-11-15T00:00:00"/>
    <x v="0"/>
    <s v="ΔΙΕΥΘΥΝΣΗ Δ.Ε. ΑΝΑΤΟΛΙΚΗΣ ΑΤΤΙΚΗΣ"/>
    <x v="5"/>
  </r>
  <r>
    <x v="3156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10-29T00:00:00"/>
    <x v="0"/>
    <s v="ΔΙΕΥΘΥΝΣΗ Δ.Ε. Γ΄ ΑΘΗΝΑΣ"/>
    <x v="5"/>
  </r>
  <r>
    <x v="3157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10-29T00:00:00"/>
    <x v="0"/>
    <s v="ΔΙΕΥΘΥΝΣΗ Δ.Ε. Γ΄ ΑΘΗΝΑΣ"/>
    <x v="5"/>
  </r>
  <r>
    <x v="3158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9-24T00:00:00"/>
    <x v="0"/>
    <s v="ΔΙΕΥΘΥΝΣΗ Δ.Ε. Β΄ ΑΘΗΝΑΣ"/>
    <x v="5"/>
  </r>
  <r>
    <x v="3159"/>
    <x v="1"/>
    <s v="ΠΕ70"/>
    <s v="ΔΑΣΚΑΛΟΙ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4-10-20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1-09-10T00:00:00"/>
    <x v="1"/>
    <s v="ΔΙΕΥΘΥΝΣΗ Π.Ε. ΑΝΑΤΟΛΙΚΗΣ ΑΤΤΙΚΗΣ"/>
    <x v="5"/>
  </r>
  <r>
    <x v="3160"/>
    <x v="1"/>
    <s v="ΠΕ70"/>
    <s v="ΔΑΣΚΑΛΟΙ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1-08-23T00:00:00"/>
    <x v="1"/>
    <s v="ΔΙΕΥΘΥΝΣΗ Π.Ε. Β΄ ΑΘΗΝΑΣ"/>
    <x v="5"/>
  </r>
  <r>
    <x v="3161"/>
    <x v="0"/>
    <s v="ΠΕ11"/>
    <s v="ΦΥΣΙΚΗΣ ΑΓΩΓΗ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8-06T00:00:00"/>
    <x v="1"/>
    <s v="ΔΙΕΥΘΥΝΣΗ Π.Ε. ΑΝΑΤ. ΘΕΣ/ΝΙΚΗΣ"/>
    <x v="5"/>
  </r>
  <r>
    <x v="3162"/>
    <x v="0"/>
    <s v="ΠΕ06"/>
    <s v="ΑΓΓΛΙΚΗΣ ΦΙΛΟΛΟΓΙΑΣ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7-07T00:00:00"/>
    <x v="0"/>
    <s v="ΔΙΕΥΘΥΝΣΗ Δ.Ε. ΑΝΑΤ. ΘΕΣ/ΝΙΚΗΣ"/>
    <x v="5"/>
  </r>
  <r>
    <x v="3163"/>
    <x v="1"/>
    <s v="ΠΕ70"/>
    <s v="ΔΑΣΚΑΛΟΙ"/>
    <m/>
    <m/>
    <s v="Α΄"/>
    <n v="11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1-06-30T00:00:00"/>
    <x v="1"/>
    <s v="ΔΙΕΥΘΥΝΣΗ Π.Ε. ΜΑΓΝΗΣΙΑΣ"/>
    <x v="5"/>
  </r>
  <r>
    <x v="3164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6-12T00:00:00"/>
    <x v="0"/>
    <s v="ΔΙΕΥΘΥΝΣΗ Δ.Ε. Γ΄ ΑΘΗΝΑΣ"/>
    <x v="5"/>
  </r>
  <r>
    <x v="3165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1-06-09T00:00:00"/>
    <x v="1"/>
    <s v="ΔΙΕΥΘΥΝΣΗ Π.Ε. ΑΝΑΤΟΛΙΚΗΣ ΑΤΤΙΚΗΣ"/>
    <x v="5"/>
  </r>
  <r>
    <x v="3166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6-07T00:00:00"/>
    <x v="0"/>
    <s v="ΔΙΕΥΘΥΝΣΗ Δ.Ε. Β΄ ΑΘΗΝΑΣ"/>
    <x v="5"/>
  </r>
  <r>
    <x v="3167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6-03T00:00:00"/>
    <x v="0"/>
    <s v="ΔΙΕΥΘΥΝΣΗ Δ.Ε. Β΄ ΑΘΗΝΑΣ"/>
    <x v="5"/>
  </r>
  <r>
    <x v="3168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5-23T00:00:00"/>
    <x v="0"/>
    <s v="ΔΙΕΥΘΥΝΣΗ Δ.Ε. Δ΄ ΑΘΗΝΑΣ"/>
    <x v="5"/>
  </r>
  <r>
    <x v="3169"/>
    <x v="0"/>
    <s v="ΠΕ04.04"/>
    <s v="ΒΙ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470"/>
    <s v="ΙΔΙΩΤΙΚΟ   ΗΜΕΡΗΣΙΟ  ΓΕΝΙΚΟ  ΛΥΚΕΙΟ  ΕΚΠΑΙΔΕΥΤΗΡΙΑ  &quot; Ο ΠΛΑΤΩΝ &quot;"/>
    <s v="Α΄ ΑΝΑΤ. ΑΤΤΙΚΗΣ (Δ.Ε.) 2018"/>
    <s v="ΔΙΕΥΘΥΝΣΗ Δ.Ε. ΑΝΑΤΟΛΙΚΗΣ ΑΤΤΙΚΗΣ"/>
    <s v="ΠΕΡΙΦΕΡΕΙΑΚΗ Δ/ΝΣΗ Α/ΘΜΙΑΣ ΚΑΙ Β/ΘΜΙΑΣ ΕΚΠ/ΣΗΣ ΑΤΤΙΚΗΣ"/>
    <x v="3"/>
    <s v="Τοποθέτηση σε Ιδιωτική Εκπαίδευση"/>
    <d v="1971-05-14T00:00:00"/>
    <x v="0"/>
    <s v="ΔΙΕΥΘΥΝΣΗ Δ.Ε. ΑΝΑΤΟΛΙΚΗΣ ΑΤΤΙΚΗΣ"/>
    <x v="5"/>
  </r>
  <r>
    <x v="3170"/>
    <x v="1"/>
    <s v="ΠΕ06"/>
    <s v="ΑΓΓΛΙΚΗΣ ΦΙΛΟΛΟΓΙΑΣ"/>
    <m/>
    <m/>
    <s v="Α΄"/>
    <n v="10"/>
    <s v="7897/7-12-1999"/>
    <d v="1999-09-01T00:00:00"/>
    <s v="Α΄ ΑΝΑΤ. ΑΤΤΙΚΗΣ (Δ.Ε.) 2018"/>
    <s v="ΔΙΕΥΘΥΝΣΗ Δ.Ε. ΑΝΑΤΟΛΙΚΗΣ ΑΤΤΙΚΗΣ"/>
    <s v="ΠΕΡΙΦΕΡΕΙΑΚΗ Δ/ΝΣΗ Α/ΘΜΙΑΣ ΚΑΙ Β/ΘΜΙΑΣ ΕΚΠ/ΣΗΣ ΑΤΤΙΚΗΣ"/>
    <n v="21"/>
    <d v="1999-09-01T00:00:00"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4-24T00:00:00"/>
    <x v="0"/>
    <s v="ΔΙΕΥΘΥΝΣΗ Δ.Ε. ΑΝΑΤΟΛΙΚΗΣ ΑΤΤΙΚΗΣ"/>
    <x v="5"/>
  </r>
  <r>
    <x v="3171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4-17T00:00:00"/>
    <x v="0"/>
    <s v="ΔΙΕΥΘΥΝΣΗ Δ.Ε. Γ΄ ΑΘΗΝΑΣ"/>
    <x v="5"/>
  </r>
  <r>
    <x v="3172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4-12T00:00:00"/>
    <x v="0"/>
    <s v="ΔΙΕΥΘΥΝΣΗ Δ.Ε. Γ΄ ΑΘΗΝΑΣ"/>
    <x v="5"/>
  </r>
  <r>
    <x v="3173"/>
    <x v="1"/>
    <s v="ΠΕ70"/>
    <s v="ΔΑΣΚΑΛΟΙ"/>
    <m/>
    <m/>
    <s v="Γ΄"/>
    <n v="1"/>
    <n v="15199"/>
    <d v="2018-09-01T00:00:00"/>
    <s v="Α΄ ΠΕΙΡΑΙΑ (Π.Ε.) 2018"/>
    <s v="ΔΙΕΥΘΥΝΣΗ Π.Ε. ΠΕΙΡΑΙΑ"/>
    <s v="ΠΕΡΙΦΕΡΕΙΑΚΗ Δ/ΝΣΗ Α/ΘΜΙΑΣ ΚΑΙ Β/ΘΜΙΑΣ ΕΚΠ/ΣΗΣ ΑΤΤΙΚΗΣ"/>
    <n v="21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1-01-19T00:00:00"/>
    <x v="1"/>
    <s v="ΔΙΕΥΘΥΝΣΗ Π.Ε. ΠΕΙΡΑΙΑ"/>
    <x v="5"/>
  </r>
  <r>
    <x v="3174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1-06T00:00:00"/>
    <x v="0"/>
    <s v="ΔΙΕΥΘΥΝΣΗ Δ.Ε. Δ΄ ΑΘΗΝΑΣ"/>
    <x v="5"/>
  </r>
  <r>
    <x v="3175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1-01T00:00:00"/>
    <x v="0"/>
    <s v="ΔΙΕΥΘΥΝΣΗ Δ.Ε. Β΄ ΑΘΗΝΑΣ"/>
    <x v="5"/>
  </r>
  <r>
    <x v="3176"/>
    <x v="1"/>
    <s v="ΠΕ02"/>
    <s v="ΦΙΛΟΛΟΓΟΙ"/>
    <m/>
    <m/>
    <s v="Α΄"/>
    <n v="6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1-01T00:00:00"/>
    <x v="0"/>
    <s v="ΔΙΕΥΘΥΝΣΗ Δ.Ε. Δ΄ ΑΘΗΝΑΣ"/>
    <x v="5"/>
  </r>
  <r>
    <x v="3177"/>
    <x v="1"/>
    <s v="ΠΕ02"/>
    <s v="ΦΙΛΟΛΟΓΟΙ"/>
    <m/>
    <m/>
    <s v="Γ΄"/>
    <n v="1"/>
    <n v="22882"/>
    <d v="2017-10-19T00:00:00"/>
    <s v="Α΄ ΠΕΙΡΑΙΑ (Δ.Ε.) 2018"/>
    <s v="ΔΙΕΥΘΥΝΣΗ Δ.Ε. ΠΕΙΡΑΙΑ"/>
    <s v="ΠΕΡΙΦΕΡΕΙΑΚΗ Δ/ΝΣΗ Α/ΘΜΙΑΣ ΚΑΙ Β/ΘΜΙΑΣ ΕΚΠ/ΣΗΣ ΑΤΤΙΚΗΣ"/>
    <n v="21"/>
    <d v="2017-10-19T00:00:00"/>
    <s v="Ιδιωτικά Σχολεία"/>
    <x v="2"/>
    <s v="0561020"/>
    <s v="ΠΡΟΤΥΠΑ ΠΕΙΡΑΪΚΑ ΕΚΠΑΙΔΕΥΤΗΡΙΑ Μ.Ε.Π.Ε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1-01-01T00:00:00"/>
    <x v="0"/>
    <s v="ΔΙΕΥΘΥΝΣΗ Δ.Ε. ΠΕΙΡΑΙΑ"/>
    <x v="5"/>
  </r>
  <r>
    <x v="3178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12-22T00:00:00"/>
    <x v="0"/>
    <s v="ΔΙΕΥΘΥΝΣΗ Δ.Ε. ΑΝΑΤ. ΘΕΣ/ΝΙΚΗΣ"/>
    <x v="5"/>
  </r>
  <r>
    <x v="3179"/>
    <x v="0"/>
    <s v="ΠΕ04.01"/>
    <s v="ΦΥΣ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12-06T00:00:00"/>
    <x v="0"/>
    <s v="ΔΙΕΥΘΥΝΣΗ Δ.Ε. ΙΩΑΝΝΙΝΩΝ"/>
    <x v="5"/>
  </r>
  <r>
    <x v="3180"/>
    <x v="1"/>
    <s v="ΠΕ70"/>
    <s v="ΔΑΣΚΑΛΟΙ"/>
    <m/>
    <m/>
    <s v="Α΄"/>
    <n v="10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5-11-08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0-11-08T00:00:00"/>
    <x v="1"/>
    <s v="ΔΙΕΥΘΥΝΣΗ Π.Ε. ΑΝΑΤΟΛΙΚΗΣ ΑΤΤΙΚΗΣ"/>
    <x v="5"/>
  </r>
  <r>
    <x v="3181"/>
    <x v="0"/>
    <s v="ΠΕ70"/>
    <s v="ΔΑΣΚΑΛΟΙ"/>
    <m/>
    <m/>
    <s v="Α΄"/>
    <n v="12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0-11-08T00:00:00"/>
    <x v="1"/>
    <s v="ΔΙΕΥΘΥΝΣΗ Π.Ε. Δ΄ ΑΘΗΝΑΣ"/>
    <x v="5"/>
  </r>
  <r>
    <x v="3182"/>
    <x v="0"/>
    <s v="ΠΕ02"/>
    <s v="ΦΙΛ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11-07T00:00:00"/>
    <x v="0"/>
    <s v="ΔΙΕΥΘΥΝΣΗ Δ.Ε. ΙΩΑΝΝΙΝΩΝ"/>
    <x v="5"/>
  </r>
  <r>
    <x v="3183"/>
    <x v="1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1-02T00:00:00"/>
    <x v="0"/>
    <s v="ΔΙΕΥΘΥΝΣΗ Δ.Ε. Β΄ ΑΘΗΝΑΣ"/>
    <x v="5"/>
  </r>
  <r>
    <x v="3184"/>
    <x v="1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m/>
    <s v="Ιδιωτικά Σχολεία"/>
    <x v="4"/>
    <s v="7191016"/>
    <s v="ΙΔΙΩΤΙΚΟ ΔΗΜΟΤΙΚΟ ΘΕΣΣΑΛΟΝΙΚΗ - ΙΔ. ΔΗΜΟΤΙΚΟ ΣΧΟΛΕΙΟ ΙΚΘ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10-31T00:00:00"/>
    <x v="1"/>
    <s v="ΔΙΕΥΘΥΝΣΗ Π.Ε. ΑΝΑΤ. ΘΕΣ/ΝΙΚΗΣ"/>
    <x v="5"/>
  </r>
  <r>
    <x v="3185"/>
    <x v="1"/>
    <s v="ΠΕ70"/>
    <s v="ΔΑΣΚΑΛΟΙ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1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0-10-30T00:00:00"/>
    <x v="1"/>
    <s v="ΔΙΕΥΘΥΝΣΗ Π.Ε. ΚΥΚΛΑΔΩΝ"/>
    <x v="5"/>
  </r>
  <r>
    <x v="3186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10-24T00:00:00"/>
    <x v="1"/>
    <s v="ΔΙΕΥΘΥΝΣΗ Π.Ε. Β΄ ΑΘΗΝΑΣ"/>
    <x v="5"/>
  </r>
  <r>
    <x v="3187"/>
    <x v="1"/>
    <s v="ΠΕ05"/>
    <s v="ΓΑΛΛΙΚΗΣ ΦΙΛΟΛΟΓΙΑΣ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0-10-22T00:00:00"/>
    <x v="1"/>
    <s v="ΔΙΕΥΘΥΝΣΗ Π.Ε. ΜΑΓΝΗΣΙΑΣ"/>
    <x v="5"/>
  </r>
  <r>
    <x v="3188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1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10-14T00:00:00"/>
    <x v="1"/>
    <s v="ΔΙΕΥΘΥΝΣΗ Π.Ε. ΠΕΙΡΑΙΑ"/>
    <x v="5"/>
  </r>
  <r>
    <x v="3189"/>
    <x v="1"/>
    <s v="ΠΕ11"/>
    <s v="ΦΥΣΙΚΗΣ ΑΓΩΓΗΣ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0-10-11T00:00:00"/>
    <x v="1"/>
    <s v="ΔΙΕΥΘΥΝΣΗ Π.Ε. Β΄ ΑΘΗΝΑΣ"/>
    <x v="5"/>
  </r>
  <r>
    <x v="3190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9-06T00:00:00"/>
    <x v="0"/>
    <s v="ΔΙΕΥΘΥΝΣΗ Δ.Ε. Β΄ ΑΘΗΝΑΣ"/>
    <x v="5"/>
  </r>
  <r>
    <x v="3191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6-29T00:00:00"/>
    <x v="0"/>
    <s v="ΔΙΕΥΘΥΝΣΗ Δ.Ε. Β΄ ΑΘΗΝΑΣ"/>
    <x v="5"/>
  </r>
  <r>
    <x v="3192"/>
    <x v="1"/>
    <s v="ΠΕ70"/>
    <s v="ΔΑΣΚΑΛΟΙ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4-10-20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0-06-28T00:00:00"/>
    <x v="1"/>
    <s v="ΔΙΕΥΘΥΝΣΗ Π.Ε. ΑΝΑΤΟΛΙΚΗΣ ΑΤΤΙΚΗΣ"/>
    <x v="5"/>
  </r>
  <r>
    <x v="3193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6-18T00:00:00"/>
    <x v="0"/>
    <s v="ΔΙΕΥΘΥΝΣΗ Δ.Ε. Δ΄ ΑΘΗΝΑΣ"/>
    <x v="5"/>
  </r>
  <r>
    <x v="3194"/>
    <x v="1"/>
    <s v="ΠΕ08"/>
    <s v="ΚΑΛΛΙΤΕΧΝΙΚ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6-16T00:00:00"/>
    <x v="0"/>
    <s v="ΔΙΕΥΘΥΝΣΗ Δ.Ε. Β΄ ΑΘΗΝΑΣ"/>
    <x v="5"/>
  </r>
  <r>
    <x v="3195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6-06T00:00:00"/>
    <x v="0"/>
    <s v="ΔΙΕΥΘΥΝΣΗ Δ.Ε. ΑΝΑΤΟΛΙΚΗΣ ΑΤΤΙΚΗΣ"/>
    <x v="5"/>
  </r>
  <r>
    <x v="3196"/>
    <x v="1"/>
    <s v="ΠΕ02"/>
    <s v="ΦΙΛΟΛΟΓΟΙ"/>
    <m/>
    <m/>
    <s v="Β΄"/>
    <n v="1"/>
    <s v="13562/10-09-2013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0-06-01T00:00:00"/>
    <x v="0"/>
    <s v="ΔΙΕΥΘΥΝΣΗ Δ.Ε. ΔΥΤ. ΘΕΣ/ΝΙΚΗΣ"/>
    <x v="5"/>
  </r>
  <r>
    <x v="3197"/>
    <x v="1"/>
    <s v="ΠΕ05"/>
    <s v="ΓΑΛΛΙΚΗΣ ΦΙΛΟΛΟΓΙΑΣ"/>
    <m/>
    <m/>
    <s v="Γ΄"/>
    <n v="1"/>
    <n v="19020"/>
    <d v="2018-09-01T00:00:00"/>
    <s v="Α΄ ΑΘΗΝΑΣ (Δ.Ε.) 2018"/>
    <s v="ΔΙΕΥΘΥΝΣΗ Δ.Ε. Α΄ ΑΘΗΝΑΣ"/>
    <s v="ΠΕΡΙΦΕΡΕΙΑΚΗ Δ/ΝΣΗ Α/ΘΜΙΑΣ ΚΑΙ Β/ΘΜΙΑΣ ΕΚΠ/ΣΗΣ ΑΤΤΙΚΗΣ"/>
    <n v="21"/>
    <d v="2018-09-01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0-05-24T00:00:00"/>
    <x v="0"/>
    <s v="ΔΙΕΥΘΥΝΣΗ Δ.Ε. Α΄ ΑΘΗΝΑΣ"/>
    <x v="5"/>
  </r>
  <r>
    <x v="3198"/>
    <x v="1"/>
    <s v="ΠΕ06"/>
    <s v="ΑΓΓΛΙΚΗΣ ΦΙΛΟΛΟΓΙΑΣ"/>
    <m/>
    <m/>
    <s v="Α΄"/>
    <n v="1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0-05-20T00:00:00"/>
    <x v="1"/>
    <s v="ΔΙΕΥΘΥΝΣΗ Π.Ε. Δ΄ ΑΘΗΝΑΣ"/>
    <x v="5"/>
  </r>
  <r>
    <x v="319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5-18T00:00:00"/>
    <x v="1"/>
    <s v="ΔΙΕΥΘΥΝΣΗ Π.Ε. Β΄ ΑΘΗΝΑΣ"/>
    <x v="5"/>
  </r>
  <r>
    <x v="3200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5-15T00:00:00"/>
    <x v="0"/>
    <s v="ΔΙΕΥΘΥΝΣΗ Δ.Ε. Β΄ ΑΘΗΝΑΣ"/>
    <x v="5"/>
  </r>
  <r>
    <x v="3201"/>
    <x v="1"/>
    <s v="ΠΕ70"/>
    <s v="ΔΑΣΚΑΛΟΙ"/>
    <m/>
    <m/>
    <s v="Α΄"/>
    <n v="1"/>
    <m/>
    <m/>
    <s v="Α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0-05-15T00:00:00"/>
    <x v="1"/>
    <s v="ΔΙΕΥΘΥΝΣΗ Π.Ε. Δ΄ ΑΘΗΝΑΣ"/>
    <x v="5"/>
  </r>
  <r>
    <x v="3202"/>
    <x v="1"/>
    <s v="ΠΕ02"/>
    <s v="ΦΙΛ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0-05-09T00:00:00"/>
    <x v="0"/>
    <s v="ΔΙΕΥΘΥΝΣΗ Δ.Ε. ΜΕΣΣΗΝΙΑΣ"/>
    <x v="5"/>
  </r>
  <r>
    <x v="3203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0-03-28T00:00:00"/>
    <x v="1"/>
    <s v="ΔΙΕΥΘΥΝΣΗ Π.Ε. Β΄ ΑΘΗΝΑΣ"/>
    <x v="5"/>
  </r>
  <r>
    <x v="3204"/>
    <x v="1"/>
    <s v="ΠΕ70"/>
    <s v="ΔΑΣΚΑΛ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1"/>
    <m/>
    <s v="Ιδιωτικά Σχολεία"/>
    <x v="4"/>
    <s v="7201004"/>
    <s v="ΙΔΙΩΤΙΚΟ ΔΗΜΟΤΙΚΟ - ΜΟΡΦΩΤΙΚΟΣ ΚΑΙ ΠΟΛΙΤΙΣΤΙΚΟΣ ΣΥΛΛΟΓΟΣ &quot;ΤΟ ΑΝΘΟΣ&quot; (ΔΟΥΡΑΧΑΝΗΣ)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0-03-22T00:00:00"/>
    <x v="1"/>
    <s v="ΔΙΕΥΘΥΝΣΗ Π.Ε. ΙΩΑΝΝΙΝΩΝ"/>
    <x v="5"/>
  </r>
  <r>
    <x v="3205"/>
    <x v="1"/>
    <s v="ΠΕ06"/>
    <s v="ΑΓΓΛΙΚΗΣ ΦΙΛΟΛΟΓΙΑΣ"/>
    <m/>
    <m/>
    <s v="Γ΄"/>
    <n v="12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3-21T00:00:00"/>
    <x v="1"/>
    <s v="ΔΙΕΥΘΥΝΣΗ Π.Ε. Β΄ ΑΘΗΝΑΣ"/>
    <x v="5"/>
  </r>
  <r>
    <x v="3206"/>
    <x v="1"/>
    <s v="ΠΕ06"/>
    <s v="ΑΓΓΛΙΚΗΣ ΦΙΛΟΛΟΓΙΑΣ"/>
    <m/>
    <m/>
    <s v="Α΄"/>
    <n v="12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7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2-24T00:00:00"/>
    <x v="1"/>
    <s v="ΔΙΕΥΘΥΝΣΗ Π.Ε. ΑΝΑΤΟΛΙΚΗΣ ΑΤΤΙΚΗΣ"/>
    <x v="5"/>
  </r>
  <r>
    <x v="3207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0-02-06T00:00:00"/>
    <x v="1"/>
    <s v="ΔΙΕΥΘΥΝΣΗ Π.Ε. Α΄ ΑΘΗΝΑΣ"/>
    <x v="5"/>
  </r>
  <r>
    <x v="3208"/>
    <x v="0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1-01T00:00:00"/>
    <x v="0"/>
    <s v="ΔΙΕΥΘΥΝΣΗ Δ.Ε. ΑΝΑΤΟΛΙΚΗΣ ΑΤΤΙΚΗΣ"/>
    <x v="5"/>
  </r>
  <r>
    <x v="3209"/>
    <x v="1"/>
    <s v="ΠΕ06"/>
    <s v="ΑΓΓΛΙΚΗΣ ΦΙΛΟΛΟΓΙΑΣ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7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1-01T00:00:00"/>
    <x v="1"/>
    <s v="ΔΙΕΥΘΥΝΣΗ Π.Ε. ΑΝΑΤΟΛΙΚΗΣ ΑΤΤΙΚΗΣ"/>
    <x v="5"/>
  </r>
  <r>
    <x v="3210"/>
    <x v="1"/>
    <s v="ΠΕ06"/>
    <s v="ΑΓΓΛΙΚΗΣ ΦΙΛΟΛΟΓΙΑΣ"/>
    <m/>
    <m/>
    <s v="Α΄"/>
    <n v="12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3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1-01T00:00:00"/>
    <x v="1"/>
    <s v="ΔΙΕΥΘΥΝΣΗ Π.Ε. ΑΝΑΤΟΛΙΚΗΣ ΑΤΤΙΚΗΣ"/>
    <x v="5"/>
  </r>
  <r>
    <x v="3211"/>
    <x v="0"/>
    <s v="ΠΕ70"/>
    <s v="ΔΑΣΚΑΛΟΙ"/>
    <m/>
    <m/>
    <s v="Α΄"/>
    <n v="15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0-01-01T00:00:00"/>
    <x v="1"/>
    <s v="ΔΙΕΥΘΥΝΣΗ Π.Ε. ΑΝΑΤΟΛΙΚΗΣ ΑΤΤΙΚΗΣ"/>
    <x v="5"/>
  </r>
  <r>
    <x v="3212"/>
    <x v="1"/>
    <s v="ΠΕ80"/>
    <s v="ΟΙΚΟΝΟΜΙΑΣ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0-01-01T00:00:00"/>
    <x v="0"/>
    <s v="ΔΙΕΥΘΥΝΣΗ Δ.Ε. ΔΥΤ. ΘΕΣ/ΝΙΚΗΣ"/>
    <x v="5"/>
  </r>
  <r>
    <x v="3213"/>
    <x v="1"/>
    <s v="ΠΕ01"/>
    <s v="ΘΕ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69-12-24T00:00:00"/>
    <x v="0"/>
    <s v="ΔΙΕΥΘΥΝΣΗ Δ.Ε. ΜΕΣΣΗΝΙΑΣ"/>
    <x v="5"/>
  </r>
  <r>
    <x v="3214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12-11T00:00:00"/>
    <x v="1"/>
    <s v="ΔΙΕΥΘΥΝΣΗ Π.Ε. Β΄ ΑΘΗΝΑΣ"/>
    <x v="5"/>
  </r>
  <r>
    <x v="321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11-16T00:00:00"/>
    <x v="0"/>
    <s v="ΔΙΕΥΘΥΝΣΗ Δ.Ε. Β΄ ΑΘΗΝΑΣ"/>
    <x v="5"/>
  </r>
  <r>
    <x v="3216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11-14T00:00:00"/>
    <x v="0"/>
    <s v="ΔΙΕΥΘΥΝΣΗ Δ.Ε. Γ΄ ΑΘΗΝΑΣ"/>
    <x v="5"/>
  </r>
  <r>
    <x v="3217"/>
    <x v="1"/>
    <s v="ΠΕ04.02"/>
    <s v="ΧΗΜ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96"/>
    <s v="ΙΔΙΩΤΙΚΟ ΓΕΝΙΚΟ ΛΥΚΕΙΟ ΣΥΓΧΡΟΝΑ ΕΚΠΑΙΔΕΥΤΗΡΙΑ ΜΑΝΕΣΗ ΑΡ. ΑΔ. ΙΔΡΥΣΕΩΣ Φ1/183/Δ5/4431/14-5-2001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10-09T00:00:00"/>
    <x v="0"/>
    <s v="ΔΙΕΥΘΥΝΣΗ Δ.Ε. Β΄ ΑΘΗΝΑΣ"/>
    <x v="5"/>
  </r>
  <r>
    <x v="3218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9-09-06T00:00:00"/>
    <x v="1"/>
    <s v="ΔΙΕΥΘΥΝΣΗ Π.Ε. Α΄ ΑΘΗΝΑΣ"/>
    <x v="5"/>
  </r>
  <r>
    <x v="3219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2-07-17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9-08-30T00:00:00"/>
    <x v="1"/>
    <s v="ΔΙΕΥΘΥΝΣΗ Π.Ε. ΑΝΑΤΟΛΙΚΗΣ ΑΤΤΙΚΗΣ"/>
    <x v="5"/>
  </r>
  <r>
    <x v="3220"/>
    <x v="1"/>
    <s v="ΠΕ06"/>
    <s v="ΑΓΓΛΙΚΗΣ ΦΙΛΟΛΟΓΙΑΣ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3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8-30T00:00:00"/>
    <x v="1"/>
    <s v="ΔΙΕΥΘΥΝΣΗ Π.Ε. ΑΝΑΤΟΛΙΚΗΣ ΑΤΤΙΚΗΣ"/>
    <x v="5"/>
  </r>
  <r>
    <x v="3221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08-27T00:00:00"/>
    <x v="0"/>
    <s v="ΔΙΕΥΘΥΝΣΗ Δ.Ε. Γ΄ ΑΘΗΝΑΣ"/>
    <x v="5"/>
  </r>
  <r>
    <x v="3222"/>
    <x v="1"/>
    <s v="ΠΕ04.02"/>
    <s v="ΧΗΜΙΚ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69-08-17T00:00:00"/>
    <x v="0"/>
    <s v="ΔΙΕΥΘΥΝΣΗ Δ.Ε. ΜΕΣΣΗΝΙΑΣ"/>
    <x v="5"/>
  </r>
  <r>
    <x v="3223"/>
    <x v="1"/>
    <s v="ΠΕ06"/>
    <s v="ΑΓΓΛ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9-07-31T00:00:00"/>
    <x v="0"/>
    <s v="ΔΙΕΥΘΥΝΣΗ Δ.Ε. Δ΄ ΑΘΗΝΑΣ"/>
    <x v="5"/>
  </r>
  <r>
    <x v="3224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9-07-21T00:00:00"/>
    <x v="1"/>
    <s v="ΔΙΕΥΘΥΝΣΗ Π.Ε. Α΄ ΑΘΗΝΑΣ"/>
    <x v="5"/>
  </r>
  <r>
    <x v="3225"/>
    <x v="1"/>
    <s v="ΠΕ05"/>
    <s v="ΓΑΛΛΙΚΗΣ ΦΙΛΟΛΟΓΙΑΣ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1325"/>
    <s v="Β' 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5-17T00:00:00"/>
    <x v="0"/>
    <s v="ΔΙΕΥΘΥΝΣΗ Δ.Ε. ΑΝΑΤΟΛΙΚΗΣ ΑΤΤΙΚΗΣ"/>
    <x v="5"/>
  </r>
  <r>
    <x v="3226"/>
    <x v="0"/>
    <s v="ΠΕ11"/>
    <s v="ΦΥΣΙΚΗΣ ΑΓΩΓΗΣ"/>
    <m/>
    <m/>
    <s v="Γ΄"/>
    <n v="1"/>
    <n v="18253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9-05-15T00:00:00"/>
    <x v="0"/>
    <s v="ΔΙΕΥΘΥΝΣΗ Δ.Ε. Β΄ ΑΘΗΝΑΣ"/>
    <x v="5"/>
  </r>
  <r>
    <x v="3227"/>
    <x v="1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5-12T00:00:00"/>
    <x v="0"/>
    <s v="ΔΙΕΥΘΥΝΣΗ Δ.Ε. ΑΝΑΤΟΛΙΚΗΣ ΑΤΤΙΚΗΣ"/>
    <x v="5"/>
  </r>
  <r>
    <x v="3228"/>
    <x v="1"/>
    <s v="ΠΕ04.02"/>
    <s v="ΧΗΜΙΚΟΙ"/>
    <m/>
    <m/>
    <s v="Γ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5-11T00:00:00"/>
    <x v="0"/>
    <s v="ΔΙΕΥΘΥΝΣΗ Δ.Ε. ΑΝΑΤ. ΘΕΣ/ΝΙΚΗΣ"/>
    <x v="5"/>
  </r>
  <r>
    <x v="3229"/>
    <x v="1"/>
    <s v="ΠΕ70"/>
    <s v="ΔΑΣΚΑΛΟΙ"/>
    <m/>
    <m/>
    <s v="Α΄"/>
    <n v="11"/>
    <s v="4962/6-11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09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5-02T00:00:00"/>
    <x v="1"/>
    <s v="ΔΙΕΥΘΥΝΣΗ Π.Ε. ΑΝΑΤΟΛΙΚΗΣ ΑΤΤΙΚΗΣ"/>
    <x v="5"/>
  </r>
  <r>
    <x v="3230"/>
    <x v="0"/>
    <s v="ΠΕ70"/>
    <s v="ΔΑΣΚΑΛΟΙ"/>
    <m/>
    <m/>
    <s v="Α΄"/>
    <n v="11"/>
    <n v="164"/>
    <d v="2002-07-17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02-07-17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9-05-02T00:00:00"/>
    <x v="1"/>
    <s v="ΔΙΕΥΘΥΝΣΗ Π.Ε. ΑΝΑΤΟΛΙΚΗΣ ΑΤΤΙΚΗΣ"/>
    <x v="5"/>
  </r>
  <r>
    <x v="3231"/>
    <x v="0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3-28T00:00:00"/>
    <x v="0"/>
    <s v="ΔΙΕΥΘΥΝΣΗ Δ.Ε. ΑΝΑΤΟΛΙΚΗΣ ΑΤΤΙΚΗΣ"/>
    <x v="5"/>
  </r>
  <r>
    <x v="3232"/>
    <x v="1"/>
    <s v="ΠΕ06"/>
    <s v="ΑΓΓΛΙΚΗΣ ΦΙΛΟΛΟΓΙΑΣ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7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3-26T00:00:00"/>
    <x v="1"/>
    <s v="ΔΙΕΥΘΥΝΣΗ Π.Ε. ΑΝΑΤΟΛΙΚΗΣ ΑΤΤΙΚΗΣ"/>
    <x v="5"/>
  </r>
  <r>
    <x v="3233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3-10T00:00:00"/>
    <x v="0"/>
    <s v="ΔΙΕΥΘΥΝΣΗ Δ.Ε. ΑΝΑΤ. ΘΕΣ/ΝΙΚΗΣ"/>
    <x v="5"/>
  </r>
  <r>
    <x v="3234"/>
    <x v="1"/>
    <s v="ΠΕ02"/>
    <s v="ΦΙΛΟΛΟΓ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d v="2018-09-01T00:00:00"/>
    <s v="Ιδιωτικά Σχολεία"/>
    <x v="2"/>
    <s v="1991915"/>
    <s v="ΙΔΙΩΤΙΚΟ ΗΜΕΡΗΣΙΟ ΓΥΜΝΑΣΙΟ ΦΡΥΓΑΝΙΩΤΗ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69-03-09T00:00:00"/>
    <x v="0"/>
    <s v="ΔΙΕΥΘΥΝΣΗ Δ.Ε. ΔΥΤ. ΘΕΣ/ΝΙΚΗΣ"/>
    <x v="5"/>
  </r>
  <r>
    <x v="3235"/>
    <x v="1"/>
    <s v="ΠΕ11"/>
    <s v="ΦΥΣΙΚΗΣ ΑΓΩΓΗΣ"/>
    <m/>
    <m/>
    <s v="Α΄"/>
    <n v="13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9-03-07T00:00:00"/>
    <x v="1"/>
    <s v="ΔΙΕΥΘΥΝΣΗ Π.Ε. ΔΥΤ. ΘΕΣ/ΝΙΚΗΣ"/>
    <x v="5"/>
  </r>
  <r>
    <x v="3236"/>
    <x v="1"/>
    <s v="ΠΕ11"/>
    <s v="ΦΥΣΙΚΗΣ ΑΓΩΓΗΣ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69-03-04T00:00:00"/>
    <x v="1"/>
    <s v="ΔΙΕΥΘΥΝΣΗ Π.Ε. ΑΧΑΪΑΣ"/>
    <x v="5"/>
  </r>
  <r>
    <x v="3237"/>
    <x v="0"/>
    <s v="ΠΕ11"/>
    <s v="ΦΥΣΙΚΗΣ ΑΓΩΓΗΣ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m/>
    <s v="Ιδιωτικά Σχολεία"/>
    <x v="4"/>
    <s v="7191016"/>
    <s v="ΙΔΙΩΤΙΚΟ ΔΗΜΟΤΙΚΟ ΘΕΣΣΑΛΟΝΙΚΗ - ΙΔ. ΔΗΜΟΤΙΚΟ ΣΧΟΛΕΙΟ ΙΚΘ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2-05T00:00:00"/>
    <x v="1"/>
    <s v="ΔΙΕΥΘΥΝΣΗ Π.Ε. ΑΝΑΤ. ΘΕΣ/ΝΙΚΗΣ"/>
    <x v="5"/>
  </r>
  <r>
    <x v="3238"/>
    <x v="0"/>
    <s v="ΠΕ03"/>
    <s v="ΜΑΘΗΜΑΤΙΚ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69-01-30T00:00:00"/>
    <x v="0"/>
    <s v="ΔΙΕΥΘΥΝΣΗ Δ.Ε. ΜΕΣΣΗΝΙΑΣ"/>
    <x v="5"/>
  </r>
  <r>
    <x v="3239"/>
    <x v="1"/>
    <s v="ΠΕ06"/>
    <s v="ΑΓΓΛΙΚΗΣ ΦΙΛΟΛΟΓΙΑΣ"/>
    <m/>
    <m/>
    <s v="Γ΄"/>
    <n v="1"/>
    <s v="Φ.Ι.Α.5/25574/27-12/2016"/>
    <d v="2016-09-01T00:00:00"/>
    <s v="Α΄ ΑΝΑΤ. ΑΤΤΙΚΗΣ (Δ.Ε.) 2018"/>
    <s v="ΔΙΕΥΘΥΝΣΗ Δ.Ε. ΑΝΑΤΟΛΙΚΗΣ ΑΤΤΙΚΗΣ"/>
    <s v="ΠΕΡΙΦΕΡΕΙΑΚΗ Δ/ΝΣΗ Α/ΘΜΙΑΣ ΚΑΙ Β/ΘΜΙΑΣ ΕΚΠ/ΣΗΣ ΑΤΤΙΚΗΣ"/>
    <n v="21"/>
    <d v="2016-09-01T00:00:00"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69-01-01T00:00:00"/>
    <x v="0"/>
    <s v="ΔΙΕΥΘΥΝΣΗ Δ.Ε. ΑΝΑΤΟΛΙΚΗΣ ΑΤΤΙΚΗΣ"/>
    <x v="5"/>
  </r>
  <r>
    <x v="3240"/>
    <x v="0"/>
    <s v="ΠΕ70"/>
    <s v="ΔΑΣΚΑΛΟΙ"/>
    <m/>
    <m/>
    <s v="Γ΄"/>
    <n v="1"/>
    <n v="207"/>
    <d v="2003-09-02T00:00:00"/>
    <s v="Α΄ ΑΘΗΝΑΣ (Π.Ε.) 2018"/>
    <s v="ΔΙΕΥΘΥΝΣΗ Π.Ε. Α΄ ΑΘΗΝΑΣ"/>
    <s v="ΠΕΡΙΦΕΡΕΙΑΚΗ Δ/ΝΣΗ Α/ΘΜΙΑΣ ΚΑΙ Β/ΘΜΙΑΣ ΕΚΠ/ΣΗΣ ΑΤΤΙΚΗΣ"/>
    <n v="21"/>
    <d v="2003-09-02T00:00:00"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9-01-01T00:00:00"/>
    <x v="1"/>
    <s v="ΔΙΕΥΘΥΝΣΗ Π.Ε. Α΄ ΑΘΗΝΑΣ"/>
    <x v="5"/>
  </r>
  <r>
    <x v="3241"/>
    <x v="1"/>
    <s v="ΠΕ70"/>
    <s v="ΔΑΣΚΑΛΟΙ"/>
    <m/>
    <m/>
    <s v="Α΄"/>
    <n v="12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9-01-01T00:00:00"/>
    <x v="1"/>
    <s v="ΔΙΕΥΘΥΝΣΗ Π.Ε. Δ΄ ΑΘΗΝΑΣ"/>
    <x v="5"/>
  </r>
  <r>
    <x v="3242"/>
    <x v="0"/>
    <s v="ΠΕ03"/>
    <s v="ΜΑΘΗΜΑΤ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12-09T00:00:00"/>
    <x v="0"/>
    <s v="ΔΙΕΥΘΥΝΣΗ Δ.Ε. ΑΝΑΤΟΛΙΚΗΣ ΑΤΤΙΚΗΣ"/>
    <x v="5"/>
  </r>
  <r>
    <x v="3243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11-27T00:00:00"/>
    <x v="0"/>
    <s v="ΔΙΕΥΘΥΝΣΗ Δ.Ε. ΑΝΑΤΟΛΙΚΗΣ ΑΤΤΙΚΗΣ"/>
    <x v="5"/>
  </r>
  <r>
    <x v="3244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11-27T00:00:00"/>
    <x v="1"/>
    <s v="ΔΙΕΥΘΥΝΣΗ Π.Ε. Β΄ ΑΘΗΝΑΣ"/>
    <x v="5"/>
  </r>
  <r>
    <x v="3245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11-25T00:00:00"/>
    <x v="0"/>
    <s v="ΔΙΕΥΘΥΝΣΗ Δ.Ε. Β΄ ΑΘΗΝΑΣ"/>
    <x v="5"/>
  </r>
  <r>
    <x v="3246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8-11-16T00:00:00"/>
    <x v="1"/>
    <s v="ΔΙΕΥΘΥΝΣΗ Π.Ε. Α΄ ΑΘΗΝΑΣ"/>
    <x v="5"/>
  </r>
  <r>
    <x v="3247"/>
    <x v="1"/>
    <s v="ΠΕ70"/>
    <s v="ΔΑΣΚΑΛΟΙ"/>
    <m/>
    <m/>
    <s v="Γ΄"/>
    <n v="1"/>
    <s v="1217/20/5/1997"/>
    <d v="2018-09-01T00:00:00"/>
    <s v="ΙΩΑΝΝΙΝΩΝ (Π.Ε.) 2018"/>
    <s v="ΔΙΕΥΘΥΝΣΗ Π.Ε. ΙΩΑΝΝΙΝΩΝ"/>
    <s v="ΠΕΡΙΦΕΡΕΙΑΚΗ Δ/ΝΣΗ Α/ΘΜΙΑΣ ΚΑΙ Β/ΘΜΙΑΣ ΕΚΠ/ΣΗΣ ΗΠΕΙΡΟΥ"/>
    <n v="21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8-10-21T00:00:00"/>
    <x v="1"/>
    <s v="ΔΙΕΥΘΥΝΣΗ Π.Ε. ΙΩΑΝΝΙΝΩΝ"/>
    <x v="5"/>
  </r>
  <r>
    <x v="3248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8-10-03T00:00:00"/>
    <x v="1"/>
    <s v="ΔΙΕΥΘΥΝΣΗ Π.Ε. Α΄ ΑΘΗΝΑΣ"/>
    <x v="5"/>
  </r>
  <r>
    <x v="3249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9-12T00:00:00"/>
    <x v="0"/>
    <s v="ΔΙΕΥΘΥΝΣΗ Δ.Ε. Γ΄ ΑΘΗΝΑΣ"/>
    <x v="5"/>
  </r>
  <r>
    <x v="3250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9-04T00:00:00"/>
    <x v="1"/>
    <s v="ΔΙΕΥΘΥΝΣΗ Π.Ε. ΑΝΑΤΟΛΙΚΗΣ ΑΤΤΙΚΗΣ"/>
    <x v="5"/>
  </r>
  <r>
    <x v="3251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8-28T00:00:00"/>
    <x v="1"/>
    <s v="ΔΙΕΥΘΥΝΣΗ Π.Ε. Β΄ ΑΘΗΝΑΣ"/>
    <x v="5"/>
  </r>
  <r>
    <x v="3252"/>
    <x v="1"/>
    <s v="ΠΕ11"/>
    <s v="ΦΥΣΙΚΗΣ ΑΓΩΓΗΣ"/>
    <m/>
    <m/>
    <s v="Γ΄"/>
    <n v="1"/>
    <s v="2603/14-10-92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8-28T00:00:00"/>
    <x v="1"/>
    <s v="ΔΙΕΥΘΥΝΣΗ Π.Ε. Β΄ ΑΘΗΝΑΣ"/>
    <x v="5"/>
  </r>
  <r>
    <x v="3253"/>
    <x v="1"/>
    <s v="ΠΕ70"/>
    <s v="ΔΑΣΚΑΛΟΙ"/>
    <m/>
    <m/>
    <s v="Α΄"/>
    <n v="14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8-08-15T00:00:00"/>
    <x v="1"/>
    <s v="ΔΙΕΥΘΥΝΣΗ Π.Ε. ΑΝΑΤΟΛΙΚΗΣ ΑΤΤΙΚΗΣ"/>
    <x v="5"/>
  </r>
  <r>
    <x v="3254"/>
    <x v="1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6-28T00:00:00"/>
    <x v="0"/>
    <s v="ΔΙΕΥΘΥΝΣΗ Δ.Ε. ΑΝΑΤΟΛΙΚΗΣ ΑΤΤΙΚΗΣ"/>
    <x v="5"/>
  </r>
  <r>
    <x v="3255"/>
    <x v="1"/>
    <s v="ΠΕ79.01"/>
    <s v="ΜΟΥΣΙΚΗΣ ΕΠΙΣΤΗΜ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6-17T00:00:00"/>
    <x v="1"/>
    <s v="ΔΙΕΥΘΥΝΣΗ Π.Ε. ΑΝΑΤΟΛΙΚΗΣ ΑΤΤΙΚΗΣ"/>
    <x v="5"/>
  </r>
  <r>
    <x v="3256"/>
    <x v="0"/>
    <s v="ΠΕ70"/>
    <s v="ΔΑΣΚΑΛΟΙ"/>
    <m/>
    <m/>
    <s v="Α΄"/>
    <n v="11"/>
    <s v="4962/6-11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09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6-09T00:00:00"/>
    <x v="1"/>
    <s v="ΔΙΕΥΘΥΝΣΗ Π.Ε. ΑΝΑΤΟΛΙΚΗΣ ΑΤΤΙΚΗΣ"/>
    <x v="5"/>
  </r>
  <r>
    <x v="3257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6-07T00:00:00"/>
    <x v="0"/>
    <s v="ΔΙΕΥΘΥΝΣΗ Δ.Ε. Β΄ ΑΘΗΝΑΣ"/>
    <x v="5"/>
  </r>
  <r>
    <x v="3258"/>
    <x v="0"/>
    <s v="ΠΕ11"/>
    <s v="ΦΥΣΙΚΗΣ ΑΓΩΓΗΣ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1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68-06-03T00:00:00"/>
    <x v="0"/>
    <s v="ΔΙΕΥΘΥΝΣΗ Δ.Ε. ΧΑΝΙΩΝ"/>
    <x v="5"/>
  </r>
  <r>
    <x v="3259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5-05T00:00:00"/>
    <x v="1"/>
    <s v="ΔΙΕΥΘΥΝΣΗ Π.Ε. ΑΝΑΤΟΛΙΚΗΣ ΑΤΤΙΚΗΣ"/>
    <x v="5"/>
  </r>
  <r>
    <x v="3260"/>
    <x v="1"/>
    <s v="ΠΕ05"/>
    <s v="ΓΑΛΛΙΚΗΣ ΦΙΛΟΛΟΓΙΑΣ"/>
    <m/>
    <m/>
    <s v="Α΄"/>
    <n v="11"/>
    <s v="3522/12-9-2007"/>
    <d v="2007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07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8-05-03T00:00:00"/>
    <x v="1"/>
    <s v="ΔΙΕΥΘΥΝΣΗ Π.Ε. ΑΝΑΤΟΛΙΚΗΣ ΑΤΤΙΚΗΣ"/>
    <x v="5"/>
  </r>
  <r>
    <x v="3261"/>
    <x v="1"/>
    <s v="ΠΕ06"/>
    <s v="ΑΓΓ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68-04-26T00:00:00"/>
    <x v="1"/>
    <s v="ΔΙΕΥΘΥΝΣΗ Π.Ε. Α΄ ΑΘΗΝΑΣ"/>
    <x v="5"/>
  </r>
  <r>
    <x v="3262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40902"/>
    <s v="ΙΔΙΩΤΙΚΟ ΓΥΜΝΑΣ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4-24T00:00:00"/>
    <x v="0"/>
    <s v="ΔΙΕΥΘΥΝΣΗ Δ.Ε. Β΄ ΑΘΗΝΑΣ"/>
    <x v="5"/>
  </r>
  <r>
    <x v="3263"/>
    <x v="0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04-23T00:00:00"/>
    <x v="1"/>
    <s v="ΔΙΕΥΘΥΝΣΗ Π.Ε. Δ΄ ΑΘΗΝΑΣ"/>
    <x v="5"/>
  </r>
  <r>
    <x v="3264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4-20T00:00:00"/>
    <x v="0"/>
    <s v="ΔΙΕΥΘΥΝΣΗ Δ.Ε. Β΄ ΑΘΗΝΑΣ"/>
    <x v="5"/>
  </r>
  <r>
    <x v="3265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4-07T00:00:00"/>
    <x v="0"/>
    <s v="ΔΙΕΥΘΥΝΣΗ Δ.Ε. Γ΄ ΑΘΗΝΑΣ"/>
    <x v="5"/>
  </r>
  <r>
    <x v="3266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3-28T00:00:00"/>
    <x v="0"/>
    <s v="ΔΙΕΥΘΥΝΣΗ Δ.Ε. Β΄ ΑΘΗΝΑΣ"/>
    <x v="5"/>
  </r>
  <r>
    <x v="3267"/>
    <x v="1"/>
    <s v="ΠΕ05"/>
    <s v="ΓΑΛΛΙΚΗΣ ΦΙΛΟΛΟΓΙΑΣ"/>
    <m/>
    <m/>
    <s v="Α΄"/>
    <n v="9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8-03-18T00:00:00"/>
    <x v="1"/>
    <s v="ΔΙΕΥΘΥΝΣΗ Π.Ε. ΜΑΓΝΗΣΙΑΣ"/>
    <x v="5"/>
  </r>
  <r>
    <x v="3268"/>
    <x v="1"/>
    <s v="ΠΕ70"/>
    <s v="ΔΑΣΚΑΛΟΙ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8-03-16T00:00:00"/>
    <x v="1"/>
    <s v="ΔΙΕΥΘΥΝΣΗ Π.Ε. Β΄ ΑΘΗΝΑΣ"/>
    <x v="5"/>
  </r>
  <r>
    <x v="3269"/>
    <x v="1"/>
    <s v="ΠΕ06"/>
    <s v="ΑΓΓΛΙΚΗΣ ΦΙΛΟΛΟΓΙΑ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8-03-09T00:00:00"/>
    <x v="0"/>
    <s v="ΔΙΕΥΘΥΝΣΗ Δ.Ε. ΠΕΙΡΑΙΑ"/>
    <x v="5"/>
  </r>
  <r>
    <x v="3270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8-03-09T00:00:00"/>
    <x v="1"/>
    <s v="ΔΙΕΥΘΥΝΣΗ Π.Ε. ΑΝΑΤΟΛΙΚΗΣ ΑΤΤΙΚΗΣ"/>
    <x v="5"/>
  </r>
  <r>
    <x v="3271"/>
    <x v="1"/>
    <s v="ΠΕ70"/>
    <s v="ΔΑΣΚΑΛΟΙ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8-03-07T00:00:00"/>
    <x v="1"/>
    <s v="ΔΙΕΥΘΥΝΣΗ Π.Ε. Β΄ ΑΘΗΝΑΣ"/>
    <x v="5"/>
  </r>
  <r>
    <x v="3272"/>
    <x v="0"/>
    <s v="ΠΕ11"/>
    <s v="ΦΥΣΙΚΗΣ ΑΓΩΓΗΣ"/>
    <m/>
    <m/>
    <s v="Γ΄"/>
    <n v="1"/>
    <s v="ΑΠ1787590"/>
    <d v="2018-09-01T00:00:00"/>
    <s v="ΠΙΕΡΙΑΣ (Π.Ε.) 2018"/>
    <s v="ΔΙΕΥΘΥΝΣΗ Π.Ε. ΠΙΕΡΙΑΣ"/>
    <s v="ΠΕΡΙΦΕΡΕΙΑΚΗ Δ/ΝΣΗ Α/ΘΜΙΑΣ ΚΑΙ Β/ΘΜΙΑΣ ΕΚΠ/ΣΗΣ ΚΕΝΤΡΙΚΗΣ ΜΑΚΕΔΟΝΙΑΣ"/>
    <n v="21"/>
    <d v="2018-09-01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68-03-01T00:00:00"/>
    <x v="1"/>
    <s v="ΔΙΕΥΘΥΝΣΗ Π.Ε. ΠΙΕΡΙΑΣ"/>
    <x v="5"/>
  </r>
  <r>
    <x v="3273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2-05T00:00:00"/>
    <x v="0"/>
    <s v="ΔΙΕΥΘΥΝΣΗ Δ.Ε. Β΄ ΑΘΗΝΑΣ"/>
    <x v="5"/>
  </r>
  <r>
    <x v="3274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1-30T00:00:00"/>
    <x v="0"/>
    <s v="ΔΙΕΥΘΥΝΣΗ Δ.Ε. Γ΄ ΑΘΗΝΑΣ"/>
    <x v="5"/>
  </r>
  <r>
    <x v="3275"/>
    <x v="1"/>
    <s v="ΠΕ06"/>
    <s v="ΑΓΓΛΙΚΗΣ ΦΙΛΟΛΟΓΙΑΣ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1-17T00:00:00"/>
    <x v="1"/>
    <s v="ΔΙΕΥΘΥΝΣΗ Π.Ε. Β΄ ΑΘΗΝΑΣ"/>
    <x v="5"/>
  </r>
  <r>
    <x v="3276"/>
    <x v="1"/>
    <s v="ΠΕ06"/>
    <s v="ΑΓΓΛΙΚΗΣ ΦΙΛΟΛΟΓΙΑΣ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3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1-10T00:00:00"/>
    <x v="1"/>
    <s v="ΔΙΕΥΘΥΝΣΗ Π.Ε. ΑΝΑΤΟΛΙΚΗΣ ΑΤΤΙΚΗΣ"/>
    <x v="5"/>
  </r>
  <r>
    <x v="3277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01T00:00:00"/>
    <x v="0"/>
    <s v="ΔΙΕΥΘΥΝΣΗ Δ.Ε. Β΄ ΑΘΗΝΑΣ"/>
    <x v="5"/>
  </r>
  <r>
    <x v="3278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01-01T00:00:00"/>
    <x v="1"/>
    <s v="ΔΙΕΥΘΥΝΣΗ Π.Ε. Δ΄ ΑΘΗΝΑΣ"/>
    <x v="5"/>
  </r>
  <r>
    <x v="3279"/>
    <x v="0"/>
    <s v="ΠΕ04.01"/>
    <s v="ΦΥΣΙΚ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1-01T00:00:00"/>
    <x v="0"/>
    <s v="ΔΙΕΥΘΥΝΣΗ Δ.Ε. ΑΝΑΤ. ΘΕΣ/ΝΙΚΗΣ"/>
    <x v="5"/>
  </r>
  <r>
    <x v="3280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2-28T00:00:00"/>
    <x v="0"/>
    <s v="ΔΙΕΥΘΥΝΣΗ Δ.Ε. Β΄ ΑΘΗΝΑΣ"/>
    <x v="5"/>
  </r>
  <r>
    <x v="3281"/>
    <x v="1"/>
    <s v="ΠΕ70"/>
    <s v="ΔΑΣΚΑΛΟΙ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7-12-19T00:00:00"/>
    <x v="1"/>
    <s v="ΔΙΕΥΘΥΝΣΗ Π.Ε. Β΄ ΑΘΗΝΑΣ"/>
    <x v="5"/>
  </r>
  <r>
    <x v="3282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10"/>
    <s v="ΙΔΙΩΤΙΚΟ ΔΗΜΟΤΙΚΟ ΑΘΗΝΑ - ΣΧΟΛΗ ΧΙΛ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7-11-20T00:00:00"/>
    <x v="1"/>
    <s v="ΔΙΕΥΘΥΝΣΗ Π.Ε. Α΄ ΑΘΗΝΑΣ"/>
    <x v="5"/>
  </r>
  <r>
    <x v="3283"/>
    <x v="0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9-19T00:00:00"/>
    <x v="0"/>
    <s v="ΔΙΕΥΘΥΝΣΗ Δ.Ε. Β΄ ΑΘΗΝΑΣ"/>
    <x v="5"/>
  </r>
  <r>
    <x v="3284"/>
    <x v="1"/>
    <s v="ΠΕ07"/>
    <s v="ΓΕΡΜΑΝ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8-28T00:00:00"/>
    <x v="0"/>
    <s v="ΔΙΕΥΘΥΝΣΗ Δ.Ε. ΑΝΑΤΟΛΙΚΗΣ ΑΤΤΙΚΗΣ"/>
    <x v="5"/>
  </r>
  <r>
    <x v="3285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08-25T00:00:00"/>
    <x v="1"/>
    <s v="ΔΙΕΥΘΥΝΣΗ Π.Ε. ΑΝΑΤΟΛΙΚΗΣ ΑΤΤΙΚΗΣ"/>
    <x v="5"/>
  </r>
  <r>
    <x v="3286"/>
    <x v="1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8-20T00:00:00"/>
    <x v="0"/>
    <s v="ΔΙΕΥΘΥΝΣΗ Δ.Ε. Β΄ ΑΘΗΝΑΣ"/>
    <x v="5"/>
  </r>
  <r>
    <x v="3287"/>
    <x v="1"/>
    <s v="ΠΕ11"/>
    <s v="ΦΥΣΙΚΗΣ ΑΓΩΓΗΣ"/>
    <m/>
    <m/>
    <s v="Α΄"/>
    <n v="11"/>
    <n v="164"/>
    <d v="2002-07-17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02-07-17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08-20T00:00:00"/>
    <x v="1"/>
    <s v="ΔΙΕΥΘΥΝΣΗ Π.Ε. ΑΝΑΤΟΛΙΚΗΣ ΑΤΤΙΚΗΣ"/>
    <x v="5"/>
  </r>
  <r>
    <x v="3288"/>
    <x v="1"/>
    <s v="ΠΕ05"/>
    <s v="ΓΑΛ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8-19T00:00:00"/>
    <x v="0"/>
    <s v="ΔΙΕΥΘΥΝΣΗ Δ.Ε. ΑΝΑΤ. ΘΕΣ/ΝΙΚΗΣ"/>
    <x v="5"/>
  </r>
  <r>
    <x v="3289"/>
    <x v="1"/>
    <s v="ΠΕ05"/>
    <s v="ΓΑΛΛΙΚΗΣ ΦΙΛΟΛΟΓ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8-08T00:00:00"/>
    <x v="0"/>
    <s v="ΔΙΕΥΘΥΝΣΗ Δ.Ε. Δ΄ ΑΘΗΝΑΣ"/>
    <x v="5"/>
  </r>
  <r>
    <x v="3290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7-07-28T00:00:00"/>
    <x v="0"/>
    <s v="ΔΙΕΥΘΥΝΣΗ Δ.Ε. ΠΕΙΡΑΙΑ"/>
    <x v="5"/>
  </r>
  <r>
    <x v="3291"/>
    <x v="1"/>
    <s v="ΠΕ70"/>
    <s v="ΔΑΣΚΑΛΟΙ"/>
    <m/>
    <m/>
    <s v="Α΄"/>
    <n v="13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7-06-20T00:00:00"/>
    <x v="1"/>
    <s v="ΔΙΕΥΘΥΝΣΗ Π.Ε. Δ΄ ΑΘΗΝΑΣ"/>
    <x v="5"/>
  </r>
  <r>
    <x v="3292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6-07T00:00:00"/>
    <x v="0"/>
    <s v="ΔΙΕΥΘΥΝΣΗ Δ.Ε. Β΄ ΑΘΗΝΑΣ"/>
    <x v="5"/>
  </r>
  <r>
    <x v="3293"/>
    <x v="1"/>
    <s v="ΠΕ70"/>
    <s v="ΔΑΣΚΑΛΟΙ"/>
    <m/>
    <m/>
    <s v="Γ΄"/>
    <n v="12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7-05-15T00:00:00"/>
    <x v="1"/>
    <s v="ΔΙΕΥΘΥΝΣΗ Π.Ε. Β΄ ΑΘΗΝΑΣ"/>
    <x v="5"/>
  </r>
  <r>
    <x v="3294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05-13T00:00:00"/>
    <x v="1"/>
    <s v="ΔΙΕΥΘΥΝΣΗ Π.Ε. ΑΝΑΤΟΛΙΚΗΣ ΑΤΤΙΚΗΣ"/>
    <x v="5"/>
  </r>
  <r>
    <x v="3295"/>
    <x v="1"/>
    <s v="ΠΕ70"/>
    <s v="ΔΑΣΚΑΛΟΙ"/>
    <m/>
    <m/>
    <s v="Α΄"/>
    <n v="13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05-07T00:00:00"/>
    <x v="1"/>
    <s v="ΔΙΕΥΘΥΝΣΗ Π.Ε. ΑΝΑΤΟΛΙΚΗΣ ΑΤΤΙΚΗΣ"/>
    <x v="5"/>
  </r>
  <r>
    <x v="3296"/>
    <x v="0"/>
    <s v="ΠΕ11"/>
    <s v="ΦΥΣΙΚΗΣ ΑΓΩΓΗΣ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1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67-05-03T00:00:00"/>
    <x v="1"/>
    <s v="ΔΙΕΥΘΥΝΣΗ Π.Ε. ΚΥΚΛΑΔΩΝ"/>
    <x v="5"/>
  </r>
  <r>
    <x v="3297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04-01T00:00:00"/>
    <x v="1"/>
    <s v="ΔΙΕΥΘΥΝΣΗ Π.Ε. ΑΝΑΤΟΛΙΚΗΣ ΑΤΤΙΚΗΣ"/>
    <x v="5"/>
  </r>
  <r>
    <x v="3298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4-01T00:00:00"/>
    <x v="1"/>
    <s v="ΔΙΕΥΘΥΝΣΗ Π.Ε. Β΄ ΑΘΗΝΑΣ"/>
    <x v="5"/>
  </r>
  <r>
    <x v="3299"/>
    <x v="1"/>
    <s v="ΠΕ70"/>
    <s v="ΔΑΣΚΑΛΟΙ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7-03-24T00:00:00"/>
    <x v="1"/>
    <s v="ΔΙΕΥΘΥΝΣΗ Π.Ε. Β΄ ΑΘΗΝΑΣ"/>
    <x v="5"/>
  </r>
  <r>
    <x v="3300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2-15T00:00:00"/>
    <x v="0"/>
    <s v="ΔΙΕΥΘΥΝΣΗ Δ.Ε. ΑΝΑΤΟΛΙΚΗΣ ΑΤΤΙΚΗΣ"/>
    <x v="5"/>
  </r>
  <r>
    <x v="3301"/>
    <x v="1"/>
    <s v="ΠΕ70"/>
    <s v="ΔΑΣΚΑΛΟΙ"/>
    <m/>
    <m/>
    <s v="Γ΄"/>
    <n v="1"/>
    <n v="179"/>
    <d v="1997-09-01T00:00:00"/>
    <s v="ΙΩΑΝΝΙΝΩΝ (Π.Ε.) 2018"/>
    <s v="ΔΙΕΥΘΥΝΣΗ Π.Ε. ΙΩΑΝΝΙΝΩΝ"/>
    <s v="ΠΕΡΙΦΕΡΕΙΑΚΗ Δ/ΝΣΗ Α/ΘΜΙΑΣ ΚΑΙ Β/ΘΜΙΑΣ ΕΚΠ/ΣΗΣ ΗΠΕΙΡΟΥ"/>
    <n v="21"/>
    <d v="1997-09-08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7-02-08T00:00:00"/>
    <x v="1"/>
    <s v="ΔΙΕΥΘΥΝΣΗ Π.Ε. ΙΩΑΝΝΙΝΩΝ"/>
    <x v="5"/>
  </r>
  <r>
    <x v="3302"/>
    <x v="1"/>
    <s v="ΠΕ07"/>
    <s v="ΓΕΡΜΑΝ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7-01-24T00:00:00"/>
    <x v="1"/>
    <s v="ΔΙΕΥΘΥΝΣΗ Π.Ε. Α΄ ΑΘΗΝΑΣ"/>
    <x v="5"/>
  </r>
  <r>
    <x v="3303"/>
    <x v="1"/>
    <s v="ΠΕ70"/>
    <s v="ΔΑΣΚΑΛΟΙ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7-01-12T00:00:00"/>
    <x v="1"/>
    <s v="ΔΙΕΥΘΥΝΣΗ Π.Ε. Β΄ ΑΘΗΝΑΣ"/>
    <x v="5"/>
  </r>
  <r>
    <x v="3304"/>
    <x v="1"/>
    <s v="ΠΕ05"/>
    <s v="ΓΑΛ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1-11T00:00:00"/>
    <x v="0"/>
    <s v="ΔΙΕΥΘΥΝΣΗ Δ.Ε. Β΄ ΑΘΗΝΑΣ"/>
    <x v="5"/>
  </r>
  <r>
    <x v="3305"/>
    <x v="0"/>
    <s v="ΠΕ70"/>
    <s v="ΔΑΣΚΑΛΟΙ"/>
    <m/>
    <m/>
    <s v="Γ΄"/>
    <n v="1"/>
    <s v="1217/20/5/1997"/>
    <d v="2018-09-01T00:00:00"/>
    <s v="ΙΩΑΝΝΙΝΩΝ (Π.Ε.) 2018"/>
    <s v="ΔΙΕΥΘΥΝΣΗ Π.Ε. ΙΩΑΝΝΙΝΩΝ"/>
    <s v="ΠΕΡΙΦΕΡΕΙΑΚΗ Δ/ΝΣΗ Α/ΘΜΙΑΣ ΚΑΙ Β/ΘΜΙΑΣ ΕΚΠ/ΣΗΣ ΗΠΕΙΡΟΥ"/>
    <n v="21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7-01-05T00:00:00"/>
    <x v="1"/>
    <s v="ΔΙΕΥΘΥΝΣΗ Π.Ε. ΙΩΑΝΝΙΝΩΝ"/>
    <x v="5"/>
  </r>
  <r>
    <x v="3306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65"/>
    <s v="ΙΔΙΩΤΙΚΟ ΗΜΕΡΗΣΙΟ ΓΕΝΙΚΟ ΛΥΚΕΙΟ ΜΕΛΙΣΣΙΩΝ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01-02T00:00:00"/>
    <x v="0"/>
    <s v="ΔΙΕΥΘΥΝΣΗ Δ.Ε. Β΄ ΑΘΗΝΑΣ"/>
    <x v="5"/>
  </r>
  <r>
    <x v="3307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Γ΄ ΑΘΗΝΑΣ"/>
    <x v="5"/>
  </r>
  <r>
    <x v="3308"/>
    <x v="1"/>
    <s v="ΠΕ70"/>
    <s v="ΔΑΣΚΑΛΟΙ"/>
    <m/>
    <m/>
    <s v="Γ΄"/>
    <n v="1"/>
    <s v="1900/06-10-1998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7-01-01T00:00:00"/>
    <x v="1"/>
    <s v="ΔΙΕΥΘΥΝΣΗ Π.Ε. Δ΄ ΑΘΗΝΑΣ"/>
    <x v="5"/>
  </r>
  <r>
    <x v="3309"/>
    <x v="1"/>
    <s v="ΠΕ79.01"/>
    <s v="ΜΟΥΣΙΚΗΣ ΕΠΙΣΤΗΜΗΣ"/>
    <m/>
    <m/>
    <s v="Γ΄"/>
    <n v="1"/>
    <n v="731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7-01-01T00:00:00"/>
    <x v="1"/>
    <s v="ΔΙΕΥΘΥΝΣΗ Π.Ε. Δ΄ ΑΘΗΝΑΣ"/>
    <x v="5"/>
  </r>
  <r>
    <x v="3310"/>
    <x v="1"/>
    <s v="ΠΕ80"/>
    <s v="ΟΙΚΟΝΟΜΙΑΣ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1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67-01-01T00:00:00"/>
    <x v="0"/>
    <s v="ΔΙΕΥΘΥΝΣΗ Δ.Ε. ΧΑΝΙΩΝ"/>
    <x v="5"/>
  </r>
  <r>
    <x v="3311"/>
    <x v="0"/>
    <s v="ΠΕ04.01"/>
    <s v="ΦΥΣ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3"/>
    <s v="0580715"/>
    <s v="ΙΔΙΩΤΙΚΟ ΗΜΕΡΗΣΙΟ ΓΕΛ ΣΥΓΧΡΟΝΗ ΠΑΙΔΕΙΑ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6-12-24T00:00:00"/>
    <x v="0"/>
    <s v="ΔΙΕΥΘΥΝΣΗ Δ.Ε. Α΄ ΑΘΗΝΑΣ"/>
    <x v="5"/>
  </r>
  <r>
    <x v="3312"/>
    <x v="1"/>
    <s v="ΠΕ11"/>
    <s v="ΦΥΣΙΚΗΣ ΑΓΩΓΗΣ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11-21T00:00:00"/>
    <x v="1"/>
    <s v="ΔΙΕΥΘΥΝΣΗ Π.Ε. ΑΝΑΤΟΛΙΚΗΣ ΑΤΤΙΚΗΣ"/>
    <x v="5"/>
  </r>
  <r>
    <x v="3313"/>
    <x v="0"/>
    <s v="ΠΕ70"/>
    <s v="ΔΑΣΚΑΛΟΙ"/>
    <m/>
    <m/>
    <s v="Α΄"/>
    <n v="13"/>
    <s v="Φ.Ι.Α/2163/6-4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10-09-01T00:00:00"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6-11-03T00:00:00"/>
    <x v="1"/>
    <s v="ΔΙΕΥΘΥΝΣΗ Π.Ε. ΑΝΑΤΟΛΙΚΗΣ ΑΤΤΙΚΗΣ"/>
    <x v="5"/>
  </r>
  <r>
    <x v="3314"/>
    <x v="1"/>
    <s v="ΠΕ03"/>
    <s v="ΜΑΘΗΜΑΤΙΚ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66-10-25T00:00:00"/>
    <x v="0"/>
    <s v="ΔΙΕΥΘΥΝΣΗ Δ.Ε. ΜΕΣΣΗΝΙΑΣ"/>
    <x v="5"/>
  </r>
  <r>
    <x v="3315"/>
    <x v="1"/>
    <s v="ΠΕ07"/>
    <s v="ΓΕΡΜΑΝΙΚΗΣ ΦΙΛΟΛΟΓΙΑΣ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1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10-21T00:00:00"/>
    <x v="0"/>
    <s v="ΔΙΕΥΘΥΝΣΗ Δ.Ε. Δ΄ ΑΘΗΝΑΣ"/>
    <x v="5"/>
  </r>
  <r>
    <x v="3316"/>
    <x v="1"/>
    <s v="ΠΕ06"/>
    <s v="ΑΓΓΛΙΚΗΣ ΦΙΛΟΛΟΓΙΑΣ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7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6-09-24T00:00:00"/>
    <x v="1"/>
    <s v="ΔΙΕΥΘΥΝΣΗ Π.Ε. ΑΝΑΤΟΛΙΚΗΣ ΑΤΤΙΚΗΣ"/>
    <x v="5"/>
  </r>
  <r>
    <x v="3317"/>
    <x v="0"/>
    <s v="ΠΕ70"/>
    <s v="ΔΑΣΚΑΛΟΙ"/>
    <m/>
    <m/>
    <s v="Α΄"/>
    <n v="14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8-10T00:00:00"/>
    <x v="1"/>
    <s v="ΔΙΕΥΘΥΝΣΗ Π.Ε. ΑΝΑΤΟΛΙΚΗΣ ΑΤΤΙΚΗΣ"/>
    <x v="5"/>
  </r>
  <r>
    <x v="3318"/>
    <x v="1"/>
    <s v="ΠΕ05"/>
    <s v="ΓΑΛΛΙΚΗΣ ΦΙΛΟΛΟΓΙΑΣ"/>
    <m/>
    <m/>
    <s v="Α΄"/>
    <n v="12"/>
    <s v="5133/22-11-2007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18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7-28T00:00:00"/>
    <x v="1"/>
    <s v="ΔΙΕΥΘΥΝΣΗ Π.Ε. ΑΝΑΤΟΛΙΚΗΣ ΑΤΤΙΚΗΣ"/>
    <x v="5"/>
  </r>
  <r>
    <x v="3319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7-24T00:00:00"/>
    <x v="0"/>
    <s v="ΔΙΕΥΘΥΝΣΗ Δ.Ε. ΑΝΑΤ. ΘΕΣ/ΝΙΚΗΣ"/>
    <x v="5"/>
  </r>
  <r>
    <x v="3320"/>
    <x v="1"/>
    <s v="ΠΕ70"/>
    <s v="ΔΑΣΚΑΛΟΙ"/>
    <m/>
    <m/>
    <s v="Α΄"/>
    <n v="12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7-13T00:00:00"/>
    <x v="1"/>
    <s v="ΔΙΕΥΘΥΝΣΗ Π.Ε. ΑΝΑΤΟΛΙΚΗΣ ΑΤΤΙΚΗΣ"/>
    <x v="5"/>
  </r>
  <r>
    <x v="3321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6-28T00:00:00"/>
    <x v="1"/>
    <s v="ΔΙΕΥΘΥΝΣΗ Π.Ε. ΑΝΑΤΟΛΙΚΗΣ ΑΤΤΙΚΗΣ"/>
    <x v="5"/>
  </r>
  <r>
    <x v="3322"/>
    <x v="1"/>
    <s v="ΠΕ11"/>
    <s v="ΦΥΣΙΚΗΣ ΑΓΩΓΗΣ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6-06-26T00:00:00"/>
    <x v="1"/>
    <s v="ΔΙΕΥΘΥΝΣΗ Π.Ε. Β΄ ΑΘΗΝΑΣ"/>
    <x v="5"/>
  </r>
  <r>
    <x v="3323"/>
    <x v="1"/>
    <s v="ΠΕ70"/>
    <s v="ΔΑΣΚΑΛΟΙ"/>
    <m/>
    <m/>
    <s v="Α΄"/>
    <n v="14"/>
    <s v="ΦΕΚ 177/τ.Γ'/17-9-199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18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6-12T00:00:00"/>
    <x v="1"/>
    <s v="ΔΙΕΥΘΥΝΣΗ Π.Ε. ΑΝΑΤΟΛΙΚΗΣ ΑΤΤΙΚΗΣ"/>
    <x v="5"/>
  </r>
  <r>
    <x v="3324"/>
    <x v="1"/>
    <s v="ΠΕ06"/>
    <s v="ΑΓΓΛΙΚΗΣ ΦΙΛΟΛΟΓΙΑ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6-06-12T00:00:00"/>
    <x v="0"/>
    <s v="ΔΙΕΥΘΥΝΣΗ Δ.Ε. ΙΩΑΝΝΙΝΩΝ"/>
    <x v="5"/>
  </r>
  <r>
    <x v="3325"/>
    <x v="1"/>
    <s v="ΠΕ70"/>
    <s v="ΔΑΣΚΑΛΟΙ"/>
    <m/>
    <m/>
    <s v="Α΄"/>
    <n v="15"/>
    <s v="ΦΕΚ 89/τ.Γ'/4-6-1993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2018-09-01T00:00:00"/>
    <m/>
    <x v="6"/>
    <s v=""/>
    <m/>
    <m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6-06T00:00:00"/>
    <x v="1"/>
    <s v="ΔΙΕΥΘΥΝΣΗ Π.Ε. ΑΝΑΤΟΛΙΚΗΣ ΑΤΤΙΚΗΣ"/>
    <x v="5"/>
  </r>
  <r>
    <x v="3326"/>
    <x v="1"/>
    <s v="ΠΕ70"/>
    <s v="ΔΑΣΚΑΛΟΙ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4-10-20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6-05T00:00:00"/>
    <x v="1"/>
    <s v="ΔΙΕΥΘΥΝΣΗ Π.Ε. ΑΝΑΤΟΛΙΚΗΣ ΑΤΤΙΚΗΣ"/>
    <x v="5"/>
  </r>
  <r>
    <x v="3327"/>
    <x v="1"/>
    <s v="ΠΕ70"/>
    <s v="ΔΑΣΚΑΛΟΙ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6-05-30T00:00:00"/>
    <x v="1"/>
    <s v="ΔΙΕΥΘΥΝΣΗ Π.Ε. Β΄ ΑΘΗΝΑΣ"/>
    <x v="5"/>
  </r>
  <r>
    <x v="3328"/>
    <x v="1"/>
    <s v="ΠΕ70"/>
    <s v="ΔΑΣΚΑΛΟΙ"/>
    <m/>
    <m/>
    <s v="Α΄"/>
    <n v="16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5-27T00:00:00"/>
    <x v="1"/>
    <s v="ΔΙΕΥΘΥΝΣΗ Π.Ε. ΑΝΑΤΟΛΙΚΗΣ ΑΤΤΙΚΗΣ"/>
    <x v="5"/>
  </r>
  <r>
    <x v="3329"/>
    <x v="0"/>
    <s v="ΠΕ70"/>
    <s v="ΔΑΣΚΑΛΟΙ"/>
    <m/>
    <m/>
    <s v="Α΄"/>
    <n v="14"/>
    <s v="27/302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d v="2018-09-01T00:00:00"/>
    <s v="Ιδιωτικά Σχολεία"/>
    <x v="4"/>
    <s v="7192002"/>
    <s v="ΙΔΙΩΤΙΚΟ ΔΗΜΟΤΙΚΟ ΠΕΥΚΑ ΘΕΣΣΑΛΟΝΙΚΗΣ - ΕΚΠΑΙΔΕΥΤΗΡΙΑ ΦΡΥΓΑΝΙΩΤ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6-05-26T00:00:00"/>
    <x v="1"/>
    <s v="ΔΙΕΥΘΥΝΣΗ Π.Ε. ΔΥΤ. ΘΕΣ/ΝΙΚΗΣ"/>
    <x v="5"/>
  </r>
  <r>
    <x v="3330"/>
    <x v="1"/>
    <s v="ΠΕ03"/>
    <s v="ΜΑΘΗΜΑΤΙΚ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1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66-05-22T00:00:00"/>
    <x v="0"/>
    <s v="ΔΙΕΥΘΥΝΣΗ Δ.Ε. ΜΕΣΣΗΝΙΑΣ"/>
    <x v="5"/>
  </r>
  <r>
    <x v="3331"/>
    <x v="1"/>
    <s v="ΠΕ06"/>
    <s v="ΑΓΓΛΙΚΗΣ ΦΙΛΟΛΟΓΙΑΣ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6-04-04T00:00:00"/>
    <x v="1"/>
    <s v="ΔΙΕΥΘΥΝΣΗ Π.Ε. Β΄ ΑΘΗΝΑΣ"/>
    <x v="5"/>
  </r>
  <r>
    <x v="3332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6-04-03T00:00:00"/>
    <x v="1"/>
    <s v="ΔΙΕΥΘΥΝΣΗ Π.Ε. ΗΡΑΚΛΕΙΟΥ"/>
    <x v="5"/>
  </r>
  <r>
    <x v="3333"/>
    <x v="1"/>
    <s v="ΠΕ06"/>
    <s v="ΑΓΓΛΙΚΗΣ ΦΙΛΟΛΟΓΙΑΣ"/>
    <m/>
    <m/>
    <s v="Α΄"/>
    <n v="11"/>
    <n v="189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d v="2018-09-01T00:00:00"/>
    <s v="Ιδιωτικά Σχολεία"/>
    <x v="4"/>
    <s v="7192002"/>
    <s v="ΙΔΙΩΤΙΚΟ ΔΗΜΟΤΙΚΟ ΠΕΥΚΑ ΘΕΣΣΑΛΟΝΙΚΗΣ - ΕΚΠΑΙΔΕΥΤΗΡΙΑ ΦΡΥΓΑΝΙΩΤ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6-03-18T00:00:00"/>
    <x v="1"/>
    <s v="ΔΙΕΥΘΥΝΣΗ Π.Ε. ΔΥΤ. ΘΕΣ/ΝΙΚΗΣ"/>
    <x v="5"/>
  </r>
  <r>
    <x v="333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6-03-05T00:00:00"/>
    <x v="1"/>
    <s v="ΔΙΕΥΘΥΝΣΗ Π.Ε. Β΄ ΑΘΗΝΑΣ"/>
    <x v="5"/>
  </r>
  <r>
    <x v="3335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6-03-03T00:00:00"/>
    <x v="1"/>
    <s v="ΔΙΕΥΘΥΝΣΗ Π.Ε. Β΄ ΑΘΗΝΑΣ"/>
    <x v="5"/>
  </r>
  <r>
    <x v="3336"/>
    <x v="1"/>
    <s v="ΠΕ70"/>
    <s v="ΔΑΣΚΑΛΟΙ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6-02-20T00:00:00"/>
    <x v="1"/>
    <s v="ΔΙΕΥΘΥΝΣΗ Π.Ε. Β΄ ΑΘΗΝΑΣ"/>
    <x v="5"/>
  </r>
  <r>
    <x v="3337"/>
    <x v="1"/>
    <s v="ΠΕ70"/>
    <s v="ΔΑΣΚΑΛΟΙ"/>
    <m/>
    <m/>
    <s v="Α΄"/>
    <n v="13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6-01-23T00:00:00"/>
    <x v="1"/>
    <s v="ΔΙΕΥΘΥΝΣΗ Π.Ε. ΔΥΤ. ΘΕΣ/ΝΙΚΗΣ"/>
    <x v="5"/>
  </r>
  <r>
    <x v="3338"/>
    <x v="1"/>
    <s v="ΠΕ70"/>
    <s v="ΔΑΣΚΑΛΟΙ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6-01-08T00:00:00"/>
    <x v="1"/>
    <s v="ΔΙΕΥΘΥΝΣΗ Π.Ε. Β΄ ΑΘΗΝΑΣ"/>
    <x v="5"/>
  </r>
  <r>
    <x v="3339"/>
    <x v="1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01-01T00:00:00"/>
    <x v="0"/>
    <s v="ΔΙΕΥΘΥΝΣΗ Δ.Ε. Β΄ ΑΘΗΝΑΣ"/>
    <x v="5"/>
  </r>
  <r>
    <x v="3340"/>
    <x v="1"/>
    <s v="ΠΕ70"/>
    <s v="ΔΑΣΚΑΛΟΙ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8-09-17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6-01-01T00:00:00"/>
    <x v="1"/>
    <s v="ΔΙΕΥΘΥΝΣΗ Π.Ε. ΑΝΑΤΟΛΙΚΗΣ ΑΤΤΙΚΗΣ"/>
    <x v="5"/>
  </r>
  <r>
    <x v="3341"/>
    <x v="1"/>
    <s v="ΠΕ11"/>
    <s v="ΦΥΣΙΚΗΣ ΑΓΩΓ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6-01-01T00:00:00"/>
    <x v="1"/>
    <s v="ΔΙΕΥΘΥΝΣΗ Π.Ε. Δ΄ ΑΘΗΝΑΣ"/>
    <x v="5"/>
  </r>
  <r>
    <x v="3342"/>
    <x v="1"/>
    <s v="ΠΕ70"/>
    <s v="ΔΑΣΚΑΛΟΙ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5-10-26T00:00:00"/>
    <x v="1"/>
    <s v="ΔΙΕΥΘΥΝΣΗ Π.Ε. Β΄ ΑΘΗΝΑΣ"/>
    <x v="5"/>
  </r>
  <r>
    <x v="3343"/>
    <x v="1"/>
    <s v="ΠΕ70"/>
    <s v="ΔΑΣΚΑΛΟΙ"/>
    <m/>
    <m/>
    <s v="Α΄"/>
    <n v="15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0-12-3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5-10-22T00:00:00"/>
    <x v="1"/>
    <s v="ΔΙΕΥΘΥΝΣΗ Π.Ε. ΑΝΑΤΟΛΙΚΗΣ ΑΤΤΙΚΗΣ"/>
    <x v="5"/>
  </r>
  <r>
    <x v="334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10-04T00:00:00"/>
    <x v="0"/>
    <s v="ΔΙΕΥΘΥΝΣΗ Δ.Ε. Β΄ ΑΘΗΝΑΣ"/>
    <x v="5"/>
  </r>
  <r>
    <x v="3345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10-04T00:00:00"/>
    <x v="0"/>
    <s v="ΔΙΕΥΘΥΝΣΗ Δ.Ε. Β΄ ΑΘΗΝΑΣ"/>
    <x v="5"/>
  </r>
  <r>
    <x v="3346"/>
    <x v="0"/>
    <s v="ΠΕ78"/>
    <s v="ΚΟΙΝΩΝΙΚΩΝ ΕΠΙΣΤΗΜΩΝ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5-09-30T00:00:00"/>
    <x v="0"/>
    <s v="ΔΙΕΥΘΥΝΣΗ Δ.Ε. ΠΕΙΡΑΙΑ"/>
    <x v="5"/>
  </r>
  <r>
    <x v="3347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65-09-21T00:00:00"/>
    <x v="1"/>
    <s v="ΔΙΕΥΘΥΝΣΗ Π.Ε. ΑΧΑΪΑΣ"/>
    <x v="5"/>
  </r>
  <r>
    <x v="3348"/>
    <x v="1"/>
    <s v="ΠΕ70"/>
    <s v="ΔΑΣΚΑΛΟΙ"/>
    <m/>
    <m/>
    <s v="Α΄"/>
    <n v="19"/>
    <n v="213"/>
    <d v="1990-12-3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1990-12-3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5-09-18T00:00:00"/>
    <x v="1"/>
    <s v="ΔΙΕΥΘΥΝΣΗ Π.Ε. ΑΝΑΤΟΛΙΚΗΣ ΑΤΤΙΚΗΣ"/>
    <x v="5"/>
  </r>
  <r>
    <x v="3349"/>
    <x v="0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8-08T00:00:00"/>
    <x v="1"/>
    <s v="ΔΙΕΥΘΥΝΣΗ Π.Ε. Β΄ ΑΘΗΝΑΣ"/>
    <x v="5"/>
  </r>
  <r>
    <x v="3350"/>
    <x v="1"/>
    <s v="ΠΕ70"/>
    <s v="ΔΑΣΚΑΛΟΙ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1"/>
    <m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65-08-07T00:00:00"/>
    <x v="1"/>
    <s v="ΔΙΕΥΘΥΝΣΗ Π.Ε. ΑΙΤΩΛΟΑΚΑΡΝΑΝΙΑΣ"/>
    <x v="5"/>
  </r>
  <r>
    <x v="3351"/>
    <x v="0"/>
    <s v="ΠΕ70"/>
    <s v="ΔΑΣΚΑΛΟΙ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5-08-03T00:00:00"/>
    <x v="1"/>
    <s v="ΔΙΕΥΘΥΝΣΗ Π.Ε. Β΄ ΑΘΗΝΑΣ"/>
    <x v="5"/>
  </r>
  <r>
    <x v="3352"/>
    <x v="1"/>
    <s v="ΠΕ01"/>
    <s v="ΘΕΟΛΟΓΟΙ"/>
    <m/>
    <m/>
    <s v="Α΄"/>
    <n v="6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7-15T00:00:00"/>
    <x v="0"/>
    <s v="ΔΙΕΥΘΥΝΣΗ Δ.Ε. ΑΝΑΤ. ΘΕΣ/ΝΙΚΗΣ"/>
    <x v="5"/>
  </r>
  <r>
    <x v="3353"/>
    <x v="0"/>
    <s v="ΠΕ70"/>
    <s v="ΔΑΣΚΑΛΟΙ"/>
    <m/>
    <m/>
    <s v="Α΄"/>
    <n v="14"/>
    <s v="Φ.Ι.Α.6/25574/8-2-2017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16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5-07-13T00:00:00"/>
    <x v="1"/>
    <s v="ΔΙΕΥΘΥΝΣΗ Π.Ε. ΑΝΑΤΟΛΙΚΗΣ ΑΤΤΙΚΗΣ"/>
    <x v="5"/>
  </r>
  <r>
    <x v="3354"/>
    <x v="1"/>
    <s v="ΠΕ03"/>
    <s v="ΜΑΘΗΜΑΤΙΚ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5-06-26T00:00:00"/>
    <x v="0"/>
    <s v="ΔΙΕΥΘΥΝΣΗ Δ.Ε. Δ΄ ΑΘΗΝΑΣ"/>
    <x v="5"/>
  </r>
  <r>
    <x v="3355"/>
    <x v="1"/>
    <s v="ΠΕ70"/>
    <s v="ΔΑΣΚΑΛΟΙ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5-06-18T00:00:00"/>
    <x v="1"/>
    <s v="ΔΙΕΥΘΥΝΣΗ Π.Ε. Β΄ ΑΘΗΝΑΣ"/>
    <x v="5"/>
  </r>
  <r>
    <x v="3356"/>
    <x v="1"/>
    <s v="ΠΕ06"/>
    <s v="ΑΓΓΛΙΚΗΣ ΦΙΛΟΛΟΓΙΑΣ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6-11T00:00:00"/>
    <x v="1"/>
    <s v="ΔΙΕΥΘΥΝΣΗ Π.Ε. Β΄ ΑΘΗΝΑΣ"/>
    <x v="5"/>
  </r>
  <r>
    <x v="3357"/>
    <x v="1"/>
    <s v="ΠΕ70"/>
    <s v="ΔΑΣΚΑΛΟΙ"/>
    <m/>
    <m/>
    <s v="Α΄"/>
    <n v="15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05-21T00:00:00"/>
    <x v="1"/>
    <s v="ΔΙΕΥΘΥΝΣΗ Π.Ε. Δ΄ ΑΘΗΝΑΣ"/>
    <x v="5"/>
  </r>
  <r>
    <x v="3358"/>
    <x v="0"/>
    <s v="ΠΕ04.01"/>
    <s v="ΦΥΣ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5-05-08T00:00:00"/>
    <x v="0"/>
    <s v="ΔΙΕΥΘΥΝΣΗ Δ.Ε. ΑΝΑΤΟΛΙΚΗΣ ΑΤΤΙΚΗΣ"/>
    <x v="5"/>
  </r>
  <r>
    <x v="335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5-06T00:00:00"/>
    <x v="1"/>
    <s v="ΔΙΕΥΘΥΝΣΗ Π.Ε. Β΄ ΑΘΗΝΑΣ"/>
    <x v="5"/>
  </r>
  <r>
    <x v="3360"/>
    <x v="1"/>
    <s v="ΠΕ06"/>
    <s v="ΑΓΓΛΙΚΗΣ ΦΙΛΟΛΟΓΙΑΣ"/>
    <m/>
    <m/>
    <s v="Α΄"/>
    <n v="13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0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5-05-01T00:00:00"/>
    <x v="1"/>
    <s v="ΔΙΕΥΘΥΝΣΗ Π.Ε. ΑΝΑΤΟΛΙΚΗΣ ΑΤΤΙΚΗΣ"/>
    <x v="5"/>
  </r>
  <r>
    <x v="3361"/>
    <x v="1"/>
    <s v="ΠΕ06"/>
    <s v="ΑΓΓΛΙΚΗΣ ΦΙΛΟΛΟΓΙΑΣ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5-05-01T00:00:00"/>
    <x v="1"/>
    <s v="ΔΙΕΥΘΥΝΣΗ Π.Ε. Β΄ ΑΘΗΝΑΣ"/>
    <x v="5"/>
  </r>
  <r>
    <x v="3362"/>
    <x v="1"/>
    <s v="ΠΕ11"/>
    <s v="ΦΥΣΙΚΗΣ ΑΓΩΓΗΣ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5-04-02T00:00:00"/>
    <x v="1"/>
    <s v="ΔΙΕΥΘΥΝΣΗ Π.Ε. Β΄ ΑΘΗΝΑΣ"/>
    <x v="5"/>
  </r>
  <r>
    <x v="3363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3-27T00:00:00"/>
    <x v="0"/>
    <s v="ΔΙΕΥΘΥΝΣΗ Δ.Ε. Β΄ ΑΘΗΝΑΣ"/>
    <x v="5"/>
  </r>
  <r>
    <x v="3364"/>
    <x v="0"/>
    <s v="ΠΕ03"/>
    <s v="ΜΑΘΗΜΑΤΙΚΟΙ"/>
    <m/>
    <m/>
    <s v="Α΄"/>
    <n v="1"/>
    <m/>
    <m/>
    <s v="ΗΡΑΚΛΕΙΟΥ (Δ.Ε.) 2018"/>
    <s v="ΔΙΕΥΘΥΝΣΗ Δ.Ε. ΗΡΑΚΛΕΙΟΥ"/>
    <s v="ΠΕΡΙΦΕΡΕΙΑΚΗ Δ/ΝΣΗ Α/ΘΜΙΑΣ ΚΑΙ Β/ΘΜΙΑΣ ΕΚΠ/ΣΗΣ ΚΡΗΤΗΣ"/>
    <n v="21"/>
    <m/>
    <s v="Ιδιωτικά Σχολεία"/>
    <x v="3"/>
    <s v="1780020"/>
    <s v="ΙΔΙΩΤΙΚΟ ΛΥΚΕΙΟ - ΕΚΠΑΙΔΕΥΤΗΡΙΟ &quot;ΤΟ ΠΑΓΚΡΗΤΙΟΝ&quot;"/>
    <s v="ΗΡΑΚΛΕΙΟΥ (Δ.Ε.) 2018"/>
    <s v="ΔΙΕΥΘΥΝΣΗ Δ.Ε. ΗΡΑΚΛΕΙΟΥ"/>
    <s v="ΠΕΡΙΦΕΡΕΙΑΚΗ Δ/ΝΣΗ Α/ΘΜΙΑΣ ΚΑΙ Β/ΘΜΙΑΣ ΕΚΠ/ΣΗΣ ΚΡΗΤΗΣ"/>
    <x v="1"/>
    <s v="Τοποθέτηση σε Ιδιωτική Εκπαίδευση"/>
    <d v="1965-02-28T00:00:00"/>
    <x v="0"/>
    <s v="ΔΙΕΥΘΥΝΣΗ Δ.Ε. ΗΡΑΚΛΕΙΟΥ"/>
    <x v="5"/>
  </r>
  <r>
    <x v="3365"/>
    <x v="1"/>
    <s v="ΠΕ79.01"/>
    <s v="ΜΟΥΣΙΚΗΣ ΕΠΙΣΤΗΜ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02-13T00:00:00"/>
    <x v="1"/>
    <s v="ΔΙΕΥΘΥΝΣΗ Π.Ε. Δ΄ ΑΘΗΝΑΣ"/>
    <x v="5"/>
  </r>
  <r>
    <x v="3366"/>
    <x v="1"/>
    <s v="ΠΕ79.01"/>
    <s v="ΜΟΥΣΙΚΗΣ ΕΠΙΣΤΗΜ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02-13T00:00:00"/>
    <x v="1"/>
    <s v="ΔΙΕΥΘΥΝΣΗ Π.Ε. Δ΄ ΑΘΗΝΑΣ"/>
    <x v="5"/>
  </r>
  <r>
    <x v="3367"/>
    <x v="1"/>
    <s v="ΠΕ70"/>
    <s v="ΔΑΣΚΑΛΟΙ"/>
    <m/>
    <m/>
    <s v="Α΄"/>
    <n v="16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5-01-01T00:00:00"/>
    <x v="1"/>
    <s v="ΔΙΕΥΘΥΝΣΗ Π.Ε. ΑΝΑΤΟΛΙΚΗΣ ΑΤΤΙΚΗΣ"/>
    <x v="5"/>
  </r>
  <r>
    <x v="3368"/>
    <x v="1"/>
    <s v="ΠΕ01"/>
    <s v="ΘΕΟΛΟΓΟΙ"/>
    <m/>
    <m/>
    <s v="Γ΄"/>
    <n v="1"/>
    <m/>
    <m/>
    <s v="ΤΡΙΚΑΛΩΝ (Δ.Ε.) 2018"/>
    <s v="ΔΙΕΥΘΥΝΣΗ Δ.Ε. ΤΡΙΚΑΛΩΝ"/>
    <s v="ΠΕΡΙΦΕΡΕΙΑΚΗ Δ/ΝΣΗ Α/ΘΜΙΑΣ ΚΑΙ Β/ΘΜΙΑΣ ΕΚΠ/ΣΗΣ ΘΕΣΣΑΛΙΑΣ"/>
    <n v="21"/>
    <m/>
    <s v="Ιδιωτικά Σχολεία"/>
    <x v="2"/>
    <s v="4581015"/>
    <s v="ΙΔΙΩΤΙΚΟ ΓΥΜΝΑΣΙΟ ΤΡΙΚΑΛΩΝ - ΕΚΠΑΙΔΕΥΤΗΡΙΑ ΑΘΗΝΑ"/>
    <s v="ΤΡΙΚΑΛΩΝ (Δ.Ε.) 2018"/>
    <s v="ΔΙΕΥΘΥΝΣΗ Δ.Ε. ΤΡΙΚΑΛΩΝ"/>
    <s v="ΠΕΡΙΦΕΡΕΙΑΚΗ Δ/ΝΣΗ Α/ΘΜΙΑΣ ΚΑΙ Β/ΘΜΙΑΣ ΕΚΠ/ΣΗΣ ΘΕΣΣΑΛΙΑΣ"/>
    <x v="1"/>
    <s v="Τοποθέτηση σε Ιδιωτική Εκπαίδευση"/>
    <d v="1965-01-01T00:00:00"/>
    <x v="0"/>
    <s v="ΔΙΕΥΘΥΝΣΗ Δ.Ε. ΤΡΙΚΑΛΩΝ"/>
    <x v="5"/>
  </r>
  <r>
    <x v="3369"/>
    <x v="1"/>
    <s v="ΠΕ06"/>
    <s v="ΑΓΓΛΙΚΗΣ ΦΙΛΟΛΟΓΙΑΣ"/>
    <m/>
    <m/>
    <s v="Α΄"/>
    <n v="1"/>
    <n v="177"/>
    <d v="1999-08-31T00:00:00"/>
    <s v="ΧΑΝΙΩΝ (Δ.Ε.) 2018"/>
    <s v="ΔΙΕΥΘΥΝΣΗ Δ.Ε. ΧΑΝΙΩΝ"/>
    <s v="ΠΕΡΙΦΕΡΕΙΑΚΗ Δ/ΝΣΗ Α/ΘΜΙΑΣ ΚΑΙ Β/ΘΜΙΑΣ ΕΚΠ/ΣΗΣ ΚΡΗΤΗΣ"/>
    <n v="21"/>
    <d v="1999-08-31T00:00:00"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65-01-01T00:00:00"/>
    <x v="0"/>
    <s v="ΔΙΕΥΘΥΝΣΗ Δ.Ε. ΧΑΝΙΩΝ"/>
    <x v="5"/>
  </r>
  <r>
    <x v="3370"/>
    <x v="0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3"/>
    <s v="0590908"/>
    <s v="ΙΔΙΩΤΙΚΟ ΗΜΕΡΗΣΙΟ ΛΥΚΕΙΟ ΕΛΛΗΝΟΓΑΛΛΙΚΗΣ ΣΧΟΛΗΣ &quot;JEANNE D' ARC&quot;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4-12-17T00:00:00"/>
    <x v="0"/>
    <s v="ΔΙΕΥΘΥΝΣΗ Δ.Ε. ΠΕΙΡΑΙΑ"/>
    <x v="5"/>
  </r>
  <r>
    <x v="3371"/>
    <x v="1"/>
    <s v="ΠΕ70"/>
    <s v="ΔΑΣΚΑΛΟΙ"/>
    <m/>
    <m/>
    <s v="Γ΄"/>
    <n v="1"/>
    <n v="135362"/>
    <d v="2018-09-01T00:00:00"/>
    <s v="Α΄ ΠΕΙΡΑΙΑ (Π.Ε.) 2018"/>
    <s v="ΔΙΕΥΘΥΝΣΗ Π.Ε. ΠΕΙΡΑΙΑ"/>
    <s v="ΠΕΡΙΦΕΡΕΙΑΚΗ Δ/ΝΣΗ Α/ΘΜΙΑΣ ΚΑΙ Β/ΘΜΙΑΣ ΕΚΠ/ΣΗΣ ΑΤΤΙΚΗΣ"/>
    <n v="21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4-11-04T00:00:00"/>
    <x v="1"/>
    <s v="ΔΙΕΥΘΥΝΣΗ Π.Ε. ΠΕΙΡΑΙΑ"/>
    <x v="5"/>
  </r>
  <r>
    <x v="3372"/>
    <x v="1"/>
    <s v="ΠΕ70"/>
    <s v="ΔΑΣΚΑΛΟΙ"/>
    <m/>
    <m/>
    <s v="Γ΄"/>
    <n v="13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4-10-22T00:00:00"/>
    <x v="1"/>
    <s v="ΔΙΕΥΘΥΝΣΗ Π.Ε. Β΄ ΑΘΗΝΑΣ"/>
    <x v="5"/>
  </r>
  <r>
    <x v="3373"/>
    <x v="1"/>
    <s v="ΠΕ70"/>
    <s v="ΔΑΣΚΑΛΟΙ"/>
    <m/>
    <m/>
    <s v="Α΄"/>
    <n v="11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4-10-14T00:00:00"/>
    <x v="1"/>
    <s v="ΔΙΕΥΘΥΝΣΗ Π.Ε. ΜΑΓΝΗΣΙΑΣ"/>
    <x v="5"/>
  </r>
  <r>
    <x v="3374"/>
    <x v="1"/>
    <s v="ΠΕ04.01"/>
    <s v="ΦΥΣ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1"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4-08-22T00:00:00"/>
    <x v="0"/>
    <s v="ΔΙΕΥΘΥΝΣΗ Δ.Ε. ΠΕΙΡΑΙΑ"/>
    <x v="5"/>
  </r>
  <r>
    <x v="3375"/>
    <x v="0"/>
    <s v="ΠΕ11"/>
    <s v="ΦΥΣΙΚΗΣ ΑΓΩΓΗΣ"/>
    <m/>
    <m/>
    <s v="Α΄"/>
    <n v="11"/>
    <m/>
    <m/>
    <s v="Α΄ ΠΕΙΡΑΙΑ (Π.Ε.) 2018"/>
    <s v="ΔΙΕΥΘΥΝΣΗ Π.Ε. ΠΕΙΡΑΙΑ"/>
    <s v="ΠΕΡΙΦΕΡΕΙΑΚΗ Δ/ΝΣΗ Α/ΘΜΙΑΣ ΚΑΙ Β/ΘΜΙΑΣ ΕΚΠ/ΣΗΣ ΑΤΤΙΚΗΣ"/>
    <n v="21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4-08-04T00:00:00"/>
    <x v="1"/>
    <s v="ΔΙΕΥΘΥΝΣΗ Π.Ε. ΠΕΙΡΑΙΑ"/>
    <x v="5"/>
  </r>
  <r>
    <x v="3376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4-08-01T00:00:00"/>
    <x v="1"/>
    <s v="ΔΙΕΥΘΥΝΣΗ Π.Ε. ΗΡΑΚΛΕΙΟΥ"/>
    <x v="5"/>
  </r>
  <r>
    <x v="3377"/>
    <x v="1"/>
    <s v="ΠΕ70"/>
    <s v="ΔΑΣΚΑΛΟΙ"/>
    <m/>
    <m/>
    <s v="Α΄"/>
    <n v="14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93-06-04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4-07-22T00:00:00"/>
    <x v="1"/>
    <s v="ΔΙΕΥΘΥΝΣΗ Π.Ε. ΑΝΑΤΟΛΙΚΗΣ ΑΤΤΙΚΗΣ"/>
    <x v="5"/>
  </r>
  <r>
    <x v="3378"/>
    <x v="1"/>
    <s v="ΠΕ70"/>
    <s v="ΔΑΣΚΑΛΟΙ"/>
    <m/>
    <m/>
    <s v="Α΄"/>
    <n v="1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1"/>
    <m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4-07-09T00:00:00"/>
    <x v="1"/>
    <s v="ΔΙΕΥΘΥΝΣΗ Π.Ε. ΔΥΤ. ΘΕΣ/ΝΙΚΗΣ"/>
    <x v="5"/>
  </r>
  <r>
    <x v="3379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7-04T00:00:00"/>
    <x v="0"/>
    <s v="ΔΙΕΥΘΥΝΣΗ Δ.Ε. ΑΝΑΤ. ΘΕΣ/ΝΙΚΗΣ"/>
    <x v="5"/>
  </r>
  <r>
    <x v="3380"/>
    <x v="1"/>
    <s v="ΠΕ70"/>
    <s v="ΔΑΣΚΑΛΟΙ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4-05-05T00:00:00"/>
    <x v="1"/>
    <s v="ΔΙΕΥΘΥΝΣΗ Π.Ε. Β΄ ΑΘΗΝΑΣ"/>
    <x v="5"/>
  </r>
  <r>
    <x v="3381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4-04-26T00:00:00"/>
    <x v="1"/>
    <s v="ΔΙΕΥΘΥΝΣΗ Π.Ε. ΗΡΑΚΛΕΙΟΥ"/>
    <x v="5"/>
  </r>
  <r>
    <x v="3382"/>
    <x v="1"/>
    <s v="ΠΕ79.01"/>
    <s v="ΜΟΥΣΙΚΗΣ ΕΠΙΣΤΗΜ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4-03-18T00:00:00"/>
    <x v="0"/>
    <s v="ΔΙΕΥΘΥΝΣΗ Δ.Ε. Δ΄ ΑΘΗΝΑΣ"/>
    <x v="5"/>
  </r>
  <r>
    <x v="3383"/>
    <x v="1"/>
    <s v="ΠΕ08"/>
    <s v="ΚΑΛΛΙΤΕΧΝΙΚΩΝ"/>
    <m/>
    <m/>
    <s v="Α΄"/>
    <n v="12"/>
    <s v="Φ.60.2/6439/10-9-2003"/>
    <d v="2003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03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4-03-17T00:00:00"/>
    <x v="1"/>
    <s v="ΔΙΕΥΘΥΝΣΗ Π.Ε. ΑΝΑΤΟΛΙΚΗΣ ΑΤΤΙΚΗΣ"/>
    <x v="5"/>
  </r>
  <r>
    <x v="338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02-19T00:00:00"/>
    <x v="1"/>
    <s v="ΔΙΕΥΘΥΝΣΗ Π.Ε. Β΄ ΑΘΗΝΑΣ"/>
    <x v="5"/>
  </r>
  <r>
    <x v="3385"/>
    <x v="1"/>
    <s v="ΠΕ70"/>
    <s v="ΔΑΣΚΑΛΟΙ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1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4-02-12T00:00:00"/>
    <x v="1"/>
    <s v="ΔΙΕΥΘΥΝΣΗ Π.Ε. ΜΑΓΝΗΣΙΑΣ"/>
    <x v="5"/>
  </r>
  <r>
    <x v="3386"/>
    <x v="1"/>
    <s v="ΠΕ70"/>
    <s v="ΔΑΣΚΑΛΟΙ"/>
    <m/>
    <m/>
    <s v="Α΄"/>
    <n v="16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88-02-16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4-01-19T00:00:00"/>
    <x v="1"/>
    <s v="ΔΙΕΥΘΥΝΣΗ Π.Ε. ΑΝΑΤΟΛΙΚΗΣ ΑΤΤΙΚΗΣ"/>
    <x v="5"/>
  </r>
  <r>
    <x v="3387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4-01-01T00:00:00"/>
    <x v="0"/>
    <s v="ΔΙΕΥΘΥΝΣΗ Δ.Ε. Γ΄ ΑΘΗΝΑΣ"/>
    <x v="5"/>
  </r>
  <r>
    <x v="3388"/>
    <x v="1"/>
    <s v="ΠΕ11"/>
    <s v="ΦΥΣΙΚΗΣ ΑΓΩΓΗΣ"/>
    <m/>
    <m/>
    <s v="Γ΄"/>
    <n v="1"/>
    <n v="28878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4-01-01T00:00:00"/>
    <x v="1"/>
    <s v="ΔΙΕΥΘΥΝΣΗ Π.Ε. Δ΄ ΑΘΗΝΑΣ"/>
    <x v="5"/>
  </r>
  <r>
    <x v="3389"/>
    <x v="0"/>
    <s v="ΠΕ85"/>
    <s v="ΧΗΜΙΚΩΝ ΜΗΧΑ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12-30T00:00:00"/>
    <x v="0"/>
    <s v="ΔΙΕΥΘΥΝΣΗ Δ.Ε. Δ΄ ΑΘΗΝΑΣ"/>
    <x v="5"/>
  </r>
  <r>
    <x v="3390"/>
    <x v="0"/>
    <s v="ΠΕ04.01"/>
    <s v="ΦΥΣΙΚ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3"/>
    <s v="Τοποθέτηση σε Ιδιωτική Εκπαίδευση"/>
    <d v="1963-12-06T00:00:00"/>
    <x v="0"/>
    <s v="ΔΙΕΥΘΥΝΣΗ Δ.Ε. ΔΩΔΕΚΑΝΗΣΟΥ"/>
    <x v="5"/>
  </r>
  <r>
    <x v="3391"/>
    <x v="1"/>
    <s v="ΠΕ70"/>
    <s v="ΔΑΣΚΑΛΟΙ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3-11-22T00:00:00"/>
    <x v="1"/>
    <s v="ΔΙΕΥΘΥΝΣΗ Π.Ε. Β΄ ΑΘΗΝΑΣ"/>
    <x v="5"/>
  </r>
  <r>
    <x v="3392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3-11-08T00:00:00"/>
    <x v="1"/>
    <s v="ΔΙΕΥΘΥΝΣΗ Π.Ε. Α΄ ΑΘΗΝΑΣ"/>
    <x v="5"/>
  </r>
  <r>
    <x v="3393"/>
    <x v="1"/>
    <s v="ΠΕ06"/>
    <s v="ΑΓΓ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3-10-21T00:00:00"/>
    <x v="1"/>
    <s v="ΔΙΕΥΘΥΝΣΗ Π.Ε. Δ΄ ΑΘΗΝΑΣ"/>
    <x v="5"/>
  </r>
  <r>
    <x v="3394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3-10-05T00:00:00"/>
    <x v="1"/>
    <s v="ΔΙΕΥΘΥΝΣΗ Π.Ε. Β΄ ΑΘΗΝΑΣ"/>
    <x v="5"/>
  </r>
  <r>
    <x v="3395"/>
    <x v="0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9-26T00:00:00"/>
    <x v="0"/>
    <s v="ΔΙΕΥΘΥΝΣΗ Δ.Ε. Β΄ ΑΘΗΝΑΣ"/>
    <x v="5"/>
  </r>
  <r>
    <x v="3396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1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63-09-23T00:00:00"/>
    <x v="1"/>
    <s v="ΔΙΕΥΘΥΝΣΗ Π.Ε. ΑΧΑΪΑΣ"/>
    <x v="5"/>
  </r>
  <r>
    <x v="3397"/>
    <x v="0"/>
    <s v="ΠΕ06"/>
    <s v="ΑΓΓΛΙΚΗΣ ΦΙΛΟΛΟΓΙΑΣ"/>
    <m/>
    <m/>
    <s v="Α΄"/>
    <n v="12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3-09-03T00:00:00"/>
    <x v="0"/>
    <s v="ΔΙΕΥΘΥΝΣΗ Δ.Ε. Δ΄ ΑΘΗΝΑΣ"/>
    <x v="5"/>
  </r>
  <r>
    <x v="3398"/>
    <x v="1"/>
    <s v="ΠΕ70"/>
    <s v="ΔΑΣΚΑΛΟΙ"/>
    <m/>
    <m/>
    <s v="Γ΄"/>
    <n v="17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3-08-09T00:00:00"/>
    <x v="1"/>
    <s v="ΔΙΕΥΘΥΝΣΗ Π.Ε. Β΄ ΑΘΗΝΑΣ"/>
    <x v="5"/>
  </r>
  <r>
    <x v="3399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3-06-24T00:00:00"/>
    <x v="1"/>
    <s v="ΔΙΕΥΘΥΝΣΗ Π.Ε. Β΄ ΑΘΗΝΑΣ"/>
    <x v="5"/>
  </r>
  <r>
    <x v="3400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3"/>
    <s v="0580290"/>
    <s v="ΙΔΙΩΤΙΚΟ ΗΜΕΡΗΣΙΟ ΓΕΝΙΚΟ ΛΥΚΕΙΟ ΕΚΠΑΙΔΕΥΤΗΡΙΑ ΚΩΣΤΕΑ-ΓΕΙΤΟΝΑ / CGS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3-05-05T00:00:00"/>
    <x v="0"/>
    <s v="ΔΙΕΥΘΥΝΣΗ Δ.Ε. ΑΝΑΤΟΛΙΚΗΣ ΑΤΤΙΚΗΣ"/>
    <x v="5"/>
  </r>
  <r>
    <x v="3401"/>
    <x v="1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2"/>
    <s v="Α΄ ΑΡΣΑΚΕΙΟ ΓΥΜΝΑΣ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3-04-02T00:00:00"/>
    <x v="0"/>
    <s v="ΔΙΕΥΘΥΝΣΗ Δ.Ε. Β΄ ΑΘΗΝΑΣ"/>
    <x v="5"/>
  </r>
  <r>
    <x v="3402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3-13T00:00:00"/>
    <x v="0"/>
    <s v="ΔΙΕΥΘΥΝΣΗ Δ.Ε. ΑΝΑΤ. ΘΕΣ/ΝΙΚΗΣ"/>
    <x v="5"/>
  </r>
  <r>
    <x v="3403"/>
    <x v="1"/>
    <s v="ΠΕ05"/>
    <s v="ΓΑΛΛΙΚΗΣ ΦΙΛΟΛΟΓΙΑΣ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3-03-05T00:00:00"/>
    <x v="1"/>
    <s v="ΔΙΕΥΘΥΝΣΗ Π.Ε. Β΄ ΑΘΗΝΑΣ"/>
    <x v="5"/>
  </r>
  <r>
    <x v="3404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3-02-12T00:00:00"/>
    <x v="1"/>
    <s v="ΔΙΕΥΘΥΝΣΗ Π.Ε. ΑΝΑΤΟΛΙΚΗΣ ΑΤΤΙΚΗΣ"/>
    <x v="5"/>
  </r>
  <r>
    <x v="3405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3-02-11T00:00:00"/>
    <x v="1"/>
    <s v="ΔΙΕΥΘΥΝΣΗ Π.Ε. Β΄ ΑΘΗΝΑΣ"/>
    <x v="5"/>
  </r>
  <r>
    <x v="3406"/>
    <x v="0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3-02-06T00:00:00"/>
    <x v="1"/>
    <s v="ΔΙΕΥΘΥΝΣΗ Π.Ε. Δ΄ ΑΘΗΝΑΣ"/>
    <x v="5"/>
  </r>
  <r>
    <x v="3407"/>
    <x v="1"/>
    <s v="ΠΕ11"/>
    <s v="ΦΥΣΙΚΗΣ ΑΓΩΓΗΣ"/>
    <m/>
    <m/>
    <s v="Γ΄"/>
    <n v="16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3-01-31T00:00:00"/>
    <x v="1"/>
    <s v="ΔΙΕΥΘΥΝΣΗ Π.Ε. Β΄ ΑΘΗΝΑΣ"/>
    <x v="5"/>
  </r>
  <r>
    <x v="3408"/>
    <x v="0"/>
    <s v="ΠΕ70"/>
    <s v="ΔΑΣΚΑΛΟΙ"/>
    <m/>
    <m/>
    <s v="Α΄"/>
    <n v="14"/>
    <s v="Φ.15/2686/25-10-2004"/>
    <d v="2004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04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3-01-30T00:00:00"/>
    <x v="1"/>
    <s v="ΔΙΕΥΘΥΝΣΗ Π.Ε. ΑΝΑΤΟΛΙΚΗΣ ΑΤΤΙΚΗΣ"/>
    <x v="5"/>
  </r>
  <r>
    <x v="3409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1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3-01-27T00:00:00"/>
    <x v="1"/>
    <s v="ΔΙΕΥΘΥΝΣΗ Π.Ε. ΠΕΙΡΑΙΑ"/>
    <x v="5"/>
  </r>
  <r>
    <x v="3410"/>
    <x v="1"/>
    <s v="ΠΕ04.01"/>
    <s v="ΦΥΣ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3-01-01T00:00:00"/>
    <x v="0"/>
    <s v="ΔΙΕΥΘΥΝΣΗ Δ.Ε. Δ΄ ΑΘΗΝΑΣ"/>
    <x v="5"/>
  </r>
  <r>
    <x v="3411"/>
    <x v="0"/>
    <s v="ΠΕ70"/>
    <s v="ΔΑΣΚΑΛΟΙ"/>
    <m/>
    <m/>
    <s v="Α΄"/>
    <n v="6"/>
    <s v="2757/30-9-1996"/>
    <d v="1996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1996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2-12-04T00:00:00"/>
    <x v="1"/>
    <s v="ΔΙΕΥΘΥΝΣΗ Π.Ε. ΑΝΑΤΟΛΙΚΗΣ ΑΤΤΙΚΗΣ"/>
    <x v="5"/>
  </r>
  <r>
    <x v="3412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62-10-04T00:00:00"/>
    <x v="1"/>
    <s v="ΔΙΕΥΘΥΝΣΗ Π.Ε. Α΄ ΑΘΗΝΑΣ"/>
    <x v="5"/>
  </r>
  <r>
    <x v="3413"/>
    <x v="1"/>
    <s v="ΠΕ70"/>
    <s v="ΔΑΣΚΑΛΟΙ"/>
    <m/>
    <m/>
    <s v="Γ΄"/>
    <n v="17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2-09-24T00:00:00"/>
    <x v="1"/>
    <s v="ΔΙΕΥΘΥΝΣΗ Π.Ε. Β΄ ΑΘΗΝΑΣ"/>
    <x v="5"/>
  </r>
  <r>
    <x v="3414"/>
    <x v="0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2-08-12T00:00:00"/>
    <x v="1"/>
    <s v="ΔΙΕΥΘΥΝΣΗ Π.Ε. Δ΄ ΑΘΗΝΑΣ"/>
    <x v="5"/>
  </r>
  <r>
    <x v="3415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2-08-04T00:00:00"/>
    <x v="1"/>
    <s v="ΔΙΕΥΘΥΝΣΗ Π.Ε. Β΄ ΑΘΗΝΑΣ"/>
    <x v="5"/>
  </r>
  <r>
    <x v="3416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2-07-31T00:00:00"/>
    <x v="1"/>
    <s v="ΔΙΕΥΘΥΝΣΗ Π.Ε. Α΄ ΑΘΗΝΑΣ"/>
    <x v="5"/>
  </r>
  <r>
    <x v="3417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80605"/>
    <s v="ΙΔΙΩΤΙΚΟ ΛΥΚΕ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2-07-26T00:00:00"/>
    <x v="0"/>
    <s v="ΔΙΕΥΘΥΝΣΗ Δ.Ε. Δ΄ ΑΘΗΝΑΣ"/>
    <x v="5"/>
  </r>
  <r>
    <x v="3418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1"/>
    <s v="7521011"/>
    <s v="ΙΔΙΩΤΙΚΟ ΝΗΠΙΑΓΩΓΕΙ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2-07-01T00:00:00"/>
    <x v="1"/>
    <s v="ΔΙΕΥΘΥΝΣΗ Π.Ε. ΑΝΑΤΟΛΙΚΗΣ ΑΤΤΙΚΗΣ"/>
    <x v="5"/>
  </r>
  <r>
    <x v="3419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5-14T00:00:00"/>
    <x v="0"/>
    <s v="ΔΙΕΥΘΥΝΣΗ Δ.Ε. Β΄ ΑΘΗΝΑΣ"/>
    <x v="5"/>
  </r>
  <r>
    <x v="3420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2-04-06T00:00:00"/>
    <x v="1"/>
    <s v="ΔΙΕΥΘΥΝΣΗ Π.Ε. Α΄ ΑΘΗΝΑΣ"/>
    <x v="5"/>
  </r>
  <r>
    <x v="3421"/>
    <x v="1"/>
    <s v="ΠΕ05"/>
    <s v="ΓΑΛΛΙΚΗΣ ΦΙΛΟΛΟΓΙΑΣ"/>
    <m/>
    <m/>
    <s v="Α΄"/>
    <n v="1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2-03-24T00:00:00"/>
    <x v="1"/>
    <s v="ΔΙΕΥΘΥΝΣΗ Π.Ε. Δ΄ ΑΘΗΝΑΣ"/>
    <x v="5"/>
  </r>
  <r>
    <x v="3422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2-03-17T00:00:00"/>
    <x v="1"/>
    <s v="ΔΙΕΥΘΥΝΣΗ Π.Ε. Δ΄ ΑΘΗΝΑΣ"/>
    <x v="5"/>
  </r>
  <r>
    <x v="3423"/>
    <x v="1"/>
    <s v="ΠΕ60"/>
    <s v="ΝΗΠΙΑΓΩΓΟΙ"/>
    <m/>
    <m/>
    <s v="Γ΄"/>
    <n v="1"/>
    <s v="2418/20.10.87"/>
    <d v="2018-09-01T00:00:00"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2-02-07T00:00:00"/>
    <x v="1"/>
    <s v="ΔΙΕΥΘΥΝΣΗ Π.Ε. Β΄ ΑΘΗΝΑΣ"/>
    <x v="5"/>
  </r>
  <r>
    <x v="3424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2-01-06T00:00:00"/>
    <x v="1"/>
    <s v="ΔΙΕΥΘΥΝΣΗ Π.Ε. ΗΡΑΚΛΕΙΟΥ"/>
    <x v="5"/>
  </r>
  <r>
    <x v="3425"/>
    <x v="0"/>
    <s v="ΠΕ05"/>
    <s v="ΓΑΛΛΙΚΗΣ ΦΙΛΟΛΟΓΙΑΣ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1-12-28T00:00:00"/>
    <x v="0"/>
    <s v="ΔΙΕΥΘΥΝΣΗ Δ.Ε. Δ΄ ΑΘΗΝΑΣ"/>
    <x v="5"/>
  </r>
  <r>
    <x v="3426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1-10-25T00:00:00"/>
    <x v="1"/>
    <s v="ΔΙΕΥΘΥΝΣΗ Π.Ε. Β΄ ΑΘΗΝΑΣ"/>
    <x v="5"/>
  </r>
  <r>
    <x v="3427"/>
    <x v="0"/>
    <s v="ΠΕ84"/>
    <s v="ΗΛΕΚΤΡΟ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1-10-11T00:00:00"/>
    <x v="0"/>
    <s v="ΔΙΕΥΘΥΝΣΗ Δ.Ε. Δ΄ ΑΘΗΝΑΣ"/>
    <x v="5"/>
  </r>
  <r>
    <x v="3428"/>
    <x v="1"/>
    <s v="ΠΕ70"/>
    <s v="ΔΑΣΚΑΛΟΙ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1-10-09T00:00:00"/>
    <x v="1"/>
    <s v="ΔΙΕΥΘΥΝΣΗ Π.Ε. Β΄ ΑΘΗΝΑΣ"/>
    <x v="5"/>
  </r>
  <r>
    <x v="3429"/>
    <x v="0"/>
    <s v="ΠΕ70"/>
    <s v="ΔΑΣΚΑΛΟΙ"/>
    <m/>
    <m/>
    <s v="Α΄"/>
    <n v="14"/>
    <s v="Φ.60.2/8023/20-10-2003"/>
    <d v="2003-09-01T00:00:00"/>
    <s v="Α΄ ΑΝΑΤ. ΑΤΤΙΚΗΣ (Π.Ε.) 2018"/>
    <s v="ΔΙΕΥΘΥΝΣΗ Π.Ε. ΑΝΑΤΟΛΙΚΗΣ ΑΤΤΙΚΗΣ"/>
    <s v="ΠΕΡΙΦΕΡΕΙΑΚΗ Δ/ΝΣΗ Α/ΘΜΙΑΣ ΚΑΙ Β/ΘΜΙΑΣ ΕΚΠ/ΣΗΣ ΑΤΤΙΚΗΣ"/>
    <n v="21"/>
    <d v="2003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1-06-07T00:00:00"/>
    <x v="1"/>
    <s v="ΔΙΕΥΘΥΝΣΗ Π.Ε. ΑΝΑΤΟΛΙΚΗΣ ΑΤΤΙΚΗΣ"/>
    <x v="5"/>
  </r>
  <r>
    <x v="3430"/>
    <x v="0"/>
    <s v="ΠΕ03"/>
    <s v="ΜΑΘΗΜΑΤΙΚΟΙ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1-04-22T00:00:00"/>
    <x v="0"/>
    <s v="ΔΙΕΥΘΥΝΣΗ Δ.Ε. ΔΩΔΕΚΑΝΗΣΟΥ"/>
    <x v="5"/>
  </r>
  <r>
    <x v="3431"/>
    <x v="1"/>
    <s v="ΕΜ16.00"/>
    <s v="ΜΟΥΣΙΚΗΣ - ΕΜΠΕΙΡΟΤΕΧΝΕΣ"/>
    <m/>
    <m/>
    <s v="Γ΄"/>
    <n v="14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1-03-06T00:00:00"/>
    <x v="1"/>
    <s v="ΔΙΕΥΘΥΝΣΗ Π.Ε. Β΄ ΑΘΗΝΑΣ"/>
    <x v="5"/>
  </r>
  <r>
    <x v="3432"/>
    <x v="1"/>
    <s v="ΠΕ70"/>
    <s v="ΔΑΣΚΑΛΟΙ"/>
    <m/>
    <m/>
    <s v="Α΄"/>
    <n v="17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85-02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1-02-03T00:00:00"/>
    <x v="1"/>
    <s v="ΔΙΕΥΘΥΝΣΗ Π.Ε. ΑΝΑΤΟΛΙΚΗΣ ΑΤΤΙΚΗΣ"/>
    <x v="5"/>
  </r>
  <r>
    <x v="3433"/>
    <x v="1"/>
    <s v="ΠΕ06"/>
    <s v="ΑΓΓΛΙΚΗΣ ΦΙΛΟΛΟΓΙΑΣ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1-02-01T00:00:00"/>
    <x v="1"/>
    <s v="ΔΙΕΥΘΥΝΣΗ Π.Ε. Β΄ ΑΘΗΝΑΣ"/>
    <x v="5"/>
  </r>
  <r>
    <x v="3434"/>
    <x v="1"/>
    <s v="ΠΕ70"/>
    <s v="ΔΑΣΚΑΛΟΙ"/>
    <s v="ΠΕ04.01"/>
    <s v="ΦΥΣΙΚΟΙ"/>
    <s v="Α΄"/>
    <n v="17"/>
    <n v="213"/>
    <d v="1990-12-31T00:00:00"/>
    <s v="Β΄ ΑΝΑΤ. ΑΤΤΙΚΗΣ (Π.Ε.) 2018"/>
    <s v="ΔΙΕΥΘΥΝΣΗ Π.Ε. ΑΝΑΤΟΛΙΚΗΣ ΑΤΤΙΚΗΣ"/>
    <s v="ΠΕΡΙΦΕΡΕΙΑΚΗ Δ/ΝΣΗ Α/ΘΜΙΑΣ ΚΑΙ Β/ΘΜΙΑΣ ΕΚΠ/ΣΗΣ ΑΤΤΙΚΗΣ"/>
    <n v="21"/>
    <d v="1990-12-3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1-01-01T00:00:00"/>
    <x v="1"/>
    <s v="ΔΙΕΥΘΥΝΣΗ Π.Ε. ΑΝΑΤΟΛΙΚΗΣ ΑΤΤΙΚΗΣ"/>
    <x v="5"/>
  </r>
  <r>
    <x v="3435"/>
    <x v="1"/>
    <s v="ΠΕ79.01"/>
    <s v="ΜΟΥΣΙΚΗΣ ΕΠΙΣΤΗΜΗΣ"/>
    <m/>
    <m/>
    <s v="Α΄"/>
    <n v="1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2002-07-17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0-11-27T00:00:00"/>
    <x v="1"/>
    <s v="ΔΙΕΥΘΥΝΣΗ Π.Ε. ΑΝΑΤΟΛΙΚΗΣ ΑΤΤΙΚΗΣ"/>
    <x v="5"/>
  </r>
  <r>
    <x v="3436"/>
    <x v="0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0-11-19T00:00:00"/>
    <x v="1"/>
    <s v="ΔΙΕΥΘΥΝΣΗ Π.Ε. ΑΝΑΤΟΛΙΚΗΣ ΑΤΤΙΚΗΣ"/>
    <x v="5"/>
  </r>
  <r>
    <x v="3437"/>
    <x v="0"/>
    <s v="ΠΕ70"/>
    <s v="ΔΑΣΚΑΛΟΙ"/>
    <m/>
    <m/>
    <s v="Α΄"/>
    <n v="17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0-09-05T00:00:00"/>
    <x v="1"/>
    <s v="ΔΙΕΥΘΥΝΣΗ Π.Ε. Δ΄ ΑΘΗΝΑΣ"/>
    <x v="5"/>
  </r>
  <r>
    <x v="3438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0-08-22T00:00:00"/>
    <x v="1"/>
    <s v="ΔΙΕΥΘΥΝΣΗ Π.Ε. ΗΡΑΚΛΕΙΟΥ"/>
    <x v="5"/>
  </r>
  <r>
    <x v="3439"/>
    <x v="0"/>
    <s v="ΠΕ11"/>
    <s v="ΦΥΣΙΚΗΣ ΑΓΩΓ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0-08-12T00:00:00"/>
    <x v="1"/>
    <s v="ΔΙΕΥΘΥΝΣΗ Π.Ε. Δ΄ ΑΘΗΝΑΣ"/>
    <x v="5"/>
  </r>
  <r>
    <x v="3440"/>
    <x v="1"/>
    <s v="ΠΕ70"/>
    <s v="ΔΑΣΚΑΛΟΙ"/>
    <m/>
    <m/>
    <s v="Γ΄"/>
    <n v="1"/>
    <s v="54/7-10-1986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0-06-11T00:00:00"/>
    <x v="1"/>
    <s v="ΔΙΕΥΘΥΝΣΗ Π.Ε. Β΄ ΑΘΗΝΑΣ"/>
    <x v="5"/>
  </r>
  <r>
    <x v="3441"/>
    <x v="0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0-05-22T00:00:00"/>
    <x v="0"/>
    <s v="ΔΙΕΥΘΥΝΣΗ Δ.Ε. Β΄ ΑΘΗΝΑΣ"/>
    <x v="5"/>
  </r>
  <r>
    <x v="3442"/>
    <x v="1"/>
    <s v="ΠΕ70"/>
    <s v="ΔΑΣΚΑΛΟΙ"/>
    <m/>
    <m/>
    <s v="Γ΄"/>
    <n v="18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0-05-12T00:00:00"/>
    <x v="1"/>
    <s v="ΔΙΕΥΘΥΝΣΗ Π.Ε. Β΄ ΑΘΗΝΑΣ"/>
    <x v="5"/>
  </r>
  <r>
    <x v="3443"/>
    <x v="1"/>
    <s v="ΠΕ70"/>
    <s v="ΔΑΣΚΑΛΟΙ"/>
    <m/>
    <m/>
    <s v="Α΄"/>
    <n v="19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d v="1984-02-10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0-03-29T00:00:00"/>
    <x v="1"/>
    <s v="ΔΙΕΥΘΥΝΣΗ Π.Ε. ΑΝΑΤΟΛΙΚΗΣ ΑΤΤΙΚΗΣ"/>
    <x v="5"/>
  </r>
  <r>
    <x v="3444"/>
    <x v="1"/>
    <s v="ΠΕ08"/>
    <s v="ΚΑΛΛΙΤΕΧΝΙΚΩΝ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0-03-11T00:00:00"/>
    <x v="0"/>
    <s v="ΔΙΕΥΘΥΝΣΗ Δ.Ε. ΑΝΑΤ. ΘΕΣ/ΝΙΚΗΣ"/>
    <x v="5"/>
  </r>
  <r>
    <x v="3445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0-02-27T00:00:00"/>
    <x v="1"/>
    <s v="ΔΙΕΥΘΥΝΣΗ Π.Ε. Β΄ ΑΘΗΝΑΣ"/>
    <x v="5"/>
  </r>
  <r>
    <x v="3446"/>
    <x v="0"/>
    <s v="ΠΕ70"/>
    <s v="ΔΑΣΚΑΛΟΙ"/>
    <m/>
    <m/>
    <s v="Α΄"/>
    <n v="12"/>
    <m/>
    <m/>
    <s v="Δ΄ ΑΘΗΝΑΣ (Π.Ε.) 2018"/>
    <s v="ΔΙΕΥΘΥΝΣΗ Π.Ε. Δ΄ ΑΘΗΝΑΣ"/>
    <s v="ΠΕΡΙΦΕΡΕΙΑΚΗ Δ/ΝΣΗ Α/ΘΜΙΑΣ ΚΑΙ Β/ΘΜΙΑΣ ΕΚΠ/ΣΗΣ ΑΤΤΙΚΗΣ"/>
    <n v="21"/>
    <m/>
    <s v="Ιδιωτικά Σχολεία"/>
    <x v="4"/>
    <s v="7054004"/>
    <s v="ΙΔΙΩΤΙΚΟ ΔΗΜΟΤΙΚΟ - ΠΑΣΧΑΛΗΣ ΑΝΤΩΝΗΣ ΙΔΙΩΤΙΚΑ ΕΚΠΑΙΔΕΥΤΗΡΙΑ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0-02-26T00:00:00"/>
    <x v="1"/>
    <s v="ΔΙΕΥΘΥΝΣΗ Π.Ε. Δ΄ ΑΘΗΝΑΣ"/>
    <x v="5"/>
  </r>
  <r>
    <x v="3447"/>
    <x v="1"/>
    <s v="ΠΕ70"/>
    <s v="ΔΑΣΚΑΛΟΙ"/>
    <m/>
    <m/>
    <s v="Γ΄"/>
    <n v="1"/>
    <s v="1289/18-10-80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0-02-18T00:00:00"/>
    <x v="1"/>
    <s v="ΔΙΕΥΘΥΝΣΗ Π.Ε. Β΄ ΑΘΗΝΑΣ"/>
    <x v="5"/>
  </r>
  <r>
    <x v="3448"/>
    <x v="1"/>
    <s v="ΠΕ06"/>
    <s v="ΑΓΓΛΙΚΗΣ ΦΙΛΟΛΟΓΙΑΣ"/>
    <m/>
    <m/>
    <s v="Γ΄"/>
    <n v="15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0-01-01T00:00:00"/>
    <x v="1"/>
    <s v="ΔΙΕΥΘΥΝΣΗ Π.Ε. Β΄ ΑΘΗΝΑΣ"/>
    <x v="5"/>
  </r>
  <r>
    <x v="3449"/>
    <x v="1"/>
    <s v="ΠΕ79.01"/>
    <s v="ΜΟΥΣΙΚΗΣ ΕΠΙΣΤΗΜΗ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1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0-01-01T00:00:00"/>
    <x v="1"/>
    <s v="ΔΙΕΥΘΥΝΣΗ Π.Ε. ΧΑΝΙΩΝ"/>
    <x v="5"/>
  </r>
  <r>
    <x v="3450"/>
    <x v="0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9-12-31T00:00:00"/>
    <x v="0"/>
    <s v="ΔΙΕΥΘΥΝΣΗ Δ.Ε. Β΄ ΑΘΗΝΑΣ"/>
    <x v="5"/>
  </r>
  <r>
    <x v="3451"/>
    <x v="1"/>
    <s v="ΠΕ79.01"/>
    <s v="ΜΟΥΣΙΚΗΣ ΕΠΙΣΤΗΜΗΣ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59-12-27T00:00:00"/>
    <x v="1"/>
    <s v="ΔΙΕΥΘΥΝΣΗ Π.Ε. Β΄ ΑΘΗΝΑΣ"/>
    <x v="5"/>
  </r>
  <r>
    <x v="3452"/>
    <x v="1"/>
    <s v="ΠΕ70"/>
    <s v="ΔΑΣΚΑΛΟΙ"/>
    <m/>
    <m/>
    <s v="Γ΄"/>
    <n v="1"/>
    <s v="1899/02-10-84"/>
    <d v="2018-09-01T00:00:00"/>
    <s v="Β΄ ΑΘΗΝΑΣ (Π.Ε.) 2018"/>
    <s v="ΔΙΕΥΘΥΝΣΗ Π.Ε. Β΄ ΑΘΗΝΑΣ"/>
    <s v="ΠΕΡΙΦΕΡΕΙΑΚΗ Δ/ΝΣΗ Α/ΘΜΙΑΣ ΚΑΙ Β/ΘΜΙΑΣ ΕΚΠ/ΣΗΣ ΑΤΤΙΚΗΣ"/>
    <n v="21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59-08-31T00:00:00"/>
    <x v="1"/>
    <s v="ΔΙΕΥΘΥΝΣΗ Π.Ε. Β΄ ΑΘΗΝΑΣ"/>
    <x v="5"/>
  </r>
  <r>
    <x v="3453"/>
    <x v="1"/>
    <s v="ΠΕ70"/>
    <s v="ΔΑΣΚΑΛΟΙ"/>
    <m/>
    <m/>
    <s v="Γ΄"/>
    <n v="1"/>
    <s v="2483/17-10-1996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9-08-19T00:00:00"/>
    <x v="1"/>
    <s v="ΔΙΕΥΘΥΝΣΗ Π.Ε. Δ΄ ΑΘΗΝΑΣ"/>
    <x v="5"/>
  </r>
  <r>
    <x v="3454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59-03-17T00:00:00"/>
    <x v="1"/>
    <s v="ΔΙΕΥΘΥΝΣΗ Π.Ε. ΗΡΑΚΛΕΙΟΥ"/>
    <x v="5"/>
  </r>
  <r>
    <x v="3455"/>
    <x v="1"/>
    <s v="ΠΕ07"/>
    <s v="ΓΕΡΜΑΝΙΚΗΣ ΦΙΛΟΛΟΓΙΑΣ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1"/>
    <m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59-02-02T00:00:00"/>
    <x v="0"/>
    <s v="ΔΙΕΥΘΥΝΣΗ Δ.Ε. ΔΩΔΕΚΑΝΗΣΟΥ"/>
    <x v="5"/>
  </r>
  <r>
    <x v="3456"/>
    <x v="0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1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58-05-28T00:00:00"/>
    <x v="1"/>
    <s v="ΔΙΕΥΘΥΝΣΗ Π.Ε. ΑΝΑΤ. ΘΕΣ/ΝΙΚΗΣ"/>
    <x v="5"/>
  </r>
  <r>
    <x v="3457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8-04-07T00:00:00"/>
    <x v="0"/>
    <s v="ΔΙΕΥΘΥΝΣΗ Δ.Ε. ΑΝΑΤΟΛΙΚΗΣ ΑΤΤΙΚΗΣ"/>
    <x v="5"/>
  </r>
  <r>
    <x v="3458"/>
    <x v="0"/>
    <s v="ΠΕ03"/>
    <s v="ΜΑΘΗΜΑΤΙΚ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58-03-20T00:00:00"/>
    <x v="0"/>
    <s v="ΔΙΕΥΘΥΝΣΗ Δ.Ε. ΔΥΤ. ΘΕΣ/ΝΙΚΗΣ"/>
    <x v="5"/>
  </r>
  <r>
    <x v="3459"/>
    <x v="1"/>
    <s v="ΠΕ70"/>
    <s v="ΔΑΣΚΑΛΟΙ"/>
    <m/>
    <m/>
    <s v="Γ΄"/>
    <n v="19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57-06-03T00:00:00"/>
    <x v="1"/>
    <s v="ΔΙΕΥΘΥΝΣΗ Π.Ε. Β΄ ΑΘΗΝΑΣ"/>
    <x v="5"/>
  </r>
  <r>
    <x v="3460"/>
    <x v="0"/>
    <s v="ΠΕ04.02"/>
    <s v="ΧΗΜΙΚΟΙ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1"/>
    <m/>
    <s v="Ιδιωτικά Σχολεία"/>
    <x v="3"/>
    <s v="0561019"/>
    <s v="ΙΔΙΩΤΙΚΟ ΛΥΚΕΙΟ ΝΕΑ ΕΚΠΑΙΔΕΥΤΗΡΙΑ Γ. 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7-01-01T00:00:00"/>
    <x v="0"/>
    <s v="ΔΙΕΥΘΥΝΣΗ Δ.Ε. Δ΄ ΑΘΗΝΑΣ"/>
    <x v="5"/>
  </r>
  <r>
    <x v="3461"/>
    <x v="0"/>
    <s v="ΠΕ03"/>
    <s v="ΜΑΘΗΜΑΤ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1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56-11-15T00:00:00"/>
    <x v="0"/>
    <s v="ΔΙΕΥΘΥΝΣΗ Δ.Ε. ΙΩΑΝΝΙΝΩΝ"/>
    <x v="5"/>
  </r>
  <r>
    <x v="3462"/>
    <x v="1"/>
    <s v="ΠΕ70"/>
    <s v="ΔΑΣΚΑΛ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1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56-08-18T00:00:00"/>
    <x v="1"/>
    <s v="ΔΙΕΥΘΥΝΣΗ Π.Ε. ΗΡΑΚΛΕΙΟΥ"/>
    <x v="5"/>
  </r>
  <r>
    <x v="3463"/>
    <x v="1"/>
    <s v="ΠΕ70"/>
    <s v="ΔΑΣΚΑΛΟΙ"/>
    <m/>
    <m/>
    <s v="Α΄"/>
    <n v="12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04"/>
    <s v="ΙΔΙΩΤΙΚΟ ΔΗΜΟΤΙΚΟ - ΠΑΣΧΑΛΗΣ ΑΝΤΩΝΗΣ ΙΔΙΩΤΙΚΑ ΕΚΠΑΙΔΕΥΤΗΡΙΑ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6-07-22T00:00:00"/>
    <x v="1"/>
    <s v="ΔΙΕΥΘΥΝΣΗ Π.Ε. Δ΄ ΑΘΗΝΑΣ"/>
    <x v="5"/>
  </r>
  <r>
    <x v="3464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6-04-21T00:00:00"/>
    <x v="0"/>
    <s v="ΔΙΕΥΘΥΝΣΗ Δ.Ε. Β΄ ΑΘΗΝΑΣ"/>
    <x v="5"/>
  </r>
  <r>
    <x v="3465"/>
    <x v="1"/>
    <s v="ΠΕ06"/>
    <s v="ΑΓΓΛΙΚΗΣ ΦΙΛΟΛΟΓΙΑΣ"/>
    <m/>
    <m/>
    <s v="Γ΄"/>
    <n v="17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55-02-11T00:00:00"/>
    <x v="1"/>
    <s v="ΔΙΕΥΘΥΝΣΗ Π.Ε. Β΄ ΑΘΗΝΑΣ"/>
    <x v="5"/>
  </r>
  <r>
    <x v="3466"/>
    <x v="1"/>
    <s v="ΠΕ70"/>
    <s v="ΔΑΣΚΑΛΟΙ"/>
    <m/>
    <m/>
    <s v="Γ΄"/>
    <n v="1"/>
    <n v="117602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4-01-01T00:00:00"/>
    <x v="1"/>
    <s v="ΔΙΕΥΘΥΝΣΗ Π.Ε. Δ΄ ΑΘΗΝΑΣ"/>
    <x v="5"/>
  </r>
  <r>
    <x v="3467"/>
    <x v="0"/>
    <s v="ΠΕ70"/>
    <s v="ΔΑΣΚΑΛΟΙ"/>
    <m/>
    <m/>
    <s v="Α΄"/>
    <n v="19"/>
    <m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3-01-26T00:00:00"/>
    <x v="1"/>
    <s v="ΔΙΕΥΘΥΝΣΗ Π.Ε. Δ΄ ΑΘΗΝΑΣ"/>
    <x v="5"/>
  </r>
  <r>
    <x v="3468"/>
    <x v="0"/>
    <s v="ΠΕ70"/>
    <s v="ΔΑΣΚΑΛΟΙ"/>
    <m/>
    <m/>
    <s v="Γ΄"/>
    <n v="1"/>
    <n v="136806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3-01-01T00:00:00"/>
    <x v="1"/>
    <s v="ΔΙΕΥΘΥΝΣΗ Π.Ε. Δ΄ ΑΘΗΝΑΣ"/>
    <x v="5"/>
  </r>
  <r>
    <x v="3469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52-12-25T00:00:00"/>
    <x v="1"/>
    <s v="ΔΙΕΥΘΥΝΣΗ Π.Ε. Α΄ ΑΘΗΝΑΣ"/>
    <x v="5"/>
  </r>
  <r>
    <x v="3470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2-06-05T00:00:00"/>
    <x v="0"/>
    <s v="ΔΙΕΥΘΥΝΣΗ Δ.Ε. Β΄ ΑΘΗΝΑΣ"/>
    <x v="5"/>
  </r>
  <r>
    <x v="3471"/>
    <x v="1"/>
    <s v="ΠΕ70"/>
    <s v="ΔΑΣΚΑΛΟΙ"/>
    <m/>
    <m/>
    <s v="Γ΄"/>
    <n v="1"/>
    <n v="117773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0-08-25T00:00:00"/>
    <x v="1"/>
    <s v="ΔΙΕΥΘΥΝΣΗ Π.Ε. Δ΄ ΑΘΗΝΑΣ"/>
    <x v="5"/>
  </r>
  <r>
    <x v="3472"/>
    <x v="0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1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49-09-28T00:00:00"/>
    <x v="0"/>
    <s v="ΔΙΕΥΘΥΝΣΗ Δ.Ε. ΑΝΑΤ. ΘΕΣ/ΝΙΚΗΣ"/>
    <x v="5"/>
  </r>
  <r>
    <x v="3473"/>
    <x v="0"/>
    <s v="ΠΕ04.01"/>
    <s v="ΦΥΣ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5"/>
  </r>
  <r>
    <x v="3474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1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Α΄ ΑΘΗΝΑΣ"/>
    <x v="5"/>
  </r>
  <r>
    <x v="3475"/>
    <x v="1"/>
    <s v="ΠΕ78"/>
    <s v="ΚΟΙΝΩΝΙΚΩΝ ΕΠΙΣΤΗΜ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76"/>
    <x v="1"/>
    <s v="ΠΕ03"/>
    <s v="ΜΑΘΗΜΑΤΙΚΟΙ"/>
    <m/>
    <m/>
    <s v="Γ΄"/>
    <n v="1"/>
    <n v="19616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1"/>
    <d v="2018-11-08T00:00:00"/>
    <s v="Ιδιωτικά Σχολεία"/>
    <x v="3"/>
    <s v="0561031"/>
    <s v="ST. LAWRENCE COLLEGE (ΛΥΚΕ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77"/>
    <x v="1"/>
    <s v="ΠΕ02"/>
    <s v="ΦΙΛΟΛΟΓ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78"/>
    <x v="0"/>
    <s v="ΠΕ03"/>
    <s v="ΜΑΘΗΜΑΤΙΚΟΙ"/>
    <m/>
    <m/>
    <s v="Γ΄"/>
    <n v="1"/>
    <n v="23138"/>
    <d v="2018-12-17T00:00:00"/>
    <s v="Α΄ ΑΝΑΤ. ΑΤΤΙΚΗΣ (Δ.Ε.) 2018"/>
    <s v="ΔΙΕΥΘΥΝΣΗ Δ.Ε. ΑΝΑΤΟΛΙΚΗΣ ΑΤΤΙΚΗΣ"/>
    <s v="ΠΕΡΙΦΕΡΕΙΑΚΗ Δ/ΝΣΗ Α/ΘΜΙΑΣ ΚΑΙ Β/ΘΜΙΑΣ ΕΚΠ/ΣΗΣ ΑΤΤΙΚΗΣ"/>
    <n v="21"/>
    <d v="2018-12-17T00:00:00"/>
    <m/>
    <x v="6"/>
    <s v=""/>
    <m/>
    <m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79"/>
    <x v="1"/>
    <s v="ΠΕ78"/>
    <s v="ΚΟΙΝΩΝΙΚΩΝ ΕΠΙΣΤΗΜΩΝ"/>
    <m/>
    <m/>
    <s v="Γ΄"/>
    <n v="1"/>
    <n v="19618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1"/>
    <d v="2018-11-08T00:00:00"/>
    <s v="Ιδιωτικά Σχολεία"/>
    <x v="3"/>
    <s v="0561031"/>
    <s v="ST. LAWRENCE COLLEGE (ΛΥΚΕ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0"/>
    <x v="0"/>
    <s v="ΠΕ07"/>
    <s v="ΓΕΡΜΑΝ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1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2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3"/>
    <x v="1"/>
    <s v="ΠΕ05"/>
    <s v="ΓΑΛ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4"/>
    <x v="0"/>
    <s v="ΠΕ79.01"/>
    <s v="ΜΟΥΣΙΚΗΣ ΕΠΙΣΤΗΜ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5"/>
    <x v="1"/>
    <s v="ΠΕ04.02"/>
    <s v="ΧΗΜ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1"/>
    <m/>
    <s v="Ιδιωτικά Σχολεία"/>
    <x v="2"/>
    <s v="0505050"/>
    <s v="Α΄ΑΡΣΑΚΕΙΟ-ΤΟΣΙΤΣΕΙΟ ΓΥΜΝΑΣΙΟ ΕΚΑΛΗΣ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486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87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88"/>
    <x v="0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89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3490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91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92"/>
    <x v="0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93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94"/>
    <x v="1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1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495"/>
    <x v="1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1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3496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5"/>
  </r>
  <r>
    <x v="3497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1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5"/>
  </r>
  <r>
    <x v="3498"/>
    <x v="0"/>
    <s v="ΠΕ04.01"/>
    <s v="ΦΥΣΙΚΟΙ"/>
    <m/>
    <m/>
    <s v="Γ΄"/>
    <n v="1"/>
    <n v="19694"/>
    <d v="2018-11-01T00:00:00"/>
    <s v="Δ΄ ΑΘΗΝΑΣ (Δ.Ε.) 2018"/>
    <s v="ΔΙΕΥΘΥΝΣΗ Δ.Ε. Δ΄ ΑΘΗΝΑΣ"/>
    <s v="ΠΕΡΙΦΕΡΕΙΑΚΗ Δ/ΝΣΗ Α/ΘΜΙΑΣ ΚΑΙ Β/ΘΜΙΑΣ ΕΚΠ/ΣΗΣ ΑΤΤΙΚΗΣ"/>
    <n v="21"/>
    <d v="2018-11-01T00:00:00"/>
    <s v="Ιδιωτικά Σχολεία"/>
    <x v="5"/>
    <s v="0580655"/>
    <s v="ΙΔΙΩΤΙΚΟ ΕΣΠΕΡΙΝΟ ΓΕΝΙΚΟ ΛΥΚΕΙΟ Β. ΚΟΡΟΠΟΥΛΗ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m/>
    <x v="0"/>
    <s v="ΔΙΕΥΘΥΝΣΗ Δ.Ε. Δ΄ ΑΘΗΝΑΣ"/>
    <x v="5"/>
  </r>
  <r>
    <x v="3499"/>
    <x v="0"/>
    <s v="ΠΕ02"/>
    <s v="ΦΙΛΟΛΟΓΟΙ"/>
    <m/>
    <m/>
    <s v="Γ΄"/>
    <n v="1"/>
    <n v="15011"/>
    <d v="2018-09-03T00:00:00"/>
    <s v="Δ΄ ΑΘΗΝΑΣ (Δ.Ε.) 2018"/>
    <s v="ΔΙΕΥΘΥΝΣΗ Δ.Ε. Δ΄ ΑΘΗΝΑΣ"/>
    <s v="ΠΕΡΙΦΕΡΕΙΑΚΗ Δ/ΝΣΗ Α/ΘΜΙΑΣ ΚΑΙ Β/ΘΜΙΑΣ ΕΚΠ/ΣΗΣ ΑΤΤΙΚΗΣ"/>
    <n v="21"/>
    <d v="2018-09-03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5"/>
  </r>
  <r>
    <x v="3500"/>
    <x v="0"/>
    <s v="ΠΕ01"/>
    <s v="ΘΕΟΛΟΓΟΙ"/>
    <m/>
    <m/>
    <s v="Γ΄"/>
    <n v="1"/>
    <n v="16388"/>
    <d v="2018-09-19T00:00:00"/>
    <s v="Δ΄ ΑΘΗΝΑΣ (Δ.Ε.) 2018"/>
    <s v="ΔΙΕΥΘΥΝΣΗ Δ.Ε. Δ΄ ΑΘΗΝΑΣ"/>
    <s v="ΠΕΡΙΦΕΡΕΙΑΚΗ Δ/ΝΣΗ Α/ΘΜΙΑΣ ΚΑΙ Β/ΘΜΙΑΣ ΕΚΠ/ΣΗΣ ΑΤΤΙΚΗΣ"/>
    <n v="21"/>
    <d v="2018-09-19T00:00:00"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5"/>
  </r>
  <r>
    <x v="3501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m/>
    <x v="1"/>
    <s v="ΔΙΕΥΘΥΝΣΗ Π.Ε. Α΄ ΑΘΗΝΑΣ"/>
    <x v="5"/>
  </r>
  <r>
    <x v="3502"/>
    <x v="1"/>
    <s v="ΠΕ11"/>
    <s v="ΦΥΣΙΚΗΣ ΑΓΩΓ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1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m/>
    <x v="1"/>
    <s v="ΔΙΕΥΘΥΝΣΗ Π.Ε. Α΄ ΑΘΗΝΑΣ"/>
    <x v="5"/>
  </r>
  <r>
    <x v="3503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04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05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06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07"/>
    <x v="1"/>
    <s v="ΠΕ79.01"/>
    <s v="ΜΟΥΣΙΚΗΣ ΕΠΙΣΤΗΜ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08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09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10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11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12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13"/>
    <x v="1"/>
    <s v="ΠΕ79.01"/>
    <s v="ΜΟΥΣΙΚΗΣ ΕΠΙΣΤΗΜ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14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15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16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17"/>
    <x v="1"/>
    <s v="ΠΕ06"/>
    <s v="ΑΓΓΛΙΚΗΣ ΦΙΛΟΛΟΓΙΑΣ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18"/>
    <x v="0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19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20"/>
    <x v="1"/>
    <s v="ΠΕ06"/>
    <s v="ΑΓΓΛΙΚΗΣ ΦΙΛΟΛΟΓΙΑΣ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21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22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23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24"/>
    <x v="1"/>
    <s v="ΠΕ08"/>
    <s v="ΚΑΛΛΙΤΕΧΝΙΚΩΝ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25"/>
    <x v="1"/>
    <s v="ΠΕ06"/>
    <s v="ΑΓΓΛΙΚΗΣ ΦΙΛΟΛΟΓΙΑΣ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526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1"/>
    <m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527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3528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1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3529"/>
    <x v="0"/>
    <s v="ΠΕ70"/>
    <s v="ΔΑΣΚΑΛΟΙ"/>
    <m/>
    <m/>
    <s v="Γ΄"/>
    <n v="1"/>
    <s v="144689/25-09-1990"/>
    <d v="2018-09-01T00:00:00"/>
    <s v="Δ΄ ΑΘΗΝΑΣ (Π.Ε.) 2018"/>
    <s v="ΔΙΕΥΘΥΝΣΗ Π.Ε. Δ΄ ΑΘΗΝΑΣ"/>
    <s v="ΠΕΡΙΦΕΡΕΙΑΚΗ Δ/ΝΣΗ Α/ΘΜΙΑΣ ΚΑΙ Β/ΘΜΙΑΣ ΕΚΠ/ΣΗΣ ΑΤΤΙΚΗΣ"/>
    <n v="21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5"/>
  </r>
  <r>
    <x v="3530"/>
    <x v="0"/>
    <s v="ΠΕ04.04"/>
    <s v="ΒΙΟΛΟΓΟΙ"/>
    <m/>
    <m/>
    <s v="Γ΄"/>
    <n v="1"/>
    <n v="6983"/>
    <d v="2018-09-01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1"/>
    <d v="2018-09-01T00:00:00"/>
    <s v="Ιδιωτικά Σχολεία"/>
    <x v="3"/>
    <s v="1990915"/>
    <s v="ΙΔΙΩΤΙΚΟ ΓΕΝΙΚΟ ΛΥΚΕΙΟ ΦΡΥΓΑΝΙΩΤΗ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ΔΥΤ. ΘΕΣ/ΝΙΚΗΣ"/>
    <x v="5"/>
  </r>
  <r>
    <x v="3531"/>
    <x v="1"/>
    <s v="ΠΕ60"/>
    <s v="ΝΗΠΙΑΓΩΓΟΙ"/>
    <m/>
    <m/>
    <s v="Γ΄"/>
    <n v="1"/>
    <n v="15590"/>
    <d v="2018-09-03T00:00:00"/>
    <s v="Α΄ ΠΕΙΡΑΙΑ (Π.Ε.) 2018"/>
    <s v="ΔΙΕΥΘΥΝΣΗ Π.Ε. ΠΕΙΡΑΙΑ"/>
    <s v="ΠΕΡΙΦΕΡΕΙΑΚΗ Δ/ΝΣΗ Α/ΘΜΙΑΣ ΚΑΙ Β/ΘΜΙΑΣ ΕΚΠ/ΣΗΣ ΑΤΤΙΚΗΣ"/>
    <n v="22"/>
    <d v="2018-09-03T00:00:00"/>
    <s v="Ιδιωτικά Σχολεία"/>
    <x v="1"/>
    <s v="7541095"/>
    <s v="ΙΔΙΩΤΙΚΟ ΣΥΣΤΕΓΑΖΟΜΕΝΟ ΝΗΠΙΑΓΩΓΕΙΟ - ΑΣΤΕΡΟΣΚΟΝΗ School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4-04-13T00:00:00"/>
    <x v="1"/>
    <s v="ΔΙΕΥΘΥΝΣΗ Π.Ε. ΠΕΙΡΑΙΑ"/>
    <x v="5"/>
  </r>
  <r>
    <x v="3532"/>
    <x v="1"/>
    <s v="ΠΕ06"/>
    <s v="ΑΓΓΛΙΚΗΣ ΦΙΛΟΛΟΓΙΑΣ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2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3-10-01T00:00:00"/>
    <x v="0"/>
    <s v="ΔΙΕΥΘΥΝΣΗ Δ.Ε. ΧΑΝΙΩΝ"/>
    <x v="5"/>
  </r>
  <r>
    <x v="3533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07-02T00:00:00"/>
    <x v="1"/>
    <s v="ΔΙΕΥΘΥΝΣΗ Π.Ε. ΑΝΑΤ. ΘΕΣ/ΝΙΚΗΣ"/>
    <x v="5"/>
  </r>
  <r>
    <x v="3534"/>
    <x v="1"/>
    <s v="ΠΕ06"/>
    <s v="ΑΓΓΛΙΚΗΣ ΦΙΛΟΛΟΓΙΑΣ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22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8-03-20T00:00:00"/>
    <x v="1"/>
    <s v="ΔΙΕΥΘΥΝΣΗ Π.Ε. ΙΩΑΝΝΙΝΩΝ"/>
    <x v="5"/>
  </r>
  <r>
    <x v="3535"/>
    <x v="1"/>
    <s v="ΠΕ70"/>
    <s v="ΔΑΣΚΑΛΟΙ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3536"/>
    <x v="1"/>
    <s v="ΠΕ06"/>
    <s v="ΑΓΓΛΙΚΗΣ ΦΙΛΟΛΟΓΙΑΣ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5-05-09T00:00:00"/>
    <x v="1"/>
    <s v="ΔΙΕΥΘΥΝΣΗ Π.Ε. ΑΝΑΤ. ΘΕΣ/ΝΙΚΗΣ"/>
    <x v="5"/>
  </r>
  <r>
    <x v="3537"/>
    <x v="1"/>
    <s v="ΠΕ06"/>
    <s v="ΑΓΓΛΙΚΗΣ ΦΙΛΟΛΟΓΙΑΣ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2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5-01-01T00:00:00"/>
    <x v="1"/>
    <s v="ΔΙΕΥΘΥΝΣΗ Π.Ε. ΑΡΓΟΛΙΔΑΣ"/>
    <x v="5"/>
  </r>
  <r>
    <x v="3538"/>
    <x v="1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4-12-29T00:00:00"/>
    <x v="0"/>
    <s v="ΔΙΕΥΘΥΝΣΗ Δ.Ε. Β΄ ΑΘΗΝΑΣ"/>
    <x v="5"/>
  </r>
  <r>
    <x v="3539"/>
    <x v="0"/>
    <s v="ΠΕ04.01"/>
    <s v="ΦΥΣΙΚΟΙ"/>
    <s v="ΠΕ79.01"/>
    <s v="ΜΟΥΣΙΚΗΣ ΕΠΙΣΤΗΜΗΣ"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4-11-14T00:00:00"/>
    <x v="0"/>
    <s v="ΔΙΕΥΘΥΝΣΗ Δ.Ε. Β΄ ΑΘΗΝΑΣ"/>
    <x v="5"/>
  </r>
  <r>
    <x v="3540"/>
    <x v="1"/>
    <s v="ΠΕ04.04"/>
    <s v="ΒΙΟΛΟΓΟΙ"/>
    <m/>
    <m/>
    <s v="Γ΄"/>
    <n v="1"/>
    <n v="21384"/>
    <d v="2018-10-01T00:00:00"/>
    <s v="Α΄ ΠΕΙΡΑΙΑ (Δ.Ε.) 2018"/>
    <s v="ΔΙΕΥΘΥΝΣΗ Δ.Ε. ΠΕΙΡΑΙΑ"/>
    <s v="ΠΕΡΙΦΕΡΕΙΑΚΗ Δ/ΝΣΗ Α/ΘΜΙΑΣ ΚΑΙ Β/ΘΜΙΑΣ ΕΚΠ/ΣΗΣ ΑΤΤΙΚΗΣ"/>
    <n v="22"/>
    <d v="2018-10-01T00:00:00"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84-01-01T00:00:00"/>
    <x v="0"/>
    <s v="ΔΙΕΥΘΥΝΣΗ Δ.Ε. ΠΕΙΡΑΙΑ"/>
    <x v="5"/>
  </r>
  <r>
    <x v="3541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9-21T00:00:00"/>
    <x v="0"/>
    <s v="ΔΙΕΥΘΥΝΣΗ Δ.Ε. Β΄ ΑΘΗΝΑΣ"/>
    <x v="5"/>
  </r>
  <r>
    <x v="3542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8-12T00:00:00"/>
    <x v="1"/>
    <s v="ΔΙΕΥΘΥΝΣΗ Π.Ε. Δ΄ ΑΘΗΝΑΣ"/>
    <x v="5"/>
  </r>
  <r>
    <x v="354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3-10T00:00:00"/>
    <x v="0"/>
    <s v="ΔΙΕΥΘΥΝΣΗ Δ.Ε. Β΄ ΑΘΗΝΑΣ"/>
    <x v="5"/>
  </r>
  <r>
    <x v="3544"/>
    <x v="1"/>
    <s v="ΠΕ70"/>
    <s v="ΔΑΣΚΑΛΟΙ"/>
    <m/>
    <m/>
    <s v="Γ΄"/>
    <n v="1"/>
    <d v="2018-09-06T00:00:00"/>
    <d v="2018-09-06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d v="2018-09-06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3-01-01T00:00:00"/>
    <x v="1"/>
    <s v="ΔΙΕΥΘΥΝΣΗ Π.Ε. ΑΝΑΤ. ΘΕΣ/ΝΙΚΗΣ"/>
    <x v="5"/>
  </r>
  <r>
    <x v="3545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2-08-20T00:00:00"/>
    <x v="0"/>
    <s v="ΔΙΕΥΘΥΝΣΗ Δ.Ε. ΑΝΑΤΟΛΙΚΗΣ ΑΤΤΙΚΗΣ"/>
    <x v="5"/>
  </r>
  <r>
    <x v="3546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2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2-07-14T00:00:00"/>
    <x v="1"/>
    <s v="ΔΙΕΥΘΥΝΣΗ Π.Ε. ΑΙΤΩΛΟΑΚΑΡΝΑΝΙΑΣ"/>
    <x v="5"/>
  </r>
  <r>
    <x v="3547"/>
    <x v="1"/>
    <s v="ΠΕ07"/>
    <s v="ΓΕΡΜΑΝΙΚΗΣ ΦΙΛΟΛΟΓΙΑΣ"/>
    <m/>
    <m/>
    <s v="Γ΄"/>
    <n v="1"/>
    <s v="ΨΔΧΟ4653ΠΣ-ΦΟΡ"/>
    <d v="2018-09-01T00:00:00"/>
    <s v="Β΄ ΑΘΗΝΑΣ (Δ.Ε.) 2018"/>
    <s v="ΔΙΕΥΘΥΝΣΗ Δ.Ε. Β΄ ΑΘΗΝΑΣ"/>
    <s v="ΠΕΡΙΦΕΡΕΙΑΚΗ Δ/ΝΣΗ Α/ΘΜΙΑΣ ΚΑΙ Β/ΘΜΙΑΣ ΕΚΠ/ΣΗΣ ΑΤΤΙΚΗΣ"/>
    <n v="22"/>
    <d v="2018-09-01T00:00:00"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05-03T00:00:00"/>
    <x v="0"/>
    <s v="ΔΙΕΥΘΥΝΣΗ Δ.Ε. Β΄ ΑΘΗΝΑΣ"/>
    <x v="5"/>
  </r>
  <r>
    <x v="3548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13"/>
    <s v="ΙΔΙΩΤΙΚΟ ΗΜΕΡΗΣΙΟ ΓΥΜΝΑΣΙΟ Ι. ΤΣΙΑΜΟΥΛΗ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2-03-22T00:00:00"/>
    <x v="0"/>
    <s v="ΔΙΕΥΘΥΝΣΗ Δ.Ε. Γ΄ ΑΘΗΝΑΣ"/>
    <x v="5"/>
  </r>
  <r>
    <x v="3549"/>
    <x v="0"/>
    <s v="ΠΕ11"/>
    <s v="ΦΥΣΙΚΗΣ ΑΓΩΓ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2-12T00:00:00"/>
    <x v="0"/>
    <s v="ΔΙΕΥΘΥΝΣΗ Δ.Ε. Β΄ ΑΘΗΝΑΣ"/>
    <x v="5"/>
  </r>
  <r>
    <x v="3550"/>
    <x v="1"/>
    <s v="ΠΕ02"/>
    <s v="ΦΙΛΟΛΟΓΟΙ"/>
    <m/>
    <m/>
    <s v="Γ΄"/>
    <n v="1"/>
    <s v="19726/24-10-2018"/>
    <d v="2018-09-04T00:00:00"/>
    <s v="ΛΑΡΙΣΑΣ (Δ.Ε.) 2018"/>
    <s v="ΔΙΕΥΘΥΝΣΗ Δ.Ε. ΛΑΡΙΣΑΣ"/>
    <s v="ΠΕΡΙΦΕΡΕΙΑΚΗ Δ/ΝΣΗ Α/ΘΜΙΑΣ ΚΑΙ Β/ΘΜΙΑΣ ΕΚΠ/ΣΗΣ ΘΕΣΣΑΛΙΑΣ"/>
    <n v="22"/>
    <d v="2018-09-04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2"/>
    <s v="Τοποθέτηση σε Ιδιωτική Εκπαίδευση"/>
    <d v="1982-01-19T00:00:00"/>
    <x v="0"/>
    <s v="ΔΙΕΥΘΥΝΣΗ Δ.Ε. ΛΑΡΙΣΑΣ"/>
    <x v="5"/>
  </r>
  <r>
    <x v="3551"/>
    <x v="0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2-01-16T00:00:00"/>
    <x v="0"/>
    <s v="ΔΙΕΥΘΥΝΣΗ Δ.Ε. ΑΝΑΤΟΛΙΚΗΣ ΑΤΤΙΚΗΣ"/>
    <x v="5"/>
  </r>
  <r>
    <x v="3552"/>
    <x v="1"/>
    <s v="ΠΕ70"/>
    <s v="ΔΑΣΚΑΛΟΙ"/>
    <m/>
    <m/>
    <s v="Α΄"/>
    <n v="7"/>
    <m/>
    <m/>
    <s v="Α΄ ΜΑΓΝΗΣΙΑΣ (Π.Ε.) 2018"/>
    <s v="ΔΙΕΥΘΥΝΣΗ Π.Ε. ΜΑΓΝΗΣΙΑΣ"/>
    <s v="ΠΕΡΙΦΕΡΕΙΑΚΗ Δ/ΝΣΗ Α/ΘΜΙΑΣ ΚΑΙ Β/ΘΜΙΑΣ ΕΚΠ/ΣΗΣ ΘΕΣΣΑΛΙΑΣ"/>
    <n v="22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1-12-20T00:00:00"/>
    <x v="1"/>
    <s v="ΔΙΕΥΘΥΝΣΗ Π.Ε. ΜΑΓΝΗΣΙΑΣ"/>
    <x v="5"/>
  </r>
  <r>
    <x v="3553"/>
    <x v="1"/>
    <s v="ΠΕ02"/>
    <s v="ΦΙΛΟΛΟΓΟΙ"/>
    <m/>
    <m/>
    <s v="Γ΄"/>
    <n v="1"/>
    <m/>
    <m/>
    <s v="ΠΙΕΡΙΑΣ (Δ.Ε.) 2018"/>
    <s v="ΔΙΕΥΘΥΝΣΗ Δ.Ε. ΠΙΕΡΙΑΣ"/>
    <s v="ΠΕΡΙΦΕΡΕΙΑΚΗ Δ/ΝΣΗ Α/ΘΜΙΑΣ ΚΑΙ Β/ΘΜΙΑΣ ΕΚΠ/ΣΗΣ ΚΕΝΤΡΙΚΗΣ ΜΑΚΕΔΟΝΙΑΣ"/>
    <n v="22"/>
    <m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1-09-24T00:00:00"/>
    <x v="0"/>
    <s v="ΔΙΕΥΘΥΝΣΗ Δ.Ε. ΠΙΕΡΙΑΣ"/>
    <x v="5"/>
  </r>
  <r>
    <x v="3554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1-09-02T00:00:00"/>
    <x v="0"/>
    <s v="ΔΙΕΥΘΥΝΣΗ Δ.Ε. Γ΄ ΑΘΗΝΑΣ"/>
    <x v="5"/>
  </r>
  <r>
    <x v="3555"/>
    <x v="1"/>
    <s v="ΠΕ06"/>
    <s v="ΑΓΓΛΙΚΗΣ ΦΙΛΟΛΟΓΙΑΣ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7-30T00:00:00"/>
    <x v="1"/>
    <s v="ΔΙΕΥΘΥΝΣΗ Π.Ε. ΑΝΑΤ. ΘΕΣ/ΝΙΚΗΣ"/>
    <x v="5"/>
  </r>
  <r>
    <x v="3556"/>
    <x v="1"/>
    <s v="ΠΕ02"/>
    <s v="ΦΙΛΟΛΟΓΟΙ"/>
    <m/>
    <m/>
    <s v="Γ΄"/>
    <n v="1"/>
    <n v="19725"/>
    <d v="2018-09-04T00:00:00"/>
    <s v="ΛΑΡΙΣΑΣ (Δ.Ε.) 2018"/>
    <s v="ΔΙΕΥΘΥΝΣΗ Δ.Ε. ΛΑΡΙΣΑΣ"/>
    <s v="ΠΕΡΙΦΕΡΕΙΑΚΗ Δ/ΝΣΗ Α/ΘΜΙΑΣ ΚΑΙ Β/ΘΜΙΑΣ ΕΚΠ/ΣΗΣ ΘΕΣΣΑΛΙΑΣ"/>
    <n v="22"/>
    <d v="2018-09-04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2"/>
    <s v="Τοποθέτηση σε Ιδιωτική Εκπαίδευση"/>
    <d v="1981-06-24T00:00:00"/>
    <x v="0"/>
    <s v="ΔΙΕΥΘΥΝΣΗ Δ.Ε. ΛΑΡΙΣΑΣ"/>
    <x v="5"/>
  </r>
  <r>
    <x v="3557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6-24T00:00:00"/>
    <x v="1"/>
    <s v="ΔΙΕΥΘΥΝΣΗ Π.Ε. ΑΝΑΤ. ΘΕΣ/ΝΙΚΗΣ"/>
    <x v="5"/>
  </r>
  <r>
    <x v="3558"/>
    <x v="1"/>
    <s v="ΠΕ70"/>
    <s v="ΔΑΣΚΑΛΟΙ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81-04-29T00:00:00"/>
    <x v="1"/>
    <s v="ΔΙΕΥΘΥΝΣΗ Π.Ε. Β΄ ΑΘΗΝΑΣ"/>
    <x v="5"/>
  </r>
  <r>
    <x v="3559"/>
    <x v="0"/>
    <s v="ΠΕ04.04"/>
    <s v="ΒΙΟΛΟΓΟΙ"/>
    <m/>
    <m/>
    <s v="Γ΄"/>
    <n v="1"/>
    <s v="744Υ9-529"/>
    <d v="2014-09-18T00:00:00"/>
    <s v="Β΄ ΑΘΗΝΑΣ (Δ.Ε.) 2018"/>
    <s v="ΔΙΕΥΘΥΝΣΗ Δ.Ε. Β΄ ΑΘΗΝΑΣ"/>
    <s v="ΠΕΡΙΦΕΡΕΙΑΚΗ Δ/ΝΣΗ Α/ΘΜΙΑΣ ΚΑΙ Β/ΘΜΙΑΣ ΕΚΠ/ΣΗΣ ΑΤΤΙΚΗΣ"/>
    <n v="22"/>
    <d v="2014-09-18T00:00:00"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10-10T00:00:00"/>
    <x v="0"/>
    <s v="ΔΙΕΥΘΥΝΣΗ Δ.Ε. Β΄ ΑΘΗΝΑΣ"/>
    <x v="5"/>
  </r>
  <r>
    <x v="3560"/>
    <x v="1"/>
    <s v="ΠΕ06"/>
    <s v="ΑΓΓΛΙΚΗΣ ΦΙΛΟΛΟΓΙΑΣ"/>
    <m/>
    <m/>
    <s v="Γ΄"/>
    <n v="1"/>
    <s v="ΨΒΟΩ4653ΠΣ-ΕΟΒ"/>
    <d v="2018-09-01T00:00:00"/>
    <s v="Β΄ ΑΘΗΝΑΣ (Π.Ε.) 2018"/>
    <s v="ΔΙΕΥΘΥΝΣΗ Π.Ε. Β΄ ΑΘΗΝΑΣ"/>
    <s v="ΠΕΡΙΦΕΡΕΙΑΚΗ Δ/ΝΣΗ Α/ΘΜΙΑΣ ΚΑΙ Β/ΘΜΙΑΣ ΕΚΠ/ΣΗΣ ΑΤΤΙΚΗΣ"/>
    <n v="22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0-08-27T00:00:00"/>
    <x v="1"/>
    <s v="ΔΙΕΥΘΥΝΣΗ Π.Ε. Β΄ ΑΘΗΝΑΣ"/>
    <x v="5"/>
  </r>
  <r>
    <x v="3561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0-06-25T00:00:00"/>
    <x v="1"/>
    <s v="ΔΙΕΥΘΥΝΣΗ Π.Ε. ΑΝΑΤ. ΘΕΣ/ΝΙΚΗΣ"/>
    <x v="5"/>
  </r>
  <r>
    <x v="3562"/>
    <x v="1"/>
    <s v="ΠΕ70"/>
    <s v="ΔΑΣΚΑΛΟΙ"/>
    <m/>
    <m/>
    <s v="Α΄"/>
    <n v="9"/>
    <m/>
    <m/>
    <s v="Α΄ ΜΑΓΝΗΣΙΑΣ (Π.Ε.) 2018"/>
    <s v="ΔΙΕΥΘΥΝΣΗ Π.Ε. ΜΑΓΝΗΣΙΑΣ"/>
    <s v="ΠΕΡΙΦΕΡΕΙΑΚΗ Δ/ΝΣΗ Α/ΘΜΙΑΣ ΚΑΙ Β/ΘΜΙΑΣ ΕΚΠ/ΣΗΣ ΘΕΣΣΑΛΙΑΣ"/>
    <n v="22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0-05-31T00:00:00"/>
    <x v="1"/>
    <s v="ΔΙΕΥΘΥΝΣΗ Π.Ε. ΜΑΓΝΗΣΙΑΣ"/>
    <x v="5"/>
  </r>
  <r>
    <x v="3563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5-20T00:00:00"/>
    <x v="0"/>
    <s v="ΔΙΕΥΘΥΝΣΗ Δ.Ε. Β΄ ΑΘΗΝΑΣ"/>
    <x v="5"/>
  </r>
  <r>
    <x v="3564"/>
    <x v="1"/>
    <s v="ΠΕ80"/>
    <s v="ΟΙΚΟΝΟΜΙΑΣ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2"/>
    <m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80-05-09T00:00:00"/>
    <x v="0"/>
    <s v="ΔΙΕΥΘΥΝΣΗ Δ.Ε. ΜΕΣΣΗΝΙΑΣ"/>
    <x v="5"/>
  </r>
  <r>
    <x v="3565"/>
    <x v="1"/>
    <s v="ΠΕ70"/>
    <s v="ΔΑΣΚΑΛΟΙ"/>
    <m/>
    <m/>
    <s v="Α΄"/>
    <n v="8"/>
    <m/>
    <d v="2017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17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03-30T00:00:00"/>
    <x v="1"/>
    <s v="ΔΙΕΥΘΥΝΣΗ Π.Ε. ΑΝΑΤΟΛΙΚΗΣ ΑΤΤΙΚΗΣ"/>
    <x v="5"/>
  </r>
  <r>
    <x v="3566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2"/>
    <d v="2018-09-01T00:00:00"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0-03-15T00:00:00"/>
    <x v="0"/>
    <s v="ΔΙΕΥΘΥΝΣΗ Δ.Ε. Β΄ ΑΘΗΝΑΣ"/>
    <x v="5"/>
  </r>
  <r>
    <x v="3567"/>
    <x v="1"/>
    <s v="ΠΕ02"/>
    <s v="ΦΙΛ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2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80-02-18T00:00:00"/>
    <x v="0"/>
    <s v="ΔΙΕΥΘΥΝΣΗ Δ.Ε. ΜΕΣΣΗΝΙΑΣ"/>
    <x v="5"/>
  </r>
  <r>
    <x v="3568"/>
    <x v="0"/>
    <s v="ΠΕ11"/>
    <s v="ΦΥΣΙΚΗΣ ΑΓΩΓΗΣ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22"/>
    <d v="2009-09-10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0-01-28T00:00:00"/>
    <x v="0"/>
    <s v="ΔΙΕΥΘΥΝΣΗ Δ.Ε. Α΄ ΑΘΗΝΑΣ"/>
    <x v="5"/>
  </r>
  <r>
    <x v="356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1-09T00:00:00"/>
    <x v="0"/>
    <s v="ΔΙΕΥΘΥΝΣΗ Δ.Ε. Β΄ ΑΘΗΝΑΣ"/>
    <x v="5"/>
  </r>
  <r>
    <x v="3570"/>
    <x v="1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Γ΄ ΑΘΗΝΑΣ"/>
    <x v="5"/>
  </r>
  <r>
    <x v="3571"/>
    <x v="1"/>
    <s v="ΠΕ06"/>
    <s v="ΑΓΓΛΙΚΗΣ ΦΙΛΟΛΟΓΙΑΣ"/>
    <m/>
    <m/>
    <s v="Α΄"/>
    <n v="4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2"/>
    <m/>
    <s v="Ιδιωτικά Σχολεία"/>
    <x v="2"/>
    <s v="1981912"/>
    <s v="2o ΓΥΜΝΑΣΙΟ ΑΜΕΡΙΚΑΝΙΚΟΥ ΚΟΛΛΕΓΙΟΥ &quot;ΑΝΑΤΟΛΙΑ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12-20T00:00:00"/>
    <x v="0"/>
    <s v="ΔΙΕΥΘΥΝΣΗ Δ.Ε. ΑΝΑΤ. ΘΕΣ/ΝΙΚΗΣ"/>
    <x v="5"/>
  </r>
  <r>
    <x v="3572"/>
    <x v="0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9-07T00:00:00"/>
    <x v="1"/>
    <s v="ΔΙΕΥΘΥΝΣΗ Π.Ε. Β΄ ΑΘΗΝΑΣ"/>
    <x v="5"/>
  </r>
  <r>
    <x v="3573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6-19T00:00:00"/>
    <x v="1"/>
    <s v="ΔΙΕΥΘΥΝΣΗ Π.Ε. Β΄ ΑΘΗΝΑΣ"/>
    <x v="5"/>
  </r>
  <r>
    <x v="3574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9-02-16T00:00:00"/>
    <x v="1"/>
    <s v="ΔΙΕΥΘΥΝΣΗ Π.Ε. Α΄ ΑΘΗΝΑΣ"/>
    <x v="5"/>
  </r>
  <r>
    <x v="3575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11-30T00:00:00"/>
    <x v="0"/>
    <s v="ΔΙΕΥΘΥΝΣΗ Δ.Ε. Γ΄ ΑΘΗΝΑΣ"/>
    <x v="5"/>
  </r>
  <r>
    <x v="3576"/>
    <x v="1"/>
    <s v="ΠΕ02"/>
    <s v="ΦΙΛΟΛΟΓΟΙ"/>
    <m/>
    <m/>
    <s v="Γ΄"/>
    <n v="1"/>
    <n v="10638"/>
    <d v="2018-09-28T00:00:00"/>
    <s v="ΠΙΕΡΙΑΣ (Δ.Ε.) 2018"/>
    <s v="ΔΙΕΥΘΥΝΣΗ Δ.Ε. ΠΙΕΡΙΑΣ"/>
    <s v="ΠΕΡΙΦΕΡΕΙΑΚΗ Δ/ΝΣΗ Α/ΘΜΙΑΣ ΚΑΙ Β/ΘΜΙΑΣ ΕΚΠ/ΣΗΣ ΚΕΝΤΡΙΚΗΣ ΜΑΚΕΔΟΝΙΑΣ"/>
    <n v="22"/>
    <d v="2018-09-28T00:00:00"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78-11-18T00:00:00"/>
    <x v="0"/>
    <s v="ΔΙΕΥΘΥΝΣΗ Δ.Ε. ΠΙΕΡΙΑΣ"/>
    <x v="5"/>
  </r>
  <r>
    <x v="3577"/>
    <x v="1"/>
    <s v="ΠΕ70"/>
    <s v="ΔΑΣΚΑΛΟΙ"/>
    <m/>
    <m/>
    <s v="Α΄"/>
    <n v="8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11-01T00:00:00"/>
    <x v="1"/>
    <s v="ΔΙΕΥΘΥΝΣΗ Π.Ε. Δ΄ ΑΘΗΝΑΣ"/>
    <x v="5"/>
  </r>
  <r>
    <x v="3578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10-29T00:00:00"/>
    <x v="1"/>
    <s v="ΔΙΕΥΘΥΝΣΗ Π.Ε. Β΄ ΑΘΗΝΑΣ"/>
    <x v="5"/>
  </r>
  <r>
    <x v="3579"/>
    <x v="0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10-04T00:00:00"/>
    <x v="0"/>
    <s v="ΔΙΕΥΘΥΝΣΗ Δ.Ε. Γ΄ ΑΘΗΝΑΣ"/>
    <x v="5"/>
  </r>
  <r>
    <x v="3580"/>
    <x v="0"/>
    <s v="ΠΕ11"/>
    <s v="ΦΥΣΙΚΗΣ ΑΓΩΓΗ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8-09-04T00:00:00"/>
    <x v="1"/>
    <s v="ΔΙΕΥΘΥΝΣΗ Π.Ε. ΠΕΙΡΑΙΑ"/>
    <x v="5"/>
  </r>
  <r>
    <x v="3581"/>
    <x v="1"/>
    <s v="ΠΕ70"/>
    <s v="ΔΑΣΚΑΛΟΙ"/>
    <m/>
    <m/>
    <s v="Α΄"/>
    <n v="7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d v="2008-11-28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8-08-24T00:00:00"/>
    <x v="1"/>
    <s v="ΔΙΕΥΘΥΝΣΗ Π.Ε. ΑΝΑΤΟΛΙΚΗΣ ΑΤΤΙΚΗΣ"/>
    <x v="5"/>
  </r>
  <r>
    <x v="3582"/>
    <x v="1"/>
    <s v="ΠΕ06"/>
    <s v="ΑΓΓΛΙΚΗΣ ΦΙΛΟΛΟΓΙΑΣ"/>
    <m/>
    <m/>
    <s v="Γ΄"/>
    <n v="1"/>
    <n v="4012"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7-07T00:00:00"/>
    <x v="1"/>
    <s v="ΔΙΕΥΘΥΝΣΗ Π.Ε. Δ΄ ΑΘΗΝΑΣ"/>
    <x v="5"/>
  </r>
  <r>
    <x v="3583"/>
    <x v="0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4-02T00:00:00"/>
    <x v="0"/>
    <s v="ΔΙΕΥΘΥΝΣΗ Δ.Ε. Β΄ ΑΘΗΝΑΣ"/>
    <x v="5"/>
  </r>
  <r>
    <x v="3584"/>
    <x v="1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2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78-03-23T00:00:00"/>
    <x v="1"/>
    <s v="ΔΙΕΥΘΥΝΣΗ Π.Ε. ΗΡΑΚΛΕΙΟΥ"/>
    <x v="5"/>
  </r>
  <r>
    <x v="358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3-17T00:00:00"/>
    <x v="0"/>
    <s v="ΔΙΕΥΘΥΝΣΗ Δ.Ε. Β΄ ΑΘΗΝΑΣ"/>
    <x v="5"/>
  </r>
  <r>
    <x v="3586"/>
    <x v="0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3-07T00:00:00"/>
    <x v="0"/>
    <s v="ΔΙΕΥΘΥΝΣΗ Δ.Ε. Β΄ ΑΘΗΝΑΣ"/>
    <x v="5"/>
  </r>
  <r>
    <x v="3587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2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8-01-01T00:00:00"/>
    <x v="0"/>
    <s v="ΔΙΕΥΘΥΝΣΗ Δ.Ε. ΠΕΙΡΑΙΑ"/>
    <x v="5"/>
  </r>
  <r>
    <x v="3588"/>
    <x v="1"/>
    <s v="ΠΕ70"/>
    <s v="ΔΑΣΚΑΛΟΙ"/>
    <m/>
    <m/>
    <s v="Γ΄"/>
    <n v="1"/>
    <n v="2172"/>
    <d v="2018-09-01T00:00:00"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1-01T00:00:00"/>
    <x v="1"/>
    <s v="ΔΙΕΥΘΥΝΣΗ Π.Ε. Β΄ ΑΘΗΝΑΣ"/>
    <x v="5"/>
  </r>
  <r>
    <x v="3589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7-12-16T00:00:00"/>
    <x v="0"/>
    <s v="ΔΙΕΥΘΥΝΣΗ Δ.Ε. Γ΄ ΑΘΗΝΑΣ"/>
    <x v="5"/>
  </r>
  <r>
    <x v="3590"/>
    <x v="1"/>
    <s v="ΠΕ06"/>
    <s v="ΑΓΓΛΙΚΗΣ ΦΙΛΟΛΟΓΙΑ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11-23T00:00:00"/>
    <x v="1"/>
    <s v="ΔΙΕΥΘΥΝΣΗ Π.Ε. ΑΝΑΤ. ΘΕΣ/ΝΙΚΗΣ"/>
    <x v="5"/>
  </r>
  <r>
    <x v="3591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7-11-07T00:00:00"/>
    <x v="1"/>
    <s v="ΔΙΕΥΘΥΝΣΗ Π.Ε. ΑΧΑΪΑΣ"/>
    <x v="5"/>
  </r>
  <r>
    <x v="3592"/>
    <x v="1"/>
    <s v="ΠΕ08"/>
    <s v="ΚΑΛΛΙΤΕΧΝΙΚΩΝ"/>
    <m/>
    <m/>
    <s v="Γ΄"/>
    <n v="7"/>
    <n v="14975"/>
    <d v="2018-09-01T00:00:00"/>
    <s v="Β΄ ΑΘΗΝΑΣ (Π.Ε.) 2018"/>
    <s v="ΔΙΕΥΘΥΝΣΗ Π.Ε. Β΄ ΑΘΗΝΑΣ"/>
    <s v="ΠΕΡΙΦΕΡΕΙΑΚΗ Δ/ΝΣΗ Α/ΘΜΙΑΣ ΚΑΙ Β/ΘΜΙΑΣ ΕΚΠ/ΣΗΣ ΑΤΤΙΚΗΣ"/>
    <n v="22"/>
    <d v="2018-09-01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9-01T00:00:00"/>
    <x v="1"/>
    <s v="ΔΙΕΥΘΥΝΣΗ Π.Ε. Β΄ ΑΘΗΝΑΣ"/>
    <x v="5"/>
  </r>
  <r>
    <x v="3593"/>
    <x v="1"/>
    <s v="ΠΕ70"/>
    <s v="ΔΑΣΚΑΛΟΙ"/>
    <m/>
    <m/>
    <s v="Γ΄"/>
    <n v="8"/>
    <s v="Φ.17.2/2945/04-09-2007"/>
    <d v="2018-09-01T00:00:00"/>
    <s v="Α΄ ΜΑΓΝΗΣΙΑΣ (Π.Ε.) 2018"/>
    <s v="ΔΙΕΥΘΥΝΣΗ Π.Ε. ΜΑΓΝΗΣΙΑΣ"/>
    <s v="ΠΕΡΙΦΕΡΕΙΑΚΗ Δ/ΝΣΗ Α/ΘΜΙΑΣ ΚΑΙ Β/ΘΜΙΑΣ ΕΚΠ/ΣΗΣ ΘΕΣΣΑΛΙΑΣ"/>
    <n v="22"/>
    <d v="2018-09-01T00:00:00"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7-06-04T00:00:00"/>
    <x v="1"/>
    <s v="ΔΙΕΥΘΥΝΣΗ Π.Ε. ΜΑΓΝΗΣΙΑΣ"/>
    <x v="5"/>
  </r>
  <r>
    <x v="359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3-30T00:00:00"/>
    <x v="1"/>
    <s v="ΔΙΕΥΘΥΝΣΗ Π.Ε. Β΄ ΑΘΗΝΑΣ"/>
    <x v="5"/>
  </r>
  <r>
    <x v="3595"/>
    <x v="0"/>
    <s v="ΠΕ70"/>
    <s v="ΔΑΣΚΑΛΟΙ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7-02-01T00:00:00"/>
    <x v="1"/>
    <s v="ΔΙΕΥΘΥΝΣΗ Π.Ε. Β΄ ΑΘΗΝΑΣ"/>
    <x v="5"/>
  </r>
  <r>
    <x v="3596"/>
    <x v="1"/>
    <s v="ΠΕ70"/>
    <s v="ΔΑΣΚΑΛΟΙ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7-01-26T00:00:00"/>
    <x v="1"/>
    <s v="ΔΙΕΥΘΥΝΣΗ Π.Ε. ΔΥΤ. ΘΕΣ/ΝΙΚΗΣ"/>
    <x v="5"/>
  </r>
  <r>
    <x v="3597"/>
    <x v="0"/>
    <s v="ΠΕ07"/>
    <s v="ΓΕΡΜΑΝΙΚΗΣ ΦΙΛΟΛΟΓΙΑΣ"/>
    <m/>
    <m/>
    <s v="Α΄"/>
    <n v="1"/>
    <s v="4962/11-11-2009"/>
    <d v="2009-09-01T00:00:00"/>
    <s v="Β΄ ΑΝΑΤ. ΑΤΤΙΚΗΣ (Δ.Ε.) 2018"/>
    <s v="ΔΙΕΥΘΥΝΣΗ Δ.Ε. ΑΝΑΤΟΛΙΚΗΣ ΑΤΤΙΚΗΣ"/>
    <s v="ΠΕΡΙΦΕΡΕΙΑΚΗ Δ/ΝΣΗ Α/ΘΜΙΑΣ ΚΑΙ Β/ΘΜΙΑΣ ΕΚΠ/ΣΗΣ ΑΤΤΙΚΗΣ"/>
    <n v="22"/>
    <d v="2009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01-03T00:00:00"/>
    <x v="0"/>
    <s v="ΔΙΕΥΘΥΝΣΗ Δ.Ε. ΑΝΑΤΟΛΙΚΗΣ ΑΤΤΙΚΗΣ"/>
    <x v="5"/>
  </r>
  <r>
    <x v="3598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10-18T00:00:00"/>
    <x v="1"/>
    <s v="ΔΙΕΥΘΥΝΣΗ Π.Ε. ΑΝΑΤΟΛΙΚΗΣ ΑΤΤΙΚΗΣ"/>
    <x v="5"/>
  </r>
  <r>
    <x v="3599"/>
    <x v="1"/>
    <s v="ΠΕ06"/>
    <s v="ΑΓΓΛΙΚΗΣ ΦΙΛΟΛΟΓΙΑΣ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6-09-12T00:00:00"/>
    <x v="1"/>
    <s v="ΔΙΕΥΘΥΝΣΗ Π.Ε. ΔΥΤ. ΘΕΣ/ΝΙΚΗΣ"/>
    <x v="5"/>
  </r>
  <r>
    <x v="3600"/>
    <x v="1"/>
    <s v="ΠΕ06"/>
    <s v="ΑΓΓΛΙΚΗΣ ΦΙΛΟΛΟΓΙΑΣ"/>
    <m/>
    <m/>
    <s v="Α΄"/>
    <n v="7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6-07-11T00:00:00"/>
    <x v="1"/>
    <s v="ΔΙΕΥΘΥΝΣΗ Π.Ε. ΠΕΙΡΑΙΑ"/>
    <x v="5"/>
  </r>
  <r>
    <x v="3601"/>
    <x v="0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3-27T00:00:00"/>
    <x v="1"/>
    <s v="ΔΙΕΥΘΥΝΣΗ Π.Ε. ΑΝΑΤ. ΘΕΣ/ΝΙΚΗΣ"/>
    <x v="5"/>
  </r>
  <r>
    <x v="3602"/>
    <x v="1"/>
    <s v="ΠΕ70"/>
    <s v="ΔΑΣΚΑΛΟΙ"/>
    <m/>
    <m/>
    <s v="Α΄"/>
    <n v="8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d v="2008-11-28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6-02-28T00:00:00"/>
    <x v="1"/>
    <s v="ΔΙΕΥΘΥΝΣΗ Π.Ε. ΑΝΑΤΟΛΙΚΗΣ ΑΤΤΙΚΗΣ"/>
    <x v="5"/>
  </r>
  <r>
    <x v="3603"/>
    <x v="0"/>
    <s v="ΠΕ86"/>
    <s v="ΠΛΗΡΟΦΟΡΙΚ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6-01-01T00:00:00"/>
    <x v="0"/>
    <s v="ΔΙΕΥΘΥΝΣΗ Δ.Ε. ΑΝΑΤΟΛΙΚΗΣ ΑΤΤΙΚΗΣ"/>
    <x v="5"/>
  </r>
  <r>
    <x v="3604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1"/>
    <s v="7051021"/>
    <s v="ΙΔΙΩΤΙΚΟ ΝΗΠΙΑΓΩΓΕΙΟ ΑΘΗΝΑ - ΕΚΠΑΙΔΕΥΤΗΡΙΑ ΑΓΙΟΣ ΠΑΥΛΟΣ ΕΠ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75-12-03T00:00:00"/>
    <x v="1"/>
    <s v="ΔΙΕΥΘΥΝΣΗ Π.Ε. Α΄ ΑΘΗΝΑΣ"/>
    <x v="5"/>
  </r>
  <r>
    <x v="3605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11-08T00:00:00"/>
    <x v="1"/>
    <s v="ΔΙΕΥΘΥΝΣΗ Π.Ε. Α΄ ΑΘΗΝΑΣ"/>
    <x v="5"/>
  </r>
  <r>
    <x v="3606"/>
    <x v="1"/>
    <s v="ΠΕ07"/>
    <s v="ΓΕΡΜΑΝΙΚΗΣ ΦΙΛΟΛΟΓΙΑΣ"/>
    <m/>
    <m/>
    <s v="Γ΄"/>
    <n v="1"/>
    <s v="12822/13-11-2018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22"/>
    <d v="2018-11-01T00:00:00"/>
    <m/>
    <x v="6"/>
    <s v=""/>
    <m/>
    <m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75-10-24T00:00:00"/>
    <x v="0"/>
    <s v="ΔΙΕΥΘΥΝΣΗ Δ.Ε. ΠΙΕΡΙΑΣ"/>
    <x v="5"/>
  </r>
  <r>
    <x v="3607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2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5-10-17T00:00:00"/>
    <x v="0"/>
    <s v="ΔΙΕΥΘΥΝΣΗ Δ.Ε. ΠΕΙΡΑΙΑ"/>
    <x v="5"/>
  </r>
  <r>
    <x v="3608"/>
    <x v="1"/>
    <s v="ΠΕ06"/>
    <s v="ΑΓΓΛΙΚΗΣ ΦΙΛΟΛΟΓΙΑΣ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5-09-02T00:00:00"/>
    <x v="1"/>
    <s v="ΔΙΕΥΘΥΝΣΗ Π.Ε. ΑΧΑΪΑΣ"/>
    <x v="5"/>
  </r>
  <r>
    <x v="3609"/>
    <x v="0"/>
    <s v="ΠΕ70"/>
    <s v="ΔΑΣΚΑΛΟΙ"/>
    <m/>
    <m/>
    <s v="Γ΄"/>
    <n v="1"/>
    <s v="3100/26-10-11"/>
    <d v="2018-09-01T00:00:00"/>
    <s v="Β΄ ΑΘΗΝΑΣ (Π.Ε.) 2018"/>
    <s v="ΔΙΕΥΘΥΝΣΗ Π.Ε. Β΄ ΑΘΗΝΑΣ"/>
    <s v="ΠΕΡΙΦΕΡΕΙΑΚΗ Δ/ΝΣΗ Α/ΘΜΙΑΣ ΚΑΙ Β/ΘΜΙΑΣ ΕΚΠ/ΣΗΣ ΑΤΤΙΚΗΣ"/>
    <n v="22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08-18T00:00:00"/>
    <x v="1"/>
    <s v="ΔΙΕΥΘΥΝΣΗ Π.Ε. Β΄ ΑΘΗΝΑΣ"/>
    <x v="5"/>
  </r>
  <r>
    <x v="3610"/>
    <x v="0"/>
    <s v="ΠΕ08"/>
    <s v="ΚΑΛΛΙΤΕΧΝΙΚΩΝ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08-08T00:00:00"/>
    <x v="1"/>
    <s v="ΔΙΕΥΘΥΝΣΗ Π.Ε. Β΄ ΑΘΗΝΑΣ"/>
    <x v="5"/>
  </r>
  <r>
    <x v="3611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5-04T00:00:00"/>
    <x v="1"/>
    <s v="ΔΙΕΥΘΥΝΣΗ Π.Ε. ΑΝΑΤΟΛΙΚΗΣ ΑΤΤΙΚΗΣ"/>
    <x v="5"/>
  </r>
  <r>
    <x v="3612"/>
    <x v="1"/>
    <s v="ΠΕ70"/>
    <s v="ΔΑΣΚΑΛΟΙ"/>
    <m/>
    <m/>
    <s v="Α΄"/>
    <n v="8"/>
    <m/>
    <m/>
    <s v="Α΄ ΜΑΓΝΗΣΙΑΣ (Π.Ε.) 2018"/>
    <s v="ΔΙΕΥΘΥΝΣΗ Π.Ε. ΜΑΓΝΗΣΙΑΣ"/>
    <s v="ΠΕΡΙΦΕΡΕΙΑΚΗ Δ/ΝΣΗ Α/ΘΜΙΑΣ ΚΑΙ Β/ΘΜΙΑΣ ΕΚΠ/ΣΗΣ ΘΕΣΣΑΛΙΑΣ"/>
    <n v="22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5-04-22T00:00:00"/>
    <x v="1"/>
    <s v="ΔΙΕΥΘΥΝΣΗ Π.Ε. ΜΑΓΝΗΣΙΑΣ"/>
    <x v="5"/>
  </r>
  <r>
    <x v="3613"/>
    <x v="1"/>
    <s v="ΠΕ11"/>
    <s v="ΦΥΣΙΚΗΣ ΑΓΩΓΗΣ"/>
    <m/>
    <m/>
    <s v="Α΄"/>
    <n v="1"/>
    <s v="6008/17-12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d v="2009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3-08T00:00:00"/>
    <x v="1"/>
    <s v="ΔΙΕΥΘΥΝΣΗ Π.Ε. ΑΝΑΤΟΛΙΚΗΣ ΑΤΤΙΚΗΣ"/>
    <x v="5"/>
  </r>
  <r>
    <x v="3614"/>
    <x v="0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2"/>
    <m/>
    <s v="Ιδιωτικά Σχολεία"/>
    <x v="2"/>
    <s v="0580552"/>
    <s v="ΘΕΜΙΣΤΟΚΛΗΣ» - ΙΔΙΩΤΙΚΟ ΓΥΜΝΑΣΙΟ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5-02-22T00:00:00"/>
    <x v="0"/>
    <s v="ΔΙΕΥΘΥΝΣΗ Δ.Ε. ΠΕΙΡΑΙΑ"/>
    <x v="5"/>
  </r>
  <r>
    <x v="3615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1"/>
    <s v="7051021"/>
    <s v="ΙΔΙΩΤΙΚΟ ΝΗΠΙΑΓΩΓΕΙΟ ΑΘΗΝΑ - ΕΚΠΑΙΔΕΥΤΗΡΙΑ ΑΓΙΟΣ ΠΑΥΛΟΣ ΕΠ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75-01-21T00:00:00"/>
    <x v="1"/>
    <s v="ΔΙΕΥΘΥΝΣΗ Π.Ε. Α΄ ΑΘΗΝΑΣ"/>
    <x v="5"/>
  </r>
  <r>
    <x v="3616"/>
    <x v="1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2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5-01-01T00:00:00"/>
    <x v="0"/>
    <s v="ΔΙΕΥΘΥΝΣΗ Δ.Ε. Β΄ ΑΘΗΝΑΣ"/>
    <x v="5"/>
  </r>
  <r>
    <x v="3617"/>
    <x v="1"/>
    <s v="ΠΕ06"/>
    <s v="ΑΓΓΛΙΚΗΣ ΦΙΛΟΛΟΓΙΑΣ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4-12-19T00:00:00"/>
    <x v="1"/>
    <s v="ΔΙΕΥΘΥΝΣΗ Π.Ε. ΑΧΑΪΑΣ"/>
    <x v="5"/>
  </r>
  <r>
    <x v="3618"/>
    <x v="0"/>
    <s v="ΠΕ70"/>
    <s v="ΔΑΣΚΑΛΟΙ"/>
    <m/>
    <m/>
    <s v="Α΄"/>
    <n v="10"/>
    <s v="Φ.15.Α6/7058/18-11-2009"/>
    <d v="2009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9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4-12-09T00:00:00"/>
    <x v="1"/>
    <s v="ΔΙΕΥΘΥΝΣΗ Π.Ε. ΑΝΑΤΟΛΙΚΗΣ ΑΤΤΙΚΗΣ"/>
    <x v="5"/>
  </r>
  <r>
    <x v="3619"/>
    <x v="1"/>
    <s v="ΠΕ06"/>
    <s v="ΑΓΓ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4-12-02T00:00:00"/>
    <x v="1"/>
    <s v="ΔΙΕΥΘΥΝΣΗ Π.Ε. Α΄ ΑΘΗΝΑΣ"/>
    <x v="5"/>
  </r>
  <r>
    <x v="3620"/>
    <x v="1"/>
    <s v="ΠΕ60"/>
    <s v="ΝΗΠΙΑΓΩΓ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1"/>
    <s v="7192021"/>
    <s v="ΙΔΙΩΤΙΚΟ ΝΗΠΙΑΓΩΓΕΙΟ ΩΡΑΙΟΚΑΣΤΡΟ ΘΕΣΣΑΛΟΝΙΚΗΣ - Κ. ΑΝΔΡΕΑΔΗΣ Α.Ε.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4-11-20T00:00:00"/>
    <x v="1"/>
    <s v="ΔΙΕΥΘΥΝΣΗ Π.Ε. ΔΥΤ. ΘΕΣ/ΝΙΚΗΣ"/>
    <x v="5"/>
  </r>
  <r>
    <x v="3621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11-09T00:00:00"/>
    <x v="0"/>
    <s v="ΔΙΕΥΘΥΝΣΗ Δ.Ε. Β΄ ΑΘΗΝΑΣ"/>
    <x v="5"/>
  </r>
  <r>
    <x v="3622"/>
    <x v="1"/>
    <s v="ΠΕ70"/>
    <s v="ΔΑΣΚΑΛΟΙ"/>
    <m/>
    <m/>
    <s v="Α΄"/>
    <n v="11"/>
    <s v="Φ.15/3388/14-11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10-20T00:00:00"/>
    <x v="1"/>
    <s v="ΔΙΕΥΘΥΝΣΗ Π.Ε. ΑΝΑΤΟΛΙΚΗΣ ΑΤΤΙΚΗΣ"/>
    <x v="5"/>
  </r>
  <r>
    <x v="3623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9-22T00:00:00"/>
    <x v="1"/>
    <s v="ΔΙΕΥΘΥΝΣΗ Π.Ε. ΑΝΑΤ. ΘΕΣ/ΝΙΚΗΣ"/>
    <x v="5"/>
  </r>
  <r>
    <x v="3624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4-06-30T00:00:00"/>
    <x v="1"/>
    <s v="ΔΙΕΥΘΥΝΣΗ Π.Ε. Α΄ ΑΘΗΝΑΣ"/>
    <x v="5"/>
  </r>
  <r>
    <x v="3625"/>
    <x v="0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6-21T00:00:00"/>
    <x v="1"/>
    <s v="ΔΙΕΥΘΥΝΣΗ Π.Ε. ΑΝΑΤ. ΘΕΣ/ΝΙΚΗΣ"/>
    <x v="5"/>
  </r>
  <r>
    <x v="3626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5-17T00:00:00"/>
    <x v="1"/>
    <s v="ΔΙΕΥΘΥΝΣΗ Π.Ε. Β΄ ΑΘΗΝΑΣ"/>
    <x v="5"/>
  </r>
  <r>
    <x v="3627"/>
    <x v="0"/>
    <s v="ΠΕ86"/>
    <s v="ΠΛΗΡΟΦΟΡΙΚΗΣ"/>
    <s v="ΠΕ03"/>
    <s v="ΜΑΘΗΜΑΤΙΚΟΙ"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80202"/>
    <s v="ΙΔΙΩΤΙΚΟ - ΙΣΟΤΙΜΟ ΛΥΚΕΙΟ - Α΄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3-29T00:00:00"/>
    <x v="0"/>
    <s v="ΔΙΕΥΘΥΝΣΗ Δ.Ε. Β΄ ΑΘΗΝΑΣ"/>
    <x v="5"/>
  </r>
  <r>
    <x v="3628"/>
    <x v="1"/>
    <s v="ΠΕ70"/>
    <s v="ΔΑΣΚΑΛΟΙ"/>
    <m/>
    <m/>
    <s v="Γ΄"/>
    <n v="8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4-03-17T00:00:00"/>
    <x v="1"/>
    <s v="ΔΙΕΥΘΥΝΣΗ Π.Ε. Β΄ ΑΘΗΝΑΣ"/>
    <x v="5"/>
  </r>
  <r>
    <x v="3629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4-03-17T00:00:00"/>
    <x v="1"/>
    <s v="ΔΙΕΥΘΥΝΣΗ Π.Ε. ΑΧΑΪΑΣ"/>
    <x v="5"/>
  </r>
  <r>
    <x v="3630"/>
    <x v="0"/>
    <s v="ΠΕ11"/>
    <s v="ΦΥΣΙΚΗΣ ΑΓΩΓΗΣ"/>
    <m/>
    <m/>
    <s v="Α΄"/>
    <n v="5"/>
    <s v="Φ.Ι.Α.1/736/15-1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d v="2012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03-07T00:00:00"/>
    <x v="1"/>
    <s v="ΔΙΕΥΘΥΝΣΗ Π.Ε. ΑΝΑΤΟΛΙΚΗΣ ΑΤΤΙΚΗΣ"/>
    <x v="5"/>
  </r>
  <r>
    <x v="3631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02-26T00:00:00"/>
    <x v="1"/>
    <s v="ΔΙΕΥΘΥΝΣΗ Π.Ε. ΑΝΑΤΟΛΙΚΗΣ ΑΤΤΙΚΗΣ"/>
    <x v="5"/>
  </r>
  <r>
    <x v="3632"/>
    <x v="1"/>
    <s v="ΠΕ02"/>
    <s v="ΦΙΛΟΛΟΓΟΙ"/>
    <m/>
    <m/>
    <s v="Γ΄"/>
    <n v="1"/>
    <m/>
    <m/>
    <s v="ΑΧΑΪΑΣ (Δ.Ε.) 2018"/>
    <s v="ΔΙΕΥΘΥΝΣΗ Δ.Ε. ΑΧΑΪΑΣ"/>
    <s v="ΠΕΡΙΦΕΡΕΙΑΚΗ Δ/ΝΣΗ Α/ΘΜΙΑΣ ΚΑΙ Β/ΘΜΙΑΣ ΕΚΠ/ΣΗΣ ΔΥΤΙΚΗΣ ΕΛΛΑΔΑΣ"/>
    <n v="22"/>
    <m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74-02-13T00:00:00"/>
    <x v="0"/>
    <s v="ΔΙΕΥΘΥΝΣΗ Δ.Ε. ΑΧΑΪΑΣ"/>
    <x v="5"/>
  </r>
  <r>
    <x v="3633"/>
    <x v="1"/>
    <s v="ΠΕ06"/>
    <s v="ΑΓΓ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2-07T00:00:00"/>
    <x v="1"/>
    <s v="ΔΙΕΥΘΥΝΣΗ Π.Ε. Δ΄ ΑΘΗΝΑΣ"/>
    <x v="5"/>
  </r>
  <r>
    <x v="3634"/>
    <x v="1"/>
    <s v="ΠΕ06"/>
    <s v="ΑΓΓΛΙΚΗΣ ΦΙΛΟΛΟΓΙΑΣ"/>
    <m/>
    <m/>
    <s v="Γ΄"/>
    <n v="9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2-02T00:00:00"/>
    <x v="1"/>
    <s v="ΔΙΕΥΘΥΝΣΗ Π.Ε. Β΄ ΑΘΗΝΑΣ"/>
    <x v="5"/>
  </r>
  <r>
    <x v="3635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4-01-16T00:00:00"/>
    <x v="1"/>
    <s v="ΔΙΕΥΘΥΝΣΗ Π.Ε. Α΄ ΑΘΗΝΑΣ"/>
    <x v="5"/>
  </r>
  <r>
    <x v="3636"/>
    <x v="1"/>
    <s v="ΠΕ04.04"/>
    <s v="ΒΙΟΛΟΓΟΙ"/>
    <m/>
    <m/>
    <s v="Γ΄"/>
    <n v="1"/>
    <s v="744Υ9-529"/>
    <d v="2014-09-18T00:00:00"/>
    <s v="Α΄ ΑΝΑΤ. ΑΤΤΙΚΗΣ (Δ.Ε.) 2018"/>
    <s v="ΔΙΕΥΘΥΝΣΗ Δ.Ε. ΑΝΑΤΟΛΙΚΗΣ ΑΤΤΙΚΗΣ"/>
    <s v="ΠΕΡΙΦΕΡΕΙΑΚΗ Δ/ΝΣΗ Α/ΘΜΙΑΣ ΚΑΙ Β/ΘΜΙΑΣ ΕΚΠ/ΣΗΣ ΑΤΤΙΚΗΣ"/>
    <n v="22"/>
    <d v="2014-09-18T00:00:00"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ΑΝΑΤΟΛΙΚΗΣ ΑΤΤΙΚΗΣ"/>
    <x v="5"/>
  </r>
  <r>
    <x v="3637"/>
    <x v="1"/>
    <s v="ΠΕ70"/>
    <s v="ΔΑΣΚΑΛΟΙ"/>
    <m/>
    <m/>
    <s v="Α΄"/>
    <n v="8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12-28T00:00:00"/>
    <x v="1"/>
    <s v="ΔΙΕΥΘΥΝΣΗ Π.Ε. Δ΄ ΑΘΗΝΑΣ"/>
    <x v="5"/>
  </r>
  <r>
    <x v="3638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3-12-25T00:00:00"/>
    <x v="1"/>
    <s v="ΔΙΕΥΘΥΝΣΗ Π.Ε. ΑΧΑΪΑΣ"/>
    <x v="5"/>
  </r>
  <r>
    <x v="3639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12-24T00:00:00"/>
    <x v="1"/>
    <s v="ΔΙΕΥΘΥΝΣΗ Π.Ε. ΑΝΑΤ. ΘΕΣ/ΝΙΚΗΣ"/>
    <x v="5"/>
  </r>
  <r>
    <x v="3640"/>
    <x v="1"/>
    <s v="ΠΕ70"/>
    <s v="ΔΑΣΚΑΛΟΙ"/>
    <m/>
    <m/>
    <s v="Α΄"/>
    <n v="9"/>
    <s v="Φ.15.Α.4/4125/22-10-2007"/>
    <d v="2007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7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12-14T00:00:00"/>
    <x v="1"/>
    <s v="ΔΙΕΥΘΥΝΣΗ Π.Ε. ΑΝΑΤΟΛΙΚΗΣ ΑΤΤΙΚΗΣ"/>
    <x v="5"/>
  </r>
  <r>
    <x v="3641"/>
    <x v="0"/>
    <s v="ΠΕ11"/>
    <s v="ΦΥΣΙΚΗΣ ΑΓΩΓ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3-12-05T00:00:00"/>
    <x v="1"/>
    <s v="ΔΙΕΥΘΥΝΣΗ Π.Ε. Α΄ ΑΘΗΝΑΣ"/>
    <x v="5"/>
  </r>
  <r>
    <x v="3642"/>
    <x v="0"/>
    <s v="ΠΕ70"/>
    <s v="ΔΑΣΚΑΛΟΙ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11-15T00:00:00"/>
    <x v="1"/>
    <s v="ΔΙΕΥΘΥΝΣΗ Π.Ε. Δ΄ ΑΘΗΝΑΣ"/>
    <x v="5"/>
  </r>
  <r>
    <x v="3643"/>
    <x v="0"/>
    <s v="ΠΕ70"/>
    <s v="ΔΑΣΚΑΛ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2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73-11-04T00:00:00"/>
    <x v="1"/>
    <s v="ΔΙΕΥΘΥΝΣΗ Π.Ε. ΗΡΑΚΛΕΙΟΥ"/>
    <x v="5"/>
  </r>
  <r>
    <x v="3644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2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3-08-06T00:00:00"/>
    <x v="1"/>
    <s v="ΔΙΕΥΘΥΝΣΗ Π.Ε. Α΄ ΑΘΗΝΑΣ"/>
    <x v="5"/>
  </r>
  <r>
    <x v="3645"/>
    <x v="1"/>
    <s v="ΠΕ60"/>
    <s v="ΝΗΠΙΑΓΩΓΟΙ"/>
    <m/>
    <m/>
    <s v="Γ΄"/>
    <n v="1"/>
    <s v="2886/1-9-2007"/>
    <d v="2018-09-01T00:00:00"/>
    <s v="Β΄ ΑΘΗΝΑΣ (Π.Ε.) 2018"/>
    <s v="ΔΙΕΥΘΥΝΣΗ Π.Ε. Β΄ ΑΘΗΝΑΣ"/>
    <s v="ΠΕΡΙΦΕΡΕΙΑΚΗ Δ/ΝΣΗ Α/ΘΜΙΑΣ ΚΑΙ Β/ΘΜΙΑΣ ΕΚΠ/ΣΗΣ ΑΤΤΙΚΗΣ"/>
    <n v="22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6-25T00:00:00"/>
    <x v="1"/>
    <s v="ΔΙΕΥΘΥΝΣΗ Π.Ε. Β΄ ΑΘΗΝΑΣ"/>
    <x v="5"/>
  </r>
  <r>
    <x v="3646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3-06-20T00:00:00"/>
    <x v="1"/>
    <s v="ΔΙΕΥΘΥΝΣΗ Π.Ε. ΑΧΑΪΑΣ"/>
    <x v="5"/>
  </r>
  <r>
    <x v="3647"/>
    <x v="1"/>
    <s v="ΠΕ11"/>
    <s v="ΦΥΣΙΚΗΣ ΑΓΩΓΗ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2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3-03-29T00:00:00"/>
    <x v="1"/>
    <s v="ΔΙΕΥΘΥΝΣΗ Π.Ε. ΧΑΝΙΩΝ"/>
    <x v="5"/>
  </r>
  <r>
    <x v="3648"/>
    <x v="1"/>
    <s v="ΠΕ01"/>
    <s v="ΘΕ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3-09T00:00:00"/>
    <x v="0"/>
    <s v="ΔΙΕΥΘΥΝΣΗ Δ.Ε. Β΄ ΑΘΗΝΑΣ"/>
    <x v="5"/>
  </r>
  <r>
    <x v="3649"/>
    <x v="1"/>
    <s v="ΠΕ70"/>
    <s v="ΔΑΣΚΑΛΟΙ"/>
    <m/>
    <m/>
    <s v="Α΄"/>
    <n v="10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03-09T00:00:00"/>
    <x v="1"/>
    <s v="ΔΙΕΥΘΥΝΣΗ Π.Ε. Δ΄ ΑΘΗΝΑΣ"/>
    <x v="5"/>
  </r>
  <r>
    <x v="365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1-12T00:00:00"/>
    <x v="1"/>
    <s v="ΔΙΕΥΘΥΝΣΗ Π.Ε. Β΄ ΑΘΗΝΑΣ"/>
    <x v="5"/>
  </r>
  <r>
    <x v="3651"/>
    <x v="1"/>
    <s v="ΠΕ70"/>
    <s v="ΔΑΣΚΑΛΟΙ"/>
    <m/>
    <m/>
    <s v="Α΄"/>
    <n v="10"/>
    <s v="Φ.Ι.Α.4/1721/25-1-2016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15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2-12-01T00:00:00"/>
    <x v="1"/>
    <s v="ΔΙΕΥΘΥΝΣΗ Π.Ε. ΑΝΑΤΟΛΙΚΗΣ ΑΤΤΙΚΗΣ"/>
    <x v="5"/>
  </r>
  <r>
    <x v="3652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11-13T00:00:00"/>
    <x v="1"/>
    <s v="ΔΙΕΥΘΥΝΣΗ Π.Ε. Δ΄ ΑΘΗΝΑΣ"/>
    <x v="5"/>
  </r>
  <r>
    <x v="3653"/>
    <x v="1"/>
    <s v="ΠΕ06"/>
    <s v="ΑΓΓ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10-09T00:00:00"/>
    <x v="1"/>
    <s v="ΔΙΕΥΘΥΝΣΗ Π.Ε. Δ΄ ΑΘΗΝΑΣ"/>
    <x v="5"/>
  </r>
  <r>
    <x v="3654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09-29T00:00:00"/>
    <x v="0"/>
    <s v="ΔΙΕΥΘΥΝΣΗ Δ.Ε. Γ΄ ΑΘΗΝΑΣ"/>
    <x v="5"/>
  </r>
  <r>
    <x v="3655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09-27T00:00:00"/>
    <x v="1"/>
    <s v="ΔΙΕΥΘΥΝΣΗ Π.Ε. ΑΝΑΤΟΛΙΚΗΣ ΑΤΤΙΚΗΣ"/>
    <x v="5"/>
  </r>
  <r>
    <x v="3656"/>
    <x v="1"/>
    <s v="ΠΕ06"/>
    <s v="ΑΓΓΛΙΚΗΣ ΦΙΛΟΛΟΓΙΑΣ"/>
    <m/>
    <m/>
    <s v="Γ΄"/>
    <n v="1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9-16T00:00:00"/>
    <x v="1"/>
    <s v="ΔΙΕΥΘΥΝΣΗ Π.Ε. Β΄ ΑΘΗΝΑΣ"/>
    <x v="5"/>
  </r>
  <r>
    <x v="3657"/>
    <x v="1"/>
    <s v="ΠΕ11"/>
    <s v="ΦΥΣΙΚΗΣ ΑΓΩΓΗΣ"/>
    <m/>
    <m/>
    <s v="Γ΄"/>
    <n v="8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8-18T00:00:00"/>
    <x v="1"/>
    <s v="ΔΙΕΥΘΥΝΣΗ Π.Ε. Β΄ ΑΘΗΝΑΣ"/>
    <x v="5"/>
  </r>
  <r>
    <x v="3658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8-17T00:00:00"/>
    <x v="1"/>
    <s v="ΔΙΕΥΘΥΝΣΗ Π.Ε. Β΄ ΑΘΗΝΑΣ"/>
    <x v="5"/>
  </r>
  <r>
    <x v="3659"/>
    <x v="1"/>
    <s v="ΠΕ06"/>
    <s v="ΑΓΓ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7-28T00:00:00"/>
    <x v="1"/>
    <s v="ΔΙΕΥΘΥΝΣΗ Π.Ε. Δ΄ ΑΘΗΝΑΣ"/>
    <x v="5"/>
  </r>
  <r>
    <x v="3660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6-11T00:00:00"/>
    <x v="1"/>
    <s v="ΔΙΕΥΘΥΝΣΗ Π.Ε. Β΄ ΑΘΗΝΑΣ"/>
    <x v="5"/>
  </r>
  <r>
    <x v="3661"/>
    <x v="1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06-05T00:00:00"/>
    <x v="1"/>
    <s v="ΔΙΕΥΘΥΝΣΗ Π.Ε. ΑΝΑΤΟΛΙΚΗΣ ΑΤΤΙΚΗΣ"/>
    <x v="5"/>
  </r>
  <r>
    <x v="3662"/>
    <x v="0"/>
    <s v="ΠΕ70"/>
    <s v="ΔΑΣΚΑΛΟΙ"/>
    <m/>
    <m/>
    <s v="Α΄"/>
    <n v="9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5-31T00:00:00"/>
    <x v="1"/>
    <s v="ΔΙΕΥΘΥΝΣΗ Π.Ε. Δ΄ ΑΘΗΝΑΣ"/>
    <x v="5"/>
  </r>
  <r>
    <x v="3663"/>
    <x v="1"/>
    <s v="ΠΕ05"/>
    <s v="ΓΑΛΛΙΚΗΣ ΦΙΛΟΛΟΓΙΑΣ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2-05-29T00:00:00"/>
    <x v="1"/>
    <s v="ΔΙΕΥΘΥΝΣΗ Π.Ε. ΔΥΤ. ΘΕΣ/ΝΙΚΗΣ"/>
    <x v="5"/>
  </r>
  <r>
    <x v="3664"/>
    <x v="0"/>
    <s v="ΠΕ70"/>
    <s v="ΔΑΣΚΑΛΟΙ"/>
    <m/>
    <m/>
    <s v="Α΄"/>
    <n v="9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3-13T00:00:00"/>
    <x v="1"/>
    <s v="ΔΙΕΥΘΥΝΣΗ Π.Ε. Δ΄ ΑΘΗΝΑΣ"/>
    <x v="5"/>
  </r>
  <r>
    <x v="3665"/>
    <x v="1"/>
    <s v="ΠΕ05"/>
    <s v="ΓΑΛ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3-07T00:00:00"/>
    <x v="1"/>
    <s v="ΔΙΕΥΘΥΝΣΗ Π.Ε. Δ΄ ΑΘΗΝΑΣ"/>
    <x v="5"/>
  </r>
  <r>
    <x v="3666"/>
    <x v="0"/>
    <s v="ΠΕ70"/>
    <s v="ΔΑΣΚΑΛΟΙ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3-02T00:00:00"/>
    <x v="1"/>
    <s v="ΔΙΕΥΘΥΝΣΗ Π.Ε. Δ΄ ΑΘΗΝΑΣ"/>
    <x v="5"/>
  </r>
  <r>
    <x v="3667"/>
    <x v="1"/>
    <s v="ΠΕ70"/>
    <s v="ΔΑΣΚΑΛΟΙ"/>
    <m/>
    <m/>
    <s v="Α΄"/>
    <n v="9"/>
    <s v="Φ.15/3388/14-11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01-27T00:00:00"/>
    <x v="1"/>
    <s v="ΔΙΕΥΘΥΝΣΗ Π.Ε. ΑΝΑΤΟΛΙΚΗΣ ΑΤΤΙΚΗΣ"/>
    <x v="5"/>
  </r>
  <r>
    <x v="3668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ΑΝΑΤΟΛΙΚΗΣ ΑΤΤΙΚΗΣ"/>
    <x v="5"/>
  </r>
  <r>
    <x v="3669"/>
    <x v="1"/>
    <s v="ΠΕ70"/>
    <s v="ΔΑΣΚΑΛΟΙ"/>
    <m/>
    <m/>
    <s v="Α΄"/>
    <n v="10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12-06T00:00:00"/>
    <x v="1"/>
    <s v="ΔΙΕΥΘΥΝΣΗ Π.Ε. Δ΄ ΑΘΗΝΑΣ"/>
    <x v="5"/>
  </r>
  <r>
    <x v="3670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2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71-11-06T00:00:00"/>
    <x v="1"/>
    <s v="ΔΙΕΥΘΥΝΣΗ Π.Ε. ΑΧΑΪΑΣ"/>
    <x v="5"/>
  </r>
  <r>
    <x v="3671"/>
    <x v="0"/>
    <s v="ΠΕ70"/>
    <s v="ΔΑΣΚΑΛΟΙ"/>
    <m/>
    <m/>
    <s v="Α΄"/>
    <n v="7"/>
    <n v="1166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d v="2018-09-01T00:00:00"/>
    <s v="Ιδιωτικά Σχολεία"/>
    <x v="4"/>
    <s v="7192002"/>
    <s v="ΙΔΙΩΤΙΚΟ ΔΗΜΟΤΙΚΟ ΠΕΥΚΑ ΘΕΣΣΑΛΟΝΙΚΗΣ - ΕΚΠΑΙΔΕΥΤΗΡΙΑ ΦΡΥΓΑΝΙΩΤ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1-07-25T00:00:00"/>
    <x v="1"/>
    <s v="ΔΙΕΥΘΥΝΣΗ Π.Ε. ΔΥΤ. ΘΕΣ/ΝΙΚΗΣ"/>
    <x v="5"/>
  </r>
  <r>
    <x v="3672"/>
    <x v="1"/>
    <s v="ΠΕ70"/>
    <s v="ΔΑΣΚΑΛΟΙ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1-07-23T00:00:00"/>
    <x v="1"/>
    <s v="ΔΙΕΥΘΥΝΣΗ Π.Ε. ΔΥΤ. ΘΕΣ/ΝΙΚΗΣ"/>
    <x v="5"/>
  </r>
  <r>
    <x v="3673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7-20T00:00:00"/>
    <x v="1"/>
    <s v="ΔΙΕΥΘΥΝΣΗ Π.Ε. Β΄ ΑΘΗΝΑΣ"/>
    <x v="5"/>
  </r>
  <r>
    <x v="3674"/>
    <x v="1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20"/>
    <s v="ΙΔΙΩΤΙΚΟ ΓΥΜΝΑΣΙΟ &quot;ΣΠΥΡΙΔΩΝ ΝΤΑΓΚΑΣ ΚΑΙ ΣΙΑ Ο.Ε. - ΝΕΑ ΠΑΙΔΕΙ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7-19T00:00:00"/>
    <x v="0"/>
    <s v="ΔΙΕΥΘΥΝΣΗ Δ.Ε. Γ΄ ΑΘΗΝΑΣ"/>
    <x v="5"/>
  </r>
  <r>
    <x v="3675"/>
    <x v="1"/>
    <s v="ΠΕ11"/>
    <s v="ΦΥΣΙΚΗΣ ΑΓΩΓ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07-11T00:00:00"/>
    <x v="1"/>
    <s v="ΔΙΕΥΘΥΝΣΗ Π.Ε. Δ΄ ΑΘΗΝΑΣ"/>
    <x v="5"/>
  </r>
  <r>
    <x v="3676"/>
    <x v="0"/>
    <s v="ΠΕ11"/>
    <s v="ΦΥΣΙΚΗΣ ΑΓΩΓΗ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5-10T00:00:00"/>
    <x v="1"/>
    <s v="ΔΙΕΥΘΥΝΣΗ Π.Ε. ΑΝΑΤ. ΘΕΣ/ΝΙΚΗΣ"/>
    <x v="5"/>
  </r>
  <r>
    <x v="3677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02-15T00:00:00"/>
    <x v="1"/>
    <s v="ΔΙΕΥΘΥΝΣΗ Π.Ε. Δ΄ ΑΘΗΝΑΣ"/>
    <x v="5"/>
  </r>
  <r>
    <x v="3678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2-12T00:00:00"/>
    <x v="1"/>
    <s v="ΔΙΕΥΘΥΝΣΗ Π.Ε. Β΄ ΑΘΗΝΑΣ"/>
    <x v="5"/>
  </r>
  <r>
    <x v="3679"/>
    <x v="1"/>
    <s v="ΠΕ06"/>
    <s v="ΑΓΓ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01-29T00:00:00"/>
    <x v="1"/>
    <s v="ΔΙΕΥΘΥΝΣΗ Π.Ε. Δ΄ ΑΘΗΝΑΣ"/>
    <x v="5"/>
  </r>
  <r>
    <x v="3680"/>
    <x v="1"/>
    <s v="ΠΕ05"/>
    <s v="ΓΑΛΛΙΚΗΣ ΦΙΛΟΛΟΓΙΑΣ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12-05T00:00:00"/>
    <x v="1"/>
    <s v="ΔΙΕΥΘΥΝΣΗ Π.Ε. ΑΝΑΤΟΛΙΚΗΣ ΑΤΤΙΚΗΣ"/>
    <x v="5"/>
  </r>
  <r>
    <x v="3681"/>
    <x v="1"/>
    <s v="ΠΕ70"/>
    <s v="ΔΑΣΚΑΛΟΙ"/>
    <m/>
    <m/>
    <s v="Α΄"/>
    <n v="9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0-11-15T00:00:00"/>
    <x v="1"/>
    <s v="ΔΙΕΥΘΥΝΣΗ Π.Ε. Δ΄ ΑΘΗΝΑΣ"/>
    <x v="5"/>
  </r>
  <r>
    <x v="3682"/>
    <x v="1"/>
    <s v="ΠΕ70"/>
    <s v="ΔΑΣΚΑΛΟΙ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0-10-24T00:00:00"/>
    <x v="1"/>
    <s v="ΔΙΕΥΘΥΝΣΗ Π.Ε. ΔΥΤ. ΘΕΣ/ΝΙΚΗΣ"/>
    <x v="5"/>
  </r>
  <r>
    <x v="3683"/>
    <x v="1"/>
    <s v="ΠΕ06"/>
    <s v="ΑΓΓ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10-07T00:00:00"/>
    <x v="1"/>
    <s v="ΔΙΕΥΘΥΝΣΗ Π.Ε. ΠΕΙΡΑΙΑ"/>
    <x v="5"/>
  </r>
  <r>
    <x v="3684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8-04T00:00:00"/>
    <x v="1"/>
    <s v="ΔΙΕΥΘΥΝΣΗ Π.Ε. Β΄ ΑΘΗΝΑΣ"/>
    <x v="5"/>
  </r>
  <r>
    <x v="3685"/>
    <x v="1"/>
    <s v="ΠΕ70"/>
    <s v="ΔΑΣΚΑΛΟΙ"/>
    <m/>
    <m/>
    <s v="Α΄"/>
    <n v="7"/>
    <s v="Φ.15.Α5/7500/4-12-2008"/>
    <d v="2008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8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8-03T00:00:00"/>
    <x v="1"/>
    <s v="ΔΙΕΥΘΥΝΣΗ Π.Ε. ΑΝΑΤΟΛΙΚΗΣ ΑΤΤΙΚΗΣ"/>
    <x v="5"/>
  </r>
  <r>
    <x v="3686"/>
    <x v="1"/>
    <s v="ΠΕ70"/>
    <s v="ΔΑΣΚΑΛΟΙ"/>
    <m/>
    <m/>
    <s v="Α΄"/>
    <n v="1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0-07-31T00:00:00"/>
    <x v="1"/>
    <s v="ΔΙΕΥΘΥΝΣΗ Π.Ε. Δ΄ ΑΘΗΝΑΣ"/>
    <x v="5"/>
  </r>
  <r>
    <x v="3687"/>
    <x v="1"/>
    <s v="ΠΕ11"/>
    <s v="ΦΥΣΙΚΗΣ ΑΓΩΓΗΣ"/>
    <m/>
    <m/>
    <s v="Α΄"/>
    <n v="7"/>
    <s v="5617α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6-26T00:00:00"/>
    <x v="1"/>
    <s v="ΔΙΕΥΘΥΝΣΗ Π.Ε. ΑΝΑΤΟΛΙΚΗΣ ΑΤΤΙΚΗΣ"/>
    <x v="5"/>
  </r>
  <r>
    <x v="3688"/>
    <x v="1"/>
    <s v="ΠΕ06"/>
    <s v="ΑΓΓΛ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06-18T00:00:00"/>
    <x v="1"/>
    <s v="ΔΙΕΥΘΥΝΣΗ Π.Ε. ΠΕΙΡΑΙΑ"/>
    <x v="5"/>
  </r>
  <r>
    <x v="3689"/>
    <x v="0"/>
    <s v="ΠΕ11"/>
    <s v="ΦΥΣΙΚΗΣ ΑΓΩΓ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5-27T00:00:00"/>
    <x v="0"/>
    <s v="ΔΙΕΥΘΥΝΣΗ Δ.Ε. Β΄ ΑΘΗΝΑΣ"/>
    <x v="5"/>
  </r>
  <r>
    <x v="369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5-26T00:00:00"/>
    <x v="1"/>
    <s v="ΔΙΕΥΘΥΝΣΗ Π.Ε. Β΄ ΑΘΗΝΑΣ"/>
    <x v="5"/>
  </r>
  <r>
    <x v="3691"/>
    <x v="1"/>
    <s v="ΠΕ02"/>
    <s v="ΦΙΛ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5-02T00:00:00"/>
    <x v="0"/>
    <s v="ΔΙΕΥΘΥΝΣΗ Δ.Ε. ΑΝΑΤΟΛΙΚΗΣ ΑΤΤΙΚΗΣ"/>
    <x v="5"/>
  </r>
  <r>
    <x v="3692"/>
    <x v="0"/>
    <s v="ΠΕ70"/>
    <s v="ΔΑΣΚΑΛΟΙ"/>
    <m/>
    <m/>
    <s v="Γ΄"/>
    <n v="1"/>
    <s v="3063/11/9/2008"/>
    <d v="2018-09-01T00:00:00"/>
    <s v="ΙΩΑΝΝΙΝΩΝ (Π.Ε.) 2018"/>
    <s v="ΔΙΕΥΘΥΝΣΗ Π.Ε. ΙΩΑΝΝΙΝΩΝ"/>
    <s v="ΠΕΡΙΦΕΡΕΙΑΚΗ Δ/ΝΣΗ Α/ΘΜΙΑΣ ΚΑΙ Β/ΘΜΙΑΣ ΕΚΠ/ΣΗΣ ΗΠΕΙΡΟΥ"/>
    <n v="22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0-04-13T00:00:00"/>
    <x v="1"/>
    <s v="ΔΙΕΥΘΥΝΣΗ Π.Ε. ΙΩΑΝΝΙΝΩΝ"/>
    <x v="5"/>
  </r>
  <r>
    <x v="3693"/>
    <x v="0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9-11-19T00:00:00"/>
    <x v="1"/>
    <s v="ΔΙΕΥΘΥΝΣΗ Π.Ε. Δ΄ ΑΘΗΝΑΣ"/>
    <x v="5"/>
  </r>
  <r>
    <x v="3694"/>
    <x v="1"/>
    <s v="ΠΕ70"/>
    <s v="ΔΑΣΚΑΛΟΙ"/>
    <m/>
    <m/>
    <s v="Γ΄"/>
    <n v="9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69-11-05T00:00:00"/>
    <x v="1"/>
    <s v="ΔΙΕΥΘΥΝΣΗ Π.Ε. Β΄ ΑΘΗΝΑΣ"/>
    <x v="5"/>
  </r>
  <r>
    <x v="3695"/>
    <x v="1"/>
    <s v="ΠΕ06"/>
    <s v="ΑΓΓΛΙΚΗΣ ΦΙΛΟΛΟΓΙΑΣ"/>
    <m/>
    <m/>
    <s v="Γ΄"/>
    <n v="1"/>
    <s v="24/14-01-00"/>
    <d v="2018-09-01T00:00:00"/>
    <s v="Β΄ ΑΘΗΝΑΣ (Π.Ε.) 2018"/>
    <s v="ΔΙΕΥΘΥΝΣΗ Π.Ε. Β΄ ΑΘΗΝΑΣ"/>
    <s v="ΠΕΡΙΦΕΡΕΙΑΚΗ Δ/ΝΣΗ Α/ΘΜΙΑΣ ΚΑΙ Β/ΘΜΙΑΣ ΕΚΠ/ΣΗΣ ΑΤΤΙΚΗΣ"/>
    <n v="22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11-01T00:00:00"/>
    <x v="1"/>
    <s v="ΔΙΕΥΘΥΝΣΗ Π.Ε. Β΄ ΑΘΗΝΑΣ"/>
    <x v="5"/>
  </r>
  <r>
    <x v="3696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10-09T00:00:00"/>
    <x v="1"/>
    <s v="ΔΙΕΥΘΥΝΣΗ Π.Ε. Β΄ ΑΘΗΝΑΣ"/>
    <x v="5"/>
  </r>
  <r>
    <x v="3697"/>
    <x v="0"/>
    <s v="ΠΕ70"/>
    <s v="ΔΑΣΚΑΛΟΙ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9-08-26T00:00:00"/>
    <x v="1"/>
    <s v="ΔΙΕΥΘΥΝΣΗ Π.Ε. Δ΄ ΑΘΗΝΑΣ"/>
    <x v="5"/>
  </r>
  <r>
    <x v="3698"/>
    <x v="1"/>
    <s v="ΠΕ70"/>
    <s v="ΔΑΣΚΑΛΟΙ"/>
    <m/>
    <m/>
    <s v="Α΄"/>
    <n v="9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9-08-01T00:00:00"/>
    <x v="1"/>
    <s v="ΔΙΕΥΘΥΝΣΗ Π.Ε. Δ΄ ΑΘΗΝΑΣ"/>
    <x v="5"/>
  </r>
  <r>
    <x v="3699"/>
    <x v="1"/>
    <s v="ΠΕ04.02"/>
    <s v="ΧΗΜ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4-26T00:00:00"/>
    <x v="0"/>
    <s v="ΔΙΕΥΘΥΝΣΗ Δ.Ε. ΑΝΑΤΟΛΙΚΗΣ ΑΤΤΙΚΗΣ"/>
    <x v="5"/>
  </r>
  <r>
    <x v="3700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9-03-19T00:00:00"/>
    <x v="1"/>
    <s v="ΔΙΕΥΘΥΝΣΗ Π.Ε. Δ΄ ΑΘΗΝΑΣ"/>
    <x v="5"/>
  </r>
  <r>
    <x v="3701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2-25T00:00:00"/>
    <x v="1"/>
    <s v="ΔΙΕΥΘΥΝΣΗ Π.Ε. Β΄ ΑΘΗΝΑΣ"/>
    <x v="5"/>
  </r>
  <r>
    <x v="3702"/>
    <x v="0"/>
    <s v="ΠΕ70"/>
    <s v="ΔΑΣΚΑΛΟΙ"/>
    <m/>
    <m/>
    <s v="Α΄"/>
    <n v="15"/>
    <s v="Φ.15/3388/14-11-2005"/>
    <d v="2005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1-26T00:00:00"/>
    <x v="1"/>
    <s v="ΔΙΕΥΘΥΝΣΗ Π.Ε. ΑΝΑΤΟΛΙΚΗΣ ΑΤΤΙΚΗΣ"/>
    <x v="5"/>
  </r>
  <r>
    <x v="3703"/>
    <x v="0"/>
    <s v="ΠΕ11"/>
    <s v="ΦΥΣΙΚΗΣ ΑΓΩΓΗΣ"/>
    <m/>
    <m/>
    <s v="Α΄"/>
    <n v="1"/>
    <s v="ΒΛ1Γ9-41Ε"/>
    <d v="2013-11-21T00:00:00"/>
    <s v="Β΄ ΑΘΗΝΑΣ (Δ.Ε.) 2018"/>
    <s v="ΔΙΕΥΘΥΝΣΗ Δ.Ε. Β΄ ΑΘΗΝΑΣ"/>
    <s v="ΠΕΡΙΦΕΡΕΙΑΚΗ Δ/ΝΣΗ Α/ΘΜΙΑΣ ΚΑΙ Β/ΘΜΙΑΣ ΕΚΠ/ΣΗΣ ΑΤΤΙΚΗΣ"/>
    <n v="22"/>
    <d v="2013-11-21T00:00:00"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9-01-01T00:00:00"/>
    <x v="0"/>
    <s v="ΔΙΕΥΘΥΝΣΗ Δ.Ε. Β΄ ΑΘΗΝΑΣ"/>
    <x v="5"/>
  </r>
  <r>
    <x v="3704"/>
    <x v="1"/>
    <s v="ΠΕ11"/>
    <s v="ΦΥΣΙΚΗΣ ΑΓΩΓ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1-01T00:00:00"/>
    <x v="1"/>
    <s v="ΔΙΕΥΘΥΝΣΗ Π.Ε. Β΄ ΑΘΗΝΑΣ"/>
    <x v="5"/>
  </r>
  <r>
    <x v="3705"/>
    <x v="0"/>
    <s v="ΠΕ70"/>
    <s v="ΔΑΣΚΑΛΟΙ"/>
    <m/>
    <m/>
    <s v="Α΄"/>
    <n v="8"/>
    <s v="Φ.15.Α.3/4125/22-10-2007"/>
    <d v="2007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7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10-30T00:00:00"/>
    <x v="1"/>
    <s v="ΔΙΕΥΘΥΝΣΗ Π.Ε. ΑΝΑΤΟΛΙΚΗΣ ΑΤΤΙΚΗΣ"/>
    <x v="5"/>
  </r>
  <r>
    <x v="3706"/>
    <x v="0"/>
    <s v="ΠΕ86"/>
    <s v="ΠΛΗΡΟΦΟΡΙΚΗΣ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2"/>
    <m/>
    <s v="Ιδιωτικά Σχολεία"/>
    <x v="4"/>
    <s v="7191028"/>
    <s v="1ο ΙΔΙΩΤΙΚΟ ΔΗΜΟΤΙΚΟ ΕΛΑΙΩΝΕΣ ΠΥΛΑΙΑΣ ΘΕΣΣΑΛΟΝΙΚΗΣ - ΠΡΟΤΥΠΑ ΕΚΠΑΙΔΕΥΤΗΡΙΑ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10-19T00:00:00"/>
    <x v="1"/>
    <s v="ΔΙΕΥΘΥΝΣΗ Π.Ε. ΑΝΑΤ. ΘΕΣ/ΝΙΚΗΣ"/>
    <x v="5"/>
  </r>
  <r>
    <x v="3707"/>
    <x v="1"/>
    <s v="ΠΕ11"/>
    <s v="ΦΥΣΙΚΗΣ ΑΓΩΓΗΣ"/>
    <m/>
    <m/>
    <s v="Α΄"/>
    <n v="1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8-08-16T00:00:00"/>
    <x v="1"/>
    <s v="ΔΙΕΥΘΥΝΣΗ Π.Ε. ΔΥΤ. ΘΕΣ/ΝΙΚΗΣ"/>
    <x v="5"/>
  </r>
  <r>
    <x v="3708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07-28T00:00:00"/>
    <x v="1"/>
    <s v="ΔΙΕΥΘΥΝΣΗ Π.Ε. Δ΄ ΑΘΗΝΑΣ"/>
    <x v="5"/>
  </r>
  <r>
    <x v="3709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2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68-07-03T00:00:00"/>
    <x v="1"/>
    <s v="ΔΙΕΥΘΥΝΣΗ Π.Ε. Γ΄ ΑΘΗΝΑΣ"/>
    <x v="5"/>
  </r>
  <r>
    <x v="3710"/>
    <x v="1"/>
    <s v="ΠΕ05"/>
    <s v="ΓΑΛ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06-18T00:00:00"/>
    <x v="1"/>
    <s v="ΔΙΕΥΘΥΝΣΗ Π.Ε. Δ΄ ΑΘΗΝΑΣ"/>
    <x v="5"/>
  </r>
  <r>
    <x v="3711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4-25T00:00:00"/>
    <x v="0"/>
    <s v="ΔΙΕΥΘΥΝΣΗ Δ.Ε. Β΄ ΑΘΗΝΑΣ"/>
    <x v="5"/>
  </r>
  <r>
    <x v="3712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3-21T00:00:00"/>
    <x v="1"/>
    <s v="ΔΙΕΥΘΥΝΣΗ Π.Ε. Β΄ ΑΘΗΝΑΣ"/>
    <x v="5"/>
  </r>
  <r>
    <x v="3713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1-01T00:00:00"/>
    <x v="0"/>
    <s v="ΔΙΕΥΘΥΝΣΗ Δ.Ε. Β΄ ΑΘΗΝΑΣ"/>
    <x v="5"/>
  </r>
  <r>
    <x v="3714"/>
    <x v="0"/>
    <s v="ΠΕ80"/>
    <s v="ΟΙΚΟΝΟΜ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12-13T00:00:00"/>
    <x v="0"/>
    <s v="ΔΙΕΥΘΥΝΣΗ Δ.Ε. ΑΝΑΤΟΛΙΚΗΣ ΑΤΤΙΚΗΣ"/>
    <x v="5"/>
  </r>
  <r>
    <x v="3715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2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67-12-07T00:00:00"/>
    <x v="0"/>
    <s v="ΔΙΕΥΘΥΝΣΗ Δ.Ε. Β΄ ΑΘΗΝΑΣ"/>
    <x v="5"/>
  </r>
  <r>
    <x v="3716"/>
    <x v="1"/>
    <s v="ΠΕ06"/>
    <s v="ΑΓΓΛΙΚΗΣ ΦΙΛΟΛΟΓΙΑΣ"/>
    <m/>
    <m/>
    <s v="Γ΄"/>
    <n v="1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9-15T00:00:00"/>
    <x v="1"/>
    <s v="ΔΙΕΥΘΥΝΣΗ Π.Ε. Β΄ ΑΘΗΝΑΣ"/>
    <x v="5"/>
  </r>
  <r>
    <x v="3717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2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67-05-24T00:00:00"/>
    <x v="0"/>
    <s v="ΔΙΕΥΘΥΝΣΗ Δ.Ε. Α΄ ΑΘΗΝΑΣ"/>
    <x v="5"/>
  </r>
  <r>
    <x v="3718"/>
    <x v="1"/>
    <s v="ΠΕ11"/>
    <s v="ΦΥΣΙΚΗΣ ΑΓΩΓΗ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7-05-16T00:00:00"/>
    <x v="1"/>
    <s v="ΔΙΕΥΘΥΝΣΗ Π.Ε. ΠΕΙΡΑΙΑ"/>
    <x v="5"/>
  </r>
  <r>
    <x v="3719"/>
    <x v="1"/>
    <s v="ΠΕ06"/>
    <s v="ΑΓΓΛΙΚΗΣ ΦΙΛΟΛΟΓΙΑΣ"/>
    <m/>
    <m/>
    <s v="Α΄"/>
    <n v="9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d v="2008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7-03-27T00:00:00"/>
    <x v="1"/>
    <s v="ΔΙΕΥΘΥΝΣΗ Π.Ε. ΑΝΑΤΟΛΙΚΗΣ ΑΤΤΙΚΗΣ"/>
    <x v="5"/>
  </r>
  <r>
    <x v="3720"/>
    <x v="0"/>
    <s v="ΠΕ70"/>
    <s v="ΔΑΣΚΑΛΟΙ"/>
    <m/>
    <m/>
    <s v="Α΄"/>
    <n v="11"/>
    <s v="Φ.15.Α6/7058/18-11-2009"/>
    <d v="2009-09-01T00:00:00"/>
    <s v="Α΄ ΑΝΑΤ. ΑΤΤΙΚΗΣ (Π.Ε.) 2018"/>
    <s v="ΔΙΕΥΘΥΝΣΗ Π.Ε. ΑΝΑΤΟΛΙΚΗΣ ΑΤΤΙΚΗΣ"/>
    <s v="ΠΕΡΙΦΕΡΕΙΑΚΗ Δ/ΝΣΗ Α/ΘΜΙΑΣ ΚΑΙ Β/ΘΜΙΑΣ ΕΚΠ/ΣΗΣ ΑΤΤΙΚΗΣ"/>
    <n v="22"/>
    <d v="2009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01-08T00:00:00"/>
    <x v="1"/>
    <s v="ΔΙΕΥΘΥΝΣΗ Π.Ε. ΑΝΑΤΟΛΙΚΗΣ ΑΤΤΙΚΗΣ"/>
    <x v="5"/>
  </r>
  <r>
    <x v="3721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6-11-07T00:00:00"/>
    <x v="0"/>
    <s v="ΔΙΕΥΘΥΝΣΗ Δ.Ε. Β΄ ΑΘΗΝΑΣ"/>
    <x v="5"/>
  </r>
  <r>
    <x v="3722"/>
    <x v="1"/>
    <s v="ΠΕ70"/>
    <s v="ΔΑΣΚΑΛΟΙ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6-08-08T00:00:00"/>
    <x v="1"/>
    <s v="ΔΙΕΥΘΥΝΣΗ Π.Ε. ΔΥΤ. ΘΕΣ/ΝΙΚΗΣ"/>
    <x v="5"/>
  </r>
  <r>
    <x v="3723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6-06-22T00:00:00"/>
    <x v="1"/>
    <s v="ΔΙΕΥΘΥΝΣΗ Π.Ε. ΠΕΙΡΑΙΑ"/>
    <x v="5"/>
  </r>
  <r>
    <x v="3724"/>
    <x v="0"/>
    <s v="ΠΕ11"/>
    <s v="ΦΥΣΙΚΗΣ ΑΓΩΓΗΣ"/>
    <m/>
    <m/>
    <s v="Α΄"/>
    <n v="8"/>
    <m/>
    <m/>
    <s v="Α΄ ΜΑΓΝΗΣΙΑΣ (Π.Ε.) 2018"/>
    <s v="ΔΙΕΥΘΥΝΣΗ Π.Ε. ΜΑΓΝΗΣΙΑΣ"/>
    <s v="ΠΕΡΙΦΕΡΕΙΑΚΗ Δ/ΝΣΗ Α/ΘΜΙΑΣ ΚΑΙ Β/ΘΜΙΑΣ ΕΚΠ/ΣΗΣ ΘΕΣΣΑΛΙΑΣ"/>
    <n v="22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6-06-14T00:00:00"/>
    <x v="1"/>
    <s v="ΔΙΕΥΘΥΝΣΗ Π.Ε. ΜΑΓΝΗΣΙΑΣ"/>
    <x v="5"/>
  </r>
  <r>
    <x v="3725"/>
    <x v="0"/>
    <s v="ΠΕ79.01"/>
    <s v="ΜΟΥΣΙΚΗΣ ΕΠΙΣΤΗΜΗΣ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2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66-04-16T00:00:00"/>
    <x v="1"/>
    <s v="ΔΙΕΥΘΥΝΣΗ Π.Ε. ΗΡΑΚΛΕΙΟΥ"/>
    <x v="5"/>
  </r>
  <r>
    <x v="3726"/>
    <x v="0"/>
    <s v="ΠΕ89.02"/>
    <s v="ΣΧΕΔΙΑΣΜΟΥ ΚΑΙ ΠΑΡΑΓΩΓΗΣ ΠΡΟΪΟΝΤΩΝ"/>
    <m/>
    <m/>
    <s v="Α΄"/>
    <n v="7"/>
    <s v="6008/17-12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2"/>
    <d v="2009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5-10-16T00:00:00"/>
    <x v="1"/>
    <s v="ΔΙΕΥΘΥΝΣΗ Π.Ε. ΑΝΑΤΟΛΙΚΗΣ ΑΤΤΙΚΗΣ"/>
    <x v="5"/>
  </r>
  <r>
    <x v="3727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60008"/>
    <s v="ΕΚΠΑΙΔΕΥΤΗΡΙΑ ΚΑΝΤΑ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3-06T00:00:00"/>
    <x v="0"/>
    <s v="ΔΙΕΥΘΥΝΣΗ Δ.Ε. Β΄ ΑΘΗΝΑΣ"/>
    <x v="5"/>
  </r>
  <r>
    <x v="3728"/>
    <x v="0"/>
    <s v="ΠΕ11"/>
    <s v="ΦΥΣΙΚΗΣ ΑΓΩΓ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4-11-28T00:00:00"/>
    <x v="1"/>
    <s v="ΔΙΕΥΘΥΝΣΗ Π.Ε. Β΄ ΑΘΗΝΑΣ"/>
    <x v="5"/>
  </r>
  <r>
    <x v="3729"/>
    <x v="1"/>
    <s v="ΠΕ11"/>
    <s v="ΦΥΣΙΚΗΣ ΑΓΩΓΗ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4-10-08T00:00:00"/>
    <x v="1"/>
    <s v="ΔΙΕΥΘΥΝΣΗ Π.Ε. ΠΕΙΡΑΙΑ"/>
    <x v="5"/>
  </r>
  <r>
    <x v="3730"/>
    <x v="0"/>
    <s v="ΠΕ11"/>
    <s v="ΦΥΣΙΚΗΣ ΑΓΩΓΗ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2"/>
    <m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4-08-27T00:00:00"/>
    <x v="1"/>
    <s v="ΔΙΕΥΘΥΝΣΗ Π.Ε. ΧΑΝΙΩΝ"/>
    <x v="5"/>
  </r>
  <r>
    <x v="3731"/>
    <x v="1"/>
    <s v="ΠΕ05"/>
    <s v="ΓΑΛΛΙΚΗΣ ΦΙΛΟΛΟΓΙΑΣ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4-04-10T00:00:00"/>
    <x v="0"/>
    <s v="ΔΙΕΥΘΥΝΣΗ Δ.Ε. Γ΄ ΑΘΗΝΑΣ"/>
    <x v="5"/>
  </r>
  <r>
    <x v="3732"/>
    <x v="1"/>
    <s v="ΠΕ60"/>
    <s v="ΝΗΠΙΑΓΩΓΟΙ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2"/>
    <m/>
    <s v="Ιδιωτικά Σχολεία"/>
    <x v="1"/>
    <s v="7192017"/>
    <s v="ΙΔΙΩΤΙΚΟ ΝΗΠΙΑΓΩΓΕΙ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3-08-01T00:00:00"/>
    <x v="1"/>
    <s v="ΔΙΕΥΘΥΝΣΗ Π.Ε. ΔΥΤ. ΘΕΣ/ΝΙΚΗΣ"/>
    <x v="5"/>
  </r>
  <r>
    <x v="3733"/>
    <x v="0"/>
    <s v="ΠΕ80"/>
    <s v="ΟΙΚΟΝΟΜ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3-07-29T00:00:00"/>
    <x v="0"/>
    <s v="ΔΙΕΥΘΥΝΣΗ Δ.Ε. Β΄ ΑΘΗΝΑΣ"/>
    <x v="5"/>
  </r>
  <r>
    <x v="3734"/>
    <x v="0"/>
    <s v="ΠΕ03"/>
    <s v="ΜΑΘΗΜΑΤ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3-01-30T00:00:00"/>
    <x v="0"/>
    <s v="ΔΙΕΥΘΥΝΣΗ Δ.Ε. Γ΄ ΑΘΗΝΑΣ"/>
    <x v="5"/>
  </r>
  <r>
    <x v="3735"/>
    <x v="1"/>
    <s v="ΠΕ07"/>
    <s v="ΓΕΡΜΑΝ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09-24T00:00:00"/>
    <x v="0"/>
    <s v="ΔΙΕΥΘΥΝΣΗ Δ.Ε. Β΄ ΑΘΗΝΑΣ"/>
    <x v="5"/>
  </r>
  <r>
    <x v="3736"/>
    <x v="1"/>
    <s v="ΠΕ34"/>
    <s v="ΙΤΑΛΙΚΗΣ ΦΙΛΟΛΟΓΙΑΣ"/>
    <s v="ΠΕ78"/>
    <s v="ΚΟΙΝΩΝΙΚΩΝ ΕΠΙΣΤΗΜΩΝ"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1-10-30T00:00:00"/>
    <x v="0"/>
    <s v="ΔΙΕΥΘΥΝΣΗ Δ.Ε. Β΄ ΑΘΗΝΑΣ"/>
    <x v="5"/>
  </r>
  <r>
    <x v="3737"/>
    <x v="0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2"/>
    <m/>
    <s v="Ιδιωτικά Σχολεία"/>
    <x v="2"/>
    <s v="0560029"/>
    <s v="ΠΑΠΑΧΑΡΑΛΑΜΠΕΙΟ ΕΚΠΑΙΔΕΥΤΗΡΙΟ - ΙΔΙΩΤΙΚΟ ΓΥΜΝΑΣ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1-08-30T00:00:00"/>
    <x v="0"/>
    <s v="ΔΙΕΥΘΥΝΣΗ Δ.Ε. Γ΄ ΑΘΗΝΑΣ"/>
    <x v="5"/>
  </r>
  <r>
    <x v="3738"/>
    <x v="1"/>
    <s v="ΠΕ06"/>
    <s v="ΑΓΓ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2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8-08-08T00:00:00"/>
    <x v="1"/>
    <s v="ΔΙΕΥΘΥΝΣΗ Π.Ε. Δ΄ ΑΘΗΝΑΣ"/>
    <x v="5"/>
  </r>
  <r>
    <x v="3739"/>
    <x v="1"/>
    <s v="ΠΕ70"/>
    <s v="ΔΑΣΚΑΛΟΙ"/>
    <m/>
    <m/>
    <s v="Α΄"/>
    <n v="7"/>
    <m/>
    <d v="2018-09-01T00:00:00"/>
    <s v="Δ΄ ΑΘΗΝΑΣ (Π.Ε.) 2018"/>
    <s v="ΔΙΕΥΘΥΝΣΗ Π.Ε. Δ΄ ΑΘΗΝΑΣ"/>
    <s v="ΠΕΡΙΦΕΡΕΙΑΚΗ Δ/ΝΣΗ Α/ΘΜΙΑΣ ΚΑΙ Β/ΘΜΙΑΣ ΕΚΠ/ΣΗΣ ΑΤΤΙΚΗΣ"/>
    <n v="22"/>
    <d v="2018-09-01T00:00:00"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3-10-23T00:00:00"/>
    <x v="1"/>
    <s v="ΔΙΕΥΘΥΝΣΗ Π.Ε. Δ΄ ΑΘΗΝΑΣ"/>
    <x v="5"/>
  </r>
  <r>
    <x v="3740"/>
    <x v="1"/>
    <s v="ΠΕ05"/>
    <s v="ΓΑΛΛ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2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50-09-08T00:00:00"/>
    <x v="1"/>
    <s v="ΔΙΕΥΘΥΝΣΗ Π.Ε. ΠΕΙΡΑΙΑ"/>
    <x v="5"/>
  </r>
  <r>
    <x v="3741"/>
    <x v="0"/>
    <s v="ΠΕ78"/>
    <s v="ΚΟΙΝΩΝΙΚΩΝ ΕΠΙΣΤΗΜΩΝ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48-09-01T00:00:00"/>
    <x v="0"/>
    <s v="ΔΙΕΥΘΥΝΣΗ Δ.Ε. ΑΝΑΤΟΛΙΚΗΣ ΑΤΤΙΚΗΣ"/>
    <x v="5"/>
  </r>
  <r>
    <x v="3742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2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3743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74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2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3745"/>
    <x v="0"/>
    <s v="ΠΕ01"/>
    <s v="ΘΕΟΛΟΓΟΙ"/>
    <m/>
    <m/>
    <s v="Γ΄"/>
    <n v="1"/>
    <n v="15011"/>
    <d v="2018-09-10T00:00:00"/>
    <s v="Δ΄ ΑΘΗΝΑΣ (Δ.Ε.) 2018"/>
    <s v="ΔΙΕΥΘΥΝΣΗ Δ.Ε. Δ΄ ΑΘΗΝΑΣ"/>
    <s v="ΠΕΡΙΦΕΡΕΙΑΚΗ Δ/ΝΣΗ Α/ΘΜΙΑΣ ΚΑΙ Β/ΘΜΙΑΣ ΕΚΠ/ΣΗΣ ΑΤΤΙΚΗΣ"/>
    <n v="22"/>
    <d v="2018-09-10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Δ΄ ΑΘΗΝΑΣ"/>
    <x v="5"/>
  </r>
  <r>
    <x v="3746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747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748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749"/>
    <x v="1"/>
    <s v="ΠΕ08"/>
    <s v="ΚΑΛΛΙΤΕΧΝΙΚΩΝ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750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751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3752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2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3753"/>
    <x v="1"/>
    <s v="ΠΕ05"/>
    <s v="ΓΑΛ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2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3754"/>
    <x v="1"/>
    <s v="ΠΕ11"/>
    <s v="ΦΥΣΙΚΗΣ ΑΓΩΓΗΣ"/>
    <m/>
    <m/>
    <s v="Γ΄"/>
    <n v="1"/>
    <n v="9286"/>
    <d v="2018-09-01T00:00:00"/>
    <s v="ΛΑΡΙΣΑΣ (Π.Ε.) 2018"/>
    <s v="ΔΙΕΥΘΥΝΣΗ Π.Ε. ΛΑΡΙΣΑΣ"/>
    <s v="ΠΕΡΙΦΕΡΕΙΑΚΗ Δ/ΝΣΗ Α/ΘΜΙΑΣ ΚΑΙ Β/ΘΜΙΑΣ ΕΚΠ/ΣΗΣ ΘΕΣΣΑΛΙΑΣ"/>
    <n v="22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m/>
    <x v="1"/>
    <s v="ΔΙΕΥΘΥΝΣΗ Π.Ε. ΛΑΡΙΣΑΣ"/>
    <x v="5"/>
  </r>
  <r>
    <x v="3755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18-09-01T00:00:00"/>
    <x v="0"/>
    <s v="ΔΙΕΥΘΥΝΣΗ Δ.Ε. Β΄ ΑΘΗΝΑΣ"/>
    <x v="5"/>
  </r>
  <r>
    <x v="3756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57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58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59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60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61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2001-01-01T00:00:00"/>
    <x v="0"/>
    <s v="ΔΙΕΥΘΥΝΣΗ Δ.Ε. Β΄ ΑΘΗΝΑΣ"/>
    <x v="5"/>
  </r>
  <r>
    <x v="3762"/>
    <x v="1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63"/>
    <x v="1"/>
    <s v="ΠΕ08"/>
    <s v="ΚΑΛΛΙΤΕΧΝΙΚ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1-01-01T00:00:00"/>
    <x v="0"/>
    <s v="ΔΙΕΥΘΥΝΣΗ Δ.Ε. Β΄ ΑΘΗΝΑΣ"/>
    <x v="5"/>
  </r>
  <r>
    <x v="3764"/>
    <x v="1"/>
    <s v="ΠΕ06"/>
    <s v="ΑΓΓΛΙΚΗΣ ΦΙΛΟΛΟΓΙΑΣ"/>
    <m/>
    <m/>
    <s v="Γ΄"/>
    <n v="1"/>
    <s v="6699/3-10-2018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23"/>
    <d v="2018-09-01T00:00:00"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2"/>
    <s v="Τοποθέτηση σε Ιδιωτική Εκπαίδευση"/>
    <d v="2000-11-04T00:00:00"/>
    <x v="1"/>
    <s v="ΔΙΕΥΘΥΝΣΗ Π.Ε. ΔΩΔΕΚΑΝΗΣΟΥ"/>
    <x v="5"/>
  </r>
  <r>
    <x v="3765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0-01-01T00:00:00"/>
    <x v="0"/>
    <s v="ΔΙΕΥΘΥΝΣΗ Δ.Ε. Β΄ ΑΘΗΝΑΣ"/>
    <x v="5"/>
  </r>
  <r>
    <x v="3766"/>
    <x v="1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0-01-01T00:00:00"/>
    <x v="0"/>
    <s v="ΔΙΕΥΘΥΝΣΗ Δ.Ε. Β΄ ΑΘΗΝΑΣ"/>
    <x v="5"/>
  </r>
  <r>
    <x v="3767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0-01-01T00:00:00"/>
    <x v="0"/>
    <s v="ΔΙΕΥΘΥΝΣΗ Δ.Ε. Β΄ ΑΘΗΝΑΣ"/>
    <x v="5"/>
  </r>
  <r>
    <x v="3768"/>
    <x v="1"/>
    <s v="ΠΕ07"/>
    <s v="ΓΕΡΜΑΝ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2000-01-01T00:00:00"/>
    <x v="0"/>
    <s v="ΔΙΕΥΘΥΝΣΗ Δ.Ε. Β΄ ΑΘΗΝΑΣ"/>
    <x v="5"/>
  </r>
  <r>
    <x v="3769"/>
    <x v="0"/>
    <s v="ΠΕ04.02"/>
    <s v="ΧΗΜΙΚ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3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2000-01-01T00:00:00"/>
    <x v="0"/>
    <s v="ΔΙΕΥΘΥΝΣΗ Δ.Ε. ΧΑΝΙΩΝ"/>
    <x v="5"/>
  </r>
  <r>
    <x v="3770"/>
    <x v="0"/>
    <s v="ΠΕ03"/>
    <s v="ΜΑΘΗΜΑΤΙΚΟΙ"/>
    <m/>
    <m/>
    <s v="Γ΄"/>
    <n v="1"/>
    <s v="ΑΠ1893196"/>
    <d v="2018-09-19T00:00:00"/>
    <s v="Α΄ ΜΑΓΝΗΣΙΑΣ (Δ.Ε.) 2018"/>
    <s v="ΔΙΕΥΘΥΝΣΗ Δ.Ε. ΜΑΓΝΗΣΙΑΣ"/>
    <s v="ΠΕΡΙΦΕΡΕΙΑΚΗ Δ/ΝΣΗ Α/ΘΜΙΑΣ ΚΑΙ Β/ΘΜΙΑΣ ΕΚΠ/ΣΗΣ ΘΕΣΣΑΛΙΑΣ"/>
    <n v="23"/>
    <d v="2018-09-19T00:00:00"/>
    <s v="Ιδιωτικά Σχολεία"/>
    <x v="2"/>
    <s v="3560001"/>
    <s v="ΙΔΙΩΤΙΚΟ ΓΥΜΝΑΣ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95-09-25T00:00:00"/>
    <x v="0"/>
    <s v="ΔΙΕΥΘΥΝΣΗ Δ.Ε. ΜΑΓΝΗΣΙΑΣ"/>
    <x v="5"/>
  </r>
  <r>
    <x v="3771"/>
    <x v="0"/>
    <s v="ΠΕ06"/>
    <s v="ΑΓΓΛΙΚΗΣ ΦΙΛΟΛΟΓΙΑΣ"/>
    <m/>
    <m/>
    <s v="Γ΄"/>
    <n v="3"/>
    <n v="13104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92-09-21T00:00:00"/>
    <x v="0"/>
    <s v="ΔΙΕΥΘΥΝΣΗ Δ.Ε. ΑΝΑΤ. ΘΕΣ/ΝΙΚΗΣ"/>
    <x v="5"/>
  </r>
  <r>
    <x v="3772"/>
    <x v="1"/>
    <s v="ΠΕ02"/>
    <s v="ΦΙΛΟΛΟΓΟΙ"/>
    <m/>
    <m/>
    <s v="Γ΄"/>
    <n v="1"/>
    <n v="19677"/>
    <d v="2018-09-03T00:00:00"/>
    <s v="Α΄ ΠΕΙΡΑΙΑ (Δ.Ε.) 2018"/>
    <s v="ΔΙΕΥΘΥΝΣΗ Δ.Ε. ΠΕΙΡΑΙΑ"/>
    <s v="ΠΕΡΙΦΕΡΕΙΑΚΗ Δ/ΝΣΗ Α/ΘΜΙΑΣ ΚΑΙ Β/ΘΜΙΑΣ ΕΚΠ/ΣΗΣ ΑΤΤΙΚΗΣ"/>
    <n v="23"/>
    <d v="2018-09-03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92-04-06T00:00:00"/>
    <x v="0"/>
    <s v="ΔΙΕΥΘΥΝΣΗ Δ.Ε. ΠΕΙΡΑΙΑ"/>
    <x v="5"/>
  </r>
  <r>
    <x v="3773"/>
    <x v="0"/>
    <s v="ΠΕ06"/>
    <s v="ΑΓΓΛΙΚΗΣ ΦΙΛΟΛΟΓΙΑΣ"/>
    <m/>
    <m/>
    <s v="Γ΄"/>
    <n v="1"/>
    <s v="ΑΠ1964976"/>
    <d v="2018-09-19T00:00:00"/>
    <s v="ΠΙΕΡΙΑΣ (Π.Ε.) 2018"/>
    <s v="ΔΙΕΥΘΥΝΣΗ Π.Ε. ΠΙΕΡΙΑΣ"/>
    <s v="ΠΕΡΙΦΕΡΕΙΑΚΗ Δ/ΝΣΗ Α/ΘΜΙΑΣ ΚΑΙ Β/ΘΜΙΑΣ ΕΚΠ/ΣΗΣ ΚΕΝΤΡΙΚΗΣ ΜΑΚΕΔΟΝΙΑΣ"/>
    <n v="23"/>
    <d v="2018-09-19T00:00:00"/>
    <s v="Ιδιωτικά Σχολεία"/>
    <x v="4"/>
    <s v="7391000"/>
    <s v="ΙΔΙΩΤΙΚΟ ΔΗΜΟΤΙΚΟ ΚΑΤΕΡΙΝΗΣ - ΙΔΙΩΤΙΚΟ ΔΗΜ ΣΧΟΛΕΙΟ"/>
    <s v="ΠΙΕΡΙΑΣ (Π.Ε.) 2018"/>
    <s v="ΔΙΕΥΘΥΝΣΗ Π.Ε. ΠΙΕΡΙΑΣ"/>
    <s v="ΠΕΡΙΦΕΡΕΙΑΚΗ Δ/ΝΣΗ Α/ΘΜΙΑΣ ΚΑΙ Β/ΘΜΙΑΣ ΕΚΠ/ΣΗΣ ΚΕΝΤΡΙΚΗΣ ΜΑΚΕΔΟΝΙΑΣ"/>
    <x v="2"/>
    <s v="Τοποθέτηση σε Ιδιωτική Εκπαίδευση"/>
    <d v="1991-06-05T00:00:00"/>
    <x v="1"/>
    <s v="ΔΙΕΥΘΥΝΣΗ Π.Ε. ΠΙΕΡΙΑΣ"/>
    <x v="5"/>
  </r>
  <r>
    <x v="3774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3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1-03-31T00:00:00"/>
    <x v="1"/>
    <s v="ΔΙΕΥΘΥΝΣΗ Π.Ε. ΠΕΙΡΑΙΑ"/>
    <x v="5"/>
  </r>
  <r>
    <x v="3775"/>
    <x v="1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1-01-24T00:00:00"/>
    <x v="1"/>
    <s v="ΔΙΕΥΘΥΝΣΗ Π.Ε. ΚΟΡΙΝΘΙΑΣ"/>
    <x v="5"/>
  </r>
  <r>
    <x v="3776"/>
    <x v="1"/>
    <s v="ΠΕ07"/>
    <s v="ΓΕΡΜΑΝΙΚΗΣ ΦΙΛΟΛΟΓΙΑΣ"/>
    <m/>
    <m/>
    <s v="Γ΄"/>
    <n v="1"/>
    <n v="14177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12-21T00:00:00"/>
    <x v="0"/>
    <s v="ΔΙΕΥΘΥΝΣΗ Δ.Ε. ΑΝΑΤ. ΘΕΣ/ΝΙΚΗΣ"/>
    <x v="5"/>
  </r>
  <r>
    <x v="3777"/>
    <x v="1"/>
    <s v="ΠΕ08"/>
    <s v="ΚΑΛΛΙΤΕΧΝΙΚΩΝ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11-17T00:00:00"/>
    <x v="1"/>
    <s v="ΔΙΕΥΘΥΝΣΗ Π.Ε. ΛΑΡΙΣΑΣ"/>
    <x v="5"/>
  </r>
  <r>
    <x v="3778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0-11-01T00:00:00"/>
    <x v="0"/>
    <s v="ΔΙΕΥΘΥΝΣΗ Δ.Ε. Β΄ ΑΘΗΝΑΣ"/>
    <x v="5"/>
  </r>
  <r>
    <x v="3779"/>
    <x v="1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0-08-23T00:00:00"/>
    <x v="1"/>
    <s v="ΔΙΕΥΘΥΝΣΗ Π.Ε. ΚΟΡΙΝΘΙΑΣ"/>
    <x v="5"/>
  </r>
  <r>
    <x v="3780"/>
    <x v="0"/>
    <s v="ΠΕ80"/>
    <s v="ΟΙΚΟΝΟΜΙΑΣ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90-08-21T00:00:00"/>
    <x v="0"/>
    <s v="ΔΙΕΥΘΥΝΣΗ Δ.Ε. ΙΩΑΝΝΙΝΩΝ"/>
    <x v="5"/>
  </r>
  <r>
    <x v="3781"/>
    <x v="1"/>
    <s v="ΠΕ02"/>
    <s v="ΦΙΛΟΛΟΓΟΙ"/>
    <m/>
    <m/>
    <s v="Γ΄"/>
    <n v="1"/>
    <n v="18457"/>
    <d v="2018-09-10T00:00:00"/>
    <s v="Α΄ ΠΕΙΡΑΙΑ (Δ.Ε.) 2018"/>
    <s v="ΔΙΕΥΘΥΝΣΗ Δ.Ε. ΠΕΙΡΑΙΑ"/>
    <s v="ΠΕΡΙΦΕΡΕΙΑΚΗ Δ/ΝΣΗ Α/ΘΜΙΑΣ ΚΑΙ Β/ΘΜΙΑΣ ΕΚΠ/ΣΗΣ ΑΤΤΙΚΗΣ"/>
    <n v="23"/>
    <d v="2018-09-10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2"/>
    <s v="Τοποθέτηση σε Ιδιωτική Εκπαίδευση"/>
    <d v="1990-07-20T00:00:00"/>
    <x v="0"/>
    <s v="ΔΙΕΥΘΥΝΣΗ Δ.Ε. ΠΕΙΡΑΙΑ"/>
    <x v="5"/>
  </r>
  <r>
    <x v="3782"/>
    <x v="0"/>
    <s v="ΠΕ03"/>
    <s v="ΜΑΘΗΜΑΤΙΚ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3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90-07-18T00:00:00"/>
    <x v="0"/>
    <s v="ΔΙΕΥΘΥΝΣΗ Δ.Ε. ΚΟΡΙΝΘΙΑΣ"/>
    <x v="5"/>
  </r>
  <r>
    <x v="3783"/>
    <x v="1"/>
    <s v="ΠΕ80"/>
    <s v="ΟΙΚΟΝΟΜΙΑΣ"/>
    <m/>
    <m/>
    <s v="Γ΄"/>
    <n v="1"/>
    <n v="14176"/>
    <d v="2018-09-05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5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2"/>
    <s v="Τοποθέτηση σε Ιδιωτική Εκπαίδευση"/>
    <d v="1990-05-09T00:00:00"/>
    <x v="0"/>
    <s v="ΔΙΕΥΘΥΝΣΗ Δ.Ε. ΑΝΑΤ. ΘΕΣ/ΝΙΚΗΣ"/>
    <x v="5"/>
  </r>
  <r>
    <x v="3784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90-05-08T00:00:00"/>
    <x v="0"/>
    <s v="ΔΙΕΥΘΥΝΣΗ Δ.Ε. Β΄ ΑΘΗΝΑΣ"/>
    <x v="5"/>
  </r>
  <r>
    <x v="3785"/>
    <x v="1"/>
    <s v="ΠΕ11"/>
    <s v="ΦΥΣΙΚΗΣ ΑΓΩΓΗΣ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90-01-18T00:00:00"/>
    <x v="0"/>
    <s v="ΔΙΕΥΘΥΝΣΗ Δ.Ε. Δ΄ ΑΘΗΝΑΣ"/>
    <x v="5"/>
  </r>
  <r>
    <x v="3786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90-01-01T00:00:00"/>
    <x v="0"/>
    <s v="ΔΙΕΥΘΥΝΣΗ Δ.Ε. Β΄ ΑΘΗΝΑΣ"/>
    <x v="5"/>
  </r>
  <r>
    <x v="3787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4"/>
    <s v="ΙΔΙΩΤΙΚΟ - ΙΣΟΤΙΜΟ ΛΥΚΕΙΟ - Β' ΑΡΣΑΚΕΙΟ ΓΕΝΙΚΟ ΛΥΚΕΙΟ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0-01-01T00:00:00"/>
    <x v="0"/>
    <s v="ΔΙΕΥΘΥΝΣΗ Δ.Ε. Β΄ ΑΘΗΝΑΣ"/>
    <x v="5"/>
  </r>
  <r>
    <x v="3788"/>
    <x v="1"/>
    <s v="ΠΕ78"/>
    <s v="ΚΟΙΝΩΝΙΚΩΝ ΕΠΙΣΤΗΜ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9-12-28T00:00:00"/>
    <x v="0"/>
    <s v="ΔΙΕΥΘΥΝΣΗ Δ.Ε. Δ΄ ΑΘΗΝΑΣ"/>
    <x v="5"/>
  </r>
  <r>
    <x v="3789"/>
    <x v="1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3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9-11-10T00:00:00"/>
    <x v="0"/>
    <s v="ΔΙΕΥΘΥΝΣΗ Δ.Ε. ΚΟΡΙΝΘΙΑΣ"/>
    <x v="5"/>
  </r>
  <r>
    <x v="3790"/>
    <x v="1"/>
    <s v="ΠΕ04.04"/>
    <s v="ΒΙΟΛΟΓΟΙ"/>
    <m/>
    <m/>
    <s v="Γ΄"/>
    <n v="3"/>
    <n v="15539"/>
    <d v="2018-09-1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1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10-18T00:00:00"/>
    <x v="0"/>
    <s v="ΔΙΕΥΘΥΝΣΗ Δ.Ε. ΑΝΑΤ. ΘΕΣ/ΝΙΚΗΣ"/>
    <x v="5"/>
  </r>
  <r>
    <x v="3791"/>
    <x v="0"/>
    <s v="ΠΕ03"/>
    <s v="ΜΑΘΗΜΑΤΙΚΟΙ"/>
    <m/>
    <m/>
    <s v="Γ΄"/>
    <n v="1"/>
    <n v="17956"/>
    <d v="2018-09-11T00:00:00"/>
    <s v="ΛΑΡΙΣΑΣ (Δ.Ε.) 2018"/>
    <s v="ΔΙΕΥΘΥΝΣΗ Δ.Ε. ΛΑΡΙΣΑΣ"/>
    <s v="ΠΕΡΙΦΕΡΕΙΑΚΗ Δ/ΝΣΗ Α/ΘΜΙΑΣ ΚΑΙ Β/ΘΜΙΑΣ ΕΚΠ/ΣΗΣ ΘΕΣΣΑΛΙΑΣ"/>
    <n v="23"/>
    <d v="2018-09-1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9-09-25T00:00:00"/>
    <x v="0"/>
    <s v="ΔΙΕΥΘΥΝΣΗ Δ.Ε. ΛΑΡΙΣΑΣ"/>
    <x v="5"/>
  </r>
  <r>
    <x v="3792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3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8-07T00:00:00"/>
    <x v="1"/>
    <s v="ΔΙΕΥΘΥΝΣΗ Π.Ε. ΠΕΙΡΑΙΑ"/>
    <x v="5"/>
  </r>
  <r>
    <x v="3793"/>
    <x v="1"/>
    <s v="ΠΕ06"/>
    <s v="ΑΓΓΛΙΚΗΣ ΦΙΛΟΛΟΓΙΑΣ"/>
    <m/>
    <m/>
    <s v="Γ΄"/>
    <n v="1"/>
    <n v="12817"/>
    <d v="2018-11-13T00:00:00"/>
    <s v="ΠΙΕΡΙΑΣ (Δ.Ε.) 2018"/>
    <s v="ΔΙΕΥΘΥΝΣΗ Δ.Ε. ΠΙΕΡΙΑΣ"/>
    <s v="ΠΕΡΙΦΕΡΕΙΑΚΗ Δ/ΝΣΗ Α/ΘΜΙΑΣ ΚΑΙ Β/ΘΜΙΑΣ ΕΚΠ/ΣΗΣ ΚΕΝΤΡΙΚΗΣ ΜΑΚΕΔΟΝΙΑΣ"/>
    <n v="23"/>
    <d v="2018-11-13T00:00:00"/>
    <m/>
    <x v="6"/>
    <s v=""/>
    <m/>
    <m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89-07-31T00:00:00"/>
    <x v="0"/>
    <s v="ΔΙΕΥΘΥΝΣΗ Δ.Ε. ΠΙΕΡΙΑΣ"/>
    <x v="5"/>
  </r>
  <r>
    <x v="3794"/>
    <x v="1"/>
    <s v="ΠΕ80"/>
    <s v="ΟΙΚΟΝΟΜΙΑΣ"/>
    <m/>
    <m/>
    <s v="Γ΄"/>
    <n v="4"/>
    <n v="18015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06-14T00:00:00"/>
    <x v="0"/>
    <s v="ΔΙΕΥΘΥΝΣΗ Δ.Ε. ΑΝΑΤ. ΘΕΣ/ΝΙΚΗΣ"/>
    <x v="5"/>
  </r>
  <r>
    <x v="3795"/>
    <x v="0"/>
    <s v="ΠΕ02"/>
    <s v="ΦΙΛΟΛΟΓΟΙ"/>
    <m/>
    <m/>
    <s v="Γ΄"/>
    <n v="1"/>
    <s v="ΑΠ1893132"/>
    <d v="2018-09-19T00:00:00"/>
    <s v="Α΄ ΜΑΓΝΗΣΙΑΣ (Δ.Ε.) 2018"/>
    <s v="ΔΙΕΥΘΥΝΣΗ Δ.Ε. ΜΑΓΝΗΣΙΑΣ"/>
    <s v="ΠΕΡΙΦΕΡΕΙΑΚΗ Δ/ΝΣΗ Α/ΘΜΙΑΣ ΚΑΙ Β/ΘΜΙΑΣ ΕΚΠ/ΣΗΣ ΘΕΣΣΑΛΙΑΣ"/>
    <n v="23"/>
    <d v="2018-09-19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89-04-07T00:00:00"/>
    <x v="0"/>
    <s v="ΔΙΕΥΘΥΝΣΗ Δ.Ε. ΜΑΓΝΗΣΙΑΣ"/>
    <x v="5"/>
  </r>
  <r>
    <x v="3796"/>
    <x v="1"/>
    <s v="ΠΕ79.01"/>
    <s v="ΜΟΥΣΙΚΗΣ ΕΠΙΣΤΗΜΗΣ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9-03-16T00:00:00"/>
    <x v="0"/>
    <s v="ΔΙΕΥΘΥΝΣΗ Δ.Ε. Δ΄ ΑΘΗΝΑΣ"/>
    <x v="5"/>
  </r>
  <r>
    <x v="3797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89-02-05T00:00:00"/>
    <x v="0"/>
    <s v="ΔΙΕΥΘΥΝΣΗ Δ.Ε. Β΄ ΑΘΗΝΑΣ"/>
    <x v="5"/>
  </r>
  <r>
    <x v="3798"/>
    <x v="1"/>
    <s v="ΠΕ80"/>
    <s v="ΟΙΚΟΝΟΜ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9-01-16T00:00:00"/>
    <x v="0"/>
    <s v="ΔΙΕΥΘΥΝΣΗ Δ.Ε. Β΄ ΑΘΗΝΑΣ"/>
    <x v="5"/>
  </r>
  <r>
    <x v="3799"/>
    <x v="0"/>
    <s v="ΠΕ08"/>
    <s v="ΚΑΛΛΙΤΕΧΝΙΚΩΝ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3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9-01-07T00:00:00"/>
    <x v="0"/>
    <s v="ΔΙΕΥΘΥΝΣΗ Δ.Ε. ΛΑΡΙΣΑΣ"/>
    <x v="5"/>
  </r>
  <r>
    <x v="3800"/>
    <x v="1"/>
    <s v="ΠΕ06"/>
    <s v="ΑΓΓΛΙΚΗΣ ΦΙΛΟΛΟΓΙΑΣ"/>
    <m/>
    <m/>
    <s v="Γ΄"/>
    <n v="1"/>
    <s v="12820/13-11-2018"/>
    <d v="2018-11-01T00:00:00"/>
    <s v="ΠΙΕΡΙΑΣ (Δ.Ε.) 2018"/>
    <s v="ΔΙΕΥΘΥΝΣΗ Δ.Ε. ΠΙΕΡΙΑΣ"/>
    <s v="ΠΕΡΙΦΕΡΕΙΑΚΗ Δ/ΝΣΗ Α/ΘΜΙΑΣ ΚΑΙ Β/ΘΜΙΑΣ ΕΚΠ/ΣΗΣ ΚΕΝΤΡΙΚΗΣ ΜΑΚΕΔΟΝΙΑΣ"/>
    <n v="23"/>
    <d v="2018-11-01T00:00:00"/>
    <m/>
    <x v="6"/>
    <s v=""/>
    <m/>
    <m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89-01-07T00:00:00"/>
    <x v="0"/>
    <s v="ΔΙΕΥΘΥΝΣΗ Δ.Ε. ΠΙΕΡΙΑΣ"/>
    <x v="5"/>
  </r>
  <r>
    <x v="3801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8-10-25T00:00:00"/>
    <x v="0"/>
    <s v="ΔΙΕΥΘΥΝΣΗ Δ.Ε. Β΄ ΑΘΗΝΑΣ"/>
    <x v="5"/>
  </r>
  <r>
    <x v="3802"/>
    <x v="1"/>
    <s v="ΠΕ80"/>
    <s v="ΟΙΚΟΝΟΜ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8-10-04T00:00:00"/>
    <x v="0"/>
    <s v="ΔΙΕΥΘΥΝΣΗ Δ.Ε. ΑΝΑΤΟΛΙΚΗΣ ΑΤΤΙΚΗΣ"/>
    <x v="5"/>
  </r>
  <r>
    <x v="3803"/>
    <x v="0"/>
    <s v="ΠΕ03"/>
    <s v="ΜΑΘΗΜΑΤΙΚΟΙ"/>
    <m/>
    <m/>
    <s v="Γ΄"/>
    <n v="1"/>
    <n v="8701"/>
    <d v="2017-08-31T00:00:00"/>
    <s v="ΠΙΕΡΙΑΣ (Δ.Ε.) 2018"/>
    <s v="ΔΙΕΥΘΥΝΣΗ Δ.Ε. ΠΙΕΡΙΑΣ"/>
    <s v="ΠΕΡΙΦΕΡΕΙΑΚΗ Δ/ΝΣΗ Α/ΘΜΙΑΣ ΚΑΙ Β/ΘΜΙΑΣ ΕΚΠ/ΣΗΣ ΚΕΝΤΡΙΚΗΣ ΜΑΚΕΔΟΝΙΑΣ"/>
    <n v="23"/>
    <d v="2017-09-01T00:00:00"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8-07-01T00:00:00"/>
    <x v="0"/>
    <s v="ΔΙΕΥΘΥΝΣΗ Δ.Ε. ΠΙΕΡΙΑΣ"/>
    <x v="5"/>
  </r>
  <r>
    <x v="3804"/>
    <x v="0"/>
    <s v="ΠΕ83"/>
    <s v="ΗΛΕΚΤΡΟΛΟΓΩΝ"/>
    <s v="ΠΕ86"/>
    <s v="ΠΛΗΡΟΦΟΡΙΚΗΣ"/>
    <s v="Α΄"/>
    <n v="1"/>
    <s v="ΔΥ"/>
    <d v="2018-11-13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11-13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8-05-17T00:00:00"/>
    <x v="0"/>
    <s v="ΔΙΕΥΘΥΝΣΗ Δ.Ε. ΑΝΑΤ. ΘΕΣ/ΝΙΚΗΣ"/>
    <x v="5"/>
  </r>
  <r>
    <x v="3805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3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8-04-08T00:00:00"/>
    <x v="1"/>
    <s v="ΔΙΕΥΘΥΝΣΗ Π.Ε. ΠΕΙΡΑΙΑ"/>
    <x v="5"/>
  </r>
  <r>
    <x v="3806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8-03-13T00:00:00"/>
    <x v="0"/>
    <s v="ΔΙΕΥΘΥΝΣΗ Δ.Ε. Β΄ ΑΘΗΝΑΣ"/>
    <x v="5"/>
  </r>
  <r>
    <x v="3807"/>
    <x v="0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8-01-04T00:00:00"/>
    <x v="1"/>
    <s v="ΔΙΕΥΘΥΝΣΗ Π.Ε. ΚΟΡΙΝΘΙΑΣ"/>
    <x v="5"/>
  </r>
  <r>
    <x v="3808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7-12-15T00:00:00"/>
    <x v="0"/>
    <s v="ΔΙΕΥΘΥΝΣΗ Δ.Ε. Β΄ ΑΘΗΝΑΣ"/>
    <x v="5"/>
  </r>
  <r>
    <x v="3809"/>
    <x v="1"/>
    <s v="ΠΕ02"/>
    <s v="ΦΙΛΟΛΟΓΟΙ"/>
    <m/>
    <m/>
    <s v="Γ΄"/>
    <n v="1"/>
    <s v="Φ. 17.2 / 3517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3"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7-09-03T00:00:00"/>
    <x v="0"/>
    <s v="ΔΙΕΥΘΥΝΣΗ Δ.Ε. ΔΩΔΕΚΑΝΗΣΟΥ"/>
    <x v="5"/>
  </r>
  <r>
    <x v="3810"/>
    <x v="1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6-10T00:00:00"/>
    <x v="0"/>
    <s v="ΔΙΕΥΘΥΝΣΗ Δ.Ε. Β΄ ΑΘΗΝΑΣ"/>
    <x v="5"/>
  </r>
  <r>
    <x v="3811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5-17T00:00:00"/>
    <x v="0"/>
    <s v="ΔΙΕΥΘΥΝΣΗ Δ.Ε. Β΄ ΑΘΗΝΑΣ"/>
    <x v="5"/>
  </r>
  <r>
    <x v="3812"/>
    <x v="1"/>
    <s v="ΠΕ04.01"/>
    <s v="ΦΥΣΙΚ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7-05-16T00:00:00"/>
    <x v="0"/>
    <s v="ΔΙΕΥΘΥΝΣΗ Δ.Ε. Δ΄ ΑΘΗΝΑΣ"/>
    <x v="5"/>
  </r>
  <r>
    <x v="3813"/>
    <x v="1"/>
    <s v="ΠΕ06"/>
    <s v="ΑΓΓΛΙΚΗΣ ΦΙΛΟΛΟΓΙΑΣ"/>
    <m/>
    <m/>
    <s v="Γ΄"/>
    <n v="3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7-05-01T00:00:00"/>
    <x v="0"/>
    <s v="ΔΙΕΥΘΥΝΣΗ Δ.Ε. Δ΄ ΑΘΗΝΑΣ"/>
    <x v="5"/>
  </r>
  <r>
    <x v="3814"/>
    <x v="1"/>
    <s v="ΠΕ03"/>
    <s v="ΜΑΘΗΜΑΤΙΚΟΙ"/>
    <m/>
    <m/>
    <s v="Γ΄"/>
    <n v="1"/>
    <m/>
    <m/>
    <s v="Α΄ ΑΘΗΝΑΣ (Δ.Ε.) 2018"/>
    <s v="ΔΙΕΥΘΥΝΣΗ Δ.Ε. Α΄ ΑΘΗΝΑΣ"/>
    <s v="ΠΕΡΙΦΕΡΕΙΑΚΗ Δ/ΝΣΗ Α/ΘΜΙΑΣ ΚΑΙ Β/ΘΜΙΑΣ ΕΚΠ/ΣΗΣ ΑΤΤΙΚΗΣ"/>
    <n v="23"/>
    <m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7-04-30T00:00:00"/>
    <x v="0"/>
    <s v="ΔΙΕΥΘΥΝΣΗ Δ.Ε. Α΄ ΑΘΗΝΑΣ"/>
    <x v="5"/>
  </r>
  <r>
    <x v="3815"/>
    <x v="0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7-04-26T00:00:00"/>
    <x v="0"/>
    <s v="ΔΙΕΥΘΥΝΣΗ Δ.Ε. Δ΄ ΑΘΗΝΑΣ"/>
    <x v="5"/>
  </r>
  <r>
    <x v="3816"/>
    <x v="0"/>
    <s v="ΠΕ03"/>
    <s v="ΜΑΘΗΜΑΤΙΚΟΙ"/>
    <m/>
    <m/>
    <s v="Γ΄"/>
    <n v="3"/>
    <s v="15539Α"/>
    <d v="2018-09-1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1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7-04-07T00:00:00"/>
    <x v="0"/>
    <s v="ΔΙΕΥΘΥΝΣΗ Δ.Ε. ΑΝΑΤ. ΘΕΣ/ΝΙΚΗΣ"/>
    <x v="5"/>
  </r>
  <r>
    <x v="3817"/>
    <x v="1"/>
    <s v="ΠΕ02"/>
    <s v="ΦΙΛΟΛΟΓ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81605"/>
    <s v="ΙΔΙΩΤΙΚΟ ΓΥΜΝΑΣΙΟ &quot;ΕΚΠΑΙΔΕΥΤΗΡΙΑ ΛΑΜΠΙΡΗ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7-03-31T00:00:00"/>
    <x v="0"/>
    <s v="ΔΙΕΥΘΥΝΣΗ Δ.Ε. Δ΄ ΑΘΗΝΑΣ"/>
    <x v="5"/>
  </r>
  <r>
    <x v="3818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7-01-31T00:00:00"/>
    <x v="0"/>
    <s v="ΔΙΕΥΘΥΝΣΗ Δ.Ε. Β΄ ΑΘΗΝΑΣ"/>
    <x v="5"/>
  </r>
  <r>
    <x v="3819"/>
    <x v="1"/>
    <s v="ΠΕ79.01"/>
    <s v="ΜΟΥΣΙΚΗΣ ΕΠΙΣΤΗΜ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6-11-08T00:00:00"/>
    <x v="0"/>
    <s v="ΔΙΕΥΘΥΝΣΗ Δ.Ε. Β΄ ΑΘΗΝΑΣ"/>
    <x v="5"/>
  </r>
  <r>
    <x v="3820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6-09-05T00:00:00"/>
    <x v="0"/>
    <s v="ΔΙΕΥΘΥΝΣΗ Δ.Ε. Β΄ ΑΘΗΝΑΣ"/>
    <x v="5"/>
  </r>
  <r>
    <x v="3821"/>
    <x v="1"/>
    <s v="ΠΕ70"/>
    <s v="ΔΑΣΚΑΛΟΙ"/>
    <m/>
    <m/>
    <s v="Γ΄"/>
    <n v="1"/>
    <s v="3558/16-9-20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7-25T00:00:00"/>
    <x v="1"/>
    <s v="ΔΙΕΥΘΥΝΣΗ Π.Ε. Β΄ ΑΘΗΝΑΣ"/>
    <x v="5"/>
  </r>
  <r>
    <x v="3822"/>
    <x v="0"/>
    <s v="ΠΕ11"/>
    <s v="ΦΥΣΙΚΗΣ ΑΓΩΓΗΣ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6-07-15T00:00:00"/>
    <x v="0"/>
    <s v="ΔΙΕΥΘΥΝΣΗ Δ.Ε. ΔΩΔΕΚΑΝΗΣΟΥ"/>
    <x v="5"/>
  </r>
  <r>
    <x v="3823"/>
    <x v="0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3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6-03-04T00:00:00"/>
    <x v="1"/>
    <s v="ΔΙΕΥΘΥΝΣΗ Π.Ε. ΚΟΡΙΝΘΙΑΣ"/>
    <x v="5"/>
  </r>
  <r>
    <x v="3824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6-02-09T00:00:00"/>
    <x v="0"/>
    <s v="ΔΙΕΥΘΥΝΣΗ Δ.Ε. Β΄ ΑΘΗΝΑΣ"/>
    <x v="5"/>
  </r>
  <r>
    <x v="3825"/>
    <x v="1"/>
    <s v="ΠΕ86"/>
    <s v="ΠΛΗΡΟΦΟΡΙΚ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6-01-21T00:00:00"/>
    <x v="0"/>
    <s v="ΔΙΕΥΘΥΝΣΗ Δ.Ε. Β΄ ΑΘΗΝΑΣ"/>
    <x v="5"/>
  </r>
  <r>
    <x v="3826"/>
    <x v="0"/>
    <s v="ΠΕ02"/>
    <s v="ΦΙΛΟΛΟΓΟΙ"/>
    <m/>
    <m/>
    <s v="Γ΄"/>
    <n v="1"/>
    <n v="9265"/>
    <d v="2018-09-01T00:00:00"/>
    <s v="ΠΙΕΡΙΑΣ (Δ.Ε.) 2018"/>
    <s v="ΔΙΕΥΘΥΝΣΗ Δ.Ε. ΠΙΕΡΙΑΣ"/>
    <s v="ΠΕΡΙΦΕΡΕΙΑΚΗ Δ/ΝΣΗ Α/ΘΜΙΑΣ ΚΑΙ Β/ΘΜΙΑΣ ΕΚΠ/ΣΗΣ ΚΕΝΤΡΙΚΗΣ ΜΑΚΕΔΟΝΙΑΣ"/>
    <n v="23"/>
    <d v="2018-09-01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0"/>
    <s v="Τοποθέτηση σε Ιδιωτική Εκπαίδευση"/>
    <d v="1985-12-09T00:00:00"/>
    <x v="0"/>
    <s v="ΔΙΕΥΘΥΝΣΗ Δ.Ε. ΠΙΕΡΙΑΣ"/>
    <x v="5"/>
  </r>
  <r>
    <x v="3827"/>
    <x v="1"/>
    <s v="ΠΕ02"/>
    <s v="ΦΙΛΟΛΟΓΟΙ"/>
    <m/>
    <m/>
    <s v="Γ΄"/>
    <n v="1"/>
    <n v="8138"/>
    <d v="2018-09-01T00:00:00"/>
    <s v="ΙΩΑΝΝΙΝΩΝ (Δ.Ε.) 2018"/>
    <s v="ΔΙΕΥΘΥΝΣΗ Δ.Ε. ΙΩΑΝΝΙΝΩΝ"/>
    <s v="ΠΕΡΙΦΕΡΕΙΑΚΗ Δ/ΝΣΗ Α/ΘΜΙΑΣ ΚΑΙ Β/ΘΜΙΑΣ ΕΚΠ/ΣΗΣ ΗΠΕΙΡΟΥ"/>
    <n v="23"/>
    <d v="2018-09-01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5-11-15T00:00:00"/>
    <x v="0"/>
    <s v="ΔΙΕΥΘΥΝΣΗ Δ.Ε. ΙΩΑΝΝΙΝΩΝ"/>
    <x v="5"/>
  </r>
  <r>
    <x v="3828"/>
    <x v="1"/>
    <s v="ΠΕ03"/>
    <s v="ΜΑΘΗΜΑΤ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5-10-20T00:00:00"/>
    <x v="0"/>
    <s v="ΔΙΕΥΘΥΝΣΗ Δ.Ε. ΙΩΑΝΝΙΝΩΝ"/>
    <x v="5"/>
  </r>
  <r>
    <x v="382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9-30T00:00:00"/>
    <x v="1"/>
    <s v="ΔΙΕΥΘΥΝΣΗ Π.Ε. Β΄ ΑΘΗΝΑΣ"/>
    <x v="5"/>
  </r>
  <r>
    <x v="3830"/>
    <x v="1"/>
    <s v="ΠΕ70"/>
    <s v="ΔΑΣΚΑΛΟΙ"/>
    <m/>
    <m/>
    <s v="Γ΄"/>
    <n v="1"/>
    <s v="185/21-01-08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9-10T00:00:00"/>
    <x v="1"/>
    <s v="ΔΙΕΥΘΥΝΣΗ Π.Ε. Β΄ ΑΘΗΝΑΣ"/>
    <x v="5"/>
  </r>
  <r>
    <x v="3831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65"/>
    <s v="ΙΔΙΩΤΙΚΟ ΗΜΕΡΗΣΙΟ ΓΥΜΝΑΣΙΟ ΑΜΑΡΟΥΣΙΟΥ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9-08T00:00:00"/>
    <x v="0"/>
    <s v="ΔΙΕΥΘΥΝΣΗ Δ.Ε. Β΄ ΑΘΗΝΑΣ"/>
    <x v="5"/>
  </r>
  <r>
    <x v="3832"/>
    <x v="0"/>
    <s v="ΠΕ03"/>
    <s v="ΜΑΘΗΜΑΤΙΚΟΙ"/>
    <m/>
    <m/>
    <s v="Γ΄"/>
    <n v="1"/>
    <s v="19828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d v="2018-09-01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5-09-03T00:00:00"/>
    <x v="0"/>
    <s v="ΔΙΕΥΘΥΝΣΗ Δ.Ε. ΛΑΡΙΣΑΣ"/>
    <x v="5"/>
  </r>
  <r>
    <x v="3833"/>
    <x v="0"/>
    <s v="ΠΕ82"/>
    <s v="ΜΗΧΑΝΟΛΟΓ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5-07-17T00:00:00"/>
    <x v="0"/>
    <s v="ΔΙΕΥΘΥΝΣΗ Δ.Ε. Β΄ ΑΘΗΝΑΣ"/>
    <x v="5"/>
  </r>
  <r>
    <x v="3834"/>
    <x v="1"/>
    <s v="ΠΕ11"/>
    <s v="ΦΥΣΙΚΗΣ ΑΓΩΓΗΣ"/>
    <m/>
    <m/>
    <s v="Γ΄"/>
    <n v="1"/>
    <n v="11285"/>
    <d v="2018-09-01T00:00:00"/>
    <s v="Δ΄ ΑΘΗΝΑΣ (Π.Ε.) 2018"/>
    <s v="ΔΙΕΥΘΥΝΣΗ Π.Ε. Δ΄ ΑΘΗΝΑΣ"/>
    <s v="ΠΕΡΙΦΕΡΕΙΑΚΗ Δ/ΝΣΗ Α/ΘΜΙΑΣ ΚΑΙ Β/ΘΜΙΑΣ ΕΚΠ/ΣΗΣ ΑΤΤΙΚΗΣ"/>
    <n v="23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5-07-06T00:00:00"/>
    <x v="1"/>
    <s v="ΔΙΕΥΘΥΝΣΗ Π.Ε. Δ΄ ΑΘΗΝΑΣ"/>
    <x v="5"/>
  </r>
  <r>
    <x v="3835"/>
    <x v="1"/>
    <s v="ΠΕ02"/>
    <s v="ΦΙΛΟΛΟΓΟΙ"/>
    <m/>
    <m/>
    <s v="Γ΄"/>
    <n v="1"/>
    <n v="8138"/>
    <d v="2018-09-01T00:00:00"/>
    <s v="ΙΩΑΝΝΙΝΩΝ (Δ.Ε.) 2018"/>
    <s v="ΔΙΕΥΘΥΝΣΗ Δ.Ε. ΙΩΑΝΝΙΝΩΝ"/>
    <s v="ΠΕΡΙΦΕΡΕΙΑΚΗ Δ/ΝΣΗ Α/ΘΜΙΑΣ ΚΑΙ Β/ΘΜΙΑΣ ΕΚΠ/ΣΗΣ ΗΠΕΙΡΟΥ"/>
    <n v="23"/>
    <d v="2018-09-01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5-06-14T00:00:00"/>
    <x v="0"/>
    <s v="ΔΙΕΥΘΥΝΣΗ Δ.Ε. ΙΩΑΝΝΙΝΩΝ"/>
    <x v="5"/>
  </r>
  <r>
    <x v="3836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5-05-10T00:00:00"/>
    <x v="0"/>
    <s v="ΔΙΕΥΘΥΝΣΗ Δ.Ε. ΑΝΑΤΟΛΙΚΗΣ ΑΤΤΙΚΗΣ"/>
    <x v="5"/>
  </r>
  <r>
    <x v="3837"/>
    <x v="1"/>
    <s v="ΠΕ01"/>
    <s v="ΘΕΟΛΟΓΟΙ"/>
    <m/>
    <m/>
    <s v="Γ΄"/>
    <n v="1"/>
    <s v="Φ.17.2 / 177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3"/>
    <d v="2018-09-01T00:00:00"/>
    <s v="Ιδιωτικά Σχολεία"/>
    <x v="2"/>
    <s v="1081010"/>
    <s v="ΙΔΙΩΤΙΚΟ ΓΥΜΝΑΣΙΟ ΕΚΠΑΙΔΕΥΤΗΡΙΩΝ ΔΩΔΕΚΑΝΗΣΟΥ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5-04-30T00:00:00"/>
    <x v="0"/>
    <s v="ΔΙΕΥΘΥΝΣΗ Δ.Ε. ΔΩΔΕΚΑΝΗΣΟΥ"/>
    <x v="5"/>
  </r>
  <r>
    <x v="3838"/>
    <x v="1"/>
    <s v="ΠΕ02"/>
    <s v="ΦΙΛΟΛΟΓΟΙ"/>
    <m/>
    <m/>
    <s v="Γ΄"/>
    <n v="1"/>
    <s v="12986/Φ17.2"/>
    <d v="2018-09-19T00:00:00"/>
    <s v="ΞΑΝΘΗΣ (Δ.Ε.) 2018"/>
    <s v="ΔΙΕΥΘΥΝΣΗ Δ.Ε. ΞΑΝΘΗΣ"/>
    <s v="ΠΕΡΙΦΕΡΕΙΑΚΗ Δ/ΝΣΗ Α/ΘΜΙΑΣ ΚΑΙ Β/ΘΜΙΑΣ ΕΚΠ/ΣΗΣ ΑΝ. ΜΑΚΕΔΟΝΙΑΣ ΚΑΙ ΘΡΑΚΗΣ"/>
    <n v="23"/>
    <d v="2018-09-19T00:00:00"/>
    <s v="Ιδιωτικά Σχολεία"/>
    <x v="2"/>
    <s v="3781010"/>
    <s v="ΙΔΙΩΤΙΚΟ ΓΥΜΝΑΣΙΟ ΞΑΝΘΗ - ΑΞΙΟΝ"/>
    <s v="ΞΑΝΘΗΣ (Δ.Ε.) 2018"/>
    <s v="ΔΙΕΥΘΥΝΣΗ Δ.Ε. ΞΑΝΘΗΣ"/>
    <s v="ΠΕΡΙΦΕΡΕΙΑΚΗ Δ/ΝΣΗ Α/ΘΜΙΑΣ ΚΑΙ Β/ΘΜΙΑΣ ΕΚΠ/ΣΗΣ ΑΝ. ΜΑΚΕΔΟΝΙΑΣ ΚΑΙ ΘΡΑΚΗΣ"/>
    <x v="0"/>
    <s v="Τοποθέτηση σε Ιδιωτική Εκπαίδευση"/>
    <d v="1985-04-29T00:00:00"/>
    <x v="0"/>
    <s v="ΔΙΕΥΘΥΝΣΗ Δ.Ε. ΞΑΝΘΗΣ"/>
    <x v="5"/>
  </r>
  <r>
    <x v="3839"/>
    <x v="0"/>
    <s v="ΠΕ86"/>
    <s v="ΠΛΗΡΟΦΟΡΙΚΗΣ"/>
    <s v="ΠΕ83"/>
    <s v="ΗΛΕΚΤΡΟΛΟΓΩΝ"/>
    <s v="Γ΄"/>
    <n v="1"/>
    <s v="6998/24-09-2018"/>
    <d v="2018-09-11T00:00:00"/>
    <s v="ΙΩΑΝΝΙΝΩΝ (Π.Ε.) 2018"/>
    <s v="ΔΙΕΥΘΥΝΣΗ Π.Ε. ΙΩΑΝΝΙΝΩΝ"/>
    <s v="ΠΕΡΙΦΕΡΕΙΑΚΗ Δ/ΝΣΗ Α/ΘΜΙΑΣ ΚΑΙ Β/ΘΜΙΑΣ ΕΚΠ/ΣΗΣ ΗΠΕΙΡΟΥ"/>
    <n v="23"/>
    <d v="2018-09-1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85-04-21T00:00:00"/>
    <x v="1"/>
    <s v="ΔΙΕΥΘΥΝΣΗ Π.Ε. ΙΩΑΝΝΙΝΩΝ"/>
    <x v="5"/>
  </r>
  <r>
    <x v="3840"/>
    <x v="1"/>
    <s v="ΠΕ86"/>
    <s v="ΠΛΗΡΟΦΟΡΙΚΗΣ"/>
    <m/>
    <m/>
    <s v="Α΄"/>
    <n v="2"/>
    <m/>
    <m/>
    <s v="Α΄ ΑΘΗΝΑΣ (Δ.Ε.) 2018"/>
    <s v="ΔΙΕΥΘΥΝΣΗ Δ.Ε. Α΄ ΑΘΗΝΑΣ"/>
    <s v="ΠΕΡΙΦΕΡΕΙΑΚΗ Δ/ΝΣΗ Α/ΘΜΙΑΣ ΚΑΙ Β/ΘΜΙΑΣ ΕΚΠ/ΣΗΣ ΑΤΤΙΚΗΣ"/>
    <n v="23"/>
    <d v="2009-09-15T00:00:00"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5-04-13T00:00:00"/>
    <x v="0"/>
    <s v="ΔΙΕΥΘΥΝΣΗ Δ.Ε. Α΄ ΑΘΗΝΑΣ"/>
    <x v="5"/>
  </r>
  <r>
    <x v="3841"/>
    <x v="1"/>
    <s v="ΠΕ70"/>
    <s v="ΔΑΣΚΑΛΟΙ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3-26T00:00:00"/>
    <x v="1"/>
    <s v="ΔΙΕΥΘΥΝΣΗ Π.Ε. Β΄ ΑΘΗΝΑΣ"/>
    <x v="5"/>
  </r>
  <r>
    <x v="3842"/>
    <x v="1"/>
    <s v="ΠΕ60"/>
    <s v="ΝΗΠΙΑΓΩΓΟΙ"/>
    <m/>
    <m/>
    <s v="Γ΄"/>
    <n v="1"/>
    <s v="3558/1-9-20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1-30T00:00:00"/>
    <x v="1"/>
    <s v="ΔΙΕΥΘΥΝΣΗ Π.Ε. Β΄ ΑΘΗΝΑΣ"/>
    <x v="5"/>
  </r>
  <r>
    <x v="3843"/>
    <x v="1"/>
    <s v="ΠΕ70"/>
    <s v="ΔΑΣΚΑΛΟΙ"/>
    <m/>
    <m/>
    <s v="Γ΄"/>
    <n v="7"/>
    <s v="Φ.17.2/564/10818/23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1-01T00:00:00"/>
    <x v="1"/>
    <s v="ΔΙΕΥΘΥΝΣΗ Π.Ε. Β΄ ΑΘΗΝΑΣ"/>
    <x v="5"/>
  </r>
  <r>
    <x v="3844"/>
    <x v="1"/>
    <s v="ΠΕ71"/>
    <s v="ΔΑΣΚΑΛΟΙ ΕΙΔΙΚΗΣ ΑΓΩΓΗΣ"/>
    <m/>
    <m/>
    <s v="Α΄"/>
    <n v="5"/>
    <m/>
    <m/>
    <s v="Α΄ ΜΑΓΝΗΣΙΑΣ (Π.Ε.) 2018"/>
    <s v="ΔΙΕΥΘΥΝΣΗ Π.Ε. ΜΑΓΝΗΣΙΑΣ"/>
    <s v="ΠΕΡΙΦΕΡΕΙΑΚΗ Δ/ΝΣΗ Α/ΘΜΙΑΣ ΚΑΙ Β/ΘΜΙΑΣ ΕΚΠ/ΣΗΣ ΘΕΣΣΑΛΙΑΣ"/>
    <n v="23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5-01-01T00:00:00"/>
    <x v="1"/>
    <s v="ΔΙΕΥΘΥΝΣΗ Π.Ε. ΜΑΓΝΗΣΙΑΣ"/>
    <x v="5"/>
  </r>
  <r>
    <x v="3845"/>
    <x v="1"/>
    <s v="ΠΕ86"/>
    <s v="ΠΛΗΡΟΦΟΡΙΚΗΣ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3"/>
    <s v="1980060"/>
    <s v="ΙΔΙΩΤΙΚΟ ΛΥΚΕΙΟ - ΣΥΛΛΟΓΟΣ - ΕΚΠΑΙΔΕΥΤΗΡΙΑ &quot;Ο ΑΠΟΣΤΟΛΟΣ ΠΑΥΛΟΣ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1-01T00:00:00"/>
    <x v="0"/>
    <s v="ΔΙΕΥΘΥΝΣΗ Δ.Ε. ΑΝΑΤ. ΘΕΣ/ΝΙΚΗΣ"/>
    <x v="5"/>
  </r>
  <r>
    <x v="3846"/>
    <x v="0"/>
    <s v="ΠΕ86"/>
    <s v="ΠΛΗΡΟΦΟΡΙΚΗΣ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4-12-31T00:00:00"/>
    <x v="0"/>
    <s v="ΔΙΕΥΘΥΝΣΗ Δ.Ε. ΠΕΙΡΑΙΑ"/>
    <x v="5"/>
  </r>
  <r>
    <x v="3847"/>
    <x v="0"/>
    <s v="ΠΕ01"/>
    <s v="ΘΕ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4-12-17T00:00:00"/>
    <x v="0"/>
    <s v="ΔΙΕΥΘΥΝΣΗ Δ.Ε. ΠΕΙΡΑΙΑ"/>
    <x v="5"/>
  </r>
  <r>
    <x v="3848"/>
    <x v="1"/>
    <s v="ΠΕ02"/>
    <s v="ΦΙΛΟΛΟΓΟΙ"/>
    <m/>
    <m/>
    <s v="Γ΄"/>
    <n v="1"/>
    <s v="17821/05-10-2018"/>
    <d v="2018-09-11T00:00:00"/>
    <s v="ΛΑΡΙΣΑΣ (Δ.Ε.) 2018"/>
    <s v="ΔΙΕΥΘΥΝΣΗ Δ.Ε. ΛΑΡΙΣΑΣ"/>
    <s v="ΠΕΡΙΦΕΡΕΙΑΚΗ Δ/ΝΣΗ Α/ΘΜΙΑΣ ΚΑΙ Β/ΘΜΙΑΣ ΕΚΠ/ΣΗΣ ΘΕΣΣΑΛΙΑΣ"/>
    <n v="23"/>
    <d v="2018-09-1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84-12-11T00:00:00"/>
    <x v="0"/>
    <s v="ΔΙΕΥΘΥΝΣΗ Δ.Ε. ΛΑΡΙΣΑΣ"/>
    <x v="5"/>
  </r>
  <r>
    <x v="3849"/>
    <x v="1"/>
    <s v="ΠΕ60"/>
    <s v="ΝΗΠΙΑΓΩΓΟΙ"/>
    <m/>
    <m/>
    <s v="Γ΄"/>
    <n v="1"/>
    <s v="Φ.17.2/346/13747/1-9-2012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11-30T00:00:00"/>
    <x v="1"/>
    <s v="ΔΙΕΥΘΥΝΣΗ Π.Ε. Β΄ ΑΘΗΝΑΣ"/>
    <x v="5"/>
  </r>
  <r>
    <x v="3850"/>
    <x v="0"/>
    <s v="ΠΕ02"/>
    <s v="ΦΙΛΟΛΟΓΟΙ"/>
    <m/>
    <m/>
    <s v="Α΄"/>
    <n v="1"/>
    <m/>
    <m/>
    <s v="ΚΟΡΙΝΘΙΑΣ (Δ.Ε.) 2018"/>
    <s v="ΔΙΕΥΘΥΝΣΗ Δ.Ε. ΚΟΡΙΝΘΙΑΣ"/>
    <s v="ΠΕΡΙΦΕΡΕΙΑΚΗ Δ/ΝΣΗ Α/ΘΜΙΑΣ ΚΑΙ Β/ΘΜΙΑΣ ΕΚΠ/ΣΗΣ ΠΕΛΟΠΟΝΝΗΣΟΥ"/>
    <n v="23"/>
    <m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84-11-17T00:00:00"/>
    <x v="0"/>
    <s v="ΔΙΕΥΘΥΝΣΗ Δ.Ε. ΚΟΡΙΝΘΙΑΣ"/>
    <x v="5"/>
  </r>
  <r>
    <x v="3851"/>
    <x v="1"/>
    <s v="ΠΕ60"/>
    <s v="ΝΗΠΙΑΓΩΓΟΙ"/>
    <m/>
    <m/>
    <s v="Γ΄"/>
    <n v="1"/>
    <n v="13438"/>
    <d v="2018-11-29T00:00:00"/>
    <s v="Α΄ ΠΕΙΡΑΙΑ (Π.Ε.) 2018"/>
    <s v="ΔΙΕΥΘΥΝΣΗ Π.Ε. ΠΕΙΡΑΙΑ"/>
    <s v="ΠΕΡΙΦΕΡΕΙΑΚΗ Δ/ΝΣΗ Α/ΘΜΙΑΣ ΚΑΙ Β/ΘΜΙΑΣ ΕΚΠ/ΣΗΣ ΑΤΤΙΚΗΣ"/>
    <n v="23"/>
    <d v="2018-11-29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4-11-06T00:00:00"/>
    <x v="1"/>
    <s v="ΔΙΕΥΘΥΝΣΗ Π.Ε. ΠΕΙΡΑΙΑ"/>
    <x v="5"/>
  </r>
  <r>
    <x v="3852"/>
    <x v="1"/>
    <s v="ΠΕ70"/>
    <s v="ΔΑΣΚΑΛΟΙ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9-30T00:00:00"/>
    <x v="1"/>
    <s v="ΔΙΕΥΘΥΝΣΗ Π.Ε. Β΄ ΑΘΗΝΑΣ"/>
    <x v="5"/>
  </r>
  <r>
    <x v="3853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3"/>
    <m/>
    <s v="Ιδιωτικά Σχολεία"/>
    <x v="1"/>
    <s v="7053007"/>
    <s v="ΣΥΣΤΕΓΑΖΟΜΕΝΟ ΝΗΠΙΑΓΩΓΕΙΟ - ΣΩΤΗΡΙΟΣ ΜΑΓΚΛΑΡΑΣ (ΛΑΚΩΝΙΚΗ ΣΧΟΛΗ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4-09-30T00:00:00"/>
    <x v="1"/>
    <s v="ΔΙΕΥΘΥΝΣΗ Π.Ε. Γ΄ ΑΘΗΝΑΣ"/>
    <x v="5"/>
  </r>
  <r>
    <x v="3854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8-18T00:00:00"/>
    <x v="1"/>
    <s v="ΔΙΕΥΘΥΝΣΗ Π.Ε. ΑΝΑΤΟΛΙΚΗΣ ΑΤΤΙΚΗΣ"/>
    <x v="5"/>
  </r>
  <r>
    <x v="3855"/>
    <x v="1"/>
    <s v="ΠΕ05"/>
    <s v="ΓΑΛΛΙΚΗΣ ΦΙΛΟΛΟΓΙΑ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84-08-08T00:00:00"/>
    <x v="0"/>
    <s v="ΔΙΕΥΘΥΝΣΗ Δ.Ε. ΛΑΡΙΣΑΣ"/>
    <x v="5"/>
  </r>
  <r>
    <x v="3856"/>
    <x v="1"/>
    <s v="ΠΕ02"/>
    <s v="ΦΙΛΟΛΟΓΟΙ"/>
    <m/>
    <m/>
    <s v="Β΄"/>
    <n v="2"/>
    <m/>
    <m/>
    <s v="ΠΙΕΡΙΑΣ (Δ.Ε.) 2018"/>
    <s v="ΔΙΕΥΘΥΝΣΗ Δ.Ε. ΠΙΕΡΙΑΣ"/>
    <s v="ΠΕΡΙΦΕΡΕΙΑΚΗ Δ/ΝΣΗ Α/ΘΜΙΑΣ ΚΑΙ Β/ΘΜΙΑΣ ΕΚΠ/ΣΗΣ ΚΕΝΤΡΙΚΗΣ ΜΑΚΕΔΟΝΙΑΣ"/>
    <n v="23"/>
    <m/>
    <s v="Ιδιωτικά Σχολεία"/>
    <x v="3"/>
    <s v="3980100"/>
    <s v="ΙΔΙΩΤΙΚΟ ΗΜΕΡΗΣΙΟ ΛΥΚΕΙΟ ΚΑΤΕΡΙΝΗ - ΛΥΚΕ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4-06-05T00:00:00"/>
    <x v="0"/>
    <s v="ΔΙΕΥΘΥΝΣΗ Δ.Ε. ΠΙΕΡΙΑΣ"/>
    <x v="5"/>
  </r>
  <r>
    <x v="3857"/>
    <x v="1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4-06-01T00:00:00"/>
    <x v="0"/>
    <s v="ΔΙΕΥΘΥΝΣΗ Δ.Ε. Β΄ ΑΘΗΝΑΣ"/>
    <x v="5"/>
  </r>
  <r>
    <x v="3858"/>
    <x v="1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4-05-31T00:00:00"/>
    <x v="0"/>
    <s v="ΔΙΕΥΘΥΝΣΗ Δ.Ε. ΑΝΑΤ. ΘΕΣ/ΝΙΚΗΣ"/>
    <x v="5"/>
  </r>
  <r>
    <x v="3859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4-05-26T00:00:00"/>
    <x v="1"/>
    <s v="ΔΙΕΥΘΥΝΣΗ Π.Ε. ΑΝΑΤ. ΘΕΣ/ΝΙΚΗΣ"/>
    <x v="5"/>
  </r>
  <r>
    <x v="3860"/>
    <x v="1"/>
    <s v="ΠΕ70"/>
    <s v="ΔΑΣΚΑΛΟΙ"/>
    <m/>
    <m/>
    <s v="Α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4-05-16T00:00:00"/>
    <x v="1"/>
    <s v="ΔΙΕΥΘΥΝΣΗ Π.Ε. ΔΥΤ. ΘΕΣ/ΝΙΚΗΣ"/>
    <x v="5"/>
  </r>
  <r>
    <x v="3861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4-03T00:00:00"/>
    <x v="0"/>
    <s v="ΔΙΕΥΘΥΝΣΗ Δ.Ε. ΑΝΑΤΟΛΙΚΗΣ ΑΤΤΙΚΗΣ"/>
    <x v="5"/>
  </r>
  <r>
    <x v="3862"/>
    <x v="1"/>
    <s v="ΠΕ04.04"/>
    <s v="ΒΙ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4-03-03T00:00:00"/>
    <x v="0"/>
    <s v="ΔΙΕΥΘΥΝΣΗ Δ.Ε. ΑΝΑΤΟΛΙΚΗΣ ΑΤΤΙΚΗΣ"/>
    <x v="5"/>
  </r>
  <r>
    <x v="3863"/>
    <x v="1"/>
    <s v="ΠΕ70"/>
    <s v="ΔΑΣΚΑΛΟΙ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1-16T00:00:00"/>
    <x v="1"/>
    <s v="ΔΙΕΥΘΥΝΣΗ Π.Ε. Β΄ ΑΘΗΝΑΣ"/>
    <x v="5"/>
  </r>
  <r>
    <x v="3864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4-01-15T00:00:00"/>
    <x v="1"/>
    <s v="ΔΙΕΥΘΥΝΣΗ Π.Ε. Α΄ ΑΘΗΝΑΣ"/>
    <x v="5"/>
  </r>
  <r>
    <x v="3865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4-01-01T00:00:00"/>
    <x v="0"/>
    <s v="ΔΙΕΥΘΥΝΣΗ Δ.Ε. Β΄ ΑΘΗΝΑΣ"/>
    <x v="5"/>
  </r>
  <r>
    <x v="3866"/>
    <x v="1"/>
    <s v="ΠΕ02"/>
    <s v="ΦΙΛΟΛΟΓ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12-19T00:00:00"/>
    <x v="0"/>
    <s v="ΔΙΕΥΘΥΝΣΗ Δ.Ε. Δ΄ ΑΘΗΝΑΣ"/>
    <x v="5"/>
  </r>
  <r>
    <x v="3867"/>
    <x v="1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83-12-15T00:00:00"/>
    <x v="0"/>
    <s v="ΔΙΕΥΘΥΝΣΗ Δ.Ε. Β΄ ΑΘΗΝΑΣ"/>
    <x v="5"/>
  </r>
  <r>
    <x v="3868"/>
    <x v="1"/>
    <s v="ΠΕ86"/>
    <s v="ΠΛΗΡΟΦΟΡΙΚΗ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11-22T00:00:00"/>
    <x v="0"/>
    <s v="ΔΙΕΥΘΥΝΣΗ Δ.Ε. Δ΄ ΑΘΗΝΑΣ"/>
    <x v="5"/>
  </r>
  <r>
    <x v="3869"/>
    <x v="0"/>
    <s v="ΠΕ04.04"/>
    <s v="ΒΙ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10-25T00:00:00"/>
    <x v="0"/>
    <s v="ΔΙΕΥΘΥΝΣΗ Δ.Ε. Β΄ ΑΘΗΝΑΣ"/>
    <x v="5"/>
  </r>
  <r>
    <x v="3870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3-10-19T00:00:00"/>
    <x v="1"/>
    <s v="ΔΙΕΥΘΥΝΣΗ Π.Ε. Α΄ ΑΘΗΝΑΣ"/>
    <x v="5"/>
  </r>
  <r>
    <x v="3871"/>
    <x v="1"/>
    <s v="ΠΕ70"/>
    <s v="ΔΑΣΚΑΛΟΙ"/>
    <m/>
    <m/>
    <s v="Γ΄"/>
    <n v="1"/>
    <s v="393/12-10-09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10-19T00:00:00"/>
    <x v="1"/>
    <s v="ΔΙΕΥΘΥΝΣΗ Π.Ε. Β΄ ΑΘΗΝΑΣ"/>
    <x v="5"/>
  </r>
  <r>
    <x v="3872"/>
    <x v="1"/>
    <s v="ΠΕ86"/>
    <s v="ΠΛΗΡΟΦΟΡΙΚΗΣ"/>
    <m/>
    <m/>
    <s v="Α΄"/>
    <n v="7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3-10-17T00:00:00"/>
    <x v="1"/>
    <s v="ΔΙΕΥΘΥΝΣΗ Π.Ε. ΑΝΑΤΟΛΙΚΗΣ ΑΤΤΙΚΗΣ"/>
    <x v="5"/>
  </r>
  <r>
    <x v="3873"/>
    <x v="1"/>
    <s v="ΠΕ02"/>
    <s v="ΦΙΛΟΛΟΓ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83-10-12T00:00:00"/>
    <x v="0"/>
    <s v="ΔΙΕΥΘΥΝΣΗ Δ.Ε. ΛΑΡΙΣΑΣ"/>
    <x v="5"/>
  </r>
  <r>
    <x v="3874"/>
    <x v="0"/>
    <s v="ΠΕ86"/>
    <s v="ΠΛΗΡΟΦΟΡΙΚ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08-24T00:00:00"/>
    <x v="0"/>
    <s v="ΔΙΕΥΘΥΝΣΗ Δ.Ε. Β΄ ΑΘΗΝΑΣ"/>
    <x v="5"/>
  </r>
  <r>
    <x v="3875"/>
    <x v="1"/>
    <s v="ΠΕ02"/>
    <s v="ΦΙΛΟΛΟΓΟΙ"/>
    <m/>
    <m/>
    <s v="Α΄"/>
    <n v="6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8-22T00:00:00"/>
    <x v="1"/>
    <s v="ΔΙΕΥΘΥΝΣΗ Π.Ε. ΑΝΑΤΟΛΙΚΗΣ ΑΤΤΙΚΗΣ"/>
    <x v="5"/>
  </r>
  <r>
    <x v="3876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3-08-19T00:00:00"/>
    <x v="1"/>
    <s v="ΔΙΕΥΘΥΝΣΗ Π.Ε. ΧΑΝΙΩΝ"/>
    <x v="5"/>
  </r>
  <r>
    <x v="3877"/>
    <x v="1"/>
    <s v="ΠΕ86"/>
    <s v="ΠΛΗΡΟΦΟΡΙΚΗΣ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8-18T00:00:00"/>
    <x v="1"/>
    <s v="ΔΙΕΥΘΥΝΣΗ Π.Ε. Β΄ ΑΘΗΝΑΣ"/>
    <x v="5"/>
  </r>
  <r>
    <x v="3878"/>
    <x v="1"/>
    <s v="ΠΕ60"/>
    <s v="ΝΗΠΙΑΓΩΓΟΙ"/>
    <m/>
    <m/>
    <s v="Γ΄"/>
    <n v="1"/>
    <s v="3558/1-9-20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6-24T00:00:00"/>
    <x v="1"/>
    <s v="ΔΙΕΥΘΥΝΣΗ Π.Ε. Β΄ ΑΘΗΝΑΣ"/>
    <x v="5"/>
  </r>
  <r>
    <x v="3879"/>
    <x v="1"/>
    <s v="ΤΕ16"/>
    <s v="ΜΟΥΣΙΚΗΣ ΜΗ ΑΝΩΤΑΤΩΝ ΙΔΡΥΜΑΤ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06-22T00:00:00"/>
    <x v="0"/>
    <s v="ΔΙΕΥΘΥΝΣΗ Δ.Ε. Β΄ ΑΘΗΝΑΣ"/>
    <x v="5"/>
  </r>
  <r>
    <x v="3880"/>
    <x v="1"/>
    <s v="ΠΕ60"/>
    <s v="ΝΗΠΙΑΓΩΓΟΙ"/>
    <m/>
    <m/>
    <s v="Γ΄"/>
    <n v="1"/>
    <s v="ΩΑΗ34653ΠΣ-Κ0Π"/>
    <d v="2017-02-01T00:00:00"/>
    <s v="Γ΄ ΑΘΗΝΑΣ (Π.Ε.) 2018"/>
    <s v="ΔΙΕΥΘΥΝΣΗ Π.Ε. Γ΄ ΑΘΗΝΑΣ"/>
    <s v="ΠΕΡΙΦΕΡΕΙΑΚΗ Δ/ΝΣΗ Α/ΘΜΙΑΣ ΚΑΙ Β/ΘΜΙΑΣ ΕΚΠ/ΣΗΣ ΑΤΤΙΚΗΣ"/>
    <n v="23"/>
    <d v="2017-02-01T00:00:00"/>
    <s v="Ιδιωτικά Σχολεία"/>
    <x v="1"/>
    <s v="7053007"/>
    <s v="ΣΥΣΤΕΓΑΖΟΜΕΝΟ ΝΗΠΙΑΓΩΓΕΙΟ - ΣΩΤΗΡΙΟΣ ΜΑΓΚΛΑΡΑΣ (ΛΑΚΩΝΙΚΗ ΣΧΟΛΗ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3-06-01T00:00:00"/>
    <x v="1"/>
    <s v="ΔΙΕΥΘΥΝΣΗ Π.Ε. Γ΄ ΑΘΗΝΑΣ"/>
    <x v="5"/>
  </r>
  <r>
    <x v="3881"/>
    <x v="1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05-20T00:00:00"/>
    <x v="0"/>
    <s v="ΔΙΕΥΘΥΝΣΗ Δ.Ε. Β΄ ΑΘΗΝΑΣ"/>
    <x v="5"/>
  </r>
  <r>
    <x v="3882"/>
    <x v="0"/>
    <s v="ΠΕ01"/>
    <s v="ΘΕΟΛΟΓΟΙ"/>
    <m/>
    <m/>
    <s v="Γ΄"/>
    <n v="1"/>
    <s v="17887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d v="2018-09-01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3-05-01T00:00:00"/>
    <x v="0"/>
    <s v="ΔΙΕΥΘΥΝΣΗ Δ.Ε. ΛΑΡΙΣΑΣ"/>
    <x v="5"/>
  </r>
  <r>
    <x v="3883"/>
    <x v="1"/>
    <s v="ΠΕ05"/>
    <s v="ΓΑΛΛΙΚΗΣ ΦΙΛΟΛΟΓΙΑΣ"/>
    <m/>
    <m/>
    <s v="Γ΄"/>
    <n v="1"/>
    <n v="22305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3-04-29T00:00:00"/>
    <x v="0"/>
    <s v="ΔΙΕΥΘΥΝΣΗ Δ.Ε. ΑΝΑΤ. ΘΕΣ/ΝΙΚΗΣ"/>
    <x v="5"/>
  </r>
  <r>
    <x v="3884"/>
    <x v="1"/>
    <s v="ΠΕ04.01"/>
    <s v="ΦΥΣΙΚΟΙ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03-26T00:00:00"/>
    <x v="0"/>
    <s v="ΔΙΕΥΘΥΝΣΗ Δ.Ε. Δ΄ ΑΘΗΝΑΣ"/>
    <x v="5"/>
  </r>
  <r>
    <x v="3885"/>
    <x v="0"/>
    <s v="ΠΕ01"/>
    <s v="ΘΕΟΛΟΓΟΙ"/>
    <m/>
    <m/>
    <s v="Γ΄"/>
    <n v="3"/>
    <n v="17125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3-01-11T00:00:00"/>
    <x v="0"/>
    <s v="ΔΙΕΥΘΥΝΣΗ Δ.Ε. ΑΝΑΤ. ΘΕΣ/ΝΙΚΗΣ"/>
    <x v="5"/>
  </r>
  <r>
    <x v="3886"/>
    <x v="1"/>
    <s v="ΠΕ86"/>
    <s v="ΠΛΗΡΟΦΟΡΙΚΗΣ"/>
    <m/>
    <m/>
    <s v="Α΄"/>
    <n v="1"/>
    <s v="ΩΡ66465ΦΘ3-ΣΔ2"/>
    <d v="2015-10-14T00:00:00"/>
    <s v="Β΄ ΑΘΗΝΑΣ (Δ.Ε.) 2018"/>
    <s v="ΔΙΕΥΘΥΝΣΗ Δ.Ε. Β΄ ΑΘΗΝΑΣ"/>
    <s v="ΠΕΡΙΦΕΡΕΙΑΚΗ Δ/ΝΣΗ Α/ΘΜΙΑΣ ΚΑΙ Β/ΘΜΙΑΣ ΕΚΠ/ΣΗΣ ΑΤΤΙΚΗΣ"/>
    <n v="23"/>
    <d v="2015-10-15T00:00:00"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01-01T00:00:00"/>
    <x v="0"/>
    <s v="ΔΙΕΥΘΥΝΣΗ Δ.Ε. Β΄ ΑΘΗΝΑΣ"/>
    <x v="5"/>
  </r>
  <r>
    <x v="3887"/>
    <x v="1"/>
    <s v="ΠΕ04.01"/>
    <s v="ΦΥΣΙΚ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d v="2018-09-12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3-01-01T00:00:00"/>
    <x v="0"/>
    <s v="ΔΙΕΥΘΥΝΣΗ Δ.Ε. Δ΄ ΑΘΗΝΑΣ"/>
    <x v="5"/>
  </r>
  <r>
    <x v="3888"/>
    <x v="1"/>
    <s v="ΠΕ02"/>
    <s v="ΦΙΛΟΛΟΓΟΙ"/>
    <m/>
    <m/>
    <s v="Γ΄"/>
    <n v="1"/>
    <m/>
    <m/>
    <s v="ΛΑΡΙΣΑΣ (Δ.Ε.) 2018"/>
    <s v="ΔΙΕΥΘΥΝΣΗ Δ.Ε. ΛΑΡΙΣΑΣ"/>
    <s v="ΠΕΡΙΦΕΡΕΙΑΚΗ Δ/ΝΣΗ Α/ΘΜΙΑΣ ΚΑΙ Β/ΘΜΙΑΣ ΕΚΠ/ΣΗΣ ΘΕΣΣΑΛΙΑΣ"/>
    <n v="23"/>
    <m/>
    <s v="Ιδιωτικά Σχολεία"/>
    <x v="2"/>
    <s v="3160002"/>
    <s v="ΙΔΙΩΤΙΚΟ ΓΥΜΝΑΣΙΟ -ΣΧΟΛΗ ΚΑΡΑΒΑΝΑ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3-01-01T00:00:00"/>
    <x v="0"/>
    <s v="ΔΙΕΥΘΥΝΣΗ Δ.Ε. ΛΑΡΙΣΑΣ"/>
    <x v="5"/>
  </r>
  <r>
    <x v="3889"/>
    <x v="1"/>
    <s v="ΠΕ71"/>
    <s v="ΔΑΣΚΑΛΟΙ ΕΙΔΙΚΗΣ ΑΓΩΓΗΣ"/>
    <m/>
    <m/>
    <s v="Γ΄"/>
    <n v="8"/>
    <m/>
    <m/>
    <s v="Α΄ ΜΑΓΝΗΣΙΑΣ (Π.Ε.) 2018"/>
    <s v="ΔΙΕΥΘΥΝΣΗ Π.Ε. ΜΑΓΝΗΣΙΑΣ"/>
    <s v="ΠΕΡΙΦΕΡΕΙΑΚΗ Δ/ΝΣΗ Α/ΘΜΙΑΣ ΚΑΙ Β/ΘΜΙΑΣ ΕΚΠ/ΣΗΣ ΘΕΣΣΑΛΙΑΣ"/>
    <n v="23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3-01-01T00:00:00"/>
    <x v="1"/>
    <s v="ΔΙΕΥΘΥΝΣΗ Π.Ε. ΜΑΓΝΗΣΙΑΣ"/>
    <x v="5"/>
  </r>
  <r>
    <x v="389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10-30T00:00:00"/>
    <x v="1"/>
    <s v="ΔΙΕΥΘΥΝΣΗ Π.Ε. Β΄ ΑΘΗΝΑΣ"/>
    <x v="5"/>
  </r>
  <r>
    <x v="3891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2-10-19T00:00:00"/>
    <x v="0"/>
    <s v="ΔΙΕΥΘΥΝΣΗ Δ.Ε. ΠΕΙΡΑΙΑ"/>
    <x v="5"/>
  </r>
  <r>
    <x v="3892"/>
    <x v="1"/>
    <s v="ΠΕ04.04"/>
    <s v="ΒΙ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2-10-11T00:00:00"/>
    <x v="0"/>
    <s v="ΔΙΕΥΘΥΝΣΗ Δ.Ε. Β΄ ΑΘΗΝΑΣ"/>
    <x v="5"/>
  </r>
  <r>
    <x v="3893"/>
    <x v="1"/>
    <s v="ΠΕ70"/>
    <s v="ΔΑΣΚΑΛΟΙ"/>
    <m/>
    <m/>
    <s v="Α΄"/>
    <n v="6"/>
    <s v="5599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9-20T00:00:00"/>
    <x v="1"/>
    <s v="ΔΙΕΥΘΥΝΣΗ Π.Ε. ΑΝΑΤΟΛΙΚΗΣ ΑΤΤΙΚΗΣ"/>
    <x v="5"/>
  </r>
  <r>
    <x v="3894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82-08-19T00:00:00"/>
    <x v="1"/>
    <s v="ΔΙΕΥΘΥΝΣΗ Π.Ε. Α΄ ΑΘΗΝΑΣ"/>
    <x v="5"/>
  </r>
  <r>
    <x v="3895"/>
    <x v="0"/>
    <s v="ΠΕ70"/>
    <s v="ΔΑΣΚΑΛΟΙ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2-05-29T00:00:00"/>
    <x v="1"/>
    <s v="ΔΙΕΥΘΥΝΣΗ Π.Ε. ΔΥΤ. ΘΕΣ/ΝΙΚΗΣ"/>
    <x v="5"/>
  </r>
  <r>
    <x v="3896"/>
    <x v="1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5-22T00:00:00"/>
    <x v="1"/>
    <s v="ΔΙΕΥΘΥΝΣΗ Π.Ε. ΑΝΑΤΟΛΙΚΗΣ ΑΤΤΙΚΗΣ"/>
    <x v="5"/>
  </r>
  <r>
    <x v="3897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82-05-19T00:00:00"/>
    <x v="0"/>
    <s v="ΔΙΕΥΘΥΝΣΗ Δ.Ε. ΠΕΙΡΑΙΑ"/>
    <x v="5"/>
  </r>
  <r>
    <x v="3898"/>
    <x v="1"/>
    <s v="ΠΕ02"/>
    <s v="ΦΙΛΟΛΟΓΟΙ"/>
    <m/>
    <m/>
    <s v="Γ΄"/>
    <n v="4"/>
    <s v="15986Α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82-05-15T00:00:00"/>
    <x v="0"/>
    <s v="ΔΙΕΥΘΥΝΣΗ Δ.Ε. ΑΝΑΤ. ΘΕΣ/ΝΙΚΗΣ"/>
    <x v="5"/>
  </r>
  <r>
    <x v="3899"/>
    <x v="1"/>
    <s v="ΠΕ70"/>
    <s v="ΔΑΣΚΑΛΟΙ"/>
    <m/>
    <m/>
    <s v="Α΄"/>
    <n v="8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2-05-14T00:00:00"/>
    <x v="1"/>
    <s v="ΔΙΕΥΘΥΝΣΗ Π.Ε. ΑΝΑΤΟΛΙΚΗΣ ΑΤΤΙΚΗΣ"/>
    <x v="5"/>
  </r>
  <r>
    <x v="3900"/>
    <x v="1"/>
    <s v="ΠΕ70"/>
    <s v="ΔΑΣΚΑΛΟΙ"/>
    <m/>
    <m/>
    <s v="Α΄"/>
    <n v="6"/>
    <s v="Φ.15.Α8/2166/6-4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2-05-03T00:00:00"/>
    <x v="1"/>
    <s v="ΔΙΕΥΘΥΝΣΗ Π.Ε. ΑΝΑΤΟΛΙΚΗΣ ΑΤΤΙΚΗΣ"/>
    <x v="5"/>
  </r>
  <r>
    <x v="3901"/>
    <x v="1"/>
    <s v="ΠΕ06"/>
    <s v="ΑΓΓΛΙΚΗΣ ΦΙΛΟΛΟΓΙΑ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90910"/>
    <s v="2ο ΙΔΙΩΤΙΚΟ ΗΜΕΡΗΣΙΟ ΛΥΚΕΙΟ ΘΕΣΣΑΛΟΝΙΚΗ - ΑΜΕΡΙΚΑΝΙΚΟ ΚΟΛΛΕΓΙΟ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3"/>
    <s v="Τοποθέτηση σε Ιδιωτική Εκπαίδευση"/>
    <d v="1982-04-06T00:00:00"/>
    <x v="0"/>
    <s v="ΔΙΕΥΘΥΝΣΗ Δ.Ε. ΑΝΑΤ. ΘΕΣ/ΝΙΚΗΣ"/>
    <x v="5"/>
  </r>
  <r>
    <x v="3902"/>
    <x v="0"/>
    <s v="ΠΕ70"/>
    <s v="ΔΑΣΚΑΛΟΙ"/>
    <m/>
    <m/>
    <s v="Α΄"/>
    <n v="6"/>
    <s v="5652/21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3-18T00:00:00"/>
    <x v="1"/>
    <s v="ΔΙΕΥΘΥΝΣΗ Π.Ε. ΑΝΑΤΟΛΙΚΗΣ ΑΤΤΙΚΗΣ"/>
    <x v="5"/>
  </r>
  <r>
    <x v="3903"/>
    <x v="1"/>
    <s v="ΠΕ70"/>
    <s v="ΔΑΣΚΑΛΟΙ"/>
    <m/>
    <m/>
    <s v="Α΄"/>
    <n v="8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12-17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2-01-22T00:00:00"/>
    <x v="1"/>
    <s v="ΔΙΕΥΘΥΝΣΗ Π.Ε. ΑΝΑΤΟΛΙΚΗΣ ΑΤΤΙΚΗΣ"/>
    <x v="5"/>
  </r>
  <r>
    <x v="3904"/>
    <x v="1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Β΄ ΑΘΗΝΑΣ"/>
    <x v="5"/>
  </r>
  <r>
    <x v="3905"/>
    <x v="1"/>
    <s v="ΠΕ02"/>
    <s v="ΦΙΛΟΛΟΓΟΙ"/>
    <m/>
    <m/>
    <s v="Γ΄"/>
    <n v="1"/>
    <n v="14427"/>
    <d v="2018-09-25T00:00:00"/>
    <s v="Δ΄ ΑΘΗΝΑΣ (Δ.Ε.) 2018"/>
    <s v="ΔΙΕΥΘΥΝΣΗ Δ.Ε. Δ΄ ΑΘΗΝΑΣ"/>
    <s v="ΠΕΡΙΦΕΡΕΙΑΚΗ Δ/ΝΣΗ Α/ΘΜΙΑΣ ΚΑΙ Β/ΘΜΙΑΣ ΕΚΠ/ΣΗΣ ΑΤΤΙΚΗΣ"/>
    <n v="23"/>
    <d v="2018-09-25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d v="1982-01-01T00:00:00"/>
    <x v="0"/>
    <s v="ΔΙΕΥΘΥΝΣΗ Δ.Ε. Δ΄ ΑΘΗΝΑΣ"/>
    <x v="5"/>
  </r>
  <r>
    <x v="3906"/>
    <x v="0"/>
    <s v="ΠΕ03"/>
    <s v="ΜΑΘΗΜΑΤΙΚ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82-01-01T00:00:00"/>
    <x v="0"/>
    <s v="ΔΙΕΥΘΥΝΣΗ Δ.Ε. ΑΙΤΩΛΟΑΚΑΡΝΑΝΙΑΣ"/>
    <x v="5"/>
  </r>
  <r>
    <x v="3907"/>
    <x v="1"/>
    <s v="ΠΕ07"/>
    <s v="ΓΕΡΜΑΝΙΚΗΣ ΦΙΛΟΛΟΓΙΑΣ"/>
    <m/>
    <m/>
    <s v="Α΄"/>
    <n v="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1-01T00:00:00"/>
    <x v="0"/>
    <s v="ΔΙΕΥΘΥΝΣΗ Δ.Ε. ΑΝΑΤ. ΘΕΣ/ΝΙΚΗΣ"/>
    <x v="5"/>
  </r>
  <r>
    <x v="3908"/>
    <x v="1"/>
    <s v="ΠΕ70"/>
    <s v="ΔΑΣΚΑΛ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2-01-01T00:00:00"/>
    <x v="1"/>
    <s v="ΔΙΕΥΘΥΝΣΗ Π.Ε. ΔΩΔΕΚΑΝΗΣΟΥ"/>
    <x v="5"/>
  </r>
  <r>
    <x v="3909"/>
    <x v="1"/>
    <s v="ΠΕ70"/>
    <s v="ΔΑΣΚΑΛΟΙ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81-12-25T00:00:00"/>
    <x v="1"/>
    <s v="ΔΙΕΥΘΥΝΣΗ Π.Ε. Β΄ ΑΘΗΝΑΣ"/>
    <x v="5"/>
  </r>
  <r>
    <x v="3910"/>
    <x v="0"/>
    <s v="ΠΕ05"/>
    <s v="ΓΑΛΛΙΚΗΣ ΦΙΛΟΛΟΓΙΑΣ"/>
    <m/>
    <m/>
    <s v="Α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12-15T00:00:00"/>
    <x v="1"/>
    <s v="ΔΙΕΥΘΥΝΣΗ Π.Ε. Δ΄ ΑΘΗΝΑΣ"/>
    <x v="5"/>
  </r>
  <r>
    <x v="3911"/>
    <x v="1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81-12-14T00:00:00"/>
    <x v="0"/>
    <s v="ΔΙΕΥΘΥΝΣΗ Δ.Ε. Β΄ ΑΘΗΝΑΣ"/>
    <x v="5"/>
  </r>
  <r>
    <x v="3912"/>
    <x v="0"/>
    <s v="ΠΕ03"/>
    <s v="ΜΑΘΗΜΑΤΙΚ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3"/>
    <m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81-11-11T00:00:00"/>
    <x v="0"/>
    <s v="ΔΙΕΥΘΥΝΣΗ Δ.Ε. ΧΑΝΙΩΝ"/>
    <x v="5"/>
  </r>
  <r>
    <x v="3913"/>
    <x v="1"/>
    <s v="ΠΕ05"/>
    <s v="ΓΑΛΛΙΚΗΣ ΦΙΛΟΛΟΓΙΑΣ"/>
    <m/>
    <m/>
    <s v="Α΄"/>
    <n v="3"/>
    <m/>
    <m/>
    <s v="Α΄ ΑΘΗΝΑΣ (Δ.Ε.) 2018"/>
    <s v="ΔΙΕΥΘΥΝΣΗ Δ.Ε. Α΄ ΑΘΗΝΑΣ"/>
    <s v="ΠΕΡΙΦΕΡΕΙΑΚΗ Δ/ΝΣΗ Α/ΘΜΙΑΣ ΚΑΙ Β/ΘΜΙΑΣ ΕΚΠ/ΣΗΣ ΑΤΤΙΚΗΣ"/>
    <n v="23"/>
    <d v="2013-09-02T00:00:00"/>
    <s v="Ιδιωτικά Σχολεία"/>
    <x v="2"/>
    <s v="0580150"/>
    <s v="ΕΚΠΑΙΔΕΥΤΗΡΙΑ ''Η ΘΕΟΜΗΤΩΡ&quot;                                                                                                                                      ΙΔΙΩΤΙΚΟ ΓΥΜΝΑΣ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1-11-07T00:00:00"/>
    <x v="0"/>
    <s v="ΔΙΕΥΘΥΝΣΗ Δ.Ε. Α΄ ΑΘΗΝΑΣ"/>
    <x v="5"/>
  </r>
  <r>
    <x v="3914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11-06T00:00:00"/>
    <x v="0"/>
    <s v="ΔΙΕΥΘΥΝΣΗ Δ.Ε. ΑΝΑΤ. ΘΕΣ/ΝΙΚΗΣ"/>
    <x v="5"/>
  </r>
  <r>
    <x v="3915"/>
    <x v="0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10-09T00:00:00"/>
    <x v="0"/>
    <s v="ΔΙΕΥΘΥΝΣΗ Δ.Ε. ΑΝΑΤ. ΘΕΣ/ΝΙΚΗΣ"/>
    <x v="5"/>
  </r>
  <r>
    <x v="3916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10-05T00:00:00"/>
    <x v="0"/>
    <s v="ΔΙΕΥΘΥΝΣΗ Δ.Ε. ΑΝΑΤ. ΘΕΣ/ΝΙΚΗΣ"/>
    <x v="5"/>
  </r>
  <r>
    <x v="3917"/>
    <x v="1"/>
    <s v="ΠΕ06"/>
    <s v="ΑΓΓΛΙΚΗΣ ΦΙΛΟΛΟΓΙΑ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1-10-01T00:00:00"/>
    <x v="1"/>
    <s v="ΔΙΕΥΘΥΝΣΗ Π.Ε. ΧΑΝΙΩΝ"/>
    <x v="5"/>
  </r>
  <r>
    <x v="3918"/>
    <x v="0"/>
    <s v="ΠΕ70"/>
    <s v="ΔΑΣΚΑΛΟΙ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9-26T00:00:00"/>
    <x v="1"/>
    <s v="ΔΙΕΥΘΥΝΣΗ Π.Ε. Β΄ ΑΘΗΝΑΣ"/>
    <x v="5"/>
  </r>
  <r>
    <x v="3919"/>
    <x v="1"/>
    <s v="ΠΕ02"/>
    <s v="ΦΙΛΟΛΟΓΟΙ"/>
    <m/>
    <m/>
    <s v="Γ΄"/>
    <n v="1"/>
    <n v="8647"/>
    <d v="2017-08-31T00:00:00"/>
    <s v="ΠΙΕΡΙΑΣ (Δ.Ε.) 2018"/>
    <s v="ΔΙΕΥΘΥΝΣΗ Δ.Ε. ΠΙΕΡΙΑΣ"/>
    <s v="ΠΕΡΙΦΕΡΕΙΑΚΗ Δ/ΝΣΗ Α/ΘΜΙΑΣ ΚΑΙ Β/ΘΜΙΑΣ ΕΚΠ/ΣΗΣ ΚΕΝΤΡΙΚΗΣ ΜΑΚΕΔΟΝΙΑΣ"/>
    <n v="23"/>
    <d v="2017-09-01T00:00:00"/>
    <s v="Ιδιωτικά Σχολεία"/>
    <x v="2"/>
    <s v="3981100"/>
    <s v="ΙΔΙΩΤΙΚΟ ΓΥΜΝΑΣΙΟ ΚΑΤΕΡΙΝΗ - ΓΥΜΝΑΣΙΟ ΠΛΑΤΩΝ"/>
    <s v="ΠΙΕΡΙΑΣ (Δ.Ε.) 2018"/>
    <s v="ΔΙΕΥΘΥΝΣΗ Δ.Ε. ΠΙΕΡΙΑΣ"/>
    <s v="ΠΕΡΙΦΕΡΕΙΑΚΗ Δ/ΝΣΗ Α/ΘΜΙΑΣ ΚΑΙ Β/ΘΜΙΑΣ ΕΚΠ/ΣΗΣ ΚΕΝΤΡΙΚΗΣ ΜΑΚΕΔΟΝΙΑΣ"/>
    <x v="1"/>
    <s v="Τοποθέτηση σε Ιδιωτική Εκπαίδευση"/>
    <d v="1981-09-09T00:00:00"/>
    <x v="0"/>
    <s v="ΔΙΕΥΘΥΝΣΗ Δ.Ε. ΠΙΕΡΙΑΣ"/>
    <x v="5"/>
  </r>
  <r>
    <x v="3920"/>
    <x v="1"/>
    <s v="ΠΕ06"/>
    <s v="ΑΓΓΛΙΚΗΣ ΦΙΛΟΛΟΓΙΑΣ"/>
    <m/>
    <m/>
    <s v="Α΄"/>
    <n v="7"/>
    <s v="Φ.Ι.Α./1971/30-3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9-07T00:00:00"/>
    <x v="1"/>
    <s v="ΔΙΕΥΘΥΝΣΗ Π.Ε. ΑΝΑΤΟΛΙΚΗΣ ΑΤΤΙΚΗΣ"/>
    <x v="5"/>
  </r>
  <r>
    <x v="3921"/>
    <x v="1"/>
    <s v="ΠΕ07"/>
    <s v="ΓΕΡΜΑΝΙΚΗΣ ΦΙΛΟΛΟΓΙΑΣ"/>
    <m/>
    <m/>
    <s v="Γ΄"/>
    <n v="3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6-08T00:00:00"/>
    <x v="1"/>
    <s v="ΔΙΕΥΘΥΝΣΗ Π.Ε. Β΄ ΑΘΗΝΑΣ"/>
    <x v="5"/>
  </r>
  <r>
    <x v="3922"/>
    <x v="1"/>
    <s v="ΠΕ03"/>
    <s v="ΜΑΘΗΜΑΤΙΚΟΙ"/>
    <m/>
    <m/>
    <s v="Γ΄"/>
    <n v="1"/>
    <s v="16052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d v="2018-09-01T00:00:00"/>
    <s v="Ιδιωτικά Σχολεία"/>
    <x v="2"/>
    <s v="3181015"/>
    <s v="ΙΔ. ΓΥΜΝΑΣΙΟ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81-05-06T00:00:00"/>
    <x v="0"/>
    <s v="ΔΙΕΥΘΥΝΣΗ Δ.Ε. ΛΑΡΙΣΑΣ"/>
    <x v="5"/>
  </r>
  <r>
    <x v="3923"/>
    <x v="0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1-05-05T00:00:00"/>
    <x v="0"/>
    <s v="ΔΙΕΥΘΥΝΣΗ Δ.Ε. Β΄ ΑΘΗΝΑΣ"/>
    <x v="5"/>
  </r>
  <r>
    <x v="3924"/>
    <x v="1"/>
    <s v="ΠΕ60"/>
    <s v="ΝΗΠΙΑΓΩΓΟΙ"/>
    <m/>
    <m/>
    <s v="Α΄"/>
    <n v="5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4-08T00:00:00"/>
    <x v="1"/>
    <s v="ΔΙΕΥΘΥΝΣΗ Π.Ε. ΑΝΑΤΟΛΙΚΗΣ ΑΤΤΙΚΗΣ"/>
    <x v="5"/>
  </r>
  <r>
    <x v="3925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1-03-22T00:00:00"/>
    <x v="0"/>
    <s v="ΔΙΕΥΘΥΝΣΗ Δ.Ε. Β΄ ΑΘΗΝΑΣ"/>
    <x v="5"/>
  </r>
  <r>
    <x v="3926"/>
    <x v="1"/>
    <s v="ΠΕ02"/>
    <s v="ΦΙΛΟΛΟΓΟΙ"/>
    <m/>
    <m/>
    <s v="Β΄"/>
    <n v="1"/>
    <s v="12180/30-09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3"/>
    <m/>
    <s v="Ιδιωτικά Σχολεία"/>
    <x v="2"/>
    <s v="1991913"/>
    <s v="ΙΔΙΩΤΙΚΟ ΗΜΕΡΗΣΙΟ ΓΥΜΝΑΣΙΟ ΔΕΛΑΣΑΛ ΘΕΣΣΑΛΟΝΙΚΗΣ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81-03-01T00:00:00"/>
    <x v="0"/>
    <s v="ΔΙΕΥΘΥΝΣΗ Δ.Ε. ΔΥΤ. ΘΕΣ/ΝΙΚΗΣ"/>
    <x v="5"/>
  </r>
  <r>
    <x v="3927"/>
    <x v="0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2-19T00:00:00"/>
    <x v="1"/>
    <s v="ΔΙΕΥΘΥΝΣΗ Π.Ε. ΑΝΑΤ. ΘΕΣ/ΝΙΚΗΣ"/>
    <x v="5"/>
  </r>
  <r>
    <x v="3928"/>
    <x v="0"/>
    <s v="ΠΕ86"/>
    <s v="ΠΛΗΡΟΦΟΡΙΚΗΣ"/>
    <s v="ΠΕ03"/>
    <s v="ΜΑΘΗΜΑΤΙΚΟΙ"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1-21T00:00:00"/>
    <x v="0"/>
    <s v="ΔΙΕΥΘΥΝΣΗ Δ.Ε. ΑΝΑΤ. ΘΕΣ/ΝΙΚΗΣ"/>
    <x v="5"/>
  </r>
  <r>
    <x v="3929"/>
    <x v="1"/>
    <s v="ΠΕ70"/>
    <s v="ΔΑΣΚΑΛΟΙ"/>
    <m/>
    <m/>
    <s v="Α΄"/>
    <n v="6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1-07T00:00:00"/>
    <x v="1"/>
    <s v="ΔΙΕΥΘΥΝΣΗ Π.Ε. ΑΝΑΤΟΛΙΚΗΣ ΑΤΤΙΚΗΣ"/>
    <x v="5"/>
  </r>
  <r>
    <x v="3930"/>
    <x v="1"/>
    <s v="ΠΕ11"/>
    <s v="ΦΥΣΙΚΗΣ ΑΓΩΓΗΣ"/>
    <m/>
    <m/>
    <s v="Α΄"/>
    <n v="6"/>
    <s v="5630α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1-05T00:00:00"/>
    <x v="1"/>
    <s v="ΔΙΕΥΘΥΝΣΗ Π.Ε. ΑΝΑΤΟΛΙΚΗΣ ΑΤΤΙΚΗΣ"/>
    <x v="5"/>
  </r>
  <r>
    <x v="3931"/>
    <x v="1"/>
    <s v="ΠΕ01"/>
    <s v="ΘΕΟΛΟΓΟΙ"/>
    <m/>
    <m/>
    <s v="Γ΄"/>
    <n v="1"/>
    <n v="19020"/>
    <d v="2018-10-03T00:00:00"/>
    <s v="Α΄ ΑΘΗΝΑΣ (Δ.Ε.) 2018"/>
    <s v="ΔΙΕΥΘΥΝΣΗ Δ.Ε. Α΄ ΑΘΗΝΑΣ"/>
    <s v="ΠΕΡΙΦΕΡΕΙΑΚΗ Δ/ΝΣΗ Α/ΘΜΙΑΣ ΚΑΙ Β/ΘΜΙΑΣ ΕΚΠ/ΣΗΣ ΑΤΤΙΚΗΣ"/>
    <n v="23"/>
    <d v="2018-10-03T00:00:00"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81-01-01T00:00:00"/>
    <x v="0"/>
    <s v="ΔΙΕΥΘΥΝΣΗ Δ.Ε. Α΄ ΑΘΗΝΑΣ"/>
    <x v="5"/>
  </r>
  <r>
    <x v="3932"/>
    <x v="1"/>
    <s v="ΠΕ05"/>
    <s v="ΓΑΛΛΙΚΗΣ ΦΙΛΟΛΟΓΙΑΣ"/>
    <m/>
    <m/>
    <s v="Γ΄"/>
    <n v="4"/>
    <n v="23648"/>
    <d v="2016-12-12T00:00:00"/>
    <s v="Δ΄ ΑΘΗΝΑΣ (Δ.Ε.) 2018"/>
    <s v="ΔΙΕΥΘΥΝΣΗ Δ.Ε. Δ΄ ΑΘΗΝΑΣ"/>
    <s v="ΠΕΡΙΦΕΡΕΙΑΚΗ Δ/ΝΣΗ Α/ΘΜΙΑΣ ΚΑΙ Β/ΘΜΙΑΣ ΕΚΠ/ΣΗΣ ΑΤΤΙΚΗΣ"/>
    <n v="23"/>
    <d v="2016-12-12T00:00:00"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1-01-01T00:00:00"/>
    <x v="0"/>
    <s v="ΔΙΕΥΘΥΝΣΗ Δ.Ε. Δ΄ ΑΘΗΝΑΣ"/>
    <x v="5"/>
  </r>
  <r>
    <x v="3933"/>
    <x v="1"/>
    <s v="ΠΕ08"/>
    <s v="ΚΑΛΛΙΤΕΧΝΙΚΩΝ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ΑΝΑΤΟΛΙΚΗΣ ΑΤΤΙΚΗΣ"/>
    <x v="5"/>
  </r>
  <r>
    <x v="3934"/>
    <x v="1"/>
    <s v="ΠΕ02"/>
    <s v="ΦΙΛΟΛΟΓΟΙ"/>
    <s v="ΠΕ70"/>
    <s v="ΔΑΣΚΑΛΟΙ"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Β΄ ΑΘΗΝΑΣ"/>
    <x v="5"/>
  </r>
  <r>
    <x v="3935"/>
    <x v="1"/>
    <s v="ΠΕ11"/>
    <s v="ΦΥΣΙΚΗΣ ΑΓΩΓΗΣ"/>
    <m/>
    <m/>
    <s v="Γ΄"/>
    <n v="1"/>
    <s v="429/21-02-06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Β΄ ΑΘΗΝΑΣ"/>
    <x v="5"/>
  </r>
  <r>
    <x v="3936"/>
    <x v="1"/>
    <s v="ΠΕ06"/>
    <s v="ΑΓΓΛΙΚΗΣ ΦΙΛΟΛΟΓΙΑ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Δ΄ ΑΘΗΝΑΣ"/>
    <x v="5"/>
  </r>
  <r>
    <x v="3937"/>
    <x v="1"/>
    <s v="ΠΕ86"/>
    <s v="ΠΛΗΡΟΦΟΡΙΚΗΣ"/>
    <m/>
    <m/>
    <s v="Α΄"/>
    <n v="7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12-13T00:00:00"/>
    <x v="1"/>
    <s v="ΔΙΕΥΘΥΝΣΗ Π.Ε. ΑΝΑΤΟΛΙΚΗΣ ΑΤΤΙΚΗΣ"/>
    <x v="5"/>
  </r>
  <r>
    <x v="3938"/>
    <x v="1"/>
    <s v="ΠΕ70"/>
    <s v="ΔΑΣΚΑΛΟΙ"/>
    <m/>
    <m/>
    <s v="Α΄"/>
    <n v="7"/>
    <s v="ΦΕΚ 1090/τ.Γ'/28-11-200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8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12-08T00:00:00"/>
    <x v="1"/>
    <s v="ΔΙΕΥΘΥΝΣΗ Π.Ε. ΑΝΑΤΟΛΙΚΗΣ ΑΤΤΙΚΗΣ"/>
    <x v="5"/>
  </r>
  <r>
    <x v="3939"/>
    <x v="1"/>
    <s v="ΠΕ70"/>
    <s v="ΔΑΣΚΑΛΟΙ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80-12-05T00:00:00"/>
    <x v="1"/>
    <s v="ΔΙΕΥΘΥΝΣΗ Π.Ε. Β΄ ΑΘΗΝΑΣ"/>
    <x v="5"/>
  </r>
  <r>
    <x v="3940"/>
    <x v="0"/>
    <s v="ΠΕ03"/>
    <s v="ΜΑΘΗΜΑΤΙΚ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11-19T00:00:00"/>
    <x v="0"/>
    <s v="ΔΙΕΥΘΥΝΣΗ Δ.Ε. Δ΄ ΑΘΗΝΑΣ"/>
    <x v="5"/>
  </r>
  <r>
    <x v="3941"/>
    <x v="1"/>
    <s v="ΠΕ06"/>
    <s v="ΑΓΓΛΙΚΗΣ ΦΙΛΟΛΟΓΙΑΣ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80-11-15T00:00:00"/>
    <x v="0"/>
    <s v="ΔΙΕΥΘΥΝΣΗ Δ.Ε. ΔΩΔΕΚΑΝΗΣΟΥ"/>
    <x v="5"/>
  </r>
  <r>
    <x v="3942"/>
    <x v="0"/>
    <s v="ΠΕ11"/>
    <s v="ΦΥΣΙΚΗΣ ΑΓΩΓΗ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0-08-27T00:00:00"/>
    <x v="1"/>
    <s v="ΔΙΕΥΘΥΝΣΗ Π.Ε. ΛΑΡΙΣΑΣ"/>
    <x v="5"/>
  </r>
  <r>
    <x v="3943"/>
    <x v="1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8-12T00:00:00"/>
    <x v="1"/>
    <s v="ΔΙΕΥΘΥΝΣΗ Π.Ε. Β΄ ΑΘΗΝΑΣ"/>
    <x v="5"/>
  </r>
  <r>
    <x v="3944"/>
    <x v="0"/>
    <s v="ΠΕ08"/>
    <s v="ΚΑΛΛΙΤΕΧΝΙΚΩΝ"/>
    <m/>
    <m/>
    <s v="Α΄"/>
    <n v="5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08-11T00:00:00"/>
    <x v="1"/>
    <s v="ΔΙΕΥΘΥΝΣΗ Π.Ε. ΑΝΑΤΟΛΙΚΗΣ ΑΤΤΙΚΗΣ"/>
    <x v="5"/>
  </r>
  <r>
    <x v="3945"/>
    <x v="1"/>
    <s v="ΠΕ70"/>
    <s v="ΔΑΣΚΑΛΟΙ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80-08-05T00:00:00"/>
    <x v="1"/>
    <s v="ΔΙΕΥΘΥΝΣΗ Π.Ε. Β΄ ΑΘΗΝΑΣ"/>
    <x v="5"/>
  </r>
  <r>
    <x v="3946"/>
    <x v="1"/>
    <s v="ΠΕ86"/>
    <s v="ΠΛΗΡΟΦΟΡΙΚΗΣ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8-02T00:00:00"/>
    <x v="1"/>
    <s v="ΔΙΕΥΘΥΝΣΗ Π.Ε. Β΄ ΑΘΗΝΑΣ"/>
    <x v="5"/>
  </r>
  <r>
    <x v="3947"/>
    <x v="1"/>
    <s v="ΠΕ80"/>
    <s v="ΟΙΚΟΝΟΜ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7-25T00:00:00"/>
    <x v="0"/>
    <s v="ΔΙΕΥΘΥΝΣΗ Δ.Ε. Δ΄ ΑΘΗΝΑΣ"/>
    <x v="5"/>
  </r>
  <r>
    <x v="3948"/>
    <x v="1"/>
    <s v="ΠΕ70"/>
    <s v="ΔΑΣΚΑΛΟΙ"/>
    <m/>
    <m/>
    <s v="Α΄"/>
    <n v="6"/>
    <s v="5599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7-14T00:00:00"/>
    <x v="1"/>
    <s v="ΔΙΕΥΘΥΝΣΗ Π.Ε. ΑΝΑΤΟΛΙΚΗΣ ΑΤΤΙΚΗΣ"/>
    <x v="5"/>
  </r>
  <r>
    <x v="3949"/>
    <x v="1"/>
    <s v="ΠΕ04.04"/>
    <s v="ΒΙΟΛΟΓΟΙ"/>
    <s v="ΠΕ87.04"/>
    <s v="ΙΑΤΡΙΚΩΝ ΕΡΓΑΣΤΗΡΙΩΝ"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90001"/>
    <s v="ΙΔΙΩΤΙΚΟ ΗΜΕΡΗΣΙΟ ΓΕΝΙΚΟ ΛΥΚΕΙΟ &quot;ΑΜΕΡΙΚΑΝΙΚΗ ΓΕΩΡΓΙΚΗ ΣΧΟΛΗ&quot;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7-08T00:00:00"/>
    <x v="0"/>
    <s v="ΔΙΕΥΘΥΝΣΗ Δ.Ε. ΑΝΑΤ. ΘΕΣ/ΝΙΚΗΣ"/>
    <x v="5"/>
  </r>
  <r>
    <x v="3950"/>
    <x v="1"/>
    <s v="ΠΕ60"/>
    <s v="ΝΗΠΙΑΓΩΓΟΙ"/>
    <m/>
    <m/>
    <s v="Γ΄"/>
    <n v="1"/>
    <s v="3558/16-9-20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41"/>
    <s v="ΙΔΙΩΤΙΚΟ ΝΗΠΙΑΓΩΓΕΙ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6-28T00:00:00"/>
    <x v="1"/>
    <s v="ΔΙΕΥΘΥΝΣΗ Π.Ε. Β΄ ΑΘΗΝΑΣ"/>
    <x v="5"/>
  </r>
  <r>
    <x v="3951"/>
    <x v="0"/>
    <s v="ΠΕ11"/>
    <s v="ΦΥΣΙΚΗΣ ΑΓΩΓΗΣ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90914"/>
    <s v="ΕΛΛΗΝΟΓΑΛΛΙΚΗ ΣΧΟΛΗ ΚΑΛΑΜΑΡΙ - ΙΔΙΩΤΙΚΟ ΓΕΝΙΚΟ ΛΥΚΕ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6-25T00:00:00"/>
    <x v="0"/>
    <s v="ΔΙΕΥΘΥΝΣΗ Δ.Ε. ΑΝΑΤ. ΘΕΣ/ΝΙΚΗΣ"/>
    <x v="5"/>
  </r>
  <r>
    <x v="3952"/>
    <x v="1"/>
    <s v="ΠΕ02"/>
    <s v="ΦΙΛΟΛΟΓΟΙ"/>
    <m/>
    <m/>
    <s v="Γ΄"/>
    <n v="3"/>
    <n v="14176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2"/>
    <s v="Τοποθέτηση σε Ιδιωτική Εκπαίδευση"/>
    <d v="1980-05-31T00:00:00"/>
    <x v="0"/>
    <s v="ΔΙΕΥΘΥΝΣΗ Δ.Ε. ΑΝΑΤ. ΘΕΣ/ΝΙΚΗΣ"/>
    <x v="5"/>
  </r>
  <r>
    <x v="395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0"/>
    <s v="ΙΔΙΩΤΙΚΟ ΓΥΜΝΑΣ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0-05-11T00:00:00"/>
    <x v="0"/>
    <s v="ΔΙΕΥΘΥΝΣΗ Δ.Ε. Β΄ ΑΘΗΝΑΣ"/>
    <x v="5"/>
  </r>
  <r>
    <x v="3954"/>
    <x v="1"/>
    <s v="ΠΕ86"/>
    <s v="ΠΛΗΡΟΦΟΡΙΚΗΣ"/>
    <m/>
    <m/>
    <s v="Α΄"/>
    <n v="7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05-08T00:00:00"/>
    <x v="1"/>
    <s v="ΔΙΕΥΘΥΝΣΗ Π.Ε. ΑΝΑΤΟΛΙΚΗΣ ΑΤΤΙΚΗΣ"/>
    <x v="5"/>
  </r>
  <r>
    <x v="3955"/>
    <x v="1"/>
    <s v="ΠΕ02"/>
    <s v="ΦΙΛΟΛΟΓΟΙ"/>
    <m/>
    <m/>
    <s v="Γ΄"/>
    <n v="1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d v="2018-09-12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5-01T00:00:00"/>
    <x v="0"/>
    <s v="ΔΙΕΥΘΥΝΣΗ Δ.Ε. Δ΄ ΑΘΗΝΑΣ"/>
    <x v="5"/>
  </r>
  <r>
    <x v="3956"/>
    <x v="1"/>
    <s v="ΠΕ70"/>
    <s v="ΔΑΣΚΑΛΟΙ"/>
    <m/>
    <m/>
    <s v="Α΄"/>
    <n v="7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0-04-26T00:00:00"/>
    <x v="1"/>
    <s v="ΔΙΕΥΘΥΝΣΗ Π.Ε. Δ΄ ΑΘΗΝΑΣ"/>
    <x v="5"/>
  </r>
  <r>
    <x v="3957"/>
    <x v="0"/>
    <s v="ΠΕ03"/>
    <s v="ΜΑΘΗΜΑΤΙΚΟΙ"/>
    <m/>
    <m/>
    <s v="Γ΄"/>
    <n v="1"/>
    <s v="63/06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80-04-22T00:00:00"/>
    <x v="0"/>
    <s v="ΔΙΕΥΘΥΝΣΗ Δ.Ε. Δ΄ ΑΘΗΝΑΣ"/>
    <x v="5"/>
  </r>
  <r>
    <x v="3958"/>
    <x v="1"/>
    <s v="ΠΕ11"/>
    <s v="ΦΥΣΙΚΗΣ ΑΓΩΓΗΣ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4-20T00:00:00"/>
    <x v="1"/>
    <s v="ΔΙΕΥΘΥΝΣΗ Π.Ε. ΑΝΑΤΟΛΙΚΗΣ ΑΤΤΙΚΗΣ"/>
    <x v="5"/>
  </r>
  <r>
    <x v="3959"/>
    <x v="1"/>
    <s v="ΠΕ06"/>
    <s v="ΑΓΓΛΙΚΗΣ ΦΙΛΟΛΟΓΙΑΣ"/>
    <m/>
    <m/>
    <s v="Α΄"/>
    <n v="5"/>
    <s v="Φ.15.Α8/8228/2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02-25T00:00:00"/>
    <x v="1"/>
    <s v="ΔΙΕΥΘΥΝΣΗ Π.Ε. ΑΝΑΤΟΛΙΚΗΣ ΑΤΤΙΚΗΣ"/>
    <x v="5"/>
  </r>
  <r>
    <x v="3960"/>
    <x v="0"/>
    <s v="ΠΕ80"/>
    <s v="ΟΙΚΟΝΟΜ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2-08T00:00:00"/>
    <x v="0"/>
    <s v="ΔΙΕΥΘΥΝΣΗ Δ.Ε. ΑΝΑΤ. ΘΕΣ/ΝΙΚΗΣ"/>
    <x v="5"/>
  </r>
  <r>
    <x v="3961"/>
    <x v="1"/>
    <s v="ΠΕ70"/>
    <s v="ΔΑΣΚΑΛΟΙ"/>
    <m/>
    <m/>
    <s v="Α΄"/>
    <n v="7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1-30T00:00:00"/>
    <x v="1"/>
    <s v="ΔΙΕΥΘΥΝΣΗ Π.Ε. ΑΝΑΤΟΛΙΚΗΣ ΑΤΤΙΚΗΣ"/>
    <x v="5"/>
  </r>
  <r>
    <x v="3962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1"/>
    <s v="7521011"/>
    <s v="ΙΔΙΩΤΙΚΟ ΝΗΠΙΑΓΩΓΕΙ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1-01T00:00:00"/>
    <x v="1"/>
    <s v="ΔΙΕΥΘΥΝΣΗ Π.Ε. ΑΝΑΤΟΛΙΚΗΣ ΑΤΤΙΚΗΣ"/>
    <x v="5"/>
  </r>
  <r>
    <x v="3963"/>
    <x v="1"/>
    <s v="ΠΕ05"/>
    <s v="ΓΑΛΛΙΚΗΣ ΦΙΛΟΛΟΓΙΑΣ"/>
    <m/>
    <m/>
    <s v="Γ΄"/>
    <n v="1"/>
    <s v="Φ. 17.2_ A/11971/2/28-09-2018"/>
    <d v="2018-09-01T00:00:00"/>
    <s v="ΑΧΑΪΑΣ (Δ.Ε.) 2018"/>
    <s v="ΔΙΕΥΘΥΝΣΗ Δ.Ε. ΑΧΑΪΑΣ"/>
    <s v="ΠΕΡΙΦΕΡΕΙΑΚΗ Δ/ΝΣΗ Α/ΘΜΙΑΣ ΚΑΙ Β/ΘΜΙΑΣ ΕΚΠ/ΣΗΣ ΔΥΤΙΚΗΣ ΕΛΛΑΔΑΣ"/>
    <n v="23"/>
    <d v="2018-09-01T00:00:00"/>
    <s v="Ιδιωτικά Σχολεία"/>
    <x v="2"/>
    <s v="0605000"/>
    <s v="ΑΡΣΑΚΕΙΟ ΓΥΜΝΑΣΙΟ ΠΑΤΡΑΣ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0-01-01T00:00:00"/>
    <x v="0"/>
    <s v="ΔΙΕΥΘΥΝΣΗ Δ.Ε. ΑΧΑΪΑΣ"/>
    <x v="5"/>
  </r>
  <r>
    <x v="3964"/>
    <x v="1"/>
    <s v="ΠΕ02"/>
    <s v="ΦΙΛΟΛΟΓΟΙ"/>
    <m/>
    <m/>
    <s v="Γ΄"/>
    <n v="1"/>
    <s v="Φ. 17.2_ A/11971/1"/>
    <d v="2018-09-25T00:00:00"/>
    <s v="ΑΧΑΪΑΣ (Δ.Ε.) 2018"/>
    <s v="ΔΙΕΥΘΥΝΣΗ Δ.Ε. ΑΧΑΪΑΣ"/>
    <s v="ΠΕΡΙΦΕΡΕΙΑΚΗ Δ/ΝΣΗ Α/ΘΜΙΑΣ ΚΑΙ Β/ΘΜΙΑΣ ΕΚΠ/ΣΗΣ ΔΥΤΙΚΗΣ ΕΛΛΑΔΑΣ"/>
    <n v="23"/>
    <d v="2018-09-25T00:00:00"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0-01-01T00:00:00"/>
    <x v="0"/>
    <s v="ΔΙΕΥΘΥΝΣΗ Δ.Ε. ΑΧΑΪΑΣ"/>
    <x v="5"/>
  </r>
  <r>
    <x v="3965"/>
    <x v="0"/>
    <s v="ΠΕ04.01"/>
    <s v="ΦΥΣΙΚΟΙ"/>
    <m/>
    <m/>
    <s v="Γ΄"/>
    <n v="1"/>
    <s v="Φ. 17.2_ A_/11971/3/25-09-2018"/>
    <d v="2018-09-01T00:00:00"/>
    <s v="ΑΧΑΪΑΣ (Δ.Ε.) 2018"/>
    <s v="ΔΙΕΥΘΥΝΣΗ Δ.Ε. ΑΧΑΪΑΣ"/>
    <s v="ΠΕΡΙΦΕΡΕΙΑΚΗ Δ/ΝΣΗ Α/ΘΜΙΑΣ ΚΑΙ Β/ΘΜΙΑΣ ΕΚΠ/ΣΗΣ ΔΥΤΙΚΗΣ ΕΛΛΑΔΑΣ"/>
    <n v="23"/>
    <d v="2018-09-01T00:00:00"/>
    <s v="Ιδιωτικά Σχολεία"/>
    <x v="3"/>
    <s v="0680030"/>
    <s v="Ιδιωτικό Ισότιμο Λύκειο - ΑΡΣΑΚΕΙΟ ΓΕΝΙΚΟ ΛΥΚΕΙΟ ΠΑΤΡΩΝ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0-01-01T00:00:00"/>
    <x v="0"/>
    <s v="ΔΙΕΥΘΥΝΣΗ Δ.Ε. ΑΧΑΪΑΣ"/>
    <x v="5"/>
  </r>
  <r>
    <x v="3966"/>
    <x v="0"/>
    <s v="ΠΕ02"/>
    <s v="ΦΙΛΟΛΟΓΟΙ"/>
    <m/>
    <m/>
    <s v="Γ΄"/>
    <n v="1"/>
    <n v="10085"/>
    <d v="2018-09-01T00:00:00"/>
    <s v="ΙΩΑΝΝΙΝΩΝ (Δ.Ε.) 2018"/>
    <s v="ΔΙΕΥΘΥΝΣΗ Δ.Ε. ΙΩΑΝΝΙΝΩΝ"/>
    <s v="ΠΕΡΙΦΕΡΕΙΑΚΗ Δ/ΝΣΗ Α/ΘΜΙΑΣ ΚΑΙ Β/ΘΜΙΑΣ ΕΚΠ/ΣΗΣ ΗΠΕΙΡΟΥ"/>
    <n v="23"/>
    <d v="2018-09-01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0"/>
    <s v="Τοποθέτηση σε Ιδιωτική Εκπαίδευση"/>
    <d v="1980-01-01T00:00:00"/>
    <x v="0"/>
    <s v="ΔΙΕΥΘΥΝΣΗ Δ.Ε. ΙΩΑΝΝΙΝΩΝ"/>
    <x v="5"/>
  </r>
  <r>
    <x v="3967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1-01T00:00:00"/>
    <x v="0"/>
    <s v="ΔΙΕΥΘΥΝΣΗ Δ.Ε. ΑΝΑΤ. ΘΕΣ/ΝΙΚΗΣ"/>
    <x v="5"/>
  </r>
  <r>
    <x v="3968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1-01T00:00:00"/>
    <x v="0"/>
    <s v="ΔΙΕΥΘΥΝΣΗ Δ.Ε. ΑΝΑΤ. ΘΕΣ/ΝΙΚΗΣ"/>
    <x v="5"/>
  </r>
  <r>
    <x v="3969"/>
    <x v="0"/>
    <s v="ΠΕ86"/>
    <s v="ΠΛΗΡΟΦΟΡΙΚ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1-01T00:00:00"/>
    <x v="0"/>
    <s v="ΔΙΕΥΘΥΝΣΗ Δ.Ε. ΑΝΑΤ. ΘΕΣ/ΝΙΚΗΣ"/>
    <x v="5"/>
  </r>
  <r>
    <x v="3970"/>
    <x v="1"/>
    <s v="ΠΕ02"/>
    <s v="ΦΙΛΟΛΟΓΟΙ"/>
    <m/>
    <m/>
    <s v="Γ΄"/>
    <n v="1"/>
    <n v="23901"/>
    <d v="2017-12-20T00:00:00"/>
    <s v="Β΄ ΘΕΣΣΑΛΟΝΙΚΗΣ (Δ.Ε.) 2018"/>
    <s v="ΔΙΕΥΘΥΝΣΗ Δ.Ε. ΔΥΤ. ΘΕΣ/ΝΙΚΗΣ"/>
    <s v="ΠΕΡΙΦΕΡΕΙΑΚΗ Δ/ΝΣΗ Α/ΘΜΙΑΣ ΚΑΙ Β/ΘΜΙΑΣ ΕΚΠ/ΣΗΣ ΚΕΝΤΡΙΚΗΣ ΜΑΚΕΔΟΝΙΑΣ"/>
    <n v="23"/>
    <d v="2017-12-20T00:00:00"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2"/>
    <s v="Τοποθέτηση σε Ιδιωτική Εκπαίδευση"/>
    <d v="1980-01-01T00:00:00"/>
    <x v="0"/>
    <s v="ΔΙΕΥΘΥΝΣΗ Δ.Ε. ΔΥΤ. ΘΕΣ/ΝΙΚΗΣ"/>
    <x v="5"/>
  </r>
  <r>
    <x v="3971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9-12-20T00:00:00"/>
    <x v="1"/>
    <s v="ΔΙΕΥΘΥΝΣΗ Π.Ε. Α΄ ΑΘΗΝΑΣ"/>
    <x v="5"/>
  </r>
  <r>
    <x v="3972"/>
    <x v="1"/>
    <s v="ΠΕ01"/>
    <s v="ΘΕ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12-15T00:00:00"/>
    <x v="0"/>
    <s v="ΔΙΕΥΘΥΝΣΗ Δ.Ε. Δ΄ ΑΘΗΝΑΣ"/>
    <x v="5"/>
  </r>
  <r>
    <x v="3973"/>
    <x v="1"/>
    <s v="ΠΕ02"/>
    <s v="ΦΙΛΟΛΟΓΟΙ"/>
    <m/>
    <m/>
    <s v="Γ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m/>
    <s v="Ιδιωτικά Σχολεία"/>
    <x v="2"/>
    <s v="0160075"/>
    <s v="ΙΔΙΩΤΙΚΟ ΓΥΜΝΑΣΙΟ ΝΑΥΠΑΚΤΟΣ - ΕΚΠΑΙΔΕΥΤΗΡΙΑ ΠΑΝΟΥ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9-11-18T00:00:00"/>
    <x v="0"/>
    <s v="ΔΙΕΥΘΥΝΣΗ Δ.Ε. ΑΙΤΩΛΟΑΚΑΡΝΑΝΙΑΣ"/>
    <x v="5"/>
  </r>
  <r>
    <x v="3974"/>
    <x v="0"/>
    <s v="ΠΕ01"/>
    <s v="ΘΕΟΛΟΓΟΙ"/>
    <m/>
    <m/>
    <s v="Α΄"/>
    <n v="6"/>
    <m/>
    <d v="2011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1-09-01T00:00:00"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10-14T00:00:00"/>
    <x v="0"/>
    <s v="ΔΙΕΥΘΥΝΣΗ Δ.Ε. ΑΝΑΤ. ΘΕΣ/ΝΙΚΗΣ"/>
    <x v="5"/>
  </r>
  <r>
    <x v="3975"/>
    <x v="1"/>
    <s v="ΠΕ79.01"/>
    <s v="ΜΟΥΣΙΚΗΣ ΕΠΙΣΤΗΜΗΣ"/>
    <m/>
    <m/>
    <s v="Α΄"/>
    <n v="6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2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9-10-13T00:00:00"/>
    <x v="1"/>
    <s v="ΔΙΕΥΘΥΝΣΗ Π.Ε. ΑΝΑΤΟΛΙΚΗΣ ΑΤΤΙΚΗΣ"/>
    <x v="5"/>
  </r>
  <r>
    <x v="3976"/>
    <x v="1"/>
    <s v="ΠΕ70"/>
    <s v="ΔΑΣΚΑΛΟΙ"/>
    <m/>
    <m/>
    <s v="Α΄"/>
    <n v="1"/>
    <m/>
    <m/>
    <s v="Α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9-10-13T00:00:00"/>
    <x v="1"/>
    <s v="ΔΙΕΥΘΥΝΣΗ Π.Ε. Δ΄ ΑΘΗΝΑΣ"/>
    <x v="5"/>
  </r>
  <r>
    <x v="3977"/>
    <x v="0"/>
    <s v="ΠΕ70"/>
    <s v="ΔΑΣΚΑΛΟΙ"/>
    <m/>
    <m/>
    <s v="Γ΄"/>
    <n v="1"/>
    <s v="3558/16-09-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10-10T00:00:00"/>
    <x v="1"/>
    <s v="ΔΙΕΥΘΥΝΣΗ Π.Ε. Β΄ ΑΘΗΝΑΣ"/>
    <x v="5"/>
  </r>
  <r>
    <x v="3978"/>
    <x v="1"/>
    <s v="ΠΕ70"/>
    <s v="ΔΑΣΚΑΛΟΙ"/>
    <m/>
    <m/>
    <s v="Α΄"/>
    <n v="6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9-29T00:00:00"/>
    <x v="1"/>
    <s v="ΔΙΕΥΘΥΝΣΗ Π.Ε. Δ΄ ΑΘΗΝΑΣ"/>
    <x v="5"/>
  </r>
  <r>
    <x v="3979"/>
    <x v="0"/>
    <s v="ΠΕ70"/>
    <s v="ΔΑΣΚΑΛΟΙ"/>
    <m/>
    <m/>
    <s v="Α΄"/>
    <n v="7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9-09-01T00:00:00"/>
    <x v="1"/>
    <s v="ΔΙΕΥΘΥΝΣΗ Π.Ε. ΔΥΤ. ΘΕΣ/ΝΙΚΗΣ"/>
    <x v="5"/>
  </r>
  <r>
    <x v="3980"/>
    <x v="1"/>
    <s v="ΠΕ70"/>
    <s v="ΔΑΣΚΑΛΟΙ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8-21T00:00:00"/>
    <x v="1"/>
    <s v="ΔΙΕΥΘΥΝΣΗ Π.Ε. Β΄ ΑΘΗΝΑΣ"/>
    <x v="5"/>
  </r>
  <r>
    <x v="3981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8-21T00:00:00"/>
    <x v="1"/>
    <s v="ΔΙΕΥΘΥΝΣΗ Π.Ε. Β΄ ΑΘΗΝΑΣ"/>
    <x v="5"/>
  </r>
  <r>
    <x v="3982"/>
    <x v="1"/>
    <s v="ΠΕ78"/>
    <s v="ΚΟΙΝΩΝΙΚΩΝ ΕΠΙΣΤΗΜΩΝ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3"/>
    <m/>
    <s v="Ιδιωτικά Σχολεία"/>
    <x v="3"/>
    <s v="0580715"/>
    <s v="ΙΔΙΩΤΙΚΟ ΗΜΕΡΗΣΙΟ ΓΕΛ ΣΥΓΧΡΟΝΗ ΠΑΙΔΕΙΑ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9-08-09T00:00:00"/>
    <x v="0"/>
    <s v="ΔΙΕΥΘΥΝΣΗ Δ.Ε. Α΄ ΑΘΗΝΑΣ"/>
    <x v="5"/>
  </r>
  <r>
    <x v="3983"/>
    <x v="1"/>
    <s v="ΠΕ02"/>
    <s v="ΦΙΛΟΛΟΓΟΙ"/>
    <m/>
    <m/>
    <s v="Γ΄"/>
    <n v="1"/>
    <s v="Φ. 17.2 / 8224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3"/>
    <d v="2018-09-01T00:00:00"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79-07-29T00:00:00"/>
    <x v="0"/>
    <s v="ΔΙΕΥΘΥΝΣΗ Δ.Ε. ΔΩΔΕΚΑΝΗΣΟΥ"/>
    <x v="5"/>
  </r>
  <r>
    <x v="398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7-23T00:00:00"/>
    <x v="1"/>
    <s v="ΔΙΕΥΘΥΝΣΗ Π.Ε. Β΄ ΑΘΗΝΑΣ"/>
    <x v="5"/>
  </r>
  <r>
    <x v="3985"/>
    <x v="0"/>
    <s v="ΠΕ86"/>
    <s v="ΠΛΗΡΟΦΟΡΙΚΗ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7-15T00:00:00"/>
    <x v="0"/>
    <s v="ΔΙΕΥΘΥΝΣΗ Δ.Ε. Β΄ ΑΘΗΝΑΣ"/>
    <x v="5"/>
  </r>
  <r>
    <x v="3986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9-07-07T00:00:00"/>
    <x v="0"/>
    <s v="ΔΙΕΥΘΥΝΣΗ Δ.Ε. Β΄ ΑΘΗΝΑΣ"/>
    <x v="5"/>
  </r>
  <r>
    <x v="3987"/>
    <x v="1"/>
    <s v="ΠΕ07"/>
    <s v="ΓΕΡΜΑΝ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6-23T00:00:00"/>
    <x v="0"/>
    <s v="ΔΙΕΥΘΥΝΣΗ Δ.Ε. Δ΄ ΑΘΗΝΑΣ"/>
    <x v="5"/>
  </r>
  <r>
    <x v="3988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9-06-01T00:00:00"/>
    <x v="0"/>
    <s v="ΔΙΕΥΘΥΝΣΗ Δ.Ε. Β΄ ΑΘΗΝΑΣ"/>
    <x v="5"/>
  </r>
  <r>
    <x v="3989"/>
    <x v="1"/>
    <s v="ΠΕ81"/>
    <s v="ΠΟΛ.ΜΗΧΑΝΙΚΩΝ-ΑΡΧΙΤΕΚΤΟΝΩΝ"/>
    <m/>
    <m/>
    <s v="Γ΄"/>
    <n v="3"/>
    <n v="13104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81055"/>
    <s v="ΑΡΣΑΚΕΙΟ ΓΥΜΝΑΣ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5-09T00:00:00"/>
    <x v="0"/>
    <s v="ΔΙΕΥΘΥΝΣΗ Δ.Ε. ΑΝΑΤ. ΘΕΣ/ΝΙΚΗΣ"/>
    <x v="5"/>
  </r>
  <r>
    <x v="3990"/>
    <x v="1"/>
    <s v="ΠΕ70"/>
    <s v="ΔΑΣΚΑΛΟΙ"/>
    <m/>
    <m/>
    <s v="Γ΄"/>
    <n v="1"/>
    <n v="2668"/>
    <d v="2018-09-01T00:00:00"/>
    <s v="Α΄ ΠΕΙΡΑΙΑ (Π.Ε.) 2018"/>
    <s v="ΔΙΕΥΘΥΝΣΗ Π.Ε. ΠΕΙΡΑΙΑ"/>
    <s v="ΠΕΡΙΦΕΡΕΙΑΚΗ Δ/ΝΣΗ Α/ΘΜΙΑΣ ΚΑΙ Β/ΘΜΙΑΣ ΕΚΠ/ΣΗΣ ΑΤΤΙΚΗΣ"/>
    <n v="23"/>
    <d v="2018-09-01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9-05-03T00:00:00"/>
    <x v="1"/>
    <s v="ΔΙΕΥΘΥΝΣΗ Π.Ε. ΠΕΙΡΑΙΑ"/>
    <x v="5"/>
  </r>
  <r>
    <x v="3991"/>
    <x v="1"/>
    <s v="ΠΕ06"/>
    <s v="ΑΓΓΛΙΚΗΣ ΦΙΛΟΛΟΓΙΑ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9-05-01T00:00:00"/>
    <x v="1"/>
    <s v="ΔΙΕΥΘΥΝΣΗ Π.Ε. ΛΑΡΙΣΑΣ"/>
    <x v="5"/>
  </r>
  <r>
    <x v="3992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9-04-29T00:00:00"/>
    <x v="1"/>
    <s v="ΔΙΕΥΘΥΝΣΗ Π.Ε. Β΄ ΑΘΗΝΑΣ"/>
    <x v="5"/>
  </r>
  <r>
    <x v="3993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9-04-02T00:00:00"/>
    <x v="1"/>
    <s v="ΔΙΕΥΘΥΝΣΗ Π.Ε. ΧΑΝΙΩΝ"/>
    <x v="5"/>
  </r>
  <r>
    <x v="3994"/>
    <x v="1"/>
    <s v="ΠΕ05"/>
    <s v="ΓΑΛ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2-12T00:00:00"/>
    <x v="1"/>
    <s v="ΔΙΕΥΘΥΝΣΗ Π.Ε. Δ΄ ΑΘΗΝΑΣ"/>
    <x v="5"/>
  </r>
  <r>
    <x v="3995"/>
    <x v="1"/>
    <s v="ΠΕ02"/>
    <s v="ΦΙΛΟΛΟΓΟΙ"/>
    <m/>
    <m/>
    <s v="Γ΄"/>
    <n v="1"/>
    <s v="23852/3-9-2018"/>
    <d v="2018-09-03T00:00:00"/>
    <s v="ΛΑΡΙΣΑΣ (Δ.Ε.) 2018"/>
    <s v="ΔΙΕΥΘΥΝΣΗ Δ.Ε. ΛΑΡΙΣΑΣ"/>
    <s v="ΠΕΡΙΦΕΡΕΙΑΚΗ Δ/ΝΣΗ Α/ΘΜΙΑΣ ΚΑΙ Β/ΘΜΙΑΣ ΕΚΠ/ΣΗΣ ΘΕΣΣΑΛΙΑΣ"/>
    <n v="23"/>
    <d v="2018-09-03T00:00:00"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9-02-01T00:00:00"/>
    <x v="0"/>
    <s v="ΔΙΕΥΘΥΝΣΗ Δ.Ε. ΛΑΡΙΣΑΣ"/>
    <x v="5"/>
  </r>
  <r>
    <x v="3996"/>
    <x v="1"/>
    <s v="ΠΕ70"/>
    <s v="ΔΑΣΚΑΛΟΙ"/>
    <m/>
    <m/>
    <s v="Α΄"/>
    <n v="7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1-29T00:00:00"/>
    <x v="1"/>
    <s v="ΔΙΕΥΘΥΝΣΗ Π.Ε. Δ΄ ΑΘΗΝΑΣ"/>
    <x v="5"/>
  </r>
  <r>
    <x v="3997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9-01-22T00:00:00"/>
    <x v="1"/>
    <s v="ΔΙΕΥΘΥΝΣΗ Π.Ε. Α΄ ΑΘΗΝΑΣ"/>
    <x v="5"/>
  </r>
  <r>
    <x v="3998"/>
    <x v="0"/>
    <s v="ΠΕ02"/>
    <s v="ΦΙΛΟΛΟΓΟΙ"/>
    <m/>
    <m/>
    <s v="Α΄"/>
    <n v="5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9-01-01T00:00:00"/>
    <x v="0"/>
    <s v="ΔΙΕΥΘΥΝΣΗ Δ.Ε. Δ΄ ΑΘΗΝΑΣ"/>
    <x v="5"/>
  </r>
  <r>
    <x v="3999"/>
    <x v="1"/>
    <s v="ΠΕ06"/>
    <s v="ΑΓΓΛΙΚΗΣ ΦΙΛΟΛΟΓΙΑ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9-01-01T00:00:00"/>
    <x v="1"/>
    <s v="ΔΙΕΥΘΥΝΣΗ Π.Ε. ΧΑΝΙΩΝ"/>
    <x v="5"/>
  </r>
  <r>
    <x v="4000"/>
    <x v="1"/>
    <s v="ΠΕ70"/>
    <s v="ΔΑΣΚΑΛΟΙ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3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9-01-01T00:00:00"/>
    <x v="1"/>
    <s v="ΔΙΕΥΘΥΝΣΗ Π.Ε. ΚΥΚΛΑΔΩΝ"/>
    <x v="5"/>
  </r>
  <r>
    <x v="4001"/>
    <x v="0"/>
    <s v="ΠΕ79.01"/>
    <s v="ΜΟΥΣΙΚΗΣ ΕΠΙΣΤΗΜ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8-12-13T00:00:00"/>
    <x v="0"/>
    <s v="ΔΙΕΥΘΥΝΣΗ Δ.Ε. Β΄ ΑΘΗΝΑΣ"/>
    <x v="5"/>
  </r>
  <r>
    <x v="4002"/>
    <x v="1"/>
    <s v="ΠΕ11"/>
    <s v="ΦΥΣΙΚΗΣ ΑΓΩΓΗΣ"/>
    <m/>
    <m/>
    <s v="Α΄"/>
    <n v="7"/>
    <s v="4802/22-10-2008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8-09-01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8-12-02T00:00:00"/>
    <x v="1"/>
    <s v="ΔΙΕΥΘΥΝΣΗ Π.Ε. ΑΝΑΤΟΛΙΚΗΣ ΑΤΤΙΚΗΣ"/>
    <x v="5"/>
  </r>
  <r>
    <x v="4003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8-11-28T00:00:00"/>
    <x v="1"/>
    <s v="ΔΙΕΥΘΥΝΣΗ Π.Ε. ΛΑΡΙΣΑΣ"/>
    <x v="5"/>
  </r>
  <r>
    <x v="4004"/>
    <x v="0"/>
    <s v="ΠΕ02"/>
    <s v="ΦΙΛΟΛΟΓΟΙ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8-11-28T00:00:00"/>
    <x v="0"/>
    <s v="ΔΙΕΥΘΥΝΣΗ Δ.Ε. ΔΩΔΕΚΑΝΗΣΟΥ"/>
    <x v="5"/>
  </r>
  <r>
    <x v="4005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11-06T00:00:00"/>
    <x v="0"/>
    <s v="ΔΙΕΥΘΥΝΣΗ Δ.Ε. ΑΝΑΤ. ΘΕΣ/ΝΙΚΗΣ"/>
    <x v="5"/>
  </r>
  <r>
    <x v="4006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10-13T00:00:00"/>
    <x v="1"/>
    <s v="ΔΙΕΥΘΥΝΣΗ Π.Ε. Δ΄ ΑΘΗΝΑΣ"/>
    <x v="5"/>
  </r>
  <r>
    <x v="4007"/>
    <x v="0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9-27T00:00:00"/>
    <x v="0"/>
    <s v="ΔΙΕΥΘΥΝΣΗ Δ.Ε. Β΄ ΑΘΗΝΑΣ"/>
    <x v="5"/>
  </r>
  <r>
    <x v="4008"/>
    <x v="1"/>
    <s v="ΠΕ06"/>
    <s v="ΑΓΓΛΙΚΗΣ ΦΙΛΟΛΟΓΙΑΣ"/>
    <m/>
    <m/>
    <s v="Α΄"/>
    <n v="7"/>
    <s v="Φ.Ι.Α.6/38719/7-12-2017"/>
    <d v="2017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7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9-23T00:00:00"/>
    <x v="1"/>
    <s v="ΔΙΕΥΘΥΝΣΗ Π.Ε. ΑΝΑΤΟΛΙΚΗΣ ΑΤΤΙΚΗΣ"/>
    <x v="5"/>
  </r>
  <r>
    <x v="4009"/>
    <x v="1"/>
    <s v="ΠΕ70"/>
    <s v="ΔΑΣΚΑΛΟΙ"/>
    <m/>
    <m/>
    <s v="Α΄"/>
    <n v="6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d v="2018-09-01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9-19T00:00:00"/>
    <x v="1"/>
    <s v="ΔΙΕΥΘΥΝΣΗ Π.Ε. Δ΄ ΑΘΗΝΑΣ"/>
    <x v="5"/>
  </r>
  <r>
    <x v="4010"/>
    <x v="0"/>
    <s v="ΠΕ70"/>
    <s v="ΔΑΣΚΑΛ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8-09-08T00:00:00"/>
    <x v="1"/>
    <s v="ΔΙΕΥΘΥΝΣΗ Π.Ε. ΔΩΔΕΚΑΝΗΣΟΥ"/>
    <x v="5"/>
  </r>
  <r>
    <x v="4011"/>
    <x v="0"/>
    <s v="ΠΕ04.04"/>
    <s v="ΒΙ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08-14T00:00:00"/>
    <x v="0"/>
    <s v="ΔΙΕΥΘΥΝΣΗ Δ.Ε. Γ΄ ΑΘΗΝΑΣ"/>
    <x v="5"/>
  </r>
  <r>
    <x v="4012"/>
    <x v="0"/>
    <s v="ΠΕ70"/>
    <s v="ΔΑΣΚΑΛΟΙ"/>
    <m/>
    <m/>
    <s v="Α΄"/>
    <n v="6"/>
    <s v="5614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8-04T00:00:00"/>
    <x v="1"/>
    <s v="ΔΙΕΥΘΥΝΣΗ Π.Ε. ΑΝΑΤΟΛΙΚΗΣ ΑΤΤΙΚΗΣ"/>
    <x v="5"/>
  </r>
  <r>
    <x v="4013"/>
    <x v="0"/>
    <s v="ΠΕ11"/>
    <s v="ΦΥΣΙΚΗΣ ΑΓΩΓΗΣ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3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8-07-18T00:00:00"/>
    <x v="0"/>
    <s v="ΔΙΕΥΘΥΝΣΗ Δ.Ε. Α΄ ΑΘΗΝΑΣ"/>
    <x v="5"/>
  </r>
  <r>
    <x v="4014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7-04T00:00:00"/>
    <x v="1"/>
    <s v="ΔΙΕΥΘΥΝΣΗ Π.Ε. ΑΝΑΤΟΛΙΚΗΣ ΑΤΤΙΚΗΣ"/>
    <x v="5"/>
  </r>
  <r>
    <x v="4015"/>
    <x v="1"/>
    <s v="ΠΕ79.01"/>
    <s v="ΜΟΥΣΙΚΗΣ ΕΠΙΣΤΗΜΗΣ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m/>
    <s v="Ιδιωτικά Σχολεία"/>
    <x v="2"/>
    <s v="3181010"/>
    <s v="ΙΔΙΩΤΙΚΟ ΗΜΕΡΗΣΙΟ ΓΥΜΝΑΣΙΟ ΜΑΙΡΗΣ Ν. ΡΑΠΤΟΥ / ΚΕΝΤΡΟ ΕΛΛΗΝΙΚΗΣ ΠΑΙΔΕΙΑΣ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78-05-06T00:00:00"/>
    <x v="0"/>
    <s v="ΔΙΕΥΘΥΝΣΗ Δ.Ε. ΛΑΡΙΣΑΣ"/>
    <x v="5"/>
  </r>
  <r>
    <x v="4016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4-15T00:00:00"/>
    <x v="1"/>
    <s v="ΔΙΕΥΘΥΝΣΗ Π.Ε. Δ΄ ΑΘΗΝΑΣ"/>
    <x v="5"/>
  </r>
  <r>
    <x v="4017"/>
    <x v="1"/>
    <s v="ΠΕ86"/>
    <s v="ΠΛΗΡΟΦΟΡΙΚ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8-04-05T00:00:00"/>
    <x v="0"/>
    <s v="ΔΙΕΥΘΥΝΣΗ Δ.Ε. Β΄ ΑΘΗΝΑΣ"/>
    <x v="5"/>
  </r>
  <r>
    <x v="4018"/>
    <x v="0"/>
    <s v="ΠΕ70"/>
    <s v="ΔΑΣΚΑΛΟΙ"/>
    <m/>
    <m/>
    <s v="Α΄"/>
    <n v="7"/>
    <s v="Φ.Ι.Α.6/9399/23-3-2017"/>
    <d v="2016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6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8-03-18T00:00:00"/>
    <x v="1"/>
    <s v="ΔΙΕΥΘΥΝΣΗ Π.Ε. ΑΝΑΤΟΛΙΚΗΣ ΑΤΤΙΚΗΣ"/>
    <x v="5"/>
  </r>
  <r>
    <x v="4019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2-15T00:00:00"/>
    <x v="1"/>
    <s v="ΔΙΕΥΘΥΝΣΗ Π.Ε. Β΄ ΑΘΗΝΑΣ"/>
    <x v="5"/>
  </r>
  <r>
    <x v="4020"/>
    <x v="1"/>
    <s v="ΠΕ70"/>
    <s v="ΔΑΣΚΑΛΟΙ"/>
    <m/>
    <m/>
    <s v="Α΄"/>
    <n v="6"/>
    <n v="1172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d v="2018-09-01T00:00:00"/>
    <s v="Ιδιωτικά Σχολεία"/>
    <x v="4"/>
    <s v="7192002"/>
    <s v="ΙΔΙΩΤΙΚΟ ΔΗΜΟΤΙΚΟ ΠΕΥΚΑ ΘΕΣΣΑΛΟΝΙΚΗΣ - ΕΚΠΑΙΔΕΥΤΗΡΙΑ ΦΡΥΓΑΝΙΩΤ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8-02-06T00:00:00"/>
    <x v="1"/>
    <s v="ΔΙΕΥΘΥΝΣΗ Π.Ε. ΔΥΤ. ΘΕΣ/ΝΙΚΗΣ"/>
    <x v="5"/>
  </r>
  <r>
    <x v="4021"/>
    <x v="1"/>
    <s v="ΠΕ11"/>
    <s v="ΦΥΣΙΚΗΣ ΑΓΩΓΗΣ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3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78-02-04T00:00:00"/>
    <x v="1"/>
    <s v="ΔΙΕΥΘΥΝΣΗ Π.Ε. ΜΕΣΣΗΝΙΑΣ"/>
    <x v="5"/>
  </r>
  <r>
    <x v="4022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1-09T00:00:00"/>
    <x v="0"/>
    <s v="ΔΙΕΥΘΥΝΣΗ Δ.Ε. Β΄ ΑΘΗΝΑΣ"/>
    <x v="5"/>
  </r>
  <r>
    <x v="4023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8-01-01T00:00:00"/>
    <x v="0"/>
    <s v="ΔΙΕΥΘΥΝΣΗ Δ.Ε. ΑΝΑΤΟΛΙΚΗΣ ΑΤΤΙΚΗΣ"/>
    <x v="5"/>
  </r>
  <r>
    <x v="4024"/>
    <x v="0"/>
    <s v="ΠΕ03"/>
    <s v="ΜΑΘΗΜΑΤΙΚΟΙ"/>
    <m/>
    <m/>
    <s v="Γ΄"/>
    <n v="1"/>
    <n v="10761"/>
    <d v="2018-09-01T00:00:00"/>
    <s v="ΙΩΑΝΝΙΝΩΝ (Δ.Ε.) 2018"/>
    <s v="ΔΙΕΥΘΥΝΣΗ Δ.Ε. ΙΩΑΝΝΙΝΩΝ"/>
    <s v="ΠΕΡΙΦΕΡΕΙΑΚΗ Δ/ΝΣΗ Α/ΘΜΙΑΣ ΚΑΙ Β/ΘΜΙΑΣ ΕΚΠ/ΣΗΣ ΗΠΕΙΡΟΥ"/>
    <n v="23"/>
    <d v="2018-09-01T00:00:00"/>
    <s v="Ιδιωτικά Σχολεία"/>
    <x v="3"/>
    <s v="2061004"/>
    <s v="ΑΡΣΑΚΕΙΟ ΓΕΝΙΚΟ ΛΥΚΕΙΟ I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8-01-01T00:00:00"/>
    <x v="0"/>
    <s v="ΔΙΕΥΘΥΝΣΗ Δ.Ε. ΙΩΑΝΝΙΝΩΝ"/>
    <x v="5"/>
  </r>
  <r>
    <x v="4025"/>
    <x v="1"/>
    <s v="ΠΕ02"/>
    <s v="ΦΙΛΟΛΟΓΟΙ"/>
    <m/>
    <m/>
    <s v="Α΄"/>
    <n v="1"/>
    <s v="ΒΙΞ49-ΛΒΟ"/>
    <d v="2014-03-20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4-03-20T00:00:00"/>
    <s v="Ιδιωτικά Σχολεία"/>
    <x v="2"/>
    <s v="1981913"/>
    <s v="ΙΔΙΩΤΙΚΟ ΓΥΜΝΑΣ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1-01T00:00:00"/>
    <x v="0"/>
    <s v="ΔΙΕΥΘΥΝΣΗ Δ.Ε. ΑΝΑΤ. ΘΕΣ/ΝΙΚΗΣ"/>
    <x v="5"/>
  </r>
  <r>
    <x v="4026"/>
    <x v="0"/>
    <s v="ΤΕ16"/>
    <s v="ΜΟΥΣΙΚΗΣ ΜΗ ΑΝΩΤΑΤΩΝ ΙΔΡΥΜΑΤΩΝ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1-01T00:00:00"/>
    <x v="0"/>
    <s v="ΔΙΕΥΘΥΝΣΗ Δ.Ε. ΑΝΑΤ. ΘΕΣ/ΝΙΚΗΣ"/>
    <x v="5"/>
  </r>
  <r>
    <x v="4027"/>
    <x v="1"/>
    <s v="ΠΕ70"/>
    <s v="ΔΑΣΚΑΛΟΙ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3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78-01-01T00:00:00"/>
    <x v="1"/>
    <s v="ΔΙΕΥΘΥΝΣΗ Π.Ε. ΚΥΚΛΑΔΩΝ"/>
    <x v="5"/>
  </r>
  <r>
    <x v="4028"/>
    <x v="0"/>
    <s v="ΠΕ70"/>
    <s v="ΔΑΣΚΑΛΟΙ"/>
    <m/>
    <m/>
    <s v="Γ΄"/>
    <n v="1"/>
    <s v="3558/16-09-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12-27T00:00:00"/>
    <x v="1"/>
    <s v="ΔΙΕΥΘΥΝΣΗ Π.Ε. Β΄ ΑΘΗΝΑΣ"/>
    <x v="5"/>
  </r>
  <r>
    <x v="4029"/>
    <x v="1"/>
    <s v="ΠΕ78"/>
    <s v="ΚΟΙΝΩΝΙΚΩΝ ΕΠΙΣΤΗΜ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90902"/>
    <s v="ΙΔΙΩΤΙΚΟ ΗΜΕΡΗΣΙΟ ΓΕΝΙΚΟ ΛΥΚΕΙΟ ΕΛΛΗΝΟΓΑΛΛΙΚΗΣ ΣΧΟΛΗΣ &quot;ΑΓΙΟΣ ΙΩΣΗΦ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2-25T00:00:00"/>
    <x v="0"/>
    <s v="ΔΙΕΥΘΥΝΣΗ Δ.Ε. Β΄ ΑΘΗΝΑΣ"/>
    <x v="5"/>
  </r>
  <r>
    <x v="4030"/>
    <x v="1"/>
    <s v="ΠΕ08"/>
    <s v="ΚΑΛΛΙΤΕΧΝΙΚΩΝ"/>
    <m/>
    <m/>
    <s v="Α΄"/>
    <n v="6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12-17T00:00:00"/>
    <x v="1"/>
    <s v="ΔΙΕΥΘΥΝΣΗ Π.Ε. ΑΝΑΤΟΛΙΚΗΣ ΑΤΤΙΚΗΣ"/>
    <x v="5"/>
  </r>
  <r>
    <x v="4031"/>
    <x v="1"/>
    <s v="ΠΕ04.04"/>
    <s v="ΒΙ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7-12-10T00:00:00"/>
    <x v="0"/>
    <s v="ΔΙΕΥΘΥΝΣΗ Δ.Ε. ΙΩΑΝΝΙΝΩΝ"/>
    <x v="5"/>
  </r>
  <r>
    <x v="4032"/>
    <x v="1"/>
    <s v="ΠΕ70"/>
    <s v="ΔΑΣΚΑΛΟΙ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12-06T00:00:00"/>
    <x v="1"/>
    <s v="ΔΙΕΥΘΥΝΣΗ Π.Ε. Β΄ ΑΘΗΝΑΣ"/>
    <x v="5"/>
  </r>
  <r>
    <x v="4033"/>
    <x v="1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m/>
    <s v="Ιδιωτικά Σχολεία"/>
    <x v="3"/>
    <s v="0161002"/>
    <s v="ΙΔΙΩΤΙΚΟ ΓΕΛ &quot;ΠΑΝΑΓΙΑ ΠΡΟΥΣΙΩΤΙΣΣΑ&quot;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77-11-25T00:00:00"/>
    <x v="0"/>
    <s v="ΔΙΕΥΘΥΝΣΗ Δ.Ε. ΑΙΤΩΛΟΑΚΑΡΝΑΝΙΑΣ"/>
    <x v="5"/>
  </r>
  <r>
    <x v="4034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11-14T00:00:00"/>
    <x v="0"/>
    <s v="ΔΙΕΥΘΥΝΣΗ Δ.Ε. Β΄ ΑΘΗΝΑΣ"/>
    <x v="5"/>
  </r>
  <r>
    <x v="4035"/>
    <x v="1"/>
    <s v="ΠΕ06"/>
    <s v="ΑΓΓΛΙΚΗΣ ΦΙΛΟΛΟΓΙΑΣ"/>
    <m/>
    <m/>
    <s v="Α΄"/>
    <n v="10"/>
    <m/>
    <m/>
    <s v="Α΄ ΜΑΓΝΗΣΙΑΣ (Π.Ε.) 2018"/>
    <s v="ΔΙΕΥΘΥΝΣΗ Π.Ε. ΜΑΓΝΗΣΙΑΣ"/>
    <s v="ΠΕΡΙΦΕΡΕΙΑΚΗ Δ/ΝΣΗ Α/ΘΜΙΑΣ ΚΑΙ Β/ΘΜΙΑΣ ΕΚΠ/ΣΗΣ ΘΕΣΣΑΛΙΑΣ"/>
    <n v="23"/>
    <m/>
    <s v="Ιδιωτικά Σχολεία"/>
    <x v="4"/>
    <s v="7351000"/>
    <s v="ΙΔΙΩΤΙΚΟ ΔΗΜΟΤΙΚΟ ΣΧΟΛΕΙΟ &quot;ΑΓΙΟΣ ΙΩΣΗΦ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7-10-25T00:00:00"/>
    <x v="1"/>
    <s v="ΔΙΕΥΘΥΝΣΗ Π.Ε. ΜΑΓΝΗΣΙΑΣ"/>
    <x v="5"/>
  </r>
  <r>
    <x v="4036"/>
    <x v="0"/>
    <s v="ΠΕ04.02"/>
    <s v="ΧΗΜΙΚ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3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7-10-21T00:00:00"/>
    <x v="0"/>
    <s v="ΔΙΕΥΘΥΝΣΗ Δ.Ε. Α΄ ΑΘΗΝΑΣ"/>
    <x v="5"/>
  </r>
  <r>
    <x v="4037"/>
    <x v="0"/>
    <s v="ΠΕ06"/>
    <s v="ΑΓΓΛΙΚΗΣ ΦΙΛΟΛΟΓΙΑΣ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3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77-10-08T00:00:00"/>
    <x v="1"/>
    <s v="ΔΙΕΥΘΥΝΣΗ Π.Ε. ΗΡΑΚΛΕΙΟΥ"/>
    <x v="5"/>
  </r>
  <r>
    <x v="4038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3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77-10-06T00:00:00"/>
    <x v="1"/>
    <s v="ΔΙΕΥΘΥΝΣΗ Π.Ε. ΜΕΣΣΗΝΙΑΣ"/>
    <x v="5"/>
  </r>
  <r>
    <x v="4039"/>
    <x v="1"/>
    <s v="ΠΕ11"/>
    <s v="ΦΥΣΙΚΗΣ ΑΓΩΓ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8-26T00:00:00"/>
    <x v="1"/>
    <s v="ΔΙΕΥΘΥΝΣΗ Π.Ε. Δ΄ ΑΘΗΝΑΣ"/>
    <x v="5"/>
  </r>
  <r>
    <x v="4040"/>
    <x v="0"/>
    <s v="ΠΕ04.01"/>
    <s v="ΦΥΣΙΚΟΙ"/>
    <m/>
    <m/>
    <s v="Γ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7-08-25T00:00:00"/>
    <x v="0"/>
    <s v="ΔΙΕΥΘΥΝΣΗ Δ.Ε. ΑΝΑΤΟΛΙΚΗΣ ΑΤΤΙΚΗΣ"/>
    <x v="5"/>
  </r>
  <r>
    <x v="4041"/>
    <x v="0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8-15T00:00:00"/>
    <x v="0"/>
    <s v="ΔΙΕΥΘΥΝΣΗ Δ.Ε. Β΄ ΑΘΗΝΑΣ"/>
    <x v="5"/>
  </r>
  <r>
    <x v="4042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08-10T00:00:00"/>
    <x v="0"/>
    <s v="ΔΙΕΥΘΥΝΣΗ Δ.Ε. ΠΕΙΡΑΙΑ"/>
    <x v="5"/>
  </r>
  <r>
    <x v="4043"/>
    <x v="1"/>
    <s v="ΠΕ08"/>
    <s v="ΚΑΛΛΙΤΕΧΝΙΚΩΝ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7-27T00:00:00"/>
    <x v="1"/>
    <s v="ΔΙΕΥΘΥΝΣΗ Π.Ε. Δ΄ ΑΘΗΝΑΣ"/>
    <x v="5"/>
  </r>
  <r>
    <x v="4044"/>
    <x v="0"/>
    <s v="ΠΕ08"/>
    <s v="ΚΑΛΛΙΤΕΧΝΙΚΩΝ"/>
    <m/>
    <m/>
    <s v="Γ΄"/>
    <n v="2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d v="2018-09-12T00:00:00"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7-26T00:00:00"/>
    <x v="0"/>
    <s v="ΔΙΕΥΘΥΝΣΗ Δ.Ε. Δ΄ ΑΘΗΝΑΣ"/>
    <x v="5"/>
  </r>
  <r>
    <x v="4045"/>
    <x v="1"/>
    <s v="ΠΕ80"/>
    <s v="ΟΙΚΟΝΟΜ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7-15T00:00:00"/>
    <x v="0"/>
    <s v="ΔΙΕΥΘΥΝΣΗ Δ.Ε. Β΄ ΑΘΗΝΑΣ"/>
    <x v="5"/>
  </r>
  <r>
    <x v="4046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7-06-23T00:00:00"/>
    <x v="0"/>
    <s v="ΔΙΕΥΘΥΝΣΗ Δ.Ε. Δ΄ ΑΘΗΝΑΣ"/>
    <x v="5"/>
  </r>
  <r>
    <x v="4047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6-16T00:00:00"/>
    <x v="0"/>
    <s v="ΔΙΕΥΘΥΝΣΗ Δ.Ε. Β΄ ΑΘΗΝΑΣ"/>
    <x v="5"/>
  </r>
  <r>
    <x v="4048"/>
    <x v="1"/>
    <s v="ΠΕ02"/>
    <s v="ΦΙΛΟΛΟΓ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7-06-15T00:00:00"/>
    <x v="0"/>
    <s v="ΔΙΕΥΘΥΝΣΗ Δ.Ε. ΙΩΑΝΝΙΝΩΝ"/>
    <x v="5"/>
  </r>
  <r>
    <x v="4049"/>
    <x v="1"/>
    <s v="ΠΕ86"/>
    <s v="ΠΛΗΡΟΦΟΡΙΚΗ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395"/>
    <s v="ΙΔΙΩΤΙΚΟ ΓΕΝΙΚΟ ΛΥΚΕΙΟ ΗΡΑΚΛΕΙΟY ΑΤΤΙΚΗΣ - &quot;Η ΕΛΛΗΝΙΚΗ ΠΑΙΔΕΙ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7-05-31T00:00:00"/>
    <x v="0"/>
    <s v="ΔΙΕΥΘΥΝΣΗ Δ.Ε. Β΄ ΑΘΗΝΑΣ"/>
    <x v="5"/>
  </r>
  <r>
    <x v="4050"/>
    <x v="0"/>
    <s v="ΠΕ04.01"/>
    <s v="ΦΥΣΙΚΟΙ"/>
    <m/>
    <m/>
    <s v="Γ΄"/>
    <n v="3"/>
    <n v="15986"/>
    <d v="2018-09-1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11T00:00:00"/>
    <s v="Ιδιωτικά Σχολεία"/>
    <x v="3"/>
    <s v="1980055"/>
    <s v="ΑΡΣΑΚΕΙΟ ΓΕΝΙΚΟ ΛΥΚΕΙΟ ΘΕΣΣΑΛΟΝΙΚΗΣ ΤΗΣ Φ.Ε."/>
    <s v="Α΄ ΘΕΣΣΑΛΟΝΙΚΗΣ (Δ.Ε.) 2018"/>
    <s v="ΔΙΕΥΘΥΝΣΗ Δ.Ε. ΑΝΑΤ. ΘΕΣ/ΝΙΚΗΣ"/>
    <s v="ΠΕΡΙΦΕΡΕΙΑΚΗ Δ/ΝΣΗ Α/ΘΜΙΑΣ ΚΑΙ Β/ΘΜΙΑΣ ΕΚΠ/ΣΗΣ ΚΕΝΤΡΙΚΗΣ ΜΑΚΕΔΟΝΙΑΣ"/>
    <x v="0"/>
    <s v="Τοποθέτηση σε Ιδιωτική Εκπαίδευση"/>
    <d v="1977-05-29T00:00:00"/>
    <x v="0"/>
    <s v="ΔΙΕΥΘΥΝΣΗ Δ.Ε. ΑΝΑΤ. ΘΕΣ/ΝΙΚΗΣ"/>
    <x v="5"/>
  </r>
  <r>
    <x v="4051"/>
    <x v="1"/>
    <s v="ΠΕ86"/>
    <s v="ΠΛΗΡΟΦΟΡΙΚ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7-05-15T00:00:00"/>
    <x v="0"/>
    <s v="ΔΙΕΥΘΥΝΣΗ Δ.Ε. Β΄ ΑΘΗΝΑΣ"/>
    <x v="5"/>
  </r>
  <r>
    <x v="4052"/>
    <x v="1"/>
    <s v="ΠΕ11"/>
    <s v="ΦΥΣΙΚΗΣ ΑΓΩΓΗΣ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7-04-04T00:00:00"/>
    <x v="1"/>
    <s v="ΔΙΕΥΘΥΝΣΗ Π.Ε. ΛΑΡΙΣΑΣ"/>
    <x v="5"/>
  </r>
  <r>
    <x v="4053"/>
    <x v="1"/>
    <s v="ΠΕ60"/>
    <s v="ΝΗΠΙΑΓΩΓΟΙ"/>
    <m/>
    <m/>
    <s v="Γ΄"/>
    <n v="1"/>
    <s v="3558/1-9-20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2-17T00:00:00"/>
    <x v="1"/>
    <s v="ΔΙΕΥΘΥΝΣΗ Π.Ε. Β΄ ΑΘΗΝΑΣ"/>
    <x v="5"/>
  </r>
  <r>
    <x v="4054"/>
    <x v="0"/>
    <s v="ΠΕ11"/>
    <s v="ΦΥΣΙΚΗΣ ΑΓΩΓ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7-01-12T00:00:00"/>
    <x v="1"/>
    <s v="ΔΙΕΥΘΥΝΣΗ Π.Ε. Α΄ ΑΘΗΝΑΣ"/>
    <x v="5"/>
  </r>
  <r>
    <x v="4055"/>
    <x v="1"/>
    <s v="ΠΕ06"/>
    <s v="ΑΓΓΛΙΚΗΣ ΦΙΛΟΛΟΓΙΑ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1-12T00:00:00"/>
    <x v="1"/>
    <s v="ΔΙΕΥΘΥΝΣΗ Π.Ε. ΑΝΑΤ. ΘΕΣ/ΝΙΚΗΣ"/>
    <x v="5"/>
  </r>
  <r>
    <x v="4056"/>
    <x v="1"/>
    <s v="ΠΕ05"/>
    <s v="ΓΑΛΛΙΚΗΣ ΦΙΛΟΛΟΓΙΑΣ"/>
    <m/>
    <m/>
    <s v="Β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7-01-01T00:00:00"/>
    <x v="0"/>
    <s v="ΔΙΕΥΘΥΝΣΗ Δ.Ε. ΠΕΙΡΑΙΑ"/>
    <x v="5"/>
  </r>
  <r>
    <x v="4057"/>
    <x v="1"/>
    <s v="ΠΕ70"/>
    <s v="ΔΑΣΚΑΛΟΙ"/>
    <m/>
    <m/>
    <s v="Γ΄"/>
    <n v="1"/>
    <s v="17.2/323/8043/05-10-15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1-01T00:00:00"/>
    <x v="1"/>
    <s v="ΔΙΕΥΘΥΝΣΗ Π.Ε. Β΄ ΑΘΗΝΑΣ"/>
    <x v="5"/>
  </r>
  <r>
    <x v="4058"/>
    <x v="0"/>
    <s v="ΠΕ04.02"/>
    <s v="ΧΗΜΙΚ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7-01-01T00:00:00"/>
    <x v="0"/>
    <s v="ΔΙΕΥΘΥΝΣΗ Δ.Ε. ΙΩΑΝΝΙΝΩΝ"/>
    <x v="5"/>
  </r>
  <r>
    <x v="4059"/>
    <x v="1"/>
    <s v="ΠΕ02"/>
    <s v="ΦΙΛΟΛΟΓΟΙ"/>
    <m/>
    <m/>
    <s v="Α΄"/>
    <n v="1"/>
    <m/>
    <m/>
    <s v="ΧΑΝΙΩΝ (Δ.Ε.) 2018"/>
    <s v="ΔΙΕΥΘΥΝΣΗ Δ.Ε. ΧΑΝΙΩΝ"/>
    <s v="ΠΕΡΙΦΕΡΕΙΑΚΗ Δ/ΝΣΗ Α/ΘΜΙΑΣ ΚΑΙ Β/ΘΜΙΑΣ ΕΚΠ/ΣΗΣ ΚΡΗΤΗΣ"/>
    <n v="23"/>
    <m/>
    <s v="Ιδιωτικά Σχολεία"/>
    <x v="2"/>
    <s v="5060001"/>
    <s v="ΙΔΙΩΤΙΚΟ ΓΥΜΝΑΣΙΟ -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77-01-01T00:00:00"/>
    <x v="0"/>
    <s v="ΔΙΕΥΘΥΝΣΗ Δ.Ε. ΧΑΝΙΩΝ"/>
    <x v="5"/>
  </r>
  <r>
    <x v="4060"/>
    <x v="0"/>
    <s v="ΠΕ70"/>
    <s v="ΔΑΣΚΑΛΟΙ"/>
    <m/>
    <m/>
    <s v="Γ΄"/>
    <n v="1"/>
    <n v="1034"/>
    <d v="2018-09-01T00:00:00"/>
    <s v="ΤΡΙΚΑΛΩΝ (Π.Ε.) 2018"/>
    <s v="ΔΙΕΥΘΥΝΣΗ Π.Ε. ΤΡΙΚΑΛΩΝ"/>
    <s v="ΠΕΡΙΦΕΡΕΙΑΚΗ Δ/ΝΣΗ Α/ΘΜΙΑΣ ΚΑΙ Β/ΘΜΙΑΣ ΕΚΠ/ΣΗΣ ΘΕΣΣΑΛΙΑΣ"/>
    <n v="23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76-11-12T00:00:00"/>
    <x v="1"/>
    <s v="ΔΙΕΥΘΥΝΣΗ Π.Ε. ΤΡΙΚΑΛΩΝ"/>
    <x v="5"/>
  </r>
  <r>
    <x v="4061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6-11-06T00:00:00"/>
    <x v="1"/>
    <s v="ΔΙΕΥΘΥΝΣΗ Π.Ε. Α΄ ΑΘΗΝΑΣ"/>
    <x v="5"/>
  </r>
  <r>
    <x v="4062"/>
    <x v="1"/>
    <s v="ΠΕ04.04"/>
    <s v="ΒΙ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3"/>
    <s v="0590909"/>
    <s v="ΙΔΙΩΤΙΚΟ ΓΕΛ ΠΕΙΡΑΙΑ - Ο ΑΓΙΟΣ ΠΑΥΛΟ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6-08-11T00:00:00"/>
    <x v="0"/>
    <s v="ΔΙΕΥΘΥΝΣΗ Δ.Ε. ΠΕΙΡΑΙΑ"/>
    <x v="5"/>
  </r>
  <r>
    <x v="4063"/>
    <x v="1"/>
    <s v="ΠΕ60"/>
    <s v="ΝΗΠΙΑΓΩΓΟΙ"/>
    <m/>
    <m/>
    <s v="Γ΄"/>
    <n v="1"/>
    <s v="3558/16-9-20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41"/>
    <s v="ΙΔΙΩΤΙΚΟ ΝΗΠΙΑΓΩΓΕΙ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07-26T00:00:00"/>
    <x v="1"/>
    <s v="ΔΙΕΥΘΥΝΣΗ Π.Ε. Β΄ ΑΘΗΝΑΣ"/>
    <x v="5"/>
  </r>
  <r>
    <x v="4064"/>
    <x v="0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05-26T00:00:00"/>
    <x v="1"/>
    <s v="ΔΙΕΥΘΥΝΣΗ Π.Ε. ΑΝΑΤΟΛΙΚΗΣ ΑΤΤΙΚΗΣ"/>
    <x v="5"/>
  </r>
  <r>
    <x v="4065"/>
    <x v="1"/>
    <s v="ΠΕ04.01"/>
    <s v="ΦΥΣ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6-04-04T00:00:00"/>
    <x v="0"/>
    <s v="ΔΙΕΥΘΥΝΣΗ Δ.Ε. ΙΩΑΝΝΙΝΩΝ"/>
    <x v="5"/>
  </r>
  <r>
    <x v="4066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6-03-07T00:00:00"/>
    <x v="0"/>
    <s v="ΔΙΕΥΘΥΝΣΗ Δ.Ε. Β΄ ΑΘΗΝΑΣ"/>
    <x v="5"/>
  </r>
  <r>
    <x v="4067"/>
    <x v="1"/>
    <s v="ΠΕ06"/>
    <s v="ΑΓΓΛΙΚΗΣ ΦΙΛΟΛΟΓΙΑΣ"/>
    <m/>
    <m/>
    <s v="Α΄"/>
    <n v="9"/>
    <s v="Φ.15.Α8/7260/15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6-03-06T00:00:00"/>
    <x v="1"/>
    <s v="ΔΙΕΥΘΥΝΣΗ Π.Ε. ΑΝΑΤΟΛΙΚΗΣ ΑΤΤΙΚΗΣ"/>
    <x v="5"/>
  </r>
  <r>
    <x v="4068"/>
    <x v="0"/>
    <s v="ΠΕ60"/>
    <s v="ΝΗΠΙΑΓΩΓΟΙ"/>
    <m/>
    <m/>
    <s v="Α΄"/>
    <n v="8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m/>
    <s v="Ιδιωτικά Σχολεία"/>
    <x v="1"/>
    <s v="7192017"/>
    <s v="ΙΔΙΩΤΙΚΟ ΝΗΠΙΑΓΩΓΕΙ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6-02-29T00:00:00"/>
    <x v="1"/>
    <s v="ΔΙΕΥΘΥΝΣΗ Π.Ε. ΔΥΤ. ΘΕΣ/ΝΙΚΗΣ"/>
    <x v="5"/>
  </r>
  <r>
    <x v="4069"/>
    <x v="0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2-24T00:00:00"/>
    <x v="0"/>
    <s v="ΔΙΕΥΘΥΝΣΗ Δ.Ε. ΑΝΑΤ. ΘΕΣ/ΝΙΚΗΣ"/>
    <x v="5"/>
  </r>
  <r>
    <x v="4070"/>
    <x v="1"/>
    <s v="ΠΕ86"/>
    <s v="ΠΛΗΡΟΦΟΡΙΚ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01-01T00:00:00"/>
    <x v="1"/>
    <s v="ΔΙΕΥΘΥΝΣΗ Π.Ε. ΑΝΑΤΟΛΙΚΗΣ ΑΤΤΙΚΗΣ"/>
    <x v="5"/>
  </r>
  <r>
    <x v="4071"/>
    <x v="0"/>
    <s v="ΠΕ79.01"/>
    <s v="ΜΟΥΣΙΚΗΣ ΕΠΙΣΤΗΜΗΣ"/>
    <m/>
    <m/>
    <s v="Γ΄"/>
    <n v="1"/>
    <m/>
    <m/>
    <s v="Α΄ ΑΘΗΝΑΣ (Δ.Ε.) 2018"/>
    <s v="ΔΙΕΥΘΥΝΣΗ Δ.Ε. Α΄ ΑΘΗΝΑΣ"/>
    <s v="ΠΕΡΙΦΕΡΕΙΑΚΗ Δ/ΝΣΗ Α/ΘΜΙΑΣ ΚΑΙ Β/ΘΜΙΑΣ ΕΚΠ/ΣΗΣ ΑΤΤΙΚΗΣ"/>
    <n v="23"/>
    <m/>
    <s v="Ιδιωτικά Σχολεία"/>
    <x v="3"/>
    <s v="0590905"/>
    <s v="ΛΕΟΝΤΕΙΟ ΛΥΚΕΙΟ ΠΑΤΗΣΙΩΝ ΙΔΙΩΤΙΚΟ ΗΜΕΡΗΣΙΟ ΛΥΚΕΙΟ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75-12-31T00:00:00"/>
    <x v="0"/>
    <s v="ΔΙΕΥΘΥΝΣΗ Δ.Ε. Α΄ ΑΘΗΝΑΣ"/>
    <x v="5"/>
  </r>
  <r>
    <x v="4072"/>
    <x v="1"/>
    <s v="ΠΕ70"/>
    <s v="ΔΑΣΚΑΛΟΙ"/>
    <m/>
    <m/>
    <s v="Γ΄"/>
    <n v="8"/>
    <n v="399"/>
    <d v="2011-06-16T00:00:00"/>
    <s v="Β΄ ΑΘΗΝΑΣ (Π.Ε.) 2018"/>
    <s v="ΔΙΕΥΘΥΝΣΗ Π.Ε. Β΄ ΑΘΗΝΑΣ"/>
    <s v="ΠΕΡΙΦΕΡΕΙΑΚΗ Δ/ΝΣΗ Α/ΘΜΙΑΣ ΚΑΙ Β/ΘΜΙΑΣ ΕΚΠ/ΣΗΣ ΑΤΤΙΚΗΣ"/>
    <n v="23"/>
    <d v="2011-06-16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3"/>
    <s v="Τοποθέτηση σε Ιδιωτική Εκπαίδευση"/>
    <d v="1975-12-06T00:00:00"/>
    <x v="1"/>
    <s v="ΔΙΕΥΘΥΝΣΗ Π.Ε. Β΄ ΑΘΗΝΑΣ"/>
    <x v="5"/>
  </r>
  <r>
    <x v="4073"/>
    <x v="0"/>
    <s v="ΠΕ04.01"/>
    <s v="ΦΥΣΙΚΟΙ"/>
    <m/>
    <m/>
    <s v="Γ΄"/>
    <n v="1"/>
    <s v="58/27-11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3"/>
    <s v="0580615"/>
    <s v="ΙΔΙΩΤΙΚΟ ΗΜΕΡΗΣΙΟ ΓΕΝΙΚΟ ΛΥΚΕΙΟ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5-12-01T00:00:00"/>
    <x v="0"/>
    <s v="ΔΙΕΥΘΥΝΣΗ Δ.Ε. Δ΄ ΑΘΗΝΑΣ"/>
    <x v="5"/>
  </r>
  <r>
    <x v="4074"/>
    <x v="1"/>
    <s v="ΠΕ08"/>
    <s v="ΚΑΛΛΙΤΕΧΝΙΚΩΝ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10-22T00:00:00"/>
    <x v="1"/>
    <s v="ΔΙΕΥΘΥΝΣΗ Π.Ε. Β΄ ΑΘΗΝΑΣ"/>
    <x v="5"/>
  </r>
  <r>
    <x v="4075"/>
    <x v="0"/>
    <s v="ΠΕ11"/>
    <s v="ΦΥΣΙΚΗΣ ΑΓΩΓΗΣ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3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75-09-26T00:00:00"/>
    <x v="1"/>
    <s v="ΔΙΕΥΘΥΝΣΗ Π.Ε. ΗΡΑΚΛΕΙΟΥ"/>
    <x v="5"/>
  </r>
  <r>
    <x v="4076"/>
    <x v="1"/>
    <s v="ΠΕ79.01"/>
    <s v="ΜΟΥΣΙΚΗΣ ΕΠΙΣΤΗΜΗ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06-23T00:00:00"/>
    <x v="1"/>
    <s v="ΔΙΕΥΘΥΝΣΗ Π.Ε. Α΄ ΑΘΗΝΑΣ"/>
    <x v="5"/>
  </r>
  <r>
    <x v="4077"/>
    <x v="0"/>
    <s v="ΠΕ89.02"/>
    <s v="ΣΧΕΔΙΑΣΜΟΥ ΚΑΙ ΠΑΡΑΓΩΓΗΣ ΠΡΟΪΟΝΤΩΝ"/>
    <m/>
    <m/>
    <s v="Γ΄"/>
    <n v="1"/>
    <s v="ΩΕ3Π4653ΠΣ-Ψ0Ν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6-13T00:00:00"/>
    <x v="0"/>
    <s v="ΔΙΕΥΘΥΝΣΗ Δ.Ε. Β΄ ΑΘΗΝΑΣ"/>
    <x v="5"/>
  </r>
  <r>
    <x v="4078"/>
    <x v="1"/>
    <s v="ΠΕ08"/>
    <s v="ΚΑΛΛΙΤΕΧΝΙΚΩΝ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4-02T00:00:00"/>
    <x v="1"/>
    <s v="ΔΙΕΥΘΥΝΣΗ Π.Ε. ΑΝΑΤΟΛΙΚΗΣ ΑΤΤΙΚΗΣ"/>
    <x v="5"/>
  </r>
  <r>
    <x v="4079"/>
    <x v="1"/>
    <s v="ΠΕ08"/>
    <s v="ΚΑΛΛΙΤΕΧΝΙΚΩΝ"/>
    <m/>
    <m/>
    <s v="Α΄"/>
    <n v="2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03-01T00:00:00"/>
    <x v="0"/>
    <s v="ΔΙΕΥΘΥΝΣΗ Δ.Ε. ΑΝΑΤ. ΘΕΣ/ΝΙΚΗΣ"/>
    <x v="5"/>
  </r>
  <r>
    <x v="4080"/>
    <x v="0"/>
    <s v="ΠΕ11"/>
    <s v="ΦΥΣΙΚΗΣ ΑΓΩΓΗ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5-02-23T00:00:00"/>
    <x v="1"/>
    <s v="ΔΙΕΥΘΥΝΣΗ Π.Ε. ΧΑΝΙΩΝ"/>
    <x v="5"/>
  </r>
  <r>
    <x v="4081"/>
    <x v="1"/>
    <s v="ΠΕ08"/>
    <s v="ΚΑΛΛΙΤΕΧΝΙΚ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5-01-01T00:00:00"/>
    <x v="0"/>
    <s v="ΔΙΕΥΘΥΝΣΗ Δ.Ε. ΑΝΑΤΟΛΙΚΗΣ ΑΤΤΙΚΗΣ"/>
    <x v="5"/>
  </r>
  <r>
    <x v="4082"/>
    <x v="1"/>
    <s v="ΠΕ11"/>
    <s v="ΦΥΣΙΚΗΣ ΑΓΩΓΗ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5-01-01T00:00:00"/>
    <x v="0"/>
    <s v="ΔΙΕΥΘΥΝΣΗ Δ.Ε. Β΄ ΑΘΗΝΑΣ"/>
    <x v="5"/>
  </r>
  <r>
    <x v="4083"/>
    <x v="0"/>
    <s v="ΠΕ04.01"/>
    <s v="ΦΥΣΙΚΟΙ"/>
    <m/>
    <m/>
    <s v="Γ΄"/>
    <n v="1"/>
    <s v="ΑΠ1655321"/>
    <d v="2017-09-07T00:00:00"/>
    <s v="Α΄ ΜΑΓΝΗΣΙΑΣ (Δ.Ε.) 2018"/>
    <s v="ΔΙΕΥΘΥΝΣΗ Δ.Ε. ΜΑΓΝΗΣΙΑΣ"/>
    <s v="ΠΕΡΙΦΕΡΕΙΑΚΗ Δ/ΝΣΗ Α/ΘΜΙΑΣ ΚΑΙ Β/ΘΜΙΑΣ ΕΚΠ/ΣΗΣ ΘΕΣΣΑΛΙΑΣ"/>
    <n v="23"/>
    <d v="2017-09-07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75-01-01T00:00:00"/>
    <x v="0"/>
    <s v="ΔΙΕΥΘΥΝΣΗ Δ.Ε. ΜΑΓΝΗΣΙΑΣ"/>
    <x v="5"/>
  </r>
  <r>
    <x v="4084"/>
    <x v="1"/>
    <s v="ΠΕ06"/>
    <s v="ΑΓΓΛΙΚΗΣ ΦΙΛΟΛΟΓΙΑ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5-01-01T00:00:00"/>
    <x v="1"/>
    <s v="ΔΙΕΥΘΥΝΣΗ Π.Ε. ΧΑΝΙΩΝ"/>
    <x v="5"/>
  </r>
  <r>
    <x v="4085"/>
    <x v="0"/>
    <s v="ΠΕ90"/>
    <s v="ΝΑΥΤΙΚΩΝ ΜΑΘΗΜΑΤΩΝ"/>
    <m/>
    <m/>
    <s v="Γ΄"/>
    <n v="5"/>
    <n v="4479"/>
    <d v="2018-09-01T00:00:00"/>
    <s v="Α΄ ΧΙΟΥ (Δ.Ε.) 2018"/>
    <s v="ΔΙΕΥΘΥΝΣΗ Δ.Ε. ΧΙΟΥ"/>
    <s v="ΠΕΡΙΦΕΡΕΙΑΚΗ Δ/ΝΣΗ Α/ΘΜΙΑΣ ΚΑΙ Β/ΘΜΙΑΣ ΕΚΠ/ΣΗΣ ΒΟΡΕΙΟΥ ΑΙΓΑΙΟΥ"/>
    <n v="23"/>
    <d v="2018-09-01T00:00:00"/>
    <s v="Ιδιωτικά Σχολεία"/>
    <x v="7"/>
    <s v="5162001"/>
    <s v="Ιδιωτικό ΕΠΑ.Λ - ΤΣΑΚΟΣ ΕΛΛΗΝΙΚΑ ΕΚΠΑΙΔΕΥΤΗΡΙΑ ΝΑΥΤΙΚΩΝ ΣΠΟΥΔΩΝ"/>
    <s v="Α΄ ΧΙΟΥ (Δ.Ε.) 2018"/>
    <s v="ΔΙΕΥΘΥΝΣΗ Δ.Ε. ΧΙΟΥ"/>
    <s v="ΠΕΡΙΦΕΡΕΙΑΚΗ Δ/ΝΣΗ Α/ΘΜΙΑΣ ΚΑΙ Β/ΘΜΙΑΣ ΕΚΠ/ΣΗΣ ΒΟΡΕΙΟΥ ΑΙΓΑΙΟΥ"/>
    <x v="0"/>
    <s v="Τοποθέτηση σε Ιδιωτική Εκπαίδευση"/>
    <d v="1974-12-04T00:00:00"/>
    <x v="0"/>
    <s v="ΔΙΕΥΘΥΝΣΗ Δ.Ε. ΧΙΟΥ"/>
    <x v="5"/>
  </r>
  <r>
    <x v="4086"/>
    <x v="1"/>
    <s v="ΠΕ84"/>
    <s v="ΗΛΕΚΤΡΟ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91906"/>
    <s v="ΙΔΙΩΤΙΚΟ ΗΜΕΡΗΣΙΟ ΓΥΜΝΑΣ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11-14T00:00:00"/>
    <x v="0"/>
    <s v="ΔΙΕΥΘΥΝΣΗ Δ.Ε. Δ΄ ΑΘΗΝΑΣ"/>
    <x v="5"/>
  </r>
  <r>
    <x v="4087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11-04T00:00:00"/>
    <x v="1"/>
    <s v="ΔΙΕΥΘΥΝΣΗ Π.Ε. Β΄ ΑΘΗΝΑΣ"/>
    <x v="5"/>
  </r>
  <r>
    <x v="4088"/>
    <x v="1"/>
    <s v="ΠΕ02"/>
    <s v="ΦΙΛΟΛΟΓΟΙ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m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74-09-22T00:00:00"/>
    <x v="0"/>
    <s v="ΔΙΕΥΘΥΝΣΗ Δ.Ε. ΔΩΔΕΚΑΝΗΣΟΥ"/>
    <x v="5"/>
  </r>
  <r>
    <x v="4089"/>
    <x v="1"/>
    <s v="ΠΕ79.01"/>
    <s v="ΜΟΥΣΙΚΗΣ ΕΠΙΣΤΗΜΗΣ"/>
    <m/>
    <m/>
    <s v="Γ΄"/>
    <n v="9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8-21T00:00:00"/>
    <x v="1"/>
    <s v="ΔΙΕΥΘΥΝΣΗ Π.Ε. Β΄ ΑΘΗΝΑΣ"/>
    <x v="5"/>
  </r>
  <r>
    <x v="4090"/>
    <x v="0"/>
    <s v="ΠΕ02"/>
    <s v="ΦΙΛΟΛΟΓΟΙ"/>
    <m/>
    <m/>
    <s v="Β΄"/>
    <n v="1"/>
    <s v="13248/07-01-2015"/>
    <m/>
    <s v="Β΄ ΘΕΣΣΑΛΟΝΙΚΗΣ (Δ.Ε.) 2018"/>
    <s v="ΔΙΕΥΘΥΝΣΗ Δ.Ε. ΔΥΤ. ΘΕΣ/ΝΙΚΗΣ"/>
    <s v="ΠΕΡΙΦΕΡΕΙΑΚΗ Δ/ΝΣΗ Α/ΘΜΙΑΣ ΚΑΙ Β/ΘΜΙΑΣ ΕΚΠ/ΣΗΣ ΚΕΝΤΡΙΚΗΣ ΜΑΚΕΔΟΝΙΑΣ"/>
    <n v="23"/>
    <m/>
    <s v="Ιδιωτικά Σχολεία"/>
    <x v="3"/>
    <s v="1990913"/>
    <s v="ΙΔΙΩΤΙΚΟ ΓΕΝΙΚΟ ΛΥΚΕΙΟ ΔΕΛΑΣΑΛ"/>
    <s v="Β΄ ΘΕΣΣΑΛΟΝΙΚΗΣ (Δ.Ε.) 2018"/>
    <s v="ΔΙΕΥΘΥΝΣΗ Δ.Ε. ΔΥΤ. ΘΕΣ/ΝΙΚΗΣ"/>
    <s v="ΠΕΡΙΦΕΡΕΙΑΚΗ Δ/ΝΣΗ Α/ΘΜΙΑΣ ΚΑΙ Β/ΘΜΙΑΣ ΕΚΠ/ΣΗΣ ΚΕΝΤΡΙΚΗΣ ΜΑΚΕΔΟΝΙΑΣ"/>
    <x v="1"/>
    <s v="Τοποθέτηση σε Ιδιωτική Εκπαίδευση"/>
    <d v="1974-05-21T00:00:00"/>
    <x v="0"/>
    <s v="ΔΙΕΥΘΥΝΣΗ Δ.Ε. ΔΥΤ. ΘΕΣ/ΝΙΚΗΣ"/>
    <x v="5"/>
  </r>
  <r>
    <x v="4091"/>
    <x v="0"/>
    <s v="ΠΕ60"/>
    <s v="ΝΗΠΙΑΓΩΓΟΙ"/>
    <m/>
    <m/>
    <s v="Α΄"/>
    <n v="4"/>
    <s v="Φ.Ι.Α.4/22930/30-11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1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05-01T00:00:00"/>
    <x v="1"/>
    <s v="ΔΙΕΥΘΥΝΣΗ Π.Ε. ΑΝΑΤΟΛΙΚΗΣ ΑΤΤΙΚΗΣ"/>
    <x v="5"/>
  </r>
  <r>
    <x v="4092"/>
    <x v="0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4-27T00:00:00"/>
    <x v="1"/>
    <s v="ΔΙΕΥΘΥΝΣΗ Π.Ε. Δ΄ ΑΘΗΝΑΣ"/>
    <x v="5"/>
  </r>
  <r>
    <x v="4093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4-04-21T00:00:00"/>
    <x v="1"/>
    <s v="ΔΙΕΥΘΥΝΣΗ Π.Ε. ΛΑΡΙΣΑΣ"/>
    <x v="5"/>
  </r>
  <r>
    <x v="4094"/>
    <x v="1"/>
    <s v="ΠΕ02"/>
    <s v="ΦΙΛΟΛΟΓΟΙ"/>
    <m/>
    <m/>
    <s v="Γ΄"/>
    <n v="1"/>
    <n v="21559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4-04-05T00:00:00"/>
    <x v="0"/>
    <s v="ΔΙΕΥΘΥΝΣΗ Δ.Ε. Β΄ ΑΘΗΝΑΣ"/>
    <x v="5"/>
  </r>
  <r>
    <x v="4095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03-30T00:00:00"/>
    <x v="0"/>
    <s v="ΔΙΕΥΘΥΝΣΗ Δ.Ε. ΑΝΑΤΟΛΙΚΗΣ ΑΤΤΙΚΗΣ"/>
    <x v="5"/>
  </r>
  <r>
    <x v="4096"/>
    <x v="1"/>
    <s v="ΠΕ11"/>
    <s v="ΦΥΣΙΚΗΣ ΑΓΩΓΗΣ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02-01T00:00:00"/>
    <x v="1"/>
    <s v="ΔΙΕΥΘΥΝΣΗ Π.Ε. ΑΝΑΤΟΛΙΚΗΣ ΑΤΤΙΚΗΣ"/>
    <x v="5"/>
  </r>
  <r>
    <x v="4097"/>
    <x v="0"/>
    <s v="ΠΕ04.01"/>
    <s v="ΦΥΣΙΚΟΙ"/>
    <m/>
    <m/>
    <s v="Γ΄"/>
    <n v="1"/>
    <s v="3841/24-09-2018"/>
    <d v="2018-09-01T00:00:00"/>
    <s v="ΜΕΣΣΗΝΙΑΣ (Δ.Ε.) 2018"/>
    <s v="ΔΙΕΥΘΥΝΣΗ Δ.Ε. ΜΕΣΣΗΝΙΑΣ"/>
    <s v="ΠΕΡΙΦΕΡΕΙΑΚΗ Δ/ΝΣΗ Α/ΘΜΙΑΣ ΚΑΙ Β/ΘΜΙΑΣ ΕΚΠ/ΣΗΣ ΠΕΛΟΠΟΝΝΗΣΟΥ"/>
    <n v="23"/>
    <d v="2018-09-01T00:00:00"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74-01-28T00:00:00"/>
    <x v="0"/>
    <s v="ΔΙΕΥΘΥΝΣΗ Δ.Ε. ΜΕΣΣΗΝΙΑΣ"/>
    <x v="5"/>
  </r>
  <r>
    <x v="4098"/>
    <x v="0"/>
    <s v="ΠΕ07"/>
    <s v="ΓΕΡΜΑΝ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01-01T00:00:00"/>
    <x v="0"/>
    <s v="ΔΙΕΥΘΥΝΣΗ Δ.Ε. Δ΄ ΑΘΗΝΑΣ"/>
    <x v="5"/>
  </r>
  <r>
    <x v="4099"/>
    <x v="0"/>
    <s v="ΠΕ02"/>
    <s v="ΦΙΛ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m/>
    <s v="Ιδιωτικά Σχολεία"/>
    <x v="3"/>
    <s v="0580106"/>
    <s v="Ιδιωτικό Ημερήσιο Γενικό Λύκειο Σπυρίδων Ντάγκας &amp; ΣΙΑ ΟΕ &quot;Νέα Παιδεία&quot;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12-20T00:00:00"/>
    <x v="0"/>
    <s v="ΔΙΕΥΘΥΝΣΗ Δ.Ε. Γ΄ ΑΘΗΝΑΣ"/>
    <x v="5"/>
  </r>
  <r>
    <x v="4100"/>
    <x v="1"/>
    <s v="ΠΕ05"/>
    <s v="ΓΑΛΛ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12-03T00:00:00"/>
    <x v="0"/>
    <s v="ΔΙΕΥΘΥΝΣΗ Δ.Ε. Δ΄ ΑΘΗΝΑΣ"/>
    <x v="5"/>
  </r>
  <r>
    <x v="4101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11-23T00:00:00"/>
    <x v="0"/>
    <s v="ΔΙΕΥΘΥΝΣΗ Δ.Ε. Γ΄ ΑΘΗΝΑΣ"/>
    <x v="5"/>
  </r>
  <r>
    <x v="4102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3-09-22T00:00:00"/>
    <x v="1"/>
    <s v="ΔΙΕΥΘΥΝΣΗ Π.Ε. ΛΑΡΙΣΑΣ"/>
    <x v="5"/>
  </r>
  <r>
    <x v="4103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m/>
    <s v="Ιδιωτικά Σχολεία"/>
    <x v="3"/>
    <s v="0561001"/>
    <s v="ΠΑΠΑΧΑΡΑΛΑΜΠΕΙΟ ΕΚΠΑΙΔΕΥΤΗΡΙΟ ΙΔΙΩΤΙΚΟ ΓΕΝΙΚΟ ΛΥΚΕΙΟ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08-31T00:00:00"/>
    <x v="0"/>
    <s v="ΔΙΕΥΘΥΝΣΗ Δ.Ε. Γ΄ ΑΘΗΝΑΣ"/>
    <x v="5"/>
  </r>
  <r>
    <x v="4104"/>
    <x v="1"/>
    <s v="ΠΕ02"/>
    <s v="ΦΙΛΟΛΟΓ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3-08-16T00:00:00"/>
    <x v="0"/>
    <s v="ΔΙΕΥΘΥΝΣΗ Δ.Ε. ΙΩΑΝΝΙΝΩΝ"/>
    <x v="5"/>
  </r>
  <r>
    <x v="4105"/>
    <x v="1"/>
    <s v="ΠΕ05"/>
    <s v="ΓΑΛΛΙΚΗΣ ΦΙΛΟΛΟΓΙΑΣ"/>
    <m/>
    <m/>
    <s v="Α΄"/>
    <n v="8"/>
    <n v="194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d v="2018-09-01T00:00:00"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3-06-29T00:00:00"/>
    <x v="1"/>
    <s v="ΔΙΕΥΘΥΝΣΗ Π.Ε. ΔΥΤ. ΘΕΣ/ΝΙΚΗΣ"/>
    <x v="5"/>
  </r>
  <r>
    <x v="4106"/>
    <x v="1"/>
    <s v="ΠΕ70"/>
    <s v="ΔΑΣΚΑΛΟΙ"/>
    <m/>
    <m/>
    <s v="Α΄"/>
    <n v="6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3-06-16T00:00:00"/>
    <x v="1"/>
    <s v="ΔΙΕΥΘΥΝΣΗ Π.Ε. ΔΥΤ. ΘΕΣ/ΝΙΚΗΣ"/>
    <x v="5"/>
  </r>
  <r>
    <x v="4107"/>
    <x v="0"/>
    <s v="ΠΕ03"/>
    <s v="ΜΑΘΗΜΑΤΙΚΟΙ"/>
    <m/>
    <m/>
    <s v="Γ΄"/>
    <n v="1"/>
    <n v="17839"/>
    <d v="2018-09-03T00:00:00"/>
    <s v="Α΄ ΠΕΙΡΑΙΑ (Δ.Ε.) 2018"/>
    <s v="ΔΙΕΥΘΥΝΣΗ Δ.Ε. ΠΕΙΡΑΙΑ"/>
    <s v="ΠΕΡΙΦΕΡΕΙΑΚΗ Δ/ΝΣΗ Α/ΘΜΙΑΣ ΚΑΙ Β/ΘΜΙΑΣ ΕΚΠ/ΣΗΣ ΑΤΤΙΚΗΣ"/>
    <n v="23"/>
    <d v="2018-09-03T00:00:00"/>
    <s v="Ιδιωτικά Σχολεία"/>
    <x v="2"/>
    <s v="0560028"/>
    <s v="ΙΔΡΥΜΑ ΠΡΟΣΤΑΣΙΑΣ ΝΕΟΤΗΤΑΣ  ΑΓΙΟΣ ΠΟΛΥΚΑΡΠΟΣ - ΑΓΙΟΣ ΓΕΩΡΓΙΟΣΑρ. ¶δειας Ιδρύσεως: Φ1/63/40869/Δ-5 10-4-2012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73-06-05T00:00:00"/>
    <x v="0"/>
    <s v="ΔΙΕΥΘΥΝΣΗ Δ.Ε. ΠΕΙΡΑΙΑ"/>
    <x v="5"/>
  </r>
  <r>
    <x v="4108"/>
    <x v="0"/>
    <s v="ΠΕ70"/>
    <s v="ΔΑΣΚΑΛΟΙ"/>
    <m/>
    <m/>
    <s v="Α΄"/>
    <n v="7"/>
    <s v="Φ.15.Α6/6407/9-10-2009"/>
    <d v="2009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09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5-10T00:00:00"/>
    <x v="1"/>
    <s v="ΔΙΕΥΘΥΝΣΗ Π.Ε. ΑΝΑΤΟΛΙΚΗΣ ΑΤΤΙΚΗΣ"/>
    <x v="5"/>
  </r>
  <r>
    <x v="4109"/>
    <x v="1"/>
    <s v="ΠΕ78"/>
    <s v="ΚΟΙΝΩΝΙΚΩΝ ΕΠΙΣΤΗΜ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2-12T00:00:00"/>
    <x v="0"/>
    <s v="ΔΙΕΥΘΥΝΣΗ Δ.Ε. Β΄ ΑΘΗΝΑΣ"/>
    <x v="5"/>
  </r>
  <r>
    <x v="4110"/>
    <x v="0"/>
    <s v="ΠΕ03"/>
    <s v="ΜΑΘΗΜΑΤΙΚ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73-01-29T00:00:00"/>
    <x v="0"/>
    <s v="ΔΙΕΥΘΥΝΣΗ Δ.Ε. ΠΕΙΡΑΙΑ"/>
    <x v="5"/>
  </r>
  <r>
    <x v="4111"/>
    <x v="0"/>
    <s v="ΠΕ80"/>
    <s v="ΟΙΚΟΝΟΜΙΑ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3-01-03T00:00:00"/>
    <x v="0"/>
    <s v="ΔΙΕΥΘΥΝΣΗ Δ.Ε. Δ΄ ΑΘΗΝΑΣ"/>
    <x v="5"/>
  </r>
  <r>
    <x v="4112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3-01-01T00:00:00"/>
    <x v="0"/>
    <s v="ΔΙΕΥΘΥΝΣΗ Δ.Ε. Β΄ ΑΘΗΝΑΣ"/>
    <x v="5"/>
  </r>
  <r>
    <x v="4113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0030"/>
    <s v="ΙΔΙΩΤΙΚΟ ΓΥΜΝΑΣΙΟ - ΕΚΠΑΙΔΕΥΤΗΡΙΑ ΑΘΗΝΑΙΚΗ ΑΓΩΓΗ &amp;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3-01-01T00:00:00"/>
    <x v="0"/>
    <s v="ΔΙΕΥΘΥΝΣΗ Δ.Ε. Β΄ ΑΘΗΝΑΣ"/>
    <x v="5"/>
  </r>
  <r>
    <x v="4114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1-01T00:00:00"/>
    <x v="1"/>
    <s v="ΔΙΕΥΘΥΝΣΗ Π.Ε. ΑΝΑΤΟΛΙΚΗΣ ΑΤΤΙΚΗΣ"/>
    <x v="5"/>
  </r>
  <r>
    <x v="4115"/>
    <x v="0"/>
    <s v="ΠΕ02"/>
    <s v="ΦΙΛΟΛΟΓΟΙ"/>
    <m/>
    <m/>
    <s v="Γ΄"/>
    <n v="1"/>
    <s v="ΑΠ2027157"/>
    <d v="2018-09-27T00:00:00"/>
    <s v="Α΄ ΜΑΓΝΗΣΙΑΣ (Δ.Ε.) 2018"/>
    <s v="ΔΙΕΥΘΥΝΣΗ Δ.Ε. ΜΑΓΝΗΣΙΑΣ"/>
    <s v="ΠΕΡΙΦΕΡΕΙΑΚΗ Δ/ΝΣΗ Α/ΘΜΙΑΣ ΚΑΙ Β/ΘΜΙΑΣ ΕΚΠ/ΣΗΣ ΘΕΣΣΑΛΙΑΣ"/>
    <n v="23"/>
    <d v="2018-09-27T00:00:00"/>
    <s v="Ιδιωτικά Σχολεία"/>
    <x v="3"/>
    <s v="3561001"/>
    <s v="ΙΔΙΩΤΙΚΟ ΓΕΝΙΚΟ ΛΥΚΕΙΟ ΒΟΛΟΥ - ΠΡΟΜΗΘΕΑΣ"/>
    <s v="Α΄ ΜΑΓΝΗΣΙΑΣ (Δ.Ε.) 2018"/>
    <s v="ΔΙΕΥΘΥΝΣΗ Δ.Ε. ΜΑΓΝΗΣΙΑΣ"/>
    <s v="ΠΕΡΙΦΕΡΕΙΑΚΗ Δ/ΝΣΗ Α/ΘΜΙΑΣ ΚΑΙ Β/ΘΜΙΑΣ ΕΚΠ/ΣΗΣ ΘΕΣΣΑΛΙΑΣ"/>
    <x v="0"/>
    <s v="Τοποθέτηση σε Ιδιωτική Εκπαίδευση"/>
    <d v="1973-01-01T00:00:00"/>
    <x v="0"/>
    <s v="ΔΙΕΥΘΥΝΣΗ Δ.Ε. ΜΑΓΝΗΣΙΑΣ"/>
    <x v="5"/>
  </r>
  <r>
    <x v="4116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ΑΝΑΤ. ΘΕΣ/ΝΙΚΗΣ"/>
    <x v="5"/>
  </r>
  <r>
    <x v="4117"/>
    <x v="1"/>
    <s v="ΠΕ11"/>
    <s v="ΦΥΣΙΚΗΣ ΑΓΩΓΗΣ"/>
    <m/>
    <m/>
    <s v="Α΄"/>
    <n v="7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09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12-11T00:00:00"/>
    <x v="1"/>
    <s v="ΔΙΕΥΘΥΝΣΗ Π.Ε. ΑΝΑΤΟΛΙΚΗΣ ΑΤΤΙΚΗΣ"/>
    <x v="5"/>
  </r>
  <r>
    <x v="4118"/>
    <x v="1"/>
    <s v="ΠΕ70"/>
    <s v="ΔΑΣΚΑΛ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2-11-23T00:00:00"/>
    <x v="1"/>
    <s v="ΔΙΕΥΘΥΝΣΗ Π.Ε. ΔΩΔΕΚΑΝΗΣΟΥ"/>
    <x v="5"/>
  </r>
  <r>
    <x v="4119"/>
    <x v="1"/>
    <s v="ΠΕ60"/>
    <s v="ΝΗΠΙΑΓΩΓ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1"/>
    <s v="7311015"/>
    <s v="ΙΔΙΩΤΙΚΟ ΝΗΠΙΑΓΩΓΕΙΟ ΛΑΡΙΣΑ - ΙΔΙΩΤΙΚΟ ΝΗΠΙΑΓΩΓΕΙΟ ΕΛΕΝΗΣ ΣΑΡΜΑΝΙΩ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2-11-21T00:00:00"/>
    <x v="1"/>
    <s v="ΔΙΕΥΘΥΝΣΗ Π.Ε. ΛΑΡΙΣΑΣ"/>
    <x v="5"/>
  </r>
  <r>
    <x v="4120"/>
    <x v="0"/>
    <s v="ΠΕ80"/>
    <s v="ΟΙΚΟΝΟΜΙΑΣ"/>
    <m/>
    <m/>
    <s v="Γ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m/>
    <s v="Ιδιωτικά Σχολεία"/>
    <x v="3"/>
    <s v="1061001"/>
    <s v="ΙΔΙΩΤΙΚΟ ΗΜΕΡΗΣΙΟ ΛΥΚΕΙΟ - ΙΔΙΩΤΙΚΑ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3"/>
    <s v="Τοποθέτηση σε Ιδιωτική Εκπαίδευση"/>
    <d v="1972-10-09T00:00:00"/>
    <x v="0"/>
    <s v="ΔΙΕΥΘΥΝΣΗ Δ.Ε. ΔΩΔΕΚΑΝΗΣΟΥ"/>
    <x v="5"/>
  </r>
  <r>
    <x v="4121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9-18T00:00:00"/>
    <x v="0"/>
    <s v="ΔΙΕΥΘΥΝΣΗ Δ.Ε. Β΄ ΑΘΗΝΑΣ"/>
    <x v="5"/>
  </r>
  <r>
    <x v="4122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9-13T00:00:00"/>
    <x v="1"/>
    <s v="ΔΙΕΥΘΥΝΣΗ Π.Ε. Β΄ ΑΘΗΝΑΣ"/>
    <x v="5"/>
  </r>
  <r>
    <x v="4123"/>
    <x v="1"/>
    <s v="ΠΕ81"/>
    <s v="ΠΟΛ.ΜΗΧΑΝΙΚΩΝ-ΑΡΧΙΤΕΚΤΟΝΩΝ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8-31T00:00:00"/>
    <x v="0"/>
    <s v="ΔΙΕΥΘΥΝΣΗ Δ.Ε. ΑΝΑΤΟΛΙΚΗΣ ΑΤΤΙΚΗΣ"/>
    <x v="5"/>
  </r>
  <r>
    <x v="4124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7-18T00:00:00"/>
    <x v="1"/>
    <s v="ΔΙΕΥΘΥΝΣΗ Π.Ε. Β΄ ΑΘΗΝΑΣ"/>
    <x v="5"/>
  </r>
  <r>
    <x v="4125"/>
    <x v="1"/>
    <s v="ΠΕ02"/>
    <s v="ΦΙΛΟΛΟΓ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2-05-30T00:00:00"/>
    <x v="0"/>
    <s v="ΔΙΕΥΘΥΝΣΗ Δ.Ε. ΙΩΑΝΝΙΝΩΝ"/>
    <x v="5"/>
  </r>
  <r>
    <x v="4126"/>
    <x v="1"/>
    <s v="ΠΕ05"/>
    <s v="ΓΑΛΛΙΚΗΣ ΦΙΛΟΛΟΓΙΑΣ"/>
    <m/>
    <m/>
    <s v="Α΄"/>
    <n v="3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2"/>
    <s v="1960001"/>
    <s v="ΕΚΠΑΙΔΕΥΤΗΡΙΑ &quot;Ο ΑΠΟΣΤΟΛΟΣ ΠΑΥΛΟΣ&quot;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5-27T00:00:00"/>
    <x v="0"/>
    <s v="ΔΙΕΥΘΥΝΣΗ Δ.Ε. ΑΝΑΤ. ΘΕΣ/ΝΙΚΗΣ"/>
    <x v="5"/>
  </r>
  <r>
    <x v="4127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4-29T00:00:00"/>
    <x v="1"/>
    <s v="ΔΙΕΥΘΥΝΣΗ Π.Ε. Β΄ ΑΘΗΝΑΣ"/>
    <x v="5"/>
  </r>
  <r>
    <x v="4128"/>
    <x v="0"/>
    <s v="ΠΕ79.01"/>
    <s v="ΜΟΥΣΙΚΗΣ ΕΠΙΣΤΗΜΗ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2-04-21T00:00:00"/>
    <x v="1"/>
    <s v="ΔΙΕΥΘΥΝΣΗ Π.Ε. ΛΑΡΙΣΑΣ"/>
    <x v="5"/>
  </r>
  <r>
    <x v="4129"/>
    <x v="1"/>
    <s v="ΠΕ70"/>
    <s v="ΔΑΣΚΑΛΟΙ"/>
    <m/>
    <m/>
    <s v="Α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3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2-04-13T00:00:00"/>
    <x v="1"/>
    <s v="ΔΙΕΥΘΥΝΣΗ Π.Ε. ΔΥΤ. ΘΕΣ/ΝΙΚΗΣ"/>
    <x v="5"/>
  </r>
  <r>
    <x v="4130"/>
    <x v="1"/>
    <s v="ΠΕ11"/>
    <s v="ΦΥΣΙΚΗΣ ΑΓΩΓΗΣ"/>
    <m/>
    <m/>
    <s v="Γ΄"/>
    <n v="1"/>
    <n v="283"/>
    <d v="2018-09-01T00:00:00"/>
    <s v="Δ΄ ΑΘΗΝΑΣ (Π.Ε.) 2018"/>
    <s v="ΔΙΕΥΘΥΝΣΗ Π.Ε. Δ΄ ΑΘΗΝΑΣ"/>
    <s v="ΠΕΡΙΦΕΡΕΙΑΚΗ Δ/ΝΣΗ Α/ΘΜΙΑΣ ΚΑΙ Β/ΘΜΙΑΣ ΕΚΠ/ΣΗΣ ΑΤΤΙΚΗΣ"/>
    <n v="23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3-18T00:00:00"/>
    <x v="1"/>
    <s v="ΔΙΕΥΘΥΝΣΗ Π.Ε. Δ΄ ΑΘΗΝΑΣ"/>
    <x v="5"/>
  </r>
  <r>
    <x v="4131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2-14T00:00:00"/>
    <x v="0"/>
    <s v="ΔΙΕΥΘΥΝΣΗ Δ.Ε. Β΄ ΑΘΗΝΑΣ"/>
    <x v="5"/>
  </r>
  <r>
    <x v="4132"/>
    <x v="1"/>
    <s v="ΠΕ02"/>
    <s v="ΦΙΛΟΛΟΓΟΙ"/>
    <m/>
    <m/>
    <s v="Γ΄"/>
    <n v="1"/>
    <n v="4620"/>
    <d v="2018-09-01T00:00:00"/>
    <s v="ΜΕΣΣΗΝΙΑΣ (Δ.Ε.) 2018"/>
    <s v="ΔΙΕΥΘΥΝΣΗ Δ.Ε. ΜΕΣΣΗΝΙΑΣ"/>
    <s v="ΠΕΡΙΦΕΡΕΙΑΚΗ Δ/ΝΣΗ Α/ΘΜΙΑΣ ΚΑΙ Β/ΘΜΙΑΣ ΕΚΠ/ΣΗΣ ΠΕΛΟΠΟΝΝΗΣΟΥ"/>
    <n v="23"/>
    <d v="2018-09-01T00:00:00"/>
    <s v="Ιδιωτικά Σχολεία"/>
    <x v="3"/>
    <s v="3680015"/>
    <s v="ΙΔΙΩΤΙΚΟ ΗΜΕΡΗΣΙΟ ΛΥΚΕ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0"/>
    <s v="Τοποθέτηση σε Ιδιωτική Εκπαίδευση"/>
    <d v="1972-01-04T00:00:00"/>
    <x v="0"/>
    <s v="ΔΙΕΥΘΥΝΣΗ Δ.Ε. ΜΕΣΣΗΝΙΑΣ"/>
    <x v="5"/>
  </r>
  <r>
    <x v="4133"/>
    <x v="1"/>
    <s v="ΠΕ91.01"/>
    <s v="ΘΕΑΤΡΙΚΩΝ ΣΠΟΥΔΩΝ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0007"/>
    <s v="ΙΔΙΩΤΙΚΟ ΓΥΜΝΑΣΙΟ - ΕΚΠΑΙΔΕΥΤΗΡΙΑ Γ.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2-01-01T00:00:00"/>
    <x v="0"/>
    <s v="ΔΙΕΥΘΥΝΣΗ Δ.Ε. Δ΄ ΑΘΗΝΑΣ"/>
    <x v="5"/>
  </r>
  <r>
    <x v="4134"/>
    <x v="1"/>
    <s v="ΠΕ79.01"/>
    <s v="ΜΟΥΣΙΚΗΣ ΕΠΙΣΤΗΜΗ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3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1-01T00:00:00"/>
    <x v="1"/>
    <s v="ΔΙΕΥΘΥΝΣΗ Π.Ε. ΑΝΑΤ. ΘΕΣ/ΝΙΚΗΣ"/>
    <x v="5"/>
  </r>
  <r>
    <x v="4135"/>
    <x v="0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12-07T00:00:00"/>
    <x v="0"/>
    <s v="ΔΙΕΥΘΥΝΣΗ Δ.Ε. Β΄ ΑΘΗΝΑΣ"/>
    <x v="5"/>
  </r>
  <r>
    <x v="4136"/>
    <x v="0"/>
    <s v="ΠΕ04.01"/>
    <s v="ΦΥΣΙΚΟΙ"/>
    <m/>
    <m/>
    <s v="Α΄"/>
    <n v="1"/>
    <s v="Ψ3364653ΠΣ-ΘΛΙ"/>
    <d v="2016-09-26T00:00:00"/>
    <s v="ΧΑΝΙΩΝ (Δ.Ε.) 2018"/>
    <s v="ΔΙΕΥΘΥΝΣΗ Δ.Ε. ΧΑΝΙΩΝ"/>
    <s v="ΠΕΡΙΦΕΡΕΙΑΚΗ Δ/ΝΣΗ Α/ΘΜΙΑΣ ΚΑΙ Β/ΘΜΙΑΣ ΕΚΠ/ΣΗΣ ΚΡΗΤΗΣ"/>
    <n v="23"/>
    <d v="2016-09-26T00:00:00"/>
    <s v="Ιδιωτικά Σχολεία"/>
    <x v="3"/>
    <s v="5080015"/>
    <s v="ΙΔΙΩΤΙΚΟ ΓΕΝΙΚΟ ΛΥΚΕΙΟ ΙΔΙΩΤΙΚΑ ΕΚΠΑΙΔΕΥΤΗΡΙΑ ΘΕΟΔΩΡΟΠΟΥΛΟΥ Α.Ε."/>
    <s v="ΧΑΝΙΩΝ (Δ.Ε.) 2018"/>
    <s v="ΔΙΕΥΘΥΝΣΗ Δ.Ε. ΧΑΝΙΩΝ"/>
    <s v="ΠΕΡΙΦΕΡΕΙΑΚΗ Δ/ΝΣΗ Α/ΘΜΙΑΣ ΚΑΙ Β/ΘΜΙΑΣ ΕΚΠ/ΣΗΣ ΚΡΗΤΗΣ"/>
    <x v="1"/>
    <s v="Τοποθέτηση σε Ιδιωτική Εκπαίδευση"/>
    <d v="1971-10-21T00:00:00"/>
    <x v="0"/>
    <s v="ΔΙΕΥΘΥΝΣΗ Δ.Ε. ΧΑΝΙΩΝ"/>
    <x v="5"/>
  </r>
  <r>
    <x v="4137"/>
    <x v="0"/>
    <s v="ΠΕ01"/>
    <s v="ΘΕ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735"/>
    <s v="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9-19T00:00:00"/>
    <x v="0"/>
    <s v="ΔΙΕΥΘΥΝΣΗ Δ.Ε. ΑΝΑΤΟΛΙΚΗΣ ΑΤΤΙΚΗΣ"/>
    <x v="5"/>
  </r>
  <r>
    <x v="4138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1"/>
    <s v="7521109"/>
    <s v="ΙΔΙΩΤΙΚΟ - ΙΣΟΤΙΜΟ ΝΗΠΙΑΓΩΓΕΙΟ - Γ΄ ΑΡΣΑΚΕΙΟ - ΤΟΣΙΤΣΕΙΟ ΝΗΠΙΑΓΩΓ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1-07-20T00:00:00"/>
    <x v="1"/>
    <s v="ΔΙΕΥΘΥΝΣΗ Π.Ε. ΑΝΑΤΟΛΙΚΗΣ ΑΤΤΙΚΗΣ"/>
    <x v="5"/>
  </r>
  <r>
    <x v="4139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1-07-13T00:00:00"/>
    <x v="0"/>
    <s v="ΔΙΕΥΘΥΝΣΗ Δ.Ε. Δ΄ ΑΘΗΝΑΣ"/>
    <x v="5"/>
  </r>
  <r>
    <x v="4140"/>
    <x v="1"/>
    <s v="ΠΕ06"/>
    <s v="ΑΓΓΛΙΚΗΣ ΦΙΛΟΛΟΓΙΑΣ"/>
    <m/>
    <m/>
    <s v="Α΄"/>
    <n v="7"/>
    <m/>
    <m/>
    <s v="Α΄ ΠΕΙΡΑΙΑ (Π.Ε.) 2018"/>
    <s v="ΔΙΕΥΘΥΝΣΗ Π.Ε. ΠΕΙΡΑΙΑ"/>
    <s v="ΠΕΡΙΦΕΡΕΙΑΚΗ Δ/ΝΣΗ Α/ΘΜΙΑΣ ΚΑΙ Β/ΘΜΙΑΣ ΕΚΠ/ΣΗΣ ΑΤΤΙΚΗΣ"/>
    <n v="23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1-06-24T00:00:00"/>
    <x v="1"/>
    <s v="ΔΙΕΥΘΥΝΣΗ Π.Ε. ΠΕΙΡΑΙΑ"/>
    <x v="5"/>
  </r>
  <r>
    <x v="4141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6-01T00:00:00"/>
    <x v="1"/>
    <s v="ΔΙΕΥΘΥΝΣΗ Π.Ε. Β΄ ΑΘΗΝΑΣ"/>
    <x v="5"/>
  </r>
  <r>
    <x v="4142"/>
    <x v="1"/>
    <s v="ΠΕ60"/>
    <s v="ΝΗΠΙΑΓΩΓ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05-23T00:00:00"/>
    <x v="1"/>
    <s v="ΔΙΕΥΘΥΝΣΗ Π.Ε. Δ΄ ΑΘΗΝΑΣ"/>
    <x v="5"/>
  </r>
  <r>
    <x v="4143"/>
    <x v="1"/>
    <s v="ΠΕ11"/>
    <s v="ΦΥΣΙΚΗΣ ΑΓΩΓΗΣ"/>
    <m/>
    <m/>
    <s v="Γ΄"/>
    <n v="1"/>
    <n v="9914"/>
    <d v="2018-11-28T00:00:00"/>
    <s v="Α΄ ΠΕΙΡΑΙΑ (Π.Ε.) 2018"/>
    <s v="ΔΙΕΥΘΥΝΣΗ Π.Ε. ΠΕΙΡΑΙΑ"/>
    <s v="ΠΕΡΙΦΕΡΕΙΑΚΗ Δ/ΝΣΗ Α/ΘΜΙΑΣ ΚΑΙ Β/ΘΜΙΑΣ ΕΚΠ/ΣΗΣ ΑΤΤΙΚΗΣ"/>
    <n v="23"/>
    <d v="2018-11-28T00:00:00"/>
    <s v="Ιδιωτικά Σχολεία"/>
    <x v="1"/>
    <s v="7541001"/>
    <s v="ΙΔΙΩΤΙΚΟ ΝΗΠΙΑΓΩΓΕΙΟ ΠΕΙΡΑΙΑΣ - ΕΚΠΑΙΔΕΥΤΗΡΙΑ Μ. ΠΕΤΡΑΚΗ-ΒΑΛΣΑΜΙΔΟΥ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1-05-22T00:00:00"/>
    <x v="1"/>
    <s v="ΔΙΕΥΘΥΝΣΗ Π.Ε. ΠΕΙΡΑΙΑ"/>
    <x v="5"/>
  </r>
  <r>
    <x v="4144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5-10T00:00:00"/>
    <x v="0"/>
    <s v="ΔΙΕΥΘΥΝΣΗ Δ.Ε. ΑΝΑΤΟΛΙΚΗΣ ΑΤΤΙΚΗΣ"/>
    <x v="5"/>
  </r>
  <r>
    <x v="4145"/>
    <x v="1"/>
    <s v="ΠΕ04.02"/>
    <s v="ΧΗΜΙΚΟΙ"/>
    <m/>
    <m/>
    <s v="Γ΄"/>
    <n v="1"/>
    <s v="22266/10-11-2017"/>
    <d v="2017-11-10T00:00:00"/>
    <s v="ΛΑΡΙΣΑΣ (Δ.Ε.) 2018"/>
    <s v="ΔΙΕΥΘΥΝΣΗ Δ.Ε. ΛΑΡΙΣΑΣ"/>
    <s v="ΠΕΡΙΦΕΡΕΙΑΚΗ Δ/ΝΣΗ Α/ΘΜΙΑΣ ΚΑΙ Β/ΘΜΙΑΣ ΕΚΠ/ΣΗΣ ΘΕΣΣΑΛΙΑΣ"/>
    <n v="23"/>
    <d v="2017-11-10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0"/>
    <s v="Τοποθέτηση σε Ιδιωτική Εκπαίδευση"/>
    <d v="1971-04-25T00:00:00"/>
    <x v="0"/>
    <s v="ΔΙΕΥΘΥΝΣΗ Δ.Ε. ΛΑΡΙΣΑΣ"/>
    <x v="5"/>
  </r>
  <r>
    <x v="4146"/>
    <x v="1"/>
    <s v="ΠΕ60"/>
    <s v="ΝΗΠΙΑΓΩΓΟΙ"/>
    <s v="ΠΕ70"/>
    <s v="ΔΑΣΚΑΛΟΙ"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2-28T00:00:00"/>
    <x v="1"/>
    <s v="ΔΙΕΥΘΥΝΣΗ Π.Ε. Β΄ ΑΘΗΝΑΣ"/>
    <x v="5"/>
  </r>
  <r>
    <x v="4147"/>
    <x v="0"/>
    <s v="ΠΕ03"/>
    <s v="ΜΑΘΗΜΑΤ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1-20T00:00:00"/>
    <x v="0"/>
    <s v="ΔΙΕΥΘΥΝΣΗ Δ.Ε. ΑΝΑΤΟΛΙΚΗΣ ΑΤΤΙΚΗΣ"/>
    <x v="5"/>
  </r>
  <r>
    <x v="4148"/>
    <x v="1"/>
    <s v="ΠΕ60"/>
    <s v="ΝΗΠΙΑΓΩΓ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1-01-08T00:00:00"/>
    <x v="1"/>
    <s v="ΔΙΕΥΘΥΝΣΗ Π.Ε. ΛΑΡΙΣΑΣ"/>
    <x v="5"/>
  </r>
  <r>
    <x v="4149"/>
    <x v="1"/>
    <s v="ΠΕ79.01"/>
    <s v="ΜΟΥΣΙΚΗΣ ΕΠΙΣΤΗΜΗΣ"/>
    <m/>
    <m/>
    <s v="Α΄"/>
    <n v="8"/>
    <m/>
    <m/>
    <s v="Α΄ ΠΕΙΡΑΙΑ (Π.Ε.) 2018"/>
    <s v="ΔΙΕΥΘΥΝΣΗ Π.Ε. ΠΕΙΡΑΙΑ"/>
    <s v="ΠΕΡΙΦΕΡΕΙΑΚΗ Δ/ΝΣΗ Α/ΘΜΙΑΣ ΚΑΙ Β/ΘΜΙΑΣ ΕΚΠ/ΣΗΣ ΑΤΤΙΚΗΣ"/>
    <n v="23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12-10T00:00:00"/>
    <x v="1"/>
    <s v="ΔΙΕΥΘΥΝΣΗ Π.Ε. ΠΕΙΡΑΙΑ"/>
    <x v="5"/>
  </r>
  <r>
    <x v="4150"/>
    <x v="0"/>
    <s v="ΠΕ11"/>
    <s v="ΦΥΣΙΚΗΣ ΑΓΩΓΗ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0-09-27T00:00:00"/>
    <x v="1"/>
    <s v="ΔΙΕΥΘΥΝΣΗ Π.Ε. ΧΑΝΙΩΝ"/>
    <x v="5"/>
  </r>
  <r>
    <x v="4151"/>
    <x v="1"/>
    <s v="ΠΕ02"/>
    <s v="ΦΙΛΟΛΟΓ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310"/>
    <s v="ΙΔΙΩΤΙΚΟ ΓΕΝΙΚΟ ΛΥΚΕΙO - ΕΚΠΑΙΔΕΥΤΙΚΗ ΑΝΑΓΕΝΝΗΣΗ - ΕΚΠΑΙΔΕΥΤΗΡΙΑ ΑΝΤΩΝΟΠΟΥΛΟΥ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9-13T00:00:00"/>
    <x v="0"/>
    <s v="ΔΙΕΥΘΥΝΣΗ Δ.Ε. ΑΝΑΤΟΛΙΚΗΣ ΑΤΤΙΚΗΣ"/>
    <x v="5"/>
  </r>
  <r>
    <x v="4152"/>
    <x v="1"/>
    <s v="ΠΕ01"/>
    <s v="ΘΕΟΛΟΓ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2"/>
    <s v="2060005"/>
    <s v="ΑΝΩΝΥΜΗ ΕΚΠΑΙΔΕΥΤΙΚΗ ΜΟΡΦΩΤΙΚΗ ΕΤΑΙΡΕΙΑ ΓΥΜΝΑΣΙΟ ΕΚΠΑΙΔΕΥΤΗΡΙΩΝ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08-27T00:00:00"/>
    <x v="0"/>
    <s v="ΔΙΕΥΘΥΝΣΗ Δ.Ε. ΙΩΑΝΝΙΝΩΝ"/>
    <x v="5"/>
  </r>
  <r>
    <x v="4153"/>
    <x v="0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8-13T00:00:00"/>
    <x v="1"/>
    <s v="ΔΙΕΥΘΥΝΣΗ Π.Ε. ΑΝΑΤΟΛΙΚΗΣ ΑΤΤΙΚΗΣ"/>
    <x v="5"/>
  </r>
  <r>
    <x v="4154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7-20T00:00:00"/>
    <x v="0"/>
    <s v="ΔΙΕΥΘΥΝΣΗ Δ.Ε. Β΄ ΑΘΗΝΑΣ"/>
    <x v="5"/>
  </r>
  <r>
    <x v="4155"/>
    <x v="0"/>
    <s v="ΠΕ11"/>
    <s v="ΦΥΣ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7-17T00:00:00"/>
    <x v="1"/>
    <s v="ΔΙΕΥΘΥΝΣΗ Π.Ε. Β΄ ΑΘΗΝΑΣ"/>
    <x v="5"/>
  </r>
  <r>
    <x v="4156"/>
    <x v="1"/>
    <s v="ΠΕ06"/>
    <s v="ΑΓΓΛΙΚΗΣ ΦΙΛΟΛΟΓΙΑ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10"/>
    <s v="ΙΔΙΩΤΙΚΟ ΔΗΜΟΤΙΚΟ ΠΑΛΑΙΟ ΨΥΧΙΚΟ - ΙΔΙΩΤΙΚΟ ΔΗΜΟΤΙΚΟ ΣΧΟΛΕΙΟ ΤΗΣ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5-13T00:00:00"/>
    <x v="1"/>
    <s v="ΔΙΕΥΘΥΝΣΗ Π.Ε. Β΄ ΑΘΗΝΑΣ"/>
    <x v="5"/>
  </r>
  <r>
    <x v="4157"/>
    <x v="1"/>
    <s v="ΠΕ02"/>
    <s v="ΦΙΛΟΛΟΓΟΙ"/>
    <m/>
    <m/>
    <s v="Γ΄"/>
    <n v="3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61006"/>
    <s v="ΙΔΙΩΤΙΚΟ ΓΕΛ. ΕΚΠΑΙΔΕΥΤΗΡΙΑ ΓΕΩΡΓΙΟΥ ΖΩΗ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4-13T00:00:00"/>
    <x v="0"/>
    <s v="ΔΙΕΥΘΥΝΣΗ Δ.Ε. Δ΄ ΑΘΗΝΑΣ"/>
    <x v="5"/>
  </r>
  <r>
    <x v="4158"/>
    <x v="0"/>
    <s v="ΠΕ05"/>
    <s v="ΓΑΛ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0-04-11T00:00:00"/>
    <x v="0"/>
    <s v="ΔΙΕΥΘΥΝΣΗ Δ.Ε. Β΄ ΑΘΗΝΑΣ"/>
    <x v="5"/>
  </r>
  <r>
    <x v="4159"/>
    <x v="0"/>
    <s v="ΠΕ11"/>
    <s v="ΦΥΣΙΚΗΣ ΑΓΩΓΗΣ"/>
    <m/>
    <m/>
    <s v="Α΄"/>
    <n v="5"/>
    <s v="5627γ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04-06T00:00:00"/>
    <x v="1"/>
    <s v="ΔΙΕΥΘΥΝΣΗ Π.Ε. ΑΝΑΤΟΛΙΚΗΣ ΑΤΤΙΚΗΣ"/>
    <x v="5"/>
  </r>
  <r>
    <x v="4160"/>
    <x v="1"/>
    <s v="ΠΕ05"/>
    <s v="ΓΑΛΛΙΚΗΣ ΦΙΛΟΛΟΓΙΑΣ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2-26T00:00:00"/>
    <x v="1"/>
    <s v="ΔΙΕΥΘΥΝΣΗ Π.Ε. Β΄ ΑΘΗΝΑΣ"/>
    <x v="5"/>
  </r>
  <r>
    <x v="4161"/>
    <x v="1"/>
    <s v="ΠΕ06"/>
    <s v="ΑΓΓΛΙΚΗΣ ΦΙΛΟΛΟΓΙΑΣ"/>
    <m/>
    <m/>
    <s v="Α΄"/>
    <n v="2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1021"/>
    <s v="Ιδιωτικό Γυμνάσιο  ΝΕΑ ΕΚΠΑΙΔΕΥΤΗΡΙΑ Γ.ΜΑΛΛΙΑΡΑΣ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0-01-01T00:00:00"/>
    <x v="0"/>
    <s v="ΔΙΕΥΘΥΝΣΗ Δ.Ε. Δ΄ ΑΘΗΝΑΣ"/>
    <x v="5"/>
  </r>
  <r>
    <x v="4162"/>
    <x v="1"/>
    <s v="ΠΕ70"/>
    <s v="ΔΑΣΚΑΛΟΙ"/>
    <m/>
    <m/>
    <s v="Α΄"/>
    <n v="6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d v="2010-10-29T00:00:00"/>
    <s v="Ιδιωτικά Σχολεία"/>
    <x v="4"/>
    <s v="7521042"/>
    <s v="Α΄ ΑΡΣΑΚΕΙΟ - 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0-01-01T00:00:00"/>
    <x v="1"/>
    <s v="ΔΙΕΥΘΥΝΣΗ Π.Ε. ΑΝΑΤΟΛΙΚΗΣ ΑΤΤΙΚΗΣ"/>
    <x v="5"/>
  </r>
  <r>
    <x v="4163"/>
    <x v="1"/>
    <s v="ΠΕ11"/>
    <s v="ΦΥΣΙΚΗΣ ΑΓΩΓΗ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0-01-01T00:00:00"/>
    <x v="1"/>
    <s v="ΔΙΕΥΘΥΝΣΗ Π.Ε. ΛΑΡΙΣΑΣ"/>
    <x v="5"/>
  </r>
  <r>
    <x v="4164"/>
    <x v="0"/>
    <s v="ΠΕ11"/>
    <s v="ΦΥΣΙΚΗΣ ΑΓΩΓΗΣ"/>
    <m/>
    <m/>
    <s v="Α΄"/>
    <n v="5"/>
    <s v="5605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12-19T00:00:00"/>
    <x v="1"/>
    <s v="ΔΙΕΥΘΥΝΣΗ Π.Ε. ΑΝΑΤΟΛΙΚΗΣ ΑΤΤΙΚΗΣ"/>
    <x v="5"/>
  </r>
  <r>
    <x v="4165"/>
    <x v="1"/>
    <s v="ΠΕ06"/>
    <s v="ΑΓΓ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11-11T00:00:00"/>
    <x v="0"/>
    <s v="ΔΙΕΥΘΥΝΣΗ Δ.Ε. ΑΝΑΤΟΛΙΚΗΣ ΑΤΤΙΚΗΣ"/>
    <x v="5"/>
  </r>
  <r>
    <x v="4166"/>
    <x v="0"/>
    <s v="ΠΕ03"/>
    <s v="ΜΑΘΗΜΑΤΙΚΟΙ"/>
    <m/>
    <m/>
    <s v="Γ΄"/>
    <n v="1"/>
    <s v="16084/01-09-2018"/>
    <d v="2018-09-01T00:00:00"/>
    <s v="ΛΑΡΙΣΑΣ (Δ.Ε.) 2018"/>
    <s v="ΔΙΕΥΘΥΝΣΗ Δ.Ε. ΛΑΡΙΣΑΣ"/>
    <s v="ΠΕΡΙΦΕΡΕΙΑΚΗ Δ/ΝΣΗ Α/ΘΜΙΑΣ ΚΑΙ Β/ΘΜΙΑΣ ΕΚΠ/ΣΗΣ ΘΕΣΣΑΛΙΑΣ"/>
    <n v="23"/>
    <d v="2018-09-01T00:00:00"/>
    <s v="Ιδιωτικά Σχολεία"/>
    <x v="3"/>
    <s v="3180015"/>
    <s v="ΙΔ. ΓΕΝ. ΛΥΚ. Ν. ΜΠΑΚΟΓΙΑΝΝΗ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9-10-21T00:00:00"/>
    <x v="0"/>
    <s v="ΔΙΕΥΘΥΝΣΗ Δ.Ε. ΛΑΡΙΣΑΣ"/>
    <x v="5"/>
  </r>
  <r>
    <x v="4167"/>
    <x v="1"/>
    <s v="ΠΕ70"/>
    <s v="ΔΑΣΚΑΛΟΙ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3"/>
    <m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69-09-26T00:00:00"/>
    <x v="1"/>
    <s v="ΔΙΕΥΘΥΝΣΗ Π.Ε. ΑΙΤΩΛΟΑΚΑΡΝΑΝΙΑΣ"/>
    <x v="5"/>
  </r>
  <r>
    <x v="4168"/>
    <x v="1"/>
    <s v="ΠΕ07"/>
    <s v="ΓΕΡΜΑΝΙΚΗΣ ΦΙΛΟΛΟΓΙΑ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9-20T00:00:00"/>
    <x v="1"/>
    <s v="ΔΙΕΥΘΥΝΣΗ Π.Ε. Β΄ ΑΘΗΝΑΣ"/>
    <x v="5"/>
  </r>
  <r>
    <x v="4169"/>
    <x v="1"/>
    <s v="ΠΕ02"/>
    <s v="ΦΙΛΟΛΟΓΟΙ"/>
    <m/>
    <m/>
    <s v="Α΄"/>
    <n v="1"/>
    <m/>
    <m/>
    <s v="Α΄ ΠΕΙΡΑΙΑ (Δ.Ε.) 2018"/>
    <s v="ΔΙΕΥΘΥΝΣΗ Δ.Ε. ΠΕΙΡΑΙΑ"/>
    <s v="ΠΕΡΙΦΕΡΕΙΑΚΗ Δ/ΝΣΗ Α/ΘΜΙΑΣ ΚΑΙ Β/ΘΜΙΑΣ ΕΚΠ/ΣΗΣ ΑΤΤΙΚΗΣ"/>
    <n v="23"/>
    <m/>
    <s v="Ιδιωτικά Σχολεία"/>
    <x v="3"/>
    <s v="0561010"/>
    <s v="ΙΔΙΩΤΙΚΟ ΗΜΕΡΗΣΙΟ ΛΥΚΕΙΟ ΘΕΜΙΣΤΟΚΛΗΣ"/>
    <s v="Α΄ ΠΕΙΡΑΙΑ (Δ.Ε.) 2018"/>
    <s v="ΔΙΕΥΘΥΝΣΗ Δ.Ε. ΠΕΙΡΑΙΑ"/>
    <s v="ΠΕΡΙΦΕΡΕΙΑΚΗ Δ/ΝΣΗ Α/ΘΜΙΑΣ ΚΑΙ Β/ΘΜΙΑΣ ΕΚΠ/ΣΗΣ ΑΤΤΙΚΗΣ"/>
    <x v="1"/>
    <s v="Τοποθέτηση σε Ιδιωτική Εκπαίδευση"/>
    <d v="1969-09-13T00:00:00"/>
    <x v="0"/>
    <s v="ΔΙΕΥΘΥΝΣΗ Δ.Ε. ΠΕΙΡΑΙΑ"/>
    <x v="5"/>
  </r>
  <r>
    <x v="4170"/>
    <x v="1"/>
    <s v="ΠΕ06"/>
    <s v="ΑΓΓΛΙΚΗΣ ΦΙΛΟΛΟΓΙΑΣ"/>
    <m/>
    <m/>
    <s v="Α΄"/>
    <n v="11"/>
    <s v="Φ.60.2/9503/20-2-2003"/>
    <d v="2002-09-01T00:00:00"/>
    <s v="Α΄ ΑΝΑΤ. ΑΤΤΙΚΗΣ (Π.Ε.) 2018"/>
    <s v="ΔΙΕΥΘΥΝΣΗ Π.Ε. ΑΝΑΤΟΛΙΚΗΣ ΑΤΤΙΚΗΣ"/>
    <s v="ΠΕΡΙΦΕΡΕΙΑΚΗ Δ/ΝΣΗ Α/ΘΜΙΑΣ ΚΑΙ Β/ΘΜΙΑΣ ΕΚΠ/ΣΗΣ ΑΤΤΙΚΗΣ"/>
    <n v="23"/>
    <d v="2002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8-18T00:00:00"/>
    <x v="1"/>
    <s v="ΔΙΕΥΘΥΝΣΗ Π.Ε. ΑΝΑΤΟΛΙΚΗΣ ΑΤΤΙΚΗΣ"/>
    <x v="5"/>
  </r>
  <r>
    <x v="4171"/>
    <x v="1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m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9-08-14T00:00:00"/>
    <x v="0"/>
    <s v="ΔΙΕΥΘΥΝΣΗ Δ.Ε. ΑΙΤΩΛΟΑΚΑΡΝΑΝΙΑΣ"/>
    <x v="5"/>
  </r>
  <r>
    <x v="4172"/>
    <x v="1"/>
    <s v="ΠΕ05"/>
    <s v="ΓΑΛΛΙΚΗΣ ΦΙΛΟΛΟΓΙΑΣ"/>
    <m/>
    <m/>
    <s v="Α΄"/>
    <n v="7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9-08-02T00:00:00"/>
    <x v="1"/>
    <s v="ΔΙΕΥΘΥΝΣΗ Π.Ε. ΑΝΑΤΟΛΙΚΗΣ ΑΤΤΙΚΗΣ"/>
    <x v="5"/>
  </r>
  <r>
    <x v="4173"/>
    <x v="1"/>
    <s v="ΠΕ02"/>
    <s v="ΦΙΛΟΛΟΓΟΙ"/>
    <m/>
    <m/>
    <s v="Γ΄"/>
    <n v="1"/>
    <n v="20348"/>
    <d v="2017-10-12T00:00:00"/>
    <s v="Α΄ ΠΕΙΡΑΙΑ (Δ.Ε.) 2018"/>
    <s v="ΔΙΕΥΘΥΝΣΗ Δ.Ε. ΠΕΙΡΑΙΑ"/>
    <s v="ΠΕΡΙΦΕΡΕΙΑΚΗ Δ/ΝΣΗ Α/ΘΜΙΑΣ ΚΑΙ Β/ΘΜΙΑΣ ΕΚΠ/ΣΗΣ ΑΤΤΙΚΗΣ"/>
    <n v="23"/>
    <d v="2017-10-12T00:00:00"/>
    <s v="Ιδιωτικά Σχολεία"/>
    <x v="2"/>
    <s v="0591909"/>
    <s v="ΙΔΙΩΤΙΚΟ ΓΥΜΝΑΣΙΟ ΠΕΙΡΑΙΑΣ - Ο ΑΓΙΟΣ ΠΑΥΛ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9-07-22T00:00:00"/>
    <x v="0"/>
    <s v="ΔΙΕΥΘΥΝΣΗ Δ.Ε. ΠΕΙΡΑΙΑ"/>
    <x v="5"/>
  </r>
  <r>
    <x v="4174"/>
    <x v="0"/>
    <s v="ΠΕ02"/>
    <s v="ΦΙΛ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9-06-08T00:00:00"/>
    <x v="0"/>
    <s v="ΔΙΕΥΘΥΝΣΗ Δ.Ε. ΙΩΑΝΝΙΝΩΝ"/>
    <x v="5"/>
  </r>
  <r>
    <x v="4175"/>
    <x v="1"/>
    <s v="ΠΕ06"/>
    <s v="ΑΓΓΛΙΚΗΣ ΦΙΛΟΛΟΓΙΑΣ"/>
    <m/>
    <m/>
    <s v="Α΄"/>
    <n v="5"/>
    <s v="Φ.Ι.Α.4/1725/22-1-2016"/>
    <d v="2015-02-17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5-02-17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4-26T00:00:00"/>
    <x v="1"/>
    <s v="ΔΙΕΥΘΥΝΣΗ Π.Ε. ΑΝΑΤΟΛΙΚΗΣ ΑΤΤΙΚΗΣ"/>
    <x v="5"/>
  </r>
  <r>
    <x v="4176"/>
    <x v="0"/>
    <s v="ΠΕ11"/>
    <s v="ΦΥΣΙΚΗΣ ΑΓΩΓ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3-26T00:00:00"/>
    <x v="1"/>
    <s v="ΔΙΕΥΘΥΝΣΗ Π.Ε. ΑΝΑΤΟΛΙΚΗΣ ΑΤΤΙΚΗΣ"/>
    <x v="5"/>
  </r>
  <r>
    <x v="4177"/>
    <x v="1"/>
    <s v="ΠΕ04.04"/>
    <s v="ΒΙΟΛΟΓ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9-03-15T00:00:00"/>
    <x v="0"/>
    <s v="ΔΙΕΥΘΥΝΣΗ Δ.Ε. ΑΝΑΤΟΛΙΚΗΣ ΑΤΤΙΚΗΣ"/>
    <x v="5"/>
  </r>
  <r>
    <x v="4178"/>
    <x v="1"/>
    <s v="ΠΕ60"/>
    <s v="ΝΗΠΙΑΓΩΓΟΙ"/>
    <m/>
    <m/>
    <s v="Γ΄"/>
    <n v="1"/>
    <s v="Φ.17.2/3296/2.9.10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1-27T00:00:00"/>
    <x v="1"/>
    <s v="ΔΙΕΥΘΥΝΣΗ Π.Ε. Β΄ ΑΘΗΝΑΣ"/>
    <x v="5"/>
  </r>
  <r>
    <x v="4179"/>
    <x v="1"/>
    <s v="ΠΕ07"/>
    <s v="ΓΕΡΜΑΝΙΚΗΣ ΦΙΛΟΛΟΓΙΑ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1-19T00:00:00"/>
    <x v="1"/>
    <s v="ΔΙΕΥΘΥΝΣΗ Π.Ε. Β΄ ΑΘΗΝΑΣ"/>
    <x v="5"/>
  </r>
  <r>
    <x v="4180"/>
    <x v="0"/>
    <s v="ΠΕ03"/>
    <s v="ΜΑΘΗΜΑΤΙΚΟΙ"/>
    <m/>
    <m/>
    <s v="Γ΄"/>
    <n v="8"/>
    <n v="13814"/>
    <d v="2018-09-12T00:00:00"/>
    <s v="Δ΄ ΑΘΗΝΑΣ (Δ.Ε.) 2018"/>
    <s v="ΔΙΕΥΘΥΝΣΗ Δ.Ε. Δ΄ ΑΘΗΝΑΣ"/>
    <s v="ΠΕΡΙΦΕΡΕΙΑΚΗ Δ/ΝΣΗ Α/ΘΜΙΑΣ ΚΑΙ Β/ΘΜΙΑΣ ΕΚΠ/ΣΗΣ ΑΤΤΙΚΗΣ"/>
    <n v="23"/>
    <d v="2018-09-12T00:00:00"/>
    <s v="Ιδιωτικά Σχολεία"/>
    <x v="3"/>
    <s v="0590906"/>
    <s v="ΙΔΙΩΤΙΚΟ ΓΕΝΙΚΟ ΛΥΚΕΙΟ &quot;ΛΕΟΝΤΕΙΟ ΛΥΚΕΙΟ ΝΕΑΣ ΣΜΥΡΝΗΣ&quot;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9-01-09T00:00:00"/>
    <x v="0"/>
    <s v="ΔΙΕΥΘΥΝΣΗ Δ.Ε. Δ΄ ΑΘΗΝΑΣ"/>
    <x v="5"/>
  </r>
  <r>
    <x v="4181"/>
    <x v="1"/>
    <s v="ΠΕ06"/>
    <s v="ΑΓΓΛΙΚΗΣ ΦΙΛΟΛΟΓΙΑΣ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10-28T00:00:00"/>
    <x v="1"/>
    <s v="ΔΙΕΥΘΥΝΣΗ Π.Ε. Β΄ ΑΘΗΝΑΣ"/>
    <x v="5"/>
  </r>
  <r>
    <x v="4182"/>
    <x v="1"/>
    <s v="ΠΕ04.01"/>
    <s v="ΦΥΣΙΚΟΙ"/>
    <m/>
    <m/>
    <s v="Α΄"/>
    <n v="1"/>
    <m/>
    <m/>
    <s v="ΛΑΡΙΣΑΣ (Δ.Ε.) 2018"/>
    <s v="ΔΙΕΥΘΥΝΣΗ Δ.Ε. ΛΑΡΙΣΑΣ"/>
    <s v="ΠΕΡΙΦΕΡΕΙΑΚΗ Δ/ΝΣΗ Α/ΘΜΙΑΣ ΚΑΙ Β/ΘΜΙΑΣ ΕΚΠ/ΣΗΣ ΘΕΣΣΑΛΙΑΣ"/>
    <n v="23"/>
    <m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3"/>
    <s v="Τοποθέτηση σε Ιδιωτική Εκπαίδευση"/>
    <d v="1968-09-30T00:00:00"/>
    <x v="0"/>
    <s v="ΔΙΕΥΘΥΝΣΗ Δ.Ε. ΛΑΡΙΣΑΣ"/>
    <x v="5"/>
  </r>
  <r>
    <x v="4183"/>
    <x v="1"/>
    <s v="ΠΕ07"/>
    <s v="ΓΕΡΜΑΝΙΚΗΣ ΦΙΛΟΛΟΓΙΑΣ"/>
    <m/>
    <m/>
    <s v="Γ΄"/>
    <n v="5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8-04T00:00:00"/>
    <x v="1"/>
    <s v="ΔΙΕΥΘΥΝΣΗ Π.Ε. Β΄ ΑΘΗΝΑΣ"/>
    <x v="5"/>
  </r>
  <r>
    <x v="4184"/>
    <x v="0"/>
    <s v="ΠΕ02"/>
    <s v="ΦΙΛΟΛΟΓΟΙ"/>
    <m/>
    <m/>
    <s v="Α΄"/>
    <n v="1"/>
    <m/>
    <m/>
    <s v="ΑΙΤΩΛΟΑΚΑΡΝΑΝΙΑΣ (Δ.Ε.) 2018"/>
    <s v="ΔΙΕΥΘΥΝΣΗ Δ.Ε. ΑΙΤΩΛΟΑΚΑΡΝΑΝΙΑΣ"/>
    <s v="ΠΕΡΙΦΕΡΕΙΑΚΗ Δ/ΝΣΗ Α/ΘΜΙΑΣ ΚΑΙ Β/ΘΜΙΑΣ ΕΚΠ/ΣΗΣ ΔΥΤΙΚΗΣ ΕΛΛΑΔΑΣ"/>
    <n v="23"/>
    <m/>
    <s v="Ιδιωτικά Σχολεία"/>
    <x v="3"/>
    <s v="0161003"/>
    <s v="ΕΚΠΑΙΔΕΥΤΗΡΙΑ ΠΑΝΟΥ - ΓΕΝΙΚΟ ΛΥΚΕΙΟ"/>
    <s v="ΑΙΤΩΛΟΑΚΑΡΝΑΝΙΑΣ (Δ.Ε.) 2018"/>
    <s v="ΔΙΕΥΘΥΝΣΗ Δ.Ε. ΑΙΤΩΛΟΑΚΑΡΝΑΝΙΑΣ"/>
    <s v="ΠΕΡΙΦΕΡΕΙΑΚΗ Δ/ΝΣΗ Α/ΘΜΙΑΣ ΚΑΙ Β/ΘΜΙΑΣ ΕΚΠ/ΣΗΣ ΔΥΤΙΚΗΣ ΕΛΛΑΔΑΣ"/>
    <x v="1"/>
    <s v="Τοποθέτηση σε Ιδιωτική Εκπαίδευση"/>
    <d v="1968-07-10T00:00:00"/>
    <x v="0"/>
    <s v="ΔΙΕΥΘΥΝΣΗ Δ.Ε. ΑΙΤΩΛΟΑΚΑΡΝΑΝΙΑΣ"/>
    <x v="5"/>
  </r>
  <r>
    <x v="4185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8-06-28T00:00:00"/>
    <x v="0"/>
    <s v="ΔΙΕΥΘΥΝΣΗ Δ.Ε. Β΄ ΑΘΗΝΑΣ"/>
    <x v="5"/>
  </r>
  <r>
    <x v="4186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3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6-18T00:00:00"/>
    <x v="0"/>
    <s v="ΔΙΕΥΘΥΝΣΗ Δ.Ε. Γ΄ ΑΘΗΝΑΣ"/>
    <x v="5"/>
  </r>
  <r>
    <x v="4187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6-12T00:00:00"/>
    <x v="0"/>
    <s v="ΔΙΕΥΘΥΝΣΗ Δ.Ε. ΑΝΑΤ. ΘΕΣ/ΝΙΚΗΣ"/>
    <x v="5"/>
  </r>
  <r>
    <x v="4188"/>
    <x v="1"/>
    <s v="ΠΕ02"/>
    <s v="ΦΙΛΟΛΟΓΟΙ"/>
    <m/>
    <m/>
    <s v="Γ΄"/>
    <n v="1"/>
    <s v="65/18-12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2"/>
    <s v="0581660"/>
    <s v="ΙΔΙΩΤΙΚΟ ΗΜΕΡΗΣΙΟ ΓΥΜΝΑΣΙΟ                                         ΚΟΡΑΗΣ ΕΚΠΑΙΔΕΥΤΙΚΗ Α. 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8-05-05T00:00:00"/>
    <x v="0"/>
    <s v="ΔΙΕΥΘΥΝΣΗ Δ.Ε. Δ΄ ΑΘΗΝΑΣ"/>
    <x v="5"/>
  </r>
  <r>
    <x v="4189"/>
    <x v="0"/>
    <s v="ΠΕ02"/>
    <s v="ΦΙΛΟΛΟΓΟΙ"/>
    <m/>
    <m/>
    <s v="Γ΄"/>
    <n v="1"/>
    <s v="17774/01-09-2017"/>
    <d v="2017-09-01T00:00:00"/>
    <s v="ΛΑΡΙΣΑΣ (Δ.Ε.) 2018"/>
    <s v="ΔΙΕΥΘΥΝΣΗ Δ.Ε. ΛΑΡΙΣΑΣ"/>
    <s v="ΠΕΡΙΦΕΡΕΙΑΚΗ Δ/ΝΣΗ Α/ΘΜΙΑΣ ΚΑΙ Β/ΘΜΙΑΣ ΕΚΠ/ΣΗΣ ΘΕΣΣΑΛΙΑΣ"/>
    <n v="23"/>
    <d v="2017-09-01T00:00:00"/>
    <s v="Ιδιωτικά Σχολεία"/>
    <x v="3"/>
    <s v="3180010"/>
    <s v="ΙΔΙΩΤΙΚΟ ΗΜΕΡΗΣΙΟ ΓΕΝΙΚΟ ΛΥΚΕΙΟ - ΚΕΝΤΡΟ ΕΛΛΗΝΙΚΗΣ ΠΑΙΔΕΙΑΣ / ΕΚΠΑΙΔΕΥΤΗΡΙΑ ΜΑΙΡΗΣ Ν.ΡΑΠΤΟΥ"/>
    <s v="ΛΑΡΙΣΑΣ (Δ.Ε.) 2018"/>
    <s v="ΔΙΕΥΘΥΝΣΗ Δ.Ε. ΛΑΡΙΣΑΣ"/>
    <s v="ΠΕΡΙΦΕΡΕΙΑΚΗ Δ/ΝΣΗ Α/ΘΜΙΑΣ ΚΑΙ Β/ΘΜΙΑΣ ΕΚΠ/ΣΗΣ ΘΕΣΣΑΛΙΑΣ"/>
    <x v="1"/>
    <s v="Τοποθέτηση σε Ιδιωτική Εκπαίδευση"/>
    <d v="1968-04-04T00:00:00"/>
    <x v="0"/>
    <s v="ΔΙΕΥΘΥΝΣΗ Δ.Ε. ΛΑΡΙΣΑΣ"/>
    <x v="5"/>
  </r>
  <r>
    <x v="4190"/>
    <x v="1"/>
    <s v="ΠΕ70"/>
    <s v="ΔΑΣΚΑΛΟΙ"/>
    <m/>
    <m/>
    <s v="Α΄"/>
    <n v="8"/>
    <s v="4962/6-11-2009"/>
    <d v="2009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09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2-25T00:00:00"/>
    <x v="1"/>
    <s v="ΔΙΕΥΘΥΝΣΗ Π.Ε. ΑΝΑΤΟΛΙΚΗΣ ΑΤΤΙΚΗΣ"/>
    <x v="5"/>
  </r>
  <r>
    <x v="4191"/>
    <x v="0"/>
    <s v="ΠΕ03"/>
    <s v="ΜΑΘΗΜΑΤΙΚΟΙ"/>
    <m/>
    <m/>
    <s v="Γ΄"/>
    <n v="1"/>
    <n v="12870"/>
    <d v="2018-09-01T00:00:00"/>
    <s v="Α΄ ΑΘΗΝΑΣ (Δ.Ε.) 2018"/>
    <s v="ΔΙΕΥΘΥΝΣΗ Δ.Ε. Α΄ ΑΘΗΝΑΣ"/>
    <s v="ΠΕΡΙΦΕΡΕΙΑΚΗ Δ/ΝΣΗ Α/ΘΜΙΑΣ ΚΑΙ Β/ΘΜΙΑΣ ΕΚΠ/ΣΗΣ ΑΤΤΙΚΗΣ"/>
    <n v="23"/>
    <d v="2018-09-01T00:00:00"/>
    <s v="Ιδιωτικά Σχολεία"/>
    <x v="2"/>
    <s v="0591905"/>
    <s v="ΙΔΙΩΤΙΚΟ ΓΥΜΝΑΣΙΟ ΑΝΩ ΠΑΤΗΣΙΑ - ΛΕΟΝΤΕΙΟ ΛΥΚΕΙΟ ΠΑΤΗΣΙΩΝ"/>
    <s v="Α΄ ΑΘΗΝΑΣ (Δ.Ε.) 2018"/>
    <s v="ΔΙΕΥΘΥΝΣΗ Δ.Ε. Α΄ ΑΘΗΝΑΣ"/>
    <s v="ΠΕΡΙΦΕΡΕΙΑΚΗ Δ/ΝΣΗ Α/ΘΜΙΑΣ ΚΑΙ Β/ΘΜΙΑΣ ΕΚΠ/ΣΗΣ ΑΤΤΙΚΗΣ"/>
    <x v="0"/>
    <s v="Τοποθέτηση σε Ιδιωτική Εκπαίδευση"/>
    <d v="1968-01-01T00:00:00"/>
    <x v="0"/>
    <s v="ΔΙΕΥΘΥΝΣΗ Δ.Ε. Α΄ ΑΘΗΝΑΣ"/>
    <x v="5"/>
  </r>
  <r>
    <x v="4192"/>
    <x v="1"/>
    <s v="ΠΕ07"/>
    <s v="ΓΕΡΜΑΝΙΚΗΣ ΦΙΛΟΛΟΓΙΑΣ"/>
    <m/>
    <m/>
    <s v="Α΄"/>
    <n v="5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7-12-26T00:00:00"/>
    <x v="1"/>
    <s v="ΔΙΕΥΘΥΝΣΗ Π.Ε. ΑΝΑΤΟΛΙΚΗΣ ΑΤΤΙΚΗΣ"/>
    <x v="5"/>
  </r>
  <r>
    <x v="4193"/>
    <x v="1"/>
    <s v="ΠΕ60"/>
    <s v="ΝΗΠΙΑΓΩΓ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m/>
    <s v="Ιδιωτικά Σχολεία"/>
    <x v="1"/>
    <s v="7101001"/>
    <s v="ΙΔΙΩΤΙΚΟ ΝΗΠΙΑΓΩΓΕΙ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67-12-15T00:00:00"/>
    <x v="1"/>
    <s v="ΔΙΕΥΘΥΝΣΗ Π.Ε. ΔΩΔΕΚΑΝΗΣΟΥ"/>
    <x v="5"/>
  </r>
  <r>
    <x v="4194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3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7-12-12T00:00:00"/>
    <x v="1"/>
    <s v="ΔΙΕΥΘΥΝΣΗ Π.Ε. ΛΑΡΙΣΑΣ"/>
    <x v="5"/>
  </r>
  <r>
    <x v="4195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6"/>
    <s v="ΓΥΜΝΑΣ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2-04T00:00:00"/>
    <x v="0"/>
    <s v="ΔΙΕΥΘΥΝΣΗ Δ.Ε. Β΄ ΑΘΗΝΑΣ"/>
    <x v="5"/>
  </r>
  <r>
    <x v="4196"/>
    <x v="1"/>
    <s v="ΠΕ02"/>
    <s v="ΦΙΛΟΛΟΓΟΙ"/>
    <m/>
    <m/>
    <s v="Γ΄"/>
    <n v="1"/>
    <n v="21085"/>
    <d v="2017-09-27T00:00:00"/>
    <s v="Α΄ ΠΕΙΡΑΙΑ (Δ.Ε.) 2018"/>
    <s v="ΔΙΕΥΘΥΝΣΗ Δ.Ε. ΠΕΙΡΑΙΑ"/>
    <s v="ΠΕΡΙΦΕΡΕΙΑΚΗ Δ/ΝΣΗ Α/ΘΜΙΑΣ ΚΑΙ Β/ΘΜΙΑΣ ΕΚΠ/ΣΗΣ ΑΤΤΙΚΗΣ"/>
    <n v="23"/>
    <d v="2017-09-27T00:00:00"/>
    <s v="Ιδιωτικά Σχολεία"/>
    <x v="3"/>
    <s v="0561016"/>
    <s v="ΙΔΙΩΤΙΚΟ ΛΥΚΕΙΟ - ΙΔΡΥΜΑ ΠΡΟΣΤΑΣΙΑΣ ΝΕΟΤΗΤΑΣ ΑΓΙΟΣ ΓΕΩΡΓΙΟΣ - ΑΓΙΟΣ ΠΟΛΥΚΑΡΠΟΣ"/>
    <s v="Α΄ ΠΕΙΡΑΙΑ (Δ.Ε.) 2018"/>
    <s v="ΔΙΕΥΘΥΝΣΗ Δ.Ε. ΠΕΙΡΑΙΑ"/>
    <s v="ΠΕΡΙΦΕΡΕΙΑΚΗ Δ/ΝΣΗ Α/ΘΜΙΑΣ ΚΑΙ Β/ΘΜΙΑΣ ΕΚΠ/ΣΗΣ ΑΤΤΙΚΗΣ"/>
    <x v="0"/>
    <s v="Τοποθέτηση σε Ιδιωτική Εκπαίδευση"/>
    <d v="1967-10-17T00:00:00"/>
    <x v="0"/>
    <s v="ΔΙΕΥΘΥΝΣΗ Δ.Ε. ΠΕΙΡΑΙΑ"/>
    <x v="5"/>
  </r>
  <r>
    <x v="4197"/>
    <x v="1"/>
    <s v="ΠΕ06"/>
    <s v="ΑΓΓΛΙΚΗΣ ΦΙΛΟΛΟΓΙΑ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10-16T00:00:00"/>
    <x v="1"/>
    <s v="ΔΙΕΥΘΥΝΣΗ Π.Ε. Β΄ ΑΘΗΝΑΣ"/>
    <x v="5"/>
  </r>
  <r>
    <x v="4198"/>
    <x v="0"/>
    <s v="ΠΕ03"/>
    <s v="ΜΑΘΗΜΑΤΙΚΟΙ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3"/>
    <s v="ΙΔΙΩΤΙΚΟ ΗΜΕΡΗΣΙΟ ΛΥΚΕΙΟ ΙΩΑΝΝΙΝΑ - ΕΚΠΑΙΔΕΥΤΗΡΙΑ ΓΕΝΕΣΙΣ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7-05-31T00:00:00"/>
    <x v="0"/>
    <s v="ΔΙΕΥΘΥΝΣΗ Δ.Ε. ΙΩΑΝΝΙΝΩΝ"/>
    <x v="5"/>
  </r>
  <r>
    <x v="4199"/>
    <x v="1"/>
    <s v="ΠΕ78"/>
    <s v="ΚΟΙΝΩΝΙΚΩΝ ΕΠΙΣΤΗΜΩΝ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3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7-02-05T00:00:00"/>
    <x v="0"/>
    <s v="ΔΙΕΥΘΥΝΣΗ Δ.Ε. ΙΩΑΝΝΙΝΩΝ"/>
    <x v="5"/>
  </r>
  <r>
    <x v="4200"/>
    <x v="1"/>
    <s v="ΤΕ16"/>
    <s v="ΜΟΥΣΙΚΗΣ ΜΗ ΑΝΩΤΑΤΩΝ ΙΔΡΥΜΑΤΩΝ"/>
    <m/>
    <m/>
    <s v="Γ΄"/>
    <n v="1"/>
    <s v="55/15-11-2017"/>
    <d v="2018-09-01T00:00:00"/>
    <s v="Δ΄ ΑΘΗΝΑΣ (Δ.Ε.) 2018"/>
    <s v="ΔΙΕΥΘΥΝΣΗ Δ.Ε. Δ΄ ΑΘΗΝΑΣ"/>
    <s v="ΠΕΡΙΦΕΡΕΙΑΚΗ Δ/ΝΣΗ Α/ΘΜΙΑΣ ΚΑΙ Β/ΘΜΙΑΣ ΕΚΠ/ΣΗΣ ΑΤΤΙΚΗΣ"/>
    <n v="23"/>
    <d v="2018-09-01T00:00:00"/>
    <s v="Ιδιωτικά Σχολεία"/>
    <x v="2"/>
    <s v="0581155"/>
    <s v="ΙΔΙΩΤΙΚΟ ΓΥΜΝΑΣΙΟ «ΣΧΟΛΗ ΞΕΝΟΠΟΥΛΟΥ»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7-01-01T00:00:00"/>
    <x v="0"/>
    <s v="ΔΙΕΥΘΥΝΣΗ Δ.Ε. Δ΄ ΑΘΗΝΑΣ"/>
    <x v="5"/>
  </r>
  <r>
    <x v="4201"/>
    <x v="0"/>
    <s v="ΠΕ01"/>
    <s v="ΘΕΟΛΟΓΟΙ"/>
    <m/>
    <m/>
    <s v="Γ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m/>
    <s v="Ιδιωτικά Σχολεία"/>
    <x v="2"/>
    <s v="1981914"/>
    <s v="ΕΛΛΗΝΟΓΑΛΛΙΚΗ ΣΧΟΛΗ ΚΑΛΑΜΑΡΙ - ΙΔΙΩΤΙΚΟ ΓΥΜΝΑΣΙΟ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1-01T00:00:00"/>
    <x v="0"/>
    <s v="ΔΙΕΥΘΥΝΣΗ Δ.Ε. ΑΝΑΤ. ΘΕΣ/ΝΙΚΗΣ"/>
    <x v="5"/>
  </r>
  <r>
    <x v="4202"/>
    <x v="0"/>
    <s v="ΠΕ70"/>
    <s v="ΔΑΣΚΑΛΟΙ"/>
    <m/>
    <m/>
    <s v="Α΄"/>
    <n v="8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6-11-05T00:00:00"/>
    <x v="1"/>
    <s v="ΔΙΕΥΘΥΝΣΗ Π.Ε. Δ΄ ΑΘΗΝΑΣ"/>
    <x v="5"/>
  </r>
  <r>
    <x v="4203"/>
    <x v="0"/>
    <s v="ΠΕ04.01"/>
    <s v="ΦΥΣΙΚΟΙ"/>
    <m/>
    <m/>
    <s v="Α΄"/>
    <n v="1"/>
    <m/>
    <m/>
    <s v="Β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60003"/>
    <s v="ΙΔΙΩΤΙΚΟ ΓΥΜΝΑΣΙΟ ΑΦΙΔΝΕΣ ΑΤΤΙΚΗΣ - ΕΚΠΑΙΔΕΥΤΙΚΗ ΑΝΑΓΕΝΝΗΣΗ"/>
    <s v="Β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09-18T00:00:00"/>
    <x v="0"/>
    <s v="ΔΙΕΥΘΥΝΣΗ Δ.Ε. ΑΝΑΤΟΛΙΚΗΣ ΑΤΤΙΚΗΣ"/>
    <x v="5"/>
  </r>
  <r>
    <x v="4204"/>
    <x v="0"/>
    <s v="ΠΕ03"/>
    <s v="ΜΑΘΗΜΑΤΙΚ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3"/>
    <s v="0580650"/>
    <s v="ΙΔΙΩΤΙΚΟ ΓΕΝΙΚΟ ΛΥΚΕΙΟ ΓΕΝΝΑΔΙΟΣ ΕΚΠΑΙΔΕΥΤΙΚΗ Κ. ΖΩΗ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66-06-24T00:00:00"/>
    <x v="0"/>
    <s v="ΔΙΕΥΘΥΝΣΗ Δ.Ε. Δ΄ ΑΘΗΝΑΣ"/>
    <x v="5"/>
  </r>
  <r>
    <x v="4205"/>
    <x v="1"/>
    <s v="ΠΕ07"/>
    <s v="ΓΕΡΜΑΝ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6-01-01T00:00:00"/>
    <x v="0"/>
    <s v="ΔΙΕΥΘΥΝΣΗ Δ.Ε. Β΄ ΑΘΗΝΑΣ"/>
    <x v="5"/>
  </r>
  <r>
    <x v="4206"/>
    <x v="1"/>
    <s v="ΠΕ05"/>
    <s v="ΓΑΛ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66-01-01T00:00:00"/>
    <x v="1"/>
    <s v="ΔΙΕΥΘΥΝΣΗ Π.Ε. Α΄ ΑΘΗΝΑΣ"/>
    <x v="5"/>
  </r>
  <r>
    <x v="4207"/>
    <x v="1"/>
    <s v="ΠΕ70"/>
    <s v="ΔΑΣΚΑΛΟΙ"/>
    <m/>
    <m/>
    <s v="Α΄"/>
    <n v="6"/>
    <m/>
    <d v="2018-09-01T00:00:00"/>
    <s v="Δ΄ ΑΘΗΝΑΣ (Π.Ε.) 2018"/>
    <s v="ΔΙΕΥΘΥΝΣΗ Π.Ε. Δ΄ ΑΘΗΝΑΣ"/>
    <s v="ΠΕΡΙΦΕΡΕΙΑΚΗ Δ/ΝΣΗ Α/ΘΜΙΑΣ ΚΑΙ Β/ΘΜΙΑΣ ΕΚΠ/ΣΗΣ ΑΤΤΙΚΗΣ"/>
    <n v="23"/>
    <d v="2018-09-01T00:00:00"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5-11-27T00:00:00"/>
    <x v="1"/>
    <s v="ΔΙΕΥΘΥΝΣΗ Π.Ε. Δ΄ ΑΘΗΝΑΣ"/>
    <x v="5"/>
  </r>
  <r>
    <x v="4208"/>
    <x v="1"/>
    <s v="ΠΕ70"/>
    <s v="ΔΑΣΚΑΛΟΙ"/>
    <m/>
    <m/>
    <s v="Γ΄"/>
    <n v="7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10-26T00:00:00"/>
    <x v="1"/>
    <s v="ΔΙΕΥΘΥΝΣΗ Π.Ε. Β΄ ΑΘΗΝΑΣ"/>
    <x v="5"/>
  </r>
  <r>
    <x v="4209"/>
    <x v="0"/>
    <s v="ΠΕ04.01"/>
    <s v="ΦΥΣΙΚΟΙ"/>
    <m/>
    <m/>
    <s v="Α΄"/>
    <n v="1"/>
    <m/>
    <m/>
    <s v="Α΄ ΔΩΔΕΚΑΝΗΣΟΥ (Δ.Ε.) 2018"/>
    <s v="ΔΙΕΥΘΥΝΣΗ Δ.Ε. ΔΩΔΕΚΑΝΗΣΟΥ"/>
    <s v="ΠΕΡΙΦΕΡΕΙΑΚΗ Δ/ΝΣΗ Α/ΘΜΙΑΣ ΚΑΙ Β/ΘΜΙΑΣ ΕΚΠ/ΣΗΣ ΝΟΤΙΟΥ ΑΙΓΑΙΟΥ"/>
    <n v="23"/>
    <m/>
    <s v="Ιδιωτικά Σχολεία"/>
    <x v="2"/>
    <s v="1060001"/>
    <s v="ΙΔΙΩΤΙΚΟ ΓΥΜΝΑΣΙΟ - ΕΚΠΑΙΔΕΥΤΗΡΙΑ ΡΟΔΟΥ ΠΥΘΑΓΟΡΑΣ"/>
    <s v="Α΄ ΔΩΔΕΚΑΝΗΣΟΥ (Δ.Ε.) 2018"/>
    <s v="ΔΙΕΥΘΥΝΣΗ Δ.Ε. ΔΩΔΕΚΑΝΗΣΟΥ"/>
    <s v="ΠΕΡΙΦΕΡΕΙΑΚΗ Δ/ΝΣΗ Α/ΘΜΙΑΣ ΚΑΙ Β/ΘΜΙΑΣ ΕΚΠ/ΣΗΣ ΝΟΤΙΟΥ ΑΙΓΑΙΟΥ"/>
    <x v="1"/>
    <s v="Τοποθέτηση σε Ιδιωτική Εκπαίδευση"/>
    <d v="1964-04-25T00:00:00"/>
    <x v="0"/>
    <s v="ΔΙΕΥΘΥΝΣΗ Δ.Ε. ΔΩΔΕΚΑΝΗΣΟΥ"/>
    <x v="5"/>
  </r>
  <r>
    <x v="4210"/>
    <x v="1"/>
    <s v="ΠΕ07"/>
    <s v="ΓΕΡΜΑΝ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3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4-04-21T00:00:00"/>
    <x v="1"/>
    <s v="ΔΙΕΥΘΥΝΣΗ Π.Ε. Δ΄ ΑΘΗΝΑΣ"/>
    <x v="5"/>
  </r>
  <r>
    <x v="4211"/>
    <x v="0"/>
    <s v="ΠΕ79.01"/>
    <s v="ΜΟΥΣΙΚΗΣ ΕΠΙΣΤΗΜΗΣ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3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64-03-14T00:00:00"/>
    <x v="1"/>
    <s v="ΔΙΕΥΘΥΝΣΗ Π.Ε. ΔΩΔΕΚΑΝΗΣΟΥ"/>
    <x v="5"/>
  </r>
  <r>
    <x v="4212"/>
    <x v="0"/>
    <s v="ΠΕ04.01"/>
    <s v="ΦΥΣΙΚΟΙ"/>
    <m/>
    <m/>
    <s v="Γ΄"/>
    <n v="1"/>
    <s v="ΨΝΧΣ4653ΠΣ-Ξ9Υ/66ΨΞ4653ΠΣ-98Ω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62-11-17T00:00:00"/>
    <x v="0"/>
    <s v="ΔΙΕΥΘΥΝΣΗ Δ.Ε. Β΄ ΑΘΗΝΑΣ"/>
    <x v="5"/>
  </r>
  <r>
    <x v="4213"/>
    <x v="0"/>
    <s v="ΠΕ70"/>
    <s v="ΔΑΣΚΑΛΟΙ"/>
    <m/>
    <m/>
    <s v="Γ΄"/>
    <n v="1"/>
    <s v="3452/16-10-09"/>
    <d v="2018-09-01T00:00:00"/>
    <s v="Β΄ ΑΘΗΝΑΣ (Π.Ε.) 2018"/>
    <s v="ΔΙΕΥΘΥΝΣΗ Π.Ε. Β΄ ΑΘΗΝΑΣ"/>
    <s v="ΠΕΡΙΦΕΡΕΙΑΚΗ Δ/ΝΣΗ Α/ΘΜΙΑΣ ΚΑΙ Β/ΘΜΙΑΣ ΕΚΠ/ΣΗΣ ΑΤΤΙΚΗΣ"/>
    <n v="23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2-08-10T00:00:00"/>
    <x v="1"/>
    <s v="ΔΙΕΥΘΥΝΣΗ Π.Ε. Β΄ ΑΘΗΝΑΣ"/>
    <x v="5"/>
  </r>
  <r>
    <x v="4214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59-12-23T00:00:00"/>
    <x v="0"/>
    <s v="ΔΙΕΥΘΥΝΣΗ Δ.Ε. Β΄ ΑΘΗΝΑΣ"/>
    <x v="5"/>
  </r>
  <r>
    <x v="4215"/>
    <x v="0"/>
    <s v="ΠΕ79.01"/>
    <s v="ΜΟΥΣΙΚΗΣ ΕΠΙΣΤΗΜΗΣ"/>
    <m/>
    <m/>
    <s v="Α΄"/>
    <n v="7"/>
    <s v="5620β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3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59-10-12T00:00:00"/>
    <x v="1"/>
    <s v="ΔΙΕΥΘΥΝΣΗ Π.Ε. ΑΝΑΤΟΛΙΚΗΣ ΑΤΤΙΚΗΣ"/>
    <x v="5"/>
  </r>
  <r>
    <x v="4216"/>
    <x v="1"/>
    <s v="ΠΕ08"/>
    <s v="ΚΑΛΛΙΤΕΧΝΙΚΩΝ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3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58-04-23T00:00:00"/>
    <x v="0"/>
    <s v="ΔΙΕΥΘΥΝΣΗ Δ.Ε. Δ΄ ΑΘΗΝΑΣ"/>
    <x v="5"/>
  </r>
  <r>
    <x v="4217"/>
    <x v="0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05-20T00:00:00"/>
    <x v="0"/>
    <s v="ΔΙΕΥΘΥΝΣΗ Δ.Ε. Β΄ ΑΘΗΝΑΣ"/>
    <x v="5"/>
  </r>
  <r>
    <x v="4218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899-12-31T00:00:00"/>
    <x v="0"/>
    <s v="ΔΙΕΥΘΥΝΣΗ Δ.Ε. Β΄ ΑΘΗΝΑΣ"/>
    <x v="5"/>
  </r>
  <r>
    <x v="4219"/>
    <x v="1"/>
    <s v="ΠΕ11"/>
    <s v="ΦΥΣΙΚΗΣ ΑΓΩΓΗΣ"/>
    <m/>
    <m/>
    <s v="Γ΄"/>
    <n v="1"/>
    <s v="Β2ΙΕ9-ΥΥΕ"/>
    <d v="2014-09-18T00:00:00"/>
    <s v="Α΄ ΑΘΗΝΑΣ (Π.Ε.) 2018"/>
    <s v="ΔΙΕΥΘΥΝΣΗ Π.Ε. Α΄ ΑΘΗΝΑΣ"/>
    <s v="ΠΕΡΙΦΕΡΕΙΑΚΗ Δ/ΝΣΗ Α/ΘΜΙΑΣ ΚΑΙ Β/ΘΜΙΑΣ ΕΚΠ/ΣΗΣ ΑΤΤΙΚΗΣ"/>
    <n v="23"/>
    <d v="2014-09-18T00:00:00"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899-12-31T00:00:00"/>
    <x v="1"/>
    <s v="ΔΙΕΥΘΥΝΣΗ Π.Ε. Α΄ ΑΘΗΝΑΣ"/>
    <x v="5"/>
  </r>
  <r>
    <x v="4220"/>
    <x v="1"/>
    <s v="ΠΕ03"/>
    <s v="ΜΑΘΗΜΑΤΙΚΟΙ"/>
    <m/>
    <m/>
    <s v="Γ΄"/>
    <n v="1"/>
    <n v="19614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3"/>
    <d v="2018-11-08T00:00:00"/>
    <s v="Ιδιωτικά Σχολεία"/>
    <x v="2"/>
    <s v="0560042"/>
    <s v="ST. LAWRENCE COLLEGE (ΓΥΜΝΑΣ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4221"/>
    <x v="0"/>
    <s v="ΠΕ04.01"/>
    <s v="ΦΥΣΙΚΟΙ"/>
    <m/>
    <m/>
    <s v="Γ΄"/>
    <n v="1"/>
    <n v="18994"/>
    <d v="2018-11-07T00:00:00"/>
    <s v="Α΄ ΑΝΑΤ. ΑΤΤΙΚΗΣ (Δ.Ε.) 2018"/>
    <s v="ΔΙΕΥΘΥΝΣΗ Δ.Ε. ΑΝΑΤΟΛΙΚΗΣ ΑΤΤΙΚΗΣ"/>
    <s v="ΠΕΡΙΦΕΡΕΙΑΚΗ Δ/ΝΣΗ Α/ΘΜΙΑΣ ΚΑΙ Β/ΘΜΙΑΣ ΕΚΠ/ΣΗΣ ΑΤΤΙΚΗΣ"/>
    <n v="23"/>
    <d v="2018-11-07T00:00:00"/>
    <s v="Ιδιωτικά Σχολεία"/>
    <x v="2"/>
    <s v="0560042"/>
    <s v="ST. LAWRENCE COLLEGE (ΓΥΜΝΑΣΙΟ)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m/>
    <x v="0"/>
    <s v="ΔΙΕΥΘΥΝΣΗ Δ.Ε. ΑΝΑΤΟΛΙΚΗΣ ΑΤΤΙΚΗΣ"/>
    <x v="5"/>
  </r>
  <r>
    <x v="4222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4223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80250"/>
    <s v="ΙΔΙΩΤΙΚΟ ΗΜΕΡΗΣΙΟ ΛΥΚΕ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4224"/>
    <x v="1"/>
    <s v="ΠΕ04.02"/>
    <s v="ΧΗΜ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4225"/>
    <x v="1"/>
    <s v="ΠΕ40"/>
    <s v="ΙΣΠΑΝ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3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4226"/>
    <x v="1"/>
    <s v="ΠΕ03"/>
    <s v="ΜΑΘΗΜΑΤΙΚΟΙ"/>
    <m/>
    <m/>
    <s v="Γ΄"/>
    <n v="1"/>
    <n v="19620"/>
    <d v="2018-11-08T00:00:00"/>
    <s v="Α΄ ΑΝΑΤ. ΑΤΤΙΚΗΣ (Δ.Ε.) 2018"/>
    <s v="ΔΙΕΥΘΥΝΣΗ Δ.Ε. ΑΝΑΤΟΛΙΚΗΣ ΑΤΤΙΚΗΣ"/>
    <s v="ΠΕΡΙΦΕΡΕΙΑΚΗ Δ/ΝΣΗ Α/ΘΜΙΑΣ ΚΑΙ Β/ΘΜΙΑΣ ΕΚΠ/ΣΗΣ ΑΤΤΙΚΗΣ"/>
    <n v="23"/>
    <d v="2018-11-08T00:00:00"/>
    <s v="Ιδιωτικά Σχολεία"/>
    <x v="3"/>
    <s v="0561031"/>
    <s v="ST. LAWRENCE COLLEGE (ΛΥΚΕΙΟ)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4227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4228"/>
    <x v="0"/>
    <s v="ΠΕ81"/>
    <s v="ΠΟΛ.ΜΗΧΑΝΙΚΩΝ-ΑΡΧΙΤΕΚΤΟΝ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29"/>
    <x v="1"/>
    <s v="ΠΕ08"/>
    <s v="ΚΑΛΛΙΤΕΧΝΙΚ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61022"/>
    <s v="ΙΔΙΩΤΙΚΟ ΓΥΜΝΑΣΙΟ - ΙΟΝΙΟΣ ΣΧΟΛΗ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30"/>
    <x v="0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31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32"/>
    <x v="1"/>
    <s v="ΠΕ02"/>
    <s v="ΦΙΛΟΛΟΓΟΙ"/>
    <m/>
    <m/>
    <s v="Γ΄"/>
    <n v="1"/>
    <s v="ΒΛΕΖ9-ΤΣΗ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6"/>
    <s v="ΙΔΙΩΤΙΚΟ ΓΕΝΙΚΟ ΛΥΚΕΙΟ ΚΟΛΛΕΓΙΟΥ ΨΥΧΙΚΟΥ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4233"/>
    <x v="0"/>
    <s v="ΠΕ08"/>
    <s v="ΚΑΛΛΙΤΕΧΝΙΚΩΝ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34"/>
    <x v="0"/>
    <s v="ΠΕ03"/>
    <s v="ΜΑΘΗΜΑΤ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35"/>
    <x v="0"/>
    <s v="ΠΕ04.01"/>
    <s v="ΦΥΣΙΚ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3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4236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3"/>
    <m/>
    <s v="Ιδιωτικά Σχολεία"/>
    <x v="3"/>
    <s v="0580207"/>
    <s v="ΙΔΙΩΤΙΚΟ-ΙΣΟΤΙΜΟ ΛΥΚΕΙΟ-ΚΟΛΛΕΓΙΟ ΑΘΗΝΩΝ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4237"/>
    <x v="1"/>
    <s v="ΠΕ03"/>
    <s v="ΜΑΘΗΜΑΤ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3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5"/>
  </r>
  <r>
    <x v="4238"/>
    <x v="1"/>
    <s v="ΠΕ02"/>
    <s v="ΦΙΛΟΛΟΓΟΙ"/>
    <m/>
    <m/>
    <s v="Γ΄"/>
    <n v="1"/>
    <s v="16653/44"/>
    <d v="2018-09-01T00:00:00"/>
    <s v="Γ΄ ΑΘΗΝΑΣ (Δ.Ε.) 2018"/>
    <s v="ΔΙΕΥΘΥΝΣΗ Δ.Ε. Γ΄ ΑΘΗΝΑΣ"/>
    <s v="ΠΕΡΙΦΕΡΕΙΑΚΗ Δ/ΝΣΗ Α/ΘΜΙΑΣ ΚΑΙ Β/ΘΜΙΑΣ ΕΚΠ/ΣΗΣ ΑΤΤΙΚΗΣ"/>
    <n v="23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Γ΄ ΑΘΗΝΑΣ"/>
    <x v="5"/>
  </r>
  <r>
    <x v="4239"/>
    <x v="0"/>
    <s v="ΠΕ04.01"/>
    <s v="ΦΥΣΙΚΟΙ"/>
    <m/>
    <m/>
    <s v="Γ΄"/>
    <n v="1"/>
    <s v="16653/46"/>
    <d v="2018-09-01T00:00:00"/>
    <s v="Γ΄ ΑΘΗΝΑΣ (Δ.Ε.) 2018"/>
    <s v="ΔΙΕΥΘΥΝΣΗ Δ.Ε. Γ΄ ΑΘΗΝΑΣ"/>
    <s v="ΠΕΡΙΦΕΡΕΙΑΚΗ Δ/ΝΣΗ Α/ΘΜΙΑΣ ΚΑΙ Β/ΘΜΙΑΣ ΕΚΠ/ΣΗΣ ΑΤΤΙΚΗΣ"/>
    <n v="23"/>
    <d v="2018-09-01T00:00:00"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Γ΄ ΑΘΗΝΑΣ"/>
    <x v="5"/>
  </r>
  <r>
    <x v="4240"/>
    <x v="0"/>
    <s v="ΠΕ03"/>
    <s v="ΜΑΘΗΜΑΤΙΚΟΙ"/>
    <m/>
    <m/>
    <s v="Γ΄"/>
    <n v="1"/>
    <s v="16635/30"/>
    <d v="2018-09-01T00:00:00"/>
    <s v="Γ΄ ΑΘΗΝΑΣ (Δ.Ε.) 2018"/>
    <s v="ΔΙΕΥΘΥΝΣΗ Δ.Ε. Γ΄ ΑΘΗΝΑΣ"/>
    <s v="ΠΕΡΙΦΕΡΕΙΑΚΗ Δ/ΝΣΗ Α/ΘΜΙΑΣ ΚΑΙ Β/ΘΜΙΑΣ ΕΚΠ/ΣΗΣ ΑΤΤΙΚΗΣ"/>
    <n v="23"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Γ΄ ΑΘΗΝΑΣ"/>
    <x v="5"/>
  </r>
  <r>
    <x v="4241"/>
    <x v="0"/>
    <s v="ΠΕ04.01"/>
    <s v="ΦΥΣΙΚΟΙ"/>
    <m/>
    <m/>
    <s v="Γ΄"/>
    <n v="1"/>
    <n v="15011"/>
    <d v="2018-09-03T00:00:00"/>
    <s v="Δ΄ ΑΘΗΝΑΣ (Δ.Ε.) 2018"/>
    <s v="ΔΙΕΥΘΥΝΣΗ Δ.Ε. Δ΄ ΑΘΗΝΑΣ"/>
    <s v="ΠΕΡΙΦΕΡΕΙΑΚΗ Δ/ΝΣΗ Α/ΘΜΙΑΣ ΚΑΙ Β/ΘΜΙΑΣ ΕΚΠ/ΣΗΣ ΑΤΤΙΚΗΣ"/>
    <n v="23"/>
    <d v="2018-09-03T00:00:00"/>
    <s v="Ιδιωτικά Σχολεία"/>
    <x v="3"/>
    <s v="0580155"/>
    <s v="ΙΔΙΩΤΙΚΟ ΓΕNIKO ΛΥΚΕΙΟ «ΣΧΟΛΗ ΞΕΝΟΠΟΥΛΟΥ»"/>
    <s v="Δ΄ ΑΘΗΝΑΣ (Δ.Ε.) 2018"/>
    <s v="ΔΙΕΥΘΥΝΣΗ Δ.Ε. Δ΄ ΑΘΗΝΑΣ"/>
    <s v="ΠΕΡΙΦΕΡΕΙΑΚΗ Δ/ΝΣΗ Α/ΘΜΙΑΣ ΚΑΙ Β/ΘΜΙΑΣ ΕΚΠ/ΣΗΣ ΑΤΤΙΚΗΣ"/>
    <x v="2"/>
    <s v="Τοποθέτηση σε Ιδιωτική Εκπαίδευση"/>
    <m/>
    <x v="0"/>
    <s v="ΔΙΕΥΘΥΝΣΗ Δ.Ε. Δ΄ ΑΘΗΝΑΣ"/>
    <x v="5"/>
  </r>
  <r>
    <x v="4242"/>
    <x v="1"/>
    <s v="ΠΕ06"/>
    <s v="ΑΓΓ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m/>
    <x v="1"/>
    <s v="ΔΙΕΥΘΥΝΣΗ Π.Ε. Α΄ ΑΘΗΝΑΣ"/>
    <x v="5"/>
  </r>
  <r>
    <x v="4243"/>
    <x v="0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3"/>
    <m/>
    <s v="Ιδιωτικά Σχολεία"/>
    <x v="4"/>
    <s v="7051002"/>
    <s v="ΙΔΙΩΤΙΚΟ ΔΗΜΟΤΙΚΟ ΚΟΛΩΝΟΣ -ΑΘΗΝΑ - ΛΑΚΩΝΙΚΗ ΣΧΟΛΗ Ι.Π.Σ. ΦΡΑΓΚΗ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Α΄ ΑΘΗΝΑΣ"/>
    <x v="5"/>
  </r>
  <r>
    <x v="4244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4245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4246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4247"/>
    <x v="1"/>
    <s v="ΠΕ08"/>
    <s v="ΚΑΛΛΙΤΕΧΝΙΚΩΝ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4248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3"/>
    <m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m/>
    <x v="1"/>
    <s v="ΔΙΕΥΘΥΝΣΗ Π.Ε. ΑΝΑΤΟΛΙΚΗΣ ΑΤΤΙΚΗΣ"/>
    <x v="5"/>
  </r>
  <r>
    <x v="424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425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3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4251"/>
    <x v="1"/>
    <s v="ΠΕ06"/>
    <s v="ΑΓΓΛΙΚΗΣ ΦΙΛΟΛΟΓΙΑΣ"/>
    <m/>
    <m/>
    <s v="Γ΄"/>
    <n v="1"/>
    <n v="19684"/>
    <d v="2017-09-01T00:00:00"/>
    <s v="Δ΄ ΑΘΗΝΑΣ (Π.Ε.) 2018"/>
    <s v="ΔΙΕΥΘΥΝΣΗ Π.Ε. Δ΄ ΑΘΗΝΑΣ"/>
    <s v="ΠΕΡΙΦΕΡΕΙΑΚΗ Δ/ΝΣΗ Α/ΘΜΙΑΣ ΚΑΙ Β/ΘΜΙΑΣ ΕΚΠ/ΣΗΣ ΑΤΤΙΚΗΣ"/>
    <n v="23"/>
    <d v="2017-09-01T00:00:00"/>
    <s v="Ιδιωτικά Σχολεία"/>
    <x v="4"/>
    <s v="7054018"/>
    <s v="ΙΔΙΩΤΙΚΟ ΔΗΜΟΤΙΚΟ - ΕΥΡΩΠΑΪΚΟ ΠΡΟΤΥΠ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m/>
    <x v="1"/>
    <s v="ΔΙΕΥΘΥΝΣΗ Π.Ε. Δ΄ ΑΘΗΝΑΣ"/>
    <x v="5"/>
  </r>
  <r>
    <x v="4252"/>
    <x v="0"/>
    <s v="ΠΕ11"/>
    <s v="ΦΥΣΙΚΗΣ ΑΓΩΓΗΣ"/>
    <m/>
    <m/>
    <s v="Γ΄"/>
    <n v="1"/>
    <s v="8247/24-11-2006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s v="Ιδιωτικά Σχολεία"/>
    <x v="3"/>
    <s v="1980080"/>
    <s v="Ιδιωτικό Λύκειο - ΕΚΠΑΙΔΕΥΤΗΡΙΑ Ε. ΜΑΝΤΟΥΛΙΔΗ Α.Ε.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5"/>
  </r>
  <r>
    <x v="4253"/>
    <x v="0"/>
    <s v="ΠΕ04.02"/>
    <s v="ΧΗΜΙΚΟΙ"/>
    <m/>
    <m/>
    <s v="Γ΄"/>
    <n v="1"/>
    <s v="7466/26-11-2001"/>
    <d v="2018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23"/>
    <d v="2018-09-01T00:00:00"/>
    <m/>
    <x v="6"/>
    <s v=""/>
    <m/>
    <m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5"/>
  </r>
  <r>
    <x v="4254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m/>
    <x v="1"/>
    <s v="ΔΙΕΥΘΥΝΣΗ Π.Ε. ΧΑΝΙΩΝ"/>
    <x v="5"/>
  </r>
  <r>
    <x v="4255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3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m/>
    <x v="1"/>
    <s v="ΔΙΕΥΘΥΝΣΗ Π.Ε. ΧΑΝΙΩΝ"/>
    <x v="5"/>
  </r>
  <r>
    <x v="4256"/>
    <x v="1"/>
    <s v="ΠΕ70"/>
    <s v="ΔΑΣΚΑΛ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3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m/>
    <x v="1"/>
    <s v="ΔΙΕΥΘΥΝΣΗ Π.Ε. ΑΡΓΟΛΙΔΑΣ"/>
    <x v="5"/>
  </r>
  <r>
    <x v="4257"/>
    <x v="1"/>
    <s v="ΠΕ70"/>
    <s v="ΔΑΣΚΑΛΟΙ"/>
    <m/>
    <m/>
    <s v="Β΄"/>
    <n v="2"/>
    <s v="20320/12-11-20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2018-09-01T00:00:00"/>
    <x v="1"/>
    <s v="ΔΙΕΥΘΥΝΣΗ Π.Ε. Δ΄ ΑΘΗΝΑΣ"/>
    <x v="5"/>
  </r>
  <r>
    <x v="4258"/>
    <x v="1"/>
    <s v="ΠΕ70"/>
    <s v="ΔΑΣΚΑΛΟΙ"/>
    <m/>
    <m/>
    <s v="Γ΄"/>
    <n v="1"/>
    <n v="1292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2018-09-01T00:00:00"/>
    <x v="1"/>
    <s v="ΔΙΕΥΘΥΝΣΗ Π.Ε. Δ΄ ΑΘΗΝΑΣ"/>
    <x v="5"/>
  </r>
  <r>
    <x v="4259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8-10-14T00:00:00"/>
    <x v="1"/>
    <s v="ΔΙΕΥΘΥΝΣΗ Π.Ε. ΧΑΝΙΩΝ"/>
    <x v="5"/>
  </r>
  <r>
    <x v="4260"/>
    <x v="1"/>
    <s v="ΠΕ70"/>
    <s v="ΔΑΣΚΑΛΟΙ"/>
    <m/>
    <m/>
    <s v="Β΄"/>
    <n v="3"/>
    <s v="14429/05-12-201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8-10-12T00:00:00"/>
    <x v="1"/>
    <s v="ΔΙΕΥΘΥΝΣΗ Π.Ε. Δ΄ ΑΘΗΝΑΣ"/>
    <x v="5"/>
  </r>
  <r>
    <x v="4261"/>
    <x v="1"/>
    <s v="ΠΕ60"/>
    <s v="ΝΗΠΙΑΓΩΓΟΙ"/>
    <m/>
    <m/>
    <s v="Γ΄"/>
    <n v="1"/>
    <d v="2016-10-0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05"/>
    <s v="ΙΔΙΩΤΙΚΟ ΝΗΠΙΑΓΩΓΕΙΟ ΘΕΣΣΑΛΟΝΙΚΗ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7-09-13T00:00:00"/>
    <x v="1"/>
    <s v="ΔΙΕΥΘΥΝΣΗ Π.Ε. ΑΝΑΤ. ΘΕΣ/ΝΙΚΗΣ"/>
    <x v="5"/>
  </r>
  <r>
    <x v="4262"/>
    <x v="1"/>
    <s v="ΠΕ70"/>
    <s v="ΔΑΣΚΑΛΟΙ"/>
    <m/>
    <m/>
    <s v="Γ΄"/>
    <n v="1"/>
    <s v="-"/>
    <d v="2018-09-01T00:00:00"/>
    <s v="Δ΄ ΚΥΚΛΑΔΩΝ (Π.Ε.) 2018"/>
    <s v="ΔΙΕΥΘΥΝΣΗ Π.Ε. ΚΥΚΛΑΔΩΝ"/>
    <s v="ΠΕΡΙΦΕΡΕΙΑΚΗ Δ/ΝΣΗ Α/ΘΜΙΑΣ ΚΑΙ Β/ΘΜΙΑΣ ΕΚΠ/ΣΗΣ ΝΟΤΙΟΥ ΑΙΓΑΙΟΥ"/>
    <n v="24"/>
    <d v="2018-09-01T00:00:00"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96-10-12T00:00:00"/>
    <x v="1"/>
    <s v="ΔΙΕΥΘΥΝΣΗ Π.Ε. ΚΥΚΛΑΔΩΝ"/>
    <x v="5"/>
  </r>
  <r>
    <x v="4263"/>
    <x v="1"/>
    <s v="ΠΕ70"/>
    <s v="ΔΑΣΚΑΛΟΙ"/>
    <m/>
    <m/>
    <s v="Γ΄"/>
    <n v="1"/>
    <s v="Φ.17.2/9296/26-9-2018"/>
    <d v="2018-09-11T00:00:00"/>
    <s v="Α΄ ΜΑΓΝΗΣΙΑΣ (Π.Ε.) 2018"/>
    <s v="ΔΙΕΥΘΥΝΣΗ Π.Ε. ΜΑΓΝΗΣΙΑΣ"/>
    <s v="ΠΕΡΙΦΕΡΕΙΑΚΗ Δ/ΝΣΗ Α/ΘΜΙΑΣ ΚΑΙ Β/ΘΜΙΑΣ ΕΚΠ/ΣΗΣ ΘΕΣΣΑΛΙΑΣ"/>
    <n v="24"/>
    <d v="2018-09-11T00:00:00"/>
    <s v="Ιδιωτικά Σχολεία"/>
    <x v="4"/>
    <s v="7351004"/>
    <s v="ΙΔΙΩΤΙΚΟ ΔΗΜΟΤΙΚΟ ΑΛΛΗ ΜΕΡΙΑ - ΑΞΙΟΝ ΕΣΤΙ"/>
    <s v="Α΄ ΜΑΓΝΗΣΙΑΣ (Π.Ε.) 2018"/>
    <s v="ΔΙΕΥΘΥΝΣΗ Π.Ε. ΜΑΓΝΗΣΙΑΣ"/>
    <s v="ΠΕΡΙΦΕΡΕΙΑΚΗ Δ/ΝΣΗ Α/ΘΜΙΑΣ ΚΑΙ Β/ΘΜΙΑΣ ΕΚΠ/ΣΗΣ ΘΕΣΣΑΛΙΑΣ"/>
    <x v="0"/>
    <s v="Τοποθέτηση σε Ιδιωτική Εκπαίδευση"/>
    <d v="1995-09-28T00:00:00"/>
    <x v="1"/>
    <s v="ΔΙΕΥΘΥΝΣΗ Π.Ε. ΜΑΓΝΗΣΙΑΣ"/>
    <x v="5"/>
  </r>
  <r>
    <x v="4264"/>
    <x v="1"/>
    <s v="ΠΕ60"/>
    <s v="ΝΗΠΙΑΓΩΓΟΙ"/>
    <m/>
    <m/>
    <s v="Γ΄"/>
    <n v="1"/>
    <s v="23915/01-10-2018"/>
    <d v="2018-09-1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12T00:00:00"/>
    <s v="Ιδιωτικά Σχολεία"/>
    <x v="1"/>
    <s v="7191065"/>
    <s v="ΙΔΙΩΤΙΚΟ ΝΗΠΙΑΓΩΓΕΙΟ ΘΕΣΣΑΛΟΝΙΚΗ - ΠΡΟΣΧΟΛΙΚΗ ΑΚΑΔΗΜΙΑ ΤΕΡΤΙΡΟΠΟΥΛΟΣ- ΣΠΑΝ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5-08-18T00:00:00"/>
    <x v="1"/>
    <s v="ΔΙΕΥΘΥΝΣΗ Π.Ε. ΑΝΑΤ. ΘΕΣ/ΝΙΚΗΣ"/>
    <x v="5"/>
  </r>
  <r>
    <x v="4265"/>
    <x v="1"/>
    <s v="ΠΕ70"/>
    <s v="ΔΑΣΚΑΛΟΙ"/>
    <m/>
    <m/>
    <s v="Γ΄"/>
    <n v="1"/>
    <n v="23355"/>
    <d v="2018-11-13T00:00:00"/>
    <s v="Α΄ ΠΕΙΡΑΙΑ (Π.Ε.) 2018"/>
    <s v="ΔΙΕΥΘΥΝΣΗ Π.Ε. ΠΕΙΡΑΙΑ"/>
    <s v="ΠΕΡΙΦΕΡΕΙΑΚΗ Δ/ΝΣΗ Α/ΘΜΙΑΣ ΚΑΙ Β/ΘΜΙΑΣ ΕΚΠ/ΣΗΣ ΑΤΤΙΚΗΣ"/>
    <n v="24"/>
    <d v="2018-11-13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5-08-02T00:00:00"/>
    <x v="1"/>
    <s v="ΔΙΕΥΘΥΝΣΗ Π.Ε. ΠΕΙΡΑΙΑ"/>
    <x v="5"/>
  </r>
  <r>
    <x v="4266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25"/>
    <s v="ΣΥΣΤΕΓΑΖΟΜΕΝΟ ΝΗΠΙΑΓΩΓΕΙΟ - Α. ΚΟΜΝΗΝΟΥ - Δ. ΜΠΡΟΥΣΚΟΣ Ο.Ε.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5-06-25T00:00:00"/>
    <x v="1"/>
    <s v="ΔΙΕΥΘΥΝΣΗ Π.Ε. Β΄ ΑΘΗΝΑΣ"/>
    <x v="5"/>
  </r>
  <r>
    <x v="4267"/>
    <x v="1"/>
    <s v="ΠΕ70"/>
    <s v="ΔΑΣΚΑΛΟΙ"/>
    <m/>
    <m/>
    <s v="Γ΄"/>
    <n v="1"/>
    <n v="19058"/>
    <d v="2018-10-04T00:00:00"/>
    <s v="Α΄ ΠΕΙΡΑΙΑ (Π.Ε.) 2018"/>
    <s v="ΔΙΕΥΘΥΝΣΗ Π.Ε. ΠΕΙΡΑΙΑ"/>
    <s v="ΠΕΡΙΦΕΡΕΙΑΚΗ Δ/ΝΣΗ Α/ΘΜΙΑΣ ΚΑΙ Β/ΘΜΙΑΣ ΕΚΠ/ΣΗΣ ΑΤΤΙΚΗΣ"/>
    <n v="24"/>
    <d v="2018-10-04T00:00:00"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5-05-12T00:00:00"/>
    <x v="1"/>
    <s v="ΔΙΕΥΘΥΝΣΗ Π.Ε. ΠΕΙΡΑΙΑ"/>
    <x v="5"/>
  </r>
  <r>
    <x v="4268"/>
    <x v="1"/>
    <s v="ΠΕ70"/>
    <s v="ΔΑΣΚΑΛΟΙ"/>
    <m/>
    <m/>
    <s v="Γ΄"/>
    <n v="1"/>
    <n v="6808"/>
    <d v="2018-09-17T00:00:00"/>
    <s v="ΛΑΡΙΣΑΣ (Π.Ε.) 2018"/>
    <s v="ΔΙΕΥΘΥΝΣΗ Π.Ε. ΛΑΡΙΣΑΣ"/>
    <s v="ΠΕΡΙΦΕΡΕΙΑΚΗ Δ/ΝΣΗ Α/ΘΜΙΑΣ ΚΑΙ Β/ΘΜΙΑΣ ΕΚΠ/ΣΗΣ ΘΕΣΣΑΛΙΑΣ"/>
    <n v="24"/>
    <d v="2018-09-17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2"/>
    <s v="Τοποθέτηση σε Ιδιωτική Εκπαίδευση"/>
    <d v="1995-02-20T00:00:00"/>
    <x v="1"/>
    <s v="ΔΙΕΥΘΥΝΣΗ Π.Ε. ΛΑΡΙΣΑΣ"/>
    <x v="5"/>
  </r>
  <r>
    <x v="4269"/>
    <x v="1"/>
    <s v="ΠΕ70"/>
    <s v="ΔΑΣΚΑΛΟΙ"/>
    <m/>
    <m/>
    <s v="Γ΄"/>
    <n v="1"/>
    <n v="20318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5-02-16T00:00:00"/>
    <x v="1"/>
    <s v="ΔΙΕΥΘΥΝΣΗ Π.Ε. ΠΕΙΡΑΙΑ"/>
    <x v="5"/>
  </r>
  <r>
    <x v="4270"/>
    <x v="1"/>
    <s v="ΠΕ60"/>
    <s v="ΝΗΠΙΑΓΩΓΟΙ"/>
    <m/>
    <m/>
    <s v="Γ΄"/>
    <n v="1"/>
    <s v="26094/17-10-2018"/>
    <d v="2018-10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10-01T00:00:00"/>
    <s v="Ιδιωτικά Σχολεία"/>
    <x v="1"/>
    <s v="7191055"/>
    <s v="1ο ΙΔΙΩΤΙΚΟ ΝΗΠΙΑΓΩΓΕΙΟ ΘΕΣΣΑΛΟΝΙΚΗ - ΡΕΒΙΘΟΥΛ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5-01-25T00:00:00"/>
    <x v="1"/>
    <s v="ΔΙΕΥΘΥΝΣΗ Π.Ε. ΑΝΑΤ. ΘΕΣ/ΝΙΚΗΣ"/>
    <x v="5"/>
  </r>
  <r>
    <x v="4271"/>
    <x v="1"/>
    <s v="ΠΕ70"/>
    <s v="ΔΑΣΚΑΛΟΙ"/>
    <m/>
    <m/>
    <s v="Γ΄"/>
    <n v="1"/>
    <s v="6954/1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d v="2018-09-25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95-01-06T00:00:00"/>
    <x v="1"/>
    <s v="ΔΙΕΥΘΥΝΣΗ Π.Ε. ΞΑΝΘΗΣ"/>
    <x v="5"/>
  </r>
  <r>
    <x v="4272"/>
    <x v="1"/>
    <s v="ΠΕ70"/>
    <s v="ΔΑΣΚΑΛΟΙ"/>
    <m/>
    <m/>
    <s v="Γ΄"/>
    <n v="1"/>
    <s v="Φ.17/3557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4-11-22T00:00:00"/>
    <x v="1"/>
    <s v="ΔΙΕΥΘΥΝΣΗ Π.Ε. ΚΟΡΙΝΘΙΑΣ"/>
    <x v="5"/>
  </r>
  <r>
    <x v="4273"/>
    <x v="1"/>
    <s v="ΠΕ60"/>
    <s v="ΝΗΠΙΑΓΩΓΟΙ"/>
    <m/>
    <m/>
    <s v="Γ΄"/>
    <n v="1"/>
    <s v="6815/20-03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15"/>
    <s v="Ιδιωτικό Νηπιαγωγείο Καραμελίτσα 2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4-11-08T00:00:00"/>
    <x v="1"/>
    <s v="ΔΙΕΥΘΥΝΣΗ Π.Ε. ΑΝΑΤ. ΘΕΣ/ΝΙΚΗΣ"/>
    <x v="5"/>
  </r>
  <r>
    <x v="4274"/>
    <x v="1"/>
    <s v="ΠΕ11"/>
    <s v="ΦΥΣΙΚΗΣ ΑΓΩΓΗΣ"/>
    <m/>
    <m/>
    <s v="Γ΄"/>
    <n v="1"/>
    <n v="28476"/>
    <d v="2018-10-3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10-30T00:00:00"/>
    <s v="Ιδιωτικά Σχολεία"/>
    <x v="4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4-09-14T00:00:00"/>
    <x v="1"/>
    <s v="ΔΙΕΥΘΥΝΣΗ Π.Ε. ΑΝΑΤ. ΘΕΣ/ΝΙΚΗΣ"/>
    <x v="5"/>
  </r>
  <r>
    <x v="4275"/>
    <x v="1"/>
    <s v="ΠΕ70"/>
    <s v="ΔΑΣΚΑΛΟΙ"/>
    <m/>
    <m/>
    <s v="Γ΄"/>
    <n v="1"/>
    <s v="Φ.17/3786"/>
    <d v="2018-09-17T00:00:00"/>
    <s v="ΚΟΡΙΝΘΙΑΣ (Π.Ε.) 2018"/>
    <s v="ΔΙΕΥΘΥΝΣΗ Π.Ε. ΚΟΡΙΝΘΙΑΣ"/>
    <s v="ΠΕΡΙΦΕΡΕΙΑΚΗ Δ/ΝΣΗ Α/ΘΜΙΑΣ ΚΑΙ Β/ΘΜΙΑΣ ΕΚΠ/ΣΗΣ ΠΕΛΟΠΟΝΝΗΣΟΥ"/>
    <n v="24"/>
    <d v="2018-09-17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4-08-05T00:00:00"/>
    <x v="1"/>
    <s v="ΔΙΕΥΘΥΝΣΗ Π.Ε. ΚΟΡΙΝΘΙΑΣ"/>
    <x v="5"/>
  </r>
  <r>
    <x v="4276"/>
    <x v="1"/>
    <s v="ΠΕ70"/>
    <s v="ΔΑΣΚΑΛΟΙ"/>
    <m/>
    <m/>
    <s v="Γ΄"/>
    <n v="1"/>
    <s v="Φ.17/5756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4-06-14T00:00:00"/>
    <x v="1"/>
    <s v="ΔΙΕΥΘΥΝΣΗ Π.Ε. ΚΟΡΙΝΘΙΑΣ"/>
    <x v="5"/>
  </r>
  <r>
    <x v="4277"/>
    <x v="1"/>
    <s v="ΠΕ70"/>
    <s v="ΔΑΣΚΑΛΟΙ"/>
    <m/>
    <m/>
    <s v="Γ΄"/>
    <n v="1"/>
    <s v="170/6362/26-7-2018"/>
    <d v="2018-09-11T00:00:00"/>
    <s v="Β΄ ΑΘΗΝΑΣ (Π.Ε.) 2018"/>
    <s v="ΔΙΕΥΘΥΝΣΗ Π.Ε. Β΄ ΑΘΗΝΑΣ"/>
    <s v="ΠΕΡΙΦΕΡΕΙΑΚΗ Δ/ΝΣΗ Α/ΘΜΙΑΣ ΚΑΙ Β/ΘΜΙΑΣ ΕΚΠ/ΣΗΣ ΑΤΤΙΚΗΣ"/>
    <n v="24"/>
    <d v="2018-09-11T00:00:00"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4-05-20T00:00:00"/>
    <x v="1"/>
    <s v="ΔΙΕΥΘΥΝΣΗ Π.Ε. Β΄ ΑΘΗΝΑΣ"/>
    <x v="5"/>
  </r>
  <r>
    <x v="4278"/>
    <x v="1"/>
    <s v="ΠΕ70"/>
    <s v="ΔΑΣΚΑΛΟΙ"/>
    <m/>
    <m/>
    <s v="Γ΄"/>
    <n v="1"/>
    <s v="Φ.17.2/9643/3-10-2018"/>
    <d v="2018-09-11T00:00:00"/>
    <s v="Α΄ ΜΑΓΝΗΣΙΑΣ (Π.Ε.) 2018"/>
    <s v="ΔΙΕΥΘΥΝΣΗ Π.Ε. ΜΑΓΝΗΣΙΑΣ"/>
    <s v="ΠΕΡΙΦΕΡΕΙΑΚΗ Δ/ΝΣΗ Α/ΘΜΙΑΣ ΚΑΙ Β/ΘΜΙΑΣ ΕΚΠ/ΣΗΣ ΘΕΣΣΑΛΙΑΣ"/>
    <n v="24"/>
    <d v="2018-09-11T00:00:00"/>
    <s v="Ιδιωτικά Σχολεία"/>
    <x v="4"/>
    <s v="7351004"/>
    <s v="ΙΔΙΩΤΙΚΟ ΔΗΜΟΤΙΚΟ ΑΛΛΗ ΜΕΡΙΑ - ΑΞΙΟΝ ΕΣΤΙ"/>
    <s v="Α΄ ΜΑΓΝΗΣΙΑΣ (Π.Ε.) 2018"/>
    <s v="ΔΙΕΥΘΥΝΣΗ Π.Ε. ΜΑΓΝΗΣΙΑΣ"/>
    <s v="ΠΕΡΙΦΕΡΕΙΑΚΗ Δ/ΝΣΗ Α/ΘΜΙΑΣ ΚΑΙ Β/ΘΜΙΑΣ ΕΚΠ/ΣΗΣ ΘΕΣΣΑΛΙΑΣ"/>
    <x v="0"/>
    <s v="Τοποθέτηση σε Ιδιωτική Εκπαίδευση"/>
    <d v="1994-03-29T00:00:00"/>
    <x v="1"/>
    <s v="ΔΙΕΥΘΥΝΣΗ Π.Ε. ΜΑΓΝΗΣΙΑΣ"/>
    <x v="5"/>
  </r>
  <r>
    <x v="4279"/>
    <x v="1"/>
    <s v="ΠΕ60"/>
    <s v="ΝΗΠΙΑΓΩΓΟΙ"/>
    <m/>
    <m/>
    <s v="Γ΄"/>
    <n v="1"/>
    <n v="1029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1"/>
    <s v="7311025"/>
    <s v="ΙΔΙΩΤΙΚΟ ΝΗΠΙΑΓΩΓΕΙΟ ΛΑΡΙΣΑ - ΜΑΛΑΧΤΑΡΗ ΔΡΑΚΟΥ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4-03-09T00:00:00"/>
    <x v="1"/>
    <s v="ΔΙΕΥΘΥΝΣΗ Π.Ε. ΛΑΡΙΣΑΣ"/>
    <x v="5"/>
  </r>
  <r>
    <x v="4280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2"/>
    <s v="Τοποθέτηση σε Ιδιωτική Εκπαίδευση"/>
    <d v="1994-01-02T00:00:00"/>
    <x v="0"/>
    <s v="ΔΙΕΥΘΥΝΣΗ Δ.Ε. Β΄ ΑΘΗΝΑΣ"/>
    <x v="5"/>
  </r>
  <r>
    <x v="4281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3-12-07T00:00:00"/>
    <x v="1"/>
    <s v="ΔΙΕΥΘΥΝΣΗ Π.Ε. Β΄ ΑΘΗΝΑΣ"/>
    <x v="5"/>
  </r>
  <r>
    <x v="4282"/>
    <x v="1"/>
    <s v="ΠΕ60"/>
    <s v="ΝΗΠΙΑΓΩΓΟΙ"/>
    <m/>
    <m/>
    <s v="Γ΄"/>
    <n v="1"/>
    <s v="30640/30-11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43"/>
    <s v="ΙΔΙΩΤΙΚΟ ΣΥΣΤΕΓΑΖΟΜΕΝΟ ΝΗΠΙΑΓΩΓΕΙΟ - ΦΥΤΟΥΛΗ ΧΑΪΔΩ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3-11-04T00:00:00"/>
    <x v="1"/>
    <s v="ΔΙΕΥΘΥΝΣΗ Π.Ε. ΑΝΑΤ. ΘΕΣ/ΝΙΚΗΣ"/>
    <x v="5"/>
  </r>
  <r>
    <x v="4283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60"/>
    <s v="ΙΔΙΩΤΙΚΟ ΔΗΜΟΤΙΚΟ ΣΧΟΛΕΙΟ - ΔΕΣ ΔΗΜΟΤΙΚΟ ΙΚΕ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93-11-03T00:00:00"/>
    <x v="1"/>
    <s v="ΔΙΕΥΘΥΝΣΗ Π.Ε. ΑΝΑΤΟΛΙΚΗΣ ΑΤΤΙΚΗΣ"/>
    <x v="5"/>
  </r>
  <r>
    <x v="4284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3-11-02T00:00:00"/>
    <x v="1"/>
    <s v="ΔΙΕΥΘΥΝΣΗ Π.Ε. Β΄ ΑΘΗΝΑΣ"/>
    <x v="5"/>
  </r>
  <r>
    <x v="4285"/>
    <x v="0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93-10-30T00:00:00"/>
    <x v="1"/>
    <s v="ΔΙΕΥΘΥΝΣΗ Π.Ε. ΑΙΤΩΛΟΑΚΑΡΝΑΝΙΑΣ"/>
    <x v="5"/>
  </r>
  <r>
    <x v="4286"/>
    <x v="1"/>
    <s v="ΠΕ70"/>
    <s v="ΔΑΣΚΑΛΟΙ"/>
    <m/>
    <m/>
    <s v="Γ΄"/>
    <n v="1"/>
    <n v="10849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6T00:00:00"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3-10-20T00:00:00"/>
    <x v="1"/>
    <s v="ΔΙΕΥΘΥΝΣΗ Π.Ε. ΔΥΤ. ΘΕΣ/ΝΙΚΗΣ"/>
    <x v="5"/>
  </r>
  <r>
    <x v="4287"/>
    <x v="1"/>
    <s v="ΠΕ70"/>
    <s v="ΔΑΣΚΑΛΟΙ"/>
    <m/>
    <m/>
    <s v="Γ΄"/>
    <n v="1"/>
    <n v="1311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d v="2018-09-25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93-10-14T00:00:00"/>
    <x v="1"/>
    <s v="ΔΙΕΥΘΥΝΣΗ Π.Ε. ΞΑΝΘΗΣ"/>
    <x v="5"/>
  </r>
  <r>
    <x v="4288"/>
    <x v="0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3-10-14T00:00:00"/>
    <x v="1"/>
    <s v="ΔΙΕΥΘΥΝΣΗ Π.Ε. Β΄ ΑΘΗΝΑΣ"/>
    <x v="5"/>
  </r>
  <r>
    <x v="4289"/>
    <x v="1"/>
    <s v="ΠΕ70"/>
    <s v="ΔΑΣΚΑΛΟΙ"/>
    <m/>
    <m/>
    <s v="Γ΄"/>
    <n v="1"/>
    <s v="Φ.17.2/7368"/>
    <d v="2018-09-01T00:00:00"/>
    <s v="ΧΑΝΙΩΝ (Π.Ε.) 2018"/>
    <s v="ΔΙΕΥΘΥΝΣΗ Π.Ε. ΧΑΝΙΩΝ"/>
    <s v="ΠΕΡΙΦΕΡΕΙΑΚΗ Δ/ΝΣΗ Α/ΘΜΙΑΣ ΚΑΙ Β/ΘΜΙΑΣ ΕΚΠ/ΣΗΣ ΚΡΗΤΗΣ"/>
    <n v="24"/>
    <d v="2018-09-01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3-10-13T00:00:00"/>
    <x v="1"/>
    <s v="ΔΙΕΥΘΥΝΣΗ Π.Ε. ΧΑΝΙΩΝ"/>
    <x v="5"/>
  </r>
  <r>
    <x v="4290"/>
    <x v="1"/>
    <s v="ΠΕ70"/>
    <s v="ΔΑΣΚΑΛΟΙ"/>
    <m/>
    <m/>
    <s v="Γ΄"/>
    <n v="1"/>
    <n v="677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3-10-10T00:00:00"/>
    <x v="1"/>
    <s v="ΔΙΕΥΘΥΝΣΗ Π.Ε. ΛΑΡΙΣΑΣ"/>
    <x v="5"/>
  </r>
  <r>
    <x v="4291"/>
    <x v="1"/>
    <s v="ΠΕ60"/>
    <s v="ΝΗΠΙΑΓΩΓΟΙ"/>
    <m/>
    <m/>
    <s v="Γ΄"/>
    <n v="1"/>
    <s v="23915/01-10-2018"/>
    <d v="2018-09-1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10T00:00:00"/>
    <s v="Ιδιωτικά Σχολεία"/>
    <x v="1"/>
    <s v="7191023"/>
    <s v="ΙΔΙΩΤΙΚΟ ΝΗΠΙΑΓΩΓΕΙΟ ΚΑΛΑΜΑΡΙΑ - Β. ΚΑΡΑΦΥΛΛΙΔΟΥ ΚΑΙ ΣΙΑ Ο.Ε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3-10-04T00:00:00"/>
    <x v="1"/>
    <s v="ΔΙΕΥΘΥΝΣΗ Π.Ε. ΑΝΑΤ. ΘΕΣ/ΝΙΚΗΣ"/>
    <x v="5"/>
  </r>
  <r>
    <x v="4292"/>
    <x v="1"/>
    <s v="ΠΕ70"/>
    <s v="ΔΑΣΚΑΛΟΙ"/>
    <m/>
    <m/>
    <s v="Γ΄"/>
    <n v="1"/>
    <d v="2018-09-06T00:00:00"/>
    <d v="2018-09-06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6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3-10-03T00:00:00"/>
    <x v="1"/>
    <s v="ΔΙΕΥΘΥΝΣΗ Π.Ε. ΑΝΑΤ. ΘΕΣ/ΝΙΚΗΣ"/>
    <x v="5"/>
  </r>
  <r>
    <x v="4293"/>
    <x v="1"/>
    <s v="ΠΕ70"/>
    <s v="ΔΑΣΚΑΛΟΙ"/>
    <m/>
    <m/>
    <s v="Γ΄"/>
    <n v="1"/>
    <n v="7464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3-08-25T00:00:00"/>
    <x v="1"/>
    <s v="ΔΙΕΥΘΥΝΣΗ Π.Ε. ΛΑΡΙΣΑΣ"/>
    <x v="5"/>
  </r>
  <r>
    <x v="4294"/>
    <x v="1"/>
    <s v="ΠΕ70"/>
    <s v="ΔΑΣΚΑΛΟΙ"/>
    <m/>
    <m/>
    <s v="Γ΄"/>
    <n v="1"/>
    <s v="6954/2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d v="2018-09-25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93-07-08T00:00:00"/>
    <x v="1"/>
    <s v="ΔΙΕΥΘΥΝΣΗ Π.Ε. ΞΑΝΘΗΣ"/>
    <x v="5"/>
  </r>
  <r>
    <x v="4295"/>
    <x v="1"/>
    <s v="ΠΕ70"/>
    <s v="ΔΑΣΚΑΛΟΙ"/>
    <m/>
    <m/>
    <s v="Γ΄"/>
    <n v="1"/>
    <n v="1125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8"/>
    <s v="ΙΔΙΩΤΙΚΟ ΔΗΜΟΤΙΚΟ - ΕΥΡΩΠΑΪΚΟ ΠΡΟΤΥΠ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3-06-22T00:00:00"/>
    <x v="1"/>
    <s v="ΔΙΕΥΘΥΝΣΗ Π.Ε. Δ΄ ΑΘΗΝΑΣ"/>
    <x v="5"/>
  </r>
  <r>
    <x v="4296"/>
    <x v="1"/>
    <s v="ΠΕ70"/>
    <s v="ΔΑΣΚΑΛΟΙ"/>
    <m/>
    <m/>
    <s v="Γ΄"/>
    <n v="1"/>
    <n v="4093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3-06-19T00:00:00"/>
    <x v="1"/>
    <s v="ΔΙΕΥΘΥΝΣΗ Π.Ε. ΠΕΙΡΑΙΑ"/>
    <x v="5"/>
  </r>
  <r>
    <x v="4297"/>
    <x v="0"/>
    <s v="ΠΕ70"/>
    <s v="ΔΑΣΚΑΛΟΙ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3-06-06T00:00:00"/>
    <x v="1"/>
    <s v="ΔΙΕΥΘΥΝΣΗ Π.Ε. ΑΝΑΤ. ΘΕΣ/ΝΙΚΗΣ"/>
    <x v="5"/>
  </r>
  <r>
    <x v="4298"/>
    <x v="1"/>
    <s v="ΠΕ70"/>
    <s v="ΔΑΣΚΑΛΟΙ"/>
    <m/>
    <m/>
    <s v="Γ΄"/>
    <n v="1"/>
    <s v="Φ.17.2/7311"/>
    <d v="2018-09-01T00:00:00"/>
    <s v="ΧΑΝΙΩΝ (Π.Ε.) 2018"/>
    <s v="ΔΙΕΥΘΥΝΣΗ Π.Ε. ΧΑΝΙΩΝ"/>
    <s v="ΠΕΡΙΦΕΡΕΙΑΚΗ Δ/ΝΣΗ Α/ΘΜΙΑΣ ΚΑΙ Β/ΘΜΙΑΣ ΕΚΠ/ΣΗΣ ΚΡΗΤΗΣ"/>
    <n v="24"/>
    <d v="2018-09-01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3-06-05T00:00:00"/>
    <x v="1"/>
    <s v="ΔΙΕΥΘΥΝΣΗ Π.Ε. ΧΑΝΙΩΝ"/>
    <x v="5"/>
  </r>
  <r>
    <x v="4299"/>
    <x v="1"/>
    <s v="ΠΕ70"/>
    <s v="ΔΑΣΚΑΛΟΙ"/>
    <m/>
    <m/>
    <s v="Γ΄"/>
    <n v="1"/>
    <n v="1505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3-05-19T00:00:00"/>
    <x v="1"/>
    <s v="ΔΙΕΥΘΥΝΣΗ Π.Ε. Δ΄ ΑΘΗΝΑΣ"/>
    <x v="5"/>
  </r>
  <r>
    <x v="4300"/>
    <x v="1"/>
    <s v="ΠΕ70"/>
    <s v="ΔΑΣΚΑΛΟΙ"/>
    <m/>
    <m/>
    <s v="Γ΄"/>
    <n v="1"/>
    <n v="1061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3-05-14T00:00:00"/>
    <x v="1"/>
    <s v="ΔΙΕΥΘΥΝΣΗ Π.Ε. Δ΄ ΑΘΗΝΑΣ"/>
    <x v="5"/>
  </r>
  <r>
    <x v="4301"/>
    <x v="1"/>
    <s v="ΠΕ70"/>
    <s v="ΔΑΣΚΑΛΟΙ"/>
    <m/>
    <m/>
    <s v="Γ΄"/>
    <n v="1"/>
    <n v="10016"/>
    <d v="2018-09-18T00:00:00"/>
    <s v="Δ΄ ΑΘΗΝΑΣ (Π.Ε.) 2018"/>
    <s v="ΔΙΕΥΘΥΝΣΗ Π.Ε. Δ΄ ΑΘΗΝΑΣ"/>
    <s v="ΠΕΡΙΦΕΡΕΙΑΚΗ Δ/ΝΣΗ Α/ΘΜΙΑΣ ΚΑΙ Β/ΘΜΙΑΣ ΕΚΠ/ΣΗΣ ΑΤΤΙΚΗΣ"/>
    <n v="24"/>
    <d v="2018-09-18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3-05-13T00:00:00"/>
    <x v="1"/>
    <s v="ΔΙΕΥΘΥΝΣΗ Π.Ε. Δ΄ ΑΘΗΝΑΣ"/>
    <x v="5"/>
  </r>
  <r>
    <x v="4302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3-04-20T00:00:00"/>
    <x v="1"/>
    <s v="ΔΙΕΥΘΥΝΣΗ Π.Ε. Β΄ ΑΘΗΝΑΣ"/>
    <x v="5"/>
  </r>
  <r>
    <x v="4303"/>
    <x v="1"/>
    <s v="ΠΕ70"/>
    <s v="ΔΑΣΚΑΛΟΙ"/>
    <m/>
    <m/>
    <s v="Γ΄"/>
    <n v="1"/>
    <s v="3776β"/>
    <d v="2018-09-01T00:00:00"/>
    <s v="ΑΡΓΟΛΙΔΑΣ (Π.Ε.) 2018"/>
    <s v="ΔΙΕΥΘΥΝΣΗ Π.Ε. ΑΡΓΟΛΙΔΑΣ"/>
    <s v="ΠΕΡΙΦΕΡΕΙΑΚΗ Δ/ΝΣΗ Α/ΘΜΙΑΣ ΚΑΙ Β/ΘΜΙΑΣ ΕΚΠ/ΣΗΣ ΠΕΛΟΠΟΝΝΗΣΟΥ"/>
    <n v="24"/>
    <d v="2018-09-01T00:00:00"/>
    <s v="Ιδιωτικά Σχολεία"/>
    <x v="4"/>
    <s v="7021002"/>
    <s v="ΙΔΙΩΤΙΚΟ ΔΗΜΟΤΙΚΟ ΣΧΟΛΕΙΟ ΑΥΤΕΝΕΡΓΩ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93-04-12T00:00:00"/>
    <x v="1"/>
    <s v="ΔΙΕΥΘΥΝΣΗ Π.Ε. ΑΡΓΟΛΙΔΑΣ"/>
    <x v="5"/>
  </r>
  <r>
    <x v="4304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93-04-03T00:00:00"/>
    <x v="1"/>
    <s v="ΔΙΕΥΘΥΝΣΗ Π.Ε. Α΄ ΑΘΗΝΑΣ"/>
    <x v="5"/>
  </r>
  <r>
    <x v="4305"/>
    <x v="1"/>
    <s v="ΠΕ70"/>
    <s v="ΔΑΣΚΑΛΟΙ"/>
    <m/>
    <m/>
    <s v="Γ΄"/>
    <n v="1"/>
    <s v="7379/08-10-2018"/>
    <d v="2018-09-13T00:00:00"/>
    <s v="ΙΩΑΝΝΙΝΩΝ (Π.Ε.) 2018"/>
    <s v="ΔΙΕΥΘΥΝΣΗ Π.Ε. ΙΩΑΝΝΙΝΩΝ"/>
    <s v="ΠΕΡΙΦΕΡΕΙΑΚΗ Δ/ΝΣΗ Α/ΘΜΙΑΣ ΚΑΙ Β/ΘΜΙΑΣ ΕΚΠ/ΣΗΣ ΗΠΕΙΡΟΥ"/>
    <n v="24"/>
    <d v="2018-09-13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93-03-30T00:00:00"/>
    <x v="1"/>
    <s v="ΔΙΕΥΘΥΝΣΗ Π.Ε. ΙΩΑΝΝΙΝΩΝ"/>
    <x v="5"/>
  </r>
  <r>
    <x v="4306"/>
    <x v="1"/>
    <s v="ΠΕ70"/>
    <s v="ΔΑΣΚΑΛΟΙ"/>
    <m/>
    <m/>
    <s v="Γ΄"/>
    <n v="1"/>
    <n v="1061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3-03-19T00:00:00"/>
    <x v="1"/>
    <s v="ΔΙΕΥΘΥΝΣΗ Π.Ε. Δ΄ ΑΘΗΝΑΣ"/>
    <x v="5"/>
  </r>
  <r>
    <x v="4307"/>
    <x v="1"/>
    <s v="ΠΕ70"/>
    <s v="ΔΑΣΚΑΛΟΙ"/>
    <m/>
    <m/>
    <s v="Γ΄"/>
    <n v="1"/>
    <n v="9638"/>
    <d v="2018-09-10T00:00:00"/>
    <s v="Δ΄ ΑΘΗΝΑΣ (Π.Ε.) 2018"/>
    <s v="ΔΙΕΥΘΥΝΣΗ Π.Ε. Δ΄ ΑΘΗΝΑΣ"/>
    <s v="ΠΕΡΙΦΕΡΕΙΑΚΗ Δ/ΝΣΗ Α/ΘΜΙΑΣ ΚΑΙ Β/ΘΜΙΑΣ ΕΚΠ/ΣΗΣ ΑΤΤΙΚΗΣ"/>
    <n v="24"/>
    <d v="2018-09-10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3-03-07T00:00:00"/>
    <x v="1"/>
    <s v="ΔΙΕΥΘΥΝΣΗ Π.Ε. Δ΄ ΑΘΗΝΑΣ"/>
    <x v="5"/>
  </r>
  <r>
    <x v="4308"/>
    <x v="1"/>
    <s v="ΠΕ70"/>
    <s v="ΔΑΣΚΑΛΟΙ"/>
    <m/>
    <m/>
    <s v="Γ΄"/>
    <n v="1"/>
    <n v="6573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3-03-05T00:00:00"/>
    <x v="1"/>
    <s v="ΔΙΕΥΘΥΝΣΗ Π.Ε. ΛΑΡΙΣΑΣ"/>
    <x v="5"/>
  </r>
  <r>
    <x v="4309"/>
    <x v="1"/>
    <s v="ΠΕ70"/>
    <s v="ΔΑΣΚΑΛΟΙ"/>
    <m/>
    <m/>
    <s v="Γ΄"/>
    <n v="1"/>
    <n v="4250"/>
    <d v="2018-10-05T00:00:00"/>
    <s v="ΑΡΓΟΛΙΔΑΣ (Π.Ε.) 2018"/>
    <s v="ΔΙΕΥΘΥΝΣΗ Π.Ε. ΑΡΓΟΛΙΔΑΣ"/>
    <s v="ΠΕΡΙΦΕΡΕΙΑΚΗ Δ/ΝΣΗ Α/ΘΜΙΑΣ ΚΑΙ Β/ΘΜΙΑΣ ΕΚΠ/ΣΗΣ ΠΕΛΟΠΟΝΝΗΣΟΥ"/>
    <n v="24"/>
    <d v="2018-10-05T00:00:00"/>
    <s v="Ιδιωτικά Σχολεία"/>
    <x v="4"/>
    <s v="7021002"/>
    <s v="ΙΔΙΩΤΙΚΟ ΔΗΜΟΤΙΚΟ ΣΧΟΛΕΙΟ ΑΥΤΕΝΕΡΓΩ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93-02-21T00:00:00"/>
    <x v="1"/>
    <s v="ΔΙΕΥΘΥΝΣΗ Π.Ε. ΑΡΓΟΛΙΔΑΣ"/>
    <x v="5"/>
  </r>
  <r>
    <x v="4310"/>
    <x v="1"/>
    <s v="ΠΕ70"/>
    <s v="ΔΑΣΚΑΛΟΙ"/>
    <m/>
    <m/>
    <s v="Γ΄"/>
    <n v="1"/>
    <n v="4550"/>
    <d v="2018-09-19T00:00:00"/>
    <s v="ΑΡΓΟΛΙΔΑΣ (Π.Ε.) 2018"/>
    <s v="ΔΙΕΥΘΥΝΣΗ Π.Ε. ΑΡΓΟΛΙΔΑΣ"/>
    <s v="ΠΕΡΙΦΕΡΕΙΑΚΗ Δ/ΝΣΗ Α/ΘΜΙΑΣ ΚΑΙ Β/ΘΜΙΑΣ ΕΚΠ/ΣΗΣ ΠΕΛΟΠΟΝΝΗΣΟΥ"/>
    <n v="24"/>
    <d v="2018-09-19T00:00:00"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93-02-20T00:00:00"/>
    <x v="1"/>
    <s v="ΔΙΕΥΘΥΝΣΗ Π.Ε. ΑΡΓΟΛΙΔΑΣ"/>
    <x v="5"/>
  </r>
  <r>
    <x v="4311"/>
    <x v="1"/>
    <s v="ΠΕ70"/>
    <s v="ΔΑΣΚΑΛΟΙ"/>
    <m/>
    <m/>
    <s v="Γ΄"/>
    <n v="1"/>
    <s v="40/22-5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2"/>
    <s v="Τοποθέτηση σε Ιδιωτική Εκπαίδευση"/>
    <d v="1993-02-12T00:00:00"/>
    <x v="1"/>
    <s v="ΔΙΕΥΘΥΝΣΗ Π.Ε. ΑΧΑΪΑΣ"/>
    <x v="5"/>
  </r>
  <r>
    <x v="4312"/>
    <x v="1"/>
    <s v="ΠΕ70"/>
    <s v="ΔΑΣΚΑΛΟΙ"/>
    <m/>
    <m/>
    <s v="Γ΄"/>
    <n v="1"/>
    <n v="6928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3-01-31T00:00:00"/>
    <x v="1"/>
    <s v="ΔΙΕΥΘΥΝΣΗ Π.Ε. ΛΑΡΙΣΑΣ"/>
    <x v="5"/>
  </r>
  <r>
    <x v="4313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0"/>
    <s v="Τοποθέτηση σε Ιδιωτική Εκπαίδευση"/>
    <d v="1992-12-16T00:00:00"/>
    <x v="1"/>
    <s v="ΔΙΕΥΘΥΝΣΗ Π.Ε. Α΄ ΑΘΗΝΑΣ"/>
    <x v="5"/>
  </r>
  <r>
    <x v="4314"/>
    <x v="1"/>
    <s v="ΠΕ70"/>
    <s v="ΔΑΣΚΑΛΟΙ"/>
    <m/>
    <m/>
    <s v="Γ΄"/>
    <n v="1"/>
    <s v="Φ.17.2/222/6926/2-10-201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2-12-14T00:00:00"/>
    <x v="1"/>
    <s v="ΔΙΕΥΘΥΝΣΗ Π.Ε. Β΄ ΑΘΗΝΑΣ"/>
    <x v="5"/>
  </r>
  <r>
    <x v="4315"/>
    <x v="0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2-12-14T00:00:00"/>
    <x v="1"/>
    <s v="ΔΙΕΥΘΥΝΣΗ Π.Ε. ΑΝΑΤ. ΘΕΣ/ΝΙΚΗΣ"/>
    <x v="5"/>
  </r>
  <r>
    <x v="4316"/>
    <x v="1"/>
    <s v="ΠΕ70"/>
    <s v="ΔΑΣΚΑΛ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92-12-13T00:00:00"/>
    <x v="1"/>
    <s v="ΔΙΕΥΘΥΝΣΗ Π.Ε. ΗΡΑΚΛΕΙΟΥ"/>
    <x v="5"/>
  </r>
  <r>
    <x v="4317"/>
    <x v="1"/>
    <s v="ΠΕ70"/>
    <s v="ΔΑΣΚΑΛΟΙ"/>
    <m/>
    <m/>
    <s v="Γ΄"/>
    <n v="1"/>
    <n v="1496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2-11-30T00:00:00"/>
    <x v="1"/>
    <s v="ΔΙΕΥΘΥΝΣΗ Π.Ε. Δ΄ ΑΘΗΝΑΣ"/>
    <x v="5"/>
  </r>
  <r>
    <x v="4318"/>
    <x v="1"/>
    <s v="ΠΕ70"/>
    <s v="ΔΑΣΚΑΛ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2-11-30T00:00:00"/>
    <x v="1"/>
    <s v="ΔΙΕΥΘΥΝΣΗ Π.Ε. ΛΑΡΙΣΑΣ"/>
    <x v="5"/>
  </r>
  <r>
    <x v="4319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225"/>
    <s v="ΙΔΙΩΤΙΚΟ ΝΗΠΙΑΓΩΓΕΙΟ - ΤΡΙΑΝΕΜΙ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2-11-19T00:00:00"/>
    <x v="1"/>
    <s v="ΔΙΕΥΘΥΝΣΗ Π.Ε. Β΄ ΑΘΗΝΑΣ"/>
    <x v="5"/>
  </r>
  <r>
    <x v="4320"/>
    <x v="1"/>
    <s v="ΠΕ06"/>
    <s v="ΑΓΓΛΙΚΗΣ ΦΙΛΟΛΟΓΙΑΣ"/>
    <m/>
    <m/>
    <s v="Γ΄"/>
    <n v="1"/>
    <s v="Φ.Ι.Α.4/32311/14-12-2015"/>
    <d v="2015-09-15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5-09-15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2-11-03T00:00:00"/>
    <x v="1"/>
    <s v="ΔΙΕΥΘΥΝΣΗ Π.Ε. ΑΝΑΤΟΛΙΚΗΣ ΑΤΤΙΚΗΣ"/>
    <x v="5"/>
  </r>
  <r>
    <x v="4321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2-10-29T00:00:00"/>
    <x v="1"/>
    <s v="ΔΙΕΥΘΥΝΣΗ Π.Ε. ΠΕΙΡΑΙΑ"/>
    <x v="5"/>
  </r>
  <r>
    <x v="4322"/>
    <x v="1"/>
    <s v="ΠΕ70"/>
    <s v="ΔΑΣΚΑΛΟΙ"/>
    <m/>
    <m/>
    <s v="Γ΄"/>
    <n v="1"/>
    <s v="Φ.17/3635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2-10-13T00:00:00"/>
    <x v="1"/>
    <s v="ΔΙΕΥΘΥΝΣΗ Π.Ε. ΚΟΡΙΝΘΙΑΣ"/>
    <x v="5"/>
  </r>
  <r>
    <x v="4323"/>
    <x v="1"/>
    <s v="ΠΕ70"/>
    <s v="ΔΑΣΚΑΛΟΙ"/>
    <m/>
    <m/>
    <s v="Γ΄"/>
    <n v="1"/>
    <s v="7581/12-10-2018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24"/>
    <d v="2018-09-01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92-10-09T00:00:00"/>
    <x v="1"/>
    <s v="ΔΙΕΥΘΥΝΣΗ Π.Ε. ΞΑΝΘΗΣ"/>
    <x v="5"/>
  </r>
  <r>
    <x v="4324"/>
    <x v="1"/>
    <s v="ΠΕ70"/>
    <s v="ΔΑΣΚΑΛΟΙ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d v="2018-09-01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92-09-30T00:00:00"/>
    <x v="1"/>
    <s v="ΔΙΕΥΘΥΝΣΗ Π.Ε. ΜΕΣΣΗΝΙΑΣ"/>
    <x v="5"/>
  </r>
  <r>
    <x v="4325"/>
    <x v="0"/>
    <s v="ΠΕ70"/>
    <s v="ΔΑΣΚΑΛΟΙ"/>
    <m/>
    <m/>
    <s v="Γ΄"/>
    <n v="1"/>
    <s v="Φ.17.2/9230/10-10-2016"/>
    <d v="2018-09-01T00:00:00"/>
    <s v="Α΄ ΜΑΓΝΗΣΙΑΣ (Π.Ε.) 2018"/>
    <s v="ΔΙΕΥΘΥΝΣΗ Π.Ε. ΜΑΓΝΗΣΙΑΣ"/>
    <s v="ΠΕΡΙΦΕΡΕΙΑΚΗ Δ/ΝΣΗ Α/ΘΜΙΑΣ ΚΑΙ Β/ΘΜΙΑΣ ΕΚΠ/ΣΗΣ ΘΕΣΣΑΛΙΑΣ"/>
    <n v="24"/>
    <d v="2018-09-01T00:00:00"/>
    <s v="Ιδιωτικά Σχολεία"/>
    <x v="4"/>
    <s v="7351004"/>
    <s v="ΙΔΙΩΤΙΚΟ ΔΗΜΟΤΙΚΟ ΑΛΛΗ ΜΕΡΙΑ - ΑΞΙΟΝ ΕΣΤΙ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92-09-22T00:00:00"/>
    <x v="1"/>
    <s v="ΔΙΕΥΘΥΝΣΗ Π.Ε. ΜΑΓΝΗΣΙΑΣ"/>
    <x v="5"/>
  </r>
  <r>
    <x v="4326"/>
    <x v="1"/>
    <s v="ΠΕ70"/>
    <s v="ΔΑΣΚΑΛΟΙ"/>
    <m/>
    <m/>
    <s v="Γ΄"/>
    <n v="1"/>
    <n v="19175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2-09-16T00:00:00"/>
    <x v="1"/>
    <s v="ΔΙΕΥΘΥΝΣΗ Π.Ε. ΠΕΙΡΑΙΑ"/>
    <x v="5"/>
  </r>
  <r>
    <x v="4327"/>
    <x v="1"/>
    <s v="ΠΕ70"/>
    <s v="ΔΑΣΚΑΛ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2-09-14T00:00:00"/>
    <x v="1"/>
    <s v="ΔΙΕΥΘΥΝΣΗ Π.Ε. ΛΑΡΙΣΑΣ"/>
    <x v="5"/>
  </r>
  <r>
    <x v="4328"/>
    <x v="1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2-09-13T00:00:00"/>
    <x v="1"/>
    <s v="ΔΙΕΥΘΥΝΣΗ Π.Ε. ΚΟΡΙΝΘΙΑΣ"/>
    <x v="5"/>
  </r>
  <r>
    <x v="4329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92-09-08T00:00:00"/>
    <x v="1"/>
    <s v="ΔΙΕΥΘΥΝΣΗ Π.Ε. ΑΙΤΩΛΟΑΚΑΡΝΑΝΙΑΣ"/>
    <x v="5"/>
  </r>
  <r>
    <x v="4330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92-09-01T00:00:00"/>
    <x v="1"/>
    <s v="ΔΙΕΥΘΥΝΣΗ Π.Ε. Α΄ ΑΘΗΝΑΣ"/>
    <x v="5"/>
  </r>
  <r>
    <x v="4331"/>
    <x v="1"/>
    <s v="ΠΕ60"/>
    <s v="ΝΗΠΙΑΓΩΓΟΙ"/>
    <m/>
    <m/>
    <s v="Γ΄"/>
    <n v="1"/>
    <s v="28476/30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19"/>
    <s v="ΙΔΙΩΤΙΚΟ ΝΗΠΙΑΓΩΓΕΙΟ ΘΕΡΜΗ - Η ΛΙΜΝΗ ΤΩΝ ΚΥΚΝΩΝ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2-08-24T00:00:00"/>
    <x v="1"/>
    <s v="ΔΙΕΥΘΥΝΣΗ Π.Ε. ΑΝΑΤ. ΘΕΣ/ΝΙΚΗΣ"/>
    <x v="5"/>
  </r>
  <r>
    <x v="4332"/>
    <x v="1"/>
    <s v="ΠΕ70"/>
    <s v="ΔΑΣΚΑΛΟΙ"/>
    <m/>
    <m/>
    <s v="Γ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2-08-18T00:00:00"/>
    <x v="1"/>
    <s v="ΔΙΕΥΘΥΝΣΗ Π.Ε. ΚΟΡΙΝΘΙΑΣ"/>
    <x v="5"/>
  </r>
  <r>
    <x v="4333"/>
    <x v="1"/>
    <s v="ΠΕ70"/>
    <s v="ΔΑΣΚΑΛ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92-08-08T00:00:00"/>
    <x v="1"/>
    <s v="ΔΙΕΥΘΥΝΣΗ Π.Ε. ΔΩΔΕΚΑΝΗΣΟΥ"/>
    <x v="5"/>
  </r>
  <r>
    <x v="4334"/>
    <x v="1"/>
    <s v="ΠΕ70"/>
    <s v="ΔΑΣΚΑΛΟΙ"/>
    <m/>
    <m/>
    <s v="Γ΄"/>
    <n v="1"/>
    <d v="2017-10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2-08-04T00:00:00"/>
    <x v="1"/>
    <s v="ΔΙΕΥΘΥΝΣΗ Π.Ε. ΑΝΑΤ. ΘΕΣ/ΝΙΚΗΣ"/>
    <x v="5"/>
  </r>
  <r>
    <x v="4335"/>
    <x v="1"/>
    <s v="ΠΕ70"/>
    <s v="ΔΑΣΚΑΛΟΙ"/>
    <m/>
    <m/>
    <s v="Γ΄"/>
    <n v="1"/>
    <n v="7769"/>
    <d v="2018-10-01T00:00:00"/>
    <s v="ΛΑΡΙΣΑΣ (Π.Ε.) 2018"/>
    <s v="ΔΙΕΥΘΥΝΣΗ Π.Ε. ΛΑΡΙΣΑΣ"/>
    <s v="ΠΕΡΙΦΕΡΕΙΑΚΗ Δ/ΝΣΗ Α/ΘΜΙΑΣ ΚΑΙ Β/ΘΜΙΑΣ ΕΚΠ/ΣΗΣ ΘΕΣΣΑΛΙΑΣ"/>
    <n v="24"/>
    <d v="2018-10-01T00:00:00"/>
    <s v="Ιδιωτικά Σχολεία"/>
    <x v="4"/>
    <s v="7311000"/>
    <s v="ΙΔΙΩΤΙΚΟ ΔΗΜΟΤΙΚΟ ΛΑΡΙΣΑ - Α.ΔΡΑΚΟΣ-Γ. ΜΑΛΑΧΤΑΡΗ ΟΕ ΕΛΛΗΝΙΚΑ ΕΚΠΑΙΔΕΥΤΗΡΙΑ"/>
    <s v="ΛΑΡΙΣΑΣ (Π.Ε.) 2018"/>
    <s v="ΔΙΕΥΘΥΝΣΗ Π.Ε. ΛΑΡΙΣΑΣ"/>
    <s v="ΠΕΡΙΦΕΡΕΙΑΚΗ Δ/ΝΣΗ Α/ΘΜΙΑΣ ΚΑΙ Β/ΘΜΙΑΣ ΕΚΠ/ΣΗΣ ΘΕΣΣΑΛΙΑΣ"/>
    <x v="2"/>
    <s v="Τοποθέτηση σε Ιδιωτική Εκπαίδευση"/>
    <d v="1992-08-02T00:00:00"/>
    <x v="1"/>
    <s v="ΔΙΕΥΘΥΝΣΗ Π.Ε. ΛΑΡΙΣΑΣ"/>
    <x v="5"/>
  </r>
  <r>
    <x v="4336"/>
    <x v="1"/>
    <s v="ΠΕ70"/>
    <s v="ΔΑΣΚΑΛΟΙ"/>
    <m/>
    <m/>
    <s v="Γ΄"/>
    <n v="1"/>
    <s v="Φ.17.2/10407"/>
    <d v="2018-11-30T00:00:00"/>
    <s v="ΧΑΝΙΩΝ (Π.Ε.) 2018"/>
    <s v="ΔΙΕΥΘΥΝΣΗ Π.Ε. ΧΑΝΙΩΝ"/>
    <s v="ΠΕΡΙΦΕΡΕΙΑΚΗ Δ/ΝΣΗ Α/ΘΜΙΑΣ ΚΑΙ Β/ΘΜΙΑΣ ΕΚΠ/ΣΗΣ ΚΡΗΤΗΣ"/>
    <n v="24"/>
    <d v="2018-11-30T00:00:00"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92-07-29T00:00:00"/>
    <x v="1"/>
    <s v="ΔΙΕΥΘΥΝΣΗ Π.Ε. ΧΑΝΙΩΝ"/>
    <x v="5"/>
  </r>
  <r>
    <x v="4337"/>
    <x v="0"/>
    <s v="ΠΕ70"/>
    <s v="ΔΑΣΚΑΛΟΙ"/>
    <m/>
    <m/>
    <s v="Γ΄"/>
    <n v="3"/>
    <s v="Φ.17/3556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2-07-29T00:00:00"/>
    <x v="1"/>
    <s v="ΔΙΕΥΘΥΝΣΗ Π.Ε. ΚΟΡΙΝΘΙΑΣ"/>
    <x v="5"/>
  </r>
  <r>
    <x v="4338"/>
    <x v="1"/>
    <s v="ΠΕ70"/>
    <s v="ΔΑΣΚΑΛΟΙ"/>
    <m/>
    <m/>
    <s v="Γ΄"/>
    <n v="1"/>
    <s v="1157α"/>
    <d v="2018-09-01T00:00:00"/>
    <s v="ΑΡΓΟΛΙΔΑΣ (Π.Ε.) 2018"/>
    <s v="ΔΙΕΥΘΥΝΣΗ Π.Ε. ΑΡΓΟΛΙΔΑΣ"/>
    <s v="ΠΕΡΙΦΕΡΕΙΑΚΗ Δ/ΝΣΗ Α/ΘΜΙΑΣ ΚΑΙ Β/ΘΜΙΑΣ ΕΚΠ/ΣΗΣ ΠΕΛΟΠΟΝΝΗΣΟΥ"/>
    <n v="24"/>
    <d v="2018-09-01T00:00:00"/>
    <s v="Ιδιωτικά Σχολεία"/>
    <x v="4"/>
    <s v="7021002"/>
    <s v="ΙΔΙΩΤΙΚΟ ΔΗΜΟΤΙΚΟ ΣΧΟΛΕΙΟ ΑΥΤΕΝΕΡΓΩ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92-07-15T00:00:00"/>
    <x v="1"/>
    <s v="ΔΙΕΥΘΥΝΣΗ Π.Ε. ΑΡΓΟΛΙΔΑΣ"/>
    <x v="5"/>
  </r>
  <r>
    <x v="4339"/>
    <x v="1"/>
    <s v="ΠΕ70"/>
    <s v="ΔΑΣΚΑΛΟΙ"/>
    <m/>
    <m/>
    <s v="Γ΄"/>
    <n v="1"/>
    <s v="Φ.17.2/10585"/>
    <d v="2018-11-01T00:00:00"/>
    <s v="ΧΑΝΙΩΝ (Π.Ε.) 2018"/>
    <s v="ΔΙΕΥΘΥΝΣΗ Π.Ε. ΧΑΝΙΩΝ"/>
    <s v="ΠΕΡΙΦΕΡΕΙΑΚΗ Δ/ΝΣΗ Α/ΘΜΙΑΣ ΚΑΙ Β/ΘΜΙΑΣ ΕΚΠ/ΣΗΣ ΚΡΗΤΗΣ"/>
    <n v="24"/>
    <d v="2018-11-01T00:00:00"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92-07-10T00:00:00"/>
    <x v="1"/>
    <s v="ΔΙΕΥΘΥΝΣΗ Π.Ε. ΧΑΝΙΩΝ"/>
    <x v="5"/>
  </r>
  <r>
    <x v="4340"/>
    <x v="1"/>
    <s v="ΠΕ60"/>
    <s v="ΝΗΠΙΑΓΩΓΟΙ"/>
    <m/>
    <m/>
    <s v="Γ΄"/>
    <n v="1"/>
    <s v="24511/05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81"/>
    <s v="ΙΔΙΩΤΙΚΟ ΝΗΠΙΑΓΩΓΕΙΟ ΚΑΛΑΜΑΡΙΑ-ΘΕΣΣΑΛΟΝΙΚΗ - Ο ΜΙΚΡΟΚΟΣΜΟ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2-07-04T00:00:00"/>
    <x v="1"/>
    <s v="ΔΙΕΥΘΥΝΣΗ Π.Ε. ΑΝΑΤ. ΘΕΣ/ΝΙΚΗΣ"/>
    <x v="5"/>
  </r>
  <r>
    <x v="4341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92-06-30T00:00:00"/>
    <x v="1"/>
    <s v="ΔΙΕΥΘΥΝΣΗ Π.Ε. ΑΙΤΩΛΟΑΚΑΡΝΑΝΙΑΣ"/>
    <x v="5"/>
  </r>
  <r>
    <x v="4342"/>
    <x v="1"/>
    <s v="ΠΕ70"/>
    <s v="ΔΑΣΚΑΛΟΙ"/>
    <m/>
    <m/>
    <s v="Γ΄"/>
    <n v="1"/>
    <s v="19997/1"/>
    <d v="2018-10-17T00:00:00"/>
    <s v="Α΄ ΠΕΙΡΑΙΑ (Π.Ε.) 2018"/>
    <s v="ΔΙΕΥΘΥΝΣΗ Π.Ε. ΠΕΙΡΑΙΑ"/>
    <s v="ΠΕΡΙΦΕΡΕΙΑΚΗ Δ/ΝΣΗ Α/ΘΜΙΑΣ ΚΑΙ Β/ΘΜΙΑΣ ΕΚΠ/ΣΗΣ ΑΤΤΙΚΗΣ"/>
    <n v="24"/>
    <d v="2018-10-17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2-06-22T00:00:00"/>
    <x v="1"/>
    <s v="ΔΙΕΥΘΥΝΣΗ Π.Ε. ΠΕΙΡΑΙΑ"/>
    <x v="5"/>
  </r>
  <r>
    <x v="4343"/>
    <x v="0"/>
    <s v="ΠΕ70"/>
    <s v="ΔΑΣΚΑΛΟΙ"/>
    <m/>
    <m/>
    <s v="Γ΄"/>
    <n v="1"/>
    <n v="8594"/>
    <d v="2018-10-25T00:00:00"/>
    <s v="ΛΑΡΙΣΑΣ (Π.Ε.) 2018"/>
    <s v="ΔΙΕΥΘΥΝΣΗ Π.Ε. ΛΑΡΙΣΑΣ"/>
    <s v="ΠΕΡΙΦΕΡΕΙΑΚΗ Δ/ΝΣΗ Α/ΘΜΙΑΣ ΚΑΙ Β/ΘΜΙΑΣ ΕΚΠ/ΣΗΣ ΘΕΣΣΑΛΙΑΣ"/>
    <n v="24"/>
    <d v="2018-10-25T00:00:00"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2"/>
    <s v="Τοποθέτηση σε Ιδιωτική Εκπαίδευση"/>
    <d v="1992-06-21T00:00:00"/>
    <x v="1"/>
    <s v="ΔΙΕΥΘΥΝΣΗ Π.Ε. ΛΑΡΙΣΑΣ"/>
    <x v="5"/>
  </r>
  <r>
    <x v="4344"/>
    <x v="1"/>
    <s v="ΠΕ70"/>
    <s v="ΔΑΣΚΑΛΟΙ"/>
    <m/>
    <m/>
    <s v="Γ΄"/>
    <n v="1"/>
    <s v="213/6924/26-9-2018"/>
    <d v="2018-09-11T00:00:00"/>
    <s v="Β΄ ΑΘΗΝΑΣ (Π.Ε.) 2018"/>
    <s v="ΔΙΕΥΘΥΝΣΗ Π.Ε. Β΄ ΑΘΗΝΑΣ"/>
    <s v="ΠΕΡΙΦΕΡΕΙΑΚΗ Δ/ΝΣΗ Α/ΘΜΙΑΣ ΚΑΙ Β/ΘΜΙΑΣ ΕΚΠ/ΣΗΣ ΑΤΤΙΚΗΣ"/>
    <n v="24"/>
    <d v="2018-09-1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2-06-08T00:00:00"/>
    <x v="1"/>
    <s v="ΔΙΕΥΘΥΝΣΗ Π.Ε. Β΄ ΑΘΗΝΑΣ"/>
    <x v="5"/>
  </r>
  <r>
    <x v="4345"/>
    <x v="0"/>
    <s v="ΠΕ70"/>
    <s v="ΔΑΣΚΑΛΟΙ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92-06-06T00:00:00"/>
    <x v="1"/>
    <s v="ΔΙΕΥΘΥΝΣΗ Π.Ε. ΙΩΑΝΝΙΝΩΝ"/>
    <x v="5"/>
  </r>
  <r>
    <x v="4346"/>
    <x v="1"/>
    <s v="ΠΕ70"/>
    <s v="ΔΑΣΚΑΛ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92-06-03T00:00:00"/>
    <x v="1"/>
    <s v="ΔΙΕΥΘΥΝΣΗ Π.Ε. ΗΡΑΚΛΕΙΟΥ"/>
    <x v="5"/>
  </r>
  <r>
    <x v="4347"/>
    <x v="1"/>
    <s v="ΠΕ70"/>
    <s v="ΔΑΣΚΑΛΟΙ"/>
    <m/>
    <m/>
    <s v="Β΄"/>
    <n v="1"/>
    <n v="11927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2002"/>
    <s v="ΙΔΙΩΤΙΚΟ ΔΗΜΟΤΙΚΟ ΠΕΥΚΑ ΘΕΣΣΑΛΟΝΙΚΗΣ - ΕΚΠΑΙΔΕΥΤΗΡΙΑ ΦΡΥΓΑΝΙΩΤ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92-05-10T00:00:00"/>
    <x v="1"/>
    <s v="ΔΙΕΥΘΥΝΣΗ Π.Ε. ΔΥΤ. ΘΕΣ/ΝΙΚΗΣ"/>
    <x v="5"/>
  </r>
  <r>
    <x v="4348"/>
    <x v="0"/>
    <s v="ΠΕ70"/>
    <s v="ΔΑΣΚΑΛΟΙ"/>
    <m/>
    <m/>
    <s v="Γ΄"/>
    <n v="1"/>
    <n v="1607"/>
    <d v="2018-09-25T00:00:00"/>
    <s v="ΞΑΝΘΗΣ (Π.Ε.) 2018"/>
    <s v="ΔΙΕΥΘΥΝΣΗ Π.Ε. ΞΑΝΘΗΣ"/>
    <s v="ΠΕΡΙΦΕΡΕΙΑΚΗ Δ/ΝΣΗ Α/ΘΜΙΑΣ ΚΑΙ Β/ΘΜΙΑΣ ΕΚΠ/ΣΗΣ ΑΝ. ΜΑΚΕΔΟΝΙΑΣ ΚΑΙ ΘΡΑΚΗΣ"/>
    <n v="24"/>
    <d v="2018-09-25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92-04-14T00:00:00"/>
    <x v="1"/>
    <s v="ΔΙΕΥΘΥΝΣΗ Π.Ε. ΞΑΝΘΗΣ"/>
    <x v="5"/>
  </r>
  <r>
    <x v="4349"/>
    <x v="1"/>
    <s v="ΠΕ70"/>
    <s v="ΔΑΣΚΑΛΟΙ"/>
    <m/>
    <m/>
    <s v="Γ΄"/>
    <n v="1"/>
    <s v="Φ.17/2024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92-04-06T00:00:00"/>
    <x v="1"/>
    <s v="ΔΙΕΥΘΥΝΣΗ Π.Ε. ΚΟΡΙΝΘΙΑΣ"/>
    <x v="5"/>
  </r>
  <r>
    <x v="4350"/>
    <x v="1"/>
    <s v="ΠΕ70"/>
    <s v="ΔΑΣΚΑΛΟΙ"/>
    <m/>
    <m/>
    <s v="Β΄"/>
    <n v="3"/>
    <s v="Φ.60.2/26519/9-10-2018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8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2"/>
    <s v="Τοποθέτηση σε Ιδιωτική Εκπαίδευση"/>
    <d v="1992-03-24T00:00:00"/>
    <x v="1"/>
    <s v="ΔΙΕΥΘΥΝΣΗ Π.Ε. ΑΝΑΤΟΛΙΚΗΣ ΑΤΤΙΚΗΣ"/>
    <x v="5"/>
  </r>
  <r>
    <x v="4351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92-03-22T00:00:00"/>
    <x v="1"/>
    <s v="ΔΙΕΥΘΥΝΣΗ Π.Ε. ΑΙΤΩΛΟΑΚΑΡΝΑΝΙΑΣ"/>
    <x v="5"/>
  </r>
  <r>
    <x v="4352"/>
    <x v="1"/>
    <s v="ΠΕ70"/>
    <s v="ΔΑΣΚΑΛΟΙ"/>
    <m/>
    <m/>
    <s v="Γ΄"/>
    <n v="1"/>
    <n v="14589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2-03-06T00:00:00"/>
    <x v="1"/>
    <s v="ΔΙΕΥΘΥΝΣΗ Π.Ε. Δ΄ ΑΘΗΝΑΣ"/>
    <x v="5"/>
  </r>
  <r>
    <x v="4353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2-03-01T00:00:00"/>
    <x v="1"/>
    <s v="ΔΙΕΥΘΥΝΣΗ Π.Ε. Β΄ ΑΘΗΝΑΣ"/>
    <x v="5"/>
  </r>
  <r>
    <x v="4354"/>
    <x v="1"/>
    <s v="ΠΕ70"/>
    <s v="ΔΑΣΚΑΛΟΙ"/>
    <m/>
    <m/>
    <s v="Γ΄"/>
    <n v="3"/>
    <s v="Φ.17.2/9448/28-09-2018"/>
    <d v="2018-09-01T00:00:00"/>
    <s v="Α΄ ΜΑΓΝΗΣΙΑΣ (Π.Ε.) 2018"/>
    <s v="ΔΙΕΥΘΥΝΣΗ Π.Ε. ΜΑΓΝΗΣΙΑΣ"/>
    <s v="ΠΕΡΙΦΕΡΕΙΑΚΗ Δ/ΝΣΗ Α/ΘΜΙΑΣ ΚΑΙ Β/ΘΜΙΑΣ ΕΚΠ/ΣΗΣ ΘΕΣΣΑΛΙΑΣ"/>
    <n v="24"/>
    <d v="2018-09-01T00:00:00"/>
    <s v="Ιδιωτικά Σχολεία"/>
    <x v="4"/>
    <s v="7351004"/>
    <s v="ΙΔΙΩΤΙΚΟ ΔΗΜΟΤΙΚΟ ΑΛΛΗ ΜΕΡΙΑ - ΑΞΙΟΝ ΕΣΤΙ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92-02-22T00:00:00"/>
    <x v="1"/>
    <s v="ΔΙΕΥΘΥΝΣΗ Π.Ε. ΜΑΓΝΗΣΙΑΣ"/>
    <x v="5"/>
  </r>
  <r>
    <x v="4355"/>
    <x v="0"/>
    <s v="ΠΕ70"/>
    <s v="ΔΑΣΚΑΛΟΙ"/>
    <m/>
    <m/>
    <s v="Γ΄"/>
    <n v="1"/>
    <n v="1161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2-01-31T00:00:00"/>
    <x v="1"/>
    <s v="ΔΙΕΥΘΥΝΣΗ Π.Ε. Δ΄ ΑΘΗΝΑΣ"/>
    <x v="5"/>
  </r>
  <r>
    <x v="4356"/>
    <x v="1"/>
    <s v="ΠΕ70"/>
    <s v="ΔΑΣΚΑΛΟΙ"/>
    <m/>
    <m/>
    <s v="Γ΄"/>
    <n v="1"/>
    <n v="4551"/>
    <d v="2018-09-19T00:00:00"/>
    <s v="ΑΡΓΟΛΙΔΑΣ (Π.Ε.) 2018"/>
    <s v="ΔΙΕΥΘΥΝΣΗ Π.Ε. ΑΡΓΟΛΙΔΑΣ"/>
    <s v="ΠΕΡΙΦΕΡΕΙΑΚΗ Δ/ΝΣΗ Α/ΘΜΙΑΣ ΚΑΙ Β/ΘΜΙΑΣ ΕΚΠ/ΣΗΣ ΠΕΛΟΠΟΝΝΗΣΟΥ"/>
    <n v="24"/>
    <d v="2018-09-19T00:00:00"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92-01-27T00:00:00"/>
    <x v="1"/>
    <s v="ΔΙΕΥΘΥΝΣΗ Π.Ε. ΑΡΓΟΛΙΔΑΣ"/>
    <x v="5"/>
  </r>
  <r>
    <x v="4357"/>
    <x v="1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92-01-25T00:00:00"/>
    <x v="1"/>
    <s v="ΔΙΕΥΘΥΝΣΗ Π.Ε. ΑΝΑΤ. ΘΕΣ/ΝΙΚΗΣ"/>
    <x v="5"/>
  </r>
  <r>
    <x v="4358"/>
    <x v="1"/>
    <s v="ΠΕ70"/>
    <s v="ΔΑΣΚΑΛ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92-01-22T00:00:00"/>
    <x v="1"/>
    <s v="ΔΙΕΥΘΥΝΣΗ Π.Ε. ΔΩΔΕΚΑΝΗΣΟΥ"/>
    <x v="5"/>
  </r>
  <r>
    <x v="4359"/>
    <x v="1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2-01-20T00:00:00"/>
    <x v="1"/>
    <s v="ΔΙΕΥΘΥΝΣΗ Π.Ε. ΚΟΡΙΝΘΙΑΣ"/>
    <x v="5"/>
  </r>
  <r>
    <x v="4360"/>
    <x v="0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2-01-09T00:00:00"/>
    <x v="1"/>
    <s v="ΔΙΕΥΘΥΝΣΗ Π.Ε. Β΄ ΑΘΗΝΑΣ"/>
    <x v="5"/>
  </r>
  <r>
    <x v="4361"/>
    <x v="0"/>
    <s v="ΠΕ70"/>
    <s v="ΔΑΣΚΑΛΟΙ"/>
    <m/>
    <m/>
    <s v="Γ΄"/>
    <n v="1"/>
    <s v="539/13169/19-12-2017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2-01-07T00:00:00"/>
    <x v="1"/>
    <s v="ΔΙΕΥΘΥΝΣΗ Π.Ε. Β΄ ΑΘΗΝΑΣ"/>
    <x v="5"/>
  </r>
  <r>
    <x v="4362"/>
    <x v="1"/>
    <s v="ΠΕ70"/>
    <s v="ΔΑΣΚΑΛΟΙ"/>
    <m/>
    <m/>
    <s v="Γ΄"/>
    <n v="1"/>
    <n v="10608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12-27T00:00:00"/>
    <x v="1"/>
    <s v="ΔΙΕΥΘΥΝΣΗ Π.Ε. Δ΄ ΑΘΗΝΑΣ"/>
    <x v="5"/>
  </r>
  <r>
    <x v="4363"/>
    <x v="1"/>
    <s v="ΠΕ70"/>
    <s v="ΔΑΣΚΑΛ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12-22T00:00:00"/>
    <x v="1"/>
    <s v="ΔΙΕΥΘΥΝΣΗ Π.Ε. Δ΄ ΑΘΗΝΑΣ"/>
    <x v="5"/>
  </r>
  <r>
    <x v="4364"/>
    <x v="1"/>
    <s v="ΠΕ70"/>
    <s v="ΔΑΣΚΑΛΟΙ"/>
    <m/>
    <m/>
    <s v="Γ΄"/>
    <n v="1"/>
    <n v="16035"/>
    <d v="2018-09-05T00:00:00"/>
    <s v="Α΄ ΠΕΙΡΑΙΑ (Π.Ε.) 2018"/>
    <s v="ΔΙΕΥΘΥΝΣΗ Π.Ε. ΠΕΙΡΑΙΑ"/>
    <s v="ΠΕΡΙΦΕΡΕΙΑΚΗ Δ/ΝΣΗ Α/ΘΜΙΑΣ ΚΑΙ Β/ΘΜΙΑΣ ΕΚΠ/ΣΗΣ ΑΤΤΙΚΗΣ"/>
    <n v="24"/>
    <d v="2018-09-05T00:00:00"/>
    <s v="Ιδιωτικά Σχολεία"/>
    <x v="4"/>
    <s v="7541018"/>
    <s v="ΙΔΙΩΤΙΚΟ ΔΗΜΟΤΙΚΟ ΚΕΡΑΤΣΙΝΙ - ΚΑΡΑΧΑΛΙΟΥ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1-12-20T00:00:00"/>
    <x v="1"/>
    <s v="ΔΙΕΥΘΥΝΣΗ Π.Ε. ΠΕΙΡΑΙΑ"/>
    <x v="5"/>
  </r>
  <r>
    <x v="4365"/>
    <x v="1"/>
    <s v="ΠΕ70"/>
    <s v="ΔΑΣΚΑΛΟΙ"/>
    <m/>
    <m/>
    <s v="Γ΄"/>
    <n v="1"/>
    <s v="Φ.60.2/23633/15-10-2018"/>
    <d v="2018-09-06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8-09-06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2"/>
    <s v="Τοποθέτηση σε Ιδιωτική Εκπαίδευση"/>
    <d v="1991-12-05T00:00:00"/>
    <x v="1"/>
    <s v="ΔΙΕΥΘΥΝΣΗ Π.Ε. ΑΝΑΤΟΛΙΚΗΣ ΑΤΤΙΚΗΣ"/>
    <x v="5"/>
  </r>
  <r>
    <x v="4366"/>
    <x v="1"/>
    <s v="ΠΕ70"/>
    <s v="ΔΑΣΚΑΛΟΙ"/>
    <m/>
    <m/>
    <s v="Γ΄"/>
    <n v="1"/>
    <s v="11597/16-10-201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8"/>
    <s v="ΙΔΙΩΤΙΚΟ ΔΗΜΟΤΙΚΟ - ΕΥΡΩΠΑΪΚΟ ΠΡΟΤΥΠ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1-11-29T00:00:00"/>
    <x v="1"/>
    <s v="ΔΙΕΥΘΥΝΣΗ Π.Ε. Δ΄ ΑΘΗΝΑΣ"/>
    <x v="5"/>
  </r>
  <r>
    <x v="4367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91-11-29T00:00:00"/>
    <x v="1"/>
    <s v="ΔΙΕΥΘΥΝΣΗ Π.Ε. ΑΙΤΩΛΟΑΚΑΡΝΑΝΙΑΣ"/>
    <x v="5"/>
  </r>
  <r>
    <x v="4368"/>
    <x v="0"/>
    <s v="ΠΕ70"/>
    <s v="ΔΑΣΚΑΛΟΙ"/>
    <m/>
    <m/>
    <s v="Γ΄"/>
    <n v="1"/>
    <n v="17055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1-11-27T00:00:00"/>
    <x v="1"/>
    <s v="ΔΙΕΥΘΥΝΣΗ Π.Ε. ΠΕΙΡΑΙΑ"/>
    <x v="5"/>
  </r>
  <r>
    <x v="4369"/>
    <x v="1"/>
    <s v="ΠΕ70"/>
    <s v="ΔΑΣΚΑΛΟΙ"/>
    <m/>
    <m/>
    <s v="Γ΄"/>
    <n v="1"/>
    <n v="11251"/>
    <d v="2018-09-06T00:00:00"/>
    <s v="Δ΄ ΑΘΗΝΑΣ (Π.Ε.) 2018"/>
    <s v="ΔΙΕΥΘΥΝΣΗ Π.Ε. Δ΄ ΑΘΗΝΑΣ"/>
    <s v="ΠΕΡΙΦΕΡΕΙΑΚΗ Δ/ΝΣΗ Α/ΘΜΙΑΣ ΚΑΙ Β/ΘΜΙΑΣ ΕΚΠ/ΣΗΣ ΑΤΤΙΚΗΣ"/>
    <n v="24"/>
    <d v="2018-09-06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1-11-15T00:00:00"/>
    <x v="1"/>
    <s v="ΔΙΕΥΘΥΝΣΗ Π.Ε. Δ΄ ΑΘΗΝΑΣ"/>
    <x v="5"/>
  </r>
  <r>
    <x v="4370"/>
    <x v="1"/>
    <s v="ΠΕ70"/>
    <s v="ΔΑΣΚΑΛΟΙ"/>
    <m/>
    <m/>
    <s v="Γ΄"/>
    <n v="1"/>
    <s v="Φ.17.2/212/825201/09/201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1-11-13T00:00:00"/>
    <x v="1"/>
    <s v="ΔΙΕΥΘΥΝΣΗ Π.Ε. Β΄ ΑΘΗΝΑΣ"/>
    <x v="5"/>
  </r>
  <r>
    <x v="4371"/>
    <x v="1"/>
    <s v="ΠΕ70"/>
    <s v="ΔΑΣΚΑΛΟΙ"/>
    <m/>
    <m/>
    <s v="Γ΄"/>
    <n v="1"/>
    <s v="Φ.17/8848/31-10-2018"/>
    <d v="2018-10-02T00:00:00"/>
    <s v="ΙΩΑΝΝΙΝΩΝ (Π.Ε.) 2018"/>
    <s v="ΔΙΕΥΘΥΝΣΗ Π.Ε. ΙΩΑΝΝΙΝΩΝ"/>
    <s v="ΠΕΡΙΦΕΡΕΙΑΚΗ Δ/ΝΣΗ Α/ΘΜΙΑΣ ΚΑΙ Β/ΘΜΙΑΣ ΕΚΠ/ΣΗΣ ΗΠΕΙΡΟΥ"/>
    <n v="24"/>
    <d v="2018-10-02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91-11-07T00:00:00"/>
    <x v="1"/>
    <s v="ΔΙΕΥΘΥΝΣΗ Π.Ε. ΙΩΑΝΝΙΝΩΝ"/>
    <x v="5"/>
  </r>
  <r>
    <x v="4372"/>
    <x v="0"/>
    <s v="ΠΕ70"/>
    <s v="ΔΑΣΚΑΛΟΙ"/>
    <m/>
    <m/>
    <s v="Β΄"/>
    <n v="2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1-10-31T00:00:00"/>
    <x v="1"/>
    <s v="ΔΙΕΥΘΥΝΣΗ Π.Ε. ΑΝΑΤΟΛΙΚΗΣ ΑΤΤΙΚΗΣ"/>
    <x v="5"/>
  </r>
  <r>
    <x v="4373"/>
    <x v="1"/>
    <s v="ΠΕ70"/>
    <s v="ΔΑΣΚΑΛΟΙ"/>
    <m/>
    <m/>
    <s v="Γ΄"/>
    <n v="1"/>
    <s v="Φ.Ι.Α.3/34045/19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4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1-10-31T00:00:00"/>
    <x v="1"/>
    <s v="ΔΙΕΥΘΥΝΣΗ Π.Ε. ΑΝΑΤΟΛΙΚΗΣ ΑΤΤΙΚΗΣ"/>
    <x v="5"/>
  </r>
  <r>
    <x v="4374"/>
    <x v="0"/>
    <s v="ΠΕ70"/>
    <s v="ΔΑΣΚΑΛΟΙ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d v="2018-09-01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91-10-25T00:00:00"/>
    <x v="1"/>
    <s v="ΔΙΕΥΘΥΝΣΗ Π.Ε. ΜΕΣΣΗΝΙΑΣ"/>
    <x v="5"/>
  </r>
  <r>
    <x v="4375"/>
    <x v="1"/>
    <s v="ΠΕ70"/>
    <s v="ΔΑΣΚΑΛΟΙ"/>
    <m/>
    <m/>
    <s v="Γ΄"/>
    <n v="1"/>
    <n v="1060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10-24T00:00:00"/>
    <x v="1"/>
    <s v="ΔΙΕΥΘΥΝΣΗ Π.Ε. Δ΄ ΑΘΗΝΑΣ"/>
    <x v="5"/>
  </r>
  <r>
    <x v="4376"/>
    <x v="1"/>
    <s v="ΠΕ70"/>
    <s v="ΔΑΣΚΑΛΟΙ"/>
    <m/>
    <m/>
    <s v="Β΄"/>
    <n v="2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1-10-15T00:00:00"/>
    <x v="1"/>
    <s v="ΔΙΕΥΘΥΝΣΗ Π.Ε. ΑΝΑΤΟΛΙΚΗΣ ΑΤΤΙΚΗΣ"/>
    <x v="5"/>
  </r>
  <r>
    <x v="4377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1-10-11T00:00:00"/>
    <x v="1"/>
    <s v="ΔΙΕΥΘΥΝΣΗ Π.Ε. Β΄ ΑΘΗΝΑΣ"/>
    <x v="5"/>
  </r>
  <r>
    <x v="4378"/>
    <x v="1"/>
    <s v="ΠΕ70"/>
    <s v="ΔΑΣΚΑΛΟΙ"/>
    <m/>
    <m/>
    <s v="Α΄"/>
    <n v="1"/>
    <s v="ΩΩΤΓ465ΦΘ3-ΞΔ2"/>
    <d v="2015-10-12T00:00:00"/>
    <s v="ΗΡΑΚΛΕΙΟΥ (Π.Ε.) 2018"/>
    <s v="ΔΙΕΥΘΥΝΣΗ Π.Ε. ΗΡΑΚΛΕΙΟΥ"/>
    <s v="ΠΕΡΙΦΕΡΕΙΑΚΗ Δ/ΝΣΗ Α/ΘΜΙΑΣ ΚΑΙ Β/ΘΜΙΑΣ ΕΚΠ/ΣΗΣ ΚΡΗΤΗΣ"/>
    <n v="24"/>
    <d v="2015-10-12T00:00:00"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91-10-07T00:00:00"/>
    <x v="1"/>
    <s v="ΔΙΕΥΘΥΝΣΗ Π.Ε. ΗΡΑΚΛΕΙΟΥ"/>
    <x v="5"/>
  </r>
  <r>
    <x v="4379"/>
    <x v="1"/>
    <s v="ΠΕ86"/>
    <s v="ΠΛΗΡΟΦΟΡΙΚΗΣ"/>
    <m/>
    <m/>
    <s v="Γ΄"/>
    <n v="1"/>
    <n v="1"/>
    <d v="2018-09-01T00:00:00"/>
    <s v="Δ΄ ΚΥΚΛΑΔΩΝ (Π.Ε.) 2018"/>
    <s v="ΔΙΕΥΘΥΝΣΗ Π.Ε. ΚΥΚΛΑΔΩΝ"/>
    <s v="ΠΕΡΙΦΕΡΕΙΑΚΗ Δ/ΝΣΗ Α/ΘΜΙΑΣ ΚΑΙ Β/ΘΜΙΑΣ ΕΚΠ/ΣΗΣ ΝΟΤΙΟΥ ΑΙΓΑΙΟΥ"/>
    <n v="24"/>
    <d v="2018-09-01T00:00:00"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0"/>
    <s v="Τοποθέτηση σε Ιδιωτική Εκπαίδευση"/>
    <d v="1991-10-06T00:00:00"/>
    <x v="1"/>
    <s v="ΔΙΕΥΘΥΝΣΗ Π.Ε. ΚΥΚΛΑΔΩΝ"/>
    <x v="5"/>
  </r>
  <r>
    <x v="4380"/>
    <x v="1"/>
    <s v="ΠΕ70"/>
    <s v="ΔΑΣΚΑΛΟΙ"/>
    <m/>
    <m/>
    <s v="Γ΄"/>
    <n v="1"/>
    <s v="Φ.17.2/414/10373/10-11-2017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10-05T00:00:00"/>
    <x v="1"/>
    <s v="ΔΙΕΥΘΥΝΣΗ Π.Ε. Β΄ ΑΘΗΝΑΣ"/>
    <x v="5"/>
  </r>
  <r>
    <x v="4381"/>
    <x v="1"/>
    <s v="ΠΕ70"/>
    <s v="ΔΑΣΚΑΛΟΙ"/>
    <m/>
    <m/>
    <s v="Γ΄"/>
    <n v="1"/>
    <n v="946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1-09-28T00:00:00"/>
    <x v="1"/>
    <s v="ΔΙΕΥΘΥΝΣΗ Π.Ε. ΛΑΡΙΣΑΣ"/>
    <x v="5"/>
  </r>
  <r>
    <x v="4382"/>
    <x v="1"/>
    <s v="ΠΕ70"/>
    <s v="ΔΑΣΚΑΛΟΙ"/>
    <m/>
    <m/>
    <s v="Γ΄"/>
    <n v="1"/>
    <n v="5009"/>
    <d v="2018-09-01T00:00:00"/>
    <s v="ΤΡΙΚΑΛΩΝ (Π.Ε.) 2018"/>
    <s v="ΔΙΕΥΘΥΝΣΗ Π.Ε. ΤΡΙΚΑΛΩΝ"/>
    <s v="ΠΕΡΙΦΕΡΕΙΑΚΗ Δ/ΝΣΗ Α/ΘΜΙΑΣ ΚΑΙ Β/ΘΜΙΑΣ ΕΚΠ/ΣΗΣ ΘΕΣΣΑΛΙΑΣ"/>
    <n v="24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91-08-23T00:00:00"/>
    <x v="1"/>
    <s v="ΔΙΕΥΘΥΝΣΗ Π.Ε. ΤΡΙΚΑΛΩΝ"/>
    <x v="5"/>
  </r>
  <r>
    <x v="4383"/>
    <x v="1"/>
    <s v="ΠΕ70"/>
    <s v="ΔΑΣΚΑΛΟΙ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1-08-07T00:00:00"/>
    <x v="1"/>
    <s v="ΔΙΕΥΘΥΝΣΗ Π.Ε. ΑΝΑΤ. ΘΕΣ/ΝΙΚΗΣ"/>
    <x v="5"/>
  </r>
  <r>
    <x v="4384"/>
    <x v="1"/>
    <s v="ΠΕ70"/>
    <s v="ΔΑΣΚΑΛΟΙ"/>
    <m/>
    <m/>
    <s v="Γ΄"/>
    <n v="3"/>
    <s v="ΩΞ484653ΠΣ-Ι7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08-06T00:00:00"/>
    <x v="1"/>
    <s v="ΔΙΕΥΘΥΝΣΗ Π.Ε. Β΄ ΑΘΗΝΑΣ"/>
    <x v="5"/>
  </r>
  <r>
    <x v="4385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91-08-01T00:00:00"/>
    <x v="0"/>
    <s v="ΔΙΕΥΘΥΝΣΗ Δ.Ε. Β΄ ΑΘΗΝΑΣ"/>
    <x v="5"/>
  </r>
  <r>
    <x v="4386"/>
    <x v="0"/>
    <s v="ΠΕ70"/>
    <s v="ΔΑΣΚΑΛΟΙ"/>
    <m/>
    <m/>
    <s v="Β΄"/>
    <n v="1"/>
    <s v="ΑΠ510859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s v="Ιδιωτικά Σχολεία"/>
    <x v="4"/>
    <s v="7061004"/>
    <s v="ΙΔΙΩΤΙΚΟ ΔΗΜΟΤΙΚΟ ΠΑΤΡΑΣ ΕΚΠΑΙΔΕΥΤΗΡΙΑ ΑΝΑΓΕΝΝΗΣΗ ΙΚΕ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91-07-31T00:00:00"/>
    <x v="1"/>
    <s v="ΔΙΕΥΘΥΝΣΗ Π.Ε. ΑΧΑΪΑΣ"/>
    <x v="5"/>
  </r>
  <r>
    <x v="4387"/>
    <x v="1"/>
    <s v="ΠΕ70"/>
    <s v="ΔΑΣΚΑΛΟΙ"/>
    <m/>
    <m/>
    <s v="Γ΄"/>
    <n v="3"/>
    <s v="Φ.17.2/259/926/15-10-201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07-08T00:00:00"/>
    <x v="1"/>
    <s v="ΔΙΕΥΘΥΝΣΗ Π.Ε. Β΄ ΑΘΗΝΑΣ"/>
    <x v="5"/>
  </r>
  <r>
    <x v="4388"/>
    <x v="1"/>
    <s v="ΠΕ70"/>
    <s v="ΔΑΣΚΑΛΟΙ"/>
    <m/>
    <m/>
    <s v="Γ΄"/>
    <n v="1"/>
    <s v="1089Α"/>
    <d v="2018-09-01T00:00:00"/>
    <s v="ΑΡΓΟΛΙΔΑΣ (Π.Ε.) 2018"/>
    <s v="ΔΙΕΥΘΥΝΣΗ Π.Ε. ΑΡΓΟΛΙΔΑΣ"/>
    <s v="ΠΕΡΙΦΕΡΕΙΑΚΗ Δ/ΝΣΗ Α/ΘΜΙΑΣ ΚΑΙ Β/ΘΜΙΑΣ ΕΚΠ/ΣΗΣ ΠΕΛΟΠΟΝΝΗΣΟΥ"/>
    <n v="24"/>
    <d v="2018-09-01T00:00:00"/>
    <s v="Δημοτικά Σχολεία"/>
    <x v="8"/>
    <s v="9020029"/>
    <s v="ΟΛΟΗΜΕΡΟ ΔΗΜΟΤΙΚΟ ΣΧΟΛΕΙΟ ΚΟΥΤΣΟΠΟΔΙΟΥ"/>
    <s v="ΑΡΓΟΛΙΔΑΣ (Π.Ε.) 2018"/>
    <s v="ΔΙΕΥΘΥΝΣΗ Π.Ε. ΑΡΓΟΛΙΔΑΣ"/>
    <s v="ΠΕΡΙΦΕΡΕΙΑΚΗ Δ/ΝΣΗ Α/ΘΜΙΑΣ ΚΑΙ Β/ΘΜΙΑΣ ΕΚΠ/ΣΗΣ ΠΕΛΟΠΟΝΝΗΣΟΥ"/>
    <x v="0"/>
    <s v="Τοποθέτηση σε Ιδιωτική Εκπαίδευση"/>
    <d v="1991-06-11T00:00:00"/>
    <x v="1"/>
    <s v="ΔΙΕΥΘΥΝΣΗ Π.Ε. ΑΡΓΟΛΙΔΑΣ"/>
    <x v="5"/>
  </r>
  <r>
    <x v="4389"/>
    <x v="0"/>
    <s v="ΠΕ70"/>
    <s v="ΔΑΣΚΑΛ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91-06-03T00:00:00"/>
    <x v="1"/>
    <s v="ΔΙΕΥΘΥΝΣΗ Π.Ε. ΗΡΑΚΛΕΙΟΥ"/>
    <x v="5"/>
  </r>
  <r>
    <x v="4390"/>
    <x v="1"/>
    <s v="ΠΕ70"/>
    <s v="ΔΑΣΚΑΛΟΙ"/>
    <m/>
    <m/>
    <s v="Γ΄"/>
    <n v="3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1-05-20T00:00:00"/>
    <x v="1"/>
    <s v="ΔΙΕΥΘΥΝΣΗ Π.Ε. ΚΟΡΙΝΘΙΑΣ"/>
    <x v="5"/>
  </r>
  <r>
    <x v="4391"/>
    <x v="1"/>
    <s v="ΠΕ70"/>
    <s v="ΔΑΣΚΑΛΟΙ"/>
    <m/>
    <m/>
    <s v="Γ΄"/>
    <n v="1"/>
    <n v="1061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05-10T00:00:00"/>
    <x v="1"/>
    <s v="ΔΙΕΥΘΥΝΣΗ Π.Ε. Δ΄ ΑΘΗΝΑΣ"/>
    <x v="5"/>
  </r>
  <r>
    <x v="4392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1-05-03T00:00:00"/>
    <x v="1"/>
    <s v="ΔΙΕΥΘΥΝΣΗ Π.Ε. ΑΝΑΤΟΛΙΚΗΣ ΑΤΤΙΚΗΣ"/>
    <x v="5"/>
  </r>
  <r>
    <x v="4393"/>
    <x v="0"/>
    <s v="ΠΕ70"/>
    <s v="ΔΑΣΚΑΛ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1-04-20T00:00:00"/>
    <x v="1"/>
    <s v="ΔΙΕΥΘΥΝΣΗ Π.Ε. ΛΑΡΙΣΑΣ"/>
    <x v="5"/>
  </r>
  <r>
    <x v="4394"/>
    <x v="1"/>
    <s v="ΠΕ70"/>
    <s v="ΔΑΣΚΑΛΟΙ"/>
    <m/>
    <m/>
    <s v="Γ΄"/>
    <n v="1"/>
    <d v="2018-09-10T00:00:00"/>
    <d v="2018-09-1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10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2"/>
    <s v="Τοποθέτηση σε Ιδιωτική Εκπαίδευση"/>
    <d v="1991-04-16T00:00:00"/>
    <x v="1"/>
    <s v="ΔΙΕΥΘΥΝΣΗ Π.Ε. ΑΝΑΤ. ΘΕΣ/ΝΙΚΗΣ"/>
    <x v="5"/>
  </r>
  <r>
    <x v="4395"/>
    <x v="1"/>
    <s v="ΠΕ70"/>
    <s v="ΔΑΣΚΑΛΟΙ"/>
    <m/>
    <m/>
    <s v="Γ΄"/>
    <n v="1"/>
    <s v="Φ.17.2/413/10373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04-07T00:00:00"/>
    <x v="1"/>
    <s v="ΔΙΕΥΘΥΝΣΗ Π.Ε. Β΄ ΑΘΗΝΑΣ"/>
    <x v="5"/>
  </r>
  <r>
    <x v="4396"/>
    <x v="1"/>
    <s v="ΠΕ70"/>
    <s v="ΔΑΣΚΑΛΟΙ"/>
    <m/>
    <m/>
    <s v="Γ΄"/>
    <n v="1"/>
    <s v="Φ.17.2/455/10373/19-10-2017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04-02T00:00:00"/>
    <x v="1"/>
    <s v="ΔΙΕΥΘΥΝΣΗ Π.Ε. Β΄ ΑΘΗΝΑΣ"/>
    <x v="5"/>
  </r>
  <r>
    <x v="4397"/>
    <x v="0"/>
    <s v="ΠΕ70"/>
    <s v="ΔΑΣΚΑΛΟΙ"/>
    <m/>
    <m/>
    <s v="Γ΄"/>
    <n v="1"/>
    <n v="906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1-03-28T00:00:00"/>
    <x v="1"/>
    <s v="ΔΙΕΥΘΥΝΣΗ Π.Ε. ΛΑΡΙΣΑΣ"/>
    <x v="5"/>
  </r>
  <r>
    <x v="4398"/>
    <x v="1"/>
    <s v="ΠΕ70"/>
    <s v="ΔΑΣΚΑΛΟΙ"/>
    <m/>
    <m/>
    <s v="Γ΄"/>
    <n v="1"/>
    <s v="ΕΚΚΡΕΜΕΙ"/>
    <d v="2018-09-03T00:00:00"/>
    <s v="Β΄ ΑΘΗΝΑΣ (Π.Ε.) 2018"/>
    <s v="ΔΙΕΥΘΥΝΣΗ Π.Ε. Β΄ ΑΘΗΝΑΣ"/>
    <s v="ΠΕΡΙΦΕΡΕΙΑΚΗ Δ/ΝΣΗ Α/ΘΜΙΑΣ ΚΑΙ Β/ΘΜΙΑΣ ΕΚΠ/ΣΗΣ ΑΤΤΙΚΗΣ"/>
    <n v="24"/>
    <d v="2018-09-03T00:00:00"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1-03-23T00:00:00"/>
    <x v="1"/>
    <s v="ΔΙΕΥΘΥΝΣΗ Π.Ε. Β΄ ΑΘΗΝΑΣ"/>
    <x v="5"/>
  </r>
  <r>
    <x v="4399"/>
    <x v="1"/>
    <s v="ΠΕ70"/>
    <s v="ΔΑΣΚΑΛΟΙ"/>
    <m/>
    <m/>
    <s v="Γ΄"/>
    <n v="1"/>
    <n v="7970"/>
    <d v="2018-10-16T00:00:00"/>
    <s v="ΛΑΡΙΣΑΣ (Π.Ε.) 2018"/>
    <s v="ΔΙΕΥΘΥΝΣΗ Π.Ε. ΛΑΡΙΣΑΣ"/>
    <s v="ΠΕΡΙΦΕΡΕΙΑΚΗ Δ/ΝΣΗ Α/ΘΜΙΑΣ ΚΑΙ Β/ΘΜΙΑΣ ΕΚΠ/ΣΗΣ ΘΕΣΣΑΛΙΑΣ"/>
    <n v="24"/>
    <d v="2018-10-16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2"/>
    <s v="Τοποθέτηση σε Ιδιωτική Εκπαίδευση"/>
    <d v="1991-03-23T00:00:00"/>
    <x v="1"/>
    <s v="ΔΙΕΥΘΥΝΣΗ Π.Ε. ΛΑΡΙΣΑΣ"/>
    <x v="5"/>
  </r>
  <r>
    <x v="4400"/>
    <x v="1"/>
    <s v="ΠΕ70"/>
    <s v="ΔΑΣΚΑΛΟΙ"/>
    <m/>
    <m/>
    <s v="Γ΄"/>
    <n v="1"/>
    <s v="756/2"/>
    <d v="2018-11-29T00:00:00"/>
    <s v="Α΄ ΠΕΙΡΑΙΑ (Π.Ε.) 2018"/>
    <s v="ΔΙΕΥΘΥΝΣΗ Π.Ε. ΠΕΙΡΑΙΑ"/>
    <s v="ΠΕΡΙΦΕΡΕΙΑΚΗ Δ/ΝΣΗ Α/ΘΜΙΑΣ ΚΑΙ Β/ΘΜΙΑΣ ΕΚΠ/ΣΗΣ ΑΤΤΙΚΗΣ"/>
    <n v="24"/>
    <d v="2018-11-29T00:00:00"/>
    <s v="Ιδιωτικά Σχολεία"/>
    <x v="4"/>
    <s v="7541024"/>
    <s v="ΙΔΙΩΤΙΚΟ ΔΗΜΟΤΙΚΟ ΠΕΡΑΜΑ - ΑΓΙΟΣ ΓΕΩΡΓΙΟΣ Ε.ΠΑΥΛΟΠΟΥΛΟΥ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1-03-15T00:00:00"/>
    <x v="1"/>
    <s v="ΔΙΕΥΘΥΝΣΗ Π.Ε. ΠΕΙΡΑΙΑ"/>
    <x v="5"/>
  </r>
  <r>
    <x v="4401"/>
    <x v="0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1-02-27T00:00:00"/>
    <x v="1"/>
    <s v="ΔΙΕΥΘΥΝΣΗ Π.Ε. ΠΕΙΡΑΙΑ"/>
    <x v="5"/>
  </r>
  <r>
    <x v="4402"/>
    <x v="1"/>
    <s v="ΠΕ70"/>
    <s v="ΔΑΣΚΑΛΟΙ"/>
    <m/>
    <m/>
    <s v="Γ΄"/>
    <n v="1"/>
    <n v="6072"/>
    <d v="2018-09-11T00:00:00"/>
    <s v="ΜΕΣΣΗΝΙΑΣ (Π.Ε.) 2018"/>
    <s v="ΔΙΕΥΘΥΝΣΗ Π.Ε. ΜΕΣΣΗΝΙΑΣ"/>
    <s v="ΠΕΡΙΦΕΡΕΙΑΚΗ Δ/ΝΣΗ Α/ΘΜΙΑΣ ΚΑΙ Β/ΘΜΙΑΣ ΕΚΠ/ΣΗΣ ΠΕΛΟΠΟΝΝΗΣΟΥ"/>
    <n v="24"/>
    <d v="2018-09-11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0"/>
    <s v="Τοποθέτηση σε Ιδιωτική Εκπαίδευση"/>
    <d v="1991-02-08T00:00:00"/>
    <x v="1"/>
    <s v="ΔΙΕΥΘΥΝΣΗ Π.Ε. ΜΕΣΣΗΝΙΑΣ"/>
    <x v="5"/>
  </r>
  <r>
    <x v="4403"/>
    <x v="1"/>
    <s v="ΠΕ70"/>
    <s v="ΔΑΣΚΑΛΟΙ"/>
    <m/>
    <m/>
    <s v="Γ΄"/>
    <n v="1"/>
    <s v="Φ 17.2/570/10444/08-12-16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1-02-07T00:00:00"/>
    <x v="1"/>
    <s v="ΔΙΕΥΘΥΝΣΗ Π.Ε. Β΄ ΑΘΗΝΑΣ"/>
    <x v="5"/>
  </r>
  <r>
    <x v="4404"/>
    <x v="1"/>
    <s v="ΠΕ70"/>
    <s v="ΔΑΣΚΑΛΟΙ"/>
    <m/>
    <m/>
    <s v="Γ΄"/>
    <n v="1"/>
    <s v="Φ 17.2/201/7269/07-09-15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1-02-04T00:00:00"/>
    <x v="1"/>
    <s v="ΔΙΕΥΘΥΝΣΗ Π.Ε. Β΄ ΑΘΗΝΑΣ"/>
    <x v="5"/>
  </r>
  <r>
    <x v="4405"/>
    <x v="1"/>
    <s v="ΠΕ70"/>
    <s v="ΔΑΣΚΑΛΟΙ"/>
    <m/>
    <m/>
    <s v="Γ΄"/>
    <n v="1"/>
    <n v="9406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1-01-30T00:00:00"/>
    <x v="1"/>
    <s v="ΔΙΕΥΘΥΝΣΗ Π.Ε. ΛΑΡΙΣΑΣ"/>
    <x v="5"/>
  </r>
  <r>
    <x v="4406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91-01-28T00:00:00"/>
    <x v="1"/>
    <s v="ΔΙΕΥΘΥΝΣΗ Π.Ε. Α΄ ΑΘΗΝΑΣ"/>
    <x v="5"/>
  </r>
  <r>
    <x v="4407"/>
    <x v="1"/>
    <s v="ΠΕ70"/>
    <s v="ΔΑΣΚΑΛΟΙ"/>
    <m/>
    <m/>
    <s v="Γ΄"/>
    <n v="1"/>
    <n v="1060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01-24T00:00:00"/>
    <x v="1"/>
    <s v="ΔΙΕΥΘΥΝΣΗ Π.Ε. Δ΄ ΑΘΗΝΑΣ"/>
    <x v="5"/>
  </r>
  <r>
    <x v="4408"/>
    <x v="1"/>
    <s v="ΠΕ70"/>
    <s v="ΔΑΣΚΑΛΟΙ"/>
    <m/>
    <m/>
    <s v="Α΄"/>
    <n v="1"/>
    <s v="ΩΒΣΦ4653ΠΣ-4ΦΟ"/>
    <d v="2016-02-19T00:00:00"/>
    <s v="Β΄ ΑΘΗΝΑΣ (Π.Ε.) 2018"/>
    <s v="ΔΙΕΥΘΥΝΣΗ Π.Ε. Β΄ ΑΘΗΝΑΣ"/>
    <s v="ΠΕΡΙΦΕΡΕΙΑΚΗ Δ/ΝΣΗ Α/ΘΜΙΑΣ ΚΑΙ Β/ΘΜΙΑΣ ΕΚΠ/ΣΗΣ ΑΤΤΙΚΗΣ"/>
    <n v="24"/>
    <d v="2016-02-22T00:00:00"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1-01-01T00:00:00"/>
    <x v="1"/>
    <s v="ΔΙΕΥΘΥΝΣΗ Π.Ε. Β΄ ΑΘΗΝΑΣ"/>
    <x v="5"/>
  </r>
  <r>
    <x v="4409"/>
    <x v="1"/>
    <s v="ΠΕ70"/>
    <s v="ΔΑΣΚΑΛΟΙ"/>
    <m/>
    <m/>
    <s v="Γ΄"/>
    <n v="1"/>
    <s v="ΕΚΚΡΕΜΕΙ"/>
    <d v="2018-09-03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1-01-01T00:00:00"/>
    <x v="1"/>
    <s v="ΔΙΕΥΘΥΝΣΗ Π.Ε. Β΄ ΑΘΗΝΑΣ"/>
    <x v="5"/>
  </r>
  <r>
    <x v="4410"/>
    <x v="1"/>
    <s v="ΠΕ70"/>
    <s v="ΔΑΣΚΑΛΟΙ"/>
    <m/>
    <m/>
    <s v="Α΄"/>
    <n v="1"/>
    <s v="Ω2844653ΠΣ-ΠΥΔ"/>
    <d v="2016-03-07T00:00:00"/>
    <s v="Α΄ ΠΕΙΡΑΙΑ (Π.Ε.) 2018"/>
    <s v="ΔΙΕΥΘΥΝΣΗ Π.Ε. ΠΕΙΡΑΙΑ"/>
    <s v="ΠΕΡΙΦΕΡΕΙΑΚΗ Δ/ΝΣΗ Α/ΘΜΙΑΣ ΚΑΙ Β/ΘΜΙΑΣ ΕΚΠ/ΣΗΣ ΑΤΤΙΚΗΣ"/>
    <n v="24"/>
    <d v="2016-03-07T00:00:00"/>
    <s v="Ιδιωτικά Σχολεία"/>
    <x v="4"/>
    <s v="7541026"/>
    <s v="ΙΔΙΩΤΙΚΟ ΔΗΜΟΤΙΚ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1-01-01T00:00:00"/>
    <x v="1"/>
    <s v="ΔΙΕΥΘΥΝΣΗ Π.Ε. ΠΕΙΡΑΙΑ"/>
    <x v="5"/>
  </r>
  <r>
    <x v="4411"/>
    <x v="1"/>
    <s v="ΠΕ79.01"/>
    <s v="ΜΟΥΣΙΚΗΣ ΕΠΙΣΤΗΜΗΣ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4"/>
    <m/>
    <s v="Ιδιωτικά Σχολεία"/>
    <x v="2"/>
    <s v="0560004"/>
    <s v="ΙΔΙΩΤΙΚΟ ΓΥΜΝΑΣ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90-12-22T00:00:00"/>
    <x v="0"/>
    <s v="ΔΙΕΥΘΥΝΣΗ Δ.Ε. Δ΄ ΑΘΗΝΑΣ"/>
    <x v="5"/>
  </r>
  <r>
    <x v="4412"/>
    <x v="1"/>
    <s v="ΠΕ70"/>
    <s v="ΔΑΣΚΑΛ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90-12-19T00:00:00"/>
    <x v="1"/>
    <s v="ΔΙΕΥΘΥΝΣΗ Π.Ε. ΙΩΑΝΝΙΝΩΝ"/>
    <x v="5"/>
  </r>
  <r>
    <x v="4413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90-12-18T00:00:00"/>
    <x v="1"/>
    <s v="ΔΙΕΥΘΥΝΣΗ Π.Ε. Α΄ ΑΘΗΝΑΣ"/>
    <x v="5"/>
  </r>
  <r>
    <x v="4414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0-12-14T00:00:00"/>
    <x v="1"/>
    <s v="ΔΙΕΥΘΥΝΣΗ Π.Ε. ΧΑΝΙΩΝ"/>
    <x v="5"/>
  </r>
  <r>
    <x v="4415"/>
    <x v="0"/>
    <s v="ΠΕ70"/>
    <s v="ΔΑΣΚΑΛΟΙ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90-12-13T00:00:00"/>
    <x v="1"/>
    <s v="ΔΙΕΥΘΥΝΣΗ Π.Ε. ΙΩΑΝΝΙΝΩΝ"/>
    <x v="5"/>
  </r>
  <r>
    <x v="4416"/>
    <x v="1"/>
    <s v="ΠΕ70"/>
    <s v="ΔΑΣΚΑΛΟΙ"/>
    <m/>
    <m/>
    <s v="Γ΄"/>
    <n v="1"/>
    <d v="2016-09-2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12-11T00:00:00"/>
    <x v="1"/>
    <s v="ΔΙΕΥΘΥΝΣΗ Π.Ε. ΑΝΑΤ. ΘΕΣ/ΝΙΚΗΣ"/>
    <x v="5"/>
  </r>
  <r>
    <x v="4417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0-12-06T00:00:00"/>
    <x v="1"/>
    <s v="ΔΙΕΥΘΥΝΣΗ Π.Ε. Δ΄ ΑΘΗΝΑΣ"/>
    <x v="5"/>
  </r>
  <r>
    <x v="4418"/>
    <x v="1"/>
    <s v="ΠΕ70"/>
    <s v="ΔΑΣΚΑΛΟΙ"/>
    <m/>
    <m/>
    <s v="Γ΄"/>
    <n v="1"/>
    <n v="1061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0-12-01T00:00:00"/>
    <x v="1"/>
    <s v="ΔΙΕΥΘΥΝΣΗ Π.Ε. Δ΄ ΑΘΗΝΑΣ"/>
    <x v="5"/>
  </r>
  <r>
    <x v="4419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0-11-09T00:00:00"/>
    <x v="1"/>
    <s v="ΔΙΕΥΘΥΝΣΗ Π.Ε. ΧΑΝΙΩΝ"/>
    <x v="5"/>
  </r>
  <r>
    <x v="4420"/>
    <x v="1"/>
    <s v="ΠΕ70"/>
    <s v="ΔΑΣΚΑΛΟΙ"/>
    <m/>
    <m/>
    <s v="Β΄"/>
    <n v="2"/>
    <m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4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0-10-27T00:00:00"/>
    <x v="1"/>
    <s v="ΔΙΕΥΘΥΝΣΗ Π.Ε. ΑΝΑΤΟΛΙΚΗΣ ΑΤΤΙΚΗΣ"/>
    <x v="5"/>
  </r>
  <r>
    <x v="4421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10-23T00:00:00"/>
    <x v="1"/>
    <s v="ΔΙΕΥΘΥΝΣΗ Π.Ε. Δ΄ ΑΘΗΝΑΣ"/>
    <x v="5"/>
  </r>
  <r>
    <x v="4422"/>
    <x v="1"/>
    <s v="ΠΕ70"/>
    <s v="ΔΑΣΚΑΛΟΙ"/>
    <m/>
    <m/>
    <s v="Γ΄"/>
    <n v="1"/>
    <n v="1159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8"/>
    <s v="ΙΔΙΩΤΙΚΟ ΔΗΜΟΤΙΚΟ - ΕΥΡΩΠΑΪΚΟ ΠΡΟΤΥΠ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0-10-19T00:00:00"/>
    <x v="1"/>
    <s v="ΔΙΕΥΘΥΝΣΗ Π.Ε. Δ΄ ΑΘΗΝΑΣ"/>
    <x v="5"/>
  </r>
  <r>
    <x v="4423"/>
    <x v="1"/>
    <s v="ΠΕ70"/>
    <s v="ΔΑΣΚΑΛΟΙ"/>
    <m/>
    <m/>
    <s v="Γ΄"/>
    <n v="1"/>
    <n v="1291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0-10-18T00:00:00"/>
    <x v="1"/>
    <s v="ΔΙΕΥΘΥΝΣΗ Π.Ε. Δ΄ ΑΘΗΝΑΣ"/>
    <x v="5"/>
  </r>
  <r>
    <x v="4424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90-10-14T00:00:00"/>
    <x v="1"/>
    <s v="ΔΙΕΥΘΥΝΣΗ Π.Ε. Α΄ ΑΘΗΝΑΣ"/>
    <x v="5"/>
  </r>
  <r>
    <x v="4425"/>
    <x v="1"/>
    <s v="ΠΕ70"/>
    <s v="ΔΑΣΚΑΛΟΙ"/>
    <m/>
    <m/>
    <s v="Γ΄"/>
    <n v="1"/>
    <n v="107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0"/>
    <s v="ΙΔΙΩΤΙΚΟ ΔΗΜΟΤΙΚΟ ΛΑΡΙΣΑ - Α.ΔΡΑΚΟΣ-Γ. ΜΑΛΑΧΤΑΡΗ ΟΕ ΕΛΛΗΝΙΚΑ ΕΚΠΑΙΔΕΥΤΗΡΙ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10-09T00:00:00"/>
    <x v="1"/>
    <s v="ΔΙΕΥΘΥΝΣΗ Π.Ε. ΛΑΡΙΣΑΣ"/>
    <x v="5"/>
  </r>
  <r>
    <x v="4426"/>
    <x v="1"/>
    <s v="ΠΕ70"/>
    <s v="ΔΑΣΚΑΛΟΙ"/>
    <m/>
    <m/>
    <s v="Γ΄"/>
    <n v="1"/>
    <s v="ΩΨ5Κ4653ΠΣ-929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10-08T00:00:00"/>
    <x v="1"/>
    <s v="ΔΙΕΥΘΥΝΣΗ Π.Ε. Δ΄ ΑΘΗΝΑΣ"/>
    <x v="5"/>
  </r>
  <r>
    <x v="4427"/>
    <x v="1"/>
    <s v="ΠΕ70"/>
    <s v="ΔΑΣΚΑΛΟΙ"/>
    <m/>
    <m/>
    <s v="Γ΄"/>
    <n v="1"/>
    <n v="5009"/>
    <d v="2018-09-01T00:00:00"/>
    <s v="ΤΡΙΚΑΛΩΝ (Π.Ε.) 2018"/>
    <s v="ΔΙΕΥΘΥΝΣΗ Π.Ε. ΤΡΙΚΑΛΩΝ"/>
    <s v="ΠΕΡΙΦΕΡΕΙΑΚΗ Δ/ΝΣΗ Α/ΘΜΙΑΣ ΚΑΙ Β/ΘΜΙΑΣ ΕΚΠ/ΣΗΣ ΘΕΣΣΑΛΙΑΣ"/>
    <n v="24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90-10-08T00:00:00"/>
    <x v="1"/>
    <s v="ΔΙΕΥΘΥΝΣΗ Π.Ε. ΤΡΙΚΑΛΩΝ"/>
    <x v="5"/>
  </r>
  <r>
    <x v="4428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10-02T00:00:00"/>
    <x v="1"/>
    <s v="ΔΙΕΥΘΥΝΣΗ Π.Ε. Β΄ ΑΘΗΝΑΣ"/>
    <x v="5"/>
  </r>
  <r>
    <x v="4429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10-02T00:00:00"/>
    <x v="1"/>
    <s v="ΔΙΕΥΘΥΝΣΗ Π.Ε. Β΄ ΑΘΗΝΑΣ"/>
    <x v="5"/>
  </r>
  <r>
    <x v="4430"/>
    <x v="0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2"/>
    <s v="ΙΔΙΩΤΙΚΟ ΔΗΜΟΤΙΚΟ ΣΧΟΛ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90-09-21T00:00:00"/>
    <x v="1"/>
    <s v="ΔΙΕΥΘΥΝΣΗ Π.Ε. Α΄ ΑΘΗΝΑΣ"/>
    <x v="5"/>
  </r>
  <r>
    <x v="4431"/>
    <x v="0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0-09-10T00:00:00"/>
    <x v="1"/>
    <s v="ΔΙΕΥΘΥΝΣΗ Π.Ε. Β΄ ΑΘΗΝΑΣ"/>
    <x v="5"/>
  </r>
  <r>
    <x v="4432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9-06T00:00:00"/>
    <x v="1"/>
    <s v="ΔΙΕΥΘΥΝΣΗ Π.Ε. Β΄ ΑΘΗΝΑΣ"/>
    <x v="5"/>
  </r>
  <r>
    <x v="4433"/>
    <x v="1"/>
    <s v="ΠΕ60"/>
    <s v="ΝΗΠΙΑΓΩΓΟΙ"/>
    <m/>
    <m/>
    <s v="Γ΄"/>
    <n v="1"/>
    <s v="23915/01-10-2018"/>
    <d v="2018-09-1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12T00:00:00"/>
    <s v="Ιδιωτικά Σχολεία"/>
    <x v="1"/>
    <s v="7191041"/>
    <s v="ΙΔΙΩΤΙΚΟ ΝΗΠΙΑΓΩΓΕΙΟ ΚΑΛΑΜΑΡΙΑ - ΜΟΝΤΕΣΣΟΡΙΑΝΗ ΣΧΟΛΗ ΖΑΦΡΑΝ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0-09-04T00:00:00"/>
    <x v="1"/>
    <s v="ΔΙΕΥΘΥΝΣΗ Π.Ε. ΑΝΑΤ. ΘΕΣ/ΝΙΚΗΣ"/>
    <x v="5"/>
  </r>
  <r>
    <x v="4434"/>
    <x v="1"/>
    <s v="ΠΕ70"/>
    <s v="ΔΑΣΚΑΛΟΙ"/>
    <m/>
    <m/>
    <s v="Γ΄"/>
    <n v="1"/>
    <n v="20319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8-26T00:00:00"/>
    <x v="1"/>
    <s v="ΔΙΕΥΘΥΝΣΗ Π.Ε. Δ΄ ΑΘΗΝΑΣ"/>
    <x v="5"/>
  </r>
  <r>
    <x v="4435"/>
    <x v="1"/>
    <s v="ΠΕ60"/>
    <s v="ΝΗΠΙΑΓΩΓΟΙ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19"/>
    <s v="Ιδιωτικό νηπιαγωγείο THE ZOO CLUB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0-08-09T00:00:00"/>
    <x v="1"/>
    <s v="ΔΙΕΥΘΥΝΣΗ Π.Ε. ΑΝΑΤ. ΘΕΣ/ΝΙΚΗΣ"/>
    <x v="5"/>
  </r>
  <r>
    <x v="4436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7-28T00:00:00"/>
    <x v="1"/>
    <s v="ΔΙΕΥΘΥΝΣΗ Π.Ε. Β΄ ΑΘΗΝΑΣ"/>
    <x v="5"/>
  </r>
  <r>
    <x v="4437"/>
    <x v="1"/>
    <s v="ΠΕ70"/>
    <s v="ΔΑΣΚΑΛΟΙ"/>
    <m/>
    <m/>
    <s v="Γ΄"/>
    <n v="1"/>
    <n v="943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07-21T00:00:00"/>
    <x v="1"/>
    <s v="ΔΙΕΥΘΥΝΣΗ Π.Ε. ΛΑΡΙΣΑΣ"/>
    <x v="5"/>
  </r>
  <r>
    <x v="4438"/>
    <x v="1"/>
    <s v="ΠΕ70"/>
    <s v="ΔΑΣΚΑΛΟΙ"/>
    <m/>
    <m/>
    <s v="Γ΄"/>
    <n v="1"/>
    <s v="Φ.17/5739/31-08-2018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90-07-06T00:00:00"/>
    <x v="1"/>
    <s v="ΔΙΕΥΘΥΝΣΗ Π.Ε. ΙΩΑΝΝΙΝΩΝ"/>
    <x v="5"/>
  </r>
  <r>
    <x v="4439"/>
    <x v="1"/>
    <s v="ΠΕ70"/>
    <s v="ΔΑΣΚΑΛΟΙ"/>
    <m/>
    <m/>
    <s v="Γ΄"/>
    <n v="1"/>
    <s v="ΩΣΥΗ4653ΠΣ-Ζ0Ζ"/>
    <d v="2016-01-27T00:00:00"/>
    <s v="Δ΄ ΑΘΗΝΑΣ (Π.Ε.) 2018"/>
    <s v="ΔΙΕΥΘΥΝΣΗ Π.Ε. Δ΄ ΑΘΗΝΑΣ"/>
    <s v="ΠΕΡΙΦΕΡΕΙΑΚΗ Δ/ΝΣΗ Α/ΘΜΙΑΣ ΚΑΙ Β/ΘΜΙΑΣ ΕΚΠ/ΣΗΣ ΑΤΤΙΚΗΣ"/>
    <n v="24"/>
    <d v="2016-01-28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7-02T00:00:00"/>
    <x v="1"/>
    <s v="ΔΙΕΥΘΥΝΣΗ Π.Ε. Δ΄ ΑΘΗΝΑΣ"/>
    <x v="5"/>
  </r>
  <r>
    <x v="4440"/>
    <x v="1"/>
    <s v="ΠΕ70"/>
    <s v="ΔΑΣΚΑΛ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06-29T00:00:00"/>
    <x v="1"/>
    <s v="ΔΙΕΥΘΥΝΣΗ Π.Ε. ΑΝΑΤ. ΘΕΣ/ΝΙΚΗΣ"/>
    <x v="5"/>
  </r>
  <r>
    <x v="4441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90-06-20T00:00:00"/>
    <x v="1"/>
    <s v="ΔΙΕΥΘΥΝΣΗ Π.Ε. Β΄ ΑΘΗΝΑΣ"/>
    <x v="5"/>
  </r>
  <r>
    <x v="4442"/>
    <x v="1"/>
    <s v="ΠΕ70"/>
    <s v="ΔΑΣΚΑΛΟΙ"/>
    <m/>
    <m/>
    <s v="Β΄"/>
    <n v="2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6-15T00:00:00"/>
    <x v="1"/>
    <s v="ΔΙΕΥΘΥΝΣΗ Π.Ε. Δ΄ ΑΘΗΝΑΣ"/>
    <x v="5"/>
  </r>
  <r>
    <x v="4443"/>
    <x v="1"/>
    <s v="ΠΕ70"/>
    <s v="ΔΑΣΚΑΛΟΙ"/>
    <m/>
    <m/>
    <s v="Γ΄"/>
    <n v="1"/>
    <n v="9345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06-12T00:00:00"/>
    <x v="1"/>
    <s v="ΔΙΕΥΘΥΝΣΗ Π.Ε. ΛΑΡΙΣΑΣ"/>
    <x v="5"/>
  </r>
  <r>
    <x v="4444"/>
    <x v="1"/>
    <s v="ΠΕ70"/>
    <s v="ΔΑΣΚΑΛ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90-05-31T00:00:00"/>
    <x v="1"/>
    <s v="ΔΙΕΥΘΥΝΣΗ Π.Ε. ΜΕΣΣΗΝΙΑΣ"/>
    <x v="5"/>
  </r>
  <r>
    <x v="4445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0-05-28T00:00:00"/>
    <x v="1"/>
    <s v="ΔΙΕΥΘΥΝΣΗ Π.Ε. ΠΕΙΡΑΙΑ"/>
    <x v="5"/>
  </r>
  <r>
    <x v="4446"/>
    <x v="1"/>
    <s v="ΠΕ60"/>
    <s v="ΝΗΠΙΑΓΩΓΟΙ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13"/>
    <s v="Iδωτικό νηπιαγωγείο &quot;Μητέρα ΙΙ&quot; 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0-05-28T00:00:00"/>
    <x v="1"/>
    <s v="ΔΙΕΥΘΥΝΣΗ Π.Ε. ΑΝΑΤ. ΘΕΣ/ΝΙΚΗΣ"/>
    <x v="5"/>
  </r>
  <r>
    <x v="4447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90-05-22T00:00:00"/>
    <x v="1"/>
    <s v="ΔΙΕΥΘΥΝΣΗ Π.Ε. Α΄ ΑΘΗΝΑΣ"/>
    <x v="5"/>
  </r>
  <r>
    <x v="4448"/>
    <x v="0"/>
    <s v="ΠΕ70"/>
    <s v="ΔΑΣΚΑΛΟΙ"/>
    <m/>
    <m/>
    <s v="Γ΄"/>
    <n v="1"/>
    <n v="10354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0-05-10T00:00:00"/>
    <x v="1"/>
    <s v="ΔΙΕΥΘΥΝΣΗ Π.Ε. ΔΥΤ. ΘΕΣ/ΝΙΚΗΣ"/>
    <x v="5"/>
  </r>
  <r>
    <x v="4449"/>
    <x v="1"/>
    <s v="ΠΕ70"/>
    <s v="ΔΑΣΚΑΛΟΙ"/>
    <m/>
    <m/>
    <s v="Β΄"/>
    <n v="2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5-05T00:00:00"/>
    <x v="1"/>
    <s v="ΔΙΕΥΘΥΝΣΗ Π.Ε. Δ΄ ΑΘΗΝΑΣ"/>
    <x v="5"/>
  </r>
  <r>
    <x v="4450"/>
    <x v="1"/>
    <s v="ΠΕ70"/>
    <s v="ΔΑΣΚΑΛΟΙ"/>
    <m/>
    <m/>
    <s v="Γ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0"/>
    <s v="ΙΔΙΩΤΙΚΟ ΔΗΜΟΤΙΚΟ ΣΧΟΛΕΙΟ ΓΕΝΙΚΗΣ ΑΡΜΕΝΙΚΗΣ ΕΝΩΣΗΣ ΑΓΑΘΟΕΡΓΙΑ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5-01T00:00:00"/>
    <x v="1"/>
    <s v="ΔΙΕΥΘΥΝΣΗ Π.Ε. Δ΄ ΑΘΗΝΑΣ"/>
    <x v="5"/>
  </r>
  <r>
    <x v="4451"/>
    <x v="1"/>
    <s v="ΠΕ60"/>
    <s v="ΝΗΠΙΑΓΩΓΟΙ"/>
    <m/>
    <m/>
    <s v="Γ΄"/>
    <n v="1"/>
    <s v="21350/13-09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5"/>
    <s v="ΙΔΙΩΤΙΚΟ ΣΥΣΤΕΓΑΖΟΜΕΝΟ ΝΗΠΙΑΓΩΓΕΙΟ - REGGIO - THESSALONIKH, προσέγγιση Reggio Emilia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04-27T00:00:00"/>
    <x v="1"/>
    <s v="ΔΙΕΥΘΥΝΣΗ Π.Ε. ΑΝΑΤ. ΘΕΣ/ΝΙΚΗΣ"/>
    <x v="5"/>
  </r>
  <r>
    <x v="4452"/>
    <x v="1"/>
    <s v="ΠΕ70"/>
    <s v="ΔΑΣΚΑΛΟΙ"/>
    <m/>
    <m/>
    <s v="Γ΄"/>
    <n v="1"/>
    <n v="7170"/>
    <d v="2018-09-26T00:00:00"/>
    <s v="ΛΑΡΙΣΑΣ (Π.Ε.) 2018"/>
    <s v="ΔΙΕΥΘΥΝΣΗ Π.Ε. ΛΑΡΙΣΑΣ"/>
    <s v="ΠΕΡΙΦΕΡΕΙΑΚΗ Δ/ΝΣΗ Α/ΘΜΙΑΣ ΚΑΙ Β/ΘΜΙΑΣ ΕΚΠ/ΣΗΣ ΘΕΣΣΑΛΙΑΣ"/>
    <n v="24"/>
    <d v="2018-09-26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0-04-17T00:00:00"/>
    <x v="1"/>
    <s v="ΔΙΕΥΘΥΝΣΗ Π.Ε. ΛΑΡΙΣΑΣ"/>
    <x v="5"/>
  </r>
  <r>
    <x v="4453"/>
    <x v="1"/>
    <s v="ΠΕ70"/>
    <s v="ΔΑΣΚΑΛΟΙ"/>
    <m/>
    <m/>
    <s v="Γ΄"/>
    <n v="1"/>
    <n v="5076"/>
    <d v="2018-09-03T00:00:00"/>
    <s v="ΜΕΣΣΗΝΙΑΣ (Π.Ε.) 2018"/>
    <s v="ΔΙΕΥΘΥΝΣΗ Π.Ε. ΜΕΣΣΗΝΙΑΣ"/>
    <s v="ΠΕΡΙΦΕΡΕΙΑΚΗ Δ/ΝΣΗ Α/ΘΜΙΑΣ ΚΑΙ Β/ΘΜΙΑΣ ΕΚΠ/ΣΗΣ ΠΕΛΟΠΟΝΝΗΣΟΥ"/>
    <n v="24"/>
    <d v="2018-09-03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0"/>
    <s v="Τοποθέτηση σε Ιδιωτική Εκπαίδευση"/>
    <d v="1990-04-12T00:00:00"/>
    <x v="1"/>
    <s v="ΔΙΕΥΘΥΝΣΗ Π.Ε. ΜΕΣΣΗΝΙΑΣ"/>
    <x v="5"/>
  </r>
  <r>
    <x v="4454"/>
    <x v="1"/>
    <s v="ΠΕ70"/>
    <s v="ΔΑΣΚΑΛΟΙ"/>
    <m/>
    <m/>
    <s v="Γ΄"/>
    <n v="1"/>
    <s v="Φ.Ι.Α.6/24909/30-11-2017"/>
    <d v="2017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7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90-03-31T00:00:00"/>
    <x v="1"/>
    <s v="ΔΙΕΥΘΥΝΣΗ Π.Ε. ΑΝΑΤΟΛΙΚΗΣ ΑΤΤΙΚΗΣ"/>
    <x v="5"/>
  </r>
  <r>
    <x v="4455"/>
    <x v="1"/>
    <s v="ΠΕ70"/>
    <s v="ΔΑΣΚΑΛΟΙ"/>
    <m/>
    <m/>
    <s v="Γ΄"/>
    <n v="1"/>
    <n v="676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03-28T00:00:00"/>
    <x v="1"/>
    <s v="ΔΙΕΥΘΥΝΣΗ Π.Ε. ΛΑΡΙΣΑΣ"/>
    <x v="5"/>
  </r>
  <r>
    <x v="4456"/>
    <x v="1"/>
    <s v="ΠΕ70"/>
    <s v="ΔΑΣΚΑΛ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0-03-25T00:00:00"/>
    <x v="1"/>
    <s v="ΔΙΕΥΘΥΝΣΗ Π.Ε. ΛΑΡΙΣΑΣ"/>
    <x v="5"/>
  </r>
  <r>
    <x v="4457"/>
    <x v="1"/>
    <s v="ΠΕ60"/>
    <s v="ΝΗΠΙΑΓΩΓΟΙ"/>
    <m/>
    <m/>
    <s v="Γ΄"/>
    <n v="1"/>
    <n v="10359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6T00:00:00"/>
    <s v="Ιδιωτικά Σχολεία"/>
    <x v="1"/>
    <s v="7192017"/>
    <s v="ΙΔΙΩΤΙΚΟ ΝΗΠΙΑΓΩΓΕΙ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0-03-24T00:00:00"/>
    <x v="1"/>
    <s v="ΔΙΕΥΘΥΝΣΗ Π.Ε. ΔΥΤ. ΘΕΣ/ΝΙΚΗΣ"/>
    <x v="5"/>
  </r>
  <r>
    <x v="4458"/>
    <x v="1"/>
    <s v="ΠΕ70"/>
    <s v="ΔΑΣΚΑΛΟΙ"/>
    <m/>
    <m/>
    <s v="Γ΄"/>
    <n v="1"/>
    <s v="ΩΛΟΥ4653ΠΣ-ΝΗ4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90-03-20T00:00:00"/>
    <x v="1"/>
    <s v="ΔΙΕΥΘΥΝΣΗ Π.Ε. ΑΙΤΩΛΟΑΚΑΡΝΑΝΙΑΣ"/>
    <x v="5"/>
  </r>
  <r>
    <x v="4459"/>
    <x v="1"/>
    <s v="ΠΕ70"/>
    <s v="ΔΑΣΚΑΛΟΙ"/>
    <m/>
    <m/>
    <s v="Γ΄"/>
    <n v="1"/>
    <n v="17565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0-03-18T00:00:00"/>
    <x v="1"/>
    <s v="ΔΙΕΥΘΥΝΣΗ Π.Ε. ΠΕΙΡΑΙΑ"/>
    <x v="5"/>
  </r>
  <r>
    <x v="4460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3-10T00:00:00"/>
    <x v="1"/>
    <s v="ΔΙΕΥΘΥΝΣΗ Π.Ε. Β΄ ΑΘΗΝΑΣ"/>
    <x v="5"/>
  </r>
  <r>
    <x v="4461"/>
    <x v="1"/>
    <s v="ΠΕ70"/>
    <s v="ΔΑΣΚΑΛΟΙ"/>
    <m/>
    <m/>
    <s v="Γ΄"/>
    <n v="1"/>
    <n v="93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03-07T00:00:00"/>
    <x v="1"/>
    <s v="ΔΙΕΥΘΥΝΣΗ Π.Ε. ΛΑΡΙΣΑΣ"/>
    <x v="5"/>
  </r>
  <r>
    <x v="4462"/>
    <x v="1"/>
    <s v="ΠΕ70"/>
    <s v="ΔΑΣΚΑΛΟΙ"/>
    <m/>
    <m/>
    <s v="Γ΄"/>
    <n v="1"/>
    <s v="ΩΞ484653ΠΣ-Ι78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3T00:00:00"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0-02-28T00:00:00"/>
    <x v="1"/>
    <s v="ΔΙΕΥΘΥΝΣΗ Π.Ε. ΔΥΤ. ΘΕΣ/ΝΙΚΗΣ"/>
    <x v="5"/>
  </r>
  <r>
    <x v="4463"/>
    <x v="1"/>
    <s v="ΠΕ70"/>
    <s v="ΔΑΣΚΑΛΟΙ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90-02-18T00:00:00"/>
    <x v="1"/>
    <s v="ΔΙΕΥΘΥΝΣΗ Π.Ε. ΚΥΚΛΑΔΩΝ"/>
    <x v="5"/>
  </r>
  <r>
    <x v="4464"/>
    <x v="0"/>
    <s v="ΠΕ70"/>
    <s v="ΔΑΣΚΑΛ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90-01-26T00:00:00"/>
    <x v="1"/>
    <s v="ΔΙΕΥΘΥΝΣΗ Π.Ε. ΗΡΑΚΛΕΙΟΥ"/>
    <x v="5"/>
  </r>
  <r>
    <x v="4465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1-19T00:00:00"/>
    <x v="1"/>
    <s v="ΔΙΕΥΘΥΝΣΗ Π.Ε. Β΄ ΑΘΗΝΑΣ"/>
    <x v="5"/>
  </r>
  <r>
    <x v="4466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01-14T00:00:00"/>
    <x v="1"/>
    <s v="ΔΙΕΥΘΥΝΣΗ Π.Ε. ΛΑΡΙΣΑΣ"/>
    <x v="5"/>
  </r>
  <r>
    <x v="4467"/>
    <x v="0"/>
    <s v="ΠΕ70"/>
    <s v="ΔΑΣΚΑΛΟΙ"/>
    <m/>
    <m/>
    <s v="Γ΄"/>
    <n v="1"/>
    <s v="ΩΒΣΦ4653ΠΣ-4ΦΟ"/>
    <d v="2018-09-26T00:00:00"/>
    <s v="ΞΑΝΘΗΣ (Π.Ε.) 2018"/>
    <s v="ΔΙΕΥΘΥΝΣΗ Π.Ε. ΞΑΝΘΗΣ"/>
    <s v="ΠΕΡΙΦΕΡΕΙΑΚΗ Δ/ΝΣΗ Α/ΘΜΙΑΣ ΚΑΙ Β/ΘΜΙΑΣ ΕΚΠ/ΣΗΣ ΑΝ. ΜΑΚΕΔΟΝΙΑΣ ΚΑΙ ΘΡΑΚΗΣ"/>
    <n v="24"/>
    <d v="2018-09-26T00:00:00"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0"/>
    <s v="Τοποθέτηση σε Ιδιωτική Εκπαίδευση"/>
    <d v="1990-01-01T00:00:00"/>
    <x v="1"/>
    <s v="ΔΙΕΥΘΥΝΣΗ Π.Ε. ΞΑΝΘΗΣ"/>
    <x v="5"/>
  </r>
  <r>
    <x v="4468"/>
    <x v="1"/>
    <s v="ΠΕ70"/>
    <s v="ΔΑΣΚΑΛΟΙ"/>
    <m/>
    <m/>
    <s v="Α΄"/>
    <n v="1"/>
    <s v="ΩΗΛΖ9-50Ζ"/>
    <d v="2015-01-23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01-27T00:00:00"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0-01-01T00:00:00"/>
    <x v="1"/>
    <s v="ΔΙΕΥΘΥΝΣΗ Π.Ε. ΑΝΑΤΟΛΙΚΗΣ ΑΤΤΙΚΗΣ"/>
    <x v="5"/>
  </r>
  <r>
    <x v="4469"/>
    <x v="1"/>
    <s v="ΠΕ70"/>
    <s v="ΔΑΣΚΑΛΟΙ"/>
    <m/>
    <m/>
    <s v="Γ΄"/>
    <n v="1"/>
    <s v="635Ν4653ΠΣ-ΖΥΜ"/>
    <d v="2016-01-27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6-01-28T00:00:00"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0-01-01T00:00:00"/>
    <x v="1"/>
    <s v="ΔΙΕΥΘΥΝΣΗ Π.Ε. ΑΝΑΤΟΛΙΚΗΣ ΑΤΤΙΚΗΣ"/>
    <x v="5"/>
  </r>
  <r>
    <x v="4470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1-01T00:00:00"/>
    <x v="1"/>
    <s v="ΔΙΕΥΘΥΝΣΗ Π.Ε. Β΄ ΑΘΗΝΑΣ"/>
    <x v="5"/>
  </r>
  <r>
    <x v="4471"/>
    <x v="1"/>
    <s v="ΠΕ70"/>
    <s v="ΔΑΣΚΑΛΟΙ"/>
    <m/>
    <m/>
    <s v="Α΄"/>
    <n v="1"/>
    <s v="67249-403"/>
    <d v="2015-01-23T00:00:00"/>
    <s v="Β΄ ΑΘΗΝΑΣ (Π.Ε.) 2018"/>
    <s v="ΔΙΕΥΘΥΝΣΗ Π.Ε. Β΄ ΑΘΗΝΑΣ"/>
    <s v="ΠΕΡΙΦΕΡΕΙΑΚΗ Δ/ΝΣΗ Α/ΘΜΙΑΣ ΚΑΙ Β/ΘΜΙΑΣ ΕΚΠ/ΣΗΣ ΑΤΤΙΚΗΣ"/>
    <n v="24"/>
    <d v="2015-01-27T00:00:00"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1-01T00:00:00"/>
    <x v="1"/>
    <s v="ΔΙΕΥΘΥΝΣΗ Π.Ε. Β΄ ΑΘΗΝΑΣ"/>
    <x v="5"/>
  </r>
  <r>
    <x v="4472"/>
    <x v="1"/>
    <s v="ΠΕ70"/>
    <s v="ΔΑΣΚΑΛΟΙ"/>
    <m/>
    <m/>
    <s v="Γ΄"/>
    <n v="1"/>
    <n v="112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0-01-01T00:00:00"/>
    <x v="1"/>
    <s v="ΔΙΕΥΘΥΝΣΗ Π.Ε. Δ΄ ΑΘΗΝΑΣ"/>
    <x v="5"/>
  </r>
  <r>
    <x v="4473"/>
    <x v="1"/>
    <s v="ΠΕ70"/>
    <s v="ΔΑΣΚΑΛΟΙ"/>
    <m/>
    <m/>
    <s v="Γ΄"/>
    <n v="1"/>
    <s v="Ω6ΝΩ4653ΠΣ-ΞΚ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0-01-01T00:00:00"/>
    <x v="1"/>
    <s v="ΔΙΕΥΘΥΝΣΗ Π.Ε. Δ΄ ΑΘΗΝΑΣ"/>
    <x v="5"/>
  </r>
  <r>
    <x v="4474"/>
    <x v="1"/>
    <s v="ΠΕ70"/>
    <s v="ΔΑΣΚΑΛΟΙ"/>
    <m/>
    <m/>
    <s v="Α΄"/>
    <n v="1"/>
    <s v="73ΗΔ4653ΠΣ-ΣΣΝ"/>
    <d v="2016-04-11T00:00:00"/>
    <s v="Α΄ ΠΕΙΡΑΙΑ (Π.Ε.) 2018"/>
    <s v="ΔΙΕΥΘΥΝΣΗ Π.Ε. ΠΕΙΡΑΙΑ"/>
    <s v="ΠΕΡΙΦΕΡΕΙΑΚΗ Δ/ΝΣΗ Α/ΘΜΙΑΣ ΚΑΙ Β/ΘΜΙΑΣ ΕΚΠ/ΣΗΣ ΑΤΤΙΚΗΣ"/>
    <n v="24"/>
    <d v="2016-04-11T00:00:00"/>
    <s v="Ιδιωτικά Σχολεία"/>
    <x v="4"/>
    <s v="7541026"/>
    <s v="ΙΔΙΩΤΙΚΟ ΔΗΜΟΤΙΚ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0-01-01T00:00:00"/>
    <x v="1"/>
    <s v="ΔΙΕΥΘΥΝΣΗ Π.Ε. ΠΕΙΡΑΙΑ"/>
    <x v="5"/>
  </r>
  <r>
    <x v="4475"/>
    <x v="1"/>
    <s v="ΠΕ70"/>
    <s v="ΔΑΣΚΑΛΟΙ"/>
    <m/>
    <m/>
    <s v="Γ΄"/>
    <n v="1"/>
    <s v="7Β654653ΠΣ-ΞΩΟ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90-01-01T00:00:00"/>
    <x v="1"/>
    <s v="ΔΙΕΥΘΥΝΣΗ Π.Ε. ΑΧΑΪΑΣ"/>
    <x v="5"/>
  </r>
  <r>
    <x v="4476"/>
    <x v="1"/>
    <s v="ΠΕ70"/>
    <s v="ΔΑΣΚΑΛΟΙ"/>
    <m/>
    <m/>
    <s v="Γ΄"/>
    <n v="1"/>
    <s v="83/3-9-2018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0-01-01T00:00:00"/>
    <x v="1"/>
    <s v="ΔΙΕΥΘΥΝΣΗ Π.Ε. ΛΑΡΙΣΑΣ"/>
    <x v="5"/>
  </r>
  <r>
    <x v="4477"/>
    <x v="1"/>
    <s v="ΠΕ70"/>
    <s v="ΔΑΣΚΑΛΟΙ"/>
    <m/>
    <m/>
    <s v="Γ΄"/>
    <n v="1"/>
    <s v="6773/17-09-2018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90-01-01T00:00:00"/>
    <x v="1"/>
    <s v="ΔΙΕΥΘΥΝΣΗ Π.Ε. ΛΑΡΙΣΑΣ"/>
    <x v="5"/>
  </r>
  <r>
    <x v="4478"/>
    <x v="1"/>
    <s v="ΠΕ70"/>
    <s v="ΔΑΣΚΑΛ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90-01-01T00:00:00"/>
    <x v="1"/>
    <s v="ΔΙΕΥΘΥΝΣΗ Π.Ε. ΛΑΡΙΣΑΣ"/>
    <x v="5"/>
  </r>
  <r>
    <x v="4479"/>
    <x v="1"/>
    <s v="ΠΕ70"/>
    <s v="ΔΑΣΚΑΛΟΙ"/>
    <m/>
    <m/>
    <s v="Γ΄"/>
    <n v="1"/>
    <d v="2016-10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0-01-01T00:00:00"/>
    <x v="1"/>
    <s v="ΔΙΕΥΘΥΝΣΗ Π.Ε. ΑΝΑΤ. ΘΕΣ/ΝΙΚΗΣ"/>
    <x v="5"/>
  </r>
  <r>
    <x v="4480"/>
    <x v="1"/>
    <s v="ΠΕ70"/>
    <s v="ΔΑΣΚΑΛΟΙ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90-01-01T00:00:00"/>
    <x v="1"/>
    <s v="ΔΙΕΥΘΥΝΣΗ Π.Ε. ΑΝΑΤ. ΘΕΣ/ΝΙΚΗΣ"/>
    <x v="5"/>
  </r>
  <r>
    <x v="4481"/>
    <x v="1"/>
    <s v="ΠΕ70"/>
    <s v="ΔΑΣΚΑΛΟΙ"/>
    <m/>
    <m/>
    <s v="Α΄"/>
    <n v="1"/>
    <s v="7Β654653ΠΣ-ΞΩΟ"/>
    <d v="2016-01-18T00:00:00"/>
    <s v="ΧΑΝΙΩΝ (Π.Ε.) 2018"/>
    <s v="ΔΙΕΥΘΥΝΣΗ Π.Ε. ΧΑΝΙΩΝ"/>
    <s v="ΠΕΡΙΦΕΡΕΙΑΚΗ Δ/ΝΣΗ Α/ΘΜΙΑΣ ΚΑΙ Β/ΘΜΙΑΣ ΕΚΠ/ΣΗΣ ΚΡΗΤΗΣ"/>
    <n v="24"/>
    <d v="2016-01-18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0-01-01T00:00:00"/>
    <x v="1"/>
    <s v="ΔΙΕΥΘΥΝΣΗ Π.Ε. ΧΑΝΙΩΝ"/>
    <x v="5"/>
  </r>
  <r>
    <x v="4482"/>
    <x v="1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89-12-28T00:00:00"/>
    <x v="1"/>
    <s v="ΔΙΕΥΘΥΝΣΗ Π.Ε. ΑΝΑΤ. ΘΕΣ/ΝΙΚΗΣ"/>
    <x v="5"/>
  </r>
  <r>
    <x v="4483"/>
    <x v="1"/>
    <s v="ΠΕ70"/>
    <s v="ΔΑΣΚΑΛΟΙ"/>
    <m/>
    <m/>
    <s v="Γ΄"/>
    <n v="1"/>
    <n v="17054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9-12-26T00:00:00"/>
    <x v="1"/>
    <s v="ΔΙΕΥΘΥΝΣΗ Π.Ε. ΠΕΙΡΑΙΑ"/>
    <x v="5"/>
  </r>
  <r>
    <x v="4484"/>
    <x v="1"/>
    <s v="ΠΕ70"/>
    <s v="ΔΑΣΚΑΛΟΙ"/>
    <m/>
    <m/>
    <s v="Γ΄"/>
    <n v="5"/>
    <n v="93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9-12-23T00:00:00"/>
    <x v="1"/>
    <s v="ΔΙΕΥΘΥΝΣΗ Π.Ε. ΛΑΡΙΣΑΣ"/>
    <x v="5"/>
  </r>
  <r>
    <x v="4485"/>
    <x v="1"/>
    <s v="ΠΕ70"/>
    <s v="ΔΑΣΚΑΛΟΙ"/>
    <m/>
    <m/>
    <s v="Β΄"/>
    <n v="2"/>
    <s v="6Δ8Ε4653ΠΣ-ΜΞΧ"/>
    <d v="2017-04-04T00:00:00"/>
    <s v="Δ΄ ΑΘΗΝΑΣ (Π.Ε.) 2018"/>
    <s v="ΔΙΕΥΘΥΝΣΗ Π.Ε. Δ΄ ΑΘΗΝΑΣ"/>
    <s v="ΠΕΡΙΦΕΡΕΙΑΚΗ Δ/ΝΣΗ Α/ΘΜΙΑΣ ΚΑΙ Β/ΘΜΙΑΣ ΕΚΠ/ΣΗΣ ΑΤΤΙΚΗΣ"/>
    <n v="24"/>
    <d v="2017-04-04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12-22T00:00:00"/>
    <x v="1"/>
    <s v="ΔΙΕΥΘΥΝΣΗ Π.Ε. Δ΄ ΑΘΗΝΑΣ"/>
    <x v="5"/>
  </r>
  <r>
    <x v="4486"/>
    <x v="0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12-19T00:00:00"/>
    <x v="1"/>
    <s v="ΔΙΕΥΘΥΝΣΗ Π.Ε. ΠΕΙΡΑΙΑ"/>
    <x v="5"/>
  </r>
  <r>
    <x v="4487"/>
    <x v="1"/>
    <s v="ΠΕ70"/>
    <s v="ΔΑΣΚΑΛΟΙ"/>
    <m/>
    <m/>
    <s v="Γ΄"/>
    <n v="1"/>
    <n v="1459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12-12T00:00:00"/>
    <x v="1"/>
    <s v="ΔΙΕΥΘΥΝΣΗ Π.Ε. Δ΄ ΑΘΗΝΑΣ"/>
    <x v="5"/>
  </r>
  <r>
    <x v="4488"/>
    <x v="1"/>
    <s v="ΠΕ70"/>
    <s v="ΔΑΣΚΑΛΟΙ"/>
    <m/>
    <m/>
    <s v="Γ΄"/>
    <n v="3"/>
    <s v="Φ.17.2/250/8203"/>
    <d v="2018-10-15T00:00:00"/>
    <s v="Β΄ ΑΘΗΝΑΣ (Π.Ε.) 2018"/>
    <s v="ΔΙΕΥΘΥΝΣΗ Π.Ε. Β΄ ΑΘΗΝΑΣ"/>
    <s v="ΠΕΡΙΦΕΡΕΙΑΚΗ Δ/ΝΣΗ Α/ΘΜΙΑΣ ΚΑΙ Β/ΘΜΙΑΣ ΕΚΠ/ΣΗΣ ΑΤΤΙΚΗΣ"/>
    <n v="24"/>
    <d v="2018-10-15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9-12-06T00:00:00"/>
    <x v="1"/>
    <s v="ΔΙΕΥΘΥΝΣΗ Π.Ε. Β΄ ΑΘΗΝΑΣ"/>
    <x v="5"/>
  </r>
  <r>
    <x v="4489"/>
    <x v="1"/>
    <s v="ΠΕ70"/>
    <s v="ΔΑΣΚΑΛ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9-12-05T00:00:00"/>
    <x v="1"/>
    <s v="ΔΙΕΥΘΥΝΣΗ Π.Ε. ΜΕΣΣΗΝΙΑΣ"/>
    <x v="5"/>
  </r>
  <r>
    <x v="4490"/>
    <x v="0"/>
    <s v="ΠΕ70.50"/>
    <s v="ΔΑΣΚΑΛΟΙ ΕΙΔΙΚΗΣ ΑΓΩΓΗ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12-03T00:00:00"/>
    <x v="1"/>
    <s v="ΔΙΕΥΘΥΝΣΗ Π.Ε. ΑΝΑΤ. ΘΕΣ/ΝΙΚΗΣ"/>
    <x v="5"/>
  </r>
  <r>
    <x v="4491"/>
    <x v="1"/>
    <s v="ΠΕ70"/>
    <s v="ΔΑΣΚΑΛΟΙ"/>
    <m/>
    <m/>
    <s v="Γ΄"/>
    <n v="1"/>
    <n v="1061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11-28T00:00:00"/>
    <x v="1"/>
    <s v="ΔΙΕΥΘΥΝΣΗ Π.Ε. Δ΄ ΑΘΗΝΑΣ"/>
    <x v="5"/>
  </r>
  <r>
    <x v="4492"/>
    <x v="1"/>
    <s v="ΠΕ60"/>
    <s v="ΝΗΠΙΑΓΩΓΟΙ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11-25T00:00:00"/>
    <x v="1"/>
    <s v="ΔΙΕΥΘΥΝΣΗ Π.Ε. ΑΝΑΤ. ΘΕΣ/ΝΙΚΗΣ"/>
    <x v="5"/>
  </r>
  <r>
    <x v="4493"/>
    <x v="1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11-24T00:00:00"/>
    <x v="1"/>
    <s v="ΔΙΕΥΘΥΝΣΗ Π.Ε. ΑΝΑΤ. ΘΕΣ/ΝΙΚΗΣ"/>
    <x v="5"/>
  </r>
  <r>
    <x v="4494"/>
    <x v="1"/>
    <s v="ΠΕ70"/>
    <s v="ΔΑΣΚΑΛΟΙ"/>
    <m/>
    <m/>
    <s v="Γ΄"/>
    <n v="1"/>
    <s v="73Ρ84653ΠΣ-ΟΥΔ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3T00:00:00"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89-11-13T00:00:00"/>
    <x v="1"/>
    <s v="ΔΙΕΥΘΥΝΣΗ Π.Ε. ΔΥΤ. ΘΕΣ/ΝΙΚΗΣ"/>
    <x v="5"/>
  </r>
  <r>
    <x v="4495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11-10T00:00:00"/>
    <x v="1"/>
    <s v="ΔΙΕΥΘΥΝΣΗ Π.Ε. Α΄ ΑΘΗΝΑΣ"/>
    <x v="5"/>
  </r>
  <r>
    <x v="4496"/>
    <x v="1"/>
    <s v="ΠΕ70"/>
    <s v="ΔΑΣΚΑΛΟΙ"/>
    <m/>
    <m/>
    <s v="Γ΄"/>
    <n v="1"/>
    <s v="6ΩΘΝ4653ΠΣ-ΜΘΡ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0"/>
    <s v="ΙΔΙΩΤΙΚΟ ΔΗΜΟΤΙΚΟ - ΠΑΝ. ΚΟΥΤΣΟΜΑΛΗΣ &amp; ΣΙΑ Ε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11-10T00:00:00"/>
    <x v="1"/>
    <s v="ΔΙΕΥΘΥΝΣΗ Π.Ε. Δ΄ ΑΘΗΝΑΣ"/>
    <x v="5"/>
  </r>
  <r>
    <x v="4497"/>
    <x v="0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11-07T00:00:00"/>
    <x v="1"/>
    <s v="ΔΙΕΥΘΥΝΣΗ Π.Ε. ΑΝΑΤΟΛΙΚΗΣ ΑΤΤΙΚΗΣ"/>
    <x v="5"/>
  </r>
  <r>
    <x v="4498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9-10-31T00:00:00"/>
    <x v="1"/>
    <s v="ΔΙΕΥΘΥΝΣΗ Π.Ε. ΛΑΡΙΣΑΣ"/>
    <x v="5"/>
  </r>
  <r>
    <x v="4499"/>
    <x v="1"/>
    <s v="ΠΕ70"/>
    <s v="ΔΑΣΚΑΛ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9-10-19T00:00:00"/>
    <x v="1"/>
    <s v="ΔΙΕΥΘΥΝΣΗ Π.Ε. ΛΑΡΙΣΑΣ"/>
    <x v="5"/>
  </r>
  <r>
    <x v="4500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10-13T00:00:00"/>
    <x v="1"/>
    <s v="ΔΙΕΥΘΥΝΣΗ Π.Ε. ΠΕΙΡΑΙΑ"/>
    <x v="5"/>
  </r>
  <r>
    <x v="4501"/>
    <x v="0"/>
    <s v="ΠΕ70"/>
    <s v="ΔΑΣΚΑΛΟΙ"/>
    <m/>
    <m/>
    <s v="Β΄"/>
    <n v="5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9-10-13T00:00:00"/>
    <x v="1"/>
    <s v="ΔΙΕΥΘΥΝΣΗ Π.Ε. ΔΥΤ. ΘΕΣ/ΝΙΚΗΣ"/>
    <x v="5"/>
  </r>
  <r>
    <x v="4502"/>
    <x v="1"/>
    <s v="ΠΕ70"/>
    <s v="ΔΑΣΚΑΛΟΙ"/>
    <m/>
    <m/>
    <s v="Β΄"/>
    <n v="3"/>
    <s v="Φ.Ι.Α.2/26374/9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10-03T00:00:00"/>
    <x v="1"/>
    <s v="ΔΙΕΥΘΥΝΣΗ Π.Ε. ΑΝΑΤΟΛΙΚΗΣ ΑΤΤΙΚΗΣ"/>
    <x v="5"/>
  </r>
  <r>
    <x v="4503"/>
    <x v="1"/>
    <s v="ΠΕ70"/>
    <s v="ΔΑΣΚΑΛΟΙ"/>
    <m/>
    <m/>
    <s v="Β΄"/>
    <n v="3"/>
    <s v="Φ.Ι.Α.2/26375/9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9-27T00:00:00"/>
    <x v="1"/>
    <s v="ΔΙΕΥΘΥΝΣΗ Π.Ε. ΑΝΑΤΟΛΙΚΗΣ ΑΤΤΙΚΗΣ"/>
    <x v="5"/>
  </r>
  <r>
    <x v="4504"/>
    <x v="1"/>
    <s v="ΠΕ70"/>
    <s v="ΔΑΣΚΑΛ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9-09-23T00:00:00"/>
    <x v="1"/>
    <s v="ΔΙΕΥΘΥΝΣΗ Π.Ε. ΛΑΡΙΣΑΣ"/>
    <x v="5"/>
  </r>
  <r>
    <x v="4505"/>
    <x v="0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9-15T00:00:00"/>
    <x v="1"/>
    <s v="ΔΙΕΥΘΥΝΣΗ Π.Ε. ΠΕΙΡΑΙΑ"/>
    <x v="5"/>
  </r>
  <r>
    <x v="4506"/>
    <x v="1"/>
    <s v="ΠΕ60"/>
    <s v="ΝΗΠΙΑΓΩΓΟΙ"/>
    <m/>
    <m/>
    <s v="Γ΄"/>
    <n v="1"/>
    <n v="191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9-09-11T00:00:00"/>
    <x v="1"/>
    <s v="ΔΙΕΥΘΥΝΣΗ Π.Ε. Β΄ ΑΘΗΝΑΣ"/>
    <x v="5"/>
  </r>
  <r>
    <x v="4507"/>
    <x v="1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9-11T00:00:00"/>
    <x v="1"/>
    <s v="ΔΙΕΥΘΥΝΣΗ Π.Ε. ΑΝΑΤ. ΘΕΣ/ΝΙΚΗΣ"/>
    <x v="5"/>
  </r>
  <r>
    <x v="4508"/>
    <x v="1"/>
    <s v="ΠΕ70"/>
    <s v="ΔΑΣΚΑΛΟΙ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08-03T00:00:00"/>
    <x v="1"/>
    <s v="ΔΙΕΥΘΥΝΣΗ Π.Ε. ΑΝΑΤ. ΘΕΣ/ΝΙΚΗΣ"/>
    <x v="5"/>
  </r>
  <r>
    <x v="4509"/>
    <x v="1"/>
    <s v="ΠΕ70"/>
    <s v="ΔΑΣΚΑΛΟΙ"/>
    <m/>
    <m/>
    <s v="Γ΄"/>
    <n v="1"/>
    <n v="933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9-08-02T00:00:00"/>
    <x v="1"/>
    <s v="ΔΙΕΥΘΥΝΣΗ Π.Ε. ΛΑΡΙΣΑΣ"/>
    <x v="5"/>
  </r>
  <r>
    <x v="4510"/>
    <x v="1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7-30T00:00:00"/>
    <x v="1"/>
    <s v="ΔΙΕΥΘΥΝΣΗ Π.Ε. ΑΝΑΤ. ΘΕΣ/ΝΙΚΗΣ"/>
    <x v="5"/>
  </r>
  <r>
    <x v="4511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1"/>
    <s v="7052043"/>
    <s v="ΙΔΙΩΤΙΚΟ ΝΗΠΙΑΓΩΓΕΙΟ ΜΑΡΟΥΣΙ - ΙΟΝΙΟΣ ΣΧΟΛΗ ΑΜΑΡΟΥΣΙΟΥ Α.Ε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9-07-28T00:00:00"/>
    <x v="1"/>
    <s v="ΔΙΕΥΘΥΝΣΗ Π.Ε. Β΄ ΑΘΗΝΑΣ"/>
    <x v="5"/>
  </r>
  <r>
    <x v="4512"/>
    <x v="0"/>
    <s v="ΠΕ70"/>
    <s v="ΔΑΣΚΑΛΟΙ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9-07-26T00:00:00"/>
    <x v="1"/>
    <s v="ΔΙΕΥΘΥΝΣΗ Π.Ε. ΙΩΑΝΝΙΝΩΝ"/>
    <x v="5"/>
  </r>
  <r>
    <x v="4513"/>
    <x v="1"/>
    <s v="ΠΕ70"/>
    <s v="ΔΑΣΚΑΛΟΙ"/>
    <m/>
    <m/>
    <s v="Γ΄"/>
    <n v="1"/>
    <m/>
    <m/>
    <s v="Α΄ ΜΑΓΝΗΣΙΑΣ (Π.Ε.) 2018"/>
    <s v="ΔΙΕΥΘΥΝΣΗ Π.Ε. ΜΑΓΝΗΣΙΑΣ"/>
    <s v="ΠΕΡΙΦΕΡΕΙΑΚΗ Δ/ΝΣΗ Α/ΘΜΙΑΣ ΚΑΙ Β/ΘΜΙΑΣ ΕΚΠ/ΣΗΣ ΘΕΣΣΑΛΙΑΣ"/>
    <n v="24"/>
    <m/>
    <s v="Ιδιωτικά Σχολεία"/>
    <x v="4"/>
    <s v="7351004"/>
    <s v="ΙΔΙΩΤΙΚΟ ΔΗΜΟΤΙΚΟ ΑΛΛΗ ΜΕΡΙΑ - ΑΞΙΟΝ ΕΣΤΙ"/>
    <s v="Α΄ ΜΑΓΝΗΣΙΑΣ (Π.Ε.) 2018"/>
    <s v="ΔΙΕΥΘΥΝΣΗ Π.Ε. ΜΑΓΝΗΣΙΑΣ"/>
    <s v="ΠΕΡΙΦΕΡΕΙΑΚΗ Δ/ΝΣΗ Α/ΘΜΙΑΣ ΚΑΙ Β/ΘΜΙΑΣ ΕΚΠ/ΣΗΣ ΘΕΣΣΑΛΙΑΣ"/>
    <x v="0"/>
    <s v="Τοποθέτηση σε Ιδιωτική Εκπαίδευση"/>
    <d v="1989-07-18T00:00:00"/>
    <x v="1"/>
    <s v="ΔΙΕΥΘΥΝΣΗ Π.Ε. ΜΑΓΝΗΣΙΑΣ"/>
    <x v="5"/>
  </r>
  <r>
    <x v="4514"/>
    <x v="1"/>
    <s v="ΠΕ86"/>
    <s v="ΠΛΗΡΟΦΟΡΙΚΗΣ"/>
    <m/>
    <m/>
    <s v="Β΄"/>
    <n v="2"/>
    <s v="Φ.Ι.Α.3/34045/9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4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7-16T00:00:00"/>
    <x v="1"/>
    <s v="ΔΙΕΥΘΥΝΣΗ Π.Ε. ΑΝΑΤΟΛΙΚΗΣ ΑΤΤΙΚΗΣ"/>
    <x v="5"/>
  </r>
  <r>
    <x v="4515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07-15T00:00:00"/>
    <x v="1"/>
    <s v="ΔΙΕΥΘΥΝΣΗ Π.Ε. Α΄ ΑΘΗΝΑΣ"/>
    <x v="5"/>
  </r>
  <r>
    <x v="4516"/>
    <x v="0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7-15T00:00:00"/>
    <x v="1"/>
    <s v="ΔΙΕΥΘΥΝΣΗ Π.Ε. ΑΝΑΤ. ΘΕΣ/ΝΙΚΗΣ"/>
    <x v="5"/>
  </r>
  <r>
    <x v="4517"/>
    <x v="1"/>
    <s v="ΠΕ70"/>
    <s v="ΔΑΣΚΑΛΟΙ"/>
    <m/>
    <m/>
    <s v="Β΄"/>
    <n v="3"/>
    <s v="Φ.Ι.Α.2/26377/7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7-12T00:00:00"/>
    <x v="1"/>
    <s v="ΔΙΕΥΘΥΝΣΗ Π.Ε. ΑΝΑΤΟΛΙΚΗΣ ΑΤΤΙΚΗΣ"/>
    <x v="5"/>
  </r>
  <r>
    <x v="4518"/>
    <x v="1"/>
    <s v="ΠΕ70"/>
    <s v="ΔΑΣΚΑΛΟΙ"/>
    <m/>
    <m/>
    <s v="Γ΄"/>
    <n v="4"/>
    <s v="Φ.17/3690"/>
    <d v="2018-09-13T00:00:00"/>
    <s v="ΚΟΡΙΝΘΙΑΣ (Π.Ε.) 2018"/>
    <s v="ΔΙΕΥΘΥΝΣΗ Π.Ε. ΚΟΡΙΝΘΙΑΣ"/>
    <s v="ΠΕΡΙΦΕΡΕΙΑΚΗ Δ/ΝΣΗ Α/ΘΜΙΑΣ ΚΑΙ Β/ΘΜΙΑΣ ΕΚΠ/ΣΗΣ ΠΕΛΟΠΟΝΝΗΣΟΥ"/>
    <n v="24"/>
    <d v="2018-09-13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9-06-29T00:00:00"/>
    <x v="1"/>
    <s v="ΔΙΕΥΘΥΝΣΗ Π.Ε. ΚΟΡΙΝΘΙΑΣ"/>
    <x v="5"/>
  </r>
  <r>
    <x v="4519"/>
    <x v="1"/>
    <s v="ΠΕ70"/>
    <s v="ΔΑΣΚΑΛΟΙ"/>
    <m/>
    <m/>
    <s v="Γ΄"/>
    <n v="1"/>
    <s v="Φ.17/3691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9-06-21T00:00:00"/>
    <x v="1"/>
    <s v="ΔΙΕΥΘΥΝΣΗ Π.Ε. ΚΟΡΙΝΘΙΑΣ"/>
    <x v="5"/>
  </r>
  <r>
    <x v="4520"/>
    <x v="1"/>
    <s v="ΠΕ70"/>
    <s v="ΔΑΣΚΑΛΟΙ"/>
    <m/>
    <m/>
    <s v="Γ΄"/>
    <n v="1"/>
    <n v="1452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89-06-16T00:00:00"/>
    <x v="1"/>
    <s v="ΔΙΕΥΘΥΝΣΗ Π.Ε. Δ΄ ΑΘΗΝΑΣ"/>
    <x v="5"/>
  </r>
  <r>
    <x v="4521"/>
    <x v="1"/>
    <s v="ΠΕ70"/>
    <s v="ΔΑΣΚΑΛΟΙ"/>
    <m/>
    <m/>
    <s v="Γ΄"/>
    <n v="1"/>
    <s v="67249-403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06-15T00:00:00"/>
    <x v="1"/>
    <s v="ΔΙΕΥΘΥΝΣΗ Π.Ε. Β΄ ΑΘΗΝΑΣ"/>
    <x v="5"/>
  </r>
  <r>
    <x v="4522"/>
    <x v="1"/>
    <s v="ΠΕ70"/>
    <s v="ΔΑΣΚΑΛΟΙ"/>
    <m/>
    <m/>
    <s v="Γ΄"/>
    <n v="1"/>
    <n v="1459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6-14T00:00:00"/>
    <x v="1"/>
    <s v="ΔΙΕΥΘΥΝΣΗ Π.Ε. Δ΄ ΑΘΗΝΑΣ"/>
    <x v="5"/>
  </r>
  <r>
    <x v="4523"/>
    <x v="1"/>
    <s v="ΠΕ70"/>
    <s v="ΔΑΣΚΑΛ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m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9-06-14T00:00:00"/>
    <x v="1"/>
    <s v="ΔΙΕΥΘΥΝΣΗ Π.Ε. ΕΥΒΟΙΑΣ"/>
    <x v="5"/>
  </r>
  <r>
    <x v="4524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6-12T00:00:00"/>
    <x v="1"/>
    <s v="ΔΙΕΥΘΥΝΣΗ Π.Ε. ΠΕΙΡΑΙΑ"/>
    <x v="5"/>
  </r>
  <r>
    <x v="4525"/>
    <x v="1"/>
    <s v="ΠΕ70"/>
    <s v="ΔΑΣΚΑΛΟΙ"/>
    <m/>
    <m/>
    <s v="Β΄"/>
    <n v="4"/>
    <s v="Φ.Ι.Α.3/34045/19-1-2015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6-11T00:00:00"/>
    <x v="1"/>
    <s v="ΔΙΕΥΘΥΝΣΗ Π.Ε. ΑΝΑΤΟΛΙΚΗΣ ΑΤΤΙΚΗΣ"/>
    <x v="5"/>
  </r>
  <r>
    <x v="4526"/>
    <x v="0"/>
    <s v="ΠΕ70"/>
    <s v="ΔΑΣΚΑΛΟΙ"/>
    <m/>
    <m/>
    <s v="Β΄"/>
    <n v="2"/>
    <s v="10285/22-09-201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5-18T00:00:00"/>
    <x v="1"/>
    <s v="ΔΙΕΥΘΥΝΣΗ Π.Ε. Δ΄ ΑΘΗΝΑΣ"/>
    <x v="5"/>
  </r>
  <r>
    <x v="4527"/>
    <x v="1"/>
    <s v="ΠΕ70"/>
    <s v="ΔΑΣΚΑΛΟΙ"/>
    <m/>
    <m/>
    <s v="Β΄"/>
    <n v="3"/>
    <s v="Φ.Ι.Α.2/26376/9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5-13T00:00:00"/>
    <x v="1"/>
    <s v="ΔΙΕΥΘΥΝΣΗ Π.Ε. ΑΝΑΤΟΛΙΚΗΣ ΑΤΤΙΚΗΣ"/>
    <x v="5"/>
  </r>
  <r>
    <x v="4528"/>
    <x v="0"/>
    <s v="ΠΕ70"/>
    <s v="ΔΑΣΚΑΛΟΙ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9-05-11T00:00:00"/>
    <x v="1"/>
    <s v="ΔΙΕΥΘΥΝΣΗ Π.Ε. ΚΥΚΛΑΔΩΝ"/>
    <x v="5"/>
  </r>
  <r>
    <x v="4529"/>
    <x v="1"/>
    <s v="ΠΕ70"/>
    <s v="ΔΑΣΚΑΛΟΙ"/>
    <m/>
    <m/>
    <s v="Γ΄"/>
    <n v="1"/>
    <s v="ΩΒΟΠ4653ΠΣ-ΥΗΛ"/>
    <d v="2017-02-20T00:00:00"/>
    <s v="Δ΄ ΑΘΗΝΑΣ (Π.Ε.) 2018"/>
    <s v="ΔΙΕΥΘΥΝΣΗ Π.Ε. Δ΄ ΑΘΗΝΑΣ"/>
    <s v="ΠΕΡΙΦΕΡΕΙΑΚΗ Δ/ΝΣΗ Α/ΘΜΙΑΣ ΚΑΙ Β/ΘΜΙΑΣ ΕΚΠ/ΣΗΣ ΑΤΤΙΚΗΣ"/>
    <n v="24"/>
    <d v="2017-02-20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9-05-08T00:00:00"/>
    <x v="1"/>
    <s v="ΔΙΕΥΘΥΝΣΗ Π.Ε. Δ΄ ΑΘΗΝΑΣ"/>
    <x v="5"/>
  </r>
  <r>
    <x v="4530"/>
    <x v="1"/>
    <s v="ΠΕ60"/>
    <s v="ΝΗΠΙΑΓΩΓΟΙ"/>
    <m/>
    <m/>
    <s v="Γ΄"/>
    <n v="1"/>
    <s v="24511/05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61"/>
    <s v="ΙΔΙΩΤΙΚΟ ΝΗΠΙΑΓΩΓΕΙΟ ΤΡΙΛΟΦΟΣ - ΤΟ ΣΧΟΛΕΙΟ ΤΗΣ ΦΥΣ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05-08T00:00:00"/>
    <x v="1"/>
    <s v="ΔΙΕΥΘΥΝΣΗ Π.Ε. ΑΝΑΤ. ΘΕΣ/ΝΙΚΗΣ"/>
    <x v="5"/>
  </r>
  <r>
    <x v="4531"/>
    <x v="1"/>
    <s v="ΠΕ70"/>
    <s v="ΔΑΣΚΑΛΟΙ"/>
    <m/>
    <m/>
    <s v="Γ΄"/>
    <n v="4"/>
    <s v="ΒΜΦΤ465ΦΘ3-ΠΤ6"/>
    <d v="2015-04-27T00:00:00"/>
    <s v="Β΄ ΑΘΗΝΑΣ (Π.Ε.) 2018"/>
    <s v="ΔΙΕΥΘΥΝΣΗ Π.Ε. Β΄ ΑΘΗΝΑΣ"/>
    <s v="ΠΕΡΙΦΕΡΕΙΑΚΗ Δ/ΝΣΗ Α/ΘΜΙΑΣ ΚΑΙ Β/ΘΜΙΑΣ ΕΚΠ/ΣΗΣ ΑΤΤΙΚΗΣ"/>
    <n v="24"/>
    <d v="2015-04-27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05-01T00:00:00"/>
    <x v="1"/>
    <s v="ΔΙΕΥΘΥΝΣΗ Π.Ε. Β΄ ΑΘΗΝΑΣ"/>
    <x v="5"/>
  </r>
  <r>
    <x v="4532"/>
    <x v="1"/>
    <s v="ΠΕ70"/>
    <s v="ΔΑΣΚΑΛΟΙ"/>
    <m/>
    <m/>
    <s v="Γ΄"/>
    <n v="1"/>
    <s v="14429/05-12-201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4-29T00:00:00"/>
    <x v="1"/>
    <s v="ΔΙΕΥΘΥΝΣΗ Π.Ε. Δ΄ ΑΘΗΝΑΣ"/>
    <x v="5"/>
  </r>
  <r>
    <x v="4533"/>
    <x v="0"/>
    <s v="ΠΕ70"/>
    <s v="ΔΑΣΚΑΛΟΙ"/>
    <m/>
    <m/>
    <s v="Α΄"/>
    <n v="1"/>
    <s v="6ΕΕΓ4653ΠΣ-1ΞΥ"/>
    <d v="2015-11-16T00:00:00"/>
    <s v="ΙΩΑΝΝΙΝΩΝ (Π.Ε.) 2018"/>
    <s v="ΔΙΕΥΘΥΝΣΗ Π.Ε. ΙΩΑΝΝΙΝΩΝ"/>
    <s v="ΠΕΡΙΦΕΡΕΙΑΚΗ Δ/ΝΣΗ Α/ΘΜΙΑΣ ΚΑΙ Β/ΘΜΙΑΣ ΕΚΠ/ΣΗΣ ΗΠΕΙΡΟΥ"/>
    <n v="24"/>
    <d v="2015-11-16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9-04-29T00:00:00"/>
    <x v="1"/>
    <s v="ΔΙΕΥΘΥΝΣΗ Π.Ε. ΙΩΑΝΝΙΝΩΝ"/>
    <x v="5"/>
  </r>
  <r>
    <x v="4534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4-12T00:00:00"/>
    <x v="1"/>
    <s v="ΔΙΕΥΘΥΝΣΗ Π.Ε. ΠΕΙΡΑΙΑ"/>
    <x v="5"/>
  </r>
  <r>
    <x v="4535"/>
    <x v="1"/>
    <s v="ΠΕ70"/>
    <s v="ΔΑΣΚΑΛΟΙ"/>
    <m/>
    <m/>
    <s v="Γ΄"/>
    <n v="1"/>
    <s v="ΩΞ484653ΠΣ-Ι78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0"/>
    <s v="ΙΔΙΩΤΙΚΟ ΔΗΜΟΤΙΚΟ - ΠΑΝ. ΚΟΥΤΣΟΜΑΛΗΣ &amp; ΣΙΑ Ε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4-07T00:00:00"/>
    <x v="1"/>
    <s v="ΔΙΕΥΘΥΝΣΗ Π.Ε. Δ΄ ΑΘΗΝΑΣ"/>
    <x v="5"/>
  </r>
  <r>
    <x v="4536"/>
    <x v="1"/>
    <s v="ΠΕ70"/>
    <s v="ΔΑΣΚΑΛ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9-04-07T00:00:00"/>
    <x v="1"/>
    <s v="ΔΙΕΥΘΥΝΣΗ Π.Ε. ΜΕΣΣΗΝΙΑΣ"/>
    <x v="5"/>
  </r>
  <r>
    <x v="4537"/>
    <x v="1"/>
    <s v="ΠΕ70"/>
    <s v="ΔΑΣΚΑΛΟΙ"/>
    <m/>
    <m/>
    <s v="Γ΄"/>
    <n v="1"/>
    <n v="9062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89-04-04T00:00:00"/>
    <x v="1"/>
    <s v="ΔΙΕΥΘΥΝΣΗ Π.Ε. ΛΑΡΙΣΑΣ"/>
    <x v="5"/>
  </r>
  <r>
    <x v="4538"/>
    <x v="1"/>
    <s v="ΠΕ70"/>
    <s v="ΔΑΣΚΑΛΟΙ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03-24T00:00:00"/>
    <x v="1"/>
    <s v="ΔΙΕΥΘΥΝΣΗ Π.Ε. ΑΝΑΤ. ΘΕΣ/ΝΙΚΗΣ"/>
    <x v="5"/>
  </r>
  <r>
    <x v="4539"/>
    <x v="0"/>
    <s v="ΠΕ70"/>
    <s v="ΔΑΣΚΑΛΟΙ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9-03-20T00:00:00"/>
    <x v="1"/>
    <s v="ΔΙΕΥΘΥΝΣΗ Π.Ε. ΚΥΚΛΑΔΩΝ"/>
    <x v="5"/>
  </r>
  <r>
    <x v="4540"/>
    <x v="1"/>
    <s v="ΠΕ70"/>
    <s v="ΔΑΣΚΑΛΟΙ"/>
    <m/>
    <m/>
    <s v="Γ΄"/>
    <n v="1"/>
    <s v="ΨΔΧΟ4653ΠΣ-ΦΟΡ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9-03-17T00:00:00"/>
    <x v="1"/>
    <s v="ΔΙΕΥΘΥΝΣΗ Π.Ε. ΑΙΤΩΛΟΑΚΑΡΝΑΝΙΑΣ"/>
    <x v="5"/>
  </r>
  <r>
    <x v="4541"/>
    <x v="1"/>
    <s v="ΠΕ70"/>
    <s v="ΔΑΣΚΑΛΟΙ"/>
    <m/>
    <m/>
    <s v="Α΄"/>
    <n v="1"/>
    <s v="728Φ4653ΠΣ-ΛΥ4"/>
    <d v="2015-11-09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11-09T00:00:00"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3-12T00:00:00"/>
    <x v="1"/>
    <s v="ΔΙΕΥΘΥΝΣΗ Π.Ε. ΑΝΑΤΟΛΙΚΗΣ ΑΤΤΙΚΗΣ"/>
    <x v="5"/>
  </r>
  <r>
    <x v="4542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2-23T00:00:00"/>
    <x v="1"/>
    <s v="ΔΙΕΥΘΥΝΣΗ Π.Ε. ΠΕΙΡΑΙΑ"/>
    <x v="5"/>
  </r>
  <r>
    <x v="4543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02-15T00:00:00"/>
    <x v="1"/>
    <s v="ΔΙΕΥΘΥΝΣΗ Π.Ε. Β΄ ΑΘΗΝΑΣ"/>
    <x v="5"/>
  </r>
  <r>
    <x v="4544"/>
    <x v="1"/>
    <s v="ΠΕ06"/>
    <s v="ΑΓΓΛΙΚΗΣ ΦΙΛΟΛΟΓΙΑΣ"/>
    <m/>
    <m/>
    <s v="Γ΄"/>
    <n v="1"/>
    <n v="1459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2-12T00:00:00"/>
    <x v="1"/>
    <s v="ΔΙΕΥΘΥΝΣΗ Π.Ε. Δ΄ ΑΘΗΝΑΣ"/>
    <x v="5"/>
  </r>
  <r>
    <x v="4545"/>
    <x v="1"/>
    <s v="ΠΕ70"/>
    <s v="ΔΑΣΚΑΛΟΙ"/>
    <m/>
    <m/>
    <s v="Α΄"/>
    <n v="5"/>
    <s v="Φ.Ι.Α.6/27790/3-10-2017"/>
    <d v="2018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8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9-02-09T00:00:00"/>
    <x v="1"/>
    <s v="ΔΙΕΥΘΥΝΣΗ Π.Ε. ΑΝΑΤΟΛΙΚΗΣ ΑΤΤΙΚΗΣ"/>
    <x v="5"/>
  </r>
  <r>
    <x v="4546"/>
    <x v="0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9-01-22T00:00:00"/>
    <x v="1"/>
    <s v="ΔΙΕΥΘΥΝΣΗ Π.Ε. ΧΑΝΙΩΝ"/>
    <x v="5"/>
  </r>
  <r>
    <x v="4547"/>
    <x v="1"/>
    <s v="ΠΕ70"/>
    <s v="ΔΑΣΚΑΛ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m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9-01-05T00:00:00"/>
    <x v="1"/>
    <s v="ΔΙΕΥΘΥΝΣΗ Π.Ε. ΕΥΒΟΙΑΣ"/>
    <x v="5"/>
  </r>
  <r>
    <x v="4548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01-03T00:00:00"/>
    <x v="1"/>
    <s v="ΔΙΕΥΘΥΝΣΗ Π.Ε. Α΄ ΑΘΗΝΑΣ"/>
    <x v="5"/>
  </r>
  <r>
    <x v="4549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Α΄ ΑΘΗΝΑΣ"/>
    <x v="5"/>
  </r>
  <r>
    <x v="4550"/>
    <x v="1"/>
    <s v="ΠΕ70"/>
    <s v="ΔΑΣΚΑΛΟΙ"/>
    <m/>
    <m/>
    <s v="Α΄"/>
    <n v="1"/>
    <s v="7ΛΖ1465ΦΘ3-Γ9Ζ"/>
    <d v="2015-02-24T00:00:00"/>
    <s v="Α΄ ΑΘΗΝΑΣ (Π.Ε.) 2018"/>
    <s v="ΔΙΕΥΘΥΝΣΗ Π.Ε. Α΄ ΑΘΗΝΑΣ"/>
    <s v="ΠΕΡΙΦΕΡΕΙΑΚΗ Δ/ΝΣΗ Α/ΘΜΙΑΣ ΚΑΙ Β/ΘΜΙΑΣ ΕΚΠ/ΣΗΣ ΑΤΤΙΚΗΣ"/>
    <n v="24"/>
    <d v="2015-02-24T00:00:00"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Α΄ ΑΘΗΝΑΣ"/>
    <x v="5"/>
  </r>
  <r>
    <x v="4551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Α΄ ΑΘΗΝΑΣ"/>
    <x v="5"/>
  </r>
  <r>
    <x v="4552"/>
    <x v="0"/>
    <s v="ΠΕ70"/>
    <s v="ΔΑΣΚΑΛΟΙ"/>
    <m/>
    <m/>
    <s v="Γ΄"/>
    <n v="1"/>
    <s v="17.2/456/11042/21-10-14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Β΄ ΑΘΗΝΑΣ"/>
    <x v="5"/>
  </r>
  <r>
    <x v="4553"/>
    <x v="1"/>
    <s v="ΠΕ70"/>
    <s v="ΔΑΣΚΑΛΟΙ"/>
    <m/>
    <m/>
    <s v="Γ΄"/>
    <n v="1"/>
    <s v="728Φ4653ΠΣ-ΛΥ4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9-01-01T00:00:00"/>
    <x v="1"/>
    <s v="ΔΙΕΥΘΥΝΣΗ Π.Ε. Β΄ ΑΘΗΝΑΣ"/>
    <x v="5"/>
  </r>
  <r>
    <x v="4554"/>
    <x v="1"/>
    <s v="ΠΕ70"/>
    <s v="ΔΑΣΚΑΛΟΙ"/>
    <m/>
    <m/>
    <s v="Γ΄"/>
    <n v="1"/>
    <s v="ΩΗΛΖ9-50Ζ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Β΄ ΑΘΗΝΑΣ"/>
    <x v="5"/>
  </r>
  <r>
    <x v="4555"/>
    <x v="1"/>
    <s v="ΠΕ70"/>
    <s v="ΔΑΣΚΑΛΟΙ"/>
    <m/>
    <m/>
    <s v="Γ΄"/>
    <n v="1"/>
    <s v="6ΕΕΓ4653ΠΣ-1ΞΥ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9-01-01T00:00:00"/>
    <x v="1"/>
    <s v="ΔΙΕΥΘΥΝΣΗ Π.Ε. Β΄ ΑΘΗΝΑΣ"/>
    <x v="5"/>
  </r>
  <r>
    <x v="4556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Β΄ ΑΘΗΝΑΣ"/>
    <x v="5"/>
  </r>
  <r>
    <x v="4557"/>
    <x v="1"/>
    <s v="ΠΕ70"/>
    <s v="ΔΑΣΚΑΛΟΙ"/>
    <m/>
    <m/>
    <s v="Γ΄"/>
    <n v="1"/>
    <s v="20495/16-11-20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Δ΄ ΑΘΗΝΑΣ"/>
    <x v="5"/>
  </r>
  <r>
    <x v="4558"/>
    <x v="1"/>
    <s v="ΠΕ70"/>
    <s v="ΔΑΣΚΑΛΟΙ"/>
    <m/>
    <m/>
    <s v="Γ΄"/>
    <n v="1"/>
    <s v="13226/12-10-20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Δ΄ ΑΘΗΝΑΣ"/>
    <x v="5"/>
  </r>
  <r>
    <x v="4559"/>
    <x v="1"/>
    <s v="ΠΕ70"/>
    <s v="ΔΑΣΚΑΛΟΙ"/>
    <m/>
    <m/>
    <s v="Γ΄"/>
    <n v="1"/>
    <s v="10934/11-10-201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Δ΄ ΑΘΗΝΑΣ"/>
    <x v="5"/>
  </r>
  <r>
    <x v="4560"/>
    <x v="1"/>
    <s v="ΠΕ70"/>
    <s v="ΔΑΣΚΑΛΟΙ"/>
    <m/>
    <m/>
    <s v="Β΄"/>
    <n v="3"/>
    <s v="ΩΦΗΟ4653ΠΣ-ΡΞΥ"/>
    <d v="2015-12-14T00:00:00"/>
    <s v="Δ΄ ΑΘΗΝΑΣ (Π.Ε.) 2018"/>
    <s v="ΔΙΕΥΘΥΝΣΗ Π.Ε. Δ΄ ΑΘΗΝΑΣ"/>
    <s v="ΠΕΡΙΦΕΡΕΙΑΚΗ Δ/ΝΣΗ Α/ΘΜΙΑΣ ΚΑΙ Β/ΘΜΙΑΣ ΕΚΠ/ΣΗΣ ΑΤΤΙΚΗΣ"/>
    <n v="24"/>
    <d v="2015-12-14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Δ΄ ΑΘΗΝΑΣ"/>
    <x v="5"/>
  </r>
  <r>
    <x v="4561"/>
    <x v="1"/>
    <s v="ΠΕ70"/>
    <s v="ΔΑΣΚΑΛΟΙ"/>
    <m/>
    <m/>
    <s v="Α΄"/>
    <n v="3"/>
    <s v="6ΕΕΓ4653ΠΣ-1ΞΥ"/>
    <d v="2015-11-16T00:00:00"/>
    <s v="Α΄ ΠΕΙΡΑΙΑ (Π.Ε.) 2018"/>
    <s v="ΔΙΕΥΘΥΝΣΗ Π.Ε. ΠΕΙΡΑΙΑ"/>
    <s v="ΠΕΡΙΦΕΡΕΙΑΚΗ Δ/ΝΣΗ Α/ΘΜΙΑΣ ΚΑΙ Β/ΘΜΙΑΣ ΕΚΠ/ΣΗΣ ΑΤΤΙΚΗΣ"/>
    <n v="24"/>
    <d v="2015-11-16T00:00:00"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ΠΕΙΡΑΙΑ"/>
    <x v="5"/>
  </r>
  <r>
    <x v="4562"/>
    <x v="1"/>
    <s v="ΠΕ70"/>
    <s v="ΔΑΣΚΑΛΟΙ"/>
    <m/>
    <m/>
    <s v="Α΄"/>
    <n v="1"/>
    <s v="6ΖΝΗ9-1Τ3"/>
    <d v="2014-12-30T00:00:00"/>
    <s v="Α΄ ΠΕΙΡΑΙΑ (Π.Ε.) 2018"/>
    <s v="ΔΙΕΥΘΥΝΣΗ Π.Ε. ΠΕΙΡΑΙΑ"/>
    <s v="ΠΕΡΙΦΕΡΕΙΑΚΗ Δ/ΝΣΗ Α/ΘΜΙΑΣ ΚΑΙ Β/ΘΜΙΑΣ ΕΚΠ/ΣΗΣ ΑΤΤΙΚΗΣ"/>
    <n v="24"/>
    <d v="2015-01-07T00:00:00"/>
    <s v="Ιδιωτικά Σχολεία"/>
    <x v="4"/>
    <s v="7541026"/>
    <s v="ΙΔΙΩΤΙΚΟ ΔΗΜΟΤΙΚ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ΠΕΙΡΑΙΑ"/>
    <x v="5"/>
  </r>
  <r>
    <x v="4563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9-01-01T00:00:00"/>
    <x v="1"/>
    <s v="ΔΙΕΥΘΥΝΣΗ Π.Ε. ΠΕΙΡΑΙΑ"/>
    <x v="5"/>
  </r>
  <r>
    <x v="4564"/>
    <x v="1"/>
    <s v="ΠΕ70"/>
    <s v="ΔΑΣΚΑΛΟΙ"/>
    <m/>
    <m/>
    <s v="Γ΄"/>
    <n v="1"/>
    <s v="6ΕΕΓ4653ΠΣ-1ΞΥ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9-01-01T00:00:00"/>
    <x v="1"/>
    <s v="ΔΙΕΥΘΥΝΣΗ Π.Ε. ΑΙΤΩΛΟΑΚΑΡΝΑΝΙΑΣ"/>
    <x v="5"/>
  </r>
  <r>
    <x v="4565"/>
    <x v="1"/>
    <s v="ΠΕ70"/>
    <s v="ΔΑΣΚΑΛΟΙ"/>
    <m/>
    <m/>
    <s v="Γ΄"/>
    <n v="1"/>
    <s v="6ΖΝΗ9-1Τ3 (&amp; 70/21-9-2018)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m/>
    <x v="6"/>
    <s v=""/>
    <m/>
    <m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9-01-01T00:00:00"/>
    <x v="1"/>
    <s v="ΔΙΕΥΘΥΝΣΗ Π.Ε. ΑΧΑΪΑΣ"/>
    <x v="5"/>
  </r>
  <r>
    <x v="4566"/>
    <x v="0"/>
    <s v="ΠΕ70"/>
    <s v="ΔΑΣΚΑΛΟΙ"/>
    <m/>
    <m/>
    <s v="Γ΄"/>
    <n v="1"/>
    <s v="φ.17/7339/06-09-2017"/>
    <d v="2015-11-16T00:00:00"/>
    <s v="ΙΩΑΝΝΙΝΩΝ (Π.Ε.) 2018"/>
    <s v="ΔΙΕΥΘΥΝΣΗ Π.Ε. ΙΩΑΝΝΙΝΩΝ"/>
    <s v="ΠΕΡΙΦΕΡΕΙΑΚΗ Δ/ΝΣΗ Α/ΘΜΙΑΣ ΚΑΙ Β/ΘΜΙΑΣ ΕΚΠ/ΣΗΣ ΗΠΕΙΡΟΥ"/>
    <n v="24"/>
    <d v="2015-11-16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9-01-01T00:00:00"/>
    <x v="1"/>
    <s v="ΔΙΕΥΘΥΝΣΗ Π.Ε. ΙΩΑΝΝΙΝΩΝ"/>
    <x v="5"/>
  </r>
  <r>
    <x v="4567"/>
    <x v="1"/>
    <s v="ΠΕ70"/>
    <s v="ΔΑΣΚΑΛΟΙ"/>
    <m/>
    <m/>
    <s v="Γ΄"/>
    <n v="1"/>
    <n v="6719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0"/>
    <s v="ΙΔΙΩΤΙΚΟ ΔΗΜΟΤΙΚΟ ΛΑΡΙΣΑ - Α.ΔΡΑΚΟΣ-Γ. ΜΑΛΑΧΤΑΡΗ ΟΕ ΕΛΛΗΝΙΚΑ ΕΚΠΑΙΔΕΥΤΗΡΙ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89-01-01T00:00:00"/>
    <x v="1"/>
    <s v="ΔΙΕΥΘΥΝΣΗ Π.Ε. ΛΑΡΙΣΑΣ"/>
    <x v="5"/>
  </r>
  <r>
    <x v="4568"/>
    <x v="1"/>
    <s v="ΠΕ70"/>
    <s v="ΔΑΣΚΑΛΟΙ"/>
    <m/>
    <m/>
    <s v="Γ΄"/>
    <n v="1"/>
    <d v="2013-09-18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1-01T00:00:00"/>
    <x v="1"/>
    <s v="ΔΙΕΥΘΥΝΣΗ Π.Ε. ΑΝΑΤ. ΘΕΣ/ΝΙΚΗΣ"/>
    <x v="5"/>
  </r>
  <r>
    <x v="4569"/>
    <x v="1"/>
    <s v="ΠΕ70"/>
    <s v="ΔΑΣΚΑΛΟΙ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9-01-01T00:00:00"/>
    <x v="1"/>
    <s v="ΔΙΕΥΘΥΝΣΗ Π.Ε. ΑΝΑΤ. ΘΕΣ/ΝΙΚΗΣ"/>
    <x v="5"/>
  </r>
  <r>
    <x v="4570"/>
    <x v="1"/>
    <s v="ΠΕ70"/>
    <s v="ΔΑΣΚΑΛΟΙ"/>
    <m/>
    <m/>
    <s v="Γ΄"/>
    <n v="1"/>
    <s v="ΩΒΟΠ4653ΠΣ-ΥΗΛ"/>
    <d v="2017-02-20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7-02-20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1-01T00:00:00"/>
    <x v="1"/>
    <s v="ΔΙΕΥΘΥΝΣΗ Π.Ε. ΑΝΑΤ. ΘΕΣ/ΝΙΚΗΣ"/>
    <x v="5"/>
  </r>
  <r>
    <x v="4571"/>
    <x v="1"/>
    <s v="ΠΕ70"/>
    <s v="ΔΑΣΚΑΛΟΙ"/>
    <m/>
    <m/>
    <s v="Α΄"/>
    <n v="1"/>
    <s v="ΩΨΤ09-Μ6Α"/>
    <d v="2014-12-08T00:00:00"/>
    <s v="ΧΑΝΙΩΝ (Π.Ε.) 2018"/>
    <s v="ΔΙΕΥΘΥΝΣΗ Π.Ε. ΧΑΝΙΩΝ"/>
    <s v="ΠΕΡΙΦΕΡΕΙΑΚΗ Δ/ΝΣΗ Α/ΘΜΙΑΣ ΚΑΙ Β/ΘΜΙΑΣ ΕΚΠ/ΣΗΣ ΚΡΗΤΗΣ"/>
    <n v="24"/>
    <d v="2014-12-08T00:00:00"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9-01-01T00:00:00"/>
    <x v="1"/>
    <s v="ΔΙΕΥΘΥΝΣΗ Π.Ε. ΧΑΝΙΩΝ"/>
    <x v="5"/>
  </r>
  <r>
    <x v="4572"/>
    <x v="1"/>
    <s v="ΠΕ70"/>
    <s v="ΔΑΣΚΑΛΟΙ"/>
    <m/>
    <m/>
    <s v="Α΄"/>
    <n v="1"/>
    <s v="7ΟΙΛ4653ΠΣ-2ΘΔ"/>
    <d v="2015-11-26T00:00:00"/>
    <s v="ΧΑΝΙΩΝ (Π.Ε.) 2018"/>
    <s v="ΔΙΕΥΘΥΝΣΗ Π.Ε. ΧΑΝΙΩΝ"/>
    <s v="ΠΕΡΙΦΕΡΕΙΑΚΗ Δ/ΝΣΗ Α/ΘΜΙΑΣ ΚΑΙ Β/ΘΜΙΑΣ ΕΚΠ/ΣΗΣ ΚΡΗΤΗΣ"/>
    <n v="24"/>
    <d v="2015-11-26T00:00:00"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9-01-01T00:00:00"/>
    <x v="1"/>
    <s v="ΔΙΕΥΘΥΝΣΗ Π.Ε. ΧΑΝΙΩΝ"/>
    <x v="5"/>
  </r>
  <r>
    <x v="4573"/>
    <x v="1"/>
    <s v="ΠΕ70"/>
    <s v="ΔΑΣΚΑΛΟΙ"/>
    <m/>
    <m/>
    <s v="Α΄"/>
    <n v="1"/>
    <s v="67249-403"/>
    <d v="2015-01-23T00:00:00"/>
    <s v="Α΄ ΔΩΔΕΚΑΝΗΣΟΥ (Π.Ε.) 2018"/>
    <s v="ΔΙΕΥΘΥΝΣΗ Π.Ε. ΔΩΔΕΚΑΝΗΣΟΥ"/>
    <s v="ΠΕΡΙΦΕΡΕΙΑΚΗ Δ/ΝΣΗ Α/ΘΜΙΑΣ ΚΑΙ Β/ΘΜΙΑΣ ΕΚΠ/ΣΗΣ ΝΟΤΙΟΥ ΑΙΓΑΙΟΥ"/>
    <n v="24"/>
    <d v="2015-01-27T00:00:00"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9-01-01T00:00:00"/>
    <x v="1"/>
    <s v="ΔΙΕΥΘΥΝΣΗ Π.Ε. ΔΩΔΕΚΑΝΗΣΟΥ"/>
    <x v="5"/>
  </r>
  <r>
    <x v="4574"/>
    <x v="0"/>
    <s v="ΠΕ70"/>
    <s v="ΔΑΣΚΑΛΟΙ"/>
    <m/>
    <m/>
    <s v="Α΄"/>
    <n v="1"/>
    <s v="7Β654653ΠΣ-ΞΩΟ"/>
    <d v="2016-01-18T00:00:00"/>
    <s v="Δ΄ ΚΥΚΛΑΔΩΝ (Π.Ε.) 2018"/>
    <s v="ΔΙΕΥΘΥΝΣΗ Π.Ε. ΚΥΚΛΑΔΩΝ"/>
    <s v="ΠΕΡΙΦΕΡΕΙΑΚΗ Δ/ΝΣΗ Α/ΘΜΙΑΣ ΚΑΙ Β/ΘΜΙΑΣ ΕΚΠ/ΣΗΣ ΝΟΤΙΟΥ ΑΙΓΑΙΟΥ"/>
    <n v="24"/>
    <d v="2016-01-18T00:00:00"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9-01-01T00:00:00"/>
    <x v="1"/>
    <s v="ΔΙΕΥΘΥΝΣΗ Π.Ε. ΚΥΚΛΑΔΩΝ"/>
    <x v="5"/>
  </r>
  <r>
    <x v="4575"/>
    <x v="1"/>
    <s v="ΠΕ70"/>
    <s v="ΔΑΣΚΑΛΟΙ"/>
    <m/>
    <m/>
    <s v="Α΄"/>
    <n v="1"/>
    <s v="6ΖΝΗ9-1Τ3"/>
    <d v="2014-12-30T00:00:00"/>
    <s v="ΑΡΓΟΛΙΔΑΣ (Π.Ε.) 2018"/>
    <s v="ΔΙΕΥΘΥΝΣΗ Π.Ε. ΑΡΓΟΛΙΔΑΣ"/>
    <s v="ΠΕΡΙΦΕΡΕΙΑΚΗ Δ/ΝΣΗ Α/ΘΜΙΑΣ ΚΑΙ Β/ΘΜΙΑΣ ΕΚΠ/ΣΗΣ ΠΕΛΟΠΟΝΝΗΣΟΥ"/>
    <n v="24"/>
    <d v="2015-01-07T00:00:00"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9-01-01T00:00:00"/>
    <x v="1"/>
    <s v="ΔΙΕΥΘΥΝΣΗ Π.Ε. ΑΡΓΟΛΙΔΑΣ"/>
    <x v="5"/>
  </r>
  <r>
    <x v="4576"/>
    <x v="1"/>
    <s v="ΠΕ70"/>
    <s v="ΔΑΣΚΑΛΟΙ"/>
    <m/>
    <m/>
    <s v="Γ΄"/>
    <n v="5"/>
    <s v="79ΑΜ465ΦΘ3-ΔΕΓ"/>
    <d v="2015-02-16T00:00:00"/>
    <s v="ΚΟΡΙΝΘΙΑΣ (Π.Ε.) 2018"/>
    <s v="ΔΙΕΥΘΥΝΣΗ Π.Ε. ΚΟΡΙΝΘΙΑΣ"/>
    <s v="ΠΕΡΙΦΕΡΕΙΑΚΗ Δ/ΝΣΗ Α/ΘΜΙΑΣ ΚΑΙ Β/ΘΜΙΑΣ ΕΚΠ/ΣΗΣ ΠΕΛΟΠΟΝΝΗΣΟΥ"/>
    <n v="24"/>
    <d v="2015-02-16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9-01-01T00:00:00"/>
    <x v="1"/>
    <s v="ΔΙΕΥΘΥΝΣΗ Π.Ε. ΚΟΡΙΝΘΙΑΣ"/>
    <x v="5"/>
  </r>
  <r>
    <x v="4577"/>
    <x v="1"/>
    <s v="ΠΕ70"/>
    <s v="ΔΑΣΚΑΛΟΙ"/>
    <m/>
    <m/>
    <s v="Α΄"/>
    <n v="1"/>
    <s v="6ΖΝΗ9-1Τ3"/>
    <d v="2014-12-30T00:00:00"/>
    <s v="ΜΕΣΣΗΝΙΑΣ (Π.Ε.) 2018"/>
    <s v="ΔΙΕΥΘΥΝΣΗ Π.Ε. ΜΕΣΣΗΝΙΑΣ"/>
    <s v="ΠΕΡΙΦΕΡΕΙΑΚΗ Δ/ΝΣΗ Α/ΘΜΙΑΣ ΚΑΙ Β/ΘΜΙΑΣ ΕΚΠ/ΣΗΣ ΠΕΛΟΠΟΝΝΗΣΟΥ"/>
    <n v="24"/>
    <d v="2015-01-07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9-01-01T00:00:00"/>
    <x v="1"/>
    <s v="ΔΙΕΥΘΥΝΣΗ Π.Ε. ΜΕΣΣΗΝΙΑΣ"/>
    <x v="5"/>
  </r>
  <r>
    <x v="4578"/>
    <x v="1"/>
    <s v="ΠΕ70"/>
    <s v="ΔΑΣΚΑΛΟΙ"/>
    <m/>
    <m/>
    <s v="Α΄"/>
    <n v="1"/>
    <s v="728Φ4653ΠΣ-ΛΥ4"/>
    <d v="2015-11-09T00:00:00"/>
    <s v="ΜΕΣΣΗΝΙΑΣ (Π.Ε.) 2018"/>
    <s v="ΔΙΕΥΘΥΝΣΗ Π.Ε. ΜΕΣΣΗΝΙΑΣ"/>
    <s v="ΠΕΡΙΦΕΡΕΙΑΚΗ Δ/ΝΣΗ Α/ΘΜΙΑΣ ΚΑΙ Β/ΘΜΙΑΣ ΕΚΠ/ΣΗΣ ΠΕΛΟΠΟΝΝΗΣΟΥ"/>
    <n v="24"/>
    <d v="2015-11-09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9-01-01T00:00:00"/>
    <x v="1"/>
    <s v="ΔΙΕΥΘΥΝΣΗ Π.Ε. ΜΕΣΣΗΝΙΑΣ"/>
    <x v="5"/>
  </r>
  <r>
    <x v="4579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12-21T00:00:00"/>
    <x v="1"/>
    <s v="ΔΙΕΥΘΥΝΣΗ Π.Ε. Β΄ ΑΘΗΝΑΣ"/>
    <x v="5"/>
  </r>
  <r>
    <x v="4580"/>
    <x v="1"/>
    <s v="ΠΕ70"/>
    <s v="ΔΑΣΚΑΛΟΙ"/>
    <m/>
    <m/>
    <s v="Γ΄"/>
    <n v="1"/>
    <s v="13112/08-10-20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12-15T00:00:00"/>
    <x v="1"/>
    <s v="ΔΙΕΥΘΥΝΣΗ Π.Ε. Δ΄ ΑΘΗΝΑΣ"/>
    <x v="5"/>
  </r>
  <r>
    <x v="4581"/>
    <x v="1"/>
    <s v="ΠΕ70"/>
    <s v="ΔΑΣΚΑΛΟΙ"/>
    <m/>
    <m/>
    <s v="Β΄"/>
    <n v="3"/>
    <s v="Φ.Ι.Α.1/22546/5-3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12-08T00:00:00"/>
    <x v="1"/>
    <s v="ΔΙΕΥΘΥΝΣΗ Π.Ε. ΑΝΑΤΟΛΙΚΗΣ ΑΤΤΙΚΗΣ"/>
    <x v="5"/>
  </r>
  <r>
    <x v="4582"/>
    <x v="1"/>
    <s v="ΠΕ70"/>
    <s v="ΔΑΣΚΑΛΟΙ"/>
    <m/>
    <m/>
    <s v="Γ΄"/>
    <n v="1"/>
    <n v="14429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11-14T00:00:00"/>
    <x v="1"/>
    <s v="ΔΙΕΥΘΥΝΣΗ Π.Ε. Δ΄ ΑΘΗΝΑΣ"/>
    <x v="5"/>
  </r>
  <r>
    <x v="4583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88-11-13T00:00:00"/>
    <x v="1"/>
    <s v="ΔΙΕΥΘΥΝΣΗ Π.Ε. Α΄ ΑΘΗΝΑΣ"/>
    <x v="5"/>
  </r>
  <r>
    <x v="4584"/>
    <x v="1"/>
    <s v="ΠΕ70"/>
    <s v="ΔΑΣΚΑΛ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8-11-11T00:00:00"/>
    <x v="1"/>
    <s v="ΔΙΕΥΘΥΝΣΗ Π.Ε. ΔΩΔΕΚΑΝΗΣΟΥ"/>
    <x v="5"/>
  </r>
  <r>
    <x v="4585"/>
    <x v="1"/>
    <s v="ΠΕ70"/>
    <s v="ΔΑΣΚΑΛΟΙ"/>
    <m/>
    <m/>
    <s v="Γ΄"/>
    <n v="1"/>
    <n v="716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8-10-14T00:00:00"/>
    <x v="1"/>
    <s v="ΔΙΕΥΘΥΝΣΗ Π.Ε. Δ΄ ΑΘΗΝΑΣ"/>
    <x v="5"/>
  </r>
  <r>
    <x v="4586"/>
    <x v="1"/>
    <s v="ΠΕ70"/>
    <s v="ΔΑΣΚΑΛΟΙ"/>
    <m/>
    <m/>
    <s v="Γ΄"/>
    <n v="2"/>
    <s v="728Φ4653ΠΣ-ΛΥ4"/>
    <d v="2015-11-09T00:00:00"/>
    <s v="Δ΄ ΑΘΗΝΑΣ (Π.Ε.) 2018"/>
    <s v="ΔΙΕΥΘΥΝΣΗ Π.Ε. Δ΄ ΑΘΗΝΑΣ"/>
    <s v="ΠΕΡΙΦΕΡΕΙΑΚΗ Δ/ΝΣΗ Α/ΘΜΙΑΣ ΚΑΙ Β/ΘΜΙΑΣ ΕΚΠ/ΣΗΣ ΑΤΤΙΚΗΣ"/>
    <n v="24"/>
    <d v="2015-11-09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10-01T00:00:00"/>
    <x v="1"/>
    <s v="ΔΙΕΥΘΥΝΣΗ Π.Ε. Δ΄ ΑΘΗΝΑΣ"/>
    <x v="5"/>
  </r>
  <r>
    <x v="4587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8-08-24T00:00:00"/>
    <x v="1"/>
    <s v="ΔΙΕΥΘΥΝΣΗ Π.Ε. Β΄ ΑΘΗΝΑΣ"/>
    <x v="5"/>
  </r>
  <r>
    <x v="4588"/>
    <x v="1"/>
    <s v="ΠΕ70"/>
    <s v="ΔΑΣΚΑΛΟΙ"/>
    <m/>
    <m/>
    <s v="Β΄"/>
    <n v="3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8-23T00:00:00"/>
    <x v="1"/>
    <s v="ΔΙΕΥΘΥΝΣΗ Π.Ε. Δ΄ ΑΘΗΝΑΣ"/>
    <x v="5"/>
  </r>
  <r>
    <x v="4589"/>
    <x v="1"/>
    <s v="ΠΕ70"/>
    <s v="ΔΑΣΚΑΛΟΙ"/>
    <m/>
    <m/>
    <s v="Γ΄"/>
    <n v="3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8-08-23T00:00:00"/>
    <x v="1"/>
    <s v="ΔΙΕΥΘΥΝΣΗ Π.Ε. ΚΟΡΙΝΘΙΑΣ"/>
    <x v="5"/>
  </r>
  <r>
    <x v="4590"/>
    <x v="0"/>
    <s v="ΠΕ70"/>
    <s v="ΔΑΣΚΑΛΟΙ"/>
    <m/>
    <m/>
    <s v="Γ΄"/>
    <n v="1"/>
    <s v="11617/16-10-201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8-08-16T00:00:00"/>
    <x v="1"/>
    <s v="ΔΙΕΥΘΥΝΣΗ Π.Ε. Δ΄ ΑΘΗΝΑΣ"/>
    <x v="5"/>
  </r>
  <r>
    <x v="4591"/>
    <x v="1"/>
    <s v="ΠΕ70"/>
    <s v="ΔΑΣΚΑΛΟΙ"/>
    <m/>
    <m/>
    <s v="Γ΄"/>
    <n v="1"/>
    <s v="Φ.17/5021β"/>
    <d v="2018-09-01T00:00:00"/>
    <s v="ΚΟΡΙΝΘΙΑΣ (Π.Ε.) 2018"/>
    <s v="ΔΙΕΥΘΥΝΣΗ Π.Ε. ΚΟΡΙΝΘΙΑΣ"/>
    <s v="ΠΕΡΙΦΕΡΕΙΑΚΗ Δ/ΝΣΗ Α/ΘΜΙΑΣ ΚΑΙ Β/ΘΜΙΑΣ ΕΚΠ/ΣΗΣ ΠΕΛΟΠΟΝΝΗΣΟΥ"/>
    <n v="24"/>
    <d v="2018-09-01T00:00:00"/>
    <s v="Ιδιωτικά Σχολεία"/>
    <x v="4"/>
    <s v="7281002"/>
    <s v="ΙΔΙΩΤΙΚΟ ΔΗΜΟΤΙΚΟ ΙΣΘΜΟΣ ΚΟΡΙΝΘΟΥ - ΕΚΠΑΙΔΕΥΤΗΡΙΑ ΑΤΣΟΓΛΟΥ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8-08-06T00:00:00"/>
    <x v="1"/>
    <s v="ΔΙΕΥΘΥΝΣΗ Π.Ε. ΚΟΡΙΝΘΙΑΣ"/>
    <x v="5"/>
  </r>
  <r>
    <x v="4592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7-25T00:00:00"/>
    <x v="1"/>
    <s v="ΔΙΕΥΘΥΝΣΗ Π.Ε. Β΄ ΑΘΗΝΑΣ"/>
    <x v="5"/>
  </r>
  <r>
    <x v="4593"/>
    <x v="0"/>
    <s v="ΠΕ70"/>
    <s v="ΔΑΣΚΑΛΟΙ"/>
    <m/>
    <m/>
    <s v="Γ΄"/>
    <n v="1"/>
    <s v="81/3-09-2018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88-07-12T00:00:00"/>
    <x v="1"/>
    <s v="ΔΙΕΥΘΥΝΣΗ Π.Ε. ΛΑΡΙΣΑΣ"/>
    <x v="5"/>
  </r>
  <r>
    <x v="4594"/>
    <x v="1"/>
    <s v="ΠΕ70"/>
    <s v="ΔΑΣΚΑΛΟΙ"/>
    <m/>
    <m/>
    <s v="Γ΄"/>
    <n v="1"/>
    <d v="2016-09-06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8-07-07T00:00:00"/>
    <x v="1"/>
    <s v="ΔΙΕΥΘΥΝΣΗ Π.Ε. ΑΝΑΤ. ΘΕΣ/ΝΙΚΗΣ"/>
    <x v="5"/>
  </r>
  <r>
    <x v="4595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6-14T00:00:00"/>
    <x v="1"/>
    <s v="ΔΙΕΥΘΥΝΣΗ Π.Ε. Β΄ ΑΘΗΝΑΣ"/>
    <x v="5"/>
  </r>
  <r>
    <x v="4596"/>
    <x v="1"/>
    <s v="ΠΕ70"/>
    <s v="ΔΑΣΚΑΛΟΙ"/>
    <m/>
    <m/>
    <s v="Γ΄"/>
    <n v="1"/>
    <s v="9607/16-09-201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6-14T00:00:00"/>
    <x v="1"/>
    <s v="ΔΙΕΥΘΥΝΣΗ Π.Ε. Δ΄ ΑΘΗΝΑΣ"/>
    <x v="5"/>
  </r>
  <r>
    <x v="4597"/>
    <x v="1"/>
    <s v="ΠΕ70"/>
    <s v="ΔΑΣΚΑΛΟΙ"/>
    <m/>
    <m/>
    <s v="Α΄"/>
    <n v="5"/>
    <s v="Φ.Ι.Α.1/736/15-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6-01T00:00:00"/>
    <x v="1"/>
    <s v="ΔΙΕΥΘΥΝΣΗ Π.Ε. ΑΝΑΤΟΛΙΚΗΣ ΑΤΤΙΚΗΣ"/>
    <x v="5"/>
  </r>
  <r>
    <x v="4598"/>
    <x v="1"/>
    <s v="ΠΕ08"/>
    <s v="ΚΑΛΛΙΤΕΧΝΙΚΩΝ"/>
    <m/>
    <m/>
    <s v="Γ΄"/>
    <n v="1"/>
    <s v="Φ.17./339/10031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8-06-01T00:00:00"/>
    <x v="1"/>
    <s v="ΔΙΕΥΘΥΝΣΗ Π.Ε. Β΄ ΑΘΗΝΑΣ"/>
    <x v="5"/>
  </r>
  <r>
    <x v="4599"/>
    <x v="1"/>
    <s v="ΠΕ70"/>
    <s v="ΔΑΣΚΑΛΟΙ"/>
    <m/>
    <m/>
    <s v="Γ΄"/>
    <n v="1"/>
    <s v="6ΡΙΩ4653ΠΣ-ΕΛΠ"/>
    <d v="2016-09-07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6-09-07T00:00:00"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8-05-30T00:00:00"/>
    <x v="1"/>
    <s v="ΔΙΕΥΘΥΝΣΗ Π.Ε. ΑΝΑΤ. ΘΕΣ/ΝΙΚΗΣ"/>
    <x v="5"/>
  </r>
  <r>
    <x v="4600"/>
    <x v="1"/>
    <s v="ΠΕ70"/>
    <s v="ΔΑΣΚΑΛΟΙ"/>
    <m/>
    <m/>
    <s v="Γ΄"/>
    <n v="1"/>
    <n v="8797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8-05-22T00:00:00"/>
    <x v="1"/>
    <s v="ΔΙΕΥΘΥΝΣΗ Π.Ε. Δ΄ ΑΘΗΝΑΣ"/>
    <x v="5"/>
  </r>
  <r>
    <x v="4601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5-17T00:00:00"/>
    <x v="1"/>
    <s v="ΔΙΕΥΘΥΝΣΗ Π.Ε. Β΄ ΑΘΗΝΑΣ"/>
    <x v="5"/>
  </r>
  <r>
    <x v="4602"/>
    <x v="1"/>
    <s v="ΠΕ70"/>
    <s v="ΔΑΣΚΑΛΟΙ"/>
    <m/>
    <m/>
    <s v="Β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m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8-05-10T00:00:00"/>
    <x v="1"/>
    <s v="ΔΙΕΥΘΥΝΣΗ Π.Ε. ΔΥΤ. ΘΕΣ/ΝΙΚΗΣ"/>
    <x v="5"/>
  </r>
  <r>
    <x v="4603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5-06T00:00:00"/>
    <x v="1"/>
    <s v="ΔΙΕΥΘΥΝΣΗ Π.Ε. Β΄ ΑΘΗΝΑΣ"/>
    <x v="5"/>
  </r>
  <r>
    <x v="4604"/>
    <x v="1"/>
    <s v="ΠΕ70"/>
    <s v="ΔΑΣΚΑΛΟΙ"/>
    <m/>
    <m/>
    <s v="Γ΄"/>
    <n v="1"/>
    <n v="972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8-05-03T00:00:00"/>
    <x v="1"/>
    <s v="ΔΙΕΥΘΥΝΣΗ Π.Ε. ΛΑΡΙΣΑΣ"/>
    <x v="5"/>
  </r>
  <r>
    <x v="4605"/>
    <x v="1"/>
    <s v="ΠΕ70"/>
    <s v="ΔΑΣΚΑΛΟΙ"/>
    <m/>
    <m/>
    <s v="Β΄"/>
    <n v="3"/>
    <s v="Φ.Ι.Α.1/736/15-01-2013"/>
    <d v="2012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5-02T00:00:00"/>
    <x v="1"/>
    <s v="ΔΙΕΥΘΥΝΣΗ Π.Ε. ΑΝΑΤΟΛΙΚΗΣ ΑΤΤΙΚΗΣ"/>
    <x v="5"/>
  </r>
  <r>
    <x v="4606"/>
    <x v="1"/>
    <s v="ΠΕ70"/>
    <s v="ΔΑΣΚΑΛΟΙ"/>
    <m/>
    <m/>
    <s v="Γ΄"/>
    <n v="3"/>
    <s v="72.1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8-04-21T00:00:00"/>
    <x v="1"/>
    <s v="ΔΙΕΥΘΥΝΣΗ Π.Ε. Β΄ ΑΘΗΝΑΣ"/>
    <x v="5"/>
  </r>
  <r>
    <x v="4607"/>
    <x v="1"/>
    <s v="ΠΕ70"/>
    <s v="ΔΑΣΚΑΛΟΙ"/>
    <m/>
    <m/>
    <s v="Γ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m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8-04-14T00:00:00"/>
    <x v="1"/>
    <s v="ΔΙΕΥΘΥΝΣΗ Π.Ε. ΚΥΚΛΑΔΩΝ"/>
    <x v="5"/>
  </r>
  <r>
    <x v="4608"/>
    <x v="1"/>
    <s v="ΠΕ70"/>
    <s v="ΔΑΣΚΑΛΟΙ"/>
    <m/>
    <m/>
    <s v="Γ΄"/>
    <n v="3"/>
    <s v="728Φ4653ΠΣ-ΛΥ4"/>
    <d v="2015-11-09T00:00:00"/>
    <s v="ΚΟΡΙΝΘΙΑΣ (Π.Ε.) 2018"/>
    <s v="ΔΙΕΥΘΥΝΣΗ Π.Ε. ΚΟΡΙΝΘΙΑΣ"/>
    <s v="ΠΕΡΙΦΕΡΕΙΑΚΗ Δ/ΝΣΗ Α/ΘΜΙΑΣ ΚΑΙ Β/ΘΜΙΑΣ ΕΚΠ/ΣΗΣ ΠΕΛΟΠΟΝΝΗΣΟΥ"/>
    <n v="24"/>
    <d v="2015-11-09T00:00:00"/>
    <s v="Ιδιωτικά Σχολεία"/>
    <x v="4"/>
    <s v="7281000"/>
    <s v="ΙΔΙΩΤΙΚΟ ΔΗΜΟΤΙΚΟ ΚΟΡΙΝΘΟΣ - Ο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8-04-14T00:00:00"/>
    <x v="1"/>
    <s v="ΔΙΕΥΘΥΝΣΗ Π.Ε. ΚΟΡΙΝΘΙΑΣ"/>
    <x v="5"/>
  </r>
  <r>
    <x v="4609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4-03T00:00:00"/>
    <x v="1"/>
    <s v="ΔΙΕΥΘΥΝΣΗ Π.Ε. Β΄ ΑΘΗΝΑΣ"/>
    <x v="5"/>
  </r>
  <r>
    <x v="4610"/>
    <x v="1"/>
    <s v="ΠΕ06"/>
    <s v="ΑΓΓΛΙΚΗΣ ΦΙΛΟΛΟΓΙΑΣ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8-03-23T00:00:00"/>
    <x v="1"/>
    <s v="ΔΙΕΥΘΥΝΣΗ Π.Ε. ΙΩΑΝΝΙΝΩΝ"/>
    <x v="5"/>
  </r>
  <r>
    <x v="4611"/>
    <x v="1"/>
    <s v="ΠΕ70"/>
    <s v="ΔΑΣΚΑΛΟΙ"/>
    <m/>
    <m/>
    <s v="Α΄"/>
    <n v="1"/>
    <s v="6ΕΕΓ4653ΠΣ-1ΞΥ"/>
    <d v="2015-11-16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11-16T00:00:00"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3-22T00:00:00"/>
    <x v="1"/>
    <s v="ΔΙΕΥΘΥΝΣΗ Π.Ε. ΑΝΑΤΟΛΙΚΗΣ ΑΤΤΙΚΗΣ"/>
    <x v="5"/>
  </r>
  <r>
    <x v="4612"/>
    <x v="1"/>
    <s v="ΠΕ70"/>
    <s v="ΔΑΣΚΑΛΟΙ"/>
    <m/>
    <m/>
    <s v="Α΄"/>
    <n v="1"/>
    <m/>
    <m/>
    <s v="ΧΑΝΙΩΝ (Π.Ε.) 2018"/>
    <s v="ΔΙΕΥΘΥΝΣΗ Π.Ε. ΡΕΘΥΜΝΟΥ"/>
    <s v="ΠΕΡΙΦΕΡΕΙΑΚΗ Δ/ΝΣΗ Α/ΘΜΙΑΣ ΚΑΙ Β/ΘΜΙΑΣ ΕΚΠ/ΣΗΣ ΚΡΗΤΗΣ"/>
    <n v="24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3-21T00:00:00"/>
    <x v="1"/>
    <s v="ΔΙΕΥΘΥΝΣΗ Π.Ε. ΡΕΘΥΜΝΟΥ"/>
    <x v="5"/>
  </r>
  <r>
    <x v="4613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3-20T00:00:00"/>
    <x v="1"/>
    <s v="ΔΙΕΥΘΥΝΣΗ Π.Ε. ΑΝΑΤΟΛΙΚΗΣ ΑΤΤΙΚΗΣ"/>
    <x v="5"/>
  </r>
  <r>
    <x v="4614"/>
    <x v="1"/>
    <s v="ΠΕ60"/>
    <s v="ΝΗΠΙΑΓΩΓΟΙ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3"/>
    <s v="ΙΔΙΩΤΙΚΟ ΣΥΣΤΕΓΑΖΟΜΕΝΟ ΝΗΠΙΑΓΩΓΕΙΟ - ΑΜΑΛΘΕ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8-03-20T00:00:00"/>
    <x v="1"/>
    <s v="ΔΙΕΥΘΥΝΣΗ Π.Ε. ΑΝΑΤ. ΘΕΣ/ΝΙΚΗΣ"/>
    <x v="5"/>
  </r>
  <r>
    <x v="4615"/>
    <x v="1"/>
    <s v="ΠΕ60"/>
    <s v="ΝΗΠΙΑΓΩΓΟΙ"/>
    <m/>
    <m/>
    <s v="Γ΄"/>
    <n v="1"/>
    <n v="2032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3-18T00:00:00"/>
    <x v="1"/>
    <s v="ΔΙΕΥΘΥΝΣΗ Π.Ε. Δ΄ ΑΘΗΝΑΣ"/>
    <x v="5"/>
  </r>
  <r>
    <x v="4616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1"/>
    <s v="7521015"/>
    <s v="ΙΔΙΩΤΙΚΟ ΝΗΠΙΑΓΩΓΕΙΟ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3-10T00:00:00"/>
    <x v="1"/>
    <s v="ΔΙΕΥΘΥΝΣΗ Π.Ε. ΑΝΑΤΟΛΙΚΗΣ ΑΤΤΙΚΗΣ"/>
    <x v="5"/>
  </r>
  <r>
    <x v="4617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1"/>
    <s v="7051109"/>
    <s v="ΣΥΣΤΕΓΑΖΟΜΕΝΟ ΙΔΙΩΤΙΚΟ ΝΗΠΙΑΓΩΓΕΙΟ - ΛΕΟΝΤΕΙΟ ΛΥΚΕΙΟ ΠΑΤΗΣΙΩΝ - ΑΝΩΝΥΜΗ ΕΚΠΑΙΔΕΥΤΙΚΗ ΕΤΑΙΡΕΙΑ - ΛΕΟΝΤΕΙΟ ΛΥΚΕΙΟ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8-03-04T00:00:00"/>
    <x v="1"/>
    <s v="ΔΙΕΥΘΥΝΣΗ Π.Ε. Α΄ ΑΘΗΝΑΣ"/>
    <x v="5"/>
  </r>
  <r>
    <x v="4618"/>
    <x v="1"/>
    <s v="ΠΕ70"/>
    <s v="ΔΑΣΚΑΛΟΙ"/>
    <m/>
    <m/>
    <s v="Β΄"/>
    <n v="6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2-23T00:00:00"/>
    <x v="1"/>
    <s v="ΔΙΕΥΘΥΝΣΗ Π.Ε. Δ΄ ΑΘΗΝΑΣ"/>
    <x v="5"/>
  </r>
  <r>
    <x v="4619"/>
    <x v="1"/>
    <s v="ΠΕ60"/>
    <s v="ΝΗΠΙΑΓΩΓΟΙ"/>
    <m/>
    <m/>
    <s v="Γ΄"/>
    <n v="1"/>
    <s v="Φ.17.2/304/13919/7.11.13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2-17T00:00:00"/>
    <x v="1"/>
    <s v="ΔΙΕΥΘΥΝΣΗ Π.Ε. Β΄ ΑΘΗΝΑΣ"/>
    <x v="5"/>
  </r>
  <r>
    <x v="4620"/>
    <x v="1"/>
    <s v="ΠΕ70.50"/>
    <s v="ΔΑΣΚΑΛΟΙ ΕΙΔΙΚΗΣ ΑΓΩΓΗΣ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8-02-15T00:00:00"/>
    <x v="1"/>
    <s v="ΔΙΕΥΘΥΝΣΗ Π.Ε. ΑΝΑΤ. ΘΕΣ/ΝΙΚΗΣ"/>
    <x v="5"/>
  </r>
  <r>
    <x v="4621"/>
    <x v="1"/>
    <s v="ΠΕ70"/>
    <s v="ΔΑΣΚΑΛΟΙ"/>
    <m/>
    <m/>
    <s v="Β΄"/>
    <n v="4"/>
    <s v="9292/23-04-2012"/>
    <d v="2011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1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1-21T00:00:00"/>
    <x v="1"/>
    <s v="ΔΙΕΥΘΥΝΣΗ Π.Ε. ΑΝΑΤΟΛΙΚΗΣ ΑΤΤΙΚΗΣ"/>
    <x v="5"/>
  </r>
  <r>
    <x v="4622"/>
    <x v="1"/>
    <s v="ΠΕ70"/>
    <s v="ΔΑΣΚΑΛΟΙ"/>
    <m/>
    <m/>
    <s v="Β΄"/>
    <n v="3"/>
    <s v="Φ.Ι.Α.1/736/15-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1-16T00:00:00"/>
    <x v="1"/>
    <s v="ΔΙΕΥΘΥΝΣΗ Π.Ε. ΑΝΑΤΟΛΙΚΗΣ ΑΤΤΙΚΗΣ"/>
    <x v="5"/>
  </r>
  <r>
    <x v="4623"/>
    <x v="1"/>
    <s v="ΠΕ70"/>
    <s v="ΔΑΣΚΑΛΟΙ"/>
    <m/>
    <m/>
    <s v="Γ΄"/>
    <n v="1"/>
    <s v="ΒΙΞΞ9-ΟΧΓ"/>
    <d v="2014-03-31T00:00:00"/>
    <s v="Α΄ ΑΘΗΝΑΣ (Π.Ε.) 2018"/>
    <s v="ΔΙΕΥΘΥΝΣΗ Π.Ε. Α΄ ΑΘΗΝΑΣ"/>
    <s v="ΠΕΡΙΦΕΡΕΙΑΚΗ Δ/ΝΣΗ Α/ΘΜΙΑΣ ΚΑΙ Β/ΘΜΙΑΣ ΕΚΠ/ΣΗΣ ΑΤΤΙΚΗΣ"/>
    <n v="24"/>
    <d v="2014-03-31T00:00:00"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88-01-01T00:00:00"/>
    <x v="1"/>
    <s v="ΔΙΕΥΘΥΝΣΗ Π.Ε. Α΄ ΑΘΗΝΑΣ"/>
    <x v="5"/>
  </r>
  <r>
    <x v="4624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d v="1988-01-01T00:00:00"/>
    <x v="1"/>
    <s v="ΔΙΕΥΘΥΝΣΗ Π.Ε. Α΄ ΑΘΗΝΑΣ"/>
    <x v="5"/>
  </r>
  <r>
    <x v="4625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ΑΝΑΤΟΛΙΚΗΣ ΑΤΤΙΚΗΣ"/>
    <x v="5"/>
  </r>
  <r>
    <x v="4626"/>
    <x v="0"/>
    <s v="ΠΕ70"/>
    <s v="ΔΑΣΚΑΛΟΙ"/>
    <m/>
    <m/>
    <s v="Α΄"/>
    <n v="1"/>
    <s v="7ΡΒ29-ΘΞΓ"/>
    <d v="2014-11-18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4-11-18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ΑΝΑΤΟΛΙΚΗΣ ΑΤΤΙΚΗΣ"/>
    <x v="5"/>
  </r>
  <r>
    <x v="4627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ΑΝΑΤΟΛΙΚΗΣ ΑΤΤΙΚΗΣ"/>
    <x v="5"/>
  </r>
  <r>
    <x v="4628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ΑΝΑΤΟΛΙΚΗΣ ΑΤΤΙΚΗΣ"/>
    <x v="5"/>
  </r>
  <r>
    <x v="462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6"/>
    <s v="ΙΔΙΩΤΙΚΟ ΔΗΜΟΤΙΚ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1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2"/>
    <x v="1"/>
    <s v="ΠΕ70"/>
    <s v="ΔΑΣΚΑΛΟΙ"/>
    <m/>
    <m/>
    <s v="Γ΄"/>
    <n v="1"/>
    <s v="3528/17-09-10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3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5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Β΄ ΑΘΗΝΑΣ"/>
    <x v="5"/>
  </r>
  <r>
    <x v="4636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Γ΄ ΑΘΗΝΑΣ"/>
    <x v="5"/>
  </r>
  <r>
    <x v="4637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Γ΄ ΑΘΗΝΑΣ"/>
    <x v="5"/>
  </r>
  <r>
    <x v="4638"/>
    <x v="1"/>
    <s v="ΠΕ70"/>
    <s v="ΔΑΣΚΑΛΟΙ"/>
    <m/>
    <m/>
    <s v="Β΄"/>
    <n v="3"/>
    <s v="10934/11-10-201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39"/>
    <x v="1"/>
    <s v="ΠΕ70"/>
    <s v="ΔΑΣΚΑΛΟΙ"/>
    <m/>
    <m/>
    <s v="Γ΄"/>
    <n v="1"/>
    <s v="10934/11-10-201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0"/>
    <x v="1"/>
    <s v="ΠΕ70"/>
    <s v="ΔΑΣΚΑΛΟΙ"/>
    <m/>
    <m/>
    <s v="Γ΄"/>
    <n v="1"/>
    <s v="2802/04-11-201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1"/>
    <x v="1"/>
    <s v="ΠΕ70"/>
    <s v="ΔΑΣΚΑΛΟΙ"/>
    <m/>
    <m/>
    <s v="Γ΄"/>
    <n v="1"/>
    <s v="2329/21-02-201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2"/>
    <x v="1"/>
    <s v="ΠΕ70"/>
    <s v="ΔΑΣΚΑΛΟΙ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3"/>
    <x v="1"/>
    <s v="ΠΕ70"/>
    <s v="ΔΑΣΚΑΛΟΙ"/>
    <m/>
    <m/>
    <s v="Β΄"/>
    <n v="3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4"/>
    <x v="1"/>
    <s v="ΠΕ70"/>
    <s v="ΔΑΣΚΑΛΟΙ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5"/>
    <x v="1"/>
    <s v="ΠΕ70"/>
    <s v="ΔΑΣΚΑΛΟΙ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6"/>
    <x v="1"/>
    <s v="ΠΕ70"/>
    <s v="ΔΑΣΚΑΛΟΙ"/>
    <m/>
    <m/>
    <s v="Β΄"/>
    <n v="5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02"/>
    <s v="ΙΔΙΩΤΙΚΟ ΔΗΜΟΤΙΚ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Δ΄ ΑΘΗΝΑΣ"/>
    <x v="5"/>
  </r>
  <r>
    <x v="4647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ΠΕΙΡΑΙΑ"/>
    <x v="5"/>
  </r>
  <r>
    <x v="4648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ΠΕΙΡΑΙΑ"/>
    <x v="5"/>
  </r>
  <r>
    <x v="4649"/>
    <x v="1"/>
    <s v="ΠΕ70"/>
    <s v="ΔΑΣΚΑΛΟΙ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ΠΕΙΡΑΙΑ"/>
    <x v="5"/>
  </r>
  <r>
    <x v="4650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ΠΕΙΡΑΙΑ"/>
    <x v="5"/>
  </r>
  <r>
    <x v="4651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8-01-01T00:00:00"/>
    <x v="1"/>
    <s v="ΔΙΕΥΘΥΝΣΗ Π.Ε. ΠΕΙΡΑΙΑ"/>
    <x v="5"/>
  </r>
  <r>
    <x v="4652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8-01-01T00:00:00"/>
    <x v="1"/>
    <s v="ΔΙΕΥΘΥΝΣΗ Π.Ε. ΑΙΤΩΛΟΑΚΑΡΝΑΝΙΑΣ"/>
    <x v="5"/>
  </r>
  <r>
    <x v="4653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8-01-01T00:00:00"/>
    <x v="1"/>
    <s v="ΔΙΕΥΘΥΝΣΗ Π.Ε. ΑΙΤΩΛΟΑΚΑΡΝΑΝΙΑΣ"/>
    <x v="5"/>
  </r>
  <r>
    <x v="4654"/>
    <x v="1"/>
    <s v="ΠΕ70"/>
    <s v="ΔΑΣΚΑΛΟΙ"/>
    <m/>
    <m/>
    <s v="Γ΄"/>
    <n v="1"/>
    <s v="Φ.17/11994/23-11-2015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8-01-01T00:00:00"/>
    <x v="1"/>
    <s v="ΔΙΕΥΘΥΝΣΗ Π.Ε. ΙΩΑΝΝΙΝΩΝ"/>
    <x v="5"/>
  </r>
  <r>
    <x v="4655"/>
    <x v="1"/>
    <s v="ΠΕ70"/>
    <s v="ΔΑΣΚΑΛΟΙ"/>
    <m/>
    <m/>
    <s v="Γ΄"/>
    <n v="1"/>
    <s v="9874/30-10-2012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8-01-01T00:00:00"/>
    <x v="1"/>
    <s v="ΔΙΕΥΘΥΝΣΗ Π.Ε. ΙΩΑΝΝΙΝΩΝ"/>
    <x v="5"/>
  </r>
  <r>
    <x v="4656"/>
    <x v="1"/>
    <s v="ΠΕ70"/>
    <s v="ΔΑΣΚΑΛΟΙ"/>
    <m/>
    <m/>
    <s v="Γ΄"/>
    <n v="1"/>
    <n v="942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8-01-01T00:00:00"/>
    <x v="1"/>
    <s v="ΔΙΕΥΘΥΝΣΗ Π.Ε. ΛΑΡΙΣΑΣ"/>
    <x v="5"/>
  </r>
  <r>
    <x v="4657"/>
    <x v="1"/>
    <s v="ΠΕ70"/>
    <s v="ΔΑΣΚΑΛΟΙ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8-01-01T00:00:00"/>
    <x v="1"/>
    <s v="ΔΙΕΥΘΥΝΣΗ Π.Ε. ΑΝΑΤ. ΘΕΣ/ΝΙΚΗΣ"/>
    <x v="5"/>
  </r>
  <r>
    <x v="4658"/>
    <x v="0"/>
    <s v="ΠΕ70"/>
    <s v="ΔΑΣΚΑΛΟΙ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8-01-01T00:00:00"/>
    <x v="1"/>
    <s v="ΔΙΕΥΘΥΝΣΗ Π.Ε. ΑΝΑΤ. ΘΕΣ/ΝΙΚΗΣ"/>
    <x v="5"/>
  </r>
  <r>
    <x v="4659"/>
    <x v="1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8-01-01T00:00:00"/>
    <x v="1"/>
    <s v="ΔΙΕΥΘΥΝΣΗ Π.Ε. ΑΝΑΤ. ΘΕΣ/ΝΙΚΗΣ"/>
    <x v="5"/>
  </r>
  <r>
    <x v="4660"/>
    <x v="0"/>
    <s v="ΠΕ70.50"/>
    <s v="ΔΑΣΚΑΛΟΙ ΕΙΔΙΚΗΣ ΑΓΩΓΗΣ"/>
    <s v="ΠΕ70"/>
    <s v="ΔΑΣΚΑΛΟΙ"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8-01-01T00:00:00"/>
    <x v="1"/>
    <s v="ΔΙΕΥΘΥΝΣΗ Π.Ε. ΑΝΑΤ. ΘΕΣ/ΝΙΚΗΣ"/>
    <x v="5"/>
  </r>
  <r>
    <x v="4661"/>
    <x v="1"/>
    <s v="ΠΕ70"/>
    <s v="ΔΑΣΚΑΛΟΙ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2"/>
    <s v="2ο ΙΔΙΩΤΙΚΟ ΔΗΜΟΤΙΚΟ ΘΕΣΣΑΛΟΝΙΚΗ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8-01-01T00:00:00"/>
    <x v="1"/>
    <s v="ΔΙΕΥΘΥΝΣΗ Π.Ε. ΑΝΑΤ. ΘΕΣ/ΝΙΚΗΣ"/>
    <x v="5"/>
  </r>
  <r>
    <x v="4662"/>
    <x v="1"/>
    <s v="ΠΕ70"/>
    <s v="ΔΑΣΚΑΛΟΙ"/>
    <m/>
    <m/>
    <s v="Α΄"/>
    <n v="1"/>
    <m/>
    <m/>
    <s v="ΧΑΝΙΩΝ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1-01T00:00:00"/>
    <x v="1"/>
    <s v="ΔΙΕΥΘΥΝΣΗ Π.Ε. ΗΡΑΚΛΕΙΟΥ"/>
    <x v="5"/>
  </r>
  <r>
    <x v="4663"/>
    <x v="1"/>
    <s v="ΠΕ70"/>
    <s v="ΔΑΣΚΑΛΟΙ"/>
    <m/>
    <m/>
    <s v="Α΄"/>
    <n v="1"/>
    <m/>
    <m/>
    <s v="ΧΑΝΙΩΝ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1-01T00:00:00"/>
    <x v="1"/>
    <s v="ΔΙΕΥΘΥΝΣΗ Π.Ε. ΗΡΑΚΛΕΙΟΥ"/>
    <x v="5"/>
  </r>
  <r>
    <x v="4664"/>
    <x v="1"/>
    <s v="ΠΕ70"/>
    <s v="ΔΑΣΚΑΛΟΙ"/>
    <m/>
    <m/>
    <s v="Γ΄"/>
    <n v="1"/>
    <s v="Ω7ΜΞ4653ΠΣ-ΗΤ3"/>
    <d v="2018-10-04T00:00:00"/>
    <s v="ΧΑΝΙΩΝ (Π.Ε.) 2018"/>
    <s v="ΔΙΕΥΘΥΝΣΗ Π.Ε. ΧΑΝΙΩΝ"/>
    <s v="ΠΕΡΙΦΕΡΕΙΑΚΗ Δ/ΝΣΗ Α/ΘΜΙΑΣ ΚΑΙ Β/ΘΜΙΑΣ ΕΚΠ/ΣΗΣ ΚΡΗΤΗΣ"/>
    <n v="24"/>
    <d v="2018-10-04T00:00:00"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1-01T00:00:00"/>
    <x v="1"/>
    <s v="ΔΙΕΥΘΥΝΣΗ Π.Ε. ΧΑΝΙΩΝ"/>
    <x v="5"/>
  </r>
  <r>
    <x v="4665"/>
    <x v="1"/>
    <s v="ΠΕ70"/>
    <s v="ΔΑΣΚΑΛΟΙ"/>
    <m/>
    <m/>
    <s v="Α΄"/>
    <n v="1"/>
    <s v="ΒΙΦΘ9-ΝΞ6"/>
    <d v="2014-05-08T00:00:00"/>
    <s v="ΧΑΝΙΩΝ (Π.Ε.) 2018"/>
    <s v="ΔΙΕΥΘΥΝΣΗ Π.Ε. ΧΑΝΙΩΝ"/>
    <s v="ΠΕΡΙΦΕΡΕΙΑΚΗ Δ/ΝΣΗ Α/ΘΜΙΑΣ ΚΑΙ Β/ΘΜΙΑΣ ΕΚΠ/ΣΗΣ ΚΡΗΤΗΣ"/>
    <n v="24"/>
    <d v="2014-05-08T00:00:00"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1-01T00:00:00"/>
    <x v="1"/>
    <s v="ΔΙΕΥΘΥΝΣΗ Π.Ε. ΧΑΝΙΩΝ"/>
    <x v="5"/>
  </r>
  <r>
    <x v="4666"/>
    <x v="1"/>
    <s v="ΠΕ70"/>
    <s v="ΔΑΣΚΑΛΟΙ"/>
    <m/>
    <m/>
    <s v="Α΄"/>
    <n v="1"/>
    <s v="ΒΛΕΖ9-ΠΨΖ"/>
    <d v="2013-10-01T00:00:00"/>
    <s v="ΧΑΝΙΩΝ (Π.Ε.) 2018"/>
    <s v="ΔΙΕΥΘΥΝΣΗ Π.Ε. ΧΑΝΙΩΝ"/>
    <s v="ΠΕΡΙΦΕΡΕΙΑΚΗ Δ/ΝΣΗ Α/ΘΜΙΑΣ ΚΑΙ Β/ΘΜΙΑΣ ΕΚΠ/ΣΗΣ ΚΡΗΤΗΣ"/>
    <n v="24"/>
    <d v="2013-10-01T00:00:00"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1-01T00:00:00"/>
    <x v="1"/>
    <s v="ΔΙΕΥΘΥΝΣΗ Π.Ε. ΧΑΝΙΩΝ"/>
    <x v="5"/>
  </r>
  <r>
    <x v="4667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2"/>
    <s v="ΙΔΙΩΤΙΚΟ ΔΗΜΟΤΙΚΟ ΧΑΝΙΩΝ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8-01-01T00:00:00"/>
    <x v="1"/>
    <s v="ΔΙΕΥΘΥΝΣΗ Π.Ε. ΧΑΝΙΩΝ"/>
    <x v="5"/>
  </r>
  <r>
    <x v="4668"/>
    <x v="1"/>
    <s v="ΠΕ70"/>
    <s v="ΔΑΣΚΑΛ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8-01-01T00:00:00"/>
    <x v="1"/>
    <s v="ΔΙΕΥΘΥΝΣΗ Π.Ε. ΔΩΔΕΚΑΝΗΣΟΥ"/>
    <x v="5"/>
  </r>
  <r>
    <x v="4669"/>
    <x v="1"/>
    <s v="ΠΕ70"/>
    <s v="ΔΑΣΚΑΛ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8-01-01T00:00:00"/>
    <x v="1"/>
    <s v="ΔΙΕΥΘΥΝΣΗ Π.Ε. ΑΡΓΟΛΙΔΑΣ"/>
    <x v="5"/>
  </r>
  <r>
    <x v="4670"/>
    <x v="1"/>
    <s v="ΠΕ06"/>
    <s v="ΑΓΓΛΙΚΗΣ ΦΙΛΟΛΟΓΙΑΣ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7-12-08T00:00:00"/>
    <x v="1"/>
    <s v="ΔΙΕΥΘΥΝΣΗ Π.Ε. ΠΕΙΡΑΙΑ"/>
    <x v="5"/>
  </r>
  <r>
    <x v="4671"/>
    <x v="1"/>
    <s v="ΠΕ70"/>
    <s v="ΔΑΣΚΑΛΟΙ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12-07T00:00:00"/>
    <x v="1"/>
    <s v="ΔΙΕΥΘΥΝΣΗ Π.Ε. Β΄ ΑΘΗΝΑΣ"/>
    <x v="5"/>
  </r>
  <r>
    <x v="4672"/>
    <x v="1"/>
    <s v="ΠΕ70"/>
    <s v="ΔΑΣΚΑΛΟΙ"/>
    <m/>
    <m/>
    <s v="Β΄"/>
    <n v="3"/>
    <s v="Φ.Ι.Α.3/35785/17-12-2014"/>
    <d v="2014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4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7-12-05T00:00:00"/>
    <x v="1"/>
    <s v="ΔΙΕΥΘΥΝΣΗ Π.Ε. ΑΝΑΤΟΛΙΚΗΣ ΑΤΤΙΚΗΣ"/>
    <x v="5"/>
  </r>
  <r>
    <x v="4673"/>
    <x v="0"/>
    <s v="ΠΕ70"/>
    <s v="ΔΑΣΚΑΛΟΙ"/>
    <m/>
    <m/>
    <s v="Γ΄"/>
    <n v="1"/>
    <s v="6ΒΣΦ4653ΠΣ-ΛΕΝ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7-12-04T00:00:00"/>
    <x v="1"/>
    <s v="ΔΙΕΥΘΥΝΣΗ Π.Ε. ΑΝΑΤ. ΘΕΣ/ΝΙΚΗΣ"/>
    <x v="5"/>
  </r>
  <r>
    <x v="4674"/>
    <x v="1"/>
    <s v="ΠΕ70"/>
    <s v="ΔΑΣΚΑΛΟΙ"/>
    <m/>
    <m/>
    <s v="Γ΄"/>
    <n v="1"/>
    <s v="ΩΠ4Υ4653ΠΣ-58Ρ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7-12-01T00:00:00"/>
    <x v="1"/>
    <s v="ΔΙΕΥΘΥΝΣΗ Π.Ε. ΑΝΑΤ. ΘΕΣ/ΝΙΚΗΣ"/>
    <x v="5"/>
  </r>
  <r>
    <x v="4675"/>
    <x v="1"/>
    <s v="ΠΕ70"/>
    <s v="ΔΑΣΚΑΛΟΙ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10-19T00:00:00"/>
    <x v="1"/>
    <s v="ΔΙΕΥΘΥΝΣΗ Π.Ε. Β΄ ΑΘΗΝΑΣ"/>
    <x v="5"/>
  </r>
  <r>
    <x v="4676"/>
    <x v="1"/>
    <s v="ΠΕ70"/>
    <s v="ΔΑΣΚΑΛ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7-10-17T00:00:00"/>
    <x v="1"/>
    <s v="ΔΙΕΥΘΥΝΣΗ Π.Ε. ΑΡΓΟΛΙΔΑΣ"/>
    <x v="5"/>
  </r>
  <r>
    <x v="4677"/>
    <x v="1"/>
    <s v="ΠΕ70"/>
    <s v="ΔΑΣΚΑΛΟΙ"/>
    <m/>
    <m/>
    <s v="Γ΄"/>
    <n v="1"/>
    <n v="1989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7-10-10T00:00:00"/>
    <x v="1"/>
    <s v="ΔΙΕΥΘΥΝΣΗ Π.Ε. Δ΄ ΑΘΗΝΑΣ"/>
    <x v="5"/>
  </r>
  <r>
    <x v="4678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7-10-01T00:00:00"/>
    <x v="1"/>
    <s v="ΔΙΕΥΘΥΝΣΗ Π.Ε. Α΄ ΑΘΗΝΑΣ"/>
    <x v="5"/>
  </r>
  <r>
    <x v="4679"/>
    <x v="1"/>
    <s v="ΠΕ60"/>
    <s v="ΝΗΠΙΑΓΩΓΟΙ"/>
    <m/>
    <m/>
    <s v="Γ΄"/>
    <n v="1"/>
    <s v="10215/2"/>
    <d v="2018-09-01T00:00:00"/>
    <s v="Α΄ ΠΕΙΡΑΙΑ (Π.Ε.) 2018"/>
    <s v="ΔΙΕΥΘΥΝΣΗ Π.Ε. ΠΕΙΡΑΙΑ"/>
    <s v="ΠΕΡΙΦΕΡΕΙΑΚΗ Δ/ΝΣΗ Α/ΘΜΙΑΣ ΚΑΙ Β/ΘΜΙΑΣ ΕΚΠ/ΣΗΣ ΑΤΤΙΚΗΣ"/>
    <n v="24"/>
    <d v="2018-09-01T00:00:00"/>
    <s v="Ιδιωτικά Σχολεία"/>
    <x v="1"/>
    <s v="7541101"/>
    <s v="Ιδιωτικό Νηπιαγωγείο - ΕΛΛΗΝΟΓΑΛΛΙΚΗ ΣΧΟΛΗ JEANNE D' ARC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7-09-07T00:00:00"/>
    <x v="1"/>
    <s v="ΔΙΕΥΘΥΝΣΗ Π.Ε. ΠΕΙΡΑΙΑ"/>
    <x v="5"/>
  </r>
  <r>
    <x v="4680"/>
    <x v="1"/>
    <s v="ΠΕ06"/>
    <s v="ΑΓΓΛΙΚΗΣ ΦΙΛΟΛΟΓΙΑΣ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4"/>
    <s v="ΙΔΙΩΤΙΚΟ ΔΗΜΟΤΙΚΟ ΣΧΟΛΕΙΟ - ΖΗΤΑ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7-08-13T00:00:00"/>
    <x v="1"/>
    <s v="ΔΙΕΥΘΥΝΣΗ Π.Ε. ΧΑΝΙΩΝ"/>
    <x v="5"/>
  </r>
  <r>
    <x v="4681"/>
    <x v="1"/>
    <s v="ΠΕ70"/>
    <s v="ΔΑΣΚΑΛΟΙ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7-08-08T00:00:00"/>
    <x v="1"/>
    <s v="ΔΙΕΥΘΥΝΣΗ Π.Ε. ΑΝΑΤ. ΘΕΣ/ΝΙΚΗΣ"/>
    <x v="5"/>
  </r>
  <r>
    <x v="4682"/>
    <x v="1"/>
    <s v="ΠΕ60"/>
    <s v="ΝΗΠΙΑΓΩΓΟΙ"/>
    <m/>
    <m/>
    <s v="Γ΄"/>
    <n v="1"/>
    <s v="9093/19-04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59"/>
    <s v="ΙΔΙΩΤΙΚΟ ΝΗΠΙΑΓΩΓΕΙΟ ΚΑΡΔΙΑ - ΣΥΝΝΕΦΟΥΛ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7-08-05T00:00:00"/>
    <x v="1"/>
    <s v="ΔΙΕΥΘΥΝΣΗ Π.Ε. ΑΝΑΤ. ΘΕΣ/ΝΙΚΗΣ"/>
    <x v="5"/>
  </r>
  <r>
    <x v="4683"/>
    <x v="1"/>
    <s v="ΠΕ70"/>
    <s v="ΔΑΣΚΑΛΟΙ"/>
    <m/>
    <m/>
    <s v="Γ΄"/>
    <n v="1"/>
    <s v="ΩΒΟΠ4653ΠΣ-ΥΗΛ"/>
    <d v="2017-02-20T00:00:00"/>
    <s v="ΙΩΑΝΝΙΝΩΝ (Π.Ε.) 2018"/>
    <s v="ΔΙΕΥΘΥΝΣΗ Π.Ε. ΙΩΑΝΝΙΝΩΝ"/>
    <s v="ΠΕΡΙΦΕΡΕΙΑΚΗ Δ/ΝΣΗ Α/ΘΜΙΑΣ ΚΑΙ Β/ΘΜΙΑΣ ΕΚΠ/ΣΗΣ ΗΠΕΙΡΟΥ"/>
    <n v="24"/>
    <d v="2017-02-20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7-08-04T00:00:00"/>
    <x v="1"/>
    <s v="ΔΙΕΥΘΥΝΣΗ Π.Ε. ΙΩΑΝΝΙΝΩΝ"/>
    <x v="5"/>
  </r>
  <r>
    <x v="4684"/>
    <x v="1"/>
    <s v="ΠΕ60"/>
    <s v="ΝΗΠΙΑΓΩΓΟΙ"/>
    <m/>
    <m/>
    <s v="Γ΄"/>
    <n v="1"/>
    <n v="24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7-08-02T00:00:00"/>
    <x v="1"/>
    <s v="ΔΙΕΥΘΥΝΣΗ Π.Ε. Β΄ ΑΘΗΝΑΣ"/>
    <x v="5"/>
  </r>
  <r>
    <x v="4685"/>
    <x v="0"/>
    <s v="ΠΕ70"/>
    <s v="ΔΑΣΚΑΛΟΙ"/>
    <m/>
    <m/>
    <s v="Γ΄"/>
    <n v="1"/>
    <d v="201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7-08-01T00:00:00"/>
    <x v="1"/>
    <s v="ΔΙΕΥΘΥΝΣΗ Π.Ε. ΑΝΑΤ. ΘΕΣ/ΝΙΚΗΣ"/>
    <x v="5"/>
  </r>
  <r>
    <x v="4686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07-19T00:00:00"/>
    <x v="1"/>
    <s v="ΔΙΕΥΘΥΝΣΗ Π.Ε. Β΄ ΑΘΗΝΑΣ"/>
    <x v="5"/>
  </r>
  <r>
    <x v="4687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07-11T00:00:00"/>
    <x v="1"/>
    <s v="ΔΙΕΥΘΥΝΣΗ Π.Ε. Β΄ ΑΘΗΝΑΣ"/>
    <x v="5"/>
  </r>
  <r>
    <x v="4688"/>
    <x v="1"/>
    <s v="ΠΕ70"/>
    <s v="ΔΑΣΚΑΛΟΙ"/>
    <m/>
    <m/>
    <s v="Β΄"/>
    <n v="6"/>
    <s v="ΩΒΟΨ4653ΠΣ-Ρ0Η"/>
    <d v="2016-11-03T00:00:00"/>
    <s v="Δ΄ ΑΘΗΝΑΣ (Π.Ε.) 2018"/>
    <s v="ΔΙΕΥΘΥΝΣΗ Π.Ε. Δ΄ ΑΘΗΝΑΣ"/>
    <s v="ΠΕΡΙΦΕΡΕΙΑΚΗ Δ/ΝΣΗ Α/ΘΜΙΑΣ ΚΑΙ Β/ΘΜΙΑΣ ΕΚΠ/ΣΗΣ ΑΤΤΙΚΗΣ"/>
    <n v="24"/>
    <d v="2016-11-03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7-05-25T00:00:00"/>
    <x v="1"/>
    <s v="ΔΙΕΥΘΥΝΣΗ Π.Ε. Δ΄ ΑΘΗΝΑΣ"/>
    <x v="5"/>
  </r>
  <r>
    <x v="4689"/>
    <x v="1"/>
    <s v="ΠΕ60"/>
    <s v="ΝΗΠΙΑΓΩΓΟΙ"/>
    <m/>
    <m/>
    <s v="Γ΄"/>
    <n v="1"/>
    <s v="Φ.17.2/498/13149/7.12.17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05-21T00:00:00"/>
    <x v="1"/>
    <s v="ΔΙΕΥΘΥΝΣΗ Π.Ε. Β΄ ΑΘΗΝΑΣ"/>
    <x v="5"/>
  </r>
  <r>
    <x v="4690"/>
    <x v="1"/>
    <s v="ΠΕ70"/>
    <s v="ΔΑΣΚΑΛΟΙ"/>
    <m/>
    <m/>
    <s v="Γ΄"/>
    <n v="1"/>
    <s v="2323/27-09-201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7-05-08T00:00:00"/>
    <x v="1"/>
    <s v="ΔΙΕΥΘΥΝΣΗ Π.Ε. Δ΄ ΑΘΗΝΑΣ"/>
    <x v="5"/>
  </r>
  <r>
    <x v="4691"/>
    <x v="1"/>
    <s v="ΠΕ70"/>
    <s v="ΔΑΣΚΑΛΟΙ"/>
    <m/>
    <m/>
    <s v="Β΄"/>
    <n v="4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7-05-07T00:00:00"/>
    <x v="1"/>
    <s v="ΔΙΕΥΘΥΝΣΗ Π.Ε. Δ΄ ΑΘΗΝΑΣ"/>
    <x v="5"/>
  </r>
  <r>
    <x v="4692"/>
    <x v="1"/>
    <s v="ΠΕ70"/>
    <s v="ΔΑΣΚΑΛΟΙ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7-04-14T00:00:00"/>
    <x v="1"/>
    <s v="ΔΙΕΥΘΥΝΣΗ Π.Ε. Δ΄ ΑΘΗΝΑΣ"/>
    <x v="5"/>
  </r>
  <r>
    <x v="4693"/>
    <x v="1"/>
    <s v="ΠΕ06"/>
    <s v="ΑΓΓΛΙΚΗΣ ΦΙΛΟΛΟΓΙΑΣ"/>
    <m/>
    <m/>
    <s v="Β΄"/>
    <n v="4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d v="2015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3-30T00:00:00"/>
    <x v="1"/>
    <s v="ΔΙΕΥΘΥΝΣΗ Π.Ε. ΑΝΑΤΟΛΙΚΗΣ ΑΤΤΙΚΗΣ"/>
    <x v="5"/>
  </r>
  <r>
    <x v="4694"/>
    <x v="1"/>
    <s v="ΠΕ86"/>
    <s v="ΠΛΗΡΟΦΟΡΙΚΗ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7-02-24T00:00:00"/>
    <x v="1"/>
    <s v="ΔΙΕΥΘΥΝΣΗ Π.Ε. ΑΝΑΤ. ΘΕΣ/ΝΙΚΗΣ"/>
    <x v="5"/>
  </r>
  <r>
    <x v="4695"/>
    <x v="1"/>
    <s v="ΠΕ70"/>
    <s v="ΔΑΣΚΑΛΟΙ"/>
    <m/>
    <m/>
    <s v="Γ΄"/>
    <n v="1"/>
    <s v="Φ.17/4646/04-07-2018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7-01-13T00:00:00"/>
    <x v="1"/>
    <s v="ΔΙΕΥΘΥΝΣΗ Π.Ε. ΙΩΑΝΝΙΝΩΝ"/>
    <x v="5"/>
  </r>
  <r>
    <x v="4696"/>
    <x v="1"/>
    <s v="ΠΕ60"/>
    <s v="ΝΗΠΙΑΓΩΓΟΙ"/>
    <m/>
    <m/>
    <s v="Γ΄"/>
    <n v="1"/>
    <s v="Φ.17.2/276/9953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01-08T00:00:00"/>
    <x v="1"/>
    <s v="ΔΙΕΥΘΥΝΣΗ Π.Ε. Β΄ ΑΘΗΝΑΣ"/>
    <x v="5"/>
  </r>
  <r>
    <x v="4697"/>
    <x v="1"/>
    <s v="ΠΕ60"/>
    <s v="ΝΗΠΙΑΓΩ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7-01-07T00:00:00"/>
    <x v="1"/>
    <s v="ΔΙΕΥΘΥΝΣΗ Π.Ε. ΠΕΙΡΑΙΑ"/>
    <x v="5"/>
  </r>
  <r>
    <x v="4698"/>
    <x v="1"/>
    <s v="ΠΕ60"/>
    <s v="ΝΗΠΙΑΓΩΓΟΙ"/>
    <m/>
    <m/>
    <s v="Γ΄"/>
    <n v="1"/>
    <d v="2012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7-01-05T00:00:00"/>
    <x v="1"/>
    <s v="ΔΙΕΥΘΥΝΣΗ Π.Ε. ΑΝΑΤ. ΘΕΣ/ΝΙΚΗΣ"/>
    <x v="5"/>
  </r>
  <r>
    <x v="4699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Α΄ ΑΘΗΝΑΣ"/>
    <x v="5"/>
  </r>
  <r>
    <x v="4700"/>
    <x v="1"/>
    <s v="ΠΕ70"/>
    <s v="ΔΑΣΚΑΛΟΙ"/>
    <m/>
    <m/>
    <s v="Γ΄"/>
    <n v="1"/>
    <s v="ΩΚΧ8465ΦΘ3-Ψ0Σ"/>
    <d v="2015-10-15T00:00:00"/>
    <s v="Α΄ ΑΘΗΝΑΣ (Π.Ε.) 2018"/>
    <s v="ΔΙΕΥΘΥΝΣΗ Π.Ε. Α΄ ΑΘΗΝΑΣ"/>
    <s v="ΠΕΡΙΦΕΡΕΙΑΚΗ Δ/ΝΣΗ Α/ΘΜΙΑΣ ΚΑΙ Β/ΘΜΙΑΣ ΕΚΠ/ΣΗΣ ΑΤΤΙΚΗΣ"/>
    <n v="24"/>
    <d v="2015-10-15T00:00:00"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Α΄ ΑΘΗΝΑΣ"/>
    <x v="5"/>
  </r>
  <r>
    <x v="4701"/>
    <x v="0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ΑΝΑΤΟΛΙΚΗΣ ΑΤΤΙΚΗΣ"/>
    <x v="5"/>
  </r>
  <r>
    <x v="4702"/>
    <x v="0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ΑΝΑΤΟΛΙΚΗΣ ΑΤΤΙΚΗΣ"/>
    <x v="5"/>
  </r>
  <r>
    <x v="4703"/>
    <x v="0"/>
    <s v="ΠΕ71"/>
    <s v="ΔΑΣΚΑΛΟΙ ΕΙΔΙΚΗΣ ΑΓΩΓΗΣ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Β΄ ΑΘΗΝΑΣ"/>
    <x v="5"/>
  </r>
  <r>
    <x v="470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01-01T00:00:00"/>
    <x v="1"/>
    <s v="ΔΙΕΥΘΥΝΣΗ Π.Ε. Β΄ ΑΘΗΝΑΣ"/>
    <x v="5"/>
  </r>
  <r>
    <x v="4705"/>
    <x v="0"/>
    <s v="ΠΕ70"/>
    <s v="ΔΑΣΚΑΛΟΙ"/>
    <m/>
    <m/>
    <s v="Α΄"/>
    <n v="1"/>
    <s v="ΒΛΓΨ9-2ΡΔ"/>
    <d v="2013-12-1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3-12-13T00:00:00"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7-01-01T00:00:00"/>
    <x v="1"/>
    <s v="ΔΙΕΥΘΥΝΣΗ Π.Ε. ΔΥΤ. ΘΕΣ/ΝΙΚΗΣ"/>
    <x v="5"/>
  </r>
  <r>
    <x v="4706"/>
    <x v="0"/>
    <s v="ΠΕ70"/>
    <s v="ΔΑΣΚΑΛ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7-01-01T00:00:00"/>
    <x v="1"/>
    <s v="ΔΙΕΥΘΥΝΣΗ Π.Ε. ΑΡΓΟΛΙΔΑΣ"/>
    <x v="5"/>
  </r>
  <r>
    <x v="4707"/>
    <x v="1"/>
    <s v="ΠΕ70"/>
    <s v="ΔΑΣΚΑΛΟΙ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d v="2018-09-01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7-01-01T00:00:00"/>
    <x v="1"/>
    <s v="ΔΙΕΥΘΥΝΣΗ Π.Ε. ΜΕΣΣΗΝΙΑΣ"/>
    <x v="5"/>
  </r>
  <r>
    <x v="4708"/>
    <x v="1"/>
    <s v="ΠΕ70"/>
    <s v="ΔΑΣΚΑΛ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6-12-25T00:00:00"/>
    <x v="1"/>
    <s v="ΔΙΕΥΘΥΝΣΗ Π.Ε. ΔΩΔΕΚΑΝΗΣΟΥ"/>
    <x v="5"/>
  </r>
  <r>
    <x v="4709"/>
    <x v="1"/>
    <s v="ΠΕ60"/>
    <s v="ΝΗΠΙΑΓΩΓΟΙ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6-12-03T00:00:00"/>
    <x v="1"/>
    <s v="ΔΙΕΥΘΥΝΣΗ Π.Ε. ΚΥΚΛΑΔΩΝ"/>
    <x v="5"/>
  </r>
  <r>
    <x v="4710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6-11-01T00:00:00"/>
    <x v="1"/>
    <s v="ΔΙΕΥΘΥΝΣΗ Π.Ε. ΠΕΙΡΑΙΑ"/>
    <x v="5"/>
  </r>
  <r>
    <x v="4711"/>
    <x v="1"/>
    <s v="ΠΕ70"/>
    <s v="ΔΑΣΚΑΛΟΙ"/>
    <m/>
    <m/>
    <s v="Γ΄"/>
    <n v="1"/>
    <n v="7164"/>
    <d v="2018-09-26T00:00:00"/>
    <s v="ΛΑΡΙΣΑΣ (Π.Ε.) 2018"/>
    <s v="ΔΙΕΥΘΥΝΣΗ Π.Ε. ΛΑΡΙΣΑΣ"/>
    <s v="ΠΕΡΙΦΕΡΕΙΑΚΗ Δ/ΝΣΗ Α/ΘΜΙΑΣ ΚΑΙ Β/ΘΜΙΑΣ ΕΚΠ/ΣΗΣ ΘΕΣΣΑΛΙΑΣ"/>
    <n v="24"/>
    <d v="2018-09-26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2"/>
    <s v="Τοποθέτηση σε Ιδιωτική Εκπαίδευση"/>
    <d v="1986-10-11T00:00:00"/>
    <x v="1"/>
    <s v="ΔΙΕΥΘΥΝΣΗ Π.Ε. ΛΑΡΙΣΑΣ"/>
    <x v="5"/>
  </r>
  <r>
    <x v="4712"/>
    <x v="1"/>
    <s v="ΠΕ60"/>
    <s v="ΝΗΠΙΑΓΩΓΟΙ"/>
    <m/>
    <m/>
    <s v="Γ΄"/>
    <n v="1"/>
    <n v="94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6-10-08T00:00:00"/>
    <x v="1"/>
    <s v="ΔΙΕΥΘΥΝΣΗ Π.Ε. ΛΑΡΙΣΑΣ"/>
    <x v="5"/>
  </r>
  <r>
    <x v="4713"/>
    <x v="1"/>
    <s v="ΠΕ70"/>
    <s v="ΔΑΣΚΑΛ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4"/>
    <m/>
    <s v="Ιδιωτικά Σχολεία"/>
    <x v="4"/>
    <s v="7061000"/>
    <s v="ΙΔΙΩΤΙΚΟ ΔΗΜΟΤΙΚΟ ΠΛΑΤΑΝΙ ΡΙΟΥ - ΑΡΣΑΚΕΙΟ ΔΗΜ.ΣΧ.ΠΑΤΡΩΝ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86-10-07T00:00:00"/>
    <x v="1"/>
    <s v="ΔΙΕΥΘΥΝΣΗ Π.Ε. ΑΧΑΪΑΣ"/>
    <x v="5"/>
  </r>
  <r>
    <x v="4714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10-01T00:00:00"/>
    <x v="1"/>
    <s v="ΔΙΕΥΘΥΝΣΗ Π.Ε. Β΄ ΑΘΗΝΑΣ"/>
    <x v="5"/>
  </r>
  <r>
    <x v="4715"/>
    <x v="1"/>
    <s v="ΠΕ06"/>
    <s v="ΑΓΓ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6-09-08T00:00:00"/>
    <x v="1"/>
    <s v="ΔΙΕΥΘΥΝΣΗ Π.Ε. Α΄ ΑΘΗΝΑΣ"/>
    <x v="5"/>
  </r>
  <r>
    <x v="4716"/>
    <x v="1"/>
    <s v="ΠΕ70"/>
    <s v="ΔΑΣΚΑΛΟΙ"/>
    <m/>
    <m/>
    <s v="Γ΄"/>
    <n v="1"/>
    <s v="7ΔΙΠ4653ΠΣ-Σ2Β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8-09-03T00:00:00"/>
    <s v="Ιδιωτικά Σχολεία"/>
    <x v="4"/>
    <s v="7192004"/>
    <s v="ΙΔΙΩΤΙΚΟ ΔΗΜΟΤΙΚΟ ΩΡΑΙΟΚΑΣΤΡΟ ΘΕΣΣΑΛΟΝΙΚΗΣ - Κ. ΑΝΔΡΕΑΔΗ Α.Ε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86-09-02T00:00:00"/>
    <x v="1"/>
    <s v="ΔΙΕΥΘΥΝΣΗ Π.Ε. ΔΥΤ. ΘΕΣ/ΝΙΚΗΣ"/>
    <x v="5"/>
  </r>
  <r>
    <x v="4717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6-08-26T00:00:00"/>
    <x v="1"/>
    <s v="ΔΙΕΥΘΥΝΣΗ Π.Ε. Α΄ ΑΘΗΝΑΣ"/>
    <x v="5"/>
  </r>
  <r>
    <x v="4718"/>
    <x v="1"/>
    <s v="ΠΕ60"/>
    <s v="ΝΗΠΙΑΓΩΓΟΙ"/>
    <m/>
    <m/>
    <s v="Α΄"/>
    <n v="1"/>
    <m/>
    <m/>
    <s v="ΤΡΙΚΑΛΩΝ (Π.Ε.) 2018"/>
    <s v="ΔΙΕΥΘΥΝΣΗ Π.Ε. ΤΡΙΚΑΛΩΝ"/>
    <s v="ΠΕΡΙΦΕΡΕΙΑΚΗ Δ/ΝΣΗ Α/ΘΜΙΑΣ ΚΑΙ Β/ΘΜΙΑΣ ΕΚΠ/ΣΗΣ ΘΕΣΣΑΛΙΑΣ"/>
    <n v="24"/>
    <m/>
    <s v="Ιδιωτικά Σχολεία"/>
    <x v="1"/>
    <s v="7451003"/>
    <s v="ΙΔΙΩΤΙΚΟ ΝΗΠΙΑΓΩΓΕΙΟ - ΚΑΣΤΑΝΟΥΛΗ ΕΥΤΕΡΠΗ &amp; ΣΙΑ Ε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86-08-16T00:00:00"/>
    <x v="1"/>
    <s v="ΔΙΕΥΘΥΝΣΗ Π.Ε. ΤΡΙΚΑΛΩΝ"/>
    <x v="5"/>
  </r>
  <r>
    <x v="4719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225"/>
    <s v="ΙΔΙΩΤΙΚΟ ΝΗΠΙΑΓΩΓΕΙΟ - ΤΡΙΑΝΕΜΙ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8-13T00:00:00"/>
    <x v="1"/>
    <s v="ΔΙΕΥΘΥΝΣΗ Π.Ε. Β΄ ΑΘΗΝΑΣ"/>
    <x v="5"/>
  </r>
  <r>
    <x v="4720"/>
    <x v="1"/>
    <s v="ΠΕ70"/>
    <s v="ΔΑΣΚΑΛΟΙ"/>
    <m/>
    <m/>
    <s v="Α΄"/>
    <n v="1"/>
    <n v="653"/>
    <d v="2009-08-18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09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86-08-09T00:00:00"/>
    <x v="1"/>
    <s v="ΔΙΕΥΘΥΝΣΗ Π.Ε. ΑΝΑΤ. ΘΕΣ/ΝΙΚΗΣ"/>
    <x v="5"/>
  </r>
  <r>
    <x v="4721"/>
    <x v="1"/>
    <s v="ΠΕ70"/>
    <s v="ΔΑΣΚΑΛΟΙ"/>
    <m/>
    <m/>
    <s v="Γ΄"/>
    <n v="1"/>
    <n v="9416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86-08-07T00:00:00"/>
    <x v="1"/>
    <s v="ΔΙΕΥΘΥΝΣΗ Π.Ε. ΛΑΡΙΣΑΣ"/>
    <x v="5"/>
  </r>
  <r>
    <x v="4722"/>
    <x v="1"/>
    <s v="ΠΕ70"/>
    <s v="ΔΑΣΚΑΛΟΙ"/>
    <m/>
    <m/>
    <s v="Γ΄"/>
    <n v="1"/>
    <s v="3512/10/10/2011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7-29T00:00:00"/>
    <x v="1"/>
    <s v="ΔΙΕΥΘΥΝΣΗ Π.Ε. Β΄ ΑΘΗΝΑΣ"/>
    <x v="5"/>
  </r>
  <r>
    <x v="4723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7-14T00:00:00"/>
    <x v="1"/>
    <s v="ΔΙΕΥΘΥΝΣΗ Π.Ε. Β΄ ΑΘΗΝΑΣ"/>
    <x v="5"/>
  </r>
  <r>
    <x v="4724"/>
    <x v="1"/>
    <s v="ΠΕ70"/>
    <s v="ΔΑΣΚΑΛ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6-27T00:00:00"/>
    <x v="1"/>
    <s v="ΔΙΕΥΘΥΝΣΗ Π.Ε. Β΄ ΑΘΗΝΑΣ"/>
    <x v="5"/>
  </r>
  <r>
    <x v="4725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6-06-20T00:00:00"/>
    <x v="1"/>
    <s v="ΔΙΕΥΘΥΝΣΗ Π.Ε. Α΄ ΑΘΗΝΑΣ"/>
    <x v="5"/>
  </r>
  <r>
    <x v="4726"/>
    <x v="1"/>
    <s v="ΠΕ11"/>
    <s v="ΦΥΣΙΚΗΣ ΑΓΩΓΗΣ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6-05-31T00:00:00"/>
    <x v="1"/>
    <s v="ΔΙΕΥΘΥΝΣΗ Π.Ε. ΔΩΔΕΚΑΝΗΣΟΥ"/>
    <x v="5"/>
  </r>
  <r>
    <x v="4727"/>
    <x v="1"/>
    <s v="ΠΕ60"/>
    <s v="ΝΗΠΙΑΓΩΓΟΙ"/>
    <m/>
    <m/>
    <s v="Γ΄"/>
    <n v="1"/>
    <s v="367/12-01-2016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91"/>
    <s v="ΠΑΙΔΙΚΗ ΜΕΛΩΔ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6-04-25T00:00:00"/>
    <x v="1"/>
    <s v="ΔΙΕΥΘΥΝΣΗ Π.Ε. ΑΝΑΤ. ΘΕΣ/ΝΙΚΗΣ"/>
    <x v="5"/>
  </r>
  <r>
    <x v="4728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28"/>
    <s v="ΙΔΙΩΤΙΚΟ ΔΗΜΟΤΙΚΟ ΑΜΑΡΟΥΣΙΟΥ - &quot;Η ΕΛΛΗΝΙΚΗ ΠΑΙΔΕΙΑ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1-21T00:00:00"/>
    <x v="1"/>
    <s v="ΔΙΕΥΘΥΝΣΗ Π.Ε. Β΄ ΑΘΗΝΑΣ"/>
    <x v="5"/>
  </r>
  <r>
    <x v="4729"/>
    <x v="1"/>
    <s v="ΠΕ70"/>
    <s v="ΔΑΣΚΑΛΟΙ"/>
    <m/>
    <m/>
    <s v="Α΄"/>
    <n v="1"/>
    <m/>
    <m/>
    <s v="Δ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1-01T00:00:00"/>
    <x v="1"/>
    <s v="ΔΙΕΥΘΥΝΣΗ Π.Ε. Α΄ ΑΘΗΝΑΣ"/>
    <x v="5"/>
  </r>
  <r>
    <x v="4730"/>
    <x v="1"/>
    <s v="ΠΕ70"/>
    <s v="ΔΑΣΚΑΛΟΙ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01-01T00:00:00"/>
    <x v="1"/>
    <s v="ΔΙΕΥΘΥΝΣΗ Π.Ε. Β΄ ΑΘΗΝΑΣ"/>
    <x v="5"/>
  </r>
  <r>
    <x v="4731"/>
    <x v="1"/>
    <s v="ΠΕ70"/>
    <s v="ΔΑΣΚΑΛΟΙ"/>
    <m/>
    <m/>
    <s v="Α΄"/>
    <n v="1"/>
    <s v="7ΡΒ29-ΘΞΓ"/>
    <d v="2014-11-18T00:00:00"/>
    <s v="Γ΄ ΑΘΗΝΑΣ (Π.Ε.) 2018"/>
    <s v="ΔΙΕΥΘΥΝΣΗ Π.Ε. Γ΄ ΑΘΗΝΑΣ"/>
    <s v="ΠΕΡΙΦΕΡΕΙΑΚΗ Δ/ΝΣΗ Α/ΘΜΙΑΣ ΚΑΙ Β/ΘΜΙΑΣ ΕΚΠ/ΣΗΣ ΑΤΤΙΚΗΣ"/>
    <n v="24"/>
    <d v="2014-11-18T00:00:00"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6-01-01T00:00:00"/>
    <x v="1"/>
    <s v="ΔΙΕΥΘΥΝΣΗ Π.Ε. Γ΄ ΑΘΗΝΑΣ"/>
    <x v="5"/>
  </r>
  <r>
    <x v="4732"/>
    <x v="1"/>
    <s v="ΠΕ60"/>
    <s v="ΝΗΠΙΑΓΩΓΟΙ"/>
    <m/>
    <m/>
    <s v="Γ΄"/>
    <n v="1"/>
    <d v="2013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6-01-01T00:00:00"/>
    <x v="1"/>
    <s v="ΔΙΕΥΘΥΝΣΗ Π.Ε. ΑΝΑΤ. ΘΕΣ/ΝΙΚΗΣ"/>
    <x v="5"/>
  </r>
  <r>
    <x v="4733"/>
    <x v="1"/>
    <s v="ΠΕ60"/>
    <s v="ΝΗΠΙΑΓΩΓΟΙ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4"/>
    <m/>
    <s v="Ιδιωτικά Σχολεία"/>
    <x v="4"/>
    <s v="7291000"/>
    <s v="ΙΔΙΩΤΙΚΟ ΔΗΜΟΤΙΚΟ ΜΑΡΑΘΙ ΜΥΚΟΝΟΣ - ΣΥΓΧΡΟΝΗ ΠΑΙΔΕΙΑ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6-01-01T00:00:00"/>
    <x v="1"/>
    <s v="ΔΙΕΥΘΥΝΣΗ Π.Ε. ΚΥΚΛΑΔΩΝ"/>
    <x v="5"/>
  </r>
  <r>
    <x v="4734"/>
    <x v="1"/>
    <s v="ΠΕ70"/>
    <s v="ΔΑΣΚΑΛΟΙ"/>
    <m/>
    <m/>
    <s v="Γ΄"/>
    <n v="1"/>
    <s v="-"/>
    <d v="2018-09-01T00:00:00"/>
    <s v="Δ΄ ΚΥΚΛΑΔΩΝ (Π.Ε.) 2018"/>
    <s v="ΔΙΕΥΘΥΝΣΗ Π.Ε. ΚΥΚΛΑΔΩΝ"/>
    <s v="ΠΕΡΙΦΕΡΕΙΑΚΗ Δ/ΝΣΗ Α/ΘΜΙΑΣ ΚΑΙ Β/ΘΜΙΑΣ ΕΚΠ/ΣΗΣ ΝΟΤΙΟΥ ΑΙΓΑΙΟΥ"/>
    <n v="24"/>
    <d v="2018-09-01T00:00:00"/>
    <s v="Ιδιωτικά Σχολεία"/>
    <x v="4"/>
    <s v="7291002"/>
    <s v="ΙΔΙΩΤΙΚΟ ΔΗΜΟΤΙΚΟ ΕΡΜΟΥΠΟΛΗ -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5-12-28T00:00:00"/>
    <x v="1"/>
    <s v="ΔΙΕΥΘΥΝΣΗ Π.Ε. ΚΥΚΛΑΔΩΝ"/>
    <x v="5"/>
  </r>
  <r>
    <x v="4735"/>
    <x v="1"/>
    <s v="ΠΕ71"/>
    <s v="ΔΑΣΚΑΛΟΙ ΕΙΔΙΚΗΣ ΑΓΩΓΗΣ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11-02T00:00:00"/>
    <s v="Ιδιωτικά Σχολεία"/>
    <x v="4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5-12-19T00:00:00"/>
    <x v="1"/>
    <s v="ΔΙΕΥΘΥΝΣΗ Π.Ε. ΑΝΑΤ. ΘΕΣ/ΝΙΚΗΣ"/>
    <x v="5"/>
  </r>
  <r>
    <x v="4736"/>
    <x v="1"/>
    <s v="ΠΕ70"/>
    <s v="ΔΑΣΚΑΛΟΙ"/>
    <m/>
    <m/>
    <s v="Α΄"/>
    <n v="5"/>
    <s v="Φ.15.Α8/7260/2-12-2010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5-12-18T00:00:00"/>
    <x v="1"/>
    <s v="ΔΙΕΥΘΥΝΣΗ Π.Ε. ΑΝΑΤΟΛΙΚΗΣ ΑΤΤΙΚΗΣ"/>
    <x v="5"/>
  </r>
  <r>
    <x v="4737"/>
    <x v="1"/>
    <s v="ΠΕ60"/>
    <s v="ΝΗΠΙΑΓΩΓΟΙ"/>
    <m/>
    <m/>
    <s v="Γ΄"/>
    <n v="1"/>
    <s v="2447β/04-11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59"/>
    <s v="ΙΔΙΩΤΙΚΟ ΝΗΠΙΑΓΩΓΕΙΟ ΚΑΡΔΙΑ - ΣΥΝΝΕΦΟΥΛ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12-18T00:00:00"/>
    <x v="1"/>
    <s v="ΔΙΕΥΘΥΝΣΗ Π.Ε. ΑΝΑΤ. ΘΕΣ/ΝΙΚΗΣ"/>
    <x v="5"/>
  </r>
  <r>
    <x v="4738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5-12-17T00:00:00"/>
    <x v="1"/>
    <s v="ΔΙΕΥΘΥΝΣΗ Π.Ε. ΜΕΣΣΗΝΙΑΣ"/>
    <x v="5"/>
  </r>
  <r>
    <x v="4739"/>
    <x v="1"/>
    <s v="ΠΕ60"/>
    <s v="ΝΗΠΙΑΓΩΓ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1"/>
    <s v="7101001"/>
    <s v="ΙΔΙΩΤΙΚΟ ΝΗΠΙΑΓΩΓΕΙ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5-12-11T00:00:00"/>
    <x v="1"/>
    <s v="ΔΙΕΥΘΥΝΣΗ Π.Ε. ΔΩΔΕΚΑΝΗΣΟΥ"/>
    <x v="5"/>
  </r>
  <r>
    <x v="4740"/>
    <x v="1"/>
    <s v="ΠΕ86"/>
    <s v="ΠΛΗΡΟΦΟΡΙΚΗΣ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85-11-30T00:00:00"/>
    <x v="1"/>
    <s v="ΔΙΕΥΘΥΝΣΗ Π.Ε. ΑΝΑΤ. ΘΕΣ/ΝΙΚΗΣ"/>
    <x v="5"/>
  </r>
  <r>
    <x v="4741"/>
    <x v="0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11-02T00:00:00"/>
    <x v="1"/>
    <s v="ΔΙΕΥΘΥΝΣΗ Π.Ε. ΑΝΑΤ. ΘΕΣ/ΝΙΚΗΣ"/>
    <x v="5"/>
  </r>
  <r>
    <x v="4742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m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5-10-24T00:00:00"/>
    <x v="1"/>
    <s v="ΔΙΕΥΘΥΝΣΗ Π.Ε. ΕΥΒΟΙΑΣ"/>
    <x v="5"/>
  </r>
  <r>
    <x v="4743"/>
    <x v="1"/>
    <s v="ΠΕ70"/>
    <s v="ΔΑΣΚΑΛΟΙ"/>
    <m/>
    <m/>
    <s v="Γ΄"/>
    <n v="1"/>
    <s v="Φ17/10074/23-9-2015"/>
    <d v="2018-09-01T00:00:00"/>
    <s v="Α΄ ΕΥΒΟΙΑΣ (Π.Ε.) 2018"/>
    <s v="ΔΙΕΥΘΥΝΣΗ Π.Ε. ΕΥΒΟΙΑΣ"/>
    <s v="ΠΕΡΙΦΕΡΕΙΑΚΗ Δ/ΝΣΗ Α/ΘΜΙΑΣ ΚΑΙ Β/ΘΜΙΑΣ ΕΚΠ/ΣΗΣ ΣΤΕΡΕΑΣ ΕΛΛΑΔΑΣ"/>
    <n v="24"/>
    <d v="2018-09-01T00:00:00"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0"/>
    <s v="Τοποθέτηση σε Ιδιωτική Εκπαίδευση"/>
    <d v="1985-09-28T00:00:00"/>
    <x v="1"/>
    <s v="ΔΙΕΥΘΥΝΣΗ Π.Ε. ΕΥΒΟΙΑΣ"/>
    <x v="5"/>
  </r>
  <r>
    <x v="4744"/>
    <x v="1"/>
    <s v="ΠΕ60"/>
    <s v="ΝΗΠΙΑΓΩΓΟΙ"/>
    <m/>
    <m/>
    <s v="Γ΄"/>
    <n v="1"/>
    <s v="23915/01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7"/>
    <s v="ΙΔΙΩΤΙΚΟ ΣΥΣΤΕΓΑΖΟΜΕΝΟ ΝΗΠΙΑΓΩΓΕΙΟ - ΤΟΤΟΚΩΤΣΗ ΑΛΕΞΑΝΔΡ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5-09-24T00:00:00"/>
    <x v="1"/>
    <s v="ΔΙΕΥΘΥΝΣΗ Π.Ε. ΑΝΑΤ. ΘΕΣ/ΝΙΚΗΣ"/>
    <x v="5"/>
  </r>
  <r>
    <x v="4745"/>
    <x v="0"/>
    <s v="ΠΕ86"/>
    <s v="ΠΛΗΡΟΦΟΡΙΚΗΣ"/>
    <s v="ΠΕ83"/>
    <s v="ΗΛΕΚΤΡΟΛΟΓΩΝ"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d v="2018-09-01T00:00:00"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9-02T00:00:00"/>
    <x v="0"/>
    <s v="ΔΙΕΥΘΥΝΣΗ Δ.Ε. Β΄ ΑΘΗΝΑΣ"/>
    <x v="5"/>
  </r>
  <r>
    <x v="4746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5-08-20T00:00:00"/>
    <x v="1"/>
    <s v="ΔΙΕΥΘΥΝΣΗ Π.Ε. ΑΝΑΤΟΛΙΚΗΣ ΑΤΤΙΚΗΣ"/>
    <x v="5"/>
  </r>
  <r>
    <x v="4747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7-11T00:00:00"/>
    <x v="0"/>
    <s v="ΔΙΕΥΘΥΝΣΗ Δ.Ε. Β΄ ΑΘΗΝΑΣ"/>
    <x v="5"/>
  </r>
  <r>
    <x v="4748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0"/>
    <s v="ΙΔΙΩΤΙΚΟ ΔΗΜΟΤΙΚΟ ΣΧΟΛΕΙΟ-ΕΚΠΑΙΔΕΥΤΗΡΙΑ &quot;ΔΙΟΝΥΣΙΟΣ ΣΟΛΩΜΟ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7-07T00:00:00"/>
    <x v="1"/>
    <s v="ΔΙΕΥΘΥΝΣΗ Π.Ε. Β΄ ΑΘΗΝΑΣ"/>
    <x v="5"/>
  </r>
  <r>
    <x v="4749"/>
    <x v="1"/>
    <s v="ΠΕ06"/>
    <s v="ΑΓΓΛΙΚΗΣ ΦΙΛΟΛΟΓΙΑΣ"/>
    <m/>
    <m/>
    <s v="Γ΄"/>
    <n v="1"/>
    <s v="Φ.17. 2 / 786"/>
    <d v="2018-09-01T00:00:00"/>
    <s v="Α΄ ΔΩΔΕΚΑΝΗΣΟΥ (Δ.Ε.) 2018"/>
    <s v="ΔΙΕΥΘΥΝΣΗ Δ.Ε. ΔΩΔΕΚΑΝΗΣΟΥ"/>
    <s v="ΠΕΡΙΦΕΡΕΙΑΚΗ Δ/ΝΣΗ Α/ΘΜΙΑΣ ΚΑΙ Β/ΘΜΙΑΣ ΕΚΠ/ΣΗΣ ΝΟΤΙΟΥ ΑΙΓΑΙΟΥ"/>
    <n v="24"/>
    <d v="2018-09-01T00:00:00"/>
    <s v="Ιδιωτικά Σχολεία"/>
    <x v="3"/>
    <s v="1080010"/>
    <s v="ΙΔΙΩΤΙΚΟ ΓΕΝΙΚΟ ΛΥΚΕΙΟ ΕΚΠΑΙΔΕΥΤΗΡΙΑ ΔΩΔΕΚΑΝΗΣΟΥ - &quot;ΡΟΔΙΩΝ ΠΑΙΔΕΙΑ&quot;"/>
    <s v="Α΄ ΔΩΔΕΚΑΝΗΣΟΥ (Δ.Ε.) 2018"/>
    <s v="ΔΙΕΥΘΥΝΣΗ Δ.Ε. ΔΩΔΕΚΑΝΗΣΟΥ"/>
    <s v="ΠΕΡΙΦΕΡΕΙΑΚΗ Δ/ΝΣΗ Α/ΘΜΙΑΣ ΚΑΙ Β/ΘΜΙΑΣ ΕΚΠ/ΣΗΣ ΝΟΤΙΟΥ ΑΙΓΑΙΟΥ"/>
    <x v="0"/>
    <s v="Τοποθέτηση σε Ιδιωτική Εκπαίδευση"/>
    <d v="1985-06-28T00:00:00"/>
    <x v="0"/>
    <s v="ΔΙΕΥΘΥΝΣΗ Δ.Ε. ΔΩΔΕΚΑΝΗΣΟΥ"/>
    <x v="5"/>
  </r>
  <r>
    <x v="4750"/>
    <x v="0"/>
    <s v="ΠΕ06"/>
    <s v="ΑΓΓΛΙΚΗΣ ΦΙΛΟΛΟΓΙΑΣ"/>
    <m/>
    <m/>
    <s v="Γ΄"/>
    <n v="1"/>
    <n v="4954"/>
    <d v="2018-09-01T00:00:00"/>
    <s v="ΜΕΣΣΗΝΙΑΣ (Π.Ε.) 2018"/>
    <s v="ΔΙΕΥΘΥΝΣΗ Π.Ε. ΜΕΣΣΗΝΙΑΣ"/>
    <s v="ΠΕΡΙΦΕΡΕΙΑΚΗ Δ/ΝΣΗ Α/ΘΜΙΑΣ ΚΑΙ Β/ΘΜΙΑΣ ΕΚΠ/ΣΗΣ ΠΕΛΟΠΟΝΝΗΣΟΥ"/>
    <n v="24"/>
    <d v="2018-09-01T00:00:00"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5-06-27T00:00:00"/>
    <x v="1"/>
    <s v="ΔΙΕΥΘΥΝΣΗ Π.Ε. ΜΕΣΣΗΝΙΑΣ"/>
    <x v="5"/>
  </r>
  <r>
    <x v="4751"/>
    <x v="1"/>
    <s v="ΠΕ86"/>
    <s v="ΠΛΗΡΟΦΟΡΙΚΗΣ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5-06-25T00:00:00"/>
    <x v="1"/>
    <s v="ΔΙΕΥΘΥΝΣΗ Π.Ε. Δ΄ ΑΘΗΝΑΣ"/>
    <x v="5"/>
  </r>
  <r>
    <x v="4752"/>
    <x v="1"/>
    <s v="ΠΕ60"/>
    <s v="ΝΗΠΙΑΓΩΓΟΙ"/>
    <m/>
    <m/>
    <s v="Γ΄"/>
    <n v="1"/>
    <s v="23838/02-11-2015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71"/>
    <s v="ΙΔΙΩΤΙΚΟ ΝΗΠΙΑΓΩΓΕΙΟ ΠΑΝΕΠΙΣΤΗΜΙΟΥΠΟΛΗ - ΠΑΙΔΙΚΟ ΚΕΝΤΡΟ ΑΠΘ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6-10T00:00:00"/>
    <x v="1"/>
    <s v="ΔΙΕΥΘΥΝΣΗ Π.Ε. ΑΝΑΤ. ΘΕΣ/ΝΙΚΗΣ"/>
    <x v="5"/>
  </r>
  <r>
    <x v="4753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6-05T00:00:00"/>
    <x v="1"/>
    <s v="ΔΙΕΥΘΥΝΣΗ Π.Ε. Β΄ ΑΘΗΝΑΣ"/>
    <x v="5"/>
  </r>
  <r>
    <x v="4754"/>
    <x v="1"/>
    <s v="ΠΕ60"/>
    <s v="ΝΗΠΙΑΓΩΓΟΙ"/>
    <m/>
    <m/>
    <s v="Γ΄"/>
    <n v="1"/>
    <s v="70/21-9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m/>
    <x v="6"/>
    <s v=""/>
    <m/>
    <m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5-06-05T00:00:00"/>
    <x v="1"/>
    <s v="ΔΙΕΥΘΥΝΣΗ Π.Ε. ΑΧΑΪΑΣ"/>
    <x v="5"/>
  </r>
  <r>
    <x v="4755"/>
    <x v="1"/>
    <s v="ΠΕ60"/>
    <s v="ΝΗΠΙΑΓΩΓΟΙ"/>
    <m/>
    <m/>
    <s v="Γ΄"/>
    <n v="1"/>
    <s v="33813/28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9"/>
    <s v="ΙΔΙΩΤΙΚΟ ΣΥΣΤΕΓΑΖΟΜΕΝΟ ΝΗΠΙΑΓΩΓΕΙΟ - ΚΑΝΕΛΛΟΠΟΥΛΟΥ ΠΟΛΥΞΕΝΗ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5-06-03T00:00:00"/>
    <x v="1"/>
    <s v="ΔΙΕΥΘΥΝΣΗ Π.Ε. ΑΝΑΤ. ΘΕΣ/ΝΙΚΗΣ"/>
    <x v="5"/>
  </r>
  <r>
    <x v="4756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5-05-07T00:00:00"/>
    <x v="1"/>
    <s v="ΔΙΕΥΘΥΝΣΗ Π.Ε. ΠΕΙΡΑΙΑ"/>
    <x v="5"/>
  </r>
  <r>
    <x v="4757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5-04T00:00:00"/>
    <x v="1"/>
    <s v="ΔΙΕΥΘΥΝΣΗ Π.Ε. ΑΝΑΤ. ΘΕΣ/ΝΙΚΗΣ"/>
    <x v="5"/>
  </r>
  <r>
    <x v="4758"/>
    <x v="1"/>
    <s v="ΠΕ70"/>
    <s v="ΔΑΣΚΑΛΟΙ"/>
    <m/>
    <m/>
    <s v="Γ΄"/>
    <n v="1"/>
    <d v="201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4-23T00:00:00"/>
    <x v="1"/>
    <s v="ΔΙΕΥΘΥΝΣΗ Π.Ε. ΑΝΑΤ. ΘΕΣ/ΝΙΚΗΣ"/>
    <x v="5"/>
  </r>
  <r>
    <x v="4759"/>
    <x v="1"/>
    <s v="ΠΕ70"/>
    <s v="ΔΑΣΚΑΛΟΙ"/>
    <m/>
    <m/>
    <s v="Γ΄"/>
    <n v="1"/>
    <n v="653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5-04-19T00:00:00"/>
    <x v="1"/>
    <s v="ΔΙΕΥΘΥΝΣΗ Π.Ε. ΑΝΑΤ. ΘΕΣ/ΝΙΚΗΣ"/>
    <x v="5"/>
  </r>
  <r>
    <x v="4760"/>
    <x v="1"/>
    <s v="ΠΕ60"/>
    <s v="ΝΗΠΙΑΓΩΓΟΙ"/>
    <m/>
    <m/>
    <s v="Γ΄"/>
    <n v="1"/>
    <s v="7756/18-9-2017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0"/>
    <s v="ΙΔΙΩΤΙΚΟ ΔΗΜΟΤΙΚΟ - ΙΔΙΩΤΙΚΟ ΔΗΜΟΤΙΚΟ ΣΧΟΛΕΙΟ ΟΛΓΑΣ ΝΤΟΤΗ-ΟΙΚΟΝΟΜΟΥ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85-03-07T00:00:00"/>
    <x v="1"/>
    <s v="ΔΙΕΥΘΥΝΣΗ Π.Ε. ΙΩΑΝΝΙΝΩΝ"/>
    <x v="5"/>
  </r>
  <r>
    <x v="4761"/>
    <x v="1"/>
    <s v="ΠΕ70"/>
    <s v="ΔΑΣΚΑΛ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5-02-14T00:00:00"/>
    <x v="1"/>
    <s v="ΔΙΕΥΘΥΝΣΗ Π.Ε. ΚΟΡΙΝΘΙΑΣ"/>
    <x v="5"/>
  </r>
  <r>
    <x v="4762"/>
    <x v="1"/>
    <s v="ΠΕ70"/>
    <s v="ΔΑΣΚΑΛ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m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5-01-31T00:00:00"/>
    <x v="1"/>
    <s v="ΔΙΕΥΘΥΝΣΗ Π.Ε. ΕΥΒΟΙΑΣ"/>
    <x v="5"/>
  </r>
  <r>
    <x v="4763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5-01-30T00:00:00"/>
    <x v="0"/>
    <s v="ΔΙΕΥΘΥΝΣΗ Δ.Ε. Β΄ ΑΘΗΝΑΣ"/>
    <x v="5"/>
  </r>
  <r>
    <x v="4764"/>
    <x v="1"/>
    <s v="ΠΕ60"/>
    <s v="ΝΗΠΙΑΓΩΓΟΙ"/>
    <m/>
    <m/>
    <s v="Γ΄"/>
    <n v="1"/>
    <n v="28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35"/>
    <s v="ΙΔΙΩΤΙΚΟ ΝΗΠΙΑΓΩΓΕΙΟ ΧΑΛΑΝΔΡΙ - Α.ΙΩΣΗΦΙΔΟΥ ΚΑΙ ΣΙΑ Ο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1-29T00:00:00"/>
    <x v="1"/>
    <s v="ΔΙΕΥΘΥΝΣΗ Π.Ε. Β΄ ΑΘΗΝΑΣ"/>
    <x v="5"/>
  </r>
  <r>
    <x v="4765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1-28T00:00:00"/>
    <x v="1"/>
    <s v="ΔΙΕΥΘΥΝΣΗ Π.Ε. Β΄ ΑΘΗΝΑΣ"/>
    <x v="5"/>
  </r>
  <r>
    <x v="4766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5-01-22T00:00:00"/>
    <x v="1"/>
    <s v="ΔΙΕΥΘΥΝΣΗ Π.Ε. Α΄ ΑΘΗΝΑΣ"/>
    <x v="5"/>
  </r>
  <r>
    <x v="4767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51"/>
    <s v="ΙΔΙΩΤΙΚΟ ΝΗΠΙΑΓΩΓΕΙΟ - ΜΑΝ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1-21T00:00:00"/>
    <x v="1"/>
    <s v="ΔΙΕΥΘΥΝΣΗ Π.Ε. Β΄ ΑΘΗΝΑΣ"/>
    <x v="5"/>
  </r>
  <r>
    <x v="4768"/>
    <x v="1"/>
    <s v="ΠΕ70"/>
    <s v="ΔΑΣΚΑΛ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5-01-16T00:00:00"/>
    <x v="1"/>
    <s v="ΔΙΕΥΘΥΝΣΗ Π.Ε. ΠΕΙΡΑΙΑ"/>
    <x v="5"/>
  </r>
  <r>
    <x v="4769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1"/>
    <s v="7521015"/>
    <s v="ΙΔΙΩΤΙΚΟ ΝΗΠΙΑΓΩΓΕΙΟ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5-01-13T00:00:00"/>
    <x v="1"/>
    <s v="ΔΙΕΥΘΥΝΣΗ Π.Ε. ΑΝΑΤΟΛΙΚΗΣ ΑΤΤΙΚΗΣ"/>
    <x v="5"/>
  </r>
  <r>
    <x v="4770"/>
    <x v="0"/>
    <s v="ΠΕ70"/>
    <s v="ΔΑΣΚΑΛ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5-01-03T00:00:00"/>
    <x v="1"/>
    <s v="ΔΙΕΥΘΥΝΣΗ Π.Ε. ΔΩΔΕΚΑΝΗΣΟΥ"/>
    <x v="5"/>
  </r>
  <r>
    <x v="4771"/>
    <x v="1"/>
    <s v="ΠΕ70"/>
    <s v="ΔΑΣΚΑΛΟΙ"/>
    <m/>
    <m/>
    <s v="Γ΄"/>
    <n v="1"/>
    <s v="12740/04-11-201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5-01-01T00:00:00"/>
    <x v="1"/>
    <s v="ΔΙΕΥΘΥΝΣΗ Π.Ε. Δ΄ ΑΘΗΝΑΣ"/>
    <x v="5"/>
  </r>
  <r>
    <x v="4772"/>
    <x v="1"/>
    <s v="ΠΕ70"/>
    <s v="ΔΑΣΚΑΛΟΙ"/>
    <m/>
    <m/>
    <s v="Α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5-01-01T00:00:00"/>
    <x v="1"/>
    <s v="ΔΙΕΥΘΥΝΣΗ Π.Ε. Δ΄ ΑΘΗΝΑΣ"/>
    <x v="5"/>
  </r>
  <r>
    <x v="4773"/>
    <x v="1"/>
    <s v="ΠΕ06"/>
    <s v="ΑΓΓΛΙΚΗΣ ΦΙΛΟΛΟΓΙΑΣ"/>
    <m/>
    <m/>
    <s v="Γ΄"/>
    <n v="3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m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5-01-01T00:00:00"/>
    <x v="1"/>
    <s v="ΔΙΕΥΘΥΝΣΗ Π.Ε. ΑΙΤΩΛΟΑΚΑΡΝΑΝΙΑΣ"/>
    <x v="5"/>
  </r>
  <r>
    <x v="4774"/>
    <x v="1"/>
    <s v="ΠΕ70"/>
    <s v="ΔΑΣΚΑΛ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5-01-01T00:00:00"/>
    <x v="1"/>
    <s v="ΔΙΕΥΘΥΝΣΗ Π.Ε. ΛΑΡΙΣΑΣ"/>
    <x v="5"/>
  </r>
  <r>
    <x v="4775"/>
    <x v="0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4-12-27T00:00:00"/>
    <x v="1"/>
    <s v="ΔΙΕΥΘΥΝΣΗ Π.Ε. ΛΑΡΙΣΑΣ"/>
    <x v="5"/>
  </r>
  <r>
    <x v="4776"/>
    <x v="1"/>
    <s v="ΠΕ02"/>
    <s v="ΦΙΛΟΛΟΓΟΙ"/>
    <m/>
    <m/>
    <s v="Α΄"/>
    <n v="1"/>
    <m/>
    <m/>
    <s v="Α΄ ΑΘΗΝΑΣ (Δ.Ε.) 2018"/>
    <s v="ΔΙΕΥΘΥΝΣΗ Δ.Ε. Α΄ ΑΘΗΝΑΣ"/>
    <s v="ΠΕΡΙΦΕΡΕΙΑΚΗ Δ/ΝΣΗ Α/ΘΜΙΑΣ ΚΑΙ Β/ΘΜΙΑΣ ΕΚΠ/ΣΗΣ ΑΤΤΙΚΗΣ"/>
    <n v="24"/>
    <m/>
    <s v="Ιδιωτικά Σχολεία"/>
    <x v="2"/>
    <s v="0560024"/>
    <s v="Εκπαιδευτήρια «ΣΥΓΧΡΟΝΗ ΠΑΙΔΕΙΑ» ΙΔΙΩΤΙΚΟ ΓΥΜΝΑΣΙΟ Αφοι Βαθειά - Κυραϊλίδης Χ. Ο.Ε."/>
    <s v="Α΄ ΑΘΗΝΑΣ (Δ.Ε.) 2018"/>
    <s v="ΔΙΕΥΘΥΝΣΗ Δ.Ε. Α΄ ΑΘΗΝΑΣ"/>
    <s v="ΠΕΡΙΦΕΡΕΙΑΚΗ Δ/ΝΣΗ Α/ΘΜΙΑΣ ΚΑΙ Β/ΘΜΙΑΣ ΕΚΠ/ΣΗΣ ΑΤΤΙΚΗΣ"/>
    <x v="1"/>
    <s v="Τοποθέτηση σε Ιδιωτική Εκπαίδευση"/>
    <d v="1984-10-28T00:00:00"/>
    <x v="0"/>
    <s v="ΔΙΕΥΘΥΝΣΗ Δ.Ε. Α΄ ΑΘΗΝΑΣ"/>
    <x v="5"/>
  </r>
  <r>
    <x v="4777"/>
    <x v="1"/>
    <s v="ΠΕ70"/>
    <s v="ΔΑΣΚΑΛΟΙ"/>
    <m/>
    <m/>
    <s v="Β΄"/>
    <n v="2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0-03T00:00:00"/>
    <x v="1"/>
    <s v="ΔΙΕΥΘΥΝΣΗ Π.Ε. Δ΄ ΑΘΗΝΑΣ"/>
    <x v="5"/>
  </r>
  <r>
    <x v="4778"/>
    <x v="1"/>
    <s v="ΠΕ70"/>
    <s v="ΔΑΣΚΑΛΟΙ"/>
    <m/>
    <m/>
    <s v="Α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9-25T00:00:00"/>
    <x v="1"/>
    <s v="ΔΙΕΥΘΥΝΣΗ Π.Ε. Δ΄ ΑΘΗΝΑΣ"/>
    <x v="5"/>
  </r>
  <r>
    <x v="4779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9-24T00:00:00"/>
    <x v="1"/>
    <s v="ΔΙΕΥΘΥΝΣΗ Π.Ε. Β΄ ΑΘΗΝΑΣ"/>
    <x v="5"/>
  </r>
  <r>
    <x v="4780"/>
    <x v="1"/>
    <s v="ΠΕ70"/>
    <s v="ΔΑΣΚΑΛΟΙ"/>
    <m/>
    <m/>
    <s v="Α΄"/>
    <n v="5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9-11T00:00:00"/>
    <x v="1"/>
    <s v="ΔΙΕΥΘΥΝΣΗ Π.Ε. Δ΄ ΑΘΗΝΑΣ"/>
    <x v="5"/>
  </r>
  <r>
    <x v="4781"/>
    <x v="1"/>
    <s v="ΠΕ60"/>
    <s v="ΝΗΠΙΑΓΩΓΟΙ"/>
    <m/>
    <m/>
    <s v="Γ΄"/>
    <n v="1"/>
    <s v="19997/6"/>
    <d v="2018-10-17T00:00:00"/>
    <s v="Α΄ ΠΕΙΡΑΙΑ (Π.Ε.) 2018"/>
    <s v="ΔΙΕΥΘΥΝΣΗ Π.Ε. ΠΕΙΡΑΙΑ"/>
    <s v="ΠΕΡΙΦΕΡΕΙΑΚΗ Δ/ΝΣΗ Α/ΘΜΙΑΣ ΚΑΙ Β/ΘΜΙΑΣ ΕΚΠ/ΣΗΣ ΑΤΤΙΚΗΣ"/>
    <n v="24"/>
    <d v="2018-10-17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4-09-06T00:00:00"/>
    <x v="1"/>
    <s v="ΔΙΕΥΘΥΝΣΗ Π.Ε. ΠΕΙΡΑΙΑ"/>
    <x v="5"/>
  </r>
  <r>
    <x v="4782"/>
    <x v="1"/>
    <s v="ΠΕ60"/>
    <s v="ΝΗΠΙΑΓΩΓΟΙ"/>
    <m/>
    <m/>
    <s v="Γ΄"/>
    <n v="1"/>
    <n v="2039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9-04T00:00:00"/>
    <x v="1"/>
    <s v="ΔΙΕΥΘΥΝΣΗ Π.Ε. Δ΄ ΑΘΗΝΑΣ"/>
    <x v="5"/>
  </r>
  <r>
    <x v="4783"/>
    <x v="1"/>
    <s v="ΠΕ04.02"/>
    <s v="ΧΗΜ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2"/>
    <s v="0591910"/>
    <s v="ΙΔΙΩΤΙΚΟ ΗΜΕΡΗΣΙΟ ΓΥΜΝΑΣ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4-09-02T00:00:00"/>
    <x v="0"/>
    <s v="ΔΙΕΥΘΥΝΣΗ Δ.Ε. Β΄ ΑΘΗΝΑΣ"/>
    <x v="5"/>
  </r>
  <r>
    <x v="4784"/>
    <x v="1"/>
    <s v="ΠΕ70"/>
    <s v="ΔΑΣΚΑΛ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4-08-11T00:00:00"/>
    <x v="1"/>
    <s v="ΔΙΕΥΘΥΝΣΗ Π.Ε. ΙΩΑΝΝΙΝΩΝ"/>
    <x v="5"/>
  </r>
  <r>
    <x v="4785"/>
    <x v="1"/>
    <s v="ΠΕ06"/>
    <s v="ΑΓΓΛΙΚΗΣ ΦΙΛΟΛΟΓΙΑΣ"/>
    <m/>
    <m/>
    <s v="Γ΄"/>
    <n v="1"/>
    <s v="ΒΙΞΟ9-Γ22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8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2"/>
    <s v="Τοποθέτηση σε Ιδιωτική Εκπαίδευση"/>
    <d v="1984-08-02T00:00:00"/>
    <x v="1"/>
    <s v="ΔΙΕΥΘΥΝΣΗ Π.Ε. ΑΝΑΤΟΛΙΚΗΣ ΑΤΤΙΚΗΣ"/>
    <x v="5"/>
  </r>
  <r>
    <x v="4786"/>
    <x v="1"/>
    <s v="ΠΕ06"/>
    <s v="ΑΓΓΛΙΚΗΣ ΦΙΛΟΛΟΓΙΑΣ"/>
    <m/>
    <m/>
    <s v="Γ΄"/>
    <n v="3"/>
    <s v="Φ.17.2/254/6822/15-10-201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7-27T00:00:00"/>
    <x v="1"/>
    <s v="ΔΙΕΥΘΥΝΣΗ Π.Ε. Β΄ ΑΘΗΝΑΣ"/>
    <x v="5"/>
  </r>
  <r>
    <x v="4787"/>
    <x v="1"/>
    <s v="ΠΕ60"/>
    <s v="ΝΗΠΙΑΓΩΓΟΙ"/>
    <m/>
    <m/>
    <s v="Γ΄"/>
    <n v="1"/>
    <s v="156/9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199"/>
    <s v="ΣΥΣΤΕΓΑΖΟΜΕΝΟ ΝΗΠΙΑΓΩΓΕΙΟ - ΚΑΡΑΜΠΕΛΑ ΕΛΕΝ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6-06T00:00:00"/>
    <x v="1"/>
    <s v="ΔΙΕΥΘΥΝΣΗ Π.Ε. Β΄ ΑΘΗΝΑΣ"/>
    <x v="5"/>
  </r>
  <r>
    <x v="4788"/>
    <x v="1"/>
    <s v="ΠΕ06"/>
    <s v="ΑΓΓΛΙΚΗΣ ΦΙΛΟΛΟΓΙΑΣ"/>
    <m/>
    <m/>
    <s v="Γ΄"/>
    <n v="1"/>
    <n v="1728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4-05-29T00:00:00"/>
    <x v="1"/>
    <s v="ΔΙΕΥΘΥΝΣΗ Π.Ε. Β΄ ΑΘΗΝΑΣ"/>
    <x v="5"/>
  </r>
  <r>
    <x v="4789"/>
    <x v="1"/>
    <s v="ΠΕ05"/>
    <s v="ΓΑΛΛΙΚΗΣ ΦΙΛΟΛΟΓΙΑ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4-05-21T00:00:00"/>
    <x v="1"/>
    <s v="ΔΙΕΥΘΥΝΣΗ Π.Ε. Α΄ ΑΘΗΝΑΣ"/>
    <x v="5"/>
  </r>
  <r>
    <x v="4790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5-21T00:00:00"/>
    <x v="1"/>
    <s v="ΔΙΕΥΘΥΝΣΗ Π.Ε. ΑΝΑΤΟΛΙΚΗΣ ΑΤΤΙΚΗΣ"/>
    <x v="5"/>
  </r>
  <r>
    <x v="4791"/>
    <x v="1"/>
    <s v="ΠΕ60"/>
    <s v="ΝΗΠΙΑΓΩΓΟΙ"/>
    <m/>
    <m/>
    <s v="Γ΄"/>
    <n v="1"/>
    <n v="20468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5-04T00:00:00"/>
    <x v="1"/>
    <s v="ΔΙΕΥΘΥΝΣΗ Π.Ε. Δ΄ ΑΘΗΝΑΣ"/>
    <x v="5"/>
  </r>
  <r>
    <x v="4792"/>
    <x v="0"/>
    <s v="ΠΕ11"/>
    <s v="ΦΥΣΙΚΗΣ ΑΓΩΓ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3-31T00:00:00"/>
    <x v="1"/>
    <s v="ΔΙΕΥΘΥΝΣΗ Π.Ε. Δ΄ ΑΘΗΝΑΣ"/>
    <x v="5"/>
  </r>
  <r>
    <x v="4793"/>
    <x v="1"/>
    <s v="ΠΕ70"/>
    <s v="ΔΑΣΚΑΛΟΙ"/>
    <m/>
    <m/>
    <s v="Γ΄"/>
    <n v="1"/>
    <n v="19057"/>
    <d v="2018-10-17T00:00:00"/>
    <s v="Α΄ ΠΕΙΡΑΙΑ (Π.Ε.) 2018"/>
    <s v="ΔΙΕΥΘΥΝΣΗ Π.Ε. ΠΕΙΡΑΙΑ"/>
    <s v="ΠΕΡΙΦΕΡΕΙΑΚΗ Δ/ΝΣΗ Α/ΘΜΙΑΣ ΚΑΙ Β/ΘΜΙΑΣ ΕΚΠ/ΣΗΣ ΑΤΤΙΚΗΣ"/>
    <n v="24"/>
    <d v="2018-10-17T00:00:00"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4-03-31T00:00:00"/>
    <x v="1"/>
    <s v="ΔΙΕΥΘΥΝΣΗ Π.Ε. ΠΕΙΡΑΙΑ"/>
    <x v="5"/>
  </r>
  <r>
    <x v="4794"/>
    <x v="1"/>
    <s v="ΠΕ60"/>
    <s v="ΝΗΠΙΑΓΩΓΟΙ"/>
    <m/>
    <m/>
    <s v="Γ΄"/>
    <n v="1"/>
    <s v="21018/06-10-2015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01"/>
    <s v="ΙΔΙΩΤΙΚΟ ΝΗΠΙΑΓΩΓΕΙΟ ΑΣΒΕΣΤΟΧΩΡΙ ΘΕΣΣΑΛΟΝΙΚΗΣ - Ο ΜΙΚΡΟΣ ΠΡΙΓΚΙΠΑΣ ΣΥΓΧΡΟΝΑ ΕΚΠΑΙΔΕΥΤΙΚΑ ΠΡΟΓΡΑΜΜΑΤΑ Α.Ε.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4-03-28T00:00:00"/>
    <x v="1"/>
    <s v="ΔΙΕΥΘΥΝΣΗ Π.Ε. ΑΝΑΤ. ΘΕΣ/ΝΙΚΗΣ"/>
    <x v="5"/>
  </r>
  <r>
    <x v="4795"/>
    <x v="0"/>
    <s v="ΠΕ02"/>
    <s v="ΦΙΛΟΛΟΓΟΙ"/>
    <m/>
    <m/>
    <s v="Β΄"/>
    <n v="4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3-25T00:00:00"/>
    <x v="1"/>
    <s v="ΔΙΕΥΘΥΝΣΗ Π.Ε. Δ΄ ΑΘΗΝΑΣ"/>
    <x v="5"/>
  </r>
  <r>
    <x v="4796"/>
    <x v="1"/>
    <s v="ΠΕ11"/>
    <s v="ΦΥΣΙΚΗΣ ΑΓΩΓ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4-01-28T00:00:00"/>
    <x v="1"/>
    <s v="ΔΙΕΥΘΥΝΣΗ Π.Ε. Α΄ ΑΘΗΝΑΣ"/>
    <x v="5"/>
  </r>
  <r>
    <x v="4797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1-28T00:00:00"/>
    <x v="1"/>
    <s v="ΔΙΕΥΘΥΝΣΗ Π.Ε. Β΄ ΑΘΗΝΑΣ"/>
    <x v="5"/>
  </r>
  <r>
    <x v="4798"/>
    <x v="0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1-17T00:00:00"/>
    <x v="1"/>
    <s v="ΔΙΕΥΘΥΝΣΗ Π.Ε. ΑΝΑΤΟΛΙΚΗΣ ΑΤΤΙΚΗΣ"/>
    <x v="5"/>
  </r>
  <r>
    <x v="4799"/>
    <x v="1"/>
    <s v="ΠΕ06"/>
    <s v="ΑΓΓΛΙΚΗΣ ΦΙΛΟΛΟΓΙΑΣ"/>
    <m/>
    <m/>
    <s v="Β΄"/>
    <n v="3"/>
    <s v="Φ.Ι.Α.2/29881/10-12-2013"/>
    <d v="2013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4-01-13T00:00:00"/>
    <x v="1"/>
    <s v="ΔΙΕΥΘΥΝΣΗ Π.Ε. ΑΝΑΤΟΛΙΚΗΣ ΑΤΤΙΚΗΣ"/>
    <x v="5"/>
  </r>
  <r>
    <x v="4800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1-01T00:00:00"/>
    <x v="1"/>
    <s v="ΔΙΕΥΘΥΝΣΗ Π.Ε. ΑΝΑΤΟΛΙΚΗΣ ΑΤΤΙΚΗΣ"/>
    <x v="5"/>
  </r>
  <r>
    <x v="4801"/>
    <x v="0"/>
    <s v="ΠΕ70"/>
    <s v="ΔΑΣΚΑΛΟΙ"/>
    <m/>
    <m/>
    <s v="Β΄"/>
    <n v="4"/>
    <s v="ΒΛ9Ν9-ΛΞΒ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1-01T00:00:00"/>
    <x v="1"/>
    <s v="ΔΙΕΥΘΥΝΣΗ Π.Ε. Δ΄ ΑΘΗΝΑΣ"/>
    <x v="5"/>
  </r>
  <r>
    <x v="4802"/>
    <x v="1"/>
    <s v="ΠΕ07"/>
    <s v="ΓΕΡΜΑΝΙΚΗΣ ΦΙΛΟΛΟΓΙΑΣ"/>
    <m/>
    <m/>
    <s v="Γ΄"/>
    <n v="1"/>
    <m/>
    <m/>
    <s v="ΙΩΑΝΝΙΝΩΝ (Δ.Ε.) 2018"/>
    <s v="ΔΙΕΥΘΥΝΣΗ Δ.Ε. ΙΩΑΝΝΙΝΩΝ"/>
    <s v="ΠΕΡΙΦΕΡΕΙΑΚΗ Δ/ΝΣΗ Α/ΘΜΙΑΣ ΚΑΙ Β/ΘΜΙΑΣ ΕΚΠ/ΣΗΣ ΗΠΕΙΡΟΥ"/>
    <n v="24"/>
    <m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4-01-01T00:00:00"/>
    <x v="0"/>
    <s v="ΔΙΕΥΘΥΝΣΗ Δ.Ε. ΙΩΑΝΝΙΝΩΝ"/>
    <x v="5"/>
  </r>
  <r>
    <x v="4803"/>
    <x v="1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84-01-01T00:00:00"/>
    <x v="1"/>
    <s v="ΔΙΕΥΘΥΝΣΗ Π.Ε. ΑΝΑΤ. ΘΕΣ/ΝΙΚΗΣ"/>
    <x v="5"/>
  </r>
  <r>
    <x v="4804"/>
    <x v="1"/>
    <s v="ΠΕ06"/>
    <s v="ΑΓΓΛΙΚΗΣ ΦΙΛΟΛΟΓΙΑΣ"/>
    <m/>
    <m/>
    <s v="Γ΄"/>
    <n v="1"/>
    <s v="Φ.17.2/8575"/>
    <d v="2018-09-28T00:00:00"/>
    <s v="ΧΑΝΙΩΝ (Π.Ε.) 2018"/>
    <s v="ΔΙΕΥΘΥΝΣΗ Π.Ε. ΧΑΝΙΩΝ"/>
    <s v="ΠΕΡΙΦΕΡΕΙΑΚΗ Δ/ΝΣΗ Α/ΘΜΙΑΣ ΚΑΙ Β/ΘΜΙΑΣ ΕΚΠ/ΣΗΣ ΚΡΗΤΗΣ"/>
    <n v="24"/>
    <d v="2018-09-28T00:00:00"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84-01-01T00:00:00"/>
    <x v="1"/>
    <s v="ΔΙΕΥΘΥΝΣΗ Π.Ε. ΧΑΝΙΩΝ"/>
    <x v="5"/>
  </r>
  <r>
    <x v="4805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12-29T00:00:00"/>
    <x v="1"/>
    <s v="ΔΙΕΥΘΥΝΣΗ Π.Ε. Δ΄ ΑΘΗΝΑΣ"/>
    <x v="5"/>
  </r>
  <r>
    <x v="4806"/>
    <x v="0"/>
    <s v="ΠΕ70"/>
    <s v="ΔΑΣΚΑΛΟΙ"/>
    <m/>
    <m/>
    <s v="Γ΄"/>
    <n v="1"/>
    <n v="2032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12-15T00:00:00"/>
    <x v="1"/>
    <s v="ΔΙΕΥΘΥΝΣΗ Π.Ε. Δ΄ ΑΘΗΝΑΣ"/>
    <x v="5"/>
  </r>
  <r>
    <x v="4807"/>
    <x v="1"/>
    <s v="ΠΕ70"/>
    <s v="ΔΑΣΚΑΛΟΙ"/>
    <m/>
    <m/>
    <s v="Γ΄"/>
    <n v="1"/>
    <s v="12059/29-09-20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11-24T00:00:00"/>
    <x v="1"/>
    <s v="ΔΙΕΥΘΥΝΣΗ Π.Ε. Δ΄ ΑΘΗΝΑΣ"/>
    <x v="5"/>
  </r>
  <r>
    <x v="4808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11-13T00:00:00"/>
    <x v="0"/>
    <s v="ΔΙΕΥΘΥΝΣΗ Δ.Ε. Β΄ ΑΘΗΝΑΣ"/>
    <x v="5"/>
  </r>
  <r>
    <x v="4809"/>
    <x v="1"/>
    <s v="ΠΕ60"/>
    <s v="ΝΗΠΙΑΓΩΓΟΙ"/>
    <m/>
    <m/>
    <s v="Γ΄"/>
    <n v="1"/>
    <m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3-10-21T00:00:00"/>
    <x v="1"/>
    <s v="ΔΙΕΥΘΥΝΣΗ Π.Ε. ΑΙΤΩΛΟΑΚΑΡΝΑΝΙΑΣ"/>
    <x v="5"/>
  </r>
  <r>
    <x v="4810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83-10-14T00:00:00"/>
    <x v="0"/>
    <s v="ΔΙΕΥΘΥΝΣΗ Δ.Ε. Β΄ ΑΘΗΝΑΣ"/>
    <x v="5"/>
  </r>
  <r>
    <x v="4811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10-11T00:00:00"/>
    <x v="1"/>
    <s v="ΔΙΕΥΘΥΝΣΗ Π.Ε. ΑΝΑΤΟΛΙΚΗΣ ΑΤΤΙΚΗΣ"/>
    <x v="5"/>
  </r>
  <r>
    <x v="4812"/>
    <x v="1"/>
    <s v="ΠΕ86"/>
    <s v="ΠΛΗΡΟΦΟΡΙΚ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3-09-23T00:00:00"/>
    <x v="1"/>
    <s v="ΔΙΕΥΘΥΝΣΗ Π.Ε. Β΄ ΑΘΗΝΑΣ"/>
    <x v="5"/>
  </r>
  <r>
    <x v="4813"/>
    <x v="1"/>
    <s v="ΠΕ08"/>
    <s v="ΚΑΛΛΙΤΕΧΝΙΚΩΝ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3-08-26T00:00:00"/>
    <x v="1"/>
    <s v="ΔΙΕΥΘΥΝΣΗ Π.Ε. Α΄ ΑΘΗΝΑΣ"/>
    <x v="5"/>
  </r>
  <r>
    <x v="4814"/>
    <x v="1"/>
    <s v="ΠΕ70"/>
    <s v="ΔΑΣΚΑΛΟΙ"/>
    <m/>
    <m/>
    <s v="Γ΄"/>
    <n v="1"/>
    <d v="2017-10-05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3-08-08T00:00:00"/>
    <x v="1"/>
    <s v="ΔΙΕΥΘΥΝΣΗ Π.Ε. ΑΝΑΤ. ΘΕΣ/ΝΙΚΗΣ"/>
    <x v="5"/>
  </r>
  <r>
    <x v="4815"/>
    <x v="1"/>
    <s v="ΠΕ70"/>
    <s v="ΔΑΣΚΑΛΟΙ"/>
    <m/>
    <m/>
    <s v="Β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7-27T00:00:00"/>
    <x v="1"/>
    <s v="ΔΙΕΥΘΥΝΣΗ Π.Ε. Δ΄ ΑΘΗΝΑΣ"/>
    <x v="5"/>
  </r>
  <r>
    <x v="4816"/>
    <x v="1"/>
    <s v="ΠΕ70"/>
    <s v="ΔΑΣΚΑΛΟΙ"/>
    <m/>
    <m/>
    <s v="Γ΄"/>
    <n v="1"/>
    <s v="Φ.17/7339/06-09-2017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3-07-04T00:00:00"/>
    <x v="1"/>
    <s v="ΔΙΕΥΘΥΝΣΗ Π.Ε. ΙΩΑΝΝΙΝΩΝ"/>
    <x v="5"/>
  </r>
  <r>
    <x v="4817"/>
    <x v="1"/>
    <s v="ΠΕ06"/>
    <s v="ΑΓΓΛΙΚΗΣ ΦΙΛΟΛΟΓΙΑ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6-19T00:00:00"/>
    <x v="1"/>
    <s v="ΔΙΕΥΘΥΝΣΗ Π.Ε. ΑΝΑΤ. ΘΕΣ/ΝΙΚΗΣ"/>
    <x v="5"/>
  </r>
  <r>
    <x v="4818"/>
    <x v="1"/>
    <s v="ΠΕ60"/>
    <s v="ΝΗΠΙΑΓΩΓΟΙ"/>
    <m/>
    <m/>
    <s v="Γ΄"/>
    <n v="1"/>
    <d v="2014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6-15T00:00:00"/>
    <x v="1"/>
    <s v="ΔΙΕΥΘΥΝΣΗ Π.Ε. ΑΝΑΤ. ΘΕΣ/ΝΙΚΗΣ"/>
    <x v="5"/>
  </r>
  <r>
    <x v="4819"/>
    <x v="1"/>
    <s v="ΠΕ11"/>
    <s v="ΦΥΣΙΚΗΣ ΑΓΩΓΗ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6-02T00:00:00"/>
    <x v="1"/>
    <s v="ΔΙΕΥΘΥΝΣΗ Π.Ε. ΑΝΑΤ. ΘΕΣ/ΝΙΚΗΣ"/>
    <x v="5"/>
  </r>
  <r>
    <x v="4820"/>
    <x v="0"/>
    <s v="ΠΕ70"/>
    <s v="ΔΑΣΚΑΛΟΙ"/>
    <m/>
    <m/>
    <s v="Γ΄"/>
    <n v="1"/>
    <s v="13224/12-10-20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5-11T00:00:00"/>
    <x v="1"/>
    <s v="ΔΙΕΥΘΥΝΣΗ Π.Ε. Δ΄ ΑΘΗΝΑΣ"/>
    <x v="5"/>
  </r>
  <r>
    <x v="4821"/>
    <x v="0"/>
    <s v="ΠΕ86"/>
    <s v="ΠΛΗΡΟΦΟΡΙΚΗΣ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3-04-22T00:00:00"/>
    <x v="1"/>
    <s v="ΔΙΕΥΘΥΝΣΗ Π.Ε. ΜΕΣΣΗΝΙΑΣ"/>
    <x v="5"/>
  </r>
  <r>
    <x v="4822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m/>
    <s v="Ιδιωτικά Σχολεία"/>
    <x v="1"/>
    <s v="7053001"/>
    <s v="ΙΔΙΩΤΙΚΟ ΝΗΠΙΑΓΩΓΕΙΟ - ΕΚΠΑΙΔΕΥΤΗΡΙΑ Ι. ΔΙΑΜΑΝΤΟΠΟΥΛΟΥ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3-04-07T00:00:00"/>
    <x v="1"/>
    <s v="ΔΙΕΥΘΥΝΣΗ Π.Ε. Γ΄ ΑΘΗΝΑΣ"/>
    <x v="5"/>
  </r>
  <r>
    <x v="4823"/>
    <x v="1"/>
    <s v="ΠΕ60"/>
    <s v="ΝΗΠΙΑΓΩΓΟΙ"/>
    <m/>
    <m/>
    <s v="Γ΄"/>
    <n v="1"/>
    <n v="9383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1"/>
    <s v="7052029"/>
    <s v="ΙΔΙΩΤΙΚΟ ΝΗΠΙΑΓΩΓΕΙΟ ΦΙΛΟΘΕΗ - ΝΗΠΙΑΚΗ ΑΓΩΓΗ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3-02-26T00:00:00"/>
    <x v="1"/>
    <s v="ΔΙΕΥΘΥΝΣΗ Π.Ε. Β΄ ΑΘΗΝΑΣ"/>
    <x v="5"/>
  </r>
  <r>
    <x v="4824"/>
    <x v="1"/>
    <s v="ΠΕ11"/>
    <s v="ΦΥΣΙΚΗΣ ΑΓΩΓΗΣ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4"/>
    <m/>
    <s v="Ιδιωτικά Σχολεία"/>
    <x v="4"/>
    <s v="7281006"/>
    <s v="HOMO EDUCANDUS ΑΓΩΓΗ ΔΗΜΟΤΙΚ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3-02-26T00:00:00"/>
    <x v="1"/>
    <s v="ΔΙΕΥΘΥΝΣΗ Π.Ε. ΚΟΡΙΝΘΙΑΣ"/>
    <x v="5"/>
  </r>
  <r>
    <x v="4825"/>
    <x v="0"/>
    <s v="ΠΕ70"/>
    <s v="ΔΑΣΚΑΛΟΙ"/>
    <m/>
    <m/>
    <s v="Γ΄"/>
    <n v="1"/>
    <s v="92/21-11-2017"/>
    <d v="2018-09-01T00:00:00"/>
    <s v="Α΄ ΑΘΗΝΑΣ (Π.Ε.) 2018"/>
    <s v="ΔΙΕΥΘΥΝΣΗ Π.Ε. Α΄ ΑΘΗΝΑΣ"/>
    <s v="ΠΕΡΙΦΕΡΕΙΑΚΗ Δ/ΝΣΗ Α/ΘΜΙΑΣ ΚΑΙ Β/ΘΜΙΑΣ ΕΚΠ/ΣΗΣ ΑΤΤΙΚΗΣ"/>
    <n v="24"/>
    <d v="2018-09-01T00:00:00"/>
    <s v="Ιδιωτικά Σχολεία"/>
    <x v="4"/>
    <s v="7051010"/>
    <s v="ΙΔΙΩΤΙΚΟ ΔΗΜΟΤΙΚΟ ΑΘΗΝΑ - ΣΧΟΛΗ ΧΙΛΛ"/>
    <s v="Α΄ ΑΘΗΝΑΣ (Π.Ε.) 2018"/>
    <s v="ΔΙΕΥΘΥΝΣΗ Π.Ε. Α΄ ΑΘΗΝΑΣ"/>
    <s v="ΠΕΡΙΦΕΡΕΙΑΚΗ Δ/ΝΣΗ Α/ΘΜΙΑΣ ΚΑΙ Β/ΘΜΙΑΣ ΕΚΠ/ΣΗΣ ΑΤΤΙΚΗΣ"/>
    <x v="2"/>
    <s v="Τοποθέτηση σε Ιδιωτική Εκπαίδευση"/>
    <d v="1983-02-08T00:00:00"/>
    <x v="1"/>
    <s v="ΔΙΕΥΘΥΝΣΗ Π.Ε. Α΄ ΑΘΗΝΑΣ"/>
    <x v="5"/>
  </r>
  <r>
    <x v="4826"/>
    <x v="1"/>
    <s v="ΠΕ02"/>
    <s v="ΦΙΛΟΛΟΓΟΙ"/>
    <m/>
    <m/>
    <s v="Β΄"/>
    <n v="3"/>
    <s v="Φ.Ι.Α.4/21263/30-9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09-01T00:00:00"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2-04T00:00:00"/>
    <x v="1"/>
    <s v="ΔΙΕΥΘΥΝΣΗ Π.Ε. ΑΝΑΤΟΛΙΚΗΣ ΑΤΤΙΚΗΣ"/>
    <x v="5"/>
  </r>
  <r>
    <x v="4827"/>
    <x v="0"/>
    <s v="ΠΕ70"/>
    <s v="ΔΑΣΚΑΛΟΙ"/>
    <m/>
    <m/>
    <s v="Γ΄"/>
    <n v="1"/>
    <s v="3981/11-10-201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1-25T00:00:00"/>
    <x v="1"/>
    <s v="ΔΙΕΥΘΥΝΣΗ Π.Ε. Δ΄ ΑΘΗΝΑΣ"/>
    <x v="5"/>
  </r>
  <r>
    <x v="4828"/>
    <x v="1"/>
    <s v="ΠΕ05"/>
    <s v="ΓΑΛΛΙΚΗΣ ΦΙΛΟΛΟΓΙΑΣ"/>
    <m/>
    <m/>
    <s v="Γ΄"/>
    <n v="1"/>
    <n v="1303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1-16T00:00:00"/>
    <x v="1"/>
    <s v="ΔΙΕΥΘΥΝΣΗ Π.Ε. Δ΄ ΑΘΗΝΑΣ"/>
    <x v="5"/>
  </r>
  <r>
    <x v="4829"/>
    <x v="1"/>
    <s v="ΠΕ02"/>
    <s v="ΦΙΛΟΛΟΓΟΙ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11-02T00:00:00"/>
    <s v="Ιδιωτικά Σχολεία"/>
    <x v="4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1-09T00:00:00"/>
    <x v="1"/>
    <s v="ΔΙΕΥΘΥΝΣΗ Π.Ε. ΑΝΑΤ. ΘΕΣ/ΝΙΚΗΣ"/>
    <x v="5"/>
  </r>
  <r>
    <x v="4830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0"/>
    <s v="ΙΔΙΩΤΙΚΟ ΔΗΜΟΤΙΚΟ ΗΡΑΚΛΕΙΟ ΑΤΤΙΚΗΣ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1-01T00:00:00"/>
    <x v="1"/>
    <s v="ΔΙΕΥΘΥΝΣΗ Π.Ε. Β΄ ΑΘΗΝΑΣ"/>
    <x v="5"/>
  </r>
  <r>
    <x v="4831"/>
    <x v="0"/>
    <s v="ΠΕ70"/>
    <s v="ΔΑΣΚΑΛΟΙ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1-01T00:00:00"/>
    <x v="1"/>
    <s v="ΔΙΕΥΘΥΝΣΗ Π.Ε. Δ΄ ΑΘΗΝΑΣ"/>
    <x v="5"/>
  </r>
  <r>
    <x v="4832"/>
    <x v="0"/>
    <s v="ΠΕ70"/>
    <s v="ΔΑΣΚΑΛΟΙ"/>
    <s v="ΠΕ86"/>
    <s v="ΠΛΗΡΟΦΟΡΙΚΗΣ"/>
    <s v="Α΄"/>
    <n v="1"/>
    <s v="Ω2844653ΠΣ-ΠΥΔ"/>
    <d v="2016-03-07T00:00:00"/>
    <s v="ΙΩΑΝΝΙΝΩΝ (Π.Ε.) 2018"/>
    <s v="ΔΙΕΥΘΥΝΣΗ Π.Ε. ΙΩΑΝΝΙΝΩΝ"/>
    <s v="ΠΕΡΙΦΕΡΕΙΑΚΗ Δ/ΝΣΗ Α/ΘΜΙΑΣ ΚΑΙ Β/ΘΜΙΑΣ ΕΚΠ/ΣΗΣ ΗΠΕΙΡΟΥ"/>
    <n v="24"/>
    <d v="2016-03-07T00:00:00"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3-01-01T00:00:00"/>
    <x v="1"/>
    <s v="ΔΙΕΥΘΥΝΣΗ Π.Ε. ΙΩΑΝΝΙΝΩΝ"/>
    <x v="5"/>
  </r>
  <r>
    <x v="4833"/>
    <x v="1"/>
    <s v="ΠΕ70"/>
    <s v="ΔΑΣΚΑΛΟΙ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3-01-01T00:00:00"/>
    <x v="1"/>
    <s v="ΔΙΕΥΘΥΝΣΗ Π.Ε. ΑΝΑΤ. ΘΕΣ/ΝΙΚΗΣ"/>
    <x v="5"/>
  </r>
  <r>
    <x v="4834"/>
    <x v="1"/>
    <s v="ΠΕ60"/>
    <s v="ΝΗΠΙΑΓΩΓΟΙ"/>
    <m/>
    <m/>
    <s v="Γ΄"/>
    <n v="1"/>
    <n v="2031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12-29T00:00:00"/>
    <x v="1"/>
    <s v="ΔΙΕΥΘΥΝΣΗ Π.Ε. Δ΄ ΑΘΗΝΑΣ"/>
    <x v="5"/>
  </r>
  <r>
    <x v="4835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2-11-14T00:00:00"/>
    <x v="1"/>
    <s v="ΔΙΕΥΘΥΝΣΗ Π.Ε. Α΄ ΑΘΗΝΑΣ"/>
    <x v="5"/>
  </r>
  <r>
    <x v="4836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2-10-07T00:00:00"/>
    <x v="1"/>
    <s v="ΔΙΕΥΘΥΝΣΗ Π.Ε. ΠΕΙΡΑΙΑ"/>
    <x v="5"/>
  </r>
  <r>
    <x v="4837"/>
    <x v="1"/>
    <s v="ΠΕ11"/>
    <s v="ΦΥΣΙΚΗΣ ΑΓΩΓ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10-03T00:00:00"/>
    <x v="1"/>
    <s v="ΔΙΕΥΘΥΝΣΗ Π.Ε. ΑΝΑΤΟΛΙΚΗΣ ΑΤΤΙΚΗΣ"/>
    <x v="5"/>
  </r>
  <r>
    <x v="4838"/>
    <x v="1"/>
    <s v="ΠΕ60"/>
    <s v="ΝΗΠΙΑΓΩΓΟΙ"/>
    <m/>
    <m/>
    <s v="Α΄"/>
    <n v="3"/>
    <s v="6Κ3Δ465ΦΘ3-Γ4Μ"/>
    <d v="2015-02-1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5-02-16T00:00:00"/>
    <s v="Ιδιωτικά Σχολεία"/>
    <x v="1"/>
    <s v="7192017"/>
    <s v="ΙΔΙΩΤΙΚΟ ΝΗΠΙΑΓΩΓΕΙ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2-10-01T00:00:00"/>
    <x v="1"/>
    <s v="ΔΙΕΥΘΥΝΣΗ Π.Ε. ΔΥΤ. ΘΕΣ/ΝΙΚΗΣ"/>
    <x v="5"/>
  </r>
  <r>
    <x v="4839"/>
    <x v="1"/>
    <s v="ΠΕ70"/>
    <s v="ΔΑΣΚΑΛΟΙ"/>
    <m/>
    <m/>
    <s v="Γ΄"/>
    <n v="1"/>
    <d v="201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9-01T00:00:00"/>
    <x v="1"/>
    <s v="ΔΙΕΥΘΥΝΣΗ Π.Ε. ΑΝΑΤ. ΘΕΣ/ΝΙΚΗΣ"/>
    <x v="5"/>
  </r>
  <r>
    <x v="4840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8-30T00:00:00"/>
    <x v="1"/>
    <s v="ΔΙΕΥΘΥΝΣΗ Π.Ε. ΑΝΑΤΟΛΙΚΗΣ ΑΤΤΙΚΗΣ"/>
    <x v="5"/>
  </r>
  <r>
    <x v="4841"/>
    <x v="1"/>
    <s v="ΠΕ70"/>
    <s v="ΔΑΣΚΑΛΟΙ"/>
    <m/>
    <m/>
    <s v="Α΄"/>
    <n v="1"/>
    <s v="72ΥΗ465ΦΘ3-ΣΣ6"/>
    <d v="2015-03-18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03-18T00:00:00"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8-28T00:00:00"/>
    <x v="1"/>
    <s v="ΔΙΕΥΘΥΝΣΗ Π.Ε. ΑΝΑΤΟΛΙΚΗΣ ΑΤΤΙΚΗΣ"/>
    <x v="5"/>
  </r>
  <r>
    <x v="4842"/>
    <x v="1"/>
    <s v="ΠΕ70"/>
    <s v="ΔΑΣΚΑΛΟΙ"/>
    <m/>
    <m/>
    <s v="Γ΄"/>
    <n v="1"/>
    <s v="ΩΨ5Κ4653ΠΣ-929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2-08-16T00:00:00"/>
    <x v="1"/>
    <s v="ΔΙΕΥΘΥΝΣΗ Π.Ε. Β΄ ΑΘΗΝΑΣ"/>
    <x v="5"/>
  </r>
  <r>
    <x v="4843"/>
    <x v="1"/>
    <s v="ΠΕ06"/>
    <s v="ΑΓΓΛΙΚΗΣ ΦΙΛΟΛΟΓΙΑΣ"/>
    <m/>
    <m/>
    <s v="Γ΄"/>
    <n v="6"/>
    <s v="Φ.17.2/255/6822"/>
    <d v="2018-10-15T00:00:00"/>
    <s v="Β΄ ΑΘΗΝΑΣ (Π.Ε.) 2018"/>
    <s v="ΔΙΕΥΘΥΝΣΗ Π.Ε. Β΄ ΑΘΗΝΑΣ"/>
    <s v="ΠΕΡΙΦΕΡΕΙΑΚΗ Δ/ΝΣΗ Α/ΘΜΙΑΣ ΚΑΙ Β/ΘΜΙΑΣ ΕΚΠ/ΣΗΣ ΑΤΤΙΚΗΣ"/>
    <n v="24"/>
    <d v="2018-10-15T00:00:00"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8-12T00:00:00"/>
    <x v="1"/>
    <s v="ΔΙΕΥΘΥΝΣΗ Π.Ε. Β΄ ΑΘΗΝΑΣ"/>
    <x v="5"/>
  </r>
  <r>
    <x v="4844"/>
    <x v="1"/>
    <s v="ΠΕ91.01"/>
    <s v="ΘΕΑΤΡΙΚΩΝ ΣΠΟΥΔΩΝ"/>
    <m/>
    <m/>
    <s v="Γ΄"/>
    <n v="2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8-09T00:00:00"/>
    <x v="1"/>
    <s v="ΔΙΕΥΘΥΝΣΗ Π.Ε. Β΄ ΑΘΗΝΑΣ"/>
    <x v="5"/>
  </r>
  <r>
    <x v="4845"/>
    <x v="0"/>
    <s v="ΠΕ70"/>
    <s v="ΔΑΣΚΑΛΟΙ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82-07-14T00:00:00"/>
    <x v="1"/>
    <s v="ΔΙΕΥΘΥΝΣΗ Π.Ε. ΑΝΑΤ. ΘΕΣ/ΝΙΚΗΣ"/>
    <x v="5"/>
  </r>
  <r>
    <x v="4846"/>
    <x v="1"/>
    <s v="ΠΕ86"/>
    <s v="ΠΛΗΡΟΦΟΡΙΚΗΣ"/>
    <m/>
    <m/>
    <s v="Γ΄"/>
    <n v="6"/>
    <s v="3942/8-11-2011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7-09T00:00:00"/>
    <x v="1"/>
    <s v="ΔΙΕΥΘΥΝΣΗ Π.Ε. Β΄ ΑΘΗΝΑΣ"/>
    <x v="5"/>
  </r>
  <r>
    <x v="4847"/>
    <x v="0"/>
    <s v="ΠΕ70"/>
    <s v="ΔΑΣΚΑΛΟΙ"/>
    <m/>
    <m/>
    <s v="Γ΄"/>
    <n v="1"/>
    <s v="ΑΚΧ25950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s v="Ιδιωτικά Σχολεία"/>
    <x v="4"/>
    <s v="7061004"/>
    <s v="ΙΔΙΩΤΙΚΟ ΔΗΜΟΤΙΚΟ ΠΑΤΡΑΣ ΕΚΠΑΙΔΕΥΤΗΡΙΑ ΑΝΑΓΕΝΝΗΣΗ ΙΚΕ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82-07-03T00:00:00"/>
    <x v="1"/>
    <s v="ΔΙΕΥΘΥΝΣΗ Π.Ε. ΑΧΑΪΑΣ"/>
    <x v="5"/>
  </r>
  <r>
    <x v="4848"/>
    <x v="1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2-05-21T00:00:00"/>
    <x v="1"/>
    <s v="ΔΙΕΥΘΥΝΣΗ Π.Ε. ΛΑΡΙΣΑΣ"/>
    <x v="5"/>
  </r>
  <r>
    <x v="4849"/>
    <x v="1"/>
    <s v="ΠΕ07"/>
    <s v="ΓΕΡΜΑΝΙΚΗΣ ΦΙΛΟΛΟΓΙΑΣ"/>
    <m/>
    <m/>
    <s v="Γ΄"/>
    <n v="1"/>
    <s v="ΨΟ2Ζ4653ΠΣ-ΡΚΥ"/>
    <d v="2017-04-03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7-04-04T00:00:00"/>
    <s v="Ιδιωτικά Σχολεία"/>
    <x v="4"/>
    <s v="7521060"/>
    <s v="ΙΔΙΩΤΙΚΟ ΔΗΜΟΤΙΚΟ ΣΧΟΛΕΙΟ - ΔΕΣ ΔΗΜΟΤΙΚΟ ΙΚΕ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82-05-17T00:00:00"/>
    <x v="1"/>
    <s v="ΔΙΕΥΘΥΝΣΗ Π.Ε. ΑΝΑΤΟΛΙΚΗΣ ΑΤΤΙΚΗΣ"/>
    <x v="5"/>
  </r>
  <r>
    <x v="4850"/>
    <x v="1"/>
    <s v="ΠΕ02"/>
    <s v="ΦΙΛΟΛΟΓΟΙ"/>
    <m/>
    <m/>
    <s v="Γ΄"/>
    <n v="1"/>
    <m/>
    <m/>
    <s v="ΜΕΣΣΗΝΙΑΣ (Δ.Ε.) 2018"/>
    <s v="ΔΙΕΥΘΥΝΣΗ Δ.Ε. ΜΕΣΣΗΝΙΑΣ"/>
    <s v="ΠΕΡΙΦΕΡΕΙΑΚΗ Δ/ΝΣΗ Α/ΘΜΙΑΣ ΚΑΙ Β/ΘΜΙΑΣ ΕΚΠ/ΣΗΣ ΠΕΛΟΠΟΝΝΗΣΟΥ"/>
    <n v="24"/>
    <m/>
    <s v="Ιδιωτικά Σχολεία"/>
    <x v="2"/>
    <s v="3681015"/>
    <s v="ΙΔΙΩΤΙΚΟ ΓΥΜΝΑΣΙΟ ΚΑΛΑΜΑΤΑ - ΕΚΠΑΙΔΕΥΤΗΡΙΑ ΜΠΟΥΓΑ"/>
    <s v="ΜΕΣΣΗΝΙΑΣ (Δ.Ε.) 2018"/>
    <s v="ΔΙΕΥΘΥΝΣΗ Δ.Ε. ΜΕΣΣΗΝΙΑΣ"/>
    <s v="ΠΕΡΙΦΕΡΕΙΑΚΗ Δ/ΝΣΗ Α/ΘΜΙΑΣ ΚΑΙ Β/ΘΜΙΑΣ ΕΚΠ/ΣΗΣ ΠΕΛΟΠΟΝΝΗΣΟΥ"/>
    <x v="1"/>
    <s v="Τοποθέτηση σε Ιδιωτική Εκπαίδευση"/>
    <d v="1982-05-09T00:00:00"/>
    <x v="0"/>
    <s v="ΔΙΕΥΘΥΝΣΗ Δ.Ε. ΜΕΣΣΗΝΙΑΣ"/>
    <x v="5"/>
  </r>
  <r>
    <x v="4851"/>
    <x v="1"/>
    <s v="ΠΕ70"/>
    <s v="ΔΑΣΚΑΛΟΙ"/>
    <m/>
    <m/>
    <s v="Γ΄"/>
    <n v="1"/>
    <s v="ΩΒΟΨ4653ΠΣ-Ρ0Η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8"/>
    <s v="ΙΔΙΩΤΙΚΟ ΔΗΜΟΤΙΚΟ Π. ΦΑΛΗΡΟ - ΣΥΓΧΡΟΝΑ ΕΚΠΑΙΔΕΥΤΗΡΙΑ Μ.ΧΟΥΡΔ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04-29T00:00:00"/>
    <x v="1"/>
    <s v="ΔΙΕΥΘΥΝΣΗ Π.Ε. Δ΄ ΑΘΗΝΑΣ"/>
    <x v="5"/>
  </r>
  <r>
    <x v="4852"/>
    <x v="0"/>
    <s v="ΠΕ60"/>
    <s v="ΝΗΠΙΑΓΩΓΟΙ"/>
    <m/>
    <m/>
    <s v="Α΄"/>
    <n v="4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2-04-20T00:00:00"/>
    <x v="1"/>
    <s v="ΔΙΕΥΘΥΝΣΗ Π.Ε. ΠΕΙΡΑΙΑ"/>
    <x v="5"/>
  </r>
  <r>
    <x v="4853"/>
    <x v="1"/>
    <s v="ΠΕ60"/>
    <s v="ΝΗΠΙΑΓΩΓΟΙ"/>
    <m/>
    <m/>
    <s v="Γ΄"/>
    <n v="1"/>
    <s v="21350/13-09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71"/>
    <s v="ΙΔΙΩΤΙΚΟ ΝΗΠΙΑΓΩΓΕΙΟ ΠΑΝΕΠΙΣΤΗΜΙΟΥΠΟΛΗ - ΠΑΙΔΙΚΟ ΚΕΝΤΡΟ ΑΠΘ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82-01-06T00:00:00"/>
    <x v="1"/>
    <s v="ΔΙΕΥΘΥΝΣΗ Π.Ε. ΑΝΑΤ. ΘΕΣ/ΝΙΚΗΣ"/>
    <x v="5"/>
  </r>
  <r>
    <x v="4854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ΑΝΑΤΟΛΙΚΗΣ ΑΤΤΙΚΗΣ"/>
    <x v="5"/>
  </r>
  <r>
    <x v="4855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ΑΝΑΤΟΛΙΚΗΣ ΑΤΤΙΚΗΣ"/>
    <x v="5"/>
  </r>
  <r>
    <x v="4856"/>
    <x v="0"/>
    <s v="ΠΕ86"/>
    <s v="ΠΛΗΡΟΦΟΡΙΚΗΣ"/>
    <m/>
    <m/>
    <s v="Γ΄"/>
    <n v="1"/>
    <s v="3528/17-09-10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Β΄ ΑΘΗΝΑΣ"/>
    <x v="5"/>
  </r>
  <r>
    <x v="4857"/>
    <x v="1"/>
    <s v="ΠΕ02"/>
    <s v="ΦΙΛΟΛΟΓΟΙ"/>
    <m/>
    <m/>
    <s v="Γ΄"/>
    <n v="1"/>
    <s v="Φ.17.2/513/13323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2"/>
    <s v="ΙΔΙΩΤΙΚΟ ΔΗΜΟΤΙΚΟ ΦΙΛΟΘΕΗ - ΙΟΝΙΟΣ ΣΧΟΛ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Β΄ ΑΘΗΝΑΣ"/>
    <x v="5"/>
  </r>
  <r>
    <x v="4858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2-01-01T00:00:00"/>
    <x v="1"/>
    <s v="ΔΙΕΥΘΥΝΣΗ Π.Ε. ΑΙΤΩΛΟΑΚΑΡΝΑΝΙΑΣ"/>
    <x v="5"/>
  </r>
  <r>
    <x v="4859"/>
    <x v="1"/>
    <s v="ΠΕ70"/>
    <s v="ΔΑΣΚΑΛΟΙ"/>
    <m/>
    <m/>
    <s v="Γ΄"/>
    <n v="1"/>
    <s v="4284/18-11-2011"/>
    <d v="2015-11-26T00:00:00"/>
    <s v="ΙΩΑΝΝΙΝΩΝ (Π.Ε.) 2018"/>
    <s v="ΔΙΕΥΘΥΝΣΗ Π.Ε. ΙΩΑΝΝΙΝΩΝ"/>
    <s v="ΠΕΡΙΦΕΡΕΙΑΚΗ Δ/ΝΣΗ Α/ΘΜΙΑΣ ΚΑΙ Β/ΘΜΙΑΣ ΕΚΠ/ΣΗΣ ΗΠΕΙΡΟΥ"/>
    <n v="24"/>
    <d v="2015-11-26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82-01-01T00:00:00"/>
    <x v="1"/>
    <s v="ΔΙΕΥΘΥΝΣΗ Π.Ε. ΙΩΑΝΝΙΝΩΝ"/>
    <x v="5"/>
  </r>
  <r>
    <x v="4860"/>
    <x v="1"/>
    <s v="ΠΕ02"/>
    <s v="ΦΙΛΟΛΟΓ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2-01-01T00:00:00"/>
    <x v="1"/>
    <s v="ΔΙΕΥΘΥΝΣΗ Π.Ε. ΛΑΡΙΣΑΣ"/>
    <x v="5"/>
  </r>
  <r>
    <x v="4861"/>
    <x v="1"/>
    <s v="ΠΕ70"/>
    <s v="ΔΑΣΚΑΛΟΙ"/>
    <m/>
    <m/>
    <s v="Α΄"/>
    <n v="1"/>
    <s v="6ΤΠΞ9-ΒΘΘ"/>
    <d v="2014-10-29T00:00:00"/>
    <s v="ΛΑΡΙΣΑΣ (Π.Ε.) 2018"/>
    <s v="ΔΙΕΥΘΥΝΣΗ Π.Ε. ΛΑΡΙΣΑΣ"/>
    <s v="ΠΕΡΙΦΕΡΕΙΑΚΗ Δ/ΝΣΗ Α/ΘΜΙΑΣ ΚΑΙ Β/ΘΜΙΑΣ ΕΚΠ/ΣΗΣ ΘΕΣΣΑΛΙΑΣ"/>
    <n v="24"/>
    <d v="2014-10-29T00:00:00"/>
    <s v="Ιδιωτικά Σχολεία"/>
    <x v="4"/>
    <s v="7311008"/>
    <s v="ΠΡΩΤΟ ΙΔΙΩΤΙΚΟ ΔΗΜΟΤΙΚΟ ΣΧΟΛΕΙΟ N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2-01-01T00:00:00"/>
    <x v="1"/>
    <s v="ΔΙΕΥΘΥΝΣΗ Π.Ε. ΛΑΡΙΣΑΣ"/>
    <x v="5"/>
  </r>
  <r>
    <x v="4862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1-01T00:00:00"/>
    <x v="1"/>
    <s v="ΔΙΕΥΘΥΝΣΗ Π.Ε. ΑΝΑΤ. ΘΕΣ/ΝΙΚΗΣ"/>
    <x v="5"/>
  </r>
  <r>
    <x v="4863"/>
    <x v="1"/>
    <s v="ΠΕ60"/>
    <s v="ΝΗΠΙΑΓΩΓ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05"/>
    <s v="ΙΔΙΩΤΙΚΟ ΝΗΠΙΑΓΩΓΕΙΟ ΘΕΣΣΑΛΟΝΙΚΗ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1-01T00:00:00"/>
    <x v="1"/>
    <s v="ΔΙΕΥΘΥΝΣΗ Π.Ε. ΑΝΑΤ. ΘΕΣ/ΝΙΚΗΣ"/>
    <x v="5"/>
  </r>
  <r>
    <x v="4864"/>
    <x v="1"/>
    <s v="ΠΕ05"/>
    <s v="ΓΑΛΛΙΚΗΣ ΦΙΛΟΛΟΓΙΑΣ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1-01T00:00:00"/>
    <x v="1"/>
    <s v="ΔΙΕΥΘΥΝΣΗ Π.Ε. ΑΝΑΤ. ΘΕΣ/ΝΙΚΗΣ"/>
    <x v="5"/>
  </r>
  <r>
    <x v="4865"/>
    <x v="1"/>
    <s v="ΠΕ07"/>
    <s v="ΓΕΡΜΑΝΙΚΗΣ ΦΙΛΟΛΟΓΙΑΣ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2-01-01T00:00:00"/>
    <x v="1"/>
    <s v="ΔΙΕΥΘΥΝΣΗ Π.Ε. ΑΝΑΤ. ΘΕΣ/ΝΙΚΗΣ"/>
    <x v="5"/>
  </r>
  <r>
    <x v="4866"/>
    <x v="1"/>
    <s v="ΠΕ05"/>
    <s v="ΓΑΛΛΙΚΗΣ ΦΙΛΟΛΟΓΙΑΣ"/>
    <m/>
    <m/>
    <s v="Α΄"/>
    <n v="5"/>
    <s v="Φ.Ι.Α.4/17984/1-9-2015"/>
    <d v="2015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10-13T00:00:00"/>
    <x v="1"/>
    <s v="ΔΙΕΥΘΥΝΣΗ Π.Ε. ΑΝΑΤΟΛΙΚΗΣ ΑΤΤΙΚΗΣ"/>
    <x v="5"/>
  </r>
  <r>
    <x v="4867"/>
    <x v="1"/>
    <s v="ΠΕ02"/>
    <s v="ΦΙΛΟΛΟΓΟΙ"/>
    <m/>
    <m/>
    <s v="Γ΄"/>
    <n v="1"/>
    <n v="1590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10-07T00:00:00"/>
    <x v="1"/>
    <s v="ΔΙΕΥΘΥΝΣΗ Π.Ε. Δ΄ ΑΘΗΝΑΣ"/>
    <x v="5"/>
  </r>
  <r>
    <x v="4868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10-01T00:00:00"/>
    <x v="1"/>
    <s v="ΔΙΕΥΘΥΝΣΗ Π.Ε. Β΄ ΑΘΗΝΑΣ"/>
    <x v="5"/>
  </r>
  <r>
    <x v="4869"/>
    <x v="1"/>
    <s v="ΠΕ60"/>
    <s v="ΝΗΠΙΑΓΩΓ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1"/>
    <s v="2ο ΙΔΙΩΤΙΚΟ ΝΗΠΙΑΓΩΓΕΙΟ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9-21T00:00:00"/>
    <x v="1"/>
    <s v="ΔΙΕΥΘΥΝΣΗ Π.Ε. ΑΝΑΤ. ΘΕΣ/ΝΙΚΗΣ"/>
    <x v="5"/>
  </r>
  <r>
    <x v="4870"/>
    <x v="1"/>
    <s v="ΠΕ79.01"/>
    <s v="ΜΟΥΣΙΚΗΣ ΕΠΙΣΤΗΜΗΣ"/>
    <m/>
    <m/>
    <s v="Β΄"/>
    <n v="3"/>
    <s v="Φ.Ι.Α.2/20980/24-1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1-08-29T00:00:00"/>
    <x v="1"/>
    <s v="ΔΙΕΥΘΥΝΣΗ Π.Ε. ΑΝΑΤΟΛΙΚΗΣ ΑΤΤΙΚΗΣ"/>
    <x v="5"/>
  </r>
  <r>
    <x v="4871"/>
    <x v="0"/>
    <s v="ΠΕ06"/>
    <s v="ΑΓΓΛΙΚΗΣ ΦΙΛΟΛΟΓΙΑΣ"/>
    <m/>
    <m/>
    <s v="Α΄"/>
    <n v="6"/>
    <s v="ΒΧ3Κ4653ΠΣ-ΞΧ5"/>
    <d v="2015-11-23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5-11-23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1-08-26T00:00:00"/>
    <x v="1"/>
    <s v="ΔΙΕΥΘΥΝΣΗ Π.Ε. ΑΝΑΤΟΛΙΚΗΣ ΑΤΤΙΚΗΣ"/>
    <x v="5"/>
  </r>
  <r>
    <x v="4872"/>
    <x v="1"/>
    <s v="ΠΕ02"/>
    <s v="ΦΙΛΟΛΟΓΟΙ"/>
    <m/>
    <m/>
    <s v="Γ΄"/>
    <n v="1"/>
    <s v="70/21-9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m/>
    <x v="6"/>
    <s v=""/>
    <m/>
    <m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1-08-18T00:00:00"/>
    <x v="1"/>
    <s v="ΔΙΕΥΘΥΝΣΗ Π.Ε. ΑΧΑΪΑΣ"/>
    <x v="5"/>
  </r>
  <r>
    <x v="4873"/>
    <x v="1"/>
    <s v="ΠΕ60"/>
    <s v="ΝΗΠΙΑΓΩΓ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1"/>
    <s v="7011009"/>
    <s v="ΙΔΙΩΤΙΚΟ ΝΗΠΙΑΓΩΓΕΙΟ ΠΑΛΑΙΟΠΑΝΑΓΙΑ ΝΑΥΠΑΚΤΟΥ - ΙΔΙΩΤΙΚΟ ΝΗΠΙΑΓΩΓ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81-08-16T00:00:00"/>
    <x v="1"/>
    <s v="ΔΙΕΥΘΥΝΣΗ Π.Ε. ΑΙΤΩΛΟΑΚΑΡΝΑΝΙΑΣ"/>
    <x v="5"/>
  </r>
  <r>
    <x v="4874"/>
    <x v="1"/>
    <s v="ΠΕ70"/>
    <s v="ΔΑΣΚΑΛΟΙ"/>
    <m/>
    <m/>
    <s v="Γ΄"/>
    <n v="1"/>
    <d v="2003-10-15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6-04T00:00:00"/>
    <x v="1"/>
    <s v="ΔΙΕΥΘΥΝΣΗ Π.Ε. ΑΝΑΤ. ΘΕΣ/ΝΙΚΗΣ"/>
    <x v="5"/>
  </r>
  <r>
    <x v="4875"/>
    <x v="1"/>
    <s v="ΠΕ07"/>
    <s v="ΓΕΡΜΑΝΙΚΗΣ ΦΙΛΟΛΟΓΙΑ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4-16T00:00:00"/>
    <x v="1"/>
    <s v="ΔΙΕΥΘΥΝΣΗ Π.Ε. Β΄ ΑΘΗΝΑΣ"/>
    <x v="5"/>
  </r>
  <r>
    <x v="4876"/>
    <x v="1"/>
    <s v="ΠΕ79.01"/>
    <s v="ΜΟΥΣΙΚΗΣ ΕΠΙΣΤΗΜΗΣ"/>
    <m/>
    <m/>
    <s v="Γ΄"/>
    <n v="1"/>
    <s v="6ΚΛΛ4653ΠΣ-ΖΡ8"/>
    <d v="2017-09-06T00:00:00"/>
    <s v="ΙΩΑΝΝΙΝΩΝ (Π.Ε.) 2018"/>
    <s v="ΔΙΕΥΘΥΝΣΗ Π.Ε. ΙΩΑΝΝΙΝΩΝ"/>
    <s v="ΠΕΡΙΦΕΡΕΙΑΚΗ Δ/ΝΣΗ Α/ΘΜΙΑΣ ΚΑΙ Β/ΘΜΙΑΣ ΕΚΠ/ΣΗΣ ΗΠΕΙΡΟΥ"/>
    <n v="24"/>
    <d v="2017-09-06T00:00:00"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1-03-12T00:00:00"/>
    <x v="1"/>
    <s v="ΔΙΕΥΘΥΝΣΗ Π.Ε. ΙΩΑΝΝΙΝΩΝ"/>
    <x v="5"/>
  </r>
  <r>
    <x v="4877"/>
    <x v="1"/>
    <s v="ΠΕ06"/>
    <s v="ΑΓΓΛΙΚΗΣ ΦΙΛΟΛΟΓΙΑΣ"/>
    <m/>
    <m/>
    <s v="Γ΄"/>
    <n v="1"/>
    <n v="28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2-13T00:00:00"/>
    <x v="1"/>
    <s v="ΔΙΕΥΘΥΝΣΗ Π.Ε. Δ΄ ΑΘΗΝΑΣ"/>
    <x v="5"/>
  </r>
  <r>
    <x v="4878"/>
    <x v="1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1-02-12T00:00:00"/>
    <x v="1"/>
    <s v="ΔΙΕΥΘΥΝΣΗ Π.Ε. ΑΝΑΤ. ΘΕΣ/ΝΙΚΗΣ"/>
    <x v="5"/>
  </r>
  <r>
    <x v="4879"/>
    <x v="1"/>
    <s v="ΠΕ02"/>
    <s v="ΦΙΛΟΛΟΓΟΙ"/>
    <m/>
    <m/>
    <s v="Γ΄"/>
    <n v="1"/>
    <n v="2039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1-23T00:00:00"/>
    <x v="1"/>
    <s v="ΔΙΕΥΘΥΝΣΗ Π.Ε. Δ΄ ΑΘΗΝΑΣ"/>
    <x v="5"/>
  </r>
  <r>
    <x v="4880"/>
    <x v="1"/>
    <s v="ΠΕ86"/>
    <s v="ΠΛΗΡΟΦΟΡΙΚΗΣ"/>
    <m/>
    <m/>
    <s v="Γ΄"/>
    <n v="1"/>
    <s v="ΒΧ3Κ4653ΠΣ-ΞΧ5"/>
    <d v="2015-11-23T00:00:00"/>
    <s v="Δ΄ ΑΘΗΝΑΣ (Π.Ε.) 2018"/>
    <s v="ΔΙΕΥΘΥΝΣΗ Π.Ε. Δ΄ ΑΘΗΝΑΣ"/>
    <s v="ΠΕΡΙΦΕΡΕΙΑΚΗ Δ/ΝΣΗ Α/ΘΜΙΑΣ ΚΑΙ Β/ΘΜΙΑΣ ΕΚΠ/ΣΗΣ ΑΤΤΙΚΗΣ"/>
    <n v="24"/>
    <d v="2015-11-23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Δ΄ ΑΘΗΝΑΣ"/>
    <x v="5"/>
  </r>
  <r>
    <x v="4881"/>
    <x v="1"/>
    <s v="ΠΕ06"/>
    <s v="ΑΓΓΛΙΚΗΣ ΦΙΛΟΛΟΓΙΑΣ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1-01T00:00:00"/>
    <x v="1"/>
    <s v="ΔΙΕΥΘΥΝΣΗ Π.Ε. Δ΄ ΑΘΗΝΑΣ"/>
    <x v="5"/>
  </r>
  <r>
    <x v="4882"/>
    <x v="1"/>
    <s v="ΠΕ60"/>
    <s v="ΝΗΠΙΑΓΩΓΟΙ"/>
    <m/>
    <m/>
    <s v="Γ΄"/>
    <n v="1"/>
    <s v="19997/5"/>
    <d v="2018-10-17T00:00:00"/>
    <s v="Α΄ ΠΕΙΡΑΙΑ (Π.Ε.) 2018"/>
    <s v="ΔΙΕΥΘΥΝΣΗ Π.Ε. ΠΕΙΡΑΙΑ"/>
    <s v="ΠΕΡΙΦΕΡΕΙΑΚΗ Δ/ΝΣΗ Α/ΘΜΙΑΣ ΚΑΙ Β/ΘΜΙΑΣ ΕΚΠ/ΣΗΣ ΑΤΤΙΚΗΣ"/>
    <n v="24"/>
    <d v="2018-10-17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1-01-01T00:00:00"/>
    <x v="1"/>
    <s v="ΔΙΕΥΘΥΝΣΗ Π.Ε. ΠΕΙΡΑΙΑ"/>
    <x v="5"/>
  </r>
  <r>
    <x v="4883"/>
    <x v="1"/>
    <m/>
    <m/>
    <m/>
    <m/>
    <s v="Γ΄"/>
    <n v="1"/>
    <s v="70/21-9-2018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m/>
    <x v="6"/>
    <s v=""/>
    <m/>
    <m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1-01-01T00:00:00"/>
    <x v="1"/>
    <s v="ΔΙΕΥΘΥΝΣΗ Π.Ε. ΑΧΑΪΑΣ"/>
    <x v="5"/>
  </r>
  <r>
    <x v="4884"/>
    <x v="1"/>
    <s v="ΠΕ06"/>
    <s v="ΑΓΓΛΙΚΗΣ ΦΙΛΟΛΟΓΙΑΣ"/>
    <m/>
    <m/>
    <s v="Γ΄"/>
    <n v="1"/>
    <n v="5009"/>
    <d v="2018-09-01T00:00:00"/>
    <s v="ΤΡΙΚΑΛΩΝ (Π.Ε.) 2018"/>
    <s v="ΔΙΕΥΘΥΝΣΗ Π.Ε. ΤΡΙΚΑΛΩΝ"/>
    <s v="ΠΕΡΙΦΕΡΕΙΑΚΗ Δ/ΝΣΗ Α/ΘΜΙΑΣ ΚΑΙ Β/ΘΜΙΑΣ ΕΚΠ/ΣΗΣ ΘΕΣΣΑΛΙΑΣ"/>
    <n v="24"/>
    <d v="2018-09-01T00:00:00"/>
    <s v="Ιδιωτικά Σχολεία"/>
    <x v="4"/>
    <s v="7451000"/>
    <s v="ΙΔΙΩΤΙΚΟ ΔΗΜΟΤΙΚΟ ΤΡΙΚΑΛΑ - Φ. ΣΑΚΚΑ ΚΑΙ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81-01-01T00:00:00"/>
    <x v="1"/>
    <s v="ΔΙΕΥΘΥΝΣΗ Π.Ε. ΤΡΙΚΑΛΩΝ"/>
    <x v="5"/>
  </r>
  <r>
    <x v="4885"/>
    <x v="1"/>
    <s v="ΠΕ60"/>
    <s v="ΝΗΠΙΑΓΩΓ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2"/>
    <s v="2ο ΙΔΙΩΤΙΚΟ ΔΗΜΟΤΙΚΟ ΠΥΛΑΙΑ - ΑΔΑΜΑΝΤΙΟΣ ΣΧΟΛΗ Α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12-24T00:00:00"/>
    <x v="1"/>
    <s v="ΔΙΕΥΘΥΝΣΗ Π.Ε. ΑΝΑΤ. ΘΕΣ/ΝΙΚΗΣ"/>
    <x v="5"/>
  </r>
  <r>
    <x v="4886"/>
    <x v="0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60"/>
    <s v="ΙΔΙΩΤΙΚΟ ΔΗΜΟΤΙΚΟ ΣΧΟΛΕΙΟ - ΔΕΣ ΔΗΜΟΤΙΚΟ ΙΚΕ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80-12-14T00:00:00"/>
    <x v="1"/>
    <s v="ΔΙΕΥΘΥΝΣΗ Π.Ε. ΑΝΑΤΟΛΙΚΗΣ ΑΤΤΙΚΗΣ"/>
    <x v="5"/>
  </r>
  <r>
    <x v="4887"/>
    <x v="1"/>
    <s v="ΠΕ08"/>
    <s v="ΚΑΛΛΙΤΕΧΝΙΚΩΝ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0-11-26T00:00:00"/>
    <x v="1"/>
    <s v="ΔΙΕΥΘΥΝΣΗ Π.Ε. Δ΄ ΑΘΗΝΑΣ"/>
    <x v="5"/>
  </r>
  <r>
    <x v="4888"/>
    <x v="1"/>
    <s v="ΠΕ70"/>
    <s v="ΔΑΣΚΑΛΟΙ"/>
    <m/>
    <m/>
    <s v="Γ΄"/>
    <n v="1"/>
    <d v="2003-10-15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10-12T00:00:00"/>
    <x v="1"/>
    <s v="ΔΙΕΥΘΥΝΣΗ Π.Ε. ΑΝΑΤ. ΘΕΣ/ΝΙΚΗΣ"/>
    <x v="5"/>
  </r>
  <r>
    <x v="4889"/>
    <x v="0"/>
    <s v="ΠΕ70"/>
    <s v="ΔΑΣΚΑΛΟΙ"/>
    <m/>
    <m/>
    <s v="Γ΄"/>
    <n v="1"/>
    <n v="19056"/>
    <d v="2018-10-01T00:00:00"/>
    <s v="Α΄ ΠΕΙΡΑΙΑ (Π.Ε.) 2018"/>
    <s v="ΔΙΕΥΘΥΝΣΗ Π.Ε. ΠΕΙΡΑΙΑ"/>
    <s v="ΠΕΡΙΦΕΡΕΙΑΚΗ Δ/ΝΣΗ Α/ΘΜΙΑΣ ΚΑΙ Β/ΘΜΙΑΣ ΕΚΠ/ΣΗΣ ΑΤΤΙΚΗΣ"/>
    <n v="24"/>
    <d v="2018-10-01T00:00:00"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0-10-08T00:00:00"/>
    <x v="1"/>
    <s v="ΔΙΕΥΘΥΝΣΗ Π.Ε. ΠΕΙΡΑΙΑ"/>
    <x v="5"/>
  </r>
  <r>
    <x v="4890"/>
    <x v="1"/>
    <s v="ΠΕ06"/>
    <s v="ΑΓΓΛΙΚΗΣ ΦΙΛΟΛΟΓΙΑΣ"/>
    <m/>
    <m/>
    <s v="Α΄"/>
    <n v="7"/>
    <s v="Φ.Ι.Α/5870/2-11-2011"/>
    <d v="2011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1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0-09-13T00:00:00"/>
    <x v="1"/>
    <s v="ΔΙΕΥΘΥΝΣΗ Π.Ε. ΑΝΑΤΟΛΙΚΗΣ ΑΤΤΙΚΗΣ"/>
    <x v="5"/>
  </r>
  <r>
    <x v="4891"/>
    <x v="1"/>
    <s v="ΠΕ03"/>
    <s v="ΜΑΘΗΜΑΤΙΚΟΙ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0-09-07T00:00:00"/>
    <x v="1"/>
    <s v="ΔΙΕΥΘΥΝΣΗ Π.Ε. ΗΡΑΚΛΕΙΟΥ"/>
    <x v="5"/>
  </r>
  <r>
    <x v="4892"/>
    <x v="1"/>
    <s v="ΠΕ06"/>
    <s v="ΑΓΓΛΙΚΗΣ ΦΙΛΟΛΟΓΙΑΣ"/>
    <m/>
    <m/>
    <s v="Γ΄"/>
    <n v="1"/>
    <d v="2008-10-0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8-16T00:00:00"/>
    <x v="1"/>
    <s v="ΔΙΕΥΘΥΝΣΗ Π.Ε. ΑΝΑΤ. ΘΕΣ/ΝΙΚΗΣ"/>
    <x v="5"/>
  </r>
  <r>
    <x v="4893"/>
    <x v="1"/>
    <s v="ΠΕ91.01"/>
    <s v="ΘΕΑΤΡΙΚΩΝ ΣΠΟΥΔΩΝ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8-13T00:00:00"/>
    <x v="1"/>
    <s v="ΔΙΕΥΘΥΝΣΗ Π.Ε. Β΄ ΑΘΗΝΑΣ"/>
    <x v="5"/>
  </r>
  <r>
    <x v="4894"/>
    <x v="1"/>
    <s v="ΠΕ06"/>
    <s v="ΑΓΓΛΙΚΗΣ ΦΙΛΟΛΟΓΙΑΣ"/>
    <m/>
    <m/>
    <s v="Γ΄"/>
    <n v="1"/>
    <s v="Φ.17/11454/16-11-2015"/>
    <d v="2018-09-01T00:00:00"/>
    <s v="ΙΩΑΝΝΙΝΩΝ (Π.Ε.) 2018"/>
    <s v="ΔΙΕΥΘΥΝΣΗ Π.Ε. ΙΩΑΝΝΙΝΩΝ"/>
    <s v="ΠΕΡΙΦΕΡΕΙΑΚΗ Δ/ΝΣΗ Α/ΘΜΙΑΣ ΚΑΙ Β/ΘΜΙΑΣ ΕΚΠ/ΣΗΣ ΗΠΕΙΡΟΥ"/>
    <n v="24"/>
    <d v="2018-09-01T00:00:00"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0-08-12T00:00:00"/>
    <x v="1"/>
    <s v="ΔΙΕΥΘΥΝΣΗ Π.Ε. ΙΩΑΝΝΙΝΩΝ"/>
    <x v="5"/>
  </r>
  <r>
    <x v="4895"/>
    <x v="1"/>
    <s v="ΠΕ60"/>
    <s v="ΝΗΠΙΑΓΩΓΟΙ"/>
    <m/>
    <m/>
    <s v="Γ΄"/>
    <n v="1"/>
    <s v="995/28-03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15"/>
    <s v="ΙΔΙΩΤΙΚΟ ΝΗΠΙΑΓΩΓΕΙΟ ΘΕΡΜΗ - Π.ΔΙΒΑΝΕ-Α ΜΠΟΥΡΟΥΤΖΟΠΟΥΛΟΥ Ο.Ε.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7-25T00:00:00"/>
    <x v="1"/>
    <s v="ΔΙΕΥΘΥΝΣΗ Π.Ε. ΑΝΑΤ. ΘΕΣ/ΝΙΚΗΣ"/>
    <x v="5"/>
  </r>
  <r>
    <x v="4896"/>
    <x v="1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00"/>
    <s v="ΙΔΙΩΤΙΚΟ ΔΗΜΟΤΙΚΟ ΒΑΡΥΜΠΟΜΠΗ - ΜΟΝΤΕΣΣΟΡΙΑΝΑ ΣΧΟΛΕΙΑ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7-21T00:00:00"/>
    <x v="1"/>
    <s v="ΔΙΕΥΘΥΝΣΗ Π.Ε. ΑΝΑΤΟΛΙΚΗΣ ΑΤΤΙΚΗΣ"/>
    <x v="5"/>
  </r>
  <r>
    <x v="4897"/>
    <x v="1"/>
    <s v="ΠΕ11"/>
    <s v="ΦΥΣΙΚΗΣ ΑΓΩΓΗ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0-05-19T00:00:00"/>
    <x v="1"/>
    <s v="ΔΙΕΥΘΥΝΣΗ Π.Ε. Δ΄ ΑΘΗΝΑΣ"/>
    <x v="5"/>
  </r>
  <r>
    <x v="4898"/>
    <x v="1"/>
    <s v="ΠΕ70"/>
    <s v="ΔΑΣΚΑΛΟΙ"/>
    <m/>
    <m/>
    <s v="Γ΄"/>
    <n v="1"/>
    <s v="Φ.17/4647/04-07-2018"/>
    <d v="2017-05-02T00:00:00"/>
    <s v="ΙΩΑΝΝΙΝΩΝ (Π.Ε.) 2018"/>
    <s v="ΔΙΕΥΘΥΝΣΗ Π.Ε. ΙΩΑΝΝΙΝΩΝ"/>
    <s v="ΠΕΡΙΦΕΡΕΙΑΚΗ Δ/ΝΣΗ Α/ΘΜΙΑΣ ΚΑΙ Β/ΘΜΙΑΣ ΕΚΠ/ΣΗΣ ΗΠΕΙΡΟΥ"/>
    <n v="24"/>
    <d v="2017-05-02T00:00:00"/>
    <s v="Ιδιωτικά Σχολεία"/>
    <x v="4"/>
    <s v="7201008"/>
    <s v="ΙΔΙΩΤΙΚΟ ΔΗΜΟΤΙΚΟ ΙΩΑΝΝΙΝΑ - ΕΚΠΑΙΔΕΥΤΗΡΙΑ ΓΕΝΕΣΙ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0-05-01T00:00:00"/>
    <x v="1"/>
    <s v="ΔΙΕΥΘΥΝΣΗ Π.Ε. ΙΩΑΝΝΙΝΩΝ"/>
    <x v="5"/>
  </r>
  <r>
    <x v="4899"/>
    <x v="1"/>
    <s v="ΠΕ06"/>
    <s v="ΑΓΓΛΙΚΗΣ ΦΙΛΟΛΟΓΙΑΣ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5-01T00:00:00"/>
    <x v="1"/>
    <s v="ΔΙΕΥΘΥΝΣΗ Π.Ε. ΑΝΑΤ. ΘΕΣ/ΝΙΚΗΣ"/>
    <x v="5"/>
  </r>
  <r>
    <x v="4900"/>
    <x v="0"/>
    <s v="ΠΕ11"/>
    <s v="ΦΥΣΙΚΗΣ ΑΓΩΓΗ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m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0-04-24T00:00:00"/>
    <x v="1"/>
    <s v="ΔΙΕΥΘΥΝΣΗ Π.Ε. ΑΙΤΩΛΟΑΚΑΡΝΑΝΙΑΣ"/>
    <x v="5"/>
  </r>
  <r>
    <x v="4901"/>
    <x v="1"/>
    <s v="ΠΕ06"/>
    <s v="ΑΓΓ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0-03-29T00:00:00"/>
    <x v="1"/>
    <s v="ΔΙΕΥΘΥΝΣΗ Π.Ε. ΠΕΙΡΑΙΑ"/>
    <x v="5"/>
  </r>
  <r>
    <x v="4902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0-03-24T00:00:00"/>
    <x v="1"/>
    <s v="ΔΙΕΥΘΥΝΣΗ Π.Ε. ΜΕΣΣΗΝΙΑΣ"/>
    <x v="5"/>
  </r>
  <r>
    <x v="4903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0"/>
    <s v="Τοποθέτηση σε Ιδιωτική Εκπαίδευση"/>
    <d v="1980-03-12T00:00:00"/>
    <x v="1"/>
    <s v="ΔΙΕΥΘΥΝΣΗ Π.Ε. ΑΙΤΩΛΟΑΚΑΡΝΑΝΙΑΣ"/>
    <x v="5"/>
  </r>
  <r>
    <x v="4904"/>
    <x v="1"/>
    <s v="ΠΕ70"/>
    <s v="ΔΑΣΚΑΛΟΙ"/>
    <m/>
    <m/>
    <s v="Γ΄"/>
    <n v="10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0-03-06T00:00:00"/>
    <x v="1"/>
    <s v="ΔΙΕΥΘΥΝΣΗ Π.Ε. Β΄ ΑΘΗΝΑΣ"/>
    <x v="5"/>
  </r>
  <r>
    <x v="4905"/>
    <x v="0"/>
    <s v="ΠΕ60"/>
    <s v="ΝΗΠΙΑΓΩΓΟΙ"/>
    <m/>
    <m/>
    <s v="Α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2"/>
    <s v="ΙΔΙΩΤΙΚΟ ΔΗΜΟΤΙΚΟ ΗΡΑΚΛΕΙΟ - ΙΔΙΩΤΙΚΟ ΔΗΜΟΤΙΚΟ ΖΑΝΝΕΙΟ ΕΚΠΑΙΔΕΥΤΗΡΙΟ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80-02-27T00:00:00"/>
    <x v="1"/>
    <s v="ΔΙΕΥΘΥΝΣΗ Π.Ε. ΗΡΑΚΛΕΙΟΥ"/>
    <x v="5"/>
  </r>
  <r>
    <x v="4906"/>
    <x v="1"/>
    <s v="ΠΕ03"/>
    <s v="ΜΑΘΗΜΑΤΙΚΟΙ"/>
    <m/>
    <m/>
    <s v="Γ΄"/>
    <n v="1"/>
    <s v="Φ. 17.2_ A_/12078/4"/>
    <d v="2018-09-01T00:00:00"/>
    <s v="ΑΧΑΪΑΣ (Δ.Ε.) 2018"/>
    <s v="ΔΙΕΥΘΥΝΣΗ Δ.Ε. ΑΧΑΪΑΣ"/>
    <s v="ΠΕΡΙΦΕΡΕΙΑΚΗ Δ/ΝΣΗ Α/ΘΜΙΑΣ ΚΑΙ Β/ΘΜΙΑΣ ΕΚΠ/ΣΗΣ ΔΥΤΙΚΗΣ ΕΛΛΑΔΑΣ"/>
    <n v="24"/>
    <d v="2018-09-01T00:00:00"/>
    <s v="Ιδιωτικά Σχολεία"/>
    <x v="3"/>
    <s v="0680039"/>
    <s v="ΙΔΙΩΤΙΚΟ ΓΕΝΙΚΟ ΛΥΚΕΙΟ ΑΝΑΓΕΝΝΗΣΗ ΙΚΕ"/>
    <s v="ΑΧΑΪΑΣ (Δ.Ε.) 2018"/>
    <s v="ΔΙΕΥΘΥΝΣΗ Δ.Ε. ΑΧΑΪΑΣ"/>
    <s v="ΠΕΡΙΦΕΡΕΙΑΚΗ Δ/ΝΣΗ Α/ΘΜΙΑΣ ΚΑΙ Β/ΘΜΙΑΣ ΕΚΠ/ΣΗΣ ΔΥΤΙΚΗΣ ΕΛΛΑΔΑΣ"/>
    <x v="1"/>
    <s v="Τοποθέτηση σε Ιδιωτική Εκπαίδευση"/>
    <d v="1980-02-16T00:00:00"/>
    <x v="0"/>
    <s v="ΔΙΕΥΘΥΝΣΗ Δ.Ε. ΑΧΑΪΑΣ"/>
    <x v="5"/>
  </r>
  <r>
    <x v="4907"/>
    <x v="0"/>
    <s v="ΠΕ70"/>
    <s v="ΔΑΣΚΑΛΟΙ"/>
    <m/>
    <m/>
    <s v="Β΄"/>
    <n v="4"/>
    <s v="Φ.Ι.Α.2/13995/14-5-2014"/>
    <d v="2013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3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0-01-04T00:00:00"/>
    <x v="1"/>
    <s v="ΔΙΕΥΘΥΝΣΗ Π.Ε. ΑΝΑΤΟΛΙΚΗΣ ΑΤΤΙΚΗΣ"/>
    <x v="5"/>
  </r>
  <r>
    <x v="4908"/>
    <x v="1"/>
    <s v="ΠΕ06"/>
    <s v="ΑΓΓΛΙΚΗΣ ΦΙΛΟΛΟΓΙΑΣ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80-01-03T00:00:00"/>
    <x v="1"/>
    <s v="ΔΙΕΥΘΥΝΣΗ Π.Ε. ΔΩΔΕΚΑΝΗΣΟΥ"/>
    <x v="5"/>
  </r>
  <r>
    <x v="4909"/>
    <x v="1"/>
    <s v="ΠΕ06"/>
    <s v="ΑΓΓ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0-01-02T00:00:00"/>
    <x v="1"/>
    <s v="ΔΙΕΥΘΥΝΣΗ Π.Ε. ΠΕΙΡΑΙΑ"/>
    <x v="5"/>
  </r>
  <r>
    <x v="4910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80-01-01T00:00:00"/>
    <x v="0"/>
    <s v="ΔΙΕΥΘΥΝΣΗ Δ.Ε. Γ΄ ΑΘΗΝΑΣ"/>
    <x v="5"/>
  </r>
  <r>
    <x v="4911"/>
    <x v="0"/>
    <s v="ΠΕ70"/>
    <s v="ΔΑΣΚΑΛΟΙ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0-01-01T00:00:00"/>
    <x v="1"/>
    <s v="ΔΙΕΥΘΥΝΣΗ Π.Ε. ΠΕΙΡΑΙΑ"/>
    <x v="5"/>
  </r>
  <r>
    <x v="4912"/>
    <x v="1"/>
    <s v="ΠΕ70"/>
    <s v="ΔΑΣΚΑΛΟΙ"/>
    <m/>
    <m/>
    <s v="Γ΄"/>
    <n v="1"/>
    <d v="2003-11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8-28T00:00:00"/>
    <x v="1"/>
    <s v="ΔΙΕΥΘΥΝΣΗ Π.Ε. ΑΝΑΤ. ΘΕΣ/ΝΙΚΗΣ"/>
    <x v="5"/>
  </r>
  <r>
    <x v="4913"/>
    <x v="0"/>
    <s v="ΠΕ70"/>
    <s v="ΔΑΣΚΑΛΟΙ"/>
    <m/>
    <m/>
    <s v="Α΄"/>
    <n v="6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8-15T00:00:00"/>
    <x v="1"/>
    <s v="ΔΙΕΥΘΥΝΣΗ Π.Ε. Δ΄ ΑΘΗΝΑΣ"/>
    <x v="5"/>
  </r>
  <r>
    <x v="4914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7-29T00:00:00"/>
    <x v="1"/>
    <s v="ΔΙΕΥΘΥΝΣΗ Π.Ε. ΑΝΑΤ. ΘΕΣ/ΝΙΚΗΣ"/>
    <x v="5"/>
  </r>
  <r>
    <x v="4915"/>
    <x v="0"/>
    <s v="ΠΕ11"/>
    <s v="ΦΥΣΙΚΗΣ ΑΓΩΓΗΣ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79-07-27T00:00:00"/>
    <x v="1"/>
    <s v="ΔΙΕΥΘΥΝΣΗ Π.Ε. ΑΝΑΤ. ΘΕΣ/ΝΙΚΗΣ"/>
    <x v="5"/>
  </r>
  <r>
    <x v="4916"/>
    <x v="1"/>
    <s v="ΠΕ04.04"/>
    <s v="ΒΙ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7-15T00:00:00"/>
    <x v="0"/>
    <s v="ΔΙΕΥΘΥΝΣΗ Δ.Ε. Γ΄ ΑΘΗΝΑΣ"/>
    <x v="5"/>
  </r>
  <r>
    <x v="4917"/>
    <x v="1"/>
    <s v="ΠΕ60"/>
    <s v="ΝΗΠΙΑΓΩΓΟΙ"/>
    <m/>
    <m/>
    <s v="Γ΄"/>
    <n v="1"/>
    <n v="1459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7-11T00:00:00"/>
    <x v="1"/>
    <s v="ΔΙΕΥΘΥΝΣΗ Π.Ε. Δ΄ ΑΘΗΝΑΣ"/>
    <x v="5"/>
  </r>
  <r>
    <x v="4918"/>
    <x v="1"/>
    <s v="ΠΕ60"/>
    <s v="ΝΗΠΙΑΓΩΓΟΙ"/>
    <m/>
    <m/>
    <s v="Γ΄"/>
    <n v="1"/>
    <s v="21350/13-09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57"/>
    <s v="ΙΔΙΩΤΙΚΟ ΝΗΠΙΑΓΩΓΕΙΟ ΘΕΣΣΑΛΟΝΙΚΗ - ΣΤΡΟΥΜΦΟΧΩΡΙΟ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6-21T00:00:00"/>
    <x v="1"/>
    <s v="ΔΙΕΥΘΥΝΣΗ Π.Ε. ΑΝΑΤ. ΘΕΣ/ΝΙΚΗΣ"/>
    <x v="5"/>
  </r>
  <r>
    <x v="4919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2"/>
    <s v="ΜΟΝΤΕΣΣΟΡΙΑΝΗ ΣΧΟΛΗ ΑΘΗΝΩΝ ΜΑΡΙΑ ΓΟΥΔΕΛΗ ΑΕΕ - ΔΗΜΟΤΙΚΟ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9-05-29T00:00:00"/>
    <x v="1"/>
    <s v="ΔΙΕΥΘΥΝΣΗ Π.Ε. Α΄ ΑΘΗΝΑΣ"/>
    <x v="5"/>
  </r>
  <r>
    <x v="4920"/>
    <x v="1"/>
    <s v="ΠΕ70"/>
    <s v="ΔΑΣΚΑΛΟΙ"/>
    <m/>
    <m/>
    <s v="Γ΄"/>
    <n v="1"/>
    <s v="ΨΥΤ84653ΠΣ-33Ψ"/>
    <d v="2017-01-26T00:00:00"/>
    <s v="Δ΄ ΑΘΗΝΑΣ (Π.Ε.) 2018"/>
    <s v="ΔΙΕΥΘΥΝΣΗ Π.Ε. Δ΄ ΑΘΗΝΑΣ"/>
    <s v="ΠΕΡΙΦΕΡΕΙΑΚΗ Δ/ΝΣΗ Α/ΘΜΙΑΣ ΚΑΙ Β/ΘΜΙΑΣ ΕΚΠ/ΣΗΣ ΑΤΤΙΚΗΣ"/>
    <n v="24"/>
    <d v="2017-01-26T00:00:00"/>
    <s v="Ιδιωτικά Σχολεία"/>
    <x v="4"/>
    <s v="7054004"/>
    <s v="ΙΔΙΩΤΙΚΟ ΔΗΜΟΤΙΚΟ - ΠΑΣΧΑΛΗΣ ΑΝΤΩΝΗΣ ΙΔΙΩΤΙΚΑ ΕΚΠΑΙΔΕΥΤΗΡΙΑ &amp; ΣΙΑ Ε.Ε.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79-05-04T00:00:00"/>
    <x v="1"/>
    <s v="ΔΙΕΥΘΥΝΣΗ Π.Ε. Δ΄ ΑΘΗΝΑΣ"/>
    <x v="5"/>
  </r>
  <r>
    <x v="4921"/>
    <x v="1"/>
    <s v="ΠΕ60"/>
    <s v="ΝΗΠΙΑΓΩΓΟΙ"/>
    <m/>
    <m/>
    <s v="Α΄"/>
    <n v="5"/>
    <s v="Φ.Ι.Α.6/38670/6-12-2017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5-09-01T00:00:00"/>
    <s v="Ιδιωτικά Σχολεία"/>
    <x v="4"/>
    <s v="7521052"/>
    <s v="2ο ΙΔΙΩΤΙΚΟ ΔΗΜΟΤΙΚΟ ΣΧΟΛΕΙΟ-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9-04-28T00:00:00"/>
    <x v="1"/>
    <s v="ΔΙΕΥΘΥΝΣΗ Π.Ε. ΑΝΑΤΟΛΙΚΗΣ ΑΤΤΙΚΗΣ"/>
    <x v="5"/>
  </r>
  <r>
    <x v="4922"/>
    <x v="1"/>
    <s v="ΠΕ05"/>
    <s v="ΓΑΛ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02-09T00:00:00"/>
    <x v="1"/>
    <s v="ΔΙΕΥΘΥΝΣΗ Π.Ε. Δ΄ ΑΘΗΝΑΣ"/>
    <x v="5"/>
  </r>
  <r>
    <x v="4923"/>
    <x v="1"/>
    <s v="ΠΕ05"/>
    <s v="ΓΑΛΛΙΚΗΣ ΦΙΛΟΛΟΓΙΑΣ"/>
    <m/>
    <m/>
    <s v="Γ΄"/>
    <n v="1"/>
    <d v="2016-09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1-27T00:00:00"/>
    <x v="1"/>
    <s v="ΔΙΕΥΘΥΝΣΗ Π.Ε. ΑΝΑΤ. ΘΕΣ/ΝΙΚΗΣ"/>
    <x v="5"/>
  </r>
  <r>
    <x v="4924"/>
    <x v="1"/>
    <s v="ΠΕ60"/>
    <s v="ΝΗΠΙΑΓΩΓΟΙ"/>
    <m/>
    <m/>
    <s v="Γ΄"/>
    <n v="1"/>
    <d v="2003-01-2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1"/>
    <s v="2ο ΙΔΙΩΤΙΚΟ ΝΗΠΙΑΓΩΓΕΙΟ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1-05T00:00:00"/>
    <x v="1"/>
    <s v="ΔΙΕΥΘΥΝΣΗ Π.Ε. ΑΝΑΤ. ΘΕΣ/ΝΙΚΗΣ"/>
    <x v="5"/>
  </r>
  <r>
    <x v="4925"/>
    <x v="1"/>
    <s v="ΠΕ70"/>
    <s v="ΔΑΣΚΑΛΟΙ"/>
    <m/>
    <m/>
    <s v="Γ΄"/>
    <n v="1"/>
    <n v="935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9-01-01T00:00:00"/>
    <x v="1"/>
    <s v="ΔΙΕΥΘΥΝΣΗ Π.Ε. ΛΑΡΙΣΑΣ"/>
    <x v="5"/>
  </r>
  <r>
    <x v="4926"/>
    <x v="0"/>
    <s v="ΠΕ70"/>
    <s v="ΔΑΣΚΑΛΟΙ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1-01T00:00:00"/>
    <x v="1"/>
    <s v="ΔΙΕΥΘΥΝΣΗ Π.Ε. ΑΝΑΤ. ΘΕΣ/ΝΙΚΗΣ"/>
    <x v="5"/>
  </r>
  <r>
    <x v="4927"/>
    <x v="0"/>
    <s v="ΠΕ70"/>
    <s v="ΔΑΣΚΑΛΟΙ"/>
    <m/>
    <m/>
    <s v="Α΄"/>
    <n v="1"/>
    <m/>
    <m/>
    <s v="ΧΑΝΙΩΝ (Π.Ε.) 2018"/>
    <s v="ΔΙΕΥΘΥΝΣΗ Π.Ε. ΡΕΘΥΜΝΟΥ"/>
    <s v="ΠΕΡΙΦΕΡΕΙΑΚΗ Δ/ΝΣΗ Α/ΘΜΙΑΣ ΚΑΙ Β/ΘΜΙΑΣ ΕΚΠ/ΣΗΣ ΚΡΗΤΗΣ"/>
    <n v="24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9-01-01T00:00:00"/>
    <x v="1"/>
    <s v="ΔΙΕΥΘΥΝΣΗ Π.Ε. ΡΕΘΥΜΝΟΥ"/>
    <x v="5"/>
  </r>
  <r>
    <x v="4928"/>
    <x v="0"/>
    <s v="ΠΕ70"/>
    <s v="ΔΑΣΚΑΛΟΙ"/>
    <m/>
    <m/>
    <s v="Γ΄"/>
    <n v="1"/>
    <s v="Φ 17.2/304/13919/07-11-13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12-30T00:00:00"/>
    <x v="1"/>
    <s v="ΔΙΕΥΘΥΝΣΗ Π.Ε. Β΄ ΑΘΗΝΑΣ"/>
    <x v="5"/>
  </r>
  <r>
    <x v="4929"/>
    <x v="1"/>
    <s v="ΠΕ70"/>
    <s v="ΔΑΣΚΑΛΟΙ"/>
    <m/>
    <m/>
    <s v="Γ΄"/>
    <n v="1"/>
    <n v="10939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12-26T00:00:00"/>
    <x v="1"/>
    <s v="ΔΙΕΥΘΥΝΣΗ Π.Ε. Δ΄ ΑΘΗΝΑΣ"/>
    <x v="5"/>
  </r>
  <r>
    <x v="4930"/>
    <x v="1"/>
    <s v="ΠΕ05"/>
    <s v="ΓΑΛΛΙΚΗΣ ΦΙΛΟΛΟΓΙΑΣ"/>
    <m/>
    <m/>
    <s v="Γ΄"/>
    <n v="1"/>
    <d v="2016-09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11-02T00:00:00"/>
    <x v="1"/>
    <s v="ΔΙΕΥΘΥΝΣΗ Π.Ε. ΑΝΑΤ. ΘΕΣ/ΝΙΚΗΣ"/>
    <x v="5"/>
  </r>
  <r>
    <x v="4931"/>
    <x v="0"/>
    <s v="ΠΕ11"/>
    <s v="ΦΥΣΙΚΗΣ ΑΓΩΓΗ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700026"/>
    <s v="ΙΔΙΩΤΙΚΟ ΔΗΜΟΤΙΚΟ ΠΑΤΗΣΙΑ - ΛΕΟΝΤΕΙΟΣ ΣΧΟΛΗ ΠΑΤΗΣΙΩΝ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8-08-04T00:00:00"/>
    <x v="1"/>
    <s v="ΔΙΕΥΘΥΝΣΗ Π.Ε. Α΄ ΑΘΗΝΑΣ"/>
    <x v="5"/>
  </r>
  <r>
    <x v="4932"/>
    <x v="1"/>
    <s v="ΠΕ70"/>
    <s v="ΔΑΣΚΑΛΟΙ"/>
    <m/>
    <m/>
    <s v="Γ΄"/>
    <n v="1"/>
    <d v="2003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7-31T00:00:00"/>
    <x v="1"/>
    <s v="ΔΙΕΥΘΥΝΣΗ Π.Ε. ΑΝΑΤ. ΘΕΣ/ΝΙΚΗΣ"/>
    <x v="5"/>
  </r>
  <r>
    <x v="4933"/>
    <x v="0"/>
    <s v="ΠΕ70"/>
    <s v="ΔΑΣΚΑΛΟΙ"/>
    <m/>
    <m/>
    <s v="Γ΄"/>
    <n v="1"/>
    <d v="2005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8-07-08T00:00:00"/>
    <x v="1"/>
    <s v="ΔΙΕΥΘΥΝΣΗ Π.Ε. ΑΝΑΤ. ΘΕΣ/ΝΙΚΗΣ"/>
    <x v="5"/>
  </r>
  <r>
    <x v="4934"/>
    <x v="1"/>
    <s v="ΠΕ70"/>
    <s v="ΔΑΣΚΑΛΟΙ"/>
    <m/>
    <m/>
    <s v="Γ΄"/>
    <n v="1"/>
    <s v="19997/5"/>
    <d v="2018-10-17T00:00:00"/>
    <s v="Α΄ ΠΕΙΡΑΙΑ (Π.Ε.) 2018"/>
    <s v="ΔΙΕΥΘΥΝΣΗ Π.Ε. ΠΕΙΡΑΙΑ"/>
    <s v="ΠΕΡΙΦΕΡΕΙΑΚΗ Δ/ΝΣΗ Α/ΘΜΙΑΣ ΚΑΙ Β/ΘΜΙΑΣ ΕΚΠ/ΣΗΣ ΑΤΤΙΚΗΣ"/>
    <n v="24"/>
    <d v="2018-10-17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78-07-07T00:00:00"/>
    <x v="1"/>
    <s v="ΔΙΕΥΘΥΝΣΗ Π.Ε. ΠΕΙΡΑΙΑ"/>
    <x v="5"/>
  </r>
  <r>
    <x v="4935"/>
    <x v="0"/>
    <s v="ΠΕ11"/>
    <s v="ΦΥΣΙΚΗΣ ΑΓΩΓΗΣ"/>
    <m/>
    <m/>
    <s v="Γ΄"/>
    <n v="1"/>
    <n v="1303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6-20T00:00:00"/>
    <x v="1"/>
    <s v="ΔΙΕΥΘΥΝΣΗ Π.Ε. Δ΄ ΑΘΗΝΑΣ"/>
    <x v="5"/>
  </r>
  <r>
    <x v="4936"/>
    <x v="1"/>
    <s v="ΠΕ70"/>
    <s v="ΔΑΣΚΑΛΟΙ"/>
    <m/>
    <m/>
    <s v="Γ΄"/>
    <n v="1"/>
    <s v="19997/3"/>
    <d v="2018-10-17T00:00:00"/>
    <s v="Α΄ ΠΕΙΡΑΙΑ (Π.Ε.) 2018"/>
    <s v="ΔΙΕΥΘΥΝΣΗ Π.Ε. ΠΕΙΡΑΙΑ"/>
    <s v="ΠΕΡΙΦΕΡΕΙΑΚΗ Δ/ΝΣΗ Α/ΘΜΙΑΣ ΚΑΙ Β/ΘΜΙΑΣ ΕΚΠ/ΣΗΣ ΑΤΤΙΚΗΣ"/>
    <n v="24"/>
    <d v="2018-10-17T00:00:00"/>
    <s v="Ιδιωτικά Σχολεία"/>
    <x v="4"/>
    <s v="7541020"/>
    <s v="ΙΔΙΩΤΙΚΟ ΔΗΜΟΤΙΚΟ Α.Δ. ΣΤΕΓΚΑ Ο.Ε.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78-06-13T00:00:00"/>
    <x v="1"/>
    <s v="ΔΙΕΥΘΥΝΣΗ Π.Ε. ΠΕΙΡΑΙΑ"/>
    <x v="5"/>
  </r>
  <r>
    <x v="4937"/>
    <x v="0"/>
    <s v="ΠΕ11"/>
    <s v="ΦΥΣΙΚΗΣ ΑΓΩΓ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8-05-23T00:00:00"/>
    <x v="0"/>
    <s v="ΔΙΕΥΘΥΝΣΗ Δ.Ε. ΑΝΑΤΟΛΙΚΗΣ ΑΤΤΙΚΗΣ"/>
    <x v="5"/>
  </r>
  <r>
    <x v="4938"/>
    <x v="1"/>
    <s v="ΠΕ60"/>
    <s v="ΝΗΠΙΑΓΩΓΟΙ"/>
    <m/>
    <m/>
    <s v="Γ΄"/>
    <n v="1"/>
    <n v="2041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4-29T00:00:00"/>
    <x v="1"/>
    <s v="ΔΙΕΥΘΥΝΣΗ Π.Ε. Δ΄ ΑΘΗΝΑΣ"/>
    <x v="5"/>
  </r>
  <r>
    <x v="4939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8"/>
    <s v="ΙΔΙΩΤΙΚΟ ΔΗΜΟΤΙΚΟ &quot;ΣΧΟΛΗ ΜΩΡΑΪΤΗ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3-10T00:00:00"/>
    <x v="1"/>
    <s v="ΔΙΕΥΘΥΝΣΗ Π.Ε. Β΄ ΑΘΗΝΑΣ"/>
    <x v="5"/>
  </r>
  <r>
    <x v="4940"/>
    <x v="0"/>
    <s v="ΠΕ04.01"/>
    <s v="ΦΥΣΙΚ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2"/>
    <s v="ΜΟΝΤΕΣΣΟΡΙΑΝΗ ΣΧΟΛΗ ΑΘΗΝΩΝ ΜΑΡΙΑ ΓΟΥΔΕΛΗ ΑΕΕ - ΔΗΜΟΤΙΚΟ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8-01-30T00:00:00"/>
    <x v="1"/>
    <s v="ΔΙΕΥΘΥΝΣΗ Π.Ε. Α΄ ΑΘΗΝΑΣ"/>
    <x v="5"/>
  </r>
  <r>
    <x v="4941"/>
    <x v="1"/>
    <s v="ΠΕ02"/>
    <s v="ΦΙΛΟΛΟΓΟΙ"/>
    <m/>
    <m/>
    <s v="Α΄"/>
    <n v="1"/>
    <m/>
    <m/>
    <s v="ΞΑΝΘΗΣ (Π.Ε.) 2018"/>
    <s v="ΔΙΕΥΘΥΝΣΗ Π.Ε. ΞΑΝΘΗΣ"/>
    <s v="ΠΕΡΙΦΕΡΕΙΑΚΗ Δ/ΝΣΗ Α/ΘΜΙΑΣ ΚΑΙ Β/ΘΜΙΑΣ ΕΚΠ/ΣΗΣ ΑΝ. ΜΑΚΕΔΟΝΙΑΣ ΚΑΙ ΘΡΑΚΗΣ"/>
    <n v="24"/>
    <m/>
    <s v="Ιδιωτικά Σχολεία"/>
    <x v="4"/>
    <s v="7371000"/>
    <s v="ΑΞΙΟΝ ΙΔΙΩΤΙΚΟ ΔΗΜΟΤΙΚΟ ΣΧΟΛΕΙΟ ΞΑΝΘΗΣ"/>
    <s v="ΞΑΝΘΗΣ (Π.Ε.) 2018"/>
    <s v="ΔΙΕΥΘΥΝΣΗ Π.Ε. ΞΑΝΘΗΣ"/>
    <s v="ΠΕΡΙΦΕΡΕΙΑΚΗ Δ/ΝΣΗ Α/ΘΜΙΑΣ ΚΑΙ Β/ΘΜΙΑΣ ΕΚΠ/ΣΗΣ ΑΝ. ΜΑΚΕΔΟΝΙΑΣ ΚΑΙ ΘΡΑΚΗΣ"/>
    <x v="1"/>
    <s v="Τοποθέτηση σε Ιδιωτική Εκπαίδευση"/>
    <d v="1978-01-01T00:00:00"/>
    <x v="1"/>
    <s v="ΔΙΕΥΘΥΝΣΗ Π.Ε. ΞΑΝΘΗΣ"/>
    <x v="5"/>
  </r>
  <r>
    <x v="4942"/>
    <x v="1"/>
    <s v="ΠΕ06"/>
    <s v="ΑΓΓΛΙΚΗΣ ΦΙΛΟΛΟΓΙΑΣ"/>
    <m/>
    <m/>
    <s v="Γ΄"/>
    <n v="1"/>
    <n v="1322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78-01-01T00:00:00"/>
    <x v="1"/>
    <s v="ΔΙΕΥΘΥΝΣΗ Π.Ε. Δ΄ ΑΘΗΝΑΣ"/>
    <x v="5"/>
  </r>
  <r>
    <x v="4943"/>
    <x v="1"/>
    <s v="ΠΕ06"/>
    <s v="ΑΓΓΛΙΚΗΣ ΦΙΛΟΛΟΓΙΑΣ"/>
    <m/>
    <m/>
    <s v="Γ΄"/>
    <n v="1"/>
    <n v="13024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1-01T00:00:00"/>
    <x v="1"/>
    <s v="ΔΙΕΥΘΥΝΣΗ Π.Ε. Δ΄ ΑΘΗΝΑΣ"/>
    <x v="5"/>
  </r>
  <r>
    <x v="4944"/>
    <x v="1"/>
    <s v="ΠΕ79.01"/>
    <s v="ΜΟΥΣΙΚΗΣ ΕΠΙΣΤΗΜΗΣ"/>
    <m/>
    <m/>
    <s v="Γ΄"/>
    <n v="1"/>
    <n v="2688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1-01T00:00:00"/>
    <x v="1"/>
    <s v="ΔΙΕΥΘΥΝΣΗ Π.Ε. Δ΄ ΑΘΗΝΑΣ"/>
    <x v="5"/>
  </r>
  <r>
    <x v="4945"/>
    <x v="1"/>
    <s v="ΠΕ06"/>
    <s v="ΑΓΓΛΙΚΗΣ ΦΙΛΟΛΟΓΙΑΣ"/>
    <m/>
    <m/>
    <s v="Γ΄"/>
    <n v="1"/>
    <n v="99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8-01-01T00:00:00"/>
    <x v="1"/>
    <s v="ΔΙΕΥΘΥΝΣΗ Π.Ε. Δ΄ ΑΘΗΝΑΣ"/>
    <x v="5"/>
  </r>
  <r>
    <x v="4946"/>
    <x v="1"/>
    <s v="ΠΕ60"/>
    <s v="ΝΗΠΙΑΓΩΓ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1"/>
    <s v="7011009"/>
    <s v="ΙΔΙΩΤΙΚΟ ΝΗΠΙΑΓΩΓΕΙΟ ΠΑΛΑΙΟΠΑΝΑΓΙΑ ΝΑΥΠΑΚΤΟΥ - ΙΔΙΩΤΙΚΟ ΝΗΠΙΑΓΩΓ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8-01-01T00:00:00"/>
    <x v="1"/>
    <s v="ΔΙΕΥΘΥΝΣΗ Π.Ε. ΑΙΤΩΛΟΑΚΑΡΝΑΝΙΑΣ"/>
    <x v="5"/>
  </r>
  <r>
    <x v="4947"/>
    <x v="1"/>
    <s v="ΠΕ07"/>
    <s v="ΓΕΡΜΑΝΙΚΗΣ ΦΙΛΟΛΟΓΙΑΣ"/>
    <m/>
    <m/>
    <s v="Γ΄"/>
    <n v="1"/>
    <s v="Ω7ΜΞ4653ΠΣ-ΗΤ3"/>
    <d v="2018-10-04T00:00:00"/>
    <s v="ΙΩΑΝΝΙΝΩΝ (Δ.Ε.) 2018"/>
    <s v="ΔΙΕΥΘΥΝΣΗ Δ.Ε. ΙΩΑΝΝΙΝΩΝ"/>
    <s v="ΠΕΡΙΦΕΡΕΙΑΚΗ Δ/ΝΣΗ Α/ΘΜΙΑΣ ΚΑΙ Β/ΘΜΙΑΣ ΕΚΠ/ΣΗΣ ΗΠΕΙΡΟΥ"/>
    <n v="24"/>
    <d v="2018-10-04T00:00:00"/>
    <s v="Ιδιωτικά Σχολεία"/>
    <x v="2"/>
    <s v="2060004"/>
    <s v="ΑΡΣΑΚΕΙΟ ΓΥΜΝΑΣΙΟ ΙΩΑΝΝΙΝΩΝ"/>
    <s v="ΙΩΑΝΝΙΝΩΝ (Δ.Ε.) 2018"/>
    <s v="ΔΙΕΥΘΥΝΣΗ Δ.Ε. ΙΩΑΝΝΙΝΩΝ"/>
    <s v="ΠΕΡΙΦΕΡΕΙΑΚΗ Δ/ΝΣΗ Α/ΘΜΙΑΣ ΚΑΙ Β/ΘΜΙΑΣ ΕΚΠ/ΣΗΣ ΗΠΕΙΡΟΥ"/>
    <x v="2"/>
    <s v="Τοποθέτηση σε Ιδιωτική Εκπαίδευση"/>
    <d v="1978-01-01T00:00:00"/>
    <x v="0"/>
    <s v="ΔΙΕΥΘΥΝΣΗ Δ.Ε. ΙΩΑΝΝΙΝΩΝ"/>
    <x v="5"/>
  </r>
  <r>
    <x v="4948"/>
    <x v="1"/>
    <s v="ΠΕ06"/>
    <s v="ΑΓΓΛΙΚΗΣ ΦΙΛΟΛΟΓΙΑΣ"/>
    <m/>
    <m/>
    <s v="Γ΄"/>
    <n v="1"/>
    <s v="ΒΙΚ59-5Θ5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8-01-01T00:00:00"/>
    <x v="1"/>
    <s v="ΔΙΕΥΘΥΝΣΗ Π.Ε. ΛΑΡΙΣΑΣ"/>
    <x v="5"/>
  </r>
  <r>
    <x v="4949"/>
    <x v="0"/>
    <s v="ΠΕ70"/>
    <s v="ΔΑΣΚΑΛΟΙ"/>
    <m/>
    <m/>
    <s v="Γ΄"/>
    <n v="1"/>
    <s v="7ΡΒ29-ΘΞΓ"/>
    <d v="2014-11-18T00:00:00"/>
    <s v="Α΄ ΔΩΔΕΚΑΝΗΣΟΥ (Π.Ε.) 2018"/>
    <s v="ΔΙΕΥΘΥΝΣΗ Π.Ε. ΔΩΔΕΚΑΝΗΣΟΥ"/>
    <s v="ΠΕΡΙΦΕΡΕΙΑΚΗ Δ/ΝΣΗ Α/ΘΜΙΑΣ ΚΑΙ Β/ΘΜΙΑΣ ΕΚΠ/ΣΗΣ ΝΟΤΙΟΥ ΑΙΓΑΙΟΥ"/>
    <n v="24"/>
    <d v="2014-11-18T00:00:00"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7-11-05T00:00:00"/>
    <x v="1"/>
    <s v="ΔΙΕΥΘΥΝΣΗ Π.Ε. ΔΩΔΕΚΑΝΗΣΟΥ"/>
    <x v="5"/>
  </r>
  <r>
    <x v="4950"/>
    <x v="1"/>
    <s v="ΠΕ11"/>
    <s v="ΦΥΣΙΚΗΣ ΑΓΩΓΗΣ"/>
    <m/>
    <m/>
    <s v="Α΄"/>
    <n v="5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10-14T00:00:00"/>
    <x v="1"/>
    <s v="ΔΙΕΥΘΥΝΣΗ Π.Ε. ΑΝΑΤΟΛΙΚΗΣ ΑΤΤΙΚΗΣ"/>
    <x v="5"/>
  </r>
  <r>
    <x v="4951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10-12T00:00:00"/>
    <x v="1"/>
    <s v="ΔΙΕΥΘΥΝΣΗ Π.Ε. Δ΄ ΑΘΗΝΑΣ"/>
    <x v="5"/>
  </r>
  <r>
    <x v="4952"/>
    <x v="1"/>
    <s v="ΠΕ70"/>
    <s v="ΔΑΣΚΑΛΟΙ"/>
    <m/>
    <m/>
    <s v="Γ΄"/>
    <n v="1"/>
    <d v="2001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8-23T00:00:00"/>
    <x v="1"/>
    <s v="ΔΙΕΥΘΥΝΣΗ Π.Ε. ΑΝΑΤ. ΘΕΣ/ΝΙΚΗΣ"/>
    <x v="5"/>
  </r>
  <r>
    <x v="4953"/>
    <x v="1"/>
    <s v="ΠΕ70"/>
    <s v="ΔΑΣΚΑΛΟΙ"/>
    <m/>
    <m/>
    <s v="Γ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0"/>
    <s v="ΙΔΙΩΤΙΚΟ ΔΗΜΟΤΙΚΟ ΡΟΔΟΣ - ΡΟΔΙΩΝ ΠΑΙΔΕ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7-08-19T00:00:00"/>
    <x v="1"/>
    <s v="ΔΙΕΥΘΥΝΣΗ Π.Ε. ΔΩΔΕΚΑΝΗΣΟΥ"/>
    <x v="5"/>
  </r>
  <r>
    <x v="4954"/>
    <x v="0"/>
    <s v="ΠΕ02"/>
    <s v="ΦΙΛΟΛΟ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7-08-15T00:00:00"/>
    <x v="1"/>
    <s v="ΔΙΕΥΘΥΝΣΗ Π.Ε. ΠΕΙΡΑΙΑ"/>
    <x v="5"/>
  </r>
  <r>
    <x v="4955"/>
    <x v="0"/>
    <s v="ΠΕ11"/>
    <s v="ΦΥΣΙΚΗΣ ΑΓΩΓ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07-31T00:00:00"/>
    <x v="1"/>
    <s v="ΔΙΕΥΘΥΝΣΗ Π.Ε. ΑΝΑΤΟΛΙΚΗΣ ΑΤΤΙΚΗΣ"/>
    <x v="5"/>
  </r>
  <r>
    <x v="4956"/>
    <x v="0"/>
    <s v="ΠΕ79.01"/>
    <s v="ΜΟΥΣΙΚΗΣ ΕΠΙΣΤΗΜΗΣ"/>
    <m/>
    <m/>
    <s v="Γ΄"/>
    <n v="1"/>
    <m/>
    <m/>
    <s v="ΗΡΑΚΛΕΙΟΥ (Π.Ε.) 2018"/>
    <s v="ΔΙΕΥΘΥΝΣΗ Π.Ε. ΗΡΑΚΛΕΙΟΥ"/>
    <s v="ΠΕΡΙΦΕΡΕΙΑΚΗ Δ/ΝΣΗ Α/ΘΜΙΑΣ ΚΑΙ Β/ΘΜΙΑΣ ΕΚΠ/ΣΗΣ ΚΡΗΤΗΣ"/>
    <n v="24"/>
    <m/>
    <s v="Ιδιωτικά Σχολεία"/>
    <x v="4"/>
    <s v="7171000"/>
    <s v="Ιδιωτικό Δημοτικό Σχολείο- ΕΚΠΑΙΔΕΥΤΗΡΙΟ &quot;ΤΟ ΠΑΓΚΡΗΤΙΟΝ&quot;"/>
    <s v="ΗΡΑΚΛΕΙΟΥ (Π.Ε.) 2018"/>
    <s v="ΔΙΕΥΘΥΝΣΗ Π.Ε. ΗΡΑΚΛΕΙΟΥ"/>
    <s v="ΠΕΡΙΦΕΡΕΙΑΚΗ Δ/ΝΣΗ Α/ΘΜΙΑΣ ΚΑΙ Β/ΘΜΙΑΣ ΕΚΠ/ΣΗΣ ΚΡΗΤΗΣ"/>
    <x v="1"/>
    <s v="Τοποθέτηση σε Ιδιωτική Εκπαίδευση"/>
    <d v="1977-07-30T00:00:00"/>
    <x v="1"/>
    <s v="ΔΙΕΥΘΥΝΣΗ Π.Ε. ΗΡΑΚΛΕΙΟΥ"/>
    <x v="5"/>
  </r>
  <r>
    <x v="4957"/>
    <x v="0"/>
    <s v="ΠΕ06"/>
    <s v="ΑΓΓΛΙΚΗΣ ΦΙΛΟΛΟΓΙΑΣ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38"/>
    <s v="ΙΔΙΩΤΙΚΟ ΔΗΜΟΤΙΚΟ ΣΧΟΛΕΙΟ &quot;ΓΕΝΝΑΔΙΟΣ ΕΚΠΑΙΔΕΥΤΙΚΗ Κ. ΖΩΗ Α.Ε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7-23T00:00:00"/>
    <x v="1"/>
    <s v="ΔΙΕΥΘΥΝΣΗ Π.Ε. Δ΄ ΑΘΗΝΑΣ"/>
    <x v="5"/>
  </r>
  <r>
    <x v="4958"/>
    <x v="1"/>
    <s v="ΠΕ70"/>
    <s v="ΔΑΣΚΑΛΟΙ"/>
    <m/>
    <m/>
    <s v="Γ΄"/>
    <n v="1"/>
    <d v="2017-12-1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7-07-17T00:00:00"/>
    <x v="1"/>
    <s v="ΔΙΕΥΘΥΝΣΗ Π.Ε. ΑΝΑΤ. ΘΕΣ/ΝΙΚΗΣ"/>
    <x v="5"/>
  </r>
  <r>
    <x v="4959"/>
    <x v="1"/>
    <s v="ΠΕ70"/>
    <s v="ΔΑΣΚΑΛΟΙ"/>
    <m/>
    <m/>
    <s v="Γ΄"/>
    <n v="1"/>
    <d v="200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7-12T00:00:00"/>
    <x v="1"/>
    <s v="ΔΙΕΥΘΥΝΣΗ Π.Ε. ΑΝΑΤ. ΘΕΣ/ΝΙΚΗΣ"/>
    <x v="5"/>
  </r>
  <r>
    <x v="4960"/>
    <x v="1"/>
    <s v="ΠΕ60"/>
    <s v="ΝΗΠΙΑΓΩΓΟΙ"/>
    <m/>
    <m/>
    <s v="Γ΄"/>
    <n v="1"/>
    <s v="16245/02-11-2012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75"/>
    <s v="ΙΔΙΩΤΙΚΟ ΝΗΠΙΑΓΩΓΕΙΟ ΠΑΝΟΡΑΜΑ-ΘΕΣΣΑΛΟΝΙΚΗ - ΑΝΤΛΕΡΙΑΝΗ ΑΓΩΓΗ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6-30T00:00:00"/>
    <x v="1"/>
    <s v="ΔΙΕΥΘΥΝΣΗ Π.Ε. ΑΝΑΤ. ΘΕΣ/ΝΙΚΗΣ"/>
    <x v="5"/>
  </r>
  <r>
    <x v="4961"/>
    <x v="1"/>
    <s v="ΠΕ70"/>
    <s v="ΔΑΣΚΑΛΟΙ"/>
    <m/>
    <m/>
    <s v="Γ΄"/>
    <n v="1"/>
    <n v="14591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5-17T00:00:00"/>
    <x v="1"/>
    <s v="ΔΙΕΥΘΥΝΣΗ Π.Ε. Δ΄ ΑΘΗΝΑΣ"/>
    <x v="5"/>
  </r>
  <r>
    <x v="4962"/>
    <x v="1"/>
    <s v="ΠΕ07"/>
    <s v="ΓΕΡΜΑΝΙΚΗΣ ΦΙΛΟΛΟΓΙΑΣ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7-05-04T00:00:00"/>
    <x v="1"/>
    <s v="ΔΙΕΥΘΥΝΣΗ Π.Ε. ΑΝΑΤ. ΘΕΣ/ΝΙΚΗΣ"/>
    <x v="5"/>
  </r>
  <r>
    <x v="4963"/>
    <x v="0"/>
    <s v="ΠΕ79.01"/>
    <s v="ΜΟΥΣΙΚΗΣ ΕΠΙΣΤΗΜΗΣ"/>
    <m/>
    <m/>
    <s v="Β΄"/>
    <n v="4"/>
    <s v="5621α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03-24T00:00:00"/>
    <x v="1"/>
    <s v="ΔΙΕΥΘΥΝΣΗ Π.Ε. ΑΝΑΤΟΛΙΚΗΣ ΑΤΤΙΚΗΣ"/>
    <x v="5"/>
  </r>
  <r>
    <x v="4964"/>
    <x v="1"/>
    <s v="ΠΕ08"/>
    <s v="ΚΑΛΛΙΤΕΧΝΙΚΩΝ"/>
    <m/>
    <m/>
    <s v="Α΄"/>
    <n v="1"/>
    <s v="750Ψ4653ΠΣ-ΛΛ2"/>
    <d v="2016-09-12T00:00:00"/>
    <s v="Α΄ ΑΘΗΝΑΣ (Π.Ε.) 2018"/>
    <s v="ΔΙΕΥΘΥΝΣΗ Π.Ε. Α΄ ΑΘΗΝΑΣ"/>
    <s v="ΠΕΡΙΦΕΡΕΙΑΚΗ Δ/ΝΣΗ Α/ΘΜΙΑΣ ΚΑΙ Β/ΘΜΙΑΣ ΕΚΠ/ΣΗΣ ΑΤΤΙΚΗΣ"/>
    <n v="24"/>
    <d v="2016-09-12T00:00:00"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7-01-01T00:00:00"/>
    <x v="1"/>
    <s v="ΔΙΕΥΘΥΝΣΗ Π.Ε. Α΄ ΑΘΗΝΑΣ"/>
    <x v="5"/>
  </r>
  <r>
    <x v="4965"/>
    <x v="1"/>
    <s v="ΠΕ70"/>
    <s v="ΔΑΣΚΑΛΟΙ"/>
    <m/>
    <m/>
    <s v="Γ΄"/>
    <n v="1"/>
    <s v="Φ 17.2/346/13747/30-11-12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1-01T00:00:00"/>
    <x v="1"/>
    <s v="ΔΙΕΥΘΥΝΣΗ Π.Ε. Β΄ ΑΘΗΝΑΣ"/>
    <x v="5"/>
  </r>
  <r>
    <x v="4966"/>
    <x v="0"/>
    <s v="ΠΕ70"/>
    <s v="ΔΑΣΚΑΛΟΙ"/>
    <m/>
    <m/>
    <s v="Α΄"/>
    <n v="4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7-01-01T00:00:00"/>
    <x v="1"/>
    <s v="ΔΙΕΥΘΥΝΣΗ Π.Ε. ΠΕΙΡΑΙΑ"/>
    <x v="5"/>
  </r>
  <r>
    <x v="4967"/>
    <x v="1"/>
    <s v="ΠΕ70"/>
    <s v="ΔΑΣΚΑΛΟΙ"/>
    <m/>
    <m/>
    <s v="Β΄"/>
    <n v="4"/>
    <s v="Φ.Ι.Α.7/11473/2-5-2018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5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12-14T00:00:00"/>
    <x v="1"/>
    <s v="ΔΙΕΥΘΥΝΣΗ Π.Ε. ΑΝΑΤΟΛΙΚΗΣ ΑΤΤΙΚΗΣ"/>
    <x v="5"/>
  </r>
  <r>
    <x v="4968"/>
    <x v="1"/>
    <s v="ΠΕ06"/>
    <s v="ΑΓΓΛΙΚΗΣ ΦΙΛΟΛΟΓΙΑΣ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2"/>
    <s v="Τοποθέτηση σε Ιδιωτική Εκπαίδευση"/>
    <d v="1976-12-03T00:00:00"/>
    <x v="1"/>
    <s v="ΔΙΕΥΘΥΝΣΗ Π.Ε. ΑΝΑΤ. ΘΕΣ/ΝΙΚΗΣ"/>
    <x v="5"/>
  </r>
  <r>
    <x v="4969"/>
    <x v="1"/>
    <s v="ΠΕ11"/>
    <s v="ΦΥΣΙΚΗΣ ΑΓΩΓΗΣ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8"/>
    <s v="ΙΔΙΩΤΙΚΟ ΔΗΜΟΤΙΚ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6-10-28T00:00:00"/>
    <x v="1"/>
    <s v="ΔΙΕΥΘΥΝΣΗ Π.Ε. Α΄ ΑΘΗΝΑΣ"/>
    <x v="5"/>
  </r>
  <r>
    <x v="4970"/>
    <x v="1"/>
    <s v="ΠΕ08"/>
    <s v="ΚΑΛΛΙΤΕΧΝΙΚΩΝ"/>
    <m/>
    <m/>
    <s v="Α΄"/>
    <n v="10"/>
    <s v="Φ.Ι.Α.1/23423/15-0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6-10-20T00:00:00"/>
    <x v="1"/>
    <s v="ΔΙΕΥΘΥΝΣΗ Π.Ε. ΑΝΑΤΟΛΙΚΗΣ ΑΤΤΙΚΗΣ"/>
    <x v="5"/>
  </r>
  <r>
    <x v="4971"/>
    <x v="1"/>
    <s v="ΠΕ70"/>
    <s v="ΔΑΣΚΑΛΟΙ"/>
    <m/>
    <m/>
    <s v="Γ΄"/>
    <n v="1"/>
    <s v="Φ 17.2/304/13919/7-11-2013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20"/>
    <s v="ΙΔΙΩΤΙΚΟ ΔΗΜΟΤΙΚΟ ΜΑΡΟΥΣΙ ΑΤΤΙΚΗΣ - ΔΗΜΟΤΙΚ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09-10T00:00:00"/>
    <x v="1"/>
    <s v="ΔΙΕΥΘΥΝΣΗ Π.Ε. Β΄ ΑΘΗΝΑΣ"/>
    <x v="5"/>
  </r>
  <r>
    <x v="4972"/>
    <x v="1"/>
    <s v="ΠΕ60"/>
    <s v="ΝΗΠΙΑΓΩΓΟΙ"/>
    <m/>
    <m/>
    <s v="Γ΄"/>
    <n v="1"/>
    <d v="200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7-04T00:00:00"/>
    <x v="1"/>
    <s v="ΔΙΕΥΘΥΝΣΗ Π.Ε. ΑΝΑΤ. ΘΕΣ/ΝΙΚΗΣ"/>
    <x v="5"/>
  </r>
  <r>
    <x v="4973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6-28T00:00:00"/>
    <x v="1"/>
    <s v="ΔΙΕΥΘΥΝΣΗ Π.Ε. Δ΄ ΑΘΗΝΑΣ"/>
    <x v="5"/>
  </r>
  <r>
    <x v="4974"/>
    <x v="1"/>
    <s v="ΠΕ08"/>
    <s v="ΚΑΛΛΙΤΕΧΝΙΚΩΝ"/>
    <m/>
    <m/>
    <s v="Γ΄"/>
    <n v="1"/>
    <n v="232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6-03T00:00:00"/>
    <x v="1"/>
    <s v="ΔΙΕΥΘΥΝΣΗ Π.Ε. Δ΄ ΑΘΗΝΑΣ"/>
    <x v="5"/>
  </r>
  <r>
    <x v="4975"/>
    <x v="1"/>
    <s v="ΠΕ11"/>
    <s v="ΦΥΣΙΚΗΣ ΑΓΩΓΗΣ"/>
    <m/>
    <m/>
    <s v="Β΄"/>
    <n v="4"/>
    <s v="5606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05-13T00:00:00"/>
    <x v="1"/>
    <s v="ΔΙΕΥΘΥΝΣΗ Π.Ε. ΑΝΑΤΟΛΙΚΗΣ ΑΤΤΙΚΗΣ"/>
    <x v="5"/>
  </r>
  <r>
    <x v="4976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04-25T00:00:00"/>
    <x v="1"/>
    <s v="ΔΙΕΥΘΥΝΣΗ Π.Ε. ΑΝΑΤΟΛΙΚΗΣ ΑΤΤΙΚΗΣ"/>
    <x v="5"/>
  </r>
  <r>
    <x v="4977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00"/>
    <s v="ΙΔΙΩΤΙΚΟ ΔΗΜΟΤΙΚΟ ΒΑΡΥΜΠΟΜΠΗ - ΜΟΝΤΕΣΣΟΡΙΑΝΑ ΣΧΟΛΕΙΑ"/>
    <s v="Β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76-04-07T00:00:00"/>
    <x v="1"/>
    <s v="ΔΙΕΥΘΥΝΣΗ Π.Ε. ΑΝΑΤΟΛΙΚΗΣ ΑΤΤΙΚΗΣ"/>
    <x v="5"/>
  </r>
  <r>
    <x v="4978"/>
    <x v="0"/>
    <s v="ΠΕ70"/>
    <s v="ΔΑΣΚΑΛΟΙ"/>
    <m/>
    <m/>
    <s v="Β΄"/>
    <n v="6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4-04T00:00:00"/>
    <x v="1"/>
    <s v="ΔΙΕΥΘΥΝΣΗ Π.Ε. Δ΄ ΑΘΗΝΑΣ"/>
    <x v="5"/>
  </r>
  <r>
    <x v="4979"/>
    <x v="1"/>
    <s v="ΠΕ06"/>
    <s v="ΑΓΓΛΙΚΗΣ ΦΙΛΟΛΟΓΙΑΣ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d v="1976-03-31T00:00:00"/>
    <x v="0"/>
    <s v="ΔΙΕΥΘΥΝΣΗ Δ.Ε. Β΄ ΑΘΗΝΑΣ"/>
    <x v="5"/>
  </r>
  <r>
    <x v="4980"/>
    <x v="1"/>
    <s v="ΠΕ06"/>
    <s v="ΑΓΓΛΙΚΗΣ ΦΙΛΟΛΟΓΙΑΣ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6-03-27T00:00:00"/>
    <x v="1"/>
    <s v="ΔΙΕΥΘΥΝΣΗ Π.Ε. Α΄ ΑΘΗΝΑΣ"/>
    <x v="5"/>
  </r>
  <r>
    <x v="4981"/>
    <x v="1"/>
    <s v="ΠΕ06"/>
    <s v="ΑΓΓΛΙΚΗΣ ΦΙΛΟΛΟΓΙΑΣ"/>
    <m/>
    <m/>
    <s v="Γ΄"/>
    <n v="1"/>
    <s v="Φ.60.2/25000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8-09-01T00:00:00"/>
    <s v="Ιδιωτικά Σχολεία"/>
    <x v="4"/>
    <s v="7521030"/>
    <s v="ΙΔΙΩΤΙΚΟ ΔΗΜΟΤΙΚΟ - ΕΚΠΑΙΔΕΥΤΗΡΙΑ ΣΤ. ΚΑΛΑΝΔΡΟΥ &amp; ΣΙΑ Ο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02-13T00:00:00"/>
    <x v="1"/>
    <s v="ΔΙΕΥΘΥΝΣΗ Π.Ε. ΑΝΑΤΟΛΙΚΗΣ ΑΤΤΙΚΗΣ"/>
    <x v="5"/>
  </r>
  <r>
    <x v="4982"/>
    <x v="0"/>
    <s v="ΠΕ11"/>
    <s v="ΦΥΣΙΚΗΣ ΑΓΩΓΗΣ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6-01-01T00:00:00"/>
    <x v="1"/>
    <s v="ΔΙΕΥΘΥΝΣΗ Π.Ε. ΑΝΑΤΟΛΙΚΗΣ ΑΤΤΙΚΗΣ"/>
    <x v="5"/>
  </r>
  <r>
    <x v="4983"/>
    <x v="1"/>
    <s v="ΠΕ05"/>
    <s v="ΓΑΛΛΙΚΗΣ ΦΙΛΟΛΟΓΙΑΣ"/>
    <m/>
    <m/>
    <s v="Γ΄"/>
    <n v="1"/>
    <n v="1302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1-01T00:00:00"/>
    <x v="1"/>
    <s v="ΔΙΕΥΘΥΝΣΗ Π.Ε. Δ΄ ΑΘΗΝΑΣ"/>
    <x v="5"/>
  </r>
  <r>
    <x v="4984"/>
    <x v="1"/>
    <s v="ΤΕ16"/>
    <s v="ΜΟΥΣΙΚΗΣ ΜΗ ΑΝΩΤΑΤΩΝ ΙΔΡΥΜΑΤΩΝ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6-01-01T00:00:00"/>
    <x v="1"/>
    <s v="ΔΙΕΥΘΥΝΣΗ Π.Ε. ΛΑΡΙΣΑΣ"/>
    <x v="5"/>
  </r>
  <r>
    <x v="4985"/>
    <x v="1"/>
    <s v="ΠΕ06"/>
    <s v="ΑΓΓΛΙΚΗΣ ΦΙΛΟΛΟΓΙΑΣ"/>
    <m/>
    <m/>
    <s v="Γ΄"/>
    <n v="1"/>
    <n v="13658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6-01-01T00:00:00"/>
    <x v="1"/>
    <s v="ΔΙΕΥΘΥΝΣΗ Π.Ε. ΛΑΡΙΣΑΣ"/>
    <x v="5"/>
  </r>
  <r>
    <x v="4986"/>
    <x v="1"/>
    <s v="ΠΕ06"/>
    <s v="ΑΓΓΛΙΚΗΣ ΦΙΛΟΛΟΓΙΑΣ"/>
    <m/>
    <m/>
    <s v="Γ΄"/>
    <n v="1"/>
    <d v="2016-11-14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6-01-01T00:00:00"/>
    <x v="1"/>
    <s v="ΔΙΕΥΘΥΝΣΗ Π.Ε. ΑΝΑΤ. ΘΕΣ/ΝΙΚΗΣ"/>
    <x v="5"/>
  </r>
  <r>
    <x v="4987"/>
    <x v="1"/>
    <s v="ΠΕ70"/>
    <s v="ΔΑΣΚΑΛΟΙ"/>
    <m/>
    <m/>
    <s v="Α΄"/>
    <n v="1"/>
    <s v="ΒΙ6Ζ9-2ΙΞ"/>
    <d v="2014-01-1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4"/>
    <d v="2014-01-13T00:00:00"/>
    <s v="Ιδιωτικά Σχολεία"/>
    <x v="4"/>
    <s v="7192000"/>
    <s v="ΙΔΙΩΤΙΚΟ ΔΗΜΟΤΙΚΟ &quot;I.M. ΔΕΛΑΣΑΛ&quot;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6-01-01T00:00:00"/>
    <x v="1"/>
    <s v="ΔΙΕΥΘΥΝΣΗ Π.Ε. ΔΥΤ. ΘΕΣ/ΝΙΚΗΣ"/>
    <x v="5"/>
  </r>
  <r>
    <x v="4988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11-30T00:00:00"/>
    <x v="1"/>
    <s v="ΔΙΕΥΘΥΝΣΗ Π.Ε. ΑΝΑΤΟΛΙΚΗΣ ΑΤΤΙΚΗΣ"/>
    <x v="5"/>
  </r>
  <r>
    <x v="4989"/>
    <x v="1"/>
    <s v="ΠΕ06"/>
    <s v="ΑΓΓΛΙΚΗΣ ΦΙΛΟΛΟΓΙΑΣ"/>
    <m/>
    <m/>
    <s v="Γ΄"/>
    <n v="3"/>
    <s v="Φ.17.2/256/6822"/>
    <d v="2018-10-15T00:00:00"/>
    <s v="Β΄ ΑΘΗΝΑΣ (Π.Ε.) 2018"/>
    <s v="ΔΙΕΥΘΥΝΣΗ Π.Ε. Β΄ ΑΘΗΝΑΣ"/>
    <s v="ΠΕΡΙΦΕΡΕΙΑΚΗ Δ/ΝΣΗ Α/ΘΜΙΑΣ ΚΑΙ Β/ΘΜΙΑΣ ΕΚΠ/ΣΗΣ ΑΤΤΙΚΗΣ"/>
    <n v="24"/>
    <d v="2018-10-15T00:00:00"/>
    <s v="Ιδιωτικά Σχολεία"/>
    <x v="4"/>
    <s v="7052006"/>
    <s v="ΙΔΙΩΤΙΚΟ ΔΗΜΟΤΙΚΟ ΠΑΛΑΙΟ ΨΥΧΙΚΟ - Γ ΑΡΣΑΚΕΙΟ ΔΗΜΟΤΙΚΟ ΣΧΟΛΕΙΟ ΨΥΧΙΚΟΥ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5-09-15T00:00:00"/>
    <x v="1"/>
    <s v="ΔΙΕΥΘΥΝΣΗ Π.Ε. Β΄ ΑΘΗΝΑΣ"/>
    <x v="5"/>
  </r>
  <r>
    <x v="4990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2"/>
    <s v="0560022"/>
    <s v="ΙΔΙΩΤΙΚΟ ΗΜΕΡΗΣΙΟ ΓΥΜΝΑΣΙΟ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8-27T00:00:00"/>
    <x v="0"/>
    <s v="ΔΙΕΥΘΥΝΣΗ Δ.Ε. Γ΄ ΑΘΗΝΑΣ"/>
    <x v="5"/>
  </r>
  <r>
    <x v="4991"/>
    <x v="0"/>
    <s v="ΠΕ06"/>
    <s v="ΑΓΓΛΙΚΗΣ ΦΙΛΟΛΟΓΙΑΣ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4"/>
    <m/>
    <s v="Ιδιωτικά Σχολεία"/>
    <x v="4"/>
    <s v="7361000"/>
    <s v="ΙΔΙΩΤΙΚΟ ΔΗΜΟΤΙΚ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75-08-22T00:00:00"/>
    <x v="1"/>
    <s v="ΔΙΕΥΘΥΝΣΗ Π.Ε. ΜΕΣΣΗΝΙΑΣ"/>
    <x v="5"/>
  </r>
  <r>
    <x v="4992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5-08-20T00:00:00"/>
    <x v="1"/>
    <s v="ΔΙΕΥΘΥΝΣΗ Π.Ε. ΑΝΑΤ. ΘΕΣ/ΝΙΚΗΣ"/>
    <x v="5"/>
  </r>
  <r>
    <x v="4993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5-08-13T00:00:00"/>
    <x v="0"/>
    <s v="ΔΙΕΥΘΥΝΣΗ Δ.Ε. Β΄ ΑΘΗΝΑΣ"/>
    <x v="5"/>
  </r>
  <r>
    <x v="4994"/>
    <x v="1"/>
    <s v="ΠΕ06"/>
    <s v="ΑΓΓΛΙΚΗΣ ΦΙΛΟΛΟΓΙΑΣ"/>
    <m/>
    <m/>
    <s v="Β΄"/>
    <n v="3"/>
    <s v="Φ.Ι.Α./2164/6-4-2011"/>
    <d v="2010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6-14T00:00:00"/>
    <x v="1"/>
    <s v="ΔΙΕΥΘΥΝΣΗ Π.Ε. ΑΝΑΤΟΛΙΚΗΣ ΑΤΤΙΚΗΣ"/>
    <x v="5"/>
  </r>
  <r>
    <x v="4995"/>
    <x v="1"/>
    <s v="ΠΕ60"/>
    <s v="ΝΗΠΙΑΓΩΓΟΙ"/>
    <m/>
    <m/>
    <s v="Γ΄"/>
    <n v="1"/>
    <s v="26094/17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03"/>
    <s v="ΙΔΙΩΤΙΚΟ ΝΗΠΙΑΓΩΓΕΙΟ ΑΣΒΕΣΤΟΧΩΡΙ ΘΕΣΣΑΛΟΝΙΚΗΣ - Μ.Μ. ΚΩΝΣΤΑΝΤΙΝΙΔΟΥ - Μ. ΠΕΤΡΙΔΗΣ Ο.Ε.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5-06-05T00:00:00"/>
    <x v="1"/>
    <s v="ΔΙΕΥΘΥΝΣΗ Π.Ε. ΑΝΑΤ. ΘΕΣ/ΝΙΚΗΣ"/>
    <x v="5"/>
  </r>
  <r>
    <x v="4996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5-04-14T00:00:00"/>
    <x v="1"/>
    <s v="ΔΙΕΥΘΥΝΣΗ Π.Ε. ΠΕΙΡΑΙΑ"/>
    <x v="5"/>
  </r>
  <r>
    <x v="4997"/>
    <x v="1"/>
    <s v="ΠΕ06"/>
    <s v="ΑΓΓΛΙΚΗΣ ΦΙΛΟΛΟΓΙΑΣ"/>
    <m/>
    <m/>
    <s v="Α΄"/>
    <n v="5"/>
    <s v="Φ.Ι.Α.1/23423/15-01-2013"/>
    <d v="2012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2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5-03-22T00:00:00"/>
    <x v="1"/>
    <s v="ΔΙΕΥΘΥΝΣΗ Π.Ε. ΑΝΑΤΟΛΙΚΗΣ ΑΤΤΙΚΗΣ"/>
    <x v="5"/>
  </r>
  <r>
    <x v="4998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1"/>
    <s v="7051025"/>
    <s v="ΙΔΙΩΤΙΚΟ ΝΗΠΙΑΓΩΓΕΙΟ ΜΑΥΡΟΜΜΑΤΗ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03-14T00:00:00"/>
    <x v="1"/>
    <s v="ΔΙΕΥΘΥΝΣΗ Π.Ε. Α΄ ΑΘΗΝΑΣ"/>
    <x v="5"/>
  </r>
  <r>
    <x v="4999"/>
    <x v="0"/>
    <s v="ΠΕ11"/>
    <s v="ΦΥΣΙΚΗΣ ΑΓΩΓΗΣ"/>
    <s v="ΠΕ01"/>
    <s v="ΘΕΟΛΟΓΟΙ"/>
    <s v="Α΄"/>
    <n v="4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4"/>
    <s v="ΙΔΙΩΤΙΚΟ ΔΗΜΟΤΙΚΟ ΣΧΟΛΕΙΟ - ΕΚΠΑΙΔΕΥΤΗΡΙΑ Ν. ΖΑΓΟΡΙΑΝΑΚ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2-17T00:00:00"/>
    <x v="1"/>
    <s v="ΔΙΕΥΘΥΝΣΗ Π.Ε. ΑΝΑΤΟΛΙΚΗΣ ΑΤΤΙΚΗΣ"/>
    <x v="5"/>
  </r>
  <r>
    <x v="5000"/>
    <x v="1"/>
    <s v="ΠΕ60"/>
    <s v="ΝΗΠΙΑΓΩΓΟΙ"/>
    <m/>
    <m/>
    <s v="Γ΄"/>
    <n v="1"/>
    <s v="3184/06-10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01"/>
    <s v="ΙΔΙΩΤΙΚΟ ΝΗΠΙΑΓΩΓΕΙΟ ΑΣΒΕΣΤΟΧΩΡΙ ΘΕΣΣΑΛΟΝΙΚΗΣ - Ο ΜΙΚΡΟΣ ΠΡΙΓΚΙΠΑΣ ΣΥΓΧΡΟΝΑ ΕΚΠΑΙΔΕΥΤΙΚΑ ΠΡΟΓΡΑΜΜΑΤΑ Α.Ε.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75-01-17T00:00:00"/>
    <x v="1"/>
    <s v="ΔΙΕΥΘΥΝΣΗ Π.Ε. ΑΝΑΤ. ΘΕΣ/ΝΙΚΗΣ"/>
    <x v="5"/>
  </r>
  <r>
    <x v="5001"/>
    <x v="1"/>
    <s v="ΠΕ70"/>
    <s v="ΔΑΣΚΑΛΟΙ"/>
    <m/>
    <m/>
    <s v="Β΄"/>
    <n v="3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5-01-09T00:00:00"/>
    <x v="1"/>
    <s v="ΔΙΕΥΘΥΝΣΗ Π.Ε. Δ΄ ΑΘΗΝΑΣ"/>
    <x v="5"/>
  </r>
  <r>
    <x v="5002"/>
    <x v="1"/>
    <s v="ΠΕ06"/>
    <s v="ΑΓΓΛΙΚΗΣ ΦΙΛΟΛΟΓΙΑΣ"/>
    <m/>
    <m/>
    <s v="Γ΄"/>
    <n v="1"/>
    <d v="2016-09-1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12-09T00:00:00"/>
    <x v="1"/>
    <s v="ΔΙΕΥΘΥΝΣΗ Π.Ε. ΑΝΑΤ. ΘΕΣ/ΝΙΚΗΣ"/>
    <x v="5"/>
  </r>
  <r>
    <x v="5003"/>
    <x v="1"/>
    <s v="ΠΕ70"/>
    <s v="ΔΑΣΚΑΛ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4"/>
    <m/>
    <s v="Ιδιωτικά Σχολεία"/>
    <x v="4"/>
    <s v="7121000"/>
    <s v="ΙΔΙΩΤΙΚΟ ΔΗΜΟΤΙΚ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74-11-24T00:00:00"/>
    <x v="1"/>
    <s v="ΔΙΕΥΘΥΝΣΗ Π.Ε. ΕΥΒΟΙΑΣ"/>
    <x v="5"/>
  </r>
  <r>
    <x v="5004"/>
    <x v="1"/>
    <s v="ΠΕ60"/>
    <s v="ΝΗΠΙΑΓΩ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4-11-14T00:00:00"/>
    <x v="1"/>
    <s v="ΔΙΕΥΘΥΝΣΗ Π.Ε. ΠΕΙΡΑΙΑ"/>
    <x v="5"/>
  </r>
  <r>
    <x v="5005"/>
    <x v="1"/>
    <s v="ΠΕ86"/>
    <s v="ΠΛΗΡΟΦΟΡΙΚΗΣ"/>
    <m/>
    <m/>
    <s v="Γ΄"/>
    <n v="1"/>
    <s v="Φ.Ι.Α.5/25574/27-12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6-09-01T00:00:00"/>
    <s v="Ιδιωτικά Σχολεία"/>
    <x v="4"/>
    <s v="7521022"/>
    <s v="ΙΔΙΩΤΙΚΟ ΔΗΜΟΤΙΚΟ - ΕΚΠΑΙΔΕΥΤΙΚΗ ΜΟΝΟΠΡΟΣΩΠΗ ΕΠΕ - ΝΕΑ ΓΕΝΙΑ ΖΗΡΙΔΗ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74-11-12T00:00:00"/>
    <x v="1"/>
    <s v="ΔΙΕΥΘΥΝΣΗ Π.Ε. ΑΝΑΤΟΛΙΚΗΣ ΑΤΤΙΚΗΣ"/>
    <x v="5"/>
  </r>
  <r>
    <x v="5006"/>
    <x v="1"/>
    <s v="ΠΕ60"/>
    <s v="ΝΗΠΙΑΓΩΓΟΙ"/>
    <m/>
    <m/>
    <s v="Γ΄"/>
    <n v="1"/>
    <n v="1459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4"/>
    <s v="ΙΔΙΩΤΙΚΟ ΔΗΜΟΤΙΚΟ - ΠΑΣΧΑΛΗΣ ΑΝΤΩΝΗΣ ΙΔΙΩΤΙΚΑ ΕΚΠΑΙΔΕΥΤΗΡΙΑ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10-10T00:00:00"/>
    <x v="1"/>
    <s v="ΔΙΕΥΘΥΝΣΗ Π.Ε. Δ΄ ΑΘΗΝΑΣ"/>
    <x v="5"/>
  </r>
  <r>
    <x v="5007"/>
    <x v="1"/>
    <s v="ΠΕ06"/>
    <s v="ΑΓΓΛΙΚΗΣ ΦΙΛΟΛΟΓΙΑΣ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4-09-18T00:00:00"/>
    <x v="1"/>
    <s v="ΔΙΕΥΘΥΝΣΗ Π.Ε. Γ΄ ΑΘΗΝΑΣ"/>
    <x v="5"/>
  </r>
  <r>
    <x v="5008"/>
    <x v="1"/>
    <s v="ΠΕ07"/>
    <s v="ΓΕΡΜΑΝΙΚΗΣ ΦΙΛΟΛΟΓΙΑΣ"/>
    <m/>
    <m/>
    <s v="Γ΄"/>
    <n v="1"/>
    <s v="Φ.17.2/7486"/>
    <d v="2018-09-19T00:00:00"/>
    <s v="ΧΑΝΙΩΝ (Π.Ε.) 2018"/>
    <s v="ΔΙΕΥΘΥΝΣΗ Π.Ε. ΧΑΝΙΩΝ"/>
    <s v="ΠΕΡΙΦΕΡΕΙΑΚΗ Δ/ΝΣΗ Α/ΘΜΙΑΣ ΚΑΙ Β/ΘΜΙΑΣ ΕΚΠ/ΣΗΣ ΚΡΗΤΗΣ"/>
    <n v="24"/>
    <d v="2018-09-19T00:00:00"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2"/>
    <s v="Τοποθέτηση σε Ιδιωτική Εκπαίδευση"/>
    <d v="1974-08-04T00:00:00"/>
    <x v="1"/>
    <s v="ΔΙΕΥΘΥΝΣΗ Π.Ε. ΧΑΝΙΩΝ"/>
    <x v="5"/>
  </r>
  <r>
    <x v="5009"/>
    <x v="1"/>
    <s v="ΠΕ70"/>
    <s v="ΔΑΣΚΑΛΟΙ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2"/>
    <s v="2ο ΙΔΙΩΤΙΚΟ ΔΗΜΟΤΙΚΟ ΘΕΣΣΑΛΟΝΙΚΗ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7-04T00:00:00"/>
    <x v="1"/>
    <s v="ΔΙΕΥΘΥΝΣΗ Π.Ε. ΑΝΑΤ. ΘΕΣ/ΝΙΚΗΣ"/>
    <x v="5"/>
  </r>
  <r>
    <x v="5010"/>
    <x v="1"/>
    <s v="ΠΕ60"/>
    <s v="ΝΗΠΙΑΓΩΓΟΙ"/>
    <m/>
    <m/>
    <s v="Γ΄"/>
    <n v="1"/>
    <d v="2016-11-1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03"/>
    <s v="ΙΔΙΩΤΙΚΟ ΝΗΠΙΑΓΩΓΕΙ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6-30T00:00:00"/>
    <x v="1"/>
    <s v="ΔΙΕΥΘΥΝΣΗ Π.Ε. ΑΝΑΤ. ΘΕΣ/ΝΙΚΗΣ"/>
    <x v="5"/>
  </r>
  <r>
    <x v="5011"/>
    <x v="0"/>
    <s v="ΠΕ91.01"/>
    <s v="ΘΕΑΤΡΙΚΩΝ ΣΠΟΥΔΩΝ"/>
    <m/>
    <m/>
    <s v="Α΄"/>
    <n v="7"/>
    <s v="5631/20-10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4-06-12T00:00:00"/>
    <x v="1"/>
    <s v="ΔΙΕΥΘΥΝΣΗ Π.Ε. ΑΝΑΤΟΛΙΚΗΣ ΑΤΤΙΚΗΣ"/>
    <x v="5"/>
  </r>
  <r>
    <x v="5012"/>
    <x v="1"/>
    <s v="ΠΕ70"/>
    <s v="ΔΑΣΚΑΛΟΙ"/>
    <m/>
    <m/>
    <s v="Γ΄"/>
    <n v="1"/>
    <d v="200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5-11T00:00:00"/>
    <x v="1"/>
    <s v="ΔΙΕΥΘΥΝΣΗ Π.Ε. ΑΝΑΤ. ΘΕΣ/ΝΙΚΗΣ"/>
    <x v="5"/>
  </r>
  <r>
    <x v="5013"/>
    <x v="0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4-04-01T00:00:00"/>
    <x v="1"/>
    <s v="ΔΙΕΥΘΥΝΣΗ Π.Ε. Α΄ ΑΘΗΝΑΣ"/>
    <x v="5"/>
  </r>
  <r>
    <x v="5014"/>
    <x v="1"/>
    <s v="ΠΕ04.02"/>
    <s v="ΧΗΜ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4-02-21T00:00:00"/>
    <x v="0"/>
    <s v="ΔΙΕΥΘΥΝΣΗ Δ.Ε. Γ΄ ΑΘΗΝΑΣ"/>
    <x v="5"/>
  </r>
  <r>
    <x v="5015"/>
    <x v="1"/>
    <s v="ΠΕ60"/>
    <s v="ΝΗΠΙΑΓΩΓΟΙ"/>
    <m/>
    <m/>
    <s v="Γ΄"/>
    <n v="1"/>
    <n v="2039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6"/>
    <s v="ΙΔΙΩΤΙΚΟ ΔΗΜΟΤΙΚΟ - ΙΟΡΔΑΝΑΚΕΙΟ ΣΥΓΧΡΟΝΑ ΕΚΠΑΙΔΕΥΤΗΡΙΑ Α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2-09T00:00:00"/>
    <x v="1"/>
    <s v="ΔΙΕΥΘΥΝΣΗ Π.Ε. Δ΄ ΑΘΗΝΑΣ"/>
    <x v="5"/>
  </r>
  <r>
    <x v="5016"/>
    <x v="1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3"/>
    <s v="0580345"/>
    <s v="ΙΔΙΩΤΙΚΟ ΓΕΝΙΚΟ ΛΥΚΕΙΟ ΕΚΠΑΙΔΕΥΤΗΡΙΑ ΚΑΝΤ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4-02-04T00:00:00"/>
    <x v="0"/>
    <s v="ΔΙΕΥΘΥΝΣΗ Δ.Ε. Β΄ ΑΘΗΝΑΣ"/>
    <x v="5"/>
  </r>
  <r>
    <x v="5017"/>
    <x v="0"/>
    <s v="ΠΕ11"/>
    <s v="ΦΥΣΙΚΗΣ ΑΓΩΓΗΣ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18"/>
    <s v="ΙΔΙΩΤΙΚΟ ΔΗΜΟΤΙΚΟ - ΕΛΛΗΝΟΓΕΡΜΑΝΙΚΟΣ ΕΚΠ/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1-15T00:00:00"/>
    <x v="1"/>
    <s v="ΔΙΕΥΘΥΝΣΗ Π.Ε. Β΄ ΑΘΗΝΑΣ"/>
    <x v="5"/>
  </r>
  <r>
    <x v="5018"/>
    <x v="1"/>
    <s v="ΠΕ11"/>
    <s v="ΦΥΣΙΚΗΣ ΑΓΩΓ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2"/>
    <s v="ΙΔΙΩΤΙΚΟ ΔΗΜΟΤΙΚΟ Ν.ΗΡΑΚΛΕΙΟ ΑΤΤΙΚΗΣ - ΣΥΓΧΡΟΝΑ ΕΚΠΑΙΔΕΥΤΗΡΙΑ ΜΑΝΕΣ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1-01T00:00:00"/>
    <x v="1"/>
    <s v="ΔΙΕΥΘΥΝΣΗ Π.Ε. Β΄ ΑΘΗΝΑΣ"/>
    <x v="5"/>
  </r>
  <r>
    <x v="5019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34"/>
    <s v="ΙΔΙΩΤΙΚΟ ΔΗΜΟΤΙΚΟ ΚΗΦΙΣΙΑ - ΣΧΟΛΗ Β. Μ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4-01-01T00:00:00"/>
    <x v="1"/>
    <s v="ΔΙΕΥΘΥΝΣΗ Π.Ε. Β΄ ΑΘΗΝΑΣ"/>
    <x v="5"/>
  </r>
  <r>
    <x v="5020"/>
    <x v="1"/>
    <s v="ΠΕ70"/>
    <s v="ΔΑΣΚΑΛΟΙ"/>
    <m/>
    <m/>
    <s v="Α΄"/>
    <n v="9"/>
    <n v="1936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12-13T00:00:00"/>
    <x v="1"/>
    <s v="ΔΙΕΥΘΥΝΣΗ Π.Ε. Δ΄ ΑΘΗΝΑΣ"/>
    <x v="5"/>
  </r>
  <r>
    <x v="5021"/>
    <x v="1"/>
    <s v="ΠΕ05"/>
    <s v="ΓΑΛΛΙΚΗΣ ΦΙΛΟΛΟΓΙΑΣ"/>
    <m/>
    <m/>
    <s v="Γ΄"/>
    <n v="6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12-03T00:00:00"/>
    <x v="1"/>
    <s v="ΔΙΕΥΘΥΝΣΗ Π.Ε. Β΄ ΑΘΗΝΑΣ"/>
    <x v="5"/>
  </r>
  <r>
    <x v="5022"/>
    <x v="0"/>
    <s v="ΠΕ11"/>
    <s v="ΦΥΣΙΚΗΣ ΑΓΩΓΗΣ"/>
    <m/>
    <m/>
    <s v="Γ΄"/>
    <n v="4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11-15T00:00:00"/>
    <x v="1"/>
    <s v="ΔΙΕΥΘΥΝΣΗ Π.Ε. Β΄ ΑΘΗΝΑΣ"/>
    <x v="5"/>
  </r>
  <r>
    <x v="5023"/>
    <x v="1"/>
    <s v="ΠΕ60"/>
    <s v="ΝΗΠΙΑΓΩΓΟΙ"/>
    <m/>
    <m/>
    <s v="Γ΄"/>
    <n v="1"/>
    <d v="2002-09-0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10-30T00:00:00"/>
    <x v="1"/>
    <s v="ΔΙΕΥΘΥΝΣΗ Π.Ε. ΑΝΑΤ. ΘΕΣ/ΝΙΚΗΣ"/>
    <x v="5"/>
  </r>
  <r>
    <x v="5024"/>
    <x v="1"/>
    <s v="ΠΕ11"/>
    <s v="ΦΥΣΙΚΗΣ ΑΓΩΓΗΣ"/>
    <m/>
    <m/>
    <s v="Γ΄"/>
    <n v="1"/>
    <n v="2433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42"/>
    <s v="ΙΔΙΩΤΙΚΟ ΔΗΜΟΤΙΚΟ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08-07T00:00:00"/>
    <x v="1"/>
    <s v="ΔΙΕΥΘΥΝΣΗ Π.Ε. Δ΄ ΑΘΗΝΑΣ"/>
    <x v="5"/>
  </r>
  <r>
    <x v="5025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7-21T00:00:00"/>
    <x v="1"/>
    <s v="ΔΙΕΥΘΥΝΣΗ Π.Ε. ΑΝΑΤΟΛΙΚΗΣ ΑΤΤΙΚΗΣ"/>
    <x v="5"/>
  </r>
  <r>
    <x v="5026"/>
    <x v="1"/>
    <s v="ΠΕ70"/>
    <s v="ΔΑΣΚΑΛ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0"/>
    <s v="ΙΔΙΩΤΙΚΟ ΔΗΜΟΤΙΚΟ ΣΧΟΛΕΙΟ &quot;ΠΑΝΑΓΙΑ ΠΡΟΥΣΙΩΤΙΣΣΑ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3-07-08T00:00:00"/>
    <x v="1"/>
    <s v="ΔΙΕΥΘΥΝΣΗ Π.Ε. ΑΙΤΩΛΟΑΚΑΡΝΑΝΙΑΣ"/>
    <x v="5"/>
  </r>
  <r>
    <x v="5027"/>
    <x v="0"/>
    <s v="ΠΕ11"/>
    <s v="ΦΥΣΙΚΗΣ ΑΓΩΓΗΣ"/>
    <m/>
    <m/>
    <s v="Α΄"/>
    <n v="8"/>
    <s v="8621/3-7-2014"/>
    <d v="2018-09-01T00:00:00"/>
    <s v="ΑΧΑΪΑΣ (Π.Ε.) 2018"/>
    <s v="ΔΙΕΥΘΥΝΣΗ Π.Ε. ΑΧΑΪΑΣ"/>
    <s v="ΠΕΡΙΦΕΡΕΙΑΚΗ Δ/ΝΣΗ Α/ΘΜΙΑΣ ΚΑΙ Β/ΘΜΙΑΣ ΕΚΠ/ΣΗΣ ΔΥΤΙΚΗΣ ΕΛΛΑΔΑΣ"/>
    <n v="24"/>
    <d v="2018-09-01T00:00:00"/>
    <s v="Ιδιωτικά Σχολεία"/>
    <x v="4"/>
    <s v="7061004"/>
    <s v="ΙΔΙΩΤΙΚΟ ΔΗΜΟΤΙΚΟ ΠΑΤΡΑΣ ΕΚΠΑΙΔΕΥΤΗΡΙΑ ΑΝΑΓΕΝΝΗΣΗ ΙΚΕ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73-06-21T00:00:00"/>
    <x v="1"/>
    <s v="ΔΙΕΥΘΥΝΣΗ Π.Ε. ΑΧΑΪΑΣ"/>
    <x v="5"/>
  </r>
  <r>
    <x v="5028"/>
    <x v="1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32"/>
    <s v="ΙΔΙΩΤΙΚΟ ΔΗΜΟΤΙΚΟ ΓΕΡΑΚΑΣ - ΕΚΠΑΙΔΕΥΤΗΡΙΑ ΑΡΓΥΡΗ-ΛΑΙΜΟΥ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6-02T00:00:00"/>
    <x v="1"/>
    <s v="ΔΙΕΥΘΥΝΣΗ Π.Ε. ΑΝΑΤΟΛΙΚΗΣ ΑΤΤΙΚΗΣ"/>
    <x v="5"/>
  </r>
  <r>
    <x v="5029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3-05-25T00:00:00"/>
    <x v="1"/>
    <s v="ΔΙΕΥΘΥΝΣΗ Π.Ε. Α΄ ΑΘΗΝΑΣ"/>
    <x v="5"/>
  </r>
  <r>
    <x v="5030"/>
    <x v="1"/>
    <s v="ΠΕ60"/>
    <s v="ΝΗΠΙΑΓΩΓΟΙ"/>
    <m/>
    <m/>
    <s v="Γ΄"/>
    <n v="1"/>
    <d v="2018-09-0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3-05-11T00:00:00"/>
    <x v="1"/>
    <s v="ΔΙΕΥΘΥΝΣΗ Π.Ε. ΑΝΑΤ. ΘΕΣ/ΝΙΚΗΣ"/>
    <x v="5"/>
  </r>
  <r>
    <x v="5031"/>
    <x v="1"/>
    <s v="ΠΕ11"/>
    <s v="ΦΥΣΙΚΗΣ ΑΓΩΓΗΣ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04-18T00:00:00"/>
    <x v="0"/>
    <s v="ΔΙΕΥΘΥΝΣΗ Δ.Ε. Γ΄ ΑΘΗΝΑΣ"/>
    <x v="5"/>
  </r>
  <r>
    <x v="5032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1"/>
    <s v="7051031"/>
    <s v="ΙΔΙΩΤΙΚΟ ΝΗΠΙΑΓΩΓΕΙΟ - ΕΛΛΗΝΙΚΑ ΕΚΠΑΙΔΕΥΤΗΡΙΑ &quot;ΣΥΓΧΡΟΝΗ ΠΑΙΔΕΙΑ&quot;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3-04-03T00:00:00"/>
    <x v="1"/>
    <s v="ΔΙΕΥΘΥΝΣΗ Π.Ε. Α΄ ΑΘΗΝΑΣ"/>
    <x v="5"/>
  </r>
  <r>
    <x v="5033"/>
    <x v="1"/>
    <s v="ΠΕ11"/>
    <s v="ΦΥΣΙΚΗΣ ΑΓΩΓΗΣ"/>
    <m/>
    <m/>
    <s v="Γ΄"/>
    <n v="1"/>
    <s v="Φ.Ι.Α.4/32311/14-12-2015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5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3-19T00:00:00"/>
    <x v="1"/>
    <s v="ΔΙΕΥΘΥΝΣΗ Π.Ε. ΑΝΑΤΟΛΙΚΗΣ ΑΤΤΙΚΗΣ"/>
    <x v="5"/>
  </r>
  <r>
    <x v="5034"/>
    <x v="1"/>
    <s v="ΠΕ70"/>
    <s v="ΔΑΣΚΑΛΟΙ"/>
    <m/>
    <m/>
    <s v="Β΄"/>
    <n v="4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0"/>
    <s v="ΛΕΟΝΤΕΙΟ ΛΥΚΕΙΟ ΝΕΑΣ ΣΜΥΡΝΗΣ - ΔΗΜΟΤΙΚΟ ΑΓ. ΔΙΟΝΥΣΙΟΣ ΑΡΕΟΠΑΓΙΤ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01-28T00:00:00"/>
    <x v="1"/>
    <s v="ΔΙΕΥΘΥΝΣΗ Π.Ε. Δ΄ ΑΘΗΝΑΣ"/>
    <x v="5"/>
  </r>
  <r>
    <x v="5035"/>
    <x v="0"/>
    <s v="ΠΕ11"/>
    <s v="ΦΥΣΙΚΗΣ ΑΓΩΓΗΣ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44"/>
    <s v="Β΄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3-01-01T00:00:00"/>
    <x v="1"/>
    <s v="ΔΙΕΥΘΥΝΣΗ Π.Ε. ΑΝΑΤΟΛΙΚΗΣ ΑΤΤΙΚΗΣ"/>
    <x v="5"/>
  </r>
  <r>
    <x v="5036"/>
    <x v="0"/>
    <s v="ΠΕ11"/>
    <s v="ΦΥΣΙΚΗΣ ΑΓΩΓΗΣ"/>
    <m/>
    <m/>
    <s v="Γ΄"/>
    <n v="1"/>
    <n v="16995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3-01-01T00:00:00"/>
    <x v="1"/>
    <s v="ΔΙΕΥΘΥΝΣΗ Π.Ε. Δ΄ ΑΘΗΝΑΣ"/>
    <x v="5"/>
  </r>
  <r>
    <x v="5037"/>
    <x v="1"/>
    <s v="ΠΕ06"/>
    <s v="ΑΓΓΛΙΚΗΣ ΦΙΛΟΛΟΓΙΑΣ"/>
    <m/>
    <m/>
    <s v="Α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m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3-01-01T00:00:00"/>
    <x v="1"/>
    <s v="ΔΙΕΥΘΥΝΣΗ Π.Ε. ΑΙΤΩΛΟΑΚΑΡΝΑΝΙΑΣ"/>
    <x v="5"/>
  </r>
  <r>
    <x v="5038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11-27T00:00:00"/>
    <x v="1"/>
    <s v="ΔΙΕΥΘΥΝΣΗ Π.Ε. ΑΝΑΤ. ΘΕΣ/ΝΙΚΗΣ"/>
    <x v="5"/>
  </r>
  <r>
    <x v="5039"/>
    <x v="1"/>
    <s v="ΠΕ70"/>
    <s v="ΔΑΣΚΑΛΟΙ"/>
    <m/>
    <m/>
    <s v="Α΄"/>
    <n v="1"/>
    <n v="218"/>
    <d v="2001-08-3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01-09-04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72-11-03T00:00:00"/>
    <x v="1"/>
    <s v="ΔΙΕΥΘΥΝΣΗ Π.Ε. ΑΝΑΤ. ΘΕΣ/ΝΙΚΗΣ"/>
    <x v="5"/>
  </r>
  <r>
    <x v="5040"/>
    <x v="0"/>
    <s v="ΠΕ04.01"/>
    <s v="ΦΥΣΙΚ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2-10-29T00:00:00"/>
    <x v="0"/>
    <s v="ΔΙΕΥΘΥΝΣΗ Δ.Ε. Γ΄ ΑΘΗΝΑΣ"/>
    <x v="5"/>
  </r>
  <r>
    <x v="5041"/>
    <x v="1"/>
    <s v="ΠΕ60"/>
    <s v="ΝΗΠΙΑΓΩΓΟΙ"/>
    <m/>
    <m/>
    <s v="Γ΄"/>
    <n v="1"/>
    <d v="2009-09-1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6-16T00:00:00"/>
    <x v="1"/>
    <s v="ΔΙΕΥΘΥΝΣΗ Π.Ε. ΑΝΑΤ. ΘΕΣ/ΝΙΚΗΣ"/>
    <x v="5"/>
  </r>
  <r>
    <x v="5042"/>
    <x v="1"/>
    <s v="ΠΕ70"/>
    <s v="ΔΑΣΚΑΛ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2-05-19T00:00:00"/>
    <x v="1"/>
    <s v="ΔΙΕΥΘΥΝΣΗ Π.Ε. Α΄ ΑΘΗΝΑΣ"/>
    <x v="5"/>
  </r>
  <r>
    <x v="5043"/>
    <x v="0"/>
    <s v="ΠΕ60"/>
    <s v="ΝΗΠΙΑΓΩ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2-04-28T00:00:00"/>
    <x v="1"/>
    <s v="ΔΙΕΥΘΥΝΣΗ Π.Ε. ΠΕΙΡΑΙΑ"/>
    <x v="5"/>
  </r>
  <r>
    <x v="5044"/>
    <x v="0"/>
    <s v="ΠΕ04.01"/>
    <s v="ΦΥΣ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2-04-01T00:00:00"/>
    <x v="0"/>
    <s v="ΔΙΕΥΘΥΝΣΗ Δ.Ε. Β΄ ΑΘΗΝΑΣ"/>
    <x v="5"/>
  </r>
  <r>
    <x v="5045"/>
    <x v="1"/>
    <s v="ΠΕ60"/>
    <s v="ΝΗΠΙΑΓΩΓΟΙ"/>
    <m/>
    <m/>
    <s v="Γ΄"/>
    <n v="1"/>
    <s v="995/28-03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45"/>
    <s v="ΙΔΙΩΤΙΚΟ ΝΗΠΙΑΓΩΓΕΙΟ ΠΑΝΟΡΑΜΑ - ΜΠΟΥΜΠΟΥΚΑΚΙΑ ΑΚΑΔΗΜ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4-01T00:00:00"/>
    <x v="1"/>
    <s v="ΔΙΕΥΘΥΝΣΗ Π.Ε. ΑΝΑΤ. ΘΕΣ/ΝΙΚΗΣ"/>
    <x v="5"/>
  </r>
  <r>
    <x v="5046"/>
    <x v="1"/>
    <s v="ΠΕ60"/>
    <s v="ΝΗΠΙΑΓΩΓΟΙ"/>
    <m/>
    <m/>
    <s v="Γ΄"/>
    <n v="1"/>
    <s v="28695/15-12-2015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93"/>
    <s v="ΙΔΙΩΤΙΚΟ ΝΗΠΙΑΓΩΓΕΙΟ - ΧΡΙΣΤΙΑΝΙΚΗ ΑΔΕΛΦΟΤΗΣ ΝΕΩΝ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72-03-31T00:00:00"/>
    <x v="1"/>
    <s v="ΔΙΕΥΘΥΝΣΗ Π.Ε. ΑΝΑΤ. ΘΕΣ/ΝΙΚΗΣ"/>
    <x v="5"/>
  </r>
  <r>
    <x v="5047"/>
    <x v="1"/>
    <s v="ΠΕ70"/>
    <s v="ΔΑΣΚΑΛΟΙ"/>
    <m/>
    <m/>
    <s v="Α΄"/>
    <n v="1"/>
    <m/>
    <m/>
    <s v="ΧΑΝΙΩΝ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2-01-01T00:00:00"/>
    <x v="1"/>
    <s v="ΔΙΕΥΘΥΝΣΗ Π.Ε. Β΄ ΑΘΗΝΑΣ"/>
    <x v="5"/>
  </r>
  <r>
    <x v="5048"/>
    <x v="1"/>
    <s v="ΠΕ07"/>
    <s v="ΓΕΡΜΑΝΙΚΗΣ ΦΙΛΟΛΟΓΙΑΣ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1-01T00:00:00"/>
    <x v="1"/>
    <s v="ΔΙΕΥΘΥΝΣΗ Π.Ε. ΑΝΑΤ. ΘΕΣ/ΝΙΚΗΣ"/>
    <x v="5"/>
  </r>
  <r>
    <x v="5049"/>
    <x v="0"/>
    <s v="ΠΕ70"/>
    <s v="ΔΑΣΚΑΛΟΙ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22"/>
    <s v="ΙΔΙΩΤΙΚΟ ΔΗΜΟΤΙΚΟ Ν. ΣΜΥΡΝΗ - ΛΕΟΝΤΕΙΟ ΛΥΚΕΙΟ Ν. ΣΜΥΡΝΗΣ - ΧΡΥΣΟΣΤΟΜΟΣ ΣΜΥΡΝΗ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12-21T00:00:00"/>
    <x v="1"/>
    <s v="ΔΙΕΥΘΥΝΣΗ Π.Ε. Δ΄ ΑΘΗΝΑΣ"/>
    <x v="5"/>
  </r>
  <r>
    <x v="5050"/>
    <x v="1"/>
    <s v="ΠΕ60"/>
    <s v="ΝΗΠΙΑΓΩΓΟΙ"/>
    <m/>
    <m/>
    <s v="Γ΄"/>
    <n v="1"/>
    <s v="24511/05-10-2017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97"/>
    <s v="1ο ΝΗΠΙΑΓΩΓΕΙΟ ΜΕΡΙΜΝΑ ΠΑΙΔΙΟΥ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1-11-09T00:00:00"/>
    <x v="1"/>
    <s v="ΔΙΕΥΘΥΝΣΗ Π.Ε. ΑΝΑΤ. ΘΕΣ/ΝΙΚΗΣ"/>
    <x v="5"/>
  </r>
  <r>
    <x v="5051"/>
    <x v="1"/>
    <s v="ΠΕ70"/>
    <s v="ΔΑΣΚΑΛΟΙ"/>
    <m/>
    <m/>
    <s v="Γ΄"/>
    <n v="1"/>
    <n v="1838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10-15T00:00:00"/>
    <x v="1"/>
    <s v="ΔΙΕΥΘΥΝΣΗ Π.Ε. Δ΄ ΑΘΗΝΑΣ"/>
    <x v="5"/>
  </r>
  <r>
    <x v="5052"/>
    <x v="0"/>
    <s v="ΠΕ70"/>
    <s v="ΔΑΣΚΑΛΟΙ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1-08-19T00:00:00"/>
    <x v="1"/>
    <s v="ΔΙΕΥΘΥΝΣΗ Π.Ε. ΑΝΑΤ. ΘΕΣ/ΝΙΚΗΣ"/>
    <x v="5"/>
  </r>
  <r>
    <x v="5053"/>
    <x v="1"/>
    <s v="ΠΕ70"/>
    <s v="ΔΑΣΚΑΛΟΙ"/>
    <m/>
    <m/>
    <s v="Γ΄"/>
    <n v="1"/>
    <s v="66Λ59-8ΩΒ"/>
    <d v="2014-11-24T00:00:00"/>
    <s v="Α΄ ΑΘΗΝΑΣ (Π.Ε.) 2018"/>
    <s v="ΔΙΕΥΘΥΝΣΗ Π.Ε. Α΄ ΑΘΗΝΑΣ"/>
    <s v="ΠΕΡΙΦΕΡΕΙΑΚΗ Δ/ΝΣΗ Α/ΘΜΙΑΣ ΚΑΙ Β/ΘΜΙΑΣ ΕΚΠ/ΣΗΣ ΑΤΤΙΚΗΣ"/>
    <n v="24"/>
    <d v="2014-11-24T00:00:00"/>
    <s v="Ιδιωτικά Σχολεία"/>
    <x v="4"/>
    <s v="7051032"/>
    <s v="ΙΔΙΩΤΙΚΟ ΔΗΜΟΤΙΚΟ - NEUE SCHULE A.E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1-07-17T00:00:00"/>
    <x v="1"/>
    <s v="ΔΙΕΥΘΥΝΣΗ Π.Ε. Α΄ ΑΘΗΝΑΣ"/>
    <x v="5"/>
  </r>
  <r>
    <x v="5054"/>
    <x v="1"/>
    <s v="ΠΕ06"/>
    <s v="ΑΓΓΛΙΚΗΣ ΦΙΛΟΛΟΓΙΑΣ"/>
    <m/>
    <m/>
    <s v="Γ΄"/>
    <n v="1"/>
    <d v="2017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71-05-30T00:00:00"/>
    <x v="1"/>
    <s v="ΔΙΕΥΘΥΝΣΗ Π.Ε. ΑΝΑΤ. ΘΕΣ/ΝΙΚΗΣ"/>
    <x v="5"/>
  </r>
  <r>
    <x v="5055"/>
    <x v="0"/>
    <s v="ΠΕ03"/>
    <s v="ΜΑΘΗΜΑΤΙΚ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2"/>
    <s v="0509999"/>
    <s v="ΙΔΙΩΤΙΚΟ ΓΥΜΝΑΣΙΟ ΗΡΑΚΛΕΙΟΥ - Η ΕΛΛΗΝΙΚΗ ΠΑΙΔΕΙ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4-06T00:00:00"/>
    <x v="0"/>
    <s v="ΔΙΕΥΘΥΝΣΗ Δ.Ε. Β΄ ΑΘΗΝΑΣ"/>
    <x v="5"/>
  </r>
  <r>
    <x v="5056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4"/>
    <m/>
    <s v="Ιδιωτικά Σχολεία"/>
    <x v="4"/>
    <s v="7053000"/>
    <s v="ΙΔΙΩΤΙΚΟ ΔΗΜΟΤΙΚΟ ΑΦΟΙ Ι.ΔΙΑΜΑΝΤΟΠΟΥΛΟΥ Ο.Ε.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1-03-28T00:00:00"/>
    <x v="1"/>
    <s v="ΔΙΕΥΘΥΝΣΗ Π.Ε. Γ΄ ΑΘΗΝΑΣ"/>
    <x v="5"/>
  </r>
  <r>
    <x v="5057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26"/>
    <s v="ΙΔΙΩΤΙΚΟ ΔΗΜΟΤΙΚΟ - ΕΛΛΗΝΙΚΑ ΕΚΠΑΙΔΕΥΤΗΡΙΑ &quot;ΣΥΓΧΡΟΝΗ ΠΑΙΔΕΙΑ&quot; ΑΦΟΙ ΒΑΘΕΙΑ - ΚΥΡΑΪΛΙΔΗΣ Χ.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1-02-02T00:00:00"/>
    <x v="1"/>
    <s v="ΔΙΕΥΘΥΝΣΗ Π.Ε. Α΄ ΑΘΗΝΑΣ"/>
    <x v="5"/>
  </r>
  <r>
    <x v="5058"/>
    <x v="1"/>
    <s v="ΠΕ70"/>
    <s v="ΔΑΣΚΑΛΟΙ"/>
    <m/>
    <m/>
    <s v="Γ΄"/>
    <n v="1"/>
    <n v="92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32"/>
    <s v="ΙΔΙΩΤΙΚΟ ΔΗΜΟΤΙΚΟ ΑΛΙΜΟΣ - ΝΕΑ ΕΚΠΑΙΔΕΥΤΗΡΙΑ Γ ΜΑΛΛΙΑΡΑ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71-01-30T00:00:00"/>
    <x v="1"/>
    <s v="ΔΙΕΥΘΥΝΣΗ Π.Ε. Δ΄ ΑΘΗΝΑΣ"/>
    <x v="5"/>
  </r>
  <r>
    <x v="5059"/>
    <x v="1"/>
    <s v="ΠΕ79.01"/>
    <s v="ΜΟΥΣΙΚΗΣ ΕΠΙΣΤΗΜΗΣ"/>
    <m/>
    <m/>
    <s v="Γ΄"/>
    <n v="1"/>
    <n v="360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8"/>
    <s v="ΙΔΙΩΤΙΚΟ ΔΗΜΟΤΙΚΟ - ΣΧΟΛΕΙΟ ΣΤΑΥΡΑΚΗ 2+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01-01T00:00:00"/>
    <x v="1"/>
    <s v="ΔΙΕΥΘΥΝΣΗ Π.Ε. Δ΄ ΑΘΗΝΑΣ"/>
    <x v="5"/>
  </r>
  <r>
    <x v="5060"/>
    <x v="1"/>
    <s v="ΠΕ11"/>
    <s v="ΦΥΣΙΚΗΣ ΑΓΩΓΗΣ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00"/>
    <s v="ΙΔΙΩΤΙΚΟ ΔΗΜΟΤΙΚΟ ΒΑΡΥΜΠΟΜΠΗ - ΜΟΝΤΕΣΣΟΡΙΑΝΑ ΣΧΟΛΕΙΑ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0-12-30T00:00:00"/>
    <x v="1"/>
    <s v="ΔΙΕΥΘΥΝΣΗ Π.Ε. ΑΝΑΤΟΛΙΚΗΣ ΑΤΤΙΚΗΣ"/>
    <x v="5"/>
  </r>
  <r>
    <x v="5061"/>
    <x v="1"/>
    <s v="ΠΕ11"/>
    <s v="ΦΥΣΙΚΗΣ ΑΓΩΓΗΣ"/>
    <m/>
    <m/>
    <s v="Γ΄"/>
    <n v="1"/>
    <d v="2004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11-02T00:00:00"/>
    <x v="1"/>
    <s v="ΔΙΕΥΘΥΝΣΗ Π.Ε. ΑΝΑΤ. ΘΕΣ/ΝΙΚΗΣ"/>
    <x v="5"/>
  </r>
  <r>
    <x v="5062"/>
    <x v="0"/>
    <s v="ΠΕ86"/>
    <s v="ΠΛΗΡΟΦΟΡΙΚΗΣ"/>
    <m/>
    <m/>
    <s v="Α΄"/>
    <n v="3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4"/>
    <s v="ΠΑΙΔΑΓΩΓΙΚΗ Ιδιωτικό Δημοτικό Σχολείο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0-10-03T00:00:00"/>
    <x v="1"/>
    <s v="ΔΙΕΥΘΥΝΣΗ Π.Ε. ΠΕΙΡΑΙΑ"/>
    <x v="5"/>
  </r>
  <r>
    <x v="5063"/>
    <x v="0"/>
    <s v="ΠΕ70"/>
    <s v="ΔΑΣΚΑΛ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0-09-27T00:00:00"/>
    <x v="1"/>
    <s v="ΔΙΕΥΘΥΝΣΗ Π.Ε. ΛΑΡΙΣΑΣ"/>
    <x v="5"/>
  </r>
  <r>
    <x v="5064"/>
    <x v="1"/>
    <s v="ΠΕ05"/>
    <s v="ΓΑΛ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3-03T00:00:00"/>
    <x v="1"/>
    <s v="ΔΙΕΥΘΥΝΣΗ Π.Ε. ΑΝΑΤ. ΘΕΣ/ΝΙΚΗΣ"/>
    <x v="5"/>
  </r>
  <r>
    <x v="5065"/>
    <x v="1"/>
    <s v="ΠΕ11"/>
    <s v="ΦΥΣΙΚΗΣ ΑΓΩΓΗΣ"/>
    <m/>
    <m/>
    <s v="Α΄"/>
    <n v="5"/>
    <s v="7036/20-12-2010"/>
    <d v="2010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0-09-01T00:00:00"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0-01-16T00:00:00"/>
    <x v="1"/>
    <s v="ΔΙΕΥΘΥΝΣΗ Π.Ε. ΑΝΑΤΟΛΙΚΗΣ ΑΤΤΙΚΗΣ"/>
    <x v="5"/>
  </r>
  <r>
    <x v="5066"/>
    <x v="1"/>
    <s v="ΠΕ06"/>
    <s v="ΑΓΓΛΙΚΗΣ ΦΙΛΟΛΟΓΙΑΣ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9-10-25T00:00:00"/>
    <x v="1"/>
    <s v="ΔΙΕΥΘΥΝΣΗ Π.Ε. ΙΩΑΝΝΙΝΩΝ"/>
    <x v="5"/>
  </r>
  <r>
    <x v="5067"/>
    <x v="0"/>
    <s v="ΠΕ02"/>
    <s v="ΦΙΛ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4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9-09-03T00:00:00"/>
    <x v="0"/>
    <s v="ΔΙΕΥΘΥΝΣΗ Δ.Ε. ΙΩΑΝΝΙΝΩΝ"/>
    <x v="5"/>
  </r>
  <r>
    <x v="5068"/>
    <x v="1"/>
    <s v="ΠΕ06"/>
    <s v="ΑΓΓΛΙΚΗΣ ΦΙΛΟΛΟΓΙΑΣ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8-25T00:00:00"/>
    <x v="1"/>
    <s v="ΔΙΕΥΘΥΝΣΗ Π.Ε. ΑΝΑΤ. ΘΕΣ/ΝΙΚΗΣ"/>
    <x v="5"/>
  </r>
  <r>
    <x v="5069"/>
    <x v="1"/>
    <s v="ΠΕ70"/>
    <s v="ΔΑΣΚΑΛ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2"/>
    <s v="ΜΟΝΤΕΣΣΟΡΙΑΝΗ ΣΧΟΛΗ ΑΘΗΝΩΝ ΜΑΡΙΑ ΓΟΥΔΕΛΗ ΑΕΕ - ΔΗΜΟΤΙΚΟ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69-05-08T00:00:00"/>
    <x v="1"/>
    <s v="ΔΙΕΥΘΥΝΣΗ Π.Ε. Α΄ ΑΘΗΝΑΣ"/>
    <x v="5"/>
  </r>
  <r>
    <x v="5070"/>
    <x v="1"/>
    <s v="ΠΕ06"/>
    <s v="ΑΓΓΛΙΚΗΣ ΦΙΛΟΛΟΓΙΑΣ"/>
    <m/>
    <m/>
    <s v="Β΄"/>
    <n v="4"/>
    <s v="Φ.Ι.Α.3/34045/21-1-2015"/>
    <d v="2014-09-01T00:00:00"/>
    <s v="Β΄ ΑΝΑΤ. ΑΤΤΙΚΗΣ (Π.Ε.) 2018"/>
    <s v="ΔΙΕΥΘΥΝΣΗ Π.Ε. ΑΝΑΤΟΛΙΚΗΣ ΑΤΤΙΚΗΣ"/>
    <s v="ΠΕΡΙΦΕΡΕΙΑΚΗ Δ/ΝΣΗ Α/ΘΜΙΑΣ ΚΑΙ Β/ΘΜΙΑΣ ΕΚΠ/ΣΗΣ ΑΤΤΙΚΗΣ"/>
    <n v="24"/>
    <d v="2014-09-01T00:00:00"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9-05-06T00:00:00"/>
    <x v="1"/>
    <s v="ΔΙΕΥΘΥΝΣΗ Π.Ε. ΑΝΑΤΟΛΙΚΗΣ ΑΤΤΙΚΗΣ"/>
    <x v="5"/>
  </r>
  <r>
    <x v="5071"/>
    <x v="0"/>
    <s v="ΠΕ04.02"/>
    <s v="ΧΗΜ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4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9-03-24T00:00:00"/>
    <x v="0"/>
    <s v="ΔΙΕΥΘΥΝΣΗ Δ.Ε. Γ΄ ΑΘΗΝΑΣ"/>
    <x v="5"/>
  </r>
  <r>
    <x v="5072"/>
    <x v="1"/>
    <s v="ΠΕ60"/>
    <s v="ΝΗΠΙΑΓΩΓΟΙ"/>
    <m/>
    <m/>
    <s v="Γ΄"/>
    <n v="1"/>
    <s v="4300/02-12-201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37"/>
    <s v="ΙΔΙΩΤΙΚΟ ΝΗΠΙΑΓΩΓΕΙΟ ΘΕΣΣΑΛΟΝΙΚΗΣ - ΑΡΓΩ - ΜΕΡΙΜΝΑ ΠΟΝΤΙΩΝ ΚΥΡΙΩΝ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3-17T00:00:00"/>
    <x v="1"/>
    <s v="ΔΙΕΥΘΥΝΣΗ Π.Ε. ΑΝΑΤ. ΘΕΣ/ΝΙΚΗΣ"/>
    <x v="5"/>
  </r>
  <r>
    <x v="5073"/>
    <x v="1"/>
    <s v="ΠΕ06"/>
    <s v="ΑΓΓΛΙΚΗΣ ΦΙΛΟΛΟΓΙΑΣ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4"/>
    <m/>
    <s v="Ιδιωτικά Σχολεία"/>
    <x v="4"/>
    <s v="7311010"/>
    <s v="ΔΕΥΤΕΡΟ ΙΔΙΩΤΙΚΟ ΔΗΜΟΤΙΚΟ ΣΧΟΛΕΙΟ Ν.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9-01-26T00:00:00"/>
    <x v="1"/>
    <s v="ΔΙΕΥΘΥΝΣΗ Π.Ε. ΛΑΡΙΣΑΣ"/>
    <x v="5"/>
  </r>
  <r>
    <x v="5074"/>
    <x v="1"/>
    <s v="ΠΕ60"/>
    <s v="ΝΗΠΙΑΓΩΓΟΙ"/>
    <m/>
    <m/>
    <s v="Γ΄"/>
    <n v="1"/>
    <d v="1992-09-2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03"/>
    <s v="ΙΔΙΩΤΙΚΟ ΝΗΠΙΑΓΩΓΕΙ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12-27T00:00:00"/>
    <x v="1"/>
    <s v="ΔΙΕΥΘΥΝΣΗ Π.Ε. ΑΝΑΤ. ΘΕΣ/ΝΙΚΗΣ"/>
    <x v="5"/>
  </r>
  <r>
    <x v="5075"/>
    <x v="1"/>
    <s v="ΠΕ60"/>
    <s v="ΝΗΠΙΑΓΩΓΟΙ"/>
    <m/>
    <m/>
    <s v="Γ΄"/>
    <n v="1"/>
    <s v="3348/04-11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67"/>
    <s v="ΙΔΙΩΤΙΚΟ ΝΗΠΙΑΓΩΓΕΙΟ ΘΕΣΣΑΛΟΝΙΚΗ - ΠΟΛΥΧΡΩΜΟ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12-08T00:00:00"/>
    <x v="1"/>
    <s v="ΔΙΕΥΘΥΝΣΗ Π.Ε. ΑΝΑΤ. ΘΕΣ/ΝΙΚΗΣ"/>
    <x v="5"/>
  </r>
  <r>
    <x v="5076"/>
    <x v="1"/>
    <s v="ΠΕ11"/>
    <s v="ΦΥΣΙΚΗΣ ΑΓΩΓΗΣ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4"/>
    <d v="2018-09-01T00:00:00"/>
    <s v="Ιδιωτικά Σχολεία"/>
    <x v="4"/>
    <s v="7011004"/>
    <s v="ΙΔΙΩΤΙΚΟ ΔΗΜΟΤΙΚΟ ΠΑΛΑΙΟΠΑΝΑΓΙΑ ΝΑΥΠΑΚΤΟΥ - ΙΔΙΩΤΙΚΟ ΔΗΜΟΤΙΚΟ ΣΧΟΛ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68-11-11T00:00:00"/>
    <x v="1"/>
    <s v="ΔΙΕΥΘΥΝΣΗ Π.Ε. ΑΙΤΩΛΟΑΚΑΡΝΑΝΙΑΣ"/>
    <x v="5"/>
  </r>
  <r>
    <x v="5077"/>
    <x v="1"/>
    <s v="ΠΕ01"/>
    <s v="ΘΕ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8-07-09T00:00:00"/>
    <x v="0"/>
    <s v="ΔΙΕΥΘΥΝΣΗ Δ.Ε. Β΄ ΑΘΗΝΑΣ"/>
    <x v="5"/>
  </r>
  <r>
    <x v="5078"/>
    <x v="1"/>
    <s v="ΠΕ60"/>
    <s v="ΝΗΠΙΑΓΩΓΟΙ"/>
    <m/>
    <m/>
    <s v="Γ΄"/>
    <n v="1"/>
    <s v="3527/04-11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95"/>
    <s v="ΙΔΙΩΤΙΚΟ ΝΗΠΙΑΓΩΓΕΙΟ ΦΟΥΝΤΑΣ ΣΠΥΡΙΔΩΝ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6-27T00:00:00"/>
    <x v="1"/>
    <s v="ΔΙΕΥΘΥΝΣΗ Π.Ε. ΑΝΑΤ. ΘΕΣ/ΝΙΚΗΣ"/>
    <x v="5"/>
  </r>
  <r>
    <x v="5079"/>
    <x v="1"/>
    <s v="ΠΕ70"/>
    <s v="ΔΑΣΚΑΛΟΙ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2"/>
    <s v="2ο ΙΔΙΩΤΙΚΟ ΔΗΜΟΤΙΚΟ ΘΕΣΣΑΛΟΝΙΚΗ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3-16T00:00:00"/>
    <x v="1"/>
    <s v="ΔΙΕΥΘΥΝΣΗ Π.Ε. ΑΝΑΤ. ΘΕΣ/ΝΙΚΗΣ"/>
    <x v="5"/>
  </r>
  <r>
    <x v="5080"/>
    <x v="0"/>
    <s v="ΠΕ11"/>
    <s v="ΦΥΣΙΚΗΣ ΑΓΩΓΗΣ"/>
    <m/>
    <m/>
    <s v="Γ΄"/>
    <n v="1"/>
    <d v="1994-09-06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1-02T00:00:00"/>
    <x v="1"/>
    <s v="ΔΙΕΥΘΥΝΣΗ Π.Ε. ΑΝΑΤ. ΘΕΣ/ΝΙΚΗΣ"/>
    <x v="5"/>
  </r>
  <r>
    <x v="5081"/>
    <x v="0"/>
    <s v="ΠΕ08"/>
    <s v="ΚΑΛΛΙΤΕΧΝΙΚΩΝ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8-01-01T00:00:00"/>
    <x v="1"/>
    <s v="ΔΙΕΥΘΥΝΣΗ Π.Ε. ΑΝΑΤΟΛΙΚΗΣ ΑΤΤΙΚΗΣ"/>
    <x v="5"/>
  </r>
  <r>
    <x v="5082"/>
    <x v="1"/>
    <s v="ΠΕ70"/>
    <s v="ΔΑΣΚΑΛΟΙ"/>
    <m/>
    <m/>
    <s v="Γ΄"/>
    <n v="1"/>
    <n v="14590"/>
    <d v="2018-09-01T00:00:00"/>
    <s v="Δ΄ ΑΘΗΝΑΣ (Π.Ε.) 2018"/>
    <s v="ΔΙΕΥΘΥΝΣΗ Π.Ε. Δ΄ ΑΘΗΝΑΣ"/>
    <s v="ΠΕΡΙΦΕΡΕΙΑΚΗ Δ/ΝΣΗ Α/ΘΜΙΑΣ ΚΑΙ Β/ΘΜΙΑΣ ΕΚΠ/ΣΗΣ ΑΤΤΙΚΗΣ"/>
    <n v="24"/>
    <d v="2018-09-01T00:00:00"/>
    <s v="Ιδιωτικά Σχολεία"/>
    <x v="4"/>
    <s v="7054006"/>
    <s v="Β ΔΗΜΟΤΙΚΟ ΠΑΣΧΑΛΗΣ ΑΝΤΩΝΗΣ &amp; ΣΙΑ Ε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01-01T00:00:00"/>
    <x v="1"/>
    <s v="ΔΙΕΥΘΥΝΣΗ Π.Ε. Δ΄ ΑΘΗΝΑΣ"/>
    <x v="5"/>
  </r>
  <r>
    <x v="5083"/>
    <x v="1"/>
    <s v="ΠΕ11"/>
    <s v="ΦΥΣΙΚΗΣ ΑΓΩΓΗΣ"/>
    <m/>
    <m/>
    <s v="Γ΄"/>
    <n v="1"/>
    <d v="2007-11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8-01-01T00:00:00"/>
    <x v="1"/>
    <s v="ΔΙΕΥΘΥΝΣΗ Π.Ε. ΑΝΑΤ. ΘΕΣ/ΝΙΚΗΣ"/>
    <x v="5"/>
  </r>
  <r>
    <x v="5084"/>
    <x v="0"/>
    <s v="ΠΕ70"/>
    <s v="ΔΑΣΚΑΛΟΙ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10-17T00:00:00"/>
    <x v="1"/>
    <s v="ΔΙΕΥΘΥΝΣΗ Π.Ε. ΑΝΑΤ. ΘΕΣ/ΝΙΚΗΣ"/>
    <x v="5"/>
  </r>
  <r>
    <x v="5085"/>
    <x v="1"/>
    <s v="ΠΕ60"/>
    <s v="ΝΗΠΙΑΓΩΓΟΙ"/>
    <m/>
    <m/>
    <s v="Γ΄"/>
    <n v="1"/>
    <s v="4440/27-10-200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59"/>
    <s v="ΙΔΙΩΤΙΚΟ ΝΗΠΙΑΓΩΓΕΙΟ ΚΑΡΔΙΑ - ΣΥΝΝΕΦΟΥΛ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9-21T00:00:00"/>
    <x v="1"/>
    <s v="ΔΙΕΥΘΥΝΣΗ Π.Ε. ΑΝΑΤ. ΘΕΣ/ΝΙΚΗΣ"/>
    <x v="5"/>
  </r>
  <r>
    <x v="5086"/>
    <x v="1"/>
    <s v="ΠΕ60"/>
    <s v="ΝΗΠΙΑΓΩΓΟΙ"/>
    <m/>
    <m/>
    <s v="Γ΄"/>
    <n v="1"/>
    <d v="2000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6"/>
    <s v="1ο ΙΔΙΩΤΙΚΟ ΔΗΜΟΤΙΚΟ ΠΥΛΑΙΑ ΘΕΣΣΑΛΟΝΙΚΗΣ - ΕΚΠΑΙΔΕΥΤΗΡΙΑ Ο ΑΠΟΣΤΟΛΟΣ ΠΑΥΛ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7-14T00:00:00"/>
    <x v="1"/>
    <s v="ΔΙΕΥΘΥΝΣΗ Π.Ε. ΑΝΑΤ. ΘΕΣ/ΝΙΚΗΣ"/>
    <x v="5"/>
  </r>
  <r>
    <x v="5087"/>
    <x v="1"/>
    <s v="ΠΕ70"/>
    <s v="ΔΑΣΚΑΛΟΙ"/>
    <m/>
    <m/>
    <s v="Γ΄"/>
    <n v="1"/>
    <n v="359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67-06-12T00:00:00"/>
    <x v="1"/>
    <s v="ΔΙΕΥΘΥΝΣΗ Π.Ε. ΑΝΑΤ. ΘΕΣ/ΝΙΚΗΣ"/>
    <x v="5"/>
  </r>
  <r>
    <x v="5088"/>
    <x v="1"/>
    <s v="ΠΕ05"/>
    <s v="ΓΑΛΛΙΚΗΣ ΦΙΛΟΛΟΓΙΑΣ"/>
    <m/>
    <m/>
    <s v="Α΄"/>
    <n v="3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6-10T00:00:00"/>
    <x v="1"/>
    <s v="ΔΙΕΥΘΥΝΣΗ Π.Ε. Β΄ ΑΘΗΝΑΣ"/>
    <x v="5"/>
  </r>
  <r>
    <x v="5089"/>
    <x v="1"/>
    <s v="ΠΕ05"/>
    <s v="ΓΑΛΛΙΚΗΣ ΦΙΛΟΛΟΓΙΑ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60010"/>
    <s v="ΙΔΙΩΤΙΚΟ ΓΥΜΝΑΣΙΟ ΕΚΠΑΙΔΕΥΤΗΡΙΑ ΚΩΣΤΕΑ - ΓΕΙΤΟΝΑ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7-03-24T00:00:00"/>
    <x v="0"/>
    <s v="ΔΙΕΥΘΥΝΣΗ Δ.Ε. ΑΝΑΤΟΛΙΚΗΣ ΑΤΤΙΚΗΣ"/>
    <x v="5"/>
  </r>
  <r>
    <x v="5090"/>
    <x v="1"/>
    <s v="ΠΕ06"/>
    <s v="ΑΓΓΛΙΚΗΣ ΦΙΛΟΛΟΓΙΑΣ"/>
    <m/>
    <m/>
    <s v="Γ΄"/>
    <n v="1"/>
    <d v="1993-11-20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2-07T00:00:00"/>
    <x v="1"/>
    <s v="ΔΙΕΥΘΥΝΣΗ Π.Ε. ΑΝΑΤ. ΘΕΣ/ΝΙΚΗΣ"/>
    <x v="5"/>
  </r>
  <r>
    <x v="5091"/>
    <x v="1"/>
    <s v="ΤΕ16"/>
    <s v="ΜΟΥΣΙΚΗΣ ΜΗ ΑΝΩΤΑΤΩΝ ΙΔΡΥΜΑΤΩΝ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1-01T00:00:00"/>
    <x v="1"/>
    <s v="ΔΙΕΥΘΥΝΣΗ Π.Ε. ΑΝΑΤ. ΘΕΣ/ΝΙΚΗΣ"/>
    <x v="5"/>
  </r>
  <r>
    <x v="5092"/>
    <x v="0"/>
    <s v="ΠΕ03"/>
    <s v="ΜΑΘΗΜΑΤΙΚΟΙ"/>
    <m/>
    <m/>
    <s v="Γ΄"/>
    <n v="1"/>
    <s v="16635/22"/>
    <d v="2018-09-01T00:00:00"/>
    <s v="Γ΄ ΑΘΗΝΑΣ (Δ.Ε.) 2018"/>
    <s v="ΔΙΕΥΘΥΝΣΗ Δ.Ε. Γ΄ ΑΘΗΝΑΣ"/>
    <s v="ΠΕΡΙΦΕΡΕΙΑΚΗ Δ/ΝΣΗ Α/ΘΜΙΑΣ ΚΑΙ Β/ΘΜΙΑΣ ΕΚΠ/ΣΗΣ ΑΤΤΙΚΗΣ"/>
    <n v="24"/>
    <d v="2018-09-01T00:00:00"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6-11-18T00:00:00"/>
    <x v="0"/>
    <s v="ΔΙΕΥΘΥΝΣΗ Δ.Ε. Γ΄ ΑΘΗΝΑΣ"/>
    <x v="5"/>
  </r>
  <r>
    <x v="5093"/>
    <x v="1"/>
    <s v="ΠΕ70"/>
    <s v="ΔΑΣΚΑΛ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m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66-10-30T00:00:00"/>
    <x v="1"/>
    <s v="ΔΙΕΥΘΥΝΣΗ Π.Ε. ΑΝΑΤ. ΘΕΣ/ΝΙΚΗΣ"/>
    <x v="5"/>
  </r>
  <r>
    <x v="5094"/>
    <x v="1"/>
    <s v="ΠΕ70"/>
    <s v="ΔΑΣΚΑΛΟΙ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11-02T00:00:00"/>
    <s v="Ιδιωτικά Σχολεία"/>
    <x v="4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5-11T00:00:00"/>
    <x v="1"/>
    <s v="ΔΙΕΥΘΥΝΣΗ Π.Ε. ΑΝΑΤ. ΘΕΣ/ΝΙΚΗΣ"/>
    <x v="5"/>
  </r>
  <r>
    <x v="5095"/>
    <x v="0"/>
    <s v="ΠΕ70"/>
    <s v="ΔΑΣΚΑΛΟΙ"/>
    <m/>
    <m/>
    <s v="Γ΄"/>
    <n v="1"/>
    <n v="7768"/>
    <d v="2018-10-10T00:00:00"/>
    <s v="ΛΑΡΙΣΑΣ (Π.Ε.) 2018"/>
    <s v="ΔΙΕΥΘΥΝΣΗ Π.Ε. ΛΑΡΙΣΑΣ"/>
    <s v="ΠΕΡΙΦΕΡΕΙΑΚΗ Δ/ΝΣΗ Α/ΘΜΙΑΣ ΚΑΙ Β/ΘΜΙΑΣ ΕΚΠ/ΣΗΣ ΘΕΣΣΑΛΙΑΣ"/>
    <n v="24"/>
    <d v="2018-10-10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2"/>
    <s v="Τοποθέτηση σε Ιδιωτική Εκπαίδευση"/>
    <d v="1966-05-02T00:00:00"/>
    <x v="1"/>
    <s v="ΔΙΕΥΘΥΝΣΗ Π.Ε. ΛΑΡΙΣΑΣ"/>
    <x v="5"/>
  </r>
  <r>
    <x v="5096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00"/>
    <s v="ΙΔΙΩΤΙΚΟ ΔΗΜΟΤΙΚΟ ΒΑΡΥΜΠΟΜΠΗ - ΜΟΝΤΕΣΣΟΡΙΑΝΑ ΣΧΟΛΕΙΑ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6-04-16T00:00:00"/>
    <x v="1"/>
    <s v="ΔΙΕΥΘΥΝΣΗ Π.Ε. ΑΝΑΤΟΛΙΚΗΣ ΑΤΤΙΚΗΣ"/>
    <x v="5"/>
  </r>
  <r>
    <x v="5097"/>
    <x v="1"/>
    <s v="ΠΕ60"/>
    <s v="ΝΗΠΙΑΓΩΓΟΙ"/>
    <s v="ΠΕ01"/>
    <s v="ΘΕΟΛΟΓΟΙ"/>
    <s v="Γ΄"/>
    <n v="1"/>
    <n v="16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1-27T00:00:00"/>
    <x v="1"/>
    <s v="ΔΙΕΥΘΥΝΣΗ Π.Ε. ΑΝΑΤ. ΘΕΣ/ΝΙΚΗΣ"/>
    <x v="5"/>
  </r>
  <r>
    <x v="5098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1"/>
    <s v="7052071"/>
    <s v="ΙΔΙΩΤΙΚΟ ΝΗΠΙΑΓΩΓΕΙΟ ΗΡΑΚΛΕΙΟ - Η ΕΛΛΗΝΙΚΗ ΠΑΙΔΕ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6-01-01T00:00:00"/>
    <x v="1"/>
    <s v="ΔΙΕΥΘΥΝΣΗ Π.Ε. Β΄ ΑΘΗΝΑΣ"/>
    <x v="5"/>
  </r>
  <r>
    <x v="5099"/>
    <x v="1"/>
    <s v="ΠΕ70"/>
    <s v="ΔΑΣΚΑΛΟΙ"/>
    <m/>
    <m/>
    <s v="Γ΄"/>
    <n v="1"/>
    <d v="1985-09-17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5-26T00:00:00"/>
    <x v="1"/>
    <s v="ΔΙΕΥΘΥΝΣΗ Π.Ε. ΑΝΑΤ. ΘΕΣ/ΝΙΚΗΣ"/>
    <x v="5"/>
  </r>
  <r>
    <x v="5100"/>
    <x v="1"/>
    <s v="ΠΕ60"/>
    <s v="ΝΗΠΙΑΓΩΓΟΙ"/>
    <m/>
    <m/>
    <s v="Γ΄"/>
    <n v="1"/>
    <s v="12592/31-10-2012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079"/>
    <s v="ΙΔΙΩΤΙΚΟ ΝΗΠΙΑΓΩΓΕΙΟ ΘΕΣΣΑΛΟΝΙΚΗ - ΑΓΚΑΛΙΤΣΕ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5-05-01T00:00:00"/>
    <x v="1"/>
    <s v="ΔΙΕΥΘΥΝΣΗ Π.Ε. ΑΝΑΤ. ΘΕΣ/ΝΙΚΗΣ"/>
    <x v="5"/>
  </r>
  <r>
    <x v="5101"/>
    <x v="1"/>
    <s v="ΠΕ70"/>
    <s v="ΔΑΣΚΑΛΟΙ"/>
    <m/>
    <m/>
    <s v="Α΄"/>
    <n v="1"/>
    <n v="179"/>
    <d v="1997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1997-09-08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65-01-01T00:00:00"/>
    <x v="1"/>
    <s v="ΔΙΕΥΘΥΝΣΗ Π.Ε. ΑΝΑΤ. ΘΕΣ/ΝΙΚΗΣ"/>
    <x v="5"/>
  </r>
  <r>
    <x v="5102"/>
    <x v="0"/>
    <s v="ΠΕ70"/>
    <s v="ΔΑΣΚΑΛΟΙ"/>
    <m/>
    <m/>
    <s v="Γ΄"/>
    <n v="1"/>
    <d v="2018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4"/>
    <s v="ΟΜΙΛΟΣ ΣΧΟΛΕΙΩΝ ΒΙΩΜΑΤΙΚΗΣ ΜΑΘΗΣ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4-08-14T00:00:00"/>
    <x v="1"/>
    <s v="ΔΙΕΥΘΥΝΣΗ Π.Ε. ΑΝΑΤ. ΘΕΣ/ΝΙΚΗΣ"/>
    <x v="5"/>
  </r>
  <r>
    <x v="5103"/>
    <x v="1"/>
    <s v="ΠΕ70"/>
    <s v="ΔΑΣΚΑΛΟΙ"/>
    <m/>
    <m/>
    <s v="Γ΄"/>
    <n v="1"/>
    <n v="2289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0"/>
    <s v="ΙΔΙΩΤΙΚΟ ΔΗΜΟΤΙΚΟ ΛΑΡΙΣΑ - Α.ΔΡΑΚΟΣ-Γ. ΜΑΛΑΧΤΑΡΗ ΟΕ ΕΛΛΗΝΙΚΑ ΕΚΠΑΙΔΕΥΤΗΡΙ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4-06-15T00:00:00"/>
    <x v="1"/>
    <s v="ΔΙΕΥΘΥΝΣΗ Π.Ε. ΛΑΡΙΣΑΣ"/>
    <x v="5"/>
  </r>
  <r>
    <x v="5104"/>
    <x v="1"/>
    <s v="ΠΕ05"/>
    <s v="ΓΑΛ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4-04-05T00:00:00"/>
    <x v="1"/>
    <s v="ΔΙΕΥΘΥΝΣΗ Π.Ε. ΑΝΑΤΟΛΙΚΗΣ ΑΤΤΙΚΗΣ"/>
    <x v="5"/>
  </r>
  <r>
    <x v="5105"/>
    <x v="0"/>
    <s v="ΠΕ11"/>
    <s v="ΦΥΣΙΚΗΣ ΑΓΩΓΗΣ"/>
    <m/>
    <m/>
    <s v="Γ΄"/>
    <n v="1"/>
    <d v="199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12-30T00:00:00"/>
    <x v="1"/>
    <s v="ΔΙΕΥΘΥΝΣΗ Π.Ε. ΑΝΑΤ. ΘΕΣ/ΝΙΚΗΣ"/>
    <x v="5"/>
  </r>
  <r>
    <x v="5106"/>
    <x v="0"/>
    <s v="ΤΕ16"/>
    <s v="ΜΟΥΣΙΚΗΣ ΜΗ ΑΝΩΤΑΤΩΝ ΙΔΡΥΜΑΤΩΝ"/>
    <m/>
    <m/>
    <s v="Β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08"/>
    <s v="ΙΔΙΩΤΙΚΟ ΔΗΜΟΤΙΚΟ ΠΕΙΡΑΙΑΣ - ΑΓΙΟΣ ΠΟΛΥΚΑΡΠΟΣ - ΑΓΙΟΣ ΓΕΩΡΓΙΟΣ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63-11-10T00:00:00"/>
    <x v="1"/>
    <s v="ΔΙΕΥΘΥΝΣΗ Π.Ε. ΠΕΙΡΑΙΑ"/>
    <x v="5"/>
  </r>
  <r>
    <x v="5107"/>
    <x v="1"/>
    <s v="ΠΕ08"/>
    <s v="ΚΑΛΛΙΤΕΧΝΙΚΩΝ"/>
    <m/>
    <m/>
    <s v="Γ΄"/>
    <n v="1"/>
    <d v="2011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6-13T00:00:00"/>
    <x v="1"/>
    <s v="ΔΙΕΥΘΥΝΣΗ Π.Ε. ΑΝΑΤ. ΘΕΣ/ΝΙΚΗΣ"/>
    <x v="5"/>
  </r>
  <r>
    <x v="5108"/>
    <x v="1"/>
    <s v="ΠΕ60"/>
    <s v="ΝΗΠΙΑΓΩΓΟΙ"/>
    <m/>
    <m/>
    <s v="Γ΄"/>
    <n v="1"/>
    <d v="1986-09-22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21"/>
    <s v="2ο ΙΔΙΩΤΙΚΟ ΝΗΠΙΑΓΩΓΕΙΟ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3-24T00:00:00"/>
    <x v="1"/>
    <s v="ΔΙΕΥΘΥΝΣΗ Π.Ε. ΑΝΑΤ. ΘΕΣ/ΝΙΚΗΣ"/>
    <x v="5"/>
  </r>
  <r>
    <x v="5109"/>
    <x v="0"/>
    <s v="ΠΕ11"/>
    <s v="ΦΥΣΙΚΗΣ ΑΓΩΓΗΣ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4"/>
    <m/>
    <s v="Ιδιωτικά Σχολεία"/>
    <x v="4"/>
    <s v="7201006"/>
    <s v="ΑΡΣΑΚΕΙΟ ΔΗΜΟΤΙΚΟ ΣΧΟΛ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3-01-01T00:00:00"/>
    <x v="1"/>
    <s v="ΔΙΕΥΘΥΝΣΗ Π.Ε. ΙΩΑΝΝΙΝΩΝ"/>
    <x v="5"/>
  </r>
  <r>
    <x v="5110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4"/>
    <m/>
    <s v="Ιδιωτικά Σχολεία"/>
    <x v="3"/>
    <s v="0590901"/>
    <s v="ΑΜΕΡΙΚΑΝΙΚΟ ΚΟΛΛΕΓΙΟ ΕΛΛΑΔΟΣ - ΙΔΙΩΤΙΚΟ ΗΜΕΡΗΣΙΟ ΓΕΝΙΚΟ ΛΥΚΕΙΟ Αναγνωρισμένο ως ισότιμο προς τα ελληνικά δημόσια σχολεία (Ν. 4327/1963, ΦΕΚ Α' 157/27-9-63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2-12-12T00:00:00"/>
    <x v="0"/>
    <s v="ΔΙΕΥΘΥΝΣΗ Δ.Ε. Β΄ ΑΘΗΝΑΣ"/>
    <x v="5"/>
  </r>
  <r>
    <x v="5111"/>
    <x v="1"/>
    <s v="ΠΕ06"/>
    <s v="ΑΓΓΛΙΚΗΣ ΦΙΛΟΛΟΓΙΑΣ"/>
    <m/>
    <m/>
    <s v="Γ΄"/>
    <n v="1"/>
    <d v="1991-09-23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2-11-20T00:00:00"/>
    <x v="1"/>
    <s v="ΔΙΕΥΘΥΝΣΗ Π.Ε. ΑΝΑΤ. ΘΕΣ/ΝΙΚΗΣ"/>
    <x v="5"/>
  </r>
  <r>
    <x v="5112"/>
    <x v="1"/>
    <s v="ΠΕ91.01"/>
    <s v="ΘΕΑΤΡΙΚΩΝ ΣΠΟΥΔΩΝ"/>
    <m/>
    <m/>
    <s v="Α΄"/>
    <n v="6"/>
    <s v="6ΙΤΤ4653ΠΣ-71Π"/>
    <d v="2018-09-01T00:00:00"/>
    <s v="Α΄ ΑΝΑΤ. ΑΤΤΙΚΗΣ (Π.Ε.) 2018"/>
    <s v="ΔΙΕΥΘΥΝΣΗ Π.Ε. ΑΝΑΤΟΛΙΚΗΣ ΑΤΤΙΚΗΣ"/>
    <s v="ΠΕΡΙΦΕΡΕΙΑΚΗ Δ/ΝΣΗ Α/ΘΜΙΑΣ ΚΑΙ Β/ΘΜΙΑΣ ΕΚΠ/ΣΗΣ ΑΤΤΙΚΗΣ"/>
    <n v="24"/>
    <d v="2018-09-01T00:00:00"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0"/>
    <s v="Τοποθέτηση σε Ιδιωτική Εκπαίδευση"/>
    <d v="1962-09-19T00:00:00"/>
    <x v="1"/>
    <s v="ΔΙΕΥΘΥΝΣΗ Π.Ε. ΑΝΑΤΟΛΙΚΗΣ ΑΤΤΙΚΗΣ"/>
    <x v="5"/>
  </r>
  <r>
    <x v="5113"/>
    <x v="0"/>
    <s v="ΠΕ70"/>
    <s v="ΔΑΣΚΑΛΟΙ"/>
    <m/>
    <m/>
    <s v="Γ΄"/>
    <n v="1"/>
    <d v="2009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4"/>
    <s v="ΙΔΙΩΤΙΚΟ ΔΗΜΟΤΙΚΟ ΠΥΛΑΙΑ - ΕΚΠΑΙΔΕΥΤΙΚΟΣ ΟΜΙΛΟΣ ΑΝΑΤΟΛΙ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09-19T00:00:00"/>
    <x v="1"/>
    <s v="ΔΙΕΥΘΥΝΣΗ Π.Ε. ΑΝΑΤ. ΘΕΣ/ΝΙΚΗΣ"/>
    <x v="5"/>
  </r>
  <r>
    <x v="5114"/>
    <x v="1"/>
    <s v="ΠΕ06"/>
    <s v="ΑΓΓΛΙΚΗΣ ΦΙΛΟΛΟΓΙΑΣ"/>
    <m/>
    <m/>
    <s v="Γ΄"/>
    <n v="1"/>
    <n v="1"/>
    <d v="2018-11-02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11-02T00:00:00"/>
    <s v="Ιδιωτικά Σχολεία"/>
    <x v="4"/>
    <s v="7700012"/>
    <s v="ΙΔΙΩΤΙΚΟ ΔΗΜΟΤΙΚΟ ΘΕΣΣΑΛΟΝΙΚΗ - ΠΑΙΝΓΟΥΝΤ ΣΚΟΥΛΣ - ΤΟ ΑΜΕΡΙΚΑΝΙΚΟ ΔΙΕΘΝΕΣ ΣΧΟΛΕΙΟ ΤΗΣ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1-07-14T00:00:00"/>
    <x v="1"/>
    <s v="ΔΙΕΥΘΥΝΣΗ Π.Ε. ΑΝΑΤ. ΘΕΣ/ΝΙΚΗΣ"/>
    <x v="5"/>
  </r>
  <r>
    <x v="5115"/>
    <x v="1"/>
    <s v="ΠΕ06"/>
    <s v="ΑΓΓΛΙΚΗΣ ΦΙΛΟΛΟΓΙΑΣ"/>
    <m/>
    <m/>
    <s v="Γ΄"/>
    <n v="1"/>
    <n v="18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36"/>
    <s v="ΧΡΙΣΤΙΑΝΙΚΗ ΕΛΠΙΣ ΟΡΘΟΔΟΞΗ ΑΔΕΛΦΟΤΗΤΑ - ΕΛΠΙΔΑ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d v="1959-11-06T00:00:00"/>
    <x v="1"/>
    <s v="ΔΙΕΥΘΥΝΣΗ Π.Ε. ΑΝΑΤ. ΘΕΣ/ΝΙΚΗΣ"/>
    <x v="5"/>
  </r>
  <r>
    <x v="5116"/>
    <x v="1"/>
    <s v="ΠΕ70"/>
    <s v="ΔΑΣΚΑΛΟΙ"/>
    <m/>
    <m/>
    <s v="Γ΄"/>
    <n v="1"/>
    <d v="1983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57-02-11T00:00:00"/>
    <x v="1"/>
    <s v="ΔΙΕΥΘΥΝΣΗ Π.Ε. ΑΝΑΤ. ΘΕΣ/ΝΙΚΗΣ"/>
    <x v="5"/>
  </r>
  <r>
    <x v="5117"/>
    <x v="0"/>
    <s v="ΠΕ08"/>
    <s v="ΚΑΛΛΙΤΕΧΝΙΚΩΝ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4"/>
    <m/>
    <s v="Ιδιωτικά Σχολεία"/>
    <x v="3"/>
    <s v="1990911"/>
    <s v="1ο ΙΔΙΩΤΙΚΟ ΗΜΕΡΗΣΙΟ ΛΥΚΕΙΟ ΘΕΣΣΑΛΟΝΙΚΗΣ - ΑΝΑΤΟΛΙΑ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53-06-07T00:00:00"/>
    <x v="0"/>
    <s v="ΔΙΕΥΘΥΝΣΗ Δ.Ε. ΑΝΑΤ. ΘΕΣ/ΝΙΚΗΣ"/>
    <x v="5"/>
  </r>
  <r>
    <x v="5118"/>
    <x v="0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0"/>
    <s v="ΙΔΙΩΤΙΚΟ ΔΗΜΟΤΙΚΟ ΣΧΟΛΗ ΠΟΡΙΩΤΟΥ - ΣΧΟΛΗ ΠΟΡΙΩΤΟΥ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48-12-03T00:00:00"/>
    <x v="1"/>
    <s v="ΔΙΕΥΘΥΝΣΗ Π.Ε. ΑΝΑΤΟΛΙΚΗΣ ΑΤΤΙΚΗΣ"/>
    <x v="5"/>
  </r>
  <r>
    <x v="5119"/>
    <x v="0"/>
    <s v="ΠΕ70"/>
    <s v="ΔΑΣΚΑΛΟΙ"/>
    <m/>
    <m/>
    <s v="Γ΄"/>
    <n v="1"/>
    <n v="945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2"/>
    <s v="ΙΔΙΩΤΙΚΟ ΔΗΜΟΤΙΚΟ ΛΑΡΙΣΑ - ΠΡΩΤΟ ΙΔ ΔΗΜΟΤΙΚΟ ΣΧΟΛΕΙΟ Μ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899-12-31T00:00:00"/>
    <x v="1"/>
    <s v="ΔΙΕΥΘΥΝΣΗ Π.Ε. ΛΑΡΙΣΑΣ"/>
    <x v="5"/>
  </r>
  <r>
    <x v="5120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5121"/>
    <x v="1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5122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5123"/>
    <x v="1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5124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4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5"/>
  </r>
  <r>
    <x v="5125"/>
    <x v="1"/>
    <s v="ΠΕ02"/>
    <s v="ΦΙΛΟΛΟΓΟΙ"/>
    <m/>
    <m/>
    <s v="Γ΄"/>
    <n v="1"/>
    <n v="0"/>
    <d v="2018-09-01T00:00:00"/>
    <s v="Β΄ ΑΘΗΝΑΣ (Δ.Ε.) 2018"/>
    <s v="ΔΙΕΥΘΥΝΣΗ Δ.Ε. Β΄ ΑΘΗΝΑΣ"/>
    <s v="ΠΕΡΙΦΕΡΕΙΑΚΗ Δ/ΝΣΗ Α/ΘΜΙΑΣ ΚΑΙ Β/ΘΜΙΑΣ ΕΚΠ/ΣΗΣ ΑΤΤΙΚΗΣ"/>
    <n v="24"/>
    <d v="2018-09-01T00:00:00"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0"/>
    <s v="Τοποθέτηση σε Ιδιωτική Εκπαίδευση"/>
    <m/>
    <x v="0"/>
    <s v="ΔΙΕΥΘΥΝΣΗ Δ.Ε. Β΄ ΑΘΗΝΑΣ"/>
    <x v="5"/>
  </r>
  <r>
    <x v="5126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4"/>
    <m/>
    <s v="Ιδιωτικά Σχολεία"/>
    <x v="4"/>
    <s v="7051014"/>
    <s v="4ο ΙΔΙΩΤΙΚΟ ΔΗΜΟΤΙΚΟ ΑΘΗΝΑ - ΕΚΠΑΙΔΕΥΤΗΡΙΑ ΑΓΙΟΣ ΠΑΥΛΟΣ ΙΚΕ"/>
    <s v="Α΄ ΑΘΗΝΑΣ (Π.Ε.) 2018"/>
    <s v="ΔΙΕΥΘΥΝΣΗ Π.Ε. Α΄ ΑΘΗΝΑΣ"/>
    <s v="ΠΕΡΙΦΕΡΕΙΑΚΗ Δ/ΝΣΗ Α/ΘΜΙΑΣ ΚΑΙ Β/ΘΜΙΑΣ ΕΚΠ/ΣΗΣ ΑΤΤΙΚΗΣ"/>
    <x v="3"/>
    <s v="Τοποθέτηση σε Ιδιωτική Εκπαίδευση"/>
    <m/>
    <x v="1"/>
    <s v="ΔΙΕΥΘΥΝΣΗ Π.Ε. Α΄ ΑΘΗΝΑΣ"/>
    <x v="5"/>
  </r>
  <r>
    <x v="5127"/>
    <x v="1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28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29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0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1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2"/>
    <x v="0"/>
    <s v="ΠΕ70"/>
    <s v="ΔΑΣΚΑΛ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46"/>
    <s v="Γ' ΑΡΣΑΚΕΙΟ-ΤΟΣΙΤΣΕΙΟ ΔΗΜΟΤΙΚΟ ΣΧΟΛ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3"/>
    <x v="1"/>
    <s v="ΠΕ70"/>
    <s v="ΔΑΣΚΑΛ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4"/>
    <x v="1"/>
    <s v="ΠΕ06"/>
    <s v="ΑΓΓΛΙΚΗΣ ΦΙΛΟΛΟΓΙΑ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12"/>
    <s v="ΔΗΜΟΤΙΚΟ ΚΟΛΛΕΓΙΟΥ ΑΘΗΝΩΝ - Αναγνωρισμένο με το Νόμο 3776/1929 ως ισότιμο προς τα Δημόσια Σχολεί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5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6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7"/>
    <x v="1"/>
    <s v="ΠΕ70"/>
    <s v="ΔΑΣΚΑΛ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4"/>
    <m/>
    <s v="Ιδιωτικά Σχολεία"/>
    <x v="4"/>
    <s v="7521056"/>
    <s v="ΙΔΙΩΤΙΚΟ ΔΗΜΟΤΙΚΟ ΒΑΡΗ - ΕΚΠΑΙΔΕΥΤΗΡΙΑ ΠΑΛΛΑΔΙΟ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m/>
    <x v="1"/>
    <s v="ΔΙΕΥΘΥΝΣΗ Π.Ε. ΑΝΑΤΟΛΙΚΗΣ ΑΤΤΙΚΗΣ"/>
    <x v="5"/>
  </r>
  <r>
    <x v="5138"/>
    <x v="1"/>
    <s v="ΠΕ70"/>
    <s v="ΔΑΣΚΑΛ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m/>
    <x v="1"/>
    <s v="ΔΙΕΥΘΥΝΣΗ Π.Ε. Β΄ ΑΘΗΝΑΣ"/>
    <x v="5"/>
  </r>
  <r>
    <x v="5139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5140"/>
    <x v="1"/>
    <s v="ΠΕ70"/>
    <s v="ΔΑΣΚΑΛΟΙ"/>
    <m/>
    <m/>
    <s v="Γ΄"/>
    <n v="1"/>
    <n v="3226"/>
    <d v="2018-09-01T00:00:00"/>
    <s v="Β΄ ΑΘΗΝΑΣ (Π.Ε.) 2018"/>
    <s v="ΔΙΕΥΘΥΝΣΗ Π.Ε. Β΄ ΑΘΗΝΑΣ"/>
    <s v="ΠΕΡΙΦΕΡΕΙΑΚΗ Δ/ΝΣΗ Α/ΘΜΙΑΣ ΚΑΙ Β/ΘΜΙΑΣ ΕΚΠ/ΣΗΣ ΑΤΤΙΚΗΣ"/>
    <n v="24"/>
    <d v="2018-09-01T00:00:00"/>
    <s v="Ιδιωτικά Σχολεία"/>
    <x v="4"/>
    <s v="7052002"/>
    <s v="1ο ΙΔΙΩΤΙΚΟ ΔΗΜΟΤΙΚΟ ΨΥΧΙΚΟ - Α ΑΡΣΑΚΕΙΟ ΔΗΜ. ΣΧΟΛ.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m/>
    <x v="1"/>
    <s v="ΔΙΕΥΘΥΝΣΗ Π.Ε. Β΄ ΑΘΗΝΑΣ"/>
    <x v="5"/>
  </r>
  <r>
    <x v="5141"/>
    <x v="0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5142"/>
    <x v="1"/>
    <s v="ΠΕ70"/>
    <s v="ΔΑΣΚΑΛ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4"/>
    <m/>
    <s v="Ιδιωτικά Σχολεία"/>
    <x v="4"/>
    <s v="7052044"/>
    <s v="ΙΔΙΩΤΙΚΟ ΔΗΜΟΤΙΚΟ - ΕΛΛΗΝΟΓΑΛΛΙΚΗ ΣΧΟΛΗ SAINT JOSEPH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5143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5"/>
  </r>
  <r>
    <x v="5144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5"/>
  </r>
  <r>
    <x v="5145"/>
    <x v="1"/>
    <s v="ΠΕ70"/>
    <s v="ΔΑΣΚΑΛ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4"/>
    <m/>
    <s v="Ιδιωτικά Σχολεία"/>
    <x v="4"/>
    <s v="7054000"/>
    <s v="ΕΚΠΑΙΔΕΥΤΗΡΙΑ ΛΑΜΠΙΡΗ - ΔΗΜΟΤΙΚ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Δ΄ ΑΘΗΝΑΣ"/>
    <x v="5"/>
  </r>
  <r>
    <x v="5146"/>
    <x v="1"/>
    <s v="ΠΕ60"/>
    <s v="ΝΗΠΙΑΓΩ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m/>
    <x v="1"/>
    <s v="ΔΙΕΥΘΥΝΣΗ Π.Ε. ΠΕΙΡΑΙΑ"/>
    <x v="5"/>
  </r>
  <r>
    <x v="5147"/>
    <x v="1"/>
    <s v="ΠΕ70"/>
    <s v="ΔΑΣΚΑΛ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m/>
    <x v="1"/>
    <s v="ΔΙΕΥΘΥΝΣΗ Π.Ε. ΠΕΙΡΑΙΑ"/>
    <x v="5"/>
  </r>
  <r>
    <x v="5148"/>
    <x v="1"/>
    <s v="ΠΕ60"/>
    <s v="ΝΗΠΙΑΓΩ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4"/>
    <m/>
    <s v="Ιδιωτικά Σχολεία"/>
    <x v="4"/>
    <s v="7541010"/>
    <s v="ΙΔΙΩΤΙΚΟ ΔΗΜΟΤΙΚΟ ΠΕΙΡΑΙΑΣ -ΠΡΟΤΥΠΑ ΠΕΙΡΑΪΚΑ ΕΚΠΑΙΔΕΥΤΗΡΙΑ MΕΠ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m/>
    <x v="1"/>
    <s v="ΔΙΕΥΘΥΝΣΗ Π.Ε. ΠΕΙΡΑΙΑ"/>
    <x v="5"/>
  </r>
  <r>
    <x v="5149"/>
    <x v="1"/>
    <s v="ΠΕ70"/>
    <s v="ΔΑΣΚΑΛΟΙ"/>
    <m/>
    <m/>
    <s v="Γ΄"/>
    <n v="1"/>
    <n v="9417"/>
    <d v="2018-09-01T00:00:00"/>
    <s v="ΛΑΡΙΣΑΣ (Π.Ε.) 2018"/>
    <s v="ΔΙΕΥΘΥΝΣΗ Π.Ε. ΛΑΡΙΣΑΣ"/>
    <s v="ΠΕΡΙΦΕΡΕΙΑΚΗ Δ/ΝΣΗ Α/ΘΜΙΑΣ ΚΑΙ Β/ΘΜΙΑΣ ΕΚΠ/ΣΗΣ ΘΕΣΣΑΛΙΑΣ"/>
    <n v="24"/>
    <d v="2018-09-01T00:00:00"/>
    <s v="Ιδιωτικά Σχολεία"/>
    <x v="4"/>
    <s v="7311006"/>
    <s v="ΙΔ ΔΗΜΟΤΙΚΟ ΣΧΟΛ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m/>
    <x v="1"/>
    <s v="ΔΙΕΥΘΥΝΣΗ Π.Ε. ΛΑΡΙΣΑΣ"/>
    <x v="5"/>
  </r>
  <r>
    <x v="5150"/>
    <x v="1"/>
    <s v="ΠΕ60"/>
    <s v="ΝΗΠΙΑΓΩΓΟΙ"/>
    <m/>
    <m/>
    <s v="Γ΄"/>
    <n v="1"/>
    <s v="24511/05-10-2018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1"/>
    <s v="7191119"/>
    <s v="Ιδιωτικό νηπιαγωγείο THE ZOO CLUB"/>
    <s v="Α΄ ΘΕΣΣΑΛΟΝΙΚΗΣ (Π.Ε.) 2018"/>
    <s v="ΔΙΕΥΘΥΝΣΗ Π.Ε. ΑΝΑΤ. ΘΕΣ/ΝΙΚΗΣ"/>
    <s v="ΠΕΡΙΦΕΡΕΙΑΚΗ Δ/ΝΣΗ Α/ΘΜΙΑΣ ΚΑΙ Β/ΘΜΙΑΣ ΕΚΠ/ΣΗΣ ΚΕΝΤΡΙΚΗΣ ΜΑΚΕΔΟΝΙΑΣ"/>
    <x v="0"/>
    <s v="Τοποθέτηση σε Ιδιωτική Εκπαίδευση"/>
    <m/>
    <x v="1"/>
    <s v="ΔΙΕΥΘΥΝΣΗ Π.Ε. ΑΝΑΤ. ΘΕΣ/ΝΙΚΗΣ"/>
    <x v="5"/>
  </r>
  <r>
    <x v="5151"/>
    <x v="1"/>
    <s v="ΠΕ70"/>
    <s v="ΔΑΣΚΑΛΟΙ"/>
    <m/>
    <m/>
    <s v="Γ΄"/>
    <n v="1"/>
    <d v="2016-09-01T00:00:00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4"/>
    <d v="2018-09-01T00:00:00"/>
    <s v="Ιδιωτικά Σχολεία"/>
    <x v="4"/>
    <s v="7191000"/>
    <s v="ΙΔΙΩΤΙΚΟ ΔΗΜΟΤΙΚΟ ΠΥΛΑΙΑ - ΑΔΑΜΑΝΤΙΟΣ ΣΧΟΛΗ Α.Ε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1"/>
    <s v="ΔΙΕΥΘΥΝΣΗ Π.Ε. ΑΝΑΤ. ΘΕΣ/ΝΙΚΗΣ"/>
    <x v="5"/>
  </r>
  <r>
    <x v="5152"/>
    <x v="1"/>
    <s v="ΠΕ70"/>
    <s v="ΔΑΣΚΑΛΟΙ"/>
    <m/>
    <m/>
    <s v="Γ΄"/>
    <n v="1"/>
    <s v="Φ.17.2/7485"/>
    <d v="2018-09-12T00:00:00"/>
    <s v="ΧΑΝΙΩΝ (Π.Ε.) 2018"/>
    <s v="ΔΙΕΥΘΥΝΣΗ Π.Ε. ΧΑΝΙΩΝ"/>
    <s v="ΠΕΡΙΦΕΡΕΙΑΚΗ Δ/ΝΣΗ Α/ΘΜΙΑΣ ΚΑΙ Β/ΘΜΙΑΣ ΕΚΠ/ΣΗΣ ΚΡΗΤΗΣ"/>
    <n v="24"/>
    <d v="2018-09-12T00:00:00"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2"/>
    <s v="Τοποθέτηση σε Ιδιωτική Εκπαίδευση"/>
    <m/>
    <x v="1"/>
    <s v="ΔΙΕΥΘΥΝΣΗ Π.Ε. ΧΑΝΙΩΝ"/>
    <x v="5"/>
  </r>
  <r>
    <x v="5153"/>
    <x v="1"/>
    <s v="ΠΕ70"/>
    <s v="ΔΑΣΚΑΛ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4"/>
    <m/>
    <s v="Ιδιωτικά Σχολεία"/>
    <x v="4"/>
    <s v="7501000"/>
    <s v="ΙΔΙΩΤΙΚΟ ΔΗΜΟΤΙΚΟ ΧΑΝΙΩΝ - ΙΔΙΩΤΙΚΟ ΔΗΜΟΤΙΚΟ ΣΧΟΛ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m/>
    <x v="1"/>
    <s v="ΔΙΕΥΘΥΝΣΗ Π.Ε. ΧΑΝΙΩΝ"/>
    <x v="5"/>
  </r>
  <r>
    <x v="5154"/>
    <x v="1"/>
    <s v="ΠΕ60"/>
    <s v="ΝΗΠΙΑΓΩΓΟΙ"/>
    <m/>
    <m/>
    <s v="Γ΄"/>
    <n v="1"/>
    <s v="7362/13-10-2015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24"/>
    <d v="2018-09-01T00:00:00"/>
    <s v="Ιδιωτικά Σχολεία"/>
    <x v="1"/>
    <s v="7101011"/>
    <s v="ΙΔΙΩΤΙΚΟ ΝΗΠΙΑΓΩΓΕΙ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m/>
    <x v="1"/>
    <s v="ΔΙΕΥΘΥΝΣΗ Π.Ε. ΔΩΔΕΚΑΝΗΣΟΥ"/>
    <x v="5"/>
  </r>
  <r>
    <x v="5155"/>
    <x v="1"/>
    <s v="ΠΕ70"/>
    <s v="ΔΑΣΚΑΛΟΙ"/>
    <m/>
    <m/>
    <s v="Α΄"/>
    <n v="1"/>
    <m/>
    <m/>
    <s v="Α΄ ΔΩΔΕΚΑΝΗΣΟΥ (Π.Ε.) 2018"/>
    <s v="ΔΙΕΥΘΥΝΣΗ Π.Ε. ΔΩΔΕΚΑΝΗΣΟΥ"/>
    <s v="ΠΕΡΙΦΕΡΕΙΑΚΗ Δ/ΝΣΗ Α/ΘΜΙΑΣ ΚΑΙ Β/ΘΜΙΑΣ ΕΚΠ/ΣΗΣ ΝΟΤΙΟΥ ΑΙΓΑΙΟΥ"/>
    <n v="24"/>
    <m/>
    <s v="Ιδιωτικά Σχολεία"/>
    <x v="4"/>
    <s v="7101002"/>
    <s v="ΙΔΙΩΤΙΚΟ ΔΗΜΟΤΙΚΟ - ΕΚΠΑΙΔΕΥΤΗΡΙΑ ΡΟΔΟΥ ΠΥΘΑΓΟΡΑΣ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m/>
    <x v="1"/>
    <s v="ΔΙΕΥΘΥΝΣΗ Π.Ε. ΔΩΔΕΚΑΝΗΣΟΥ"/>
    <x v="5"/>
  </r>
  <r>
    <x v="5156"/>
    <x v="1"/>
    <s v="ΠΕ70"/>
    <s v="ΔΑΣΚΑΛ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4"/>
    <m/>
    <s v="Ιδιωτικά Σχολεία"/>
    <x v="4"/>
    <s v="7021000"/>
    <s v="ΙΔΙΩΤΙΚΟ ΔΗΜΟΤΙΚ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m/>
    <x v="1"/>
    <s v="ΔΙΕΥΘΥΝΣΗ Π.Ε. ΑΡΓΟΛΙΔΑΣ"/>
    <x v="5"/>
  </r>
  <r>
    <x v="5157"/>
    <x v="1"/>
    <s v="ΠΕ70"/>
    <s v="ΔΑΣΚΑΛΟΙ"/>
    <m/>
    <m/>
    <s v="Γ΄"/>
    <n v="1"/>
    <s v="Φ.17/3676"/>
    <d v="2018-09-11T00:00:00"/>
    <s v="ΚΟΡΙΝΘΙΑΣ (Π.Ε.) 2018"/>
    <s v="ΔΙΕΥΘΥΝΣΗ Π.Ε. ΚΟΡΙΝΘΙΑΣ"/>
    <s v="ΠΕΡΙΦΕΡΕΙΑΚΗ Δ/ΝΣΗ Α/ΘΜΙΑΣ ΚΑΙ Β/ΘΜΙΑΣ ΕΚΠ/ΣΗΣ ΠΕΛΟΠΟΝΝΗΣΟΥ"/>
    <n v="24"/>
    <d v="2018-09-11T00:00:00"/>
    <s v="Ιδιωτικά Σχολεία"/>
    <x v="4"/>
    <s v="7281004"/>
    <s v="1ο ΙΔΙΩΤΙΚΟ ΔΗΜΟΤΙΚΟ ΙΣΘΜΟΣ ΚΟΡΙΝΘΟΥ - ΑΡΙΣΤΟΤΕΛΕΙΟ ΚΟΡΙΝΘΙΑΚΟ ΕΚΠΑΙΔΕΥΤΗΡΙΟ-ΔΗΜ.ΣΧΟΛΕΙΟ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m/>
    <x v="1"/>
    <s v="ΔΙΕΥΘΥΝΣΗ Π.Ε. ΚΟΡΙΝΘΙΑΣ"/>
    <x v="5"/>
  </r>
  <r>
    <x v="5158"/>
    <x v="1"/>
    <s v="ΠΕ70"/>
    <s v="ΔΑΣΚΑΛΟΙ"/>
    <m/>
    <m/>
    <s v="Γ΄"/>
    <n v="1"/>
    <n v="5150"/>
    <d v="2018-09-17T00:00:00"/>
    <s v="ΛΑΚΩΝΙΑΣ (Π.Ε.) 2018"/>
    <s v="ΔΙΕΥΘΥΝΣΗ Π.Ε. ΛΑΚΩΝΙΑΣ"/>
    <s v="ΠΕΡΙΦΕΡΕΙΑΚΗ Δ/ΝΣΗ Α/ΘΜΙΑΣ ΚΑΙ Β/ΘΜΙΑΣ ΕΚΠ/ΣΗΣ ΠΕΛΟΠΟΝΝΗΣΟΥ"/>
    <n v="24"/>
    <d v="2018-09-17T00:00:00"/>
    <s v="Ιδιωτικά Σχολεία"/>
    <x v="4"/>
    <s v="7301000"/>
    <s v="ΙΔΙΩΤΙΚΟ ΔΗΜΟΤΙΚΟ ΣΠΑΡΤΗ - ΙΔΙΩΤΙΚΟ ΔΗΜΟΤΙΚΟ ΣΧΟΛΕΙΟ ΙΩΑΝΝΑΣ ΠΟΛΥΧΡΟΝΑΚΟΥ"/>
    <s v="ΛΑΚΩΝΙΑΣ (Π.Ε.) 2018"/>
    <s v="ΔΙΕΥΘΥΝΣΗ Π.Ε. ΛΑΚΩΝΙΑΣ"/>
    <s v="ΠΕΡΙΦΕΡΕΙΑΚΗ Δ/ΝΣΗ Α/ΘΜΙΑΣ ΚΑΙ Β/ΘΜΙΑΣ ΕΚΠ/ΣΗΣ ΠΕΛΟΠΟΝΝΗΣΟΥ"/>
    <x v="0"/>
    <s v="Τοποθέτηση σε Ιδιωτική Εκπαίδευση"/>
    <m/>
    <x v="1"/>
    <s v="ΔΙΕΥΘΥΝΣΗ Π.Ε. ΛΑΚΩΝΙΑΣ"/>
    <x v="5"/>
  </r>
  <r>
    <x v="5159"/>
    <x v="1"/>
    <s v="ΠΕ60"/>
    <s v="ΝΗΠΙΑΓΩΓΟΙ"/>
    <m/>
    <m/>
    <s v="Γ΄"/>
    <n v="1"/>
    <s v="-"/>
    <d v="2018-09-01T00:00:00"/>
    <s v="Δ΄ ΚΥΚΛΑΔΩΝ (Π.Ε.) 2018"/>
    <s v="ΔΙΕΥΘΥΝΣΗ Π.Ε. ΚΥΚΛΑΔΩΝ"/>
    <s v="ΠΕΡΙΦΕΡΕΙΑΚΗ Δ/ΝΣΗ Α/ΘΜΙΑΣ ΚΑΙ Β/ΘΜΙΑΣ ΕΚΠ/ΣΗΣ ΝΟΤΙΟΥ ΑΙΓΑΙΟΥ"/>
    <n v="25"/>
    <d v="2018-09-01T00:00:00"/>
    <s v="Ιδιωτικά Σχολεία"/>
    <x v="1"/>
    <s v="7291003"/>
    <s v="ΙΔΙΩΤΙΚΟ ΝΗΠΙΑΓΩΓΕΙΟ ΣΥΡΟΣ - Ο ΑΓΙΟΣ ΓΕΩΡΓΙΟΣ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2018-09-01T00:00:00"/>
    <x v="1"/>
    <s v="ΔΙΕΥΘΥΝΣΗ Π.Ε. ΚΥΚΛΑΔΩΝ"/>
    <x v="5"/>
  </r>
  <r>
    <x v="5160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1"/>
    <s v="ΙΔΙΩΤΙΚΟ ΝΗΠΙΑΓΩΓΕΙΟ ΧΑΝΙΩΝ - ΙΔΙΩΤΙΚΟ ΝΗΠΙΑΓΩΓ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99-12-30T00:00:00"/>
    <x v="1"/>
    <s v="ΔΙΕΥΘΥΝΣΗ Π.Ε. ΧΑΝΙΩΝ"/>
    <x v="5"/>
  </r>
  <r>
    <x v="5161"/>
    <x v="1"/>
    <s v="ΠΕ60"/>
    <s v="ΝΗΠΙΑΓΩΓΟΙ"/>
    <m/>
    <m/>
    <s v="Γ΄"/>
    <n v="1"/>
    <n v="4926"/>
    <d v="2018-09-17T00:00:00"/>
    <s v="ΤΡΙΚΑΛΩΝ (Π.Ε.) 2018"/>
    <s v="ΔΙΕΥΘΥΝΣΗ Π.Ε. ΤΡΙΚΑΛΩΝ"/>
    <s v="ΠΕΡΙΦΕΡΕΙΑΚΗ Δ/ΝΣΗ Α/ΘΜΙΑΣ ΚΑΙ Β/ΘΜΙΑΣ ΕΚΠ/ΣΗΣ ΘΕΣΣΑΛΙΑΣ"/>
    <n v="25"/>
    <d v="2018-09-17T00:00:00"/>
    <s v="Ιδιωτικά Σχολεία"/>
    <x v="1"/>
    <s v="7451001"/>
    <s v="ΙΔΙΩΤΙΚΟ ΝΗΠΙΑΓΩΓΕΙΟ ΤΡΙΚΑΛΑ - ΣΠΥΡΟΠΟΥΛΟΥ ΜΑΡΙΑ"/>
    <s v="ΤΡΙΚΑΛΩΝ (Π.Ε.) 2018"/>
    <s v="ΔΙΕΥΘΥΝΣΗ Π.Ε. ΤΡΙΚΑΛΩΝ"/>
    <s v="ΠΕΡΙΦΕΡΕΙΑΚΗ Δ/ΝΣΗ Α/ΘΜΙΑΣ ΚΑΙ Β/ΘΜΙΑΣ ΕΚΠ/ΣΗΣ ΘΕΣΣΑΛΙΑΣ"/>
    <x v="0"/>
    <s v="Τοποθέτηση σε Ιδιωτική Εκπαίδευση"/>
    <d v="1998-10-15T00:00:00"/>
    <x v="1"/>
    <s v="ΔΙΕΥΘΥΝΣΗ Π.Ε. ΤΡΙΚΑΛΩΝ"/>
    <x v="5"/>
  </r>
  <r>
    <x v="5162"/>
    <x v="1"/>
    <s v="ΠΕ60"/>
    <s v="ΝΗΠΙΑΓΩΓΟΙ"/>
    <m/>
    <m/>
    <s v="Γ΄"/>
    <n v="1"/>
    <d v="7047-02-01T00:00:00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241"/>
    <s v="ΙΔΙΩΤΙΚΟ ΣΥΣΤΕΓΑΖΟΜΕΝΟ ΝΗΠΙΑΓΩΓΕΙΟ - ANNIE'S SCHOOL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6-09-20T00:00:00"/>
    <x v="1"/>
    <s v="ΔΙΕΥΘΥΝΣΗ Π.Ε. Β΄ ΑΘΗΝΑΣ"/>
    <x v="5"/>
  </r>
  <r>
    <x v="5163"/>
    <x v="1"/>
    <s v="ΠΕ60"/>
    <s v="ΝΗΠΙΑΓΩΓΟΙ"/>
    <m/>
    <m/>
    <s v="Γ΄"/>
    <n v="1"/>
    <n v="2638"/>
    <d v="2018-10-01T00:00:00"/>
    <s v="Α΄ ΧΙΟΥ (Π.Ε.) 2018"/>
    <s v="ΔΙΕΥΘΥΝΣΗ Π.Ε. ΧΙΟΥ"/>
    <s v="ΠΕΡΙΦΕΡΕΙΑΚΗ Δ/ΝΣΗ Α/ΘΜΙΑΣ ΚΑΙ Β/ΘΜΙΑΣ ΕΚΠ/ΣΗΣ ΒΟΡΕΙΟΥ ΑΙΓΑΙΟΥ"/>
    <n v="25"/>
    <d v="2018-10-01T00:00:00"/>
    <s v="Ιδιωτικά Σχολεία"/>
    <x v="1"/>
    <s v="7511003"/>
    <s v="ΙΔΙΩΤΙΚΟ ΝΗΠΙΑΓΩΓΕΙΟ &quot;ΚΑΡΑΜΕΛΑ&quot;"/>
    <s v="Α΄ ΧΙΟΥ (Π.Ε.) 2018"/>
    <s v="ΔΙΕΥΘΥΝΣΗ Π.Ε. ΧΙΟΥ"/>
    <s v="ΠΕΡΙΦΕΡΕΙΑΚΗ Δ/ΝΣΗ Α/ΘΜΙΑΣ ΚΑΙ Β/ΘΜΙΑΣ ΕΚΠ/ΣΗΣ ΒΟΡΕΙΟΥ ΑΙΓΑΙΟΥ"/>
    <x v="0"/>
    <s v="Τοποθέτηση σε Ιδιωτική Εκπαίδευση"/>
    <d v="1996-08-12T00:00:00"/>
    <x v="1"/>
    <s v="ΔΙΕΥΘΥΝΣΗ Π.Ε. ΧΙΟΥ"/>
    <x v="5"/>
  </r>
  <r>
    <x v="5164"/>
    <x v="1"/>
    <s v="ΠΕ60"/>
    <s v="ΝΗΠΙΑΓΩΓΟΙ"/>
    <m/>
    <m/>
    <s v="Γ΄"/>
    <n v="1"/>
    <n v="11605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97"/>
    <s v="ΙΔΙΩΤΙΚΟ ΣΥΣΤΕΓΑΖΟΜΕΝΟ ΝΗΠΙΑΓΩΓΕΙΟ - ΤΟ ΚΟΥΚΛΟΣΠΙΤ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5-12-12T00:00:00"/>
    <x v="1"/>
    <s v="ΔΙΕΥΘΥΝΣΗ Π.Ε. Δ΄ ΑΘΗΝΑΣ"/>
    <x v="5"/>
  </r>
  <r>
    <x v="5165"/>
    <x v="1"/>
    <s v="ΠΕ60"/>
    <s v="ΝΗΠΙΑΓΩΓΟΙ"/>
    <m/>
    <m/>
    <s v="Γ΄"/>
    <n v="1"/>
    <n v="1959387"/>
    <d v="2018-09-18T00:00:00"/>
    <s v="ΡΟΔΟΠΗΣ (Π.Ε.) 2018"/>
    <s v="ΔΙΕΥΘΥΝΣΗ Π.Ε. ΡΟΔΟΠΗΣ"/>
    <s v="ΠΕΡΙΦΕΡΕΙΑΚΗ Δ/ΝΣΗ Α/ΘΜΙΑΣ ΚΑΙ Β/ΘΜΙΑΣ ΕΚΠ/ΣΗΣ ΑΝ. ΜΑΚΕΔΟΝΙΑΣ ΚΑΙ ΘΡΑΚΗΣ"/>
    <n v="25"/>
    <d v="2018-09-18T00:00:00"/>
    <s v="Ιδιωτικά Σχολεία"/>
    <x v="1"/>
    <s v="7421001"/>
    <s v="ΙΔΙΩΤΙΚΟ ΣΥΣΤΕΓΑΖΟΜΕΝΟ ΝΗΠΙΑΓΩΓΕΙΟ - Η ΛΙΛΙΠΟΥΠΟΛΗ"/>
    <s v="ΡΟΔΟΠΗΣ (Π.Ε.) 2018"/>
    <s v="ΔΙΕΥΘΥΝΣΗ Π.Ε. ΡΟΔΟΠΗΣ"/>
    <s v="ΠΕΡΙΦΕΡΕΙΑΚΗ Δ/ΝΣΗ Α/ΘΜΙΑΣ ΚΑΙ Β/ΘΜΙΑΣ ΕΚΠ/ΣΗΣ ΑΝ. ΜΑΚΕΔΟΝΙΑΣ ΚΑΙ ΘΡΑΚΗΣ"/>
    <x v="0"/>
    <s v="Τοποθέτηση σε Ιδιωτική Εκπαίδευση"/>
    <d v="1995-02-09T00:00:00"/>
    <x v="1"/>
    <s v="ΔΙΕΥΘΥΝΣΗ Π.Ε. ΡΟΔΟΠΗΣ"/>
    <x v="5"/>
  </r>
  <r>
    <x v="5166"/>
    <x v="1"/>
    <s v="ΠΕ60"/>
    <s v="ΝΗΠΙΑΓΩΓΟΙ"/>
    <m/>
    <m/>
    <s v="Γ΄"/>
    <n v="1"/>
    <n v="1043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83"/>
    <s v="ΤΖΕΣΣΙΚΑ ΚΟΥΡΝΙΑΚΤΗ - ΜΑΡΙ ΚΛΩΝΤ ΛΕΟΜΕΝΤ &amp; ΣΙΑ Ο.Ε. (ΤΖΕΣΣΙΚΑ ΚΟΥΡΝΙΑΚΤΗ - ΜΑΡΙ ΚΛΩΝΤ ΛΕΟΜΕΝΤ &amp; ΣΙΑ 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4-12-10T00:00:00"/>
    <x v="1"/>
    <s v="ΔΙΕΥΘΥΝΣΗ Π.Ε. Δ΄ ΑΘΗΝΑΣ"/>
    <x v="5"/>
  </r>
  <r>
    <x v="5167"/>
    <x v="1"/>
    <s v="ΠΕ60"/>
    <s v="ΝΗΠΙΑΓΩΓΟΙ"/>
    <m/>
    <m/>
    <s v="Γ΄"/>
    <n v="1"/>
    <n v="4727"/>
    <d v="2018-09-11T00:00:00"/>
    <s v="ΤΡΙΚΑΛΩΝ (Π.Ε.) 2018"/>
    <s v="ΔΙΕΥΘΥΝΣΗ Π.Ε. ΤΡΙΚΑΛΩΝ"/>
    <s v="ΠΕΡΙΦΕΡΕΙΑΚΗ Δ/ΝΣΗ Α/ΘΜΙΑΣ ΚΑΙ Β/ΘΜΙΑΣ ΕΚΠ/ΣΗΣ ΘΕΣΣΑΛΙΑΣ"/>
    <n v="25"/>
    <d v="2018-09-11T00:00:00"/>
    <s v="Ιδιωτικά Σχολεία"/>
    <x v="1"/>
    <s v="7451019"/>
    <s v="ΣΥΣΤΕΓΑΖΟΜΕΝΟ ΝΗΠΙΑΓΩΓΕΙΟ - ΜΠΛΕΤΣΑ ΜΑΡΙΑ-ΕΛΕΥΘΕΡΙΑ"/>
    <s v="ΤΡΙΚΑΛΩΝ (Π.Ε.) 2018"/>
    <s v="ΔΙΕΥΘΥΝΣΗ Π.Ε. ΤΡΙΚΑΛΩΝ"/>
    <s v="ΠΕΡΙΦΕΡΕΙΑΚΗ Δ/ΝΣΗ Α/ΘΜΙΑΣ ΚΑΙ Β/ΘΜΙΑΣ ΕΚΠ/ΣΗΣ ΘΕΣΣΑΛΙΑΣ"/>
    <x v="0"/>
    <s v="Τοποθέτηση σε Ιδιωτική Εκπαίδευση"/>
    <d v="1994-12-08T00:00:00"/>
    <x v="1"/>
    <s v="ΔΙΕΥΘΥΝΣΗ Π.Ε. ΤΡΙΚΑΛΩΝ"/>
    <x v="5"/>
  </r>
  <r>
    <x v="5168"/>
    <x v="1"/>
    <s v="ΠΕ60"/>
    <s v="ΝΗΠΙΑΓΩΓΟΙ"/>
    <m/>
    <m/>
    <s v="Γ΄"/>
    <n v="1"/>
    <n v="10602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61"/>
    <s v="ΙΔΙΩΤΙΚΟ ΣΥΣΤΕΓΑΖΟΜΕΝΟ ΝΗΠΙΑΓΩΓΕΙΟ - Ο ΜΙΚΡΟΣ ΠΡΙΓΚΙΠΑΣ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4-07-09T00:00:00"/>
    <x v="1"/>
    <s v="ΔΙΕΥΘΥΝΣΗ Π.Ε. Δ΄ ΑΘΗΝΑΣ"/>
    <x v="5"/>
  </r>
  <r>
    <x v="5169"/>
    <x v="1"/>
    <s v="ΠΕ60"/>
    <s v="ΝΗΠΙΑΓΩΓΟΙ"/>
    <m/>
    <m/>
    <s v="Γ΄"/>
    <n v="1"/>
    <n v="1333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13"/>
    <s v="ΣΥΣΤΕΓΑΖΟΜΕΝΟ ΝΗΠΙΑΓΩΓΕΙΟ - ΓΑΛΑΝΗ ΣΤΑΘΟΥΛΑ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4-04-20T00:00:00"/>
    <x v="1"/>
    <s v="ΔΙΕΥΘΥΝΣΗ Π.Ε. Δ΄ ΑΘΗΝΑΣ"/>
    <x v="5"/>
  </r>
  <r>
    <x v="5170"/>
    <x v="1"/>
    <s v="ΠΕ60"/>
    <s v="ΝΗΠΙΑΓΩΓΟΙ"/>
    <m/>
    <m/>
    <s v="Γ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m/>
    <s v="Ιδιωτικά Σχολεία"/>
    <x v="1"/>
    <s v="7271009"/>
    <s v="ΙΔΙΩΤΙΚΟ ΝΗΠΙΑΓΩΓΕΙΟ ΠΤΟΛΕΜΑΙΔΑ - ΠΛΕΞΙΔΑΣ ΝΙΚΟΛΑΟΣ ΚΑΙ ΣΙΑ Ο.Ε."/>
    <s v="ΚΟΖΑΝΗΣ (Π.Ε.) 2018"/>
    <s v="ΔΙΕΥΘΥΝΣΗ Π.Ε. ΚΟΖΑΝΗΣ"/>
    <s v="ΠΕΡΙΦΕΡΕΙΑΚΗ Δ/ΝΣΗ Α/ΘΜΙΑΣ ΚΑΙ Β/ΘΜΙΑΣ ΕΚΠ/ΣΗΣ ΔΥΤΙΚΗΣ ΜΑΚΕΔΟΝΙΑΣ"/>
    <x v="0"/>
    <s v="Τοποθέτηση σε Ιδιωτική Εκπαίδευση"/>
    <d v="1994-01-31T00:00:00"/>
    <x v="1"/>
    <s v="ΔΙΕΥΘΥΝΣΗ Π.Ε. ΚΟΖΑΝΗΣ"/>
    <x v="5"/>
  </r>
  <r>
    <x v="5171"/>
    <x v="1"/>
    <s v="ΠΕ60"/>
    <s v="ΝΗΠΙΑΓΩΓΟΙ"/>
    <m/>
    <m/>
    <s v="Γ΄"/>
    <n v="1"/>
    <n v="21600"/>
    <d v="2018-09-01T00:00:00"/>
    <s v="ΣΕΡΡΩΝ (Π.Ε.) 2018"/>
    <s v="ΔΙΕΥΘΥΝΣΗ Π.Ε. ΣΕΡΡΩΝ"/>
    <s v="ΠΕΡΙΦΕΡΕΙΑΚΗ Δ/ΝΣΗ Α/ΘΜΙΑΣ ΚΑΙ Β/ΘΜΙΑΣ ΕΚΠ/ΣΗΣ ΚΕΝΤΡΙΚΗΣ ΜΑΚΕΔΟΝΙΑΣ"/>
    <n v="25"/>
    <d v="2018-09-01T00:00:00"/>
    <s v="Ιδιωτικά Σχολεία"/>
    <x v="1"/>
    <s v="7441001"/>
    <s v="ΘΕΟΔΩΡΙΔΟΥ ΠΑΥΛΙΝΑ &amp; ΣΙΑ Ο.Ε."/>
    <s v="ΣΕΡΡΩΝ (Π.Ε.) 2018"/>
    <s v="ΔΙΕΥΘΥΝΣΗ Π.Ε. ΣΕΡΡΩΝ"/>
    <s v="ΠΕΡΙΦΕΡΕΙΑΚΗ Δ/ΝΣΗ Α/ΘΜΙΑΣ ΚΑΙ Β/ΘΜΙΑΣ ΕΚΠ/ΣΗΣ ΚΕΝΤΡΙΚΗΣ ΜΑΚΕΔΟΝΙΑΣ"/>
    <x v="1"/>
    <s v="Τοποθέτηση σε Ιδιωτική Εκπαίδευση"/>
    <d v="1994-01-10T00:00:00"/>
    <x v="1"/>
    <s v="ΔΙΕΥΘΥΝΣΗ Π.Ε. ΣΕΡΡΩΝ"/>
    <x v="5"/>
  </r>
  <r>
    <x v="5172"/>
    <x v="1"/>
    <s v="ΠΕ60"/>
    <s v="ΝΗΠΙΑΓΩΓΟΙ"/>
    <m/>
    <m/>
    <s v="Γ΄"/>
    <n v="1"/>
    <s v="Φ.17/3603"/>
    <d v="2018-09-01T00:00:00"/>
    <s v="ΔΥΤ. ΑΤΤΙΚΗΣ (Π.Ε.) 2018"/>
    <s v="ΔΙΕΥΘΥΝΣΗ Π.Ε. ΔΥΤΙΚΗΣ ΑΤΤΙΚΗΣ"/>
    <s v="ΠΕΡΙΦΕΡΕΙΑΚΗ Δ/ΝΣΗ Α/ΘΜΙΑΣ ΚΑΙ Β/ΘΜΙΑΣ ΕΚΠ/ΣΗΣ ΑΤΤΙΚΗΣ"/>
    <n v="25"/>
    <d v="2018-09-01T00:00:00"/>
    <s v="Ιδιωτικά Σχολεία"/>
    <x v="1"/>
    <s v="7531011"/>
    <s v="ΥΠΗΡΕΣΙΕΣ ΠΡΩΤΟΒΑΘΜΙΑΣ ΕΚΠΑΙΔΕΥΣΗΣ - ΣΟΦΙΚΙΤΗ ΚΩΝΣΤΑΝΤΙΝΑ"/>
    <s v="ΔΥΤ. ΑΤΤΙΚΗΣ (Π.Ε.) 2018"/>
    <s v="ΔΙΕΥΘΥΝΣΗ Π.Ε. ΔΥΤΙΚΗΣ ΑΤΤΙΚΗΣ"/>
    <s v="ΠΕΡΙΦΕΡΕΙΑΚΗ Δ/ΝΣΗ Α/ΘΜΙΑΣ ΚΑΙ Β/ΘΜΙΑΣ ΕΚΠ/ΣΗΣ ΑΤΤΙΚΗΣ"/>
    <x v="0"/>
    <s v="Τοποθέτηση σε Ιδιωτική Εκπαίδευση"/>
    <d v="1994-01-01T00:00:00"/>
    <x v="1"/>
    <s v="ΔΙΕΥΘΥΝΣΗ Π.Ε. ΔΥΤΙΚΗΣ ΑΤΤΙΚΗΣ"/>
    <x v="5"/>
  </r>
  <r>
    <x v="5173"/>
    <x v="1"/>
    <s v="ΠΕ60"/>
    <s v="ΝΗΠΙΑΓΩΓΟΙ"/>
    <m/>
    <m/>
    <s v="Γ΄"/>
    <n v="1"/>
    <s v="16619/13-9-2018"/>
    <d v="2018-09-07T00:00:00"/>
    <s v="Α΄ ΠΕΙΡΑΙΑ (Π.Ε.) 2018"/>
    <s v="ΔΙΕΥΘΥΝΣΗ Π.Ε. ΠΕΙΡΑΙΑ"/>
    <s v="ΠΕΡΙΦΕΡΕΙΑΚΗ Δ/ΝΣΗ Α/ΘΜΙΑΣ ΚΑΙ Β/ΘΜΙΑΣ ΕΚΠ/ΣΗΣ ΑΤΤΙΚΗΣ"/>
    <n v="25"/>
    <d v="2018-09-07T00:00:00"/>
    <s v="Ιδιωτικά Σχολεία"/>
    <x v="1"/>
    <s v="7541031"/>
    <s v="ΙΔΙΩΤΙΚΟ ΝΗΠΙΑΓΩΓΕΙΟ ΚΟΡΥΔΑΛΛΟΣ - ΕΚΠΑΙΔΕΥΤΗΡΙΑ ΜΑΚΡΥΓΙΑΝΝΗ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3-10-28T00:00:00"/>
    <x v="1"/>
    <s v="ΔΙΕΥΘΥΝΣΗ Π.Ε. ΠΕΙΡΑΙΑ"/>
    <x v="5"/>
  </r>
  <r>
    <x v="5174"/>
    <x v="1"/>
    <s v="ΠΕ60"/>
    <s v="ΝΗΠΙΑΓΩΓΟΙ"/>
    <m/>
    <m/>
    <s v="Γ΄"/>
    <n v="1"/>
    <n v="16175"/>
    <d v="2018-09-10T00:00:00"/>
    <s v="Α΄ ΠΕΙΡΑΙΑ (Π.Ε.) 2018"/>
    <s v="ΔΙΕΥΘΥΝΣΗ Π.Ε. ΠΕΙΡΑΙΑ"/>
    <s v="ΠΕΡΙΦΕΡΕΙΑΚΗ Δ/ΝΣΗ Α/ΘΜΙΑΣ ΚΑΙ Β/ΘΜΙΑΣ ΕΚΠ/ΣΗΣ ΑΤΤΙΚΗΣ"/>
    <n v="25"/>
    <d v="2018-09-10T00:00:00"/>
    <s v="Ιδιωτικά Σχολεία"/>
    <x v="1"/>
    <s v="7541009"/>
    <s v="ΙΔΙΩΤΙΚΟ ΝΗΠΙΑΓΩΓΕΙΟ ΠΕΙΡΑΙΑΣ - ΑΓ. ΠΟΛΥΚΑΡΠΟΣ-ΑΓΙΟΣ ΓΕΩΡΓΙΟΣ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93-10-18T00:00:00"/>
    <x v="1"/>
    <s v="ΔΙΕΥΘΥΝΣΗ Π.Ε. ΠΕΙΡΑΙΑ"/>
    <x v="5"/>
  </r>
  <r>
    <x v="5175"/>
    <x v="1"/>
    <s v="ΠΕ60"/>
    <s v="ΝΗΠΙΑΓΩΓΟΙ"/>
    <m/>
    <m/>
    <s v="Γ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23"/>
    <s v="ΙΔΙΩΤΙΚΟ ΣΥΣΤΕΓΑΖΟΜΕΝΟ ΝΗΠΙΑΓΩΓΕΙΟ-ΣΤΟΝ ΜΑΓΙΚΟ ΑΥΛΟ"/>
    <s v="Α΄ ΕΥΒΟΙΑΣ (Π.Ε.) 2018"/>
    <s v="ΔΙΕΥΘΥΝΣΗ Π.Ε. ΕΥΒΟΙΑΣ"/>
    <s v="ΠΕΡΙΦΕΡΕΙΑΚΗ Δ/ΝΣΗ Α/ΘΜΙΑΣ ΚΑΙ Β/ΘΜΙΑΣ ΕΚΠ/ΣΗΣ ΣΤΕΡΕΑΣ ΕΛΛΑΔΑΣ"/>
    <x v="0"/>
    <s v="Τοποθέτηση σε Ιδιωτική Εκπαίδευση"/>
    <d v="1993-05-22T00:00:00"/>
    <x v="1"/>
    <s v="ΔΙΕΥΘΥΝΣΗ Π.Ε. ΕΥΒΟΙΑΣ"/>
    <x v="5"/>
  </r>
  <r>
    <x v="5176"/>
    <x v="1"/>
    <s v="ΠΕ60"/>
    <s v="ΝΗΠΙΑΓΩΓΟΙ"/>
    <m/>
    <m/>
    <s v="Γ΄"/>
    <n v="1"/>
    <n v="273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147"/>
    <s v="ΙΔΙΩΤΙΚΟ ΣΥΣΤΕΓΑΖΟΜΕΝΟ ΝΗΠΙΑΓΩΓΕΙΟ - ΔΡΑΚΑ Γ. ΜΑΡΙ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3-02-25T00:00:00"/>
    <x v="1"/>
    <s v="ΔΙΕΥΘΥΝΣΗ Π.Ε. Β΄ ΑΘΗΝΑΣ"/>
    <x v="5"/>
  </r>
  <r>
    <x v="5177"/>
    <x v="1"/>
    <s v="ΠΕ60"/>
    <s v="ΝΗΠΙΑΓΩΓΟΙ"/>
    <m/>
    <m/>
    <s v="Γ΄"/>
    <n v="1"/>
    <n v="4343"/>
    <d v="2018-09-03T00:00:00"/>
    <s v="ΤΡΙΚΑΛΩΝ (Π.Ε.) 2018"/>
    <s v="ΔΙΕΥΘΥΝΣΗ Π.Ε. ΤΡΙΚΑΛΩΝ"/>
    <s v="ΠΕΡΙΦΕΡΕΙΑΚΗ Δ/ΝΣΗ Α/ΘΜΙΑΣ ΚΑΙ Β/ΘΜΙΑΣ ΕΚΠ/ΣΗΣ ΘΕΣΣΑΛΙΑΣ"/>
    <n v="25"/>
    <d v="2018-09-03T00:00:00"/>
    <s v="Ιδιωτικά Σχολεία"/>
    <x v="1"/>
    <s v="7451005"/>
    <s v="ΙΔΙΩΤΙΚΟ ΝΗΠΙΑΓΩΓΕΙΟ ΤΡΙΚΑΛΑ - Φ. ΣΑΚΚΑ ΦΩΤΕΙΝΗ ΣΙΑ Ο.Ε."/>
    <s v="ΤΡΙΚΑΛΩΝ (Π.Ε.) 2018"/>
    <s v="ΔΙΕΥΘΥΝΣΗ Π.Ε. ΤΡΙΚΑΛΩΝ"/>
    <s v="ΠΕΡΙΦΕΡΕΙΑΚΗ Δ/ΝΣΗ Α/ΘΜΙΑΣ ΚΑΙ Β/ΘΜΙΑΣ ΕΚΠ/ΣΗΣ ΘΕΣΣΑΛΙΑΣ"/>
    <x v="0"/>
    <s v="Τοποθέτηση σε Ιδιωτική Εκπαίδευση"/>
    <d v="1993-02-22T00:00:00"/>
    <x v="1"/>
    <s v="ΔΙΕΥΘΥΝΣΗ Π.Ε. ΤΡΙΚΑΛΩΝ"/>
    <x v="5"/>
  </r>
  <r>
    <x v="5178"/>
    <x v="1"/>
    <s v="ΠΕ60"/>
    <s v="ΝΗΠΙΑΓΩΓΟΙ"/>
    <m/>
    <m/>
    <s v="Γ΄"/>
    <n v="1"/>
    <s v="Φ.17.2/8404"/>
    <d v="2018-10-12T00:00:00"/>
    <s v="ΧΑΝΙΩΝ (Π.Ε.) 2018"/>
    <s v="ΔΙΕΥΘΥΝΣΗ Π.Ε. ΧΑΝΙΩΝ"/>
    <s v="ΠΕΡΙΦΕΡΕΙΑΚΗ Δ/ΝΣΗ Α/ΘΜΙΑΣ ΚΑΙ Β/ΘΜΙΑΣ ΕΚΠ/ΣΗΣ ΚΡΗΤΗΣ"/>
    <n v="25"/>
    <d v="2018-10-12T00:00:00"/>
    <s v="Ιδιωτικά Σχολεία"/>
    <x v="1"/>
    <s v="7501017"/>
    <s v="ΙΔΙΩΤΙΚΟ ΣΥΣΤΕΓΑΖΟΜΕΝΟ ΝΗΠΙΑΓΩΓΕΙΟ - ΤΟ ΚΑΣΤΡΟ ΤΟΥ ΤΡΙΛΟΛΗ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92-12-08T00:00:00"/>
    <x v="1"/>
    <s v="ΔΙΕΥΘΥΝΣΗ Π.Ε. ΧΑΝΙΩΝ"/>
    <x v="5"/>
  </r>
  <r>
    <x v="5179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1"/>
    <s v="ΙΔΙΩΤΙΚΟ ΝΗΠΙΑΓΩΓΕΙ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2-11-23T00:00:00"/>
    <x v="1"/>
    <s v="ΔΙΕΥΘΥΝΣΗ Π.Ε. Β΄ ΑΘΗΝΑΣ"/>
    <x v="5"/>
  </r>
  <r>
    <x v="5180"/>
    <x v="1"/>
    <s v="ΠΕ60"/>
    <s v="ΝΗΠΙΑΓΩΓΟΙ"/>
    <m/>
    <m/>
    <s v="Γ΄"/>
    <n v="1"/>
    <s v="Φ.17.2/457/7979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49"/>
    <s v="ΙΔΙΩΤΙΚΟ ΝΗΠΙΑΓΩΓΕΙΟ ΚΗΦΙΣΙΑ - ΣΧΟΛΗ Β. ΜΑΝΤ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2-10-23T00:00:00"/>
    <x v="1"/>
    <s v="ΔΙΕΥΘΥΝΣΗ Π.Ε. Β΄ ΑΘΗΝΑΣ"/>
    <x v="5"/>
  </r>
  <r>
    <x v="5181"/>
    <x v="1"/>
    <s v="ΠΕ60"/>
    <s v="ΝΗΠΙΑΓΩΓΟΙ"/>
    <m/>
    <m/>
    <s v="Γ΄"/>
    <n v="1"/>
    <n v="5529"/>
    <d v="2018-09-01T00:00:00"/>
    <s v="ΑΡΓΟΛΙΔΑΣ (Π.Ε.) 2018"/>
    <s v="ΔΙΕΥΘΥΝΣΗ Π.Ε. ΑΡΓΟΛΙΔΑΣ"/>
    <s v="ΠΕΡΙΦΕΡΕΙΑΚΗ Δ/ΝΣΗ Α/ΘΜΙΑΣ ΚΑΙ Β/ΘΜΙΑΣ ΕΚΠ/ΣΗΣ ΠΕΛΟΠΟΝΝΗΣΟΥ"/>
    <n v="25"/>
    <d v="2018-09-01T00:00:00"/>
    <s v="Ιδιωτικά Σχολεία"/>
    <x v="1"/>
    <s v="7021017"/>
    <s v="ΣΥΣΤΕΓΑΖΟΜΕΝΟ ΝΗΠΙΑΓΩΓΕΙΟ - ΜΑΡΙΝΑΚΗ ΑΘΗΝΑ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92-08-13T00:00:00"/>
    <x v="1"/>
    <s v="ΔΙΕΥΘΥΝΣΗ Π.Ε. ΑΡΓΟΛΙΔΑΣ"/>
    <x v="5"/>
  </r>
  <r>
    <x v="5182"/>
    <x v="1"/>
    <s v="ΠΕ60"/>
    <s v="ΝΗΠΙΑΓΩΓΟΙ"/>
    <m/>
    <m/>
    <s v="Γ΄"/>
    <n v="1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19"/>
    <s v="ΙΔΙΩΤΙΚΟ ΝΗΠΙΑΓΩΓΕΙΟ ΡΕΝΤΖΟΥΛΗ ΦΩΤΕΙΝΗ ΚΑΙ ΣΙΑ Ο.Ε.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92-07-15T00:00:00"/>
    <x v="1"/>
    <s v="ΔΙΕΥΘΥΝΣΗ Π.Ε. ΜΑΓΝΗΣΙΑΣ"/>
    <x v="5"/>
  </r>
  <r>
    <x v="5183"/>
    <x v="1"/>
    <s v="ΠΕ60"/>
    <s v="ΝΗΠΙΑΓΩΓΟΙ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29"/>
    <s v="ΣΥΣΤΕΓΑΖΟΜΕΝΟ ΝΗΠΙΑΓΩΓΕΙΟ - ΜΟΣΧΟΧΩΡΙΤΗ ΝΙΚΟΛΕΤΤ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2-07-02T00:00:00"/>
    <x v="1"/>
    <s v="ΔΙΕΥΘΥΝΣΗ Π.Ε. Δ΄ ΑΘΗΝΑΣ"/>
    <x v="5"/>
  </r>
  <r>
    <x v="5184"/>
    <x v="1"/>
    <s v="ΠΕ60"/>
    <s v="ΝΗΠΙΑΓΩΓΟΙ"/>
    <m/>
    <m/>
    <s v="Γ΄"/>
    <n v="1"/>
    <m/>
    <m/>
    <s v="Α΄ ΚΑΒΑΛΑΣ (Π.Ε.) 2018"/>
    <s v="ΔΙΕΥΘΥΝΣΗ Π.Ε. ΚΑΒΑΛΑΣ"/>
    <s v="ΠΕΡΙΦΕΡΕΙΑΚΗ Δ/ΝΣΗ Α/ΘΜΙΑΣ ΚΑΙ Β/ΘΜΙΑΣ ΕΚΠ/ΣΗΣ ΑΝ. ΜΑΚΕΔΟΝΙΑΣ ΚΑΙ ΘΡΑΚΗΣ"/>
    <n v="25"/>
    <m/>
    <s v="Ιδιωτικά Σχολεία"/>
    <x v="1"/>
    <s v="7211005"/>
    <s v="ΙΔΙΩΤΙΚΟ ΝΗΠΙΑΓΩΓΕΙΟ ΚΑΒΑΛΑ -  ΜΠΛΕ ΜΠΑΛΟΝΙ"/>
    <s v="Α΄ ΚΑΒΑΛΑΣ (Π.Ε.) 2018"/>
    <s v="ΔΙΕΥΘΥΝΣΗ Π.Ε. ΚΑΒΑΛΑΣ"/>
    <s v="ΠΕΡΙΦΕΡΕΙΑΚΗ Δ/ΝΣΗ Α/ΘΜΙΑΣ ΚΑΙ Β/ΘΜΙΑΣ ΕΚΠ/ΣΗΣ ΑΝ. ΜΑΚΕΔΟΝΙΑΣ ΚΑΙ ΘΡΑΚΗΣ"/>
    <x v="1"/>
    <s v="Τοποθέτηση σε Ιδιωτική Εκπαίδευση"/>
    <d v="1992-06-18T00:00:00"/>
    <x v="1"/>
    <s v="ΔΙΕΥΘΥΝΣΗ Π.Ε. ΚΑΒΑΛΑΣ"/>
    <x v="5"/>
  </r>
  <r>
    <x v="5185"/>
    <x v="1"/>
    <s v="ΠΕ60"/>
    <s v="ΝΗΠΙΑΓΩΓΟΙ"/>
    <m/>
    <m/>
    <s v="Γ΄"/>
    <n v="1"/>
    <s v="Φ.17/6451/10-09-2018"/>
    <d v="2018-09-01T00:00:00"/>
    <s v="ΙΩΑΝΝΙΝΩΝ (Π.Ε.) 2018"/>
    <s v="ΔΙΕΥΘΥΝΣΗ Π.Ε. ΙΩΑΝΝΙΝΩΝ"/>
    <s v="ΠΕΡΙΦΕΡΕΙΑΚΗ Δ/ΝΣΗ Α/ΘΜΙΑΣ ΚΑΙ Β/ΘΜΙΑΣ ΕΚΠ/ΣΗΣ ΗΠΕΙΡΟΥ"/>
    <n v="25"/>
    <d v="2018-09-01T00:00:00"/>
    <s v="Ιδιωτικά Σχολεία"/>
    <x v="1"/>
    <s v="7201007"/>
    <s v="ΙΔΙΩΤΙΚΟ ΝΗΠΙΑΓΩΓΕΙΟ - &quot;ΗΛΙΟΤΡΟΠΙΟ&quot;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92-05-29T00:00:00"/>
    <x v="1"/>
    <s v="ΔΙΕΥΘΥΝΣΗ Π.Ε. ΙΩΑΝΝΙΝΩΝ"/>
    <x v="5"/>
  </r>
  <r>
    <x v="5186"/>
    <x v="1"/>
    <s v="ΠΕ60"/>
    <s v="ΝΗΠΙΑΓΩΓΟΙ"/>
    <m/>
    <m/>
    <s v="Γ΄"/>
    <n v="1"/>
    <s v="Φ.17/6002/14-09-2018"/>
    <d v="2018-09-01T00:00:00"/>
    <s v="ΙΩΑΝΝΙΝΩΝ (Π.Ε.) 2018"/>
    <s v="ΔΙΕΥΘΥΝΣΗ Π.Ε. ΙΩΑΝΝΙΝΩΝ"/>
    <s v="ΠΕΡΙΦΕΡΕΙΑΚΗ Δ/ΝΣΗ Α/ΘΜΙΑΣ ΚΑΙ Β/ΘΜΙΑΣ ΕΚΠ/ΣΗΣ ΗΠΕΙΡΟΥ"/>
    <n v="25"/>
    <d v="2018-09-01T00:00:00"/>
    <s v="Ιδιωτικά Σχολεία"/>
    <x v="1"/>
    <s v="7201005"/>
    <s v="ΙΔΙΩΤΙΚΟ ΝΗΠΙΑΓΩΓΕΙΟ ΙΩΑΝΝΙΝΑ - ΤΟ ΠΑΡΑΜΥΘΙ ΤΗΣ ΠΕΤΑΛΟΥΔΑΣ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92-04-12T00:00:00"/>
    <x v="1"/>
    <s v="ΔΙΕΥΘΥΝΣΗ Π.Ε. ΙΩΑΝΝΙΝΩΝ"/>
    <x v="5"/>
  </r>
  <r>
    <x v="5187"/>
    <x v="1"/>
    <s v="ΠΕ60"/>
    <s v="ΝΗΠΙΑΓΩΓΟΙ"/>
    <m/>
    <m/>
    <s v="Γ΄"/>
    <n v="1"/>
    <n v="10769"/>
    <d v="2018-09-01T00:00:00"/>
    <s v="ΠΕΛΛΑΣ (Π.Ε.) 2018"/>
    <s v="ΔΙΕΥΘΥΝΣΗ Π.Ε. ΠΕΛΛΑΣ"/>
    <s v="ΠΕΡΙΦΕΡΕΙΑΚΗ Δ/ΝΣΗ Α/ΘΜΙΑΣ ΚΑΙ Β/ΘΜΙΑΣ ΕΚΠ/ΣΗΣ ΚΕΝΤΡΙΚΗΣ ΜΑΚΕΔΟΝΙΑΣ"/>
    <n v="25"/>
    <d v="2018-09-01T00:00:00"/>
    <s v="Ιδιωτικά Σχολεία"/>
    <x v="1"/>
    <s v="7381001"/>
    <s v="ΙΔΙΩΤΙΚΟ ΝΗΠΙΑΓΩΓΕΙΟ ΕΔΕΣΣΑΣ - ΙΔΙΩΤΙΚΟ ΔΕΛΗΓΙΑΝΝΗ ΟΛΥΜΠΙΑ Κ ΣΙΑ Ο.Ε"/>
    <s v="ΠΕΛΛΑΣ (Π.Ε.) 2018"/>
    <s v="ΔΙΕΥΘΥΝΣΗ Π.Ε. ΠΕΛΛΑΣ"/>
    <s v="ΠΕΡΙΦΕΡΕΙΑΚΗ Δ/ΝΣΗ Α/ΘΜΙΑΣ ΚΑΙ Β/ΘΜΙΑΣ ΕΚΠ/ΣΗΣ ΚΕΝΤΡΙΚΗΣ ΜΑΚΕΔΟΝΙΑΣ"/>
    <x v="1"/>
    <s v="Τοποθέτηση σε Ιδιωτική Εκπαίδευση"/>
    <d v="1992-03-27T00:00:00"/>
    <x v="1"/>
    <s v="ΔΙΕΥΘΥΝΣΗ Π.Ε. ΠΕΛΛΑΣ"/>
    <x v="5"/>
  </r>
  <r>
    <x v="5188"/>
    <x v="1"/>
    <s v="ΠΕ60"/>
    <s v="ΝΗΠΙΑΓΩΓΟΙ"/>
    <m/>
    <m/>
    <s v="Γ΄"/>
    <n v="1"/>
    <n v="887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69"/>
    <s v="1ο ΝΗΠΙΑΓΩΓΕΙΟ ΠΑΣΧΑΛΗ ΧΡΙΣΤΙΝΑ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91-11-18T00:00:00"/>
    <x v="1"/>
    <s v="ΔΙΕΥΘΥΝΣΗ Π.Ε. Δ΄ ΑΘΗΝΑΣ"/>
    <x v="5"/>
  </r>
  <r>
    <x v="5189"/>
    <x v="1"/>
    <s v="ΠΕ60"/>
    <s v="ΝΗΠΙΑΓΩΓΟΙ"/>
    <m/>
    <m/>
    <s v="Γ΄"/>
    <n v="1"/>
    <s v="7305/08-10-2018"/>
    <d v="2018-09-26T00:00:00"/>
    <s v="ΙΩΑΝΝΙΝΩΝ (Π.Ε.) 2018"/>
    <s v="ΔΙΕΥΘΥΝΣΗ Π.Ε. ΙΩΑΝΝΙΝΩΝ"/>
    <s v="ΠΕΡΙΦΕΡΕΙΑΚΗ Δ/ΝΣΗ Α/ΘΜΙΑΣ ΚΑΙ Β/ΘΜΙΑΣ ΕΚΠ/ΣΗΣ ΗΠΕΙΡΟΥ"/>
    <n v="25"/>
    <d v="2018-09-26T00:00:00"/>
    <s v="Ιδιωτικά Σχολεία"/>
    <x v="1"/>
    <s v="7201023"/>
    <s v="ΙΔΙΩΤΙΚΟ ΣΥΣΤΕΓΑΖΟΜΕΝΟ ΝΗΠΙΑΓΩΓΕΙΟ - ΠΡΩΤΗ ΠΡΟΒΑ ΙΩΑΝΝΙΝΩΝ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91-11-17T00:00:00"/>
    <x v="1"/>
    <s v="ΔΙΕΥΘΥΝΣΗ Π.Ε. ΙΩΑΝΝΙΝΩΝ"/>
    <x v="5"/>
  </r>
  <r>
    <x v="5190"/>
    <x v="1"/>
    <s v="ΠΕ60"/>
    <s v="ΝΗΠΙΑΓΩΓΟΙ"/>
    <m/>
    <m/>
    <s v="Γ΄"/>
    <n v="1"/>
    <n v="11270"/>
    <d v="2018-10-19T00:00:00"/>
    <s v="Δ΄ ΑΘΗΝΑΣ (Π.Ε.) 2018"/>
    <s v="ΔΙΕΥΘΥΝΣΗ Π.Ε. Δ΄ ΑΘΗΝΑΣ"/>
    <s v="ΠΕΡΙΦΕΡΕΙΑΚΗ Δ/ΝΣΗ Α/ΘΜΙΑΣ ΚΑΙ Β/ΘΜΙΑΣ ΕΚΠ/ΣΗΣ ΑΤΤΙΚΗΣ"/>
    <n v="25"/>
    <d v="2018-10-19T00:00:00"/>
    <s v="Ιδιωτικά Σχολεία"/>
    <x v="1"/>
    <s v="7054147"/>
    <s v="ΣΥΣΤΕΓΑΖΟΜΕΝΟ ΙΔΙΩΤΙΚΟ ΝΗΠΙΑΓΩΓΕΙΟ ΧΑΝΤΖΗ ΜΑΡΙΑΝ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11-14T00:00:00"/>
    <x v="1"/>
    <s v="ΔΙΕΥΘΥΝΣΗ Π.Ε. Δ΄ ΑΘΗΝΑΣ"/>
    <x v="5"/>
  </r>
  <r>
    <x v="5191"/>
    <x v="1"/>
    <s v="ΠΕ60"/>
    <s v="ΝΗΠΙΑΓΩΓΟΙ"/>
    <m/>
    <m/>
    <s v="Γ΄"/>
    <n v="1"/>
    <n v="6121"/>
    <d v="2018-10-25T00:00:00"/>
    <s v="ΤΡΙΚΑΛΩΝ (Π.Ε.) 2018"/>
    <s v="ΔΙΕΥΘΥΝΣΗ Π.Ε. ΤΡΙΚΑΛΩΝ"/>
    <s v="ΠΕΡΙΦΕΡΕΙΑΚΗ Δ/ΝΣΗ Α/ΘΜΙΑΣ ΚΑΙ Β/ΘΜΙΑΣ ΕΚΠ/ΣΗΣ ΘΕΣΣΑΛΙΑΣ"/>
    <n v="25"/>
    <d v="2018-10-25T00:00:00"/>
    <s v="Ιδιωτικά Σχολεία"/>
    <x v="1"/>
    <s v="7451023"/>
    <s v="Ιδιωτικό Νηπιαγωγείο - Χαμογελαστή Μαργαρίτα"/>
    <s v="ΤΡΙΚΑΛΩΝ (Π.Ε.) 2018"/>
    <s v="ΔΙΕΥΘΥΝΣΗ Π.Ε. ΤΡΙΚΑΛΩΝ"/>
    <s v="ΠΕΡΙΦΕΡΕΙΑΚΗ Δ/ΝΣΗ Α/ΘΜΙΑΣ ΚΑΙ Β/ΘΜΙΑΣ ΕΚΠ/ΣΗΣ ΘΕΣΣΑΛΙΑΣ"/>
    <x v="0"/>
    <s v="Τοποθέτηση σε Ιδιωτική Εκπαίδευση"/>
    <d v="1991-11-04T00:00:00"/>
    <x v="1"/>
    <s v="ΔΙΕΥΘΥΝΣΗ Π.Ε. ΤΡΙΚΑΛΩΝ"/>
    <x v="5"/>
  </r>
  <r>
    <x v="5192"/>
    <x v="1"/>
    <s v="ΠΕ60"/>
    <s v="ΝΗΠΙΑΓΩΓΟΙ"/>
    <m/>
    <m/>
    <s v="Γ΄"/>
    <n v="1"/>
    <n v="57"/>
    <d v="2018-09-04T00:00:00"/>
    <s v="ΑΧΑΪΑΣ (Π.Ε.) 2018"/>
    <s v="ΔΙΕΥΘΥΝΣΗ Π.Ε. ΑΧΑΪΑΣ"/>
    <s v="ΠΕΡΙΦΕΡΕΙΑΚΗ Δ/ΝΣΗ Α/ΘΜΙΑΣ ΚΑΙ Β/ΘΜΙΑΣ ΕΚΠ/ΣΗΣ ΔΥΤΙΚΗΣ ΕΛΛΑΔΑΣ"/>
    <n v="25"/>
    <d v="2018-09-04T00:00:00"/>
    <s v="Ιδιωτικά Σχολεία"/>
    <x v="1"/>
    <s v="7061013"/>
    <s v="ΙΔΙΩΤΙΚΟ ΝΗΠΙΑΓΩΓΕΙΟ ΠΛΑΤΑΝΙ ΡΙΟΥ - ΑΡΣΑΚΕΙΟ ΝΗΠΙΑΓΩΓΕΙΟ ΠΑΤΡΩΝ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91-09-04T00:00:00"/>
    <x v="1"/>
    <s v="ΔΙΕΥΘΥΝΣΗ Π.Ε. ΑΧΑΪΑΣ"/>
    <x v="5"/>
  </r>
  <r>
    <x v="5193"/>
    <x v="1"/>
    <s v="ΠΕ60"/>
    <s v="ΝΗΠΙΑΓΩΓΟΙ"/>
    <m/>
    <m/>
    <s v="Γ΄"/>
    <n v="1"/>
    <s v="Φ.17/3587"/>
    <d v="2018-09-01T00:00:00"/>
    <s v="ΔΥΤ. ΑΤΤΙΚΗΣ (Π.Ε.) 2018"/>
    <s v="ΔΙΕΥΘΥΝΣΗ Π.Ε. ΔΥΤΙΚΗΣ ΑΤΤΙΚΗΣ"/>
    <s v="ΠΕΡΙΦΕΡΕΙΑΚΗ Δ/ΝΣΗ Α/ΘΜΙΑΣ ΚΑΙ Β/ΘΜΙΑΣ ΕΚΠ/ΣΗΣ ΑΤΤΙΚΗΣ"/>
    <n v="25"/>
    <d v="2018-09-01T00:00:00"/>
    <s v="Ιδιωτικά Σχολεία"/>
    <x v="1"/>
    <s v="7531015"/>
    <s v="ΙΔΙΩΤΙΚΟ ΣΥΣΤΕΓΑΖΟΜΕΝΟ ΝΗΠΙΑΓΩΓΕΙΟ - ΚΟΝΤΟΠΟΥΛΟΥ ΕΥΦΡΟΣΥΝΗ"/>
    <s v="ΔΥΤ. ΑΤΤΙΚΗΣ (Π.Ε.) 2018"/>
    <s v="ΔΙΕΥΘΥΝΣΗ Π.Ε. ΔΥΤΙΚΗΣ ΑΤΤΙΚΗΣ"/>
    <s v="ΠΕΡΙΦΕΡΕΙΑΚΗ Δ/ΝΣΗ Α/ΘΜΙΑΣ ΚΑΙ Β/ΘΜΙΑΣ ΕΚΠ/ΣΗΣ ΑΤΤΙΚΗΣ"/>
    <x v="0"/>
    <s v="Τοποθέτηση σε Ιδιωτική Εκπαίδευση"/>
    <d v="1991-08-24T00:00:00"/>
    <x v="1"/>
    <s v="ΔΙΕΥΘΥΝΣΗ Π.Ε. ΔΥΤΙΚΗΣ ΑΤΤΙΚΗΣ"/>
    <x v="5"/>
  </r>
  <r>
    <x v="5194"/>
    <x v="1"/>
    <s v="ΠΕ60"/>
    <s v="ΝΗΠΙΑΓΩΓΟΙ"/>
    <m/>
    <m/>
    <s v="Γ΄"/>
    <n v="1"/>
    <n v="20492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85"/>
    <s v="ΛΟΥΣΙΝΤΑ ΚΩΝΣΤΑΝΤΙΝΙΔΟΥ &amp; ΣΙΑ Ο.Ε. (ΛΟΥΣΙΝΤΑ ΚΩΝΣΤΑΝΤΙΝΙΔΟΥ &amp; ΣΙΑ Ο.Ε.)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08-12T00:00:00"/>
    <x v="1"/>
    <s v="ΔΙΕΥΘΥΝΣΗ Π.Ε. Δ΄ ΑΘΗΝΑΣ"/>
    <x v="5"/>
  </r>
  <r>
    <x v="5195"/>
    <x v="1"/>
    <s v="ΠΕ60"/>
    <s v="ΝΗΠΙΑΓΩΓΟΙ"/>
    <m/>
    <m/>
    <s v="Γ΄"/>
    <n v="1"/>
    <s v="ΑΠ1896518"/>
    <d v="2018-09-11T00:00:00"/>
    <s v="ΗΛΕΙΑΣ (Π.Ε.) 2018"/>
    <s v="ΔΙΕΥΘΥΝΣΗ Π.Ε. ΗΛΕΙΑΣ"/>
    <s v="ΠΕΡΙΦΕΡΕΙΑΚΗ Δ/ΝΣΗ Α/ΘΜΙΑΣ ΚΑΙ Β/ΘΜΙΑΣ ΕΚΠ/ΣΗΣ ΔΥΤΙΚΗΣ ΕΛΛΑΔΑΣ"/>
    <n v="25"/>
    <d v="2018-09-11T00:00:00"/>
    <s v="Ιδιωτικά Σχολεία"/>
    <x v="1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s v="ΔΙΕΥΘΥΝΣΗ Π.Ε. ΗΛΕΙΑΣ"/>
    <s v="ΠΕΡΙΦΕΡΕΙΑΚΗ Δ/ΝΣΗ Α/ΘΜΙΑΣ ΚΑΙ Β/ΘΜΙΑΣ ΕΚΠ/ΣΗΣ ΔΥΤΙΚΗΣ ΕΛΛΑΔΑΣ"/>
    <x v="0"/>
    <s v="Τοποθέτηση σε Ιδιωτική Εκπαίδευση"/>
    <d v="1991-07-29T00:00:00"/>
    <x v="1"/>
    <s v="ΔΙΕΥΘΥΝΣΗ Π.Ε. ΗΛΕΙΑΣ"/>
    <x v="5"/>
  </r>
  <r>
    <x v="5196"/>
    <x v="1"/>
    <s v="ΠΕ60"/>
    <s v="ΝΗΠΙΑΓΩΓΟΙ"/>
    <m/>
    <m/>
    <s v="Γ΄"/>
    <n v="1"/>
    <s v="9998/1"/>
    <d v="2018-09-19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8-09-19T00:00:00"/>
    <s v="Ιδιωτικά Σχολεία"/>
    <x v="1"/>
    <s v="7192057"/>
    <s v="ΙΔΙΩΤΙΚΟ  ΝΗΠΙΑΓΩΓΕΙΟ - HAPPY KIDDO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1-06-28T00:00:00"/>
    <x v="1"/>
    <s v="ΔΙΕΥΘΥΝΣΗ Π.Ε. ΔΥΤ. ΘΕΣ/ΝΙΚΗΣ"/>
    <x v="5"/>
  </r>
  <r>
    <x v="5197"/>
    <x v="1"/>
    <s v="ΠΕ60"/>
    <s v="ΝΗΠΙΑΓΩΓΟΙ"/>
    <m/>
    <m/>
    <s v="Γ΄"/>
    <n v="1"/>
    <n v="1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147"/>
    <s v="ΙΔΙΩΤΙΚΟ ΣΥΣΤΕΓΑΖΟΜΕΝΟ ΝΗΠΙΑΓΩΓΕΙΟ - ΔΡΑΚΑ Γ. ΜΑΡ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1-06-26T00:00:00"/>
    <x v="1"/>
    <s v="ΔΙΕΥΘΥΝΣΗ Π.Ε. Β΄ ΑΘΗΝΑΣ"/>
    <x v="5"/>
  </r>
  <r>
    <x v="5198"/>
    <x v="1"/>
    <s v="ΠΕ60"/>
    <s v="ΝΗΠΙΑΓΩΓΟΙ"/>
    <m/>
    <m/>
    <s v="Γ΄"/>
    <n v="1"/>
    <m/>
    <m/>
    <s v="ΗΛΕΙΑΣ (Π.Ε.) 2018"/>
    <s v="ΔΙΕΥΘΥΝΣΗ Π.Ε. ΗΛΕΙΑΣ"/>
    <s v="ΠΕΡΙΦΕΡΕΙΑΚΗ Δ/ΝΣΗ Α/ΘΜΙΑΣ ΚΑΙ Β/ΘΜΙΑΣ ΕΚΠ/ΣΗΣ ΔΥΤΙΚΗΣ ΕΛΛΑΔΑΣ"/>
    <n v="25"/>
    <m/>
    <s v="Ιδιωτικά Σχολεία"/>
    <x v="1"/>
    <s v="7151005"/>
    <s v="ΙΔΙΩΤΙΚΟ ΣΥΣΤΕΓΑΖΟΜΕΝΟ ΝΗΠΙΑΓΩΓΕΙΟ - ΠΑΝΤΑΖΟΠΟΥΛΟΥ ΙΩΑΝΝΑ"/>
    <s v="ΗΛΕΙΑΣ (Π.Ε.) 2018"/>
    <s v="ΔΙΕΥΘΥΝΣΗ Π.Ε. ΗΛΕΙΑΣ"/>
    <s v="ΠΕΡΙΦΕΡΕΙΑΚΗ Δ/ΝΣΗ Α/ΘΜΙΑΣ ΚΑΙ Β/ΘΜΙΑΣ ΕΚΠ/ΣΗΣ ΔΥΤΙΚΗΣ ΕΛΛΑΔΑΣ"/>
    <x v="0"/>
    <s v="Τοποθέτηση σε Ιδιωτική Εκπαίδευση"/>
    <d v="1991-06-24T00:00:00"/>
    <x v="1"/>
    <s v="ΔΙΕΥΘΥΝΣΗ Π.Ε. ΗΛΕΙΑΣ"/>
    <x v="5"/>
  </r>
  <r>
    <x v="5199"/>
    <x v="1"/>
    <s v="ΠΕ60"/>
    <s v="ΝΗΠΙΑΓΩΓΟΙ"/>
    <m/>
    <m/>
    <s v="Γ΄"/>
    <n v="1"/>
    <s v="Φ.Ι.Α.4/21470/15-9-2015"/>
    <d v="2018-09-11T00:00:00"/>
    <s v="Β΄ ΑΝΑΤ. ΑΤΤΙΚΗΣ (Π.Ε.) 2018"/>
    <s v="ΔΙΕΥΘΥΝΣΗ Π.Ε. ΑΝΑΤΟΛΙΚΗΣ ΑΤΤΙΚΗΣ"/>
    <s v="ΠΕΡΙΦΕΡΕΙΑΚΗ Δ/ΝΣΗ Α/ΘΜΙΑΣ ΚΑΙ Β/ΘΜΙΑΣ ΕΚΠ/ΣΗΣ ΑΤΤΙΚΗΣ"/>
    <n v="25"/>
    <d v="2018-09-11T00:00:00"/>
    <s v="Ιδιωτικά Σχολεία"/>
    <x v="1"/>
    <s v="7521143"/>
    <s v="ΙΔΙΩΤΙΚΟ ΝΗΠΙΑΓΩΓΕΙΟ - ΟΝΕΙΡΟΧΩΡΑ (2o)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1-06-03T00:00:00"/>
    <x v="1"/>
    <s v="ΔΙΕΥΘΥΝΣΗ Π.Ε. ΑΝΑΤΟΛΙΚΗΣ ΑΤΤΙΚΗΣ"/>
    <x v="5"/>
  </r>
  <r>
    <x v="5200"/>
    <x v="1"/>
    <s v="ΠΕ60"/>
    <s v="ΝΗΠΙΑΓΩΓΟΙ"/>
    <m/>
    <m/>
    <s v="Γ΄"/>
    <n v="1"/>
    <s v="Φ.Ι.Α.4/21469/15-9-2015"/>
    <d v="2015-09-12T00:00:00"/>
    <s v="Β΄ ΑΝΑΤ. ΑΤΤΙΚΗΣ (Π.Ε.) 2018"/>
    <s v="ΔΙΕΥΘΥΝΣΗ Π.Ε. ΑΝΑΤΟΛΙΚΗΣ ΑΤΤΙΚΗΣ"/>
    <s v="ΠΕΡΙΦΕΡΕΙΑΚΗ Δ/ΝΣΗ Α/ΘΜΙΑΣ ΚΑΙ Β/ΘΜΙΑΣ ΕΚΠ/ΣΗΣ ΑΤΤΙΚΗΣ"/>
    <n v="25"/>
    <d v="2015-09-12T00:00:00"/>
    <s v="Ιδιωτικά Σχολεία"/>
    <x v="1"/>
    <s v="7521143"/>
    <s v="ΙΔΙΩΤΙΚΟ ΝΗΠΙΑΓΩΓΕΙΟ - ΟΝΕΙΡΟΧΩΡΑ (2o)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91-05-23T00:00:00"/>
    <x v="1"/>
    <s v="ΔΙΕΥΘΥΝΣΗ Π.Ε. ΑΝΑΤΟΛΙΚΗΣ ΑΤΤΙΚΗΣ"/>
    <x v="5"/>
  </r>
  <r>
    <x v="5201"/>
    <x v="1"/>
    <s v="ΠΕ60"/>
    <s v="ΝΗΠΙΑΓΩΓΟΙ"/>
    <m/>
    <m/>
    <s v="Γ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19"/>
    <s v="ΙΔΙΩΤΙΚΟ ΝΗΠΙΑΓΩΓΕΙΟ ΛΑΜΙΑ - ΗΛΙΑΧΤΙΔ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91-05-15T00:00:00"/>
    <x v="1"/>
    <s v="ΔΙΕΥΘΥΝΣΗ Π.Ε. ΦΘΙΩΤΙΔΑΣ"/>
    <x v="5"/>
  </r>
  <r>
    <x v="5202"/>
    <x v="1"/>
    <s v="ΠΕ60"/>
    <s v="ΝΗΠΙΑΓΩΓΟΙ"/>
    <m/>
    <m/>
    <s v="Γ΄"/>
    <n v="1"/>
    <n v="1322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65"/>
    <s v="ΙΔΙΩΤΙΚΟ ΝΗΠΙΑΓΩΓΕΙΟ -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05-14T00:00:00"/>
    <x v="1"/>
    <s v="ΔΙΕΥΘΥΝΣΗ Π.Ε. Δ΄ ΑΘΗΝΑΣ"/>
    <x v="5"/>
  </r>
  <r>
    <x v="5203"/>
    <x v="1"/>
    <s v="ΠΕ60"/>
    <s v="ΝΗΠΙΑΓΩΓΟΙ"/>
    <m/>
    <m/>
    <s v="Γ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25"/>
    <m/>
    <s v="Ιδιωτικά Σχολεία"/>
    <x v="1"/>
    <s v="7531013"/>
    <s v="ΙΔΙΩΤΙΚΟ ΝΗΠΙΑΓΩΓΕΙΟ - ΒΑΣΙΛΙΚΗ ΜΑΡΟΥΓΚΑ"/>
    <s v="ΔΥΤ. ΑΤΤΙΚΗΣ (Π.Ε.) 2018"/>
    <s v="ΔΙΕΥΘΥΝΣΗ Π.Ε. ΔΥΤΙΚΗΣ ΑΤΤΙΚΗΣ"/>
    <s v="ΠΕΡΙΦΕΡΕΙΑΚΗ Δ/ΝΣΗ Α/ΘΜΙΑΣ ΚΑΙ Β/ΘΜΙΑΣ ΕΚΠ/ΣΗΣ ΑΤΤΙΚΗΣ"/>
    <x v="1"/>
    <s v="Τοποθέτηση σε Ιδιωτική Εκπαίδευση"/>
    <d v="1991-04-20T00:00:00"/>
    <x v="1"/>
    <s v="ΔΙΕΥΘΥΝΣΗ Π.Ε. ΔΥΤΙΚΗΣ ΑΤΤΙΚΗΣ"/>
    <x v="5"/>
  </r>
  <r>
    <x v="5204"/>
    <x v="1"/>
    <s v="ΠΕ60"/>
    <s v="ΝΗΠΙΑΓΩΓ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85"/>
    <s v="ΙΔΙΩΤΙΚΟ ΝΗΠΙΑΓΩΓΕΙΟ - ΠΡΟΤΥΠΟ ΠΑΙΔΙΚΟ ΚΕΝΤΡΟ ΝΗΠΙΑΚΟΣ ΚΗΠΟ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91-03-03T00:00:00"/>
    <x v="1"/>
    <s v="ΔΙΕΥΘΥΝΣΗ Π.Ε. ΑΝΑΤ. ΘΕΣ/ΝΙΚΗΣ"/>
    <x v="5"/>
  </r>
  <r>
    <x v="5205"/>
    <x v="1"/>
    <s v="ΠΕ60"/>
    <s v="ΝΗΠΙΑΓΩΓΟΙ"/>
    <m/>
    <m/>
    <s v="Γ΄"/>
    <n v="1"/>
    <n v="12932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65"/>
    <s v="ΙΔΙΩΤΙΚΟ ΝΗΠΙΑΓΩΓΕΙΟ -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1-02-16T00:00:00"/>
    <x v="1"/>
    <s v="ΔΙΕΥΘΥΝΣΗ Π.Ε. Δ΄ ΑΘΗΝΑΣ"/>
    <x v="5"/>
  </r>
  <r>
    <x v="5206"/>
    <x v="1"/>
    <s v="ΠΕ60"/>
    <s v="ΝΗΠΙΑΓΩΓΟΙ"/>
    <m/>
    <m/>
    <s v="Γ΄"/>
    <n v="1"/>
    <s v="8665-4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25"/>
    <d v="2018-09-01T00:00:00"/>
    <s v="Ιδιωτικά Σχολεία"/>
    <x v="1"/>
    <s v="7371003"/>
    <s v="ΙΔΙΩΤΙΚΟ ΝΗΠΙΑΓΩΓΕΙΟ ΞΑΝΘΗ - ΕΛΙΜΚΟ ΕΚΠΑΙΔΕΥΤΙΚΗ - ΠΟΛΙΤΙΣΤΙΚΗ-ΑΘΛΗΤΙΚΗ-ΤΟΥΡΙΣΤΙΚΗ ΑΝΩΝΥΜΗ ΕΤΑΙΡΕΙΑ"/>
    <s v="ΞΑΝΘΗΣ (Π.Ε.) 2018"/>
    <s v="ΔΙΕΥΘΥΝΣΗ Π.Ε. ΞΑΝΘΗΣ"/>
    <s v="ΠΕΡΙΦΕΡΕΙΑΚΗ Δ/ΝΣΗ Α/ΘΜΙΑΣ ΚΑΙ Β/ΘΜΙΑΣ ΕΚΠ/ΣΗΣ ΑΝ. ΜΑΚΕΔΟΝΙΑΣ ΚΑΙ ΘΡΑΚΗΣ"/>
    <x v="1"/>
    <s v="Τοποθέτηση σε Ιδιωτική Εκπαίδευση"/>
    <d v="1991-02-11T00:00:00"/>
    <x v="1"/>
    <s v="ΔΙΕΥΘΥΝΣΗ Π.Ε. ΞΑΝΘΗΣ"/>
    <x v="5"/>
  </r>
  <r>
    <x v="5207"/>
    <x v="1"/>
    <s v="ΠΕ60"/>
    <s v="ΝΗΠΙΑΓΩΓΟΙ"/>
    <m/>
    <m/>
    <s v="Γ΄"/>
    <n v="1"/>
    <n v="5014"/>
    <d v="2017-09-05T00:00:00"/>
    <s v="ΚΟΖΑΝΗΣ (Π.Ε.) 2018"/>
    <s v="ΔΙΕΥΘΥΝΣΗ Π.Ε. ΚΟΖΑΝΗΣ"/>
    <s v="ΠΕΡΙΦΕΡΕΙΑΚΗ Δ/ΝΣΗ Α/ΘΜΙΑΣ ΚΑΙ Β/ΘΜΙΑΣ ΕΚΠ/ΣΗΣ ΔΥΤΙΚΗΣ ΜΑΚΕΔΟΝΙΑΣ"/>
    <n v="25"/>
    <d v="2017-09-05T00:00:00"/>
    <s v="Ιδιωτικά Σχολεία"/>
    <x v="1"/>
    <s v="7271015"/>
    <s v="ΙΔΙΩΤΙΚΟ ΝΗΠΙΑΓΩΓΕΙΟ ΠΤΟΛΕΜΑΪΔΑ - ΚΟΥΤΡΟΥΔΗ ΓΕΩΡΓΙΑ"/>
    <s v="ΚΟΖΑΝΗΣ (Π.Ε.) 2018"/>
    <s v="ΔΙΕΥΘΥΝΣΗ Π.Ε. ΚΟΖΑΝΗΣ"/>
    <s v="ΠΕΡΙΦΕΡΕΙΑΚΗ Δ/ΝΣΗ Α/ΘΜΙΑΣ ΚΑΙ Β/ΘΜΙΑΣ ΕΚΠ/ΣΗΣ ΔΥΤΙΚΗΣ ΜΑΚΕΔΟΝΙΑΣ"/>
    <x v="0"/>
    <s v="Τοποθέτηση σε Ιδιωτική Εκπαίδευση"/>
    <d v="1990-12-01T00:00:00"/>
    <x v="1"/>
    <s v="ΔΙΕΥΘΥΝΣΗ Π.Ε. ΚΟΖΑΝΗΣ"/>
    <x v="5"/>
  </r>
  <r>
    <x v="5208"/>
    <x v="1"/>
    <s v="ΠΕ60"/>
    <s v="ΝΗΠΙΑΓΩΓΟΙ"/>
    <m/>
    <m/>
    <s v="Γ΄"/>
    <n v="1"/>
    <s v="61ΗΔ4653ΠΣ-06Ψ"/>
    <d v="2018-09-03T00:00:00"/>
    <s v="ΚΑΣΤΟΡΙΑΣ (Π.Ε.) 2018"/>
    <s v="ΔΙΕΥΘΥΝΣΗ Π.Ε. ΚΑΣΤΟΡΙΑΣ"/>
    <s v="ΠΕΡΙΦΕΡΕΙΑΚΗ Δ/ΝΣΗ Α/ΘΜΙΑΣ ΚΑΙ Β/ΘΜΙΑΣ ΕΚΠ/ΣΗΣ ΔΥΤΙΚΗΣ ΜΑΚΕΔΟΝΙΑΣ"/>
    <n v="25"/>
    <d v="2018-09-03T00:00:00"/>
    <s v="Ιδιωτικά Σχολεία"/>
    <x v="1"/>
    <s v="7231001"/>
    <s v="Ιδιωτικό Συστεγαζόμενο Νηπιαγωγείο - ΜΙΚΡΟΙ ΕΞΕΡΕΥΝΗΤΕΣ"/>
    <s v="ΚΑΣΤΟΡΙΑΣ (Π.Ε.) 2018"/>
    <s v="ΔΙΕΥΘΥΝΣΗ Π.Ε. ΚΑΣΤΟΡΙΑΣ"/>
    <s v="ΠΕΡΙΦΕΡΕΙΑΚΗ Δ/ΝΣΗ Α/ΘΜΙΑΣ ΚΑΙ Β/ΘΜΙΑΣ ΕΚΠ/ΣΗΣ ΔΥΤΙΚΗΣ ΜΑΚΕΔΟΝΙΑΣ"/>
    <x v="0"/>
    <s v="Τοποθέτηση σε Ιδιωτική Εκπαίδευση"/>
    <d v="1990-11-10T00:00:00"/>
    <x v="1"/>
    <s v="ΔΙΕΥΘΥΝΣΗ Π.Ε. ΚΑΣΤΟΡΙΑΣ"/>
    <x v="5"/>
  </r>
  <r>
    <x v="5209"/>
    <x v="1"/>
    <s v="ΠΕ60"/>
    <s v="ΝΗΠΙΑΓΩΓΟΙ"/>
    <m/>
    <m/>
    <s v="Γ΄"/>
    <n v="1"/>
    <n v="1161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49"/>
    <s v="Παιδαγωγικά Εργαστήρια Ε.Π.Ε.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0-11-09T00:00:00"/>
    <x v="1"/>
    <s v="ΔΙΕΥΘΥΝΣΗ Π.Ε. Δ΄ ΑΘΗΝΑΣ"/>
    <x v="5"/>
  </r>
  <r>
    <x v="5210"/>
    <x v="1"/>
    <s v="ΠΕ60"/>
    <s v="ΝΗΠΙΑΓΩΓΟΙ"/>
    <m/>
    <m/>
    <s v="Γ΄"/>
    <n v="1"/>
    <n v="57"/>
    <d v="2018-09-04T00:00:00"/>
    <s v="ΑΧΑΪΑΣ (Π.Ε.) 2018"/>
    <s v="ΔΙΕΥΘΥΝΣΗ Π.Ε. ΑΧΑΪΑΣ"/>
    <s v="ΠΕΡΙΦΕΡΕΙΑΚΗ Δ/ΝΣΗ Α/ΘΜΙΑΣ ΚΑΙ Β/ΘΜΙΑΣ ΕΚΠ/ΣΗΣ ΔΥΤΙΚΗΣ ΕΛΛΑΔΑΣ"/>
    <n v="25"/>
    <d v="2018-09-04T00:00:00"/>
    <s v="Ιδιωτικά Σχολεία"/>
    <x v="1"/>
    <s v="7061013"/>
    <s v="ΙΔΙΩΤΙΚΟ ΝΗΠΙΑΓΩΓΕΙΟ ΠΛΑΤΑΝΙ ΡΙΟΥ - ΑΡΣΑΚΕΙΟ ΝΗΠΙΑΓΩΓΕΙΟ ΠΑΤΡΩΝ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90-10-29T00:00:00"/>
    <x v="1"/>
    <s v="ΔΙΕΥΘΥΝΣΗ Π.Ε. ΑΧΑΪΑΣ"/>
    <x v="5"/>
  </r>
  <r>
    <x v="5211"/>
    <x v="1"/>
    <s v="ΠΕ60"/>
    <s v="ΝΗΠΙΑΓΩΓΟΙ"/>
    <m/>
    <m/>
    <s v="Γ΄"/>
    <n v="1"/>
    <n v="13180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85"/>
    <s v="2ο Ιδιωτικό Στεγαζόμενο Νηπιαγωγείο Εκπαιδευτηρίων Λαμπίρη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90-10-13T00:00:00"/>
    <x v="1"/>
    <s v="ΔΙΕΥΘΥΝΣΗ Π.Ε. Δ΄ ΑΘΗΝΑΣ"/>
    <x v="5"/>
  </r>
  <r>
    <x v="5212"/>
    <x v="1"/>
    <s v="ΠΕ60"/>
    <s v="ΝΗΠΙΑΓΩΓΟΙ"/>
    <m/>
    <m/>
    <s v="Γ΄"/>
    <n v="1"/>
    <s v="Φ.17.2/575/9788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219"/>
    <s v="ΙΔΙΩΤΙΚΟ ΣΥΣΤΕΓΑΖΟΜΕΝΟ ΝΗΠΙΑΓΩΓΕΙΟ - Ο ΑΓΙΟΣ ΚΗΡΥΚ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10-05T00:00:00"/>
    <x v="1"/>
    <s v="ΔΙΕΥΘΥΝΣΗ Π.Ε. Β΄ ΑΘΗΝΑΣ"/>
    <x v="5"/>
  </r>
  <r>
    <x v="5213"/>
    <x v="1"/>
    <s v="ΠΕ60"/>
    <s v="ΝΗΠΙΑΓΩΓΟΙ"/>
    <m/>
    <m/>
    <s v="Α΄"/>
    <n v="1"/>
    <m/>
    <m/>
    <s v="ΛΑΚΩΝΙΑΣ (Π.Ε.) 2018"/>
    <s v="ΔΙΕΥΘΥΝΣΗ Π.Ε. ΛΑΚΩΝΙΑΣ"/>
    <s v="ΠΕΡΙΦΕΡΕΙΑΚΗ Δ/ΝΣΗ Α/ΘΜΙΑΣ ΚΑΙ Β/ΘΜΙΑΣ ΕΚΠ/ΣΗΣ ΠΕΛΟΠΟΝΝΗΣΟΥ"/>
    <n v="25"/>
    <m/>
    <s v="Ιδιωτικά Σχολεία"/>
    <x v="1"/>
    <s v="7301003"/>
    <s v="ΙΔΙΩΤΙΚΟ ΝΗΠΙΑΓΩΓΕΙΟ ΣΠΑΡΤΗ - ΔΡΟΣΟΣΤΑΛΙΤΣΕΣ"/>
    <s v="ΛΑΚΩΝΙΑΣ (Π.Ε.) 2018"/>
    <s v="ΔΙΕΥΘΥΝΣΗ Π.Ε. ΛΑΚΩΝΙΑΣ"/>
    <s v="ΠΕΡΙΦΕΡΕΙΑΚΗ Δ/ΝΣΗ Α/ΘΜΙΑΣ ΚΑΙ Β/ΘΜΙΑΣ ΕΚΠ/ΣΗΣ ΠΕΛΟΠΟΝΝΗΣΟΥ"/>
    <x v="1"/>
    <s v="Τοποθέτηση σε Ιδιωτική Εκπαίδευση"/>
    <d v="1990-09-10T00:00:00"/>
    <x v="1"/>
    <s v="ΔΙΕΥΘΥΝΣΗ Π.Ε. ΛΑΚΩΝΙΑΣ"/>
    <x v="5"/>
  </r>
  <r>
    <x v="5214"/>
    <x v="1"/>
    <s v="ΠΕ60"/>
    <s v="ΝΗΠΙΑΓΩΓΟΙ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5"/>
    <m/>
    <s v="Ιδιωτικά Σχολεία"/>
    <x v="1"/>
    <s v="7541083"/>
    <s v="ΣΥΣΤΕΓΑΖΟΜΕΝΟ ΙΔΙΩΤΙΚΟ ΝΗΠΙΑΓΩΓΕΙΟ - ΣΙΜΠΑ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0-08-20T00:00:00"/>
    <x v="1"/>
    <s v="ΔΙΕΥΘΥΝΣΗ Π.Ε. ΠΕΙΡΑΙΑ"/>
    <x v="5"/>
  </r>
  <r>
    <x v="5215"/>
    <x v="1"/>
    <s v="ΠΕ60"/>
    <s v="ΝΗΠΙΑΓΩΓΟΙ"/>
    <m/>
    <m/>
    <s v="Γ΄"/>
    <n v="1"/>
    <n v="10848"/>
    <d v="2018-09-06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8-09-06T00:00:00"/>
    <s v="Ιδιωτικά Σχολεία"/>
    <x v="1"/>
    <s v="7192021"/>
    <s v="ΙΔΙΩΤΙΚΟ ΝΗΠΙΑΓΩΓΕΙΟ ΩΡΑΙΟΚΑΣΤΡΟ ΘΕΣΣΑΛΟΝΙΚΗΣ - Κ. ΑΝΔΡΕΑΔΗΣ Α.Ε.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90-08-10T00:00:00"/>
    <x v="1"/>
    <s v="ΔΙΕΥΘΥΝΣΗ Π.Ε. ΔΥΤ. ΘΕΣ/ΝΙΚΗΣ"/>
    <x v="5"/>
  </r>
  <r>
    <x v="5216"/>
    <x v="1"/>
    <s v="ΠΕ60"/>
    <s v="ΝΗΠΙΑΓΩΓΟΙ"/>
    <m/>
    <m/>
    <s v="Γ΄"/>
    <n v="1"/>
    <n v="6539"/>
    <d v="2018-09-03T00:00:00"/>
    <s v="ΧΑΝΙΩΝ (Π.Ε.) 2018"/>
    <s v="ΔΙΕΥΘΥΝΣΗ Π.Ε. ΧΑΝΙΩΝ"/>
    <s v="ΠΕΡΙΦΕΡΕΙΑΚΗ Δ/ΝΣΗ Α/ΘΜΙΑΣ ΚΑΙ Β/ΘΜΙΑΣ ΕΚΠ/ΣΗΣ ΚΡΗΤΗΣ"/>
    <n v="25"/>
    <d v="2018-09-03T00:00:00"/>
    <s v="Ιδιωτικά Σχολεία"/>
    <x v="1"/>
    <s v="7501009"/>
    <s v="ΙΔΙΩΤΙΚΟ ΣΥΣΤΕΓΑΖΟΜΕΝΟ ΝΗΠΙΑΓΩΓΕΙΟ - ΤΑ ΖΑΒΟΛΑΚΙΑ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90-06-14T00:00:00"/>
    <x v="1"/>
    <s v="ΔΙΕΥΘΥΝΣΗ Π.Ε. ΧΑΝΙΩΝ"/>
    <x v="5"/>
  </r>
  <r>
    <x v="5217"/>
    <x v="1"/>
    <s v="ΠΕ60"/>
    <s v="ΝΗΠΙΑΓΩΓ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5"/>
    <m/>
    <s v="Ιδιωτικά Σχολεία"/>
    <x v="1"/>
    <s v="7281015"/>
    <s v="ΙΔΙΩΤΙΚΟ ΝΗΠΙΑΓΩΓΕΙΟ ΓΚΟΥΝΤΙΔΗ-ΔΕΔΕ &quot;ΤΟ ΣΟΚΟΛΑΤΕΝΙΟ ΣΠΙΤΙ&quot;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0-05-12T00:00:00"/>
    <x v="1"/>
    <s v="ΔΙΕΥΘΥΝΣΗ Π.Ε. ΚΟΡΙΝΘΙΑΣ"/>
    <x v="5"/>
  </r>
  <r>
    <x v="5218"/>
    <x v="1"/>
    <s v="ΠΕ60"/>
    <s v="ΝΗΠΙΑΓΩΓΟΙ"/>
    <m/>
    <m/>
    <s v="Γ΄"/>
    <n v="1"/>
    <s v="Φ.17/218"/>
    <d v="2018-08-01T00:00:00"/>
    <s v="ΚΟΡΙΝΘΙΑΣ (Π.Ε.) 2018"/>
    <s v="ΔΙΕΥΘΥΝΣΗ Π.Ε. ΚΟΡΙΝΘΙΑΣ"/>
    <s v="ΠΕΡΙΦΕΡΕΙΑΚΗ Δ/ΝΣΗ Α/ΘΜΙΑΣ ΚΑΙ Β/ΘΜΙΑΣ ΕΚΠ/ΣΗΣ ΠΕΛΟΠΟΝΝΗΣΟΥ"/>
    <n v="25"/>
    <d v="2018-08-01T00:00:00"/>
    <s v="Ιδιωτικά Σχολεία"/>
    <x v="1"/>
    <s v="7281001"/>
    <s v="ΙΔΙΩΤΙΚΟ ΝΗΠΙΑΓΩΓΕΙΟ ΚΟΡΙΝΘΟΣ -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90-05-08T00:00:00"/>
    <x v="1"/>
    <s v="ΔΙΕΥΘΥΝΣΗ Π.Ε. ΚΟΡΙΝΘΙΑΣ"/>
    <x v="5"/>
  </r>
  <r>
    <x v="5219"/>
    <x v="1"/>
    <s v="ΠΕ60"/>
    <s v="ΝΗΠΙΑΓΩΓ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17"/>
    <s v="ΙΔΙΩΤΙΚΟ ΝΗΠΙΑΓΩΓΕΙΟ ΙΩΑΝΝΙΝΑ - ΑΡΣΑΚΕΙΟ ΝΗΠΙΑΓΩΓΕΙΟ ΙΩΑΝΝΙΝΩΝ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90-03-29T00:00:00"/>
    <x v="1"/>
    <s v="ΔΙΕΥΘΥΝΣΗ Π.Ε. ΙΩΑΝΝΙΝΩΝ"/>
    <x v="5"/>
  </r>
  <r>
    <x v="5220"/>
    <x v="1"/>
    <s v="ΠΕ60"/>
    <s v="ΝΗΠΙΑΓΩΓΟΙ"/>
    <m/>
    <m/>
    <s v="Γ΄"/>
    <n v="1"/>
    <s v="Φ.17.2/7538"/>
    <d v="2018-09-01T00:00:00"/>
    <s v="ΧΑΝΙΩΝ (Π.Ε.) 2018"/>
    <s v="ΔΙΕΥΘΥΝΣΗ Π.Ε. ΧΑΝΙΩΝ"/>
    <s v="ΠΕΡΙΦΕΡΕΙΑΚΗ Δ/ΝΣΗ Α/ΘΜΙΑΣ ΚΑΙ Β/ΘΜΙΑΣ ΕΚΠ/ΣΗΣ ΚΡΗΤΗΣ"/>
    <n v="25"/>
    <d v="2018-09-01T00:00:00"/>
    <s v="Ιδιωτικά Σχολεία"/>
    <x v="1"/>
    <s v="7501007"/>
    <s v="ΙΔΙΩΤΙΚΟ ΝΗΠΙΑΓΩΓΕΙΟ - ΙΔΙΩΤΙΚΑ ΕΚΠΑΙΔΕΥΤΗΡΙΑ ΘΕΟΔΩΡΟΠΟΥΛΟΥ Α.Ε."/>
    <s v="ΧΑΝΙΩΝ (Π.Ε.) 2018"/>
    <s v="ΔΙΕΥΘΥΝΣΗ Π.Ε. ΧΑΝΙΩΝ"/>
    <s v="ΠΕΡΙΦΕΡΕΙΑΚΗ Δ/ΝΣΗ Α/ΘΜΙΑΣ ΚΑΙ Β/ΘΜΙΑΣ ΕΚΠ/ΣΗΣ ΚΡΗΤΗΣ"/>
    <x v="3"/>
    <s v="Τοποθέτηση σε Ιδιωτική Εκπαίδευση"/>
    <d v="1990-03-27T00:00:00"/>
    <x v="1"/>
    <s v="ΔΙΕΥΘΥΝΣΗ Π.Ε. ΧΑΝΙΩΝ"/>
    <x v="5"/>
  </r>
  <r>
    <x v="5221"/>
    <x v="1"/>
    <s v="ΠΕ60"/>
    <s v="ΝΗΠΙΑΓΩΓΟΙ"/>
    <m/>
    <m/>
    <s v="Γ΄"/>
    <n v="1"/>
    <n v="15926"/>
    <d v="2018-09-01T00:00:00"/>
    <s v="Α΄ ΠΕΙΡΑΙΑ (Π.Ε.) 2018"/>
    <s v="ΔΙΕΥΘΥΝΣΗ Π.Ε. ΠΕΙΡΑΙΑ"/>
    <s v="ΠΕΡΙΦΕΡΕΙΑΚΗ Δ/ΝΣΗ Α/ΘΜΙΑΣ ΚΑΙ Β/ΘΜΙΑΣ ΕΚΠ/ΣΗΣ ΑΤΤΙΚΗΣ"/>
    <n v="25"/>
    <d v="2018-09-01T00:00:00"/>
    <s v="Ιδιωτικά Σχολεία"/>
    <x v="1"/>
    <s v="7541035"/>
    <s v="ΙΔΙΩΤΙΚΟ ΝΗΠΙΑΓΩΓΕΙΟ - ΠΛΑΣΤΕΛΙΝΗ - ΧΟΝΔΡΟΚΟΥΚΗ ΒΕΝΕΤΙΑ ΚΑΙ ΣΙΑ ΟΕ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90-03-01T00:00:00"/>
    <x v="1"/>
    <s v="ΔΙΕΥΘΥΝΣΗ Π.Ε. ΠΕΙΡΑΙΑ"/>
    <x v="5"/>
  </r>
  <r>
    <x v="5222"/>
    <x v="1"/>
    <s v="ΠΕ60"/>
    <s v="ΝΗΠΙΑΓΩΓΟΙ"/>
    <m/>
    <m/>
    <s v="Γ΄"/>
    <n v="1"/>
    <n v="13110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57"/>
    <s v="Γύρω -γύρω όλοι Ε. ΜΠΑΛΤΑ - Χ. ΚΟΝΤΟΥ Ο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2-19T00:00:00"/>
    <x v="1"/>
    <s v="ΔΙΕΥΘΥΝΣΗ Π.Ε. Δ΄ ΑΘΗΝΑΣ"/>
    <x v="5"/>
  </r>
  <r>
    <x v="5223"/>
    <x v="1"/>
    <s v="ΠΕ60"/>
    <s v="ΝΗΠΙΑΓΩΓΟΙ"/>
    <m/>
    <m/>
    <s v="Γ΄"/>
    <n v="1"/>
    <n v="1128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75"/>
    <s v="2ο ΝΗΠΙΑΓΩΓΕΙΟ ΠΑΣΧΑΛΗ ΧΡΙΣΤΙΝ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90-01-12T00:00:00"/>
    <x v="1"/>
    <s v="ΔΙΕΥΘΥΝΣΗ Π.Ε. Δ΄ ΑΘΗΝΑΣ"/>
    <x v="5"/>
  </r>
  <r>
    <x v="5224"/>
    <x v="1"/>
    <s v="ΠΕ60"/>
    <s v="ΝΗΠΙΑΓΩΓΟΙ"/>
    <m/>
    <m/>
    <s v="Γ΄"/>
    <n v="2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17"/>
    <s v="ΙΔΙΩΤΙΚΟ ΝΗΠΙΑΓΩΓΕΙΟ ΝΕΑ ΣΜΥΡΝΗ - ΑΘΗΝΑΪΣ Ιερεμιάδη Γεωργί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12-09T00:00:00"/>
    <x v="1"/>
    <s v="ΔΙΕΥΘΥΝΣΗ Π.Ε. Δ΄ ΑΘΗΝΑΣ"/>
    <x v="5"/>
  </r>
  <r>
    <x v="5225"/>
    <x v="1"/>
    <s v="ΠΕ60"/>
    <s v="ΝΗΠΙΑΓΩΓΟΙ"/>
    <m/>
    <m/>
    <s v="Γ΄"/>
    <n v="1"/>
    <s v="ΑΠ1896455"/>
    <d v="2018-09-11T00:00:00"/>
    <s v="ΗΛΕΙΑΣ (Π.Ε.) 2018"/>
    <s v="ΔΙΕΥΘΥΝΣΗ Π.Ε. ΗΛΕΙΑΣ"/>
    <s v="ΠΕΡΙΦΕΡΕΙΑΚΗ Δ/ΝΣΗ Α/ΘΜΙΑΣ ΚΑΙ Β/ΘΜΙΑΣ ΕΚΠ/ΣΗΣ ΔΥΤΙΚΗΣ ΕΛΛΑΔΑΣ"/>
    <n v="25"/>
    <d v="2018-09-11T00:00:00"/>
    <s v="Ιδιωτικά Σχολεία"/>
    <x v="1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s v="ΔΙΕΥΘΥΝΣΗ Π.Ε. ΗΛΕΙΑΣ"/>
    <s v="ΠΕΡΙΦΕΡΕΙΑΚΗ Δ/ΝΣΗ Α/ΘΜΙΑΣ ΚΑΙ Β/ΘΜΙΑΣ ΕΚΠ/ΣΗΣ ΔΥΤΙΚΗΣ ΕΛΛΑΔΑΣ"/>
    <x v="0"/>
    <s v="Τοποθέτηση σε Ιδιωτική Εκπαίδευση"/>
    <d v="1989-12-05T00:00:00"/>
    <x v="1"/>
    <s v="ΔΙΕΥΘΥΝΣΗ Π.Ε. ΗΛΕΙΑΣ"/>
    <x v="5"/>
  </r>
  <r>
    <x v="5226"/>
    <x v="1"/>
    <s v="ΠΕ60"/>
    <s v="ΝΗΠΙΑΓΩΓΟΙ"/>
    <m/>
    <m/>
    <s v="Γ΄"/>
    <n v="1"/>
    <n v="11606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17"/>
    <s v="ΣΥΣΤΕΓΑΖΟΜΕΝΟ ΝΗΠΙΑΓΩΓΕΙΟ - ΚΟΥΛΟΥΤΜΠΑΝΗ ΣΟΥΛΤΑΝΑ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9-11-23T00:00:00"/>
    <x v="1"/>
    <s v="ΔΙΕΥΘΥΝΣΗ Π.Ε. Δ΄ ΑΘΗΝΑΣ"/>
    <x v="5"/>
  </r>
  <r>
    <x v="5227"/>
    <x v="1"/>
    <s v="ΠΕ60"/>
    <s v="ΝΗΠΙΑΓΩΓΟΙ"/>
    <m/>
    <m/>
    <s v="Γ΄"/>
    <n v="1"/>
    <m/>
    <d v="2017-10-06T00:00:00"/>
    <s v="Α΄ ΕΒΡΟΥ (Π.Ε.) 2018"/>
    <s v="ΔΙΕΥΘΥΝΣΗ Π.Ε. ΕΒΡΟΥ"/>
    <s v="ΠΕΡΙΦΕΡΕΙΑΚΗ Δ/ΝΣΗ Α/ΘΜΙΑΣ ΚΑΙ Β/ΘΜΙΑΣ ΕΚΠ/ΣΗΣ ΑΝ. ΜΑΚΕΔΟΝΙΑΣ ΚΑΙ ΘΡΑΚΗΣ"/>
    <n v="25"/>
    <d v="2017-10-06T00:00:00"/>
    <s v="Ιδιωτικά Σχολεία"/>
    <x v="1"/>
    <s v="7111007"/>
    <s v="ΙΔΙΩΤΙΚΟ ΣΥΣΤΕΓΑΖΟΜΕΝΟ ΝΗΠΙΑΓΩΓΕΙΟ - Β. ΚΑΡΑΒΙΔΑ - Κ. ΠΡΑΣΣΑΣ"/>
    <s v="Α΄ ΕΒΡΟΥ (Π.Ε.) 2018"/>
    <s v="ΔΙΕΥΘΥΝΣΗ Π.Ε. ΕΒΡΟΥ"/>
    <s v="ΠΕΡΙΦΕΡΕΙΑΚΗ Δ/ΝΣΗ Α/ΘΜΙΑΣ ΚΑΙ Β/ΘΜΙΑΣ ΕΚΠ/ΣΗΣ ΑΝ. ΜΑΚΕΔΟΝΙΑΣ ΚΑΙ ΘΡΑΚΗΣ"/>
    <x v="0"/>
    <s v="Τοποθέτηση σε Ιδιωτική Εκπαίδευση"/>
    <d v="1989-10-23T00:00:00"/>
    <x v="1"/>
    <s v="ΔΙΕΥΘΥΝΣΗ Π.Ε. ΕΒΡΟΥ"/>
    <x v="5"/>
  </r>
  <r>
    <x v="5228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25"/>
    <s v="1ο ΙΔΙΩΤΙΚΟ ΝΗΠΙΑΓΩΓΕΙΟ ΘΕΣΣΑΛΟΝΙΚΗ - ΚΟΚΚΙΝΟΣΚΟΥΦΙΤΣ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10-15T00:00:00"/>
    <x v="1"/>
    <s v="ΔΙΕΥΘΥΝΣΗ Π.Ε. ΑΝΑΤ. ΘΕΣ/ΝΙΚΗΣ"/>
    <x v="5"/>
  </r>
  <r>
    <x v="5229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23"/>
    <s v="ΙΔΙΩΤΙΚΟ ΝΗΠΙΑΓΩΓΕΙΟ- ΣΥΓΧΡΟΝΟ ΝΗΠΙΑΓΩΓΕΙΟ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89-09-06T00:00:00"/>
    <x v="1"/>
    <s v="ΔΙΕΥΘΥΝΣΗ Π.Ε. ΦΘΙΩΤΙΔΑΣ"/>
    <x v="5"/>
  </r>
  <r>
    <x v="5230"/>
    <x v="1"/>
    <s v="ΠΕ60"/>
    <s v="ΝΗΠΙΑΓΩΓΟΙ"/>
    <m/>
    <m/>
    <s v="Γ΄"/>
    <n v="1"/>
    <n v="20317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49"/>
    <s v="Παιδαγωγικά Εργαστήρια Ε.Π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8-19T00:00:00"/>
    <x v="1"/>
    <s v="ΔΙΕΥΘΥΝΣΗ Π.Ε. Δ΄ ΑΘΗΝΑΣ"/>
    <x v="5"/>
  </r>
  <r>
    <x v="5231"/>
    <x v="1"/>
    <s v="ΠΕ60"/>
    <s v="ΝΗΠΙΑΓΩΓΟΙ"/>
    <m/>
    <m/>
    <s v="Γ΄"/>
    <n v="1"/>
    <n v="4"/>
    <d v="2018-09-03T00:00:00"/>
    <s v="Α΄ ΕΒΡΟΥ (Π.Ε.) 2018"/>
    <s v="ΔΙΕΥΘΥΝΣΗ Π.Ε. ΕΒΡΟΥ"/>
    <s v="ΠΕΡΙΦΕΡΕΙΑΚΗ Δ/ΝΣΗ Α/ΘΜΙΑΣ ΚΑΙ Β/ΘΜΙΑΣ ΕΚΠ/ΣΗΣ ΑΝ. ΜΑΚΕΔΟΝΙΑΣ ΚΑΙ ΘΡΑΚΗΣ"/>
    <n v="25"/>
    <d v="2018-09-03T00:00:00"/>
    <s v="Ιδιωτικά Σχολεία"/>
    <x v="1"/>
    <s v="7111005"/>
    <s v="ΙΔΙΩΤΙΚΟ ΝΗΠΙΑΓΩΓΕΙΟ ΑΛΕΞΑΝΔΡΟΥΠΟΛΗΣ - ΙΔΙΩΤΙΚΟ ΝΗΠΙΑΓΩΓΕΙΟ ΑΓΓΕΛΙΔΟΥ"/>
    <s v="Α΄ ΕΒΡΟΥ (Π.Ε.) 2018"/>
    <s v="ΔΙΕΥΘΥΝΣΗ Π.Ε. ΕΒΡΟΥ"/>
    <s v="ΠΕΡΙΦΕΡΕΙΑΚΗ Δ/ΝΣΗ Α/ΘΜΙΑΣ ΚΑΙ Β/ΘΜΙΑΣ ΕΚΠ/ΣΗΣ ΑΝ. ΜΑΚΕΔΟΝΙΑΣ ΚΑΙ ΘΡΑΚΗΣ"/>
    <x v="0"/>
    <s v="Τοποθέτηση σε Ιδιωτική Εκπαίδευση"/>
    <d v="1989-07-24T00:00:00"/>
    <x v="1"/>
    <s v="ΔΙΕΥΘΥΝΣΗ Π.Ε. ΕΒΡΟΥ"/>
    <x v="5"/>
  </r>
  <r>
    <x v="5232"/>
    <x v="1"/>
    <s v="ΠΕ60"/>
    <s v="ΝΗΠΙΑΓΩΓΟΙ"/>
    <m/>
    <m/>
    <s v="Γ΄"/>
    <n v="1"/>
    <n v="12591"/>
    <d v="2018-09-01T00:00:00"/>
    <s v="ΧΑΝΙΩΝ (Π.Ε.) 2018"/>
    <s v="ΔΙΕΥΘΥΝΣΗ Π.Ε. ΧΑΝΙΩΝ"/>
    <s v="ΠΕΡΙΦΕΡΕΙΑΚΗ Δ/ΝΣΗ Α/ΘΜΙΑΣ ΚΑΙ Β/ΘΜΙΑΣ ΕΚΠ/ΣΗΣ ΚΡΗΤΗΣ"/>
    <n v="25"/>
    <d v="2018-09-01T00:00:00"/>
    <s v="Ιδιωτικά Σχολεία"/>
    <x v="1"/>
    <s v="7501017"/>
    <s v="ΙΔΙΩΤΙΚΟ ΣΥΣΤΕΓΑΖΟΜΕΝΟ ΝΗΠΙΑΓΩΓΕΙΟ - ΤΟ ΚΑΣΤΡΟ ΤΟΥ ΤΡΙΛΟΛΗ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89-06-24T00:00:00"/>
    <x v="1"/>
    <s v="ΔΙΕΥΘΥΝΣΗ Π.Ε. ΧΑΝΙΩΝ"/>
    <x v="5"/>
  </r>
  <r>
    <x v="5233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27"/>
    <s v="ΙΔΙΩΤΙΚΟ ΝΗΠΙΑΓΩΓΕΙΟ ΘΕΣΣΑΛΟΝΙΚΗ - ΚΟΠΕΡΤΙ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6-14T00:00:00"/>
    <x v="1"/>
    <s v="ΔΙΕΥΘΥΝΣΗ Π.Ε. ΑΝΑΤ. ΘΕΣ/ΝΙΚΗΣ"/>
    <x v="5"/>
  </r>
  <r>
    <x v="5234"/>
    <x v="1"/>
    <s v="ΠΕ60"/>
    <s v="ΝΗΠΙΑΓΩΓΟΙ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77"/>
    <s v="ΙΔΙΩΤΙΚΟ ΣΥΣΤΕΓΑΖΟΜΕΝΟ ΝΗΠΙΑΓΩΓΕΙΟ - ΝΟΜΙΚΟΥ ΕΥΑΓΓΕΛ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6-12T00:00:00"/>
    <x v="1"/>
    <s v="ΔΙΕΥΘΥΝΣΗ Π.Ε. Δ΄ ΑΘΗΝΑΣ"/>
    <x v="5"/>
  </r>
  <r>
    <x v="5235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09"/>
    <s v="ΙΔΙΩΤΙΚΟ ΝΗΠΙΑΓΩΓΕΙΟ ΛΑΜΙΑ - ΠΑΙΔΙΚΗ ΓΩΝΙ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89-04-26T00:00:00"/>
    <x v="1"/>
    <s v="ΔΙΕΥΘΥΝΣΗ Π.Ε. ΦΘΙΩΤΙΔΑΣ"/>
    <x v="5"/>
  </r>
  <r>
    <x v="5236"/>
    <x v="1"/>
    <s v="ΠΕ60"/>
    <s v="ΝΗΠΙΑΓΩΓ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175"/>
    <s v="ΙΔΙΩΤΙΚΟ ΝΗΠΙΑΓΩΓΕΙΟ - ΤΑ ΠΡΩΤΑ ΧΡΟΝ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9-04-16T00:00:00"/>
    <x v="1"/>
    <s v="ΔΙΕΥΘΥΝΣΗ Π.Ε. Δ΄ ΑΘΗΝΑΣ"/>
    <x v="5"/>
  </r>
  <r>
    <x v="5237"/>
    <x v="1"/>
    <s v="ΠΕ60"/>
    <s v="ΝΗΠΙΑΓΩΓΟΙ"/>
    <m/>
    <m/>
    <s v="Γ΄"/>
    <n v="1"/>
    <s v="Φ.17/3678/13-9-2018"/>
    <d v="2018-09-11T00:00:00"/>
    <s v="ΚΟΡΙΝΘΙΑΣ (Π.Ε.) 2018"/>
    <s v="ΔΙΕΥΘΥΝΣΗ Π.Ε. ΚΟΡΙΝΘΙΑΣ"/>
    <s v="ΠΕΡΙΦΕΡΕΙΑΚΗ Δ/ΝΣΗ Α/ΘΜΙΑΣ ΚΑΙ Β/ΘΜΙΑΣ ΕΚΠ/ΣΗΣ ΠΕΛΟΠΟΝΝΗΣΟΥ"/>
    <n v="25"/>
    <d v="2018-09-11T00:00:00"/>
    <s v="Ιδιωτικά Σχολεία"/>
    <x v="1"/>
    <s v="7281011"/>
    <s v="ΙΔΙΩΤΙΚΟ ΝΗΠΙΑΓΩΓΕΙΟ ΤΩΝ ΕΚΠΑΙΔΕΥΤΗΡΙΩΝ ΑΤΣΟΓΛΟΥ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9-03-09T00:00:00"/>
    <x v="1"/>
    <s v="ΔΙΕΥΘΥΝΣΗ Π.Ε. ΚΟΡΙΝΘΙΑΣ"/>
    <x v="5"/>
  </r>
  <r>
    <x v="5238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27"/>
    <s v="ΙΔΙΩΤΙΚΟ ΝΗΠΙΑΓΩΓΕΙΟ ΘΕΣΣΑΛΟΝΙΚΗ - ΚΟΠΕΡΤΙ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9-02-21T00:00:00"/>
    <x v="1"/>
    <s v="ΔΙΕΥΘΥΝΣΗ Π.Ε. ΑΝΑΤ. ΘΕΣ/ΝΙΚΗΣ"/>
    <x v="5"/>
  </r>
  <r>
    <x v="5239"/>
    <x v="1"/>
    <s v="ΠΕ60"/>
    <s v="ΝΗΠΙΑΓΩΓΟΙ"/>
    <m/>
    <m/>
    <s v="Γ΄"/>
    <n v="1"/>
    <s v="Φ.17/3848"/>
    <d v="2018-09-01T00:00:00"/>
    <s v="ΚΟΡΙΝΘΙΑΣ (Π.Ε.) 2018"/>
    <s v="ΔΙΕΥΘΥΝΣΗ Π.Ε. ΚΟΡΙΝΘΙΑΣ"/>
    <s v="ΠΕΡΙΦΕΡΕΙΑΚΗ Δ/ΝΣΗ Α/ΘΜΙΑΣ ΚΑΙ Β/ΘΜΙΑΣ ΕΚΠ/ΣΗΣ ΠΕΛΟΠΟΝΝΗΣΟΥ"/>
    <n v="25"/>
    <d v="2018-09-01T00:00:00"/>
    <s v="Ιδιωτικά Σχολεία"/>
    <x v="1"/>
    <s v="7281007"/>
    <s v="ΙΔΙΩΤΙΚΟ ΝΗΠΙΑΓΩΓΕΙΟ ΓΑΛΟΤΑ ΙΣΘΜΟΥ - ΝΗΠΙΑΓΩΓΕΙΟ ΧΑΛΚΙΑ-ΤΑΒΟΥΛΑΡΗ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9-02-15T00:00:00"/>
    <x v="1"/>
    <s v="ΔΙΕΥΘΥΝΣΗ Π.Ε. ΚΟΡΙΝΘΙΑΣ"/>
    <x v="5"/>
  </r>
  <r>
    <x v="5240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3"/>
    <s v="2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9-02-12T00:00:00"/>
    <x v="1"/>
    <s v="ΔΙΕΥΘΥΝΣΗ Π.Ε. ΑΝΑΤΟΛΙΚΗΣ ΑΤΤΙΚΗΣ"/>
    <x v="5"/>
  </r>
  <r>
    <x v="5241"/>
    <x v="1"/>
    <s v="ΠΕ60"/>
    <s v="ΝΗΠΙΑΓΩΓΟΙ"/>
    <m/>
    <m/>
    <s v="Γ΄"/>
    <n v="1"/>
    <s v="3123/2-11-2017"/>
    <d v="2018-09-01T00:00:00"/>
    <s v="ΔΡΑΜΑΣ (Π.Ε.) 2018"/>
    <s v="ΔΙΕΥΘΥΝΣΗ Π.Ε. ΔΡΑΜΑΣ"/>
    <s v="ΠΕΡΙΦΕΡΕΙΑΚΗ Δ/ΝΣΗ Α/ΘΜΙΑΣ ΚΑΙ Β/ΘΜΙΑΣ ΕΚΠ/ΣΗΣ ΑΝ. ΜΑΚΕΔΟΝΙΑΣ ΚΑΙ ΘΡΑΚΗΣ"/>
    <n v="25"/>
    <d v="2018-09-01T00:00:00"/>
    <s v="Ιδιωτικά Σχολεία"/>
    <x v="1"/>
    <s v="7091003"/>
    <s v="ΙΔΙΩΤΙΚΟ ΝΗΠΙΑΓΩΓΕΙΟ ΔΡΑΜΑ - Ε. ΤΡΟΠΙΟΥ ΚΑΙ ΣΙΑ Ο.Ε. &quot;ΠΑΙΔΙΚΟΡΑΜΑ&quot;"/>
    <s v="ΔΡΑΜΑΣ (Π.Ε.) 2018"/>
    <s v="ΔΙΕΥΘΥΝΣΗ Π.Ε. ΔΡΑΜΑΣ"/>
    <s v="ΠΕΡΙΦΕΡΕΙΑΚΗ Δ/ΝΣΗ Α/ΘΜΙΑΣ ΚΑΙ Β/ΘΜΙΑΣ ΕΚΠ/ΣΗΣ ΑΝ. ΜΑΚΕΔΟΝΙΑΣ ΚΑΙ ΘΡΑΚΗΣ"/>
    <x v="2"/>
    <s v="Τοποθέτηση σε Ιδιωτική Εκπαίδευση"/>
    <d v="1989-01-02T00:00:00"/>
    <x v="1"/>
    <s v="ΔΙΕΥΘΥΝΣΗ Π.Ε. ΔΡΑΜΑΣ"/>
    <x v="5"/>
  </r>
  <r>
    <x v="5242"/>
    <x v="1"/>
    <s v="ΠΕ60"/>
    <s v="ΝΗΠΙΑΓΩΓΟΙ"/>
    <m/>
    <m/>
    <s v="Γ΄"/>
    <n v="1"/>
    <n v="1093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21"/>
    <s v="ΣΥΣΤΕΓΑΖΟΜΕΝΟ ΝΗΠΙΑΓΩΓΕΙΟ - ΠΑΙΔΙΚΟ ΕΡΓΑΣΤΗΡΙ ΤΑ ΣΤΡΟΥΜΦΑΚ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11-22T00:00:00"/>
    <x v="1"/>
    <s v="ΔΙΕΥΘΥΝΣΗ Π.Ε. Δ΄ ΑΘΗΝΑΣ"/>
    <x v="5"/>
  </r>
  <r>
    <x v="5243"/>
    <x v="1"/>
    <s v="ΠΕ60"/>
    <s v="ΝΗΠΙΑΓΩΓΟΙ"/>
    <m/>
    <m/>
    <s v="Γ΄"/>
    <n v="1"/>
    <s v="7482α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8-09-01T00:00:00"/>
    <s v="Ιδιωτικά Σχολεία"/>
    <x v="1"/>
    <s v="7192035"/>
    <s v="ΣΥΣΤΕΓΑΖΟΜΕΝΟ ΙΔΙΩΤΙΚΟ ΝΗΠΙΑΓΩΓΕΙΟ - ΣΧΟΛΕΙΟ ΤΕΧΝΗΣ ΚΑΙ ΠΟΛΙΤΙΣΜΟΥ ΝΑΛΜΠΑΝΤ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8-11-19T00:00:00"/>
    <x v="1"/>
    <s v="ΔΙΕΥΘΥΝΣΗ Π.Ε. ΔΥΤ. ΘΕΣ/ΝΙΚΗΣ"/>
    <x v="5"/>
  </r>
  <r>
    <x v="5244"/>
    <x v="1"/>
    <s v="ΠΕ60"/>
    <s v="ΝΗΠΙΑΓΩΓΟΙ"/>
    <m/>
    <m/>
    <s v="Γ΄"/>
    <n v="1"/>
    <s v="Φ.17.2/4531"/>
    <d v="2017-09-25T00:00:00"/>
    <s v="ΦΘΙΩΤΙΔΑΣ (Π.Ε.) 2018"/>
    <s v="ΔΙΕΥΘΥΝΣΗ Π.Ε. ΦΘΙΩΤΙΔΑΣ"/>
    <s v="ΠΕΡΙΦΕΡΕΙΑΚΗ Δ/ΝΣΗ Α/ΘΜΙΑΣ ΚΑΙ Β/ΘΜΙΑΣ ΕΚΠ/ΣΗΣ ΣΤΕΡΕΑΣ ΕΛΛΑΔΑΣ"/>
    <n v="25"/>
    <d v="2017-09-25T00:00:00"/>
    <s v="Ιδιωτικά Σχολεία"/>
    <x v="1"/>
    <s v="7461013"/>
    <s v="ΙΔΙΩΤΙΚΟ ΝΗΠΙΑΓΩΓΕΙΟ ΛΑΜΙΑ - ΖΩΓΡΑΦΙΑ"/>
    <s v="ΦΘΙΩΤΙΔΑΣ (Π.Ε.) 2018"/>
    <s v="ΔΙΕΥΘΥΝΣΗ Π.Ε. ΦΘΙΩΤΙΔΑΣ"/>
    <s v="ΠΕΡΙΦΕΡΕΙΑΚΗ Δ/ΝΣΗ Α/ΘΜΙΑΣ ΚΑΙ Β/ΘΜΙΑΣ ΕΚΠ/ΣΗΣ ΣΤΕΡΕΑΣ ΕΛΛΑΔΑΣ"/>
    <x v="0"/>
    <s v="Τοποθέτηση σε Ιδιωτική Εκπαίδευση"/>
    <d v="1988-10-31T00:00:00"/>
    <x v="1"/>
    <s v="ΔΙΕΥΘΥΝΣΗ Π.Ε. ΦΘΙΩΤΙΔΑΣ"/>
    <x v="5"/>
  </r>
  <r>
    <x v="5245"/>
    <x v="1"/>
    <s v="ΠΕ60"/>
    <s v="ΝΗΠΙΑΓΩΓΟΙ"/>
    <m/>
    <m/>
    <s v="Γ΄"/>
    <n v="1"/>
    <n v="1962592"/>
    <d v="2018-09-19T00:00:00"/>
    <s v="ΣΕΡΡΩΝ (Π.Ε.) 2018"/>
    <s v="ΔΙΕΥΘΥΝΣΗ Π.Ε. ΣΕΡΡΩΝ"/>
    <s v="ΠΕΡΙΦΕΡΕΙΑΚΗ Δ/ΝΣΗ Α/ΘΜΙΑΣ ΚΑΙ Β/ΘΜΙΑΣ ΕΚΠ/ΣΗΣ ΚΕΝΤΡΙΚΗΣ ΜΑΚΕΔΟΝΙΑΣ"/>
    <n v="25"/>
    <d v="2018-09-19T00:00:00"/>
    <s v="Ιδιωτικά Σχολεία"/>
    <x v="1"/>
    <s v="7441003"/>
    <s v="ΙΔΙΩΤΙΚΟ ΣΥΣΤΕΓΑΖΟΜΕΝΟ ΝΗΠΙΑΓΩΓΕΙΟ - ΑΝΕΣΙΑΔΟΥ ΚΑΣΣΙΑΝΗ"/>
    <s v="ΣΕΡΡΩΝ (Π.Ε.) 2018"/>
    <s v="ΔΙΕΥΘΥΝΣΗ Π.Ε. ΣΕΡΡΩΝ"/>
    <s v="ΠΕΡΙΦΕΡΕΙΑΚΗ Δ/ΝΣΗ Α/ΘΜΙΑΣ ΚΑΙ Β/ΘΜΙΑΣ ΕΚΠ/ΣΗΣ ΚΕΝΤΡΙΚΗΣ ΜΑΚΕΔΟΝΙΑΣ"/>
    <x v="0"/>
    <s v="Τοποθέτηση σε Ιδιωτική Εκπαίδευση"/>
    <d v="1988-09-23T00:00:00"/>
    <x v="1"/>
    <s v="ΔΙΕΥΘΥΝΣΗ Π.Ε. ΣΕΡΡΩΝ"/>
    <x v="5"/>
  </r>
  <r>
    <x v="5246"/>
    <x v="1"/>
    <s v="ΠΕ60"/>
    <s v="ΝΗΠΙΑΓΩΓΟΙ"/>
    <m/>
    <m/>
    <s v="Γ΄"/>
    <n v="2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47"/>
    <s v="ΙΔΙΩΤΙΚΟ ΝΗΠΙΑΓΩΓΕΙΟ ΠΑΠΑΔΗΜΗΤΡΑΚΟΠΟΥΛΟΥ ΑΙΚΑΤΕΡΙΝΗ &amp; ΣΙΑ Ο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8-09-19T00:00:00"/>
    <x v="1"/>
    <s v="ΔΙΕΥΘΥΝΣΗ Π.Ε. ΑΝΑΤΟΛΙΚΗΣ ΑΤΤΙΚΗΣ"/>
    <x v="5"/>
  </r>
  <r>
    <x v="5247"/>
    <x v="1"/>
    <s v="ΠΕ60"/>
    <s v="ΝΗΠΙΑΓΩΓΟΙ"/>
    <m/>
    <m/>
    <s v="Γ΄"/>
    <n v="1"/>
    <n v="11279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15"/>
    <s v="ΣΥΣΤΕΓΑΖΟΜΕΝΟ ΝΗΠΙΑΓΩΓΕΙΟ - ΛΕΜΟΝΗ ΕΙΡΗΝ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9-17T00:00:00"/>
    <x v="1"/>
    <s v="ΔΙΕΥΘΥΝΣΗ Π.Ε. Δ΄ ΑΘΗΝΑΣ"/>
    <x v="5"/>
  </r>
  <r>
    <x v="5248"/>
    <x v="1"/>
    <s v="ΠΕ60"/>
    <s v="ΝΗΠΙΑΓΩΓΟΙ"/>
    <m/>
    <m/>
    <s v="Γ΄"/>
    <n v="1"/>
    <s v="ΠΠ3948080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95"/>
    <s v="ΙΔΙΩΤΙΚΟ ΣΥΣΤΕΓΑΖΟΜΕΝΟ ΝΗΠΙΑΓΩΓΕΙΟ Δ. Π. ΓΚΑΡΑΒΕΛΑ - Ο ΜΙΚΥ Ε.Ε.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8-19T00:00:00"/>
    <x v="1"/>
    <s v="ΔΙΕΥΘΥΝΣΗ Π.Ε. Β΄ ΑΘΗΝΑΣ"/>
    <x v="5"/>
  </r>
  <r>
    <x v="5249"/>
    <x v="1"/>
    <s v="ΠΕ60"/>
    <s v="ΝΗΠΙΑΓΩΓΟΙ"/>
    <m/>
    <m/>
    <s v="Γ΄"/>
    <n v="1"/>
    <n v="9538"/>
    <d v="2018-09-03T00:00:00"/>
    <s v="Δ΄ ΑΘΗΝΑΣ (Π.Ε.) 2018"/>
    <s v="ΔΙΕΥΘΥΝΣΗ Π.Ε. Δ΄ ΑΘΗΝΑΣ"/>
    <s v="ΠΕΡΙΦΕΡΕΙΑΚΗ Δ/ΝΣΗ Α/ΘΜΙΑΣ ΚΑΙ Β/ΘΜΙΑΣ ΕΚΠ/ΣΗΣ ΑΤΤΙΚΗΣ"/>
    <n v="25"/>
    <d v="2018-09-03T00:00:00"/>
    <s v="Ιδιωτικά Σχολεία"/>
    <x v="1"/>
    <s v="7054029"/>
    <s v="ΙΔΙΩΤΙΚΟ ΝΗΠΙΑΓΩΓΕΙΟ ΑΛΙΜΟΣ - ΟΙ ΜΙΚΡΕΣ ΠΑΤΟΥΣΕΣ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88-07-01T00:00:00"/>
    <x v="1"/>
    <s v="ΔΙΕΥΘΥΝΣΗ Π.Ε. Δ΄ ΑΘΗΝΑΣ"/>
    <x v="5"/>
  </r>
  <r>
    <x v="5250"/>
    <x v="1"/>
    <s v="ΠΕ60"/>
    <s v="ΝΗΠΙΑΓΩΓΟΙ"/>
    <m/>
    <m/>
    <s v="Γ΄"/>
    <n v="1"/>
    <n v="5"/>
    <d v="2018-09-12T00:00:00"/>
    <s v="Α΄ ΕΒΡΟΥ (Π.Ε.) 2018"/>
    <s v="ΔΙΕΥΘΥΝΣΗ Π.Ε. ΕΒΡΟΥ"/>
    <s v="ΠΕΡΙΦΕΡΕΙΑΚΗ Δ/ΝΣΗ Α/ΘΜΙΑΣ ΚΑΙ Β/ΘΜΙΑΣ ΕΚΠ/ΣΗΣ ΑΝ. ΜΑΚΕΔΟΝΙΑΣ ΚΑΙ ΘΡΑΚΗΣ"/>
    <n v="25"/>
    <d v="2018-09-12T00:00:00"/>
    <s v="Ιδιωτικά Σχολεία"/>
    <x v="1"/>
    <s v="7111007"/>
    <s v="ΙΔΙΩΤΙΚΟ ΣΥΣΤΕΓΑΖΟΜΕΝΟ ΝΗΠΙΑΓΩΓΕΙΟ - Β. ΚΑΡΑΒΙΔΑ - Κ. ΠΡΑΣΣΑΣ"/>
    <s v="Α΄ ΕΒΡΟΥ (Π.Ε.) 2018"/>
    <s v="ΔΙΕΥΘΥΝΣΗ Π.Ε. ΕΒΡΟΥ"/>
    <s v="ΠΕΡΙΦΕΡΕΙΑΚΗ Δ/ΝΣΗ Α/ΘΜΙΑΣ ΚΑΙ Β/ΘΜΙΑΣ ΕΚΠ/ΣΗΣ ΑΝ. ΜΑΚΕΔΟΝΙΑΣ ΚΑΙ ΘΡΑΚΗΣ"/>
    <x v="0"/>
    <s v="Τοποθέτηση σε Ιδιωτική Εκπαίδευση"/>
    <d v="1988-04-27T00:00:00"/>
    <x v="1"/>
    <s v="ΔΙΕΥΘΥΝΣΗ Π.Ε. ΕΒΡΟΥ"/>
    <x v="5"/>
  </r>
  <r>
    <x v="5251"/>
    <x v="1"/>
    <s v="ΠΕ60"/>
    <s v="ΝΗΠΙΑΓΩΓΟΙ"/>
    <m/>
    <m/>
    <s v="Γ΄"/>
    <n v="1"/>
    <s v="4300/19-11-2018"/>
    <d v="2018-11-09T00:00:00"/>
    <s v="ΔΡΑΜΑΣ (Π.Ε.) 2018"/>
    <s v="ΔΙΕΥΘΥΝΣΗ Π.Ε. ΔΡΑΜΑΣ"/>
    <s v="ΠΕΡΙΦΕΡΕΙΑΚΗ Δ/ΝΣΗ Α/ΘΜΙΑΣ ΚΑΙ Β/ΘΜΙΑΣ ΕΚΠ/ΣΗΣ ΑΝ. ΜΑΚΕΔΟΝΙΑΣ ΚΑΙ ΘΡΑΚΗΣ"/>
    <n v="25"/>
    <d v="2018-11-09T00:00:00"/>
    <s v="Ιδιωτικά Σχολεία"/>
    <x v="1"/>
    <s v="7091003"/>
    <s v="ΙΔΙΩΤΙΚΟ ΝΗΠΙΑΓΩΓΕΙΟ ΔΡΑΜΑ - Ε. ΤΡΟΠΙΟΥ ΚΑΙ ΣΙΑ Ο.Ε. &quot;ΠΑΙΔΙΚΟΡΑΜΑ&quot;"/>
    <s v="ΔΡΑΜΑΣ (Π.Ε.) 2018"/>
    <s v="ΔΙΕΥΘΥΝΣΗ Π.Ε. ΔΡΑΜΑΣ"/>
    <s v="ΠΕΡΙΦΕΡΕΙΑΚΗ Δ/ΝΣΗ Α/ΘΜΙΑΣ ΚΑΙ Β/ΘΜΙΑΣ ΕΚΠ/ΣΗΣ ΑΝ. ΜΑΚΕΔΟΝΙΑΣ ΚΑΙ ΘΡΑΚΗΣ"/>
    <x v="0"/>
    <s v="Τοποθέτηση σε Ιδιωτική Εκπαίδευση"/>
    <d v="1988-04-16T00:00:00"/>
    <x v="1"/>
    <s v="ΔΙΕΥΘΥΝΣΗ Π.Ε. ΔΡΑΜΑΣ"/>
    <x v="5"/>
  </r>
  <r>
    <x v="5252"/>
    <x v="1"/>
    <s v="ΠΕ60"/>
    <s v="ΝΗΠΙΑΓΩΓΟΙ"/>
    <m/>
    <m/>
    <s v="Γ΄"/>
    <n v="1"/>
    <n v="4797"/>
    <d v="2018-09-12T00:00:00"/>
    <s v="ΤΡΙΚΑΛΩΝ (Π.Ε.) 2018"/>
    <s v="ΔΙΕΥΘΥΝΣΗ Π.Ε. ΤΡΙΚΑΛΩΝ"/>
    <s v="ΠΕΡΙΦΕΡΕΙΑΚΗ Δ/ΝΣΗ Α/ΘΜΙΑΣ ΚΑΙ Β/ΘΜΙΑΣ ΕΚΠ/ΣΗΣ ΘΕΣΣΑΛΙΑΣ"/>
    <n v="25"/>
    <d v="2018-09-12T00:00:00"/>
    <s v="Ιδιωτικά Σχολεία"/>
    <x v="1"/>
    <s v="7451013"/>
    <s v="ΙΔΙΩΤΙΚΟ ΝΗΠΙΑΓΩΓΕΙΟ ΤΡΙΚΑΛΑ - ΡΟΔΙ-ΣΕΓΓΗΣ-ΠΑΠΑΓΕΩΡΓΙΟΥ Ο.Ε."/>
    <s v="ΤΡΙΚΑΛΩΝ (Π.Ε.) 2018"/>
    <s v="ΔΙΕΥΘΥΝΣΗ Π.Ε. ΤΡΙΚΑΛΩΝ"/>
    <s v="ΠΕΡΙΦΕΡΕΙΑΚΗ Δ/ΝΣΗ Α/ΘΜΙΑΣ ΚΑΙ Β/ΘΜΙΑΣ ΕΚΠ/ΣΗΣ ΘΕΣΣΑΛΙΑΣ"/>
    <x v="0"/>
    <s v="Τοποθέτηση σε Ιδιωτική Εκπαίδευση"/>
    <d v="1988-03-31T00:00:00"/>
    <x v="1"/>
    <s v="ΔΙΕΥΘΥΝΣΗ Π.Ε. ΤΡΙΚΑΛΩΝ"/>
    <x v="5"/>
  </r>
  <r>
    <x v="5253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077"/>
    <s v="ΠΑΠΑΓΑΘΑΓΓΕΛΟΥ &amp; ΣΙΑ Ε.Ε. (ΠΑΠΑΓΑΘΑΓΓΕΛΟΥ &amp; ΣΙΑ Ε.Ε.)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3-29T00:00:00"/>
    <x v="1"/>
    <s v="ΔΙΕΥΘΥΝΣΗ Π.Ε. Δ΄ ΑΘΗΝΑΣ"/>
    <x v="5"/>
  </r>
  <r>
    <x v="5254"/>
    <x v="1"/>
    <s v="ΠΕ60"/>
    <s v="ΝΗΠΙΑΓΩΓΟΙ"/>
    <m/>
    <m/>
    <s v="Α΄"/>
    <n v="2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141"/>
    <s v="ΙΔΙΩΤΙΚΟ ΝΗΠΙΑΓΩΓΕΙΟ - ΦΕΓΓΑΡΟΣΤΡΑΤ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8-03-11T00:00:00"/>
    <x v="1"/>
    <s v="ΔΙΕΥΘΥΝΣΗ Π.Ε. Δ΄ ΑΘΗΝΑΣ"/>
    <x v="5"/>
  </r>
  <r>
    <x v="5255"/>
    <x v="1"/>
    <s v="ΠΕ60"/>
    <s v="ΝΗΠΙΑΓΩΓΟΙ"/>
    <m/>
    <m/>
    <s v="Γ΄"/>
    <n v="1"/>
    <n v="1799622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37"/>
    <s v="ΙΔΙΩΤΙΚΟ ΝΗΠΙΑΓΩΓΕΙΟ - ΜΑΡΙΑ ΕΛΕΝΗ ΜΑΝΘΟΥΛΗ &quot;ΙΔΙΩΤΙΚΟ ΣΥΣΤΕΓΑΖΟΜΕΝΟ ΝΗΠΙΑΓΩΓΕΙΟ - ΤΟ ΝΗΠΙΑΓΩΓΕΙΟ ΤΟΥ ΕΛΑ ΝΑ ΠΑΙΞΟΥΜΕ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8-02-16T00:00:00"/>
    <x v="1"/>
    <s v="ΔΙΕΥΘΥΝΣΗ Π.Ε. Β΄ ΑΘΗΝΑΣ"/>
    <x v="5"/>
  </r>
  <r>
    <x v="5256"/>
    <x v="1"/>
    <s v="ΠΕ60"/>
    <s v="ΝΗΠΙΑΓΩΓΟΙ"/>
    <m/>
    <m/>
    <s v="Α΄"/>
    <n v="1"/>
    <m/>
    <m/>
    <s v="ΚΟΡΙΝΘΙΑΣ (Π.Ε.) 2018"/>
    <s v="ΔΙΕΥΘΥΝΣΗ Π.Ε. ΚΟΡΙΝΘΙΑΣ"/>
    <s v="ΠΕΡΙΦΕΡΕΙΑΚΗ Δ/ΝΣΗ Α/ΘΜΙΑΣ ΚΑΙ Β/ΘΜΙΑΣ ΕΚΠ/ΣΗΣ ΠΕΛΟΠΟΝΝΗΣΟΥ"/>
    <n v="25"/>
    <m/>
    <s v="Ιδιωτικά Σχολεία"/>
    <x v="1"/>
    <s v="7281017"/>
    <s v="ΙΔΙΩΤΙΚΟ ΝΗΠΙΑΓΩΓΕΙΟ - HOMO EDUCANDUS ΑΓΩΓΗ ΝΗΠΙΑΓΩΓΕΙΟ ΙΚΕ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7-12-08T00:00:00"/>
    <x v="1"/>
    <s v="ΔΙΕΥΘΥΝΣΗ Π.Ε. ΚΟΡΙΝΘΙΑΣ"/>
    <x v="5"/>
  </r>
  <r>
    <x v="5257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25"/>
    <s v="Συστεγαζόμενο Ιδιωτικό Νηπιαγωγείο Μπούρχα Κων. Δήμητρα - Ονειροδρόμιο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87-12-04T00:00:00"/>
    <x v="1"/>
    <s v="ΔΙΕΥΘΥΝΣΗ Π.Ε. ΦΘΙΩΤΙΔΑΣ"/>
    <x v="5"/>
  </r>
  <r>
    <x v="5258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5"/>
    <m/>
    <s v="Ιδιωτικά Σχολεία"/>
    <x v="1"/>
    <s v="7541043"/>
    <s v="ΙΔΙΩΤΙΚΟ ΝΗΠΙΑΓΩΓΕΙΟ - &quot;Η ΠΑΡΕΟΥΛΑ&quot; Μ. ΧΑΡΑΛΑΜΠΑΚΗ &amp; ΣΙ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7-11-08T00:00:00"/>
    <x v="1"/>
    <s v="ΔΙΕΥΘΥΝΣΗ Π.Ε. ΠΕΙΡΑΙΑ"/>
    <x v="5"/>
  </r>
  <r>
    <x v="5259"/>
    <x v="1"/>
    <s v="ΠΕ60"/>
    <s v="ΝΗΠΙΑΓΩΓΟΙ"/>
    <m/>
    <m/>
    <s v="Γ΄"/>
    <n v="1"/>
    <s v="ΑΠ1896317"/>
    <d v="2018-09-11T00:00:00"/>
    <s v="ΗΛΕΙΑΣ (Π.Ε.) 2018"/>
    <s v="ΔΙΕΥΘΥΝΣΗ Π.Ε. ΗΛΕΙΑΣ"/>
    <s v="ΠΕΡΙΦΕΡΕΙΑΚΗ Δ/ΝΣΗ Α/ΘΜΙΑΣ ΚΑΙ Β/ΘΜΙΑΣ ΕΚΠ/ΣΗΣ ΔΥΤΙΚΗΣ ΕΛΛΑΔΑΣ"/>
    <n v="25"/>
    <d v="2018-09-11T00:00:00"/>
    <s v="Ιδιωτικά Σχολεία"/>
    <x v="1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s v="ΔΙΕΥΘΥΝΣΗ Π.Ε. ΗΛΕΙΑΣ"/>
    <s v="ΠΕΡΙΦΕΡΕΙΑΚΗ Δ/ΝΣΗ Α/ΘΜΙΑΣ ΚΑΙ Β/ΘΜΙΑΣ ΕΚΠ/ΣΗΣ ΔΥΤΙΚΗΣ ΕΛΛΑΔΑΣ"/>
    <x v="0"/>
    <s v="Τοποθέτηση σε Ιδιωτική Εκπαίδευση"/>
    <d v="1987-11-08T00:00:00"/>
    <x v="1"/>
    <s v="ΔΙΕΥΘΥΝΣΗ Π.Ε. ΗΛΕΙΑΣ"/>
    <x v="5"/>
  </r>
  <r>
    <x v="5260"/>
    <x v="1"/>
    <s v="ΠΕ60"/>
    <s v="ΝΗΠΙΑΓΩΓΟΙ"/>
    <m/>
    <m/>
    <s v="Γ΄"/>
    <n v="1"/>
    <n v="3424"/>
    <d v="2018-09-01T00:00:00"/>
    <s v="ΤΡΙΚΑΛΩΝ (Π.Ε.) 2018"/>
    <s v="ΔΙΕΥΘΥΝΣΗ Π.Ε. ΤΡΙΚΑΛΩΝ"/>
    <s v="ΠΕΡΙΦΕΡΕΙΑΚΗ Δ/ΝΣΗ Α/ΘΜΙΑΣ ΚΑΙ Β/ΘΜΙΑΣ ΕΚΠ/ΣΗΣ ΘΕΣΣΑΛΙΑΣ"/>
    <n v="25"/>
    <d v="2018-09-01T00:00:00"/>
    <s v="Ιδιωτικά Σχολεία"/>
    <x v="1"/>
    <s v="7451013"/>
    <s v="ΙΔΙΩΤΙΚΟ ΝΗΠΙΑΓΩΓΕΙΟ ΤΡΙΚΑΛΑ - ΡΟΔΙ-ΣΕΓΓΗΣ-ΠΑΠΑΓΕΩΡΓΙΟΥ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87-10-22T00:00:00"/>
    <x v="1"/>
    <s v="ΔΙΕΥΘΥΝΣΗ Π.Ε. ΤΡΙΚΑΛΩΝ"/>
    <x v="5"/>
  </r>
  <r>
    <x v="5261"/>
    <x v="1"/>
    <s v="ΠΕ60"/>
    <s v="ΝΗΠΙΑΓΩΓΟΙ"/>
    <m/>
    <m/>
    <s v="Γ΄"/>
    <n v="1"/>
    <n v="6594"/>
    <d v="2018-09-04T00:00:00"/>
    <s v="ΧΑΝΙΩΝ (Π.Ε.) 2018"/>
    <s v="ΔΙΕΥΘΥΝΣΗ Π.Ε. ΧΑΝΙΩΝ"/>
    <s v="ΠΕΡΙΦΕΡΕΙΑΚΗ Δ/ΝΣΗ Α/ΘΜΙΑΣ ΚΑΙ Β/ΘΜΙΑΣ ΕΚΠ/ΣΗΣ ΚΡΗΤΗΣ"/>
    <n v="25"/>
    <d v="2018-09-04T00:00:00"/>
    <s v="Ιδιωτικά Σχολεία"/>
    <x v="1"/>
    <s v="7501011"/>
    <s v="ΙΔΙΩΤΙΚΟ ΣΥΣΤΕΓΑΖΟΜΕΝΟ ΝΗΠΙΑΓΩΓΕΙΟ ΜΠΟΛΙΟΥΔΑΚΗ ΜΑΡΙΑ - ΖΟΥΖΟΥΝΟΣΠΙΤΟ"/>
    <s v="ΧΑΝΙΩΝ (Π.Ε.) 2018"/>
    <s v="ΔΙΕΥΘΥΝΣΗ Π.Ε. ΧΑΝΙΩΝ"/>
    <s v="ΠΕΡΙΦΕΡΕΙΑΚΗ Δ/ΝΣΗ Α/ΘΜΙΑΣ ΚΑΙ Β/ΘΜΙΑΣ ΕΚΠ/ΣΗΣ ΚΡΗΤΗΣ"/>
    <x v="0"/>
    <s v="Τοποθέτηση σε Ιδιωτική Εκπαίδευση"/>
    <d v="1987-10-12T00:00:00"/>
    <x v="1"/>
    <s v="ΔΙΕΥΘΥΝΣΗ Π.Ε. ΧΑΝΙΩΝ"/>
    <x v="5"/>
  </r>
  <r>
    <x v="5262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1"/>
    <s v="1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9-16T00:00:00"/>
    <x v="1"/>
    <s v="ΔΙΕΥΘΥΝΣΗ Π.Ε. ΑΝΑΤΟΛΙΚΗΣ ΑΤΤΙΚΗΣ"/>
    <x v="5"/>
  </r>
  <r>
    <x v="5263"/>
    <x v="1"/>
    <s v="ΠΕ60"/>
    <s v="ΝΗΠΙΑΓΩΓΟΙ"/>
    <m/>
    <m/>
    <s v="Β΄"/>
    <n v="2"/>
    <s v="Φ.Ι.Α.4/15395/7-10-2015"/>
    <d v="2015-09-01T00:00:00"/>
    <s v="Β΄ ΑΝΑΤ. ΑΤΤΙΚΗΣ (Π.Ε.) 2018"/>
    <s v="ΔΙΕΥΘΥΝΣΗ Π.Ε. ΑΝΑΤΟΛΙΚΗΣ ΑΤΤΙΚΗΣ"/>
    <s v="ΠΕΡΙΦΕΡΕΙΑΚΗ Δ/ΝΣΗ Α/ΘΜΙΑΣ ΚΑΙ Β/ΘΜΙΑΣ ΕΚΠ/ΣΗΣ ΑΤΤΙΚΗΣ"/>
    <n v="25"/>
    <d v="2015-09-01T00:00:00"/>
    <s v="Ιδιωτικά Σχολεία"/>
    <x v="1"/>
    <s v="7521101"/>
    <s v="ΣΥΣΤΕΓΑΖΟΜΕΝΟ ΝΗΠΙΑΓΩΓΕΙΟ ΟΝΕΙΡΟΧΩΡΑ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7-09-12T00:00:00"/>
    <x v="1"/>
    <s v="ΔΙΕΥΘΥΝΣΗ Π.Ε. ΑΝΑΤΟΛΙΚΗΣ ΑΤΤΙΚΗΣ"/>
    <x v="5"/>
  </r>
  <r>
    <x v="5264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15"/>
    <s v="ΟΥΡΑΝΙΟ ΤΟΞΟ (ΑΝΑΛΥΤΗ ΧΡΙΣΤΙΝΑ)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7-09-11T00:00:00"/>
    <x v="1"/>
    <s v="ΔΙΕΥΘΥΝΣΗ Π.Ε. ΕΥΒΟΙΑΣ"/>
    <x v="5"/>
  </r>
  <r>
    <x v="5265"/>
    <x v="1"/>
    <s v="ΠΕ60"/>
    <s v="ΝΗΠΙΑΓΩΓΟΙ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55"/>
    <s v="ΙΔΙΩΤΙΚΟ ΝΗΠΙΑΓΩΓΕΙΟ M. ΚΩΝΣΤΑΝΤΟΠΟΥΛΟΥ - Χ. ΤΥΡΟΒΟΛΑΣ Ο.Ε. - ΛΙΛΙΠΟΥΠΟΛ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7-08-29T00:00:00"/>
    <x v="1"/>
    <s v="ΔΙΕΥΘΥΝΣΗ Π.Ε. Δ΄ ΑΘΗΝΑΣ"/>
    <x v="5"/>
  </r>
  <r>
    <x v="5266"/>
    <x v="1"/>
    <s v="ΠΕ60"/>
    <s v="ΝΗΠΙΑΓΩΓΟΙ"/>
    <m/>
    <m/>
    <s v="Γ΄"/>
    <n v="1"/>
    <n v="228"/>
    <d v="2018-09-01T00:00:00"/>
    <s v="ΤΡΙΚΑΛΩΝ (Π.Ε.) 2018"/>
    <s v="ΔΙΕΥΘΥΝΣΗ Π.Ε. ΤΡΙΚΑΛΩΝ"/>
    <s v="ΠΕΡΙΦΕΡΕΙΑΚΗ Δ/ΝΣΗ Α/ΘΜΙΑΣ ΚΑΙ Β/ΘΜΙΑΣ ΕΚΠ/ΣΗΣ ΘΕΣΣΑΛΙΑΣ"/>
    <n v="25"/>
    <d v="2018-09-01T00:00:00"/>
    <s v="Ιδιωτικά Σχολεία"/>
    <x v="1"/>
    <s v="7451017"/>
    <s v="ΣΥΣΤΕΓΑΖΟΜΕΝΟ ΝΗΠΙΑΓΩΓΕΙΟ - ΟΥΤΡΑ ΑΦΡΟΔΙΤΗ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87-06-29T00:00:00"/>
    <x v="1"/>
    <s v="ΔΙΕΥΘΥΝΣΗ Π.Ε. ΤΡΙΚΑΛΩΝ"/>
    <x v="5"/>
  </r>
  <r>
    <x v="5267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75"/>
    <s v="ΙΔΙΩΤΙΚΟ ΝΗΠΙΑΓΩΓΕΙΟ - &quot;ΑΓΙΟΣ ΙΩΣΗΦ&quot;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7-06-18T00:00:00"/>
    <x v="1"/>
    <s v="ΔΙΕΥΘΥΝΣΗ Π.Ε. Β΄ ΑΘΗΝΑΣ"/>
    <x v="5"/>
  </r>
  <r>
    <x v="5268"/>
    <x v="1"/>
    <s v="ΠΕ60"/>
    <s v="ΝΗΠΙΑΓΩΓΟΙ"/>
    <m/>
    <m/>
    <s v="Α΄"/>
    <n v="4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21"/>
    <s v="ΙΔΙΩΤΙΚΟ ΝΗΠΙΑΓΩΓΕΙΟ ΛΑΜΙΑ - ΓΕΛΑΣΤΗ ΦΡΑΟΥΛ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87-06-12T00:00:00"/>
    <x v="1"/>
    <s v="ΔΙΕΥΘΥΝΣΗ Π.Ε. ΦΘΙΩΤΙΔΑΣ"/>
    <x v="5"/>
  </r>
  <r>
    <x v="5269"/>
    <x v="1"/>
    <s v="ΠΕ60"/>
    <s v="ΝΗΠΙΑΓΩΓΟΙ"/>
    <m/>
    <m/>
    <s v="Α΄"/>
    <n v="2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13"/>
    <s v="ΙΔΙΩΤΙΚΟ ΝΗΠΙΑΓΩΓΕΙΟ - ΑΞΙΟΝ ΕΣΤΙ 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7-05-11T00:00:00"/>
    <x v="1"/>
    <s v="ΔΙΕΥΘΥΝΣΗ Π.Ε. ΜΑΓΝΗΣΙΑΣ"/>
    <x v="5"/>
  </r>
  <r>
    <x v="5270"/>
    <x v="1"/>
    <s v="ΠΕ60"/>
    <s v="ΝΗΠΙΑΓΩΓΟΙ"/>
    <m/>
    <m/>
    <s v="Γ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51"/>
    <s v="ΙΔΙΩΤΙΚΟ ΣΥΣΤΕΓΑΖΟΜΕΝΟ ΝΗΠΙΑΓΩΓΕΙΟ - ΧΡΙΣΤΟΦΟΡΙΔΟΥ ΖΑΧΑΡΟΥΛΑ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7-05-11T00:00:00"/>
    <x v="1"/>
    <s v="ΔΙΕΥΘΥΝΣΗ Π.Ε. ΔΥΤ. ΘΕΣ/ΝΙΚΗΣ"/>
    <x v="5"/>
  </r>
  <r>
    <x v="5271"/>
    <x v="1"/>
    <s v="ΠΕ60"/>
    <s v="ΝΗΠΙΑΓΩΓΟΙ"/>
    <m/>
    <m/>
    <s v="Γ΄"/>
    <n v="1"/>
    <n v="10144"/>
    <d v="2018-10-01T00:00:00"/>
    <s v="Δ΄ ΑΘΗΝΑΣ (Π.Ε.) 2018"/>
    <s v="ΔΙΕΥΘΥΝΣΗ Π.Ε. Δ΄ ΑΘΗΝΑΣ"/>
    <s v="ΠΕΡΙΦΕΡΕΙΑΚΗ Δ/ΝΣΗ Α/ΘΜΙΑΣ ΚΑΙ Β/ΘΜΙΑΣ ΕΚΠ/ΣΗΣ ΑΤΤΙΚΗΣ"/>
    <n v="25"/>
    <d v="2018-10-01T00:00:00"/>
    <s v="Ιδιωτικά Σχολεία"/>
    <x v="1"/>
    <s v="7054047"/>
    <s v="ΕΚΠΑΙΔΕΥΤΗΡΙΑ Γ. ΖΩΗ - ΙΔΙΩΤΙΚΟ ΝΗΠΙΑΓΩΓΕΙΟ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87-04-30T00:00:00"/>
    <x v="1"/>
    <s v="ΔΙΕΥΘΥΝΣΗ Π.Ε. Δ΄ ΑΘΗΝΑΣ"/>
    <x v="5"/>
  </r>
  <r>
    <x v="5272"/>
    <x v="1"/>
    <s v="ΠΕ60"/>
    <s v="ΝΗΠΙΑΓΩΓ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5"/>
    <s v="ΙΔΙΩΤΙΚΟ ΝΗΠΙΑΓΩΓΕΙΟ ΧΑΝΙΑ - ΜΑΥΡΟΜΑΤΑΚΗ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7-03-24T00:00:00"/>
    <x v="1"/>
    <s v="ΔΙΕΥΘΥΝΣΗ Π.Ε. ΧΑΝΙΩΝ"/>
    <x v="5"/>
  </r>
  <r>
    <x v="5273"/>
    <x v="1"/>
    <s v="ΠΕ60"/>
    <s v="ΝΗΠΙΑΓΩΓΟΙ"/>
    <m/>
    <m/>
    <s v="Γ΄"/>
    <n v="3"/>
    <s v="1546/12-05-2011"/>
    <d v="2018-09-01T00:00:00"/>
    <s v="Α΄ ΧΙΟΥ (Π.Ε.) 2018"/>
    <s v="ΔΙΕΥΘΥΝΣΗ Π.Ε. ΧΙΟΥ"/>
    <s v="ΠΕΡΙΦΕΡΕΙΑΚΗ Δ/ΝΣΗ Α/ΘΜΙΑΣ ΚΑΙ Β/ΘΜΙΑΣ ΕΚΠ/ΣΗΣ ΒΟΡΕΙΟΥ ΑΙΓΑΙΟΥ"/>
    <n v="25"/>
    <d v="2018-09-01T00:00:00"/>
    <s v="Ιδιωτικά Σχολεία"/>
    <x v="1"/>
    <s v="7511001"/>
    <s v="ΙΔΙΩΤΙΚΟ ΝΗΠΙΑΓΩΓΕΙΟ ΧΙΟΣ - ΤΑ ΧΕΛΙΔΟΝΙΑ"/>
    <s v="Α΄ ΧΙΟΥ (Π.Ε.) 2018"/>
    <s v="ΔΙΕΥΘΥΝΣΗ Π.Ε. ΧΙΟΥ"/>
    <s v="ΠΕΡΙΦΕΡΕΙΑΚΗ Δ/ΝΣΗ Α/ΘΜΙΑΣ ΚΑΙ Β/ΘΜΙΑΣ ΕΚΠ/ΣΗΣ ΒΟΡΕΙΟΥ ΑΙΓΑΙΟΥ"/>
    <x v="1"/>
    <s v="Τοποθέτηση σε Ιδιωτική Εκπαίδευση"/>
    <d v="1987-02-21T00:00:00"/>
    <x v="1"/>
    <s v="ΔΙΕΥΘΥΝΣΗ Π.Ε. ΧΙΟΥ"/>
    <x v="5"/>
  </r>
  <r>
    <x v="5274"/>
    <x v="1"/>
    <s v="ΠΕ60"/>
    <s v="ΝΗΠΙΑΓΩΓΟΙ"/>
    <m/>
    <m/>
    <s v="Α΄"/>
    <n v="1"/>
    <m/>
    <m/>
    <s v="ΡΕΘΥΜΝΟΥ (Π.Ε.) 2018"/>
    <s v="ΔΙΕΥΘΥΝΣΗ Π.Ε. ΡΕΘΥΜΝΟΥ"/>
    <s v="ΠΕΡΙΦΕΡΕΙΑΚΗ Δ/ΝΣΗ Α/ΘΜΙΑΣ ΚΑΙ Β/ΘΜΙΑΣ ΕΚΠ/ΣΗΣ ΚΡΗΤΗΣ"/>
    <n v="25"/>
    <m/>
    <s v="Ιδιωτικά Σχολεία"/>
    <x v="1"/>
    <s v="7411005"/>
    <s v="ΙΔΙΩΤΙΚΟ ΣΥΣΤΕΓΑΖΟΜΕΝΟ ΝΗΠΙΑΓΩΓΕΙΟ - ΨΥΛΛΑΚΗ ΑΝΝΑ"/>
    <s v="ΡΕΘΥΜΝΟΥ (Π.Ε.) 2018"/>
    <s v="ΔΙΕΥΘΥΝΣΗ Π.Ε. ΡΕΘΥΜΝΟΥ"/>
    <s v="ΠΕΡΙΦΕΡΕΙΑΚΗ Δ/ΝΣΗ Α/ΘΜΙΑΣ ΚΑΙ Β/ΘΜΙΑΣ ΕΚΠ/ΣΗΣ ΚΡΗΤΗΣ"/>
    <x v="1"/>
    <s v="Τοποθέτηση σε Ιδιωτική Εκπαίδευση"/>
    <d v="1987-02-14T00:00:00"/>
    <x v="1"/>
    <s v="ΔΙΕΥΘΥΝΣΗ Π.Ε. ΡΕΘΥΜΝΟΥ"/>
    <x v="5"/>
  </r>
  <r>
    <x v="5275"/>
    <x v="1"/>
    <s v="ΠΕ60"/>
    <s v="ΝΗΠΙΑΓΩΓΟΙ"/>
    <m/>
    <m/>
    <s v="Γ΄"/>
    <n v="1"/>
    <s v="110/7-11/2018"/>
    <d v="2018-09-03T00:00:00"/>
    <s v="Α΄ ΔΩΔΕΚΑΝΗΣΟΥ (Π.Ε.) 2018"/>
    <s v="ΔΙΕΥΘΥΝΣΗ Π.Ε. ΔΩΔΕΚΑΝΗΣΟΥ"/>
    <s v="ΠΕΡΙΦΕΡΕΙΑΚΗ Δ/ΝΣΗ Α/ΘΜΙΑΣ ΚΑΙ Β/ΘΜΙΑΣ ΕΚΠ/ΣΗΣ ΝΟΤΙΟΥ ΑΙΓΑΙΟΥ"/>
    <n v="25"/>
    <d v="2018-09-03T00:00:00"/>
    <s v="Ιδιωτικά Σχολεία"/>
    <x v="1"/>
    <s v="7101007"/>
    <s v="ΙΔΙΩΤΙΚΟ ΝΗΠΙΑΓΩΓΕΙΟ ΡΟΔΟΣ - ΔΗΜΙΟΥΡΓΙΑ"/>
    <s v="Α΄ ΔΩΔΕΚΑΝΗΣΟΥ (Π.Ε.) 2018"/>
    <s v="ΔΙΕΥΘΥΝΣΗ Π.Ε. ΔΩΔΕΚΑΝΗΣΟΥ"/>
    <s v="ΠΕΡΙΦΕΡΕΙΑΚΗ Δ/ΝΣΗ Α/ΘΜΙΑΣ ΚΑΙ Β/ΘΜΙΑΣ ΕΚΠ/ΣΗΣ ΝΟΤΙΟΥ ΑΙΓΑΙΟΥ"/>
    <x v="0"/>
    <s v="Τοποθέτηση σε Ιδιωτική Εκπαίδευση"/>
    <d v="1987-02-10T00:00:00"/>
    <x v="1"/>
    <s v="ΔΙΕΥΘΥΝΣΗ Π.Ε. ΔΩΔΕΚΑΝΗΣΟΥ"/>
    <x v="5"/>
  </r>
  <r>
    <x v="5276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7-01-16T00:00:00"/>
    <x v="1"/>
    <s v="ΔΙΕΥΘΥΝΣΗ Π.Ε. Γ΄ ΑΘΗΝΑΣ"/>
    <x v="5"/>
  </r>
  <r>
    <x v="5277"/>
    <x v="1"/>
    <s v="ΠΕ60"/>
    <s v="ΝΗΠΙΑΓΩΓΟΙ"/>
    <m/>
    <m/>
    <s v="Γ΄"/>
    <n v="1"/>
    <s v="Φ.17/ΔΠΕ 5467/7-9-2017"/>
    <d v="2017-09-01T00:00:00"/>
    <s v="ΡΕΘΥΜΝΟΥ (Π.Ε.) 2018"/>
    <s v="ΔΙΕΥΘΥΝΣΗ Π.Ε. ΡΕΘΥΜΝΟΥ"/>
    <s v="ΠΕΡΙΦΕΡΕΙΑΚΗ Δ/ΝΣΗ Α/ΘΜΙΑΣ ΚΑΙ Β/ΘΜΙΑΣ ΕΚΠ/ΣΗΣ ΚΡΗΤΗΣ"/>
    <n v="25"/>
    <d v="2017-09-01T00:00:00"/>
    <s v="Ιδιωτικά Σχολεία"/>
    <x v="1"/>
    <s v="7411007"/>
    <s v="ΙΔΙΩΤΙΚΟ ΝΗΠΙΑΓΩΓΕΙΟ - ΚΟΥΤΙΚΑ ΕΛΕΝΗ"/>
    <s v="ΡΕΘΥΜΝΟΥ (Π.Ε.) 2018"/>
    <s v="ΔΙΕΥΘΥΝΣΗ Π.Ε. ΡΕΘΥΜΝΟΥ"/>
    <s v="ΠΕΡΙΦΕΡΕΙΑΚΗ Δ/ΝΣΗ Α/ΘΜΙΑΣ ΚΑΙ Β/ΘΜΙΑΣ ΕΚΠ/ΣΗΣ ΚΡΗΤΗΣ"/>
    <x v="1"/>
    <s v="Τοποθέτηση σε Ιδιωτική Εκπαίδευση"/>
    <d v="1986-11-18T00:00:00"/>
    <x v="1"/>
    <s v="ΔΙΕΥΘΥΝΣΗ Π.Ε. ΡΕΘΥΜΝΟΥ"/>
    <x v="5"/>
  </r>
  <r>
    <x v="5278"/>
    <x v="1"/>
    <s v="ΠΕ60"/>
    <s v="ΝΗΠΙΑΓΩΓΟΙ"/>
    <m/>
    <m/>
    <s v="Γ΄"/>
    <n v="1"/>
    <s v="7242/6-9-2017"/>
    <d v="2018-09-01T00:00:00"/>
    <s v="ΙΩΑΝΝΙΝΩΝ (Π.Ε.) 2018"/>
    <s v="ΔΙΕΥΘΥΝΣΗ Π.Ε. ΙΩΑΝΝΙΝΩΝ"/>
    <s v="ΠΕΡΙΦΕΡΕΙΑΚΗ Δ/ΝΣΗ Α/ΘΜΙΑΣ ΚΑΙ Β/ΘΜΙΑΣ ΕΚΠ/ΣΗΣ ΗΠΕΙΡΟΥ"/>
    <n v="25"/>
    <d v="2018-09-01T00:00:00"/>
    <s v="Ιδιωτικά Σχολεία"/>
    <x v="1"/>
    <s v="7201023"/>
    <s v="ΙΔΙΩΤΙΚΟ ΣΥΣΤΕΓΑΖΟΜΕΝΟ ΝΗΠΙΑΓΩΓΕΙΟ - ΠΡΩΤΗ ΠΡΟΒΑ ΙΩΑΝΝΙΝΩΝ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86-11-17T00:00:00"/>
    <x v="1"/>
    <s v="ΔΙΕΥΘΥΝΣΗ Π.Ε. ΙΩΑΝΝΙΝΩΝ"/>
    <x v="5"/>
  </r>
  <r>
    <x v="5279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63"/>
    <s v="1ο ΙΔΙΩΤΙΚΟ ΝΗΠΙΑΓΩΓΕΙΟ ΚΗΦΙΣΙΑ - ΜΠΕΝΑΚΕΙΟ ΠΑΙΔΙΚΟ ΙΔΡΥΜΑ ΚΗΦΙΣΙΑ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6-11-12T00:00:00"/>
    <x v="1"/>
    <s v="ΔΙΕΥΘΥΝΣΗ Π.Ε. Β΄ ΑΘΗΝΑΣ"/>
    <x v="5"/>
  </r>
  <r>
    <x v="5280"/>
    <x v="1"/>
    <s v="ΠΕ60"/>
    <s v="ΝΗΠΙΑΓΩΓΟΙ"/>
    <m/>
    <m/>
    <s v="Β΄"/>
    <n v="2"/>
    <s v="Φ.Ι.Α.7/33041/15-3-2018"/>
    <d v="2017-10-18T00:00:00"/>
    <s v="Β΄ ΑΝΑΤ. ΑΤΤΙΚΗΣ (Π.Ε.) 2018"/>
    <s v="ΔΙΕΥΘΥΝΣΗ Π.Ε. ΑΝΑΤΟΛΙΚΗΣ ΑΤΤΙΚΗΣ"/>
    <s v="ΠΕΡΙΦΕΡΕΙΑΚΗ Δ/ΝΣΗ Α/ΘΜΙΑΣ ΚΑΙ Β/ΘΜΙΑΣ ΕΚΠ/ΣΗΣ ΑΤΤΙΚΗΣ"/>
    <n v="25"/>
    <d v="2017-10-18T00:00:00"/>
    <s v="Ιδιωτικά Σχολεία"/>
    <x v="1"/>
    <s v="7521157"/>
    <s v="Ιδιωτικό Νηπιαγωγείο Ονειροχώρα - 3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6-11-02T00:00:00"/>
    <x v="1"/>
    <s v="ΔΙΕΥΘΥΝΣΗ Π.Ε. ΑΝΑΤΟΛΙΚΗΣ ΑΤΤΙΚΗΣ"/>
    <x v="5"/>
  </r>
  <r>
    <x v="5281"/>
    <x v="1"/>
    <s v="ΠΕ60"/>
    <s v="ΝΗΠΙΑΓΩΓΟΙ"/>
    <m/>
    <m/>
    <s v="Γ΄"/>
    <n v="1"/>
    <n v="1125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57"/>
    <s v="ΣΥΣΤΕΓΑΖΟΜΕΝΟ ΝΗΠΙΑΓΩΓΕΙΟ - ΠΑΝΟΠΟΥΛΟΥ ΜΑΡ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11-02T00:00:00"/>
    <x v="1"/>
    <s v="ΔΙΕΥΘΥΝΣΗ Π.Ε. Δ΄ ΑΘΗΝΑΣ"/>
    <x v="5"/>
  </r>
  <r>
    <x v="5282"/>
    <x v="1"/>
    <s v="ΠΕ60"/>
    <s v="ΝΗΠΙΑΓΩΓΟΙ"/>
    <m/>
    <m/>
    <s v="Γ΄"/>
    <n v="1"/>
    <s v="2968/03-10-2011"/>
    <d v="2018-09-01T00:00:00"/>
    <s v="ΔΡΑΜΑΣ (Π.Ε.) 2018"/>
    <s v="ΔΙΕΥΘΥΝΣΗ Π.Ε. ΔΡΑΜΑΣ"/>
    <s v="ΠΕΡΙΦΕΡΕΙΑΚΗ Δ/ΝΣΗ Α/ΘΜΙΑΣ ΚΑΙ Β/ΘΜΙΑΣ ΕΚΠ/ΣΗΣ ΑΝ. ΜΑΚΕΔΟΝΙΑΣ ΚΑΙ ΘΡΑΚΗΣ"/>
    <n v="25"/>
    <d v="2018-09-01T00:00:00"/>
    <s v="Ιδιωτικά Σχολεία"/>
    <x v="1"/>
    <s v="7091003"/>
    <s v="ΙΔΙΩΤΙΚΟ ΝΗΠΙΑΓΩΓΕΙΟ ΔΡΑΜΑ - Ε. ΤΡΟΠΙΟΥ ΚΑΙ ΣΙΑ Ο.Ε. &quot;ΠΑΙΔΙΚΟΡΑΜΑ&quot;"/>
    <s v="ΔΡΑΜΑΣ (Π.Ε.) 2018"/>
    <s v="ΔΙΕΥΘΥΝΣΗ Π.Ε. ΔΡΑΜΑΣ"/>
    <s v="ΠΕΡΙΦΕΡΕΙΑΚΗ Δ/ΝΣΗ Α/ΘΜΙΑΣ ΚΑΙ Β/ΘΜΙΑΣ ΕΚΠ/ΣΗΣ ΑΝ. ΜΑΚΕΔΟΝΙΑΣ ΚΑΙ ΘΡΑΚΗΣ"/>
    <x v="1"/>
    <s v="Τοποθέτηση σε Ιδιωτική Εκπαίδευση"/>
    <d v="1986-10-29T00:00:00"/>
    <x v="1"/>
    <s v="ΔΙΕΥΘΥΝΣΗ Π.Ε. ΔΡΑΜΑΣ"/>
    <x v="5"/>
  </r>
  <r>
    <x v="5283"/>
    <x v="1"/>
    <s v="ΠΕ60"/>
    <s v="ΝΗΠΙΑΓΩΓΟΙ"/>
    <m/>
    <m/>
    <s v="Γ΄"/>
    <n v="3"/>
    <s v="Φ.17/3614"/>
    <d v="2018-09-20T00:00:00"/>
    <s v="ΚΟΡΙΝΘΙΑΣ (Π.Ε.) 2018"/>
    <s v="ΔΙΕΥΘΥΝΣΗ Π.Ε. ΚΟΡΙΝΘΙΑΣ"/>
    <s v="ΠΕΡΙΦΕΡΕΙΑΚΗ Δ/ΝΣΗ Α/ΘΜΙΑΣ ΚΑΙ Β/ΘΜΙΑΣ ΕΚΠ/ΣΗΣ ΠΕΛΟΠΟΝΝΗΣΟΥ"/>
    <n v="25"/>
    <d v="2018-09-20T00:00:00"/>
    <s v="Ιδιωτικά Σχολεία"/>
    <x v="1"/>
    <s v="7281001"/>
    <s v="ΙΔΙΩΤΙΚΟ ΝΗΠΙΑΓΩΓΕΙΟ ΚΟΡΙΝΘΟΣ - ΜΙΚΡΟΣ ΝΑΥΤΙΛΟΣ"/>
    <s v="ΚΟΡΙΝΘΙΑΣ (Π.Ε.) 2018"/>
    <s v="ΔΙΕΥΘΥΝΣΗ Π.Ε. ΚΟΡΙΝΘΙΑΣ"/>
    <s v="ΠΕΡΙΦΕΡΕΙΑΚΗ Δ/ΝΣΗ Α/ΘΜΙΑΣ ΚΑΙ Β/ΘΜΙΑΣ ΕΚΠ/ΣΗΣ ΠΕΛΟΠΟΝΝΗΣΟΥ"/>
    <x v="0"/>
    <s v="Τοποθέτηση σε Ιδιωτική Εκπαίδευση"/>
    <d v="1986-10-22T00:00:00"/>
    <x v="1"/>
    <s v="ΔΙΕΥΘΥΝΣΗ Π.Ε. ΚΟΡΙΝΘΙΑΣ"/>
    <x v="5"/>
  </r>
  <r>
    <x v="5284"/>
    <x v="1"/>
    <s v="ΠΕ60"/>
    <s v="ΝΗΠΙΑΓΩΓΟΙ"/>
    <m/>
    <m/>
    <s v="Γ΄"/>
    <n v="1"/>
    <n v="11592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83"/>
    <s v="ΙΔΙΩΤΙΚΟ ΝΗΠΙΑΓΩΓΕΙΟ - LITTLE SCHOLARS CENTRE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6-10-20T00:00:00"/>
    <x v="1"/>
    <s v="ΔΙΕΥΘΥΝΣΗ Π.Ε. Δ΄ ΑΘΗΝΑΣ"/>
    <x v="5"/>
  </r>
  <r>
    <x v="5285"/>
    <x v="1"/>
    <s v="ΠΕ60"/>
    <s v="ΝΗΠΙΑΓΩΓΟΙ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09"/>
    <s v="ΙΔΙΩΤΙΚΟ ΝΗΠΙΑΓΩΓΕΙΟ - ΠΑΡΑΜΥΘΟΥΠΟΛΗ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6-10-15T00:00:00"/>
    <x v="1"/>
    <s v="ΔΙΕΥΘΥΝΣΗ Π.Ε. ΙΩΑΝΝΙΝΩΝ"/>
    <x v="5"/>
  </r>
  <r>
    <x v="5286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03"/>
    <s v="ΙΔΙΩΤΙΚΟ ΝΗΠΙΑΓΩΓΕΙΟ ΧΑΛΚΙΔΑ - ΣΧΟΛΗ ΚΥΡΑΝΑ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6-09-17T00:00:00"/>
    <x v="1"/>
    <s v="ΔΙΕΥΘΥΝΣΗ Π.Ε. ΕΥΒΟΙΑΣ"/>
    <x v="5"/>
  </r>
  <r>
    <x v="5287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15"/>
    <s v="ΟΥΡΑΝΙΟ ΤΟΞΟ (ΑΝΑΛΥΤΗ ΧΡΙΣΤΙΝΑ)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86-09-16T00:00:00"/>
    <x v="1"/>
    <s v="ΔΙΕΥΘΥΝΣΗ Π.Ε. ΕΥΒΟΙΑΣ"/>
    <x v="5"/>
  </r>
  <r>
    <x v="5288"/>
    <x v="0"/>
    <s v="ΠΕ60"/>
    <s v="ΝΗΠΙΑΓΩΓ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25"/>
    <s v="ΙΔΙΩΤΙΚΟ ΝΗΠΙΑΓΩΓΕΙΟ ΠΑΤΡΑ - ΙΔ. ΝΗΠ. ΡΕΖΙΤΗΣ ΣΩΤΗΡΙΟΣ-ΓΕΡΑΣΙΜΟΣ"/>
    <s v="ΑΧΑΪΑΣ (Π.Ε.) 2018"/>
    <s v="ΔΙΕΥΘΥΝΣΗ Π.Ε. ΑΧΑΪΑΣ"/>
    <s v="ΠΕΡΙΦΕΡΕΙΑΚΗ Δ/ΝΣΗ Α/ΘΜΙΑΣ ΚΑΙ Β/ΘΜΙΑΣ ΕΚΠ/ΣΗΣ ΔΥΤΙΚΗΣ ΕΛΛΑΔΑΣ"/>
    <x v="3"/>
    <s v="Τοποθέτηση σε Ιδιωτική Εκπαίδευση"/>
    <d v="1986-08-30T00:00:00"/>
    <x v="1"/>
    <s v="ΔΙΕΥΘΥΝΣΗ Π.Ε. ΑΧΑΪΑΣ"/>
    <x v="5"/>
  </r>
  <r>
    <x v="5289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011"/>
    <s v="ΙΔΙΩΤΙΚΟ ΝΗΠΙΑΓΩΓΕΙ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7-23T00:00:00"/>
    <x v="1"/>
    <s v="ΔΙΕΥΘΥΝΣΗ Π.Ε. Δ΄ ΑΘΗΝΑΣ"/>
    <x v="5"/>
  </r>
  <r>
    <x v="5290"/>
    <x v="1"/>
    <s v="ΠΕ60"/>
    <s v="ΝΗΠΙΑΓΩΓΟΙ"/>
    <m/>
    <m/>
    <s v="Γ΄"/>
    <n v="1"/>
    <n v="12686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39"/>
    <s v="ΣΥΣΤΕΓΑΖΟΜΕΝΟ ΝΗΠΙΑΓΩΓΕΙΟ ΜΠΟΥΡΛΗ ΕΛΙΣΣΑΒΕΤ ΤΟΣΟΔΟΥΛ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5-10T00:00:00"/>
    <x v="1"/>
    <s v="ΔΙΕΥΘΥΝΣΗ Π.Ε. Δ΄ ΑΘΗΝΑΣ"/>
    <x v="5"/>
  </r>
  <r>
    <x v="5291"/>
    <x v="1"/>
    <s v="ΠΕ60"/>
    <s v="ΝΗΠΙΑΓΩΓΟΙ"/>
    <m/>
    <m/>
    <s v="Γ΄"/>
    <n v="1"/>
    <n v="13580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71"/>
    <s v="ΙΔΙΩΤΙΚΟ ΝΗΠΙΑΓΩΓΕΙΟ - ΔΙΑΒΟΛΗ ΜΑΡΙΑ - ΗΛΙΑ ΚΑΙ ΣΙΑ ΟΕ - ΛΙΛΟΣΠΙΤΟ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6-04-22T00:00:00"/>
    <x v="1"/>
    <s v="ΔΙΕΥΘΥΝΣΗ Π.Ε. Δ΄ ΑΘΗΝΑΣ"/>
    <x v="5"/>
  </r>
  <r>
    <x v="5292"/>
    <x v="1"/>
    <s v="ΠΕ60"/>
    <s v="ΝΗΠΙΑΓΩΓΟΙ"/>
    <m/>
    <m/>
    <s v="Γ΄"/>
    <n v="3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03"/>
    <s v="ΣΥΣΤΕΓΑΖΟΜΕΝΟ ΝΗΠΙΑΓΩΓΕΙΟ - ΕΚΠΑΙΔΕΥΤΗΡΙΑ ΠΑΠΑΖΟΓΛΟΥ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6-04-20T00:00:00"/>
    <x v="1"/>
    <s v="ΔΙΕΥΘΥΝΣΗ Π.Ε. ΜΑΓΝΗΣΙΑΣ"/>
    <x v="5"/>
  </r>
  <r>
    <x v="5293"/>
    <x v="1"/>
    <s v="ΠΕ06"/>
    <s v="ΑΓΓΛΙΚΗΣ ΦΙΛΟΛΟΓΙΑΣ"/>
    <m/>
    <m/>
    <s v="Γ΄"/>
    <n v="1"/>
    <s v="Φ.Ι.Α.6/30223/5-12-2017"/>
    <d v="2017-09-01T00:00:00"/>
    <s v="Α΄ ΑΝΑΤ. ΑΤΤΙΚΗΣ (Δ.Ε.) 2018"/>
    <s v="ΔΙΕΥΘΥΝΣΗ Δ.Ε. ΑΝΑΤΟΛΙΚΗΣ ΑΤΤΙΚΗΣ"/>
    <s v="ΠΕΡΙΦΕΡΕΙΑΚΗ Δ/ΝΣΗ Α/ΘΜΙΑΣ ΚΑΙ Β/ΘΜΙΑΣ ΕΚΠ/ΣΗΣ ΑΤΤΙΚΗΣ"/>
    <n v="25"/>
    <d v="2017-09-01T00:00:00"/>
    <s v="Ιδιωτικά Σχολεία"/>
    <x v="2"/>
    <s v="0560006"/>
    <s v="ΙΔΙΩΤΙΚΟ ΓΥΜΝΑΣΙΟ ΑΝΑΤΟΛΙΚΗ ΑΤΤΙΚΗ - ΝΕΑ ΓΕΝΙΑ ΖΗΡΙΔΗ"/>
    <s v="Α΄ ΑΝΑΤ. ΑΤΤΙΚΗΣ (Δ.Ε.) 2018"/>
    <s v="ΔΙΕΥΘΥΝΣΗ Δ.Ε. ΑΝΑΤΟΛΙΚΗΣ ΑΤΤΙΚΗΣ"/>
    <s v="ΠΕΡΙΦΕΡΕΙΑΚΗ Δ/ΝΣΗ Α/ΘΜΙΑΣ ΚΑΙ Β/ΘΜΙΑΣ ΕΚΠ/ΣΗΣ ΑΤΤΙΚΗΣ"/>
    <x v="0"/>
    <s v="Τοποθέτηση σε Ιδιωτική Εκπαίδευση"/>
    <d v="1986-04-15T00:00:00"/>
    <x v="0"/>
    <s v="ΔΙΕΥΘΥΝΣΗ Δ.Ε. ΑΝΑΤΟΛΙΚΗΣ ΑΤΤΙΚΗΣ"/>
    <x v="5"/>
  </r>
  <r>
    <x v="5294"/>
    <x v="1"/>
    <s v="ΠΕ60"/>
    <s v="ΝΗΠΙΑΓΩΓΟΙ"/>
    <m/>
    <m/>
    <s v="Γ΄"/>
    <n v="1"/>
    <n v="10237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81"/>
    <s v="ΙΔΙΩΤΙΚΟ ΣΥΣΤΕΓΑΖΟΜΕΝΟ ΝΗΠΙΑΓΩΓΕΙΟ - ΨΑΡΟΜΜΑΤΗ ΕΥΑΓΓΕΛΙΑ - ΕΛΠΙΔ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4-14T00:00:00"/>
    <x v="1"/>
    <s v="ΔΙΕΥΘΥΝΣΗ Π.Ε. Δ΄ ΑΘΗΝΑΣ"/>
    <x v="5"/>
  </r>
  <r>
    <x v="5295"/>
    <x v="1"/>
    <s v="ΠΕ60"/>
    <s v="ΝΗΠΙΑΓΩΓΟΙ"/>
    <m/>
    <m/>
    <s v="Γ΄"/>
    <n v="1"/>
    <n v="1214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01"/>
    <s v="ΣΥΣΤΕΓΑΖΟΜΕΝΟ ΝΗΠΙΑΓΩΓΕΙΟ - UN DEUX TROIS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4-07T00:00:00"/>
    <x v="1"/>
    <s v="ΔΙΕΥΘΥΝΣΗ Π.Ε. Δ΄ ΑΘΗΝΑΣ"/>
    <x v="5"/>
  </r>
  <r>
    <x v="5296"/>
    <x v="1"/>
    <s v="ΠΕ60"/>
    <s v="ΝΗΠΙΑΓΩΓΟΙ"/>
    <m/>
    <m/>
    <s v="Γ΄"/>
    <n v="1"/>
    <s v="ΑΠ1896389"/>
    <d v="2018-09-11T00:00:00"/>
    <s v="ΗΛΕΙΑΣ (Π.Ε.) 2018"/>
    <s v="ΔΙΕΥΘΥΝΣΗ Π.Ε. ΗΛΕΙΑΣ"/>
    <s v="ΠΕΡΙΦΕΡΕΙΑΚΗ Δ/ΝΣΗ Α/ΘΜΙΑΣ ΚΑΙ Β/ΘΜΙΑΣ ΕΚΠ/ΣΗΣ ΔΥΤΙΚΗΣ ΕΛΛΑΔΑΣ"/>
    <n v="25"/>
    <d v="2018-09-11T00:00:00"/>
    <s v="Ιδιωτικά Σχολεία"/>
    <x v="1"/>
    <s v="7151003"/>
    <s v="ΙΔΙΩΤΙΚΟ ΝΗΠΙΑΓΩΓΕΙΟ ΠΥΡΓΟΣ - ΙΔΙΩΤΙΚΟ ΣΥΣΤΕΓΑΖΟΜΕΝΟ ΝΗΠΙΑΓΩΓΕΙΟ- ΠΡΟΣΧΟΛΙΚΗ ΑΓΩΓΗ ΡΗΓΑΣ 1970- ΡΗΓΑ ΚΑΙ ΣΙΑ ΙΚΕ"/>
    <s v="ΗΛΕΙΑΣ (Π.Ε.) 2018"/>
    <s v="ΔΙΕΥΘΥΝΣΗ Π.Ε. ΗΛΕΙΑΣ"/>
    <s v="ΠΕΡΙΦΕΡΕΙΑΚΗ Δ/ΝΣΗ Α/ΘΜΙΑΣ ΚΑΙ Β/ΘΜΙΑΣ ΕΚΠ/ΣΗΣ ΔΥΤΙΚΗΣ ΕΛΛΑΔΑΣ"/>
    <x v="0"/>
    <s v="Τοποθέτηση σε Ιδιωτική Εκπαίδευση"/>
    <d v="1986-03-16T00:00:00"/>
    <x v="1"/>
    <s v="ΔΙΕΥΘΥΝΣΗ Π.Ε. ΗΛΕΙΑΣ"/>
    <x v="5"/>
  </r>
  <r>
    <x v="5297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5"/>
    <m/>
    <s v="Ιδιωτικά Σχολεία"/>
    <x v="1"/>
    <s v="7541023"/>
    <s v="ΙΔΙΩΤΙΚΟ ΝΗΠΙΑΓΩΓΕΙΟ Α.Δ. ΣΤΕΓΚΑ Ο.Ε.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6-01-15T00:00:00"/>
    <x v="1"/>
    <s v="ΔΙΕΥΘΥΝΣΗ Π.Ε. ΠΕΙΡΑΙΑ"/>
    <x v="5"/>
  </r>
  <r>
    <x v="5298"/>
    <x v="1"/>
    <s v="ΠΕ60"/>
    <s v="ΝΗΠΙΑΓΩΓΟΙ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07"/>
    <s v="ΙΔΙΩΤΙΚΟ ΝΗΠΙΑΓΩΓΕΙΟ - ΙΟΡΔΑΝΑΚΕΙΟ ΣΥΓΧΡΟΝΑ ΕΚΠΑΙΔΕΥΤΗΡΙΑ Α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6-01-08T00:00:00"/>
    <x v="1"/>
    <s v="ΔΙΕΥΘΥΝΣΗ Π.Ε. Δ΄ ΑΘΗΝΑΣ"/>
    <x v="5"/>
  </r>
  <r>
    <x v="5299"/>
    <x v="1"/>
    <s v="ΠΕ70"/>
    <s v="ΔΑΣΚΑΛΟΙ"/>
    <m/>
    <m/>
    <s v="Α΄"/>
    <n v="1"/>
    <m/>
    <m/>
    <s v="Γ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6-01-01T00:00:00"/>
    <x v="1"/>
    <s v="ΔΙΕΥΘΥΝΣΗ Π.Ε. Α΄ ΑΘΗΝΑΣ"/>
    <x v="5"/>
  </r>
  <r>
    <x v="5300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63"/>
    <s v="1ο ΙΔΙΩΤΙΚΟ ΝΗΠΙΑΓΩΓΕΙΟ ΚΗΦΙΣΙΑ - ΜΠΕΝΑΚΕΙΟ ΠΑΙΔΙΚΟ ΙΔΡΥΜΑ ΚΗΦΙΣΙΑΣ"/>
    <s v="Β΄ ΑΘΗΝΑΣ (Π.Ε.) 2018"/>
    <s v="ΔΙΕΥΘΥΝΣΗ Π.Ε. Β΄ ΑΘΗΝΑΣ"/>
    <s v="ΠΕΡΙΦΕΡΕΙΑΚΗ Δ/ΝΣΗ Α/ΘΜΙΑΣ ΚΑΙ Β/ΘΜΙΑΣ ΕΚΠ/ΣΗΣ ΑΤΤΙΚΗΣ"/>
    <x v="2"/>
    <s v="Τοποθέτηση σε Ιδιωτική Εκπαίδευση"/>
    <d v="1986-01-01T00:00:00"/>
    <x v="1"/>
    <s v="ΔΙΕΥΘΥΝΣΗ Π.Ε. Β΄ ΑΘΗΝΑΣ"/>
    <x v="5"/>
  </r>
  <r>
    <x v="5301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m/>
    <s v="Ιδιωτικά Σχολεία"/>
    <x v="1"/>
    <s v="7361003"/>
    <s v="ΙΔΙΩΤΙΚΟ ΝΗΠΙΑΓΩΓΕΙ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5-12-02T00:00:00"/>
    <x v="1"/>
    <s v="ΔΙΕΥΘΥΝΣΗ Π.Ε. ΜΕΣΣΗΝΙΑΣ"/>
    <x v="5"/>
  </r>
  <r>
    <x v="5302"/>
    <x v="1"/>
    <s v="ΠΕ60"/>
    <s v="ΝΗΠΙΑΓΩΓΟΙ"/>
    <m/>
    <m/>
    <s v="Γ΄"/>
    <n v="1"/>
    <n v="714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69"/>
    <s v="1ο ΝΗΠΙΑΓΩΓΕΙΟ ΠΑΣΧΑΛΗ ΧΡΙΣΤΙΝΑ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85-11-28T00:00:00"/>
    <x v="1"/>
    <s v="ΔΙΕΥΘΥΝΣΗ Π.Ε. Δ΄ ΑΘΗΝΑΣ"/>
    <x v="5"/>
  </r>
  <r>
    <x v="5303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183"/>
    <s v="ΣΥΣΤΕΓΑΖΟΜΕΝΟ ΙΔΙΩΤΙΚΟ ΝΗΠΙΑΓΩΓΕΙΟ - ΛΟΥΛΟΥΔΟΤΟΠ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11-16T00:00:00"/>
    <x v="1"/>
    <s v="ΔΙΕΥΘΥΝΣΗ Π.Ε. Β΄ ΑΘΗΝΑΣ"/>
    <x v="5"/>
  </r>
  <r>
    <x v="5304"/>
    <x v="1"/>
    <s v="ΠΕ60"/>
    <s v="ΝΗΠΙΑΓΩΓΟΙ"/>
    <m/>
    <m/>
    <s v="Γ΄"/>
    <n v="1"/>
    <s v="61/22-9-2014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51"/>
    <s v="ΙΔΙΩΤΙΚΟ ΝΗΠΙΑΓΩΓΕΙΟ - ΜΑΓΙΚΟΣ ΑΥΛΟΣ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5-11-15T00:00:00"/>
    <x v="1"/>
    <s v="ΔΙΕΥΘΥΝΣΗ Π.Ε. ΑΧΑΪΑΣ"/>
    <x v="5"/>
  </r>
  <r>
    <x v="5305"/>
    <x v="1"/>
    <s v="ΠΕ60"/>
    <s v="ΝΗΠΙΑΓΩΓΟΙ"/>
    <m/>
    <m/>
    <s v="Γ΄"/>
    <n v="1"/>
    <n v="10395"/>
    <d v="2018-09-01T00:00:00"/>
    <s v="ΒΟΙΩΤΙΑΣ (Π.Ε.) 2018"/>
    <s v="ΔΙΕΥΘΥΝΣΗ Π.Ε. ΒΟΙΩΤΙΑΣ"/>
    <s v="ΠΕΡΙΦΕΡΕΙΑΚΗ Δ/ΝΣΗ Α/ΘΜΙΑΣ ΚΑΙ Β/ΘΜΙΑΣ ΕΚΠ/ΣΗΣ ΣΤΕΡΕΑΣ ΕΛΛΑΔΑΣ"/>
    <n v="25"/>
    <d v="2018-09-01T00:00:00"/>
    <s v="Ιδιωτικά Σχολεία"/>
    <x v="1"/>
    <s v="7071001"/>
    <s v="ΒΛΑΧΟΥ ΓΕΩΡΓΙΑ &amp; ΣΙΑ Ο.Ε."/>
    <s v="ΒΟΙΩΤΙΑΣ (Π.Ε.) 2018"/>
    <s v="ΔΙΕΥΘΥΝΣΗ Π.Ε. ΒΟΙΩΤΙΑΣ"/>
    <s v="ΠΕΡΙΦΕΡΕΙΑΚΗ Δ/ΝΣΗ Α/ΘΜΙΑΣ ΚΑΙ Β/ΘΜΙΑΣ ΕΚΠ/ΣΗΣ ΣΤΕΡΕΑΣ ΕΛΛΑΔΑΣ"/>
    <x v="0"/>
    <s v="Τοποθέτηση σε Ιδιωτική Εκπαίδευση"/>
    <d v="1985-11-03T00:00:00"/>
    <x v="1"/>
    <s v="ΔΙΕΥΘΥΝΣΗ Π.Ε. ΒΟΙΩΤΙΑΣ"/>
    <x v="5"/>
  </r>
  <r>
    <x v="5306"/>
    <x v="1"/>
    <s v="ΠΕ60"/>
    <s v="ΝΗΠΙΑΓΩΓΟΙ"/>
    <m/>
    <m/>
    <s v="Γ΄"/>
    <n v="1"/>
    <m/>
    <m/>
    <s v="Α΄ ΛΕΣΒΟΥ (Π.Ε.) 2018"/>
    <s v="ΔΙΕΥΘΥΝΣΗ Π.Ε. ΛΕΣΒΟΥ"/>
    <s v="ΠΕΡΙΦΕΡΕΙΑΚΗ Δ/ΝΣΗ Α/ΘΜΙΑΣ ΚΑΙ Β/ΘΜΙΑΣ ΕΚΠ/ΣΗΣ ΒΟΡΕΙΟΥ ΑΙΓΑΙΟΥ"/>
    <n v="25"/>
    <m/>
    <s v="Ιδιωτικά Σχολεία"/>
    <x v="1"/>
    <s v="7331003"/>
    <s v="ΙΔΙΩΤΙΚΟ ΝΗΠ/ΓΕΙΟ Π. ΚΟΥΦΕΛΟΥ Ε.Ε."/>
    <s v="Α΄ ΛΕΣΒΟΥ (Π.Ε.) 2018"/>
    <s v="ΔΙΕΥΘΥΝΣΗ Π.Ε. ΛΕΣΒΟΥ"/>
    <s v="ΠΕΡΙΦΕΡΕΙΑΚΗ Δ/ΝΣΗ Α/ΘΜΙΑΣ ΚΑΙ Β/ΘΜΙΑΣ ΕΚΠ/ΣΗΣ ΒΟΡΕΙΟΥ ΑΙΓΑΙΟΥ"/>
    <x v="1"/>
    <s v="Τοποθέτηση σε Ιδιωτική Εκπαίδευση"/>
    <d v="1985-09-24T00:00:00"/>
    <x v="1"/>
    <s v="ΔΙΕΥΘΥΝΣΗ Π.Ε. ΛΕΣΒΟΥ"/>
    <x v="5"/>
  </r>
  <r>
    <x v="5307"/>
    <x v="1"/>
    <s v="ΠΕ60"/>
    <s v="ΝΗΠΙΑΓΩΓΟΙ"/>
    <m/>
    <m/>
    <s v="Α΄"/>
    <n v="3"/>
    <m/>
    <m/>
    <s v="ΚΟΡΙΝΘΙΑΣ (Π.Ε.) 2018"/>
    <s v="ΔΙΕΥΘΥΝΣΗ Π.Ε. ΚΟΡΙΝΘΙΑΣ"/>
    <s v="ΠΕΡΙΦΕΡΕΙΑΚΗ Δ/ΝΣΗ Α/ΘΜΙΑΣ ΚΑΙ Β/ΘΜΙΑΣ ΕΚΠ/ΣΗΣ ΠΕΛΟΠΟΝΝΗΣΟΥ"/>
    <n v="25"/>
    <m/>
    <s v="Ιδιωτικά Σχολεία"/>
    <x v="1"/>
    <s v="7281005"/>
    <s v="ΙΔΙΩΤΙΚΟ ΝΗΠΙΑΓΩΓΕΙΟ ΙΣΘΜΟΣ ΚΟΡΙΝΘΟΥ - ΑΡΙΣΤΟΤΕΛΕΙΟ ΚΟΡΙΝΘΙΑΚΟ ΕΚΠΑΙΔΕΥΤΗΡΙΟ-ΝΗΠΙΑΓΩΓ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5-09-08T00:00:00"/>
    <x v="1"/>
    <s v="ΔΙΕΥΘΥΝΣΗ Π.Ε. ΚΟΡΙΝΘΙΑΣ"/>
    <x v="5"/>
  </r>
  <r>
    <x v="5308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1"/>
    <s v="ΙΔΙΩΤΙΚΟ ΝΗΠΙΑΓΩΓΕΙΟ - ΕΚΠΑΙΔΕΥΤΗΡΙΑ ΚΑΝΤ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9-04T00:00:00"/>
    <x v="1"/>
    <s v="ΔΙΕΥΘΥΝΣΗ Π.Ε. Β΄ ΑΘΗΝΑΣ"/>
    <x v="5"/>
  </r>
  <r>
    <x v="5309"/>
    <x v="1"/>
    <s v="ΠΕ60"/>
    <s v="ΝΗΠΙΑΓΩΓΟΙ"/>
    <m/>
    <m/>
    <s v="Γ΄"/>
    <n v="1"/>
    <s v="-"/>
    <d v="2018-09-01T00:00:00"/>
    <s v="Β΄ ΚΥΚΛΑΔΩΝ (Π.Ε.) 2018"/>
    <s v="ΔΙΕΥΘΥΝΣΗ Π.Ε. ΚΥΚΛΑΔΩΝ"/>
    <s v="ΠΕΡΙΦΕΡΕΙΑΚΗ Δ/ΝΣΗ Α/ΘΜΙΑΣ ΚΑΙ Β/ΘΜΙΑΣ ΕΚΠ/ΣΗΣ ΝΟΤΙΟΥ ΑΙΓΑΙΟΥ"/>
    <n v="25"/>
    <d v="2018-09-01T00:00:00"/>
    <s v="Ιδιωτικά Σχολεία"/>
    <x v="1"/>
    <s v="7291007"/>
    <s v="ΙΔΙΩΤΙΚΟ ΝΗΠΙΑΓΩΓΕΙΟ ΘΗΡΑΣ - ΛΑΛΙΤΣΕΣ"/>
    <s v="Β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5-08-01T00:00:00"/>
    <x v="1"/>
    <s v="ΔΙΕΥΘΥΝΣΗ Π.Ε. ΚΥΚΛΑΔΩΝ"/>
    <x v="5"/>
  </r>
  <r>
    <x v="5310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13"/>
    <s v="ΙΔΙΩΤΙΚΟ ΝΗΠΙΑΓΩΓΕΙΟ ΠΥΛΑΙΑΣ - ΑΡΣΑΚΕΙΟ ΝΗΠΙΑΓΩΓΕΙΟ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7-26T00:00:00"/>
    <x v="1"/>
    <s v="ΔΙΕΥΘΥΝΣΗ Π.Ε. ΑΝΑΤ. ΘΕΣ/ΝΙΚΗΣ"/>
    <x v="5"/>
  </r>
  <r>
    <x v="5311"/>
    <x v="1"/>
    <s v="ΠΕ60"/>
    <s v="ΝΗΠΙΑΓΩΓΟΙ"/>
    <m/>
    <m/>
    <s v="Α΄"/>
    <n v="1"/>
    <m/>
    <m/>
    <s v="ΤΡΙΚΑΛΩΝ (Π.Ε.) 2018"/>
    <s v="ΔΙΕΥΘΥΝΣΗ Π.Ε. ΤΡΙΚΑΛΩΝ"/>
    <s v="ΠΕΡΙΦΕΡΕΙΑΚΗ Δ/ΝΣΗ Α/ΘΜΙΑΣ ΚΑΙ Β/ΘΜΙΑΣ ΕΚΠ/ΣΗΣ ΘΕΣΣΑΛΙΑΣ"/>
    <n v="25"/>
    <m/>
    <s v="Ιδιωτικά Σχολεία"/>
    <x v="1"/>
    <s v="7451007"/>
    <s v="ΙΔΙΩΤΙΚΟ ΝΗΠΙΑΓΩΓΕΙΟ ΤΡΙΚΑΛΑ - ΠΑΠΑΧΡΗΣΤΟΥ ΣΤΥΛΙΑΝΗ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85-07-03T00:00:00"/>
    <x v="1"/>
    <s v="ΔΙΕΥΘΥΝΣΗ Π.Ε. ΤΡΙΚΑΛΩΝ"/>
    <x v="5"/>
  </r>
  <r>
    <x v="5312"/>
    <x v="1"/>
    <s v="ΠΕ60"/>
    <s v="ΝΗΠΙΑΓΩΓΟΙ"/>
    <m/>
    <m/>
    <s v="Γ΄"/>
    <n v="1"/>
    <n v="1297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51"/>
    <s v="ΕΥΤΥΧΙΑΔΟΥ ΕΥΑΓΓΕΛ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5-07-01T00:00:00"/>
    <x v="1"/>
    <s v="ΔΙΕΥΘΥΝΣΗ Π.Ε. Δ΄ ΑΘΗΝΑΣ"/>
    <x v="5"/>
  </r>
  <r>
    <x v="5313"/>
    <x v="1"/>
    <s v="ΠΕ60"/>
    <s v="ΝΗΠΙΑΓΩΓΟΙ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5"/>
    <m/>
    <s v="Ιδιωτικά Σχολεία"/>
    <x v="1"/>
    <s v="7281005"/>
    <s v="ΙΔΙΩΤΙΚΟ ΝΗΠΙΑΓΩΓΕΙΟ ΙΣΘΜΟΣ ΚΟΡΙΝΘΟΥ - ΑΡΙΣΤΟΤΕΛΕΙΟ ΚΟΡΙΝΘΙΑΚΟ ΕΚΠΑΙΔΕΥΤΗΡΙΟ-ΝΗΠΙΑΓΩΓΕΙΟ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5-06-27T00:00:00"/>
    <x v="1"/>
    <s v="ΔΙΕΥΘΥΝΣΗ Π.Ε. ΚΟΡΙΝΘΙΑΣ"/>
    <x v="5"/>
  </r>
  <r>
    <x v="5314"/>
    <x v="0"/>
    <s v="ΠΕ86"/>
    <s v="ΠΛΗΡΟΦΟΡΙΚΗΣ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5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85-06-16T00:00:00"/>
    <x v="0"/>
    <s v="ΔΙΕΥΘΥΝΣΗ Δ.Ε. ΙΩΑΝΝΙΝΩΝ"/>
    <x v="5"/>
  </r>
  <r>
    <x v="5315"/>
    <x v="1"/>
    <s v="ΠΕ60"/>
    <s v="ΝΗΠΙΑΓΩΓΟΙ"/>
    <m/>
    <m/>
    <s v="Γ΄"/>
    <n v="1"/>
    <n v="11280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69"/>
    <s v="ΙΔΙΩΤΙΚΟ ΣΥΣΤΕΓΑΖΟΜΕΝΟ ΝΗΠΙΑΓΩΓΕΙΟ - ΒΕΝΝΟΥ ΠΑΝΑΓΙΩΤ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5-06-11T00:00:00"/>
    <x v="1"/>
    <s v="ΔΙΕΥΘΥΝΣΗ Π.Ε. Δ΄ ΑΘΗΝΑΣ"/>
    <x v="5"/>
  </r>
  <r>
    <x v="5316"/>
    <x v="1"/>
    <s v="ΠΕ60"/>
    <s v="ΝΗΠΙΑΓΩΓΟΙ"/>
    <m/>
    <m/>
    <s v="Α΄"/>
    <n v="1"/>
    <m/>
    <m/>
    <s v="ΛΑΚΩΝΙΑΣ (Π.Ε.) 2018"/>
    <s v="ΔΙΕΥΘΥΝΣΗ Π.Ε. ΛΑΚΩΝΙΑΣ"/>
    <s v="ΠΕΡΙΦΕΡΕΙΑΚΗ Δ/ΝΣΗ Α/ΘΜΙΑΣ ΚΑΙ Β/ΘΜΙΑΣ ΕΚΠ/ΣΗΣ ΠΕΛΟΠΟΝΝΗΣΟΥ"/>
    <n v="25"/>
    <m/>
    <s v="Ιδιωτικά Σχολεία"/>
    <x v="1"/>
    <s v="7301001"/>
    <s v="ΙΔΙΩΤΙΚΟ ΝΗΠΙΑΓΩΓΕΙΟ ΣΠΑΡΤΗ - ΙΔΙΩΤΙΚΟ ΝΗΠΙΑΓΩΓΕΙΟ ΙΩΑΝΝΑΣ ΠΟΛΥΧΡΟΝΑΚΟΥ"/>
    <s v="ΛΑΚΩΝΙΑΣ (Π.Ε.) 2018"/>
    <s v="ΔΙΕΥΘΥΝΣΗ Π.Ε. ΛΑΚΩΝΙΑΣ"/>
    <s v="ΠΕΡΙΦΕΡΕΙΑΚΗ Δ/ΝΣΗ Α/ΘΜΙΑΣ ΚΑΙ Β/ΘΜΙΑΣ ΕΚΠ/ΣΗΣ ΠΕΛΟΠΟΝΝΗΣΟΥ"/>
    <x v="1"/>
    <s v="Τοποθέτηση σε Ιδιωτική Εκπαίδευση"/>
    <d v="1985-05-16T00:00:00"/>
    <x v="1"/>
    <s v="ΔΙΕΥΘΥΝΣΗ Π.Ε. ΛΑΚΩΝΙΑΣ"/>
    <x v="5"/>
  </r>
  <r>
    <x v="5317"/>
    <x v="1"/>
    <s v="ΠΕ60"/>
    <s v="ΝΗΠΙΑΓΩΓΟΙ"/>
    <m/>
    <m/>
    <s v="Γ΄"/>
    <n v="1"/>
    <s v="78ΚΑ4653ΠΣ-ΥΧΣ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65"/>
    <s v="ΙΔΙΩΤΙΚΟ ΝΗΠΙΑΓΩΓΕΙΟ - ΔΕΛΑΣΑΛ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5-05-08T00:00:00"/>
    <x v="1"/>
    <s v="ΔΙΕΥΘΥΝΣΗ Π.Ε. Δ΄ ΑΘΗΝΑΣ"/>
    <x v="5"/>
  </r>
  <r>
    <x v="5318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111"/>
    <s v="ΒΡΕΦΟΝΗΠΙΑΚΟΙ ΣΤΑΘΜΟΙ ΜΟΝΟΠΡΟΣΩΠΗ Ε.Π.Ε. - &quot;XIONATH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3-30T00:00:00"/>
    <x v="1"/>
    <s v="ΔΙΕΥΘΥΝΣΗ Π.Ε. Β΄ ΑΘΗΝΑΣ"/>
    <x v="5"/>
  </r>
  <r>
    <x v="5319"/>
    <x v="1"/>
    <s v="ΠΕ60"/>
    <s v="ΝΗΠΙΑΓΩΓΟΙ"/>
    <m/>
    <m/>
    <s v="Γ΄"/>
    <n v="1"/>
    <n v="15242"/>
    <d v="2018-09-03T00:00:00"/>
    <s v="Α΄ ΠΕΙΡΑΙΑ (Π.Ε.) 2018"/>
    <s v="ΔΙΕΥΘΥΝΣΗ Π.Ε. ΠΕΙΡΑΙΑ"/>
    <s v="ΠΕΡΙΦΕΡΕΙΑΚΗ Δ/ΝΣΗ Α/ΘΜΙΑΣ ΚΑΙ Β/ΘΜΙΑΣ ΕΚΠ/ΣΗΣ ΑΤΤΙΚΗΣ"/>
    <n v="25"/>
    <d v="2018-09-03T00:00:00"/>
    <s v="Ιδιωτικά Σχολεία"/>
    <x v="1"/>
    <s v="7541013"/>
    <s v="ΙΔΙΩΤΙΚΟ ΣΥΣΤΕΓΑΖΟΜΕΝΟ ΝΗΠΙΑΓΩΓΕΙΟ ΠΕΙΡΑΙΑΣ - ΤΑ ΖΑΒΟΛΑΚΙΑ"/>
    <s v="Α΄ ΠΕΙΡΑΙΑ (Π.Ε.) 2018"/>
    <s v="ΔΙΕΥΘΥΝΣΗ Π.Ε. ΠΕΙΡΑΙΑ"/>
    <s v="ΠΕΡΙΦΕΡΕΙΑΚΗ Δ/ΝΣΗ Α/ΘΜΙΑΣ ΚΑΙ Β/ΘΜΙΑΣ ΕΚΠ/ΣΗΣ ΑΤΤΙΚΗΣ"/>
    <x v="0"/>
    <s v="Τοποθέτηση σε Ιδιωτική Εκπαίδευση"/>
    <d v="1985-03-12T00:00:00"/>
    <x v="1"/>
    <s v="ΔΙΕΥΘΥΝΣΗ Π.Ε. ΠΕΙΡΑΙΑ"/>
    <x v="5"/>
  </r>
  <r>
    <x v="5320"/>
    <x v="1"/>
    <s v="ΠΕ60"/>
    <s v="ΝΗΠΙΑΓΩΓΟΙ"/>
    <m/>
    <m/>
    <s v="Α΄"/>
    <n v="1"/>
    <m/>
    <m/>
    <s v="Δ΄ ΚΥΚΛΑΔΩΝ (Π.Ε.) 2018"/>
    <s v="ΔΙΕΥΘΥΝΣΗ Π.Ε. ΚΥΚΛΑΔΩΝ"/>
    <s v="ΠΕΡΙΦΕΡΕΙΑΚΗ Δ/ΝΣΗ Α/ΘΜΙΑΣ ΚΑΙ Β/ΘΜΙΑΣ ΕΚΠ/ΣΗΣ ΝΟΤΙΟΥ ΑΙΓΑΙΟΥ"/>
    <n v="25"/>
    <m/>
    <s v="Ιδιωτικά Σχολεία"/>
    <x v="1"/>
    <s v="7291005"/>
    <s v="ΙΔΙΩΤΙΚΟ ΝΗΠΙΑΓΩΓΕΙΟ ΣΥΡΟΥ - ΣΤΗΝ ΠΑΛΑΜΗ ΤΟΥ ΘΕΟΥ"/>
    <s v="Δ΄ ΚΥΚΛΑΔΩΝ (Π.Ε.) 2018"/>
    <s v="ΔΙΕΥΘΥΝΣΗ Π.Ε. ΚΥΚΛΑΔΩΝ"/>
    <s v="ΠΕΡΙΦΕΡΕΙΑΚΗ Δ/ΝΣΗ Α/ΘΜΙΑΣ ΚΑΙ Β/ΘΜΙΑΣ ΕΚΠ/ΣΗΣ ΝΟΤΙΟΥ ΑΙΓΑΙΟΥ"/>
    <x v="1"/>
    <s v="Τοποθέτηση σε Ιδιωτική Εκπαίδευση"/>
    <d v="1985-01-25T00:00:00"/>
    <x v="1"/>
    <s v="ΔΙΕΥΘΥΝΣΗ Π.Ε. ΚΥΚΛΑΔΩΝ"/>
    <x v="5"/>
  </r>
  <r>
    <x v="5321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137"/>
    <s v="ΣΥΣΤΕΓΑΖΟΜΕΝΟ ΝΗΠΙΑΓΩΓΕΙΟ - ΣΤΑΜΕΛΟΥ ΜΑΡΙΤΣΑ ΚΑΙ ΣΙΑ ΕΤΕΡΟΡΡΥΘΜΟΣ ΕΤΑΙΡΙΑ - ΤΟ ΤΡEΝΑΚΙ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2-30T00:00:00"/>
    <x v="1"/>
    <s v="ΔΙΕΥΘΥΝΣΗ Π.Ε. Δ΄ ΑΘΗΝΑΣ"/>
    <x v="5"/>
  </r>
  <r>
    <x v="5322"/>
    <x v="1"/>
    <s v="ΠΕ60"/>
    <s v="ΝΗΠΙΑΓΩΓΟΙ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41"/>
    <s v="ΠΡΟΤΥΠΟ ΠΑΙΔΑΓΩΓΙΚΟ ΚΕΝΤΡΟ ΔΗΜΙΟΥΡΓΙΚΗΣ ΑΠΑΣΧΟΛΗΣΗΣ ΓΛΥΦΑΔΑ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2-26T00:00:00"/>
    <x v="1"/>
    <s v="ΔΙΕΥΘΥΝΣΗ Π.Ε. Δ΄ ΑΘΗΝΑΣ"/>
    <x v="5"/>
  </r>
  <r>
    <x v="5323"/>
    <x v="1"/>
    <s v="ΠΕ60"/>
    <s v="ΝΗΠΙΑΓΩΓΟΙ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59"/>
    <s v="ΙΔΙΩΤΙΚΟ ΝΗΠΙΑΓΩΓΕΙΟ ΑΛΙΜΟΣ - ΜΟΝΤΕΣΣΟΡΙΑΝΟ ΣΠΙΤΙ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2-15T00:00:00"/>
    <x v="1"/>
    <s v="ΔΙΕΥΘΥΝΣΗ Π.Ε. Δ΄ ΑΘΗΝΑΣ"/>
    <x v="5"/>
  </r>
  <r>
    <x v="5324"/>
    <x v="1"/>
    <s v="ΠΕ60"/>
    <s v="ΝΗΠΙΑΓΩΓΟΙ"/>
    <m/>
    <m/>
    <s v="Γ΄"/>
    <n v="1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1"/>
    <s v="ΙΔΙΩΤΙΚΟ ΝΗΠΙΑΓΩΓΕΙΟ Ε.Μ.Ε.D.O.F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12-02T00:00:00"/>
    <x v="1"/>
    <s v="ΔΙΕΥΘΥΝΣΗ Π.Ε. Δ΄ ΑΘΗΝΑΣ"/>
    <x v="5"/>
  </r>
  <r>
    <x v="5325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1"/>
    <s v="1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10-17T00:00:00"/>
    <x v="1"/>
    <s v="ΔΙΕΥΘΥΝΣΗ Π.Ε. ΑΝΑΤΟΛΙΚΗΣ ΑΤΤΙΚΗΣ"/>
    <x v="5"/>
  </r>
  <r>
    <x v="5326"/>
    <x v="1"/>
    <s v="ΠΕ60"/>
    <s v="ΝΗΠΙΑΓΩΓΟΙ"/>
    <m/>
    <m/>
    <s v="Γ΄"/>
    <n v="1"/>
    <s v="Φ.17.2/3799"/>
    <d v="2018-09-01T00:00:00"/>
    <s v="ΦΘΙΩΤΙΔΑΣ (Π.Ε.) 2018"/>
    <s v="ΔΙΕΥΘΥΝΣΗ Π.Ε. ΦΘΙΩΤΙΔΑΣ"/>
    <s v="ΠΕΡΙΦΕΡΕΙΑΚΗ Δ/ΝΣΗ Α/ΘΜΙΑΣ ΚΑΙ Β/ΘΜΙΑΣ ΕΚΠ/ΣΗΣ ΣΤΕΡΕΑΣ ΕΛΛΑΔΑΣ"/>
    <n v="25"/>
    <d v="2018-09-01T00:00:00"/>
    <s v="Ιδιωτικά Σχολεία"/>
    <x v="1"/>
    <s v="7461017"/>
    <s v="ΙΔΙΩΤΙΚΟ ΝΗΠΙΑΓΩΓΕΙΟ ΜΕΓΑΛΗ ΒΡΥΣΗ - ΡΟΔΟΠΑΡΕ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84-10-01T00:00:00"/>
    <x v="1"/>
    <s v="ΔΙΕΥΘΥΝΣΗ Π.Ε. ΦΘΙΩΤΙΔΑΣ"/>
    <x v="5"/>
  </r>
  <r>
    <x v="5327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3"/>
    <s v="2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9-25T00:00:00"/>
    <x v="1"/>
    <s v="ΔΙΕΥΘΥΝΣΗ Π.Ε. ΑΝΑΤΟΛΙΚΗΣ ΑΤΤΙΚΗΣ"/>
    <x v="5"/>
  </r>
  <r>
    <x v="5328"/>
    <x v="1"/>
    <s v="ΠΕ60"/>
    <s v="ΝΗΠΙΑΓΩΓ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5"/>
    <m/>
    <s v="Ιδιωτικά Σχολεία"/>
    <x v="1"/>
    <s v="7021011"/>
    <s v="ΙΔΙΩΤΙΚΟ ΝΗΠΙΑΓΩΓΕΙ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84-09-04T00:00:00"/>
    <x v="1"/>
    <s v="ΔΙΕΥΘΥΝΣΗ Π.Ε. ΑΡΓΟΛΙΔΑΣ"/>
    <x v="5"/>
  </r>
  <r>
    <x v="5329"/>
    <x v="1"/>
    <s v="ΠΕ60"/>
    <s v="ΝΗΠΙΑΓΩΓ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021"/>
    <s v="ΙΔΙΩΤΙΚΟ ΝΗΠΙΑΓΩΓΕΙΟ Ε.Μ.Ε.D.O.F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8-19T00:00:00"/>
    <x v="1"/>
    <s v="ΔΙΕΥΘΥΝΣΗ Π.Ε. Δ΄ ΑΘΗΝΑΣ"/>
    <x v="5"/>
  </r>
  <r>
    <x v="5330"/>
    <x v="1"/>
    <s v="ΠΕ60"/>
    <s v="ΝΗΠΙΑΓΩΓΟΙ"/>
    <m/>
    <m/>
    <s v="Α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25"/>
    <m/>
    <s v="Ιδιωτικά Σχολεία"/>
    <x v="1"/>
    <s v="7531005"/>
    <s v="ΙΔΙΩΤΙΚΟ ΝΗΠΙΑΓΩΓΕΙΟ &quot;ΤΟ ΣΠΙΤΑΚΙ ΤΗΣ ΣΟΚΟΛΑΤΑΣ&quot;, ΔΟΥΚΑ ΑΘΗΝΑ"/>
    <s v="ΔΥΤ. ΑΤΤΙΚΗΣ (Π.Ε.) 2018"/>
    <s v="ΔΙΕΥΘΥΝΣΗ Π.Ε. ΔΥΤΙΚΗΣ ΑΤΤΙΚΗΣ"/>
    <s v="ΠΕΡΙΦΕΡΕΙΑΚΗ Δ/ΝΣΗ Α/ΘΜΙΑΣ ΚΑΙ Β/ΘΜΙΑΣ ΕΚΠ/ΣΗΣ ΑΤΤΙΚΗΣ"/>
    <x v="1"/>
    <s v="Τοποθέτηση σε Ιδιωτική Εκπαίδευση"/>
    <d v="1984-07-28T00:00:00"/>
    <x v="1"/>
    <s v="ΔΙΕΥΘΥΝΣΗ Π.Ε. ΔΥΤΙΚΗΣ ΑΤΤΙΚΗΣ"/>
    <x v="5"/>
  </r>
  <r>
    <x v="5331"/>
    <x v="1"/>
    <s v="ΠΕ60"/>
    <s v="ΝΗΠΙΑΓΩΓΟΙ"/>
    <m/>
    <m/>
    <s v="Β΄"/>
    <n v="3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51"/>
    <s v="ΣΥΣΤΕΓΑΖΟΜΕΝΟ ΝΗΠΙΑΓΩΓΕΙΟ - ΜΑΡΙΑ ΡΕΝΤΖΕΠΗ ΚΑΙ ΣΙΑ ΕΤΕΡΟΡΡΥΘΜΟΣ ΕΤΑΙΡΕΙΑ - ΜΑΡΗ ΡΕΝΤΖΕΠ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7-26T00:00:00"/>
    <x v="1"/>
    <s v="ΔΙΕΥΘΥΝΣΗ Π.Ε. Δ΄ ΑΘΗΝΑΣ"/>
    <x v="5"/>
  </r>
  <r>
    <x v="5332"/>
    <x v="1"/>
    <s v="ΠΕ60"/>
    <s v="ΝΗΠΙΑΓΩΓΟΙ"/>
    <m/>
    <m/>
    <s v="Γ΄"/>
    <n v="3"/>
    <s v="79ΑΜ465ΦΘ3-ΔΕΓ"/>
    <d v="2015-02-16T00:00:00"/>
    <s v="ΚΟΡΙΝΘΙΑΣ (Π.Ε.) 2018"/>
    <s v="ΔΙΕΥΘΥΝΣΗ Π.Ε. ΚΟΡΙΝΘΙΑΣ"/>
    <s v="ΠΕΡΙΦΕΡΕΙΑΚΗ Δ/ΝΣΗ Α/ΘΜΙΑΣ ΚΑΙ Β/ΘΜΙΑΣ ΕΚΠ/ΣΗΣ ΠΕΛΟΠΟΝΝΗΣΟΥ"/>
    <n v="25"/>
    <d v="2015-02-16T00:00:00"/>
    <s v="Ιδιωτικά Σχολεία"/>
    <x v="1"/>
    <s v="7281007"/>
    <s v="ΙΔΙΩΤΙΚΟ ΝΗΠΙΑΓΩΓΕΙΟ ΓΑΛΟΤΑ ΙΣΘΜΟΥ - ΝΗΠΙΑΓΩΓΕΙΟ ΧΑΛΚΙΑ-ΤΑΒΟΥΛΑΡΗ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4-06-28T00:00:00"/>
    <x v="1"/>
    <s v="ΔΙΕΥΘΥΝΣΗ Π.Ε. ΚΟΡΙΝΘΙΑΣ"/>
    <x v="5"/>
  </r>
  <r>
    <x v="5333"/>
    <x v="1"/>
    <s v="ΠΕ60"/>
    <s v="ΝΗΠΙΑΓΩΓΟΙ"/>
    <m/>
    <m/>
    <s v="Γ΄"/>
    <n v="1"/>
    <n v="13084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13"/>
    <s v="ΣΥΣΤΕΓΑΖΟΜΕΝΟ ΝΗΠΙΑΓΩΓΕΙΟ - ΓΑΛΑΝΗ ΣΤΑΘΟΥΛ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4-06-26T00:00:00"/>
    <x v="1"/>
    <s v="ΔΙΕΥΘΥΝΣΗ Π.Ε. Δ΄ ΑΘΗΝΑΣ"/>
    <x v="5"/>
  </r>
  <r>
    <x v="5334"/>
    <x v="1"/>
    <s v="ΠΕ60"/>
    <s v="ΝΗΠΙΑΓΩΓΟΙ"/>
    <m/>
    <m/>
    <s v="Γ΄"/>
    <n v="1"/>
    <n v="7771"/>
    <d v="2018-09-01T00:00:00"/>
    <s v="Α΄ ΛΕΣΒΟΥ (Π.Ε.) 2018"/>
    <s v="ΔΙΕΥΘΥΝΣΗ Π.Ε. ΛΕΣΒΟΥ"/>
    <s v="ΠΕΡΙΦΕΡΕΙΑΚΗ Δ/ΝΣΗ Α/ΘΜΙΑΣ ΚΑΙ Β/ΘΜΙΑΣ ΕΚΠ/ΣΗΣ ΒΟΡΕΙΟΥ ΑΙΓΑΙΟΥ"/>
    <n v="25"/>
    <d v="2018-09-01T00:00:00"/>
    <s v="Ιδιωτικά Σχολεία"/>
    <x v="1"/>
    <s v="7331001"/>
    <s v="ΙΔΙΩΤΙΚΟ ΝΗΠΙΑΓΩΓΕΙΟ ΠΛΑΤΩΝΟΣ-ΝΗΠΙΑΓΩΓΕΙΟ Ο ΠΑΡΑΜΥΘΕΝΙΟΣ ΚΟΣΜΟΣ"/>
    <s v="Α΄ ΛΕΣΒΟΥ (Π.Ε.) 2018"/>
    <s v="ΔΙΕΥΘΥΝΣΗ Π.Ε. ΛΕΣΒΟΥ"/>
    <s v="ΠΕΡΙΦΕΡΕΙΑΚΗ Δ/ΝΣΗ Α/ΘΜΙΑΣ ΚΑΙ Β/ΘΜΙΑΣ ΕΚΠ/ΣΗΣ ΒΟΡΕΙΟΥ ΑΙΓΑΙΟΥ"/>
    <x v="1"/>
    <s v="Τοποθέτηση σε Ιδιωτική Εκπαίδευση"/>
    <d v="1984-04-27T00:00:00"/>
    <x v="1"/>
    <s v="ΔΙΕΥΘΥΝΣΗ Π.Ε. ΛΕΣΒΟΥ"/>
    <x v="5"/>
  </r>
  <r>
    <x v="5335"/>
    <x v="1"/>
    <s v="ΠΕ60"/>
    <s v="ΝΗΠΙΑΓΩΓΟΙ"/>
    <m/>
    <m/>
    <s v="Γ΄"/>
    <n v="4"/>
    <s v="45/15-10-2010"/>
    <d v="2018-09-01T00:00:00"/>
    <s v="ΚΟΡΙΝΘΙΑΣ (Π.Ε.) 2018"/>
    <s v="ΔΙΕΥΘΥΝΣΗ Π.Ε. ΚΟΡΙΝΘΙΑΣ"/>
    <s v="ΠΕΡΙΦΕΡΕΙΑΚΗ Δ/ΝΣΗ Α/ΘΜΙΑΣ ΚΑΙ Β/ΘΜΙΑΣ ΕΚΠ/ΣΗΣ ΠΕΛΟΠΟΝΝΗΣΟΥ"/>
    <n v="25"/>
    <d v="2018-09-01T00:00:00"/>
    <s v="Ιδιωτικά Σχολεία"/>
    <x v="1"/>
    <s v="7281001"/>
    <s v="ΙΔΙΩΤΙΚΟ ΝΗΠΙΑΓΩΓΕΙΟ ΚΟΡΙΝΘΟΣ - ΜΙΚΡΟΣ ΝΑΥΤΙΛΟΣ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4-04-23T00:00:00"/>
    <x v="1"/>
    <s v="ΔΙΕΥΘΥΝΣΗ Π.Ε. ΚΟΡΙΝΘΙΑΣ"/>
    <x v="5"/>
  </r>
  <r>
    <x v="5336"/>
    <x v="1"/>
    <s v="ΠΕ60"/>
    <s v="ΝΗΠΙΑΓΩΓΟΙ"/>
    <m/>
    <m/>
    <s v="Γ΄"/>
    <n v="1"/>
    <s v="100/19-11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21"/>
    <s v="ΙΔΙΩΤΙΚΟ ΝΗΠΙΑΓΩΓΕΙΟ ΠΑΤΡΑ - ΙΔ. ΝΗΠ. ΠΕΛΑΡΓΟΣ Α.Ε.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4-02-26T00:00:00"/>
    <x v="1"/>
    <s v="ΔΙΕΥΘΥΝΣΗ Π.Ε. ΑΧΑΪΑΣ"/>
    <x v="5"/>
  </r>
  <r>
    <x v="5337"/>
    <x v="1"/>
    <s v="ΠΕ60"/>
    <s v="ΝΗΠΙΑΓΩΓΟΙ"/>
    <m/>
    <m/>
    <s v="Α΄"/>
    <n v="1"/>
    <m/>
    <m/>
    <s v="Α΄ ΕΒΡΟΥ (Π.Ε.) 2018"/>
    <s v="ΔΙΕΥΘΥΝΣΗ Π.Ε. ΕΒΡΟΥ"/>
    <s v="ΠΕΡΙΦΕΡΕΙΑΚΗ Δ/ΝΣΗ Α/ΘΜΙΑΣ ΚΑΙ Β/ΘΜΙΑΣ ΕΚΠ/ΣΗΣ ΑΝ. ΜΑΚΕΔΟΝΙΑΣ ΚΑΙ ΘΡΑΚΗΣ"/>
    <n v="25"/>
    <m/>
    <s v="Ιδιωτικά Σχολεία"/>
    <x v="1"/>
    <s v="7111003"/>
    <s v="ΙΔΙΩΤΙΚΟ ΝΗΠΙΑΓΩΓΕΙΟ ΑΛΕΞΑΝΔΡΟΥΠΟΛΗΣ - ΙΔΙΩΤΙΚΟ ΝΗΠΙΑΓΩΓΕΙΟ ΛΕΓΓΕΤΣΗ ΚΥΡΙΑΚΗ"/>
    <s v="Α΄ ΕΒΡΟΥ (Π.Ε.) 2018"/>
    <s v="ΔΙΕΥΘΥΝΣΗ Π.Ε. ΕΒΡΟΥ"/>
    <s v="ΠΕΡΙΦΕΡΕΙΑΚΗ Δ/ΝΣΗ Α/ΘΜΙΑΣ ΚΑΙ Β/ΘΜΙΑΣ ΕΚΠ/ΣΗΣ ΑΝ. ΜΑΚΕΔΟΝΙΑΣ ΚΑΙ ΘΡΑΚΗΣ"/>
    <x v="1"/>
    <s v="Τοποθέτηση σε Ιδιωτική Εκπαίδευση"/>
    <d v="1984-02-18T00:00:00"/>
    <x v="1"/>
    <s v="ΔΙΕΥΘΥΝΣΗ Π.Ε. ΕΒΡΟΥ"/>
    <x v="5"/>
  </r>
  <r>
    <x v="5338"/>
    <x v="1"/>
    <s v="ΠΕ60"/>
    <s v="ΝΗΠΙΑΓΩΓΟΙ"/>
    <m/>
    <m/>
    <s v="Γ΄"/>
    <n v="1"/>
    <s v="7/23-10-2012"/>
    <d v="2018-09-01T00:00:00"/>
    <s v="Α΄ ΕΒΡΟΥ (Π.Ε.) 2018"/>
    <s v="ΔΙΕΥΘΥΝΣΗ Π.Ε. ΕΒΡΟΥ"/>
    <s v="ΠΕΡΙΦΕΡΕΙΑΚΗ Δ/ΝΣΗ Α/ΘΜΙΑΣ ΚΑΙ Β/ΘΜΙΑΣ ΕΚΠ/ΣΗΣ ΑΝ. ΜΑΚΕΔΟΝΙΑΣ ΚΑΙ ΘΡΑΚΗΣ"/>
    <n v="25"/>
    <d v="2018-09-01T00:00:00"/>
    <s v="Ιδιωτικά Σχολεία"/>
    <x v="1"/>
    <s v="7111005"/>
    <s v="ΙΔΙΩΤΙΚΟ ΝΗΠΙΑΓΩΓΕΙΟ ΑΛΕΞΑΝΔΡΟΥΠΟΛΗΣ - ΙΔΙΩΤΙΚΟ ΝΗΠΙΑΓΩΓΕΙΟ ΑΓΓΕΛΙΔΟΥ"/>
    <s v="Α΄ ΕΒΡΟΥ (Π.Ε.) 2018"/>
    <s v="ΔΙΕΥΘΥΝΣΗ Π.Ε. ΕΒΡΟΥ"/>
    <s v="ΠΕΡΙΦΕΡΕΙΑΚΗ Δ/ΝΣΗ Α/ΘΜΙΑΣ ΚΑΙ Β/ΘΜΙΑΣ ΕΚΠ/ΣΗΣ ΑΝ. ΜΑΚΕΔΟΝΙΑΣ ΚΑΙ ΘΡΑΚΗΣ"/>
    <x v="1"/>
    <s v="Τοποθέτηση σε Ιδιωτική Εκπαίδευση"/>
    <d v="1984-02-16T00:00:00"/>
    <x v="1"/>
    <s v="ΔΙΕΥΘΥΝΣΗ Π.Ε. ΕΒΡΟΥ"/>
    <x v="5"/>
  </r>
  <r>
    <x v="5339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1"/>
    <s v="7051027"/>
    <s v="ΙΔΙΩΤΙΚΟ ΝΗΠΙΑΓΩΓ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4-02-06T00:00:00"/>
    <x v="1"/>
    <s v="ΔΙΕΥΘΥΝΣΗ Π.Ε. Α΄ ΑΘΗΝΑΣ"/>
    <x v="5"/>
  </r>
  <r>
    <x v="5340"/>
    <x v="1"/>
    <s v="ΠΕ60"/>
    <s v="ΝΗΠΙΑΓΩΓΟΙ"/>
    <m/>
    <m/>
    <s v="Γ΄"/>
    <n v="1"/>
    <n v="59"/>
    <d v="2018-09-01T00:00:00"/>
    <s v="ΤΡΙΚΑΛΩΝ (Π.Ε.) 2018"/>
    <s v="ΔΙΕΥΘΥΝΣΗ Π.Ε. ΤΡΙΚΑΛΩΝ"/>
    <s v="ΠΕΡΙΦΕΡΕΙΑΚΗ Δ/ΝΣΗ Α/ΘΜΙΑΣ ΚΑΙ Β/ΘΜΙΑΣ ΕΚΠ/ΣΗΣ ΘΕΣΣΑΛΙΑΣ"/>
    <n v="25"/>
    <d v="2018-09-01T00:00:00"/>
    <s v="Ιδιωτικά Σχολεία"/>
    <x v="1"/>
    <s v="7451021"/>
    <s v="ΙΔΙΩΤΙΚΟ ΣΥΣΤΕΓΑΖΟΜΕΝΟ ΝΗΠΙΑΓΩΓΕΙΟ - ΒΑΣΙΛΕΙΟΥ ΚΑΛΛΙΡΡΟΗ - ΧΩΡΑ ΤΩΝ ΘΑΥΜΑΤΩΝ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84-02-03T00:00:00"/>
    <x v="1"/>
    <s v="ΔΙΕΥΘΥΝΣΗ Π.Ε. ΤΡΙΚΑΛΩΝ"/>
    <x v="5"/>
  </r>
  <r>
    <x v="5341"/>
    <x v="1"/>
    <s v="ΠΕ60"/>
    <s v="ΝΗΠΙΑΓΩΓΟΙ"/>
    <m/>
    <m/>
    <s v="Γ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153"/>
    <s v="ΙΔΙΩΤΙΚΟ ΣΥΣΤΕΓΑΖΟΜΕΝΟ ΝΗΠΙΑΓΩΓΕΙΟ - ΖΑΦΕΙΡΟΠΟΥΛΟΥ ΑΝΘΙΠΠΗ 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1-10T00:00:00"/>
    <x v="1"/>
    <s v="ΔΙΕΥΘΥΝΣΗ Π.Ε. ΑΝΑΤΟΛΙΚΗΣ ΑΤΤΙΚΗΣ"/>
    <x v="5"/>
  </r>
  <r>
    <x v="5342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71"/>
    <s v="Ιδιωτικό Συστεγαζόμενο Νηπιαγωγείο &quot;ΚΥΡΕΖΗ ΑΘΑΝΑΣΙΑ&quot;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4-01-08T00:00:00"/>
    <x v="1"/>
    <s v="ΔΙΕΥΘΥΝΣΗ Π.Ε. ΑΝΑΤΟΛΙΚΗΣ ΑΤΤΙΚΗΣ"/>
    <x v="5"/>
  </r>
  <r>
    <x v="5343"/>
    <x v="1"/>
    <s v="ΠΕ70"/>
    <s v="ΔΑΣΚΑΛΟΙ"/>
    <m/>
    <m/>
    <s v="Γ΄"/>
    <n v="1"/>
    <s v="ΩΦΗΟ4653ΠΣ-ΡΞΥ"/>
    <d v="2015-12-14T00:00:00"/>
    <s v="Α΄ ΑΝΑΤ. ΑΤΤΙΚΗΣ (Π.Ε.) 2018"/>
    <s v="ΔΙΕΥΘΥΝΣΗ Π.Ε. ΑΝΑΤΟΛΙΚΗΣ ΑΤΤΙΚΗΣ"/>
    <s v="ΠΕΡΙΦΕΡΕΙΑΚΗ Δ/ΝΣΗ Α/ΘΜΙΑΣ ΚΑΙ Β/ΘΜΙΑΣ ΕΚΠ/ΣΗΣ ΑΤΤΙΚΗΣ"/>
    <n v="25"/>
    <d v="2015-12-14T00:00:00"/>
    <s v="Ιδιωτικά Σχολεία"/>
    <x v="4"/>
    <s v="7521038"/>
    <s v="1/ΘΕΣΙΟ ΙΔΙΩΤΙΚΟ ΔΗΜΟΤΙΚΟ ΣΧΟΛΕΙΟ ΝΙΚΗ ΑΓΓΕΛΑΚΗ - ΛΥΡΕΙΟ ΠΑΙΔΙΚΟ ΙΔΡΥΜΑ"/>
    <s v="Α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84-01-01T00:00:00"/>
    <x v="1"/>
    <s v="ΔΙΕΥΘΥΝΣΗ Π.Ε. ΑΝΑΤΟΛΙΚΗΣ ΑΤΤΙΚΗΣ"/>
    <x v="5"/>
  </r>
  <r>
    <x v="5344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01"/>
    <s v="ΙΔΙΩΤΙΚΟ ΝΗΠΙΑΓΩΓΕΙΟ ΨΥΧΙΚΟ - ΑΡΣΑΚΕΙΟ ΝΗΠΙΑΓΩΓ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1-01T00:00:00"/>
    <x v="1"/>
    <s v="ΔΙΕΥΘΥΝΣΗ Π.Ε. Β΄ ΑΘΗΝΑΣ"/>
    <x v="5"/>
  </r>
  <r>
    <x v="5345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1"/>
    <s v="ΙΔΙΩΤΙΚΟ ΝΗΠΙΑΓΩΓΕΙΟ ΧΑΝΙΩΝ - ΙΔΙΩΤΙΚΟ ΝΗΠΙΑΓΩΓ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3-12-29T00:00:00"/>
    <x v="1"/>
    <s v="ΔΙΕΥΘΥΝΣΗ Π.Ε. ΧΑΝΙΩΝ"/>
    <x v="5"/>
  </r>
  <r>
    <x v="5346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1"/>
    <s v="7053029"/>
    <s v="ΙΔΙΩΤΙΚΟ ΝΗΠΙΑΓΩΓΕΙΟ - Α. ΣΟΦΙΟΥ Ε.Ε. (ΑΓΩΓΗ ΚΑΙ ΦΡΟΝΤΙΔΑ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3-12-26T00:00:00"/>
    <x v="1"/>
    <s v="ΔΙΕΥΘΥΝΣΗ Π.Ε. Γ΄ ΑΘΗΝΑΣ"/>
    <x v="5"/>
  </r>
  <r>
    <x v="5347"/>
    <x v="1"/>
    <s v="ΠΕ60"/>
    <s v="ΝΗΠΙΑΓΩΓΟΙ"/>
    <m/>
    <m/>
    <s v="Γ΄"/>
    <n v="1"/>
    <n v="2032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4"/>
    <s v="7054024"/>
    <s v="ΙΔΙΩΤΙΚΟ ΔΗΜΟΤΙΚ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12-21T00:00:00"/>
    <x v="1"/>
    <s v="ΔΙΕΥΘΥΝΣΗ Π.Ε. Δ΄ ΑΘΗΝΑΣ"/>
    <x v="5"/>
  </r>
  <r>
    <x v="5348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3"/>
    <s v="2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12-11T00:00:00"/>
    <x v="1"/>
    <s v="ΔΙΕΥΘΥΝΣΗ Π.Ε. ΑΝΑΤΟΛΙΚΗΣ ΑΤΤΙΚΗΣ"/>
    <x v="5"/>
  </r>
  <r>
    <x v="5349"/>
    <x v="1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83-11-30T00:00:00"/>
    <x v="0"/>
    <s v="ΔΙΕΥΘΥΝΣΗ Δ.Ε. Β΄ ΑΘΗΝΑΣ"/>
    <x v="5"/>
  </r>
  <r>
    <x v="5350"/>
    <x v="1"/>
    <s v="ΠΕ60"/>
    <s v="ΝΗΠΙΑΓΩΓΟΙ"/>
    <m/>
    <m/>
    <s v="Α΄"/>
    <n v="4"/>
    <m/>
    <m/>
    <s v="Α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1"/>
    <s v="7051043"/>
    <s v="ΙΔΙΩΤΙΚΟ ΝΗΠΙΑΓΩΓΕΙΟ - ΟΙ ΜΙΚΡΟΙ ΚΥΚΝΟΙ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3-11-30T00:00:00"/>
    <x v="1"/>
    <s v="ΔΙΕΥΘΥΝΣΗ Π.Ε. Α΄ ΑΘΗΝΑΣ"/>
    <x v="5"/>
  </r>
  <r>
    <x v="5351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13"/>
    <s v="ΙΔΙΩΤΙΚΟ ΝΗΠΙΑΓΩΓΕΙΟ ΠΥΛΑΙΑΣ - ΑΡΣΑΚΕΙΟ ΝΗΠΙΑΓΩΓΕΙΟ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9-07T00:00:00"/>
    <x v="1"/>
    <s v="ΔΙΕΥΘΥΝΣΗ Π.Ε. ΑΝΑΤ. ΘΕΣ/ΝΙΚΗΣ"/>
    <x v="5"/>
  </r>
  <r>
    <x v="5352"/>
    <x v="1"/>
    <s v="ΠΕ60"/>
    <s v="ΝΗΠΙΑΓΩΓΟΙ"/>
    <m/>
    <m/>
    <s v="Γ΄"/>
    <n v="1"/>
    <n v="1581"/>
    <d v="2018-09-01T00:00:00"/>
    <s v="Γ΄ ΑΘΗΝΑΣ (Π.Ε.) 2018"/>
    <s v="ΔΙΕΥΘΥΝΣΗ Π.Ε. Γ΄ ΑΘΗΝΑΣ"/>
    <s v="ΠΕΡΙΦΕΡΕΙΑΚΗ Δ/ΝΣΗ Α/ΘΜΙΑΣ ΚΑΙ Β/ΘΜΙΑΣ ΕΚΠ/ΣΗΣ ΑΤΤΙΚΗΣ"/>
    <n v="25"/>
    <d v="2018-09-01T00:00:00"/>
    <s v="Ιδιωτικά Σχολεία"/>
    <x v="1"/>
    <s v="7053039"/>
    <s v="ΣΥΣΤΕΓΑΖΟΜΕΝΟ ΝΗΠΙΑΓΩΓΕΙΟ - ΖΩΓΑ ΜΑΡΙΑ (ΜΑΓΙΚΟΣ ΚΟΣΜΟΣ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83-09-06T00:00:00"/>
    <x v="1"/>
    <s v="ΔΙΕΥΘΥΝΣΗ Π.Ε. Γ΄ ΑΘΗΝΑΣ"/>
    <x v="5"/>
  </r>
  <r>
    <x v="5353"/>
    <x v="1"/>
    <s v="ΠΕ60"/>
    <s v="ΝΗΠΙΑΓΩΓΟΙ"/>
    <m/>
    <m/>
    <s v="Β΄"/>
    <n v="2"/>
    <m/>
    <d v="2011-01-19T00:00:00"/>
    <s v="Δ΄ ΑΘΗΝΑΣ (Π.Ε.) 2018"/>
    <s v="ΔΙΕΥΘΥΝΣΗ Π.Ε. Δ΄ ΑΘΗΝΑΣ"/>
    <s v="ΠΕΡΙΦΕΡΕΙΑΚΗ Δ/ΝΣΗ Α/ΘΜΙΑΣ ΚΑΙ Β/ΘΜΙΑΣ ΕΚΠ/ΣΗΣ ΑΤΤΙΚΗΣ"/>
    <n v="25"/>
    <d v="2011-01-19T00:00:00"/>
    <s v="Ιδιωτικά Σχολεία"/>
    <x v="1"/>
    <s v="7054153"/>
    <s v="ΙΔΙΩΤΙΚΟ ΝΗΠΙΑΓΩΓΕΙΟ - ΜΙΑ ΦΟΡΑ ΚΑΙ ΈΝΑΝ ΚΑΙΡ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8-18T00:00:00"/>
    <x v="1"/>
    <s v="ΔΙΕΥΘΥΝΣΗ Π.Ε. Δ΄ ΑΘΗΝΑΣ"/>
    <x v="5"/>
  </r>
  <r>
    <x v="5354"/>
    <x v="1"/>
    <s v="ΠΕ60"/>
    <s v="ΝΗΠΙΑΓΩΓΟΙ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5"/>
    <m/>
    <s v="Ιδιωτικά Σχολεία"/>
    <x v="1"/>
    <s v="7281003"/>
    <s v="ΙΔΙΩΤΙΚΟ ΝΗΠΙΑΓΩΓΕΙΟ happyland - Α. ΣΠΑΝΟΣ Ε.Ε.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3-08-18T00:00:00"/>
    <x v="1"/>
    <s v="ΔΙΕΥΘΥΝΣΗ Π.Ε. ΚΟΡΙΝΘΙΑΣ"/>
    <x v="5"/>
  </r>
  <r>
    <x v="5355"/>
    <x v="1"/>
    <s v="ΠΕ60"/>
    <s v="ΝΗΠΙΑΓΩΓΟΙ"/>
    <m/>
    <m/>
    <s v="Γ΄"/>
    <n v="2"/>
    <s v="Φ.17/3701/13-9-2018"/>
    <d v="2018-09-01T00:00:00"/>
    <s v="ΚΟΡΙΝΘΙΑΣ (Π.Ε.) 2018"/>
    <s v="ΔΙΕΥΘΥΝΣΗ Π.Ε. ΚΟΡΙΝΘΙΑΣ"/>
    <s v="ΠΕΡΙΦΕΡΕΙΑΚΗ Δ/ΝΣΗ Α/ΘΜΙΑΣ ΚΑΙ Β/ΘΜΙΑΣ ΕΚΠ/ΣΗΣ ΠΕΛΟΠΟΝΝΗΣΟΥ"/>
    <n v="25"/>
    <d v="2018-09-01T00:00:00"/>
    <s v="Ιδιωτικά Σχολεία"/>
    <x v="1"/>
    <s v="7281011"/>
    <s v="ΙΔΙΩΤΙΚΟ ΝΗΠΙΑΓΩΓΕΙΟ ΤΩΝ ΕΚΠΑΙΔΕΥΤΗΡΙΩΝ ΑΤΣΟΓΛΟΥ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83-08-02T00:00:00"/>
    <x v="1"/>
    <s v="ΔΙΕΥΘΥΝΣΗ Π.Ε. ΚΟΡΙΝΘΙΑΣ"/>
    <x v="5"/>
  </r>
  <r>
    <x v="5356"/>
    <x v="1"/>
    <s v="ΠΕ60"/>
    <s v="ΝΗΠΙΑΓΩΓ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01"/>
    <s v="ΙΔΙΩΤΙΚΟ ΝΗΠΙΑΓΩΓΕΙΟ ΠΥΛΑΙΑ - ΑΓΑΠΗ ΚΑΙ ΑΓΩΓΗ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83-07-11T00:00:00"/>
    <x v="1"/>
    <s v="ΔΙΕΥΘΥΝΣΗ Π.Ε. ΑΝΑΤ. ΘΕΣ/ΝΙΚΗΣ"/>
    <x v="5"/>
  </r>
  <r>
    <x v="5357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81"/>
    <s v="ΙΔΙΩΤΙΚΟ ΝΗΠΙΑΓΩΓΕΙΟ ΜΕΤΑΜΟΡΦΩΣΗ - ΚΑΛΗΜΕΡΑ ΠΑΙΔ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7-09T00:00:00"/>
    <x v="1"/>
    <s v="ΔΙΕΥΘΥΝΣΗ Π.Ε. Β΄ ΑΘΗΝΑΣ"/>
    <x v="5"/>
  </r>
  <r>
    <x v="5358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029"/>
    <s v="ΙΔΙΩΤΙΚΟ ΝΗΠΙΑΓΩΓΕΙΟ ΑΛΙΜΟΣ - ΟΙ ΜΙΚΡΕΣ ΠΑΤΟΥΣΕΣ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3-06-27T00:00:00"/>
    <x v="1"/>
    <s v="ΔΙΕΥΘΥΝΣΗ Π.Ε. Δ΄ ΑΘΗΝΑΣ"/>
    <x v="5"/>
  </r>
  <r>
    <x v="5359"/>
    <x v="1"/>
    <s v="ΠΕ60"/>
    <s v="ΝΗΠΙΑΓΩΓΟΙ"/>
    <m/>
    <m/>
    <s v="Γ΄"/>
    <n v="5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47"/>
    <s v="ΙΔΙΩΤΙΚΟ ΝΗΠΙΑΓΩΓΕΙΟ ΠΑΠΑΔΗΜΗΤΡΑΚΟΠΟΥΛΟΥ ΑΙΚΑΤΕΡΙΝΗ &amp; ΣΙΑ Ο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6-12T00:00:00"/>
    <x v="1"/>
    <s v="ΔΙΕΥΘΥΝΣΗ Π.Ε. ΑΝΑΤΟΛΙΚΗΣ ΑΤΤΙΚΗΣ"/>
    <x v="5"/>
  </r>
  <r>
    <x v="5360"/>
    <x v="1"/>
    <s v="ΠΕ60"/>
    <s v="ΝΗΠΙΑΓΩΓΟΙ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07"/>
    <s v="ΙΔΙΩΤΙΚΟ ΝΗΠΙΑΓΩΓΕΙΟ - &quot;ΗΛΙΟΤΡΟΠΙΟ&quot;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3-05-15T00:00:00"/>
    <x v="1"/>
    <s v="ΔΙΕΥΘΥΝΣΗ Π.Ε. ΙΩΑΝΝΙΝΩΝ"/>
    <x v="5"/>
  </r>
  <r>
    <x v="5361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3"/>
    <s v="ΙΔΙΩΤΙΚΟ ΝΗΠΙΑΓΩΓΕΙΟ ΒΡΙΛΗΣΣΙΑ - ΕΛΛΗΝΟΓΕΡΜΑΝΙΚΟΣ ΕΚΠΑΙΔΕΥΤΙ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5-03T00:00:00"/>
    <x v="1"/>
    <s v="ΔΙΕΥΘΥΝΣΗ Π.Ε. Β΄ ΑΘΗΝΑΣ"/>
    <x v="5"/>
  </r>
  <r>
    <x v="5362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1"/>
    <s v="ΙΔΙΩΤΙΚΟ ΝΗΠΙΑΓΩΓΕΙΟ ΧΑΝΙΩΝ - ΙΔΙΩΤΙΚΟ ΝΗΠΙΑΓΩΓ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83-04-26T00:00:00"/>
    <x v="1"/>
    <s v="ΔΙΕΥΘΥΝΣΗ Π.Ε. ΧΑΝΙΩΝ"/>
    <x v="5"/>
  </r>
  <r>
    <x v="5363"/>
    <x v="1"/>
    <s v="ΠΕ60"/>
    <s v="ΝΗΠΙΑΓΩΓΟΙ"/>
    <m/>
    <m/>
    <s v="Α΄"/>
    <n v="3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21"/>
    <s v="ΙΔΙΩΤΙΚΟ ΝΗΠΙΑΓΩΓΕΙΟ  - ΖΕΡΒΑ ΒΑΣΙΛΙΚΗ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3-03-23T00:00:00"/>
    <x v="1"/>
    <s v="ΔΙΕΥΘΥΝΣΗ Π.Ε. ΜΑΓΝΗΣΙΑΣ"/>
    <x v="5"/>
  </r>
  <r>
    <x v="5364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27"/>
    <s v="ΙΔΙΩΤΙΚΟ ΝΗΠΙΑΓΩΓΕΙΟ ΘΕΣΣΑΛΟΝΙΚΗ - ΚΟΠΕΡΤΙ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03-08T00:00:00"/>
    <x v="1"/>
    <s v="ΔΙΕΥΘΥΝΣΗ Π.Ε. ΑΝΑΤ. ΘΕΣ/ΝΙΚΗΣ"/>
    <x v="5"/>
  </r>
  <r>
    <x v="5365"/>
    <x v="1"/>
    <s v="ΠΕ60"/>
    <s v="ΝΗΠΙΑΓΩΓΟΙ"/>
    <m/>
    <m/>
    <s v="Γ΄"/>
    <n v="5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07"/>
    <s v="ΙΔΙΩΤΙΚΟ ΝΗΠΙΑΓΩΓΕΙΟ ΒΟΛΟΣ - ΧΡΥΣΙΚΟΥ ΕΛΙΣΑΒΕΤ-ΜΑΡΙΑ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2-12-02T00:00:00"/>
    <x v="1"/>
    <s v="ΔΙΕΥΘΥΝΣΗ Π.Ε. ΜΑΓΝΗΣΙΑΣ"/>
    <x v="5"/>
  </r>
  <r>
    <x v="5366"/>
    <x v="1"/>
    <s v="ΠΕ60"/>
    <s v="ΝΗΠΙΑΓΩΓΟΙ"/>
    <m/>
    <m/>
    <s v="Γ΄"/>
    <n v="5"/>
    <s v="Φ.17.2/4402/15-10-2010"/>
    <d v="2018-09-01T00:00:00"/>
    <s v="Α΄ ΜΑΓΝΗΣΙΑΣ (Π.Ε.) 2018"/>
    <s v="ΔΙΕΥΘΥΝΣΗ Π.Ε. ΜΑΓΝΗΣΙΑΣ"/>
    <s v="ΠΕΡΙΦΕΡΕΙΑΚΗ Δ/ΝΣΗ Α/ΘΜΙΑΣ ΚΑΙ Β/ΘΜΙΑΣ ΕΚΠ/ΣΗΣ ΘΕΣΣΑΛΙΑΣ"/>
    <n v="25"/>
    <d v="2018-09-01T00:00:00"/>
    <s v="Ιδιωτικά Σχολεία"/>
    <x v="1"/>
    <s v="7351007"/>
    <s v="ΙΔΙΩΤΙΚΟ ΝΗΠΙΑΓΩΓΕΙΟ ΒΟΛΟΣ - ΧΡΥΣΙΚΟΥ ΕΛΙΣΑΒΕΤ-ΜΑΡΙΑ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82-12-02T00:00:00"/>
    <x v="1"/>
    <s v="ΔΙΕΥΘΥΝΣΗ Π.Ε. ΜΑΓΝΗΣΙΑΣ"/>
    <x v="5"/>
  </r>
  <r>
    <x v="5367"/>
    <x v="1"/>
    <s v="ΠΕ60"/>
    <s v="ΝΗΠΙΑΓΩΓΟΙ"/>
    <m/>
    <m/>
    <s v="Γ΄"/>
    <n v="1"/>
    <n v="10476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71"/>
    <s v="ΜΑΡΙΑ ΚΟΥΝΕΝΙΔΑΚΗ - ΕΥΣΤΑΘΙΟΣ ΣΙΑΝΝΑΣ Ο.Ε.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11-29T00:00:00"/>
    <x v="1"/>
    <s v="ΔΙΕΥΘΥΝΣΗ Π.Ε. Δ΄ ΑΘΗΝΑΣ"/>
    <x v="5"/>
  </r>
  <r>
    <x v="5368"/>
    <x v="0"/>
    <s v="ΠΕ60"/>
    <s v="ΝΗΠΙΑΓΩΓ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49"/>
    <s v="ΣΥΣΤΕΓΑΖΟΜΕΝΟ ΙΔΙΩΤΙΚΟ ΝΗΠΙΑΓΩΓΕΙΟ - ΜΙΚΡΟ ΓΥΡΙ Ι.Κ.Ε.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2-10-16T00:00:00"/>
    <x v="1"/>
    <s v="ΔΙΕΥΘΥΝΣΗ Π.Ε. ΑΧΑΪΑΣ"/>
    <x v="5"/>
  </r>
  <r>
    <x v="5369"/>
    <x v="1"/>
    <s v="ΠΕ60"/>
    <s v="ΝΗΠΙΑΓΩΓΟΙ"/>
    <m/>
    <m/>
    <s v="Γ΄"/>
    <n v="1"/>
    <s v="4790/29-8-2018"/>
    <d v="2018-09-03T00:00:00"/>
    <s v="ΚΑΡΔΙΤΣΑΣ (Π.Ε.) 2018"/>
    <s v="ΔΙΕΥΘΥΝΣΗ Π.Ε. ΚΑΡΔΙΤΣΑΣ"/>
    <s v="ΠΕΡΙΦΕΡΕΙΑΚΗ Δ/ΝΣΗ Α/ΘΜΙΑΣ ΚΑΙ Β/ΘΜΙΑΣ ΕΚΠ/ΣΗΣ ΘΕΣΣΑΛΙΑΣ"/>
    <n v="25"/>
    <d v="2018-09-03T00:00:00"/>
    <s v="Ιδιωτικά Σχολεία"/>
    <x v="1"/>
    <s v="7221005"/>
    <s v="ΙΔΙΩΤΙΚΟ ΣΥΣΤΕΓΑΖΟΜΕΝΟ ΝΗΠΙΑΓΩΓΕΙΟ ΝΑΤΑΣΑ-Α.ΓΚΑΒΑΛΕΚΑ ΚΑΙ ΣΙΑ Ι.Κ.Ε."/>
    <s v="ΚΑΡΔΙΤΣΑΣ (Π.Ε.) 2018"/>
    <s v="ΔΙΕΥΘΥΝΣΗ Π.Ε. ΚΑΡΔΙΤΣΑΣ"/>
    <s v="ΠΕΡΙΦΕΡΕΙΑΚΗ Δ/ΝΣΗ Α/ΘΜΙΑΣ ΚΑΙ Β/ΘΜΙΑΣ ΕΚΠ/ΣΗΣ ΘΕΣΣΑΛΙΑΣ"/>
    <x v="0"/>
    <s v="Τοποθέτηση σε Ιδιωτική Εκπαίδευση"/>
    <d v="1982-10-16T00:00:00"/>
    <x v="1"/>
    <s v="ΔΙΕΥΘΥΝΣΗ Π.Ε. ΚΑΡΔΙΤΣΑΣ"/>
    <x v="5"/>
  </r>
  <r>
    <x v="5370"/>
    <x v="1"/>
    <s v="ΠΕ60"/>
    <s v="ΝΗΠΙΑΓΩΓΟΙ"/>
    <m/>
    <m/>
    <s v="Γ΄"/>
    <n v="1"/>
    <n v="8163"/>
    <d v="2018-09-01T00:00:00"/>
    <s v="ΛΑΡΙΣΑΣ (Π.Ε.) 2018"/>
    <s v="ΔΙΕΥΘΥΝΣΗ Π.Ε. ΛΑΡΙΣΑΣ"/>
    <s v="ΠΕΡΙΦΕΡΕΙΑΚΗ Δ/ΝΣΗ Α/ΘΜΙΑΣ ΚΑΙ Β/ΘΜΙΑΣ ΕΚΠ/ΣΗΣ ΘΕΣΣΑΛΙΑΣ"/>
    <n v="25"/>
    <d v="2018-09-01T00:00:00"/>
    <s v="Ιδιωτικά Σχολεία"/>
    <x v="1"/>
    <s v="7311005"/>
    <s v="ΙΔΙΩΤΙΚΟ ΝΗΠΙΑΓΩΓΕΙΟ ΛΑΡΙΣΑ - ΓΙΑΝΝΑΚΑΚΗ ΡΟΔΟΠΗ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82-10-07T00:00:00"/>
    <x v="1"/>
    <s v="ΔΙΕΥΘΥΝΣΗ Π.Ε. ΛΑΡΙΣΑΣ"/>
    <x v="5"/>
  </r>
  <r>
    <x v="5371"/>
    <x v="1"/>
    <s v="ΠΕ60"/>
    <s v="ΝΗΠΙΑΓΩΓΟΙ"/>
    <m/>
    <m/>
    <s v="Γ΄"/>
    <n v="1"/>
    <m/>
    <m/>
    <s v="ΚΑΡΔΙΤΣΑΣ (Π.Ε.) 2018"/>
    <s v="ΔΙΕΥΘΥΝΣΗ Π.Ε. ΚΑΡΔΙΤΣΑΣ"/>
    <s v="ΠΕΡΙΦΕΡΕΙΑΚΗ Δ/ΝΣΗ Α/ΘΜΙΑΣ ΚΑΙ Β/ΘΜΙΑΣ ΕΚΠ/ΣΗΣ ΘΕΣΣΑΛΙΑΣ"/>
    <n v="25"/>
    <m/>
    <s v="Ιδιωτικά Σχολεία"/>
    <x v="1"/>
    <s v="7221001"/>
    <s v="ΙΔΙΩΤΙΚΟ ΝΗΠΙΑΓΩΓΕΙΟ ΚΑΡΔΙΤΣΑ - ΙΔΙΩΤΙΚΟ ΝΗΠΙΑΓΩΓΕΙΟ ΛΕΚΚΑΣ ΚΩΝΣΤΑΝΤΙΝΟΣ"/>
    <s v="ΚΑΡΔΙΤΣΑΣ (Π.Ε.) 2018"/>
    <s v="ΔΙΕΥΘΥΝΣΗ Π.Ε. ΚΑΡΔΙΤΣΑΣ"/>
    <s v="ΠΕΡΙΦΕΡΕΙΑΚΗ Δ/ΝΣΗ Α/ΘΜΙΑΣ ΚΑΙ Β/ΘΜΙΑΣ ΕΚΠ/ΣΗΣ ΘΕΣΣΑΛΙΑΣ"/>
    <x v="1"/>
    <s v="Τοποθέτηση σε Ιδιωτική Εκπαίδευση"/>
    <d v="1982-09-11T00:00:00"/>
    <x v="1"/>
    <s v="ΔΙΕΥΘΥΝΣΗ Π.Ε. ΚΑΡΔΙΤΣΑΣ"/>
    <x v="5"/>
  </r>
  <r>
    <x v="5372"/>
    <x v="1"/>
    <s v="ΠΕ60"/>
    <s v="ΝΗΠΙΑΓΩΓΟΙ"/>
    <m/>
    <m/>
    <s v="Α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17"/>
    <s v="ΙΔΙΩΤΙΚΟ ΝΗΠΙΑΓΩΓΕΙΟ ΙΩΑΝΝΙΝΑ - ΑΡΣΑΚΕΙΟ ΝΗΠΙΑΓΩΓΕΙΟ ΙΩΑΝΝΙΝΩΝ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82-07-03T00:00:00"/>
    <x v="1"/>
    <s v="ΔΙΕΥΘΥΝΣΗ Π.Ε. ΙΩΑΝΝΙΝΩΝ"/>
    <x v="5"/>
  </r>
  <r>
    <x v="5373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11"/>
    <s v="ΙΔΙΩΤΙΚΟ ΝΗΠΙΑΓΩΓΕΙΟ ΛΑΜΙΑΣ-ΛΑΠΠΑ ΘΕΟΔΩΡΑ &amp; ΣΙΑ Ο.Ε. - ΛΙΛΙΠΟΥΠΟΛΗ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82-07-01T00:00:00"/>
    <x v="1"/>
    <s v="ΔΙΕΥΘΥΝΣΗ Π.Ε. ΦΘΙΩΤΙΔΑΣ"/>
    <x v="5"/>
  </r>
  <r>
    <x v="5374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1"/>
    <s v="7051155"/>
    <s v="ΙΔΙΩΤΙΚΟ ΝΗΠΙΑΓΩΓΕΙΟ -ΛΕΥΚΕΣ ΚΑΡΔΟΥΛΕΣ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2-05-29T00:00:00"/>
    <x v="1"/>
    <s v="ΔΙΕΥΘΥΝΣΗ Π.Ε. Α΄ ΑΘΗΝΑΣ"/>
    <x v="5"/>
  </r>
  <r>
    <x v="5375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m/>
    <s v="Ιδιωτικά Σχολεία"/>
    <x v="1"/>
    <s v="7361003"/>
    <s v="ΙΔΙΩΤΙΚΟ ΝΗΠΙΑΓΩΓΕΙ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82-04-21T00:00:00"/>
    <x v="1"/>
    <s v="ΔΙΕΥΘΥΝΣΗ Π.Ε. ΜΕΣΣΗΝΙΑΣ"/>
    <x v="5"/>
  </r>
  <r>
    <x v="5376"/>
    <x v="1"/>
    <s v="ΠΕ60"/>
    <s v="ΝΗΠΙΑΓΩΓΟΙ"/>
    <m/>
    <m/>
    <s v="Γ΄"/>
    <n v="1"/>
    <s v="Ω2Σ54653ΠΣ-34Ψ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5"/>
    <d v="2018-09-01T00:00:00"/>
    <s v="Ιδιωτικά Σχολεία"/>
    <x v="1"/>
    <s v="7011009"/>
    <s v="ΙΔΙΩΤΙΚΟ ΝΗΠΙΑΓΩΓΕΙΟ ΠΑΛΑΙΟΠΑΝΑΓΙΑ ΝΑΥΠΑΚΤΟΥ - ΙΔΙΩΤΙΚΟ ΝΗΠΙΑΓΩΓΕΙΟ ΕΚΠΑΙΔΕΥΤΗΡΙΑ ΠΑΝΟΥ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82-01-25T00:00:00"/>
    <x v="1"/>
    <s v="ΔΙΕΥΘΥΝΣΗ Π.Ε. ΑΙΤΩΛΟΑΚΑΡΝΑΝΙΑΣ"/>
    <x v="5"/>
  </r>
  <r>
    <x v="5377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25"/>
    <m/>
    <s v="Ιδιωτικά Σχολεία"/>
    <x v="1"/>
    <s v="7541061"/>
    <s v="ΣΥΣΤΕΓΑΖΟΜΕΝΟ ΝΗΠΙΑΓΩΓΕΙΟ - ΣΚΕΠΕΤΑΡΑ ΠΑΝΑΓΙΩΤΑ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82-01-19T00:00:00"/>
    <x v="1"/>
    <s v="ΔΙΕΥΘΥΝΣΗ Π.Ε. ΠΕΙΡΑΙΑ"/>
    <x v="5"/>
  </r>
  <r>
    <x v="5378"/>
    <x v="1"/>
    <s v="ΠΕ60"/>
    <s v="ΝΗΠΙΑΓΩΓΟΙ"/>
    <m/>
    <m/>
    <s v="Γ΄"/>
    <n v="1"/>
    <n v="10836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19"/>
    <s v="ΙΔΙΩΤΙΚΟ ΝΗΠΙΑΓΩΓΕΙΟ ΧΑΛΑΝΔΡΙ - ΧΡΙΣΤ. ΘΩΜΑ ΚΑΙ ΣΙΑ Ο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1-18T00:00:00"/>
    <x v="1"/>
    <s v="ΔΙΕΥΘΥΝΣΗ Π.Ε. Β΄ ΑΘΗΝΑΣ"/>
    <x v="5"/>
  </r>
  <r>
    <x v="5379"/>
    <x v="1"/>
    <s v="ΠΕ60"/>
    <s v="ΝΗΠΙΑΓΩΓΟΙ"/>
    <m/>
    <m/>
    <s v="Α΄"/>
    <n v="5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5"/>
    <s v="ΙΔΙΩΤΙΚΟ ΝΗΠΙΑΓΩΓΕΙΟ ΑΛΙΜΟΣ - ΙΔΙΩΤΙΚΟ ΝΗΠΙΑΓΩΓΕΙΟ ΓΕΝΝΑΔΙΟΣ ΕΚΠΑΙΔΕΥΤΙΚΗ Κ.ΖΩΗ Α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2-01-01T00:00:00"/>
    <x v="1"/>
    <s v="ΔΙΕΥΘΥΝΣΗ Π.Ε. Δ΄ ΑΘΗΝΑΣ"/>
    <x v="5"/>
  </r>
  <r>
    <x v="5380"/>
    <x v="1"/>
    <s v="ΠΕ60"/>
    <s v="ΝΗΠΙΑΓΩΓ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09"/>
    <s v="ΙΔΙΩΤΙΚΟ ΝΗΠΙΑΓΩΓΕΙΟ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81-12-11T00:00:00"/>
    <x v="1"/>
    <s v="ΔΙΕΥΘΥΝΣΗ Π.Ε. ΛΑΡΙΣΑΣ"/>
    <x v="5"/>
  </r>
  <r>
    <x v="5381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217"/>
    <s v="ΙΔΙΩΤΙΚΟ ΣΥΣΤΕΓΑΖΟΜΕΝΟ ΝΗΠΙΑΓΩΓΕΙΟ - LITTLES PRESCHOOL EDUCATION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5-29T00:00:00"/>
    <x v="1"/>
    <s v="ΔΙΕΥΘΥΝΣΗ Π.Ε. Β΄ ΑΘΗΝΑΣ"/>
    <x v="5"/>
  </r>
  <r>
    <x v="5382"/>
    <x v="1"/>
    <s v="ΠΕ60"/>
    <s v="ΝΗΠΙΑΓΩΓΟΙ"/>
    <m/>
    <m/>
    <s v="Γ΄"/>
    <n v="1"/>
    <s v="66/14-9-2018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07"/>
    <s v="ΙΔΙΩΤΙΚΟ ΝΗΠΙΑΓΩΓΕΙΟ ΑΙΓΙΟ - ΝΙΚΟΛΟΠΟΥΛΟΥ ΤΡΙΣΕΥΓΕΝΗ"/>
    <s v="ΑΧΑΪΑΣ (Π.Ε.) 2018"/>
    <s v="ΔΙΕΥΘΥΝΣΗ Π.Ε. ΑΧΑΪΑΣ"/>
    <s v="ΠΕΡΙΦΕΡΕΙΑΚΗ Δ/ΝΣΗ Α/ΘΜΙΑΣ ΚΑΙ Β/ΘΜΙΑΣ ΕΚΠ/ΣΗΣ ΔΥΤΙΚΗΣ ΕΛΛΑΔΑΣ"/>
    <x v="0"/>
    <s v="Τοποθέτηση σε Ιδιωτική Εκπαίδευση"/>
    <d v="1981-05-20T00:00:00"/>
    <x v="1"/>
    <s v="ΔΙΕΥΘΥΝΣΗ Π.Ε. ΑΧΑΪΑΣ"/>
    <x v="5"/>
  </r>
  <r>
    <x v="5383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1"/>
    <s v="1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5-19T00:00:00"/>
    <x v="1"/>
    <s v="ΔΙΕΥΘΥΝΣΗ Π.Ε. ΑΝΑΤΟΛΙΚΗΣ ΑΤΤΙΚΗΣ"/>
    <x v="5"/>
  </r>
  <r>
    <x v="5384"/>
    <x v="1"/>
    <s v="ΠΕ60"/>
    <s v="ΝΗΠΙΑΓΩΓΟΙ"/>
    <m/>
    <m/>
    <s v="Γ΄"/>
    <n v="1"/>
    <n v="2105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59"/>
    <s v="ΣΥΣΤΕΓΑΖΟΜΕΝΟ ΙΔΙΩΤΙΚΟ ΝΗΠΙΑΓΩΓΕΙΟ - ΕΛΕΥΘΕΡΙΟΥ ΑΘΑΝΑΣ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1-05-06T00:00:00"/>
    <x v="1"/>
    <s v="ΔΙΕΥΘΥΝΣΗ Π.Ε. Δ΄ ΑΘΗΝΑΣ"/>
    <x v="5"/>
  </r>
  <r>
    <x v="5385"/>
    <x v="1"/>
    <s v="ΠΕ60"/>
    <s v="ΝΗΠΙΑΓΩΓΟΙ"/>
    <m/>
    <m/>
    <s v="Γ΄"/>
    <n v="1"/>
    <m/>
    <m/>
    <s v="ΒΟΙΩΤΙΑΣ (Π.Ε.) 2018"/>
    <s v="ΔΙΕΥΘΥΝΣΗ Π.Ε. ΒΟΙΩΤΙΑΣ"/>
    <s v="ΠΕΡΙΦΕΡΕΙΑΚΗ Δ/ΝΣΗ Α/ΘΜΙΑΣ ΚΑΙ Β/ΘΜΙΑΣ ΕΚΠ/ΣΗΣ ΣΤΕΡΕΑΣ ΕΛΛΑΔΑΣ"/>
    <n v="25"/>
    <m/>
    <s v="Ιδιωτικά Σχολεία"/>
    <x v="1"/>
    <s v="7071003"/>
    <s v="ΙΔΙΩΤΙΚΟ ΣΥΣΤΕΓΑΖΟΜΕΝΟ ΝΗΠΙΑΓΩΓΕΙΟ - ΠΑΡΑΜΥΘΟΧΩΡΑ"/>
    <s v="ΒΟΙΩΤΙΑΣ (Π.Ε.) 2018"/>
    <s v="ΔΙΕΥΘΥΝΣΗ Π.Ε. ΒΟΙΩΤΙΑΣ"/>
    <s v="ΠΕΡΙΦΕΡΕΙΑΚΗ Δ/ΝΣΗ Α/ΘΜΙΑΣ ΚΑΙ Β/ΘΜΙΑΣ ΕΚΠ/ΣΗΣ ΣΤΕΡΕΑΣ ΕΛΛΑΔΑΣ"/>
    <x v="1"/>
    <s v="Τοποθέτηση σε Ιδιωτική Εκπαίδευση"/>
    <d v="1981-04-21T00:00:00"/>
    <x v="1"/>
    <s v="ΔΙΕΥΘΥΝΣΗ Π.Ε. ΒΟΙΩΤΙΑΣ"/>
    <x v="5"/>
  </r>
  <r>
    <x v="5386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105"/>
    <s v="ΙΔΙΩΤΙΚΟ - ΙΣΟΤΙΜΟ ΝΗΠΙΑΓΩΓΕΙΟ - Α΄ ΑΡΣΑΚΕΙΟ - ΤΟΣΙΤΣΕΙΟ ΝΗΠΙΑΓΩΓ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1-03-20T00:00:00"/>
    <x v="1"/>
    <s v="ΔΙΕΥΘΥΝΣΗ Π.Ε. ΑΝΑΤΟΛΙΚΗΣ ΑΤΤΙΚΗΣ"/>
    <x v="5"/>
  </r>
  <r>
    <x v="5387"/>
    <x v="1"/>
    <s v="ΠΕ60"/>
    <s v="ΝΗΠΙΑΓΩΓΟΙ"/>
    <m/>
    <m/>
    <s v="Γ΄"/>
    <n v="1"/>
    <s v="19/11-10-2017"/>
    <d v="2017-09-01T00:00:00"/>
    <s v="ΡΕΘΥΜΝΟΥ (Π.Ε.) 2018"/>
    <s v="ΔΙΕΥΘΥΝΣΗ Π.Ε. ΡΕΘΥΜΝΟΥ"/>
    <s v="ΠΕΡΙΦΕΡΕΙΑΚΗ Δ/ΝΣΗ Α/ΘΜΙΑΣ ΚΑΙ Β/ΘΜΙΑΣ ΕΚΠ/ΣΗΣ ΚΡΗΤΗΣ"/>
    <n v="25"/>
    <d v="2018-09-01T00:00:00"/>
    <s v="Ιδιωτικά Σχολεία"/>
    <x v="1"/>
    <s v="7411007"/>
    <s v="ΙΔΙΩΤΙΚΟ ΝΗΠΙΑΓΩΓΕΙΟ - ΚΟΥΤΙΚΑ ΕΛΕΝΗ"/>
    <s v="ΡΕΘΥΜΝΟΥ (Π.Ε.) 2018"/>
    <s v="ΔΙΕΥΘΥΝΣΗ Π.Ε. ΡΕΘΥΜΝΟΥ"/>
    <s v="ΠΕΡΙΦΕΡΕΙΑΚΗ Δ/ΝΣΗ Α/ΘΜΙΑΣ ΚΑΙ Β/ΘΜΙΑΣ ΕΚΠ/ΣΗΣ ΚΡΗΤΗΣ"/>
    <x v="0"/>
    <s v="Τοποθέτηση σε Ιδιωτική Εκπαίδευση"/>
    <d v="1981-01-22T00:00:00"/>
    <x v="1"/>
    <s v="ΔΙΕΥΘΥΝΣΗ Π.Ε. ΡΕΘΥΜΝΟΥ"/>
    <x v="5"/>
  </r>
  <r>
    <x v="5388"/>
    <x v="1"/>
    <s v="ΠΕ60"/>
    <s v="ΝΗΠΙΑΓΩΓΟΙ"/>
    <m/>
    <m/>
    <s v="Α΄"/>
    <n v="4"/>
    <s v="100/19-11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27"/>
    <s v="ΙΔΙΩΤΙΚΟ ΝΗΠΙΑΓΩΓΕΙΟ ΡΙΟ ΠΑΤΡΩΝ - ΙΔ. ΝΗΠ. ΓΕΩΡΜΑ ΑΙΚΑΤΕΡΙΝΗ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80-09-23T00:00:00"/>
    <x v="1"/>
    <s v="ΔΙΕΥΘΥΝΣΗ Π.Ε. ΑΧΑΪΑΣ"/>
    <x v="5"/>
  </r>
  <r>
    <x v="5389"/>
    <x v="1"/>
    <s v="ΠΕ60"/>
    <s v="ΝΗΠΙΑΓΩΓΟΙ"/>
    <m/>
    <m/>
    <s v="Γ΄"/>
    <n v="1"/>
    <s v="ΔΥ"/>
    <d v="2016-01-25T00:00:00"/>
    <s v="ΡΕΘΥΜΝΟΥ (Π.Ε.) 2018"/>
    <s v="ΔΙΕΥΘΥΝΣΗ Π.Ε. ΡΕΘΥΜΝΟΥ"/>
    <s v="ΠΕΡΙΦΕΡΕΙΑΚΗ Δ/ΝΣΗ Α/ΘΜΙΑΣ ΚΑΙ Β/ΘΜΙΑΣ ΕΚΠ/ΣΗΣ ΚΡΗΤΗΣ"/>
    <n v="25"/>
    <d v="2016-01-25T00:00:00"/>
    <s v="Ιδιωτικά Σχολεία"/>
    <x v="1"/>
    <s v="7411005"/>
    <s v="ΙΔΙΩΤΙΚΟ ΣΥΣΤΕΓΑΖΟΜΕΝΟ ΝΗΠΙΑΓΩΓΕΙΟ - ΨΥΛΛΑΚΗ ΑΝΝΑ"/>
    <s v="ΡΕΘΥΜΝΟΥ (Π.Ε.) 2018"/>
    <s v="ΔΙΕΥΘΥΝΣΗ Π.Ε. ΡΕΘΥΜΝΟΥ"/>
    <s v="ΠΕΡΙΦΕΡΕΙΑΚΗ Δ/ΝΣΗ Α/ΘΜΙΑΣ ΚΑΙ Β/ΘΜΙΑΣ ΕΚΠ/ΣΗΣ ΚΡΗΤΗΣ"/>
    <x v="1"/>
    <s v="Τοποθέτηση σε Ιδιωτική Εκπαίδευση"/>
    <d v="1980-09-13T00:00:00"/>
    <x v="1"/>
    <s v="ΔΙΕΥΘΥΝΣΗ Π.Ε. ΡΕΘΥΜΝΟΥ"/>
    <x v="5"/>
  </r>
  <r>
    <x v="5390"/>
    <x v="1"/>
    <s v="ΠΕ60"/>
    <s v="ΝΗΠΙΑΓΩΓΟΙ"/>
    <m/>
    <m/>
    <s v="Γ΄"/>
    <n v="1"/>
    <s v="Φ.17/6357/13-09-2018"/>
    <d v="2018-09-04T00:00:00"/>
    <s v="ΙΩΑΝΝΙΝΩΝ (Π.Ε.) 2018"/>
    <s v="ΔΙΕΥΘΥΝΣΗ Π.Ε. ΙΩΑΝΝΙΝΩΝ"/>
    <s v="ΠΕΡΙΦΕΡΕΙΑΚΗ Δ/ΝΣΗ Α/ΘΜΙΑΣ ΚΑΙ Β/ΘΜΙΑΣ ΕΚΠ/ΣΗΣ ΗΠΕΙΡΟΥ"/>
    <n v="25"/>
    <d v="2018-09-04T00:00:00"/>
    <s v="Ιδιωτικά Σχολεία"/>
    <x v="1"/>
    <s v="7201025"/>
    <s v="Ιδιωτικό Συστεγαζόμενο Νηπιαγωγείο - ΜΥΣΤΙΚΟ ΚΛΕΙΔΙ"/>
    <s v="ΙΩΑΝΝΙΝΩΝ (Π.Ε.) 2018"/>
    <s v="ΔΙΕΥΘΥΝΣΗ Π.Ε. ΙΩΑΝΝΙΝΩΝ"/>
    <s v="ΠΕΡΙΦΕΡΕΙΑΚΗ Δ/ΝΣΗ Α/ΘΜΙΑΣ ΚΑΙ Β/ΘΜΙΑΣ ΕΚΠ/ΣΗΣ ΗΠΕΙΡΟΥ"/>
    <x v="0"/>
    <s v="Τοποθέτηση σε Ιδιωτική Εκπαίδευση"/>
    <d v="1980-08-02T00:00:00"/>
    <x v="1"/>
    <s v="ΔΙΕΥΘΥΝΣΗ Π.Ε. ΙΩΑΝΝΙΝΩΝ"/>
    <x v="5"/>
  </r>
  <r>
    <x v="5391"/>
    <x v="1"/>
    <s v="ΠΕ60"/>
    <s v="ΝΗΠΙΑΓΩΓΟΙ"/>
    <m/>
    <m/>
    <s v="Γ΄"/>
    <n v="1"/>
    <n v="4978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47"/>
    <s v="ΕΚΠΑΙΔΕΥΤΗΡΙΑ Γ. ΖΩΗ - ΙΔΙΩΤΙΚΟ ΝΗΠΙΑΓΩΓ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80-05-31T00:00:00"/>
    <x v="1"/>
    <s v="ΔΙΕΥΘΥΝΣΗ Π.Ε. Δ΄ ΑΘΗΝΑΣ"/>
    <x v="5"/>
  </r>
  <r>
    <x v="5392"/>
    <x v="1"/>
    <s v="ΠΕ60"/>
    <s v="ΝΗΠΙΑΓΩΓ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11"/>
    <s v="ΙΔΙΩΤΙΚΟ ΝΗΠΙΑΓΩΓΕΙΟ ΕΥΟΣΜΟΣ ΘΕΣΣΑΛΟΝΙΚΗΣ - ΜΑΡΤΣΙΚΑΛΗ ΜΑΓΔΑΛΗΝ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80-03-17T00:00:00"/>
    <x v="1"/>
    <s v="ΔΙΕΥΘΥΝΣΗ Π.Ε. ΔΥΤ. ΘΕΣ/ΝΙΚΗΣ"/>
    <x v="5"/>
  </r>
  <r>
    <x v="5393"/>
    <x v="1"/>
    <s v="ΠΕ60"/>
    <s v="ΝΗΠΙΑΓΩΓΟΙ"/>
    <m/>
    <m/>
    <s v="Γ΄"/>
    <n v="1"/>
    <n v="10934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83"/>
    <s v="ΤΖΕΣΣΙΚΑ ΚΟΥΡΝΙΑΚΤΗ - ΜΑΡΙ ΚΛΩΝΤ ΛΕΟΜΕΝΤ &amp; ΣΙΑ Ο.Ε. (ΤΖΕΣΣΙΚΑ ΚΟΥΡΝΙΑΚΤΗ - ΜΑΡΙ ΚΛΩΝΤ ΛΕΟΜΕΝΤ &amp; ΣΙΑ 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9-12-11T00:00:00"/>
    <x v="1"/>
    <s v="ΔΙΕΥΘΥΝΣΗ Π.Ε. Δ΄ ΑΘΗΝΑΣ"/>
    <x v="5"/>
  </r>
  <r>
    <x v="5394"/>
    <x v="1"/>
    <s v="ΠΕ60"/>
    <s v="ΝΗΠΙΑΓΩΓΟΙ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m/>
    <s v="Ιδιωτικά Σχολεία"/>
    <x v="1"/>
    <s v="7271007"/>
    <s v="ΙΔΙΩΤΙΚΟ ΝΗΠΙΑΓΩΓΕΙΟ ΚΟΖΑΝΗ - ΣΤΡΟΥΜΦΑΚΙΑ"/>
    <s v="ΚΟΖΑΝΗΣ (Π.Ε.) 2018"/>
    <s v="ΔΙΕΥΘΥΝΣΗ Π.Ε. ΚΟΖΑΝΗΣ"/>
    <s v="ΠΕΡΙΦΕΡΕΙΑΚΗ Δ/ΝΣΗ Α/ΘΜΙΑΣ ΚΑΙ Β/ΘΜΙΑΣ ΕΚΠ/ΣΗΣ ΔΥΤΙΚΗΣ ΜΑΚΕΔΟΝΙΑΣ"/>
    <x v="1"/>
    <s v="Τοποθέτηση σε Ιδιωτική Εκπαίδευση"/>
    <d v="1979-12-06T00:00:00"/>
    <x v="1"/>
    <s v="ΔΙΕΥΘΥΝΣΗ Π.Ε. ΚΟΖΑΝΗΣ"/>
    <x v="5"/>
  </r>
  <r>
    <x v="5395"/>
    <x v="1"/>
    <s v="ΠΕ60"/>
    <s v="ΝΗΠΙΑΓΩΓΟΙ"/>
    <m/>
    <m/>
    <s v="Γ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27"/>
    <s v="ΙΔΙΩΤΙΚΟ ΣΥΣΤΕΓΑΖΟΜΕΝΟ ΝΗΠΙΑΓΩΓΕΙΟ - ΦΑΝΤΑΣΙ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79-07-26T00:00:00"/>
    <x v="1"/>
    <s v="ΔΙΕΥΘΥΝΣΗ Π.Ε. ΦΘΙΩΤΙΔΑΣ"/>
    <x v="5"/>
  </r>
  <r>
    <x v="5396"/>
    <x v="1"/>
    <s v="ΠΕ60"/>
    <s v="ΝΗΠΙΑΓΩΓΟΙ"/>
    <m/>
    <m/>
    <s v="Γ΄"/>
    <n v="1"/>
    <s v="Φ.17/74"/>
    <d v="2018-09-01T00:00:00"/>
    <s v="ΔΥΤ. ΑΤΤΙΚΗΣ (Π.Ε.) 2018"/>
    <s v="ΔΙΕΥΘΥΝΣΗ Π.Ε. ΔΥΤΙΚΗΣ ΑΤΤΙΚΗΣ"/>
    <s v="ΠΕΡΙΦΕΡΕΙΑΚΗ Δ/ΝΣΗ Α/ΘΜΙΑΣ ΚΑΙ Β/ΘΜΙΑΣ ΕΚΠ/ΣΗΣ ΑΤΤΙΚΗΣ"/>
    <n v="25"/>
    <d v="2018-09-01T00:00:00"/>
    <s v="Ιδιωτικά Σχολεία"/>
    <x v="1"/>
    <s v="7531009"/>
    <s v="ΣΥΣΤΕΓΑΖΟΜΕΝΟ ΝΗΠΙΑΓΩΓΕΙΟ - ΙΔΙΩΤΙΚΟ ΝΗΠΙΑΓΩΓΕΙΟ ΠΟΛΥΧΡΟΝΙΑΔΗ ΑΝΝΑ"/>
    <s v="ΔΥΤ. ΑΤΤΙΚΗΣ (Π.Ε.) 2018"/>
    <s v="ΔΙΕΥΘΥΝΣΗ Π.Ε. ΔΥΤΙΚΗΣ ΑΤΤΙΚΗΣ"/>
    <s v="ΠΕΡΙΦΕΡΕΙΑΚΗ Δ/ΝΣΗ Α/ΘΜΙΑΣ ΚΑΙ Β/ΘΜΙΑΣ ΕΚΠ/ΣΗΣ ΑΤΤΙΚΗΣ"/>
    <x v="1"/>
    <s v="Τοποθέτηση σε Ιδιωτική Εκπαίδευση"/>
    <d v="1979-06-30T00:00:00"/>
    <x v="1"/>
    <s v="ΔΙΕΥΘΥΝΣΗ Π.Ε. ΔΥΤΙΚΗΣ ΑΤΤΙΚΗΣ"/>
    <x v="5"/>
  </r>
  <r>
    <x v="5397"/>
    <x v="1"/>
    <s v="ΠΕ60"/>
    <s v="ΝΗΠΙΑΓΩΓ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27"/>
    <s v="ΙΔΙΩΤΙΚΟ ΝΗΠΙΑΓΩΓΕΙΟ ΛΑΡΙΣΑ - ΙΔ ΝΗΠΙΑΓΩΓΕΙΟ ΜΠΟΜΠΟΛΟΥ ΧΡΥΣΑΝΘ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9-06-18T00:00:00"/>
    <x v="1"/>
    <s v="ΔΙΕΥΘΥΝΣΗ Π.Ε. ΛΑΡΙΣΑΣ"/>
    <x v="5"/>
  </r>
  <r>
    <x v="5398"/>
    <x v="0"/>
    <s v="ΠΕ06"/>
    <s v="ΑΓΓΛΙΚΗΣ ΦΙΛΟΛΟΓΙΑ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5"/>
    <m/>
    <s v="Ιδιωτικά Σχολεία"/>
    <x v="2"/>
    <s v="0560002"/>
    <s v="ΙΔΙΩΤΙΚΟ ΗΜΕΡΗΣΙΟ ΓΥΜΝΑΣΙΟ                                                                                                                                       ΕΚΠΑΙΔΕΥΤΗΡΙΑ ΔΙΑΜΑΝΤΟΠΟΥΛΟΥ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9-06-01T00:00:00"/>
    <x v="0"/>
    <s v="ΔΙΕΥΘΥΝΣΗ Δ.Ε. Γ΄ ΑΘΗΝΑΣ"/>
    <x v="5"/>
  </r>
  <r>
    <x v="5399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09"/>
    <s v="ΣΥΛΛΟΓΟΣ ΓΟΝΕΩΝ ΠΑΙΔΙΩΝ ΤΟΥ Β΄ ΒΡΕΦΙΚΟΥ ΠΑΙΔΙΚΟΥ ΣΤΑΘΜΟΥ &amp; ΝΗΠ/ΓΕΙΟΥ ΧΑΛΚΙΔΑΣ 2ο ΝΗΠ/ΓΕΙΟ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79-04-13T00:00:00"/>
    <x v="1"/>
    <s v="ΔΙΕΥΘΥΝΣΗ Π.Ε. ΕΥΒΟΙΑΣ"/>
    <x v="5"/>
  </r>
  <r>
    <x v="5400"/>
    <x v="1"/>
    <s v="ΠΕ60"/>
    <s v="ΝΗΠΙΑΓΩΓΟΙ"/>
    <m/>
    <m/>
    <s v="Α΄"/>
    <n v="1"/>
    <m/>
    <m/>
    <s v="ΑΡΤΑΣ (Π.Ε.) 2018"/>
    <s v="ΔΙΕΥΘΥΝΣΗ Π.Ε. ΑΡΤΑΣ"/>
    <s v="ΠΕΡΙΦΕΡΕΙΑΚΗ Δ/ΝΣΗ Α/ΘΜΙΑΣ ΚΑΙ Β/ΘΜΙΑΣ ΕΚΠ/ΣΗΣ ΗΠΕΙΡΟΥ"/>
    <n v="25"/>
    <m/>
    <s v="Ιδιωτικά Σχολεία"/>
    <x v="1"/>
    <s v="7041001"/>
    <s v="ΙΔΙΩΤΙΚΟ ΝΗΠΙΑΓΩΓΕΙΟ &quot;ΜΕΡΑΝΤΖΑ ΕΛΕΝΗ&quot;"/>
    <s v="ΑΡΤΑΣ (Π.Ε.) 2018"/>
    <s v="ΔΙΕΥΘΥΝΣΗ Π.Ε. ΑΡΤΑΣ"/>
    <s v="ΠΕΡΙΦΕΡΕΙΑΚΗ Δ/ΝΣΗ Α/ΘΜΙΑΣ ΚΑΙ Β/ΘΜΙΑΣ ΕΚΠ/ΣΗΣ ΗΠΕΙΡΟΥ"/>
    <x v="3"/>
    <s v="Τοποθέτηση σε Ιδιωτική Εκπαίδευση"/>
    <d v="1979-04-07T00:00:00"/>
    <x v="1"/>
    <s v="ΔΙΕΥΘΥΝΣΗ Π.Ε. ΑΡΤΑΣ"/>
    <x v="5"/>
  </r>
  <r>
    <x v="5401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m/>
    <s v="Ιδιωτικά Σχολεία"/>
    <x v="1"/>
    <s v="7361003"/>
    <s v="ΙΔΙΩΤΙΚΟ ΝΗΠΙΑΓΩΓΕΙ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79-03-24T00:00:00"/>
    <x v="1"/>
    <s v="ΔΙΕΥΘΥΝΣΗ Π.Ε. ΜΕΣΣΗΝΙΑΣ"/>
    <x v="5"/>
  </r>
  <r>
    <x v="5402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1"/>
    <s v="7053021"/>
    <s v="ΙΔΙΩΤΙΚΟ ΝΗΠΙΑΓΩΓΕΙΟ - ΚΟΝΤΟΠΟΥΛΟΥ ΟΥΡΑΝΙΑ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9-02-28T00:00:00"/>
    <x v="1"/>
    <s v="ΔΙΕΥΘΥΝΣΗ Π.Ε. Γ΄ ΑΘΗΝΑΣ"/>
    <x v="5"/>
  </r>
  <r>
    <x v="5403"/>
    <x v="1"/>
    <s v="ΠΕ60"/>
    <s v="ΝΗΠΙΑΓΩΓΟΙ"/>
    <m/>
    <m/>
    <s v="Γ΄"/>
    <n v="1"/>
    <m/>
    <m/>
    <s v="ΠΡΕΒΕΖΑΣ (Π.Ε.) 2018"/>
    <s v="ΔΙΕΥΘΥΝΣΗ Π.Ε. ΠΡΕΒΕΖΑΣ"/>
    <s v="ΠΕΡΙΦΕΡΕΙΑΚΗ Δ/ΝΣΗ Α/ΘΜΙΑΣ ΚΑΙ Β/ΘΜΙΑΣ ΕΚΠ/ΣΗΣ ΗΠΕΙΡΟΥ"/>
    <n v="25"/>
    <m/>
    <s v="Ιδιωτικά Σχολεία"/>
    <x v="1"/>
    <s v="7401003"/>
    <s v="ΙΔΙΩΤΙΚΟ ΝΗΠΙΑΓΩΓΕΙΟ - ΚΛΗΡΟΔΟΤΗΜΑ ΣΠΥΡΙΔΩΝΟΣ ΚΑΡΑΜΑΝΗ"/>
    <s v="ΠΡΕΒΕΖΑΣ (Π.Ε.) 2018"/>
    <s v="ΔΙΕΥΘΥΝΣΗ Π.Ε. ΠΡΕΒΕΖΑΣ"/>
    <s v="ΠΕΡΙΦΕΡΕΙΑΚΗ Δ/ΝΣΗ Α/ΘΜΙΑΣ ΚΑΙ Β/ΘΜΙΑΣ ΕΚΠ/ΣΗΣ ΗΠΕΙΡΟΥ"/>
    <x v="1"/>
    <s v="Τοποθέτηση σε Ιδιωτική Εκπαίδευση"/>
    <d v="1978-11-25T00:00:00"/>
    <x v="1"/>
    <s v="ΔΙΕΥΘΥΝΣΗ Π.Ε. ΠΡΕΒΕΖΑΣ"/>
    <x v="5"/>
  </r>
  <r>
    <x v="5404"/>
    <x v="1"/>
    <s v="ΠΕ60"/>
    <s v="ΝΗΠΙΑΓΩΓΟΙ"/>
    <m/>
    <m/>
    <s v="Γ΄"/>
    <n v="1"/>
    <n v="6326"/>
    <d v="2018-09-01T00:00:00"/>
    <s v="Α΄ ΔΩΔΕΚΑΝΗΣΟΥ (Π.Ε.) 2018"/>
    <s v="ΔΙΕΥΘΥΝΣΗ Π.Ε. ΔΩΔΕΚΑΝΗΣΟΥ"/>
    <s v="ΠΕΡΙΦΕΡΕΙΑΚΗ Δ/ΝΣΗ Α/ΘΜΙΑΣ ΚΑΙ Β/ΘΜΙΑΣ ΕΚΠ/ΣΗΣ ΝΟΤΙΟΥ ΑΙΓΑΙΟΥ"/>
    <n v="25"/>
    <d v="2018-09-01T00:00:00"/>
    <s v="Ιδιωτικά Σχολεία"/>
    <x v="1"/>
    <s v="7101007"/>
    <s v="ΙΔΙΩΤΙΚΟ ΝΗΠΙΑΓΩΓΕΙΟ ΡΟΔΟΣ - ΔΗΜΙΟΥΡΓΙΑ"/>
    <s v="Α΄ ΔΩΔΕΚΑΝΗΣΟΥ (Π.Ε.) 2018"/>
    <s v="ΔΙΕΥΘΥΝΣΗ Π.Ε. ΔΩΔΕΚΑΝΗΣΟΥ"/>
    <s v="ΠΕΡΙΦΕΡΕΙΑΚΗ Δ/ΝΣΗ Α/ΘΜΙΑΣ ΚΑΙ Β/ΘΜΙΑΣ ΕΚΠ/ΣΗΣ ΝΟΤΙΟΥ ΑΙΓΑΙΟΥ"/>
    <x v="1"/>
    <s v="Τοποθέτηση σε Ιδιωτική Εκπαίδευση"/>
    <d v="1978-05-23T00:00:00"/>
    <x v="1"/>
    <s v="ΔΙΕΥΘΥΝΣΗ Π.Ε. ΔΩΔΕΚΑΝΗΣΟΥ"/>
    <x v="5"/>
  </r>
  <r>
    <x v="5405"/>
    <x v="1"/>
    <s v="ΠΕ60"/>
    <s v="ΝΗΠΙΑΓΩΓΟΙ"/>
    <m/>
    <m/>
    <s v="Γ΄"/>
    <n v="1"/>
    <s v="Φ.17.2/4344"/>
    <d v="2018-09-01T00:00:00"/>
    <s v="ΞΑΝΘΗΣ (Π.Ε.) 2018"/>
    <s v="ΔΙΕΥΘΥΝΣΗ Π.Ε. ΞΑΝΘΗΣ"/>
    <s v="ΠΕΡΙΦΕΡΕΙΑΚΗ Δ/ΝΣΗ Α/ΘΜΙΑΣ ΚΑΙ Β/ΘΜΙΑΣ ΕΚΠ/ΣΗΣ ΑΝ. ΜΑΚΕΔΟΝΙΑΣ ΚΑΙ ΘΡΑΚΗΣ"/>
    <n v="25"/>
    <d v="2018-09-01T00:00:00"/>
    <s v="Ιδιωτικά Σχολεία"/>
    <x v="1"/>
    <s v="7371001"/>
    <s v="ΙΔΙΩΤΙΚΟ ΝΗΠΙΑΓΩΓΕΙΟ ΞΑΝΘΗ - ΚΑΚΑΔΙΑΡΗ ΕΥΑΓΓΕΛΙΑ"/>
    <s v="ΞΑΝΘΗΣ (Π.Ε.) 2018"/>
    <s v="ΔΙΕΥΘΥΝΣΗ Π.Ε. ΞΑΝΘΗΣ"/>
    <s v="ΠΕΡΙΦΕΡΕΙΑΚΗ Δ/ΝΣΗ Α/ΘΜΙΑΣ ΚΑΙ Β/ΘΜΙΑΣ ΕΚΠ/ΣΗΣ ΑΝ. ΜΑΚΕΔΟΝΙΑΣ ΚΑΙ ΘΡΑΚΗΣ"/>
    <x v="1"/>
    <s v="Τοποθέτηση σε Ιδιωτική Εκπαίδευση"/>
    <d v="1978-01-25T00:00:00"/>
    <x v="1"/>
    <s v="ΔΙΕΥΘΥΝΣΗ Π.Ε. ΞΑΝΘΗΣ"/>
    <x v="5"/>
  </r>
  <r>
    <x v="5406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5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7-10-01T00:00:00"/>
    <x v="0"/>
    <s v="ΔΙΕΥΘΥΝΣΗ Δ.Ε. Γ΄ ΑΘΗΝΑΣ"/>
    <x v="5"/>
  </r>
  <r>
    <x v="5407"/>
    <x v="1"/>
    <s v="ΠΕ60"/>
    <s v="ΝΗΠΙΑΓΩΓΟΙ"/>
    <m/>
    <m/>
    <s v="Γ΄"/>
    <n v="1"/>
    <n v="3229"/>
    <d v="2018-09-01T00:00:00"/>
    <s v="ΛΑΡΙΣΑΣ (Π.Ε.) 2018"/>
    <s v="ΔΙΕΥΘΥΝΣΗ Π.Ε. ΛΑΡΙΣΑΣ"/>
    <s v="ΠΕΡΙΦΕΡΕΙΑΚΗ Δ/ΝΣΗ Α/ΘΜΙΑΣ ΚΑΙ Β/ΘΜΙΑΣ ΕΚΠ/ΣΗΣ ΘΕΣΣΑΛΙΑΣ"/>
    <n v="25"/>
    <d v="2018-09-01T00:00:00"/>
    <s v="Ιδιωτικά Σχολεία"/>
    <x v="1"/>
    <s v="7311029"/>
    <s v="ΙΔΙΩΤΙΚΟ ΝΗΠΙΑΓΩΓΕΙΟ ΛΑΡΙΣΑ - ΒΑΪΟΠΟΥΛΟΥ-ΤΣΙΡΑΚΟΠΟΥΛ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7-09-29T00:00:00"/>
    <x v="1"/>
    <s v="ΔΙΕΥΘΥΝΣΗ Π.Ε. ΛΑΡΙΣΑΣ"/>
    <x v="5"/>
  </r>
  <r>
    <x v="5408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119"/>
    <s v="ΙΔΙΩΤΙΚΟ ΣΥΣΤΕΓΑΖΟΜΕΝΟ ΝΗΠΙΑΓΩΓΕΙΟ - ΘΕΟΔΩΡΟΠΟΥΛΟΥ ΓΕΩΡΓΙΑ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9-02T00:00:00"/>
    <x v="1"/>
    <s v="ΔΙΕΥΘΥΝΣΗ Π.Ε. Δ΄ ΑΘΗΝΑΣ"/>
    <x v="5"/>
  </r>
  <r>
    <x v="5409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7-06-04T00:00:00"/>
    <x v="1"/>
    <s v="ΔΙΕΥΘΥΝΣΗ Π.Ε. Γ΄ ΑΘΗΝΑΣ"/>
    <x v="5"/>
  </r>
  <r>
    <x v="5410"/>
    <x v="1"/>
    <s v="ΠΕ70"/>
    <s v="ΔΑΣΚΑΛ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4"/>
    <s v="7053018"/>
    <s v="ΙΔΙΩΤΙΚΟ ΔΗΜΟΤΙΚΟ ΑΦΟΙ ΚΑΣΣΑΒΗΤΑ Ο.Ε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7-05-18T00:00:00"/>
    <x v="1"/>
    <s v="ΔΙΕΥΘΥΝΣΗ Π.Ε. Γ΄ ΑΘΗΝΑΣ"/>
    <x v="5"/>
  </r>
  <r>
    <x v="5411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155"/>
    <s v="ΣΥΣΤΕΓΑΖΟΜΕΝΟ ΝΗΠΙΑΓΩΓΕΙΟ - Μ. ΜΑΓΓΙΝΑ - Β. ΖΟΥΚΑ Ο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4-08T00:00:00"/>
    <x v="1"/>
    <s v="ΔΙΕΥΘΥΝΣΗ Π.Ε. Β΄ ΑΘΗΝΑΣ"/>
    <x v="5"/>
  </r>
  <r>
    <x v="5412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27"/>
    <s v="ΙΔΙΩΤΙΚΟ ΣΥΣΤΕΓΑΖΟΜΕΝΟ ΝΗΠΙΑΓΩΓΕΙΟ ΒΙΛΛΑ ΑΙΜΙΛ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7-03-25T00:00:00"/>
    <x v="1"/>
    <s v="ΔΙΕΥΘΥΝΣΗ Π.Ε. Β΄ ΑΘΗΝΑΣ"/>
    <x v="5"/>
  </r>
  <r>
    <x v="5413"/>
    <x v="1"/>
    <s v="ΠΕ60"/>
    <s v="ΝΗΠΙΑΓΩΓ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135"/>
    <s v="ΙΔΙΩΤΙΚΟ ΣΥΣΤΕΓΑΖΟΜΕΝΟ ΝΗΠΙΑΓΩΓΕΙΟ - Ζ. ΧΑΤΖΗΑΝΔΡΕΟΥ - Μ. ΚΟΡΔΟΠΑΤΗ ΟΕ - ΠΡΟΤΥΠΟ ΝΗΠΙΑΓΩΓΕΙΟ -ΠΑΙΔΙΚΟΣ ΣΤΑΘΜΟΣ JUNIORS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7-03-03T00:00:00"/>
    <x v="1"/>
    <s v="ΔΙΕΥΘΥΝΣΗ Π.Ε. Δ΄ ΑΘΗΝΑΣ"/>
    <x v="5"/>
  </r>
  <r>
    <x v="5414"/>
    <x v="1"/>
    <s v="ΠΕ60"/>
    <s v="ΝΗΠΙΑΓΩΓΟΙ"/>
    <m/>
    <m/>
    <s v="Γ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089"/>
    <s v="ΑΙΚΑΤΕΡΙΝΗ ΠΑΝΗΓΥΡΑΚΗ ΚΑΙ ΣΙΑ Ο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9-15T00:00:00"/>
    <x v="1"/>
    <s v="ΔΙΕΥΘΥΝΣΗ Π.Ε. Δ΄ ΑΘΗΝΑΣ"/>
    <x v="5"/>
  </r>
  <r>
    <x v="5415"/>
    <x v="1"/>
    <s v="ΠΕ60"/>
    <s v="ΝΗΠΙΑΓΩΓΟΙ"/>
    <m/>
    <m/>
    <s v="Γ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85"/>
    <s v="ΙΔΙΩΤΙΚΟ ΝΗΠΙΑΓΩΓΕΙΟ - ΠΡΟΤΥΠΟ ΠΑΙΔΙΚΟ ΚΕΝΤΡΟ ΝΗΠΙΑΚΟΣ ΚΗΠΟΣ"/>
    <s v="Α΄ ΘΕΣΣΑΛΟΝΙΚΗΣ (Π.Ε.) 2018"/>
    <s v="ΔΙΕΥΘΥΝΣΗ Π.Ε. ΑΝΑΤ. ΘΕΣ/ΝΙΚΗΣ"/>
    <s v="ΠΕΡΙΦΕΡΕΙΑΚΗ Δ/ΝΣΗ Α/ΘΜΙΑΣ ΚΑΙ Β/ΘΜΙΑΣ ΕΚΠ/ΣΗΣ ΚΕΝΤΡΙΚΗΣ ΜΑΚΕΔΟΝΙΑΣ"/>
    <x v="3"/>
    <s v="Τοποθέτηση σε Ιδιωτική Εκπαίδευση"/>
    <d v="1976-05-18T00:00:00"/>
    <x v="1"/>
    <s v="ΔΙΕΥΘΥΝΣΗ Π.Ε. ΑΝΑΤ. ΘΕΣ/ΝΙΚΗΣ"/>
    <x v="5"/>
  </r>
  <r>
    <x v="5416"/>
    <x v="1"/>
    <s v="ΠΕ60"/>
    <s v="ΝΗΠΙΑΓΩΓΟΙ"/>
    <m/>
    <m/>
    <s v="Β΄"/>
    <n v="3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151"/>
    <s v="ΣΥΣΤΕΓΑΖΟΜΕΝΟ ΝΗΠΙΑΓΩΓΕΙΟ - ΜΑΡΙΑ ΡΕΝΤΖΕΠΗ ΚΑΙ ΣΙΑ ΕΤΕΡΟΡΡΥΘΜΟΣ ΕΤΑΙΡΕΙΑ - ΜΑΡΗ ΡΕΝΤΖΕΠ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6-02-13T00:00:00"/>
    <x v="1"/>
    <s v="ΔΙΕΥΘΥΝΣΗ Π.Ε. Δ΄ ΑΘΗΝΑΣ"/>
    <x v="5"/>
  </r>
  <r>
    <x v="5417"/>
    <x v="1"/>
    <s v="ΠΕ60"/>
    <s v="ΝΗΠΙΑΓΩΓΟΙ"/>
    <m/>
    <m/>
    <s v="Γ΄"/>
    <n v="1"/>
    <n v="1003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01"/>
    <s v="ΙΔΙΩΤΙΚΟ ΝΗΠΙΑΓΩΓΕΙΟ - ΕΥΡΩΠΑΙΚΟ ΠΡΟΤΥΠ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5-11-28T00:00:00"/>
    <x v="1"/>
    <s v="ΔΙΕΥΘΥΝΣΗ Π.Ε. Δ΄ ΑΘΗΝΑΣ"/>
    <x v="5"/>
  </r>
  <r>
    <x v="5418"/>
    <x v="1"/>
    <s v="ΠΕ60"/>
    <s v="ΝΗΠΙΑΓΩΓΟΙ"/>
    <m/>
    <m/>
    <s v="Γ΄"/>
    <n v="1"/>
    <n v="10328"/>
    <d v="2018-09-18T00:00:00"/>
    <s v="Δ΄ ΑΘΗΝΑΣ (Π.Ε.) 2018"/>
    <s v="ΔΙΕΥΘΥΝΣΗ Π.Ε. Δ΄ ΑΘΗΝΑΣ"/>
    <s v="ΠΕΡΙΦΕΡΕΙΑΚΗ Δ/ΝΣΗ Α/ΘΜΙΑΣ ΚΑΙ Β/ΘΜΙΑΣ ΕΚΠ/ΣΗΣ ΑΤΤΙΚΗΣ"/>
    <n v="25"/>
    <d v="2018-09-18T00:00:00"/>
    <s v="Ιδιωτικά Σχολεία"/>
    <x v="1"/>
    <s v="7054011"/>
    <s v="ΙΔΙΩΤΙΚΟ ΝΗΠΙΑΓΩΓΕΙΟ ΕΚΠΑΙΔΕΥΤΗΡΙΩΝ ΓΙΑΝΝΟΠΟΥΛΟΥ Α.Ε."/>
    <s v="Δ΄ ΑΘΗΝΑΣ (Π.Ε.) 2018"/>
    <s v="ΔΙΕΥΘΥΝΣΗ Π.Ε. Δ΄ ΑΘΗΝΑΣ"/>
    <s v="ΠΕΡΙΦΕΡΕΙΑΚΗ Δ/ΝΣΗ Α/ΘΜΙΑΣ ΚΑΙ Β/ΘΜΙΑΣ ΕΚΠ/ΣΗΣ ΑΤΤΙΚΗΣ"/>
    <x v="2"/>
    <s v="Τοποθέτηση σε Ιδιωτική Εκπαίδευση"/>
    <d v="1975-08-13T00:00:00"/>
    <x v="1"/>
    <s v="ΔΙΕΥΘΥΝΣΗ Π.Ε. Δ΄ ΑΘΗΝΑΣ"/>
    <x v="5"/>
  </r>
  <r>
    <x v="5419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1"/>
    <s v="7051011"/>
    <s v="ΜΟΝΤΕΣΣΟΡΙΑΝΗ ΣΧΟΛΗ ΑΘΗΝΩΝ ΜΑΡΙΑ ΓΟΥΔΕΛΗ ΑΕΕ - ΝΗΠΙΑΓΩΓΕΙΟ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07-02T00:00:00"/>
    <x v="1"/>
    <s v="ΔΙΕΥΘΥΝΣΗ Π.Ε. Α΄ ΑΘΗΝΑΣ"/>
    <x v="5"/>
  </r>
  <r>
    <x v="5420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5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5-05-01T00:00:00"/>
    <x v="0"/>
    <s v="ΔΙΕΥΘΥΝΣΗ Δ.Ε. Γ΄ ΑΘΗΝΑΣ"/>
    <x v="5"/>
  </r>
  <r>
    <x v="5421"/>
    <x v="1"/>
    <s v="ΠΕ60"/>
    <s v="ΝΗΠΙΑΓΩΓΟΙ"/>
    <m/>
    <m/>
    <s v="Γ΄"/>
    <n v="1"/>
    <s v="Φ.Ι.Α.5/25515/4-10-2016"/>
    <d v="2016-09-01T00:00:00"/>
    <s v="Α΄ ΑΝΑΤ. ΑΤΤΙΚΗΣ (Π.Ε.) 2018"/>
    <s v="ΔΙΕΥΘΥΝΣΗ Π.Ε. ΑΝΑΤΟΛΙΚΗΣ ΑΤΤΙΚΗΣ"/>
    <s v="ΠΕΡΙΦΕΡΕΙΑΚΗ Δ/ΝΣΗ Α/ΘΜΙΑΣ ΚΑΙ Β/ΘΜΙΑΣ ΕΚΠ/ΣΗΣ ΑΤΤΙΚΗΣ"/>
    <n v="25"/>
    <d v="2016-09-01T00:00:00"/>
    <s v="Ιδιωτικά Σχολεία"/>
    <x v="1"/>
    <s v="7521145"/>
    <s v="ΙΔΙΩΤΙΚΟ ΝΗΠΙΑΓΩΓΕΙΟ - ΕΛΛΗΝΟΑΓΓΛΙΚΗ ΓΝΩΣΗ ΚΑΙ ΠΑΙΔΕΙΑ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5-02-21T00:00:00"/>
    <x v="1"/>
    <s v="ΔΙΕΥΘΥΝΣΗ Π.Ε. ΑΝΑΤΟΛΙΚΗΣ ΑΤΤΙΚΗΣ"/>
    <x v="5"/>
  </r>
  <r>
    <x v="5422"/>
    <x v="1"/>
    <s v="ΠΕ60"/>
    <s v="ΝΗΠΙΑΓΩΓΟΙ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m/>
    <s v="Ιδιωτικά Σχολεία"/>
    <x v="1"/>
    <s v="7271013"/>
    <s v="ΙΔΙΩΤΙΚΟ ΝΗΠΙΑΓΩΓΕΙΟ ΠΤΟΛΕΜΑΪΔΑ - ΠΙΣΤΙΚΟΥΔΗ ΜΑΡΙΑΝΘΗ"/>
    <s v="ΚΟΖΑΝΗΣ (Π.Ε.) 2018"/>
    <s v="ΔΙΕΥΘΥΝΣΗ Π.Ε. ΚΟΖΑΝΗΣ"/>
    <s v="ΠΕΡΙΦΕΡΕΙΑΚΗ Δ/ΝΣΗ Α/ΘΜΙΑΣ ΚΑΙ Β/ΘΜΙΑΣ ΕΚΠ/ΣΗΣ ΔΥΤΙΚΗΣ ΜΑΚΕΔΟΝΙΑΣ"/>
    <x v="1"/>
    <s v="Τοποθέτηση σε Ιδιωτική Εκπαίδευση"/>
    <d v="1975-01-27T00:00:00"/>
    <x v="1"/>
    <s v="ΔΙΕΥΘΥΝΣΗ Π.Ε. ΚΟΖΑΝΗΣ"/>
    <x v="5"/>
  </r>
  <r>
    <x v="5423"/>
    <x v="1"/>
    <s v="ΠΕ60"/>
    <s v="ΝΗΠΙΑΓΩΓΟΙ"/>
    <m/>
    <m/>
    <s v="Γ΄"/>
    <n v="1"/>
    <m/>
    <m/>
    <s v="Α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1"/>
    <s v="7051027"/>
    <s v="ΙΔΙΩΤΙΚΟ ΝΗΠΙΑΓΩΓΕΙΟ «Η ΘΕΟΜΗΤΩΡ»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5-01-20T00:00:00"/>
    <x v="1"/>
    <s v="ΔΙΕΥΘΥΝΣΗ Π.Ε. Α΄ ΑΘΗΝΑΣ"/>
    <x v="5"/>
  </r>
  <r>
    <x v="5424"/>
    <x v="1"/>
    <s v="ΠΕ60"/>
    <s v="ΝΗΠΙΑΓΩΓΟΙ"/>
    <m/>
    <m/>
    <s v="Γ΄"/>
    <n v="4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17"/>
    <s v="ΙΔΙΩΤΙΚΟ ΝΗΠΙΑΓΩΓΕΙΟ - ΠΛΑΣΤΑΡΑ ΑΘΑΝΑΣΙΑ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5-01-01T00:00:00"/>
    <x v="1"/>
    <s v="ΔΙΕΥΘΥΝΣΗ Π.Ε. ΜΑΓΝΗΣΙΑΣ"/>
    <x v="5"/>
  </r>
  <r>
    <x v="5425"/>
    <x v="1"/>
    <s v="ΠΕ02"/>
    <s v="ΦΙΛΟΛΟΓΟΙ"/>
    <m/>
    <m/>
    <s v="Α΄"/>
    <n v="1"/>
    <m/>
    <m/>
    <s v="Δ΄ ΑΘΗΝΑΣ (Δ.Ε.) 2018"/>
    <s v="ΔΙΕΥΘΥΝΣΗ Δ.Ε. Δ΄ ΑΘΗΝΑΣ"/>
    <s v="ΠΕΡΙΦΕΡΕΙΑΚΗ Δ/ΝΣΗ Α/ΘΜΙΑΣ ΚΑΙ Β/ΘΜΙΑΣ ΕΚΠ/ΣΗΣ ΑΤΤΙΚΗΣ"/>
    <n v="25"/>
    <m/>
    <s v="Ιδιωτικά Σχολεία"/>
    <x v="3"/>
    <s v="0580931"/>
    <s v="ΙΔΙΩΤΙΚΟ ΗΜΕΡΗΣΙΟ ΛΥΚΕΙΟ ΕΚΠΑΙΔΕΥΤΗΡΙΩΝ ΓΙΑΝΝΟΠΟΥΛΟΥ Α.Ε."/>
    <s v="Δ΄ ΑΘΗΝΑΣ (Δ.Ε.) 2018"/>
    <s v="ΔΙΕΥΘΥΝΣΗ Δ.Ε. Δ΄ ΑΘΗΝΑΣ"/>
    <s v="ΠΕΡΙΦΕΡΕΙΑΚΗ Δ/ΝΣΗ Α/ΘΜΙΑΣ ΚΑΙ Β/ΘΜΙΑΣ ΕΚΠ/ΣΗΣ ΑΤΤΙΚΗΣ"/>
    <x v="1"/>
    <s v="Τοποθέτηση σε Ιδιωτική Εκπαίδευση"/>
    <d v="1974-11-09T00:00:00"/>
    <x v="0"/>
    <s v="ΔΙΕΥΘΥΝΣΗ Δ.Ε. Δ΄ ΑΘΗΝΑΣ"/>
    <x v="5"/>
  </r>
  <r>
    <x v="5426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07"/>
    <s v="ΙΔΙΩΤΙΚΟ ΝΗΠΙΑΓΩΓΕΙΟ ΛΑΜΙΑΣ - ΣΥΨΑ ΖΩΗ -&quot; ΟΥΡΑΝΙΟ ΤΟΞΟ&quot;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74-11-05T00:00:00"/>
    <x v="1"/>
    <s v="ΔΙΕΥΘΥΝΣΗ Π.Ε. ΦΘΙΩΤΙΔΑΣ"/>
    <x v="5"/>
  </r>
  <r>
    <x v="5427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49"/>
    <s v="ΙΔΙΩΤΙΚΟ ΝΗΠΙΑΓΩΓΕΙΟ ΠΑΝΟΡΑΜΑ - ΠΑΙΔΙΚΟΡΑΜ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9-05T00:00:00"/>
    <x v="1"/>
    <s v="ΔΙΕΥΘΥΝΣΗ Π.Ε. ΑΝΑΤ. ΘΕΣ/ΝΙΚΗΣ"/>
    <x v="5"/>
  </r>
  <r>
    <x v="5428"/>
    <x v="1"/>
    <s v="ΠΕ60"/>
    <s v="ΝΗΠΙΑΓΩΓΟΙ"/>
    <m/>
    <m/>
    <s v="Γ΄"/>
    <n v="2"/>
    <s v="6ΛΜ74653ΠΣ-ΘΝ6"/>
    <d v="2018-09-03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8-09-03T00:00:00"/>
    <s v="Ιδιωτικά Σχολεία"/>
    <x v="1"/>
    <s v="7192053"/>
    <s v="2ο ΙΔΙΩΤΙΚΟ ΣΥΣΤΕΓΑΖΟΜΕΝΟ ΝΗΠΙΑΓΩΓΕΙΟ - NEVERLAND - Η ΧΩΡΑ ΤΟΥ ΠΟΤ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4-07-20T00:00:00"/>
    <x v="1"/>
    <s v="ΔΙΕΥΘΥΝΣΗ Π.Ε. ΔΥΤ. ΘΕΣ/ΝΙΚΗΣ"/>
    <x v="5"/>
  </r>
  <r>
    <x v="5429"/>
    <x v="1"/>
    <s v="ΠΕ60"/>
    <s v="ΝΗΠΙΑΓΩΓΟΙ"/>
    <m/>
    <m/>
    <s v="Γ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33"/>
    <s v="ΙΔΙΩΤΙΚΟ ΝΗΠΙΑΓΩΓΕΙΟ - ΙΔΙΩΤΙΚΟ ΝΗΠΙΑΓΩΓΕΙΟ ΤΣΙΤΣΑ ΑΣΠΑΣΙΑ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4-06-17T00:00:00"/>
    <x v="1"/>
    <s v="ΔΙΕΥΘΥΝΣΗ Π.Ε. ΔΥΤ. ΘΕΣ/ΝΙΚΗΣ"/>
    <x v="5"/>
  </r>
  <r>
    <x v="5430"/>
    <x v="1"/>
    <s v="ΠΕ60"/>
    <s v="ΝΗΠΙΑΓΩΓ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11"/>
    <s v="ΙΔΙΩΤΙΚΟ ΝΗΠΙΑΓΩΓΕΙΟ ΓΕΩΡΓΙΑΣ ΓΙΑΝΝΑΚΟΠΟΥΛ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4-04-05T00:00:00"/>
    <x v="1"/>
    <s v="ΔΙΕΥΘΥΝΣΗ Π.Ε. ΙΩΑΝΝΙΝΩΝ"/>
    <x v="5"/>
  </r>
  <r>
    <x v="5431"/>
    <x v="1"/>
    <s v="ΠΕ60"/>
    <s v="ΝΗΠΙΑΓΩΓΟΙ"/>
    <m/>
    <m/>
    <s v="Γ΄"/>
    <n v="1"/>
    <n v="1060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173"/>
    <s v="ΙΔΙΩΤΙΚΟ ΣΥΣΤΕΓΑΖΟΜΕΝΟ ΝΗΠΙΑΓΩΓΕΙΟ - ΑΛΚΗΣΤΗ Ι.Κ.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1-23T00:00:00"/>
    <x v="1"/>
    <s v="ΔΙΕΥΘΥΝΣΗ Π.Ε. Δ΄ ΑΘΗΝΑΣ"/>
    <x v="5"/>
  </r>
  <r>
    <x v="5432"/>
    <x v="1"/>
    <s v="ΠΕ60"/>
    <s v="ΝΗΠΙΑΓΩΓΟΙ"/>
    <m/>
    <m/>
    <s v="Γ΄"/>
    <n v="1"/>
    <n v="2075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03"/>
    <s v="ΙΔΙΩΤΙΚΟ ΝΗΠΙΑΓΩΓΕΙΟ - ΣΤΑΥΡΑΚ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4-01-08T00:00:00"/>
    <x v="1"/>
    <s v="ΔΙΕΥΘΥΝΣΗ Π.Ε. Δ΄ ΑΘΗΝΑΣ"/>
    <x v="5"/>
  </r>
  <r>
    <x v="5433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13"/>
    <s v="ΙΔΙΩΤΙΚΟ ΝΗΠΙΑΓΩΓΕΙΟ ΠΥΛΑΙΑΣ - ΑΡΣΑΚΕΙΟ ΝΗΠΙΑΓΩΓΕΙΟ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1-01T00:00:00"/>
    <x v="1"/>
    <s v="ΔΙΕΥΘΥΝΣΗ Π.Ε. ΑΝΑΤ. ΘΕΣ/ΝΙΚΗΣ"/>
    <x v="5"/>
  </r>
  <r>
    <x v="5434"/>
    <x v="1"/>
    <s v="ΠΕ60"/>
    <s v="ΝΗΠΙΑΓΩΓΟΙ"/>
    <m/>
    <m/>
    <s v="Α΄"/>
    <n v="5"/>
    <n v="11273"/>
    <d v="2017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7-09-01T00:00:00"/>
    <s v="Ιδιωτικά Σχολεία"/>
    <x v="1"/>
    <s v="7192013"/>
    <s v="ΙΔΙΩΤΙΚΟ ΣΥΣΤΕΓΑΖΟΜΕΝΟ ΝΗΠΙΑΓΩΓΕΙΟ ΝΤΕΚΡΟΛΙ"/>
    <s v="Β΄ ΘΕΣΣΑΛΟΝΙΚΗΣ (Π.Ε.) 2018"/>
    <s v="ΔΙΕΥΘΥΝΣΗ Π.Ε. ΔΥΤ. ΘΕΣ/ΝΙΚΗΣ"/>
    <s v="ΠΕΡΙΦΕΡΕΙΑΚΗ Δ/ΝΣΗ Α/ΘΜΙΑΣ ΚΑΙ Β/ΘΜΙΑΣ ΕΚΠ/ΣΗΣ ΚΕΝΤΡΙΚΗΣ ΜΑΚΕΔΟΝΙΑΣ"/>
    <x v="0"/>
    <s v="Τοποθέτηση σε Ιδιωτική Εκπαίδευση"/>
    <d v="1974-01-01T00:00:00"/>
    <x v="1"/>
    <s v="ΔΙΕΥΘΥΝΣΗ Π.Ε. ΔΥΤ. ΘΕΣ/ΝΙΚΗΣ"/>
    <x v="5"/>
  </r>
  <r>
    <x v="5435"/>
    <x v="1"/>
    <s v="ΠΕ60"/>
    <s v="ΝΗΠΙΑΓΩΓΟΙ"/>
    <m/>
    <m/>
    <s v="Α΄"/>
    <n v="4"/>
    <s v="70/27-10-2011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15"/>
    <s v="ΙΔ. ΝΗΠ. ΜΑΝΙΚΑ ΑΙΚΑΤΕΡΙΝΗ - &quot;ΤΟ ΠΑΡΑΜΥΘΙ&quot;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73-11-18T00:00:00"/>
    <x v="1"/>
    <s v="ΔΙΕΥΘΥΝΣΗ Π.Ε. ΑΧΑΪΑΣ"/>
    <x v="5"/>
  </r>
  <r>
    <x v="5436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107"/>
    <s v="ΙΔΙΩΤΙΚΟ - ΙΣΟΤΙΜΟ ΝΗΠΙΑΓΩΓΕΙΟ - Β΄ ΑΡΣΑΚΕΙΟ - ΤΟΣΙΤΣΕΙΟ ΝΗΠΙΑΓΩΓ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3-11-12T00:00:00"/>
    <x v="1"/>
    <s v="ΔΙΕΥΘΥΝΣΗ Π.Ε. ΑΝΑΤΟΛΙΚΗΣ ΑΤΤΙΚΗΣ"/>
    <x v="5"/>
  </r>
  <r>
    <x v="5437"/>
    <x v="1"/>
    <s v="ΠΕ60"/>
    <s v="ΝΗΠΙΑΓΩΓΟΙ"/>
    <m/>
    <m/>
    <s v="Γ΄"/>
    <n v="1"/>
    <n v="2710"/>
    <d v="2018-09-01T00:00:00"/>
    <s v="ΤΡΙΚΑΛΩΝ (Π.Ε.) 2018"/>
    <s v="ΔΙΕΥΘΥΝΣΗ Π.Ε. ΤΡΙΚΑΛΩΝ"/>
    <s v="ΠΕΡΙΦΕΡΕΙΑΚΗ Δ/ΝΣΗ Α/ΘΜΙΑΣ ΚΑΙ Β/ΘΜΙΑΣ ΕΚΠ/ΣΗΣ ΘΕΣΣΑΛΙΑΣ"/>
    <n v="25"/>
    <d v="2018-09-01T00:00:00"/>
    <s v="Ιδιωτικά Σχολεία"/>
    <x v="1"/>
    <s v="7451001"/>
    <s v="ΙΔΙΩΤΙΚΟ ΝΗΠΙΑΓΩΓΕΙΟ ΤΡΙΚΑΛΑ - ΣΠΥΡΟΠΟΥΛΟΥ ΜΑΡΙΑ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73-09-20T00:00:00"/>
    <x v="1"/>
    <s v="ΔΙΕΥΘΥΝΣΗ Π.Ε. ΤΡΙΚΑΛΩΝ"/>
    <x v="5"/>
  </r>
  <r>
    <x v="5438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5"/>
    <s v="ΙΔΙΩΤΙΚΟ ΝΗΠΙΑΓΩΓΕΙΟ ΧΑΛΑΝΔΡΙ - ΑΛΛΗΛΟΒΟΗΘΗΤΙΚΟ ΤΑΜΕΙΟ ΠΕΡΙΘΑΛΨΗΣ ΣΥΛΛΟΓΟΥ ΥΠΑΛΛΗΛΩΝ ΤΡΑΠΕΖΑΣ ΕΛΛΑΔ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9-10T00:00:00"/>
    <x v="1"/>
    <s v="ΔΙΕΥΘΥΝΣΗ Π.Ε. Β΄ ΑΘΗΝΑΣ"/>
    <x v="5"/>
  </r>
  <r>
    <x v="5439"/>
    <x v="1"/>
    <s v="ΠΕ60"/>
    <s v="ΝΗΠΙΑΓΩΓΟΙ"/>
    <m/>
    <m/>
    <s v="Γ΄"/>
    <n v="2"/>
    <n v="231"/>
    <d v="2004-08-3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04-08-31T00:00:00"/>
    <s v="Ιδιωτικά Σχολεία"/>
    <x v="1"/>
    <s v="7192049"/>
    <s v="ΙΔΙΩΤΙΚΟ ΣΥΣΤΕΓΑΖΟΜΕΝΟ ΝΗΠΙΑΓΩΓΕΙΟ - ΜΑΛΙΓΓΑΝΗ ΑΝΑΣΤΑΣΙΑ (ΦΡΟΥΤΟΠΙΑ bebe!)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3-08-31T00:00:00"/>
    <x v="1"/>
    <s v="ΔΙΕΥΘΥΝΣΗ Π.Ε. ΔΥΤ. ΘΕΣ/ΝΙΚΗΣ"/>
    <x v="5"/>
  </r>
  <r>
    <x v="5440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25"/>
    <m/>
    <s v="Ιδιωτικά Σχολεία"/>
    <x v="1"/>
    <s v="7051011"/>
    <s v="ΜΟΝΤΕΣΣΟΡΙΑΝΗ ΣΧΟΛΗ ΑΘΗΝΩΝ ΜΑΡΙΑ ΓΟΥΔΕΛΗ ΑΕΕ - ΝΗΠΙΑΓΩΓΕΙΟ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3-08-09T00:00:00"/>
    <x v="1"/>
    <s v="ΔΙΕΥΘΥΝΣΗ Π.Ε. Α΄ ΑΘΗΝΑΣ"/>
    <x v="5"/>
  </r>
  <r>
    <x v="5441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111"/>
    <s v="ΙΔΙΩΤΙΚΟ - ΙΣΟΤΙΜΟ ΝΗΠΙΑΓΩΓΕΙΟ - Δ΄ ΑΡΣΑΚΕΙΟ - ΤΟΣΙΤΣΕΙΟ ΝΗΠΙΑΓΩΓ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73-08-01T00:00:00"/>
    <x v="1"/>
    <s v="ΔΙΕΥΘΥΝΣΗ Π.Ε. ΑΝΑΤΟΛΙΚΗΣ ΑΤΤΙΚΗΣ"/>
    <x v="5"/>
  </r>
  <r>
    <x v="5442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1"/>
    <s v="ΙΔΙΩΤΙΚΟ ΝΗΠΙΑΓΩΓΕΙΟ ΧΑΝΙΩΝ - ΙΔΙΩΤΙΚΟ ΝΗΠΙΑΓΩΓ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3-07-31T00:00:00"/>
    <x v="1"/>
    <s v="ΔΙΕΥΘΥΝΣΗ Π.Ε. ΧΑΝΙΩΝ"/>
    <x v="5"/>
  </r>
  <r>
    <x v="5443"/>
    <x v="1"/>
    <s v="ΠΕ05"/>
    <s v="ΓΑΛΛΙΚΗΣ ΦΙΛΟΛΟΓΙΑΣ"/>
    <m/>
    <m/>
    <s v="Α΄"/>
    <n v="1"/>
    <m/>
    <m/>
    <s v="Α΄ ΠΕΙΡΑΙΑ (Π.Ε.) 2018"/>
    <s v="ΔΙΕΥΘΥΝΣΗ Π.Ε. ΠΕΙΡΑΙΑ"/>
    <s v="ΠΕΡΙΦΕΡΕΙΑΚΗ Δ/ΝΣΗ Α/ΘΜΙΑΣ ΚΑΙ Β/ΘΜΙΑΣ ΕΚΠ/ΣΗΣ ΑΤΤΙΚΗΣ"/>
    <n v="25"/>
    <m/>
    <s v="Ιδιωτικά Σχολεία"/>
    <x v="4"/>
    <s v="7700025"/>
    <s v="ΔΗΜΟΤΙΚΟ ΕΛΛΗΝΟΓΑΛΛΙΚΗΣ ΣΧΟΛΗΣ &quot;JEANNE D' ARC&quot; (ΙΔΙΩΤΙΚΟ)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3-07-06T00:00:00"/>
    <x v="1"/>
    <s v="ΔΙΕΥΘΥΝΣΗ Π.Ε. ΠΕΙΡΑΙΑ"/>
    <x v="5"/>
  </r>
  <r>
    <x v="5444"/>
    <x v="0"/>
    <s v="ΠΕ02"/>
    <s v="ΦΙΛΟΛΟΓΟΙ"/>
    <m/>
    <m/>
    <s v="Α΄"/>
    <n v="1"/>
    <s v="ΒΙΨ19-ΝΝΚ"/>
    <d v="2014-01-28T00:00:00"/>
    <s v="ΚΟΡΙΝΘΙΑΣ (Δ.Ε.) 2018"/>
    <s v="ΔΙΕΥΘΥΝΣΗ Δ.Ε. ΚΟΡΙΝΘΙΑΣ"/>
    <s v="ΠΕΡΙΦΕΡΕΙΑΚΗ Δ/ΝΣΗ Α/ΘΜΙΑΣ ΚΑΙ Β/ΘΜΙΑΣ ΕΚΠ/ΣΗΣ ΠΕΛΟΠΟΝΝΗΣΟΥ"/>
    <n v="25"/>
    <d v="2016-09-01T00:00:00"/>
    <s v="Ιδιωτικά Σχολεία"/>
    <x v="2"/>
    <s v="2860001"/>
    <s v="ΙΔΙΩΤΙΚΟ ΓΥΜΝΑΣΙΟ Homo educandus - Αγωγή"/>
    <s v="ΚΟΡΙΝΘΙΑΣ (Δ.Ε.) 2018"/>
    <s v="ΔΙΕΥΘΥΝΣΗ Δ.Ε. ΚΟΡΙΝΘΙΑΣ"/>
    <s v="ΠΕΡΙΦΕΡΕΙΑΚΗ Δ/ΝΣΗ Α/ΘΜΙΑΣ ΚΑΙ Β/ΘΜΙΑΣ ΕΚΠ/ΣΗΣ ΠΕΛΟΠΟΝΝΗΣΟΥ"/>
    <x v="1"/>
    <s v="Τοποθέτηση σε Ιδιωτική Εκπαίδευση"/>
    <d v="1973-05-25T00:00:00"/>
    <x v="0"/>
    <s v="ΔΙΕΥΘΥΝΣΗ Δ.Ε. ΚΟΡΙΝΘΙΑΣ"/>
    <x v="5"/>
  </r>
  <r>
    <x v="5445"/>
    <x v="1"/>
    <s v="ΠΕ60"/>
    <s v="ΝΗΠΙΑΓΩΓΟΙ"/>
    <m/>
    <m/>
    <s v="Α΄"/>
    <n v="2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1"/>
    <s v="7053053"/>
    <s v="ΣΥΣΤΕΓΑΖΟΜΕΝΟ ΝΗΠΙΑΓΩΓΕΙΟ - ΚΟΛΕΛΗ ΑΙΜΙΛΙΑ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73-02-23T00:00:00"/>
    <x v="1"/>
    <s v="ΔΙΕΥΘΥΝΣΗ Π.Ε. Γ΄ ΑΘΗΝΑΣ"/>
    <x v="5"/>
  </r>
  <r>
    <x v="5446"/>
    <x v="1"/>
    <s v="ΠΕ60"/>
    <s v="ΝΗΠΙΑΓΩΓΟΙ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21"/>
    <s v="1ο ΙΔΙΩΤΙΚΟ ΝΗΠΙΑΓΩΓΕΙ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2-09-21T00:00:00"/>
    <x v="1"/>
    <s v="ΔΙΕΥΘΥΝΣΗ Π.Ε. ΑΝΑΤΟΛΙΚΗΣ ΑΤΤΙΚΗΣ"/>
    <x v="5"/>
  </r>
  <r>
    <x v="5447"/>
    <x v="1"/>
    <s v="ΠΕ60"/>
    <s v="ΝΗΠΙΑΓΩΓ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21"/>
    <s v="ΙΔΙΩΤΙΚΟ ΝΗΠΙΑΓΩΓΕΙΟ ΛΑΡΙΣΑ - ΙΔΙΩΤΙΚΟ ΝΗΠΙΑΓΩΓΕΙΟ ¶ΣΠΑ &amp; ΧΡΙΣΤΙΝΑ ΚΑΡΑΤΖΙ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2-08-12T00:00:00"/>
    <x v="1"/>
    <s v="ΔΙΕΥΘΥΝΣΗ Π.Ε. ΛΑΡΙΣΑΣ"/>
    <x v="5"/>
  </r>
  <r>
    <x v="5448"/>
    <x v="1"/>
    <s v="ΠΕ60"/>
    <s v="ΝΗΠΙΑΓΩΓΟΙ"/>
    <m/>
    <m/>
    <s v="Γ΄"/>
    <n v="1"/>
    <n v="178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19"/>
    <s v="ΙΔΙΩΤΙΚΟ ΝΗΠΙΑΓΩΓΕΙΟ ΣΧΟΛΗ ΞΕΝΟΠΟΥΛΟΥ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2-06-29T00:00:00"/>
    <x v="1"/>
    <s v="ΔΙΕΥΘΥΝΣΗ Π.Ε. Δ΄ ΑΘΗΝΑΣ"/>
    <x v="5"/>
  </r>
  <r>
    <x v="5449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03"/>
    <s v="ΙΔΙΩΤΙΚΟ ΝΗΠΙΑΓΩΓΕΙΟ ΛΑΜΙΑ - ΠΑΡΑΜΥΘΟΚΟΣΜΟΣ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72-05-26T00:00:00"/>
    <x v="1"/>
    <s v="ΔΙΕΥΘΥΝΣΗ Π.Ε. ΦΘΙΩΤΙΔΑΣ"/>
    <x v="5"/>
  </r>
  <r>
    <x v="5450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5"/>
    <s v="ΙΔΙΩΤΙΚΟ ΝΗΠΙΑΓΩΓΕΙΟ ΧΑΛΑΝΔΡΙ - ΑΛΛΗΛΟΒΟΗΘΗΤΙΚΟ ΤΑΜΕΙΟ ΠΕΡΙΘΑΛΨΗΣ ΣΥΛΛΟΓΟΥ ΥΠΑΛΛΗΛΩΝ ΤΡΑΠΕΖΑΣ ΕΛΛΑΔ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4-18T00:00:00"/>
    <x v="1"/>
    <s v="ΔΙΕΥΘΥΝΣΗ Π.Ε. Β΄ ΑΘΗΝΑΣ"/>
    <x v="5"/>
  </r>
  <r>
    <x v="5451"/>
    <x v="1"/>
    <s v="ΠΕ60"/>
    <s v="ΝΗΠΙΑΓΩΓΟΙ"/>
    <m/>
    <m/>
    <s v="Γ΄"/>
    <n v="1"/>
    <n v="0"/>
    <d v="2018-09-01T00:00:00"/>
    <s v="ΑΙΤΩΛΟΑΚΑΡΝΑΝΙΑΣ (Π.Ε.) 2018"/>
    <s v="ΔΙΕΥΘΥΝΣΗ Π.Ε. ΑΙΤΩΛΟΑΚΑΡΝΑΝΙΑΣ"/>
    <s v="ΠΕΡΙΦΕΡΕΙΑΚΗ Δ/ΝΣΗ Α/ΘΜΙΑΣ ΚΑΙ Β/ΘΜΙΑΣ ΕΚΠ/ΣΗΣ ΔΥΤΙΚΗΣ ΕΛΛΑΔΑΣ"/>
    <n v="25"/>
    <d v="2018-09-01T00:00:00"/>
    <s v="Ιδιωτικά Σχολεία"/>
    <x v="1"/>
    <s v="7011007"/>
    <s v="Ιδιωτικό Νηπιαγωγείο &quot;Η Κιβωτός&quot;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72-04-01T00:00:00"/>
    <x v="1"/>
    <s v="ΔΙΕΥΘΥΝΣΗ Π.Ε. ΑΙΤΩΛΟΑΚΑΡΝΑΝΙΑΣ"/>
    <x v="5"/>
  </r>
  <r>
    <x v="5452"/>
    <x v="1"/>
    <s v="ΠΕ60"/>
    <s v="ΝΗΠΙΑΓΩΓΟΙ"/>
    <m/>
    <m/>
    <s v="Γ΄"/>
    <n v="1"/>
    <n v="1"/>
    <d v="2018-09-01T00:00:00"/>
    <s v="ΛΑΡΙΣΑΣ (Π.Ε.) 2018"/>
    <s v="ΔΙΕΥΘΥΝΣΗ Π.Ε. ΛΑΡΙΣΑΣ"/>
    <s v="ΠΕΡΙΦΕΡΕΙΑΚΗ Δ/ΝΣΗ Α/ΘΜΙΑΣ ΚΑΙ Β/ΘΜΙΑΣ ΕΚΠ/ΣΗΣ ΘΕΣΣΑΛΙΑΣ"/>
    <n v="25"/>
    <d v="2018-09-01T00:00:00"/>
    <s v="Ιδιωτικά Σχολεία"/>
    <x v="1"/>
    <s v="7311005"/>
    <s v="ΙΔΙΩΤΙΚΟ ΝΗΠΙΑΓΩΓΕΙΟ ΛΑΡΙΣΑ - ΓΙΑΝΝΑΚΑΚΗ ΡΟΔΟΠ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2-02-01T00:00:00"/>
    <x v="1"/>
    <s v="ΔΙΕΥΘΥΝΣΗ Π.Ε. ΛΑΡΙΣΑΣ"/>
    <x v="5"/>
  </r>
  <r>
    <x v="5453"/>
    <x v="1"/>
    <s v="ΠΕ60"/>
    <s v="ΝΗΠΙΑΓΩΓΟΙ"/>
    <m/>
    <m/>
    <s v="Α΄"/>
    <n v="4"/>
    <s v="100/19-11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15"/>
    <s v="ΙΔ. ΝΗΠ. ΜΑΝΙΚΑ ΑΙΚΑΤΕΡΙΝΗ - &quot;ΤΟ ΠΑΡΑΜΥΘΙ&quot;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72-01-16T00:00:00"/>
    <x v="1"/>
    <s v="ΔΙΕΥΘΥΝΣΗ Π.Ε. ΑΧΑΪΑΣ"/>
    <x v="5"/>
  </r>
  <r>
    <x v="5454"/>
    <x v="1"/>
    <s v="ΠΕ60"/>
    <s v="ΝΗΠΙΑΓΩΓΟΙ"/>
    <m/>
    <m/>
    <s v="Γ΄"/>
    <n v="1"/>
    <n v="2941"/>
    <d v="2018-09-01T00:00:00"/>
    <s v="ΛΑΡΙΣΑΣ (Π.Ε.) 2018"/>
    <s v="ΔΙΕΥΘΥΝΣΗ Π.Ε. ΛΑΡΙΣΑΣ"/>
    <s v="ΠΕΡΙΦΕΡΕΙΑΚΗ Δ/ΝΣΗ Α/ΘΜΙΑΣ ΚΑΙ Β/ΘΜΙΑΣ ΕΚΠ/ΣΗΣ ΘΕΣΣΑΛΙΑΣ"/>
    <n v="25"/>
    <d v="2018-09-01T00:00:00"/>
    <s v="Ιδιωτικά Σχολεία"/>
    <x v="1"/>
    <s v="7311023"/>
    <s v="ΙΔΙΩΤΙΚΟ ΝΗΠΙΑΓΩΓΕΙΟ ΛΑΡΙΣΑ - ΙΔΙΩΤΙΚΟ ΝΗΠΙΑΓΩΓΕΙΟ ΕΛΕΝΗΣ ΣΟΛΩΜ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2-01-12T00:00:00"/>
    <x v="1"/>
    <s v="ΔΙΕΥΘΥΝΣΗ Π.Ε. ΛΑΡΙΣΑΣ"/>
    <x v="5"/>
  </r>
  <r>
    <x v="5455"/>
    <x v="1"/>
    <s v="ΠΕ60"/>
    <s v="ΝΗΠΙΑΓΩΓΟΙ"/>
    <m/>
    <m/>
    <s v="Γ΄"/>
    <n v="1"/>
    <m/>
    <m/>
    <s v="Α΄ ΚΑΒΑΛΑΣ (Π.Ε.) 2018"/>
    <s v="ΔΙΕΥΘΥΝΣΗ Π.Ε. ΚΑΒΑΛΑΣ"/>
    <s v="ΠΕΡΙΦΕΡΕΙΑΚΗ Δ/ΝΣΗ Α/ΘΜΙΑΣ ΚΑΙ Β/ΘΜΙΑΣ ΕΚΠ/ΣΗΣ ΑΝ. ΜΑΚΕΔΟΝΙΑΣ ΚΑΙ ΘΡΑΚΗΣ"/>
    <n v="25"/>
    <m/>
    <s v="Ιδιωτικά Σχολεία"/>
    <x v="1"/>
    <s v="7211001"/>
    <s v="ΙΔΙΩΤΙΚΟ ΝΗΠΙΑΓΩΓΕΙΟ ΚΩΝΣΤΑΝΤΙΝΑΣ ΘΩΜΑ"/>
    <s v="Α΄ ΚΑΒΑΛΑΣ (Π.Ε.) 2018"/>
    <s v="ΔΙΕΥΘΥΝΣΗ Π.Ε. ΚΑΒΑΛΑΣ"/>
    <s v="ΠΕΡΙΦΕΡΕΙΑΚΗ Δ/ΝΣΗ Α/ΘΜΙΑΣ ΚΑΙ Β/ΘΜΙΑΣ ΕΚΠ/ΣΗΣ ΑΝ. ΜΑΚΕΔΟΝΙΑΣ ΚΑΙ ΘΡΑΚΗΣ"/>
    <x v="1"/>
    <s v="Τοποθέτηση σε Ιδιωτική Εκπαίδευση"/>
    <d v="1971-09-27T00:00:00"/>
    <x v="1"/>
    <s v="ΔΙΕΥΘΥΝΣΗ Π.Ε. ΚΑΒΑΛΑΣ"/>
    <x v="5"/>
  </r>
  <r>
    <x v="5456"/>
    <x v="1"/>
    <s v="ΠΕ60"/>
    <s v="ΝΗΠΙΑΓΩΓ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11"/>
    <s v="ΙΔΙΩΤΙΚΟ ΝΗΠΙΑΓΩΓΕΙΟ ΕΥΟΣΜΟΣ ΘΕΣΣΑΛΟΝΙΚΗΣ - ΜΑΡΤΣΙΚΑΛΗ ΜΑΓΔΑΛΗΝΗ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71-09-25T00:00:00"/>
    <x v="1"/>
    <s v="ΔΙΕΥΘΥΝΣΗ Π.Ε. ΔΥΤ. ΘΕΣ/ΝΙΚΗΣ"/>
    <x v="5"/>
  </r>
  <r>
    <x v="5457"/>
    <x v="1"/>
    <s v="ΠΕ60"/>
    <s v="ΝΗΠΙΑΓΩΓΟΙ"/>
    <m/>
    <m/>
    <s v="Γ΄"/>
    <n v="1"/>
    <m/>
    <d v="2018-09-01T00:00:00"/>
    <s v="Α΄ ΚΕΦΑΛΛΗΝΙΑΣ (Π.Ε.) 2018"/>
    <s v="ΔΙΕΥΘΥΝΣΗ Π.Ε. ΚΕΦΑΛΛΗΝΙΑΣ"/>
    <s v="ΠΕΡΙΦΕΡΕΙΑΚΗ Δ/ΝΣΗ Α/ΘΜΙΑΣ ΚΑΙ Β/ΘΜΙΑΣ ΕΚΠ/ΣΗΣ ΙΟΝΙΩΝ ΝΗΣΩΝ"/>
    <n v="25"/>
    <d v="2018-09-01T00:00:00"/>
    <s v="Ιδιωτικά Σχολεία"/>
    <x v="1"/>
    <s v="7251001"/>
    <s v="Ιδιωτικό Συστεγαζόμενο Νηπιαγωγείο - ΒΑΛΣΑΜΟΥ ΒΑΣΙΛΙΚΗ"/>
    <s v="Α΄ ΚΕΦΑΛΛΗΝΙΑΣ (Π.Ε.) 2018"/>
    <s v="ΔΙΕΥΘΥΝΣΗ Π.Ε. ΚΕΦΑΛΛΗΝΙΑΣ"/>
    <s v="ΠΕΡΙΦΕΡΕΙΑΚΗ Δ/ΝΣΗ Α/ΘΜΙΑΣ ΚΑΙ Β/ΘΜΙΑΣ ΕΚΠ/ΣΗΣ ΙΟΝΙΩΝ ΝΗΣΩΝ"/>
    <x v="1"/>
    <s v="Τοποθέτηση σε Ιδιωτική Εκπαίδευση"/>
    <d v="1971-09-24T00:00:00"/>
    <x v="1"/>
    <s v="ΔΙΕΥΘΥΝΣΗ Π.Ε. ΚΕΦΑΛΛΗΝΙΑΣ"/>
    <x v="5"/>
  </r>
  <r>
    <x v="5458"/>
    <x v="1"/>
    <s v="ΠΕ60"/>
    <s v="ΝΗΠΙΑΓΩΓΟΙ"/>
    <m/>
    <m/>
    <s v="Α΄"/>
    <n v="1"/>
    <m/>
    <m/>
    <s v="Α΄ ΕΒΡΟΥ (Π.Ε.) 2018"/>
    <s v="ΔΙΕΥΘΥΝΣΗ Π.Ε. ΕΒΡΟΥ"/>
    <s v="ΠΕΡΙΦΕΡΕΙΑΚΗ Δ/ΝΣΗ Α/ΘΜΙΑΣ ΚΑΙ Β/ΘΜΙΑΣ ΕΚΠ/ΣΗΣ ΑΝ. ΜΑΚΕΔΟΝΙΑΣ ΚΑΙ ΘΡΑΚΗΣ"/>
    <n v="25"/>
    <m/>
    <s v="Ιδιωτικά Σχολεία"/>
    <x v="1"/>
    <s v="7111001"/>
    <s v="ΙΔΙΩΤΙΚΟ ΝΗΠΙΑΓΩΓΕΙΟ ΑΛΕΞΑΝΔΡΟΥΠΟΛΗΣ - ΙΔΙΩΤΙΚΟ ΝΗΠΙΑΓΩΓΕΙΟ ΝΙΑΡΧΕΙΟΥ ΕΚΚΛΗΣΙΑΣΤΙΚΟΥ ΙΔΡΥΜΑΤΟΣ ΒΡΕΦΩΝ ΚΑΙ ΝΗΠΙΩΝ Ο ΑΓΙΟΣ ΣΤΥΛΙΑΝΟΣ"/>
    <s v="Α΄ ΕΒΡΟΥ (Π.Ε.) 2018"/>
    <s v="ΔΙΕΥΘΥΝΣΗ Π.Ε. ΕΒΡΟΥ"/>
    <s v="ΠΕΡΙΦΕΡΕΙΑΚΗ Δ/ΝΣΗ Α/ΘΜΙΑΣ ΚΑΙ Β/ΘΜΙΑΣ ΕΚΠ/ΣΗΣ ΑΝ. ΜΑΚΕΔΟΝΙΑΣ ΚΑΙ ΘΡΑΚΗΣ"/>
    <x v="1"/>
    <s v="Τοποθέτηση σε Ιδιωτική Εκπαίδευση"/>
    <d v="1971-07-19T00:00:00"/>
    <x v="1"/>
    <s v="ΔΙΕΥΘΥΝΣΗ Π.Ε. ΕΒΡΟΥ"/>
    <x v="5"/>
  </r>
  <r>
    <x v="5459"/>
    <x v="1"/>
    <s v="ΠΕ60"/>
    <s v="ΝΗΠΙΑΓΩΓΟΙ"/>
    <m/>
    <m/>
    <s v="Α΄"/>
    <n v="1"/>
    <m/>
    <m/>
    <s v="Δ΄ ΑΘΗΝΑΣ (Π.Ε.) 2018"/>
    <s v="ΔΙΕΥΘΥΝΣΗ Π.Ε. Δ΄ ΑΘΗΝΑΣ"/>
    <s v="ΠΕΡΙΦΕΡΕΙΑΚΗ Δ/ΝΣΗ Α/ΘΜΙΑΣ ΚΑΙ Β/ΘΜΙΑΣ ΕΚΠ/ΣΗΣ ΑΤΤΙΚΗΣ"/>
    <n v="25"/>
    <m/>
    <s v="Ιδιωτικά Σχολεία"/>
    <x v="1"/>
    <s v="7054091"/>
    <s v="ΣΥΣΤΕΓΑΖΟΜΕΝΟ ΝΗΠΙΑΓΩΓΕΙΟ: &quot;ΣΥΛΛΟΓΟΣ ΓΟΝΕΩΝ &amp; ΚΗΔΕΜΟΝΩΝ ΥΠΑΛΛΗΛΩΝ ΟΑΕΔ ΑΤΤΙΚΗΣ&quot;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71-05-15T00:00:00"/>
    <x v="1"/>
    <s v="ΔΙΕΥΘΥΝΣΗ Π.Ε. Δ΄ ΑΘΗΝΑΣ"/>
    <x v="5"/>
  </r>
  <r>
    <x v="5460"/>
    <x v="1"/>
    <s v="ΠΕ60"/>
    <s v="ΝΗΠΙΑΓΩΓΟΙ"/>
    <m/>
    <m/>
    <s v="Γ΄"/>
    <n v="5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11"/>
    <s v="ΙΔΙΩΤΙΚΟ ΣΥΣΤΕΓΑΖΟΜΕΝΟ ΝΗΠΙΑΓΩΓΕΙΟ &quot;ΜΕΤΑΜΟΡΦΩΣΗ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71-05-11T00:00:00"/>
    <x v="1"/>
    <s v="ΔΙΕΥΘΥΝΣΗ Π.Ε. ΜΑΓΝΗΣΙΑΣ"/>
    <x v="5"/>
  </r>
  <r>
    <x v="5461"/>
    <x v="1"/>
    <s v="ΠΕ02"/>
    <s v="ΦΙΛΟΛΟΓΟΙ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25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1-04-26T00:00:00"/>
    <x v="0"/>
    <s v="ΔΙΕΥΘΥΝΣΗ Δ.Ε. Γ΄ ΑΘΗΝΑΣ"/>
    <x v="5"/>
  </r>
  <r>
    <x v="5462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17T00:00:00"/>
    <x v="0"/>
    <s v="ΔΙΕΥΘΥΝΣΗ Δ.Ε. Β΄ ΑΘΗΝΑΣ"/>
    <x v="5"/>
  </r>
  <r>
    <x v="5463"/>
    <x v="1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15T00:00:00"/>
    <x v="0"/>
    <s v="ΔΙΕΥΘΥΝΣΗ Δ.Ε. Β΄ ΑΘΗΝΑΣ"/>
    <x v="5"/>
  </r>
  <r>
    <x v="5464"/>
    <x v="0"/>
    <s v="ΠΕ03"/>
    <s v="ΜΑΘΗΜΑΤ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15T00:00:00"/>
    <x v="0"/>
    <s v="ΔΙΕΥΘΥΝΣΗ Δ.Ε. Β΄ ΑΘΗΝΑΣ"/>
    <x v="5"/>
  </r>
  <r>
    <x v="5465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1-03-15T00:00:00"/>
    <x v="0"/>
    <s v="ΔΙΕΥΘΥΝΣΗ Δ.Ε. Β΄ ΑΘΗΝΑΣ"/>
    <x v="5"/>
  </r>
  <r>
    <x v="5466"/>
    <x v="1"/>
    <s v="ΠΕ60"/>
    <s v="ΝΗΠΙΑΓΩΓΟΙ"/>
    <m/>
    <m/>
    <s v="Γ΄"/>
    <n v="1"/>
    <s v="Φ.17.2/449/7881/01-09-14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07"/>
    <s v="ΙΔΙΩΤΙΚΟ ΣΥΣΤΕΓΑΖΟΜΕΝΟ ΝΗΠΙΑΓΩΓΕΙΟ ΧΑΛΑΝΔΡΙ -  Μ. ΣΑΜΕΛΛΑ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71-01-03T00:00:00"/>
    <x v="1"/>
    <s v="ΔΙΕΥΘΥΝΣΗ Π.Ε. Β΄ ΑΘΗΝΑΣ"/>
    <x v="5"/>
  </r>
  <r>
    <x v="5467"/>
    <x v="1"/>
    <s v="ΠΕ60"/>
    <s v="ΝΗΠΙΑΓΩΓΟΙ"/>
    <m/>
    <m/>
    <s v="Γ΄"/>
    <n v="1"/>
    <s v="4284/18-11-2011"/>
    <d v="2018-09-01T00:00:00"/>
    <s v="ΙΩΑΝΝΙΝΩΝ (Π.Ε.) 2018"/>
    <s v="ΔΙΕΥΘΥΝΣΗ Π.Ε. ΙΩΑΝΝΙΝΩΝ"/>
    <s v="ΠΕΡΙΦΕΡΕΙΑΚΗ Δ/ΝΣΗ Α/ΘΜΙΑΣ ΚΑΙ Β/ΘΜΙΑΣ ΕΚΠ/ΣΗΣ ΗΠΕΙΡΟΥ"/>
    <n v="25"/>
    <d v="2018-09-01T00:00:00"/>
    <s v="Ιδιωτικά Σχολεία"/>
    <x v="1"/>
    <s v="7201019"/>
    <s v="ΙΔΙΩΤΙΚΟ ΝΗΠΙΑΓΩΓΕΙΟ &quot;ΤΣΙΟΥΚΡΑ Ε. - ΜΗΤΣΗ Β. Ο.Ε.''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70-11-12T00:00:00"/>
    <x v="1"/>
    <s v="ΔΙΕΥΘΥΝΣΗ Π.Ε. ΙΩΑΝΝΙΝΩΝ"/>
    <x v="5"/>
  </r>
  <r>
    <x v="5468"/>
    <x v="1"/>
    <s v="ΠΕ60"/>
    <s v="ΝΗΠΙΑΓΩΓΟΙ"/>
    <m/>
    <m/>
    <s v="Α΄"/>
    <n v="1"/>
    <m/>
    <m/>
    <s v="ΛΑΚΩΝΙΑΣ (Π.Ε.) 2018"/>
    <s v="ΔΙΕΥΘΥΝΣΗ Π.Ε. ΛΑΚΩΝΙΑΣ"/>
    <s v="ΠΕΡΙΦΕΡΕΙΑΚΗ Δ/ΝΣΗ Α/ΘΜΙΑΣ ΚΑΙ Β/ΘΜΙΑΣ ΕΚΠ/ΣΗΣ ΠΕΛΟΠΟΝΝΗΣΟΥ"/>
    <n v="25"/>
    <m/>
    <s v="Ιδιωτικά Σχολεία"/>
    <x v="1"/>
    <s v="7301005"/>
    <s v="ΙΔΙΩΤΙΚΟ ΝΗΠΙΑΓΩΓΕΙΟ ΣΠΑΡΤΗ - ΠΑΙΔΙΚΟ ΕΡΓΑΣΤΗΡΙ"/>
    <s v="ΛΑΚΩΝΙΑΣ (Π.Ε.) 2018"/>
    <s v="ΔΙΕΥΘΥΝΣΗ Π.Ε. ΛΑΚΩΝΙΑΣ"/>
    <s v="ΠΕΡΙΦΕΡΕΙΑΚΗ Δ/ΝΣΗ Α/ΘΜΙΑΣ ΚΑΙ Β/ΘΜΙΑΣ ΕΚΠ/ΣΗΣ ΠΕΛΟΠΟΝΝΗΣΟΥ"/>
    <x v="1"/>
    <s v="Τοποθέτηση σε Ιδιωτική Εκπαίδευση"/>
    <d v="1970-10-09T00:00:00"/>
    <x v="1"/>
    <s v="ΔΙΕΥΘΥΝΣΗ Π.Ε. ΛΑΚΩΝΙΑΣ"/>
    <x v="5"/>
  </r>
  <r>
    <x v="5469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05"/>
    <s v="ΙΔΙΩΤΙΚΟ ΝΗΠΙΑΓΩΓΕΙΟ ΑΓΛΑΪΑ ΜΠΑΡΜΠΑ - ΤΟ ΦΕΓΓΑΡΑΚΙ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70-10-02T00:00:00"/>
    <x v="1"/>
    <s v="ΔΙΕΥΘΥΝΣΗ Π.Ε. ΕΥΒΟΙΑΣ"/>
    <x v="5"/>
  </r>
  <r>
    <x v="5470"/>
    <x v="0"/>
    <s v="ΠΕ04.01"/>
    <s v="ΦΥΣΙΚ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09-22T00:00:00"/>
    <x v="0"/>
    <s v="ΔΙΕΥΘΥΝΣΗ Δ.Ε. Β΄ ΑΘΗΝΑΣ"/>
    <x v="5"/>
  </r>
  <r>
    <x v="5471"/>
    <x v="0"/>
    <s v="ΠΕ02"/>
    <s v="ΦΙΛ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5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70-07-19T00:00:00"/>
    <x v="0"/>
    <s v="ΔΙΕΥΘΥΝΣΗ Δ.Ε. ΙΩΑΝΝΙΝΩΝ"/>
    <x v="5"/>
  </r>
  <r>
    <x v="5472"/>
    <x v="1"/>
    <s v="ΠΕ60"/>
    <s v="ΝΗΠΙΑΓΩΓ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01"/>
    <s v="ΙΔΙΩΤΙΚΟ ΝΗΠΙΑΓΩΓΕΙΟ ΛΑΡΙΣΑ - ΕΚΠΑΙΔΕΥΤΗΡΙΑ ΜΑΙΡΗΣ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70-05-27T00:00:00"/>
    <x v="1"/>
    <s v="ΔΙΕΥΘΥΝΣΗ Π.Ε. ΛΑΡΙΣΑΣ"/>
    <x v="5"/>
  </r>
  <r>
    <x v="5473"/>
    <x v="1"/>
    <s v="ΠΕ60"/>
    <s v="ΝΗΠΙΑΓΩΓΟΙ"/>
    <m/>
    <m/>
    <s v="Α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13"/>
    <s v="ΙΔΙΩΤΙΚΟΣΥΣΤΕΓΑΖΟΜΕΝΟ ΝΗΠΙΑΓΩΓΕΙΟ ΧΑΝΙΑ - ΠΑΠΑΔΟΠΕΤΡΟΥ ΙΩΑΝΝΑ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70-03-17T00:00:00"/>
    <x v="1"/>
    <s v="ΔΙΕΥΘΥΝΣΗ Π.Ε. ΧΑΝΙΩΝ"/>
    <x v="5"/>
  </r>
  <r>
    <x v="5474"/>
    <x v="1"/>
    <s v="ΠΕ60"/>
    <s v="ΝΗΠΙΑΓΩΓΟΙ"/>
    <m/>
    <m/>
    <s v="Α΄"/>
    <n v="1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41"/>
    <s v="ΙΔΙΩΤΙΚΟ ΝΗΠΙΑΓΩΓΕΙΟ ΑΙΓΙΟ - ΕΚΚΛΗΣΙΑΣΤΙΚΟΣ ΒΡΕΦΟΝΗΠΙΑΚΟΣ ΣΤΑΘΜΟΣ ΤΑ ΑΓΓΕΛΟΥΔΑΚΙΑ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70-01-15T00:00:00"/>
    <x v="1"/>
    <s v="ΔΙΕΥΘΥΝΣΗ Π.Ε. ΑΧΑΪΑΣ"/>
    <x v="5"/>
  </r>
  <r>
    <x v="5475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185"/>
    <s v="ΙΔΙΩΤΙΚΟ ΣΥΣΤΕΓΑΖΟΜΕΝΟ ΝΗΠΙΑΓΩΓΕΙΟ - ΗΛΙΟΦΕΓΓΑΡΟ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0-01-01T00:00:00"/>
    <x v="1"/>
    <s v="ΔΙΕΥΘΥΝΣΗ Π.Ε. Β΄ ΑΘΗΝΑΣ"/>
    <x v="5"/>
  </r>
  <r>
    <x v="5476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105"/>
    <s v="ΙΔΙΩΤΙΚΟ - ΙΣΟΤΙΜΟ ΝΗΠΙΑΓΩΓΕΙΟ - Α΄ ΑΡΣΑΚΕΙΟ - ΤΟΣΙΤΣΕΙΟ ΝΗΠΙΑΓΩΓΕΙΟ ΕΚΑΛΗΣ"/>
    <s v="Β΄ ΑΝΑΤ. ΑΤΤΙΚΗΣ (Π.Ε.) 2018"/>
    <s v="ΔΙΕΥΘΥΝΣΗ Π.Ε. ΑΝΑΤΟΛΙΚΗΣ ΑΤΤΙΚΗΣ"/>
    <s v="ΠΕΡΙΦΕΡΕΙΑΚΗ Δ/ΝΣΗ Α/ΘΜΙΑΣ ΚΑΙ Β/ΘΜΙΑΣ ΕΚΠ/ΣΗΣ ΑΤΤΙΚΗΣ"/>
    <x v="3"/>
    <s v="Τοποθέτηση σε Ιδιωτική Εκπαίδευση"/>
    <d v="1969-09-27T00:00:00"/>
    <x v="1"/>
    <s v="ΔΙΕΥΘΥΝΣΗ Π.Ε. ΑΝΑΤΟΛΙΚΗΣ ΑΤΤΙΚΗΣ"/>
    <x v="5"/>
  </r>
  <r>
    <x v="5477"/>
    <x v="1"/>
    <s v="ΠΕ60"/>
    <s v="ΝΗΠΙΑΓΩΓΟΙ"/>
    <m/>
    <m/>
    <s v="Α΄"/>
    <n v="5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01"/>
    <s v="ΣΥΣΤΕΓΑΖΟΜΕΝΟ ΝΗΠΙΑΓΩΓΕΙΟ- ΚΕΝΤΡΟ ΠΡΟΣΧΟΛΙΚΗΣ ΕΚΠ/ΣΗΣ ΚΑΙ ΑΓΩΓΗΣ Μ. ΜΑΡΓΩΝΗ Κ ΣΙΑ Ο.Ε. - &quot;Η ΠΑΡΕΟΥΛΑ ΜΑΣ&quot;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9-09-10T00:00:00"/>
    <x v="1"/>
    <s v="ΔΙΕΥΘΥΝΣΗ Π.Ε. ΜΑΓΝΗΣΙΑΣ"/>
    <x v="5"/>
  </r>
  <r>
    <x v="5478"/>
    <x v="1"/>
    <s v="ΠΕ60"/>
    <s v="ΝΗΠΙΑΓΩΓ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07"/>
    <s v="ΙΔΙΩΤΙΚΟ ΝΗΠΙΑΓΩΓΕΙΟ ΑΙΓΙΟ - ΝΙΚΟΛΟΠΟΥΛΟΥ ΤΡΙΣΕΥΓΕΝΗ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69-08-13T00:00:00"/>
    <x v="1"/>
    <s v="ΔΙΕΥΘΥΝΣΗ Π.Ε. ΑΧΑΪΑΣ"/>
    <x v="5"/>
  </r>
  <r>
    <x v="5479"/>
    <x v="1"/>
    <s v="ΠΕ60"/>
    <s v="ΝΗΠΙΑΓΩΓ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01"/>
    <s v="ΙΔΙΩΤΙΚΟ ΣΥΣΤΕΓΑΖΟΜΕΝΟ ΝΗΠΙΑΓΩΓΕΙΟ - ΣΥΓΧΡΟΝΟ ΝΗΠΙΑΓΩΓΕΙΟ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9-08-08T00:00:00"/>
    <x v="1"/>
    <s v="ΔΙΕΥΘΥΝΣΗ Π.Ε. ΙΩΑΝΝΙΝΩΝ"/>
    <x v="5"/>
  </r>
  <r>
    <x v="5480"/>
    <x v="1"/>
    <s v="ΠΕ60"/>
    <s v="ΝΗΠΙΑΓΩΓ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09"/>
    <s v="ΙΔΙΩΤΙΚΟ ΝΗΠΙΑΓΩΓΕΙΟ ΜΠΑΚΟΓΙΑΝΝΗ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9-07-31T00:00:00"/>
    <x v="1"/>
    <s v="ΔΙΕΥΘΥΝΣΗ Π.Ε. ΛΑΡΙΣΑΣ"/>
    <x v="5"/>
  </r>
  <r>
    <x v="5481"/>
    <x v="1"/>
    <s v="ΠΕ60"/>
    <s v="ΝΗΠΙΑΓΩΓΟΙ"/>
    <m/>
    <m/>
    <s v="Α΄"/>
    <n v="4"/>
    <s v="1524/8-9-2010"/>
    <d v="2018-09-01T00:00:00"/>
    <s v="ΑΧΑΪΑΣ (Π.Ε.) 2018"/>
    <s v="ΔΙΕΥΘΥΝΣΗ Π.Ε. ΑΧΑΪΑΣ"/>
    <s v="ΠΕΡΙΦΕΡΕΙΑΚΗ Δ/ΝΣΗ Α/ΘΜΙΑΣ ΚΑΙ Β/ΘΜΙΑΣ ΕΚΠ/ΣΗΣ ΔΥΤΙΚΗΣ ΕΛΛΑΔΑΣ"/>
    <n v="25"/>
    <d v="2018-09-01T00:00:00"/>
    <s v="Ιδιωτικά Σχολεία"/>
    <x v="1"/>
    <s v="7061005"/>
    <s v="ΙΔΙΩΤΙΚΟ ΝΗΠΙΑΓΩΓΕΙΟ ΑΙΓΙΟ - ΔΗΜΟΠΟΥΛΟΥ ΜΑΡΙΑΝΘΗ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69-07-24T00:00:00"/>
    <x v="1"/>
    <s v="ΔΙΕΥΘΥΝΣΗ Π.Ε. ΑΧΑΪΑΣ"/>
    <x v="5"/>
  </r>
  <r>
    <x v="5482"/>
    <x v="1"/>
    <s v="ΠΕ60"/>
    <s v="ΝΗΠΙΑΓΩΓΟΙ"/>
    <m/>
    <m/>
    <s v="Γ΄"/>
    <n v="1"/>
    <m/>
    <m/>
    <s v="ΑΙΤΩΛΟΑΚΑΡΝΑΝΙΑΣ (Π.Ε.) 2018"/>
    <s v="ΔΙΕΥΘΥΝΣΗ Π.Ε. ΑΙΤΩΛΟΑΚΑΡΝΑΝΙΑΣ"/>
    <s v="ΠΕΡΙΦΕΡΕΙΑΚΗ Δ/ΝΣΗ Α/ΘΜΙΑΣ ΚΑΙ Β/ΘΜΙΑΣ ΕΚΠ/ΣΗΣ ΔΥΤΙΚΗΣ ΕΛΛΑΔΑΣ"/>
    <n v="25"/>
    <m/>
    <s v="Ιδιωτικά Σχολεία"/>
    <x v="1"/>
    <s v="7011001"/>
    <s v="ΙΔΙΩΤΙΚΟ ΝΗΠΙΑΓΩΓΕΙΟ - ΜΑΓΙΚΟΣ ΠΑΡΑΜΥΘΕΝΙΟΣ ΚΟΣΜΟΣ"/>
    <s v="ΑΙΤΩΛΟΑΚΑΡΝΑΝΙΑΣ (Π.Ε.) 2018"/>
    <s v="ΔΙΕΥΘΥΝΣΗ Π.Ε. ΑΙΤΩΛΟΑΚΑΡΝΑΝΙΑΣ"/>
    <s v="ΠΕΡΙΦΕΡΕΙΑΚΗ Δ/ΝΣΗ Α/ΘΜΙΑΣ ΚΑΙ Β/ΘΜΙΑΣ ΕΚΠ/ΣΗΣ ΔΥΤΙΚΗΣ ΕΛΛΑΔΑΣ"/>
    <x v="1"/>
    <s v="Τοποθέτηση σε Ιδιωτική Εκπαίδευση"/>
    <d v="1969-07-23T00:00:00"/>
    <x v="1"/>
    <s v="ΔΙΕΥΘΥΝΣΗ Π.Ε. ΑΙΤΩΛΟΑΚΑΡΝΑΝΙΑΣ"/>
    <x v="5"/>
  </r>
  <r>
    <x v="5483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49"/>
    <s v="ΙΔΙΩΤΙΚΟ ΝΗΠΙΑΓΩΓΕΙΟ ΠΑΝΟΡΑΜΑ - ΠΑΙΔΙΚΟΡΑΜΑ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7-13T00:00:00"/>
    <x v="1"/>
    <s v="ΔΙΕΥΘΥΝΣΗ Π.Ε. ΑΝΑΤ. ΘΕΣ/ΝΙΚΗΣ"/>
    <x v="5"/>
  </r>
  <r>
    <x v="5484"/>
    <x v="0"/>
    <s v="ΠΕ60"/>
    <s v="ΝΗΠΙΑΓΩΓΟΙ"/>
    <m/>
    <m/>
    <s v="Γ΄"/>
    <n v="1"/>
    <s v="1722/24-03-2015"/>
    <d v="2018-09-01T00:00:00"/>
    <s v="ΑΡΤΑΣ (Π.Ε.) 2018"/>
    <s v="ΔΙΕΥΘΥΝΣΗ Π.Ε. ΑΡΤΑΣ"/>
    <s v="ΠΕΡΙΦΕΡΕΙΑΚΗ Δ/ΝΣΗ Α/ΘΜΙΑΣ ΚΑΙ Β/ΘΜΙΑΣ ΕΚΠ/ΣΗΣ ΗΠΕΙΡΟΥ"/>
    <n v="25"/>
    <d v="2018-09-01T00:00:00"/>
    <s v="Ιδιωτικά Σχολεία"/>
    <x v="1"/>
    <s v="7041003"/>
    <s v="ΙΔΙΩΤΙΚΟ ΝΗΠΙΑΓΩΓΕΙΟ ΝΙΚΗΦΟΡΟΥ ΠΑΠΑΧΡΗΣΤΟΥ"/>
    <s v="ΑΡΤΑΣ (Π.Ε.) 2018"/>
    <s v="ΔΙΕΥΘΥΝΣΗ Π.Ε. ΑΡΤΑΣ"/>
    <s v="ΠΕΡΙΦΕΡΕΙΑΚΗ Δ/ΝΣΗ Α/ΘΜΙΑΣ ΚΑΙ Β/ΘΜΙΑΣ ΕΚΠ/ΣΗΣ ΗΠΕΙΡΟΥ"/>
    <x v="3"/>
    <s v="Τοποθέτηση σε Ιδιωτική Εκπαίδευση"/>
    <d v="1969-06-19T00:00:00"/>
    <x v="1"/>
    <s v="ΔΙΕΥΘΥΝΣΗ Π.Ε. ΑΡΤΑΣ"/>
    <x v="5"/>
  </r>
  <r>
    <x v="5485"/>
    <x v="1"/>
    <s v="ΠΕ60"/>
    <s v="ΝΗΠΙΑΓΩΓΟΙ"/>
    <m/>
    <m/>
    <s v="Γ΄"/>
    <n v="1"/>
    <n v="187770"/>
    <d v="2018-09-01T00:00:00"/>
    <s v="ΑΡΤΑΣ (Π.Ε.) 2018"/>
    <s v="ΔΙΕΥΘΥΝΣΗ Π.Ε. ΑΡΤΑΣ"/>
    <s v="ΠΕΡΙΦΕΡΕΙΑΚΗ Δ/ΝΣΗ Α/ΘΜΙΑΣ ΚΑΙ Β/ΘΜΙΑΣ ΕΚΠ/ΣΗΣ ΗΠΕΙΡΟΥ"/>
    <n v="25"/>
    <d v="2018-09-01T00:00:00"/>
    <s v="Ιδιωτικά Σχολεία"/>
    <x v="1"/>
    <s v="7041007"/>
    <s v="ΙΔΙΩΤΙΚΟ ΝΗΠΙΑΓΩΓΕΙΟ ΑΡΤΑ - Θ. ΜΠΟΖΙΟΥ ΚΑΙ Σ.Ι.Α. Ο.Ε."/>
    <s v="ΑΡΤΑΣ (Π.Ε.) 2018"/>
    <s v="ΔΙΕΥΘΥΝΣΗ Π.Ε. ΑΡΤΑΣ"/>
    <s v="ΠΕΡΙΦΕΡΕΙΑΚΗ Δ/ΝΣΗ Α/ΘΜΙΑΣ ΚΑΙ Β/ΘΜΙΑΣ ΕΚΠ/ΣΗΣ ΗΠΕΙΡΟΥ"/>
    <x v="3"/>
    <s v="Τοποθέτηση σε Ιδιωτική Εκπαίδευση"/>
    <d v="1969-05-26T00:00:00"/>
    <x v="1"/>
    <s v="ΔΙΕΥΘΥΝΣΗ Π.Ε. ΑΡΤΑΣ"/>
    <x v="5"/>
  </r>
  <r>
    <x v="5486"/>
    <x v="1"/>
    <s v="ΠΕ60"/>
    <s v="ΝΗΠΙΑΓΩΓΟΙ"/>
    <m/>
    <m/>
    <s v="Γ΄"/>
    <n v="1"/>
    <n v="12312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8-09-01T00:00:00"/>
    <s v="Ιδιωτικά Σχολεία"/>
    <x v="1"/>
    <s v="7192045"/>
    <s v="ΙΔΙΩΤΙΚΟ ΝΗΠΙΑΓΩΓΕΙΟ ΣΤ.ΚΥΡΙΑΚΟΥ-Ε.ΒΛΑΧΟΔΗΜΟΥ ΟΕ-FAIRYLAND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9-04-16T00:00:00"/>
    <x v="1"/>
    <s v="ΔΙΕΥΘΥΝΣΗ Π.Ε. ΔΥΤ. ΘΕΣ/ΝΙΚΗΣ"/>
    <x v="5"/>
  </r>
  <r>
    <x v="5487"/>
    <x v="1"/>
    <s v="ΠΕ60"/>
    <s v="ΝΗΠΙΑΓΩΓΟΙ"/>
    <m/>
    <m/>
    <s v="Α΄"/>
    <n v="1"/>
    <m/>
    <d v="2009-09-02T00:00:00"/>
    <s v="ΗΜΑΘΙΑΣ (Π.Ε.) 2018"/>
    <s v="ΔΙΕΥΘΥΝΣΗ Π.Ε. ΗΜΑΘΙΑΣ"/>
    <s v="ΠΕΡΙΦΕΡΕΙΑΚΗ Δ/ΝΣΗ Α/ΘΜΙΑΣ ΚΑΙ Β/ΘΜΙΑΣ ΕΚΠ/ΣΗΣ ΚΕΝΤΡΙΚΗΣ ΜΑΚΕΔΟΝΙΑΣ"/>
    <n v="25"/>
    <d v="2009-09-02T00:00:00"/>
    <s v="Ιδιωτικά Σχολεία"/>
    <x v="1"/>
    <s v="7161007"/>
    <s v="ΙΔΙΩΤΙΚΟ ΝΗΠΙΑΓΩΓΕΙΟ ΒΕΡΟΙΑ - Α. ΛΑΖΟΓΛΟΥ ΚΑΙ ΣΙΑ Ο.Ε."/>
    <s v="ΗΜΑΘΙΑΣ (Π.Ε.) 2018"/>
    <s v="ΔΙΕΥΘΥΝΣΗ Π.Ε. ΗΜΑΘΙΑΣ"/>
    <s v="ΠΕΡΙΦΕΡΕΙΑΚΗ Δ/ΝΣΗ Α/ΘΜΙΑΣ ΚΑΙ Β/ΘΜΙΑΣ ΕΚΠ/ΣΗΣ ΚΕΝΤΡΙΚΗΣ ΜΑΚΕΔΟΝΙΑΣ"/>
    <x v="1"/>
    <s v="Τοποθέτηση σε Ιδιωτική Εκπαίδευση"/>
    <d v="1969-03-07T00:00:00"/>
    <x v="1"/>
    <s v="ΔΙΕΥΘΥΝΣΗ Π.Ε. ΗΜΑΘΙΑΣ"/>
    <x v="5"/>
  </r>
  <r>
    <x v="5488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63"/>
    <s v="1ο ΙΔΙΩΤΙΚΟ ΝΗΠΙΑΓΩΓΕΙΟ ΚΗΦΙΣΙΑ - ΜΠΕΝΑΚΕΙΟ ΠΑΙΔΙΚΟ ΙΔΡΥΜΑ ΚΗΦΙΣ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9-02-16T00:00:00"/>
    <x v="1"/>
    <s v="ΔΙΕΥΘΥΝΣΗ Π.Ε. Β΄ ΑΘΗΝΑΣ"/>
    <x v="5"/>
  </r>
  <r>
    <x v="5489"/>
    <x v="1"/>
    <s v="ΠΕ60"/>
    <s v="ΝΗΠΙΑΓΩΓΟΙ"/>
    <m/>
    <m/>
    <s v="Γ΄"/>
    <n v="1"/>
    <m/>
    <m/>
    <s v="ΙΩΑΝΝΙΝΩΝ (Π.Ε.) 2018"/>
    <s v="ΔΙΕΥΘΥΝΣΗ Π.Ε. ΙΩΑΝΝΙΝΩΝ"/>
    <s v="ΠΕΡΙΦΕΡΕΙΑΚΗ Δ/ΝΣΗ Α/ΘΜΙΑΣ ΚΑΙ Β/ΘΜΙΑΣ ΕΚΠ/ΣΗΣ ΗΠΕΙΡΟΥ"/>
    <n v="25"/>
    <m/>
    <s v="Ιδιωτικά Σχολεία"/>
    <x v="1"/>
    <s v="7201001"/>
    <s v="ΙΔΙΩΤΙΚΟ ΣΥΣΤΕΓΑΖΟΜΕΝΟ ΝΗΠΙΑΓΩΓΕΙΟ - ΣΥΓΧΡΟΝΟ ΝΗΠΙΑΓΩΓΕΙΟ"/>
    <s v="ΙΩΑΝΝΙΝΩΝ (Π.Ε.) 2018"/>
    <s v="ΔΙΕΥΘΥΝΣΗ Π.Ε. ΙΩΑΝΝΙΝΩΝ"/>
    <s v="ΠΕΡΙΦΕΡΕΙΑΚΗ Δ/ΝΣΗ Α/ΘΜΙΑΣ ΚΑΙ Β/ΘΜΙΑΣ ΕΚΠ/ΣΗΣ ΗΠΕΙΡΟΥ"/>
    <x v="3"/>
    <s v="Τοποθέτηση σε Ιδιωτική Εκπαίδευση"/>
    <d v="1969-02-01T00:00:00"/>
    <x v="1"/>
    <s v="ΔΙΕΥΘΥΝΣΗ Π.Ε. ΙΩΑΝΝΙΝΩΝ"/>
    <x v="5"/>
  </r>
  <r>
    <x v="5490"/>
    <x v="1"/>
    <s v="ΠΕ60"/>
    <s v="ΝΗΠΙΑΓΩΓΟΙ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m/>
    <s v="Ιδιωτικά Σχολεία"/>
    <x v="1"/>
    <s v="7271003"/>
    <s v="ΙΔΙΩΤΙΚΟ ΝΗΠΙΑΓΩΓΕΙΟ ΚΟΖΑΝΗ - Α-ΜΠΕ-ΜΠΑ-ΜΠΛΟΜ"/>
    <s v="ΚΟΖΑΝΗΣ (Π.Ε.) 2018"/>
    <s v="ΔΙΕΥΘΥΝΣΗ Π.Ε. ΚΟΖΑΝΗΣ"/>
    <s v="ΠΕΡΙΦΕΡΕΙΑΚΗ Δ/ΝΣΗ Α/ΘΜΙΑΣ ΚΑΙ Β/ΘΜΙΑΣ ΕΚΠ/ΣΗΣ ΔΥΤΙΚΗΣ ΜΑΚΕΔΟΝΙΑΣ"/>
    <x v="1"/>
    <s v="Τοποθέτηση σε Ιδιωτική Εκπαίδευση"/>
    <d v="1969-01-01T00:00:00"/>
    <x v="1"/>
    <s v="ΔΙΕΥΘΥΝΣΗ Π.Ε. ΚΟΖΑΝΗΣ"/>
    <x v="5"/>
  </r>
  <r>
    <x v="5491"/>
    <x v="1"/>
    <s v="ΠΕ60"/>
    <s v="ΝΗΠΙΑΓΩΓΟΙ"/>
    <m/>
    <m/>
    <s v="Γ΄"/>
    <n v="3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09"/>
    <s v="ΣΥΣΤΕΓΑΖΟΜΕΝΟ ΝΗΠΙΑΓΩΓΕΙΟ - BABYLAND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9-01-01T00:00:00"/>
    <x v="1"/>
    <s v="ΔΙΕΥΘΥΝΣΗ Π.Ε. ΜΑΓΝΗΣΙΑΣ"/>
    <x v="5"/>
  </r>
  <r>
    <x v="5492"/>
    <x v="1"/>
    <s v="ΠΕ60"/>
    <s v="ΝΗΠΙΑΓΩΓ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07"/>
    <s v="ΙΔΙΩΤΙΚΟ ΝΗΠΙΑΓΩΓΕΙΟ ΛΑΡΙΣΑ - ΙΔ ΝΗΠΙΑΓΩΓΕΙΟ ΣΧΟΛΗ ΚΑΡΑΒΑΝΑ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8-12-11T00:00:00"/>
    <x v="1"/>
    <s v="ΔΙΕΥΘΥΝΣΗ Π.Ε. ΛΑΡΙΣΑΣ"/>
    <x v="5"/>
  </r>
  <r>
    <x v="5493"/>
    <x v="1"/>
    <s v="ΠΕ60"/>
    <s v="ΝΗΠΙΑΓΩΓΟΙ"/>
    <m/>
    <m/>
    <s v="Γ΄"/>
    <n v="1"/>
    <n v="3183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91"/>
    <s v="ΣΟΥΖΑΝ ΤΖΟΝΣΟΝ ΜΟΝΟΠΡΟΣΩΠΗ ΙΚ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12-01T00:00:00"/>
    <x v="1"/>
    <s v="ΔΙΕΥΘΥΝΣΗ Π.Ε. Β΄ ΑΘΗΝΑΣ"/>
    <x v="5"/>
  </r>
  <r>
    <x v="5494"/>
    <x v="1"/>
    <s v="ΠΕ60"/>
    <s v="ΝΗΠΙΑΓΩΓΟΙ"/>
    <m/>
    <m/>
    <s v="Γ΄"/>
    <n v="1"/>
    <n v="2766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3"/>
    <s v="ΙΔΙΩΤΙΚΟ ΝΗΠΙΑΓΩΓΕΙΟ ΠΑΛΑΙΟ ΦΑΛΗΡΟ - ΝΕΑ ΕΚΠΑΙΔΕΥΤΗΡΙΑ Γ ΜΑΛΛΙΑΡΑ ΝΗΠΙΑΓΩΓ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8-10-18T00:00:00"/>
    <x v="1"/>
    <s v="ΔΙΕΥΘΥΝΣΗ Π.Ε. Δ΄ ΑΘΗΝΑΣ"/>
    <x v="5"/>
  </r>
  <r>
    <x v="5495"/>
    <x v="1"/>
    <s v="ΠΕ60"/>
    <s v="ΝΗΠΙΑΓΩΓΟΙ"/>
    <m/>
    <m/>
    <s v="Α΄"/>
    <n v="1"/>
    <m/>
    <m/>
    <s v="ΔΥΤ. ΑΤΤΙΚΗΣ (Π.Ε.) 2018"/>
    <s v="ΔΙΕΥΘΥΝΣΗ Π.Ε. ΔΥΤΙΚΗΣ ΑΤΤΙΚΗΣ"/>
    <s v="ΠΕΡΙΦΕΡΕΙΑΚΗ Δ/ΝΣΗ Α/ΘΜΙΑΣ ΚΑΙ Β/ΘΜΙΑΣ ΕΚΠ/ΣΗΣ ΑΤΤΙΚΗΣ"/>
    <n v="25"/>
    <m/>
    <s v="Ιδιωτικά Σχολεία"/>
    <x v="1"/>
    <s v="7531003"/>
    <s v="ΙΔΙΩΤΙΚΟ ΝΗΠΙΑΓΩΓΕΙΟ ΕΛΕΥΣΙΝΑ - ΤΟ ΣΠΙΤΑΚΙ ΤΗΣ ΣΟΚΟΛΑΤΑΣ"/>
    <s v="ΔΥΤ. ΑΤΤΙΚΗΣ (Π.Ε.) 2018"/>
    <s v="ΔΙΕΥΘΥΝΣΗ Π.Ε. ΔΥΤΙΚΗΣ ΑΤΤΙΚΗΣ"/>
    <s v="ΠΕΡΙΦΕΡΕΙΑΚΗ Δ/ΝΣΗ Α/ΘΜΙΑΣ ΚΑΙ Β/ΘΜΙΑΣ ΕΚΠ/ΣΗΣ ΑΤΤΙΚΗΣ"/>
    <x v="1"/>
    <s v="Τοποθέτηση σε Ιδιωτική Εκπαίδευση"/>
    <d v="1968-10-13T00:00:00"/>
    <x v="1"/>
    <s v="ΔΙΕΥΘΥΝΣΗ Π.Ε. ΔΥΤΙΚΗΣ ΑΤΤΙΚΗΣ"/>
    <x v="5"/>
  </r>
  <r>
    <x v="5496"/>
    <x v="0"/>
    <s v="ΠΕ03"/>
    <s v="ΜΑΘΗΜΑΤΙΚ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5"/>
    <m/>
    <s v="Ιδιωτικά Σχολεία"/>
    <x v="2"/>
    <s v="2080025"/>
    <s v="ΙΔΙΩΤΙΚΟ ΓΥΜΝΑΣΙΟ ΙΩΑΝΝΙΝΑ - ΔΩΔΩΝΑΙΑ ΕΚΠΑΙΔΕΥΤΗΡΙΑ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8-08-28T00:00:00"/>
    <x v="0"/>
    <s v="ΔΙΕΥΘΥΝΣΗ Δ.Ε. ΙΩΑΝΝΙΝΩΝ"/>
    <x v="5"/>
  </r>
  <r>
    <x v="5497"/>
    <x v="1"/>
    <s v="ΠΕ60"/>
    <s v="ΝΗΠΙΑΓΩΓΟΙ"/>
    <m/>
    <m/>
    <s v="Α΄"/>
    <n v="1"/>
    <m/>
    <m/>
    <s v="ΠΙΕΡΙΑΣ (Π.Ε.) 2018"/>
    <s v="ΔΙΕΥΘΥΝΣΗ Π.Ε. ΠΙΕΡΙΑΣ"/>
    <s v="ΠΕΡΙΦΕΡΕΙΑΚΗ Δ/ΝΣΗ Α/ΘΜΙΑΣ ΚΑΙ Β/ΘΜΙΑΣ ΕΚΠ/ΣΗΣ ΚΕΝΤΡΙΚΗΣ ΜΑΚΕΔΟΝΙΑΣ"/>
    <n v="25"/>
    <m/>
    <s v="Ιδιωτικά Σχολεία"/>
    <x v="1"/>
    <s v="7391009"/>
    <s v="Ιδιωτικό Συστεγαζόμενο Νηπιαγωγείο - ΑΣΤΕΡΑΚΙΑ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68-08-20T00:00:00"/>
    <x v="1"/>
    <s v="ΔΙΕΥΘΥΝΣΗ Π.Ε. ΠΙΕΡΙΑΣ"/>
    <x v="5"/>
  </r>
  <r>
    <x v="5498"/>
    <x v="1"/>
    <s v="ΠΕ60"/>
    <s v="ΝΗΠΙΑΓΩΓΟΙ"/>
    <m/>
    <m/>
    <s v="Γ΄"/>
    <n v="1"/>
    <n v="9415"/>
    <d v="2018-09-01T00:00:00"/>
    <s v="ΛΑΡΙΣΑΣ (Π.Ε.) 2018"/>
    <s v="ΔΙΕΥΘΥΝΣΗ Π.Ε. ΛΑΡΙΣΑΣ"/>
    <s v="ΠΕΡΙΦΕΡΕΙΑΚΗ Δ/ΝΣΗ Α/ΘΜΙΑΣ ΚΑΙ Β/ΘΜΙΑΣ ΕΚΠ/ΣΗΣ ΘΕΣΣΑΛΙΑΣ"/>
    <n v="25"/>
    <d v="2018-09-01T00:00:00"/>
    <s v="Ιδιωτικά Σχολεία"/>
    <x v="1"/>
    <s v="7311007"/>
    <s v="ΙΔΙΩΤΙΚΟ ΝΗΠΙΑΓΩΓΕΙΟ ΛΑΡΙΣΑ - ΙΔ ΝΗΠΙΑΓΩΓΕΙΟ ΣΧΟΛΗ ΚΑΡΑΒΑΝΑ"/>
    <s v="ΛΑΡΙΣΑΣ (Π.Ε.) 2018"/>
    <s v="ΔΙΕΥΘΥΝΣΗ Π.Ε. ΛΑΡΙΣΑΣ"/>
    <s v="ΠΕΡΙΦΕΡΕΙΑΚΗ Δ/ΝΣΗ Α/ΘΜΙΑΣ ΚΑΙ Β/ΘΜΙΑΣ ΕΚΠ/ΣΗΣ ΘΕΣΣΑΛΙΑΣ"/>
    <x v="0"/>
    <s v="Τοποθέτηση σε Ιδιωτική Εκπαίδευση"/>
    <d v="1968-08-15T00:00:00"/>
    <x v="1"/>
    <s v="ΔΙΕΥΘΥΝΣΗ Π.Ε. ΛΑΡΙΣΑΣ"/>
    <x v="5"/>
  </r>
  <r>
    <x v="5499"/>
    <x v="1"/>
    <s v="ΠΕ60"/>
    <s v="ΝΗΠΙΑΓΩΓΟΙ"/>
    <m/>
    <m/>
    <s v="Γ΄"/>
    <n v="1"/>
    <s v="4341/3-12-2010"/>
    <d v="2018-09-01T00:00:00"/>
    <s v="ΙΩΑΝΝΙΝΩΝ (Π.Ε.) 2018"/>
    <s v="ΔΙΕΥΘΥΝΣΗ Π.Ε. ΙΩΑΝΝΙΝΩΝ"/>
    <s v="ΠΕΡΙΦΕΡΕΙΑΚΗ Δ/ΝΣΗ Α/ΘΜΙΑΣ ΚΑΙ Β/ΘΜΙΑΣ ΕΚΠ/ΣΗΣ ΗΠΕΙΡΟΥ"/>
    <n v="25"/>
    <d v="2018-09-01T00:00:00"/>
    <s v="Ιδιωτικά Σχολεία"/>
    <x v="1"/>
    <s v="7201013"/>
    <s v="ΙΔΙΩΤΙΚΟ ΝΗΠΙΑΓΩΓΕΙΟ - ΙΔΙΩΤΙΚΟ Ν/ΓΕΙΟ ΟΛΓΑΣ ΝΤΟΤΗ-ΟΙΚΟΝΟΜΟΥ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8-08-11T00:00:00"/>
    <x v="1"/>
    <s v="ΔΙΕΥΘΥΝΣΗ Π.Ε. ΙΩΑΝΝΙΝΩΝ"/>
    <x v="5"/>
  </r>
  <r>
    <x v="5500"/>
    <x v="1"/>
    <s v="ΠΕ60"/>
    <s v="ΝΗΠΙΑΓΩΓΟΙ"/>
    <m/>
    <m/>
    <s v="Α΄"/>
    <n v="1"/>
    <m/>
    <m/>
    <s v="ΚΟΖΑΝΗΣ (Π.Ε.) 2018"/>
    <s v="ΔΙΕΥΘΥΝΣΗ Π.Ε. ΚΟΖΑΝΗΣ"/>
    <s v="ΠΕΡΙΦΕΡΕΙΑΚΗ Δ/ΝΣΗ Α/ΘΜΙΑΣ ΚΑΙ Β/ΘΜΙΑΣ ΕΚΠ/ΣΗΣ ΔΥΤΙΚΗΣ ΜΑΚΕΔΟΝΙΑΣ"/>
    <n v="25"/>
    <m/>
    <s v="Ιδιωτικά Σχολεία"/>
    <x v="1"/>
    <s v="7271001"/>
    <s v="ΙΔΙΩΤΙΚΟ ΝΗΠΙΑΓΩΓΕΙΟ ΚΡΟΚΟΣ ΚΟΖΑΝΗΣ - ΛΙΛΙΠΟΥΠΟΛΗ"/>
    <s v="ΚΟΖΑΝΗΣ (Π.Ε.) 2018"/>
    <s v="ΔΙΕΥΘΥΝΣΗ Π.Ε. ΚΟΖΑΝΗΣ"/>
    <s v="ΠΕΡΙΦΕΡΕΙΑΚΗ Δ/ΝΣΗ Α/ΘΜΙΑΣ ΚΑΙ Β/ΘΜΙΑΣ ΕΚΠ/ΣΗΣ ΔΥΤΙΚΗΣ ΜΑΚΕΔΟΝΙΑΣ"/>
    <x v="1"/>
    <s v="Τοποθέτηση σε Ιδιωτική Εκπαίδευση"/>
    <d v="1968-08-05T00:00:00"/>
    <x v="1"/>
    <s v="ΔΙΕΥΘΥΝΣΗ Π.Ε. ΚΟΖΑΝΗΣ"/>
    <x v="5"/>
  </r>
  <r>
    <x v="5501"/>
    <x v="1"/>
    <s v="ΠΕ60"/>
    <s v="ΝΗΠΙΑΓΩΓΟΙ"/>
    <m/>
    <m/>
    <s v="Α΄"/>
    <n v="4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31"/>
    <s v="ΙΔΙΩΤΙΚΟ ΝΗΠΙΑΓΩΓΕΙΟ ΜΕΣΑΤΙΔΑ ΑΧΑΪΑΣ - ΙΔ. ΝΗΠ. ΣΚΟΥΡΑΣ ΠΑΥΛΟΣ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68-08-02T00:00:00"/>
    <x v="1"/>
    <s v="ΔΙΕΥΘΥΝΣΗ Π.Ε. ΑΧΑΪΑΣ"/>
    <x v="5"/>
  </r>
  <r>
    <x v="5502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3"/>
    <s v="ΙΔΙΩΤΙΚΟ ΝΗΠΙΑΓΩΓΕΙΟ ΒΡΙΛΗΣΣΙΑ - ΕΛΛΗΝΟΓΕΡΜΑΝΙΚΟΣ ΕΚΠΑΙΔΕΥΤΙΚΟΣ ΣΥΛΛΟΓΟ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7-25T00:00:00"/>
    <x v="1"/>
    <s v="ΔΙΕΥΘΥΝΣΗ Π.Ε. Β΄ ΑΘΗΝΑΣ"/>
    <x v="5"/>
  </r>
  <r>
    <x v="5503"/>
    <x v="1"/>
    <s v="ΠΕ60"/>
    <s v="ΝΗΠΙΑΓΩΓΟΙ"/>
    <m/>
    <m/>
    <s v="Γ΄"/>
    <n v="1"/>
    <n v="3900"/>
    <d v="2018-09-01T00:00:00"/>
    <s v="ΜΕΣΣΗΝΙΑΣ (Π.Ε.) 2018"/>
    <s v="ΔΙΕΥΘΥΝΣΗ Π.Ε. ΜΕΣΣΗΝΙΑΣ"/>
    <s v="ΠΕΡΙΦΕΡΕΙΑΚΗ Δ/ΝΣΗ Α/ΘΜΙΑΣ ΚΑΙ Β/ΘΜΙΑΣ ΕΚΠ/ΣΗΣ ΠΕΛΟΠΟΝΝΗΣΟΥ"/>
    <n v="25"/>
    <d v="2018-09-01T00:00:00"/>
    <s v="Ιδιωτικά Σχολεία"/>
    <x v="1"/>
    <s v="7361007"/>
    <s v="ΙΔΙΩΤΙΚΟ 1/ΘΕΣΙΟ ΝΗΠ/ΓΕΙΟ &quot;ΠΑΙΧΝΙΔΟΥΠΟΛΗ&quot; (Γ. ΧΡΟΝΟΠΟΥΛΟΥ - Ε. ΝΙΚΟΛΑΚΕΑ Ο.Ε.)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68-06-20T00:00:00"/>
    <x v="1"/>
    <s v="ΔΙΕΥΘΥΝΣΗ Π.Ε. ΜΕΣΣΗΝΙΑΣ"/>
    <x v="5"/>
  </r>
  <r>
    <x v="5504"/>
    <x v="1"/>
    <s v="ΠΕ60"/>
    <s v="ΝΗΠΙΑΓΩΓΟΙ"/>
    <m/>
    <m/>
    <s v="Γ΄"/>
    <n v="1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17"/>
    <s v="ΙΔΙΩΤΙΚΟ ΝΗΠΙΑΓΩΓΕΙΟ ΡΙΟ ΠΑΤΡΩΝ - ΙΔ. ΝΗΠ. ΧΡΙΣΤΟΠΟΥΛΟΥ ΕΛΕΝΗ-ΕΙΡΗΝΗ-ΝΑΥΤΙΛΟΣ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68-06-08T00:00:00"/>
    <x v="1"/>
    <s v="ΔΙΕΥΘΥΝΣΗ Π.Ε. ΑΧΑΪΑΣ"/>
    <x v="5"/>
  </r>
  <r>
    <x v="5505"/>
    <x v="0"/>
    <s v="ΠΕ60"/>
    <s v="ΝΗΠΙΑΓΩΓΟΙ"/>
    <m/>
    <m/>
    <s v="Α΄"/>
    <n v="1"/>
    <m/>
    <m/>
    <s v="ΚΑΡΔΙΤΣΑΣ (Π.Ε.) 2018"/>
    <s v="ΔΙΕΥΘΥΝΣΗ Π.Ε. ΚΑΡΔΙΤΣΑΣ"/>
    <s v="ΠΕΡΙΦΕΡΕΙΑΚΗ Δ/ΝΣΗ Α/ΘΜΙΑΣ ΚΑΙ Β/ΘΜΙΑΣ ΕΚΠ/ΣΗΣ ΘΕΣΣΑΛΙΑΣ"/>
    <n v="25"/>
    <m/>
    <s v="Ιδιωτικά Σχολεία"/>
    <x v="1"/>
    <s v="7221003"/>
    <s v="ΙΔΙΩΤΙΚΟ ΝΗΠΙΑΓΩΓΕΙΟ ΚΑΡΔΙΤΣΑ - ΙΔΙΩΤΙΚΟ ΝΗΠΙΑΓΩΓΕΙΟ ΣΠΥΡΙΔΩΝΑ ΣΑΚΕΛΛΑΡΟΠΟΥΛΟΥ"/>
    <s v="ΚΑΡΔΙΤΣΑΣ (Π.Ε.) 2018"/>
    <s v="ΔΙΕΥΘΥΝΣΗ Π.Ε. ΚΑΡΔΙΤΣΑΣ"/>
    <s v="ΠΕΡΙΦΕΡΕΙΑΚΗ Δ/ΝΣΗ Α/ΘΜΙΑΣ ΚΑΙ Β/ΘΜΙΑΣ ΕΚΠ/ΣΗΣ ΘΕΣΣΑΛΙΑΣ"/>
    <x v="1"/>
    <s v="Τοποθέτηση σε Ιδιωτική Εκπαίδευση"/>
    <d v="1968-06-08T00:00:00"/>
    <x v="1"/>
    <s v="ΔΙΕΥΘΥΝΣΗ Π.Ε. ΚΑΡΔΙΤΣΑΣ"/>
    <x v="5"/>
  </r>
  <r>
    <x v="5506"/>
    <x v="1"/>
    <s v="ΠΕ60"/>
    <s v="ΝΗΠΙΑΓΩΓΟΙ"/>
    <m/>
    <m/>
    <s v="Γ΄"/>
    <n v="1"/>
    <s v="Φ. 17.2/289/10431/2-10-2017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41"/>
    <s v="ΙΔΙΩΤΙΚΟ ΝΗΠΙΑΓΩΓΕΙΟ ΕΛΛΗΝΟΓΑΛΛΙΚΗΣ ΣΧΟΛΗΣ ΟΥΡΣΟΥΛΙ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8-05-28T00:00:00"/>
    <x v="1"/>
    <s v="ΔΙΕΥΘΥΝΣΗ Π.Ε. Β΄ ΑΘΗΝΑΣ"/>
    <x v="5"/>
  </r>
  <r>
    <x v="5507"/>
    <x v="1"/>
    <s v="ΠΕ60"/>
    <s v="ΝΗΠΙΑΓΩΓΟΙ"/>
    <m/>
    <m/>
    <s v="Γ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01"/>
    <s v="ΙΔΙΩΤΙΚΟ ΝΗΠΙΑΓΩΓΕΙΟ ΛΑΡΙΣΑ - ΕΚΠΑΙΔΕΥΤΗΡΙΑ ΜΑΙΡΗΣ ΡΑΠΤ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8-03-22T00:00:00"/>
    <x v="1"/>
    <s v="ΔΙΕΥΘΥΝΣΗ Π.Ε. ΛΑΡΙΣΑΣ"/>
    <x v="5"/>
  </r>
  <r>
    <x v="5508"/>
    <x v="1"/>
    <s v="ΠΕ60"/>
    <s v="ΝΗΠΙΑΓΩΓΟΙ"/>
    <m/>
    <m/>
    <s v="Γ΄"/>
    <n v="1"/>
    <m/>
    <m/>
    <s v="ΠΡΕΒΕΖΑΣ (Π.Ε.) 2018"/>
    <s v="ΔΙΕΥΘΥΝΣΗ Π.Ε. ΠΡΕΒΕΖΑΣ"/>
    <s v="ΠΕΡΙΦΕΡΕΙΑΚΗ Δ/ΝΣΗ Α/ΘΜΙΑΣ ΚΑΙ Β/ΘΜΙΑΣ ΕΚΠ/ΣΗΣ ΗΠΕΙΡΟΥ"/>
    <n v="25"/>
    <m/>
    <s v="Ιδιωτικά Σχολεία"/>
    <x v="1"/>
    <s v="7401003"/>
    <s v="ΙΔΙΩΤΙΚΟ ΝΗΠΙΑΓΩΓΕΙΟ - ΚΛΗΡΟΔΟΤΗΜΑ ΣΠΥΡΙΔΩΝΟΣ ΚΑΡΑΜΑΝΗ"/>
    <s v="ΠΡΕΒΕΖΑΣ (Π.Ε.) 2018"/>
    <s v="ΔΙΕΥΘΥΝΣΗ Π.Ε. ΠΡΕΒΕΖΑΣ"/>
    <s v="ΠΕΡΙΦΕΡΕΙΑΚΗ Δ/ΝΣΗ Α/ΘΜΙΑΣ ΚΑΙ Β/ΘΜΙΑΣ ΕΚΠ/ΣΗΣ ΗΠΕΙΡΟΥ"/>
    <x v="1"/>
    <s v="Τοποθέτηση σε Ιδιωτική Εκπαίδευση"/>
    <d v="1968-02-26T00:00:00"/>
    <x v="1"/>
    <s v="ΔΙΕΥΘΥΝΣΗ Π.Ε. ΠΡΕΒΕΖΑΣ"/>
    <x v="5"/>
  </r>
  <r>
    <x v="5509"/>
    <x v="1"/>
    <s v="ΠΕ60"/>
    <s v="ΝΗΠΙΑΓΩΓΟΙ"/>
    <m/>
    <m/>
    <s v="Γ΄"/>
    <n v="1"/>
    <n v="5876"/>
    <d v="2018-09-21T00:00:00"/>
    <s v="ΗΛΕΙΑΣ (Π.Ε.) 2018"/>
    <s v="ΔΙΕΥΘΥΝΣΗ Π.Ε. ΗΛΕΙΑΣ"/>
    <s v="ΠΕΡΙΦΕΡΕΙΑΚΗ Δ/ΝΣΗ Α/ΘΜΙΑΣ ΚΑΙ Β/ΘΜΙΑΣ ΕΚΠ/ΣΗΣ ΔΥΤΙΚΗΣ ΕΛΛΑΔΑΣ"/>
    <n v="25"/>
    <d v="2018-09-21T00:00:00"/>
    <s v="Ιδιωτικά Σχολεία"/>
    <x v="1"/>
    <s v="7151001"/>
    <s v="ΙΔΙΩΤΙΚΟ ΝΗΠΙΑΓΩΓΕΙΟ ΠΥΡΓΟΣ ΗΛΕΙΑΣ - ΜΙΚΡΟΚΟΣΜΟΣ"/>
    <s v="ΗΛΕΙΑΣ (Π.Ε.) 2018"/>
    <s v="ΔΙΕΥΘΥΝΣΗ Π.Ε. ΗΛΕΙΑΣ"/>
    <s v="ΠΕΡΙΦΕΡΕΙΑΚΗ Δ/ΝΣΗ Α/ΘΜΙΑΣ ΚΑΙ Β/ΘΜΙΑΣ ΕΚΠ/ΣΗΣ ΔΥΤΙΚΗΣ ΕΛΛΑΔΑΣ"/>
    <x v="1"/>
    <s v="Τοποθέτηση σε Ιδιωτική Εκπαίδευση"/>
    <d v="1967-11-23T00:00:00"/>
    <x v="1"/>
    <s v="ΔΙΕΥΘΥΝΣΗ Π.Ε. ΗΛΕΙΑΣ"/>
    <x v="5"/>
  </r>
  <r>
    <x v="5510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05"/>
    <s v="ΠΡΟΤΥΠΟ ΠΑΙΔΑΓΩΓΙΚΟ ΚΕΝΤΡΟ ΠΡΟΣΧΟΛΙΚΗΣ ΗΛΙΚΙΑΣ - ΜΕΛΩΔΙ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67-11-18T00:00:00"/>
    <x v="1"/>
    <s v="ΔΙΕΥΘΥΝΣΗ Π.Ε. ΦΘΙΩΤΙΔΑΣ"/>
    <x v="5"/>
  </r>
  <r>
    <x v="5511"/>
    <x v="1"/>
    <s v="ΠΕ60"/>
    <s v="ΝΗΠΙΑΓΩΓΟΙ"/>
    <m/>
    <m/>
    <s v="Γ΄"/>
    <n v="1"/>
    <n v="1060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5"/>
    <s v="ΙΔΙΩΤΙΚΟ ΝΗΠΙΑΓΩΓΕΙΟ ΑΛΙΜΟΣ - ΙΔΙΩΤΙΚΟ ΝΗΠΙΑΓΩΓΕΙΟ ΓΕΝΝΑΔΙΟΣ ΕΚΠΑΙΔΕΥΤΙΚΗ Κ.ΖΩΗ ΑΕ"/>
    <s v="Δ΄ ΑΘΗΝΑΣ (Π.Ε.) 2018"/>
    <s v="ΔΙΕΥΘΥΝΣΗ Π.Ε. Δ΄ ΑΘΗΝΑΣ"/>
    <s v="ΠΕΡΙΦΕΡΕΙΑΚΗ Δ/ΝΣΗ Α/ΘΜΙΑΣ ΚΑΙ Β/ΘΜΙΑΣ ΕΚΠ/ΣΗΣ ΑΤΤΙΚΗΣ"/>
    <x v="0"/>
    <s v="Τοποθέτηση σε Ιδιωτική Εκπαίδευση"/>
    <d v="1967-10-24T00:00:00"/>
    <x v="1"/>
    <s v="ΔΙΕΥΘΥΝΣΗ Π.Ε. Δ΄ ΑΘΗΝΑΣ"/>
    <x v="5"/>
  </r>
  <r>
    <x v="5512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05"/>
    <s v="ΙΔΙΩΤΙΚΟ ΝΗΠΙΑΓΩΓΕΙΟ ΠΑΛΑΙΟ ΨΥΧΙΚΟ - ΝΗΠΙΑΓΩΓΕΙΟ ΙΣΡΑΗΛΙΤΙΚΗΣ ΚΟΙΝΟΤΗΤΑΣ ΑΘΗΝΩ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8-06T00:00:00"/>
    <x v="1"/>
    <s v="ΔΙΕΥΘΥΝΣΗ Π.Ε. Β΄ ΑΘΗΝΑΣ"/>
    <x v="5"/>
  </r>
  <r>
    <x v="5513"/>
    <x v="1"/>
    <s v="ΠΕ60"/>
    <s v="ΝΗΠΙΑΓΩΓ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39"/>
    <s v="ΙΔΙΩΤΙΚΟ ΣΥΣΤΕΓΑΖΟΜΕΝΟ ΝΗΠΙΑΓΩΓΕΙΟ - ΓΚΟΚΑ ΒΑΣΙΛΙΚΗ (ΤΟ ΡΟΔΙ)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7-07-20T00:00:00"/>
    <x v="1"/>
    <s v="ΔΙΕΥΘΥΝΣΗ Π.Ε. ΔΥΤ. ΘΕΣ/ΝΙΚΗΣ"/>
    <x v="5"/>
  </r>
  <r>
    <x v="5514"/>
    <x v="1"/>
    <s v="ΠΕ60"/>
    <s v="ΝΗΠΙΑΓΩΓΟΙ"/>
    <m/>
    <m/>
    <s v="Α΄"/>
    <n v="4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07"/>
    <s v="ΙΔΙΩΤΙΚΟ ΝΗΠΙΑΓΩΓΕΙΟ ΩΡΑΙΟΚΑΣΤΡΟ - Ο ΜΙΚΡΟΣ ΜΑΕΣΤΡΟΣ - ΤΣΙΤΙΡΙΔΗΣ ΝΙΚΟΛΑΟΣ ΚΑΙ ΣΙΑ Ο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7-07-13T00:00:00"/>
    <x v="1"/>
    <s v="ΔΙΕΥΘΥΝΣΗ Π.Ε. ΔΥΤ. ΘΕΣ/ΝΙΚΗΣ"/>
    <x v="5"/>
  </r>
  <r>
    <x v="5515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75"/>
    <s v="ΙΔΙΩΤΙΚΟ ΝΗΠΙΑΓΩΓΕΙΟ - &quot;ΑΓΙΟΣ ΙΩΣΗΦ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7-06-06T00:00:00"/>
    <x v="1"/>
    <s v="ΔΙΕΥΘΥΝΣΗ Π.Ε. Β΄ ΑΘΗΝΑΣ"/>
    <x v="5"/>
  </r>
  <r>
    <x v="5516"/>
    <x v="1"/>
    <s v="ΠΕ60"/>
    <s v="ΝΗΠΙΑΓΩΓΟΙ"/>
    <m/>
    <m/>
    <s v="Γ΄"/>
    <n v="1"/>
    <n v="2802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67"/>
    <s v="ΙΔΙΩΤΙΚΟ ΣΥΣΤΕΓΑΖΟΜΕΝΟ ΝΗΠΙΑΓΩΓΕΙΟ ΓΙΑΝΝΟΥΔΑΚΟΣ ΔΗΜ. ΚΑΙ ΕΛΕΝΗ Ο.Ε.-ΦΩΤΕΙΝΗ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7-06-05T00:00:00"/>
    <x v="1"/>
    <s v="ΔΙΕΥΘΥΝΣΗ Π.Ε. Δ΄ ΑΘΗΝΑΣ"/>
    <x v="5"/>
  </r>
  <r>
    <x v="5517"/>
    <x v="1"/>
    <s v="ΠΕ60"/>
    <s v="ΝΗΠΙΑΓΩΓΟΙ"/>
    <m/>
    <m/>
    <s v="Α΄"/>
    <n v="6"/>
    <m/>
    <m/>
    <s v="Α΄ ΜΑΓΝΗΣΙΑΣ (Π.Ε.) 2018"/>
    <s v="ΔΙΕΥΘΥΝΣΗ Π.Ε. ΜΑΓΝΗΣΙΑΣ"/>
    <s v="ΠΕΡΙΦΕΡΕΙΑΚΗ Δ/ΝΣΗ Α/ΘΜΙΑΣ ΚΑΙ Β/ΘΜΙΑΣ ΕΚΠ/ΣΗΣ ΘΕΣΣΑΛΙΑΣ"/>
    <n v="25"/>
    <m/>
    <s v="Ιδιωτικά Σχολεία"/>
    <x v="1"/>
    <s v="7351005"/>
    <s v="ΙΔΙΩΤΙΚΟ ΝΗΠΙΑΓΩΓΕΙΟ ΒΟΛΟΣ - ΚΑΡΑΪΣΚΟΥ ΣΤΑΥΡΟΥΛΑ"/>
    <s v="Α΄ ΜΑΓΝΗΣΙΑΣ (Π.Ε.) 2018"/>
    <s v="ΔΙΕΥΘΥΝΣΗ Π.Ε. ΜΑΓΝΗΣΙΑΣ"/>
    <s v="ΠΕΡΙΦΕΡΕΙΑΚΗ Δ/ΝΣΗ Α/ΘΜΙΑΣ ΚΑΙ Β/ΘΜΙΑΣ ΕΚΠ/ΣΗΣ ΘΕΣΣΑΛΙΑΣ"/>
    <x v="1"/>
    <s v="Τοποθέτηση σε Ιδιωτική Εκπαίδευση"/>
    <d v="1967-05-08T00:00:00"/>
    <x v="1"/>
    <s v="ΔΙΕΥΘΥΝΣΗ Π.Ε. ΜΑΓΝΗΣΙΑΣ"/>
    <x v="5"/>
  </r>
  <r>
    <x v="5518"/>
    <x v="1"/>
    <s v="ΠΕ60"/>
    <s v="ΝΗΠΙΑΓΩΓΟΙ"/>
    <m/>
    <m/>
    <s v="Α΄"/>
    <n v="1"/>
    <m/>
    <m/>
    <s v="Α΄ ΕΥΒΟΙΑΣ (Π.Ε.) 2018"/>
    <s v="ΔΙΕΥΘΥΝΣΗ Π.Ε. ΕΥΒΟΙΑΣ"/>
    <s v="ΠΕΡΙΦΕΡΕΙΑΚΗ Δ/ΝΣΗ Α/ΘΜΙΑΣ ΚΑΙ Β/ΘΜΙΑΣ ΕΚΠ/ΣΗΣ ΣΤΕΡΕΑΣ ΕΛΛΑΔΑΣ"/>
    <n v="25"/>
    <m/>
    <s v="Ιδιωτικά Σχολεία"/>
    <x v="1"/>
    <s v="7121007"/>
    <s v="ΣΥΛΛΟΓΟΣ ΓΟΝΕΩΝ ΠΑΙΔΙΩΝ ΤΟΥ Β΄ ΒΡΕΦΙΚΟΥ ΠΑΙΔΙΚΟΥ ΣΤΑΘΜΟΥ &amp; ΝΗΠ/ΓΕΙΟΥ ΧΑΛΚΙΔΑΣ 1ο ΝΗΠ/ΓΕΙΟ"/>
    <s v="Α΄ ΕΥΒΟΙΑΣ (Π.Ε.) 2018"/>
    <s v="ΔΙΕΥΘΥΝΣΗ Π.Ε. ΕΥΒΟΙΑΣ"/>
    <s v="ΠΕΡΙΦΕΡΕΙΑΚΗ Δ/ΝΣΗ Α/ΘΜΙΑΣ ΚΑΙ Β/ΘΜΙΑΣ ΕΚΠ/ΣΗΣ ΣΤΕΡΕΑΣ ΕΛΛΑΔΑΣ"/>
    <x v="1"/>
    <s v="Τοποθέτηση σε Ιδιωτική Εκπαίδευση"/>
    <d v="1967-05-05T00:00:00"/>
    <x v="1"/>
    <s v="ΔΙΕΥΘΥΝΣΗ Π.Ε. ΕΥΒΟΙΑΣ"/>
    <x v="5"/>
  </r>
  <r>
    <x v="5519"/>
    <x v="1"/>
    <s v="ΠΕ60"/>
    <s v="ΝΗΠΙΑΓΩΓΟΙ"/>
    <m/>
    <m/>
    <s v="Γ΄"/>
    <n v="1"/>
    <n v="3899"/>
    <d v="2018-09-01T00:00:00"/>
    <s v="ΜΕΣΣΗΝΙΑΣ (Π.Ε.) 2018"/>
    <s v="ΔΙΕΥΘΥΝΣΗ Π.Ε. ΜΕΣΣΗΝΙΑΣ"/>
    <s v="ΠΕΡΙΦΕΡΕΙΑΚΗ Δ/ΝΣΗ Α/ΘΜΙΑΣ ΚΑΙ Β/ΘΜΙΑΣ ΕΚΠ/ΣΗΣ ΠΕΛΟΠΟΝΝΗΣΟΥ"/>
    <n v="25"/>
    <d v="2018-09-01T00:00:00"/>
    <s v="Ιδιωτικά Σχολεία"/>
    <x v="1"/>
    <s v="7361005"/>
    <s v="ΙΔΙΩΤΙΚΟ 1/ΘΕΣΙΟ ΝΗΠ/ΓΕΙΟ ΕΛΕΝΗ Ν. ΠΕΦΑΝΗ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67-03-26T00:00:00"/>
    <x v="1"/>
    <s v="ΔΙΕΥΘΥΝΣΗ Π.Ε. ΜΕΣΣΗΝΙΑΣ"/>
    <x v="5"/>
  </r>
  <r>
    <x v="5520"/>
    <x v="1"/>
    <s v="ΠΕ60"/>
    <s v="ΝΗΠΙΑΓΩΓΟΙ"/>
    <m/>
    <m/>
    <s v="Α΄"/>
    <n v="1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29"/>
    <s v="ΙΔΙΩΤΙΚΟ ΝΗΠΙΑΓΩΓΕΙΟ ΠΑΤΡΑ ΜΑΡΙΑ ΑΝΤΩΝΙΑΔΗ ΜΟΝΟΠΡΟΣΩΠΗ ΕΠΕ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67-03-21T00:00:00"/>
    <x v="1"/>
    <s v="ΔΙΕΥΘΥΝΣΗ Π.Ε. ΑΧΑΪΑΣ"/>
    <x v="5"/>
  </r>
  <r>
    <x v="5521"/>
    <x v="1"/>
    <s v="ΠΕ60"/>
    <s v="ΝΗΠΙΑΓΩΓΟΙ"/>
    <m/>
    <m/>
    <s v="Α΄"/>
    <n v="1"/>
    <m/>
    <m/>
    <s v="ΔΡΑΜΑΣ (Π.Ε.) 2018"/>
    <s v="ΔΙΕΥΘΥΝΣΗ Π.Ε. ΔΡΑΜΑΣ"/>
    <s v="ΠΕΡΙΦΕΡΕΙΑΚΗ Δ/ΝΣΗ Α/ΘΜΙΑΣ ΚΑΙ Β/ΘΜΙΑΣ ΕΚΠ/ΣΗΣ ΑΝ. ΜΑΚΕΔΟΝΙΑΣ ΚΑΙ ΘΡΑΚΗΣ"/>
    <n v="25"/>
    <m/>
    <s v="Ιδιωτικά Σχολεία"/>
    <x v="1"/>
    <s v="7091001"/>
    <s v="ΙΔΙΩΤΙΚΟ ΝΗΠΙΑΓΩΓΕΙΟ ΔΡΑΜΑ - ΚΥΡΓΕΛΑΝΗ ΚΥΡΙΑΚΟΥΛΑΣ"/>
    <s v="ΔΡΑΜΑΣ (Π.Ε.) 2018"/>
    <s v="ΔΙΕΥΘΥΝΣΗ Π.Ε. ΔΡΑΜΑΣ"/>
    <s v="ΠΕΡΙΦΕΡΕΙΑΚΗ Δ/ΝΣΗ Α/ΘΜΙΑΣ ΚΑΙ Β/ΘΜΙΑΣ ΕΚΠ/ΣΗΣ ΑΝ. ΜΑΚΕΔΟΝΙΑΣ ΚΑΙ ΘΡΑΚΗΣ"/>
    <x v="1"/>
    <s v="Τοποθέτηση σε Ιδιωτική Εκπαίδευση"/>
    <d v="1967-03-08T00:00:00"/>
    <x v="1"/>
    <s v="ΔΙΕΥΘΥΝΣΗ Π.Ε. ΔΡΑΜΑΣ"/>
    <x v="5"/>
  </r>
  <r>
    <x v="5522"/>
    <x v="1"/>
    <s v="ΠΕ60"/>
    <s v="ΝΗΠΙΑΓΩΓΟΙ"/>
    <m/>
    <m/>
    <s v="Β΄"/>
    <n v="2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37"/>
    <s v="ΙΔΙΩΤΙΚΟ ΝΗΠΙΑΓΩΓΕΙΟ ΤΟΥΣΤΣΟΓΛΟΥ ΑΦΡΟΔΙΤΗ (ΠΟΡΤΟΚΑΛΟΚΗΠΟΣ)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7-02-13T00:00:00"/>
    <x v="1"/>
    <s v="ΔΙΕΥΘΥΝΣΗ Π.Ε. ΔΥΤ. ΘΕΣ/ΝΙΚΗΣ"/>
    <x v="5"/>
  </r>
  <r>
    <x v="5523"/>
    <x v="1"/>
    <s v="ΠΕ60"/>
    <s v="ΝΗΠΙΑΓΩΓΟΙ"/>
    <m/>
    <m/>
    <s v="Γ΄"/>
    <n v="1"/>
    <n v="55"/>
    <d v="2018-09-01T00:00:00"/>
    <s v="ΑΡΓΟΛΙΔΑΣ (Π.Ε.) 2018"/>
    <s v="ΔΙΕΥΘΥΝΣΗ Π.Ε. ΑΡΓΟΛΙΔΑΣ"/>
    <s v="ΠΕΡΙΦΕΡΕΙΑΚΗ Δ/ΝΣΗ Α/ΘΜΙΑΣ ΚΑΙ Β/ΘΜΙΑΣ ΕΚΠ/ΣΗΣ ΠΕΛΟΠΟΝΝΗΣΟΥ"/>
    <n v="25"/>
    <d v="2018-09-01T00:00:00"/>
    <s v="Ιδιωτικά Σχολεία"/>
    <x v="1"/>
    <s v="7021001"/>
    <s v="ΙΔΙΩΤΙΚΟ ΝΗΠΙΑΓΩΓΕΙΟ ΑΡΙΑ ΝΑΥΠΛΙΟΥ - ΙΔ. ΝΗΠΙΑΓΩΓΕΙΟ ΠΑΛΑΤΑΚΙ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d v="1967-02-08T00:00:00"/>
    <x v="1"/>
    <s v="ΔΙΕΥΘΥΝΣΗ Π.Ε. ΑΡΓΟΛΙΔΑΣ"/>
    <x v="5"/>
  </r>
  <r>
    <x v="5524"/>
    <x v="1"/>
    <s v="ΠΕ60"/>
    <s v="ΝΗΠΙΑΓΩΓΟΙ"/>
    <m/>
    <m/>
    <s v="Α΄"/>
    <n v="1"/>
    <m/>
    <m/>
    <s v="ΦΘΙΩΤΙΔΑΣ (Π.Ε.) 2018"/>
    <s v="ΔΙΕΥΘΥΝΣΗ Π.Ε. ΦΘΙΩΤΙΔΑΣ"/>
    <s v="ΠΕΡΙΦΕΡΕΙΑΚΗ Δ/ΝΣΗ Α/ΘΜΙΑΣ ΚΑΙ Β/ΘΜΙΑΣ ΕΚΠ/ΣΗΣ ΣΤΕΡΕΑΣ ΕΛΛΑΔΑΣ"/>
    <n v="25"/>
    <m/>
    <s v="Ιδιωτικά Σχολεία"/>
    <x v="1"/>
    <s v="7461015"/>
    <s v="ΙΔΙΩΤΙΚΟ ΝΗΠΙΑΓΩΓΕΙΟ ΛΑΜΙΑ - ΜΕΛΙΣΣΑΚΙΑ"/>
    <s v="ΦΘΙΩΤΙΔΑΣ (Π.Ε.) 2018"/>
    <s v="ΔΙΕΥΘΥΝΣΗ Π.Ε. ΦΘΙΩΤΙΔΑΣ"/>
    <s v="ΠΕΡΙΦΕΡΕΙΑΚΗ Δ/ΝΣΗ Α/ΘΜΙΑΣ ΚΑΙ Β/ΘΜΙΑΣ ΕΚΠ/ΣΗΣ ΣΤΕΡΕΑΣ ΕΛΛΑΔΑΣ"/>
    <x v="1"/>
    <s v="Τοποθέτηση σε Ιδιωτική Εκπαίδευση"/>
    <d v="1966-10-08T00:00:00"/>
    <x v="1"/>
    <s v="ΔΙΕΥΘΥΝΣΗ Π.Ε. ΦΘΙΩΤΙΔΑΣ"/>
    <x v="5"/>
  </r>
  <r>
    <x v="5525"/>
    <x v="1"/>
    <s v="ΠΕ05"/>
    <s v="ΓΑΛΛΙΚΗΣ ΦΙΛΟΛΟΓΙΑΣ"/>
    <m/>
    <m/>
    <s v="Γ΄"/>
    <n v="1"/>
    <m/>
    <m/>
    <s v="Δ΄ ΑΘΗΝΑΣ (Δ.Ε.) 2018"/>
    <s v="ΔΙΕΥΘΥΝΣΗ Δ.Ε. Δ΄ ΑΘΗΝΑΣ"/>
    <s v="ΠΕΡΙΦΕΡΕΙΑΚΗ Δ/ΝΣΗ Α/ΘΜΙΑΣ ΚΑΙ Β/ΘΜΙΑΣ ΕΚΠ/ΣΗΣ ΑΤΤΙΚΗΣ"/>
    <n v="25"/>
    <m/>
    <s v="Ιδιωτικά Σχολεία"/>
    <x v="4"/>
    <s v="7054012"/>
    <s v="ΕΚΠΑΙΔΕΥΤΗΡΙΑ Γ. ΖΩΗ - ΙΔΙΩΤΙΚO ΔΗΜΟΤΙΚO ΣΧΟΛ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6-09-30T00:00:00"/>
    <x v="0"/>
    <s v="ΔΙΕΥΘΥΝΣΗ Δ.Ε. Δ΄ ΑΘΗΝΑΣ"/>
    <x v="5"/>
  </r>
  <r>
    <x v="5526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13"/>
    <s v="ΙΔΙΩΤΙΚΟ ΝΗΠΙΑΓΩΓΕΙΟ ΠΥΛΑΙΑΣ - ΑΡΣΑΚΕΙΟ ΝΗΠΙΑΓΩΓΕΙΟ ΘΕΣΣΑΛΟΝΙΚΗΣ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6-08-01T00:00:00"/>
    <x v="1"/>
    <s v="ΔΙΕΥΘΥΝΣΗ Π.Ε. ΑΝΑΤ. ΘΕΣ/ΝΙΚΗΣ"/>
    <x v="5"/>
  </r>
  <r>
    <x v="5527"/>
    <x v="1"/>
    <s v="ΠΕ60"/>
    <s v="ΝΗΠΙΑΓΩΓΟΙ"/>
    <m/>
    <m/>
    <s v="Γ΄"/>
    <n v="1"/>
    <n v="9623"/>
    <d v="2018-09-01T00:00:00"/>
    <s v="ΛΑΡΙΣΑΣ (Π.Ε.) 2018"/>
    <s v="ΔΙΕΥΘΥΝΣΗ Π.Ε. ΛΑΡΙΣΑΣ"/>
    <s v="ΠΕΡΙΦΕΡΕΙΑΚΗ Δ/ΝΣΗ Α/ΘΜΙΑΣ ΚΑΙ Β/ΘΜΙΑΣ ΕΚΠ/ΣΗΣ ΘΕΣΣΑΛΙΑΣ"/>
    <n v="25"/>
    <d v="2018-09-01T00:00:00"/>
    <s v="Ιδιωτικά Σχολεία"/>
    <x v="1"/>
    <s v="7311029"/>
    <s v="ΙΔΙΩΤΙΚΟ ΝΗΠΙΑΓΩΓΕΙΟ ΛΑΡΙΣΑ - ΒΑΪΟΠΟΥΛΟΥ-ΤΣΙΡΑΚΟΠΟΥΛΟΥ"/>
    <s v="ΛΑΡΙΣΑΣ (Π.Ε.) 2018"/>
    <s v="ΔΙΕΥΘΥΝΣΗ Π.Ε. ΛΑΡΙΣΑΣ"/>
    <s v="ΠΕΡΙΦΕΡΕΙΑΚΗ Δ/ΝΣΗ Α/ΘΜΙΑΣ ΚΑΙ Β/ΘΜΙΑΣ ΕΚΠ/ΣΗΣ ΘΕΣΣΑΛΙΑΣ"/>
    <x v="1"/>
    <s v="Τοποθέτηση σε Ιδιωτική Εκπαίδευση"/>
    <d v="1966-01-01T00:00:00"/>
    <x v="1"/>
    <s v="ΔΙΕΥΘΥΝΣΗ Π.Ε. ΛΑΡΙΣΑΣ"/>
    <x v="5"/>
  </r>
  <r>
    <x v="5528"/>
    <x v="1"/>
    <s v="ΠΕ60"/>
    <s v="ΝΗΠΙΑΓΩΓΟΙ"/>
    <m/>
    <m/>
    <s v="Γ΄"/>
    <n v="1"/>
    <n v="9956"/>
    <d v="2018-09-01T00:00:00"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d v="2018-09-01T00:00:00"/>
    <s v="Ιδιωτικά Σχολεία"/>
    <x v="1"/>
    <s v="7192041"/>
    <s v="ΣΥΣΤΕΓΑΖΟΜΕΝΟ ΝΗΠΙΑΓΩΓΕΙΟ - NEVERLAND - Η ΧΩΡΑ ΤΟΥ ΠΟΤΕ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5-10-05T00:00:00"/>
    <x v="1"/>
    <s v="ΔΙΕΥΘΥΝΣΗ Π.Ε. ΔΥΤ. ΘΕΣ/ΝΙΚΗΣ"/>
    <x v="5"/>
  </r>
  <r>
    <x v="5529"/>
    <x v="0"/>
    <s v="ΠΕ81"/>
    <s v="ΠΟΛ.ΜΗΧΑΝΙΚΩΝ-ΑΡΧΙΤΕΚΤΟΝΩΝ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2"/>
    <s v="0581207"/>
    <s v="ΙΔΙΩΤΙΚΟ-ΙΣΟΤΙΜΟ ΓΥΜΝΑΣΙΟ-ΚΟΛΛΕΓΙΟ ΑΘΗΝΩΝΑναγνωρισμένο με το Ν.3776/1929, ισότιμο με τα Δημόσια Σχολεία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5-09-16T00:00:00"/>
    <x v="0"/>
    <s v="ΔΙΕΥΘΥΝΣΗ Δ.Ε. Β΄ ΑΘΗΝΑΣ"/>
    <x v="5"/>
  </r>
  <r>
    <x v="5530"/>
    <x v="1"/>
    <s v="ΠΕ60"/>
    <s v="ΝΗΠΙΑΓΩΓΟΙ"/>
    <m/>
    <m/>
    <s v="Γ΄"/>
    <n v="1"/>
    <s v="Φ.17.2/359/9718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79"/>
    <s v="ΙΔΙΩΤΙΚΟ ΝΗΠΙΑΓΩΓΕΙΟ ΝΕΟ ΗΡΑΚΛΕΙΟ - ΒΕΝΕΤΣΑΝΟΥ ΙΩΑΝΝ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5-09-09T00:00:00"/>
    <x v="1"/>
    <s v="ΔΙΕΥΘΥΝΣΗ Π.Ε. Β΄ ΑΘΗΝΑΣ"/>
    <x v="5"/>
  </r>
  <r>
    <x v="5531"/>
    <x v="1"/>
    <s v="ΠΕ60"/>
    <s v="ΝΗΠΙΑΓΩΓΟΙ"/>
    <m/>
    <m/>
    <s v="Α΄"/>
    <n v="1"/>
    <m/>
    <m/>
    <s v="ΠΙΕΡΙΑΣ (Π.Ε.) 2018"/>
    <s v="ΔΙΕΥΘΥΝΣΗ Π.Ε. ΠΙΕΡΙΑΣ"/>
    <s v="ΠΕΡΙΦΕΡΕΙΑΚΗ Δ/ΝΣΗ Α/ΘΜΙΑΣ ΚΑΙ Β/ΘΜΙΑΣ ΕΚΠ/ΣΗΣ ΚΕΝΤΡΙΚΗΣ ΜΑΚΕΔΟΝΙΑΣ"/>
    <n v="25"/>
    <m/>
    <s v="Ιδιωτικά Σχολεία"/>
    <x v="1"/>
    <s v="7391005"/>
    <s v="ΖΙΩΓΑΝΑ ΕΥΛΑΜΠΙΑ ΟΥΡΑΝΙΟ ΤΟΞΟ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65-07-10T00:00:00"/>
    <x v="1"/>
    <s v="ΔΙΕΥΘΥΝΣΗ Π.Ε. ΠΙΕΡΙΑΣ"/>
    <x v="5"/>
  </r>
  <r>
    <x v="5532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1"/>
    <s v="ΙΔΙΩΤΙΚΟ ΝΗΠΙΑΓΩΓΕΙΟ ΧΑΝΙΩΝ - ΙΔΙΩΤΙΚΟ ΝΗΠΙΑΓΩΓ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5-06-30T00:00:00"/>
    <x v="1"/>
    <s v="ΔΙΕΥΘΥΝΣΗ Π.Ε. ΧΑΝΙΩΝ"/>
    <x v="5"/>
  </r>
  <r>
    <x v="5533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7"/>
    <s v="ΙΔΙΩΤΙΚΟ ΝΗΠΙΑΓΩΓΕΙΟ - ΙΔΙΩΤΙΚΑ ΕΚΠΑΙΔΕΥΤΗΡΙΑ ΘΕΟΔΩΡΟΠΟΥΛΟΥ Α.Ε.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5-05-27T00:00:00"/>
    <x v="1"/>
    <s v="ΔΙΕΥΘΥΝΣΗ Π.Ε. ΧΑΝΙΩΝ"/>
    <x v="5"/>
  </r>
  <r>
    <x v="5534"/>
    <x v="0"/>
    <s v="ΠΕ60"/>
    <s v="ΝΗΠΙΑΓΩΓΟΙ"/>
    <m/>
    <m/>
    <s v="Γ΄"/>
    <n v="1"/>
    <m/>
    <m/>
    <s v="Β΄ ΘΕΣΣΑΛΟΝΙΚΗΣ (Π.Ε.) 2018"/>
    <s v="ΔΙΕΥΘΥΝΣΗ Π.Ε. ΔΥΤ. ΘΕΣ/ΝΙΚΗΣ"/>
    <s v="ΠΕΡΙΦΕΡΕΙΑΚΗ Δ/ΝΣΗ Α/ΘΜΙΑΣ ΚΑΙ Β/ΘΜΙΑΣ ΕΚΠ/ΣΗΣ ΚΕΝΤΡΙΚΗΣ ΜΑΚΕΔΟΝΙΑΣ"/>
    <n v="25"/>
    <m/>
    <s v="Ιδιωτικά Σχολεία"/>
    <x v="1"/>
    <s v="7192001"/>
    <s v="ΙΔΙΩΤΙΚΟ ΝΗΠΙΑΓΩΓΕΙΟ ΠΕΥΚΑ ΘΕΣΣΑΛΟΝΙΚΗΣ - ΔΟΥΚΑΣ Α. -ΚΟΛΕΤΣΑ Ζ. Ο.Ε."/>
    <s v="Β΄ ΘΕΣΣΑΛΟΝΙΚΗΣ (Π.Ε.) 2018"/>
    <s v="ΔΙΕΥΘΥΝΣΗ Π.Ε. ΔΥΤ. ΘΕΣ/ΝΙΚΗΣ"/>
    <s v="ΠΕΡΙΦΕΡΕΙΑΚΗ Δ/ΝΣΗ Α/ΘΜΙΑΣ ΚΑΙ Β/ΘΜΙΑΣ ΕΚΠ/ΣΗΣ ΚΕΝΤΡΙΚΗΣ ΜΑΚΕΔΟΝΙΑΣ"/>
    <x v="1"/>
    <s v="Τοποθέτηση σε Ιδιωτική Εκπαίδευση"/>
    <d v="1965-04-27T00:00:00"/>
    <x v="1"/>
    <s v="ΔΙΕΥΘΥΝΣΗ Π.Ε. ΔΥΤ. ΘΕΣ/ΝΙΚΗΣ"/>
    <x v="5"/>
  </r>
  <r>
    <x v="5535"/>
    <x v="1"/>
    <s v="ΠΕ60"/>
    <s v="ΝΗΠΙΑΓΩΓΟΙ"/>
    <m/>
    <m/>
    <s v="Γ΄"/>
    <n v="1"/>
    <s v="4341/3-12-2010"/>
    <d v="2018-09-01T00:00:00"/>
    <s v="ΙΩΑΝΝΙΝΩΝ (Π.Ε.) 2018"/>
    <s v="ΔΙΕΥΘΥΝΣΗ Π.Ε. ΙΩΑΝΝΙΝΩΝ"/>
    <s v="ΠΕΡΙΦΕΡΕΙΑΚΗ Δ/ΝΣΗ Α/ΘΜΙΑΣ ΚΑΙ Β/ΘΜΙΑΣ ΕΚΠ/ΣΗΣ ΗΠΕΙΡΟΥ"/>
    <n v="25"/>
    <d v="2018-09-01T00:00:00"/>
    <s v="Ιδιωτικά Σχολεία"/>
    <x v="1"/>
    <s v="7201003"/>
    <s v="ΙΔΙΩΤΙΚΟ ΝΗΠΙΑΓΩΓΕΙΟ - Η ΦΩΛΙΑ ΜΑΣ"/>
    <s v="ΙΩΑΝΝΙΝΩΝ (Π.Ε.) 2018"/>
    <s v="ΔΙΕΥΘΥΝΣΗ Π.Ε. ΙΩΑΝΝΙΝΩΝ"/>
    <s v="ΠΕΡΙΦΕΡΕΙΑΚΗ Δ/ΝΣΗ Α/ΘΜΙΑΣ ΚΑΙ Β/ΘΜΙΑΣ ΕΚΠ/ΣΗΣ ΗΠΕΙΡΟΥ"/>
    <x v="1"/>
    <s v="Τοποθέτηση σε Ιδιωτική Εκπαίδευση"/>
    <d v="1965-01-13T00:00:00"/>
    <x v="1"/>
    <s v="ΔΙΕΥΘΥΝΣΗ Π.Ε. ΙΩΑΝΝΙΝΩΝ"/>
    <x v="5"/>
  </r>
  <r>
    <x v="5536"/>
    <x v="1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4-12-30T00:00:00"/>
    <x v="0"/>
    <s v="ΔΙΕΥΘΥΝΣΗ Δ.Ε. Β΄ ΑΘΗΝΑΣ"/>
    <x v="5"/>
  </r>
  <r>
    <x v="5537"/>
    <x v="1"/>
    <s v="ΠΕ60"/>
    <s v="ΝΗΠΙΑΓΩΓΟΙ"/>
    <m/>
    <m/>
    <s v="Α΄"/>
    <n v="13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5"/>
    <s v="ΙΔΙΩΤΙΚΟ ΝΗΠΙΑΓΩΓΕΙΟ ΑΛΙΜΟΣ - ΙΔΙΩΤΙΚΟ ΝΗΠΙΑΓΩΓΕΙΟ ΓΕΝΝΑΔΙΟΣ ΕΚΠΑΙΔΕΥΤΙΚΗ Κ.ΖΩΗ ΑΕ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4-12-10T00:00:00"/>
    <x v="1"/>
    <s v="ΔΙΕΥΘΥΝΣΗ Π.Ε. Δ΄ ΑΘΗΝΑΣ"/>
    <x v="5"/>
  </r>
  <r>
    <x v="5538"/>
    <x v="0"/>
    <s v="ΠΕ60"/>
    <s v="ΝΗΠΙΑΓΩΓΟΙ"/>
    <m/>
    <m/>
    <s v="Γ΄"/>
    <n v="1"/>
    <s v="995/28-03-2011"/>
    <d v="2018-09-01T00:00:00"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d v="2018-09-01T00:00:00"/>
    <s v="Ιδιωτικά Σχολεία"/>
    <x v="1"/>
    <s v="7191027"/>
    <s v="ΙΔΙΩΤΙΚΟ ΝΗΠΙΑΓΩΓΕΙΟ ΘΕΣΣΑΛΟΝΙΚΗ - ΚΟΠΕΡΤΙ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10-02T00:00:00"/>
    <x v="1"/>
    <s v="ΔΙΕΥΘΥΝΣΗ Π.Ε. ΑΝΑΤ. ΘΕΣ/ΝΙΚΗΣ"/>
    <x v="5"/>
  </r>
  <r>
    <x v="5539"/>
    <x v="1"/>
    <s v="ΠΕ60"/>
    <s v="ΝΗΠΙΑΓΩΓΟΙ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5"/>
    <m/>
    <s v="Ιδιωτικά Σχολεία"/>
    <x v="1"/>
    <s v="7521095"/>
    <s v="ΚΩΝΣΤΑΝΤΙΝΑ ΑΘΑΝΑΣΙΟΥ-ΑΝΔΡΕΟΥ ΜΟΝΟΠΡΟΣΩΠΗ Ε.Π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63-08-16T00:00:00"/>
    <x v="1"/>
    <s v="ΔΙΕΥΘΥΝΣΗ Π.Ε. ΑΝΑΤΟΛΙΚΗΣ ΑΤΤΙΚΗΣ"/>
    <x v="5"/>
  </r>
  <r>
    <x v="5540"/>
    <x v="1"/>
    <s v="ΠΕ60"/>
    <s v="ΝΗΠΙΑΓΩΓΟΙ"/>
    <m/>
    <m/>
    <s v="Α΄"/>
    <n v="1"/>
    <m/>
    <m/>
    <s v="ΜΕΣΣΗΝΙΑΣ (Π.Ε.) 2018"/>
    <s v="ΔΙΕΥΘΥΝΣΗ Π.Ε. ΜΕΣΣΗΝΙΑΣ"/>
    <s v="ΠΕΡΙΦΕΡΕΙΑΚΗ Δ/ΝΣΗ Α/ΘΜΙΑΣ ΚΑΙ Β/ΘΜΙΑΣ ΕΚΠ/ΣΗΣ ΠΕΛΟΠΟΝΝΗΣΟΥ"/>
    <n v="25"/>
    <m/>
    <s v="Ιδιωτικά Σχολεία"/>
    <x v="1"/>
    <s v="7361003"/>
    <s v="ΙΔΙΩΤΙΚΟ ΝΗΠΙΑΓΩΓΕΙΟ ΚΑΛΑΜΑΤΑ - ΕΚΠΑΙΔΕΥΤΗΡΙΑ ΜΠΟΥΓΑ"/>
    <s v="ΜΕΣΣΗΝΙΑΣ (Π.Ε.) 2018"/>
    <s v="ΔΙΕΥΘΥΝΣΗ Π.Ε. ΜΕΣΣΗΝΙΑΣ"/>
    <s v="ΠΕΡΙΦΕΡΕΙΑΚΗ Δ/ΝΣΗ Α/ΘΜΙΑΣ ΚΑΙ Β/ΘΜΙΑΣ ΕΚΠ/ΣΗΣ ΠΕΛΟΠΟΝΝΗΣΟΥ"/>
    <x v="1"/>
    <s v="Τοποθέτηση σε Ιδιωτική Εκπαίδευση"/>
    <d v="1963-05-21T00:00:00"/>
    <x v="1"/>
    <s v="ΔΙΕΥΘΥΝΣΗ Π.Ε. ΜΕΣΣΗΝΙΑΣ"/>
    <x v="5"/>
  </r>
  <r>
    <x v="5541"/>
    <x v="1"/>
    <s v="ΠΕ60"/>
    <s v="ΝΗΠΙΑΓΩΓΟΙ"/>
    <m/>
    <m/>
    <s v="Α΄"/>
    <n v="4"/>
    <m/>
    <m/>
    <s v="ΑΧΑΪΑΣ (Π.Ε.) 2018"/>
    <s v="ΔΙΕΥΘΥΝΣΗ Π.Ε. ΑΧΑΪΑΣ"/>
    <s v="ΠΕΡΙΦΕΡΕΙΑΚΗ Δ/ΝΣΗ Α/ΘΜΙΑΣ ΚΑΙ Β/ΘΜΙΑΣ ΕΚΠ/ΣΗΣ ΔΥΤΙΚΗΣ ΕΛΛΑΔΑΣ"/>
    <n v="25"/>
    <m/>
    <s v="Ιδιωτικά Σχολεία"/>
    <x v="1"/>
    <s v="7061023"/>
    <s v="ΙΔΙΩΤΙΚΟ ΝΗΠΙΑΓΩΓΕΙΟ ΠΑΤΡΑ - ΙΔ. ΝΗΠ. ΚΑΡΑΠΑΠΑ ΚΩΝΣΤΑΝΤΙΝΑ"/>
    <s v="ΑΧΑΪΑΣ (Π.Ε.) 2018"/>
    <s v="ΔΙΕΥΘΥΝΣΗ Π.Ε. ΑΧΑΪΑΣ"/>
    <s v="ΠΕΡΙΦΕΡΕΙΑΚΗ Δ/ΝΣΗ Α/ΘΜΙΑΣ ΚΑΙ Β/ΘΜΙΑΣ ΕΚΠ/ΣΗΣ ΔΥΤΙΚΗΣ ΕΛΛΑΔΑΣ"/>
    <x v="1"/>
    <s v="Τοποθέτηση σε Ιδιωτική Εκπαίδευση"/>
    <d v="1962-07-23T00:00:00"/>
    <x v="1"/>
    <s v="ΔΙΕΥΘΥΝΣΗ Π.Ε. ΑΧΑΪΑΣ"/>
    <x v="5"/>
  </r>
  <r>
    <x v="5542"/>
    <x v="1"/>
    <s v="ΠΕ60"/>
    <s v="ΝΗΠΙΑΓΩΓΟΙ"/>
    <m/>
    <m/>
    <s v="Α΄"/>
    <n v="1"/>
    <m/>
    <m/>
    <s v="Α΄ ΘΕΣΣΑΛΟΝΙΚΗΣ (Π.Ε.) 2018"/>
    <s v="ΔΙΕΥΘΥΝΣΗ Π.Ε. ΑΝΑΤ. ΘΕΣ/ΝΙΚΗΣ"/>
    <s v="ΠΕΡΙΦΕΡΕΙΑΚΗ Δ/ΝΣΗ Α/ΘΜΙΑΣ ΚΑΙ Β/ΘΜΙΑΣ ΕΚΠ/ΣΗΣ ΚΕΝΤΡΙΚΗΣ ΜΑΚΕΔΟΝΙΑΣ"/>
    <n v="25"/>
    <m/>
    <s v="Ιδιωτικά Σχολεία"/>
    <x v="1"/>
    <s v="7191021"/>
    <s v="ΙΔΙΩΤΙΚΟ ΝΗΠΙΑΓΩΓΕΙΟ ΘΕΣΣΑΛΟΝΙΚΗ - ΙΔ. ΝΗΠΙΑΓΩΓΕΙΟ Ι.Κ.Θ"/>
    <s v="Α΄ ΘΕΣΣΑΛΟΝΙΚΗΣ (Π.Ε.) 2018"/>
    <s v="ΔΙΕΥΘΥΝΣΗ Π.Ε. ΑΝΑΤ. ΘΕΣ/ΝΙΚΗΣ"/>
    <s v="ΠΕΡΙΦΕΡΕΙΑΚΗ Δ/ΝΣΗ Α/ΘΜΙΑΣ ΚΑΙ Β/ΘΜΙΑΣ ΕΚΠ/ΣΗΣ ΚΕΝΤΡΙΚΗΣ ΜΑΚΕΔΟΝΙΑΣ"/>
    <x v="1"/>
    <s v="Τοποθέτηση σε Ιδιωτική Εκπαίδευση"/>
    <d v="1962-01-19T00:00:00"/>
    <x v="1"/>
    <s v="ΔΙΕΥΘΥΝΣΗ Π.Ε. ΑΝΑΤ. ΘΕΣ/ΝΙΚΗΣ"/>
    <x v="5"/>
  </r>
  <r>
    <x v="5543"/>
    <x v="1"/>
    <s v="ΠΕ60"/>
    <s v="ΝΗΠΙΑΓΩΓΟΙ"/>
    <m/>
    <m/>
    <s v="Α΄"/>
    <n v="4"/>
    <m/>
    <m/>
    <s v="ΚΟΡΙΝΘΙΑΣ (Π.Ε.) 2018"/>
    <s v="ΔΙΕΥΘΥΝΣΗ Π.Ε. ΚΟΡΙΝΘΙΑΣ"/>
    <s v="ΠΕΡΙΦΕΡΕΙΑΚΗ Δ/ΝΣΗ Α/ΘΜΙΑΣ ΚΑΙ Β/ΘΜΙΑΣ ΕΚΠ/ΣΗΣ ΠΕΛΟΠΟΝΝΗΣΟΥ"/>
    <n v="25"/>
    <m/>
    <s v="Ιδιωτικά Σχολεία"/>
    <x v="1"/>
    <s v="7281009"/>
    <s v="ΙΔΙΩΤΙΚΟ ΝΗΠΙΑΓΩΓΕΙΟ ΞΥΛΟΚΑΣΤΡΟ - ΜΕΝΟΥΝΟΥ"/>
    <s v="ΚΟΡΙΝΘΙΑΣ (Π.Ε.) 2018"/>
    <s v="ΔΙΕΥΘΥΝΣΗ Π.Ε. ΚΟΡΙΝΘΙΑΣ"/>
    <s v="ΠΕΡΙΦΕΡΕΙΑΚΗ Δ/ΝΣΗ Α/ΘΜΙΑΣ ΚΑΙ Β/ΘΜΙΑΣ ΕΚΠ/ΣΗΣ ΠΕΛΟΠΟΝΝΗΣΟΥ"/>
    <x v="1"/>
    <s v="Τοποθέτηση σε Ιδιωτική Εκπαίδευση"/>
    <d v="1961-06-01T00:00:00"/>
    <x v="1"/>
    <s v="ΔΙΕΥΘΥΝΣΗ Π.Ε. ΚΟΡΙΝΘΙΑΣ"/>
    <x v="5"/>
  </r>
  <r>
    <x v="5544"/>
    <x v="1"/>
    <s v="ΠΕ60"/>
    <s v="ΝΗΠΙΑΓΩΓΟΙ"/>
    <m/>
    <m/>
    <s v="Α΄"/>
    <n v="18"/>
    <n v="155181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05"/>
    <s v="ΙΔΙΩΤΙΚΟ ΝΗΠΙΑΓΩΓΕΙΟ - ΤΟ ΕΡΓΑΣΤΗΡΙ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61-01-01T00:00:00"/>
    <x v="1"/>
    <s v="ΔΙΕΥΘΥΝΣΗ Π.Ε. Δ΄ ΑΘΗΝΑΣ"/>
    <x v="5"/>
  </r>
  <r>
    <x v="5545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5"/>
    <m/>
    <s v="Ιδιωτικά Σχολεία"/>
    <x v="1"/>
    <s v="7052017"/>
    <s v="ΙΔΙΩΤΙΚΟ ΝΗΠΙΑΓΩΓΕΙΟ ΧΑΛΑΝΔΡΙ - ΑΓΓΕΛΙΚΗ Β. ΑΛΕΞΑΝΔΡΑΚΗ ΜΕΠ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60-12-14T00:00:00"/>
    <x v="1"/>
    <s v="ΔΙΕΥΘΥΝΣΗ Π.Ε. Β΄ ΑΘΗΝΑΣ"/>
    <x v="5"/>
  </r>
  <r>
    <x v="5546"/>
    <x v="1"/>
    <s v="ΠΕ60"/>
    <s v="ΝΗΠΙΑΓΩΓΟΙ"/>
    <m/>
    <m/>
    <s v="Γ΄"/>
    <n v="1"/>
    <m/>
    <m/>
    <s v="ΧΑΝΙΩΝ (Π.Ε.) 2018"/>
    <s v="ΔΙΕΥΘΥΝΣΗ Π.Ε. ΧΑΝΙΩΝ"/>
    <s v="ΠΕΡΙΦΕΡΕΙΑΚΗ Δ/ΝΣΗ Α/ΘΜΙΑΣ ΚΑΙ Β/ΘΜΙΑΣ ΕΚΠ/ΣΗΣ ΚΡΗΤΗΣ"/>
    <n v="25"/>
    <m/>
    <s v="Ιδιωτικά Σχολεία"/>
    <x v="1"/>
    <s v="7501003"/>
    <s v="ΙΔΙΩΤΙΚΟ ΝΗΠΙΑΓΩΓΕΙΟ ΧΑΝΙΩΝ - ΣΥΣΤΕΓΑΖΟΜΕΝΟ ΝΗΠΙΑΓΩΓΕΙΟ-ΠΟΙΜΕΝΙΔΟΥ ΜΑΡΙΝΑ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d v="1960-08-22T00:00:00"/>
    <x v="1"/>
    <s v="ΔΙΕΥΘΥΝΣΗ Π.Ε. ΧΑΝΙΩΝ"/>
    <x v="5"/>
  </r>
  <r>
    <x v="5547"/>
    <x v="1"/>
    <s v="ΠΕ60"/>
    <s v="ΝΗΠΙΑΓΩΓΟΙ"/>
    <m/>
    <m/>
    <s v="Α΄"/>
    <n v="1"/>
    <m/>
    <m/>
    <s v="ΠΙΕΡΙΑΣ (Π.Ε.) 2018"/>
    <s v="ΔΙΕΥΘΥΝΣΗ Π.Ε. ΠΙΕΡΙΑΣ"/>
    <s v="ΠΕΡΙΦΕΡΕΙΑΚΗ Δ/ΝΣΗ Α/ΘΜΙΑΣ ΚΑΙ Β/ΘΜΙΑΣ ΕΚΠ/ΣΗΣ ΚΕΝΤΡΙΚΗΣ ΜΑΚΕΔΟΝΙΑΣ"/>
    <n v="25"/>
    <m/>
    <s v="Ιδιωτικά Σχολεία"/>
    <x v="1"/>
    <s v="7391001"/>
    <s v="ΙΔΙΩΤΙΚΟ ΝΗΠΙΑΓΩΓΕΙΟ ΚΑΤΕΡΙΝΗΣ - ΙΔΙΩΤΙΚΟ ΝΗΠ. ΠΛΑΤΩΝ"/>
    <s v="ΠΙΕΡΙΑΣ (Π.Ε.) 2018"/>
    <s v="ΔΙΕΥΘΥΝΣΗ Π.Ε. ΠΙΕΡΙΑΣ"/>
    <s v="ΠΕΡΙΦΕΡΕΙΑΚΗ Δ/ΝΣΗ Α/ΘΜΙΑΣ ΚΑΙ Β/ΘΜΙΑΣ ΕΚΠ/ΣΗΣ ΚΕΝΤΡΙΚΗΣ ΜΑΚΕΔΟΝΙΑΣ"/>
    <x v="1"/>
    <s v="Τοποθέτηση σε Ιδιωτική Εκπαίδευση"/>
    <d v="1959-10-07T00:00:00"/>
    <x v="1"/>
    <s v="ΔΙΕΥΘΥΝΣΗ Π.Ε. ΠΙΕΡΙΑΣ"/>
    <x v="5"/>
  </r>
  <r>
    <x v="5548"/>
    <x v="1"/>
    <s v="ΠΕ60"/>
    <s v="ΝΗΠΙΑΓΩΓΟΙ"/>
    <m/>
    <m/>
    <s v="Β΄"/>
    <n v="4"/>
    <m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7"/>
    <s v="ΙΔΙΩΤΙΚΟ ΝΗΠΙΑΓΩΓΕΙΟ ΑΛΙΜΟΣ - ΤΟ ΣΠΙΤΙ ΤΩΝ ΜΙΚΡΩΝ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9-08-03T00:00:00"/>
    <x v="1"/>
    <s v="ΔΙΕΥΘΥΝΣΗ Π.Ε. Δ΄ ΑΘΗΝΑΣ"/>
    <x v="5"/>
  </r>
  <r>
    <x v="5549"/>
    <x v="1"/>
    <s v="ΠΕ60"/>
    <s v="ΝΗΠΙΑΓΩΓΟΙ"/>
    <m/>
    <m/>
    <s v="Γ΄"/>
    <n v="1"/>
    <n v="149653"/>
    <d v="2018-09-01T00:00:00"/>
    <s v="Δ΄ ΑΘΗΝΑΣ (Π.Ε.) 2018"/>
    <s v="ΔΙΕΥΘΥΝΣΗ Π.Ε. Δ΄ ΑΘΗΝΑΣ"/>
    <s v="ΠΕΡΙΦΕΡΕΙΑΚΗ Δ/ΝΣΗ Α/ΘΜΙΑΣ ΚΑΙ Β/ΘΜΙΑΣ ΕΚΠ/ΣΗΣ ΑΤΤΙΚΗΣ"/>
    <n v="25"/>
    <d v="2018-09-01T00:00:00"/>
    <s v="Ιδιωτικά Σχολεία"/>
    <x v="1"/>
    <s v="7054023"/>
    <s v="ΙΔΙΩΤΙΚΟ ΝΗΠΙΑΓΩΓΕΙΟ ΠΑΛΑΙΟ ΦΑΛΗΡΟ - ΝΕΑ ΕΚΠΑΙΔΕΥΤΗΡΙΑ Γ ΜΑΛΛΙΑΡΑ ΝΗΠΙΑΓΩΓΕΙΟ"/>
    <s v="Δ΄ ΑΘΗΝΑΣ (Π.Ε.) 2018"/>
    <s v="ΔΙΕΥΘΥΝΣΗ Π.Ε. Δ΄ ΑΘΗΝΑΣ"/>
    <s v="ΠΕΡΙΦΕΡΕΙΑΚΗ Δ/ΝΣΗ Α/ΘΜΙΑΣ ΚΑΙ Β/ΘΜΙΑΣ ΕΚΠ/ΣΗΣ ΑΤΤΙΚΗΣ"/>
    <x v="1"/>
    <s v="Τοποθέτηση σε Ιδιωτική Εκπαίδευση"/>
    <d v="1958-04-11T00:00:00"/>
    <x v="1"/>
    <s v="ΔΙΕΥΘΥΝΣΗ Π.Ε. Δ΄ ΑΘΗΝΑΣ"/>
    <x v="5"/>
  </r>
  <r>
    <x v="5550"/>
    <x v="1"/>
    <s v="ΠΕ60"/>
    <s v="ΝΗΠΙΑΓΩΓΟΙ"/>
    <m/>
    <m/>
    <s v="Γ΄"/>
    <n v="1"/>
    <n v="0"/>
    <d v="2018-09-01T00:00:00"/>
    <s v="Α΄ ΚΕΡΚΥΡΑΣ (Π.Ε.) 2018"/>
    <s v="ΔΙΕΥΘΥΝΣΗ Π.Ε. ΚΕΡΚΥΡΑΣ"/>
    <s v="ΠΕΡΙΦΕΡΕΙΑΚΗ Δ/ΝΣΗ Α/ΘΜΙΑΣ ΚΑΙ Β/ΘΜΙΑΣ ΕΚΠ/ΣΗΣ ΙΟΝΙΩΝ ΝΗΣΩΝ"/>
    <n v="25"/>
    <d v="2018-09-01T00:00:00"/>
    <s v="Ιδιωτικά Σχολεία"/>
    <x v="1"/>
    <s v="7241005"/>
    <s v="ΙΔΙΩΤΙΚΟ ΝΗΠΙΑΓΩΓΕΙΟ &quot;ΗΛΙΑΧΤΙΔΑ&quot;"/>
    <s v="Α΄ ΚΕΡΚΥΡΑΣ (Π.Ε.) 2018"/>
    <s v="ΔΙΕΥΘΥΝΣΗ Π.Ε. ΚΕΡΚΥΡΑΣ"/>
    <s v="ΠΕΡΙΦΕΡΕΙΑΚΗ Δ/ΝΣΗ Α/ΘΜΙΑΣ ΚΑΙ Β/ΘΜΙΑΣ ΕΚΠ/ΣΗΣ ΙΟΝΙΩΝ ΝΗΣΩΝ"/>
    <x v="1"/>
    <s v="Τοποθέτηση σε Ιδιωτική Εκπαίδευση"/>
    <d v="1958-01-12T00:00:00"/>
    <x v="1"/>
    <s v="ΔΙΕΥΘΥΝΣΗ Π.Ε. ΚΕΡΚΥΡΑΣ"/>
    <x v="5"/>
  </r>
  <r>
    <x v="5551"/>
    <x v="1"/>
    <s v="ΠΕ60"/>
    <s v="ΝΗΠΙΑΓΩΓΟΙ"/>
    <m/>
    <m/>
    <s v="Α΄"/>
    <n v="1"/>
    <m/>
    <m/>
    <s v="ΗΜΑΘΙΑΣ (Π.Ε.) 2018"/>
    <s v="ΔΙΕΥΘΥΝΣΗ Π.Ε. ΗΜΑΘΙΑΣ"/>
    <s v="ΠΕΡΙΦΕΡΕΙΑΚΗ Δ/ΝΣΗ Α/ΘΜΙΑΣ ΚΑΙ Β/ΘΜΙΑΣ ΕΚΠ/ΣΗΣ ΚΕΝΤΡΙΚΗΣ ΜΑΚΕΔΟΝΙΑΣ"/>
    <n v="25"/>
    <m/>
    <s v="Ιδιωτικά Σχολεία"/>
    <x v="1"/>
    <s v="7161001"/>
    <s v="ΙΔΙΩΤΙΚΟ ΝΗΠΙΑΓΩΓΕΙΟ ΒΕΡΟΙΑ - ΙΔΙΩΤΙΚΟ ΝΗΠΙΑΓΩΓΕΙΟ ΖΥΓΑΝΙΤΙΔΟΥ ΕΛΕΝΗΣ"/>
    <s v="ΗΜΑΘΙΑΣ (Π.Ε.) 2018"/>
    <s v="ΔΙΕΥΘΥΝΣΗ Π.Ε. ΗΜΑΘΙΑΣ"/>
    <s v="ΠΕΡΙΦΕΡΕΙΑΚΗ Δ/ΝΣΗ Α/ΘΜΙΑΣ ΚΑΙ Β/ΘΜΙΑΣ ΕΚΠ/ΣΗΣ ΚΕΝΤΡΙΚΗΣ ΜΑΚΕΔΟΝΙΑΣ"/>
    <x v="1"/>
    <s v="Τοποθέτηση σε Ιδιωτική Εκπαίδευση"/>
    <d v="1957-01-18T00:00:00"/>
    <x v="1"/>
    <s v="ΔΙΕΥΘΥΝΣΗ Π.Ε. ΗΜΑΘΙΑΣ"/>
    <x v="5"/>
  </r>
  <r>
    <x v="5552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1"/>
    <s v="7053019"/>
    <s v="ΣΥΣΤΕΓΑΖΟΜΕΝΟ ΝΗΠΙΑΓΩΓΕΙΟ - ΣΧΟΛΗ ΡΑΔΟΥ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d v="1955-09-04T00:00:00"/>
    <x v="1"/>
    <s v="ΔΙΕΥΘΥΝΣΗ Π.Ε. Γ΄ ΑΘΗΝΑΣ"/>
    <x v="5"/>
  </r>
  <r>
    <x v="5553"/>
    <x v="1"/>
    <s v="ΠΕ60"/>
    <s v="ΝΗΠΙΑΓΩΓΟΙ"/>
    <m/>
    <m/>
    <s v="Γ΄"/>
    <n v="1"/>
    <s v="Φ7/2/37149"/>
    <d v="2018-09-01T00:00:00"/>
    <s v="ΤΡΙΚΑΛΩΝ (Π.Ε.) 2018"/>
    <s v="ΔΙΕΥΘΥΝΣΗ Π.Ε. ΤΡΙΚΑΛΩΝ"/>
    <s v="ΠΕΡΙΦΕΡΕΙΑΚΗ Δ/ΝΣΗ Α/ΘΜΙΑΣ ΚΑΙ Β/ΘΜΙΑΣ ΕΚΠ/ΣΗΣ ΘΕΣΣΑΛΙΑΣ"/>
    <n v="25"/>
    <d v="2018-09-01T00:00:00"/>
    <s v="Ιδιωτικά Σχολεία"/>
    <x v="1"/>
    <s v="7451005"/>
    <s v="ΙΔΙΩΤΙΚΟ ΝΗΠΙΑΓΩΓΕΙΟ ΤΡΙΚΑΛΑ - Φ. ΣΑΚΚΑ ΦΩΤΕΙΝΗ ΣΙΑ Ο.Ε."/>
    <s v="ΤΡΙΚΑΛΩΝ (Π.Ε.) 2018"/>
    <s v="ΔΙΕΥΘΥΝΣΗ Π.Ε. ΤΡΙΚΑΛΩΝ"/>
    <s v="ΠΕΡΙΦΕΡΕΙΑΚΗ Δ/ΝΣΗ Α/ΘΜΙΑΣ ΚΑΙ Β/ΘΜΙΑΣ ΕΚΠ/ΣΗΣ ΘΕΣΣΑΛΙΑΣ"/>
    <x v="1"/>
    <s v="Τοποθέτηση σε Ιδιωτική Εκπαίδευση"/>
    <d v="1954-04-23T00:00:00"/>
    <x v="1"/>
    <s v="ΔΙΕΥΘΥΝΣΗ Π.Ε. ΤΡΙΚΑΛΩΝ"/>
    <x v="5"/>
  </r>
  <r>
    <x v="5554"/>
    <x v="1"/>
    <s v="ΠΕ60"/>
    <s v="ΝΗΠΙΑΓΩΓΟΙ"/>
    <m/>
    <m/>
    <s v="Γ΄"/>
    <n v="1"/>
    <n v="0"/>
    <d v="2018-09-01T00:00:00"/>
    <s v="Α΄ ΚΕΡΚΥΡΑΣ (Π.Ε.) 2018"/>
    <s v="ΔΙΕΥΘΥΝΣΗ Π.Ε. ΚΕΡΚΥΡΑΣ"/>
    <s v="ΠΕΡΙΦΕΡΕΙΑΚΗ Δ/ΝΣΗ Α/ΘΜΙΑΣ ΚΑΙ Β/ΘΜΙΑΣ ΕΚΠ/ΣΗΣ ΙΟΝΙΩΝ ΝΗΣΩΝ"/>
    <n v="25"/>
    <d v="2018-09-01T00:00:00"/>
    <s v="Ιδιωτικά Σχολεία"/>
    <x v="1"/>
    <s v="7241001"/>
    <s v="ΣΥΣΤΕΓΑΖΟΜΕΝΟ ΙΔΙΩΤΙΚΟ ΝΗΠΙΑΓΩΓΕΙΟ &quot;ΛΙΝΑΡΔΟΥ ΜΑΡΙΑΣ-ΒΑΣΙΛΙΚΗΣ&quot;"/>
    <s v="Α΄ ΚΕΡΚΥΡΑΣ (Π.Ε.) 2018"/>
    <s v="ΔΙΕΥΘΥΝΣΗ Π.Ε. ΚΕΡΚΥΡΑΣ"/>
    <s v="ΠΕΡΙΦΕΡΕΙΑΚΗ Δ/ΝΣΗ Α/ΘΜΙΑΣ ΚΑΙ Β/ΘΜΙΑΣ ΕΚΠ/ΣΗΣ ΙΟΝΙΩΝ ΝΗΣΩΝ"/>
    <x v="1"/>
    <s v="Τοποθέτηση σε Ιδιωτική Εκπαίδευση"/>
    <d v="1948-09-10T00:00:00"/>
    <x v="1"/>
    <s v="ΔΙΕΥΘΥΝΣΗ Π.Ε. ΚΕΡΚΥΡΑΣ"/>
    <x v="5"/>
  </r>
  <r>
    <x v="5555"/>
    <x v="0"/>
    <s v="ΠΕ07"/>
    <s v="ΓΕΡΜΑΝ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5556"/>
    <x v="0"/>
    <s v="ΠΕ04.04"/>
    <s v="ΒΙ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25"/>
    <m/>
    <s v="Ιδιωτικά Σχολεία"/>
    <x v="3"/>
    <s v="0590903"/>
    <s v="ΙΔΙΩΤΙΚΟ ΗΜΕΡΗΣΙΟ ΛΥΚΕΙΟ - ΓΕΡΜΑΝΙΚΗ ΣΧΟΛΗ ΑΘΗΝΩΝ (3511/28.07.1956)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5"/>
  </r>
  <r>
    <x v="5557"/>
    <x v="1"/>
    <s v="ΠΕ60"/>
    <s v="ΝΗΠΙΑΓΩΓΟΙ"/>
    <m/>
    <m/>
    <s v="Γ΄"/>
    <n v="1"/>
    <n v="1"/>
    <d v="2018-09-01T00:00:00"/>
    <s v="Β΄ ΑΘΗΝΑΣ (Π.Ε.) 2018"/>
    <s v="ΔΙΕΥΘΥΝΣΗ Π.Ε. Β΄ ΑΘΗΝΑΣ"/>
    <s v="ΠΕΡΙΦΕΡΕΙΑΚΗ Δ/ΝΣΗ Α/ΘΜΙΑΣ ΚΑΙ Β/ΘΜΙΑΣ ΕΚΠ/ΣΗΣ ΑΤΤΙΚΗΣ"/>
    <n v="25"/>
    <d v="2018-09-01T00:00:00"/>
    <s v="Ιδιωτικά Σχολεία"/>
    <x v="1"/>
    <s v="7052069"/>
    <s v="ΙΔΙΩΤΙΚΟ ΝΗΠΙΑΓΩΓΕΙΟ - ΚΑΨΑΛΗ ΚΩΝΣΤΑΝΤ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Β΄ ΑΘΗΝΑΣ"/>
    <x v="5"/>
  </r>
  <r>
    <x v="5558"/>
    <x v="1"/>
    <s v="ΠΕ60"/>
    <s v="ΝΗΠΙΑΓΩΓΟΙ"/>
    <m/>
    <m/>
    <s v="Α΄"/>
    <n v="1"/>
    <m/>
    <m/>
    <s v="Γ΄ ΑΘΗΝΑΣ (Π.Ε.) 2018"/>
    <s v="ΔΙΕΥΘΥΝΣΗ Π.Ε. Γ΄ ΑΘΗΝΑΣ"/>
    <s v="ΠΕΡΙΦΕΡΕΙΑΚΗ Δ/ΝΣΗ Α/ΘΜΙΑΣ ΚΑΙ Β/ΘΜΙΑΣ ΕΚΠ/ΣΗΣ ΑΤΤΙΚΗΣ"/>
    <n v="25"/>
    <m/>
    <s v="Ιδιωτικά Σχολεία"/>
    <x v="1"/>
    <s v="7053029"/>
    <s v="ΙΔΙΩΤΙΚΟ ΝΗΠΙΑΓΩΓΕΙΟ - Α. ΣΟΦΙΟΥ Ε.Ε. (ΑΓΩΓΗ ΚΑΙ ΦΡΟΝΤΙΔΑ)"/>
    <s v="Γ΄ ΑΘΗΝΑΣ (Π.Ε.) 2018"/>
    <s v="ΔΙΕΥΘΥΝΣΗ Π.Ε. Γ΄ ΑΘΗΝΑΣ"/>
    <s v="ΠΕΡΙΦΕΡΕΙΑΚΗ Δ/ΝΣΗ Α/ΘΜΙΑΣ ΚΑΙ Β/ΘΜΙΑΣ ΕΚΠ/ΣΗΣ ΑΤΤΙΚΗΣ"/>
    <x v="1"/>
    <s v="Τοποθέτηση σε Ιδιωτική Εκπαίδευση"/>
    <m/>
    <x v="1"/>
    <s v="ΔΙΕΥΘΥΝΣΗ Π.Ε. Γ΄ ΑΘΗΝΑΣ"/>
    <x v="5"/>
  </r>
  <r>
    <x v="5559"/>
    <x v="1"/>
    <s v="ΠΕ60"/>
    <s v="ΝΗΠΙΑΓΩΓΟΙ"/>
    <m/>
    <m/>
    <s v="Γ΄"/>
    <n v="1"/>
    <n v="4665"/>
    <d v="2018-09-01T00:00:00"/>
    <s v="Α΄ ΛΕΣΒΟΥ (Π.Ε.) 2018"/>
    <s v="ΔΙΕΥΘΥΝΣΗ Π.Ε. ΛΕΣΒΟΥ"/>
    <s v="ΠΕΡΙΦΕΡΕΙΑΚΗ Δ/ΝΣΗ Α/ΘΜΙΑΣ ΚΑΙ Β/ΘΜΙΑΣ ΕΚΠ/ΣΗΣ ΒΟΡΕΙΟΥ ΑΙΓΑΙΟΥ"/>
    <n v="25"/>
    <d v="2018-09-01T00:00:00"/>
    <s v="Ιδιωτικά Σχολεία"/>
    <x v="1"/>
    <s v="7331001"/>
    <s v="ΙΔΙΩΤΙΚΟ ΝΗΠΙΑΓΩΓΕΙΟ ΠΛΑΤΩΝΟΣ-ΝΗΠΙΑΓΩΓΕΙΟ Ο ΠΑΡΑΜΥΘΕΝΙΟΣ ΚΟΣΜΟΣ"/>
    <s v="Α΄ ΛΕΣΒΟΥ (Π.Ε.) 2018"/>
    <s v="ΔΙΕΥΘΥΝΣΗ Π.Ε. ΛΕΣΒΟΥ"/>
    <s v="ΠΕΡΙΦΕΡΕΙΑΚΗ Δ/ΝΣΗ Α/ΘΜΙΑΣ ΚΑΙ Β/ΘΜΙΑΣ ΕΚΠ/ΣΗΣ ΒΟΡΕΙΟΥ ΑΙΓΑΙΟΥ"/>
    <x v="0"/>
    <s v="Τοποθέτηση σε Ιδιωτική Εκπαίδευση"/>
    <m/>
    <x v="1"/>
    <s v="ΔΙΕΥΘΥΝΣΗ Π.Ε. ΛΕΣΒΟΥ"/>
    <x v="5"/>
  </r>
  <r>
    <x v="5560"/>
    <x v="1"/>
    <s v="ΠΕ60"/>
    <s v="ΝΗΠΙΑΓΩΓΟΙ"/>
    <m/>
    <m/>
    <s v="Α΄"/>
    <n v="1"/>
    <m/>
    <m/>
    <s v="ΛΑΡΙΣΑΣ (Π.Ε.) 2018"/>
    <s v="ΔΙΕΥΘΥΝΣΗ Π.Ε. ΛΑΡΙΣΑΣ"/>
    <s v="ΠΕΡΙΦΕΡΕΙΑΚΗ Δ/ΝΣΗ Α/ΘΜΙΑΣ ΚΑΙ Β/ΘΜΙΑΣ ΕΚΠ/ΣΗΣ ΘΕΣΣΑΛΙΑΣ"/>
    <n v="25"/>
    <m/>
    <s v="Ιδιωτικά Σχολεία"/>
    <x v="1"/>
    <s v="7311019"/>
    <s v="ΙΔΙΩΤΙΚΟ ΝΗΠΙΑΓΩΓΕΙΟ ΛΑΡΙΣΑ - ΙΔ ΝΗΠΙΑΓΩΓΕΙΟ ΜΠΛΑΝΑ ΕΥΘΥΜΙΑΣ"/>
    <s v="ΛΑΡΙΣΑΣ (Π.Ε.) 2018"/>
    <s v="ΔΙΕΥΘΥΝΣΗ Π.Ε. ΛΑΡΙΣΑΣ"/>
    <s v="ΠΕΡΙΦΕΡΕΙΑΚΗ Δ/ΝΣΗ Α/ΘΜΙΑΣ ΚΑΙ Β/ΘΜΙΑΣ ΕΚΠ/ΣΗΣ ΘΕΣΣΑΛΙΑΣ"/>
    <x v="3"/>
    <s v="Τοποθέτηση σε Ιδιωτική Εκπαίδευση"/>
    <m/>
    <x v="1"/>
    <s v="ΔΙΕΥΘΥΝΣΗ Π.Ε. ΛΑΡΙΣΑΣ"/>
    <x v="5"/>
  </r>
  <r>
    <x v="5561"/>
    <x v="1"/>
    <s v="ΠΕ60"/>
    <s v="ΝΗΠΙΑΓΩΓΟΙ"/>
    <m/>
    <m/>
    <s v="Γ΄"/>
    <n v="1"/>
    <s v="Φ.17.2/6633"/>
    <d v="2018-09-01T00:00:00"/>
    <s v="ΧΑΝΙΩΝ (Π.Ε.) 2018"/>
    <s v="ΔΙΕΥΘΥΝΣΗ Π.Ε. ΧΑΝΙΩΝ"/>
    <s v="ΠΕΡΙΦΕΡΕΙΑΚΗ Δ/ΝΣΗ Α/ΘΜΙΑΣ ΚΑΙ Β/ΘΜΙΑΣ ΕΚΠ/ΣΗΣ ΚΡΗΤΗΣ"/>
    <n v="25"/>
    <d v="2018-09-01T00:00:00"/>
    <s v="Ιδιωτικά Σχολεία"/>
    <x v="1"/>
    <s v="7501001"/>
    <s v="ΙΔΙΩΤΙΚΟ ΝΗΠΙΑΓΩΓΕΙΟ ΧΑΝΙΩΝ - ΙΔΙΩΤΙΚΟ ΝΗΠΙΑΓΩΓΕΙΟ-Δ.Δ.Μ.Ν. ΝΑΥΣΤΑΘΜΟΥ ΚΡΗΤΗΣ"/>
    <s v="ΧΑΝΙΩΝ (Π.Ε.) 2018"/>
    <s v="ΔΙΕΥΘΥΝΣΗ Π.Ε. ΧΑΝΙΩΝ"/>
    <s v="ΠΕΡΙΦΕΡΕΙΑΚΗ Δ/ΝΣΗ Α/ΘΜΙΑΣ ΚΑΙ Β/ΘΜΙΑΣ ΕΚΠ/ΣΗΣ ΚΡΗΤΗΣ"/>
    <x v="1"/>
    <s v="Τοποθέτηση σε Ιδιωτική Εκπαίδευση"/>
    <m/>
    <x v="1"/>
    <s v="ΔΙΕΥΘΥΝΣΗ Π.Ε. ΧΑΝΙΩΝ"/>
    <x v="5"/>
  </r>
  <r>
    <x v="5562"/>
    <x v="1"/>
    <s v="ΠΕ60"/>
    <s v="ΝΗΠΙΑΓΩΓΟΙ"/>
    <m/>
    <m/>
    <s v="Α΄"/>
    <n v="1"/>
    <m/>
    <m/>
    <s v="ΑΡΓΟΛΙΔΑΣ (Π.Ε.) 2018"/>
    <s v="ΔΙΕΥΘΥΝΣΗ Π.Ε. ΑΡΓΟΛΙΔΑΣ"/>
    <s v="ΠΕΡΙΦΕΡΕΙΑΚΗ Δ/ΝΣΗ Α/ΘΜΙΑΣ ΚΑΙ Β/ΘΜΙΑΣ ΕΚΠ/ΣΗΣ ΠΕΛΟΠΟΝΝΗΣΟΥ"/>
    <n v="25"/>
    <m/>
    <s v="Ιδιωτικά Σχολεία"/>
    <x v="1"/>
    <s v="7021011"/>
    <s v="ΙΔΙΩΤΙΚΟ ΝΗΠΙΑΓΩΓΕΙΟ ΑΡΓΟΣ - ΠΡΟΤΥΠΑ ΕΚΠΑΙΔΕΥΤΗΡΙΑ ΑΦΩΝ ΜΑΛΤΕΖΟΥ"/>
    <s v="ΑΡΓΟΛΙΔΑΣ (Π.Ε.) 2018"/>
    <s v="ΔΙΕΥΘΥΝΣΗ Π.Ε. ΑΡΓΟΛΙΔΑΣ"/>
    <s v="ΠΕΡΙΦΕΡΕΙΑΚΗ Δ/ΝΣΗ Α/ΘΜΙΑΣ ΚΑΙ Β/ΘΜΙΑΣ ΕΚΠ/ΣΗΣ ΠΕΛΟΠΟΝΝΗΣΟΥ"/>
    <x v="1"/>
    <s v="Τοποθέτηση σε Ιδιωτική Εκπαίδευση"/>
    <m/>
    <x v="1"/>
    <s v="ΔΙΕΥΘΥΝΣΗ Π.Ε. ΑΡΓΟΛΙΔΑΣ"/>
    <x v="5"/>
  </r>
  <r>
    <x v="5563"/>
    <x v="1"/>
    <s v="ΠΕ60"/>
    <s v="ΝΗΠΙΑΓΩΓΟΙ"/>
    <m/>
    <m/>
    <s v="Γ΄"/>
    <n v="1"/>
    <n v="4893"/>
    <d v="2018-09-11T00:00:00"/>
    <s v="ΛΑΚΩΝΙΑΣ (Π.Ε.) 2018"/>
    <s v="ΔΙΕΥΘΥΝΣΗ Π.Ε. ΛΑΚΩΝΙΑΣ"/>
    <s v="ΠΕΡΙΦΕΡΕΙΑΚΗ Δ/ΝΣΗ Α/ΘΜΙΑΣ ΚΑΙ Β/ΘΜΙΑΣ ΕΚΠ/ΣΗΣ ΠΕΛΟΠΟΝΝΗΣΟΥ"/>
    <n v="25"/>
    <d v="2018-09-11T00:00:00"/>
    <s v="Ιδιωτικά Σχολεία"/>
    <x v="1"/>
    <s v="7301001"/>
    <s v="ΙΔΙΩΤΙΚΟ ΝΗΠΙΑΓΩΓΕΙΟ ΣΠΑΡΤΗ - ΙΔΙΩΤΙΚΟ ΝΗΠΙΑΓΩΓΕΙΟ ΙΩΑΝΝΑΣ ΠΟΛΥΧΡΟΝΑΚΟΥ"/>
    <s v="ΛΑΚΩΝΙΑΣ (Π.Ε.) 2018"/>
    <s v="ΔΙΕΥΘΥΝΣΗ Π.Ε. ΛΑΚΩΝΙΑΣ"/>
    <s v="ΠΕΡΙΦΕΡΕΙΑΚΗ Δ/ΝΣΗ Α/ΘΜΙΑΣ ΚΑΙ Β/ΘΜΙΑΣ ΕΚΠ/ΣΗΣ ΠΕΛΟΠΟΝΝΗΣΟΥ"/>
    <x v="0"/>
    <s v="Τοποθέτηση σε Ιδιωτική Εκπαίδευση"/>
    <m/>
    <x v="1"/>
    <s v="ΔΙΕΥΘΥΝΣΗ Π.Ε. ΛΑΚΩΝΙΑΣ"/>
    <x v="5"/>
  </r>
  <r>
    <x v="5564"/>
    <x v="1"/>
    <s v="ΠΕ02"/>
    <s v="ΦΙΛ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6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90-03-17T00:00:00"/>
    <x v="0"/>
    <s v="ΔΙΕΥΘΥΝΣΗ Δ.Ε. Β΄ ΑΘΗΝΑΣ"/>
    <x v="6"/>
  </r>
  <r>
    <x v="5565"/>
    <x v="1"/>
    <s v="ΠΕ86"/>
    <s v="ΠΛΗΡΟΦΟΡΙΚΗΣ"/>
    <m/>
    <m/>
    <s v="Α΄"/>
    <n v="7"/>
    <m/>
    <m/>
    <s v="Β΄ ΑΘΗΝΑΣ (Π.Ε.) 2018"/>
    <s v="ΔΙΕΥΘΥΝΣΗ Π.Ε. Β΄ ΑΘΗΝΑΣ"/>
    <s v="ΠΕΡΙΦΕΡΕΙΑΚΗ Δ/ΝΣΗ Α/ΘΜΙΑΣ ΚΑΙ Β/ΘΜΙΑΣ ΕΚΠ/ΣΗΣ ΑΤΤΙΚΗΣ"/>
    <n v="26"/>
    <m/>
    <s v="Ιδιωτικά Σχολεία"/>
    <x v="4"/>
    <s v="7052004"/>
    <s v="ΙΔΙΩΤΙΚΟ ΔΗΜΟΤΙΚΟ ΨΥΧΙΚΟ - Β ΑΡΣΑΚΕΙΟ ΔΗΜΟΤΙΚΟ ΣΧΟΛΕΙΟ ΨΥΧΙΚΟΥ ΤΗΣ ΦΙΛΕΚΠΑΙΔΕΥΤΙΚΗΣ ΕΤΑΙΡΕΙΑ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4-02-23T00:00:00"/>
    <x v="1"/>
    <s v="ΔΙΕΥΘΥΝΣΗ Π.Ε. Β΄ ΑΘΗΝΑΣ"/>
    <x v="6"/>
  </r>
  <r>
    <x v="5566"/>
    <x v="1"/>
    <s v="ΠΕ60"/>
    <s v="ΝΗΠΙΑΓΩΓΟΙ"/>
    <m/>
    <m/>
    <s v="Γ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6"/>
    <m/>
    <s v="Ιδιωτικά Σχολεία"/>
    <x v="1"/>
    <s v="7521105"/>
    <s v="ΙΔΙΩΤΙΚΟ - ΙΣΟΤΙΜΟ ΝΗΠΙΑΓΩΓΕΙΟ - Α΄ ΑΡΣΑΚΕΙΟ - ΤΟΣΙΤΣΕΙΟ ΝΗΠΙΑΓΩΓΕΙΟ ΕΚΑΛΗΣ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3-02-24T00:00:00"/>
    <x v="1"/>
    <s v="ΔΙΕΥΘΥΝΣΗ Π.Ε. ΑΝΑΤΟΛΙΚΗΣ ΑΤΤΙΚΗΣ"/>
    <x v="6"/>
  </r>
  <r>
    <x v="5567"/>
    <x v="0"/>
    <s v="ΠΕ86"/>
    <s v="ΠΛΗΡΟΦΟΡΙΚΗΣ"/>
    <m/>
    <m/>
    <s v="Α΄"/>
    <n v="1"/>
    <m/>
    <m/>
    <s v="Α΄ ΑΝΑΤ. ΑΤΤΙΚΗΣ (Π.Ε.) 2018"/>
    <s v="ΔΙΕΥΘΥΝΣΗ Π.Ε. ΑΝΑΤΟΛΙΚΗΣ ΑΤΤΙΚΗΣ"/>
    <s v="ΠΕΡΙΦΕΡΕΙΑΚΗ Δ/ΝΣΗ Α/ΘΜΙΑΣ ΚΑΙ Β/ΘΜΙΑΣ ΕΚΠ/ΣΗΣ ΑΤΤΙΚΗΣ"/>
    <n v="26"/>
    <m/>
    <s v="Ιδιωτικά Σχολεία"/>
    <x v="4"/>
    <s v="7521016"/>
    <s v="ΙΔΙΩΤΙΚΟ ΔΗΜΟΤΙΚΟ ΠΑΛΛΗΝΗ - ΕΚΠΑΙΔΕΥΤΗΡΙΑ ΚΩΣΤΕΑ-ΓΕΙΤΟΝΑ Α.Ε."/>
    <s v="Α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82-03-24T00:00:00"/>
    <x v="1"/>
    <s v="ΔΙΕΥΘΥΝΣΗ Π.Ε. ΑΝΑΤΟΛΙΚΗΣ ΑΤΤΙΚΗΣ"/>
    <x v="6"/>
  </r>
  <r>
    <x v="5568"/>
    <x v="1"/>
    <s v="ΠΕ86"/>
    <s v="ΠΛΗΡΟΦΟΡΙΚ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1-01-01T00:00:00"/>
    <x v="0"/>
    <s v="ΔΙΕΥΘΥΝΣΗ Δ.Ε. ΑΝΑΤΟΛΙΚΗΣ ΑΤΤΙΚΗΣ"/>
    <x v="6"/>
  </r>
  <r>
    <x v="5569"/>
    <x v="0"/>
    <s v="ΠΕ86"/>
    <s v="ΠΛΗΡΟΦΟΡΙΚΗΣ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6"/>
    <m/>
    <s v="Ιδιωτικά Σχολεία"/>
    <x v="3"/>
    <s v="0580176"/>
    <s v="ΙΔΙΩΤΙΚΟ ΗΜΕΡΗΣΙΟ ΓΕΝΙΚΟ ΛΥΚΕΙΟ Σ. ΑΥΓΟΥΛΕΑ - ΛΙΝΑΡΔΑΤΟΥ AEE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8-01-17T00:00:00"/>
    <x v="0"/>
    <s v="ΔΙΕΥΘΥΝΣΗ Δ.Ε. Γ΄ ΑΘΗΝΑΣ"/>
    <x v="6"/>
  </r>
  <r>
    <x v="5570"/>
    <x v="0"/>
    <s v="ΠΕ04.01"/>
    <s v="ΦΥΣ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6"/>
    <m/>
    <s v="Ιδιωτικά Σχολεία"/>
    <x v="2"/>
    <s v="0560001"/>
    <s v="ΙΔΙΩΤΙΚΟ ΗΜΕΡΗΣΙΟ ΓΥΜΝΑΣΙΟ Σ.ΑΥΓΟΥΛΕΑ -ΛΙΝΑΡΔΑΤΟΥ ΑΕΕ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3-01-13T00:00:00"/>
    <x v="0"/>
    <s v="ΔΙΕΥΘΥΝΣΗ Δ.Ε. Γ΄ ΑΘΗΝΑΣ"/>
    <x v="6"/>
  </r>
  <r>
    <x v="5571"/>
    <x v="0"/>
    <s v="ΠΕ05"/>
    <s v="ΓΑΛΛΙΚΗΣ ΦΙΛΟΛΟΓΙΑΣ"/>
    <m/>
    <m/>
    <s v="Β΄"/>
    <n v="4"/>
    <s v="Φ.I.A.4/1721/25-1-2016"/>
    <d v="2015-09-01T00:00:00"/>
    <s v="Β΄ ΑΘΗΝΑΣ (Δ.Ε.) 2018"/>
    <s v="ΔΙΕΥΘΥΝΣΗ Δ.Ε. Β΄ ΑΘΗΝΑΣ"/>
    <s v="ΠΕΡΙΦΕΡΕΙΑΚΗ Δ/ΝΣΗ Α/ΘΜΙΑΣ ΚΑΙ Β/ΘΜΙΑΣ ΕΚΠ/ΣΗΣ ΑΤΤΙΚΗΣ"/>
    <n v="26"/>
    <d v="2015-09-01T00:00:00"/>
    <s v="Ιδιωτικά Σχολεία"/>
    <x v="2"/>
    <s v="0560016"/>
    <s v="«ΙΟΝΙΟΣ ΣΧΟΛΗ» Α.Ε.Ε. - ΙΔΙΩΤΙΚΟ ΓΥΜΝΑΣΙΟ"/>
    <s v="Β΄ ΑΘΗΝΑΣ (Δ.Ε.) 2018"/>
    <s v="ΔΙΕΥΘΥΝΣΗ Δ.Ε. Β΄ ΑΘΗΝΑΣ"/>
    <s v="ΠΕΡΙΦΕΡΕΙΑΚΗ Δ/ΝΣΗ Α/ΘΜΙΑΣ ΚΑΙ Β/ΘΜΙΑΣ ΕΚΠ/ΣΗΣ ΑΤΤΙΚΗΣ"/>
    <x v="3"/>
    <s v="Τοποθέτηση σε Ιδιωτική Εκπαίδευση"/>
    <d v="1957-10-31T00:00:00"/>
    <x v="0"/>
    <s v="ΔΙΕΥΘΥΝΣΗ Δ.Ε. Β΄ ΑΘΗΝΑΣ"/>
    <x v="6"/>
  </r>
  <r>
    <x v="5572"/>
    <x v="1"/>
    <s v="ΠΕ78"/>
    <s v="ΚΟΙΝΩΝΙΚΩΝ ΕΠΙΣΤΗΜ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73"/>
    <x v="0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74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6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75"/>
    <x v="0"/>
    <s v="ΠΕ04.04"/>
    <s v="ΒΙΟΛΟΓΟΙ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27"/>
    <m/>
    <s v="Ιδιωτικά Σχολεία"/>
    <x v="3"/>
    <s v="0580315"/>
    <s v="ΙΔΙΩΤΙΚΟ ΓΕΝΙΚΟ ΛΥΚΕΙΟ ΙΟΝΙΟΣ ΣΧΟΛΗ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8-01-27T00:00:00"/>
    <x v="0"/>
    <s v="ΔΙΕΥΘΥΝΣΗ Δ.Ε. Β΄ ΑΘΗΝΑΣ"/>
    <x v="6"/>
  </r>
  <r>
    <x v="5576"/>
    <x v="1"/>
    <s v="ΠΕ11"/>
    <s v="ΦΥΣΙΚΗΣ ΑΓΩΓΗΣ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27"/>
    <m/>
    <s v="Ιδιωτικά Σχολεία"/>
    <x v="4"/>
    <s v="7052048"/>
    <s v="ΙΔΙΩΤΙΚΟ ΔΗΜΟΤΙΚΟ ΣΧΟΛΕΙΟ - ΤΡΙΑΝΕΜΙ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8-01-18T00:00:00"/>
    <x v="1"/>
    <s v="ΔΙΕΥΘΥΝΣΗ Π.Ε. Β΄ ΑΘΗΝΑΣ"/>
    <x v="6"/>
  </r>
  <r>
    <x v="5577"/>
    <x v="1"/>
    <s v="ΠΕ05"/>
    <s v="ΓΑΛΛΙΚΗΣ ΦΙΛΟΛΟΓΙΑΣ"/>
    <m/>
    <m/>
    <s v="Α΄"/>
    <n v="1"/>
    <m/>
    <m/>
    <s v="Β΄ ΑΝΑΤ. ΑΤΤΙΚΗΣ (Π.Ε.) 2018"/>
    <s v="ΔΙΕΥΘΥΝΣΗ Π.Ε. ΑΝΑΤΟΛΙΚΗΣ ΑΤΤΙΚΗΣ"/>
    <s v="ΠΕΡΙΦΕΡΕΙΑΚΗ Δ/ΝΣΗ Α/ΘΜΙΑΣ ΚΑΙ Β/ΘΜΙΑΣ ΕΚΠ/ΣΗΣ ΑΤΤΙΚΗΣ"/>
    <n v="27"/>
    <m/>
    <s v="Ιδιωτικά Σχολεία"/>
    <x v="4"/>
    <s v="7521050"/>
    <s v="1ο ΙΔΙΩΤΙΚΟ ΔΗΜΟΤΙΚΟ ΕΚΠΑΙΔΕΥΤΙΚΗ ΑΝΑΓΕΝΝΗΣΗ"/>
    <s v="Β΄ ΑΝΑΤ. ΑΤΤΙΚΗΣ (Π.Ε.) 2018"/>
    <s v="ΔΙΕΥΘΥΝΣΗ Π.Ε. ΑΝΑΤΟΛΙΚΗΣ ΑΤΤΙΚΗΣ"/>
    <s v="ΠΕΡΙΦΕΡΕΙΑΚΗ Δ/ΝΣΗ Α/ΘΜΙΑΣ ΚΑΙ Β/ΘΜΙΑΣ ΕΚΠ/ΣΗΣ ΑΤΤΙΚΗΣ"/>
    <x v="1"/>
    <s v="Τοποθέτηση σε Ιδιωτική Εκπαίδευση"/>
    <d v="1977-10-07T00:00:00"/>
    <x v="1"/>
    <s v="ΔΙΕΥΘΥΝΣΗ Π.Ε. ΑΝΑΤΟΛΙΚΗΣ ΑΤΤΙΚΗΣ"/>
    <x v="6"/>
  </r>
  <r>
    <x v="5578"/>
    <x v="1"/>
    <s v="ΠΕ04.02"/>
    <s v="ΧΗΜΙΚ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27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5-05-24T00:00:00"/>
    <x v="0"/>
    <s v="ΔΙΕΥΘΥΝΣΗ Δ.Ε. Γ΄ ΑΘΗΝΑΣ"/>
    <x v="6"/>
  </r>
  <r>
    <x v="5579"/>
    <x v="0"/>
    <s v="ΠΕ04.02"/>
    <s v="ΧΗΜΙΚΟΙ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7"/>
    <m/>
    <s v="Ιδιωτικά Σχολεία"/>
    <x v="2"/>
    <s v="0560011"/>
    <s v="ΙΔΙΩΤΙΚΟ ΗΜΕΡΗΣΙΟ ΓΥΜΝΑΣΙΟ ΕΚΠΑΙΔΕΥΤΗΡΙΑ &quot;Ο ΠΛΑΤΩΝ&quot;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53-09-18T00:00:00"/>
    <x v="0"/>
    <s v="ΔΙΕΥΘΥΝΣΗ Δ.Ε. ΑΝΑΤΟΛΙΚΗΣ ΑΤΤΙΚΗΣ"/>
    <x v="6"/>
  </r>
  <r>
    <x v="5580"/>
    <x v="0"/>
    <s v="ΠΕ88.04"/>
    <s v="ΔΙΑΤΡΟΦΗΣ"/>
    <s v="ΠΕ04.01"/>
    <s v="ΦΥΣΙΚΟΙ"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7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81"/>
    <x v="0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7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82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28"/>
    <m/>
    <s v="Ιδιωτικά Σχολεία"/>
    <x v="1"/>
    <s v="7052201"/>
    <s v="ΣΥΣΤΕΓΑΖΟΜΕΝΟ ΝΗΠΙΑΓΩΓΕΙΟ - ΡΑΜΙΡΕΖ ΓΚΕΗΛ ΑΛΙΣΟ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10-17T00:00:00"/>
    <x v="1"/>
    <s v="ΔΙΕΥΘΥΝΣΗ Π.Ε. Β΄ ΑΘΗΝΑΣ"/>
    <x v="6"/>
  </r>
  <r>
    <x v="5583"/>
    <x v="1"/>
    <s v="ΠΕ60"/>
    <s v="ΝΗΠΙΑΓΩΓΟΙ"/>
    <m/>
    <m/>
    <s v="Γ΄"/>
    <n v="1"/>
    <n v="1779066"/>
    <d v="2018-09-03T00:00:00"/>
    <s v="Β΄ ΑΘΗΝΑΣ (Π.Ε.) 2018"/>
    <s v="ΔΙΕΥΘΥΝΣΗ Π.Ε. Β΄ ΑΘΗΝΑΣ"/>
    <s v="ΠΕΡΙΦΕΡΕΙΑΚΗ Δ/ΝΣΗ Α/ΘΜΙΑΣ ΚΑΙ Β/ΘΜΙΑΣ ΕΚΠ/ΣΗΣ ΑΤΤΙΚΗΣ"/>
    <n v="28"/>
    <d v="2018-09-03T00:00:00"/>
    <s v="Ιδιωτικά Σχολεία"/>
    <x v="1"/>
    <s v="7052239"/>
    <s v="ΙΔΙΩΤΙΚΟ ΣΥΣΤΕΓΑΖΟΜΕΝΟ ΝΗΠΙΑΓΩΓΕΙΟ - MONTESSORI WAY OF LIFE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6-07-08T00:00:00"/>
    <x v="1"/>
    <s v="ΔΙΕΥΘΥΝΣΗ Π.Ε. Β΄ ΑΘΗΝΑΣ"/>
    <x v="6"/>
  </r>
  <r>
    <x v="5584"/>
    <x v="0"/>
    <s v="ΠΕ01"/>
    <s v="ΘΕ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8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85"/>
    <x v="0"/>
    <s v="ΠΕ86"/>
    <s v="ΠΛΗΡΟΦΟΡΙΚΗΣ"/>
    <m/>
    <m/>
    <s v="Α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9"/>
    <m/>
    <s v="Ιδιωτικά Σχολεία"/>
    <x v="2"/>
    <s v="0560019"/>
    <s v="ΙΔΙΩΤΙΚΟ ΓΥΜΝΑΣΙΟ - ΠΡΟΤΥΠΟ ΕΚΠΑΙΔΕΥΤΗΡΙΟ ΑΘΗΝΩΝ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4-12-13T00:00:00"/>
    <x v="0"/>
    <s v="ΔΙΕΥΘΥΝΣΗ Δ.Ε. ΑΝΑΤΟΛΙΚΗΣ ΑΤΤΙΚΗΣ"/>
    <x v="6"/>
  </r>
  <r>
    <x v="5586"/>
    <x v="0"/>
    <s v="ΠΕ01"/>
    <s v="ΘΕΟΛΟΓΟΙ"/>
    <m/>
    <m/>
    <s v="Α΄"/>
    <n v="1"/>
    <m/>
    <m/>
    <s v="ΙΩΑΝΝΙΝΩΝ (Δ.Ε.) 2018"/>
    <s v="ΔΙΕΥΘΥΝΣΗ Δ.Ε. ΙΩΑΝΝΙΝΩΝ"/>
    <s v="ΠΕΡΙΦΕΡΕΙΑΚΗ Δ/ΝΣΗ Α/ΘΜΙΑΣ ΚΑΙ Β/ΘΜΙΑΣ ΕΚΠ/ΣΗΣ ΗΠΕΙΡΟΥ"/>
    <n v="29"/>
    <m/>
    <s v="Ιδιωτικά Σχολεία"/>
    <x v="3"/>
    <s v="2061001"/>
    <s v="ΔΩΔΩΝΑΙΑ ΕΚΠΑΙΔΕΥΤΗΡΙΑ - ΙΔΙΩΤΙΚΟ ΗΜΕΡΗΣΙΟ ΛΥΚΕΙΟ ΙΩΑΝΝΙΝΩΝ"/>
    <s v="ΙΩΑΝΝΙΝΩΝ (Δ.Ε.) 2018"/>
    <s v="ΔΙΕΥΘΥΝΣΗ Δ.Ε. ΙΩΑΝΝΙΝΩΝ"/>
    <s v="ΠΕΡΙΦΕΡΕΙΑΚΗ Δ/ΝΣΗ Α/ΘΜΙΑΣ ΚΑΙ Β/ΘΜΙΑΣ ΕΚΠ/ΣΗΣ ΗΠΕΙΡΟΥ"/>
    <x v="1"/>
    <s v="Τοποθέτηση σε Ιδιωτική Εκπαίδευση"/>
    <d v="1968-10-31T00:00:00"/>
    <x v="0"/>
    <s v="ΔΙΕΥΘΥΝΣΗ Δ.Ε. ΙΩΑΝΝΙΝΩΝ"/>
    <x v="6"/>
  </r>
  <r>
    <x v="5587"/>
    <x v="1"/>
    <s v="ΠΕ05"/>
    <s v="ΓΑΛ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29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588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97"/>
    <s v="ΙΔΙΩΤΙΚΟ ΝΗΠΙΑΓΩΓΕΙΟ ΑΘΗΝΑ - Μ.Α.ΤΣΙΚΡΙΚΑ ΚΑΙ ΣΙΑ Ο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5-11-14T00:00:00"/>
    <x v="1"/>
    <s v="ΔΙΕΥΘΥΝΣΗ Π.Ε. Β΄ ΑΘΗΝΑΣ"/>
    <x v="6"/>
  </r>
  <r>
    <x v="5589"/>
    <x v="1"/>
    <s v="ΠΕ60"/>
    <s v="ΝΗΠΙΑΓΩΓΟΙ"/>
    <m/>
    <m/>
    <s v="Γ΄"/>
    <n v="1"/>
    <s v="ΑΠ1973143"/>
    <d v="2018-09-19T00:00:00"/>
    <s v="Α΄ ΚΕΡΚΥΡΑΣ (Π.Ε.) 2018"/>
    <s v="ΔΙΕΥΘΥΝΣΗ Π.Ε. ΚΕΡΚΥΡΑΣ"/>
    <s v="ΠΕΡΙΦΕΡΕΙΑΚΗ Δ/ΝΣΗ Α/ΘΜΙΑΣ ΚΑΙ Β/ΘΜΙΑΣ ΕΚΠ/ΣΗΣ ΙΟΝΙΩΝ ΝΗΣΩΝ"/>
    <n v="30"/>
    <d v="2018-09-20T00:00:00"/>
    <s v="Ιδιωτικά Σχολεία"/>
    <x v="1"/>
    <s v="7241009"/>
    <s v="ΙΔΙΩΤΙΚΟ ΝΗΠΙΑΓΩΓΕΙΟ &quot;Ο,ΤΙ ΑΓΑΠΩ&quot;"/>
    <s v="Α΄ ΚΕΡΚΥΡΑΣ (Π.Ε.) 2018"/>
    <s v="ΔΙΕΥΘΥΝΣΗ Π.Ε. ΚΕΡΚΥΡΑΣ"/>
    <s v="ΠΕΡΙΦΕΡΕΙΑΚΗ Δ/ΝΣΗ Α/ΘΜΙΑΣ ΚΑΙ Β/ΘΜΙΑΣ ΕΚΠ/ΣΗΣ ΙΟΝΙΩΝ ΝΗΣΩΝ"/>
    <x v="0"/>
    <s v="Τοποθέτηση σε Ιδιωτική Εκπαίδευση"/>
    <d v="1995-03-23T00:00:00"/>
    <x v="1"/>
    <s v="ΔΙΕΥΘΥΝΣΗ Π.Ε. ΚΕΡΚΥΡΑΣ"/>
    <x v="6"/>
  </r>
  <r>
    <x v="5590"/>
    <x v="1"/>
    <s v="ΠΕ60"/>
    <s v="ΝΗΠΙΑΓΩΓΟΙ"/>
    <m/>
    <m/>
    <s v="Γ΄"/>
    <n v="1"/>
    <n v="1809813"/>
    <d v="2018-09-04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79"/>
    <s v="ΣΥΣΤΕΓΑΖΟΜΕΝΟ ΝΗΠΙΑΓΩΓΕΙΟ - ΔΗΜΗΤΡΑΚΟΠΟΥΛΟΥ ΧΡΥΣΟΒΑΛΑΝΤΟΥ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4-09-18T00:00:00"/>
    <x v="1"/>
    <s v="ΔΙΕΥΘΥΝΣΗ Π.Ε. Β΄ ΑΘΗΝΑΣ"/>
    <x v="6"/>
  </r>
  <r>
    <x v="5591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207"/>
    <s v="ΙΔΙΩΤΙΚΟ ΝΗΠΙΑΓΩΓΕΙΟ - ΜΑΪΝΑ ΑΓΓΕΛΙΚΗ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3-12-13T00:00:00"/>
    <x v="1"/>
    <s v="ΔΙΕΥΘΥΝΣΗ Π.Ε. Β΄ ΑΘΗΝΑΣ"/>
    <x v="6"/>
  </r>
  <r>
    <x v="5592"/>
    <x v="1"/>
    <s v="ΠΕ60"/>
    <s v="ΝΗΠΙΑΓΩΓΟΙ"/>
    <m/>
    <m/>
    <s v="Γ΄"/>
    <n v="1"/>
    <s v="Φ.17.2/300/7947/3-10-2015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031"/>
    <s v="ΙΔΙΩΤΙΚΟ ΝΗΠΙΑΓΩΓΕΙΟ ΠΑΠΑΓΟΥ - Σ.ΜΠΟΣΙΝΑ ΚΑΙ ΣΙΑ Ο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1-10-15T00:00:00"/>
    <x v="1"/>
    <s v="ΔΙΕΥΘΥΝΣΗ Π.Ε. Β΄ ΑΘΗΝΑΣ"/>
    <x v="6"/>
  </r>
  <r>
    <x v="5593"/>
    <x v="1"/>
    <s v="ΠΕ60"/>
    <s v="ΝΗΠΙΑΓΩΓΟΙ"/>
    <m/>
    <m/>
    <s v="Γ΄"/>
    <n v="1"/>
    <s v="ΕΚΚΡΕΜΕΙ"/>
    <d v="2018-09-04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53"/>
    <s v="ΣΥΣΤΕΓΑΖΟΜΕΝΟ ΝΗΠΙΑΓΩΓΕΙΟ - ΤΟ ΣΠΙΤΑΚΙ ΤΗΣ ΣΟΦΙΑΣ SOFIAS KINDERHAUS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05-19T00:00:00"/>
    <x v="1"/>
    <s v="ΔΙΕΥΘΥΝΣΗ Π.Ε. Β΄ ΑΘΗΝΑΣ"/>
    <x v="6"/>
  </r>
  <r>
    <x v="5594"/>
    <x v="1"/>
    <s v="ΠΕ60"/>
    <s v="ΝΗΠΙΑΓΩΓΟΙ"/>
    <m/>
    <m/>
    <s v="Γ΄"/>
    <n v="1"/>
    <s v="ΕΚΚΡΕΜΕΙ"/>
    <d v="2018-09-03T00:00:00"/>
    <s v="Β΄ ΑΘΗΝΑΣ (Π.Ε.) 2018"/>
    <s v="ΔΙΕΥΘΥΝΣΗ Π.Ε. Β΄ ΑΘΗΝΑΣ"/>
    <s v="ΠΕΡΙΦΕΡΕΙΑΚΗ Δ/ΝΣΗ Α/ΘΜΙΑΣ ΚΑΙ Β/ΘΜΙΑΣ ΕΚΠ/ΣΗΣ ΑΤΤΙΚΗΣ"/>
    <n v="30"/>
    <d v="2018-09-03T00:00:00"/>
    <s v="Ιδιωτικά Σχολεία"/>
    <x v="1"/>
    <s v="7052105"/>
    <s v="ΛΙΟΔΑΚΗ ΣΤΥΛΙΑΝΗ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1-01-21T00:00:00"/>
    <x v="1"/>
    <s v="ΔΙΕΥΘΥΝΣΗ Π.Ε. Β΄ ΑΘΗΝΑΣ"/>
    <x v="6"/>
  </r>
  <r>
    <x v="5595"/>
    <x v="1"/>
    <s v="ΠΕ60"/>
    <s v="ΝΗΠΙΑΓΩΓΟΙ"/>
    <m/>
    <m/>
    <s v="Γ΄"/>
    <n v="1"/>
    <n v="5"/>
    <d v="2018-09-03T00:00:00"/>
    <s v="Β΄ ΑΘΗΝΑΣ (Π.Ε.) 2018"/>
    <s v="ΔΙΕΥΘΥΝΣΗ Π.Ε. Β΄ ΑΘΗΝΑΣ"/>
    <s v="ΠΕΡΙΦΕΡΕΙΑΚΗ Δ/ΝΣΗ Α/ΘΜΙΑΣ ΚΑΙ Β/ΘΜΙΑΣ ΕΚΠ/ΣΗΣ ΑΤΤΙΚΗΣ"/>
    <n v="30"/>
    <d v="2018-09-03T00:00:00"/>
    <s v="Ιδιωτικά Σχολεία"/>
    <x v="1"/>
    <s v="7052193"/>
    <s v="ΣΥΣΤΕΓΑΖΟΜΕΝΟ ΝΗΠΙΑΓΩΓΕΙΟ - ΜΟΣΧΟΥ ΒΑΣΙΛΙΚΗ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0-11-16T00:00:00"/>
    <x v="1"/>
    <s v="ΔΙΕΥΘΥΝΣΗ Π.Ε. Β΄ ΑΘΗΝΑΣ"/>
    <x v="6"/>
  </r>
  <r>
    <x v="5596"/>
    <x v="1"/>
    <s v="ΠΕ60"/>
    <s v="ΝΗΠΙΑΓΩΓΟΙ"/>
    <m/>
    <m/>
    <s v="Γ΄"/>
    <n v="1"/>
    <n v="1587839"/>
    <d v="2018-09-01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25"/>
    <s v="ΝΗΠΙΑΓΩΓΕΙΟ Κ. ΠΑΠΠΑ &amp; ΣΙΑ Ο.Ε. (Κ. ΠΑΠΠΑ &amp; ΣΙΑ Ο.Ε.)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90-07-21T00:00:00"/>
    <x v="1"/>
    <s v="ΔΙΕΥΘΥΝΣΗ Π.Ε. Β΄ ΑΘΗΝΑΣ"/>
    <x v="6"/>
  </r>
  <r>
    <x v="5597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209"/>
    <s v="ΙΔΙΩΤΙΚΟ ΣΥΣΤΕΓΑΖΟΜΕΝΟ ΝΗΠΙΑΓΩΓΕΙΟ - CHILDREN'S CLUB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90-05-10T00:00:00"/>
    <x v="1"/>
    <s v="ΔΙΕΥΘΥΝΣΗ Π.Ε. Β΄ ΑΘΗΝΑΣ"/>
    <x v="6"/>
  </r>
  <r>
    <x v="5598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90-01-01T00:00:00"/>
    <x v="0"/>
    <s v="ΔΙΕΥΘΥΝΣΗ Δ.Ε. Β΄ ΑΘΗΝΑΣ"/>
    <x v="6"/>
  </r>
  <r>
    <x v="5599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245"/>
    <s v="Ιδιωτικό Συστεγαζόμενο Νηπιαγωγείο - Κέκκου Αικατερίνη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9-12-11T00:00:00"/>
    <x v="1"/>
    <s v="ΔΙΕΥΘΥΝΣΗ Π.Ε. Β΄ ΑΘΗΝΑΣ"/>
    <x v="6"/>
  </r>
  <r>
    <x v="5600"/>
    <x v="1"/>
    <s v="ΠΕ60"/>
    <s v="ΝΗΠΙΑΓΩΓΟΙ"/>
    <m/>
    <m/>
    <s v="Γ΄"/>
    <n v="1"/>
    <s v="ΕΚΚΡΕΜΕΙ"/>
    <d v="2018-09-01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61"/>
    <s v="ΣΥΣΤΕΓΑΖΟΜΕΝΟ ΝΗΠΙΑΓΩΓΕΙΟ - ΧΡΥΣΑΝΘΗ ΠΟΛΥΖΟΥ ΚΑΙ ΣΙΑ ΕΠΕ - LIBERTYS SCHOΟL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9-08-02T00:00:00"/>
    <x v="1"/>
    <s v="ΔΙΕΥΘΥΝΣΗ Π.Ε. Β΄ ΑΘΗΝΑΣ"/>
    <x v="6"/>
  </r>
  <r>
    <x v="5601"/>
    <x v="1"/>
    <s v="ΠΕ60"/>
    <s v="ΝΗΠΙΑΓΩΓΟΙ"/>
    <m/>
    <m/>
    <s v="Γ΄"/>
    <n v="1"/>
    <n v="2444"/>
    <d v="2018-09-01T00:00:00"/>
    <s v="Α΄ ΚΕΡΚΥΡΑΣ (Π.Ε.) 2018"/>
    <s v="ΔΙΕΥΘΥΝΣΗ Π.Ε. ΚΕΡΚΥΡΑΣ"/>
    <s v="ΠΕΡΙΦΕΡΕΙΑΚΗ Δ/ΝΣΗ Α/ΘΜΙΑΣ ΚΑΙ Β/ΘΜΙΑΣ ΕΚΠ/ΣΗΣ ΙΟΝΙΩΝ ΝΗΣΩΝ"/>
    <n v="30"/>
    <d v="2018-09-01T00:00:00"/>
    <s v="Ιδιωτικά Σχολεία"/>
    <x v="1"/>
    <s v="7241009"/>
    <s v="ΙΔΙΩΤΙΚΟ ΝΗΠΙΑΓΩΓΕΙΟ &quot;Ο,ΤΙ ΑΓΑΠΩ&quot;"/>
    <s v="Α΄ ΚΕΡΚΥΡΑΣ (Π.Ε.) 2018"/>
    <s v="ΔΙΕΥΘΥΝΣΗ Π.Ε. ΚΕΡΚΥΡΑΣ"/>
    <s v="ΠΕΡΙΦΕΡΕΙΑΚΗ Δ/ΝΣΗ Α/ΘΜΙΑΣ ΚΑΙ Β/ΘΜΙΑΣ ΕΚΠ/ΣΗΣ ΙΟΝΙΩΝ ΝΗΣΩΝ"/>
    <x v="0"/>
    <s v="Τοποθέτηση σε Ιδιωτική Εκπαίδευση"/>
    <d v="1989-06-05T00:00:00"/>
    <x v="1"/>
    <s v="ΔΙΕΥΘΥΝΣΗ Π.Ε. ΚΕΡΚΥΡΑΣ"/>
    <x v="6"/>
  </r>
  <r>
    <x v="5602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m/>
    <s v="Ιδιωτικά Σχολεία"/>
    <x v="1"/>
    <s v="7051065"/>
    <s v="ΣΥΣΤΕΓΑΖΟΜΕΝΟ ΝΗΠΙΑΓΩΓΕΙΟ - ΜΕΛΩΔΙΑ ΑΓΓΕΛΙΚΗ ΣΑΡΡΑ &amp; ΣΙΑ ΟΕ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9-05-03T00:00:00"/>
    <x v="1"/>
    <s v="ΔΙΕΥΘΥΝΣΗ Π.Ε. Α΄ ΑΘΗΝΑΣ"/>
    <x v="6"/>
  </r>
  <r>
    <x v="5603"/>
    <x v="1"/>
    <s v="ΠΕ60"/>
    <s v="ΝΗΠΙΑΓΩΓΟΙ"/>
    <m/>
    <m/>
    <s v="Γ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13"/>
    <s v="2ο ΝΗΠ/ΓΕΙΟ ΕΚΠΑΙΔΕΥΤΗΡΙΩΝ ΜΑΙΡΗΣ ΑΡΓΥΡΗ-ΛΑΙΜΟΥ Α.Ε.Μ.Ε.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7-11-15T00:00:00"/>
    <x v="1"/>
    <s v="ΔΙΕΥΘΥΝΣΗ Π.Ε. Β΄ ΑΘΗΝΑΣ"/>
    <x v="6"/>
  </r>
  <r>
    <x v="5604"/>
    <x v="1"/>
    <s v="ΠΕ60"/>
    <s v="ΝΗΠΙΑΓΩΓΟΙ"/>
    <m/>
    <m/>
    <s v="Γ΄"/>
    <n v="1"/>
    <s v="1612920/4-9-2017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169"/>
    <s v="ΣΥΣΤΕΓΑΖΟΜΕΝΟ ΝΗΠΙΑΓΩΓΕΙΟ - LUDUS Μ.Ε.Π.Ε.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7-04-12T00:00:00"/>
    <x v="1"/>
    <s v="ΔΙΕΥΘΥΝΣΗ Π.Ε. Β΄ ΑΘΗΝΑΣ"/>
    <x v="6"/>
  </r>
  <r>
    <x v="5605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35"/>
    <s v="ΤΑΣΟΥΛΑ ΠΕΡΙΣΤΕΡΑ - ΑΙΚΑΤΕΡΙΝΗ ΑΛΕΞΙΟΥ &amp; ΣΙΑ Ο.Ε. (ΤΑΣΟΥΛΑ ΠΕΡΙΣΤΕΡΑ - ΑΙΚΑΤΕΡΙΝΗ ΑΛΕΞΙΟΥ &amp; ΣΙΑ)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6-12-28T00:00:00"/>
    <x v="1"/>
    <s v="ΔΙΕΥΘΥΝΣΗ Π.Ε. Β΄ ΑΘΗΝΑΣ"/>
    <x v="6"/>
  </r>
  <r>
    <x v="5606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m/>
    <s v="Ιδιωτικά Σχολεία"/>
    <x v="1"/>
    <s v="7051133"/>
    <s v="ΙΔΙΩΤΙΚΟ ΣΥΣΤΕΓΑΖΟΜΕΝΟ ΝΗΠΙΑΓΩΓΕΙΟ - ΣΑΝΙΔΑ ΜΑΡΙΑ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6-12-11T00:00:00"/>
    <x v="1"/>
    <s v="ΔΙΕΥΘΥΝΣΗ Π.Ε. Α΄ ΑΘΗΝΑΣ"/>
    <x v="6"/>
  </r>
  <r>
    <x v="5607"/>
    <x v="1"/>
    <s v="ΠΕ60"/>
    <s v="ΝΗΠΙΑΓΩΓΟΙ"/>
    <m/>
    <m/>
    <s v="Γ΄"/>
    <n v="1"/>
    <s v="Φ.17.2/435/9649/14-11-2017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187"/>
    <s v="ΙΔΙΩΤΙΚΟ ΣΥΣΤΕΓΑΖΟΜΕΝΟ ΝΗΠΙΑΓΩΓΕΙΟ - ΖΗΚΟΓΙΑΝΝΗΣ ΓΕΩΡΓΙΟΣ"/>
    <s v="Β΄ ΑΘΗΝΑΣ (Π.Ε.) 2018"/>
    <s v="ΔΙΕΥΘΥΝΣΗ Π.Ε. Β΄ ΑΘΗΝΑΣ"/>
    <s v="ΠΕΡΙΦΕΡΕΙΑΚΗ Δ/ΝΣΗ Α/ΘΜΙΑΣ ΚΑΙ Β/ΘΜΙΑΣ ΕΚΠ/ΣΗΣ ΑΤΤΙΚΗΣ"/>
    <x v="0"/>
    <s v="Τοποθέτηση σε Ιδιωτική Εκπαίδευση"/>
    <d v="1985-12-15T00:00:00"/>
    <x v="1"/>
    <s v="ΔΙΕΥΘΥΝΣΗ Π.Ε. Β΄ ΑΘΗΝΑΣ"/>
    <x v="6"/>
  </r>
  <r>
    <x v="5608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m/>
    <s v="Ιδιωτικά Σχολεία"/>
    <x v="1"/>
    <s v="7051071"/>
    <s v="ΙΔΙΩΤΙΚΟ ΝΗΠΙΑΓΩΓΕΙΟ-ΠΑΙΔΙΚΟΣ ΣΤΑΘΜΟΣ &quot;Η ΓΩΝΙΑ ΜΑΣ&quot;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5-01-22T00:00:00"/>
    <x v="1"/>
    <s v="ΔΙΕΥΘΥΝΣΗ Π.Ε. Α΄ ΑΘΗΝΑΣ"/>
    <x v="6"/>
  </r>
  <r>
    <x v="5609"/>
    <x v="1"/>
    <s v="ΠΕ60"/>
    <s v="ΝΗΠΙΑΓΩΓΟΙ"/>
    <m/>
    <m/>
    <s v="Γ΄"/>
    <n v="1"/>
    <n v="4110"/>
    <d v="2018-09-01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23"/>
    <s v="ΙΔΙΩΤΙΚΟ ΝΗΠΙΑΓΩΓΕΙΟ ΒΡΙΛΗΣΣΙΑ - ΔΙΟΝΥΣΙΑ ΑΝΑΣΤΑΣΑΤΟΥ &amp; ΣΙΑ Ο.Ε.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5-01-21T00:00:00"/>
    <x v="1"/>
    <s v="ΔΙΕΥΘΥΝΣΗ Π.Ε. Β΄ ΑΘΗΝΑΣ"/>
    <x v="6"/>
  </r>
  <r>
    <x v="5610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5-01-20T00:00:00"/>
    <x v="0"/>
    <s v="ΔΙΕΥΘΥΝΣΗ Δ.Ε. ΑΝΑΤ. ΘΕΣ/ΝΙΚΗΣ"/>
    <x v="6"/>
  </r>
  <r>
    <x v="5611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4-11-07T00:00:00"/>
    <x v="0"/>
    <s v="ΔΙΕΥΘΥΝΣΗ Δ.Ε. ΑΝΑΤ. ΘΕΣ/ΝΙΚΗΣ"/>
    <x v="6"/>
  </r>
  <r>
    <x v="5612"/>
    <x v="0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m/>
    <s v="Ιδιωτικά Σχολεία"/>
    <x v="1"/>
    <s v="7051159"/>
    <s v="ΙΔΙΩΤΙΚΟ  ΝΗΠΙΑΓΩΓΕΙΟ - ΚΑΡΑΜΕΛΑ (2ο)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84-09-30T00:00:00"/>
    <x v="1"/>
    <s v="ΔΙΕΥΘΥΝΣΗ Π.Ε. Α΄ ΑΘΗΝΑΣ"/>
    <x v="6"/>
  </r>
  <r>
    <x v="5613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3-10-20T00:00:00"/>
    <x v="0"/>
    <s v="ΔΙΕΥΘΥΝΣΗ Δ.Ε. ΑΝΑΤ. ΘΕΣ/ΝΙΚΗΣ"/>
    <x v="6"/>
  </r>
  <r>
    <x v="5614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43"/>
    <s v="ΙΔΙΩΤΙΚΟ ΣΥΣΤΕΓΑΖΟΜΕΝΟ ΝΗΠΙΑΓΩΓΕΙΟ - ΜΠΑΜΠΙΝΕΡ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6-08T00:00:00"/>
    <x v="1"/>
    <s v="ΔΙΕΥΘΥΝΣΗ Π.Ε. Β΄ ΑΘΗΝΑΣ"/>
    <x v="6"/>
  </r>
  <r>
    <x v="5615"/>
    <x v="1"/>
    <s v="ΠΕ60"/>
    <s v="ΝΗΠΙΑΓΩΓΟΙ"/>
    <m/>
    <m/>
    <s v="Γ΄"/>
    <n v="1"/>
    <n v="4604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085"/>
    <s v="ΙΔΙΩΤΙΚΟ ΝΗΠΙΑΓΩΓΕΙΟ ΠΕΥΚΗ - &quot;ΤΟ ΦΕΓΓΑΡΑΚΙ ΤΗΣ ΠΕΥΚΗΣ&quot;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3-02-28T00:00:00"/>
    <x v="1"/>
    <s v="ΔΙΕΥΘΥΝΣΗ Π.Ε. Β΄ ΑΘΗΝΑΣ"/>
    <x v="6"/>
  </r>
  <r>
    <x v="5616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77"/>
    <s v="ΙΔΙΩΤΙΚΟ ΝΗΠΙΑΓΩΓΕΙΟ ΛΥΚΟΒΡΥΣΗ - ΕΜΜ. ΣΕΡΔΑΡΗΣ ΚΑΙ ΣΙΑ Ε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2-06-25T00:00:00"/>
    <x v="1"/>
    <s v="ΔΙΕΥΘΥΝΣΗ Π.Ε. Β΄ ΑΘΗΝΑΣ"/>
    <x v="6"/>
  </r>
  <r>
    <x v="5617"/>
    <x v="0"/>
    <s v="ΠΕ86"/>
    <s v="ΠΛΗΡΟΦΟΡΙΚ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82-01-01T00:00:00"/>
    <x v="0"/>
    <s v="ΔΙΕΥΘΥΝΣΗ Δ.Ε. ΑΝΑΤΟΛΙΚΗΣ ΑΤΤΙΚΗΣ"/>
    <x v="6"/>
  </r>
  <r>
    <x v="5618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55"/>
    <s v="ΙΔΙΩΤΙΚΟ ΝΗΠΙΑΓΩΓΕΙΟ ΚΗΦΙΣΙΑ - ΠΟΛΚΑ-ΦΡΟΕΛΕΝ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10-28T00:00:00"/>
    <x v="1"/>
    <s v="ΔΙΕΥΘΥΝΣΗ Π.Ε. Β΄ ΑΘΗΝΑΣ"/>
    <x v="6"/>
  </r>
  <r>
    <x v="5619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27"/>
    <s v="ΙΔΙΩΤΙΚΟ ΣΥΣΤΕΓΑΖΟΜΕΝΟ ΝΗΠΙΑΓΩΓΕΙΟ ΒΙΛΛΑ ΑΙΜΙΛΙΑ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81-08-23T00:00:00"/>
    <x v="1"/>
    <s v="ΔΙΕΥΘΥΝΣΗ Π.Ε. Β΄ ΑΘΗΝΑΣ"/>
    <x v="6"/>
  </r>
  <r>
    <x v="5620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2"/>
    <s v="1981913"/>
    <s v="ΙΔΙΩΤΙΚΟ ΓΥΜΝΑΣ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80-01-01T00:00:00"/>
    <x v="0"/>
    <s v="ΔΙΕΥΘΥΝΣΗ Δ.Ε. ΑΝΑΤ. ΘΕΣ/ΝΙΚΗΣ"/>
    <x v="6"/>
  </r>
  <r>
    <x v="5621"/>
    <x v="0"/>
    <s v="ΠΕ03"/>
    <s v="ΜΑΘΗΜΑΤΙΚΟΙ"/>
    <m/>
    <m/>
    <s v="Α΄"/>
    <n v="5"/>
    <m/>
    <d v="2013-09-01T00:00:00"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d v="2013-09-01T00:00:00"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12-19T00:00:00"/>
    <x v="0"/>
    <s v="ΔΙΕΥΘΥΝΣΗ Δ.Ε. ΑΝΑΤ. ΘΕΣ/ΝΙΚΗΣ"/>
    <x v="6"/>
  </r>
  <r>
    <x v="5622"/>
    <x v="0"/>
    <s v="ΠΕ86"/>
    <s v="ΠΛΗΡΟΦΟΡΙΚ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9-09-14T00:00:00"/>
    <x v="0"/>
    <s v="ΔΙΕΥΘΥΝΣΗ Δ.Ε. ΑΝΑΤ. ΘΕΣ/ΝΙΚΗΣ"/>
    <x v="6"/>
  </r>
  <r>
    <x v="5623"/>
    <x v="0"/>
    <s v="ΠΕ80"/>
    <s v="ΟΙΚΟΝΟΜΙΑΣ"/>
    <m/>
    <m/>
    <s v="Γ΄"/>
    <n v="1"/>
    <m/>
    <m/>
    <s v="Γ΄ ΑΘΗΝΑΣ (Δ.Ε.) 2018"/>
    <s v="ΔΙΕΥΘΥΝΣΗ Δ.Ε. Γ΄ ΑΘΗΝΑΣ"/>
    <s v="ΠΕΡΙΦΕΡΕΙΑΚΗ Δ/ΝΣΗ Α/ΘΜΙΑΣ ΚΑΙ Β/ΘΜΙΑΣ ΕΚΠ/ΣΗΣ ΑΤΤΙΚΗΣ"/>
    <n v="30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77-07-11T00:00:00"/>
    <x v="0"/>
    <s v="ΔΙΕΥΘΥΝΣΗ Δ.Ε. Γ΄ ΑΘΗΝΑΣ"/>
    <x v="6"/>
  </r>
  <r>
    <x v="5624"/>
    <x v="1"/>
    <s v="ΠΕ60"/>
    <s v="ΝΗΠΙΑΓΩΓΟΙ"/>
    <m/>
    <m/>
    <s v="Α΄"/>
    <n v="1"/>
    <s v="ΨΗ9Η9-6ΥΓ"/>
    <d v="2015-01-23T00:00:00"/>
    <s v="Β΄ ΑΘΗΝΑΣ (Π.Ε.) 2018"/>
    <s v="ΔΙΕΥΘΥΝΣΗ Π.Ε. Β΄ ΑΘΗΝΑΣ"/>
    <s v="ΠΕΡΙΦΕΡΕΙΑΚΗ Δ/ΝΣΗ Α/ΘΜΙΑΣ ΚΑΙ Β/ΘΜΙΑΣ ΕΚΠ/ΣΗΣ ΑΤΤΙΚΗΣ"/>
    <n v="30"/>
    <d v="2015-01-27T00:00:00"/>
    <s v="Ιδιωτικά Σχολεία"/>
    <x v="1"/>
    <s v="7052213"/>
    <s v="ΙΔΙΩΤΙΚΟ ΣΥΣΤΕΓΑΖΟΜΕΝΟ ΝΗΠΙΑΓΩΓΕΙΟ - ΕΚΠΑΙΔΕΥΤΗΡΙΑ ΜΑΙΡΗ ΑΡΓΥΡΗ ΑΕΜ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6-11-15T00:00:00"/>
    <x v="1"/>
    <s v="ΔΙΕΥΘΥΝΣΗ Π.Ε. Β΄ ΑΘΗΝΑΣ"/>
    <x v="6"/>
  </r>
  <r>
    <x v="5625"/>
    <x v="1"/>
    <s v="ΠΕ60"/>
    <s v="ΝΗΠΙΑΓΩΓΟΙ"/>
    <m/>
    <m/>
    <s v="Α΄"/>
    <n v="1"/>
    <m/>
    <m/>
    <s v="Α΄ ΑΘΗΝΑΣ (Π.Ε.) 2018"/>
    <s v="ΔΙΕΥΘΥΝΣΗ Π.Ε. Α΄ ΑΘΗΝΑΣ"/>
    <s v="ΠΕΡΙΦΕΡΕΙΑΚΗ Δ/ΝΣΗ Α/ΘΜΙΑΣ ΚΑΙ Β/ΘΜΙΑΣ ΕΚΠ/ΣΗΣ ΑΤΤΙΚΗΣ"/>
    <n v="30"/>
    <m/>
    <s v="Ιδιωτικά Σχολεία"/>
    <x v="1"/>
    <s v="7051057"/>
    <s v="ΑΘΗΝΑ ΚΛΑΔΗ &amp; ΣΙΑ Ο.Ε."/>
    <s v="Α΄ ΑΘΗΝΑΣ (Π.Ε.) 2018"/>
    <s v="ΔΙΕΥΘΥΝΣΗ Π.Ε. Α΄ ΑΘΗΝΑΣ"/>
    <s v="ΠΕΡΙΦΕΡΕΙΑΚΗ Δ/ΝΣΗ Α/ΘΜΙΑΣ ΚΑΙ Β/ΘΜΙΑΣ ΕΚΠ/ΣΗΣ ΑΤΤΙΚΗΣ"/>
    <x v="1"/>
    <s v="Τοποθέτηση σε Ιδιωτική Εκπαίδευση"/>
    <d v="1976-11-05T00:00:00"/>
    <x v="1"/>
    <s v="ΔΙΕΥΘΥΝΣΗ Π.Ε. Α΄ ΑΘΗΝΑΣ"/>
    <x v="6"/>
  </r>
  <r>
    <x v="5626"/>
    <x v="1"/>
    <s v="ΠΕ60"/>
    <s v="ΝΗΠΙΑΓΩΓΟΙ"/>
    <m/>
    <m/>
    <s v="Γ΄"/>
    <n v="1"/>
    <m/>
    <m/>
    <s v="Α΄ ΠΕΙΡΑΙΑ (Π.Ε.) 2018"/>
    <s v="ΔΙΕΥΘΥΝΣΗ Π.Ε. ΠΕΙΡΑΙΑ"/>
    <s v="ΠΕΡΙΦΕΡΕΙΑΚΗ Δ/ΝΣΗ Α/ΘΜΙΑΣ ΚΑΙ Β/ΘΜΙΑΣ ΕΚΠ/ΣΗΣ ΑΤΤΙΚΗΣ"/>
    <n v="30"/>
    <m/>
    <s v="Ιδιωτικά Σχολεία"/>
    <x v="1"/>
    <s v="7541005"/>
    <s v="ΙΔΙΩΤΙΚΟ ΝΗΠΙΑΓΩΓΕΙΟ ΔΡΑΠΕΤΣΩΝΑ - ΠΕΤΡΟΥΤΣΟΠΟΥΛΟΥ ΕΛΕΝΗ"/>
    <s v="Α΄ ΠΕΙΡΑΙΑ (Π.Ε.) 2018"/>
    <s v="ΔΙΕΥΘΥΝΣΗ Π.Ε. ΠΕΙΡΑΙΑ"/>
    <s v="ΠΕΡΙΦΕΡΕΙΑΚΗ Δ/ΝΣΗ Α/ΘΜΙΑΣ ΚΑΙ Β/ΘΜΙΑΣ ΕΚΠ/ΣΗΣ ΑΤΤΙΚΗΣ"/>
    <x v="1"/>
    <s v="Τοποθέτηση σε Ιδιωτική Εκπαίδευση"/>
    <d v="1976-02-22T00:00:00"/>
    <x v="1"/>
    <s v="ΔΙΕΥΘΥΝΣΗ Π.Ε. ΠΕΙΡΑΙΑ"/>
    <x v="6"/>
  </r>
  <r>
    <x v="5627"/>
    <x v="0"/>
    <s v="ΠΕ01"/>
    <s v="ΘΕ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4-01-01T00:00:00"/>
    <x v="0"/>
    <s v="ΔΙΕΥΘΥΝΣΗ Δ.Ε. ΑΝΑΤ. ΘΕΣ/ΝΙΚΗΣ"/>
    <x v="6"/>
  </r>
  <r>
    <x v="5628"/>
    <x v="0"/>
    <s v="ΠΕ60"/>
    <s v="ΝΗΠΙΑΓΩΓΟΙ"/>
    <m/>
    <m/>
    <s v="Γ΄"/>
    <n v="1"/>
    <s v="ΙΔΙΟΚΤΗΤΗΣ"/>
    <d v="2018-09-01T00:00:00"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93"/>
    <s v="ΜΕΛΩΔΙΕΣ ΤΗΣ ΠΛΩΡΗΣ - ΚΩΝΣΤΑΝΤΙΝΟΣ ΛΥΝΤΕΡΗΣ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3-28T00:00:00"/>
    <x v="1"/>
    <s v="ΔΙΕΥΘΥΝΣΗ Π.Ε. Β΄ ΑΘΗΝΑΣ"/>
    <x v="6"/>
  </r>
  <r>
    <x v="5629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067"/>
    <s v="ΙΔΙΩΤΙΚΟ ΝΗΠΙΑΓΩΓΕΙΟ - Μ. ΤΣΙΤΣΙΛΙΑΝΗ ΕΚΠΑΙΔΕΥΣΗ Μ.Ε.Π.Ε.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3-03-18T00:00:00"/>
    <x v="1"/>
    <s v="ΔΙΕΥΘΥΝΣΗ Π.Ε. Β΄ ΑΘΗΝΑΣ"/>
    <x v="6"/>
  </r>
  <r>
    <x v="5630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2"/>
    <s v="1981913"/>
    <s v="ΙΔΙΩΤΙΚΟ ΓΥΜΝΑΣ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ΑΝΑΤ. ΘΕΣ/ΝΙΚΗΣ"/>
    <x v="6"/>
  </r>
  <r>
    <x v="5631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2"/>
    <s v="1981913"/>
    <s v="ΙΔΙΩΤΙΚΟ ΓΥΜΝΑΣ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3-01-01T00:00:00"/>
    <x v="0"/>
    <s v="ΔΙΕΥΘΥΝΣΗ Δ.Ε. ΑΝΑΤ. ΘΕΣ/ΝΙΚΗΣ"/>
    <x v="6"/>
  </r>
  <r>
    <x v="5632"/>
    <x v="0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11-10T00:00:00"/>
    <x v="0"/>
    <s v="ΔΙΕΥΘΥΝΣΗ Δ.Ε. ΑΝΑΤΟΛΙΚΗΣ ΑΤΤΙΚΗΣ"/>
    <x v="6"/>
  </r>
  <r>
    <x v="5633"/>
    <x v="1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4-26T00:00:00"/>
    <x v="0"/>
    <s v="ΔΙΕΥΘΥΝΣΗ Δ.Ε. ΑΝΑΤΟΛΙΚΗΣ ΑΤΤΙΚΗΣ"/>
    <x v="6"/>
  </r>
  <r>
    <x v="5634"/>
    <x v="0"/>
    <s v="ΠΕ01"/>
    <s v="ΘΕ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2-03-06T00:00:00"/>
    <x v="0"/>
    <s v="ΔΙΕΥΘΥΝΣΗ Δ.Ε. ΑΝΑΤΟΛΙΚΗΣ ΑΤΤΙΚΗΣ"/>
    <x v="6"/>
  </r>
  <r>
    <x v="5635"/>
    <x v="1"/>
    <s v="ΠΕ60"/>
    <s v="ΝΗΠΙΑΓΩΓΟΙ"/>
    <m/>
    <m/>
    <s v="Γ΄"/>
    <n v="1"/>
    <n v="850110"/>
    <d v="2018-09-01T00:00:00"/>
    <s v="Β΄ ΑΘΗΝΑΣ (Π.Ε.) 2018"/>
    <s v="ΔΙΕΥΘΥΝΣΗ Π.Ε. Β΄ ΑΘΗΝΑΣ"/>
    <s v="ΠΕΡΙΦΕΡΕΙΑΚΗ Δ/ΝΣΗ Α/ΘΜΙΑΣ ΚΑΙ Β/ΘΜΙΑΣ ΕΚΠ/ΣΗΣ ΑΤΤΙΚΗΣ"/>
    <n v="30"/>
    <d v="2018-09-01T00:00:00"/>
    <s v="Ιδιωτικά Σχολεία"/>
    <x v="1"/>
    <s v="7052125"/>
    <s v="ΝΗΠΙΑΓΩΓΕΙΟ Κ. ΠΑΠΠΑ &amp; ΣΙΑ Ο.Ε. (Κ. ΠΑΠΠΑ &amp; ΣΙΑ Ο.Ε.)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2-02-20T00:00:00"/>
    <x v="1"/>
    <s v="ΔΙΕΥΘΥΝΣΗ Π.Ε. Β΄ ΑΘΗΝΑΣ"/>
    <x v="6"/>
  </r>
  <r>
    <x v="5636"/>
    <x v="0"/>
    <s v="ΠΕ02"/>
    <s v="ΦΙΛΟΛΟΓΟΙ"/>
    <m/>
    <m/>
    <s v="Α΄"/>
    <n v="8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2-01-01T00:00:00"/>
    <x v="0"/>
    <s v="ΔΙΕΥΘΥΝΣΗ Δ.Ε. ΑΝΑΤ. ΘΕΣ/ΝΙΚΗΣ"/>
    <x v="6"/>
  </r>
  <r>
    <x v="5637"/>
    <x v="1"/>
    <s v="ΠΕ60"/>
    <s v="ΝΗΠΙΑΓΩΓΟΙ"/>
    <m/>
    <m/>
    <s v="Α΄"/>
    <n v="1"/>
    <m/>
    <m/>
    <s v="Β΄ ΑΘΗΝΑΣ (Π.Ε.) 2018"/>
    <s v="ΔΙΕΥΘΥΝΣΗ Π.Ε. Β΄ ΑΘΗΝΑΣ"/>
    <s v="ΠΕΡΙΦΕΡΕΙΑΚΗ Δ/ΝΣΗ Α/ΘΜΙΑΣ ΚΑΙ Β/ΘΜΙΑΣ ΕΚΠ/ΣΗΣ ΑΤΤΙΚΗΣ"/>
    <n v="30"/>
    <m/>
    <s v="Ιδιωτικά Σχολεία"/>
    <x v="1"/>
    <s v="7052109"/>
    <s v="ΣΥΣΤΕΓΑΖΟΜΕΝΟ ΝΗΠΙΑΓΩΓΕΙΟ Κ.ΚΩΝΣΤΑΝΤΕΛΛΟΣ-Θ.ΓΑΒΡΙΛΙΑΔΗ-Μ.ΣΤΕΦΑΝΟΥ Ο.Ε"/>
    <s v="Β΄ ΑΘΗΝΑΣ (Π.Ε.) 2018"/>
    <s v="ΔΙΕΥΘΥΝΣΗ Π.Ε. Β΄ ΑΘΗΝΑΣ"/>
    <s v="ΠΕΡΙΦΕΡΕΙΑΚΗ Δ/ΝΣΗ Α/ΘΜΙΑΣ ΚΑΙ Β/ΘΜΙΑΣ ΕΚΠ/ΣΗΣ ΑΤΤΙΚΗΣ"/>
    <x v="1"/>
    <s v="Τοποθέτηση σε Ιδιωτική Εκπαίδευση"/>
    <d v="1971-03-24T00:00:00"/>
    <x v="1"/>
    <s v="ΔΙΕΥΘΥΝΣΗ Π.Ε. Β΄ ΑΘΗΝΑΣ"/>
    <x v="6"/>
  </r>
  <r>
    <x v="5638"/>
    <x v="0"/>
    <s v="ΠΕ03"/>
    <s v="ΜΑΘΗΜΑΤ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1-03-12T00:00:00"/>
    <x v="0"/>
    <s v="ΔΙΕΥΘΥΝΣΗ Δ.Ε. ΑΝΑΤΟΛΙΚΗΣ ΑΤΤΙΚΗΣ"/>
    <x v="6"/>
  </r>
  <r>
    <x v="5639"/>
    <x v="1"/>
    <s v="ΠΕ02"/>
    <s v="ΦΙΛΟΛΟΓΟΙ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30"/>
    <m/>
    <s v="Ιδιωτικά Σχολεία"/>
    <x v="2"/>
    <s v="0591907"/>
    <s v="ΕΛΛΗΝΟΓΑΛΛΙΚΗ ΣΧΟΛΗ ΟΥΡΣΟΥΛΙΝΩΝ - 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70-11-20T00:00:00"/>
    <x v="0"/>
    <s v="ΔΙΕΥΘΥΝΣΗ Δ.Ε. Β΄ ΑΘΗΝΑΣ"/>
    <x v="6"/>
  </r>
  <r>
    <x v="5640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70-07-30T00:00:00"/>
    <x v="0"/>
    <s v="ΔΙΕΥΘΥΝΣΗ Δ.Ε. ΑΝΑΤ. ΘΕΣ/ΝΙΚΗΣ"/>
    <x v="6"/>
  </r>
  <r>
    <x v="5641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70-06-28T00:00:00"/>
    <x v="0"/>
    <s v="ΔΙΕΥΘΥΝΣΗ Δ.Ε. ΑΝΑΤΟΛΙΚΗΣ ΑΤΤΙΚΗΣ"/>
    <x v="6"/>
  </r>
  <r>
    <x v="5642"/>
    <x v="0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9-06-14T00:00:00"/>
    <x v="0"/>
    <s v="ΔΙΕΥΘΥΝΣΗ Δ.Ε. ΑΝΑΤ. ΘΕΣ/ΝΙΚΗΣ"/>
    <x v="6"/>
  </r>
  <r>
    <x v="5643"/>
    <x v="1"/>
    <s v="ΠΕ01"/>
    <s v="ΘΕΟΛΟΓΟΙ"/>
    <m/>
    <m/>
    <s v="Α΄"/>
    <n v="1"/>
    <m/>
    <m/>
    <s v="Γ΄ ΑΘΗΝΑΣ (Δ.Ε.) 2018"/>
    <s v="ΔΙΕΥΘΥΝΣΗ Δ.Ε. Γ΄ ΑΘΗΝΑΣ"/>
    <s v="ΠΕΡΙΦΕΡΕΙΑΚΗ Δ/ΝΣΗ Α/ΘΜΙΑΣ ΚΑΙ Β/ΘΜΙΑΣ ΕΚΠ/ΣΗΣ ΑΤΤΙΚΗΣ"/>
    <n v="30"/>
    <m/>
    <s v="Ιδιωτικά Σχολεία"/>
    <x v="3"/>
    <s v="0580457"/>
    <s v="ΙΔΙΩΤΙΚΟ ΗΜΕΡΗΣΙΟ ΓΕΝΙΚΟ ΛΥΚΕΙΟ ΧΑΪΔΑΡΙΟΥ - ΙΔΙΩΤΙΚΑ ΕΚΠΑΙΔΕΥΤΗΡΙΑ ΠΟΛΥΤΡΟΠΗ ΑΡΜΟΝΙΑ"/>
    <s v="Γ΄ ΑΘΗΝΑΣ (Δ.Ε.) 2018"/>
    <s v="ΔΙΕΥΘΥΝΣΗ Δ.Ε. Γ΄ ΑΘΗΝΑΣ"/>
    <s v="ΠΕΡΙΦΕΡΕΙΑΚΗ Δ/ΝΣΗ Α/ΘΜΙΑΣ ΚΑΙ Β/ΘΜΙΑΣ ΕΚΠ/ΣΗΣ ΑΤΤΙΚΗΣ"/>
    <x v="1"/>
    <s v="Τοποθέτηση σε Ιδιωτική Εκπαίδευση"/>
    <d v="1968-08-29T00:00:00"/>
    <x v="0"/>
    <s v="ΔΙΕΥΘΥΝΣΗ Δ.Ε. Γ΄ ΑΘΗΝΑΣ"/>
    <x v="6"/>
  </r>
  <r>
    <x v="5644"/>
    <x v="0"/>
    <s v="ΠΕ04.02"/>
    <s v="ΧΗΜ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8-08-07T00:00:00"/>
    <x v="0"/>
    <s v="ΔΙΕΥΘΥΝΣΗ Δ.Ε. ΑΝΑΤΟΛΙΚΗΣ ΑΤΤΙΚΗΣ"/>
    <x v="6"/>
  </r>
  <r>
    <x v="5645"/>
    <x v="1"/>
    <s v="ΠΕ06"/>
    <s v="ΑΓΓ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m/>
    <s v="Ιδιωτικά Σχολεία"/>
    <x v="3"/>
    <s v="0580200"/>
    <s v="ΙΔΙΩΤΙΚΟ ΛΥΚΕΙΟ &quot;ΣΧΟΛΗ ΜΩΡΑΪΤΗ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67-10-26T00:00:00"/>
    <x v="0"/>
    <s v="ΔΙΕΥΘΥΝΣΗ Δ.Ε. Β΄ ΑΘΗΝΑΣ"/>
    <x v="6"/>
  </r>
  <r>
    <x v="5646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d v="1966-10-19T00:00:00"/>
    <x v="0"/>
    <s v="ΔΙΕΥΘΥΝΣΗ Δ.Ε. ΑΝΑΤΟΛΙΚΗΣ ΑΤΤΙΚΗΣ"/>
    <x v="6"/>
  </r>
  <r>
    <x v="5647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80050"/>
    <s v="ΙΔΙΩΤΙΚΟ ΗΜΕΡΗΣΙΟ ΛΥΚΕΙΟ ΘΕΣΣΑΛΟΝΙΚΗΣ- ΕΛΛΗΝΙΚΟ ΚΟΛΛΕΓΙΟ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3-04-03T00:00:00"/>
    <x v="0"/>
    <s v="ΔΙΕΥΘΥΝΣΗ Δ.Ε. ΑΝΑΤ. ΘΕΣ/ΝΙΚΗΣ"/>
    <x v="6"/>
  </r>
  <r>
    <x v="5648"/>
    <x v="1"/>
    <s v="ΠΕ06"/>
    <s v="ΑΓΓΛΙΚΗΣ ΦΙΛΟΛΟΓΙΑΣ"/>
    <m/>
    <m/>
    <s v="Γ΄"/>
    <n v="1"/>
    <m/>
    <m/>
    <s v="Β΄ ΑΘΗΝΑΣ (Δ.Ε.) 2018"/>
    <s v="ΔΙΕΥΘΥΝΣΗ Δ.Ε. Β΄ ΑΘΗΝΑΣ"/>
    <s v="ΠΕΡΙΦΕΡΕΙΑΚΗ Δ/ΝΣΗ Α/ΘΜΙΑΣ ΚΑΙ Β/ΘΜΙΑΣ ΕΚΠ/ΣΗΣ ΑΤΤΙΚΗΣ"/>
    <n v="30"/>
    <m/>
    <s v="Ιδιωτικά Σχολεία"/>
    <x v="2"/>
    <s v="0591901"/>
    <s v="ΑΜΕΡΙΚΑΝΙΚΟ ΚΟΛΛΕΓΙΟ ΕΛΛΑΔΟΣ-ΙΔΙΩΤΙΚΟ ΓΥΜΝΑΣΙΟ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d v="1952-11-14T00:00:00"/>
    <x v="0"/>
    <s v="ΔΙΕΥΘΥΝΣΗ Δ.Ε. Β΄ ΑΘΗΝΑΣ"/>
    <x v="6"/>
  </r>
  <r>
    <x v="5649"/>
    <x v="0"/>
    <s v="ΠΕ11"/>
    <s v="ΦΥΣΙΚΗΣ ΑΓΩΓ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0"/>
    <x v="1"/>
    <s v="ΠΕ02"/>
    <s v="ΦΙΛ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1"/>
    <x v="0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2"/>
    <x v="1"/>
    <s v="ΠΕ04.01"/>
    <s v="ΦΥΣΙΚ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3"/>
    <x v="1"/>
    <s v="ΠΕ01"/>
    <s v="ΘΕΟΛΟΓΟΙ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3"/>
    <s v="0561005"/>
    <s v="ΙΔΙΩΤΙΚΟ ΗΜΕΡΗΣΙΟ ΓΕΝΙΚΟ ΛΥΚΕ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4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5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1725"/>
    <s v="ΕΚΠΑΙΔΕΥΤΗΡΙΑ ΚΑΙΣΑΡΗ ΑΕ                   ΕΤΟΣ ΙΔΡΥΣΗΣ 1960  ΙΔΙΩΤΙΚΟ ΣΧΟΛΕΙΟ ΔΕΥΤΕΡΟΒΑΘΜΙΑΣ ΕΚΠΑΙΔΕΥΣΗΣ   ΓΥΜΝΑΣ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6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7"/>
    <x v="1"/>
    <s v="ΠΕ86"/>
    <s v="ΠΛΗΡΟΦΟΡΙΚΗ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8"/>
    <x v="0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3"/>
    <s v="0580725"/>
    <s v="ΕΚΠΑΙΔΕΥΤΗΡΙΑ ΚΑΙΣΑΡΗ ΑΕ    ΕΤΟΣ ΙΔΡΥΣΗΣ 1960   ΙΔΙΩΤΙΚΟ ΣΧΟΛΕΙΟ ΔΕΥΤΕΡΟΒΑΘΜΙΑΣ ΕΚΠΑΙΔΕΥΣΗΣ    ΗΜΕΡΗΣΙΟ ΓΕΝΙΚΟ ΛΥΚΕΙΟ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59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60"/>
    <x v="1"/>
    <s v="ΠΕ06"/>
    <s v="ΑΓΓΛΙΚΗΣ ΦΙΛΟΛΟΓΙΑΣ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61"/>
    <x v="1"/>
    <s v="ΠΕ08"/>
    <s v="ΚΑΛΛΙΤΕΧΝΙΚΩΝ"/>
    <m/>
    <m/>
    <s v="Γ΄"/>
    <n v="1"/>
    <m/>
    <m/>
    <s v="Α΄ ΑΝΑΤ. ΑΤΤΙΚΗΣ (Δ.Ε.) 2018"/>
    <s v="ΔΙΕΥΘΥΝΣΗ Δ.Ε. ΑΝΑΤΟΛΙΚΗΣ ΑΤΤΙΚΗΣ"/>
    <s v="ΠΕΡΙΦΕΡΕΙΑΚΗ Δ/ΝΣΗ Α/ΘΜΙΑΣ ΚΑΙ Β/ΘΜΙΑΣ ΕΚΠ/ΣΗΣ ΑΤΤΙΚΗΣ"/>
    <n v="30"/>
    <m/>
    <s v="Ιδιωτικά Σχολεία"/>
    <x v="2"/>
    <s v="0580505"/>
    <s v="ΙΔΙΩΤΙΚΟ ΗΜΕΡΗΣΙΟ ΓΥΜΝΑΣΙΟ ΕΚΠΑΙΔΕΥΤΗΡΙΑ ΓΕΙΤΟΝΑ ΑΕΜΕ"/>
    <s v="Α΄ ΑΝΑΤ. ΑΤΤΙΚΗΣ (Δ.Ε.) 2018"/>
    <s v="ΔΙΕΥΘΥΝΣΗ Δ.Ε. ΑΝΑΤΟΛΙΚΗΣ ΑΤΤΙΚΗΣ"/>
    <s v="ΠΕΡΙΦΕΡΕΙΑΚΗ Δ/ΝΣΗ Α/ΘΜΙΑΣ ΚΑΙ Β/ΘΜΙΑΣ ΕΚΠ/ΣΗΣ ΑΤΤΙΚΗΣ"/>
    <x v="1"/>
    <s v="Τοποθέτηση σε Ιδιωτική Εκπαίδευση"/>
    <m/>
    <x v="0"/>
    <s v="ΔΙΕΥΘΥΝΣΗ Δ.Ε. ΑΝΑΤΟΛΙΚΗΣ ΑΤΤΙΚΗΣ"/>
    <x v="6"/>
  </r>
  <r>
    <x v="5662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6"/>
  </r>
  <r>
    <x v="5663"/>
    <x v="1"/>
    <s v="ΠΕ05"/>
    <s v="ΓΑΛΛΙΚΗΣ ΦΙΛΟΛΟΓΙΑΣ"/>
    <m/>
    <m/>
    <s v="Α΄"/>
    <n v="1"/>
    <m/>
    <m/>
    <s v="Β΄ ΑΘΗΝΑΣ (Δ.Ε.) 2018"/>
    <s v="ΔΙΕΥΘΥΝΣΗ Δ.Ε. Β΄ ΑΘΗΝΑΣ"/>
    <s v="ΠΕΡΙΦΕΡΕΙΑΚΗ Δ/ΝΣΗ Α/ΘΜΙΑΣ ΚΑΙ Β/ΘΜΙΑΣ ΕΚΠ/ΣΗΣ ΑΤΤΙΚΗΣ"/>
    <n v="30"/>
    <m/>
    <s v="Ιδιωτικά Σχολεία"/>
    <x v="3"/>
    <s v="0590910"/>
    <s v="ΙΔΙΩΤΙΚΟ ΗΜΕΡΗΣΙΟ ΓΕΝΙΚΟ ΛΥΚΕΙΟ ΕΛΛΗΝΟΓΑΛΛΙΚΗ ΣΧΟΛΗ ΑΓΙΑΣ ΠΑΡΑΣΚΕΥΗΣ &quot;ΕΥΓΕΝΙΟΣ ΝΤΕΛΑΚΡΟΥΑ&quot;"/>
    <s v="Β΄ ΑΘΗΝΑΣ (Δ.Ε.) 2018"/>
    <s v="ΔΙΕΥΘΥΝΣΗ Δ.Ε. Β΄ ΑΘΗΝΑΣ"/>
    <s v="ΠΕΡΙΦΕΡΕΙΑΚΗ Δ/ΝΣΗ Α/ΘΜΙΑΣ ΚΑΙ Β/ΘΜΙΑΣ ΕΚΠ/ΣΗΣ ΑΤΤΙΚΗΣ"/>
    <x v="1"/>
    <s v="Τοποθέτηση σε Ιδιωτική Εκπαίδευση"/>
    <m/>
    <x v="0"/>
    <s v="ΔΙΕΥΘΥΝΣΗ Δ.Ε. Β΄ ΑΘΗΝΑΣ"/>
    <x v="6"/>
  </r>
  <r>
    <x v="5664"/>
    <x v="1"/>
    <s v="ΠΕ06"/>
    <s v="ΑΓΓΛ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65"/>
    <x v="1"/>
    <s v="ΠΕ07"/>
    <s v="ΓΕΡΜΑΝ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66"/>
    <x v="1"/>
    <s v="ΠΕ03"/>
    <s v="ΜΑΘΗΜΑΤ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67"/>
    <x v="0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68"/>
    <x v="1"/>
    <s v="ΠΕ01"/>
    <s v="ΘΕ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69"/>
    <x v="1"/>
    <s v="ΠΕ79.01"/>
    <s v="ΜΟΥΣΙΚΗΣ ΕΠΙΣΤΗΜ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0"/>
    <x v="0"/>
    <s v="ΠΕ80"/>
    <s v="ΟΙΚΟΝΟΜ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1"/>
    <x v="1"/>
    <s v="ΠΕ04.02"/>
    <s v="ΧΗΜ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2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3"/>
    <x v="0"/>
    <s v="ΠΕ86"/>
    <s v="ΠΛΗΡΟΦΟΡΙΚ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4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5"/>
    <x v="0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6"/>
    <x v="0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7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8"/>
    <x v="1"/>
    <s v="ΠΕ04.04"/>
    <s v="ΒΙ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79"/>
    <x v="1"/>
    <s v="ΠΕ07"/>
    <s v="ΓΕΡΜΑΝ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0"/>
    <x v="1"/>
    <s v="ΠΕ07"/>
    <s v="ΓΕΡΜΑΝΙΚΗΣ ΦΙΛΟΛΟΓΙΑ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1"/>
    <x v="1"/>
    <s v="ΠΕ02"/>
    <s v="ΦΙΛ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2"/>
    <x v="1"/>
    <s v="ΠΕ78"/>
    <s v="ΚΟΙΝΩΝΙΚΩΝ ΕΠΙΣΤΗΜΩΝ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3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4"/>
    <x v="1"/>
    <s v="ΠΕ11"/>
    <s v="ΦΥΣΙΚΗΣ ΑΓΩΓΗΣ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5"/>
    <x v="0"/>
    <s v="ΠΕ01"/>
    <s v="ΘΕΟΛΟΓ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30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m/>
    <x v="0"/>
    <s v="ΔΙΕΥΘΥΝΣΗ Δ.Ε. ΑΝΑΤ. ΘΕΣ/ΝΙΚΗΣ"/>
    <x v="6"/>
  </r>
  <r>
    <x v="5686"/>
    <x v="0"/>
    <s v="ΠΕ04.01"/>
    <s v="ΦΥΣΙΚΟΙ"/>
    <m/>
    <m/>
    <s v="Α΄"/>
    <n v="1"/>
    <m/>
    <m/>
    <s v="Α΄ ΘΕΣΣΑΛΟΝΙΚΗΣ (Δ.Ε.) 2018"/>
    <s v="ΔΙΕΥΘΥΝΣΗ Δ.Ε. ΑΝΑΤ. ΘΕΣ/ΝΙΚΗΣ"/>
    <s v="ΠΕΡΙΦΕΡΕΙΑΚΗ Δ/ΝΣΗ Α/ΘΜΙΑΣ ΚΑΙ Β/ΘΜΙΑΣ ΕΚΠ/ΣΗΣ ΚΕΝΤΡΙΚΗΣ ΜΑΚΕΔΟΝΙΑΣ"/>
    <n v="236"/>
    <m/>
    <s v="Ιδιωτικά Σχολεία"/>
    <x v="3"/>
    <s v="1990912"/>
    <s v="ΙΔΙΩΤΙΚΟ ΗΜΕΡΗΣΙΟ ΛΥΚΕΙΟ - ΓΕΡΜΑΝΙΚΗ ΣΧΟΛΗ ΘΕΣΣΑΛΟΝΙΚΗΣ"/>
    <s v="Α΄ ΘΕΣΣΑΛΟΝΙΚΗΣ (Δ.Ε.) 2018"/>
    <s v="ΔΙΕΥΘΥΝΣΗ Δ.Ε. ΑΝΑΤ. ΘΕΣ/ΝΙΚΗΣ"/>
    <s v="ΠΕΡΙΦΕΡΕΙΑΚΗ Δ/ΝΣΗ Α/ΘΜΙΑΣ ΚΑΙ Β/ΘΜΙΑΣ ΕΚΠ/ΣΗΣ ΚΕΝΤΡΙΚΗΣ ΜΑΚΕΔΟΝΙΑΣ"/>
    <x v="1"/>
    <s v="Τοποθέτηση σε Ιδιωτική Εκπαίδευση"/>
    <d v="1967-08-11T00:00:00"/>
    <x v="0"/>
    <s v="ΔΙΕΥΘΥΝΣΗ Δ.Ε. ΑΝΑΤ. ΘΕΣ/ΝΙΚΗΣ"/>
    <x v="6"/>
  </r>
  <r>
    <x v="5687"/>
    <x v="2"/>
    <m/>
    <m/>
    <m/>
    <m/>
    <m/>
    <m/>
    <m/>
    <m/>
    <m/>
    <m/>
    <m/>
    <m/>
    <m/>
    <m/>
    <x v="6"/>
    <m/>
    <m/>
    <m/>
    <m/>
    <m/>
    <x v="4"/>
    <m/>
    <m/>
    <x v="2"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Συγκεντρωτικός Πίνακας1" cacheId="0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compact="0" compactData="0" multipleFieldFilters="0">
  <location ref="A7:C52" firstHeaderRow="1" firstDataRow="1" firstDataCol="2" rowPageCount="3" colPageCount="1"/>
  <pivotFields count="35"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">
        <item x="17"/>
        <item x="9"/>
        <item x="3"/>
        <item x="5"/>
        <item x="19"/>
        <item x="11"/>
        <item x="42"/>
        <item x="4"/>
        <item x="26"/>
        <item x="6"/>
        <item x="0"/>
        <item x="10"/>
        <item x="7"/>
        <item x="8"/>
        <item x="43"/>
        <item x="25"/>
        <item x="33"/>
        <item x="28"/>
        <item x="2"/>
        <item x="1"/>
        <item x="21"/>
        <item x="27"/>
        <item x="20"/>
        <item x="18"/>
        <item x="30"/>
        <item x="15"/>
        <item x="24"/>
        <item x="16"/>
        <item x="23"/>
        <item x="29"/>
        <item x="22"/>
        <item x="14"/>
        <item x="38"/>
        <item x="39"/>
        <item x="41"/>
        <item x="34"/>
        <item x="40"/>
        <item x="35"/>
        <item x="31"/>
        <item x="37"/>
        <item x="12"/>
        <item x="36"/>
        <item x="13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0"/>
        <item x="4"/>
        <item x="6"/>
        <item x="10"/>
        <item x="26"/>
        <item x="35"/>
        <item x="37"/>
        <item x="1"/>
        <item x="21"/>
        <item x="33"/>
        <item x="40"/>
        <item x="23"/>
        <item x="28"/>
        <item x="12"/>
        <item x="9"/>
        <item x="27"/>
        <item x="32"/>
        <item x="7"/>
        <item x="34"/>
        <item x="20"/>
        <item x="5"/>
        <item x="16"/>
        <item x="17"/>
        <item x="18"/>
        <item x="13"/>
        <item x="42"/>
        <item x="36"/>
        <item x="2"/>
        <item x="15"/>
        <item x="14"/>
        <item x="25"/>
        <item x="24"/>
        <item x="30"/>
        <item x="29"/>
        <item x="3"/>
        <item x="8"/>
        <item x="19"/>
        <item x="39"/>
        <item x="41"/>
        <item x="38"/>
        <item x="11"/>
        <item x="22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9">
        <item x="6"/>
        <item x="0"/>
        <item x="1"/>
        <item x="7"/>
        <item x="8"/>
        <item x="4"/>
        <item x="3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3">
        <item x="3"/>
        <item x="35"/>
        <item x="41"/>
        <item x="47"/>
        <item x="61"/>
        <item x="53"/>
        <item x="0"/>
        <item x="42"/>
        <item x="50"/>
        <item x="37"/>
        <item x="36"/>
        <item x="65"/>
        <item x="17"/>
        <item x="39"/>
        <item x="56"/>
        <item x="44"/>
        <item x="14"/>
        <item x="4"/>
        <item x="54"/>
        <item x="43"/>
        <item x="30"/>
        <item x="60"/>
        <item x="58"/>
        <item x="6"/>
        <item x="16"/>
        <item x="33"/>
        <item x="28"/>
        <item x="9"/>
        <item x="27"/>
        <item x="32"/>
        <item x="67"/>
        <item x="23"/>
        <item x="11"/>
        <item x="63"/>
        <item x="59"/>
        <item x="1"/>
        <item x="57"/>
        <item x="29"/>
        <item x="26"/>
        <item x="5"/>
        <item x="55"/>
        <item x="31"/>
        <item x="48"/>
        <item x="70"/>
        <item x="38"/>
        <item x="71"/>
        <item x="34"/>
        <item x="45"/>
        <item x="66"/>
        <item x="51"/>
        <item x="18"/>
        <item x="69"/>
        <item x="24"/>
        <item x="22"/>
        <item x="2"/>
        <item x="52"/>
        <item x="19"/>
        <item x="64"/>
        <item x="13"/>
        <item x="40"/>
        <item x="21"/>
        <item x="15"/>
        <item x="46"/>
        <item x="10"/>
        <item x="68"/>
        <item x="62"/>
        <item x="20"/>
        <item x="25"/>
        <item x="8"/>
        <item x="49"/>
        <item x="7"/>
        <item x="12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45">
    <i>
      <x/>
      <x v="22"/>
    </i>
    <i>
      <x v="1"/>
      <x v="14"/>
    </i>
    <i>
      <x v="2"/>
      <x v="34"/>
    </i>
    <i>
      <x v="3"/>
      <x v="20"/>
    </i>
    <i>
      <x v="4"/>
      <x v="36"/>
    </i>
    <i>
      <x v="5"/>
      <x v="40"/>
    </i>
    <i>
      <x v="6"/>
      <x v="38"/>
    </i>
    <i>
      <x v="7"/>
      <x v="1"/>
    </i>
    <i>
      <x v="8"/>
      <x v="4"/>
    </i>
    <i>
      <x v="9"/>
      <x v="2"/>
    </i>
    <i>
      <x v="10"/>
      <x/>
    </i>
    <i>
      <x v="11"/>
      <x v="3"/>
    </i>
    <i>
      <x v="12"/>
      <x v="17"/>
    </i>
    <i>
      <x v="13"/>
      <x v="35"/>
    </i>
    <i>
      <x v="14"/>
      <x v="25"/>
    </i>
    <i>
      <x v="15"/>
      <x v="30"/>
    </i>
    <i>
      <x v="16"/>
      <x v="16"/>
    </i>
    <i>
      <x v="17"/>
      <x v="15"/>
    </i>
    <i>
      <x v="18"/>
      <x v="27"/>
    </i>
    <i>
      <x v="19"/>
      <x v="7"/>
    </i>
    <i>
      <x v="20"/>
      <x v="8"/>
    </i>
    <i>
      <x v="21"/>
      <x v="8"/>
    </i>
    <i>
      <x v="22"/>
      <x v="19"/>
    </i>
    <i>
      <x v="23"/>
      <x v="23"/>
    </i>
    <i>
      <x v="24"/>
      <x v="33"/>
    </i>
    <i>
      <x v="25"/>
      <x v="28"/>
    </i>
    <i>
      <x v="26"/>
      <x v="31"/>
    </i>
    <i>
      <x v="27"/>
      <x v="21"/>
    </i>
    <i>
      <x v="28"/>
      <x v="11"/>
    </i>
    <i>
      <x v="29"/>
      <x v="12"/>
    </i>
    <i>
      <x v="30"/>
      <x v="41"/>
    </i>
    <i>
      <x v="31"/>
      <x v="29"/>
    </i>
    <i>
      <x v="32"/>
      <x v="6"/>
    </i>
    <i>
      <x v="33"/>
      <x v="39"/>
    </i>
    <i>
      <x v="34"/>
      <x v="10"/>
    </i>
    <i>
      <x v="35"/>
      <x v="9"/>
    </i>
    <i>
      <x v="36"/>
      <x v="37"/>
    </i>
    <i>
      <x v="37"/>
      <x v="18"/>
    </i>
    <i>
      <x v="38"/>
      <x v="32"/>
    </i>
    <i>
      <x v="39"/>
      <x v="26"/>
    </i>
    <i>
      <x v="40"/>
      <x v="13"/>
    </i>
    <i>
      <x v="41"/>
      <x v="5"/>
    </i>
    <i>
      <x v="42"/>
      <x v="24"/>
    </i>
    <i>
      <x v="43"/>
      <x v="42"/>
    </i>
    <i t="grand">
      <x/>
    </i>
  </rowItems>
  <colItems count="1">
    <i/>
  </colItems>
  <pageFields count="3">
    <pageField fld="22" hier="-1"/>
    <pageField fld="26" hier="-1"/>
    <pageField fld="31" hier="-1"/>
  </pageFields>
  <dataFields count="1">
    <dataField name="Καταμέτρηση από KLEIDI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Συγκεντρωτικός Πίνακας1" cacheId="1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4:G24" firstHeaderRow="1" firstDataRow="2" firstDataCol="1" rowPageCount="2" colPageCount="1"/>
  <pivotFields count="28">
    <pivotField dataField="1" showAll="0" defaultSubtotal="0">
      <items count="56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0">
        <item x="8"/>
        <item x="2"/>
        <item x="4"/>
        <item x="0"/>
        <item x="5"/>
        <item x="7"/>
        <item x="3"/>
        <item x="1"/>
        <item x="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2"/>
        <item x="1"/>
        <item x="3"/>
        <item x="0"/>
        <item x="4"/>
        <item t="default"/>
      </items>
    </pivotField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axis="axisRow" showAll="0">
      <items count="9">
        <item x="0"/>
        <item x="2"/>
        <item x="3"/>
        <item x="4"/>
        <item x="5"/>
        <item x="6"/>
        <item x="1"/>
        <item x="7"/>
        <item t="default"/>
      </items>
    </pivotField>
  </pivotFields>
  <rowFields count="2">
    <field x="25"/>
    <field x="27"/>
  </rowFields>
  <rowItems count="1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7"/>
    </i>
    <i t="grand">
      <x/>
    </i>
  </rowItems>
  <colFields count="1">
    <field x="2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6" hier="-1"/>
    <pageField fld="1" hier="-1"/>
  </pageFields>
  <dataFields count="1">
    <dataField name="Καταμέτρηση από KLEIDI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2"/>
  <sheetViews>
    <sheetView topLeftCell="A25" workbookViewId="0">
      <selection activeCell="C7" sqref="C7"/>
    </sheetView>
  </sheetViews>
  <sheetFormatPr defaultRowHeight="15" x14ac:dyDescent="0.25"/>
  <cols>
    <col min="1" max="1" width="32.42578125" customWidth="1"/>
    <col min="2" max="2" width="65.7109375" bestFit="1" customWidth="1"/>
    <col min="3" max="3" width="23.5703125" bestFit="1" customWidth="1"/>
    <col min="4" max="4" width="10.28515625" bestFit="1" customWidth="1"/>
    <col min="5" max="5" width="11.7109375" bestFit="1" customWidth="1"/>
    <col min="6" max="6" width="15.85546875" customWidth="1"/>
    <col min="7" max="7" width="15.42578125" customWidth="1"/>
    <col min="8" max="8" width="10.42578125" customWidth="1"/>
    <col min="9" max="9" width="22.5703125" customWidth="1"/>
    <col min="10" max="10" width="24.7109375" customWidth="1"/>
    <col min="11" max="11" width="14.85546875" customWidth="1"/>
    <col min="12" max="12" width="21.5703125" customWidth="1"/>
    <col min="13" max="13" width="52.140625" bestFit="1" customWidth="1"/>
    <col min="14" max="14" width="15.85546875" customWidth="1"/>
    <col min="15" max="15" width="11.5703125" customWidth="1"/>
    <col min="16" max="16" width="8.5703125" customWidth="1"/>
    <col min="17" max="17" width="9" customWidth="1"/>
    <col min="18" max="18" width="6.5703125" customWidth="1"/>
    <col min="19" max="19" width="16" customWidth="1"/>
    <col min="20" max="20" width="88.140625" bestFit="1" customWidth="1"/>
    <col min="21" max="21" width="44" bestFit="1" customWidth="1"/>
    <col min="22" max="22" width="42.5703125" bestFit="1" customWidth="1"/>
    <col min="23" max="23" width="88.140625" bestFit="1" customWidth="1"/>
    <col min="24" max="24" width="44" bestFit="1" customWidth="1"/>
    <col min="25" max="25" width="42.5703125" bestFit="1" customWidth="1"/>
    <col min="26" max="26" width="88.140625" bestFit="1" customWidth="1"/>
    <col min="27" max="27" width="44" bestFit="1" customWidth="1"/>
    <col min="28" max="28" width="42.5703125" bestFit="1" customWidth="1"/>
    <col min="29" max="29" width="88.140625" bestFit="1" customWidth="1"/>
    <col min="30" max="30" width="44" bestFit="1" customWidth="1"/>
    <col min="31" max="31" width="59.42578125" bestFit="1" customWidth="1"/>
    <col min="32" max="32" width="42.5703125" bestFit="1" customWidth="1"/>
    <col min="33" max="33" width="88.140625" bestFit="1" customWidth="1"/>
    <col min="34" max="34" width="44" bestFit="1" customWidth="1"/>
    <col min="35" max="35" width="8.42578125" customWidth="1"/>
    <col min="36" max="36" width="16" bestFit="1" customWidth="1"/>
  </cols>
  <sheetData>
    <row r="3" spans="1:3" x14ac:dyDescent="0.25">
      <c r="A3" s="39" t="s">
        <v>21</v>
      </c>
      <c r="B3" t="s">
        <v>1776</v>
      </c>
    </row>
    <row r="4" spans="1:3" x14ac:dyDescent="0.25">
      <c r="A4" s="39" t="s">
        <v>25</v>
      </c>
      <c r="B4" t="s">
        <v>1776</v>
      </c>
    </row>
    <row r="5" spans="1:3" x14ac:dyDescent="0.25">
      <c r="A5" s="39" t="s">
        <v>30</v>
      </c>
      <c r="B5" t="s">
        <v>1776</v>
      </c>
    </row>
    <row r="7" spans="1:3" x14ac:dyDescent="0.25">
      <c r="A7" s="39" t="s">
        <v>1</v>
      </c>
      <c r="B7" s="39" t="s">
        <v>2</v>
      </c>
      <c r="C7" t="s">
        <v>1892</v>
      </c>
    </row>
    <row r="8" spans="1:3" x14ac:dyDescent="0.25">
      <c r="A8" t="s">
        <v>721</v>
      </c>
      <c r="B8" t="s">
        <v>722</v>
      </c>
      <c r="C8" s="3">
        <v>2</v>
      </c>
    </row>
    <row r="9" spans="1:3" x14ac:dyDescent="0.25">
      <c r="A9" t="s">
        <v>85</v>
      </c>
      <c r="B9" t="s">
        <v>86</v>
      </c>
      <c r="C9" s="3">
        <v>148</v>
      </c>
    </row>
    <row r="10" spans="1:3" x14ac:dyDescent="0.25">
      <c r="A10" t="s">
        <v>46</v>
      </c>
      <c r="B10" t="s">
        <v>47</v>
      </c>
      <c r="C10" s="3">
        <v>890</v>
      </c>
    </row>
    <row r="11" spans="1:3" x14ac:dyDescent="0.25">
      <c r="A11" t="s">
        <v>52</v>
      </c>
      <c r="B11" t="s">
        <v>53</v>
      </c>
      <c r="C11" s="3">
        <v>425</v>
      </c>
    </row>
    <row r="12" spans="1:3" x14ac:dyDescent="0.25">
      <c r="A12" t="s">
        <v>68</v>
      </c>
      <c r="B12" t="s">
        <v>69</v>
      </c>
      <c r="C12" s="3">
        <v>277</v>
      </c>
    </row>
    <row r="13" spans="1:3" x14ac:dyDescent="0.25">
      <c r="A13" t="s">
        <v>33</v>
      </c>
      <c r="B13" t="s">
        <v>34</v>
      </c>
      <c r="C13" s="3">
        <v>129</v>
      </c>
    </row>
    <row r="14" spans="1:3" x14ac:dyDescent="0.25">
      <c r="A14" t="s">
        <v>282</v>
      </c>
      <c r="B14" t="s">
        <v>283</v>
      </c>
      <c r="C14" s="3">
        <v>1</v>
      </c>
    </row>
    <row r="15" spans="1:3" x14ac:dyDescent="0.25">
      <c r="A15" t="s">
        <v>82</v>
      </c>
      <c r="B15" t="s">
        <v>83</v>
      </c>
      <c r="C15" s="3">
        <v>114</v>
      </c>
    </row>
    <row r="16" spans="1:3" x14ac:dyDescent="0.25">
      <c r="A16" t="s">
        <v>251</v>
      </c>
      <c r="B16" t="s">
        <v>252</v>
      </c>
      <c r="C16" s="3">
        <v>5</v>
      </c>
    </row>
    <row r="17" spans="1:3" x14ac:dyDescent="0.25">
      <c r="A17" t="s">
        <v>139</v>
      </c>
      <c r="B17" t="s">
        <v>140</v>
      </c>
      <c r="C17" s="3">
        <v>279</v>
      </c>
    </row>
    <row r="18" spans="1:3" x14ac:dyDescent="0.25">
      <c r="A18" t="s">
        <v>64</v>
      </c>
      <c r="B18" t="s">
        <v>65</v>
      </c>
      <c r="C18" s="3">
        <v>523</v>
      </c>
    </row>
    <row r="19" spans="1:3" x14ac:dyDescent="0.25">
      <c r="A19" t="s">
        <v>71</v>
      </c>
      <c r="B19" t="s">
        <v>72</v>
      </c>
      <c r="C19" s="3">
        <v>170</v>
      </c>
    </row>
    <row r="20" spans="1:3" x14ac:dyDescent="0.25">
      <c r="A20" t="s">
        <v>143</v>
      </c>
      <c r="B20" t="s">
        <v>144</v>
      </c>
      <c r="C20" s="3">
        <v>94</v>
      </c>
    </row>
    <row r="21" spans="1:3" x14ac:dyDescent="0.25">
      <c r="A21" t="s">
        <v>79</v>
      </c>
      <c r="B21" t="s">
        <v>80</v>
      </c>
      <c r="C21" s="3">
        <v>378</v>
      </c>
    </row>
    <row r="22" spans="1:3" x14ac:dyDescent="0.25">
      <c r="A22" t="s">
        <v>1384</v>
      </c>
      <c r="B22" t="s">
        <v>1385</v>
      </c>
      <c r="C22" s="3">
        <v>1</v>
      </c>
    </row>
    <row r="23" spans="1:3" x14ac:dyDescent="0.25">
      <c r="A23" t="s">
        <v>854</v>
      </c>
      <c r="B23" t="s">
        <v>855</v>
      </c>
      <c r="C23" s="3">
        <v>1</v>
      </c>
    </row>
    <row r="24" spans="1:3" x14ac:dyDescent="0.25">
      <c r="A24" t="s">
        <v>290</v>
      </c>
      <c r="B24" t="s">
        <v>291</v>
      </c>
      <c r="C24" s="3">
        <v>3</v>
      </c>
    </row>
    <row r="25" spans="1:3" x14ac:dyDescent="0.25">
      <c r="A25" t="s">
        <v>204</v>
      </c>
      <c r="B25" t="s">
        <v>205</v>
      </c>
      <c r="C25" s="3">
        <v>8</v>
      </c>
    </row>
    <row r="26" spans="1:3" x14ac:dyDescent="0.25">
      <c r="A26" t="s">
        <v>90</v>
      </c>
      <c r="B26" t="s">
        <v>91</v>
      </c>
      <c r="C26" s="3">
        <v>650</v>
      </c>
    </row>
    <row r="27" spans="1:3" x14ac:dyDescent="0.25">
      <c r="A27" t="s">
        <v>111</v>
      </c>
      <c r="B27" t="s">
        <v>112</v>
      </c>
      <c r="C27" s="3">
        <v>993</v>
      </c>
    </row>
    <row r="28" spans="1:3" x14ac:dyDescent="0.25">
      <c r="A28" t="s">
        <v>1364</v>
      </c>
      <c r="B28" t="s">
        <v>598</v>
      </c>
      <c r="C28" s="3">
        <v>3</v>
      </c>
    </row>
    <row r="29" spans="1:3" x14ac:dyDescent="0.25">
      <c r="A29" t="s">
        <v>597</v>
      </c>
      <c r="B29" t="s">
        <v>598</v>
      </c>
      <c r="C29" s="3">
        <v>4</v>
      </c>
    </row>
    <row r="30" spans="1:3" x14ac:dyDescent="0.25">
      <c r="A30" t="s">
        <v>145</v>
      </c>
      <c r="B30" t="s">
        <v>146</v>
      </c>
      <c r="C30" s="3">
        <v>61</v>
      </c>
    </row>
    <row r="31" spans="1:3" x14ac:dyDescent="0.25">
      <c r="A31" t="s">
        <v>141</v>
      </c>
      <c r="B31" t="s">
        <v>142</v>
      </c>
      <c r="C31" s="3">
        <v>123</v>
      </c>
    </row>
    <row r="32" spans="1:3" x14ac:dyDescent="0.25">
      <c r="A32" t="s">
        <v>1686</v>
      </c>
      <c r="B32" t="s">
        <v>1687</v>
      </c>
      <c r="C32" s="3">
        <v>1</v>
      </c>
    </row>
    <row r="33" spans="1:3" x14ac:dyDescent="0.25">
      <c r="A33" t="s">
        <v>58</v>
      </c>
      <c r="B33" t="s">
        <v>59</v>
      </c>
      <c r="C33" s="3">
        <v>90</v>
      </c>
    </row>
    <row r="34" spans="1:3" x14ac:dyDescent="0.25">
      <c r="A34" t="s">
        <v>149</v>
      </c>
      <c r="B34" t="s">
        <v>150</v>
      </c>
      <c r="C34" s="3">
        <v>23</v>
      </c>
    </row>
    <row r="35" spans="1:3" x14ac:dyDescent="0.25">
      <c r="A35" t="s">
        <v>259</v>
      </c>
      <c r="B35" t="s">
        <v>260</v>
      </c>
      <c r="C35" s="3">
        <v>12</v>
      </c>
    </row>
    <row r="36" spans="1:3" x14ac:dyDescent="0.25">
      <c r="A36" t="s">
        <v>257</v>
      </c>
      <c r="B36" t="s">
        <v>258</v>
      </c>
      <c r="C36" s="3">
        <v>7</v>
      </c>
    </row>
    <row r="37" spans="1:3" x14ac:dyDescent="0.25">
      <c r="A37" t="s">
        <v>151</v>
      </c>
      <c r="B37" t="s">
        <v>152</v>
      </c>
      <c r="C37" s="3">
        <v>6</v>
      </c>
    </row>
    <row r="38" spans="1:3" x14ac:dyDescent="0.25">
      <c r="A38" t="s">
        <v>298</v>
      </c>
      <c r="B38" t="s">
        <v>299</v>
      </c>
      <c r="C38" s="3">
        <v>4</v>
      </c>
    </row>
    <row r="39" spans="1:3" x14ac:dyDescent="0.25">
      <c r="A39" t="s">
        <v>61</v>
      </c>
      <c r="B39" t="s">
        <v>62</v>
      </c>
      <c r="C39" s="3">
        <v>187</v>
      </c>
    </row>
    <row r="40" spans="1:3" x14ac:dyDescent="0.25">
      <c r="A40" t="s">
        <v>1292</v>
      </c>
      <c r="B40" t="s">
        <v>1293</v>
      </c>
      <c r="C40" s="3">
        <v>3</v>
      </c>
    </row>
    <row r="41" spans="1:3" x14ac:dyDescent="0.25">
      <c r="A41" t="s">
        <v>1282</v>
      </c>
      <c r="B41" t="s">
        <v>1283</v>
      </c>
      <c r="C41" s="3">
        <v>5</v>
      </c>
    </row>
    <row r="42" spans="1:3" x14ac:dyDescent="0.25">
      <c r="A42" t="s">
        <v>1290</v>
      </c>
      <c r="B42" t="s">
        <v>1291</v>
      </c>
      <c r="C42" s="3">
        <v>3</v>
      </c>
    </row>
    <row r="43" spans="1:3" x14ac:dyDescent="0.25">
      <c r="A43" t="s">
        <v>188</v>
      </c>
      <c r="B43" t="s">
        <v>189</v>
      </c>
      <c r="C43" s="3">
        <v>3</v>
      </c>
    </row>
    <row r="44" spans="1:3" x14ac:dyDescent="0.25">
      <c r="A44" t="s">
        <v>275</v>
      </c>
      <c r="B44" t="s">
        <v>276</v>
      </c>
      <c r="C44" s="3">
        <v>2</v>
      </c>
    </row>
    <row r="45" spans="1:3" x14ac:dyDescent="0.25">
      <c r="A45" t="s">
        <v>1570</v>
      </c>
      <c r="B45" t="s">
        <v>1571</v>
      </c>
      <c r="C45" s="3">
        <v>1</v>
      </c>
    </row>
    <row r="46" spans="1:3" x14ac:dyDescent="0.25">
      <c r="A46" t="s">
        <v>295</v>
      </c>
      <c r="B46" t="s">
        <v>296</v>
      </c>
      <c r="C46" s="3">
        <v>4</v>
      </c>
    </row>
    <row r="47" spans="1:3" x14ac:dyDescent="0.25">
      <c r="A47" t="s">
        <v>924</v>
      </c>
      <c r="B47" t="s">
        <v>925</v>
      </c>
      <c r="C47" s="3">
        <v>1</v>
      </c>
    </row>
    <row r="48" spans="1:3" x14ac:dyDescent="0.25">
      <c r="A48" t="s">
        <v>136</v>
      </c>
      <c r="B48" t="s">
        <v>137</v>
      </c>
      <c r="C48" s="3">
        <v>22</v>
      </c>
    </row>
    <row r="49" spans="1:3" x14ac:dyDescent="0.25">
      <c r="A49" t="s">
        <v>1297</v>
      </c>
      <c r="B49" t="s">
        <v>1298</v>
      </c>
      <c r="C49" s="3">
        <v>1</v>
      </c>
    </row>
    <row r="50" spans="1:3" x14ac:dyDescent="0.25">
      <c r="A50" t="s">
        <v>117</v>
      </c>
      <c r="B50" t="s">
        <v>118</v>
      </c>
      <c r="C50" s="3">
        <v>29</v>
      </c>
    </row>
    <row r="51" spans="1:3" x14ac:dyDescent="0.25">
      <c r="A51" t="s">
        <v>1775</v>
      </c>
      <c r="B51" t="s">
        <v>1775</v>
      </c>
      <c r="C51" s="3">
        <v>1</v>
      </c>
    </row>
    <row r="52" spans="1:3" x14ac:dyDescent="0.25">
      <c r="A52" t="s">
        <v>1742</v>
      </c>
      <c r="C52" s="3">
        <v>5687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"/>
  <sheetViews>
    <sheetView tabSelected="1" workbookViewId="0">
      <selection activeCell="K29" sqref="K29"/>
    </sheetView>
  </sheetViews>
  <sheetFormatPr defaultRowHeight="15" x14ac:dyDescent="0.25"/>
  <cols>
    <col min="1" max="1" width="16" bestFit="1" customWidth="1"/>
    <col min="6" max="6" width="16" bestFit="1" customWidth="1"/>
    <col min="13" max="13" width="7.42578125" bestFit="1" customWidth="1"/>
    <col min="16" max="16" width="15.7109375" bestFit="1" customWidth="1"/>
    <col min="17" max="17" width="7.5703125" bestFit="1" customWidth="1"/>
    <col min="18" max="19" width="6.140625" bestFit="1" customWidth="1"/>
    <col min="21" max="22" width="6.140625" bestFit="1" customWidth="1"/>
    <col min="23" max="23" width="7.42578125" bestFit="1" customWidth="1"/>
    <col min="24" max="25" width="6.140625" bestFit="1" customWidth="1"/>
  </cols>
  <sheetData>
    <row r="1" spans="1:25" ht="15.75" thickBot="1" x14ac:dyDescent="0.3">
      <c r="A1" s="7" t="s">
        <v>1854</v>
      </c>
      <c r="G1" s="194" t="s">
        <v>1855</v>
      </c>
      <c r="H1" s="195"/>
      <c r="I1" s="195"/>
      <c r="J1" s="195"/>
      <c r="K1" s="195"/>
      <c r="L1" s="195"/>
      <c r="M1" s="196"/>
      <c r="N1" s="196"/>
      <c r="P1" s="180" t="s">
        <v>1856</v>
      </c>
    </row>
    <row r="2" spans="1:25" ht="15.75" thickBot="1" x14ac:dyDescent="0.3">
      <c r="F2" s="63"/>
      <c r="G2" s="187" t="s">
        <v>1747</v>
      </c>
      <c r="H2" s="188"/>
      <c r="I2" s="189"/>
      <c r="J2" s="190" t="s">
        <v>1748</v>
      </c>
      <c r="K2" s="188"/>
      <c r="L2" s="189"/>
      <c r="P2" s="67"/>
      <c r="Q2" s="191" t="s">
        <v>1747</v>
      </c>
      <c r="R2" s="192"/>
      <c r="S2" s="193"/>
      <c r="T2" s="191" t="s">
        <v>1748</v>
      </c>
      <c r="U2" s="192"/>
      <c r="V2" s="193"/>
    </row>
    <row r="3" spans="1:25" ht="15.75" thickBot="1" x14ac:dyDescent="0.3">
      <c r="A3" s="7" t="s">
        <v>1785</v>
      </c>
      <c r="B3" s="31" t="s">
        <v>1752</v>
      </c>
      <c r="C3" s="31" t="s">
        <v>1760</v>
      </c>
      <c r="F3" s="64" t="s">
        <v>1785</v>
      </c>
      <c r="G3" s="43" t="s">
        <v>1752</v>
      </c>
      <c r="H3" s="44" t="s">
        <v>1760</v>
      </c>
      <c r="I3" s="49"/>
      <c r="J3" s="56" t="s">
        <v>1752</v>
      </c>
      <c r="K3" s="44" t="s">
        <v>1760</v>
      </c>
      <c r="L3" s="49"/>
      <c r="M3" s="43" t="s">
        <v>1763</v>
      </c>
      <c r="P3" s="68" t="s">
        <v>1785</v>
      </c>
      <c r="Q3" s="69" t="s">
        <v>1752</v>
      </c>
      <c r="R3" s="70" t="s">
        <v>1760</v>
      </c>
      <c r="S3" s="71"/>
      <c r="T3" s="70" t="s">
        <v>1752</v>
      </c>
      <c r="U3" s="70" t="s">
        <v>1760</v>
      </c>
      <c r="V3" s="71"/>
      <c r="W3" s="69" t="s">
        <v>1763</v>
      </c>
    </row>
    <row r="4" spans="1:25" x14ac:dyDescent="0.25">
      <c r="A4" t="s">
        <v>1777</v>
      </c>
      <c r="B4">
        <v>588</v>
      </c>
      <c r="C4" s="10">
        <f>B4/$B$13</f>
        <v>0.10339370494109372</v>
      </c>
      <c r="F4" s="65" t="s">
        <v>1777</v>
      </c>
      <c r="G4" s="62">
        <v>79</v>
      </c>
      <c r="H4" s="48">
        <f>G4/$G$13</f>
        <v>4.6117921774664332E-2</v>
      </c>
      <c r="I4" s="51"/>
      <c r="J4" s="50">
        <v>509</v>
      </c>
      <c r="K4" s="57">
        <f>J4/$J$13</f>
        <v>0.12808253648716658</v>
      </c>
      <c r="L4" s="58"/>
      <c r="M4" s="3">
        <v>588</v>
      </c>
      <c r="P4" s="72" t="s">
        <v>1777</v>
      </c>
      <c r="Q4" s="73">
        <v>30</v>
      </c>
      <c r="R4" s="74">
        <v>2.2200000000000001E-2</v>
      </c>
      <c r="S4" s="75"/>
      <c r="T4" s="73">
        <v>86</v>
      </c>
      <c r="U4" s="76">
        <v>4.5400000000000003E-2</v>
      </c>
      <c r="V4" s="77"/>
      <c r="W4" s="78">
        <v>116</v>
      </c>
      <c r="X4" s="76">
        <v>3.5700000000000003E-2</v>
      </c>
    </row>
    <row r="5" spans="1:25" ht="15.75" thickBot="1" x14ac:dyDescent="0.3">
      <c r="A5" t="s">
        <v>1778</v>
      </c>
      <c r="B5">
        <v>1399</v>
      </c>
      <c r="C5" s="42">
        <f t="shared" ref="C5:C12" si="0">B5/$B$13</f>
        <v>0.24599964832073148</v>
      </c>
      <c r="D5" s="42">
        <f>SUM(C4:C5)</f>
        <v>0.34939335326182519</v>
      </c>
      <c r="F5" s="65" t="s">
        <v>1778</v>
      </c>
      <c r="G5" s="62">
        <v>288</v>
      </c>
      <c r="H5" s="45">
        <f t="shared" ref="H5:H12" si="1">G5/$G$13</f>
        <v>0.1681260945709282</v>
      </c>
      <c r="I5" s="52">
        <f>SUM(H4:H5)</f>
        <v>0.21424401634559254</v>
      </c>
      <c r="J5" s="50">
        <v>1111</v>
      </c>
      <c r="K5" s="46">
        <f t="shared" ref="K5:K12" si="2">J5/$J$13</f>
        <v>0.27956718671363867</v>
      </c>
      <c r="L5" s="59">
        <f>SUM(K4:K5)</f>
        <v>0.40764972320080528</v>
      </c>
      <c r="M5" s="3">
        <v>1399</v>
      </c>
      <c r="O5" t="s">
        <v>1790</v>
      </c>
      <c r="P5" s="72" t="s">
        <v>1778</v>
      </c>
      <c r="Q5" s="73">
        <v>192</v>
      </c>
      <c r="R5" s="79">
        <v>0.1419</v>
      </c>
      <c r="S5" s="80">
        <v>0.1641</v>
      </c>
      <c r="T5" s="73">
        <v>427</v>
      </c>
      <c r="U5" s="81">
        <v>0.22539999999999999</v>
      </c>
      <c r="V5" s="82">
        <v>0.27089999999999997</v>
      </c>
      <c r="W5" s="83">
        <v>619</v>
      </c>
      <c r="X5" s="81">
        <v>0.19059999999999999</v>
      </c>
      <c r="Y5" s="81">
        <v>0.22639999999999999</v>
      </c>
    </row>
    <row r="6" spans="1:25" ht="15.75" thickTop="1" x14ac:dyDescent="0.25">
      <c r="A6" t="s">
        <v>1779</v>
      </c>
      <c r="B6">
        <v>763</v>
      </c>
      <c r="C6" s="10">
        <f t="shared" si="0"/>
        <v>0.13416564093546685</v>
      </c>
      <c r="F6" s="65" t="s">
        <v>1779</v>
      </c>
      <c r="G6" s="62">
        <v>245</v>
      </c>
      <c r="H6" s="48">
        <f t="shared" si="1"/>
        <v>0.14302393461762988</v>
      </c>
      <c r="I6" s="51"/>
      <c r="J6" s="50">
        <v>518</v>
      </c>
      <c r="K6" s="57">
        <f t="shared" si="2"/>
        <v>0.13034725717161549</v>
      </c>
      <c r="L6" s="58"/>
      <c r="M6" s="3">
        <v>763</v>
      </c>
      <c r="P6" s="72" t="s">
        <v>1779</v>
      </c>
      <c r="Q6" s="73">
        <v>187</v>
      </c>
      <c r="R6" s="74">
        <v>0.13819999999999999</v>
      </c>
      <c r="S6" s="75"/>
      <c r="T6" s="73">
        <v>267</v>
      </c>
      <c r="U6" s="76">
        <v>0.14099999999999999</v>
      </c>
      <c r="V6" s="77"/>
      <c r="W6" s="78">
        <v>454</v>
      </c>
      <c r="X6" s="76">
        <v>0.13980000000000001</v>
      </c>
    </row>
    <row r="7" spans="1:25" x14ac:dyDescent="0.25">
      <c r="A7" t="s">
        <v>1780</v>
      </c>
      <c r="B7">
        <v>926</v>
      </c>
      <c r="C7" s="10">
        <f t="shared" si="0"/>
        <v>0.16282750131879725</v>
      </c>
      <c r="F7" s="65" t="s">
        <v>1780</v>
      </c>
      <c r="G7" s="62">
        <v>321</v>
      </c>
      <c r="H7" s="48">
        <f t="shared" si="1"/>
        <v>0.18739054290718038</v>
      </c>
      <c r="I7" s="51"/>
      <c r="J7" s="50">
        <v>605</v>
      </c>
      <c r="K7" s="57">
        <f t="shared" si="2"/>
        <v>0.15223955712128837</v>
      </c>
      <c r="L7" s="58"/>
      <c r="M7" s="3">
        <v>926</v>
      </c>
      <c r="P7" s="72" t="s">
        <v>1780</v>
      </c>
      <c r="Q7" s="73">
        <v>267</v>
      </c>
      <c r="R7" s="74">
        <v>0.1973</v>
      </c>
      <c r="S7" s="75"/>
      <c r="T7" s="73">
        <v>337</v>
      </c>
      <c r="U7" s="76">
        <v>0.1779</v>
      </c>
      <c r="V7" s="77"/>
      <c r="W7" s="78">
        <v>604</v>
      </c>
      <c r="X7" s="76">
        <v>0.186</v>
      </c>
    </row>
    <row r="8" spans="1:25" ht="15.75" thickBot="1" x14ac:dyDescent="0.3">
      <c r="A8" t="s">
        <v>1781</v>
      </c>
      <c r="B8">
        <v>943</v>
      </c>
      <c r="C8" s="42">
        <f t="shared" si="0"/>
        <v>0.16581677510110779</v>
      </c>
      <c r="D8" s="42">
        <f>SUM(C6:C8)</f>
        <v>0.46280991735537191</v>
      </c>
      <c r="F8" s="65" t="s">
        <v>1781</v>
      </c>
      <c r="G8" s="62">
        <v>322</v>
      </c>
      <c r="H8" s="45">
        <f t="shared" si="1"/>
        <v>0.18797431406888498</v>
      </c>
      <c r="I8" s="52">
        <f>SUM(H6:H8)</f>
        <v>0.51838879159369522</v>
      </c>
      <c r="J8" s="50">
        <v>621</v>
      </c>
      <c r="K8" s="46">
        <f t="shared" si="2"/>
        <v>0.15626572722697535</v>
      </c>
      <c r="L8" s="59">
        <f>SUM(K6:K8)</f>
        <v>0.43885254151987924</v>
      </c>
      <c r="M8" s="3">
        <v>943</v>
      </c>
      <c r="O8" t="s">
        <v>1791</v>
      </c>
      <c r="P8" s="72" t="s">
        <v>1781</v>
      </c>
      <c r="Q8" s="73">
        <v>274</v>
      </c>
      <c r="R8" s="79">
        <v>0.20250000000000001</v>
      </c>
      <c r="S8" s="84">
        <v>0.53810000000000002</v>
      </c>
      <c r="T8" s="73">
        <v>390</v>
      </c>
      <c r="U8" s="81">
        <v>0.2059</v>
      </c>
      <c r="V8" s="85">
        <v>0.52480000000000004</v>
      </c>
      <c r="W8" s="83">
        <v>664</v>
      </c>
      <c r="X8" s="81">
        <v>0.20449999999999999</v>
      </c>
      <c r="Y8" s="86">
        <v>0.53029999999999999</v>
      </c>
    </row>
    <row r="9" spans="1:25" ht="15.75" thickTop="1" x14ac:dyDescent="0.25">
      <c r="A9" t="s">
        <v>1782</v>
      </c>
      <c r="B9">
        <v>417</v>
      </c>
      <c r="C9" s="10">
        <f t="shared" si="0"/>
        <v>7.3325127483734834E-2</v>
      </c>
      <c r="F9" s="65" t="s">
        <v>1782</v>
      </c>
      <c r="G9" s="62">
        <v>182</v>
      </c>
      <c r="H9" s="48">
        <f t="shared" si="1"/>
        <v>0.10624635143023935</v>
      </c>
      <c r="I9" s="51"/>
      <c r="J9" s="50">
        <v>235</v>
      </c>
      <c r="K9" s="57">
        <f t="shared" si="2"/>
        <v>5.9134373427277301E-2</v>
      </c>
      <c r="L9" s="58"/>
      <c r="M9" s="3">
        <v>417</v>
      </c>
      <c r="P9" s="72" t="s">
        <v>1782</v>
      </c>
      <c r="Q9" s="73">
        <v>155</v>
      </c>
      <c r="R9" s="74">
        <v>0.11459999999999999</v>
      </c>
      <c r="S9" s="75"/>
      <c r="T9" s="73">
        <v>156</v>
      </c>
      <c r="U9" s="76">
        <v>8.2400000000000001E-2</v>
      </c>
      <c r="V9" s="77"/>
      <c r="W9" s="78">
        <v>311</v>
      </c>
      <c r="X9" s="76">
        <v>9.5799999999999996E-2</v>
      </c>
    </row>
    <row r="10" spans="1:25" x14ac:dyDescent="0.25">
      <c r="A10" t="s">
        <v>1783</v>
      </c>
      <c r="B10">
        <v>184</v>
      </c>
      <c r="C10" s="10">
        <f t="shared" si="0"/>
        <v>3.2354492702655176E-2</v>
      </c>
      <c r="F10" s="65" t="s">
        <v>1783</v>
      </c>
      <c r="G10" s="62">
        <v>105</v>
      </c>
      <c r="H10" s="48">
        <f t="shared" si="1"/>
        <v>6.1295971978984239E-2</v>
      </c>
      <c r="I10" s="51"/>
      <c r="J10" s="50">
        <v>79</v>
      </c>
      <c r="K10" s="57">
        <f t="shared" si="2"/>
        <v>1.9879214896829391E-2</v>
      </c>
      <c r="L10" s="58"/>
      <c r="M10" s="3">
        <v>184</v>
      </c>
      <c r="P10" s="72" t="s">
        <v>1783</v>
      </c>
      <c r="Q10" s="73">
        <v>101</v>
      </c>
      <c r="R10" s="74">
        <v>7.46E-2</v>
      </c>
      <c r="S10" s="75"/>
      <c r="T10" s="73">
        <v>60</v>
      </c>
      <c r="U10" s="76">
        <v>3.1699999999999999E-2</v>
      </c>
      <c r="V10" s="77"/>
      <c r="W10" s="78">
        <v>161</v>
      </c>
      <c r="X10" s="76">
        <v>4.9599999999999998E-2</v>
      </c>
    </row>
    <row r="11" spans="1:25" ht="15.75" thickBot="1" x14ac:dyDescent="0.3">
      <c r="A11" t="s">
        <v>1772</v>
      </c>
      <c r="B11">
        <v>49</v>
      </c>
      <c r="C11" s="42">
        <f t="shared" si="0"/>
        <v>8.6161420784244772E-3</v>
      </c>
      <c r="D11" s="42">
        <f>SUM(C9:C11)</f>
        <v>0.1142957622648145</v>
      </c>
      <c r="F11" s="65" t="s">
        <v>1772</v>
      </c>
      <c r="G11" s="62">
        <v>28</v>
      </c>
      <c r="H11" s="45">
        <f t="shared" si="1"/>
        <v>1.634559252772913E-2</v>
      </c>
      <c r="I11" s="52">
        <f>SUM(H9:H11)</f>
        <v>0.18388791593695272</v>
      </c>
      <c r="J11" s="50">
        <v>21</v>
      </c>
      <c r="K11" s="46">
        <f t="shared" si="2"/>
        <v>5.284348263714142E-3</v>
      </c>
      <c r="L11" s="59">
        <f>SUM(K9:K11)</f>
        <v>8.4297936587820838E-2</v>
      </c>
      <c r="M11" s="3">
        <v>49</v>
      </c>
      <c r="O11" t="s">
        <v>1792</v>
      </c>
      <c r="P11" s="72" t="s">
        <v>1772</v>
      </c>
      <c r="Q11" s="73">
        <v>22</v>
      </c>
      <c r="R11" s="79">
        <v>1.6299999999999999E-2</v>
      </c>
      <c r="S11" s="80">
        <v>0.20549999999999999</v>
      </c>
      <c r="T11" s="73">
        <v>12</v>
      </c>
      <c r="U11" s="81">
        <v>6.3E-3</v>
      </c>
      <c r="V11" s="82">
        <v>0.12039999999999999</v>
      </c>
      <c r="W11" s="83">
        <v>34</v>
      </c>
      <c r="X11" s="81">
        <v>1.0500000000000001E-2</v>
      </c>
      <c r="Y11" s="81">
        <v>0.15579999999999999</v>
      </c>
    </row>
    <row r="12" spans="1:25" ht="16.5" thickTop="1" thickBot="1" x14ac:dyDescent="0.3">
      <c r="A12" t="s">
        <v>1773</v>
      </c>
      <c r="B12">
        <v>418</v>
      </c>
      <c r="C12" s="10">
        <f t="shared" si="0"/>
        <v>7.3500967117988397E-2</v>
      </c>
      <c r="F12" s="65" t="s">
        <v>1773</v>
      </c>
      <c r="G12" s="62">
        <v>143</v>
      </c>
      <c r="H12" s="48">
        <f t="shared" si="1"/>
        <v>8.347927612375948E-2</v>
      </c>
      <c r="I12" s="51"/>
      <c r="J12" s="50">
        <v>275</v>
      </c>
      <c r="K12" s="57">
        <f t="shared" si="2"/>
        <v>6.9199798691494716E-2</v>
      </c>
      <c r="L12" s="58"/>
      <c r="M12" s="3">
        <v>418</v>
      </c>
      <c r="P12" s="72" t="s">
        <v>1773</v>
      </c>
      <c r="Q12" s="73">
        <v>125</v>
      </c>
      <c r="R12" s="74">
        <v>9.2399999999999996E-2</v>
      </c>
      <c r="S12" s="75"/>
      <c r="T12" s="73">
        <v>159</v>
      </c>
      <c r="U12" s="76">
        <v>8.3900000000000002E-2</v>
      </c>
      <c r="V12" s="77"/>
      <c r="W12" s="78">
        <v>284</v>
      </c>
      <c r="X12" s="76">
        <v>8.7499999999999994E-2</v>
      </c>
    </row>
    <row r="13" spans="1:25" ht="15.75" thickBot="1" x14ac:dyDescent="0.3">
      <c r="A13" s="7" t="s">
        <v>1742</v>
      </c>
      <c r="B13" s="7">
        <v>5687</v>
      </c>
      <c r="F13" s="66" t="s">
        <v>1763</v>
      </c>
      <c r="G13" s="60">
        <v>1713</v>
      </c>
      <c r="H13" s="54"/>
      <c r="I13" s="55"/>
      <c r="J13" s="53">
        <v>3974</v>
      </c>
      <c r="K13" s="60"/>
      <c r="L13" s="61"/>
      <c r="M13" s="47">
        <v>5687</v>
      </c>
      <c r="P13" s="87" t="s">
        <v>1763</v>
      </c>
      <c r="Q13" s="88">
        <v>1353</v>
      </c>
      <c r="R13" s="89"/>
      <c r="S13" s="90"/>
      <c r="T13" s="88">
        <v>1894</v>
      </c>
      <c r="U13" s="88"/>
      <c r="V13" s="91"/>
      <c r="W13" s="92">
        <v>3247</v>
      </c>
    </row>
    <row r="15" spans="1:25" ht="15.75" thickBot="1" x14ac:dyDescent="0.3">
      <c r="F15" s="210" t="s">
        <v>1898</v>
      </c>
      <c r="G15" s="196"/>
      <c r="H15" s="196"/>
      <c r="I15" s="196"/>
      <c r="J15" s="196"/>
      <c r="K15" s="196"/>
      <c r="L15" s="196"/>
      <c r="M15" s="196"/>
    </row>
    <row r="16" spans="1:25" ht="15.75" thickBot="1" x14ac:dyDescent="0.3">
      <c r="F16" s="67"/>
      <c r="G16" s="191" t="s">
        <v>1747</v>
      </c>
      <c r="H16" s="192"/>
      <c r="I16" s="193"/>
      <c r="J16" s="191" t="s">
        <v>1748</v>
      </c>
      <c r="K16" s="192"/>
      <c r="L16" s="193"/>
    </row>
    <row r="17" spans="1:15" ht="15.75" thickBot="1" x14ac:dyDescent="0.3">
      <c r="A17" t="s">
        <v>1787</v>
      </c>
      <c r="B17" s="10">
        <f>D5</f>
        <v>0.34939335326182519</v>
      </c>
      <c r="F17" s="68" t="s">
        <v>1785</v>
      </c>
      <c r="G17" s="69" t="s">
        <v>1752</v>
      </c>
      <c r="H17" s="70" t="s">
        <v>1760</v>
      </c>
      <c r="I17" s="71"/>
      <c r="J17" s="70" t="s">
        <v>1752</v>
      </c>
      <c r="K17" s="70" t="s">
        <v>1760</v>
      </c>
      <c r="L17" s="71"/>
      <c r="M17" s="69" t="s">
        <v>1763</v>
      </c>
    </row>
    <row r="18" spans="1:15" x14ac:dyDescent="0.25">
      <c r="A18" t="s">
        <v>1788</v>
      </c>
      <c r="B18" s="10">
        <f>D8</f>
        <v>0.46280991735537191</v>
      </c>
      <c r="F18" s="207" t="s">
        <v>1893</v>
      </c>
      <c r="G18" s="73">
        <v>50</v>
      </c>
      <c r="H18" s="74">
        <v>0.13769999999999999</v>
      </c>
      <c r="I18" s="75"/>
      <c r="J18" s="73">
        <v>428</v>
      </c>
      <c r="K18" s="76">
        <v>0.20449999999999999</v>
      </c>
      <c r="L18" s="77"/>
      <c r="M18" s="78">
        <v>478</v>
      </c>
      <c r="N18" s="76">
        <v>0.1946</v>
      </c>
    </row>
    <row r="19" spans="1:15" ht="15.75" thickBot="1" x14ac:dyDescent="0.3">
      <c r="A19" t="s">
        <v>1789</v>
      </c>
      <c r="B19" s="10">
        <f>D11</f>
        <v>0.1142957622648145</v>
      </c>
      <c r="F19" s="72" t="s">
        <v>1894</v>
      </c>
      <c r="G19" s="73">
        <v>96</v>
      </c>
      <c r="H19" s="79">
        <v>0.26450000000000001</v>
      </c>
      <c r="I19" s="80">
        <v>0.4022</v>
      </c>
      <c r="J19" s="73">
        <v>690</v>
      </c>
      <c r="K19" s="86">
        <v>0.32969999999999999</v>
      </c>
      <c r="L19" s="82">
        <v>0.53420000000000001</v>
      </c>
      <c r="M19" s="83">
        <v>786</v>
      </c>
      <c r="N19" s="81">
        <v>0.32</v>
      </c>
      <c r="O19" s="86">
        <v>0.51470000000000005</v>
      </c>
    </row>
    <row r="20" spans="1:15" ht="15.75" thickTop="1" x14ac:dyDescent="0.25">
      <c r="A20" t="s">
        <v>1773</v>
      </c>
      <c r="B20" s="10">
        <f>C12</f>
        <v>7.3500967117988397E-2</v>
      </c>
      <c r="F20" s="207" t="s">
        <v>1895</v>
      </c>
      <c r="G20" s="73">
        <v>58</v>
      </c>
      <c r="H20" s="74">
        <v>0.1598</v>
      </c>
      <c r="I20" s="75"/>
      <c r="J20" s="73">
        <v>252</v>
      </c>
      <c r="K20" s="76">
        <v>0.12039999999999999</v>
      </c>
      <c r="L20" s="77"/>
      <c r="M20" s="78">
        <v>310</v>
      </c>
      <c r="N20" s="76">
        <v>0.12620000000000001</v>
      </c>
    </row>
    <row r="21" spans="1:15" x14ac:dyDescent="0.25">
      <c r="F21" s="72" t="s">
        <v>1780</v>
      </c>
      <c r="G21" s="73">
        <v>54</v>
      </c>
      <c r="H21" s="74">
        <v>0.14879999999999999</v>
      </c>
      <c r="I21" s="75"/>
      <c r="J21" s="73">
        <v>268</v>
      </c>
      <c r="K21" s="76">
        <v>0.128</v>
      </c>
      <c r="L21" s="77"/>
      <c r="M21" s="78">
        <v>322</v>
      </c>
      <c r="N21" s="76">
        <v>0.13109999999999999</v>
      </c>
    </row>
    <row r="22" spans="1:15" ht="15.75" thickBot="1" x14ac:dyDescent="0.3">
      <c r="F22" s="72" t="s">
        <v>1896</v>
      </c>
      <c r="G22" s="73">
        <v>48</v>
      </c>
      <c r="H22" s="79">
        <v>0.13220000000000001</v>
      </c>
      <c r="I22" s="80">
        <v>0.44080000000000003</v>
      </c>
      <c r="J22" s="73">
        <v>232</v>
      </c>
      <c r="K22" s="81">
        <v>0.1108</v>
      </c>
      <c r="L22" s="82">
        <v>0.35930000000000001</v>
      </c>
      <c r="M22" s="83">
        <v>280</v>
      </c>
      <c r="N22" s="81">
        <v>0.114</v>
      </c>
      <c r="O22" s="81">
        <v>0.37130000000000002</v>
      </c>
    </row>
    <row r="23" spans="1:15" ht="15.75" thickTop="1" x14ac:dyDescent="0.25">
      <c r="F23" s="207" t="s">
        <v>1897</v>
      </c>
      <c r="G23" s="73">
        <v>27</v>
      </c>
      <c r="H23" s="74">
        <v>7.4399999999999994E-2</v>
      </c>
      <c r="I23" s="75"/>
      <c r="J23" s="73">
        <v>79</v>
      </c>
      <c r="K23" s="76">
        <v>3.7699999999999997E-2</v>
      </c>
      <c r="L23" s="77"/>
      <c r="M23" s="78">
        <v>106</v>
      </c>
      <c r="N23" s="76">
        <v>4.3200000000000002E-2</v>
      </c>
    </row>
    <row r="24" spans="1:15" x14ac:dyDescent="0.25">
      <c r="F24" s="72" t="s">
        <v>1783</v>
      </c>
      <c r="G24" s="73">
        <v>4</v>
      </c>
      <c r="H24" s="74">
        <v>1.0999999999999999E-2</v>
      </c>
      <c r="I24" s="75"/>
      <c r="J24" s="73">
        <v>19</v>
      </c>
      <c r="K24" s="76">
        <v>9.1000000000000004E-3</v>
      </c>
      <c r="L24" s="77"/>
      <c r="M24" s="78">
        <v>23</v>
      </c>
      <c r="N24" s="76">
        <v>9.4000000000000004E-3</v>
      </c>
    </row>
    <row r="25" spans="1:15" ht="15.75" thickBot="1" x14ac:dyDescent="0.3">
      <c r="F25" s="207" t="s">
        <v>1772</v>
      </c>
      <c r="G25" s="73">
        <v>6</v>
      </c>
      <c r="H25" s="79">
        <v>1.6500000000000001E-2</v>
      </c>
      <c r="I25" s="80">
        <v>0.1019</v>
      </c>
      <c r="J25" s="73">
        <v>9</v>
      </c>
      <c r="K25" s="81">
        <v>4.3E-3</v>
      </c>
      <c r="L25" s="82">
        <v>5.11E-2</v>
      </c>
      <c r="M25" s="83">
        <v>15</v>
      </c>
      <c r="N25" s="81">
        <v>6.1000000000000004E-3</v>
      </c>
      <c r="O25" s="81">
        <v>5.8599999999999999E-2</v>
      </c>
    </row>
    <row r="26" spans="1:15" ht="16.5" thickTop="1" thickBot="1" x14ac:dyDescent="0.3">
      <c r="F26" s="72" t="s">
        <v>1773</v>
      </c>
      <c r="G26" s="73">
        <v>20</v>
      </c>
      <c r="H26" s="74">
        <v>5.5100000000000003E-2</v>
      </c>
      <c r="I26" s="75"/>
      <c r="J26" s="73">
        <v>116</v>
      </c>
      <c r="K26" s="76">
        <v>5.5399999999999998E-2</v>
      </c>
      <c r="L26" s="77"/>
      <c r="M26" s="78">
        <v>136</v>
      </c>
      <c r="N26" s="76">
        <v>5.5399999999999998E-2</v>
      </c>
    </row>
    <row r="27" spans="1:15" ht="15.75" thickBot="1" x14ac:dyDescent="0.3">
      <c r="F27" s="87" t="s">
        <v>1763</v>
      </c>
      <c r="G27" s="88">
        <v>363</v>
      </c>
      <c r="H27" s="89"/>
      <c r="I27" s="90"/>
      <c r="J27" s="208">
        <v>2093</v>
      </c>
      <c r="K27" s="88"/>
      <c r="L27" s="91"/>
      <c r="M27" s="209">
        <v>2456</v>
      </c>
    </row>
  </sheetData>
  <mergeCells count="8">
    <mergeCell ref="G16:I16"/>
    <mergeCell ref="J16:L16"/>
    <mergeCell ref="F15:M15"/>
    <mergeCell ref="G2:I2"/>
    <mergeCell ref="J2:L2"/>
    <mergeCell ref="Q2:S2"/>
    <mergeCell ref="T2:V2"/>
    <mergeCell ref="G1:N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opLeftCell="B1" workbookViewId="0">
      <selection activeCell="B8" sqref="B8"/>
    </sheetView>
  </sheetViews>
  <sheetFormatPr defaultRowHeight="15" x14ac:dyDescent="0.25"/>
  <cols>
    <col min="1" max="1" width="23.5703125" bestFit="1" customWidth="1"/>
    <col min="2" max="2" width="25" customWidth="1"/>
    <col min="3" max="3" width="15.28515625" customWidth="1"/>
    <col min="4" max="4" width="24.7109375" customWidth="1"/>
    <col min="5" max="5" width="19" customWidth="1"/>
    <col min="6" max="6" width="6.5703125" bestFit="1" customWidth="1"/>
    <col min="7" max="7" width="16" bestFit="1" customWidth="1"/>
  </cols>
  <sheetData>
    <row r="1" spans="1:7" x14ac:dyDescent="0.25">
      <c r="A1" s="39" t="s">
        <v>21</v>
      </c>
      <c r="B1" t="s">
        <v>1776</v>
      </c>
    </row>
    <row r="2" spans="1:7" x14ac:dyDescent="0.25">
      <c r="A2" s="39" t="s">
        <v>0</v>
      </c>
      <c r="B2" t="s">
        <v>1776</v>
      </c>
    </row>
    <row r="4" spans="1:7" x14ac:dyDescent="0.25">
      <c r="A4" s="39" t="s">
        <v>1892</v>
      </c>
      <c r="B4" s="39" t="s">
        <v>1786</v>
      </c>
    </row>
    <row r="5" spans="1:7" x14ac:dyDescent="0.25">
      <c r="A5" s="39" t="s">
        <v>1774</v>
      </c>
      <c r="B5" t="s">
        <v>55</v>
      </c>
      <c r="C5" t="s">
        <v>51</v>
      </c>
      <c r="D5" t="s">
        <v>165</v>
      </c>
      <c r="E5" t="s">
        <v>44</v>
      </c>
      <c r="F5" t="s">
        <v>1775</v>
      </c>
      <c r="G5" t="s">
        <v>1742</v>
      </c>
    </row>
    <row r="6" spans="1:7" x14ac:dyDescent="0.25">
      <c r="A6" s="4">
        <v>1</v>
      </c>
      <c r="B6" s="3">
        <v>54</v>
      </c>
      <c r="C6" s="3">
        <v>1836</v>
      </c>
      <c r="D6" s="3">
        <v>217</v>
      </c>
      <c r="E6" s="3">
        <v>326</v>
      </c>
      <c r="F6" s="3"/>
      <c r="G6" s="3">
        <v>2433</v>
      </c>
    </row>
    <row r="7" spans="1:7" x14ac:dyDescent="0.25">
      <c r="A7" s="97" t="s">
        <v>1794</v>
      </c>
      <c r="B7" s="3"/>
      <c r="C7" s="3">
        <v>50</v>
      </c>
      <c r="D7" s="3">
        <v>3</v>
      </c>
      <c r="E7" s="3">
        <v>11</v>
      </c>
      <c r="F7" s="3"/>
      <c r="G7" s="3">
        <v>64</v>
      </c>
    </row>
    <row r="8" spans="1:7" x14ac:dyDescent="0.25">
      <c r="A8" s="97" t="s">
        <v>1796</v>
      </c>
      <c r="B8" s="3"/>
      <c r="C8" s="3">
        <v>85</v>
      </c>
      <c r="D8" s="3">
        <v>1</v>
      </c>
      <c r="E8" s="3">
        <v>14</v>
      </c>
      <c r="F8" s="3"/>
      <c r="G8" s="3">
        <v>100</v>
      </c>
    </row>
    <row r="9" spans="1:7" x14ac:dyDescent="0.25">
      <c r="A9" s="97" t="s">
        <v>1797</v>
      </c>
      <c r="B9" s="3">
        <v>1</v>
      </c>
      <c r="C9" s="3">
        <v>92</v>
      </c>
      <c r="D9" s="3">
        <v>3</v>
      </c>
      <c r="E9" s="3">
        <v>12</v>
      </c>
      <c r="F9" s="3"/>
      <c r="G9" s="3">
        <v>108</v>
      </c>
    </row>
    <row r="10" spans="1:7" x14ac:dyDescent="0.25">
      <c r="A10" s="97" t="s">
        <v>1798</v>
      </c>
      <c r="B10" s="3">
        <v>1</v>
      </c>
      <c r="C10" s="3">
        <v>54</v>
      </c>
      <c r="D10" s="3">
        <v>3</v>
      </c>
      <c r="E10" s="3">
        <v>3</v>
      </c>
      <c r="F10" s="3"/>
      <c r="G10" s="3">
        <v>61</v>
      </c>
    </row>
    <row r="11" spans="1:7" x14ac:dyDescent="0.25">
      <c r="A11" s="97" t="s">
        <v>1799</v>
      </c>
      <c r="B11" s="3">
        <v>51</v>
      </c>
      <c r="C11" s="3">
        <v>1402</v>
      </c>
      <c r="D11" s="3">
        <v>192</v>
      </c>
      <c r="E11" s="3">
        <v>247</v>
      </c>
      <c r="F11" s="3"/>
      <c r="G11" s="3">
        <v>1892</v>
      </c>
    </row>
    <row r="12" spans="1:7" x14ac:dyDescent="0.25">
      <c r="A12" s="97" t="s">
        <v>1800</v>
      </c>
      <c r="B12" s="3"/>
      <c r="C12" s="3">
        <v>29</v>
      </c>
      <c r="D12" s="3"/>
      <c r="E12" s="3">
        <v>12</v>
      </c>
      <c r="F12" s="3"/>
      <c r="G12" s="3">
        <v>41</v>
      </c>
    </row>
    <row r="13" spans="1:7" x14ac:dyDescent="0.25">
      <c r="A13" s="97" t="s">
        <v>1795</v>
      </c>
      <c r="B13" s="3">
        <v>1</v>
      </c>
      <c r="C13" s="3">
        <v>124</v>
      </c>
      <c r="D13" s="3">
        <v>15</v>
      </c>
      <c r="E13" s="3">
        <v>27</v>
      </c>
      <c r="F13" s="3"/>
      <c r="G13" s="3">
        <v>167</v>
      </c>
    </row>
    <row r="14" spans="1:7" x14ac:dyDescent="0.25">
      <c r="A14" s="4">
        <v>2</v>
      </c>
      <c r="B14" s="3">
        <v>56</v>
      </c>
      <c r="C14" s="3">
        <v>2432</v>
      </c>
      <c r="D14" s="3">
        <v>377</v>
      </c>
      <c r="E14" s="3">
        <v>389</v>
      </c>
      <c r="F14" s="3"/>
      <c r="G14" s="3">
        <v>3254</v>
      </c>
    </row>
    <row r="15" spans="1:7" x14ac:dyDescent="0.25">
      <c r="A15" s="97" t="s">
        <v>1794</v>
      </c>
      <c r="B15" s="3">
        <v>2</v>
      </c>
      <c r="C15" s="3">
        <v>92</v>
      </c>
      <c r="D15" s="3">
        <v>13</v>
      </c>
      <c r="E15" s="3">
        <v>54</v>
      </c>
      <c r="F15" s="3"/>
      <c r="G15" s="3">
        <v>161</v>
      </c>
    </row>
    <row r="16" spans="1:7" x14ac:dyDescent="0.25">
      <c r="A16" s="97" t="s">
        <v>1796</v>
      </c>
      <c r="B16" s="3">
        <v>14</v>
      </c>
      <c r="C16" s="3">
        <v>223</v>
      </c>
      <c r="D16" s="3">
        <v>23</v>
      </c>
      <c r="E16" s="3">
        <v>75</v>
      </c>
      <c r="F16" s="3"/>
      <c r="G16" s="3">
        <v>335</v>
      </c>
    </row>
    <row r="17" spans="1:7" x14ac:dyDescent="0.25">
      <c r="A17" s="97" t="s">
        <v>1797</v>
      </c>
      <c r="B17" s="3">
        <v>2</v>
      </c>
      <c r="C17" s="3">
        <v>605</v>
      </c>
      <c r="D17" s="3">
        <v>212</v>
      </c>
      <c r="E17" s="3">
        <v>37</v>
      </c>
      <c r="F17" s="3"/>
      <c r="G17" s="3">
        <v>856</v>
      </c>
    </row>
    <row r="18" spans="1:7" x14ac:dyDescent="0.25">
      <c r="A18" s="97" t="s">
        <v>1798</v>
      </c>
      <c r="B18" s="3">
        <v>5</v>
      </c>
      <c r="C18" s="3">
        <v>523</v>
      </c>
      <c r="D18" s="3">
        <v>84</v>
      </c>
      <c r="E18" s="3">
        <v>12</v>
      </c>
      <c r="F18" s="3"/>
      <c r="G18" s="3">
        <v>624</v>
      </c>
    </row>
    <row r="19" spans="1:7" x14ac:dyDescent="0.25">
      <c r="A19" s="97" t="s">
        <v>1799</v>
      </c>
      <c r="B19" s="3">
        <v>22</v>
      </c>
      <c r="C19" s="3">
        <v>662</v>
      </c>
      <c r="D19" s="3">
        <v>22</v>
      </c>
      <c r="E19" s="3">
        <v>119</v>
      </c>
      <c r="F19" s="3"/>
      <c r="G19" s="3">
        <v>825</v>
      </c>
    </row>
    <row r="20" spans="1:7" x14ac:dyDescent="0.25">
      <c r="A20" s="97" t="s">
        <v>1800</v>
      </c>
      <c r="B20" s="3"/>
      <c r="C20" s="3">
        <v>81</v>
      </c>
      <c r="D20" s="3">
        <v>1</v>
      </c>
      <c r="E20" s="3"/>
      <c r="F20" s="3"/>
      <c r="G20" s="3">
        <v>82</v>
      </c>
    </row>
    <row r="21" spans="1:7" x14ac:dyDescent="0.25">
      <c r="A21" s="97" t="s">
        <v>1795</v>
      </c>
      <c r="B21" s="3">
        <v>11</v>
      </c>
      <c r="C21" s="3">
        <v>246</v>
      </c>
      <c r="D21" s="3">
        <v>22</v>
      </c>
      <c r="E21" s="3">
        <v>92</v>
      </c>
      <c r="F21" s="3"/>
      <c r="G21" s="3">
        <v>371</v>
      </c>
    </row>
    <row r="22" spans="1:7" x14ac:dyDescent="0.25">
      <c r="A22" s="4" t="s">
        <v>1775</v>
      </c>
      <c r="B22" s="3"/>
      <c r="C22" s="3"/>
      <c r="D22" s="3"/>
      <c r="E22" s="3"/>
      <c r="F22" s="3"/>
      <c r="G22" s="3"/>
    </row>
    <row r="23" spans="1:7" x14ac:dyDescent="0.25">
      <c r="A23" s="97" t="s">
        <v>1775</v>
      </c>
      <c r="B23" s="3"/>
      <c r="C23" s="3"/>
      <c r="D23" s="3"/>
      <c r="E23" s="3"/>
      <c r="F23" s="3"/>
      <c r="G23" s="3"/>
    </row>
    <row r="24" spans="1:7" x14ac:dyDescent="0.25">
      <c r="A24" s="4" t="s">
        <v>1742</v>
      </c>
      <c r="B24" s="3">
        <v>110</v>
      </c>
      <c r="C24" s="3">
        <v>4268</v>
      </c>
      <c r="D24" s="3">
        <v>594</v>
      </c>
      <c r="E24" s="3">
        <v>715</v>
      </c>
      <c r="F24" s="3"/>
      <c r="G24" s="3">
        <v>5687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88"/>
  <sheetViews>
    <sheetView workbookViewId="0">
      <pane ySplit="1" topLeftCell="A2" activePane="bottomLeft" state="frozen"/>
      <selection activeCell="AB1" sqref="AB1"/>
      <selection pane="bottomLeft" activeCell="AB2" sqref="AB2"/>
    </sheetView>
  </sheetViews>
  <sheetFormatPr defaultRowHeight="15" x14ac:dyDescent="0.25"/>
  <cols>
    <col min="10" max="10" width="16.85546875" bestFit="1" customWidth="1"/>
    <col min="20" max="20" width="50.5703125" bestFit="1" customWidth="1"/>
    <col min="21" max="21" width="61.5703125" bestFit="1" customWidth="1"/>
    <col min="22" max="22" width="78.140625" bestFit="1" customWidth="1"/>
    <col min="23" max="23" width="87.140625" bestFit="1" customWidth="1"/>
    <col min="24" max="24" width="34" bestFit="1" customWidth="1"/>
    <col min="25" max="25" width="15.85546875" bestFit="1" customWidth="1"/>
    <col min="26" max="26" width="22.5703125" bestFit="1" customWidth="1"/>
    <col min="27" max="27" width="35.42578125" bestFit="1" customWidth="1"/>
    <col min="28" max="28" width="18.140625" style="17" bestFit="1" customWidth="1"/>
    <col min="32" max="32" width="10.7109375" bestFit="1" customWidth="1"/>
  </cols>
  <sheetData>
    <row r="1" spans="1:28" s="93" customFormat="1" x14ac:dyDescent="0.25">
      <c r="A1" s="93" t="s">
        <v>1891</v>
      </c>
      <c r="B1" s="93" t="s">
        <v>0</v>
      </c>
      <c r="C1" s="93" t="s">
        <v>1</v>
      </c>
      <c r="D1" s="93" t="s">
        <v>2</v>
      </c>
      <c r="E1" s="93" t="s">
        <v>3</v>
      </c>
      <c r="F1" s="93" t="s">
        <v>4</v>
      </c>
      <c r="G1" s="93" t="s">
        <v>5</v>
      </c>
      <c r="H1" s="93" t="s">
        <v>6</v>
      </c>
      <c r="I1" s="93" t="s">
        <v>7</v>
      </c>
      <c r="J1" s="93" t="s">
        <v>8</v>
      </c>
      <c r="K1" s="93" t="s">
        <v>9</v>
      </c>
      <c r="L1" s="93" t="s">
        <v>10</v>
      </c>
      <c r="M1" s="93" t="s">
        <v>11</v>
      </c>
      <c r="N1" s="93" t="s">
        <v>12</v>
      </c>
      <c r="O1" s="93" t="s">
        <v>19</v>
      </c>
      <c r="P1" s="93" t="s">
        <v>20</v>
      </c>
      <c r="Q1" s="93" t="s">
        <v>21</v>
      </c>
      <c r="R1" s="93" t="s">
        <v>22</v>
      </c>
      <c r="S1" s="93" t="s">
        <v>23</v>
      </c>
      <c r="T1" s="93" t="s">
        <v>24</v>
      </c>
      <c r="U1" s="93" t="s">
        <v>25</v>
      </c>
      <c r="V1" s="93" t="s">
        <v>26</v>
      </c>
      <c r="W1" s="93" t="s">
        <v>27</v>
      </c>
      <c r="X1" s="93" t="s">
        <v>28</v>
      </c>
      <c r="Y1" s="93" t="s">
        <v>29</v>
      </c>
      <c r="Z1" s="93" t="s">
        <v>30</v>
      </c>
      <c r="AA1" s="93" t="s">
        <v>31</v>
      </c>
      <c r="AB1" s="94" t="s">
        <v>1793</v>
      </c>
    </row>
    <row r="2" spans="1:28" x14ac:dyDescent="0.25">
      <c r="A2">
        <v>99910001</v>
      </c>
      <c r="B2" t="s">
        <v>56</v>
      </c>
      <c r="C2" t="s">
        <v>79</v>
      </c>
      <c r="D2" t="s">
        <v>80</v>
      </c>
      <c r="G2" t="s">
        <v>35</v>
      </c>
      <c r="H2">
        <v>1</v>
      </c>
      <c r="I2" t="s">
        <v>959</v>
      </c>
      <c r="J2" s="1">
        <v>43362</v>
      </c>
      <c r="K2" t="s">
        <v>947</v>
      </c>
      <c r="L2" t="s">
        <v>948</v>
      </c>
      <c r="M2" t="s">
        <v>938</v>
      </c>
      <c r="N2">
        <v>1</v>
      </c>
      <c r="O2" s="1">
        <v>43362</v>
      </c>
      <c r="P2" t="s">
        <v>41</v>
      </c>
      <c r="Q2" t="s">
        <v>953</v>
      </c>
      <c r="R2" t="str">
        <f>"0610801"</f>
        <v>0610801</v>
      </c>
      <c r="S2" t="s">
        <v>954</v>
      </c>
      <c r="T2" t="s">
        <v>947</v>
      </c>
      <c r="U2" t="s">
        <v>948</v>
      </c>
      <c r="V2" t="s">
        <v>938</v>
      </c>
      <c r="W2" t="s">
        <v>44</v>
      </c>
      <c r="X2" t="s">
        <v>45</v>
      </c>
      <c r="Y2" s="1">
        <v>31544</v>
      </c>
      <c r="Z2">
        <v>2</v>
      </c>
      <c r="AA2" t="s">
        <v>948</v>
      </c>
      <c r="AB2" s="40" t="s">
        <v>1794</v>
      </c>
    </row>
    <row r="3" spans="1:28" x14ac:dyDescent="0.25">
      <c r="A3">
        <v>99910002</v>
      </c>
      <c r="B3" t="s">
        <v>32</v>
      </c>
      <c r="C3" t="s">
        <v>90</v>
      </c>
      <c r="D3" t="s">
        <v>91</v>
      </c>
      <c r="G3" t="s">
        <v>48</v>
      </c>
      <c r="H3">
        <v>1</v>
      </c>
      <c r="K3" t="s">
        <v>1502</v>
      </c>
      <c r="L3" t="s">
        <v>1503</v>
      </c>
      <c r="M3" t="s">
        <v>670</v>
      </c>
      <c r="N3">
        <v>1</v>
      </c>
      <c r="P3" t="s">
        <v>41</v>
      </c>
      <c r="Q3" t="s">
        <v>95</v>
      </c>
      <c r="R3" t="str">
        <f>"7171009"</f>
        <v>7171009</v>
      </c>
      <c r="S3" t="s">
        <v>1510</v>
      </c>
      <c r="T3" t="s">
        <v>1502</v>
      </c>
      <c r="U3" t="s">
        <v>1503</v>
      </c>
      <c r="V3" t="s">
        <v>670</v>
      </c>
      <c r="W3" t="s">
        <v>51</v>
      </c>
      <c r="X3" t="s">
        <v>45</v>
      </c>
      <c r="Y3" s="1">
        <v>31020</v>
      </c>
      <c r="Z3">
        <v>1</v>
      </c>
      <c r="AA3" t="s">
        <v>1503</v>
      </c>
      <c r="AB3" s="40" t="s">
        <v>1794</v>
      </c>
    </row>
    <row r="4" spans="1:28" x14ac:dyDescent="0.25">
      <c r="A4">
        <v>99910003</v>
      </c>
      <c r="B4" t="s">
        <v>32</v>
      </c>
      <c r="C4" t="s">
        <v>52</v>
      </c>
      <c r="D4" t="s">
        <v>53</v>
      </c>
      <c r="G4" t="s">
        <v>48</v>
      </c>
      <c r="H4">
        <v>1</v>
      </c>
      <c r="K4" t="s">
        <v>157</v>
      </c>
      <c r="L4" t="s">
        <v>158</v>
      </c>
      <c r="M4" t="s">
        <v>131</v>
      </c>
      <c r="N4">
        <v>1</v>
      </c>
      <c r="P4" t="s">
        <v>41</v>
      </c>
      <c r="Q4" t="s">
        <v>49</v>
      </c>
      <c r="R4" t="str">
        <f>"0560010"</f>
        <v>0560010</v>
      </c>
      <c r="S4" t="s">
        <v>179</v>
      </c>
      <c r="T4" t="s">
        <v>157</v>
      </c>
      <c r="U4" t="s">
        <v>158</v>
      </c>
      <c r="V4" t="s">
        <v>131</v>
      </c>
      <c r="W4" t="s">
        <v>51</v>
      </c>
      <c r="X4" t="s">
        <v>45</v>
      </c>
      <c r="Y4" s="1">
        <v>30539</v>
      </c>
      <c r="Z4">
        <v>2</v>
      </c>
      <c r="AA4" t="s">
        <v>158</v>
      </c>
      <c r="AB4" s="40" t="s">
        <v>1794</v>
      </c>
    </row>
    <row r="5" spans="1:28" x14ac:dyDescent="0.25">
      <c r="A5">
        <v>99910004</v>
      </c>
      <c r="B5" t="s">
        <v>56</v>
      </c>
      <c r="C5" t="s">
        <v>85</v>
      </c>
      <c r="D5" t="s">
        <v>86</v>
      </c>
      <c r="G5" t="s">
        <v>35</v>
      </c>
      <c r="H5">
        <v>1</v>
      </c>
      <c r="I5" t="s">
        <v>983</v>
      </c>
      <c r="J5" s="1">
        <v>43363</v>
      </c>
      <c r="K5" t="s">
        <v>947</v>
      </c>
      <c r="L5" t="s">
        <v>948</v>
      </c>
      <c r="M5" t="s">
        <v>938</v>
      </c>
      <c r="N5">
        <v>1</v>
      </c>
      <c r="O5" s="1">
        <v>43363</v>
      </c>
      <c r="P5" t="s">
        <v>41</v>
      </c>
      <c r="Q5" t="s">
        <v>953</v>
      </c>
      <c r="R5" t="str">
        <f>"0610801"</f>
        <v>0610801</v>
      </c>
      <c r="S5" t="s">
        <v>954</v>
      </c>
      <c r="T5" t="s">
        <v>947</v>
      </c>
      <c r="U5" t="s">
        <v>948</v>
      </c>
      <c r="V5" t="s">
        <v>938</v>
      </c>
      <c r="W5" t="s">
        <v>44</v>
      </c>
      <c r="X5" t="s">
        <v>45</v>
      </c>
      <c r="Y5" s="1">
        <v>29670</v>
      </c>
      <c r="Z5">
        <v>2</v>
      </c>
      <c r="AA5" t="s">
        <v>948</v>
      </c>
      <c r="AB5" s="40" t="s">
        <v>1794</v>
      </c>
    </row>
    <row r="6" spans="1:28" x14ac:dyDescent="0.25">
      <c r="A6">
        <v>99910005</v>
      </c>
      <c r="B6" t="s">
        <v>56</v>
      </c>
      <c r="C6" t="s">
        <v>61</v>
      </c>
      <c r="D6" t="s">
        <v>62</v>
      </c>
      <c r="G6" t="s">
        <v>35</v>
      </c>
      <c r="H6">
        <v>1</v>
      </c>
      <c r="K6" t="s">
        <v>157</v>
      </c>
      <c r="L6" t="s">
        <v>158</v>
      </c>
      <c r="M6" t="s">
        <v>131</v>
      </c>
      <c r="N6">
        <v>1</v>
      </c>
      <c r="P6" t="s">
        <v>41</v>
      </c>
      <c r="Q6" t="s">
        <v>49</v>
      </c>
      <c r="R6" t="str">
        <f>"0580505"</f>
        <v>0580505</v>
      </c>
      <c r="S6" t="s">
        <v>168</v>
      </c>
      <c r="T6" t="s">
        <v>157</v>
      </c>
      <c r="U6" t="s">
        <v>158</v>
      </c>
      <c r="V6" t="s">
        <v>131</v>
      </c>
      <c r="W6" t="s">
        <v>51</v>
      </c>
      <c r="X6" t="s">
        <v>45</v>
      </c>
      <c r="Y6" s="1">
        <v>28126</v>
      </c>
      <c r="Z6">
        <v>2</v>
      </c>
      <c r="AA6" t="s">
        <v>158</v>
      </c>
      <c r="AB6" s="40" t="s">
        <v>1794</v>
      </c>
    </row>
    <row r="7" spans="1:28" x14ac:dyDescent="0.25">
      <c r="A7">
        <v>99910006</v>
      </c>
      <c r="B7" t="s">
        <v>32</v>
      </c>
      <c r="C7" t="s">
        <v>139</v>
      </c>
      <c r="D7" t="s">
        <v>140</v>
      </c>
      <c r="G7" t="s">
        <v>35</v>
      </c>
      <c r="H7">
        <v>1</v>
      </c>
      <c r="I7" t="s">
        <v>1178</v>
      </c>
      <c r="J7" s="1">
        <v>43344</v>
      </c>
      <c r="K7" t="s">
        <v>1171</v>
      </c>
      <c r="L7" t="s">
        <v>1172</v>
      </c>
      <c r="M7" t="s">
        <v>1130</v>
      </c>
      <c r="N7">
        <v>1</v>
      </c>
      <c r="O7" s="1">
        <v>43344</v>
      </c>
      <c r="P7" t="s">
        <v>41</v>
      </c>
      <c r="Q7" t="s">
        <v>49</v>
      </c>
      <c r="R7" t="str">
        <f>"3560001"</f>
        <v>3560001</v>
      </c>
      <c r="S7" t="s">
        <v>1179</v>
      </c>
      <c r="T7" t="s">
        <v>1171</v>
      </c>
      <c r="U7" t="s">
        <v>1172</v>
      </c>
      <c r="V7" t="s">
        <v>1130</v>
      </c>
      <c r="W7" t="s">
        <v>44</v>
      </c>
      <c r="X7" t="s">
        <v>45</v>
      </c>
      <c r="Y7" s="1">
        <v>25722</v>
      </c>
      <c r="Z7">
        <v>2</v>
      </c>
      <c r="AA7" t="s">
        <v>1172</v>
      </c>
      <c r="AB7" s="40" t="s">
        <v>1794</v>
      </c>
    </row>
    <row r="8" spans="1:28" x14ac:dyDescent="0.25">
      <c r="A8">
        <v>99910007</v>
      </c>
      <c r="B8" t="s">
        <v>32</v>
      </c>
      <c r="C8" t="s">
        <v>141</v>
      </c>
      <c r="D8" t="s">
        <v>142</v>
      </c>
      <c r="G8" t="s">
        <v>35</v>
      </c>
      <c r="H8">
        <v>1</v>
      </c>
      <c r="I8">
        <v>13814</v>
      </c>
      <c r="J8" s="1">
        <v>43355</v>
      </c>
      <c r="K8" t="s">
        <v>345</v>
      </c>
      <c r="L8" t="s">
        <v>346</v>
      </c>
      <c r="M8" t="s">
        <v>131</v>
      </c>
      <c r="N8">
        <v>1</v>
      </c>
      <c r="O8" s="1">
        <v>43355</v>
      </c>
      <c r="P8" t="s">
        <v>41</v>
      </c>
      <c r="Q8" t="s">
        <v>49</v>
      </c>
      <c r="R8" t="str">
        <f>"0560032"</f>
        <v>0560032</v>
      </c>
      <c r="S8" t="s">
        <v>347</v>
      </c>
      <c r="T8" t="s">
        <v>345</v>
      </c>
      <c r="U8" t="s">
        <v>346</v>
      </c>
      <c r="V8" t="s">
        <v>131</v>
      </c>
      <c r="W8" t="s">
        <v>51</v>
      </c>
      <c r="X8" t="s">
        <v>45</v>
      </c>
      <c r="Y8" s="1">
        <v>23366</v>
      </c>
      <c r="Z8">
        <v>2</v>
      </c>
      <c r="AA8" t="s">
        <v>346</v>
      </c>
      <c r="AB8" s="40" t="s">
        <v>1794</v>
      </c>
    </row>
    <row r="9" spans="1:28" x14ac:dyDescent="0.25">
      <c r="A9">
        <v>99910008</v>
      </c>
      <c r="B9" t="s">
        <v>56</v>
      </c>
      <c r="C9" t="s">
        <v>46</v>
      </c>
      <c r="D9" t="s">
        <v>47</v>
      </c>
      <c r="G9" t="s">
        <v>48</v>
      </c>
      <c r="H9">
        <v>1</v>
      </c>
      <c r="K9" t="s">
        <v>1268</v>
      </c>
      <c r="L9" t="s">
        <v>1269</v>
      </c>
      <c r="M9" t="s">
        <v>1270</v>
      </c>
      <c r="N9">
        <v>1</v>
      </c>
      <c r="P9" t="s">
        <v>41</v>
      </c>
      <c r="Q9" t="s">
        <v>42</v>
      </c>
      <c r="R9" t="str">
        <f>"1980050"</f>
        <v>1980050</v>
      </c>
      <c r="S9" t="s">
        <v>1278</v>
      </c>
      <c r="T9" t="s">
        <v>1268</v>
      </c>
      <c r="U9" t="s">
        <v>1269</v>
      </c>
      <c r="V9" t="s">
        <v>1270</v>
      </c>
      <c r="W9" t="s">
        <v>51</v>
      </c>
      <c r="X9" t="s">
        <v>45</v>
      </c>
      <c r="Y9" s="1">
        <v>22640</v>
      </c>
      <c r="Z9">
        <v>2</v>
      </c>
      <c r="AA9" t="s">
        <v>1269</v>
      </c>
      <c r="AB9" s="40" t="s">
        <v>1794</v>
      </c>
    </row>
    <row r="10" spans="1:28" x14ac:dyDescent="0.25">
      <c r="A10">
        <v>99910009</v>
      </c>
      <c r="B10" t="s">
        <v>32</v>
      </c>
      <c r="C10" t="s">
        <v>111</v>
      </c>
      <c r="D10" t="s">
        <v>112</v>
      </c>
      <c r="G10" t="s">
        <v>35</v>
      </c>
      <c r="H10">
        <v>1</v>
      </c>
      <c r="K10" t="s">
        <v>154</v>
      </c>
      <c r="L10" t="s">
        <v>155</v>
      </c>
      <c r="M10" t="s">
        <v>131</v>
      </c>
      <c r="N10">
        <v>1</v>
      </c>
      <c r="P10" t="s">
        <v>41</v>
      </c>
      <c r="Q10" t="s">
        <v>75</v>
      </c>
      <c r="R10" t="str">
        <f>"7051010"</f>
        <v>7051010</v>
      </c>
      <c r="S10" t="s">
        <v>403</v>
      </c>
      <c r="T10" t="s">
        <v>154</v>
      </c>
      <c r="U10" t="s">
        <v>155</v>
      </c>
      <c r="V10" t="s">
        <v>131</v>
      </c>
      <c r="W10" t="s">
        <v>51</v>
      </c>
      <c r="X10" t="s">
        <v>45</v>
      </c>
      <c r="Y10" s="1">
        <v>21898</v>
      </c>
      <c r="Z10">
        <v>1</v>
      </c>
      <c r="AA10" t="s">
        <v>155</v>
      </c>
      <c r="AB10" s="40" t="s">
        <v>1794</v>
      </c>
    </row>
    <row r="11" spans="1:28" x14ac:dyDescent="0.25">
      <c r="A11">
        <v>99910010</v>
      </c>
      <c r="B11" t="s">
        <v>32</v>
      </c>
      <c r="C11" t="s">
        <v>136</v>
      </c>
      <c r="D11" t="s">
        <v>137</v>
      </c>
      <c r="G11" t="s">
        <v>35</v>
      </c>
      <c r="H11">
        <v>1</v>
      </c>
      <c r="I11" t="s">
        <v>1228</v>
      </c>
      <c r="J11" s="1">
        <v>43344</v>
      </c>
      <c r="K11" t="s">
        <v>1221</v>
      </c>
      <c r="L11" t="s">
        <v>1222</v>
      </c>
      <c r="M11" t="s">
        <v>1130</v>
      </c>
      <c r="N11">
        <v>1</v>
      </c>
      <c r="O11" s="1">
        <v>43344</v>
      </c>
      <c r="P11" t="s">
        <v>41</v>
      </c>
      <c r="Q11" t="s">
        <v>75</v>
      </c>
      <c r="R11" t="str">
        <f>"7351000"</f>
        <v>7351000</v>
      </c>
      <c r="S11" t="s">
        <v>1223</v>
      </c>
      <c r="T11" t="s">
        <v>1221</v>
      </c>
      <c r="U11" t="s">
        <v>1222</v>
      </c>
      <c r="V11" t="s">
        <v>1130</v>
      </c>
      <c r="W11" t="s">
        <v>51</v>
      </c>
      <c r="X11" t="s">
        <v>45</v>
      </c>
      <c r="Z11">
        <v>1</v>
      </c>
      <c r="AA11" t="s">
        <v>1222</v>
      </c>
      <c r="AB11" s="40" t="s">
        <v>1794</v>
      </c>
    </row>
    <row r="12" spans="1:28" x14ac:dyDescent="0.25">
      <c r="A12">
        <v>99910011</v>
      </c>
      <c r="B12" t="s">
        <v>56</v>
      </c>
      <c r="C12" t="s">
        <v>143</v>
      </c>
      <c r="D12" t="s">
        <v>144</v>
      </c>
      <c r="G12" t="s">
        <v>35</v>
      </c>
      <c r="H12">
        <v>1</v>
      </c>
      <c r="I12">
        <v>24574</v>
      </c>
      <c r="J12" s="1">
        <v>43405</v>
      </c>
      <c r="K12" t="s">
        <v>380</v>
      </c>
      <c r="L12" t="s">
        <v>381</v>
      </c>
      <c r="M12" t="s">
        <v>131</v>
      </c>
      <c r="N12">
        <v>2</v>
      </c>
      <c r="O12" s="1">
        <v>43405</v>
      </c>
      <c r="P12" t="s">
        <v>41</v>
      </c>
      <c r="Q12" t="s">
        <v>49</v>
      </c>
      <c r="R12" t="str">
        <f>"0561020"</f>
        <v>0561020</v>
      </c>
      <c r="S12" t="s">
        <v>390</v>
      </c>
      <c r="T12" t="s">
        <v>380</v>
      </c>
      <c r="U12" t="s">
        <v>381</v>
      </c>
      <c r="V12" t="s">
        <v>131</v>
      </c>
      <c r="W12" t="s">
        <v>44</v>
      </c>
      <c r="X12" t="s">
        <v>45</v>
      </c>
      <c r="Y12" s="1">
        <v>33818</v>
      </c>
      <c r="Z12">
        <v>2</v>
      </c>
      <c r="AA12" t="s">
        <v>381</v>
      </c>
      <c r="AB12" s="40" t="s">
        <v>1794</v>
      </c>
    </row>
    <row r="13" spans="1:28" x14ac:dyDescent="0.25">
      <c r="A13">
        <v>99910012</v>
      </c>
      <c r="B13" t="s">
        <v>32</v>
      </c>
      <c r="C13" t="s">
        <v>79</v>
      </c>
      <c r="D13" t="s">
        <v>80</v>
      </c>
      <c r="G13" t="s">
        <v>35</v>
      </c>
      <c r="H13">
        <v>1</v>
      </c>
      <c r="I13">
        <v>22914</v>
      </c>
      <c r="J13" s="1">
        <v>43374</v>
      </c>
      <c r="K13" t="s">
        <v>877</v>
      </c>
      <c r="L13" t="s">
        <v>878</v>
      </c>
      <c r="M13" t="s">
        <v>131</v>
      </c>
      <c r="N13">
        <v>2</v>
      </c>
      <c r="O13" s="1">
        <v>43374</v>
      </c>
      <c r="P13" t="s">
        <v>41</v>
      </c>
      <c r="Q13" t="s">
        <v>75</v>
      </c>
      <c r="R13" t="str">
        <f>"7541024"</f>
        <v>7541024</v>
      </c>
      <c r="S13" t="s">
        <v>885</v>
      </c>
      <c r="T13" t="s">
        <v>877</v>
      </c>
      <c r="U13" t="s">
        <v>878</v>
      </c>
      <c r="V13" t="s">
        <v>131</v>
      </c>
      <c r="W13" t="s">
        <v>44</v>
      </c>
      <c r="X13" t="s">
        <v>45</v>
      </c>
      <c r="Y13" s="1">
        <v>33809</v>
      </c>
      <c r="Z13">
        <v>1</v>
      </c>
      <c r="AA13" t="s">
        <v>878</v>
      </c>
      <c r="AB13" s="40" t="s">
        <v>1794</v>
      </c>
    </row>
    <row r="14" spans="1:28" x14ac:dyDescent="0.25">
      <c r="A14">
        <v>99910013</v>
      </c>
      <c r="B14" t="s">
        <v>32</v>
      </c>
      <c r="C14" t="s">
        <v>61</v>
      </c>
      <c r="D14" t="s">
        <v>62</v>
      </c>
      <c r="G14" t="s">
        <v>35</v>
      </c>
      <c r="H14">
        <v>1</v>
      </c>
      <c r="I14">
        <v>22116</v>
      </c>
      <c r="J14" s="1">
        <v>43027</v>
      </c>
      <c r="K14" t="s">
        <v>380</v>
      </c>
      <c r="L14" t="s">
        <v>381</v>
      </c>
      <c r="M14" t="s">
        <v>131</v>
      </c>
      <c r="N14">
        <v>2</v>
      </c>
      <c r="O14" s="1">
        <v>43027</v>
      </c>
      <c r="P14" t="s">
        <v>41</v>
      </c>
      <c r="Q14" t="s">
        <v>49</v>
      </c>
      <c r="R14" t="str">
        <f>"0561020"</f>
        <v>0561020</v>
      </c>
      <c r="S14" t="s">
        <v>390</v>
      </c>
      <c r="T14" t="s">
        <v>380</v>
      </c>
      <c r="U14" t="s">
        <v>381</v>
      </c>
      <c r="V14" t="s">
        <v>131</v>
      </c>
      <c r="W14" t="s">
        <v>44</v>
      </c>
      <c r="X14" t="s">
        <v>45</v>
      </c>
      <c r="Y14" s="1">
        <v>32350</v>
      </c>
      <c r="Z14">
        <v>2</v>
      </c>
      <c r="AA14" t="s">
        <v>381</v>
      </c>
      <c r="AB14" s="40" t="s">
        <v>1794</v>
      </c>
    </row>
    <row r="15" spans="1:28" x14ac:dyDescent="0.25">
      <c r="A15">
        <v>99910014</v>
      </c>
      <c r="B15" t="s">
        <v>32</v>
      </c>
      <c r="C15" t="s">
        <v>46</v>
      </c>
      <c r="D15" t="s">
        <v>47</v>
      </c>
      <c r="G15" t="s">
        <v>48</v>
      </c>
      <c r="H15">
        <v>1</v>
      </c>
      <c r="K15" t="s">
        <v>300</v>
      </c>
      <c r="L15" t="s">
        <v>301</v>
      </c>
      <c r="M15" t="s">
        <v>131</v>
      </c>
      <c r="N15">
        <v>2</v>
      </c>
      <c r="P15" t="s">
        <v>41</v>
      </c>
      <c r="Q15" t="s">
        <v>49</v>
      </c>
      <c r="R15" t="str">
        <f>"0560029"</f>
        <v>0560029</v>
      </c>
      <c r="S15" t="s">
        <v>309</v>
      </c>
      <c r="T15" t="s">
        <v>300</v>
      </c>
      <c r="U15" t="s">
        <v>301</v>
      </c>
      <c r="V15" t="s">
        <v>131</v>
      </c>
      <c r="W15" t="s">
        <v>51</v>
      </c>
      <c r="X15" t="s">
        <v>45</v>
      </c>
      <c r="Y15" s="1">
        <v>31664</v>
      </c>
      <c r="Z15">
        <v>2</v>
      </c>
      <c r="AA15" t="s">
        <v>301</v>
      </c>
      <c r="AB15" s="40" t="s">
        <v>1794</v>
      </c>
    </row>
    <row r="16" spans="1:28" x14ac:dyDescent="0.25">
      <c r="A16">
        <v>99910015</v>
      </c>
      <c r="B16" t="s">
        <v>32</v>
      </c>
      <c r="C16" t="s">
        <v>139</v>
      </c>
      <c r="D16" t="s">
        <v>140</v>
      </c>
      <c r="G16" t="s">
        <v>48</v>
      </c>
      <c r="H16">
        <v>1</v>
      </c>
      <c r="K16" t="s">
        <v>354</v>
      </c>
      <c r="L16" t="s">
        <v>355</v>
      </c>
      <c r="M16" t="s">
        <v>131</v>
      </c>
      <c r="N16">
        <v>2</v>
      </c>
      <c r="P16" t="s">
        <v>41</v>
      </c>
      <c r="Q16" t="s">
        <v>95</v>
      </c>
      <c r="R16" t="str">
        <f>"7054021"</f>
        <v>7054021</v>
      </c>
      <c r="S16" t="s">
        <v>783</v>
      </c>
      <c r="T16" t="s">
        <v>354</v>
      </c>
      <c r="U16" t="s">
        <v>355</v>
      </c>
      <c r="V16" t="s">
        <v>131</v>
      </c>
      <c r="W16" t="s">
        <v>51</v>
      </c>
      <c r="X16" t="s">
        <v>45</v>
      </c>
      <c r="Y16" s="1">
        <v>31561</v>
      </c>
      <c r="Z16">
        <v>1</v>
      </c>
      <c r="AA16" t="s">
        <v>355</v>
      </c>
      <c r="AB16" s="40" t="s">
        <v>1794</v>
      </c>
    </row>
    <row r="17" spans="1:28" x14ac:dyDescent="0.25">
      <c r="A17">
        <v>99910016</v>
      </c>
      <c r="B17" t="s">
        <v>32</v>
      </c>
      <c r="C17" t="s">
        <v>85</v>
      </c>
      <c r="D17" t="s">
        <v>86</v>
      </c>
      <c r="G17" t="s">
        <v>35</v>
      </c>
      <c r="H17">
        <v>1</v>
      </c>
      <c r="I17" t="s">
        <v>221</v>
      </c>
      <c r="J17" s="1">
        <v>43354</v>
      </c>
      <c r="K17" t="s">
        <v>162</v>
      </c>
      <c r="L17" t="s">
        <v>158</v>
      </c>
      <c r="M17" t="s">
        <v>131</v>
      </c>
      <c r="N17">
        <v>2</v>
      </c>
      <c r="O17" s="1">
        <v>43354</v>
      </c>
      <c r="P17" t="s">
        <v>41</v>
      </c>
      <c r="Q17" t="s">
        <v>42</v>
      </c>
      <c r="R17" t="str">
        <f>"0580320"</f>
        <v>0580320</v>
      </c>
      <c r="S17" t="s">
        <v>164</v>
      </c>
      <c r="T17" t="s">
        <v>162</v>
      </c>
      <c r="U17" t="s">
        <v>158</v>
      </c>
      <c r="V17" t="s">
        <v>131</v>
      </c>
      <c r="W17" t="s">
        <v>44</v>
      </c>
      <c r="X17" t="s">
        <v>45</v>
      </c>
      <c r="Y17" s="1">
        <v>31166</v>
      </c>
      <c r="Z17">
        <v>2</v>
      </c>
      <c r="AA17" t="s">
        <v>158</v>
      </c>
      <c r="AB17" s="40" t="s">
        <v>1794</v>
      </c>
    </row>
    <row r="18" spans="1:28" x14ac:dyDescent="0.25">
      <c r="A18">
        <v>99910017</v>
      </c>
      <c r="B18" t="s">
        <v>56</v>
      </c>
      <c r="C18" t="s">
        <v>46</v>
      </c>
      <c r="D18" t="s">
        <v>47</v>
      </c>
      <c r="G18" t="s">
        <v>48</v>
      </c>
      <c r="H18">
        <v>1</v>
      </c>
      <c r="K18" t="s">
        <v>300</v>
      </c>
      <c r="L18" t="s">
        <v>301</v>
      </c>
      <c r="M18" t="s">
        <v>131</v>
      </c>
      <c r="N18">
        <v>2</v>
      </c>
      <c r="P18" t="s">
        <v>41</v>
      </c>
      <c r="Q18" t="s">
        <v>42</v>
      </c>
      <c r="R18" t="str">
        <f>"0561001"</f>
        <v>0561001</v>
      </c>
      <c r="S18" t="s">
        <v>308</v>
      </c>
      <c r="T18" t="s">
        <v>300</v>
      </c>
      <c r="U18" t="s">
        <v>301</v>
      </c>
      <c r="V18" t="s">
        <v>131</v>
      </c>
      <c r="W18" t="s">
        <v>51</v>
      </c>
      <c r="X18" t="s">
        <v>45</v>
      </c>
      <c r="Y18" s="1">
        <v>31031</v>
      </c>
      <c r="Z18">
        <v>2</v>
      </c>
      <c r="AA18" t="s">
        <v>301</v>
      </c>
      <c r="AB18" s="40" t="s">
        <v>1794</v>
      </c>
    </row>
    <row r="19" spans="1:28" x14ac:dyDescent="0.25">
      <c r="A19">
        <v>99910018</v>
      </c>
      <c r="B19" t="s">
        <v>32</v>
      </c>
      <c r="C19" t="s">
        <v>58</v>
      </c>
      <c r="D19" t="s">
        <v>59</v>
      </c>
      <c r="G19" t="s">
        <v>35</v>
      </c>
      <c r="H19">
        <v>1</v>
      </c>
      <c r="I19">
        <v>22882</v>
      </c>
      <c r="J19" s="1">
        <v>43027</v>
      </c>
      <c r="K19" t="s">
        <v>380</v>
      </c>
      <c r="L19" t="s">
        <v>381</v>
      </c>
      <c r="M19" t="s">
        <v>131</v>
      </c>
      <c r="N19">
        <v>2</v>
      </c>
      <c r="O19" s="1">
        <v>43027</v>
      </c>
      <c r="P19" t="s">
        <v>41</v>
      </c>
      <c r="Q19" t="s">
        <v>49</v>
      </c>
      <c r="R19" t="str">
        <f>"0561020"</f>
        <v>0561020</v>
      </c>
      <c r="S19" t="s">
        <v>390</v>
      </c>
      <c r="T19" t="s">
        <v>380</v>
      </c>
      <c r="U19" t="s">
        <v>381</v>
      </c>
      <c r="V19" t="s">
        <v>131</v>
      </c>
      <c r="W19" t="s">
        <v>44</v>
      </c>
      <c r="X19" t="s">
        <v>45</v>
      </c>
      <c r="Y19" s="1">
        <v>30682</v>
      </c>
      <c r="Z19">
        <v>2</v>
      </c>
      <c r="AA19" t="s">
        <v>381</v>
      </c>
      <c r="AB19" s="40" t="s">
        <v>1794</v>
      </c>
    </row>
    <row r="20" spans="1:28" x14ac:dyDescent="0.25">
      <c r="A20">
        <v>99910019</v>
      </c>
      <c r="B20" t="s">
        <v>32</v>
      </c>
      <c r="C20" t="s">
        <v>58</v>
      </c>
      <c r="D20" t="s">
        <v>59</v>
      </c>
      <c r="G20" t="s">
        <v>35</v>
      </c>
      <c r="H20">
        <v>1</v>
      </c>
      <c r="K20" t="s">
        <v>1613</v>
      </c>
      <c r="L20" t="s">
        <v>1614</v>
      </c>
      <c r="M20" t="s">
        <v>1592</v>
      </c>
      <c r="N20">
        <v>2</v>
      </c>
      <c r="P20" t="s">
        <v>41</v>
      </c>
      <c r="Q20" t="s">
        <v>49</v>
      </c>
      <c r="R20" t="str">
        <f>"2881020"</f>
        <v>2881020</v>
      </c>
      <c r="S20" t="s">
        <v>1615</v>
      </c>
      <c r="T20" t="s">
        <v>1613</v>
      </c>
      <c r="U20" t="s">
        <v>1614</v>
      </c>
      <c r="V20" t="s">
        <v>1592</v>
      </c>
      <c r="W20" t="s">
        <v>51</v>
      </c>
      <c r="X20" t="s">
        <v>45</v>
      </c>
      <c r="Y20" s="1">
        <v>29727</v>
      </c>
      <c r="Z20">
        <v>2</v>
      </c>
      <c r="AA20" t="s">
        <v>1614</v>
      </c>
      <c r="AB20" s="40" t="s">
        <v>1794</v>
      </c>
    </row>
    <row r="21" spans="1:28" x14ac:dyDescent="0.25">
      <c r="A21">
        <v>99910020</v>
      </c>
      <c r="B21" t="s">
        <v>32</v>
      </c>
      <c r="C21" t="s">
        <v>68</v>
      </c>
      <c r="D21" t="s">
        <v>69</v>
      </c>
      <c r="G21" t="s">
        <v>48</v>
      </c>
      <c r="H21">
        <v>1</v>
      </c>
      <c r="K21" t="s">
        <v>300</v>
      </c>
      <c r="L21" t="s">
        <v>301</v>
      </c>
      <c r="M21" t="s">
        <v>131</v>
      </c>
      <c r="N21">
        <v>2</v>
      </c>
      <c r="P21" t="s">
        <v>41</v>
      </c>
      <c r="Q21" t="s">
        <v>42</v>
      </c>
      <c r="R21" t="str">
        <f>"0561001"</f>
        <v>0561001</v>
      </c>
      <c r="S21" t="s">
        <v>308</v>
      </c>
      <c r="T21" t="s">
        <v>300</v>
      </c>
      <c r="U21" t="s">
        <v>301</v>
      </c>
      <c r="V21" t="s">
        <v>131</v>
      </c>
      <c r="W21" t="s">
        <v>51</v>
      </c>
      <c r="X21" t="s">
        <v>45</v>
      </c>
      <c r="Y21" s="1">
        <v>29221</v>
      </c>
      <c r="Z21">
        <v>2</v>
      </c>
      <c r="AA21" t="s">
        <v>301</v>
      </c>
      <c r="AB21" s="40" t="s">
        <v>1794</v>
      </c>
    </row>
    <row r="22" spans="1:28" x14ac:dyDescent="0.25">
      <c r="A22">
        <v>99910021</v>
      </c>
      <c r="B22" t="s">
        <v>32</v>
      </c>
      <c r="C22" t="s">
        <v>149</v>
      </c>
      <c r="D22" t="s">
        <v>150</v>
      </c>
      <c r="G22" t="s">
        <v>48</v>
      </c>
      <c r="H22">
        <v>1</v>
      </c>
      <c r="K22" t="s">
        <v>223</v>
      </c>
      <c r="L22" t="s">
        <v>224</v>
      </c>
      <c r="M22" t="s">
        <v>131</v>
      </c>
      <c r="N22">
        <v>2</v>
      </c>
      <c r="P22" t="s">
        <v>41</v>
      </c>
      <c r="Q22" t="s">
        <v>42</v>
      </c>
      <c r="R22" t="str">
        <f>"0580200"</f>
        <v>0580200</v>
      </c>
      <c r="S22" t="s">
        <v>245</v>
      </c>
      <c r="T22" t="s">
        <v>223</v>
      </c>
      <c r="U22" t="s">
        <v>224</v>
      </c>
      <c r="V22" t="s">
        <v>131</v>
      </c>
      <c r="W22" t="s">
        <v>51</v>
      </c>
      <c r="X22" t="s">
        <v>45</v>
      </c>
      <c r="Y22" s="1">
        <v>29134</v>
      </c>
      <c r="Z22">
        <v>2</v>
      </c>
      <c r="AA22" t="s">
        <v>224</v>
      </c>
      <c r="AB22" s="40" t="s">
        <v>1794</v>
      </c>
    </row>
    <row r="23" spans="1:28" x14ac:dyDescent="0.25">
      <c r="A23">
        <v>99910022</v>
      </c>
      <c r="B23" t="s">
        <v>32</v>
      </c>
      <c r="C23" t="s">
        <v>46</v>
      </c>
      <c r="D23" t="s">
        <v>47</v>
      </c>
      <c r="G23" t="s">
        <v>48</v>
      </c>
      <c r="H23">
        <v>1</v>
      </c>
      <c r="K23" t="s">
        <v>1613</v>
      </c>
      <c r="L23" t="s">
        <v>1614</v>
      </c>
      <c r="M23" t="s">
        <v>1592</v>
      </c>
      <c r="N23">
        <v>2</v>
      </c>
      <c r="P23" t="s">
        <v>41</v>
      </c>
      <c r="Q23" t="s">
        <v>49</v>
      </c>
      <c r="R23" t="str">
        <f>"2881010"</f>
        <v>2881010</v>
      </c>
      <c r="S23" t="s">
        <v>1622</v>
      </c>
      <c r="T23" t="s">
        <v>1613</v>
      </c>
      <c r="U23" t="s">
        <v>1614</v>
      </c>
      <c r="V23" t="s">
        <v>1592</v>
      </c>
      <c r="W23" t="s">
        <v>51</v>
      </c>
      <c r="X23" t="s">
        <v>45</v>
      </c>
      <c r="Y23" s="1">
        <v>28856</v>
      </c>
      <c r="Z23">
        <v>2</v>
      </c>
      <c r="AA23" t="s">
        <v>1614</v>
      </c>
      <c r="AB23" s="40" t="s">
        <v>1794</v>
      </c>
    </row>
    <row r="24" spans="1:28" x14ac:dyDescent="0.25">
      <c r="A24">
        <v>99910023</v>
      </c>
      <c r="B24" t="s">
        <v>32</v>
      </c>
      <c r="C24" t="s">
        <v>64</v>
      </c>
      <c r="D24" t="s">
        <v>65</v>
      </c>
      <c r="G24" t="s">
        <v>35</v>
      </c>
      <c r="H24">
        <v>1</v>
      </c>
      <c r="I24">
        <v>4178</v>
      </c>
      <c r="J24" s="1">
        <v>43353</v>
      </c>
      <c r="K24" t="s">
        <v>1631</v>
      </c>
      <c r="L24" t="s">
        <v>1632</v>
      </c>
      <c r="M24" t="s">
        <v>1592</v>
      </c>
      <c r="N24">
        <v>2</v>
      </c>
      <c r="O24" s="1">
        <v>43353</v>
      </c>
      <c r="P24" t="s">
        <v>41</v>
      </c>
      <c r="Q24" t="s">
        <v>95</v>
      </c>
      <c r="R24" t="str">
        <f>"7021011"</f>
        <v>7021011</v>
      </c>
      <c r="S24" t="s">
        <v>1643</v>
      </c>
      <c r="T24" t="s">
        <v>1631</v>
      </c>
      <c r="U24" t="s">
        <v>1632</v>
      </c>
      <c r="V24" t="s">
        <v>1592</v>
      </c>
      <c r="W24" t="s">
        <v>44</v>
      </c>
      <c r="X24" t="s">
        <v>45</v>
      </c>
      <c r="Y24" s="1">
        <v>28621</v>
      </c>
      <c r="Z24">
        <v>1</v>
      </c>
      <c r="AA24" t="s">
        <v>1632</v>
      </c>
      <c r="AB24" s="40" t="s">
        <v>1794</v>
      </c>
    </row>
    <row r="25" spans="1:28" x14ac:dyDescent="0.25">
      <c r="A25">
        <v>99910024</v>
      </c>
      <c r="B25" t="s">
        <v>32</v>
      </c>
      <c r="C25" t="s">
        <v>145</v>
      </c>
      <c r="D25" t="s">
        <v>146</v>
      </c>
      <c r="G25" t="s">
        <v>35</v>
      </c>
      <c r="H25">
        <v>1</v>
      </c>
      <c r="I25" t="s">
        <v>1155</v>
      </c>
      <c r="J25" s="1">
        <v>43385</v>
      </c>
      <c r="K25" t="s">
        <v>1128</v>
      </c>
      <c r="L25" t="s">
        <v>1129</v>
      </c>
      <c r="M25" t="s">
        <v>1130</v>
      </c>
      <c r="N25">
        <v>2</v>
      </c>
      <c r="O25" s="1">
        <v>43385</v>
      </c>
      <c r="P25" t="s">
        <v>41</v>
      </c>
      <c r="Q25" t="s">
        <v>49</v>
      </c>
      <c r="R25" t="str">
        <f>"3160002"</f>
        <v>3160002</v>
      </c>
      <c r="S25" t="s">
        <v>1143</v>
      </c>
      <c r="T25" t="s">
        <v>1128</v>
      </c>
      <c r="U25" t="s">
        <v>1129</v>
      </c>
      <c r="V25" t="s">
        <v>1130</v>
      </c>
      <c r="W25" t="s">
        <v>55</v>
      </c>
      <c r="X25" t="s">
        <v>45</v>
      </c>
      <c r="Y25" s="1">
        <v>28256</v>
      </c>
      <c r="Z25">
        <v>2</v>
      </c>
      <c r="AA25" t="s">
        <v>1129</v>
      </c>
      <c r="AB25" s="40" t="s">
        <v>1794</v>
      </c>
    </row>
    <row r="26" spans="1:28" x14ac:dyDescent="0.25">
      <c r="A26">
        <v>99910025</v>
      </c>
      <c r="B26" t="s">
        <v>32</v>
      </c>
      <c r="C26" t="s">
        <v>141</v>
      </c>
      <c r="D26" t="s">
        <v>142</v>
      </c>
      <c r="G26" t="s">
        <v>35</v>
      </c>
      <c r="H26">
        <v>1</v>
      </c>
      <c r="I26">
        <v>16687</v>
      </c>
      <c r="J26" s="1">
        <v>43344</v>
      </c>
      <c r="K26" t="s">
        <v>162</v>
      </c>
      <c r="L26" t="s">
        <v>158</v>
      </c>
      <c r="M26" t="s">
        <v>131</v>
      </c>
      <c r="N26">
        <v>2</v>
      </c>
      <c r="O26" s="1">
        <v>43344</v>
      </c>
      <c r="P26" t="s">
        <v>41</v>
      </c>
      <c r="Q26" t="s">
        <v>42</v>
      </c>
      <c r="R26" t="str">
        <f>"0580320"</f>
        <v>0580320</v>
      </c>
      <c r="S26" t="s">
        <v>164</v>
      </c>
      <c r="T26" t="s">
        <v>162</v>
      </c>
      <c r="U26" t="s">
        <v>158</v>
      </c>
      <c r="V26" t="s">
        <v>131</v>
      </c>
      <c r="W26" t="s">
        <v>55</v>
      </c>
      <c r="X26" t="s">
        <v>45</v>
      </c>
      <c r="Y26" s="1">
        <v>27030</v>
      </c>
      <c r="Z26">
        <v>2</v>
      </c>
      <c r="AA26" t="s">
        <v>158</v>
      </c>
      <c r="AB26" s="40" t="s">
        <v>1794</v>
      </c>
    </row>
    <row r="27" spans="1:28" x14ac:dyDescent="0.25">
      <c r="A27">
        <v>99910026</v>
      </c>
      <c r="B27" t="s">
        <v>32</v>
      </c>
      <c r="C27" t="s">
        <v>143</v>
      </c>
      <c r="D27" t="s">
        <v>144</v>
      </c>
      <c r="G27" t="s">
        <v>48</v>
      </c>
      <c r="H27">
        <v>1</v>
      </c>
      <c r="K27" t="s">
        <v>223</v>
      </c>
      <c r="L27" t="s">
        <v>224</v>
      </c>
      <c r="M27" t="s">
        <v>131</v>
      </c>
      <c r="N27">
        <v>2</v>
      </c>
      <c r="P27" t="s">
        <v>41</v>
      </c>
      <c r="Q27" t="s">
        <v>42</v>
      </c>
      <c r="R27" t="str">
        <f>"0561007"</f>
        <v>0561007</v>
      </c>
      <c r="S27" t="s">
        <v>262</v>
      </c>
      <c r="T27" t="s">
        <v>223</v>
      </c>
      <c r="U27" t="s">
        <v>224</v>
      </c>
      <c r="V27" t="s">
        <v>131</v>
      </c>
      <c r="W27" t="s">
        <v>51</v>
      </c>
      <c r="X27" t="s">
        <v>45</v>
      </c>
      <c r="Y27" s="1">
        <v>26224</v>
      </c>
      <c r="Z27">
        <v>2</v>
      </c>
      <c r="AA27" t="s">
        <v>224</v>
      </c>
      <c r="AB27" s="40" t="s">
        <v>1794</v>
      </c>
    </row>
    <row r="28" spans="1:28" x14ac:dyDescent="0.25">
      <c r="A28">
        <v>99910027</v>
      </c>
      <c r="B28" t="s">
        <v>32</v>
      </c>
      <c r="C28" t="s">
        <v>141</v>
      </c>
      <c r="D28" t="s">
        <v>142</v>
      </c>
      <c r="G28" t="s">
        <v>35</v>
      </c>
      <c r="H28">
        <v>1</v>
      </c>
      <c r="K28" t="s">
        <v>407</v>
      </c>
      <c r="L28" t="s">
        <v>409</v>
      </c>
      <c r="M28" t="s">
        <v>131</v>
      </c>
      <c r="N28">
        <v>2</v>
      </c>
      <c r="P28" t="s">
        <v>41</v>
      </c>
      <c r="Q28" t="s">
        <v>75</v>
      </c>
      <c r="R28" t="str">
        <f>"7053000"</f>
        <v>7053000</v>
      </c>
      <c r="S28" t="s">
        <v>754</v>
      </c>
      <c r="T28" t="s">
        <v>407</v>
      </c>
      <c r="U28" t="s">
        <v>409</v>
      </c>
      <c r="V28" t="s">
        <v>131</v>
      </c>
      <c r="W28" t="s">
        <v>51</v>
      </c>
      <c r="X28" t="s">
        <v>45</v>
      </c>
      <c r="Y28" s="1">
        <v>25315</v>
      </c>
      <c r="Z28">
        <v>1</v>
      </c>
      <c r="AA28" t="s">
        <v>409</v>
      </c>
      <c r="AB28" s="40" t="s">
        <v>1794</v>
      </c>
    </row>
    <row r="29" spans="1:28" x14ac:dyDescent="0.25">
      <c r="A29">
        <v>99910028</v>
      </c>
      <c r="B29" t="s">
        <v>32</v>
      </c>
      <c r="C29" t="s">
        <v>64</v>
      </c>
      <c r="D29" t="s">
        <v>65</v>
      </c>
      <c r="G29" t="s">
        <v>48</v>
      </c>
      <c r="H29">
        <v>1</v>
      </c>
      <c r="K29" t="s">
        <v>162</v>
      </c>
      <c r="L29" t="s">
        <v>158</v>
      </c>
      <c r="M29" t="s">
        <v>131</v>
      </c>
      <c r="N29">
        <v>2</v>
      </c>
      <c r="P29" t="s">
        <v>41</v>
      </c>
      <c r="Q29" t="s">
        <v>49</v>
      </c>
      <c r="R29" t="str">
        <f>"0560027"</f>
        <v>0560027</v>
      </c>
      <c r="S29" t="s">
        <v>178</v>
      </c>
      <c r="T29" t="s">
        <v>162</v>
      </c>
      <c r="U29" t="s">
        <v>158</v>
      </c>
      <c r="V29" t="s">
        <v>131</v>
      </c>
      <c r="W29" t="s">
        <v>51</v>
      </c>
      <c r="X29" t="s">
        <v>45</v>
      </c>
      <c r="Y29" s="1">
        <v>24778</v>
      </c>
      <c r="Z29">
        <v>2</v>
      </c>
      <c r="AA29" t="s">
        <v>158</v>
      </c>
      <c r="AB29" s="40" t="s">
        <v>1794</v>
      </c>
    </row>
    <row r="30" spans="1:28" x14ac:dyDescent="0.25">
      <c r="A30">
        <v>99910029</v>
      </c>
      <c r="B30" t="s">
        <v>32</v>
      </c>
      <c r="C30" t="s">
        <v>46</v>
      </c>
      <c r="D30" t="s">
        <v>47</v>
      </c>
      <c r="G30" t="s">
        <v>48</v>
      </c>
      <c r="H30">
        <v>1</v>
      </c>
      <c r="K30" t="s">
        <v>223</v>
      </c>
      <c r="L30" t="s">
        <v>224</v>
      </c>
      <c r="M30" t="s">
        <v>131</v>
      </c>
      <c r="N30">
        <v>2</v>
      </c>
      <c r="P30" t="s">
        <v>41</v>
      </c>
      <c r="Q30" t="s">
        <v>49</v>
      </c>
      <c r="R30" t="str">
        <f>"0581204"</f>
        <v>0581204</v>
      </c>
      <c r="S30" t="s">
        <v>249</v>
      </c>
      <c r="T30" t="s">
        <v>223</v>
      </c>
      <c r="U30" t="s">
        <v>224</v>
      </c>
      <c r="V30" t="s">
        <v>131</v>
      </c>
      <c r="W30" t="s">
        <v>165</v>
      </c>
      <c r="X30" t="s">
        <v>45</v>
      </c>
      <c r="Y30" s="1">
        <v>24559</v>
      </c>
      <c r="Z30">
        <v>2</v>
      </c>
      <c r="AA30" t="s">
        <v>224</v>
      </c>
      <c r="AB30" s="40" t="s">
        <v>1794</v>
      </c>
    </row>
    <row r="31" spans="1:28" x14ac:dyDescent="0.25">
      <c r="A31">
        <v>99910030</v>
      </c>
      <c r="B31" t="s">
        <v>56</v>
      </c>
      <c r="C31" t="s">
        <v>68</v>
      </c>
      <c r="D31" t="s">
        <v>69</v>
      </c>
      <c r="G31" t="s">
        <v>48</v>
      </c>
      <c r="H31">
        <v>1</v>
      </c>
      <c r="K31" t="s">
        <v>157</v>
      </c>
      <c r="L31" t="s">
        <v>158</v>
      </c>
      <c r="M31" t="s">
        <v>131</v>
      </c>
      <c r="N31">
        <v>2</v>
      </c>
      <c r="P31" t="s">
        <v>41</v>
      </c>
      <c r="Q31" t="s">
        <v>42</v>
      </c>
      <c r="R31" t="str">
        <f>"0580470"</f>
        <v>0580470</v>
      </c>
      <c r="S31" t="s">
        <v>175</v>
      </c>
      <c r="T31" t="s">
        <v>157</v>
      </c>
      <c r="U31" t="s">
        <v>158</v>
      </c>
      <c r="V31" t="s">
        <v>131</v>
      </c>
      <c r="W31" t="s">
        <v>51</v>
      </c>
      <c r="X31" t="s">
        <v>45</v>
      </c>
      <c r="Y31" s="1">
        <v>24320</v>
      </c>
      <c r="Z31">
        <v>2</v>
      </c>
      <c r="AA31" t="s">
        <v>158</v>
      </c>
      <c r="AB31" s="40" t="s">
        <v>1794</v>
      </c>
    </row>
    <row r="32" spans="1:28" x14ac:dyDescent="0.25">
      <c r="A32">
        <v>99910031</v>
      </c>
      <c r="B32" t="s">
        <v>56</v>
      </c>
      <c r="C32" t="s">
        <v>79</v>
      </c>
      <c r="D32" t="s">
        <v>80</v>
      </c>
      <c r="G32" t="s">
        <v>48</v>
      </c>
      <c r="H32">
        <v>1</v>
      </c>
      <c r="K32" t="s">
        <v>300</v>
      </c>
      <c r="L32" t="s">
        <v>301</v>
      </c>
      <c r="M32" t="s">
        <v>131</v>
      </c>
      <c r="N32">
        <v>2</v>
      </c>
      <c r="P32" t="s">
        <v>41</v>
      </c>
      <c r="Q32" t="s">
        <v>49</v>
      </c>
      <c r="R32" t="str">
        <f>"0560001"</f>
        <v>0560001</v>
      </c>
      <c r="S32" t="s">
        <v>304</v>
      </c>
      <c r="T32" t="s">
        <v>300</v>
      </c>
      <c r="U32" t="s">
        <v>301</v>
      </c>
      <c r="V32" t="s">
        <v>131</v>
      </c>
      <c r="W32" t="s">
        <v>51</v>
      </c>
      <c r="X32" t="s">
        <v>45</v>
      </c>
      <c r="Y32" s="1">
        <v>23962</v>
      </c>
      <c r="Z32">
        <v>2</v>
      </c>
      <c r="AA32" t="s">
        <v>301</v>
      </c>
      <c r="AB32" s="40" t="s">
        <v>1794</v>
      </c>
    </row>
    <row r="33" spans="1:28" x14ac:dyDescent="0.25">
      <c r="A33">
        <v>99910032</v>
      </c>
      <c r="B33" t="s">
        <v>32</v>
      </c>
      <c r="C33" t="s">
        <v>141</v>
      </c>
      <c r="D33" t="s">
        <v>142</v>
      </c>
      <c r="G33" t="s">
        <v>35</v>
      </c>
      <c r="H33">
        <v>1</v>
      </c>
      <c r="K33" t="s">
        <v>157</v>
      </c>
      <c r="L33" t="s">
        <v>158</v>
      </c>
      <c r="M33" t="s">
        <v>131</v>
      </c>
      <c r="N33">
        <v>2</v>
      </c>
      <c r="P33" t="s">
        <v>41</v>
      </c>
      <c r="Q33" t="s">
        <v>49</v>
      </c>
      <c r="R33" t="str">
        <f>"0560011"</f>
        <v>0560011</v>
      </c>
      <c r="S33" t="s">
        <v>185</v>
      </c>
      <c r="T33" t="s">
        <v>157</v>
      </c>
      <c r="U33" t="s">
        <v>158</v>
      </c>
      <c r="V33" t="s">
        <v>131</v>
      </c>
      <c r="W33" t="s">
        <v>51</v>
      </c>
      <c r="X33" t="s">
        <v>45</v>
      </c>
      <c r="Y33" s="1">
        <v>23562</v>
      </c>
      <c r="Z33">
        <v>2</v>
      </c>
      <c r="AA33" t="s">
        <v>158</v>
      </c>
      <c r="AB33" s="40" t="s">
        <v>1794</v>
      </c>
    </row>
    <row r="34" spans="1:28" x14ac:dyDescent="0.25">
      <c r="A34">
        <v>99910033</v>
      </c>
      <c r="B34" t="s">
        <v>32</v>
      </c>
      <c r="C34" t="s">
        <v>46</v>
      </c>
      <c r="D34" t="s">
        <v>47</v>
      </c>
      <c r="G34" t="s">
        <v>48</v>
      </c>
      <c r="H34">
        <v>1</v>
      </c>
      <c r="K34" t="s">
        <v>380</v>
      </c>
      <c r="L34" t="s">
        <v>381</v>
      </c>
      <c r="M34" t="s">
        <v>131</v>
      </c>
      <c r="N34">
        <v>2</v>
      </c>
      <c r="P34" t="s">
        <v>41</v>
      </c>
      <c r="Q34" t="s">
        <v>49</v>
      </c>
      <c r="R34" t="str">
        <f>"0580552"</f>
        <v>0580552</v>
      </c>
      <c r="S34" t="s">
        <v>386</v>
      </c>
      <c r="T34" t="s">
        <v>380</v>
      </c>
      <c r="U34" t="s">
        <v>381</v>
      </c>
      <c r="V34" t="s">
        <v>131</v>
      </c>
      <c r="W34" t="s">
        <v>51</v>
      </c>
      <c r="X34" t="s">
        <v>45</v>
      </c>
      <c r="Y34" s="1">
        <v>22762</v>
      </c>
      <c r="Z34">
        <v>2</v>
      </c>
      <c r="AA34" t="s">
        <v>381</v>
      </c>
      <c r="AB34" s="40" t="s">
        <v>1794</v>
      </c>
    </row>
    <row r="35" spans="1:28" x14ac:dyDescent="0.25">
      <c r="A35">
        <v>99910034</v>
      </c>
      <c r="B35" t="s">
        <v>56</v>
      </c>
      <c r="C35" t="s">
        <v>145</v>
      </c>
      <c r="D35" t="s">
        <v>146</v>
      </c>
      <c r="G35" t="s">
        <v>35</v>
      </c>
      <c r="H35">
        <v>1</v>
      </c>
      <c r="I35">
        <v>22501</v>
      </c>
      <c r="J35" s="1">
        <v>43398</v>
      </c>
      <c r="K35" t="s">
        <v>380</v>
      </c>
      <c r="L35" t="s">
        <v>381</v>
      </c>
      <c r="M35" t="s">
        <v>131</v>
      </c>
      <c r="N35">
        <v>2</v>
      </c>
      <c r="O35" s="1">
        <v>43398</v>
      </c>
      <c r="P35" t="s">
        <v>41</v>
      </c>
      <c r="Q35" t="s">
        <v>49</v>
      </c>
      <c r="R35" t="str">
        <f>"0581575"</f>
        <v>0581575</v>
      </c>
      <c r="S35" t="s">
        <v>392</v>
      </c>
      <c r="T35" t="s">
        <v>380</v>
      </c>
      <c r="U35" t="s">
        <v>381</v>
      </c>
      <c r="V35" t="s">
        <v>131</v>
      </c>
      <c r="W35" t="s">
        <v>44</v>
      </c>
      <c r="X35" t="s">
        <v>45</v>
      </c>
      <c r="Y35" s="1">
        <v>22746</v>
      </c>
      <c r="Z35">
        <v>2</v>
      </c>
      <c r="AA35" t="s">
        <v>381</v>
      </c>
      <c r="AB35" s="40" t="s">
        <v>1794</v>
      </c>
    </row>
    <row r="36" spans="1:28" x14ac:dyDescent="0.25">
      <c r="A36">
        <v>99910035</v>
      </c>
      <c r="B36" t="s">
        <v>32</v>
      </c>
      <c r="C36" t="s">
        <v>82</v>
      </c>
      <c r="D36" t="s">
        <v>83</v>
      </c>
      <c r="G36" t="s">
        <v>48</v>
      </c>
      <c r="H36">
        <v>1</v>
      </c>
      <c r="K36" t="s">
        <v>223</v>
      </c>
      <c r="L36" t="s">
        <v>224</v>
      </c>
      <c r="M36" t="s">
        <v>131</v>
      </c>
      <c r="N36">
        <v>2</v>
      </c>
      <c r="P36" t="s">
        <v>41</v>
      </c>
      <c r="Q36" t="s">
        <v>42</v>
      </c>
      <c r="R36" t="str">
        <f>"0561007"</f>
        <v>0561007</v>
      </c>
      <c r="S36" t="s">
        <v>262</v>
      </c>
      <c r="T36" t="s">
        <v>223</v>
      </c>
      <c r="U36" t="s">
        <v>224</v>
      </c>
      <c r="V36" t="s">
        <v>131</v>
      </c>
      <c r="W36" t="s">
        <v>51</v>
      </c>
      <c r="X36" t="s">
        <v>45</v>
      </c>
      <c r="Y36" s="1">
        <v>22520</v>
      </c>
      <c r="Z36">
        <v>2</v>
      </c>
      <c r="AA36" t="s">
        <v>224</v>
      </c>
      <c r="AB36" s="40" t="s">
        <v>1794</v>
      </c>
    </row>
    <row r="37" spans="1:28" x14ac:dyDescent="0.25">
      <c r="A37">
        <v>99910036</v>
      </c>
      <c r="B37" t="s">
        <v>56</v>
      </c>
      <c r="C37" t="s">
        <v>82</v>
      </c>
      <c r="D37" t="s">
        <v>83</v>
      </c>
      <c r="G37" t="s">
        <v>35</v>
      </c>
      <c r="H37">
        <v>1</v>
      </c>
      <c r="K37" t="s">
        <v>223</v>
      </c>
      <c r="L37" t="s">
        <v>224</v>
      </c>
      <c r="M37" t="s">
        <v>131</v>
      </c>
      <c r="N37">
        <v>2</v>
      </c>
      <c r="P37" t="s">
        <v>41</v>
      </c>
      <c r="Q37" t="s">
        <v>42</v>
      </c>
      <c r="R37" t="str">
        <f>"0590901"</f>
        <v>0590901</v>
      </c>
      <c r="S37" t="s">
        <v>242</v>
      </c>
      <c r="T37" t="s">
        <v>223</v>
      </c>
      <c r="U37" t="s">
        <v>224</v>
      </c>
      <c r="V37" t="s">
        <v>131</v>
      </c>
      <c r="W37" t="s">
        <v>165</v>
      </c>
      <c r="X37" t="s">
        <v>45</v>
      </c>
      <c r="Y37" s="1">
        <v>22350</v>
      </c>
      <c r="Z37">
        <v>2</v>
      </c>
      <c r="AA37" t="s">
        <v>224</v>
      </c>
      <c r="AB37" s="40" t="s">
        <v>1794</v>
      </c>
    </row>
    <row r="38" spans="1:28" x14ac:dyDescent="0.25">
      <c r="A38">
        <v>99910037</v>
      </c>
      <c r="B38" t="s">
        <v>56</v>
      </c>
      <c r="C38" t="s">
        <v>68</v>
      </c>
      <c r="D38" t="s">
        <v>69</v>
      </c>
      <c r="G38" t="s">
        <v>48</v>
      </c>
      <c r="H38">
        <v>1</v>
      </c>
      <c r="K38" t="s">
        <v>380</v>
      </c>
      <c r="L38" t="s">
        <v>381</v>
      </c>
      <c r="M38" t="s">
        <v>131</v>
      </c>
      <c r="N38">
        <v>2</v>
      </c>
      <c r="P38" t="s">
        <v>41</v>
      </c>
      <c r="Q38" t="s">
        <v>42</v>
      </c>
      <c r="R38" t="str">
        <f>"0590909"</f>
        <v>0590909</v>
      </c>
      <c r="S38" t="s">
        <v>388</v>
      </c>
      <c r="T38" t="s">
        <v>380</v>
      </c>
      <c r="U38" t="s">
        <v>381</v>
      </c>
      <c r="V38" t="s">
        <v>131</v>
      </c>
      <c r="W38" t="s">
        <v>51</v>
      </c>
      <c r="X38" t="s">
        <v>45</v>
      </c>
      <c r="Y38" s="1">
        <v>21149</v>
      </c>
      <c r="Z38">
        <v>2</v>
      </c>
      <c r="AA38" t="s">
        <v>381</v>
      </c>
      <c r="AB38" s="40" t="s">
        <v>1794</v>
      </c>
    </row>
    <row r="39" spans="1:28" x14ac:dyDescent="0.25">
      <c r="A39">
        <v>99910038</v>
      </c>
      <c r="B39" t="s">
        <v>56</v>
      </c>
      <c r="C39" t="s">
        <v>68</v>
      </c>
      <c r="D39" t="s">
        <v>69</v>
      </c>
      <c r="G39" t="s">
        <v>48</v>
      </c>
      <c r="H39">
        <v>1</v>
      </c>
      <c r="K39" t="s">
        <v>223</v>
      </c>
      <c r="L39" t="s">
        <v>224</v>
      </c>
      <c r="M39" t="s">
        <v>131</v>
      </c>
      <c r="N39">
        <v>2</v>
      </c>
      <c r="P39" t="s">
        <v>41</v>
      </c>
      <c r="Q39" t="s">
        <v>42</v>
      </c>
      <c r="R39" t="str">
        <f>"0561007"</f>
        <v>0561007</v>
      </c>
      <c r="S39" t="s">
        <v>262</v>
      </c>
      <c r="T39" t="s">
        <v>223</v>
      </c>
      <c r="U39" t="s">
        <v>224</v>
      </c>
      <c r="V39" t="s">
        <v>131</v>
      </c>
      <c r="W39" t="s">
        <v>51</v>
      </c>
      <c r="X39" t="s">
        <v>45</v>
      </c>
      <c r="Y39" s="1">
        <v>20312</v>
      </c>
      <c r="Z39">
        <v>2</v>
      </c>
      <c r="AA39" t="s">
        <v>224</v>
      </c>
      <c r="AB39" s="40" t="s">
        <v>1794</v>
      </c>
    </row>
    <row r="40" spans="1:28" x14ac:dyDescent="0.25">
      <c r="A40">
        <v>99910039</v>
      </c>
      <c r="B40" t="s">
        <v>56</v>
      </c>
      <c r="C40" t="s">
        <v>68</v>
      </c>
      <c r="D40" t="s">
        <v>69</v>
      </c>
      <c r="G40" t="s">
        <v>48</v>
      </c>
      <c r="H40">
        <v>1</v>
      </c>
      <c r="K40" t="s">
        <v>223</v>
      </c>
      <c r="L40" t="s">
        <v>224</v>
      </c>
      <c r="M40" t="s">
        <v>131</v>
      </c>
      <c r="N40">
        <v>2</v>
      </c>
      <c r="P40" t="s">
        <v>41</v>
      </c>
      <c r="Q40" t="s">
        <v>42</v>
      </c>
      <c r="R40" t="str">
        <f>"0561007"</f>
        <v>0561007</v>
      </c>
      <c r="S40" t="s">
        <v>262</v>
      </c>
      <c r="T40" t="s">
        <v>223</v>
      </c>
      <c r="U40" t="s">
        <v>224</v>
      </c>
      <c r="V40" t="s">
        <v>131</v>
      </c>
      <c r="W40" t="s">
        <v>51</v>
      </c>
      <c r="X40" t="s">
        <v>45</v>
      </c>
      <c r="Y40" s="1">
        <v>19545</v>
      </c>
      <c r="Z40">
        <v>2</v>
      </c>
      <c r="AA40" t="s">
        <v>224</v>
      </c>
      <c r="AB40" s="40" t="s">
        <v>1794</v>
      </c>
    </row>
    <row r="41" spans="1:28" x14ac:dyDescent="0.25">
      <c r="A41">
        <v>99910040</v>
      </c>
      <c r="B41" t="s">
        <v>32</v>
      </c>
      <c r="C41" t="s">
        <v>46</v>
      </c>
      <c r="D41" t="s">
        <v>47</v>
      </c>
      <c r="G41" t="s">
        <v>48</v>
      </c>
      <c r="H41">
        <v>1</v>
      </c>
      <c r="K41" t="s">
        <v>162</v>
      </c>
      <c r="L41" t="s">
        <v>158</v>
      </c>
      <c r="M41" t="s">
        <v>131</v>
      </c>
      <c r="N41">
        <v>2</v>
      </c>
      <c r="P41" t="s">
        <v>41</v>
      </c>
      <c r="Q41" t="s">
        <v>49</v>
      </c>
      <c r="R41" t="str">
        <f>"0581325"</f>
        <v>0581325</v>
      </c>
      <c r="S41" t="s">
        <v>169</v>
      </c>
      <c r="T41" t="s">
        <v>162</v>
      </c>
      <c r="U41" t="s">
        <v>158</v>
      </c>
      <c r="V41" t="s">
        <v>131</v>
      </c>
      <c r="W41" t="s">
        <v>51</v>
      </c>
      <c r="X41" t="s">
        <v>45</v>
      </c>
      <c r="Z41">
        <v>2</v>
      </c>
      <c r="AA41" t="s">
        <v>158</v>
      </c>
      <c r="AB41" s="40" t="s">
        <v>1794</v>
      </c>
    </row>
    <row r="42" spans="1:28" x14ac:dyDescent="0.25">
      <c r="A42">
        <v>99910041</v>
      </c>
      <c r="B42" t="s">
        <v>32</v>
      </c>
      <c r="C42" t="s">
        <v>82</v>
      </c>
      <c r="D42" t="s">
        <v>83</v>
      </c>
      <c r="G42" t="s">
        <v>48</v>
      </c>
      <c r="H42">
        <v>1</v>
      </c>
      <c r="K42" t="s">
        <v>1613</v>
      </c>
      <c r="L42" t="s">
        <v>1614</v>
      </c>
      <c r="M42" t="s">
        <v>1592</v>
      </c>
      <c r="N42">
        <v>3</v>
      </c>
      <c r="P42" t="s">
        <v>41</v>
      </c>
      <c r="Q42" t="s">
        <v>49</v>
      </c>
      <c r="R42" t="str">
        <f>"2860001"</f>
        <v>2860001</v>
      </c>
      <c r="S42" t="s">
        <v>1616</v>
      </c>
      <c r="T42" t="s">
        <v>1613</v>
      </c>
      <c r="U42" t="s">
        <v>1614</v>
      </c>
      <c r="V42" t="s">
        <v>1592</v>
      </c>
      <c r="W42" t="s">
        <v>51</v>
      </c>
      <c r="X42" t="s">
        <v>45</v>
      </c>
      <c r="Y42" s="1">
        <v>33936</v>
      </c>
      <c r="Z42">
        <v>2</v>
      </c>
      <c r="AA42" t="s">
        <v>1614</v>
      </c>
      <c r="AB42" s="40" t="s">
        <v>1794</v>
      </c>
    </row>
    <row r="43" spans="1:28" x14ac:dyDescent="0.25">
      <c r="A43">
        <v>99910042</v>
      </c>
      <c r="B43" t="s">
        <v>32</v>
      </c>
      <c r="C43" t="s">
        <v>117</v>
      </c>
      <c r="D43" t="s">
        <v>118</v>
      </c>
      <c r="G43" t="s">
        <v>35</v>
      </c>
      <c r="H43">
        <v>1</v>
      </c>
      <c r="K43" t="s">
        <v>1051</v>
      </c>
      <c r="L43" t="s">
        <v>1052</v>
      </c>
      <c r="M43" t="s">
        <v>1053</v>
      </c>
      <c r="N43">
        <v>3</v>
      </c>
      <c r="P43" t="s">
        <v>41</v>
      </c>
      <c r="Q43" t="s">
        <v>49</v>
      </c>
      <c r="R43" t="str">
        <f>"2060005"</f>
        <v>2060005</v>
      </c>
      <c r="S43" t="s">
        <v>1054</v>
      </c>
      <c r="T43" t="s">
        <v>1051</v>
      </c>
      <c r="U43" t="s">
        <v>1052</v>
      </c>
      <c r="V43" t="s">
        <v>1053</v>
      </c>
      <c r="W43" t="s">
        <v>51</v>
      </c>
      <c r="X43" t="s">
        <v>45</v>
      </c>
      <c r="Y43" s="1">
        <v>33259</v>
      </c>
      <c r="Z43">
        <v>2</v>
      </c>
      <c r="AA43" t="s">
        <v>1052</v>
      </c>
      <c r="AB43" s="40" t="s">
        <v>1794</v>
      </c>
    </row>
    <row r="44" spans="1:28" x14ac:dyDescent="0.25">
      <c r="A44">
        <v>99910043</v>
      </c>
      <c r="B44" t="s">
        <v>32</v>
      </c>
      <c r="C44" t="s">
        <v>64</v>
      </c>
      <c r="D44" t="s">
        <v>65</v>
      </c>
      <c r="G44" t="s">
        <v>35</v>
      </c>
      <c r="H44">
        <v>1</v>
      </c>
      <c r="I44">
        <v>21106</v>
      </c>
      <c r="J44" s="1">
        <v>43344</v>
      </c>
      <c r="K44" t="s">
        <v>380</v>
      </c>
      <c r="L44" t="s">
        <v>381</v>
      </c>
      <c r="M44" t="s">
        <v>131</v>
      </c>
      <c r="N44">
        <v>3</v>
      </c>
      <c r="O44" s="1">
        <v>43344</v>
      </c>
      <c r="P44" t="s">
        <v>41</v>
      </c>
      <c r="Q44" t="s">
        <v>49</v>
      </c>
      <c r="R44" t="str">
        <f>"0591908"</f>
        <v>0591908</v>
      </c>
      <c r="S44" t="s">
        <v>383</v>
      </c>
      <c r="T44" t="s">
        <v>380</v>
      </c>
      <c r="U44" t="s">
        <v>381</v>
      </c>
      <c r="V44" t="s">
        <v>131</v>
      </c>
      <c r="W44" t="s">
        <v>44</v>
      </c>
      <c r="X44" t="s">
        <v>45</v>
      </c>
      <c r="Y44" s="1">
        <v>33231</v>
      </c>
      <c r="Z44">
        <v>2</v>
      </c>
      <c r="AA44" t="s">
        <v>381</v>
      </c>
      <c r="AB44" s="40" t="s">
        <v>1794</v>
      </c>
    </row>
    <row r="45" spans="1:28" x14ac:dyDescent="0.25">
      <c r="A45">
        <v>99910044</v>
      </c>
      <c r="B45" t="s">
        <v>32</v>
      </c>
      <c r="C45" t="s">
        <v>136</v>
      </c>
      <c r="D45" t="s">
        <v>137</v>
      </c>
      <c r="G45" t="s">
        <v>35</v>
      </c>
      <c r="H45">
        <v>1</v>
      </c>
      <c r="I45">
        <v>16633</v>
      </c>
      <c r="J45" s="1">
        <v>43361</v>
      </c>
      <c r="K45" t="s">
        <v>345</v>
      </c>
      <c r="L45" t="s">
        <v>346</v>
      </c>
      <c r="M45" t="s">
        <v>131</v>
      </c>
      <c r="N45">
        <v>3</v>
      </c>
      <c r="O45" s="1">
        <v>43361</v>
      </c>
      <c r="P45" t="s">
        <v>41</v>
      </c>
      <c r="Q45" t="s">
        <v>49</v>
      </c>
      <c r="R45" t="str">
        <f>"0581660"</f>
        <v>0581660</v>
      </c>
      <c r="S45" t="s">
        <v>359</v>
      </c>
      <c r="T45" t="s">
        <v>345</v>
      </c>
      <c r="U45" t="s">
        <v>346</v>
      </c>
      <c r="V45" t="s">
        <v>131</v>
      </c>
      <c r="W45" t="s">
        <v>44</v>
      </c>
      <c r="X45" t="s">
        <v>45</v>
      </c>
      <c r="Y45" s="1">
        <v>33197</v>
      </c>
      <c r="Z45">
        <v>2</v>
      </c>
      <c r="AA45" t="s">
        <v>346</v>
      </c>
      <c r="AB45" s="40" t="s">
        <v>1794</v>
      </c>
    </row>
    <row r="46" spans="1:28" x14ac:dyDescent="0.25">
      <c r="A46">
        <v>99910045</v>
      </c>
      <c r="B46" t="s">
        <v>32</v>
      </c>
      <c r="C46" t="s">
        <v>141</v>
      </c>
      <c r="D46" t="s">
        <v>142</v>
      </c>
      <c r="G46" t="s">
        <v>35</v>
      </c>
      <c r="H46">
        <v>1</v>
      </c>
      <c r="I46">
        <v>23965</v>
      </c>
      <c r="J46" s="1">
        <v>43344</v>
      </c>
      <c r="K46" t="s">
        <v>223</v>
      </c>
      <c r="L46" t="s">
        <v>224</v>
      </c>
      <c r="M46" t="s">
        <v>131</v>
      </c>
      <c r="N46">
        <v>3</v>
      </c>
      <c r="O46" s="1">
        <v>43344</v>
      </c>
      <c r="P46" t="s">
        <v>41</v>
      </c>
      <c r="Q46" t="s">
        <v>49</v>
      </c>
      <c r="R46" t="str">
        <f>"0560034"</f>
        <v>0560034</v>
      </c>
      <c r="S46" t="s">
        <v>266</v>
      </c>
      <c r="T46" t="s">
        <v>223</v>
      </c>
      <c r="U46" t="s">
        <v>224</v>
      </c>
      <c r="V46" t="s">
        <v>131</v>
      </c>
      <c r="W46" t="s">
        <v>44</v>
      </c>
      <c r="X46" t="s">
        <v>45</v>
      </c>
      <c r="Y46" s="1">
        <v>32786</v>
      </c>
      <c r="Z46">
        <v>2</v>
      </c>
      <c r="AA46" t="s">
        <v>224</v>
      </c>
      <c r="AB46" s="40" t="s">
        <v>1794</v>
      </c>
    </row>
    <row r="47" spans="1:28" x14ac:dyDescent="0.25">
      <c r="A47">
        <v>99910046</v>
      </c>
      <c r="B47" t="s">
        <v>32</v>
      </c>
      <c r="C47" t="s">
        <v>61</v>
      </c>
      <c r="D47" t="s">
        <v>62</v>
      </c>
      <c r="G47" t="s">
        <v>35</v>
      </c>
      <c r="H47">
        <v>1</v>
      </c>
      <c r="I47">
        <v>18262</v>
      </c>
      <c r="J47" s="1">
        <v>43344</v>
      </c>
      <c r="K47" t="s">
        <v>223</v>
      </c>
      <c r="L47" t="s">
        <v>224</v>
      </c>
      <c r="M47" t="s">
        <v>131</v>
      </c>
      <c r="N47">
        <v>3</v>
      </c>
      <c r="O47" s="1">
        <v>43344</v>
      </c>
      <c r="P47" t="s">
        <v>41</v>
      </c>
      <c r="Q47" t="s">
        <v>49</v>
      </c>
      <c r="R47" t="str">
        <f>"0560008"</f>
        <v>0560008</v>
      </c>
      <c r="S47" t="s">
        <v>263</v>
      </c>
      <c r="T47" t="s">
        <v>223</v>
      </c>
      <c r="U47" t="s">
        <v>224</v>
      </c>
      <c r="V47" t="s">
        <v>131</v>
      </c>
      <c r="W47" t="s">
        <v>44</v>
      </c>
      <c r="X47" t="s">
        <v>45</v>
      </c>
      <c r="Y47" s="1">
        <v>32710</v>
      </c>
      <c r="Z47">
        <v>2</v>
      </c>
      <c r="AA47" t="s">
        <v>224</v>
      </c>
      <c r="AB47" s="40" t="s">
        <v>1794</v>
      </c>
    </row>
    <row r="48" spans="1:28" x14ac:dyDescent="0.25">
      <c r="A48">
        <v>99910047</v>
      </c>
      <c r="B48" t="s">
        <v>32</v>
      </c>
      <c r="C48" t="s">
        <v>143</v>
      </c>
      <c r="D48" t="s">
        <v>144</v>
      </c>
      <c r="G48" t="s">
        <v>35</v>
      </c>
      <c r="H48">
        <v>1</v>
      </c>
      <c r="I48">
        <v>22813</v>
      </c>
      <c r="J48" s="1">
        <v>43417</v>
      </c>
      <c r="K48" t="s">
        <v>300</v>
      </c>
      <c r="L48" t="s">
        <v>301</v>
      </c>
      <c r="M48" t="s">
        <v>131</v>
      </c>
      <c r="N48">
        <v>3</v>
      </c>
      <c r="O48" s="1">
        <v>43417</v>
      </c>
      <c r="P48" t="s">
        <v>41</v>
      </c>
      <c r="Q48" t="s">
        <v>49</v>
      </c>
      <c r="R48" t="str">
        <f>"0560002"</f>
        <v>0560002</v>
      </c>
      <c r="S48" t="s">
        <v>315</v>
      </c>
      <c r="T48" t="s">
        <v>300</v>
      </c>
      <c r="U48" t="s">
        <v>301</v>
      </c>
      <c r="V48" t="s">
        <v>131</v>
      </c>
      <c r="W48" t="s">
        <v>44</v>
      </c>
      <c r="X48" t="s">
        <v>45</v>
      </c>
      <c r="Y48" s="1">
        <v>32666</v>
      </c>
      <c r="Z48">
        <v>2</v>
      </c>
      <c r="AA48" t="s">
        <v>301</v>
      </c>
      <c r="AB48" s="40" t="s">
        <v>1794</v>
      </c>
    </row>
    <row r="49" spans="1:28" x14ac:dyDescent="0.25">
      <c r="A49">
        <v>99910048</v>
      </c>
      <c r="B49" t="s">
        <v>56</v>
      </c>
      <c r="C49" t="s">
        <v>149</v>
      </c>
      <c r="D49" t="s">
        <v>150</v>
      </c>
      <c r="G49" t="s">
        <v>35</v>
      </c>
      <c r="H49">
        <v>1</v>
      </c>
      <c r="I49">
        <v>5265</v>
      </c>
      <c r="J49" s="1">
        <v>43164</v>
      </c>
      <c r="K49" t="s">
        <v>380</v>
      </c>
      <c r="L49" t="s">
        <v>381</v>
      </c>
      <c r="M49" t="s">
        <v>131</v>
      </c>
      <c r="N49">
        <v>3</v>
      </c>
      <c r="O49" s="1">
        <v>43164</v>
      </c>
      <c r="P49" t="s">
        <v>41</v>
      </c>
      <c r="Q49" t="s">
        <v>49</v>
      </c>
      <c r="R49" t="str">
        <f>"0581575"</f>
        <v>0581575</v>
      </c>
      <c r="S49" t="s">
        <v>392</v>
      </c>
      <c r="T49" t="s">
        <v>380</v>
      </c>
      <c r="U49" t="s">
        <v>381</v>
      </c>
      <c r="V49" t="s">
        <v>131</v>
      </c>
      <c r="W49" t="s">
        <v>44</v>
      </c>
      <c r="X49" t="s">
        <v>45</v>
      </c>
      <c r="Y49" s="1">
        <v>32345</v>
      </c>
      <c r="Z49">
        <v>2</v>
      </c>
      <c r="AA49" t="s">
        <v>381</v>
      </c>
      <c r="AB49" s="40" t="s">
        <v>1794</v>
      </c>
    </row>
    <row r="50" spans="1:28" x14ac:dyDescent="0.25">
      <c r="A50">
        <v>99910049</v>
      </c>
      <c r="B50" t="s">
        <v>56</v>
      </c>
      <c r="C50" t="s">
        <v>143</v>
      </c>
      <c r="D50" t="s">
        <v>144</v>
      </c>
      <c r="G50" t="s">
        <v>35</v>
      </c>
      <c r="H50">
        <v>1</v>
      </c>
      <c r="I50">
        <v>22627</v>
      </c>
      <c r="J50" s="1">
        <v>43354</v>
      </c>
      <c r="K50" t="s">
        <v>380</v>
      </c>
      <c r="L50" t="s">
        <v>381</v>
      </c>
      <c r="M50" t="s">
        <v>131</v>
      </c>
      <c r="N50">
        <v>3</v>
      </c>
      <c r="O50" s="1">
        <v>43354</v>
      </c>
      <c r="P50" t="s">
        <v>41</v>
      </c>
      <c r="Q50" t="s">
        <v>49</v>
      </c>
      <c r="R50" t="str">
        <f>"0581859"</f>
        <v>0581859</v>
      </c>
      <c r="S50" t="s">
        <v>394</v>
      </c>
      <c r="T50" t="s">
        <v>380</v>
      </c>
      <c r="U50" t="s">
        <v>381</v>
      </c>
      <c r="V50" t="s">
        <v>131</v>
      </c>
      <c r="W50" t="s">
        <v>44</v>
      </c>
      <c r="X50" t="s">
        <v>45</v>
      </c>
      <c r="Y50" s="1">
        <v>32315</v>
      </c>
      <c r="Z50">
        <v>2</v>
      </c>
      <c r="AA50" t="s">
        <v>381</v>
      </c>
      <c r="AB50" s="40" t="s">
        <v>1794</v>
      </c>
    </row>
    <row r="51" spans="1:28" x14ac:dyDescent="0.25">
      <c r="A51">
        <v>99910050</v>
      </c>
      <c r="B51" t="s">
        <v>32</v>
      </c>
      <c r="C51" t="s">
        <v>71</v>
      </c>
      <c r="D51" t="s">
        <v>72</v>
      </c>
      <c r="G51" t="s">
        <v>35</v>
      </c>
      <c r="H51">
        <v>1</v>
      </c>
      <c r="I51">
        <v>22864</v>
      </c>
      <c r="J51" s="1">
        <v>43344</v>
      </c>
      <c r="K51" t="s">
        <v>300</v>
      </c>
      <c r="L51" t="s">
        <v>301</v>
      </c>
      <c r="M51" t="s">
        <v>131</v>
      </c>
      <c r="N51">
        <v>3</v>
      </c>
      <c r="O51" s="1">
        <v>43344</v>
      </c>
      <c r="P51" t="s">
        <v>41</v>
      </c>
      <c r="Q51" t="s">
        <v>49</v>
      </c>
      <c r="R51" t="str">
        <f>"0560001"</f>
        <v>0560001</v>
      </c>
      <c r="S51" t="s">
        <v>304</v>
      </c>
      <c r="T51" t="s">
        <v>300</v>
      </c>
      <c r="U51" t="s">
        <v>301</v>
      </c>
      <c r="V51" t="s">
        <v>131</v>
      </c>
      <c r="W51" t="s">
        <v>44</v>
      </c>
      <c r="X51" t="s">
        <v>45</v>
      </c>
      <c r="Y51" s="1">
        <v>31896</v>
      </c>
      <c r="Z51">
        <v>2</v>
      </c>
      <c r="AA51" t="s">
        <v>301</v>
      </c>
      <c r="AB51" s="40" t="s">
        <v>1794</v>
      </c>
    </row>
    <row r="52" spans="1:28" x14ac:dyDescent="0.25">
      <c r="A52">
        <v>99910051</v>
      </c>
      <c r="B52" t="s">
        <v>32</v>
      </c>
      <c r="C52" t="s">
        <v>64</v>
      </c>
      <c r="D52" t="s">
        <v>65</v>
      </c>
      <c r="G52" t="s">
        <v>48</v>
      </c>
      <c r="H52">
        <v>1</v>
      </c>
      <c r="K52" t="s">
        <v>380</v>
      </c>
      <c r="L52" t="s">
        <v>381</v>
      </c>
      <c r="M52" t="s">
        <v>131</v>
      </c>
      <c r="N52">
        <v>3</v>
      </c>
      <c r="P52" t="s">
        <v>41</v>
      </c>
      <c r="Q52" t="s">
        <v>49</v>
      </c>
      <c r="R52" t="str">
        <f>"0591908"</f>
        <v>0591908</v>
      </c>
      <c r="S52" t="s">
        <v>383</v>
      </c>
      <c r="T52" t="s">
        <v>380</v>
      </c>
      <c r="U52" t="s">
        <v>381</v>
      </c>
      <c r="V52" t="s">
        <v>131</v>
      </c>
      <c r="W52" t="s">
        <v>44</v>
      </c>
      <c r="X52" t="s">
        <v>45</v>
      </c>
      <c r="Y52" s="1">
        <v>31337</v>
      </c>
      <c r="Z52">
        <v>2</v>
      </c>
      <c r="AA52" t="s">
        <v>381</v>
      </c>
      <c r="AB52" s="40" t="s">
        <v>1794</v>
      </c>
    </row>
    <row r="53" spans="1:28" x14ac:dyDescent="0.25">
      <c r="A53">
        <v>99910052</v>
      </c>
      <c r="B53" t="s">
        <v>32</v>
      </c>
      <c r="C53" t="s">
        <v>139</v>
      </c>
      <c r="D53" t="s">
        <v>140</v>
      </c>
      <c r="G53" t="s">
        <v>48</v>
      </c>
      <c r="H53">
        <v>1</v>
      </c>
      <c r="K53" t="s">
        <v>300</v>
      </c>
      <c r="L53" t="s">
        <v>301</v>
      </c>
      <c r="M53" t="s">
        <v>131</v>
      </c>
      <c r="N53">
        <v>3</v>
      </c>
      <c r="P53" t="s">
        <v>41</v>
      </c>
      <c r="Q53" t="s">
        <v>42</v>
      </c>
      <c r="R53" t="str">
        <f>"0561001"</f>
        <v>0561001</v>
      </c>
      <c r="S53" t="s">
        <v>308</v>
      </c>
      <c r="T53" t="s">
        <v>300</v>
      </c>
      <c r="U53" t="s">
        <v>301</v>
      </c>
      <c r="V53" t="s">
        <v>131</v>
      </c>
      <c r="W53" t="s">
        <v>51</v>
      </c>
      <c r="X53" t="s">
        <v>45</v>
      </c>
      <c r="Y53" s="1">
        <v>30956</v>
      </c>
      <c r="Z53">
        <v>2</v>
      </c>
      <c r="AA53" t="s">
        <v>301</v>
      </c>
      <c r="AB53" s="40" t="s">
        <v>1794</v>
      </c>
    </row>
    <row r="54" spans="1:28" x14ac:dyDescent="0.25">
      <c r="A54">
        <v>99910053</v>
      </c>
      <c r="B54" t="s">
        <v>56</v>
      </c>
      <c r="C54" t="s">
        <v>58</v>
      </c>
      <c r="D54" t="s">
        <v>59</v>
      </c>
      <c r="G54" t="s">
        <v>35</v>
      </c>
      <c r="H54">
        <v>1</v>
      </c>
      <c r="I54" t="s">
        <v>972</v>
      </c>
      <c r="J54" s="1">
        <v>43353</v>
      </c>
      <c r="K54" t="s">
        <v>947</v>
      </c>
      <c r="L54" t="s">
        <v>948</v>
      </c>
      <c r="M54" t="s">
        <v>938</v>
      </c>
      <c r="N54">
        <v>3</v>
      </c>
      <c r="O54" s="1">
        <v>43353</v>
      </c>
      <c r="P54" t="s">
        <v>41</v>
      </c>
      <c r="Q54" t="s">
        <v>953</v>
      </c>
      <c r="R54" t="str">
        <f>"0610801"</f>
        <v>0610801</v>
      </c>
      <c r="S54" t="s">
        <v>954</v>
      </c>
      <c r="T54" t="s">
        <v>947</v>
      </c>
      <c r="U54" t="s">
        <v>948</v>
      </c>
      <c r="V54" t="s">
        <v>938</v>
      </c>
      <c r="W54" t="s">
        <v>44</v>
      </c>
      <c r="X54" t="s">
        <v>45</v>
      </c>
      <c r="Y54" s="1">
        <v>30652</v>
      </c>
      <c r="Z54">
        <v>2</v>
      </c>
      <c r="AA54" t="s">
        <v>948</v>
      </c>
      <c r="AB54" s="40" t="s">
        <v>1794</v>
      </c>
    </row>
    <row r="55" spans="1:28" x14ac:dyDescent="0.25">
      <c r="A55">
        <v>99910054</v>
      </c>
      <c r="B55" t="s">
        <v>32</v>
      </c>
      <c r="C55" t="s">
        <v>151</v>
      </c>
      <c r="D55" t="s">
        <v>152</v>
      </c>
      <c r="G55" t="s">
        <v>35</v>
      </c>
      <c r="H55">
        <v>1</v>
      </c>
      <c r="K55" t="s">
        <v>1128</v>
      </c>
      <c r="L55" t="s">
        <v>1129</v>
      </c>
      <c r="M55" t="s">
        <v>1130</v>
      </c>
      <c r="N55">
        <v>3</v>
      </c>
      <c r="P55" t="s">
        <v>41</v>
      </c>
      <c r="Q55" t="s">
        <v>49</v>
      </c>
      <c r="R55" t="str">
        <f>"3160002"</f>
        <v>3160002</v>
      </c>
      <c r="S55" t="s">
        <v>1143</v>
      </c>
      <c r="T55" t="s">
        <v>1128</v>
      </c>
      <c r="U55" t="s">
        <v>1129</v>
      </c>
      <c r="V55" t="s">
        <v>1130</v>
      </c>
      <c r="W55" t="s">
        <v>51</v>
      </c>
      <c r="X55" t="s">
        <v>45</v>
      </c>
      <c r="Y55" s="1">
        <v>30352</v>
      </c>
      <c r="Z55">
        <v>2</v>
      </c>
      <c r="AA55" t="s">
        <v>1129</v>
      </c>
      <c r="AB55" s="40" t="s">
        <v>1794</v>
      </c>
    </row>
    <row r="56" spans="1:28" x14ac:dyDescent="0.25">
      <c r="A56">
        <v>99910055</v>
      </c>
      <c r="B56" t="s">
        <v>32</v>
      </c>
      <c r="C56" t="s">
        <v>64</v>
      </c>
      <c r="D56" t="s">
        <v>65</v>
      </c>
      <c r="G56" t="s">
        <v>35</v>
      </c>
      <c r="H56">
        <v>1</v>
      </c>
      <c r="I56">
        <v>24050</v>
      </c>
      <c r="J56" s="1">
        <v>43344</v>
      </c>
      <c r="K56" t="s">
        <v>380</v>
      </c>
      <c r="L56" t="s">
        <v>381</v>
      </c>
      <c r="M56" t="s">
        <v>131</v>
      </c>
      <c r="N56">
        <v>3</v>
      </c>
      <c r="O56" s="1">
        <v>43344</v>
      </c>
      <c r="P56" t="s">
        <v>41</v>
      </c>
      <c r="Q56" t="s">
        <v>49</v>
      </c>
      <c r="R56" t="str">
        <f>"0591908"</f>
        <v>0591908</v>
      </c>
      <c r="S56" t="s">
        <v>383</v>
      </c>
      <c r="T56" t="s">
        <v>380</v>
      </c>
      <c r="U56" t="s">
        <v>381</v>
      </c>
      <c r="V56" t="s">
        <v>131</v>
      </c>
      <c r="W56" t="s">
        <v>44</v>
      </c>
      <c r="X56" t="s">
        <v>45</v>
      </c>
      <c r="Y56" s="1">
        <v>30193</v>
      </c>
      <c r="Z56">
        <v>2</v>
      </c>
      <c r="AA56" t="s">
        <v>381</v>
      </c>
      <c r="AB56" s="40" t="s">
        <v>1794</v>
      </c>
    </row>
    <row r="57" spans="1:28" x14ac:dyDescent="0.25">
      <c r="A57">
        <v>99910056</v>
      </c>
      <c r="B57" t="s">
        <v>56</v>
      </c>
      <c r="C57" t="s">
        <v>68</v>
      </c>
      <c r="D57" t="s">
        <v>69</v>
      </c>
      <c r="G57" t="s">
        <v>48</v>
      </c>
      <c r="H57">
        <v>1</v>
      </c>
      <c r="K57" t="s">
        <v>345</v>
      </c>
      <c r="L57" t="s">
        <v>346</v>
      </c>
      <c r="M57" t="s">
        <v>131</v>
      </c>
      <c r="N57">
        <v>3</v>
      </c>
      <c r="P57" t="s">
        <v>41</v>
      </c>
      <c r="Q57" t="s">
        <v>49</v>
      </c>
      <c r="R57" t="str">
        <f>"0561003"</f>
        <v>0561003</v>
      </c>
      <c r="S57" t="s">
        <v>370</v>
      </c>
      <c r="T57" t="s">
        <v>345</v>
      </c>
      <c r="U57" t="s">
        <v>346</v>
      </c>
      <c r="V57" t="s">
        <v>131</v>
      </c>
      <c r="W57" t="s">
        <v>51</v>
      </c>
      <c r="X57" t="s">
        <v>45</v>
      </c>
      <c r="Y57" s="1">
        <v>29746</v>
      </c>
      <c r="Z57">
        <v>2</v>
      </c>
      <c r="AA57" t="s">
        <v>346</v>
      </c>
      <c r="AB57" s="40" t="s">
        <v>1794</v>
      </c>
    </row>
    <row r="58" spans="1:28" x14ac:dyDescent="0.25">
      <c r="A58">
        <v>99910057</v>
      </c>
      <c r="B58" t="s">
        <v>32</v>
      </c>
      <c r="C58" t="s">
        <v>71</v>
      </c>
      <c r="D58" t="s">
        <v>72</v>
      </c>
      <c r="G58" t="s">
        <v>48</v>
      </c>
      <c r="H58">
        <v>1</v>
      </c>
      <c r="K58" t="s">
        <v>162</v>
      </c>
      <c r="L58" t="s">
        <v>158</v>
      </c>
      <c r="M58" t="s">
        <v>131</v>
      </c>
      <c r="N58">
        <v>3</v>
      </c>
      <c r="P58" t="s">
        <v>41</v>
      </c>
      <c r="Q58" t="s">
        <v>49</v>
      </c>
      <c r="R58" t="str">
        <f>"0560027"</f>
        <v>0560027</v>
      </c>
      <c r="S58" t="s">
        <v>178</v>
      </c>
      <c r="T58" t="s">
        <v>162</v>
      </c>
      <c r="U58" t="s">
        <v>158</v>
      </c>
      <c r="V58" t="s">
        <v>131</v>
      </c>
      <c r="W58" t="s">
        <v>51</v>
      </c>
      <c r="X58" t="s">
        <v>45</v>
      </c>
      <c r="Y58" s="1">
        <v>29689</v>
      </c>
      <c r="Z58">
        <v>2</v>
      </c>
      <c r="AA58" t="s">
        <v>158</v>
      </c>
      <c r="AB58" s="40" t="s">
        <v>1794</v>
      </c>
    </row>
    <row r="59" spans="1:28" x14ac:dyDescent="0.25">
      <c r="A59">
        <v>99910058</v>
      </c>
      <c r="B59" t="s">
        <v>32</v>
      </c>
      <c r="C59" t="s">
        <v>143</v>
      </c>
      <c r="D59" t="s">
        <v>144</v>
      </c>
      <c r="G59" t="s">
        <v>35</v>
      </c>
      <c r="H59">
        <v>1</v>
      </c>
      <c r="I59">
        <v>0</v>
      </c>
      <c r="J59" s="1">
        <v>43344</v>
      </c>
      <c r="K59" t="s">
        <v>223</v>
      </c>
      <c r="L59" t="s">
        <v>224</v>
      </c>
      <c r="M59" t="s">
        <v>131</v>
      </c>
      <c r="N59">
        <v>3</v>
      </c>
      <c r="O59" s="1">
        <v>43344</v>
      </c>
      <c r="P59" t="s">
        <v>41</v>
      </c>
      <c r="Q59" t="s">
        <v>49</v>
      </c>
      <c r="R59" t="str">
        <f>"0560034"</f>
        <v>0560034</v>
      </c>
      <c r="S59" t="s">
        <v>266</v>
      </c>
      <c r="T59" t="s">
        <v>223</v>
      </c>
      <c r="U59" t="s">
        <v>224</v>
      </c>
      <c r="V59" t="s">
        <v>131</v>
      </c>
      <c r="W59" t="s">
        <v>44</v>
      </c>
      <c r="X59" t="s">
        <v>45</v>
      </c>
      <c r="Y59" s="1">
        <v>29402</v>
      </c>
      <c r="Z59">
        <v>2</v>
      </c>
      <c r="AA59" t="s">
        <v>224</v>
      </c>
      <c r="AB59" s="40" t="s">
        <v>1794</v>
      </c>
    </row>
    <row r="60" spans="1:28" x14ac:dyDescent="0.25">
      <c r="A60">
        <v>99910059</v>
      </c>
      <c r="B60" t="s">
        <v>32</v>
      </c>
      <c r="C60" t="s">
        <v>139</v>
      </c>
      <c r="D60" t="s">
        <v>140</v>
      </c>
      <c r="G60" t="s">
        <v>48</v>
      </c>
      <c r="H60">
        <v>1</v>
      </c>
      <c r="K60" t="s">
        <v>268</v>
      </c>
      <c r="L60" t="s">
        <v>269</v>
      </c>
      <c r="M60" t="s">
        <v>131</v>
      </c>
      <c r="N60">
        <v>3</v>
      </c>
      <c r="P60" t="s">
        <v>41</v>
      </c>
      <c r="Q60" t="s">
        <v>75</v>
      </c>
      <c r="R60" t="str">
        <f>"7052040"</f>
        <v>7052040</v>
      </c>
      <c r="S60" t="s">
        <v>591</v>
      </c>
      <c r="T60" t="s">
        <v>268</v>
      </c>
      <c r="U60" t="s">
        <v>269</v>
      </c>
      <c r="V60" t="s">
        <v>131</v>
      </c>
      <c r="W60" t="s">
        <v>51</v>
      </c>
      <c r="X60" t="s">
        <v>45</v>
      </c>
      <c r="Y60" s="1">
        <v>29221</v>
      </c>
      <c r="Z60">
        <v>1</v>
      </c>
      <c r="AA60" t="s">
        <v>269</v>
      </c>
      <c r="AB60" s="40" t="s">
        <v>1794</v>
      </c>
    </row>
    <row r="61" spans="1:28" x14ac:dyDescent="0.25">
      <c r="A61">
        <v>99910060</v>
      </c>
      <c r="B61" t="s">
        <v>32</v>
      </c>
      <c r="C61" t="s">
        <v>79</v>
      </c>
      <c r="D61" t="s">
        <v>80</v>
      </c>
      <c r="G61" t="s">
        <v>35</v>
      </c>
      <c r="H61">
        <v>1</v>
      </c>
      <c r="I61" s="1">
        <v>40787</v>
      </c>
      <c r="J61" s="1">
        <v>43344</v>
      </c>
      <c r="K61" t="s">
        <v>1341</v>
      </c>
      <c r="L61" t="s">
        <v>1342</v>
      </c>
      <c r="M61" t="s">
        <v>1270</v>
      </c>
      <c r="N61">
        <v>3</v>
      </c>
      <c r="O61" s="1">
        <v>43344</v>
      </c>
      <c r="P61" t="s">
        <v>41</v>
      </c>
      <c r="Q61" t="s">
        <v>75</v>
      </c>
      <c r="R61" t="str">
        <f>"7191004"</f>
        <v>7191004</v>
      </c>
      <c r="S61" t="s">
        <v>1344</v>
      </c>
      <c r="T61" t="s">
        <v>1341</v>
      </c>
      <c r="U61" t="s">
        <v>1342</v>
      </c>
      <c r="V61" t="s">
        <v>1270</v>
      </c>
      <c r="W61" t="s">
        <v>51</v>
      </c>
      <c r="X61" t="s">
        <v>45</v>
      </c>
      <c r="Y61" s="1">
        <v>28909</v>
      </c>
      <c r="Z61">
        <v>1</v>
      </c>
      <c r="AA61" t="s">
        <v>1342</v>
      </c>
      <c r="AB61" s="40" t="s">
        <v>1794</v>
      </c>
    </row>
    <row r="62" spans="1:28" x14ac:dyDescent="0.25">
      <c r="A62">
        <v>99910061</v>
      </c>
      <c r="B62" t="s">
        <v>56</v>
      </c>
      <c r="C62" t="s">
        <v>149</v>
      </c>
      <c r="D62" t="s">
        <v>150</v>
      </c>
      <c r="G62" t="s">
        <v>35</v>
      </c>
      <c r="H62">
        <v>1</v>
      </c>
      <c r="I62">
        <v>10309</v>
      </c>
      <c r="J62" s="1">
        <v>43397</v>
      </c>
      <c r="K62" t="s">
        <v>1051</v>
      </c>
      <c r="L62" t="s">
        <v>1052</v>
      </c>
      <c r="M62" t="s">
        <v>1053</v>
      </c>
      <c r="N62">
        <v>3</v>
      </c>
      <c r="O62" s="1">
        <v>43397</v>
      </c>
      <c r="P62" t="s">
        <v>41</v>
      </c>
      <c r="Q62" t="s">
        <v>49</v>
      </c>
      <c r="R62" t="str">
        <f>"2060005"</f>
        <v>2060005</v>
      </c>
      <c r="S62" t="s">
        <v>1054</v>
      </c>
      <c r="T62" t="s">
        <v>1051</v>
      </c>
      <c r="U62" t="s">
        <v>1052</v>
      </c>
      <c r="V62" t="s">
        <v>1053</v>
      </c>
      <c r="W62" t="s">
        <v>51</v>
      </c>
      <c r="X62" t="s">
        <v>45</v>
      </c>
      <c r="Y62" s="1">
        <v>28894</v>
      </c>
      <c r="Z62">
        <v>2</v>
      </c>
      <c r="AA62" t="s">
        <v>1052</v>
      </c>
      <c r="AB62" s="40" t="s">
        <v>1794</v>
      </c>
    </row>
    <row r="63" spans="1:28" x14ac:dyDescent="0.25">
      <c r="A63">
        <v>99910062</v>
      </c>
      <c r="B63" t="s">
        <v>32</v>
      </c>
      <c r="C63" t="s">
        <v>68</v>
      </c>
      <c r="D63" t="s">
        <v>69</v>
      </c>
      <c r="G63" t="s">
        <v>35</v>
      </c>
      <c r="H63">
        <v>1</v>
      </c>
      <c r="I63">
        <v>8819</v>
      </c>
      <c r="J63" s="1">
        <v>42979</v>
      </c>
      <c r="K63" t="s">
        <v>345</v>
      </c>
      <c r="L63" t="s">
        <v>346</v>
      </c>
      <c r="M63" t="s">
        <v>131</v>
      </c>
      <c r="N63">
        <v>3</v>
      </c>
      <c r="O63" s="1">
        <v>42979</v>
      </c>
      <c r="P63" t="s">
        <v>41</v>
      </c>
      <c r="Q63" t="s">
        <v>49</v>
      </c>
      <c r="R63" t="str">
        <f>"0560032"</f>
        <v>0560032</v>
      </c>
      <c r="S63" t="s">
        <v>347</v>
      </c>
      <c r="T63" t="s">
        <v>345</v>
      </c>
      <c r="U63" t="s">
        <v>346</v>
      </c>
      <c r="V63" t="s">
        <v>131</v>
      </c>
      <c r="W63" t="s">
        <v>51</v>
      </c>
      <c r="X63" t="s">
        <v>45</v>
      </c>
      <c r="Y63" s="1">
        <v>28788</v>
      </c>
      <c r="Z63">
        <v>2</v>
      </c>
      <c r="AA63" t="s">
        <v>346</v>
      </c>
      <c r="AB63" s="40" t="s">
        <v>1794</v>
      </c>
    </row>
    <row r="64" spans="1:28" x14ac:dyDescent="0.25">
      <c r="A64">
        <v>99910063</v>
      </c>
      <c r="B64" t="s">
        <v>32</v>
      </c>
      <c r="C64" t="s">
        <v>71</v>
      </c>
      <c r="D64" t="s">
        <v>72</v>
      </c>
      <c r="G64" t="s">
        <v>35</v>
      </c>
      <c r="H64">
        <v>1</v>
      </c>
      <c r="I64" t="s">
        <v>1167</v>
      </c>
      <c r="J64" s="1">
        <v>43346</v>
      </c>
      <c r="K64" t="s">
        <v>1128</v>
      </c>
      <c r="L64" t="s">
        <v>1129</v>
      </c>
      <c r="M64" t="s">
        <v>1130</v>
      </c>
      <c r="N64">
        <v>3</v>
      </c>
      <c r="O64" s="1">
        <v>43346</v>
      </c>
      <c r="P64" t="s">
        <v>41</v>
      </c>
      <c r="Q64" t="s">
        <v>49</v>
      </c>
      <c r="R64" t="str">
        <f>"3181010"</f>
        <v>3181010</v>
      </c>
      <c r="S64" t="s">
        <v>1134</v>
      </c>
      <c r="T64" t="s">
        <v>1128</v>
      </c>
      <c r="U64" t="s">
        <v>1129</v>
      </c>
      <c r="V64" t="s">
        <v>1130</v>
      </c>
      <c r="W64" t="s">
        <v>44</v>
      </c>
      <c r="X64" t="s">
        <v>45</v>
      </c>
      <c r="Y64" s="1">
        <v>28220</v>
      </c>
      <c r="Z64">
        <v>2</v>
      </c>
      <c r="AA64" t="s">
        <v>1129</v>
      </c>
      <c r="AB64" s="40" t="s">
        <v>1794</v>
      </c>
    </row>
    <row r="65" spans="1:28" x14ac:dyDescent="0.25">
      <c r="A65">
        <v>99910064</v>
      </c>
      <c r="B65" t="s">
        <v>32</v>
      </c>
      <c r="C65" t="s">
        <v>143</v>
      </c>
      <c r="D65" t="s">
        <v>144</v>
      </c>
      <c r="G65" t="s">
        <v>35</v>
      </c>
      <c r="H65">
        <v>1</v>
      </c>
      <c r="I65" t="s">
        <v>358</v>
      </c>
      <c r="J65" s="1">
        <v>43344</v>
      </c>
      <c r="K65" t="s">
        <v>345</v>
      </c>
      <c r="L65" t="s">
        <v>346</v>
      </c>
      <c r="M65" t="s">
        <v>131</v>
      </c>
      <c r="N65">
        <v>3</v>
      </c>
      <c r="O65" s="1">
        <v>43344</v>
      </c>
      <c r="P65" t="s">
        <v>41</v>
      </c>
      <c r="Q65" t="s">
        <v>49</v>
      </c>
      <c r="R65" t="str">
        <f>"0581660"</f>
        <v>0581660</v>
      </c>
      <c r="S65" t="s">
        <v>359</v>
      </c>
      <c r="T65" t="s">
        <v>345</v>
      </c>
      <c r="U65" t="s">
        <v>346</v>
      </c>
      <c r="V65" t="s">
        <v>131</v>
      </c>
      <c r="W65" t="s">
        <v>51</v>
      </c>
      <c r="X65" t="s">
        <v>45</v>
      </c>
      <c r="Y65" s="1">
        <v>27977</v>
      </c>
      <c r="Z65">
        <v>2</v>
      </c>
      <c r="AA65" t="s">
        <v>346</v>
      </c>
      <c r="AB65" s="40" t="s">
        <v>1794</v>
      </c>
    </row>
    <row r="66" spans="1:28" x14ac:dyDescent="0.25">
      <c r="A66">
        <v>99910065</v>
      </c>
      <c r="B66" t="s">
        <v>56</v>
      </c>
      <c r="C66" t="s">
        <v>141</v>
      </c>
      <c r="D66" t="s">
        <v>142</v>
      </c>
      <c r="G66" t="s">
        <v>35</v>
      </c>
      <c r="H66">
        <v>1</v>
      </c>
      <c r="I66" t="s">
        <v>339</v>
      </c>
      <c r="J66" s="1">
        <v>43427</v>
      </c>
      <c r="K66" t="s">
        <v>300</v>
      </c>
      <c r="L66" t="s">
        <v>301</v>
      </c>
      <c r="M66" t="s">
        <v>131</v>
      </c>
      <c r="N66">
        <v>3</v>
      </c>
      <c r="O66" s="1">
        <v>43427</v>
      </c>
      <c r="P66" t="s">
        <v>41</v>
      </c>
      <c r="Q66" t="s">
        <v>49</v>
      </c>
      <c r="R66" t="str">
        <f>"0560002"</f>
        <v>0560002</v>
      </c>
      <c r="S66" t="s">
        <v>315</v>
      </c>
      <c r="T66" t="s">
        <v>300</v>
      </c>
      <c r="U66" t="s">
        <v>301</v>
      </c>
      <c r="V66" t="s">
        <v>131</v>
      </c>
      <c r="W66" t="s">
        <v>44</v>
      </c>
      <c r="X66" t="s">
        <v>45</v>
      </c>
      <c r="Y66" s="1">
        <v>27760</v>
      </c>
      <c r="Z66">
        <v>2</v>
      </c>
      <c r="AA66" t="s">
        <v>301</v>
      </c>
      <c r="AB66" s="40" t="s">
        <v>1794</v>
      </c>
    </row>
    <row r="67" spans="1:28" x14ac:dyDescent="0.25">
      <c r="A67">
        <v>99910066</v>
      </c>
      <c r="B67" t="s">
        <v>56</v>
      </c>
      <c r="C67" t="s">
        <v>61</v>
      </c>
      <c r="D67" t="s">
        <v>62</v>
      </c>
      <c r="G67" t="s">
        <v>35</v>
      </c>
      <c r="H67">
        <v>1</v>
      </c>
      <c r="I67" t="s">
        <v>982</v>
      </c>
      <c r="J67" s="1">
        <v>43362</v>
      </c>
      <c r="K67" t="s">
        <v>947</v>
      </c>
      <c r="L67" t="s">
        <v>948</v>
      </c>
      <c r="M67" t="s">
        <v>938</v>
      </c>
      <c r="N67">
        <v>3</v>
      </c>
      <c r="O67" s="1">
        <v>43362</v>
      </c>
      <c r="P67" t="s">
        <v>41</v>
      </c>
      <c r="Q67" t="s">
        <v>953</v>
      </c>
      <c r="R67" t="str">
        <f>"0610801"</f>
        <v>0610801</v>
      </c>
      <c r="S67" t="s">
        <v>954</v>
      </c>
      <c r="T67" t="s">
        <v>947</v>
      </c>
      <c r="U67" t="s">
        <v>948</v>
      </c>
      <c r="V67" t="s">
        <v>938</v>
      </c>
      <c r="W67" t="s">
        <v>44</v>
      </c>
      <c r="X67" t="s">
        <v>45</v>
      </c>
      <c r="Y67" s="1">
        <v>27657</v>
      </c>
      <c r="Z67">
        <v>2</v>
      </c>
      <c r="AA67" t="s">
        <v>948</v>
      </c>
      <c r="AB67" s="40" t="s">
        <v>1794</v>
      </c>
    </row>
    <row r="68" spans="1:28" x14ac:dyDescent="0.25">
      <c r="A68">
        <v>99910067</v>
      </c>
      <c r="B68" t="s">
        <v>56</v>
      </c>
      <c r="C68" t="s">
        <v>139</v>
      </c>
      <c r="D68" t="s">
        <v>140</v>
      </c>
      <c r="G68" t="s">
        <v>48</v>
      </c>
      <c r="H68">
        <v>1</v>
      </c>
      <c r="K68" t="s">
        <v>162</v>
      </c>
      <c r="L68" t="s">
        <v>158</v>
      </c>
      <c r="M68" t="s">
        <v>131</v>
      </c>
      <c r="N68">
        <v>3</v>
      </c>
      <c r="P68" t="s">
        <v>41</v>
      </c>
      <c r="Q68" t="s">
        <v>49</v>
      </c>
      <c r="R68" t="str">
        <f>"0560027"</f>
        <v>0560027</v>
      </c>
      <c r="S68" t="s">
        <v>178</v>
      </c>
      <c r="T68" t="s">
        <v>162</v>
      </c>
      <c r="U68" t="s">
        <v>158</v>
      </c>
      <c r="V68" t="s">
        <v>131</v>
      </c>
      <c r="W68" t="s">
        <v>51</v>
      </c>
      <c r="X68" t="s">
        <v>45</v>
      </c>
      <c r="Y68" s="1">
        <v>26472</v>
      </c>
      <c r="Z68">
        <v>2</v>
      </c>
      <c r="AA68" t="s">
        <v>158</v>
      </c>
      <c r="AB68" s="40" t="s">
        <v>1794</v>
      </c>
    </row>
    <row r="69" spans="1:28" x14ac:dyDescent="0.25">
      <c r="A69">
        <v>99910068</v>
      </c>
      <c r="B69" t="s">
        <v>56</v>
      </c>
      <c r="C69" t="s">
        <v>149</v>
      </c>
      <c r="D69" t="s">
        <v>150</v>
      </c>
      <c r="G69" t="s">
        <v>35</v>
      </c>
      <c r="H69">
        <v>1</v>
      </c>
      <c r="I69">
        <v>0</v>
      </c>
      <c r="J69" s="1">
        <v>43344</v>
      </c>
      <c r="K69" t="s">
        <v>223</v>
      </c>
      <c r="L69" t="s">
        <v>224</v>
      </c>
      <c r="M69" t="s">
        <v>131</v>
      </c>
      <c r="N69">
        <v>3</v>
      </c>
      <c r="O69" s="1">
        <v>43344</v>
      </c>
      <c r="P69" t="s">
        <v>41</v>
      </c>
      <c r="Q69" t="s">
        <v>49</v>
      </c>
      <c r="R69" t="str">
        <f>"0560034"</f>
        <v>0560034</v>
      </c>
      <c r="S69" t="s">
        <v>266</v>
      </c>
      <c r="T69" t="s">
        <v>223</v>
      </c>
      <c r="U69" t="s">
        <v>224</v>
      </c>
      <c r="V69" t="s">
        <v>131</v>
      </c>
      <c r="W69" t="s">
        <v>44</v>
      </c>
      <c r="X69" t="s">
        <v>45</v>
      </c>
      <c r="Y69" s="1">
        <v>26442</v>
      </c>
      <c r="Z69">
        <v>2</v>
      </c>
      <c r="AA69" t="s">
        <v>224</v>
      </c>
      <c r="AB69" s="40" t="s">
        <v>1794</v>
      </c>
    </row>
    <row r="70" spans="1:28" x14ac:dyDescent="0.25">
      <c r="A70">
        <v>99910069</v>
      </c>
      <c r="B70" t="s">
        <v>56</v>
      </c>
      <c r="C70" t="s">
        <v>141</v>
      </c>
      <c r="D70" t="s">
        <v>142</v>
      </c>
      <c r="G70" t="s">
        <v>48</v>
      </c>
      <c r="H70">
        <v>1</v>
      </c>
      <c r="K70" t="s">
        <v>380</v>
      </c>
      <c r="L70" t="s">
        <v>381</v>
      </c>
      <c r="M70" t="s">
        <v>131</v>
      </c>
      <c r="N70">
        <v>3</v>
      </c>
      <c r="P70" t="s">
        <v>41</v>
      </c>
      <c r="Q70" t="s">
        <v>49</v>
      </c>
      <c r="R70" t="str">
        <f>"0581575"</f>
        <v>0581575</v>
      </c>
      <c r="S70" t="s">
        <v>392</v>
      </c>
      <c r="T70" t="s">
        <v>380</v>
      </c>
      <c r="U70" t="s">
        <v>381</v>
      </c>
      <c r="V70" t="s">
        <v>131</v>
      </c>
      <c r="W70" t="s">
        <v>51</v>
      </c>
      <c r="X70" t="s">
        <v>45</v>
      </c>
      <c r="Y70" s="1">
        <v>26133</v>
      </c>
      <c r="Z70">
        <v>2</v>
      </c>
      <c r="AA70" t="s">
        <v>381</v>
      </c>
      <c r="AB70" s="40" t="s">
        <v>1794</v>
      </c>
    </row>
    <row r="71" spans="1:28" x14ac:dyDescent="0.25">
      <c r="A71">
        <v>99910070</v>
      </c>
      <c r="B71" t="s">
        <v>56</v>
      </c>
      <c r="C71" t="s">
        <v>58</v>
      </c>
      <c r="D71" t="s">
        <v>59</v>
      </c>
      <c r="G71" t="s">
        <v>48</v>
      </c>
      <c r="H71">
        <v>1</v>
      </c>
      <c r="K71" t="s">
        <v>223</v>
      </c>
      <c r="L71" t="s">
        <v>224</v>
      </c>
      <c r="M71" t="s">
        <v>131</v>
      </c>
      <c r="N71">
        <v>3</v>
      </c>
      <c r="P71" t="s">
        <v>41</v>
      </c>
      <c r="Q71" t="s">
        <v>42</v>
      </c>
      <c r="R71" t="str">
        <f>"0561007"</f>
        <v>0561007</v>
      </c>
      <c r="S71" t="s">
        <v>262</v>
      </c>
      <c r="T71" t="s">
        <v>223</v>
      </c>
      <c r="U71" t="s">
        <v>224</v>
      </c>
      <c r="V71" t="s">
        <v>131</v>
      </c>
      <c r="W71" t="s">
        <v>51</v>
      </c>
      <c r="X71" t="s">
        <v>45</v>
      </c>
      <c r="Y71" s="1">
        <v>25419</v>
      </c>
      <c r="Z71">
        <v>2</v>
      </c>
      <c r="AA71" t="s">
        <v>224</v>
      </c>
      <c r="AB71" s="40" t="s">
        <v>1794</v>
      </c>
    </row>
    <row r="72" spans="1:28" x14ac:dyDescent="0.25">
      <c r="A72">
        <v>99910071</v>
      </c>
      <c r="B72" t="s">
        <v>32</v>
      </c>
      <c r="C72" t="s">
        <v>141</v>
      </c>
      <c r="D72" t="s">
        <v>142</v>
      </c>
      <c r="G72" t="s">
        <v>48</v>
      </c>
      <c r="H72">
        <v>1</v>
      </c>
      <c r="K72" t="s">
        <v>223</v>
      </c>
      <c r="L72" t="s">
        <v>224</v>
      </c>
      <c r="M72" t="s">
        <v>131</v>
      </c>
      <c r="N72">
        <v>3</v>
      </c>
      <c r="P72" t="s">
        <v>41</v>
      </c>
      <c r="Q72" t="s">
        <v>49</v>
      </c>
      <c r="R72" t="str">
        <f>"0560030"</f>
        <v>0560030</v>
      </c>
      <c r="S72" t="s">
        <v>244</v>
      </c>
      <c r="T72" t="s">
        <v>223</v>
      </c>
      <c r="U72" t="s">
        <v>224</v>
      </c>
      <c r="V72" t="s">
        <v>131</v>
      </c>
      <c r="W72" t="s">
        <v>51</v>
      </c>
      <c r="X72" t="s">
        <v>45</v>
      </c>
      <c r="Y72" s="1">
        <v>24473</v>
      </c>
      <c r="Z72">
        <v>2</v>
      </c>
      <c r="AA72" t="s">
        <v>224</v>
      </c>
      <c r="AB72" s="40" t="s">
        <v>1794</v>
      </c>
    </row>
    <row r="73" spans="1:28" x14ac:dyDescent="0.25">
      <c r="A73">
        <v>99910072</v>
      </c>
      <c r="B73" t="s">
        <v>56</v>
      </c>
      <c r="C73" t="s">
        <v>1292</v>
      </c>
      <c r="D73" t="s">
        <v>1293</v>
      </c>
      <c r="G73" t="s">
        <v>48</v>
      </c>
      <c r="H73">
        <v>1</v>
      </c>
      <c r="K73" t="s">
        <v>1613</v>
      </c>
      <c r="L73" t="s">
        <v>1614</v>
      </c>
      <c r="M73" t="s">
        <v>1592</v>
      </c>
      <c r="N73">
        <v>3</v>
      </c>
      <c r="P73" t="s">
        <v>41</v>
      </c>
      <c r="Q73" t="s">
        <v>49</v>
      </c>
      <c r="R73" t="str">
        <f>"2860001"</f>
        <v>2860001</v>
      </c>
      <c r="S73" t="s">
        <v>1616</v>
      </c>
      <c r="T73" t="s">
        <v>1613</v>
      </c>
      <c r="U73" t="s">
        <v>1614</v>
      </c>
      <c r="V73" t="s">
        <v>1592</v>
      </c>
      <c r="W73" t="s">
        <v>51</v>
      </c>
      <c r="X73" t="s">
        <v>45</v>
      </c>
      <c r="Y73" s="1">
        <v>23791</v>
      </c>
      <c r="Z73">
        <v>2</v>
      </c>
      <c r="AA73" t="s">
        <v>1614</v>
      </c>
      <c r="AB73" s="40" t="s">
        <v>1794</v>
      </c>
    </row>
    <row r="74" spans="1:28" x14ac:dyDescent="0.25">
      <c r="A74">
        <v>99910073</v>
      </c>
      <c r="B74" t="s">
        <v>32</v>
      </c>
      <c r="C74" t="s">
        <v>46</v>
      </c>
      <c r="D74" t="s">
        <v>47</v>
      </c>
      <c r="G74" t="s">
        <v>48</v>
      </c>
      <c r="H74">
        <v>1</v>
      </c>
      <c r="K74" t="s">
        <v>223</v>
      </c>
      <c r="L74" t="s">
        <v>224</v>
      </c>
      <c r="M74" t="s">
        <v>131</v>
      </c>
      <c r="N74">
        <v>3</v>
      </c>
      <c r="P74" t="s">
        <v>41</v>
      </c>
      <c r="Q74" t="s">
        <v>49</v>
      </c>
      <c r="R74" t="str">
        <f>"0581202"</f>
        <v>0581202</v>
      </c>
      <c r="S74" t="s">
        <v>248</v>
      </c>
      <c r="T74" t="s">
        <v>223</v>
      </c>
      <c r="U74" t="s">
        <v>224</v>
      </c>
      <c r="V74" t="s">
        <v>131</v>
      </c>
      <c r="W74" t="s">
        <v>165</v>
      </c>
      <c r="X74" t="s">
        <v>45</v>
      </c>
      <c r="Y74" s="1">
        <v>23762</v>
      </c>
      <c r="Z74">
        <v>2</v>
      </c>
      <c r="AA74" t="s">
        <v>224</v>
      </c>
      <c r="AB74" s="40" t="s">
        <v>1794</v>
      </c>
    </row>
    <row r="75" spans="1:28" x14ac:dyDescent="0.25">
      <c r="A75">
        <v>99910074</v>
      </c>
      <c r="B75" t="s">
        <v>56</v>
      </c>
      <c r="C75" t="s">
        <v>52</v>
      </c>
      <c r="D75" t="s">
        <v>53</v>
      </c>
      <c r="G75" t="s">
        <v>48</v>
      </c>
      <c r="H75">
        <v>1</v>
      </c>
      <c r="K75" t="s">
        <v>223</v>
      </c>
      <c r="L75" t="s">
        <v>224</v>
      </c>
      <c r="M75" t="s">
        <v>131</v>
      </c>
      <c r="N75">
        <v>3</v>
      </c>
      <c r="P75" t="s">
        <v>41</v>
      </c>
      <c r="Q75" t="s">
        <v>42</v>
      </c>
      <c r="R75" t="str">
        <f>"0580207"</f>
        <v>0580207</v>
      </c>
      <c r="S75" t="s">
        <v>229</v>
      </c>
      <c r="T75" t="s">
        <v>223</v>
      </c>
      <c r="U75" t="s">
        <v>224</v>
      </c>
      <c r="V75" t="s">
        <v>131</v>
      </c>
      <c r="W75" t="s">
        <v>165</v>
      </c>
      <c r="X75" t="s">
        <v>45</v>
      </c>
      <c r="Y75" s="1">
        <v>22987</v>
      </c>
      <c r="Z75">
        <v>2</v>
      </c>
      <c r="AA75" t="s">
        <v>224</v>
      </c>
      <c r="AB75" s="40" t="s">
        <v>1794</v>
      </c>
    </row>
    <row r="76" spans="1:28" x14ac:dyDescent="0.25">
      <c r="A76">
        <v>99910075</v>
      </c>
      <c r="B76" t="s">
        <v>32</v>
      </c>
      <c r="C76" t="s">
        <v>46</v>
      </c>
      <c r="D76" t="s">
        <v>47</v>
      </c>
      <c r="G76" t="s">
        <v>35</v>
      </c>
      <c r="H76">
        <v>1</v>
      </c>
      <c r="K76" t="s">
        <v>162</v>
      </c>
      <c r="L76" t="s">
        <v>158</v>
      </c>
      <c r="M76" t="s">
        <v>131</v>
      </c>
      <c r="N76">
        <v>3</v>
      </c>
      <c r="P76" t="s">
        <v>41</v>
      </c>
      <c r="Q76" t="s">
        <v>49</v>
      </c>
      <c r="R76" t="str">
        <f>"0505050"</f>
        <v>0505050</v>
      </c>
      <c r="S76" t="s">
        <v>163</v>
      </c>
      <c r="T76" t="s">
        <v>162</v>
      </c>
      <c r="U76" t="s">
        <v>158</v>
      </c>
      <c r="V76" t="s">
        <v>131</v>
      </c>
      <c r="W76" t="s">
        <v>165</v>
      </c>
      <c r="X76" t="s">
        <v>45</v>
      </c>
      <c r="Y76" s="1">
        <v>22674</v>
      </c>
      <c r="Z76">
        <v>2</v>
      </c>
      <c r="AA76" t="s">
        <v>158</v>
      </c>
      <c r="AB76" s="40" t="s">
        <v>1794</v>
      </c>
    </row>
    <row r="77" spans="1:28" x14ac:dyDescent="0.25">
      <c r="A77">
        <v>99910076</v>
      </c>
      <c r="B77" t="s">
        <v>56</v>
      </c>
      <c r="C77" t="s">
        <v>141</v>
      </c>
      <c r="D77" t="s">
        <v>142</v>
      </c>
      <c r="G77" t="s">
        <v>48</v>
      </c>
      <c r="H77">
        <v>1</v>
      </c>
      <c r="K77" t="s">
        <v>300</v>
      </c>
      <c r="L77" t="s">
        <v>301</v>
      </c>
      <c r="M77" t="s">
        <v>131</v>
      </c>
      <c r="N77">
        <v>3</v>
      </c>
      <c r="P77" t="s">
        <v>41</v>
      </c>
      <c r="Q77" t="s">
        <v>49</v>
      </c>
      <c r="R77" t="str">
        <f>"0560013"</f>
        <v>0560013</v>
      </c>
      <c r="S77" t="s">
        <v>324</v>
      </c>
      <c r="T77" t="s">
        <v>300</v>
      </c>
      <c r="U77" t="s">
        <v>301</v>
      </c>
      <c r="V77" t="s">
        <v>131</v>
      </c>
      <c r="W77" t="s">
        <v>51</v>
      </c>
      <c r="X77" t="s">
        <v>45</v>
      </c>
      <c r="Y77" s="1">
        <v>22564</v>
      </c>
      <c r="Z77">
        <v>2</v>
      </c>
      <c r="AA77" t="s">
        <v>301</v>
      </c>
      <c r="AB77" s="40" t="s">
        <v>1794</v>
      </c>
    </row>
    <row r="78" spans="1:28" x14ac:dyDescent="0.25">
      <c r="A78">
        <v>99910077</v>
      </c>
      <c r="B78" t="s">
        <v>32</v>
      </c>
      <c r="C78" t="s">
        <v>141</v>
      </c>
      <c r="D78" t="s">
        <v>142</v>
      </c>
      <c r="G78" t="s">
        <v>48</v>
      </c>
      <c r="H78">
        <v>1</v>
      </c>
      <c r="K78" t="s">
        <v>345</v>
      </c>
      <c r="L78" t="s">
        <v>346</v>
      </c>
      <c r="M78" t="s">
        <v>131</v>
      </c>
      <c r="N78">
        <v>3</v>
      </c>
      <c r="P78" t="s">
        <v>41</v>
      </c>
      <c r="Q78" t="s">
        <v>49</v>
      </c>
      <c r="R78" t="str">
        <f>"0561003"</f>
        <v>0561003</v>
      </c>
      <c r="S78" t="s">
        <v>370</v>
      </c>
      <c r="T78" t="s">
        <v>345</v>
      </c>
      <c r="U78" t="s">
        <v>346</v>
      </c>
      <c r="V78" t="s">
        <v>131</v>
      </c>
      <c r="W78" t="s">
        <v>51</v>
      </c>
      <c r="X78" t="s">
        <v>45</v>
      </c>
      <c r="Y78" s="1">
        <v>22179</v>
      </c>
      <c r="Z78">
        <v>2</v>
      </c>
      <c r="AA78" t="s">
        <v>346</v>
      </c>
      <c r="AB78" s="40" t="s">
        <v>1794</v>
      </c>
    </row>
    <row r="79" spans="1:28" x14ac:dyDescent="0.25">
      <c r="A79">
        <v>99910078</v>
      </c>
      <c r="B79" t="s">
        <v>32</v>
      </c>
      <c r="C79" t="s">
        <v>46</v>
      </c>
      <c r="D79" t="s">
        <v>47</v>
      </c>
      <c r="G79" t="s">
        <v>48</v>
      </c>
      <c r="H79">
        <v>1</v>
      </c>
      <c r="K79" t="s">
        <v>162</v>
      </c>
      <c r="L79" t="s">
        <v>158</v>
      </c>
      <c r="M79" t="s">
        <v>131</v>
      </c>
      <c r="N79">
        <v>3</v>
      </c>
      <c r="P79" t="s">
        <v>41</v>
      </c>
      <c r="Q79" t="s">
        <v>42</v>
      </c>
      <c r="R79" t="str">
        <f>"0580325"</f>
        <v>0580325</v>
      </c>
      <c r="S79" t="s">
        <v>170</v>
      </c>
      <c r="T79" t="s">
        <v>162</v>
      </c>
      <c r="U79" t="s">
        <v>158</v>
      </c>
      <c r="V79" t="s">
        <v>131</v>
      </c>
      <c r="W79" t="s">
        <v>165</v>
      </c>
      <c r="X79" t="s">
        <v>45</v>
      </c>
      <c r="Y79" s="1">
        <v>21508</v>
      </c>
      <c r="Z79">
        <v>2</v>
      </c>
      <c r="AA79" t="s">
        <v>158</v>
      </c>
      <c r="AB79" s="40" t="s">
        <v>1794</v>
      </c>
    </row>
    <row r="80" spans="1:28" x14ac:dyDescent="0.25">
      <c r="A80">
        <v>99910079</v>
      </c>
      <c r="B80" t="s">
        <v>56</v>
      </c>
      <c r="C80" t="s">
        <v>52</v>
      </c>
      <c r="D80" t="s">
        <v>53</v>
      </c>
      <c r="G80" t="s">
        <v>48</v>
      </c>
      <c r="H80">
        <v>1</v>
      </c>
      <c r="K80" t="s">
        <v>129</v>
      </c>
      <c r="L80" t="s">
        <v>130</v>
      </c>
      <c r="M80" t="s">
        <v>131</v>
      </c>
      <c r="N80">
        <v>3</v>
      </c>
      <c r="P80" t="s">
        <v>41</v>
      </c>
      <c r="Q80" t="s">
        <v>49</v>
      </c>
      <c r="R80" t="str">
        <f>"0591905"</f>
        <v>0591905</v>
      </c>
      <c r="S80" t="s">
        <v>135</v>
      </c>
      <c r="T80" t="s">
        <v>129</v>
      </c>
      <c r="U80" t="s">
        <v>130</v>
      </c>
      <c r="V80" t="s">
        <v>131</v>
      </c>
      <c r="W80" t="s">
        <v>51</v>
      </c>
      <c r="X80" t="s">
        <v>45</v>
      </c>
      <c r="Y80" s="1">
        <v>20992</v>
      </c>
      <c r="Z80">
        <v>2</v>
      </c>
      <c r="AA80" t="s">
        <v>130</v>
      </c>
      <c r="AB80" s="40" t="s">
        <v>1794</v>
      </c>
    </row>
    <row r="81" spans="1:28" x14ac:dyDescent="0.25">
      <c r="A81">
        <v>99910080</v>
      </c>
      <c r="B81" t="s">
        <v>56</v>
      </c>
      <c r="C81" t="s">
        <v>259</v>
      </c>
      <c r="D81" t="s">
        <v>260</v>
      </c>
      <c r="G81" t="s">
        <v>35</v>
      </c>
      <c r="H81">
        <v>1</v>
      </c>
      <c r="I81">
        <v>23977</v>
      </c>
      <c r="J81" s="1">
        <v>43439</v>
      </c>
      <c r="K81" t="s">
        <v>300</v>
      </c>
      <c r="L81" t="s">
        <v>301</v>
      </c>
      <c r="M81" t="s">
        <v>131</v>
      </c>
      <c r="N81">
        <v>3</v>
      </c>
      <c r="O81" s="1">
        <v>43439</v>
      </c>
      <c r="P81" t="s">
        <v>41</v>
      </c>
      <c r="Q81" t="s">
        <v>49</v>
      </c>
      <c r="R81" t="str">
        <f>"0560013"</f>
        <v>0560013</v>
      </c>
      <c r="S81" t="s">
        <v>324</v>
      </c>
      <c r="T81" t="s">
        <v>300</v>
      </c>
      <c r="U81" t="s">
        <v>301</v>
      </c>
      <c r="V81" t="s">
        <v>131</v>
      </c>
      <c r="W81" t="s">
        <v>44</v>
      </c>
      <c r="X81" t="s">
        <v>45</v>
      </c>
      <c r="Y81" s="1">
        <v>19923</v>
      </c>
      <c r="Z81">
        <v>2</v>
      </c>
      <c r="AA81" t="s">
        <v>301</v>
      </c>
      <c r="AB81" s="40" t="s">
        <v>1794</v>
      </c>
    </row>
    <row r="82" spans="1:28" x14ac:dyDescent="0.25">
      <c r="A82">
        <v>99910081</v>
      </c>
      <c r="B82" t="s">
        <v>32</v>
      </c>
      <c r="C82" t="s">
        <v>79</v>
      </c>
      <c r="D82" t="s">
        <v>80</v>
      </c>
      <c r="G82" t="s">
        <v>35</v>
      </c>
      <c r="H82">
        <v>1</v>
      </c>
      <c r="K82" t="s">
        <v>157</v>
      </c>
      <c r="L82" t="s">
        <v>158</v>
      </c>
      <c r="M82" t="s">
        <v>131</v>
      </c>
      <c r="N82">
        <v>3</v>
      </c>
      <c r="P82" t="s">
        <v>41</v>
      </c>
      <c r="Q82" t="s">
        <v>42</v>
      </c>
      <c r="R82" t="str">
        <f>"0580470"</f>
        <v>0580470</v>
      </c>
      <c r="S82" t="s">
        <v>175</v>
      </c>
      <c r="T82" t="s">
        <v>157</v>
      </c>
      <c r="U82" t="s">
        <v>158</v>
      </c>
      <c r="V82" t="s">
        <v>131</v>
      </c>
      <c r="W82" t="s">
        <v>165</v>
      </c>
      <c r="X82" t="s">
        <v>45</v>
      </c>
      <c r="Z82">
        <v>2</v>
      </c>
      <c r="AA82" t="s">
        <v>158</v>
      </c>
      <c r="AB82" s="40" t="s">
        <v>1794</v>
      </c>
    </row>
    <row r="83" spans="1:28" x14ac:dyDescent="0.25">
      <c r="A83">
        <v>99910082</v>
      </c>
      <c r="B83" t="s">
        <v>56</v>
      </c>
      <c r="C83" t="s">
        <v>46</v>
      </c>
      <c r="D83" t="s">
        <v>47</v>
      </c>
      <c r="G83" t="s">
        <v>48</v>
      </c>
      <c r="H83">
        <v>1</v>
      </c>
      <c r="K83" t="s">
        <v>223</v>
      </c>
      <c r="L83" t="s">
        <v>224</v>
      </c>
      <c r="M83" t="s">
        <v>131</v>
      </c>
      <c r="N83">
        <v>3</v>
      </c>
      <c r="P83" t="s">
        <v>41</v>
      </c>
      <c r="Q83" t="s">
        <v>42</v>
      </c>
      <c r="R83" t="str">
        <f>"0580207"</f>
        <v>0580207</v>
      </c>
      <c r="S83" t="s">
        <v>229</v>
      </c>
      <c r="T83" t="s">
        <v>223</v>
      </c>
      <c r="U83" t="s">
        <v>224</v>
      </c>
      <c r="V83" t="s">
        <v>131</v>
      </c>
      <c r="W83" t="s">
        <v>165</v>
      </c>
      <c r="X83" t="s">
        <v>45</v>
      </c>
      <c r="Z83">
        <v>2</v>
      </c>
      <c r="AA83" t="s">
        <v>224</v>
      </c>
      <c r="AB83" s="40" t="s">
        <v>1794</v>
      </c>
    </row>
    <row r="84" spans="1:28" x14ac:dyDescent="0.25">
      <c r="A84">
        <v>99910083</v>
      </c>
      <c r="B84" t="s">
        <v>32</v>
      </c>
      <c r="C84" t="s">
        <v>295</v>
      </c>
      <c r="D84" t="s">
        <v>296</v>
      </c>
      <c r="G84" t="s">
        <v>35</v>
      </c>
      <c r="H84">
        <v>1</v>
      </c>
      <c r="I84">
        <v>21564</v>
      </c>
      <c r="J84" s="1">
        <v>43344</v>
      </c>
      <c r="K84" t="s">
        <v>345</v>
      </c>
      <c r="L84" t="s">
        <v>346</v>
      </c>
      <c r="M84" t="s">
        <v>131</v>
      </c>
      <c r="N84">
        <v>3</v>
      </c>
      <c r="O84" s="1">
        <v>43344</v>
      </c>
      <c r="P84" t="s">
        <v>41</v>
      </c>
      <c r="Q84" t="s">
        <v>49</v>
      </c>
      <c r="R84" t="str">
        <f>"0581660"</f>
        <v>0581660</v>
      </c>
      <c r="S84" t="s">
        <v>359</v>
      </c>
      <c r="T84" t="s">
        <v>345</v>
      </c>
      <c r="U84" t="s">
        <v>346</v>
      </c>
      <c r="V84" t="s">
        <v>131</v>
      </c>
      <c r="W84" t="s">
        <v>44</v>
      </c>
      <c r="X84" t="s">
        <v>45</v>
      </c>
      <c r="Z84">
        <v>2</v>
      </c>
      <c r="AA84" t="s">
        <v>346</v>
      </c>
      <c r="AB84" s="40" t="s">
        <v>1794</v>
      </c>
    </row>
    <row r="85" spans="1:28" x14ac:dyDescent="0.25">
      <c r="A85">
        <v>99910084</v>
      </c>
      <c r="B85" t="s">
        <v>32</v>
      </c>
      <c r="C85" t="s">
        <v>141</v>
      </c>
      <c r="D85" t="s">
        <v>142</v>
      </c>
      <c r="G85" t="s">
        <v>48</v>
      </c>
      <c r="H85">
        <v>1</v>
      </c>
      <c r="K85" t="s">
        <v>268</v>
      </c>
      <c r="L85" t="s">
        <v>269</v>
      </c>
      <c r="M85" t="s">
        <v>131</v>
      </c>
      <c r="N85">
        <v>3</v>
      </c>
      <c r="P85" t="s">
        <v>41</v>
      </c>
      <c r="Q85" t="s">
        <v>75</v>
      </c>
      <c r="R85" t="str">
        <f>"7052044"</f>
        <v>7052044</v>
      </c>
      <c r="S85" t="s">
        <v>589</v>
      </c>
      <c r="T85" t="s">
        <v>268</v>
      </c>
      <c r="U85" t="s">
        <v>269</v>
      </c>
      <c r="V85" t="s">
        <v>131</v>
      </c>
      <c r="W85" t="s">
        <v>51</v>
      </c>
      <c r="X85" t="s">
        <v>45</v>
      </c>
      <c r="Z85">
        <v>1</v>
      </c>
      <c r="AA85" t="s">
        <v>269</v>
      </c>
      <c r="AB85" s="40" t="s">
        <v>1794</v>
      </c>
    </row>
    <row r="86" spans="1:28" x14ac:dyDescent="0.25">
      <c r="A86">
        <v>99910085</v>
      </c>
      <c r="B86" t="s">
        <v>56</v>
      </c>
      <c r="C86" t="s">
        <v>68</v>
      </c>
      <c r="D86" t="s">
        <v>69</v>
      </c>
      <c r="G86" t="s">
        <v>35</v>
      </c>
      <c r="H86">
        <v>1</v>
      </c>
      <c r="I86">
        <v>8077</v>
      </c>
      <c r="J86" s="1">
        <v>43357</v>
      </c>
      <c r="K86" t="s">
        <v>1187</v>
      </c>
      <c r="L86" t="s">
        <v>1188</v>
      </c>
      <c r="M86" t="s">
        <v>1130</v>
      </c>
      <c r="N86">
        <v>3</v>
      </c>
      <c r="O86" s="1">
        <v>43357</v>
      </c>
      <c r="P86" t="s">
        <v>41</v>
      </c>
      <c r="Q86" t="s">
        <v>49</v>
      </c>
      <c r="R86" t="str">
        <f>"4581015"</f>
        <v>4581015</v>
      </c>
      <c r="S86" t="s">
        <v>1190</v>
      </c>
      <c r="T86" t="s">
        <v>1187</v>
      </c>
      <c r="U86" t="s">
        <v>1188</v>
      </c>
      <c r="V86" t="s">
        <v>1130</v>
      </c>
      <c r="W86" t="s">
        <v>44</v>
      </c>
      <c r="X86" t="s">
        <v>45</v>
      </c>
      <c r="Z86">
        <v>2</v>
      </c>
      <c r="AA86" t="s">
        <v>1188</v>
      </c>
      <c r="AB86" s="40" t="s">
        <v>1794</v>
      </c>
    </row>
    <row r="87" spans="1:28" x14ac:dyDescent="0.25">
      <c r="A87">
        <v>99910086</v>
      </c>
      <c r="B87" t="s">
        <v>32</v>
      </c>
      <c r="C87" t="s">
        <v>71</v>
      </c>
      <c r="D87" t="s">
        <v>72</v>
      </c>
      <c r="G87" t="s">
        <v>35</v>
      </c>
      <c r="H87">
        <v>1</v>
      </c>
      <c r="I87" s="1">
        <v>42633</v>
      </c>
      <c r="J87" s="1">
        <v>43344</v>
      </c>
      <c r="K87" t="s">
        <v>1341</v>
      </c>
      <c r="L87" t="s">
        <v>1342</v>
      </c>
      <c r="M87" t="s">
        <v>1270</v>
      </c>
      <c r="N87">
        <v>4</v>
      </c>
      <c r="O87" s="1">
        <v>43344</v>
      </c>
      <c r="P87" t="s">
        <v>41</v>
      </c>
      <c r="Q87" t="s">
        <v>75</v>
      </c>
      <c r="R87" t="str">
        <f>"7191036"</f>
        <v>7191036</v>
      </c>
      <c r="S87" t="s">
        <v>1348</v>
      </c>
      <c r="T87" t="s">
        <v>1341</v>
      </c>
      <c r="U87" t="s">
        <v>1342</v>
      </c>
      <c r="V87" t="s">
        <v>1270</v>
      </c>
      <c r="W87" t="s">
        <v>44</v>
      </c>
      <c r="X87" t="s">
        <v>45</v>
      </c>
      <c r="Y87" s="1">
        <v>33819</v>
      </c>
      <c r="Z87">
        <v>1</v>
      </c>
      <c r="AA87" t="s">
        <v>1342</v>
      </c>
      <c r="AB87" s="40" t="s">
        <v>1794</v>
      </c>
    </row>
    <row r="88" spans="1:28" x14ac:dyDescent="0.25">
      <c r="A88">
        <v>99910087</v>
      </c>
      <c r="B88" t="s">
        <v>32</v>
      </c>
      <c r="C88" t="s">
        <v>58</v>
      </c>
      <c r="D88" t="s">
        <v>59</v>
      </c>
      <c r="G88" t="s">
        <v>35</v>
      </c>
      <c r="H88">
        <v>1</v>
      </c>
      <c r="I88" s="1">
        <v>42258</v>
      </c>
      <c r="J88" s="1">
        <v>43344</v>
      </c>
      <c r="K88" t="s">
        <v>129</v>
      </c>
      <c r="L88" t="s">
        <v>130</v>
      </c>
      <c r="M88" t="s">
        <v>131</v>
      </c>
      <c r="N88">
        <v>4</v>
      </c>
      <c r="O88" s="1">
        <v>43344</v>
      </c>
      <c r="P88" t="s">
        <v>41</v>
      </c>
      <c r="Q88" t="s">
        <v>49</v>
      </c>
      <c r="R88" t="str">
        <f>"0580150"</f>
        <v>0580150</v>
      </c>
      <c r="S88" t="s">
        <v>134</v>
      </c>
      <c r="T88" t="s">
        <v>129</v>
      </c>
      <c r="U88" t="s">
        <v>130</v>
      </c>
      <c r="V88" t="s">
        <v>131</v>
      </c>
      <c r="W88" t="s">
        <v>51</v>
      </c>
      <c r="X88" t="s">
        <v>45</v>
      </c>
      <c r="Y88" s="1">
        <v>33710</v>
      </c>
      <c r="Z88">
        <v>2</v>
      </c>
      <c r="AA88" t="s">
        <v>130</v>
      </c>
      <c r="AB88" s="40" t="s">
        <v>1794</v>
      </c>
    </row>
    <row r="89" spans="1:28" x14ac:dyDescent="0.25">
      <c r="A89">
        <v>99910088</v>
      </c>
      <c r="B89" t="s">
        <v>32</v>
      </c>
      <c r="C89" t="s">
        <v>139</v>
      </c>
      <c r="D89" t="s">
        <v>140</v>
      </c>
      <c r="G89" t="s">
        <v>48</v>
      </c>
      <c r="H89">
        <v>1</v>
      </c>
      <c r="K89" t="s">
        <v>1619</v>
      </c>
      <c r="L89" t="s">
        <v>1620</v>
      </c>
      <c r="M89" t="s">
        <v>1592</v>
      </c>
      <c r="N89">
        <v>4</v>
      </c>
      <c r="P89" t="s">
        <v>41</v>
      </c>
      <c r="Q89" t="s">
        <v>75</v>
      </c>
      <c r="R89" t="str">
        <f>"7281006"</f>
        <v>7281006</v>
      </c>
      <c r="S89" t="s">
        <v>1618</v>
      </c>
      <c r="T89" t="s">
        <v>1619</v>
      </c>
      <c r="U89" t="s">
        <v>1620</v>
      </c>
      <c r="V89" t="s">
        <v>1592</v>
      </c>
      <c r="W89" t="s">
        <v>51</v>
      </c>
      <c r="X89" t="s">
        <v>45</v>
      </c>
      <c r="Y89" s="1">
        <v>33401</v>
      </c>
      <c r="Z89">
        <v>1</v>
      </c>
      <c r="AA89" t="s">
        <v>1620</v>
      </c>
      <c r="AB89" s="40" t="s">
        <v>1794</v>
      </c>
    </row>
    <row r="90" spans="1:28" x14ac:dyDescent="0.25">
      <c r="A90">
        <v>99910089</v>
      </c>
      <c r="B90" t="s">
        <v>32</v>
      </c>
      <c r="C90" t="s">
        <v>64</v>
      </c>
      <c r="D90" t="s">
        <v>65</v>
      </c>
      <c r="G90" t="s">
        <v>48</v>
      </c>
      <c r="H90">
        <v>1</v>
      </c>
      <c r="K90" t="s">
        <v>1581</v>
      </c>
      <c r="L90" t="s">
        <v>1582</v>
      </c>
      <c r="M90" t="s">
        <v>1548</v>
      </c>
      <c r="N90">
        <v>4</v>
      </c>
      <c r="P90" t="s">
        <v>41</v>
      </c>
      <c r="Q90" t="s">
        <v>75</v>
      </c>
      <c r="R90" t="str">
        <f>"7291000"</f>
        <v>7291000</v>
      </c>
      <c r="S90" t="s">
        <v>1584</v>
      </c>
      <c r="T90" t="s">
        <v>1581</v>
      </c>
      <c r="U90" t="s">
        <v>1582</v>
      </c>
      <c r="V90" t="s">
        <v>1548</v>
      </c>
      <c r="W90" t="s">
        <v>51</v>
      </c>
      <c r="X90" t="s">
        <v>45</v>
      </c>
      <c r="Y90" s="1">
        <v>33235</v>
      </c>
      <c r="Z90">
        <v>1</v>
      </c>
      <c r="AA90" t="s">
        <v>1582</v>
      </c>
      <c r="AB90" s="40" t="s">
        <v>1794</v>
      </c>
    </row>
    <row r="91" spans="1:28" x14ac:dyDescent="0.25">
      <c r="A91">
        <v>99910090</v>
      </c>
      <c r="B91" t="s">
        <v>32</v>
      </c>
      <c r="C91" t="s">
        <v>136</v>
      </c>
      <c r="D91" t="s">
        <v>137</v>
      </c>
      <c r="G91" t="s">
        <v>35</v>
      </c>
      <c r="H91">
        <v>1</v>
      </c>
      <c r="I91" t="s">
        <v>1003</v>
      </c>
      <c r="J91" s="1">
        <v>43344</v>
      </c>
      <c r="K91" t="s">
        <v>963</v>
      </c>
      <c r="L91" t="s">
        <v>964</v>
      </c>
      <c r="M91" t="s">
        <v>938</v>
      </c>
      <c r="N91">
        <v>4</v>
      </c>
      <c r="O91" s="1">
        <v>43344</v>
      </c>
      <c r="P91" t="s">
        <v>41</v>
      </c>
      <c r="Q91" t="s">
        <v>75</v>
      </c>
      <c r="R91" t="str">
        <f>"7061004"</f>
        <v>7061004</v>
      </c>
      <c r="S91" t="s">
        <v>1002</v>
      </c>
      <c r="T91" t="s">
        <v>963</v>
      </c>
      <c r="U91" t="s">
        <v>964</v>
      </c>
      <c r="V91" t="s">
        <v>938</v>
      </c>
      <c r="W91" t="s">
        <v>44</v>
      </c>
      <c r="X91" t="s">
        <v>45</v>
      </c>
      <c r="Y91" s="1">
        <v>33228</v>
      </c>
      <c r="Z91">
        <v>1</v>
      </c>
      <c r="AA91" t="s">
        <v>964</v>
      </c>
      <c r="AB91" s="40" t="s">
        <v>1794</v>
      </c>
    </row>
    <row r="92" spans="1:28" x14ac:dyDescent="0.25">
      <c r="A92">
        <v>99910091</v>
      </c>
      <c r="B92" t="s">
        <v>32</v>
      </c>
      <c r="C92" t="s">
        <v>139</v>
      </c>
      <c r="D92" t="s">
        <v>140</v>
      </c>
      <c r="G92" t="s">
        <v>35</v>
      </c>
      <c r="H92">
        <v>1</v>
      </c>
      <c r="I92" t="s">
        <v>909</v>
      </c>
      <c r="J92" s="1">
        <v>43344</v>
      </c>
      <c r="K92" t="s">
        <v>877</v>
      </c>
      <c r="L92" t="s">
        <v>878</v>
      </c>
      <c r="M92" t="s">
        <v>131</v>
      </c>
      <c r="N92">
        <v>4</v>
      </c>
      <c r="O92" s="1">
        <v>43344</v>
      </c>
      <c r="P92" t="s">
        <v>41</v>
      </c>
      <c r="Q92" t="s">
        <v>75</v>
      </c>
      <c r="R92" t="str">
        <f>"7541024"</f>
        <v>7541024</v>
      </c>
      <c r="S92" t="s">
        <v>885</v>
      </c>
      <c r="T92" t="s">
        <v>877</v>
      </c>
      <c r="U92" t="s">
        <v>878</v>
      </c>
      <c r="V92" t="s">
        <v>131</v>
      </c>
      <c r="W92" t="s">
        <v>51</v>
      </c>
      <c r="X92" t="s">
        <v>45</v>
      </c>
      <c r="Y92" s="1">
        <v>32986</v>
      </c>
      <c r="Z92">
        <v>1</v>
      </c>
      <c r="AA92" t="s">
        <v>878</v>
      </c>
      <c r="AB92" s="40" t="s">
        <v>1794</v>
      </c>
    </row>
    <row r="93" spans="1:28" x14ac:dyDescent="0.25">
      <c r="A93">
        <v>99910092</v>
      </c>
      <c r="B93" t="s">
        <v>56</v>
      </c>
      <c r="C93" t="s">
        <v>61</v>
      </c>
      <c r="D93" t="s">
        <v>62</v>
      </c>
      <c r="G93" t="s">
        <v>48</v>
      </c>
      <c r="H93">
        <v>1</v>
      </c>
      <c r="K93" t="s">
        <v>300</v>
      </c>
      <c r="L93" t="s">
        <v>301</v>
      </c>
      <c r="M93" t="s">
        <v>131</v>
      </c>
      <c r="N93">
        <v>4</v>
      </c>
      <c r="P93" t="s">
        <v>41</v>
      </c>
      <c r="Q93" t="s">
        <v>49</v>
      </c>
      <c r="R93" t="str">
        <f>"0560029"</f>
        <v>0560029</v>
      </c>
      <c r="S93" t="s">
        <v>309</v>
      </c>
      <c r="T93" t="s">
        <v>300</v>
      </c>
      <c r="U93" t="s">
        <v>301</v>
      </c>
      <c r="V93" t="s">
        <v>131</v>
      </c>
      <c r="W93" t="s">
        <v>51</v>
      </c>
      <c r="X93" t="s">
        <v>45</v>
      </c>
      <c r="Y93" s="1">
        <v>32699</v>
      </c>
      <c r="Z93">
        <v>2</v>
      </c>
      <c r="AA93" t="s">
        <v>301</v>
      </c>
      <c r="AB93" s="40" t="s">
        <v>1794</v>
      </c>
    </row>
    <row r="94" spans="1:28" x14ac:dyDescent="0.25">
      <c r="A94">
        <v>99910093</v>
      </c>
      <c r="B94" t="s">
        <v>32</v>
      </c>
      <c r="C94" t="s">
        <v>85</v>
      </c>
      <c r="D94" t="s">
        <v>86</v>
      </c>
      <c r="G94" t="s">
        <v>35</v>
      </c>
      <c r="H94">
        <v>1</v>
      </c>
      <c r="I94">
        <v>19331</v>
      </c>
      <c r="J94" s="1">
        <v>43367</v>
      </c>
      <c r="K94" t="s">
        <v>380</v>
      </c>
      <c r="L94" t="s">
        <v>381</v>
      </c>
      <c r="M94" t="s">
        <v>131</v>
      </c>
      <c r="N94">
        <v>4</v>
      </c>
      <c r="O94" s="1">
        <v>43367</v>
      </c>
      <c r="P94" t="s">
        <v>41</v>
      </c>
      <c r="Q94" t="s">
        <v>49</v>
      </c>
      <c r="R94" t="str">
        <f>"0561020"</f>
        <v>0561020</v>
      </c>
      <c r="S94" t="s">
        <v>390</v>
      </c>
      <c r="T94" t="s">
        <v>380</v>
      </c>
      <c r="U94" t="s">
        <v>381</v>
      </c>
      <c r="V94" t="s">
        <v>131</v>
      </c>
      <c r="W94" t="s">
        <v>44</v>
      </c>
      <c r="X94" t="s">
        <v>45</v>
      </c>
      <c r="Y94" s="1">
        <v>32587</v>
      </c>
      <c r="Z94">
        <v>2</v>
      </c>
      <c r="AA94" t="s">
        <v>381</v>
      </c>
      <c r="AB94" s="40" t="s">
        <v>1794</v>
      </c>
    </row>
    <row r="95" spans="1:28" x14ac:dyDescent="0.25">
      <c r="A95">
        <v>99910094</v>
      </c>
      <c r="B95" t="s">
        <v>32</v>
      </c>
      <c r="C95" t="s">
        <v>46</v>
      </c>
      <c r="D95" t="s">
        <v>47</v>
      </c>
      <c r="G95" t="s">
        <v>48</v>
      </c>
      <c r="H95">
        <v>1</v>
      </c>
      <c r="K95" t="s">
        <v>300</v>
      </c>
      <c r="L95" t="s">
        <v>301</v>
      </c>
      <c r="M95" t="s">
        <v>131</v>
      </c>
      <c r="N95">
        <v>4</v>
      </c>
      <c r="P95" t="s">
        <v>41</v>
      </c>
      <c r="Q95" t="s">
        <v>42</v>
      </c>
      <c r="R95" t="str">
        <f>"0561001"</f>
        <v>0561001</v>
      </c>
      <c r="S95" t="s">
        <v>308</v>
      </c>
      <c r="T95" t="s">
        <v>300</v>
      </c>
      <c r="U95" t="s">
        <v>301</v>
      </c>
      <c r="V95" t="s">
        <v>131</v>
      </c>
      <c r="W95" t="s">
        <v>51</v>
      </c>
      <c r="X95" t="s">
        <v>45</v>
      </c>
      <c r="Y95" s="1">
        <v>32367</v>
      </c>
      <c r="Z95">
        <v>2</v>
      </c>
      <c r="AA95" t="s">
        <v>301</v>
      </c>
      <c r="AB95" s="40" t="s">
        <v>1794</v>
      </c>
    </row>
    <row r="96" spans="1:28" x14ac:dyDescent="0.25">
      <c r="A96">
        <v>99910095</v>
      </c>
      <c r="B96" t="s">
        <v>32</v>
      </c>
      <c r="C96" t="s">
        <v>64</v>
      </c>
      <c r="D96" t="s">
        <v>65</v>
      </c>
      <c r="G96" t="s">
        <v>35</v>
      </c>
      <c r="H96">
        <v>1</v>
      </c>
      <c r="I96">
        <v>14429</v>
      </c>
      <c r="J96" s="1">
        <v>43344</v>
      </c>
      <c r="K96" t="s">
        <v>354</v>
      </c>
      <c r="L96" t="s">
        <v>355</v>
      </c>
      <c r="M96" t="s">
        <v>131</v>
      </c>
      <c r="N96">
        <v>4</v>
      </c>
      <c r="O96" s="1">
        <v>43344</v>
      </c>
      <c r="P96" t="s">
        <v>41</v>
      </c>
      <c r="Q96" t="s">
        <v>75</v>
      </c>
      <c r="R96" t="str">
        <f>"7054018"</f>
        <v>7054018</v>
      </c>
      <c r="S96" t="s">
        <v>773</v>
      </c>
      <c r="T96" t="s">
        <v>354</v>
      </c>
      <c r="U96" t="s">
        <v>355</v>
      </c>
      <c r="V96" t="s">
        <v>131</v>
      </c>
      <c r="W96" t="s">
        <v>44</v>
      </c>
      <c r="X96" t="s">
        <v>45</v>
      </c>
      <c r="Y96" s="1">
        <v>31977</v>
      </c>
      <c r="Z96">
        <v>1</v>
      </c>
      <c r="AA96" t="s">
        <v>355</v>
      </c>
      <c r="AB96" s="40" t="s">
        <v>1794</v>
      </c>
    </row>
    <row r="97" spans="1:28" x14ac:dyDescent="0.25">
      <c r="A97">
        <v>99910096</v>
      </c>
      <c r="B97" t="s">
        <v>32</v>
      </c>
      <c r="C97" t="s">
        <v>46</v>
      </c>
      <c r="D97" t="s">
        <v>47</v>
      </c>
      <c r="G97" t="s">
        <v>48</v>
      </c>
      <c r="H97">
        <v>1</v>
      </c>
      <c r="K97" t="s">
        <v>300</v>
      </c>
      <c r="L97" t="s">
        <v>301</v>
      </c>
      <c r="M97" t="s">
        <v>131</v>
      </c>
      <c r="N97">
        <v>4</v>
      </c>
      <c r="P97" t="s">
        <v>41</v>
      </c>
      <c r="Q97" t="s">
        <v>49</v>
      </c>
      <c r="R97" t="str">
        <f>"0560029"</f>
        <v>0560029</v>
      </c>
      <c r="S97" t="s">
        <v>309</v>
      </c>
      <c r="T97" t="s">
        <v>300</v>
      </c>
      <c r="U97" t="s">
        <v>301</v>
      </c>
      <c r="V97" t="s">
        <v>131</v>
      </c>
      <c r="W97" t="s">
        <v>165</v>
      </c>
      <c r="X97" t="s">
        <v>45</v>
      </c>
      <c r="Y97" s="1">
        <v>31818</v>
      </c>
      <c r="Z97">
        <v>2</v>
      </c>
      <c r="AA97" t="s">
        <v>301</v>
      </c>
      <c r="AB97" s="40" t="s">
        <v>1794</v>
      </c>
    </row>
    <row r="98" spans="1:28" x14ac:dyDescent="0.25">
      <c r="A98">
        <v>99910097</v>
      </c>
      <c r="B98" t="s">
        <v>32</v>
      </c>
      <c r="C98" t="s">
        <v>58</v>
      </c>
      <c r="D98" t="s">
        <v>59</v>
      </c>
      <c r="G98" t="s">
        <v>48</v>
      </c>
      <c r="H98">
        <v>1</v>
      </c>
      <c r="I98" t="s">
        <v>212</v>
      </c>
      <c r="J98" s="1">
        <v>41614</v>
      </c>
      <c r="K98" t="s">
        <v>300</v>
      </c>
      <c r="L98" t="s">
        <v>301</v>
      </c>
      <c r="M98" t="s">
        <v>131</v>
      </c>
      <c r="N98">
        <v>4</v>
      </c>
      <c r="O98" s="1">
        <v>41614</v>
      </c>
      <c r="P98" t="s">
        <v>41</v>
      </c>
      <c r="Q98" t="s">
        <v>49</v>
      </c>
      <c r="R98" t="str">
        <f>"0560029"</f>
        <v>0560029</v>
      </c>
      <c r="S98" t="s">
        <v>309</v>
      </c>
      <c r="T98" t="s">
        <v>300</v>
      </c>
      <c r="U98" t="s">
        <v>301</v>
      </c>
      <c r="V98" t="s">
        <v>131</v>
      </c>
      <c r="W98" t="s">
        <v>165</v>
      </c>
      <c r="X98" t="s">
        <v>45</v>
      </c>
      <c r="Y98" s="1">
        <v>31778</v>
      </c>
      <c r="Z98">
        <v>2</v>
      </c>
      <c r="AA98" t="s">
        <v>301</v>
      </c>
      <c r="AB98" s="40" t="s">
        <v>1794</v>
      </c>
    </row>
    <row r="99" spans="1:28" x14ac:dyDescent="0.25">
      <c r="A99">
        <v>99910098</v>
      </c>
      <c r="B99" t="s">
        <v>32</v>
      </c>
      <c r="C99" t="s">
        <v>71</v>
      </c>
      <c r="D99" t="s">
        <v>72</v>
      </c>
      <c r="G99" t="s">
        <v>35</v>
      </c>
      <c r="H99">
        <v>1</v>
      </c>
      <c r="I99">
        <v>0</v>
      </c>
      <c r="J99" s="1">
        <v>43344</v>
      </c>
      <c r="K99" t="s">
        <v>223</v>
      </c>
      <c r="L99" t="s">
        <v>224</v>
      </c>
      <c r="M99" t="s">
        <v>131</v>
      </c>
      <c r="N99">
        <v>4</v>
      </c>
      <c r="O99" s="1">
        <v>43344</v>
      </c>
      <c r="P99" t="s">
        <v>41</v>
      </c>
      <c r="Q99" t="s">
        <v>49</v>
      </c>
      <c r="R99" t="str">
        <f>"0560034"</f>
        <v>0560034</v>
      </c>
      <c r="S99" t="s">
        <v>266</v>
      </c>
      <c r="T99" t="s">
        <v>223</v>
      </c>
      <c r="U99" t="s">
        <v>224</v>
      </c>
      <c r="V99" t="s">
        <v>131</v>
      </c>
      <c r="W99" t="s">
        <v>44</v>
      </c>
      <c r="X99" t="s">
        <v>45</v>
      </c>
      <c r="Y99" s="1">
        <v>31521</v>
      </c>
      <c r="Z99">
        <v>2</v>
      </c>
      <c r="AA99" t="s">
        <v>224</v>
      </c>
      <c r="AB99" s="40" t="s">
        <v>1794</v>
      </c>
    </row>
    <row r="100" spans="1:28" x14ac:dyDescent="0.25">
      <c r="A100">
        <v>99910099</v>
      </c>
      <c r="B100" t="s">
        <v>32</v>
      </c>
      <c r="C100" t="s">
        <v>149</v>
      </c>
      <c r="D100" t="s">
        <v>150</v>
      </c>
      <c r="G100" t="s">
        <v>35</v>
      </c>
      <c r="H100">
        <v>1</v>
      </c>
      <c r="I100">
        <v>18104</v>
      </c>
      <c r="J100" s="1">
        <v>43344</v>
      </c>
      <c r="K100" t="s">
        <v>345</v>
      </c>
      <c r="L100" t="s">
        <v>346</v>
      </c>
      <c r="M100" t="s">
        <v>131</v>
      </c>
      <c r="N100">
        <v>4</v>
      </c>
      <c r="O100" s="1">
        <v>43344</v>
      </c>
      <c r="P100" t="s">
        <v>41</v>
      </c>
      <c r="Q100" t="s">
        <v>367</v>
      </c>
      <c r="R100" t="str">
        <f>"0580655"</f>
        <v>0580655</v>
      </c>
      <c r="S100" t="s">
        <v>368</v>
      </c>
      <c r="T100" t="s">
        <v>345</v>
      </c>
      <c r="U100" t="s">
        <v>346</v>
      </c>
      <c r="V100" t="s">
        <v>131</v>
      </c>
      <c r="W100" t="s">
        <v>51</v>
      </c>
      <c r="X100" t="s">
        <v>45</v>
      </c>
      <c r="Y100" s="1">
        <v>31492</v>
      </c>
      <c r="Z100">
        <v>2</v>
      </c>
      <c r="AA100" t="s">
        <v>346</v>
      </c>
      <c r="AB100" s="40" t="s">
        <v>1794</v>
      </c>
    </row>
    <row r="101" spans="1:28" x14ac:dyDescent="0.25">
      <c r="A101">
        <v>99910100</v>
      </c>
      <c r="B101" t="s">
        <v>56</v>
      </c>
      <c r="C101" t="s">
        <v>52</v>
      </c>
      <c r="D101" t="s">
        <v>53</v>
      </c>
      <c r="G101" t="s">
        <v>35</v>
      </c>
      <c r="H101">
        <v>1</v>
      </c>
      <c r="I101">
        <v>13814</v>
      </c>
      <c r="J101" s="1">
        <v>43355</v>
      </c>
      <c r="K101" t="s">
        <v>345</v>
      </c>
      <c r="L101" t="s">
        <v>346</v>
      </c>
      <c r="M101" t="s">
        <v>131</v>
      </c>
      <c r="N101">
        <v>4</v>
      </c>
      <c r="O101" s="1">
        <v>43355</v>
      </c>
      <c r="P101" t="s">
        <v>41</v>
      </c>
      <c r="Q101" t="s">
        <v>49</v>
      </c>
      <c r="R101" t="str">
        <f>"0560032"</f>
        <v>0560032</v>
      </c>
      <c r="S101" t="s">
        <v>347</v>
      </c>
      <c r="T101" t="s">
        <v>345</v>
      </c>
      <c r="U101" t="s">
        <v>346</v>
      </c>
      <c r="V101" t="s">
        <v>131</v>
      </c>
      <c r="W101" t="s">
        <v>51</v>
      </c>
      <c r="X101" t="s">
        <v>45</v>
      </c>
      <c r="Y101" s="1">
        <v>31315</v>
      </c>
      <c r="Z101">
        <v>2</v>
      </c>
      <c r="AA101" t="s">
        <v>346</v>
      </c>
      <c r="AB101" s="40" t="s">
        <v>1794</v>
      </c>
    </row>
    <row r="102" spans="1:28" x14ac:dyDescent="0.25">
      <c r="A102">
        <v>99910101</v>
      </c>
      <c r="B102" t="s">
        <v>56</v>
      </c>
      <c r="C102" t="s">
        <v>79</v>
      </c>
      <c r="D102" t="s">
        <v>80</v>
      </c>
      <c r="G102" t="s">
        <v>35</v>
      </c>
      <c r="H102">
        <v>1</v>
      </c>
      <c r="I102">
        <v>14666</v>
      </c>
      <c r="J102" s="1">
        <v>42979</v>
      </c>
      <c r="K102" t="s">
        <v>1306</v>
      </c>
      <c r="L102" t="s">
        <v>1307</v>
      </c>
      <c r="M102" t="s">
        <v>1270</v>
      </c>
      <c r="N102">
        <v>4</v>
      </c>
      <c r="O102" s="1">
        <v>42979</v>
      </c>
      <c r="P102" t="s">
        <v>41</v>
      </c>
      <c r="Q102" t="s">
        <v>49</v>
      </c>
      <c r="R102" t="str">
        <f>"1991913"</f>
        <v>1991913</v>
      </c>
      <c r="S102" t="s">
        <v>1310</v>
      </c>
      <c r="T102" t="s">
        <v>1306</v>
      </c>
      <c r="U102" t="s">
        <v>1307</v>
      </c>
      <c r="V102" t="s">
        <v>1270</v>
      </c>
      <c r="W102" t="s">
        <v>44</v>
      </c>
      <c r="X102" t="s">
        <v>45</v>
      </c>
      <c r="Y102" s="1">
        <v>31211</v>
      </c>
      <c r="Z102">
        <v>2</v>
      </c>
      <c r="AA102" t="s">
        <v>1307</v>
      </c>
      <c r="AB102" s="40" t="s">
        <v>1794</v>
      </c>
    </row>
    <row r="103" spans="1:28" x14ac:dyDescent="0.25">
      <c r="A103">
        <v>99910102</v>
      </c>
      <c r="B103" t="s">
        <v>56</v>
      </c>
      <c r="C103" t="s">
        <v>61</v>
      </c>
      <c r="D103" t="s">
        <v>62</v>
      </c>
      <c r="G103" t="s">
        <v>35</v>
      </c>
      <c r="H103">
        <v>1</v>
      </c>
      <c r="I103" t="s">
        <v>1673</v>
      </c>
      <c r="J103" s="1">
        <v>43344</v>
      </c>
      <c r="K103" t="s">
        <v>1619</v>
      </c>
      <c r="L103" t="s">
        <v>1620</v>
      </c>
      <c r="M103" t="s">
        <v>1592</v>
      </c>
      <c r="N103">
        <v>4</v>
      </c>
      <c r="O103" s="1">
        <v>43344</v>
      </c>
      <c r="P103" t="s">
        <v>41</v>
      </c>
      <c r="Q103" t="s">
        <v>75</v>
      </c>
      <c r="R103" t="str">
        <f>"7281002"</f>
        <v>7281002</v>
      </c>
      <c r="S103" t="s">
        <v>1660</v>
      </c>
      <c r="T103" t="s">
        <v>1619</v>
      </c>
      <c r="U103" t="s">
        <v>1620</v>
      </c>
      <c r="V103" t="s">
        <v>1592</v>
      </c>
      <c r="W103" t="s">
        <v>51</v>
      </c>
      <c r="X103" t="s">
        <v>45</v>
      </c>
      <c r="Y103" s="1">
        <v>31048</v>
      </c>
      <c r="Z103">
        <v>1</v>
      </c>
      <c r="AA103" t="s">
        <v>1620</v>
      </c>
      <c r="AB103" s="40" t="s">
        <v>1794</v>
      </c>
    </row>
    <row r="104" spans="1:28" x14ac:dyDescent="0.25">
      <c r="A104">
        <v>99910103</v>
      </c>
      <c r="B104" t="s">
        <v>32</v>
      </c>
      <c r="C104" t="s">
        <v>64</v>
      </c>
      <c r="D104" t="s">
        <v>65</v>
      </c>
      <c r="G104" t="s">
        <v>88</v>
      </c>
      <c r="H104">
        <v>1</v>
      </c>
      <c r="K104" t="s">
        <v>157</v>
      </c>
      <c r="L104" t="s">
        <v>158</v>
      </c>
      <c r="M104" t="s">
        <v>131</v>
      </c>
      <c r="N104">
        <v>4</v>
      </c>
      <c r="P104" t="s">
        <v>41</v>
      </c>
      <c r="Q104" t="s">
        <v>42</v>
      </c>
      <c r="R104" t="str">
        <f>"0561004"</f>
        <v>0561004</v>
      </c>
      <c r="S104" t="s">
        <v>172</v>
      </c>
      <c r="T104" t="s">
        <v>157</v>
      </c>
      <c r="U104" t="s">
        <v>158</v>
      </c>
      <c r="V104" t="s">
        <v>131</v>
      </c>
      <c r="W104" t="s">
        <v>51</v>
      </c>
      <c r="X104" t="s">
        <v>45</v>
      </c>
      <c r="Y104" s="1">
        <v>30949</v>
      </c>
      <c r="Z104">
        <v>2</v>
      </c>
      <c r="AA104" t="s">
        <v>158</v>
      </c>
      <c r="AB104" s="40" t="s">
        <v>1794</v>
      </c>
    </row>
    <row r="105" spans="1:28" x14ac:dyDescent="0.25">
      <c r="A105">
        <v>99910104</v>
      </c>
      <c r="B105" t="s">
        <v>32</v>
      </c>
      <c r="C105" t="s">
        <v>79</v>
      </c>
      <c r="D105" t="s">
        <v>80</v>
      </c>
      <c r="G105" t="s">
        <v>35</v>
      </c>
      <c r="H105">
        <v>1</v>
      </c>
      <c r="I105" t="s">
        <v>1165</v>
      </c>
      <c r="J105" s="1">
        <v>43367</v>
      </c>
      <c r="K105" t="s">
        <v>1128</v>
      </c>
      <c r="L105" t="s">
        <v>1129</v>
      </c>
      <c r="M105" t="s">
        <v>1130</v>
      </c>
      <c r="N105">
        <v>4</v>
      </c>
      <c r="O105" s="1">
        <v>43367</v>
      </c>
      <c r="P105" t="s">
        <v>41</v>
      </c>
      <c r="Q105" t="s">
        <v>49</v>
      </c>
      <c r="R105" t="str">
        <f>"3181010"</f>
        <v>3181010</v>
      </c>
      <c r="S105" t="s">
        <v>1134</v>
      </c>
      <c r="T105" t="s">
        <v>1128</v>
      </c>
      <c r="U105" t="s">
        <v>1129</v>
      </c>
      <c r="V105" t="s">
        <v>1130</v>
      </c>
      <c r="W105" t="s">
        <v>44</v>
      </c>
      <c r="X105" t="s">
        <v>45</v>
      </c>
      <c r="Y105" s="1">
        <v>30925</v>
      </c>
      <c r="Z105">
        <v>2</v>
      </c>
      <c r="AA105" t="s">
        <v>1129</v>
      </c>
      <c r="AB105" s="40" t="s">
        <v>1794</v>
      </c>
    </row>
    <row r="106" spans="1:28" x14ac:dyDescent="0.25">
      <c r="A106">
        <v>99910105</v>
      </c>
      <c r="B106" t="s">
        <v>56</v>
      </c>
      <c r="C106" t="s">
        <v>46</v>
      </c>
      <c r="D106" t="s">
        <v>47</v>
      </c>
      <c r="G106" t="s">
        <v>35</v>
      </c>
      <c r="H106">
        <v>1</v>
      </c>
      <c r="K106" t="s">
        <v>1613</v>
      </c>
      <c r="L106" t="s">
        <v>1614</v>
      </c>
      <c r="M106" t="s">
        <v>1592</v>
      </c>
      <c r="N106">
        <v>4</v>
      </c>
      <c r="P106" t="s">
        <v>41</v>
      </c>
      <c r="Q106" t="s">
        <v>49</v>
      </c>
      <c r="R106" t="str">
        <f>"2881020"</f>
        <v>2881020</v>
      </c>
      <c r="S106" t="s">
        <v>1615</v>
      </c>
      <c r="T106" t="s">
        <v>1613</v>
      </c>
      <c r="U106" t="s">
        <v>1614</v>
      </c>
      <c r="V106" t="s">
        <v>1592</v>
      </c>
      <c r="W106" t="s">
        <v>51</v>
      </c>
      <c r="X106" t="s">
        <v>45</v>
      </c>
      <c r="Y106" s="1">
        <v>30899</v>
      </c>
      <c r="Z106">
        <v>2</v>
      </c>
      <c r="AA106" t="s">
        <v>1614</v>
      </c>
      <c r="AB106" s="40" t="s">
        <v>1794</v>
      </c>
    </row>
    <row r="107" spans="1:28" x14ac:dyDescent="0.25">
      <c r="A107">
        <v>99910106</v>
      </c>
      <c r="B107" t="s">
        <v>32</v>
      </c>
      <c r="C107" t="s">
        <v>139</v>
      </c>
      <c r="D107" t="s">
        <v>140</v>
      </c>
      <c r="G107" t="s">
        <v>35</v>
      </c>
      <c r="H107">
        <v>1</v>
      </c>
      <c r="I107">
        <v>4138</v>
      </c>
      <c r="J107" s="1">
        <v>43344</v>
      </c>
      <c r="K107" t="s">
        <v>877</v>
      </c>
      <c r="L107" t="s">
        <v>878</v>
      </c>
      <c r="M107" t="s">
        <v>131</v>
      </c>
      <c r="N107">
        <v>4</v>
      </c>
      <c r="O107" s="1">
        <v>43344</v>
      </c>
      <c r="P107" t="s">
        <v>41</v>
      </c>
      <c r="Q107" t="s">
        <v>75</v>
      </c>
      <c r="R107" t="str">
        <f>"7541020"</f>
        <v>7541020</v>
      </c>
      <c r="S107" t="s">
        <v>882</v>
      </c>
      <c r="T107" t="s">
        <v>877</v>
      </c>
      <c r="U107" t="s">
        <v>878</v>
      </c>
      <c r="V107" t="s">
        <v>131</v>
      </c>
      <c r="W107" t="s">
        <v>51</v>
      </c>
      <c r="X107" t="s">
        <v>45</v>
      </c>
      <c r="Y107" s="1">
        <v>30864</v>
      </c>
      <c r="Z107">
        <v>1</v>
      </c>
      <c r="AA107" t="s">
        <v>878</v>
      </c>
      <c r="AB107" s="40" t="s">
        <v>1794</v>
      </c>
    </row>
    <row r="108" spans="1:28" x14ac:dyDescent="0.25">
      <c r="A108">
        <v>99910107</v>
      </c>
      <c r="B108" t="s">
        <v>32</v>
      </c>
      <c r="C108" t="s">
        <v>46</v>
      </c>
      <c r="D108" t="s">
        <v>47</v>
      </c>
      <c r="G108" t="s">
        <v>48</v>
      </c>
      <c r="H108">
        <v>1</v>
      </c>
      <c r="K108" t="s">
        <v>300</v>
      </c>
      <c r="L108" t="s">
        <v>301</v>
      </c>
      <c r="M108" t="s">
        <v>131</v>
      </c>
      <c r="N108">
        <v>4</v>
      </c>
      <c r="P108" t="s">
        <v>41</v>
      </c>
      <c r="Q108" t="s">
        <v>42</v>
      </c>
      <c r="R108" t="str">
        <f>"0580106"</f>
        <v>0580106</v>
      </c>
      <c r="S108" t="s">
        <v>306</v>
      </c>
      <c r="T108" t="s">
        <v>300</v>
      </c>
      <c r="U108" t="s">
        <v>301</v>
      </c>
      <c r="V108" t="s">
        <v>131</v>
      </c>
      <c r="W108" t="s">
        <v>51</v>
      </c>
      <c r="X108" t="s">
        <v>45</v>
      </c>
      <c r="Y108" s="1">
        <v>30786</v>
      </c>
      <c r="Z108">
        <v>2</v>
      </c>
      <c r="AA108" t="s">
        <v>301</v>
      </c>
      <c r="AB108" s="40" t="s">
        <v>1794</v>
      </c>
    </row>
    <row r="109" spans="1:28" x14ac:dyDescent="0.25">
      <c r="A109">
        <v>99910108</v>
      </c>
      <c r="B109" t="s">
        <v>32</v>
      </c>
      <c r="C109" t="s">
        <v>149</v>
      </c>
      <c r="D109" t="s">
        <v>150</v>
      </c>
      <c r="G109" t="s">
        <v>35</v>
      </c>
      <c r="H109">
        <v>1</v>
      </c>
      <c r="K109" t="s">
        <v>936</v>
      </c>
      <c r="L109" t="s">
        <v>937</v>
      </c>
      <c r="M109" t="s">
        <v>938</v>
      </c>
      <c r="N109">
        <v>4</v>
      </c>
      <c r="P109" t="s">
        <v>41</v>
      </c>
      <c r="Q109" t="s">
        <v>49</v>
      </c>
      <c r="R109" t="str">
        <f>"0160075"</f>
        <v>0160075</v>
      </c>
      <c r="S109" t="s">
        <v>939</v>
      </c>
      <c r="T109" t="s">
        <v>936</v>
      </c>
      <c r="U109" t="s">
        <v>937</v>
      </c>
      <c r="V109" t="s">
        <v>938</v>
      </c>
      <c r="W109" t="s">
        <v>51</v>
      </c>
      <c r="X109" t="s">
        <v>45</v>
      </c>
      <c r="Y109" s="1">
        <v>30779</v>
      </c>
      <c r="Z109">
        <v>2</v>
      </c>
      <c r="AA109" t="s">
        <v>937</v>
      </c>
      <c r="AB109" s="40" t="s">
        <v>1794</v>
      </c>
    </row>
    <row r="110" spans="1:28" x14ac:dyDescent="0.25">
      <c r="A110">
        <v>99910109</v>
      </c>
      <c r="B110" t="s">
        <v>32</v>
      </c>
      <c r="C110" t="s">
        <v>90</v>
      </c>
      <c r="D110" t="s">
        <v>91</v>
      </c>
      <c r="G110" t="s">
        <v>35</v>
      </c>
      <c r="H110">
        <v>1</v>
      </c>
      <c r="K110" t="s">
        <v>154</v>
      </c>
      <c r="L110" t="s">
        <v>155</v>
      </c>
      <c r="M110" t="s">
        <v>131</v>
      </c>
      <c r="N110">
        <v>4</v>
      </c>
      <c r="P110" t="s">
        <v>41</v>
      </c>
      <c r="Q110" t="s">
        <v>95</v>
      </c>
      <c r="R110" t="str">
        <f>"7051139"</f>
        <v>7051139</v>
      </c>
      <c r="S110" t="s">
        <v>426</v>
      </c>
      <c r="T110" t="s">
        <v>154</v>
      </c>
      <c r="U110" t="s">
        <v>155</v>
      </c>
      <c r="V110" t="s">
        <v>131</v>
      </c>
      <c r="W110" t="s">
        <v>51</v>
      </c>
      <c r="X110" t="s">
        <v>45</v>
      </c>
      <c r="Y110" s="1">
        <v>30687</v>
      </c>
      <c r="Z110">
        <v>1</v>
      </c>
      <c r="AA110" t="s">
        <v>155</v>
      </c>
      <c r="AB110" s="40" t="s">
        <v>1794</v>
      </c>
    </row>
    <row r="111" spans="1:28" x14ac:dyDescent="0.25">
      <c r="A111">
        <v>99910110</v>
      </c>
      <c r="B111" t="s">
        <v>32</v>
      </c>
      <c r="C111" t="s">
        <v>139</v>
      </c>
      <c r="D111" t="s">
        <v>140</v>
      </c>
      <c r="G111" t="s">
        <v>35</v>
      </c>
      <c r="H111">
        <v>1</v>
      </c>
      <c r="I111">
        <v>103</v>
      </c>
      <c r="J111" s="1">
        <v>43344</v>
      </c>
      <c r="K111" t="s">
        <v>354</v>
      </c>
      <c r="L111" t="s">
        <v>355</v>
      </c>
      <c r="M111" t="s">
        <v>131</v>
      </c>
      <c r="N111">
        <v>4</v>
      </c>
      <c r="O111" s="1">
        <v>43344</v>
      </c>
      <c r="P111" t="s">
        <v>41</v>
      </c>
      <c r="Q111" t="s">
        <v>75</v>
      </c>
      <c r="R111" t="str">
        <f>"7054016"</f>
        <v>7054016</v>
      </c>
      <c r="S111" t="s">
        <v>768</v>
      </c>
      <c r="T111" t="s">
        <v>354</v>
      </c>
      <c r="U111" t="s">
        <v>355</v>
      </c>
      <c r="V111" t="s">
        <v>131</v>
      </c>
      <c r="W111" t="s">
        <v>44</v>
      </c>
      <c r="X111" t="s">
        <v>45</v>
      </c>
      <c r="Y111" s="1">
        <v>30503</v>
      </c>
      <c r="Z111">
        <v>1</v>
      </c>
      <c r="AA111" t="s">
        <v>355</v>
      </c>
      <c r="AB111" s="40" t="s">
        <v>1794</v>
      </c>
    </row>
    <row r="112" spans="1:28" x14ac:dyDescent="0.25">
      <c r="A112">
        <v>99910111</v>
      </c>
      <c r="B112" t="s">
        <v>56</v>
      </c>
      <c r="C112" t="s">
        <v>61</v>
      </c>
      <c r="D112" t="s">
        <v>62</v>
      </c>
      <c r="G112" t="s">
        <v>35</v>
      </c>
      <c r="H112">
        <v>1</v>
      </c>
      <c r="I112" t="s">
        <v>317</v>
      </c>
      <c r="J112" s="1">
        <v>43344</v>
      </c>
      <c r="K112" t="s">
        <v>300</v>
      </c>
      <c r="L112" t="s">
        <v>301</v>
      </c>
      <c r="M112" t="s">
        <v>131</v>
      </c>
      <c r="N112">
        <v>4</v>
      </c>
      <c r="O112" s="1">
        <v>43344</v>
      </c>
      <c r="P112" t="s">
        <v>41</v>
      </c>
      <c r="Q112" t="s">
        <v>42</v>
      </c>
      <c r="R112" t="str">
        <f>"0580106"</f>
        <v>0580106</v>
      </c>
      <c r="S112" t="s">
        <v>306</v>
      </c>
      <c r="T112" t="s">
        <v>300</v>
      </c>
      <c r="U112" t="s">
        <v>301</v>
      </c>
      <c r="V112" t="s">
        <v>131</v>
      </c>
      <c r="W112" t="s">
        <v>51</v>
      </c>
      <c r="X112" t="s">
        <v>45</v>
      </c>
      <c r="Y112" s="1">
        <v>30317</v>
      </c>
      <c r="Z112">
        <v>2</v>
      </c>
      <c r="AA112" t="s">
        <v>301</v>
      </c>
      <c r="AB112" s="40" t="s">
        <v>1794</v>
      </c>
    </row>
    <row r="113" spans="1:28" x14ac:dyDescent="0.25">
      <c r="A113">
        <v>99910112</v>
      </c>
      <c r="B113" t="s">
        <v>32</v>
      </c>
      <c r="C113" t="s">
        <v>64</v>
      </c>
      <c r="D113" t="s">
        <v>65</v>
      </c>
      <c r="G113" t="s">
        <v>35</v>
      </c>
      <c r="H113">
        <v>1</v>
      </c>
      <c r="I113" t="s">
        <v>965</v>
      </c>
      <c r="J113" s="1">
        <v>43353</v>
      </c>
      <c r="K113" t="s">
        <v>947</v>
      </c>
      <c r="L113" t="s">
        <v>948</v>
      </c>
      <c r="M113" t="s">
        <v>938</v>
      </c>
      <c r="N113">
        <v>4</v>
      </c>
      <c r="O113" s="1">
        <v>43353</v>
      </c>
      <c r="P113" t="s">
        <v>41</v>
      </c>
      <c r="Q113" t="s">
        <v>953</v>
      </c>
      <c r="R113" t="str">
        <f>"0610801"</f>
        <v>0610801</v>
      </c>
      <c r="S113" t="s">
        <v>954</v>
      </c>
      <c r="T113" t="s">
        <v>947</v>
      </c>
      <c r="U113" t="s">
        <v>948</v>
      </c>
      <c r="V113" t="s">
        <v>938</v>
      </c>
      <c r="W113" t="s">
        <v>44</v>
      </c>
      <c r="X113" t="s">
        <v>45</v>
      </c>
      <c r="Y113" s="1">
        <v>30092</v>
      </c>
      <c r="Z113">
        <v>2</v>
      </c>
      <c r="AA113" t="s">
        <v>948</v>
      </c>
      <c r="AB113" s="40" t="s">
        <v>1794</v>
      </c>
    </row>
    <row r="114" spans="1:28" x14ac:dyDescent="0.25">
      <c r="A114">
        <v>99910113</v>
      </c>
      <c r="B114" t="s">
        <v>32</v>
      </c>
      <c r="C114" t="s">
        <v>68</v>
      </c>
      <c r="D114" t="s">
        <v>69</v>
      </c>
      <c r="G114" t="s">
        <v>48</v>
      </c>
      <c r="H114">
        <v>1</v>
      </c>
      <c r="K114" t="s">
        <v>1613</v>
      </c>
      <c r="L114" t="s">
        <v>1614</v>
      </c>
      <c r="M114" t="s">
        <v>1592</v>
      </c>
      <c r="N114">
        <v>4</v>
      </c>
      <c r="P114" t="s">
        <v>41</v>
      </c>
      <c r="Q114" t="s">
        <v>49</v>
      </c>
      <c r="R114" t="str">
        <f>"2860001"</f>
        <v>2860001</v>
      </c>
      <c r="S114" t="s">
        <v>1616</v>
      </c>
      <c r="T114" t="s">
        <v>1613</v>
      </c>
      <c r="U114" t="s">
        <v>1614</v>
      </c>
      <c r="V114" t="s">
        <v>1592</v>
      </c>
      <c r="W114" t="s">
        <v>51</v>
      </c>
      <c r="X114" t="s">
        <v>45</v>
      </c>
      <c r="Y114" s="1">
        <v>29865</v>
      </c>
      <c r="Z114">
        <v>2</v>
      </c>
      <c r="AA114" t="s">
        <v>1614</v>
      </c>
      <c r="AB114" s="40" t="s">
        <v>1794</v>
      </c>
    </row>
    <row r="115" spans="1:28" x14ac:dyDescent="0.25">
      <c r="A115">
        <v>99910114</v>
      </c>
      <c r="B115" t="s">
        <v>56</v>
      </c>
      <c r="C115" t="s">
        <v>71</v>
      </c>
      <c r="D115" t="s">
        <v>72</v>
      </c>
      <c r="G115" t="s">
        <v>35</v>
      </c>
      <c r="H115">
        <v>1</v>
      </c>
      <c r="I115" t="s">
        <v>326</v>
      </c>
      <c r="J115" s="1">
        <v>43344</v>
      </c>
      <c r="K115" t="s">
        <v>300</v>
      </c>
      <c r="L115" t="s">
        <v>301</v>
      </c>
      <c r="M115" t="s">
        <v>131</v>
      </c>
      <c r="N115">
        <v>4</v>
      </c>
      <c r="O115" s="1">
        <v>43344</v>
      </c>
      <c r="P115" t="s">
        <v>41</v>
      </c>
      <c r="Q115" t="s">
        <v>49</v>
      </c>
      <c r="R115" t="str">
        <f>"0560002"</f>
        <v>0560002</v>
      </c>
      <c r="S115" t="s">
        <v>315</v>
      </c>
      <c r="T115" t="s">
        <v>300</v>
      </c>
      <c r="U115" t="s">
        <v>301</v>
      </c>
      <c r="V115" t="s">
        <v>131</v>
      </c>
      <c r="W115" t="s">
        <v>51</v>
      </c>
      <c r="X115" t="s">
        <v>45</v>
      </c>
      <c r="Y115" s="1">
        <v>29853</v>
      </c>
      <c r="Z115">
        <v>2</v>
      </c>
      <c r="AA115" t="s">
        <v>301</v>
      </c>
      <c r="AB115" s="40" t="s">
        <v>1794</v>
      </c>
    </row>
    <row r="116" spans="1:28" x14ac:dyDescent="0.25">
      <c r="A116">
        <v>99910115</v>
      </c>
      <c r="B116" t="s">
        <v>32</v>
      </c>
      <c r="C116" t="s">
        <v>71</v>
      </c>
      <c r="D116" t="s">
        <v>72</v>
      </c>
      <c r="G116" t="s">
        <v>48</v>
      </c>
      <c r="H116">
        <v>1</v>
      </c>
      <c r="K116" t="s">
        <v>268</v>
      </c>
      <c r="L116" t="s">
        <v>269</v>
      </c>
      <c r="M116" t="s">
        <v>131</v>
      </c>
      <c r="N116">
        <v>4</v>
      </c>
      <c r="P116" t="s">
        <v>41</v>
      </c>
      <c r="Q116" t="s">
        <v>75</v>
      </c>
      <c r="R116" t="str">
        <f>"7052042"</f>
        <v>7052042</v>
      </c>
      <c r="S116" t="s">
        <v>583</v>
      </c>
      <c r="T116" t="s">
        <v>268</v>
      </c>
      <c r="U116" t="s">
        <v>269</v>
      </c>
      <c r="V116" t="s">
        <v>131</v>
      </c>
      <c r="W116" t="s">
        <v>51</v>
      </c>
      <c r="X116" t="s">
        <v>45</v>
      </c>
      <c r="Y116" s="1">
        <v>29832</v>
      </c>
      <c r="Z116">
        <v>1</v>
      </c>
      <c r="AA116" t="s">
        <v>269</v>
      </c>
      <c r="AB116" s="40" t="s">
        <v>1794</v>
      </c>
    </row>
    <row r="117" spans="1:28" x14ac:dyDescent="0.25">
      <c r="A117">
        <v>99910116</v>
      </c>
      <c r="B117" t="s">
        <v>32</v>
      </c>
      <c r="C117" t="s">
        <v>52</v>
      </c>
      <c r="D117" t="s">
        <v>53</v>
      </c>
      <c r="G117" t="s">
        <v>35</v>
      </c>
      <c r="H117">
        <v>1</v>
      </c>
      <c r="K117" t="s">
        <v>223</v>
      </c>
      <c r="L117" t="s">
        <v>224</v>
      </c>
      <c r="M117" t="s">
        <v>131</v>
      </c>
      <c r="N117">
        <v>4</v>
      </c>
      <c r="P117" t="s">
        <v>41</v>
      </c>
      <c r="Q117" t="s">
        <v>42</v>
      </c>
      <c r="R117" t="str">
        <f>"0590901"</f>
        <v>0590901</v>
      </c>
      <c r="S117" t="s">
        <v>242</v>
      </c>
      <c r="T117" t="s">
        <v>223</v>
      </c>
      <c r="U117" t="s">
        <v>224</v>
      </c>
      <c r="V117" t="s">
        <v>131</v>
      </c>
      <c r="W117" t="s">
        <v>51</v>
      </c>
      <c r="X117" t="s">
        <v>45</v>
      </c>
      <c r="Y117" s="1">
        <v>29642</v>
      </c>
      <c r="Z117">
        <v>2</v>
      </c>
      <c r="AA117" t="s">
        <v>224</v>
      </c>
      <c r="AB117" s="40" t="s">
        <v>1794</v>
      </c>
    </row>
    <row r="118" spans="1:28" x14ac:dyDescent="0.25">
      <c r="A118">
        <v>99910117</v>
      </c>
      <c r="B118" t="s">
        <v>32</v>
      </c>
      <c r="C118" t="s">
        <v>71</v>
      </c>
      <c r="D118" t="s">
        <v>72</v>
      </c>
      <c r="G118" t="s">
        <v>35</v>
      </c>
      <c r="H118">
        <v>1</v>
      </c>
      <c r="K118" t="s">
        <v>1502</v>
      </c>
      <c r="L118" t="s">
        <v>1503</v>
      </c>
      <c r="M118" t="s">
        <v>670</v>
      </c>
      <c r="N118">
        <v>4</v>
      </c>
      <c r="P118" t="s">
        <v>41</v>
      </c>
      <c r="Q118" t="s">
        <v>75</v>
      </c>
      <c r="R118" t="str">
        <f>"7171002"</f>
        <v>7171002</v>
      </c>
      <c r="S118" t="s">
        <v>1505</v>
      </c>
      <c r="T118" t="s">
        <v>1502</v>
      </c>
      <c r="U118" t="s">
        <v>1503</v>
      </c>
      <c r="V118" t="s">
        <v>670</v>
      </c>
      <c r="W118" t="s">
        <v>51</v>
      </c>
      <c r="X118" t="s">
        <v>45</v>
      </c>
      <c r="Y118" s="1">
        <v>29583</v>
      </c>
      <c r="Z118">
        <v>1</v>
      </c>
      <c r="AA118" t="s">
        <v>1503</v>
      </c>
      <c r="AB118" s="40" t="s">
        <v>1794</v>
      </c>
    </row>
    <row r="119" spans="1:28" x14ac:dyDescent="0.25">
      <c r="A119">
        <v>99910118</v>
      </c>
      <c r="B119" t="s">
        <v>32</v>
      </c>
      <c r="C119" t="s">
        <v>141</v>
      </c>
      <c r="D119" t="s">
        <v>142</v>
      </c>
      <c r="G119" t="s">
        <v>35</v>
      </c>
      <c r="H119">
        <v>1</v>
      </c>
      <c r="K119" t="s">
        <v>223</v>
      </c>
      <c r="L119" t="s">
        <v>224</v>
      </c>
      <c r="M119" t="s">
        <v>131</v>
      </c>
      <c r="N119">
        <v>4</v>
      </c>
      <c r="P119" t="s">
        <v>41</v>
      </c>
      <c r="Q119" t="s">
        <v>49</v>
      </c>
      <c r="R119" t="str">
        <f>"0560018"</f>
        <v>0560018</v>
      </c>
      <c r="S119" t="s">
        <v>234</v>
      </c>
      <c r="T119" t="s">
        <v>223</v>
      </c>
      <c r="U119" t="s">
        <v>224</v>
      </c>
      <c r="V119" t="s">
        <v>131</v>
      </c>
      <c r="W119" t="s">
        <v>51</v>
      </c>
      <c r="X119" t="s">
        <v>45</v>
      </c>
      <c r="Y119" s="1">
        <v>29393</v>
      </c>
      <c r="Z119">
        <v>2</v>
      </c>
      <c r="AA119" t="s">
        <v>224</v>
      </c>
      <c r="AB119" s="40" t="s">
        <v>1794</v>
      </c>
    </row>
    <row r="120" spans="1:28" x14ac:dyDescent="0.25">
      <c r="A120">
        <v>99910119</v>
      </c>
      <c r="B120" t="s">
        <v>32</v>
      </c>
      <c r="C120" t="s">
        <v>33</v>
      </c>
      <c r="D120" t="s">
        <v>34</v>
      </c>
      <c r="G120" t="s">
        <v>35</v>
      </c>
      <c r="H120">
        <v>1</v>
      </c>
      <c r="I120">
        <v>0</v>
      </c>
      <c r="J120" s="1">
        <v>43344</v>
      </c>
      <c r="K120" t="s">
        <v>223</v>
      </c>
      <c r="L120" t="s">
        <v>224</v>
      </c>
      <c r="M120" t="s">
        <v>131</v>
      </c>
      <c r="N120">
        <v>4</v>
      </c>
      <c r="O120" s="1">
        <v>43344</v>
      </c>
      <c r="P120" t="s">
        <v>41</v>
      </c>
      <c r="Q120" t="s">
        <v>49</v>
      </c>
      <c r="R120" t="str">
        <f>"0560034"</f>
        <v>0560034</v>
      </c>
      <c r="S120" t="s">
        <v>266</v>
      </c>
      <c r="T120" t="s">
        <v>223</v>
      </c>
      <c r="U120" t="s">
        <v>224</v>
      </c>
      <c r="V120" t="s">
        <v>131</v>
      </c>
      <c r="W120" t="s">
        <v>44</v>
      </c>
      <c r="X120" t="s">
        <v>45</v>
      </c>
      <c r="Y120" s="1">
        <v>29385</v>
      </c>
      <c r="Z120">
        <v>2</v>
      </c>
      <c r="AA120" t="s">
        <v>224</v>
      </c>
      <c r="AB120" s="40" t="s">
        <v>1794</v>
      </c>
    </row>
    <row r="121" spans="1:28" x14ac:dyDescent="0.25">
      <c r="A121">
        <v>99910120</v>
      </c>
      <c r="B121" t="s">
        <v>32</v>
      </c>
      <c r="C121" t="s">
        <v>79</v>
      </c>
      <c r="D121" t="s">
        <v>80</v>
      </c>
      <c r="G121" t="s">
        <v>35</v>
      </c>
      <c r="H121">
        <v>1</v>
      </c>
      <c r="I121" t="s">
        <v>1390</v>
      </c>
      <c r="J121" s="1">
        <v>43344</v>
      </c>
      <c r="K121" t="s">
        <v>1341</v>
      </c>
      <c r="L121" t="s">
        <v>1342</v>
      </c>
      <c r="M121" t="s">
        <v>1270</v>
      </c>
      <c r="N121">
        <v>4</v>
      </c>
      <c r="O121" s="1">
        <v>43344</v>
      </c>
      <c r="P121" t="s">
        <v>41</v>
      </c>
      <c r="Q121" t="s">
        <v>95</v>
      </c>
      <c r="R121" t="str">
        <f>"7191001"</f>
        <v>7191001</v>
      </c>
      <c r="S121" t="s">
        <v>1391</v>
      </c>
      <c r="T121" t="s">
        <v>1341</v>
      </c>
      <c r="U121" t="s">
        <v>1342</v>
      </c>
      <c r="V121" t="s">
        <v>1270</v>
      </c>
      <c r="W121" t="s">
        <v>51</v>
      </c>
      <c r="X121" t="s">
        <v>45</v>
      </c>
      <c r="Y121" s="1">
        <v>29375</v>
      </c>
      <c r="Z121">
        <v>1</v>
      </c>
      <c r="AA121" t="s">
        <v>1342</v>
      </c>
      <c r="AB121" s="40" t="s">
        <v>1794</v>
      </c>
    </row>
    <row r="122" spans="1:28" x14ac:dyDescent="0.25">
      <c r="A122">
        <v>99910121</v>
      </c>
      <c r="B122" t="s">
        <v>32</v>
      </c>
      <c r="C122" t="s">
        <v>79</v>
      </c>
      <c r="D122" t="s">
        <v>80</v>
      </c>
      <c r="G122" t="s">
        <v>35</v>
      </c>
      <c r="H122">
        <v>1</v>
      </c>
      <c r="I122">
        <v>13011</v>
      </c>
      <c r="J122" s="1">
        <v>43344</v>
      </c>
      <c r="K122" t="s">
        <v>354</v>
      </c>
      <c r="L122" t="s">
        <v>355</v>
      </c>
      <c r="M122" t="s">
        <v>131</v>
      </c>
      <c r="N122">
        <v>4</v>
      </c>
      <c r="O122" s="1">
        <v>43344</v>
      </c>
      <c r="P122" t="s">
        <v>41</v>
      </c>
      <c r="Q122" t="s">
        <v>95</v>
      </c>
      <c r="R122" t="str">
        <f>"7054025"</f>
        <v>7054025</v>
      </c>
      <c r="S122" t="s">
        <v>794</v>
      </c>
      <c r="T122" t="s">
        <v>354</v>
      </c>
      <c r="U122" t="s">
        <v>355</v>
      </c>
      <c r="V122" t="s">
        <v>131</v>
      </c>
      <c r="W122" t="s">
        <v>51</v>
      </c>
      <c r="X122" t="s">
        <v>45</v>
      </c>
      <c r="Y122" s="1">
        <v>29330</v>
      </c>
      <c r="Z122">
        <v>1</v>
      </c>
      <c r="AA122" t="s">
        <v>355</v>
      </c>
      <c r="AB122" s="40" t="s">
        <v>1794</v>
      </c>
    </row>
    <row r="123" spans="1:28" x14ac:dyDescent="0.25">
      <c r="A123">
        <v>99910122</v>
      </c>
      <c r="B123" t="s">
        <v>56</v>
      </c>
      <c r="C123" t="s">
        <v>79</v>
      </c>
      <c r="D123" t="s">
        <v>80</v>
      </c>
      <c r="G123" t="s">
        <v>35</v>
      </c>
      <c r="H123">
        <v>1</v>
      </c>
      <c r="K123" t="s">
        <v>1426</v>
      </c>
      <c r="L123" t="s">
        <v>1427</v>
      </c>
      <c r="M123" t="s">
        <v>1270</v>
      </c>
      <c r="N123">
        <v>4</v>
      </c>
      <c r="P123" t="s">
        <v>41</v>
      </c>
      <c r="Q123" t="s">
        <v>75</v>
      </c>
      <c r="R123" t="str">
        <f>"7192004"</f>
        <v>7192004</v>
      </c>
      <c r="S123" t="s">
        <v>1428</v>
      </c>
      <c r="T123" t="s">
        <v>1426</v>
      </c>
      <c r="U123" t="s">
        <v>1427</v>
      </c>
      <c r="V123" t="s">
        <v>1270</v>
      </c>
      <c r="W123" t="s">
        <v>51</v>
      </c>
      <c r="X123" t="s">
        <v>45</v>
      </c>
      <c r="Y123" s="1">
        <v>29128</v>
      </c>
      <c r="Z123">
        <v>1</v>
      </c>
      <c r="AA123" t="s">
        <v>1427</v>
      </c>
      <c r="AB123" s="40" t="s">
        <v>1794</v>
      </c>
    </row>
    <row r="124" spans="1:28" x14ac:dyDescent="0.25">
      <c r="A124">
        <v>99910123</v>
      </c>
      <c r="B124" t="s">
        <v>32</v>
      </c>
      <c r="C124" t="s">
        <v>139</v>
      </c>
      <c r="D124" t="s">
        <v>140</v>
      </c>
      <c r="G124" t="s">
        <v>35</v>
      </c>
      <c r="H124">
        <v>1</v>
      </c>
      <c r="I124" s="1">
        <v>43362</v>
      </c>
      <c r="J124" s="1">
        <v>43344</v>
      </c>
      <c r="K124" t="s">
        <v>1341</v>
      </c>
      <c r="L124" t="s">
        <v>1342</v>
      </c>
      <c r="M124" t="s">
        <v>1270</v>
      </c>
      <c r="N124">
        <v>4</v>
      </c>
      <c r="O124" s="1">
        <v>43344</v>
      </c>
      <c r="P124" t="s">
        <v>41</v>
      </c>
      <c r="Q124" t="s">
        <v>75</v>
      </c>
      <c r="R124" t="str">
        <f>"7191034"</f>
        <v>7191034</v>
      </c>
      <c r="S124" t="s">
        <v>1343</v>
      </c>
      <c r="T124" t="s">
        <v>1341</v>
      </c>
      <c r="U124" t="s">
        <v>1342</v>
      </c>
      <c r="V124" t="s">
        <v>1270</v>
      </c>
      <c r="W124" t="s">
        <v>44</v>
      </c>
      <c r="X124" t="s">
        <v>45</v>
      </c>
      <c r="Y124" s="1">
        <v>29068</v>
      </c>
      <c r="Z124">
        <v>1</v>
      </c>
      <c r="AA124" t="s">
        <v>1342</v>
      </c>
      <c r="AB124" s="40" t="s">
        <v>1794</v>
      </c>
    </row>
    <row r="125" spans="1:28" x14ac:dyDescent="0.25">
      <c r="A125">
        <v>99910124</v>
      </c>
      <c r="B125" t="s">
        <v>32</v>
      </c>
      <c r="C125" t="s">
        <v>188</v>
      </c>
      <c r="D125" t="s">
        <v>189</v>
      </c>
      <c r="G125" t="s">
        <v>35</v>
      </c>
      <c r="H125">
        <v>1</v>
      </c>
      <c r="I125">
        <v>18264</v>
      </c>
      <c r="J125" s="1">
        <v>43344</v>
      </c>
      <c r="K125" t="s">
        <v>223</v>
      </c>
      <c r="L125" t="s">
        <v>224</v>
      </c>
      <c r="M125" t="s">
        <v>131</v>
      </c>
      <c r="N125">
        <v>4</v>
      </c>
      <c r="O125" s="1">
        <v>43344</v>
      </c>
      <c r="P125" t="s">
        <v>41</v>
      </c>
      <c r="Q125" t="s">
        <v>49</v>
      </c>
      <c r="R125" t="str">
        <f>"0560008"</f>
        <v>0560008</v>
      </c>
      <c r="S125" t="s">
        <v>263</v>
      </c>
      <c r="T125" t="s">
        <v>223</v>
      </c>
      <c r="U125" t="s">
        <v>224</v>
      </c>
      <c r="V125" t="s">
        <v>131</v>
      </c>
      <c r="W125" t="s">
        <v>44</v>
      </c>
      <c r="X125" t="s">
        <v>45</v>
      </c>
      <c r="Y125" s="1">
        <v>29047</v>
      </c>
      <c r="Z125">
        <v>2</v>
      </c>
      <c r="AA125" t="s">
        <v>224</v>
      </c>
      <c r="AB125" s="40" t="s">
        <v>1794</v>
      </c>
    </row>
    <row r="126" spans="1:28" x14ac:dyDescent="0.25">
      <c r="A126">
        <v>99910125</v>
      </c>
      <c r="B126" t="s">
        <v>32</v>
      </c>
      <c r="C126" t="s">
        <v>71</v>
      </c>
      <c r="D126" t="s">
        <v>72</v>
      </c>
      <c r="G126" t="s">
        <v>48</v>
      </c>
      <c r="H126">
        <v>1</v>
      </c>
      <c r="K126" t="s">
        <v>345</v>
      </c>
      <c r="L126" t="s">
        <v>346</v>
      </c>
      <c r="M126" t="s">
        <v>131</v>
      </c>
      <c r="N126">
        <v>4</v>
      </c>
      <c r="P126" t="s">
        <v>41</v>
      </c>
      <c r="Q126" t="s">
        <v>49</v>
      </c>
      <c r="R126" t="str">
        <f>"0581605"</f>
        <v>0581605</v>
      </c>
      <c r="S126" t="s">
        <v>366</v>
      </c>
      <c r="T126" t="s">
        <v>345</v>
      </c>
      <c r="U126" t="s">
        <v>346</v>
      </c>
      <c r="V126" t="s">
        <v>131</v>
      </c>
      <c r="W126" t="s">
        <v>51</v>
      </c>
      <c r="X126" t="s">
        <v>45</v>
      </c>
      <c r="Y126" s="1">
        <v>29010</v>
      </c>
      <c r="Z126">
        <v>2</v>
      </c>
      <c r="AA126" t="s">
        <v>346</v>
      </c>
      <c r="AB126" s="40" t="s">
        <v>1794</v>
      </c>
    </row>
    <row r="127" spans="1:28" x14ac:dyDescent="0.25">
      <c r="A127">
        <v>99910126</v>
      </c>
      <c r="B127" t="s">
        <v>32</v>
      </c>
      <c r="C127" t="s">
        <v>46</v>
      </c>
      <c r="D127" t="s">
        <v>47</v>
      </c>
      <c r="G127" t="s">
        <v>48</v>
      </c>
      <c r="H127">
        <v>1</v>
      </c>
      <c r="K127" t="s">
        <v>223</v>
      </c>
      <c r="L127" t="s">
        <v>224</v>
      </c>
      <c r="M127" t="s">
        <v>131</v>
      </c>
      <c r="N127">
        <v>4</v>
      </c>
      <c r="P127" t="s">
        <v>41</v>
      </c>
      <c r="Q127" t="s">
        <v>42</v>
      </c>
      <c r="R127" t="str">
        <f>"0561007"</f>
        <v>0561007</v>
      </c>
      <c r="S127" t="s">
        <v>262</v>
      </c>
      <c r="T127" t="s">
        <v>223</v>
      </c>
      <c r="U127" t="s">
        <v>224</v>
      </c>
      <c r="V127" t="s">
        <v>131</v>
      </c>
      <c r="W127" t="s">
        <v>51</v>
      </c>
      <c r="X127" t="s">
        <v>45</v>
      </c>
      <c r="Y127" s="1">
        <v>28871</v>
      </c>
      <c r="Z127">
        <v>2</v>
      </c>
      <c r="AA127" t="s">
        <v>224</v>
      </c>
      <c r="AB127" s="40" t="s">
        <v>1794</v>
      </c>
    </row>
    <row r="128" spans="1:28" x14ac:dyDescent="0.25">
      <c r="A128">
        <v>99910127</v>
      </c>
      <c r="B128" t="s">
        <v>32</v>
      </c>
      <c r="C128" t="s">
        <v>139</v>
      </c>
      <c r="D128" t="s">
        <v>140</v>
      </c>
      <c r="G128" t="s">
        <v>35</v>
      </c>
      <c r="H128">
        <v>1</v>
      </c>
      <c r="K128" t="s">
        <v>268</v>
      </c>
      <c r="L128" t="s">
        <v>269</v>
      </c>
      <c r="M128" t="s">
        <v>131</v>
      </c>
      <c r="N128">
        <v>4</v>
      </c>
      <c r="P128" t="s">
        <v>41</v>
      </c>
      <c r="Q128" t="s">
        <v>75</v>
      </c>
      <c r="R128" t="str">
        <f>"7052000"</f>
        <v>7052000</v>
      </c>
      <c r="S128" t="s">
        <v>656</v>
      </c>
      <c r="T128" t="s">
        <v>268</v>
      </c>
      <c r="U128" t="s">
        <v>269</v>
      </c>
      <c r="V128" t="s">
        <v>131</v>
      </c>
      <c r="W128" t="s">
        <v>51</v>
      </c>
      <c r="X128" t="s">
        <v>45</v>
      </c>
      <c r="Y128" s="1">
        <v>28558</v>
      </c>
      <c r="Z128">
        <v>1</v>
      </c>
      <c r="AA128" t="s">
        <v>269</v>
      </c>
      <c r="AB128" s="40" t="s">
        <v>1794</v>
      </c>
    </row>
    <row r="129" spans="1:28" x14ac:dyDescent="0.25">
      <c r="A129">
        <v>99910128</v>
      </c>
      <c r="B129" t="s">
        <v>56</v>
      </c>
      <c r="C129" t="s">
        <v>79</v>
      </c>
      <c r="D129" t="s">
        <v>80</v>
      </c>
      <c r="G129" t="s">
        <v>48</v>
      </c>
      <c r="H129">
        <v>1</v>
      </c>
      <c r="K129" t="s">
        <v>431</v>
      </c>
      <c r="L129" t="s">
        <v>196</v>
      </c>
      <c r="M129" t="s">
        <v>131</v>
      </c>
      <c r="N129">
        <v>4</v>
      </c>
      <c r="P129" t="s">
        <v>41</v>
      </c>
      <c r="Q129" t="s">
        <v>75</v>
      </c>
      <c r="R129" t="str">
        <f>"7521012"</f>
        <v>7521012</v>
      </c>
      <c r="S129" t="s">
        <v>432</v>
      </c>
      <c r="T129" t="s">
        <v>431</v>
      </c>
      <c r="U129" t="s">
        <v>196</v>
      </c>
      <c r="V129" t="s">
        <v>131</v>
      </c>
      <c r="W129" t="s">
        <v>51</v>
      </c>
      <c r="X129" t="s">
        <v>45</v>
      </c>
      <c r="Y129" s="1">
        <v>28138</v>
      </c>
      <c r="Z129">
        <v>1</v>
      </c>
      <c r="AA129" t="s">
        <v>196</v>
      </c>
      <c r="AB129" s="40" t="s">
        <v>1794</v>
      </c>
    </row>
    <row r="130" spans="1:28" x14ac:dyDescent="0.25">
      <c r="A130">
        <v>99910129</v>
      </c>
      <c r="B130" t="s">
        <v>32</v>
      </c>
      <c r="C130" t="s">
        <v>71</v>
      </c>
      <c r="D130" t="s">
        <v>72</v>
      </c>
      <c r="G130" t="s">
        <v>35</v>
      </c>
      <c r="H130">
        <v>1</v>
      </c>
      <c r="I130">
        <v>10851</v>
      </c>
      <c r="J130" s="1">
        <v>43350</v>
      </c>
      <c r="K130" t="s">
        <v>1426</v>
      </c>
      <c r="L130" t="s">
        <v>1427</v>
      </c>
      <c r="M130" t="s">
        <v>1270</v>
      </c>
      <c r="N130">
        <v>4</v>
      </c>
      <c r="O130" s="1">
        <v>43350</v>
      </c>
      <c r="P130" t="s">
        <v>41</v>
      </c>
      <c r="Q130" t="s">
        <v>75</v>
      </c>
      <c r="R130" t="str">
        <f>"7192004"</f>
        <v>7192004</v>
      </c>
      <c r="S130" t="s">
        <v>1428</v>
      </c>
      <c r="T130" t="s">
        <v>1426</v>
      </c>
      <c r="U130" t="s">
        <v>1427</v>
      </c>
      <c r="V130" t="s">
        <v>1270</v>
      </c>
      <c r="W130" t="s">
        <v>44</v>
      </c>
      <c r="X130" t="s">
        <v>45</v>
      </c>
      <c r="Y130" s="1">
        <v>27929</v>
      </c>
      <c r="Z130">
        <v>1</v>
      </c>
      <c r="AA130" t="s">
        <v>1427</v>
      </c>
      <c r="AB130" s="40" t="s">
        <v>1794</v>
      </c>
    </row>
    <row r="131" spans="1:28" x14ac:dyDescent="0.25">
      <c r="A131">
        <v>99910130</v>
      </c>
      <c r="B131" t="s">
        <v>32</v>
      </c>
      <c r="C131" t="s">
        <v>90</v>
      </c>
      <c r="D131" t="s">
        <v>91</v>
      </c>
      <c r="G131" t="s">
        <v>48</v>
      </c>
      <c r="H131">
        <v>1</v>
      </c>
      <c r="K131" t="s">
        <v>268</v>
      </c>
      <c r="L131" t="s">
        <v>269</v>
      </c>
      <c r="M131" t="s">
        <v>131</v>
      </c>
      <c r="N131">
        <v>4</v>
      </c>
      <c r="P131" t="s">
        <v>41</v>
      </c>
      <c r="Q131" t="s">
        <v>95</v>
      </c>
      <c r="R131" t="str">
        <f>"7052021"</f>
        <v>7052021</v>
      </c>
      <c r="S131" t="s">
        <v>709</v>
      </c>
      <c r="T131" t="s">
        <v>268</v>
      </c>
      <c r="U131" t="s">
        <v>269</v>
      </c>
      <c r="V131" t="s">
        <v>131</v>
      </c>
      <c r="W131" t="s">
        <v>165</v>
      </c>
      <c r="X131" t="s">
        <v>45</v>
      </c>
      <c r="Y131" s="1">
        <v>27701</v>
      </c>
      <c r="Z131">
        <v>1</v>
      </c>
      <c r="AA131" t="s">
        <v>269</v>
      </c>
      <c r="AB131" s="40" t="s">
        <v>1794</v>
      </c>
    </row>
    <row r="132" spans="1:28" x14ac:dyDescent="0.25">
      <c r="A132">
        <v>99910131</v>
      </c>
      <c r="B132" t="s">
        <v>32</v>
      </c>
      <c r="C132" t="s">
        <v>141</v>
      </c>
      <c r="D132" t="s">
        <v>142</v>
      </c>
      <c r="G132" t="s">
        <v>35</v>
      </c>
      <c r="H132">
        <v>1</v>
      </c>
      <c r="I132">
        <v>3215</v>
      </c>
      <c r="J132" s="1">
        <v>43344</v>
      </c>
      <c r="K132" t="s">
        <v>1245</v>
      </c>
      <c r="L132" t="s">
        <v>1246</v>
      </c>
      <c r="M132" t="s">
        <v>1130</v>
      </c>
      <c r="N132">
        <v>4</v>
      </c>
      <c r="O132" s="1">
        <v>43344</v>
      </c>
      <c r="P132" t="s">
        <v>41</v>
      </c>
      <c r="Q132" t="s">
        <v>75</v>
      </c>
      <c r="R132" t="str">
        <f>"7451000"</f>
        <v>7451000</v>
      </c>
      <c r="S132" t="s">
        <v>1250</v>
      </c>
      <c r="T132" t="s">
        <v>1245</v>
      </c>
      <c r="U132" t="s">
        <v>1246</v>
      </c>
      <c r="V132" t="s">
        <v>1130</v>
      </c>
      <c r="W132" t="s">
        <v>51</v>
      </c>
      <c r="X132" t="s">
        <v>45</v>
      </c>
      <c r="Y132" s="1">
        <v>27639</v>
      </c>
      <c r="Z132">
        <v>1</v>
      </c>
      <c r="AA132" t="s">
        <v>1246</v>
      </c>
      <c r="AB132" s="40" t="s">
        <v>1794</v>
      </c>
    </row>
    <row r="133" spans="1:28" x14ac:dyDescent="0.25">
      <c r="A133">
        <v>99910132</v>
      </c>
      <c r="B133" t="s">
        <v>56</v>
      </c>
      <c r="C133" t="s">
        <v>71</v>
      </c>
      <c r="D133" t="s">
        <v>72</v>
      </c>
      <c r="G133" t="s">
        <v>35</v>
      </c>
      <c r="H133">
        <v>1</v>
      </c>
      <c r="I133" t="s">
        <v>1089</v>
      </c>
      <c r="J133" s="1">
        <v>43344</v>
      </c>
      <c r="K133" t="s">
        <v>1081</v>
      </c>
      <c r="L133" t="s">
        <v>1082</v>
      </c>
      <c r="M133" t="s">
        <v>1053</v>
      </c>
      <c r="N133">
        <v>4</v>
      </c>
      <c r="O133" s="1">
        <v>43344</v>
      </c>
      <c r="P133" t="s">
        <v>41</v>
      </c>
      <c r="Q133" t="s">
        <v>75</v>
      </c>
      <c r="R133" t="str">
        <f>"7201000"</f>
        <v>7201000</v>
      </c>
      <c r="S133" t="s">
        <v>1088</v>
      </c>
      <c r="T133" t="s">
        <v>1081</v>
      </c>
      <c r="U133" t="s">
        <v>1082</v>
      </c>
      <c r="V133" t="s">
        <v>1053</v>
      </c>
      <c r="W133" t="s">
        <v>51</v>
      </c>
      <c r="X133" t="s">
        <v>45</v>
      </c>
      <c r="Y133" s="1">
        <v>27395</v>
      </c>
      <c r="Z133">
        <v>1</v>
      </c>
      <c r="AA133" t="s">
        <v>1082</v>
      </c>
      <c r="AB133" s="40" t="s">
        <v>1794</v>
      </c>
    </row>
    <row r="134" spans="1:28" x14ac:dyDescent="0.25">
      <c r="A134">
        <v>99910133</v>
      </c>
      <c r="B134" t="s">
        <v>32</v>
      </c>
      <c r="C134" t="s">
        <v>71</v>
      </c>
      <c r="D134" t="s">
        <v>72</v>
      </c>
      <c r="G134" t="s">
        <v>35</v>
      </c>
      <c r="H134">
        <v>1</v>
      </c>
      <c r="K134" t="s">
        <v>157</v>
      </c>
      <c r="L134" t="s">
        <v>158</v>
      </c>
      <c r="M134" t="s">
        <v>131</v>
      </c>
      <c r="N134">
        <v>4</v>
      </c>
      <c r="P134" t="s">
        <v>41</v>
      </c>
      <c r="Q134" t="s">
        <v>49</v>
      </c>
      <c r="R134" t="str">
        <f>"0560011"</f>
        <v>0560011</v>
      </c>
      <c r="S134" t="s">
        <v>185</v>
      </c>
      <c r="T134" t="s">
        <v>157</v>
      </c>
      <c r="U134" t="s">
        <v>158</v>
      </c>
      <c r="V134" t="s">
        <v>131</v>
      </c>
      <c r="W134" t="s">
        <v>51</v>
      </c>
      <c r="X134" t="s">
        <v>45</v>
      </c>
      <c r="Y134" s="1">
        <v>27189</v>
      </c>
      <c r="Z134">
        <v>2</v>
      </c>
      <c r="AA134" t="s">
        <v>158</v>
      </c>
      <c r="AB134" s="40" t="s">
        <v>1794</v>
      </c>
    </row>
    <row r="135" spans="1:28" x14ac:dyDescent="0.25">
      <c r="A135">
        <v>99910134</v>
      </c>
      <c r="B135" t="s">
        <v>32</v>
      </c>
      <c r="C135" t="s">
        <v>117</v>
      </c>
      <c r="D135" t="s">
        <v>118</v>
      </c>
      <c r="G135" t="s">
        <v>35</v>
      </c>
      <c r="H135">
        <v>1</v>
      </c>
      <c r="K135" t="s">
        <v>157</v>
      </c>
      <c r="L135" t="s">
        <v>158</v>
      </c>
      <c r="M135" t="s">
        <v>131</v>
      </c>
      <c r="N135">
        <v>4</v>
      </c>
      <c r="P135" t="s">
        <v>41</v>
      </c>
      <c r="Q135" t="s">
        <v>49</v>
      </c>
      <c r="R135" t="str">
        <f>"0580505"</f>
        <v>0580505</v>
      </c>
      <c r="S135" t="s">
        <v>168</v>
      </c>
      <c r="T135" t="s">
        <v>157</v>
      </c>
      <c r="U135" t="s">
        <v>158</v>
      </c>
      <c r="V135" t="s">
        <v>131</v>
      </c>
      <c r="W135" t="s">
        <v>51</v>
      </c>
      <c r="X135" t="s">
        <v>45</v>
      </c>
      <c r="Y135" s="1">
        <v>27030</v>
      </c>
      <c r="Z135">
        <v>2</v>
      </c>
      <c r="AA135" t="s">
        <v>158</v>
      </c>
      <c r="AB135" s="40" t="s">
        <v>1794</v>
      </c>
    </row>
    <row r="136" spans="1:28" x14ac:dyDescent="0.25">
      <c r="A136">
        <v>99910135</v>
      </c>
      <c r="B136" t="s">
        <v>32</v>
      </c>
      <c r="C136" t="s">
        <v>139</v>
      </c>
      <c r="D136" t="s">
        <v>140</v>
      </c>
      <c r="G136" t="s">
        <v>35</v>
      </c>
      <c r="H136">
        <v>1</v>
      </c>
      <c r="I136">
        <v>1838</v>
      </c>
      <c r="J136" s="1">
        <v>43344</v>
      </c>
      <c r="K136" t="s">
        <v>354</v>
      </c>
      <c r="L136" t="s">
        <v>355</v>
      </c>
      <c r="M136" t="s">
        <v>131</v>
      </c>
      <c r="N136">
        <v>4</v>
      </c>
      <c r="O136" s="1">
        <v>43344</v>
      </c>
      <c r="P136" t="s">
        <v>41</v>
      </c>
      <c r="Q136" t="s">
        <v>75</v>
      </c>
      <c r="R136" t="str">
        <f>"7054008"</f>
        <v>7054008</v>
      </c>
      <c r="S136" t="s">
        <v>813</v>
      </c>
      <c r="T136" t="s">
        <v>354</v>
      </c>
      <c r="U136" t="s">
        <v>355</v>
      </c>
      <c r="V136" t="s">
        <v>131</v>
      </c>
      <c r="W136" t="s">
        <v>51</v>
      </c>
      <c r="X136" t="s">
        <v>45</v>
      </c>
      <c r="Y136" s="1">
        <v>27030</v>
      </c>
      <c r="Z136">
        <v>1</v>
      </c>
      <c r="AA136" t="s">
        <v>355</v>
      </c>
      <c r="AB136" s="40" t="s">
        <v>1794</v>
      </c>
    </row>
    <row r="137" spans="1:28" x14ac:dyDescent="0.25">
      <c r="A137">
        <v>99910136</v>
      </c>
      <c r="B137" t="s">
        <v>32</v>
      </c>
      <c r="C137" t="s">
        <v>139</v>
      </c>
      <c r="D137" t="s">
        <v>140</v>
      </c>
      <c r="G137" t="s">
        <v>35</v>
      </c>
      <c r="H137">
        <v>1</v>
      </c>
      <c r="I137">
        <v>14662</v>
      </c>
      <c r="J137" s="1">
        <v>43348</v>
      </c>
      <c r="K137" t="s">
        <v>1306</v>
      </c>
      <c r="L137" t="s">
        <v>1307</v>
      </c>
      <c r="M137" t="s">
        <v>1270</v>
      </c>
      <c r="N137">
        <v>4</v>
      </c>
      <c r="O137" s="1">
        <v>43348</v>
      </c>
      <c r="P137" t="s">
        <v>41</v>
      </c>
      <c r="Q137" t="s">
        <v>49</v>
      </c>
      <c r="R137" t="str">
        <f>"1991913"</f>
        <v>1991913</v>
      </c>
      <c r="S137" t="s">
        <v>1310</v>
      </c>
      <c r="T137" t="s">
        <v>1306</v>
      </c>
      <c r="U137" t="s">
        <v>1307</v>
      </c>
      <c r="V137" t="s">
        <v>1270</v>
      </c>
      <c r="W137" t="s">
        <v>44</v>
      </c>
      <c r="X137" t="s">
        <v>45</v>
      </c>
      <c r="Y137" s="1">
        <v>26475</v>
      </c>
      <c r="Z137">
        <v>2</v>
      </c>
      <c r="AA137" t="s">
        <v>1307</v>
      </c>
      <c r="AB137" s="40" t="s">
        <v>1794</v>
      </c>
    </row>
    <row r="138" spans="1:28" x14ac:dyDescent="0.25">
      <c r="A138">
        <v>99910137</v>
      </c>
      <c r="B138" t="s">
        <v>32</v>
      </c>
      <c r="C138" t="s">
        <v>290</v>
      </c>
      <c r="D138" t="s">
        <v>291</v>
      </c>
      <c r="G138" t="s">
        <v>35</v>
      </c>
      <c r="H138">
        <v>1</v>
      </c>
      <c r="K138" t="s">
        <v>1626</v>
      </c>
      <c r="L138" t="s">
        <v>1627</v>
      </c>
      <c r="M138" t="s">
        <v>1592</v>
      </c>
      <c r="N138">
        <v>4</v>
      </c>
      <c r="P138" t="s">
        <v>41</v>
      </c>
      <c r="Q138" t="s">
        <v>49</v>
      </c>
      <c r="R138" t="str">
        <f>"3681015"</f>
        <v>3681015</v>
      </c>
      <c r="S138" t="s">
        <v>1629</v>
      </c>
      <c r="T138" t="s">
        <v>1626</v>
      </c>
      <c r="U138" t="s">
        <v>1627</v>
      </c>
      <c r="V138" t="s">
        <v>1592</v>
      </c>
      <c r="W138" t="s">
        <v>51</v>
      </c>
      <c r="X138" t="s">
        <v>45</v>
      </c>
      <c r="Y138" s="1">
        <v>26402</v>
      </c>
      <c r="Z138">
        <v>2</v>
      </c>
      <c r="AA138" t="s">
        <v>1627</v>
      </c>
      <c r="AB138" s="40" t="s">
        <v>1794</v>
      </c>
    </row>
    <row r="139" spans="1:28" x14ac:dyDescent="0.25">
      <c r="A139">
        <v>99910138</v>
      </c>
      <c r="B139" t="s">
        <v>32</v>
      </c>
      <c r="C139" t="s">
        <v>33</v>
      </c>
      <c r="D139" t="s">
        <v>34</v>
      </c>
      <c r="G139" t="s">
        <v>48</v>
      </c>
      <c r="H139">
        <v>1</v>
      </c>
      <c r="K139" t="s">
        <v>300</v>
      </c>
      <c r="L139" t="s">
        <v>301</v>
      </c>
      <c r="M139" t="s">
        <v>131</v>
      </c>
      <c r="N139">
        <v>4</v>
      </c>
      <c r="P139" t="s">
        <v>41</v>
      </c>
      <c r="Q139" t="s">
        <v>42</v>
      </c>
      <c r="R139" t="str">
        <f>"0561001"</f>
        <v>0561001</v>
      </c>
      <c r="S139" t="s">
        <v>308</v>
      </c>
      <c r="T139" t="s">
        <v>300</v>
      </c>
      <c r="U139" t="s">
        <v>301</v>
      </c>
      <c r="V139" t="s">
        <v>131</v>
      </c>
      <c r="W139" t="s">
        <v>51</v>
      </c>
      <c r="X139" t="s">
        <v>45</v>
      </c>
      <c r="Y139" s="1">
        <v>26206</v>
      </c>
      <c r="Z139">
        <v>2</v>
      </c>
      <c r="AA139" t="s">
        <v>301</v>
      </c>
      <c r="AB139" s="40" t="s">
        <v>1794</v>
      </c>
    </row>
    <row r="140" spans="1:28" x14ac:dyDescent="0.25">
      <c r="A140">
        <v>99910139</v>
      </c>
      <c r="B140" t="s">
        <v>32</v>
      </c>
      <c r="C140" t="s">
        <v>71</v>
      </c>
      <c r="D140" t="s">
        <v>72</v>
      </c>
      <c r="G140" t="s">
        <v>35</v>
      </c>
      <c r="H140">
        <v>1</v>
      </c>
      <c r="K140" t="s">
        <v>345</v>
      </c>
      <c r="L140" t="s">
        <v>346</v>
      </c>
      <c r="M140" t="s">
        <v>131</v>
      </c>
      <c r="N140">
        <v>4</v>
      </c>
      <c r="P140" t="s">
        <v>41</v>
      </c>
      <c r="Q140" t="s">
        <v>49</v>
      </c>
      <c r="R140" t="str">
        <f>"0581660"</f>
        <v>0581660</v>
      </c>
      <c r="S140" t="s">
        <v>359</v>
      </c>
      <c r="T140" t="s">
        <v>345</v>
      </c>
      <c r="U140" t="s">
        <v>346</v>
      </c>
      <c r="V140" t="s">
        <v>131</v>
      </c>
      <c r="W140" t="s">
        <v>51</v>
      </c>
      <c r="X140" t="s">
        <v>45</v>
      </c>
      <c r="Y140" s="1">
        <v>25681</v>
      </c>
      <c r="Z140">
        <v>2</v>
      </c>
      <c r="AA140" t="s">
        <v>346</v>
      </c>
      <c r="AB140" s="40" t="s">
        <v>1794</v>
      </c>
    </row>
    <row r="141" spans="1:28" x14ac:dyDescent="0.25">
      <c r="A141">
        <v>99910140</v>
      </c>
      <c r="B141" t="s">
        <v>56</v>
      </c>
      <c r="C141" t="s">
        <v>52</v>
      </c>
      <c r="D141" t="s">
        <v>53</v>
      </c>
      <c r="G141" t="s">
        <v>48</v>
      </c>
      <c r="H141">
        <v>1</v>
      </c>
      <c r="K141" t="s">
        <v>223</v>
      </c>
      <c r="L141" t="s">
        <v>224</v>
      </c>
      <c r="M141" t="s">
        <v>131</v>
      </c>
      <c r="N141">
        <v>4</v>
      </c>
      <c r="P141" t="s">
        <v>41</v>
      </c>
      <c r="Q141" t="s">
        <v>42</v>
      </c>
      <c r="R141" t="str">
        <f>"0590910"</f>
        <v>0590910</v>
      </c>
      <c r="S141" t="s">
        <v>227</v>
      </c>
      <c r="T141" t="s">
        <v>223</v>
      </c>
      <c r="U141" t="s">
        <v>224</v>
      </c>
      <c r="V141" t="s">
        <v>131</v>
      </c>
      <c r="W141" t="s">
        <v>51</v>
      </c>
      <c r="X141" t="s">
        <v>45</v>
      </c>
      <c r="Y141" s="1">
        <v>25541</v>
      </c>
      <c r="Z141">
        <v>2</v>
      </c>
      <c r="AA141" t="s">
        <v>224</v>
      </c>
      <c r="AB141" s="40" t="s">
        <v>1794</v>
      </c>
    </row>
    <row r="142" spans="1:28" x14ac:dyDescent="0.25">
      <c r="A142">
        <v>99910141</v>
      </c>
      <c r="B142" t="s">
        <v>56</v>
      </c>
      <c r="C142" t="s">
        <v>52</v>
      </c>
      <c r="D142" t="s">
        <v>53</v>
      </c>
      <c r="G142" t="s">
        <v>48</v>
      </c>
      <c r="H142">
        <v>1</v>
      </c>
      <c r="K142" t="s">
        <v>223</v>
      </c>
      <c r="L142" t="s">
        <v>224</v>
      </c>
      <c r="M142" t="s">
        <v>131</v>
      </c>
      <c r="N142">
        <v>4</v>
      </c>
      <c r="P142" t="s">
        <v>41</v>
      </c>
      <c r="Q142" t="s">
        <v>42</v>
      </c>
      <c r="R142" t="str">
        <f>"0580206"</f>
        <v>0580206</v>
      </c>
      <c r="S142" t="s">
        <v>237</v>
      </c>
      <c r="T142" t="s">
        <v>223</v>
      </c>
      <c r="U142" t="s">
        <v>224</v>
      </c>
      <c r="V142" t="s">
        <v>131</v>
      </c>
      <c r="W142" t="s">
        <v>51</v>
      </c>
      <c r="X142" t="s">
        <v>45</v>
      </c>
      <c r="Y142" s="1">
        <v>25534</v>
      </c>
      <c r="Z142">
        <v>2</v>
      </c>
      <c r="AA142" t="s">
        <v>224</v>
      </c>
      <c r="AB142" s="40" t="s">
        <v>1794</v>
      </c>
    </row>
    <row r="143" spans="1:28" x14ac:dyDescent="0.25">
      <c r="A143">
        <v>99910142</v>
      </c>
      <c r="B143" t="s">
        <v>32</v>
      </c>
      <c r="C143" t="s">
        <v>46</v>
      </c>
      <c r="D143" t="s">
        <v>47</v>
      </c>
      <c r="G143" t="s">
        <v>48</v>
      </c>
      <c r="H143">
        <v>1</v>
      </c>
      <c r="K143" t="s">
        <v>223</v>
      </c>
      <c r="L143" t="s">
        <v>224</v>
      </c>
      <c r="M143" t="s">
        <v>131</v>
      </c>
      <c r="N143">
        <v>4</v>
      </c>
      <c r="P143" t="s">
        <v>41</v>
      </c>
      <c r="Q143" t="s">
        <v>49</v>
      </c>
      <c r="R143" t="str">
        <f>"0581200"</f>
        <v>0581200</v>
      </c>
      <c r="S143" t="s">
        <v>238</v>
      </c>
      <c r="T143" t="s">
        <v>223</v>
      </c>
      <c r="U143" t="s">
        <v>224</v>
      </c>
      <c r="V143" t="s">
        <v>131</v>
      </c>
      <c r="W143" t="s">
        <v>51</v>
      </c>
      <c r="X143" t="s">
        <v>45</v>
      </c>
      <c r="Y143" s="1">
        <v>25191</v>
      </c>
      <c r="Z143">
        <v>2</v>
      </c>
      <c r="AA143" t="s">
        <v>224</v>
      </c>
      <c r="AB143" s="40" t="s">
        <v>1794</v>
      </c>
    </row>
    <row r="144" spans="1:28" x14ac:dyDescent="0.25">
      <c r="A144">
        <v>99910143</v>
      </c>
      <c r="B144" t="s">
        <v>32</v>
      </c>
      <c r="C144" t="s">
        <v>46</v>
      </c>
      <c r="D144" t="s">
        <v>47</v>
      </c>
      <c r="G144" t="s">
        <v>48</v>
      </c>
      <c r="H144">
        <v>1</v>
      </c>
      <c r="K144" t="s">
        <v>223</v>
      </c>
      <c r="L144" t="s">
        <v>224</v>
      </c>
      <c r="M144" t="s">
        <v>131</v>
      </c>
      <c r="N144">
        <v>4</v>
      </c>
      <c r="P144" t="s">
        <v>41</v>
      </c>
      <c r="Q144" t="s">
        <v>42</v>
      </c>
      <c r="R144" t="str">
        <f>"0561007"</f>
        <v>0561007</v>
      </c>
      <c r="S144" t="s">
        <v>262</v>
      </c>
      <c r="T144" t="s">
        <v>223</v>
      </c>
      <c r="U144" t="s">
        <v>224</v>
      </c>
      <c r="V144" t="s">
        <v>131</v>
      </c>
      <c r="W144" t="s">
        <v>51</v>
      </c>
      <c r="X144" t="s">
        <v>45</v>
      </c>
      <c r="Y144" s="1">
        <v>25154</v>
      </c>
      <c r="Z144">
        <v>2</v>
      </c>
      <c r="AA144" t="s">
        <v>224</v>
      </c>
      <c r="AB144" s="40" t="s">
        <v>1794</v>
      </c>
    </row>
    <row r="145" spans="1:28" x14ac:dyDescent="0.25">
      <c r="A145">
        <v>99910144</v>
      </c>
      <c r="B145" t="s">
        <v>32</v>
      </c>
      <c r="C145" t="s">
        <v>139</v>
      </c>
      <c r="D145" t="s">
        <v>140</v>
      </c>
      <c r="G145" t="s">
        <v>48</v>
      </c>
      <c r="H145">
        <v>1</v>
      </c>
      <c r="K145" t="s">
        <v>1502</v>
      </c>
      <c r="L145" t="s">
        <v>1503</v>
      </c>
      <c r="M145" t="s">
        <v>670</v>
      </c>
      <c r="N145">
        <v>4</v>
      </c>
      <c r="P145" t="s">
        <v>41</v>
      </c>
      <c r="Q145" t="s">
        <v>75</v>
      </c>
      <c r="R145" t="str">
        <f>"7171002"</f>
        <v>7171002</v>
      </c>
      <c r="S145" t="s">
        <v>1505</v>
      </c>
      <c r="T145" t="s">
        <v>1502</v>
      </c>
      <c r="U145" t="s">
        <v>1503</v>
      </c>
      <c r="V145" t="s">
        <v>670</v>
      </c>
      <c r="W145" t="s">
        <v>51</v>
      </c>
      <c r="X145" t="s">
        <v>45</v>
      </c>
      <c r="Y145" s="1">
        <v>24921</v>
      </c>
      <c r="Z145">
        <v>1</v>
      </c>
      <c r="AA145" t="s">
        <v>1503</v>
      </c>
      <c r="AB145" s="40" t="s">
        <v>1794</v>
      </c>
    </row>
    <row r="146" spans="1:28" x14ac:dyDescent="0.25">
      <c r="A146">
        <v>99910145</v>
      </c>
      <c r="B146" t="s">
        <v>32</v>
      </c>
      <c r="C146" t="s">
        <v>71</v>
      </c>
      <c r="D146" t="s">
        <v>72</v>
      </c>
      <c r="G146" t="s">
        <v>48</v>
      </c>
      <c r="H146">
        <v>1</v>
      </c>
      <c r="K146" t="s">
        <v>223</v>
      </c>
      <c r="L146" t="s">
        <v>224</v>
      </c>
      <c r="M146" t="s">
        <v>131</v>
      </c>
      <c r="N146">
        <v>4</v>
      </c>
      <c r="P146" t="s">
        <v>41</v>
      </c>
      <c r="Q146" t="s">
        <v>49</v>
      </c>
      <c r="R146" t="str">
        <f>"0581200"</f>
        <v>0581200</v>
      </c>
      <c r="S146" t="s">
        <v>238</v>
      </c>
      <c r="T146" t="s">
        <v>223</v>
      </c>
      <c r="U146" t="s">
        <v>224</v>
      </c>
      <c r="V146" t="s">
        <v>131</v>
      </c>
      <c r="W146" t="s">
        <v>51</v>
      </c>
      <c r="X146" t="s">
        <v>45</v>
      </c>
      <c r="Y146" s="1">
        <v>24885</v>
      </c>
      <c r="Z146">
        <v>2</v>
      </c>
      <c r="AA146" t="s">
        <v>224</v>
      </c>
      <c r="AB146" s="40" t="s">
        <v>1794</v>
      </c>
    </row>
    <row r="147" spans="1:28" x14ac:dyDescent="0.25">
      <c r="A147">
        <v>99910146</v>
      </c>
      <c r="B147" t="s">
        <v>32</v>
      </c>
      <c r="C147" t="s">
        <v>139</v>
      </c>
      <c r="D147" t="s">
        <v>140</v>
      </c>
      <c r="G147" t="s">
        <v>35</v>
      </c>
      <c r="H147">
        <v>1</v>
      </c>
      <c r="K147" t="s">
        <v>268</v>
      </c>
      <c r="L147" t="s">
        <v>269</v>
      </c>
      <c r="M147" t="s">
        <v>131</v>
      </c>
      <c r="N147">
        <v>4</v>
      </c>
      <c r="P147" t="s">
        <v>41</v>
      </c>
      <c r="Q147" t="s">
        <v>75</v>
      </c>
      <c r="R147" t="str">
        <f>"7052010"</f>
        <v>7052010</v>
      </c>
      <c r="S147" t="s">
        <v>615</v>
      </c>
      <c r="T147" t="s">
        <v>268</v>
      </c>
      <c r="U147" t="s">
        <v>269</v>
      </c>
      <c r="V147" t="s">
        <v>131</v>
      </c>
      <c r="W147" t="s">
        <v>51</v>
      </c>
      <c r="X147" t="s">
        <v>45</v>
      </c>
      <c r="Y147" s="1">
        <v>24473</v>
      </c>
      <c r="Z147">
        <v>1</v>
      </c>
      <c r="AA147" t="s">
        <v>269</v>
      </c>
      <c r="AB147" s="40" t="s">
        <v>1794</v>
      </c>
    </row>
    <row r="148" spans="1:28" x14ac:dyDescent="0.25">
      <c r="A148">
        <v>99910147</v>
      </c>
      <c r="B148" t="s">
        <v>32</v>
      </c>
      <c r="C148" t="s">
        <v>141</v>
      </c>
      <c r="D148" t="s">
        <v>142</v>
      </c>
      <c r="G148" t="s">
        <v>48</v>
      </c>
      <c r="H148">
        <v>1</v>
      </c>
      <c r="K148" t="s">
        <v>129</v>
      </c>
      <c r="L148" t="s">
        <v>130</v>
      </c>
      <c r="M148" t="s">
        <v>131</v>
      </c>
      <c r="N148">
        <v>4</v>
      </c>
      <c r="P148" t="s">
        <v>41</v>
      </c>
      <c r="Q148" t="s">
        <v>49</v>
      </c>
      <c r="R148" t="str">
        <f>"0560024"</f>
        <v>0560024</v>
      </c>
      <c r="S148" t="s">
        <v>138</v>
      </c>
      <c r="T148" t="s">
        <v>129</v>
      </c>
      <c r="U148" t="s">
        <v>130</v>
      </c>
      <c r="V148" t="s">
        <v>131</v>
      </c>
      <c r="W148" t="s">
        <v>51</v>
      </c>
      <c r="X148" t="s">
        <v>45</v>
      </c>
      <c r="Y148" s="1">
        <v>24381</v>
      </c>
      <c r="Z148">
        <v>2</v>
      </c>
      <c r="AA148" t="s">
        <v>130</v>
      </c>
      <c r="AB148" s="40" t="s">
        <v>1794</v>
      </c>
    </row>
    <row r="149" spans="1:28" x14ac:dyDescent="0.25">
      <c r="A149">
        <v>99910148</v>
      </c>
      <c r="B149" t="s">
        <v>56</v>
      </c>
      <c r="C149" t="s">
        <v>275</v>
      </c>
      <c r="D149" t="s">
        <v>276</v>
      </c>
      <c r="G149" t="s">
        <v>35</v>
      </c>
      <c r="H149">
        <v>1</v>
      </c>
      <c r="K149" t="s">
        <v>223</v>
      </c>
      <c r="L149" t="s">
        <v>224</v>
      </c>
      <c r="M149" t="s">
        <v>131</v>
      </c>
      <c r="N149">
        <v>4</v>
      </c>
      <c r="P149" t="s">
        <v>41</v>
      </c>
      <c r="Q149" t="s">
        <v>49</v>
      </c>
      <c r="R149" t="str">
        <f>"0560018"</f>
        <v>0560018</v>
      </c>
      <c r="S149" t="s">
        <v>234</v>
      </c>
      <c r="T149" t="s">
        <v>223</v>
      </c>
      <c r="U149" t="s">
        <v>224</v>
      </c>
      <c r="V149" t="s">
        <v>131</v>
      </c>
      <c r="W149" t="s">
        <v>51</v>
      </c>
      <c r="X149" t="s">
        <v>45</v>
      </c>
      <c r="Y149" s="1">
        <v>23713</v>
      </c>
      <c r="Z149">
        <v>2</v>
      </c>
      <c r="AA149" t="s">
        <v>224</v>
      </c>
      <c r="AB149" s="40" t="s">
        <v>1794</v>
      </c>
    </row>
    <row r="150" spans="1:28" x14ac:dyDescent="0.25">
      <c r="A150">
        <v>99910149</v>
      </c>
      <c r="B150" t="s">
        <v>32</v>
      </c>
      <c r="C150" t="s">
        <v>46</v>
      </c>
      <c r="D150" t="s">
        <v>47</v>
      </c>
      <c r="G150" t="s">
        <v>48</v>
      </c>
      <c r="H150">
        <v>14</v>
      </c>
      <c r="I150">
        <v>0</v>
      </c>
      <c r="J150" s="1">
        <v>43344</v>
      </c>
      <c r="K150" t="s">
        <v>223</v>
      </c>
      <c r="L150" t="s">
        <v>224</v>
      </c>
      <c r="M150" t="s">
        <v>131</v>
      </c>
      <c r="N150">
        <v>4</v>
      </c>
      <c r="O150" s="1">
        <v>43344</v>
      </c>
      <c r="P150" t="s">
        <v>41</v>
      </c>
      <c r="Q150" t="s">
        <v>42</v>
      </c>
      <c r="R150" t="str">
        <f>"0580206"</f>
        <v>0580206</v>
      </c>
      <c r="S150" t="s">
        <v>237</v>
      </c>
      <c r="T150" t="s">
        <v>223</v>
      </c>
      <c r="U150" t="s">
        <v>224</v>
      </c>
      <c r="V150" t="s">
        <v>131</v>
      </c>
      <c r="W150" t="s">
        <v>51</v>
      </c>
      <c r="X150" t="s">
        <v>45</v>
      </c>
      <c r="Y150" s="1">
        <v>23620</v>
      </c>
      <c r="Z150">
        <v>2</v>
      </c>
      <c r="AA150" t="s">
        <v>224</v>
      </c>
      <c r="AB150" s="40" t="s">
        <v>1794</v>
      </c>
    </row>
    <row r="151" spans="1:28" x14ac:dyDescent="0.25">
      <c r="A151">
        <v>99910150</v>
      </c>
      <c r="B151" t="s">
        <v>32</v>
      </c>
      <c r="C151" t="s">
        <v>33</v>
      </c>
      <c r="D151" t="s">
        <v>34</v>
      </c>
      <c r="G151" t="s">
        <v>48</v>
      </c>
      <c r="H151">
        <v>1</v>
      </c>
      <c r="K151" t="s">
        <v>223</v>
      </c>
      <c r="L151" t="s">
        <v>224</v>
      </c>
      <c r="M151" t="s">
        <v>131</v>
      </c>
      <c r="N151">
        <v>4</v>
      </c>
      <c r="P151" t="s">
        <v>41</v>
      </c>
      <c r="Q151" t="s">
        <v>42</v>
      </c>
      <c r="R151" t="str">
        <f>"0561007"</f>
        <v>0561007</v>
      </c>
      <c r="S151" t="s">
        <v>262</v>
      </c>
      <c r="T151" t="s">
        <v>223</v>
      </c>
      <c r="U151" t="s">
        <v>224</v>
      </c>
      <c r="V151" t="s">
        <v>131</v>
      </c>
      <c r="W151" t="s">
        <v>51</v>
      </c>
      <c r="X151" t="s">
        <v>45</v>
      </c>
      <c r="Y151" s="1">
        <v>21482</v>
      </c>
      <c r="Z151">
        <v>2</v>
      </c>
      <c r="AA151" t="s">
        <v>224</v>
      </c>
      <c r="AB151" s="40" t="s">
        <v>1794</v>
      </c>
    </row>
    <row r="152" spans="1:28" x14ac:dyDescent="0.25">
      <c r="A152">
        <v>99910151</v>
      </c>
      <c r="B152" t="s">
        <v>56</v>
      </c>
      <c r="C152" t="s">
        <v>52</v>
      </c>
      <c r="D152" t="s">
        <v>53</v>
      </c>
      <c r="G152" t="s">
        <v>48</v>
      </c>
      <c r="H152">
        <v>1</v>
      </c>
      <c r="K152" t="s">
        <v>223</v>
      </c>
      <c r="L152" t="s">
        <v>224</v>
      </c>
      <c r="M152" t="s">
        <v>131</v>
      </c>
      <c r="N152">
        <v>4</v>
      </c>
      <c r="P152" t="s">
        <v>41</v>
      </c>
      <c r="Q152" t="s">
        <v>42</v>
      </c>
      <c r="R152" t="str">
        <f>"0580204"</f>
        <v>0580204</v>
      </c>
      <c r="S152" t="s">
        <v>235</v>
      </c>
      <c r="T152" t="s">
        <v>223</v>
      </c>
      <c r="U152" t="s">
        <v>224</v>
      </c>
      <c r="V152" t="s">
        <v>131</v>
      </c>
      <c r="W152" t="s">
        <v>165</v>
      </c>
      <c r="X152" t="s">
        <v>45</v>
      </c>
      <c r="Y152" s="1">
        <v>21379</v>
      </c>
      <c r="Z152">
        <v>2</v>
      </c>
      <c r="AA152" t="s">
        <v>224</v>
      </c>
      <c r="AB152" s="40" t="s">
        <v>1794</v>
      </c>
    </row>
    <row r="153" spans="1:28" x14ac:dyDescent="0.25">
      <c r="A153">
        <v>99910152</v>
      </c>
      <c r="B153" t="s">
        <v>56</v>
      </c>
      <c r="C153" t="s">
        <v>141</v>
      </c>
      <c r="D153" t="s">
        <v>142</v>
      </c>
      <c r="G153" t="s">
        <v>35</v>
      </c>
      <c r="H153">
        <v>1</v>
      </c>
      <c r="I153">
        <v>18253</v>
      </c>
      <c r="J153" s="1">
        <v>43344</v>
      </c>
      <c r="K153" t="s">
        <v>223</v>
      </c>
      <c r="L153" t="s">
        <v>224</v>
      </c>
      <c r="M153" t="s">
        <v>131</v>
      </c>
      <c r="N153">
        <v>4</v>
      </c>
      <c r="O153" s="1">
        <v>43344</v>
      </c>
      <c r="P153" t="s">
        <v>41</v>
      </c>
      <c r="Q153" t="s">
        <v>49</v>
      </c>
      <c r="R153" t="str">
        <f>"0560008"</f>
        <v>0560008</v>
      </c>
      <c r="S153" t="s">
        <v>263</v>
      </c>
      <c r="T153" t="s">
        <v>223</v>
      </c>
      <c r="U153" t="s">
        <v>224</v>
      </c>
      <c r="V153" t="s">
        <v>131</v>
      </c>
      <c r="W153" t="s">
        <v>51</v>
      </c>
      <c r="X153" t="s">
        <v>45</v>
      </c>
      <c r="Y153" s="1">
        <v>21066</v>
      </c>
      <c r="Z153">
        <v>2</v>
      </c>
      <c r="AA153" t="s">
        <v>224</v>
      </c>
      <c r="AB153" s="40" t="s">
        <v>1794</v>
      </c>
    </row>
    <row r="154" spans="1:28" x14ac:dyDescent="0.25">
      <c r="A154">
        <v>99910153</v>
      </c>
      <c r="B154" t="s">
        <v>56</v>
      </c>
      <c r="C154" t="s">
        <v>143</v>
      </c>
      <c r="D154" t="s">
        <v>144</v>
      </c>
      <c r="G154" t="s">
        <v>35</v>
      </c>
      <c r="H154">
        <v>1</v>
      </c>
      <c r="I154">
        <v>18261</v>
      </c>
      <c r="J154" s="1">
        <v>43344</v>
      </c>
      <c r="K154" t="s">
        <v>223</v>
      </c>
      <c r="L154" t="s">
        <v>224</v>
      </c>
      <c r="M154" t="s">
        <v>131</v>
      </c>
      <c r="N154">
        <v>4</v>
      </c>
      <c r="O154" s="1">
        <v>43344</v>
      </c>
      <c r="P154" t="s">
        <v>41</v>
      </c>
      <c r="Q154" t="s">
        <v>49</v>
      </c>
      <c r="R154" t="str">
        <f>"0560008"</f>
        <v>0560008</v>
      </c>
      <c r="S154" t="s">
        <v>263</v>
      </c>
      <c r="T154" t="s">
        <v>223</v>
      </c>
      <c r="U154" t="s">
        <v>224</v>
      </c>
      <c r="V154" t="s">
        <v>131</v>
      </c>
      <c r="W154" t="s">
        <v>44</v>
      </c>
      <c r="X154" t="s">
        <v>45</v>
      </c>
      <c r="Y154" s="1">
        <v>20862</v>
      </c>
      <c r="Z154">
        <v>2</v>
      </c>
      <c r="AA154" t="s">
        <v>224</v>
      </c>
      <c r="AB154" s="40" t="s">
        <v>1794</v>
      </c>
    </row>
    <row r="155" spans="1:28" x14ac:dyDescent="0.25">
      <c r="A155">
        <v>99910154</v>
      </c>
      <c r="B155" t="s">
        <v>56</v>
      </c>
      <c r="C155" t="s">
        <v>52</v>
      </c>
      <c r="D155" t="s">
        <v>53</v>
      </c>
      <c r="G155" t="s">
        <v>35</v>
      </c>
      <c r="H155">
        <v>1</v>
      </c>
      <c r="K155" t="s">
        <v>223</v>
      </c>
      <c r="L155" t="s">
        <v>224</v>
      </c>
      <c r="M155" t="s">
        <v>131</v>
      </c>
      <c r="N155">
        <v>4</v>
      </c>
      <c r="P155" t="s">
        <v>41</v>
      </c>
      <c r="Q155" t="s">
        <v>49</v>
      </c>
      <c r="R155" t="str">
        <f>"0591901"</f>
        <v>0591901</v>
      </c>
      <c r="S155" t="s">
        <v>230</v>
      </c>
      <c r="T155" t="s">
        <v>223</v>
      </c>
      <c r="U155" t="s">
        <v>224</v>
      </c>
      <c r="V155" t="s">
        <v>131</v>
      </c>
      <c r="W155" t="s">
        <v>51</v>
      </c>
      <c r="X155" t="s">
        <v>45</v>
      </c>
      <c r="Y155" s="1">
        <v>20841</v>
      </c>
      <c r="Z155">
        <v>2</v>
      </c>
      <c r="AA155" t="s">
        <v>224</v>
      </c>
      <c r="AB155" s="40" t="s">
        <v>1794</v>
      </c>
    </row>
    <row r="156" spans="1:28" x14ac:dyDescent="0.25">
      <c r="A156">
        <v>99910155</v>
      </c>
      <c r="B156" t="s">
        <v>32</v>
      </c>
      <c r="C156" t="s">
        <v>149</v>
      </c>
      <c r="D156" t="s">
        <v>150</v>
      </c>
      <c r="G156" t="s">
        <v>35</v>
      </c>
      <c r="H156">
        <v>1</v>
      </c>
      <c r="I156">
        <v>0</v>
      </c>
      <c r="J156" s="1">
        <v>43344</v>
      </c>
      <c r="K156" t="s">
        <v>223</v>
      </c>
      <c r="L156" t="s">
        <v>224</v>
      </c>
      <c r="M156" t="s">
        <v>131</v>
      </c>
      <c r="N156">
        <v>4</v>
      </c>
      <c r="O156" s="1">
        <v>43344</v>
      </c>
      <c r="P156" t="s">
        <v>41</v>
      </c>
      <c r="Q156" t="s">
        <v>49</v>
      </c>
      <c r="R156" t="str">
        <f>"0591901"</f>
        <v>0591901</v>
      </c>
      <c r="S156" t="s">
        <v>230</v>
      </c>
      <c r="T156" t="s">
        <v>223</v>
      </c>
      <c r="U156" t="s">
        <v>224</v>
      </c>
      <c r="V156" t="s">
        <v>131</v>
      </c>
      <c r="W156" t="s">
        <v>44</v>
      </c>
      <c r="X156" t="s">
        <v>45</v>
      </c>
      <c r="Z156">
        <v>2</v>
      </c>
      <c r="AA156" t="s">
        <v>224</v>
      </c>
      <c r="AB156" s="40" t="s">
        <v>1794</v>
      </c>
    </row>
    <row r="157" spans="1:28" x14ac:dyDescent="0.25">
      <c r="A157">
        <v>99910156</v>
      </c>
      <c r="B157" t="s">
        <v>56</v>
      </c>
      <c r="C157" t="s">
        <v>85</v>
      </c>
      <c r="D157" t="s">
        <v>86</v>
      </c>
      <c r="G157" t="s">
        <v>35</v>
      </c>
      <c r="H157">
        <v>1</v>
      </c>
      <c r="I157">
        <v>0</v>
      </c>
      <c r="J157" s="1">
        <v>43344</v>
      </c>
      <c r="K157" t="s">
        <v>223</v>
      </c>
      <c r="L157" t="s">
        <v>224</v>
      </c>
      <c r="M157" t="s">
        <v>131</v>
      </c>
      <c r="N157">
        <v>4</v>
      </c>
      <c r="O157" s="1">
        <v>43344</v>
      </c>
      <c r="P157" t="s">
        <v>41</v>
      </c>
      <c r="Q157" t="s">
        <v>42</v>
      </c>
      <c r="R157" t="str">
        <f>"0580207"</f>
        <v>0580207</v>
      </c>
      <c r="S157" t="s">
        <v>229</v>
      </c>
      <c r="T157" t="s">
        <v>223</v>
      </c>
      <c r="U157" t="s">
        <v>224</v>
      </c>
      <c r="V157" t="s">
        <v>131</v>
      </c>
      <c r="W157" t="s">
        <v>51</v>
      </c>
      <c r="X157" t="s">
        <v>45</v>
      </c>
      <c r="Z157">
        <v>2</v>
      </c>
      <c r="AA157" t="s">
        <v>224</v>
      </c>
      <c r="AB157" s="40" t="s">
        <v>1794</v>
      </c>
    </row>
    <row r="158" spans="1:28" x14ac:dyDescent="0.25">
      <c r="A158">
        <v>99910157</v>
      </c>
      <c r="B158" t="s">
        <v>32</v>
      </c>
      <c r="C158" t="s">
        <v>139</v>
      </c>
      <c r="D158" t="s">
        <v>140</v>
      </c>
      <c r="G158" t="s">
        <v>48</v>
      </c>
      <c r="H158">
        <v>1</v>
      </c>
      <c r="K158" t="s">
        <v>300</v>
      </c>
      <c r="L158" t="s">
        <v>301</v>
      </c>
      <c r="M158" t="s">
        <v>131</v>
      </c>
      <c r="N158">
        <v>4</v>
      </c>
      <c r="P158" t="s">
        <v>41</v>
      </c>
      <c r="Q158" t="s">
        <v>42</v>
      </c>
      <c r="R158" t="str">
        <f>"0580457"</f>
        <v>0580457</v>
      </c>
      <c r="S158" t="s">
        <v>310</v>
      </c>
      <c r="T158" t="s">
        <v>300</v>
      </c>
      <c r="U158" t="s">
        <v>301</v>
      </c>
      <c r="V158" t="s">
        <v>131</v>
      </c>
      <c r="W158" t="s">
        <v>51</v>
      </c>
      <c r="X158" t="s">
        <v>45</v>
      </c>
      <c r="Z158">
        <v>2</v>
      </c>
      <c r="AA158" t="s">
        <v>301</v>
      </c>
      <c r="AB158" s="40" t="s">
        <v>1794</v>
      </c>
    </row>
    <row r="159" spans="1:28" x14ac:dyDescent="0.25">
      <c r="A159">
        <v>99910158</v>
      </c>
      <c r="B159" t="s">
        <v>32</v>
      </c>
      <c r="C159" t="s">
        <v>79</v>
      </c>
      <c r="D159" t="s">
        <v>80</v>
      </c>
      <c r="G159" t="s">
        <v>35</v>
      </c>
      <c r="H159">
        <v>1</v>
      </c>
      <c r="I159">
        <v>15011</v>
      </c>
      <c r="J159" s="1">
        <v>43430</v>
      </c>
      <c r="K159" t="s">
        <v>345</v>
      </c>
      <c r="L159" t="s">
        <v>346</v>
      </c>
      <c r="M159" t="s">
        <v>131</v>
      </c>
      <c r="N159">
        <v>4</v>
      </c>
      <c r="O159" s="1">
        <v>43430</v>
      </c>
      <c r="P159" t="s">
        <v>41</v>
      </c>
      <c r="Q159" t="s">
        <v>49</v>
      </c>
      <c r="R159" t="str">
        <f>"0581155"</f>
        <v>0581155</v>
      </c>
      <c r="S159" t="s">
        <v>349</v>
      </c>
      <c r="T159" t="s">
        <v>345</v>
      </c>
      <c r="U159" t="s">
        <v>346</v>
      </c>
      <c r="V159" t="s">
        <v>131</v>
      </c>
      <c r="W159" t="s">
        <v>44</v>
      </c>
      <c r="X159" t="s">
        <v>45</v>
      </c>
      <c r="Z159">
        <v>2</v>
      </c>
      <c r="AA159" t="s">
        <v>346</v>
      </c>
      <c r="AB159" s="40" t="s">
        <v>1794</v>
      </c>
    </row>
    <row r="160" spans="1:28" x14ac:dyDescent="0.25">
      <c r="A160">
        <v>99910159</v>
      </c>
      <c r="B160" t="s">
        <v>56</v>
      </c>
      <c r="C160" t="s">
        <v>61</v>
      </c>
      <c r="D160" t="s">
        <v>62</v>
      </c>
      <c r="G160" t="s">
        <v>35</v>
      </c>
      <c r="H160">
        <v>1</v>
      </c>
      <c r="I160">
        <v>16389</v>
      </c>
      <c r="J160" s="1">
        <v>43430</v>
      </c>
      <c r="K160" t="s">
        <v>345</v>
      </c>
      <c r="L160" t="s">
        <v>346</v>
      </c>
      <c r="M160" t="s">
        <v>131</v>
      </c>
      <c r="N160">
        <v>4</v>
      </c>
      <c r="O160" s="1">
        <v>43430</v>
      </c>
      <c r="P160" t="s">
        <v>41</v>
      </c>
      <c r="Q160" t="s">
        <v>49</v>
      </c>
      <c r="R160" t="str">
        <f>"0560007"</f>
        <v>0560007</v>
      </c>
      <c r="S160" t="s">
        <v>357</v>
      </c>
      <c r="T160" t="s">
        <v>345</v>
      </c>
      <c r="U160" t="s">
        <v>346</v>
      </c>
      <c r="V160" t="s">
        <v>131</v>
      </c>
      <c r="W160" t="s">
        <v>44</v>
      </c>
      <c r="X160" t="s">
        <v>45</v>
      </c>
      <c r="Z160">
        <v>2</v>
      </c>
      <c r="AA160" t="s">
        <v>346</v>
      </c>
      <c r="AB160" s="40" t="s">
        <v>1794</v>
      </c>
    </row>
    <row r="161" spans="1:28" x14ac:dyDescent="0.25">
      <c r="A161">
        <v>99910160</v>
      </c>
      <c r="B161" t="s">
        <v>32</v>
      </c>
      <c r="C161" t="s">
        <v>139</v>
      </c>
      <c r="D161" t="s">
        <v>140</v>
      </c>
      <c r="G161" t="s">
        <v>35</v>
      </c>
      <c r="H161">
        <v>1</v>
      </c>
      <c r="K161" t="s">
        <v>268</v>
      </c>
      <c r="L161" t="s">
        <v>269</v>
      </c>
      <c r="M161" t="s">
        <v>131</v>
      </c>
      <c r="N161">
        <v>4</v>
      </c>
      <c r="P161" t="s">
        <v>41</v>
      </c>
      <c r="Q161" t="s">
        <v>75</v>
      </c>
      <c r="R161" t="str">
        <f>"7052036"</f>
        <v>7052036</v>
      </c>
      <c r="S161" t="s">
        <v>679</v>
      </c>
      <c r="T161" t="s">
        <v>268</v>
      </c>
      <c r="U161" t="s">
        <v>269</v>
      </c>
      <c r="V161" t="s">
        <v>131</v>
      </c>
      <c r="W161" t="s">
        <v>51</v>
      </c>
      <c r="X161" t="s">
        <v>45</v>
      </c>
      <c r="Z161">
        <v>1</v>
      </c>
      <c r="AA161" t="s">
        <v>269</v>
      </c>
      <c r="AB161" s="40" t="s">
        <v>1794</v>
      </c>
    </row>
    <row r="162" spans="1:28" x14ac:dyDescent="0.25">
      <c r="A162">
        <v>99910161</v>
      </c>
      <c r="B162" t="s">
        <v>32</v>
      </c>
      <c r="C162" t="s">
        <v>139</v>
      </c>
      <c r="D162" t="s">
        <v>140</v>
      </c>
      <c r="G162" t="s">
        <v>48</v>
      </c>
      <c r="H162">
        <v>1</v>
      </c>
      <c r="K162" t="s">
        <v>407</v>
      </c>
      <c r="L162" t="s">
        <v>409</v>
      </c>
      <c r="M162" t="s">
        <v>131</v>
      </c>
      <c r="N162">
        <v>4</v>
      </c>
      <c r="P162" t="s">
        <v>41</v>
      </c>
      <c r="Q162" t="s">
        <v>75</v>
      </c>
      <c r="R162" t="str">
        <f>"7053018"</f>
        <v>7053018</v>
      </c>
      <c r="S162" t="s">
        <v>408</v>
      </c>
      <c r="T162" t="s">
        <v>407</v>
      </c>
      <c r="U162" t="s">
        <v>409</v>
      </c>
      <c r="V162" t="s">
        <v>131</v>
      </c>
      <c r="W162" t="s">
        <v>51</v>
      </c>
      <c r="X162" t="s">
        <v>45</v>
      </c>
      <c r="Z162">
        <v>1</v>
      </c>
      <c r="AA162" t="s">
        <v>409</v>
      </c>
      <c r="AB162" s="40" t="s">
        <v>1794</v>
      </c>
    </row>
    <row r="163" spans="1:28" x14ac:dyDescent="0.25">
      <c r="A163">
        <v>99910162</v>
      </c>
      <c r="B163" t="s">
        <v>32</v>
      </c>
      <c r="C163" t="s">
        <v>143</v>
      </c>
      <c r="D163" t="s">
        <v>144</v>
      </c>
      <c r="G163" t="s">
        <v>35</v>
      </c>
      <c r="H163">
        <v>1</v>
      </c>
      <c r="I163">
        <v>9893</v>
      </c>
      <c r="J163" s="1">
        <v>43392</v>
      </c>
      <c r="K163" t="s">
        <v>1051</v>
      </c>
      <c r="L163" t="s">
        <v>1052</v>
      </c>
      <c r="M163" t="s">
        <v>1053</v>
      </c>
      <c r="N163">
        <v>5</v>
      </c>
      <c r="O163" s="1">
        <v>43392</v>
      </c>
      <c r="P163" t="s">
        <v>41</v>
      </c>
      <c r="Q163" t="s">
        <v>49</v>
      </c>
      <c r="R163" t="str">
        <f>"2060004"</f>
        <v>2060004</v>
      </c>
      <c r="S163" t="s">
        <v>1059</v>
      </c>
      <c r="T163" t="s">
        <v>1051</v>
      </c>
      <c r="U163" t="s">
        <v>1052</v>
      </c>
      <c r="V163" t="s">
        <v>1053</v>
      </c>
      <c r="W163" t="s">
        <v>44</v>
      </c>
      <c r="X163" t="s">
        <v>45</v>
      </c>
      <c r="Y163" s="1">
        <v>34855</v>
      </c>
      <c r="Z163">
        <v>2</v>
      </c>
      <c r="AA163" t="s">
        <v>1052</v>
      </c>
      <c r="AB163" s="40" t="s">
        <v>1794</v>
      </c>
    </row>
    <row r="164" spans="1:28" x14ac:dyDescent="0.25">
      <c r="A164">
        <v>99910163</v>
      </c>
      <c r="B164" t="s">
        <v>32</v>
      </c>
      <c r="C164" t="s">
        <v>46</v>
      </c>
      <c r="D164" t="s">
        <v>47</v>
      </c>
      <c r="G164" t="s">
        <v>35</v>
      </c>
      <c r="H164">
        <v>1</v>
      </c>
      <c r="I164">
        <v>23695</v>
      </c>
      <c r="J164" s="1">
        <v>43344</v>
      </c>
      <c r="K164" t="s">
        <v>223</v>
      </c>
      <c r="L164" t="s">
        <v>224</v>
      </c>
      <c r="M164" t="s">
        <v>131</v>
      </c>
      <c r="N164">
        <v>5</v>
      </c>
      <c r="O164" s="1">
        <v>43344</v>
      </c>
      <c r="P164" t="s">
        <v>41</v>
      </c>
      <c r="Q164" t="s">
        <v>49</v>
      </c>
      <c r="R164" t="str">
        <f>"0560034"</f>
        <v>0560034</v>
      </c>
      <c r="S164" t="s">
        <v>266</v>
      </c>
      <c r="T164" t="s">
        <v>223</v>
      </c>
      <c r="U164" t="s">
        <v>224</v>
      </c>
      <c r="V164" t="s">
        <v>131</v>
      </c>
      <c r="W164" t="s">
        <v>44</v>
      </c>
      <c r="X164" t="s">
        <v>45</v>
      </c>
      <c r="Y164" s="1">
        <v>33726</v>
      </c>
      <c r="Z164">
        <v>2</v>
      </c>
      <c r="AA164" t="s">
        <v>224</v>
      </c>
      <c r="AB164" s="40" t="s">
        <v>1794</v>
      </c>
    </row>
    <row r="165" spans="1:28" x14ac:dyDescent="0.25">
      <c r="A165">
        <v>99910164</v>
      </c>
      <c r="B165" t="s">
        <v>32</v>
      </c>
      <c r="C165" t="s">
        <v>143</v>
      </c>
      <c r="D165" t="s">
        <v>144</v>
      </c>
      <c r="G165" t="s">
        <v>35</v>
      </c>
      <c r="H165">
        <v>1</v>
      </c>
      <c r="I165" t="s">
        <v>1062</v>
      </c>
      <c r="J165" s="1">
        <v>43354</v>
      </c>
      <c r="K165" t="s">
        <v>1051</v>
      </c>
      <c r="L165" t="s">
        <v>1052</v>
      </c>
      <c r="M165" t="s">
        <v>1053</v>
      </c>
      <c r="N165">
        <v>5</v>
      </c>
      <c r="O165" s="1">
        <v>43354</v>
      </c>
      <c r="P165" t="s">
        <v>41</v>
      </c>
      <c r="Q165" t="s">
        <v>49</v>
      </c>
      <c r="R165" t="str">
        <f>"2080025"</f>
        <v>2080025</v>
      </c>
      <c r="S165" t="s">
        <v>1057</v>
      </c>
      <c r="T165" t="s">
        <v>1051</v>
      </c>
      <c r="U165" t="s">
        <v>1052</v>
      </c>
      <c r="V165" t="s">
        <v>1053</v>
      </c>
      <c r="W165" t="s">
        <v>44</v>
      </c>
      <c r="X165" t="s">
        <v>45</v>
      </c>
      <c r="Y165" s="1">
        <v>33660</v>
      </c>
      <c r="Z165">
        <v>2</v>
      </c>
      <c r="AA165" t="s">
        <v>1052</v>
      </c>
      <c r="AB165" s="40" t="s">
        <v>1794</v>
      </c>
    </row>
    <row r="166" spans="1:28" x14ac:dyDescent="0.25">
      <c r="A166">
        <v>99910165</v>
      </c>
      <c r="B166" t="s">
        <v>32</v>
      </c>
      <c r="C166" t="s">
        <v>58</v>
      </c>
      <c r="D166" t="s">
        <v>59</v>
      </c>
      <c r="G166" t="s">
        <v>48</v>
      </c>
      <c r="H166">
        <v>1</v>
      </c>
      <c r="K166" t="s">
        <v>162</v>
      </c>
      <c r="L166" t="s">
        <v>158</v>
      </c>
      <c r="M166" t="s">
        <v>131</v>
      </c>
      <c r="N166">
        <v>5</v>
      </c>
      <c r="P166" t="s">
        <v>41</v>
      </c>
      <c r="Q166" t="s">
        <v>49</v>
      </c>
      <c r="R166" t="str">
        <f>"0560027"</f>
        <v>0560027</v>
      </c>
      <c r="S166" t="s">
        <v>178</v>
      </c>
      <c r="T166" t="s">
        <v>162</v>
      </c>
      <c r="U166" t="s">
        <v>158</v>
      </c>
      <c r="V166" t="s">
        <v>131</v>
      </c>
      <c r="W166" t="s">
        <v>51</v>
      </c>
      <c r="X166" t="s">
        <v>45</v>
      </c>
      <c r="Y166" s="1">
        <v>32688</v>
      </c>
      <c r="Z166">
        <v>2</v>
      </c>
      <c r="AA166" t="s">
        <v>158</v>
      </c>
      <c r="AB166" s="40" t="s">
        <v>1794</v>
      </c>
    </row>
    <row r="167" spans="1:28" x14ac:dyDescent="0.25">
      <c r="A167">
        <v>99910166</v>
      </c>
      <c r="B167" t="s">
        <v>32</v>
      </c>
      <c r="C167" t="s">
        <v>64</v>
      </c>
      <c r="D167" t="s">
        <v>65</v>
      </c>
      <c r="G167" t="s">
        <v>35</v>
      </c>
      <c r="H167">
        <v>1</v>
      </c>
      <c r="I167" t="s">
        <v>1152</v>
      </c>
      <c r="J167" s="1">
        <v>43344</v>
      </c>
      <c r="K167" t="s">
        <v>1128</v>
      </c>
      <c r="L167" t="s">
        <v>1129</v>
      </c>
      <c r="M167" t="s">
        <v>1130</v>
      </c>
      <c r="N167">
        <v>5</v>
      </c>
      <c r="O167" s="1">
        <v>43344</v>
      </c>
      <c r="P167" t="s">
        <v>41</v>
      </c>
      <c r="Q167" t="s">
        <v>49</v>
      </c>
      <c r="R167" t="str">
        <f>"3181010"</f>
        <v>3181010</v>
      </c>
      <c r="S167" t="s">
        <v>1134</v>
      </c>
      <c r="T167" t="s">
        <v>1128</v>
      </c>
      <c r="U167" t="s">
        <v>1129</v>
      </c>
      <c r="V167" t="s">
        <v>1130</v>
      </c>
      <c r="W167" t="s">
        <v>44</v>
      </c>
      <c r="X167" t="s">
        <v>45</v>
      </c>
      <c r="Y167" s="1">
        <v>32623</v>
      </c>
      <c r="Z167">
        <v>2</v>
      </c>
      <c r="AA167" t="s">
        <v>1129</v>
      </c>
      <c r="AB167" s="40" t="s">
        <v>1794</v>
      </c>
    </row>
    <row r="168" spans="1:28" x14ac:dyDescent="0.25">
      <c r="A168">
        <v>99910167</v>
      </c>
      <c r="B168" t="s">
        <v>32</v>
      </c>
      <c r="C168" t="s">
        <v>90</v>
      </c>
      <c r="D168" t="s">
        <v>91</v>
      </c>
      <c r="G168" t="s">
        <v>48</v>
      </c>
      <c r="H168">
        <v>1</v>
      </c>
      <c r="K168" t="s">
        <v>431</v>
      </c>
      <c r="L168" t="s">
        <v>196</v>
      </c>
      <c r="M168" t="s">
        <v>131</v>
      </c>
      <c r="N168">
        <v>5</v>
      </c>
      <c r="P168" t="s">
        <v>41</v>
      </c>
      <c r="Q168" t="s">
        <v>95</v>
      </c>
      <c r="R168" t="str">
        <f>"7521063"</f>
        <v>7521063</v>
      </c>
      <c r="S168" t="s">
        <v>526</v>
      </c>
      <c r="T168" t="s">
        <v>431</v>
      </c>
      <c r="U168" t="s">
        <v>196</v>
      </c>
      <c r="V168" t="s">
        <v>131</v>
      </c>
      <c r="W168" t="s">
        <v>51</v>
      </c>
      <c r="X168" t="s">
        <v>45</v>
      </c>
      <c r="Y168" s="1">
        <v>32401</v>
      </c>
      <c r="Z168">
        <v>1</v>
      </c>
      <c r="AA168" t="s">
        <v>196</v>
      </c>
      <c r="AB168" s="40" t="s">
        <v>1794</v>
      </c>
    </row>
    <row r="169" spans="1:28" x14ac:dyDescent="0.25">
      <c r="A169">
        <v>99910168</v>
      </c>
      <c r="B169" t="s">
        <v>32</v>
      </c>
      <c r="C169" t="s">
        <v>139</v>
      </c>
      <c r="D169" t="s">
        <v>140</v>
      </c>
      <c r="G169" t="s">
        <v>35</v>
      </c>
      <c r="H169">
        <v>1</v>
      </c>
      <c r="I169">
        <v>15954</v>
      </c>
      <c r="J169" s="1">
        <v>43344</v>
      </c>
      <c r="K169" t="s">
        <v>877</v>
      </c>
      <c r="L169" t="s">
        <v>878</v>
      </c>
      <c r="M169" t="s">
        <v>131</v>
      </c>
      <c r="N169">
        <v>5</v>
      </c>
      <c r="O169" s="1">
        <v>43344</v>
      </c>
      <c r="P169" t="s">
        <v>41</v>
      </c>
      <c r="Q169" t="s">
        <v>75</v>
      </c>
      <c r="R169" t="str">
        <f>"7541020"</f>
        <v>7541020</v>
      </c>
      <c r="S169" t="s">
        <v>882</v>
      </c>
      <c r="T169" t="s">
        <v>877</v>
      </c>
      <c r="U169" t="s">
        <v>878</v>
      </c>
      <c r="V169" t="s">
        <v>131</v>
      </c>
      <c r="W169" t="s">
        <v>44</v>
      </c>
      <c r="X169" t="s">
        <v>45</v>
      </c>
      <c r="Y169" s="1">
        <v>32340</v>
      </c>
      <c r="Z169">
        <v>1</v>
      </c>
      <c r="AA169" t="s">
        <v>878</v>
      </c>
      <c r="AB169" s="40" t="s">
        <v>1794</v>
      </c>
    </row>
    <row r="170" spans="1:28" x14ac:dyDescent="0.25">
      <c r="A170">
        <v>99910169</v>
      </c>
      <c r="B170" t="s">
        <v>32</v>
      </c>
      <c r="C170" t="s">
        <v>46</v>
      </c>
      <c r="D170" t="s">
        <v>47</v>
      </c>
      <c r="G170" t="s">
        <v>35</v>
      </c>
      <c r="H170">
        <v>1</v>
      </c>
      <c r="I170">
        <v>13814</v>
      </c>
      <c r="J170" s="1">
        <v>43355</v>
      </c>
      <c r="K170" t="s">
        <v>345</v>
      </c>
      <c r="L170" t="s">
        <v>346</v>
      </c>
      <c r="M170" t="s">
        <v>131</v>
      </c>
      <c r="N170">
        <v>5</v>
      </c>
      <c r="O170" s="1">
        <v>43355</v>
      </c>
      <c r="P170" t="s">
        <v>41</v>
      </c>
      <c r="Q170" t="s">
        <v>49</v>
      </c>
      <c r="R170" t="str">
        <f>"0560032"</f>
        <v>0560032</v>
      </c>
      <c r="S170" t="s">
        <v>347</v>
      </c>
      <c r="T170" t="s">
        <v>345</v>
      </c>
      <c r="U170" t="s">
        <v>346</v>
      </c>
      <c r="V170" t="s">
        <v>131</v>
      </c>
      <c r="W170" t="s">
        <v>51</v>
      </c>
      <c r="X170" t="s">
        <v>45</v>
      </c>
      <c r="Y170" s="1">
        <v>31989</v>
      </c>
      <c r="Z170">
        <v>2</v>
      </c>
      <c r="AA170" t="s">
        <v>346</v>
      </c>
      <c r="AB170" s="40" t="s">
        <v>1794</v>
      </c>
    </row>
    <row r="171" spans="1:28" x14ac:dyDescent="0.25">
      <c r="A171">
        <v>99910170</v>
      </c>
      <c r="B171" t="s">
        <v>32</v>
      </c>
      <c r="C171" t="s">
        <v>90</v>
      </c>
      <c r="D171" t="s">
        <v>91</v>
      </c>
      <c r="G171" t="s">
        <v>35</v>
      </c>
      <c r="H171">
        <v>1</v>
      </c>
      <c r="K171" t="s">
        <v>195</v>
      </c>
      <c r="L171" t="s">
        <v>196</v>
      </c>
      <c r="M171" t="s">
        <v>131</v>
      </c>
      <c r="N171">
        <v>5</v>
      </c>
      <c r="P171" t="s">
        <v>41</v>
      </c>
      <c r="Q171" t="s">
        <v>95</v>
      </c>
      <c r="R171" t="str">
        <f>"7521083"</f>
        <v>7521083</v>
      </c>
      <c r="S171" t="s">
        <v>439</v>
      </c>
      <c r="T171" t="s">
        <v>195</v>
      </c>
      <c r="U171" t="s">
        <v>196</v>
      </c>
      <c r="V171" t="s">
        <v>131</v>
      </c>
      <c r="W171" t="s">
        <v>51</v>
      </c>
      <c r="X171" t="s">
        <v>45</v>
      </c>
      <c r="Y171" s="1">
        <v>31923</v>
      </c>
      <c r="Z171">
        <v>1</v>
      </c>
      <c r="AA171" t="s">
        <v>196</v>
      </c>
      <c r="AB171" s="40" t="s">
        <v>1794</v>
      </c>
    </row>
    <row r="172" spans="1:28" x14ac:dyDescent="0.25">
      <c r="A172">
        <v>99910171</v>
      </c>
      <c r="B172" t="s">
        <v>32</v>
      </c>
      <c r="C172" t="s">
        <v>143</v>
      </c>
      <c r="D172" t="s">
        <v>144</v>
      </c>
      <c r="G172" t="s">
        <v>35</v>
      </c>
      <c r="H172">
        <v>1</v>
      </c>
      <c r="I172" t="s">
        <v>1611</v>
      </c>
      <c r="J172" s="1">
        <v>43357</v>
      </c>
      <c r="K172" t="s">
        <v>1590</v>
      </c>
      <c r="L172" t="s">
        <v>1591</v>
      </c>
      <c r="M172" t="s">
        <v>1592</v>
      </c>
      <c r="N172">
        <v>5</v>
      </c>
      <c r="O172" s="1">
        <v>43357</v>
      </c>
      <c r="P172" t="s">
        <v>41</v>
      </c>
      <c r="Q172" t="s">
        <v>49</v>
      </c>
      <c r="R172" t="str">
        <f>"0260001"</f>
        <v>0260001</v>
      </c>
      <c r="S172" t="s">
        <v>1595</v>
      </c>
      <c r="T172" t="s">
        <v>1590</v>
      </c>
      <c r="U172" t="s">
        <v>1591</v>
      </c>
      <c r="V172" t="s">
        <v>1592</v>
      </c>
      <c r="W172" t="s">
        <v>44</v>
      </c>
      <c r="X172" t="s">
        <v>45</v>
      </c>
      <c r="Y172" s="1">
        <v>31568</v>
      </c>
      <c r="Z172">
        <v>2</v>
      </c>
      <c r="AA172" t="s">
        <v>1591</v>
      </c>
      <c r="AB172" s="40" t="s">
        <v>1794</v>
      </c>
    </row>
    <row r="173" spans="1:28" x14ac:dyDescent="0.25">
      <c r="A173">
        <v>99910172</v>
      </c>
      <c r="B173" t="s">
        <v>32</v>
      </c>
      <c r="C173" t="s">
        <v>90</v>
      </c>
      <c r="D173" t="s">
        <v>91</v>
      </c>
      <c r="G173" t="s">
        <v>35</v>
      </c>
      <c r="H173">
        <v>1</v>
      </c>
      <c r="K173" t="s">
        <v>877</v>
      </c>
      <c r="L173" t="s">
        <v>878</v>
      </c>
      <c r="M173" t="s">
        <v>131</v>
      </c>
      <c r="N173">
        <v>5</v>
      </c>
      <c r="P173" t="s">
        <v>41</v>
      </c>
      <c r="Q173" t="s">
        <v>95</v>
      </c>
      <c r="R173" t="str">
        <f>"7541033"</f>
        <v>7541033</v>
      </c>
      <c r="S173" t="s">
        <v>902</v>
      </c>
      <c r="T173" t="s">
        <v>877</v>
      </c>
      <c r="U173" t="s">
        <v>878</v>
      </c>
      <c r="V173" t="s">
        <v>131</v>
      </c>
      <c r="W173" t="s">
        <v>51</v>
      </c>
      <c r="X173" t="s">
        <v>45</v>
      </c>
      <c r="Y173" s="1">
        <v>31523</v>
      </c>
      <c r="Z173">
        <v>1</v>
      </c>
      <c r="AA173" t="s">
        <v>878</v>
      </c>
      <c r="AB173" s="40" t="s">
        <v>1794</v>
      </c>
    </row>
    <row r="174" spans="1:28" x14ac:dyDescent="0.25">
      <c r="A174">
        <v>99910173</v>
      </c>
      <c r="B174" t="s">
        <v>32</v>
      </c>
      <c r="C174" t="s">
        <v>90</v>
      </c>
      <c r="D174" t="s">
        <v>91</v>
      </c>
      <c r="G174" t="s">
        <v>35</v>
      </c>
      <c r="H174">
        <v>1</v>
      </c>
      <c r="K174" t="s">
        <v>431</v>
      </c>
      <c r="L174" t="s">
        <v>196</v>
      </c>
      <c r="M174" t="s">
        <v>131</v>
      </c>
      <c r="N174">
        <v>5</v>
      </c>
      <c r="P174" t="s">
        <v>41</v>
      </c>
      <c r="Q174" t="s">
        <v>95</v>
      </c>
      <c r="R174" t="str">
        <f>"7521093"</f>
        <v>7521093</v>
      </c>
      <c r="S174" t="s">
        <v>556</v>
      </c>
      <c r="T174" t="s">
        <v>431</v>
      </c>
      <c r="U174" t="s">
        <v>196</v>
      </c>
      <c r="V174" t="s">
        <v>131</v>
      </c>
      <c r="W174" t="s">
        <v>51</v>
      </c>
      <c r="X174" t="s">
        <v>45</v>
      </c>
      <c r="Y174" s="1">
        <v>31436</v>
      </c>
      <c r="Z174">
        <v>1</v>
      </c>
      <c r="AA174" t="s">
        <v>196</v>
      </c>
      <c r="AB174" s="40" t="s">
        <v>1794</v>
      </c>
    </row>
    <row r="175" spans="1:28" x14ac:dyDescent="0.25">
      <c r="A175">
        <v>99910174</v>
      </c>
      <c r="B175" t="s">
        <v>32</v>
      </c>
      <c r="C175" t="s">
        <v>90</v>
      </c>
      <c r="D175" t="s">
        <v>91</v>
      </c>
      <c r="G175" t="s">
        <v>35</v>
      </c>
      <c r="H175">
        <v>1</v>
      </c>
      <c r="K175" t="s">
        <v>1564</v>
      </c>
      <c r="L175" t="s">
        <v>1565</v>
      </c>
      <c r="M175" t="s">
        <v>1548</v>
      </c>
      <c r="N175">
        <v>5</v>
      </c>
      <c r="P175" t="s">
        <v>41</v>
      </c>
      <c r="Q175" t="s">
        <v>95</v>
      </c>
      <c r="R175" t="str">
        <f>"7101007"</f>
        <v>7101007</v>
      </c>
      <c r="S175" t="s">
        <v>1576</v>
      </c>
      <c r="T175" t="s">
        <v>1564</v>
      </c>
      <c r="U175" t="s">
        <v>1565</v>
      </c>
      <c r="V175" t="s">
        <v>1548</v>
      </c>
      <c r="W175" t="s">
        <v>51</v>
      </c>
      <c r="X175" t="s">
        <v>45</v>
      </c>
      <c r="Y175" s="1">
        <v>31167</v>
      </c>
      <c r="Z175">
        <v>1</v>
      </c>
      <c r="AA175" t="s">
        <v>1565</v>
      </c>
      <c r="AB175" s="40" t="s">
        <v>1794</v>
      </c>
    </row>
    <row r="176" spans="1:28" x14ac:dyDescent="0.25">
      <c r="A176">
        <v>99910175</v>
      </c>
      <c r="B176" t="s">
        <v>32</v>
      </c>
      <c r="C176" t="s">
        <v>90</v>
      </c>
      <c r="D176" t="s">
        <v>91</v>
      </c>
      <c r="G176" t="s">
        <v>35</v>
      </c>
      <c r="H176">
        <v>1</v>
      </c>
      <c r="I176">
        <v>1</v>
      </c>
      <c r="J176" s="1">
        <v>43446</v>
      </c>
      <c r="K176" t="s">
        <v>1502</v>
      </c>
      <c r="L176" t="s">
        <v>1503</v>
      </c>
      <c r="M176" t="s">
        <v>670</v>
      </c>
      <c r="N176">
        <v>5</v>
      </c>
      <c r="O176" s="1">
        <v>43446</v>
      </c>
      <c r="R176" t="str">
        <f>""</f>
        <v/>
      </c>
      <c r="U176" t="s">
        <v>1503</v>
      </c>
      <c r="V176" t="s">
        <v>670</v>
      </c>
      <c r="W176" t="s">
        <v>44</v>
      </c>
      <c r="X176" t="s">
        <v>45</v>
      </c>
      <c r="Y176" s="1">
        <v>30960</v>
      </c>
      <c r="Z176">
        <v>1</v>
      </c>
      <c r="AA176" t="s">
        <v>1503</v>
      </c>
      <c r="AB176" s="40" t="s">
        <v>1794</v>
      </c>
    </row>
    <row r="177" spans="1:28" x14ac:dyDescent="0.25">
      <c r="A177">
        <v>99910176</v>
      </c>
      <c r="B177" t="s">
        <v>32</v>
      </c>
      <c r="C177" t="s">
        <v>68</v>
      </c>
      <c r="D177" t="s">
        <v>69</v>
      </c>
      <c r="G177" t="s">
        <v>35</v>
      </c>
      <c r="H177">
        <v>1</v>
      </c>
      <c r="I177">
        <v>20583</v>
      </c>
      <c r="J177" s="1">
        <v>43344</v>
      </c>
      <c r="K177" t="s">
        <v>345</v>
      </c>
      <c r="L177" t="s">
        <v>346</v>
      </c>
      <c r="M177" t="s">
        <v>131</v>
      </c>
      <c r="N177">
        <v>5</v>
      </c>
      <c r="O177" s="1">
        <v>43344</v>
      </c>
      <c r="P177" t="s">
        <v>41</v>
      </c>
      <c r="Q177" t="s">
        <v>49</v>
      </c>
      <c r="R177" t="str">
        <f>"0581605"</f>
        <v>0581605</v>
      </c>
      <c r="S177" t="s">
        <v>366</v>
      </c>
      <c r="T177" t="s">
        <v>345</v>
      </c>
      <c r="U177" t="s">
        <v>346</v>
      </c>
      <c r="V177" t="s">
        <v>131</v>
      </c>
      <c r="W177" t="s">
        <v>44</v>
      </c>
      <c r="X177" t="s">
        <v>45</v>
      </c>
      <c r="Y177" s="1">
        <v>30930</v>
      </c>
      <c r="Z177">
        <v>2</v>
      </c>
      <c r="AA177" t="s">
        <v>346</v>
      </c>
      <c r="AB177" s="40" t="s">
        <v>1794</v>
      </c>
    </row>
    <row r="178" spans="1:28" x14ac:dyDescent="0.25">
      <c r="A178">
        <v>99910177</v>
      </c>
      <c r="B178" t="s">
        <v>32</v>
      </c>
      <c r="C178" t="s">
        <v>90</v>
      </c>
      <c r="D178" t="s">
        <v>91</v>
      </c>
      <c r="G178" t="s">
        <v>48</v>
      </c>
      <c r="H178">
        <v>1</v>
      </c>
      <c r="K178" t="s">
        <v>407</v>
      </c>
      <c r="L178" t="s">
        <v>409</v>
      </c>
      <c r="M178" t="s">
        <v>131</v>
      </c>
      <c r="N178">
        <v>5</v>
      </c>
      <c r="P178" t="s">
        <v>41</v>
      </c>
      <c r="Q178" t="s">
        <v>95</v>
      </c>
      <c r="R178" t="str">
        <f>"7053047"</f>
        <v>7053047</v>
      </c>
      <c r="S178" t="s">
        <v>753</v>
      </c>
      <c r="T178" t="s">
        <v>407</v>
      </c>
      <c r="U178" t="s">
        <v>409</v>
      </c>
      <c r="V178" t="s">
        <v>131</v>
      </c>
      <c r="W178" t="s">
        <v>51</v>
      </c>
      <c r="X178" t="s">
        <v>45</v>
      </c>
      <c r="Y178" s="1">
        <v>30820</v>
      </c>
      <c r="Z178">
        <v>1</v>
      </c>
      <c r="AA178" t="s">
        <v>409</v>
      </c>
      <c r="AB178" s="40" t="s">
        <v>1794</v>
      </c>
    </row>
    <row r="179" spans="1:28" x14ac:dyDescent="0.25">
      <c r="A179">
        <v>99910178</v>
      </c>
      <c r="B179" t="s">
        <v>32</v>
      </c>
      <c r="C179" t="s">
        <v>46</v>
      </c>
      <c r="D179" t="s">
        <v>47</v>
      </c>
      <c r="G179" t="s">
        <v>35</v>
      </c>
      <c r="H179">
        <v>1</v>
      </c>
      <c r="I179" t="s">
        <v>323</v>
      </c>
      <c r="J179" s="1">
        <v>43353</v>
      </c>
      <c r="K179" t="s">
        <v>300</v>
      </c>
      <c r="L179" t="s">
        <v>301</v>
      </c>
      <c r="M179" t="s">
        <v>131</v>
      </c>
      <c r="N179">
        <v>5</v>
      </c>
      <c r="O179" s="1">
        <v>43353</v>
      </c>
      <c r="P179" t="s">
        <v>41</v>
      </c>
      <c r="Q179" t="s">
        <v>42</v>
      </c>
      <c r="R179" t="str">
        <f>"0580106"</f>
        <v>0580106</v>
      </c>
      <c r="S179" t="s">
        <v>306</v>
      </c>
      <c r="T179" t="s">
        <v>300</v>
      </c>
      <c r="U179" t="s">
        <v>301</v>
      </c>
      <c r="V179" t="s">
        <v>131</v>
      </c>
      <c r="W179" t="s">
        <v>44</v>
      </c>
      <c r="X179" t="s">
        <v>45</v>
      </c>
      <c r="Y179" s="1">
        <v>30457</v>
      </c>
      <c r="Z179">
        <v>2</v>
      </c>
      <c r="AA179" t="s">
        <v>301</v>
      </c>
      <c r="AB179" s="40" t="s">
        <v>1794</v>
      </c>
    </row>
    <row r="180" spans="1:28" x14ac:dyDescent="0.25">
      <c r="A180">
        <v>99910179</v>
      </c>
      <c r="B180" t="s">
        <v>32</v>
      </c>
      <c r="C180" t="s">
        <v>90</v>
      </c>
      <c r="D180" t="s">
        <v>91</v>
      </c>
      <c r="G180" t="s">
        <v>35</v>
      </c>
      <c r="H180">
        <v>1</v>
      </c>
      <c r="K180" t="s">
        <v>877</v>
      </c>
      <c r="L180" t="s">
        <v>878</v>
      </c>
      <c r="M180" t="s">
        <v>131</v>
      </c>
      <c r="N180">
        <v>5</v>
      </c>
      <c r="P180" t="s">
        <v>41</v>
      </c>
      <c r="Q180" t="s">
        <v>95</v>
      </c>
      <c r="R180" t="str">
        <f>"7541097"</f>
        <v>7541097</v>
      </c>
      <c r="S180" t="s">
        <v>903</v>
      </c>
      <c r="T180" t="s">
        <v>877</v>
      </c>
      <c r="U180" t="s">
        <v>878</v>
      </c>
      <c r="V180" t="s">
        <v>131</v>
      </c>
      <c r="W180" t="s">
        <v>51</v>
      </c>
      <c r="X180" t="s">
        <v>45</v>
      </c>
      <c r="Y180" s="1">
        <v>30308</v>
      </c>
      <c r="Z180">
        <v>1</v>
      </c>
      <c r="AA180" t="s">
        <v>878</v>
      </c>
      <c r="AB180" s="40" t="s">
        <v>1794</v>
      </c>
    </row>
    <row r="181" spans="1:28" x14ac:dyDescent="0.25">
      <c r="A181">
        <v>99910180</v>
      </c>
      <c r="B181" t="s">
        <v>32</v>
      </c>
      <c r="C181" t="s">
        <v>90</v>
      </c>
      <c r="D181" t="s">
        <v>91</v>
      </c>
      <c r="G181" t="s">
        <v>35</v>
      </c>
      <c r="H181">
        <v>1</v>
      </c>
      <c r="K181" t="s">
        <v>1502</v>
      </c>
      <c r="L181" t="s">
        <v>1503</v>
      </c>
      <c r="M181" t="s">
        <v>670</v>
      </c>
      <c r="N181">
        <v>5</v>
      </c>
      <c r="P181" t="s">
        <v>41</v>
      </c>
      <c r="Q181" t="s">
        <v>95</v>
      </c>
      <c r="R181" t="str">
        <f>"7171017"</f>
        <v>7171017</v>
      </c>
      <c r="S181" t="s">
        <v>1509</v>
      </c>
      <c r="T181" t="s">
        <v>1502</v>
      </c>
      <c r="U181" t="s">
        <v>1503</v>
      </c>
      <c r="V181" t="s">
        <v>670</v>
      </c>
      <c r="W181" t="s">
        <v>51</v>
      </c>
      <c r="X181" t="s">
        <v>45</v>
      </c>
      <c r="Y181" s="1">
        <v>30294</v>
      </c>
      <c r="Z181">
        <v>1</v>
      </c>
      <c r="AA181" t="s">
        <v>1503</v>
      </c>
      <c r="AB181" s="40" t="s">
        <v>1794</v>
      </c>
    </row>
    <row r="182" spans="1:28" x14ac:dyDescent="0.25">
      <c r="A182">
        <v>99910181</v>
      </c>
      <c r="B182" t="s">
        <v>32</v>
      </c>
      <c r="C182" t="s">
        <v>90</v>
      </c>
      <c r="D182" t="s">
        <v>91</v>
      </c>
      <c r="G182" t="s">
        <v>35</v>
      </c>
      <c r="H182">
        <v>1</v>
      </c>
      <c r="K182" t="s">
        <v>877</v>
      </c>
      <c r="L182" t="s">
        <v>878</v>
      </c>
      <c r="M182" t="s">
        <v>131</v>
      </c>
      <c r="N182">
        <v>5</v>
      </c>
      <c r="P182" t="s">
        <v>41</v>
      </c>
      <c r="Q182" t="s">
        <v>95</v>
      </c>
      <c r="R182" t="str">
        <f>"7541039"</f>
        <v>7541039</v>
      </c>
      <c r="S182" t="s">
        <v>891</v>
      </c>
      <c r="T182" t="s">
        <v>877</v>
      </c>
      <c r="U182" t="s">
        <v>878</v>
      </c>
      <c r="V182" t="s">
        <v>131</v>
      </c>
      <c r="W182" t="s">
        <v>165</v>
      </c>
      <c r="X182" t="s">
        <v>45</v>
      </c>
      <c r="Y182" s="1">
        <v>30111</v>
      </c>
      <c r="Z182">
        <v>1</v>
      </c>
      <c r="AA182" t="s">
        <v>878</v>
      </c>
      <c r="AB182" s="40" t="s">
        <v>1794</v>
      </c>
    </row>
    <row r="183" spans="1:28" x14ac:dyDescent="0.25">
      <c r="A183">
        <v>99910182</v>
      </c>
      <c r="B183" t="s">
        <v>32</v>
      </c>
      <c r="C183" t="s">
        <v>71</v>
      </c>
      <c r="D183" t="s">
        <v>72</v>
      </c>
      <c r="G183" t="s">
        <v>35</v>
      </c>
      <c r="H183">
        <v>1</v>
      </c>
      <c r="I183">
        <v>4549</v>
      </c>
      <c r="J183" s="1">
        <v>43362</v>
      </c>
      <c r="K183" t="s">
        <v>1631</v>
      </c>
      <c r="L183" t="s">
        <v>1632</v>
      </c>
      <c r="M183" t="s">
        <v>1592</v>
      </c>
      <c r="N183">
        <v>5</v>
      </c>
      <c r="O183" s="1">
        <v>43362</v>
      </c>
      <c r="R183" t="str">
        <f>""</f>
        <v/>
      </c>
      <c r="U183" t="s">
        <v>1632</v>
      </c>
      <c r="V183" t="s">
        <v>1592</v>
      </c>
      <c r="W183" t="s">
        <v>44</v>
      </c>
      <c r="X183" t="s">
        <v>45</v>
      </c>
      <c r="Y183" s="1">
        <v>29587</v>
      </c>
      <c r="Z183">
        <v>1</v>
      </c>
      <c r="AA183" t="s">
        <v>1632</v>
      </c>
      <c r="AB183" s="40" t="s">
        <v>1794</v>
      </c>
    </row>
    <row r="184" spans="1:28" x14ac:dyDescent="0.25">
      <c r="A184">
        <v>99910183</v>
      </c>
      <c r="B184" t="s">
        <v>32</v>
      </c>
      <c r="C184" t="s">
        <v>90</v>
      </c>
      <c r="D184" t="s">
        <v>91</v>
      </c>
      <c r="G184" t="s">
        <v>35</v>
      </c>
      <c r="H184">
        <v>1</v>
      </c>
      <c r="K184" t="s">
        <v>877</v>
      </c>
      <c r="L184" t="s">
        <v>878</v>
      </c>
      <c r="M184" t="s">
        <v>131</v>
      </c>
      <c r="N184">
        <v>5</v>
      </c>
      <c r="P184" t="s">
        <v>41</v>
      </c>
      <c r="Q184" t="s">
        <v>95</v>
      </c>
      <c r="R184" t="str">
        <f>"7541039"</f>
        <v>7541039</v>
      </c>
      <c r="S184" t="s">
        <v>891</v>
      </c>
      <c r="T184" t="s">
        <v>877</v>
      </c>
      <c r="U184" t="s">
        <v>878</v>
      </c>
      <c r="V184" t="s">
        <v>131</v>
      </c>
      <c r="W184" t="s">
        <v>165</v>
      </c>
      <c r="X184" t="s">
        <v>45</v>
      </c>
      <c r="Y184" s="1">
        <v>29186</v>
      </c>
      <c r="Z184">
        <v>1</v>
      </c>
      <c r="AA184" t="s">
        <v>878</v>
      </c>
      <c r="AB184" s="40" t="s">
        <v>1794</v>
      </c>
    </row>
    <row r="185" spans="1:28" x14ac:dyDescent="0.25">
      <c r="A185">
        <v>99910184</v>
      </c>
      <c r="B185" t="s">
        <v>32</v>
      </c>
      <c r="C185" t="s">
        <v>71</v>
      </c>
      <c r="D185" t="s">
        <v>72</v>
      </c>
      <c r="G185" t="s">
        <v>48</v>
      </c>
      <c r="H185">
        <v>1</v>
      </c>
      <c r="K185" t="s">
        <v>1631</v>
      </c>
      <c r="L185" t="s">
        <v>1632</v>
      </c>
      <c r="M185" t="s">
        <v>1592</v>
      </c>
      <c r="N185">
        <v>5</v>
      </c>
      <c r="P185" t="s">
        <v>41</v>
      </c>
      <c r="Q185" t="s">
        <v>75</v>
      </c>
      <c r="R185" t="str">
        <f>"7021000"</f>
        <v>7021000</v>
      </c>
      <c r="S185" t="s">
        <v>1633</v>
      </c>
      <c r="T185" t="s">
        <v>1631</v>
      </c>
      <c r="U185" t="s">
        <v>1632</v>
      </c>
      <c r="V185" t="s">
        <v>1592</v>
      </c>
      <c r="W185" t="s">
        <v>51</v>
      </c>
      <c r="X185" t="s">
        <v>45</v>
      </c>
      <c r="Y185" s="1">
        <v>28856</v>
      </c>
      <c r="Z185">
        <v>1</v>
      </c>
      <c r="AA185" t="s">
        <v>1632</v>
      </c>
      <c r="AB185" s="40" t="s">
        <v>1794</v>
      </c>
    </row>
    <row r="186" spans="1:28" x14ac:dyDescent="0.25">
      <c r="A186">
        <v>99910185</v>
      </c>
      <c r="B186" t="s">
        <v>32</v>
      </c>
      <c r="C186" t="s">
        <v>46</v>
      </c>
      <c r="D186" t="s">
        <v>47</v>
      </c>
      <c r="G186" t="s">
        <v>35</v>
      </c>
      <c r="H186">
        <v>1</v>
      </c>
      <c r="I186">
        <v>0</v>
      </c>
      <c r="J186" s="1">
        <v>43344</v>
      </c>
      <c r="K186" t="s">
        <v>223</v>
      </c>
      <c r="L186" t="s">
        <v>224</v>
      </c>
      <c r="M186" t="s">
        <v>131</v>
      </c>
      <c r="N186">
        <v>5</v>
      </c>
      <c r="O186" s="1">
        <v>43344</v>
      </c>
      <c r="P186" t="s">
        <v>41</v>
      </c>
      <c r="Q186" t="s">
        <v>49</v>
      </c>
      <c r="R186" t="str">
        <f>"0591901"</f>
        <v>0591901</v>
      </c>
      <c r="S186" t="s">
        <v>230</v>
      </c>
      <c r="T186" t="s">
        <v>223</v>
      </c>
      <c r="U186" t="s">
        <v>224</v>
      </c>
      <c r="V186" t="s">
        <v>131</v>
      </c>
      <c r="W186" t="s">
        <v>44</v>
      </c>
      <c r="X186" t="s">
        <v>45</v>
      </c>
      <c r="Y186" s="1">
        <v>28700</v>
      </c>
      <c r="Z186">
        <v>2</v>
      </c>
      <c r="AA186" t="s">
        <v>224</v>
      </c>
      <c r="AB186" s="40" t="s">
        <v>1794</v>
      </c>
    </row>
    <row r="187" spans="1:28" x14ac:dyDescent="0.25">
      <c r="A187">
        <v>99910186</v>
      </c>
      <c r="B187" t="s">
        <v>32</v>
      </c>
      <c r="C187" t="s">
        <v>90</v>
      </c>
      <c r="D187" t="s">
        <v>91</v>
      </c>
      <c r="G187" t="s">
        <v>48</v>
      </c>
      <c r="H187">
        <v>1</v>
      </c>
      <c r="K187" t="s">
        <v>1631</v>
      </c>
      <c r="L187" t="s">
        <v>1632</v>
      </c>
      <c r="M187" t="s">
        <v>1592</v>
      </c>
      <c r="N187">
        <v>5</v>
      </c>
      <c r="P187" t="s">
        <v>41</v>
      </c>
      <c r="Q187" t="s">
        <v>95</v>
      </c>
      <c r="R187" t="str">
        <f>"7021005"</f>
        <v>7021005</v>
      </c>
      <c r="S187" t="s">
        <v>1638</v>
      </c>
      <c r="T187" t="s">
        <v>1631</v>
      </c>
      <c r="U187" t="s">
        <v>1632</v>
      </c>
      <c r="V187" t="s">
        <v>1592</v>
      </c>
      <c r="W187" t="s">
        <v>51</v>
      </c>
      <c r="X187" t="s">
        <v>45</v>
      </c>
      <c r="Y187" s="1">
        <v>28383</v>
      </c>
      <c r="Z187">
        <v>1</v>
      </c>
      <c r="AA187" t="s">
        <v>1632</v>
      </c>
      <c r="AB187" s="40" t="s">
        <v>1794</v>
      </c>
    </row>
    <row r="188" spans="1:28" x14ac:dyDescent="0.25">
      <c r="A188">
        <v>99910187</v>
      </c>
      <c r="B188" t="s">
        <v>56</v>
      </c>
      <c r="C188" t="s">
        <v>85</v>
      </c>
      <c r="D188" t="s">
        <v>86</v>
      </c>
      <c r="G188" t="s">
        <v>48</v>
      </c>
      <c r="H188">
        <v>1</v>
      </c>
      <c r="K188" t="s">
        <v>1487</v>
      </c>
      <c r="L188" t="s">
        <v>1488</v>
      </c>
      <c r="M188" t="s">
        <v>670</v>
      </c>
      <c r="N188">
        <v>5</v>
      </c>
      <c r="P188" t="s">
        <v>41</v>
      </c>
      <c r="Q188" t="s">
        <v>42</v>
      </c>
      <c r="R188" t="str">
        <f>"1780020"</f>
        <v>1780020</v>
      </c>
      <c r="S188" t="s">
        <v>1490</v>
      </c>
      <c r="T188" t="s">
        <v>1487</v>
      </c>
      <c r="U188" t="s">
        <v>1488</v>
      </c>
      <c r="V188" t="s">
        <v>670</v>
      </c>
      <c r="W188" t="s">
        <v>51</v>
      </c>
      <c r="X188" t="s">
        <v>45</v>
      </c>
      <c r="Y188" s="1">
        <v>28126</v>
      </c>
      <c r="Z188">
        <v>2</v>
      </c>
      <c r="AA188" t="s">
        <v>1488</v>
      </c>
      <c r="AB188" s="40" t="s">
        <v>1794</v>
      </c>
    </row>
    <row r="189" spans="1:28" x14ac:dyDescent="0.25">
      <c r="A189">
        <v>99910188</v>
      </c>
      <c r="B189" t="s">
        <v>32</v>
      </c>
      <c r="C189" t="s">
        <v>139</v>
      </c>
      <c r="D189" t="s">
        <v>140</v>
      </c>
      <c r="G189" t="s">
        <v>48</v>
      </c>
      <c r="H189">
        <v>1</v>
      </c>
      <c r="K189" t="s">
        <v>380</v>
      </c>
      <c r="L189" t="s">
        <v>381</v>
      </c>
      <c r="M189" t="s">
        <v>131</v>
      </c>
      <c r="N189">
        <v>5</v>
      </c>
      <c r="P189" t="s">
        <v>41</v>
      </c>
      <c r="Q189" t="s">
        <v>49</v>
      </c>
      <c r="R189" t="str">
        <f>"0591908"</f>
        <v>0591908</v>
      </c>
      <c r="S189" t="s">
        <v>383</v>
      </c>
      <c r="T189" t="s">
        <v>380</v>
      </c>
      <c r="U189" t="s">
        <v>381</v>
      </c>
      <c r="V189" t="s">
        <v>131</v>
      </c>
      <c r="W189" t="s">
        <v>44</v>
      </c>
      <c r="X189" t="s">
        <v>45</v>
      </c>
      <c r="Y189" s="1">
        <v>28095</v>
      </c>
      <c r="Z189">
        <v>2</v>
      </c>
      <c r="AA189" t="s">
        <v>381</v>
      </c>
      <c r="AB189" s="40" t="s">
        <v>1794</v>
      </c>
    </row>
    <row r="190" spans="1:28" x14ac:dyDescent="0.25">
      <c r="A190">
        <v>99910189</v>
      </c>
      <c r="B190" t="s">
        <v>32</v>
      </c>
      <c r="C190" t="s">
        <v>33</v>
      </c>
      <c r="D190" t="s">
        <v>34</v>
      </c>
      <c r="G190" t="s">
        <v>35</v>
      </c>
      <c r="H190">
        <v>1</v>
      </c>
      <c r="K190" t="s">
        <v>1268</v>
      </c>
      <c r="L190" t="s">
        <v>1269</v>
      </c>
      <c r="M190" t="s">
        <v>1270</v>
      </c>
      <c r="N190">
        <v>5</v>
      </c>
      <c r="P190" t="s">
        <v>41</v>
      </c>
      <c r="Q190" t="s">
        <v>922</v>
      </c>
      <c r="R190" t="str">
        <f>"1950001"</f>
        <v>1950001</v>
      </c>
      <c r="S190" t="s">
        <v>1284</v>
      </c>
      <c r="T190" t="s">
        <v>1268</v>
      </c>
      <c r="U190" t="s">
        <v>1269</v>
      </c>
      <c r="V190" t="s">
        <v>1270</v>
      </c>
      <c r="W190" t="s">
        <v>51</v>
      </c>
      <c r="X190" t="s">
        <v>45</v>
      </c>
      <c r="Y190" s="1">
        <v>27761</v>
      </c>
      <c r="Z190">
        <v>2</v>
      </c>
      <c r="AA190" t="s">
        <v>1269</v>
      </c>
      <c r="AB190" s="40" t="s">
        <v>1794</v>
      </c>
    </row>
    <row r="191" spans="1:28" x14ac:dyDescent="0.25">
      <c r="A191">
        <v>99910190</v>
      </c>
      <c r="B191" t="s">
        <v>32</v>
      </c>
      <c r="C191" t="s">
        <v>139</v>
      </c>
      <c r="D191" t="s">
        <v>140</v>
      </c>
      <c r="G191" t="s">
        <v>35</v>
      </c>
      <c r="H191">
        <v>1</v>
      </c>
      <c r="I191">
        <v>991</v>
      </c>
      <c r="J191" s="1">
        <v>43344</v>
      </c>
      <c r="K191" t="s">
        <v>354</v>
      </c>
      <c r="L191" t="s">
        <v>355</v>
      </c>
      <c r="M191" t="s">
        <v>131</v>
      </c>
      <c r="N191">
        <v>5</v>
      </c>
      <c r="O191" s="1">
        <v>43344</v>
      </c>
      <c r="P191" t="s">
        <v>41</v>
      </c>
      <c r="Q191" t="s">
        <v>75</v>
      </c>
      <c r="R191" t="str">
        <f>"7054028"</f>
        <v>7054028</v>
      </c>
      <c r="S191" t="s">
        <v>788</v>
      </c>
      <c r="T191" t="s">
        <v>354</v>
      </c>
      <c r="U191" t="s">
        <v>355</v>
      </c>
      <c r="V191" t="s">
        <v>131</v>
      </c>
      <c r="W191" t="s">
        <v>51</v>
      </c>
      <c r="X191" t="s">
        <v>45</v>
      </c>
      <c r="Y191" s="1">
        <v>27618</v>
      </c>
      <c r="Z191">
        <v>1</v>
      </c>
      <c r="AA191" t="s">
        <v>355</v>
      </c>
      <c r="AB191" s="40" t="s">
        <v>1794</v>
      </c>
    </row>
    <row r="192" spans="1:28" x14ac:dyDescent="0.25">
      <c r="A192">
        <v>99910191</v>
      </c>
      <c r="B192" t="s">
        <v>32</v>
      </c>
      <c r="C192" t="s">
        <v>139</v>
      </c>
      <c r="D192" t="s">
        <v>140</v>
      </c>
      <c r="G192" t="s">
        <v>48</v>
      </c>
      <c r="H192">
        <v>1</v>
      </c>
      <c r="K192" t="s">
        <v>380</v>
      </c>
      <c r="L192" t="s">
        <v>381</v>
      </c>
      <c r="M192" t="s">
        <v>131</v>
      </c>
      <c r="N192">
        <v>5</v>
      </c>
      <c r="P192" t="s">
        <v>41</v>
      </c>
      <c r="Q192" t="s">
        <v>49</v>
      </c>
      <c r="R192" t="str">
        <f>"0591908"</f>
        <v>0591908</v>
      </c>
      <c r="S192" t="s">
        <v>383</v>
      </c>
      <c r="T192" t="s">
        <v>380</v>
      </c>
      <c r="U192" t="s">
        <v>381</v>
      </c>
      <c r="V192" t="s">
        <v>131</v>
      </c>
      <c r="W192" t="s">
        <v>44</v>
      </c>
      <c r="X192" t="s">
        <v>45</v>
      </c>
      <c r="Y192" s="1">
        <v>27276</v>
      </c>
      <c r="Z192">
        <v>2</v>
      </c>
      <c r="AA192" t="s">
        <v>381</v>
      </c>
      <c r="AB192" s="40" t="s">
        <v>1794</v>
      </c>
    </row>
    <row r="193" spans="1:28" x14ac:dyDescent="0.25">
      <c r="A193">
        <v>99910192</v>
      </c>
      <c r="B193" t="s">
        <v>56</v>
      </c>
      <c r="C193" t="s">
        <v>85</v>
      </c>
      <c r="D193" t="s">
        <v>86</v>
      </c>
      <c r="G193" t="s">
        <v>48</v>
      </c>
      <c r="H193">
        <v>2</v>
      </c>
      <c r="K193" t="s">
        <v>129</v>
      </c>
      <c r="L193" t="s">
        <v>130</v>
      </c>
      <c r="M193" t="s">
        <v>131</v>
      </c>
      <c r="N193">
        <v>5</v>
      </c>
      <c r="P193" t="s">
        <v>41</v>
      </c>
      <c r="Q193" t="s">
        <v>42</v>
      </c>
      <c r="R193" t="str">
        <f>"0590905"</f>
        <v>0590905</v>
      </c>
      <c r="S193" t="s">
        <v>133</v>
      </c>
      <c r="T193" t="s">
        <v>129</v>
      </c>
      <c r="U193" t="s">
        <v>130</v>
      </c>
      <c r="V193" t="s">
        <v>131</v>
      </c>
      <c r="W193" t="s">
        <v>51</v>
      </c>
      <c r="X193" t="s">
        <v>45</v>
      </c>
      <c r="Y193" s="1">
        <v>26989</v>
      </c>
      <c r="Z193">
        <v>2</v>
      </c>
      <c r="AA193" t="s">
        <v>130</v>
      </c>
      <c r="AB193" s="40" t="s">
        <v>1794</v>
      </c>
    </row>
    <row r="194" spans="1:28" x14ac:dyDescent="0.25">
      <c r="A194">
        <v>99910193</v>
      </c>
      <c r="B194" t="s">
        <v>32</v>
      </c>
      <c r="C194" t="s">
        <v>90</v>
      </c>
      <c r="D194" t="s">
        <v>91</v>
      </c>
      <c r="G194" t="s">
        <v>48</v>
      </c>
      <c r="H194">
        <v>1</v>
      </c>
      <c r="K194" t="s">
        <v>407</v>
      </c>
      <c r="L194" t="s">
        <v>409</v>
      </c>
      <c r="M194" t="s">
        <v>131</v>
      </c>
      <c r="N194">
        <v>5</v>
      </c>
      <c r="P194" t="s">
        <v>41</v>
      </c>
      <c r="Q194" t="s">
        <v>95</v>
      </c>
      <c r="R194" t="str">
        <f>"7053073"</f>
        <v>7053073</v>
      </c>
      <c r="S194" t="s">
        <v>752</v>
      </c>
      <c r="T194" t="s">
        <v>407</v>
      </c>
      <c r="U194" t="s">
        <v>409</v>
      </c>
      <c r="V194" t="s">
        <v>131</v>
      </c>
      <c r="W194" t="s">
        <v>51</v>
      </c>
      <c r="X194" t="s">
        <v>45</v>
      </c>
      <c r="Y194" s="1">
        <v>26903</v>
      </c>
      <c r="Z194">
        <v>1</v>
      </c>
      <c r="AA194" t="s">
        <v>409</v>
      </c>
      <c r="AB194" s="40" t="s">
        <v>1794</v>
      </c>
    </row>
    <row r="195" spans="1:28" x14ac:dyDescent="0.25">
      <c r="A195">
        <v>99910194</v>
      </c>
      <c r="B195" t="s">
        <v>56</v>
      </c>
      <c r="C195" t="s">
        <v>141</v>
      </c>
      <c r="D195" t="s">
        <v>142</v>
      </c>
      <c r="G195" t="s">
        <v>48</v>
      </c>
      <c r="H195">
        <v>1</v>
      </c>
      <c r="K195" t="s">
        <v>223</v>
      </c>
      <c r="L195" t="s">
        <v>224</v>
      </c>
      <c r="M195" t="s">
        <v>131</v>
      </c>
      <c r="N195">
        <v>5</v>
      </c>
      <c r="P195" t="s">
        <v>41</v>
      </c>
      <c r="Q195" t="s">
        <v>49</v>
      </c>
      <c r="R195" t="str">
        <f>"0581265"</f>
        <v>0581265</v>
      </c>
      <c r="S195" t="s">
        <v>236</v>
      </c>
      <c r="T195" t="s">
        <v>223</v>
      </c>
      <c r="U195" t="s">
        <v>224</v>
      </c>
      <c r="V195" t="s">
        <v>131</v>
      </c>
      <c r="W195" t="s">
        <v>51</v>
      </c>
      <c r="X195" t="s">
        <v>45</v>
      </c>
      <c r="Y195" s="1">
        <v>26796</v>
      </c>
      <c r="Z195">
        <v>2</v>
      </c>
      <c r="AA195" t="s">
        <v>224</v>
      </c>
      <c r="AB195" s="40" t="s">
        <v>1794</v>
      </c>
    </row>
    <row r="196" spans="1:28" x14ac:dyDescent="0.25">
      <c r="A196">
        <v>99910195</v>
      </c>
      <c r="B196" t="s">
        <v>32</v>
      </c>
      <c r="C196" t="s">
        <v>71</v>
      </c>
      <c r="D196" t="s">
        <v>72</v>
      </c>
      <c r="G196" t="s">
        <v>35</v>
      </c>
      <c r="H196">
        <v>1</v>
      </c>
      <c r="I196">
        <v>991</v>
      </c>
      <c r="J196" s="1">
        <v>43344</v>
      </c>
      <c r="K196" t="s">
        <v>354</v>
      </c>
      <c r="L196" t="s">
        <v>355</v>
      </c>
      <c r="M196" t="s">
        <v>131</v>
      </c>
      <c r="N196">
        <v>5</v>
      </c>
      <c r="O196" s="1">
        <v>43344</v>
      </c>
      <c r="P196" t="s">
        <v>41</v>
      </c>
      <c r="Q196" t="s">
        <v>75</v>
      </c>
      <c r="R196" t="str">
        <f>"7054028"</f>
        <v>7054028</v>
      </c>
      <c r="S196" t="s">
        <v>788</v>
      </c>
      <c r="T196" t="s">
        <v>354</v>
      </c>
      <c r="U196" t="s">
        <v>355</v>
      </c>
      <c r="V196" t="s">
        <v>131</v>
      </c>
      <c r="W196" t="s">
        <v>51</v>
      </c>
      <c r="X196" t="s">
        <v>45</v>
      </c>
      <c r="Y196" s="1">
        <v>26665</v>
      </c>
      <c r="Z196">
        <v>1</v>
      </c>
      <c r="AA196" t="s">
        <v>355</v>
      </c>
      <c r="AB196" s="40" t="s">
        <v>1794</v>
      </c>
    </row>
    <row r="197" spans="1:28" x14ac:dyDescent="0.25">
      <c r="A197">
        <v>99910196</v>
      </c>
      <c r="B197" t="s">
        <v>32</v>
      </c>
      <c r="C197" t="s">
        <v>139</v>
      </c>
      <c r="D197" t="s">
        <v>140</v>
      </c>
      <c r="G197" t="s">
        <v>35</v>
      </c>
      <c r="H197">
        <v>1</v>
      </c>
      <c r="I197">
        <v>21106</v>
      </c>
      <c r="J197" s="1">
        <v>43344</v>
      </c>
      <c r="K197" t="s">
        <v>380</v>
      </c>
      <c r="L197" t="s">
        <v>381</v>
      </c>
      <c r="M197" t="s">
        <v>131</v>
      </c>
      <c r="N197">
        <v>5</v>
      </c>
      <c r="O197" s="1">
        <v>43344</v>
      </c>
      <c r="P197" t="s">
        <v>41</v>
      </c>
      <c r="Q197" t="s">
        <v>49</v>
      </c>
      <c r="R197" t="str">
        <f>"0591908"</f>
        <v>0591908</v>
      </c>
      <c r="S197" t="s">
        <v>383</v>
      </c>
      <c r="T197" t="s">
        <v>380</v>
      </c>
      <c r="U197" t="s">
        <v>381</v>
      </c>
      <c r="V197" t="s">
        <v>131</v>
      </c>
      <c r="W197" t="s">
        <v>44</v>
      </c>
      <c r="X197" t="s">
        <v>45</v>
      </c>
      <c r="Y197" s="1">
        <v>26320</v>
      </c>
      <c r="Z197">
        <v>2</v>
      </c>
      <c r="AA197" t="s">
        <v>381</v>
      </c>
      <c r="AB197" s="40" t="s">
        <v>1794</v>
      </c>
    </row>
    <row r="198" spans="1:28" x14ac:dyDescent="0.25">
      <c r="A198">
        <v>99910197</v>
      </c>
      <c r="B198" t="s">
        <v>32</v>
      </c>
      <c r="C198" t="s">
        <v>85</v>
      </c>
      <c r="D198" t="s">
        <v>86</v>
      </c>
      <c r="G198" t="s">
        <v>35</v>
      </c>
      <c r="H198">
        <v>1</v>
      </c>
      <c r="I198">
        <v>4616</v>
      </c>
      <c r="J198" s="1">
        <v>43350</v>
      </c>
      <c r="K198" t="s">
        <v>919</v>
      </c>
      <c r="L198" t="s">
        <v>920</v>
      </c>
      <c r="M198" t="s">
        <v>921</v>
      </c>
      <c r="N198">
        <v>5</v>
      </c>
      <c r="O198" s="1">
        <v>43350</v>
      </c>
      <c r="P198" t="s">
        <v>41</v>
      </c>
      <c r="Q198" t="s">
        <v>922</v>
      </c>
      <c r="R198" t="str">
        <f>"5162001"</f>
        <v>5162001</v>
      </c>
      <c r="S198" t="s">
        <v>923</v>
      </c>
      <c r="T198" t="s">
        <v>919</v>
      </c>
      <c r="U198" t="s">
        <v>920</v>
      </c>
      <c r="V198" t="s">
        <v>921</v>
      </c>
      <c r="W198" t="s">
        <v>44</v>
      </c>
      <c r="X198" t="s">
        <v>45</v>
      </c>
      <c r="Y198" s="1">
        <v>26010</v>
      </c>
      <c r="Z198">
        <v>2</v>
      </c>
      <c r="AA198" t="s">
        <v>920</v>
      </c>
      <c r="AB198" s="40" t="s">
        <v>1794</v>
      </c>
    </row>
    <row r="199" spans="1:28" x14ac:dyDescent="0.25">
      <c r="A199">
        <v>99910198</v>
      </c>
      <c r="B199" t="s">
        <v>56</v>
      </c>
      <c r="C199" t="s">
        <v>141</v>
      </c>
      <c r="D199" t="s">
        <v>142</v>
      </c>
      <c r="G199" t="s">
        <v>35</v>
      </c>
      <c r="H199">
        <v>1</v>
      </c>
      <c r="I199" t="s">
        <v>1608</v>
      </c>
      <c r="J199" s="1">
        <v>43344</v>
      </c>
      <c r="K199" t="s">
        <v>1590</v>
      </c>
      <c r="L199" t="s">
        <v>1591</v>
      </c>
      <c r="M199" t="s">
        <v>1592</v>
      </c>
      <c r="N199">
        <v>5</v>
      </c>
      <c r="O199" s="1">
        <v>43344</v>
      </c>
      <c r="P199" t="s">
        <v>41</v>
      </c>
      <c r="Q199" t="s">
        <v>49</v>
      </c>
      <c r="R199" t="str">
        <f>"0260001"</f>
        <v>0260001</v>
      </c>
      <c r="S199" t="s">
        <v>1595</v>
      </c>
      <c r="T199" t="s">
        <v>1590</v>
      </c>
      <c r="U199" t="s">
        <v>1591</v>
      </c>
      <c r="V199" t="s">
        <v>1592</v>
      </c>
      <c r="W199" t="s">
        <v>51</v>
      </c>
      <c r="X199" t="s">
        <v>45</v>
      </c>
      <c r="Y199" s="1">
        <v>25671</v>
      </c>
      <c r="Z199">
        <v>2</v>
      </c>
      <c r="AA199" t="s">
        <v>1591</v>
      </c>
      <c r="AB199" s="40" t="s">
        <v>1794</v>
      </c>
    </row>
    <row r="200" spans="1:28" x14ac:dyDescent="0.25">
      <c r="A200">
        <v>99910199</v>
      </c>
      <c r="B200" t="s">
        <v>32</v>
      </c>
      <c r="C200" t="s">
        <v>46</v>
      </c>
      <c r="D200" t="s">
        <v>47</v>
      </c>
      <c r="G200" t="s">
        <v>48</v>
      </c>
      <c r="H200">
        <v>1</v>
      </c>
      <c r="K200" t="s">
        <v>223</v>
      </c>
      <c r="L200" t="s">
        <v>224</v>
      </c>
      <c r="M200" t="s">
        <v>131</v>
      </c>
      <c r="N200">
        <v>5</v>
      </c>
      <c r="P200" t="s">
        <v>41</v>
      </c>
      <c r="Q200" t="s">
        <v>42</v>
      </c>
      <c r="R200" t="str">
        <f>"0561007"</f>
        <v>0561007</v>
      </c>
      <c r="S200" t="s">
        <v>262</v>
      </c>
      <c r="T200" t="s">
        <v>223</v>
      </c>
      <c r="U200" t="s">
        <v>224</v>
      </c>
      <c r="V200" t="s">
        <v>131</v>
      </c>
      <c r="W200" t="s">
        <v>51</v>
      </c>
      <c r="X200" t="s">
        <v>45</v>
      </c>
      <c r="Y200" s="1">
        <v>24922</v>
      </c>
      <c r="Z200">
        <v>2</v>
      </c>
      <c r="AA200" t="s">
        <v>224</v>
      </c>
      <c r="AB200" s="40" t="s">
        <v>1794</v>
      </c>
    </row>
    <row r="201" spans="1:28" x14ac:dyDescent="0.25">
      <c r="A201">
        <v>99910200</v>
      </c>
      <c r="B201" t="s">
        <v>32</v>
      </c>
      <c r="C201" t="s">
        <v>46</v>
      </c>
      <c r="D201" t="s">
        <v>47</v>
      </c>
      <c r="G201" t="s">
        <v>35</v>
      </c>
      <c r="H201">
        <v>1</v>
      </c>
      <c r="I201">
        <v>16805</v>
      </c>
      <c r="J201" s="1">
        <v>43388</v>
      </c>
      <c r="K201" t="s">
        <v>1306</v>
      </c>
      <c r="L201" t="s">
        <v>1307</v>
      </c>
      <c r="M201" t="s">
        <v>1270</v>
      </c>
      <c r="N201">
        <v>5</v>
      </c>
      <c r="O201" s="1">
        <v>43388</v>
      </c>
      <c r="P201" t="s">
        <v>41</v>
      </c>
      <c r="Q201" t="s">
        <v>42</v>
      </c>
      <c r="R201" t="str">
        <f>"1990915"</f>
        <v>1990915</v>
      </c>
      <c r="S201" t="s">
        <v>1308</v>
      </c>
      <c r="T201" t="s">
        <v>1306</v>
      </c>
      <c r="U201" t="s">
        <v>1307</v>
      </c>
      <c r="V201" t="s">
        <v>1270</v>
      </c>
      <c r="W201" t="s">
        <v>44</v>
      </c>
      <c r="X201" t="s">
        <v>45</v>
      </c>
      <c r="Y201" s="1">
        <v>24838</v>
      </c>
      <c r="Z201">
        <v>2</v>
      </c>
      <c r="AA201" t="s">
        <v>1307</v>
      </c>
      <c r="AB201" s="40" t="s">
        <v>1794</v>
      </c>
    </row>
    <row r="202" spans="1:28" x14ac:dyDescent="0.25">
      <c r="A202">
        <v>99910201</v>
      </c>
      <c r="B202" t="s">
        <v>56</v>
      </c>
      <c r="C202" t="s">
        <v>90</v>
      </c>
      <c r="D202" t="s">
        <v>91</v>
      </c>
      <c r="G202" t="s">
        <v>48</v>
      </c>
      <c r="H202">
        <v>1</v>
      </c>
      <c r="K202" t="s">
        <v>1695</v>
      </c>
      <c r="L202" t="s">
        <v>1696</v>
      </c>
      <c r="M202" t="s">
        <v>1592</v>
      </c>
      <c r="N202">
        <v>5</v>
      </c>
      <c r="P202" t="s">
        <v>41</v>
      </c>
      <c r="Q202" t="s">
        <v>95</v>
      </c>
      <c r="R202" t="str">
        <f>"7361011"</f>
        <v>7361011</v>
      </c>
      <c r="S202" t="s">
        <v>1699</v>
      </c>
      <c r="T202" t="s">
        <v>1695</v>
      </c>
      <c r="U202" t="s">
        <v>1696</v>
      </c>
      <c r="V202" t="s">
        <v>1592</v>
      </c>
      <c r="W202" t="s">
        <v>51</v>
      </c>
      <c r="X202" t="s">
        <v>45</v>
      </c>
      <c r="Y202" s="1">
        <v>24732</v>
      </c>
      <c r="Z202">
        <v>1</v>
      </c>
      <c r="AA202" t="s">
        <v>1696</v>
      </c>
      <c r="AB202" s="40" t="s">
        <v>1794</v>
      </c>
    </row>
    <row r="203" spans="1:28" x14ac:dyDescent="0.25">
      <c r="A203">
        <v>99910202</v>
      </c>
      <c r="B203" t="s">
        <v>32</v>
      </c>
      <c r="C203" t="s">
        <v>71</v>
      </c>
      <c r="D203" t="s">
        <v>72</v>
      </c>
      <c r="G203" t="s">
        <v>35</v>
      </c>
      <c r="H203">
        <v>1</v>
      </c>
      <c r="I203" t="s">
        <v>250</v>
      </c>
      <c r="J203" s="1">
        <v>43348</v>
      </c>
      <c r="K203" t="s">
        <v>354</v>
      </c>
      <c r="L203" t="s">
        <v>355</v>
      </c>
      <c r="M203" t="s">
        <v>131</v>
      </c>
      <c r="N203">
        <v>5</v>
      </c>
      <c r="O203" s="1">
        <v>43348</v>
      </c>
      <c r="P203" t="s">
        <v>41</v>
      </c>
      <c r="Q203" t="s">
        <v>75</v>
      </c>
      <c r="R203" t="str">
        <f>"7054038"</f>
        <v>7054038</v>
      </c>
      <c r="S203" t="s">
        <v>377</v>
      </c>
      <c r="T203" t="s">
        <v>354</v>
      </c>
      <c r="U203" t="s">
        <v>355</v>
      </c>
      <c r="V203" t="s">
        <v>131</v>
      </c>
      <c r="W203" t="s">
        <v>51</v>
      </c>
      <c r="X203" t="s">
        <v>45</v>
      </c>
      <c r="Y203" s="1">
        <v>24616</v>
      </c>
      <c r="Z203">
        <v>1</v>
      </c>
      <c r="AA203" t="s">
        <v>355</v>
      </c>
      <c r="AB203" s="40" t="s">
        <v>1794</v>
      </c>
    </row>
    <row r="204" spans="1:28" x14ac:dyDescent="0.25">
      <c r="A204">
        <v>99910203</v>
      </c>
      <c r="B204" t="s">
        <v>32</v>
      </c>
      <c r="C204" t="s">
        <v>90</v>
      </c>
      <c r="D204" t="s">
        <v>91</v>
      </c>
      <c r="G204" t="s">
        <v>48</v>
      </c>
      <c r="H204">
        <v>1</v>
      </c>
      <c r="K204" t="s">
        <v>1631</v>
      </c>
      <c r="L204" t="s">
        <v>1632</v>
      </c>
      <c r="M204" t="s">
        <v>1592</v>
      </c>
      <c r="N204">
        <v>5</v>
      </c>
      <c r="P204" t="s">
        <v>41</v>
      </c>
      <c r="Q204" t="s">
        <v>95</v>
      </c>
      <c r="R204" t="str">
        <f>"7021019"</f>
        <v>7021019</v>
      </c>
      <c r="S204" t="s">
        <v>1645</v>
      </c>
      <c r="T204" t="s">
        <v>1631</v>
      </c>
      <c r="U204" t="s">
        <v>1632</v>
      </c>
      <c r="V204" t="s">
        <v>1592</v>
      </c>
      <c r="W204" t="s">
        <v>51</v>
      </c>
      <c r="X204" t="s">
        <v>45</v>
      </c>
      <c r="Y204" s="1">
        <v>24582</v>
      </c>
      <c r="Z204">
        <v>1</v>
      </c>
      <c r="AA204" t="s">
        <v>1632</v>
      </c>
      <c r="AB204" s="40" t="s">
        <v>1794</v>
      </c>
    </row>
    <row r="205" spans="1:28" x14ac:dyDescent="0.25">
      <c r="A205">
        <v>99910204</v>
      </c>
      <c r="B205" t="s">
        <v>56</v>
      </c>
      <c r="C205" t="s">
        <v>33</v>
      </c>
      <c r="D205" t="s">
        <v>34</v>
      </c>
      <c r="G205" t="s">
        <v>35</v>
      </c>
      <c r="H205">
        <v>1</v>
      </c>
      <c r="K205" t="s">
        <v>223</v>
      </c>
      <c r="L205" t="s">
        <v>224</v>
      </c>
      <c r="M205" t="s">
        <v>131</v>
      </c>
      <c r="N205">
        <v>5</v>
      </c>
      <c r="P205" t="s">
        <v>41</v>
      </c>
      <c r="Q205" t="s">
        <v>42</v>
      </c>
      <c r="R205" t="str">
        <f>"0590903"</f>
        <v>0590903</v>
      </c>
      <c r="S205" t="s">
        <v>226</v>
      </c>
      <c r="T205" t="s">
        <v>223</v>
      </c>
      <c r="U205" t="s">
        <v>224</v>
      </c>
      <c r="V205" t="s">
        <v>131</v>
      </c>
      <c r="W205" t="s">
        <v>51</v>
      </c>
      <c r="X205" t="s">
        <v>45</v>
      </c>
      <c r="Y205" s="1">
        <v>24055</v>
      </c>
      <c r="Z205">
        <v>2</v>
      </c>
      <c r="AA205" t="s">
        <v>224</v>
      </c>
      <c r="AB205" s="40" t="s">
        <v>1794</v>
      </c>
    </row>
    <row r="206" spans="1:28" x14ac:dyDescent="0.25">
      <c r="A206">
        <v>99910205</v>
      </c>
      <c r="B206" t="s">
        <v>32</v>
      </c>
      <c r="C206" t="s">
        <v>46</v>
      </c>
      <c r="D206" t="s">
        <v>47</v>
      </c>
      <c r="G206" t="s">
        <v>48</v>
      </c>
      <c r="H206">
        <v>1</v>
      </c>
      <c r="K206" t="s">
        <v>223</v>
      </c>
      <c r="L206" t="s">
        <v>224</v>
      </c>
      <c r="M206" t="s">
        <v>131</v>
      </c>
      <c r="N206">
        <v>5</v>
      </c>
      <c r="P206" t="s">
        <v>41</v>
      </c>
      <c r="Q206" t="s">
        <v>42</v>
      </c>
      <c r="R206" t="str">
        <f>"0580202"</f>
        <v>0580202</v>
      </c>
      <c r="S206" t="s">
        <v>240</v>
      </c>
      <c r="T206" t="s">
        <v>223</v>
      </c>
      <c r="U206" t="s">
        <v>224</v>
      </c>
      <c r="V206" t="s">
        <v>131</v>
      </c>
      <c r="W206" t="s">
        <v>51</v>
      </c>
      <c r="X206" t="s">
        <v>45</v>
      </c>
      <c r="Y206" s="1">
        <v>23949</v>
      </c>
      <c r="Z206">
        <v>2</v>
      </c>
      <c r="AA206" t="s">
        <v>224</v>
      </c>
      <c r="AB206" s="40" t="s">
        <v>1794</v>
      </c>
    </row>
    <row r="207" spans="1:28" x14ac:dyDescent="0.25">
      <c r="A207">
        <v>99910206</v>
      </c>
      <c r="B207" t="s">
        <v>32</v>
      </c>
      <c r="C207" t="s">
        <v>52</v>
      </c>
      <c r="D207" t="s">
        <v>53</v>
      </c>
      <c r="G207" t="s">
        <v>48</v>
      </c>
      <c r="H207">
        <v>1</v>
      </c>
      <c r="K207" t="s">
        <v>157</v>
      </c>
      <c r="L207" t="s">
        <v>158</v>
      </c>
      <c r="M207" t="s">
        <v>131</v>
      </c>
      <c r="N207">
        <v>5</v>
      </c>
      <c r="P207" t="s">
        <v>41</v>
      </c>
      <c r="Q207" t="s">
        <v>42</v>
      </c>
      <c r="R207" t="str">
        <f>"0580290"</f>
        <v>0580290</v>
      </c>
      <c r="S207" t="s">
        <v>171</v>
      </c>
      <c r="T207" t="s">
        <v>157</v>
      </c>
      <c r="U207" t="s">
        <v>158</v>
      </c>
      <c r="V207" t="s">
        <v>131</v>
      </c>
      <c r="W207" t="s">
        <v>51</v>
      </c>
      <c r="X207" t="s">
        <v>45</v>
      </c>
      <c r="Y207" s="1">
        <v>23927</v>
      </c>
      <c r="Z207">
        <v>2</v>
      </c>
      <c r="AA207" t="s">
        <v>158</v>
      </c>
      <c r="AB207" s="40" t="s">
        <v>1794</v>
      </c>
    </row>
    <row r="208" spans="1:28" x14ac:dyDescent="0.25">
      <c r="A208">
        <v>99910207</v>
      </c>
      <c r="B208" t="s">
        <v>56</v>
      </c>
      <c r="C208" t="s">
        <v>52</v>
      </c>
      <c r="D208" t="s">
        <v>53</v>
      </c>
      <c r="G208" t="s">
        <v>48</v>
      </c>
      <c r="H208">
        <v>10</v>
      </c>
      <c r="K208" t="s">
        <v>345</v>
      </c>
      <c r="L208" t="s">
        <v>346</v>
      </c>
      <c r="M208" t="s">
        <v>131</v>
      </c>
      <c r="N208">
        <v>5</v>
      </c>
      <c r="P208" t="s">
        <v>41</v>
      </c>
      <c r="Q208" t="s">
        <v>42</v>
      </c>
      <c r="R208" t="str">
        <f>"0561019"</f>
        <v>0561019</v>
      </c>
      <c r="S208" t="s">
        <v>351</v>
      </c>
      <c r="T208" t="s">
        <v>345</v>
      </c>
      <c r="U208" t="s">
        <v>346</v>
      </c>
      <c r="V208" t="s">
        <v>131</v>
      </c>
      <c r="W208" t="s">
        <v>51</v>
      </c>
      <c r="X208" t="s">
        <v>45</v>
      </c>
      <c r="Y208" s="1">
        <v>23669</v>
      </c>
      <c r="Z208">
        <v>2</v>
      </c>
      <c r="AA208" t="s">
        <v>346</v>
      </c>
      <c r="AB208" s="40" t="s">
        <v>1794</v>
      </c>
    </row>
    <row r="209" spans="1:28" x14ac:dyDescent="0.25">
      <c r="A209">
        <v>99910208</v>
      </c>
      <c r="B209" t="s">
        <v>32</v>
      </c>
      <c r="C209" t="s">
        <v>139</v>
      </c>
      <c r="D209" t="s">
        <v>140</v>
      </c>
      <c r="G209" t="s">
        <v>35</v>
      </c>
      <c r="H209">
        <v>1</v>
      </c>
      <c r="K209" t="s">
        <v>268</v>
      </c>
      <c r="L209" t="s">
        <v>269</v>
      </c>
      <c r="M209" t="s">
        <v>131</v>
      </c>
      <c r="N209">
        <v>5</v>
      </c>
      <c r="P209" t="s">
        <v>41</v>
      </c>
      <c r="Q209" t="s">
        <v>75</v>
      </c>
      <c r="R209" t="str">
        <f>"7052028"</f>
        <v>7052028</v>
      </c>
      <c r="S209" t="s">
        <v>601</v>
      </c>
      <c r="T209" t="s">
        <v>268</v>
      </c>
      <c r="U209" t="s">
        <v>269</v>
      </c>
      <c r="V209" t="s">
        <v>131</v>
      </c>
      <c r="W209" t="s">
        <v>51</v>
      </c>
      <c r="X209" t="s">
        <v>45</v>
      </c>
      <c r="Y209" s="1">
        <v>23664</v>
      </c>
      <c r="Z209">
        <v>1</v>
      </c>
      <c r="AA209" t="s">
        <v>269</v>
      </c>
      <c r="AB209" s="40" t="s">
        <v>1794</v>
      </c>
    </row>
    <row r="210" spans="1:28" x14ac:dyDescent="0.25">
      <c r="A210">
        <v>99910209</v>
      </c>
      <c r="B210" t="s">
        <v>32</v>
      </c>
      <c r="C210" t="s">
        <v>46</v>
      </c>
      <c r="D210" t="s">
        <v>47</v>
      </c>
      <c r="G210" t="s">
        <v>35</v>
      </c>
      <c r="H210">
        <v>1</v>
      </c>
      <c r="K210" t="s">
        <v>162</v>
      </c>
      <c r="L210" t="s">
        <v>158</v>
      </c>
      <c r="M210" t="s">
        <v>131</v>
      </c>
      <c r="N210">
        <v>5</v>
      </c>
      <c r="P210" t="s">
        <v>41</v>
      </c>
      <c r="Q210" t="s">
        <v>49</v>
      </c>
      <c r="R210" t="str">
        <f>"0581325"</f>
        <v>0581325</v>
      </c>
      <c r="S210" t="s">
        <v>169</v>
      </c>
      <c r="T210" t="s">
        <v>162</v>
      </c>
      <c r="U210" t="s">
        <v>158</v>
      </c>
      <c r="V210" t="s">
        <v>131</v>
      </c>
      <c r="W210" t="s">
        <v>165</v>
      </c>
      <c r="X210" t="s">
        <v>45</v>
      </c>
      <c r="Y210" s="1">
        <v>23437</v>
      </c>
      <c r="Z210">
        <v>2</v>
      </c>
      <c r="AA210" t="s">
        <v>158</v>
      </c>
      <c r="AB210" s="40" t="s">
        <v>1794</v>
      </c>
    </row>
    <row r="211" spans="1:28" x14ac:dyDescent="0.25">
      <c r="A211">
        <v>99910210</v>
      </c>
      <c r="B211" t="s">
        <v>32</v>
      </c>
      <c r="C211" t="s">
        <v>257</v>
      </c>
      <c r="D211" t="s">
        <v>258</v>
      </c>
      <c r="G211" t="s">
        <v>35</v>
      </c>
      <c r="H211">
        <v>1</v>
      </c>
      <c r="K211" t="s">
        <v>300</v>
      </c>
      <c r="L211" t="s">
        <v>301</v>
      </c>
      <c r="M211" t="s">
        <v>131</v>
      </c>
      <c r="N211">
        <v>5</v>
      </c>
      <c r="P211" t="s">
        <v>41</v>
      </c>
      <c r="Q211" t="s">
        <v>49</v>
      </c>
      <c r="R211" t="str">
        <f>"0560029"</f>
        <v>0560029</v>
      </c>
      <c r="S211" t="s">
        <v>309</v>
      </c>
      <c r="T211" t="s">
        <v>300</v>
      </c>
      <c r="U211" t="s">
        <v>301</v>
      </c>
      <c r="V211" t="s">
        <v>131</v>
      </c>
      <c r="W211" t="s">
        <v>51</v>
      </c>
      <c r="X211" t="s">
        <v>45</v>
      </c>
      <c r="Y211" s="1">
        <v>22721</v>
      </c>
      <c r="Z211">
        <v>2</v>
      </c>
      <c r="AA211" t="s">
        <v>301</v>
      </c>
      <c r="AB211" s="40" t="s">
        <v>1794</v>
      </c>
    </row>
    <row r="212" spans="1:28" x14ac:dyDescent="0.25">
      <c r="A212">
        <v>99910211</v>
      </c>
      <c r="B212" t="s">
        <v>32</v>
      </c>
      <c r="C212" t="s">
        <v>139</v>
      </c>
      <c r="D212" t="s">
        <v>140</v>
      </c>
      <c r="G212" t="s">
        <v>48</v>
      </c>
      <c r="H212">
        <v>1</v>
      </c>
      <c r="K212" t="s">
        <v>154</v>
      </c>
      <c r="L212" t="s">
        <v>155</v>
      </c>
      <c r="M212" t="s">
        <v>131</v>
      </c>
      <c r="N212">
        <v>5</v>
      </c>
      <c r="P212" t="s">
        <v>41</v>
      </c>
      <c r="Q212" t="s">
        <v>75</v>
      </c>
      <c r="R212" t="str">
        <f>"7700026"</f>
        <v>7700026</v>
      </c>
      <c r="S212" t="s">
        <v>397</v>
      </c>
      <c r="T212" t="s">
        <v>154</v>
      </c>
      <c r="U212" t="s">
        <v>155</v>
      </c>
      <c r="V212" t="s">
        <v>131</v>
      </c>
      <c r="W212" t="s">
        <v>51</v>
      </c>
      <c r="X212" t="s">
        <v>45</v>
      </c>
      <c r="Y212" s="1">
        <v>22499</v>
      </c>
      <c r="Z212">
        <v>1</v>
      </c>
      <c r="AA212" t="s">
        <v>155</v>
      </c>
      <c r="AB212" s="40" t="s">
        <v>1794</v>
      </c>
    </row>
    <row r="213" spans="1:28" x14ac:dyDescent="0.25">
      <c r="A213">
        <v>99910212</v>
      </c>
      <c r="B213" t="s">
        <v>32</v>
      </c>
      <c r="C213" t="s">
        <v>64</v>
      </c>
      <c r="D213" t="s">
        <v>65</v>
      </c>
      <c r="G213" t="s">
        <v>48</v>
      </c>
      <c r="H213">
        <v>1</v>
      </c>
      <c r="K213" t="s">
        <v>223</v>
      </c>
      <c r="L213" t="s">
        <v>224</v>
      </c>
      <c r="M213" t="s">
        <v>131</v>
      </c>
      <c r="N213">
        <v>5</v>
      </c>
      <c r="P213" t="s">
        <v>41</v>
      </c>
      <c r="Q213" t="s">
        <v>42</v>
      </c>
      <c r="R213" t="str">
        <f>"0561007"</f>
        <v>0561007</v>
      </c>
      <c r="S213" t="s">
        <v>262</v>
      </c>
      <c r="T213" t="s">
        <v>223</v>
      </c>
      <c r="U213" t="s">
        <v>224</v>
      </c>
      <c r="V213" t="s">
        <v>131</v>
      </c>
      <c r="W213" t="s">
        <v>51</v>
      </c>
      <c r="X213" t="s">
        <v>45</v>
      </c>
      <c r="Y213" s="1">
        <v>22360</v>
      </c>
      <c r="Z213">
        <v>2</v>
      </c>
      <c r="AA213" t="s">
        <v>224</v>
      </c>
      <c r="AB213" s="40" t="s">
        <v>1794</v>
      </c>
    </row>
    <row r="214" spans="1:28" x14ac:dyDescent="0.25">
      <c r="A214">
        <v>99910213</v>
      </c>
      <c r="B214" t="s">
        <v>56</v>
      </c>
      <c r="C214" t="s">
        <v>46</v>
      </c>
      <c r="D214" t="s">
        <v>47</v>
      </c>
      <c r="G214" t="s">
        <v>35</v>
      </c>
      <c r="H214">
        <v>1</v>
      </c>
      <c r="K214" t="s">
        <v>223</v>
      </c>
      <c r="L214" t="s">
        <v>224</v>
      </c>
      <c r="M214" t="s">
        <v>131</v>
      </c>
      <c r="N214">
        <v>5</v>
      </c>
      <c r="P214" t="s">
        <v>41</v>
      </c>
      <c r="Q214" t="s">
        <v>42</v>
      </c>
      <c r="R214" t="str">
        <f>"0590902"</f>
        <v>0590902</v>
      </c>
      <c r="S214" t="s">
        <v>241</v>
      </c>
      <c r="T214" t="s">
        <v>223</v>
      </c>
      <c r="U214" t="s">
        <v>224</v>
      </c>
      <c r="V214" t="s">
        <v>131</v>
      </c>
      <c r="W214" t="s">
        <v>51</v>
      </c>
      <c r="X214" t="s">
        <v>45</v>
      </c>
      <c r="Y214" s="1">
        <v>22359</v>
      </c>
      <c r="Z214">
        <v>2</v>
      </c>
      <c r="AA214" t="s">
        <v>224</v>
      </c>
      <c r="AB214" s="40" t="s">
        <v>1794</v>
      </c>
    </row>
    <row r="215" spans="1:28" x14ac:dyDescent="0.25">
      <c r="A215">
        <v>99910214</v>
      </c>
      <c r="B215" t="s">
        <v>32</v>
      </c>
      <c r="C215" t="s">
        <v>139</v>
      </c>
      <c r="D215" t="s">
        <v>140</v>
      </c>
      <c r="G215" t="s">
        <v>48</v>
      </c>
      <c r="H215">
        <v>1</v>
      </c>
      <c r="K215" t="s">
        <v>380</v>
      </c>
      <c r="L215" t="s">
        <v>381</v>
      </c>
      <c r="M215" t="s">
        <v>131</v>
      </c>
      <c r="N215">
        <v>5</v>
      </c>
      <c r="P215" t="s">
        <v>41</v>
      </c>
      <c r="Q215" t="s">
        <v>42</v>
      </c>
      <c r="R215" t="str">
        <f>"0590908"</f>
        <v>0590908</v>
      </c>
      <c r="S215" t="s">
        <v>382</v>
      </c>
      <c r="T215" t="s">
        <v>380</v>
      </c>
      <c r="U215" t="s">
        <v>381</v>
      </c>
      <c r="V215" t="s">
        <v>131</v>
      </c>
      <c r="W215" t="s">
        <v>44</v>
      </c>
      <c r="X215" t="s">
        <v>45</v>
      </c>
      <c r="Y215" s="1">
        <v>22228</v>
      </c>
      <c r="Z215">
        <v>2</v>
      </c>
      <c r="AA215" t="s">
        <v>381</v>
      </c>
      <c r="AB215" s="40" t="s">
        <v>1794</v>
      </c>
    </row>
    <row r="216" spans="1:28" x14ac:dyDescent="0.25">
      <c r="A216">
        <v>99910215</v>
      </c>
      <c r="B216" t="s">
        <v>32</v>
      </c>
      <c r="C216" t="s">
        <v>46</v>
      </c>
      <c r="D216" t="s">
        <v>47</v>
      </c>
      <c r="G216" t="s">
        <v>48</v>
      </c>
      <c r="H216">
        <v>1</v>
      </c>
      <c r="K216" t="s">
        <v>1268</v>
      </c>
      <c r="L216" t="s">
        <v>1269</v>
      </c>
      <c r="M216" t="s">
        <v>1270</v>
      </c>
      <c r="N216">
        <v>5</v>
      </c>
      <c r="P216" t="s">
        <v>41</v>
      </c>
      <c r="Q216" t="s">
        <v>42</v>
      </c>
      <c r="R216" t="str">
        <f>"1990910"</f>
        <v>1990910</v>
      </c>
      <c r="S216" t="s">
        <v>1281</v>
      </c>
      <c r="T216" t="s">
        <v>1268</v>
      </c>
      <c r="U216" t="s">
        <v>1269</v>
      </c>
      <c r="V216" t="s">
        <v>1270</v>
      </c>
      <c r="W216" t="s">
        <v>165</v>
      </c>
      <c r="X216" t="s">
        <v>45</v>
      </c>
      <c r="Y216" s="1">
        <v>21727</v>
      </c>
      <c r="Z216">
        <v>2</v>
      </c>
      <c r="AA216" t="s">
        <v>1269</v>
      </c>
      <c r="AB216" s="40" t="s">
        <v>1794</v>
      </c>
    </row>
    <row r="217" spans="1:28" x14ac:dyDescent="0.25">
      <c r="A217">
        <v>99910216</v>
      </c>
      <c r="B217" t="s">
        <v>32</v>
      </c>
      <c r="C217" t="s">
        <v>90</v>
      </c>
      <c r="D217" t="s">
        <v>91</v>
      </c>
      <c r="G217" t="s">
        <v>35</v>
      </c>
      <c r="H217">
        <v>4</v>
      </c>
      <c r="K217" t="s">
        <v>1077</v>
      </c>
      <c r="L217" t="s">
        <v>1078</v>
      </c>
      <c r="M217" t="s">
        <v>1053</v>
      </c>
      <c r="N217">
        <v>5</v>
      </c>
      <c r="P217" t="s">
        <v>41</v>
      </c>
      <c r="Q217" t="s">
        <v>95</v>
      </c>
      <c r="R217" t="str">
        <f>"7181001"</f>
        <v>7181001</v>
      </c>
      <c r="S217" t="s">
        <v>1079</v>
      </c>
      <c r="T217" t="s">
        <v>1077</v>
      </c>
      <c r="U217" t="s">
        <v>1078</v>
      </c>
      <c r="V217" t="s">
        <v>1053</v>
      </c>
      <c r="W217" t="s">
        <v>51</v>
      </c>
      <c r="X217" t="s">
        <v>45</v>
      </c>
      <c r="Y217" s="1">
        <v>21601</v>
      </c>
      <c r="Z217">
        <v>1</v>
      </c>
      <c r="AA217" t="s">
        <v>1078</v>
      </c>
      <c r="AB217" s="40" t="s">
        <v>1794</v>
      </c>
    </row>
    <row r="218" spans="1:28" x14ac:dyDescent="0.25">
      <c r="A218">
        <v>99910217</v>
      </c>
      <c r="B218" t="s">
        <v>32</v>
      </c>
      <c r="C218" t="s">
        <v>111</v>
      </c>
      <c r="D218" t="s">
        <v>112</v>
      </c>
      <c r="G218" t="s">
        <v>35</v>
      </c>
      <c r="H218">
        <v>1</v>
      </c>
      <c r="K218" t="s">
        <v>877</v>
      </c>
      <c r="L218" t="s">
        <v>878</v>
      </c>
      <c r="M218" t="s">
        <v>131</v>
      </c>
      <c r="N218">
        <v>5</v>
      </c>
      <c r="P218" t="s">
        <v>41</v>
      </c>
      <c r="Q218" t="s">
        <v>75</v>
      </c>
      <c r="R218" t="str">
        <f>"7700025"</f>
        <v>7700025</v>
      </c>
      <c r="S218" t="s">
        <v>880</v>
      </c>
      <c r="T218" t="s">
        <v>877</v>
      </c>
      <c r="U218" t="s">
        <v>878</v>
      </c>
      <c r="V218" t="s">
        <v>131</v>
      </c>
      <c r="W218" t="s">
        <v>51</v>
      </c>
      <c r="X218" t="s">
        <v>45</v>
      </c>
      <c r="Y218" s="1">
        <v>21536</v>
      </c>
      <c r="Z218">
        <v>1</v>
      </c>
      <c r="AA218" t="s">
        <v>878</v>
      </c>
      <c r="AB218" s="40" t="s">
        <v>1794</v>
      </c>
    </row>
    <row r="219" spans="1:28" x14ac:dyDescent="0.25">
      <c r="A219">
        <v>99910218</v>
      </c>
      <c r="B219" t="s">
        <v>56</v>
      </c>
      <c r="C219" t="s">
        <v>68</v>
      </c>
      <c r="D219" t="s">
        <v>69</v>
      </c>
      <c r="G219" t="s">
        <v>48</v>
      </c>
      <c r="H219">
        <v>1</v>
      </c>
      <c r="K219" t="s">
        <v>1268</v>
      </c>
      <c r="L219" t="s">
        <v>1269</v>
      </c>
      <c r="M219" t="s">
        <v>1270</v>
      </c>
      <c r="N219">
        <v>5</v>
      </c>
      <c r="P219" t="s">
        <v>41</v>
      </c>
      <c r="Q219" t="s">
        <v>42</v>
      </c>
      <c r="R219" t="str">
        <f>"1990911"</f>
        <v>1990911</v>
      </c>
      <c r="S219" t="s">
        <v>1276</v>
      </c>
      <c r="T219" t="s">
        <v>1268</v>
      </c>
      <c r="U219" t="s">
        <v>1269</v>
      </c>
      <c r="V219" t="s">
        <v>1270</v>
      </c>
      <c r="W219" t="s">
        <v>51</v>
      </c>
      <c r="X219" t="s">
        <v>45</v>
      </c>
      <c r="Y219" s="1">
        <v>21361</v>
      </c>
      <c r="Z219">
        <v>2</v>
      </c>
      <c r="AA219" t="s">
        <v>1269</v>
      </c>
      <c r="AB219" s="40" t="s">
        <v>1794</v>
      </c>
    </row>
    <row r="220" spans="1:28" x14ac:dyDescent="0.25">
      <c r="A220">
        <v>99910219</v>
      </c>
      <c r="B220" t="s">
        <v>56</v>
      </c>
      <c r="C220" t="s">
        <v>259</v>
      </c>
      <c r="D220" t="s">
        <v>260</v>
      </c>
      <c r="G220" t="s">
        <v>48</v>
      </c>
      <c r="H220">
        <v>1</v>
      </c>
      <c r="K220" t="s">
        <v>300</v>
      </c>
      <c r="L220" t="s">
        <v>301</v>
      </c>
      <c r="M220" t="s">
        <v>131</v>
      </c>
      <c r="N220">
        <v>5</v>
      </c>
      <c r="P220" t="s">
        <v>41</v>
      </c>
      <c r="Q220" t="s">
        <v>49</v>
      </c>
      <c r="R220" t="str">
        <f>"0560001"</f>
        <v>0560001</v>
      </c>
      <c r="S220" t="s">
        <v>304</v>
      </c>
      <c r="T220" t="s">
        <v>300</v>
      </c>
      <c r="U220" t="s">
        <v>301</v>
      </c>
      <c r="V220" t="s">
        <v>131</v>
      </c>
      <c r="W220" t="s">
        <v>51</v>
      </c>
      <c r="X220" t="s">
        <v>45</v>
      </c>
      <c r="Y220" s="1">
        <v>19009</v>
      </c>
      <c r="Z220">
        <v>2</v>
      </c>
      <c r="AA220" t="s">
        <v>301</v>
      </c>
      <c r="AB220" s="40" t="s">
        <v>1794</v>
      </c>
    </row>
    <row r="221" spans="1:28" x14ac:dyDescent="0.25">
      <c r="A221">
        <v>99910220</v>
      </c>
      <c r="B221" t="s">
        <v>56</v>
      </c>
      <c r="C221" t="s">
        <v>33</v>
      </c>
      <c r="D221" t="s">
        <v>34</v>
      </c>
      <c r="G221" t="s">
        <v>35</v>
      </c>
      <c r="H221">
        <v>1</v>
      </c>
      <c r="K221" t="s">
        <v>157</v>
      </c>
      <c r="L221" t="s">
        <v>158</v>
      </c>
      <c r="M221" t="s">
        <v>131</v>
      </c>
      <c r="N221">
        <v>5</v>
      </c>
      <c r="P221" t="s">
        <v>41</v>
      </c>
      <c r="Q221" t="s">
        <v>42</v>
      </c>
      <c r="R221" t="str">
        <f>"0580250"</f>
        <v>0580250</v>
      </c>
      <c r="S221" t="s">
        <v>160</v>
      </c>
      <c r="T221" t="s">
        <v>157</v>
      </c>
      <c r="U221" t="s">
        <v>158</v>
      </c>
      <c r="V221" t="s">
        <v>131</v>
      </c>
      <c r="W221" t="s">
        <v>51</v>
      </c>
      <c r="X221" t="s">
        <v>45</v>
      </c>
      <c r="Z221">
        <v>2</v>
      </c>
      <c r="AA221" t="s">
        <v>158</v>
      </c>
      <c r="AB221" s="40" t="s">
        <v>1794</v>
      </c>
    </row>
    <row r="222" spans="1:28" x14ac:dyDescent="0.25">
      <c r="A222">
        <v>99910221</v>
      </c>
      <c r="B222" t="s">
        <v>32</v>
      </c>
      <c r="C222" t="s">
        <v>141</v>
      </c>
      <c r="D222" t="s">
        <v>142</v>
      </c>
      <c r="G222" t="s">
        <v>35</v>
      </c>
      <c r="H222">
        <v>1</v>
      </c>
      <c r="K222" t="s">
        <v>157</v>
      </c>
      <c r="L222" t="s">
        <v>158</v>
      </c>
      <c r="M222" t="s">
        <v>131</v>
      </c>
      <c r="N222">
        <v>5</v>
      </c>
      <c r="P222" t="s">
        <v>41</v>
      </c>
      <c r="Q222" t="s">
        <v>49</v>
      </c>
      <c r="R222" t="str">
        <f>"0560011"</f>
        <v>0560011</v>
      </c>
      <c r="S222" t="s">
        <v>185</v>
      </c>
      <c r="T222" t="s">
        <v>157</v>
      </c>
      <c r="U222" t="s">
        <v>158</v>
      </c>
      <c r="V222" t="s">
        <v>131</v>
      </c>
      <c r="W222" t="s">
        <v>51</v>
      </c>
      <c r="X222" t="s">
        <v>45</v>
      </c>
      <c r="Z222">
        <v>2</v>
      </c>
      <c r="AA222" t="s">
        <v>158</v>
      </c>
      <c r="AB222" s="40" t="s">
        <v>1794</v>
      </c>
    </row>
    <row r="223" spans="1:28" x14ac:dyDescent="0.25">
      <c r="A223">
        <v>99910222</v>
      </c>
      <c r="B223" t="s">
        <v>56</v>
      </c>
      <c r="C223" t="s">
        <v>145</v>
      </c>
      <c r="D223" t="s">
        <v>146</v>
      </c>
      <c r="G223" t="s">
        <v>35</v>
      </c>
      <c r="H223">
        <v>1</v>
      </c>
      <c r="K223" t="s">
        <v>223</v>
      </c>
      <c r="L223" t="s">
        <v>224</v>
      </c>
      <c r="M223" t="s">
        <v>131</v>
      </c>
      <c r="N223">
        <v>5</v>
      </c>
      <c r="P223" t="s">
        <v>41</v>
      </c>
      <c r="Q223" t="s">
        <v>42</v>
      </c>
      <c r="R223" t="str">
        <f>"0580315"</f>
        <v>0580315</v>
      </c>
      <c r="S223" t="s">
        <v>246</v>
      </c>
      <c r="T223" t="s">
        <v>223</v>
      </c>
      <c r="U223" t="s">
        <v>224</v>
      </c>
      <c r="V223" t="s">
        <v>131</v>
      </c>
      <c r="W223" t="s">
        <v>51</v>
      </c>
      <c r="X223" t="s">
        <v>45</v>
      </c>
      <c r="Z223">
        <v>2</v>
      </c>
      <c r="AA223" t="s">
        <v>224</v>
      </c>
      <c r="AB223" s="40" t="s">
        <v>1794</v>
      </c>
    </row>
    <row r="224" spans="1:28" x14ac:dyDescent="0.25">
      <c r="A224">
        <v>99910223</v>
      </c>
      <c r="B224" t="s">
        <v>32</v>
      </c>
      <c r="C224" t="s">
        <v>46</v>
      </c>
      <c r="D224" t="s">
        <v>47</v>
      </c>
      <c r="G224" t="s">
        <v>35</v>
      </c>
      <c r="H224">
        <v>1</v>
      </c>
      <c r="I224" t="s">
        <v>312</v>
      </c>
      <c r="J224" s="1">
        <v>43344</v>
      </c>
      <c r="K224" t="s">
        <v>300</v>
      </c>
      <c r="L224" t="s">
        <v>301</v>
      </c>
      <c r="M224" t="s">
        <v>131</v>
      </c>
      <c r="N224">
        <v>5</v>
      </c>
      <c r="O224" s="1">
        <v>43344</v>
      </c>
      <c r="P224" t="s">
        <v>41</v>
      </c>
      <c r="Q224" t="s">
        <v>49</v>
      </c>
      <c r="R224" t="str">
        <f>"0560001"</f>
        <v>0560001</v>
      </c>
      <c r="S224" t="s">
        <v>304</v>
      </c>
      <c r="T224" t="s">
        <v>300</v>
      </c>
      <c r="U224" t="s">
        <v>301</v>
      </c>
      <c r="V224" t="s">
        <v>131</v>
      </c>
      <c r="W224" t="s">
        <v>44</v>
      </c>
      <c r="X224" t="s">
        <v>45</v>
      </c>
      <c r="Z224">
        <v>2</v>
      </c>
      <c r="AA224" t="s">
        <v>301</v>
      </c>
      <c r="AB224" s="40" t="s">
        <v>1794</v>
      </c>
    </row>
    <row r="225" spans="1:28" x14ac:dyDescent="0.25">
      <c r="A225">
        <v>99910224</v>
      </c>
      <c r="B225" t="s">
        <v>32</v>
      </c>
      <c r="C225" t="s">
        <v>139</v>
      </c>
      <c r="D225" t="s">
        <v>140</v>
      </c>
      <c r="G225" t="s">
        <v>35</v>
      </c>
      <c r="H225">
        <v>1</v>
      </c>
      <c r="I225">
        <v>927</v>
      </c>
      <c r="J225" s="1">
        <v>43344</v>
      </c>
      <c r="K225" t="s">
        <v>1198</v>
      </c>
      <c r="L225" t="s">
        <v>1199</v>
      </c>
      <c r="M225" t="s">
        <v>1130</v>
      </c>
      <c r="N225">
        <v>5</v>
      </c>
      <c r="O225" s="1">
        <v>43344</v>
      </c>
      <c r="P225" t="s">
        <v>41</v>
      </c>
      <c r="Q225" t="s">
        <v>75</v>
      </c>
      <c r="R225" t="str">
        <f>"7311002"</f>
        <v>7311002</v>
      </c>
      <c r="S225" t="s">
        <v>1203</v>
      </c>
      <c r="T225" t="s">
        <v>1198</v>
      </c>
      <c r="U225" t="s">
        <v>1199</v>
      </c>
      <c r="V225" t="s">
        <v>1130</v>
      </c>
      <c r="W225" t="s">
        <v>51</v>
      </c>
      <c r="X225" t="s">
        <v>45</v>
      </c>
      <c r="Z225">
        <v>1</v>
      </c>
      <c r="AA225" t="s">
        <v>1199</v>
      </c>
      <c r="AB225" s="40" t="s">
        <v>1794</v>
      </c>
    </row>
    <row r="226" spans="1:28" x14ac:dyDescent="0.25">
      <c r="A226">
        <v>99910225</v>
      </c>
      <c r="B226" t="s">
        <v>32</v>
      </c>
      <c r="C226" t="s">
        <v>71</v>
      </c>
      <c r="D226" t="s">
        <v>72</v>
      </c>
      <c r="G226" t="s">
        <v>35</v>
      </c>
      <c r="H226">
        <v>1</v>
      </c>
      <c r="I226">
        <v>8037</v>
      </c>
      <c r="J226" s="1">
        <v>43344</v>
      </c>
      <c r="K226" t="s">
        <v>1198</v>
      </c>
      <c r="L226" t="s">
        <v>1199</v>
      </c>
      <c r="M226" t="s">
        <v>1130</v>
      </c>
      <c r="N226">
        <v>5</v>
      </c>
      <c r="O226" s="1">
        <v>43344</v>
      </c>
      <c r="P226" t="s">
        <v>41</v>
      </c>
      <c r="Q226" t="s">
        <v>75</v>
      </c>
      <c r="R226" t="str">
        <f>"7311002"</f>
        <v>7311002</v>
      </c>
      <c r="S226" t="s">
        <v>1203</v>
      </c>
      <c r="T226" t="s">
        <v>1198</v>
      </c>
      <c r="U226" t="s">
        <v>1199</v>
      </c>
      <c r="V226" t="s">
        <v>1130</v>
      </c>
      <c r="W226" t="s">
        <v>51</v>
      </c>
      <c r="X226" t="s">
        <v>45</v>
      </c>
      <c r="Z226">
        <v>1</v>
      </c>
      <c r="AA226" t="s">
        <v>1199</v>
      </c>
      <c r="AB226" s="40" t="s">
        <v>1794</v>
      </c>
    </row>
    <row r="227" spans="1:28" x14ac:dyDescent="0.25">
      <c r="A227">
        <v>99910226</v>
      </c>
      <c r="B227" t="s">
        <v>56</v>
      </c>
      <c r="C227" t="s">
        <v>85</v>
      </c>
      <c r="D227" t="s">
        <v>86</v>
      </c>
      <c r="G227" t="s">
        <v>35</v>
      </c>
      <c r="H227">
        <v>1</v>
      </c>
      <c r="I227">
        <v>0</v>
      </c>
      <c r="J227" s="1">
        <v>43344</v>
      </c>
      <c r="K227" t="s">
        <v>223</v>
      </c>
      <c r="L227" t="s">
        <v>224</v>
      </c>
      <c r="M227" t="s">
        <v>131</v>
      </c>
      <c r="N227">
        <v>6</v>
      </c>
      <c r="O227" s="1">
        <v>43344</v>
      </c>
      <c r="P227" t="s">
        <v>41</v>
      </c>
      <c r="Q227" t="s">
        <v>49</v>
      </c>
      <c r="R227" t="str">
        <f>"0560034"</f>
        <v>0560034</v>
      </c>
      <c r="S227" t="s">
        <v>266</v>
      </c>
      <c r="T227" t="s">
        <v>223</v>
      </c>
      <c r="U227" t="s">
        <v>224</v>
      </c>
      <c r="V227" t="s">
        <v>131</v>
      </c>
      <c r="W227" t="s">
        <v>44</v>
      </c>
      <c r="X227" t="s">
        <v>45</v>
      </c>
      <c r="Y227" s="1">
        <v>36526</v>
      </c>
      <c r="Z227">
        <v>2</v>
      </c>
      <c r="AA227" t="s">
        <v>224</v>
      </c>
      <c r="AB227" s="40" t="s">
        <v>1795</v>
      </c>
    </row>
    <row r="228" spans="1:28" x14ac:dyDescent="0.25">
      <c r="A228">
        <v>99910227</v>
      </c>
      <c r="B228" t="s">
        <v>56</v>
      </c>
      <c r="C228" t="s">
        <v>79</v>
      </c>
      <c r="D228" t="s">
        <v>80</v>
      </c>
      <c r="G228" t="s">
        <v>35</v>
      </c>
      <c r="H228">
        <v>1</v>
      </c>
      <c r="I228">
        <v>0</v>
      </c>
      <c r="J228" s="1">
        <v>43344</v>
      </c>
      <c r="K228" t="s">
        <v>223</v>
      </c>
      <c r="L228" t="s">
        <v>224</v>
      </c>
      <c r="M228" t="s">
        <v>131</v>
      </c>
      <c r="N228">
        <v>6</v>
      </c>
      <c r="O228" s="1">
        <v>43344</v>
      </c>
      <c r="P228" t="s">
        <v>41</v>
      </c>
      <c r="Q228" t="s">
        <v>49</v>
      </c>
      <c r="R228" t="str">
        <f>"0560034"</f>
        <v>0560034</v>
      </c>
      <c r="S228" t="s">
        <v>266</v>
      </c>
      <c r="T228" t="s">
        <v>223</v>
      </c>
      <c r="U228" t="s">
        <v>224</v>
      </c>
      <c r="V228" t="s">
        <v>131</v>
      </c>
      <c r="W228" t="s">
        <v>44</v>
      </c>
      <c r="X228" t="s">
        <v>45</v>
      </c>
      <c r="Y228" s="1">
        <v>34408</v>
      </c>
      <c r="Z228">
        <v>2</v>
      </c>
      <c r="AA228" t="s">
        <v>224</v>
      </c>
      <c r="AB228" s="40" t="s">
        <v>1795</v>
      </c>
    </row>
    <row r="229" spans="1:28" x14ac:dyDescent="0.25">
      <c r="A229">
        <v>99910228</v>
      </c>
      <c r="B229" t="s">
        <v>32</v>
      </c>
      <c r="C229" t="s">
        <v>61</v>
      </c>
      <c r="D229" t="s">
        <v>62</v>
      </c>
      <c r="G229" t="s">
        <v>35</v>
      </c>
      <c r="H229">
        <v>1</v>
      </c>
      <c r="I229">
        <v>19299</v>
      </c>
      <c r="J229" s="1">
        <v>43376</v>
      </c>
      <c r="K229" t="s">
        <v>877</v>
      </c>
      <c r="L229" t="s">
        <v>878</v>
      </c>
      <c r="M229" t="s">
        <v>131</v>
      </c>
      <c r="N229">
        <v>6</v>
      </c>
      <c r="O229" s="1">
        <v>43376</v>
      </c>
      <c r="P229" t="s">
        <v>41</v>
      </c>
      <c r="Q229" t="s">
        <v>75</v>
      </c>
      <c r="R229" t="str">
        <f>"7541026"</f>
        <v>7541026</v>
      </c>
      <c r="S229" t="s">
        <v>894</v>
      </c>
      <c r="T229" t="s">
        <v>877</v>
      </c>
      <c r="U229" t="s">
        <v>878</v>
      </c>
      <c r="V229" t="s">
        <v>131</v>
      </c>
      <c r="W229" t="s">
        <v>44</v>
      </c>
      <c r="X229" t="s">
        <v>45</v>
      </c>
      <c r="Y229" s="1">
        <v>34121</v>
      </c>
      <c r="Z229">
        <v>1</v>
      </c>
      <c r="AA229" t="s">
        <v>878</v>
      </c>
      <c r="AB229" s="40" t="s">
        <v>1795</v>
      </c>
    </row>
    <row r="230" spans="1:28" x14ac:dyDescent="0.25">
      <c r="A230">
        <v>99910229</v>
      </c>
      <c r="B230" t="s">
        <v>32</v>
      </c>
      <c r="C230" t="s">
        <v>721</v>
      </c>
      <c r="D230" t="s">
        <v>722</v>
      </c>
      <c r="G230" t="s">
        <v>35</v>
      </c>
      <c r="H230">
        <v>1</v>
      </c>
      <c r="I230" t="s">
        <v>1661</v>
      </c>
      <c r="J230" s="1">
        <v>43375</v>
      </c>
      <c r="K230" t="s">
        <v>1619</v>
      </c>
      <c r="L230" t="s">
        <v>1620</v>
      </c>
      <c r="M230" t="s">
        <v>1592</v>
      </c>
      <c r="N230">
        <v>6</v>
      </c>
      <c r="O230" s="1">
        <v>43375</v>
      </c>
      <c r="P230" t="s">
        <v>41</v>
      </c>
      <c r="Q230" t="s">
        <v>75</v>
      </c>
      <c r="R230" t="str">
        <f>"7281004"</f>
        <v>7281004</v>
      </c>
      <c r="S230" t="s">
        <v>1651</v>
      </c>
      <c r="T230" t="s">
        <v>1619</v>
      </c>
      <c r="U230" t="s">
        <v>1620</v>
      </c>
      <c r="V230" t="s">
        <v>1592</v>
      </c>
      <c r="W230" t="s">
        <v>44</v>
      </c>
      <c r="X230" t="s">
        <v>45</v>
      </c>
      <c r="Y230" s="1">
        <v>33591</v>
      </c>
      <c r="Z230">
        <v>1</v>
      </c>
      <c r="AA230" t="s">
        <v>1620</v>
      </c>
      <c r="AB230" s="40" t="s">
        <v>1795</v>
      </c>
    </row>
    <row r="231" spans="1:28" x14ac:dyDescent="0.25">
      <c r="A231">
        <v>99910230</v>
      </c>
      <c r="B231" t="s">
        <v>32</v>
      </c>
      <c r="C231" t="s">
        <v>90</v>
      </c>
      <c r="D231" t="s">
        <v>91</v>
      </c>
      <c r="G231" t="s">
        <v>35</v>
      </c>
      <c r="H231">
        <v>1</v>
      </c>
      <c r="K231" t="s">
        <v>877</v>
      </c>
      <c r="L231" t="s">
        <v>878</v>
      </c>
      <c r="M231" t="s">
        <v>131</v>
      </c>
      <c r="N231">
        <v>6</v>
      </c>
      <c r="P231" t="s">
        <v>41</v>
      </c>
      <c r="Q231" t="s">
        <v>95</v>
      </c>
      <c r="R231" t="str">
        <f>"7541075"</f>
        <v>7541075</v>
      </c>
      <c r="S231" t="s">
        <v>892</v>
      </c>
      <c r="T231" t="s">
        <v>877</v>
      </c>
      <c r="U231" t="s">
        <v>878</v>
      </c>
      <c r="V231" t="s">
        <v>131</v>
      </c>
      <c r="W231" t="s">
        <v>51</v>
      </c>
      <c r="X231" t="s">
        <v>45</v>
      </c>
      <c r="Y231" s="1">
        <v>33466</v>
      </c>
      <c r="Z231">
        <v>1</v>
      </c>
      <c r="AA231" t="s">
        <v>878</v>
      </c>
      <c r="AB231" s="40" t="s">
        <v>1795</v>
      </c>
    </row>
    <row r="232" spans="1:28" x14ac:dyDescent="0.25">
      <c r="A232">
        <v>99910231</v>
      </c>
      <c r="B232" t="s">
        <v>32</v>
      </c>
      <c r="C232" t="s">
        <v>64</v>
      </c>
      <c r="D232" t="s">
        <v>65</v>
      </c>
      <c r="G232" t="s">
        <v>48</v>
      </c>
      <c r="H232">
        <v>1</v>
      </c>
      <c r="K232" t="s">
        <v>223</v>
      </c>
      <c r="L232" t="s">
        <v>224</v>
      </c>
      <c r="M232" t="s">
        <v>131</v>
      </c>
      <c r="N232">
        <v>6</v>
      </c>
      <c r="P232" t="s">
        <v>41</v>
      </c>
      <c r="Q232" t="s">
        <v>49</v>
      </c>
      <c r="R232" t="str">
        <f>"0581265"</f>
        <v>0581265</v>
      </c>
      <c r="S232" t="s">
        <v>236</v>
      </c>
      <c r="T232" t="s">
        <v>223</v>
      </c>
      <c r="U232" t="s">
        <v>224</v>
      </c>
      <c r="V232" t="s">
        <v>131</v>
      </c>
      <c r="W232" t="s">
        <v>51</v>
      </c>
      <c r="X232" t="s">
        <v>45</v>
      </c>
      <c r="Y232" s="1">
        <v>33187</v>
      </c>
      <c r="Z232">
        <v>2</v>
      </c>
      <c r="AA232" t="s">
        <v>224</v>
      </c>
      <c r="AB232" s="40" t="s">
        <v>1795</v>
      </c>
    </row>
    <row r="233" spans="1:28" x14ac:dyDescent="0.25">
      <c r="A233">
        <v>99910232</v>
      </c>
      <c r="B233" t="s">
        <v>32</v>
      </c>
      <c r="C233" t="s">
        <v>145</v>
      </c>
      <c r="D233" t="s">
        <v>146</v>
      </c>
      <c r="G233" t="s">
        <v>35</v>
      </c>
      <c r="H233">
        <v>1</v>
      </c>
      <c r="I233">
        <v>0</v>
      </c>
      <c r="J233" s="1">
        <v>43344</v>
      </c>
      <c r="K233" t="s">
        <v>223</v>
      </c>
      <c r="L233" t="s">
        <v>224</v>
      </c>
      <c r="M233" t="s">
        <v>131</v>
      </c>
      <c r="N233">
        <v>6</v>
      </c>
      <c r="O233" s="1">
        <v>43344</v>
      </c>
      <c r="P233" t="s">
        <v>41</v>
      </c>
      <c r="Q233" t="s">
        <v>42</v>
      </c>
      <c r="R233" t="str">
        <f>"0580315"</f>
        <v>0580315</v>
      </c>
      <c r="S233" t="s">
        <v>246</v>
      </c>
      <c r="T233" t="s">
        <v>223</v>
      </c>
      <c r="U233" t="s">
        <v>224</v>
      </c>
      <c r="V233" t="s">
        <v>131</v>
      </c>
      <c r="W233" t="s">
        <v>51</v>
      </c>
      <c r="X233" t="s">
        <v>45</v>
      </c>
      <c r="Y233" s="1">
        <v>32874</v>
      </c>
      <c r="Z233">
        <v>2</v>
      </c>
      <c r="AA233" t="s">
        <v>224</v>
      </c>
      <c r="AB233" s="40" t="s">
        <v>1795</v>
      </c>
    </row>
    <row r="234" spans="1:28" x14ac:dyDescent="0.25">
      <c r="A234">
        <v>99910233</v>
      </c>
      <c r="B234" t="s">
        <v>32</v>
      </c>
      <c r="C234" t="s">
        <v>71</v>
      </c>
      <c r="D234" t="s">
        <v>72</v>
      </c>
      <c r="G234" t="s">
        <v>35</v>
      </c>
      <c r="H234">
        <v>1</v>
      </c>
      <c r="I234" s="1">
        <v>42979</v>
      </c>
      <c r="J234" s="1">
        <v>43344</v>
      </c>
      <c r="K234" t="s">
        <v>1341</v>
      </c>
      <c r="L234" t="s">
        <v>1342</v>
      </c>
      <c r="M234" t="s">
        <v>1270</v>
      </c>
      <c r="N234">
        <v>6</v>
      </c>
      <c r="O234" s="1">
        <v>43344</v>
      </c>
      <c r="P234" t="s">
        <v>41</v>
      </c>
      <c r="Q234" t="s">
        <v>75</v>
      </c>
      <c r="R234" t="str">
        <f>"7191034"</f>
        <v>7191034</v>
      </c>
      <c r="S234" t="s">
        <v>1343</v>
      </c>
      <c r="T234" t="s">
        <v>1341</v>
      </c>
      <c r="U234" t="s">
        <v>1342</v>
      </c>
      <c r="V234" t="s">
        <v>1270</v>
      </c>
      <c r="W234" t="s">
        <v>44</v>
      </c>
      <c r="X234" t="s">
        <v>45</v>
      </c>
      <c r="Y234" s="1">
        <v>32792</v>
      </c>
      <c r="Z234">
        <v>1</v>
      </c>
      <c r="AA234" t="s">
        <v>1342</v>
      </c>
      <c r="AB234" s="40" t="s">
        <v>1795</v>
      </c>
    </row>
    <row r="235" spans="1:28" x14ac:dyDescent="0.25">
      <c r="A235">
        <v>99910234</v>
      </c>
      <c r="B235" t="s">
        <v>32</v>
      </c>
      <c r="C235" t="s">
        <v>52</v>
      </c>
      <c r="D235" t="s">
        <v>53</v>
      </c>
      <c r="G235" t="s">
        <v>48</v>
      </c>
      <c r="H235">
        <v>1</v>
      </c>
      <c r="K235" t="s">
        <v>300</v>
      </c>
      <c r="L235" t="s">
        <v>301</v>
      </c>
      <c r="M235" t="s">
        <v>131</v>
      </c>
      <c r="N235">
        <v>6</v>
      </c>
      <c r="P235" t="s">
        <v>41</v>
      </c>
      <c r="Q235" t="s">
        <v>42</v>
      </c>
      <c r="R235" t="str">
        <f>"0561001"</f>
        <v>0561001</v>
      </c>
      <c r="S235" t="s">
        <v>308</v>
      </c>
      <c r="T235" t="s">
        <v>300</v>
      </c>
      <c r="U235" t="s">
        <v>301</v>
      </c>
      <c r="V235" t="s">
        <v>131</v>
      </c>
      <c r="W235" t="s">
        <v>51</v>
      </c>
      <c r="X235" t="s">
        <v>45</v>
      </c>
      <c r="Y235" s="1">
        <v>32766</v>
      </c>
      <c r="Z235">
        <v>2</v>
      </c>
      <c r="AA235" t="s">
        <v>301</v>
      </c>
      <c r="AB235" s="40" t="s">
        <v>1795</v>
      </c>
    </row>
    <row r="236" spans="1:28" x14ac:dyDescent="0.25">
      <c r="A236">
        <v>99910235</v>
      </c>
      <c r="B236" t="s">
        <v>32</v>
      </c>
      <c r="C236" t="s">
        <v>46</v>
      </c>
      <c r="D236" t="s">
        <v>47</v>
      </c>
      <c r="G236" t="s">
        <v>35</v>
      </c>
      <c r="H236">
        <v>1</v>
      </c>
      <c r="I236">
        <v>17327</v>
      </c>
      <c r="J236" s="1">
        <v>43346</v>
      </c>
      <c r="K236" t="s">
        <v>345</v>
      </c>
      <c r="L236" t="s">
        <v>346</v>
      </c>
      <c r="M236" t="s">
        <v>131</v>
      </c>
      <c r="N236">
        <v>6</v>
      </c>
      <c r="O236" s="1">
        <v>43346</v>
      </c>
      <c r="P236" t="s">
        <v>41</v>
      </c>
      <c r="Q236" t="s">
        <v>42</v>
      </c>
      <c r="R236" t="str">
        <f>"0561019"</f>
        <v>0561019</v>
      </c>
      <c r="S236" t="s">
        <v>351</v>
      </c>
      <c r="T236" t="s">
        <v>345</v>
      </c>
      <c r="U236" t="s">
        <v>346</v>
      </c>
      <c r="V236" t="s">
        <v>131</v>
      </c>
      <c r="W236" t="s">
        <v>55</v>
      </c>
      <c r="X236" t="s">
        <v>45</v>
      </c>
      <c r="Y236" s="1">
        <v>32737</v>
      </c>
      <c r="Z236">
        <v>2</v>
      </c>
      <c r="AA236" t="s">
        <v>346</v>
      </c>
      <c r="AB236" s="40" t="s">
        <v>1795</v>
      </c>
    </row>
    <row r="237" spans="1:28" x14ac:dyDescent="0.25">
      <c r="A237">
        <v>99910236</v>
      </c>
      <c r="B237" t="s">
        <v>32</v>
      </c>
      <c r="C237" t="s">
        <v>139</v>
      </c>
      <c r="D237" t="s">
        <v>140</v>
      </c>
      <c r="G237" t="s">
        <v>35</v>
      </c>
      <c r="H237">
        <v>1</v>
      </c>
      <c r="I237">
        <v>18766</v>
      </c>
      <c r="J237" s="1">
        <v>43344</v>
      </c>
      <c r="K237" t="s">
        <v>380</v>
      </c>
      <c r="L237" t="s">
        <v>381</v>
      </c>
      <c r="M237" t="s">
        <v>131</v>
      </c>
      <c r="N237">
        <v>6</v>
      </c>
      <c r="O237" s="1">
        <v>43344</v>
      </c>
      <c r="P237" t="s">
        <v>41</v>
      </c>
      <c r="Q237" t="s">
        <v>49</v>
      </c>
      <c r="R237" t="str">
        <f>"0580552"</f>
        <v>0580552</v>
      </c>
      <c r="S237" t="s">
        <v>386</v>
      </c>
      <c r="T237" t="s">
        <v>380</v>
      </c>
      <c r="U237" t="s">
        <v>381</v>
      </c>
      <c r="V237" t="s">
        <v>131</v>
      </c>
      <c r="W237" t="s">
        <v>55</v>
      </c>
      <c r="X237" t="s">
        <v>45</v>
      </c>
      <c r="Y237" s="1">
        <v>32676</v>
      </c>
      <c r="Z237">
        <v>2</v>
      </c>
      <c r="AA237" t="s">
        <v>381</v>
      </c>
      <c r="AB237" s="40" t="s">
        <v>1795</v>
      </c>
    </row>
    <row r="238" spans="1:28" x14ac:dyDescent="0.25">
      <c r="A238">
        <v>99910237</v>
      </c>
      <c r="B238" t="s">
        <v>32</v>
      </c>
      <c r="C238" t="s">
        <v>139</v>
      </c>
      <c r="D238" t="s">
        <v>140</v>
      </c>
      <c r="G238" t="s">
        <v>35</v>
      </c>
      <c r="H238">
        <v>1</v>
      </c>
      <c r="I238">
        <v>24050</v>
      </c>
      <c r="J238" s="1">
        <v>43359</v>
      </c>
      <c r="K238" t="s">
        <v>380</v>
      </c>
      <c r="L238" t="s">
        <v>381</v>
      </c>
      <c r="M238" t="s">
        <v>131</v>
      </c>
      <c r="N238">
        <v>6</v>
      </c>
      <c r="O238" s="1">
        <v>43359</v>
      </c>
      <c r="P238" t="s">
        <v>41</v>
      </c>
      <c r="Q238" t="s">
        <v>49</v>
      </c>
      <c r="R238" t="str">
        <f>"0591908"</f>
        <v>0591908</v>
      </c>
      <c r="S238" t="s">
        <v>383</v>
      </c>
      <c r="T238" t="s">
        <v>380</v>
      </c>
      <c r="U238" t="s">
        <v>381</v>
      </c>
      <c r="V238" t="s">
        <v>131</v>
      </c>
      <c r="W238" t="s">
        <v>55</v>
      </c>
      <c r="X238" t="s">
        <v>45</v>
      </c>
      <c r="Y238" s="1">
        <v>32561</v>
      </c>
      <c r="Z238">
        <v>2</v>
      </c>
      <c r="AA238" t="s">
        <v>381</v>
      </c>
      <c r="AB238" s="40" t="s">
        <v>1795</v>
      </c>
    </row>
    <row r="239" spans="1:28" x14ac:dyDescent="0.25">
      <c r="A239">
        <v>99910238</v>
      </c>
      <c r="B239" t="s">
        <v>32</v>
      </c>
      <c r="C239" t="s">
        <v>149</v>
      </c>
      <c r="D239" t="s">
        <v>150</v>
      </c>
      <c r="G239" t="s">
        <v>35</v>
      </c>
      <c r="H239">
        <v>1</v>
      </c>
      <c r="I239">
        <v>16390</v>
      </c>
      <c r="J239" s="1">
        <v>43354</v>
      </c>
      <c r="K239" t="s">
        <v>345</v>
      </c>
      <c r="L239" t="s">
        <v>346</v>
      </c>
      <c r="M239" t="s">
        <v>131</v>
      </c>
      <c r="N239">
        <v>6</v>
      </c>
      <c r="O239" s="1">
        <v>43354</v>
      </c>
      <c r="P239" t="s">
        <v>41</v>
      </c>
      <c r="Q239" t="s">
        <v>49</v>
      </c>
      <c r="R239" t="str">
        <f>"0560007"</f>
        <v>0560007</v>
      </c>
      <c r="S239" t="s">
        <v>357</v>
      </c>
      <c r="T239" t="s">
        <v>345</v>
      </c>
      <c r="U239" t="s">
        <v>346</v>
      </c>
      <c r="V239" t="s">
        <v>131</v>
      </c>
      <c r="W239" t="s">
        <v>44</v>
      </c>
      <c r="X239" t="s">
        <v>45</v>
      </c>
      <c r="Y239" s="1">
        <v>32548</v>
      </c>
      <c r="Z239">
        <v>2</v>
      </c>
      <c r="AA239" t="s">
        <v>346</v>
      </c>
      <c r="AB239" s="40" t="s">
        <v>1795</v>
      </c>
    </row>
    <row r="240" spans="1:28" x14ac:dyDescent="0.25">
      <c r="A240">
        <v>99910239</v>
      </c>
      <c r="B240" t="s">
        <v>56</v>
      </c>
      <c r="C240" t="s">
        <v>61</v>
      </c>
      <c r="D240" t="s">
        <v>62</v>
      </c>
      <c r="G240" t="s">
        <v>35</v>
      </c>
      <c r="H240">
        <v>1</v>
      </c>
      <c r="I240" t="s">
        <v>1536</v>
      </c>
      <c r="J240" s="1">
        <v>43344</v>
      </c>
      <c r="K240" t="s">
        <v>667</v>
      </c>
      <c r="L240" t="s">
        <v>669</v>
      </c>
      <c r="M240" t="s">
        <v>670</v>
      </c>
      <c r="N240">
        <v>6</v>
      </c>
      <c r="O240" s="1">
        <v>43344</v>
      </c>
      <c r="P240" t="s">
        <v>41</v>
      </c>
      <c r="Q240" t="s">
        <v>75</v>
      </c>
      <c r="R240" t="str">
        <f>"7501002"</f>
        <v>7501002</v>
      </c>
      <c r="S240" t="s">
        <v>1519</v>
      </c>
      <c r="T240" t="s">
        <v>667</v>
      </c>
      <c r="U240" t="s">
        <v>669</v>
      </c>
      <c r="V240" t="s">
        <v>670</v>
      </c>
      <c r="W240" t="s">
        <v>51</v>
      </c>
      <c r="X240" t="s">
        <v>45</v>
      </c>
      <c r="Y240" s="1">
        <v>32428</v>
      </c>
      <c r="Z240">
        <v>1</v>
      </c>
      <c r="AA240" t="s">
        <v>669</v>
      </c>
      <c r="AB240" s="40" t="s">
        <v>1795</v>
      </c>
    </row>
    <row r="241" spans="1:28" x14ac:dyDescent="0.25">
      <c r="A241">
        <v>99910240</v>
      </c>
      <c r="B241" t="s">
        <v>32</v>
      </c>
      <c r="C241" t="s">
        <v>90</v>
      </c>
      <c r="D241" t="s">
        <v>91</v>
      </c>
      <c r="G241" t="s">
        <v>48</v>
      </c>
      <c r="H241">
        <v>1</v>
      </c>
      <c r="K241" t="s">
        <v>1695</v>
      </c>
      <c r="L241" t="s">
        <v>1696</v>
      </c>
      <c r="M241" t="s">
        <v>1592</v>
      </c>
      <c r="N241">
        <v>6</v>
      </c>
      <c r="P241" t="s">
        <v>41</v>
      </c>
      <c r="Q241" t="s">
        <v>95</v>
      </c>
      <c r="R241" t="str">
        <f>"7361001"</f>
        <v>7361001</v>
      </c>
      <c r="S241" t="s">
        <v>1697</v>
      </c>
      <c r="T241" t="s">
        <v>1695</v>
      </c>
      <c r="U241" t="s">
        <v>1696</v>
      </c>
      <c r="V241" t="s">
        <v>1592</v>
      </c>
      <c r="W241" t="s">
        <v>51</v>
      </c>
      <c r="X241" t="s">
        <v>45</v>
      </c>
      <c r="Y241" s="1">
        <v>32415</v>
      </c>
      <c r="Z241">
        <v>1</v>
      </c>
      <c r="AA241" t="s">
        <v>1696</v>
      </c>
      <c r="AB241" s="40" t="s">
        <v>1795</v>
      </c>
    </row>
    <row r="242" spans="1:28" x14ac:dyDescent="0.25">
      <c r="A242">
        <v>99910241</v>
      </c>
      <c r="B242" t="s">
        <v>32</v>
      </c>
      <c r="C242" t="s">
        <v>139</v>
      </c>
      <c r="D242" t="s">
        <v>140</v>
      </c>
      <c r="G242" t="s">
        <v>35</v>
      </c>
      <c r="H242">
        <v>1</v>
      </c>
      <c r="K242" t="s">
        <v>345</v>
      </c>
      <c r="L242" t="s">
        <v>346</v>
      </c>
      <c r="M242" t="s">
        <v>131</v>
      </c>
      <c r="N242">
        <v>6</v>
      </c>
      <c r="P242" t="s">
        <v>41</v>
      </c>
      <c r="Q242" t="s">
        <v>49</v>
      </c>
      <c r="R242" t="str">
        <f>"0581605"</f>
        <v>0581605</v>
      </c>
      <c r="S242" t="s">
        <v>366</v>
      </c>
      <c r="T242" t="s">
        <v>345</v>
      </c>
      <c r="U242" t="s">
        <v>346</v>
      </c>
      <c r="V242" t="s">
        <v>131</v>
      </c>
      <c r="W242" t="s">
        <v>51</v>
      </c>
      <c r="X242" t="s">
        <v>45</v>
      </c>
      <c r="Y242" s="1">
        <v>32344</v>
      </c>
      <c r="Z242">
        <v>2</v>
      </c>
      <c r="AA242" t="s">
        <v>346</v>
      </c>
      <c r="AB242" s="40" t="s">
        <v>1795</v>
      </c>
    </row>
    <row r="243" spans="1:28" x14ac:dyDescent="0.25">
      <c r="A243">
        <v>99910242</v>
      </c>
      <c r="B243" t="s">
        <v>32</v>
      </c>
      <c r="C243" t="s">
        <v>58</v>
      </c>
      <c r="D243" t="s">
        <v>59</v>
      </c>
      <c r="G243" t="s">
        <v>35</v>
      </c>
      <c r="H243">
        <v>1</v>
      </c>
      <c r="I243" t="s">
        <v>977</v>
      </c>
      <c r="J243" s="1">
        <v>43344</v>
      </c>
      <c r="K243" t="s">
        <v>947</v>
      </c>
      <c r="L243" t="s">
        <v>948</v>
      </c>
      <c r="M243" t="s">
        <v>938</v>
      </c>
      <c r="N243">
        <v>6</v>
      </c>
      <c r="O243" s="1">
        <v>43344</v>
      </c>
      <c r="P243" t="s">
        <v>41</v>
      </c>
      <c r="Q243" t="s">
        <v>49</v>
      </c>
      <c r="R243" t="str">
        <f>"0605000"</f>
        <v>0605000</v>
      </c>
      <c r="S243" t="s">
        <v>950</v>
      </c>
      <c r="T243" t="s">
        <v>947</v>
      </c>
      <c r="U243" t="s">
        <v>948</v>
      </c>
      <c r="V243" t="s">
        <v>938</v>
      </c>
      <c r="W243" t="s">
        <v>51</v>
      </c>
      <c r="X243" t="s">
        <v>45</v>
      </c>
      <c r="Y243" s="1">
        <v>32334</v>
      </c>
      <c r="Z243">
        <v>2</v>
      </c>
      <c r="AA243" t="s">
        <v>948</v>
      </c>
      <c r="AB243" s="40" t="s">
        <v>1795</v>
      </c>
    </row>
    <row r="244" spans="1:28" x14ac:dyDescent="0.25">
      <c r="A244">
        <v>99910243</v>
      </c>
      <c r="B244" t="s">
        <v>32</v>
      </c>
      <c r="C244" t="s">
        <v>64</v>
      </c>
      <c r="D244" t="s">
        <v>65</v>
      </c>
      <c r="G244" t="s">
        <v>35</v>
      </c>
      <c r="H244">
        <v>1</v>
      </c>
      <c r="I244">
        <v>4544</v>
      </c>
      <c r="J244" s="1">
        <v>43362</v>
      </c>
      <c r="K244" t="s">
        <v>1631</v>
      </c>
      <c r="L244" t="s">
        <v>1632</v>
      </c>
      <c r="M244" t="s">
        <v>1592</v>
      </c>
      <c r="N244">
        <v>6</v>
      </c>
      <c r="O244" s="1">
        <v>43362</v>
      </c>
      <c r="P244" t="s">
        <v>41</v>
      </c>
      <c r="Q244" t="s">
        <v>75</v>
      </c>
      <c r="R244" t="str">
        <f>"7021000"</f>
        <v>7021000</v>
      </c>
      <c r="S244" t="s">
        <v>1633</v>
      </c>
      <c r="T244" t="s">
        <v>1631</v>
      </c>
      <c r="U244" t="s">
        <v>1632</v>
      </c>
      <c r="V244" t="s">
        <v>1592</v>
      </c>
      <c r="W244" t="s">
        <v>44</v>
      </c>
      <c r="X244" t="s">
        <v>45</v>
      </c>
      <c r="Y244" s="1">
        <v>32210</v>
      </c>
      <c r="Z244">
        <v>1</v>
      </c>
      <c r="AA244" t="s">
        <v>1632</v>
      </c>
      <c r="AB244" s="40" t="s">
        <v>1795</v>
      </c>
    </row>
    <row r="245" spans="1:28" x14ac:dyDescent="0.25">
      <c r="A245">
        <v>99910244</v>
      </c>
      <c r="B245" t="s">
        <v>32</v>
      </c>
      <c r="C245" t="s">
        <v>71</v>
      </c>
      <c r="D245" t="s">
        <v>72</v>
      </c>
      <c r="G245" t="s">
        <v>35</v>
      </c>
      <c r="H245">
        <v>1</v>
      </c>
      <c r="I245">
        <v>21384</v>
      </c>
      <c r="J245" s="1">
        <v>43344</v>
      </c>
      <c r="K245" t="s">
        <v>380</v>
      </c>
      <c r="L245" t="s">
        <v>381</v>
      </c>
      <c r="M245" t="s">
        <v>131</v>
      </c>
      <c r="N245">
        <v>6</v>
      </c>
      <c r="O245" s="1">
        <v>43344</v>
      </c>
      <c r="P245" t="s">
        <v>41</v>
      </c>
      <c r="Q245" t="s">
        <v>49</v>
      </c>
      <c r="R245" t="str">
        <f>"0580552"</f>
        <v>0580552</v>
      </c>
      <c r="S245" t="s">
        <v>386</v>
      </c>
      <c r="T245" t="s">
        <v>380</v>
      </c>
      <c r="U245" t="s">
        <v>381</v>
      </c>
      <c r="V245" t="s">
        <v>131</v>
      </c>
      <c r="W245" t="s">
        <v>55</v>
      </c>
      <c r="X245" t="s">
        <v>45</v>
      </c>
      <c r="Y245" s="1">
        <v>32181</v>
      </c>
      <c r="Z245">
        <v>2</v>
      </c>
      <c r="AA245" t="s">
        <v>381</v>
      </c>
      <c r="AB245" s="40" t="s">
        <v>1795</v>
      </c>
    </row>
    <row r="246" spans="1:28" x14ac:dyDescent="0.25">
      <c r="A246">
        <v>99910245</v>
      </c>
      <c r="B246" t="s">
        <v>32</v>
      </c>
      <c r="C246" t="s">
        <v>90</v>
      </c>
      <c r="D246" t="s">
        <v>91</v>
      </c>
      <c r="G246" t="s">
        <v>35</v>
      </c>
      <c r="H246">
        <v>1</v>
      </c>
      <c r="K246" t="s">
        <v>195</v>
      </c>
      <c r="L246" t="s">
        <v>196</v>
      </c>
      <c r="M246" t="s">
        <v>131</v>
      </c>
      <c r="N246">
        <v>6</v>
      </c>
      <c r="P246" t="s">
        <v>41</v>
      </c>
      <c r="Q246" t="s">
        <v>95</v>
      </c>
      <c r="R246" t="str">
        <f>"7521085"</f>
        <v>7521085</v>
      </c>
      <c r="S246" t="s">
        <v>530</v>
      </c>
      <c r="T246" t="s">
        <v>195</v>
      </c>
      <c r="U246" t="s">
        <v>196</v>
      </c>
      <c r="V246" t="s">
        <v>131</v>
      </c>
      <c r="W246" t="s">
        <v>51</v>
      </c>
      <c r="X246" t="s">
        <v>45</v>
      </c>
      <c r="Y246" s="1">
        <v>32178</v>
      </c>
      <c r="Z246">
        <v>1</v>
      </c>
      <c r="AA246" t="s">
        <v>196</v>
      </c>
      <c r="AB246" s="40" t="s">
        <v>1795</v>
      </c>
    </row>
    <row r="247" spans="1:28" x14ac:dyDescent="0.25">
      <c r="A247">
        <v>99910246</v>
      </c>
      <c r="B247" t="s">
        <v>32</v>
      </c>
      <c r="C247" t="s">
        <v>90</v>
      </c>
      <c r="D247" t="s">
        <v>91</v>
      </c>
      <c r="G247" t="s">
        <v>48</v>
      </c>
      <c r="H247">
        <v>1</v>
      </c>
      <c r="K247" t="s">
        <v>1502</v>
      </c>
      <c r="L247" t="s">
        <v>1503</v>
      </c>
      <c r="M247" t="s">
        <v>670</v>
      </c>
      <c r="N247">
        <v>6</v>
      </c>
      <c r="P247" t="s">
        <v>41</v>
      </c>
      <c r="Q247" t="s">
        <v>95</v>
      </c>
      <c r="R247" t="str">
        <f>"7171009"</f>
        <v>7171009</v>
      </c>
      <c r="S247" t="s">
        <v>1510</v>
      </c>
      <c r="T247" t="s">
        <v>1502</v>
      </c>
      <c r="U247" t="s">
        <v>1503</v>
      </c>
      <c r="V247" t="s">
        <v>670</v>
      </c>
      <c r="W247" t="s">
        <v>51</v>
      </c>
      <c r="X247" t="s">
        <v>45</v>
      </c>
      <c r="Y247" s="1">
        <v>31726</v>
      </c>
      <c r="Z247">
        <v>1</v>
      </c>
      <c r="AA247" t="s">
        <v>1503</v>
      </c>
      <c r="AB247" s="40" t="s">
        <v>1795</v>
      </c>
    </row>
    <row r="248" spans="1:28" x14ac:dyDescent="0.25">
      <c r="A248">
        <v>99910247</v>
      </c>
      <c r="B248" t="s">
        <v>32</v>
      </c>
      <c r="C248" t="s">
        <v>64</v>
      </c>
      <c r="D248" t="s">
        <v>65</v>
      </c>
      <c r="G248" t="s">
        <v>35</v>
      </c>
      <c r="H248">
        <v>1</v>
      </c>
      <c r="I248">
        <v>0</v>
      </c>
      <c r="J248" s="1">
        <v>43344</v>
      </c>
      <c r="K248" t="s">
        <v>223</v>
      </c>
      <c r="L248" t="s">
        <v>224</v>
      </c>
      <c r="M248" t="s">
        <v>131</v>
      </c>
      <c r="N248">
        <v>6</v>
      </c>
      <c r="O248" s="1">
        <v>43344</v>
      </c>
      <c r="P248" t="s">
        <v>41</v>
      </c>
      <c r="Q248" t="s">
        <v>49</v>
      </c>
      <c r="R248" t="str">
        <f>"0560034"</f>
        <v>0560034</v>
      </c>
      <c r="S248" t="s">
        <v>266</v>
      </c>
      <c r="T248" t="s">
        <v>223</v>
      </c>
      <c r="U248" t="s">
        <v>224</v>
      </c>
      <c r="V248" t="s">
        <v>131</v>
      </c>
      <c r="W248" t="s">
        <v>44</v>
      </c>
      <c r="X248" t="s">
        <v>45</v>
      </c>
      <c r="Y248" s="1">
        <v>31587</v>
      </c>
      <c r="Z248">
        <v>2</v>
      </c>
      <c r="AA248" t="s">
        <v>224</v>
      </c>
      <c r="AB248" s="40" t="s">
        <v>1795</v>
      </c>
    </row>
    <row r="249" spans="1:28" x14ac:dyDescent="0.25">
      <c r="A249">
        <v>99910248</v>
      </c>
      <c r="B249" t="s">
        <v>32</v>
      </c>
      <c r="C249" t="s">
        <v>71</v>
      </c>
      <c r="D249" t="s">
        <v>72</v>
      </c>
      <c r="G249" t="s">
        <v>48</v>
      </c>
      <c r="H249">
        <v>1</v>
      </c>
      <c r="K249" t="s">
        <v>1590</v>
      </c>
      <c r="L249" t="s">
        <v>1591</v>
      </c>
      <c r="M249" t="s">
        <v>1592</v>
      </c>
      <c r="N249">
        <v>6</v>
      </c>
      <c r="P249" t="s">
        <v>41</v>
      </c>
      <c r="Q249" t="s">
        <v>49</v>
      </c>
      <c r="R249" t="str">
        <f>"0260002"</f>
        <v>0260002</v>
      </c>
      <c r="S249" t="s">
        <v>1593</v>
      </c>
      <c r="T249" t="s">
        <v>1590</v>
      </c>
      <c r="U249" t="s">
        <v>1591</v>
      </c>
      <c r="V249" t="s">
        <v>1592</v>
      </c>
      <c r="W249" t="s">
        <v>51</v>
      </c>
      <c r="X249" t="s">
        <v>45</v>
      </c>
      <c r="Y249" s="1">
        <v>31413</v>
      </c>
      <c r="Z249">
        <v>2</v>
      </c>
      <c r="AA249" t="s">
        <v>1591</v>
      </c>
      <c r="AB249" s="40" t="s">
        <v>1795</v>
      </c>
    </row>
    <row r="250" spans="1:28" x14ac:dyDescent="0.25">
      <c r="A250">
        <v>99910249</v>
      </c>
      <c r="B250" t="s">
        <v>32</v>
      </c>
      <c r="C250" t="s">
        <v>143</v>
      </c>
      <c r="D250" t="s">
        <v>144</v>
      </c>
      <c r="G250" t="s">
        <v>35</v>
      </c>
      <c r="H250">
        <v>1</v>
      </c>
      <c r="I250">
        <v>21384</v>
      </c>
      <c r="J250" s="1">
        <v>43361</v>
      </c>
      <c r="K250" t="s">
        <v>380</v>
      </c>
      <c r="L250" t="s">
        <v>381</v>
      </c>
      <c r="M250" t="s">
        <v>131</v>
      </c>
      <c r="N250">
        <v>6</v>
      </c>
      <c r="O250" s="1">
        <v>43361</v>
      </c>
      <c r="P250" t="s">
        <v>41</v>
      </c>
      <c r="Q250" t="s">
        <v>49</v>
      </c>
      <c r="R250" t="str">
        <f>"0580552"</f>
        <v>0580552</v>
      </c>
      <c r="S250" t="s">
        <v>386</v>
      </c>
      <c r="T250" t="s">
        <v>380</v>
      </c>
      <c r="U250" t="s">
        <v>381</v>
      </c>
      <c r="V250" t="s">
        <v>131</v>
      </c>
      <c r="W250" t="s">
        <v>44</v>
      </c>
      <c r="X250" t="s">
        <v>45</v>
      </c>
      <c r="Y250" s="1">
        <v>31406</v>
      </c>
      <c r="Z250">
        <v>2</v>
      </c>
      <c r="AA250" t="s">
        <v>381</v>
      </c>
      <c r="AB250" s="40" t="s">
        <v>1795</v>
      </c>
    </row>
    <row r="251" spans="1:28" x14ac:dyDescent="0.25">
      <c r="A251">
        <v>99910250</v>
      </c>
      <c r="B251" t="s">
        <v>32</v>
      </c>
      <c r="C251" t="s">
        <v>61</v>
      </c>
      <c r="D251" t="s">
        <v>62</v>
      </c>
      <c r="G251" t="s">
        <v>35</v>
      </c>
      <c r="H251">
        <v>1</v>
      </c>
      <c r="I251" t="s">
        <v>1610</v>
      </c>
      <c r="J251" s="1">
        <v>43344</v>
      </c>
      <c r="K251" t="s">
        <v>1590</v>
      </c>
      <c r="L251" t="s">
        <v>1591</v>
      </c>
      <c r="M251" t="s">
        <v>1592</v>
      </c>
      <c r="N251">
        <v>6</v>
      </c>
      <c r="O251" s="1">
        <v>43344</v>
      </c>
      <c r="P251" t="s">
        <v>41</v>
      </c>
      <c r="Q251" t="s">
        <v>49</v>
      </c>
      <c r="R251" t="str">
        <f>"0260002"</f>
        <v>0260002</v>
      </c>
      <c r="S251" t="s">
        <v>1593</v>
      </c>
      <c r="T251" t="s">
        <v>1590</v>
      </c>
      <c r="U251" t="s">
        <v>1591</v>
      </c>
      <c r="V251" t="s">
        <v>1592</v>
      </c>
      <c r="W251" t="s">
        <v>44</v>
      </c>
      <c r="X251" t="s">
        <v>45</v>
      </c>
      <c r="Y251" s="1">
        <v>31383</v>
      </c>
      <c r="Z251">
        <v>2</v>
      </c>
      <c r="AA251" t="s">
        <v>1591</v>
      </c>
      <c r="AB251" s="40" t="s">
        <v>1795</v>
      </c>
    </row>
    <row r="252" spans="1:28" x14ac:dyDescent="0.25">
      <c r="A252">
        <v>99910251</v>
      </c>
      <c r="B252" t="s">
        <v>56</v>
      </c>
      <c r="C252" t="s">
        <v>141</v>
      </c>
      <c r="D252" t="s">
        <v>142</v>
      </c>
      <c r="G252" t="s">
        <v>48</v>
      </c>
      <c r="H252">
        <v>1</v>
      </c>
      <c r="K252" t="s">
        <v>157</v>
      </c>
      <c r="L252" t="s">
        <v>158</v>
      </c>
      <c r="M252" t="s">
        <v>131</v>
      </c>
      <c r="N252">
        <v>6</v>
      </c>
      <c r="P252" t="s">
        <v>41</v>
      </c>
      <c r="Q252" t="s">
        <v>49</v>
      </c>
      <c r="R252" t="str">
        <f>"0560019"</f>
        <v>0560019</v>
      </c>
      <c r="S252" t="s">
        <v>166</v>
      </c>
      <c r="T252" t="s">
        <v>157</v>
      </c>
      <c r="U252" t="s">
        <v>158</v>
      </c>
      <c r="V252" t="s">
        <v>131</v>
      </c>
      <c r="W252" t="s">
        <v>51</v>
      </c>
      <c r="X252" t="s">
        <v>45</v>
      </c>
      <c r="Y252" s="1">
        <v>31217</v>
      </c>
      <c r="Z252">
        <v>2</v>
      </c>
      <c r="AA252" t="s">
        <v>158</v>
      </c>
      <c r="AB252" s="40" t="s">
        <v>1795</v>
      </c>
    </row>
    <row r="253" spans="1:28" x14ac:dyDescent="0.25">
      <c r="A253">
        <v>99910252</v>
      </c>
      <c r="B253" t="s">
        <v>32</v>
      </c>
      <c r="C253" t="s">
        <v>90</v>
      </c>
      <c r="D253" t="s">
        <v>91</v>
      </c>
      <c r="G253" t="s">
        <v>48</v>
      </c>
      <c r="H253">
        <v>1</v>
      </c>
      <c r="K253" t="s">
        <v>865</v>
      </c>
      <c r="L253" t="s">
        <v>866</v>
      </c>
      <c r="M253" t="s">
        <v>131</v>
      </c>
      <c r="N253">
        <v>6</v>
      </c>
      <c r="P253" t="s">
        <v>41</v>
      </c>
      <c r="Q253" t="s">
        <v>95</v>
      </c>
      <c r="R253" t="str">
        <f>"7531001"</f>
        <v>7531001</v>
      </c>
      <c r="S253" t="s">
        <v>876</v>
      </c>
      <c r="T253" t="s">
        <v>865</v>
      </c>
      <c r="U253" t="s">
        <v>866</v>
      </c>
      <c r="V253" t="s">
        <v>131</v>
      </c>
      <c r="W253" t="s">
        <v>51</v>
      </c>
      <c r="X253" t="s">
        <v>45</v>
      </c>
      <c r="Y253" s="1">
        <v>31187</v>
      </c>
      <c r="Z253">
        <v>1</v>
      </c>
      <c r="AA253" t="s">
        <v>866</v>
      </c>
      <c r="AB253" s="40" t="s">
        <v>1795</v>
      </c>
    </row>
    <row r="254" spans="1:28" x14ac:dyDescent="0.25">
      <c r="A254">
        <v>99910253</v>
      </c>
      <c r="B254" t="s">
        <v>32</v>
      </c>
      <c r="C254" t="s">
        <v>90</v>
      </c>
      <c r="D254" t="s">
        <v>91</v>
      </c>
      <c r="G254" t="s">
        <v>35</v>
      </c>
      <c r="H254">
        <v>1</v>
      </c>
      <c r="K254" t="s">
        <v>877</v>
      </c>
      <c r="L254" t="s">
        <v>878</v>
      </c>
      <c r="M254" t="s">
        <v>131</v>
      </c>
      <c r="N254">
        <v>6</v>
      </c>
      <c r="P254" t="s">
        <v>41</v>
      </c>
      <c r="Q254" t="s">
        <v>95</v>
      </c>
      <c r="R254" t="str">
        <f>"7541085"</f>
        <v>7541085</v>
      </c>
      <c r="S254" t="s">
        <v>913</v>
      </c>
      <c r="T254" t="s">
        <v>877</v>
      </c>
      <c r="U254" t="s">
        <v>878</v>
      </c>
      <c r="V254" t="s">
        <v>131</v>
      </c>
      <c r="W254" t="s">
        <v>165</v>
      </c>
      <c r="X254" t="s">
        <v>45</v>
      </c>
      <c r="Y254" s="1">
        <v>31175</v>
      </c>
      <c r="Z254">
        <v>1</v>
      </c>
      <c r="AA254" t="s">
        <v>878</v>
      </c>
      <c r="AB254" s="40" t="s">
        <v>1795</v>
      </c>
    </row>
    <row r="255" spans="1:28" x14ac:dyDescent="0.25">
      <c r="A255">
        <v>99910254</v>
      </c>
      <c r="B255" t="s">
        <v>32</v>
      </c>
      <c r="C255" t="s">
        <v>90</v>
      </c>
      <c r="D255" t="s">
        <v>91</v>
      </c>
      <c r="G255" t="s">
        <v>35</v>
      </c>
      <c r="H255">
        <v>1</v>
      </c>
      <c r="K255" t="s">
        <v>1502</v>
      </c>
      <c r="L255" t="s">
        <v>1503</v>
      </c>
      <c r="M255" t="s">
        <v>670</v>
      </c>
      <c r="N255">
        <v>6</v>
      </c>
      <c r="P255" t="s">
        <v>41</v>
      </c>
      <c r="Q255" t="s">
        <v>95</v>
      </c>
      <c r="R255" t="str">
        <f>"7171001"</f>
        <v>7171001</v>
      </c>
      <c r="S255" t="s">
        <v>1507</v>
      </c>
      <c r="T255" t="s">
        <v>1502</v>
      </c>
      <c r="U255" t="s">
        <v>1503</v>
      </c>
      <c r="V255" t="s">
        <v>670</v>
      </c>
      <c r="W255" t="s">
        <v>165</v>
      </c>
      <c r="X255" t="s">
        <v>45</v>
      </c>
      <c r="Y255" s="1">
        <v>31146</v>
      </c>
      <c r="Z255">
        <v>1</v>
      </c>
      <c r="AA255" t="s">
        <v>1503</v>
      </c>
      <c r="AB255" s="40" t="s">
        <v>1795</v>
      </c>
    </row>
    <row r="256" spans="1:28" x14ac:dyDescent="0.25">
      <c r="A256">
        <v>99910255</v>
      </c>
      <c r="B256" t="s">
        <v>32</v>
      </c>
      <c r="C256" t="s">
        <v>259</v>
      </c>
      <c r="D256" t="s">
        <v>260</v>
      </c>
      <c r="E256" t="s">
        <v>111</v>
      </c>
      <c r="F256" t="s">
        <v>112</v>
      </c>
      <c r="G256" t="s">
        <v>35</v>
      </c>
      <c r="H256">
        <v>1</v>
      </c>
      <c r="I256">
        <v>18458</v>
      </c>
      <c r="J256" s="1">
        <v>43361</v>
      </c>
      <c r="K256" t="s">
        <v>380</v>
      </c>
      <c r="L256" t="s">
        <v>381</v>
      </c>
      <c r="M256" t="s">
        <v>131</v>
      </c>
      <c r="N256">
        <v>6</v>
      </c>
      <c r="O256" s="1">
        <v>43361</v>
      </c>
      <c r="P256" t="s">
        <v>41</v>
      </c>
      <c r="Q256" t="s">
        <v>49</v>
      </c>
      <c r="R256" t="str">
        <f>"0560028"</f>
        <v>0560028</v>
      </c>
      <c r="S256" t="s">
        <v>384</v>
      </c>
      <c r="T256" t="s">
        <v>380</v>
      </c>
      <c r="U256" t="s">
        <v>381</v>
      </c>
      <c r="V256" t="s">
        <v>131</v>
      </c>
      <c r="W256" t="s">
        <v>44</v>
      </c>
      <c r="X256" t="s">
        <v>45</v>
      </c>
      <c r="Y256" s="1">
        <v>31038</v>
      </c>
      <c r="Z256">
        <v>2</v>
      </c>
      <c r="AA256" t="s">
        <v>381</v>
      </c>
      <c r="AB256" s="40" t="s">
        <v>1795</v>
      </c>
    </row>
    <row r="257" spans="1:28" x14ac:dyDescent="0.25">
      <c r="A257">
        <v>99910256</v>
      </c>
      <c r="B257" t="s">
        <v>32</v>
      </c>
      <c r="C257" t="s">
        <v>90</v>
      </c>
      <c r="D257" t="s">
        <v>91</v>
      </c>
      <c r="G257" t="s">
        <v>35</v>
      </c>
      <c r="H257">
        <v>1</v>
      </c>
      <c r="I257" t="s">
        <v>1711</v>
      </c>
      <c r="J257" s="1">
        <v>43344</v>
      </c>
      <c r="K257" t="s">
        <v>1708</v>
      </c>
      <c r="L257" t="s">
        <v>1709</v>
      </c>
      <c r="M257" t="s">
        <v>1705</v>
      </c>
      <c r="N257">
        <v>6</v>
      </c>
      <c r="O257" s="1">
        <v>43344</v>
      </c>
      <c r="P257" t="s">
        <v>41</v>
      </c>
      <c r="Q257" t="s">
        <v>95</v>
      </c>
      <c r="R257" t="str">
        <f>"7121019"</f>
        <v>7121019</v>
      </c>
      <c r="S257" t="s">
        <v>1712</v>
      </c>
      <c r="T257" t="s">
        <v>1708</v>
      </c>
      <c r="U257" t="s">
        <v>1709</v>
      </c>
      <c r="V257" t="s">
        <v>1705</v>
      </c>
      <c r="W257" t="s">
        <v>44</v>
      </c>
      <c r="X257" t="s">
        <v>45</v>
      </c>
      <c r="Y257" s="1">
        <v>30833</v>
      </c>
      <c r="Z257">
        <v>1</v>
      </c>
      <c r="AA257" t="s">
        <v>1709</v>
      </c>
      <c r="AB257" s="40" t="s">
        <v>1795</v>
      </c>
    </row>
    <row r="258" spans="1:28" x14ac:dyDescent="0.25">
      <c r="A258">
        <v>99910257</v>
      </c>
      <c r="B258" t="s">
        <v>32</v>
      </c>
      <c r="C258" t="s">
        <v>90</v>
      </c>
      <c r="D258" t="s">
        <v>91</v>
      </c>
      <c r="G258" t="s">
        <v>35</v>
      </c>
      <c r="H258">
        <v>1</v>
      </c>
      <c r="K258" t="s">
        <v>154</v>
      </c>
      <c r="L258" t="s">
        <v>155</v>
      </c>
      <c r="M258" t="s">
        <v>131</v>
      </c>
      <c r="N258">
        <v>6</v>
      </c>
      <c r="P258" t="s">
        <v>41</v>
      </c>
      <c r="Q258" t="s">
        <v>95</v>
      </c>
      <c r="R258" t="str">
        <f>"7051141"</f>
        <v>7051141</v>
      </c>
      <c r="S258" t="s">
        <v>416</v>
      </c>
      <c r="T258" t="s">
        <v>154</v>
      </c>
      <c r="U258" t="s">
        <v>155</v>
      </c>
      <c r="V258" t="s">
        <v>131</v>
      </c>
      <c r="W258" t="s">
        <v>51</v>
      </c>
      <c r="X258" t="s">
        <v>45</v>
      </c>
      <c r="Y258" s="1">
        <v>30681</v>
      </c>
      <c r="Z258">
        <v>1</v>
      </c>
      <c r="AA258" t="s">
        <v>155</v>
      </c>
      <c r="AB258" s="40" t="s">
        <v>1795</v>
      </c>
    </row>
    <row r="259" spans="1:28" x14ac:dyDescent="0.25">
      <c r="A259">
        <v>99910258</v>
      </c>
      <c r="B259" t="s">
        <v>56</v>
      </c>
      <c r="C259" t="s">
        <v>143</v>
      </c>
      <c r="D259" t="s">
        <v>144</v>
      </c>
      <c r="G259" t="s">
        <v>35</v>
      </c>
      <c r="H259">
        <v>1</v>
      </c>
      <c r="I259">
        <v>14661</v>
      </c>
      <c r="J259" s="1">
        <v>43356</v>
      </c>
      <c r="K259" t="s">
        <v>1306</v>
      </c>
      <c r="L259" t="s">
        <v>1307</v>
      </c>
      <c r="M259" t="s">
        <v>1270</v>
      </c>
      <c r="N259">
        <v>6</v>
      </c>
      <c r="O259" s="1">
        <v>43356</v>
      </c>
      <c r="P259" t="s">
        <v>41</v>
      </c>
      <c r="Q259" t="s">
        <v>49</v>
      </c>
      <c r="R259" t="str">
        <f>"1991913"</f>
        <v>1991913</v>
      </c>
      <c r="S259" t="s">
        <v>1310</v>
      </c>
      <c r="T259" t="s">
        <v>1306</v>
      </c>
      <c r="U259" t="s">
        <v>1307</v>
      </c>
      <c r="V259" t="s">
        <v>1270</v>
      </c>
      <c r="W259" t="s">
        <v>44</v>
      </c>
      <c r="X259" t="s">
        <v>45</v>
      </c>
      <c r="Y259" s="1">
        <v>30582</v>
      </c>
      <c r="Z259">
        <v>2</v>
      </c>
      <c r="AA259" t="s">
        <v>1307</v>
      </c>
      <c r="AB259" s="40" t="s">
        <v>1795</v>
      </c>
    </row>
    <row r="260" spans="1:28" x14ac:dyDescent="0.25">
      <c r="A260">
        <v>99910259</v>
      </c>
      <c r="B260" t="s">
        <v>32</v>
      </c>
      <c r="C260" t="s">
        <v>149</v>
      </c>
      <c r="D260" t="s">
        <v>150</v>
      </c>
      <c r="G260" t="s">
        <v>35</v>
      </c>
      <c r="H260">
        <v>1</v>
      </c>
      <c r="I260">
        <v>8138</v>
      </c>
      <c r="J260" s="1">
        <v>43344</v>
      </c>
      <c r="K260" t="s">
        <v>1051</v>
      </c>
      <c r="L260" t="s">
        <v>1052</v>
      </c>
      <c r="M260" t="s">
        <v>1053</v>
      </c>
      <c r="N260">
        <v>6</v>
      </c>
      <c r="O260" s="1">
        <v>43344</v>
      </c>
      <c r="P260" t="s">
        <v>41</v>
      </c>
      <c r="Q260" t="s">
        <v>49</v>
      </c>
      <c r="R260" t="str">
        <f>"2060004"</f>
        <v>2060004</v>
      </c>
      <c r="S260" t="s">
        <v>1059</v>
      </c>
      <c r="T260" t="s">
        <v>1051</v>
      </c>
      <c r="U260" t="s">
        <v>1052</v>
      </c>
      <c r="V260" t="s">
        <v>1053</v>
      </c>
      <c r="W260" t="s">
        <v>51</v>
      </c>
      <c r="X260" t="s">
        <v>45</v>
      </c>
      <c r="Y260" s="1">
        <v>30534</v>
      </c>
      <c r="Z260">
        <v>2</v>
      </c>
      <c r="AA260" t="s">
        <v>1052</v>
      </c>
      <c r="AB260" s="40" t="s">
        <v>1795</v>
      </c>
    </row>
    <row r="261" spans="1:28" x14ac:dyDescent="0.25">
      <c r="A261">
        <v>99910260</v>
      </c>
      <c r="B261" t="s">
        <v>32</v>
      </c>
      <c r="C261" t="s">
        <v>90</v>
      </c>
      <c r="D261" t="s">
        <v>91</v>
      </c>
      <c r="G261" t="s">
        <v>35</v>
      </c>
      <c r="H261">
        <v>1</v>
      </c>
      <c r="K261" t="s">
        <v>195</v>
      </c>
      <c r="L261" t="s">
        <v>196</v>
      </c>
      <c r="M261" t="s">
        <v>131</v>
      </c>
      <c r="N261">
        <v>6</v>
      </c>
      <c r="P261" t="s">
        <v>41</v>
      </c>
      <c r="Q261" t="s">
        <v>95</v>
      </c>
      <c r="R261" t="str">
        <f>"7521079"</f>
        <v>7521079</v>
      </c>
      <c r="S261" t="s">
        <v>566</v>
      </c>
      <c r="T261" t="s">
        <v>195</v>
      </c>
      <c r="U261" t="s">
        <v>196</v>
      </c>
      <c r="V261" t="s">
        <v>131</v>
      </c>
      <c r="W261" t="s">
        <v>51</v>
      </c>
      <c r="X261" t="s">
        <v>45</v>
      </c>
      <c r="Y261" s="1">
        <v>30499</v>
      </c>
      <c r="Z261">
        <v>1</v>
      </c>
      <c r="AA261" t="s">
        <v>196</v>
      </c>
      <c r="AB261" s="40" t="s">
        <v>1795</v>
      </c>
    </row>
    <row r="262" spans="1:28" x14ac:dyDescent="0.25">
      <c r="A262">
        <v>99910261</v>
      </c>
      <c r="B262" t="s">
        <v>32</v>
      </c>
      <c r="C262" t="s">
        <v>61</v>
      </c>
      <c r="D262" t="s">
        <v>62</v>
      </c>
      <c r="G262" t="s">
        <v>35</v>
      </c>
      <c r="H262">
        <v>1</v>
      </c>
      <c r="I262">
        <v>13284</v>
      </c>
      <c r="J262" s="1">
        <v>43344</v>
      </c>
      <c r="K262" t="s">
        <v>877</v>
      </c>
      <c r="L262" t="s">
        <v>878</v>
      </c>
      <c r="M262" t="s">
        <v>131</v>
      </c>
      <c r="N262">
        <v>6</v>
      </c>
      <c r="O262" s="1">
        <v>43344</v>
      </c>
      <c r="P262" t="s">
        <v>41</v>
      </c>
      <c r="Q262" t="s">
        <v>75</v>
      </c>
      <c r="R262" t="str">
        <f>"7541024"</f>
        <v>7541024</v>
      </c>
      <c r="S262" t="s">
        <v>885</v>
      </c>
      <c r="T262" t="s">
        <v>877</v>
      </c>
      <c r="U262" t="s">
        <v>878</v>
      </c>
      <c r="V262" t="s">
        <v>131</v>
      </c>
      <c r="W262" t="s">
        <v>51</v>
      </c>
      <c r="X262" t="s">
        <v>45</v>
      </c>
      <c r="Y262" s="1">
        <v>30429</v>
      </c>
      <c r="Z262">
        <v>1</v>
      </c>
      <c r="AA262" t="s">
        <v>878</v>
      </c>
      <c r="AB262" s="40" t="s">
        <v>1795</v>
      </c>
    </row>
    <row r="263" spans="1:28" x14ac:dyDescent="0.25">
      <c r="A263">
        <v>99910262</v>
      </c>
      <c r="B263" t="s">
        <v>56</v>
      </c>
      <c r="C263" t="s">
        <v>61</v>
      </c>
      <c r="D263" t="s">
        <v>62</v>
      </c>
      <c r="G263" t="s">
        <v>35</v>
      </c>
      <c r="H263">
        <v>1</v>
      </c>
      <c r="I263" t="s">
        <v>1715</v>
      </c>
      <c r="J263" s="1">
        <v>43385</v>
      </c>
      <c r="K263" t="s">
        <v>1708</v>
      </c>
      <c r="L263" t="s">
        <v>1709</v>
      </c>
      <c r="M263" t="s">
        <v>1705</v>
      </c>
      <c r="N263">
        <v>6</v>
      </c>
      <c r="O263" s="1">
        <v>43385</v>
      </c>
      <c r="P263" t="s">
        <v>41</v>
      </c>
      <c r="Q263" t="s">
        <v>75</v>
      </c>
      <c r="R263" t="str">
        <f>"7121000"</f>
        <v>7121000</v>
      </c>
      <c r="S263" t="s">
        <v>1713</v>
      </c>
      <c r="T263" t="s">
        <v>1708</v>
      </c>
      <c r="U263" t="s">
        <v>1709</v>
      </c>
      <c r="V263" t="s">
        <v>1705</v>
      </c>
      <c r="W263" t="s">
        <v>44</v>
      </c>
      <c r="X263" t="s">
        <v>45</v>
      </c>
      <c r="Y263" s="1">
        <v>30413</v>
      </c>
      <c r="Z263">
        <v>1</v>
      </c>
      <c r="AA263" t="s">
        <v>1709</v>
      </c>
      <c r="AB263" s="40" t="s">
        <v>1795</v>
      </c>
    </row>
    <row r="264" spans="1:28" x14ac:dyDescent="0.25">
      <c r="A264">
        <v>99910263</v>
      </c>
      <c r="B264" t="s">
        <v>32</v>
      </c>
      <c r="C264" t="s">
        <v>64</v>
      </c>
      <c r="D264" t="s">
        <v>65</v>
      </c>
      <c r="G264" t="s">
        <v>35</v>
      </c>
      <c r="H264">
        <v>1</v>
      </c>
      <c r="K264" t="s">
        <v>1268</v>
      </c>
      <c r="L264" t="s">
        <v>1269</v>
      </c>
      <c r="M264" t="s">
        <v>1270</v>
      </c>
      <c r="N264">
        <v>6</v>
      </c>
      <c r="P264" t="s">
        <v>41</v>
      </c>
      <c r="Q264" t="s">
        <v>49</v>
      </c>
      <c r="R264" t="str">
        <f>"1981912"</f>
        <v>1981912</v>
      </c>
      <c r="S264" t="s">
        <v>1279</v>
      </c>
      <c r="T264" t="s">
        <v>1268</v>
      </c>
      <c r="U264" t="s">
        <v>1269</v>
      </c>
      <c r="V264" t="s">
        <v>1270</v>
      </c>
      <c r="W264" t="s">
        <v>51</v>
      </c>
      <c r="X264" t="s">
        <v>45</v>
      </c>
      <c r="Y264" s="1">
        <v>30405</v>
      </c>
      <c r="Z264">
        <v>2</v>
      </c>
      <c r="AA264" t="s">
        <v>1269</v>
      </c>
      <c r="AB264" s="40" t="s">
        <v>1795</v>
      </c>
    </row>
    <row r="265" spans="1:28" x14ac:dyDescent="0.25">
      <c r="A265">
        <v>99910264</v>
      </c>
      <c r="B265" t="s">
        <v>32</v>
      </c>
      <c r="C265" t="s">
        <v>145</v>
      </c>
      <c r="D265" t="s">
        <v>146</v>
      </c>
      <c r="G265" t="s">
        <v>48</v>
      </c>
      <c r="H265">
        <v>1</v>
      </c>
      <c r="K265" t="s">
        <v>162</v>
      </c>
      <c r="L265" t="s">
        <v>158</v>
      </c>
      <c r="M265" t="s">
        <v>131</v>
      </c>
      <c r="N265">
        <v>6</v>
      </c>
      <c r="P265" t="s">
        <v>41</v>
      </c>
      <c r="Q265" t="s">
        <v>49</v>
      </c>
      <c r="R265" t="str">
        <f>"0560003"</f>
        <v>0560003</v>
      </c>
      <c r="S265" t="s">
        <v>181</v>
      </c>
      <c r="T265" t="s">
        <v>162</v>
      </c>
      <c r="U265" t="s">
        <v>158</v>
      </c>
      <c r="V265" t="s">
        <v>131</v>
      </c>
      <c r="W265" t="s">
        <v>51</v>
      </c>
      <c r="X265" t="s">
        <v>45</v>
      </c>
      <c r="Y265" s="1">
        <v>30372</v>
      </c>
      <c r="Z265">
        <v>2</v>
      </c>
      <c r="AA265" t="s">
        <v>158</v>
      </c>
      <c r="AB265" s="40" t="s">
        <v>1795</v>
      </c>
    </row>
    <row r="266" spans="1:28" x14ac:dyDescent="0.25">
      <c r="A266">
        <v>99910265</v>
      </c>
      <c r="B266" t="s">
        <v>32</v>
      </c>
      <c r="C266" t="s">
        <v>139</v>
      </c>
      <c r="D266" t="s">
        <v>140</v>
      </c>
      <c r="G266" t="s">
        <v>48</v>
      </c>
      <c r="H266">
        <v>1</v>
      </c>
      <c r="K266" t="s">
        <v>667</v>
      </c>
      <c r="L266" t="s">
        <v>669</v>
      </c>
      <c r="M266" t="s">
        <v>670</v>
      </c>
      <c r="N266">
        <v>6</v>
      </c>
      <c r="P266" t="s">
        <v>41</v>
      </c>
      <c r="Q266" t="s">
        <v>75</v>
      </c>
      <c r="R266" t="str">
        <f>"7501002"</f>
        <v>7501002</v>
      </c>
      <c r="S266" t="s">
        <v>1519</v>
      </c>
      <c r="T266" t="s">
        <v>667</v>
      </c>
      <c r="U266" t="s">
        <v>669</v>
      </c>
      <c r="V266" t="s">
        <v>670</v>
      </c>
      <c r="W266" t="s">
        <v>51</v>
      </c>
      <c r="X266" t="s">
        <v>45</v>
      </c>
      <c r="Y266" s="1">
        <v>30317</v>
      </c>
      <c r="Z266">
        <v>1</v>
      </c>
      <c r="AA266" t="s">
        <v>669</v>
      </c>
      <c r="AB266" s="40" t="s">
        <v>1795</v>
      </c>
    </row>
    <row r="267" spans="1:28" x14ac:dyDescent="0.25">
      <c r="A267">
        <v>99910266</v>
      </c>
      <c r="B267" t="s">
        <v>32</v>
      </c>
      <c r="C267" t="s">
        <v>46</v>
      </c>
      <c r="D267" t="s">
        <v>47</v>
      </c>
      <c r="G267" t="s">
        <v>48</v>
      </c>
      <c r="H267">
        <v>1</v>
      </c>
      <c r="K267" t="s">
        <v>1566</v>
      </c>
      <c r="L267" t="s">
        <v>1567</v>
      </c>
      <c r="M267" t="s">
        <v>1548</v>
      </c>
      <c r="N267">
        <v>6</v>
      </c>
      <c r="P267" t="s">
        <v>41</v>
      </c>
      <c r="Q267" t="s">
        <v>49</v>
      </c>
      <c r="R267" t="str">
        <f>"2960001"</f>
        <v>2960001</v>
      </c>
      <c r="S267" t="s">
        <v>1569</v>
      </c>
      <c r="T267" t="s">
        <v>1566</v>
      </c>
      <c r="U267" t="s">
        <v>1567</v>
      </c>
      <c r="V267" t="s">
        <v>1548</v>
      </c>
      <c r="W267" t="s">
        <v>51</v>
      </c>
      <c r="X267" t="s">
        <v>45</v>
      </c>
      <c r="Y267" s="1">
        <v>30317</v>
      </c>
      <c r="Z267">
        <v>2</v>
      </c>
      <c r="AA267" t="s">
        <v>1567</v>
      </c>
      <c r="AB267" s="40" t="s">
        <v>1795</v>
      </c>
    </row>
    <row r="268" spans="1:28" x14ac:dyDescent="0.25">
      <c r="A268">
        <v>99910267</v>
      </c>
      <c r="B268" t="s">
        <v>32</v>
      </c>
      <c r="C268" t="s">
        <v>90</v>
      </c>
      <c r="D268" t="s">
        <v>91</v>
      </c>
      <c r="G268" t="s">
        <v>35</v>
      </c>
      <c r="H268">
        <v>1</v>
      </c>
      <c r="K268" t="s">
        <v>1502</v>
      </c>
      <c r="L268" t="s">
        <v>1503</v>
      </c>
      <c r="M268" t="s">
        <v>670</v>
      </c>
      <c r="N268">
        <v>6</v>
      </c>
      <c r="P268" t="s">
        <v>41</v>
      </c>
      <c r="Q268" t="s">
        <v>95</v>
      </c>
      <c r="R268" t="str">
        <f>"7171001"</f>
        <v>7171001</v>
      </c>
      <c r="S268" t="s">
        <v>1507</v>
      </c>
      <c r="T268" t="s">
        <v>1502</v>
      </c>
      <c r="U268" t="s">
        <v>1503</v>
      </c>
      <c r="V268" t="s">
        <v>670</v>
      </c>
      <c r="W268" t="s">
        <v>51</v>
      </c>
      <c r="X268" t="s">
        <v>45</v>
      </c>
      <c r="Y268" s="1">
        <v>30298</v>
      </c>
      <c r="Z268">
        <v>1</v>
      </c>
      <c r="AA268" t="s">
        <v>1503</v>
      </c>
      <c r="AB268" s="40" t="s">
        <v>1795</v>
      </c>
    </row>
    <row r="269" spans="1:28" x14ac:dyDescent="0.25">
      <c r="A269">
        <v>99910268</v>
      </c>
      <c r="B269" t="s">
        <v>32</v>
      </c>
      <c r="C269" t="s">
        <v>85</v>
      </c>
      <c r="D269" t="s">
        <v>86</v>
      </c>
      <c r="G269" t="s">
        <v>48</v>
      </c>
      <c r="H269">
        <v>2</v>
      </c>
      <c r="K269" t="s">
        <v>129</v>
      </c>
      <c r="L269" t="s">
        <v>130</v>
      </c>
      <c r="M269" t="s">
        <v>131</v>
      </c>
      <c r="N269">
        <v>6</v>
      </c>
      <c r="O269" s="1">
        <v>38603</v>
      </c>
      <c r="P269" t="s">
        <v>41</v>
      </c>
      <c r="Q269" t="s">
        <v>49</v>
      </c>
      <c r="R269" t="str">
        <f>"0580150"</f>
        <v>0580150</v>
      </c>
      <c r="S269" t="s">
        <v>134</v>
      </c>
      <c r="T269" t="s">
        <v>129</v>
      </c>
      <c r="U269" t="s">
        <v>130</v>
      </c>
      <c r="V269" t="s">
        <v>131</v>
      </c>
      <c r="W269" t="s">
        <v>51</v>
      </c>
      <c r="X269" t="s">
        <v>45</v>
      </c>
      <c r="Y269" s="1">
        <v>30233</v>
      </c>
      <c r="Z269">
        <v>2</v>
      </c>
      <c r="AA269" t="s">
        <v>130</v>
      </c>
      <c r="AB269" s="40" t="s">
        <v>1795</v>
      </c>
    </row>
    <row r="270" spans="1:28" x14ac:dyDescent="0.25">
      <c r="A270">
        <v>99910269</v>
      </c>
      <c r="B270" t="s">
        <v>32</v>
      </c>
      <c r="C270" t="s">
        <v>71</v>
      </c>
      <c r="D270" t="s">
        <v>72</v>
      </c>
      <c r="G270" t="s">
        <v>35</v>
      </c>
      <c r="H270">
        <v>1</v>
      </c>
      <c r="K270" t="s">
        <v>223</v>
      </c>
      <c r="L270" t="s">
        <v>224</v>
      </c>
      <c r="M270" t="s">
        <v>131</v>
      </c>
      <c r="N270">
        <v>6</v>
      </c>
      <c r="P270" t="s">
        <v>41</v>
      </c>
      <c r="Q270" t="s">
        <v>49</v>
      </c>
      <c r="R270" t="str">
        <f>"0560018"</f>
        <v>0560018</v>
      </c>
      <c r="S270" t="s">
        <v>234</v>
      </c>
      <c r="T270" t="s">
        <v>223</v>
      </c>
      <c r="U270" t="s">
        <v>224</v>
      </c>
      <c r="V270" t="s">
        <v>131</v>
      </c>
      <c r="W270" t="s">
        <v>51</v>
      </c>
      <c r="X270" t="s">
        <v>45</v>
      </c>
      <c r="Y270" s="1">
        <v>30125</v>
      </c>
      <c r="Z270">
        <v>2</v>
      </c>
      <c r="AA270" t="s">
        <v>224</v>
      </c>
      <c r="AB270" s="40" t="s">
        <v>1795</v>
      </c>
    </row>
    <row r="271" spans="1:28" x14ac:dyDescent="0.25">
      <c r="A271">
        <v>99910270</v>
      </c>
      <c r="B271" t="s">
        <v>32</v>
      </c>
      <c r="C271" t="s">
        <v>71</v>
      </c>
      <c r="D271" t="s">
        <v>72</v>
      </c>
      <c r="G271" t="s">
        <v>35</v>
      </c>
      <c r="H271">
        <v>1</v>
      </c>
      <c r="I271">
        <v>0</v>
      </c>
      <c r="J271" s="1">
        <v>43344</v>
      </c>
      <c r="K271" t="s">
        <v>223</v>
      </c>
      <c r="L271" t="s">
        <v>224</v>
      </c>
      <c r="M271" t="s">
        <v>131</v>
      </c>
      <c r="N271">
        <v>6</v>
      </c>
      <c r="O271" s="1">
        <v>43344</v>
      </c>
      <c r="P271" t="s">
        <v>41</v>
      </c>
      <c r="Q271" t="s">
        <v>49</v>
      </c>
      <c r="R271" t="str">
        <f>"0591901"</f>
        <v>0591901</v>
      </c>
      <c r="S271" t="s">
        <v>230</v>
      </c>
      <c r="T271" t="s">
        <v>223</v>
      </c>
      <c r="U271" t="s">
        <v>224</v>
      </c>
      <c r="V271" t="s">
        <v>131</v>
      </c>
      <c r="W271" t="s">
        <v>44</v>
      </c>
      <c r="X271" t="s">
        <v>45</v>
      </c>
      <c r="Y271" s="1">
        <v>29952</v>
      </c>
      <c r="Z271">
        <v>2</v>
      </c>
      <c r="AA271" t="s">
        <v>224</v>
      </c>
      <c r="AB271" s="40" t="s">
        <v>1795</v>
      </c>
    </row>
    <row r="272" spans="1:28" x14ac:dyDescent="0.25">
      <c r="A272">
        <v>99910271</v>
      </c>
      <c r="B272" t="s">
        <v>32</v>
      </c>
      <c r="C272" t="s">
        <v>71</v>
      </c>
      <c r="D272" t="s">
        <v>72</v>
      </c>
      <c r="G272" t="s">
        <v>35</v>
      </c>
      <c r="H272">
        <v>1</v>
      </c>
      <c r="I272">
        <v>24505</v>
      </c>
      <c r="J272" s="1">
        <v>43344</v>
      </c>
      <c r="K272" t="s">
        <v>380</v>
      </c>
      <c r="L272" t="s">
        <v>381</v>
      </c>
      <c r="M272" t="s">
        <v>131</v>
      </c>
      <c r="N272">
        <v>6</v>
      </c>
      <c r="O272" s="1">
        <v>43344</v>
      </c>
      <c r="P272" t="s">
        <v>41</v>
      </c>
      <c r="Q272" t="s">
        <v>49</v>
      </c>
      <c r="R272" t="str">
        <f>"0580552"</f>
        <v>0580552</v>
      </c>
      <c r="S272" t="s">
        <v>386</v>
      </c>
      <c r="T272" t="s">
        <v>380</v>
      </c>
      <c r="U272" t="s">
        <v>381</v>
      </c>
      <c r="V272" t="s">
        <v>131</v>
      </c>
      <c r="W272" t="s">
        <v>51</v>
      </c>
      <c r="X272" t="s">
        <v>45</v>
      </c>
      <c r="Y272" s="1">
        <v>29952</v>
      </c>
      <c r="Z272">
        <v>2</v>
      </c>
      <c r="AA272" t="s">
        <v>381</v>
      </c>
      <c r="AB272" s="40" t="s">
        <v>1795</v>
      </c>
    </row>
    <row r="273" spans="1:28" x14ac:dyDescent="0.25">
      <c r="A273">
        <v>99910272</v>
      </c>
      <c r="B273" t="s">
        <v>32</v>
      </c>
      <c r="C273" t="s">
        <v>71</v>
      </c>
      <c r="D273" t="s">
        <v>72</v>
      </c>
      <c r="G273" t="s">
        <v>48</v>
      </c>
      <c r="H273">
        <v>1</v>
      </c>
      <c r="K273" t="s">
        <v>407</v>
      </c>
      <c r="L273" t="s">
        <v>409</v>
      </c>
      <c r="M273" t="s">
        <v>131</v>
      </c>
      <c r="N273">
        <v>6</v>
      </c>
      <c r="P273" t="s">
        <v>41</v>
      </c>
      <c r="Q273" t="s">
        <v>75</v>
      </c>
      <c r="R273" t="str">
        <f>"7053000"</f>
        <v>7053000</v>
      </c>
      <c r="S273" t="s">
        <v>754</v>
      </c>
      <c r="T273" t="s">
        <v>407</v>
      </c>
      <c r="U273" t="s">
        <v>409</v>
      </c>
      <c r="V273" t="s">
        <v>131</v>
      </c>
      <c r="W273" t="s">
        <v>51</v>
      </c>
      <c r="X273" t="s">
        <v>45</v>
      </c>
      <c r="Y273" s="1">
        <v>29952</v>
      </c>
      <c r="Z273">
        <v>1</v>
      </c>
      <c r="AA273" t="s">
        <v>409</v>
      </c>
      <c r="AB273" s="40" t="s">
        <v>1795</v>
      </c>
    </row>
    <row r="274" spans="1:28" x14ac:dyDescent="0.25">
      <c r="A274">
        <v>99910273</v>
      </c>
      <c r="B274" t="s">
        <v>32</v>
      </c>
      <c r="C274" t="s">
        <v>141</v>
      </c>
      <c r="D274" t="s">
        <v>142</v>
      </c>
      <c r="G274" t="s">
        <v>48</v>
      </c>
      <c r="H274">
        <v>1</v>
      </c>
      <c r="K274" t="s">
        <v>380</v>
      </c>
      <c r="L274" t="s">
        <v>381</v>
      </c>
      <c r="M274" t="s">
        <v>131</v>
      </c>
      <c r="N274">
        <v>6</v>
      </c>
      <c r="P274" t="s">
        <v>41</v>
      </c>
      <c r="Q274" t="s">
        <v>49</v>
      </c>
      <c r="R274" t="str">
        <f>"0580552"</f>
        <v>0580552</v>
      </c>
      <c r="S274" t="s">
        <v>386</v>
      </c>
      <c r="T274" t="s">
        <v>380</v>
      </c>
      <c r="U274" t="s">
        <v>381</v>
      </c>
      <c r="V274" t="s">
        <v>131</v>
      </c>
      <c r="W274" t="s">
        <v>51</v>
      </c>
      <c r="X274" t="s">
        <v>45</v>
      </c>
      <c r="Y274" s="1">
        <v>29949</v>
      </c>
      <c r="Z274">
        <v>2</v>
      </c>
      <c r="AA274" t="s">
        <v>381</v>
      </c>
      <c r="AB274" s="40" t="s">
        <v>1795</v>
      </c>
    </row>
    <row r="275" spans="1:28" x14ac:dyDescent="0.25">
      <c r="A275">
        <v>99910274</v>
      </c>
      <c r="B275" t="s">
        <v>32</v>
      </c>
      <c r="C275" t="s">
        <v>139</v>
      </c>
      <c r="D275" t="s">
        <v>140</v>
      </c>
      <c r="G275" t="s">
        <v>48</v>
      </c>
      <c r="H275">
        <v>1</v>
      </c>
      <c r="K275" t="s">
        <v>1613</v>
      </c>
      <c r="L275" t="s">
        <v>1614</v>
      </c>
      <c r="M275" t="s">
        <v>1592</v>
      </c>
      <c r="N275">
        <v>6</v>
      </c>
      <c r="P275" t="s">
        <v>41</v>
      </c>
      <c r="Q275" t="s">
        <v>49</v>
      </c>
      <c r="R275" t="str">
        <f>"2860001"</f>
        <v>2860001</v>
      </c>
      <c r="S275" t="s">
        <v>1616</v>
      </c>
      <c r="T275" t="s">
        <v>1613</v>
      </c>
      <c r="U275" t="s">
        <v>1614</v>
      </c>
      <c r="V275" t="s">
        <v>1592</v>
      </c>
      <c r="W275" t="s">
        <v>51</v>
      </c>
      <c r="X275" t="s">
        <v>45</v>
      </c>
      <c r="Y275" s="1">
        <v>29863</v>
      </c>
      <c r="Z275">
        <v>2</v>
      </c>
      <c r="AA275" t="s">
        <v>1614</v>
      </c>
      <c r="AB275" s="40" t="s">
        <v>1795</v>
      </c>
    </row>
    <row r="276" spans="1:28" x14ac:dyDescent="0.25">
      <c r="A276">
        <v>99910275</v>
      </c>
      <c r="B276" t="s">
        <v>56</v>
      </c>
      <c r="C276" t="s">
        <v>52</v>
      </c>
      <c r="D276" t="s">
        <v>53</v>
      </c>
      <c r="G276" t="s">
        <v>35</v>
      </c>
      <c r="H276">
        <v>1</v>
      </c>
      <c r="I276">
        <v>19729</v>
      </c>
      <c r="J276" s="1">
        <v>43344</v>
      </c>
      <c r="K276" t="s">
        <v>1128</v>
      </c>
      <c r="L276" t="s">
        <v>1129</v>
      </c>
      <c r="M276" t="s">
        <v>1130</v>
      </c>
      <c r="N276">
        <v>6</v>
      </c>
      <c r="O276" s="1">
        <v>43344</v>
      </c>
      <c r="P276" t="s">
        <v>41</v>
      </c>
      <c r="Q276" t="s">
        <v>42</v>
      </c>
      <c r="R276" t="str">
        <f>"3180010"</f>
        <v>3180010</v>
      </c>
      <c r="S276" t="s">
        <v>1132</v>
      </c>
      <c r="T276" t="s">
        <v>1128</v>
      </c>
      <c r="U276" t="s">
        <v>1129</v>
      </c>
      <c r="V276" t="s">
        <v>1130</v>
      </c>
      <c r="W276" t="s">
        <v>55</v>
      </c>
      <c r="X276" t="s">
        <v>45</v>
      </c>
      <c r="Y276" s="1">
        <v>29848</v>
      </c>
      <c r="Z276">
        <v>2</v>
      </c>
      <c r="AA276" t="s">
        <v>1129</v>
      </c>
      <c r="AB276" s="40" t="s">
        <v>1795</v>
      </c>
    </row>
    <row r="277" spans="1:28" x14ac:dyDescent="0.25">
      <c r="A277">
        <v>99910276</v>
      </c>
      <c r="B277" t="s">
        <v>56</v>
      </c>
      <c r="C277" t="s">
        <v>61</v>
      </c>
      <c r="D277" t="s">
        <v>62</v>
      </c>
      <c r="G277" t="s">
        <v>35</v>
      </c>
      <c r="H277">
        <v>1</v>
      </c>
      <c r="I277" t="s">
        <v>674</v>
      </c>
      <c r="J277" s="1">
        <v>43344</v>
      </c>
      <c r="K277" t="s">
        <v>268</v>
      </c>
      <c r="L277" t="s">
        <v>269</v>
      </c>
      <c r="M277" t="s">
        <v>131</v>
      </c>
      <c r="N277">
        <v>6</v>
      </c>
      <c r="O277" s="1">
        <v>43344</v>
      </c>
      <c r="P277" t="s">
        <v>41</v>
      </c>
      <c r="Q277" t="s">
        <v>75</v>
      </c>
      <c r="R277" t="str">
        <f>"7052010"</f>
        <v>7052010</v>
      </c>
      <c r="S277" t="s">
        <v>615</v>
      </c>
      <c r="T277" t="s">
        <v>268</v>
      </c>
      <c r="U277" t="s">
        <v>269</v>
      </c>
      <c r="V277" t="s">
        <v>131</v>
      </c>
      <c r="W277" t="s">
        <v>51</v>
      </c>
      <c r="X277" t="s">
        <v>45</v>
      </c>
      <c r="Y277" s="1">
        <v>29838</v>
      </c>
      <c r="Z277">
        <v>1</v>
      </c>
      <c r="AA277" t="s">
        <v>269</v>
      </c>
      <c r="AB277" s="40" t="s">
        <v>1795</v>
      </c>
    </row>
    <row r="278" spans="1:28" x14ac:dyDescent="0.25">
      <c r="A278">
        <v>99910277</v>
      </c>
      <c r="B278" t="s">
        <v>32</v>
      </c>
      <c r="C278" t="s">
        <v>79</v>
      </c>
      <c r="D278" t="s">
        <v>80</v>
      </c>
      <c r="G278" t="s">
        <v>35</v>
      </c>
      <c r="H278">
        <v>1</v>
      </c>
      <c r="I278" t="s">
        <v>1598</v>
      </c>
      <c r="J278" s="1">
        <v>43344</v>
      </c>
      <c r="K278" t="s">
        <v>1590</v>
      </c>
      <c r="L278" t="s">
        <v>1591</v>
      </c>
      <c r="M278" t="s">
        <v>1592</v>
      </c>
      <c r="N278">
        <v>6</v>
      </c>
      <c r="O278" s="1">
        <v>43344</v>
      </c>
      <c r="P278" t="s">
        <v>41</v>
      </c>
      <c r="Q278" t="s">
        <v>49</v>
      </c>
      <c r="R278" t="str">
        <f>"0260002"</f>
        <v>0260002</v>
      </c>
      <c r="S278" t="s">
        <v>1593</v>
      </c>
      <c r="T278" t="s">
        <v>1590</v>
      </c>
      <c r="U278" t="s">
        <v>1591</v>
      </c>
      <c r="V278" t="s">
        <v>1592</v>
      </c>
      <c r="W278" t="s">
        <v>44</v>
      </c>
      <c r="X278" t="s">
        <v>45</v>
      </c>
      <c r="Y278" s="1">
        <v>29789</v>
      </c>
      <c r="Z278">
        <v>2</v>
      </c>
      <c r="AA278" t="s">
        <v>1591</v>
      </c>
      <c r="AB278" s="40" t="s">
        <v>1795</v>
      </c>
    </row>
    <row r="279" spans="1:28" x14ac:dyDescent="0.25">
      <c r="A279">
        <v>99910278</v>
      </c>
      <c r="B279" t="s">
        <v>32</v>
      </c>
      <c r="C279" t="s">
        <v>71</v>
      </c>
      <c r="D279" t="s">
        <v>72</v>
      </c>
      <c r="G279" t="s">
        <v>48</v>
      </c>
      <c r="H279">
        <v>1</v>
      </c>
      <c r="K279" t="s">
        <v>157</v>
      </c>
      <c r="L279" t="s">
        <v>158</v>
      </c>
      <c r="M279" t="s">
        <v>131</v>
      </c>
      <c r="N279">
        <v>6</v>
      </c>
      <c r="P279" t="s">
        <v>41</v>
      </c>
      <c r="Q279" t="s">
        <v>49</v>
      </c>
      <c r="R279" t="str">
        <f>"0560019"</f>
        <v>0560019</v>
      </c>
      <c r="S279" t="s">
        <v>166</v>
      </c>
      <c r="T279" t="s">
        <v>157</v>
      </c>
      <c r="U279" t="s">
        <v>158</v>
      </c>
      <c r="V279" t="s">
        <v>131</v>
      </c>
      <c r="W279" t="s">
        <v>51</v>
      </c>
      <c r="X279" t="s">
        <v>45</v>
      </c>
      <c r="Y279" s="1">
        <v>29587</v>
      </c>
      <c r="Z279">
        <v>2</v>
      </c>
      <c r="AA279" t="s">
        <v>158</v>
      </c>
      <c r="AB279" s="40" t="s">
        <v>1795</v>
      </c>
    </row>
    <row r="280" spans="1:28" x14ac:dyDescent="0.25">
      <c r="A280">
        <v>99910279</v>
      </c>
      <c r="B280" t="s">
        <v>32</v>
      </c>
      <c r="C280" t="s">
        <v>71</v>
      </c>
      <c r="D280" t="s">
        <v>72</v>
      </c>
      <c r="G280" t="s">
        <v>35</v>
      </c>
      <c r="H280">
        <v>1</v>
      </c>
      <c r="I280" t="s">
        <v>837</v>
      </c>
      <c r="J280" s="1">
        <v>43344</v>
      </c>
      <c r="K280" t="s">
        <v>354</v>
      </c>
      <c r="L280" t="s">
        <v>355</v>
      </c>
      <c r="M280" t="s">
        <v>131</v>
      </c>
      <c r="N280">
        <v>6</v>
      </c>
      <c r="O280" s="1">
        <v>43344</v>
      </c>
      <c r="P280" t="s">
        <v>41</v>
      </c>
      <c r="Q280" t="s">
        <v>75</v>
      </c>
      <c r="R280" t="str">
        <f>"7054016"</f>
        <v>7054016</v>
      </c>
      <c r="S280" t="s">
        <v>768</v>
      </c>
      <c r="T280" t="s">
        <v>354</v>
      </c>
      <c r="U280" t="s">
        <v>355</v>
      </c>
      <c r="V280" t="s">
        <v>131</v>
      </c>
      <c r="W280" t="s">
        <v>51</v>
      </c>
      <c r="X280" t="s">
        <v>45</v>
      </c>
      <c r="Y280" s="1">
        <v>29587</v>
      </c>
      <c r="Z280">
        <v>1</v>
      </c>
      <c r="AA280" t="s">
        <v>355</v>
      </c>
      <c r="AB280" s="40" t="s">
        <v>1795</v>
      </c>
    </row>
    <row r="281" spans="1:28" x14ac:dyDescent="0.25">
      <c r="A281">
        <v>99910280</v>
      </c>
      <c r="B281" t="s">
        <v>56</v>
      </c>
      <c r="C281" t="s">
        <v>85</v>
      </c>
      <c r="D281" t="s">
        <v>86</v>
      </c>
      <c r="G281" t="s">
        <v>35</v>
      </c>
      <c r="H281">
        <v>1</v>
      </c>
      <c r="I281">
        <v>22626</v>
      </c>
      <c r="J281" s="1">
        <v>43357</v>
      </c>
      <c r="K281" t="s">
        <v>380</v>
      </c>
      <c r="L281" t="s">
        <v>381</v>
      </c>
      <c r="M281" t="s">
        <v>131</v>
      </c>
      <c r="N281">
        <v>6</v>
      </c>
      <c r="O281" s="1">
        <v>43357</v>
      </c>
      <c r="P281" t="s">
        <v>41</v>
      </c>
      <c r="Q281" t="s">
        <v>49</v>
      </c>
      <c r="R281" t="str">
        <f>"0581859"</f>
        <v>0581859</v>
      </c>
      <c r="S281" t="s">
        <v>394</v>
      </c>
      <c r="T281" t="s">
        <v>380</v>
      </c>
      <c r="U281" t="s">
        <v>381</v>
      </c>
      <c r="V281" t="s">
        <v>131</v>
      </c>
      <c r="W281" t="s">
        <v>44</v>
      </c>
      <c r="X281" t="s">
        <v>45</v>
      </c>
      <c r="Y281" s="1">
        <v>29412</v>
      </c>
      <c r="Z281">
        <v>2</v>
      </c>
      <c r="AA281" t="s">
        <v>381</v>
      </c>
      <c r="AB281" s="40" t="s">
        <v>1795</v>
      </c>
    </row>
    <row r="282" spans="1:28" x14ac:dyDescent="0.25">
      <c r="A282">
        <v>99910281</v>
      </c>
      <c r="B282" t="s">
        <v>56</v>
      </c>
      <c r="C282" t="s">
        <v>79</v>
      </c>
      <c r="D282" t="s">
        <v>80</v>
      </c>
      <c r="G282" t="s">
        <v>48</v>
      </c>
      <c r="H282">
        <v>1</v>
      </c>
      <c r="K282" t="s">
        <v>431</v>
      </c>
      <c r="L282" t="s">
        <v>196</v>
      </c>
      <c r="M282" t="s">
        <v>131</v>
      </c>
      <c r="N282">
        <v>6</v>
      </c>
      <c r="P282" t="s">
        <v>41</v>
      </c>
      <c r="Q282" t="s">
        <v>75</v>
      </c>
      <c r="R282" t="str">
        <f>"7521012"</f>
        <v>7521012</v>
      </c>
      <c r="S282" t="s">
        <v>432</v>
      </c>
      <c r="T282" t="s">
        <v>431</v>
      </c>
      <c r="U282" t="s">
        <v>196</v>
      </c>
      <c r="V282" t="s">
        <v>131</v>
      </c>
      <c r="W282" t="s">
        <v>51</v>
      </c>
      <c r="X282" t="s">
        <v>45</v>
      </c>
      <c r="Y282" s="1">
        <v>29346</v>
      </c>
      <c r="Z282">
        <v>1</v>
      </c>
      <c r="AA282" t="s">
        <v>196</v>
      </c>
      <c r="AB282" s="40" t="s">
        <v>1795</v>
      </c>
    </row>
    <row r="283" spans="1:28" x14ac:dyDescent="0.25">
      <c r="A283">
        <v>99910282</v>
      </c>
      <c r="B283" t="s">
        <v>32</v>
      </c>
      <c r="C283" t="s">
        <v>90</v>
      </c>
      <c r="D283" t="s">
        <v>91</v>
      </c>
      <c r="G283" t="s">
        <v>35</v>
      </c>
      <c r="H283">
        <v>1</v>
      </c>
      <c r="K283" t="s">
        <v>431</v>
      </c>
      <c r="L283" t="s">
        <v>196</v>
      </c>
      <c r="M283" t="s">
        <v>131</v>
      </c>
      <c r="N283">
        <v>6</v>
      </c>
      <c r="P283" t="s">
        <v>41</v>
      </c>
      <c r="Q283" t="s">
        <v>95</v>
      </c>
      <c r="R283" t="str">
        <f>"7521091"</f>
        <v>7521091</v>
      </c>
      <c r="S283" t="s">
        <v>562</v>
      </c>
      <c r="T283" t="s">
        <v>431</v>
      </c>
      <c r="U283" t="s">
        <v>196</v>
      </c>
      <c r="V283" t="s">
        <v>131</v>
      </c>
      <c r="W283" t="s">
        <v>51</v>
      </c>
      <c r="X283" t="s">
        <v>45</v>
      </c>
      <c r="Y283" s="1">
        <v>29326</v>
      </c>
      <c r="Z283">
        <v>1</v>
      </c>
      <c r="AA283" t="s">
        <v>196</v>
      </c>
      <c r="AB283" s="40" t="s">
        <v>1795</v>
      </c>
    </row>
    <row r="284" spans="1:28" x14ac:dyDescent="0.25">
      <c r="A284">
        <v>99910283</v>
      </c>
      <c r="B284" t="s">
        <v>56</v>
      </c>
      <c r="C284" t="s">
        <v>61</v>
      </c>
      <c r="D284" t="s">
        <v>62</v>
      </c>
      <c r="G284" t="s">
        <v>35</v>
      </c>
      <c r="H284">
        <v>1</v>
      </c>
      <c r="I284" t="s">
        <v>712</v>
      </c>
      <c r="J284" s="1">
        <v>43344</v>
      </c>
      <c r="K284" t="s">
        <v>268</v>
      </c>
      <c r="L284" t="s">
        <v>269</v>
      </c>
      <c r="M284" t="s">
        <v>131</v>
      </c>
      <c r="N284">
        <v>6</v>
      </c>
      <c r="O284" s="1">
        <v>43344</v>
      </c>
      <c r="P284" t="s">
        <v>41</v>
      </c>
      <c r="Q284" t="s">
        <v>75</v>
      </c>
      <c r="R284" t="str">
        <f>"7052034"</f>
        <v>7052034</v>
      </c>
      <c r="S284" t="s">
        <v>604</v>
      </c>
      <c r="T284" t="s">
        <v>268</v>
      </c>
      <c r="U284" t="s">
        <v>269</v>
      </c>
      <c r="V284" t="s">
        <v>131</v>
      </c>
      <c r="W284" t="s">
        <v>51</v>
      </c>
      <c r="X284" t="s">
        <v>45</v>
      </c>
      <c r="Y284" s="1">
        <v>29271</v>
      </c>
      <c r="Z284">
        <v>1</v>
      </c>
      <c r="AA284" t="s">
        <v>269</v>
      </c>
      <c r="AB284" s="40" t="s">
        <v>1795</v>
      </c>
    </row>
    <row r="285" spans="1:28" x14ac:dyDescent="0.25">
      <c r="A285">
        <v>99910284</v>
      </c>
      <c r="B285" t="s">
        <v>32</v>
      </c>
      <c r="C285" t="s">
        <v>139</v>
      </c>
      <c r="D285" t="s">
        <v>140</v>
      </c>
      <c r="G285" t="s">
        <v>48</v>
      </c>
      <c r="H285">
        <v>1</v>
      </c>
      <c r="K285" t="s">
        <v>157</v>
      </c>
      <c r="L285" t="s">
        <v>158</v>
      </c>
      <c r="M285" t="s">
        <v>131</v>
      </c>
      <c r="N285">
        <v>6</v>
      </c>
      <c r="P285" t="s">
        <v>41</v>
      </c>
      <c r="Q285" t="s">
        <v>49</v>
      </c>
      <c r="R285" t="str">
        <f>"0560019"</f>
        <v>0560019</v>
      </c>
      <c r="S285" t="s">
        <v>166</v>
      </c>
      <c r="T285" t="s">
        <v>157</v>
      </c>
      <c r="U285" t="s">
        <v>158</v>
      </c>
      <c r="V285" t="s">
        <v>131</v>
      </c>
      <c r="W285" t="s">
        <v>51</v>
      </c>
      <c r="X285" t="s">
        <v>45</v>
      </c>
      <c r="Y285" s="1">
        <v>29221</v>
      </c>
      <c r="Z285">
        <v>2</v>
      </c>
      <c r="AA285" t="s">
        <v>158</v>
      </c>
      <c r="AB285" s="40" t="s">
        <v>1795</v>
      </c>
    </row>
    <row r="286" spans="1:28" x14ac:dyDescent="0.25">
      <c r="A286">
        <v>99910285</v>
      </c>
      <c r="B286" t="s">
        <v>32</v>
      </c>
      <c r="C286" t="s">
        <v>71</v>
      </c>
      <c r="D286" t="s">
        <v>72</v>
      </c>
      <c r="G286" t="s">
        <v>35</v>
      </c>
      <c r="H286">
        <v>1</v>
      </c>
      <c r="I286">
        <v>18253</v>
      </c>
      <c r="J286" s="1">
        <v>43344</v>
      </c>
      <c r="K286" t="s">
        <v>223</v>
      </c>
      <c r="L286" t="s">
        <v>224</v>
      </c>
      <c r="M286" t="s">
        <v>131</v>
      </c>
      <c r="N286">
        <v>6</v>
      </c>
      <c r="O286" s="1">
        <v>43344</v>
      </c>
      <c r="P286" t="s">
        <v>41</v>
      </c>
      <c r="Q286" t="s">
        <v>49</v>
      </c>
      <c r="R286" t="str">
        <f>"0560008"</f>
        <v>0560008</v>
      </c>
      <c r="S286" t="s">
        <v>263</v>
      </c>
      <c r="T286" t="s">
        <v>223</v>
      </c>
      <c r="U286" t="s">
        <v>224</v>
      </c>
      <c r="V286" t="s">
        <v>131</v>
      </c>
      <c r="W286" t="s">
        <v>51</v>
      </c>
      <c r="X286" t="s">
        <v>45</v>
      </c>
      <c r="Y286" s="1">
        <v>29221</v>
      </c>
      <c r="Z286">
        <v>2</v>
      </c>
      <c r="AA286" t="s">
        <v>224</v>
      </c>
      <c r="AB286" s="40" t="s">
        <v>1795</v>
      </c>
    </row>
    <row r="287" spans="1:28" x14ac:dyDescent="0.25">
      <c r="A287">
        <v>99910286</v>
      </c>
      <c r="B287" t="s">
        <v>32</v>
      </c>
      <c r="C287" t="s">
        <v>90</v>
      </c>
      <c r="D287" t="s">
        <v>91</v>
      </c>
      <c r="G287" t="s">
        <v>48</v>
      </c>
      <c r="H287">
        <v>1</v>
      </c>
      <c r="I287" t="s">
        <v>622</v>
      </c>
      <c r="J287" s="1">
        <v>42027</v>
      </c>
      <c r="K287" t="s">
        <v>268</v>
      </c>
      <c r="L287" t="s">
        <v>269</v>
      </c>
      <c r="M287" t="s">
        <v>131</v>
      </c>
      <c r="N287">
        <v>6</v>
      </c>
      <c r="O287" s="1">
        <v>42031</v>
      </c>
      <c r="P287" t="s">
        <v>41</v>
      </c>
      <c r="Q287" t="s">
        <v>95</v>
      </c>
      <c r="R287" t="str">
        <f>"7052029"</f>
        <v>7052029</v>
      </c>
      <c r="S287" t="s">
        <v>629</v>
      </c>
      <c r="T287" t="s">
        <v>268</v>
      </c>
      <c r="U287" t="s">
        <v>269</v>
      </c>
      <c r="V287" t="s">
        <v>131</v>
      </c>
      <c r="W287" t="s">
        <v>51</v>
      </c>
      <c r="X287" t="s">
        <v>45</v>
      </c>
      <c r="Y287" s="1">
        <v>29221</v>
      </c>
      <c r="Z287">
        <v>1</v>
      </c>
      <c r="AA287" t="s">
        <v>269</v>
      </c>
      <c r="AB287" s="40" t="s">
        <v>1795</v>
      </c>
    </row>
    <row r="288" spans="1:28" x14ac:dyDescent="0.25">
      <c r="A288">
        <v>99910287</v>
      </c>
      <c r="B288" t="s">
        <v>32</v>
      </c>
      <c r="C288" t="s">
        <v>139</v>
      </c>
      <c r="D288" t="s">
        <v>140</v>
      </c>
      <c r="G288" t="s">
        <v>35</v>
      </c>
      <c r="H288">
        <v>1</v>
      </c>
      <c r="K288" t="s">
        <v>354</v>
      </c>
      <c r="L288" t="s">
        <v>355</v>
      </c>
      <c r="M288" t="s">
        <v>131</v>
      </c>
      <c r="N288">
        <v>6</v>
      </c>
      <c r="P288" t="s">
        <v>41</v>
      </c>
      <c r="Q288" t="s">
        <v>49</v>
      </c>
      <c r="R288" t="str">
        <f>"0560004"</f>
        <v>0560004</v>
      </c>
      <c r="S288" t="s">
        <v>371</v>
      </c>
      <c r="T288" t="s">
        <v>345</v>
      </c>
      <c r="U288" t="s">
        <v>346</v>
      </c>
      <c r="V288" t="s">
        <v>131</v>
      </c>
      <c r="W288" t="s">
        <v>51</v>
      </c>
      <c r="X288" t="s">
        <v>45</v>
      </c>
      <c r="Y288" s="1">
        <v>29069</v>
      </c>
      <c r="Z288">
        <v>1</v>
      </c>
      <c r="AA288" t="s">
        <v>355</v>
      </c>
      <c r="AB288" s="40" t="s">
        <v>1795</v>
      </c>
    </row>
    <row r="289" spans="1:28" x14ac:dyDescent="0.25">
      <c r="A289">
        <v>99910288</v>
      </c>
      <c r="B289" t="s">
        <v>56</v>
      </c>
      <c r="C289" t="s">
        <v>52</v>
      </c>
      <c r="D289" t="s">
        <v>53</v>
      </c>
      <c r="G289" t="s">
        <v>35</v>
      </c>
      <c r="H289">
        <v>1</v>
      </c>
      <c r="I289">
        <v>19765</v>
      </c>
      <c r="J289" s="1">
        <v>43433</v>
      </c>
      <c r="K289" t="s">
        <v>157</v>
      </c>
      <c r="L289" t="s">
        <v>158</v>
      </c>
      <c r="M289" t="s">
        <v>131</v>
      </c>
      <c r="N289">
        <v>6</v>
      </c>
      <c r="O289" s="1">
        <v>43433</v>
      </c>
      <c r="P289" t="s">
        <v>41</v>
      </c>
      <c r="Q289" t="s">
        <v>42</v>
      </c>
      <c r="R289" t="str">
        <f>"0561005"</f>
        <v>0561005</v>
      </c>
      <c r="S289" t="s">
        <v>174</v>
      </c>
      <c r="T289" t="s">
        <v>157</v>
      </c>
      <c r="U289" t="s">
        <v>158</v>
      </c>
      <c r="V289" t="s">
        <v>131</v>
      </c>
      <c r="W289" t="s">
        <v>44</v>
      </c>
      <c r="X289" t="s">
        <v>45</v>
      </c>
      <c r="Y289" s="1">
        <v>29053</v>
      </c>
      <c r="Z289">
        <v>2</v>
      </c>
      <c r="AA289" t="s">
        <v>158</v>
      </c>
      <c r="AB289" s="40" t="s">
        <v>1795</v>
      </c>
    </row>
    <row r="290" spans="1:28" x14ac:dyDescent="0.25">
      <c r="A290">
        <v>99910289</v>
      </c>
      <c r="B290" t="s">
        <v>32</v>
      </c>
      <c r="C290" t="s">
        <v>139</v>
      </c>
      <c r="D290" t="s">
        <v>140</v>
      </c>
      <c r="G290" t="s">
        <v>35</v>
      </c>
      <c r="H290">
        <v>1</v>
      </c>
      <c r="K290" t="s">
        <v>1051</v>
      </c>
      <c r="L290" t="s">
        <v>1052</v>
      </c>
      <c r="M290" t="s">
        <v>1053</v>
      </c>
      <c r="N290">
        <v>6</v>
      </c>
      <c r="P290" t="s">
        <v>41</v>
      </c>
      <c r="Q290" t="s">
        <v>49</v>
      </c>
      <c r="R290" t="str">
        <f>"2060005"</f>
        <v>2060005</v>
      </c>
      <c r="S290" t="s">
        <v>1054</v>
      </c>
      <c r="T290" t="s">
        <v>1051</v>
      </c>
      <c r="U290" t="s">
        <v>1052</v>
      </c>
      <c r="V290" t="s">
        <v>1053</v>
      </c>
      <c r="W290" t="s">
        <v>51</v>
      </c>
      <c r="X290" t="s">
        <v>45</v>
      </c>
      <c r="Y290" s="1">
        <v>28961</v>
      </c>
      <c r="Z290">
        <v>2</v>
      </c>
      <c r="AA290" t="s">
        <v>1052</v>
      </c>
      <c r="AB290" s="40" t="s">
        <v>1795</v>
      </c>
    </row>
    <row r="291" spans="1:28" x14ac:dyDescent="0.25">
      <c r="A291">
        <v>99910290</v>
      </c>
      <c r="B291" t="s">
        <v>32</v>
      </c>
      <c r="C291" t="s">
        <v>82</v>
      </c>
      <c r="D291" t="s">
        <v>83</v>
      </c>
      <c r="G291" t="s">
        <v>35</v>
      </c>
      <c r="H291">
        <v>1</v>
      </c>
      <c r="I291" t="s">
        <v>1156</v>
      </c>
      <c r="J291" s="1">
        <v>43344</v>
      </c>
      <c r="K291" t="s">
        <v>1128</v>
      </c>
      <c r="L291" t="s">
        <v>1129</v>
      </c>
      <c r="M291" t="s">
        <v>1130</v>
      </c>
      <c r="N291">
        <v>6</v>
      </c>
      <c r="O291" s="1">
        <v>43344</v>
      </c>
      <c r="P291" t="s">
        <v>41</v>
      </c>
      <c r="Q291" t="s">
        <v>49</v>
      </c>
      <c r="R291" t="str">
        <f>"3181015"</f>
        <v>3181015</v>
      </c>
      <c r="S291" t="s">
        <v>1131</v>
      </c>
      <c r="T291" t="s">
        <v>1128</v>
      </c>
      <c r="U291" t="s">
        <v>1129</v>
      </c>
      <c r="V291" t="s">
        <v>1130</v>
      </c>
      <c r="W291" t="s">
        <v>51</v>
      </c>
      <c r="X291" t="s">
        <v>45</v>
      </c>
      <c r="Y291" s="1">
        <v>28894</v>
      </c>
      <c r="Z291">
        <v>2</v>
      </c>
      <c r="AA291" t="s">
        <v>1129</v>
      </c>
      <c r="AB291" s="40" t="s">
        <v>1795</v>
      </c>
    </row>
    <row r="292" spans="1:28" x14ac:dyDescent="0.25">
      <c r="A292">
        <v>99910291</v>
      </c>
      <c r="B292" t="s">
        <v>32</v>
      </c>
      <c r="C292" t="s">
        <v>71</v>
      </c>
      <c r="D292" t="s">
        <v>72</v>
      </c>
      <c r="G292" t="s">
        <v>48</v>
      </c>
      <c r="H292">
        <v>1</v>
      </c>
      <c r="K292" t="s">
        <v>157</v>
      </c>
      <c r="L292" t="s">
        <v>158</v>
      </c>
      <c r="M292" t="s">
        <v>131</v>
      </c>
      <c r="N292">
        <v>6</v>
      </c>
      <c r="P292" t="s">
        <v>41</v>
      </c>
      <c r="Q292" t="s">
        <v>49</v>
      </c>
      <c r="R292" t="str">
        <f>"0560019"</f>
        <v>0560019</v>
      </c>
      <c r="S292" t="s">
        <v>166</v>
      </c>
      <c r="T292" t="s">
        <v>157</v>
      </c>
      <c r="U292" t="s">
        <v>158</v>
      </c>
      <c r="V292" t="s">
        <v>131</v>
      </c>
      <c r="W292" t="s">
        <v>51</v>
      </c>
      <c r="X292" t="s">
        <v>45</v>
      </c>
      <c r="Y292" s="1">
        <v>28856</v>
      </c>
      <c r="Z292">
        <v>2</v>
      </c>
      <c r="AA292" t="s">
        <v>158</v>
      </c>
      <c r="AB292" s="40" t="s">
        <v>1795</v>
      </c>
    </row>
    <row r="293" spans="1:28" x14ac:dyDescent="0.25">
      <c r="A293">
        <v>99910292</v>
      </c>
      <c r="B293" t="s">
        <v>32</v>
      </c>
      <c r="C293" t="s">
        <v>46</v>
      </c>
      <c r="D293" t="s">
        <v>47</v>
      </c>
      <c r="G293" t="s">
        <v>48</v>
      </c>
      <c r="H293">
        <v>1</v>
      </c>
      <c r="K293" t="s">
        <v>300</v>
      </c>
      <c r="L293" t="s">
        <v>301</v>
      </c>
      <c r="M293" t="s">
        <v>131</v>
      </c>
      <c r="N293">
        <v>6</v>
      </c>
      <c r="P293" t="s">
        <v>41</v>
      </c>
      <c r="Q293" t="s">
        <v>49</v>
      </c>
      <c r="R293" t="str">
        <f>"0560020"</f>
        <v>0560020</v>
      </c>
      <c r="S293" t="s">
        <v>302</v>
      </c>
      <c r="T293" t="s">
        <v>300</v>
      </c>
      <c r="U293" t="s">
        <v>301</v>
      </c>
      <c r="V293" t="s">
        <v>131</v>
      </c>
      <c r="W293" t="s">
        <v>51</v>
      </c>
      <c r="X293" t="s">
        <v>45</v>
      </c>
      <c r="Y293" s="1">
        <v>28856</v>
      </c>
      <c r="Z293">
        <v>2</v>
      </c>
      <c r="AA293" t="s">
        <v>301</v>
      </c>
      <c r="AB293" s="40" t="s">
        <v>1795</v>
      </c>
    </row>
    <row r="294" spans="1:28" x14ac:dyDescent="0.25">
      <c r="A294">
        <v>99910293</v>
      </c>
      <c r="B294" t="s">
        <v>32</v>
      </c>
      <c r="C294" t="s">
        <v>71</v>
      </c>
      <c r="D294" t="s">
        <v>72</v>
      </c>
      <c r="G294" t="s">
        <v>35</v>
      </c>
      <c r="H294">
        <v>1</v>
      </c>
      <c r="I294" t="s">
        <v>1605</v>
      </c>
      <c r="J294" s="1">
        <v>43360</v>
      </c>
      <c r="K294" t="s">
        <v>1590</v>
      </c>
      <c r="L294" t="s">
        <v>1591</v>
      </c>
      <c r="M294" t="s">
        <v>1592</v>
      </c>
      <c r="N294">
        <v>6</v>
      </c>
      <c r="O294" s="1">
        <v>43360</v>
      </c>
      <c r="P294" t="s">
        <v>41</v>
      </c>
      <c r="Q294" t="s">
        <v>49</v>
      </c>
      <c r="R294" t="str">
        <f>"0260001"</f>
        <v>0260001</v>
      </c>
      <c r="S294" t="s">
        <v>1595</v>
      </c>
      <c r="T294" t="s">
        <v>1590</v>
      </c>
      <c r="U294" t="s">
        <v>1591</v>
      </c>
      <c r="V294" t="s">
        <v>1592</v>
      </c>
      <c r="W294" t="s">
        <v>44</v>
      </c>
      <c r="X294" t="s">
        <v>45</v>
      </c>
      <c r="Y294" s="1">
        <v>28856</v>
      </c>
      <c r="Z294">
        <v>2</v>
      </c>
      <c r="AA294" t="s">
        <v>1591</v>
      </c>
      <c r="AB294" s="40" t="s">
        <v>1795</v>
      </c>
    </row>
    <row r="295" spans="1:28" x14ac:dyDescent="0.25">
      <c r="A295">
        <v>99910294</v>
      </c>
      <c r="B295" t="s">
        <v>32</v>
      </c>
      <c r="C295" t="s">
        <v>151</v>
      </c>
      <c r="D295" t="s">
        <v>152</v>
      </c>
      <c r="G295" t="s">
        <v>48</v>
      </c>
      <c r="H295">
        <v>1</v>
      </c>
      <c r="K295" t="s">
        <v>1613</v>
      </c>
      <c r="L295" t="s">
        <v>1614</v>
      </c>
      <c r="M295" t="s">
        <v>1592</v>
      </c>
      <c r="N295">
        <v>6</v>
      </c>
      <c r="P295" t="s">
        <v>41</v>
      </c>
      <c r="Q295" t="s">
        <v>49</v>
      </c>
      <c r="R295" t="str">
        <f>"2881010"</f>
        <v>2881010</v>
      </c>
      <c r="S295" t="s">
        <v>1622</v>
      </c>
      <c r="T295" t="s">
        <v>1613</v>
      </c>
      <c r="U295" t="s">
        <v>1614</v>
      </c>
      <c r="V295" t="s">
        <v>1592</v>
      </c>
      <c r="W295" t="s">
        <v>51</v>
      </c>
      <c r="X295" t="s">
        <v>45</v>
      </c>
      <c r="Y295" s="1">
        <v>28812</v>
      </c>
      <c r="Z295">
        <v>2</v>
      </c>
      <c r="AA295" t="s">
        <v>1614</v>
      </c>
      <c r="AB295" s="40" t="s">
        <v>1795</v>
      </c>
    </row>
    <row r="296" spans="1:28" x14ac:dyDescent="0.25">
      <c r="A296">
        <v>99910295</v>
      </c>
      <c r="B296" t="s">
        <v>32</v>
      </c>
      <c r="C296" t="s">
        <v>139</v>
      </c>
      <c r="D296" t="s">
        <v>140</v>
      </c>
      <c r="G296" t="s">
        <v>35</v>
      </c>
      <c r="H296">
        <v>1</v>
      </c>
      <c r="I296">
        <v>0</v>
      </c>
      <c r="J296" s="1">
        <v>43344</v>
      </c>
      <c r="K296" t="s">
        <v>223</v>
      </c>
      <c r="L296" t="s">
        <v>224</v>
      </c>
      <c r="M296" t="s">
        <v>131</v>
      </c>
      <c r="N296">
        <v>6</v>
      </c>
      <c r="O296" s="1">
        <v>43344</v>
      </c>
      <c r="P296" t="s">
        <v>41</v>
      </c>
      <c r="Q296" t="s">
        <v>49</v>
      </c>
      <c r="R296" t="str">
        <f>"0591901"</f>
        <v>0591901</v>
      </c>
      <c r="S296" t="s">
        <v>230</v>
      </c>
      <c r="T296" t="s">
        <v>223</v>
      </c>
      <c r="U296" t="s">
        <v>224</v>
      </c>
      <c r="V296" t="s">
        <v>131</v>
      </c>
      <c r="W296" t="s">
        <v>44</v>
      </c>
      <c r="X296" t="s">
        <v>45</v>
      </c>
      <c r="Y296" s="1">
        <v>28665</v>
      </c>
      <c r="Z296">
        <v>2</v>
      </c>
      <c r="AA296" t="s">
        <v>224</v>
      </c>
      <c r="AB296" s="40" t="s">
        <v>1795</v>
      </c>
    </row>
    <row r="297" spans="1:28" x14ac:dyDescent="0.25">
      <c r="A297">
        <v>99910296</v>
      </c>
      <c r="B297" t="s">
        <v>32</v>
      </c>
      <c r="C297" t="s">
        <v>52</v>
      </c>
      <c r="D297" t="s">
        <v>53</v>
      </c>
      <c r="G297" t="s">
        <v>35</v>
      </c>
      <c r="H297">
        <v>1</v>
      </c>
      <c r="I297" t="s">
        <v>1600</v>
      </c>
      <c r="J297" s="1">
        <v>43354</v>
      </c>
      <c r="K297" t="s">
        <v>1590</v>
      </c>
      <c r="L297" t="s">
        <v>1591</v>
      </c>
      <c r="M297" t="s">
        <v>1592</v>
      </c>
      <c r="N297">
        <v>6</v>
      </c>
      <c r="O297" s="1">
        <v>43354</v>
      </c>
      <c r="P297" t="s">
        <v>41</v>
      </c>
      <c r="Q297" t="s">
        <v>49</v>
      </c>
      <c r="R297" t="str">
        <f>"0260001"</f>
        <v>0260001</v>
      </c>
      <c r="S297" t="s">
        <v>1595</v>
      </c>
      <c r="T297" t="s">
        <v>1590</v>
      </c>
      <c r="U297" t="s">
        <v>1591</v>
      </c>
      <c r="V297" t="s">
        <v>1592</v>
      </c>
      <c r="W297" t="s">
        <v>44</v>
      </c>
      <c r="X297" t="s">
        <v>45</v>
      </c>
      <c r="Y297" s="1">
        <v>28643</v>
      </c>
      <c r="Z297">
        <v>2</v>
      </c>
      <c r="AA297" t="s">
        <v>1591</v>
      </c>
      <c r="AB297" s="40" t="s">
        <v>1795</v>
      </c>
    </row>
    <row r="298" spans="1:28" x14ac:dyDescent="0.25">
      <c r="A298">
        <v>99910297</v>
      </c>
      <c r="B298" t="s">
        <v>32</v>
      </c>
      <c r="C298" t="s">
        <v>141</v>
      </c>
      <c r="D298" t="s">
        <v>142</v>
      </c>
      <c r="G298" t="s">
        <v>48</v>
      </c>
      <c r="H298">
        <v>1</v>
      </c>
      <c r="K298" t="s">
        <v>407</v>
      </c>
      <c r="L298" t="s">
        <v>409</v>
      </c>
      <c r="M298" t="s">
        <v>131</v>
      </c>
      <c r="N298">
        <v>6</v>
      </c>
      <c r="P298" t="s">
        <v>41</v>
      </c>
      <c r="Q298" t="s">
        <v>75</v>
      </c>
      <c r="R298" t="str">
        <f>"7053018"</f>
        <v>7053018</v>
      </c>
      <c r="S298" t="s">
        <v>408</v>
      </c>
      <c r="T298" t="s">
        <v>407</v>
      </c>
      <c r="U298" t="s">
        <v>409</v>
      </c>
      <c r="V298" t="s">
        <v>131</v>
      </c>
      <c r="W298" t="s">
        <v>51</v>
      </c>
      <c r="X298" t="s">
        <v>45</v>
      </c>
      <c r="Y298" s="1">
        <v>28541</v>
      </c>
      <c r="Z298">
        <v>1</v>
      </c>
      <c r="AA298" t="s">
        <v>409</v>
      </c>
      <c r="AB298" s="40" t="s">
        <v>1795</v>
      </c>
    </row>
    <row r="299" spans="1:28" x14ac:dyDescent="0.25">
      <c r="A299">
        <v>99910298</v>
      </c>
      <c r="B299" t="s">
        <v>56</v>
      </c>
      <c r="C299" t="s">
        <v>61</v>
      </c>
      <c r="D299" t="s">
        <v>62</v>
      </c>
      <c r="G299" t="s">
        <v>35</v>
      </c>
      <c r="H299">
        <v>1</v>
      </c>
      <c r="I299" t="s">
        <v>1115</v>
      </c>
      <c r="J299" s="1">
        <v>43344</v>
      </c>
      <c r="K299" t="s">
        <v>1081</v>
      </c>
      <c r="L299" t="s">
        <v>1082</v>
      </c>
      <c r="M299" t="s">
        <v>1053</v>
      </c>
      <c r="N299">
        <v>6</v>
      </c>
      <c r="O299" s="1">
        <v>43344</v>
      </c>
      <c r="P299" t="s">
        <v>41</v>
      </c>
      <c r="Q299" t="s">
        <v>75</v>
      </c>
      <c r="R299" t="str">
        <f>"7201000"</f>
        <v>7201000</v>
      </c>
      <c r="S299" t="s">
        <v>1088</v>
      </c>
      <c r="T299" t="s">
        <v>1081</v>
      </c>
      <c r="U299" t="s">
        <v>1082</v>
      </c>
      <c r="V299" t="s">
        <v>1053</v>
      </c>
      <c r="W299" t="s">
        <v>51</v>
      </c>
      <c r="X299" t="s">
        <v>45</v>
      </c>
      <c r="Y299" s="1">
        <v>28533</v>
      </c>
      <c r="Z299">
        <v>1</v>
      </c>
      <c r="AA299" t="s">
        <v>1082</v>
      </c>
      <c r="AB299" s="40" t="s">
        <v>1795</v>
      </c>
    </row>
    <row r="300" spans="1:28" x14ac:dyDescent="0.25">
      <c r="A300">
        <v>99910299</v>
      </c>
      <c r="B300" t="s">
        <v>32</v>
      </c>
      <c r="C300" t="s">
        <v>71</v>
      </c>
      <c r="D300" t="s">
        <v>72</v>
      </c>
      <c r="G300" t="s">
        <v>48</v>
      </c>
      <c r="H300">
        <v>1</v>
      </c>
      <c r="K300" t="s">
        <v>380</v>
      </c>
      <c r="L300" t="s">
        <v>381</v>
      </c>
      <c r="M300" t="s">
        <v>131</v>
      </c>
      <c r="N300">
        <v>6</v>
      </c>
      <c r="P300" t="s">
        <v>41</v>
      </c>
      <c r="Q300" t="s">
        <v>49</v>
      </c>
      <c r="R300" t="str">
        <f>"0581575"</f>
        <v>0581575</v>
      </c>
      <c r="S300" t="s">
        <v>392</v>
      </c>
      <c r="T300" t="s">
        <v>380</v>
      </c>
      <c r="U300" t="s">
        <v>381</v>
      </c>
      <c r="V300" t="s">
        <v>131</v>
      </c>
      <c r="W300" t="s">
        <v>51</v>
      </c>
      <c r="X300" t="s">
        <v>45</v>
      </c>
      <c r="Y300" s="1">
        <v>28491</v>
      </c>
      <c r="Z300">
        <v>2</v>
      </c>
      <c r="AA300" t="s">
        <v>381</v>
      </c>
      <c r="AB300" s="40" t="s">
        <v>1795</v>
      </c>
    </row>
    <row r="301" spans="1:28" x14ac:dyDescent="0.25">
      <c r="A301">
        <v>99910300</v>
      </c>
      <c r="B301" t="s">
        <v>32</v>
      </c>
      <c r="C301" t="s">
        <v>204</v>
      </c>
      <c r="D301" t="s">
        <v>205</v>
      </c>
      <c r="G301" t="s">
        <v>35</v>
      </c>
      <c r="H301">
        <v>1</v>
      </c>
      <c r="K301" t="s">
        <v>431</v>
      </c>
      <c r="L301" t="s">
        <v>196</v>
      </c>
      <c r="M301" t="s">
        <v>131</v>
      </c>
      <c r="N301">
        <v>6</v>
      </c>
      <c r="P301" t="s">
        <v>41</v>
      </c>
      <c r="Q301" t="s">
        <v>75</v>
      </c>
      <c r="R301" t="str">
        <f>"7521056"</f>
        <v>7521056</v>
      </c>
      <c r="S301" t="s">
        <v>437</v>
      </c>
      <c r="T301" t="s">
        <v>431</v>
      </c>
      <c r="U301" t="s">
        <v>196</v>
      </c>
      <c r="V301" t="s">
        <v>131</v>
      </c>
      <c r="W301" t="s">
        <v>51</v>
      </c>
      <c r="X301" t="s">
        <v>45</v>
      </c>
      <c r="Y301" s="1">
        <v>28491</v>
      </c>
      <c r="Z301">
        <v>1</v>
      </c>
      <c r="AA301" t="s">
        <v>196</v>
      </c>
      <c r="AB301" s="40" t="s">
        <v>1795</v>
      </c>
    </row>
    <row r="302" spans="1:28" x14ac:dyDescent="0.25">
      <c r="A302">
        <v>99910301</v>
      </c>
      <c r="B302" t="s">
        <v>32</v>
      </c>
      <c r="C302" t="s">
        <v>117</v>
      </c>
      <c r="D302" t="s">
        <v>118</v>
      </c>
      <c r="G302" t="s">
        <v>35</v>
      </c>
      <c r="H302">
        <v>1</v>
      </c>
      <c r="K302" t="s">
        <v>1581</v>
      </c>
      <c r="L302" t="s">
        <v>1582</v>
      </c>
      <c r="M302" t="s">
        <v>1548</v>
      </c>
      <c r="N302">
        <v>6</v>
      </c>
      <c r="P302" t="s">
        <v>41</v>
      </c>
      <c r="Q302" t="s">
        <v>75</v>
      </c>
      <c r="R302" t="str">
        <f>"7291002"</f>
        <v>7291002</v>
      </c>
      <c r="S302" t="s">
        <v>1583</v>
      </c>
      <c r="T302" t="s">
        <v>1581</v>
      </c>
      <c r="U302" t="s">
        <v>1582</v>
      </c>
      <c r="V302" t="s">
        <v>1548</v>
      </c>
      <c r="W302" t="s">
        <v>51</v>
      </c>
      <c r="X302" t="s">
        <v>45</v>
      </c>
      <c r="Y302" s="1">
        <v>28491</v>
      </c>
      <c r="Z302">
        <v>1</v>
      </c>
      <c r="AA302" t="s">
        <v>1582</v>
      </c>
      <c r="AB302" s="40" t="s">
        <v>1795</v>
      </c>
    </row>
    <row r="303" spans="1:28" x14ac:dyDescent="0.25">
      <c r="A303">
        <v>99910302</v>
      </c>
      <c r="B303" t="s">
        <v>32</v>
      </c>
      <c r="C303" t="s">
        <v>64</v>
      </c>
      <c r="D303" t="s">
        <v>65</v>
      </c>
      <c r="G303" t="s">
        <v>35</v>
      </c>
      <c r="H303">
        <v>1</v>
      </c>
      <c r="I303" s="1">
        <v>42979</v>
      </c>
      <c r="J303" s="1">
        <v>43344</v>
      </c>
      <c r="K303" t="s">
        <v>1341</v>
      </c>
      <c r="L303" t="s">
        <v>1342</v>
      </c>
      <c r="M303" t="s">
        <v>1270</v>
      </c>
      <c r="N303">
        <v>6</v>
      </c>
      <c r="O303" s="1">
        <v>43344</v>
      </c>
      <c r="P303" t="s">
        <v>41</v>
      </c>
      <c r="Q303" t="s">
        <v>75</v>
      </c>
      <c r="R303" t="str">
        <f>"7191034"</f>
        <v>7191034</v>
      </c>
      <c r="S303" t="s">
        <v>1343</v>
      </c>
      <c r="T303" t="s">
        <v>1341</v>
      </c>
      <c r="U303" t="s">
        <v>1342</v>
      </c>
      <c r="V303" t="s">
        <v>1270</v>
      </c>
      <c r="W303" t="s">
        <v>44</v>
      </c>
      <c r="X303" t="s">
        <v>45</v>
      </c>
      <c r="Y303" s="1">
        <v>28474</v>
      </c>
      <c r="Z303">
        <v>1</v>
      </c>
      <c r="AA303" t="s">
        <v>1342</v>
      </c>
      <c r="AB303" s="40" t="s">
        <v>1795</v>
      </c>
    </row>
    <row r="304" spans="1:28" x14ac:dyDescent="0.25">
      <c r="A304">
        <v>99910303</v>
      </c>
      <c r="B304" t="s">
        <v>32</v>
      </c>
      <c r="C304" t="s">
        <v>64</v>
      </c>
      <c r="D304" t="s">
        <v>65</v>
      </c>
      <c r="G304" t="s">
        <v>35</v>
      </c>
      <c r="H304">
        <v>1</v>
      </c>
      <c r="I304">
        <v>2078634</v>
      </c>
      <c r="J304" s="1">
        <v>43377</v>
      </c>
      <c r="K304" t="s">
        <v>268</v>
      </c>
      <c r="L304" t="s">
        <v>269</v>
      </c>
      <c r="M304" t="s">
        <v>131</v>
      </c>
      <c r="N304">
        <v>6</v>
      </c>
      <c r="O304" s="1">
        <v>43377</v>
      </c>
      <c r="P304" t="s">
        <v>41</v>
      </c>
      <c r="Q304" t="s">
        <v>95</v>
      </c>
      <c r="R304" t="str">
        <f>"7052169"</f>
        <v>7052169</v>
      </c>
      <c r="S304" t="s">
        <v>708</v>
      </c>
      <c r="T304" t="s">
        <v>268</v>
      </c>
      <c r="U304" t="s">
        <v>269</v>
      </c>
      <c r="V304" t="s">
        <v>131</v>
      </c>
      <c r="W304" t="s">
        <v>44</v>
      </c>
      <c r="X304" t="s">
        <v>45</v>
      </c>
      <c r="Y304" s="1">
        <v>28309</v>
      </c>
      <c r="Z304">
        <v>1</v>
      </c>
      <c r="AA304" t="s">
        <v>269</v>
      </c>
      <c r="AB304" s="40" t="s">
        <v>1795</v>
      </c>
    </row>
    <row r="305" spans="1:28" x14ac:dyDescent="0.25">
      <c r="A305">
        <v>99910304</v>
      </c>
      <c r="B305" t="s">
        <v>32</v>
      </c>
      <c r="C305" t="s">
        <v>139</v>
      </c>
      <c r="D305" t="s">
        <v>140</v>
      </c>
      <c r="G305" t="s">
        <v>48</v>
      </c>
      <c r="H305">
        <v>1</v>
      </c>
      <c r="K305" t="s">
        <v>162</v>
      </c>
      <c r="L305" t="s">
        <v>158</v>
      </c>
      <c r="M305" t="s">
        <v>131</v>
      </c>
      <c r="N305">
        <v>6</v>
      </c>
      <c r="P305" t="s">
        <v>41</v>
      </c>
      <c r="Q305" t="s">
        <v>49</v>
      </c>
      <c r="R305" t="str">
        <f>"0581350"</f>
        <v>0581350</v>
      </c>
      <c r="S305" t="s">
        <v>187</v>
      </c>
      <c r="T305" t="s">
        <v>162</v>
      </c>
      <c r="U305" t="s">
        <v>158</v>
      </c>
      <c r="V305" t="s">
        <v>131</v>
      </c>
      <c r="W305" t="s">
        <v>51</v>
      </c>
      <c r="X305" t="s">
        <v>45</v>
      </c>
      <c r="Y305" s="1">
        <v>28235</v>
      </c>
      <c r="Z305">
        <v>2</v>
      </c>
      <c r="AA305" t="s">
        <v>158</v>
      </c>
      <c r="AB305" s="40" t="s">
        <v>1795</v>
      </c>
    </row>
    <row r="306" spans="1:28" x14ac:dyDescent="0.25">
      <c r="A306">
        <v>99910305</v>
      </c>
      <c r="B306" t="s">
        <v>32</v>
      </c>
      <c r="C306" t="s">
        <v>139</v>
      </c>
      <c r="D306" t="s">
        <v>140</v>
      </c>
      <c r="G306" t="s">
        <v>35</v>
      </c>
      <c r="H306">
        <v>1</v>
      </c>
      <c r="I306">
        <v>18253</v>
      </c>
      <c r="J306" s="1">
        <v>43344</v>
      </c>
      <c r="K306" t="s">
        <v>223</v>
      </c>
      <c r="L306" t="s">
        <v>224</v>
      </c>
      <c r="M306" t="s">
        <v>131</v>
      </c>
      <c r="N306">
        <v>6</v>
      </c>
      <c r="O306" s="1">
        <v>43344</v>
      </c>
      <c r="P306" t="s">
        <v>41</v>
      </c>
      <c r="Q306" t="s">
        <v>49</v>
      </c>
      <c r="R306" t="str">
        <f>"0560008"</f>
        <v>0560008</v>
      </c>
      <c r="S306" t="s">
        <v>263</v>
      </c>
      <c r="T306" t="s">
        <v>223</v>
      </c>
      <c r="U306" t="s">
        <v>224</v>
      </c>
      <c r="V306" t="s">
        <v>131</v>
      </c>
      <c r="W306" t="s">
        <v>44</v>
      </c>
      <c r="X306" t="s">
        <v>45</v>
      </c>
      <c r="Y306" s="1">
        <v>28126</v>
      </c>
      <c r="Z306">
        <v>2</v>
      </c>
      <c r="AA306" t="s">
        <v>224</v>
      </c>
      <c r="AB306" s="40" t="s">
        <v>1795</v>
      </c>
    </row>
    <row r="307" spans="1:28" x14ac:dyDescent="0.25">
      <c r="A307">
        <v>99910306</v>
      </c>
      <c r="B307" t="s">
        <v>32</v>
      </c>
      <c r="C307" t="s">
        <v>139</v>
      </c>
      <c r="D307" t="s">
        <v>140</v>
      </c>
      <c r="G307" t="s">
        <v>48</v>
      </c>
      <c r="H307">
        <v>1</v>
      </c>
      <c r="K307" t="s">
        <v>380</v>
      </c>
      <c r="L307" t="s">
        <v>381</v>
      </c>
      <c r="M307" t="s">
        <v>131</v>
      </c>
      <c r="N307">
        <v>6</v>
      </c>
      <c r="P307" t="s">
        <v>41</v>
      </c>
      <c r="Q307" t="s">
        <v>49</v>
      </c>
      <c r="R307" t="str">
        <f>"0591908"</f>
        <v>0591908</v>
      </c>
      <c r="S307" t="s">
        <v>383</v>
      </c>
      <c r="T307" t="s">
        <v>380</v>
      </c>
      <c r="U307" t="s">
        <v>381</v>
      </c>
      <c r="V307" t="s">
        <v>131</v>
      </c>
      <c r="W307" t="s">
        <v>44</v>
      </c>
      <c r="X307" t="s">
        <v>45</v>
      </c>
      <c r="Y307" s="1">
        <v>28113</v>
      </c>
      <c r="Z307">
        <v>2</v>
      </c>
      <c r="AA307" t="s">
        <v>381</v>
      </c>
      <c r="AB307" s="40" t="s">
        <v>1795</v>
      </c>
    </row>
    <row r="308" spans="1:28" x14ac:dyDescent="0.25">
      <c r="A308">
        <v>99910307</v>
      </c>
      <c r="B308" t="s">
        <v>32</v>
      </c>
      <c r="C308" t="s">
        <v>71</v>
      </c>
      <c r="D308" t="s">
        <v>72</v>
      </c>
      <c r="G308" t="s">
        <v>35</v>
      </c>
      <c r="H308">
        <v>4</v>
      </c>
      <c r="I308" s="1">
        <v>38961</v>
      </c>
      <c r="J308" s="1">
        <v>43344</v>
      </c>
      <c r="K308" t="s">
        <v>129</v>
      </c>
      <c r="L308" t="s">
        <v>130</v>
      </c>
      <c r="M308" t="s">
        <v>131</v>
      </c>
      <c r="N308">
        <v>6</v>
      </c>
      <c r="O308" s="1">
        <v>43344</v>
      </c>
      <c r="P308" t="s">
        <v>41</v>
      </c>
      <c r="Q308" t="s">
        <v>49</v>
      </c>
      <c r="R308" t="str">
        <f>"0580150"</f>
        <v>0580150</v>
      </c>
      <c r="S308" t="s">
        <v>134</v>
      </c>
      <c r="T308" t="s">
        <v>129</v>
      </c>
      <c r="U308" t="s">
        <v>130</v>
      </c>
      <c r="V308" t="s">
        <v>131</v>
      </c>
      <c r="W308" t="s">
        <v>51</v>
      </c>
      <c r="X308" t="s">
        <v>45</v>
      </c>
      <c r="Y308" s="1">
        <v>27985</v>
      </c>
      <c r="Z308">
        <v>2</v>
      </c>
      <c r="AA308" t="s">
        <v>130</v>
      </c>
      <c r="AB308" s="40" t="s">
        <v>1795</v>
      </c>
    </row>
    <row r="309" spans="1:28" x14ac:dyDescent="0.25">
      <c r="A309">
        <v>99910308</v>
      </c>
      <c r="B309" t="s">
        <v>32</v>
      </c>
      <c r="C309" t="s">
        <v>139</v>
      </c>
      <c r="D309" t="s">
        <v>140</v>
      </c>
      <c r="G309" t="s">
        <v>35</v>
      </c>
      <c r="H309">
        <v>1</v>
      </c>
      <c r="I309" t="s">
        <v>281</v>
      </c>
      <c r="J309" s="1">
        <v>43344</v>
      </c>
      <c r="K309" t="s">
        <v>223</v>
      </c>
      <c r="L309" t="s">
        <v>224</v>
      </c>
      <c r="M309" t="s">
        <v>131</v>
      </c>
      <c r="N309">
        <v>6</v>
      </c>
      <c r="O309" s="1">
        <v>43344</v>
      </c>
      <c r="P309" t="s">
        <v>41</v>
      </c>
      <c r="Q309" t="s">
        <v>49</v>
      </c>
      <c r="R309" t="str">
        <f>"0591901"</f>
        <v>0591901</v>
      </c>
      <c r="S309" t="s">
        <v>230</v>
      </c>
      <c r="T309" t="s">
        <v>223</v>
      </c>
      <c r="U309" t="s">
        <v>224</v>
      </c>
      <c r="V309" t="s">
        <v>131</v>
      </c>
      <c r="W309" t="s">
        <v>44</v>
      </c>
      <c r="X309" t="s">
        <v>45</v>
      </c>
      <c r="Y309" s="1">
        <v>27894</v>
      </c>
      <c r="Z309">
        <v>2</v>
      </c>
      <c r="AA309" t="s">
        <v>224</v>
      </c>
      <c r="AB309" s="40" t="s">
        <v>1795</v>
      </c>
    </row>
    <row r="310" spans="1:28" x14ac:dyDescent="0.25">
      <c r="A310">
        <v>99910309</v>
      </c>
      <c r="B310" t="s">
        <v>32</v>
      </c>
      <c r="C310" t="s">
        <v>139</v>
      </c>
      <c r="D310" t="s">
        <v>140</v>
      </c>
      <c r="G310" t="s">
        <v>48</v>
      </c>
      <c r="H310">
        <v>1</v>
      </c>
      <c r="K310" t="s">
        <v>380</v>
      </c>
      <c r="L310" t="s">
        <v>381</v>
      </c>
      <c r="M310" t="s">
        <v>131</v>
      </c>
      <c r="N310">
        <v>6</v>
      </c>
      <c r="P310" t="s">
        <v>41</v>
      </c>
      <c r="Q310" t="s">
        <v>49</v>
      </c>
      <c r="R310" t="str">
        <f>"0581575"</f>
        <v>0581575</v>
      </c>
      <c r="S310" t="s">
        <v>392</v>
      </c>
      <c r="T310" t="s">
        <v>380</v>
      </c>
      <c r="U310" t="s">
        <v>381</v>
      </c>
      <c r="V310" t="s">
        <v>131</v>
      </c>
      <c r="W310" t="s">
        <v>51</v>
      </c>
      <c r="X310" t="s">
        <v>45</v>
      </c>
      <c r="Y310" s="1">
        <v>27851</v>
      </c>
      <c r="Z310">
        <v>2</v>
      </c>
      <c r="AA310" t="s">
        <v>381</v>
      </c>
      <c r="AB310" s="40" t="s">
        <v>1795</v>
      </c>
    </row>
    <row r="311" spans="1:28" x14ac:dyDescent="0.25">
      <c r="A311">
        <v>99910310</v>
      </c>
      <c r="B311" t="s">
        <v>32</v>
      </c>
      <c r="C311" t="s">
        <v>141</v>
      </c>
      <c r="D311" t="s">
        <v>142</v>
      </c>
      <c r="G311" t="s">
        <v>48</v>
      </c>
      <c r="H311">
        <v>1</v>
      </c>
      <c r="K311" t="s">
        <v>667</v>
      </c>
      <c r="L311" t="s">
        <v>669</v>
      </c>
      <c r="M311" t="s">
        <v>670</v>
      </c>
      <c r="N311">
        <v>6</v>
      </c>
      <c r="P311" t="s">
        <v>41</v>
      </c>
      <c r="Q311" t="s">
        <v>75</v>
      </c>
      <c r="R311" t="str">
        <f>"7501002"</f>
        <v>7501002</v>
      </c>
      <c r="S311" t="s">
        <v>1519</v>
      </c>
      <c r="T311" t="s">
        <v>667</v>
      </c>
      <c r="U311" t="s">
        <v>669</v>
      </c>
      <c r="V311" t="s">
        <v>670</v>
      </c>
      <c r="W311" t="s">
        <v>51</v>
      </c>
      <c r="X311" t="s">
        <v>45</v>
      </c>
      <c r="Y311" s="1">
        <v>27760</v>
      </c>
      <c r="Z311">
        <v>1</v>
      </c>
      <c r="AA311" t="s">
        <v>669</v>
      </c>
      <c r="AB311" s="40" t="s">
        <v>1795</v>
      </c>
    </row>
    <row r="312" spans="1:28" x14ac:dyDescent="0.25">
      <c r="A312">
        <v>99910311</v>
      </c>
      <c r="B312" t="s">
        <v>32</v>
      </c>
      <c r="C312" t="s">
        <v>90</v>
      </c>
      <c r="D312" t="s">
        <v>91</v>
      </c>
      <c r="G312" t="s">
        <v>35</v>
      </c>
      <c r="H312">
        <v>1</v>
      </c>
      <c r="I312" t="s">
        <v>1723</v>
      </c>
      <c r="J312" s="1">
        <v>43344</v>
      </c>
      <c r="K312" t="s">
        <v>1708</v>
      </c>
      <c r="L312" t="s">
        <v>1709</v>
      </c>
      <c r="M312" t="s">
        <v>1705</v>
      </c>
      <c r="N312">
        <v>6</v>
      </c>
      <c r="O312" s="1">
        <v>43344</v>
      </c>
      <c r="P312" t="s">
        <v>41</v>
      </c>
      <c r="Q312" t="s">
        <v>95</v>
      </c>
      <c r="R312" t="str">
        <f>"7121019"</f>
        <v>7121019</v>
      </c>
      <c r="S312" t="s">
        <v>1712</v>
      </c>
      <c r="T312" t="s">
        <v>1708</v>
      </c>
      <c r="U312" t="s">
        <v>1709</v>
      </c>
      <c r="V312" t="s">
        <v>1705</v>
      </c>
      <c r="W312" t="s">
        <v>44</v>
      </c>
      <c r="X312" t="s">
        <v>45</v>
      </c>
      <c r="Y312" s="1">
        <v>27677</v>
      </c>
      <c r="Z312">
        <v>1</v>
      </c>
      <c r="AA312" t="s">
        <v>1709</v>
      </c>
      <c r="AB312" s="40" t="s">
        <v>1795</v>
      </c>
    </row>
    <row r="313" spans="1:28" x14ac:dyDescent="0.25">
      <c r="A313">
        <v>99910312</v>
      </c>
      <c r="B313" t="s">
        <v>32</v>
      </c>
      <c r="C313" t="s">
        <v>139</v>
      </c>
      <c r="D313" t="s">
        <v>140</v>
      </c>
      <c r="G313" t="s">
        <v>35</v>
      </c>
      <c r="H313">
        <v>1</v>
      </c>
      <c r="I313" t="s">
        <v>1714</v>
      </c>
      <c r="J313" s="1">
        <v>43388</v>
      </c>
      <c r="K313" t="s">
        <v>1708</v>
      </c>
      <c r="L313" t="s">
        <v>1709</v>
      </c>
      <c r="M313" t="s">
        <v>1705</v>
      </c>
      <c r="N313">
        <v>6</v>
      </c>
      <c r="O313" s="1">
        <v>43388</v>
      </c>
      <c r="P313" t="s">
        <v>41</v>
      </c>
      <c r="Q313" t="s">
        <v>75</v>
      </c>
      <c r="R313" t="str">
        <f>"7121000"</f>
        <v>7121000</v>
      </c>
      <c r="S313" t="s">
        <v>1713</v>
      </c>
      <c r="T313" t="s">
        <v>1708</v>
      </c>
      <c r="U313" t="s">
        <v>1709</v>
      </c>
      <c r="V313" t="s">
        <v>1705</v>
      </c>
      <c r="W313" t="s">
        <v>51</v>
      </c>
      <c r="X313" t="s">
        <v>45</v>
      </c>
      <c r="Y313" s="1">
        <v>27442</v>
      </c>
      <c r="Z313">
        <v>1</v>
      </c>
      <c r="AA313" t="s">
        <v>1709</v>
      </c>
      <c r="AB313" s="40" t="s">
        <v>1795</v>
      </c>
    </row>
    <row r="314" spans="1:28" x14ac:dyDescent="0.25">
      <c r="A314">
        <v>99910313</v>
      </c>
      <c r="B314" t="s">
        <v>56</v>
      </c>
      <c r="C314" t="s">
        <v>64</v>
      </c>
      <c r="D314" t="s">
        <v>65</v>
      </c>
      <c r="G314" t="s">
        <v>35</v>
      </c>
      <c r="H314">
        <v>1</v>
      </c>
      <c r="I314" t="s">
        <v>1068</v>
      </c>
      <c r="J314" s="1">
        <v>43406</v>
      </c>
      <c r="K314" t="s">
        <v>1051</v>
      </c>
      <c r="L314" t="s">
        <v>1052</v>
      </c>
      <c r="M314" t="s">
        <v>1053</v>
      </c>
      <c r="N314">
        <v>6</v>
      </c>
      <c r="O314" s="1">
        <v>43406</v>
      </c>
      <c r="P314" t="s">
        <v>41</v>
      </c>
      <c r="Q314" t="s">
        <v>42</v>
      </c>
      <c r="R314" t="str">
        <f>"2061003"</f>
        <v>2061003</v>
      </c>
      <c r="S314" t="s">
        <v>1060</v>
      </c>
      <c r="T314" t="s">
        <v>1051</v>
      </c>
      <c r="U314" t="s">
        <v>1052</v>
      </c>
      <c r="V314" t="s">
        <v>1053</v>
      </c>
      <c r="W314" t="s">
        <v>44</v>
      </c>
      <c r="X314" t="s">
        <v>45</v>
      </c>
      <c r="Y314" s="1">
        <v>27395</v>
      </c>
      <c r="Z314">
        <v>2</v>
      </c>
      <c r="AA314" t="s">
        <v>1052</v>
      </c>
      <c r="AB314" s="40" t="s">
        <v>1795</v>
      </c>
    </row>
    <row r="315" spans="1:28" x14ac:dyDescent="0.25">
      <c r="A315">
        <v>99910314</v>
      </c>
      <c r="B315" t="s">
        <v>32</v>
      </c>
      <c r="C315" t="s">
        <v>64</v>
      </c>
      <c r="D315" t="s">
        <v>65</v>
      </c>
      <c r="G315" t="s">
        <v>35</v>
      </c>
      <c r="H315">
        <v>1</v>
      </c>
      <c r="I315" t="s">
        <v>123</v>
      </c>
      <c r="J315" s="1">
        <v>43344</v>
      </c>
      <c r="K315" t="s">
        <v>77</v>
      </c>
      <c r="L315" t="s">
        <v>78</v>
      </c>
      <c r="M315" t="s">
        <v>39</v>
      </c>
      <c r="N315">
        <v>6</v>
      </c>
      <c r="O315" s="1">
        <v>43344</v>
      </c>
      <c r="P315" t="s">
        <v>41</v>
      </c>
      <c r="Q315" t="s">
        <v>75</v>
      </c>
      <c r="R315" t="str">
        <f>"7371000"</f>
        <v>7371000</v>
      </c>
      <c r="S315" t="s">
        <v>76</v>
      </c>
      <c r="T315" t="s">
        <v>77</v>
      </c>
      <c r="U315" t="s">
        <v>78</v>
      </c>
      <c r="V315" t="s">
        <v>39</v>
      </c>
      <c r="W315" t="s">
        <v>44</v>
      </c>
      <c r="X315" t="s">
        <v>45</v>
      </c>
      <c r="Y315" s="1">
        <v>27030</v>
      </c>
      <c r="Z315">
        <v>1</v>
      </c>
      <c r="AA315" t="s">
        <v>78</v>
      </c>
      <c r="AB315" s="40" t="s">
        <v>1795</v>
      </c>
    </row>
    <row r="316" spans="1:28" x14ac:dyDescent="0.25">
      <c r="A316">
        <v>99910315</v>
      </c>
      <c r="B316" t="s">
        <v>32</v>
      </c>
      <c r="C316" t="s">
        <v>139</v>
      </c>
      <c r="D316" t="s">
        <v>140</v>
      </c>
      <c r="G316" t="s">
        <v>48</v>
      </c>
      <c r="H316">
        <v>1</v>
      </c>
      <c r="K316" t="s">
        <v>157</v>
      </c>
      <c r="L316" t="s">
        <v>158</v>
      </c>
      <c r="M316" t="s">
        <v>131</v>
      </c>
      <c r="N316">
        <v>6</v>
      </c>
      <c r="P316" t="s">
        <v>41</v>
      </c>
      <c r="Q316" t="s">
        <v>49</v>
      </c>
      <c r="R316" t="str">
        <f>"0560019"</f>
        <v>0560019</v>
      </c>
      <c r="S316" t="s">
        <v>166</v>
      </c>
      <c r="T316" t="s">
        <v>157</v>
      </c>
      <c r="U316" t="s">
        <v>158</v>
      </c>
      <c r="V316" t="s">
        <v>131</v>
      </c>
      <c r="W316" t="s">
        <v>51</v>
      </c>
      <c r="X316" t="s">
        <v>45</v>
      </c>
      <c r="Y316" s="1">
        <v>27030</v>
      </c>
      <c r="Z316">
        <v>2</v>
      </c>
      <c r="AA316" t="s">
        <v>158</v>
      </c>
      <c r="AB316" s="40" t="s">
        <v>1795</v>
      </c>
    </row>
    <row r="317" spans="1:28" x14ac:dyDescent="0.25">
      <c r="A317">
        <v>99910316</v>
      </c>
      <c r="B317" t="s">
        <v>32</v>
      </c>
      <c r="C317" t="s">
        <v>71</v>
      </c>
      <c r="D317" t="s">
        <v>72</v>
      </c>
      <c r="G317" t="s">
        <v>35</v>
      </c>
      <c r="H317">
        <v>1</v>
      </c>
      <c r="I317" t="s">
        <v>956</v>
      </c>
      <c r="J317" s="1">
        <v>43371</v>
      </c>
      <c r="K317" t="s">
        <v>947</v>
      </c>
      <c r="L317" t="s">
        <v>948</v>
      </c>
      <c r="M317" t="s">
        <v>938</v>
      </c>
      <c r="N317">
        <v>6</v>
      </c>
      <c r="O317" s="1">
        <v>43371</v>
      </c>
      <c r="P317" t="s">
        <v>41</v>
      </c>
      <c r="Q317" t="s">
        <v>49</v>
      </c>
      <c r="R317" t="str">
        <f>"0645053"</f>
        <v>0645053</v>
      </c>
      <c r="S317" t="s">
        <v>957</v>
      </c>
      <c r="T317" t="s">
        <v>947</v>
      </c>
      <c r="U317" t="s">
        <v>948</v>
      </c>
      <c r="V317" t="s">
        <v>938</v>
      </c>
      <c r="W317" t="s">
        <v>51</v>
      </c>
      <c r="X317" t="s">
        <v>45</v>
      </c>
      <c r="Y317" s="1">
        <v>27030</v>
      </c>
      <c r="Z317">
        <v>2</v>
      </c>
      <c r="AA317" t="s">
        <v>948</v>
      </c>
      <c r="AB317" s="40" t="s">
        <v>1795</v>
      </c>
    </row>
    <row r="318" spans="1:28" x14ac:dyDescent="0.25">
      <c r="A318">
        <v>99910317</v>
      </c>
      <c r="B318" t="s">
        <v>32</v>
      </c>
      <c r="C318" t="s">
        <v>90</v>
      </c>
      <c r="D318" t="s">
        <v>91</v>
      </c>
      <c r="G318" t="s">
        <v>48</v>
      </c>
      <c r="H318">
        <v>1</v>
      </c>
      <c r="K318" t="s">
        <v>985</v>
      </c>
      <c r="L318" t="s">
        <v>986</v>
      </c>
      <c r="M318" t="s">
        <v>938</v>
      </c>
      <c r="N318">
        <v>6</v>
      </c>
      <c r="P318" t="s">
        <v>41</v>
      </c>
      <c r="Q318" t="s">
        <v>95</v>
      </c>
      <c r="R318" t="str">
        <f>"7011005"</f>
        <v>7011005</v>
      </c>
      <c r="S318" t="s">
        <v>992</v>
      </c>
      <c r="T318" t="s">
        <v>985</v>
      </c>
      <c r="U318" t="s">
        <v>986</v>
      </c>
      <c r="V318" t="s">
        <v>938</v>
      </c>
      <c r="W318" t="s">
        <v>51</v>
      </c>
      <c r="X318" t="s">
        <v>45</v>
      </c>
      <c r="Y318" s="1">
        <v>26996</v>
      </c>
      <c r="Z318">
        <v>1</v>
      </c>
      <c r="AA318" t="s">
        <v>986</v>
      </c>
      <c r="AB318" s="40" t="s">
        <v>1795</v>
      </c>
    </row>
    <row r="319" spans="1:28" x14ac:dyDescent="0.25">
      <c r="A319">
        <v>99910318</v>
      </c>
      <c r="B319" t="s">
        <v>32</v>
      </c>
      <c r="C319" t="s">
        <v>139</v>
      </c>
      <c r="D319" t="s">
        <v>140</v>
      </c>
      <c r="G319" t="s">
        <v>35</v>
      </c>
      <c r="H319">
        <v>1</v>
      </c>
      <c r="K319" t="s">
        <v>431</v>
      </c>
      <c r="L319" t="s">
        <v>196</v>
      </c>
      <c r="M319" t="s">
        <v>131</v>
      </c>
      <c r="N319">
        <v>6</v>
      </c>
      <c r="O319" s="1">
        <v>43344</v>
      </c>
      <c r="P319" t="s">
        <v>41</v>
      </c>
      <c r="Q319" t="s">
        <v>75</v>
      </c>
      <c r="R319" t="str">
        <f>"7521056"</f>
        <v>7521056</v>
      </c>
      <c r="S319" t="s">
        <v>437</v>
      </c>
      <c r="T319" t="s">
        <v>431</v>
      </c>
      <c r="U319" t="s">
        <v>196</v>
      </c>
      <c r="V319" t="s">
        <v>131</v>
      </c>
      <c r="W319" t="s">
        <v>51</v>
      </c>
      <c r="X319" t="s">
        <v>45</v>
      </c>
      <c r="Y319" s="1">
        <v>26894</v>
      </c>
      <c r="Z319">
        <v>1</v>
      </c>
      <c r="AA319" t="s">
        <v>196</v>
      </c>
      <c r="AB319" s="40" t="s">
        <v>1795</v>
      </c>
    </row>
    <row r="320" spans="1:28" x14ac:dyDescent="0.25">
      <c r="A320">
        <v>99910319</v>
      </c>
      <c r="B320" t="s">
        <v>32</v>
      </c>
      <c r="C320" t="s">
        <v>139</v>
      </c>
      <c r="D320" t="s">
        <v>140</v>
      </c>
      <c r="G320" t="s">
        <v>35</v>
      </c>
      <c r="H320">
        <v>1</v>
      </c>
      <c r="K320" t="s">
        <v>345</v>
      </c>
      <c r="L320" t="s">
        <v>346</v>
      </c>
      <c r="M320" t="s">
        <v>131</v>
      </c>
      <c r="N320">
        <v>6</v>
      </c>
      <c r="P320" t="s">
        <v>41</v>
      </c>
      <c r="Q320" t="s">
        <v>49</v>
      </c>
      <c r="R320" t="str">
        <f>"0581660"</f>
        <v>0581660</v>
      </c>
      <c r="S320" t="s">
        <v>359</v>
      </c>
      <c r="T320" t="s">
        <v>345</v>
      </c>
      <c r="U320" t="s">
        <v>346</v>
      </c>
      <c r="V320" t="s">
        <v>131</v>
      </c>
      <c r="W320" t="s">
        <v>51</v>
      </c>
      <c r="X320" t="s">
        <v>45</v>
      </c>
      <c r="Y320" s="1">
        <v>26886</v>
      </c>
      <c r="Z320">
        <v>2</v>
      </c>
      <c r="AA320" t="s">
        <v>346</v>
      </c>
      <c r="AB320" s="40" t="s">
        <v>1795</v>
      </c>
    </row>
    <row r="321" spans="1:28" x14ac:dyDescent="0.25">
      <c r="A321">
        <v>99910320</v>
      </c>
      <c r="B321" t="s">
        <v>32</v>
      </c>
      <c r="C321" t="s">
        <v>141</v>
      </c>
      <c r="D321" t="s">
        <v>142</v>
      </c>
      <c r="G321" t="s">
        <v>48</v>
      </c>
      <c r="H321">
        <v>1</v>
      </c>
      <c r="K321" t="s">
        <v>268</v>
      </c>
      <c r="L321" t="s">
        <v>269</v>
      </c>
      <c r="M321" t="s">
        <v>131</v>
      </c>
      <c r="N321">
        <v>6</v>
      </c>
      <c r="P321" t="s">
        <v>41</v>
      </c>
      <c r="Q321" t="s">
        <v>75</v>
      </c>
      <c r="R321" t="str">
        <f>"7052034"</f>
        <v>7052034</v>
      </c>
      <c r="S321" t="s">
        <v>604</v>
      </c>
      <c r="T321" t="s">
        <v>268</v>
      </c>
      <c r="U321" t="s">
        <v>269</v>
      </c>
      <c r="V321" t="s">
        <v>131</v>
      </c>
      <c r="W321" t="s">
        <v>51</v>
      </c>
      <c r="X321" t="s">
        <v>45</v>
      </c>
      <c r="Y321" s="1">
        <v>26862</v>
      </c>
      <c r="Z321">
        <v>1</v>
      </c>
      <c r="AA321" t="s">
        <v>269</v>
      </c>
      <c r="AB321" s="40" t="s">
        <v>1795</v>
      </c>
    </row>
    <row r="322" spans="1:28" x14ac:dyDescent="0.25">
      <c r="A322">
        <v>99910321</v>
      </c>
      <c r="B322" t="s">
        <v>32</v>
      </c>
      <c r="C322" t="s">
        <v>90</v>
      </c>
      <c r="D322" t="s">
        <v>91</v>
      </c>
      <c r="G322" t="s">
        <v>35</v>
      </c>
      <c r="H322">
        <v>1</v>
      </c>
      <c r="K322" t="s">
        <v>268</v>
      </c>
      <c r="L322" t="s">
        <v>269</v>
      </c>
      <c r="M322" t="s">
        <v>131</v>
      </c>
      <c r="N322">
        <v>6</v>
      </c>
      <c r="P322" t="s">
        <v>41</v>
      </c>
      <c r="Q322" t="s">
        <v>95</v>
      </c>
      <c r="R322" t="str">
        <f>"7052235"</f>
        <v>7052235</v>
      </c>
      <c r="S322" t="s">
        <v>607</v>
      </c>
      <c r="T322" t="s">
        <v>268</v>
      </c>
      <c r="U322" t="s">
        <v>269</v>
      </c>
      <c r="V322" t="s">
        <v>131</v>
      </c>
      <c r="W322" t="s">
        <v>51</v>
      </c>
      <c r="X322" t="s">
        <v>45</v>
      </c>
      <c r="Y322" s="1">
        <v>26451</v>
      </c>
      <c r="Z322">
        <v>1</v>
      </c>
      <c r="AA322" t="s">
        <v>269</v>
      </c>
      <c r="AB322" s="40" t="s">
        <v>1795</v>
      </c>
    </row>
    <row r="323" spans="1:28" x14ac:dyDescent="0.25">
      <c r="A323">
        <v>99910322</v>
      </c>
      <c r="B323" t="s">
        <v>32</v>
      </c>
      <c r="C323" t="s">
        <v>90</v>
      </c>
      <c r="D323" t="s">
        <v>91</v>
      </c>
      <c r="G323" t="s">
        <v>35</v>
      </c>
      <c r="H323">
        <v>1</v>
      </c>
      <c r="K323" t="s">
        <v>268</v>
      </c>
      <c r="L323" t="s">
        <v>269</v>
      </c>
      <c r="M323" t="s">
        <v>131</v>
      </c>
      <c r="N323">
        <v>6</v>
      </c>
      <c r="P323" t="s">
        <v>41</v>
      </c>
      <c r="Q323" t="s">
        <v>95</v>
      </c>
      <c r="R323" t="str">
        <f>"7052195"</f>
        <v>7052195</v>
      </c>
      <c r="S323" t="s">
        <v>614</v>
      </c>
      <c r="T323" t="s">
        <v>268</v>
      </c>
      <c r="U323" t="s">
        <v>269</v>
      </c>
      <c r="V323" t="s">
        <v>131</v>
      </c>
      <c r="W323" t="s">
        <v>51</v>
      </c>
      <c r="X323" t="s">
        <v>45</v>
      </c>
      <c r="Y323" s="1">
        <v>26442</v>
      </c>
      <c r="Z323">
        <v>1</v>
      </c>
      <c r="AA323" t="s">
        <v>269</v>
      </c>
      <c r="AB323" s="40" t="s">
        <v>1795</v>
      </c>
    </row>
    <row r="324" spans="1:28" x14ac:dyDescent="0.25">
      <c r="A324">
        <v>99910323</v>
      </c>
      <c r="B324" t="s">
        <v>56</v>
      </c>
      <c r="C324" t="s">
        <v>68</v>
      </c>
      <c r="D324" t="s">
        <v>69</v>
      </c>
      <c r="G324" t="s">
        <v>35</v>
      </c>
      <c r="H324">
        <v>1</v>
      </c>
      <c r="I324" t="s">
        <v>976</v>
      </c>
      <c r="J324" s="1">
        <v>43369</v>
      </c>
      <c r="K324" t="s">
        <v>947</v>
      </c>
      <c r="L324" t="s">
        <v>948</v>
      </c>
      <c r="M324" t="s">
        <v>938</v>
      </c>
      <c r="N324">
        <v>6</v>
      </c>
      <c r="O324" s="1">
        <v>43369</v>
      </c>
      <c r="P324" t="s">
        <v>41</v>
      </c>
      <c r="Q324" t="s">
        <v>953</v>
      </c>
      <c r="R324" t="str">
        <f>"0610801"</f>
        <v>0610801</v>
      </c>
      <c r="S324" t="s">
        <v>954</v>
      </c>
      <c r="T324" t="s">
        <v>947</v>
      </c>
      <c r="U324" t="s">
        <v>948</v>
      </c>
      <c r="V324" t="s">
        <v>938</v>
      </c>
      <c r="W324" t="s">
        <v>44</v>
      </c>
      <c r="X324" t="s">
        <v>45</v>
      </c>
      <c r="Y324" s="1">
        <v>26112</v>
      </c>
      <c r="Z324">
        <v>2</v>
      </c>
      <c r="AA324" t="s">
        <v>948</v>
      </c>
      <c r="AB324" s="40" t="s">
        <v>1795</v>
      </c>
    </row>
    <row r="325" spans="1:28" x14ac:dyDescent="0.25">
      <c r="A325">
        <v>99910324</v>
      </c>
      <c r="B325" t="s">
        <v>56</v>
      </c>
      <c r="C325" t="s">
        <v>139</v>
      </c>
      <c r="D325" t="s">
        <v>140</v>
      </c>
      <c r="G325" t="s">
        <v>35</v>
      </c>
      <c r="H325">
        <v>1</v>
      </c>
      <c r="I325">
        <v>7780</v>
      </c>
      <c r="J325" s="1">
        <v>43344</v>
      </c>
      <c r="K325" t="s">
        <v>380</v>
      </c>
      <c r="L325" t="s">
        <v>381</v>
      </c>
      <c r="M325" t="s">
        <v>131</v>
      </c>
      <c r="N325">
        <v>6</v>
      </c>
      <c r="O325" s="1">
        <v>43344</v>
      </c>
      <c r="P325" t="s">
        <v>41</v>
      </c>
      <c r="Q325" t="s">
        <v>49</v>
      </c>
      <c r="R325" t="str">
        <f>"0580552"</f>
        <v>0580552</v>
      </c>
      <c r="S325" t="s">
        <v>386</v>
      </c>
      <c r="T325" t="s">
        <v>380</v>
      </c>
      <c r="U325" t="s">
        <v>381</v>
      </c>
      <c r="V325" t="s">
        <v>131</v>
      </c>
      <c r="W325" t="s">
        <v>51</v>
      </c>
      <c r="X325" t="s">
        <v>45</v>
      </c>
      <c r="Y325" s="1">
        <v>25934</v>
      </c>
      <c r="Z325">
        <v>2</v>
      </c>
      <c r="AA325" t="s">
        <v>381</v>
      </c>
      <c r="AB325" s="40" t="s">
        <v>1795</v>
      </c>
    </row>
    <row r="326" spans="1:28" x14ac:dyDescent="0.25">
      <c r="A326">
        <v>99910325</v>
      </c>
      <c r="B326" t="s">
        <v>56</v>
      </c>
      <c r="C326" t="s">
        <v>79</v>
      </c>
      <c r="D326" t="s">
        <v>80</v>
      </c>
      <c r="G326" t="s">
        <v>48</v>
      </c>
      <c r="H326">
        <v>1</v>
      </c>
      <c r="K326" t="s">
        <v>1631</v>
      </c>
      <c r="L326" t="s">
        <v>1632</v>
      </c>
      <c r="M326" t="s">
        <v>1592</v>
      </c>
      <c r="N326">
        <v>6</v>
      </c>
      <c r="P326" t="s">
        <v>41</v>
      </c>
      <c r="Q326" t="s">
        <v>75</v>
      </c>
      <c r="R326" t="str">
        <f>"7021002"</f>
        <v>7021002</v>
      </c>
      <c r="S326" t="s">
        <v>1639</v>
      </c>
      <c r="T326" t="s">
        <v>1631</v>
      </c>
      <c r="U326" t="s">
        <v>1632</v>
      </c>
      <c r="V326" t="s">
        <v>1592</v>
      </c>
      <c r="W326" t="s">
        <v>51</v>
      </c>
      <c r="X326" t="s">
        <v>45</v>
      </c>
      <c r="Y326" s="1">
        <v>25934</v>
      </c>
      <c r="Z326">
        <v>1</v>
      </c>
      <c r="AA326" t="s">
        <v>1632</v>
      </c>
      <c r="AB326" s="40" t="s">
        <v>1795</v>
      </c>
    </row>
    <row r="327" spans="1:28" x14ac:dyDescent="0.25">
      <c r="A327">
        <v>99910326</v>
      </c>
      <c r="B327" t="s">
        <v>32</v>
      </c>
      <c r="C327" t="s">
        <v>141</v>
      </c>
      <c r="D327" t="s">
        <v>142</v>
      </c>
      <c r="G327" t="s">
        <v>48</v>
      </c>
      <c r="H327">
        <v>5</v>
      </c>
      <c r="K327" t="s">
        <v>877</v>
      </c>
      <c r="L327" t="s">
        <v>878</v>
      </c>
      <c r="M327" t="s">
        <v>131</v>
      </c>
      <c r="N327">
        <v>6</v>
      </c>
      <c r="P327" t="s">
        <v>41</v>
      </c>
      <c r="Q327" t="s">
        <v>75</v>
      </c>
      <c r="R327" t="str">
        <f>"7541004"</f>
        <v>7541004</v>
      </c>
      <c r="S327" t="s">
        <v>889</v>
      </c>
      <c r="T327" t="s">
        <v>877</v>
      </c>
      <c r="U327" t="s">
        <v>878</v>
      </c>
      <c r="V327" t="s">
        <v>131</v>
      </c>
      <c r="W327" t="s">
        <v>51</v>
      </c>
      <c r="X327" t="s">
        <v>45</v>
      </c>
      <c r="Y327" s="1">
        <v>25922</v>
      </c>
      <c r="Z327">
        <v>1</v>
      </c>
      <c r="AA327" t="s">
        <v>878</v>
      </c>
      <c r="AB327" s="40" t="s">
        <v>1795</v>
      </c>
    </row>
    <row r="328" spans="1:28" x14ac:dyDescent="0.25">
      <c r="A328">
        <v>99910327</v>
      </c>
      <c r="B328" t="s">
        <v>56</v>
      </c>
      <c r="C328" t="s">
        <v>79</v>
      </c>
      <c r="D328" t="s">
        <v>80</v>
      </c>
      <c r="G328" t="s">
        <v>35</v>
      </c>
      <c r="H328">
        <v>1</v>
      </c>
      <c r="I328" s="1">
        <v>43346</v>
      </c>
      <c r="J328" s="1">
        <v>43344</v>
      </c>
      <c r="K328" t="s">
        <v>1341</v>
      </c>
      <c r="L328" t="s">
        <v>1342</v>
      </c>
      <c r="M328" t="s">
        <v>1270</v>
      </c>
      <c r="N328">
        <v>6</v>
      </c>
      <c r="O328" s="1">
        <v>43344</v>
      </c>
      <c r="P328" t="s">
        <v>41</v>
      </c>
      <c r="Q328" t="s">
        <v>75</v>
      </c>
      <c r="R328" t="str">
        <f>"7191034"</f>
        <v>7191034</v>
      </c>
      <c r="S328" t="s">
        <v>1343</v>
      </c>
      <c r="T328" t="s">
        <v>1341</v>
      </c>
      <c r="U328" t="s">
        <v>1342</v>
      </c>
      <c r="V328" t="s">
        <v>1270</v>
      </c>
      <c r="W328" t="s">
        <v>44</v>
      </c>
      <c r="X328" t="s">
        <v>45</v>
      </c>
      <c r="Y328" s="1">
        <v>25757</v>
      </c>
      <c r="Z328">
        <v>1</v>
      </c>
      <c r="AA328" t="s">
        <v>1342</v>
      </c>
      <c r="AB328" s="40" t="s">
        <v>1795</v>
      </c>
    </row>
    <row r="329" spans="1:28" x14ac:dyDescent="0.25">
      <c r="A329">
        <v>99910328</v>
      </c>
      <c r="B329" t="s">
        <v>56</v>
      </c>
      <c r="C329" t="s">
        <v>46</v>
      </c>
      <c r="D329" t="s">
        <v>47</v>
      </c>
      <c r="G329" t="s">
        <v>48</v>
      </c>
      <c r="H329">
        <v>1</v>
      </c>
      <c r="K329" t="s">
        <v>157</v>
      </c>
      <c r="L329" t="s">
        <v>158</v>
      </c>
      <c r="M329" t="s">
        <v>131</v>
      </c>
      <c r="N329">
        <v>6</v>
      </c>
      <c r="P329" t="s">
        <v>41</v>
      </c>
      <c r="Q329" t="s">
        <v>42</v>
      </c>
      <c r="R329" t="str">
        <f>"0580290"</f>
        <v>0580290</v>
      </c>
      <c r="S329" t="s">
        <v>171</v>
      </c>
      <c r="T329" t="s">
        <v>157</v>
      </c>
      <c r="U329" t="s">
        <v>158</v>
      </c>
      <c r="V329" t="s">
        <v>131</v>
      </c>
      <c r="W329" t="s">
        <v>51</v>
      </c>
      <c r="X329" t="s">
        <v>45</v>
      </c>
      <c r="Y329" s="1">
        <v>25675</v>
      </c>
      <c r="Z329">
        <v>2</v>
      </c>
      <c r="AA329" t="s">
        <v>158</v>
      </c>
      <c r="AB329" s="40" t="s">
        <v>1795</v>
      </c>
    </row>
    <row r="330" spans="1:28" x14ac:dyDescent="0.25">
      <c r="A330">
        <v>99910329</v>
      </c>
      <c r="B330" t="s">
        <v>32</v>
      </c>
      <c r="C330" t="s">
        <v>117</v>
      </c>
      <c r="D330" t="s">
        <v>118</v>
      </c>
      <c r="G330" t="s">
        <v>35</v>
      </c>
      <c r="H330">
        <v>1</v>
      </c>
      <c r="I330" t="s">
        <v>1596</v>
      </c>
      <c r="J330" s="1">
        <v>43344</v>
      </c>
      <c r="K330" t="s">
        <v>1590</v>
      </c>
      <c r="L330" t="s">
        <v>1591</v>
      </c>
      <c r="M330" t="s">
        <v>1592</v>
      </c>
      <c r="N330">
        <v>6</v>
      </c>
      <c r="O330" s="1">
        <v>43344</v>
      </c>
      <c r="P330" t="s">
        <v>41</v>
      </c>
      <c r="Q330" t="s">
        <v>49</v>
      </c>
      <c r="R330" t="str">
        <f>"0260002"</f>
        <v>0260002</v>
      </c>
      <c r="S330" t="s">
        <v>1593</v>
      </c>
      <c r="T330" t="s">
        <v>1590</v>
      </c>
      <c r="U330" t="s">
        <v>1591</v>
      </c>
      <c r="V330" t="s">
        <v>1592</v>
      </c>
      <c r="W330" t="s">
        <v>44</v>
      </c>
      <c r="X330" t="s">
        <v>45</v>
      </c>
      <c r="Y330" s="1">
        <v>25569</v>
      </c>
      <c r="Z330">
        <v>2</v>
      </c>
      <c r="AA330" t="s">
        <v>1591</v>
      </c>
      <c r="AB330" s="40" t="s">
        <v>1795</v>
      </c>
    </row>
    <row r="331" spans="1:28" x14ac:dyDescent="0.25">
      <c r="A331">
        <v>99910330</v>
      </c>
      <c r="B331" t="s">
        <v>56</v>
      </c>
      <c r="C331" t="s">
        <v>46</v>
      </c>
      <c r="D331" t="s">
        <v>47</v>
      </c>
      <c r="G331" t="s">
        <v>48</v>
      </c>
      <c r="H331">
        <v>1</v>
      </c>
      <c r="K331" t="s">
        <v>157</v>
      </c>
      <c r="L331" t="s">
        <v>158</v>
      </c>
      <c r="M331" t="s">
        <v>131</v>
      </c>
      <c r="N331">
        <v>6</v>
      </c>
      <c r="P331" t="s">
        <v>41</v>
      </c>
      <c r="Q331" t="s">
        <v>42</v>
      </c>
      <c r="R331" t="str">
        <f>"0580735"</f>
        <v>0580735</v>
      </c>
      <c r="S331" t="s">
        <v>180</v>
      </c>
      <c r="T331" t="s">
        <v>157</v>
      </c>
      <c r="U331" t="s">
        <v>158</v>
      </c>
      <c r="V331" t="s">
        <v>131</v>
      </c>
      <c r="W331" t="s">
        <v>51</v>
      </c>
      <c r="X331" t="s">
        <v>45</v>
      </c>
      <c r="Y331" s="1">
        <v>25544</v>
      </c>
      <c r="Z331">
        <v>2</v>
      </c>
      <c r="AA331" t="s">
        <v>158</v>
      </c>
      <c r="AB331" s="40" t="s">
        <v>1795</v>
      </c>
    </row>
    <row r="332" spans="1:28" x14ac:dyDescent="0.25">
      <c r="A332">
        <v>99910331</v>
      </c>
      <c r="B332" t="s">
        <v>32</v>
      </c>
      <c r="C332" t="s">
        <v>90</v>
      </c>
      <c r="D332" t="s">
        <v>91</v>
      </c>
      <c r="G332" t="s">
        <v>48</v>
      </c>
      <c r="H332">
        <v>1</v>
      </c>
      <c r="K332" t="s">
        <v>1502</v>
      </c>
      <c r="L332" t="s">
        <v>1503</v>
      </c>
      <c r="M332" t="s">
        <v>670</v>
      </c>
      <c r="N332">
        <v>6</v>
      </c>
      <c r="P332" t="s">
        <v>41</v>
      </c>
      <c r="Q332" t="s">
        <v>95</v>
      </c>
      <c r="R332" t="str">
        <f>"7171019"</f>
        <v>7171019</v>
      </c>
      <c r="S332" t="s">
        <v>1504</v>
      </c>
      <c r="T332" t="s">
        <v>1502</v>
      </c>
      <c r="U332" t="s">
        <v>1503</v>
      </c>
      <c r="V332" t="s">
        <v>670</v>
      </c>
      <c r="W332" t="s">
        <v>51</v>
      </c>
      <c r="X332" t="s">
        <v>45</v>
      </c>
      <c r="Y332" s="1">
        <v>25526</v>
      </c>
      <c r="Z332">
        <v>1</v>
      </c>
      <c r="AA332" t="s">
        <v>1503</v>
      </c>
      <c r="AB332" s="40" t="s">
        <v>1795</v>
      </c>
    </row>
    <row r="333" spans="1:28" x14ac:dyDescent="0.25">
      <c r="A333">
        <v>99910332</v>
      </c>
      <c r="B333" t="s">
        <v>32</v>
      </c>
      <c r="C333" t="s">
        <v>71</v>
      </c>
      <c r="D333" t="s">
        <v>72</v>
      </c>
      <c r="G333" t="s">
        <v>48</v>
      </c>
      <c r="H333">
        <v>1</v>
      </c>
      <c r="K333" t="s">
        <v>162</v>
      </c>
      <c r="L333" t="s">
        <v>158</v>
      </c>
      <c r="M333" t="s">
        <v>131</v>
      </c>
      <c r="N333">
        <v>6</v>
      </c>
      <c r="P333" t="s">
        <v>41</v>
      </c>
      <c r="Q333" t="s">
        <v>49</v>
      </c>
      <c r="R333" t="str">
        <f>"0560027"</f>
        <v>0560027</v>
      </c>
      <c r="S333" t="s">
        <v>178</v>
      </c>
      <c r="T333" t="s">
        <v>162</v>
      </c>
      <c r="U333" t="s">
        <v>158</v>
      </c>
      <c r="V333" t="s">
        <v>131</v>
      </c>
      <c r="W333" t="s">
        <v>51</v>
      </c>
      <c r="X333" t="s">
        <v>45</v>
      </c>
      <c r="Y333" s="1">
        <v>25415</v>
      </c>
      <c r="Z333">
        <v>2</v>
      </c>
      <c r="AA333" t="s">
        <v>158</v>
      </c>
      <c r="AB333" s="40" t="s">
        <v>1795</v>
      </c>
    </row>
    <row r="334" spans="1:28" x14ac:dyDescent="0.25">
      <c r="A334">
        <v>99910333</v>
      </c>
      <c r="B334" t="s">
        <v>32</v>
      </c>
      <c r="C334" t="s">
        <v>64</v>
      </c>
      <c r="D334" t="s">
        <v>65</v>
      </c>
      <c r="G334" t="s">
        <v>48</v>
      </c>
      <c r="H334">
        <v>1</v>
      </c>
      <c r="K334" t="s">
        <v>380</v>
      </c>
      <c r="L334" t="s">
        <v>381</v>
      </c>
      <c r="M334" t="s">
        <v>131</v>
      </c>
      <c r="N334">
        <v>6</v>
      </c>
      <c r="P334" t="s">
        <v>41</v>
      </c>
      <c r="Q334" t="s">
        <v>49</v>
      </c>
      <c r="R334" t="str">
        <f>"0581575"</f>
        <v>0581575</v>
      </c>
      <c r="S334" t="s">
        <v>392</v>
      </c>
      <c r="T334" t="s">
        <v>380</v>
      </c>
      <c r="U334" t="s">
        <v>381</v>
      </c>
      <c r="V334" t="s">
        <v>131</v>
      </c>
      <c r="W334" t="s">
        <v>51</v>
      </c>
      <c r="X334" t="s">
        <v>45</v>
      </c>
      <c r="Y334" s="1">
        <v>25409</v>
      </c>
      <c r="Z334">
        <v>2</v>
      </c>
      <c r="AA334" t="s">
        <v>381</v>
      </c>
      <c r="AB334" s="40" t="s">
        <v>1795</v>
      </c>
    </row>
    <row r="335" spans="1:28" x14ac:dyDescent="0.25">
      <c r="A335">
        <v>99910334</v>
      </c>
      <c r="B335" t="s">
        <v>32</v>
      </c>
      <c r="C335" t="s">
        <v>64</v>
      </c>
      <c r="D335" t="s">
        <v>65</v>
      </c>
      <c r="G335" t="s">
        <v>48</v>
      </c>
      <c r="H335">
        <v>1</v>
      </c>
      <c r="K335" t="s">
        <v>345</v>
      </c>
      <c r="L335" t="s">
        <v>346</v>
      </c>
      <c r="M335" t="s">
        <v>131</v>
      </c>
      <c r="N335">
        <v>6</v>
      </c>
      <c r="P335" t="s">
        <v>41</v>
      </c>
      <c r="Q335" t="s">
        <v>75</v>
      </c>
      <c r="R335" t="str">
        <f>"7054002"</f>
        <v>7054002</v>
      </c>
      <c r="S335" t="s">
        <v>376</v>
      </c>
      <c r="T335" t="s">
        <v>354</v>
      </c>
      <c r="U335" t="s">
        <v>355</v>
      </c>
      <c r="V335" t="s">
        <v>131</v>
      </c>
      <c r="W335" t="s">
        <v>51</v>
      </c>
      <c r="X335" t="s">
        <v>45</v>
      </c>
      <c r="Y335" s="1">
        <v>25120</v>
      </c>
      <c r="Z335">
        <v>2</v>
      </c>
      <c r="AA335" t="s">
        <v>346</v>
      </c>
      <c r="AB335" s="40" t="s">
        <v>1795</v>
      </c>
    </row>
    <row r="336" spans="1:28" x14ac:dyDescent="0.25">
      <c r="A336">
        <v>99910335</v>
      </c>
      <c r="B336" t="s">
        <v>32</v>
      </c>
      <c r="C336" t="s">
        <v>64</v>
      </c>
      <c r="D336" t="s">
        <v>65</v>
      </c>
      <c r="G336" t="s">
        <v>35</v>
      </c>
      <c r="H336">
        <v>1</v>
      </c>
      <c r="I336">
        <v>18104</v>
      </c>
      <c r="J336" s="1">
        <v>43344</v>
      </c>
      <c r="K336" t="s">
        <v>345</v>
      </c>
      <c r="L336" t="s">
        <v>346</v>
      </c>
      <c r="M336" t="s">
        <v>131</v>
      </c>
      <c r="N336">
        <v>6</v>
      </c>
      <c r="O336" s="1">
        <v>43344</v>
      </c>
      <c r="P336" t="s">
        <v>41</v>
      </c>
      <c r="Q336" t="s">
        <v>367</v>
      </c>
      <c r="R336" t="str">
        <f>"0580655"</f>
        <v>0580655</v>
      </c>
      <c r="S336" t="s">
        <v>368</v>
      </c>
      <c r="T336" t="s">
        <v>345</v>
      </c>
      <c r="U336" t="s">
        <v>346</v>
      </c>
      <c r="V336" t="s">
        <v>131</v>
      </c>
      <c r="W336" t="s">
        <v>51</v>
      </c>
      <c r="X336" t="s">
        <v>45</v>
      </c>
      <c r="Y336" s="1">
        <v>25077</v>
      </c>
      <c r="Z336">
        <v>2</v>
      </c>
      <c r="AA336" t="s">
        <v>346</v>
      </c>
      <c r="AB336" s="40" t="s">
        <v>1795</v>
      </c>
    </row>
    <row r="337" spans="1:28" x14ac:dyDescent="0.25">
      <c r="A337">
        <v>99910336</v>
      </c>
      <c r="B337" t="s">
        <v>32</v>
      </c>
      <c r="C337" t="s">
        <v>139</v>
      </c>
      <c r="D337" t="s">
        <v>140</v>
      </c>
      <c r="G337" t="s">
        <v>35</v>
      </c>
      <c r="H337">
        <v>1</v>
      </c>
      <c r="I337" t="s">
        <v>348</v>
      </c>
      <c r="J337" s="1">
        <v>43344</v>
      </c>
      <c r="K337" t="s">
        <v>345</v>
      </c>
      <c r="L337" t="s">
        <v>346</v>
      </c>
      <c r="M337" t="s">
        <v>131</v>
      </c>
      <c r="N337">
        <v>6</v>
      </c>
      <c r="O337" s="1">
        <v>43344</v>
      </c>
      <c r="P337" t="s">
        <v>41</v>
      </c>
      <c r="Q337" t="s">
        <v>49</v>
      </c>
      <c r="R337" t="str">
        <f>"0581155"</f>
        <v>0581155</v>
      </c>
      <c r="S337" t="s">
        <v>349</v>
      </c>
      <c r="T337" t="s">
        <v>345</v>
      </c>
      <c r="U337" t="s">
        <v>346</v>
      </c>
      <c r="V337" t="s">
        <v>131</v>
      </c>
      <c r="W337" t="s">
        <v>51</v>
      </c>
      <c r="X337" t="s">
        <v>45</v>
      </c>
      <c r="Y337" s="1">
        <v>24961</v>
      </c>
      <c r="Z337">
        <v>2</v>
      </c>
      <c r="AA337" t="s">
        <v>346</v>
      </c>
      <c r="AB337" s="40" t="s">
        <v>1795</v>
      </c>
    </row>
    <row r="338" spans="1:28" x14ac:dyDescent="0.25">
      <c r="A338">
        <v>99910337</v>
      </c>
      <c r="B338" t="s">
        <v>32</v>
      </c>
      <c r="C338" t="s">
        <v>139</v>
      </c>
      <c r="D338" t="s">
        <v>140</v>
      </c>
      <c r="G338" t="s">
        <v>35</v>
      </c>
      <c r="H338">
        <v>1</v>
      </c>
      <c r="I338">
        <v>6983</v>
      </c>
      <c r="J338" s="1">
        <v>43344</v>
      </c>
      <c r="K338" t="s">
        <v>1306</v>
      </c>
      <c r="L338" t="s">
        <v>1307</v>
      </c>
      <c r="M338" t="s">
        <v>1270</v>
      </c>
      <c r="N338">
        <v>6</v>
      </c>
      <c r="O338" s="1">
        <v>43344</v>
      </c>
      <c r="P338" t="s">
        <v>41</v>
      </c>
      <c r="Q338" t="s">
        <v>49</v>
      </c>
      <c r="R338" t="str">
        <f>"1991915"</f>
        <v>1991915</v>
      </c>
      <c r="S338" t="s">
        <v>1316</v>
      </c>
      <c r="T338" t="s">
        <v>1306</v>
      </c>
      <c r="U338" t="s">
        <v>1307</v>
      </c>
      <c r="V338" t="s">
        <v>1270</v>
      </c>
      <c r="W338" t="s">
        <v>51</v>
      </c>
      <c r="X338" t="s">
        <v>45</v>
      </c>
      <c r="Y338" s="1">
        <v>24838</v>
      </c>
      <c r="Z338">
        <v>2</v>
      </c>
      <c r="AA338" t="s">
        <v>1307</v>
      </c>
      <c r="AB338" s="40" t="s">
        <v>1795</v>
      </c>
    </row>
    <row r="339" spans="1:28" x14ac:dyDescent="0.25">
      <c r="A339">
        <v>99910338</v>
      </c>
      <c r="B339" t="s">
        <v>32</v>
      </c>
      <c r="C339" t="s">
        <v>90</v>
      </c>
      <c r="D339" t="s">
        <v>91</v>
      </c>
      <c r="G339" t="s">
        <v>48</v>
      </c>
      <c r="H339">
        <v>1</v>
      </c>
      <c r="K339" t="s">
        <v>1695</v>
      </c>
      <c r="L339" t="s">
        <v>1696</v>
      </c>
      <c r="M339" t="s">
        <v>1592</v>
      </c>
      <c r="N339">
        <v>6</v>
      </c>
      <c r="P339" t="s">
        <v>41</v>
      </c>
      <c r="Q339" t="s">
        <v>95</v>
      </c>
      <c r="R339" t="str">
        <f>"7361011"</f>
        <v>7361011</v>
      </c>
      <c r="S339" t="s">
        <v>1699</v>
      </c>
      <c r="T339" t="s">
        <v>1695</v>
      </c>
      <c r="U339" t="s">
        <v>1696</v>
      </c>
      <c r="V339" t="s">
        <v>1592</v>
      </c>
      <c r="W339" t="s">
        <v>51</v>
      </c>
      <c r="X339" t="s">
        <v>45</v>
      </c>
      <c r="Y339" s="1">
        <v>24823</v>
      </c>
      <c r="Z339">
        <v>1</v>
      </c>
      <c r="AA339" t="s">
        <v>1696</v>
      </c>
      <c r="AB339" s="40" t="s">
        <v>1795</v>
      </c>
    </row>
    <row r="340" spans="1:28" x14ac:dyDescent="0.25">
      <c r="A340">
        <v>99910339</v>
      </c>
      <c r="B340" t="s">
        <v>32</v>
      </c>
      <c r="C340" t="s">
        <v>141</v>
      </c>
      <c r="D340" t="s">
        <v>142</v>
      </c>
      <c r="G340" t="s">
        <v>35</v>
      </c>
      <c r="H340">
        <v>1</v>
      </c>
      <c r="K340" t="s">
        <v>268</v>
      </c>
      <c r="L340" t="s">
        <v>269</v>
      </c>
      <c r="M340" t="s">
        <v>131</v>
      </c>
      <c r="N340">
        <v>6</v>
      </c>
      <c r="P340" t="s">
        <v>41</v>
      </c>
      <c r="Q340" t="s">
        <v>75</v>
      </c>
      <c r="R340" t="str">
        <f>"7052000"</f>
        <v>7052000</v>
      </c>
      <c r="S340" t="s">
        <v>656</v>
      </c>
      <c r="T340" t="s">
        <v>268</v>
      </c>
      <c r="U340" t="s">
        <v>269</v>
      </c>
      <c r="V340" t="s">
        <v>131</v>
      </c>
      <c r="W340" t="s">
        <v>51</v>
      </c>
      <c r="X340" t="s">
        <v>45</v>
      </c>
      <c r="Y340" s="1">
        <v>24697</v>
      </c>
      <c r="Z340">
        <v>1</v>
      </c>
      <c r="AA340" t="s">
        <v>269</v>
      </c>
      <c r="AB340" s="40" t="s">
        <v>1795</v>
      </c>
    </row>
    <row r="341" spans="1:28" x14ac:dyDescent="0.25">
      <c r="A341">
        <v>99910340</v>
      </c>
      <c r="B341" t="s">
        <v>32</v>
      </c>
      <c r="C341" t="s">
        <v>90</v>
      </c>
      <c r="D341" t="s">
        <v>91</v>
      </c>
      <c r="G341" t="s">
        <v>35</v>
      </c>
      <c r="H341">
        <v>1</v>
      </c>
      <c r="K341" t="s">
        <v>268</v>
      </c>
      <c r="L341" t="s">
        <v>269</v>
      </c>
      <c r="M341" t="s">
        <v>131</v>
      </c>
      <c r="N341">
        <v>6</v>
      </c>
      <c r="P341" t="s">
        <v>41</v>
      </c>
      <c r="Q341" t="s">
        <v>95</v>
      </c>
      <c r="R341" t="str">
        <f>"7052121"</f>
        <v>7052121</v>
      </c>
      <c r="S341" t="s">
        <v>749</v>
      </c>
      <c r="T341" t="s">
        <v>268</v>
      </c>
      <c r="U341" t="s">
        <v>269</v>
      </c>
      <c r="V341" t="s">
        <v>131</v>
      </c>
      <c r="W341" t="s">
        <v>51</v>
      </c>
      <c r="X341" t="s">
        <v>45</v>
      </c>
      <c r="Y341" s="1">
        <v>24682</v>
      </c>
      <c r="Z341">
        <v>1</v>
      </c>
      <c r="AA341" t="s">
        <v>269</v>
      </c>
      <c r="AB341" s="40" t="s">
        <v>1795</v>
      </c>
    </row>
    <row r="342" spans="1:28" x14ac:dyDescent="0.25">
      <c r="A342">
        <v>99910341</v>
      </c>
      <c r="B342" t="s">
        <v>56</v>
      </c>
      <c r="C342" t="s">
        <v>79</v>
      </c>
      <c r="D342" t="s">
        <v>80</v>
      </c>
      <c r="G342" t="s">
        <v>48</v>
      </c>
      <c r="H342">
        <v>1</v>
      </c>
      <c r="K342" t="s">
        <v>380</v>
      </c>
      <c r="L342" t="s">
        <v>381</v>
      </c>
      <c r="M342" t="s">
        <v>131</v>
      </c>
      <c r="N342">
        <v>6</v>
      </c>
      <c r="P342" t="s">
        <v>41</v>
      </c>
      <c r="Q342" t="s">
        <v>49</v>
      </c>
      <c r="R342" t="str">
        <f>"0591908"</f>
        <v>0591908</v>
      </c>
      <c r="S342" t="s">
        <v>383</v>
      </c>
      <c r="T342" t="s">
        <v>380</v>
      </c>
      <c r="U342" t="s">
        <v>381</v>
      </c>
      <c r="V342" t="s">
        <v>131</v>
      </c>
      <c r="W342" t="s">
        <v>51</v>
      </c>
      <c r="X342" t="s">
        <v>45</v>
      </c>
      <c r="Y342" s="1">
        <v>24630</v>
      </c>
      <c r="Z342">
        <v>2</v>
      </c>
      <c r="AA342" t="s">
        <v>381</v>
      </c>
      <c r="AB342" s="40" t="s">
        <v>1795</v>
      </c>
    </row>
    <row r="343" spans="1:28" x14ac:dyDescent="0.25">
      <c r="A343">
        <v>99910342</v>
      </c>
      <c r="B343" t="s">
        <v>32</v>
      </c>
      <c r="C343" t="s">
        <v>111</v>
      </c>
      <c r="D343" t="s">
        <v>112</v>
      </c>
      <c r="G343" t="s">
        <v>48</v>
      </c>
      <c r="H343">
        <v>14</v>
      </c>
      <c r="K343" t="s">
        <v>354</v>
      </c>
      <c r="L343" t="s">
        <v>355</v>
      </c>
      <c r="M343" t="s">
        <v>131</v>
      </c>
      <c r="N343">
        <v>6</v>
      </c>
      <c r="P343" t="s">
        <v>41</v>
      </c>
      <c r="Q343" t="s">
        <v>75</v>
      </c>
      <c r="R343" t="str">
        <f>"7054042"</f>
        <v>7054042</v>
      </c>
      <c r="S343" t="s">
        <v>776</v>
      </c>
      <c r="T343" t="s">
        <v>354</v>
      </c>
      <c r="U343" t="s">
        <v>355</v>
      </c>
      <c r="V343" t="s">
        <v>131</v>
      </c>
      <c r="W343" t="s">
        <v>51</v>
      </c>
      <c r="X343" t="s">
        <v>45</v>
      </c>
      <c r="Y343" s="1">
        <v>24247</v>
      </c>
      <c r="Z343">
        <v>1</v>
      </c>
      <c r="AA343" t="s">
        <v>355</v>
      </c>
      <c r="AB343" s="40" t="s">
        <v>1795</v>
      </c>
    </row>
    <row r="344" spans="1:28" x14ac:dyDescent="0.25">
      <c r="A344">
        <v>99910343</v>
      </c>
      <c r="B344" t="s">
        <v>32</v>
      </c>
      <c r="C344" t="s">
        <v>139</v>
      </c>
      <c r="D344" t="s">
        <v>140</v>
      </c>
      <c r="G344" t="s">
        <v>48</v>
      </c>
      <c r="H344">
        <v>1</v>
      </c>
      <c r="K344" t="s">
        <v>162</v>
      </c>
      <c r="L344" t="s">
        <v>158</v>
      </c>
      <c r="M344" t="s">
        <v>131</v>
      </c>
      <c r="N344">
        <v>6</v>
      </c>
      <c r="P344" t="s">
        <v>41</v>
      </c>
      <c r="Q344" t="s">
        <v>49</v>
      </c>
      <c r="R344" t="str">
        <f>"0560027"</f>
        <v>0560027</v>
      </c>
      <c r="S344" t="s">
        <v>178</v>
      </c>
      <c r="T344" t="s">
        <v>162</v>
      </c>
      <c r="U344" t="s">
        <v>158</v>
      </c>
      <c r="V344" t="s">
        <v>131</v>
      </c>
      <c r="W344" t="s">
        <v>51</v>
      </c>
      <c r="X344" t="s">
        <v>45</v>
      </c>
      <c r="Y344" s="1">
        <v>24215</v>
      </c>
      <c r="Z344">
        <v>2</v>
      </c>
      <c r="AA344" t="s">
        <v>158</v>
      </c>
      <c r="AB344" s="40" t="s">
        <v>1795</v>
      </c>
    </row>
    <row r="345" spans="1:28" x14ac:dyDescent="0.25">
      <c r="A345">
        <v>99910344</v>
      </c>
      <c r="B345" t="s">
        <v>32</v>
      </c>
      <c r="C345" t="s">
        <v>141</v>
      </c>
      <c r="D345" t="s">
        <v>142</v>
      </c>
      <c r="G345" t="s">
        <v>48</v>
      </c>
      <c r="H345">
        <v>1</v>
      </c>
      <c r="K345" t="s">
        <v>936</v>
      </c>
      <c r="L345" t="s">
        <v>937</v>
      </c>
      <c r="M345" t="s">
        <v>938</v>
      </c>
      <c r="N345">
        <v>6</v>
      </c>
      <c r="P345" t="s">
        <v>41</v>
      </c>
      <c r="Q345" t="s">
        <v>49</v>
      </c>
      <c r="R345" t="str">
        <f>"0180017"</f>
        <v>0180017</v>
      </c>
      <c r="S345" t="s">
        <v>943</v>
      </c>
      <c r="T345" t="s">
        <v>936</v>
      </c>
      <c r="U345" t="s">
        <v>937</v>
      </c>
      <c r="V345" t="s">
        <v>938</v>
      </c>
      <c r="W345" t="s">
        <v>51</v>
      </c>
      <c r="X345" t="s">
        <v>45</v>
      </c>
      <c r="Y345" s="1">
        <v>24135</v>
      </c>
      <c r="Z345">
        <v>2</v>
      </c>
      <c r="AA345" t="s">
        <v>937</v>
      </c>
      <c r="AB345" s="40" t="s">
        <v>1795</v>
      </c>
    </row>
    <row r="346" spans="1:28" x14ac:dyDescent="0.25">
      <c r="A346">
        <v>99910345</v>
      </c>
      <c r="B346" t="s">
        <v>32</v>
      </c>
      <c r="C346" t="s">
        <v>64</v>
      </c>
      <c r="D346" t="s">
        <v>65</v>
      </c>
      <c r="G346" t="s">
        <v>48</v>
      </c>
      <c r="H346">
        <v>1</v>
      </c>
      <c r="K346" t="s">
        <v>162</v>
      </c>
      <c r="L346" t="s">
        <v>158</v>
      </c>
      <c r="M346" t="s">
        <v>131</v>
      </c>
      <c r="N346">
        <v>6</v>
      </c>
      <c r="P346" t="s">
        <v>41</v>
      </c>
      <c r="Q346" t="s">
        <v>42</v>
      </c>
      <c r="R346" t="str">
        <f>"0580320"</f>
        <v>0580320</v>
      </c>
      <c r="S346" t="s">
        <v>164</v>
      </c>
      <c r="T346" t="s">
        <v>162</v>
      </c>
      <c r="U346" t="s">
        <v>158</v>
      </c>
      <c r="V346" t="s">
        <v>131</v>
      </c>
      <c r="W346" t="s">
        <v>165</v>
      </c>
      <c r="X346" t="s">
        <v>45</v>
      </c>
      <c r="Y346" s="1">
        <v>24037</v>
      </c>
      <c r="Z346">
        <v>2</v>
      </c>
      <c r="AA346" t="s">
        <v>158</v>
      </c>
      <c r="AB346" s="40" t="s">
        <v>1795</v>
      </c>
    </row>
    <row r="347" spans="1:28" x14ac:dyDescent="0.25">
      <c r="A347">
        <v>99910346</v>
      </c>
      <c r="B347" t="s">
        <v>32</v>
      </c>
      <c r="C347" t="s">
        <v>71</v>
      </c>
      <c r="D347" t="s">
        <v>72</v>
      </c>
      <c r="G347" t="s">
        <v>48</v>
      </c>
      <c r="H347">
        <v>1</v>
      </c>
      <c r="K347" t="s">
        <v>157</v>
      </c>
      <c r="L347" t="s">
        <v>158</v>
      </c>
      <c r="M347" t="s">
        <v>131</v>
      </c>
      <c r="N347">
        <v>6</v>
      </c>
      <c r="P347" t="s">
        <v>41</v>
      </c>
      <c r="Q347" t="s">
        <v>42</v>
      </c>
      <c r="R347" t="str">
        <f>"0580290"</f>
        <v>0580290</v>
      </c>
      <c r="S347" t="s">
        <v>171</v>
      </c>
      <c r="T347" t="s">
        <v>157</v>
      </c>
      <c r="U347" t="s">
        <v>158</v>
      </c>
      <c r="V347" t="s">
        <v>131</v>
      </c>
      <c r="W347" t="s">
        <v>51</v>
      </c>
      <c r="X347" t="s">
        <v>45</v>
      </c>
      <c r="Y347" s="1">
        <v>23942</v>
      </c>
      <c r="Z347">
        <v>2</v>
      </c>
      <c r="AA347" t="s">
        <v>158</v>
      </c>
      <c r="AB347" s="40" t="s">
        <v>1795</v>
      </c>
    </row>
    <row r="348" spans="1:28" x14ac:dyDescent="0.25">
      <c r="A348">
        <v>99910347</v>
      </c>
      <c r="B348" t="s">
        <v>32</v>
      </c>
      <c r="C348" t="s">
        <v>79</v>
      </c>
      <c r="D348" t="s">
        <v>80</v>
      </c>
      <c r="G348" t="s">
        <v>35</v>
      </c>
      <c r="H348">
        <v>1</v>
      </c>
      <c r="I348">
        <v>2025</v>
      </c>
      <c r="J348" s="1">
        <v>43344</v>
      </c>
      <c r="K348" t="s">
        <v>354</v>
      </c>
      <c r="L348" t="s">
        <v>355</v>
      </c>
      <c r="M348" t="s">
        <v>131</v>
      </c>
      <c r="N348">
        <v>6</v>
      </c>
      <c r="O348" s="1">
        <v>43344</v>
      </c>
      <c r="P348" t="s">
        <v>41</v>
      </c>
      <c r="Q348" t="s">
        <v>75</v>
      </c>
      <c r="R348" t="str">
        <f>"7054012"</f>
        <v>7054012</v>
      </c>
      <c r="S348" t="s">
        <v>353</v>
      </c>
      <c r="T348" t="s">
        <v>354</v>
      </c>
      <c r="U348" t="s">
        <v>355</v>
      </c>
      <c r="V348" t="s">
        <v>131</v>
      </c>
      <c r="W348" t="s">
        <v>51</v>
      </c>
      <c r="X348" t="s">
        <v>45</v>
      </c>
      <c r="Y348" s="1">
        <v>23897</v>
      </c>
      <c r="Z348">
        <v>1</v>
      </c>
      <c r="AA348" t="s">
        <v>355</v>
      </c>
      <c r="AB348" s="40" t="s">
        <v>1795</v>
      </c>
    </row>
    <row r="349" spans="1:28" x14ac:dyDescent="0.25">
      <c r="A349">
        <v>99910348</v>
      </c>
      <c r="B349" t="s">
        <v>32</v>
      </c>
      <c r="C349" t="s">
        <v>82</v>
      </c>
      <c r="D349" t="s">
        <v>83</v>
      </c>
      <c r="G349" t="s">
        <v>48</v>
      </c>
      <c r="H349">
        <v>1</v>
      </c>
      <c r="K349" t="s">
        <v>162</v>
      </c>
      <c r="L349" t="s">
        <v>158</v>
      </c>
      <c r="M349" t="s">
        <v>131</v>
      </c>
      <c r="N349">
        <v>6</v>
      </c>
      <c r="P349" t="s">
        <v>41</v>
      </c>
      <c r="Q349" t="s">
        <v>42</v>
      </c>
      <c r="R349" t="str">
        <f>"0580330"</f>
        <v>0580330</v>
      </c>
      <c r="S349" t="s">
        <v>176</v>
      </c>
      <c r="T349" t="s">
        <v>162</v>
      </c>
      <c r="U349" t="s">
        <v>158</v>
      </c>
      <c r="V349" t="s">
        <v>131</v>
      </c>
      <c r="W349" t="s">
        <v>51</v>
      </c>
      <c r="X349" t="s">
        <v>45</v>
      </c>
      <c r="Y349" s="1">
        <v>23584</v>
      </c>
      <c r="Z349">
        <v>2</v>
      </c>
      <c r="AA349" t="s">
        <v>158</v>
      </c>
      <c r="AB349" s="40" t="s">
        <v>1795</v>
      </c>
    </row>
    <row r="350" spans="1:28" x14ac:dyDescent="0.25">
      <c r="A350">
        <v>99910349</v>
      </c>
      <c r="B350" t="s">
        <v>32</v>
      </c>
      <c r="C350" t="s">
        <v>139</v>
      </c>
      <c r="D350" t="s">
        <v>140</v>
      </c>
      <c r="G350" t="s">
        <v>48</v>
      </c>
      <c r="H350">
        <v>1</v>
      </c>
      <c r="K350" t="s">
        <v>223</v>
      </c>
      <c r="L350" t="s">
        <v>224</v>
      </c>
      <c r="M350" t="s">
        <v>131</v>
      </c>
      <c r="N350">
        <v>6</v>
      </c>
      <c r="P350" t="s">
        <v>41</v>
      </c>
      <c r="Q350" t="s">
        <v>49</v>
      </c>
      <c r="R350" t="str">
        <f>"0581265"</f>
        <v>0581265</v>
      </c>
      <c r="S350" t="s">
        <v>236</v>
      </c>
      <c r="T350" t="s">
        <v>223</v>
      </c>
      <c r="U350" t="s">
        <v>224</v>
      </c>
      <c r="V350" t="s">
        <v>131</v>
      </c>
      <c r="W350" t="s">
        <v>51</v>
      </c>
      <c r="X350" t="s">
        <v>45</v>
      </c>
      <c r="Y350" s="1">
        <v>23536</v>
      </c>
      <c r="Z350">
        <v>2</v>
      </c>
      <c r="AA350" t="s">
        <v>224</v>
      </c>
      <c r="AB350" s="40" t="s">
        <v>1795</v>
      </c>
    </row>
    <row r="351" spans="1:28" x14ac:dyDescent="0.25">
      <c r="A351">
        <v>99910350</v>
      </c>
      <c r="B351" t="s">
        <v>32</v>
      </c>
      <c r="C351" t="s">
        <v>111</v>
      </c>
      <c r="D351" t="s">
        <v>112</v>
      </c>
      <c r="G351" t="s">
        <v>48</v>
      </c>
      <c r="H351">
        <v>1</v>
      </c>
      <c r="K351" t="s">
        <v>268</v>
      </c>
      <c r="L351" t="s">
        <v>269</v>
      </c>
      <c r="M351" t="s">
        <v>131</v>
      </c>
      <c r="N351">
        <v>6</v>
      </c>
      <c r="P351" t="s">
        <v>41</v>
      </c>
      <c r="Q351" t="s">
        <v>75</v>
      </c>
      <c r="R351" t="str">
        <f>"7052040"</f>
        <v>7052040</v>
      </c>
      <c r="S351" t="s">
        <v>591</v>
      </c>
      <c r="T351" t="s">
        <v>268</v>
      </c>
      <c r="U351" t="s">
        <v>269</v>
      </c>
      <c r="V351" t="s">
        <v>131</v>
      </c>
      <c r="W351" t="s">
        <v>51</v>
      </c>
      <c r="X351" t="s">
        <v>45</v>
      </c>
      <c r="Y351" s="1">
        <v>23526</v>
      </c>
      <c r="Z351">
        <v>1</v>
      </c>
      <c r="AA351" t="s">
        <v>269</v>
      </c>
      <c r="AB351" s="40" t="s">
        <v>1795</v>
      </c>
    </row>
    <row r="352" spans="1:28" x14ac:dyDescent="0.25">
      <c r="A352">
        <v>99910351</v>
      </c>
      <c r="B352" t="s">
        <v>32</v>
      </c>
      <c r="C352" t="s">
        <v>52</v>
      </c>
      <c r="D352" t="s">
        <v>53</v>
      </c>
      <c r="G352" t="s">
        <v>35</v>
      </c>
      <c r="H352">
        <v>1</v>
      </c>
      <c r="I352">
        <v>789</v>
      </c>
      <c r="J352" s="1">
        <v>43344</v>
      </c>
      <c r="K352" t="s">
        <v>1546</v>
      </c>
      <c r="L352" t="s">
        <v>1547</v>
      </c>
      <c r="M352" t="s">
        <v>1548</v>
      </c>
      <c r="N352">
        <v>6</v>
      </c>
      <c r="O352" s="1">
        <v>43344</v>
      </c>
      <c r="P352" t="s">
        <v>41</v>
      </c>
      <c r="Q352" t="s">
        <v>42</v>
      </c>
      <c r="R352" t="str">
        <f>"1061001"</f>
        <v>1061001</v>
      </c>
      <c r="S352" t="s">
        <v>1550</v>
      </c>
      <c r="T352" t="s">
        <v>1546</v>
      </c>
      <c r="U352" t="s">
        <v>1547</v>
      </c>
      <c r="V352" t="s">
        <v>1548</v>
      </c>
      <c r="W352" t="s">
        <v>44</v>
      </c>
      <c r="X352" t="s">
        <v>45</v>
      </c>
      <c r="Y352" s="1">
        <v>23490</v>
      </c>
      <c r="Z352">
        <v>2</v>
      </c>
      <c r="AA352" t="s">
        <v>1547</v>
      </c>
      <c r="AB352" s="40" t="s">
        <v>1795</v>
      </c>
    </row>
    <row r="353" spans="1:28" x14ac:dyDescent="0.25">
      <c r="A353">
        <v>99910352</v>
      </c>
      <c r="B353" t="s">
        <v>32</v>
      </c>
      <c r="C353" t="s">
        <v>111</v>
      </c>
      <c r="D353" t="s">
        <v>112</v>
      </c>
      <c r="G353" t="s">
        <v>35</v>
      </c>
      <c r="H353">
        <v>1</v>
      </c>
      <c r="K353" t="s">
        <v>268</v>
      </c>
      <c r="L353" t="s">
        <v>269</v>
      </c>
      <c r="M353" t="s">
        <v>131</v>
      </c>
      <c r="N353">
        <v>6</v>
      </c>
      <c r="P353" t="s">
        <v>41</v>
      </c>
      <c r="Q353" t="s">
        <v>75</v>
      </c>
      <c r="R353" t="str">
        <f>"7052002"</f>
        <v>7052002</v>
      </c>
      <c r="S353" t="s">
        <v>590</v>
      </c>
      <c r="T353" t="s">
        <v>268</v>
      </c>
      <c r="U353" t="s">
        <v>269</v>
      </c>
      <c r="V353" t="s">
        <v>131</v>
      </c>
      <c r="W353" t="s">
        <v>165</v>
      </c>
      <c r="X353" t="s">
        <v>45</v>
      </c>
      <c r="Y353" s="1">
        <v>23205</v>
      </c>
      <c r="Z353">
        <v>1</v>
      </c>
      <c r="AA353" t="s">
        <v>269</v>
      </c>
      <c r="AB353" s="40" t="s">
        <v>1795</v>
      </c>
    </row>
    <row r="354" spans="1:28" x14ac:dyDescent="0.25">
      <c r="A354">
        <v>99910353</v>
      </c>
      <c r="B354" t="s">
        <v>32</v>
      </c>
      <c r="C354" t="s">
        <v>111</v>
      </c>
      <c r="D354" t="s">
        <v>112</v>
      </c>
      <c r="G354" t="s">
        <v>35</v>
      </c>
      <c r="H354">
        <v>1</v>
      </c>
      <c r="K354" t="s">
        <v>268</v>
      </c>
      <c r="L354" t="s">
        <v>269</v>
      </c>
      <c r="M354" t="s">
        <v>131</v>
      </c>
      <c r="N354">
        <v>6</v>
      </c>
      <c r="P354" t="s">
        <v>41</v>
      </c>
      <c r="Q354" t="s">
        <v>75</v>
      </c>
      <c r="R354" t="str">
        <f>"7052004"</f>
        <v>7052004</v>
      </c>
      <c r="S354" t="s">
        <v>584</v>
      </c>
      <c r="T354" t="s">
        <v>268</v>
      </c>
      <c r="U354" t="s">
        <v>269</v>
      </c>
      <c r="V354" t="s">
        <v>131</v>
      </c>
      <c r="W354" t="s">
        <v>165</v>
      </c>
      <c r="X354" t="s">
        <v>45</v>
      </c>
      <c r="Y354" s="1">
        <v>22812</v>
      </c>
      <c r="Z354">
        <v>1</v>
      </c>
      <c r="AA354" t="s">
        <v>269</v>
      </c>
      <c r="AB354" s="40" t="s">
        <v>1795</v>
      </c>
    </row>
    <row r="355" spans="1:28" x14ac:dyDescent="0.25">
      <c r="A355">
        <v>99910354</v>
      </c>
      <c r="B355" t="s">
        <v>32</v>
      </c>
      <c r="C355" t="s">
        <v>46</v>
      </c>
      <c r="D355" t="s">
        <v>47</v>
      </c>
      <c r="G355" t="s">
        <v>48</v>
      </c>
      <c r="H355">
        <v>15</v>
      </c>
      <c r="K355" t="s">
        <v>129</v>
      </c>
      <c r="L355" t="s">
        <v>130</v>
      </c>
      <c r="M355" t="s">
        <v>131</v>
      </c>
      <c r="N355">
        <v>6</v>
      </c>
      <c r="O355" s="1">
        <v>33848</v>
      </c>
      <c r="P355" t="s">
        <v>41</v>
      </c>
      <c r="Q355" t="s">
        <v>42</v>
      </c>
      <c r="R355" t="str">
        <f>"0561011"</f>
        <v>0561011</v>
      </c>
      <c r="S355" t="s">
        <v>132</v>
      </c>
      <c r="T355" t="s">
        <v>129</v>
      </c>
      <c r="U355" t="s">
        <v>130</v>
      </c>
      <c r="V355" t="s">
        <v>131</v>
      </c>
      <c r="W355" t="s">
        <v>51</v>
      </c>
      <c r="X355" t="s">
        <v>45</v>
      </c>
      <c r="Y355" s="1">
        <v>22617</v>
      </c>
      <c r="Z355">
        <v>2</v>
      </c>
      <c r="AA355" t="s">
        <v>130</v>
      </c>
      <c r="AB355" s="40" t="s">
        <v>1795</v>
      </c>
    </row>
    <row r="356" spans="1:28" x14ac:dyDescent="0.25">
      <c r="A356">
        <v>99910355</v>
      </c>
      <c r="B356" t="s">
        <v>56</v>
      </c>
      <c r="C356" t="s">
        <v>68</v>
      </c>
      <c r="D356" t="s">
        <v>69</v>
      </c>
      <c r="G356" t="s">
        <v>48</v>
      </c>
      <c r="H356">
        <v>1</v>
      </c>
      <c r="K356" t="s">
        <v>162</v>
      </c>
      <c r="L356" t="s">
        <v>158</v>
      </c>
      <c r="M356" t="s">
        <v>131</v>
      </c>
      <c r="N356">
        <v>6</v>
      </c>
      <c r="P356" t="s">
        <v>41</v>
      </c>
      <c r="Q356" t="s">
        <v>42</v>
      </c>
      <c r="R356" t="str">
        <f>"0580320"</f>
        <v>0580320</v>
      </c>
      <c r="S356" t="s">
        <v>164</v>
      </c>
      <c r="T356" t="s">
        <v>162</v>
      </c>
      <c r="U356" t="s">
        <v>158</v>
      </c>
      <c r="V356" t="s">
        <v>131</v>
      </c>
      <c r="W356" t="s">
        <v>165</v>
      </c>
      <c r="X356" t="s">
        <v>45</v>
      </c>
      <c r="Y356" s="1">
        <v>22415</v>
      </c>
      <c r="Z356">
        <v>2</v>
      </c>
      <c r="AA356" t="s">
        <v>158</v>
      </c>
      <c r="AB356" s="40" t="s">
        <v>1795</v>
      </c>
    </row>
    <row r="357" spans="1:28" x14ac:dyDescent="0.25">
      <c r="A357">
        <v>99910356</v>
      </c>
      <c r="B357" t="s">
        <v>32</v>
      </c>
      <c r="C357" t="s">
        <v>61</v>
      </c>
      <c r="D357" t="s">
        <v>62</v>
      </c>
      <c r="G357" t="s">
        <v>48</v>
      </c>
      <c r="H357">
        <v>1</v>
      </c>
      <c r="K357" t="s">
        <v>223</v>
      </c>
      <c r="L357" t="s">
        <v>224</v>
      </c>
      <c r="M357" t="s">
        <v>131</v>
      </c>
      <c r="N357">
        <v>6</v>
      </c>
      <c r="P357" t="s">
        <v>41</v>
      </c>
      <c r="Q357" t="s">
        <v>49</v>
      </c>
      <c r="R357" t="str">
        <f>"0581204"</f>
        <v>0581204</v>
      </c>
      <c r="S357" t="s">
        <v>249</v>
      </c>
      <c r="T357" t="s">
        <v>223</v>
      </c>
      <c r="U357" t="s">
        <v>224</v>
      </c>
      <c r="V357" t="s">
        <v>131</v>
      </c>
      <c r="W357" t="s">
        <v>165</v>
      </c>
      <c r="X357" t="s">
        <v>45</v>
      </c>
      <c r="Y357" s="1">
        <v>22259</v>
      </c>
      <c r="Z357">
        <v>2</v>
      </c>
      <c r="AA357" t="s">
        <v>224</v>
      </c>
      <c r="AB357" s="40" t="s">
        <v>1795</v>
      </c>
    </row>
    <row r="358" spans="1:28" x14ac:dyDescent="0.25">
      <c r="A358">
        <v>99910357</v>
      </c>
      <c r="B358" t="s">
        <v>56</v>
      </c>
      <c r="C358" t="s">
        <v>52</v>
      </c>
      <c r="D358" t="s">
        <v>53</v>
      </c>
      <c r="G358" t="s">
        <v>35</v>
      </c>
      <c r="H358">
        <v>1</v>
      </c>
      <c r="J358" s="1">
        <v>38224</v>
      </c>
      <c r="K358" t="s">
        <v>1336</v>
      </c>
      <c r="L358" t="s">
        <v>1337</v>
      </c>
      <c r="M358" t="s">
        <v>1270</v>
      </c>
      <c r="N358">
        <v>6</v>
      </c>
      <c r="O358" s="1">
        <v>38224</v>
      </c>
      <c r="P358" t="s">
        <v>41</v>
      </c>
      <c r="Q358" t="s">
        <v>42</v>
      </c>
      <c r="R358" t="str">
        <f>"4475070"</f>
        <v>4475070</v>
      </c>
      <c r="S358" t="s">
        <v>1338</v>
      </c>
      <c r="T358" t="s">
        <v>1336</v>
      </c>
      <c r="U358" t="s">
        <v>1337</v>
      </c>
      <c r="V358" t="s">
        <v>1270</v>
      </c>
      <c r="W358" t="s">
        <v>51</v>
      </c>
      <c r="X358" t="s">
        <v>45</v>
      </c>
      <c r="Y358" s="1">
        <v>22005</v>
      </c>
      <c r="Z358">
        <v>2</v>
      </c>
      <c r="AA358" t="s">
        <v>1337</v>
      </c>
      <c r="AB358" s="40" t="s">
        <v>1795</v>
      </c>
    </row>
    <row r="359" spans="1:28" x14ac:dyDescent="0.25">
      <c r="A359">
        <v>99910358</v>
      </c>
      <c r="B359" t="s">
        <v>56</v>
      </c>
      <c r="C359" t="s">
        <v>257</v>
      </c>
      <c r="D359" t="s">
        <v>258</v>
      </c>
      <c r="G359" t="s">
        <v>48</v>
      </c>
      <c r="H359">
        <v>10</v>
      </c>
      <c r="I359" t="s">
        <v>952</v>
      </c>
      <c r="J359" s="1">
        <v>43344</v>
      </c>
      <c r="K359" t="s">
        <v>947</v>
      </c>
      <c r="L359" t="s">
        <v>948</v>
      </c>
      <c r="M359" t="s">
        <v>938</v>
      </c>
      <c r="N359">
        <v>6</v>
      </c>
      <c r="O359" s="1">
        <v>43344</v>
      </c>
      <c r="P359" t="s">
        <v>41</v>
      </c>
      <c r="Q359" t="s">
        <v>953</v>
      </c>
      <c r="R359" t="str">
        <f>"0610801"</f>
        <v>0610801</v>
      </c>
      <c r="S359" t="s">
        <v>954</v>
      </c>
      <c r="T359" t="s">
        <v>947</v>
      </c>
      <c r="U359" t="s">
        <v>948</v>
      </c>
      <c r="V359" t="s">
        <v>938</v>
      </c>
      <c r="W359" t="s">
        <v>44</v>
      </c>
      <c r="X359" t="s">
        <v>45</v>
      </c>
      <c r="Y359" s="1">
        <v>21468</v>
      </c>
      <c r="Z359">
        <v>2</v>
      </c>
      <c r="AA359" t="s">
        <v>948</v>
      </c>
      <c r="AB359" s="40" t="s">
        <v>1795</v>
      </c>
    </row>
    <row r="360" spans="1:28" x14ac:dyDescent="0.25">
      <c r="A360">
        <v>99910359</v>
      </c>
      <c r="B360" t="s">
        <v>32</v>
      </c>
      <c r="C360" t="s">
        <v>90</v>
      </c>
      <c r="D360" t="s">
        <v>91</v>
      </c>
      <c r="G360" t="s">
        <v>35</v>
      </c>
      <c r="H360">
        <v>1</v>
      </c>
      <c r="K360" t="s">
        <v>1631</v>
      </c>
      <c r="L360" t="s">
        <v>1632</v>
      </c>
      <c r="M360" t="s">
        <v>1592</v>
      </c>
      <c r="N360">
        <v>6</v>
      </c>
      <c r="P360" t="s">
        <v>41</v>
      </c>
      <c r="Q360" t="s">
        <v>95</v>
      </c>
      <c r="R360" t="str">
        <f>"7021009"</f>
        <v>7021009</v>
      </c>
      <c r="S360" t="s">
        <v>1644</v>
      </c>
      <c r="T360" t="s">
        <v>1631</v>
      </c>
      <c r="U360" t="s">
        <v>1632</v>
      </c>
      <c r="V360" t="s">
        <v>1592</v>
      </c>
      <c r="W360" t="s">
        <v>51</v>
      </c>
      <c r="X360" t="s">
        <v>45</v>
      </c>
      <c r="Y360" s="1">
        <v>21052</v>
      </c>
      <c r="Z360">
        <v>1</v>
      </c>
      <c r="AA360" t="s">
        <v>1632</v>
      </c>
      <c r="AB360" s="40" t="s">
        <v>1795</v>
      </c>
    </row>
    <row r="361" spans="1:28" x14ac:dyDescent="0.25">
      <c r="A361">
        <v>99910360</v>
      </c>
      <c r="B361" t="s">
        <v>56</v>
      </c>
      <c r="C361" t="s">
        <v>33</v>
      </c>
      <c r="D361" t="s">
        <v>34</v>
      </c>
      <c r="G361" t="s">
        <v>35</v>
      </c>
      <c r="H361">
        <v>1</v>
      </c>
      <c r="J361" s="1">
        <v>38224</v>
      </c>
      <c r="K361" t="s">
        <v>1336</v>
      </c>
      <c r="L361" t="s">
        <v>1337</v>
      </c>
      <c r="M361" t="s">
        <v>1270</v>
      </c>
      <c r="N361">
        <v>6</v>
      </c>
      <c r="O361" s="1">
        <v>38224</v>
      </c>
      <c r="P361" t="s">
        <v>41</v>
      </c>
      <c r="Q361" t="s">
        <v>42</v>
      </c>
      <c r="R361" t="str">
        <f>"4475070"</f>
        <v>4475070</v>
      </c>
      <c r="S361" t="s">
        <v>1338</v>
      </c>
      <c r="T361" t="s">
        <v>1336</v>
      </c>
      <c r="U361" t="s">
        <v>1337</v>
      </c>
      <c r="V361" t="s">
        <v>1270</v>
      </c>
      <c r="W361" t="s">
        <v>51</v>
      </c>
      <c r="X361" t="s">
        <v>45</v>
      </c>
      <c r="Y361" s="1">
        <v>20976</v>
      </c>
      <c r="Z361">
        <v>2</v>
      </c>
      <c r="AA361" t="s">
        <v>1337</v>
      </c>
      <c r="AB361" s="40" t="s">
        <v>1795</v>
      </c>
    </row>
    <row r="362" spans="1:28" x14ac:dyDescent="0.25">
      <c r="A362">
        <v>99910361</v>
      </c>
      <c r="B362" t="s">
        <v>32</v>
      </c>
      <c r="C362" t="s">
        <v>111</v>
      </c>
      <c r="D362" t="s">
        <v>112</v>
      </c>
      <c r="G362" t="s">
        <v>35</v>
      </c>
      <c r="H362">
        <v>1</v>
      </c>
      <c r="K362" t="s">
        <v>268</v>
      </c>
      <c r="L362" t="s">
        <v>269</v>
      </c>
      <c r="M362" t="s">
        <v>131</v>
      </c>
      <c r="N362">
        <v>6</v>
      </c>
      <c r="P362" t="s">
        <v>41</v>
      </c>
      <c r="Q362" t="s">
        <v>75</v>
      </c>
      <c r="R362" t="str">
        <f>"7052006"</f>
        <v>7052006</v>
      </c>
      <c r="S362" t="s">
        <v>575</v>
      </c>
      <c r="T362" t="s">
        <v>268</v>
      </c>
      <c r="U362" t="s">
        <v>269</v>
      </c>
      <c r="V362" t="s">
        <v>131</v>
      </c>
      <c r="W362" t="s">
        <v>165</v>
      </c>
      <c r="X362" t="s">
        <v>45</v>
      </c>
      <c r="Y362" s="1">
        <v>20829</v>
      </c>
      <c r="Z362">
        <v>1</v>
      </c>
      <c r="AA362" t="s">
        <v>269</v>
      </c>
      <c r="AB362" s="40" t="s">
        <v>1795</v>
      </c>
    </row>
    <row r="363" spans="1:28" x14ac:dyDescent="0.25">
      <c r="A363">
        <v>99910362</v>
      </c>
      <c r="B363" t="s">
        <v>32</v>
      </c>
      <c r="C363" t="s">
        <v>71</v>
      </c>
      <c r="D363" t="s">
        <v>72</v>
      </c>
      <c r="G363" t="s">
        <v>35</v>
      </c>
      <c r="H363">
        <v>1</v>
      </c>
      <c r="I363">
        <v>3722</v>
      </c>
      <c r="J363" s="1">
        <v>43354</v>
      </c>
      <c r="K363" t="s">
        <v>1590</v>
      </c>
      <c r="L363" t="s">
        <v>1591</v>
      </c>
      <c r="M363" t="s">
        <v>1592</v>
      </c>
      <c r="N363">
        <v>6</v>
      </c>
      <c r="O363" s="1">
        <v>43354</v>
      </c>
      <c r="P363" t="s">
        <v>41</v>
      </c>
      <c r="Q363" t="s">
        <v>49</v>
      </c>
      <c r="R363" t="str">
        <f>"0260002"</f>
        <v>0260002</v>
      </c>
      <c r="S363" t="s">
        <v>1593</v>
      </c>
      <c r="T363" t="s">
        <v>1590</v>
      </c>
      <c r="U363" t="s">
        <v>1591</v>
      </c>
      <c r="V363" t="s">
        <v>1592</v>
      </c>
      <c r="W363" t="s">
        <v>44</v>
      </c>
      <c r="X363" t="s">
        <v>45</v>
      </c>
      <c r="Y363" s="1">
        <v>18837</v>
      </c>
      <c r="Z363">
        <v>2</v>
      </c>
      <c r="AA363" t="s">
        <v>1591</v>
      </c>
      <c r="AB363" s="40" t="s">
        <v>1795</v>
      </c>
    </row>
    <row r="364" spans="1:28" x14ac:dyDescent="0.25">
      <c r="A364">
        <v>99910363</v>
      </c>
      <c r="B364" t="s">
        <v>56</v>
      </c>
      <c r="C364" t="s">
        <v>79</v>
      </c>
      <c r="D364" t="s">
        <v>80</v>
      </c>
      <c r="G364" t="s">
        <v>35</v>
      </c>
      <c r="H364">
        <v>1</v>
      </c>
      <c r="K364" t="s">
        <v>157</v>
      </c>
      <c r="L364" t="s">
        <v>158</v>
      </c>
      <c r="M364" t="s">
        <v>131</v>
      </c>
      <c r="N364">
        <v>6</v>
      </c>
      <c r="P364" t="s">
        <v>41</v>
      </c>
      <c r="Q364" t="s">
        <v>49</v>
      </c>
      <c r="R364" t="str">
        <f>"0580505"</f>
        <v>0580505</v>
      </c>
      <c r="S364" t="s">
        <v>168</v>
      </c>
      <c r="T364" t="s">
        <v>157</v>
      </c>
      <c r="U364" t="s">
        <v>158</v>
      </c>
      <c r="V364" t="s">
        <v>131</v>
      </c>
      <c r="W364" t="s">
        <v>51</v>
      </c>
      <c r="X364" t="s">
        <v>45</v>
      </c>
      <c r="Z364">
        <v>2</v>
      </c>
      <c r="AA364" t="s">
        <v>158</v>
      </c>
      <c r="AB364" s="40" t="s">
        <v>1795</v>
      </c>
    </row>
    <row r="365" spans="1:28" x14ac:dyDescent="0.25">
      <c r="A365">
        <v>99910364</v>
      </c>
      <c r="B365" t="s">
        <v>32</v>
      </c>
      <c r="C365" t="s">
        <v>139</v>
      </c>
      <c r="D365" t="s">
        <v>140</v>
      </c>
      <c r="G365" t="s">
        <v>35</v>
      </c>
      <c r="H365">
        <v>1</v>
      </c>
      <c r="K365" t="s">
        <v>157</v>
      </c>
      <c r="L365" t="s">
        <v>158</v>
      </c>
      <c r="M365" t="s">
        <v>131</v>
      </c>
      <c r="N365">
        <v>6</v>
      </c>
      <c r="P365" t="s">
        <v>41</v>
      </c>
      <c r="Q365" t="s">
        <v>49</v>
      </c>
      <c r="R365" t="str">
        <f>"0560011"</f>
        <v>0560011</v>
      </c>
      <c r="S365" t="s">
        <v>185</v>
      </c>
      <c r="T365" t="s">
        <v>157</v>
      </c>
      <c r="U365" t="s">
        <v>158</v>
      </c>
      <c r="V365" t="s">
        <v>131</v>
      </c>
      <c r="W365" t="s">
        <v>51</v>
      </c>
      <c r="X365" t="s">
        <v>45</v>
      </c>
      <c r="Z365">
        <v>2</v>
      </c>
      <c r="AA365" t="s">
        <v>158</v>
      </c>
      <c r="AB365" s="40" t="s">
        <v>1795</v>
      </c>
    </row>
    <row r="366" spans="1:28" x14ac:dyDescent="0.25">
      <c r="A366">
        <v>99910365</v>
      </c>
      <c r="B366" t="s">
        <v>32</v>
      </c>
      <c r="C366" t="s">
        <v>64</v>
      </c>
      <c r="D366" t="s">
        <v>65</v>
      </c>
      <c r="G366" t="s">
        <v>35</v>
      </c>
      <c r="H366">
        <v>1</v>
      </c>
      <c r="K366" t="s">
        <v>157</v>
      </c>
      <c r="L366" t="s">
        <v>158</v>
      </c>
      <c r="M366" t="s">
        <v>131</v>
      </c>
      <c r="N366">
        <v>6</v>
      </c>
      <c r="P366" t="s">
        <v>41</v>
      </c>
      <c r="Q366" t="s">
        <v>42</v>
      </c>
      <c r="R366" t="str">
        <f>"0580470"</f>
        <v>0580470</v>
      </c>
      <c r="S366" t="s">
        <v>175</v>
      </c>
      <c r="T366" t="s">
        <v>157</v>
      </c>
      <c r="U366" t="s">
        <v>158</v>
      </c>
      <c r="V366" t="s">
        <v>131</v>
      </c>
      <c r="W366" t="s">
        <v>165</v>
      </c>
      <c r="X366" t="s">
        <v>45</v>
      </c>
      <c r="Z366">
        <v>2</v>
      </c>
      <c r="AA366" t="s">
        <v>158</v>
      </c>
      <c r="AB366" s="40" t="s">
        <v>1795</v>
      </c>
    </row>
    <row r="367" spans="1:28" x14ac:dyDescent="0.25">
      <c r="A367">
        <v>99910366</v>
      </c>
      <c r="B367" t="s">
        <v>32</v>
      </c>
      <c r="C367" t="s">
        <v>64</v>
      </c>
      <c r="D367" t="s">
        <v>65</v>
      </c>
      <c r="G367" t="s">
        <v>35</v>
      </c>
      <c r="H367">
        <v>1</v>
      </c>
      <c r="I367">
        <v>0</v>
      </c>
      <c r="J367" s="1">
        <v>43344</v>
      </c>
      <c r="K367" t="s">
        <v>223</v>
      </c>
      <c r="L367" t="s">
        <v>224</v>
      </c>
      <c r="M367" t="s">
        <v>131</v>
      </c>
      <c r="N367">
        <v>6</v>
      </c>
      <c r="O367" s="1">
        <v>43344</v>
      </c>
      <c r="P367" t="s">
        <v>41</v>
      </c>
      <c r="Q367" t="s">
        <v>49</v>
      </c>
      <c r="R367" t="str">
        <f>"0591901"</f>
        <v>0591901</v>
      </c>
      <c r="S367" t="s">
        <v>230</v>
      </c>
      <c r="T367" t="s">
        <v>223</v>
      </c>
      <c r="U367" t="s">
        <v>224</v>
      </c>
      <c r="V367" t="s">
        <v>131</v>
      </c>
      <c r="W367" t="s">
        <v>44</v>
      </c>
      <c r="X367" t="s">
        <v>45</v>
      </c>
      <c r="Z367">
        <v>2</v>
      </c>
      <c r="AA367" t="s">
        <v>224</v>
      </c>
      <c r="AB367" s="40" t="s">
        <v>1795</v>
      </c>
    </row>
    <row r="368" spans="1:28" x14ac:dyDescent="0.25">
      <c r="A368">
        <v>99910367</v>
      </c>
      <c r="B368" t="s">
        <v>32</v>
      </c>
      <c r="C368" t="s">
        <v>139</v>
      </c>
      <c r="D368" t="s">
        <v>140</v>
      </c>
      <c r="G368" t="s">
        <v>35</v>
      </c>
      <c r="H368">
        <v>1</v>
      </c>
      <c r="I368">
        <v>0</v>
      </c>
      <c r="J368" s="1">
        <v>43344</v>
      </c>
      <c r="K368" t="s">
        <v>223</v>
      </c>
      <c r="L368" t="s">
        <v>224</v>
      </c>
      <c r="M368" t="s">
        <v>131</v>
      </c>
      <c r="N368">
        <v>6</v>
      </c>
      <c r="O368" s="1">
        <v>43344</v>
      </c>
      <c r="P368" t="s">
        <v>41</v>
      </c>
      <c r="Q368" t="s">
        <v>49</v>
      </c>
      <c r="R368" t="str">
        <f>"0560034"</f>
        <v>0560034</v>
      </c>
      <c r="S368" t="s">
        <v>266</v>
      </c>
      <c r="T368" t="s">
        <v>223</v>
      </c>
      <c r="U368" t="s">
        <v>224</v>
      </c>
      <c r="V368" t="s">
        <v>131</v>
      </c>
      <c r="W368" t="s">
        <v>44</v>
      </c>
      <c r="X368" t="s">
        <v>45</v>
      </c>
      <c r="Z368">
        <v>2</v>
      </c>
      <c r="AA368" t="s">
        <v>224</v>
      </c>
      <c r="AB368" s="40" t="s">
        <v>1795</v>
      </c>
    </row>
    <row r="369" spans="1:28" x14ac:dyDescent="0.25">
      <c r="A369">
        <v>99910368</v>
      </c>
      <c r="B369" t="s">
        <v>32</v>
      </c>
      <c r="C369" t="s">
        <v>90</v>
      </c>
      <c r="D369" t="s">
        <v>91</v>
      </c>
      <c r="G369" t="s">
        <v>48</v>
      </c>
      <c r="H369">
        <v>1</v>
      </c>
      <c r="K369" t="s">
        <v>431</v>
      </c>
      <c r="L369" t="s">
        <v>196</v>
      </c>
      <c r="M369" t="s">
        <v>131</v>
      </c>
      <c r="N369">
        <v>6</v>
      </c>
      <c r="P369" t="s">
        <v>41</v>
      </c>
      <c r="Q369" t="s">
        <v>95</v>
      </c>
      <c r="R369" t="str">
        <f>"7521059"</f>
        <v>7521059</v>
      </c>
      <c r="S369" t="s">
        <v>540</v>
      </c>
      <c r="T369" t="s">
        <v>431</v>
      </c>
      <c r="U369" t="s">
        <v>196</v>
      </c>
      <c r="V369" t="s">
        <v>131</v>
      </c>
      <c r="W369" t="s">
        <v>51</v>
      </c>
      <c r="X369" t="s">
        <v>45</v>
      </c>
      <c r="Z369">
        <v>1</v>
      </c>
      <c r="AA369" t="s">
        <v>196</v>
      </c>
      <c r="AB369" s="40" t="s">
        <v>1795</v>
      </c>
    </row>
    <row r="370" spans="1:28" x14ac:dyDescent="0.25">
      <c r="A370">
        <v>99910369</v>
      </c>
      <c r="B370" t="s">
        <v>56</v>
      </c>
      <c r="C370" t="s">
        <v>61</v>
      </c>
      <c r="D370" t="s">
        <v>62</v>
      </c>
      <c r="G370" t="s">
        <v>35</v>
      </c>
      <c r="H370">
        <v>1</v>
      </c>
      <c r="I370">
        <v>4616</v>
      </c>
      <c r="J370" s="1">
        <v>43350</v>
      </c>
      <c r="K370" t="s">
        <v>919</v>
      </c>
      <c r="L370" t="s">
        <v>920</v>
      </c>
      <c r="M370" t="s">
        <v>921</v>
      </c>
      <c r="N370">
        <v>6</v>
      </c>
      <c r="O370" s="1">
        <v>43350</v>
      </c>
      <c r="P370" t="s">
        <v>41</v>
      </c>
      <c r="Q370" t="s">
        <v>922</v>
      </c>
      <c r="R370" t="str">
        <f>"5162001"</f>
        <v>5162001</v>
      </c>
      <c r="S370" t="s">
        <v>923</v>
      </c>
      <c r="T370" t="s">
        <v>919</v>
      </c>
      <c r="U370" t="s">
        <v>920</v>
      </c>
      <c r="V370" t="s">
        <v>921</v>
      </c>
      <c r="W370" t="s">
        <v>44</v>
      </c>
      <c r="X370" t="s">
        <v>45</v>
      </c>
      <c r="Z370">
        <v>2</v>
      </c>
      <c r="AA370" t="s">
        <v>920</v>
      </c>
      <c r="AB370" s="40" t="s">
        <v>1795</v>
      </c>
    </row>
    <row r="371" spans="1:28" x14ac:dyDescent="0.25">
      <c r="A371">
        <v>99910370</v>
      </c>
      <c r="B371" t="s">
        <v>32</v>
      </c>
      <c r="C371" t="s">
        <v>46</v>
      </c>
      <c r="D371" t="s">
        <v>47</v>
      </c>
      <c r="G371" t="s">
        <v>35</v>
      </c>
      <c r="H371">
        <v>1</v>
      </c>
      <c r="I371">
        <v>8345</v>
      </c>
      <c r="J371" s="1">
        <v>43363</v>
      </c>
      <c r="K371" t="s">
        <v>1187</v>
      </c>
      <c r="L371" t="s">
        <v>1188</v>
      </c>
      <c r="M371" t="s">
        <v>1130</v>
      </c>
      <c r="N371">
        <v>6</v>
      </c>
      <c r="O371" s="1">
        <v>43363</v>
      </c>
      <c r="P371" t="s">
        <v>41</v>
      </c>
      <c r="Q371" t="s">
        <v>49</v>
      </c>
      <c r="R371" t="str">
        <f>"4581015"</f>
        <v>4581015</v>
      </c>
      <c r="S371" t="s">
        <v>1190</v>
      </c>
      <c r="T371" t="s">
        <v>1187</v>
      </c>
      <c r="U371" t="s">
        <v>1188</v>
      </c>
      <c r="V371" t="s">
        <v>1130</v>
      </c>
      <c r="W371" t="s">
        <v>44</v>
      </c>
      <c r="X371" t="s">
        <v>45</v>
      </c>
      <c r="Z371">
        <v>2</v>
      </c>
      <c r="AA371" t="s">
        <v>1188</v>
      </c>
      <c r="AB371" s="40" t="s">
        <v>1795</v>
      </c>
    </row>
    <row r="372" spans="1:28" x14ac:dyDescent="0.25">
      <c r="A372">
        <v>99910371</v>
      </c>
      <c r="B372" t="s">
        <v>32</v>
      </c>
      <c r="C372" t="s">
        <v>61</v>
      </c>
      <c r="D372" t="s">
        <v>62</v>
      </c>
      <c r="G372" t="s">
        <v>35</v>
      </c>
      <c r="H372">
        <v>1</v>
      </c>
      <c r="I372" t="s">
        <v>1668</v>
      </c>
      <c r="J372" s="1">
        <v>43350</v>
      </c>
      <c r="K372" t="s">
        <v>1619</v>
      </c>
      <c r="L372" t="s">
        <v>1620</v>
      </c>
      <c r="M372" t="s">
        <v>1592</v>
      </c>
      <c r="N372">
        <v>6</v>
      </c>
      <c r="O372" s="1">
        <v>43350</v>
      </c>
      <c r="P372" t="s">
        <v>41</v>
      </c>
      <c r="Q372" t="s">
        <v>75</v>
      </c>
      <c r="R372" t="str">
        <f>"7281004"</f>
        <v>7281004</v>
      </c>
      <c r="S372" t="s">
        <v>1651</v>
      </c>
      <c r="T372" t="s">
        <v>1619</v>
      </c>
      <c r="U372" t="s">
        <v>1620</v>
      </c>
      <c r="V372" t="s">
        <v>1592</v>
      </c>
      <c r="W372" t="s">
        <v>44</v>
      </c>
      <c r="X372" t="s">
        <v>45</v>
      </c>
      <c r="Z372">
        <v>1</v>
      </c>
      <c r="AA372" t="s">
        <v>1620</v>
      </c>
      <c r="AB372" s="40" t="s">
        <v>1795</v>
      </c>
    </row>
    <row r="373" spans="1:28" x14ac:dyDescent="0.25">
      <c r="A373">
        <v>99910372</v>
      </c>
      <c r="B373" t="s">
        <v>32</v>
      </c>
      <c r="C373" t="s">
        <v>145</v>
      </c>
      <c r="D373" t="s">
        <v>146</v>
      </c>
      <c r="G373" t="s">
        <v>35</v>
      </c>
      <c r="H373">
        <v>1</v>
      </c>
      <c r="I373">
        <v>21565</v>
      </c>
      <c r="J373" s="1">
        <v>43344</v>
      </c>
      <c r="K373" t="s">
        <v>223</v>
      </c>
      <c r="L373" t="s">
        <v>224</v>
      </c>
      <c r="M373" t="s">
        <v>131</v>
      </c>
      <c r="N373">
        <v>7</v>
      </c>
      <c r="O373" s="1">
        <v>43344</v>
      </c>
      <c r="P373" t="s">
        <v>41</v>
      </c>
      <c r="Q373" t="s">
        <v>49</v>
      </c>
      <c r="R373" t="str">
        <f>"0560034"</f>
        <v>0560034</v>
      </c>
      <c r="S373" t="s">
        <v>266</v>
      </c>
      <c r="T373" t="s">
        <v>223</v>
      </c>
      <c r="U373" t="s">
        <v>224</v>
      </c>
      <c r="V373" t="s">
        <v>131</v>
      </c>
      <c r="W373" t="s">
        <v>44</v>
      </c>
      <c r="X373" t="s">
        <v>45</v>
      </c>
      <c r="Y373" s="1">
        <v>32789</v>
      </c>
      <c r="Z373">
        <v>2</v>
      </c>
      <c r="AA373" t="s">
        <v>224</v>
      </c>
      <c r="AB373" s="40" t="s">
        <v>1795</v>
      </c>
    </row>
    <row r="374" spans="1:28" x14ac:dyDescent="0.25">
      <c r="A374">
        <v>99910373</v>
      </c>
      <c r="B374" t="s">
        <v>56</v>
      </c>
      <c r="C374" t="s">
        <v>79</v>
      </c>
      <c r="D374" t="s">
        <v>80</v>
      </c>
      <c r="G374" t="s">
        <v>35</v>
      </c>
      <c r="H374">
        <v>1</v>
      </c>
      <c r="I374">
        <v>22517</v>
      </c>
      <c r="J374" s="1">
        <v>43371</v>
      </c>
      <c r="K374" t="s">
        <v>300</v>
      </c>
      <c r="L374" t="s">
        <v>301</v>
      </c>
      <c r="M374" t="s">
        <v>131</v>
      </c>
      <c r="N374">
        <v>7</v>
      </c>
      <c r="O374" s="1">
        <v>43371</v>
      </c>
      <c r="P374" t="s">
        <v>41</v>
      </c>
      <c r="Q374" t="s">
        <v>42</v>
      </c>
      <c r="R374" t="str">
        <f>"0580106"</f>
        <v>0580106</v>
      </c>
      <c r="S374" t="s">
        <v>306</v>
      </c>
      <c r="T374" t="s">
        <v>300</v>
      </c>
      <c r="U374" t="s">
        <v>301</v>
      </c>
      <c r="V374" t="s">
        <v>131</v>
      </c>
      <c r="W374" t="s">
        <v>44</v>
      </c>
      <c r="X374" t="s">
        <v>45</v>
      </c>
      <c r="Y374" s="1">
        <v>32291</v>
      </c>
      <c r="Z374">
        <v>2</v>
      </c>
      <c r="AA374" t="s">
        <v>301</v>
      </c>
      <c r="AB374" s="40" t="s">
        <v>1795</v>
      </c>
    </row>
    <row r="375" spans="1:28" x14ac:dyDescent="0.25">
      <c r="A375">
        <v>99910374</v>
      </c>
      <c r="B375" t="s">
        <v>32</v>
      </c>
      <c r="C375" t="s">
        <v>64</v>
      </c>
      <c r="D375" t="s">
        <v>65</v>
      </c>
      <c r="G375" t="s">
        <v>35</v>
      </c>
      <c r="H375">
        <v>1</v>
      </c>
      <c r="I375">
        <v>0</v>
      </c>
      <c r="J375" s="1">
        <v>43344</v>
      </c>
      <c r="K375" t="s">
        <v>223</v>
      </c>
      <c r="L375" t="s">
        <v>224</v>
      </c>
      <c r="M375" t="s">
        <v>131</v>
      </c>
      <c r="N375">
        <v>7</v>
      </c>
      <c r="O375" s="1">
        <v>43344</v>
      </c>
      <c r="P375" t="s">
        <v>41</v>
      </c>
      <c r="Q375" t="s">
        <v>49</v>
      </c>
      <c r="R375" t="str">
        <f>"0591901"</f>
        <v>0591901</v>
      </c>
      <c r="S375" t="s">
        <v>230</v>
      </c>
      <c r="T375" t="s">
        <v>223</v>
      </c>
      <c r="U375" t="s">
        <v>224</v>
      </c>
      <c r="V375" t="s">
        <v>131</v>
      </c>
      <c r="W375" t="s">
        <v>44</v>
      </c>
      <c r="X375" t="s">
        <v>45</v>
      </c>
      <c r="Y375" s="1">
        <v>32017</v>
      </c>
      <c r="Z375">
        <v>2</v>
      </c>
      <c r="AA375" t="s">
        <v>224</v>
      </c>
      <c r="AB375" s="40" t="s">
        <v>1795</v>
      </c>
    </row>
    <row r="376" spans="1:28" x14ac:dyDescent="0.25">
      <c r="A376">
        <v>99910375</v>
      </c>
      <c r="B376" t="s">
        <v>32</v>
      </c>
      <c r="C376" t="s">
        <v>61</v>
      </c>
      <c r="D376" t="s">
        <v>62</v>
      </c>
      <c r="G376" t="s">
        <v>35</v>
      </c>
      <c r="H376">
        <v>1</v>
      </c>
      <c r="I376">
        <v>19174</v>
      </c>
      <c r="J376" s="1">
        <v>43344</v>
      </c>
      <c r="K376" t="s">
        <v>877</v>
      </c>
      <c r="L376" t="s">
        <v>878</v>
      </c>
      <c r="M376" t="s">
        <v>131</v>
      </c>
      <c r="N376">
        <v>7</v>
      </c>
      <c r="O376" s="1">
        <v>43344</v>
      </c>
      <c r="P376" t="s">
        <v>41</v>
      </c>
      <c r="Q376" t="s">
        <v>75</v>
      </c>
      <c r="R376" t="str">
        <f>"7541020"</f>
        <v>7541020</v>
      </c>
      <c r="S376" t="s">
        <v>882</v>
      </c>
      <c r="T376" t="s">
        <v>877</v>
      </c>
      <c r="U376" t="s">
        <v>878</v>
      </c>
      <c r="V376" t="s">
        <v>131</v>
      </c>
      <c r="W376" t="s">
        <v>44</v>
      </c>
      <c r="X376" t="s">
        <v>45</v>
      </c>
      <c r="Y376" s="1">
        <v>31605</v>
      </c>
      <c r="Z376">
        <v>1</v>
      </c>
      <c r="AA376" t="s">
        <v>878</v>
      </c>
      <c r="AB376" s="40" t="s">
        <v>1795</v>
      </c>
    </row>
    <row r="377" spans="1:28" x14ac:dyDescent="0.25">
      <c r="A377">
        <v>99910376</v>
      </c>
      <c r="B377" t="s">
        <v>56</v>
      </c>
      <c r="C377" t="s">
        <v>68</v>
      </c>
      <c r="D377" t="s">
        <v>69</v>
      </c>
      <c r="G377" t="s">
        <v>35</v>
      </c>
      <c r="H377">
        <v>1</v>
      </c>
      <c r="I377">
        <v>21384</v>
      </c>
      <c r="J377" s="1">
        <v>43344</v>
      </c>
      <c r="K377" t="s">
        <v>380</v>
      </c>
      <c r="L377" t="s">
        <v>381</v>
      </c>
      <c r="M377" t="s">
        <v>131</v>
      </c>
      <c r="N377">
        <v>7</v>
      </c>
      <c r="O377" s="1">
        <v>43344</v>
      </c>
      <c r="P377" t="s">
        <v>41</v>
      </c>
      <c r="Q377" t="s">
        <v>49</v>
      </c>
      <c r="R377" t="str">
        <f>"0580552"</f>
        <v>0580552</v>
      </c>
      <c r="S377" t="s">
        <v>386</v>
      </c>
      <c r="T377" t="s">
        <v>380</v>
      </c>
      <c r="U377" t="s">
        <v>381</v>
      </c>
      <c r="V377" t="s">
        <v>131</v>
      </c>
      <c r="W377" t="s">
        <v>44</v>
      </c>
      <c r="X377" t="s">
        <v>45</v>
      </c>
      <c r="Y377" s="1">
        <v>31356</v>
      </c>
      <c r="Z377">
        <v>2</v>
      </c>
      <c r="AA377" t="s">
        <v>381</v>
      </c>
      <c r="AB377" s="40" t="s">
        <v>1795</v>
      </c>
    </row>
    <row r="378" spans="1:28" x14ac:dyDescent="0.25">
      <c r="A378">
        <v>99910377</v>
      </c>
      <c r="B378" t="s">
        <v>56</v>
      </c>
      <c r="C378" t="s">
        <v>79</v>
      </c>
      <c r="D378" t="s">
        <v>80</v>
      </c>
      <c r="G378" t="s">
        <v>48</v>
      </c>
      <c r="H378">
        <v>1</v>
      </c>
      <c r="K378" t="s">
        <v>129</v>
      </c>
      <c r="L378" t="s">
        <v>130</v>
      </c>
      <c r="M378" t="s">
        <v>131</v>
      </c>
      <c r="N378">
        <v>7</v>
      </c>
      <c r="P378" t="s">
        <v>41</v>
      </c>
      <c r="Q378" t="s">
        <v>49</v>
      </c>
      <c r="R378" t="str">
        <f>"0591905"</f>
        <v>0591905</v>
      </c>
      <c r="S378" t="s">
        <v>135</v>
      </c>
      <c r="T378" t="s">
        <v>129</v>
      </c>
      <c r="U378" t="s">
        <v>130</v>
      </c>
      <c r="V378" t="s">
        <v>131</v>
      </c>
      <c r="W378" t="s">
        <v>51</v>
      </c>
      <c r="X378" t="s">
        <v>45</v>
      </c>
      <c r="Y378" s="1">
        <v>31282</v>
      </c>
      <c r="Z378">
        <v>2</v>
      </c>
      <c r="AA378" t="s">
        <v>130</v>
      </c>
      <c r="AB378" s="40" t="s">
        <v>1795</v>
      </c>
    </row>
    <row r="379" spans="1:28" x14ac:dyDescent="0.25">
      <c r="A379">
        <v>99910378</v>
      </c>
      <c r="B379" t="s">
        <v>56</v>
      </c>
      <c r="C379" t="s">
        <v>149</v>
      </c>
      <c r="D379" t="s">
        <v>150</v>
      </c>
      <c r="G379" t="s">
        <v>48</v>
      </c>
      <c r="H379">
        <v>1</v>
      </c>
      <c r="K379" t="s">
        <v>162</v>
      </c>
      <c r="L379" t="s">
        <v>158</v>
      </c>
      <c r="M379" t="s">
        <v>131</v>
      </c>
      <c r="N379">
        <v>7</v>
      </c>
      <c r="P379" t="s">
        <v>41</v>
      </c>
      <c r="Q379" t="s">
        <v>49</v>
      </c>
      <c r="R379" t="str">
        <f>"0560027"</f>
        <v>0560027</v>
      </c>
      <c r="S379" t="s">
        <v>178</v>
      </c>
      <c r="T379" t="s">
        <v>162</v>
      </c>
      <c r="U379" t="s">
        <v>158</v>
      </c>
      <c r="V379" t="s">
        <v>131</v>
      </c>
      <c r="W379" t="s">
        <v>51</v>
      </c>
      <c r="X379" t="s">
        <v>45</v>
      </c>
      <c r="Y379" s="1">
        <v>30893</v>
      </c>
      <c r="Z379">
        <v>2</v>
      </c>
      <c r="AA379" t="s">
        <v>158</v>
      </c>
      <c r="AB379" s="40" t="s">
        <v>1795</v>
      </c>
    </row>
    <row r="380" spans="1:28" x14ac:dyDescent="0.25">
      <c r="A380">
        <v>99910379</v>
      </c>
      <c r="B380" t="s">
        <v>56</v>
      </c>
      <c r="C380" t="s">
        <v>79</v>
      </c>
      <c r="D380" t="s">
        <v>80</v>
      </c>
      <c r="G380" t="s">
        <v>48</v>
      </c>
      <c r="H380">
        <v>1</v>
      </c>
      <c r="K380" t="s">
        <v>157</v>
      </c>
      <c r="L380" t="s">
        <v>158</v>
      </c>
      <c r="M380" t="s">
        <v>131</v>
      </c>
      <c r="N380">
        <v>7</v>
      </c>
      <c r="P380" t="s">
        <v>41</v>
      </c>
      <c r="Q380" t="s">
        <v>49</v>
      </c>
      <c r="R380" t="str">
        <f>"0560019"</f>
        <v>0560019</v>
      </c>
      <c r="S380" t="s">
        <v>166</v>
      </c>
      <c r="T380" t="s">
        <v>157</v>
      </c>
      <c r="U380" t="s">
        <v>158</v>
      </c>
      <c r="V380" t="s">
        <v>131</v>
      </c>
      <c r="W380" t="s">
        <v>51</v>
      </c>
      <c r="X380" t="s">
        <v>45</v>
      </c>
      <c r="Y380" s="1">
        <v>30670</v>
      </c>
      <c r="Z380">
        <v>2</v>
      </c>
      <c r="AA380" t="s">
        <v>158</v>
      </c>
      <c r="AB380" s="40" t="s">
        <v>1795</v>
      </c>
    </row>
    <row r="381" spans="1:28" x14ac:dyDescent="0.25">
      <c r="A381">
        <v>99910380</v>
      </c>
      <c r="B381" t="s">
        <v>32</v>
      </c>
      <c r="C381" t="s">
        <v>52</v>
      </c>
      <c r="D381" t="s">
        <v>53</v>
      </c>
      <c r="G381" t="s">
        <v>35</v>
      </c>
      <c r="H381">
        <v>1</v>
      </c>
      <c r="I381" t="s">
        <v>970</v>
      </c>
      <c r="J381" s="1">
        <v>43344</v>
      </c>
      <c r="K381" t="s">
        <v>947</v>
      </c>
      <c r="L381" t="s">
        <v>948</v>
      </c>
      <c r="M381" t="s">
        <v>938</v>
      </c>
      <c r="N381">
        <v>7</v>
      </c>
      <c r="O381" s="1">
        <v>43344</v>
      </c>
      <c r="P381" t="s">
        <v>41</v>
      </c>
      <c r="Q381" t="s">
        <v>42</v>
      </c>
      <c r="R381" t="str">
        <f>"0680039"</f>
        <v>0680039</v>
      </c>
      <c r="S381" t="s">
        <v>949</v>
      </c>
      <c r="T381" t="s">
        <v>947</v>
      </c>
      <c r="U381" t="s">
        <v>948</v>
      </c>
      <c r="V381" t="s">
        <v>938</v>
      </c>
      <c r="W381" t="s">
        <v>44</v>
      </c>
      <c r="X381" t="s">
        <v>45</v>
      </c>
      <c r="Y381" s="1">
        <v>30611</v>
      </c>
      <c r="Z381">
        <v>2</v>
      </c>
      <c r="AA381" t="s">
        <v>948</v>
      </c>
      <c r="AB381" s="40" t="s">
        <v>1795</v>
      </c>
    </row>
    <row r="382" spans="1:28" x14ac:dyDescent="0.25">
      <c r="A382">
        <v>99910381</v>
      </c>
      <c r="B382" t="s">
        <v>32</v>
      </c>
      <c r="C382" t="s">
        <v>85</v>
      </c>
      <c r="D382" t="s">
        <v>86</v>
      </c>
      <c r="G382" t="s">
        <v>35</v>
      </c>
      <c r="H382">
        <v>1</v>
      </c>
      <c r="I382">
        <v>18104</v>
      </c>
      <c r="J382" s="1">
        <v>43344</v>
      </c>
      <c r="K382" t="s">
        <v>345</v>
      </c>
      <c r="L382" t="s">
        <v>346</v>
      </c>
      <c r="M382" t="s">
        <v>131</v>
      </c>
      <c r="N382">
        <v>7</v>
      </c>
      <c r="O382" s="1">
        <v>43344</v>
      </c>
      <c r="P382" t="s">
        <v>41</v>
      </c>
      <c r="Q382" t="s">
        <v>367</v>
      </c>
      <c r="R382" t="str">
        <f>"0580655"</f>
        <v>0580655</v>
      </c>
      <c r="S382" t="s">
        <v>368</v>
      </c>
      <c r="T382" t="s">
        <v>345</v>
      </c>
      <c r="U382" t="s">
        <v>346</v>
      </c>
      <c r="V382" t="s">
        <v>131</v>
      </c>
      <c r="W382" t="s">
        <v>51</v>
      </c>
      <c r="X382" t="s">
        <v>45</v>
      </c>
      <c r="Y382" s="1">
        <v>30228</v>
      </c>
      <c r="Z382">
        <v>2</v>
      </c>
      <c r="AA382" t="s">
        <v>346</v>
      </c>
      <c r="AB382" s="40" t="s">
        <v>1795</v>
      </c>
    </row>
    <row r="383" spans="1:28" x14ac:dyDescent="0.25">
      <c r="A383">
        <v>99910382</v>
      </c>
      <c r="B383" t="s">
        <v>32</v>
      </c>
      <c r="C383" t="s">
        <v>1686</v>
      </c>
      <c r="D383" t="s">
        <v>1687</v>
      </c>
      <c r="G383" t="s">
        <v>35</v>
      </c>
      <c r="H383">
        <v>1</v>
      </c>
      <c r="I383" t="s">
        <v>1688</v>
      </c>
      <c r="J383" s="1">
        <v>43344</v>
      </c>
      <c r="K383" t="s">
        <v>1619</v>
      </c>
      <c r="L383" t="s">
        <v>1620</v>
      </c>
      <c r="M383" t="s">
        <v>1592</v>
      </c>
      <c r="N383">
        <v>7</v>
      </c>
      <c r="O383" s="1">
        <v>43344</v>
      </c>
      <c r="P383" t="s">
        <v>41</v>
      </c>
      <c r="Q383" t="s">
        <v>75</v>
      </c>
      <c r="R383" t="str">
        <f>"7281000"</f>
        <v>7281000</v>
      </c>
      <c r="S383" t="s">
        <v>1648</v>
      </c>
      <c r="T383" t="s">
        <v>1619</v>
      </c>
      <c r="U383" t="s">
        <v>1620</v>
      </c>
      <c r="V383" t="s">
        <v>1592</v>
      </c>
      <c r="W383" t="s">
        <v>44</v>
      </c>
      <c r="X383" t="s">
        <v>45</v>
      </c>
      <c r="Y383" s="1">
        <v>30131</v>
      </c>
      <c r="Z383">
        <v>1</v>
      </c>
      <c r="AA383" t="s">
        <v>1620</v>
      </c>
      <c r="AB383" s="40" t="s">
        <v>1795</v>
      </c>
    </row>
    <row r="384" spans="1:28" x14ac:dyDescent="0.25">
      <c r="A384">
        <v>99910383</v>
      </c>
      <c r="B384" t="s">
        <v>32</v>
      </c>
      <c r="C384" t="s">
        <v>64</v>
      </c>
      <c r="D384" t="s">
        <v>65</v>
      </c>
      <c r="G384" t="s">
        <v>35</v>
      </c>
      <c r="H384">
        <v>1</v>
      </c>
      <c r="I384" t="s">
        <v>342</v>
      </c>
      <c r="J384" s="1">
        <v>43344</v>
      </c>
      <c r="K384" t="s">
        <v>300</v>
      </c>
      <c r="L384" t="s">
        <v>301</v>
      </c>
      <c r="M384" t="s">
        <v>131</v>
      </c>
      <c r="N384">
        <v>7</v>
      </c>
      <c r="O384" s="1">
        <v>43344</v>
      </c>
      <c r="P384" t="s">
        <v>41</v>
      </c>
      <c r="Q384" t="s">
        <v>49</v>
      </c>
      <c r="R384" t="str">
        <f>"0560020"</f>
        <v>0560020</v>
      </c>
      <c r="S384" t="s">
        <v>302</v>
      </c>
      <c r="T384" t="s">
        <v>300</v>
      </c>
      <c r="U384" t="s">
        <v>301</v>
      </c>
      <c r="V384" t="s">
        <v>131</v>
      </c>
      <c r="W384" t="s">
        <v>44</v>
      </c>
      <c r="X384" t="s">
        <v>45</v>
      </c>
      <c r="Y384" s="1">
        <v>30106</v>
      </c>
      <c r="Z384">
        <v>2</v>
      </c>
      <c r="AA384" t="s">
        <v>301</v>
      </c>
      <c r="AB384" s="40" t="s">
        <v>1795</v>
      </c>
    </row>
    <row r="385" spans="1:28" x14ac:dyDescent="0.25">
      <c r="A385">
        <v>99910384</v>
      </c>
      <c r="B385" t="s">
        <v>56</v>
      </c>
      <c r="C385" t="s">
        <v>61</v>
      </c>
      <c r="D385" t="s">
        <v>62</v>
      </c>
      <c r="G385" t="s">
        <v>35</v>
      </c>
      <c r="H385">
        <v>1</v>
      </c>
      <c r="I385" t="s">
        <v>1491</v>
      </c>
      <c r="J385" s="1">
        <v>43038</v>
      </c>
      <c r="K385" t="s">
        <v>1487</v>
      </c>
      <c r="L385" t="s">
        <v>1488</v>
      </c>
      <c r="M385" t="s">
        <v>670</v>
      </c>
      <c r="N385">
        <v>7</v>
      </c>
      <c r="O385" s="1">
        <v>43344</v>
      </c>
      <c r="P385" t="s">
        <v>41</v>
      </c>
      <c r="Q385" t="s">
        <v>42</v>
      </c>
      <c r="R385" t="str">
        <f>"1780020"</f>
        <v>1780020</v>
      </c>
      <c r="S385" t="s">
        <v>1490</v>
      </c>
      <c r="T385" t="s">
        <v>1487</v>
      </c>
      <c r="U385" t="s">
        <v>1488</v>
      </c>
      <c r="V385" t="s">
        <v>670</v>
      </c>
      <c r="W385" t="s">
        <v>44</v>
      </c>
      <c r="X385" t="s">
        <v>45</v>
      </c>
      <c r="Y385" s="1">
        <v>29678</v>
      </c>
      <c r="Z385">
        <v>2</v>
      </c>
      <c r="AA385" t="s">
        <v>1488</v>
      </c>
      <c r="AB385" s="40" t="s">
        <v>1795</v>
      </c>
    </row>
    <row r="386" spans="1:28" x14ac:dyDescent="0.25">
      <c r="A386">
        <v>99910385</v>
      </c>
      <c r="B386" t="s">
        <v>32</v>
      </c>
      <c r="C386" t="s">
        <v>117</v>
      </c>
      <c r="D386" t="s">
        <v>118</v>
      </c>
      <c r="G386" t="s">
        <v>35</v>
      </c>
      <c r="H386">
        <v>1</v>
      </c>
      <c r="I386" t="s">
        <v>883</v>
      </c>
      <c r="J386" s="1">
        <v>43344</v>
      </c>
      <c r="K386" t="s">
        <v>877</v>
      </c>
      <c r="L386" t="s">
        <v>878</v>
      </c>
      <c r="M386" t="s">
        <v>131</v>
      </c>
      <c r="N386">
        <v>7</v>
      </c>
      <c r="O386" s="1">
        <v>43344</v>
      </c>
      <c r="P386" t="s">
        <v>41</v>
      </c>
      <c r="Q386" t="s">
        <v>75</v>
      </c>
      <c r="R386" t="str">
        <f>"7541020"</f>
        <v>7541020</v>
      </c>
      <c r="S386" t="s">
        <v>882</v>
      </c>
      <c r="T386" t="s">
        <v>877</v>
      </c>
      <c r="U386" t="s">
        <v>878</v>
      </c>
      <c r="V386" t="s">
        <v>131</v>
      </c>
      <c r="W386" t="s">
        <v>51</v>
      </c>
      <c r="X386" t="s">
        <v>45</v>
      </c>
      <c r="Y386" s="1">
        <v>29593</v>
      </c>
      <c r="Z386">
        <v>1</v>
      </c>
      <c r="AA386" t="s">
        <v>878</v>
      </c>
      <c r="AB386" s="40" t="s">
        <v>1795</v>
      </c>
    </row>
    <row r="387" spans="1:28" x14ac:dyDescent="0.25">
      <c r="A387">
        <v>99910386</v>
      </c>
      <c r="B387" t="s">
        <v>32</v>
      </c>
      <c r="C387" t="s">
        <v>149</v>
      </c>
      <c r="D387" t="s">
        <v>150</v>
      </c>
      <c r="G387" t="s">
        <v>35</v>
      </c>
      <c r="H387">
        <v>1</v>
      </c>
      <c r="I387" t="s">
        <v>1149</v>
      </c>
      <c r="J387" s="1">
        <v>43346</v>
      </c>
      <c r="K387" t="s">
        <v>1128</v>
      </c>
      <c r="L387" t="s">
        <v>1129</v>
      </c>
      <c r="M387" t="s">
        <v>1130</v>
      </c>
      <c r="N387">
        <v>7</v>
      </c>
      <c r="O387" s="1">
        <v>43346</v>
      </c>
      <c r="P387" t="s">
        <v>41</v>
      </c>
      <c r="Q387" t="s">
        <v>49</v>
      </c>
      <c r="R387" t="str">
        <f>"3181010"</f>
        <v>3181010</v>
      </c>
      <c r="S387" t="s">
        <v>1134</v>
      </c>
      <c r="T387" t="s">
        <v>1128</v>
      </c>
      <c r="U387" t="s">
        <v>1129</v>
      </c>
      <c r="V387" t="s">
        <v>1130</v>
      </c>
      <c r="W387" t="s">
        <v>44</v>
      </c>
      <c r="X387" t="s">
        <v>45</v>
      </c>
      <c r="Y387" s="1">
        <v>29403</v>
      </c>
      <c r="Z387">
        <v>2</v>
      </c>
      <c r="AA387" t="s">
        <v>1129</v>
      </c>
      <c r="AB387" s="40" t="s">
        <v>1795</v>
      </c>
    </row>
    <row r="388" spans="1:28" x14ac:dyDescent="0.25">
      <c r="A388">
        <v>99910387</v>
      </c>
      <c r="B388" t="s">
        <v>32</v>
      </c>
      <c r="C388" t="s">
        <v>46</v>
      </c>
      <c r="D388" t="s">
        <v>47</v>
      </c>
      <c r="G388" t="s">
        <v>48</v>
      </c>
      <c r="H388">
        <v>1</v>
      </c>
      <c r="K388" t="s">
        <v>223</v>
      </c>
      <c r="L388" t="s">
        <v>224</v>
      </c>
      <c r="M388" t="s">
        <v>131</v>
      </c>
      <c r="N388">
        <v>7</v>
      </c>
      <c r="P388" t="s">
        <v>41</v>
      </c>
      <c r="Q388" t="s">
        <v>42</v>
      </c>
      <c r="R388" t="str">
        <f>"0590910"</f>
        <v>0590910</v>
      </c>
      <c r="S388" t="s">
        <v>227</v>
      </c>
      <c r="T388" t="s">
        <v>223</v>
      </c>
      <c r="U388" t="s">
        <v>224</v>
      </c>
      <c r="V388" t="s">
        <v>131</v>
      </c>
      <c r="W388" t="s">
        <v>51</v>
      </c>
      <c r="X388" t="s">
        <v>45</v>
      </c>
      <c r="Y388" s="1">
        <v>29266</v>
      </c>
      <c r="Z388">
        <v>2</v>
      </c>
      <c r="AA388" t="s">
        <v>224</v>
      </c>
      <c r="AB388" s="40" t="s">
        <v>1795</v>
      </c>
    </row>
    <row r="389" spans="1:28" x14ac:dyDescent="0.25">
      <c r="A389">
        <v>99910388</v>
      </c>
      <c r="B389" t="s">
        <v>56</v>
      </c>
      <c r="C389" t="s">
        <v>143</v>
      </c>
      <c r="D389" t="s">
        <v>144</v>
      </c>
      <c r="G389" t="s">
        <v>48</v>
      </c>
      <c r="H389">
        <v>1</v>
      </c>
      <c r="K389" t="s">
        <v>345</v>
      </c>
      <c r="L389" t="s">
        <v>346</v>
      </c>
      <c r="M389" t="s">
        <v>131</v>
      </c>
      <c r="N389">
        <v>7</v>
      </c>
      <c r="P389" t="s">
        <v>41</v>
      </c>
      <c r="Q389" t="s">
        <v>42</v>
      </c>
      <c r="R389" t="str">
        <f>"0580650"</f>
        <v>0580650</v>
      </c>
      <c r="S389" t="s">
        <v>356</v>
      </c>
      <c r="T389" t="s">
        <v>345</v>
      </c>
      <c r="U389" t="s">
        <v>346</v>
      </c>
      <c r="V389" t="s">
        <v>131</v>
      </c>
      <c r="W389" t="s">
        <v>51</v>
      </c>
      <c r="X389" t="s">
        <v>45</v>
      </c>
      <c r="Y389" s="1">
        <v>29221</v>
      </c>
      <c r="Z389">
        <v>2</v>
      </c>
      <c r="AA389" t="s">
        <v>346</v>
      </c>
      <c r="AB389" s="40" t="s">
        <v>1795</v>
      </c>
    </row>
    <row r="390" spans="1:28" x14ac:dyDescent="0.25">
      <c r="A390">
        <v>99910389</v>
      </c>
      <c r="B390" t="s">
        <v>32</v>
      </c>
      <c r="C390" t="s">
        <v>71</v>
      </c>
      <c r="D390" t="s">
        <v>72</v>
      </c>
      <c r="G390" t="s">
        <v>35</v>
      </c>
      <c r="H390">
        <v>1</v>
      </c>
      <c r="K390" t="s">
        <v>431</v>
      </c>
      <c r="L390" t="s">
        <v>196</v>
      </c>
      <c r="M390" t="s">
        <v>131</v>
      </c>
      <c r="N390">
        <v>7</v>
      </c>
      <c r="P390" t="s">
        <v>41</v>
      </c>
      <c r="Q390" t="s">
        <v>75</v>
      </c>
      <c r="R390" t="str">
        <f>"7521060"</f>
        <v>7521060</v>
      </c>
      <c r="S390" t="s">
        <v>501</v>
      </c>
      <c r="T390" t="s">
        <v>431</v>
      </c>
      <c r="U390" t="s">
        <v>196</v>
      </c>
      <c r="V390" t="s">
        <v>131</v>
      </c>
      <c r="W390" t="s">
        <v>44</v>
      </c>
      <c r="X390" t="s">
        <v>45</v>
      </c>
      <c r="Y390" s="1">
        <v>29120</v>
      </c>
      <c r="Z390">
        <v>1</v>
      </c>
      <c r="AA390" t="s">
        <v>196</v>
      </c>
      <c r="AB390" s="40" t="s">
        <v>1795</v>
      </c>
    </row>
    <row r="391" spans="1:28" x14ac:dyDescent="0.25">
      <c r="A391">
        <v>99910390</v>
      </c>
      <c r="B391" t="s">
        <v>56</v>
      </c>
      <c r="C391" t="s">
        <v>58</v>
      </c>
      <c r="D391" t="s">
        <v>59</v>
      </c>
      <c r="G391" t="s">
        <v>48</v>
      </c>
      <c r="H391">
        <v>1</v>
      </c>
      <c r="K391" t="s">
        <v>1613</v>
      </c>
      <c r="L391" t="s">
        <v>1614</v>
      </c>
      <c r="M391" t="s">
        <v>1592</v>
      </c>
      <c r="N391">
        <v>7</v>
      </c>
      <c r="P391" t="s">
        <v>41</v>
      </c>
      <c r="Q391" t="s">
        <v>42</v>
      </c>
      <c r="R391" t="str">
        <f>"2861001"</f>
        <v>2861001</v>
      </c>
      <c r="S391" t="s">
        <v>1621</v>
      </c>
      <c r="T391" t="s">
        <v>1613</v>
      </c>
      <c r="U391" t="s">
        <v>1614</v>
      </c>
      <c r="V391" t="s">
        <v>1592</v>
      </c>
      <c r="W391" t="s">
        <v>51</v>
      </c>
      <c r="X391" t="s">
        <v>45</v>
      </c>
      <c r="Y391" s="1">
        <v>29055</v>
      </c>
      <c r="Z391">
        <v>2</v>
      </c>
      <c r="AA391" t="s">
        <v>1614</v>
      </c>
      <c r="AB391" s="40" t="s">
        <v>1795</v>
      </c>
    </row>
    <row r="392" spans="1:28" x14ac:dyDescent="0.25">
      <c r="A392">
        <v>99910391</v>
      </c>
      <c r="B392" t="s">
        <v>56</v>
      </c>
      <c r="C392" t="s">
        <v>61</v>
      </c>
      <c r="D392" t="s">
        <v>62</v>
      </c>
      <c r="G392" t="s">
        <v>35</v>
      </c>
      <c r="H392">
        <v>1</v>
      </c>
      <c r="K392" t="s">
        <v>947</v>
      </c>
      <c r="L392" t="s">
        <v>948</v>
      </c>
      <c r="M392" t="s">
        <v>938</v>
      </c>
      <c r="N392">
        <v>7</v>
      </c>
      <c r="P392" t="s">
        <v>41</v>
      </c>
      <c r="Q392" t="s">
        <v>42</v>
      </c>
      <c r="R392" t="str">
        <f>"0680039"</f>
        <v>0680039</v>
      </c>
      <c r="S392" t="s">
        <v>949</v>
      </c>
      <c r="T392" t="s">
        <v>947</v>
      </c>
      <c r="U392" t="s">
        <v>948</v>
      </c>
      <c r="V392" t="s">
        <v>938</v>
      </c>
      <c r="W392" t="s">
        <v>51</v>
      </c>
      <c r="X392" t="s">
        <v>45</v>
      </c>
      <c r="Y392" s="1">
        <v>28877</v>
      </c>
      <c r="Z392">
        <v>2</v>
      </c>
      <c r="AA392" t="s">
        <v>948</v>
      </c>
      <c r="AB392" s="40" t="s">
        <v>1795</v>
      </c>
    </row>
    <row r="393" spans="1:28" x14ac:dyDescent="0.25">
      <c r="A393">
        <v>99910392</v>
      </c>
      <c r="B393" t="s">
        <v>56</v>
      </c>
      <c r="C393" t="s">
        <v>68</v>
      </c>
      <c r="D393" t="s">
        <v>69</v>
      </c>
      <c r="G393" t="s">
        <v>35</v>
      </c>
      <c r="H393">
        <v>1</v>
      </c>
      <c r="I393">
        <v>22882</v>
      </c>
      <c r="J393" s="1">
        <v>43027</v>
      </c>
      <c r="K393" t="s">
        <v>380</v>
      </c>
      <c r="L393" t="s">
        <v>381</v>
      </c>
      <c r="M393" t="s">
        <v>131</v>
      </c>
      <c r="N393">
        <v>7</v>
      </c>
      <c r="O393" s="1">
        <v>43027</v>
      </c>
      <c r="P393" t="s">
        <v>41</v>
      </c>
      <c r="Q393" t="s">
        <v>49</v>
      </c>
      <c r="R393" t="str">
        <f>"0561020"</f>
        <v>0561020</v>
      </c>
      <c r="S393" t="s">
        <v>390</v>
      </c>
      <c r="T393" t="s">
        <v>380</v>
      </c>
      <c r="U393" t="s">
        <v>381</v>
      </c>
      <c r="V393" t="s">
        <v>131</v>
      </c>
      <c r="W393" t="s">
        <v>44</v>
      </c>
      <c r="X393" t="s">
        <v>45</v>
      </c>
      <c r="Y393" s="1">
        <v>28856</v>
      </c>
      <c r="Z393">
        <v>2</v>
      </c>
      <c r="AA393" t="s">
        <v>381</v>
      </c>
      <c r="AB393" s="40" t="s">
        <v>1795</v>
      </c>
    </row>
    <row r="394" spans="1:28" x14ac:dyDescent="0.25">
      <c r="A394">
        <v>99910393</v>
      </c>
      <c r="B394" t="s">
        <v>56</v>
      </c>
      <c r="C394" t="s">
        <v>52</v>
      </c>
      <c r="D394" t="s">
        <v>53</v>
      </c>
      <c r="G394" t="s">
        <v>35</v>
      </c>
      <c r="H394">
        <v>1</v>
      </c>
      <c r="K394" t="s">
        <v>223</v>
      </c>
      <c r="L394" t="s">
        <v>224</v>
      </c>
      <c r="M394" t="s">
        <v>131</v>
      </c>
      <c r="N394">
        <v>7</v>
      </c>
      <c r="P394" t="s">
        <v>41</v>
      </c>
      <c r="Q394" t="s">
        <v>42</v>
      </c>
      <c r="R394" t="str">
        <f>"0580396"</f>
        <v>0580396</v>
      </c>
      <c r="S394" t="s">
        <v>255</v>
      </c>
      <c r="T394" t="s">
        <v>223</v>
      </c>
      <c r="U394" t="s">
        <v>224</v>
      </c>
      <c r="V394" t="s">
        <v>131</v>
      </c>
      <c r="W394" t="s">
        <v>51</v>
      </c>
      <c r="X394" t="s">
        <v>45</v>
      </c>
      <c r="Y394" s="1">
        <v>28509</v>
      </c>
      <c r="Z394">
        <v>2</v>
      </c>
      <c r="AA394" t="s">
        <v>224</v>
      </c>
      <c r="AB394" s="40" t="s">
        <v>1795</v>
      </c>
    </row>
    <row r="395" spans="1:28" x14ac:dyDescent="0.25">
      <c r="A395">
        <v>99910394</v>
      </c>
      <c r="B395" t="s">
        <v>32</v>
      </c>
      <c r="C395" t="s">
        <v>52</v>
      </c>
      <c r="D395" t="s">
        <v>53</v>
      </c>
      <c r="G395" t="s">
        <v>35</v>
      </c>
      <c r="H395">
        <v>1</v>
      </c>
      <c r="I395" t="s">
        <v>955</v>
      </c>
      <c r="J395" s="1">
        <v>43353</v>
      </c>
      <c r="K395" t="s">
        <v>947</v>
      </c>
      <c r="L395" t="s">
        <v>948</v>
      </c>
      <c r="M395" t="s">
        <v>938</v>
      </c>
      <c r="N395">
        <v>7</v>
      </c>
      <c r="O395" s="1">
        <v>43353</v>
      </c>
      <c r="P395" t="s">
        <v>41</v>
      </c>
      <c r="Q395" t="s">
        <v>953</v>
      </c>
      <c r="R395" t="str">
        <f>"0610801"</f>
        <v>0610801</v>
      </c>
      <c r="S395" t="s">
        <v>954</v>
      </c>
      <c r="T395" t="s">
        <v>947</v>
      </c>
      <c r="U395" t="s">
        <v>948</v>
      </c>
      <c r="V395" t="s">
        <v>938</v>
      </c>
      <c r="W395" t="s">
        <v>44</v>
      </c>
      <c r="X395" t="s">
        <v>45</v>
      </c>
      <c r="Y395" s="1">
        <v>28292</v>
      </c>
      <c r="Z395">
        <v>2</v>
      </c>
      <c r="AA395" t="s">
        <v>948</v>
      </c>
      <c r="AB395" s="40" t="s">
        <v>1795</v>
      </c>
    </row>
    <row r="396" spans="1:28" x14ac:dyDescent="0.25">
      <c r="A396">
        <v>99910395</v>
      </c>
      <c r="B396" t="s">
        <v>32</v>
      </c>
      <c r="C396" t="s">
        <v>139</v>
      </c>
      <c r="D396" t="s">
        <v>140</v>
      </c>
      <c r="G396" t="s">
        <v>88</v>
      </c>
      <c r="H396">
        <v>3</v>
      </c>
      <c r="I396" t="s">
        <v>214</v>
      </c>
      <c r="J396" s="1">
        <v>41153</v>
      </c>
      <c r="K396" t="s">
        <v>157</v>
      </c>
      <c r="L396" t="s">
        <v>158</v>
      </c>
      <c r="M396" t="s">
        <v>131</v>
      </c>
      <c r="N396">
        <v>7</v>
      </c>
      <c r="O396" s="1">
        <v>41153</v>
      </c>
      <c r="P396" t="s">
        <v>41</v>
      </c>
      <c r="Q396" t="s">
        <v>49</v>
      </c>
      <c r="R396" t="str">
        <f>"0560006"</f>
        <v>0560006</v>
      </c>
      <c r="S396" t="s">
        <v>191</v>
      </c>
      <c r="T396" t="s">
        <v>157</v>
      </c>
      <c r="U396" t="s">
        <v>158</v>
      </c>
      <c r="V396" t="s">
        <v>131</v>
      </c>
      <c r="W396" t="s">
        <v>51</v>
      </c>
      <c r="X396" t="s">
        <v>45</v>
      </c>
      <c r="Y396" s="1">
        <v>28012</v>
      </c>
      <c r="Z396">
        <v>2</v>
      </c>
      <c r="AA396" t="s">
        <v>158</v>
      </c>
      <c r="AB396" s="40" t="s">
        <v>1795</v>
      </c>
    </row>
    <row r="397" spans="1:28" x14ac:dyDescent="0.25">
      <c r="A397">
        <v>99910396</v>
      </c>
      <c r="B397" t="s">
        <v>56</v>
      </c>
      <c r="C397" t="s">
        <v>52</v>
      </c>
      <c r="D397" t="s">
        <v>53</v>
      </c>
      <c r="G397" t="s">
        <v>48</v>
      </c>
      <c r="H397">
        <v>1</v>
      </c>
      <c r="K397" t="s">
        <v>223</v>
      </c>
      <c r="L397" t="s">
        <v>224</v>
      </c>
      <c r="M397" t="s">
        <v>131</v>
      </c>
      <c r="N397">
        <v>7</v>
      </c>
      <c r="P397" t="s">
        <v>41</v>
      </c>
      <c r="Q397" t="s">
        <v>42</v>
      </c>
      <c r="R397" t="str">
        <f>"0561007"</f>
        <v>0561007</v>
      </c>
      <c r="S397" t="s">
        <v>262</v>
      </c>
      <c r="T397" t="s">
        <v>223</v>
      </c>
      <c r="U397" t="s">
        <v>224</v>
      </c>
      <c r="V397" t="s">
        <v>131</v>
      </c>
      <c r="W397" t="s">
        <v>51</v>
      </c>
      <c r="X397" t="s">
        <v>45</v>
      </c>
      <c r="Y397" s="1">
        <v>27926</v>
      </c>
      <c r="Z397">
        <v>2</v>
      </c>
      <c r="AA397" t="s">
        <v>224</v>
      </c>
      <c r="AB397" s="40" t="s">
        <v>1795</v>
      </c>
    </row>
    <row r="398" spans="1:28" x14ac:dyDescent="0.25">
      <c r="A398">
        <v>99910397</v>
      </c>
      <c r="B398" t="s">
        <v>32</v>
      </c>
      <c r="C398" t="s">
        <v>143</v>
      </c>
      <c r="D398" t="s">
        <v>144</v>
      </c>
      <c r="G398" t="s">
        <v>48</v>
      </c>
      <c r="H398">
        <v>1</v>
      </c>
      <c r="K398" t="s">
        <v>162</v>
      </c>
      <c r="L398" t="s">
        <v>158</v>
      </c>
      <c r="M398" t="s">
        <v>131</v>
      </c>
      <c r="N398">
        <v>7</v>
      </c>
      <c r="P398" t="s">
        <v>41</v>
      </c>
      <c r="Q398" t="s">
        <v>49</v>
      </c>
      <c r="R398" t="str">
        <f>"0560027"</f>
        <v>0560027</v>
      </c>
      <c r="S398" t="s">
        <v>178</v>
      </c>
      <c r="T398" t="s">
        <v>162</v>
      </c>
      <c r="U398" t="s">
        <v>158</v>
      </c>
      <c r="V398" t="s">
        <v>131</v>
      </c>
      <c r="W398" t="s">
        <v>51</v>
      </c>
      <c r="X398" t="s">
        <v>45</v>
      </c>
      <c r="Y398" s="1">
        <v>27084</v>
      </c>
      <c r="Z398">
        <v>2</v>
      </c>
      <c r="AA398" t="s">
        <v>158</v>
      </c>
      <c r="AB398" s="40" t="s">
        <v>1795</v>
      </c>
    </row>
    <row r="399" spans="1:28" x14ac:dyDescent="0.25">
      <c r="A399">
        <v>99910398</v>
      </c>
      <c r="B399" t="s">
        <v>56</v>
      </c>
      <c r="C399" t="s">
        <v>46</v>
      </c>
      <c r="D399" t="s">
        <v>47</v>
      </c>
      <c r="E399" t="s">
        <v>85</v>
      </c>
      <c r="F399" t="s">
        <v>86</v>
      </c>
      <c r="G399" t="s">
        <v>48</v>
      </c>
      <c r="H399">
        <v>1</v>
      </c>
      <c r="K399" t="s">
        <v>162</v>
      </c>
      <c r="L399" t="s">
        <v>158</v>
      </c>
      <c r="M399" t="s">
        <v>131</v>
      </c>
      <c r="N399">
        <v>7</v>
      </c>
      <c r="P399" t="s">
        <v>41</v>
      </c>
      <c r="Q399" t="s">
        <v>49</v>
      </c>
      <c r="R399" t="str">
        <f>"0581350"</f>
        <v>0581350</v>
      </c>
      <c r="S399" t="s">
        <v>187</v>
      </c>
      <c r="T399" t="s">
        <v>162</v>
      </c>
      <c r="U399" t="s">
        <v>158</v>
      </c>
      <c r="V399" t="s">
        <v>131</v>
      </c>
      <c r="W399" t="s">
        <v>51</v>
      </c>
      <c r="X399" t="s">
        <v>45</v>
      </c>
      <c r="Y399" s="1">
        <v>27030</v>
      </c>
      <c r="Z399">
        <v>2</v>
      </c>
      <c r="AA399" t="s">
        <v>158</v>
      </c>
      <c r="AB399" s="40" t="s">
        <v>1795</v>
      </c>
    </row>
    <row r="400" spans="1:28" x14ac:dyDescent="0.25">
      <c r="A400">
        <v>99910399</v>
      </c>
      <c r="B400" t="s">
        <v>32</v>
      </c>
      <c r="C400" t="s">
        <v>64</v>
      </c>
      <c r="D400" t="s">
        <v>65</v>
      </c>
      <c r="G400" t="s">
        <v>35</v>
      </c>
      <c r="H400">
        <v>1</v>
      </c>
      <c r="I400">
        <v>0</v>
      </c>
      <c r="J400" s="1">
        <v>43344</v>
      </c>
      <c r="K400" t="s">
        <v>223</v>
      </c>
      <c r="L400" t="s">
        <v>224</v>
      </c>
      <c r="M400" t="s">
        <v>131</v>
      </c>
      <c r="N400">
        <v>7</v>
      </c>
      <c r="O400" s="1">
        <v>43344</v>
      </c>
      <c r="P400" t="s">
        <v>41</v>
      </c>
      <c r="Q400" t="s">
        <v>49</v>
      </c>
      <c r="R400" t="str">
        <f>"0591901"</f>
        <v>0591901</v>
      </c>
      <c r="S400" t="s">
        <v>230</v>
      </c>
      <c r="T400" t="s">
        <v>223</v>
      </c>
      <c r="U400" t="s">
        <v>224</v>
      </c>
      <c r="V400" t="s">
        <v>131</v>
      </c>
      <c r="W400" t="s">
        <v>44</v>
      </c>
      <c r="X400" t="s">
        <v>45</v>
      </c>
      <c r="Y400" s="1">
        <v>27030</v>
      </c>
      <c r="Z400">
        <v>2</v>
      </c>
      <c r="AA400" t="s">
        <v>224</v>
      </c>
      <c r="AB400" s="40" t="s">
        <v>1795</v>
      </c>
    </row>
    <row r="401" spans="1:28" x14ac:dyDescent="0.25">
      <c r="A401">
        <v>99910400</v>
      </c>
      <c r="B401" t="s">
        <v>32</v>
      </c>
      <c r="C401" t="s">
        <v>145</v>
      </c>
      <c r="D401" t="s">
        <v>146</v>
      </c>
      <c r="G401" t="s">
        <v>48</v>
      </c>
      <c r="H401">
        <v>1</v>
      </c>
      <c r="K401" t="s">
        <v>936</v>
      </c>
      <c r="L401" t="s">
        <v>937</v>
      </c>
      <c r="M401" t="s">
        <v>938</v>
      </c>
      <c r="N401">
        <v>7</v>
      </c>
      <c r="P401" t="s">
        <v>41</v>
      </c>
      <c r="Q401" t="s">
        <v>49</v>
      </c>
      <c r="R401" t="str">
        <f>"0160075"</f>
        <v>0160075</v>
      </c>
      <c r="S401" t="s">
        <v>939</v>
      </c>
      <c r="T401" t="s">
        <v>936</v>
      </c>
      <c r="U401" t="s">
        <v>937</v>
      </c>
      <c r="V401" t="s">
        <v>938</v>
      </c>
      <c r="W401" t="s">
        <v>51</v>
      </c>
      <c r="X401" t="s">
        <v>45</v>
      </c>
      <c r="Y401" s="1">
        <v>26588</v>
      </c>
      <c r="Z401">
        <v>2</v>
      </c>
      <c r="AA401" t="s">
        <v>937</v>
      </c>
      <c r="AB401" s="40" t="s">
        <v>1795</v>
      </c>
    </row>
    <row r="402" spans="1:28" x14ac:dyDescent="0.25">
      <c r="A402">
        <v>99910401</v>
      </c>
      <c r="B402" t="s">
        <v>56</v>
      </c>
      <c r="C402" t="s">
        <v>68</v>
      </c>
      <c r="D402" t="s">
        <v>69</v>
      </c>
      <c r="G402" t="s">
        <v>48</v>
      </c>
      <c r="H402">
        <v>1</v>
      </c>
      <c r="K402" t="s">
        <v>380</v>
      </c>
      <c r="L402" t="s">
        <v>381</v>
      </c>
      <c r="M402" t="s">
        <v>131</v>
      </c>
      <c r="N402">
        <v>7</v>
      </c>
      <c r="P402" t="s">
        <v>41</v>
      </c>
      <c r="Q402" t="s">
        <v>49</v>
      </c>
      <c r="R402" t="str">
        <f>"0581575"</f>
        <v>0581575</v>
      </c>
      <c r="S402" t="s">
        <v>392</v>
      </c>
      <c r="T402" t="s">
        <v>380</v>
      </c>
      <c r="U402" t="s">
        <v>381</v>
      </c>
      <c r="V402" t="s">
        <v>131</v>
      </c>
      <c r="W402" t="s">
        <v>51</v>
      </c>
      <c r="X402" t="s">
        <v>45</v>
      </c>
      <c r="Y402" s="1">
        <v>26219</v>
      </c>
      <c r="Z402">
        <v>2</v>
      </c>
      <c r="AA402" t="s">
        <v>381</v>
      </c>
      <c r="AB402" s="40" t="s">
        <v>1795</v>
      </c>
    </row>
    <row r="403" spans="1:28" x14ac:dyDescent="0.25">
      <c r="A403">
        <v>99910402</v>
      </c>
      <c r="B403" t="s">
        <v>56</v>
      </c>
      <c r="C403" t="s">
        <v>68</v>
      </c>
      <c r="D403" t="s">
        <v>69</v>
      </c>
      <c r="G403" t="s">
        <v>48</v>
      </c>
      <c r="H403">
        <v>1</v>
      </c>
      <c r="K403" t="s">
        <v>345</v>
      </c>
      <c r="L403" t="s">
        <v>346</v>
      </c>
      <c r="M403" t="s">
        <v>131</v>
      </c>
      <c r="N403">
        <v>7</v>
      </c>
      <c r="P403" t="s">
        <v>41</v>
      </c>
      <c r="Q403" t="s">
        <v>42</v>
      </c>
      <c r="R403" t="str">
        <f>"0580605"</f>
        <v>0580605</v>
      </c>
      <c r="S403" t="s">
        <v>362</v>
      </c>
      <c r="T403" t="s">
        <v>345</v>
      </c>
      <c r="U403" t="s">
        <v>346</v>
      </c>
      <c r="V403" t="s">
        <v>131</v>
      </c>
      <c r="W403" t="s">
        <v>51</v>
      </c>
      <c r="X403" t="s">
        <v>45</v>
      </c>
      <c r="Y403" s="1">
        <v>25646</v>
      </c>
      <c r="Z403">
        <v>2</v>
      </c>
      <c r="AA403" t="s">
        <v>346</v>
      </c>
      <c r="AB403" s="40" t="s">
        <v>1795</v>
      </c>
    </row>
    <row r="404" spans="1:28" x14ac:dyDescent="0.25">
      <c r="A404">
        <v>99910403</v>
      </c>
      <c r="B404" t="s">
        <v>56</v>
      </c>
      <c r="C404" t="s">
        <v>79</v>
      </c>
      <c r="D404" t="s">
        <v>80</v>
      </c>
      <c r="G404" t="s">
        <v>35</v>
      </c>
      <c r="H404">
        <v>1</v>
      </c>
      <c r="K404" t="s">
        <v>162</v>
      </c>
      <c r="L404" t="s">
        <v>158</v>
      </c>
      <c r="M404" t="s">
        <v>131</v>
      </c>
      <c r="N404">
        <v>7</v>
      </c>
      <c r="P404" t="s">
        <v>41</v>
      </c>
      <c r="Q404" t="s">
        <v>42</v>
      </c>
      <c r="R404" t="str">
        <f>"0580330"</f>
        <v>0580330</v>
      </c>
      <c r="S404" t="s">
        <v>176</v>
      </c>
      <c r="T404" t="s">
        <v>162</v>
      </c>
      <c r="U404" t="s">
        <v>158</v>
      </c>
      <c r="V404" t="s">
        <v>131</v>
      </c>
      <c r="W404" t="s">
        <v>51</v>
      </c>
      <c r="X404" t="s">
        <v>45</v>
      </c>
      <c r="Y404" s="1">
        <v>25443</v>
      </c>
      <c r="Z404">
        <v>2</v>
      </c>
      <c r="AA404" t="s">
        <v>158</v>
      </c>
      <c r="AB404" s="40" t="s">
        <v>1795</v>
      </c>
    </row>
    <row r="405" spans="1:28" x14ac:dyDescent="0.25">
      <c r="A405">
        <v>99910404</v>
      </c>
      <c r="B405" t="s">
        <v>56</v>
      </c>
      <c r="C405" t="s">
        <v>79</v>
      </c>
      <c r="D405" t="s">
        <v>80</v>
      </c>
      <c r="G405" t="s">
        <v>48</v>
      </c>
      <c r="H405">
        <v>1</v>
      </c>
      <c r="K405" t="s">
        <v>162</v>
      </c>
      <c r="L405" t="s">
        <v>158</v>
      </c>
      <c r="M405" t="s">
        <v>131</v>
      </c>
      <c r="N405">
        <v>7</v>
      </c>
      <c r="P405" t="s">
        <v>41</v>
      </c>
      <c r="Q405" t="s">
        <v>49</v>
      </c>
      <c r="R405" t="str">
        <f>"0560027"</f>
        <v>0560027</v>
      </c>
      <c r="S405" t="s">
        <v>178</v>
      </c>
      <c r="T405" t="s">
        <v>162</v>
      </c>
      <c r="U405" t="s">
        <v>158</v>
      </c>
      <c r="V405" t="s">
        <v>131</v>
      </c>
      <c r="W405" t="s">
        <v>51</v>
      </c>
      <c r="X405" t="s">
        <v>45</v>
      </c>
      <c r="Y405" s="1">
        <v>25366</v>
      </c>
      <c r="Z405">
        <v>2</v>
      </c>
      <c r="AA405" t="s">
        <v>158</v>
      </c>
      <c r="AB405" s="40" t="s">
        <v>1795</v>
      </c>
    </row>
    <row r="406" spans="1:28" x14ac:dyDescent="0.25">
      <c r="A406">
        <v>99910405</v>
      </c>
      <c r="B406" t="s">
        <v>32</v>
      </c>
      <c r="C406" t="s">
        <v>46</v>
      </c>
      <c r="D406" t="s">
        <v>47</v>
      </c>
      <c r="G406" t="s">
        <v>48</v>
      </c>
      <c r="H406">
        <v>1</v>
      </c>
      <c r="K406" t="s">
        <v>380</v>
      </c>
      <c r="L406" t="s">
        <v>381</v>
      </c>
      <c r="M406" t="s">
        <v>131</v>
      </c>
      <c r="N406">
        <v>7</v>
      </c>
      <c r="P406" t="s">
        <v>41</v>
      </c>
      <c r="Q406" t="s">
        <v>49</v>
      </c>
      <c r="R406" t="str">
        <f>"0591908"</f>
        <v>0591908</v>
      </c>
      <c r="S406" t="s">
        <v>383</v>
      </c>
      <c r="T406" t="s">
        <v>380</v>
      </c>
      <c r="U406" t="s">
        <v>381</v>
      </c>
      <c r="V406" t="s">
        <v>131</v>
      </c>
      <c r="W406" t="s">
        <v>51</v>
      </c>
      <c r="X406" t="s">
        <v>45</v>
      </c>
      <c r="Y406" s="1">
        <v>25350</v>
      </c>
      <c r="Z406">
        <v>2</v>
      </c>
      <c r="AA406" t="s">
        <v>381</v>
      </c>
      <c r="AB406" s="40" t="s">
        <v>1795</v>
      </c>
    </row>
    <row r="407" spans="1:28" x14ac:dyDescent="0.25">
      <c r="A407">
        <v>99910406</v>
      </c>
      <c r="B407" t="s">
        <v>32</v>
      </c>
      <c r="C407" t="s">
        <v>68</v>
      </c>
      <c r="D407" t="s">
        <v>69</v>
      </c>
      <c r="G407" t="s">
        <v>35</v>
      </c>
      <c r="H407">
        <v>1</v>
      </c>
      <c r="I407">
        <v>22882</v>
      </c>
      <c r="J407" s="1">
        <v>43027</v>
      </c>
      <c r="K407" t="s">
        <v>380</v>
      </c>
      <c r="L407" t="s">
        <v>381</v>
      </c>
      <c r="M407" t="s">
        <v>131</v>
      </c>
      <c r="N407">
        <v>7</v>
      </c>
      <c r="O407" s="1">
        <v>43027</v>
      </c>
      <c r="P407" t="s">
        <v>41</v>
      </c>
      <c r="Q407" t="s">
        <v>49</v>
      </c>
      <c r="R407" t="str">
        <f>"0561020"</f>
        <v>0561020</v>
      </c>
      <c r="S407" t="s">
        <v>390</v>
      </c>
      <c r="T407" t="s">
        <v>380</v>
      </c>
      <c r="U407" t="s">
        <v>381</v>
      </c>
      <c r="V407" t="s">
        <v>131</v>
      </c>
      <c r="W407" t="s">
        <v>44</v>
      </c>
      <c r="X407" t="s">
        <v>45</v>
      </c>
      <c r="Y407" s="1">
        <v>25121</v>
      </c>
      <c r="Z407">
        <v>2</v>
      </c>
      <c r="AA407" t="s">
        <v>381</v>
      </c>
      <c r="AB407" s="40" t="s">
        <v>1795</v>
      </c>
    </row>
    <row r="408" spans="1:28" x14ac:dyDescent="0.25">
      <c r="A408">
        <v>99910407</v>
      </c>
      <c r="B408" t="s">
        <v>32</v>
      </c>
      <c r="C408" t="s">
        <v>141</v>
      </c>
      <c r="D408" t="s">
        <v>142</v>
      </c>
      <c r="G408" t="s">
        <v>35</v>
      </c>
      <c r="H408">
        <v>1</v>
      </c>
      <c r="K408" t="s">
        <v>1581</v>
      </c>
      <c r="L408" t="s">
        <v>1582</v>
      </c>
      <c r="M408" t="s">
        <v>1548</v>
      </c>
      <c r="N408">
        <v>7</v>
      </c>
      <c r="P408" t="s">
        <v>41</v>
      </c>
      <c r="Q408" t="s">
        <v>75</v>
      </c>
      <c r="R408" t="str">
        <f>"7291000"</f>
        <v>7291000</v>
      </c>
      <c r="S408" t="s">
        <v>1584</v>
      </c>
      <c r="T408" t="s">
        <v>1581</v>
      </c>
      <c r="U408" t="s">
        <v>1582</v>
      </c>
      <c r="V408" t="s">
        <v>1548</v>
      </c>
      <c r="W408" t="s">
        <v>51</v>
      </c>
      <c r="X408" t="s">
        <v>45</v>
      </c>
      <c r="Y408" s="1">
        <v>24808</v>
      </c>
      <c r="Z408">
        <v>1</v>
      </c>
      <c r="AA408" t="s">
        <v>1582</v>
      </c>
      <c r="AB408" s="40" t="s">
        <v>1795</v>
      </c>
    </row>
    <row r="409" spans="1:28" x14ac:dyDescent="0.25">
      <c r="A409">
        <v>99910408</v>
      </c>
      <c r="B409" t="s">
        <v>56</v>
      </c>
      <c r="C409" t="s">
        <v>68</v>
      </c>
      <c r="D409" t="s">
        <v>69</v>
      </c>
      <c r="G409" t="s">
        <v>48</v>
      </c>
      <c r="H409">
        <v>10</v>
      </c>
      <c r="K409" t="s">
        <v>1268</v>
      </c>
      <c r="L409" t="s">
        <v>1269</v>
      </c>
      <c r="M409" t="s">
        <v>1270</v>
      </c>
      <c r="N409">
        <v>7</v>
      </c>
      <c r="P409" t="s">
        <v>41</v>
      </c>
      <c r="Q409" t="s">
        <v>49</v>
      </c>
      <c r="R409" t="str">
        <f>"1981911"</f>
        <v>1981911</v>
      </c>
      <c r="S409" t="s">
        <v>1286</v>
      </c>
      <c r="T409" t="s">
        <v>1268</v>
      </c>
      <c r="U409" t="s">
        <v>1269</v>
      </c>
      <c r="V409" t="s">
        <v>1270</v>
      </c>
      <c r="W409" t="s">
        <v>51</v>
      </c>
      <c r="X409" t="s">
        <v>45</v>
      </c>
      <c r="Y409" s="1">
        <v>24219</v>
      </c>
      <c r="Z409">
        <v>2</v>
      </c>
      <c r="AA409" t="s">
        <v>1269</v>
      </c>
      <c r="AB409" s="40" t="s">
        <v>1795</v>
      </c>
    </row>
    <row r="410" spans="1:28" x14ac:dyDescent="0.25">
      <c r="A410">
        <v>99910409</v>
      </c>
      <c r="B410" t="s">
        <v>32</v>
      </c>
      <c r="C410" t="s">
        <v>46</v>
      </c>
      <c r="D410" t="s">
        <v>47</v>
      </c>
      <c r="G410" t="s">
        <v>35</v>
      </c>
      <c r="H410">
        <v>1</v>
      </c>
      <c r="I410">
        <v>0</v>
      </c>
      <c r="J410" s="1">
        <v>43344</v>
      </c>
      <c r="K410" t="s">
        <v>223</v>
      </c>
      <c r="L410" t="s">
        <v>224</v>
      </c>
      <c r="M410" t="s">
        <v>131</v>
      </c>
      <c r="N410">
        <v>7</v>
      </c>
      <c r="O410" s="1">
        <v>43344</v>
      </c>
      <c r="P410" t="s">
        <v>41</v>
      </c>
      <c r="Q410" t="s">
        <v>42</v>
      </c>
      <c r="R410" t="str">
        <f>"0590907"</f>
        <v>0590907</v>
      </c>
      <c r="S410" t="s">
        <v>285</v>
      </c>
      <c r="T410" t="s">
        <v>223</v>
      </c>
      <c r="U410" t="s">
        <v>224</v>
      </c>
      <c r="V410" t="s">
        <v>131</v>
      </c>
      <c r="W410" t="s">
        <v>51</v>
      </c>
      <c r="X410" t="s">
        <v>45</v>
      </c>
      <c r="Y410" s="1">
        <v>24141</v>
      </c>
      <c r="Z410">
        <v>2</v>
      </c>
      <c r="AA410" t="s">
        <v>224</v>
      </c>
      <c r="AB410" s="40" t="s">
        <v>1795</v>
      </c>
    </row>
    <row r="411" spans="1:28" x14ac:dyDescent="0.25">
      <c r="A411">
        <v>99910410</v>
      </c>
      <c r="B411" t="s">
        <v>56</v>
      </c>
      <c r="C411" t="s">
        <v>79</v>
      </c>
      <c r="D411" t="s">
        <v>80</v>
      </c>
      <c r="G411" t="s">
        <v>35</v>
      </c>
      <c r="H411">
        <v>1</v>
      </c>
      <c r="K411" t="s">
        <v>223</v>
      </c>
      <c r="L411" t="s">
        <v>224</v>
      </c>
      <c r="M411" t="s">
        <v>131</v>
      </c>
      <c r="N411">
        <v>7</v>
      </c>
      <c r="P411" t="s">
        <v>41</v>
      </c>
      <c r="Q411" t="s">
        <v>49</v>
      </c>
      <c r="R411" t="str">
        <f>"0581207"</f>
        <v>0581207</v>
      </c>
      <c r="S411" t="s">
        <v>233</v>
      </c>
      <c r="T411" t="s">
        <v>223</v>
      </c>
      <c r="U411" t="s">
        <v>224</v>
      </c>
      <c r="V411" t="s">
        <v>131</v>
      </c>
      <c r="W411" t="s">
        <v>165</v>
      </c>
      <c r="X411" t="s">
        <v>45</v>
      </c>
      <c r="Y411" s="1">
        <v>24012</v>
      </c>
      <c r="Z411">
        <v>2</v>
      </c>
      <c r="AA411" t="s">
        <v>224</v>
      </c>
      <c r="AB411" s="40" t="s">
        <v>1795</v>
      </c>
    </row>
    <row r="412" spans="1:28" x14ac:dyDescent="0.25">
      <c r="A412">
        <v>99910411</v>
      </c>
      <c r="B412" t="s">
        <v>56</v>
      </c>
      <c r="C412" t="s">
        <v>85</v>
      </c>
      <c r="D412" t="s">
        <v>86</v>
      </c>
      <c r="G412" t="s">
        <v>48</v>
      </c>
      <c r="H412">
        <v>1</v>
      </c>
      <c r="K412" t="s">
        <v>223</v>
      </c>
      <c r="L412" t="s">
        <v>224</v>
      </c>
      <c r="M412" t="s">
        <v>131</v>
      </c>
      <c r="N412">
        <v>7</v>
      </c>
      <c r="P412" t="s">
        <v>41</v>
      </c>
      <c r="Q412" t="s">
        <v>49</v>
      </c>
      <c r="R412" t="str">
        <f>"0540902"</f>
        <v>0540902</v>
      </c>
      <c r="S412" t="s">
        <v>256</v>
      </c>
      <c r="T412" t="s">
        <v>223</v>
      </c>
      <c r="U412" t="s">
        <v>224</v>
      </c>
      <c r="V412" t="s">
        <v>131</v>
      </c>
      <c r="W412" t="s">
        <v>51</v>
      </c>
      <c r="X412" t="s">
        <v>45</v>
      </c>
      <c r="Y412" s="1">
        <v>23542</v>
      </c>
      <c r="Z412">
        <v>2</v>
      </c>
      <c r="AA412" t="s">
        <v>224</v>
      </c>
      <c r="AB412" s="40" t="s">
        <v>1795</v>
      </c>
    </row>
    <row r="413" spans="1:28" x14ac:dyDescent="0.25">
      <c r="A413">
        <v>99910412</v>
      </c>
      <c r="B413" t="s">
        <v>56</v>
      </c>
      <c r="C413" t="s">
        <v>61</v>
      </c>
      <c r="D413" t="s">
        <v>62</v>
      </c>
      <c r="E413" t="s">
        <v>68</v>
      </c>
      <c r="F413" t="s">
        <v>69</v>
      </c>
      <c r="G413" t="s">
        <v>48</v>
      </c>
      <c r="H413">
        <v>13</v>
      </c>
      <c r="K413" t="s">
        <v>345</v>
      </c>
      <c r="L413" t="s">
        <v>346</v>
      </c>
      <c r="M413" t="s">
        <v>131</v>
      </c>
      <c r="N413">
        <v>7</v>
      </c>
      <c r="P413" t="s">
        <v>41</v>
      </c>
      <c r="Q413" t="s">
        <v>42</v>
      </c>
      <c r="R413" t="str">
        <f>"0561019"</f>
        <v>0561019</v>
      </c>
      <c r="S413" t="s">
        <v>351</v>
      </c>
      <c r="T413" t="s">
        <v>345</v>
      </c>
      <c r="U413" t="s">
        <v>346</v>
      </c>
      <c r="V413" t="s">
        <v>131</v>
      </c>
      <c r="W413" t="s">
        <v>51</v>
      </c>
      <c r="X413" t="s">
        <v>45</v>
      </c>
      <c r="Y413" s="1">
        <v>23479</v>
      </c>
      <c r="Z413">
        <v>2</v>
      </c>
      <c r="AA413" t="s">
        <v>346</v>
      </c>
      <c r="AB413" s="40" t="s">
        <v>1795</v>
      </c>
    </row>
    <row r="414" spans="1:28" x14ac:dyDescent="0.25">
      <c r="A414">
        <v>99910413</v>
      </c>
      <c r="B414" t="s">
        <v>32</v>
      </c>
      <c r="C414" t="s">
        <v>68</v>
      </c>
      <c r="D414" t="s">
        <v>69</v>
      </c>
      <c r="G414" t="s">
        <v>35</v>
      </c>
      <c r="H414">
        <v>1</v>
      </c>
      <c r="K414" t="s">
        <v>157</v>
      </c>
      <c r="L414" t="s">
        <v>158</v>
      </c>
      <c r="M414" t="s">
        <v>131</v>
      </c>
      <c r="N414">
        <v>7</v>
      </c>
      <c r="P414" t="s">
        <v>41</v>
      </c>
      <c r="Q414" t="s">
        <v>49</v>
      </c>
      <c r="R414" t="str">
        <f>"0581725"</f>
        <v>0581725</v>
      </c>
      <c r="S414" t="s">
        <v>161</v>
      </c>
      <c r="T414" t="s">
        <v>157</v>
      </c>
      <c r="U414" t="s">
        <v>158</v>
      </c>
      <c r="V414" t="s">
        <v>131</v>
      </c>
      <c r="W414" t="s">
        <v>51</v>
      </c>
      <c r="X414" t="s">
        <v>45</v>
      </c>
      <c r="Y414" s="1">
        <v>22725</v>
      </c>
      <c r="Z414">
        <v>2</v>
      </c>
      <c r="AA414" t="s">
        <v>158</v>
      </c>
      <c r="AB414" s="40" t="s">
        <v>1795</v>
      </c>
    </row>
    <row r="415" spans="1:28" x14ac:dyDescent="0.25">
      <c r="A415">
        <v>99910414</v>
      </c>
      <c r="B415" t="s">
        <v>56</v>
      </c>
      <c r="C415" t="s">
        <v>33</v>
      </c>
      <c r="D415" t="s">
        <v>34</v>
      </c>
      <c r="G415" t="s">
        <v>48</v>
      </c>
      <c r="H415">
        <v>1</v>
      </c>
      <c r="K415" t="s">
        <v>162</v>
      </c>
      <c r="L415" t="s">
        <v>158</v>
      </c>
      <c r="M415" t="s">
        <v>131</v>
      </c>
      <c r="N415">
        <v>7</v>
      </c>
      <c r="P415" t="s">
        <v>41</v>
      </c>
      <c r="Q415" t="s">
        <v>42</v>
      </c>
      <c r="R415" t="str">
        <f>"0580310"</f>
        <v>0580310</v>
      </c>
      <c r="S415" t="s">
        <v>173</v>
      </c>
      <c r="T415" t="s">
        <v>162</v>
      </c>
      <c r="U415" t="s">
        <v>158</v>
      </c>
      <c r="V415" t="s">
        <v>131</v>
      </c>
      <c r="W415" t="s">
        <v>51</v>
      </c>
      <c r="X415" t="s">
        <v>45</v>
      </c>
      <c r="Y415" s="1">
        <v>22463</v>
      </c>
      <c r="Z415">
        <v>2</v>
      </c>
      <c r="AA415" t="s">
        <v>158</v>
      </c>
      <c r="AB415" s="40" t="s">
        <v>1795</v>
      </c>
    </row>
    <row r="416" spans="1:28" x14ac:dyDescent="0.25">
      <c r="A416">
        <v>99910415</v>
      </c>
      <c r="B416" t="s">
        <v>56</v>
      </c>
      <c r="C416" t="s">
        <v>33</v>
      </c>
      <c r="D416" t="s">
        <v>34</v>
      </c>
      <c r="G416" t="s">
        <v>48</v>
      </c>
      <c r="H416">
        <v>1</v>
      </c>
      <c r="K416" t="s">
        <v>223</v>
      </c>
      <c r="L416" t="s">
        <v>224</v>
      </c>
      <c r="M416" t="s">
        <v>131</v>
      </c>
      <c r="N416">
        <v>7</v>
      </c>
      <c r="P416" t="s">
        <v>41</v>
      </c>
      <c r="Q416" t="s">
        <v>42</v>
      </c>
      <c r="R416" t="str">
        <f>"0590910"</f>
        <v>0590910</v>
      </c>
      <c r="S416" t="s">
        <v>227</v>
      </c>
      <c r="T416" t="s">
        <v>223</v>
      </c>
      <c r="U416" t="s">
        <v>224</v>
      </c>
      <c r="V416" t="s">
        <v>131</v>
      </c>
      <c r="W416" t="s">
        <v>51</v>
      </c>
      <c r="X416" t="s">
        <v>45</v>
      </c>
      <c r="Y416" s="1">
        <v>22427</v>
      </c>
      <c r="Z416">
        <v>2</v>
      </c>
      <c r="AA416" t="s">
        <v>224</v>
      </c>
      <c r="AB416" s="40" t="s">
        <v>1795</v>
      </c>
    </row>
    <row r="417" spans="1:28" x14ac:dyDescent="0.25">
      <c r="A417">
        <v>99910416</v>
      </c>
      <c r="B417" t="s">
        <v>32</v>
      </c>
      <c r="C417" t="s">
        <v>46</v>
      </c>
      <c r="D417" t="s">
        <v>47</v>
      </c>
      <c r="G417" t="s">
        <v>48</v>
      </c>
      <c r="H417">
        <v>1</v>
      </c>
      <c r="K417" t="s">
        <v>1268</v>
      </c>
      <c r="L417" t="s">
        <v>1269</v>
      </c>
      <c r="M417" t="s">
        <v>1270</v>
      </c>
      <c r="N417">
        <v>7</v>
      </c>
      <c r="P417" t="s">
        <v>41</v>
      </c>
      <c r="Q417" t="s">
        <v>49</v>
      </c>
      <c r="R417" t="str">
        <f>"1981914"</f>
        <v>1981914</v>
      </c>
      <c r="S417" t="s">
        <v>1287</v>
      </c>
      <c r="T417" t="s">
        <v>1268</v>
      </c>
      <c r="U417" t="s">
        <v>1269</v>
      </c>
      <c r="V417" t="s">
        <v>1270</v>
      </c>
      <c r="W417" t="s">
        <v>51</v>
      </c>
      <c r="X417" t="s">
        <v>45</v>
      </c>
      <c r="Y417" s="1">
        <v>22401</v>
      </c>
      <c r="Z417">
        <v>2</v>
      </c>
      <c r="AA417" t="s">
        <v>1269</v>
      </c>
      <c r="AB417" s="40" t="s">
        <v>1795</v>
      </c>
    </row>
    <row r="418" spans="1:28" x14ac:dyDescent="0.25">
      <c r="A418">
        <v>99910417</v>
      </c>
      <c r="B418" t="s">
        <v>32</v>
      </c>
      <c r="C418" t="s">
        <v>52</v>
      </c>
      <c r="D418" t="s">
        <v>53</v>
      </c>
      <c r="G418" t="s">
        <v>48</v>
      </c>
      <c r="H418">
        <v>1</v>
      </c>
      <c r="K418" t="s">
        <v>223</v>
      </c>
      <c r="L418" t="s">
        <v>224</v>
      </c>
      <c r="M418" t="s">
        <v>131</v>
      </c>
      <c r="N418">
        <v>7</v>
      </c>
      <c r="P418" t="s">
        <v>41</v>
      </c>
      <c r="Q418" t="s">
        <v>49</v>
      </c>
      <c r="R418" t="str">
        <f>"0581207"</f>
        <v>0581207</v>
      </c>
      <c r="S418" t="s">
        <v>233</v>
      </c>
      <c r="T418" t="s">
        <v>223</v>
      </c>
      <c r="U418" t="s">
        <v>224</v>
      </c>
      <c r="V418" t="s">
        <v>131</v>
      </c>
      <c r="W418" t="s">
        <v>51</v>
      </c>
      <c r="X418" t="s">
        <v>45</v>
      </c>
      <c r="Y418" s="1">
        <v>21665</v>
      </c>
      <c r="Z418">
        <v>2</v>
      </c>
      <c r="AA418" t="s">
        <v>224</v>
      </c>
      <c r="AB418" s="40" t="s">
        <v>1795</v>
      </c>
    </row>
    <row r="419" spans="1:28" x14ac:dyDescent="0.25">
      <c r="A419">
        <v>99910418</v>
      </c>
      <c r="B419" t="s">
        <v>56</v>
      </c>
      <c r="C419" t="s">
        <v>68</v>
      </c>
      <c r="D419" t="s">
        <v>69</v>
      </c>
      <c r="G419" t="s">
        <v>35</v>
      </c>
      <c r="H419">
        <v>1</v>
      </c>
      <c r="K419" t="s">
        <v>1268</v>
      </c>
      <c r="L419" t="s">
        <v>1269</v>
      </c>
      <c r="M419" t="s">
        <v>1270</v>
      </c>
      <c r="N419">
        <v>7</v>
      </c>
      <c r="P419" t="s">
        <v>41</v>
      </c>
      <c r="Q419" t="s">
        <v>42</v>
      </c>
      <c r="R419" t="str">
        <f>"1990914"</f>
        <v>1990914</v>
      </c>
      <c r="S419" t="s">
        <v>1275</v>
      </c>
      <c r="T419" t="s">
        <v>1268</v>
      </c>
      <c r="U419" t="s">
        <v>1269</v>
      </c>
      <c r="V419" t="s">
        <v>1270</v>
      </c>
      <c r="W419" t="s">
        <v>51</v>
      </c>
      <c r="X419" t="s">
        <v>45</v>
      </c>
      <c r="Y419" s="1">
        <v>20633</v>
      </c>
      <c r="Z419">
        <v>2</v>
      </c>
      <c r="AA419" t="s">
        <v>1269</v>
      </c>
      <c r="AB419" s="40" t="s">
        <v>1795</v>
      </c>
    </row>
    <row r="420" spans="1:28" x14ac:dyDescent="0.25">
      <c r="A420">
        <v>99910419</v>
      </c>
      <c r="B420" t="s">
        <v>32</v>
      </c>
      <c r="C420" t="s">
        <v>85</v>
      </c>
      <c r="D420" t="s">
        <v>86</v>
      </c>
      <c r="G420" t="s">
        <v>35</v>
      </c>
      <c r="H420">
        <v>1</v>
      </c>
      <c r="K420" t="s">
        <v>157</v>
      </c>
      <c r="L420" t="s">
        <v>158</v>
      </c>
      <c r="M420" t="s">
        <v>131</v>
      </c>
      <c r="N420">
        <v>7</v>
      </c>
      <c r="P420" t="s">
        <v>41</v>
      </c>
      <c r="Q420" t="s">
        <v>42</v>
      </c>
      <c r="R420" t="str">
        <f>"0580250"</f>
        <v>0580250</v>
      </c>
      <c r="S420" t="s">
        <v>160</v>
      </c>
      <c r="T420" t="s">
        <v>157</v>
      </c>
      <c r="U420" t="s">
        <v>158</v>
      </c>
      <c r="V420" t="s">
        <v>131</v>
      </c>
      <c r="W420" t="s">
        <v>51</v>
      </c>
      <c r="X420" t="s">
        <v>45</v>
      </c>
      <c r="Z420">
        <v>2</v>
      </c>
      <c r="AA420" t="s">
        <v>158</v>
      </c>
      <c r="AB420" s="40" t="s">
        <v>1795</v>
      </c>
    </row>
    <row r="421" spans="1:28" x14ac:dyDescent="0.25">
      <c r="A421">
        <v>99910420</v>
      </c>
      <c r="B421" t="s">
        <v>56</v>
      </c>
      <c r="C421" t="s">
        <v>85</v>
      </c>
      <c r="D421" t="s">
        <v>86</v>
      </c>
      <c r="G421" t="s">
        <v>35</v>
      </c>
      <c r="H421">
        <v>1</v>
      </c>
      <c r="K421" t="s">
        <v>157</v>
      </c>
      <c r="L421" t="s">
        <v>158</v>
      </c>
      <c r="M421" t="s">
        <v>131</v>
      </c>
      <c r="N421">
        <v>7</v>
      </c>
      <c r="P421" t="s">
        <v>41</v>
      </c>
      <c r="Q421" t="s">
        <v>49</v>
      </c>
      <c r="R421" t="str">
        <f>"0560011"</f>
        <v>0560011</v>
      </c>
      <c r="S421" t="s">
        <v>185</v>
      </c>
      <c r="T421" t="s">
        <v>157</v>
      </c>
      <c r="U421" t="s">
        <v>158</v>
      </c>
      <c r="V421" t="s">
        <v>131</v>
      </c>
      <c r="W421" t="s">
        <v>165</v>
      </c>
      <c r="X421" t="s">
        <v>45</v>
      </c>
      <c r="Z421">
        <v>2</v>
      </c>
      <c r="AA421" t="s">
        <v>158</v>
      </c>
      <c r="AB421" s="40" t="s">
        <v>1795</v>
      </c>
    </row>
    <row r="422" spans="1:28" x14ac:dyDescent="0.25">
      <c r="A422">
        <v>99910421</v>
      </c>
      <c r="B422" t="s">
        <v>32</v>
      </c>
      <c r="C422" t="s">
        <v>46</v>
      </c>
      <c r="D422" t="s">
        <v>47</v>
      </c>
      <c r="G422" t="s">
        <v>35</v>
      </c>
      <c r="H422">
        <v>1</v>
      </c>
      <c r="K422" t="s">
        <v>300</v>
      </c>
      <c r="L422" t="s">
        <v>301</v>
      </c>
      <c r="M422" t="s">
        <v>131</v>
      </c>
      <c r="N422">
        <v>7</v>
      </c>
      <c r="P422" t="s">
        <v>41</v>
      </c>
      <c r="Q422" t="s">
        <v>42</v>
      </c>
      <c r="R422" t="str">
        <f>"0580457"</f>
        <v>0580457</v>
      </c>
      <c r="S422" t="s">
        <v>310</v>
      </c>
      <c r="T422" t="s">
        <v>300</v>
      </c>
      <c r="U422" t="s">
        <v>301</v>
      </c>
      <c r="V422" t="s">
        <v>131</v>
      </c>
      <c r="W422" t="s">
        <v>51</v>
      </c>
      <c r="X422" t="s">
        <v>45</v>
      </c>
      <c r="Z422">
        <v>2</v>
      </c>
      <c r="AA422" t="s">
        <v>301</v>
      </c>
      <c r="AB422" s="40" t="s">
        <v>1795</v>
      </c>
    </row>
    <row r="423" spans="1:28" x14ac:dyDescent="0.25">
      <c r="A423">
        <v>99910422</v>
      </c>
      <c r="B423" t="s">
        <v>32</v>
      </c>
      <c r="C423" t="s">
        <v>141</v>
      </c>
      <c r="D423" t="s">
        <v>142</v>
      </c>
      <c r="G423" t="s">
        <v>35</v>
      </c>
      <c r="H423">
        <v>1</v>
      </c>
      <c r="K423" t="s">
        <v>268</v>
      </c>
      <c r="L423" t="s">
        <v>269</v>
      </c>
      <c r="M423" t="s">
        <v>131</v>
      </c>
      <c r="N423">
        <v>7</v>
      </c>
      <c r="P423" t="s">
        <v>41</v>
      </c>
      <c r="Q423" t="s">
        <v>75</v>
      </c>
      <c r="R423" t="str">
        <f>"7052036"</f>
        <v>7052036</v>
      </c>
      <c r="S423" t="s">
        <v>679</v>
      </c>
      <c r="T423" t="s">
        <v>268</v>
      </c>
      <c r="U423" t="s">
        <v>269</v>
      </c>
      <c r="V423" t="s">
        <v>131</v>
      </c>
      <c r="W423" t="s">
        <v>51</v>
      </c>
      <c r="X423" t="s">
        <v>45</v>
      </c>
      <c r="Z423">
        <v>1</v>
      </c>
      <c r="AA423" t="s">
        <v>269</v>
      </c>
      <c r="AB423" s="40" t="s">
        <v>1795</v>
      </c>
    </row>
    <row r="424" spans="1:28" x14ac:dyDescent="0.25">
      <c r="A424">
        <v>99910423</v>
      </c>
      <c r="B424" t="s">
        <v>56</v>
      </c>
      <c r="C424" t="s">
        <v>61</v>
      </c>
      <c r="D424" t="s">
        <v>62</v>
      </c>
      <c r="G424" t="s">
        <v>35</v>
      </c>
      <c r="H424">
        <v>1</v>
      </c>
      <c r="K424" t="s">
        <v>1268</v>
      </c>
      <c r="L424" t="s">
        <v>1269</v>
      </c>
      <c r="M424" t="s">
        <v>1270</v>
      </c>
      <c r="N424">
        <v>7</v>
      </c>
      <c r="P424" t="s">
        <v>41</v>
      </c>
      <c r="Q424" t="s">
        <v>42</v>
      </c>
      <c r="R424" t="str">
        <f>"1980030"</f>
        <v>1980030</v>
      </c>
      <c r="S424" t="s">
        <v>1289</v>
      </c>
      <c r="T424" t="s">
        <v>1268</v>
      </c>
      <c r="U424" t="s">
        <v>1269</v>
      </c>
      <c r="V424" t="s">
        <v>1270</v>
      </c>
      <c r="W424" t="s">
        <v>51</v>
      </c>
      <c r="X424" t="s">
        <v>45</v>
      </c>
      <c r="Z424">
        <v>2</v>
      </c>
      <c r="AA424" t="s">
        <v>1269</v>
      </c>
      <c r="AB424" s="40" t="s">
        <v>1795</v>
      </c>
    </row>
    <row r="425" spans="1:28" x14ac:dyDescent="0.25">
      <c r="A425">
        <v>99910424</v>
      </c>
      <c r="B425" t="s">
        <v>32</v>
      </c>
      <c r="C425" t="s">
        <v>46</v>
      </c>
      <c r="D425" t="s">
        <v>47</v>
      </c>
      <c r="G425" t="s">
        <v>48</v>
      </c>
      <c r="H425">
        <v>9</v>
      </c>
      <c r="K425" t="s">
        <v>223</v>
      </c>
      <c r="L425" t="s">
        <v>224</v>
      </c>
      <c r="M425" t="s">
        <v>131</v>
      </c>
      <c r="N425">
        <v>8</v>
      </c>
      <c r="P425" t="s">
        <v>41</v>
      </c>
      <c r="Q425" t="s">
        <v>49</v>
      </c>
      <c r="R425" t="str">
        <f>"0561022"</f>
        <v>0561022</v>
      </c>
      <c r="S425" t="s">
        <v>225</v>
      </c>
      <c r="T425" t="s">
        <v>223</v>
      </c>
      <c r="U425" t="s">
        <v>224</v>
      </c>
      <c r="V425" t="s">
        <v>131</v>
      </c>
      <c r="W425" t="s">
        <v>51</v>
      </c>
      <c r="X425" t="s">
        <v>45</v>
      </c>
      <c r="Y425" s="1">
        <v>36526</v>
      </c>
      <c r="Z425">
        <v>2</v>
      </c>
      <c r="AA425" t="s">
        <v>224</v>
      </c>
      <c r="AB425" s="40" t="s">
        <v>1795</v>
      </c>
    </row>
    <row r="426" spans="1:28" x14ac:dyDescent="0.25">
      <c r="A426">
        <v>99910425</v>
      </c>
      <c r="B426" t="s">
        <v>32</v>
      </c>
      <c r="C426" t="s">
        <v>79</v>
      </c>
      <c r="D426" t="s">
        <v>80</v>
      </c>
      <c r="G426" t="s">
        <v>35</v>
      </c>
      <c r="H426">
        <v>1</v>
      </c>
      <c r="I426">
        <v>4616</v>
      </c>
      <c r="J426" s="1">
        <v>43350</v>
      </c>
      <c r="K426" t="s">
        <v>919</v>
      </c>
      <c r="L426" t="s">
        <v>920</v>
      </c>
      <c r="M426" t="s">
        <v>921</v>
      </c>
      <c r="N426">
        <v>8</v>
      </c>
      <c r="O426" s="1">
        <v>43350</v>
      </c>
      <c r="P426" t="s">
        <v>41</v>
      </c>
      <c r="Q426" t="s">
        <v>922</v>
      </c>
      <c r="R426" t="str">
        <f>"5162001"</f>
        <v>5162001</v>
      </c>
      <c r="S426" t="s">
        <v>923</v>
      </c>
      <c r="T426" t="s">
        <v>919</v>
      </c>
      <c r="U426" t="s">
        <v>920</v>
      </c>
      <c r="V426" t="s">
        <v>921</v>
      </c>
      <c r="W426" t="s">
        <v>44</v>
      </c>
      <c r="X426" t="s">
        <v>45</v>
      </c>
      <c r="Y426" s="1">
        <v>34879</v>
      </c>
      <c r="Z426">
        <v>2</v>
      </c>
      <c r="AA426" t="s">
        <v>920</v>
      </c>
      <c r="AB426" s="40" t="s">
        <v>1795</v>
      </c>
    </row>
    <row r="427" spans="1:28" x14ac:dyDescent="0.25">
      <c r="A427">
        <v>99910426</v>
      </c>
      <c r="B427" t="s">
        <v>32</v>
      </c>
      <c r="C427" t="s">
        <v>64</v>
      </c>
      <c r="D427" t="s">
        <v>65</v>
      </c>
      <c r="G427" t="s">
        <v>35</v>
      </c>
      <c r="H427">
        <v>1</v>
      </c>
      <c r="I427" s="1">
        <v>43361</v>
      </c>
      <c r="J427" s="1">
        <v>43344</v>
      </c>
      <c r="K427" t="s">
        <v>1341</v>
      </c>
      <c r="L427" t="s">
        <v>1342</v>
      </c>
      <c r="M427" t="s">
        <v>1270</v>
      </c>
      <c r="N427">
        <v>8</v>
      </c>
      <c r="O427" s="1">
        <v>43344</v>
      </c>
      <c r="P427" t="s">
        <v>41</v>
      </c>
      <c r="Q427" t="s">
        <v>75</v>
      </c>
      <c r="R427" t="str">
        <f>"7191034"</f>
        <v>7191034</v>
      </c>
      <c r="S427" t="s">
        <v>1343</v>
      </c>
      <c r="T427" t="s">
        <v>1341</v>
      </c>
      <c r="U427" t="s">
        <v>1342</v>
      </c>
      <c r="V427" t="s">
        <v>1270</v>
      </c>
      <c r="W427" t="s">
        <v>44</v>
      </c>
      <c r="X427" t="s">
        <v>45</v>
      </c>
      <c r="Y427" s="1">
        <v>34544</v>
      </c>
      <c r="Z427">
        <v>1</v>
      </c>
      <c r="AA427" t="s">
        <v>1342</v>
      </c>
      <c r="AB427" s="40" t="s">
        <v>1795</v>
      </c>
    </row>
    <row r="428" spans="1:28" x14ac:dyDescent="0.25">
      <c r="A428">
        <v>99910427</v>
      </c>
      <c r="B428" t="s">
        <v>32</v>
      </c>
      <c r="C428" t="s">
        <v>52</v>
      </c>
      <c r="D428" t="s">
        <v>53</v>
      </c>
      <c r="G428" t="s">
        <v>35</v>
      </c>
      <c r="H428">
        <v>1</v>
      </c>
      <c r="I428">
        <v>16353</v>
      </c>
      <c r="J428" s="1">
        <v>43344</v>
      </c>
      <c r="K428" t="s">
        <v>1306</v>
      </c>
      <c r="L428" t="s">
        <v>1307</v>
      </c>
      <c r="M428" t="s">
        <v>1270</v>
      </c>
      <c r="N428">
        <v>8</v>
      </c>
      <c r="O428" s="1">
        <v>43344</v>
      </c>
      <c r="P428" t="s">
        <v>41</v>
      </c>
      <c r="Q428" t="s">
        <v>49</v>
      </c>
      <c r="R428" t="str">
        <f>"1991915"</f>
        <v>1991915</v>
      </c>
      <c r="S428" t="s">
        <v>1316</v>
      </c>
      <c r="T428" t="s">
        <v>1306</v>
      </c>
      <c r="U428" t="s">
        <v>1307</v>
      </c>
      <c r="V428" t="s">
        <v>1270</v>
      </c>
      <c r="W428" t="s">
        <v>44</v>
      </c>
      <c r="X428" t="s">
        <v>45</v>
      </c>
      <c r="Y428" s="1">
        <v>33990</v>
      </c>
      <c r="Z428">
        <v>2</v>
      </c>
      <c r="AA428" t="s">
        <v>1307</v>
      </c>
      <c r="AB428" s="40" t="s">
        <v>1795</v>
      </c>
    </row>
    <row r="429" spans="1:28" x14ac:dyDescent="0.25">
      <c r="A429">
        <v>99910428</v>
      </c>
      <c r="B429" t="s">
        <v>32</v>
      </c>
      <c r="C429" t="s">
        <v>64</v>
      </c>
      <c r="D429" t="s">
        <v>65</v>
      </c>
      <c r="G429" t="s">
        <v>35</v>
      </c>
      <c r="H429">
        <v>1</v>
      </c>
      <c r="I429" t="s">
        <v>1535</v>
      </c>
      <c r="J429" s="1">
        <v>43344</v>
      </c>
      <c r="K429" t="s">
        <v>667</v>
      </c>
      <c r="L429" t="s">
        <v>669</v>
      </c>
      <c r="M429" t="s">
        <v>670</v>
      </c>
      <c r="N429">
        <v>8</v>
      </c>
      <c r="O429" s="1">
        <v>43344</v>
      </c>
      <c r="P429" t="s">
        <v>41</v>
      </c>
      <c r="Q429" t="s">
        <v>75</v>
      </c>
      <c r="R429" t="str">
        <f>"7501002"</f>
        <v>7501002</v>
      </c>
      <c r="S429" t="s">
        <v>1519</v>
      </c>
      <c r="T429" t="s">
        <v>667</v>
      </c>
      <c r="U429" t="s">
        <v>669</v>
      </c>
      <c r="V429" t="s">
        <v>670</v>
      </c>
      <c r="W429" t="s">
        <v>44</v>
      </c>
      <c r="X429" t="s">
        <v>45</v>
      </c>
      <c r="Y429" s="1">
        <v>33456</v>
      </c>
      <c r="Z429">
        <v>1</v>
      </c>
      <c r="AA429" t="s">
        <v>669</v>
      </c>
      <c r="AB429" s="40" t="s">
        <v>1795</v>
      </c>
    </row>
    <row r="430" spans="1:28" x14ac:dyDescent="0.25">
      <c r="A430">
        <v>99910429</v>
      </c>
      <c r="B430" t="s">
        <v>32</v>
      </c>
      <c r="C430" t="s">
        <v>90</v>
      </c>
      <c r="D430" t="s">
        <v>91</v>
      </c>
      <c r="G430" t="s">
        <v>48</v>
      </c>
      <c r="H430">
        <v>1</v>
      </c>
      <c r="K430" t="s">
        <v>431</v>
      </c>
      <c r="L430" t="s">
        <v>196</v>
      </c>
      <c r="M430" t="s">
        <v>131</v>
      </c>
      <c r="N430">
        <v>8</v>
      </c>
      <c r="P430" t="s">
        <v>41</v>
      </c>
      <c r="Q430" t="s">
        <v>95</v>
      </c>
      <c r="R430" t="str">
        <f>"7521145"</f>
        <v>7521145</v>
      </c>
      <c r="S430" t="s">
        <v>460</v>
      </c>
      <c r="T430" t="s">
        <v>431</v>
      </c>
      <c r="U430" t="s">
        <v>196</v>
      </c>
      <c r="V430" t="s">
        <v>131</v>
      </c>
      <c r="W430" t="s">
        <v>51</v>
      </c>
      <c r="X430" t="s">
        <v>45</v>
      </c>
      <c r="Y430" s="1">
        <v>32816</v>
      </c>
      <c r="Z430">
        <v>1</v>
      </c>
      <c r="AA430" t="s">
        <v>196</v>
      </c>
      <c r="AB430" s="40" t="s">
        <v>1795</v>
      </c>
    </row>
    <row r="431" spans="1:28" x14ac:dyDescent="0.25">
      <c r="A431">
        <v>99910430</v>
      </c>
      <c r="B431" t="s">
        <v>32</v>
      </c>
      <c r="C431" t="s">
        <v>71</v>
      </c>
      <c r="D431" t="s">
        <v>72</v>
      </c>
      <c r="G431" t="s">
        <v>35</v>
      </c>
      <c r="H431">
        <v>1</v>
      </c>
      <c r="I431" t="s">
        <v>1518</v>
      </c>
      <c r="J431" s="1">
        <v>43344</v>
      </c>
      <c r="K431" t="s">
        <v>667</v>
      </c>
      <c r="L431" t="s">
        <v>669</v>
      </c>
      <c r="M431" t="s">
        <v>670</v>
      </c>
      <c r="N431">
        <v>8</v>
      </c>
      <c r="O431" s="1">
        <v>43344</v>
      </c>
      <c r="P431" t="s">
        <v>41</v>
      </c>
      <c r="Q431" t="s">
        <v>75</v>
      </c>
      <c r="R431" t="str">
        <f>"7501002"</f>
        <v>7501002</v>
      </c>
      <c r="S431" t="s">
        <v>1519</v>
      </c>
      <c r="T431" t="s">
        <v>667</v>
      </c>
      <c r="U431" t="s">
        <v>669</v>
      </c>
      <c r="V431" t="s">
        <v>670</v>
      </c>
      <c r="W431" t="s">
        <v>51</v>
      </c>
      <c r="X431" t="s">
        <v>45</v>
      </c>
      <c r="Y431" s="1">
        <v>32812</v>
      </c>
      <c r="Z431">
        <v>1</v>
      </c>
      <c r="AA431" t="s">
        <v>669</v>
      </c>
      <c r="AB431" s="40" t="s">
        <v>1795</v>
      </c>
    </row>
    <row r="432" spans="1:28" x14ac:dyDescent="0.25">
      <c r="A432">
        <v>99910431</v>
      </c>
      <c r="B432" t="s">
        <v>32</v>
      </c>
      <c r="C432" t="s">
        <v>90</v>
      </c>
      <c r="D432" t="s">
        <v>91</v>
      </c>
      <c r="G432" t="s">
        <v>48</v>
      </c>
      <c r="H432">
        <v>1</v>
      </c>
      <c r="K432" t="s">
        <v>1341</v>
      </c>
      <c r="L432" t="s">
        <v>1342</v>
      </c>
      <c r="M432" t="s">
        <v>1270</v>
      </c>
      <c r="N432">
        <v>8</v>
      </c>
      <c r="P432" t="s">
        <v>41</v>
      </c>
      <c r="Q432" t="s">
        <v>95</v>
      </c>
      <c r="R432" t="str">
        <f>"7191089"</f>
        <v>7191089</v>
      </c>
      <c r="S432" t="s">
        <v>1410</v>
      </c>
      <c r="T432" t="s">
        <v>1341</v>
      </c>
      <c r="U432" t="s">
        <v>1342</v>
      </c>
      <c r="V432" t="s">
        <v>1270</v>
      </c>
      <c r="W432" t="s">
        <v>51</v>
      </c>
      <c r="X432" t="s">
        <v>45</v>
      </c>
      <c r="Y432" s="1">
        <v>32201</v>
      </c>
      <c r="Z432">
        <v>1</v>
      </c>
      <c r="AA432" t="s">
        <v>1342</v>
      </c>
      <c r="AB432" s="40" t="s">
        <v>1795</v>
      </c>
    </row>
    <row r="433" spans="1:28" x14ac:dyDescent="0.25">
      <c r="A433">
        <v>99910432</v>
      </c>
      <c r="B433" t="s">
        <v>32</v>
      </c>
      <c r="C433" t="s">
        <v>64</v>
      </c>
      <c r="D433" t="s">
        <v>65</v>
      </c>
      <c r="G433" t="s">
        <v>35</v>
      </c>
      <c r="H433">
        <v>1</v>
      </c>
      <c r="I433">
        <v>13814</v>
      </c>
      <c r="J433" s="1">
        <v>43355</v>
      </c>
      <c r="K433" t="s">
        <v>345</v>
      </c>
      <c r="L433" t="s">
        <v>346</v>
      </c>
      <c r="M433" t="s">
        <v>131</v>
      </c>
      <c r="N433">
        <v>8</v>
      </c>
      <c r="O433" s="1">
        <v>43355</v>
      </c>
      <c r="P433" t="s">
        <v>41</v>
      </c>
      <c r="Q433" t="s">
        <v>49</v>
      </c>
      <c r="R433" t="str">
        <f>"0581605"</f>
        <v>0581605</v>
      </c>
      <c r="S433" t="s">
        <v>366</v>
      </c>
      <c r="T433" t="s">
        <v>345</v>
      </c>
      <c r="U433" t="s">
        <v>346</v>
      </c>
      <c r="V433" t="s">
        <v>131</v>
      </c>
      <c r="W433" t="s">
        <v>51</v>
      </c>
      <c r="X433" t="s">
        <v>45</v>
      </c>
      <c r="Y433" s="1">
        <v>32098</v>
      </c>
      <c r="Z433">
        <v>2</v>
      </c>
      <c r="AA433" t="s">
        <v>346</v>
      </c>
      <c r="AB433" s="40" t="s">
        <v>1795</v>
      </c>
    </row>
    <row r="434" spans="1:28" x14ac:dyDescent="0.25">
      <c r="A434">
        <v>99910433</v>
      </c>
      <c r="B434" t="s">
        <v>32</v>
      </c>
      <c r="C434" t="s">
        <v>90</v>
      </c>
      <c r="D434" t="s">
        <v>91</v>
      </c>
      <c r="G434" t="s">
        <v>35</v>
      </c>
      <c r="H434">
        <v>1</v>
      </c>
      <c r="K434" t="s">
        <v>195</v>
      </c>
      <c r="L434" t="s">
        <v>196</v>
      </c>
      <c r="M434" t="s">
        <v>131</v>
      </c>
      <c r="N434">
        <v>8</v>
      </c>
      <c r="P434" t="s">
        <v>41</v>
      </c>
      <c r="Q434" t="s">
        <v>95</v>
      </c>
      <c r="R434" t="str">
        <f>"7521149"</f>
        <v>7521149</v>
      </c>
      <c r="S434" t="s">
        <v>528</v>
      </c>
      <c r="T434" t="s">
        <v>195</v>
      </c>
      <c r="U434" t="s">
        <v>196</v>
      </c>
      <c r="V434" t="s">
        <v>131</v>
      </c>
      <c r="W434" t="s">
        <v>51</v>
      </c>
      <c r="X434" t="s">
        <v>45</v>
      </c>
      <c r="Y434" s="1">
        <v>31998</v>
      </c>
      <c r="Z434">
        <v>1</v>
      </c>
      <c r="AA434" t="s">
        <v>196</v>
      </c>
      <c r="AB434" s="40" t="s">
        <v>1795</v>
      </c>
    </row>
    <row r="435" spans="1:28" x14ac:dyDescent="0.25">
      <c r="A435">
        <v>99910434</v>
      </c>
      <c r="B435" t="s">
        <v>32</v>
      </c>
      <c r="C435" t="s">
        <v>52</v>
      </c>
      <c r="D435" t="s">
        <v>53</v>
      </c>
      <c r="G435" t="s">
        <v>35</v>
      </c>
      <c r="H435">
        <v>1</v>
      </c>
      <c r="I435">
        <v>14670</v>
      </c>
      <c r="J435" s="1">
        <v>43353</v>
      </c>
      <c r="K435" t="s">
        <v>1306</v>
      </c>
      <c r="L435" t="s">
        <v>1307</v>
      </c>
      <c r="M435" t="s">
        <v>1270</v>
      </c>
      <c r="N435">
        <v>8</v>
      </c>
      <c r="O435" s="1">
        <v>43353</v>
      </c>
      <c r="P435" t="s">
        <v>41</v>
      </c>
      <c r="Q435" t="s">
        <v>42</v>
      </c>
      <c r="R435" t="str">
        <f>"1990913"</f>
        <v>1990913</v>
      </c>
      <c r="S435" t="s">
        <v>1312</v>
      </c>
      <c r="T435" t="s">
        <v>1306</v>
      </c>
      <c r="U435" t="s">
        <v>1307</v>
      </c>
      <c r="V435" t="s">
        <v>1270</v>
      </c>
      <c r="W435" t="s">
        <v>44</v>
      </c>
      <c r="X435" t="s">
        <v>45</v>
      </c>
      <c r="Y435" s="1">
        <v>31998</v>
      </c>
      <c r="Z435">
        <v>2</v>
      </c>
      <c r="AA435" t="s">
        <v>1307</v>
      </c>
      <c r="AB435" s="40" t="s">
        <v>1795</v>
      </c>
    </row>
    <row r="436" spans="1:28" x14ac:dyDescent="0.25">
      <c r="A436">
        <v>99910435</v>
      </c>
      <c r="B436" t="s">
        <v>32</v>
      </c>
      <c r="C436" t="s">
        <v>251</v>
      </c>
      <c r="D436" t="s">
        <v>252</v>
      </c>
      <c r="G436" t="s">
        <v>35</v>
      </c>
      <c r="H436">
        <v>1</v>
      </c>
      <c r="I436" t="s">
        <v>1559</v>
      </c>
      <c r="J436" s="1">
        <v>43344</v>
      </c>
      <c r="K436" t="s">
        <v>1546</v>
      </c>
      <c r="L436" t="s">
        <v>1547</v>
      </c>
      <c r="M436" t="s">
        <v>1548</v>
      </c>
      <c r="N436">
        <v>8</v>
      </c>
      <c r="O436" s="1">
        <v>43344</v>
      </c>
      <c r="P436" t="s">
        <v>41</v>
      </c>
      <c r="Q436" t="s">
        <v>42</v>
      </c>
      <c r="R436" t="str">
        <f>"1061001"</f>
        <v>1061001</v>
      </c>
      <c r="S436" t="s">
        <v>1550</v>
      </c>
      <c r="T436" t="s">
        <v>1546</v>
      </c>
      <c r="U436" t="s">
        <v>1547</v>
      </c>
      <c r="V436" t="s">
        <v>1548</v>
      </c>
      <c r="W436" t="s">
        <v>44</v>
      </c>
      <c r="X436" t="s">
        <v>45</v>
      </c>
      <c r="Y436" s="1">
        <v>31937</v>
      </c>
      <c r="Z436">
        <v>2</v>
      </c>
      <c r="AA436" t="s">
        <v>1547</v>
      </c>
      <c r="AB436" s="40" t="s">
        <v>1795</v>
      </c>
    </row>
    <row r="437" spans="1:28" x14ac:dyDescent="0.25">
      <c r="A437">
        <v>99910436</v>
      </c>
      <c r="B437" t="s">
        <v>32</v>
      </c>
      <c r="C437" t="s">
        <v>79</v>
      </c>
      <c r="D437" t="s">
        <v>80</v>
      </c>
      <c r="G437" t="s">
        <v>35</v>
      </c>
      <c r="H437">
        <v>1</v>
      </c>
      <c r="I437" t="s">
        <v>1719</v>
      </c>
      <c r="J437" s="1">
        <v>43344</v>
      </c>
      <c r="K437" t="s">
        <v>1708</v>
      </c>
      <c r="L437" t="s">
        <v>1709</v>
      </c>
      <c r="M437" t="s">
        <v>1705</v>
      </c>
      <c r="N437">
        <v>8</v>
      </c>
      <c r="O437" s="1">
        <v>43344</v>
      </c>
      <c r="P437" t="s">
        <v>41</v>
      </c>
      <c r="Q437" t="s">
        <v>75</v>
      </c>
      <c r="R437" t="str">
        <f>"7121000"</f>
        <v>7121000</v>
      </c>
      <c r="S437" t="s">
        <v>1713</v>
      </c>
      <c r="T437" t="s">
        <v>1708</v>
      </c>
      <c r="U437" t="s">
        <v>1709</v>
      </c>
      <c r="V437" t="s">
        <v>1705</v>
      </c>
      <c r="W437" t="s">
        <v>51</v>
      </c>
      <c r="X437" t="s">
        <v>45</v>
      </c>
      <c r="Y437" s="1">
        <v>31919</v>
      </c>
      <c r="Z437">
        <v>1</v>
      </c>
      <c r="AA437" t="s">
        <v>1709</v>
      </c>
      <c r="AB437" s="40" t="s">
        <v>1795</v>
      </c>
    </row>
    <row r="438" spans="1:28" x14ac:dyDescent="0.25">
      <c r="A438">
        <v>99910437</v>
      </c>
      <c r="B438" t="s">
        <v>32</v>
      </c>
      <c r="C438" t="s">
        <v>46</v>
      </c>
      <c r="D438" t="s">
        <v>47</v>
      </c>
      <c r="G438" t="s">
        <v>35</v>
      </c>
      <c r="H438">
        <v>1</v>
      </c>
      <c r="I438" t="s">
        <v>1175</v>
      </c>
      <c r="J438" s="1">
        <v>43354</v>
      </c>
      <c r="K438" t="s">
        <v>1171</v>
      </c>
      <c r="L438" t="s">
        <v>1172</v>
      </c>
      <c r="M438" t="s">
        <v>1130</v>
      </c>
      <c r="N438">
        <v>8</v>
      </c>
      <c r="O438" s="1">
        <v>43354</v>
      </c>
      <c r="P438" t="s">
        <v>41</v>
      </c>
      <c r="Q438" t="s">
        <v>42</v>
      </c>
      <c r="R438" t="str">
        <f>"3561001"</f>
        <v>3561001</v>
      </c>
      <c r="S438" t="s">
        <v>1173</v>
      </c>
      <c r="T438" t="s">
        <v>1171</v>
      </c>
      <c r="U438" t="s">
        <v>1172</v>
      </c>
      <c r="V438" t="s">
        <v>1130</v>
      </c>
      <c r="W438" t="s">
        <v>44</v>
      </c>
      <c r="X438" t="s">
        <v>45</v>
      </c>
      <c r="Y438" s="1">
        <v>31835</v>
      </c>
      <c r="Z438">
        <v>2</v>
      </c>
      <c r="AA438" t="s">
        <v>1172</v>
      </c>
      <c r="AB438" s="40" t="s">
        <v>1795</v>
      </c>
    </row>
    <row r="439" spans="1:28" x14ac:dyDescent="0.25">
      <c r="A439">
        <v>99910438</v>
      </c>
      <c r="B439" t="s">
        <v>56</v>
      </c>
      <c r="C439" t="s">
        <v>111</v>
      </c>
      <c r="D439" t="s">
        <v>112</v>
      </c>
      <c r="G439" t="s">
        <v>35</v>
      </c>
      <c r="H439">
        <v>1</v>
      </c>
      <c r="K439" t="s">
        <v>154</v>
      </c>
      <c r="L439" t="s">
        <v>155</v>
      </c>
      <c r="M439" t="s">
        <v>131</v>
      </c>
      <c r="N439">
        <v>8</v>
      </c>
      <c r="P439" t="s">
        <v>41</v>
      </c>
      <c r="Q439" t="s">
        <v>75</v>
      </c>
      <c r="R439" t="str">
        <f>"7051014"</f>
        <v>7051014</v>
      </c>
      <c r="S439" t="s">
        <v>398</v>
      </c>
      <c r="T439" t="s">
        <v>154</v>
      </c>
      <c r="U439" t="s">
        <v>155</v>
      </c>
      <c r="V439" t="s">
        <v>131</v>
      </c>
      <c r="W439" t="s">
        <v>165</v>
      </c>
      <c r="X439" t="s">
        <v>45</v>
      </c>
      <c r="Y439" s="1">
        <v>31778</v>
      </c>
      <c r="Z439">
        <v>1</v>
      </c>
      <c r="AA439" t="s">
        <v>155</v>
      </c>
      <c r="AB439" s="40" t="s">
        <v>1795</v>
      </c>
    </row>
    <row r="440" spans="1:28" x14ac:dyDescent="0.25">
      <c r="A440">
        <v>99910439</v>
      </c>
      <c r="B440" t="s">
        <v>32</v>
      </c>
      <c r="C440" t="s">
        <v>136</v>
      </c>
      <c r="D440" t="s">
        <v>137</v>
      </c>
      <c r="G440" t="s">
        <v>35</v>
      </c>
      <c r="H440">
        <v>1</v>
      </c>
      <c r="I440" t="s">
        <v>250</v>
      </c>
      <c r="J440" s="1">
        <v>43344</v>
      </c>
      <c r="K440" t="s">
        <v>985</v>
      </c>
      <c r="L440" t="s">
        <v>986</v>
      </c>
      <c r="M440" t="s">
        <v>938</v>
      </c>
      <c r="N440">
        <v>8</v>
      </c>
      <c r="O440" s="1">
        <v>43344</v>
      </c>
      <c r="P440" t="s">
        <v>41</v>
      </c>
      <c r="Q440" t="s">
        <v>75</v>
      </c>
      <c r="R440" t="str">
        <f>"7011004"</f>
        <v>7011004</v>
      </c>
      <c r="S440" t="s">
        <v>987</v>
      </c>
      <c r="T440" t="s">
        <v>985</v>
      </c>
      <c r="U440" t="s">
        <v>986</v>
      </c>
      <c r="V440" t="s">
        <v>938</v>
      </c>
      <c r="W440" t="s">
        <v>44</v>
      </c>
      <c r="X440" t="s">
        <v>45</v>
      </c>
      <c r="Y440" s="1">
        <v>31574</v>
      </c>
      <c r="Z440">
        <v>1</v>
      </c>
      <c r="AA440" t="s">
        <v>986</v>
      </c>
      <c r="AB440" s="40" t="s">
        <v>1795</v>
      </c>
    </row>
    <row r="441" spans="1:28" x14ac:dyDescent="0.25">
      <c r="A441">
        <v>99910440</v>
      </c>
      <c r="B441" t="s">
        <v>32</v>
      </c>
      <c r="C441" t="s">
        <v>139</v>
      </c>
      <c r="D441" t="s">
        <v>140</v>
      </c>
      <c r="G441" t="s">
        <v>48</v>
      </c>
      <c r="H441">
        <v>1</v>
      </c>
      <c r="K441" t="s">
        <v>380</v>
      </c>
      <c r="L441" t="s">
        <v>381</v>
      </c>
      <c r="M441" t="s">
        <v>131</v>
      </c>
      <c r="N441">
        <v>8</v>
      </c>
      <c r="P441" t="s">
        <v>41</v>
      </c>
      <c r="Q441" t="s">
        <v>49</v>
      </c>
      <c r="R441" t="str">
        <f>"0591908"</f>
        <v>0591908</v>
      </c>
      <c r="S441" t="s">
        <v>383</v>
      </c>
      <c r="T441" t="s">
        <v>380</v>
      </c>
      <c r="U441" t="s">
        <v>381</v>
      </c>
      <c r="V441" t="s">
        <v>131</v>
      </c>
      <c r="W441" t="s">
        <v>44</v>
      </c>
      <c r="X441" t="s">
        <v>45</v>
      </c>
      <c r="Y441" s="1">
        <v>31373</v>
      </c>
      <c r="Z441">
        <v>2</v>
      </c>
      <c r="AA441" t="s">
        <v>381</v>
      </c>
      <c r="AB441" s="40" t="s">
        <v>1795</v>
      </c>
    </row>
    <row r="442" spans="1:28" x14ac:dyDescent="0.25">
      <c r="A442">
        <v>99910441</v>
      </c>
      <c r="B442" t="s">
        <v>32</v>
      </c>
      <c r="C442" t="s">
        <v>90</v>
      </c>
      <c r="D442" t="s">
        <v>91</v>
      </c>
      <c r="G442" t="s">
        <v>35</v>
      </c>
      <c r="H442">
        <v>1</v>
      </c>
      <c r="K442" t="s">
        <v>154</v>
      </c>
      <c r="L442" t="s">
        <v>155</v>
      </c>
      <c r="M442" t="s">
        <v>131</v>
      </c>
      <c r="N442">
        <v>8</v>
      </c>
      <c r="P442" t="s">
        <v>41</v>
      </c>
      <c r="Q442" t="s">
        <v>95</v>
      </c>
      <c r="R442" t="str">
        <f>"7051055"</f>
        <v>7051055</v>
      </c>
      <c r="S442" t="s">
        <v>419</v>
      </c>
      <c r="T442" t="s">
        <v>154</v>
      </c>
      <c r="U442" t="s">
        <v>155</v>
      </c>
      <c r="V442" t="s">
        <v>131</v>
      </c>
      <c r="W442" t="s">
        <v>51</v>
      </c>
      <c r="X442" t="s">
        <v>45</v>
      </c>
      <c r="Y442" s="1">
        <v>31108</v>
      </c>
      <c r="Z442">
        <v>1</v>
      </c>
      <c r="AA442" t="s">
        <v>155</v>
      </c>
      <c r="AB442" s="40" t="s">
        <v>1795</v>
      </c>
    </row>
    <row r="443" spans="1:28" x14ac:dyDescent="0.25">
      <c r="A443">
        <v>99910442</v>
      </c>
      <c r="B443" t="s">
        <v>32</v>
      </c>
      <c r="C443" t="s">
        <v>46</v>
      </c>
      <c r="D443" t="s">
        <v>47</v>
      </c>
      <c r="G443" t="s">
        <v>35</v>
      </c>
      <c r="H443">
        <v>1</v>
      </c>
      <c r="I443" t="s">
        <v>975</v>
      </c>
      <c r="J443" s="1">
        <v>43362</v>
      </c>
      <c r="K443" t="s">
        <v>947</v>
      </c>
      <c r="L443" t="s">
        <v>948</v>
      </c>
      <c r="M443" t="s">
        <v>938</v>
      </c>
      <c r="N443">
        <v>8</v>
      </c>
      <c r="O443" s="1">
        <v>43362</v>
      </c>
      <c r="P443" t="s">
        <v>41</v>
      </c>
      <c r="Q443" t="s">
        <v>953</v>
      </c>
      <c r="R443" t="str">
        <f>"0610801"</f>
        <v>0610801</v>
      </c>
      <c r="S443" t="s">
        <v>954</v>
      </c>
      <c r="T443" t="s">
        <v>947</v>
      </c>
      <c r="U443" t="s">
        <v>948</v>
      </c>
      <c r="V443" t="s">
        <v>938</v>
      </c>
      <c r="W443" t="s">
        <v>44</v>
      </c>
      <c r="X443" t="s">
        <v>45</v>
      </c>
      <c r="Y443" s="1">
        <v>31035</v>
      </c>
      <c r="Z443">
        <v>2</v>
      </c>
      <c r="AA443" t="s">
        <v>948</v>
      </c>
      <c r="AB443" s="40" t="s">
        <v>1795</v>
      </c>
    </row>
    <row r="444" spans="1:28" x14ac:dyDescent="0.25">
      <c r="A444">
        <v>99910443</v>
      </c>
      <c r="B444" t="s">
        <v>32</v>
      </c>
      <c r="C444" t="s">
        <v>71</v>
      </c>
      <c r="D444" t="s">
        <v>72</v>
      </c>
      <c r="G444" t="s">
        <v>35</v>
      </c>
      <c r="H444">
        <v>1</v>
      </c>
      <c r="K444" t="s">
        <v>877</v>
      </c>
      <c r="L444" t="s">
        <v>878</v>
      </c>
      <c r="M444" t="s">
        <v>131</v>
      </c>
      <c r="N444">
        <v>8</v>
      </c>
      <c r="P444" t="s">
        <v>41</v>
      </c>
      <c r="Q444" t="s">
        <v>75</v>
      </c>
      <c r="R444" t="str">
        <f>"7541010"</f>
        <v>7541010</v>
      </c>
      <c r="S444" t="s">
        <v>887</v>
      </c>
      <c r="T444" t="s">
        <v>877</v>
      </c>
      <c r="U444" t="s">
        <v>878</v>
      </c>
      <c r="V444" t="s">
        <v>131</v>
      </c>
      <c r="W444" t="s">
        <v>51</v>
      </c>
      <c r="X444" t="s">
        <v>45</v>
      </c>
      <c r="Y444" s="1">
        <v>30873</v>
      </c>
      <c r="Z444">
        <v>1</v>
      </c>
      <c r="AA444" t="s">
        <v>878</v>
      </c>
      <c r="AB444" s="40" t="s">
        <v>1795</v>
      </c>
    </row>
    <row r="445" spans="1:28" x14ac:dyDescent="0.25">
      <c r="A445">
        <v>99910444</v>
      </c>
      <c r="B445" t="s">
        <v>32</v>
      </c>
      <c r="C445" t="s">
        <v>52</v>
      </c>
      <c r="D445" t="s">
        <v>53</v>
      </c>
      <c r="G445" t="s">
        <v>35</v>
      </c>
      <c r="H445">
        <v>1</v>
      </c>
      <c r="I445">
        <v>16642</v>
      </c>
      <c r="J445" s="1">
        <v>43354</v>
      </c>
      <c r="K445" t="s">
        <v>1306</v>
      </c>
      <c r="L445" t="s">
        <v>1307</v>
      </c>
      <c r="M445" t="s">
        <v>1270</v>
      </c>
      <c r="N445">
        <v>8</v>
      </c>
      <c r="O445" s="1">
        <v>43354</v>
      </c>
      <c r="P445" t="s">
        <v>41</v>
      </c>
      <c r="Q445" t="s">
        <v>49</v>
      </c>
      <c r="R445" t="str">
        <f>"1991915"</f>
        <v>1991915</v>
      </c>
      <c r="S445" t="s">
        <v>1316</v>
      </c>
      <c r="T445" t="s">
        <v>1306</v>
      </c>
      <c r="U445" t="s">
        <v>1307</v>
      </c>
      <c r="V445" t="s">
        <v>1270</v>
      </c>
      <c r="W445" t="s">
        <v>44</v>
      </c>
      <c r="X445" t="s">
        <v>45</v>
      </c>
      <c r="Y445" s="1">
        <v>30682</v>
      </c>
      <c r="Z445">
        <v>2</v>
      </c>
      <c r="AA445" t="s">
        <v>1307</v>
      </c>
      <c r="AB445" s="40" t="s">
        <v>1795</v>
      </c>
    </row>
    <row r="446" spans="1:28" x14ac:dyDescent="0.25">
      <c r="A446">
        <v>99910445</v>
      </c>
      <c r="B446" t="s">
        <v>56</v>
      </c>
      <c r="C446" t="s">
        <v>61</v>
      </c>
      <c r="D446" t="s">
        <v>62</v>
      </c>
      <c r="G446" t="s">
        <v>48</v>
      </c>
      <c r="H446">
        <v>1</v>
      </c>
      <c r="K446" t="s">
        <v>300</v>
      </c>
      <c r="L446" t="s">
        <v>301</v>
      </c>
      <c r="M446" t="s">
        <v>131</v>
      </c>
      <c r="N446">
        <v>8</v>
      </c>
      <c r="P446" t="s">
        <v>41</v>
      </c>
      <c r="Q446" t="s">
        <v>42</v>
      </c>
      <c r="R446" t="str">
        <f>"0580175"</f>
        <v>0580175</v>
      </c>
      <c r="S446" t="s">
        <v>303</v>
      </c>
      <c r="T446" t="s">
        <v>300</v>
      </c>
      <c r="U446" t="s">
        <v>301</v>
      </c>
      <c r="V446" t="s">
        <v>131</v>
      </c>
      <c r="W446" t="s">
        <v>51</v>
      </c>
      <c r="X446" t="s">
        <v>45</v>
      </c>
      <c r="Y446" s="1">
        <v>30649</v>
      </c>
      <c r="Z446">
        <v>2</v>
      </c>
      <c r="AA446" t="s">
        <v>301</v>
      </c>
      <c r="AB446" s="40" t="s">
        <v>1795</v>
      </c>
    </row>
    <row r="447" spans="1:28" x14ac:dyDescent="0.25">
      <c r="A447">
        <v>99910446</v>
      </c>
      <c r="B447" t="s">
        <v>32</v>
      </c>
      <c r="C447" t="s">
        <v>204</v>
      </c>
      <c r="D447" t="s">
        <v>205</v>
      </c>
      <c r="G447" t="s">
        <v>35</v>
      </c>
      <c r="H447">
        <v>1</v>
      </c>
      <c r="K447" t="s">
        <v>223</v>
      </c>
      <c r="L447" t="s">
        <v>224</v>
      </c>
      <c r="M447" t="s">
        <v>131</v>
      </c>
      <c r="N447">
        <v>8</v>
      </c>
      <c r="P447" t="s">
        <v>41</v>
      </c>
      <c r="Q447" t="s">
        <v>49</v>
      </c>
      <c r="R447" t="str">
        <f>"0591901"</f>
        <v>0591901</v>
      </c>
      <c r="S447" t="s">
        <v>230</v>
      </c>
      <c r="T447" t="s">
        <v>223</v>
      </c>
      <c r="U447" t="s">
        <v>224</v>
      </c>
      <c r="V447" t="s">
        <v>131</v>
      </c>
      <c r="W447" t="s">
        <v>51</v>
      </c>
      <c r="X447" t="s">
        <v>45</v>
      </c>
      <c r="Y447" s="1">
        <v>30585</v>
      </c>
      <c r="Z447">
        <v>2</v>
      </c>
      <c r="AA447" t="s">
        <v>224</v>
      </c>
      <c r="AB447" s="40" t="s">
        <v>1795</v>
      </c>
    </row>
    <row r="448" spans="1:28" x14ac:dyDescent="0.25">
      <c r="A448">
        <v>99910447</v>
      </c>
      <c r="B448" t="s">
        <v>32</v>
      </c>
      <c r="C448" t="s">
        <v>90</v>
      </c>
      <c r="D448" t="s">
        <v>91</v>
      </c>
      <c r="G448" t="s">
        <v>35</v>
      </c>
      <c r="H448">
        <v>1</v>
      </c>
      <c r="K448" t="s">
        <v>1081</v>
      </c>
      <c r="L448" t="s">
        <v>1082</v>
      </c>
      <c r="M448" t="s">
        <v>1053</v>
      </c>
      <c r="N448">
        <v>8</v>
      </c>
      <c r="P448" t="s">
        <v>41</v>
      </c>
      <c r="Q448" t="s">
        <v>95</v>
      </c>
      <c r="R448" t="str">
        <f>"7201019"</f>
        <v>7201019</v>
      </c>
      <c r="S448" t="s">
        <v>1104</v>
      </c>
      <c r="T448" t="s">
        <v>1081</v>
      </c>
      <c r="U448" t="s">
        <v>1082</v>
      </c>
      <c r="V448" t="s">
        <v>1053</v>
      </c>
      <c r="W448" t="s">
        <v>51</v>
      </c>
      <c r="X448" t="s">
        <v>45</v>
      </c>
      <c r="Y448" s="1">
        <v>30406</v>
      </c>
      <c r="Z448">
        <v>1</v>
      </c>
      <c r="AA448" t="s">
        <v>1082</v>
      </c>
      <c r="AB448" s="40" t="s">
        <v>1795</v>
      </c>
    </row>
    <row r="449" spans="1:28" x14ac:dyDescent="0.25">
      <c r="A449">
        <v>99910448</v>
      </c>
      <c r="B449" t="s">
        <v>32</v>
      </c>
      <c r="C449" t="s">
        <v>46</v>
      </c>
      <c r="D449" t="s">
        <v>47</v>
      </c>
      <c r="G449" t="s">
        <v>35</v>
      </c>
      <c r="H449">
        <v>1</v>
      </c>
      <c r="I449" t="s">
        <v>944</v>
      </c>
      <c r="J449" s="1">
        <v>43361</v>
      </c>
      <c r="K449" t="s">
        <v>936</v>
      </c>
      <c r="L449" t="s">
        <v>937</v>
      </c>
      <c r="M449" t="s">
        <v>938</v>
      </c>
      <c r="N449">
        <v>8</v>
      </c>
      <c r="O449" s="1">
        <v>43361</v>
      </c>
      <c r="P449" t="s">
        <v>41</v>
      </c>
      <c r="Q449" t="s">
        <v>49</v>
      </c>
      <c r="R449" t="str">
        <f>"0160075"</f>
        <v>0160075</v>
      </c>
      <c r="S449" t="s">
        <v>939</v>
      </c>
      <c r="T449" t="s">
        <v>936</v>
      </c>
      <c r="U449" t="s">
        <v>937</v>
      </c>
      <c r="V449" t="s">
        <v>938</v>
      </c>
      <c r="W449" t="s">
        <v>44</v>
      </c>
      <c r="X449" t="s">
        <v>45</v>
      </c>
      <c r="Y449" s="1">
        <v>30380</v>
      </c>
      <c r="Z449">
        <v>2</v>
      </c>
      <c r="AA449" t="s">
        <v>937</v>
      </c>
      <c r="AB449" s="40" t="s">
        <v>1795</v>
      </c>
    </row>
    <row r="450" spans="1:28" x14ac:dyDescent="0.25">
      <c r="A450">
        <v>99910449</v>
      </c>
      <c r="B450" t="s">
        <v>32</v>
      </c>
      <c r="C450" t="s">
        <v>46</v>
      </c>
      <c r="D450" t="s">
        <v>47</v>
      </c>
      <c r="G450" t="s">
        <v>35</v>
      </c>
      <c r="H450">
        <v>1</v>
      </c>
      <c r="I450">
        <v>17756</v>
      </c>
      <c r="J450" s="1">
        <v>43344</v>
      </c>
      <c r="K450" t="s">
        <v>1306</v>
      </c>
      <c r="L450" t="s">
        <v>1307</v>
      </c>
      <c r="M450" t="s">
        <v>1270</v>
      </c>
      <c r="N450">
        <v>8</v>
      </c>
      <c r="O450" s="1">
        <v>43344</v>
      </c>
      <c r="P450" t="s">
        <v>41</v>
      </c>
      <c r="Q450" t="s">
        <v>42</v>
      </c>
      <c r="R450" t="str">
        <f>"1990913"</f>
        <v>1990913</v>
      </c>
      <c r="S450" t="s">
        <v>1312</v>
      </c>
      <c r="T450" t="s">
        <v>1306</v>
      </c>
      <c r="U450" t="s">
        <v>1307</v>
      </c>
      <c r="V450" t="s">
        <v>1270</v>
      </c>
      <c r="W450" t="s">
        <v>44</v>
      </c>
      <c r="X450" t="s">
        <v>45</v>
      </c>
      <c r="Y450" s="1">
        <v>30360</v>
      </c>
      <c r="Z450">
        <v>2</v>
      </c>
      <c r="AA450" t="s">
        <v>1307</v>
      </c>
      <c r="AB450" s="40" t="s">
        <v>1795</v>
      </c>
    </row>
    <row r="451" spans="1:28" x14ac:dyDescent="0.25">
      <c r="A451">
        <v>99910450</v>
      </c>
      <c r="B451" t="s">
        <v>32</v>
      </c>
      <c r="C451" t="s">
        <v>33</v>
      </c>
      <c r="D451" t="s">
        <v>34</v>
      </c>
      <c r="G451" t="s">
        <v>35</v>
      </c>
      <c r="H451">
        <v>1</v>
      </c>
      <c r="I451" t="s">
        <v>330</v>
      </c>
      <c r="J451" s="1">
        <v>43344</v>
      </c>
      <c r="K451" t="s">
        <v>300</v>
      </c>
      <c r="L451" t="s">
        <v>301</v>
      </c>
      <c r="M451" t="s">
        <v>131</v>
      </c>
      <c r="N451">
        <v>8</v>
      </c>
      <c r="O451" s="1">
        <v>43344</v>
      </c>
      <c r="P451" t="s">
        <v>41</v>
      </c>
      <c r="Q451" t="s">
        <v>49</v>
      </c>
      <c r="R451" t="str">
        <f>"0560020"</f>
        <v>0560020</v>
      </c>
      <c r="S451" t="s">
        <v>302</v>
      </c>
      <c r="T451" t="s">
        <v>300</v>
      </c>
      <c r="U451" t="s">
        <v>301</v>
      </c>
      <c r="V451" t="s">
        <v>131</v>
      </c>
      <c r="W451" t="s">
        <v>51</v>
      </c>
      <c r="X451" t="s">
        <v>45</v>
      </c>
      <c r="Y451" s="1">
        <v>30317</v>
      </c>
      <c r="Z451">
        <v>2</v>
      </c>
      <c r="AA451" t="s">
        <v>301</v>
      </c>
      <c r="AB451" s="40" t="s">
        <v>1795</v>
      </c>
    </row>
    <row r="452" spans="1:28" x14ac:dyDescent="0.25">
      <c r="A452">
        <v>99910451</v>
      </c>
      <c r="B452" t="s">
        <v>32</v>
      </c>
      <c r="C452" t="s">
        <v>79</v>
      </c>
      <c r="D452" t="s">
        <v>80</v>
      </c>
      <c r="G452" t="s">
        <v>48</v>
      </c>
      <c r="H452">
        <v>1</v>
      </c>
      <c r="K452" t="s">
        <v>380</v>
      </c>
      <c r="L452" t="s">
        <v>381</v>
      </c>
      <c r="M452" t="s">
        <v>131</v>
      </c>
      <c r="N452">
        <v>8</v>
      </c>
      <c r="P452" t="s">
        <v>41</v>
      </c>
      <c r="Q452" t="s">
        <v>49</v>
      </c>
      <c r="R452" t="str">
        <f>"0560028"</f>
        <v>0560028</v>
      </c>
      <c r="S452" t="s">
        <v>384</v>
      </c>
      <c r="T452" t="s">
        <v>380</v>
      </c>
      <c r="U452" t="s">
        <v>381</v>
      </c>
      <c r="V452" t="s">
        <v>131</v>
      </c>
      <c r="W452" t="s">
        <v>51</v>
      </c>
      <c r="X452" t="s">
        <v>45</v>
      </c>
      <c r="Y452" s="1">
        <v>30258</v>
      </c>
      <c r="Z452">
        <v>2</v>
      </c>
      <c r="AA452" t="s">
        <v>381</v>
      </c>
      <c r="AB452" s="40" t="s">
        <v>1795</v>
      </c>
    </row>
    <row r="453" spans="1:28" x14ac:dyDescent="0.25">
      <c r="A453">
        <v>99910452</v>
      </c>
      <c r="B453" t="s">
        <v>32</v>
      </c>
      <c r="C453" t="s">
        <v>204</v>
      </c>
      <c r="D453" t="s">
        <v>205</v>
      </c>
      <c r="G453" t="s">
        <v>35</v>
      </c>
      <c r="H453">
        <v>1</v>
      </c>
      <c r="K453" t="s">
        <v>223</v>
      </c>
      <c r="L453" t="s">
        <v>224</v>
      </c>
      <c r="M453" t="s">
        <v>131</v>
      </c>
      <c r="N453">
        <v>8</v>
      </c>
      <c r="P453" t="s">
        <v>41</v>
      </c>
      <c r="Q453" t="s">
        <v>49</v>
      </c>
      <c r="R453" t="str">
        <f>"0591901"</f>
        <v>0591901</v>
      </c>
      <c r="S453" t="s">
        <v>230</v>
      </c>
      <c r="T453" t="s">
        <v>223</v>
      </c>
      <c r="U453" t="s">
        <v>224</v>
      </c>
      <c r="V453" t="s">
        <v>131</v>
      </c>
      <c r="W453" t="s">
        <v>51</v>
      </c>
      <c r="X453" t="s">
        <v>45</v>
      </c>
      <c r="Y453" s="1">
        <v>30009</v>
      </c>
      <c r="Z453">
        <v>2</v>
      </c>
      <c r="AA453" t="s">
        <v>224</v>
      </c>
      <c r="AB453" s="40" t="s">
        <v>1795</v>
      </c>
    </row>
    <row r="454" spans="1:28" x14ac:dyDescent="0.25">
      <c r="A454">
        <v>99910453</v>
      </c>
      <c r="B454" t="s">
        <v>32</v>
      </c>
      <c r="C454" t="s">
        <v>139</v>
      </c>
      <c r="D454" t="s">
        <v>140</v>
      </c>
      <c r="G454" t="s">
        <v>48</v>
      </c>
      <c r="H454">
        <v>1</v>
      </c>
      <c r="K454" t="s">
        <v>154</v>
      </c>
      <c r="L454" t="s">
        <v>155</v>
      </c>
      <c r="M454" t="s">
        <v>131</v>
      </c>
      <c r="N454">
        <v>8</v>
      </c>
      <c r="P454" t="s">
        <v>41</v>
      </c>
      <c r="Q454" t="s">
        <v>75</v>
      </c>
      <c r="R454" t="str">
        <f>"7051002"</f>
        <v>7051002</v>
      </c>
      <c r="S454" t="s">
        <v>395</v>
      </c>
      <c r="T454" t="s">
        <v>154</v>
      </c>
      <c r="U454" t="s">
        <v>155</v>
      </c>
      <c r="V454" t="s">
        <v>131</v>
      </c>
      <c r="W454" t="s">
        <v>51</v>
      </c>
      <c r="X454" t="s">
        <v>45</v>
      </c>
      <c r="Y454" s="1">
        <v>29971</v>
      </c>
      <c r="Z454">
        <v>1</v>
      </c>
      <c r="AA454" t="s">
        <v>155</v>
      </c>
      <c r="AB454" s="40" t="s">
        <v>1795</v>
      </c>
    </row>
    <row r="455" spans="1:28" x14ac:dyDescent="0.25">
      <c r="A455">
        <v>99910454</v>
      </c>
      <c r="B455" t="s">
        <v>32</v>
      </c>
      <c r="C455" t="s">
        <v>64</v>
      </c>
      <c r="D455" t="s">
        <v>65</v>
      </c>
      <c r="G455" t="s">
        <v>48</v>
      </c>
      <c r="H455">
        <v>1</v>
      </c>
      <c r="K455" t="s">
        <v>345</v>
      </c>
      <c r="L455" t="s">
        <v>346</v>
      </c>
      <c r="M455" t="s">
        <v>131</v>
      </c>
      <c r="N455">
        <v>8</v>
      </c>
      <c r="P455" t="s">
        <v>41</v>
      </c>
      <c r="Q455" t="s">
        <v>49</v>
      </c>
      <c r="R455" t="str">
        <f>"0560004"</f>
        <v>0560004</v>
      </c>
      <c r="S455" t="s">
        <v>371</v>
      </c>
      <c r="T455" t="s">
        <v>345</v>
      </c>
      <c r="U455" t="s">
        <v>346</v>
      </c>
      <c r="V455" t="s">
        <v>131</v>
      </c>
      <c r="W455" t="s">
        <v>55</v>
      </c>
      <c r="X455" t="s">
        <v>45</v>
      </c>
      <c r="Y455" s="1">
        <v>29952</v>
      </c>
      <c r="Z455">
        <v>2</v>
      </c>
      <c r="AA455" t="s">
        <v>346</v>
      </c>
      <c r="AB455" s="40" t="s">
        <v>1795</v>
      </c>
    </row>
    <row r="456" spans="1:28" x14ac:dyDescent="0.25">
      <c r="A456">
        <v>99910455</v>
      </c>
      <c r="B456" t="s">
        <v>32</v>
      </c>
      <c r="C456" t="s">
        <v>139</v>
      </c>
      <c r="D456" t="s">
        <v>140</v>
      </c>
      <c r="G456" t="s">
        <v>35</v>
      </c>
      <c r="H456">
        <v>1</v>
      </c>
      <c r="I456" t="s">
        <v>433</v>
      </c>
      <c r="J456" s="1">
        <v>40422</v>
      </c>
      <c r="K456" t="s">
        <v>431</v>
      </c>
      <c r="L456" t="s">
        <v>196</v>
      </c>
      <c r="M456" t="s">
        <v>131</v>
      </c>
      <c r="N456">
        <v>8</v>
      </c>
      <c r="O456" s="1">
        <v>40422</v>
      </c>
      <c r="P456" t="s">
        <v>41</v>
      </c>
      <c r="Q456" t="s">
        <v>75</v>
      </c>
      <c r="R456" t="str">
        <f>"7521012"</f>
        <v>7521012</v>
      </c>
      <c r="S456" t="s">
        <v>432</v>
      </c>
      <c r="T456" t="s">
        <v>431</v>
      </c>
      <c r="U456" t="s">
        <v>196</v>
      </c>
      <c r="V456" t="s">
        <v>131</v>
      </c>
      <c r="W456" t="s">
        <v>165</v>
      </c>
      <c r="X456" t="s">
        <v>45</v>
      </c>
      <c r="Y456" s="1">
        <v>29913</v>
      </c>
      <c r="Z456">
        <v>1</v>
      </c>
      <c r="AA456" t="s">
        <v>196</v>
      </c>
      <c r="AB456" s="40" t="s">
        <v>1795</v>
      </c>
    </row>
    <row r="457" spans="1:28" x14ac:dyDescent="0.25">
      <c r="A457">
        <v>99910456</v>
      </c>
      <c r="B457" t="s">
        <v>32</v>
      </c>
      <c r="C457" t="s">
        <v>64</v>
      </c>
      <c r="D457" t="s">
        <v>65</v>
      </c>
      <c r="G457" t="s">
        <v>35</v>
      </c>
      <c r="H457">
        <v>1</v>
      </c>
      <c r="I457">
        <v>22882</v>
      </c>
      <c r="J457" s="1">
        <v>43027</v>
      </c>
      <c r="K457" t="s">
        <v>380</v>
      </c>
      <c r="L457" t="s">
        <v>381</v>
      </c>
      <c r="M457" t="s">
        <v>131</v>
      </c>
      <c r="N457">
        <v>8</v>
      </c>
      <c r="O457" s="1">
        <v>43027</v>
      </c>
      <c r="P457" t="s">
        <v>41</v>
      </c>
      <c r="Q457" t="s">
        <v>49</v>
      </c>
      <c r="R457" t="str">
        <f>"0561020"</f>
        <v>0561020</v>
      </c>
      <c r="S457" t="s">
        <v>390</v>
      </c>
      <c r="T457" t="s">
        <v>380</v>
      </c>
      <c r="U457" t="s">
        <v>381</v>
      </c>
      <c r="V457" t="s">
        <v>131</v>
      </c>
      <c r="W457" t="s">
        <v>44</v>
      </c>
      <c r="X457" t="s">
        <v>45</v>
      </c>
      <c r="Y457" s="1">
        <v>29826</v>
      </c>
      <c r="Z457">
        <v>2</v>
      </c>
      <c r="AA457" t="s">
        <v>381</v>
      </c>
      <c r="AB457" s="40" t="s">
        <v>1795</v>
      </c>
    </row>
    <row r="458" spans="1:28" x14ac:dyDescent="0.25">
      <c r="A458">
        <v>99910457</v>
      </c>
      <c r="B458" t="s">
        <v>56</v>
      </c>
      <c r="C458" t="s">
        <v>85</v>
      </c>
      <c r="D458" t="s">
        <v>86</v>
      </c>
      <c r="G458" t="s">
        <v>35</v>
      </c>
      <c r="H458">
        <v>1</v>
      </c>
      <c r="I458">
        <v>8819</v>
      </c>
      <c r="J458" s="1">
        <v>43344</v>
      </c>
      <c r="K458" t="s">
        <v>223</v>
      </c>
      <c r="L458" t="s">
        <v>224</v>
      </c>
      <c r="M458" t="s">
        <v>131</v>
      </c>
      <c r="N458">
        <v>8</v>
      </c>
      <c r="O458" s="1">
        <v>43344</v>
      </c>
      <c r="P458" t="s">
        <v>41</v>
      </c>
      <c r="Q458" t="s">
        <v>49</v>
      </c>
      <c r="R458" t="str">
        <f>"0581204"</f>
        <v>0581204</v>
      </c>
      <c r="S458" t="s">
        <v>249</v>
      </c>
      <c r="T458" t="s">
        <v>223</v>
      </c>
      <c r="U458" t="s">
        <v>224</v>
      </c>
      <c r="V458" t="s">
        <v>131</v>
      </c>
      <c r="W458" t="s">
        <v>44</v>
      </c>
      <c r="X458" t="s">
        <v>45</v>
      </c>
      <c r="Y458" s="1">
        <v>29756</v>
      </c>
      <c r="Z458">
        <v>2</v>
      </c>
      <c r="AA458" t="s">
        <v>224</v>
      </c>
      <c r="AB458" s="40" t="s">
        <v>1795</v>
      </c>
    </row>
    <row r="459" spans="1:28" x14ac:dyDescent="0.25">
      <c r="A459">
        <v>99910458</v>
      </c>
      <c r="B459" t="s">
        <v>32</v>
      </c>
      <c r="C459" t="s">
        <v>71</v>
      </c>
      <c r="D459" t="s">
        <v>72</v>
      </c>
      <c r="G459" t="s">
        <v>35</v>
      </c>
      <c r="H459">
        <v>1</v>
      </c>
      <c r="I459" t="s">
        <v>334</v>
      </c>
      <c r="J459" s="1">
        <v>43392</v>
      </c>
      <c r="K459" t="s">
        <v>300</v>
      </c>
      <c r="L459" t="s">
        <v>301</v>
      </c>
      <c r="M459" t="s">
        <v>131</v>
      </c>
      <c r="N459">
        <v>8</v>
      </c>
      <c r="O459" s="1">
        <v>43392</v>
      </c>
      <c r="P459" t="s">
        <v>41</v>
      </c>
      <c r="Q459" t="s">
        <v>49</v>
      </c>
      <c r="R459" t="str">
        <f>"0560020"</f>
        <v>0560020</v>
      </c>
      <c r="S459" t="s">
        <v>302</v>
      </c>
      <c r="T459" t="s">
        <v>300</v>
      </c>
      <c r="U459" t="s">
        <v>301</v>
      </c>
      <c r="V459" t="s">
        <v>131</v>
      </c>
      <c r="W459" t="s">
        <v>51</v>
      </c>
      <c r="X459" t="s">
        <v>45</v>
      </c>
      <c r="Y459" s="1">
        <v>29587</v>
      </c>
      <c r="Z459">
        <v>2</v>
      </c>
      <c r="AA459" t="s">
        <v>301</v>
      </c>
      <c r="AB459" s="40" t="s">
        <v>1795</v>
      </c>
    </row>
    <row r="460" spans="1:28" x14ac:dyDescent="0.25">
      <c r="A460">
        <v>99910459</v>
      </c>
      <c r="B460" t="s">
        <v>56</v>
      </c>
      <c r="C460" t="s">
        <v>52</v>
      </c>
      <c r="D460" t="s">
        <v>53</v>
      </c>
      <c r="G460" t="s">
        <v>35</v>
      </c>
      <c r="H460">
        <v>1</v>
      </c>
      <c r="I460" t="s">
        <v>1153</v>
      </c>
      <c r="J460" s="1">
        <v>42979</v>
      </c>
      <c r="K460" t="s">
        <v>1128</v>
      </c>
      <c r="L460" t="s">
        <v>1129</v>
      </c>
      <c r="M460" t="s">
        <v>1130</v>
      </c>
      <c r="N460">
        <v>8</v>
      </c>
      <c r="O460" s="1">
        <v>42979</v>
      </c>
      <c r="P460" t="s">
        <v>41</v>
      </c>
      <c r="Q460" t="s">
        <v>49</v>
      </c>
      <c r="R460" t="str">
        <f>"3160002"</f>
        <v>3160002</v>
      </c>
      <c r="S460" t="s">
        <v>1143</v>
      </c>
      <c r="T460" t="s">
        <v>1128</v>
      </c>
      <c r="U460" t="s">
        <v>1129</v>
      </c>
      <c r="V460" t="s">
        <v>1130</v>
      </c>
      <c r="W460" t="s">
        <v>44</v>
      </c>
      <c r="X460" t="s">
        <v>45</v>
      </c>
      <c r="Y460" s="1">
        <v>29494</v>
      </c>
      <c r="Z460">
        <v>2</v>
      </c>
      <c r="AA460" t="s">
        <v>1129</v>
      </c>
      <c r="AB460" s="40" t="s">
        <v>1795</v>
      </c>
    </row>
    <row r="461" spans="1:28" x14ac:dyDescent="0.25">
      <c r="A461">
        <v>99910460</v>
      </c>
      <c r="B461" t="s">
        <v>56</v>
      </c>
      <c r="C461" t="s">
        <v>82</v>
      </c>
      <c r="D461" t="s">
        <v>83</v>
      </c>
      <c r="G461" t="s">
        <v>35</v>
      </c>
      <c r="H461">
        <v>1</v>
      </c>
      <c r="K461" t="s">
        <v>157</v>
      </c>
      <c r="L461" t="s">
        <v>158</v>
      </c>
      <c r="M461" t="s">
        <v>131</v>
      </c>
      <c r="N461">
        <v>8</v>
      </c>
      <c r="P461" t="s">
        <v>41</v>
      </c>
      <c r="Q461" t="s">
        <v>42</v>
      </c>
      <c r="R461" t="str">
        <f>"0561004"</f>
        <v>0561004</v>
      </c>
      <c r="S461" t="s">
        <v>172</v>
      </c>
      <c r="T461" t="s">
        <v>157</v>
      </c>
      <c r="U461" t="s">
        <v>158</v>
      </c>
      <c r="V461" t="s">
        <v>131</v>
      </c>
      <c r="W461" t="s">
        <v>51</v>
      </c>
      <c r="X461" t="s">
        <v>45</v>
      </c>
      <c r="Y461" s="1">
        <v>29389</v>
      </c>
      <c r="Z461">
        <v>2</v>
      </c>
      <c r="AA461" t="s">
        <v>158</v>
      </c>
      <c r="AB461" s="40" t="s">
        <v>1795</v>
      </c>
    </row>
    <row r="462" spans="1:28" x14ac:dyDescent="0.25">
      <c r="A462">
        <v>99910461</v>
      </c>
      <c r="B462" t="s">
        <v>56</v>
      </c>
      <c r="C462" t="s">
        <v>61</v>
      </c>
      <c r="D462" t="s">
        <v>62</v>
      </c>
      <c r="G462" t="s">
        <v>35</v>
      </c>
      <c r="H462">
        <v>1</v>
      </c>
      <c r="I462">
        <v>10957</v>
      </c>
      <c r="J462" s="1">
        <v>43410</v>
      </c>
      <c r="K462" t="s">
        <v>1051</v>
      </c>
      <c r="L462" t="s">
        <v>1052</v>
      </c>
      <c r="M462" t="s">
        <v>1053</v>
      </c>
      <c r="N462">
        <v>8</v>
      </c>
      <c r="O462" s="1">
        <v>43410</v>
      </c>
      <c r="P462" t="s">
        <v>41</v>
      </c>
      <c r="Q462" t="s">
        <v>42</v>
      </c>
      <c r="R462" t="str">
        <f>"2061003"</f>
        <v>2061003</v>
      </c>
      <c r="S462" t="s">
        <v>1060</v>
      </c>
      <c r="T462" t="s">
        <v>1051</v>
      </c>
      <c r="U462" t="s">
        <v>1052</v>
      </c>
      <c r="V462" t="s">
        <v>1053</v>
      </c>
      <c r="W462" t="s">
        <v>44</v>
      </c>
      <c r="X462" t="s">
        <v>45</v>
      </c>
      <c r="Y462" s="1">
        <v>29323</v>
      </c>
      <c r="Z462">
        <v>2</v>
      </c>
      <c r="AA462" t="s">
        <v>1052</v>
      </c>
      <c r="AB462" s="40" t="s">
        <v>1795</v>
      </c>
    </row>
    <row r="463" spans="1:28" x14ac:dyDescent="0.25">
      <c r="A463">
        <v>99910462</v>
      </c>
      <c r="B463" t="s">
        <v>32</v>
      </c>
      <c r="C463" t="s">
        <v>290</v>
      </c>
      <c r="D463" t="s">
        <v>291</v>
      </c>
      <c r="G463" t="s">
        <v>48</v>
      </c>
      <c r="H463">
        <v>1</v>
      </c>
      <c r="K463" t="s">
        <v>300</v>
      </c>
      <c r="L463" t="s">
        <v>301</v>
      </c>
      <c r="M463" t="s">
        <v>131</v>
      </c>
      <c r="N463">
        <v>8</v>
      </c>
      <c r="P463" t="s">
        <v>41</v>
      </c>
      <c r="Q463" t="s">
        <v>49</v>
      </c>
      <c r="R463" t="str">
        <f>"0560020"</f>
        <v>0560020</v>
      </c>
      <c r="S463" t="s">
        <v>302</v>
      </c>
      <c r="T463" t="s">
        <v>300</v>
      </c>
      <c r="U463" t="s">
        <v>301</v>
      </c>
      <c r="V463" t="s">
        <v>131</v>
      </c>
      <c r="W463" t="s">
        <v>51</v>
      </c>
      <c r="X463" t="s">
        <v>45</v>
      </c>
      <c r="Y463" s="1">
        <v>29221</v>
      </c>
      <c r="Z463">
        <v>2</v>
      </c>
      <c r="AA463" t="s">
        <v>301</v>
      </c>
      <c r="AB463" s="40" t="s">
        <v>1795</v>
      </c>
    </row>
    <row r="464" spans="1:28" x14ac:dyDescent="0.25">
      <c r="A464">
        <v>99910463</v>
      </c>
      <c r="B464" t="s">
        <v>32</v>
      </c>
      <c r="C464" t="s">
        <v>64</v>
      </c>
      <c r="D464" t="s">
        <v>65</v>
      </c>
      <c r="G464" t="s">
        <v>35</v>
      </c>
      <c r="H464">
        <v>1</v>
      </c>
      <c r="I464" t="s">
        <v>918</v>
      </c>
      <c r="J464" s="1">
        <v>43350</v>
      </c>
      <c r="K464" t="s">
        <v>919</v>
      </c>
      <c r="L464" t="s">
        <v>920</v>
      </c>
      <c r="M464" t="s">
        <v>921</v>
      </c>
      <c r="N464">
        <v>8</v>
      </c>
      <c r="O464" s="1">
        <v>43350</v>
      </c>
      <c r="P464" t="s">
        <v>41</v>
      </c>
      <c r="Q464" t="s">
        <v>922</v>
      </c>
      <c r="R464" t="str">
        <f>"5162001"</f>
        <v>5162001</v>
      </c>
      <c r="S464" t="s">
        <v>923</v>
      </c>
      <c r="T464" t="s">
        <v>919</v>
      </c>
      <c r="U464" t="s">
        <v>920</v>
      </c>
      <c r="V464" t="s">
        <v>921</v>
      </c>
      <c r="W464" t="s">
        <v>44</v>
      </c>
      <c r="X464" t="s">
        <v>45</v>
      </c>
      <c r="Y464" s="1">
        <v>29221</v>
      </c>
      <c r="Z464">
        <v>2</v>
      </c>
      <c r="AA464" t="s">
        <v>920</v>
      </c>
      <c r="AB464" s="40" t="s">
        <v>1795</v>
      </c>
    </row>
    <row r="465" spans="1:28" x14ac:dyDescent="0.25">
      <c r="A465">
        <v>99910464</v>
      </c>
      <c r="B465" t="s">
        <v>32</v>
      </c>
      <c r="C465" t="s">
        <v>79</v>
      </c>
      <c r="D465" t="s">
        <v>80</v>
      </c>
      <c r="G465" t="s">
        <v>35</v>
      </c>
      <c r="H465">
        <v>1</v>
      </c>
      <c r="I465">
        <v>1978</v>
      </c>
      <c r="J465" s="1">
        <v>43344</v>
      </c>
      <c r="K465" t="s">
        <v>1245</v>
      </c>
      <c r="L465" t="s">
        <v>1246</v>
      </c>
      <c r="M465" t="s">
        <v>1130</v>
      </c>
      <c r="N465">
        <v>8</v>
      </c>
      <c r="O465" s="1">
        <v>43344</v>
      </c>
      <c r="P465" t="s">
        <v>41</v>
      </c>
      <c r="Q465" t="s">
        <v>75</v>
      </c>
      <c r="R465" t="str">
        <f>"7451000"</f>
        <v>7451000</v>
      </c>
      <c r="S465" t="s">
        <v>1250</v>
      </c>
      <c r="T465" t="s">
        <v>1245</v>
      </c>
      <c r="U465" t="s">
        <v>1246</v>
      </c>
      <c r="V465" t="s">
        <v>1130</v>
      </c>
      <c r="W465" t="s">
        <v>51</v>
      </c>
      <c r="X465" t="s">
        <v>45</v>
      </c>
      <c r="Y465" s="1">
        <v>29217</v>
      </c>
      <c r="Z465">
        <v>1</v>
      </c>
      <c r="AA465" t="s">
        <v>1246</v>
      </c>
      <c r="AB465" s="40" t="s">
        <v>1795</v>
      </c>
    </row>
    <row r="466" spans="1:28" x14ac:dyDescent="0.25">
      <c r="A466">
        <v>99910465</v>
      </c>
      <c r="B466" t="s">
        <v>32</v>
      </c>
      <c r="C466" t="s">
        <v>139</v>
      </c>
      <c r="D466" t="s">
        <v>140</v>
      </c>
      <c r="G466" t="s">
        <v>48</v>
      </c>
      <c r="H466">
        <v>1</v>
      </c>
      <c r="K466" t="s">
        <v>300</v>
      </c>
      <c r="L466" t="s">
        <v>301</v>
      </c>
      <c r="M466" t="s">
        <v>131</v>
      </c>
      <c r="N466">
        <v>8</v>
      </c>
      <c r="P466" t="s">
        <v>41</v>
      </c>
      <c r="Q466" t="s">
        <v>49</v>
      </c>
      <c r="R466" t="str">
        <f>"0560020"</f>
        <v>0560020</v>
      </c>
      <c r="S466" t="s">
        <v>302</v>
      </c>
      <c r="T466" t="s">
        <v>300</v>
      </c>
      <c r="U466" t="s">
        <v>301</v>
      </c>
      <c r="V466" t="s">
        <v>131</v>
      </c>
      <c r="W466" t="s">
        <v>51</v>
      </c>
      <c r="X466" t="s">
        <v>45</v>
      </c>
      <c r="Y466" s="1">
        <v>28942</v>
      </c>
      <c r="Z466">
        <v>2</v>
      </c>
      <c r="AA466" t="s">
        <v>301</v>
      </c>
      <c r="AB466" s="40" t="s">
        <v>1795</v>
      </c>
    </row>
    <row r="467" spans="1:28" x14ac:dyDescent="0.25">
      <c r="A467">
        <v>99910466</v>
      </c>
      <c r="B467" t="s">
        <v>32</v>
      </c>
      <c r="C467" t="s">
        <v>139</v>
      </c>
      <c r="D467" t="s">
        <v>140</v>
      </c>
      <c r="G467" t="s">
        <v>88</v>
      </c>
      <c r="H467">
        <v>2</v>
      </c>
      <c r="I467" t="s">
        <v>433</v>
      </c>
      <c r="J467" s="1">
        <v>40422</v>
      </c>
      <c r="K467" t="s">
        <v>431</v>
      </c>
      <c r="L467" t="s">
        <v>196</v>
      </c>
      <c r="M467" t="s">
        <v>131</v>
      </c>
      <c r="N467">
        <v>8</v>
      </c>
      <c r="O467" s="1">
        <v>40422</v>
      </c>
      <c r="P467" t="s">
        <v>41</v>
      </c>
      <c r="Q467" t="s">
        <v>75</v>
      </c>
      <c r="R467" t="str">
        <f>"7521012"</f>
        <v>7521012</v>
      </c>
      <c r="S467" t="s">
        <v>432</v>
      </c>
      <c r="T467" t="s">
        <v>431</v>
      </c>
      <c r="U467" t="s">
        <v>196</v>
      </c>
      <c r="V467" t="s">
        <v>131</v>
      </c>
      <c r="W467" t="s">
        <v>165</v>
      </c>
      <c r="X467" t="s">
        <v>45</v>
      </c>
      <c r="Y467" s="1">
        <v>28827</v>
      </c>
      <c r="Z467">
        <v>1</v>
      </c>
      <c r="AA467" t="s">
        <v>196</v>
      </c>
      <c r="AB467" s="40" t="s">
        <v>1795</v>
      </c>
    </row>
    <row r="468" spans="1:28" x14ac:dyDescent="0.25">
      <c r="A468">
        <v>99910467</v>
      </c>
      <c r="B468" t="s">
        <v>56</v>
      </c>
      <c r="C468" t="s">
        <v>33</v>
      </c>
      <c r="D468" t="s">
        <v>34</v>
      </c>
      <c r="G468" t="s">
        <v>35</v>
      </c>
      <c r="H468">
        <v>1</v>
      </c>
      <c r="I468" t="s">
        <v>336</v>
      </c>
      <c r="J468" s="1">
        <v>43344</v>
      </c>
      <c r="K468" t="s">
        <v>300</v>
      </c>
      <c r="L468" t="s">
        <v>301</v>
      </c>
      <c r="M468" t="s">
        <v>131</v>
      </c>
      <c r="N468">
        <v>8</v>
      </c>
      <c r="O468" s="1">
        <v>43344</v>
      </c>
      <c r="P468" t="s">
        <v>41</v>
      </c>
      <c r="Q468" t="s">
        <v>49</v>
      </c>
      <c r="R468" t="str">
        <f>"0560020"</f>
        <v>0560020</v>
      </c>
      <c r="S468" t="s">
        <v>302</v>
      </c>
      <c r="T468" t="s">
        <v>300</v>
      </c>
      <c r="U468" t="s">
        <v>301</v>
      </c>
      <c r="V468" t="s">
        <v>131</v>
      </c>
      <c r="W468" t="s">
        <v>51</v>
      </c>
      <c r="X468" t="s">
        <v>45</v>
      </c>
      <c r="Y468" s="1">
        <v>28796</v>
      </c>
      <c r="Z468">
        <v>2</v>
      </c>
      <c r="AA468" t="s">
        <v>301</v>
      </c>
      <c r="AB468" s="40" t="s">
        <v>1795</v>
      </c>
    </row>
    <row r="469" spans="1:28" x14ac:dyDescent="0.25">
      <c r="A469">
        <v>99910468</v>
      </c>
      <c r="B469" t="s">
        <v>56</v>
      </c>
      <c r="C469" t="s">
        <v>61</v>
      </c>
      <c r="D469" t="s">
        <v>62</v>
      </c>
      <c r="G469" t="s">
        <v>48</v>
      </c>
      <c r="H469">
        <v>1</v>
      </c>
      <c r="K469" t="s">
        <v>1613</v>
      </c>
      <c r="L469" t="s">
        <v>1614</v>
      </c>
      <c r="M469" t="s">
        <v>1592</v>
      </c>
      <c r="N469">
        <v>8</v>
      </c>
      <c r="P469" t="s">
        <v>41</v>
      </c>
      <c r="Q469" t="s">
        <v>49</v>
      </c>
      <c r="R469" t="str">
        <f>"2881010"</f>
        <v>2881010</v>
      </c>
      <c r="S469" t="s">
        <v>1622</v>
      </c>
      <c r="T469" t="s">
        <v>1613</v>
      </c>
      <c r="U469" t="s">
        <v>1614</v>
      </c>
      <c r="V469" t="s">
        <v>1592</v>
      </c>
      <c r="W469" t="s">
        <v>51</v>
      </c>
      <c r="X469" t="s">
        <v>45</v>
      </c>
      <c r="Y469" s="1">
        <v>28641</v>
      </c>
      <c r="Z469">
        <v>2</v>
      </c>
      <c r="AA469" t="s">
        <v>1614</v>
      </c>
      <c r="AB469" s="40" t="s">
        <v>1795</v>
      </c>
    </row>
    <row r="470" spans="1:28" x14ac:dyDescent="0.25">
      <c r="A470">
        <v>99910469</v>
      </c>
      <c r="B470" t="s">
        <v>32</v>
      </c>
      <c r="C470" t="s">
        <v>71</v>
      </c>
      <c r="D470" t="s">
        <v>72</v>
      </c>
      <c r="G470" t="s">
        <v>35</v>
      </c>
      <c r="H470">
        <v>1</v>
      </c>
      <c r="K470" t="s">
        <v>223</v>
      </c>
      <c r="L470" t="s">
        <v>224</v>
      </c>
      <c r="M470" t="s">
        <v>131</v>
      </c>
      <c r="N470">
        <v>8</v>
      </c>
      <c r="P470" t="s">
        <v>41</v>
      </c>
      <c r="Q470" t="s">
        <v>49</v>
      </c>
      <c r="R470" t="str">
        <f>"0591901"</f>
        <v>0591901</v>
      </c>
      <c r="S470" t="s">
        <v>230</v>
      </c>
      <c r="T470" t="s">
        <v>223</v>
      </c>
      <c r="U470" t="s">
        <v>224</v>
      </c>
      <c r="V470" t="s">
        <v>131</v>
      </c>
      <c r="W470" t="s">
        <v>51</v>
      </c>
      <c r="X470" t="s">
        <v>45</v>
      </c>
      <c r="Y470" s="1">
        <v>28609</v>
      </c>
      <c r="Z470">
        <v>2</v>
      </c>
      <c r="AA470" t="s">
        <v>224</v>
      </c>
      <c r="AB470" s="40" t="s">
        <v>1795</v>
      </c>
    </row>
    <row r="471" spans="1:28" x14ac:dyDescent="0.25">
      <c r="A471">
        <v>99910470</v>
      </c>
      <c r="B471" t="s">
        <v>32</v>
      </c>
      <c r="C471" t="s">
        <v>139</v>
      </c>
      <c r="D471" t="s">
        <v>140</v>
      </c>
      <c r="G471" t="s">
        <v>48</v>
      </c>
      <c r="H471">
        <v>4</v>
      </c>
      <c r="K471" t="s">
        <v>1221</v>
      </c>
      <c r="L471" t="s">
        <v>1222</v>
      </c>
      <c r="M471" t="s">
        <v>1130</v>
      </c>
      <c r="N471">
        <v>8</v>
      </c>
      <c r="P471" t="s">
        <v>41</v>
      </c>
      <c r="Q471" t="s">
        <v>75</v>
      </c>
      <c r="R471" t="str">
        <f>"7351000"</f>
        <v>7351000</v>
      </c>
      <c r="S471" t="s">
        <v>1223</v>
      </c>
      <c r="T471" t="s">
        <v>1221</v>
      </c>
      <c r="U471" t="s">
        <v>1222</v>
      </c>
      <c r="V471" t="s">
        <v>1130</v>
      </c>
      <c r="W471" t="s">
        <v>51</v>
      </c>
      <c r="X471" t="s">
        <v>45</v>
      </c>
      <c r="Y471" s="1">
        <v>28605</v>
      </c>
      <c r="Z471">
        <v>1</v>
      </c>
      <c r="AA471" t="s">
        <v>1222</v>
      </c>
      <c r="AB471" s="40" t="s">
        <v>1795</v>
      </c>
    </row>
    <row r="472" spans="1:28" x14ac:dyDescent="0.25">
      <c r="A472">
        <v>99910471</v>
      </c>
      <c r="B472" t="s">
        <v>32</v>
      </c>
      <c r="C472" t="s">
        <v>71</v>
      </c>
      <c r="D472" t="s">
        <v>72</v>
      </c>
      <c r="G472" t="s">
        <v>48</v>
      </c>
      <c r="H472">
        <v>1</v>
      </c>
      <c r="K472" t="s">
        <v>154</v>
      </c>
      <c r="L472" t="s">
        <v>155</v>
      </c>
      <c r="M472" t="s">
        <v>131</v>
      </c>
      <c r="N472">
        <v>8</v>
      </c>
      <c r="P472" t="s">
        <v>41</v>
      </c>
      <c r="Q472" t="s">
        <v>75</v>
      </c>
      <c r="R472" t="str">
        <f>"7051002"</f>
        <v>7051002</v>
      </c>
      <c r="S472" t="s">
        <v>395</v>
      </c>
      <c r="T472" t="s">
        <v>154</v>
      </c>
      <c r="U472" t="s">
        <v>155</v>
      </c>
      <c r="V472" t="s">
        <v>131</v>
      </c>
      <c r="W472" t="s">
        <v>51</v>
      </c>
      <c r="X472" t="s">
        <v>45</v>
      </c>
      <c r="Y472" s="1">
        <v>28518</v>
      </c>
      <c r="Z472">
        <v>1</v>
      </c>
      <c r="AA472" t="s">
        <v>155</v>
      </c>
      <c r="AB472" s="40" t="s">
        <v>1795</v>
      </c>
    </row>
    <row r="473" spans="1:28" x14ac:dyDescent="0.25">
      <c r="A473">
        <v>99910472</v>
      </c>
      <c r="B473" t="s">
        <v>32</v>
      </c>
      <c r="C473" t="s">
        <v>71</v>
      </c>
      <c r="D473" t="s">
        <v>72</v>
      </c>
      <c r="G473" t="s">
        <v>35</v>
      </c>
      <c r="H473">
        <v>1</v>
      </c>
      <c r="K473" t="s">
        <v>223</v>
      </c>
      <c r="L473" t="s">
        <v>224</v>
      </c>
      <c r="M473" t="s">
        <v>131</v>
      </c>
      <c r="N473">
        <v>8</v>
      </c>
      <c r="P473" t="s">
        <v>41</v>
      </c>
      <c r="Q473" t="s">
        <v>49</v>
      </c>
      <c r="R473" t="str">
        <f>"0591901"</f>
        <v>0591901</v>
      </c>
      <c r="S473" t="s">
        <v>230</v>
      </c>
      <c r="T473" t="s">
        <v>223</v>
      </c>
      <c r="U473" t="s">
        <v>224</v>
      </c>
      <c r="V473" t="s">
        <v>131</v>
      </c>
      <c r="W473" t="s">
        <v>51</v>
      </c>
      <c r="X473" t="s">
        <v>45</v>
      </c>
      <c r="Y473" s="1">
        <v>28508</v>
      </c>
      <c r="Z473">
        <v>2</v>
      </c>
      <c r="AA473" t="s">
        <v>224</v>
      </c>
      <c r="AB473" s="40" t="s">
        <v>1795</v>
      </c>
    </row>
    <row r="474" spans="1:28" x14ac:dyDescent="0.25">
      <c r="A474">
        <v>99910473</v>
      </c>
      <c r="B474" t="s">
        <v>32</v>
      </c>
      <c r="C474" t="s">
        <v>68</v>
      </c>
      <c r="D474" t="s">
        <v>69</v>
      </c>
      <c r="G474" t="s">
        <v>48</v>
      </c>
      <c r="H474">
        <v>1</v>
      </c>
      <c r="K474" t="s">
        <v>300</v>
      </c>
      <c r="L474" t="s">
        <v>301</v>
      </c>
      <c r="M474" t="s">
        <v>131</v>
      </c>
      <c r="N474">
        <v>8</v>
      </c>
      <c r="P474" t="s">
        <v>41</v>
      </c>
      <c r="Q474" t="s">
        <v>42</v>
      </c>
      <c r="R474" t="str">
        <f>"0561001"</f>
        <v>0561001</v>
      </c>
      <c r="S474" t="s">
        <v>308</v>
      </c>
      <c r="T474" t="s">
        <v>300</v>
      </c>
      <c r="U474" t="s">
        <v>301</v>
      </c>
      <c r="V474" t="s">
        <v>131</v>
      </c>
      <c r="W474" t="s">
        <v>51</v>
      </c>
      <c r="X474" t="s">
        <v>45</v>
      </c>
      <c r="Y474" s="1">
        <v>28503</v>
      </c>
      <c r="Z474">
        <v>2</v>
      </c>
      <c r="AA474" t="s">
        <v>301</v>
      </c>
      <c r="AB474" s="40" t="s">
        <v>1795</v>
      </c>
    </row>
    <row r="475" spans="1:28" x14ac:dyDescent="0.25">
      <c r="A475">
        <v>99910474</v>
      </c>
      <c r="B475" t="s">
        <v>32</v>
      </c>
      <c r="C475" t="s">
        <v>139</v>
      </c>
      <c r="D475" t="s">
        <v>140</v>
      </c>
      <c r="G475" t="s">
        <v>88</v>
      </c>
      <c r="H475">
        <v>2</v>
      </c>
      <c r="I475" t="s">
        <v>433</v>
      </c>
      <c r="J475" s="1">
        <v>40422</v>
      </c>
      <c r="K475" t="s">
        <v>431</v>
      </c>
      <c r="L475" t="s">
        <v>196</v>
      </c>
      <c r="M475" t="s">
        <v>131</v>
      </c>
      <c r="N475">
        <v>8</v>
      </c>
      <c r="O475" s="1">
        <v>40422</v>
      </c>
      <c r="P475" t="s">
        <v>41</v>
      </c>
      <c r="Q475" t="s">
        <v>75</v>
      </c>
      <c r="R475" t="str">
        <f>"7521012"</f>
        <v>7521012</v>
      </c>
      <c r="S475" t="s">
        <v>432</v>
      </c>
      <c r="T475" t="s">
        <v>431</v>
      </c>
      <c r="U475" t="s">
        <v>196</v>
      </c>
      <c r="V475" t="s">
        <v>131</v>
      </c>
      <c r="W475" t="s">
        <v>165</v>
      </c>
      <c r="X475" t="s">
        <v>45</v>
      </c>
      <c r="Y475" s="1">
        <v>28503</v>
      </c>
      <c r="Z475">
        <v>1</v>
      </c>
      <c r="AA475" t="s">
        <v>196</v>
      </c>
      <c r="AB475" s="40" t="s">
        <v>1795</v>
      </c>
    </row>
    <row r="476" spans="1:28" x14ac:dyDescent="0.25">
      <c r="A476">
        <v>99910475</v>
      </c>
      <c r="B476" t="s">
        <v>32</v>
      </c>
      <c r="C476" t="s">
        <v>79</v>
      </c>
      <c r="D476" t="s">
        <v>80</v>
      </c>
      <c r="G476" t="s">
        <v>35</v>
      </c>
      <c r="H476">
        <v>1</v>
      </c>
      <c r="I476">
        <v>2668</v>
      </c>
      <c r="J476" s="1">
        <v>43344</v>
      </c>
      <c r="K476" t="s">
        <v>877</v>
      </c>
      <c r="L476" t="s">
        <v>878</v>
      </c>
      <c r="M476" t="s">
        <v>131</v>
      </c>
      <c r="N476">
        <v>8</v>
      </c>
      <c r="O476" s="1">
        <v>43344</v>
      </c>
      <c r="P476" t="s">
        <v>41</v>
      </c>
      <c r="Q476" t="s">
        <v>75</v>
      </c>
      <c r="R476" t="str">
        <f>"7541020"</f>
        <v>7541020</v>
      </c>
      <c r="S476" t="s">
        <v>882</v>
      </c>
      <c r="T476" t="s">
        <v>877</v>
      </c>
      <c r="U476" t="s">
        <v>878</v>
      </c>
      <c r="V476" t="s">
        <v>131</v>
      </c>
      <c r="W476" t="s">
        <v>51</v>
      </c>
      <c r="X476" t="s">
        <v>45</v>
      </c>
      <c r="Y476" s="1">
        <v>28475</v>
      </c>
      <c r="Z476">
        <v>1</v>
      </c>
      <c r="AA476" t="s">
        <v>878</v>
      </c>
      <c r="AB476" s="40" t="s">
        <v>1795</v>
      </c>
    </row>
    <row r="477" spans="1:28" x14ac:dyDescent="0.25">
      <c r="A477">
        <v>99910476</v>
      </c>
      <c r="B477" t="s">
        <v>56</v>
      </c>
      <c r="C477" t="s">
        <v>117</v>
      </c>
      <c r="D477" t="s">
        <v>118</v>
      </c>
      <c r="G477" t="s">
        <v>35</v>
      </c>
      <c r="H477">
        <v>1</v>
      </c>
      <c r="I477" t="s">
        <v>1555</v>
      </c>
      <c r="J477" s="1">
        <v>43344</v>
      </c>
      <c r="K477" t="s">
        <v>1546</v>
      </c>
      <c r="L477" t="s">
        <v>1547</v>
      </c>
      <c r="M477" t="s">
        <v>1548</v>
      </c>
      <c r="N477">
        <v>8</v>
      </c>
      <c r="O477" s="1">
        <v>43344</v>
      </c>
      <c r="P477" t="s">
        <v>41</v>
      </c>
      <c r="Q477" t="s">
        <v>49</v>
      </c>
      <c r="R477" t="str">
        <f>"1081010"</f>
        <v>1081010</v>
      </c>
      <c r="S477" t="s">
        <v>1552</v>
      </c>
      <c r="T477" t="s">
        <v>1546</v>
      </c>
      <c r="U477" t="s">
        <v>1547</v>
      </c>
      <c r="V477" t="s">
        <v>1548</v>
      </c>
      <c r="W477" t="s">
        <v>44</v>
      </c>
      <c r="X477" t="s">
        <v>45</v>
      </c>
      <c r="Y477" s="1">
        <v>28346</v>
      </c>
      <c r="Z477">
        <v>2</v>
      </c>
      <c r="AA477" t="s">
        <v>1547</v>
      </c>
      <c r="AB477" s="40" t="s">
        <v>1795</v>
      </c>
    </row>
    <row r="478" spans="1:28" x14ac:dyDescent="0.25">
      <c r="A478">
        <v>99910477</v>
      </c>
      <c r="B478" t="s">
        <v>32</v>
      </c>
      <c r="C478" t="s">
        <v>33</v>
      </c>
      <c r="D478" t="s">
        <v>34</v>
      </c>
      <c r="G478" t="s">
        <v>88</v>
      </c>
      <c r="H478">
        <v>4</v>
      </c>
      <c r="I478" t="s">
        <v>186</v>
      </c>
      <c r="J478" s="1">
        <v>42647</v>
      </c>
      <c r="K478" t="s">
        <v>157</v>
      </c>
      <c r="L478" t="s">
        <v>158</v>
      </c>
      <c r="M478" t="s">
        <v>131</v>
      </c>
      <c r="N478">
        <v>8</v>
      </c>
      <c r="O478" s="1">
        <v>42647</v>
      </c>
      <c r="P478" t="s">
        <v>41</v>
      </c>
      <c r="Q478" t="s">
        <v>42</v>
      </c>
      <c r="R478" t="str">
        <f>"0561004"</f>
        <v>0561004</v>
      </c>
      <c r="S478" t="s">
        <v>172</v>
      </c>
      <c r="T478" t="s">
        <v>157</v>
      </c>
      <c r="U478" t="s">
        <v>158</v>
      </c>
      <c r="V478" t="s">
        <v>131</v>
      </c>
      <c r="W478" t="s">
        <v>51</v>
      </c>
      <c r="X478" t="s">
        <v>45</v>
      </c>
      <c r="Y478" s="1">
        <v>28208</v>
      </c>
      <c r="Z478">
        <v>2</v>
      </c>
      <c r="AA478" t="s">
        <v>158</v>
      </c>
      <c r="AB478" s="40" t="s">
        <v>1795</v>
      </c>
    </row>
    <row r="479" spans="1:28" x14ac:dyDescent="0.25">
      <c r="A479">
        <v>99910478</v>
      </c>
      <c r="B479" t="s">
        <v>56</v>
      </c>
      <c r="C479" t="s">
        <v>151</v>
      </c>
      <c r="D479" t="s">
        <v>152</v>
      </c>
      <c r="G479" t="s">
        <v>48</v>
      </c>
      <c r="H479">
        <v>1</v>
      </c>
      <c r="K479" t="s">
        <v>380</v>
      </c>
      <c r="L479" t="s">
        <v>381</v>
      </c>
      <c r="M479" t="s">
        <v>131</v>
      </c>
      <c r="N479">
        <v>8</v>
      </c>
      <c r="P479" t="s">
        <v>41</v>
      </c>
      <c r="Q479" t="s">
        <v>49</v>
      </c>
      <c r="R479" t="str">
        <f>"0580552"</f>
        <v>0580552</v>
      </c>
      <c r="S479" t="s">
        <v>386</v>
      </c>
      <c r="T479" t="s">
        <v>380</v>
      </c>
      <c r="U479" t="s">
        <v>381</v>
      </c>
      <c r="V479" t="s">
        <v>131</v>
      </c>
      <c r="W479" t="s">
        <v>51</v>
      </c>
      <c r="X479" t="s">
        <v>45</v>
      </c>
      <c r="Y479" s="1">
        <v>28158</v>
      </c>
      <c r="Z479">
        <v>2</v>
      </c>
      <c r="AA479" t="s">
        <v>381</v>
      </c>
      <c r="AB479" s="40" t="s">
        <v>1795</v>
      </c>
    </row>
    <row r="480" spans="1:28" x14ac:dyDescent="0.25">
      <c r="A480">
        <v>99910479</v>
      </c>
      <c r="B480" t="s">
        <v>32</v>
      </c>
      <c r="C480" t="s">
        <v>204</v>
      </c>
      <c r="D480" t="s">
        <v>205</v>
      </c>
      <c r="G480" t="s">
        <v>35</v>
      </c>
      <c r="H480">
        <v>1</v>
      </c>
      <c r="I480" t="s">
        <v>340</v>
      </c>
      <c r="J480" s="1">
        <v>43368</v>
      </c>
      <c r="K480" t="s">
        <v>300</v>
      </c>
      <c r="L480" t="s">
        <v>301</v>
      </c>
      <c r="M480" t="s">
        <v>131</v>
      </c>
      <c r="N480">
        <v>8</v>
      </c>
      <c r="O480" s="1">
        <v>43368</v>
      </c>
      <c r="P480" t="s">
        <v>41</v>
      </c>
      <c r="Q480" t="s">
        <v>49</v>
      </c>
      <c r="R480" t="str">
        <f>"0560020"</f>
        <v>0560020</v>
      </c>
      <c r="S480" t="s">
        <v>302</v>
      </c>
      <c r="T480" t="s">
        <v>300</v>
      </c>
      <c r="U480" t="s">
        <v>301</v>
      </c>
      <c r="V480" t="s">
        <v>131</v>
      </c>
      <c r="W480" t="s">
        <v>44</v>
      </c>
      <c r="X480" t="s">
        <v>45</v>
      </c>
      <c r="Y480" s="1">
        <v>28144</v>
      </c>
      <c r="Z480">
        <v>2</v>
      </c>
      <c r="AA480" t="s">
        <v>301</v>
      </c>
      <c r="AB480" s="40" t="s">
        <v>1795</v>
      </c>
    </row>
    <row r="481" spans="1:28" x14ac:dyDescent="0.25">
      <c r="A481">
        <v>99910480</v>
      </c>
      <c r="B481" t="s">
        <v>56</v>
      </c>
      <c r="C481" t="s">
        <v>52</v>
      </c>
      <c r="D481" t="s">
        <v>53</v>
      </c>
      <c r="G481" t="s">
        <v>35</v>
      </c>
      <c r="H481">
        <v>1</v>
      </c>
      <c r="I481">
        <v>0</v>
      </c>
      <c r="J481" s="1">
        <v>43344</v>
      </c>
      <c r="K481" t="s">
        <v>223</v>
      </c>
      <c r="L481" t="s">
        <v>224</v>
      </c>
      <c r="M481" t="s">
        <v>131</v>
      </c>
      <c r="N481">
        <v>8</v>
      </c>
      <c r="O481" s="1">
        <v>43344</v>
      </c>
      <c r="P481" t="s">
        <v>41</v>
      </c>
      <c r="Q481" t="s">
        <v>49</v>
      </c>
      <c r="R481" t="str">
        <f>"0591901"</f>
        <v>0591901</v>
      </c>
      <c r="S481" t="s">
        <v>230</v>
      </c>
      <c r="T481" t="s">
        <v>223</v>
      </c>
      <c r="U481" t="s">
        <v>224</v>
      </c>
      <c r="V481" t="s">
        <v>131</v>
      </c>
      <c r="W481" t="s">
        <v>44</v>
      </c>
      <c r="X481" t="s">
        <v>45</v>
      </c>
      <c r="Y481" s="1">
        <v>28141</v>
      </c>
      <c r="Z481">
        <v>2</v>
      </c>
      <c r="AA481" t="s">
        <v>224</v>
      </c>
      <c r="AB481" s="40" t="s">
        <v>1795</v>
      </c>
    </row>
    <row r="482" spans="1:28" x14ac:dyDescent="0.25">
      <c r="A482">
        <v>99910481</v>
      </c>
      <c r="B482" t="s">
        <v>32</v>
      </c>
      <c r="C482" t="s">
        <v>139</v>
      </c>
      <c r="D482" t="s">
        <v>140</v>
      </c>
      <c r="G482" t="s">
        <v>35</v>
      </c>
      <c r="H482">
        <v>1</v>
      </c>
      <c r="K482" t="s">
        <v>223</v>
      </c>
      <c r="L482" t="s">
        <v>224</v>
      </c>
      <c r="M482" t="s">
        <v>131</v>
      </c>
      <c r="N482">
        <v>8</v>
      </c>
      <c r="P482" t="s">
        <v>41</v>
      </c>
      <c r="Q482" t="s">
        <v>49</v>
      </c>
      <c r="R482" t="str">
        <f>"0591901"</f>
        <v>0591901</v>
      </c>
      <c r="S482" t="s">
        <v>230</v>
      </c>
      <c r="T482" t="s">
        <v>223</v>
      </c>
      <c r="U482" t="s">
        <v>224</v>
      </c>
      <c r="V482" t="s">
        <v>131</v>
      </c>
      <c r="W482" t="s">
        <v>51</v>
      </c>
      <c r="X482" t="s">
        <v>45</v>
      </c>
      <c r="Y482" s="1">
        <v>27958</v>
      </c>
      <c r="Z482">
        <v>2</v>
      </c>
      <c r="AA482" t="s">
        <v>224</v>
      </c>
      <c r="AB482" s="40" t="s">
        <v>1795</v>
      </c>
    </row>
    <row r="483" spans="1:28" x14ac:dyDescent="0.25">
      <c r="A483">
        <v>99910482</v>
      </c>
      <c r="B483" t="s">
        <v>56</v>
      </c>
      <c r="C483" t="s">
        <v>61</v>
      </c>
      <c r="D483" t="s">
        <v>62</v>
      </c>
      <c r="G483" t="s">
        <v>48</v>
      </c>
      <c r="H483">
        <v>1</v>
      </c>
      <c r="K483" t="s">
        <v>223</v>
      </c>
      <c r="L483" t="s">
        <v>224</v>
      </c>
      <c r="M483" t="s">
        <v>131</v>
      </c>
      <c r="N483">
        <v>8</v>
      </c>
      <c r="P483" t="s">
        <v>41</v>
      </c>
      <c r="Q483" t="s">
        <v>42</v>
      </c>
      <c r="R483" t="str">
        <f>"0580204"</f>
        <v>0580204</v>
      </c>
      <c r="S483" t="s">
        <v>235</v>
      </c>
      <c r="T483" t="s">
        <v>223</v>
      </c>
      <c r="U483" t="s">
        <v>224</v>
      </c>
      <c r="V483" t="s">
        <v>131</v>
      </c>
      <c r="W483" t="s">
        <v>51</v>
      </c>
      <c r="X483" t="s">
        <v>45</v>
      </c>
      <c r="Y483" s="1">
        <v>27907</v>
      </c>
      <c r="Z483">
        <v>2</v>
      </c>
      <c r="AA483" t="s">
        <v>224</v>
      </c>
      <c r="AB483" s="40" t="s">
        <v>1795</v>
      </c>
    </row>
    <row r="484" spans="1:28" x14ac:dyDescent="0.25">
      <c r="A484">
        <v>99910483</v>
      </c>
      <c r="B484" t="s">
        <v>32</v>
      </c>
      <c r="C484" t="s">
        <v>71</v>
      </c>
      <c r="D484" t="s">
        <v>72</v>
      </c>
      <c r="G484" t="s">
        <v>48</v>
      </c>
      <c r="H484">
        <v>1</v>
      </c>
      <c r="K484" t="s">
        <v>268</v>
      </c>
      <c r="L484" t="s">
        <v>269</v>
      </c>
      <c r="M484" t="s">
        <v>131</v>
      </c>
      <c r="N484">
        <v>8</v>
      </c>
      <c r="P484" t="s">
        <v>41</v>
      </c>
      <c r="Q484" t="s">
        <v>75</v>
      </c>
      <c r="R484" t="str">
        <f>"7052028"</f>
        <v>7052028</v>
      </c>
      <c r="S484" t="s">
        <v>601</v>
      </c>
      <c r="T484" t="s">
        <v>268</v>
      </c>
      <c r="U484" t="s">
        <v>269</v>
      </c>
      <c r="V484" t="s">
        <v>131</v>
      </c>
      <c r="W484" t="s">
        <v>51</v>
      </c>
      <c r="X484" t="s">
        <v>45</v>
      </c>
      <c r="Y484" s="1">
        <v>27887</v>
      </c>
      <c r="Z484">
        <v>1</v>
      </c>
      <c r="AA484" t="s">
        <v>269</v>
      </c>
      <c r="AB484" s="40" t="s">
        <v>1795</v>
      </c>
    </row>
    <row r="485" spans="1:28" x14ac:dyDescent="0.25">
      <c r="A485">
        <v>99910484</v>
      </c>
      <c r="B485" t="s">
        <v>32</v>
      </c>
      <c r="C485" t="s">
        <v>139</v>
      </c>
      <c r="D485" t="s">
        <v>140</v>
      </c>
      <c r="G485" t="s">
        <v>48</v>
      </c>
      <c r="H485">
        <v>3</v>
      </c>
      <c r="K485" t="s">
        <v>877</v>
      </c>
      <c r="L485" t="s">
        <v>878</v>
      </c>
      <c r="M485" t="s">
        <v>131</v>
      </c>
      <c r="N485">
        <v>8</v>
      </c>
      <c r="P485" t="s">
        <v>41</v>
      </c>
      <c r="Q485" t="s">
        <v>75</v>
      </c>
      <c r="R485" t="str">
        <f>"7541004"</f>
        <v>7541004</v>
      </c>
      <c r="S485" t="s">
        <v>889</v>
      </c>
      <c r="T485" t="s">
        <v>877</v>
      </c>
      <c r="U485" t="s">
        <v>878</v>
      </c>
      <c r="V485" t="s">
        <v>131</v>
      </c>
      <c r="W485" t="s">
        <v>51</v>
      </c>
      <c r="X485" t="s">
        <v>45</v>
      </c>
      <c r="Y485" s="1">
        <v>27842</v>
      </c>
      <c r="Z485">
        <v>1</v>
      </c>
      <c r="AA485" t="s">
        <v>878</v>
      </c>
      <c r="AB485" s="40" t="s">
        <v>1795</v>
      </c>
    </row>
    <row r="486" spans="1:28" x14ac:dyDescent="0.25">
      <c r="A486">
        <v>99910485</v>
      </c>
      <c r="B486" t="s">
        <v>32</v>
      </c>
      <c r="C486" t="s">
        <v>79</v>
      </c>
      <c r="D486" t="s">
        <v>80</v>
      </c>
      <c r="G486" t="s">
        <v>35</v>
      </c>
      <c r="H486">
        <v>1</v>
      </c>
      <c r="I486">
        <v>411</v>
      </c>
      <c r="J486" s="1">
        <v>43344</v>
      </c>
      <c r="K486" t="s">
        <v>1198</v>
      </c>
      <c r="L486" t="s">
        <v>1199</v>
      </c>
      <c r="M486" t="s">
        <v>1130</v>
      </c>
      <c r="N486">
        <v>8</v>
      </c>
      <c r="O486" s="1">
        <v>43344</v>
      </c>
      <c r="P486" t="s">
        <v>41</v>
      </c>
      <c r="Q486" t="s">
        <v>75</v>
      </c>
      <c r="R486" t="str">
        <f>"7311000"</f>
        <v>7311000</v>
      </c>
      <c r="S486" t="s">
        <v>1208</v>
      </c>
      <c r="T486" t="s">
        <v>1198</v>
      </c>
      <c r="U486" t="s">
        <v>1199</v>
      </c>
      <c r="V486" t="s">
        <v>1130</v>
      </c>
      <c r="W486" t="s">
        <v>44</v>
      </c>
      <c r="X486" t="s">
        <v>45</v>
      </c>
      <c r="Y486" s="1">
        <v>27760</v>
      </c>
      <c r="Z486">
        <v>1</v>
      </c>
      <c r="AA486" t="s">
        <v>1199</v>
      </c>
      <c r="AB486" s="40" t="s">
        <v>1795</v>
      </c>
    </row>
    <row r="487" spans="1:28" x14ac:dyDescent="0.25">
      <c r="A487">
        <v>99910486</v>
      </c>
      <c r="B487" t="s">
        <v>32</v>
      </c>
      <c r="C487" t="s">
        <v>79</v>
      </c>
      <c r="D487" t="s">
        <v>80</v>
      </c>
      <c r="G487" t="s">
        <v>35</v>
      </c>
      <c r="H487">
        <v>1</v>
      </c>
      <c r="K487" t="s">
        <v>1221</v>
      </c>
      <c r="L487" t="s">
        <v>1222</v>
      </c>
      <c r="M487" t="s">
        <v>1130</v>
      </c>
      <c r="N487">
        <v>8</v>
      </c>
      <c r="P487" t="s">
        <v>41</v>
      </c>
      <c r="Q487" t="s">
        <v>75</v>
      </c>
      <c r="R487" t="str">
        <f>"7351000"</f>
        <v>7351000</v>
      </c>
      <c r="S487" t="s">
        <v>1223</v>
      </c>
      <c r="T487" t="s">
        <v>1221</v>
      </c>
      <c r="U487" t="s">
        <v>1222</v>
      </c>
      <c r="V487" t="s">
        <v>1130</v>
      </c>
      <c r="W487" t="s">
        <v>51</v>
      </c>
      <c r="X487" t="s">
        <v>45</v>
      </c>
      <c r="Y487" s="1">
        <v>27760</v>
      </c>
      <c r="Z487">
        <v>1</v>
      </c>
      <c r="AA487" t="s">
        <v>1222</v>
      </c>
      <c r="AB487" s="40" t="s">
        <v>1795</v>
      </c>
    </row>
    <row r="488" spans="1:28" x14ac:dyDescent="0.25">
      <c r="A488">
        <v>99910487</v>
      </c>
      <c r="B488" t="s">
        <v>56</v>
      </c>
      <c r="C488" t="s">
        <v>79</v>
      </c>
      <c r="D488" t="s">
        <v>80</v>
      </c>
      <c r="G488" t="s">
        <v>48</v>
      </c>
      <c r="H488">
        <v>1</v>
      </c>
      <c r="K488" t="s">
        <v>1566</v>
      </c>
      <c r="L488" t="s">
        <v>1567</v>
      </c>
      <c r="M488" t="s">
        <v>1548</v>
      </c>
      <c r="N488">
        <v>8</v>
      </c>
      <c r="P488" t="s">
        <v>41</v>
      </c>
      <c r="Q488" t="s">
        <v>49</v>
      </c>
      <c r="R488" t="str">
        <f>"2960001"</f>
        <v>2960001</v>
      </c>
      <c r="S488" t="s">
        <v>1569</v>
      </c>
      <c r="T488" t="s">
        <v>1566</v>
      </c>
      <c r="U488" t="s">
        <v>1567</v>
      </c>
      <c r="V488" t="s">
        <v>1548</v>
      </c>
      <c r="W488" t="s">
        <v>51</v>
      </c>
      <c r="X488" t="s">
        <v>45</v>
      </c>
      <c r="Y488" s="1">
        <v>27760</v>
      </c>
      <c r="Z488">
        <v>2</v>
      </c>
      <c r="AA488" t="s">
        <v>1567</v>
      </c>
      <c r="AB488" s="40" t="s">
        <v>1795</v>
      </c>
    </row>
    <row r="489" spans="1:28" x14ac:dyDescent="0.25">
      <c r="A489">
        <v>99910488</v>
      </c>
      <c r="B489" t="s">
        <v>32</v>
      </c>
      <c r="C489" t="s">
        <v>46</v>
      </c>
      <c r="D489" t="s">
        <v>47</v>
      </c>
      <c r="G489" t="s">
        <v>35</v>
      </c>
      <c r="H489">
        <v>1</v>
      </c>
      <c r="I489">
        <v>18448</v>
      </c>
      <c r="J489" s="1">
        <v>43344</v>
      </c>
      <c r="K489" t="s">
        <v>380</v>
      </c>
      <c r="L489" t="s">
        <v>381</v>
      </c>
      <c r="M489" t="s">
        <v>131</v>
      </c>
      <c r="N489">
        <v>8</v>
      </c>
      <c r="O489" s="1">
        <v>43344</v>
      </c>
      <c r="P489" t="s">
        <v>41</v>
      </c>
      <c r="Q489" t="s">
        <v>49</v>
      </c>
      <c r="R489" t="str">
        <f>"0581859"</f>
        <v>0581859</v>
      </c>
      <c r="S489" t="s">
        <v>394</v>
      </c>
      <c r="T489" t="s">
        <v>380</v>
      </c>
      <c r="U489" t="s">
        <v>381</v>
      </c>
      <c r="V489" t="s">
        <v>131</v>
      </c>
      <c r="W489" t="s">
        <v>51</v>
      </c>
      <c r="X489" t="s">
        <v>45</v>
      </c>
      <c r="Y489" s="1">
        <v>27740</v>
      </c>
      <c r="Z489">
        <v>2</v>
      </c>
      <c r="AA489" t="s">
        <v>381</v>
      </c>
      <c r="AB489" s="40" t="s">
        <v>1795</v>
      </c>
    </row>
    <row r="490" spans="1:28" x14ac:dyDescent="0.25">
      <c r="A490">
        <v>99910489</v>
      </c>
      <c r="B490" t="s">
        <v>32</v>
      </c>
      <c r="C490" t="s">
        <v>68</v>
      </c>
      <c r="D490" t="s">
        <v>69</v>
      </c>
      <c r="G490" t="s">
        <v>48</v>
      </c>
      <c r="H490">
        <v>1</v>
      </c>
      <c r="K490" t="s">
        <v>162</v>
      </c>
      <c r="L490" t="s">
        <v>158</v>
      </c>
      <c r="M490" t="s">
        <v>131</v>
      </c>
      <c r="N490">
        <v>8</v>
      </c>
      <c r="P490" t="s">
        <v>41</v>
      </c>
      <c r="Q490" t="s">
        <v>49</v>
      </c>
      <c r="R490" t="str">
        <f>"0581350"</f>
        <v>0581350</v>
      </c>
      <c r="S490" t="s">
        <v>187</v>
      </c>
      <c r="T490" t="s">
        <v>162</v>
      </c>
      <c r="U490" t="s">
        <v>158</v>
      </c>
      <c r="V490" t="s">
        <v>131</v>
      </c>
      <c r="W490" t="s">
        <v>51</v>
      </c>
      <c r="X490" t="s">
        <v>45</v>
      </c>
      <c r="Y490" s="1">
        <v>27612</v>
      </c>
      <c r="Z490">
        <v>2</v>
      </c>
      <c r="AA490" t="s">
        <v>158</v>
      </c>
      <c r="AB490" s="40" t="s">
        <v>1795</v>
      </c>
    </row>
    <row r="491" spans="1:28" x14ac:dyDescent="0.25">
      <c r="A491">
        <v>99910490</v>
      </c>
      <c r="B491" t="s">
        <v>32</v>
      </c>
      <c r="C491" t="s">
        <v>111</v>
      </c>
      <c r="D491" t="s">
        <v>112</v>
      </c>
      <c r="G491" t="s">
        <v>35</v>
      </c>
      <c r="H491">
        <v>1</v>
      </c>
      <c r="I491" t="s">
        <v>286</v>
      </c>
      <c r="J491" s="1">
        <v>43344</v>
      </c>
      <c r="K491" t="s">
        <v>268</v>
      </c>
      <c r="L491" t="s">
        <v>269</v>
      </c>
      <c r="M491" t="s">
        <v>131</v>
      </c>
      <c r="N491">
        <v>8</v>
      </c>
      <c r="P491" t="s">
        <v>41</v>
      </c>
      <c r="Q491" t="s">
        <v>75</v>
      </c>
      <c r="R491" t="str">
        <f>"7052018"</f>
        <v>7052018</v>
      </c>
      <c r="S491" t="s">
        <v>577</v>
      </c>
      <c r="T491" t="s">
        <v>268</v>
      </c>
      <c r="U491" t="s">
        <v>269</v>
      </c>
      <c r="V491" t="s">
        <v>131</v>
      </c>
      <c r="W491" t="s">
        <v>51</v>
      </c>
      <c r="X491" t="s">
        <v>45</v>
      </c>
      <c r="Y491" s="1">
        <v>27562</v>
      </c>
      <c r="Z491">
        <v>1</v>
      </c>
      <c r="AA491" t="s">
        <v>269</v>
      </c>
      <c r="AB491" s="40" t="s">
        <v>1795</v>
      </c>
    </row>
    <row r="492" spans="1:28" x14ac:dyDescent="0.25">
      <c r="A492">
        <v>99910491</v>
      </c>
      <c r="B492" t="s">
        <v>32</v>
      </c>
      <c r="C492" t="s">
        <v>90</v>
      </c>
      <c r="D492" t="s">
        <v>91</v>
      </c>
      <c r="G492" t="s">
        <v>35</v>
      </c>
      <c r="H492">
        <v>1</v>
      </c>
      <c r="K492" t="s">
        <v>877</v>
      </c>
      <c r="L492" t="s">
        <v>878</v>
      </c>
      <c r="M492" t="s">
        <v>131</v>
      </c>
      <c r="N492">
        <v>8</v>
      </c>
      <c r="P492" t="s">
        <v>41</v>
      </c>
      <c r="Q492" t="s">
        <v>95</v>
      </c>
      <c r="R492" t="str">
        <f>"7541049"</f>
        <v>7541049</v>
      </c>
      <c r="S492" t="s">
        <v>898</v>
      </c>
      <c r="T492" t="s">
        <v>877</v>
      </c>
      <c r="U492" t="s">
        <v>878</v>
      </c>
      <c r="V492" t="s">
        <v>131</v>
      </c>
      <c r="W492" t="s">
        <v>51</v>
      </c>
      <c r="X492" t="s">
        <v>45</v>
      </c>
      <c r="Y492" s="1">
        <v>27467</v>
      </c>
      <c r="Z492">
        <v>1</v>
      </c>
      <c r="AA492" t="s">
        <v>878</v>
      </c>
      <c r="AB492" s="40" t="s">
        <v>1795</v>
      </c>
    </row>
    <row r="493" spans="1:28" x14ac:dyDescent="0.25">
      <c r="A493">
        <v>99910492</v>
      </c>
      <c r="B493" t="s">
        <v>32</v>
      </c>
      <c r="C493" t="s">
        <v>46</v>
      </c>
      <c r="D493" t="s">
        <v>47</v>
      </c>
      <c r="G493" t="s">
        <v>35</v>
      </c>
      <c r="H493">
        <v>1</v>
      </c>
      <c r="I493" t="s">
        <v>1168</v>
      </c>
      <c r="J493" s="1">
        <v>43344</v>
      </c>
      <c r="K493" t="s">
        <v>1128</v>
      </c>
      <c r="L493" t="s">
        <v>1129</v>
      </c>
      <c r="M493" t="s">
        <v>1130</v>
      </c>
      <c r="N493">
        <v>8</v>
      </c>
      <c r="O493" s="1">
        <v>43344</v>
      </c>
      <c r="P493" t="s">
        <v>41</v>
      </c>
      <c r="Q493" t="s">
        <v>49</v>
      </c>
      <c r="R493" t="str">
        <f>"3160002"</f>
        <v>3160002</v>
      </c>
      <c r="S493" t="s">
        <v>1143</v>
      </c>
      <c r="T493" t="s">
        <v>1128</v>
      </c>
      <c r="U493" t="s">
        <v>1129</v>
      </c>
      <c r="V493" t="s">
        <v>1130</v>
      </c>
      <c r="W493" t="s">
        <v>44</v>
      </c>
      <c r="X493" t="s">
        <v>45</v>
      </c>
      <c r="Y493" s="1">
        <v>27464</v>
      </c>
      <c r="Z493">
        <v>2</v>
      </c>
      <c r="AA493" t="s">
        <v>1129</v>
      </c>
      <c r="AB493" s="40" t="s">
        <v>1795</v>
      </c>
    </row>
    <row r="494" spans="1:28" x14ac:dyDescent="0.25">
      <c r="A494">
        <v>99910493</v>
      </c>
      <c r="B494" t="s">
        <v>56</v>
      </c>
      <c r="C494" t="s">
        <v>111</v>
      </c>
      <c r="D494" t="s">
        <v>112</v>
      </c>
      <c r="G494" t="s">
        <v>35</v>
      </c>
      <c r="H494">
        <v>1</v>
      </c>
      <c r="K494" t="s">
        <v>268</v>
      </c>
      <c r="L494" t="s">
        <v>269</v>
      </c>
      <c r="M494" t="s">
        <v>131</v>
      </c>
      <c r="N494">
        <v>8</v>
      </c>
      <c r="P494" t="s">
        <v>41</v>
      </c>
      <c r="Q494" t="s">
        <v>75</v>
      </c>
      <c r="R494" t="str">
        <f>"7052008"</f>
        <v>7052008</v>
      </c>
      <c r="S494" t="s">
        <v>274</v>
      </c>
      <c r="T494" t="s">
        <v>268</v>
      </c>
      <c r="U494" t="s">
        <v>269</v>
      </c>
      <c r="V494" t="s">
        <v>131</v>
      </c>
      <c r="W494" t="s">
        <v>51</v>
      </c>
      <c r="X494" t="s">
        <v>45</v>
      </c>
      <c r="Y494" s="1">
        <v>27456</v>
      </c>
      <c r="Z494">
        <v>1</v>
      </c>
      <c r="AA494" t="s">
        <v>269</v>
      </c>
      <c r="AB494" s="40" t="s">
        <v>1795</v>
      </c>
    </row>
    <row r="495" spans="1:28" x14ac:dyDescent="0.25">
      <c r="A495">
        <v>99910494</v>
      </c>
      <c r="B495" t="s">
        <v>32</v>
      </c>
      <c r="C495" t="s">
        <v>68</v>
      </c>
      <c r="D495" t="s">
        <v>69</v>
      </c>
      <c r="G495" t="s">
        <v>48</v>
      </c>
      <c r="H495">
        <v>1</v>
      </c>
      <c r="K495" t="s">
        <v>1487</v>
      </c>
      <c r="L495" t="s">
        <v>1488</v>
      </c>
      <c r="M495" t="s">
        <v>670</v>
      </c>
      <c r="N495">
        <v>8</v>
      </c>
      <c r="P495" t="s">
        <v>41</v>
      </c>
      <c r="Q495" t="s">
        <v>49</v>
      </c>
      <c r="R495" t="str">
        <f>"1760001"</f>
        <v>1760001</v>
      </c>
      <c r="S495" t="s">
        <v>1489</v>
      </c>
      <c r="T495" t="s">
        <v>1487</v>
      </c>
      <c r="U495" t="s">
        <v>1488</v>
      </c>
      <c r="V495" t="s">
        <v>670</v>
      </c>
      <c r="W495" t="s">
        <v>51</v>
      </c>
      <c r="X495" t="s">
        <v>45</v>
      </c>
      <c r="Y495" s="1">
        <v>27395</v>
      </c>
      <c r="Z495">
        <v>2</v>
      </c>
      <c r="AA495" t="s">
        <v>1488</v>
      </c>
      <c r="AB495" s="40" t="s">
        <v>1795</v>
      </c>
    </row>
    <row r="496" spans="1:28" x14ac:dyDescent="0.25">
      <c r="A496">
        <v>99910495</v>
      </c>
      <c r="B496" t="s">
        <v>56</v>
      </c>
      <c r="C496" t="s">
        <v>141</v>
      </c>
      <c r="D496" t="s">
        <v>142</v>
      </c>
      <c r="G496" t="s">
        <v>48</v>
      </c>
      <c r="H496">
        <v>1</v>
      </c>
      <c r="K496" t="s">
        <v>300</v>
      </c>
      <c r="L496" t="s">
        <v>301</v>
      </c>
      <c r="M496" t="s">
        <v>131</v>
      </c>
      <c r="N496">
        <v>8</v>
      </c>
      <c r="P496" t="s">
        <v>41</v>
      </c>
      <c r="Q496" t="s">
        <v>49</v>
      </c>
      <c r="R496" t="str">
        <f>"0560022"</f>
        <v>0560022</v>
      </c>
      <c r="S496" t="s">
        <v>314</v>
      </c>
      <c r="T496" t="s">
        <v>300</v>
      </c>
      <c r="U496" t="s">
        <v>301</v>
      </c>
      <c r="V496" t="s">
        <v>131</v>
      </c>
      <c r="W496" t="s">
        <v>51</v>
      </c>
      <c r="X496" t="s">
        <v>45</v>
      </c>
      <c r="Y496" s="1">
        <v>27379</v>
      </c>
      <c r="Z496">
        <v>2</v>
      </c>
      <c r="AA496" t="s">
        <v>301</v>
      </c>
      <c r="AB496" s="40" t="s">
        <v>1795</v>
      </c>
    </row>
    <row r="497" spans="1:28" x14ac:dyDescent="0.25">
      <c r="A497">
        <v>99910496</v>
      </c>
      <c r="B497" t="s">
        <v>32</v>
      </c>
      <c r="C497" t="s">
        <v>204</v>
      </c>
      <c r="D497" t="s">
        <v>205</v>
      </c>
      <c r="G497" t="s">
        <v>48</v>
      </c>
      <c r="H497">
        <v>1</v>
      </c>
      <c r="K497" t="s">
        <v>300</v>
      </c>
      <c r="L497" t="s">
        <v>301</v>
      </c>
      <c r="M497" t="s">
        <v>131</v>
      </c>
      <c r="N497">
        <v>8</v>
      </c>
      <c r="P497" t="s">
        <v>41</v>
      </c>
      <c r="Q497" t="s">
        <v>49</v>
      </c>
      <c r="R497" t="str">
        <f>"0560020"</f>
        <v>0560020</v>
      </c>
      <c r="S497" t="s">
        <v>302</v>
      </c>
      <c r="T497" t="s">
        <v>300</v>
      </c>
      <c r="U497" t="s">
        <v>301</v>
      </c>
      <c r="V497" t="s">
        <v>131</v>
      </c>
      <c r="W497" t="s">
        <v>51</v>
      </c>
      <c r="X497" t="s">
        <v>45</v>
      </c>
      <c r="Y497" s="1">
        <v>27377</v>
      </c>
      <c r="Z497">
        <v>2</v>
      </c>
      <c r="AA497" t="s">
        <v>301</v>
      </c>
      <c r="AB497" s="40" t="s">
        <v>1795</v>
      </c>
    </row>
    <row r="498" spans="1:28" x14ac:dyDescent="0.25">
      <c r="A498">
        <v>99910497</v>
      </c>
      <c r="B498" t="s">
        <v>32</v>
      </c>
      <c r="C498" t="s">
        <v>71</v>
      </c>
      <c r="D498" t="s">
        <v>72</v>
      </c>
      <c r="G498" t="s">
        <v>48</v>
      </c>
      <c r="H498">
        <v>1</v>
      </c>
      <c r="K498" t="s">
        <v>223</v>
      </c>
      <c r="L498" t="s">
        <v>224</v>
      </c>
      <c r="M498" t="s">
        <v>131</v>
      </c>
      <c r="N498">
        <v>8</v>
      </c>
      <c r="P498" t="s">
        <v>41</v>
      </c>
      <c r="Q498" t="s">
        <v>49</v>
      </c>
      <c r="R498" t="str">
        <f>"0581200"</f>
        <v>0581200</v>
      </c>
      <c r="S498" t="s">
        <v>238</v>
      </c>
      <c r="T498" t="s">
        <v>223</v>
      </c>
      <c r="U498" t="s">
        <v>224</v>
      </c>
      <c r="V498" t="s">
        <v>131</v>
      </c>
      <c r="W498" t="s">
        <v>51</v>
      </c>
      <c r="X498" t="s">
        <v>45</v>
      </c>
      <c r="Y498" s="1">
        <v>27303</v>
      </c>
      <c r="Z498">
        <v>2</v>
      </c>
      <c r="AA498" t="s">
        <v>224</v>
      </c>
      <c r="AB498" s="40" t="s">
        <v>1795</v>
      </c>
    </row>
    <row r="499" spans="1:28" x14ac:dyDescent="0.25">
      <c r="A499">
        <v>99910498</v>
      </c>
      <c r="B499" t="s">
        <v>32</v>
      </c>
      <c r="C499" t="s">
        <v>90</v>
      </c>
      <c r="D499" t="s">
        <v>91</v>
      </c>
      <c r="G499" t="s">
        <v>48</v>
      </c>
      <c r="H499">
        <v>1</v>
      </c>
      <c r="K499" t="s">
        <v>407</v>
      </c>
      <c r="L499" t="s">
        <v>409</v>
      </c>
      <c r="M499" t="s">
        <v>131</v>
      </c>
      <c r="N499">
        <v>8</v>
      </c>
      <c r="P499" t="s">
        <v>41</v>
      </c>
      <c r="Q499" t="s">
        <v>95</v>
      </c>
      <c r="R499" t="str">
        <f>"7053055"</f>
        <v>7053055</v>
      </c>
      <c r="S499" t="s">
        <v>763</v>
      </c>
      <c r="T499" t="s">
        <v>407</v>
      </c>
      <c r="U499" t="s">
        <v>409</v>
      </c>
      <c r="V499" t="s">
        <v>131</v>
      </c>
      <c r="W499" t="s">
        <v>51</v>
      </c>
      <c r="X499" t="s">
        <v>45</v>
      </c>
      <c r="Y499" s="1">
        <v>27258</v>
      </c>
      <c r="Z499">
        <v>1</v>
      </c>
      <c r="AA499" t="s">
        <v>409</v>
      </c>
      <c r="AB499" s="40" t="s">
        <v>1795</v>
      </c>
    </row>
    <row r="500" spans="1:28" x14ac:dyDescent="0.25">
      <c r="A500">
        <v>99910499</v>
      </c>
      <c r="B500" t="s">
        <v>32</v>
      </c>
      <c r="C500" t="s">
        <v>117</v>
      </c>
      <c r="D500" t="s">
        <v>118</v>
      </c>
      <c r="G500" t="s">
        <v>48</v>
      </c>
      <c r="H500">
        <v>7</v>
      </c>
      <c r="K500" t="s">
        <v>354</v>
      </c>
      <c r="L500" t="s">
        <v>355</v>
      </c>
      <c r="M500" t="s">
        <v>131</v>
      </c>
      <c r="N500">
        <v>8</v>
      </c>
      <c r="P500" t="s">
        <v>41</v>
      </c>
      <c r="Q500" t="s">
        <v>75</v>
      </c>
      <c r="R500" t="str">
        <f>"7054000"</f>
        <v>7054000</v>
      </c>
      <c r="S500" t="s">
        <v>786</v>
      </c>
      <c r="T500" t="s">
        <v>354</v>
      </c>
      <c r="U500" t="s">
        <v>355</v>
      </c>
      <c r="V500" t="s">
        <v>131</v>
      </c>
      <c r="W500" t="s">
        <v>51</v>
      </c>
      <c r="X500" t="s">
        <v>45</v>
      </c>
      <c r="Y500" s="1">
        <v>27162</v>
      </c>
      <c r="Z500">
        <v>1</v>
      </c>
      <c r="AA500" t="s">
        <v>355</v>
      </c>
      <c r="AB500" s="40" t="s">
        <v>1795</v>
      </c>
    </row>
    <row r="501" spans="1:28" x14ac:dyDescent="0.25">
      <c r="A501">
        <v>99910500</v>
      </c>
      <c r="B501" t="s">
        <v>56</v>
      </c>
      <c r="C501" t="s">
        <v>204</v>
      </c>
      <c r="D501" t="s">
        <v>205</v>
      </c>
      <c r="G501" t="s">
        <v>35</v>
      </c>
      <c r="H501">
        <v>1</v>
      </c>
      <c r="K501" t="s">
        <v>223</v>
      </c>
      <c r="L501" t="s">
        <v>224</v>
      </c>
      <c r="M501" t="s">
        <v>131</v>
      </c>
      <c r="N501">
        <v>8</v>
      </c>
      <c r="P501" t="s">
        <v>41</v>
      </c>
      <c r="Q501" t="s">
        <v>49</v>
      </c>
      <c r="R501" t="str">
        <f>"0591901"</f>
        <v>0591901</v>
      </c>
      <c r="S501" t="s">
        <v>230</v>
      </c>
      <c r="T501" t="s">
        <v>223</v>
      </c>
      <c r="U501" t="s">
        <v>224</v>
      </c>
      <c r="V501" t="s">
        <v>131</v>
      </c>
      <c r="W501" t="s">
        <v>51</v>
      </c>
      <c r="X501" t="s">
        <v>45</v>
      </c>
      <c r="Y501" s="1">
        <v>27138</v>
      </c>
      <c r="Z501">
        <v>2</v>
      </c>
      <c r="AA501" t="s">
        <v>224</v>
      </c>
      <c r="AB501" s="40" t="s">
        <v>1795</v>
      </c>
    </row>
    <row r="502" spans="1:28" x14ac:dyDescent="0.25">
      <c r="A502">
        <v>99910501</v>
      </c>
      <c r="B502" t="s">
        <v>32</v>
      </c>
      <c r="C502" t="s">
        <v>139</v>
      </c>
      <c r="D502" t="s">
        <v>140</v>
      </c>
      <c r="G502" t="s">
        <v>48</v>
      </c>
      <c r="H502">
        <v>1</v>
      </c>
      <c r="K502" t="s">
        <v>380</v>
      </c>
      <c r="L502" t="s">
        <v>381</v>
      </c>
      <c r="M502" t="s">
        <v>131</v>
      </c>
      <c r="N502">
        <v>8</v>
      </c>
      <c r="P502" t="s">
        <v>41</v>
      </c>
      <c r="Q502" t="s">
        <v>42</v>
      </c>
      <c r="R502" t="str">
        <f>"0590908"</f>
        <v>0590908</v>
      </c>
      <c r="S502" t="s">
        <v>382</v>
      </c>
      <c r="T502" t="s">
        <v>380</v>
      </c>
      <c r="U502" t="s">
        <v>381</v>
      </c>
      <c r="V502" t="s">
        <v>131</v>
      </c>
      <c r="W502" t="s">
        <v>44</v>
      </c>
      <c r="X502" t="s">
        <v>45</v>
      </c>
      <c r="Y502" s="1">
        <v>27123</v>
      </c>
      <c r="Z502">
        <v>2</v>
      </c>
      <c r="AA502" t="s">
        <v>381</v>
      </c>
      <c r="AB502" s="40" t="s">
        <v>1795</v>
      </c>
    </row>
    <row r="503" spans="1:28" x14ac:dyDescent="0.25">
      <c r="A503">
        <v>99910502</v>
      </c>
      <c r="B503" t="s">
        <v>32</v>
      </c>
      <c r="C503" t="s">
        <v>143</v>
      </c>
      <c r="D503" t="s">
        <v>144</v>
      </c>
      <c r="G503" t="s">
        <v>35</v>
      </c>
      <c r="H503">
        <v>1</v>
      </c>
      <c r="I503" t="s">
        <v>1136</v>
      </c>
      <c r="J503" s="1">
        <v>43367</v>
      </c>
      <c r="K503" t="s">
        <v>1128</v>
      </c>
      <c r="L503" t="s">
        <v>1129</v>
      </c>
      <c r="M503" t="s">
        <v>1130</v>
      </c>
      <c r="N503">
        <v>8</v>
      </c>
      <c r="O503" s="1">
        <v>43367</v>
      </c>
      <c r="P503" t="s">
        <v>41</v>
      </c>
      <c r="Q503" t="s">
        <v>49</v>
      </c>
      <c r="R503" t="str">
        <f>"3181015"</f>
        <v>3181015</v>
      </c>
      <c r="S503" t="s">
        <v>1131</v>
      </c>
      <c r="T503" t="s">
        <v>1128</v>
      </c>
      <c r="U503" t="s">
        <v>1129</v>
      </c>
      <c r="V503" t="s">
        <v>1130</v>
      </c>
      <c r="W503" t="s">
        <v>44</v>
      </c>
      <c r="X503" t="s">
        <v>45</v>
      </c>
      <c r="Y503" s="1">
        <v>26823</v>
      </c>
      <c r="Z503">
        <v>2</v>
      </c>
      <c r="AA503" t="s">
        <v>1129</v>
      </c>
      <c r="AB503" s="40" t="s">
        <v>1795</v>
      </c>
    </row>
    <row r="504" spans="1:28" x14ac:dyDescent="0.25">
      <c r="A504">
        <v>99910503</v>
      </c>
      <c r="B504" t="s">
        <v>56</v>
      </c>
      <c r="C504" t="s">
        <v>52</v>
      </c>
      <c r="D504" t="s">
        <v>53</v>
      </c>
      <c r="G504" t="s">
        <v>35</v>
      </c>
      <c r="H504">
        <v>1</v>
      </c>
      <c r="I504">
        <v>0</v>
      </c>
      <c r="J504" s="1">
        <v>43344</v>
      </c>
      <c r="K504" t="s">
        <v>223</v>
      </c>
      <c r="L504" t="s">
        <v>224</v>
      </c>
      <c r="M504" t="s">
        <v>131</v>
      </c>
      <c r="N504">
        <v>8</v>
      </c>
      <c r="O504" s="1">
        <v>43344</v>
      </c>
      <c r="P504" t="s">
        <v>41</v>
      </c>
      <c r="Q504" t="s">
        <v>49</v>
      </c>
      <c r="R504" t="str">
        <f>"0591901"</f>
        <v>0591901</v>
      </c>
      <c r="S504" t="s">
        <v>230</v>
      </c>
      <c r="T504" t="s">
        <v>223</v>
      </c>
      <c r="U504" t="s">
        <v>224</v>
      </c>
      <c r="V504" t="s">
        <v>131</v>
      </c>
      <c r="W504" t="s">
        <v>51</v>
      </c>
      <c r="X504" t="s">
        <v>45</v>
      </c>
      <c r="Y504" s="1">
        <v>26588</v>
      </c>
      <c r="Z504">
        <v>2</v>
      </c>
      <c r="AA504" t="s">
        <v>224</v>
      </c>
      <c r="AB504" s="40" t="s">
        <v>1795</v>
      </c>
    </row>
    <row r="505" spans="1:28" x14ac:dyDescent="0.25">
      <c r="A505">
        <v>99910504</v>
      </c>
      <c r="B505" t="s">
        <v>56</v>
      </c>
      <c r="C505" t="s">
        <v>79</v>
      </c>
      <c r="D505" t="s">
        <v>80</v>
      </c>
      <c r="G505" t="s">
        <v>48</v>
      </c>
      <c r="H505">
        <v>1</v>
      </c>
      <c r="K505" t="s">
        <v>380</v>
      </c>
      <c r="L505" t="s">
        <v>381</v>
      </c>
      <c r="M505" t="s">
        <v>131</v>
      </c>
      <c r="N505">
        <v>8</v>
      </c>
      <c r="P505" t="s">
        <v>41</v>
      </c>
      <c r="Q505" t="s">
        <v>49</v>
      </c>
      <c r="R505" t="str">
        <f>"0581859"</f>
        <v>0581859</v>
      </c>
      <c r="S505" t="s">
        <v>394</v>
      </c>
      <c r="T505" t="s">
        <v>380</v>
      </c>
      <c r="U505" t="s">
        <v>381</v>
      </c>
      <c r="V505" t="s">
        <v>131</v>
      </c>
      <c r="W505" t="s">
        <v>51</v>
      </c>
      <c r="X505" t="s">
        <v>45</v>
      </c>
      <c r="Y505" s="1">
        <v>26460</v>
      </c>
      <c r="Z505">
        <v>2</v>
      </c>
      <c r="AA505" t="s">
        <v>381</v>
      </c>
      <c r="AB505" s="40" t="s">
        <v>1795</v>
      </c>
    </row>
    <row r="506" spans="1:28" x14ac:dyDescent="0.25">
      <c r="A506">
        <v>99910505</v>
      </c>
      <c r="B506" t="s">
        <v>32</v>
      </c>
      <c r="C506" t="s">
        <v>71</v>
      </c>
      <c r="D506" t="s">
        <v>72</v>
      </c>
      <c r="G506" t="s">
        <v>88</v>
      </c>
      <c r="H506">
        <v>2</v>
      </c>
      <c r="I506" t="s">
        <v>438</v>
      </c>
      <c r="J506" s="1">
        <v>40422</v>
      </c>
      <c r="K506" t="s">
        <v>431</v>
      </c>
      <c r="L506" t="s">
        <v>196</v>
      </c>
      <c r="M506" t="s">
        <v>131</v>
      </c>
      <c r="N506">
        <v>8</v>
      </c>
      <c r="O506" s="1">
        <v>40422</v>
      </c>
      <c r="P506" t="s">
        <v>41</v>
      </c>
      <c r="Q506" t="s">
        <v>75</v>
      </c>
      <c r="R506" t="str">
        <f>"7521012"</f>
        <v>7521012</v>
      </c>
      <c r="S506" t="s">
        <v>432</v>
      </c>
      <c r="T506" t="s">
        <v>431</v>
      </c>
      <c r="U506" t="s">
        <v>196</v>
      </c>
      <c r="V506" t="s">
        <v>131</v>
      </c>
      <c r="W506" t="s">
        <v>165</v>
      </c>
      <c r="X506" t="s">
        <v>45</v>
      </c>
      <c r="Y506" s="1">
        <v>26450</v>
      </c>
      <c r="Z506">
        <v>1</v>
      </c>
      <c r="AA506" t="s">
        <v>196</v>
      </c>
      <c r="AB506" s="40" t="s">
        <v>1795</v>
      </c>
    </row>
    <row r="507" spans="1:28" x14ac:dyDescent="0.25">
      <c r="A507">
        <v>99910506</v>
      </c>
      <c r="B507" t="s">
        <v>32</v>
      </c>
      <c r="C507" t="s">
        <v>79</v>
      </c>
      <c r="D507" t="s">
        <v>80</v>
      </c>
      <c r="G507" t="s">
        <v>35</v>
      </c>
      <c r="H507">
        <v>1</v>
      </c>
      <c r="I507" t="s">
        <v>1541</v>
      </c>
      <c r="J507" s="1">
        <v>43360</v>
      </c>
      <c r="K507" t="s">
        <v>667</v>
      </c>
      <c r="L507" t="s">
        <v>669</v>
      </c>
      <c r="M507" t="s">
        <v>670</v>
      </c>
      <c r="N507">
        <v>8</v>
      </c>
      <c r="O507" s="1">
        <v>43360</v>
      </c>
      <c r="P507" t="s">
        <v>41</v>
      </c>
      <c r="Q507" t="s">
        <v>75</v>
      </c>
      <c r="R507" t="str">
        <f>"7501002"</f>
        <v>7501002</v>
      </c>
      <c r="S507" t="s">
        <v>1519</v>
      </c>
      <c r="T507" t="s">
        <v>667</v>
      </c>
      <c r="U507" t="s">
        <v>669</v>
      </c>
      <c r="V507" t="s">
        <v>670</v>
      </c>
      <c r="W507" t="s">
        <v>51</v>
      </c>
      <c r="X507" t="s">
        <v>45</v>
      </c>
      <c r="Y507" s="1">
        <v>26289</v>
      </c>
      <c r="Z507">
        <v>1</v>
      </c>
      <c r="AA507" t="s">
        <v>669</v>
      </c>
      <c r="AB507" s="40" t="s">
        <v>1795</v>
      </c>
    </row>
    <row r="508" spans="1:28" x14ac:dyDescent="0.25">
      <c r="A508">
        <v>99910507</v>
      </c>
      <c r="B508" t="s">
        <v>56</v>
      </c>
      <c r="C508" t="s">
        <v>149</v>
      </c>
      <c r="D508" t="s">
        <v>150</v>
      </c>
      <c r="G508" t="s">
        <v>48</v>
      </c>
      <c r="H508">
        <v>1</v>
      </c>
      <c r="K508" t="s">
        <v>157</v>
      </c>
      <c r="L508" t="s">
        <v>158</v>
      </c>
      <c r="M508" t="s">
        <v>131</v>
      </c>
      <c r="N508">
        <v>8</v>
      </c>
      <c r="P508" t="s">
        <v>41</v>
      </c>
      <c r="Q508" t="s">
        <v>49</v>
      </c>
      <c r="R508" t="str">
        <f>"0560031"</f>
        <v>0560031</v>
      </c>
      <c r="S508" t="s">
        <v>198</v>
      </c>
      <c r="T508" t="s">
        <v>157</v>
      </c>
      <c r="U508" t="s">
        <v>158</v>
      </c>
      <c r="V508" t="s">
        <v>131</v>
      </c>
      <c r="W508" t="s">
        <v>51</v>
      </c>
      <c r="X508" t="s">
        <v>45</v>
      </c>
      <c r="Y508" s="1">
        <v>26286</v>
      </c>
      <c r="Z508">
        <v>2</v>
      </c>
      <c r="AA508" t="s">
        <v>158</v>
      </c>
      <c r="AB508" s="40" t="s">
        <v>1795</v>
      </c>
    </row>
    <row r="509" spans="1:28" x14ac:dyDescent="0.25">
      <c r="A509">
        <v>99910508</v>
      </c>
      <c r="B509" t="s">
        <v>32</v>
      </c>
      <c r="C509" t="s">
        <v>46</v>
      </c>
      <c r="D509" t="s">
        <v>47</v>
      </c>
      <c r="G509" t="s">
        <v>35</v>
      </c>
      <c r="H509">
        <v>1</v>
      </c>
      <c r="K509" t="s">
        <v>157</v>
      </c>
      <c r="L509" t="s">
        <v>158</v>
      </c>
      <c r="M509" t="s">
        <v>131</v>
      </c>
      <c r="N509">
        <v>8</v>
      </c>
      <c r="P509" t="s">
        <v>41</v>
      </c>
      <c r="Q509" t="s">
        <v>49</v>
      </c>
      <c r="R509" t="str">
        <f>"0581725"</f>
        <v>0581725</v>
      </c>
      <c r="S509" t="s">
        <v>161</v>
      </c>
      <c r="T509" t="s">
        <v>157</v>
      </c>
      <c r="U509" t="s">
        <v>158</v>
      </c>
      <c r="V509" t="s">
        <v>131</v>
      </c>
      <c r="W509" t="s">
        <v>51</v>
      </c>
      <c r="X509" t="s">
        <v>45</v>
      </c>
      <c r="Y509" s="1">
        <v>26257</v>
      </c>
      <c r="Z509">
        <v>2</v>
      </c>
      <c r="AA509" t="s">
        <v>158</v>
      </c>
      <c r="AB509" s="40" t="s">
        <v>1795</v>
      </c>
    </row>
    <row r="510" spans="1:28" x14ac:dyDescent="0.25">
      <c r="A510">
        <v>99910509</v>
      </c>
      <c r="B510" t="s">
        <v>32</v>
      </c>
      <c r="C510" t="s">
        <v>64</v>
      </c>
      <c r="D510" t="s">
        <v>65</v>
      </c>
      <c r="G510" t="s">
        <v>48</v>
      </c>
      <c r="H510">
        <v>1</v>
      </c>
      <c r="K510" t="s">
        <v>162</v>
      </c>
      <c r="L510" t="s">
        <v>158</v>
      </c>
      <c r="M510" t="s">
        <v>131</v>
      </c>
      <c r="N510">
        <v>8</v>
      </c>
      <c r="P510" t="s">
        <v>41</v>
      </c>
      <c r="Q510" t="s">
        <v>42</v>
      </c>
      <c r="R510" t="str">
        <f>"0580330"</f>
        <v>0580330</v>
      </c>
      <c r="S510" t="s">
        <v>176</v>
      </c>
      <c r="T510" t="s">
        <v>162</v>
      </c>
      <c r="U510" t="s">
        <v>158</v>
      </c>
      <c r="V510" t="s">
        <v>131</v>
      </c>
      <c r="W510" t="s">
        <v>51</v>
      </c>
      <c r="X510" t="s">
        <v>45</v>
      </c>
      <c r="Y510" s="1">
        <v>26248</v>
      </c>
      <c r="Z510">
        <v>2</v>
      </c>
      <c r="AA510" t="s">
        <v>158</v>
      </c>
      <c r="AB510" s="40" t="s">
        <v>1795</v>
      </c>
    </row>
    <row r="511" spans="1:28" x14ac:dyDescent="0.25">
      <c r="A511">
        <v>99910510</v>
      </c>
      <c r="B511" t="s">
        <v>32</v>
      </c>
      <c r="C511" t="s">
        <v>111</v>
      </c>
      <c r="D511" t="s">
        <v>112</v>
      </c>
      <c r="G511" t="s">
        <v>35</v>
      </c>
      <c r="H511">
        <v>1</v>
      </c>
      <c r="K511" t="s">
        <v>963</v>
      </c>
      <c r="L511" t="s">
        <v>964</v>
      </c>
      <c r="M511" t="s">
        <v>938</v>
      </c>
      <c r="N511">
        <v>8</v>
      </c>
      <c r="P511" t="s">
        <v>41</v>
      </c>
      <c r="Q511" t="s">
        <v>75</v>
      </c>
      <c r="R511" t="str">
        <f>"7061000"</f>
        <v>7061000</v>
      </c>
      <c r="S511" t="s">
        <v>962</v>
      </c>
      <c r="T511" t="s">
        <v>963</v>
      </c>
      <c r="U511" t="s">
        <v>964</v>
      </c>
      <c r="V511" t="s">
        <v>938</v>
      </c>
      <c r="W511" t="s">
        <v>165</v>
      </c>
      <c r="X511" t="s">
        <v>45</v>
      </c>
      <c r="Y511" s="1">
        <v>26246</v>
      </c>
      <c r="Z511">
        <v>1</v>
      </c>
      <c r="AA511" t="s">
        <v>964</v>
      </c>
      <c r="AB511" s="40" t="s">
        <v>1795</v>
      </c>
    </row>
    <row r="512" spans="1:28" x14ac:dyDescent="0.25">
      <c r="A512">
        <v>99910511</v>
      </c>
      <c r="B512" t="s">
        <v>56</v>
      </c>
      <c r="C512" t="s">
        <v>111</v>
      </c>
      <c r="D512" t="s">
        <v>112</v>
      </c>
      <c r="G512" t="s">
        <v>35</v>
      </c>
      <c r="H512">
        <v>1</v>
      </c>
      <c r="K512" t="s">
        <v>1341</v>
      </c>
      <c r="L512" t="s">
        <v>1342</v>
      </c>
      <c r="M512" t="s">
        <v>1270</v>
      </c>
      <c r="N512">
        <v>8</v>
      </c>
      <c r="P512" t="s">
        <v>41</v>
      </c>
      <c r="Q512" t="s">
        <v>75</v>
      </c>
      <c r="R512" t="str">
        <f>"7191006"</f>
        <v>7191006</v>
      </c>
      <c r="S512" t="s">
        <v>1351</v>
      </c>
      <c r="T512" t="s">
        <v>1341</v>
      </c>
      <c r="U512" t="s">
        <v>1342</v>
      </c>
      <c r="V512" t="s">
        <v>1270</v>
      </c>
      <c r="W512" t="s">
        <v>51</v>
      </c>
      <c r="X512" t="s">
        <v>45</v>
      </c>
      <c r="Y512" s="1">
        <v>26141</v>
      </c>
      <c r="Z512">
        <v>1</v>
      </c>
      <c r="AA512" t="s">
        <v>1342</v>
      </c>
      <c r="AB512" s="40" t="s">
        <v>1795</v>
      </c>
    </row>
    <row r="513" spans="1:28" x14ac:dyDescent="0.25">
      <c r="A513">
        <v>99910512</v>
      </c>
      <c r="B513" t="s">
        <v>32</v>
      </c>
      <c r="C513" t="s">
        <v>139</v>
      </c>
      <c r="D513" t="s">
        <v>140</v>
      </c>
      <c r="G513" t="s">
        <v>48</v>
      </c>
      <c r="H513">
        <v>1</v>
      </c>
      <c r="K513" t="s">
        <v>380</v>
      </c>
      <c r="L513" t="s">
        <v>381</v>
      </c>
      <c r="M513" t="s">
        <v>131</v>
      </c>
      <c r="N513">
        <v>8</v>
      </c>
      <c r="P513" t="s">
        <v>41</v>
      </c>
      <c r="Q513" t="s">
        <v>49</v>
      </c>
      <c r="R513" t="str">
        <f>"0591908"</f>
        <v>0591908</v>
      </c>
      <c r="S513" t="s">
        <v>383</v>
      </c>
      <c r="T513" t="s">
        <v>380</v>
      </c>
      <c r="U513" t="s">
        <v>381</v>
      </c>
      <c r="V513" t="s">
        <v>131</v>
      </c>
      <c r="W513" t="s">
        <v>44</v>
      </c>
      <c r="X513" t="s">
        <v>45</v>
      </c>
      <c r="Y513" s="1">
        <v>26027</v>
      </c>
      <c r="Z513">
        <v>2</v>
      </c>
      <c r="AA513" t="s">
        <v>381</v>
      </c>
      <c r="AB513" s="40" t="s">
        <v>1795</v>
      </c>
    </row>
    <row r="514" spans="1:28" x14ac:dyDescent="0.25">
      <c r="A514">
        <v>99910513</v>
      </c>
      <c r="B514" t="s">
        <v>32</v>
      </c>
      <c r="C514" t="s">
        <v>46</v>
      </c>
      <c r="D514" t="s">
        <v>47</v>
      </c>
      <c r="G514" t="s">
        <v>48</v>
      </c>
      <c r="H514">
        <v>1</v>
      </c>
      <c r="K514" t="s">
        <v>300</v>
      </c>
      <c r="L514" t="s">
        <v>301</v>
      </c>
      <c r="M514" t="s">
        <v>131</v>
      </c>
      <c r="N514">
        <v>8</v>
      </c>
      <c r="P514" t="s">
        <v>41</v>
      </c>
      <c r="Q514" t="s">
        <v>42</v>
      </c>
      <c r="R514" t="str">
        <f>"0580175"</f>
        <v>0580175</v>
      </c>
      <c r="S514" t="s">
        <v>303</v>
      </c>
      <c r="T514" t="s">
        <v>300</v>
      </c>
      <c r="U514" t="s">
        <v>301</v>
      </c>
      <c r="V514" t="s">
        <v>131</v>
      </c>
      <c r="W514" t="s">
        <v>51</v>
      </c>
      <c r="X514" t="s">
        <v>45</v>
      </c>
      <c r="Y514" s="1">
        <v>25806</v>
      </c>
      <c r="Z514">
        <v>2</v>
      </c>
      <c r="AA514" t="s">
        <v>301</v>
      </c>
      <c r="AB514" s="40" t="s">
        <v>1795</v>
      </c>
    </row>
    <row r="515" spans="1:28" x14ac:dyDescent="0.25">
      <c r="A515">
        <v>99910514</v>
      </c>
      <c r="B515" t="s">
        <v>56</v>
      </c>
      <c r="C515" t="s">
        <v>111</v>
      </c>
      <c r="D515" t="s">
        <v>112</v>
      </c>
      <c r="G515" t="s">
        <v>35</v>
      </c>
      <c r="H515">
        <v>1</v>
      </c>
      <c r="K515" t="s">
        <v>154</v>
      </c>
      <c r="L515" t="s">
        <v>155</v>
      </c>
      <c r="M515" t="s">
        <v>131</v>
      </c>
      <c r="N515">
        <v>8</v>
      </c>
      <c r="P515" t="s">
        <v>41</v>
      </c>
      <c r="Q515" t="s">
        <v>75</v>
      </c>
      <c r="R515" t="str">
        <f>"7700026"</f>
        <v>7700026</v>
      </c>
      <c r="S515" t="s">
        <v>397</v>
      </c>
      <c r="T515" t="s">
        <v>154</v>
      </c>
      <c r="U515" t="s">
        <v>155</v>
      </c>
      <c r="V515" t="s">
        <v>131</v>
      </c>
      <c r="W515" t="s">
        <v>51</v>
      </c>
      <c r="X515" t="s">
        <v>45</v>
      </c>
      <c r="Y515" s="1">
        <v>25681</v>
      </c>
      <c r="Z515">
        <v>1</v>
      </c>
      <c r="AA515" t="s">
        <v>155</v>
      </c>
      <c r="AB515" s="40" t="s">
        <v>1795</v>
      </c>
    </row>
    <row r="516" spans="1:28" x14ac:dyDescent="0.25">
      <c r="A516">
        <v>99910515</v>
      </c>
      <c r="B516" t="s">
        <v>32</v>
      </c>
      <c r="C516" t="s">
        <v>85</v>
      </c>
      <c r="D516" t="s">
        <v>86</v>
      </c>
      <c r="G516" t="s">
        <v>35</v>
      </c>
      <c r="H516">
        <v>1</v>
      </c>
      <c r="I516" t="s">
        <v>1159</v>
      </c>
      <c r="J516" s="1">
        <v>43344</v>
      </c>
      <c r="K516" t="s">
        <v>1128</v>
      </c>
      <c r="L516" t="s">
        <v>1129</v>
      </c>
      <c r="M516" t="s">
        <v>1130</v>
      </c>
      <c r="N516">
        <v>8</v>
      </c>
      <c r="O516" s="1">
        <v>43344</v>
      </c>
      <c r="P516" t="s">
        <v>41</v>
      </c>
      <c r="Q516" t="s">
        <v>49</v>
      </c>
      <c r="R516" t="str">
        <f>"3160002"</f>
        <v>3160002</v>
      </c>
      <c r="S516" t="s">
        <v>1143</v>
      </c>
      <c r="T516" t="s">
        <v>1128</v>
      </c>
      <c r="U516" t="s">
        <v>1129</v>
      </c>
      <c r="V516" t="s">
        <v>1130</v>
      </c>
      <c r="W516" t="s">
        <v>51</v>
      </c>
      <c r="X516" t="s">
        <v>45</v>
      </c>
      <c r="Y516" s="1">
        <v>25674</v>
      </c>
      <c r="Z516">
        <v>2</v>
      </c>
      <c r="AA516" t="s">
        <v>1129</v>
      </c>
      <c r="AB516" s="40" t="s">
        <v>1795</v>
      </c>
    </row>
    <row r="517" spans="1:28" x14ac:dyDescent="0.25">
      <c r="A517">
        <v>99910516</v>
      </c>
      <c r="B517" t="s">
        <v>32</v>
      </c>
      <c r="C517" t="s">
        <v>64</v>
      </c>
      <c r="D517" t="s">
        <v>65</v>
      </c>
      <c r="G517" t="s">
        <v>48</v>
      </c>
      <c r="H517">
        <v>1</v>
      </c>
      <c r="K517" t="s">
        <v>157</v>
      </c>
      <c r="L517" t="s">
        <v>158</v>
      </c>
      <c r="M517" t="s">
        <v>131</v>
      </c>
      <c r="N517">
        <v>8</v>
      </c>
      <c r="P517" t="s">
        <v>41</v>
      </c>
      <c r="Q517" t="s">
        <v>42</v>
      </c>
      <c r="R517" t="str">
        <f>"0580290"</f>
        <v>0580290</v>
      </c>
      <c r="S517" t="s">
        <v>171</v>
      </c>
      <c r="T517" t="s">
        <v>157</v>
      </c>
      <c r="U517" t="s">
        <v>158</v>
      </c>
      <c r="V517" t="s">
        <v>131</v>
      </c>
      <c r="W517" t="s">
        <v>51</v>
      </c>
      <c r="X517" t="s">
        <v>45</v>
      </c>
      <c r="Y517" s="1">
        <v>25527</v>
      </c>
      <c r="Z517">
        <v>2</v>
      </c>
      <c r="AA517" t="s">
        <v>158</v>
      </c>
      <c r="AB517" s="40" t="s">
        <v>1795</v>
      </c>
    </row>
    <row r="518" spans="1:28" x14ac:dyDescent="0.25">
      <c r="A518">
        <v>99910517</v>
      </c>
      <c r="B518" t="s">
        <v>32</v>
      </c>
      <c r="C518" t="s">
        <v>90</v>
      </c>
      <c r="D518" t="s">
        <v>91</v>
      </c>
      <c r="G518" t="s">
        <v>48</v>
      </c>
      <c r="H518">
        <v>1</v>
      </c>
      <c r="K518" t="s">
        <v>1461</v>
      </c>
      <c r="L518" t="s">
        <v>1462</v>
      </c>
      <c r="M518" t="s">
        <v>1270</v>
      </c>
      <c r="N518">
        <v>8</v>
      </c>
      <c r="P518" t="s">
        <v>41</v>
      </c>
      <c r="Q518" t="s">
        <v>95</v>
      </c>
      <c r="R518" t="str">
        <f>"7381003"</f>
        <v>7381003</v>
      </c>
      <c r="S518" t="s">
        <v>1463</v>
      </c>
      <c r="T518" t="s">
        <v>1461</v>
      </c>
      <c r="U518" t="s">
        <v>1462</v>
      </c>
      <c r="V518" t="s">
        <v>1270</v>
      </c>
      <c r="W518" t="s">
        <v>51</v>
      </c>
      <c r="X518" t="s">
        <v>45</v>
      </c>
      <c r="Y518" s="1">
        <v>25267</v>
      </c>
      <c r="Z518">
        <v>1</v>
      </c>
      <c r="AA518" t="s">
        <v>1462</v>
      </c>
      <c r="AB518" s="40" t="s">
        <v>1795</v>
      </c>
    </row>
    <row r="519" spans="1:28" x14ac:dyDescent="0.25">
      <c r="A519">
        <v>99910518</v>
      </c>
      <c r="B519" t="s">
        <v>32</v>
      </c>
      <c r="C519" t="s">
        <v>139</v>
      </c>
      <c r="D519" t="s">
        <v>140</v>
      </c>
      <c r="G519" t="s">
        <v>35</v>
      </c>
      <c r="H519">
        <v>4</v>
      </c>
      <c r="I519">
        <v>3189</v>
      </c>
      <c r="J519" s="1">
        <v>43344</v>
      </c>
      <c r="K519" t="s">
        <v>268</v>
      </c>
      <c r="L519" t="s">
        <v>269</v>
      </c>
      <c r="M519" t="s">
        <v>131</v>
      </c>
      <c r="N519">
        <v>8</v>
      </c>
      <c r="O519" s="1">
        <v>43344</v>
      </c>
      <c r="P519" t="s">
        <v>41</v>
      </c>
      <c r="Q519" t="s">
        <v>75</v>
      </c>
      <c r="R519" t="str">
        <f>"7052006"</f>
        <v>7052006</v>
      </c>
      <c r="S519" t="s">
        <v>575</v>
      </c>
      <c r="T519" t="s">
        <v>268</v>
      </c>
      <c r="U519" t="s">
        <v>269</v>
      </c>
      <c r="V519" t="s">
        <v>131</v>
      </c>
      <c r="W519" t="s">
        <v>51</v>
      </c>
      <c r="X519" t="s">
        <v>45</v>
      </c>
      <c r="Y519" s="1">
        <v>25219</v>
      </c>
      <c r="Z519">
        <v>1</v>
      </c>
      <c r="AA519" t="s">
        <v>269</v>
      </c>
      <c r="AB519" s="40" t="s">
        <v>1795</v>
      </c>
    </row>
    <row r="520" spans="1:28" x14ac:dyDescent="0.25">
      <c r="A520">
        <v>99910519</v>
      </c>
      <c r="B520" t="s">
        <v>32</v>
      </c>
      <c r="C520" t="s">
        <v>90</v>
      </c>
      <c r="D520" t="s">
        <v>91</v>
      </c>
      <c r="G520" t="s">
        <v>35</v>
      </c>
      <c r="H520">
        <v>1</v>
      </c>
      <c r="K520" t="s">
        <v>1198</v>
      </c>
      <c r="L520" t="s">
        <v>1199</v>
      </c>
      <c r="M520" t="s">
        <v>1130</v>
      </c>
      <c r="N520">
        <v>8</v>
      </c>
      <c r="P520" t="s">
        <v>41</v>
      </c>
      <c r="Q520" t="s">
        <v>95</v>
      </c>
      <c r="R520" t="str">
        <f>"7311037"</f>
        <v>7311037</v>
      </c>
      <c r="S520" t="s">
        <v>1211</v>
      </c>
      <c r="T520" t="s">
        <v>1198</v>
      </c>
      <c r="U520" t="s">
        <v>1199</v>
      </c>
      <c r="V520" t="s">
        <v>1130</v>
      </c>
      <c r="W520" t="s">
        <v>51</v>
      </c>
      <c r="X520" t="s">
        <v>45</v>
      </c>
      <c r="Y520" s="1">
        <v>25189</v>
      </c>
      <c r="Z520">
        <v>1</v>
      </c>
      <c r="AA520" t="s">
        <v>1199</v>
      </c>
      <c r="AB520" s="40" t="s">
        <v>1795</v>
      </c>
    </row>
    <row r="521" spans="1:28" x14ac:dyDescent="0.25">
      <c r="A521">
        <v>99910520</v>
      </c>
      <c r="B521" t="s">
        <v>56</v>
      </c>
      <c r="C521" t="s">
        <v>46</v>
      </c>
      <c r="D521" t="s">
        <v>47</v>
      </c>
      <c r="G521" t="s">
        <v>48</v>
      </c>
      <c r="H521">
        <v>1</v>
      </c>
      <c r="K521" t="s">
        <v>345</v>
      </c>
      <c r="L521" t="s">
        <v>346</v>
      </c>
      <c r="M521" t="s">
        <v>131</v>
      </c>
      <c r="N521">
        <v>8</v>
      </c>
      <c r="P521" t="s">
        <v>41</v>
      </c>
      <c r="Q521" t="s">
        <v>49</v>
      </c>
      <c r="R521" t="str">
        <f>"0561003"</f>
        <v>0561003</v>
      </c>
      <c r="S521" t="s">
        <v>370</v>
      </c>
      <c r="T521" t="s">
        <v>345</v>
      </c>
      <c r="U521" t="s">
        <v>346</v>
      </c>
      <c r="V521" t="s">
        <v>131</v>
      </c>
      <c r="W521" t="s">
        <v>51</v>
      </c>
      <c r="X521" t="s">
        <v>45</v>
      </c>
      <c r="Y521" s="1">
        <v>25163</v>
      </c>
      <c r="Z521">
        <v>2</v>
      </c>
      <c r="AA521" t="s">
        <v>346</v>
      </c>
      <c r="AB521" s="40" t="s">
        <v>1795</v>
      </c>
    </row>
    <row r="522" spans="1:28" x14ac:dyDescent="0.25">
      <c r="A522">
        <v>99910521</v>
      </c>
      <c r="B522" t="s">
        <v>32</v>
      </c>
      <c r="C522" t="s">
        <v>71</v>
      </c>
      <c r="D522" t="s">
        <v>72</v>
      </c>
      <c r="G522" t="s">
        <v>48</v>
      </c>
      <c r="H522">
        <v>1</v>
      </c>
      <c r="K522" t="s">
        <v>223</v>
      </c>
      <c r="L522" t="s">
        <v>224</v>
      </c>
      <c r="M522" t="s">
        <v>131</v>
      </c>
      <c r="N522">
        <v>8</v>
      </c>
      <c r="P522" t="s">
        <v>41</v>
      </c>
      <c r="Q522" t="s">
        <v>49</v>
      </c>
      <c r="R522" t="str">
        <f>"0581200"</f>
        <v>0581200</v>
      </c>
      <c r="S522" t="s">
        <v>238</v>
      </c>
      <c r="T522" t="s">
        <v>223</v>
      </c>
      <c r="U522" t="s">
        <v>224</v>
      </c>
      <c r="V522" t="s">
        <v>131</v>
      </c>
      <c r="W522" t="s">
        <v>51</v>
      </c>
      <c r="X522" t="s">
        <v>45</v>
      </c>
      <c r="Y522" s="1">
        <v>25118</v>
      </c>
      <c r="Z522">
        <v>2</v>
      </c>
      <c r="AA522" t="s">
        <v>224</v>
      </c>
      <c r="AB522" s="40" t="s">
        <v>1795</v>
      </c>
    </row>
    <row r="523" spans="1:28" x14ac:dyDescent="0.25">
      <c r="A523">
        <v>99910522</v>
      </c>
      <c r="B523" t="s">
        <v>32</v>
      </c>
      <c r="C523" t="s">
        <v>139</v>
      </c>
      <c r="D523" t="s">
        <v>140</v>
      </c>
      <c r="G523" t="s">
        <v>88</v>
      </c>
      <c r="H523">
        <v>2</v>
      </c>
      <c r="I523" t="s">
        <v>433</v>
      </c>
      <c r="J523" s="1">
        <v>40422</v>
      </c>
      <c r="K523" t="s">
        <v>431</v>
      </c>
      <c r="L523" t="s">
        <v>196</v>
      </c>
      <c r="M523" t="s">
        <v>131</v>
      </c>
      <c r="N523">
        <v>8</v>
      </c>
      <c r="O523" s="1">
        <v>40422</v>
      </c>
      <c r="P523" t="s">
        <v>41</v>
      </c>
      <c r="Q523" t="s">
        <v>75</v>
      </c>
      <c r="R523" t="str">
        <f>"7521012"</f>
        <v>7521012</v>
      </c>
      <c r="S523" t="s">
        <v>432</v>
      </c>
      <c r="T523" t="s">
        <v>431</v>
      </c>
      <c r="U523" t="s">
        <v>196</v>
      </c>
      <c r="V523" t="s">
        <v>131</v>
      </c>
      <c r="W523" t="s">
        <v>165</v>
      </c>
      <c r="X523" t="s">
        <v>45</v>
      </c>
      <c r="Y523" s="1">
        <v>24783</v>
      </c>
      <c r="Z523">
        <v>1</v>
      </c>
      <c r="AA523" t="s">
        <v>196</v>
      </c>
      <c r="AB523" s="40" t="s">
        <v>1795</v>
      </c>
    </row>
    <row r="524" spans="1:28" x14ac:dyDescent="0.25">
      <c r="A524">
        <v>99910523</v>
      </c>
      <c r="B524" t="s">
        <v>32</v>
      </c>
      <c r="C524" t="s">
        <v>139</v>
      </c>
      <c r="D524" t="s">
        <v>140</v>
      </c>
      <c r="G524" t="s">
        <v>48</v>
      </c>
      <c r="H524">
        <v>1</v>
      </c>
      <c r="K524" t="s">
        <v>268</v>
      </c>
      <c r="L524" t="s">
        <v>269</v>
      </c>
      <c r="M524" t="s">
        <v>131</v>
      </c>
      <c r="N524">
        <v>8</v>
      </c>
      <c r="P524" t="s">
        <v>41</v>
      </c>
      <c r="Q524" t="s">
        <v>75</v>
      </c>
      <c r="R524" t="str">
        <f>"7052044"</f>
        <v>7052044</v>
      </c>
      <c r="S524" t="s">
        <v>589</v>
      </c>
      <c r="T524" t="s">
        <v>268</v>
      </c>
      <c r="U524" t="s">
        <v>269</v>
      </c>
      <c r="V524" t="s">
        <v>131</v>
      </c>
      <c r="W524" t="s">
        <v>51</v>
      </c>
      <c r="X524" t="s">
        <v>45</v>
      </c>
      <c r="Y524" s="1">
        <v>24728</v>
      </c>
      <c r="Z524">
        <v>1</v>
      </c>
      <c r="AA524" t="s">
        <v>269</v>
      </c>
      <c r="AB524" s="40" t="s">
        <v>1795</v>
      </c>
    </row>
    <row r="525" spans="1:28" x14ac:dyDescent="0.25">
      <c r="A525">
        <v>99910524</v>
      </c>
      <c r="B525" t="s">
        <v>56</v>
      </c>
      <c r="C525" t="s">
        <v>85</v>
      </c>
      <c r="D525" t="s">
        <v>86</v>
      </c>
      <c r="G525" t="s">
        <v>48</v>
      </c>
      <c r="H525">
        <v>1</v>
      </c>
      <c r="K525" t="s">
        <v>162</v>
      </c>
      <c r="L525" t="s">
        <v>158</v>
      </c>
      <c r="M525" t="s">
        <v>131</v>
      </c>
      <c r="N525">
        <v>8</v>
      </c>
      <c r="P525" t="s">
        <v>41</v>
      </c>
      <c r="Q525" t="s">
        <v>49</v>
      </c>
      <c r="R525" t="str">
        <f>"0581350"</f>
        <v>0581350</v>
      </c>
      <c r="S525" t="s">
        <v>187</v>
      </c>
      <c r="T525" t="s">
        <v>162</v>
      </c>
      <c r="U525" t="s">
        <v>158</v>
      </c>
      <c r="V525" t="s">
        <v>131</v>
      </c>
      <c r="W525" t="s">
        <v>51</v>
      </c>
      <c r="X525" t="s">
        <v>45</v>
      </c>
      <c r="Y525" s="1">
        <v>24562</v>
      </c>
      <c r="Z525">
        <v>2</v>
      </c>
      <c r="AA525" t="s">
        <v>158</v>
      </c>
      <c r="AB525" s="40" t="s">
        <v>1795</v>
      </c>
    </row>
    <row r="526" spans="1:28" x14ac:dyDescent="0.25">
      <c r="A526">
        <v>99910525</v>
      </c>
      <c r="B526" t="s">
        <v>32</v>
      </c>
      <c r="C526" t="s">
        <v>85</v>
      </c>
      <c r="D526" t="s">
        <v>86</v>
      </c>
      <c r="G526" t="s">
        <v>48</v>
      </c>
      <c r="H526">
        <v>1</v>
      </c>
      <c r="K526" t="s">
        <v>300</v>
      </c>
      <c r="L526" t="s">
        <v>301</v>
      </c>
      <c r="M526" t="s">
        <v>131</v>
      </c>
      <c r="N526">
        <v>8</v>
      </c>
      <c r="P526" t="s">
        <v>41</v>
      </c>
      <c r="Q526" t="s">
        <v>42</v>
      </c>
      <c r="R526" t="str">
        <f>"0561001"</f>
        <v>0561001</v>
      </c>
      <c r="S526" t="s">
        <v>308</v>
      </c>
      <c r="T526" t="s">
        <v>300</v>
      </c>
      <c r="U526" t="s">
        <v>301</v>
      </c>
      <c r="V526" t="s">
        <v>131</v>
      </c>
      <c r="W526" t="s">
        <v>165</v>
      </c>
      <c r="X526" t="s">
        <v>45</v>
      </c>
      <c r="Y526" s="1">
        <v>24521</v>
      </c>
      <c r="Z526">
        <v>2</v>
      </c>
      <c r="AA526" t="s">
        <v>301</v>
      </c>
      <c r="AB526" s="40" t="s">
        <v>1795</v>
      </c>
    </row>
    <row r="527" spans="1:28" x14ac:dyDescent="0.25">
      <c r="A527">
        <v>99910526</v>
      </c>
      <c r="B527" t="s">
        <v>32</v>
      </c>
      <c r="C527" t="s">
        <v>143</v>
      </c>
      <c r="D527" t="s">
        <v>144</v>
      </c>
      <c r="G527" t="s">
        <v>48</v>
      </c>
      <c r="H527">
        <v>1</v>
      </c>
      <c r="K527" t="s">
        <v>157</v>
      </c>
      <c r="L527" t="s">
        <v>158</v>
      </c>
      <c r="M527" t="s">
        <v>131</v>
      </c>
      <c r="N527">
        <v>8</v>
      </c>
      <c r="P527" t="s">
        <v>41</v>
      </c>
      <c r="Q527" t="s">
        <v>42</v>
      </c>
      <c r="R527" t="str">
        <f>"0580735"</f>
        <v>0580735</v>
      </c>
      <c r="S527" t="s">
        <v>180</v>
      </c>
      <c r="T527" t="s">
        <v>157</v>
      </c>
      <c r="U527" t="s">
        <v>158</v>
      </c>
      <c r="V527" t="s">
        <v>131</v>
      </c>
      <c r="W527" t="s">
        <v>51</v>
      </c>
      <c r="X527" t="s">
        <v>45</v>
      </c>
      <c r="Y527" s="1">
        <v>24473</v>
      </c>
      <c r="Z527">
        <v>2</v>
      </c>
      <c r="AA527" t="s">
        <v>158</v>
      </c>
      <c r="AB527" s="40" t="s">
        <v>1795</v>
      </c>
    </row>
    <row r="528" spans="1:28" x14ac:dyDescent="0.25">
      <c r="A528">
        <v>99910527</v>
      </c>
      <c r="B528" t="s">
        <v>56</v>
      </c>
      <c r="C528" t="s">
        <v>82</v>
      </c>
      <c r="D528" t="s">
        <v>83</v>
      </c>
      <c r="G528" t="s">
        <v>35</v>
      </c>
      <c r="H528">
        <v>1</v>
      </c>
      <c r="K528" t="s">
        <v>947</v>
      </c>
      <c r="L528" t="s">
        <v>948</v>
      </c>
      <c r="M528" t="s">
        <v>938</v>
      </c>
      <c r="N528">
        <v>8</v>
      </c>
      <c r="P528" t="s">
        <v>41</v>
      </c>
      <c r="Q528" t="s">
        <v>49</v>
      </c>
      <c r="R528" t="str">
        <f>"0605000"</f>
        <v>0605000</v>
      </c>
      <c r="S528" t="s">
        <v>950</v>
      </c>
      <c r="T528" t="s">
        <v>947</v>
      </c>
      <c r="U528" t="s">
        <v>948</v>
      </c>
      <c r="V528" t="s">
        <v>938</v>
      </c>
      <c r="W528" t="s">
        <v>51</v>
      </c>
      <c r="X528" t="s">
        <v>45</v>
      </c>
      <c r="Y528" s="1">
        <v>24473</v>
      </c>
      <c r="Z528">
        <v>2</v>
      </c>
      <c r="AA528" t="s">
        <v>948</v>
      </c>
      <c r="AB528" s="40" t="s">
        <v>1795</v>
      </c>
    </row>
    <row r="529" spans="1:28" x14ac:dyDescent="0.25">
      <c r="A529">
        <v>99910528</v>
      </c>
      <c r="B529" t="s">
        <v>32</v>
      </c>
      <c r="C529" t="s">
        <v>71</v>
      </c>
      <c r="D529" t="s">
        <v>72</v>
      </c>
      <c r="G529" t="s">
        <v>48</v>
      </c>
      <c r="H529">
        <v>1</v>
      </c>
      <c r="K529" t="s">
        <v>223</v>
      </c>
      <c r="L529" t="s">
        <v>224</v>
      </c>
      <c r="M529" t="s">
        <v>131</v>
      </c>
      <c r="N529">
        <v>8</v>
      </c>
      <c r="P529" t="s">
        <v>41</v>
      </c>
      <c r="Q529" t="s">
        <v>49</v>
      </c>
      <c r="R529" t="str">
        <f>"0581200"</f>
        <v>0581200</v>
      </c>
      <c r="S529" t="s">
        <v>238</v>
      </c>
      <c r="T529" t="s">
        <v>223</v>
      </c>
      <c r="U529" t="s">
        <v>224</v>
      </c>
      <c r="V529" t="s">
        <v>131</v>
      </c>
      <c r="W529" t="s">
        <v>51</v>
      </c>
      <c r="X529" t="s">
        <v>45</v>
      </c>
      <c r="Y529" s="1">
        <v>24403</v>
      </c>
      <c r="Z529">
        <v>2</v>
      </c>
      <c r="AA529" t="s">
        <v>224</v>
      </c>
      <c r="AB529" s="40" t="s">
        <v>1795</v>
      </c>
    </row>
    <row r="530" spans="1:28" x14ac:dyDescent="0.25">
      <c r="A530">
        <v>99910529</v>
      </c>
      <c r="B530" t="s">
        <v>32</v>
      </c>
      <c r="C530" t="s">
        <v>143</v>
      </c>
      <c r="D530" t="s">
        <v>144</v>
      </c>
      <c r="G530" t="s">
        <v>35</v>
      </c>
      <c r="H530">
        <v>1</v>
      </c>
      <c r="K530" t="s">
        <v>268</v>
      </c>
      <c r="L530" t="s">
        <v>269</v>
      </c>
      <c r="M530" t="s">
        <v>131</v>
      </c>
      <c r="N530">
        <v>8</v>
      </c>
      <c r="P530" t="s">
        <v>41</v>
      </c>
      <c r="Q530" t="s">
        <v>75</v>
      </c>
      <c r="R530" t="str">
        <f>"7052010"</f>
        <v>7052010</v>
      </c>
      <c r="S530" t="s">
        <v>615</v>
      </c>
      <c r="T530" t="s">
        <v>268</v>
      </c>
      <c r="U530" t="s">
        <v>269</v>
      </c>
      <c r="V530" t="s">
        <v>131</v>
      </c>
      <c r="W530" t="s">
        <v>51</v>
      </c>
      <c r="X530" t="s">
        <v>45</v>
      </c>
      <c r="Y530" s="1">
        <v>24305</v>
      </c>
      <c r="Z530">
        <v>1</v>
      </c>
      <c r="AA530" t="s">
        <v>269</v>
      </c>
      <c r="AB530" s="40" t="s">
        <v>1795</v>
      </c>
    </row>
    <row r="531" spans="1:28" x14ac:dyDescent="0.25">
      <c r="A531">
        <v>99910530</v>
      </c>
      <c r="B531" t="s">
        <v>56</v>
      </c>
      <c r="C531" t="s">
        <v>111</v>
      </c>
      <c r="D531" t="s">
        <v>112</v>
      </c>
      <c r="G531" t="s">
        <v>48</v>
      </c>
      <c r="H531">
        <v>1</v>
      </c>
      <c r="K531" t="s">
        <v>667</v>
      </c>
      <c r="L531" t="s">
        <v>669</v>
      </c>
      <c r="M531" t="s">
        <v>670</v>
      </c>
      <c r="N531">
        <v>8</v>
      </c>
      <c r="P531" t="s">
        <v>41</v>
      </c>
      <c r="Q531" t="s">
        <v>75</v>
      </c>
      <c r="R531" t="str">
        <f>"7501000"</f>
        <v>7501000</v>
      </c>
      <c r="S531" t="s">
        <v>668</v>
      </c>
      <c r="T531" t="s">
        <v>667</v>
      </c>
      <c r="U531" t="s">
        <v>669</v>
      </c>
      <c r="V531" t="s">
        <v>670</v>
      </c>
      <c r="W531" t="s">
        <v>51</v>
      </c>
      <c r="X531" t="s">
        <v>45</v>
      </c>
      <c r="Y531" s="1">
        <v>24299</v>
      </c>
      <c r="Z531">
        <v>1</v>
      </c>
      <c r="AA531" t="s">
        <v>669</v>
      </c>
      <c r="AB531" s="40" t="s">
        <v>1795</v>
      </c>
    </row>
    <row r="532" spans="1:28" x14ac:dyDescent="0.25">
      <c r="A532">
        <v>99910531</v>
      </c>
      <c r="B532" t="s">
        <v>32</v>
      </c>
      <c r="C532" t="s">
        <v>71</v>
      </c>
      <c r="D532" t="s">
        <v>72</v>
      </c>
      <c r="G532" t="s">
        <v>48</v>
      </c>
      <c r="H532">
        <v>1</v>
      </c>
      <c r="K532" t="s">
        <v>300</v>
      </c>
      <c r="L532" t="s">
        <v>301</v>
      </c>
      <c r="M532" t="s">
        <v>131</v>
      </c>
      <c r="N532">
        <v>8</v>
      </c>
      <c r="P532" t="s">
        <v>41</v>
      </c>
      <c r="Q532" t="s">
        <v>49</v>
      </c>
      <c r="R532" t="str">
        <f>"0560020"</f>
        <v>0560020</v>
      </c>
      <c r="S532" t="s">
        <v>302</v>
      </c>
      <c r="T532" t="s">
        <v>300</v>
      </c>
      <c r="U532" t="s">
        <v>301</v>
      </c>
      <c r="V532" t="s">
        <v>131</v>
      </c>
      <c r="W532" t="s">
        <v>51</v>
      </c>
      <c r="X532" t="s">
        <v>45</v>
      </c>
      <c r="Y532" s="1">
        <v>24186</v>
      </c>
      <c r="Z532">
        <v>2</v>
      </c>
      <c r="AA532" t="s">
        <v>301</v>
      </c>
      <c r="AB532" s="40" t="s">
        <v>1795</v>
      </c>
    </row>
    <row r="533" spans="1:28" x14ac:dyDescent="0.25">
      <c r="A533">
        <v>99910532</v>
      </c>
      <c r="B533" t="s">
        <v>32</v>
      </c>
      <c r="C533" t="s">
        <v>139</v>
      </c>
      <c r="D533" t="s">
        <v>140</v>
      </c>
      <c r="G533" t="s">
        <v>35</v>
      </c>
      <c r="H533">
        <v>1</v>
      </c>
      <c r="K533" t="s">
        <v>223</v>
      </c>
      <c r="L533" t="s">
        <v>224</v>
      </c>
      <c r="M533" t="s">
        <v>131</v>
      </c>
      <c r="N533">
        <v>8</v>
      </c>
      <c r="P533" t="s">
        <v>41</v>
      </c>
      <c r="Q533" t="s">
        <v>49</v>
      </c>
      <c r="R533" t="str">
        <f>"0591901"</f>
        <v>0591901</v>
      </c>
      <c r="S533" t="s">
        <v>230</v>
      </c>
      <c r="T533" t="s">
        <v>223</v>
      </c>
      <c r="U533" t="s">
        <v>224</v>
      </c>
      <c r="V533" t="s">
        <v>131</v>
      </c>
      <c r="W533" t="s">
        <v>51</v>
      </c>
      <c r="X533" t="s">
        <v>45</v>
      </c>
      <c r="Y533" s="1">
        <v>24141</v>
      </c>
      <c r="Z533">
        <v>2</v>
      </c>
      <c r="AA533" t="s">
        <v>224</v>
      </c>
      <c r="AB533" s="40" t="s">
        <v>1795</v>
      </c>
    </row>
    <row r="534" spans="1:28" x14ac:dyDescent="0.25">
      <c r="A534">
        <v>99910533</v>
      </c>
      <c r="B534" t="s">
        <v>56</v>
      </c>
      <c r="C534" t="s">
        <v>61</v>
      </c>
      <c r="D534" t="s">
        <v>62</v>
      </c>
      <c r="G534" t="s">
        <v>35</v>
      </c>
      <c r="H534">
        <v>12</v>
      </c>
      <c r="K534" t="s">
        <v>345</v>
      </c>
      <c r="L534" t="s">
        <v>346</v>
      </c>
      <c r="M534" t="s">
        <v>131</v>
      </c>
      <c r="N534">
        <v>8</v>
      </c>
      <c r="P534" t="s">
        <v>41</v>
      </c>
      <c r="Q534" t="s">
        <v>49</v>
      </c>
      <c r="R534" t="str">
        <f>"0560007"</f>
        <v>0560007</v>
      </c>
      <c r="S534" t="s">
        <v>357</v>
      </c>
      <c r="T534" t="s">
        <v>345</v>
      </c>
      <c r="U534" t="s">
        <v>346</v>
      </c>
      <c r="V534" t="s">
        <v>131</v>
      </c>
      <c r="W534" t="s">
        <v>51</v>
      </c>
      <c r="X534" t="s">
        <v>45</v>
      </c>
      <c r="Y534" s="1">
        <v>24114</v>
      </c>
      <c r="Z534">
        <v>2</v>
      </c>
      <c r="AA534" t="s">
        <v>346</v>
      </c>
      <c r="AB534" s="40" t="s">
        <v>1795</v>
      </c>
    </row>
    <row r="535" spans="1:28" x14ac:dyDescent="0.25">
      <c r="A535">
        <v>99910534</v>
      </c>
      <c r="B535" t="s">
        <v>56</v>
      </c>
      <c r="C535" t="s">
        <v>52</v>
      </c>
      <c r="D535" t="s">
        <v>53</v>
      </c>
      <c r="G535" t="s">
        <v>48</v>
      </c>
      <c r="H535">
        <v>1</v>
      </c>
      <c r="K535" t="s">
        <v>345</v>
      </c>
      <c r="L535" t="s">
        <v>346</v>
      </c>
      <c r="M535" t="s">
        <v>131</v>
      </c>
      <c r="N535">
        <v>8</v>
      </c>
      <c r="P535" t="s">
        <v>41</v>
      </c>
      <c r="Q535" t="s">
        <v>42</v>
      </c>
      <c r="R535" t="str">
        <f>"0580931"</f>
        <v>0580931</v>
      </c>
      <c r="S535" t="s">
        <v>369</v>
      </c>
      <c r="T535" t="s">
        <v>345</v>
      </c>
      <c r="U535" t="s">
        <v>346</v>
      </c>
      <c r="V535" t="s">
        <v>131</v>
      </c>
      <c r="W535" t="s">
        <v>51</v>
      </c>
      <c r="X535" t="s">
        <v>45</v>
      </c>
      <c r="Y535" s="1">
        <v>23889</v>
      </c>
      <c r="Z535">
        <v>2</v>
      </c>
      <c r="AA535" t="s">
        <v>346</v>
      </c>
      <c r="AB535" s="40" t="s">
        <v>1795</v>
      </c>
    </row>
    <row r="536" spans="1:28" x14ac:dyDescent="0.25">
      <c r="A536">
        <v>99910535</v>
      </c>
      <c r="B536" t="s">
        <v>56</v>
      </c>
      <c r="C536" t="s">
        <v>111</v>
      </c>
      <c r="D536" t="s">
        <v>112</v>
      </c>
      <c r="G536" t="s">
        <v>48</v>
      </c>
      <c r="H536">
        <v>14</v>
      </c>
      <c r="I536" t="s">
        <v>481</v>
      </c>
      <c r="J536" s="1">
        <v>34943</v>
      </c>
      <c r="K536" t="s">
        <v>431</v>
      </c>
      <c r="L536" t="s">
        <v>196</v>
      </c>
      <c r="M536" t="s">
        <v>131</v>
      </c>
      <c r="N536">
        <v>8</v>
      </c>
      <c r="O536" s="1">
        <v>34943</v>
      </c>
      <c r="P536" t="s">
        <v>41</v>
      </c>
      <c r="Q536" t="s">
        <v>75</v>
      </c>
      <c r="R536" t="str">
        <f>"7521012"</f>
        <v>7521012</v>
      </c>
      <c r="S536" t="s">
        <v>432</v>
      </c>
      <c r="T536" t="s">
        <v>431</v>
      </c>
      <c r="U536" t="s">
        <v>196</v>
      </c>
      <c r="V536" t="s">
        <v>131</v>
      </c>
      <c r="W536" t="s">
        <v>165</v>
      </c>
      <c r="X536" t="s">
        <v>45</v>
      </c>
      <c r="Y536" s="1">
        <v>23698</v>
      </c>
      <c r="Z536">
        <v>1</v>
      </c>
      <c r="AA536" t="s">
        <v>196</v>
      </c>
      <c r="AB536" s="40" t="s">
        <v>1795</v>
      </c>
    </row>
    <row r="537" spans="1:28" x14ac:dyDescent="0.25">
      <c r="A537">
        <v>99910536</v>
      </c>
      <c r="B537" t="s">
        <v>56</v>
      </c>
      <c r="C537" t="s">
        <v>68</v>
      </c>
      <c r="D537" t="s">
        <v>69</v>
      </c>
      <c r="G537" t="s">
        <v>48</v>
      </c>
      <c r="H537">
        <v>1</v>
      </c>
      <c r="K537" t="s">
        <v>223</v>
      </c>
      <c r="L537" t="s">
        <v>224</v>
      </c>
      <c r="M537" t="s">
        <v>131</v>
      </c>
      <c r="N537">
        <v>8</v>
      </c>
      <c r="P537" t="s">
        <v>41</v>
      </c>
      <c r="Q537" t="s">
        <v>49</v>
      </c>
      <c r="R537" t="str">
        <f>"0581200"</f>
        <v>0581200</v>
      </c>
      <c r="S537" t="s">
        <v>238</v>
      </c>
      <c r="T537" t="s">
        <v>223</v>
      </c>
      <c r="U537" t="s">
        <v>224</v>
      </c>
      <c r="V537" t="s">
        <v>131</v>
      </c>
      <c r="W537" t="s">
        <v>51</v>
      </c>
      <c r="X537" t="s">
        <v>45</v>
      </c>
      <c r="Y537" s="1">
        <v>23604</v>
      </c>
      <c r="Z537">
        <v>2</v>
      </c>
      <c r="AA537" t="s">
        <v>224</v>
      </c>
      <c r="AB537" s="40" t="s">
        <v>1795</v>
      </c>
    </row>
    <row r="538" spans="1:28" x14ac:dyDescent="0.25">
      <c r="A538">
        <v>99910537</v>
      </c>
      <c r="B538" t="s">
        <v>56</v>
      </c>
      <c r="C538" t="s">
        <v>111</v>
      </c>
      <c r="D538" t="s">
        <v>112</v>
      </c>
      <c r="G538" t="s">
        <v>48</v>
      </c>
      <c r="H538">
        <v>1</v>
      </c>
      <c r="K538" t="s">
        <v>1341</v>
      </c>
      <c r="L538" t="s">
        <v>1342</v>
      </c>
      <c r="M538" t="s">
        <v>1270</v>
      </c>
      <c r="N538">
        <v>8</v>
      </c>
      <c r="P538" t="s">
        <v>41</v>
      </c>
      <c r="Q538" t="s">
        <v>75</v>
      </c>
      <c r="R538" t="str">
        <f>"7191000"</f>
        <v>7191000</v>
      </c>
      <c r="S538" t="s">
        <v>1347</v>
      </c>
      <c r="T538" t="s">
        <v>1341</v>
      </c>
      <c r="U538" t="s">
        <v>1342</v>
      </c>
      <c r="V538" t="s">
        <v>1270</v>
      </c>
      <c r="W538" t="s">
        <v>51</v>
      </c>
      <c r="X538" t="s">
        <v>45</v>
      </c>
      <c r="Y538" s="1">
        <v>23551</v>
      </c>
      <c r="Z538">
        <v>1</v>
      </c>
      <c r="AA538" t="s">
        <v>1342</v>
      </c>
      <c r="AB538" s="40" t="s">
        <v>1795</v>
      </c>
    </row>
    <row r="539" spans="1:28" x14ac:dyDescent="0.25">
      <c r="A539">
        <v>99910538</v>
      </c>
      <c r="B539" t="s">
        <v>32</v>
      </c>
      <c r="C539" t="s">
        <v>139</v>
      </c>
      <c r="D539" t="s">
        <v>140</v>
      </c>
      <c r="G539" t="s">
        <v>48</v>
      </c>
      <c r="H539">
        <v>1</v>
      </c>
      <c r="K539" t="s">
        <v>162</v>
      </c>
      <c r="L539" t="s">
        <v>158</v>
      </c>
      <c r="M539" t="s">
        <v>131</v>
      </c>
      <c r="N539">
        <v>8</v>
      </c>
      <c r="P539" t="s">
        <v>41</v>
      </c>
      <c r="Q539" t="s">
        <v>42</v>
      </c>
      <c r="R539" t="str">
        <f>"0580325"</f>
        <v>0580325</v>
      </c>
      <c r="S539" t="s">
        <v>170</v>
      </c>
      <c r="T539" t="s">
        <v>162</v>
      </c>
      <c r="U539" t="s">
        <v>158</v>
      </c>
      <c r="V539" t="s">
        <v>131</v>
      </c>
      <c r="W539" t="s">
        <v>165</v>
      </c>
      <c r="X539" t="s">
        <v>45</v>
      </c>
      <c r="Y539" s="1">
        <v>23482</v>
      </c>
      <c r="Z539">
        <v>2</v>
      </c>
      <c r="AA539" t="s">
        <v>158</v>
      </c>
      <c r="AB539" s="40" t="s">
        <v>1795</v>
      </c>
    </row>
    <row r="540" spans="1:28" x14ac:dyDescent="0.25">
      <c r="A540">
        <v>99910539</v>
      </c>
      <c r="B540" t="s">
        <v>32</v>
      </c>
      <c r="C540" t="s">
        <v>64</v>
      </c>
      <c r="D540" t="s">
        <v>65</v>
      </c>
      <c r="G540" t="s">
        <v>48</v>
      </c>
      <c r="H540">
        <v>1</v>
      </c>
      <c r="K540" t="s">
        <v>345</v>
      </c>
      <c r="L540" t="s">
        <v>346</v>
      </c>
      <c r="M540" t="s">
        <v>131</v>
      </c>
      <c r="N540">
        <v>8</v>
      </c>
      <c r="P540" t="s">
        <v>41</v>
      </c>
      <c r="Q540" t="s">
        <v>49</v>
      </c>
      <c r="R540" t="str">
        <f>"0560004"</f>
        <v>0560004</v>
      </c>
      <c r="S540" t="s">
        <v>371</v>
      </c>
      <c r="T540" t="s">
        <v>345</v>
      </c>
      <c r="U540" t="s">
        <v>346</v>
      </c>
      <c r="V540" t="s">
        <v>131</v>
      </c>
      <c r="W540" t="s">
        <v>51</v>
      </c>
      <c r="X540" t="s">
        <v>45</v>
      </c>
      <c r="Y540" s="1">
        <v>22935</v>
      </c>
      <c r="Z540">
        <v>2</v>
      </c>
      <c r="AA540" t="s">
        <v>346</v>
      </c>
      <c r="AB540" s="40" t="s">
        <v>1795</v>
      </c>
    </row>
    <row r="541" spans="1:28" x14ac:dyDescent="0.25">
      <c r="A541">
        <v>99910540</v>
      </c>
      <c r="B541" t="s">
        <v>56</v>
      </c>
      <c r="C541" t="s">
        <v>141</v>
      </c>
      <c r="D541" t="s">
        <v>142</v>
      </c>
      <c r="G541" t="s">
        <v>35</v>
      </c>
      <c r="H541">
        <v>1</v>
      </c>
      <c r="K541" t="s">
        <v>154</v>
      </c>
      <c r="L541" t="s">
        <v>155</v>
      </c>
      <c r="M541" t="s">
        <v>131</v>
      </c>
      <c r="N541">
        <v>8</v>
      </c>
      <c r="P541" t="s">
        <v>41</v>
      </c>
      <c r="Q541" t="s">
        <v>75</v>
      </c>
      <c r="R541" t="str">
        <f>"7700026"</f>
        <v>7700026</v>
      </c>
      <c r="S541" t="s">
        <v>397</v>
      </c>
      <c r="T541" t="s">
        <v>154</v>
      </c>
      <c r="U541" t="s">
        <v>155</v>
      </c>
      <c r="V541" t="s">
        <v>131</v>
      </c>
      <c r="W541" t="s">
        <v>51</v>
      </c>
      <c r="X541" t="s">
        <v>45</v>
      </c>
      <c r="Y541" s="1">
        <v>22794</v>
      </c>
      <c r="Z541">
        <v>1</v>
      </c>
      <c r="AA541" t="s">
        <v>155</v>
      </c>
      <c r="AB541" s="40" t="s">
        <v>1795</v>
      </c>
    </row>
    <row r="542" spans="1:28" x14ac:dyDescent="0.25">
      <c r="A542">
        <v>99910541</v>
      </c>
      <c r="B542" t="s">
        <v>56</v>
      </c>
      <c r="C542" t="s">
        <v>46</v>
      </c>
      <c r="D542" t="s">
        <v>47</v>
      </c>
      <c r="G542" t="s">
        <v>48</v>
      </c>
      <c r="H542">
        <v>16</v>
      </c>
      <c r="I542">
        <v>18255</v>
      </c>
      <c r="J542" s="1">
        <v>43344</v>
      </c>
      <c r="K542" t="s">
        <v>223</v>
      </c>
      <c r="L542" t="s">
        <v>224</v>
      </c>
      <c r="M542" t="s">
        <v>131</v>
      </c>
      <c r="N542">
        <v>8</v>
      </c>
      <c r="O542" s="1">
        <v>43344</v>
      </c>
      <c r="P542" t="s">
        <v>41</v>
      </c>
      <c r="Q542" t="s">
        <v>49</v>
      </c>
      <c r="R542" t="str">
        <f>"0560008"</f>
        <v>0560008</v>
      </c>
      <c r="S542" t="s">
        <v>263</v>
      </c>
      <c r="T542" t="s">
        <v>223</v>
      </c>
      <c r="U542" t="s">
        <v>224</v>
      </c>
      <c r="V542" t="s">
        <v>131</v>
      </c>
      <c r="W542" t="s">
        <v>51</v>
      </c>
      <c r="X542" t="s">
        <v>45</v>
      </c>
      <c r="Y542" s="1">
        <v>22685</v>
      </c>
      <c r="Z542">
        <v>2</v>
      </c>
      <c r="AA542" t="s">
        <v>224</v>
      </c>
      <c r="AB542" s="40" t="s">
        <v>1795</v>
      </c>
    </row>
    <row r="543" spans="1:28" x14ac:dyDescent="0.25">
      <c r="A543">
        <v>99910542</v>
      </c>
      <c r="B543" t="s">
        <v>56</v>
      </c>
      <c r="C543" t="s">
        <v>145</v>
      </c>
      <c r="D543" t="s">
        <v>146</v>
      </c>
      <c r="G543" t="s">
        <v>48</v>
      </c>
      <c r="H543">
        <v>1</v>
      </c>
      <c r="K543" t="s">
        <v>380</v>
      </c>
      <c r="L543" t="s">
        <v>381</v>
      </c>
      <c r="M543" t="s">
        <v>131</v>
      </c>
      <c r="N543">
        <v>8</v>
      </c>
      <c r="P543" t="s">
        <v>41</v>
      </c>
      <c r="Q543" t="s">
        <v>49</v>
      </c>
      <c r="R543" t="str">
        <f>"0581859"</f>
        <v>0581859</v>
      </c>
      <c r="S543" t="s">
        <v>394</v>
      </c>
      <c r="T543" t="s">
        <v>380</v>
      </c>
      <c r="U543" t="s">
        <v>381</v>
      </c>
      <c r="V543" t="s">
        <v>131</v>
      </c>
      <c r="W543" t="s">
        <v>51</v>
      </c>
      <c r="X543" t="s">
        <v>45</v>
      </c>
      <c r="Y543" s="1">
        <v>22647</v>
      </c>
      <c r="Z543">
        <v>2</v>
      </c>
      <c r="AA543" t="s">
        <v>381</v>
      </c>
      <c r="AB543" s="40" t="s">
        <v>1795</v>
      </c>
    </row>
    <row r="544" spans="1:28" x14ac:dyDescent="0.25">
      <c r="A544">
        <v>99910543</v>
      </c>
      <c r="B544" t="s">
        <v>56</v>
      </c>
      <c r="C544" t="s">
        <v>52</v>
      </c>
      <c r="D544" t="s">
        <v>53</v>
      </c>
      <c r="G544" t="s">
        <v>48</v>
      </c>
      <c r="H544">
        <v>1</v>
      </c>
      <c r="K544" t="s">
        <v>157</v>
      </c>
      <c r="L544" t="s">
        <v>158</v>
      </c>
      <c r="M544" t="s">
        <v>131</v>
      </c>
      <c r="N544">
        <v>8</v>
      </c>
      <c r="P544" t="s">
        <v>41</v>
      </c>
      <c r="Q544" t="s">
        <v>49</v>
      </c>
      <c r="R544" t="str">
        <f>"0560010"</f>
        <v>0560010</v>
      </c>
      <c r="S544" t="s">
        <v>179</v>
      </c>
      <c r="T544" t="s">
        <v>157</v>
      </c>
      <c r="U544" t="s">
        <v>158</v>
      </c>
      <c r="V544" t="s">
        <v>131</v>
      </c>
      <c r="W544" t="s">
        <v>51</v>
      </c>
      <c r="X544" t="s">
        <v>45</v>
      </c>
      <c r="Y544" s="1">
        <v>22589</v>
      </c>
      <c r="Z544">
        <v>2</v>
      </c>
      <c r="AA544" t="s">
        <v>158</v>
      </c>
      <c r="AB544" s="40" t="s">
        <v>1795</v>
      </c>
    </row>
    <row r="545" spans="1:28" x14ac:dyDescent="0.25">
      <c r="A545">
        <v>99910544</v>
      </c>
      <c r="B545" t="s">
        <v>32</v>
      </c>
      <c r="C545" t="s">
        <v>139</v>
      </c>
      <c r="D545" t="s">
        <v>140</v>
      </c>
      <c r="G545" t="s">
        <v>48</v>
      </c>
      <c r="H545">
        <v>1</v>
      </c>
      <c r="K545" t="s">
        <v>300</v>
      </c>
      <c r="L545" t="s">
        <v>301</v>
      </c>
      <c r="M545" t="s">
        <v>131</v>
      </c>
      <c r="N545">
        <v>8</v>
      </c>
      <c r="P545" t="s">
        <v>41</v>
      </c>
      <c r="Q545" t="s">
        <v>49</v>
      </c>
      <c r="R545" t="str">
        <f>"0560020"</f>
        <v>0560020</v>
      </c>
      <c r="S545" t="s">
        <v>302</v>
      </c>
      <c r="T545" t="s">
        <v>300</v>
      </c>
      <c r="U545" t="s">
        <v>301</v>
      </c>
      <c r="V545" t="s">
        <v>131</v>
      </c>
      <c r="W545" t="s">
        <v>51</v>
      </c>
      <c r="X545" t="s">
        <v>45</v>
      </c>
      <c r="Y545" s="1">
        <v>22273</v>
      </c>
      <c r="Z545">
        <v>2</v>
      </c>
      <c r="AA545" t="s">
        <v>301</v>
      </c>
      <c r="AB545" s="40" t="s">
        <v>1795</v>
      </c>
    </row>
    <row r="546" spans="1:28" x14ac:dyDescent="0.25">
      <c r="A546">
        <v>99910545</v>
      </c>
      <c r="B546" t="s">
        <v>32</v>
      </c>
      <c r="C546" t="s">
        <v>71</v>
      </c>
      <c r="D546" t="s">
        <v>72</v>
      </c>
      <c r="G546" t="s">
        <v>48</v>
      </c>
      <c r="H546">
        <v>1</v>
      </c>
      <c r="K546" t="s">
        <v>223</v>
      </c>
      <c r="L546" t="s">
        <v>224</v>
      </c>
      <c r="M546" t="s">
        <v>131</v>
      </c>
      <c r="N546">
        <v>8</v>
      </c>
      <c r="P546" t="s">
        <v>41</v>
      </c>
      <c r="Q546" t="s">
        <v>42</v>
      </c>
      <c r="R546" t="str">
        <f>"0580202"</f>
        <v>0580202</v>
      </c>
      <c r="S546" t="s">
        <v>240</v>
      </c>
      <c r="T546" t="s">
        <v>223</v>
      </c>
      <c r="U546" t="s">
        <v>224</v>
      </c>
      <c r="V546" t="s">
        <v>131</v>
      </c>
      <c r="W546" t="s">
        <v>51</v>
      </c>
      <c r="X546" t="s">
        <v>45</v>
      </c>
      <c r="Y546" s="1">
        <v>21950</v>
      </c>
      <c r="Z546">
        <v>2</v>
      </c>
      <c r="AA546" t="s">
        <v>224</v>
      </c>
      <c r="AB546" s="40" t="s">
        <v>1795</v>
      </c>
    </row>
    <row r="547" spans="1:28" x14ac:dyDescent="0.25">
      <c r="A547">
        <v>99910546</v>
      </c>
      <c r="B547" t="s">
        <v>56</v>
      </c>
      <c r="C547" t="s">
        <v>111</v>
      </c>
      <c r="D547" t="s">
        <v>112</v>
      </c>
      <c r="G547" t="s">
        <v>35</v>
      </c>
      <c r="H547">
        <v>1</v>
      </c>
      <c r="I547" t="s">
        <v>633</v>
      </c>
      <c r="J547" s="1">
        <v>43344</v>
      </c>
      <c r="K547" t="s">
        <v>268</v>
      </c>
      <c r="L547" t="s">
        <v>269</v>
      </c>
      <c r="M547" t="s">
        <v>131</v>
      </c>
      <c r="N547">
        <v>8</v>
      </c>
      <c r="O547" s="1">
        <v>43344</v>
      </c>
      <c r="P547" t="s">
        <v>41</v>
      </c>
      <c r="Q547" t="s">
        <v>75</v>
      </c>
      <c r="R547" t="str">
        <f>"7052020"</f>
        <v>7052020</v>
      </c>
      <c r="S547" t="s">
        <v>267</v>
      </c>
      <c r="T547" t="s">
        <v>268</v>
      </c>
      <c r="U547" t="s">
        <v>269</v>
      </c>
      <c r="V547" t="s">
        <v>131</v>
      </c>
      <c r="W547" t="s">
        <v>51</v>
      </c>
      <c r="X547" t="s">
        <v>45</v>
      </c>
      <c r="Y547" s="1">
        <v>21372</v>
      </c>
      <c r="Z547">
        <v>1</v>
      </c>
      <c r="AA547" t="s">
        <v>269</v>
      </c>
      <c r="AB547" s="40" t="s">
        <v>1795</v>
      </c>
    </row>
    <row r="548" spans="1:28" x14ac:dyDescent="0.25">
      <c r="A548">
        <v>99910547</v>
      </c>
      <c r="B548" t="s">
        <v>32</v>
      </c>
      <c r="C548" t="s">
        <v>46</v>
      </c>
      <c r="D548" t="s">
        <v>47</v>
      </c>
      <c r="G548" t="s">
        <v>35</v>
      </c>
      <c r="H548">
        <v>1</v>
      </c>
      <c r="K548" t="s">
        <v>223</v>
      </c>
      <c r="L548" t="s">
        <v>224</v>
      </c>
      <c r="M548" t="s">
        <v>131</v>
      </c>
      <c r="N548">
        <v>8</v>
      </c>
      <c r="P548" t="s">
        <v>41</v>
      </c>
      <c r="Q548" t="s">
        <v>49</v>
      </c>
      <c r="R548" t="str">
        <f>"0581207"</f>
        <v>0581207</v>
      </c>
      <c r="S548" t="s">
        <v>233</v>
      </c>
      <c r="T548" t="s">
        <v>223</v>
      </c>
      <c r="U548" t="s">
        <v>224</v>
      </c>
      <c r="V548" t="s">
        <v>131</v>
      </c>
      <c r="W548" t="s">
        <v>165</v>
      </c>
      <c r="X548" t="s">
        <v>45</v>
      </c>
      <c r="Y548" s="1">
        <v>21366</v>
      </c>
      <c r="Z548">
        <v>2</v>
      </c>
      <c r="AA548" t="s">
        <v>224</v>
      </c>
      <c r="AB548" s="40" t="s">
        <v>1795</v>
      </c>
    </row>
    <row r="549" spans="1:28" x14ac:dyDescent="0.25">
      <c r="A549">
        <v>99910548</v>
      </c>
      <c r="B549" t="s">
        <v>32</v>
      </c>
      <c r="C549" t="s">
        <v>46</v>
      </c>
      <c r="D549" t="s">
        <v>47</v>
      </c>
      <c r="G549" t="s">
        <v>35</v>
      </c>
      <c r="H549">
        <v>1</v>
      </c>
      <c r="K549" t="s">
        <v>300</v>
      </c>
      <c r="L549" t="s">
        <v>301</v>
      </c>
      <c r="M549" t="s">
        <v>131</v>
      </c>
      <c r="N549">
        <v>8</v>
      </c>
      <c r="P549" t="s">
        <v>41</v>
      </c>
      <c r="Q549" t="s">
        <v>42</v>
      </c>
      <c r="R549" t="str">
        <f>"0580457"</f>
        <v>0580457</v>
      </c>
      <c r="S549" t="s">
        <v>310</v>
      </c>
      <c r="T549" t="s">
        <v>300</v>
      </c>
      <c r="U549" t="s">
        <v>301</v>
      </c>
      <c r="V549" t="s">
        <v>131</v>
      </c>
      <c r="W549" t="s">
        <v>51</v>
      </c>
      <c r="X549" t="s">
        <v>45</v>
      </c>
      <c r="Y549" s="1">
        <v>21187</v>
      </c>
      <c r="Z549">
        <v>2</v>
      </c>
      <c r="AA549" t="s">
        <v>301</v>
      </c>
      <c r="AB549" s="40" t="s">
        <v>1795</v>
      </c>
    </row>
    <row r="550" spans="1:28" x14ac:dyDescent="0.25">
      <c r="A550">
        <v>99910549</v>
      </c>
      <c r="B550" t="s">
        <v>32</v>
      </c>
      <c r="C550" t="s">
        <v>139</v>
      </c>
      <c r="D550" t="s">
        <v>140</v>
      </c>
      <c r="G550" t="s">
        <v>35</v>
      </c>
      <c r="H550">
        <v>1</v>
      </c>
      <c r="K550" t="s">
        <v>223</v>
      </c>
      <c r="L550" t="s">
        <v>224</v>
      </c>
      <c r="M550" t="s">
        <v>131</v>
      </c>
      <c r="N550">
        <v>8</v>
      </c>
      <c r="P550" t="s">
        <v>41</v>
      </c>
      <c r="Q550" t="s">
        <v>49</v>
      </c>
      <c r="R550" t="str">
        <f>"0591901"</f>
        <v>0591901</v>
      </c>
      <c r="S550" t="s">
        <v>230</v>
      </c>
      <c r="T550" t="s">
        <v>223</v>
      </c>
      <c r="U550" t="s">
        <v>224</v>
      </c>
      <c r="V550" t="s">
        <v>131</v>
      </c>
      <c r="W550" t="s">
        <v>51</v>
      </c>
      <c r="X550" t="s">
        <v>45</v>
      </c>
      <c r="Y550" s="1">
        <v>20490</v>
      </c>
      <c r="Z550">
        <v>2</v>
      </c>
      <c r="AA550" t="s">
        <v>224</v>
      </c>
      <c r="AB550" s="40" t="s">
        <v>1795</v>
      </c>
    </row>
    <row r="551" spans="1:28" x14ac:dyDescent="0.25">
      <c r="A551">
        <v>99910550</v>
      </c>
      <c r="B551" t="s">
        <v>32</v>
      </c>
      <c r="C551" t="s">
        <v>64</v>
      </c>
      <c r="D551" t="s">
        <v>65</v>
      </c>
      <c r="G551" t="s">
        <v>48</v>
      </c>
      <c r="H551">
        <v>1</v>
      </c>
      <c r="K551" t="s">
        <v>223</v>
      </c>
      <c r="L551" t="s">
        <v>224</v>
      </c>
      <c r="M551" t="s">
        <v>131</v>
      </c>
      <c r="N551">
        <v>8</v>
      </c>
      <c r="P551" t="s">
        <v>41</v>
      </c>
      <c r="Q551" t="s">
        <v>42</v>
      </c>
      <c r="R551" t="str">
        <f>"0580203"</f>
        <v>0580203</v>
      </c>
      <c r="S551" t="s">
        <v>239</v>
      </c>
      <c r="T551" t="s">
        <v>223</v>
      </c>
      <c r="U551" t="s">
        <v>224</v>
      </c>
      <c r="V551" t="s">
        <v>131</v>
      </c>
      <c r="W551" t="s">
        <v>165</v>
      </c>
      <c r="X551" t="s">
        <v>45</v>
      </c>
      <c r="Y551" s="1">
        <v>20473</v>
      </c>
      <c r="Z551">
        <v>2</v>
      </c>
      <c r="AA551" t="s">
        <v>224</v>
      </c>
      <c r="AB551" s="40" t="s">
        <v>1795</v>
      </c>
    </row>
    <row r="552" spans="1:28" x14ac:dyDescent="0.25">
      <c r="A552">
        <v>99910551</v>
      </c>
      <c r="B552" t="s">
        <v>56</v>
      </c>
      <c r="C552" t="s">
        <v>52</v>
      </c>
      <c r="D552" t="s">
        <v>53</v>
      </c>
      <c r="G552" t="s">
        <v>35</v>
      </c>
      <c r="H552">
        <v>1</v>
      </c>
      <c r="I552">
        <v>18255</v>
      </c>
      <c r="J552" s="1">
        <v>43344</v>
      </c>
      <c r="K552" t="s">
        <v>223</v>
      </c>
      <c r="L552" t="s">
        <v>224</v>
      </c>
      <c r="M552" t="s">
        <v>131</v>
      </c>
      <c r="N552">
        <v>8</v>
      </c>
      <c r="O552" s="1">
        <v>43344</v>
      </c>
      <c r="P552" t="s">
        <v>41</v>
      </c>
      <c r="Q552" t="s">
        <v>42</v>
      </c>
      <c r="R552" t="str">
        <f>"0580345"</f>
        <v>0580345</v>
      </c>
      <c r="S552" t="s">
        <v>261</v>
      </c>
      <c r="T552" t="s">
        <v>223</v>
      </c>
      <c r="U552" t="s">
        <v>224</v>
      </c>
      <c r="V552" t="s">
        <v>131</v>
      </c>
      <c r="W552" t="s">
        <v>51</v>
      </c>
      <c r="X552" t="s">
        <v>45</v>
      </c>
      <c r="Y552" s="1">
        <v>19941</v>
      </c>
      <c r="Z552">
        <v>2</v>
      </c>
      <c r="AA552" t="s">
        <v>224</v>
      </c>
      <c r="AB552" s="40" t="s">
        <v>1795</v>
      </c>
    </row>
    <row r="553" spans="1:28" x14ac:dyDescent="0.25">
      <c r="A553">
        <v>99910552</v>
      </c>
      <c r="B553" t="s">
        <v>56</v>
      </c>
      <c r="C553" t="s">
        <v>111</v>
      </c>
      <c r="D553" t="s">
        <v>112</v>
      </c>
      <c r="G553" t="s">
        <v>48</v>
      </c>
      <c r="H553">
        <v>1</v>
      </c>
      <c r="K553" t="s">
        <v>154</v>
      </c>
      <c r="L553" t="s">
        <v>155</v>
      </c>
      <c r="M553" t="s">
        <v>131</v>
      </c>
      <c r="N553">
        <v>8</v>
      </c>
      <c r="P553" t="s">
        <v>41</v>
      </c>
      <c r="Q553" t="s">
        <v>75</v>
      </c>
      <c r="R553" t="str">
        <f>"7051002"</f>
        <v>7051002</v>
      </c>
      <c r="S553" t="s">
        <v>395</v>
      </c>
      <c r="T553" t="s">
        <v>154</v>
      </c>
      <c r="U553" t="s">
        <v>155</v>
      </c>
      <c r="V553" t="s">
        <v>131</v>
      </c>
      <c r="W553" t="s">
        <v>51</v>
      </c>
      <c r="X553" t="s">
        <v>45</v>
      </c>
      <c r="Y553" s="1">
        <v>19752</v>
      </c>
      <c r="Z553">
        <v>1</v>
      </c>
      <c r="AA553" t="s">
        <v>155</v>
      </c>
      <c r="AB553" s="40" t="s">
        <v>1795</v>
      </c>
    </row>
    <row r="554" spans="1:28" x14ac:dyDescent="0.25">
      <c r="A554">
        <v>99910553</v>
      </c>
      <c r="B554" t="s">
        <v>32</v>
      </c>
      <c r="C554" t="s">
        <v>139</v>
      </c>
      <c r="D554" t="s">
        <v>140</v>
      </c>
      <c r="G554" t="s">
        <v>48</v>
      </c>
      <c r="H554">
        <v>1</v>
      </c>
      <c r="K554" t="s">
        <v>380</v>
      </c>
      <c r="L554" t="s">
        <v>381</v>
      </c>
      <c r="M554" t="s">
        <v>131</v>
      </c>
      <c r="N554">
        <v>8</v>
      </c>
      <c r="P554" t="s">
        <v>41</v>
      </c>
      <c r="Q554" t="s">
        <v>42</v>
      </c>
      <c r="R554" t="str">
        <f>"0590908"</f>
        <v>0590908</v>
      </c>
      <c r="S554" t="s">
        <v>382</v>
      </c>
      <c r="T554" t="s">
        <v>380</v>
      </c>
      <c r="U554" t="s">
        <v>381</v>
      </c>
      <c r="V554" t="s">
        <v>131</v>
      </c>
      <c r="W554" t="s">
        <v>44</v>
      </c>
      <c r="X554" t="s">
        <v>45</v>
      </c>
      <c r="Y554" s="1">
        <v>19729</v>
      </c>
      <c r="Z554">
        <v>2</v>
      </c>
      <c r="AA554" t="s">
        <v>381</v>
      </c>
      <c r="AB554" s="40" t="s">
        <v>1795</v>
      </c>
    </row>
    <row r="555" spans="1:28" x14ac:dyDescent="0.25">
      <c r="A555">
        <v>99910554</v>
      </c>
      <c r="B555" t="s">
        <v>32</v>
      </c>
      <c r="C555" t="s">
        <v>111</v>
      </c>
      <c r="D555" t="s">
        <v>112</v>
      </c>
      <c r="G555" t="s">
        <v>35</v>
      </c>
      <c r="H555">
        <v>1</v>
      </c>
      <c r="K555" t="s">
        <v>431</v>
      </c>
      <c r="L555" t="s">
        <v>196</v>
      </c>
      <c r="M555" t="s">
        <v>131</v>
      </c>
      <c r="N555">
        <v>8</v>
      </c>
      <c r="P555" t="s">
        <v>41</v>
      </c>
      <c r="Q555" t="s">
        <v>75</v>
      </c>
      <c r="R555" t="str">
        <f>"7521010"</f>
        <v>7521010</v>
      </c>
      <c r="S555" t="s">
        <v>573</v>
      </c>
      <c r="T555" t="s">
        <v>431</v>
      </c>
      <c r="U555" t="s">
        <v>196</v>
      </c>
      <c r="V555" t="s">
        <v>131</v>
      </c>
      <c r="W555" t="s">
        <v>165</v>
      </c>
      <c r="X555" t="s">
        <v>45</v>
      </c>
      <c r="Y555" s="1">
        <v>17580</v>
      </c>
      <c r="Z555">
        <v>1</v>
      </c>
      <c r="AA555" t="s">
        <v>196</v>
      </c>
      <c r="AB555" s="40" t="s">
        <v>1795</v>
      </c>
    </row>
    <row r="556" spans="1:28" x14ac:dyDescent="0.25">
      <c r="A556">
        <v>99910555</v>
      </c>
      <c r="B556" t="s">
        <v>32</v>
      </c>
      <c r="C556" t="s">
        <v>141</v>
      </c>
      <c r="D556" t="s">
        <v>142</v>
      </c>
      <c r="G556" t="s">
        <v>35</v>
      </c>
      <c r="H556">
        <v>1</v>
      </c>
      <c r="I556" s="1">
        <v>43382</v>
      </c>
      <c r="J556" s="1">
        <v>43382</v>
      </c>
      <c r="K556" t="s">
        <v>129</v>
      </c>
      <c r="L556" t="s">
        <v>130</v>
      </c>
      <c r="M556" t="s">
        <v>131</v>
      </c>
      <c r="N556">
        <v>8</v>
      </c>
      <c r="O556" s="1">
        <v>43382</v>
      </c>
      <c r="P556" t="s">
        <v>41</v>
      </c>
      <c r="Q556" t="s">
        <v>49</v>
      </c>
      <c r="R556" t="str">
        <f>"0580150"</f>
        <v>0580150</v>
      </c>
      <c r="S556" t="s">
        <v>134</v>
      </c>
      <c r="T556" t="s">
        <v>129</v>
      </c>
      <c r="U556" t="s">
        <v>130</v>
      </c>
      <c r="V556" t="s">
        <v>131</v>
      </c>
      <c r="W556" t="s">
        <v>44</v>
      </c>
      <c r="X556" t="s">
        <v>45</v>
      </c>
      <c r="Z556">
        <v>2</v>
      </c>
      <c r="AA556" t="s">
        <v>130</v>
      </c>
      <c r="AB556" s="40" t="s">
        <v>1795</v>
      </c>
    </row>
    <row r="557" spans="1:28" x14ac:dyDescent="0.25">
      <c r="A557">
        <v>99910556</v>
      </c>
      <c r="B557" t="s">
        <v>32</v>
      </c>
      <c r="C557" t="s">
        <v>149</v>
      </c>
      <c r="D557" t="s">
        <v>150</v>
      </c>
      <c r="G557" t="s">
        <v>35</v>
      </c>
      <c r="H557">
        <v>1</v>
      </c>
      <c r="K557" t="s">
        <v>157</v>
      </c>
      <c r="L557" t="s">
        <v>158</v>
      </c>
      <c r="M557" t="s">
        <v>131</v>
      </c>
      <c r="N557">
        <v>8</v>
      </c>
      <c r="P557" t="s">
        <v>41</v>
      </c>
      <c r="Q557" t="s">
        <v>49</v>
      </c>
      <c r="R557" t="str">
        <f>"0560011"</f>
        <v>0560011</v>
      </c>
      <c r="S557" t="s">
        <v>185</v>
      </c>
      <c r="T557" t="s">
        <v>157</v>
      </c>
      <c r="U557" t="s">
        <v>158</v>
      </c>
      <c r="V557" t="s">
        <v>131</v>
      </c>
      <c r="W557" t="s">
        <v>51</v>
      </c>
      <c r="X557" t="s">
        <v>45</v>
      </c>
      <c r="Z557">
        <v>2</v>
      </c>
      <c r="AA557" t="s">
        <v>158</v>
      </c>
      <c r="AB557" s="40" t="s">
        <v>1795</v>
      </c>
    </row>
    <row r="558" spans="1:28" x14ac:dyDescent="0.25">
      <c r="A558">
        <v>99910557</v>
      </c>
      <c r="B558" t="s">
        <v>56</v>
      </c>
      <c r="C558" t="s">
        <v>33</v>
      </c>
      <c r="D558" t="s">
        <v>34</v>
      </c>
      <c r="G558" t="s">
        <v>35</v>
      </c>
      <c r="H558">
        <v>1</v>
      </c>
      <c r="I558" t="s">
        <v>335</v>
      </c>
      <c r="J558" s="1">
        <v>43344</v>
      </c>
      <c r="K558" t="s">
        <v>300</v>
      </c>
      <c r="L558" t="s">
        <v>301</v>
      </c>
      <c r="M558" t="s">
        <v>131</v>
      </c>
      <c r="N558">
        <v>8</v>
      </c>
      <c r="O558" s="1">
        <v>43344</v>
      </c>
      <c r="P558" t="s">
        <v>41</v>
      </c>
      <c r="Q558" t="s">
        <v>42</v>
      </c>
      <c r="R558" t="str">
        <f>"0580176"</f>
        <v>0580176</v>
      </c>
      <c r="S558" t="s">
        <v>305</v>
      </c>
      <c r="T558" t="s">
        <v>300</v>
      </c>
      <c r="U558" t="s">
        <v>301</v>
      </c>
      <c r="V558" t="s">
        <v>131</v>
      </c>
      <c r="W558" t="s">
        <v>51</v>
      </c>
      <c r="X558" t="s">
        <v>45</v>
      </c>
      <c r="Z558">
        <v>2</v>
      </c>
      <c r="AA558" t="s">
        <v>301</v>
      </c>
      <c r="AB558" s="40" t="s">
        <v>1795</v>
      </c>
    </row>
    <row r="559" spans="1:28" x14ac:dyDescent="0.25">
      <c r="A559">
        <v>99910558</v>
      </c>
      <c r="B559" t="s">
        <v>56</v>
      </c>
      <c r="C559" t="s">
        <v>52</v>
      </c>
      <c r="D559" t="s">
        <v>53</v>
      </c>
      <c r="G559" t="s">
        <v>48</v>
      </c>
      <c r="H559">
        <v>1</v>
      </c>
      <c r="K559" t="s">
        <v>300</v>
      </c>
      <c r="L559" t="s">
        <v>301</v>
      </c>
      <c r="M559" t="s">
        <v>131</v>
      </c>
      <c r="N559">
        <v>8</v>
      </c>
      <c r="P559" t="s">
        <v>41</v>
      </c>
      <c r="Q559" t="s">
        <v>42</v>
      </c>
      <c r="R559" t="str">
        <f>"0580176"</f>
        <v>0580176</v>
      </c>
      <c r="S559" t="s">
        <v>305</v>
      </c>
      <c r="T559" t="s">
        <v>300</v>
      </c>
      <c r="U559" t="s">
        <v>301</v>
      </c>
      <c r="V559" t="s">
        <v>131</v>
      </c>
      <c r="W559" t="s">
        <v>51</v>
      </c>
      <c r="X559" t="s">
        <v>45</v>
      </c>
      <c r="Z559">
        <v>2</v>
      </c>
      <c r="AA559" t="s">
        <v>301</v>
      </c>
      <c r="AB559" s="40" t="s">
        <v>1795</v>
      </c>
    </row>
    <row r="560" spans="1:28" x14ac:dyDescent="0.25">
      <c r="A560">
        <v>99910559</v>
      </c>
      <c r="B560" t="s">
        <v>32</v>
      </c>
      <c r="C560" t="s">
        <v>111</v>
      </c>
      <c r="D560" t="s">
        <v>112</v>
      </c>
      <c r="G560" t="s">
        <v>48</v>
      </c>
      <c r="H560">
        <v>1</v>
      </c>
      <c r="K560" t="s">
        <v>154</v>
      </c>
      <c r="L560" t="s">
        <v>155</v>
      </c>
      <c r="M560" t="s">
        <v>131</v>
      </c>
      <c r="N560">
        <v>8</v>
      </c>
      <c r="P560" t="s">
        <v>41</v>
      </c>
      <c r="Q560" t="s">
        <v>75</v>
      </c>
      <c r="R560" t="str">
        <f>"7051016"</f>
        <v>7051016</v>
      </c>
      <c r="S560" t="s">
        <v>430</v>
      </c>
      <c r="T560" t="s">
        <v>154</v>
      </c>
      <c r="U560" t="s">
        <v>155</v>
      </c>
      <c r="V560" t="s">
        <v>131</v>
      </c>
      <c r="W560" t="s">
        <v>165</v>
      </c>
      <c r="X560" t="s">
        <v>45</v>
      </c>
      <c r="Z560">
        <v>1</v>
      </c>
      <c r="AA560" t="s">
        <v>155</v>
      </c>
      <c r="AB560" s="40" t="s">
        <v>1795</v>
      </c>
    </row>
    <row r="561" spans="1:28" x14ac:dyDescent="0.25">
      <c r="A561">
        <v>99910560</v>
      </c>
      <c r="B561" t="s">
        <v>32</v>
      </c>
      <c r="C561" t="s">
        <v>139</v>
      </c>
      <c r="D561" t="s">
        <v>140</v>
      </c>
      <c r="G561" t="s">
        <v>48</v>
      </c>
      <c r="H561">
        <v>1</v>
      </c>
      <c r="K561" t="s">
        <v>431</v>
      </c>
      <c r="L561" t="s">
        <v>196</v>
      </c>
      <c r="M561" t="s">
        <v>131</v>
      </c>
      <c r="N561">
        <v>8</v>
      </c>
      <c r="P561" t="s">
        <v>41</v>
      </c>
      <c r="Q561" t="s">
        <v>75</v>
      </c>
      <c r="R561" t="str">
        <f>"7521012"</f>
        <v>7521012</v>
      </c>
      <c r="S561" t="s">
        <v>432</v>
      </c>
      <c r="T561" t="s">
        <v>431</v>
      </c>
      <c r="U561" t="s">
        <v>196</v>
      </c>
      <c r="V561" t="s">
        <v>131</v>
      </c>
      <c r="W561" t="s">
        <v>51</v>
      </c>
      <c r="X561" t="s">
        <v>45</v>
      </c>
      <c r="Z561">
        <v>1</v>
      </c>
      <c r="AA561" t="s">
        <v>196</v>
      </c>
      <c r="AB561" s="40" t="s">
        <v>1795</v>
      </c>
    </row>
    <row r="562" spans="1:28" x14ac:dyDescent="0.25">
      <c r="A562">
        <v>99910561</v>
      </c>
      <c r="B562" t="s">
        <v>32</v>
      </c>
      <c r="C562" t="s">
        <v>139</v>
      </c>
      <c r="D562" t="s">
        <v>140</v>
      </c>
      <c r="G562" t="s">
        <v>48</v>
      </c>
      <c r="H562">
        <v>1</v>
      </c>
      <c r="K562" t="s">
        <v>431</v>
      </c>
      <c r="L562" t="s">
        <v>196</v>
      </c>
      <c r="M562" t="s">
        <v>131</v>
      </c>
      <c r="N562">
        <v>8</v>
      </c>
      <c r="P562" t="s">
        <v>41</v>
      </c>
      <c r="Q562" t="s">
        <v>75</v>
      </c>
      <c r="R562" t="str">
        <f>"7521012"</f>
        <v>7521012</v>
      </c>
      <c r="S562" t="s">
        <v>432</v>
      </c>
      <c r="T562" t="s">
        <v>431</v>
      </c>
      <c r="U562" t="s">
        <v>196</v>
      </c>
      <c r="V562" t="s">
        <v>131</v>
      </c>
      <c r="W562" t="s">
        <v>51</v>
      </c>
      <c r="X562" t="s">
        <v>45</v>
      </c>
      <c r="Z562">
        <v>1</v>
      </c>
      <c r="AA562" t="s">
        <v>196</v>
      </c>
      <c r="AB562" s="40" t="s">
        <v>1795</v>
      </c>
    </row>
    <row r="563" spans="1:28" x14ac:dyDescent="0.25">
      <c r="A563">
        <v>99910562</v>
      </c>
      <c r="B563" t="s">
        <v>32</v>
      </c>
      <c r="C563" t="s">
        <v>71</v>
      </c>
      <c r="D563" t="s">
        <v>72</v>
      </c>
      <c r="G563" t="s">
        <v>48</v>
      </c>
      <c r="H563">
        <v>1</v>
      </c>
      <c r="K563" t="s">
        <v>431</v>
      </c>
      <c r="L563" t="s">
        <v>196</v>
      </c>
      <c r="M563" t="s">
        <v>131</v>
      </c>
      <c r="N563">
        <v>8</v>
      </c>
      <c r="P563" t="s">
        <v>41</v>
      </c>
      <c r="Q563" t="s">
        <v>75</v>
      </c>
      <c r="R563" t="str">
        <f>"7521012"</f>
        <v>7521012</v>
      </c>
      <c r="S563" t="s">
        <v>432</v>
      </c>
      <c r="T563" t="s">
        <v>431</v>
      </c>
      <c r="U563" t="s">
        <v>196</v>
      </c>
      <c r="V563" t="s">
        <v>131</v>
      </c>
      <c r="W563" t="s">
        <v>51</v>
      </c>
      <c r="X563" t="s">
        <v>45</v>
      </c>
      <c r="Z563">
        <v>1</v>
      </c>
      <c r="AA563" t="s">
        <v>196</v>
      </c>
      <c r="AB563" s="40" t="s">
        <v>1795</v>
      </c>
    </row>
    <row r="564" spans="1:28" x14ac:dyDescent="0.25">
      <c r="A564">
        <v>99910563</v>
      </c>
      <c r="B564" t="s">
        <v>32</v>
      </c>
      <c r="C564" t="s">
        <v>71</v>
      </c>
      <c r="D564" t="s">
        <v>72</v>
      </c>
      <c r="G564" t="s">
        <v>48</v>
      </c>
      <c r="H564">
        <v>1</v>
      </c>
      <c r="K564" t="s">
        <v>431</v>
      </c>
      <c r="L564" t="s">
        <v>196</v>
      </c>
      <c r="M564" t="s">
        <v>131</v>
      </c>
      <c r="N564">
        <v>8</v>
      </c>
      <c r="P564" t="s">
        <v>41</v>
      </c>
      <c r="Q564" t="s">
        <v>75</v>
      </c>
      <c r="R564" t="str">
        <f>"7521012"</f>
        <v>7521012</v>
      </c>
      <c r="S564" t="s">
        <v>432</v>
      </c>
      <c r="T564" t="s">
        <v>431</v>
      </c>
      <c r="U564" t="s">
        <v>196</v>
      </c>
      <c r="V564" t="s">
        <v>131</v>
      </c>
      <c r="W564" t="s">
        <v>51</v>
      </c>
      <c r="X564" t="s">
        <v>45</v>
      </c>
      <c r="Z564">
        <v>1</v>
      </c>
      <c r="AA564" t="s">
        <v>196</v>
      </c>
      <c r="AB564" s="40" t="s">
        <v>1795</v>
      </c>
    </row>
    <row r="565" spans="1:28" x14ac:dyDescent="0.25">
      <c r="A565">
        <v>99910564</v>
      </c>
      <c r="B565" t="s">
        <v>32</v>
      </c>
      <c r="C565" t="s">
        <v>71</v>
      </c>
      <c r="D565" t="s">
        <v>72</v>
      </c>
      <c r="G565" t="s">
        <v>48</v>
      </c>
      <c r="H565">
        <v>1</v>
      </c>
      <c r="K565" t="s">
        <v>431</v>
      </c>
      <c r="L565" t="s">
        <v>196</v>
      </c>
      <c r="M565" t="s">
        <v>131</v>
      </c>
      <c r="N565">
        <v>8</v>
      </c>
      <c r="P565" t="s">
        <v>41</v>
      </c>
      <c r="Q565" t="s">
        <v>75</v>
      </c>
      <c r="R565" t="str">
        <f>"7521012"</f>
        <v>7521012</v>
      </c>
      <c r="S565" t="s">
        <v>432</v>
      </c>
      <c r="T565" t="s">
        <v>431</v>
      </c>
      <c r="U565" t="s">
        <v>196</v>
      </c>
      <c r="V565" t="s">
        <v>131</v>
      </c>
      <c r="W565" t="s">
        <v>51</v>
      </c>
      <c r="X565" t="s">
        <v>45</v>
      </c>
      <c r="Z565">
        <v>1</v>
      </c>
      <c r="AA565" t="s">
        <v>196</v>
      </c>
      <c r="AB565" s="40" t="s">
        <v>1795</v>
      </c>
    </row>
    <row r="566" spans="1:28" x14ac:dyDescent="0.25">
      <c r="A566">
        <v>99910565</v>
      </c>
      <c r="B566" t="s">
        <v>32</v>
      </c>
      <c r="C566" t="s">
        <v>58</v>
      </c>
      <c r="D566" t="s">
        <v>59</v>
      </c>
      <c r="G566" t="s">
        <v>48</v>
      </c>
      <c r="H566">
        <v>1</v>
      </c>
      <c r="I566" t="s">
        <v>1141</v>
      </c>
      <c r="J566" s="1">
        <v>41652</v>
      </c>
      <c r="K566" t="s">
        <v>1128</v>
      </c>
      <c r="L566" t="s">
        <v>1129</v>
      </c>
      <c r="M566" t="s">
        <v>1130</v>
      </c>
      <c r="N566">
        <v>8</v>
      </c>
      <c r="O566" s="1">
        <v>41652</v>
      </c>
      <c r="P566" t="s">
        <v>41</v>
      </c>
      <c r="Q566" t="s">
        <v>49</v>
      </c>
      <c r="R566" t="str">
        <f>"3181010"</f>
        <v>3181010</v>
      </c>
      <c r="S566" t="s">
        <v>1134</v>
      </c>
      <c r="T566" t="s">
        <v>1128</v>
      </c>
      <c r="U566" t="s">
        <v>1129</v>
      </c>
      <c r="V566" t="s">
        <v>1130</v>
      </c>
      <c r="W566" t="s">
        <v>51</v>
      </c>
      <c r="X566" t="s">
        <v>45</v>
      </c>
      <c r="Z566">
        <v>2</v>
      </c>
      <c r="AA566" t="s">
        <v>1129</v>
      </c>
      <c r="AB566" s="40" t="s">
        <v>1795</v>
      </c>
    </row>
    <row r="567" spans="1:28" x14ac:dyDescent="0.25">
      <c r="A567">
        <v>99910566</v>
      </c>
      <c r="B567" t="s">
        <v>56</v>
      </c>
      <c r="C567" t="s">
        <v>33</v>
      </c>
      <c r="D567" t="s">
        <v>34</v>
      </c>
      <c r="G567" t="s">
        <v>48</v>
      </c>
      <c r="H567">
        <v>1</v>
      </c>
      <c r="K567" t="s">
        <v>1268</v>
      </c>
      <c r="L567" t="s">
        <v>1269</v>
      </c>
      <c r="M567" t="s">
        <v>1270</v>
      </c>
      <c r="N567">
        <v>8</v>
      </c>
      <c r="P567" t="s">
        <v>41</v>
      </c>
      <c r="Q567" t="s">
        <v>42</v>
      </c>
      <c r="R567" t="str">
        <f>"1990912"</f>
        <v>1990912</v>
      </c>
      <c r="S567" t="s">
        <v>1271</v>
      </c>
      <c r="T567" t="s">
        <v>1268</v>
      </c>
      <c r="U567" t="s">
        <v>1269</v>
      </c>
      <c r="V567" t="s">
        <v>1270</v>
      </c>
      <c r="W567" t="s">
        <v>51</v>
      </c>
      <c r="X567" t="s">
        <v>45</v>
      </c>
      <c r="Z567">
        <v>2</v>
      </c>
      <c r="AA567" t="s">
        <v>1269</v>
      </c>
      <c r="AB567" s="40" t="s">
        <v>1795</v>
      </c>
    </row>
    <row r="568" spans="1:28" x14ac:dyDescent="0.25">
      <c r="A568">
        <v>99910567</v>
      </c>
      <c r="B568" t="s">
        <v>56</v>
      </c>
      <c r="C568" t="s">
        <v>64</v>
      </c>
      <c r="D568" t="s">
        <v>65</v>
      </c>
      <c r="G568" t="s">
        <v>35</v>
      </c>
      <c r="H568">
        <v>1</v>
      </c>
      <c r="I568" s="1">
        <v>42982</v>
      </c>
      <c r="J568" s="1">
        <v>43344</v>
      </c>
      <c r="K568" t="s">
        <v>1341</v>
      </c>
      <c r="L568" t="s">
        <v>1342</v>
      </c>
      <c r="M568" t="s">
        <v>1270</v>
      </c>
      <c r="N568">
        <v>9</v>
      </c>
      <c r="O568" s="1">
        <v>43344</v>
      </c>
      <c r="P568" t="s">
        <v>41</v>
      </c>
      <c r="Q568" t="s">
        <v>75</v>
      </c>
      <c r="R568" t="str">
        <f>"7191036"</f>
        <v>7191036</v>
      </c>
      <c r="S568" t="s">
        <v>1348</v>
      </c>
      <c r="T568" t="s">
        <v>1341</v>
      </c>
      <c r="U568" t="s">
        <v>1342</v>
      </c>
      <c r="V568" t="s">
        <v>1270</v>
      </c>
      <c r="W568" t="s">
        <v>44</v>
      </c>
      <c r="X568" t="s">
        <v>45</v>
      </c>
      <c r="Y568" s="1">
        <v>32668</v>
      </c>
      <c r="Z568">
        <v>1</v>
      </c>
      <c r="AA568" t="s">
        <v>1342</v>
      </c>
      <c r="AB568" s="40" t="s">
        <v>1795</v>
      </c>
    </row>
    <row r="569" spans="1:28" x14ac:dyDescent="0.25">
      <c r="A569">
        <v>99910568</v>
      </c>
      <c r="B569" t="s">
        <v>56</v>
      </c>
      <c r="C569" t="s">
        <v>141</v>
      </c>
      <c r="D569" t="s">
        <v>142</v>
      </c>
      <c r="G569" t="s">
        <v>35</v>
      </c>
      <c r="H569">
        <v>1</v>
      </c>
      <c r="I569">
        <v>4179</v>
      </c>
      <c r="J569" s="1">
        <v>43344</v>
      </c>
      <c r="K569" t="s">
        <v>354</v>
      </c>
      <c r="L569" t="s">
        <v>355</v>
      </c>
      <c r="M569" t="s">
        <v>131</v>
      </c>
      <c r="N569">
        <v>9</v>
      </c>
      <c r="O569" s="1">
        <v>43344</v>
      </c>
      <c r="P569" t="s">
        <v>41</v>
      </c>
      <c r="Q569" t="s">
        <v>75</v>
      </c>
      <c r="R569" t="str">
        <f>"7054002"</f>
        <v>7054002</v>
      </c>
      <c r="S569" t="s">
        <v>376</v>
      </c>
      <c r="T569" t="s">
        <v>354</v>
      </c>
      <c r="U569" t="s">
        <v>355</v>
      </c>
      <c r="V569" t="s">
        <v>131</v>
      </c>
      <c r="W569" t="s">
        <v>44</v>
      </c>
      <c r="X569" t="s">
        <v>45</v>
      </c>
      <c r="Y569" s="1">
        <v>32178</v>
      </c>
      <c r="Z569">
        <v>1</v>
      </c>
      <c r="AA569" t="s">
        <v>355</v>
      </c>
      <c r="AB569" s="40" t="s">
        <v>1795</v>
      </c>
    </row>
    <row r="570" spans="1:28" x14ac:dyDescent="0.25">
      <c r="A570">
        <v>99910569</v>
      </c>
      <c r="B570" t="s">
        <v>32</v>
      </c>
      <c r="C570" t="s">
        <v>141</v>
      </c>
      <c r="D570" t="s">
        <v>142</v>
      </c>
      <c r="G570" t="s">
        <v>35</v>
      </c>
      <c r="H570">
        <v>1</v>
      </c>
      <c r="I570" t="s">
        <v>636</v>
      </c>
      <c r="J570" s="1">
        <v>43344</v>
      </c>
      <c r="K570" t="s">
        <v>268</v>
      </c>
      <c r="L570" t="s">
        <v>269</v>
      </c>
      <c r="M570" t="s">
        <v>131</v>
      </c>
      <c r="N570">
        <v>9</v>
      </c>
      <c r="P570" t="s">
        <v>41</v>
      </c>
      <c r="Q570" t="s">
        <v>75</v>
      </c>
      <c r="R570" t="str">
        <f>"7052012"</f>
        <v>7052012</v>
      </c>
      <c r="S570" t="s">
        <v>270</v>
      </c>
      <c r="T570" t="s">
        <v>268</v>
      </c>
      <c r="U570" t="s">
        <v>269</v>
      </c>
      <c r="V570" t="s">
        <v>131</v>
      </c>
      <c r="W570" t="s">
        <v>55</v>
      </c>
      <c r="X570" t="s">
        <v>45</v>
      </c>
      <c r="Y570" s="1">
        <v>32143</v>
      </c>
      <c r="Z570">
        <v>1</v>
      </c>
      <c r="AA570" t="s">
        <v>269</v>
      </c>
      <c r="AB570" s="40" t="s">
        <v>1795</v>
      </c>
    </row>
    <row r="571" spans="1:28" x14ac:dyDescent="0.25">
      <c r="A571">
        <v>99910570</v>
      </c>
      <c r="B571" t="s">
        <v>32</v>
      </c>
      <c r="C571" t="s">
        <v>61</v>
      </c>
      <c r="D571" t="s">
        <v>62</v>
      </c>
      <c r="G571" t="s">
        <v>35</v>
      </c>
      <c r="H571">
        <v>1</v>
      </c>
      <c r="J571" s="1">
        <v>40793</v>
      </c>
      <c r="K571" t="s">
        <v>1336</v>
      </c>
      <c r="L571" t="s">
        <v>1337</v>
      </c>
      <c r="M571" t="s">
        <v>1270</v>
      </c>
      <c r="N571">
        <v>9</v>
      </c>
      <c r="O571" s="1">
        <v>40793</v>
      </c>
      <c r="P571" t="s">
        <v>41</v>
      </c>
      <c r="Q571" t="s">
        <v>42</v>
      </c>
      <c r="R571" t="str">
        <f>"4475070"</f>
        <v>4475070</v>
      </c>
      <c r="S571" t="s">
        <v>1338</v>
      </c>
      <c r="T571" t="s">
        <v>1336</v>
      </c>
      <c r="U571" t="s">
        <v>1337</v>
      </c>
      <c r="V571" t="s">
        <v>1270</v>
      </c>
      <c r="W571" t="s">
        <v>51</v>
      </c>
      <c r="X571" t="s">
        <v>45</v>
      </c>
      <c r="Y571" s="1">
        <v>32035</v>
      </c>
      <c r="Z571">
        <v>2</v>
      </c>
      <c r="AA571" t="s">
        <v>1337</v>
      </c>
      <c r="AB571" s="40" t="s">
        <v>1795</v>
      </c>
    </row>
    <row r="572" spans="1:28" x14ac:dyDescent="0.25">
      <c r="A572">
        <v>99910571</v>
      </c>
      <c r="B572" t="s">
        <v>32</v>
      </c>
      <c r="C572" t="s">
        <v>64</v>
      </c>
      <c r="D572" t="s">
        <v>65</v>
      </c>
      <c r="G572" t="s">
        <v>48</v>
      </c>
      <c r="H572">
        <v>1</v>
      </c>
      <c r="K572" t="s">
        <v>162</v>
      </c>
      <c r="L572" t="s">
        <v>158</v>
      </c>
      <c r="M572" t="s">
        <v>131</v>
      </c>
      <c r="N572">
        <v>9</v>
      </c>
      <c r="P572" t="s">
        <v>41</v>
      </c>
      <c r="Q572" t="s">
        <v>49</v>
      </c>
      <c r="R572" t="str">
        <f>"0581350"</f>
        <v>0581350</v>
      </c>
      <c r="S572" t="s">
        <v>187</v>
      </c>
      <c r="T572" t="s">
        <v>162</v>
      </c>
      <c r="U572" t="s">
        <v>158</v>
      </c>
      <c r="V572" t="s">
        <v>131</v>
      </c>
      <c r="W572" t="s">
        <v>51</v>
      </c>
      <c r="X572" t="s">
        <v>45</v>
      </c>
      <c r="Y572" s="1">
        <v>31653</v>
      </c>
      <c r="Z572">
        <v>2</v>
      </c>
      <c r="AA572" t="s">
        <v>158</v>
      </c>
      <c r="AB572" s="40" t="s">
        <v>1795</v>
      </c>
    </row>
    <row r="573" spans="1:28" x14ac:dyDescent="0.25">
      <c r="A573">
        <v>99910572</v>
      </c>
      <c r="B573" t="s">
        <v>32</v>
      </c>
      <c r="C573" t="s">
        <v>64</v>
      </c>
      <c r="D573" t="s">
        <v>65</v>
      </c>
      <c r="G573" t="s">
        <v>48</v>
      </c>
      <c r="H573">
        <v>1</v>
      </c>
      <c r="K573" t="s">
        <v>380</v>
      </c>
      <c r="L573" t="s">
        <v>381</v>
      </c>
      <c r="M573" t="s">
        <v>131</v>
      </c>
      <c r="N573">
        <v>9</v>
      </c>
      <c r="P573" t="s">
        <v>41</v>
      </c>
      <c r="Q573" t="s">
        <v>49</v>
      </c>
      <c r="R573" t="str">
        <f>"0580552"</f>
        <v>0580552</v>
      </c>
      <c r="S573" t="s">
        <v>386</v>
      </c>
      <c r="T573" t="s">
        <v>380</v>
      </c>
      <c r="U573" t="s">
        <v>381</v>
      </c>
      <c r="V573" t="s">
        <v>131</v>
      </c>
      <c r="W573" t="s">
        <v>51</v>
      </c>
      <c r="X573" t="s">
        <v>45</v>
      </c>
      <c r="Y573" s="1">
        <v>31503</v>
      </c>
      <c r="Z573">
        <v>2</v>
      </c>
      <c r="AA573" t="s">
        <v>381</v>
      </c>
      <c r="AB573" s="40" t="s">
        <v>1795</v>
      </c>
    </row>
    <row r="574" spans="1:28" x14ac:dyDescent="0.25">
      <c r="A574">
        <v>99910573</v>
      </c>
      <c r="B574" t="s">
        <v>32</v>
      </c>
      <c r="C574" t="s">
        <v>82</v>
      </c>
      <c r="D574" t="s">
        <v>83</v>
      </c>
      <c r="G574" t="s">
        <v>48</v>
      </c>
      <c r="H574">
        <v>1</v>
      </c>
      <c r="K574" t="s">
        <v>936</v>
      </c>
      <c r="L574" t="s">
        <v>937</v>
      </c>
      <c r="M574" t="s">
        <v>938</v>
      </c>
      <c r="N574">
        <v>9</v>
      </c>
      <c r="P574" t="s">
        <v>41</v>
      </c>
      <c r="Q574" t="s">
        <v>49</v>
      </c>
      <c r="R574" t="str">
        <f>"0180017"</f>
        <v>0180017</v>
      </c>
      <c r="S574" t="s">
        <v>943</v>
      </c>
      <c r="T574" t="s">
        <v>936</v>
      </c>
      <c r="U574" t="s">
        <v>937</v>
      </c>
      <c r="V574" t="s">
        <v>938</v>
      </c>
      <c r="W574" t="s">
        <v>51</v>
      </c>
      <c r="X574" t="s">
        <v>45</v>
      </c>
      <c r="Y574" s="1">
        <v>31248</v>
      </c>
      <c r="Z574">
        <v>2</v>
      </c>
      <c r="AA574" t="s">
        <v>937</v>
      </c>
      <c r="AB574" s="40" t="s">
        <v>1795</v>
      </c>
    </row>
    <row r="575" spans="1:28" x14ac:dyDescent="0.25">
      <c r="A575">
        <v>99910574</v>
      </c>
      <c r="B575" t="s">
        <v>56</v>
      </c>
      <c r="C575" t="s">
        <v>71</v>
      </c>
      <c r="D575" t="s">
        <v>72</v>
      </c>
      <c r="G575" t="s">
        <v>35</v>
      </c>
      <c r="H575">
        <v>1</v>
      </c>
      <c r="I575">
        <v>0</v>
      </c>
      <c r="J575" s="1">
        <v>43344</v>
      </c>
      <c r="K575" t="s">
        <v>223</v>
      </c>
      <c r="L575" t="s">
        <v>224</v>
      </c>
      <c r="M575" t="s">
        <v>131</v>
      </c>
      <c r="N575">
        <v>9</v>
      </c>
      <c r="O575" s="1">
        <v>43344</v>
      </c>
      <c r="P575" t="s">
        <v>41</v>
      </c>
      <c r="Q575" t="s">
        <v>49</v>
      </c>
      <c r="R575" t="str">
        <f>"0591901"</f>
        <v>0591901</v>
      </c>
      <c r="S575" t="s">
        <v>230</v>
      </c>
      <c r="T575" t="s">
        <v>223</v>
      </c>
      <c r="U575" t="s">
        <v>224</v>
      </c>
      <c r="V575" t="s">
        <v>131</v>
      </c>
      <c r="W575" t="s">
        <v>44</v>
      </c>
      <c r="X575" t="s">
        <v>45</v>
      </c>
      <c r="Y575" s="1">
        <v>30476</v>
      </c>
      <c r="Z575">
        <v>2</v>
      </c>
      <c r="AA575" t="s">
        <v>224</v>
      </c>
      <c r="AB575" s="40" t="s">
        <v>1795</v>
      </c>
    </row>
    <row r="576" spans="1:28" x14ac:dyDescent="0.25">
      <c r="A576">
        <v>99910575</v>
      </c>
      <c r="B576" t="s">
        <v>32</v>
      </c>
      <c r="C576" t="s">
        <v>136</v>
      </c>
      <c r="D576" t="s">
        <v>137</v>
      </c>
      <c r="G576" t="s">
        <v>88</v>
      </c>
      <c r="H576">
        <v>2</v>
      </c>
      <c r="I576" t="s">
        <v>455</v>
      </c>
      <c r="J576" s="1">
        <v>41518</v>
      </c>
      <c r="K576" t="s">
        <v>195</v>
      </c>
      <c r="L576" t="s">
        <v>196</v>
      </c>
      <c r="M576" t="s">
        <v>131</v>
      </c>
      <c r="N576">
        <v>9</v>
      </c>
      <c r="O576" s="1">
        <v>41518</v>
      </c>
      <c r="P576" t="s">
        <v>41</v>
      </c>
      <c r="Q576" t="s">
        <v>75</v>
      </c>
      <c r="R576" t="str">
        <f>"7521050"</f>
        <v>7521050</v>
      </c>
      <c r="S576" t="s">
        <v>194</v>
      </c>
      <c r="T576" t="s">
        <v>195</v>
      </c>
      <c r="U576" t="s">
        <v>196</v>
      </c>
      <c r="V576" t="s">
        <v>131</v>
      </c>
      <c r="W576" t="s">
        <v>51</v>
      </c>
      <c r="X576" t="s">
        <v>45</v>
      </c>
      <c r="Y576" s="1">
        <v>30423</v>
      </c>
      <c r="Z576">
        <v>1</v>
      </c>
      <c r="AA576" t="s">
        <v>196</v>
      </c>
      <c r="AB576" s="40" t="s">
        <v>1795</v>
      </c>
    </row>
    <row r="577" spans="1:28" x14ac:dyDescent="0.25">
      <c r="A577">
        <v>99910576</v>
      </c>
      <c r="B577" t="s">
        <v>56</v>
      </c>
      <c r="C577" t="s">
        <v>61</v>
      </c>
      <c r="D577" t="s">
        <v>62</v>
      </c>
      <c r="G577" t="s">
        <v>35</v>
      </c>
      <c r="H577">
        <v>1</v>
      </c>
      <c r="K577" t="s">
        <v>1546</v>
      </c>
      <c r="L577" t="s">
        <v>1547</v>
      </c>
      <c r="M577" t="s">
        <v>1548</v>
      </c>
      <c r="N577">
        <v>9</v>
      </c>
      <c r="P577" t="s">
        <v>41</v>
      </c>
      <c r="Q577" t="s">
        <v>42</v>
      </c>
      <c r="R577" t="str">
        <f>"1080010"</f>
        <v>1080010</v>
      </c>
      <c r="S577" t="s">
        <v>1549</v>
      </c>
      <c r="T577" t="s">
        <v>1546</v>
      </c>
      <c r="U577" t="s">
        <v>1547</v>
      </c>
      <c r="V577" t="s">
        <v>1548</v>
      </c>
      <c r="W577" t="s">
        <v>51</v>
      </c>
      <c r="X577" t="s">
        <v>45</v>
      </c>
      <c r="Y577" s="1">
        <v>30398</v>
      </c>
      <c r="Z577">
        <v>2</v>
      </c>
      <c r="AA577" t="s">
        <v>1547</v>
      </c>
      <c r="AB577" s="40" t="s">
        <v>1795</v>
      </c>
    </row>
    <row r="578" spans="1:28" x14ac:dyDescent="0.25">
      <c r="A578">
        <v>99910577</v>
      </c>
      <c r="B578" t="s">
        <v>32</v>
      </c>
      <c r="C578" t="s">
        <v>33</v>
      </c>
      <c r="D578" t="s">
        <v>34</v>
      </c>
      <c r="G578" t="s">
        <v>88</v>
      </c>
      <c r="H578">
        <v>7</v>
      </c>
      <c r="I578" t="s">
        <v>201</v>
      </c>
      <c r="J578" s="1">
        <v>43344</v>
      </c>
      <c r="K578" t="s">
        <v>157</v>
      </c>
      <c r="L578" t="s">
        <v>158</v>
      </c>
      <c r="M578" t="s">
        <v>131</v>
      </c>
      <c r="N578">
        <v>9</v>
      </c>
      <c r="O578" s="1">
        <v>43344</v>
      </c>
      <c r="P578" t="s">
        <v>41</v>
      </c>
      <c r="Q578" t="s">
        <v>42</v>
      </c>
      <c r="R578" t="str">
        <f>"0561004"</f>
        <v>0561004</v>
      </c>
      <c r="S578" t="s">
        <v>172</v>
      </c>
      <c r="T578" t="s">
        <v>157</v>
      </c>
      <c r="U578" t="s">
        <v>158</v>
      </c>
      <c r="V578" t="s">
        <v>131</v>
      </c>
      <c r="W578" t="s">
        <v>44</v>
      </c>
      <c r="X578" t="s">
        <v>45</v>
      </c>
      <c r="Y578" s="1">
        <v>30317</v>
      </c>
      <c r="Z578">
        <v>2</v>
      </c>
      <c r="AA578" t="s">
        <v>158</v>
      </c>
      <c r="AB578" s="40" t="s">
        <v>1795</v>
      </c>
    </row>
    <row r="579" spans="1:28" x14ac:dyDescent="0.25">
      <c r="A579">
        <v>99910578</v>
      </c>
      <c r="B579" t="s">
        <v>56</v>
      </c>
      <c r="C579" t="s">
        <v>61</v>
      </c>
      <c r="D579" t="s">
        <v>62</v>
      </c>
      <c r="G579" t="s">
        <v>35</v>
      </c>
      <c r="H579">
        <v>1</v>
      </c>
      <c r="I579" t="s">
        <v>946</v>
      </c>
      <c r="J579" s="1">
        <v>43371</v>
      </c>
      <c r="K579" t="s">
        <v>936</v>
      </c>
      <c r="L579" t="s">
        <v>937</v>
      </c>
      <c r="M579" t="s">
        <v>938</v>
      </c>
      <c r="N579">
        <v>9</v>
      </c>
      <c r="O579" s="1">
        <v>43371</v>
      </c>
      <c r="P579" t="s">
        <v>41</v>
      </c>
      <c r="Q579" t="s">
        <v>42</v>
      </c>
      <c r="R579" t="str">
        <f>"0161003"</f>
        <v>0161003</v>
      </c>
      <c r="S579" t="s">
        <v>942</v>
      </c>
      <c r="T579" t="s">
        <v>936</v>
      </c>
      <c r="U579" t="s">
        <v>937</v>
      </c>
      <c r="V579" t="s">
        <v>938</v>
      </c>
      <c r="W579" t="s">
        <v>44</v>
      </c>
      <c r="X579" t="s">
        <v>45</v>
      </c>
      <c r="Y579" s="1">
        <v>30236</v>
      </c>
      <c r="Z579">
        <v>2</v>
      </c>
      <c r="AA579" t="s">
        <v>937</v>
      </c>
      <c r="AB579" s="40" t="s">
        <v>1795</v>
      </c>
    </row>
    <row r="580" spans="1:28" x14ac:dyDescent="0.25">
      <c r="A580">
        <v>99910579</v>
      </c>
      <c r="B580" t="s">
        <v>32</v>
      </c>
      <c r="C580" t="s">
        <v>71</v>
      </c>
      <c r="D580" t="s">
        <v>72</v>
      </c>
      <c r="G580" t="s">
        <v>35</v>
      </c>
      <c r="H580">
        <v>1</v>
      </c>
      <c r="I580" t="s">
        <v>278</v>
      </c>
      <c r="J580" s="1">
        <v>43344</v>
      </c>
      <c r="K580" t="s">
        <v>223</v>
      </c>
      <c r="L580" t="s">
        <v>224</v>
      </c>
      <c r="M580" t="s">
        <v>131</v>
      </c>
      <c r="N580">
        <v>9</v>
      </c>
      <c r="O580" s="1">
        <v>43344</v>
      </c>
      <c r="P580" t="s">
        <v>41</v>
      </c>
      <c r="Q580" t="s">
        <v>49</v>
      </c>
      <c r="R580" t="str">
        <f>"0591901"</f>
        <v>0591901</v>
      </c>
      <c r="S580" t="s">
        <v>230</v>
      </c>
      <c r="T580" t="s">
        <v>223</v>
      </c>
      <c r="U580" t="s">
        <v>224</v>
      </c>
      <c r="V580" t="s">
        <v>131</v>
      </c>
      <c r="W580" t="s">
        <v>44</v>
      </c>
      <c r="X580" t="s">
        <v>45</v>
      </c>
      <c r="Y580" s="1">
        <v>30218</v>
      </c>
      <c r="Z580">
        <v>2</v>
      </c>
      <c r="AA580" t="s">
        <v>224</v>
      </c>
      <c r="AB580" s="40" t="s">
        <v>1795</v>
      </c>
    </row>
    <row r="581" spans="1:28" x14ac:dyDescent="0.25">
      <c r="A581">
        <v>99910580</v>
      </c>
      <c r="B581" t="s">
        <v>56</v>
      </c>
      <c r="C581" t="s">
        <v>61</v>
      </c>
      <c r="D581" t="s">
        <v>62</v>
      </c>
      <c r="G581" t="s">
        <v>35</v>
      </c>
      <c r="H581">
        <v>3</v>
      </c>
      <c r="I581" t="s">
        <v>508</v>
      </c>
      <c r="J581" s="1">
        <v>42614</v>
      </c>
      <c r="K581" t="s">
        <v>431</v>
      </c>
      <c r="L581" t="s">
        <v>196</v>
      </c>
      <c r="M581" t="s">
        <v>131</v>
      </c>
      <c r="N581">
        <v>9</v>
      </c>
      <c r="O581" s="1">
        <v>42614</v>
      </c>
      <c r="P581" t="s">
        <v>41</v>
      </c>
      <c r="Q581" t="s">
        <v>75</v>
      </c>
      <c r="R581" t="str">
        <f>"7521054"</f>
        <v>7521054</v>
      </c>
      <c r="S581" t="s">
        <v>476</v>
      </c>
      <c r="T581" t="s">
        <v>431</v>
      </c>
      <c r="U581" t="s">
        <v>196</v>
      </c>
      <c r="V581" t="s">
        <v>131</v>
      </c>
      <c r="W581" t="s">
        <v>51</v>
      </c>
      <c r="X581" t="s">
        <v>45</v>
      </c>
      <c r="Y581" s="1">
        <v>30187</v>
      </c>
      <c r="Z581">
        <v>1</v>
      </c>
      <c r="AA581" t="s">
        <v>196</v>
      </c>
      <c r="AB581" s="40" t="s">
        <v>1795</v>
      </c>
    </row>
    <row r="582" spans="1:28" x14ac:dyDescent="0.25">
      <c r="A582">
        <v>99910581</v>
      </c>
      <c r="B582" t="s">
        <v>32</v>
      </c>
      <c r="C582" t="s">
        <v>71</v>
      </c>
      <c r="D582" t="s">
        <v>72</v>
      </c>
      <c r="G582" t="s">
        <v>48</v>
      </c>
      <c r="H582">
        <v>1</v>
      </c>
      <c r="K582" t="s">
        <v>268</v>
      </c>
      <c r="L582" t="s">
        <v>269</v>
      </c>
      <c r="M582" t="s">
        <v>131</v>
      </c>
      <c r="N582">
        <v>9</v>
      </c>
      <c r="P582" t="s">
        <v>41</v>
      </c>
      <c r="Q582" t="s">
        <v>75</v>
      </c>
      <c r="R582" t="str">
        <f>"7052016"</f>
        <v>7052016</v>
      </c>
      <c r="S582" t="s">
        <v>588</v>
      </c>
      <c r="T582" t="s">
        <v>268</v>
      </c>
      <c r="U582" t="s">
        <v>269</v>
      </c>
      <c r="V582" t="s">
        <v>131</v>
      </c>
      <c r="W582" t="s">
        <v>51</v>
      </c>
      <c r="X582" t="s">
        <v>45</v>
      </c>
      <c r="Y582" s="1">
        <v>29983</v>
      </c>
      <c r="Z582">
        <v>1</v>
      </c>
      <c r="AA582" t="s">
        <v>269</v>
      </c>
      <c r="AB582" s="40" t="s">
        <v>1795</v>
      </c>
    </row>
    <row r="583" spans="1:28" x14ac:dyDescent="0.25">
      <c r="A583">
        <v>99910582</v>
      </c>
      <c r="B583" t="s">
        <v>32</v>
      </c>
      <c r="C583" t="s">
        <v>64</v>
      </c>
      <c r="D583" t="s">
        <v>65</v>
      </c>
      <c r="G583" t="s">
        <v>35</v>
      </c>
      <c r="H583">
        <v>1</v>
      </c>
      <c r="I583" t="s">
        <v>280</v>
      </c>
      <c r="J583" s="1">
        <v>43344</v>
      </c>
      <c r="K583" t="s">
        <v>223</v>
      </c>
      <c r="L583" t="s">
        <v>224</v>
      </c>
      <c r="M583" t="s">
        <v>131</v>
      </c>
      <c r="N583">
        <v>9</v>
      </c>
      <c r="O583" s="1">
        <v>43344</v>
      </c>
      <c r="P583" t="s">
        <v>41</v>
      </c>
      <c r="Q583" t="s">
        <v>49</v>
      </c>
      <c r="R583" t="str">
        <f>"0591901"</f>
        <v>0591901</v>
      </c>
      <c r="S583" t="s">
        <v>230</v>
      </c>
      <c r="T583" t="s">
        <v>223</v>
      </c>
      <c r="U583" t="s">
        <v>224</v>
      </c>
      <c r="V583" t="s">
        <v>131</v>
      </c>
      <c r="W583" t="s">
        <v>44</v>
      </c>
      <c r="X583" t="s">
        <v>45</v>
      </c>
      <c r="Y583" s="1">
        <v>29952</v>
      </c>
      <c r="Z583">
        <v>2</v>
      </c>
      <c r="AA583" t="s">
        <v>224</v>
      </c>
      <c r="AB583" s="40" t="s">
        <v>1795</v>
      </c>
    </row>
    <row r="584" spans="1:28" x14ac:dyDescent="0.25">
      <c r="A584">
        <v>99910583</v>
      </c>
      <c r="B584" t="s">
        <v>56</v>
      </c>
      <c r="C584" t="s">
        <v>46</v>
      </c>
      <c r="D584" t="s">
        <v>47</v>
      </c>
      <c r="G584" t="s">
        <v>35</v>
      </c>
      <c r="H584">
        <v>3</v>
      </c>
      <c r="K584" t="s">
        <v>157</v>
      </c>
      <c r="L584" t="s">
        <v>158</v>
      </c>
      <c r="M584" t="s">
        <v>131</v>
      </c>
      <c r="N584">
        <v>9</v>
      </c>
      <c r="P584" t="s">
        <v>41</v>
      </c>
      <c r="Q584" t="s">
        <v>42</v>
      </c>
      <c r="R584" t="str">
        <f>"0561004"</f>
        <v>0561004</v>
      </c>
      <c r="S584" t="s">
        <v>172</v>
      </c>
      <c r="T584" t="s">
        <v>157</v>
      </c>
      <c r="U584" t="s">
        <v>158</v>
      </c>
      <c r="V584" t="s">
        <v>131</v>
      </c>
      <c r="W584" t="s">
        <v>51</v>
      </c>
      <c r="X584" t="s">
        <v>45</v>
      </c>
      <c r="Y584" s="1">
        <v>29809</v>
      </c>
      <c r="Z584">
        <v>2</v>
      </c>
      <c r="AA584" t="s">
        <v>158</v>
      </c>
      <c r="AB584" s="40" t="s">
        <v>1795</v>
      </c>
    </row>
    <row r="585" spans="1:28" x14ac:dyDescent="0.25">
      <c r="A585">
        <v>99910584</v>
      </c>
      <c r="B585" t="s">
        <v>32</v>
      </c>
      <c r="C585" t="s">
        <v>46</v>
      </c>
      <c r="D585" t="s">
        <v>47</v>
      </c>
      <c r="G585" t="s">
        <v>35</v>
      </c>
      <c r="H585">
        <v>1</v>
      </c>
      <c r="I585">
        <v>0</v>
      </c>
      <c r="J585" s="1">
        <v>43344</v>
      </c>
      <c r="K585" t="s">
        <v>223</v>
      </c>
      <c r="L585" t="s">
        <v>224</v>
      </c>
      <c r="M585" t="s">
        <v>131</v>
      </c>
      <c r="N585">
        <v>9</v>
      </c>
      <c r="O585" s="1">
        <v>43344</v>
      </c>
      <c r="P585" t="s">
        <v>41</v>
      </c>
      <c r="Q585" t="s">
        <v>49</v>
      </c>
      <c r="R585" t="str">
        <f>"0581265"</f>
        <v>0581265</v>
      </c>
      <c r="S585" t="s">
        <v>236</v>
      </c>
      <c r="T585" t="s">
        <v>223</v>
      </c>
      <c r="U585" t="s">
        <v>224</v>
      </c>
      <c r="V585" t="s">
        <v>131</v>
      </c>
      <c r="W585" t="s">
        <v>44</v>
      </c>
      <c r="X585" t="s">
        <v>45</v>
      </c>
      <c r="Y585" s="1">
        <v>29645</v>
      </c>
      <c r="Z585">
        <v>2</v>
      </c>
      <c r="AA585" t="s">
        <v>224</v>
      </c>
      <c r="AB585" s="40" t="s">
        <v>1795</v>
      </c>
    </row>
    <row r="586" spans="1:28" x14ac:dyDescent="0.25">
      <c r="A586">
        <v>99910585</v>
      </c>
      <c r="B586" t="s">
        <v>56</v>
      </c>
      <c r="C586" t="s">
        <v>79</v>
      </c>
      <c r="D586" t="s">
        <v>80</v>
      </c>
      <c r="G586" t="s">
        <v>35</v>
      </c>
      <c r="H586">
        <v>1</v>
      </c>
      <c r="K586" t="s">
        <v>354</v>
      </c>
      <c r="L586" t="s">
        <v>355</v>
      </c>
      <c r="M586" t="s">
        <v>131</v>
      </c>
      <c r="N586">
        <v>9</v>
      </c>
      <c r="P586" t="s">
        <v>41</v>
      </c>
      <c r="Q586" t="s">
        <v>75</v>
      </c>
      <c r="R586" t="str">
        <f>"7054020"</f>
        <v>7054020</v>
      </c>
      <c r="S586" t="s">
        <v>765</v>
      </c>
      <c r="T586" t="s">
        <v>354</v>
      </c>
      <c r="U586" t="s">
        <v>355</v>
      </c>
      <c r="V586" t="s">
        <v>131</v>
      </c>
      <c r="W586" t="s">
        <v>51</v>
      </c>
      <c r="X586" t="s">
        <v>45</v>
      </c>
      <c r="Y586" s="1">
        <v>29509</v>
      </c>
      <c r="Z586">
        <v>1</v>
      </c>
      <c r="AA586" t="s">
        <v>355</v>
      </c>
      <c r="AB586" s="40" t="s">
        <v>1795</v>
      </c>
    </row>
    <row r="587" spans="1:28" x14ac:dyDescent="0.25">
      <c r="A587">
        <v>99910586</v>
      </c>
      <c r="B587" t="s">
        <v>32</v>
      </c>
      <c r="C587" t="s">
        <v>139</v>
      </c>
      <c r="D587" t="s">
        <v>140</v>
      </c>
      <c r="G587" t="s">
        <v>35</v>
      </c>
      <c r="H587">
        <v>1</v>
      </c>
      <c r="K587" t="s">
        <v>154</v>
      </c>
      <c r="L587" t="s">
        <v>155</v>
      </c>
      <c r="M587" t="s">
        <v>131</v>
      </c>
      <c r="N587">
        <v>9</v>
      </c>
      <c r="P587" t="s">
        <v>41</v>
      </c>
      <c r="Q587" t="s">
        <v>75</v>
      </c>
      <c r="R587" t="str">
        <f>"7051026"</f>
        <v>7051026</v>
      </c>
      <c r="S587" t="s">
        <v>396</v>
      </c>
      <c r="T587" t="s">
        <v>154</v>
      </c>
      <c r="U587" t="s">
        <v>155</v>
      </c>
      <c r="V587" t="s">
        <v>131</v>
      </c>
      <c r="W587" t="s">
        <v>51</v>
      </c>
      <c r="X587" t="s">
        <v>45</v>
      </c>
      <c r="Y587" s="1">
        <v>29502</v>
      </c>
      <c r="Z587">
        <v>1</v>
      </c>
      <c r="AA587" t="s">
        <v>155</v>
      </c>
      <c r="AB587" s="40" t="s">
        <v>1795</v>
      </c>
    </row>
    <row r="588" spans="1:28" x14ac:dyDescent="0.25">
      <c r="A588">
        <v>99910587</v>
      </c>
      <c r="B588" t="s">
        <v>32</v>
      </c>
      <c r="C588" t="s">
        <v>143</v>
      </c>
      <c r="D588" t="s">
        <v>144</v>
      </c>
      <c r="G588" t="s">
        <v>48</v>
      </c>
      <c r="H588">
        <v>1</v>
      </c>
      <c r="K588" t="s">
        <v>345</v>
      </c>
      <c r="L588" t="s">
        <v>346</v>
      </c>
      <c r="M588" t="s">
        <v>131</v>
      </c>
      <c r="N588">
        <v>9</v>
      </c>
      <c r="P588" t="s">
        <v>41</v>
      </c>
      <c r="Q588" t="s">
        <v>49</v>
      </c>
      <c r="R588" t="str">
        <f>"0581605"</f>
        <v>0581605</v>
      </c>
      <c r="S588" t="s">
        <v>366</v>
      </c>
      <c r="T588" t="s">
        <v>345</v>
      </c>
      <c r="U588" t="s">
        <v>346</v>
      </c>
      <c r="V588" t="s">
        <v>131</v>
      </c>
      <c r="W588" t="s">
        <v>51</v>
      </c>
      <c r="X588" t="s">
        <v>45</v>
      </c>
      <c r="Y588" s="1">
        <v>29204</v>
      </c>
      <c r="Z588">
        <v>2</v>
      </c>
      <c r="AA588" t="s">
        <v>346</v>
      </c>
      <c r="AB588" s="40" t="s">
        <v>1795</v>
      </c>
    </row>
    <row r="589" spans="1:28" x14ac:dyDescent="0.25">
      <c r="A589">
        <v>99910588</v>
      </c>
      <c r="B589" t="s">
        <v>32</v>
      </c>
      <c r="C589" t="s">
        <v>71</v>
      </c>
      <c r="D589" t="s">
        <v>72</v>
      </c>
      <c r="G589" t="s">
        <v>35</v>
      </c>
      <c r="H589">
        <v>1</v>
      </c>
      <c r="I589" t="s">
        <v>703</v>
      </c>
      <c r="J589" s="1">
        <v>43344</v>
      </c>
      <c r="K589" t="s">
        <v>268</v>
      </c>
      <c r="L589" t="s">
        <v>269</v>
      </c>
      <c r="M589" t="s">
        <v>131</v>
      </c>
      <c r="N589">
        <v>9</v>
      </c>
      <c r="O589" s="1">
        <v>43344</v>
      </c>
      <c r="P589" t="s">
        <v>41</v>
      </c>
      <c r="Q589" t="s">
        <v>75</v>
      </c>
      <c r="R589" t="str">
        <f>"7052012"</f>
        <v>7052012</v>
      </c>
      <c r="S589" t="s">
        <v>270</v>
      </c>
      <c r="T589" t="s">
        <v>268</v>
      </c>
      <c r="U589" t="s">
        <v>269</v>
      </c>
      <c r="V589" t="s">
        <v>131</v>
      </c>
      <c r="W589" t="s">
        <v>51</v>
      </c>
      <c r="X589" t="s">
        <v>45</v>
      </c>
      <c r="Y589" s="1">
        <v>28856</v>
      </c>
      <c r="Z589">
        <v>1</v>
      </c>
      <c r="AA589" t="s">
        <v>269</v>
      </c>
      <c r="AB589" s="40" t="s">
        <v>1795</v>
      </c>
    </row>
    <row r="590" spans="1:28" x14ac:dyDescent="0.25">
      <c r="A590">
        <v>99910589</v>
      </c>
      <c r="B590" t="s">
        <v>32</v>
      </c>
      <c r="C590" t="s">
        <v>141</v>
      </c>
      <c r="D590" t="s">
        <v>142</v>
      </c>
      <c r="G590" t="s">
        <v>48</v>
      </c>
      <c r="H590">
        <v>1</v>
      </c>
      <c r="K590" t="s">
        <v>268</v>
      </c>
      <c r="L590" t="s">
        <v>269</v>
      </c>
      <c r="M590" t="s">
        <v>131</v>
      </c>
      <c r="N590">
        <v>9</v>
      </c>
      <c r="P590" t="s">
        <v>41</v>
      </c>
      <c r="Q590" t="s">
        <v>75</v>
      </c>
      <c r="R590" t="str">
        <f>"7052016"</f>
        <v>7052016</v>
      </c>
      <c r="S590" t="s">
        <v>588</v>
      </c>
      <c r="T590" t="s">
        <v>268</v>
      </c>
      <c r="U590" t="s">
        <v>269</v>
      </c>
      <c r="V590" t="s">
        <v>131</v>
      </c>
      <c r="W590" t="s">
        <v>51</v>
      </c>
      <c r="X590" t="s">
        <v>45</v>
      </c>
      <c r="Y590" s="1">
        <v>28587</v>
      </c>
      <c r="Z590">
        <v>1</v>
      </c>
      <c r="AA590" t="s">
        <v>269</v>
      </c>
      <c r="AB590" s="40" t="s">
        <v>1795</v>
      </c>
    </row>
    <row r="591" spans="1:28" x14ac:dyDescent="0.25">
      <c r="A591">
        <v>99910590</v>
      </c>
      <c r="B591" t="s">
        <v>32</v>
      </c>
      <c r="C591" t="s">
        <v>61</v>
      </c>
      <c r="D591" t="s">
        <v>62</v>
      </c>
      <c r="G591" t="s">
        <v>48</v>
      </c>
      <c r="H591">
        <v>1</v>
      </c>
      <c r="K591" t="s">
        <v>1502</v>
      </c>
      <c r="L591" t="s">
        <v>1503</v>
      </c>
      <c r="M591" t="s">
        <v>670</v>
      </c>
      <c r="N591">
        <v>9</v>
      </c>
      <c r="P591" t="s">
        <v>41</v>
      </c>
      <c r="Q591" t="s">
        <v>75</v>
      </c>
      <c r="R591" t="str">
        <f>"7171002"</f>
        <v>7171002</v>
      </c>
      <c r="S591" t="s">
        <v>1505</v>
      </c>
      <c r="T591" t="s">
        <v>1502</v>
      </c>
      <c r="U591" t="s">
        <v>1503</v>
      </c>
      <c r="V591" t="s">
        <v>670</v>
      </c>
      <c r="W591" t="s">
        <v>51</v>
      </c>
      <c r="X591" t="s">
        <v>45</v>
      </c>
      <c r="Y591" s="1">
        <v>28523</v>
      </c>
      <c r="Z591">
        <v>1</v>
      </c>
      <c r="AA591" t="s">
        <v>1503</v>
      </c>
      <c r="AB591" s="40" t="s">
        <v>1795</v>
      </c>
    </row>
    <row r="592" spans="1:28" x14ac:dyDescent="0.25">
      <c r="A592">
        <v>99910591</v>
      </c>
      <c r="B592" t="s">
        <v>32</v>
      </c>
      <c r="C592" t="s">
        <v>46</v>
      </c>
      <c r="D592" t="s">
        <v>47</v>
      </c>
      <c r="G592" t="s">
        <v>48</v>
      </c>
      <c r="H592">
        <v>1</v>
      </c>
      <c r="K592" t="s">
        <v>380</v>
      </c>
      <c r="L592" t="s">
        <v>381</v>
      </c>
      <c r="M592" t="s">
        <v>131</v>
      </c>
      <c r="N592">
        <v>9</v>
      </c>
      <c r="P592" t="s">
        <v>41</v>
      </c>
      <c r="Q592" t="s">
        <v>49</v>
      </c>
      <c r="R592" t="str">
        <f>"0591909"</f>
        <v>0591909</v>
      </c>
      <c r="S592" t="s">
        <v>385</v>
      </c>
      <c r="T592" t="s">
        <v>380</v>
      </c>
      <c r="U592" t="s">
        <v>381</v>
      </c>
      <c r="V592" t="s">
        <v>131</v>
      </c>
      <c r="W592" t="s">
        <v>51</v>
      </c>
      <c r="X592" t="s">
        <v>45</v>
      </c>
      <c r="Y592" s="1">
        <v>28465</v>
      </c>
      <c r="Z592">
        <v>2</v>
      </c>
      <c r="AA592" t="s">
        <v>381</v>
      </c>
      <c r="AB592" s="40" t="s">
        <v>1795</v>
      </c>
    </row>
    <row r="593" spans="1:28" x14ac:dyDescent="0.25">
      <c r="A593">
        <v>99910592</v>
      </c>
      <c r="B593" t="s">
        <v>56</v>
      </c>
      <c r="C593" t="s">
        <v>151</v>
      </c>
      <c r="D593" t="s">
        <v>152</v>
      </c>
      <c r="G593" t="s">
        <v>35</v>
      </c>
      <c r="H593">
        <v>2</v>
      </c>
      <c r="I593" s="1">
        <v>42629</v>
      </c>
      <c r="J593" s="1">
        <v>43344</v>
      </c>
      <c r="K593" t="s">
        <v>129</v>
      </c>
      <c r="L593" t="s">
        <v>130</v>
      </c>
      <c r="M593" t="s">
        <v>131</v>
      </c>
      <c r="N593">
        <v>9</v>
      </c>
      <c r="O593" s="1">
        <v>43344</v>
      </c>
      <c r="P593" t="s">
        <v>41</v>
      </c>
      <c r="Q593" t="s">
        <v>49</v>
      </c>
      <c r="R593" t="str">
        <f>"0580150"</f>
        <v>0580150</v>
      </c>
      <c r="S593" t="s">
        <v>134</v>
      </c>
      <c r="T593" t="s">
        <v>129</v>
      </c>
      <c r="U593" t="s">
        <v>130</v>
      </c>
      <c r="V593" t="s">
        <v>131</v>
      </c>
      <c r="W593" t="s">
        <v>44</v>
      </c>
      <c r="X593" t="s">
        <v>45</v>
      </c>
      <c r="Y593" s="1">
        <v>28264</v>
      </c>
      <c r="Z593">
        <v>2</v>
      </c>
      <c r="AA593" t="s">
        <v>130</v>
      </c>
      <c r="AB593" s="40" t="s">
        <v>1795</v>
      </c>
    </row>
    <row r="594" spans="1:28" x14ac:dyDescent="0.25">
      <c r="A594">
        <v>99910593</v>
      </c>
      <c r="B594" t="s">
        <v>32</v>
      </c>
      <c r="C594" t="s">
        <v>71</v>
      </c>
      <c r="D594" t="s">
        <v>72</v>
      </c>
      <c r="G594" t="s">
        <v>35</v>
      </c>
      <c r="H594">
        <v>1</v>
      </c>
      <c r="K594" t="s">
        <v>300</v>
      </c>
      <c r="L594" t="s">
        <v>301</v>
      </c>
      <c r="M594" t="s">
        <v>131</v>
      </c>
      <c r="N594">
        <v>9</v>
      </c>
      <c r="P594" t="s">
        <v>41</v>
      </c>
      <c r="Q594" t="s">
        <v>49</v>
      </c>
      <c r="R594" t="str">
        <f>"0560002"</f>
        <v>0560002</v>
      </c>
      <c r="S594" t="s">
        <v>315</v>
      </c>
      <c r="T594" t="s">
        <v>300</v>
      </c>
      <c r="U594" t="s">
        <v>301</v>
      </c>
      <c r="V594" t="s">
        <v>131</v>
      </c>
      <c r="W594" t="s">
        <v>165</v>
      </c>
      <c r="X594" t="s">
        <v>45</v>
      </c>
      <c r="Y594" s="1">
        <v>28236</v>
      </c>
      <c r="Z594">
        <v>2</v>
      </c>
      <c r="AA594" t="s">
        <v>301</v>
      </c>
      <c r="AB594" s="40" t="s">
        <v>1795</v>
      </c>
    </row>
    <row r="595" spans="1:28" x14ac:dyDescent="0.25">
      <c r="A595">
        <v>99910594</v>
      </c>
      <c r="B595" t="s">
        <v>32</v>
      </c>
      <c r="C595" t="s">
        <v>117</v>
      </c>
      <c r="D595" t="s">
        <v>118</v>
      </c>
      <c r="G595" t="s">
        <v>35</v>
      </c>
      <c r="H595">
        <v>1</v>
      </c>
      <c r="I595" t="s">
        <v>658</v>
      </c>
      <c r="J595" s="1">
        <v>43344</v>
      </c>
      <c r="K595" t="s">
        <v>268</v>
      </c>
      <c r="L595" t="s">
        <v>269</v>
      </c>
      <c r="M595" t="s">
        <v>131</v>
      </c>
      <c r="N595">
        <v>9</v>
      </c>
      <c r="O595" s="1">
        <v>43344</v>
      </c>
      <c r="P595" t="s">
        <v>41</v>
      </c>
      <c r="Q595" t="s">
        <v>75</v>
      </c>
      <c r="R595" t="str">
        <f>"7052020"</f>
        <v>7052020</v>
      </c>
      <c r="S595" t="s">
        <v>267</v>
      </c>
      <c r="T595" t="s">
        <v>268</v>
      </c>
      <c r="U595" t="s">
        <v>269</v>
      </c>
      <c r="V595" t="s">
        <v>131</v>
      </c>
      <c r="W595" t="s">
        <v>51</v>
      </c>
      <c r="X595" t="s">
        <v>45</v>
      </c>
      <c r="Y595" s="1">
        <v>28222</v>
      </c>
      <c r="Z595">
        <v>1</v>
      </c>
      <c r="AA595" t="s">
        <v>269</v>
      </c>
      <c r="AB595" s="40" t="s">
        <v>1795</v>
      </c>
    </row>
    <row r="596" spans="1:28" x14ac:dyDescent="0.25">
      <c r="A596">
        <v>99910595</v>
      </c>
      <c r="B596" t="s">
        <v>32</v>
      </c>
      <c r="C596" t="s">
        <v>71</v>
      </c>
      <c r="D596" t="s">
        <v>72</v>
      </c>
      <c r="G596" t="s">
        <v>48</v>
      </c>
      <c r="H596">
        <v>1</v>
      </c>
      <c r="K596" t="s">
        <v>1128</v>
      </c>
      <c r="L596" t="s">
        <v>1129</v>
      </c>
      <c r="M596" t="s">
        <v>1130</v>
      </c>
      <c r="N596">
        <v>9</v>
      </c>
      <c r="P596" t="s">
        <v>41</v>
      </c>
      <c r="Q596" t="s">
        <v>49</v>
      </c>
      <c r="R596" t="str">
        <f>"3181015"</f>
        <v>3181015</v>
      </c>
      <c r="S596" t="s">
        <v>1131</v>
      </c>
      <c r="T596" t="s">
        <v>1128</v>
      </c>
      <c r="U596" t="s">
        <v>1129</v>
      </c>
      <c r="V596" t="s">
        <v>1130</v>
      </c>
      <c r="W596" t="s">
        <v>51</v>
      </c>
      <c r="X596" t="s">
        <v>45</v>
      </c>
      <c r="Y596" s="1">
        <v>28058</v>
      </c>
      <c r="Z596">
        <v>2</v>
      </c>
      <c r="AA596" t="s">
        <v>1129</v>
      </c>
      <c r="AB596" s="40" t="s">
        <v>1795</v>
      </c>
    </row>
    <row r="597" spans="1:28" x14ac:dyDescent="0.25">
      <c r="A597">
        <v>99910596</v>
      </c>
      <c r="B597" t="s">
        <v>32</v>
      </c>
      <c r="C597" t="s">
        <v>64</v>
      </c>
      <c r="D597" t="s">
        <v>65</v>
      </c>
      <c r="G597" t="s">
        <v>35</v>
      </c>
      <c r="H597">
        <v>1</v>
      </c>
      <c r="I597">
        <v>18253</v>
      </c>
      <c r="J597" s="1">
        <v>43344</v>
      </c>
      <c r="K597" t="s">
        <v>223</v>
      </c>
      <c r="L597" t="s">
        <v>224</v>
      </c>
      <c r="M597" t="s">
        <v>131</v>
      </c>
      <c r="N597">
        <v>9</v>
      </c>
      <c r="O597" s="1">
        <v>43344</v>
      </c>
      <c r="P597" t="s">
        <v>41</v>
      </c>
      <c r="Q597" t="s">
        <v>49</v>
      </c>
      <c r="R597" t="str">
        <f>"0560008"</f>
        <v>0560008</v>
      </c>
      <c r="S597" t="s">
        <v>263</v>
      </c>
      <c r="T597" t="s">
        <v>223</v>
      </c>
      <c r="U597" t="s">
        <v>224</v>
      </c>
      <c r="V597" t="s">
        <v>131</v>
      </c>
      <c r="W597" t="s">
        <v>44</v>
      </c>
      <c r="X597" t="s">
        <v>45</v>
      </c>
      <c r="Y597" s="1">
        <v>27803</v>
      </c>
      <c r="Z597">
        <v>2</v>
      </c>
      <c r="AA597" t="s">
        <v>224</v>
      </c>
      <c r="AB597" s="40" t="s">
        <v>1795</v>
      </c>
    </row>
    <row r="598" spans="1:28" x14ac:dyDescent="0.25">
      <c r="A598">
        <v>99910597</v>
      </c>
      <c r="B598" t="s">
        <v>32</v>
      </c>
      <c r="C598" t="s">
        <v>139</v>
      </c>
      <c r="D598" t="s">
        <v>140</v>
      </c>
      <c r="G598" t="s">
        <v>48</v>
      </c>
      <c r="H598">
        <v>1</v>
      </c>
      <c r="K598" t="s">
        <v>345</v>
      </c>
      <c r="L598" t="s">
        <v>346</v>
      </c>
      <c r="M598" t="s">
        <v>131</v>
      </c>
      <c r="N598">
        <v>9</v>
      </c>
      <c r="P598" t="s">
        <v>41</v>
      </c>
      <c r="Q598" t="s">
        <v>49</v>
      </c>
      <c r="R598" t="str">
        <f>"0581605"</f>
        <v>0581605</v>
      </c>
      <c r="S598" t="s">
        <v>366</v>
      </c>
      <c r="T598" t="s">
        <v>345</v>
      </c>
      <c r="U598" t="s">
        <v>346</v>
      </c>
      <c r="V598" t="s">
        <v>131</v>
      </c>
      <c r="W598" t="s">
        <v>51</v>
      </c>
      <c r="X598" t="s">
        <v>45</v>
      </c>
      <c r="Y598" s="1">
        <v>27760</v>
      </c>
      <c r="Z598">
        <v>2</v>
      </c>
      <c r="AA598" t="s">
        <v>346</v>
      </c>
      <c r="AB598" s="40" t="s">
        <v>1795</v>
      </c>
    </row>
    <row r="599" spans="1:28" x14ac:dyDescent="0.25">
      <c r="A599">
        <v>99910598</v>
      </c>
      <c r="B599" t="s">
        <v>32</v>
      </c>
      <c r="C599" t="s">
        <v>33</v>
      </c>
      <c r="D599" t="s">
        <v>34</v>
      </c>
      <c r="G599" t="s">
        <v>35</v>
      </c>
      <c r="H599">
        <v>1</v>
      </c>
      <c r="I599">
        <v>6467</v>
      </c>
      <c r="J599" s="1">
        <v>43344</v>
      </c>
      <c r="K599" t="s">
        <v>300</v>
      </c>
      <c r="L599" t="s">
        <v>301</v>
      </c>
      <c r="M599" t="s">
        <v>131</v>
      </c>
      <c r="N599">
        <v>9</v>
      </c>
      <c r="O599" s="1">
        <v>43344</v>
      </c>
      <c r="P599" t="s">
        <v>41</v>
      </c>
      <c r="Q599" t="s">
        <v>42</v>
      </c>
      <c r="R599" t="str">
        <f>"0580175"</f>
        <v>0580175</v>
      </c>
      <c r="S599" t="s">
        <v>303</v>
      </c>
      <c r="T599" t="s">
        <v>300</v>
      </c>
      <c r="U599" t="s">
        <v>301</v>
      </c>
      <c r="V599" t="s">
        <v>131</v>
      </c>
      <c r="W599" t="s">
        <v>44</v>
      </c>
      <c r="X599" t="s">
        <v>45</v>
      </c>
      <c r="Y599" s="1">
        <v>27669</v>
      </c>
      <c r="Z599">
        <v>2</v>
      </c>
      <c r="AA599" t="s">
        <v>301</v>
      </c>
      <c r="AB599" s="40" t="s">
        <v>1795</v>
      </c>
    </row>
    <row r="600" spans="1:28" x14ac:dyDescent="0.25">
      <c r="A600">
        <v>99910599</v>
      </c>
      <c r="B600" t="s">
        <v>56</v>
      </c>
      <c r="C600" t="s">
        <v>64</v>
      </c>
      <c r="D600" t="s">
        <v>65</v>
      </c>
      <c r="G600" t="s">
        <v>35</v>
      </c>
      <c r="H600">
        <v>1</v>
      </c>
      <c r="I600">
        <v>19287</v>
      </c>
      <c r="J600" s="1">
        <v>43346</v>
      </c>
      <c r="K600" t="s">
        <v>380</v>
      </c>
      <c r="L600" t="s">
        <v>381</v>
      </c>
      <c r="M600" t="s">
        <v>131</v>
      </c>
      <c r="N600">
        <v>9</v>
      </c>
      <c r="O600" s="1">
        <v>43346</v>
      </c>
      <c r="P600" t="s">
        <v>41</v>
      </c>
      <c r="Q600" t="s">
        <v>49</v>
      </c>
      <c r="R600" t="str">
        <f>"0560028"</f>
        <v>0560028</v>
      </c>
      <c r="S600" t="s">
        <v>384</v>
      </c>
      <c r="T600" t="s">
        <v>380</v>
      </c>
      <c r="U600" t="s">
        <v>381</v>
      </c>
      <c r="V600" t="s">
        <v>131</v>
      </c>
      <c r="W600" t="s">
        <v>55</v>
      </c>
      <c r="X600" t="s">
        <v>45</v>
      </c>
      <c r="Y600" s="1">
        <v>27512</v>
      </c>
      <c r="Z600">
        <v>2</v>
      </c>
      <c r="AA600" t="s">
        <v>381</v>
      </c>
      <c r="AB600" s="40" t="s">
        <v>1795</v>
      </c>
    </row>
    <row r="601" spans="1:28" x14ac:dyDescent="0.25">
      <c r="A601">
        <v>99910600</v>
      </c>
      <c r="B601" t="s">
        <v>32</v>
      </c>
      <c r="C601" t="s">
        <v>71</v>
      </c>
      <c r="D601" t="s">
        <v>72</v>
      </c>
      <c r="G601" t="s">
        <v>35</v>
      </c>
      <c r="H601">
        <v>1</v>
      </c>
      <c r="I601" t="s">
        <v>1138</v>
      </c>
      <c r="J601" s="1">
        <v>43344</v>
      </c>
      <c r="K601" t="s">
        <v>1128</v>
      </c>
      <c r="L601" t="s">
        <v>1129</v>
      </c>
      <c r="M601" t="s">
        <v>1130</v>
      </c>
      <c r="N601">
        <v>9</v>
      </c>
      <c r="O601" s="1">
        <v>43344</v>
      </c>
      <c r="P601" t="s">
        <v>41</v>
      </c>
      <c r="Q601" t="s">
        <v>49</v>
      </c>
      <c r="R601" t="str">
        <f>"3181015"</f>
        <v>3181015</v>
      </c>
      <c r="S601" t="s">
        <v>1131</v>
      </c>
      <c r="T601" t="s">
        <v>1128</v>
      </c>
      <c r="U601" t="s">
        <v>1129</v>
      </c>
      <c r="V601" t="s">
        <v>1130</v>
      </c>
      <c r="W601" t="s">
        <v>44</v>
      </c>
      <c r="X601" t="s">
        <v>45</v>
      </c>
      <c r="Y601" s="1">
        <v>27349</v>
      </c>
      <c r="Z601">
        <v>2</v>
      </c>
      <c r="AA601" t="s">
        <v>1129</v>
      </c>
      <c r="AB601" s="40" t="s">
        <v>1795</v>
      </c>
    </row>
    <row r="602" spans="1:28" x14ac:dyDescent="0.25">
      <c r="A602">
        <v>99910601</v>
      </c>
      <c r="B602" t="s">
        <v>56</v>
      </c>
      <c r="C602" t="s">
        <v>117</v>
      </c>
      <c r="D602" t="s">
        <v>118</v>
      </c>
      <c r="G602" t="s">
        <v>35</v>
      </c>
      <c r="H602">
        <v>1</v>
      </c>
      <c r="I602" t="s">
        <v>119</v>
      </c>
      <c r="J602" s="1">
        <v>43369</v>
      </c>
      <c r="K602" t="s">
        <v>77</v>
      </c>
      <c r="L602" t="s">
        <v>78</v>
      </c>
      <c r="M602" t="s">
        <v>39</v>
      </c>
      <c r="N602">
        <v>9</v>
      </c>
      <c r="O602" s="1">
        <v>43369</v>
      </c>
      <c r="P602" t="s">
        <v>41</v>
      </c>
      <c r="Q602" t="s">
        <v>75</v>
      </c>
      <c r="R602" t="str">
        <f>"7371000"</f>
        <v>7371000</v>
      </c>
      <c r="S602" t="s">
        <v>76</v>
      </c>
      <c r="T602" t="s">
        <v>77</v>
      </c>
      <c r="U602" t="s">
        <v>78</v>
      </c>
      <c r="V602" t="s">
        <v>39</v>
      </c>
      <c r="W602" t="s">
        <v>44</v>
      </c>
      <c r="X602" t="s">
        <v>45</v>
      </c>
      <c r="Y602" s="1">
        <v>27183</v>
      </c>
      <c r="Z602">
        <v>1</v>
      </c>
      <c r="AA602" t="s">
        <v>78</v>
      </c>
      <c r="AB602" s="40" t="s">
        <v>1795</v>
      </c>
    </row>
    <row r="603" spans="1:28" x14ac:dyDescent="0.25">
      <c r="A603">
        <v>99910602</v>
      </c>
      <c r="B603" t="s">
        <v>32</v>
      </c>
      <c r="C603" t="s">
        <v>64</v>
      </c>
      <c r="D603" t="s">
        <v>65</v>
      </c>
      <c r="G603" t="s">
        <v>48</v>
      </c>
      <c r="H603">
        <v>1</v>
      </c>
      <c r="K603" t="s">
        <v>162</v>
      </c>
      <c r="L603" t="s">
        <v>158</v>
      </c>
      <c r="M603" t="s">
        <v>131</v>
      </c>
      <c r="N603">
        <v>9</v>
      </c>
      <c r="P603" t="s">
        <v>41</v>
      </c>
      <c r="Q603" t="s">
        <v>49</v>
      </c>
      <c r="R603" t="str">
        <f>"0560027"</f>
        <v>0560027</v>
      </c>
      <c r="S603" t="s">
        <v>178</v>
      </c>
      <c r="T603" t="s">
        <v>162</v>
      </c>
      <c r="U603" t="s">
        <v>158</v>
      </c>
      <c r="V603" t="s">
        <v>131</v>
      </c>
      <c r="W603" t="s">
        <v>51</v>
      </c>
      <c r="X603" t="s">
        <v>45</v>
      </c>
      <c r="Y603" s="1">
        <v>27073</v>
      </c>
      <c r="Z603">
        <v>2</v>
      </c>
      <c r="AA603" t="s">
        <v>158</v>
      </c>
      <c r="AB603" s="40" t="s">
        <v>1795</v>
      </c>
    </row>
    <row r="604" spans="1:28" x14ac:dyDescent="0.25">
      <c r="A604">
        <v>99910603</v>
      </c>
      <c r="B604" t="s">
        <v>56</v>
      </c>
      <c r="C604" t="s">
        <v>58</v>
      </c>
      <c r="D604" t="s">
        <v>59</v>
      </c>
      <c r="G604" t="s">
        <v>48</v>
      </c>
      <c r="H604">
        <v>1</v>
      </c>
      <c r="K604" t="s">
        <v>1613</v>
      </c>
      <c r="L604" t="s">
        <v>1614</v>
      </c>
      <c r="M604" t="s">
        <v>1592</v>
      </c>
      <c r="N604">
        <v>9</v>
      </c>
      <c r="P604" t="s">
        <v>41</v>
      </c>
      <c r="Q604" t="s">
        <v>49</v>
      </c>
      <c r="R604" t="str">
        <f>"2881010"</f>
        <v>2881010</v>
      </c>
      <c r="S604" t="s">
        <v>1622</v>
      </c>
      <c r="T604" t="s">
        <v>1613</v>
      </c>
      <c r="U604" t="s">
        <v>1614</v>
      </c>
      <c r="V604" t="s">
        <v>1592</v>
      </c>
      <c r="W604" t="s">
        <v>51</v>
      </c>
      <c r="X604" t="s">
        <v>45</v>
      </c>
      <c r="Y604" s="1">
        <v>27037</v>
      </c>
      <c r="Z604">
        <v>2</v>
      </c>
      <c r="AA604" t="s">
        <v>1614</v>
      </c>
      <c r="AB604" s="40" t="s">
        <v>1795</v>
      </c>
    </row>
    <row r="605" spans="1:28" x14ac:dyDescent="0.25">
      <c r="A605">
        <v>99910604</v>
      </c>
      <c r="B605" t="s">
        <v>32</v>
      </c>
      <c r="C605" t="s">
        <v>111</v>
      </c>
      <c r="D605" t="s">
        <v>112</v>
      </c>
      <c r="G605" t="s">
        <v>48</v>
      </c>
      <c r="H605">
        <v>5</v>
      </c>
      <c r="K605" t="s">
        <v>877</v>
      </c>
      <c r="L605" t="s">
        <v>878</v>
      </c>
      <c r="M605" t="s">
        <v>131</v>
      </c>
      <c r="N605">
        <v>9</v>
      </c>
      <c r="P605" t="s">
        <v>41</v>
      </c>
      <c r="Q605" t="s">
        <v>75</v>
      </c>
      <c r="R605" t="str">
        <f>"7541012"</f>
        <v>7541012</v>
      </c>
      <c r="S605" t="s">
        <v>915</v>
      </c>
      <c r="T605" t="s">
        <v>877</v>
      </c>
      <c r="U605" t="s">
        <v>878</v>
      </c>
      <c r="V605" t="s">
        <v>131</v>
      </c>
      <c r="W605" t="s">
        <v>51</v>
      </c>
      <c r="X605" t="s">
        <v>45</v>
      </c>
      <c r="Y605" s="1">
        <v>26236</v>
      </c>
      <c r="Z605">
        <v>1</v>
      </c>
      <c r="AA605" t="s">
        <v>878</v>
      </c>
      <c r="AB605" s="40" t="s">
        <v>1795</v>
      </c>
    </row>
    <row r="606" spans="1:28" x14ac:dyDescent="0.25">
      <c r="A606">
        <v>99910605</v>
      </c>
      <c r="B606" t="s">
        <v>32</v>
      </c>
      <c r="C606" t="s">
        <v>71</v>
      </c>
      <c r="D606" t="s">
        <v>72</v>
      </c>
      <c r="G606" t="s">
        <v>35</v>
      </c>
      <c r="H606">
        <v>1</v>
      </c>
      <c r="I606" t="s">
        <v>192</v>
      </c>
      <c r="J606" s="1">
        <v>42979</v>
      </c>
      <c r="K606" t="s">
        <v>157</v>
      </c>
      <c r="L606" t="s">
        <v>158</v>
      </c>
      <c r="M606" t="s">
        <v>131</v>
      </c>
      <c r="N606">
        <v>9</v>
      </c>
      <c r="O606" s="1">
        <v>42979</v>
      </c>
      <c r="P606" t="s">
        <v>41</v>
      </c>
      <c r="Q606" t="s">
        <v>49</v>
      </c>
      <c r="R606" t="str">
        <f>"0560006"</f>
        <v>0560006</v>
      </c>
      <c r="S606" t="s">
        <v>191</v>
      </c>
      <c r="T606" t="s">
        <v>157</v>
      </c>
      <c r="U606" t="s">
        <v>158</v>
      </c>
      <c r="V606" t="s">
        <v>131</v>
      </c>
      <c r="W606" t="s">
        <v>44</v>
      </c>
      <c r="X606" t="s">
        <v>45</v>
      </c>
      <c r="Y606" s="1">
        <v>26193</v>
      </c>
      <c r="Z606">
        <v>2</v>
      </c>
      <c r="AA606" t="s">
        <v>158</v>
      </c>
      <c r="AB606" s="40" t="s">
        <v>1795</v>
      </c>
    </row>
    <row r="607" spans="1:28" x14ac:dyDescent="0.25">
      <c r="A607">
        <v>99910606</v>
      </c>
      <c r="B607" t="s">
        <v>56</v>
      </c>
      <c r="C607" t="s">
        <v>33</v>
      </c>
      <c r="D607" t="s">
        <v>34</v>
      </c>
      <c r="G607" t="s">
        <v>48</v>
      </c>
      <c r="H607">
        <v>1</v>
      </c>
      <c r="K607" t="s">
        <v>380</v>
      </c>
      <c r="L607" t="s">
        <v>381</v>
      </c>
      <c r="M607" t="s">
        <v>131</v>
      </c>
      <c r="N607">
        <v>9</v>
      </c>
      <c r="P607" t="s">
        <v>41</v>
      </c>
      <c r="Q607" t="s">
        <v>42</v>
      </c>
      <c r="R607" t="str">
        <f>"0590909"</f>
        <v>0590909</v>
      </c>
      <c r="S607" t="s">
        <v>388</v>
      </c>
      <c r="T607" t="s">
        <v>380</v>
      </c>
      <c r="U607" t="s">
        <v>381</v>
      </c>
      <c r="V607" t="s">
        <v>131</v>
      </c>
      <c r="W607" t="s">
        <v>51</v>
      </c>
      <c r="X607" t="s">
        <v>45</v>
      </c>
      <c r="Y607" s="1">
        <v>26108</v>
      </c>
      <c r="Z607">
        <v>2</v>
      </c>
      <c r="AA607" t="s">
        <v>381</v>
      </c>
      <c r="AB607" s="40" t="s">
        <v>1795</v>
      </c>
    </row>
    <row r="608" spans="1:28" x14ac:dyDescent="0.25">
      <c r="A608">
        <v>99910607</v>
      </c>
      <c r="B608" t="s">
        <v>32</v>
      </c>
      <c r="C608" t="s">
        <v>68</v>
      </c>
      <c r="D608" t="s">
        <v>69</v>
      </c>
      <c r="G608" t="s">
        <v>35</v>
      </c>
      <c r="H608">
        <v>1</v>
      </c>
      <c r="I608">
        <v>6569</v>
      </c>
      <c r="J608" s="1">
        <v>43344</v>
      </c>
      <c r="K608" t="s">
        <v>1306</v>
      </c>
      <c r="L608" t="s">
        <v>1307</v>
      </c>
      <c r="M608" t="s">
        <v>1270</v>
      </c>
      <c r="N608">
        <v>9</v>
      </c>
      <c r="O608" s="1">
        <v>43344</v>
      </c>
      <c r="P608" t="s">
        <v>41</v>
      </c>
      <c r="Q608" t="s">
        <v>42</v>
      </c>
      <c r="R608" t="str">
        <f>"1990915"</f>
        <v>1990915</v>
      </c>
      <c r="S608" t="s">
        <v>1308</v>
      </c>
      <c r="T608" t="s">
        <v>1306</v>
      </c>
      <c r="U608" t="s">
        <v>1307</v>
      </c>
      <c r="V608" t="s">
        <v>1270</v>
      </c>
      <c r="W608" t="s">
        <v>51</v>
      </c>
      <c r="X608" t="s">
        <v>45</v>
      </c>
      <c r="Y608" s="1">
        <v>25948</v>
      </c>
      <c r="Z608">
        <v>2</v>
      </c>
      <c r="AA608" t="s">
        <v>1307</v>
      </c>
      <c r="AB608" s="40" t="s">
        <v>1795</v>
      </c>
    </row>
    <row r="609" spans="1:28" x14ac:dyDescent="0.25">
      <c r="A609">
        <v>99910608</v>
      </c>
      <c r="B609" t="s">
        <v>32</v>
      </c>
      <c r="C609" t="s">
        <v>46</v>
      </c>
      <c r="D609" t="s">
        <v>47</v>
      </c>
      <c r="G609" t="s">
        <v>35</v>
      </c>
      <c r="H609">
        <v>1</v>
      </c>
      <c r="K609" t="s">
        <v>300</v>
      </c>
      <c r="L609" t="s">
        <v>301</v>
      </c>
      <c r="M609" t="s">
        <v>131</v>
      </c>
      <c r="N609">
        <v>9</v>
      </c>
      <c r="P609" t="s">
        <v>41</v>
      </c>
      <c r="Q609" t="s">
        <v>42</v>
      </c>
      <c r="R609" t="str">
        <f>"0580023"</f>
        <v>0580023</v>
      </c>
      <c r="S609" t="s">
        <v>313</v>
      </c>
      <c r="T609" t="s">
        <v>300</v>
      </c>
      <c r="U609" t="s">
        <v>301</v>
      </c>
      <c r="V609" t="s">
        <v>131</v>
      </c>
      <c r="W609" t="s">
        <v>165</v>
      </c>
      <c r="X609" t="s">
        <v>45</v>
      </c>
      <c r="Y609" s="1">
        <v>25800</v>
      </c>
      <c r="Z609">
        <v>2</v>
      </c>
      <c r="AA609" t="s">
        <v>301</v>
      </c>
      <c r="AB609" s="40" t="s">
        <v>1795</v>
      </c>
    </row>
    <row r="610" spans="1:28" x14ac:dyDescent="0.25">
      <c r="A610">
        <v>99910609</v>
      </c>
      <c r="B610" t="s">
        <v>56</v>
      </c>
      <c r="C610" t="s">
        <v>82</v>
      </c>
      <c r="D610" t="s">
        <v>83</v>
      </c>
      <c r="G610" t="s">
        <v>48</v>
      </c>
      <c r="H610">
        <v>1</v>
      </c>
      <c r="K610" t="s">
        <v>1613</v>
      </c>
      <c r="L610" t="s">
        <v>1614</v>
      </c>
      <c r="M610" t="s">
        <v>1592</v>
      </c>
      <c r="N610">
        <v>9</v>
      </c>
      <c r="P610" t="s">
        <v>41</v>
      </c>
      <c r="Q610" t="s">
        <v>42</v>
      </c>
      <c r="R610" t="str">
        <f>"2861001"</f>
        <v>2861001</v>
      </c>
      <c r="S610" t="s">
        <v>1621</v>
      </c>
      <c r="T610" t="s">
        <v>1613</v>
      </c>
      <c r="U610" t="s">
        <v>1614</v>
      </c>
      <c r="V610" t="s">
        <v>1592</v>
      </c>
      <c r="W610" t="s">
        <v>51</v>
      </c>
      <c r="X610" t="s">
        <v>45</v>
      </c>
      <c r="Y610" s="1">
        <v>25727</v>
      </c>
      <c r="Z610">
        <v>2</v>
      </c>
      <c r="AA610" t="s">
        <v>1614</v>
      </c>
      <c r="AB610" s="40" t="s">
        <v>1795</v>
      </c>
    </row>
    <row r="611" spans="1:28" x14ac:dyDescent="0.25">
      <c r="A611">
        <v>99910610</v>
      </c>
      <c r="B611" t="s">
        <v>56</v>
      </c>
      <c r="C611" t="s">
        <v>1292</v>
      </c>
      <c r="D611" t="s">
        <v>1293</v>
      </c>
      <c r="E611" t="s">
        <v>61</v>
      </c>
      <c r="F611" t="s">
        <v>62</v>
      </c>
      <c r="G611" t="s">
        <v>48</v>
      </c>
      <c r="H611">
        <v>1</v>
      </c>
      <c r="K611" t="s">
        <v>1268</v>
      </c>
      <c r="L611" t="s">
        <v>1269</v>
      </c>
      <c r="M611" t="s">
        <v>1270</v>
      </c>
      <c r="N611">
        <v>9</v>
      </c>
      <c r="P611" t="s">
        <v>41</v>
      </c>
      <c r="Q611" t="s">
        <v>922</v>
      </c>
      <c r="R611" t="str">
        <f>"1950001"</f>
        <v>1950001</v>
      </c>
      <c r="S611" t="s">
        <v>1284</v>
      </c>
      <c r="T611" t="s">
        <v>1268</v>
      </c>
      <c r="U611" t="s">
        <v>1269</v>
      </c>
      <c r="V611" t="s">
        <v>1270</v>
      </c>
      <c r="W611" t="s">
        <v>51</v>
      </c>
      <c r="X611" t="s">
        <v>45</v>
      </c>
      <c r="Y611" s="1">
        <v>25623</v>
      </c>
      <c r="Z611">
        <v>2</v>
      </c>
      <c r="AA611" t="s">
        <v>1269</v>
      </c>
      <c r="AB611" s="40" t="s">
        <v>1795</v>
      </c>
    </row>
    <row r="612" spans="1:28" x14ac:dyDescent="0.25">
      <c r="A612">
        <v>99910611</v>
      </c>
      <c r="B612" t="s">
        <v>32</v>
      </c>
      <c r="C612" t="s">
        <v>139</v>
      </c>
      <c r="D612" t="s">
        <v>140</v>
      </c>
      <c r="G612" t="s">
        <v>48</v>
      </c>
      <c r="H612">
        <v>1</v>
      </c>
      <c r="K612" t="s">
        <v>380</v>
      </c>
      <c r="L612" t="s">
        <v>381</v>
      </c>
      <c r="M612" t="s">
        <v>131</v>
      </c>
      <c r="N612">
        <v>9</v>
      </c>
      <c r="P612" t="s">
        <v>41</v>
      </c>
      <c r="Q612" t="s">
        <v>49</v>
      </c>
      <c r="R612" t="str">
        <f>"0581859"</f>
        <v>0581859</v>
      </c>
      <c r="S612" t="s">
        <v>394</v>
      </c>
      <c r="T612" t="s">
        <v>380</v>
      </c>
      <c r="U612" t="s">
        <v>381</v>
      </c>
      <c r="V612" t="s">
        <v>131</v>
      </c>
      <c r="W612" t="s">
        <v>51</v>
      </c>
      <c r="X612" t="s">
        <v>45</v>
      </c>
      <c r="Y612" s="1">
        <v>25294</v>
      </c>
      <c r="Z612">
        <v>2</v>
      </c>
      <c r="AA612" t="s">
        <v>381</v>
      </c>
      <c r="AB612" s="40" t="s">
        <v>1795</v>
      </c>
    </row>
    <row r="613" spans="1:28" x14ac:dyDescent="0.25">
      <c r="A613">
        <v>99910612</v>
      </c>
      <c r="B613" t="s">
        <v>32</v>
      </c>
      <c r="C613" t="s">
        <v>139</v>
      </c>
      <c r="D613" t="s">
        <v>140</v>
      </c>
      <c r="G613" t="s">
        <v>35</v>
      </c>
      <c r="H613">
        <v>1</v>
      </c>
      <c r="I613" t="s">
        <v>1127</v>
      </c>
      <c r="J613" s="1">
        <v>42979</v>
      </c>
      <c r="K613" t="s">
        <v>1128</v>
      </c>
      <c r="L613" t="s">
        <v>1129</v>
      </c>
      <c r="M613" t="s">
        <v>1130</v>
      </c>
      <c r="N613">
        <v>9</v>
      </c>
      <c r="O613" s="1">
        <v>42979</v>
      </c>
      <c r="P613" t="s">
        <v>41</v>
      </c>
      <c r="Q613" t="s">
        <v>49</v>
      </c>
      <c r="R613" t="str">
        <f>"3181015"</f>
        <v>3181015</v>
      </c>
      <c r="S613" t="s">
        <v>1131</v>
      </c>
      <c r="T613" t="s">
        <v>1128</v>
      </c>
      <c r="U613" t="s">
        <v>1129</v>
      </c>
      <c r="V613" t="s">
        <v>1130</v>
      </c>
      <c r="W613" t="s">
        <v>51</v>
      </c>
      <c r="X613" t="s">
        <v>45</v>
      </c>
      <c r="Y613" s="1">
        <v>25152</v>
      </c>
      <c r="Z613">
        <v>2</v>
      </c>
      <c r="AA613" t="s">
        <v>1129</v>
      </c>
      <c r="AB613" s="40" t="s">
        <v>1795</v>
      </c>
    </row>
    <row r="614" spans="1:28" x14ac:dyDescent="0.25">
      <c r="A614">
        <v>99910613</v>
      </c>
      <c r="B614" t="s">
        <v>32</v>
      </c>
      <c r="C614" t="s">
        <v>117</v>
      </c>
      <c r="D614" t="s">
        <v>118</v>
      </c>
      <c r="G614" t="s">
        <v>35</v>
      </c>
      <c r="H614">
        <v>1</v>
      </c>
      <c r="I614">
        <v>18277</v>
      </c>
      <c r="J614" s="1">
        <v>43344</v>
      </c>
      <c r="K614" t="s">
        <v>300</v>
      </c>
      <c r="L614" t="s">
        <v>301</v>
      </c>
      <c r="M614" t="s">
        <v>131</v>
      </c>
      <c r="N614">
        <v>9</v>
      </c>
      <c r="O614" s="1">
        <v>43344</v>
      </c>
      <c r="P614" t="s">
        <v>41</v>
      </c>
      <c r="Q614" t="s">
        <v>49</v>
      </c>
      <c r="R614" t="str">
        <f>"0560001"</f>
        <v>0560001</v>
      </c>
      <c r="S614" t="s">
        <v>304</v>
      </c>
      <c r="T614" t="s">
        <v>300</v>
      </c>
      <c r="U614" t="s">
        <v>301</v>
      </c>
      <c r="V614" t="s">
        <v>131</v>
      </c>
      <c r="W614" t="s">
        <v>55</v>
      </c>
      <c r="X614" t="s">
        <v>45</v>
      </c>
      <c r="Y614" s="1">
        <v>24986</v>
      </c>
      <c r="Z614">
        <v>2</v>
      </c>
      <c r="AA614" t="s">
        <v>301</v>
      </c>
      <c r="AB614" s="40" t="s">
        <v>1795</v>
      </c>
    </row>
    <row r="615" spans="1:28" x14ac:dyDescent="0.25">
      <c r="A615">
        <v>99910614</v>
      </c>
      <c r="B615" t="s">
        <v>32</v>
      </c>
      <c r="C615" t="s">
        <v>139</v>
      </c>
      <c r="D615" t="s">
        <v>140</v>
      </c>
      <c r="G615" t="s">
        <v>48</v>
      </c>
      <c r="H615">
        <v>1</v>
      </c>
      <c r="K615" t="s">
        <v>300</v>
      </c>
      <c r="L615" t="s">
        <v>301</v>
      </c>
      <c r="M615" t="s">
        <v>131</v>
      </c>
      <c r="N615">
        <v>9</v>
      </c>
      <c r="P615" t="s">
        <v>41</v>
      </c>
      <c r="Q615" t="s">
        <v>49</v>
      </c>
      <c r="R615" t="str">
        <f>"0560001"</f>
        <v>0560001</v>
      </c>
      <c r="S615" t="s">
        <v>304</v>
      </c>
      <c r="T615" t="s">
        <v>300</v>
      </c>
      <c r="U615" t="s">
        <v>301</v>
      </c>
      <c r="V615" t="s">
        <v>131</v>
      </c>
      <c r="W615" t="s">
        <v>51</v>
      </c>
      <c r="X615" t="s">
        <v>45</v>
      </c>
      <c r="Y615" s="1">
        <v>24898</v>
      </c>
      <c r="Z615">
        <v>2</v>
      </c>
      <c r="AA615" t="s">
        <v>301</v>
      </c>
      <c r="AB615" s="40" t="s">
        <v>1795</v>
      </c>
    </row>
    <row r="616" spans="1:28" x14ac:dyDescent="0.25">
      <c r="A616">
        <v>99910615</v>
      </c>
      <c r="B616" t="s">
        <v>32</v>
      </c>
      <c r="C616" t="s">
        <v>117</v>
      </c>
      <c r="D616" t="s">
        <v>118</v>
      </c>
      <c r="G616" t="s">
        <v>48</v>
      </c>
      <c r="H616">
        <v>1</v>
      </c>
      <c r="K616" t="s">
        <v>1619</v>
      </c>
      <c r="L616" t="s">
        <v>1620</v>
      </c>
      <c r="M616" t="s">
        <v>1592</v>
      </c>
      <c r="N616">
        <v>9</v>
      </c>
      <c r="P616" t="s">
        <v>41</v>
      </c>
      <c r="Q616" t="s">
        <v>75</v>
      </c>
      <c r="R616" t="str">
        <f>"7281006"</f>
        <v>7281006</v>
      </c>
      <c r="S616" t="s">
        <v>1618</v>
      </c>
      <c r="T616" t="s">
        <v>1619</v>
      </c>
      <c r="U616" t="s">
        <v>1620</v>
      </c>
      <c r="V616" t="s">
        <v>1592</v>
      </c>
      <c r="W616" t="s">
        <v>51</v>
      </c>
      <c r="X616" t="s">
        <v>45</v>
      </c>
      <c r="Y616" s="1">
        <v>24838</v>
      </c>
      <c r="Z616">
        <v>1</v>
      </c>
      <c r="AA616" t="s">
        <v>1620</v>
      </c>
      <c r="AB616" s="40" t="s">
        <v>1795</v>
      </c>
    </row>
    <row r="617" spans="1:28" x14ac:dyDescent="0.25">
      <c r="A617">
        <v>99910616</v>
      </c>
      <c r="B617" t="s">
        <v>32</v>
      </c>
      <c r="C617" t="s">
        <v>79</v>
      </c>
      <c r="D617" t="s">
        <v>80</v>
      </c>
      <c r="G617" t="s">
        <v>35</v>
      </c>
      <c r="H617">
        <v>1</v>
      </c>
      <c r="K617" t="s">
        <v>1502</v>
      </c>
      <c r="L617" t="s">
        <v>1503</v>
      </c>
      <c r="M617" t="s">
        <v>670</v>
      </c>
      <c r="N617">
        <v>9</v>
      </c>
      <c r="P617" t="s">
        <v>41</v>
      </c>
      <c r="Q617" t="s">
        <v>75</v>
      </c>
      <c r="R617" t="str">
        <f>"7171000"</f>
        <v>7171000</v>
      </c>
      <c r="S617" t="s">
        <v>1506</v>
      </c>
      <c r="T617" t="s">
        <v>1502</v>
      </c>
      <c r="U617" t="s">
        <v>1503</v>
      </c>
      <c r="V617" t="s">
        <v>670</v>
      </c>
      <c r="W617" t="s">
        <v>51</v>
      </c>
      <c r="X617" t="s">
        <v>45</v>
      </c>
      <c r="Y617" s="1">
        <v>24671</v>
      </c>
      <c r="Z617">
        <v>1</v>
      </c>
      <c r="AA617" t="s">
        <v>1503</v>
      </c>
      <c r="AB617" s="40" t="s">
        <v>1795</v>
      </c>
    </row>
    <row r="618" spans="1:28" x14ac:dyDescent="0.25">
      <c r="A618">
        <v>99910617</v>
      </c>
      <c r="B618" t="s">
        <v>32</v>
      </c>
      <c r="C618" t="s">
        <v>46</v>
      </c>
      <c r="D618" t="s">
        <v>47</v>
      </c>
      <c r="G618" t="s">
        <v>48</v>
      </c>
      <c r="H618">
        <v>1</v>
      </c>
      <c r="K618" t="s">
        <v>162</v>
      </c>
      <c r="L618" t="s">
        <v>158</v>
      </c>
      <c r="M618" t="s">
        <v>131</v>
      </c>
      <c r="N618">
        <v>9</v>
      </c>
      <c r="P618" t="s">
        <v>41</v>
      </c>
      <c r="Q618" t="s">
        <v>42</v>
      </c>
      <c r="R618" t="str">
        <f>"0580320"</f>
        <v>0580320</v>
      </c>
      <c r="S618" t="s">
        <v>164</v>
      </c>
      <c r="T618" t="s">
        <v>162</v>
      </c>
      <c r="U618" t="s">
        <v>158</v>
      </c>
      <c r="V618" t="s">
        <v>131</v>
      </c>
      <c r="W618" t="s">
        <v>165</v>
      </c>
      <c r="X618" t="s">
        <v>45</v>
      </c>
      <c r="Y618" s="1">
        <v>24545</v>
      </c>
      <c r="Z618">
        <v>2</v>
      </c>
      <c r="AA618" t="s">
        <v>158</v>
      </c>
      <c r="AB618" s="40" t="s">
        <v>1795</v>
      </c>
    </row>
    <row r="619" spans="1:28" x14ac:dyDescent="0.25">
      <c r="A619">
        <v>99910618</v>
      </c>
      <c r="B619" t="s">
        <v>32</v>
      </c>
      <c r="C619" t="s">
        <v>33</v>
      </c>
      <c r="D619" t="s">
        <v>34</v>
      </c>
      <c r="G619" t="s">
        <v>35</v>
      </c>
      <c r="H619">
        <v>1</v>
      </c>
      <c r="I619">
        <v>17327</v>
      </c>
      <c r="J619" s="1">
        <v>43346</v>
      </c>
      <c r="K619" t="s">
        <v>345</v>
      </c>
      <c r="L619" t="s">
        <v>346</v>
      </c>
      <c r="M619" t="s">
        <v>131</v>
      </c>
      <c r="N619">
        <v>9</v>
      </c>
      <c r="O619" s="1">
        <v>43346</v>
      </c>
      <c r="P619" t="s">
        <v>41</v>
      </c>
      <c r="Q619" t="s">
        <v>42</v>
      </c>
      <c r="R619" t="str">
        <f>"0561019"</f>
        <v>0561019</v>
      </c>
      <c r="S619" t="s">
        <v>351</v>
      </c>
      <c r="T619" t="s">
        <v>345</v>
      </c>
      <c r="U619" t="s">
        <v>346</v>
      </c>
      <c r="V619" t="s">
        <v>131</v>
      </c>
      <c r="W619" t="s">
        <v>55</v>
      </c>
      <c r="X619" t="s">
        <v>45</v>
      </c>
      <c r="Y619" s="1">
        <v>24473</v>
      </c>
      <c r="Z619">
        <v>2</v>
      </c>
      <c r="AA619" t="s">
        <v>346</v>
      </c>
      <c r="AB619" s="40" t="s">
        <v>1795</v>
      </c>
    </row>
    <row r="620" spans="1:28" x14ac:dyDescent="0.25">
      <c r="A620">
        <v>99910619</v>
      </c>
      <c r="B620" t="s">
        <v>56</v>
      </c>
      <c r="C620" t="s">
        <v>52</v>
      </c>
      <c r="D620" t="s">
        <v>53</v>
      </c>
      <c r="G620" t="s">
        <v>48</v>
      </c>
      <c r="H620">
        <v>1</v>
      </c>
      <c r="K620" t="s">
        <v>1613</v>
      </c>
      <c r="L620" t="s">
        <v>1614</v>
      </c>
      <c r="M620" t="s">
        <v>1592</v>
      </c>
      <c r="N620">
        <v>9</v>
      </c>
      <c r="P620" t="s">
        <v>41</v>
      </c>
      <c r="Q620" t="s">
        <v>42</v>
      </c>
      <c r="R620" t="str">
        <f>"2861001"</f>
        <v>2861001</v>
      </c>
      <c r="S620" t="s">
        <v>1621</v>
      </c>
      <c r="T620" t="s">
        <v>1613</v>
      </c>
      <c r="U620" t="s">
        <v>1614</v>
      </c>
      <c r="V620" t="s">
        <v>1592</v>
      </c>
      <c r="W620" t="s">
        <v>51</v>
      </c>
      <c r="X620" t="s">
        <v>45</v>
      </c>
      <c r="Y620" s="1">
        <v>24473</v>
      </c>
      <c r="Z620">
        <v>2</v>
      </c>
      <c r="AA620" t="s">
        <v>1614</v>
      </c>
      <c r="AB620" s="40" t="s">
        <v>1795</v>
      </c>
    </row>
    <row r="621" spans="1:28" x14ac:dyDescent="0.25">
      <c r="A621">
        <v>99910620</v>
      </c>
      <c r="B621" t="s">
        <v>32</v>
      </c>
      <c r="C621" t="s">
        <v>85</v>
      </c>
      <c r="D621" t="s">
        <v>86</v>
      </c>
      <c r="G621" t="s">
        <v>48</v>
      </c>
      <c r="H621">
        <v>1</v>
      </c>
      <c r="K621" t="s">
        <v>380</v>
      </c>
      <c r="L621" t="s">
        <v>381</v>
      </c>
      <c r="M621" t="s">
        <v>131</v>
      </c>
      <c r="N621">
        <v>9</v>
      </c>
      <c r="P621" t="s">
        <v>41</v>
      </c>
      <c r="Q621" t="s">
        <v>49</v>
      </c>
      <c r="R621" t="str">
        <f>"0581575"</f>
        <v>0581575</v>
      </c>
      <c r="S621" t="s">
        <v>392</v>
      </c>
      <c r="T621" t="s">
        <v>380</v>
      </c>
      <c r="U621" t="s">
        <v>381</v>
      </c>
      <c r="V621" t="s">
        <v>131</v>
      </c>
      <c r="W621" t="s">
        <v>51</v>
      </c>
      <c r="X621" t="s">
        <v>45</v>
      </c>
      <c r="Y621" s="1">
        <v>24447</v>
      </c>
      <c r="Z621">
        <v>2</v>
      </c>
      <c r="AA621" t="s">
        <v>381</v>
      </c>
      <c r="AB621" s="40" t="s">
        <v>1795</v>
      </c>
    </row>
    <row r="622" spans="1:28" x14ac:dyDescent="0.25">
      <c r="A622">
        <v>99910621</v>
      </c>
      <c r="B622" t="s">
        <v>56</v>
      </c>
      <c r="C622" t="s">
        <v>68</v>
      </c>
      <c r="D622" t="s">
        <v>69</v>
      </c>
      <c r="G622" t="s">
        <v>48</v>
      </c>
      <c r="H622">
        <v>1</v>
      </c>
      <c r="K622" t="s">
        <v>1268</v>
      </c>
      <c r="L622" t="s">
        <v>1269</v>
      </c>
      <c r="M622" t="s">
        <v>1270</v>
      </c>
      <c r="N622">
        <v>9</v>
      </c>
      <c r="P622" t="s">
        <v>41</v>
      </c>
      <c r="Q622" t="s">
        <v>42</v>
      </c>
      <c r="R622" t="str">
        <f>"1990910"</f>
        <v>1990910</v>
      </c>
      <c r="S622" t="s">
        <v>1281</v>
      </c>
      <c r="T622" t="s">
        <v>1268</v>
      </c>
      <c r="U622" t="s">
        <v>1269</v>
      </c>
      <c r="V622" t="s">
        <v>1270</v>
      </c>
      <c r="W622" t="s">
        <v>165</v>
      </c>
      <c r="X622" t="s">
        <v>45</v>
      </c>
      <c r="Y622" s="1">
        <v>24430</v>
      </c>
      <c r="Z622">
        <v>2</v>
      </c>
      <c r="AA622" t="s">
        <v>1269</v>
      </c>
      <c r="AB622" s="40" t="s">
        <v>1795</v>
      </c>
    </row>
    <row r="623" spans="1:28" x14ac:dyDescent="0.25">
      <c r="A623">
        <v>99910622</v>
      </c>
      <c r="B623" t="s">
        <v>56</v>
      </c>
      <c r="C623" t="s">
        <v>145</v>
      </c>
      <c r="D623" t="s">
        <v>146</v>
      </c>
      <c r="G623" t="s">
        <v>35</v>
      </c>
      <c r="H623">
        <v>1</v>
      </c>
      <c r="K623" t="s">
        <v>223</v>
      </c>
      <c r="L623" t="s">
        <v>224</v>
      </c>
      <c r="M623" t="s">
        <v>131</v>
      </c>
      <c r="N623">
        <v>9</v>
      </c>
      <c r="P623" t="s">
        <v>41</v>
      </c>
      <c r="Q623" t="s">
        <v>42</v>
      </c>
      <c r="R623" t="str">
        <f>"0580396"</f>
        <v>0580396</v>
      </c>
      <c r="S623" t="s">
        <v>255</v>
      </c>
      <c r="T623" t="s">
        <v>223</v>
      </c>
      <c r="U623" t="s">
        <v>224</v>
      </c>
      <c r="V623" t="s">
        <v>131</v>
      </c>
      <c r="W623" t="s">
        <v>51</v>
      </c>
      <c r="X623" t="s">
        <v>45</v>
      </c>
      <c r="Y623" s="1">
        <v>24351</v>
      </c>
      <c r="Z623">
        <v>2</v>
      </c>
      <c r="AA623" t="s">
        <v>224</v>
      </c>
      <c r="AB623" s="40" t="s">
        <v>1795</v>
      </c>
    </row>
    <row r="624" spans="1:28" x14ac:dyDescent="0.25">
      <c r="A624">
        <v>99910623</v>
      </c>
      <c r="B624" t="s">
        <v>32</v>
      </c>
      <c r="C624" t="s">
        <v>64</v>
      </c>
      <c r="D624" t="s">
        <v>65</v>
      </c>
      <c r="G624" t="s">
        <v>48</v>
      </c>
      <c r="H624">
        <v>1</v>
      </c>
      <c r="I624" t="s">
        <v>1314</v>
      </c>
      <c r="K624" t="s">
        <v>1306</v>
      </c>
      <c r="L624" t="s">
        <v>1307</v>
      </c>
      <c r="M624" t="s">
        <v>1270</v>
      </c>
      <c r="N624">
        <v>9</v>
      </c>
      <c r="P624" t="s">
        <v>41</v>
      </c>
      <c r="Q624" t="s">
        <v>49</v>
      </c>
      <c r="R624" t="str">
        <f>"1991913"</f>
        <v>1991913</v>
      </c>
      <c r="S624" t="s">
        <v>1310</v>
      </c>
      <c r="T624" t="s">
        <v>1306</v>
      </c>
      <c r="U624" t="s">
        <v>1307</v>
      </c>
      <c r="V624" t="s">
        <v>1270</v>
      </c>
      <c r="W624" t="s">
        <v>51</v>
      </c>
      <c r="X624" t="s">
        <v>45</v>
      </c>
      <c r="Y624" s="1">
        <v>24225</v>
      </c>
      <c r="Z624">
        <v>2</v>
      </c>
      <c r="AA624" t="s">
        <v>1307</v>
      </c>
      <c r="AB624" s="40" t="s">
        <v>1795</v>
      </c>
    </row>
    <row r="625" spans="1:28" x14ac:dyDescent="0.25">
      <c r="A625">
        <v>99910624</v>
      </c>
      <c r="B625" t="s">
        <v>32</v>
      </c>
      <c r="C625" t="s">
        <v>149</v>
      </c>
      <c r="D625" t="s">
        <v>150</v>
      </c>
      <c r="G625" t="s">
        <v>48</v>
      </c>
      <c r="H625">
        <v>1</v>
      </c>
      <c r="K625" t="s">
        <v>380</v>
      </c>
      <c r="L625" t="s">
        <v>381</v>
      </c>
      <c r="M625" t="s">
        <v>131</v>
      </c>
      <c r="N625">
        <v>9</v>
      </c>
      <c r="P625" t="s">
        <v>41</v>
      </c>
      <c r="Q625" t="s">
        <v>49</v>
      </c>
      <c r="R625" t="str">
        <f>"0591908"</f>
        <v>0591908</v>
      </c>
      <c r="S625" t="s">
        <v>383</v>
      </c>
      <c r="T625" t="s">
        <v>380</v>
      </c>
      <c r="U625" t="s">
        <v>381</v>
      </c>
      <c r="V625" t="s">
        <v>131</v>
      </c>
      <c r="W625" t="s">
        <v>51</v>
      </c>
      <c r="X625" t="s">
        <v>45</v>
      </c>
      <c r="Y625" s="1">
        <v>24140</v>
      </c>
      <c r="Z625">
        <v>2</v>
      </c>
      <c r="AA625" t="s">
        <v>381</v>
      </c>
      <c r="AB625" s="40" t="s">
        <v>1795</v>
      </c>
    </row>
    <row r="626" spans="1:28" x14ac:dyDescent="0.25">
      <c r="A626">
        <v>99910625</v>
      </c>
      <c r="B626" t="s">
        <v>32</v>
      </c>
      <c r="C626" t="s">
        <v>139</v>
      </c>
      <c r="D626" t="s">
        <v>140</v>
      </c>
      <c r="G626" t="s">
        <v>35</v>
      </c>
      <c r="H626">
        <v>1</v>
      </c>
      <c r="I626" t="s">
        <v>1144</v>
      </c>
      <c r="J626" s="1">
        <v>42979</v>
      </c>
      <c r="K626" t="s">
        <v>1128</v>
      </c>
      <c r="L626" t="s">
        <v>1129</v>
      </c>
      <c r="M626" t="s">
        <v>1130</v>
      </c>
      <c r="N626">
        <v>9</v>
      </c>
      <c r="O626" s="1">
        <v>42979</v>
      </c>
      <c r="P626" t="s">
        <v>41</v>
      </c>
      <c r="Q626" t="s">
        <v>49</v>
      </c>
      <c r="R626" t="str">
        <f>"3181015"</f>
        <v>3181015</v>
      </c>
      <c r="S626" t="s">
        <v>1131</v>
      </c>
      <c r="T626" t="s">
        <v>1128</v>
      </c>
      <c r="U626" t="s">
        <v>1129</v>
      </c>
      <c r="V626" t="s">
        <v>1130</v>
      </c>
      <c r="W626" t="s">
        <v>51</v>
      </c>
      <c r="X626" t="s">
        <v>45</v>
      </c>
      <c r="Y626" s="1">
        <v>23700</v>
      </c>
      <c r="Z626">
        <v>2</v>
      </c>
      <c r="AA626" t="s">
        <v>1129</v>
      </c>
      <c r="AB626" s="40" t="s">
        <v>1795</v>
      </c>
    </row>
    <row r="627" spans="1:28" x14ac:dyDescent="0.25">
      <c r="A627">
        <v>99910626</v>
      </c>
      <c r="B627" t="s">
        <v>56</v>
      </c>
      <c r="C627" t="s">
        <v>33</v>
      </c>
      <c r="D627" t="s">
        <v>34</v>
      </c>
      <c r="G627" t="s">
        <v>48</v>
      </c>
      <c r="H627">
        <v>1</v>
      </c>
      <c r="K627" t="s">
        <v>345</v>
      </c>
      <c r="L627" t="s">
        <v>346</v>
      </c>
      <c r="M627" t="s">
        <v>131</v>
      </c>
      <c r="N627">
        <v>9</v>
      </c>
      <c r="P627" t="s">
        <v>41</v>
      </c>
      <c r="Q627" t="s">
        <v>42</v>
      </c>
      <c r="R627" t="str">
        <f>"0580650"</f>
        <v>0580650</v>
      </c>
      <c r="S627" t="s">
        <v>356</v>
      </c>
      <c r="T627" t="s">
        <v>345</v>
      </c>
      <c r="U627" t="s">
        <v>346</v>
      </c>
      <c r="V627" t="s">
        <v>131</v>
      </c>
      <c r="W627" t="s">
        <v>51</v>
      </c>
      <c r="X627" t="s">
        <v>45</v>
      </c>
      <c r="Y627" s="1">
        <v>23676</v>
      </c>
      <c r="Z627">
        <v>2</v>
      </c>
      <c r="AA627" t="s">
        <v>346</v>
      </c>
      <c r="AB627" s="40" t="s">
        <v>1795</v>
      </c>
    </row>
    <row r="628" spans="1:28" x14ac:dyDescent="0.25">
      <c r="A628">
        <v>99910627</v>
      </c>
      <c r="B628" t="s">
        <v>32</v>
      </c>
      <c r="C628" t="s">
        <v>79</v>
      </c>
      <c r="D628" t="s">
        <v>80</v>
      </c>
      <c r="G628" t="s">
        <v>48</v>
      </c>
      <c r="H628">
        <v>1</v>
      </c>
      <c r="K628" t="s">
        <v>1198</v>
      </c>
      <c r="L628" t="s">
        <v>1199</v>
      </c>
      <c r="M628" t="s">
        <v>1130</v>
      </c>
      <c r="N628">
        <v>9</v>
      </c>
      <c r="P628" t="s">
        <v>41</v>
      </c>
      <c r="Q628" t="s">
        <v>75</v>
      </c>
      <c r="R628" t="str">
        <f>"7311006"</f>
        <v>7311006</v>
      </c>
      <c r="S628" t="s">
        <v>1200</v>
      </c>
      <c r="T628" t="s">
        <v>1198</v>
      </c>
      <c r="U628" t="s">
        <v>1199</v>
      </c>
      <c r="V628" t="s">
        <v>1130</v>
      </c>
      <c r="W628" t="s">
        <v>51</v>
      </c>
      <c r="X628" t="s">
        <v>45</v>
      </c>
      <c r="Y628" s="1">
        <v>23652</v>
      </c>
      <c r="Z628">
        <v>1</v>
      </c>
      <c r="AA628" t="s">
        <v>1199</v>
      </c>
      <c r="AB628" s="40" t="s">
        <v>1795</v>
      </c>
    </row>
    <row r="629" spans="1:28" x14ac:dyDescent="0.25">
      <c r="A629">
        <v>99910628</v>
      </c>
      <c r="B629" t="s">
        <v>56</v>
      </c>
      <c r="C629" t="s">
        <v>141</v>
      </c>
      <c r="D629" t="s">
        <v>142</v>
      </c>
      <c r="G629" t="s">
        <v>48</v>
      </c>
      <c r="H629">
        <v>1</v>
      </c>
      <c r="K629" t="s">
        <v>431</v>
      </c>
      <c r="L629" t="s">
        <v>196</v>
      </c>
      <c r="M629" t="s">
        <v>131</v>
      </c>
      <c r="N629">
        <v>9</v>
      </c>
      <c r="P629" t="s">
        <v>41</v>
      </c>
      <c r="Q629" t="s">
        <v>75</v>
      </c>
      <c r="R629" t="str">
        <f>"7521012"</f>
        <v>7521012</v>
      </c>
      <c r="S629" t="s">
        <v>432</v>
      </c>
      <c r="T629" t="s">
        <v>431</v>
      </c>
      <c r="U629" t="s">
        <v>196</v>
      </c>
      <c r="V629" t="s">
        <v>131</v>
      </c>
      <c r="W629" t="s">
        <v>51</v>
      </c>
      <c r="X629" t="s">
        <v>45</v>
      </c>
      <c r="Y629" s="1">
        <v>23590</v>
      </c>
      <c r="Z629">
        <v>1</v>
      </c>
      <c r="AA629" t="s">
        <v>196</v>
      </c>
      <c r="AB629" s="40" t="s">
        <v>1795</v>
      </c>
    </row>
    <row r="630" spans="1:28" x14ac:dyDescent="0.25">
      <c r="A630">
        <v>99910629</v>
      </c>
      <c r="B630" t="s">
        <v>56</v>
      </c>
      <c r="C630" t="s">
        <v>68</v>
      </c>
      <c r="D630" t="s">
        <v>69</v>
      </c>
      <c r="G630" t="s">
        <v>35</v>
      </c>
      <c r="H630">
        <v>1</v>
      </c>
      <c r="K630" t="s">
        <v>947</v>
      </c>
      <c r="L630" t="s">
        <v>948</v>
      </c>
      <c r="M630" t="s">
        <v>938</v>
      </c>
      <c r="N630">
        <v>9</v>
      </c>
      <c r="P630" t="s">
        <v>41</v>
      </c>
      <c r="Q630" t="s">
        <v>42</v>
      </c>
      <c r="R630" t="str">
        <f>"0680030"</f>
        <v>0680030</v>
      </c>
      <c r="S630" t="s">
        <v>951</v>
      </c>
      <c r="T630" t="s">
        <v>947</v>
      </c>
      <c r="U630" t="s">
        <v>948</v>
      </c>
      <c r="V630" t="s">
        <v>938</v>
      </c>
      <c r="W630" t="s">
        <v>165</v>
      </c>
      <c r="X630" t="s">
        <v>45</v>
      </c>
      <c r="Y630" s="1">
        <v>23492</v>
      </c>
      <c r="Z630">
        <v>2</v>
      </c>
      <c r="AA630" t="s">
        <v>948</v>
      </c>
      <c r="AB630" s="40" t="s">
        <v>1795</v>
      </c>
    </row>
    <row r="631" spans="1:28" x14ac:dyDescent="0.25">
      <c r="A631">
        <v>99910630</v>
      </c>
      <c r="B631" t="s">
        <v>56</v>
      </c>
      <c r="C631" t="s">
        <v>68</v>
      </c>
      <c r="D631" t="s">
        <v>69</v>
      </c>
      <c r="G631" t="s">
        <v>35</v>
      </c>
      <c r="H631">
        <v>1</v>
      </c>
      <c r="K631" t="s">
        <v>1546</v>
      </c>
      <c r="L631" t="s">
        <v>1547</v>
      </c>
      <c r="M631" t="s">
        <v>1548</v>
      </c>
      <c r="N631">
        <v>9</v>
      </c>
      <c r="P631" t="s">
        <v>41</v>
      </c>
      <c r="Q631" t="s">
        <v>49</v>
      </c>
      <c r="R631" t="str">
        <f>"1081010"</f>
        <v>1081010</v>
      </c>
      <c r="S631" t="s">
        <v>1552</v>
      </c>
      <c r="T631" t="s">
        <v>1546</v>
      </c>
      <c r="U631" t="s">
        <v>1547</v>
      </c>
      <c r="V631" t="s">
        <v>1548</v>
      </c>
      <c r="W631" t="s">
        <v>51</v>
      </c>
      <c r="X631" t="s">
        <v>45</v>
      </c>
      <c r="Y631" s="1">
        <v>23393</v>
      </c>
      <c r="Z631">
        <v>2</v>
      </c>
      <c r="AA631" t="s">
        <v>1547</v>
      </c>
      <c r="AB631" s="40" t="s">
        <v>1795</v>
      </c>
    </row>
    <row r="632" spans="1:28" x14ac:dyDescent="0.25">
      <c r="A632">
        <v>99910631</v>
      </c>
      <c r="B632" t="s">
        <v>32</v>
      </c>
      <c r="C632" t="s">
        <v>46</v>
      </c>
      <c r="D632" t="s">
        <v>47</v>
      </c>
      <c r="G632" t="s">
        <v>48</v>
      </c>
      <c r="H632">
        <v>1</v>
      </c>
      <c r="K632" t="s">
        <v>223</v>
      </c>
      <c r="L632" t="s">
        <v>224</v>
      </c>
      <c r="M632" t="s">
        <v>131</v>
      </c>
      <c r="N632">
        <v>9</v>
      </c>
      <c r="P632" t="s">
        <v>41</v>
      </c>
      <c r="Q632" t="s">
        <v>42</v>
      </c>
      <c r="R632" t="str">
        <f>"0580200"</f>
        <v>0580200</v>
      </c>
      <c r="S632" t="s">
        <v>245</v>
      </c>
      <c r="T632" t="s">
        <v>223</v>
      </c>
      <c r="U632" t="s">
        <v>224</v>
      </c>
      <c r="V632" t="s">
        <v>131</v>
      </c>
      <c r="W632" t="s">
        <v>51</v>
      </c>
      <c r="X632" t="s">
        <v>45</v>
      </c>
      <c r="Y632" s="1">
        <v>22778</v>
      </c>
      <c r="Z632">
        <v>2</v>
      </c>
      <c r="AA632" t="s">
        <v>224</v>
      </c>
      <c r="AB632" s="40" t="s">
        <v>1795</v>
      </c>
    </row>
    <row r="633" spans="1:28" x14ac:dyDescent="0.25">
      <c r="A633">
        <v>99910632</v>
      </c>
      <c r="B633" t="s">
        <v>32</v>
      </c>
      <c r="C633" t="s">
        <v>82</v>
      </c>
      <c r="D633" t="s">
        <v>83</v>
      </c>
      <c r="G633" t="s">
        <v>35</v>
      </c>
      <c r="H633">
        <v>1</v>
      </c>
      <c r="K633" t="s">
        <v>1546</v>
      </c>
      <c r="L633" t="s">
        <v>1547</v>
      </c>
      <c r="M633" t="s">
        <v>1548</v>
      </c>
      <c r="N633">
        <v>9</v>
      </c>
      <c r="P633" t="s">
        <v>41</v>
      </c>
      <c r="Q633" t="s">
        <v>42</v>
      </c>
      <c r="R633" t="str">
        <f>"1061001"</f>
        <v>1061001</v>
      </c>
      <c r="S633" t="s">
        <v>1550</v>
      </c>
      <c r="T633" t="s">
        <v>1546</v>
      </c>
      <c r="U633" t="s">
        <v>1547</v>
      </c>
      <c r="V633" t="s">
        <v>1548</v>
      </c>
      <c r="W633" t="s">
        <v>165</v>
      </c>
      <c r="X633" t="s">
        <v>45</v>
      </c>
      <c r="Y633" s="1">
        <v>22765</v>
      </c>
      <c r="Z633">
        <v>2</v>
      </c>
      <c r="AA633" t="s">
        <v>1547</v>
      </c>
      <c r="AB633" s="40" t="s">
        <v>1795</v>
      </c>
    </row>
    <row r="634" spans="1:28" x14ac:dyDescent="0.25">
      <c r="A634">
        <v>99910633</v>
      </c>
      <c r="B634" t="s">
        <v>56</v>
      </c>
      <c r="C634" t="s">
        <v>52</v>
      </c>
      <c r="D634" t="s">
        <v>53</v>
      </c>
      <c r="G634" t="s">
        <v>35</v>
      </c>
      <c r="H634">
        <v>8</v>
      </c>
      <c r="K634" t="s">
        <v>345</v>
      </c>
      <c r="L634" t="s">
        <v>346</v>
      </c>
      <c r="M634" t="s">
        <v>131</v>
      </c>
      <c r="N634">
        <v>9</v>
      </c>
      <c r="P634" t="s">
        <v>41</v>
      </c>
      <c r="Q634" t="s">
        <v>49</v>
      </c>
      <c r="R634" t="str">
        <f>"0560007"</f>
        <v>0560007</v>
      </c>
      <c r="S634" t="s">
        <v>357</v>
      </c>
      <c r="T634" t="s">
        <v>345</v>
      </c>
      <c r="U634" t="s">
        <v>346</v>
      </c>
      <c r="V634" t="s">
        <v>131</v>
      </c>
      <c r="W634" t="s">
        <v>51</v>
      </c>
      <c r="X634" t="s">
        <v>45</v>
      </c>
      <c r="Y634" s="1">
        <v>22737</v>
      </c>
      <c r="Z634">
        <v>2</v>
      </c>
      <c r="AA634" t="s">
        <v>346</v>
      </c>
      <c r="AB634" s="40" t="s">
        <v>1795</v>
      </c>
    </row>
    <row r="635" spans="1:28" x14ac:dyDescent="0.25">
      <c r="A635">
        <v>99910634</v>
      </c>
      <c r="B635" t="s">
        <v>56</v>
      </c>
      <c r="C635" t="s">
        <v>145</v>
      </c>
      <c r="D635" t="s">
        <v>146</v>
      </c>
      <c r="G635" t="s">
        <v>48</v>
      </c>
      <c r="H635">
        <v>1</v>
      </c>
      <c r="K635" t="s">
        <v>223</v>
      </c>
      <c r="L635" t="s">
        <v>224</v>
      </c>
      <c r="M635" t="s">
        <v>131</v>
      </c>
      <c r="N635">
        <v>9</v>
      </c>
      <c r="P635" t="s">
        <v>41</v>
      </c>
      <c r="Q635" t="s">
        <v>49</v>
      </c>
      <c r="R635" t="str">
        <f>"0560016"</f>
        <v>0560016</v>
      </c>
      <c r="S635" t="s">
        <v>254</v>
      </c>
      <c r="T635" t="s">
        <v>223</v>
      </c>
      <c r="U635" t="s">
        <v>224</v>
      </c>
      <c r="V635" t="s">
        <v>131</v>
      </c>
      <c r="W635" t="s">
        <v>51</v>
      </c>
      <c r="X635" t="s">
        <v>45</v>
      </c>
      <c r="Y635" s="1">
        <v>22058</v>
      </c>
      <c r="Z635">
        <v>2</v>
      </c>
      <c r="AA635" t="s">
        <v>224</v>
      </c>
      <c r="AB635" s="40" t="s">
        <v>1795</v>
      </c>
    </row>
    <row r="636" spans="1:28" x14ac:dyDescent="0.25">
      <c r="A636">
        <v>99910635</v>
      </c>
      <c r="B636" t="s">
        <v>56</v>
      </c>
      <c r="C636" t="s">
        <v>33</v>
      </c>
      <c r="D636" t="s">
        <v>34</v>
      </c>
      <c r="G636" t="s">
        <v>48</v>
      </c>
      <c r="H636">
        <v>1</v>
      </c>
      <c r="K636" t="s">
        <v>1613</v>
      </c>
      <c r="L636" t="s">
        <v>1614</v>
      </c>
      <c r="M636" t="s">
        <v>1592</v>
      </c>
      <c r="N636">
        <v>9</v>
      </c>
      <c r="P636" t="s">
        <v>41</v>
      </c>
      <c r="Q636" t="s">
        <v>49</v>
      </c>
      <c r="R636" t="str">
        <f>"2881010"</f>
        <v>2881010</v>
      </c>
      <c r="S636" t="s">
        <v>1622</v>
      </c>
      <c r="T636" t="s">
        <v>1613</v>
      </c>
      <c r="U636" t="s">
        <v>1614</v>
      </c>
      <c r="V636" t="s">
        <v>1592</v>
      </c>
      <c r="W636" t="s">
        <v>51</v>
      </c>
      <c r="X636" t="s">
        <v>45</v>
      </c>
      <c r="Y636" s="1">
        <v>21794</v>
      </c>
      <c r="Z636">
        <v>2</v>
      </c>
      <c r="AA636" t="s">
        <v>1614</v>
      </c>
      <c r="AB636" s="40" t="s">
        <v>1795</v>
      </c>
    </row>
    <row r="637" spans="1:28" x14ac:dyDescent="0.25">
      <c r="A637">
        <v>99910636</v>
      </c>
      <c r="B637" t="s">
        <v>56</v>
      </c>
      <c r="C637" t="s">
        <v>33</v>
      </c>
      <c r="D637" t="s">
        <v>34</v>
      </c>
      <c r="G637" t="s">
        <v>35</v>
      </c>
      <c r="H637">
        <v>1</v>
      </c>
      <c r="K637" t="s">
        <v>947</v>
      </c>
      <c r="L637" t="s">
        <v>948</v>
      </c>
      <c r="M637" t="s">
        <v>938</v>
      </c>
      <c r="N637">
        <v>9</v>
      </c>
      <c r="P637" t="s">
        <v>41</v>
      </c>
      <c r="Q637" t="s">
        <v>42</v>
      </c>
      <c r="R637" t="str">
        <f>"0680039"</f>
        <v>0680039</v>
      </c>
      <c r="S637" t="s">
        <v>949</v>
      </c>
      <c r="T637" t="s">
        <v>947</v>
      </c>
      <c r="U637" t="s">
        <v>948</v>
      </c>
      <c r="V637" t="s">
        <v>938</v>
      </c>
      <c r="W637" t="s">
        <v>51</v>
      </c>
      <c r="X637" t="s">
        <v>45</v>
      </c>
      <c r="Y637" s="1">
        <v>21751</v>
      </c>
      <c r="Z637">
        <v>2</v>
      </c>
      <c r="AA637" t="s">
        <v>948</v>
      </c>
      <c r="AB637" s="40" t="s">
        <v>1795</v>
      </c>
    </row>
    <row r="638" spans="1:28" x14ac:dyDescent="0.25">
      <c r="A638">
        <v>99910637</v>
      </c>
      <c r="B638" t="s">
        <v>56</v>
      </c>
      <c r="C638" t="s">
        <v>68</v>
      </c>
      <c r="D638" t="s">
        <v>69</v>
      </c>
      <c r="G638" t="s">
        <v>48</v>
      </c>
      <c r="H638">
        <v>1</v>
      </c>
      <c r="K638" t="s">
        <v>1128</v>
      </c>
      <c r="L638" t="s">
        <v>1129</v>
      </c>
      <c r="M638" t="s">
        <v>1130</v>
      </c>
      <c r="N638">
        <v>9</v>
      </c>
      <c r="P638" t="s">
        <v>41</v>
      </c>
      <c r="Q638" t="s">
        <v>42</v>
      </c>
      <c r="R638" t="str">
        <f>"3180015"</f>
        <v>3180015</v>
      </c>
      <c r="S638" t="s">
        <v>1139</v>
      </c>
      <c r="T638" t="s">
        <v>1128</v>
      </c>
      <c r="U638" t="s">
        <v>1129</v>
      </c>
      <c r="V638" t="s">
        <v>1130</v>
      </c>
      <c r="W638" t="s">
        <v>51</v>
      </c>
      <c r="X638" t="s">
        <v>45</v>
      </c>
      <c r="Y638" s="1">
        <v>21006</v>
      </c>
      <c r="Z638">
        <v>2</v>
      </c>
      <c r="AA638" t="s">
        <v>1129</v>
      </c>
      <c r="AB638" s="40" t="s">
        <v>1795</v>
      </c>
    </row>
    <row r="639" spans="1:28" x14ac:dyDescent="0.25">
      <c r="A639">
        <v>99910638</v>
      </c>
      <c r="B639" t="s">
        <v>56</v>
      </c>
      <c r="C639" t="s">
        <v>68</v>
      </c>
      <c r="D639" t="s">
        <v>69</v>
      </c>
      <c r="G639" t="s">
        <v>48</v>
      </c>
      <c r="H639">
        <v>1</v>
      </c>
      <c r="K639" t="s">
        <v>300</v>
      </c>
      <c r="L639" t="s">
        <v>301</v>
      </c>
      <c r="M639" t="s">
        <v>131</v>
      </c>
      <c r="N639">
        <v>9</v>
      </c>
      <c r="P639" t="s">
        <v>41</v>
      </c>
      <c r="Q639" t="s">
        <v>42</v>
      </c>
      <c r="R639" t="str">
        <f>"0580106"</f>
        <v>0580106</v>
      </c>
      <c r="S639" t="s">
        <v>306</v>
      </c>
      <c r="T639" t="s">
        <v>300</v>
      </c>
      <c r="U639" t="s">
        <v>301</v>
      </c>
      <c r="V639" t="s">
        <v>131</v>
      </c>
      <c r="W639" t="s">
        <v>51</v>
      </c>
      <c r="X639" t="s">
        <v>45</v>
      </c>
      <c r="Y639" s="1">
        <v>20176</v>
      </c>
      <c r="Z639">
        <v>2</v>
      </c>
      <c r="AA639" t="s">
        <v>301</v>
      </c>
      <c r="AB639" s="40" t="s">
        <v>1795</v>
      </c>
    </row>
    <row r="640" spans="1:28" x14ac:dyDescent="0.25">
      <c r="A640">
        <v>99910639</v>
      </c>
      <c r="B640" t="s">
        <v>32</v>
      </c>
      <c r="C640" t="s">
        <v>143</v>
      </c>
      <c r="D640" t="s">
        <v>144</v>
      </c>
      <c r="G640" t="s">
        <v>35</v>
      </c>
      <c r="H640">
        <v>1</v>
      </c>
      <c r="I640" t="s">
        <v>206</v>
      </c>
      <c r="J640" s="1">
        <v>43344</v>
      </c>
      <c r="K640" t="s">
        <v>157</v>
      </c>
      <c r="L640" t="s">
        <v>158</v>
      </c>
      <c r="M640" t="s">
        <v>131</v>
      </c>
      <c r="N640">
        <v>9</v>
      </c>
      <c r="O640" s="1">
        <v>43344</v>
      </c>
      <c r="P640" t="s">
        <v>41</v>
      </c>
      <c r="Q640" t="s">
        <v>49</v>
      </c>
      <c r="R640" t="str">
        <f>"0560011"</f>
        <v>0560011</v>
      </c>
      <c r="S640" t="s">
        <v>185</v>
      </c>
      <c r="T640" t="s">
        <v>157</v>
      </c>
      <c r="U640" t="s">
        <v>158</v>
      </c>
      <c r="V640" t="s">
        <v>131</v>
      </c>
      <c r="W640" t="s">
        <v>44</v>
      </c>
      <c r="X640" t="s">
        <v>45</v>
      </c>
      <c r="Z640">
        <v>2</v>
      </c>
      <c r="AA640" t="s">
        <v>158</v>
      </c>
      <c r="AB640" s="40" t="s">
        <v>1795</v>
      </c>
    </row>
    <row r="641" spans="1:28" x14ac:dyDescent="0.25">
      <c r="A641">
        <v>99910640</v>
      </c>
      <c r="B641" t="s">
        <v>32</v>
      </c>
      <c r="C641" t="s">
        <v>139</v>
      </c>
      <c r="D641" t="s">
        <v>140</v>
      </c>
      <c r="G641" t="s">
        <v>35</v>
      </c>
      <c r="H641">
        <v>1</v>
      </c>
      <c r="I641" t="s">
        <v>318</v>
      </c>
      <c r="J641" s="1">
        <v>43344</v>
      </c>
      <c r="K641" t="s">
        <v>300</v>
      </c>
      <c r="L641" t="s">
        <v>301</v>
      </c>
      <c r="M641" t="s">
        <v>131</v>
      </c>
      <c r="N641">
        <v>9</v>
      </c>
      <c r="O641" s="1">
        <v>43344</v>
      </c>
      <c r="P641" t="s">
        <v>41</v>
      </c>
      <c r="Q641" t="s">
        <v>49</v>
      </c>
      <c r="R641" t="str">
        <f>"0560001"</f>
        <v>0560001</v>
      </c>
      <c r="S641" t="s">
        <v>304</v>
      </c>
      <c r="T641" t="s">
        <v>300</v>
      </c>
      <c r="U641" t="s">
        <v>301</v>
      </c>
      <c r="V641" t="s">
        <v>131</v>
      </c>
      <c r="W641" t="s">
        <v>51</v>
      </c>
      <c r="X641" t="s">
        <v>45</v>
      </c>
      <c r="Z641">
        <v>2</v>
      </c>
      <c r="AA641" t="s">
        <v>301</v>
      </c>
      <c r="AB641" s="40" t="s">
        <v>1795</v>
      </c>
    </row>
    <row r="642" spans="1:28" x14ac:dyDescent="0.25">
      <c r="A642">
        <v>99910641</v>
      </c>
      <c r="B642" t="s">
        <v>32</v>
      </c>
      <c r="C642" t="s">
        <v>141</v>
      </c>
      <c r="D642" t="s">
        <v>142</v>
      </c>
      <c r="G642" t="s">
        <v>48</v>
      </c>
      <c r="H642">
        <v>1</v>
      </c>
      <c r="K642" t="s">
        <v>300</v>
      </c>
      <c r="L642" t="s">
        <v>301</v>
      </c>
      <c r="M642" t="s">
        <v>131</v>
      </c>
      <c r="N642">
        <v>9</v>
      </c>
      <c r="P642" t="s">
        <v>41</v>
      </c>
      <c r="Q642" t="s">
        <v>49</v>
      </c>
      <c r="R642" t="str">
        <f>"0560001"</f>
        <v>0560001</v>
      </c>
      <c r="S642" t="s">
        <v>304</v>
      </c>
      <c r="T642" t="s">
        <v>300</v>
      </c>
      <c r="U642" t="s">
        <v>301</v>
      </c>
      <c r="V642" t="s">
        <v>131</v>
      </c>
      <c r="W642" t="s">
        <v>51</v>
      </c>
      <c r="X642" t="s">
        <v>45</v>
      </c>
      <c r="Z642">
        <v>2</v>
      </c>
      <c r="AA642" t="s">
        <v>301</v>
      </c>
      <c r="AB642" s="40" t="s">
        <v>1795</v>
      </c>
    </row>
    <row r="643" spans="1:28" x14ac:dyDescent="0.25">
      <c r="A643">
        <v>99910642</v>
      </c>
      <c r="B643" t="s">
        <v>32</v>
      </c>
      <c r="C643" t="s">
        <v>71</v>
      </c>
      <c r="D643" t="s">
        <v>72</v>
      </c>
      <c r="G643" t="s">
        <v>48</v>
      </c>
      <c r="H643">
        <v>1</v>
      </c>
      <c r="K643" t="s">
        <v>300</v>
      </c>
      <c r="L643" t="s">
        <v>301</v>
      </c>
      <c r="M643" t="s">
        <v>131</v>
      </c>
      <c r="N643">
        <v>9</v>
      </c>
      <c r="P643" t="s">
        <v>41</v>
      </c>
      <c r="Q643" t="s">
        <v>49</v>
      </c>
      <c r="R643" t="str">
        <f>"0560001"</f>
        <v>0560001</v>
      </c>
      <c r="S643" t="s">
        <v>304</v>
      </c>
      <c r="T643" t="s">
        <v>300</v>
      </c>
      <c r="U643" t="s">
        <v>301</v>
      </c>
      <c r="V643" t="s">
        <v>131</v>
      </c>
      <c r="W643" t="s">
        <v>51</v>
      </c>
      <c r="X643" t="s">
        <v>45</v>
      </c>
      <c r="Z643">
        <v>2</v>
      </c>
      <c r="AA643" t="s">
        <v>301</v>
      </c>
      <c r="AB643" s="40" t="s">
        <v>1795</v>
      </c>
    </row>
    <row r="644" spans="1:28" x14ac:dyDescent="0.25">
      <c r="A644">
        <v>99910643</v>
      </c>
      <c r="B644" t="s">
        <v>32</v>
      </c>
      <c r="C644" t="s">
        <v>33</v>
      </c>
      <c r="D644" t="s">
        <v>34</v>
      </c>
      <c r="G644" t="s">
        <v>35</v>
      </c>
      <c r="H644">
        <v>1</v>
      </c>
      <c r="I644">
        <v>16635</v>
      </c>
      <c r="J644" s="1">
        <v>43430</v>
      </c>
      <c r="K644" t="s">
        <v>345</v>
      </c>
      <c r="L644" t="s">
        <v>346</v>
      </c>
      <c r="M644" t="s">
        <v>131</v>
      </c>
      <c r="N644">
        <v>9</v>
      </c>
      <c r="O644" s="1">
        <v>43430</v>
      </c>
      <c r="P644" t="s">
        <v>41</v>
      </c>
      <c r="Q644" t="s">
        <v>42</v>
      </c>
      <c r="R644" t="str">
        <f>"0580615"</f>
        <v>0580615</v>
      </c>
      <c r="S644" t="s">
        <v>364</v>
      </c>
      <c r="T644" t="s">
        <v>345</v>
      </c>
      <c r="U644" t="s">
        <v>346</v>
      </c>
      <c r="V644" t="s">
        <v>131</v>
      </c>
      <c r="W644" t="s">
        <v>44</v>
      </c>
      <c r="X644" t="s">
        <v>45</v>
      </c>
      <c r="Z644">
        <v>2</v>
      </c>
      <c r="AA644" t="s">
        <v>346</v>
      </c>
      <c r="AB644" s="40" t="s">
        <v>1795</v>
      </c>
    </row>
    <row r="645" spans="1:28" x14ac:dyDescent="0.25">
      <c r="A645">
        <v>99910644</v>
      </c>
      <c r="B645" t="s">
        <v>32</v>
      </c>
      <c r="C645" t="s">
        <v>117</v>
      </c>
      <c r="D645" t="s">
        <v>118</v>
      </c>
      <c r="G645" t="s">
        <v>48</v>
      </c>
      <c r="H645">
        <v>1</v>
      </c>
      <c r="K645" t="s">
        <v>1631</v>
      </c>
      <c r="L645" t="s">
        <v>1632</v>
      </c>
      <c r="M645" t="s">
        <v>1592</v>
      </c>
      <c r="N645">
        <v>9</v>
      </c>
      <c r="P645" t="s">
        <v>41</v>
      </c>
      <c r="Q645" t="s">
        <v>75</v>
      </c>
      <c r="R645" t="str">
        <f>"7021000"</f>
        <v>7021000</v>
      </c>
      <c r="S645" t="s">
        <v>1633</v>
      </c>
      <c r="T645" t="s">
        <v>1631</v>
      </c>
      <c r="U645" t="s">
        <v>1632</v>
      </c>
      <c r="V645" t="s">
        <v>1592</v>
      </c>
      <c r="W645" t="s">
        <v>51</v>
      </c>
      <c r="X645" t="s">
        <v>45</v>
      </c>
      <c r="Z645">
        <v>1</v>
      </c>
      <c r="AA645" t="s">
        <v>1632</v>
      </c>
      <c r="AB645" s="40" t="s">
        <v>1795</v>
      </c>
    </row>
    <row r="646" spans="1:28" x14ac:dyDescent="0.25">
      <c r="A646">
        <v>99910645</v>
      </c>
      <c r="B646" t="s">
        <v>32</v>
      </c>
      <c r="C646" t="s">
        <v>64</v>
      </c>
      <c r="D646" t="s">
        <v>65</v>
      </c>
      <c r="G646" t="s">
        <v>35</v>
      </c>
      <c r="H646">
        <v>1</v>
      </c>
      <c r="I646">
        <v>17171</v>
      </c>
      <c r="J646" s="1">
        <v>43344</v>
      </c>
      <c r="K646" t="s">
        <v>300</v>
      </c>
      <c r="L646" t="s">
        <v>301</v>
      </c>
      <c r="M646" t="s">
        <v>131</v>
      </c>
      <c r="N646">
        <v>10</v>
      </c>
      <c r="O646" s="1">
        <v>43344</v>
      </c>
      <c r="P646" t="s">
        <v>41</v>
      </c>
      <c r="Q646" t="s">
        <v>49</v>
      </c>
      <c r="R646" t="str">
        <f>"0560013"</f>
        <v>0560013</v>
      </c>
      <c r="S646" t="s">
        <v>324</v>
      </c>
      <c r="T646" t="s">
        <v>300</v>
      </c>
      <c r="U646" t="s">
        <v>301</v>
      </c>
      <c r="V646" t="s">
        <v>131</v>
      </c>
      <c r="W646" t="s">
        <v>44</v>
      </c>
      <c r="X646" t="s">
        <v>45</v>
      </c>
      <c r="Y646" s="1">
        <v>33827</v>
      </c>
      <c r="Z646">
        <v>2</v>
      </c>
      <c r="AA646" t="s">
        <v>301</v>
      </c>
      <c r="AB646" s="40" t="s">
        <v>1795</v>
      </c>
    </row>
    <row r="647" spans="1:28" x14ac:dyDescent="0.25">
      <c r="A647">
        <v>99910646</v>
      </c>
      <c r="B647" t="s">
        <v>32</v>
      </c>
      <c r="C647" t="s">
        <v>111</v>
      </c>
      <c r="D647" t="s">
        <v>112</v>
      </c>
      <c r="G647" t="s">
        <v>35</v>
      </c>
      <c r="H647">
        <v>1</v>
      </c>
      <c r="K647" t="s">
        <v>431</v>
      </c>
      <c r="L647" t="s">
        <v>196</v>
      </c>
      <c r="M647" t="s">
        <v>131</v>
      </c>
      <c r="N647">
        <v>10</v>
      </c>
      <c r="P647" t="s">
        <v>41</v>
      </c>
      <c r="Q647" t="s">
        <v>75</v>
      </c>
      <c r="R647" t="str">
        <f>"7521032"</f>
        <v>7521032</v>
      </c>
      <c r="S647" t="s">
        <v>462</v>
      </c>
      <c r="T647" t="s">
        <v>431</v>
      </c>
      <c r="U647" t="s">
        <v>196</v>
      </c>
      <c r="V647" t="s">
        <v>131</v>
      </c>
      <c r="W647" t="s">
        <v>51</v>
      </c>
      <c r="X647" t="s">
        <v>45</v>
      </c>
      <c r="Y647" s="1">
        <v>33771</v>
      </c>
      <c r="Z647">
        <v>1</v>
      </c>
      <c r="AA647" t="s">
        <v>196</v>
      </c>
      <c r="AB647" s="40" t="s">
        <v>1795</v>
      </c>
    </row>
    <row r="648" spans="1:28" x14ac:dyDescent="0.25">
      <c r="A648">
        <v>99910647</v>
      </c>
      <c r="B648" t="s">
        <v>32</v>
      </c>
      <c r="C648" t="s">
        <v>111</v>
      </c>
      <c r="D648" t="s">
        <v>112</v>
      </c>
      <c r="G648" t="s">
        <v>35</v>
      </c>
      <c r="H648">
        <v>1</v>
      </c>
      <c r="K648" t="s">
        <v>431</v>
      </c>
      <c r="L648" t="s">
        <v>196</v>
      </c>
      <c r="M648" t="s">
        <v>131</v>
      </c>
      <c r="N648">
        <v>10</v>
      </c>
      <c r="P648" t="s">
        <v>41</v>
      </c>
      <c r="Q648" t="s">
        <v>75</v>
      </c>
      <c r="R648" t="str">
        <f>"7521032"</f>
        <v>7521032</v>
      </c>
      <c r="S648" t="s">
        <v>462</v>
      </c>
      <c r="T648" t="s">
        <v>431</v>
      </c>
      <c r="U648" t="s">
        <v>196</v>
      </c>
      <c r="V648" t="s">
        <v>131</v>
      </c>
      <c r="W648" t="s">
        <v>51</v>
      </c>
      <c r="X648" t="s">
        <v>45</v>
      </c>
      <c r="Y648" s="1">
        <v>33723</v>
      </c>
      <c r="Z648">
        <v>1</v>
      </c>
      <c r="AA648" t="s">
        <v>196</v>
      </c>
      <c r="AB648" s="40" t="s">
        <v>1795</v>
      </c>
    </row>
    <row r="649" spans="1:28" x14ac:dyDescent="0.25">
      <c r="A649">
        <v>99910648</v>
      </c>
      <c r="B649" t="s">
        <v>56</v>
      </c>
      <c r="C649" t="s">
        <v>259</v>
      </c>
      <c r="D649" t="s">
        <v>260</v>
      </c>
      <c r="G649" t="s">
        <v>35</v>
      </c>
      <c r="H649">
        <v>1</v>
      </c>
      <c r="I649">
        <v>4616</v>
      </c>
      <c r="J649" s="1">
        <v>43350</v>
      </c>
      <c r="K649" t="s">
        <v>919</v>
      </c>
      <c r="L649" t="s">
        <v>920</v>
      </c>
      <c r="M649" t="s">
        <v>921</v>
      </c>
      <c r="N649">
        <v>10</v>
      </c>
      <c r="O649" s="1">
        <v>43350</v>
      </c>
      <c r="P649" t="s">
        <v>41</v>
      </c>
      <c r="Q649" t="s">
        <v>922</v>
      </c>
      <c r="R649" t="str">
        <f>"5162001"</f>
        <v>5162001</v>
      </c>
      <c r="S649" t="s">
        <v>923</v>
      </c>
      <c r="T649" t="s">
        <v>919</v>
      </c>
      <c r="U649" t="s">
        <v>920</v>
      </c>
      <c r="V649" t="s">
        <v>921</v>
      </c>
      <c r="W649" t="s">
        <v>44</v>
      </c>
      <c r="X649" t="s">
        <v>45</v>
      </c>
      <c r="Y649" s="1">
        <v>33604</v>
      </c>
      <c r="Z649">
        <v>2</v>
      </c>
      <c r="AA649" t="s">
        <v>920</v>
      </c>
      <c r="AB649" s="40" t="s">
        <v>1795</v>
      </c>
    </row>
    <row r="650" spans="1:28" x14ac:dyDescent="0.25">
      <c r="A650">
        <v>99910649</v>
      </c>
      <c r="B650" t="s">
        <v>32</v>
      </c>
      <c r="C650" t="s">
        <v>46</v>
      </c>
      <c r="D650" t="s">
        <v>47</v>
      </c>
      <c r="G650" t="s">
        <v>35</v>
      </c>
      <c r="H650">
        <v>1</v>
      </c>
      <c r="I650">
        <v>12816</v>
      </c>
      <c r="J650" s="1">
        <v>43405</v>
      </c>
      <c r="K650" t="s">
        <v>1325</v>
      </c>
      <c r="L650" t="s">
        <v>1326</v>
      </c>
      <c r="M650" t="s">
        <v>1270</v>
      </c>
      <c r="N650">
        <v>10</v>
      </c>
      <c r="O650" s="1">
        <v>43405</v>
      </c>
      <c r="R650" t="str">
        <f>""</f>
        <v/>
      </c>
      <c r="U650" t="s">
        <v>1326</v>
      </c>
      <c r="V650" t="s">
        <v>1270</v>
      </c>
      <c r="W650" t="s">
        <v>44</v>
      </c>
      <c r="X650" t="s">
        <v>45</v>
      </c>
      <c r="Y650" s="1">
        <v>32716</v>
      </c>
      <c r="Z650">
        <v>2</v>
      </c>
      <c r="AA650" t="s">
        <v>1326</v>
      </c>
      <c r="AB650" s="40" t="s">
        <v>1795</v>
      </c>
    </row>
    <row r="651" spans="1:28" x14ac:dyDescent="0.25">
      <c r="A651">
        <v>99910650</v>
      </c>
      <c r="B651" t="s">
        <v>32</v>
      </c>
      <c r="C651" t="s">
        <v>61</v>
      </c>
      <c r="D651" t="s">
        <v>62</v>
      </c>
      <c r="G651" t="s">
        <v>35</v>
      </c>
      <c r="H651">
        <v>1</v>
      </c>
      <c r="I651" t="s">
        <v>727</v>
      </c>
      <c r="J651" s="1">
        <v>43344</v>
      </c>
      <c r="K651" t="s">
        <v>268</v>
      </c>
      <c r="L651" t="s">
        <v>269</v>
      </c>
      <c r="M651" t="s">
        <v>131</v>
      </c>
      <c r="N651">
        <v>10</v>
      </c>
      <c r="O651" s="1">
        <v>43344</v>
      </c>
      <c r="P651" t="s">
        <v>41</v>
      </c>
      <c r="Q651" t="s">
        <v>75</v>
      </c>
      <c r="R651" t="str">
        <f>"7052028"</f>
        <v>7052028</v>
      </c>
      <c r="S651" t="s">
        <v>601</v>
      </c>
      <c r="T651" t="s">
        <v>268</v>
      </c>
      <c r="U651" t="s">
        <v>269</v>
      </c>
      <c r="V651" t="s">
        <v>131</v>
      </c>
      <c r="W651" t="s">
        <v>44</v>
      </c>
      <c r="X651" t="s">
        <v>45</v>
      </c>
      <c r="Y651" s="1">
        <v>32625</v>
      </c>
      <c r="Z651">
        <v>1</v>
      </c>
      <c r="AA651" t="s">
        <v>269</v>
      </c>
      <c r="AB651" s="40" t="s">
        <v>1795</v>
      </c>
    </row>
    <row r="652" spans="1:28" x14ac:dyDescent="0.25">
      <c r="A652">
        <v>99910651</v>
      </c>
      <c r="B652" t="s">
        <v>56</v>
      </c>
      <c r="C652" t="s">
        <v>259</v>
      </c>
      <c r="D652" t="s">
        <v>260</v>
      </c>
      <c r="G652" t="s">
        <v>35</v>
      </c>
      <c r="H652">
        <v>1</v>
      </c>
      <c r="I652" t="s">
        <v>338</v>
      </c>
      <c r="J652" s="1">
        <v>43344</v>
      </c>
      <c r="K652" t="s">
        <v>300</v>
      </c>
      <c r="L652" t="s">
        <v>301</v>
      </c>
      <c r="M652" t="s">
        <v>131</v>
      </c>
      <c r="N652">
        <v>10</v>
      </c>
      <c r="O652" s="1">
        <v>43344</v>
      </c>
      <c r="P652" t="s">
        <v>41</v>
      </c>
      <c r="Q652" t="s">
        <v>49</v>
      </c>
      <c r="R652" t="str">
        <f>"0560020"</f>
        <v>0560020</v>
      </c>
      <c r="S652" t="s">
        <v>302</v>
      </c>
      <c r="T652" t="s">
        <v>300</v>
      </c>
      <c r="U652" t="s">
        <v>301</v>
      </c>
      <c r="V652" t="s">
        <v>131</v>
      </c>
      <c r="W652" t="s">
        <v>51</v>
      </c>
      <c r="X652" t="s">
        <v>45</v>
      </c>
      <c r="Y652" s="1">
        <v>32298</v>
      </c>
      <c r="Z652">
        <v>2</v>
      </c>
      <c r="AA652" t="s">
        <v>301</v>
      </c>
      <c r="AB652" s="40" t="s">
        <v>1795</v>
      </c>
    </row>
    <row r="653" spans="1:28" x14ac:dyDescent="0.25">
      <c r="A653">
        <v>99910652</v>
      </c>
      <c r="B653" t="s">
        <v>56</v>
      </c>
      <c r="C653" t="s">
        <v>85</v>
      </c>
      <c r="D653" t="s">
        <v>86</v>
      </c>
      <c r="G653" t="s">
        <v>35</v>
      </c>
      <c r="H653">
        <v>1</v>
      </c>
      <c r="I653" t="s">
        <v>202</v>
      </c>
      <c r="J653" s="1">
        <v>43361</v>
      </c>
      <c r="K653" t="s">
        <v>157</v>
      </c>
      <c r="L653" t="s">
        <v>158</v>
      </c>
      <c r="M653" t="s">
        <v>131</v>
      </c>
      <c r="N653">
        <v>10</v>
      </c>
      <c r="O653" s="1">
        <v>43361</v>
      </c>
      <c r="P653" t="s">
        <v>41</v>
      </c>
      <c r="Q653" t="s">
        <v>42</v>
      </c>
      <c r="R653" t="str">
        <f>"0561005"</f>
        <v>0561005</v>
      </c>
      <c r="S653" t="s">
        <v>174</v>
      </c>
      <c r="T653" t="s">
        <v>157</v>
      </c>
      <c r="U653" t="s">
        <v>158</v>
      </c>
      <c r="V653" t="s">
        <v>131</v>
      </c>
      <c r="W653" t="s">
        <v>44</v>
      </c>
      <c r="X653" t="s">
        <v>45</v>
      </c>
      <c r="Y653" s="1">
        <v>32093</v>
      </c>
      <c r="Z653">
        <v>2</v>
      </c>
      <c r="AA653" t="s">
        <v>158</v>
      </c>
      <c r="AB653" s="40" t="s">
        <v>1795</v>
      </c>
    </row>
    <row r="654" spans="1:28" x14ac:dyDescent="0.25">
      <c r="A654">
        <v>99910653</v>
      </c>
      <c r="B654" t="s">
        <v>32</v>
      </c>
      <c r="C654" t="s">
        <v>46</v>
      </c>
      <c r="D654" t="s">
        <v>47</v>
      </c>
      <c r="G654" t="s">
        <v>35</v>
      </c>
      <c r="H654">
        <v>1</v>
      </c>
      <c r="I654" t="s">
        <v>1607</v>
      </c>
      <c r="J654" s="1">
        <v>43348</v>
      </c>
      <c r="K654" t="s">
        <v>1590</v>
      </c>
      <c r="L654" t="s">
        <v>1591</v>
      </c>
      <c r="M654" t="s">
        <v>1592</v>
      </c>
      <c r="N654">
        <v>10</v>
      </c>
      <c r="O654" s="1">
        <v>43348</v>
      </c>
      <c r="P654" t="s">
        <v>41</v>
      </c>
      <c r="Q654" t="s">
        <v>49</v>
      </c>
      <c r="R654" t="str">
        <f>"0260001"</f>
        <v>0260001</v>
      </c>
      <c r="S654" t="s">
        <v>1595</v>
      </c>
      <c r="T654" t="s">
        <v>1590</v>
      </c>
      <c r="U654" t="s">
        <v>1591</v>
      </c>
      <c r="V654" t="s">
        <v>1592</v>
      </c>
      <c r="W654" t="s">
        <v>44</v>
      </c>
      <c r="X654" t="s">
        <v>45</v>
      </c>
      <c r="Y654" s="1">
        <v>31985</v>
      </c>
      <c r="Z654">
        <v>2</v>
      </c>
      <c r="AA654" t="s">
        <v>1591</v>
      </c>
      <c r="AB654" s="40" t="s">
        <v>1795</v>
      </c>
    </row>
    <row r="655" spans="1:28" x14ac:dyDescent="0.25">
      <c r="A655">
        <v>99910654</v>
      </c>
      <c r="B655" t="s">
        <v>32</v>
      </c>
      <c r="C655" t="s">
        <v>71</v>
      </c>
      <c r="D655" t="s">
        <v>72</v>
      </c>
      <c r="G655" t="s">
        <v>48</v>
      </c>
      <c r="H655">
        <v>1</v>
      </c>
      <c r="K655" t="s">
        <v>1613</v>
      </c>
      <c r="L655" t="s">
        <v>1614</v>
      </c>
      <c r="M655" t="s">
        <v>1592</v>
      </c>
      <c r="N655">
        <v>10</v>
      </c>
      <c r="P655" t="s">
        <v>41</v>
      </c>
      <c r="Q655" t="s">
        <v>49</v>
      </c>
      <c r="R655" t="str">
        <f>"2860001"</f>
        <v>2860001</v>
      </c>
      <c r="S655" t="s">
        <v>1616</v>
      </c>
      <c r="T655" t="s">
        <v>1613</v>
      </c>
      <c r="U655" t="s">
        <v>1614</v>
      </c>
      <c r="V655" t="s">
        <v>1592</v>
      </c>
      <c r="W655" t="s">
        <v>51</v>
      </c>
      <c r="X655" t="s">
        <v>45</v>
      </c>
      <c r="Y655" s="1">
        <v>31719</v>
      </c>
      <c r="Z655">
        <v>2</v>
      </c>
      <c r="AA655" t="s">
        <v>1614</v>
      </c>
      <c r="AB655" s="40" t="s">
        <v>1795</v>
      </c>
    </row>
    <row r="656" spans="1:28" x14ac:dyDescent="0.25">
      <c r="A656">
        <v>99910655</v>
      </c>
      <c r="B656" t="s">
        <v>56</v>
      </c>
      <c r="C656" t="s">
        <v>143</v>
      </c>
      <c r="D656" t="s">
        <v>144</v>
      </c>
      <c r="G656" t="s">
        <v>35</v>
      </c>
      <c r="H656">
        <v>1</v>
      </c>
      <c r="I656" t="s">
        <v>1532</v>
      </c>
      <c r="J656" s="1">
        <v>43344</v>
      </c>
      <c r="K656" t="s">
        <v>667</v>
      </c>
      <c r="L656" t="s">
        <v>669</v>
      </c>
      <c r="M656" t="s">
        <v>670</v>
      </c>
      <c r="N656">
        <v>10</v>
      </c>
      <c r="O656" s="1">
        <v>43344</v>
      </c>
      <c r="P656" t="s">
        <v>41</v>
      </c>
      <c r="Q656" t="s">
        <v>75</v>
      </c>
      <c r="R656" t="str">
        <f>"7501004"</f>
        <v>7501004</v>
      </c>
      <c r="S656" t="s">
        <v>1500</v>
      </c>
      <c r="T656" t="s">
        <v>667</v>
      </c>
      <c r="U656" t="s">
        <v>669</v>
      </c>
      <c r="V656" t="s">
        <v>670</v>
      </c>
      <c r="W656" t="s">
        <v>44</v>
      </c>
      <c r="X656" t="s">
        <v>45</v>
      </c>
      <c r="Y656" s="1">
        <v>31589</v>
      </c>
      <c r="Z656">
        <v>1</v>
      </c>
      <c r="AA656" t="s">
        <v>669</v>
      </c>
      <c r="AB656" s="40" t="s">
        <v>1795</v>
      </c>
    </row>
    <row r="657" spans="1:29" x14ac:dyDescent="0.25">
      <c r="A657">
        <v>99910656</v>
      </c>
      <c r="B657" t="s">
        <v>32</v>
      </c>
      <c r="C657" t="s">
        <v>58</v>
      </c>
      <c r="D657" t="s">
        <v>59</v>
      </c>
      <c r="G657" t="s">
        <v>48</v>
      </c>
      <c r="H657">
        <v>1</v>
      </c>
      <c r="K657" t="s">
        <v>380</v>
      </c>
      <c r="L657" t="s">
        <v>381</v>
      </c>
      <c r="M657" t="s">
        <v>131</v>
      </c>
      <c r="N657">
        <v>10</v>
      </c>
      <c r="P657" t="s">
        <v>41</v>
      </c>
      <c r="Q657" t="s">
        <v>49</v>
      </c>
      <c r="R657" t="str">
        <f>"0591908"</f>
        <v>0591908</v>
      </c>
      <c r="S657" t="s">
        <v>383</v>
      </c>
      <c r="T657" t="s">
        <v>380</v>
      </c>
      <c r="U657" t="s">
        <v>381</v>
      </c>
      <c r="V657" t="s">
        <v>131</v>
      </c>
      <c r="W657" t="s">
        <v>51</v>
      </c>
      <c r="X657" t="s">
        <v>45</v>
      </c>
      <c r="Y657" s="1">
        <v>31574</v>
      </c>
      <c r="Z657">
        <v>2</v>
      </c>
      <c r="AA657" t="s">
        <v>381</v>
      </c>
      <c r="AB657" s="40" t="s">
        <v>1795</v>
      </c>
    </row>
    <row r="658" spans="1:29" x14ac:dyDescent="0.25">
      <c r="A658">
        <v>99910657</v>
      </c>
      <c r="B658" t="s">
        <v>32</v>
      </c>
      <c r="C658" t="s">
        <v>139</v>
      </c>
      <c r="D658" t="s">
        <v>140</v>
      </c>
      <c r="G658" t="s">
        <v>48</v>
      </c>
      <c r="H658">
        <v>1</v>
      </c>
      <c r="K658" t="s">
        <v>1566</v>
      </c>
      <c r="L658" t="s">
        <v>1567</v>
      </c>
      <c r="M658" t="s">
        <v>1548</v>
      </c>
      <c r="N658">
        <v>10</v>
      </c>
      <c r="P658" t="s">
        <v>41</v>
      </c>
      <c r="Q658" t="s">
        <v>49</v>
      </c>
      <c r="R658" t="str">
        <f>"2960001"</f>
        <v>2960001</v>
      </c>
      <c r="S658" t="s">
        <v>1569</v>
      </c>
      <c r="T658" t="s">
        <v>1566</v>
      </c>
      <c r="U658" t="s">
        <v>1567</v>
      </c>
      <c r="V658" t="s">
        <v>1548</v>
      </c>
      <c r="W658" t="s">
        <v>51</v>
      </c>
      <c r="X658" t="s">
        <v>45</v>
      </c>
      <c r="Y658" s="1">
        <v>31362</v>
      </c>
      <c r="Z658">
        <v>2</v>
      </c>
      <c r="AA658" t="s">
        <v>1567</v>
      </c>
      <c r="AB658" s="40" t="s">
        <v>1795</v>
      </c>
    </row>
    <row r="659" spans="1:29" x14ac:dyDescent="0.25">
      <c r="A659">
        <v>99910658</v>
      </c>
      <c r="B659" t="s">
        <v>32</v>
      </c>
      <c r="C659" t="s">
        <v>52</v>
      </c>
      <c r="D659" t="s">
        <v>53</v>
      </c>
      <c r="G659" t="s">
        <v>35</v>
      </c>
      <c r="H659">
        <v>1</v>
      </c>
      <c r="I659" t="s">
        <v>1494</v>
      </c>
      <c r="J659" s="1">
        <v>43041</v>
      </c>
      <c r="K659" t="s">
        <v>1487</v>
      </c>
      <c r="L659" t="s">
        <v>1488</v>
      </c>
      <c r="M659" t="s">
        <v>670</v>
      </c>
      <c r="N659">
        <v>10</v>
      </c>
      <c r="O659" s="1">
        <v>43041</v>
      </c>
      <c r="P659" t="s">
        <v>41</v>
      </c>
      <c r="Q659" t="s">
        <v>42</v>
      </c>
      <c r="R659" t="str">
        <f>"1780020"</f>
        <v>1780020</v>
      </c>
      <c r="S659" t="s">
        <v>1490</v>
      </c>
      <c r="T659" t="s">
        <v>1487</v>
      </c>
      <c r="U659" t="s">
        <v>1488</v>
      </c>
      <c r="V659" t="s">
        <v>670</v>
      </c>
      <c r="W659" t="s">
        <v>44</v>
      </c>
      <c r="X659" t="s">
        <v>45</v>
      </c>
      <c r="Y659" s="1">
        <v>31261</v>
      </c>
      <c r="Z659">
        <v>2</v>
      </c>
      <c r="AA659" t="s">
        <v>1488</v>
      </c>
      <c r="AB659" s="40" t="s">
        <v>1795</v>
      </c>
    </row>
    <row r="660" spans="1:29" x14ac:dyDescent="0.25">
      <c r="A660">
        <v>99910659</v>
      </c>
      <c r="B660" t="s">
        <v>32</v>
      </c>
      <c r="C660" t="s">
        <v>46</v>
      </c>
      <c r="D660" t="s">
        <v>47</v>
      </c>
      <c r="G660" t="s">
        <v>35</v>
      </c>
      <c r="H660">
        <v>1</v>
      </c>
      <c r="I660">
        <v>12095</v>
      </c>
      <c r="J660" s="1">
        <v>43344</v>
      </c>
      <c r="K660" t="s">
        <v>345</v>
      </c>
      <c r="L660" t="s">
        <v>346</v>
      </c>
      <c r="M660" t="s">
        <v>131</v>
      </c>
      <c r="N660">
        <v>10</v>
      </c>
      <c r="O660" s="1">
        <v>43344</v>
      </c>
      <c r="P660" t="s">
        <v>41</v>
      </c>
      <c r="Q660" t="s">
        <v>49</v>
      </c>
      <c r="R660" t="str">
        <f>"0560032"</f>
        <v>0560032</v>
      </c>
      <c r="S660" t="s">
        <v>347</v>
      </c>
      <c r="T660" t="s">
        <v>345</v>
      </c>
      <c r="U660" t="s">
        <v>346</v>
      </c>
      <c r="V660" t="s">
        <v>131</v>
      </c>
      <c r="W660" t="s">
        <v>44</v>
      </c>
      <c r="X660" t="s">
        <v>45</v>
      </c>
      <c r="Y660" s="1">
        <v>31239</v>
      </c>
      <c r="Z660">
        <v>2</v>
      </c>
      <c r="AA660" t="s">
        <v>346</v>
      </c>
      <c r="AB660" s="40" t="s">
        <v>1795</v>
      </c>
    </row>
    <row r="661" spans="1:29" x14ac:dyDescent="0.25">
      <c r="A661">
        <v>99910660</v>
      </c>
      <c r="B661" t="s">
        <v>32</v>
      </c>
      <c r="C661" t="s">
        <v>79</v>
      </c>
      <c r="D661" t="s">
        <v>80</v>
      </c>
      <c r="G661" t="s">
        <v>48</v>
      </c>
      <c r="H661">
        <v>1</v>
      </c>
      <c r="K661" t="s">
        <v>380</v>
      </c>
      <c r="L661" t="s">
        <v>381</v>
      </c>
      <c r="M661" t="s">
        <v>131</v>
      </c>
      <c r="N661">
        <v>10</v>
      </c>
      <c r="P661" t="s">
        <v>41</v>
      </c>
      <c r="Q661" t="s">
        <v>42</v>
      </c>
      <c r="R661" t="str">
        <f>"0561010"</f>
        <v>0561010</v>
      </c>
      <c r="S661" t="s">
        <v>387</v>
      </c>
      <c r="T661" t="s">
        <v>380</v>
      </c>
      <c r="U661" t="s">
        <v>381</v>
      </c>
      <c r="V661" t="s">
        <v>131</v>
      </c>
      <c r="W661" t="s">
        <v>51</v>
      </c>
      <c r="X661" t="s">
        <v>45</v>
      </c>
      <c r="Y661" s="1">
        <v>31187</v>
      </c>
      <c r="Z661">
        <v>2</v>
      </c>
      <c r="AA661" t="s">
        <v>381</v>
      </c>
      <c r="AB661" s="40" t="s">
        <v>1795</v>
      </c>
    </row>
    <row r="662" spans="1:29" x14ac:dyDescent="0.25">
      <c r="A662">
        <v>99910661</v>
      </c>
      <c r="B662" t="s">
        <v>32</v>
      </c>
      <c r="C662" t="s">
        <v>79</v>
      </c>
      <c r="D662" t="s">
        <v>80</v>
      </c>
      <c r="G662" t="s">
        <v>35</v>
      </c>
      <c r="H662">
        <v>1</v>
      </c>
      <c r="I662" t="s">
        <v>510</v>
      </c>
      <c r="J662" s="1">
        <v>42982</v>
      </c>
      <c r="K662" t="s">
        <v>431</v>
      </c>
      <c r="L662" t="s">
        <v>196</v>
      </c>
      <c r="M662" t="s">
        <v>131</v>
      </c>
      <c r="N662">
        <v>10</v>
      </c>
      <c r="O662" s="1">
        <v>42982</v>
      </c>
      <c r="P662" t="s">
        <v>41</v>
      </c>
      <c r="Q662" t="s">
        <v>95</v>
      </c>
      <c r="R662" t="str">
        <f>"7521019"</f>
        <v>7521019</v>
      </c>
      <c r="S662" t="s">
        <v>511</v>
      </c>
      <c r="T662" t="s">
        <v>431</v>
      </c>
      <c r="U662" t="s">
        <v>196</v>
      </c>
      <c r="V662" t="s">
        <v>131</v>
      </c>
      <c r="W662" t="s">
        <v>44</v>
      </c>
      <c r="X662" t="s">
        <v>45</v>
      </c>
      <c r="Y662" s="1">
        <v>31048</v>
      </c>
      <c r="Z662">
        <v>1</v>
      </c>
      <c r="AA662" t="s">
        <v>196</v>
      </c>
      <c r="AB662" s="40" t="s">
        <v>1795</v>
      </c>
    </row>
    <row r="663" spans="1:29" x14ac:dyDescent="0.25">
      <c r="A663">
        <v>99910662</v>
      </c>
      <c r="B663" t="s">
        <v>32</v>
      </c>
      <c r="C663" t="s">
        <v>85</v>
      </c>
      <c r="D663" t="s">
        <v>86</v>
      </c>
      <c r="G663" t="s">
        <v>48</v>
      </c>
      <c r="H663">
        <v>1</v>
      </c>
      <c r="K663" t="s">
        <v>1590</v>
      </c>
      <c r="L663" t="s">
        <v>1591</v>
      </c>
      <c r="M663" t="s">
        <v>1592</v>
      </c>
      <c r="N663">
        <v>10</v>
      </c>
      <c r="P663" t="s">
        <v>41</v>
      </c>
      <c r="Q663" t="s">
        <v>49</v>
      </c>
      <c r="R663" t="str">
        <f>"0260002"</f>
        <v>0260002</v>
      </c>
      <c r="S663" t="s">
        <v>1593</v>
      </c>
      <c r="T663" t="s">
        <v>1590</v>
      </c>
      <c r="U663" t="s">
        <v>1591</v>
      </c>
      <c r="V663" t="s">
        <v>1592</v>
      </c>
      <c r="W663" t="s">
        <v>51</v>
      </c>
      <c r="X663" t="s">
        <v>45</v>
      </c>
      <c r="Y663" s="1">
        <v>30684</v>
      </c>
      <c r="Z663">
        <v>2</v>
      </c>
      <c r="AA663" t="s">
        <v>1591</v>
      </c>
      <c r="AB663" s="40" t="s">
        <v>1795</v>
      </c>
    </row>
    <row r="664" spans="1:29" x14ac:dyDescent="0.25">
      <c r="A664">
        <v>99910663</v>
      </c>
      <c r="B664" t="s">
        <v>56</v>
      </c>
      <c r="C664" t="s">
        <v>58</v>
      </c>
      <c r="D664" t="s">
        <v>59</v>
      </c>
      <c r="G664" t="s">
        <v>48</v>
      </c>
      <c r="H664">
        <v>1</v>
      </c>
      <c r="I664" t="s">
        <v>212</v>
      </c>
      <c r="J664" s="1">
        <v>41614</v>
      </c>
      <c r="K664" t="s">
        <v>345</v>
      </c>
      <c r="L664" t="s">
        <v>346</v>
      </c>
      <c r="M664" t="s">
        <v>131</v>
      </c>
      <c r="N664">
        <v>10</v>
      </c>
      <c r="O664" s="1">
        <v>41614</v>
      </c>
      <c r="P664" t="s">
        <v>41</v>
      </c>
      <c r="Q664" t="s">
        <v>49</v>
      </c>
      <c r="R664" t="str">
        <f>"0581605"</f>
        <v>0581605</v>
      </c>
      <c r="S664" t="s">
        <v>366</v>
      </c>
      <c r="T664" t="s">
        <v>345</v>
      </c>
      <c r="U664" t="s">
        <v>346</v>
      </c>
      <c r="V664" t="s">
        <v>131</v>
      </c>
      <c r="W664" t="s">
        <v>51</v>
      </c>
      <c r="X664" t="s">
        <v>45</v>
      </c>
      <c r="Y664" s="1">
        <v>30682</v>
      </c>
      <c r="Z664">
        <v>2</v>
      </c>
      <c r="AA664" t="s">
        <v>346</v>
      </c>
      <c r="AB664" s="40" t="s">
        <v>1795</v>
      </c>
      <c r="AC664" s="36"/>
    </row>
    <row r="665" spans="1:29" x14ac:dyDescent="0.25">
      <c r="A665">
        <v>99910664</v>
      </c>
      <c r="B665" t="s">
        <v>32</v>
      </c>
      <c r="C665" t="s">
        <v>46</v>
      </c>
      <c r="D665" t="s">
        <v>47</v>
      </c>
      <c r="G665" t="s">
        <v>48</v>
      </c>
      <c r="H665">
        <v>1</v>
      </c>
      <c r="K665" t="s">
        <v>162</v>
      </c>
      <c r="L665" t="s">
        <v>158</v>
      </c>
      <c r="M665" t="s">
        <v>131</v>
      </c>
      <c r="N665">
        <v>10</v>
      </c>
      <c r="P665" t="s">
        <v>41</v>
      </c>
      <c r="Q665" t="s">
        <v>49</v>
      </c>
      <c r="R665" t="str">
        <f>"0581350"</f>
        <v>0581350</v>
      </c>
      <c r="S665" t="s">
        <v>187</v>
      </c>
      <c r="T665" t="s">
        <v>162</v>
      </c>
      <c r="U665" t="s">
        <v>158</v>
      </c>
      <c r="V665" t="s">
        <v>131</v>
      </c>
      <c r="W665" t="s">
        <v>51</v>
      </c>
      <c r="X665" t="s">
        <v>45</v>
      </c>
      <c r="Y665" s="1">
        <v>30272</v>
      </c>
      <c r="Z665">
        <v>2</v>
      </c>
      <c r="AA665" t="s">
        <v>158</v>
      </c>
      <c r="AB665" s="40" t="s">
        <v>1795</v>
      </c>
    </row>
    <row r="666" spans="1:29" x14ac:dyDescent="0.25">
      <c r="A666">
        <v>99910665</v>
      </c>
      <c r="B666" t="s">
        <v>56</v>
      </c>
      <c r="C666" t="s">
        <v>71</v>
      </c>
      <c r="D666" t="s">
        <v>72</v>
      </c>
      <c r="G666" t="s">
        <v>35</v>
      </c>
      <c r="H666">
        <v>1</v>
      </c>
      <c r="I666" t="s">
        <v>1158</v>
      </c>
      <c r="J666" s="1">
        <v>43344</v>
      </c>
      <c r="K666" t="s">
        <v>1128</v>
      </c>
      <c r="L666" t="s">
        <v>1129</v>
      </c>
      <c r="M666" t="s">
        <v>1130</v>
      </c>
      <c r="N666">
        <v>10</v>
      </c>
      <c r="O666" s="1">
        <v>43344</v>
      </c>
      <c r="P666" t="s">
        <v>41</v>
      </c>
      <c r="Q666" t="s">
        <v>49</v>
      </c>
      <c r="R666" t="str">
        <f>"3160002"</f>
        <v>3160002</v>
      </c>
      <c r="S666" t="s">
        <v>1143</v>
      </c>
      <c r="T666" t="s">
        <v>1128</v>
      </c>
      <c r="U666" t="s">
        <v>1129</v>
      </c>
      <c r="V666" t="s">
        <v>1130</v>
      </c>
      <c r="W666" t="s">
        <v>44</v>
      </c>
      <c r="X666" t="s">
        <v>45</v>
      </c>
      <c r="Y666" s="1">
        <v>30264</v>
      </c>
      <c r="Z666">
        <v>2</v>
      </c>
      <c r="AA666" t="s">
        <v>1129</v>
      </c>
      <c r="AB666" s="40" t="s">
        <v>1795</v>
      </c>
    </row>
    <row r="667" spans="1:29" x14ac:dyDescent="0.25">
      <c r="A667">
        <v>99910666</v>
      </c>
      <c r="B667" t="s">
        <v>32</v>
      </c>
      <c r="C667" t="s">
        <v>64</v>
      </c>
      <c r="D667" t="s">
        <v>65</v>
      </c>
      <c r="G667" t="s">
        <v>35</v>
      </c>
      <c r="H667">
        <v>1</v>
      </c>
      <c r="I667" t="s">
        <v>739</v>
      </c>
      <c r="J667" s="1">
        <v>43344</v>
      </c>
      <c r="K667" t="s">
        <v>268</v>
      </c>
      <c r="L667" t="s">
        <v>269</v>
      </c>
      <c r="M667" t="s">
        <v>131</v>
      </c>
      <c r="N667">
        <v>10</v>
      </c>
      <c r="O667" s="1">
        <v>43344</v>
      </c>
      <c r="P667" t="s">
        <v>41</v>
      </c>
      <c r="Q667" t="s">
        <v>75</v>
      </c>
      <c r="R667" t="str">
        <f>"7052020"</f>
        <v>7052020</v>
      </c>
      <c r="S667" t="s">
        <v>267</v>
      </c>
      <c r="T667" t="s">
        <v>268</v>
      </c>
      <c r="U667" t="s">
        <v>269</v>
      </c>
      <c r="V667" t="s">
        <v>131</v>
      </c>
      <c r="W667" t="s">
        <v>51</v>
      </c>
      <c r="X667" t="s">
        <v>45</v>
      </c>
      <c r="Y667" s="1">
        <v>30233</v>
      </c>
      <c r="Z667">
        <v>1</v>
      </c>
      <c r="AA667" t="s">
        <v>269</v>
      </c>
      <c r="AB667" s="40" t="s">
        <v>1795</v>
      </c>
    </row>
    <row r="668" spans="1:29" x14ac:dyDescent="0.25">
      <c r="A668">
        <v>99910667</v>
      </c>
      <c r="B668" t="s">
        <v>32</v>
      </c>
      <c r="C668" t="s">
        <v>64</v>
      </c>
      <c r="D668" t="s">
        <v>65</v>
      </c>
      <c r="G668" t="s">
        <v>35</v>
      </c>
      <c r="H668">
        <v>1</v>
      </c>
      <c r="I668" t="s">
        <v>1137</v>
      </c>
      <c r="J668" s="1">
        <v>43344</v>
      </c>
      <c r="K668" t="s">
        <v>1128</v>
      </c>
      <c r="L668" t="s">
        <v>1129</v>
      </c>
      <c r="M668" t="s">
        <v>1130</v>
      </c>
      <c r="N668">
        <v>10</v>
      </c>
      <c r="O668" s="1">
        <v>43344</v>
      </c>
      <c r="P668" t="s">
        <v>41</v>
      </c>
      <c r="Q668" t="s">
        <v>49</v>
      </c>
      <c r="R668" t="str">
        <f>"3181015"</f>
        <v>3181015</v>
      </c>
      <c r="S668" t="s">
        <v>1131</v>
      </c>
      <c r="T668" t="s">
        <v>1128</v>
      </c>
      <c r="U668" t="s">
        <v>1129</v>
      </c>
      <c r="V668" t="s">
        <v>1130</v>
      </c>
      <c r="W668" t="s">
        <v>51</v>
      </c>
      <c r="X668" t="s">
        <v>45</v>
      </c>
      <c r="Y668" s="1">
        <v>30200</v>
      </c>
      <c r="Z668">
        <v>2</v>
      </c>
      <c r="AA668" t="s">
        <v>1129</v>
      </c>
      <c r="AB668" s="40" t="s">
        <v>1795</v>
      </c>
    </row>
    <row r="669" spans="1:29" x14ac:dyDescent="0.25">
      <c r="A669">
        <v>99910668</v>
      </c>
      <c r="B669" t="s">
        <v>32</v>
      </c>
      <c r="C669" t="s">
        <v>52</v>
      </c>
      <c r="D669" t="s">
        <v>53</v>
      </c>
      <c r="G669" t="s">
        <v>35</v>
      </c>
      <c r="H669">
        <v>1</v>
      </c>
      <c r="K669" t="s">
        <v>1546</v>
      </c>
      <c r="L669" t="s">
        <v>1547</v>
      </c>
      <c r="M669" t="s">
        <v>1548</v>
      </c>
      <c r="N669">
        <v>10</v>
      </c>
      <c r="P669" t="s">
        <v>41</v>
      </c>
      <c r="Q669" t="s">
        <v>49</v>
      </c>
      <c r="R669" t="str">
        <f>"1081010"</f>
        <v>1081010</v>
      </c>
      <c r="S669" t="s">
        <v>1552</v>
      </c>
      <c r="T669" t="s">
        <v>1546</v>
      </c>
      <c r="U669" t="s">
        <v>1547</v>
      </c>
      <c r="V669" t="s">
        <v>1548</v>
      </c>
      <c r="W669" t="s">
        <v>51</v>
      </c>
      <c r="X669" t="s">
        <v>45</v>
      </c>
      <c r="Y669" s="1">
        <v>30194</v>
      </c>
      <c r="Z669">
        <v>2</v>
      </c>
      <c r="AA669" t="s">
        <v>1547</v>
      </c>
      <c r="AB669" s="40" t="s">
        <v>1795</v>
      </c>
    </row>
    <row r="670" spans="1:29" x14ac:dyDescent="0.25">
      <c r="A670">
        <v>99910669</v>
      </c>
      <c r="B670" t="s">
        <v>56</v>
      </c>
      <c r="C670" t="s">
        <v>68</v>
      </c>
      <c r="D670" t="s">
        <v>69</v>
      </c>
      <c r="G670" t="s">
        <v>35</v>
      </c>
      <c r="H670">
        <v>1</v>
      </c>
      <c r="K670" t="s">
        <v>300</v>
      </c>
      <c r="L670" t="s">
        <v>301</v>
      </c>
      <c r="M670" t="s">
        <v>131</v>
      </c>
      <c r="N670">
        <v>10</v>
      </c>
      <c r="P670" t="s">
        <v>41</v>
      </c>
      <c r="Q670" t="s">
        <v>42</v>
      </c>
      <c r="R670" t="str">
        <f>"0580457"</f>
        <v>0580457</v>
      </c>
      <c r="S670" t="s">
        <v>310</v>
      </c>
      <c r="T670" t="s">
        <v>300</v>
      </c>
      <c r="U670" t="s">
        <v>301</v>
      </c>
      <c r="V670" t="s">
        <v>131</v>
      </c>
      <c r="W670" t="s">
        <v>51</v>
      </c>
      <c r="X670" t="s">
        <v>45</v>
      </c>
      <c r="Y670" s="1">
        <v>30167</v>
      </c>
      <c r="Z670">
        <v>2</v>
      </c>
      <c r="AA670" t="s">
        <v>301</v>
      </c>
      <c r="AB670" s="40" t="s">
        <v>1795</v>
      </c>
    </row>
    <row r="671" spans="1:29" x14ac:dyDescent="0.25">
      <c r="A671">
        <v>99910670</v>
      </c>
      <c r="B671" t="s">
        <v>32</v>
      </c>
      <c r="C671" t="s">
        <v>71</v>
      </c>
      <c r="D671" t="s">
        <v>72</v>
      </c>
      <c r="G671" t="s">
        <v>35</v>
      </c>
      <c r="H671">
        <v>1</v>
      </c>
      <c r="I671">
        <v>16870</v>
      </c>
      <c r="J671" s="1">
        <v>43344</v>
      </c>
      <c r="K671" t="s">
        <v>354</v>
      </c>
      <c r="L671" t="s">
        <v>355</v>
      </c>
      <c r="M671" t="s">
        <v>131</v>
      </c>
      <c r="N671">
        <v>10</v>
      </c>
      <c r="O671" s="1">
        <v>43344</v>
      </c>
      <c r="P671" t="s">
        <v>41</v>
      </c>
      <c r="Q671" t="s">
        <v>75</v>
      </c>
      <c r="R671" t="str">
        <f>"7054012"</f>
        <v>7054012</v>
      </c>
      <c r="S671" t="s">
        <v>353</v>
      </c>
      <c r="T671" t="s">
        <v>354</v>
      </c>
      <c r="U671" t="s">
        <v>355</v>
      </c>
      <c r="V671" t="s">
        <v>131</v>
      </c>
      <c r="W671" t="s">
        <v>51</v>
      </c>
      <c r="X671" t="s">
        <v>45</v>
      </c>
      <c r="Y671" s="1">
        <v>29952</v>
      </c>
      <c r="Z671">
        <v>1</v>
      </c>
      <c r="AA671" t="s">
        <v>355</v>
      </c>
      <c r="AB671" s="40" t="s">
        <v>1795</v>
      </c>
    </row>
    <row r="672" spans="1:29" x14ac:dyDescent="0.25">
      <c r="A672">
        <v>99910671</v>
      </c>
      <c r="B672" t="s">
        <v>32</v>
      </c>
      <c r="C672" t="s">
        <v>71</v>
      </c>
      <c r="D672" t="s">
        <v>72</v>
      </c>
      <c r="G672" t="s">
        <v>35</v>
      </c>
      <c r="H672">
        <v>3</v>
      </c>
      <c r="I672" t="s">
        <v>1679</v>
      </c>
      <c r="J672" s="1">
        <v>43354</v>
      </c>
      <c r="K672" t="s">
        <v>1619</v>
      </c>
      <c r="L672" t="s">
        <v>1620</v>
      </c>
      <c r="M672" t="s">
        <v>1592</v>
      </c>
      <c r="N672">
        <v>10</v>
      </c>
      <c r="O672" s="1">
        <v>43354</v>
      </c>
      <c r="P672" t="s">
        <v>41</v>
      </c>
      <c r="Q672" t="s">
        <v>75</v>
      </c>
      <c r="R672" t="str">
        <f>"7281004"</f>
        <v>7281004</v>
      </c>
      <c r="S672" t="s">
        <v>1651</v>
      </c>
      <c r="T672" t="s">
        <v>1619</v>
      </c>
      <c r="U672" t="s">
        <v>1620</v>
      </c>
      <c r="V672" t="s">
        <v>1592</v>
      </c>
      <c r="W672" t="s">
        <v>51</v>
      </c>
      <c r="X672" t="s">
        <v>45</v>
      </c>
      <c r="Y672" s="1">
        <v>29952</v>
      </c>
      <c r="Z672">
        <v>1</v>
      </c>
      <c r="AA672" t="s">
        <v>1620</v>
      </c>
      <c r="AB672" s="40" t="s">
        <v>1795</v>
      </c>
    </row>
    <row r="673" spans="1:28" x14ac:dyDescent="0.25">
      <c r="A673">
        <v>99910672</v>
      </c>
      <c r="B673" t="s">
        <v>32</v>
      </c>
      <c r="C673" t="s">
        <v>64</v>
      </c>
      <c r="D673" t="s">
        <v>65</v>
      </c>
      <c r="G673" t="s">
        <v>35</v>
      </c>
      <c r="H673">
        <v>1</v>
      </c>
      <c r="I673" t="s">
        <v>375</v>
      </c>
      <c r="J673" s="1">
        <v>43344</v>
      </c>
      <c r="K673" t="s">
        <v>345</v>
      </c>
      <c r="L673" t="s">
        <v>346</v>
      </c>
      <c r="M673" t="s">
        <v>131</v>
      </c>
      <c r="N673">
        <v>10</v>
      </c>
      <c r="O673" s="1">
        <v>43344</v>
      </c>
      <c r="P673" t="s">
        <v>41</v>
      </c>
      <c r="Q673" t="s">
        <v>49</v>
      </c>
      <c r="R673" t="str">
        <f>"0561021"</f>
        <v>0561021</v>
      </c>
      <c r="S673" t="s">
        <v>352</v>
      </c>
      <c r="T673" t="s">
        <v>345</v>
      </c>
      <c r="U673" t="s">
        <v>346</v>
      </c>
      <c r="V673" t="s">
        <v>131</v>
      </c>
      <c r="W673" t="s">
        <v>51</v>
      </c>
      <c r="X673" t="s">
        <v>45</v>
      </c>
      <c r="Y673" s="1">
        <v>29798</v>
      </c>
      <c r="Z673">
        <v>2</v>
      </c>
      <c r="AA673" t="s">
        <v>346</v>
      </c>
      <c r="AB673" s="40" t="s">
        <v>1795</v>
      </c>
    </row>
    <row r="674" spans="1:28" x14ac:dyDescent="0.25">
      <c r="A674">
        <v>99910673</v>
      </c>
      <c r="B674" t="s">
        <v>32</v>
      </c>
      <c r="C674" t="s">
        <v>64</v>
      </c>
      <c r="D674" t="s">
        <v>65</v>
      </c>
      <c r="G674" t="s">
        <v>48</v>
      </c>
      <c r="H674">
        <v>1</v>
      </c>
      <c r="K674" t="s">
        <v>1198</v>
      </c>
      <c r="L674" t="s">
        <v>1199</v>
      </c>
      <c r="M674" t="s">
        <v>1130</v>
      </c>
      <c r="N674">
        <v>10</v>
      </c>
      <c r="P674" t="s">
        <v>41</v>
      </c>
      <c r="Q674" t="s">
        <v>75</v>
      </c>
      <c r="R674" t="str">
        <f>"7311008"</f>
        <v>7311008</v>
      </c>
      <c r="S674" t="s">
        <v>1205</v>
      </c>
      <c r="T674" t="s">
        <v>1198</v>
      </c>
      <c r="U674" t="s">
        <v>1199</v>
      </c>
      <c r="V674" t="s">
        <v>1130</v>
      </c>
      <c r="W674" t="s">
        <v>51</v>
      </c>
      <c r="X674" t="s">
        <v>45</v>
      </c>
      <c r="Y674" s="1">
        <v>29642</v>
      </c>
      <c r="Z674">
        <v>1</v>
      </c>
      <c r="AA674" t="s">
        <v>1199</v>
      </c>
      <c r="AB674" s="40" t="s">
        <v>1795</v>
      </c>
    </row>
    <row r="675" spans="1:28" x14ac:dyDescent="0.25">
      <c r="A675">
        <v>99910674</v>
      </c>
      <c r="B675" t="s">
        <v>32</v>
      </c>
      <c r="C675" t="s">
        <v>61</v>
      </c>
      <c r="D675" t="s">
        <v>62</v>
      </c>
      <c r="G675" t="s">
        <v>35</v>
      </c>
      <c r="H675">
        <v>1</v>
      </c>
      <c r="I675">
        <v>1</v>
      </c>
      <c r="J675" s="1">
        <v>43344</v>
      </c>
      <c r="K675" t="s">
        <v>1198</v>
      </c>
      <c r="L675" t="s">
        <v>1199</v>
      </c>
      <c r="M675" t="s">
        <v>1130</v>
      </c>
      <c r="N675">
        <v>10</v>
      </c>
      <c r="O675" s="1">
        <v>43344</v>
      </c>
      <c r="P675" t="s">
        <v>41</v>
      </c>
      <c r="Q675" t="s">
        <v>75</v>
      </c>
      <c r="R675" t="str">
        <f>"7311010"</f>
        <v>7311010</v>
      </c>
      <c r="S675" t="s">
        <v>1202</v>
      </c>
      <c r="T675" t="s">
        <v>1198</v>
      </c>
      <c r="U675" t="s">
        <v>1199</v>
      </c>
      <c r="V675" t="s">
        <v>1130</v>
      </c>
      <c r="W675" t="s">
        <v>44</v>
      </c>
      <c r="X675" t="s">
        <v>45</v>
      </c>
      <c r="Y675" s="1">
        <v>29587</v>
      </c>
      <c r="Z675">
        <v>1</v>
      </c>
      <c r="AA675" t="s">
        <v>1199</v>
      </c>
      <c r="AB675" s="40" t="s">
        <v>1795</v>
      </c>
    </row>
    <row r="676" spans="1:28" x14ac:dyDescent="0.25">
      <c r="A676">
        <v>99910675</v>
      </c>
      <c r="B676" t="s">
        <v>32</v>
      </c>
      <c r="C676" t="s">
        <v>71</v>
      </c>
      <c r="D676" t="s">
        <v>72</v>
      </c>
      <c r="G676" t="s">
        <v>35</v>
      </c>
      <c r="H676">
        <v>1</v>
      </c>
      <c r="I676">
        <v>1</v>
      </c>
      <c r="J676" s="1">
        <v>43344</v>
      </c>
      <c r="K676" t="s">
        <v>1198</v>
      </c>
      <c r="L676" t="s">
        <v>1199</v>
      </c>
      <c r="M676" t="s">
        <v>1130</v>
      </c>
      <c r="N676">
        <v>10</v>
      </c>
      <c r="O676" s="1">
        <v>43344</v>
      </c>
      <c r="P676" t="s">
        <v>41</v>
      </c>
      <c r="Q676" t="s">
        <v>75</v>
      </c>
      <c r="R676" t="str">
        <f>"7311010"</f>
        <v>7311010</v>
      </c>
      <c r="S676" t="s">
        <v>1202</v>
      </c>
      <c r="T676" t="s">
        <v>1198</v>
      </c>
      <c r="U676" t="s">
        <v>1199</v>
      </c>
      <c r="V676" t="s">
        <v>1130</v>
      </c>
      <c r="W676" t="s">
        <v>51</v>
      </c>
      <c r="X676" t="s">
        <v>45</v>
      </c>
      <c r="Y676" s="1">
        <v>29587</v>
      </c>
      <c r="Z676">
        <v>1</v>
      </c>
      <c r="AA676" t="s">
        <v>1199</v>
      </c>
      <c r="AB676" s="40" t="s">
        <v>1795</v>
      </c>
    </row>
    <row r="677" spans="1:28" x14ac:dyDescent="0.25">
      <c r="A677">
        <v>99910676</v>
      </c>
      <c r="B677" t="s">
        <v>32</v>
      </c>
      <c r="C677" t="s">
        <v>71</v>
      </c>
      <c r="D677" t="s">
        <v>72</v>
      </c>
      <c r="G677" t="s">
        <v>35</v>
      </c>
      <c r="H677">
        <v>1</v>
      </c>
      <c r="I677" t="s">
        <v>1493</v>
      </c>
      <c r="J677" s="1">
        <v>43344</v>
      </c>
      <c r="K677" t="s">
        <v>1487</v>
      </c>
      <c r="L677" t="s">
        <v>1488</v>
      </c>
      <c r="M677" t="s">
        <v>670</v>
      </c>
      <c r="N677">
        <v>10</v>
      </c>
      <c r="O677" s="1">
        <v>43344</v>
      </c>
      <c r="P677" t="s">
        <v>41</v>
      </c>
      <c r="Q677" t="s">
        <v>49</v>
      </c>
      <c r="R677" t="str">
        <f>"1760001"</f>
        <v>1760001</v>
      </c>
      <c r="S677" t="s">
        <v>1489</v>
      </c>
      <c r="T677" t="s">
        <v>1487</v>
      </c>
      <c r="U677" t="s">
        <v>1488</v>
      </c>
      <c r="V677" t="s">
        <v>670</v>
      </c>
      <c r="W677" t="s">
        <v>51</v>
      </c>
      <c r="X677" t="s">
        <v>45</v>
      </c>
      <c r="Y677" s="1">
        <v>29587</v>
      </c>
      <c r="Z677">
        <v>2</v>
      </c>
      <c r="AA677" t="s">
        <v>1488</v>
      </c>
      <c r="AB677" s="40" t="s">
        <v>1795</v>
      </c>
    </row>
    <row r="678" spans="1:28" x14ac:dyDescent="0.25">
      <c r="A678">
        <v>99910677</v>
      </c>
      <c r="B678" t="s">
        <v>32</v>
      </c>
      <c r="C678" t="s">
        <v>46</v>
      </c>
      <c r="D678" t="s">
        <v>47</v>
      </c>
      <c r="G678" t="s">
        <v>35</v>
      </c>
      <c r="H678">
        <v>1</v>
      </c>
      <c r="I678" t="s">
        <v>1145</v>
      </c>
      <c r="J678" s="1">
        <v>43356</v>
      </c>
      <c r="K678" t="s">
        <v>1128</v>
      </c>
      <c r="L678" t="s">
        <v>1129</v>
      </c>
      <c r="M678" t="s">
        <v>1130</v>
      </c>
      <c r="N678">
        <v>10</v>
      </c>
      <c r="O678" s="1">
        <v>43356</v>
      </c>
      <c r="P678" t="s">
        <v>41</v>
      </c>
      <c r="Q678" t="s">
        <v>49</v>
      </c>
      <c r="R678" t="str">
        <f>"3160003"</f>
        <v>3160003</v>
      </c>
      <c r="S678" t="s">
        <v>1146</v>
      </c>
      <c r="T678" t="s">
        <v>1128</v>
      </c>
      <c r="U678" t="s">
        <v>1129</v>
      </c>
      <c r="V678" t="s">
        <v>1130</v>
      </c>
      <c r="W678" t="s">
        <v>44</v>
      </c>
      <c r="X678" t="s">
        <v>45</v>
      </c>
      <c r="Y678" s="1">
        <v>29502</v>
      </c>
      <c r="Z678">
        <v>2</v>
      </c>
      <c r="AA678" t="s">
        <v>1129</v>
      </c>
      <c r="AB678" s="40" t="s">
        <v>1795</v>
      </c>
    </row>
    <row r="679" spans="1:28" x14ac:dyDescent="0.25">
      <c r="A679">
        <v>99910678</v>
      </c>
      <c r="B679" t="s">
        <v>32</v>
      </c>
      <c r="C679" t="s">
        <v>64</v>
      </c>
      <c r="D679" t="s">
        <v>65</v>
      </c>
      <c r="G679" t="s">
        <v>35</v>
      </c>
      <c r="H679">
        <v>1</v>
      </c>
      <c r="K679" t="s">
        <v>223</v>
      </c>
      <c r="L679" t="s">
        <v>224</v>
      </c>
      <c r="M679" t="s">
        <v>131</v>
      </c>
      <c r="N679">
        <v>10</v>
      </c>
      <c r="P679" t="s">
        <v>41</v>
      </c>
      <c r="Q679" t="s">
        <v>49</v>
      </c>
      <c r="R679" t="str">
        <f>"0540902"</f>
        <v>0540902</v>
      </c>
      <c r="S679" t="s">
        <v>256</v>
      </c>
      <c r="T679" t="s">
        <v>223</v>
      </c>
      <c r="U679" t="s">
        <v>224</v>
      </c>
      <c r="V679" t="s">
        <v>131</v>
      </c>
      <c r="W679" t="s">
        <v>51</v>
      </c>
      <c r="X679" t="s">
        <v>45</v>
      </c>
      <c r="Y679" s="1">
        <v>29325</v>
      </c>
      <c r="Z679">
        <v>2</v>
      </c>
      <c r="AA679" t="s">
        <v>224</v>
      </c>
      <c r="AB679" s="40" t="s">
        <v>1795</v>
      </c>
    </row>
    <row r="680" spans="1:28" x14ac:dyDescent="0.25">
      <c r="A680">
        <v>99910679</v>
      </c>
      <c r="B680" t="s">
        <v>32</v>
      </c>
      <c r="C680" t="s">
        <v>82</v>
      </c>
      <c r="D680" t="s">
        <v>83</v>
      </c>
      <c r="G680" t="s">
        <v>48</v>
      </c>
      <c r="H680">
        <v>9</v>
      </c>
      <c r="K680" t="s">
        <v>1268</v>
      </c>
      <c r="L680" t="s">
        <v>1269</v>
      </c>
      <c r="M680" t="s">
        <v>1270</v>
      </c>
      <c r="N680">
        <v>10</v>
      </c>
      <c r="P680" t="s">
        <v>41</v>
      </c>
      <c r="Q680" t="s">
        <v>49</v>
      </c>
      <c r="R680" t="str">
        <f>"1981911"</f>
        <v>1981911</v>
      </c>
      <c r="S680" t="s">
        <v>1286</v>
      </c>
      <c r="T680" t="s">
        <v>1268</v>
      </c>
      <c r="U680" t="s">
        <v>1269</v>
      </c>
      <c r="V680" t="s">
        <v>1270</v>
      </c>
      <c r="W680" t="s">
        <v>51</v>
      </c>
      <c r="X680" t="s">
        <v>45</v>
      </c>
      <c r="Y680" s="1">
        <v>29270</v>
      </c>
      <c r="Z680">
        <v>2</v>
      </c>
      <c r="AA680" t="s">
        <v>1269</v>
      </c>
      <c r="AB680" s="40" t="s">
        <v>1795</v>
      </c>
    </row>
    <row r="681" spans="1:28" x14ac:dyDescent="0.25">
      <c r="A681">
        <v>99910680</v>
      </c>
      <c r="B681" t="s">
        <v>32</v>
      </c>
      <c r="C681" t="s">
        <v>61</v>
      </c>
      <c r="D681" t="s">
        <v>62</v>
      </c>
      <c r="G681" t="s">
        <v>35</v>
      </c>
      <c r="H681">
        <v>2</v>
      </c>
      <c r="I681" t="s">
        <v>1240</v>
      </c>
      <c r="J681" s="1">
        <v>43344</v>
      </c>
      <c r="K681" t="s">
        <v>1221</v>
      </c>
      <c r="L681" t="s">
        <v>1222</v>
      </c>
      <c r="M681" t="s">
        <v>1130</v>
      </c>
      <c r="N681">
        <v>10</v>
      </c>
      <c r="O681" s="1">
        <v>43344</v>
      </c>
      <c r="P681" t="s">
        <v>41</v>
      </c>
      <c r="Q681" t="s">
        <v>75</v>
      </c>
      <c r="R681" t="str">
        <f>"7351000"</f>
        <v>7351000</v>
      </c>
      <c r="S681" t="s">
        <v>1223</v>
      </c>
      <c r="T681" t="s">
        <v>1221</v>
      </c>
      <c r="U681" t="s">
        <v>1222</v>
      </c>
      <c r="V681" t="s">
        <v>1130</v>
      </c>
      <c r="W681" t="s">
        <v>51</v>
      </c>
      <c r="X681" t="s">
        <v>45</v>
      </c>
      <c r="Y681" s="1">
        <v>29221</v>
      </c>
      <c r="Z681">
        <v>1</v>
      </c>
      <c r="AA681" t="s">
        <v>1222</v>
      </c>
      <c r="AB681" s="40" t="s">
        <v>1795</v>
      </c>
    </row>
    <row r="682" spans="1:28" x14ac:dyDescent="0.25">
      <c r="A682">
        <v>99910681</v>
      </c>
      <c r="B682" t="s">
        <v>56</v>
      </c>
      <c r="C682" t="s">
        <v>68</v>
      </c>
      <c r="D682" t="s">
        <v>69</v>
      </c>
      <c r="G682" t="s">
        <v>48</v>
      </c>
      <c r="H682">
        <v>1</v>
      </c>
      <c r="K682" t="s">
        <v>1613</v>
      </c>
      <c r="L682" t="s">
        <v>1614</v>
      </c>
      <c r="M682" t="s">
        <v>1592</v>
      </c>
      <c r="N682">
        <v>10</v>
      </c>
      <c r="P682" t="s">
        <v>41</v>
      </c>
      <c r="Q682" t="s">
        <v>42</v>
      </c>
      <c r="R682" t="str">
        <f>"2861001"</f>
        <v>2861001</v>
      </c>
      <c r="S682" t="s">
        <v>1621</v>
      </c>
      <c r="T682" t="s">
        <v>1613</v>
      </c>
      <c r="U682" t="s">
        <v>1614</v>
      </c>
      <c r="V682" t="s">
        <v>1592</v>
      </c>
      <c r="W682" t="s">
        <v>51</v>
      </c>
      <c r="X682" t="s">
        <v>45</v>
      </c>
      <c r="Y682" s="1">
        <v>29176</v>
      </c>
      <c r="Z682">
        <v>2</v>
      </c>
      <c r="AA682" t="s">
        <v>1614</v>
      </c>
      <c r="AB682" s="40" t="s">
        <v>1795</v>
      </c>
    </row>
    <row r="683" spans="1:28" x14ac:dyDescent="0.25">
      <c r="A683">
        <v>99910682</v>
      </c>
      <c r="B683" t="s">
        <v>32</v>
      </c>
      <c r="C683" t="s">
        <v>139</v>
      </c>
      <c r="D683" t="s">
        <v>140</v>
      </c>
      <c r="G683" t="s">
        <v>48</v>
      </c>
      <c r="H683">
        <v>1</v>
      </c>
      <c r="K683" t="s">
        <v>1487</v>
      </c>
      <c r="L683" t="s">
        <v>1488</v>
      </c>
      <c r="M683" t="s">
        <v>670</v>
      </c>
      <c r="N683">
        <v>10</v>
      </c>
      <c r="P683" t="s">
        <v>41</v>
      </c>
      <c r="Q683" t="s">
        <v>49</v>
      </c>
      <c r="R683" t="str">
        <f>"1760001"</f>
        <v>1760001</v>
      </c>
      <c r="S683" t="s">
        <v>1489</v>
      </c>
      <c r="T683" t="s">
        <v>1487</v>
      </c>
      <c r="U683" t="s">
        <v>1488</v>
      </c>
      <c r="V683" t="s">
        <v>670</v>
      </c>
      <c r="W683" t="s">
        <v>51</v>
      </c>
      <c r="X683" t="s">
        <v>45</v>
      </c>
      <c r="Y683" s="1">
        <v>29170</v>
      </c>
      <c r="Z683">
        <v>2</v>
      </c>
      <c r="AA683" t="s">
        <v>1488</v>
      </c>
      <c r="AB683" s="40" t="s">
        <v>1795</v>
      </c>
    </row>
    <row r="684" spans="1:28" x14ac:dyDescent="0.25">
      <c r="A684">
        <v>99910683</v>
      </c>
      <c r="B684" t="s">
        <v>56</v>
      </c>
      <c r="C684" t="s">
        <v>85</v>
      </c>
      <c r="D684" t="s">
        <v>86</v>
      </c>
      <c r="G684" t="s">
        <v>35</v>
      </c>
      <c r="H684">
        <v>1</v>
      </c>
      <c r="K684" t="s">
        <v>1051</v>
      </c>
      <c r="L684" t="s">
        <v>1052</v>
      </c>
      <c r="M684" t="s">
        <v>1053</v>
      </c>
      <c r="N684">
        <v>10</v>
      </c>
      <c r="P684" t="s">
        <v>41</v>
      </c>
      <c r="Q684" t="s">
        <v>49</v>
      </c>
      <c r="R684" t="str">
        <f>"2060001"</f>
        <v>2060001</v>
      </c>
      <c r="S684" t="s">
        <v>1066</v>
      </c>
      <c r="T684" t="s">
        <v>1051</v>
      </c>
      <c r="U684" t="s">
        <v>1052</v>
      </c>
      <c r="V684" t="s">
        <v>1053</v>
      </c>
      <c r="W684" t="s">
        <v>51</v>
      </c>
      <c r="X684" t="s">
        <v>45</v>
      </c>
      <c r="Y684" s="1">
        <v>29127</v>
      </c>
      <c r="Z684">
        <v>2</v>
      </c>
      <c r="AA684" t="s">
        <v>1052</v>
      </c>
      <c r="AB684" s="40" t="s">
        <v>1795</v>
      </c>
    </row>
    <row r="685" spans="1:28" x14ac:dyDescent="0.25">
      <c r="A685">
        <v>99910684</v>
      </c>
      <c r="B685" t="s">
        <v>32</v>
      </c>
      <c r="C685" t="s">
        <v>64</v>
      </c>
      <c r="D685" t="s">
        <v>65</v>
      </c>
      <c r="G685" t="s">
        <v>35</v>
      </c>
      <c r="H685">
        <v>3</v>
      </c>
      <c r="I685" s="1">
        <v>42625</v>
      </c>
      <c r="J685" s="1">
        <v>43344</v>
      </c>
      <c r="K685" t="s">
        <v>129</v>
      </c>
      <c r="L685" t="s">
        <v>130</v>
      </c>
      <c r="M685" t="s">
        <v>131</v>
      </c>
      <c r="N685">
        <v>10</v>
      </c>
      <c r="O685" s="1">
        <v>43344</v>
      </c>
      <c r="P685" t="s">
        <v>41</v>
      </c>
      <c r="Q685" t="s">
        <v>49</v>
      </c>
      <c r="R685" t="str">
        <f>"0580150"</f>
        <v>0580150</v>
      </c>
      <c r="S685" t="s">
        <v>134</v>
      </c>
      <c r="T685" t="s">
        <v>129</v>
      </c>
      <c r="U685" t="s">
        <v>130</v>
      </c>
      <c r="V685" t="s">
        <v>131</v>
      </c>
      <c r="W685" t="s">
        <v>51</v>
      </c>
      <c r="X685" t="s">
        <v>45</v>
      </c>
      <c r="Y685" s="1">
        <v>29012</v>
      </c>
      <c r="Z685">
        <v>2</v>
      </c>
      <c r="AA685" t="s">
        <v>130</v>
      </c>
      <c r="AB685" s="40" t="s">
        <v>1795</v>
      </c>
    </row>
    <row r="686" spans="1:28" x14ac:dyDescent="0.25">
      <c r="A686">
        <v>99910685</v>
      </c>
      <c r="B686" t="s">
        <v>32</v>
      </c>
      <c r="C686" t="s">
        <v>136</v>
      </c>
      <c r="D686" t="s">
        <v>137</v>
      </c>
      <c r="G686" t="s">
        <v>48</v>
      </c>
      <c r="H686">
        <v>1</v>
      </c>
      <c r="K686" t="s">
        <v>129</v>
      </c>
      <c r="L686" t="s">
        <v>130</v>
      </c>
      <c r="M686" t="s">
        <v>131</v>
      </c>
      <c r="N686">
        <v>10</v>
      </c>
      <c r="P686" t="s">
        <v>41</v>
      </c>
      <c r="Q686" t="s">
        <v>42</v>
      </c>
      <c r="R686" t="str">
        <f>"0590905"</f>
        <v>0590905</v>
      </c>
      <c r="S686" t="s">
        <v>133</v>
      </c>
      <c r="T686" t="s">
        <v>129</v>
      </c>
      <c r="U686" t="s">
        <v>130</v>
      </c>
      <c r="V686" t="s">
        <v>131</v>
      </c>
      <c r="W686" t="s">
        <v>51</v>
      </c>
      <c r="X686" t="s">
        <v>45</v>
      </c>
      <c r="Y686" s="1">
        <v>28883</v>
      </c>
      <c r="Z686">
        <v>2</v>
      </c>
      <c r="AA686" t="s">
        <v>130</v>
      </c>
      <c r="AB686" s="40" t="s">
        <v>1795</v>
      </c>
    </row>
    <row r="687" spans="1:28" x14ac:dyDescent="0.25">
      <c r="A687">
        <v>99910686</v>
      </c>
      <c r="B687" t="s">
        <v>56</v>
      </c>
      <c r="C687" t="s">
        <v>52</v>
      </c>
      <c r="D687" t="s">
        <v>53</v>
      </c>
      <c r="G687" t="s">
        <v>35</v>
      </c>
      <c r="H687">
        <v>1</v>
      </c>
      <c r="I687">
        <v>4616</v>
      </c>
      <c r="J687" s="1">
        <v>43350</v>
      </c>
      <c r="K687" t="s">
        <v>919</v>
      </c>
      <c r="L687" t="s">
        <v>920</v>
      </c>
      <c r="M687" t="s">
        <v>921</v>
      </c>
      <c r="N687">
        <v>10</v>
      </c>
      <c r="O687" s="1">
        <v>43350</v>
      </c>
      <c r="P687" t="s">
        <v>41</v>
      </c>
      <c r="Q687" t="s">
        <v>922</v>
      </c>
      <c r="R687" t="str">
        <f>"5162001"</f>
        <v>5162001</v>
      </c>
      <c r="S687" t="s">
        <v>923</v>
      </c>
      <c r="T687" t="s">
        <v>919</v>
      </c>
      <c r="U687" t="s">
        <v>920</v>
      </c>
      <c r="V687" t="s">
        <v>921</v>
      </c>
      <c r="W687" t="s">
        <v>44</v>
      </c>
      <c r="X687" t="s">
        <v>45</v>
      </c>
      <c r="Y687" s="1">
        <v>28856</v>
      </c>
      <c r="Z687">
        <v>2</v>
      </c>
      <c r="AA687" t="s">
        <v>920</v>
      </c>
      <c r="AB687" s="40" t="s">
        <v>1795</v>
      </c>
    </row>
    <row r="688" spans="1:28" x14ac:dyDescent="0.25">
      <c r="A688">
        <v>99910687</v>
      </c>
      <c r="B688" t="s">
        <v>32</v>
      </c>
      <c r="C688" t="s">
        <v>139</v>
      </c>
      <c r="D688" t="s">
        <v>140</v>
      </c>
      <c r="G688" t="s">
        <v>35</v>
      </c>
      <c r="H688">
        <v>1</v>
      </c>
      <c r="K688" t="s">
        <v>1198</v>
      </c>
      <c r="L688" t="s">
        <v>1199</v>
      </c>
      <c r="M688" t="s">
        <v>1130</v>
      </c>
      <c r="N688">
        <v>10</v>
      </c>
      <c r="P688" t="s">
        <v>41</v>
      </c>
      <c r="Q688" t="s">
        <v>75</v>
      </c>
      <c r="R688" t="str">
        <f>"7311010"</f>
        <v>7311010</v>
      </c>
      <c r="S688" t="s">
        <v>1202</v>
      </c>
      <c r="T688" t="s">
        <v>1198</v>
      </c>
      <c r="U688" t="s">
        <v>1199</v>
      </c>
      <c r="V688" t="s">
        <v>1130</v>
      </c>
      <c r="W688" t="s">
        <v>51</v>
      </c>
      <c r="X688" t="s">
        <v>45</v>
      </c>
      <c r="Y688" s="1">
        <v>28856</v>
      </c>
      <c r="Z688">
        <v>1</v>
      </c>
      <c r="AA688" t="s">
        <v>1199</v>
      </c>
      <c r="AB688" s="40" t="s">
        <v>1795</v>
      </c>
    </row>
    <row r="689" spans="1:28" x14ac:dyDescent="0.25">
      <c r="A689">
        <v>99910688</v>
      </c>
      <c r="B689" t="s">
        <v>32</v>
      </c>
      <c r="C689" t="s">
        <v>79</v>
      </c>
      <c r="D689" t="s">
        <v>80</v>
      </c>
      <c r="G689" t="s">
        <v>48</v>
      </c>
      <c r="H689">
        <v>1</v>
      </c>
      <c r="K689" t="s">
        <v>431</v>
      </c>
      <c r="L689" t="s">
        <v>196</v>
      </c>
      <c r="M689" t="s">
        <v>131</v>
      </c>
      <c r="N689">
        <v>10</v>
      </c>
      <c r="P689" t="s">
        <v>41</v>
      </c>
      <c r="Q689" t="s">
        <v>75</v>
      </c>
      <c r="R689" t="str">
        <f>"7521012"</f>
        <v>7521012</v>
      </c>
      <c r="S689" t="s">
        <v>432</v>
      </c>
      <c r="T689" t="s">
        <v>431</v>
      </c>
      <c r="U689" t="s">
        <v>196</v>
      </c>
      <c r="V689" t="s">
        <v>131</v>
      </c>
      <c r="W689" t="s">
        <v>51</v>
      </c>
      <c r="X689" t="s">
        <v>45</v>
      </c>
      <c r="Y689" s="1">
        <v>28548</v>
      </c>
      <c r="Z689">
        <v>1</v>
      </c>
      <c r="AA689" t="s">
        <v>196</v>
      </c>
      <c r="AB689" s="40" t="s">
        <v>1795</v>
      </c>
    </row>
    <row r="690" spans="1:28" x14ac:dyDescent="0.25">
      <c r="A690">
        <v>99910689</v>
      </c>
      <c r="B690" t="s">
        <v>56</v>
      </c>
      <c r="C690" t="s">
        <v>71</v>
      </c>
      <c r="D690" t="s">
        <v>72</v>
      </c>
      <c r="G690" t="s">
        <v>35</v>
      </c>
      <c r="H690">
        <v>1</v>
      </c>
      <c r="J690" s="1">
        <v>38975</v>
      </c>
      <c r="K690" t="s">
        <v>1336</v>
      </c>
      <c r="L690" t="s">
        <v>1337</v>
      </c>
      <c r="M690" t="s">
        <v>1270</v>
      </c>
      <c r="N690">
        <v>10</v>
      </c>
      <c r="O690" s="1">
        <v>38975</v>
      </c>
      <c r="P690" t="s">
        <v>41</v>
      </c>
      <c r="Q690" t="s">
        <v>49</v>
      </c>
      <c r="R690" t="str">
        <f>"4475075"</f>
        <v>4475075</v>
      </c>
      <c r="S690" t="s">
        <v>1339</v>
      </c>
      <c r="T690" t="s">
        <v>1336</v>
      </c>
      <c r="U690" t="s">
        <v>1337</v>
      </c>
      <c r="V690" t="s">
        <v>1270</v>
      </c>
      <c r="W690" t="s">
        <v>51</v>
      </c>
      <c r="X690" t="s">
        <v>45</v>
      </c>
      <c r="Y690" s="1">
        <v>28525</v>
      </c>
      <c r="Z690">
        <v>2</v>
      </c>
      <c r="AA690" t="s">
        <v>1337</v>
      </c>
      <c r="AB690" s="40" t="s">
        <v>1795</v>
      </c>
    </row>
    <row r="691" spans="1:28" x14ac:dyDescent="0.25">
      <c r="A691">
        <v>99910690</v>
      </c>
      <c r="B691" t="s">
        <v>32</v>
      </c>
      <c r="C691" t="s">
        <v>139</v>
      </c>
      <c r="D691" t="s">
        <v>140</v>
      </c>
      <c r="G691" t="s">
        <v>35</v>
      </c>
      <c r="H691">
        <v>1</v>
      </c>
      <c r="I691" t="s">
        <v>608</v>
      </c>
      <c r="J691" s="1">
        <v>43344</v>
      </c>
      <c r="K691" t="s">
        <v>268</v>
      </c>
      <c r="L691" t="s">
        <v>269</v>
      </c>
      <c r="M691" t="s">
        <v>131</v>
      </c>
      <c r="N691">
        <v>10</v>
      </c>
      <c r="O691" s="1">
        <v>43344</v>
      </c>
      <c r="P691" t="s">
        <v>41</v>
      </c>
      <c r="Q691" t="s">
        <v>75</v>
      </c>
      <c r="R691" t="str">
        <f>"7052020"</f>
        <v>7052020</v>
      </c>
      <c r="S691" t="s">
        <v>267</v>
      </c>
      <c r="T691" t="s">
        <v>268</v>
      </c>
      <c r="U691" t="s">
        <v>269</v>
      </c>
      <c r="V691" t="s">
        <v>131</v>
      </c>
      <c r="W691" t="s">
        <v>51</v>
      </c>
      <c r="X691" t="s">
        <v>45</v>
      </c>
      <c r="Y691" s="1">
        <v>28462</v>
      </c>
      <c r="Z691">
        <v>1</v>
      </c>
      <c r="AA691" t="s">
        <v>269</v>
      </c>
      <c r="AB691" s="40" t="s">
        <v>1795</v>
      </c>
    </row>
    <row r="692" spans="1:28" x14ac:dyDescent="0.25">
      <c r="A692">
        <v>99910691</v>
      </c>
      <c r="B692" t="s">
        <v>56</v>
      </c>
      <c r="C692" t="s">
        <v>52</v>
      </c>
      <c r="D692" t="s">
        <v>53</v>
      </c>
      <c r="G692" t="s">
        <v>35</v>
      </c>
      <c r="H692">
        <v>1</v>
      </c>
      <c r="I692">
        <v>7844</v>
      </c>
      <c r="J692" s="1">
        <v>43354</v>
      </c>
      <c r="K692" t="s">
        <v>1187</v>
      </c>
      <c r="L692" t="s">
        <v>1188</v>
      </c>
      <c r="M692" t="s">
        <v>1130</v>
      </c>
      <c r="N692">
        <v>10</v>
      </c>
      <c r="O692" s="1">
        <v>43354</v>
      </c>
      <c r="P692" t="s">
        <v>41</v>
      </c>
      <c r="Q692" t="s">
        <v>49</v>
      </c>
      <c r="R692" t="str">
        <f>"4581015"</f>
        <v>4581015</v>
      </c>
      <c r="S692" t="s">
        <v>1190</v>
      </c>
      <c r="T692" t="s">
        <v>1187</v>
      </c>
      <c r="U692" t="s">
        <v>1188</v>
      </c>
      <c r="V692" t="s">
        <v>1130</v>
      </c>
      <c r="W692" t="s">
        <v>44</v>
      </c>
      <c r="X692" t="s">
        <v>45</v>
      </c>
      <c r="Y692" s="1">
        <v>28458</v>
      </c>
      <c r="Z692">
        <v>2</v>
      </c>
      <c r="AA692" t="s">
        <v>1188</v>
      </c>
      <c r="AB692" s="40" t="s">
        <v>1795</v>
      </c>
    </row>
    <row r="693" spans="1:28" x14ac:dyDescent="0.25">
      <c r="A693">
        <v>99910692</v>
      </c>
      <c r="B693" t="s">
        <v>32</v>
      </c>
      <c r="C693" t="s">
        <v>139</v>
      </c>
      <c r="D693" t="s">
        <v>140</v>
      </c>
      <c r="G693" t="s">
        <v>35</v>
      </c>
      <c r="H693">
        <v>1</v>
      </c>
      <c r="I693" t="s">
        <v>608</v>
      </c>
      <c r="J693" s="1">
        <v>43344</v>
      </c>
      <c r="K693" t="s">
        <v>268</v>
      </c>
      <c r="L693" t="s">
        <v>269</v>
      </c>
      <c r="M693" t="s">
        <v>131</v>
      </c>
      <c r="N693">
        <v>10</v>
      </c>
      <c r="O693" s="1">
        <v>43344</v>
      </c>
      <c r="P693" t="s">
        <v>41</v>
      </c>
      <c r="Q693" t="s">
        <v>75</v>
      </c>
      <c r="R693" t="str">
        <f>"7052020"</f>
        <v>7052020</v>
      </c>
      <c r="S693" t="s">
        <v>267</v>
      </c>
      <c r="T693" t="s">
        <v>268</v>
      </c>
      <c r="U693" t="s">
        <v>269</v>
      </c>
      <c r="V693" t="s">
        <v>131</v>
      </c>
      <c r="W693" t="s">
        <v>51</v>
      </c>
      <c r="X693" t="s">
        <v>45</v>
      </c>
      <c r="Y693" s="1">
        <v>28384</v>
      </c>
      <c r="Z693">
        <v>1</v>
      </c>
      <c r="AA693" t="s">
        <v>269</v>
      </c>
      <c r="AB693" s="40" t="s">
        <v>1795</v>
      </c>
    </row>
    <row r="694" spans="1:28" x14ac:dyDescent="0.25">
      <c r="A694">
        <v>99910693</v>
      </c>
      <c r="B694" t="s">
        <v>32</v>
      </c>
      <c r="C694" t="s">
        <v>52</v>
      </c>
      <c r="D694" t="s">
        <v>53</v>
      </c>
      <c r="G694" t="s">
        <v>35</v>
      </c>
      <c r="H694">
        <v>1</v>
      </c>
      <c r="I694" t="s">
        <v>926</v>
      </c>
      <c r="J694" s="1">
        <v>43350</v>
      </c>
      <c r="K694" t="s">
        <v>919</v>
      </c>
      <c r="L694" t="s">
        <v>920</v>
      </c>
      <c r="M694" t="s">
        <v>921</v>
      </c>
      <c r="N694">
        <v>10</v>
      </c>
      <c r="O694" s="1">
        <v>43350</v>
      </c>
      <c r="P694" t="s">
        <v>41</v>
      </c>
      <c r="Q694" t="s">
        <v>922</v>
      </c>
      <c r="R694" t="str">
        <f>"5162001"</f>
        <v>5162001</v>
      </c>
      <c r="S694" t="s">
        <v>923</v>
      </c>
      <c r="T694" t="s">
        <v>919</v>
      </c>
      <c r="U694" t="s">
        <v>920</v>
      </c>
      <c r="V694" t="s">
        <v>921</v>
      </c>
      <c r="W694" t="s">
        <v>44</v>
      </c>
      <c r="X694" t="s">
        <v>45</v>
      </c>
      <c r="Y694" s="1">
        <v>28323</v>
      </c>
      <c r="Z694">
        <v>2</v>
      </c>
      <c r="AA694" t="s">
        <v>920</v>
      </c>
      <c r="AB694" s="40" t="s">
        <v>1795</v>
      </c>
    </row>
    <row r="695" spans="1:28" x14ac:dyDescent="0.25">
      <c r="A695">
        <v>99910694</v>
      </c>
      <c r="B695" t="s">
        <v>32</v>
      </c>
      <c r="C695" t="s">
        <v>79</v>
      </c>
      <c r="D695" t="s">
        <v>80</v>
      </c>
      <c r="G695" t="s">
        <v>48</v>
      </c>
      <c r="H695">
        <v>1</v>
      </c>
      <c r="K695" t="s">
        <v>162</v>
      </c>
      <c r="L695" t="s">
        <v>158</v>
      </c>
      <c r="M695" t="s">
        <v>131</v>
      </c>
      <c r="N695">
        <v>10</v>
      </c>
      <c r="P695" t="s">
        <v>41</v>
      </c>
      <c r="Q695" t="s">
        <v>42</v>
      </c>
      <c r="R695" t="str">
        <f>"0580325"</f>
        <v>0580325</v>
      </c>
      <c r="S695" t="s">
        <v>170</v>
      </c>
      <c r="T695" t="s">
        <v>162</v>
      </c>
      <c r="U695" t="s">
        <v>158</v>
      </c>
      <c r="V695" t="s">
        <v>131</v>
      </c>
      <c r="W695" t="s">
        <v>51</v>
      </c>
      <c r="X695" t="s">
        <v>45</v>
      </c>
      <c r="Y695" s="1">
        <v>28321</v>
      </c>
      <c r="Z695">
        <v>2</v>
      </c>
      <c r="AA695" t="s">
        <v>158</v>
      </c>
      <c r="AB695" s="40" t="s">
        <v>1795</v>
      </c>
    </row>
    <row r="696" spans="1:28" x14ac:dyDescent="0.25">
      <c r="A696">
        <v>99910695</v>
      </c>
      <c r="B696" t="s">
        <v>32</v>
      </c>
      <c r="C696" t="s">
        <v>68</v>
      </c>
      <c r="D696" t="s">
        <v>69</v>
      </c>
      <c r="G696" t="s">
        <v>48</v>
      </c>
      <c r="H696">
        <v>1</v>
      </c>
      <c r="K696" t="s">
        <v>1051</v>
      </c>
      <c r="L696" t="s">
        <v>1052</v>
      </c>
      <c r="M696" t="s">
        <v>1053</v>
      </c>
      <c r="N696">
        <v>10</v>
      </c>
      <c r="P696" t="s">
        <v>41</v>
      </c>
      <c r="Q696" t="s">
        <v>42</v>
      </c>
      <c r="R696" t="str">
        <f>"2061004"</f>
        <v>2061004</v>
      </c>
      <c r="S696" t="s">
        <v>1055</v>
      </c>
      <c r="T696" t="s">
        <v>1051</v>
      </c>
      <c r="U696" t="s">
        <v>1052</v>
      </c>
      <c r="V696" t="s">
        <v>1053</v>
      </c>
      <c r="W696" t="s">
        <v>51</v>
      </c>
      <c r="X696" t="s">
        <v>45</v>
      </c>
      <c r="Y696" s="1">
        <v>28277</v>
      </c>
      <c r="Z696">
        <v>2</v>
      </c>
      <c r="AA696" t="s">
        <v>1052</v>
      </c>
      <c r="AB696" s="40" t="s">
        <v>1795</v>
      </c>
    </row>
    <row r="697" spans="1:28" x14ac:dyDescent="0.25">
      <c r="A697">
        <v>99910696</v>
      </c>
      <c r="B697" t="s">
        <v>32</v>
      </c>
      <c r="C697" t="s">
        <v>79</v>
      </c>
      <c r="D697" t="s">
        <v>80</v>
      </c>
      <c r="G697" t="s">
        <v>48</v>
      </c>
      <c r="H697">
        <v>1</v>
      </c>
      <c r="K697" t="s">
        <v>300</v>
      </c>
      <c r="L697" t="s">
        <v>301</v>
      </c>
      <c r="M697" t="s">
        <v>131</v>
      </c>
      <c r="N697">
        <v>10</v>
      </c>
      <c r="P697" t="s">
        <v>41</v>
      </c>
      <c r="Q697" t="s">
        <v>49</v>
      </c>
      <c r="R697" t="str">
        <f>"0560029"</f>
        <v>0560029</v>
      </c>
      <c r="S697" t="s">
        <v>309</v>
      </c>
      <c r="T697" t="s">
        <v>300</v>
      </c>
      <c r="U697" t="s">
        <v>301</v>
      </c>
      <c r="V697" t="s">
        <v>131</v>
      </c>
      <c r="W697" t="s">
        <v>51</v>
      </c>
      <c r="X697" t="s">
        <v>45</v>
      </c>
      <c r="Y697" s="1">
        <v>28191</v>
      </c>
      <c r="Z697">
        <v>2</v>
      </c>
      <c r="AA697" t="s">
        <v>301</v>
      </c>
      <c r="AB697" s="40" t="s">
        <v>1795</v>
      </c>
    </row>
    <row r="698" spans="1:28" x14ac:dyDescent="0.25">
      <c r="A698">
        <v>99910697</v>
      </c>
      <c r="B698" t="s">
        <v>32</v>
      </c>
      <c r="C698" t="s">
        <v>68</v>
      </c>
      <c r="D698" t="s">
        <v>69</v>
      </c>
      <c r="G698" t="s">
        <v>35</v>
      </c>
      <c r="H698">
        <v>1</v>
      </c>
      <c r="K698" t="s">
        <v>223</v>
      </c>
      <c r="L698" t="s">
        <v>224</v>
      </c>
      <c r="M698" t="s">
        <v>131</v>
      </c>
      <c r="N698">
        <v>10</v>
      </c>
      <c r="P698" t="s">
        <v>41</v>
      </c>
      <c r="Q698" t="s">
        <v>42</v>
      </c>
      <c r="R698" t="str">
        <f>"0580200"</f>
        <v>0580200</v>
      </c>
      <c r="S698" t="s">
        <v>245</v>
      </c>
      <c r="T698" t="s">
        <v>223</v>
      </c>
      <c r="U698" t="s">
        <v>224</v>
      </c>
      <c r="V698" t="s">
        <v>131</v>
      </c>
      <c r="W698" t="s">
        <v>51</v>
      </c>
      <c r="X698" t="s">
        <v>45</v>
      </c>
      <c r="Y698" s="1">
        <v>28135</v>
      </c>
      <c r="Z698">
        <v>2</v>
      </c>
      <c r="AA698" t="s">
        <v>224</v>
      </c>
      <c r="AB698" s="40" t="s">
        <v>1795</v>
      </c>
    </row>
    <row r="699" spans="1:28" x14ac:dyDescent="0.25">
      <c r="A699">
        <v>99910698</v>
      </c>
      <c r="B699" t="s">
        <v>32</v>
      </c>
      <c r="C699" t="s">
        <v>139</v>
      </c>
      <c r="D699" t="s">
        <v>140</v>
      </c>
      <c r="G699" t="s">
        <v>35</v>
      </c>
      <c r="H699">
        <v>1</v>
      </c>
      <c r="I699" t="s">
        <v>608</v>
      </c>
      <c r="J699" s="1">
        <v>43344</v>
      </c>
      <c r="K699" t="s">
        <v>268</v>
      </c>
      <c r="L699" t="s">
        <v>269</v>
      </c>
      <c r="M699" t="s">
        <v>131</v>
      </c>
      <c r="N699">
        <v>10</v>
      </c>
      <c r="O699" s="1">
        <v>43344</v>
      </c>
      <c r="P699" t="s">
        <v>41</v>
      </c>
      <c r="Q699" t="s">
        <v>75</v>
      </c>
      <c r="R699" t="str">
        <f>"7052020"</f>
        <v>7052020</v>
      </c>
      <c r="S699" t="s">
        <v>267</v>
      </c>
      <c r="T699" t="s">
        <v>268</v>
      </c>
      <c r="U699" t="s">
        <v>269</v>
      </c>
      <c r="V699" t="s">
        <v>131</v>
      </c>
      <c r="W699" t="s">
        <v>51</v>
      </c>
      <c r="X699" t="s">
        <v>45</v>
      </c>
      <c r="Y699" s="1">
        <v>28054</v>
      </c>
      <c r="Z699">
        <v>1</v>
      </c>
      <c r="AA699" t="s">
        <v>269</v>
      </c>
      <c r="AB699" s="40" t="s">
        <v>1795</v>
      </c>
    </row>
    <row r="700" spans="1:28" x14ac:dyDescent="0.25">
      <c r="A700">
        <v>99910699</v>
      </c>
      <c r="B700" t="s">
        <v>56</v>
      </c>
      <c r="C700" t="s">
        <v>143</v>
      </c>
      <c r="D700" t="s">
        <v>144</v>
      </c>
      <c r="G700" t="s">
        <v>48</v>
      </c>
      <c r="H700">
        <v>1</v>
      </c>
      <c r="K700" t="s">
        <v>300</v>
      </c>
      <c r="L700" t="s">
        <v>301</v>
      </c>
      <c r="M700" t="s">
        <v>131</v>
      </c>
      <c r="N700">
        <v>10</v>
      </c>
      <c r="P700" t="s">
        <v>41</v>
      </c>
      <c r="Q700" t="s">
        <v>49</v>
      </c>
      <c r="R700" t="str">
        <f>"0560020"</f>
        <v>0560020</v>
      </c>
      <c r="S700" t="s">
        <v>302</v>
      </c>
      <c r="T700" t="s">
        <v>300</v>
      </c>
      <c r="U700" t="s">
        <v>301</v>
      </c>
      <c r="V700" t="s">
        <v>131</v>
      </c>
      <c r="W700" t="s">
        <v>51</v>
      </c>
      <c r="X700" t="s">
        <v>45</v>
      </c>
      <c r="Y700" s="1">
        <v>27988</v>
      </c>
      <c r="Z700">
        <v>2</v>
      </c>
      <c r="AA700" t="s">
        <v>301</v>
      </c>
      <c r="AB700" s="40" t="s">
        <v>1795</v>
      </c>
    </row>
    <row r="701" spans="1:28" x14ac:dyDescent="0.25">
      <c r="A701">
        <v>99910700</v>
      </c>
      <c r="B701" t="s">
        <v>32</v>
      </c>
      <c r="C701" t="s">
        <v>52</v>
      </c>
      <c r="D701" t="s">
        <v>53</v>
      </c>
      <c r="G701" t="s">
        <v>35</v>
      </c>
      <c r="H701">
        <v>1</v>
      </c>
      <c r="I701" t="s">
        <v>311</v>
      </c>
      <c r="J701" s="1">
        <v>43344</v>
      </c>
      <c r="K701" t="s">
        <v>300</v>
      </c>
      <c r="L701" t="s">
        <v>301</v>
      </c>
      <c r="M701" t="s">
        <v>131</v>
      </c>
      <c r="N701">
        <v>10</v>
      </c>
      <c r="O701" s="1">
        <v>43344</v>
      </c>
      <c r="P701" t="s">
        <v>41</v>
      </c>
      <c r="Q701" t="s">
        <v>49</v>
      </c>
      <c r="R701" t="str">
        <f>"0560020"</f>
        <v>0560020</v>
      </c>
      <c r="S701" t="s">
        <v>302</v>
      </c>
      <c r="T701" t="s">
        <v>300</v>
      </c>
      <c r="U701" t="s">
        <v>301</v>
      </c>
      <c r="V701" t="s">
        <v>131</v>
      </c>
      <c r="W701" t="s">
        <v>44</v>
      </c>
      <c r="X701" t="s">
        <v>45</v>
      </c>
      <c r="Y701" s="1">
        <v>27811</v>
      </c>
      <c r="Z701">
        <v>2</v>
      </c>
      <c r="AA701" t="s">
        <v>301</v>
      </c>
      <c r="AB701" s="40" t="s">
        <v>1795</v>
      </c>
    </row>
    <row r="702" spans="1:28" x14ac:dyDescent="0.25">
      <c r="A702">
        <v>99910701</v>
      </c>
      <c r="B702" t="s">
        <v>32</v>
      </c>
      <c r="C702" t="s">
        <v>139</v>
      </c>
      <c r="D702" t="s">
        <v>140</v>
      </c>
      <c r="G702" t="s">
        <v>35</v>
      </c>
      <c r="H702">
        <v>1</v>
      </c>
      <c r="I702" t="s">
        <v>608</v>
      </c>
      <c r="J702" s="1">
        <v>43344</v>
      </c>
      <c r="K702" t="s">
        <v>268</v>
      </c>
      <c r="L702" t="s">
        <v>269</v>
      </c>
      <c r="M702" t="s">
        <v>131</v>
      </c>
      <c r="N702">
        <v>10</v>
      </c>
      <c r="O702" s="1">
        <v>43344</v>
      </c>
      <c r="P702" t="s">
        <v>41</v>
      </c>
      <c r="Q702" t="s">
        <v>75</v>
      </c>
      <c r="R702" t="str">
        <f>"7052020"</f>
        <v>7052020</v>
      </c>
      <c r="S702" t="s">
        <v>267</v>
      </c>
      <c r="T702" t="s">
        <v>268</v>
      </c>
      <c r="U702" t="s">
        <v>269</v>
      </c>
      <c r="V702" t="s">
        <v>131</v>
      </c>
      <c r="W702" t="s">
        <v>51</v>
      </c>
      <c r="X702" t="s">
        <v>45</v>
      </c>
      <c r="Y702" s="1">
        <v>27808</v>
      </c>
      <c r="Z702">
        <v>1</v>
      </c>
      <c r="AA702" t="s">
        <v>269</v>
      </c>
      <c r="AB702" s="40" t="s">
        <v>1795</v>
      </c>
    </row>
    <row r="703" spans="1:28" x14ac:dyDescent="0.25">
      <c r="A703">
        <v>99910702</v>
      </c>
      <c r="B703" t="s">
        <v>32</v>
      </c>
      <c r="C703" t="s">
        <v>46</v>
      </c>
      <c r="D703" t="s">
        <v>47</v>
      </c>
      <c r="G703" t="s">
        <v>48</v>
      </c>
      <c r="H703">
        <v>1</v>
      </c>
      <c r="K703" t="s">
        <v>1566</v>
      </c>
      <c r="L703" t="s">
        <v>1567</v>
      </c>
      <c r="M703" t="s">
        <v>1548</v>
      </c>
      <c r="N703">
        <v>10</v>
      </c>
      <c r="P703" t="s">
        <v>41</v>
      </c>
      <c r="Q703" t="s">
        <v>49</v>
      </c>
      <c r="R703" t="str">
        <f>"2960001"</f>
        <v>2960001</v>
      </c>
      <c r="S703" t="s">
        <v>1569</v>
      </c>
      <c r="T703" t="s">
        <v>1566</v>
      </c>
      <c r="U703" t="s">
        <v>1567</v>
      </c>
      <c r="V703" t="s">
        <v>1548</v>
      </c>
      <c r="W703" t="s">
        <v>51</v>
      </c>
      <c r="X703" t="s">
        <v>45</v>
      </c>
      <c r="Y703" s="1">
        <v>27596</v>
      </c>
      <c r="Z703">
        <v>2</v>
      </c>
      <c r="AA703" t="s">
        <v>1567</v>
      </c>
      <c r="AB703" s="40" t="s">
        <v>1795</v>
      </c>
    </row>
    <row r="704" spans="1:28" x14ac:dyDescent="0.25">
      <c r="A704">
        <v>99910703</v>
      </c>
      <c r="B704" t="s">
        <v>32</v>
      </c>
      <c r="C704" t="s">
        <v>64</v>
      </c>
      <c r="D704" t="s">
        <v>65</v>
      </c>
      <c r="G704" t="s">
        <v>35</v>
      </c>
      <c r="H704">
        <v>1</v>
      </c>
      <c r="J704" s="1">
        <v>38975</v>
      </c>
      <c r="K704" t="s">
        <v>1336</v>
      </c>
      <c r="L704" t="s">
        <v>1337</v>
      </c>
      <c r="M704" t="s">
        <v>1270</v>
      </c>
      <c r="N704">
        <v>10</v>
      </c>
      <c r="O704" s="1">
        <v>38975</v>
      </c>
      <c r="P704" t="s">
        <v>41</v>
      </c>
      <c r="Q704" t="s">
        <v>42</v>
      </c>
      <c r="R704" t="str">
        <f>"4475070"</f>
        <v>4475070</v>
      </c>
      <c r="S704" t="s">
        <v>1338</v>
      </c>
      <c r="T704" t="s">
        <v>1336</v>
      </c>
      <c r="U704" t="s">
        <v>1337</v>
      </c>
      <c r="V704" t="s">
        <v>1270</v>
      </c>
      <c r="W704" t="s">
        <v>51</v>
      </c>
      <c r="X704" t="s">
        <v>45</v>
      </c>
      <c r="Y704" s="1">
        <v>27553</v>
      </c>
      <c r="Z704">
        <v>2</v>
      </c>
      <c r="AA704" t="s">
        <v>1337</v>
      </c>
      <c r="AB704" s="40" t="s">
        <v>1795</v>
      </c>
    </row>
    <row r="705" spans="1:28" x14ac:dyDescent="0.25">
      <c r="A705">
        <v>99910704</v>
      </c>
      <c r="B705" t="s">
        <v>32</v>
      </c>
      <c r="C705" t="s">
        <v>46</v>
      </c>
      <c r="D705" t="s">
        <v>47</v>
      </c>
      <c r="G705" t="s">
        <v>35</v>
      </c>
      <c r="H705">
        <v>1</v>
      </c>
      <c r="I705">
        <v>13977</v>
      </c>
      <c r="J705" s="1">
        <v>43374</v>
      </c>
      <c r="K705" t="s">
        <v>345</v>
      </c>
      <c r="L705" t="s">
        <v>346</v>
      </c>
      <c r="M705" t="s">
        <v>131</v>
      </c>
      <c r="N705">
        <v>10</v>
      </c>
      <c r="O705" s="1">
        <v>43374</v>
      </c>
      <c r="P705" t="s">
        <v>41</v>
      </c>
      <c r="Q705" t="s">
        <v>42</v>
      </c>
      <c r="R705" t="str">
        <f>"0580650"</f>
        <v>0580650</v>
      </c>
      <c r="S705" t="s">
        <v>356</v>
      </c>
      <c r="T705" t="s">
        <v>345</v>
      </c>
      <c r="U705" t="s">
        <v>346</v>
      </c>
      <c r="V705" t="s">
        <v>131</v>
      </c>
      <c r="W705" t="s">
        <v>55</v>
      </c>
      <c r="X705" t="s">
        <v>45</v>
      </c>
      <c r="Y705" s="1">
        <v>27540</v>
      </c>
      <c r="Z705">
        <v>2</v>
      </c>
      <c r="AA705" t="s">
        <v>346</v>
      </c>
      <c r="AB705" s="40" t="s">
        <v>1795</v>
      </c>
    </row>
    <row r="706" spans="1:28" x14ac:dyDescent="0.25">
      <c r="A706">
        <v>99910705</v>
      </c>
      <c r="B706" t="s">
        <v>56</v>
      </c>
      <c r="C706" t="s">
        <v>68</v>
      </c>
      <c r="D706" t="s">
        <v>69</v>
      </c>
      <c r="G706" t="s">
        <v>35</v>
      </c>
      <c r="H706">
        <v>1</v>
      </c>
      <c r="I706">
        <v>0</v>
      </c>
      <c r="J706" s="1">
        <v>43344</v>
      </c>
      <c r="K706" t="s">
        <v>223</v>
      </c>
      <c r="L706" t="s">
        <v>224</v>
      </c>
      <c r="M706" t="s">
        <v>131</v>
      </c>
      <c r="N706">
        <v>10</v>
      </c>
      <c r="O706" s="1">
        <v>43344</v>
      </c>
      <c r="P706" t="s">
        <v>41</v>
      </c>
      <c r="Q706" t="s">
        <v>49</v>
      </c>
      <c r="R706" t="str">
        <f>"0560034"</f>
        <v>0560034</v>
      </c>
      <c r="S706" t="s">
        <v>266</v>
      </c>
      <c r="T706" t="s">
        <v>223</v>
      </c>
      <c r="U706" t="s">
        <v>224</v>
      </c>
      <c r="V706" t="s">
        <v>131</v>
      </c>
      <c r="W706" t="s">
        <v>44</v>
      </c>
      <c r="X706" t="s">
        <v>45</v>
      </c>
      <c r="Y706" s="1">
        <v>27456</v>
      </c>
      <c r="Z706">
        <v>2</v>
      </c>
      <c r="AA706" t="s">
        <v>224</v>
      </c>
      <c r="AB706" s="40" t="s">
        <v>1795</v>
      </c>
    </row>
    <row r="707" spans="1:28" x14ac:dyDescent="0.25">
      <c r="A707">
        <v>99910706</v>
      </c>
      <c r="B707" t="s">
        <v>32</v>
      </c>
      <c r="C707" t="s">
        <v>139</v>
      </c>
      <c r="D707" t="s">
        <v>140</v>
      </c>
      <c r="G707" t="s">
        <v>48</v>
      </c>
      <c r="H707">
        <v>1</v>
      </c>
      <c r="K707" t="s">
        <v>877</v>
      </c>
      <c r="L707" t="s">
        <v>878</v>
      </c>
      <c r="M707" t="s">
        <v>131</v>
      </c>
      <c r="N707">
        <v>10</v>
      </c>
      <c r="P707" t="s">
        <v>41</v>
      </c>
      <c r="Q707" t="s">
        <v>75</v>
      </c>
      <c r="R707" t="str">
        <f>"7541026"</f>
        <v>7541026</v>
      </c>
      <c r="S707" t="s">
        <v>894</v>
      </c>
      <c r="T707" t="s">
        <v>877</v>
      </c>
      <c r="U707" t="s">
        <v>878</v>
      </c>
      <c r="V707" t="s">
        <v>131</v>
      </c>
      <c r="W707" t="s">
        <v>51</v>
      </c>
      <c r="X707" t="s">
        <v>45</v>
      </c>
      <c r="Y707" s="1">
        <v>27324</v>
      </c>
      <c r="Z707">
        <v>1</v>
      </c>
      <c r="AA707" t="s">
        <v>878</v>
      </c>
      <c r="AB707" s="40" t="s">
        <v>1795</v>
      </c>
    </row>
    <row r="708" spans="1:28" x14ac:dyDescent="0.25">
      <c r="A708">
        <v>99910707</v>
      </c>
      <c r="B708" t="s">
        <v>56</v>
      </c>
      <c r="C708" t="s">
        <v>79</v>
      </c>
      <c r="D708" t="s">
        <v>80</v>
      </c>
      <c r="G708" t="s">
        <v>48</v>
      </c>
      <c r="H708">
        <v>1</v>
      </c>
      <c r="K708" t="s">
        <v>1051</v>
      </c>
      <c r="L708" t="s">
        <v>1052</v>
      </c>
      <c r="M708" t="s">
        <v>1053</v>
      </c>
      <c r="N708">
        <v>10</v>
      </c>
      <c r="P708" t="s">
        <v>41</v>
      </c>
      <c r="Q708" t="s">
        <v>49</v>
      </c>
      <c r="R708" t="str">
        <f>"2060005"</f>
        <v>2060005</v>
      </c>
      <c r="S708" t="s">
        <v>1054</v>
      </c>
      <c r="T708" t="s">
        <v>1051</v>
      </c>
      <c r="U708" t="s">
        <v>1052</v>
      </c>
      <c r="V708" t="s">
        <v>1053</v>
      </c>
      <c r="W708" t="s">
        <v>51</v>
      </c>
      <c r="X708" t="s">
        <v>45</v>
      </c>
      <c r="Y708" s="1">
        <v>27254</v>
      </c>
      <c r="Z708">
        <v>2</v>
      </c>
      <c r="AA708" t="s">
        <v>1052</v>
      </c>
      <c r="AB708" s="40" t="s">
        <v>1795</v>
      </c>
    </row>
    <row r="709" spans="1:28" x14ac:dyDescent="0.25">
      <c r="A709">
        <v>99910708</v>
      </c>
      <c r="B709" t="s">
        <v>32</v>
      </c>
      <c r="C709" t="s">
        <v>141</v>
      </c>
      <c r="D709" t="s">
        <v>142</v>
      </c>
      <c r="G709" t="s">
        <v>48</v>
      </c>
      <c r="H709">
        <v>1</v>
      </c>
      <c r="K709" t="s">
        <v>300</v>
      </c>
      <c r="L709" t="s">
        <v>301</v>
      </c>
      <c r="M709" t="s">
        <v>131</v>
      </c>
      <c r="N709">
        <v>10</v>
      </c>
      <c r="P709" t="s">
        <v>41</v>
      </c>
      <c r="Q709" t="s">
        <v>49</v>
      </c>
      <c r="R709" t="str">
        <f>"0560001"</f>
        <v>0560001</v>
      </c>
      <c r="S709" t="s">
        <v>304</v>
      </c>
      <c r="T709" t="s">
        <v>300</v>
      </c>
      <c r="U709" t="s">
        <v>301</v>
      </c>
      <c r="V709" t="s">
        <v>131</v>
      </c>
      <c r="W709" t="s">
        <v>51</v>
      </c>
      <c r="X709" t="s">
        <v>45</v>
      </c>
      <c r="Y709" s="1">
        <v>27199</v>
      </c>
      <c r="Z709">
        <v>2</v>
      </c>
      <c r="AA709" t="s">
        <v>301</v>
      </c>
      <c r="AB709" s="40" t="s">
        <v>1795</v>
      </c>
    </row>
    <row r="710" spans="1:28" x14ac:dyDescent="0.25">
      <c r="A710">
        <v>99910709</v>
      </c>
      <c r="B710" t="s">
        <v>56</v>
      </c>
      <c r="C710" t="s">
        <v>68</v>
      </c>
      <c r="D710" t="s">
        <v>69</v>
      </c>
      <c r="G710" t="s">
        <v>48</v>
      </c>
      <c r="H710">
        <v>1</v>
      </c>
      <c r="K710" t="s">
        <v>223</v>
      </c>
      <c r="L710" t="s">
        <v>224</v>
      </c>
      <c r="M710" t="s">
        <v>131</v>
      </c>
      <c r="N710">
        <v>10</v>
      </c>
      <c r="P710" t="s">
        <v>41</v>
      </c>
      <c r="Q710" t="s">
        <v>49</v>
      </c>
      <c r="R710" t="str">
        <f>"0540902"</f>
        <v>0540902</v>
      </c>
      <c r="S710" t="s">
        <v>256</v>
      </c>
      <c r="T710" t="s">
        <v>223</v>
      </c>
      <c r="U710" t="s">
        <v>224</v>
      </c>
      <c r="V710" t="s">
        <v>131</v>
      </c>
      <c r="W710" t="s">
        <v>51</v>
      </c>
      <c r="X710" t="s">
        <v>45</v>
      </c>
      <c r="Y710" s="1">
        <v>27046</v>
      </c>
      <c r="Z710">
        <v>2</v>
      </c>
      <c r="AA710" t="s">
        <v>224</v>
      </c>
      <c r="AB710" s="40" t="s">
        <v>1795</v>
      </c>
    </row>
    <row r="711" spans="1:28" x14ac:dyDescent="0.25">
      <c r="A711">
        <v>99910710</v>
      </c>
      <c r="B711" t="s">
        <v>32</v>
      </c>
      <c r="C711" t="s">
        <v>52</v>
      </c>
      <c r="D711" t="s">
        <v>53</v>
      </c>
      <c r="G711" t="s">
        <v>35</v>
      </c>
      <c r="H711">
        <v>1</v>
      </c>
      <c r="I711" t="s">
        <v>1492</v>
      </c>
      <c r="J711" s="1">
        <v>43360</v>
      </c>
      <c r="K711" t="s">
        <v>1487</v>
      </c>
      <c r="L711" t="s">
        <v>1488</v>
      </c>
      <c r="M711" t="s">
        <v>670</v>
      </c>
      <c r="N711">
        <v>10</v>
      </c>
      <c r="O711" s="1">
        <v>43360</v>
      </c>
      <c r="P711" t="s">
        <v>41</v>
      </c>
      <c r="Q711" t="s">
        <v>42</v>
      </c>
      <c r="R711" t="str">
        <f>"1780020"</f>
        <v>1780020</v>
      </c>
      <c r="S711" t="s">
        <v>1490</v>
      </c>
      <c r="T711" t="s">
        <v>1487</v>
      </c>
      <c r="U711" t="s">
        <v>1488</v>
      </c>
      <c r="V711" t="s">
        <v>670</v>
      </c>
      <c r="W711" t="s">
        <v>55</v>
      </c>
      <c r="X711" t="s">
        <v>45</v>
      </c>
      <c r="Y711" s="1">
        <v>27030</v>
      </c>
      <c r="Z711">
        <v>2</v>
      </c>
      <c r="AA711" t="s">
        <v>1488</v>
      </c>
      <c r="AB711" s="40" t="s">
        <v>1795</v>
      </c>
    </row>
    <row r="712" spans="1:28" x14ac:dyDescent="0.25">
      <c r="A712">
        <v>99910711</v>
      </c>
      <c r="B712" t="s">
        <v>56</v>
      </c>
      <c r="C712" t="s">
        <v>46</v>
      </c>
      <c r="D712" t="s">
        <v>47</v>
      </c>
      <c r="G712" t="s">
        <v>48</v>
      </c>
      <c r="H712">
        <v>7</v>
      </c>
      <c r="K712" t="s">
        <v>37</v>
      </c>
      <c r="L712" t="s">
        <v>38</v>
      </c>
      <c r="M712" t="s">
        <v>39</v>
      </c>
      <c r="N712">
        <v>10</v>
      </c>
      <c r="P712" t="s">
        <v>41</v>
      </c>
      <c r="Q712" t="s">
        <v>42</v>
      </c>
      <c r="R712" t="str">
        <f>"3780010"</f>
        <v>3780010</v>
      </c>
      <c r="S712" t="s">
        <v>43</v>
      </c>
      <c r="T712" t="s">
        <v>37</v>
      </c>
      <c r="U712" t="s">
        <v>38</v>
      </c>
      <c r="V712" t="s">
        <v>39</v>
      </c>
      <c r="W712" t="s">
        <v>51</v>
      </c>
      <c r="X712" t="s">
        <v>45</v>
      </c>
      <c r="Y712" s="1">
        <v>26959</v>
      </c>
      <c r="Z712">
        <v>2</v>
      </c>
      <c r="AA712" t="s">
        <v>38</v>
      </c>
      <c r="AB712" s="40" t="s">
        <v>1795</v>
      </c>
    </row>
    <row r="713" spans="1:28" x14ac:dyDescent="0.25">
      <c r="A713">
        <v>99910712</v>
      </c>
      <c r="B713" t="s">
        <v>32</v>
      </c>
      <c r="C713" t="s">
        <v>79</v>
      </c>
      <c r="D713" t="s">
        <v>80</v>
      </c>
      <c r="G713" t="s">
        <v>48</v>
      </c>
      <c r="H713">
        <v>1</v>
      </c>
      <c r="K713" t="s">
        <v>300</v>
      </c>
      <c r="L713" t="s">
        <v>301</v>
      </c>
      <c r="M713" t="s">
        <v>131</v>
      </c>
      <c r="N713">
        <v>10</v>
      </c>
      <c r="P713" t="s">
        <v>41</v>
      </c>
      <c r="Q713" t="s">
        <v>49</v>
      </c>
      <c r="R713" t="str">
        <f>"0560022"</f>
        <v>0560022</v>
      </c>
      <c r="S713" t="s">
        <v>314</v>
      </c>
      <c r="T713" t="s">
        <v>300</v>
      </c>
      <c r="U713" t="s">
        <v>301</v>
      </c>
      <c r="V713" t="s">
        <v>131</v>
      </c>
      <c r="W713" t="s">
        <v>51</v>
      </c>
      <c r="X713" t="s">
        <v>45</v>
      </c>
      <c r="Y713" s="1">
        <v>26959</v>
      </c>
      <c r="Z713">
        <v>2</v>
      </c>
      <c r="AA713" t="s">
        <v>301</v>
      </c>
      <c r="AB713" s="40" t="s">
        <v>1795</v>
      </c>
    </row>
    <row r="714" spans="1:28" x14ac:dyDescent="0.25">
      <c r="A714">
        <v>99910713</v>
      </c>
      <c r="B714" t="s">
        <v>56</v>
      </c>
      <c r="C714" t="s">
        <v>68</v>
      </c>
      <c r="D714" t="s">
        <v>69</v>
      </c>
      <c r="G714" t="s">
        <v>48</v>
      </c>
      <c r="H714">
        <v>1</v>
      </c>
      <c r="K714" t="s">
        <v>380</v>
      </c>
      <c r="L714" t="s">
        <v>381</v>
      </c>
      <c r="M714" t="s">
        <v>131</v>
      </c>
      <c r="N714">
        <v>10</v>
      </c>
      <c r="P714" t="s">
        <v>41</v>
      </c>
      <c r="Q714" t="s">
        <v>42</v>
      </c>
      <c r="R714" t="str">
        <f>"0561010"</f>
        <v>0561010</v>
      </c>
      <c r="S714" t="s">
        <v>387</v>
      </c>
      <c r="T714" t="s">
        <v>380</v>
      </c>
      <c r="U714" t="s">
        <v>381</v>
      </c>
      <c r="V714" t="s">
        <v>131</v>
      </c>
      <c r="W714" t="s">
        <v>51</v>
      </c>
      <c r="X714" t="s">
        <v>45</v>
      </c>
      <c r="Y714" s="1">
        <v>26713</v>
      </c>
      <c r="Z714">
        <v>2</v>
      </c>
      <c r="AA714" t="s">
        <v>381</v>
      </c>
      <c r="AB714" s="40" t="s">
        <v>1795</v>
      </c>
    </row>
    <row r="715" spans="1:28" x14ac:dyDescent="0.25">
      <c r="A715">
        <v>99910714</v>
      </c>
      <c r="B715" t="s">
        <v>32</v>
      </c>
      <c r="C715" t="s">
        <v>71</v>
      </c>
      <c r="D715" t="s">
        <v>72</v>
      </c>
      <c r="G715" t="s">
        <v>35</v>
      </c>
      <c r="H715">
        <v>1</v>
      </c>
      <c r="K715" t="s">
        <v>37</v>
      </c>
      <c r="L715" t="s">
        <v>38</v>
      </c>
      <c r="M715" t="s">
        <v>39</v>
      </c>
      <c r="N715">
        <v>10</v>
      </c>
      <c r="P715" t="s">
        <v>41</v>
      </c>
      <c r="Q715" t="s">
        <v>49</v>
      </c>
      <c r="R715" t="str">
        <f>"3781010"</f>
        <v>3781010</v>
      </c>
      <c r="S715" t="s">
        <v>50</v>
      </c>
      <c r="T715" t="s">
        <v>37</v>
      </c>
      <c r="U715" t="s">
        <v>38</v>
      </c>
      <c r="V715" t="s">
        <v>39</v>
      </c>
      <c r="W715" t="s">
        <v>51</v>
      </c>
      <c r="X715" t="s">
        <v>45</v>
      </c>
      <c r="Y715" s="1">
        <v>26689</v>
      </c>
      <c r="Z715">
        <v>2</v>
      </c>
      <c r="AA715" t="s">
        <v>38</v>
      </c>
      <c r="AB715" s="40" t="s">
        <v>1795</v>
      </c>
    </row>
    <row r="716" spans="1:28" x14ac:dyDescent="0.25">
      <c r="A716">
        <v>99910715</v>
      </c>
      <c r="B716" t="s">
        <v>56</v>
      </c>
      <c r="C716" t="s">
        <v>68</v>
      </c>
      <c r="D716" t="s">
        <v>69</v>
      </c>
      <c r="G716" t="s">
        <v>35</v>
      </c>
      <c r="H716">
        <v>1</v>
      </c>
      <c r="I716" t="s">
        <v>319</v>
      </c>
      <c r="J716" s="1">
        <v>43344</v>
      </c>
      <c r="K716" t="s">
        <v>300</v>
      </c>
      <c r="L716" t="s">
        <v>301</v>
      </c>
      <c r="M716" t="s">
        <v>131</v>
      </c>
      <c r="N716">
        <v>10</v>
      </c>
      <c r="O716" s="1">
        <v>43344</v>
      </c>
      <c r="P716" t="s">
        <v>41</v>
      </c>
      <c r="Q716" t="s">
        <v>49</v>
      </c>
      <c r="R716" t="str">
        <f>"0560020"</f>
        <v>0560020</v>
      </c>
      <c r="S716" t="s">
        <v>302</v>
      </c>
      <c r="T716" t="s">
        <v>300</v>
      </c>
      <c r="U716" t="s">
        <v>301</v>
      </c>
      <c r="V716" t="s">
        <v>131</v>
      </c>
      <c r="W716" t="s">
        <v>51</v>
      </c>
      <c r="X716" t="s">
        <v>45</v>
      </c>
      <c r="Y716" s="1">
        <v>26665</v>
      </c>
      <c r="Z716">
        <v>2</v>
      </c>
      <c r="AA716" t="s">
        <v>301</v>
      </c>
      <c r="AB716" s="40" t="s">
        <v>1795</v>
      </c>
    </row>
    <row r="717" spans="1:28" x14ac:dyDescent="0.25">
      <c r="A717">
        <v>99910716</v>
      </c>
      <c r="B717" t="s">
        <v>56</v>
      </c>
      <c r="C717" t="s">
        <v>68</v>
      </c>
      <c r="D717" t="s">
        <v>69</v>
      </c>
      <c r="G717" t="s">
        <v>35</v>
      </c>
      <c r="H717">
        <v>1</v>
      </c>
      <c r="I717">
        <v>48</v>
      </c>
      <c r="J717" s="1">
        <v>43346</v>
      </c>
      <c r="K717" t="s">
        <v>345</v>
      </c>
      <c r="L717" t="s">
        <v>346</v>
      </c>
      <c r="M717" t="s">
        <v>131</v>
      </c>
      <c r="N717">
        <v>10</v>
      </c>
      <c r="O717" s="1">
        <v>43346</v>
      </c>
      <c r="P717" t="s">
        <v>41</v>
      </c>
      <c r="Q717" t="s">
        <v>42</v>
      </c>
      <c r="R717" t="str">
        <f>"0580931"</f>
        <v>0580931</v>
      </c>
      <c r="S717" t="s">
        <v>369</v>
      </c>
      <c r="T717" t="s">
        <v>345</v>
      </c>
      <c r="U717" t="s">
        <v>346</v>
      </c>
      <c r="V717" t="s">
        <v>131</v>
      </c>
      <c r="W717" t="s">
        <v>44</v>
      </c>
      <c r="X717" t="s">
        <v>45</v>
      </c>
      <c r="Y717" s="1">
        <v>26299</v>
      </c>
      <c r="Z717">
        <v>2</v>
      </c>
      <c r="AA717" t="s">
        <v>346</v>
      </c>
      <c r="AB717" s="40" t="s">
        <v>1795</v>
      </c>
    </row>
    <row r="718" spans="1:28" x14ac:dyDescent="0.25">
      <c r="A718">
        <v>99910717</v>
      </c>
      <c r="B718" t="s">
        <v>32</v>
      </c>
      <c r="C718" t="s">
        <v>46</v>
      </c>
      <c r="D718" t="s">
        <v>47</v>
      </c>
      <c r="G718" t="s">
        <v>48</v>
      </c>
      <c r="H718">
        <v>1</v>
      </c>
      <c r="K718" t="s">
        <v>380</v>
      </c>
      <c r="L718" t="s">
        <v>381</v>
      </c>
      <c r="M718" t="s">
        <v>131</v>
      </c>
      <c r="N718">
        <v>10</v>
      </c>
      <c r="P718" t="s">
        <v>41</v>
      </c>
      <c r="Q718" t="s">
        <v>49</v>
      </c>
      <c r="R718" t="str">
        <f>"0560028"</f>
        <v>0560028</v>
      </c>
      <c r="S718" t="s">
        <v>384</v>
      </c>
      <c r="T718" t="s">
        <v>380</v>
      </c>
      <c r="U718" t="s">
        <v>381</v>
      </c>
      <c r="V718" t="s">
        <v>131</v>
      </c>
      <c r="W718" t="s">
        <v>51</v>
      </c>
      <c r="X718" t="s">
        <v>45</v>
      </c>
      <c r="Y718" s="1">
        <v>26299</v>
      </c>
      <c r="Z718">
        <v>2</v>
      </c>
      <c r="AA718" t="s">
        <v>381</v>
      </c>
      <c r="AB718" s="40" t="s">
        <v>1795</v>
      </c>
    </row>
    <row r="719" spans="1:28" x14ac:dyDescent="0.25">
      <c r="A719">
        <v>99910718</v>
      </c>
      <c r="B719" t="s">
        <v>56</v>
      </c>
      <c r="C719" t="s">
        <v>79</v>
      </c>
      <c r="D719" t="s">
        <v>80</v>
      </c>
      <c r="G719" t="s">
        <v>48</v>
      </c>
      <c r="H719">
        <v>1</v>
      </c>
      <c r="K719" t="s">
        <v>1487</v>
      </c>
      <c r="L719" t="s">
        <v>1488</v>
      </c>
      <c r="M719" t="s">
        <v>670</v>
      </c>
      <c r="N719">
        <v>10</v>
      </c>
      <c r="P719" t="s">
        <v>41</v>
      </c>
      <c r="Q719" t="s">
        <v>42</v>
      </c>
      <c r="R719" t="str">
        <f>"1780020"</f>
        <v>1780020</v>
      </c>
      <c r="S719" t="s">
        <v>1490</v>
      </c>
      <c r="T719" t="s">
        <v>1487</v>
      </c>
      <c r="U719" t="s">
        <v>1488</v>
      </c>
      <c r="V719" t="s">
        <v>670</v>
      </c>
      <c r="W719" t="s">
        <v>51</v>
      </c>
      <c r="X719" t="s">
        <v>45</v>
      </c>
      <c r="Y719" s="1">
        <v>26299</v>
      </c>
      <c r="Z719">
        <v>2</v>
      </c>
      <c r="AA719" t="s">
        <v>1488</v>
      </c>
      <c r="AB719" s="40" t="s">
        <v>1795</v>
      </c>
    </row>
    <row r="720" spans="1:28" x14ac:dyDescent="0.25">
      <c r="A720">
        <v>99910719</v>
      </c>
      <c r="B720" t="s">
        <v>32</v>
      </c>
      <c r="C720" t="s">
        <v>71</v>
      </c>
      <c r="D720" t="s">
        <v>72</v>
      </c>
      <c r="G720" t="s">
        <v>35</v>
      </c>
      <c r="H720">
        <v>1</v>
      </c>
      <c r="I720" t="s">
        <v>1070</v>
      </c>
      <c r="J720" s="1">
        <v>43344</v>
      </c>
      <c r="K720" t="s">
        <v>1051</v>
      </c>
      <c r="L720" t="s">
        <v>1052</v>
      </c>
      <c r="M720" t="s">
        <v>1053</v>
      </c>
      <c r="N720">
        <v>10</v>
      </c>
      <c r="O720" s="1">
        <v>43344</v>
      </c>
      <c r="P720" t="s">
        <v>41</v>
      </c>
      <c r="Q720" t="s">
        <v>49</v>
      </c>
      <c r="R720" t="str">
        <f>"2060005"</f>
        <v>2060005</v>
      </c>
      <c r="S720" t="s">
        <v>1054</v>
      </c>
      <c r="T720" t="s">
        <v>1051</v>
      </c>
      <c r="U720" t="s">
        <v>1052</v>
      </c>
      <c r="V720" t="s">
        <v>1053</v>
      </c>
      <c r="W720" t="s">
        <v>51</v>
      </c>
      <c r="X720" t="s">
        <v>45</v>
      </c>
      <c r="Y720" s="1">
        <v>26267</v>
      </c>
      <c r="Z720">
        <v>2</v>
      </c>
      <c r="AA720" t="s">
        <v>1052</v>
      </c>
      <c r="AB720" s="40" t="s">
        <v>1795</v>
      </c>
    </row>
    <row r="721" spans="1:28" x14ac:dyDescent="0.25">
      <c r="A721">
        <v>99910720</v>
      </c>
      <c r="B721" t="s">
        <v>32</v>
      </c>
      <c r="C721" t="s">
        <v>139</v>
      </c>
      <c r="D721" t="s">
        <v>140</v>
      </c>
      <c r="G721" t="s">
        <v>35</v>
      </c>
      <c r="H721">
        <v>1</v>
      </c>
      <c r="I721" t="s">
        <v>728</v>
      </c>
      <c r="J721" s="1">
        <v>43344</v>
      </c>
      <c r="K721" t="s">
        <v>268</v>
      </c>
      <c r="L721" t="s">
        <v>269</v>
      </c>
      <c r="M721" t="s">
        <v>131</v>
      </c>
      <c r="N721">
        <v>10</v>
      </c>
      <c r="O721" s="1">
        <v>43344</v>
      </c>
      <c r="P721" t="s">
        <v>41</v>
      </c>
      <c r="Q721" t="s">
        <v>75</v>
      </c>
      <c r="R721" t="str">
        <f>"7052020"</f>
        <v>7052020</v>
      </c>
      <c r="S721" t="s">
        <v>267</v>
      </c>
      <c r="T721" t="s">
        <v>268</v>
      </c>
      <c r="U721" t="s">
        <v>269</v>
      </c>
      <c r="V721" t="s">
        <v>131</v>
      </c>
      <c r="W721" t="s">
        <v>51</v>
      </c>
      <c r="X721" t="s">
        <v>45</v>
      </c>
      <c r="Y721" s="1">
        <v>26254</v>
      </c>
      <c r="Z721">
        <v>1</v>
      </c>
      <c r="AA721" t="s">
        <v>269</v>
      </c>
      <c r="AB721" s="40" t="s">
        <v>1795</v>
      </c>
    </row>
    <row r="722" spans="1:28" x14ac:dyDescent="0.25">
      <c r="A722">
        <v>99910721</v>
      </c>
      <c r="B722" t="s">
        <v>32</v>
      </c>
      <c r="C722" t="s">
        <v>46</v>
      </c>
      <c r="D722" t="s">
        <v>47</v>
      </c>
      <c r="G722" t="s">
        <v>35</v>
      </c>
      <c r="H722">
        <v>1</v>
      </c>
      <c r="K722" t="s">
        <v>1626</v>
      </c>
      <c r="L722" t="s">
        <v>1627</v>
      </c>
      <c r="M722" t="s">
        <v>1592</v>
      </c>
      <c r="N722">
        <v>10</v>
      </c>
      <c r="P722" t="s">
        <v>41</v>
      </c>
      <c r="Q722" t="s">
        <v>49</v>
      </c>
      <c r="R722" t="str">
        <f>"3681015"</f>
        <v>3681015</v>
      </c>
      <c r="S722" t="s">
        <v>1629</v>
      </c>
      <c r="T722" t="s">
        <v>1626</v>
      </c>
      <c r="U722" t="s">
        <v>1627</v>
      </c>
      <c r="V722" t="s">
        <v>1592</v>
      </c>
      <c r="W722" t="s">
        <v>51</v>
      </c>
      <c r="X722" t="s">
        <v>45</v>
      </c>
      <c r="Y722" s="1">
        <v>26050</v>
      </c>
      <c r="Z722">
        <v>2</v>
      </c>
      <c r="AA722" t="s">
        <v>1627</v>
      </c>
      <c r="AB722" s="40" t="s">
        <v>1795</v>
      </c>
    </row>
    <row r="723" spans="1:28" x14ac:dyDescent="0.25">
      <c r="A723">
        <v>99910722</v>
      </c>
      <c r="B723" t="s">
        <v>56</v>
      </c>
      <c r="C723" t="s">
        <v>46</v>
      </c>
      <c r="D723" t="s">
        <v>47</v>
      </c>
      <c r="G723" t="s">
        <v>48</v>
      </c>
      <c r="H723">
        <v>1</v>
      </c>
      <c r="K723" t="s">
        <v>300</v>
      </c>
      <c r="L723" t="s">
        <v>301</v>
      </c>
      <c r="M723" t="s">
        <v>131</v>
      </c>
      <c r="N723">
        <v>10</v>
      </c>
      <c r="P723" t="s">
        <v>41</v>
      </c>
      <c r="Q723" t="s">
        <v>42</v>
      </c>
      <c r="R723" t="str">
        <f>"0580175"</f>
        <v>0580175</v>
      </c>
      <c r="S723" t="s">
        <v>303</v>
      </c>
      <c r="T723" t="s">
        <v>300</v>
      </c>
      <c r="U723" t="s">
        <v>301</v>
      </c>
      <c r="V723" t="s">
        <v>131</v>
      </c>
      <c r="W723" t="s">
        <v>51</v>
      </c>
      <c r="X723" t="s">
        <v>45</v>
      </c>
      <c r="Y723" s="1">
        <v>25992</v>
      </c>
      <c r="Z723">
        <v>2</v>
      </c>
      <c r="AA723" t="s">
        <v>301</v>
      </c>
      <c r="AB723" s="40" t="s">
        <v>1795</v>
      </c>
    </row>
    <row r="724" spans="1:28" x14ac:dyDescent="0.25">
      <c r="A724">
        <v>99910723</v>
      </c>
      <c r="B724" t="s">
        <v>56</v>
      </c>
      <c r="C724" t="s">
        <v>71</v>
      </c>
      <c r="D724" t="s">
        <v>72</v>
      </c>
      <c r="G724" t="s">
        <v>35</v>
      </c>
      <c r="H724">
        <v>1</v>
      </c>
      <c r="K724" t="s">
        <v>431</v>
      </c>
      <c r="L724" t="s">
        <v>196</v>
      </c>
      <c r="M724" t="s">
        <v>131</v>
      </c>
      <c r="N724">
        <v>10</v>
      </c>
      <c r="P724" t="s">
        <v>41</v>
      </c>
      <c r="Q724" t="s">
        <v>75</v>
      </c>
      <c r="R724" t="str">
        <f>"7521032"</f>
        <v>7521032</v>
      </c>
      <c r="S724" t="s">
        <v>462</v>
      </c>
      <c r="T724" t="s">
        <v>431</v>
      </c>
      <c r="U724" t="s">
        <v>196</v>
      </c>
      <c r="V724" t="s">
        <v>131</v>
      </c>
      <c r="W724" t="s">
        <v>51</v>
      </c>
      <c r="X724" t="s">
        <v>45</v>
      </c>
      <c r="Y724" s="1">
        <v>25938</v>
      </c>
      <c r="Z724">
        <v>1</v>
      </c>
      <c r="AA724" t="s">
        <v>196</v>
      </c>
      <c r="AB724" s="40" t="s">
        <v>1795</v>
      </c>
    </row>
    <row r="725" spans="1:28" x14ac:dyDescent="0.25">
      <c r="A725">
        <v>99910724</v>
      </c>
      <c r="B725" t="s">
        <v>32</v>
      </c>
      <c r="C725" t="s">
        <v>64</v>
      </c>
      <c r="D725" t="s">
        <v>65</v>
      </c>
      <c r="G725" t="s">
        <v>48</v>
      </c>
      <c r="H725">
        <v>1</v>
      </c>
      <c r="K725" t="s">
        <v>162</v>
      </c>
      <c r="L725" t="s">
        <v>158</v>
      </c>
      <c r="M725" t="s">
        <v>131</v>
      </c>
      <c r="N725">
        <v>10</v>
      </c>
      <c r="P725" t="s">
        <v>41</v>
      </c>
      <c r="Q725" t="s">
        <v>42</v>
      </c>
      <c r="R725" t="str">
        <f>"0580330"</f>
        <v>0580330</v>
      </c>
      <c r="S725" t="s">
        <v>176</v>
      </c>
      <c r="T725" t="s">
        <v>162</v>
      </c>
      <c r="U725" t="s">
        <v>158</v>
      </c>
      <c r="V725" t="s">
        <v>131</v>
      </c>
      <c r="W725" t="s">
        <v>51</v>
      </c>
      <c r="X725" t="s">
        <v>45</v>
      </c>
      <c r="Y725" s="1">
        <v>25895</v>
      </c>
      <c r="Z725">
        <v>2</v>
      </c>
      <c r="AA725" t="s">
        <v>158</v>
      </c>
      <c r="AB725" s="40" t="s">
        <v>1795</v>
      </c>
    </row>
    <row r="726" spans="1:28" x14ac:dyDescent="0.25">
      <c r="A726">
        <v>99910725</v>
      </c>
      <c r="B726" t="s">
        <v>32</v>
      </c>
      <c r="C726" t="s">
        <v>46</v>
      </c>
      <c r="D726" t="s">
        <v>47</v>
      </c>
      <c r="G726" t="s">
        <v>48</v>
      </c>
      <c r="H726">
        <v>1</v>
      </c>
      <c r="K726" t="s">
        <v>162</v>
      </c>
      <c r="L726" t="s">
        <v>158</v>
      </c>
      <c r="M726" t="s">
        <v>131</v>
      </c>
      <c r="N726">
        <v>10</v>
      </c>
      <c r="P726" t="s">
        <v>41</v>
      </c>
      <c r="Q726" t="s">
        <v>49</v>
      </c>
      <c r="R726" t="str">
        <f>"0560003"</f>
        <v>0560003</v>
      </c>
      <c r="S726" t="s">
        <v>181</v>
      </c>
      <c r="T726" t="s">
        <v>162</v>
      </c>
      <c r="U726" t="s">
        <v>158</v>
      </c>
      <c r="V726" t="s">
        <v>131</v>
      </c>
      <c r="W726" t="s">
        <v>51</v>
      </c>
      <c r="X726" t="s">
        <v>45</v>
      </c>
      <c r="Y726" s="1">
        <v>25848</v>
      </c>
      <c r="Z726">
        <v>2</v>
      </c>
      <c r="AA726" t="s">
        <v>158</v>
      </c>
      <c r="AB726" s="40" t="s">
        <v>1795</v>
      </c>
    </row>
    <row r="727" spans="1:28" x14ac:dyDescent="0.25">
      <c r="A727">
        <v>99910726</v>
      </c>
      <c r="B727" t="s">
        <v>56</v>
      </c>
      <c r="C727" t="s">
        <v>52</v>
      </c>
      <c r="D727" t="s">
        <v>53</v>
      </c>
      <c r="G727" t="s">
        <v>48</v>
      </c>
      <c r="H727">
        <v>1</v>
      </c>
      <c r="K727" t="s">
        <v>345</v>
      </c>
      <c r="L727" t="s">
        <v>346</v>
      </c>
      <c r="M727" t="s">
        <v>131</v>
      </c>
      <c r="N727">
        <v>10</v>
      </c>
      <c r="P727" t="s">
        <v>41</v>
      </c>
      <c r="Q727" t="s">
        <v>42</v>
      </c>
      <c r="R727" t="str">
        <f>"0580605"</f>
        <v>0580605</v>
      </c>
      <c r="S727" t="s">
        <v>362</v>
      </c>
      <c r="T727" t="s">
        <v>345</v>
      </c>
      <c r="U727" t="s">
        <v>346</v>
      </c>
      <c r="V727" t="s">
        <v>131</v>
      </c>
      <c r="W727" t="s">
        <v>51</v>
      </c>
      <c r="X727" t="s">
        <v>45</v>
      </c>
      <c r="Y727" s="1">
        <v>25835</v>
      </c>
      <c r="Z727">
        <v>2</v>
      </c>
      <c r="AA727" t="s">
        <v>346</v>
      </c>
      <c r="AB727" s="40" t="s">
        <v>1795</v>
      </c>
    </row>
    <row r="728" spans="1:28" x14ac:dyDescent="0.25">
      <c r="A728">
        <v>99910727</v>
      </c>
      <c r="B728" t="s">
        <v>32</v>
      </c>
      <c r="C728" t="s">
        <v>71</v>
      </c>
      <c r="D728" t="s">
        <v>72</v>
      </c>
      <c r="G728" t="s">
        <v>35</v>
      </c>
      <c r="H728">
        <v>1</v>
      </c>
      <c r="K728" t="s">
        <v>157</v>
      </c>
      <c r="L728" t="s">
        <v>158</v>
      </c>
      <c r="M728" t="s">
        <v>131</v>
      </c>
      <c r="N728">
        <v>10</v>
      </c>
      <c r="P728" t="s">
        <v>41</v>
      </c>
      <c r="Q728" t="s">
        <v>49</v>
      </c>
      <c r="R728" t="str">
        <f>"0560011"</f>
        <v>0560011</v>
      </c>
      <c r="S728" t="s">
        <v>185</v>
      </c>
      <c r="T728" t="s">
        <v>157</v>
      </c>
      <c r="U728" t="s">
        <v>158</v>
      </c>
      <c r="V728" t="s">
        <v>131</v>
      </c>
      <c r="W728" t="s">
        <v>165</v>
      </c>
      <c r="X728" t="s">
        <v>45</v>
      </c>
      <c r="Y728" s="1">
        <v>25622</v>
      </c>
      <c r="Z728">
        <v>2</v>
      </c>
      <c r="AA728" t="s">
        <v>158</v>
      </c>
      <c r="AB728" s="40" t="s">
        <v>1795</v>
      </c>
    </row>
    <row r="729" spans="1:28" x14ac:dyDescent="0.25">
      <c r="A729">
        <v>99910728</v>
      </c>
      <c r="B729" t="s">
        <v>56</v>
      </c>
      <c r="C729" t="s">
        <v>52</v>
      </c>
      <c r="D729" t="s">
        <v>53</v>
      </c>
      <c r="G729" t="s">
        <v>48</v>
      </c>
      <c r="H729">
        <v>1</v>
      </c>
      <c r="I729" t="s">
        <v>1315</v>
      </c>
      <c r="K729" t="s">
        <v>1306</v>
      </c>
      <c r="L729" t="s">
        <v>1307</v>
      </c>
      <c r="M729" t="s">
        <v>1270</v>
      </c>
      <c r="N729">
        <v>10</v>
      </c>
      <c r="P729" t="s">
        <v>41</v>
      </c>
      <c r="Q729" t="s">
        <v>42</v>
      </c>
      <c r="R729" t="str">
        <f>"1990913"</f>
        <v>1990913</v>
      </c>
      <c r="S729" t="s">
        <v>1312</v>
      </c>
      <c r="T729" t="s">
        <v>1306</v>
      </c>
      <c r="U729" t="s">
        <v>1307</v>
      </c>
      <c r="V729" t="s">
        <v>1270</v>
      </c>
      <c r="W729" t="s">
        <v>51</v>
      </c>
      <c r="X729" t="s">
        <v>45</v>
      </c>
      <c r="Y729" s="1">
        <v>25543</v>
      </c>
      <c r="Z729">
        <v>2</v>
      </c>
      <c r="AA729" t="s">
        <v>1307</v>
      </c>
      <c r="AB729" s="40" t="s">
        <v>1795</v>
      </c>
    </row>
    <row r="730" spans="1:28" x14ac:dyDescent="0.25">
      <c r="A730">
        <v>99910729</v>
      </c>
      <c r="B730" t="s">
        <v>56</v>
      </c>
      <c r="C730" t="s">
        <v>52</v>
      </c>
      <c r="D730" t="s">
        <v>53</v>
      </c>
      <c r="G730" t="s">
        <v>48</v>
      </c>
      <c r="H730">
        <v>1</v>
      </c>
      <c r="K730" t="s">
        <v>1613</v>
      </c>
      <c r="L730" t="s">
        <v>1614</v>
      </c>
      <c r="M730" t="s">
        <v>1592</v>
      </c>
      <c r="N730">
        <v>10</v>
      </c>
      <c r="P730" t="s">
        <v>41</v>
      </c>
      <c r="Q730" t="s">
        <v>42</v>
      </c>
      <c r="R730" t="str">
        <f>"2861001"</f>
        <v>2861001</v>
      </c>
      <c r="S730" t="s">
        <v>1621</v>
      </c>
      <c r="T730" t="s">
        <v>1613</v>
      </c>
      <c r="U730" t="s">
        <v>1614</v>
      </c>
      <c r="V730" t="s">
        <v>1592</v>
      </c>
      <c r="W730" t="s">
        <v>51</v>
      </c>
      <c r="X730" t="s">
        <v>45</v>
      </c>
      <c r="Y730" s="1">
        <v>25492</v>
      </c>
      <c r="Z730">
        <v>2</v>
      </c>
      <c r="AA730" t="s">
        <v>1614</v>
      </c>
      <c r="AB730" s="40" t="s">
        <v>1795</v>
      </c>
    </row>
    <row r="731" spans="1:28" x14ac:dyDescent="0.25">
      <c r="A731">
        <v>99910730</v>
      </c>
      <c r="B731" t="s">
        <v>56</v>
      </c>
      <c r="C731" t="s">
        <v>46</v>
      </c>
      <c r="D731" t="s">
        <v>47</v>
      </c>
      <c r="G731" t="s">
        <v>48</v>
      </c>
      <c r="H731">
        <v>1</v>
      </c>
      <c r="K731" t="s">
        <v>936</v>
      </c>
      <c r="L731" t="s">
        <v>937</v>
      </c>
      <c r="M731" t="s">
        <v>938</v>
      </c>
      <c r="N731">
        <v>10</v>
      </c>
      <c r="P731" t="s">
        <v>41</v>
      </c>
      <c r="Q731" t="s">
        <v>49</v>
      </c>
      <c r="R731" t="str">
        <f>"0180017"</f>
        <v>0180017</v>
      </c>
      <c r="S731" t="s">
        <v>943</v>
      </c>
      <c r="T731" t="s">
        <v>936</v>
      </c>
      <c r="U731" t="s">
        <v>937</v>
      </c>
      <c r="V731" t="s">
        <v>938</v>
      </c>
      <c r="W731" t="s">
        <v>51</v>
      </c>
      <c r="X731" t="s">
        <v>45</v>
      </c>
      <c r="Y731" s="1">
        <v>25470</v>
      </c>
      <c r="Z731">
        <v>2</v>
      </c>
      <c r="AA731" t="s">
        <v>937</v>
      </c>
      <c r="AB731" s="40" t="s">
        <v>1795</v>
      </c>
    </row>
    <row r="732" spans="1:28" x14ac:dyDescent="0.25">
      <c r="A732">
        <v>99910731</v>
      </c>
      <c r="B732" t="s">
        <v>32</v>
      </c>
      <c r="C732" t="s">
        <v>111</v>
      </c>
      <c r="D732" t="s">
        <v>112</v>
      </c>
      <c r="G732" t="s">
        <v>48</v>
      </c>
      <c r="H732">
        <v>1</v>
      </c>
      <c r="K732" t="s">
        <v>268</v>
      </c>
      <c r="L732" t="s">
        <v>269</v>
      </c>
      <c r="M732" t="s">
        <v>131</v>
      </c>
      <c r="N732">
        <v>10</v>
      </c>
      <c r="P732" t="s">
        <v>41</v>
      </c>
      <c r="Q732" t="s">
        <v>75</v>
      </c>
      <c r="R732" t="str">
        <f>"7052016"</f>
        <v>7052016</v>
      </c>
      <c r="S732" t="s">
        <v>588</v>
      </c>
      <c r="T732" t="s">
        <v>268</v>
      </c>
      <c r="U732" t="s">
        <v>269</v>
      </c>
      <c r="V732" t="s">
        <v>131</v>
      </c>
      <c r="W732" t="s">
        <v>51</v>
      </c>
      <c r="X732" t="s">
        <v>45</v>
      </c>
      <c r="Y732" s="1">
        <v>25412</v>
      </c>
      <c r="Z732">
        <v>1</v>
      </c>
      <c r="AA732" t="s">
        <v>269</v>
      </c>
      <c r="AB732" s="40" t="s">
        <v>1795</v>
      </c>
    </row>
    <row r="733" spans="1:28" x14ac:dyDescent="0.25">
      <c r="A733">
        <v>99910732</v>
      </c>
      <c r="B733" t="s">
        <v>56</v>
      </c>
      <c r="C733" t="s">
        <v>68</v>
      </c>
      <c r="D733" t="s">
        <v>69</v>
      </c>
      <c r="G733" t="s">
        <v>35</v>
      </c>
      <c r="H733">
        <v>1</v>
      </c>
      <c r="I733" t="s">
        <v>1594</v>
      </c>
      <c r="J733" s="1">
        <v>43344</v>
      </c>
      <c r="K733" t="s">
        <v>1590</v>
      </c>
      <c r="L733" t="s">
        <v>1591</v>
      </c>
      <c r="M733" t="s">
        <v>1592</v>
      </c>
      <c r="N733">
        <v>10</v>
      </c>
      <c r="O733" s="1">
        <v>43344</v>
      </c>
      <c r="P733" t="s">
        <v>41</v>
      </c>
      <c r="Q733" t="s">
        <v>42</v>
      </c>
      <c r="R733" t="str">
        <f>"0280020"</f>
        <v>0280020</v>
      </c>
      <c r="S733" t="s">
        <v>1597</v>
      </c>
      <c r="T733" t="s">
        <v>1590</v>
      </c>
      <c r="U733" t="s">
        <v>1591</v>
      </c>
      <c r="V733" t="s">
        <v>1592</v>
      </c>
      <c r="W733" t="s">
        <v>51</v>
      </c>
      <c r="X733" t="s">
        <v>45</v>
      </c>
      <c r="Y733" s="1">
        <v>25386</v>
      </c>
      <c r="Z733">
        <v>2</v>
      </c>
      <c r="AA733" t="s">
        <v>1591</v>
      </c>
      <c r="AB733" s="40" t="s">
        <v>1795</v>
      </c>
    </row>
    <row r="734" spans="1:28" x14ac:dyDescent="0.25">
      <c r="A734">
        <v>99910733</v>
      </c>
      <c r="B734" t="s">
        <v>32</v>
      </c>
      <c r="C734" t="s">
        <v>117</v>
      </c>
      <c r="D734" t="s">
        <v>118</v>
      </c>
      <c r="G734" t="s">
        <v>35</v>
      </c>
      <c r="H734">
        <v>1</v>
      </c>
      <c r="K734" t="s">
        <v>268</v>
      </c>
      <c r="L734" t="s">
        <v>269</v>
      </c>
      <c r="M734" t="s">
        <v>131</v>
      </c>
      <c r="N734">
        <v>10</v>
      </c>
      <c r="P734" t="s">
        <v>41</v>
      </c>
      <c r="Q734" t="s">
        <v>75</v>
      </c>
      <c r="R734" t="str">
        <f>"7052010"</f>
        <v>7052010</v>
      </c>
      <c r="S734" t="s">
        <v>615</v>
      </c>
      <c r="T734" t="s">
        <v>268</v>
      </c>
      <c r="U734" t="s">
        <v>269</v>
      </c>
      <c r="V734" t="s">
        <v>131</v>
      </c>
      <c r="W734" t="s">
        <v>51</v>
      </c>
      <c r="X734" t="s">
        <v>45</v>
      </c>
      <c r="Y734" s="1">
        <v>25355</v>
      </c>
      <c r="Z734">
        <v>1</v>
      </c>
      <c r="AA734" t="s">
        <v>269</v>
      </c>
      <c r="AB734" s="40" t="s">
        <v>1795</v>
      </c>
    </row>
    <row r="735" spans="1:28" x14ac:dyDescent="0.25">
      <c r="A735">
        <v>99910734</v>
      </c>
      <c r="B735" t="s">
        <v>32</v>
      </c>
      <c r="C735" t="s">
        <v>141</v>
      </c>
      <c r="D735" t="s">
        <v>142</v>
      </c>
      <c r="G735" t="s">
        <v>48</v>
      </c>
      <c r="H735">
        <v>1</v>
      </c>
      <c r="K735" t="s">
        <v>300</v>
      </c>
      <c r="L735" t="s">
        <v>301</v>
      </c>
      <c r="M735" t="s">
        <v>131</v>
      </c>
      <c r="N735">
        <v>10</v>
      </c>
      <c r="P735" t="s">
        <v>41</v>
      </c>
      <c r="Q735" t="s">
        <v>49</v>
      </c>
      <c r="R735" t="str">
        <f>"0560029"</f>
        <v>0560029</v>
      </c>
      <c r="S735" t="s">
        <v>309</v>
      </c>
      <c r="T735" t="s">
        <v>300</v>
      </c>
      <c r="U735" t="s">
        <v>301</v>
      </c>
      <c r="V735" t="s">
        <v>131</v>
      </c>
      <c r="W735" t="s">
        <v>51</v>
      </c>
      <c r="X735" t="s">
        <v>45</v>
      </c>
      <c r="Y735" s="1">
        <v>25204</v>
      </c>
      <c r="Z735">
        <v>2</v>
      </c>
      <c r="AA735" t="s">
        <v>301</v>
      </c>
      <c r="AB735" s="40" t="s">
        <v>1795</v>
      </c>
    </row>
    <row r="736" spans="1:28" x14ac:dyDescent="0.25">
      <c r="A736">
        <v>99910735</v>
      </c>
      <c r="B736" t="s">
        <v>56</v>
      </c>
      <c r="C736" t="s">
        <v>46</v>
      </c>
      <c r="D736" t="s">
        <v>47</v>
      </c>
      <c r="G736" t="s">
        <v>35</v>
      </c>
      <c r="H736">
        <v>1</v>
      </c>
      <c r="K736" t="s">
        <v>936</v>
      </c>
      <c r="L736" t="s">
        <v>937</v>
      </c>
      <c r="M736" t="s">
        <v>938</v>
      </c>
      <c r="N736">
        <v>10</v>
      </c>
      <c r="P736" t="s">
        <v>41</v>
      </c>
      <c r="Q736" t="s">
        <v>49</v>
      </c>
      <c r="R736" t="str">
        <f>"0160075"</f>
        <v>0160075</v>
      </c>
      <c r="S736" t="s">
        <v>939</v>
      </c>
      <c r="T736" t="s">
        <v>936</v>
      </c>
      <c r="U736" t="s">
        <v>937</v>
      </c>
      <c r="V736" t="s">
        <v>938</v>
      </c>
      <c r="W736" t="s">
        <v>51</v>
      </c>
      <c r="X736" t="s">
        <v>45</v>
      </c>
      <c r="Y736" s="1">
        <v>25119</v>
      </c>
      <c r="Z736">
        <v>2</v>
      </c>
      <c r="AA736" t="s">
        <v>937</v>
      </c>
      <c r="AB736" s="40" t="s">
        <v>1795</v>
      </c>
    </row>
    <row r="737" spans="1:28" x14ac:dyDescent="0.25">
      <c r="A737">
        <v>99910736</v>
      </c>
      <c r="B737" t="s">
        <v>32</v>
      </c>
      <c r="C737" t="s">
        <v>139</v>
      </c>
      <c r="D737" t="s">
        <v>140</v>
      </c>
      <c r="G737" t="s">
        <v>35</v>
      </c>
      <c r="H737">
        <v>1</v>
      </c>
      <c r="K737" t="s">
        <v>431</v>
      </c>
      <c r="L737" t="s">
        <v>196</v>
      </c>
      <c r="M737" t="s">
        <v>131</v>
      </c>
      <c r="N737">
        <v>10</v>
      </c>
      <c r="P737" t="s">
        <v>41</v>
      </c>
      <c r="Q737" t="s">
        <v>75</v>
      </c>
      <c r="R737" t="str">
        <f>"7521032"</f>
        <v>7521032</v>
      </c>
      <c r="S737" t="s">
        <v>462</v>
      </c>
      <c r="T737" t="s">
        <v>431</v>
      </c>
      <c r="U737" t="s">
        <v>196</v>
      </c>
      <c r="V737" t="s">
        <v>131</v>
      </c>
      <c r="W737" t="s">
        <v>51</v>
      </c>
      <c r="X737" t="s">
        <v>45</v>
      </c>
      <c r="Y737" s="1">
        <v>24976</v>
      </c>
      <c r="Z737">
        <v>1</v>
      </c>
      <c r="AA737" t="s">
        <v>196</v>
      </c>
      <c r="AB737" s="40" t="s">
        <v>1795</v>
      </c>
    </row>
    <row r="738" spans="1:28" x14ac:dyDescent="0.25">
      <c r="A738">
        <v>99910737</v>
      </c>
      <c r="B738" t="s">
        <v>32</v>
      </c>
      <c r="C738" t="s">
        <v>46</v>
      </c>
      <c r="D738" t="s">
        <v>47</v>
      </c>
      <c r="G738" t="s">
        <v>48</v>
      </c>
      <c r="H738">
        <v>1</v>
      </c>
      <c r="K738" t="s">
        <v>157</v>
      </c>
      <c r="L738" t="s">
        <v>158</v>
      </c>
      <c r="M738" t="s">
        <v>131</v>
      </c>
      <c r="N738">
        <v>10</v>
      </c>
      <c r="P738" t="s">
        <v>41</v>
      </c>
      <c r="Q738" t="s">
        <v>49</v>
      </c>
      <c r="R738" t="str">
        <f>"0560010"</f>
        <v>0560010</v>
      </c>
      <c r="S738" t="s">
        <v>179</v>
      </c>
      <c r="T738" t="s">
        <v>157</v>
      </c>
      <c r="U738" t="s">
        <v>158</v>
      </c>
      <c r="V738" t="s">
        <v>131</v>
      </c>
      <c r="W738" t="s">
        <v>51</v>
      </c>
      <c r="X738" t="s">
        <v>45</v>
      </c>
      <c r="Y738" s="1">
        <v>24964</v>
      </c>
      <c r="Z738">
        <v>2</v>
      </c>
      <c r="AA738" t="s">
        <v>158</v>
      </c>
      <c r="AB738" s="40" t="s">
        <v>1795</v>
      </c>
    </row>
    <row r="739" spans="1:28" x14ac:dyDescent="0.25">
      <c r="A739">
        <v>99910738</v>
      </c>
      <c r="B739" t="s">
        <v>32</v>
      </c>
      <c r="C739" t="s">
        <v>79</v>
      </c>
      <c r="D739" t="s">
        <v>80</v>
      </c>
      <c r="G739" t="s">
        <v>48</v>
      </c>
      <c r="H739">
        <v>1</v>
      </c>
      <c r="K739" t="s">
        <v>223</v>
      </c>
      <c r="L739" t="s">
        <v>224</v>
      </c>
      <c r="M739" t="s">
        <v>131</v>
      </c>
      <c r="N739">
        <v>10</v>
      </c>
      <c r="P739" t="s">
        <v>41</v>
      </c>
      <c r="Q739" t="s">
        <v>42</v>
      </c>
      <c r="R739" t="str">
        <f>"0580395"</f>
        <v>0580395</v>
      </c>
      <c r="S739" t="s">
        <v>265</v>
      </c>
      <c r="T739" t="s">
        <v>223</v>
      </c>
      <c r="U739" t="s">
        <v>224</v>
      </c>
      <c r="V739" t="s">
        <v>131</v>
      </c>
      <c r="W739" t="s">
        <v>51</v>
      </c>
      <c r="X739" t="s">
        <v>45</v>
      </c>
      <c r="Y739" s="1">
        <v>24829</v>
      </c>
      <c r="Z739">
        <v>2</v>
      </c>
      <c r="AA739" t="s">
        <v>224</v>
      </c>
      <c r="AB739" s="40" t="s">
        <v>1795</v>
      </c>
    </row>
    <row r="740" spans="1:28" x14ac:dyDescent="0.25">
      <c r="A740">
        <v>99910739</v>
      </c>
      <c r="B740" t="s">
        <v>32</v>
      </c>
      <c r="C740" t="s">
        <v>139</v>
      </c>
      <c r="D740" t="s">
        <v>140</v>
      </c>
      <c r="G740" t="s">
        <v>35</v>
      </c>
      <c r="H740">
        <v>1</v>
      </c>
      <c r="J740" s="1">
        <v>38230</v>
      </c>
      <c r="K740" t="s">
        <v>1336</v>
      </c>
      <c r="L740" t="s">
        <v>1337</v>
      </c>
      <c r="M740" t="s">
        <v>1270</v>
      </c>
      <c r="N740">
        <v>10</v>
      </c>
      <c r="O740" s="1">
        <v>38230</v>
      </c>
      <c r="P740" t="s">
        <v>41</v>
      </c>
      <c r="Q740" t="s">
        <v>49</v>
      </c>
      <c r="R740" t="str">
        <f>"4475075"</f>
        <v>4475075</v>
      </c>
      <c r="S740" t="s">
        <v>1339</v>
      </c>
      <c r="T740" t="s">
        <v>1336</v>
      </c>
      <c r="U740" t="s">
        <v>1337</v>
      </c>
      <c r="V740" t="s">
        <v>1270</v>
      </c>
      <c r="W740" t="s">
        <v>51</v>
      </c>
      <c r="X740" t="s">
        <v>45</v>
      </c>
      <c r="Y740" s="1">
        <v>24708</v>
      </c>
      <c r="Z740">
        <v>2</v>
      </c>
      <c r="AA740" t="s">
        <v>1337</v>
      </c>
      <c r="AB740" s="40" t="s">
        <v>1795</v>
      </c>
    </row>
    <row r="741" spans="1:28" x14ac:dyDescent="0.25">
      <c r="A741">
        <v>99910740</v>
      </c>
      <c r="B741" t="s">
        <v>56</v>
      </c>
      <c r="C741" t="s">
        <v>79</v>
      </c>
      <c r="D741" t="s">
        <v>80</v>
      </c>
      <c r="G741" t="s">
        <v>48</v>
      </c>
      <c r="H741">
        <v>1</v>
      </c>
      <c r="K741" t="s">
        <v>300</v>
      </c>
      <c r="L741" t="s">
        <v>301</v>
      </c>
      <c r="M741" t="s">
        <v>131</v>
      </c>
      <c r="N741">
        <v>10</v>
      </c>
      <c r="P741" t="s">
        <v>41</v>
      </c>
      <c r="Q741" t="s">
        <v>49</v>
      </c>
      <c r="R741" t="str">
        <f>"0560020"</f>
        <v>0560020</v>
      </c>
      <c r="S741" t="s">
        <v>302</v>
      </c>
      <c r="T741" t="s">
        <v>300</v>
      </c>
      <c r="U741" t="s">
        <v>301</v>
      </c>
      <c r="V741" t="s">
        <v>131</v>
      </c>
      <c r="W741" t="s">
        <v>51</v>
      </c>
      <c r="X741" t="s">
        <v>45</v>
      </c>
      <c r="Y741" s="1">
        <v>24700</v>
      </c>
      <c r="Z741">
        <v>2</v>
      </c>
      <c r="AA741" t="s">
        <v>301</v>
      </c>
      <c r="AB741" s="40" t="s">
        <v>1795</v>
      </c>
    </row>
    <row r="742" spans="1:28" x14ac:dyDescent="0.25">
      <c r="A742">
        <v>99910741</v>
      </c>
      <c r="B742" t="s">
        <v>32</v>
      </c>
      <c r="C742" t="s">
        <v>33</v>
      </c>
      <c r="D742" t="s">
        <v>34</v>
      </c>
      <c r="G742" t="s">
        <v>48</v>
      </c>
      <c r="H742">
        <v>1</v>
      </c>
      <c r="K742" t="s">
        <v>380</v>
      </c>
      <c r="L742" t="s">
        <v>381</v>
      </c>
      <c r="M742" t="s">
        <v>131</v>
      </c>
      <c r="N742">
        <v>10</v>
      </c>
      <c r="P742" t="s">
        <v>41</v>
      </c>
      <c r="Q742" t="s">
        <v>49</v>
      </c>
      <c r="R742" t="str">
        <f>"0581575"</f>
        <v>0581575</v>
      </c>
      <c r="S742" t="s">
        <v>392</v>
      </c>
      <c r="T742" t="s">
        <v>380</v>
      </c>
      <c r="U742" t="s">
        <v>381</v>
      </c>
      <c r="V742" t="s">
        <v>131</v>
      </c>
      <c r="W742" t="s">
        <v>51</v>
      </c>
      <c r="X742" t="s">
        <v>45</v>
      </c>
      <c r="Y742" s="1">
        <v>24527</v>
      </c>
      <c r="Z742">
        <v>2</v>
      </c>
      <c r="AA742" t="s">
        <v>381</v>
      </c>
      <c r="AB742" s="40" t="s">
        <v>1795</v>
      </c>
    </row>
    <row r="743" spans="1:28" x14ac:dyDescent="0.25">
      <c r="A743">
        <v>99910742</v>
      </c>
      <c r="B743" t="s">
        <v>32</v>
      </c>
      <c r="C743" t="s">
        <v>111</v>
      </c>
      <c r="D743" t="s">
        <v>112</v>
      </c>
      <c r="G743" t="s">
        <v>48</v>
      </c>
      <c r="H743">
        <v>1</v>
      </c>
      <c r="K743" t="s">
        <v>1198</v>
      </c>
      <c r="L743" t="s">
        <v>1199</v>
      </c>
      <c r="M743" t="s">
        <v>1130</v>
      </c>
      <c r="N743">
        <v>10</v>
      </c>
      <c r="P743" t="s">
        <v>41</v>
      </c>
      <c r="Q743" t="s">
        <v>75</v>
      </c>
      <c r="R743" t="str">
        <f>"7311008"</f>
        <v>7311008</v>
      </c>
      <c r="S743" t="s">
        <v>1205</v>
      </c>
      <c r="T743" t="s">
        <v>1198</v>
      </c>
      <c r="U743" t="s">
        <v>1199</v>
      </c>
      <c r="V743" t="s">
        <v>1130</v>
      </c>
      <c r="W743" t="s">
        <v>51</v>
      </c>
      <c r="X743" t="s">
        <v>45</v>
      </c>
      <c r="Y743" s="1">
        <v>24271</v>
      </c>
      <c r="Z743">
        <v>1</v>
      </c>
      <c r="AA743" t="s">
        <v>1199</v>
      </c>
      <c r="AB743" s="40" t="s">
        <v>1795</v>
      </c>
    </row>
    <row r="744" spans="1:28" x14ac:dyDescent="0.25">
      <c r="A744">
        <v>99910743</v>
      </c>
      <c r="B744" t="s">
        <v>32</v>
      </c>
      <c r="C744" t="s">
        <v>52</v>
      </c>
      <c r="D744" t="s">
        <v>53</v>
      </c>
      <c r="G744" t="s">
        <v>35</v>
      </c>
      <c r="H744">
        <v>1</v>
      </c>
      <c r="K744" t="s">
        <v>1546</v>
      </c>
      <c r="L744" t="s">
        <v>1547</v>
      </c>
      <c r="M744" t="s">
        <v>1548</v>
      </c>
      <c r="N744">
        <v>10</v>
      </c>
      <c r="P744" t="s">
        <v>41</v>
      </c>
      <c r="Q744" t="s">
        <v>49</v>
      </c>
      <c r="R744" t="str">
        <f>"1081010"</f>
        <v>1081010</v>
      </c>
      <c r="S744" t="s">
        <v>1552</v>
      </c>
      <c r="T744" t="s">
        <v>1546</v>
      </c>
      <c r="U744" t="s">
        <v>1547</v>
      </c>
      <c r="V744" t="s">
        <v>1548</v>
      </c>
      <c r="W744" t="s">
        <v>51</v>
      </c>
      <c r="X744" t="s">
        <v>45</v>
      </c>
      <c r="Y744" s="1">
        <v>24218</v>
      </c>
      <c r="Z744">
        <v>2</v>
      </c>
      <c r="AA744" t="s">
        <v>1547</v>
      </c>
      <c r="AB744" s="40" t="s">
        <v>1795</v>
      </c>
    </row>
    <row r="745" spans="1:28" x14ac:dyDescent="0.25">
      <c r="A745">
        <v>99910744</v>
      </c>
      <c r="B745" t="s">
        <v>32</v>
      </c>
      <c r="C745" t="s">
        <v>139</v>
      </c>
      <c r="D745" t="s">
        <v>140</v>
      </c>
      <c r="G745" t="s">
        <v>35</v>
      </c>
      <c r="H745">
        <v>1</v>
      </c>
      <c r="I745" t="s">
        <v>1162</v>
      </c>
      <c r="J745" s="1">
        <v>43344</v>
      </c>
      <c r="K745" t="s">
        <v>1128</v>
      </c>
      <c r="L745" t="s">
        <v>1129</v>
      </c>
      <c r="M745" t="s">
        <v>1130</v>
      </c>
      <c r="N745">
        <v>10</v>
      </c>
      <c r="O745" s="1">
        <v>43344</v>
      </c>
      <c r="P745" t="s">
        <v>41</v>
      </c>
      <c r="Q745" t="s">
        <v>49</v>
      </c>
      <c r="R745" t="str">
        <f>"3160002"</f>
        <v>3160002</v>
      </c>
      <c r="S745" t="s">
        <v>1143</v>
      </c>
      <c r="T745" t="s">
        <v>1128</v>
      </c>
      <c r="U745" t="s">
        <v>1129</v>
      </c>
      <c r="V745" t="s">
        <v>1130</v>
      </c>
      <c r="W745" t="s">
        <v>51</v>
      </c>
      <c r="X745" t="s">
        <v>45</v>
      </c>
      <c r="Y745" s="1">
        <v>23933</v>
      </c>
      <c r="Z745">
        <v>2</v>
      </c>
      <c r="AA745" t="s">
        <v>1129</v>
      </c>
      <c r="AB745" s="40" t="s">
        <v>1795</v>
      </c>
    </row>
    <row r="746" spans="1:28" x14ac:dyDescent="0.25">
      <c r="A746">
        <v>99910745</v>
      </c>
      <c r="B746" t="s">
        <v>32</v>
      </c>
      <c r="C746" t="s">
        <v>139</v>
      </c>
      <c r="D746" t="s">
        <v>140</v>
      </c>
      <c r="G746" t="s">
        <v>35</v>
      </c>
      <c r="H746">
        <v>1</v>
      </c>
      <c r="I746" t="s">
        <v>608</v>
      </c>
      <c r="J746" s="1">
        <v>43344</v>
      </c>
      <c r="K746" t="s">
        <v>268</v>
      </c>
      <c r="L746" t="s">
        <v>269</v>
      </c>
      <c r="M746" t="s">
        <v>131</v>
      </c>
      <c r="N746">
        <v>10</v>
      </c>
      <c r="O746" s="1">
        <v>43344</v>
      </c>
      <c r="P746" t="s">
        <v>41</v>
      </c>
      <c r="Q746" t="s">
        <v>75</v>
      </c>
      <c r="R746" t="str">
        <f>"7052020"</f>
        <v>7052020</v>
      </c>
      <c r="S746" t="s">
        <v>267</v>
      </c>
      <c r="T746" t="s">
        <v>268</v>
      </c>
      <c r="U746" t="s">
        <v>269</v>
      </c>
      <c r="V746" t="s">
        <v>131</v>
      </c>
      <c r="W746" t="s">
        <v>51</v>
      </c>
      <c r="X746" t="s">
        <v>45</v>
      </c>
      <c r="Y746" s="1">
        <v>23892</v>
      </c>
      <c r="Z746">
        <v>1</v>
      </c>
      <c r="AA746" t="s">
        <v>269</v>
      </c>
      <c r="AB746" s="40" t="s">
        <v>1795</v>
      </c>
    </row>
    <row r="747" spans="1:28" x14ac:dyDescent="0.25">
      <c r="A747">
        <v>99910746</v>
      </c>
      <c r="B747" t="s">
        <v>32</v>
      </c>
      <c r="C747" t="s">
        <v>71</v>
      </c>
      <c r="D747" t="s">
        <v>72</v>
      </c>
      <c r="G747" t="s">
        <v>48</v>
      </c>
      <c r="H747">
        <v>1</v>
      </c>
      <c r="K747" t="s">
        <v>223</v>
      </c>
      <c r="L747" t="s">
        <v>224</v>
      </c>
      <c r="M747" t="s">
        <v>131</v>
      </c>
      <c r="N747">
        <v>10</v>
      </c>
      <c r="P747" t="s">
        <v>41</v>
      </c>
      <c r="Q747" t="s">
        <v>49</v>
      </c>
      <c r="R747" t="str">
        <f>"0581204"</f>
        <v>0581204</v>
      </c>
      <c r="S747" t="s">
        <v>249</v>
      </c>
      <c r="T747" t="s">
        <v>223</v>
      </c>
      <c r="U747" t="s">
        <v>224</v>
      </c>
      <c r="V747" t="s">
        <v>131</v>
      </c>
      <c r="W747" t="s">
        <v>165</v>
      </c>
      <c r="X747" t="s">
        <v>45</v>
      </c>
      <c r="Y747" s="1">
        <v>23881</v>
      </c>
      <c r="Z747">
        <v>2</v>
      </c>
      <c r="AA747" t="s">
        <v>224</v>
      </c>
      <c r="AB747" s="40" t="s">
        <v>1795</v>
      </c>
    </row>
    <row r="748" spans="1:28" x14ac:dyDescent="0.25">
      <c r="A748">
        <v>99910747</v>
      </c>
      <c r="B748" t="s">
        <v>56</v>
      </c>
      <c r="C748" t="s">
        <v>79</v>
      </c>
      <c r="D748" t="s">
        <v>80</v>
      </c>
      <c r="G748" t="s">
        <v>35</v>
      </c>
      <c r="H748">
        <v>1</v>
      </c>
      <c r="K748" t="s">
        <v>1268</v>
      </c>
      <c r="L748" t="s">
        <v>1269</v>
      </c>
      <c r="M748" t="s">
        <v>1270</v>
      </c>
      <c r="N748">
        <v>10</v>
      </c>
      <c r="P748" t="s">
        <v>41</v>
      </c>
      <c r="Q748" t="s">
        <v>42</v>
      </c>
      <c r="R748" t="str">
        <f>"1990001"</f>
        <v>1990001</v>
      </c>
      <c r="S748" t="s">
        <v>1294</v>
      </c>
      <c r="T748" t="s">
        <v>1268</v>
      </c>
      <c r="U748" t="s">
        <v>1269</v>
      </c>
      <c r="V748" t="s">
        <v>1270</v>
      </c>
      <c r="W748" t="s">
        <v>51</v>
      </c>
      <c r="X748" t="s">
        <v>45</v>
      </c>
      <c r="Y748" s="1">
        <v>23522</v>
      </c>
      <c r="Z748">
        <v>2</v>
      </c>
      <c r="AA748" t="s">
        <v>1269</v>
      </c>
      <c r="AB748" s="40" t="s">
        <v>1795</v>
      </c>
    </row>
    <row r="749" spans="1:28" x14ac:dyDescent="0.25">
      <c r="A749">
        <v>99910748</v>
      </c>
      <c r="B749" t="s">
        <v>32</v>
      </c>
      <c r="C749" t="s">
        <v>111</v>
      </c>
      <c r="D749" t="s">
        <v>112</v>
      </c>
      <c r="G749" t="s">
        <v>48</v>
      </c>
      <c r="H749">
        <v>1</v>
      </c>
      <c r="K749" t="s">
        <v>1198</v>
      </c>
      <c r="L749" t="s">
        <v>1199</v>
      </c>
      <c r="M749" t="s">
        <v>1130</v>
      </c>
      <c r="N749">
        <v>10</v>
      </c>
      <c r="P749" t="s">
        <v>41</v>
      </c>
      <c r="Q749" t="s">
        <v>75</v>
      </c>
      <c r="R749" t="str">
        <f>"7311010"</f>
        <v>7311010</v>
      </c>
      <c r="S749" t="s">
        <v>1202</v>
      </c>
      <c r="T749" t="s">
        <v>1198</v>
      </c>
      <c r="U749" t="s">
        <v>1199</v>
      </c>
      <c r="V749" t="s">
        <v>1130</v>
      </c>
      <c r="W749" t="s">
        <v>51</v>
      </c>
      <c r="X749" t="s">
        <v>45</v>
      </c>
      <c r="Y749" s="1">
        <v>23439</v>
      </c>
      <c r="Z749">
        <v>1</v>
      </c>
      <c r="AA749" t="s">
        <v>1199</v>
      </c>
      <c r="AB749" s="40" t="s">
        <v>1795</v>
      </c>
    </row>
    <row r="750" spans="1:28" x14ac:dyDescent="0.25">
      <c r="A750">
        <v>99910749</v>
      </c>
      <c r="B750" t="s">
        <v>32</v>
      </c>
      <c r="C750" t="s">
        <v>52</v>
      </c>
      <c r="D750" t="s">
        <v>53</v>
      </c>
      <c r="G750" t="s">
        <v>35</v>
      </c>
      <c r="H750">
        <v>1</v>
      </c>
      <c r="K750" t="s">
        <v>162</v>
      </c>
      <c r="L750" t="s">
        <v>158</v>
      </c>
      <c r="M750" t="s">
        <v>131</v>
      </c>
      <c r="N750">
        <v>10</v>
      </c>
      <c r="P750" t="s">
        <v>41</v>
      </c>
      <c r="Q750" t="s">
        <v>49</v>
      </c>
      <c r="R750" t="str">
        <f>"0505050"</f>
        <v>0505050</v>
      </c>
      <c r="S750" t="s">
        <v>163</v>
      </c>
      <c r="T750" t="s">
        <v>162</v>
      </c>
      <c r="U750" t="s">
        <v>158</v>
      </c>
      <c r="V750" t="s">
        <v>131</v>
      </c>
      <c r="W750" t="s">
        <v>165</v>
      </c>
      <c r="X750" t="s">
        <v>45</v>
      </c>
      <c r="Y750" s="1">
        <v>22890</v>
      </c>
      <c r="Z750">
        <v>2</v>
      </c>
      <c r="AA750" t="s">
        <v>158</v>
      </c>
      <c r="AB750" s="40" t="s">
        <v>1795</v>
      </c>
    </row>
    <row r="751" spans="1:28" x14ac:dyDescent="0.25">
      <c r="A751">
        <v>99910750</v>
      </c>
      <c r="B751" t="s">
        <v>32</v>
      </c>
      <c r="C751" t="s">
        <v>52</v>
      </c>
      <c r="D751" t="s">
        <v>53</v>
      </c>
      <c r="G751" t="s">
        <v>48</v>
      </c>
      <c r="H751">
        <v>1</v>
      </c>
      <c r="K751" t="s">
        <v>1546</v>
      </c>
      <c r="L751" t="s">
        <v>1547</v>
      </c>
      <c r="M751" t="s">
        <v>1548</v>
      </c>
      <c r="N751">
        <v>10</v>
      </c>
      <c r="P751" t="s">
        <v>41</v>
      </c>
      <c r="Q751" t="s">
        <v>49</v>
      </c>
      <c r="R751" t="str">
        <f>"1060001"</f>
        <v>1060001</v>
      </c>
      <c r="S751" t="s">
        <v>1553</v>
      </c>
      <c r="T751" t="s">
        <v>1546</v>
      </c>
      <c r="U751" t="s">
        <v>1547</v>
      </c>
      <c r="V751" t="s">
        <v>1548</v>
      </c>
      <c r="W751" t="s">
        <v>51</v>
      </c>
      <c r="X751" t="s">
        <v>45</v>
      </c>
      <c r="Y751" s="1">
        <v>22782</v>
      </c>
      <c r="Z751">
        <v>2</v>
      </c>
      <c r="AA751" t="s">
        <v>1547</v>
      </c>
      <c r="AB751" s="40" t="s">
        <v>1795</v>
      </c>
    </row>
    <row r="752" spans="1:28" x14ac:dyDescent="0.25">
      <c r="A752">
        <v>99910751</v>
      </c>
      <c r="B752" t="s">
        <v>32</v>
      </c>
      <c r="C752" t="s">
        <v>111</v>
      </c>
      <c r="D752" t="s">
        <v>112</v>
      </c>
      <c r="G752" t="s">
        <v>35</v>
      </c>
      <c r="H752">
        <v>1</v>
      </c>
      <c r="K752" t="s">
        <v>268</v>
      </c>
      <c r="L752" t="s">
        <v>269</v>
      </c>
      <c r="M752" t="s">
        <v>131</v>
      </c>
      <c r="N752">
        <v>10</v>
      </c>
      <c r="P752" t="s">
        <v>41</v>
      </c>
      <c r="Q752" t="s">
        <v>75</v>
      </c>
      <c r="R752" t="str">
        <f>"7052028"</f>
        <v>7052028</v>
      </c>
      <c r="S752" t="s">
        <v>601</v>
      </c>
      <c r="T752" t="s">
        <v>268</v>
      </c>
      <c r="U752" t="s">
        <v>269</v>
      </c>
      <c r="V752" t="s">
        <v>131</v>
      </c>
      <c r="W752" t="s">
        <v>51</v>
      </c>
      <c r="X752" t="s">
        <v>45</v>
      </c>
      <c r="Y752" s="1">
        <v>22059</v>
      </c>
      <c r="Z752">
        <v>1</v>
      </c>
      <c r="AA752" t="s">
        <v>269</v>
      </c>
      <c r="AB752" s="40" t="s">
        <v>1795</v>
      </c>
    </row>
    <row r="753" spans="1:28" x14ac:dyDescent="0.25">
      <c r="A753">
        <v>99910752</v>
      </c>
      <c r="B753" t="s">
        <v>56</v>
      </c>
      <c r="C753" t="s">
        <v>33</v>
      </c>
      <c r="D753" t="s">
        <v>34</v>
      </c>
      <c r="G753" t="s">
        <v>48</v>
      </c>
      <c r="H753">
        <v>1</v>
      </c>
      <c r="K753" t="s">
        <v>1268</v>
      </c>
      <c r="L753" t="s">
        <v>1269</v>
      </c>
      <c r="M753" t="s">
        <v>1270</v>
      </c>
      <c r="N753">
        <v>10</v>
      </c>
      <c r="P753" t="s">
        <v>41</v>
      </c>
      <c r="Q753" t="s">
        <v>42</v>
      </c>
      <c r="R753" t="str">
        <f>"1990911"</f>
        <v>1990911</v>
      </c>
      <c r="S753" t="s">
        <v>1276</v>
      </c>
      <c r="T753" t="s">
        <v>1268</v>
      </c>
      <c r="U753" t="s">
        <v>1269</v>
      </c>
      <c r="V753" t="s">
        <v>1270</v>
      </c>
      <c r="W753" t="s">
        <v>165</v>
      </c>
      <c r="X753" t="s">
        <v>45</v>
      </c>
      <c r="Y753" s="1">
        <v>21451</v>
      </c>
      <c r="Z753">
        <v>2</v>
      </c>
      <c r="AA753" t="s">
        <v>1269</v>
      </c>
      <c r="AB753" s="40" t="s">
        <v>1795</v>
      </c>
    </row>
    <row r="754" spans="1:28" x14ac:dyDescent="0.25">
      <c r="A754">
        <v>99910753</v>
      </c>
      <c r="B754" t="s">
        <v>56</v>
      </c>
      <c r="C754" t="s">
        <v>52</v>
      </c>
      <c r="D754" t="s">
        <v>53</v>
      </c>
      <c r="G754" t="s">
        <v>48</v>
      </c>
      <c r="H754">
        <v>1</v>
      </c>
      <c r="K754" t="s">
        <v>936</v>
      </c>
      <c r="L754" t="s">
        <v>937</v>
      </c>
      <c r="M754" t="s">
        <v>938</v>
      </c>
      <c r="N754">
        <v>10</v>
      </c>
      <c r="P754" t="s">
        <v>41</v>
      </c>
      <c r="Q754" t="s">
        <v>42</v>
      </c>
      <c r="R754" t="str">
        <f>"0161003"</f>
        <v>0161003</v>
      </c>
      <c r="S754" t="s">
        <v>942</v>
      </c>
      <c r="T754" t="s">
        <v>936</v>
      </c>
      <c r="U754" t="s">
        <v>937</v>
      </c>
      <c r="V754" t="s">
        <v>938</v>
      </c>
      <c r="W754" t="s">
        <v>51</v>
      </c>
      <c r="X754" t="s">
        <v>45</v>
      </c>
      <c r="Y754" s="1">
        <v>21423</v>
      </c>
      <c r="Z754">
        <v>2</v>
      </c>
      <c r="AA754" t="s">
        <v>937</v>
      </c>
      <c r="AB754" s="40" t="s">
        <v>1795</v>
      </c>
    </row>
    <row r="755" spans="1:28" x14ac:dyDescent="0.25">
      <c r="A755">
        <v>99910754</v>
      </c>
      <c r="B755" t="s">
        <v>56</v>
      </c>
      <c r="C755" t="s">
        <v>33</v>
      </c>
      <c r="D755" t="s">
        <v>34</v>
      </c>
      <c r="G755" t="s">
        <v>48</v>
      </c>
      <c r="H755">
        <v>1</v>
      </c>
      <c r="K755" t="s">
        <v>1051</v>
      </c>
      <c r="L755" t="s">
        <v>1052</v>
      </c>
      <c r="M755" t="s">
        <v>1053</v>
      </c>
      <c r="N755">
        <v>10</v>
      </c>
      <c r="P755" t="s">
        <v>41</v>
      </c>
      <c r="Q755" t="s">
        <v>42</v>
      </c>
      <c r="R755" t="str">
        <f>"2061003"</f>
        <v>2061003</v>
      </c>
      <c r="S755" t="s">
        <v>1060</v>
      </c>
      <c r="T755" t="s">
        <v>1051</v>
      </c>
      <c r="U755" t="s">
        <v>1052</v>
      </c>
      <c r="V755" t="s">
        <v>1053</v>
      </c>
      <c r="W755" t="s">
        <v>51</v>
      </c>
      <c r="X755" t="s">
        <v>45</v>
      </c>
      <c r="Y755" s="1">
        <v>21418</v>
      </c>
      <c r="Z755">
        <v>2</v>
      </c>
      <c r="AA755" t="s">
        <v>1052</v>
      </c>
      <c r="AB755" s="40" t="s">
        <v>1795</v>
      </c>
    </row>
    <row r="756" spans="1:28" x14ac:dyDescent="0.25">
      <c r="A756">
        <v>99910755</v>
      </c>
      <c r="B756" t="s">
        <v>32</v>
      </c>
      <c r="C756" t="s">
        <v>33</v>
      </c>
      <c r="D756" t="s">
        <v>34</v>
      </c>
      <c r="G756" t="s">
        <v>48</v>
      </c>
      <c r="H756">
        <v>1</v>
      </c>
      <c r="K756" t="s">
        <v>1268</v>
      </c>
      <c r="L756" t="s">
        <v>1269</v>
      </c>
      <c r="M756" t="s">
        <v>1270</v>
      </c>
      <c r="N756">
        <v>10</v>
      </c>
      <c r="P756" t="s">
        <v>41</v>
      </c>
      <c r="Q756" t="s">
        <v>42</v>
      </c>
      <c r="R756" t="str">
        <f>"1980050"</f>
        <v>1980050</v>
      </c>
      <c r="S756" t="s">
        <v>1278</v>
      </c>
      <c r="T756" t="s">
        <v>1268</v>
      </c>
      <c r="U756" t="s">
        <v>1269</v>
      </c>
      <c r="V756" t="s">
        <v>1270</v>
      </c>
      <c r="W756" t="s">
        <v>51</v>
      </c>
      <c r="X756" t="s">
        <v>45</v>
      </c>
      <c r="Y756" s="1">
        <v>21380</v>
      </c>
      <c r="Z756">
        <v>2</v>
      </c>
      <c r="AA756" t="s">
        <v>1269</v>
      </c>
      <c r="AB756" s="40" t="s">
        <v>1795</v>
      </c>
    </row>
    <row r="757" spans="1:28" x14ac:dyDescent="0.25">
      <c r="A757">
        <v>99910756</v>
      </c>
      <c r="B757" t="s">
        <v>32</v>
      </c>
      <c r="C757" t="s">
        <v>82</v>
      </c>
      <c r="D757" t="s">
        <v>83</v>
      </c>
      <c r="G757" t="s">
        <v>48</v>
      </c>
      <c r="H757">
        <v>1</v>
      </c>
      <c r="K757" t="s">
        <v>223</v>
      </c>
      <c r="L757" t="s">
        <v>224</v>
      </c>
      <c r="M757" t="s">
        <v>131</v>
      </c>
      <c r="N757">
        <v>10</v>
      </c>
      <c r="P757" t="s">
        <v>41</v>
      </c>
      <c r="Q757" t="s">
        <v>49</v>
      </c>
      <c r="R757" t="str">
        <f>"0581204"</f>
        <v>0581204</v>
      </c>
      <c r="S757" t="s">
        <v>249</v>
      </c>
      <c r="T757" t="s">
        <v>223</v>
      </c>
      <c r="U757" t="s">
        <v>224</v>
      </c>
      <c r="V757" t="s">
        <v>131</v>
      </c>
      <c r="W757" t="s">
        <v>165</v>
      </c>
      <c r="X757" t="s">
        <v>45</v>
      </c>
      <c r="Y757" s="1">
        <v>21258</v>
      </c>
      <c r="Z757">
        <v>2</v>
      </c>
      <c r="AA757" t="s">
        <v>224</v>
      </c>
      <c r="AB757" s="40" t="s">
        <v>1795</v>
      </c>
    </row>
    <row r="758" spans="1:28" x14ac:dyDescent="0.25">
      <c r="A758">
        <v>99910757</v>
      </c>
      <c r="B758" t="s">
        <v>32</v>
      </c>
      <c r="C758" t="s">
        <v>46</v>
      </c>
      <c r="D758" t="s">
        <v>47</v>
      </c>
      <c r="G758" t="s">
        <v>48</v>
      </c>
      <c r="H758">
        <v>1</v>
      </c>
      <c r="K758" t="s">
        <v>223</v>
      </c>
      <c r="L758" t="s">
        <v>224</v>
      </c>
      <c r="M758" t="s">
        <v>131</v>
      </c>
      <c r="N758">
        <v>10</v>
      </c>
      <c r="P758" t="s">
        <v>41</v>
      </c>
      <c r="Q758" t="s">
        <v>42</v>
      </c>
      <c r="R758" t="str">
        <f>"0580202"</f>
        <v>0580202</v>
      </c>
      <c r="S758" t="s">
        <v>240</v>
      </c>
      <c r="T758" t="s">
        <v>223</v>
      </c>
      <c r="U758" t="s">
        <v>224</v>
      </c>
      <c r="V758" t="s">
        <v>131</v>
      </c>
      <c r="W758" t="s">
        <v>165</v>
      </c>
      <c r="X758" t="s">
        <v>45</v>
      </c>
      <c r="Y758" s="1">
        <v>21172</v>
      </c>
      <c r="Z758">
        <v>2</v>
      </c>
      <c r="AA758" t="s">
        <v>224</v>
      </c>
      <c r="AB758" s="40" t="s">
        <v>1795</v>
      </c>
    </row>
    <row r="759" spans="1:28" x14ac:dyDescent="0.25">
      <c r="A759">
        <v>99910758</v>
      </c>
      <c r="B759" t="s">
        <v>32</v>
      </c>
      <c r="C759" t="s">
        <v>139</v>
      </c>
      <c r="D759" t="s">
        <v>140</v>
      </c>
      <c r="G759" t="s">
        <v>35</v>
      </c>
      <c r="H759">
        <v>1</v>
      </c>
      <c r="K759" t="s">
        <v>157</v>
      </c>
      <c r="L759" t="s">
        <v>158</v>
      </c>
      <c r="M759" t="s">
        <v>131</v>
      </c>
      <c r="N759">
        <v>10</v>
      </c>
      <c r="P759" t="s">
        <v>41</v>
      </c>
      <c r="Q759" t="s">
        <v>49</v>
      </c>
      <c r="R759" t="str">
        <f>"0580505"</f>
        <v>0580505</v>
      </c>
      <c r="S759" t="s">
        <v>168</v>
      </c>
      <c r="T759" t="s">
        <v>157</v>
      </c>
      <c r="U759" t="s">
        <v>158</v>
      </c>
      <c r="V759" t="s">
        <v>131</v>
      </c>
      <c r="W759" t="s">
        <v>51</v>
      </c>
      <c r="X759" t="s">
        <v>45</v>
      </c>
      <c r="Z759">
        <v>2</v>
      </c>
      <c r="AA759" t="s">
        <v>158</v>
      </c>
      <c r="AB759" s="40" t="s">
        <v>1795</v>
      </c>
    </row>
    <row r="760" spans="1:28" x14ac:dyDescent="0.25">
      <c r="A760">
        <v>99910759</v>
      </c>
      <c r="B760" t="s">
        <v>32</v>
      </c>
      <c r="C760" t="s">
        <v>79</v>
      </c>
      <c r="D760" t="s">
        <v>80</v>
      </c>
      <c r="G760" t="s">
        <v>35</v>
      </c>
      <c r="H760">
        <v>1</v>
      </c>
      <c r="I760">
        <v>19619</v>
      </c>
      <c r="J760" s="1">
        <v>43412</v>
      </c>
      <c r="K760" t="s">
        <v>157</v>
      </c>
      <c r="L760" t="s">
        <v>158</v>
      </c>
      <c r="M760" t="s">
        <v>131</v>
      </c>
      <c r="N760">
        <v>10</v>
      </c>
      <c r="O760" s="1">
        <v>43412</v>
      </c>
      <c r="P760" t="s">
        <v>41</v>
      </c>
      <c r="Q760" t="s">
        <v>49</v>
      </c>
      <c r="R760" t="str">
        <f>"0560042"</f>
        <v>0560042</v>
      </c>
      <c r="S760" t="s">
        <v>159</v>
      </c>
      <c r="T760" t="s">
        <v>157</v>
      </c>
      <c r="U760" t="s">
        <v>158</v>
      </c>
      <c r="V760" t="s">
        <v>131</v>
      </c>
      <c r="W760" t="s">
        <v>51</v>
      </c>
      <c r="X760" t="s">
        <v>45</v>
      </c>
      <c r="Z760">
        <v>2</v>
      </c>
      <c r="AA760" t="s">
        <v>158</v>
      </c>
      <c r="AB760" s="40" t="s">
        <v>1795</v>
      </c>
    </row>
    <row r="761" spans="1:28" x14ac:dyDescent="0.25">
      <c r="A761">
        <v>99910760</v>
      </c>
      <c r="B761" t="s">
        <v>32</v>
      </c>
      <c r="C761" t="s">
        <v>139</v>
      </c>
      <c r="D761" t="s">
        <v>140</v>
      </c>
      <c r="G761" t="s">
        <v>35</v>
      </c>
      <c r="H761">
        <v>1</v>
      </c>
      <c r="K761" t="s">
        <v>157</v>
      </c>
      <c r="L761" t="s">
        <v>158</v>
      </c>
      <c r="M761" t="s">
        <v>131</v>
      </c>
      <c r="N761">
        <v>10</v>
      </c>
      <c r="P761" t="s">
        <v>41</v>
      </c>
      <c r="Q761" t="s">
        <v>49</v>
      </c>
      <c r="R761" t="str">
        <f>"0580505"</f>
        <v>0580505</v>
      </c>
      <c r="S761" t="s">
        <v>168</v>
      </c>
      <c r="T761" t="s">
        <v>157</v>
      </c>
      <c r="U761" t="s">
        <v>158</v>
      </c>
      <c r="V761" t="s">
        <v>131</v>
      </c>
      <c r="W761" t="s">
        <v>51</v>
      </c>
      <c r="X761" t="s">
        <v>45</v>
      </c>
      <c r="Z761">
        <v>2</v>
      </c>
      <c r="AA761" t="s">
        <v>158</v>
      </c>
      <c r="AB761" s="40" t="s">
        <v>1795</v>
      </c>
    </row>
    <row r="762" spans="1:28" x14ac:dyDescent="0.25">
      <c r="A762">
        <v>99910761</v>
      </c>
      <c r="B762" t="s">
        <v>32</v>
      </c>
      <c r="C762" t="s">
        <v>71</v>
      </c>
      <c r="D762" t="s">
        <v>72</v>
      </c>
      <c r="G762" t="s">
        <v>35</v>
      </c>
      <c r="H762">
        <v>1</v>
      </c>
      <c r="K762" t="s">
        <v>354</v>
      </c>
      <c r="L762" t="s">
        <v>355</v>
      </c>
      <c r="M762" t="s">
        <v>131</v>
      </c>
      <c r="N762">
        <v>10</v>
      </c>
      <c r="P762" t="s">
        <v>41</v>
      </c>
      <c r="Q762" t="s">
        <v>75</v>
      </c>
      <c r="R762" t="str">
        <f>"7054000"</f>
        <v>7054000</v>
      </c>
      <c r="S762" t="s">
        <v>786</v>
      </c>
      <c r="T762" t="s">
        <v>354</v>
      </c>
      <c r="U762" t="s">
        <v>355</v>
      </c>
      <c r="V762" t="s">
        <v>131</v>
      </c>
      <c r="W762" t="s">
        <v>51</v>
      </c>
      <c r="X762" t="s">
        <v>45</v>
      </c>
      <c r="Z762">
        <v>1</v>
      </c>
      <c r="AA762" t="s">
        <v>355</v>
      </c>
      <c r="AB762" s="40" t="s">
        <v>1795</v>
      </c>
    </row>
    <row r="763" spans="1:28" x14ac:dyDescent="0.25">
      <c r="A763">
        <v>99910762</v>
      </c>
      <c r="B763" t="s">
        <v>32</v>
      </c>
      <c r="C763" t="s">
        <v>136</v>
      </c>
      <c r="D763" t="s">
        <v>137</v>
      </c>
      <c r="G763" t="s">
        <v>35</v>
      </c>
      <c r="H763">
        <v>1</v>
      </c>
      <c r="I763">
        <v>10615</v>
      </c>
      <c r="J763" s="1">
        <v>43344</v>
      </c>
      <c r="K763" t="s">
        <v>354</v>
      </c>
      <c r="L763" t="s">
        <v>355</v>
      </c>
      <c r="M763" t="s">
        <v>131</v>
      </c>
      <c r="N763">
        <v>10</v>
      </c>
      <c r="O763" s="1">
        <v>43344</v>
      </c>
      <c r="P763" t="s">
        <v>41</v>
      </c>
      <c r="Q763" t="s">
        <v>75</v>
      </c>
      <c r="R763" t="str">
        <f>"7054000"</f>
        <v>7054000</v>
      </c>
      <c r="S763" t="s">
        <v>786</v>
      </c>
      <c r="T763" t="s">
        <v>354</v>
      </c>
      <c r="U763" t="s">
        <v>355</v>
      </c>
      <c r="V763" t="s">
        <v>131</v>
      </c>
      <c r="W763" t="s">
        <v>44</v>
      </c>
      <c r="X763" t="s">
        <v>45</v>
      </c>
      <c r="Z763">
        <v>1</v>
      </c>
      <c r="AA763" t="s">
        <v>355</v>
      </c>
      <c r="AB763" s="40" t="s">
        <v>1795</v>
      </c>
    </row>
    <row r="764" spans="1:28" x14ac:dyDescent="0.25">
      <c r="A764">
        <v>99910763</v>
      </c>
      <c r="B764" t="s">
        <v>32</v>
      </c>
      <c r="C764" t="s">
        <v>139</v>
      </c>
      <c r="D764" t="s">
        <v>140</v>
      </c>
      <c r="G764" t="s">
        <v>35</v>
      </c>
      <c r="H764">
        <v>1</v>
      </c>
      <c r="K764" t="s">
        <v>354</v>
      </c>
      <c r="L764" t="s">
        <v>355</v>
      </c>
      <c r="M764" t="s">
        <v>131</v>
      </c>
      <c r="N764">
        <v>10</v>
      </c>
      <c r="P764" t="s">
        <v>41</v>
      </c>
      <c r="Q764" t="s">
        <v>75</v>
      </c>
      <c r="R764" t="str">
        <f>"7054000"</f>
        <v>7054000</v>
      </c>
      <c r="S764" t="s">
        <v>786</v>
      </c>
      <c r="T764" t="s">
        <v>354</v>
      </c>
      <c r="U764" t="s">
        <v>355</v>
      </c>
      <c r="V764" t="s">
        <v>131</v>
      </c>
      <c r="W764" t="s">
        <v>51</v>
      </c>
      <c r="X764" t="s">
        <v>45</v>
      </c>
      <c r="Z764">
        <v>1</v>
      </c>
      <c r="AA764" t="s">
        <v>355</v>
      </c>
      <c r="AB764" s="40" t="s">
        <v>1795</v>
      </c>
    </row>
    <row r="765" spans="1:28" x14ac:dyDescent="0.25">
      <c r="A765">
        <v>99910764</v>
      </c>
      <c r="B765" t="s">
        <v>32</v>
      </c>
      <c r="C765" t="s">
        <v>64</v>
      </c>
      <c r="D765" t="s">
        <v>65</v>
      </c>
      <c r="G765" t="s">
        <v>35</v>
      </c>
      <c r="H765">
        <v>1</v>
      </c>
      <c r="I765">
        <v>0</v>
      </c>
      <c r="J765" s="1">
        <v>43344</v>
      </c>
      <c r="K765" t="s">
        <v>223</v>
      </c>
      <c r="L765" t="s">
        <v>224</v>
      </c>
      <c r="M765" t="s">
        <v>131</v>
      </c>
      <c r="N765">
        <v>11</v>
      </c>
      <c r="O765" s="1">
        <v>43344</v>
      </c>
      <c r="P765" t="s">
        <v>41</v>
      </c>
      <c r="Q765" t="s">
        <v>49</v>
      </c>
      <c r="R765" t="str">
        <f>"0591901"</f>
        <v>0591901</v>
      </c>
      <c r="S765" t="s">
        <v>230</v>
      </c>
      <c r="T765" t="s">
        <v>223</v>
      </c>
      <c r="U765" t="s">
        <v>224</v>
      </c>
      <c r="V765" t="s">
        <v>131</v>
      </c>
      <c r="W765" t="s">
        <v>44</v>
      </c>
      <c r="X765" t="s">
        <v>45</v>
      </c>
      <c r="Y765" s="1">
        <v>33761</v>
      </c>
      <c r="Z765">
        <v>2</v>
      </c>
      <c r="AA765" t="s">
        <v>224</v>
      </c>
      <c r="AB765" s="40" t="s">
        <v>1796</v>
      </c>
    </row>
    <row r="766" spans="1:28" x14ac:dyDescent="0.25">
      <c r="A766">
        <v>99910765</v>
      </c>
      <c r="B766" t="s">
        <v>56</v>
      </c>
      <c r="C766" t="s">
        <v>52</v>
      </c>
      <c r="D766" t="s">
        <v>53</v>
      </c>
      <c r="G766" t="s">
        <v>35</v>
      </c>
      <c r="H766">
        <v>1</v>
      </c>
      <c r="I766" t="s">
        <v>1062</v>
      </c>
      <c r="J766" s="1">
        <v>43354</v>
      </c>
      <c r="K766" t="s">
        <v>1051</v>
      </c>
      <c r="L766" t="s">
        <v>1052</v>
      </c>
      <c r="M766" t="s">
        <v>1053</v>
      </c>
      <c r="N766">
        <v>11</v>
      </c>
      <c r="O766" s="1">
        <v>43354</v>
      </c>
      <c r="P766" t="s">
        <v>41</v>
      </c>
      <c r="Q766" t="s">
        <v>42</v>
      </c>
      <c r="R766" t="str">
        <f>"2061001"</f>
        <v>2061001</v>
      </c>
      <c r="S766" t="s">
        <v>1058</v>
      </c>
      <c r="T766" t="s">
        <v>1051</v>
      </c>
      <c r="U766" t="s">
        <v>1052</v>
      </c>
      <c r="V766" t="s">
        <v>1053</v>
      </c>
      <c r="W766" t="s">
        <v>44</v>
      </c>
      <c r="X766" t="s">
        <v>45</v>
      </c>
      <c r="Y766" s="1">
        <v>33329</v>
      </c>
      <c r="Z766">
        <v>2</v>
      </c>
      <c r="AA766" t="s">
        <v>1052</v>
      </c>
      <c r="AB766" s="40" t="s">
        <v>1796</v>
      </c>
    </row>
    <row r="767" spans="1:28" x14ac:dyDescent="0.25">
      <c r="A767">
        <v>99910766</v>
      </c>
      <c r="B767" t="s">
        <v>32</v>
      </c>
      <c r="C767" t="s">
        <v>85</v>
      </c>
      <c r="D767" t="s">
        <v>86</v>
      </c>
      <c r="G767" t="s">
        <v>35</v>
      </c>
      <c r="H767">
        <v>1</v>
      </c>
      <c r="I767">
        <v>18707</v>
      </c>
      <c r="J767" s="1">
        <v>43354</v>
      </c>
      <c r="K767" t="s">
        <v>345</v>
      </c>
      <c r="L767" t="s">
        <v>346</v>
      </c>
      <c r="M767" t="s">
        <v>131</v>
      </c>
      <c r="N767">
        <v>11</v>
      </c>
      <c r="O767" s="1">
        <v>43354</v>
      </c>
      <c r="P767" t="s">
        <v>41</v>
      </c>
      <c r="Q767" t="s">
        <v>49</v>
      </c>
      <c r="R767" t="str">
        <f>"0560004"</f>
        <v>0560004</v>
      </c>
      <c r="S767" t="s">
        <v>371</v>
      </c>
      <c r="T767" t="s">
        <v>345</v>
      </c>
      <c r="U767" t="s">
        <v>346</v>
      </c>
      <c r="V767" t="s">
        <v>131</v>
      </c>
      <c r="W767" t="s">
        <v>44</v>
      </c>
      <c r="X767" t="s">
        <v>45</v>
      </c>
      <c r="Y767" s="1">
        <v>32696</v>
      </c>
      <c r="Z767">
        <v>2</v>
      </c>
      <c r="AA767" t="s">
        <v>346</v>
      </c>
      <c r="AB767" s="40" t="s">
        <v>1796</v>
      </c>
    </row>
    <row r="768" spans="1:28" x14ac:dyDescent="0.25">
      <c r="A768">
        <v>99910767</v>
      </c>
      <c r="B768" t="s">
        <v>32</v>
      </c>
      <c r="C768" t="s">
        <v>58</v>
      </c>
      <c r="D768" t="s">
        <v>59</v>
      </c>
      <c r="G768" t="s">
        <v>35</v>
      </c>
      <c r="H768">
        <v>1</v>
      </c>
      <c r="I768">
        <v>9186</v>
      </c>
      <c r="J768" s="1">
        <v>43350</v>
      </c>
      <c r="K768" t="s">
        <v>1051</v>
      </c>
      <c r="L768" t="s">
        <v>1052</v>
      </c>
      <c r="M768" t="s">
        <v>1053</v>
      </c>
      <c r="N768">
        <v>11</v>
      </c>
      <c r="O768" s="1">
        <v>43350</v>
      </c>
      <c r="P768" t="s">
        <v>41</v>
      </c>
      <c r="Q768" t="s">
        <v>49</v>
      </c>
      <c r="R768" t="str">
        <f>"2060004"</f>
        <v>2060004</v>
      </c>
      <c r="S768" t="s">
        <v>1059</v>
      </c>
      <c r="T768" t="s">
        <v>1051</v>
      </c>
      <c r="U768" t="s">
        <v>1052</v>
      </c>
      <c r="V768" t="s">
        <v>1053</v>
      </c>
      <c r="W768" t="s">
        <v>51</v>
      </c>
      <c r="X768" t="s">
        <v>45</v>
      </c>
      <c r="Y768" s="1">
        <v>32509</v>
      </c>
      <c r="Z768">
        <v>2</v>
      </c>
      <c r="AA768" t="s">
        <v>1052</v>
      </c>
      <c r="AB768" s="40" t="s">
        <v>1796</v>
      </c>
    </row>
    <row r="769" spans="1:28" x14ac:dyDescent="0.25">
      <c r="A769">
        <v>99910768</v>
      </c>
      <c r="B769" t="s">
        <v>32</v>
      </c>
      <c r="C769" t="s">
        <v>82</v>
      </c>
      <c r="D769" t="s">
        <v>83</v>
      </c>
      <c r="G769" t="s">
        <v>35</v>
      </c>
      <c r="H769">
        <v>1</v>
      </c>
      <c r="I769">
        <v>21566</v>
      </c>
      <c r="J769" s="1">
        <v>43344</v>
      </c>
      <c r="K769" t="s">
        <v>345</v>
      </c>
      <c r="L769" t="s">
        <v>346</v>
      </c>
      <c r="M769" t="s">
        <v>131</v>
      </c>
      <c r="N769">
        <v>11</v>
      </c>
      <c r="O769" s="1">
        <v>43344</v>
      </c>
      <c r="P769" t="s">
        <v>41</v>
      </c>
      <c r="Q769" t="s">
        <v>42</v>
      </c>
      <c r="R769" t="str">
        <f>"0580615"</f>
        <v>0580615</v>
      </c>
      <c r="S769" t="s">
        <v>364</v>
      </c>
      <c r="T769" t="s">
        <v>345</v>
      </c>
      <c r="U769" t="s">
        <v>346</v>
      </c>
      <c r="V769" t="s">
        <v>131</v>
      </c>
      <c r="W769" t="s">
        <v>44</v>
      </c>
      <c r="X769" t="s">
        <v>45</v>
      </c>
      <c r="Y769" s="1">
        <v>32414</v>
      </c>
      <c r="Z769">
        <v>2</v>
      </c>
      <c r="AA769" t="s">
        <v>346</v>
      </c>
      <c r="AB769" s="40" t="s">
        <v>1796</v>
      </c>
    </row>
    <row r="770" spans="1:28" x14ac:dyDescent="0.25">
      <c r="A770">
        <v>99910769</v>
      </c>
      <c r="B770" t="s">
        <v>32</v>
      </c>
      <c r="C770" t="s">
        <v>79</v>
      </c>
      <c r="D770" t="s">
        <v>80</v>
      </c>
      <c r="G770" t="s">
        <v>35</v>
      </c>
      <c r="H770">
        <v>3</v>
      </c>
      <c r="I770" t="s">
        <v>1680</v>
      </c>
      <c r="J770" s="1">
        <v>43344</v>
      </c>
      <c r="K770" t="s">
        <v>1619</v>
      </c>
      <c r="L770" t="s">
        <v>1620</v>
      </c>
      <c r="M770" t="s">
        <v>1592</v>
      </c>
      <c r="N770">
        <v>11</v>
      </c>
      <c r="O770" s="1">
        <v>43344</v>
      </c>
      <c r="P770" t="s">
        <v>41</v>
      </c>
      <c r="Q770" t="s">
        <v>75</v>
      </c>
      <c r="R770" t="str">
        <f>"7281002"</f>
        <v>7281002</v>
      </c>
      <c r="S770" t="s">
        <v>1660</v>
      </c>
      <c r="T770" t="s">
        <v>1619</v>
      </c>
      <c r="U770" t="s">
        <v>1620</v>
      </c>
      <c r="V770" t="s">
        <v>1592</v>
      </c>
      <c r="W770" t="s">
        <v>44</v>
      </c>
      <c r="X770" t="s">
        <v>45</v>
      </c>
      <c r="Y770" s="1">
        <v>32254</v>
      </c>
      <c r="Z770">
        <v>1</v>
      </c>
      <c r="AA770" t="s">
        <v>1620</v>
      </c>
      <c r="AB770" s="40" t="s">
        <v>1796</v>
      </c>
    </row>
    <row r="771" spans="1:28" x14ac:dyDescent="0.25">
      <c r="A771">
        <v>99910770</v>
      </c>
      <c r="B771" t="s">
        <v>56</v>
      </c>
      <c r="C771" t="s">
        <v>82</v>
      </c>
      <c r="D771" t="s">
        <v>83</v>
      </c>
      <c r="G771" t="s">
        <v>48</v>
      </c>
      <c r="H771">
        <v>1</v>
      </c>
      <c r="K771" t="s">
        <v>1613</v>
      </c>
      <c r="L771" t="s">
        <v>1614</v>
      </c>
      <c r="M771" t="s">
        <v>1592</v>
      </c>
      <c r="N771">
        <v>11</v>
      </c>
      <c r="P771" t="s">
        <v>41</v>
      </c>
      <c r="Q771" t="s">
        <v>42</v>
      </c>
      <c r="R771" t="str">
        <f>"2880010"</f>
        <v>2880010</v>
      </c>
      <c r="S771" t="s">
        <v>1623</v>
      </c>
      <c r="T771" t="s">
        <v>1613</v>
      </c>
      <c r="U771" t="s">
        <v>1614</v>
      </c>
      <c r="V771" t="s">
        <v>1592</v>
      </c>
      <c r="W771" t="s">
        <v>51</v>
      </c>
      <c r="X771" t="s">
        <v>45</v>
      </c>
      <c r="Y771" s="1">
        <v>32026</v>
      </c>
      <c r="Z771">
        <v>2</v>
      </c>
      <c r="AA771" t="s">
        <v>1614</v>
      </c>
      <c r="AB771" s="40" t="s">
        <v>1796</v>
      </c>
    </row>
    <row r="772" spans="1:28" x14ac:dyDescent="0.25">
      <c r="A772">
        <v>99910771</v>
      </c>
      <c r="B772" t="s">
        <v>56</v>
      </c>
      <c r="C772" t="s">
        <v>61</v>
      </c>
      <c r="D772" t="s">
        <v>62</v>
      </c>
      <c r="G772" t="s">
        <v>35</v>
      </c>
      <c r="H772">
        <v>1</v>
      </c>
      <c r="I772">
        <v>21868</v>
      </c>
      <c r="J772" s="1">
        <v>43344</v>
      </c>
      <c r="K772" t="s">
        <v>380</v>
      </c>
      <c r="L772" t="s">
        <v>381</v>
      </c>
      <c r="M772" t="s">
        <v>131</v>
      </c>
      <c r="N772">
        <v>11</v>
      </c>
      <c r="O772" s="1">
        <v>43344</v>
      </c>
      <c r="P772" t="s">
        <v>41</v>
      </c>
      <c r="Q772" t="s">
        <v>49</v>
      </c>
      <c r="R772" t="str">
        <f>"0591908"</f>
        <v>0591908</v>
      </c>
      <c r="S772" t="s">
        <v>383</v>
      </c>
      <c r="T772" t="s">
        <v>380</v>
      </c>
      <c r="U772" t="s">
        <v>381</v>
      </c>
      <c r="V772" t="s">
        <v>131</v>
      </c>
      <c r="W772" t="s">
        <v>44</v>
      </c>
      <c r="X772" t="s">
        <v>45</v>
      </c>
      <c r="Y772" s="1">
        <v>31884</v>
      </c>
      <c r="Z772">
        <v>2</v>
      </c>
      <c r="AA772" t="s">
        <v>381</v>
      </c>
      <c r="AB772" s="40" t="s">
        <v>1796</v>
      </c>
    </row>
    <row r="773" spans="1:28" x14ac:dyDescent="0.25">
      <c r="A773">
        <v>99910772</v>
      </c>
      <c r="B773" t="s">
        <v>56</v>
      </c>
      <c r="C773" t="s">
        <v>46</v>
      </c>
      <c r="D773" t="s">
        <v>47</v>
      </c>
      <c r="G773" t="s">
        <v>35</v>
      </c>
      <c r="H773">
        <v>1</v>
      </c>
      <c r="I773" t="s">
        <v>1551</v>
      </c>
      <c r="J773" s="1">
        <v>43344</v>
      </c>
      <c r="K773" t="s">
        <v>1546</v>
      </c>
      <c r="L773" t="s">
        <v>1547</v>
      </c>
      <c r="M773" t="s">
        <v>1548</v>
      </c>
      <c r="N773">
        <v>11</v>
      </c>
      <c r="O773" s="1">
        <v>43344</v>
      </c>
      <c r="P773" t="s">
        <v>41</v>
      </c>
      <c r="Q773" t="s">
        <v>49</v>
      </c>
      <c r="R773" t="str">
        <f>"1081010"</f>
        <v>1081010</v>
      </c>
      <c r="S773" t="s">
        <v>1552</v>
      </c>
      <c r="T773" t="s">
        <v>1546</v>
      </c>
      <c r="U773" t="s">
        <v>1547</v>
      </c>
      <c r="V773" t="s">
        <v>1548</v>
      </c>
      <c r="W773" t="s">
        <v>44</v>
      </c>
      <c r="X773" t="s">
        <v>45</v>
      </c>
      <c r="Y773" s="1">
        <v>31722</v>
      </c>
      <c r="Z773">
        <v>2</v>
      </c>
      <c r="AA773" t="s">
        <v>1547</v>
      </c>
      <c r="AB773" s="40" t="s">
        <v>1796</v>
      </c>
    </row>
    <row r="774" spans="1:28" x14ac:dyDescent="0.25">
      <c r="A774">
        <v>99910773</v>
      </c>
      <c r="B774" t="s">
        <v>32</v>
      </c>
      <c r="C774" t="s">
        <v>61</v>
      </c>
      <c r="D774" t="s">
        <v>62</v>
      </c>
      <c r="G774" t="s">
        <v>35</v>
      </c>
      <c r="H774">
        <v>1</v>
      </c>
      <c r="I774" t="s">
        <v>1185</v>
      </c>
      <c r="J774" s="1">
        <v>43118</v>
      </c>
      <c r="K774" t="s">
        <v>1171</v>
      </c>
      <c r="L774" t="s">
        <v>1172</v>
      </c>
      <c r="M774" t="s">
        <v>1130</v>
      </c>
      <c r="N774">
        <v>11</v>
      </c>
      <c r="O774" s="1">
        <v>43118</v>
      </c>
      <c r="P774" t="s">
        <v>41</v>
      </c>
      <c r="Q774" t="s">
        <v>42</v>
      </c>
      <c r="R774" t="str">
        <f>"3561001"</f>
        <v>3561001</v>
      </c>
      <c r="S774" t="s">
        <v>1173</v>
      </c>
      <c r="T774" t="s">
        <v>1171</v>
      </c>
      <c r="U774" t="s">
        <v>1172</v>
      </c>
      <c r="V774" t="s">
        <v>1130</v>
      </c>
      <c r="W774" t="s">
        <v>44</v>
      </c>
      <c r="X774" t="s">
        <v>45</v>
      </c>
      <c r="Y774" s="1">
        <v>31653</v>
      </c>
      <c r="Z774">
        <v>2</v>
      </c>
      <c r="AA774" t="s">
        <v>1172</v>
      </c>
      <c r="AB774" s="40" t="s">
        <v>1796</v>
      </c>
    </row>
    <row r="775" spans="1:28" x14ac:dyDescent="0.25">
      <c r="A775">
        <v>99910774</v>
      </c>
      <c r="B775" t="s">
        <v>32</v>
      </c>
      <c r="C775" t="s">
        <v>64</v>
      </c>
      <c r="D775" t="s">
        <v>65</v>
      </c>
      <c r="G775" t="s">
        <v>35</v>
      </c>
      <c r="H775">
        <v>1</v>
      </c>
      <c r="I775">
        <v>0</v>
      </c>
      <c r="J775" s="1">
        <v>43344</v>
      </c>
      <c r="K775" t="s">
        <v>223</v>
      </c>
      <c r="L775" t="s">
        <v>224</v>
      </c>
      <c r="M775" t="s">
        <v>131</v>
      </c>
      <c r="N775">
        <v>11</v>
      </c>
      <c r="O775" s="1">
        <v>43344</v>
      </c>
      <c r="P775" t="s">
        <v>41</v>
      </c>
      <c r="Q775" t="s">
        <v>42</v>
      </c>
      <c r="R775" t="str">
        <f>"0580207"</f>
        <v>0580207</v>
      </c>
      <c r="S775" t="s">
        <v>229</v>
      </c>
      <c r="T775" t="s">
        <v>223</v>
      </c>
      <c r="U775" t="s">
        <v>224</v>
      </c>
      <c r="V775" t="s">
        <v>131</v>
      </c>
      <c r="W775" t="s">
        <v>55</v>
      </c>
      <c r="X775" t="s">
        <v>45</v>
      </c>
      <c r="Y775" s="1">
        <v>31556</v>
      </c>
      <c r="Z775">
        <v>2</v>
      </c>
      <c r="AA775" t="s">
        <v>224</v>
      </c>
      <c r="AB775" s="40" t="s">
        <v>1796</v>
      </c>
    </row>
    <row r="776" spans="1:28" x14ac:dyDescent="0.25">
      <c r="A776">
        <v>99910775</v>
      </c>
      <c r="B776" t="s">
        <v>32</v>
      </c>
      <c r="C776" t="s">
        <v>61</v>
      </c>
      <c r="D776" t="s">
        <v>62</v>
      </c>
      <c r="G776" t="s">
        <v>48</v>
      </c>
      <c r="H776">
        <v>1</v>
      </c>
      <c r="K776" t="s">
        <v>223</v>
      </c>
      <c r="L776" t="s">
        <v>224</v>
      </c>
      <c r="M776" t="s">
        <v>131</v>
      </c>
      <c r="N776">
        <v>11</v>
      </c>
      <c r="P776" t="s">
        <v>41</v>
      </c>
      <c r="Q776" t="s">
        <v>49</v>
      </c>
      <c r="R776" t="str">
        <f>"0560018"</f>
        <v>0560018</v>
      </c>
      <c r="S776" t="s">
        <v>234</v>
      </c>
      <c r="T776" t="s">
        <v>223</v>
      </c>
      <c r="U776" t="s">
        <v>224</v>
      </c>
      <c r="V776" t="s">
        <v>131</v>
      </c>
      <c r="W776" t="s">
        <v>51</v>
      </c>
      <c r="X776" t="s">
        <v>45</v>
      </c>
      <c r="Y776" s="1">
        <v>31180</v>
      </c>
      <c r="Z776">
        <v>2</v>
      </c>
      <c r="AA776" t="s">
        <v>224</v>
      </c>
      <c r="AB776" s="40" t="s">
        <v>1796</v>
      </c>
    </row>
    <row r="777" spans="1:28" x14ac:dyDescent="0.25">
      <c r="A777">
        <v>99910776</v>
      </c>
      <c r="B777" t="s">
        <v>32</v>
      </c>
      <c r="C777" t="s">
        <v>61</v>
      </c>
      <c r="D777" t="s">
        <v>62</v>
      </c>
      <c r="G777" t="s">
        <v>35</v>
      </c>
      <c r="H777">
        <v>1</v>
      </c>
      <c r="I777" s="1">
        <v>42620</v>
      </c>
      <c r="J777" s="1">
        <v>43344</v>
      </c>
      <c r="K777" t="s">
        <v>1341</v>
      </c>
      <c r="L777" t="s">
        <v>1342</v>
      </c>
      <c r="M777" t="s">
        <v>1270</v>
      </c>
      <c r="N777">
        <v>11</v>
      </c>
      <c r="O777" s="1">
        <v>43344</v>
      </c>
      <c r="P777" t="s">
        <v>41</v>
      </c>
      <c r="Q777" t="s">
        <v>75</v>
      </c>
      <c r="R777" t="str">
        <f>"7191034"</f>
        <v>7191034</v>
      </c>
      <c r="S777" t="s">
        <v>1343</v>
      </c>
      <c r="T777" t="s">
        <v>1341</v>
      </c>
      <c r="U777" t="s">
        <v>1342</v>
      </c>
      <c r="V777" t="s">
        <v>1270</v>
      </c>
      <c r="W777" t="s">
        <v>51</v>
      </c>
      <c r="X777" t="s">
        <v>45</v>
      </c>
      <c r="Y777" s="1">
        <v>31166</v>
      </c>
      <c r="Z777">
        <v>1</v>
      </c>
      <c r="AA777" t="s">
        <v>1342</v>
      </c>
      <c r="AB777" s="40" t="s">
        <v>1796</v>
      </c>
    </row>
    <row r="778" spans="1:28" x14ac:dyDescent="0.25">
      <c r="A778">
        <v>99910777</v>
      </c>
      <c r="B778" t="s">
        <v>32</v>
      </c>
      <c r="C778" t="s">
        <v>64</v>
      </c>
      <c r="D778" t="s">
        <v>65</v>
      </c>
      <c r="G778" t="s">
        <v>48</v>
      </c>
      <c r="H778">
        <v>1</v>
      </c>
      <c r="K778" t="s">
        <v>380</v>
      </c>
      <c r="L778" t="s">
        <v>381</v>
      </c>
      <c r="M778" t="s">
        <v>131</v>
      </c>
      <c r="N778">
        <v>11</v>
      </c>
      <c r="P778" t="s">
        <v>41</v>
      </c>
      <c r="Q778" t="s">
        <v>49</v>
      </c>
      <c r="R778" t="str">
        <f>"0581859"</f>
        <v>0581859</v>
      </c>
      <c r="S778" t="s">
        <v>394</v>
      </c>
      <c r="T778" t="s">
        <v>380</v>
      </c>
      <c r="U778" t="s">
        <v>381</v>
      </c>
      <c r="V778" t="s">
        <v>131</v>
      </c>
      <c r="W778" t="s">
        <v>51</v>
      </c>
      <c r="X778" t="s">
        <v>45</v>
      </c>
      <c r="Y778" s="1">
        <v>30862</v>
      </c>
      <c r="Z778">
        <v>2</v>
      </c>
      <c r="AA778" t="s">
        <v>381</v>
      </c>
      <c r="AB778" s="40" t="s">
        <v>1796</v>
      </c>
    </row>
    <row r="779" spans="1:28" x14ac:dyDescent="0.25">
      <c r="A779">
        <v>99910778</v>
      </c>
      <c r="B779" t="s">
        <v>32</v>
      </c>
      <c r="C779" t="s">
        <v>46</v>
      </c>
      <c r="D779" t="s">
        <v>47</v>
      </c>
      <c r="G779" t="s">
        <v>35</v>
      </c>
      <c r="H779">
        <v>1</v>
      </c>
      <c r="I779">
        <v>4616</v>
      </c>
      <c r="J779" s="1">
        <v>43350</v>
      </c>
      <c r="K779" t="s">
        <v>919</v>
      </c>
      <c r="L779" t="s">
        <v>920</v>
      </c>
      <c r="M779" t="s">
        <v>921</v>
      </c>
      <c r="N779">
        <v>11</v>
      </c>
      <c r="O779" s="1">
        <v>43350</v>
      </c>
      <c r="P779" t="s">
        <v>41</v>
      </c>
      <c r="Q779" t="s">
        <v>922</v>
      </c>
      <c r="R779" t="str">
        <f>"5162001"</f>
        <v>5162001</v>
      </c>
      <c r="S779" t="s">
        <v>923</v>
      </c>
      <c r="T779" t="s">
        <v>919</v>
      </c>
      <c r="U779" t="s">
        <v>920</v>
      </c>
      <c r="V779" t="s">
        <v>921</v>
      </c>
      <c r="W779" t="s">
        <v>44</v>
      </c>
      <c r="X779" t="s">
        <v>45</v>
      </c>
      <c r="Y779" s="1">
        <v>30829</v>
      </c>
      <c r="Z779">
        <v>2</v>
      </c>
      <c r="AA779" t="s">
        <v>920</v>
      </c>
      <c r="AB779" s="40" t="s">
        <v>1796</v>
      </c>
    </row>
    <row r="780" spans="1:28" x14ac:dyDescent="0.25">
      <c r="A780">
        <v>99910779</v>
      </c>
      <c r="B780" t="s">
        <v>32</v>
      </c>
      <c r="C780" t="s">
        <v>79</v>
      </c>
      <c r="D780" t="s">
        <v>80</v>
      </c>
      <c r="G780" t="s">
        <v>35</v>
      </c>
      <c r="H780">
        <v>1</v>
      </c>
      <c r="I780" t="s">
        <v>1665</v>
      </c>
      <c r="J780" s="1">
        <v>43344</v>
      </c>
      <c r="K780" t="s">
        <v>1619</v>
      </c>
      <c r="L780" t="s">
        <v>1620</v>
      </c>
      <c r="M780" t="s">
        <v>1592</v>
      </c>
      <c r="N780">
        <v>11</v>
      </c>
      <c r="O780" s="1">
        <v>43344</v>
      </c>
      <c r="P780" t="s">
        <v>41</v>
      </c>
      <c r="Q780" t="s">
        <v>75</v>
      </c>
      <c r="R780" t="str">
        <f>"7281002"</f>
        <v>7281002</v>
      </c>
      <c r="S780" t="s">
        <v>1660</v>
      </c>
      <c r="T780" t="s">
        <v>1619</v>
      </c>
      <c r="U780" t="s">
        <v>1620</v>
      </c>
      <c r="V780" t="s">
        <v>1592</v>
      </c>
      <c r="W780" t="s">
        <v>44</v>
      </c>
      <c r="X780" t="s">
        <v>45</v>
      </c>
      <c r="Y780" s="1">
        <v>30749</v>
      </c>
      <c r="Z780">
        <v>1</v>
      </c>
      <c r="AA780" t="s">
        <v>1620</v>
      </c>
      <c r="AB780" s="40" t="s">
        <v>1796</v>
      </c>
    </row>
    <row r="781" spans="1:28" x14ac:dyDescent="0.25">
      <c r="A781">
        <v>99910780</v>
      </c>
      <c r="B781" t="s">
        <v>32</v>
      </c>
      <c r="C781" t="s">
        <v>46</v>
      </c>
      <c r="D781" t="s">
        <v>47</v>
      </c>
      <c r="G781" t="s">
        <v>48</v>
      </c>
      <c r="H781">
        <v>1</v>
      </c>
      <c r="K781" t="s">
        <v>380</v>
      </c>
      <c r="L781" t="s">
        <v>381</v>
      </c>
      <c r="M781" t="s">
        <v>131</v>
      </c>
      <c r="N781">
        <v>11</v>
      </c>
      <c r="P781" t="s">
        <v>41</v>
      </c>
      <c r="Q781" t="s">
        <v>49</v>
      </c>
      <c r="R781" t="str">
        <f>"0581575"</f>
        <v>0581575</v>
      </c>
      <c r="S781" t="s">
        <v>392</v>
      </c>
      <c r="T781" t="s">
        <v>380</v>
      </c>
      <c r="U781" t="s">
        <v>381</v>
      </c>
      <c r="V781" t="s">
        <v>131</v>
      </c>
      <c r="W781" t="s">
        <v>51</v>
      </c>
      <c r="X781" t="s">
        <v>45</v>
      </c>
      <c r="Y781" s="1">
        <v>30539</v>
      </c>
      <c r="Z781">
        <v>2</v>
      </c>
      <c r="AA781" t="s">
        <v>381</v>
      </c>
      <c r="AB781" s="40" t="s">
        <v>1796</v>
      </c>
    </row>
    <row r="782" spans="1:28" x14ac:dyDescent="0.25">
      <c r="A782">
        <v>99910781</v>
      </c>
      <c r="B782" t="s">
        <v>32</v>
      </c>
      <c r="C782" t="s">
        <v>82</v>
      </c>
      <c r="D782" t="s">
        <v>83</v>
      </c>
      <c r="G782" t="s">
        <v>35</v>
      </c>
      <c r="H782">
        <v>1</v>
      </c>
      <c r="I782">
        <v>0</v>
      </c>
      <c r="J782" s="1">
        <v>43344</v>
      </c>
      <c r="K782" t="s">
        <v>223</v>
      </c>
      <c r="L782" t="s">
        <v>224</v>
      </c>
      <c r="M782" t="s">
        <v>131</v>
      </c>
      <c r="N782">
        <v>11</v>
      </c>
      <c r="O782" s="1">
        <v>43344</v>
      </c>
      <c r="P782" t="s">
        <v>41</v>
      </c>
      <c r="Q782" t="s">
        <v>42</v>
      </c>
      <c r="R782" t="str">
        <f>"0580203"</f>
        <v>0580203</v>
      </c>
      <c r="S782" t="s">
        <v>239</v>
      </c>
      <c r="T782" t="s">
        <v>223</v>
      </c>
      <c r="U782" t="s">
        <v>224</v>
      </c>
      <c r="V782" t="s">
        <v>131</v>
      </c>
      <c r="W782" t="s">
        <v>44</v>
      </c>
      <c r="X782" t="s">
        <v>45</v>
      </c>
      <c r="Y782" s="1">
        <v>30481</v>
      </c>
      <c r="Z782">
        <v>2</v>
      </c>
      <c r="AA782" t="s">
        <v>224</v>
      </c>
      <c r="AB782" s="40" t="s">
        <v>1796</v>
      </c>
    </row>
    <row r="783" spans="1:28" x14ac:dyDescent="0.25">
      <c r="A783">
        <v>99910782</v>
      </c>
      <c r="B783" t="s">
        <v>32</v>
      </c>
      <c r="C783" t="s">
        <v>64</v>
      </c>
      <c r="D783" t="s">
        <v>65</v>
      </c>
      <c r="G783" t="s">
        <v>35</v>
      </c>
      <c r="H783">
        <v>2</v>
      </c>
      <c r="I783" t="s">
        <v>211</v>
      </c>
      <c r="J783" s="1">
        <v>43344</v>
      </c>
      <c r="K783" t="s">
        <v>157</v>
      </c>
      <c r="L783" t="s">
        <v>158</v>
      </c>
      <c r="M783" t="s">
        <v>131</v>
      </c>
      <c r="N783">
        <v>11</v>
      </c>
      <c r="O783" s="1">
        <v>43344</v>
      </c>
      <c r="P783" t="s">
        <v>41</v>
      </c>
      <c r="Q783" t="s">
        <v>49</v>
      </c>
      <c r="R783" t="str">
        <f>"0560026"</f>
        <v>0560026</v>
      </c>
      <c r="S783" t="s">
        <v>184</v>
      </c>
      <c r="T783" t="s">
        <v>157</v>
      </c>
      <c r="U783" t="s">
        <v>158</v>
      </c>
      <c r="V783" t="s">
        <v>131</v>
      </c>
      <c r="W783" t="s">
        <v>44</v>
      </c>
      <c r="X783" t="s">
        <v>45</v>
      </c>
      <c r="Y783" s="1">
        <v>30317</v>
      </c>
      <c r="Z783">
        <v>2</v>
      </c>
      <c r="AA783" t="s">
        <v>158</v>
      </c>
      <c r="AB783" s="40" t="s">
        <v>1796</v>
      </c>
    </row>
    <row r="784" spans="1:28" x14ac:dyDescent="0.25">
      <c r="A784">
        <v>99910783</v>
      </c>
      <c r="B784" t="s">
        <v>32</v>
      </c>
      <c r="C784" t="s">
        <v>64</v>
      </c>
      <c r="D784" t="s">
        <v>65</v>
      </c>
      <c r="G784" t="s">
        <v>35</v>
      </c>
      <c r="H784">
        <v>1</v>
      </c>
      <c r="I784">
        <v>21456</v>
      </c>
      <c r="J784" s="1">
        <v>43344</v>
      </c>
      <c r="K784" t="s">
        <v>380</v>
      </c>
      <c r="L784" t="s">
        <v>381</v>
      </c>
      <c r="M784" t="s">
        <v>131</v>
      </c>
      <c r="N784">
        <v>11</v>
      </c>
      <c r="O784" s="1">
        <v>43344</v>
      </c>
      <c r="P784" t="s">
        <v>41</v>
      </c>
      <c r="Q784" t="s">
        <v>49</v>
      </c>
      <c r="R784" t="str">
        <f>"0591908"</f>
        <v>0591908</v>
      </c>
      <c r="S784" t="s">
        <v>383</v>
      </c>
      <c r="T784" t="s">
        <v>380</v>
      </c>
      <c r="U784" t="s">
        <v>381</v>
      </c>
      <c r="V784" t="s">
        <v>131</v>
      </c>
      <c r="W784" t="s">
        <v>44</v>
      </c>
      <c r="X784" t="s">
        <v>45</v>
      </c>
      <c r="Y784" s="1">
        <v>30317</v>
      </c>
      <c r="Z784">
        <v>2</v>
      </c>
      <c r="AA784" t="s">
        <v>381</v>
      </c>
      <c r="AB784" s="40" t="s">
        <v>1796</v>
      </c>
    </row>
    <row r="785" spans="1:28" x14ac:dyDescent="0.25">
      <c r="A785">
        <v>99910784</v>
      </c>
      <c r="B785" t="s">
        <v>32</v>
      </c>
      <c r="C785" t="s">
        <v>79</v>
      </c>
      <c r="D785" t="s">
        <v>80</v>
      </c>
      <c r="G785" t="s">
        <v>35</v>
      </c>
      <c r="H785">
        <v>1</v>
      </c>
      <c r="K785" t="s">
        <v>223</v>
      </c>
      <c r="L785" t="s">
        <v>224</v>
      </c>
      <c r="M785" t="s">
        <v>131</v>
      </c>
      <c r="N785">
        <v>11</v>
      </c>
      <c r="P785" t="s">
        <v>41</v>
      </c>
      <c r="Q785" t="s">
        <v>49</v>
      </c>
      <c r="R785" t="str">
        <f>"0540902"</f>
        <v>0540902</v>
      </c>
      <c r="S785" t="s">
        <v>256</v>
      </c>
      <c r="T785" t="s">
        <v>223</v>
      </c>
      <c r="U785" t="s">
        <v>224</v>
      </c>
      <c r="V785" t="s">
        <v>131</v>
      </c>
      <c r="W785" t="s">
        <v>51</v>
      </c>
      <c r="X785" t="s">
        <v>45</v>
      </c>
      <c r="Y785" s="1">
        <v>30003</v>
      </c>
      <c r="Z785">
        <v>2</v>
      </c>
      <c r="AA785" t="s">
        <v>224</v>
      </c>
      <c r="AB785" s="40" t="s">
        <v>1796</v>
      </c>
    </row>
    <row r="786" spans="1:28" x14ac:dyDescent="0.25">
      <c r="A786">
        <v>99910785</v>
      </c>
      <c r="B786" t="s">
        <v>32</v>
      </c>
      <c r="C786" t="s">
        <v>46</v>
      </c>
      <c r="D786" t="s">
        <v>47</v>
      </c>
      <c r="G786" t="s">
        <v>35</v>
      </c>
      <c r="H786">
        <v>1</v>
      </c>
      <c r="I786">
        <v>4616</v>
      </c>
      <c r="J786" s="1">
        <v>43350</v>
      </c>
      <c r="K786" t="s">
        <v>919</v>
      </c>
      <c r="L786" t="s">
        <v>920</v>
      </c>
      <c r="M786" t="s">
        <v>921</v>
      </c>
      <c r="N786">
        <v>11</v>
      </c>
      <c r="O786" s="1">
        <v>43350</v>
      </c>
      <c r="P786" t="s">
        <v>41</v>
      </c>
      <c r="Q786" t="s">
        <v>922</v>
      </c>
      <c r="R786" t="str">
        <f>"5162001"</f>
        <v>5162001</v>
      </c>
      <c r="S786" t="s">
        <v>923</v>
      </c>
      <c r="T786" t="s">
        <v>919</v>
      </c>
      <c r="U786" t="s">
        <v>920</v>
      </c>
      <c r="V786" t="s">
        <v>921</v>
      </c>
      <c r="W786" t="s">
        <v>44</v>
      </c>
      <c r="X786" t="s">
        <v>45</v>
      </c>
      <c r="Y786" s="1">
        <v>29952</v>
      </c>
      <c r="Z786">
        <v>2</v>
      </c>
      <c r="AA786" t="s">
        <v>920</v>
      </c>
      <c r="AB786" s="40" t="s">
        <v>1796</v>
      </c>
    </row>
    <row r="787" spans="1:28" x14ac:dyDescent="0.25">
      <c r="A787">
        <v>99910786</v>
      </c>
      <c r="B787" t="s">
        <v>32</v>
      </c>
      <c r="C787" t="s">
        <v>136</v>
      </c>
      <c r="D787" t="s">
        <v>137</v>
      </c>
      <c r="G787" t="s">
        <v>35</v>
      </c>
      <c r="H787">
        <v>1</v>
      </c>
      <c r="K787" t="s">
        <v>431</v>
      </c>
      <c r="L787" t="s">
        <v>196</v>
      </c>
      <c r="M787" t="s">
        <v>131</v>
      </c>
      <c r="N787">
        <v>11</v>
      </c>
      <c r="P787" t="s">
        <v>41</v>
      </c>
      <c r="Q787" t="s">
        <v>75</v>
      </c>
      <c r="R787" t="str">
        <f>"7521032"</f>
        <v>7521032</v>
      </c>
      <c r="S787" t="s">
        <v>462</v>
      </c>
      <c r="T787" t="s">
        <v>431</v>
      </c>
      <c r="U787" t="s">
        <v>196</v>
      </c>
      <c r="V787" t="s">
        <v>131</v>
      </c>
      <c r="W787" t="s">
        <v>51</v>
      </c>
      <c r="X787" t="s">
        <v>45</v>
      </c>
      <c r="Y787" s="1">
        <v>29587</v>
      </c>
      <c r="Z787">
        <v>1</v>
      </c>
      <c r="AA787" t="s">
        <v>196</v>
      </c>
      <c r="AB787" s="40" t="s">
        <v>1796</v>
      </c>
    </row>
    <row r="788" spans="1:28" x14ac:dyDescent="0.25">
      <c r="A788">
        <v>99910787</v>
      </c>
      <c r="B788" t="s">
        <v>56</v>
      </c>
      <c r="C788" t="s">
        <v>79</v>
      </c>
      <c r="D788" t="s">
        <v>80</v>
      </c>
      <c r="G788" t="s">
        <v>35</v>
      </c>
      <c r="H788">
        <v>1</v>
      </c>
      <c r="I788" t="s">
        <v>183</v>
      </c>
      <c r="J788" s="1">
        <v>43344</v>
      </c>
      <c r="K788" t="s">
        <v>157</v>
      </c>
      <c r="L788" t="s">
        <v>158</v>
      </c>
      <c r="M788" t="s">
        <v>131</v>
      </c>
      <c r="N788">
        <v>11</v>
      </c>
      <c r="O788" s="1">
        <v>43344</v>
      </c>
      <c r="P788" t="s">
        <v>41</v>
      </c>
      <c r="Q788" t="s">
        <v>49</v>
      </c>
      <c r="R788" t="str">
        <f>"0560026"</f>
        <v>0560026</v>
      </c>
      <c r="S788" t="s">
        <v>184</v>
      </c>
      <c r="T788" t="s">
        <v>157</v>
      </c>
      <c r="U788" t="s">
        <v>158</v>
      </c>
      <c r="V788" t="s">
        <v>131</v>
      </c>
      <c r="W788" t="s">
        <v>44</v>
      </c>
      <c r="X788" t="s">
        <v>45</v>
      </c>
      <c r="Y788" s="1">
        <v>29262</v>
      </c>
      <c r="Z788">
        <v>2</v>
      </c>
      <c r="AA788" t="s">
        <v>158</v>
      </c>
      <c r="AB788" s="40" t="s">
        <v>1796</v>
      </c>
    </row>
    <row r="789" spans="1:28" x14ac:dyDescent="0.25">
      <c r="A789">
        <v>99910788</v>
      </c>
      <c r="B789" t="s">
        <v>56</v>
      </c>
      <c r="C789" t="s">
        <v>68</v>
      </c>
      <c r="D789" t="s">
        <v>69</v>
      </c>
      <c r="G789" t="s">
        <v>35</v>
      </c>
      <c r="H789">
        <v>1</v>
      </c>
      <c r="I789">
        <v>4616</v>
      </c>
      <c r="J789" s="1">
        <v>43350</v>
      </c>
      <c r="K789" t="s">
        <v>919</v>
      </c>
      <c r="L789" t="s">
        <v>920</v>
      </c>
      <c r="M789" t="s">
        <v>921</v>
      </c>
      <c r="N789">
        <v>11</v>
      </c>
      <c r="O789" s="1">
        <v>43350</v>
      </c>
      <c r="P789" t="s">
        <v>41</v>
      </c>
      <c r="Q789" t="s">
        <v>922</v>
      </c>
      <c r="R789" t="str">
        <f>"5162001"</f>
        <v>5162001</v>
      </c>
      <c r="S789" t="s">
        <v>923</v>
      </c>
      <c r="T789" t="s">
        <v>919</v>
      </c>
      <c r="U789" t="s">
        <v>920</v>
      </c>
      <c r="V789" t="s">
        <v>921</v>
      </c>
      <c r="W789" t="s">
        <v>44</v>
      </c>
      <c r="X789" t="s">
        <v>45</v>
      </c>
      <c r="Y789" s="1">
        <v>29143</v>
      </c>
      <c r="Z789">
        <v>2</v>
      </c>
      <c r="AA789" t="s">
        <v>920</v>
      </c>
      <c r="AB789" s="40" t="s">
        <v>1796</v>
      </c>
    </row>
    <row r="790" spans="1:28" x14ac:dyDescent="0.25">
      <c r="A790">
        <v>99910789</v>
      </c>
      <c r="B790" t="s">
        <v>56</v>
      </c>
      <c r="C790" t="s">
        <v>79</v>
      </c>
      <c r="D790" t="s">
        <v>80</v>
      </c>
      <c r="G790" t="s">
        <v>35</v>
      </c>
      <c r="H790">
        <v>1</v>
      </c>
      <c r="I790">
        <v>18429</v>
      </c>
      <c r="J790" s="1">
        <v>43344</v>
      </c>
      <c r="K790" t="s">
        <v>380</v>
      </c>
      <c r="L790" t="s">
        <v>381</v>
      </c>
      <c r="M790" t="s">
        <v>131</v>
      </c>
      <c r="N790">
        <v>11</v>
      </c>
      <c r="O790" s="1">
        <v>43344</v>
      </c>
      <c r="P790" t="s">
        <v>41</v>
      </c>
      <c r="Q790" t="s">
        <v>49</v>
      </c>
      <c r="R790" t="str">
        <f>"0560028"</f>
        <v>0560028</v>
      </c>
      <c r="S790" t="s">
        <v>384</v>
      </c>
      <c r="T790" t="s">
        <v>380</v>
      </c>
      <c r="U790" t="s">
        <v>381</v>
      </c>
      <c r="V790" t="s">
        <v>131</v>
      </c>
      <c r="W790" t="s">
        <v>51</v>
      </c>
      <c r="X790" t="s">
        <v>45</v>
      </c>
      <c r="Y790" s="1">
        <v>29137</v>
      </c>
      <c r="Z790">
        <v>2</v>
      </c>
      <c r="AA790" t="s">
        <v>381</v>
      </c>
      <c r="AB790" s="40" t="s">
        <v>1796</v>
      </c>
    </row>
    <row r="791" spans="1:28" x14ac:dyDescent="0.25">
      <c r="A791">
        <v>99910790</v>
      </c>
      <c r="B791" t="s">
        <v>32</v>
      </c>
      <c r="C791" t="s">
        <v>46</v>
      </c>
      <c r="D791" t="s">
        <v>47</v>
      </c>
      <c r="G791" t="s">
        <v>35</v>
      </c>
      <c r="H791">
        <v>1</v>
      </c>
      <c r="K791" t="s">
        <v>380</v>
      </c>
      <c r="L791" t="s">
        <v>381</v>
      </c>
      <c r="M791" t="s">
        <v>131</v>
      </c>
      <c r="N791">
        <v>11</v>
      </c>
      <c r="P791" t="s">
        <v>41</v>
      </c>
      <c r="Q791" t="s">
        <v>49</v>
      </c>
      <c r="R791" t="str">
        <f>"0591909"</f>
        <v>0591909</v>
      </c>
      <c r="S791" t="s">
        <v>385</v>
      </c>
      <c r="T791" t="s">
        <v>380</v>
      </c>
      <c r="U791" t="s">
        <v>381</v>
      </c>
      <c r="V791" t="s">
        <v>131</v>
      </c>
      <c r="W791" t="s">
        <v>55</v>
      </c>
      <c r="X791" t="s">
        <v>45</v>
      </c>
      <c r="Y791" s="1">
        <v>29061</v>
      </c>
      <c r="Z791">
        <v>2</v>
      </c>
      <c r="AA791" t="s">
        <v>381</v>
      </c>
      <c r="AB791" s="40" t="s">
        <v>1796</v>
      </c>
    </row>
    <row r="792" spans="1:28" x14ac:dyDescent="0.25">
      <c r="A792">
        <v>99910791</v>
      </c>
      <c r="B792" t="s">
        <v>56</v>
      </c>
      <c r="C792" t="s">
        <v>79</v>
      </c>
      <c r="D792" t="s">
        <v>80</v>
      </c>
      <c r="G792" t="s">
        <v>48</v>
      </c>
      <c r="H792">
        <v>1</v>
      </c>
      <c r="K792" t="s">
        <v>1051</v>
      </c>
      <c r="L792" t="s">
        <v>1052</v>
      </c>
      <c r="M792" t="s">
        <v>1053</v>
      </c>
      <c r="N792">
        <v>11</v>
      </c>
      <c r="P792" t="s">
        <v>41</v>
      </c>
      <c r="Q792" t="s">
        <v>49</v>
      </c>
      <c r="R792" t="str">
        <f>"2060004"</f>
        <v>2060004</v>
      </c>
      <c r="S792" t="s">
        <v>1059</v>
      </c>
      <c r="T792" t="s">
        <v>1051</v>
      </c>
      <c r="U792" t="s">
        <v>1052</v>
      </c>
      <c r="V792" t="s">
        <v>1053</v>
      </c>
      <c r="W792" t="s">
        <v>51</v>
      </c>
      <c r="X792" t="s">
        <v>45</v>
      </c>
      <c r="Y792" s="1">
        <v>29060</v>
      </c>
      <c r="Z792">
        <v>2</v>
      </c>
      <c r="AA792" t="s">
        <v>1052</v>
      </c>
      <c r="AB792" s="40" t="s">
        <v>1796</v>
      </c>
    </row>
    <row r="793" spans="1:28" x14ac:dyDescent="0.25">
      <c r="A793">
        <v>99910792</v>
      </c>
      <c r="B793" t="s">
        <v>56</v>
      </c>
      <c r="C793" t="s">
        <v>141</v>
      </c>
      <c r="D793" t="s">
        <v>142</v>
      </c>
      <c r="G793" t="s">
        <v>35</v>
      </c>
      <c r="H793">
        <v>1</v>
      </c>
      <c r="K793" t="s">
        <v>431</v>
      </c>
      <c r="L793" t="s">
        <v>196</v>
      </c>
      <c r="M793" t="s">
        <v>131</v>
      </c>
      <c r="N793">
        <v>11</v>
      </c>
      <c r="P793" t="s">
        <v>41</v>
      </c>
      <c r="Q793" t="s">
        <v>75</v>
      </c>
      <c r="R793" t="str">
        <f>"7521032"</f>
        <v>7521032</v>
      </c>
      <c r="S793" t="s">
        <v>462</v>
      </c>
      <c r="T793" t="s">
        <v>431</v>
      </c>
      <c r="U793" t="s">
        <v>196</v>
      </c>
      <c r="V793" t="s">
        <v>131</v>
      </c>
      <c r="W793" t="s">
        <v>51</v>
      </c>
      <c r="X793" t="s">
        <v>45</v>
      </c>
      <c r="Y793" s="1">
        <v>28805</v>
      </c>
      <c r="Z793">
        <v>1</v>
      </c>
      <c r="AA793" t="s">
        <v>196</v>
      </c>
      <c r="AB793" s="40" t="s">
        <v>1796</v>
      </c>
    </row>
    <row r="794" spans="1:28" x14ac:dyDescent="0.25">
      <c r="A794">
        <v>99910793</v>
      </c>
      <c r="B794" t="s">
        <v>56</v>
      </c>
      <c r="C794" t="s">
        <v>46</v>
      </c>
      <c r="D794" t="s">
        <v>47</v>
      </c>
      <c r="G794" t="s">
        <v>48</v>
      </c>
      <c r="H794">
        <v>1</v>
      </c>
      <c r="K794" t="s">
        <v>1051</v>
      </c>
      <c r="L794" t="s">
        <v>1052</v>
      </c>
      <c r="M794" t="s">
        <v>1053</v>
      </c>
      <c r="N794">
        <v>11</v>
      </c>
      <c r="P794" t="s">
        <v>41</v>
      </c>
      <c r="Q794" t="s">
        <v>42</v>
      </c>
      <c r="R794" t="str">
        <f>"2061004"</f>
        <v>2061004</v>
      </c>
      <c r="S794" t="s">
        <v>1055</v>
      </c>
      <c r="T794" t="s">
        <v>1051</v>
      </c>
      <c r="U794" t="s">
        <v>1052</v>
      </c>
      <c r="V794" t="s">
        <v>1053</v>
      </c>
      <c r="W794" t="s">
        <v>51</v>
      </c>
      <c r="X794" t="s">
        <v>45</v>
      </c>
      <c r="Y794" s="1">
        <v>28720</v>
      </c>
      <c r="Z794">
        <v>2</v>
      </c>
      <c r="AA794" t="s">
        <v>1052</v>
      </c>
      <c r="AB794" s="40" t="s">
        <v>1796</v>
      </c>
    </row>
    <row r="795" spans="1:28" x14ac:dyDescent="0.25">
      <c r="A795">
        <v>99910794</v>
      </c>
      <c r="B795" t="s">
        <v>32</v>
      </c>
      <c r="C795" t="s">
        <v>64</v>
      </c>
      <c r="D795" t="s">
        <v>65</v>
      </c>
      <c r="G795" t="s">
        <v>35</v>
      </c>
      <c r="H795">
        <v>1</v>
      </c>
      <c r="I795">
        <v>113826256</v>
      </c>
      <c r="J795" s="1">
        <v>43378</v>
      </c>
      <c r="K795" t="s">
        <v>877</v>
      </c>
      <c r="L795" t="s">
        <v>878</v>
      </c>
      <c r="M795" t="s">
        <v>131</v>
      </c>
      <c r="N795">
        <v>11</v>
      </c>
      <c r="O795" s="1">
        <v>43378</v>
      </c>
      <c r="P795" t="s">
        <v>41</v>
      </c>
      <c r="Q795" t="s">
        <v>75</v>
      </c>
      <c r="R795" t="str">
        <f>"7541020"</f>
        <v>7541020</v>
      </c>
      <c r="S795" t="s">
        <v>882</v>
      </c>
      <c r="T795" t="s">
        <v>877</v>
      </c>
      <c r="U795" t="s">
        <v>878</v>
      </c>
      <c r="V795" t="s">
        <v>131</v>
      </c>
      <c r="W795" t="s">
        <v>44</v>
      </c>
      <c r="X795" t="s">
        <v>45</v>
      </c>
      <c r="Y795" s="1">
        <v>28662</v>
      </c>
      <c r="Z795">
        <v>1</v>
      </c>
      <c r="AA795" t="s">
        <v>878</v>
      </c>
      <c r="AB795" s="40" t="s">
        <v>1796</v>
      </c>
    </row>
    <row r="796" spans="1:28" x14ac:dyDescent="0.25">
      <c r="A796">
        <v>99910795</v>
      </c>
      <c r="B796" t="s">
        <v>32</v>
      </c>
      <c r="C796" t="s">
        <v>79</v>
      </c>
      <c r="D796" t="s">
        <v>80</v>
      </c>
      <c r="G796" t="s">
        <v>35</v>
      </c>
      <c r="H796">
        <v>1</v>
      </c>
      <c r="I796" t="s">
        <v>958</v>
      </c>
      <c r="J796" s="1">
        <v>43371</v>
      </c>
      <c r="K796" t="s">
        <v>947</v>
      </c>
      <c r="L796" t="s">
        <v>948</v>
      </c>
      <c r="M796" t="s">
        <v>938</v>
      </c>
      <c r="N796">
        <v>11</v>
      </c>
      <c r="O796" s="1">
        <v>43371</v>
      </c>
      <c r="P796" t="s">
        <v>41</v>
      </c>
      <c r="Q796" t="s">
        <v>49</v>
      </c>
      <c r="R796" t="str">
        <f>"0645053"</f>
        <v>0645053</v>
      </c>
      <c r="S796" t="s">
        <v>957</v>
      </c>
      <c r="T796" t="s">
        <v>947</v>
      </c>
      <c r="U796" t="s">
        <v>948</v>
      </c>
      <c r="V796" t="s">
        <v>938</v>
      </c>
      <c r="W796" t="s">
        <v>51</v>
      </c>
      <c r="X796" t="s">
        <v>45</v>
      </c>
      <c r="Y796" s="1">
        <v>28570</v>
      </c>
      <c r="Z796">
        <v>2</v>
      </c>
      <c r="AA796" t="s">
        <v>948</v>
      </c>
      <c r="AB796" s="40" t="s">
        <v>1796</v>
      </c>
    </row>
    <row r="797" spans="1:28" x14ac:dyDescent="0.25">
      <c r="A797">
        <v>99910796</v>
      </c>
      <c r="B797" t="s">
        <v>32</v>
      </c>
      <c r="C797" t="s">
        <v>82</v>
      </c>
      <c r="D797" t="s">
        <v>83</v>
      </c>
      <c r="G797" t="s">
        <v>35</v>
      </c>
      <c r="H797">
        <v>1</v>
      </c>
      <c r="I797">
        <v>0</v>
      </c>
      <c r="J797" s="1">
        <v>43344</v>
      </c>
      <c r="K797" t="s">
        <v>223</v>
      </c>
      <c r="L797" t="s">
        <v>224</v>
      </c>
      <c r="M797" t="s">
        <v>131</v>
      </c>
      <c r="N797">
        <v>11</v>
      </c>
      <c r="O797" s="1">
        <v>43344</v>
      </c>
      <c r="P797" t="s">
        <v>41</v>
      </c>
      <c r="Q797" t="s">
        <v>49</v>
      </c>
      <c r="R797" t="str">
        <f>"0591901"</f>
        <v>0591901</v>
      </c>
      <c r="S797" t="s">
        <v>230</v>
      </c>
      <c r="T797" t="s">
        <v>223</v>
      </c>
      <c r="U797" t="s">
        <v>224</v>
      </c>
      <c r="V797" t="s">
        <v>131</v>
      </c>
      <c r="W797" t="s">
        <v>44</v>
      </c>
      <c r="X797" t="s">
        <v>45</v>
      </c>
      <c r="Y797" s="1">
        <v>28402</v>
      </c>
      <c r="Z797">
        <v>2</v>
      </c>
      <c r="AA797" t="s">
        <v>224</v>
      </c>
      <c r="AB797" s="40" t="s">
        <v>1796</v>
      </c>
    </row>
    <row r="798" spans="1:28" x14ac:dyDescent="0.25">
      <c r="A798">
        <v>99910797</v>
      </c>
      <c r="B798" t="s">
        <v>56</v>
      </c>
      <c r="C798" t="s">
        <v>33</v>
      </c>
      <c r="D798" t="s">
        <v>34</v>
      </c>
      <c r="G798" t="s">
        <v>48</v>
      </c>
      <c r="H798">
        <v>1</v>
      </c>
      <c r="K798" t="s">
        <v>1613</v>
      </c>
      <c r="L798" t="s">
        <v>1614</v>
      </c>
      <c r="M798" t="s">
        <v>1592</v>
      </c>
      <c r="N798">
        <v>11</v>
      </c>
      <c r="P798" t="s">
        <v>41</v>
      </c>
      <c r="Q798" t="s">
        <v>49</v>
      </c>
      <c r="R798" t="str">
        <f>"2860001"</f>
        <v>2860001</v>
      </c>
      <c r="S798" t="s">
        <v>1616</v>
      </c>
      <c r="T798" t="s">
        <v>1613</v>
      </c>
      <c r="U798" t="s">
        <v>1614</v>
      </c>
      <c r="V798" t="s">
        <v>1592</v>
      </c>
      <c r="W798" t="s">
        <v>51</v>
      </c>
      <c r="X798" t="s">
        <v>45</v>
      </c>
      <c r="Y798" s="1">
        <v>28369</v>
      </c>
      <c r="Z798">
        <v>2</v>
      </c>
      <c r="AA798" t="s">
        <v>1614</v>
      </c>
      <c r="AB798" s="40" t="s">
        <v>1796</v>
      </c>
    </row>
    <row r="799" spans="1:28" x14ac:dyDescent="0.25">
      <c r="A799">
        <v>99910798</v>
      </c>
      <c r="B799" t="s">
        <v>32</v>
      </c>
      <c r="C799" t="s">
        <v>64</v>
      </c>
      <c r="D799" t="s">
        <v>65</v>
      </c>
      <c r="G799" t="s">
        <v>35</v>
      </c>
      <c r="H799">
        <v>1</v>
      </c>
      <c r="K799" t="s">
        <v>223</v>
      </c>
      <c r="L799" t="s">
        <v>224</v>
      </c>
      <c r="M799" t="s">
        <v>131</v>
      </c>
      <c r="N799">
        <v>11</v>
      </c>
      <c r="P799" t="s">
        <v>41</v>
      </c>
      <c r="Q799" t="s">
        <v>49</v>
      </c>
      <c r="R799" t="str">
        <f>"0591901"</f>
        <v>0591901</v>
      </c>
      <c r="S799" t="s">
        <v>230</v>
      </c>
      <c r="T799" t="s">
        <v>223</v>
      </c>
      <c r="U799" t="s">
        <v>224</v>
      </c>
      <c r="V799" t="s">
        <v>131</v>
      </c>
      <c r="W799" t="s">
        <v>51</v>
      </c>
      <c r="X799" t="s">
        <v>45</v>
      </c>
      <c r="Y799" s="1">
        <v>28176</v>
      </c>
      <c r="Z799">
        <v>2</v>
      </c>
      <c r="AA799" t="s">
        <v>224</v>
      </c>
      <c r="AB799" s="40" t="s">
        <v>1796</v>
      </c>
    </row>
    <row r="800" spans="1:28" x14ac:dyDescent="0.25">
      <c r="A800">
        <v>99910799</v>
      </c>
      <c r="B800" t="s">
        <v>56</v>
      </c>
      <c r="C800" t="s">
        <v>82</v>
      </c>
      <c r="D800" t="s">
        <v>83</v>
      </c>
      <c r="G800" t="s">
        <v>35</v>
      </c>
      <c r="H800">
        <v>1</v>
      </c>
      <c r="I800" t="s">
        <v>84</v>
      </c>
      <c r="J800" s="1">
        <v>43354</v>
      </c>
      <c r="K800" t="s">
        <v>37</v>
      </c>
      <c r="L800" t="s">
        <v>38</v>
      </c>
      <c r="M800" t="s">
        <v>39</v>
      </c>
      <c r="N800">
        <v>11</v>
      </c>
      <c r="O800" s="1">
        <v>43354</v>
      </c>
      <c r="P800" t="s">
        <v>41</v>
      </c>
      <c r="Q800" t="s">
        <v>42</v>
      </c>
      <c r="R800" t="str">
        <f>"3780010"</f>
        <v>3780010</v>
      </c>
      <c r="S800" t="s">
        <v>43</v>
      </c>
      <c r="T800" t="s">
        <v>37</v>
      </c>
      <c r="U800" t="s">
        <v>38</v>
      </c>
      <c r="V800" t="s">
        <v>39</v>
      </c>
      <c r="W800" t="s">
        <v>44</v>
      </c>
      <c r="X800" t="s">
        <v>45</v>
      </c>
      <c r="Y800" s="1">
        <v>28043</v>
      </c>
      <c r="Z800">
        <v>2</v>
      </c>
      <c r="AA800" t="s">
        <v>38</v>
      </c>
      <c r="AB800" s="40" t="s">
        <v>1796</v>
      </c>
    </row>
    <row r="801" spans="1:28" x14ac:dyDescent="0.25">
      <c r="A801">
        <v>99910800</v>
      </c>
      <c r="B801" t="s">
        <v>56</v>
      </c>
      <c r="C801" t="s">
        <v>58</v>
      </c>
      <c r="D801" t="s">
        <v>59</v>
      </c>
      <c r="G801" t="s">
        <v>48</v>
      </c>
      <c r="H801">
        <v>1</v>
      </c>
      <c r="K801" t="s">
        <v>300</v>
      </c>
      <c r="L801" t="s">
        <v>301</v>
      </c>
      <c r="M801" t="s">
        <v>131</v>
      </c>
      <c r="N801">
        <v>11</v>
      </c>
      <c r="P801" t="s">
        <v>41</v>
      </c>
      <c r="Q801" t="s">
        <v>42</v>
      </c>
      <c r="R801" t="str">
        <f>"0561001"</f>
        <v>0561001</v>
      </c>
      <c r="S801" t="s">
        <v>308</v>
      </c>
      <c r="T801" t="s">
        <v>300</v>
      </c>
      <c r="U801" t="s">
        <v>301</v>
      </c>
      <c r="V801" t="s">
        <v>131</v>
      </c>
      <c r="W801" t="s">
        <v>51</v>
      </c>
      <c r="X801" t="s">
        <v>45</v>
      </c>
      <c r="Y801" s="1">
        <v>27890</v>
      </c>
      <c r="Z801">
        <v>2</v>
      </c>
      <c r="AA801" t="s">
        <v>301</v>
      </c>
      <c r="AB801" s="40" t="s">
        <v>1796</v>
      </c>
    </row>
    <row r="802" spans="1:28" x14ac:dyDescent="0.25">
      <c r="A802">
        <v>99910801</v>
      </c>
      <c r="B802" t="s">
        <v>32</v>
      </c>
      <c r="C802" t="s">
        <v>117</v>
      </c>
      <c r="D802" t="s">
        <v>118</v>
      </c>
      <c r="G802" t="s">
        <v>88</v>
      </c>
      <c r="H802">
        <v>2</v>
      </c>
      <c r="I802" t="s">
        <v>1013</v>
      </c>
      <c r="J802" s="1">
        <v>43344</v>
      </c>
      <c r="K802" t="s">
        <v>963</v>
      </c>
      <c r="L802" t="s">
        <v>964</v>
      </c>
      <c r="M802" t="s">
        <v>938</v>
      </c>
      <c r="N802">
        <v>11</v>
      </c>
      <c r="O802" s="1">
        <v>43344</v>
      </c>
      <c r="P802" t="s">
        <v>41</v>
      </c>
      <c r="Q802" t="s">
        <v>75</v>
      </c>
      <c r="R802" t="str">
        <f>"7061004"</f>
        <v>7061004</v>
      </c>
      <c r="S802" t="s">
        <v>1002</v>
      </c>
      <c r="T802" t="s">
        <v>963</v>
      </c>
      <c r="U802" t="s">
        <v>964</v>
      </c>
      <c r="V802" t="s">
        <v>938</v>
      </c>
      <c r="W802" t="s">
        <v>44</v>
      </c>
      <c r="X802" t="s">
        <v>45</v>
      </c>
      <c r="Y802" s="1">
        <v>27395</v>
      </c>
      <c r="Z802">
        <v>1</v>
      </c>
      <c r="AA802" t="s">
        <v>964</v>
      </c>
      <c r="AB802" s="40" t="s">
        <v>1796</v>
      </c>
    </row>
    <row r="803" spans="1:28" x14ac:dyDescent="0.25">
      <c r="A803">
        <v>99910802</v>
      </c>
      <c r="B803" t="s">
        <v>32</v>
      </c>
      <c r="C803" t="s">
        <v>117</v>
      </c>
      <c r="D803" t="s">
        <v>118</v>
      </c>
      <c r="G803" t="s">
        <v>35</v>
      </c>
      <c r="H803">
        <v>1</v>
      </c>
      <c r="K803" t="s">
        <v>667</v>
      </c>
      <c r="L803" t="s">
        <v>669</v>
      </c>
      <c r="M803" t="s">
        <v>670</v>
      </c>
      <c r="N803">
        <v>11</v>
      </c>
      <c r="P803" t="s">
        <v>41</v>
      </c>
      <c r="Q803" t="s">
        <v>75</v>
      </c>
      <c r="R803" t="str">
        <f>"7501004"</f>
        <v>7501004</v>
      </c>
      <c r="S803" t="s">
        <v>1500</v>
      </c>
      <c r="T803" t="s">
        <v>667</v>
      </c>
      <c r="U803" t="s">
        <v>669</v>
      </c>
      <c r="V803" t="s">
        <v>670</v>
      </c>
      <c r="W803" t="s">
        <v>51</v>
      </c>
      <c r="X803" t="s">
        <v>45</v>
      </c>
      <c r="Y803" s="1">
        <v>27395</v>
      </c>
      <c r="Z803">
        <v>1</v>
      </c>
      <c r="AA803" t="s">
        <v>669</v>
      </c>
      <c r="AB803" s="40" t="s">
        <v>1796</v>
      </c>
    </row>
    <row r="804" spans="1:28" x14ac:dyDescent="0.25">
      <c r="A804">
        <v>99910803</v>
      </c>
      <c r="B804" t="s">
        <v>56</v>
      </c>
      <c r="C804" t="s">
        <v>79</v>
      </c>
      <c r="D804" t="s">
        <v>80</v>
      </c>
      <c r="G804" t="s">
        <v>48</v>
      </c>
      <c r="H804">
        <v>1</v>
      </c>
      <c r="K804" t="s">
        <v>300</v>
      </c>
      <c r="L804" t="s">
        <v>301</v>
      </c>
      <c r="M804" t="s">
        <v>131</v>
      </c>
      <c r="N804">
        <v>11</v>
      </c>
      <c r="P804" t="s">
        <v>41</v>
      </c>
      <c r="Q804" t="s">
        <v>49</v>
      </c>
      <c r="R804" t="str">
        <f>"0560013"</f>
        <v>0560013</v>
      </c>
      <c r="S804" t="s">
        <v>324</v>
      </c>
      <c r="T804" t="s">
        <v>300</v>
      </c>
      <c r="U804" t="s">
        <v>301</v>
      </c>
      <c r="V804" t="s">
        <v>131</v>
      </c>
      <c r="W804" t="s">
        <v>51</v>
      </c>
      <c r="X804" t="s">
        <v>45</v>
      </c>
      <c r="Y804" s="1">
        <v>27095</v>
      </c>
      <c r="Z804">
        <v>2</v>
      </c>
      <c r="AA804" t="s">
        <v>301</v>
      </c>
      <c r="AB804" s="40" t="s">
        <v>1796</v>
      </c>
    </row>
    <row r="805" spans="1:28" x14ac:dyDescent="0.25">
      <c r="A805">
        <v>99910804</v>
      </c>
      <c r="B805" t="s">
        <v>32</v>
      </c>
      <c r="C805" t="s">
        <v>46</v>
      </c>
      <c r="D805" t="s">
        <v>47</v>
      </c>
      <c r="G805" t="s">
        <v>48</v>
      </c>
      <c r="H805">
        <v>1</v>
      </c>
      <c r="K805" t="s">
        <v>162</v>
      </c>
      <c r="L805" t="s">
        <v>158</v>
      </c>
      <c r="M805" t="s">
        <v>131</v>
      </c>
      <c r="N805">
        <v>11</v>
      </c>
      <c r="P805" t="s">
        <v>41</v>
      </c>
      <c r="Q805" t="s">
        <v>49</v>
      </c>
      <c r="R805" t="str">
        <f>"0560027"</f>
        <v>0560027</v>
      </c>
      <c r="S805" t="s">
        <v>178</v>
      </c>
      <c r="T805" t="s">
        <v>162</v>
      </c>
      <c r="U805" t="s">
        <v>158</v>
      </c>
      <c r="V805" t="s">
        <v>131</v>
      </c>
      <c r="W805" t="s">
        <v>51</v>
      </c>
      <c r="X805" t="s">
        <v>45</v>
      </c>
      <c r="Y805" s="1">
        <v>27020</v>
      </c>
      <c r="Z805">
        <v>2</v>
      </c>
      <c r="AA805" t="s">
        <v>158</v>
      </c>
      <c r="AB805" s="40" t="s">
        <v>1796</v>
      </c>
    </row>
    <row r="806" spans="1:28" x14ac:dyDescent="0.25">
      <c r="A806">
        <v>99910805</v>
      </c>
      <c r="B806" t="s">
        <v>32</v>
      </c>
      <c r="C806" t="s">
        <v>139</v>
      </c>
      <c r="D806" t="s">
        <v>140</v>
      </c>
      <c r="G806" t="s">
        <v>48</v>
      </c>
      <c r="H806">
        <v>1</v>
      </c>
      <c r="K806" t="s">
        <v>300</v>
      </c>
      <c r="L806" t="s">
        <v>301</v>
      </c>
      <c r="M806" t="s">
        <v>131</v>
      </c>
      <c r="N806">
        <v>11</v>
      </c>
      <c r="P806" t="s">
        <v>41</v>
      </c>
      <c r="Q806" t="s">
        <v>49</v>
      </c>
      <c r="R806" t="str">
        <f>"0560029"</f>
        <v>0560029</v>
      </c>
      <c r="S806" t="s">
        <v>309</v>
      </c>
      <c r="T806" t="s">
        <v>300</v>
      </c>
      <c r="U806" t="s">
        <v>301</v>
      </c>
      <c r="V806" t="s">
        <v>131</v>
      </c>
      <c r="W806" t="s">
        <v>165</v>
      </c>
      <c r="X806" t="s">
        <v>45</v>
      </c>
      <c r="Y806" s="1">
        <v>26839</v>
      </c>
      <c r="Z806">
        <v>2</v>
      </c>
      <c r="AA806" t="s">
        <v>301</v>
      </c>
      <c r="AB806" s="40" t="s">
        <v>1796</v>
      </c>
    </row>
    <row r="807" spans="1:28" x14ac:dyDescent="0.25">
      <c r="A807">
        <v>99910806</v>
      </c>
      <c r="B807" t="s">
        <v>56</v>
      </c>
      <c r="C807" t="s">
        <v>52</v>
      </c>
      <c r="D807" t="s">
        <v>53</v>
      </c>
      <c r="G807" t="s">
        <v>35</v>
      </c>
      <c r="H807">
        <v>1</v>
      </c>
      <c r="I807">
        <v>22882</v>
      </c>
      <c r="J807" s="1">
        <v>43027</v>
      </c>
      <c r="K807" t="s">
        <v>380</v>
      </c>
      <c r="L807" t="s">
        <v>381</v>
      </c>
      <c r="M807" t="s">
        <v>131</v>
      </c>
      <c r="N807">
        <v>11</v>
      </c>
      <c r="O807" s="1">
        <v>43027</v>
      </c>
      <c r="P807" t="s">
        <v>41</v>
      </c>
      <c r="Q807" t="s">
        <v>49</v>
      </c>
      <c r="R807" t="str">
        <f>"0561020"</f>
        <v>0561020</v>
      </c>
      <c r="S807" t="s">
        <v>390</v>
      </c>
      <c r="T807" t="s">
        <v>380</v>
      </c>
      <c r="U807" t="s">
        <v>381</v>
      </c>
      <c r="V807" t="s">
        <v>131</v>
      </c>
      <c r="W807" t="s">
        <v>44</v>
      </c>
      <c r="X807" t="s">
        <v>45</v>
      </c>
      <c r="Y807" s="1">
        <v>26751</v>
      </c>
      <c r="Z807">
        <v>2</v>
      </c>
      <c r="AA807" t="s">
        <v>381</v>
      </c>
      <c r="AB807" s="40" t="s">
        <v>1796</v>
      </c>
    </row>
    <row r="808" spans="1:28" x14ac:dyDescent="0.25">
      <c r="A808">
        <v>99910807</v>
      </c>
      <c r="B808" t="s">
        <v>32</v>
      </c>
      <c r="C808" t="s">
        <v>139</v>
      </c>
      <c r="D808" t="s">
        <v>140</v>
      </c>
      <c r="G808" t="s">
        <v>35</v>
      </c>
      <c r="H808">
        <v>1</v>
      </c>
      <c r="K808" t="s">
        <v>223</v>
      </c>
      <c r="L808" t="s">
        <v>224</v>
      </c>
      <c r="M808" t="s">
        <v>131</v>
      </c>
      <c r="N808">
        <v>11</v>
      </c>
      <c r="P808" t="s">
        <v>41</v>
      </c>
      <c r="Q808" t="s">
        <v>49</v>
      </c>
      <c r="R808" t="str">
        <f>"0591901"</f>
        <v>0591901</v>
      </c>
      <c r="S808" t="s">
        <v>230</v>
      </c>
      <c r="T808" t="s">
        <v>223</v>
      </c>
      <c r="U808" t="s">
        <v>224</v>
      </c>
      <c r="V808" t="s">
        <v>131</v>
      </c>
      <c r="W808" t="s">
        <v>51</v>
      </c>
      <c r="X808" t="s">
        <v>45</v>
      </c>
      <c r="Y808" s="1">
        <v>26681</v>
      </c>
      <c r="Z808">
        <v>2</v>
      </c>
      <c r="AA808" t="s">
        <v>224</v>
      </c>
      <c r="AB808" s="40" t="s">
        <v>1796</v>
      </c>
    </row>
    <row r="809" spans="1:28" x14ac:dyDescent="0.25">
      <c r="A809">
        <v>99910808</v>
      </c>
      <c r="B809" t="s">
        <v>56</v>
      </c>
      <c r="C809" t="s">
        <v>117</v>
      </c>
      <c r="D809" t="s">
        <v>118</v>
      </c>
      <c r="G809" t="s">
        <v>35</v>
      </c>
      <c r="H809">
        <v>1</v>
      </c>
      <c r="I809" t="s">
        <v>1186</v>
      </c>
      <c r="J809" s="1">
        <v>43388</v>
      </c>
      <c r="K809" t="s">
        <v>1171</v>
      </c>
      <c r="L809" t="s">
        <v>1172</v>
      </c>
      <c r="M809" t="s">
        <v>1130</v>
      </c>
      <c r="N809">
        <v>11</v>
      </c>
      <c r="O809" s="1">
        <v>43388</v>
      </c>
      <c r="P809" t="s">
        <v>41</v>
      </c>
      <c r="Q809" t="s">
        <v>49</v>
      </c>
      <c r="R809" t="str">
        <f>"3560001"</f>
        <v>3560001</v>
      </c>
      <c r="S809" t="s">
        <v>1179</v>
      </c>
      <c r="T809" t="s">
        <v>1171</v>
      </c>
      <c r="U809" t="s">
        <v>1172</v>
      </c>
      <c r="V809" t="s">
        <v>1130</v>
      </c>
      <c r="W809" t="s">
        <v>44</v>
      </c>
      <c r="X809" t="s">
        <v>45</v>
      </c>
      <c r="Y809" s="1">
        <v>26665</v>
      </c>
      <c r="Z809">
        <v>2</v>
      </c>
      <c r="AA809" t="s">
        <v>1172</v>
      </c>
      <c r="AB809" s="40" t="s">
        <v>1796</v>
      </c>
    </row>
    <row r="810" spans="1:28" x14ac:dyDescent="0.25">
      <c r="A810">
        <v>99910809</v>
      </c>
      <c r="B810" t="s">
        <v>56</v>
      </c>
      <c r="C810" t="s">
        <v>68</v>
      </c>
      <c r="D810" t="s">
        <v>69</v>
      </c>
      <c r="G810" t="s">
        <v>48</v>
      </c>
      <c r="H810">
        <v>1</v>
      </c>
      <c r="K810" t="s">
        <v>162</v>
      </c>
      <c r="L810" t="s">
        <v>158</v>
      </c>
      <c r="M810" t="s">
        <v>131</v>
      </c>
      <c r="N810">
        <v>11</v>
      </c>
      <c r="P810" t="s">
        <v>41</v>
      </c>
      <c r="Q810" t="s">
        <v>42</v>
      </c>
      <c r="R810" t="str">
        <f>"0580330"</f>
        <v>0580330</v>
      </c>
      <c r="S810" t="s">
        <v>176</v>
      </c>
      <c r="T810" t="s">
        <v>162</v>
      </c>
      <c r="U810" t="s">
        <v>158</v>
      </c>
      <c r="V810" t="s">
        <v>131</v>
      </c>
      <c r="W810" t="s">
        <v>51</v>
      </c>
      <c r="X810" t="s">
        <v>45</v>
      </c>
      <c r="Y810" s="1">
        <v>26648</v>
      </c>
      <c r="Z810">
        <v>2</v>
      </c>
      <c r="AA810" t="s">
        <v>158</v>
      </c>
      <c r="AB810" s="40" t="s">
        <v>1796</v>
      </c>
    </row>
    <row r="811" spans="1:28" x14ac:dyDescent="0.25">
      <c r="A811">
        <v>99910810</v>
      </c>
      <c r="B811" t="s">
        <v>56</v>
      </c>
      <c r="C811" t="s">
        <v>68</v>
      </c>
      <c r="D811" t="s">
        <v>69</v>
      </c>
      <c r="G811" t="s">
        <v>35</v>
      </c>
      <c r="H811">
        <v>1</v>
      </c>
      <c r="I811" t="s">
        <v>1157</v>
      </c>
      <c r="J811" s="1">
        <v>43344</v>
      </c>
      <c r="K811" t="s">
        <v>1128</v>
      </c>
      <c r="L811" t="s">
        <v>1129</v>
      </c>
      <c r="M811" t="s">
        <v>1130</v>
      </c>
      <c r="N811">
        <v>11</v>
      </c>
      <c r="O811" s="1">
        <v>43344</v>
      </c>
      <c r="P811" t="s">
        <v>41</v>
      </c>
      <c r="Q811" t="s">
        <v>49</v>
      </c>
      <c r="R811" t="str">
        <f>"3181010"</f>
        <v>3181010</v>
      </c>
      <c r="S811" t="s">
        <v>1134</v>
      </c>
      <c r="T811" t="s">
        <v>1128</v>
      </c>
      <c r="U811" t="s">
        <v>1129</v>
      </c>
      <c r="V811" t="s">
        <v>1130</v>
      </c>
      <c r="W811" t="s">
        <v>44</v>
      </c>
      <c r="X811" t="s">
        <v>45</v>
      </c>
      <c r="Y811" s="1">
        <v>26627</v>
      </c>
      <c r="Z811">
        <v>2</v>
      </c>
      <c r="AA811" t="s">
        <v>1129</v>
      </c>
      <c r="AB811" s="40" t="s">
        <v>1796</v>
      </c>
    </row>
    <row r="812" spans="1:28" x14ac:dyDescent="0.25">
      <c r="A812">
        <v>99910811</v>
      </c>
      <c r="B812" t="s">
        <v>32</v>
      </c>
      <c r="C812" t="s">
        <v>46</v>
      </c>
      <c r="D812" t="s">
        <v>47</v>
      </c>
      <c r="G812" t="s">
        <v>35</v>
      </c>
      <c r="H812">
        <v>1</v>
      </c>
      <c r="K812" t="s">
        <v>157</v>
      </c>
      <c r="L812" t="s">
        <v>158</v>
      </c>
      <c r="M812" t="s">
        <v>131</v>
      </c>
      <c r="N812">
        <v>11</v>
      </c>
      <c r="P812" t="s">
        <v>41</v>
      </c>
      <c r="Q812" t="s">
        <v>49</v>
      </c>
      <c r="R812" t="str">
        <f>"0580505"</f>
        <v>0580505</v>
      </c>
      <c r="S812" t="s">
        <v>168</v>
      </c>
      <c r="T812" t="s">
        <v>157</v>
      </c>
      <c r="U812" t="s">
        <v>158</v>
      </c>
      <c r="V812" t="s">
        <v>131</v>
      </c>
      <c r="W812" t="s">
        <v>51</v>
      </c>
      <c r="X812" t="s">
        <v>45</v>
      </c>
      <c r="Y812" s="1">
        <v>26299</v>
      </c>
      <c r="Z812">
        <v>2</v>
      </c>
      <c r="AA812" t="s">
        <v>158</v>
      </c>
      <c r="AB812" s="40" t="s">
        <v>1796</v>
      </c>
    </row>
    <row r="813" spans="1:28" x14ac:dyDescent="0.25">
      <c r="A813">
        <v>99910812</v>
      </c>
      <c r="B813" t="s">
        <v>56</v>
      </c>
      <c r="C813" t="s">
        <v>145</v>
      </c>
      <c r="D813" t="s">
        <v>146</v>
      </c>
      <c r="G813" t="s">
        <v>35</v>
      </c>
      <c r="H813">
        <v>1</v>
      </c>
      <c r="I813" t="s">
        <v>337</v>
      </c>
      <c r="J813" s="1">
        <v>43344</v>
      </c>
      <c r="K813" t="s">
        <v>300</v>
      </c>
      <c r="L813" t="s">
        <v>301</v>
      </c>
      <c r="M813" t="s">
        <v>131</v>
      </c>
      <c r="N813">
        <v>11</v>
      </c>
      <c r="O813" s="1">
        <v>43344</v>
      </c>
      <c r="P813" t="s">
        <v>41</v>
      </c>
      <c r="Q813" t="s">
        <v>49</v>
      </c>
      <c r="R813" t="str">
        <f>"0560020"</f>
        <v>0560020</v>
      </c>
      <c r="S813" t="s">
        <v>302</v>
      </c>
      <c r="T813" t="s">
        <v>300</v>
      </c>
      <c r="U813" t="s">
        <v>301</v>
      </c>
      <c r="V813" t="s">
        <v>131</v>
      </c>
      <c r="W813" t="s">
        <v>51</v>
      </c>
      <c r="X813" t="s">
        <v>45</v>
      </c>
      <c r="Y813" s="1">
        <v>26245</v>
      </c>
      <c r="Z813">
        <v>2</v>
      </c>
      <c r="AA813" t="s">
        <v>301</v>
      </c>
      <c r="AB813" s="40" t="s">
        <v>1796</v>
      </c>
    </row>
    <row r="814" spans="1:28" x14ac:dyDescent="0.25">
      <c r="A814">
        <v>99910813</v>
      </c>
      <c r="B814" t="s">
        <v>56</v>
      </c>
      <c r="C814" t="s">
        <v>46</v>
      </c>
      <c r="D814" t="s">
        <v>47</v>
      </c>
      <c r="G814" t="s">
        <v>35</v>
      </c>
      <c r="H814">
        <v>1</v>
      </c>
      <c r="K814" t="s">
        <v>947</v>
      </c>
      <c r="L814" t="s">
        <v>948</v>
      </c>
      <c r="M814" t="s">
        <v>938</v>
      </c>
      <c r="N814">
        <v>11</v>
      </c>
      <c r="P814" t="s">
        <v>41</v>
      </c>
      <c r="Q814" t="s">
        <v>42</v>
      </c>
      <c r="R814" t="str">
        <f>"0680039"</f>
        <v>0680039</v>
      </c>
      <c r="S814" t="s">
        <v>949</v>
      </c>
      <c r="T814" t="s">
        <v>947</v>
      </c>
      <c r="U814" t="s">
        <v>948</v>
      </c>
      <c r="V814" t="s">
        <v>938</v>
      </c>
      <c r="W814" t="s">
        <v>51</v>
      </c>
      <c r="X814" t="s">
        <v>45</v>
      </c>
      <c r="Y814" s="1">
        <v>26110</v>
      </c>
      <c r="Z814">
        <v>2</v>
      </c>
      <c r="AA814" t="s">
        <v>948</v>
      </c>
      <c r="AB814" s="40" t="s">
        <v>1796</v>
      </c>
    </row>
    <row r="815" spans="1:28" x14ac:dyDescent="0.25">
      <c r="A815">
        <v>99910814</v>
      </c>
      <c r="B815" t="s">
        <v>56</v>
      </c>
      <c r="C815" t="s">
        <v>79</v>
      </c>
      <c r="D815" t="s">
        <v>80</v>
      </c>
      <c r="G815" t="s">
        <v>35</v>
      </c>
      <c r="H815">
        <v>1</v>
      </c>
      <c r="I815" t="s">
        <v>484</v>
      </c>
      <c r="J815" s="1">
        <v>42614</v>
      </c>
      <c r="K815" t="s">
        <v>195</v>
      </c>
      <c r="L815" t="s">
        <v>196</v>
      </c>
      <c r="M815" t="s">
        <v>131</v>
      </c>
      <c r="N815">
        <v>11</v>
      </c>
      <c r="O815" s="1">
        <v>42614</v>
      </c>
      <c r="P815" t="s">
        <v>41</v>
      </c>
      <c r="Q815" t="s">
        <v>75</v>
      </c>
      <c r="R815" t="str">
        <f>"7521050"</f>
        <v>7521050</v>
      </c>
      <c r="S815" t="s">
        <v>194</v>
      </c>
      <c r="T815" t="s">
        <v>195</v>
      </c>
      <c r="U815" t="s">
        <v>196</v>
      </c>
      <c r="V815" t="s">
        <v>131</v>
      </c>
      <c r="W815" t="s">
        <v>51</v>
      </c>
      <c r="X815" t="s">
        <v>45</v>
      </c>
      <c r="Y815" s="1">
        <v>25880</v>
      </c>
      <c r="Z815">
        <v>1</v>
      </c>
      <c r="AA815" t="s">
        <v>196</v>
      </c>
      <c r="AB815" s="40" t="s">
        <v>1796</v>
      </c>
    </row>
    <row r="816" spans="1:28" x14ac:dyDescent="0.25">
      <c r="A816">
        <v>99910815</v>
      </c>
      <c r="B816" t="s">
        <v>56</v>
      </c>
      <c r="C816" t="s">
        <v>85</v>
      </c>
      <c r="D816" t="s">
        <v>86</v>
      </c>
      <c r="G816" t="s">
        <v>35</v>
      </c>
      <c r="H816">
        <v>1</v>
      </c>
      <c r="K816" t="s">
        <v>345</v>
      </c>
      <c r="L816" t="s">
        <v>346</v>
      </c>
      <c r="M816" t="s">
        <v>131</v>
      </c>
      <c r="N816">
        <v>11</v>
      </c>
      <c r="P816" t="s">
        <v>41</v>
      </c>
      <c r="Q816" t="s">
        <v>49</v>
      </c>
      <c r="R816" t="str">
        <f>"0581660"</f>
        <v>0581660</v>
      </c>
      <c r="S816" t="s">
        <v>359</v>
      </c>
      <c r="T816" t="s">
        <v>345</v>
      </c>
      <c r="U816" t="s">
        <v>346</v>
      </c>
      <c r="V816" t="s">
        <v>131</v>
      </c>
      <c r="W816" t="s">
        <v>51</v>
      </c>
      <c r="X816" t="s">
        <v>45</v>
      </c>
      <c r="Y816" s="1">
        <v>25772</v>
      </c>
      <c r="Z816">
        <v>2</v>
      </c>
      <c r="AA816" t="s">
        <v>346</v>
      </c>
      <c r="AB816" s="40" t="s">
        <v>1796</v>
      </c>
    </row>
    <row r="817" spans="1:28" x14ac:dyDescent="0.25">
      <c r="A817">
        <v>99910816</v>
      </c>
      <c r="B817" t="s">
        <v>32</v>
      </c>
      <c r="C817" t="s">
        <v>139</v>
      </c>
      <c r="D817" t="s">
        <v>140</v>
      </c>
      <c r="G817" t="s">
        <v>35</v>
      </c>
      <c r="H817">
        <v>1</v>
      </c>
      <c r="K817" t="s">
        <v>1341</v>
      </c>
      <c r="L817" t="s">
        <v>1342</v>
      </c>
      <c r="M817" t="s">
        <v>1270</v>
      </c>
      <c r="N817">
        <v>11</v>
      </c>
      <c r="P817" t="s">
        <v>41</v>
      </c>
      <c r="Q817" t="s">
        <v>75</v>
      </c>
      <c r="R817" t="str">
        <f>"7191006"</f>
        <v>7191006</v>
      </c>
      <c r="S817" t="s">
        <v>1351</v>
      </c>
      <c r="T817" t="s">
        <v>1341</v>
      </c>
      <c r="U817" t="s">
        <v>1342</v>
      </c>
      <c r="V817" t="s">
        <v>1270</v>
      </c>
      <c r="W817" t="s">
        <v>51</v>
      </c>
      <c r="X817" t="s">
        <v>45</v>
      </c>
      <c r="Y817" s="1">
        <v>25730</v>
      </c>
      <c r="Z817">
        <v>1</v>
      </c>
      <c r="AA817" t="s">
        <v>1342</v>
      </c>
      <c r="AB817" s="40" t="s">
        <v>1796</v>
      </c>
    </row>
    <row r="818" spans="1:28" x14ac:dyDescent="0.25">
      <c r="A818">
        <v>99910817</v>
      </c>
      <c r="B818" t="s">
        <v>32</v>
      </c>
      <c r="C818" t="s">
        <v>85</v>
      </c>
      <c r="D818" t="s">
        <v>86</v>
      </c>
      <c r="G818" t="s">
        <v>48</v>
      </c>
      <c r="H818">
        <v>1</v>
      </c>
      <c r="K818" t="s">
        <v>300</v>
      </c>
      <c r="L818" t="s">
        <v>301</v>
      </c>
      <c r="M818" t="s">
        <v>131</v>
      </c>
      <c r="N818">
        <v>11</v>
      </c>
      <c r="P818" t="s">
        <v>41</v>
      </c>
      <c r="Q818" t="s">
        <v>49</v>
      </c>
      <c r="R818" t="str">
        <f>"0560013"</f>
        <v>0560013</v>
      </c>
      <c r="S818" t="s">
        <v>324</v>
      </c>
      <c r="T818" t="s">
        <v>300</v>
      </c>
      <c r="U818" t="s">
        <v>301</v>
      </c>
      <c r="V818" t="s">
        <v>131</v>
      </c>
      <c r="W818" t="s">
        <v>51</v>
      </c>
      <c r="X818" t="s">
        <v>45</v>
      </c>
      <c r="Y818" s="1">
        <v>25611</v>
      </c>
      <c r="Z818">
        <v>2</v>
      </c>
      <c r="AA818" t="s">
        <v>301</v>
      </c>
      <c r="AB818" s="40" t="s">
        <v>1796</v>
      </c>
    </row>
    <row r="819" spans="1:28" x14ac:dyDescent="0.25">
      <c r="A819">
        <v>99910818</v>
      </c>
      <c r="B819" t="s">
        <v>32</v>
      </c>
      <c r="C819" t="s">
        <v>139</v>
      </c>
      <c r="D819" t="s">
        <v>140</v>
      </c>
      <c r="G819" t="s">
        <v>48</v>
      </c>
      <c r="H819">
        <v>1</v>
      </c>
      <c r="K819" t="s">
        <v>1590</v>
      </c>
      <c r="L819" t="s">
        <v>1591</v>
      </c>
      <c r="M819" t="s">
        <v>1592</v>
      </c>
      <c r="N819">
        <v>11</v>
      </c>
      <c r="P819" t="s">
        <v>41</v>
      </c>
      <c r="Q819" t="s">
        <v>49</v>
      </c>
      <c r="R819" t="str">
        <f>"0260001"</f>
        <v>0260001</v>
      </c>
      <c r="S819" t="s">
        <v>1595</v>
      </c>
      <c r="T819" t="s">
        <v>1590</v>
      </c>
      <c r="U819" t="s">
        <v>1591</v>
      </c>
      <c r="V819" t="s">
        <v>1592</v>
      </c>
      <c r="W819" t="s">
        <v>51</v>
      </c>
      <c r="X819" t="s">
        <v>45</v>
      </c>
      <c r="Y819" s="1">
        <v>25384</v>
      </c>
      <c r="Z819">
        <v>2</v>
      </c>
      <c r="AA819" t="s">
        <v>1591</v>
      </c>
      <c r="AB819" s="40" t="s">
        <v>1796</v>
      </c>
    </row>
    <row r="820" spans="1:28" x14ac:dyDescent="0.25">
      <c r="A820">
        <v>99910819</v>
      </c>
      <c r="B820" t="s">
        <v>56</v>
      </c>
      <c r="C820" t="s">
        <v>68</v>
      </c>
      <c r="D820" t="s">
        <v>69</v>
      </c>
      <c r="G820" t="s">
        <v>48</v>
      </c>
      <c r="H820">
        <v>1</v>
      </c>
      <c r="K820" t="s">
        <v>157</v>
      </c>
      <c r="L820" t="s">
        <v>158</v>
      </c>
      <c r="M820" t="s">
        <v>131</v>
      </c>
      <c r="N820">
        <v>11</v>
      </c>
      <c r="P820" t="s">
        <v>41</v>
      </c>
      <c r="Q820" t="s">
        <v>49</v>
      </c>
      <c r="R820" t="str">
        <f>"0560010"</f>
        <v>0560010</v>
      </c>
      <c r="S820" t="s">
        <v>179</v>
      </c>
      <c r="T820" t="s">
        <v>157</v>
      </c>
      <c r="U820" t="s">
        <v>158</v>
      </c>
      <c r="V820" t="s">
        <v>131</v>
      </c>
      <c r="W820" t="s">
        <v>51</v>
      </c>
      <c r="X820" t="s">
        <v>45</v>
      </c>
      <c r="Y820" s="1">
        <v>25339</v>
      </c>
      <c r="Z820">
        <v>2</v>
      </c>
      <c r="AA820" t="s">
        <v>158</v>
      </c>
      <c r="AB820" s="40" t="s">
        <v>1796</v>
      </c>
    </row>
    <row r="821" spans="1:28" x14ac:dyDescent="0.25">
      <c r="A821">
        <v>99910820</v>
      </c>
      <c r="B821" t="s">
        <v>56</v>
      </c>
      <c r="C821" t="s">
        <v>79</v>
      </c>
      <c r="D821" t="s">
        <v>80</v>
      </c>
      <c r="G821" t="s">
        <v>35</v>
      </c>
      <c r="H821">
        <v>1</v>
      </c>
      <c r="J821" s="1">
        <v>38230</v>
      </c>
      <c r="K821" t="s">
        <v>1336</v>
      </c>
      <c r="L821" t="s">
        <v>1337</v>
      </c>
      <c r="M821" t="s">
        <v>1270</v>
      </c>
      <c r="N821">
        <v>11</v>
      </c>
      <c r="O821" s="1">
        <v>38230</v>
      </c>
      <c r="P821" t="s">
        <v>41</v>
      </c>
      <c r="Q821" t="s">
        <v>42</v>
      </c>
      <c r="R821" t="str">
        <f>"4475070"</f>
        <v>4475070</v>
      </c>
      <c r="S821" t="s">
        <v>1338</v>
      </c>
      <c r="T821" t="s">
        <v>1336</v>
      </c>
      <c r="U821" t="s">
        <v>1337</v>
      </c>
      <c r="V821" t="s">
        <v>1270</v>
      </c>
      <c r="W821" t="s">
        <v>51</v>
      </c>
      <c r="X821" t="s">
        <v>45</v>
      </c>
      <c r="Y821" s="1">
        <v>25166</v>
      </c>
      <c r="Z821">
        <v>2</v>
      </c>
      <c r="AA821" t="s">
        <v>1337</v>
      </c>
      <c r="AB821" s="40" t="s">
        <v>1796</v>
      </c>
    </row>
    <row r="822" spans="1:28" x14ac:dyDescent="0.25">
      <c r="A822">
        <v>99910821</v>
      </c>
      <c r="B822" t="s">
        <v>56</v>
      </c>
      <c r="C822" t="s">
        <v>79</v>
      </c>
      <c r="D822" t="s">
        <v>80</v>
      </c>
      <c r="G822" t="s">
        <v>48</v>
      </c>
      <c r="H822">
        <v>1</v>
      </c>
      <c r="K822" t="s">
        <v>936</v>
      </c>
      <c r="L822" t="s">
        <v>937</v>
      </c>
      <c r="M822" t="s">
        <v>938</v>
      </c>
      <c r="N822">
        <v>11</v>
      </c>
      <c r="P822" t="s">
        <v>41</v>
      </c>
      <c r="Q822" t="s">
        <v>49</v>
      </c>
      <c r="R822" t="str">
        <f>"0180017"</f>
        <v>0180017</v>
      </c>
      <c r="S822" t="s">
        <v>943</v>
      </c>
      <c r="T822" t="s">
        <v>936</v>
      </c>
      <c r="U822" t="s">
        <v>937</v>
      </c>
      <c r="V822" t="s">
        <v>938</v>
      </c>
      <c r="W822" t="s">
        <v>51</v>
      </c>
      <c r="X822" t="s">
        <v>45</v>
      </c>
      <c r="Y822" s="1">
        <v>25128</v>
      </c>
      <c r="Z822">
        <v>2</v>
      </c>
      <c r="AA822" t="s">
        <v>937</v>
      </c>
      <c r="AB822" s="40" t="s">
        <v>1796</v>
      </c>
    </row>
    <row r="823" spans="1:28" x14ac:dyDescent="0.25">
      <c r="A823">
        <v>99910822</v>
      </c>
      <c r="B823" t="s">
        <v>56</v>
      </c>
      <c r="C823" t="s">
        <v>141</v>
      </c>
      <c r="D823" t="s">
        <v>142</v>
      </c>
      <c r="G823" t="s">
        <v>48</v>
      </c>
      <c r="H823">
        <v>1</v>
      </c>
      <c r="I823" t="s">
        <v>1113</v>
      </c>
      <c r="J823" s="1">
        <v>43344</v>
      </c>
      <c r="K823" t="s">
        <v>1081</v>
      </c>
      <c r="L823" t="s">
        <v>1082</v>
      </c>
      <c r="M823" t="s">
        <v>1053</v>
      </c>
      <c r="N823">
        <v>11</v>
      </c>
      <c r="O823" s="1">
        <v>43344</v>
      </c>
      <c r="P823" t="s">
        <v>41</v>
      </c>
      <c r="Q823" t="s">
        <v>75</v>
      </c>
      <c r="R823" t="str">
        <f>"7201000"</f>
        <v>7201000</v>
      </c>
      <c r="S823" t="s">
        <v>1088</v>
      </c>
      <c r="T823" t="s">
        <v>1081</v>
      </c>
      <c r="U823" t="s">
        <v>1082</v>
      </c>
      <c r="V823" t="s">
        <v>1053</v>
      </c>
      <c r="W823" t="s">
        <v>51</v>
      </c>
      <c r="X823" t="s">
        <v>45</v>
      </c>
      <c r="Y823" s="1">
        <v>25101</v>
      </c>
      <c r="Z823">
        <v>1</v>
      </c>
      <c r="AA823" t="s">
        <v>1082</v>
      </c>
      <c r="AB823" s="40" t="s">
        <v>1796</v>
      </c>
    </row>
    <row r="824" spans="1:28" x14ac:dyDescent="0.25">
      <c r="A824">
        <v>99910823</v>
      </c>
      <c r="B824" t="s">
        <v>32</v>
      </c>
      <c r="C824" t="s">
        <v>141</v>
      </c>
      <c r="D824" t="s">
        <v>142</v>
      </c>
      <c r="G824" t="s">
        <v>48</v>
      </c>
      <c r="H824">
        <v>1</v>
      </c>
      <c r="K824" t="s">
        <v>380</v>
      </c>
      <c r="L824" t="s">
        <v>381</v>
      </c>
      <c r="M824" t="s">
        <v>131</v>
      </c>
      <c r="N824">
        <v>11</v>
      </c>
      <c r="P824" t="s">
        <v>41</v>
      </c>
      <c r="Q824" t="s">
        <v>49</v>
      </c>
      <c r="R824" t="str">
        <f>"0591909"</f>
        <v>0591909</v>
      </c>
      <c r="S824" t="s">
        <v>385</v>
      </c>
      <c r="T824" t="s">
        <v>380</v>
      </c>
      <c r="U824" t="s">
        <v>381</v>
      </c>
      <c r="V824" t="s">
        <v>131</v>
      </c>
      <c r="W824" t="s">
        <v>51</v>
      </c>
      <c r="X824" t="s">
        <v>45</v>
      </c>
      <c r="Y824" s="1">
        <v>24980</v>
      </c>
      <c r="Z824">
        <v>2</v>
      </c>
      <c r="AA824" t="s">
        <v>381</v>
      </c>
      <c r="AB824" s="40" t="s">
        <v>1796</v>
      </c>
    </row>
    <row r="825" spans="1:28" x14ac:dyDescent="0.25">
      <c r="A825">
        <v>99910824</v>
      </c>
      <c r="B825" t="s">
        <v>32</v>
      </c>
      <c r="C825" t="s">
        <v>82</v>
      </c>
      <c r="D825" t="s">
        <v>83</v>
      </c>
      <c r="G825" t="s">
        <v>35</v>
      </c>
      <c r="H825">
        <v>1</v>
      </c>
      <c r="I825" t="s">
        <v>329</v>
      </c>
      <c r="J825" s="1">
        <v>43344</v>
      </c>
      <c r="K825" t="s">
        <v>300</v>
      </c>
      <c r="L825" t="s">
        <v>301</v>
      </c>
      <c r="M825" t="s">
        <v>131</v>
      </c>
      <c r="N825">
        <v>11</v>
      </c>
      <c r="O825" s="1">
        <v>43344</v>
      </c>
      <c r="P825" t="s">
        <v>41</v>
      </c>
      <c r="Q825" t="s">
        <v>42</v>
      </c>
      <c r="R825" t="str">
        <f>"0580175"</f>
        <v>0580175</v>
      </c>
      <c r="S825" t="s">
        <v>303</v>
      </c>
      <c r="T825" t="s">
        <v>300</v>
      </c>
      <c r="U825" t="s">
        <v>301</v>
      </c>
      <c r="V825" t="s">
        <v>131</v>
      </c>
      <c r="W825" t="s">
        <v>51</v>
      </c>
      <c r="X825" t="s">
        <v>45</v>
      </c>
      <c r="Y825" s="1">
        <v>24694</v>
      </c>
      <c r="Z825">
        <v>2</v>
      </c>
      <c r="AA825" t="s">
        <v>301</v>
      </c>
      <c r="AB825" s="40" t="s">
        <v>1796</v>
      </c>
    </row>
    <row r="826" spans="1:28" x14ac:dyDescent="0.25">
      <c r="A826">
        <v>99910825</v>
      </c>
      <c r="B826" t="s">
        <v>56</v>
      </c>
      <c r="C826" t="s">
        <v>79</v>
      </c>
      <c r="D826" t="s">
        <v>80</v>
      </c>
      <c r="G826" t="s">
        <v>35</v>
      </c>
      <c r="H826">
        <v>1</v>
      </c>
      <c r="J826" s="1">
        <v>38230</v>
      </c>
      <c r="K826" t="s">
        <v>1336</v>
      </c>
      <c r="L826" t="s">
        <v>1337</v>
      </c>
      <c r="M826" t="s">
        <v>1270</v>
      </c>
      <c r="N826">
        <v>11</v>
      </c>
      <c r="O826" s="1">
        <v>38230</v>
      </c>
      <c r="P826" t="s">
        <v>41</v>
      </c>
      <c r="Q826" t="s">
        <v>42</v>
      </c>
      <c r="R826" t="str">
        <f>"4475070"</f>
        <v>4475070</v>
      </c>
      <c r="S826" t="s">
        <v>1338</v>
      </c>
      <c r="T826" t="s">
        <v>1336</v>
      </c>
      <c r="U826" t="s">
        <v>1337</v>
      </c>
      <c r="V826" t="s">
        <v>1270</v>
      </c>
      <c r="W826" t="s">
        <v>51</v>
      </c>
      <c r="X826" t="s">
        <v>45</v>
      </c>
      <c r="Y826" s="1">
        <v>24478</v>
      </c>
      <c r="Z826">
        <v>2</v>
      </c>
      <c r="AA826" t="s">
        <v>1337</v>
      </c>
      <c r="AB826" s="40" t="s">
        <v>1796</v>
      </c>
    </row>
    <row r="827" spans="1:28" x14ac:dyDescent="0.25">
      <c r="A827">
        <v>99910826</v>
      </c>
      <c r="B827" t="s">
        <v>32</v>
      </c>
      <c r="C827" t="s">
        <v>61</v>
      </c>
      <c r="D827" t="s">
        <v>62</v>
      </c>
      <c r="G827" t="s">
        <v>35</v>
      </c>
      <c r="H827">
        <v>1</v>
      </c>
      <c r="I827" t="s">
        <v>286</v>
      </c>
      <c r="J827" s="1">
        <v>43344</v>
      </c>
      <c r="K827" t="s">
        <v>268</v>
      </c>
      <c r="L827" t="s">
        <v>269</v>
      </c>
      <c r="M827" t="s">
        <v>131</v>
      </c>
      <c r="N827">
        <v>11</v>
      </c>
      <c r="O827" s="1">
        <v>43344</v>
      </c>
      <c r="P827" t="s">
        <v>41</v>
      </c>
      <c r="Q827" t="s">
        <v>75</v>
      </c>
      <c r="R827" t="str">
        <f>"7052018"</f>
        <v>7052018</v>
      </c>
      <c r="S827" t="s">
        <v>577</v>
      </c>
      <c r="T827" t="s">
        <v>268</v>
      </c>
      <c r="U827" t="s">
        <v>269</v>
      </c>
      <c r="V827" t="s">
        <v>131</v>
      </c>
      <c r="W827" t="s">
        <v>51</v>
      </c>
      <c r="X827" t="s">
        <v>45</v>
      </c>
      <c r="Y827" s="1">
        <v>24473</v>
      </c>
      <c r="Z827">
        <v>1</v>
      </c>
      <c r="AA827" t="s">
        <v>269</v>
      </c>
      <c r="AB827" s="40" t="s">
        <v>1796</v>
      </c>
    </row>
    <row r="828" spans="1:28" x14ac:dyDescent="0.25">
      <c r="A828">
        <v>99910827</v>
      </c>
      <c r="B828" t="s">
        <v>32</v>
      </c>
      <c r="C828" t="s">
        <v>46</v>
      </c>
      <c r="D828" t="s">
        <v>47</v>
      </c>
      <c r="G828" t="s">
        <v>48</v>
      </c>
      <c r="H828">
        <v>1</v>
      </c>
      <c r="K828" t="s">
        <v>223</v>
      </c>
      <c r="L828" t="s">
        <v>224</v>
      </c>
      <c r="M828" t="s">
        <v>131</v>
      </c>
      <c r="N828">
        <v>11</v>
      </c>
      <c r="P828" t="s">
        <v>41</v>
      </c>
      <c r="Q828" t="s">
        <v>49</v>
      </c>
      <c r="R828" t="str">
        <f>"0591910"</f>
        <v>0591910</v>
      </c>
      <c r="S828" t="s">
        <v>228</v>
      </c>
      <c r="T828" t="s">
        <v>223</v>
      </c>
      <c r="U828" t="s">
        <v>224</v>
      </c>
      <c r="V828" t="s">
        <v>131</v>
      </c>
      <c r="W828" t="s">
        <v>51</v>
      </c>
      <c r="X828" t="s">
        <v>45</v>
      </c>
      <c r="Y828" s="1">
        <v>24327</v>
      </c>
      <c r="Z828">
        <v>2</v>
      </c>
      <c r="AA828" t="s">
        <v>224</v>
      </c>
      <c r="AB828" s="40" t="s">
        <v>1796</v>
      </c>
    </row>
    <row r="829" spans="1:28" x14ac:dyDescent="0.25">
      <c r="A829">
        <v>99910828</v>
      </c>
      <c r="B829" t="s">
        <v>56</v>
      </c>
      <c r="C829" t="s">
        <v>71</v>
      </c>
      <c r="D829" t="s">
        <v>72</v>
      </c>
      <c r="G829" t="s">
        <v>48</v>
      </c>
      <c r="H829">
        <v>1</v>
      </c>
      <c r="K829" t="s">
        <v>300</v>
      </c>
      <c r="L829" t="s">
        <v>301</v>
      </c>
      <c r="M829" t="s">
        <v>131</v>
      </c>
      <c r="N829">
        <v>11</v>
      </c>
      <c r="P829" t="s">
        <v>41</v>
      </c>
      <c r="Q829" t="s">
        <v>49</v>
      </c>
      <c r="R829" t="str">
        <f>"0560001"</f>
        <v>0560001</v>
      </c>
      <c r="S829" t="s">
        <v>304</v>
      </c>
      <c r="T829" t="s">
        <v>300</v>
      </c>
      <c r="U829" t="s">
        <v>301</v>
      </c>
      <c r="V829" t="s">
        <v>131</v>
      </c>
      <c r="W829" t="s">
        <v>51</v>
      </c>
      <c r="X829" t="s">
        <v>45</v>
      </c>
      <c r="Y829" s="1">
        <v>24001</v>
      </c>
      <c r="Z829">
        <v>2</v>
      </c>
      <c r="AA829" t="s">
        <v>301</v>
      </c>
      <c r="AB829" s="40" t="s">
        <v>1796</v>
      </c>
    </row>
    <row r="830" spans="1:28" x14ac:dyDescent="0.25">
      <c r="A830">
        <v>99910829</v>
      </c>
      <c r="B830" t="s">
        <v>32</v>
      </c>
      <c r="C830" t="s">
        <v>46</v>
      </c>
      <c r="D830" t="s">
        <v>47</v>
      </c>
      <c r="G830" t="s">
        <v>48</v>
      </c>
      <c r="H830">
        <v>1</v>
      </c>
      <c r="K830" t="s">
        <v>223</v>
      </c>
      <c r="L830" t="s">
        <v>224</v>
      </c>
      <c r="M830" t="s">
        <v>131</v>
      </c>
      <c r="N830">
        <v>11</v>
      </c>
      <c r="P830" t="s">
        <v>41</v>
      </c>
      <c r="Q830" t="s">
        <v>49</v>
      </c>
      <c r="R830" t="str">
        <f>"0591910"</f>
        <v>0591910</v>
      </c>
      <c r="S830" t="s">
        <v>228</v>
      </c>
      <c r="T830" t="s">
        <v>223</v>
      </c>
      <c r="U830" t="s">
        <v>224</v>
      </c>
      <c r="V830" t="s">
        <v>131</v>
      </c>
      <c r="W830" t="s">
        <v>51</v>
      </c>
      <c r="X830" t="s">
        <v>45</v>
      </c>
      <c r="Y830" s="1">
        <v>23558</v>
      </c>
      <c r="Z830">
        <v>2</v>
      </c>
      <c r="AA830" t="s">
        <v>224</v>
      </c>
      <c r="AB830" s="40" t="s">
        <v>1796</v>
      </c>
    </row>
    <row r="831" spans="1:28" x14ac:dyDescent="0.25">
      <c r="A831">
        <v>99910830</v>
      </c>
      <c r="B831" t="s">
        <v>56</v>
      </c>
      <c r="C831" t="s">
        <v>143</v>
      </c>
      <c r="D831" t="s">
        <v>144</v>
      </c>
      <c r="G831" t="s">
        <v>48</v>
      </c>
      <c r="H831">
        <v>1</v>
      </c>
      <c r="K831" t="s">
        <v>877</v>
      </c>
      <c r="L831" t="s">
        <v>878</v>
      </c>
      <c r="M831" t="s">
        <v>131</v>
      </c>
      <c r="N831">
        <v>11</v>
      </c>
      <c r="P831" t="s">
        <v>41</v>
      </c>
      <c r="Q831" t="s">
        <v>75</v>
      </c>
      <c r="R831" t="str">
        <f>"7541008"</f>
        <v>7541008</v>
      </c>
      <c r="S831" t="s">
        <v>879</v>
      </c>
      <c r="T831" t="s">
        <v>877</v>
      </c>
      <c r="U831" t="s">
        <v>878</v>
      </c>
      <c r="V831" t="s">
        <v>131</v>
      </c>
      <c r="W831" t="s">
        <v>51</v>
      </c>
      <c r="X831" t="s">
        <v>45</v>
      </c>
      <c r="Y831" s="1">
        <v>23313</v>
      </c>
      <c r="Z831">
        <v>1</v>
      </c>
      <c r="AA831" t="s">
        <v>878</v>
      </c>
      <c r="AB831" s="40" t="s">
        <v>1796</v>
      </c>
    </row>
    <row r="832" spans="1:28" x14ac:dyDescent="0.25">
      <c r="A832">
        <v>99910831</v>
      </c>
      <c r="B832" t="s">
        <v>56</v>
      </c>
      <c r="C832" t="s">
        <v>52</v>
      </c>
      <c r="D832" t="s">
        <v>53</v>
      </c>
      <c r="G832" t="s">
        <v>35</v>
      </c>
      <c r="H832">
        <v>1</v>
      </c>
      <c r="I832">
        <v>23821</v>
      </c>
      <c r="J832" s="1">
        <v>43382</v>
      </c>
      <c r="K832" t="s">
        <v>380</v>
      </c>
      <c r="L832" t="s">
        <v>381</v>
      </c>
      <c r="M832" t="s">
        <v>131</v>
      </c>
      <c r="N832">
        <v>11</v>
      </c>
      <c r="O832" s="1">
        <v>43382</v>
      </c>
      <c r="P832" t="s">
        <v>41</v>
      </c>
      <c r="Q832" t="s">
        <v>42</v>
      </c>
      <c r="R832" t="str">
        <f>"0561010"</f>
        <v>0561010</v>
      </c>
      <c r="S832" t="s">
        <v>387</v>
      </c>
      <c r="T832" t="s">
        <v>380</v>
      </c>
      <c r="U832" t="s">
        <v>381</v>
      </c>
      <c r="V832" t="s">
        <v>131</v>
      </c>
      <c r="W832" t="s">
        <v>44</v>
      </c>
      <c r="X832" t="s">
        <v>45</v>
      </c>
      <c r="Y832" s="1">
        <v>23259</v>
      </c>
      <c r="Z832">
        <v>2</v>
      </c>
      <c r="AA832" t="s">
        <v>381</v>
      </c>
      <c r="AB832" s="40" t="s">
        <v>1796</v>
      </c>
    </row>
    <row r="833" spans="1:28" x14ac:dyDescent="0.25">
      <c r="A833">
        <v>99910832</v>
      </c>
      <c r="B833" t="s">
        <v>32</v>
      </c>
      <c r="C833" t="s">
        <v>139</v>
      </c>
      <c r="D833" t="s">
        <v>140</v>
      </c>
      <c r="G833" t="s">
        <v>35</v>
      </c>
      <c r="H833">
        <v>1</v>
      </c>
      <c r="K833" t="s">
        <v>223</v>
      </c>
      <c r="L833" t="s">
        <v>224</v>
      </c>
      <c r="M833" t="s">
        <v>131</v>
      </c>
      <c r="N833">
        <v>11</v>
      </c>
      <c r="P833" t="s">
        <v>41</v>
      </c>
      <c r="Q833" t="s">
        <v>49</v>
      </c>
      <c r="R833" t="str">
        <f>"0591901"</f>
        <v>0591901</v>
      </c>
      <c r="S833" t="s">
        <v>230</v>
      </c>
      <c r="T833" t="s">
        <v>223</v>
      </c>
      <c r="U833" t="s">
        <v>224</v>
      </c>
      <c r="V833" t="s">
        <v>131</v>
      </c>
      <c r="W833" t="s">
        <v>51</v>
      </c>
      <c r="X833" t="s">
        <v>45</v>
      </c>
      <c r="Y833" s="1">
        <v>23179</v>
      </c>
      <c r="Z833">
        <v>2</v>
      </c>
      <c r="AA833" t="s">
        <v>224</v>
      </c>
      <c r="AB833" s="40" t="s">
        <v>1796</v>
      </c>
    </row>
    <row r="834" spans="1:28" x14ac:dyDescent="0.25">
      <c r="A834">
        <v>99910833</v>
      </c>
      <c r="B834" t="s">
        <v>32</v>
      </c>
      <c r="C834" t="s">
        <v>71</v>
      </c>
      <c r="D834" t="s">
        <v>72</v>
      </c>
      <c r="G834" t="s">
        <v>35</v>
      </c>
      <c r="H834">
        <v>1</v>
      </c>
      <c r="K834" t="s">
        <v>223</v>
      </c>
      <c r="L834" t="s">
        <v>224</v>
      </c>
      <c r="M834" t="s">
        <v>131</v>
      </c>
      <c r="N834">
        <v>11</v>
      </c>
      <c r="P834" t="s">
        <v>41</v>
      </c>
      <c r="Q834" t="s">
        <v>49</v>
      </c>
      <c r="R834" t="str">
        <f>"0591901"</f>
        <v>0591901</v>
      </c>
      <c r="S834" t="s">
        <v>230</v>
      </c>
      <c r="T834" t="s">
        <v>223</v>
      </c>
      <c r="U834" t="s">
        <v>224</v>
      </c>
      <c r="V834" t="s">
        <v>131</v>
      </c>
      <c r="W834" t="s">
        <v>51</v>
      </c>
      <c r="X834" t="s">
        <v>45</v>
      </c>
      <c r="Y834" s="1">
        <v>22706</v>
      </c>
      <c r="Z834">
        <v>2</v>
      </c>
      <c r="AA834" t="s">
        <v>224</v>
      </c>
      <c r="AB834" s="40" t="s">
        <v>1796</v>
      </c>
    </row>
    <row r="835" spans="1:28" x14ac:dyDescent="0.25">
      <c r="A835">
        <v>99910834</v>
      </c>
      <c r="B835" t="s">
        <v>56</v>
      </c>
      <c r="C835" t="s">
        <v>85</v>
      </c>
      <c r="D835" t="s">
        <v>86</v>
      </c>
      <c r="G835" t="s">
        <v>48</v>
      </c>
      <c r="H835">
        <v>1</v>
      </c>
      <c r="K835" t="s">
        <v>300</v>
      </c>
      <c r="L835" t="s">
        <v>301</v>
      </c>
      <c r="M835" t="s">
        <v>131</v>
      </c>
      <c r="N835">
        <v>11</v>
      </c>
      <c r="P835" t="s">
        <v>41</v>
      </c>
      <c r="Q835" t="s">
        <v>49</v>
      </c>
      <c r="R835" t="str">
        <f>"0560029"</f>
        <v>0560029</v>
      </c>
      <c r="S835" t="s">
        <v>309</v>
      </c>
      <c r="T835" t="s">
        <v>300</v>
      </c>
      <c r="U835" t="s">
        <v>301</v>
      </c>
      <c r="V835" t="s">
        <v>131</v>
      </c>
      <c r="W835" t="s">
        <v>165</v>
      </c>
      <c r="X835" t="s">
        <v>45</v>
      </c>
      <c r="Y835" s="1">
        <v>20625</v>
      </c>
      <c r="Z835">
        <v>2</v>
      </c>
      <c r="AA835" t="s">
        <v>301</v>
      </c>
      <c r="AB835" s="40" t="s">
        <v>1796</v>
      </c>
    </row>
    <row r="836" spans="1:28" x14ac:dyDescent="0.25">
      <c r="A836">
        <v>99910835</v>
      </c>
      <c r="B836" t="s">
        <v>56</v>
      </c>
      <c r="C836" t="s">
        <v>68</v>
      </c>
      <c r="D836" t="s">
        <v>69</v>
      </c>
      <c r="G836" t="s">
        <v>48</v>
      </c>
      <c r="H836">
        <v>1</v>
      </c>
      <c r="K836" t="s">
        <v>157</v>
      </c>
      <c r="L836" t="s">
        <v>158</v>
      </c>
      <c r="M836" t="s">
        <v>131</v>
      </c>
      <c r="N836">
        <v>11</v>
      </c>
      <c r="P836" t="s">
        <v>41</v>
      </c>
      <c r="Q836" t="s">
        <v>42</v>
      </c>
      <c r="R836" t="str">
        <f>"0580290"</f>
        <v>0580290</v>
      </c>
      <c r="S836" t="s">
        <v>171</v>
      </c>
      <c r="T836" t="s">
        <v>157</v>
      </c>
      <c r="U836" t="s">
        <v>158</v>
      </c>
      <c r="V836" t="s">
        <v>131</v>
      </c>
      <c r="W836" t="s">
        <v>51</v>
      </c>
      <c r="X836" t="s">
        <v>45</v>
      </c>
      <c r="Y836" s="1">
        <v>19632</v>
      </c>
      <c r="Z836">
        <v>2</v>
      </c>
      <c r="AA836" t="s">
        <v>158</v>
      </c>
      <c r="AB836" s="40" t="s">
        <v>1796</v>
      </c>
    </row>
    <row r="837" spans="1:28" x14ac:dyDescent="0.25">
      <c r="A837">
        <v>99910836</v>
      </c>
      <c r="B837" t="s">
        <v>56</v>
      </c>
      <c r="C837" t="s">
        <v>46</v>
      </c>
      <c r="D837" t="s">
        <v>47</v>
      </c>
      <c r="G837" t="s">
        <v>35</v>
      </c>
      <c r="H837">
        <v>1</v>
      </c>
      <c r="I837">
        <v>19615</v>
      </c>
      <c r="J837" s="1">
        <v>43412</v>
      </c>
      <c r="K837" t="s">
        <v>157</v>
      </c>
      <c r="L837" t="s">
        <v>158</v>
      </c>
      <c r="M837" t="s">
        <v>131</v>
      </c>
      <c r="N837">
        <v>11</v>
      </c>
      <c r="O837" s="1">
        <v>43412</v>
      </c>
      <c r="P837" t="s">
        <v>41</v>
      </c>
      <c r="Q837" t="s">
        <v>49</v>
      </c>
      <c r="R837" t="str">
        <f>"0560042"</f>
        <v>0560042</v>
      </c>
      <c r="S837" t="s">
        <v>159</v>
      </c>
      <c r="T837" t="s">
        <v>157</v>
      </c>
      <c r="U837" t="s">
        <v>158</v>
      </c>
      <c r="V837" t="s">
        <v>131</v>
      </c>
      <c r="W837" t="s">
        <v>51</v>
      </c>
      <c r="X837" t="s">
        <v>45</v>
      </c>
      <c r="Z837">
        <v>2</v>
      </c>
      <c r="AA837" t="s">
        <v>158</v>
      </c>
      <c r="AB837" s="40" t="s">
        <v>1796</v>
      </c>
    </row>
    <row r="838" spans="1:28" x14ac:dyDescent="0.25">
      <c r="A838">
        <v>99910837</v>
      </c>
      <c r="B838" t="s">
        <v>56</v>
      </c>
      <c r="C838" t="s">
        <v>46</v>
      </c>
      <c r="D838" t="s">
        <v>47</v>
      </c>
      <c r="G838" t="s">
        <v>35</v>
      </c>
      <c r="H838">
        <v>1</v>
      </c>
      <c r="K838" t="s">
        <v>157</v>
      </c>
      <c r="L838" t="s">
        <v>158</v>
      </c>
      <c r="M838" t="s">
        <v>131</v>
      </c>
      <c r="N838">
        <v>11</v>
      </c>
      <c r="P838" t="s">
        <v>41</v>
      </c>
      <c r="Q838" t="s">
        <v>42</v>
      </c>
      <c r="R838" t="str">
        <f>"0561005"</f>
        <v>0561005</v>
      </c>
      <c r="S838" t="s">
        <v>174</v>
      </c>
      <c r="T838" t="s">
        <v>157</v>
      </c>
      <c r="U838" t="s">
        <v>158</v>
      </c>
      <c r="V838" t="s">
        <v>131</v>
      </c>
      <c r="W838" t="s">
        <v>51</v>
      </c>
      <c r="X838" t="s">
        <v>45</v>
      </c>
      <c r="Z838">
        <v>2</v>
      </c>
      <c r="AA838" t="s">
        <v>158</v>
      </c>
      <c r="AB838" s="40" t="s">
        <v>1796</v>
      </c>
    </row>
    <row r="839" spans="1:28" x14ac:dyDescent="0.25">
      <c r="A839">
        <v>99910838</v>
      </c>
      <c r="B839" t="s">
        <v>56</v>
      </c>
      <c r="C839" t="s">
        <v>141</v>
      </c>
      <c r="D839" t="s">
        <v>142</v>
      </c>
      <c r="G839" t="s">
        <v>35</v>
      </c>
      <c r="H839">
        <v>1</v>
      </c>
      <c r="K839" t="s">
        <v>157</v>
      </c>
      <c r="L839" t="s">
        <v>158</v>
      </c>
      <c r="M839" t="s">
        <v>131</v>
      </c>
      <c r="N839">
        <v>11</v>
      </c>
      <c r="P839" t="s">
        <v>41</v>
      </c>
      <c r="Q839" t="s">
        <v>49</v>
      </c>
      <c r="R839" t="str">
        <f>"0580505"</f>
        <v>0580505</v>
      </c>
      <c r="S839" t="s">
        <v>168</v>
      </c>
      <c r="T839" t="s">
        <v>157</v>
      </c>
      <c r="U839" t="s">
        <v>158</v>
      </c>
      <c r="V839" t="s">
        <v>131</v>
      </c>
      <c r="W839" t="s">
        <v>51</v>
      </c>
      <c r="X839" t="s">
        <v>45</v>
      </c>
      <c r="Z839">
        <v>2</v>
      </c>
      <c r="AA839" t="s">
        <v>158</v>
      </c>
      <c r="AB839" s="40" t="s">
        <v>1796</v>
      </c>
    </row>
    <row r="840" spans="1:28" x14ac:dyDescent="0.25">
      <c r="A840">
        <v>99910839</v>
      </c>
      <c r="B840" t="s">
        <v>32</v>
      </c>
      <c r="C840" t="s">
        <v>139</v>
      </c>
      <c r="D840" t="s">
        <v>140</v>
      </c>
      <c r="G840" t="s">
        <v>48</v>
      </c>
      <c r="H840">
        <v>1</v>
      </c>
      <c r="K840" t="s">
        <v>300</v>
      </c>
      <c r="L840" t="s">
        <v>301</v>
      </c>
      <c r="M840" t="s">
        <v>131</v>
      </c>
      <c r="N840">
        <v>11</v>
      </c>
      <c r="P840" t="s">
        <v>41</v>
      </c>
      <c r="Q840" t="s">
        <v>49</v>
      </c>
      <c r="R840" t="str">
        <f>"0560001"</f>
        <v>0560001</v>
      </c>
      <c r="S840" t="s">
        <v>304</v>
      </c>
      <c r="T840" t="s">
        <v>300</v>
      </c>
      <c r="U840" t="s">
        <v>301</v>
      </c>
      <c r="V840" t="s">
        <v>131</v>
      </c>
      <c r="W840" t="s">
        <v>51</v>
      </c>
      <c r="X840" t="s">
        <v>45</v>
      </c>
      <c r="Z840">
        <v>2</v>
      </c>
      <c r="AA840" t="s">
        <v>301</v>
      </c>
      <c r="AB840" s="40" t="s">
        <v>1796</v>
      </c>
    </row>
    <row r="841" spans="1:28" x14ac:dyDescent="0.25">
      <c r="A841">
        <v>99910840</v>
      </c>
      <c r="B841" t="s">
        <v>32</v>
      </c>
      <c r="C841" t="s">
        <v>71</v>
      </c>
      <c r="D841" t="s">
        <v>72</v>
      </c>
      <c r="G841" t="s">
        <v>48</v>
      </c>
      <c r="H841">
        <v>1</v>
      </c>
      <c r="K841" t="s">
        <v>300</v>
      </c>
      <c r="L841" t="s">
        <v>301</v>
      </c>
      <c r="M841" t="s">
        <v>131</v>
      </c>
      <c r="N841">
        <v>11</v>
      </c>
      <c r="P841" t="s">
        <v>41</v>
      </c>
      <c r="Q841" t="s">
        <v>49</v>
      </c>
      <c r="R841" t="str">
        <f>"0560001"</f>
        <v>0560001</v>
      </c>
      <c r="S841" t="s">
        <v>304</v>
      </c>
      <c r="T841" t="s">
        <v>300</v>
      </c>
      <c r="U841" t="s">
        <v>301</v>
      </c>
      <c r="V841" t="s">
        <v>131</v>
      </c>
      <c r="W841" t="s">
        <v>51</v>
      </c>
      <c r="X841" t="s">
        <v>45</v>
      </c>
      <c r="Z841">
        <v>2</v>
      </c>
      <c r="AA841" t="s">
        <v>301</v>
      </c>
      <c r="AB841" s="40" t="s">
        <v>1796</v>
      </c>
    </row>
    <row r="842" spans="1:28" x14ac:dyDescent="0.25">
      <c r="A842">
        <v>99910841</v>
      </c>
      <c r="B842" t="s">
        <v>56</v>
      </c>
      <c r="C842" t="s">
        <v>61</v>
      </c>
      <c r="D842" t="s">
        <v>62</v>
      </c>
      <c r="G842" t="s">
        <v>35</v>
      </c>
      <c r="H842">
        <v>1</v>
      </c>
      <c r="I842">
        <v>16634</v>
      </c>
      <c r="J842" s="1">
        <v>43430</v>
      </c>
      <c r="K842" t="s">
        <v>345</v>
      </c>
      <c r="L842" t="s">
        <v>346</v>
      </c>
      <c r="M842" t="s">
        <v>131</v>
      </c>
      <c r="N842">
        <v>11</v>
      </c>
      <c r="O842" s="1">
        <v>43430</v>
      </c>
      <c r="P842" t="s">
        <v>41</v>
      </c>
      <c r="Q842" t="s">
        <v>49</v>
      </c>
      <c r="R842" t="str">
        <f>"0581660"</f>
        <v>0581660</v>
      </c>
      <c r="S842" t="s">
        <v>359</v>
      </c>
      <c r="T842" t="s">
        <v>345</v>
      </c>
      <c r="U842" t="s">
        <v>346</v>
      </c>
      <c r="V842" t="s">
        <v>131</v>
      </c>
      <c r="W842" t="s">
        <v>44</v>
      </c>
      <c r="X842" t="s">
        <v>45</v>
      </c>
      <c r="Z842">
        <v>2</v>
      </c>
      <c r="AA842" t="s">
        <v>346</v>
      </c>
      <c r="AB842" s="40" t="s">
        <v>1796</v>
      </c>
    </row>
    <row r="843" spans="1:28" x14ac:dyDescent="0.25">
      <c r="A843">
        <v>99910842</v>
      </c>
      <c r="B843" t="s">
        <v>32</v>
      </c>
      <c r="C843" t="s">
        <v>1384</v>
      </c>
      <c r="D843" t="s">
        <v>1385</v>
      </c>
      <c r="G843" t="s">
        <v>35</v>
      </c>
      <c r="H843">
        <v>1</v>
      </c>
      <c r="I843" s="1">
        <v>42614</v>
      </c>
      <c r="J843" s="1">
        <v>43344</v>
      </c>
      <c r="K843" t="s">
        <v>1341</v>
      </c>
      <c r="L843" t="s">
        <v>1342</v>
      </c>
      <c r="M843" t="s">
        <v>1270</v>
      </c>
      <c r="N843">
        <v>11</v>
      </c>
      <c r="O843" s="1">
        <v>43344</v>
      </c>
      <c r="P843" t="s">
        <v>41</v>
      </c>
      <c r="Q843" t="s">
        <v>75</v>
      </c>
      <c r="R843" t="str">
        <f>"7191034"</f>
        <v>7191034</v>
      </c>
      <c r="S843" t="s">
        <v>1343</v>
      </c>
      <c r="T843" t="s">
        <v>1341</v>
      </c>
      <c r="U843" t="s">
        <v>1342</v>
      </c>
      <c r="V843" t="s">
        <v>1270</v>
      </c>
      <c r="W843" t="s">
        <v>51</v>
      </c>
      <c r="X843" t="s">
        <v>45</v>
      </c>
      <c r="Z843">
        <v>1</v>
      </c>
      <c r="AA843" t="s">
        <v>1342</v>
      </c>
      <c r="AB843" s="40" t="s">
        <v>1796</v>
      </c>
    </row>
    <row r="844" spans="1:28" x14ac:dyDescent="0.25">
      <c r="A844">
        <v>99910843</v>
      </c>
      <c r="B844" t="s">
        <v>56</v>
      </c>
      <c r="C844" t="s">
        <v>61</v>
      </c>
      <c r="D844" t="s">
        <v>62</v>
      </c>
      <c r="G844" t="s">
        <v>35</v>
      </c>
      <c r="H844">
        <v>1</v>
      </c>
      <c r="I844">
        <v>13804</v>
      </c>
      <c r="J844" s="1">
        <v>43398</v>
      </c>
      <c r="K844" t="s">
        <v>1426</v>
      </c>
      <c r="L844" t="s">
        <v>1427</v>
      </c>
      <c r="M844" t="s">
        <v>1270</v>
      </c>
      <c r="N844">
        <v>12</v>
      </c>
      <c r="O844" s="1">
        <v>43398</v>
      </c>
      <c r="P844" t="s">
        <v>41</v>
      </c>
      <c r="Q844" t="s">
        <v>75</v>
      </c>
      <c r="R844" t="str">
        <f>"7192004"</f>
        <v>7192004</v>
      </c>
      <c r="S844" t="s">
        <v>1428</v>
      </c>
      <c r="T844" t="s">
        <v>1426</v>
      </c>
      <c r="U844" t="s">
        <v>1427</v>
      </c>
      <c r="V844" t="s">
        <v>1270</v>
      </c>
      <c r="W844" t="s">
        <v>44</v>
      </c>
      <c r="X844" t="s">
        <v>45</v>
      </c>
      <c r="Y844" s="1">
        <v>33912</v>
      </c>
      <c r="Z844">
        <v>1</v>
      </c>
      <c r="AA844" t="s">
        <v>1427</v>
      </c>
      <c r="AB844" s="40" t="s">
        <v>1796</v>
      </c>
    </row>
    <row r="845" spans="1:28" x14ac:dyDescent="0.25">
      <c r="A845">
        <v>99910844</v>
      </c>
      <c r="B845" t="s">
        <v>32</v>
      </c>
      <c r="C845" t="s">
        <v>71</v>
      </c>
      <c r="D845" t="s">
        <v>72</v>
      </c>
      <c r="G845" t="s">
        <v>35</v>
      </c>
      <c r="H845">
        <v>1</v>
      </c>
      <c r="I845" t="s">
        <v>1630</v>
      </c>
      <c r="J845" s="1">
        <v>43344</v>
      </c>
      <c r="K845" t="s">
        <v>1626</v>
      </c>
      <c r="L845" t="s">
        <v>1627</v>
      </c>
      <c r="M845" t="s">
        <v>1592</v>
      </c>
      <c r="N845">
        <v>12</v>
      </c>
      <c r="O845" s="1">
        <v>43344</v>
      </c>
      <c r="P845" t="s">
        <v>41</v>
      </c>
      <c r="Q845" t="s">
        <v>49</v>
      </c>
      <c r="R845" t="str">
        <f>"3681015"</f>
        <v>3681015</v>
      </c>
      <c r="S845" t="s">
        <v>1629</v>
      </c>
      <c r="T845" t="s">
        <v>1626</v>
      </c>
      <c r="U845" t="s">
        <v>1627</v>
      </c>
      <c r="V845" t="s">
        <v>1592</v>
      </c>
      <c r="W845" t="s">
        <v>44</v>
      </c>
      <c r="X845" t="s">
        <v>45</v>
      </c>
      <c r="Y845" s="1">
        <v>33895</v>
      </c>
      <c r="Z845">
        <v>2</v>
      </c>
      <c r="AA845" t="s">
        <v>1627</v>
      </c>
      <c r="AB845" s="40" t="s">
        <v>1796</v>
      </c>
    </row>
    <row r="846" spans="1:28" x14ac:dyDescent="0.25">
      <c r="A846">
        <v>99910845</v>
      </c>
      <c r="B846" t="s">
        <v>32</v>
      </c>
      <c r="C846" t="s">
        <v>46</v>
      </c>
      <c r="D846" t="s">
        <v>47</v>
      </c>
      <c r="G846" t="s">
        <v>35</v>
      </c>
      <c r="H846">
        <v>1</v>
      </c>
      <c r="I846">
        <v>0</v>
      </c>
      <c r="J846" s="1">
        <v>43344</v>
      </c>
      <c r="K846" t="s">
        <v>223</v>
      </c>
      <c r="L846" t="s">
        <v>224</v>
      </c>
      <c r="M846" t="s">
        <v>131</v>
      </c>
      <c r="N846">
        <v>12</v>
      </c>
      <c r="O846" s="1">
        <v>43344</v>
      </c>
      <c r="P846" t="s">
        <v>41</v>
      </c>
      <c r="Q846" t="s">
        <v>49</v>
      </c>
      <c r="R846" t="str">
        <f>"0560034"</f>
        <v>0560034</v>
      </c>
      <c r="S846" t="s">
        <v>266</v>
      </c>
      <c r="T846" t="s">
        <v>223</v>
      </c>
      <c r="U846" t="s">
        <v>224</v>
      </c>
      <c r="V846" t="s">
        <v>131</v>
      </c>
      <c r="W846" t="s">
        <v>44</v>
      </c>
      <c r="X846" t="s">
        <v>45</v>
      </c>
      <c r="Y846" s="1">
        <v>33793</v>
      </c>
      <c r="Z846">
        <v>2</v>
      </c>
      <c r="AA846" t="s">
        <v>224</v>
      </c>
      <c r="AB846" s="40" t="s">
        <v>1796</v>
      </c>
    </row>
    <row r="847" spans="1:28" x14ac:dyDescent="0.25">
      <c r="A847">
        <v>99910846</v>
      </c>
      <c r="B847" t="s">
        <v>56</v>
      </c>
      <c r="C847" t="s">
        <v>79</v>
      </c>
      <c r="D847" t="s">
        <v>80</v>
      </c>
      <c r="G847" t="s">
        <v>35</v>
      </c>
      <c r="H847">
        <v>1</v>
      </c>
      <c r="I847" t="s">
        <v>286</v>
      </c>
      <c r="J847" s="1">
        <v>43344</v>
      </c>
      <c r="K847" t="s">
        <v>268</v>
      </c>
      <c r="L847" t="s">
        <v>269</v>
      </c>
      <c r="M847" t="s">
        <v>131</v>
      </c>
      <c r="N847">
        <v>12</v>
      </c>
      <c r="P847" t="s">
        <v>41</v>
      </c>
      <c r="Q847" t="s">
        <v>75</v>
      </c>
      <c r="R847" t="str">
        <f>"7052018"</f>
        <v>7052018</v>
      </c>
      <c r="S847" t="s">
        <v>577</v>
      </c>
      <c r="T847" t="s">
        <v>268</v>
      </c>
      <c r="U847" t="s">
        <v>269</v>
      </c>
      <c r="V847" t="s">
        <v>131</v>
      </c>
      <c r="W847" t="s">
        <v>44</v>
      </c>
      <c r="X847" t="s">
        <v>45</v>
      </c>
      <c r="Y847" s="1">
        <v>33656</v>
      </c>
      <c r="Z847">
        <v>1</v>
      </c>
      <c r="AA847" t="s">
        <v>269</v>
      </c>
      <c r="AB847" s="40" t="s">
        <v>1796</v>
      </c>
    </row>
    <row r="848" spans="1:28" x14ac:dyDescent="0.25">
      <c r="A848">
        <v>99910847</v>
      </c>
      <c r="B848" t="s">
        <v>56</v>
      </c>
      <c r="C848" t="s">
        <v>79</v>
      </c>
      <c r="D848" t="s">
        <v>80</v>
      </c>
      <c r="G848" t="s">
        <v>35</v>
      </c>
      <c r="H848">
        <v>1</v>
      </c>
      <c r="I848" t="s">
        <v>1151</v>
      </c>
      <c r="J848" s="1">
        <v>43349</v>
      </c>
      <c r="K848" t="s">
        <v>1128</v>
      </c>
      <c r="L848" t="s">
        <v>1129</v>
      </c>
      <c r="M848" t="s">
        <v>1130</v>
      </c>
      <c r="N848">
        <v>12</v>
      </c>
      <c r="O848" s="1">
        <v>43349</v>
      </c>
      <c r="P848" t="s">
        <v>41</v>
      </c>
      <c r="Q848" t="s">
        <v>49</v>
      </c>
      <c r="R848" t="str">
        <f>"3160002"</f>
        <v>3160002</v>
      </c>
      <c r="S848" t="s">
        <v>1143</v>
      </c>
      <c r="T848" t="s">
        <v>1128</v>
      </c>
      <c r="U848" t="s">
        <v>1129</v>
      </c>
      <c r="V848" t="s">
        <v>1130</v>
      </c>
      <c r="W848" t="s">
        <v>44</v>
      </c>
      <c r="X848" t="s">
        <v>45</v>
      </c>
      <c r="Y848" s="1">
        <v>33499</v>
      </c>
      <c r="Z848">
        <v>2</v>
      </c>
      <c r="AA848" t="s">
        <v>1129</v>
      </c>
      <c r="AB848" s="40" t="s">
        <v>1796</v>
      </c>
    </row>
    <row r="849" spans="1:28" x14ac:dyDescent="0.25">
      <c r="A849">
        <v>99910848</v>
      </c>
      <c r="B849" t="s">
        <v>32</v>
      </c>
      <c r="C849" t="s">
        <v>64</v>
      </c>
      <c r="D849" t="s">
        <v>65</v>
      </c>
      <c r="G849" t="s">
        <v>35</v>
      </c>
      <c r="H849">
        <v>1</v>
      </c>
      <c r="I849" t="s">
        <v>200</v>
      </c>
      <c r="J849" s="1">
        <v>43344</v>
      </c>
      <c r="K849" t="s">
        <v>157</v>
      </c>
      <c r="L849" t="s">
        <v>158</v>
      </c>
      <c r="M849" t="s">
        <v>131</v>
      </c>
      <c r="N849">
        <v>12</v>
      </c>
      <c r="O849" s="1">
        <v>43344</v>
      </c>
      <c r="P849" t="s">
        <v>41</v>
      </c>
      <c r="Q849" t="s">
        <v>49</v>
      </c>
      <c r="R849" t="str">
        <f>"0581725"</f>
        <v>0581725</v>
      </c>
      <c r="S849" t="s">
        <v>161</v>
      </c>
      <c r="T849" t="s">
        <v>157</v>
      </c>
      <c r="U849" t="s">
        <v>158</v>
      </c>
      <c r="V849" t="s">
        <v>131</v>
      </c>
      <c r="W849" t="s">
        <v>44</v>
      </c>
      <c r="X849" t="s">
        <v>45</v>
      </c>
      <c r="Y849" s="1">
        <v>33463</v>
      </c>
      <c r="Z849">
        <v>2</v>
      </c>
      <c r="AA849" t="s">
        <v>158</v>
      </c>
      <c r="AB849" s="40" t="s">
        <v>1796</v>
      </c>
    </row>
    <row r="850" spans="1:28" x14ac:dyDescent="0.25">
      <c r="A850">
        <v>99910849</v>
      </c>
      <c r="B850" t="s">
        <v>32</v>
      </c>
      <c r="C850" t="s">
        <v>46</v>
      </c>
      <c r="D850" t="s">
        <v>47</v>
      </c>
      <c r="G850" t="s">
        <v>35</v>
      </c>
      <c r="H850">
        <v>1</v>
      </c>
      <c r="I850">
        <v>21384</v>
      </c>
      <c r="J850" s="1">
        <v>43344</v>
      </c>
      <c r="K850" t="s">
        <v>380</v>
      </c>
      <c r="L850" t="s">
        <v>381</v>
      </c>
      <c r="M850" t="s">
        <v>131</v>
      </c>
      <c r="N850">
        <v>12</v>
      </c>
      <c r="O850" s="1">
        <v>43344</v>
      </c>
      <c r="P850" t="s">
        <v>41</v>
      </c>
      <c r="Q850" t="s">
        <v>42</v>
      </c>
      <c r="R850" t="str">
        <f>"0561010"</f>
        <v>0561010</v>
      </c>
      <c r="S850" t="s">
        <v>387</v>
      </c>
      <c r="T850" t="s">
        <v>380</v>
      </c>
      <c r="U850" t="s">
        <v>381</v>
      </c>
      <c r="V850" t="s">
        <v>131</v>
      </c>
      <c r="W850" t="s">
        <v>55</v>
      </c>
      <c r="X850" t="s">
        <v>45</v>
      </c>
      <c r="Y850" s="1">
        <v>33460</v>
      </c>
      <c r="Z850">
        <v>2</v>
      </c>
      <c r="AA850" t="s">
        <v>381</v>
      </c>
      <c r="AB850" s="40" t="s">
        <v>1796</v>
      </c>
    </row>
    <row r="851" spans="1:28" x14ac:dyDescent="0.25">
      <c r="A851">
        <v>99910850</v>
      </c>
      <c r="B851" t="s">
        <v>56</v>
      </c>
      <c r="C851" t="s">
        <v>68</v>
      </c>
      <c r="D851" t="s">
        <v>69</v>
      </c>
      <c r="G851" t="s">
        <v>35</v>
      </c>
      <c r="H851">
        <v>1</v>
      </c>
      <c r="I851" t="s">
        <v>1163</v>
      </c>
      <c r="J851" s="1">
        <v>43344</v>
      </c>
      <c r="K851" t="s">
        <v>1128</v>
      </c>
      <c r="L851" t="s">
        <v>1129</v>
      </c>
      <c r="M851" t="s">
        <v>1130</v>
      </c>
      <c r="N851">
        <v>12</v>
      </c>
      <c r="O851" s="1">
        <v>43344</v>
      </c>
      <c r="P851" t="s">
        <v>41</v>
      </c>
      <c r="Q851" t="s">
        <v>49</v>
      </c>
      <c r="R851" t="str">
        <f>"3181015"</f>
        <v>3181015</v>
      </c>
      <c r="S851" t="s">
        <v>1131</v>
      </c>
      <c r="T851" t="s">
        <v>1128</v>
      </c>
      <c r="U851" t="s">
        <v>1129</v>
      </c>
      <c r="V851" t="s">
        <v>1130</v>
      </c>
      <c r="W851" t="s">
        <v>51</v>
      </c>
      <c r="X851" t="s">
        <v>45</v>
      </c>
      <c r="Y851" s="1">
        <v>33161</v>
      </c>
      <c r="Z851">
        <v>2</v>
      </c>
      <c r="AA851" t="s">
        <v>1129</v>
      </c>
      <c r="AB851" s="40" t="s">
        <v>1796</v>
      </c>
    </row>
    <row r="852" spans="1:28" x14ac:dyDescent="0.25">
      <c r="A852">
        <v>99910851</v>
      </c>
      <c r="B852" t="s">
        <v>32</v>
      </c>
      <c r="C852" t="s">
        <v>111</v>
      </c>
      <c r="D852" t="s">
        <v>112</v>
      </c>
      <c r="G852" t="s">
        <v>48</v>
      </c>
      <c r="H852">
        <v>1</v>
      </c>
      <c r="K852" t="s">
        <v>268</v>
      </c>
      <c r="L852" t="s">
        <v>269</v>
      </c>
      <c r="M852" t="s">
        <v>131</v>
      </c>
      <c r="N852">
        <v>12</v>
      </c>
      <c r="P852" t="s">
        <v>41</v>
      </c>
      <c r="Q852" t="s">
        <v>75</v>
      </c>
      <c r="R852" t="str">
        <f>"7052034"</f>
        <v>7052034</v>
      </c>
      <c r="S852" t="s">
        <v>604</v>
      </c>
      <c r="T852" t="s">
        <v>268</v>
      </c>
      <c r="U852" t="s">
        <v>269</v>
      </c>
      <c r="V852" t="s">
        <v>131</v>
      </c>
      <c r="W852" t="s">
        <v>51</v>
      </c>
      <c r="X852" t="s">
        <v>45</v>
      </c>
      <c r="Y852" s="1">
        <v>32491</v>
      </c>
      <c r="Z852">
        <v>1</v>
      </c>
      <c r="AA852" t="s">
        <v>269</v>
      </c>
      <c r="AB852" s="40" t="s">
        <v>1796</v>
      </c>
    </row>
    <row r="853" spans="1:28" x14ac:dyDescent="0.25">
      <c r="A853">
        <v>99910852</v>
      </c>
      <c r="B853" t="s">
        <v>32</v>
      </c>
      <c r="C853" t="s">
        <v>33</v>
      </c>
      <c r="D853" t="s">
        <v>34</v>
      </c>
      <c r="G853" t="s">
        <v>35</v>
      </c>
      <c r="H853">
        <v>1</v>
      </c>
      <c r="I853" t="s">
        <v>36</v>
      </c>
      <c r="J853" s="1">
        <v>43344</v>
      </c>
      <c r="K853" t="s">
        <v>37</v>
      </c>
      <c r="L853" t="s">
        <v>38</v>
      </c>
      <c r="M853" t="s">
        <v>39</v>
      </c>
      <c r="N853">
        <v>12</v>
      </c>
      <c r="O853" s="1">
        <v>43344</v>
      </c>
      <c r="P853" t="s">
        <v>41</v>
      </c>
      <c r="Q853" t="s">
        <v>42</v>
      </c>
      <c r="R853" t="str">
        <f>"3780010"</f>
        <v>3780010</v>
      </c>
      <c r="S853" t="s">
        <v>43</v>
      </c>
      <c r="T853" t="s">
        <v>37</v>
      </c>
      <c r="U853" t="s">
        <v>38</v>
      </c>
      <c r="V853" t="s">
        <v>39</v>
      </c>
      <c r="W853" t="s">
        <v>44</v>
      </c>
      <c r="X853" t="s">
        <v>45</v>
      </c>
      <c r="Y853" s="1">
        <v>32480</v>
      </c>
      <c r="Z853">
        <v>2</v>
      </c>
      <c r="AA853" t="s">
        <v>38</v>
      </c>
      <c r="AB853" s="40" t="s">
        <v>1796</v>
      </c>
    </row>
    <row r="854" spans="1:28" x14ac:dyDescent="0.25">
      <c r="A854">
        <v>99910853</v>
      </c>
      <c r="B854" t="s">
        <v>32</v>
      </c>
      <c r="C854" t="s">
        <v>111</v>
      </c>
      <c r="D854" t="s">
        <v>112</v>
      </c>
      <c r="G854" t="s">
        <v>48</v>
      </c>
      <c r="H854">
        <v>4</v>
      </c>
      <c r="K854" t="s">
        <v>1426</v>
      </c>
      <c r="L854" t="s">
        <v>1427</v>
      </c>
      <c r="M854" t="s">
        <v>1270</v>
      </c>
      <c r="N854">
        <v>12</v>
      </c>
      <c r="P854" t="s">
        <v>41</v>
      </c>
      <c r="Q854" t="s">
        <v>75</v>
      </c>
      <c r="R854" t="str">
        <f>"7192004"</f>
        <v>7192004</v>
      </c>
      <c r="S854" t="s">
        <v>1428</v>
      </c>
      <c r="T854" t="s">
        <v>1426</v>
      </c>
      <c r="U854" t="s">
        <v>1427</v>
      </c>
      <c r="V854" t="s">
        <v>1270</v>
      </c>
      <c r="W854" t="s">
        <v>51</v>
      </c>
      <c r="X854" t="s">
        <v>45</v>
      </c>
      <c r="Y854" s="1">
        <v>32216</v>
      </c>
      <c r="Z854">
        <v>1</v>
      </c>
      <c r="AA854" t="s">
        <v>1427</v>
      </c>
      <c r="AB854" s="40" t="s">
        <v>1796</v>
      </c>
    </row>
    <row r="855" spans="1:28" x14ac:dyDescent="0.25">
      <c r="A855">
        <v>99910854</v>
      </c>
      <c r="B855" t="s">
        <v>32</v>
      </c>
      <c r="C855" t="s">
        <v>64</v>
      </c>
      <c r="D855" t="s">
        <v>65</v>
      </c>
      <c r="G855" t="s">
        <v>48</v>
      </c>
      <c r="H855">
        <v>1</v>
      </c>
      <c r="K855" t="s">
        <v>1187</v>
      </c>
      <c r="L855" t="s">
        <v>1188</v>
      </c>
      <c r="M855" t="s">
        <v>1130</v>
      </c>
      <c r="N855">
        <v>12</v>
      </c>
      <c r="P855" t="s">
        <v>41</v>
      </c>
      <c r="Q855" t="s">
        <v>49</v>
      </c>
      <c r="R855" t="str">
        <f>"4581015"</f>
        <v>4581015</v>
      </c>
      <c r="S855" t="s">
        <v>1190</v>
      </c>
      <c r="T855" t="s">
        <v>1187</v>
      </c>
      <c r="U855" t="s">
        <v>1188</v>
      </c>
      <c r="V855" t="s">
        <v>1130</v>
      </c>
      <c r="W855" t="s">
        <v>51</v>
      </c>
      <c r="X855" t="s">
        <v>45</v>
      </c>
      <c r="Y855" s="1">
        <v>32006</v>
      </c>
      <c r="Z855">
        <v>2</v>
      </c>
      <c r="AA855" t="s">
        <v>1188</v>
      </c>
      <c r="AB855" s="40" t="s">
        <v>1796</v>
      </c>
    </row>
    <row r="856" spans="1:28" x14ac:dyDescent="0.25">
      <c r="A856">
        <v>99910855</v>
      </c>
      <c r="B856" t="s">
        <v>56</v>
      </c>
      <c r="C856" t="s">
        <v>111</v>
      </c>
      <c r="D856" t="s">
        <v>112</v>
      </c>
      <c r="G856" t="s">
        <v>48</v>
      </c>
      <c r="H856">
        <v>1</v>
      </c>
      <c r="K856" t="s">
        <v>431</v>
      </c>
      <c r="L856" t="s">
        <v>196</v>
      </c>
      <c r="M856" t="s">
        <v>131</v>
      </c>
      <c r="N856">
        <v>12</v>
      </c>
      <c r="P856" t="s">
        <v>41</v>
      </c>
      <c r="Q856" t="s">
        <v>75</v>
      </c>
      <c r="R856" t="str">
        <f>"7521056"</f>
        <v>7521056</v>
      </c>
      <c r="S856" t="s">
        <v>437</v>
      </c>
      <c r="T856" t="s">
        <v>431</v>
      </c>
      <c r="U856" t="s">
        <v>196</v>
      </c>
      <c r="V856" t="s">
        <v>131</v>
      </c>
      <c r="W856" t="s">
        <v>51</v>
      </c>
      <c r="X856" t="s">
        <v>45</v>
      </c>
      <c r="Y856" s="1">
        <v>31778</v>
      </c>
      <c r="Z856">
        <v>1</v>
      </c>
      <c r="AA856" t="s">
        <v>196</v>
      </c>
      <c r="AB856" s="40" t="s">
        <v>1796</v>
      </c>
    </row>
    <row r="857" spans="1:28" x14ac:dyDescent="0.25">
      <c r="A857">
        <v>99910856</v>
      </c>
      <c r="B857" t="s">
        <v>32</v>
      </c>
      <c r="C857" t="s">
        <v>64</v>
      </c>
      <c r="D857" t="s">
        <v>65</v>
      </c>
      <c r="G857" t="s">
        <v>48</v>
      </c>
      <c r="H857">
        <v>1</v>
      </c>
      <c r="K857" t="s">
        <v>1590</v>
      </c>
      <c r="L857" t="s">
        <v>1591</v>
      </c>
      <c r="M857" t="s">
        <v>1592</v>
      </c>
      <c r="N857">
        <v>12</v>
      </c>
      <c r="P857" t="s">
        <v>41</v>
      </c>
      <c r="Q857" t="s">
        <v>49</v>
      </c>
      <c r="R857" t="str">
        <f>"0260002"</f>
        <v>0260002</v>
      </c>
      <c r="S857" t="s">
        <v>1593</v>
      </c>
      <c r="T857" t="s">
        <v>1590</v>
      </c>
      <c r="U857" t="s">
        <v>1591</v>
      </c>
      <c r="V857" t="s">
        <v>1592</v>
      </c>
      <c r="W857" t="s">
        <v>51</v>
      </c>
      <c r="X857" t="s">
        <v>45</v>
      </c>
      <c r="Y857" s="1">
        <v>31561</v>
      </c>
      <c r="Z857">
        <v>2</v>
      </c>
      <c r="AA857" t="s">
        <v>1591</v>
      </c>
      <c r="AB857" s="40" t="s">
        <v>1796</v>
      </c>
    </row>
    <row r="858" spans="1:28" x14ac:dyDescent="0.25">
      <c r="A858">
        <v>99910857</v>
      </c>
      <c r="B858" t="s">
        <v>32</v>
      </c>
      <c r="C858" t="s">
        <v>33</v>
      </c>
      <c r="D858" t="s">
        <v>34</v>
      </c>
      <c r="G858" t="s">
        <v>48</v>
      </c>
      <c r="H858">
        <v>1</v>
      </c>
      <c r="K858" t="s">
        <v>223</v>
      </c>
      <c r="L858" t="s">
        <v>224</v>
      </c>
      <c r="M858" t="s">
        <v>131</v>
      </c>
      <c r="N858">
        <v>12</v>
      </c>
      <c r="P858" t="s">
        <v>41</v>
      </c>
      <c r="Q858" t="s">
        <v>49</v>
      </c>
      <c r="R858" t="str">
        <f>"0581200"</f>
        <v>0581200</v>
      </c>
      <c r="S858" t="s">
        <v>238</v>
      </c>
      <c r="T858" t="s">
        <v>223</v>
      </c>
      <c r="U858" t="s">
        <v>224</v>
      </c>
      <c r="V858" t="s">
        <v>131</v>
      </c>
      <c r="W858" t="s">
        <v>51</v>
      </c>
      <c r="X858" t="s">
        <v>45</v>
      </c>
      <c r="Y858" s="1">
        <v>31547</v>
      </c>
      <c r="Z858">
        <v>2</v>
      </c>
      <c r="AA858" t="s">
        <v>224</v>
      </c>
      <c r="AB858" s="40" t="s">
        <v>1796</v>
      </c>
    </row>
    <row r="859" spans="1:28" x14ac:dyDescent="0.25">
      <c r="A859">
        <v>99910858</v>
      </c>
      <c r="B859" t="s">
        <v>56</v>
      </c>
      <c r="C859" t="s">
        <v>149</v>
      </c>
      <c r="D859" t="s">
        <v>150</v>
      </c>
      <c r="G859" t="s">
        <v>48</v>
      </c>
      <c r="H859">
        <v>1</v>
      </c>
      <c r="K859" t="s">
        <v>162</v>
      </c>
      <c r="L859" t="s">
        <v>158</v>
      </c>
      <c r="M859" t="s">
        <v>131</v>
      </c>
      <c r="N859">
        <v>12</v>
      </c>
      <c r="P859" t="s">
        <v>41</v>
      </c>
      <c r="Q859" t="s">
        <v>49</v>
      </c>
      <c r="R859" t="str">
        <f>"0581350"</f>
        <v>0581350</v>
      </c>
      <c r="S859" t="s">
        <v>187</v>
      </c>
      <c r="T859" t="s">
        <v>162</v>
      </c>
      <c r="U859" t="s">
        <v>158</v>
      </c>
      <c r="V859" t="s">
        <v>131</v>
      </c>
      <c r="W859" t="s">
        <v>51</v>
      </c>
      <c r="X859" t="s">
        <v>45</v>
      </c>
      <c r="Y859" s="1">
        <v>31394</v>
      </c>
      <c r="Z859">
        <v>2</v>
      </c>
      <c r="AA859" t="s">
        <v>158</v>
      </c>
      <c r="AB859" s="40" t="s">
        <v>1796</v>
      </c>
    </row>
    <row r="860" spans="1:28" x14ac:dyDescent="0.25">
      <c r="A860">
        <v>99910859</v>
      </c>
      <c r="B860" t="s">
        <v>32</v>
      </c>
      <c r="C860" t="s">
        <v>64</v>
      </c>
      <c r="D860" t="s">
        <v>65</v>
      </c>
      <c r="G860" t="s">
        <v>35</v>
      </c>
      <c r="H860">
        <v>1</v>
      </c>
      <c r="I860" t="s">
        <v>1061</v>
      </c>
      <c r="J860" s="1">
        <v>43364</v>
      </c>
      <c r="K860" t="s">
        <v>1051</v>
      </c>
      <c r="L860" t="s">
        <v>1052</v>
      </c>
      <c r="M860" t="s">
        <v>1053</v>
      </c>
      <c r="N860">
        <v>12</v>
      </c>
      <c r="O860" s="1">
        <v>43364</v>
      </c>
      <c r="P860" t="s">
        <v>41</v>
      </c>
      <c r="Q860" t="s">
        <v>42</v>
      </c>
      <c r="R860" t="str">
        <f>"2061001"</f>
        <v>2061001</v>
      </c>
      <c r="S860" t="s">
        <v>1058</v>
      </c>
      <c r="T860" t="s">
        <v>1051</v>
      </c>
      <c r="U860" t="s">
        <v>1052</v>
      </c>
      <c r="V860" t="s">
        <v>1053</v>
      </c>
      <c r="W860" t="s">
        <v>44</v>
      </c>
      <c r="X860" t="s">
        <v>45</v>
      </c>
      <c r="Y860" s="1">
        <v>31376</v>
      </c>
      <c r="Z860">
        <v>2</v>
      </c>
      <c r="AA860" t="s">
        <v>1052</v>
      </c>
      <c r="AB860" s="40" t="s">
        <v>1796</v>
      </c>
    </row>
    <row r="861" spans="1:28" x14ac:dyDescent="0.25">
      <c r="A861">
        <v>99910860</v>
      </c>
      <c r="B861" t="s">
        <v>56</v>
      </c>
      <c r="C861" t="s">
        <v>111</v>
      </c>
      <c r="D861" t="s">
        <v>112</v>
      </c>
      <c r="G861" t="s">
        <v>48</v>
      </c>
      <c r="H861">
        <v>1</v>
      </c>
      <c r="K861" t="s">
        <v>1564</v>
      </c>
      <c r="L861" t="s">
        <v>1565</v>
      </c>
      <c r="M861" t="s">
        <v>1548</v>
      </c>
      <c r="N861">
        <v>12</v>
      </c>
      <c r="P861" t="s">
        <v>41</v>
      </c>
      <c r="Q861" t="s">
        <v>75</v>
      </c>
      <c r="R861" t="str">
        <f>"7101002"</f>
        <v>7101002</v>
      </c>
      <c r="S861" t="s">
        <v>1563</v>
      </c>
      <c r="T861" t="s">
        <v>1564</v>
      </c>
      <c r="U861" t="s">
        <v>1565</v>
      </c>
      <c r="V861" t="s">
        <v>1548</v>
      </c>
      <c r="W861" t="s">
        <v>51</v>
      </c>
      <c r="X861" t="s">
        <v>45</v>
      </c>
      <c r="Y861" s="1">
        <v>31171</v>
      </c>
      <c r="Z861">
        <v>1</v>
      </c>
      <c r="AA861" t="s">
        <v>1565</v>
      </c>
      <c r="AB861" s="40" t="s">
        <v>1796</v>
      </c>
    </row>
    <row r="862" spans="1:28" x14ac:dyDescent="0.25">
      <c r="A862">
        <v>99910861</v>
      </c>
      <c r="B862" t="s">
        <v>56</v>
      </c>
      <c r="C862" t="s">
        <v>82</v>
      </c>
      <c r="D862" t="s">
        <v>83</v>
      </c>
      <c r="G862" t="s">
        <v>35</v>
      </c>
      <c r="H862">
        <v>1</v>
      </c>
      <c r="I862" t="s">
        <v>1184</v>
      </c>
      <c r="J862" s="1">
        <v>43354</v>
      </c>
      <c r="K862" t="s">
        <v>1171</v>
      </c>
      <c r="L862" t="s">
        <v>1172</v>
      </c>
      <c r="M862" t="s">
        <v>1130</v>
      </c>
      <c r="N862">
        <v>12</v>
      </c>
      <c r="O862" s="1">
        <v>43354</v>
      </c>
      <c r="P862" t="s">
        <v>41</v>
      </c>
      <c r="Q862" t="s">
        <v>42</v>
      </c>
      <c r="R862" t="str">
        <f>"3561001"</f>
        <v>3561001</v>
      </c>
      <c r="S862" t="s">
        <v>1173</v>
      </c>
      <c r="T862" t="s">
        <v>1171</v>
      </c>
      <c r="U862" t="s">
        <v>1172</v>
      </c>
      <c r="V862" t="s">
        <v>1130</v>
      </c>
      <c r="W862" t="s">
        <v>44</v>
      </c>
      <c r="X862" t="s">
        <v>45</v>
      </c>
      <c r="Y862" s="1">
        <v>31155</v>
      </c>
      <c r="Z862">
        <v>2</v>
      </c>
      <c r="AA862" t="s">
        <v>1172</v>
      </c>
      <c r="AB862" s="40" t="s">
        <v>1796</v>
      </c>
    </row>
    <row r="863" spans="1:28" x14ac:dyDescent="0.25">
      <c r="A863">
        <v>99910862</v>
      </c>
      <c r="B863" t="s">
        <v>32</v>
      </c>
      <c r="C863" t="s">
        <v>46</v>
      </c>
      <c r="D863" t="s">
        <v>47</v>
      </c>
      <c r="G863" t="s">
        <v>48</v>
      </c>
      <c r="H863">
        <v>1</v>
      </c>
      <c r="K863" t="s">
        <v>380</v>
      </c>
      <c r="L863" t="s">
        <v>381</v>
      </c>
      <c r="M863" t="s">
        <v>131</v>
      </c>
      <c r="N863">
        <v>12</v>
      </c>
      <c r="P863" t="s">
        <v>41</v>
      </c>
      <c r="Q863" t="s">
        <v>49</v>
      </c>
      <c r="R863" t="str">
        <f>"0580552"</f>
        <v>0580552</v>
      </c>
      <c r="S863" t="s">
        <v>386</v>
      </c>
      <c r="T863" t="s">
        <v>380</v>
      </c>
      <c r="U863" t="s">
        <v>381</v>
      </c>
      <c r="V863" t="s">
        <v>131</v>
      </c>
      <c r="W863" t="s">
        <v>44</v>
      </c>
      <c r="X863" t="s">
        <v>45</v>
      </c>
      <c r="Y863" s="1">
        <v>31062</v>
      </c>
      <c r="Z863">
        <v>2</v>
      </c>
      <c r="AA863" t="s">
        <v>381</v>
      </c>
      <c r="AB863" s="40" t="s">
        <v>1796</v>
      </c>
    </row>
    <row r="864" spans="1:28" x14ac:dyDescent="0.25">
      <c r="A864">
        <v>99910863</v>
      </c>
      <c r="B864" t="s">
        <v>32</v>
      </c>
      <c r="C864" t="s">
        <v>46</v>
      </c>
      <c r="D864" t="s">
        <v>47</v>
      </c>
      <c r="G864" t="s">
        <v>35</v>
      </c>
      <c r="H864">
        <v>1</v>
      </c>
      <c r="I864">
        <v>21384</v>
      </c>
      <c r="J864" s="1">
        <v>43344</v>
      </c>
      <c r="K864" t="s">
        <v>380</v>
      </c>
      <c r="L864" t="s">
        <v>381</v>
      </c>
      <c r="M864" t="s">
        <v>131</v>
      </c>
      <c r="N864">
        <v>12</v>
      </c>
      <c r="O864" s="1">
        <v>43344</v>
      </c>
      <c r="P864" t="s">
        <v>41</v>
      </c>
      <c r="Q864" t="s">
        <v>42</v>
      </c>
      <c r="R864" t="str">
        <f>"0561010"</f>
        <v>0561010</v>
      </c>
      <c r="S864" t="s">
        <v>387</v>
      </c>
      <c r="T864" t="s">
        <v>380</v>
      </c>
      <c r="U864" t="s">
        <v>381</v>
      </c>
      <c r="V864" t="s">
        <v>131</v>
      </c>
      <c r="W864" t="s">
        <v>44</v>
      </c>
      <c r="X864" t="s">
        <v>45</v>
      </c>
      <c r="Y864" s="1">
        <v>31059</v>
      </c>
      <c r="Z864">
        <v>2</v>
      </c>
      <c r="AA864" t="s">
        <v>381</v>
      </c>
      <c r="AB864" s="40" t="s">
        <v>1796</v>
      </c>
    </row>
    <row r="865" spans="1:28" x14ac:dyDescent="0.25">
      <c r="A865">
        <v>99910864</v>
      </c>
      <c r="B865" t="s">
        <v>32</v>
      </c>
      <c r="C865" t="s">
        <v>61</v>
      </c>
      <c r="D865" t="s">
        <v>62</v>
      </c>
      <c r="G865" t="s">
        <v>88</v>
      </c>
      <c r="H865">
        <v>4</v>
      </c>
      <c r="K865" t="s">
        <v>1426</v>
      </c>
      <c r="L865" t="s">
        <v>1427</v>
      </c>
      <c r="M865" t="s">
        <v>1270</v>
      </c>
      <c r="N865">
        <v>12</v>
      </c>
      <c r="P865" t="s">
        <v>41</v>
      </c>
      <c r="Q865" t="s">
        <v>75</v>
      </c>
      <c r="R865" t="str">
        <f>"7192004"</f>
        <v>7192004</v>
      </c>
      <c r="S865" t="s">
        <v>1428</v>
      </c>
      <c r="T865" t="s">
        <v>1426</v>
      </c>
      <c r="U865" t="s">
        <v>1427</v>
      </c>
      <c r="V865" t="s">
        <v>1270</v>
      </c>
      <c r="W865" t="s">
        <v>51</v>
      </c>
      <c r="X865" t="s">
        <v>45</v>
      </c>
      <c r="Y865" s="1">
        <v>30930</v>
      </c>
      <c r="Z865">
        <v>1</v>
      </c>
      <c r="AA865" t="s">
        <v>1427</v>
      </c>
      <c r="AB865" s="40" t="s">
        <v>1796</v>
      </c>
    </row>
    <row r="866" spans="1:28" x14ac:dyDescent="0.25">
      <c r="A866">
        <v>99910865</v>
      </c>
      <c r="B866" t="s">
        <v>56</v>
      </c>
      <c r="C866" t="s">
        <v>64</v>
      </c>
      <c r="D866" t="s">
        <v>65</v>
      </c>
      <c r="G866" t="s">
        <v>35</v>
      </c>
      <c r="H866">
        <v>1</v>
      </c>
      <c r="I866" t="s">
        <v>1683</v>
      </c>
      <c r="J866" s="1">
        <v>43344</v>
      </c>
      <c r="K866" t="s">
        <v>1619</v>
      </c>
      <c r="L866" t="s">
        <v>1620</v>
      </c>
      <c r="M866" t="s">
        <v>1592</v>
      </c>
      <c r="N866">
        <v>12</v>
      </c>
      <c r="O866" s="1">
        <v>43344</v>
      </c>
      <c r="P866" t="s">
        <v>41</v>
      </c>
      <c r="Q866" t="s">
        <v>75</v>
      </c>
      <c r="R866" t="str">
        <f>"7281000"</f>
        <v>7281000</v>
      </c>
      <c r="S866" t="s">
        <v>1648</v>
      </c>
      <c r="T866" t="s">
        <v>1619</v>
      </c>
      <c r="U866" t="s">
        <v>1620</v>
      </c>
      <c r="V866" t="s">
        <v>1592</v>
      </c>
      <c r="W866" t="s">
        <v>44</v>
      </c>
      <c r="X866" t="s">
        <v>45</v>
      </c>
      <c r="Y866" s="1">
        <v>30728</v>
      </c>
      <c r="Z866">
        <v>1</v>
      </c>
      <c r="AA866" t="s">
        <v>1620</v>
      </c>
      <c r="AB866" s="40" t="s">
        <v>1796</v>
      </c>
    </row>
    <row r="867" spans="1:28" x14ac:dyDescent="0.25">
      <c r="A867">
        <v>99910866</v>
      </c>
      <c r="B867" t="s">
        <v>32</v>
      </c>
      <c r="C867" t="s">
        <v>61</v>
      </c>
      <c r="D867" t="s">
        <v>62</v>
      </c>
      <c r="G867" t="s">
        <v>48</v>
      </c>
      <c r="H867">
        <v>1</v>
      </c>
      <c r="I867" t="s">
        <v>737</v>
      </c>
      <c r="J867" s="1">
        <v>42639</v>
      </c>
      <c r="K867" t="s">
        <v>268</v>
      </c>
      <c r="L867" t="s">
        <v>269</v>
      </c>
      <c r="M867" t="s">
        <v>131</v>
      </c>
      <c r="N867">
        <v>12</v>
      </c>
      <c r="O867" s="1">
        <v>42639</v>
      </c>
      <c r="P867" t="s">
        <v>41</v>
      </c>
      <c r="Q867" t="s">
        <v>75</v>
      </c>
      <c r="R867" t="str">
        <f>"7052040"</f>
        <v>7052040</v>
      </c>
      <c r="S867" t="s">
        <v>591</v>
      </c>
      <c r="T867" t="s">
        <v>268</v>
      </c>
      <c r="U867" t="s">
        <v>269</v>
      </c>
      <c r="V867" t="s">
        <v>131</v>
      </c>
      <c r="W867" t="s">
        <v>51</v>
      </c>
      <c r="X867" t="s">
        <v>45</v>
      </c>
      <c r="Y867" s="1">
        <v>30627</v>
      </c>
      <c r="Z867">
        <v>1</v>
      </c>
      <c r="AA867" t="s">
        <v>269</v>
      </c>
      <c r="AB867" s="40" t="s">
        <v>1796</v>
      </c>
    </row>
    <row r="868" spans="1:28" x14ac:dyDescent="0.25">
      <c r="A868">
        <v>99910867</v>
      </c>
      <c r="B868" t="s">
        <v>32</v>
      </c>
      <c r="C868" t="s">
        <v>139</v>
      </c>
      <c r="D868" t="s">
        <v>140</v>
      </c>
      <c r="G868" t="s">
        <v>48</v>
      </c>
      <c r="H868">
        <v>1</v>
      </c>
      <c r="K868" t="s">
        <v>345</v>
      </c>
      <c r="L868" t="s">
        <v>346</v>
      </c>
      <c r="M868" t="s">
        <v>131</v>
      </c>
      <c r="N868">
        <v>12</v>
      </c>
      <c r="P868" t="s">
        <v>41</v>
      </c>
      <c r="Q868" t="s">
        <v>49</v>
      </c>
      <c r="R868" t="str">
        <f>"0560004"</f>
        <v>0560004</v>
      </c>
      <c r="S868" t="s">
        <v>371</v>
      </c>
      <c r="T868" t="s">
        <v>345</v>
      </c>
      <c r="U868" t="s">
        <v>346</v>
      </c>
      <c r="V868" t="s">
        <v>131</v>
      </c>
      <c r="W868" t="s">
        <v>55</v>
      </c>
      <c r="X868" t="s">
        <v>45</v>
      </c>
      <c r="Y868" s="1">
        <v>30623</v>
      </c>
      <c r="Z868">
        <v>2</v>
      </c>
      <c r="AA868" t="s">
        <v>346</v>
      </c>
      <c r="AB868" s="40" t="s">
        <v>1796</v>
      </c>
    </row>
    <row r="869" spans="1:28" x14ac:dyDescent="0.25">
      <c r="A869">
        <v>99910868</v>
      </c>
      <c r="B869" t="s">
        <v>32</v>
      </c>
      <c r="C869" t="s">
        <v>139</v>
      </c>
      <c r="D869" t="s">
        <v>140</v>
      </c>
      <c r="G869" t="s">
        <v>35</v>
      </c>
      <c r="H869">
        <v>1</v>
      </c>
      <c r="I869">
        <v>15437</v>
      </c>
      <c r="J869" s="1">
        <v>43344</v>
      </c>
      <c r="K869" t="s">
        <v>345</v>
      </c>
      <c r="L869" t="s">
        <v>346</v>
      </c>
      <c r="M869" t="s">
        <v>131</v>
      </c>
      <c r="N869">
        <v>12</v>
      </c>
      <c r="O869" s="1">
        <v>43344</v>
      </c>
      <c r="P869" t="s">
        <v>41</v>
      </c>
      <c r="Q869" t="s">
        <v>49</v>
      </c>
      <c r="R869" t="str">
        <f>"0561003"</f>
        <v>0561003</v>
      </c>
      <c r="S869" t="s">
        <v>370</v>
      </c>
      <c r="T869" t="s">
        <v>345</v>
      </c>
      <c r="U869" t="s">
        <v>346</v>
      </c>
      <c r="V869" t="s">
        <v>131</v>
      </c>
      <c r="W869" t="s">
        <v>44</v>
      </c>
      <c r="X869" t="s">
        <v>45</v>
      </c>
      <c r="Y869" s="1">
        <v>30614</v>
      </c>
      <c r="Z869">
        <v>2</v>
      </c>
      <c r="AA869" t="s">
        <v>346</v>
      </c>
      <c r="AB869" s="40" t="s">
        <v>1796</v>
      </c>
    </row>
    <row r="870" spans="1:28" x14ac:dyDescent="0.25">
      <c r="A870">
        <v>99910869</v>
      </c>
      <c r="B870" t="s">
        <v>32</v>
      </c>
      <c r="C870" t="s">
        <v>64</v>
      </c>
      <c r="D870" t="s">
        <v>65</v>
      </c>
      <c r="G870" t="s">
        <v>48</v>
      </c>
      <c r="H870">
        <v>1</v>
      </c>
      <c r="K870" t="s">
        <v>1187</v>
      </c>
      <c r="L870" t="s">
        <v>1188</v>
      </c>
      <c r="M870" t="s">
        <v>1130</v>
      </c>
      <c r="N870">
        <v>12</v>
      </c>
      <c r="P870" t="s">
        <v>41</v>
      </c>
      <c r="Q870" t="s">
        <v>49</v>
      </c>
      <c r="R870" t="str">
        <f>"4581015"</f>
        <v>4581015</v>
      </c>
      <c r="S870" t="s">
        <v>1190</v>
      </c>
      <c r="T870" t="s">
        <v>1187</v>
      </c>
      <c r="U870" t="s">
        <v>1188</v>
      </c>
      <c r="V870" t="s">
        <v>1130</v>
      </c>
      <c r="W870" t="s">
        <v>51</v>
      </c>
      <c r="X870" t="s">
        <v>45</v>
      </c>
      <c r="Y870" s="1">
        <v>30578</v>
      </c>
      <c r="Z870">
        <v>2</v>
      </c>
      <c r="AA870" t="s">
        <v>1188</v>
      </c>
      <c r="AB870" s="40" t="s">
        <v>1796</v>
      </c>
    </row>
    <row r="871" spans="1:28" x14ac:dyDescent="0.25">
      <c r="A871">
        <v>99910870</v>
      </c>
      <c r="B871" t="s">
        <v>32</v>
      </c>
      <c r="C871" t="s">
        <v>61</v>
      </c>
      <c r="D871" t="s">
        <v>62</v>
      </c>
      <c r="G871" t="s">
        <v>48</v>
      </c>
      <c r="H871">
        <v>1</v>
      </c>
      <c r="I871" t="s">
        <v>1617</v>
      </c>
      <c r="J871" s="1">
        <v>41684</v>
      </c>
      <c r="K871" t="s">
        <v>1613</v>
      </c>
      <c r="L871" t="s">
        <v>1614</v>
      </c>
      <c r="M871" t="s">
        <v>1592</v>
      </c>
      <c r="N871">
        <v>12</v>
      </c>
      <c r="O871" s="1">
        <v>41684</v>
      </c>
      <c r="P871" t="s">
        <v>41</v>
      </c>
      <c r="Q871" t="s">
        <v>75</v>
      </c>
      <c r="R871" t="str">
        <f>"7281006"</f>
        <v>7281006</v>
      </c>
      <c r="S871" t="s">
        <v>1618</v>
      </c>
      <c r="T871" t="s">
        <v>1619</v>
      </c>
      <c r="U871" t="s">
        <v>1620</v>
      </c>
      <c r="V871" t="s">
        <v>1592</v>
      </c>
      <c r="W871" t="s">
        <v>51</v>
      </c>
      <c r="X871" t="s">
        <v>45</v>
      </c>
      <c r="Y871" s="1">
        <v>30222</v>
      </c>
      <c r="Z871">
        <v>2</v>
      </c>
      <c r="AA871" t="s">
        <v>1614</v>
      </c>
      <c r="AB871" s="40" t="s">
        <v>1796</v>
      </c>
    </row>
    <row r="872" spans="1:28" x14ac:dyDescent="0.25">
      <c r="A872">
        <v>99910871</v>
      </c>
      <c r="B872" t="s">
        <v>32</v>
      </c>
      <c r="C872" t="s">
        <v>64</v>
      </c>
      <c r="D872" t="s">
        <v>65</v>
      </c>
      <c r="G872" t="s">
        <v>35</v>
      </c>
      <c r="H872">
        <v>1</v>
      </c>
      <c r="I872">
        <v>4138</v>
      </c>
      <c r="J872" s="1">
        <v>43344</v>
      </c>
      <c r="K872" t="s">
        <v>877</v>
      </c>
      <c r="L872" t="s">
        <v>878</v>
      </c>
      <c r="M872" t="s">
        <v>131</v>
      </c>
      <c r="N872">
        <v>12</v>
      </c>
      <c r="O872" s="1">
        <v>43344</v>
      </c>
      <c r="P872" t="s">
        <v>41</v>
      </c>
      <c r="Q872" t="s">
        <v>75</v>
      </c>
      <c r="R872" t="str">
        <f>"7541020"</f>
        <v>7541020</v>
      </c>
      <c r="S872" t="s">
        <v>882</v>
      </c>
      <c r="T872" t="s">
        <v>877</v>
      </c>
      <c r="U872" t="s">
        <v>878</v>
      </c>
      <c r="V872" t="s">
        <v>131</v>
      </c>
      <c r="W872" t="s">
        <v>51</v>
      </c>
      <c r="X872" t="s">
        <v>45</v>
      </c>
      <c r="Y872" s="1">
        <v>29952</v>
      </c>
      <c r="Z872">
        <v>1</v>
      </c>
      <c r="AA872" t="s">
        <v>878</v>
      </c>
      <c r="AB872" s="40" t="s">
        <v>1796</v>
      </c>
    </row>
    <row r="873" spans="1:28" x14ac:dyDescent="0.25">
      <c r="A873">
        <v>99910872</v>
      </c>
      <c r="B873" t="s">
        <v>32</v>
      </c>
      <c r="C873" t="s">
        <v>71</v>
      </c>
      <c r="D873" t="s">
        <v>72</v>
      </c>
      <c r="G873" t="s">
        <v>48</v>
      </c>
      <c r="H873">
        <v>1</v>
      </c>
      <c r="I873" t="s">
        <v>1027</v>
      </c>
      <c r="J873" s="1">
        <v>41983</v>
      </c>
      <c r="K873" t="s">
        <v>1496</v>
      </c>
      <c r="L873" t="s">
        <v>1497</v>
      </c>
      <c r="M873" t="s">
        <v>670</v>
      </c>
      <c r="N873">
        <v>12</v>
      </c>
      <c r="O873" s="1">
        <v>41983</v>
      </c>
      <c r="P873" t="s">
        <v>41</v>
      </c>
      <c r="Q873" t="s">
        <v>49</v>
      </c>
      <c r="R873" t="str">
        <f>"5060001"</f>
        <v>5060001</v>
      </c>
      <c r="S873" t="s">
        <v>1499</v>
      </c>
      <c r="T873" t="s">
        <v>1496</v>
      </c>
      <c r="U873" t="s">
        <v>1497</v>
      </c>
      <c r="V873" t="s">
        <v>670</v>
      </c>
      <c r="W873" t="s">
        <v>51</v>
      </c>
      <c r="X873" t="s">
        <v>45</v>
      </c>
      <c r="Y873" s="1">
        <v>29952</v>
      </c>
      <c r="Z873">
        <v>2</v>
      </c>
      <c r="AA873" t="s">
        <v>1497</v>
      </c>
      <c r="AB873" s="40" t="s">
        <v>1796</v>
      </c>
    </row>
    <row r="874" spans="1:28" x14ac:dyDescent="0.25">
      <c r="A874">
        <v>99910873</v>
      </c>
      <c r="B874" t="s">
        <v>32</v>
      </c>
      <c r="C874" t="s">
        <v>52</v>
      </c>
      <c r="D874" t="s">
        <v>53</v>
      </c>
      <c r="G874" t="s">
        <v>48</v>
      </c>
      <c r="H874">
        <v>1</v>
      </c>
      <c r="K874" t="s">
        <v>1268</v>
      </c>
      <c r="L874" t="s">
        <v>1269</v>
      </c>
      <c r="M874" t="s">
        <v>1270</v>
      </c>
      <c r="N874">
        <v>12</v>
      </c>
      <c r="P874" t="s">
        <v>41</v>
      </c>
      <c r="Q874" t="s">
        <v>49</v>
      </c>
      <c r="R874" t="str">
        <f>"1981912"</f>
        <v>1981912</v>
      </c>
      <c r="S874" t="s">
        <v>1279</v>
      </c>
      <c r="T874" t="s">
        <v>1268</v>
      </c>
      <c r="U874" t="s">
        <v>1269</v>
      </c>
      <c r="V874" t="s">
        <v>1270</v>
      </c>
      <c r="W874" t="s">
        <v>51</v>
      </c>
      <c r="X874" t="s">
        <v>45</v>
      </c>
      <c r="Y874" s="1">
        <v>29905</v>
      </c>
      <c r="Z874">
        <v>2</v>
      </c>
      <c r="AA874" t="s">
        <v>1269</v>
      </c>
      <c r="AB874" s="40" t="s">
        <v>1796</v>
      </c>
    </row>
    <row r="875" spans="1:28" x14ac:dyDescent="0.25">
      <c r="A875">
        <v>99910874</v>
      </c>
      <c r="B875" t="s">
        <v>56</v>
      </c>
      <c r="C875" t="s">
        <v>52</v>
      </c>
      <c r="D875" t="s">
        <v>53</v>
      </c>
      <c r="G875" t="s">
        <v>35</v>
      </c>
      <c r="H875">
        <v>1</v>
      </c>
      <c r="I875">
        <v>18104</v>
      </c>
      <c r="J875" s="1">
        <v>43344</v>
      </c>
      <c r="K875" t="s">
        <v>345</v>
      </c>
      <c r="L875" t="s">
        <v>346</v>
      </c>
      <c r="M875" t="s">
        <v>131</v>
      </c>
      <c r="N875">
        <v>12</v>
      </c>
      <c r="O875" s="1">
        <v>43344</v>
      </c>
      <c r="P875" t="s">
        <v>41</v>
      </c>
      <c r="Q875" t="s">
        <v>367</v>
      </c>
      <c r="R875" t="str">
        <f>"0580655"</f>
        <v>0580655</v>
      </c>
      <c r="S875" t="s">
        <v>368</v>
      </c>
      <c r="T875" t="s">
        <v>345</v>
      </c>
      <c r="U875" t="s">
        <v>346</v>
      </c>
      <c r="V875" t="s">
        <v>131</v>
      </c>
      <c r="W875" t="s">
        <v>51</v>
      </c>
      <c r="X875" t="s">
        <v>45</v>
      </c>
      <c r="Y875" s="1">
        <v>29764</v>
      </c>
      <c r="Z875">
        <v>2</v>
      </c>
      <c r="AA875" t="s">
        <v>346</v>
      </c>
      <c r="AB875" s="40" t="s">
        <v>1796</v>
      </c>
    </row>
    <row r="876" spans="1:28" x14ac:dyDescent="0.25">
      <c r="A876">
        <v>99910875</v>
      </c>
      <c r="B876" t="s">
        <v>32</v>
      </c>
      <c r="C876" t="s">
        <v>82</v>
      </c>
      <c r="D876" t="s">
        <v>83</v>
      </c>
      <c r="G876" t="s">
        <v>35</v>
      </c>
      <c r="H876">
        <v>1</v>
      </c>
      <c r="K876" t="s">
        <v>1187</v>
      </c>
      <c r="L876" t="s">
        <v>1188</v>
      </c>
      <c r="M876" t="s">
        <v>1130</v>
      </c>
      <c r="N876">
        <v>12</v>
      </c>
      <c r="P876" t="s">
        <v>41</v>
      </c>
      <c r="Q876" t="s">
        <v>42</v>
      </c>
      <c r="R876" t="str">
        <f>"4580015"</f>
        <v>4580015</v>
      </c>
      <c r="S876" t="s">
        <v>1189</v>
      </c>
      <c r="T876" t="s">
        <v>1187</v>
      </c>
      <c r="U876" t="s">
        <v>1188</v>
      </c>
      <c r="V876" t="s">
        <v>1130</v>
      </c>
      <c r="W876" t="s">
        <v>51</v>
      </c>
      <c r="X876" t="s">
        <v>45</v>
      </c>
      <c r="Y876" s="1">
        <v>29587</v>
      </c>
      <c r="Z876">
        <v>2</v>
      </c>
      <c r="AA876" t="s">
        <v>1188</v>
      </c>
      <c r="AB876" s="40" t="s">
        <v>1796</v>
      </c>
    </row>
    <row r="877" spans="1:28" x14ac:dyDescent="0.25">
      <c r="A877">
        <v>99910876</v>
      </c>
      <c r="B877" t="s">
        <v>56</v>
      </c>
      <c r="C877" t="s">
        <v>79</v>
      </c>
      <c r="D877" t="s">
        <v>80</v>
      </c>
      <c r="G877" t="s">
        <v>35</v>
      </c>
      <c r="H877">
        <v>1</v>
      </c>
      <c r="I877" t="s">
        <v>1594</v>
      </c>
      <c r="J877" s="1">
        <v>43344</v>
      </c>
      <c r="K877" t="s">
        <v>1590</v>
      </c>
      <c r="L877" t="s">
        <v>1591</v>
      </c>
      <c r="M877" t="s">
        <v>1592</v>
      </c>
      <c r="N877">
        <v>12</v>
      </c>
      <c r="O877" s="1">
        <v>43344</v>
      </c>
      <c r="P877" t="s">
        <v>41</v>
      </c>
      <c r="Q877" t="s">
        <v>49</v>
      </c>
      <c r="R877" t="str">
        <f>"0260001"</f>
        <v>0260001</v>
      </c>
      <c r="S877" t="s">
        <v>1595</v>
      </c>
      <c r="T877" t="s">
        <v>1590</v>
      </c>
      <c r="U877" t="s">
        <v>1591</v>
      </c>
      <c r="V877" t="s">
        <v>1592</v>
      </c>
      <c r="W877" t="s">
        <v>51</v>
      </c>
      <c r="X877" t="s">
        <v>45</v>
      </c>
      <c r="Y877" s="1">
        <v>29317</v>
      </c>
      <c r="Z877">
        <v>2</v>
      </c>
      <c r="AA877" t="s">
        <v>1591</v>
      </c>
      <c r="AB877" s="40" t="s">
        <v>1796</v>
      </c>
    </row>
    <row r="878" spans="1:28" x14ac:dyDescent="0.25">
      <c r="A878">
        <v>99910877</v>
      </c>
      <c r="B878" t="s">
        <v>32</v>
      </c>
      <c r="C878" t="s">
        <v>52</v>
      </c>
      <c r="D878" t="s">
        <v>53</v>
      </c>
      <c r="G878" t="s">
        <v>35</v>
      </c>
      <c r="H878">
        <v>1</v>
      </c>
      <c r="I878">
        <v>17327</v>
      </c>
      <c r="J878" s="1">
        <v>43346</v>
      </c>
      <c r="K878" t="s">
        <v>345</v>
      </c>
      <c r="L878" t="s">
        <v>346</v>
      </c>
      <c r="M878" t="s">
        <v>131</v>
      </c>
      <c r="N878">
        <v>12</v>
      </c>
      <c r="O878" s="1">
        <v>43346</v>
      </c>
      <c r="P878" t="s">
        <v>41</v>
      </c>
      <c r="Q878" t="s">
        <v>42</v>
      </c>
      <c r="R878" t="str">
        <f>"0561019"</f>
        <v>0561019</v>
      </c>
      <c r="S878" t="s">
        <v>351</v>
      </c>
      <c r="T878" t="s">
        <v>345</v>
      </c>
      <c r="U878" t="s">
        <v>346</v>
      </c>
      <c r="V878" t="s">
        <v>131</v>
      </c>
      <c r="W878" t="s">
        <v>55</v>
      </c>
      <c r="X878" t="s">
        <v>45</v>
      </c>
      <c r="Y878" s="1">
        <v>29221</v>
      </c>
      <c r="Z878">
        <v>2</v>
      </c>
      <c r="AA878" t="s">
        <v>346</v>
      </c>
      <c r="AB878" s="40" t="s">
        <v>1796</v>
      </c>
    </row>
    <row r="879" spans="1:28" x14ac:dyDescent="0.25">
      <c r="A879">
        <v>99910878</v>
      </c>
      <c r="B879" t="s">
        <v>32</v>
      </c>
      <c r="C879" t="s">
        <v>141</v>
      </c>
      <c r="D879" t="s">
        <v>142</v>
      </c>
      <c r="G879" t="s">
        <v>35</v>
      </c>
      <c r="H879">
        <v>1</v>
      </c>
      <c r="I879" t="s">
        <v>420</v>
      </c>
      <c r="J879" s="1">
        <v>41652</v>
      </c>
      <c r="K879" t="s">
        <v>154</v>
      </c>
      <c r="L879" t="s">
        <v>155</v>
      </c>
      <c r="M879" t="s">
        <v>131</v>
      </c>
      <c r="N879">
        <v>12</v>
      </c>
      <c r="O879" s="1">
        <v>41652</v>
      </c>
      <c r="P879" t="s">
        <v>41</v>
      </c>
      <c r="Q879" t="s">
        <v>75</v>
      </c>
      <c r="R879" t="str">
        <f>"7051014"</f>
        <v>7051014</v>
      </c>
      <c r="S879" t="s">
        <v>398</v>
      </c>
      <c r="T879" t="s">
        <v>154</v>
      </c>
      <c r="U879" t="s">
        <v>155</v>
      </c>
      <c r="V879" t="s">
        <v>131</v>
      </c>
      <c r="W879" t="s">
        <v>165</v>
      </c>
      <c r="X879" t="s">
        <v>45</v>
      </c>
      <c r="Y879" s="1">
        <v>29221</v>
      </c>
      <c r="Z879">
        <v>1</v>
      </c>
      <c r="AA879" t="s">
        <v>155</v>
      </c>
      <c r="AB879" s="40" t="s">
        <v>1796</v>
      </c>
    </row>
    <row r="880" spans="1:28" x14ac:dyDescent="0.25">
      <c r="A880">
        <v>99910879</v>
      </c>
      <c r="B880" t="s">
        <v>32</v>
      </c>
      <c r="C880" t="s">
        <v>46</v>
      </c>
      <c r="D880" t="s">
        <v>47</v>
      </c>
      <c r="G880" t="s">
        <v>48</v>
      </c>
      <c r="H880">
        <v>1</v>
      </c>
      <c r="K880" t="s">
        <v>300</v>
      </c>
      <c r="L880" t="s">
        <v>301</v>
      </c>
      <c r="M880" t="s">
        <v>131</v>
      </c>
      <c r="N880">
        <v>12</v>
      </c>
      <c r="P880" t="s">
        <v>41</v>
      </c>
      <c r="Q880" t="s">
        <v>42</v>
      </c>
      <c r="R880" t="str">
        <f>"0580175"</f>
        <v>0580175</v>
      </c>
      <c r="S880" t="s">
        <v>303</v>
      </c>
      <c r="T880" t="s">
        <v>300</v>
      </c>
      <c r="U880" t="s">
        <v>301</v>
      </c>
      <c r="V880" t="s">
        <v>131</v>
      </c>
      <c r="W880" t="s">
        <v>51</v>
      </c>
      <c r="X880" t="s">
        <v>45</v>
      </c>
      <c r="Y880" s="1">
        <v>29031</v>
      </c>
      <c r="Z880">
        <v>2</v>
      </c>
      <c r="AA880" t="s">
        <v>301</v>
      </c>
      <c r="AB880" s="40" t="s">
        <v>1796</v>
      </c>
    </row>
    <row r="881" spans="1:28" x14ac:dyDescent="0.25">
      <c r="A881">
        <v>99910880</v>
      </c>
      <c r="B881" t="s">
        <v>32</v>
      </c>
      <c r="C881" t="s">
        <v>139</v>
      </c>
      <c r="D881" t="s">
        <v>140</v>
      </c>
      <c r="G881" t="s">
        <v>35</v>
      </c>
      <c r="H881">
        <v>1</v>
      </c>
      <c r="I881">
        <v>11039</v>
      </c>
      <c r="J881" s="1">
        <v>43344</v>
      </c>
      <c r="K881" t="s">
        <v>1051</v>
      </c>
      <c r="L881" t="s">
        <v>1052</v>
      </c>
      <c r="M881" t="s">
        <v>1053</v>
      </c>
      <c r="N881">
        <v>12</v>
      </c>
      <c r="O881" s="1">
        <v>43344</v>
      </c>
      <c r="P881" t="s">
        <v>41</v>
      </c>
      <c r="Q881" t="s">
        <v>49</v>
      </c>
      <c r="R881" t="str">
        <f>"2060004"</f>
        <v>2060004</v>
      </c>
      <c r="S881" t="s">
        <v>1059</v>
      </c>
      <c r="T881" t="s">
        <v>1051</v>
      </c>
      <c r="U881" t="s">
        <v>1052</v>
      </c>
      <c r="V881" t="s">
        <v>1053</v>
      </c>
      <c r="W881" t="s">
        <v>44</v>
      </c>
      <c r="X881" t="s">
        <v>45</v>
      </c>
      <c r="Y881" s="1">
        <v>29024</v>
      </c>
      <c r="Z881">
        <v>2</v>
      </c>
      <c r="AA881" t="s">
        <v>1052</v>
      </c>
      <c r="AB881" s="40" t="s">
        <v>1796</v>
      </c>
    </row>
    <row r="882" spans="1:28" x14ac:dyDescent="0.25">
      <c r="A882">
        <v>99910881</v>
      </c>
      <c r="B882" t="s">
        <v>56</v>
      </c>
      <c r="C882" t="s">
        <v>64</v>
      </c>
      <c r="D882" t="s">
        <v>65</v>
      </c>
      <c r="G882" t="s">
        <v>48</v>
      </c>
      <c r="H882">
        <v>1</v>
      </c>
      <c r="K882" t="s">
        <v>407</v>
      </c>
      <c r="L882" t="s">
        <v>409</v>
      </c>
      <c r="M882" t="s">
        <v>131</v>
      </c>
      <c r="N882">
        <v>12</v>
      </c>
      <c r="P882" t="s">
        <v>41</v>
      </c>
      <c r="Q882" t="s">
        <v>75</v>
      </c>
      <c r="R882" t="str">
        <f>"7053018"</f>
        <v>7053018</v>
      </c>
      <c r="S882" t="s">
        <v>408</v>
      </c>
      <c r="T882" t="s">
        <v>407</v>
      </c>
      <c r="U882" t="s">
        <v>409</v>
      </c>
      <c r="V882" t="s">
        <v>131</v>
      </c>
      <c r="W882" t="s">
        <v>51</v>
      </c>
      <c r="X882" t="s">
        <v>45</v>
      </c>
      <c r="Y882" s="1">
        <v>28824</v>
      </c>
      <c r="Z882">
        <v>1</v>
      </c>
      <c r="AA882" t="s">
        <v>409</v>
      </c>
      <c r="AB882" s="40" t="s">
        <v>1796</v>
      </c>
    </row>
    <row r="883" spans="1:28" x14ac:dyDescent="0.25">
      <c r="A883">
        <v>99910882</v>
      </c>
      <c r="B883" t="s">
        <v>32</v>
      </c>
      <c r="C883" t="s">
        <v>64</v>
      </c>
      <c r="D883" t="s">
        <v>65</v>
      </c>
      <c r="G883" t="s">
        <v>48</v>
      </c>
      <c r="H883">
        <v>1</v>
      </c>
      <c r="K883" t="s">
        <v>936</v>
      </c>
      <c r="L883" t="s">
        <v>937</v>
      </c>
      <c r="M883" t="s">
        <v>938</v>
      </c>
      <c r="N883">
        <v>12</v>
      </c>
      <c r="P883" t="s">
        <v>41</v>
      </c>
      <c r="Q883" t="s">
        <v>49</v>
      </c>
      <c r="R883" t="str">
        <f>"0180017"</f>
        <v>0180017</v>
      </c>
      <c r="S883" t="s">
        <v>943</v>
      </c>
      <c r="T883" t="s">
        <v>936</v>
      </c>
      <c r="U883" t="s">
        <v>937</v>
      </c>
      <c r="V883" t="s">
        <v>938</v>
      </c>
      <c r="W883" t="s">
        <v>51</v>
      </c>
      <c r="X883" t="s">
        <v>45</v>
      </c>
      <c r="Y883" s="1">
        <v>28784</v>
      </c>
      <c r="Z883">
        <v>2</v>
      </c>
      <c r="AA883" t="s">
        <v>937</v>
      </c>
      <c r="AB883" s="40" t="s">
        <v>1796</v>
      </c>
    </row>
    <row r="884" spans="1:28" x14ac:dyDescent="0.25">
      <c r="A884">
        <v>99910883</v>
      </c>
      <c r="B884" t="s">
        <v>32</v>
      </c>
      <c r="C884" t="s">
        <v>64</v>
      </c>
      <c r="D884" t="s">
        <v>65</v>
      </c>
      <c r="G884" t="s">
        <v>35</v>
      </c>
      <c r="H884">
        <v>1</v>
      </c>
      <c r="I884">
        <v>10934</v>
      </c>
      <c r="J884" s="1">
        <v>43344</v>
      </c>
      <c r="K884" t="s">
        <v>354</v>
      </c>
      <c r="L884" t="s">
        <v>355</v>
      </c>
      <c r="M884" t="s">
        <v>131</v>
      </c>
      <c r="N884">
        <v>12</v>
      </c>
      <c r="O884" s="1">
        <v>43344</v>
      </c>
      <c r="P884" t="s">
        <v>41</v>
      </c>
      <c r="Q884" t="s">
        <v>75</v>
      </c>
      <c r="R884" t="str">
        <f>"7054032"</f>
        <v>7054032</v>
      </c>
      <c r="S884" t="s">
        <v>767</v>
      </c>
      <c r="T884" t="s">
        <v>354</v>
      </c>
      <c r="U884" t="s">
        <v>355</v>
      </c>
      <c r="V884" t="s">
        <v>131</v>
      </c>
      <c r="W884" t="s">
        <v>51</v>
      </c>
      <c r="X884" t="s">
        <v>45</v>
      </c>
      <c r="Y884" s="1">
        <v>28757</v>
      </c>
      <c r="Z884">
        <v>1</v>
      </c>
      <c r="AA884" t="s">
        <v>355</v>
      </c>
      <c r="AB884" s="40" t="s">
        <v>1796</v>
      </c>
    </row>
    <row r="885" spans="1:28" x14ac:dyDescent="0.25">
      <c r="A885">
        <v>99910884</v>
      </c>
      <c r="B885" t="s">
        <v>32</v>
      </c>
      <c r="C885" t="s">
        <v>139</v>
      </c>
      <c r="D885" t="s">
        <v>140</v>
      </c>
      <c r="G885" t="s">
        <v>35</v>
      </c>
      <c r="H885">
        <v>1</v>
      </c>
      <c r="K885" t="s">
        <v>877</v>
      </c>
      <c r="L885" t="s">
        <v>878</v>
      </c>
      <c r="M885" t="s">
        <v>131</v>
      </c>
      <c r="N885">
        <v>12</v>
      </c>
      <c r="P885" t="s">
        <v>41</v>
      </c>
      <c r="Q885" t="s">
        <v>75</v>
      </c>
      <c r="R885" t="str">
        <f>"7541010"</f>
        <v>7541010</v>
      </c>
      <c r="S885" t="s">
        <v>887</v>
      </c>
      <c r="T885" t="s">
        <v>877</v>
      </c>
      <c r="U885" t="s">
        <v>878</v>
      </c>
      <c r="V885" t="s">
        <v>131</v>
      </c>
      <c r="W885" t="s">
        <v>51</v>
      </c>
      <c r="X885" t="s">
        <v>45</v>
      </c>
      <c r="Y885" s="1">
        <v>28667</v>
      </c>
      <c r="Z885">
        <v>1</v>
      </c>
      <c r="AA885" t="s">
        <v>878</v>
      </c>
      <c r="AB885" s="40" t="s">
        <v>1796</v>
      </c>
    </row>
    <row r="886" spans="1:28" x14ac:dyDescent="0.25">
      <c r="A886">
        <v>99910885</v>
      </c>
      <c r="B886" t="s">
        <v>32</v>
      </c>
      <c r="C886" t="s">
        <v>64</v>
      </c>
      <c r="D886" t="s">
        <v>65</v>
      </c>
      <c r="G886" t="s">
        <v>35</v>
      </c>
      <c r="H886">
        <v>1</v>
      </c>
      <c r="I886" t="s">
        <v>1340</v>
      </c>
      <c r="J886" s="1">
        <v>43364</v>
      </c>
      <c r="K886" t="s">
        <v>1336</v>
      </c>
      <c r="L886" t="s">
        <v>1337</v>
      </c>
      <c r="M886" t="s">
        <v>1270</v>
      </c>
      <c r="N886">
        <v>12</v>
      </c>
      <c r="O886" s="1">
        <v>43364</v>
      </c>
      <c r="P886" t="s">
        <v>41</v>
      </c>
      <c r="Q886" t="s">
        <v>42</v>
      </c>
      <c r="R886" t="str">
        <f>"4475070"</f>
        <v>4475070</v>
      </c>
      <c r="S886" t="s">
        <v>1338</v>
      </c>
      <c r="T886" t="s">
        <v>1336</v>
      </c>
      <c r="U886" t="s">
        <v>1337</v>
      </c>
      <c r="V886" t="s">
        <v>1270</v>
      </c>
      <c r="W886" t="s">
        <v>51</v>
      </c>
      <c r="X886" t="s">
        <v>45</v>
      </c>
      <c r="Y886" s="1">
        <v>28641</v>
      </c>
      <c r="Z886">
        <v>2</v>
      </c>
      <c r="AA886" t="s">
        <v>1337</v>
      </c>
      <c r="AB886" s="40" t="s">
        <v>1796</v>
      </c>
    </row>
    <row r="887" spans="1:28" x14ac:dyDescent="0.25">
      <c r="A887">
        <v>99910886</v>
      </c>
      <c r="B887" t="s">
        <v>32</v>
      </c>
      <c r="C887" t="s">
        <v>141</v>
      </c>
      <c r="D887" t="s">
        <v>142</v>
      </c>
      <c r="G887" t="s">
        <v>48</v>
      </c>
      <c r="H887">
        <v>1</v>
      </c>
      <c r="K887" t="s">
        <v>1268</v>
      </c>
      <c r="L887" t="s">
        <v>1269</v>
      </c>
      <c r="M887" t="s">
        <v>1270</v>
      </c>
      <c r="N887">
        <v>12</v>
      </c>
      <c r="P887" t="s">
        <v>41</v>
      </c>
      <c r="Q887" t="s">
        <v>49</v>
      </c>
      <c r="R887" t="str">
        <f>"1981912"</f>
        <v>1981912</v>
      </c>
      <c r="S887" t="s">
        <v>1279</v>
      </c>
      <c r="T887" t="s">
        <v>1268</v>
      </c>
      <c r="U887" t="s">
        <v>1269</v>
      </c>
      <c r="V887" t="s">
        <v>1270</v>
      </c>
      <c r="W887" t="s">
        <v>51</v>
      </c>
      <c r="X887" t="s">
        <v>45</v>
      </c>
      <c r="Y887" s="1">
        <v>28560</v>
      </c>
      <c r="Z887">
        <v>2</v>
      </c>
      <c r="AA887" t="s">
        <v>1269</v>
      </c>
      <c r="AB887" s="40" t="s">
        <v>1796</v>
      </c>
    </row>
    <row r="888" spans="1:28" x14ac:dyDescent="0.25">
      <c r="A888">
        <v>99910887</v>
      </c>
      <c r="B888" t="s">
        <v>32</v>
      </c>
      <c r="C888" t="s">
        <v>1570</v>
      </c>
      <c r="D888" t="s">
        <v>1571</v>
      </c>
      <c r="G888" t="s">
        <v>48</v>
      </c>
      <c r="H888">
        <v>1</v>
      </c>
      <c r="K888" t="s">
        <v>1566</v>
      </c>
      <c r="L888" t="s">
        <v>1567</v>
      </c>
      <c r="M888" t="s">
        <v>1548</v>
      </c>
      <c r="N888">
        <v>12</v>
      </c>
      <c r="P888" t="s">
        <v>41</v>
      </c>
      <c r="Q888" t="s">
        <v>49</v>
      </c>
      <c r="R888" t="str">
        <f>"2960001"</f>
        <v>2960001</v>
      </c>
      <c r="S888" t="s">
        <v>1569</v>
      </c>
      <c r="T888" t="s">
        <v>1566</v>
      </c>
      <c r="U888" t="s">
        <v>1567</v>
      </c>
      <c r="V888" t="s">
        <v>1548</v>
      </c>
      <c r="W888" t="s">
        <v>51</v>
      </c>
      <c r="X888" t="s">
        <v>45</v>
      </c>
      <c r="Y888" s="1">
        <v>28523</v>
      </c>
      <c r="Z888">
        <v>2</v>
      </c>
      <c r="AA888" t="s">
        <v>1567</v>
      </c>
      <c r="AB888" s="40" t="s">
        <v>1796</v>
      </c>
    </row>
    <row r="889" spans="1:28" x14ac:dyDescent="0.25">
      <c r="A889">
        <v>99910888</v>
      </c>
      <c r="B889" t="s">
        <v>32</v>
      </c>
      <c r="C889" t="s">
        <v>79</v>
      </c>
      <c r="D889" t="s">
        <v>80</v>
      </c>
      <c r="G889" t="s">
        <v>48</v>
      </c>
      <c r="H889">
        <v>1</v>
      </c>
      <c r="K889" t="s">
        <v>345</v>
      </c>
      <c r="L889" t="s">
        <v>346</v>
      </c>
      <c r="M889" t="s">
        <v>131</v>
      </c>
      <c r="N889">
        <v>12</v>
      </c>
      <c r="P889" t="s">
        <v>41</v>
      </c>
      <c r="Q889" t="s">
        <v>75</v>
      </c>
      <c r="R889" t="str">
        <f>"7054038"</f>
        <v>7054038</v>
      </c>
      <c r="S889" t="s">
        <v>377</v>
      </c>
      <c r="T889" t="s">
        <v>354</v>
      </c>
      <c r="U889" t="s">
        <v>355</v>
      </c>
      <c r="V889" t="s">
        <v>131</v>
      </c>
      <c r="W889" t="s">
        <v>51</v>
      </c>
      <c r="X889" t="s">
        <v>45</v>
      </c>
      <c r="Y889" s="1">
        <v>28491</v>
      </c>
      <c r="Z889">
        <v>2</v>
      </c>
      <c r="AA889" t="s">
        <v>346</v>
      </c>
      <c r="AB889" s="40" t="s">
        <v>1796</v>
      </c>
    </row>
    <row r="890" spans="1:28" x14ac:dyDescent="0.25">
      <c r="A890">
        <v>99910889</v>
      </c>
      <c r="B890" t="s">
        <v>32</v>
      </c>
      <c r="C890" t="s">
        <v>139</v>
      </c>
      <c r="D890" t="s">
        <v>140</v>
      </c>
      <c r="G890" t="s">
        <v>48</v>
      </c>
      <c r="H890">
        <v>1</v>
      </c>
      <c r="K890" t="s">
        <v>1496</v>
      </c>
      <c r="L890" t="s">
        <v>1497</v>
      </c>
      <c r="M890" t="s">
        <v>670</v>
      </c>
      <c r="N890">
        <v>12</v>
      </c>
      <c r="P890" t="s">
        <v>41</v>
      </c>
      <c r="Q890" t="s">
        <v>49</v>
      </c>
      <c r="R890" t="str">
        <f>"5060001"</f>
        <v>5060001</v>
      </c>
      <c r="S890" t="s">
        <v>1499</v>
      </c>
      <c r="T890" t="s">
        <v>1496</v>
      </c>
      <c r="U890" t="s">
        <v>1497</v>
      </c>
      <c r="V890" t="s">
        <v>670</v>
      </c>
      <c r="W890" t="s">
        <v>51</v>
      </c>
      <c r="X890" t="s">
        <v>45</v>
      </c>
      <c r="Y890" s="1">
        <v>28491</v>
      </c>
      <c r="Z890">
        <v>2</v>
      </c>
      <c r="AA890" t="s">
        <v>1497</v>
      </c>
      <c r="AB890" s="40" t="s">
        <v>1796</v>
      </c>
    </row>
    <row r="891" spans="1:28" x14ac:dyDescent="0.25">
      <c r="A891">
        <v>99910890</v>
      </c>
      <c r="B891" t="s">
        <v>32</v>
      </c>
      <c r="C891" t="s">
        <v>139</v>
      </c>
      <c r="D891" t="s">
        <v>140</v>
      </c>
      <c r="G891" t="s">
        <v>35</v>
      </c>
      <c r="H891">
        <v>1</v>
      </c>
      <c r="K891" t="s">
        <v>154</v>
      </c>
      <c r="L891" t="s">
        <v>155</v>
      </c>
      <c r="M891" t="s">
        <v>131</v>
      </c>
      <c r="N891">
        <v>12</v>
      </c>
      <c r="P891" t="s">
        <v>41</v>
      </c>
      <c r="Q891" t="s">
        <v>75</v>
      </c>
      <c r="R891" t="str">
        <f>"7700026"</f>
        <v>7700026</v>
      </c>
      <c r="S891" t="s">
        <v>397</v>
      </c>
      <c r="T891" t="s">
        <v>154</v>
      </c>
      <c r="U891" t="s">
        <v>155</v>
      </c>
      <c r="V891" t="s">
        <v>131</v>
      </c>
      <c r="W891" t="s">
        <v>51</v>
      </c>
      <c r="X891" t="s">
        <v>45</v>
      </c>
      <c r="Y891" s="1">
        <v>28468</v>
      </c>
      <c r="Z891">
        <v>1</v>
      </c>
      <c r="AA891" t="s">
        <v>155</v>
      </c>
      <c r="AB891" s="40" t="s">
        <v>1796</v>
      </c>
    </row>
    <row r="892" spans="1:28" x14ac:dyDescent="0.25">
      <c r="A892">
        <v>99910891</v>
      </c>
      <c r="B892" t="s">
        <v>56</v>
      </c>
      <c r="C892" t="s">
        <v>64</v>
      </c>
      <c r="D892" t="s">
        <v>65</v>
      </c>
      <c r="G892" t="s">
        <v>35</v>
      </c>
      <c r="H892">
        <v>1</v>
      </c>
      <c r="I892">
        <v>0</v>
      </c>
      <c r="J892" s="1">
        <v>43344</v>
      </c>
      <c r="K892" t="s">
        <v>223</v>
      </c>
      <c r="L892" t="s">
        <v>224</v>
      </c>
      <c r="M892" t="s">
        <v>131</v>
      </c>
      <c r="N892">
        <v>12</v>
      </c>
      <c r="O892" s="1">
        <v>43344</v>
      </c>
      <c r="P892" t="s">
        <v>41</v>
      </c>
      <c r="Q892" t="s">
        <v>49</v>
      </c>
      <c r="R892" t="str">
        <f>"0591901"</f>
        <v>0591901</v>
      </c>
      <c r="S892" t="s">
        <v>230</v>
      </c>
      <c r="T892" t="s">
        <v>223</v>
      </c>
      <c r="U892" t="s">
        <v>224</v>
      </c>
      <c r="V892" t="s">
        <v>131</v>
      </c>
      <c r="W892" t="s">
        <v>44</v>
      </c>
      <c r="X892" t="s">
        <v>45</v>
      </c>
      <c r="Y892" s="1">
        <v>28408</v>
      </c>
      <c r="Z892">
        <v>2</v>
      </c>
      <c r="AA892" t="s">
        <v>224</v>
      </c>
      <c r="AB892" s="40" t="s">
        <v>1796</v>
      </c>
    </row>
    <row r="893" spans="1:28" x14ac:dyDescent="0.25">
      <c r="A893">
        <v>99910892</v>
      </c>
      <c r="B893" t="s">
        <v>56</v>
      </c>
      <c r="C893" t="s">
        <v>139</v>
      </c>
      <c r="D893" t="s">
        <v>140</v>
      </c>
      <c r="G893" t="s">
        <v>88</v>
      </c>
      <c r="H893">
        <v>1</v>
      </c>
      <c r="I893" t="s">
        <v>1322</v>
      </c>
      <c r="K893" t="s">
        <v>1306</v>
      </c>
      <c r="L893" t="s">
        <v>1307</v>
      </c>
      <c r="M893" t="s">
        <v>1270</v>
      </c>
      <c r="N893">
        <v>12</v>
      </c>
      <c r="P893" t="s">
        <v>41</v>
      </c>
      <c r="Q893" t="s">
        <v>49</v>
      </c>
      <c r="R893" t="str">
        <f>"1991913"</f>
        <v>1991913</v>
      </c>
      <c r="S893" t="s">
        <v>1310</v>
      </c>
      <c r="T893" t="s">
        <v>1306</v>
      </c>
      <c r="U893" t="s">
        <v>1307</v>
      </c>
      <c r="V893" t="s">
        <v>1270</v>
      </c>
      <c r="W893" t="s">
        <v>51</v>
      </c>
      <c r="X893" t="s">
        <v>45</v>
      </c>
      <c r="Y893" s="1">
        <v>28209</v>
      </c>
      <c r="Z893">
        <v>2</v>
      </c>
      <c r="AA893" t="s">
        <v>1307</v>
      </c>
      <c r="AB893" s="40" t="s">
        <v>1796</v>
      </c>
    </row>
    <row r="894" spans="1:28" x14ac:dyDescent="0.25">
      <c r="A894">
        <v>99910893</v>
      </c>
      <c r="B894" t="s">
        <v>32</v>
      </c>
      <c r="C894" t="s">
        <v>82</v>
      </c>
      <c r="D894" t="s">
        <v>83</v>
      </c>
      <c r="G894" t="s">
        <v>48</v>
      </c>
      <c r="H894">
        <v>1</v>
      </c>
      <c r="K894" t="s">
        <v>157</v>
      </c>
      <c r="L894" t="s">
        <v>158</v>
      </c>
      <c r="M894" t="s">
        <v>131</v>
      </c>
      <c r="N894">
        <v>12</v>
      </c>
      <c r="P894" t="s">
        <v>41</v>
      </c>
      <c r="Q894" t="s">
        <v>42</v>
      </c>
      <c r="R894" t="str">
        <f>"0580735"</f>
        <v>0580735</v>
      </c>
      <c r="S894" t="s">
        <v>180</v>
      </c>
      <c r="T894" t="s">
        <v>157</v>
      </c>
      <c r="U894" t="s">
        <v>158</v>
      </c>
      <c r="V894" t="s">
        <v>131</v>
      </c>
      <c r="W894" t="s">
        <v>51</v>
      </c>
      <c r="X894" t="s">
        <v>45</v>
      </c>
      <c r="Y894" s="1">
        <v>28131</v>
      </c>
      <c r="Z894">
        <v>2</v>
      </c>
      <c r="AA894" t="s">
        <v>158</v>
      </c>
      <c r="AB894" s="40" t="s">
        <v>1796</v>
      </c>
    </row>
    <row r="895" spans="1:28" x14ac:dyDescent="0.25">
      <c r="A895">
        <v>99910894</v>
      </c>
      <c r="B895" t="s">
        <v>32</v>
      </c>
      <c r="C895" t="s">
        <v>64</v>
      </c>
      <c r="D895" t="s">
        <v>65</v>
      </c>
      <c r="G895" t="s">
        <v>48</v>
      </c>
      <c r="H895">
        <v>7</v>
      </c>
      <c r="I895" t="s">
        <v>66</v>
      </c>
      <c r="J895" s="1">
        <v>43344</v>
      </c>
      <c r="K895" t="s">
        <v>37</v>
      </c>
      <c r="L895" t="s">
        <v>38</v>
      </c>
      <c r="M895" t="s">
        <v>39</v>
      </c>
      <c r="N895">
        <v>12</v>
      </c>
      <c r="O895" s="1">
        <v>43344</v>
      </c>
      <c r="P895" t="s">
        <v>41</v>
      </c>
      <c r="Q895" t="s">
        <v>49</v>
      </c>
      <c r="R895" t="str">
        <f>"3781010"</f>
        <v>3781010</v>
      </c>
      <c r="S895" t="s">
        <v>50</v>
      </c>
      <c r="T895" t="s">
        <v>37</v>
      </c>
      <c r="U895" t="s">
        <v>38</v>
      </c>
      <c r="V895" t="s">
        <v>39</v>
      </c>
      <c r="W895" t="s">
        <v>51</v>
      </c>
      <c r="X895" t="s">
        <v>45</v>
      </c>
      <c r="Y895" s="1">
        <v>27929</v>
      </c>
      <c r="Z895">
        <v>2</v>
      </c>
      <c r="AA895" t="s">
        <v>38</v>
      </c>
      <c r="AB895" s="40" t="s">
        <v>1796</v>
      </c>
    </row>
    <row r="896" spans="1:28" x14ac:dyDescent="0.25">
      <c r="A896">
        <v>99910895</v>
      </c>
      <c r="B896" t="s">
        <v>32</v>
      </c>
      <c r="C896" t="s">
        <v>141</v>
      </c>
      <c r="D896" t="s">
        <v>142</v>
      </c>
      <c r="G896" t="s">
        <v>48</v>
      </c>
      <c r="H896">
        <v>3</v>
      </c>
      <c r="K896" t="s">
        <v>1221</v>
      </c>
      <c r="L896" t="s">
        <v>1222</v>
      </c>
      <c r="M896" t="s">
        <v>1130</v>
      </c>
      <c r="N896">
        <v>12</v>
      </c>
      <c r="P896" t="s">
        <v>41</v>
      </c>
      <c r="Q896" t="s">
        <v>75</v>
      </c>
      <c r="R896" t="str">
        <f>"7351000"</f>
        <v>7351000</v>
      </c>
      <c r="S896" t="s">
        <v>1223</v>
      </c>
      <c r="T896" t="s">
        <v>1221</v>
      </c>
      <c r="U896" t="s">
        <v>1222</v>
      </c>
      <c r="V896" t="s">
        <v>1130</v>
      </c>
      <c r="W896" t="s">
        <v>51</v>
      </c>
      <c r="X896" t="s">
        <v>45</v>
      </c>
      <c r="Y896" s="1">
        <v>27861</v>
      </c>
      <c r="Z896">
        <v>1</v>
      </c>
      <c r="AA896" t="s">
        <v>1222</v>
      </c>
      <c r="AB896" s="40" t="s">
        <v>1796</v>
      </c>
    </row>
    <row r="897" spans="1:28" x14ac:dyDescent="0.25">
      <c r="A897">
        <v>99910896</v>
      </c>
      <c r="B897" t="s">
        <v>56</v>
      </c>
      <c r="C897" t="s">
        <v>61</v>
      </c>
      <c r="D897" t="s">
        <v>62</v>
      </c>
      <c r="G897" t="s">
        <v>35</v>
      </c>
      <c r="H897">
        <v>1</v>
      </c>
      <c r="I897" t="s">
        <v>1545</v>
      </c>
      <c r="J897" s="1">
        <v>43374</v>
      </c>
      <c r="K897" t="s">
        <v>667</v>
      </c>
      <c r="L897" t="s">
        <v>669</v>
      </c>
      <c r="M897" t="s">
        <v>670</v>
      </c>
      <c r="N897">
        <v>12</v>
      </c>
      <c r="O897" s="1">
        <v>43374</v>
      </c>
      <c r="P897" t="s">
        <v>41</v>
      </c>
      <c r="Q897" t="s">
        <v>75</v>
      </c>
      <c r="R897" t="str">
        <f>"7501000"</f>
        <v>7501000</v>
      </c>
      <c r="S897" t="s">
        <v>668</v>
      </c>
      <c r="T897" t="s">
        <v>667</v>
      </c>
      <c r="U897" t="s">
        <v>669</v>
      </c>
      <c r="V897" t="s">
        <v>670</v>
      </c>
      <c r="W897" t="s">
        <v>44</v>
      </c>
      <c r="X897" t="s">
        <v>45</v>
      </c>
      <c r="Y897" s="1">
        <v>27690</v>
      </c>
      <c r="Z897">
        <v>1</v>
      </c>
      <c r="AA897" t="s">
        <v>669</v>
      </c>
      <c r="AB897" s="40" t="s">
        <v>1796</v>
      </c>
    </row>
    <row r="898" spans="1:28" x14ac:dyDescent="0.25">
      <c r="A898">
        <v>99910897</v>
      </c>
      <c r="B898" t="s">
        <v>32</v>
      </c>
      <c r="C898" t="s">
        <v>64</v>
      </c>
      <c r="D898" t="s">
        <v>65</v>
      </c>
      <c r="G898" t="s">
        <v>35</v>
      </c>
      <c r="H898">
        <v>1</v>
      </c>
      <c r="K898" t="s">
        <v>947</v>
      </c>
      <c r="L898" t="s">
        <v>948</v>
      </c>
      <c r="M898" t="s">
        <v>938</v>
      </c>
      <c r="N898">
        <v>12</v>
      </c>
      <c r="P898" t="s">
        <v>41</v>
      </c>
      <c r="Q898" t="s">
        <v>42</v>
      </c>
      <c r="R898" t="str">
        <f>"0680039"</f>
        <v>0680039</v>
      </c>
      <c r="S898" t="s">
        <v>949</v>
      </c>
      <c r="T898" t="s">
        <v>947</v>
      </c>
      <c r="U898" t="s">
        <v>948</v>
      </c>
      <c r="V898" t="s">
        <v>938</v>
      </c>
      <c r="W898" t="s">
        <v>51</v>
      </c>
      <c r="X898" t="s">
        <v>45</v>
      </c>
      <c r="Y898" s="1">
        <v>27614</v>
      </c>
      <c r="Z898">
        <v>2</v>
      </c>
      <c r="AA898" t="s">
        <v>948</v>
      </c>
      <c r="AB898" s="40" t="s">
        <v>1796</v>
      </c>
    </row>
    <row r="899" spans="1:28" x14ac:dyDescent="0.25">
      <c r="A899">
        <v>99910898</v>
      </c>
      <c r="B899" t="s">
        <v>56</v>
      </c>
      <c r="C899" t="s">
        <v>33</v>
      </c>
      <c r="D899" t="s">
        <v>34</v>
      </c>
      <c r="G899" t="s">
        <v>35</v>
      </c>
      <c r="H899">
        <v>1</v>
      </c>
      <c r="K899" t="s">
        <v>223</v>
      </c>
      <c r="L899" t="s">
        <v>224</v>
      </c>
      <c r="M899" t="s">
        <v>131</v>
      </c>
      <c r="N899">
        <v>12</v>
      </c>
      <c r="P899" t="s">
        <v>41</v>
      </c>
      <c r="Q899" t="s">
        <v>42</v>
      </c>
      <c r="R899" t="str">
        <f>"0590901"</f>
        <v>0590901</v>
      </c>
      <c r="S899" t="s">
        <v>242</v>
      </c>
      <c r="T899" t="s">
        <v>223</v>
      </c>
      <c r="U899" t="s">
        <v>224</v>
      </c>
      <c r="V899" t="s">
        <v>131</v>
      </c>
      <c r="W899" t="s">
        <v>51</v>
      </c>
      <c r="X899" t="s">
        <v>45</v>
      </c>
      <c r="Y899" s="1">
        <v>27578</v>
      </c>
      <c r="Z899">
        <v>2</v>
      </c>
      <c r="AA899" t="s">
        <v>224</v>
      </c>
      <c r="AB899" s="40" t="s">
        <v>1796</v>
      </c>
    </row>
    <row r="900" spans="1:28" x14ac:dyDescent="0.25">
      <c r="A900">
        <v>99910899</v>
      </c>
      <c r="B900" t="s">
        <v>32</v>
      </c>
      <c r="C900" t="s">
        <v>90</v>
      </c>
      <c r="D900" t="s">
        <v>91</v>
      </c>
      <c r="G900" t="s">
        <v>48</v>
      </c>
      <c r="H900">
        <v>1</v>
      </c>
      <c r="K900" t="s">
        <v>268</v>
      </c>
      <c r="L900" t="s">
        <v>269</v>
      </c>
      <c r="M900" t="s">
        <v>131</v>
      </c>
      <c r="N900">
        <v>12</v>
      </c>
      <c r="P900" t="s">
        <v>41</v>
      </c>
      <c r="Q900" t="s">
        <v>95</v>
      </c>
      <c r="R900" t="str">
        <f>"7052001"</f>
        <v>7052001</v>
      </c>
      <c r="S900" t="s">
        <v>576</v>
      </c>
      <c r="T900" t="s">
        <v>268</v>
      </c>
      <c r="U900" t="s">
        <v>269</v>
      </c>
      <c r="V900" t="s">
        <v>131</v>
      </c>
      <c r="W900" t="s">
        <v>51</v>
      </c>
      <c r="X900" t="s">
        <v>45</v>
      </c>
      <c r="Y900" s="1">
        <v>27117</v>
      </c>
      <c r="Z900">
        <v>1</v>
      </c>
      <c r="AA900" t="s">
        <v>269</v>
      </c>
      <c r="AB900" s="40" t="s">
        <v>1796</v>
      </c>
    </row>
    <row r="901" spans="1:28" x14ac:dyDescent="0.25">
      <c r="A901">
        <v>99910900</v>
      </c>
      <c r="B901" t="s">
        <v>56</v>
      </c>
      <c r="C901" t="s">
        <v>141</v>
      </c>
      <c r="D901" t="s">
        <v>142</v>
      </c>
      <c r="G901" t="s">
        <v>48</v>
      </c>
      <c r="H901">
        <v>1</v>
      </c>
      <c r="K901" t="s">
        <v>300</v>
      </c>
      <c r="L901" t="s">
        <v>301</v>
      </c>
      <c r="M901" t="s">
        <v>131</v>
      </c>
      <c r="N901">
        <v>12</v>
      </c>
      <c r="P901" t="s">
        <v>41</v>
      </c>
      <c r="Q901" t="s">
        <v>49</v>
      </c>
      <c r="R901" t="str">
        <f>"0560020"</f>
        <v>0560020</v>
      </c>
      <c r="S901" t="s">
        <v>302</v>
      </c>
      <c r="T901" t="s">
        <v>300</v>
      </c>
      <c r="U901" t="s">
        <v>301</v>
      </c>
      <c r="V901" t="s">
        <v>131</v>
      </c>
      <c r="W901" t="s">
        <v>51</v>
      </c>
      <c r="X901" t="s">
        <v>45</v>
      </c>
      <c r="Y901" s="1">
        <v>27030</v>
      </c>
      <c r="Z901">
        <v>2</v>
      </c>
      <c r="AA901" t="s">
        <v>301</v>
      </c>
      <c r="AB901" s="40" t="s">
        <v>1796</v>
      </c>
    </row>
    <row r="902" spans="1:28" x14ac:dyDescent="0.25">
      <c r="A902">
        <v>99910901</v>
      </c>
      <c r="B902" t="s">
        <v>32</v>
      </c>
      <c r="C902" t="s">
        <v>139</v>
      </c>
      <c r="D902" t="s">
        <v>140</v>
      </c>
      <c r="G902" t="s">
        <v>35</v>
      </c>
      <c r="H902">
        <v>1</v>
      </c>
      <c r="I902" t="s">
        <v>286</v>
      </c>
      <c r="J902" s="1">
        <v>43344</v>
      </c>
      <c r="K902" t="s">
        <v>268</v>
      </c>
      <c r="L902" t="s">
        <v>269</v>
      </c>
      <c r="M902" t="s">
        <v>131</v>
      </c>
      <c r="N902">
        <v>12</v>
      </c>
      <c r="O902" s="1">
        <v>43344</v>
      </c>
      <c r="P902" t="s">
        <v>41</v>
      </c>
      <c r="Q902" t="s">
        <v>75</v>
      </c>
      <c r="R902" t="str">
        <f>"7052020"</f>
        <v>7052020</v>
      </c>
      <c r="S902" t="s">
        <v>267</v>
      </c>
      <c r="T902" t="s">
        <v>268</v>
      </c>
      <c r="U902" t="s">
        <v>269</v>
      </c>
      <c r="V902" t="s">
        <v>131</v>
      </c>
      <c r="W902" t="s">
        <v>51</v>
      </c>
      <c r="X902" t="s">
        <v>45</v>
      </c>
      <c r="Y902" s="1">
        <v>26856</v>
      </c>
      <c r="Z902">
        <v>1</v>
      </c>
      <c r="AA902" t="s">
        <v>269</v>
      </c>
      <c r="AB902" s="40" t="s">
        <v>1796</v>
      </c>
    </row>
    <row r="903" spans="1:28" x14ac:dyDescent="0.25">
      <c r="A903">
        <v>99910902</v>
      </c>
      <c r="B903" t="s">
        <v>56</v>
      </c>
      <c r="C903" t="s">
        <v>85</v>
      </c>
      <c r="D903" t="s">
        <v>86</v>
      </c>
      <c r="G903" t="s">
        <v>35</v>
      </c>
      <c r="H903">
        <v>1</v>
      </c>
      <c r="I903" t="s">
        <v>1594</v>
      </c>
      <c r="J903" s="1">
        <v>43344</v>
      </c>
      <c r="K903" t="s">
        <v>1590</v>
      </c>
      <c r="L903" t="s">
        <v>1591</v>
      </c>
      <c r="M903" t="s">
        <v>1592</v>
      </c>
      <c r="N903">
        <v>12</v>
      </c>
      <c r="O903" s="1">
        <v>43344</v>
      </c>
      <c r="P903" t="s">
        <v>41</v>
      </c>
      <c r="Q903" t="s">
        <v>49</v>
      </c>
      <c r="R903" t="str">
        <f>"0260001"</f>
        <v>0260001</v>
      </c>
      <c r="S903" t="s">
        <v>1595</v>
      </c>
      <c r="T903" t="s">
        <v>1590</v>
      </c>
      <c r="U903" t="s">
        <v>1591</v>
      </c>
      <c r="V903" t="s">
        <v>1592</v>
      </c>
      <c r="W903" t="s">
        <v>51</v>
      </c>
      <c r="X903" t="s">
        <v>45</v>
      </c>
      <c r="Y903" s="1">
        <v>26826</v>
      </c>
      <c r="Z903">
        <v>2</v>
      </c>
      <c r="AA903" t="s">
        <v>1591</v>
      </c>
      <c r="AB903" s="40" t="s">
        <v>1796</v>
      </c>
    </row>
    <row r="904" spans="1:28" x14ac:dyDescent="0.25">
      <c r="A904">
        <v>99910903</v>
      </c>
      <c r="B904" t="s">
        <v>32</v>
      </c>
      <c r="C904" t="s">
        <v>143</v>
      </c>
      <c r="D904" t="s">
        <v>144</v>
      </c>
      <c r="G904" t="s">
        <v>48</v>
      </c>
      <c r="H904">
        <v>9</v>
      </c>
      <c r="K904" t="s">
        <v>129</v>
      </c>
      <c r="L904" t="s">
        <v>130</v>
      </c>
      <c r="M904" t="s">
        <v>131</v>
      </c>
      <c r="N904">
        <v>12</v>
      </c>
      <c r="O904" s="1">
        <v>38992</v>
      </c>
      <c r="P904" t="s">
        <v>41</v>
      </c>
      <c r="Q904" t="s">
        <v>49</v>
      </c>
      <c r="R904" t="str">
        <f>"0580150"</f>
        <v>0580150</v>
      </c>
      <c r="S904" t="s">
        <v>134</v>
      </c>
      <c r="T904" t="s">
        <v>129</v>
      </c>
      <c r="U904" t="s">
        <v>130</v>
      </c>
      <c r="V904" t="s">
        <v>131</v>
      </c>
      <c r="W904" t="s">
        <v>51</v>
      </c>
      <c r="X904" t="s">
        <v>45</v>
      </c>
      <c r="Y904" s="1">
        <v>26722</v>
      </c>
      <c r="Z904">
        <v>2</v>
      </c>
      <c r="AA904" t="s">
        <v>130</v>
      </c>
      <c r="AB904" s="40" t="s">
        <v>1796</v>
      </c>
    </row>
    <row r="905" spans="1:28" x14ac:dyDescent="0.25">
      <c r="A905">
        <v>99910904</v>
      </c>
      <c r="B905" t="s">
        <v>32</v>
      </c>
      <c r="C905" t="s">
        <v>58</v>
      </c>
      <c r="D905" t="s">
        <v>59</v>
      </c>
      <c r="G905" t="s">
        <v>35</v>
      </c>
      <c r="H905">
        <v>1</v>
      </c>
      <c r="I905">
        <v>11340</v>
      </c>
      <c r="J905" s="1">
        <v>43360</v>
      </c>
      <c r="K905" t="s">
        <v>1325</v>
      </c>
      <c r="L905" t="s">
        <v>1326</v>
      </c>
      <c r="M905" t="s">
        <v>1270</v>
      </c>
      <c r="N905">
        <v>12</v>
      </c>
      <c r="O905" s="1">
        <v>43360</v>
      </c>
      <c r="P905" t="s">
        <v>41</v>
      </c>
      <c r="Q905" t="s">
        <v>42</v>
      </c>
      <c r="R905" t="str">
        <f>"3980100"</f>
        <v>3980100</v>
      </c>
      <c r="S905" t="s">
        <v>1328</v>
      </c>
      <c r="T905" t="s">
        <v>1325</v>
      </c>
      <c r="U905" t="s">
        <v>1326</v>
      </c>
      <c r="V905" t="s">
        <v>1270</v>
      </c>
      <c r="W905" t="s">
        <v>44</v>
      </c>
      <c r="X905" t="s">
        <v>45</v>
      </c>
      <c r="Y905" s="1">
        <v>26665</v>
      </c>
      <c r="Z905">
        <v>2</v>
      </c>
      <c r="AA905" t="s">
        <v>1326</v>
      </c>
      <c r="AB905" s="40" t="s">
        <v>1796</v>
      </c>
    </row>
    <row r="906" spans="1:28" x14ac:dyDescent="0.25">
      <c r="A906">
        <v>99910905</v>
      </c>
      <c r="B906" t="s">
        <v>32</v>
      </c>
      <c r="C906" t="s">
        <v>111</v>
      </c>
      <c r="D906" t="s">
        <v>112</v>
      </c>
      <c r="G906" t="s">
        <v>35</v>
      </c>
      <c r="H906">
        <v>1</v>
      </c>
      <c r="K906" t="s">
        <v>1581</v>
      </c>
      <c r="L906" t="s">
        <v>1582</v>
      </c>
      <c r="M906" t="s">
        <v>1548</v>
      </c>
      <c r="N906">
        <v>12</v>
      </c>
      <c r="P906" t="s">
        <v>41</v>
      </c>
      <c r="Q906" t="s">
        <v>75</v>
      </c>
      <c r="R906" t="str">
        <f>"7291002"</f>
        <v>7291002</v>
      </c>
      <c r="S906" t="s">
        <v>1583</v>
      </c>
      <c r="T906" t="s">
        <v>1581</v>
      </c>
      <c r="U906" t="s">
        <v>1582</v>
      </c>
      <c r="V906" t="s">
        <v>1548</v>
      </c>
      <c r="W906" t="s">
        <v>51</v>
      </c>
      <c r="X906" t="s">
        <v>45</v>
      </c>
      <c r="Y906" s="1">
        <v>26624</v>
      </c>
      <c r="Z906">
        <v>1</v>
      </c>
      <c r="AA906" t="s">
        <v>1582</v>
      </c>
      <c r="AB906" s="40" t="s">
        <v>1796</v>
      </c>
    </row>
    <row r="907" spans="1:28" x14ac:dyDescent="0.25">
      <c r="A907">
        <v>99910906</v>
      </c>
      <c r="B907" t="s">
        <v>32</v>
      </c>
      <c r="C907" t="s">
        <v>141</v>
      </c>
      <c r="D907" t="s">
        <v>142</v>
      </c>
      <c r="G907" t="s">
        <v>48</v>
      </c>
      <c r="H907">
        <v>4</v>
      </c>
      <c r="K907" t="s">
        <v>1426</v>
      </c>
      <c r="L907" t="s">
        <v>1427</v>
      </c>
      <c r="M907" t="s">
        <v>1270</v>
      </c>
      <c r="N907">
        <v>12</v>
      </c>
      <c r="P907" t="s">
        <v>41</v>
      </c>
      <c r="Q907" t="s">
        <v>75</v>
      </c>
      <c r="R907" t="str">
        <f>"7192004"</f>
        <v>7192004</v>
      </c>
      <c r="S907" t="s">
        <v>1428</v>
      </c>
      <c r="T907" t="s">
        <v>1426</v>
      </c>
      <c r="U907" t="s">
        <v>1427</v>
      </c>
      <c r="V907" t="s">
        <v>1270</v>
      </c>
      <c r="W907" t="s">
        <v>51</v>
      </c>
      <c r="X907" t="s">
        <v>45</v>
      </c>
      <c r="Y907" s="1">
        <v>26305</v>
      </c>
      <c r="Z907">
        <v>1</v>
      </c>
      <c r="AA907" t="s">
        <v>1427</v>
      </c>
      <c r="AB907" s="40" t="s">
        <v>1796</v>
      </c>
    </row>
    <row r="908" spans="1:28" x14ac:dyDescent="0.25">
      <c r="A908">
        <v>99910907</v>
      </c>
      <c r="B908" t="s">
        <v>56</v>
      </c>
      <c r="C908" t="s">
        <v>52</v>
      </c>
      <c r="D908" t="s">
        <v>53</v>
      </c>
      <c r="G908" t="s">
        <v>48</v>
      </c>
      <c r="H908">
        <v>1</v>
      </c>
      <c r="K908" t="s">
        <v>157</v>
      </c>
      <c r="L908" t="s">
        <v>158</v>
      </c>
      <c r="M908" t="s">
        <v>131</v>
      </c>
      <c r="N908">
        <v>12</v>
      </c>
      <c r="P908" t="s">
        <v>41</v>
      </c>
      <c r="Q908" t="s">
        <v>42</v>
      </c>
      <c r="R908" t="str">
        <f>"0580735"</f>
        <v>0580735</v>
      </c>
      <c r="S908" t="s">
        <v>180</v>
      </c>
      <c r="T908" t="s">
        <v>157</v>
      </c>
      <c r="U908" t="s">
        <v>158</v>
      </c>
      <c r="V908" t="s">
        <v>131</v>
      </c>
      <c r="W908" t="s">
        <v>51</v>
      </c>
      <c r="X908" t="s">
        <v>45</v>
      </c>
      <c r="Y908" s="1">
        <v>26299</v>
      </c>
      <c r="Z908">
        <v>2</v>
      </c>
      <c r="AA908" t="s">
        <v>158</v>
      </c>
      <c r="AB908" s="40" t="s">
        <v>1796</v>
      </c>
    </row>
    <row r="909" spans="1:28" x14ac:dyDescent="0.25">
      <c r="A909">
        <v>99910908</v>
      </c>
      <c r="B909" t="s">
        <v>56</v>
      </c>
      <c r="C909" t="s">
        <v>52</v>
      </c>
      <c r="D909" t="s">
        <v>53</v>
      </c>
      <c r="G909" t="s">
        <v>35</v>
      </c>
      <c r="H909">
        <v>1</v>
      </c>
      <c r="I909">
        <v>22913</v>
      </c>
      <c r="J909" s="1">
        <v>43344</v>
      </c>
      <c r="K909" t="s">
        <v>223</v>
      </c>
      <c r="L909" t="s">
        <v>224</v>
      </c>
      <c r="M909" t="s">
        <v>131</v>
      </c>
      <c r="N909">
        <v>12</v>
      </c>
      <c r="O909" s="1">
        <v>43344</v>
      </c>
      <c r="P909" t="s">
        <v>41</v>
      </c>
      <c r="Q909" t="s">
        <v>42</v>
      </c>
      <c r="R909" t="str">
        <f>"0561014"</f>
        <v>0561014</v>
      </c>
      <c r="S909" t="s">
        <v>264</v>
      </c>
      <c r="T909" t="s">
        <v>223</v>
      </c>
      <c r="U909" t="s">
        <v>224</v>
      </c>
      <c r="V909" t="s">
        <v>131</v>
      </c>
      <c r="W909" t="s">
        <v>44</v>
      </c>
      <c r="X909" t="s">
        <v>45</v>
      </c>
      <c r="Y909" s="1">
        <v>25934</v>
      </c>
      <c r="Z909">
        <v>2</v>
      </c>
      <c r="AA909" t="s">
        <v>224</v>
      </c>
      <c r="AB909" s="40" t="s">
        <v>1796</v>
      </c>
    </row>
    <row r="910" spans="1:28" x14ac:dyDescent="0.25">
      <c r="A910">
        <v>99910909</v>
      </c>
      <c r="B910" t="s">
        <v>56</v>
      </c>
      <c r="C910" t="s">
        <v>79</v>
      </c>
      <c r="D910" t="s">
        <v>80</v>
      </c>
      <c r="G910" t="s">
        <v>48</v>
      </c>
      <c r="H910">
        <v>1</v>
      </c>
      <c r="K910" t="s">
        <v>223</v>
      </c>
      <c r="L910" t="s">
        <v>224</v>
      </c>
      <c r="M910" t="s">
        <v>131</v>
      </c>
      <c r="N910">
        <v>12</v>
      </c>
      <c r="P910" t="s">
        <v>41</v>
      </c>
      <c r="Q910" t="s">
        <v>42</v>
      </c>
      <c r="R910" t="str">
        <f>"0580204"</f>
        <v>0580204</v>
      </c>
      <c r="S910" t="s">
        <v>235</v>
      </c>
      <c r="T910" t="s">
        <v>223</v>
      </c>
      <c r="U910" t="s">
        <v>224</v>
      </c>
      <c r="V910" t="s">
        <v>131</v>
      </c>
      <c r="W910" t="s">
        <v>51</v>
      </c>
      <c r="X910" t="s">
        <v>45</v>
      </c>
      <c r="Y910" s="1">
        <v>25934</v>
      </c>
      <c r="Z910">
        <v>2</v>
      </c>
      <c r="AA910" t="s">
        <v>224</v>
      </c>
      <c r="AB910" s="40" t="s">
        <v>1796</v>
      </c>
    </row>
    <row r="911" spans="1:28" x14ac:dyDescent="0.25">
      <c r="A911">
        <v>99910910</v>
      </c>
      <c r="B911" t="s">
        <v>32</v>
      </c>
      <c r="C911" t="s">
        <v>141</v>
      </c>
      <c r="D911" t="s">
        <v>142</v>
      </c>
      <c r="G911" t="s">
        <v>48</v>
      </c>
      <c r="H911">
        <v>1</v>
      </c>
      <c r="K911" t="s">
        <v>154</v>
      </c>
      <c r="L911" t="s">
        <v>155</v>
      </c>
      <c r="M911" t="s">
        <v>131</v>
      </c>
      <c r="N911">
        <v>12</v>
      </c>
      <c r="P911" t="s">
        <v>41</v>
      </c>
      <c r="Q911" t="s">
        <v>75</v>
      </c>
      <c r="R911" t="str">
        <f>"7051002"</f>
        <v>7051002</v>
      </c>
      <c r="S911" t="s">
        <v>395</v>
      </c>
      <c r="T911" t="s">
        <v>154</v>
      </c>
      <c r="U911" t="s">
        <v>155</v>
      </c>
      <c r="V911" t="s">
        <v>131</v>
      </c>
      <c r="W911" t="s">
        <v>51</v>
      </c>
      <c r="X911" t="s">
        <v>45</v>
      </c>
      <c r="Y911" s="1">
        <v>25934</v>
      </c>
      <c r="Z911">
        <v>1</v>
      </c>
      <c r="AA911" t="s">
        <v>155</v>
      </c>
      <c r="AB911" s="40" t="s">
        <v>1796</v>
      </c>
    </row>
    <row r="912" spans="1:28" x14ac:dyDescent="0.25">
      <c r="A912">
        <v>99910911</v>
      </c>
      <c r="B912" t="s">
        <v>32</v>
      </c>
      <c r="C912" t="s">
        <v>139</v>
      </c>
      <c r="D912" t="s">
        <v>140</v>
      </c>
      <c r="G912" t="s">
        <v>48</v>
      </c>
      <c r="H912">
        <v>1</v>
      </c>
      <c r="K912" t="s">
        <v>1187</v>
      </c>
      <c r="L912" t="s">
        <v>1188</v>
      </c>
      <c r="M912" t="s">
        <v>1130</v>
      </c>
      <c r="N912">
        <v>12</v>
      </c>
      <c r="P912" t="s">
        <v>41</v>
      </c>
      <c r="Q912" t="s">
        <v>49</v>
      </c>
      <c r="R912" t="str">
        <f>"4581015"</f>
        <v>4581015</v>
      </c>
      <c r="S912" t="s">
        <v>1190</v>
      </c>
      <c r="T912" t="s">
        <v>1187</v>
      </c>
      <c r="U912" t="s">
        <v>1188</v>
      </c>
      <c r="V912" t="s">
        <v>1130</v>
      </c>
      <c r="W912" t="s">
        <v>51</v>
      </c>
      <c r="X912" t="s">
        <v>45</v>
      </c>
      <c r="Y912" s="1">
        <v>25934</v>
      </c>
      <c r="Z912">
        <v>2</v>
      </c>
      <c r="AA912" t="s">
        <v>1188</v>
      </c>
      <c r="AB912" s="40" t="s">
        <v>1796</v>
      </c>
    </row>
    <row r="913" spans="1:28" x14ac:dyDescent="0.25">
      <c r="A913">
        <v>99910912</v>
      </c>
      <c r="B913" t="s">
        <v>32</v>
      </c>
      <c r="C913" t="s">
        <v>64</v>
      </c>
      <c r="D913" t="s">
        <v>65</v>
      </c>
      <c r="G913" t="s">
        <v>48</v>
      </c>
      <c r="H913">
        <v>1</v>
      </c>
      <c r="K913" t="s">
        <v>154</v>
      </c>
      <c r="L913" t="s">
        <v>155</v>
      </c>
      <c r="M913" t="s">
        <v>131</v>
      </c>
      <c r="N913">
        <v>12</v>
      </c>
      <c r="P913" t="s">
        <v>41</v>
      </c>
      <c r="Q913" t="s">
        <v>75</v>
      </c>
      <c r="R913" t="str">
        <f>"7051002"</f>
        <v>7051002</v>
      </c>
      <c r="S913" t="s">
        <v>395</v>
      </c>
      <c r="T913" t="s">
        <v>154</v>
      </c>
      <c r="U913" t="s">
        <v>155</v>
      </c>
      <c r="V913" t="s">
        <v>131</v>
      </c>
      <c r="W913" t="s">
        <v>51</v>
      </c>
      <c r="X913" t="s">
        <v>45</v>
      </c>
      <c r="Y913" s="1">
        <v>25847</v>
      </c>
      <c r="Z913">
        <v>1</v>
      </c>
      <c r="AA913" t="s">
        <v>155</v>
      </c>
      <c r="AB913" s="40" t="s">
        <v>1796</v>
      </c>
    </row>
    <row r="914" spans="1:28" x14ac:dyDescent="0.25">
      <c r="A914">
        <v>99910913</v>
      </c>
      <c r="B914" t="s">
        <v>32</v>
      </c>
      <c r="C914" t="s">
        <v>64</v>
      </c>
      <c r="D914" t="s">
        <v>65</v>
      </c>
      <c r="G914" t="s">
        <v>48</v>
      </c>
      <c r="H914">
        <v>1</v>
      </c>
      <c r="K914" t="s">
        <v>162</v>
      </c>
      <c r="L914" t="s">
        <v>158</v>
      </c>
      <c r="M914" t="s">
        <v>131</v>
      </c>
      <c r="N914">
        <v>12</v>
      </c>
      <c r="P914" t="s">
        <v>41</v>
      </c>
      <c r="Q914" t="s">
        <v>42</v>
      </c>
      <c r="R914" t="str">
        <f>"0580330"</f>
        <v>0580330</v>
      </c>
      <c r="S914" t="s">
        <v>176</v>
      </c>
      <c r="T914" t="s">
        <v>162</v>
      </c>
      <c r="U914" t="s">
        <v>158</v>
      </c>
      <c r="V914" t="s">
        <v>131</v>
      </c>
      <c r="W914" t="s">
        <v>51</v>
      </c>
      <c r="X914" t="s">
        <v>45</v>
      </c>
      <c r="Y914" s="1">
        <v>25844</v>
      </c>
      <c r="Z914">
        <v>2</v>
      </c>
      <c r="AA914" t="s">
        <v>158</v>
      </c>
      <c r="AB914" s="40" t="s">
        <v>1796</v>
      </c>
    </row>
    <row r="915" spans="1:28" x14ac:dyDescent="0.25">
      <c r="A915">
        <v>99910914</v>
      </c>
      <c r="B915" t="s">
        <v>56</v>
      </c>
      <c r="C915" t="s">
        <v>68</v>
      </c>
      <c r="D915" t="s">
        <v>69</v>
      </c>
      <c r="G915" t="s">
        <v>48</v>
      </c>
      <c r="H915">
        <v>11</v>
      </c>
      <c r="K915" t="s">
        <v>1051</v>
      </c>
      <c r="L915" t="s">
        <v>1052</v>
      </c>
      <c r="M915" t="s">
        <v>1053</v>
      </c>
      <c r="N915">
        <v>12</v>
      </c>
      <c r="P915" t="s">
        <v>41</v>
      </c>
      <c r="Q915" t="s">
        <v>42</v>
      </c>
      <c r="R915" t="str">
        <f>"2061001"</f>
        <v>2061001</v>
      </c>
      <c r="S915" t="s">
        <v>1058</v>
      </c>
      <c r="T915" t="s">
        <v>1051</v>
      </c>
      <c r="U915" t="s">
        <v>1052</v>
      </c>
      <c r="V915" t="s">
        <v>1053</v>
      </c>
      <c r="W915" t="s">
        <v>51</v>
      </c>
      <c r="X915" t="s">
        <v>45</v>
      </c>
      <c r="Y915" s="1">
        <v>25332</v>
      </c>
      <c r="Z915">
        <v>2</v>
      </c>
      <c r="AA915" t="s">
        <v>1052</v>
      </c>
      <c r="AB915" s="40" t="s">
        <v>1796</v>
      </c>
    </row>
    <row r="916" spans="1:28" x14ac:dyDescent="0.25">
      <c r="A916">
        <v>99910915</v>
      </c>
      <c r="B916" t="s">
        <v>32</v>
      </c>
      <c r="C916" t="s">
        <v>111</v>
      </c>
      <c r="D916" t="s">
        <v>112</v>
      </c>
      <c r="G916" t="s">
        <v>48</v>
      </c>
      <c r="H916">
        <v>1</v>
      </c>
      <c r="I916" t="s">
        <v>1465</v>
      </c>
      <c r="J916" s="1">
        <v>42311</v>
      </c>
      <c r="K916" t="s">
        <v>1334</v>
      </c>
      <c r="L916" t="s">
        <v>1335</v>
      </c>
      <c r="M916" t="s">
        <v>1270</v>
      </c>
      <c r="N916">
        <v>12</v>
      </c>
      <c r="O916" s="1">
        <v>42311</v>
      </c>
      <c r="P916" t="s">
        <v>41</v>
      </c>
      <c r="Q916" t="s">
        <v>75</v>
      </c>
      <c r="R916" t="str">
        <f>"7391000"</f>
        <v>7391000</v>
      </c>
      <c r="S916" t="s">
        <v>1333</v>
      </c>
      <c r="T916" t="s">
        <v>1334</v>
      </c>
      <c r="U916" t="s">
        <v>1335</v>
      </c>
      <c r="V916" t="s">
        <v>1270</v>
      </c>
      <c r="W916" t="s">
        <v>51</v>
      </c>
      <c r="X916" t="s">
        <v>45</v>
      </c>
      <c r="Y916" s="1">
        <v>25304</v>
      </c>
      <c r="Z916">
        <v>1</v>
      </c>
      <c r="AA916" t="s">
        <v>1335</v>
      </c>
      <c r="AB916" s="40" t="s">
        <v>1796</v>
      </c>
    </row>
    <row r="917" spans="1:28" x14ac:dyDescent="0.25">
      <c r="A917">
        <v>99910916</v>
      </c>
      <c r="B917" t="s">
        <v>32</v>
      </c>
      <c r="C917" t="s">
        <v>111</v>
      </c>
      <c r="D917" t="s">
        <v>112</v>
      </c>
      <c r="G917" t="s">
        <v>48</v>
      </c>
      <c r="H917">
        <v>1</v>
      </c>
      <c r="K917" t="s">
        <v>1198</v>
      </c>
      <c r="L917" t="s">
        <v>1199</v>
      </c>
      <c r="M917" t="s">
        <v>1130</v>
      </c>
      <c r="N917">
        <v>12</v>
      </c>
      <c r="P917" t="s">
        <v>41</v>
      </c>
      <c r="Q917" t="s">
        <v>75</v>
      </c>
      <c r="R917" t="str">
        <f>"7311006"</f>
        <v>7311006</v>
      </c>
      <c r="S917" t="s">
        <v>1200</v>
      </c>
      <c r="T917" t="s">
        <v>1198</v>
      </c>
      <c r="U917" t="s">
        <v>1199</v>
      </c>
      <c r="V917" t="s">
        <v>1130</v>
      </c>
      <c r="W917" t="s">
        <v>51</v>
      </c>
      <c r="X917" t="s">
        <v>45</v>
      </c>
      <c r="Y917" s="1">
        <v>25267</v>
      </c>
      <c r="Z917">
        <v>1</v>
      </c>
      <c r="AA917" t="s">
        <v>1199</v>
      </c>
      <c r="AB917" s="40" t="s">
        <v>1796</v>
      </c>
    </row>
    <row r="918" spans="1:28" x14ac:dyDescent="0.25">
      <c r="A918">
        <v>99910917</v>
      </c>
      <c r="B918" t="s">
        <v>56</v>
      </c>
      <c r="C918" t="s">
        <v>64</v>
      </c>
      <c r="D918" t="s">
        <v>65</v>
      </c>
      <c r="G918" t="s">
        <v>48</v>
      </c>
      <c r="H918">
        <v>1</v>
      </c>
      <c r="K918" t="s">
        <v>877</v>
      </c>
      <c r="L918" t="s">
        <v>878</v>
      </c>
      <c r="M918" t="s">
        <v>131</v>
      </c>
      <c r="N918">
        <v>12</v>
      </c>
      <c r="P918" t="s">
        <v>41</v>
      </c>
      <c r="Q918" t="s">
        <v>75</v>
      </c>
      <c r="R918" t="str">
        <f>"7541026"</f>
        <v>7541026</v>
      </c>
      <c r="S918" t="s">
        <v>894</v>
      </c>
      <c r="T918" t="s">
        <v>877</v>
      </c>
      <c r="U918" t="s">
        <v>878</v>
      </c>
      <c r="V918" t="s">
        <v>131</v>
      </c>
      <c r="W918" t="s">
        <v>51</v>
      </c>
      <c r="X918" t="s">
        <v>45</v>
      </c>
      <c r="Y918" s="1">
        <v>25239</v>
      </c>
      <c r="Z918">
        <v>1</v>
      </c>
      <c r="AA918" t="s">
        <v>878</v>
      </c>
      <c r="AB918" s="40" t="s">
        <v>1796</v>
      </c>
    </row>
    <row r="919" spans="1:28" x14ac:dyDescent="0.25">
      <c r="A919">
        <v>99910918</v>
      </c>
      <c r="B919" t="s">
        <v>32</v>
      </c>
      <c r="C919" t="s">
        <v>46</v>
      </c>
      <c r="D919" t="s">
        <v>47</v>
      </c>
      <c r="G919" t="s">
        <v>35</v>
      </c>
      <c r="H919">
        <v>1</v>
      </c>
      <c r="K919" t="s">
        <v>300</v>
      </c>
      <c r="L919" t="s">
        <v>301</v>
      </c>
      <c r="M919" t="s">
        <v>131</v>
      </c>
      <c r="N919">
        <v>12</v>
      </c>
      <c r="P919" t="s">
        <v>41</v>
      </c>
      <c r="Q919" t="s">
        <v>49</v>
      </c>
      <c r="R919" t="str">
        <f>"0560002"</f>
        <v>0560002</v>
      </c>
      <c r="S919" t="s">
        <v>315</v>
      </c>
      <c r="T919" t="s">
        <v>300</v>
      </c>
      <c r="U919" t="s">
        <v>301</v>
      </c>
      <c r="V919" t="s">
        <v>131</v>
      </c>
      <c r="W919" t="s">
        <v>165</v>
      </c>
      <c r="X919" t="s">
        <v>45</v>
      </c>
      <c r="Y919" s="1">
        <v>24943</v>
      </c>
      <c r="Z919">
        <v>2</v>
      </c>
      <c r="AA919" t="s">
        <v>301</v>
      </c>
      <c r="AB919" s="40" t="s">
        <v>1796</v>
      </c>
    </row>
    <row r="920" spans="1:28" x14ac:dyDescent="0.25">
      <c r="A920">
        <v>99910919</v>
      </c>
      <c r="B920" t="s">
        <v>56</v>
      </c>
      <c r="C920" t="s">
        <v>111</v>
      </c>
      <c r="D920" t="s">
        <v>112</v>
      </c>
      <c r="G920" t="s">
        <v>48</v>
      </c>
      <c r="H920">
        <v>1</v>
      </c>
      <c r="K920" t="s">
        <v>667</v>
      </c>
      <c r="L920" t="s">
        <v>669</v>
      </c>
      <c r="M920" t="s">
        <v>670</v>
      </c>
      <c r="N920">
        <v>12</v>
      </c>
      <c r="P920" t="s">
        <v>41</v>
      </c>
      <c r="Q920" t="s">
        <v>75</v>
      </c>
      <c r="R920" t="str">
        <f>"7501002"</f>
        <v>7501002</v>
      </c>
      <c r="S920" t="s">
        <v>1519</v>
      </c>
      <c r="T920" t="s">
        <v>667</v>
      </c>
      <c r="U920" t="s">
        <v>669</v>
      </c>
      <c r="V920" t="s">
        <v>670</v>
      </c>
      <c r="W920" t="s">
        <v>51</v>
      </c>
      <c r="X920" t="s">
        <v>45</v>
      </c>
      <c r="Y920" s="1">
        <v>24935</v>
      </c>
      <c r="Z920">
        <v>1</v>
      </c>
      <c r="AA920" t="s">
        <v>669</v>
      </c>
      <c r="AB920" s="40" t="s">
        <v>1796</v>
      </c>
    </row>
    <row r="921" spans="1:28" x14ac:dyDescent="0.25">
      <c r="A921">
        <v>99910920</v>
      </c>
      <c r="B921" t="s">
        <v>32</v>
      </c>
      <c r="C921" t="s">
        <v>46</v>
      </c>
      <c r="D921" t="s">
        <v>47</v>
      </c>
      <c r="G921" t="s">
        <v>35</v>
      </c>
      <c r="H921">
        <v>1</v>
      </c>
      <c r="K921" t="s">
        <v>223</v>
      </c>
      <c r="L921" t="s">
        <v>224</v>
      </c>
      <c r="M921" t="s">
        <v>131</v>
      </c>
      <c r="N921">
        <v>12</v>
      </c>
      <c r="P921" t="s">
        <v>41</v>
      </c>
      <c r="Q921" t="s">
        <v>42</v>
      </c>
      <c r="R921" t="str">
        <f>"0590903"</f>
        <v>0590903</v>
      </c>
      <c r="S921" t="s">
        <v>226</v>
      </c>
      <c r="T921" t="s">
        <v>223</v>
      </c>
      <c r="U921" t="s">
        <v>224</v>
      </c>
      <c r="V921" t="s">
        <v>131</v>
      </c>
      <c r="W921" t="s">
        <v>51</v>
      </c>
      <c r="X921" t="s">
        <v>45</v>
      </c>
      <c r="Y921" s="1">
        <v>24926</v>
      </c>
      <c r="Z921">
        <v>2</v>
      </c>
      <c r="AA921" t="s">
        <v>224</v>
      </c>
      <c r="AB921" s="40" t="s">
        <v>1796</v>
      </c>
    </row>
    <row r="922" spans="1:28" x14ac:dyDescent="0.25">
      <c r="A922">
        <v>99910921</v>
      </c>
      <c r="B922" t="s">
        <v>32</v>
      </c>
      <c r="C922" t="s">
        <v>46</v>
      </c>
      <c r="D922" t="s">
        <v>47</v>
      </c>
      <c r="G922" t="s">
        <v>48</v>
      </c>
      <c r="H922">
        <v>1</v>
      </c>
      <c r="K922" t="s">
        <v>223</v>
      </c>
      <c r="L922" t="s">
        <v>224</v>
      </c>
      <c r="M922" t="s">
        <v>131</v>
      </c>
      <c r="N922">
        <v>12</v>
      </c>
      <c r="P922" t="s">
        <v>41</v>
      </c>
      <c r="Q922" t="s">
        <v>49</v>
      </c>
      <c r="R922" t="str">
        <f>"0581200"</f>
        <v>0581200</v>
      </c>
      <c r="S922" t="s">
        <v>238</v>
      </c>
      <c r="T922" t="s">
        <v>223</v>
      </c>
      <c r="U922" t="s">
        <v>224</v>
      </c>
      <c r="V922" t="s">
        <v>131</v>
      </c>
      <c r="W922" t="s">
        <v>51</v>
      </c>
      <c r="X922" t="s">
        <v>45</v>
      </c>
      <c r="Y922" s="1">
        <v>24890</v>
      </c>
      <c r="Z922">
        <v>2</v>
      </c>
      <c r="AA922" t="s">
        <v>224</v>
      </c>
      <c r="AB922" s="40" t="s">
        <v>1796</v>
      </c>
    </row>
    <row r="923" spans="1:28" x14ac:dyDescent="0.25">
      <c r="A923">
        <v>99910922</v>
      </c>
      <c r="B923" t="s">
        <v>32</v>
      </c>
      <c r="C923" t="s">
        <v>111</v>
      </c>
      <c r="D923" t="s">
        <v>112</v>
      </c>
      <c r="G923" t="s">
        <v>35</v>
      </c>
      <c r="H923">
        <v>1</v>
      </c>
      <c r="K923" t="s">
        <v>154</v>
      </c>
      <c r="L923" t="s">
        <v>155</v>
      </c>
      <c r="M923" t="s">
        <v>131</v>
      </c>
      <c r="N923">
        <v>12</v>
      </c>
      <c r="P923" t="s">
        <v>41</v>
      </c>
      <c r="Q923" t="s">
        <v>75</v>
      </c>
      <c r="R923" t="str">
        <f>"7051032"</f>
        <v>7051032</v>
      </c>
      <c r="S923" t="s">
        <v>400</v>
      </c>
      <c r="T923" t="s">
        <v>154</v>
      </c>
      <c r="U923" t="s">
        <v>155</v>
      </c>
      <c r="V923" t="s">
        <v>131</v>
      </c>
      <c r="W923" t="s">
        <v>51</v>
      </c>
      <c r="X923" t="s">
        <v>45</v>
      </c>
      <c r="Y923" s="1">
        <v>24780</v>
      </c>
      <c r="Z923">
        <v>1</v>
      </c>
      <c r="AA923" t="s">
        <v>155</v>
      </c>
      <c r="AB923" s="40" t="s">
        <v>1796</v>
      </c>
    </row>
    <row r="924" spans="1:28" x14ac:dyDescent="0.25">
      <c r="A924">
        <v>99910923</v>
      </c>
      <c r="B924" t="s">
        <v>56</v>
      </c>
      <c r="C924" t="s">
        <v>68</v>
      </c>
      <c r="D924" t="s">
        <v>69</v>
      </c>
      <c r="G924" t="s">
        <v>35</v>
      </c>
      <c r="H924">
        <v>1</v>
      </c>
      <c r="I924">
        <v>21868</v>
      </c>
      <c r="J924" s="1">
        <v>43344</v>
      </c>
      <c r="K924" t="s">
        <v>380</v>
      </c>
      <c r="L924" t="s">
        <v>381</v>
      </c>
      <c r="M924" t="s">
        <v>131</v>
      </c>
      <c r="N924">
        <v>12</v>
      </c>
      <c r="O924" s="1">
        <v>43344</v>
      </c>
      <c r="P924" t="s">
        <v>41</v>
      </c>
      <c r="Q924" t="s">
        <v>42</v>
      </c>
      <c r="R924" t="str">
        <f>"0590908"</f>
        <v>0590908</v>
      </c>
      <c r="S924" t="s">
        <v>382</v>
      </c>
      <c r="T924" t="s">
        <v>380</v>
      </c>
      <c r="U924" t="s">
        <v>381</v>
      </c>
      <c r="V924" t="s">
        <v>131</v>
      </c>
      <c r="W924" t="s">
        <v>44</v>
      </c>
      <c r="X924" t="s">
        <v>45</v>
      </c>
      <c r="Y924" s="1">
        <v>24574</v>
      </c>
      <c r="Z924">
        <v>2</v>
      </c>
      <c r="AA924" t="s">
        <v>381</v>
      </c>
      <c r="AB924" s="40" t="s">
        <v>1796</v>
      </c>
    </row>
    <row r="925" spans="1:28" x14ac:dyDescent="0.25">
      <c r="A925">
        <v>99910924</v>
      </c>
      <c r="B925" t="s">
        <v>56</v>
      </c>
      <c r="C925" t="s">
        <v>79</v>
      </c>
      <c r="D925" t="s">
        <v>80</v>
      </c>
      <c r="G925" t="s">
        <v>35</v>
      </c>
      <c r="H925">
        <v>1</v>
      </c>
      <c r="I925">
        <v>14194</v>
      </c>
      <c r="J925" s="1">
        <v>43344</v>
      </c>
      <c r="K925" t="s">
        <v>354</v>
      </c>
      <c r="L925" t="s">
        <v>355</v>
      </c>
      <c r="M925" t="s">
        <v>131</v>
      </c>
      <c r="N925">
        <v>12</v>
      </c>
      <c r="O925" s="1">
        <v>43344</v>
      </c>
      <c r="P925" t="s">
        <v>41</v>
      </c>
      <c r="Q925" t="s">
        <v>75</v>
      </c>
      <c r="R925" t="str">
        <f>"7054028"</f>
        <v>7054028</v>
      </c>
      <c r="S925" t="s">
        <v>788</v>
      </c>
      <c r="T925" t="s">
        <v>354</v>
      </c>
      <c r="U925" t="s">
        <v>355</v>
      </c>
      <c r="V925" t="s">
        <v>131</v>
      </c>
      <c r="W925" t="s">
        <v>51</v>
      </c>
      <c r="X925" t="s">
        <v>45</v>
      </c>
      <c r="Y925" s="1">
        <v>24473</v>
      </c>
      <c r="Z925">
        <v>1</v>
      </c>
      <c r="AA925" t="s">
        <v>355</v>
      </c>
      <c r="AB925" s="40" t="s">
        <v>1796</v>
      </c>
    </row>
    <row r="926" spans="1:28" x14ac:dyDescent="0.25">
      <c r="A926">
        <v>99910925</v>
      </c>
      <c r="B926" t="s">
        <v>56</v>
      </c>
      <c r="C926" t="s">
        <v>85</v>
      </c>
      <c r="D926" t="s">
        <v>86</v>
      </c>
      <c r="G926" t="s">
        <v>48</v>
      </c>
      <c r="H926">
        <v>1</v>
      </c>
      <c r="K926" t="s">
        <v>936</v>
      </c>
      <c r="L926" t="s">
        <v>937</v>
      </c>
      <c r="M926" t="s">
        <v>938</v>
      </c>
      <c r="N926">
        <v>12</v>
      </c>
      <c r="P926" t="s">
        <v>41</v>
      </c>
      <c r="Q926" t="s">
        <v>49</v>
      </c>
      <c r="R926" t="str">
        <f>"0180017"</f>
        <v>0180017</v>
      </c>
      <c r="S926" t="s">
        <v>943</v>
      </c>
      <c r="T926" t="s">
        <v>936</v>
      </c>
      <c r="U926" t="s">
        <v>937</v>
      </c>
      <c r="V926" t="s">
        <v>938</v>
      </c>
      <c r="W926" t="s">
        <v>51</v>
      </c>
      <c r="X926" t="s">
        <v>45</v>
      </c>
      <c r="Y926" s="1">
        <v>24405</v>
      </c>
      <c r="Z926">
        <v>2</v>
      </c>
      <c r="AA926" t="s">
        <v>937</v>
      </c>
      <c r="AB926" s="40" t="s">
        <v>1796</v>
      </c>
    </row>
    <row r="927" spans="1:28" x14ac:dyDescent="0.25">
      <c r="A927">
        <v>99910926</v>
      </c>
      <c r="B927" t="s">
        <v>32</v>
      </c>
      <c r="C927" t="s">
        <v>139</v>
      </c>
      <c r="D927" t="s">
        <v>140</v>
      </c>
      <c r="G927" t="s">
        <v>35</v>
      </c>
      <c r="H927">
        <v>1</v>
      </c>
      <c r="K927" t="s">
        <v>1695</v>
      </c>
      <c r="L927" t="s">
        <v>1696</v>
      </c>
      <c r="M927" t="s">
        <v>1592</v>
      </c>
      <c r="N927">
        <v>12</v>
      </c>
      <c r="P927" t="s">
        <v>41</v>
      </c>
      <c r="Q927" t="s">
        <v>75</v>
      </c>
      <c r="R927" t="str">
        <f>"7361000"</f>
        <v>7361000</v>
      </c>
      <c r="S927" t="s">
        <v>1698</v>
      </c>
      <c r="T927" t="s">
        <v>1695</v>
      </c>
      <c r="U927" t="s">
        <v>1696</v>
      </c>
      <c r="V927" t="s">
        <v>1592</v>
      </c>
      <c r="W927" t="s">
        <v>51</v>
      </c>
      <c r="X927" t="s">
        <v>45</v>
      </c>
      <c r="Y927" s="1">
        <v>24257</v>
      </c>
      <c r="Z927">
        <v>1</v>
      </c>
      <c r="AA927" t="s">
        <v>1696</v>
      </c>
      <c r="AB927" s="40" t="s">
        <v>1796</v>
      </c>
    </row>
    <row r="928" spans="1:28" x14ac:dyDescent="0.25">
      <c r="A928">
        <v>99910927</v>
      </c>
      <c r="B928" t="s">
        <v>56</v>
      </c>
      <c r="C928" t="s">
        <v>61</v>
      </c>
      <c r="D928" t="s">
        <v>62</v>
      </c>
      <c r="G928" t="s">
        <v>48</v>
      </c>
      <c r="H928">
        <v>1</v>
      </c>
      <c r="K928" t="s">
        <v>223</v>
      </c>
      <c r="L928" t="s">
        <v>224</v>
      </c>
      <c r="M928" t="s">
        <v>131</v>
      </c>
      <c r="N928">
        <v>12</v>
      </c>
      <c r="P928" t="s">
        <v>41</v>
      </c>
      <c r="Q928" t="s">
        <v>42</v>
      </c>
      <c r="R928" t="str">
        <f>"0590910"</f>
        <v>0590910</v>
      </c>
      <c r="S928" t="s">
        <v>227</v>
      </c>
      <c r="T928" t="s">
        <v>223</v>
      </c>
      <c r="U928" t="s">
        <v>224</v>
      </c>
      <c r="V928" t="s">
        <v>131</v>
      </c>
      <c r="W928" t="s">
        <v>51</v>
      </c>
      <c r="X928" t="s">
        <v>45</v>
      </c>
      <c r="Y928" s="1">
        <v>24165</v>
      </c>
      <c r="Z928">
        <v>2</v>
      </c>
      <c r="AA928" t="s">
        <v>224</v>
      </c>
      <c r="AB928" s="40" t="s">
        <v>1796</v>
      </c>
    </row>
    <row r="929" spans="1:29" x14ac:dyDescent="0.25">
      <c r="A929">
        <v>99910928</v>
      </c>
      <c r="B929" t="s">
        <v>32</v>
      </c>
      <c r="C929" t="s">
        <v>68</v>
      </c>
      <c r="D929" t="s">
        <v>69</v>
      </c>
      <c r="G929" t="s">
        <v>48</v>
      </c>
      <c r="H929">
        <v>1</v>
      </c>
      <c r="K929" t="s">
        <v>162</v>
      </c>
      <c r="L929" t="s">
        <v>158</v>
      </c>
      <c r="M929" t="s">
        <v>131</v>
      </c>
      <c r="N929">
        <v>12</v>
      </c>
      <c r="P929" t="s">
        <v>41</v>
      </c>
      <c r="Q929" t="s">
        <v>42</v>
      </c>
      <c r="R929" t="str">
        <f>"0580330"</f>
        <v>0580330</v>
      </c>
      <c r="S929" t="s">
        <v>176</v>
      </c>
      <c r="T929" t="s">
        <v>162</v>
      </c>
      <c r="U929" t="s">
        <v>158</v>
      </c>
      <c r="V929" t="s">
        <v>131</v>
      </c>
      <c r="W929" t="s">
        <v>51</v>
      </c>
      <c r="X929" t="s">
        <v>45</v>
      </c>
      <c r="Y929" s="1">
        <v>24092</v>
      </c>
      <c r="Z929">
        <v>2</v>
      </c>
      <c r="AA929" t="s">
        <v>158</v>
      </c>
      <c r="AB929" s="40" t="s">
        <v>1796</v>
      </c>
    </row>
    <row r="930" spans="1:29" x14ac:dyDescent="0.25">
      <c r="A930">
        <v>99910929</v>
      </c>
      <c r="B930" t="s">
        <v>32</v>
      </c>
      <c r="C930" t="s">
        <v>85</v>
      </c>
      <c r="D930" t="s">
        <v>86</v>
      </c>
      <c r="G930" t="s">
        <v>35</v>
      </c>
      <c r="H930">
        <v>1</v>
      </c>
      <c r="I930">
        <v>21562</v>
      </c>
      <c r="J930" s="1">
        <v>43344</v>
      </c>
      <c r="K930" t="s">
        <v>223</v>
      </c>
      <c r="L930" t="s">
        <v>224</v>
      </c>
      <c r="M930" t="s">
        <v>131</v>
      </c>
      <c r="N930">
        <v>12</v>
      </c>
      <c r="O930" s="1">
        <v>43344</v>
      </c>
      <c r="P930" t="s">
        <v>41</v>
      </c>
      <c r="Q930" t="s">
        <v>49</v>
      </c>
      <c r="R930" t="str">
        <f>"0561022"</f>
        <v>0561022</v>
      </c>
      <c r="S930" t="s">
        <v>225</v>
      </c>
      <c r="T930" t="s">
        <v>223</v>
      </c>
      <c r="U930" t="s">
        <v>224</v>
      </c>
      <c r="V930" t="s">
        <v>131</v>
      </c>
      <c r="W930" t="s">
        <v>44</v>
      </c>
      <c r="X930" t="s">
        <v>45</v>
      </c>
      <c r="Y930" s="1">
        <v>23984</v>
      </c>
      <c r="Z930">
        <v>2</v>
      </c>
      <c r="AA930" t="s">
        <v>224</v>
      </c>
      <c r="AB930" s="40" t="s">
        <v>1796</v>
      </c>
    </row>
    <row r="931" spans="1:29" x14ac:dyDescent="0.25">
      <c r="A931">
        <v>99910930</v>
      </c>
      <c r="B931" t="s">
        <v>32</v>
      </c>
      <c r="C931" t="s">
        <v>111</v>
      </c>
      <c r="D931" t="s">
        <v>112</v>
      </c>
      <c r="G931" t="s">
        <v>48</v>
      </c>
      <c r="H931">
        <v>1</v>
      </c>
      <c r="K931" t="s">
        <v>1341</v>
      </c>
      <c r="L931" t="s">
        <v>1342</v>
      </c>
      <c r="M931" t="s">
        <v>1270</v>
      </c>
      <c r="N931">
        <v>12</v>
      </c>
      <c r="P931" t="s">
        <v>41</v>
      </c>
      <c r="Q931" t="s">
        <v>75</v>
      </c>
      <c r="R931" t="str">
        <f>"7191016"</f>
        <v>7191016</v>
      </c>
      <c r="S931" t="s">
        <v>1403</v>
      </c>
      <c r="T931" t="s">
        <v>1341</v>
      </c>
      <c r="U931" t="s">
        <v>1342</v>
      </c>
      <c r="V931" t="s">
        <v>1270</v>
      </c>
      <c r="W931" t="s">
        <v>51</v>
      </c>
      <c r="X931" t="s">
        <v>45</v>
      </c>
      <c r="Y931" s="1">
        <v>23538</v>
      </c>
      <c r="Z931">
        <v>1</v>
      </c>
      <c r="AA931" t="s">
        <v>1342</v>
      </c>
      <c r="AB931" s="40" t="s">
        <v>1796</v>
      </c>
    </row>
    <row r="932" spans="1:29" x14ac:dyDescent="0.25">
      <c r="A932">
        <v>99910931</v>
      </c>
      <c r="B932" t="s">
        <v>56</v>
      </c>
      <c r="C932" t="s">
        <v>46</v>
      </c>
      <c r="D932" t="s">
        <v>47</v>
      </c>
      <c r="G932" t="s">
        <v>48</v>
      </c>
      <c r="H932">
        <v>1</v>
      </c>
      <c r="K932" t="s">
        <v>157</v>
      </c>
      <c r="L932" t="s">
        <v>158</v>
      </c>
      <c r="M932" t="s">
        <v>131</v>
      </c>
      <c r="N932">
        <v>12</v>
      </c>
      <c r="P932" t="s">
        <v>41</v>
      </c>
      <c r="Q932" t="s">
        <v>42</v>
      </c>
      <c r="R932" t="str">
        <f>"0580290"</f>
        <v>0580290</v>
      </c>
      <c r="S932" t="s">
        <v>171</v>
      </c>
      <c r="T932" t="s">
        <v>157</v>
      </c>
      <c r="U932" t="s">
        <v>158</v>
      </c>
      <c r="V932" t="s">
        <v>131</v>
      </c>
      <c r="W932" t="s">
        <v>51</v>
      </c>
      <c r="X932" t="s">
        <v>45</v>
      </c>
      <c r="Y932" s="1">
        <v>23515</v>
      </c>
      <c r="Z932">
        <v>2</v>
      </c>
      <c r="AA932" t="s">
        <v>158</v>
      </c>
      <c r="AB932" s="40" t="s">
        <v>1796</v>
      </c>
    </row>
    <row r="933" spans="1:29" x14ac:dyDescent="0.25">
      <c r="A933">
        <v>99910932</v>
      </c>
      <c r="B933" t="s">
        <v>32</v>
      </c>
      <c r="C933" t="s">
        <v>71</v>
      </c>
      <c r="D933" t="s">
        <v>72</v>
      </c>
      <c r="G933" t="s">
        <v>48</v>
      </c>
      <c r="H933">
        <v>1</v>
      </c>
      <c r="K933" t="s">
        <v>162</v>
      </c>
      <c r="L933" t="s">
        <v>158</v>
      </c>
      <c r="M933" t="s">
        <v>131</v>
      </c>
      <c r="N933">
        <v>12</v>
      </c>
      <c r="P933" t="s">
        <v>41</v>
      </c>
      <c r="Q933" t="s">
        <v>49</v>
      </c>
      <c r="R933" t="str">
        <f>"0505050"</f>
        <v>0505050</v>
      </c>
      <c r="S933" t="s">
        <v>163</v>
      </c>
      <c r="T933" t="s">
        <v>162</v>
      </c>
      <c r="U933" t="s">
        <v>158</v>
      </c>
      <c r="V933" t="s">
        <v>131</v>
      </c>
      <c r="W933" t="s">
        <v>51</v>
      </c>
      <c r="X933" t="s">
        <v>45</v>
      </c>
      <c r="Y933" s="1">
        <v>23448</v>
      </c>
      <c r="Z933">
        <v>2</v>
      </c>
      <c r="AA933" t="s">
        <v>158</v>
      </c>
      <c r="AB933" s="40" t="s">
        <v>1796</v>
      </c>
    </row>
    <row r="934" spans="1:29" x14ac:dyDescent="0.25">
      <c r="A934">
        <v>99910933</v>
      </c>
      <c r="B934" t="s">
        <v>56</v>
      </c>
      <c r="C934" t="s">
        <v>79</v>
      </c>
      <c r="D934" t="s">
        <v>80</v>
      </c>
      <c r="G934" t="s">
        <v>48</v>
      </c>
      <c r="H934">
        <v>9</v>
      </c>
      <c r="K934" t="s">
        <v>354</v>
      </c>
      <c r="L934" t="s">
        <v>355</v>
      </c>
      <c r="M934" t="s">
        <v>131</v>
      </c>
      <c r="N934">
        <v>12</v>
      </c>
      <c r="P934" t="s">
        <v>41</v>
      </c>
      <c r="Q934" t="s">
        <v>75</v>
      </c>
      <c r="R934" t="str">
        <f>"7054004"</f>
        <v>7054004</v>
      </c>
      <c r="S934" t="s">
        <v>798</v>
      </c>
      <c r="T934" t="s">
        <v>354</v>
      </c>
      <c r="U934" t="s">
        <v>355</v>
      </c>
      <c r="V934" t="s">
        <v>131</v>
      </c>
      <c r="W934" t="s">
        <v>51</v>
      </c>
      <c r="X934" t="s">
        <v>45</v>
      </c>
      <c r="Y934" s="1">
        <v>23422</v>
      </c>
      <c r="Z934">
        <v>1</v>
      </c>
      <c r="AA934" t="s">
        <v>355</v>
      </c>
      <c r="AB934" s="40" t="s">
        <v>1796</v>
      </c>
    </row>
    <row r="935" spans="1:29" x14ac:dyDescent="0.25">
      <c r="A935">
        <v>99910934</v>
      </c>
      <c r="B935" t="s">
        <v>32</v>
      </c>
      <c r="C935" t="s">
        <v>71</v>
      </c>
      <c r="D935" t="s">
        <v>72</v>
      </c>
      <c r="G935" t="s">
        <v>48</v>
      </c>
      <c r="H935">
        <v>1</v>
      </c>
      <c r="K935" t="s">
        <v>162</v>
      </c>
      <c r="L935" t="s">
        <v>158</v>
      </c>
      <c r="M935" t="s">
        <v>131</v>
      </c>
      <c r="N935">
        <v>12</v>
      </c>
      <c r="P935" t="s">
        <v>41</v>
      </c>
      <c r="Q935" t="s">
        <v>42</v>
      </c>
      <c r="R935" t="str">
        <f>"0580325"</f>
        <v>0580325</v>
      </c>
      <c r="S935" t="s">
        <v>170</v>
      </c>
      <c r="T935" t="s">
        <v>162</v>
      </c>
      <c r="U935" t="s">
        <v>158</v>
      </c>
      <c r="V935" t="s">
        <v>131</v>
      </c>
      <c r="W935" t="s">
        <v>165</v>
      </c>
      <c r="X935" t="s">
        <v>45</v>
      </c>
      <c r="Y935" s="1">
        <v>23284</v>
      </c>
      <c r="Z935">
        <v>2</v>
      </c>
      <c r="AA935" t="s">
        <v>158</v>
      </c>
      <c r="AB935" s="40" t="s">
        <v>1796</v>
      </c>
      <c r="AC935" s="36"/>
    </row>
    <row r="936" spans="1:29" x14ac:dyDescent="0.25">
      <c r="A936">
        <v>99910935</v>
      </c>
      <c r="B936" t="s">
        <v>56</v>
      </c>
      <c r="C936" t="s">
        <v>52</v>
      </c>
      <c r="D936" t="s">
        <v>53</v>
      </c>
      <c r="G936" t="s">
        <v>48</v>
      </c>
      <c r="H936">
        <v>1</v>
      </c>
      <c r="K936" t="s">
        <v>157</v>
      </c>
      <c r="L936" t="s">
        <v>158</v>
      </c>
      <c r="M936" t="s">
        <v>131</v>
      </c>
      <c r="N936">
        <v>12</v>
      </c>
      <c r="P936" t="s">
        <v>41</v>
      </c>
      <c r="Q936" t="s">
        <v>42</v>
      </c>
      <c r="R936" t="str">
        <f>"0580735"</f>
        <v>0580735</v>
      </c>
      <c r="S936" t="s">
        <v>180</v>
      </c>
      <c r="T936" t="s">
        <v>157</v>
      </c>
      <c r="U936" t="s">
        <v>158</v>
      </c>
      <c r="V936" t="s">
        <v>131</v>
      </c>
      <c r="W936" t="s">
        <v>51</v>
      </c>
      <c r="X936" t="s">
        <v>45</v>
      </c>
      <c r="Y936" s="1">
        <v>22909</v>
      </c>
      <c r="Z936">
        <v>2</v>
      </c>
      <c r="AA936" t="s">
        <v>158</v>
      </c>
      <c r="AB936" s="40" t="s">
        <v>1796</v>
      </c>
    </row>
    <row r="937" spans="1:29" x14ac:dyDescent="0.25">
      <c r="A937">
        <v>99910936</v>
      </c>
      <c r="B937" t="s">
        <v>56</v>
      </c>
      <c r="C937" t="s">
        <v>71</v>
      </c>
      <c r="D937" t="s">
        <v>72</v>
      </c>
      <c r="G937" t="s">
        <v>48</v>
      </c>
      <c r="H937">
        <v>1</v>
      </c>
      <c r="K937" t="s">
        <v>1187</v>
      </c>
      <c r="L937" t="s">
        <v>1188</v>
      </c>
      <c r="M937" t="s">
        <v>1130</v>
      </c>
      <c r="N937">
        <v>12</v>
      </c>
      <c r="P937" t="s">
        <v>41</v>
      </c>
      <c r="Q937" t="s">
        <v>49</v>
      </c>
      <c r="R937" t="str">
        <f>"4581015"</f>
        <v>4581015</v>
      </c>
      <c r="S937" t="s">
        <v>1190</v>
      </c>
      <c r="T937" t="s">
        <v>1187</v>
      </c>
      <c r="U937" t="s">
        <v>1188</v>
      </c>
      <c r="V937" t="s">
        <v>1130</v>
      </c>
      <c r="W937" t="s">
        <v>51</v>
      </c>
      <c r="X937" t="s">
        <v>45</v>
      </c>
      <c r="Y937" s="1">
        <v>22886</v>
      </c>
      <c r="Z937">
        <v>2</v>
      </c>
      <c r="AA937" t="s">
        <v>1188</v>
      </c>
      <c r="AB937" s="40" t="s">
        <v>1796</v>
      </c>
    </row>
    <row r="938" spans="1:29" x14ac:dyDescent="0.25">
      <c r="A938">
        <v>99910937</v>
      </c>
      <c r="B938" t="s">
        <v>32</v>
      </c>
      <c r="C938" t="s">
        <v>46</v>
      </c>
      <c r="D938" t="s">
        <v>47</v>
      </c>
      <c r="G938" t="s">
        <v>48</v>
      </c>
      <c r="H938">
        <v>1</v>
      </c>
      <c r="K938" t="s">
        <v>1268</v>
      </c>
      <c r="L938" t="s">
        <v>1269</v>
      </c>
      <c r="M938" t="s">
        <v>1270</v>
      </c>
      <c r="N938">
        <v>12</v>
      </c>
      <c r="P938" t="s">
        <v>41</v>
      </c>
      <c r="Q938" t="s">
        <v>42</v>
      </c>
      <c r="R938" t="str">
        <f>"1990911"</f>
        <v>1990911</v>
      </c>
      <c r="S938" t="s">
        <v>1276</v>
      </c>
      <c r="T938" t="s">
        <v>1268</v>
      </c>
      <c r="U938" t="s">
        <v>1269</v>
      </c>
      <c r="V938" t="s">
        <v>1270</v>
      </c>
      <c r="W938" t="s">
        <v>165</v>
      </c>
      <c r="X938" t="s">
        <v>45</v>
      </c>
      <c r="Y938" s="1">
        <v>22611</v>
      </c>
      <c r="Z938">
        <v>2</v>
      </c>
      <c r="AA938" t="s">
        <v>1269</v>
      </c>
      <c r="AB938" s="40" t="s">
        <v>1796</v>
      </c>
    </row>
    <row r="939" spans="1:29" x14ac:dyDescent="0.25">
      <c r="A939">
        <v>99910938</v>
      </c>
      <c r="B939" t="s">
        <v>32</v>
      </c>
      <c r="C939" t="s">
        <v>71</v>
      </c>
      <c r="D939" t="s">
        <v>72</v>
      </c>
      <c r="G939" t="s">
        <v>48</v>
      </c>
      <c r="H939">
        <v>1</v>
      </c>
      <c r="K939" t="s">
        <v>223</v>
      </c>
      <c r="L939" t="s">
        <v>224</v>
      </c>
      <c r="M939" t="s">
        <v>131</v>
      </c>
      <c r="N939">
        <v>12</v>
      </c>
      <c r="P939" t="s">
        <v>41</v>
      </c>
      <c r="Q939" t="s">
        <v>49</v>
      </c>
      <c r="R939" t="str">
        <f>"0581200"</f>
        <v>0581200</v>
      </c>
      <c r="S939" t="s">
        <v>238</v>
      </c>
      <c r="T939" t="s">
        <v>223</v>
      </c>
      <c r="U939" t="s">
        <v>224</v>
      </c>
      <c r="V939" t="s">
        <v>131</v>
      </c>
      <c r="W939" t="s">
        <v>51</v>
      </c>
      <c r="X939" t="s">
        <v>45</v>
      </c>
      <c r="Y939" s="1">
        <v>22546</v>
      </c>
      <c r="Z939">
        <v>2</v>
      </c>
      <c r="AA939" t="s">
        <v>224</v>
      </c>
      <c r="AB939" s="40" t="s">
        <v>1796</v>
      </c>
    </row>
    <row r="940" spans="1:29" x14ac:dyDescent="0.25">
      <c r="A940">
        <v>99910939</v>
      </c>
      <c r="B940" t="s">
        <v>32</v>
      </c>
      <c r="C940" t="s">
        <v>111</v>
      </c>
      <c r="D940" t="s">
        <v>112</v>
      </c>
      <c r="G940" t="s">
        <v>48</v>
      </c>
      <c r="H940">
        <v>17</v>
      </c>
      <c r="J940" s="1">
        <v>43344</v>
      </c>
      <c r="K940" t="s">
        <v>354</v>
      </c>
      <c r="L940" t="s">
        <v>355</v>
      </c>
      <c r="M940" t="s">
        <v>131</v>
      </c>
      <c r="N940">
        <v>12</v>
      </c>
      <c r="O940" s="1">
        <v>43344</v>
      </c>
      <c r="P940" t="s">
        <v>41</v>
      </c>
      <c r="Q940" t="s">
        <v>75</v>
      </c>
      <c r="R940" t="str">
        <f>"7054028"</f>
        <v>7054028</v>
      </c>
      <c r="S940" t="s">
        <v>788</v>
      </c>
      <c r="T940" t="s">
        <v>354</v>
      </c>
      <c r="U940" t="s">
        <v>355</v>
      </c>
      <c r="V940" t="s">
        <v>131</v>
      </c>
      <c r="W940" t="s">
        <v>51</v>
      </c>
      <c r="X940" t="s">
        <v>45</v>
      </c>
      <c r="Y940" s="1">
        <v>21661</v>
      </c>
      <c r="Z940">
        <v>1</v>
      </c>
      <c r="AA940" t="s">
        <v>355</v>
      </c>
      <c r="AB940" s="40" t="s">
        <v>1796</v>
      </c>
    </row>
    <row r="941" spans="1:29" x14ac:dyDescent="0.25">
      <c r="A941">
        <v>99910940</v>
      </c>
      <c r="B941" t="s">
        <v>56</v>
      </c>
      <c r="C941" t="s">
        <v>82</v>
      </c>
      <c r="D941" t="s">
        <v>83</v>
      </c>
      <c r="G941" t="s">
        <v>48</v>
      </c>
      <c r="H941">
        <v>1</v>
      </c>
      <c r="K941" t="s">
        <v>300</v>
      </c>
      <c r="L941" t="s">
        <v>301</v>
      </c>
      <c r="M941" t="s">
        <v>131</v>
      </c>
      <c r="N941">
        <v>12</v>
      </c>
      <c r="P941" t="s">
        <v>41</v>
      </c>
      <c r="Q941" t="s">
        <v>42</v>
      </c>
      <c r="R941" t="str">
        <f>"0561001"</f>
        <v>0561001</v>
      </c>
      <c r="S941" t="s">
        <v>308</v>
      </c>
      <c r="T941" t="s">
        <v>300</v>
      </c>
      <c r="U941" t="s">
        <v>301</v>
      </c>
      <c r="V941" t="s">
        <v>131</v>
      </c>
      <c r="W941" t="s">
        <v>51</v>
      </c>
      <c r="X941" t="s">
        <v>45</v>
      </c>
      <c r="Y941" s="1">
        <v>21571</v>
      </c>
      <c r="Z941">
        <v>2</v>
      </c>
      <c r="AA941" t="s">
        <v>301</v>
      </c>
      <c r="AB941" s="40" t="s">
        <v>1796</v>
      </c>
    </row>
    <row r="942" spans="1:29" x14ac:dyDescent="0.25">
      <c r="A942">
        <v>99910941</v>
      </c>
      <c r="B942" t="s">
        <v>32</v>
      </c>
      <c r="C942" t="s">
        <v>141</v>
      </c>
      <c r="D942" t="s">
        <v>142</v>
      </c>
      <c r="G942" t="s">
        <v>48</v>
      </c>
      <c r="H942">
        <v>1</v>
      </c>
      <c r="K942" t="s">
        <v>268</v>
      </c>
      <c r="L942" t="s">
        <v>269</v>
      </c>
      <c r="M942" t="s">
        <v>131</v>
      </c>
      <c r="N942">
        <v>12</v>
      </c>
      <c r="P942" t="s">
        <v>41</v>
      </c>
      <c r="Q942" t="s">
        <v>75</v>
      </c>
      <c r="R942" t="str">
        <f>"7052044"</f>
        <v>7052044</v>
      </c>
      <c r="S942" t="s">
        <v>589</v>
      </c>
      <c r="T942" t="s">
        <v>268</v>
      </c>
      <c r="U942" t="s">
        <v>269</v>
      </c>
      <c r="V942" t="s">
        <v>131</v>
      </c>
      <c r="W942" t="s">
        <v>51</v>
      </c>
      <c r="X942" t="s">
        <v>45</v>
      </c>
      <c r="Y942" s="1">
        <v>20744</v>
      </c>
      <c r="Z942">
        <v>1</v>
      </c>
      <c r="AA942" t="s">
        <v>269</v>
      </c>
      <c r="AB942" s="40" t="s">
        <v>1796</v>
      </c>
    </row>
    <row r="943" spans="1:29" x14ac:dyDescent="0.25">
      <c r="A943">
        <v>99910942</v>
      </c>
      <c r="B943" t="s">
        <v>56</v>
      </c>
      <c r="C943" t="s">
        <v>79</v>
      </c>
      <c r="D943" t="s">
        <v>80</v>
      </c>
      <c r="G943" t="s">
        <v>35</v>
      </c>
      <c r="H943">
        <v>3</v>
      </c>
      <c r="I943" t="s">
        <v>1685</v>
      </c>
      <c r="J943" s="1">
        <v>43344</v>
      </c>
      <c r="K943" t="s">
        <v>1619</v>
      </c>
      <c r="L943" t="s">
        <v>1620</v>
      </c>
      <c r="M943" t="s">
        <v>1592</v>
      </c>
      <c r="N943">
        <v>12</v>
      </c>
      <c r="O943" s="1">
        <v>43344</v>
      </c>
      <c r="P943" t="s">
        <v>41</v>
      </c>
      <c r="Q943" t="s">
        <v>75</v>
      </c>
      <c r="R943" t="str">
        <f>"7281000"</f>
        <v>7281000</v>
      </c>
      <c r="S943" t="s">
        <v>1648</v>
      </c>
      <c r="T943" t="s">
        <v>1619</v>
      </c>
      <c r="U943" t="s">
        <v>1620</v>
      </c>
      <c r="V943" t="s">
        <v>1592</v>
      </c>
      <c r="W943" t="s">
        <v>51</v>
      </c>
      <c r="X943" t="s">
        <v>45</v>
      </c>
      <c r="Y943" s="1">
        <v>20594</v>
      </c>
      <c r="Z943">
        <v>1</v>
      </c>
      <c r="AA943" t="s">
        <v>1620</v>
      </c>
      <c r="AB943" s="40" t="s">
        <v>1796</v>
      </c>
    </row>
    <row r="944" spans="1:29" x14ac:dyDescent="0.25">
      <c r="A944">
        <v>99910943</v>
      </c>
      <c r="B944" t="s">
        <v>56</v>
      </c>
      <c r="C944" t="s">
        <v>68</v>
      </c>
      <c r="D944" t="s">
        <v>69</v>
      </c>
      <c r="G944" t="s">
        <v>48</v>
      </c>
      <c r="H944">
        <v>1</v>
      </c>
      <c r="K944" t="s">
        <v>157</v>
      </c>
      <c r="L944" t="s">
        <v>158</v>
      </c>
      <c r="M944" t="s">
        <v>131</v>
      </c>
      <c r="N944">
        <v>12</v>
      </c>
      <c r="P944" t="s">
        <v>41</v>
      </c>
      <c r="Q944" t="s">
        <v>49</v>
      </c>
      <c r="R944" t="str">
        <f>"0560019"</f>
        <v>0560019</v>
      </c>
      <c r="S944" t="s">
        <v>166</v>
      </c>
      <c r="T944" t="s">
        <v>157</v>
      </c>
      <c r="U944" t="s">
        <v>158</v>
      </c>
      <c r="V944" t="s">
        <v>131</v>
      </c>
      <c r="W944" t="s">
        <v>51</v>
      </c>
      <c r="X944" t="s">
        <v>45</v>
      </c>
      <c r="Y944" s="1">
        <v>20125</v>
      </c>
      <c r="Z944">
        <v>2</v>
      </c>
      <c r="AA944" t="s">
        <v>158</v>
      </c>
      <c r="AB944" s="40" t="s">
        <v>1796</v>
      </c>
    </row>
    <row r="945" spans="1:28" x14ac:dyDescent="0.25">
      <c r="A945">
        <v>99910944</v>
      </c>
      <c r="B945" t="s">
        <v>56</v>
      </c>
      <c r="C945" t="s">
        <v>111</v>
      </c>
      <c r="D945" t="s">
        <v>112</v>
      </c>
      <c r="G945" t="s">
        <v>48</v>
      </c>
      <c r="H945">
        <v>1</v>
      </c>
      <c r="K945" t="s">
        <v>407</v>
      </c>
      <c r="L945" t="s">
        <v>409</v>
      </c>
      <c r="M945" t="s">
        <v>131</v>
      </c>
      <c r="N945">
        <v>12</v>
      </c>
      <c r="P945" t="s">
        <v>41</v>
      </c>
      <c r="Q945" t="s">
        <v>75</v>
      </c>
      <c r="R945" t="str">
        <f>"7053000"</f>
        <v>7053000</v>
      </c>
      <c r="S945" t="s">
        <v>754</v>
      </c>
      <c r="T945" t="s">
        <v>407</v>
      </c>
      <c r="U945" t="s">
        <v>409</v>
      </c>
      <c r="V945" t="s">
        <v>131</v>
      </c>
      <c r="W945" t="s">
        <v>51</v>
      </c>
      <c r="X945" t="s">
        <v>45</v>
      </c>
      <c r="Y945" s="1">
        <v>19705</v>
      </c>
      <c r="Z945">
        <v>1</v>
      </c>
      <c r="AA945" t="s">
        <v>409</v>
      </c>
      <c r="AB945" s="40" t="s">
        <v>1796</v>
      </c>
    </row>
    <row r="946" spans="1:28" x14ac:dyDescent="0.25">
      <c r="A946">
        <v>99910945</v>
      </c>
      <c r="B946" t="s">
        <v>32</v>
      </c>
      <c r="C946" t="s">
        <v>111</v>
      </c>
      <c r="D946" t="s">
        <v>112</v>
      </c>
      <c r="G946" t="s">
        <v>35</v>
      </c>
      <c r="H946">
        <v>1</v>
      </c>
      <c r="K946" t="s">
        <v>268</v>
      </c>
      <c r="L946" t="s">
        <v>269</v>
      </c>
      <c r="M946" t="s">
        <v>131</v>
      </c>
      <c r="N946">
        <v>12</v>
      </c>
      <c r="P946" t="s">
        <v>41</v>
      </c>
      <c r="Q946" t="s">
        <v>75</v>
      </c>
      <c r="R946" t="str">
        <f>"7052000"</f>
        <v>7052000</v>
      </c>
      <c r="S946" t="s">
        <v>656</v>
      </c>
      <c r="T946" t="s">
        <v>268</v>
      </c>
      <c r="U946" t="s">
        <v>269</v>
      </c>
      <c r="V946" t="s">
        <v>131</v>
      </c>
      <c r="W946" t="s">
        <v>51</v>
      </c>
      <c r="X946" t="s">
        <v>45</v>
      </c>
      <c r="Y946" s="1">
        <v>19392</v>
      </c>
      <c r="Z946">
        <v>1</v>
      </c>
      <c r="AA946" t="s">
        <v>269</v>
      </c>
      <c r="AB946" s="40" t="s">
        <v>1796</v>
      </c>
    </row>
    <row r="947" spans="1:28" x14ac:dyDescent="0.25">
      <c r="A947">
        <v>99910946</v>
      </c>
      <c r="B947" t="s">
        <v>56</v>
      </c>
      <c r="C947" t="s">
        <v>111</v>
      </c>
      <c r="D947" t="s">
        <v>112</v>
      </c>
      <c r="G947" t="s">
        <v>48</v>
      </c>
      <c r="H947">
        <v>19</v>
      </c>
      <c r="K947" t="s">
        <v>354</v>
      </c>
      <c r="L947" t="s">
        <v>355</v>
      </c>
      <c r="M947" t="s">
        <v>131</v>
      </c>
      <c r="N947">
        <v>12</v>
      </c>
      <c r="P947" t="s">
        <v>41</v>
      </c>
      <c r="Q947" t="s">
        <v>75</v>
      </c>
      <c r="R947" t="str">
        <f>"7054002"</f>
        <v>7054002</v>
      </c>
      <c r="S947" t="s">
        <v>376</v>
      </c>
      <c r="T947" t="s">
        <v>354</v>
      </c>
      <c r="U947" t="s">
        <v>355</v>
      </c>
      <c r="V947" t="s">
        <v>131</v>
      </c>
      <c r="W947" t="s">
        <v>51</v>
      </c>
      <c r="X947" t="s">
        <v>45</v>
      </c>
      <c r="Y947" s="1">
        <v>18595</v>
      </c>
      <c r="Z947">
        <v>1</v>
      </c>
      <c r="AA947" t="s">
        <v>355</v>
      </c>
      <c r="AB947" s="40" t="s">
        <v>1796</v>
      </c>
    </row>
    <row r="948" spans="1:28" x14ac:dyDescent="0.25">
      <c r="A948">
        <v>99910947</v>
      </c>
      <c r="B948" t="s">
        <v>32</v>
      </c>
      <c r="C948" t="s">
        <v>58</v>
      </c>
      <c r="D948" t="s">
        <v>59</v>
      </c>
      <c r="G948" t="s">
        <v>35</v>
      </c>
      <c r="H948">
        <v>1</v>
      </c>
      <c r="I948">
        <v>20235</v>
      </c>
      <c r="J948" s="1">
        <v>43418</v>
      </c>
      <c r="K948" t="s">
        <v>157</v>
      </c>
      <c r="L948" t="s">
        <v>158</v>
      </c>
      <c r="M948" t="s">
        <v>131</v>
      </c>
      <c r="N948">
        <v>12</v>
      </c>
      <c r="O948" s="1">
        <v>43418</v>
      </c>
      <c r="P948" t="s">
        <v>41</v>
      </c>
      <c r="Q948" t="s">
        <v>42</v>
      </c>
      <c r="R948" t="str">
        <f>"0580470"</f>
        <v>0580470</v>
      </c>
      <c r="S948" t="s">
        <v>175</v>
      </c>
      <c r="T948" t="s">
        <v>157</v>
      </c>
      <c r="U948" t="s">
        <v>158</v>
      </c>
      <c r="V948" t="s">
        <v>131</v>
      </c>
      <c r="W948" t="s">
        <v>51</v>
      </c>
      <c r="X948" t="s">
        <v>45</v>
      </c>
      <c r="Z948">
        <v>2</v>
      </c>
      <c r="AA948" t="s">
        <v>158</v>
      </c>
      <c r="AB948" s="40" t="s">
        <v>1796</v>
      </c>
    </row>
    <row r="949" spans="1:28" x14ac:dyDescent="0.25">
      <c r="A949">
        <v>99910948</v>
      </c>
      <c r="B949" t="s">
        <v>32</v>
      </c>
      <c r="C949" t="s">
        <v>149</v>
      </c>
      <c r="D949" t="s">
        <v>150</v>
      </c>
      <c r="G949" t="s">
        <v>35</v>
      </c>
      <c r="H949">
        <v>1</v>
      </c>
      <c r="K949" t="s">
        <v>157</v>
      </c>
      <c r="L949" t="s">
        <v>158</v>
      </c>
      <c r="M949" t="s">
        <v>131</v>
      </c>
      <c r="N949">
        <v>12</v>
      </c>
      <c r="P949" t="s">
        <v>41</v>
      </c>
      <c r="Q949" t="s">
        <v>49</v>
      </c>
      <c r="R949" t="str">
        <f>"0580505"</f>
        <v>0580505</v>
      </c>
      <c r="S949" t="s">
        <v>168</v>
      </c>
      <c r="T949" t="s">
        <v>157</v>
      </c>
      <c r="U949" t="s">
        <v>158</v>
      </c>
      <c r="V949" t="s">
        <v>131</v>
      </c>
      <c r="W949" t="s">
        <v>51</v>
      </c>
      <c r="X949" t="s">
        <v>45</v>
      </c>
      <c r="Z949">
        <v>2</v>
      </c>
      <c r="AA949" t="s">
        <v>158</v>
      </c>
      <c r="AB949" s="40" t="s">
        <v>1796</v>
      </c>
    </row>
    <row r="950" spans="1:28" x14ac:dyDescent="0.25">
      <c r="A950">
        <v>99910949</v>
      </c>
      <c r="B950" t="s">
        <v>32</v>
      </c>
      <c r="C950" t="s">
        <v>141</v>
      </c>
      <c r="D950" t="s">
        <v>142</v>
      </c>
      <c r="G950" t="s">
        <v>35</v>
      </c>
      <c r="H950">
        <v>1</v>
      </c>
      <c r="K950" t="s">
        <v>431</v>
      </c>
      <c r="L950" t="s">
        <v>196</v>
      </c>
      <c r="M950" t="s">
        <v>131</v>
      </c>
      <c r="N950">
        <v>12</v>
      </c>
      <c r="P950" t="s">
        <v>41</v>
      </c>
      <c r="Q950" t="s">
        <v>75</v>
      </c>
      <c r="R950" t="str">
        <f>"7521056"</f>
        <v>7521056</v>
      </c>
      <c r="S950" t="s">
        <v>437</v>
      </c>
      <c r="T950" t="s">
        <v>431</v>
      </c>
      <c r="U950" t="s">
        <v>196</v>
      </c>
      <c r="V950" t="s">
        <v>131</v>
      </c>
      <c r="W950" t="s">
        <v>51</v>
      </c>
      <c r="X950" t="s">
        <v>45</v>
      </c>
      <c r="Z950">
        <v>1</v>
      </c>
      <c r="AA950" t="s">
        <v>196</v>
      </c>
      <c r="AB950" s="40" t="s">
        <v>1796</v>
      </c>
    </row>
    <row r="951" spans="1:28" x14ac:dyDescent="0.25">
      <c r="A951">
        <v>99910950</v>
      </c>
      <c r="B951" t="s">
        <v>32</v>
      </c>
      <c r="C951" t="s">
        <v>111</v>
      </c>
      <c r="D951" t="s">
        <v>112</v>
      </c>
      <c r="G951" t="s">
        <v>35</v>
      </c>
      <c r="H951">
        <v>1</v>
      </c>
      <c r="K951" t="s">
        <v>268</v>
      </c>
      <c r="L951" t="s">
        <v>269</v>
      </c>
      <c r="M951" t="s">
        <v>131</v>
      </c>
      <c r="N951">
        <v>12</v>
      </c>
      <c r="P951" t="s">
        <v>41</v>
      </c>
      <c r="Q951" t="s">
        <v>75</v>
      </c>
      <c r="R951" t="str">
        <f>"7052036"</f>
        <v>7052036</v>
      </c>
      <c r="S951" t="s">
        <v>679</v>
      </c>
      <c r="T951" t="s">
        <v>268</v>
      </c>
      <c r="U951" t="s">
        <v>269</v>
      </c>
      <c r="V951" t="s">
        <v>131</v>
      </c>
      <c r="W951" t="s">
        <v>51</v>
      </c>
      <c r="X951" t="s">
        <v>45</v>
      </c>
      <c r="Z951">
        <v>1</v>
      </c>
      <c r="AA951" t="s">
        <v>269</v>
      </c>
      <c r="AB951" s="40" t="s">
        <v>1796</v>
      </c>
    </row>
    <row r="952" spans="1:28" x14ac:dyDescent="0.25">
      <c r="A952">
        <v>99910951</v>
      </c>
      <c r="B952" t="s">
        <v>32</v>
      </c>
      <c r="C952" t="s">
        <v>64</v>
      </c>
      <c r="D952" t="s">
        <v>65</v>
      </c>
      <c r="G952" t="s">
        <v>35</v>
      </c>
      <c r="H952">
        <v>1</v>
      </c>
      <c r="I952" t="s">
        <v>1604</v>
      </c>
      <c r="J952" s="1">
        <v>43344</v>
      </c>
      <c r="K952" t="s">
        <v>1590</v>
      </c>
      <c r="L952" t="s">
        <v>1591</v>
      </c>
      <c r="M952" t="s">
        <v>1592</v>
      </c>
      <c r="N952">
        <v>12</v>
      </c>
      <c r="O952" s="1">
        <v>43344</v>
      </c>
      <c r="P952" t="s">
        <v>41</v>
      </c>
      <c r="Q952" t="s">
        <v>49</v>
      </c>
      <c r="R952" t="str">
        <f>"0260001"</f>
        <v>0260001</v>
      </c>
      <c r="S952" t="s">
        <v>1595</v>
      </c>
      <c r="T952" t="s">
        <v>1590</v>
      </c>
      <c r="U952" t="s">
        <v>1591</v>
      </c>
      <c r="V952" t="s">
        <v>1592</v>
      </c>
      <c r="W952" t="s">
        <v>51</v>
      </c>
      <c r="X952" t="s">
        <v>45</v>
      </c>
      <c r="Z952">
        <v>2</v>
      </c>
      <c r="AA952" t="s">
        <v>1591</v>
      </c>
      <c r="AB952" s="40" t="s">
        <v>1796</v>
      </c>
    </row>
    <row r="953" spans="1:28" x14ac:dyDescent="0.25">
      <c r="A953">
        <v>99910952</v>
      </c>
      <c r="B953" t="s">
        <v>32</v>
      </c>
      <c r="C953" t="s">
        <v>117</v>
      </c>
      <c r="D953" t="s">
        <v>118</v>
      </c>
      <c r="G953" t="s">
        <v>35</v>
      </c>
      <c r="H953">
        <v>1</v>
      </c>
      <c r="I953" t="s">
        <v>1575</v>
      </c>
      <c r="J953" s="1">
        <v>43344</v>
      </c>
      <c r="K953" t="s">
        <v>1564</v>
      </c>
      <c r="L953" t="s">
        <v>1565</v>
      </c>
      <c r="M953" t="s">
        <v>1548</v>
      </c>
      <c r="N953">
        <v>13</v>
      </c>
      <c r="O953" s="1">
        <v>43344</v>
      </c>
      <c r="P953" t="s">
        <v>41</v>
      </c>
      <c r="Q953" t="s">
        <v>75</v>
      </c>
      <c r="R953" t="str">
        <f>"7101002"</f>
        <v>7101002</v>
      </c>
      <c r="S953" t="s">
        <v>1563</v>
      </c>
      <c r="T953" t="s">
        <v>1564</v>
      </c>
      <c r="U953" t="s">
        <v>1565</v>
      </c>
      <c r="V953" t="s">
        <v>1548</v>
      </c>
      <c r="W953" t="s">
        <v>44</v>
      </c>
      <c r="X953" t="s">
        <v>45</v>
      </c>
      <c r="Y953" s="1">
        <v>34243</v>
      </c>
      <c r="Z953">
        <v>1</v>
      </c>
      <c r="AA953" t="s">
        <v>1565</v>
      </c>
      <c r="AB953" s="40" t="s">
        <v>1796</v>
      </c>
    </row>
    <row r="954" spans="1:28" x14ac:dyDescent="0.25">
      <c r="A954">
        <v>99910953</v>
      </c>
      <c r="B954" t="s">
        <v>32</v>
      </c>
      <c r="C954" t="s">
        <v>46</v>
      </c>
      <c r="D954" t="s">
        <v>47</v>
      </c>
      <c r="G954" t="s">
        <v>35</v>
      </c>
      <c r="H954">
        <v>1</v>
      </c>
      <c r="I954">
        <v>18180</v>
      </c>
      <c r="J954" s="1">
        <v>43347</v>
      </c>
      <c r="K954" t="s">
        <v>1128</v>
      </c>
      <c r="L954" t="s">
        <v>1129</v>
      </c>
      <c r="M954" t="s">
        <v>1130</v>
      </c>
      <c r="N954">
        <v>13</v>
      </c>
      <c r="O954" s="1">
        <v>43347</v>
      </c>
      <c r="P954" t="s">
        <v>41</v>
      </c>
      <c r="Q954" t="s">
        <v>49</v>
      </c>
      <c r="R954" t="str">
        <f>"3160002"</f>
        <v>3160002</v>
      </c>
      <c r="S954" t="s">
        <v>1143</v>
      </c>
      <c r="T954" t="s">
        <v>1128</v>
      </c>
      <c r="U954" t="s">
        <v>1129</v>
      </c>
      <c r="V954" t="s">
        <v>1130</v>
      </c>
      <c r="W954" t="s">
        <v>55</v>
      </c>
      <c r="X954" t="s">
        <v>45</v>
      </c>
      <c r="Y954" s="1">
        <v>33788</v>
      </c>
      <c r="Z954">
        <v>2</v>
      </c>
      <c r="AA954" t="s">
        <v>1129</v>
      </c>
      <c r="AB954" s="40" t="s">
        <v>1796</v>
      </c>
    </row>
    <row r="955" spans="1:28" x14ac:dyDescent="0.25">
      <c r="A955">
        <v>99910954</v>
      </c>
      <c r="B955" t="s">
        <v>32</v>
      </c>
      <c r="C955" t="s">
        <v>82</v>
      </c>
      <c r="D955" t="s">
        <v>83</v>
      </c>
      <c r="G955" t="s">
        <v>35</v>
      </c>
      <c r="H955">
        <v>1</v>
      </c>
      <c r="I955">
        <v>0</v>
      </c>
      <c r="J955" s="1">
        <v>43344</v>
      </c>
      <c r="K955" t="s">
        <v>1546</v>
      </c>
      <c r="L955" t="s">
        <v>1547</v>
      </c>
      <c r="M955" t="s">
        <v>1548</v>
      </c>
      <c r="N955">
        <v>13</v>
      </c>
      <c r="O955" s="1">
        <v>43344</v>
      </c>
      <c r="P955" t="s">
        <v>41</v>
      </c>
      <c r="Q955" t="s">
        <v>49</v>
      </c>
      <c r="R955" t="str">
        <f>"1081010"</f>
        <v>1081010</v>
      </c>
      <c r="S955" t="s">
        <v>1552</v>
      </c>
      <c r="T955" t="s">
        <v>1546</v>
      </c>
      <c r="U955" t="s">
        <v>1547</v>
      </c>
      <c r="V955" t="s">
        <v>1548</v>
      </c>
      <c r="W955" t="s">
        <v>51</v>
      </c>
      <c r="X955" t="s">
        <v>45</v>
      </c>
      <c r="Y955" s="1">
        <v>32842</v>
      </c>
      <c r="Z955">
        <v>2</v>
      </c>
      <c r="AA955" t="s">
        <v>1547</v>
      </c>
      <c r="AB955" s="40" t="s">
        <v>1796</v>
      </c>
    </row>
    <row r="956" spans="1:28" x14ac:dyDescent="0.25">
      <c r="A956">
        <v>99910955</v>
      </c>
      <c r="B956" t="s">
        <v>32</v>
      </c>
      <c r="C956" t="s">
        <v>61</v>
      </c>
      <c r="D956" t="s">
        <v>62</v>
      </c>
      <c r="G956" t="s">
        <v>48</v>
      </c>
      <c r="H956">
        <v>1</v>
      </c>
      <c r="K956" t="s">
        <v>1566</v>
      </c>
      <c r="L956" t="s">
        <v>1567</v>
      </c>
      <c r="M956" t="s">
        <v>1548</v>
      </c>
      <c r="N956">
        <v>13</v>
      </c>
      <c r="P956" t="s">
        <v>41</v>
      </c>
      <c r="Q956" t="s">
        <v>42</v>
      </c>
      <c r="R956" t="str">
        <f>"2961001"</f>
        <v>2961001</v>
      </c>
      <c r="S956" t="s">
        <v>1568</v>
      </c>
      <c r="T956" t="s">
        <v>1566</v>
      </c>
      <c r="U956" t="s">
        <v>1567</v>
      </c>
      <c r="V956" t="s">
        <v>1548</v>
      </c>
      <c r="W956" t="s">
        <v>51</v>
      </c>
      <c r="X956" t="s">
        <v>45</v>
      </c>
      <c r="Y956" s="1">
        <v>32587</v>
      </c>
      <c r="Z956">
        <v>2</v>
      </c>
      <c r="AA956" t="s">
        <v>1567</v>
      </c>
      <c r="AB956" s="40" t="s">
        <v>1796</v>
      </c>
    </row>
    <row r="957" spans="1:28" x14ac:dyDescent="0.25">
      <c r="A957">
        <v>99910956</v>
      </c>
      <c r="B957" t="s">
        <v>32</v>
      </c>
      <c r="C957" t="s">
        <v>33</v>
      </c>
      <c r="D957" t="s">
        <v>34</v>
      </c>
      <c r="G957" t="s">
        <v>35</v>
      </c>
      <c r="H957">
        <v>1</v>
      </c>
      <c r="I957" t="s">
        <v>1562</v>
      </c>
      <c r="J957" s="1">
        <v>43383</v>
      </c>
      <c r="K957" t="s">
        <v>1546</v>
      </c>
      <c r="L957" t="s">
        <v>1547</v>
      </c>
      <c r="M957" t="s">
        <v>1548</v>
      </c>
      <c r="N957">
        <v>13</v>
      </c>
      <c r="O957" s="1">
        <v>43383</v>
      </c>
      <c r="P957" t="s">
        <v>41</v>
      </c>
      <c r="Q957" t="s">
        <v>42</v>
      </c>
      <c r="R957" t="str">
        <f>"1080010"</f>
        <v>1080010</v>
      </c>
      <c r="S957" t="s">
        <v>1549</v>
      </c>
      <c r="T957" t="s">
        <v>1546</v>
      </c>
      <c r="U957" t="s">
        <v>1547</v>
      </c>
      <c r="V957" t="s">
        <v>1548</v>
      </c>
      <c r="W957" t="s">
        <v>55</v>
      </c>
      <c r="X957" t="s">
        <v>45</v>
      </c>
      <c r="Y957" s="1">
        <v>32186</v>
      </c>
      <c r="Z957">
        <v>2</v>
      </c>
      <c r="AA957" t="s">
        <v>1547</v>
      </c>
      <c r="AB957" s="40" t="s">
        <v>1796</v>
      </c>
    </row>
    <row r="958" spans="1:28" x14ac:dyDescent="0.25">
      <c r="A958">
        <v>99910957</v>
      </c>
      <c r="B958" t="s">
        <v>32</v>
      </c>
      <c r="C958" t="s">
        <v>68</v>
      </c>
      <c r="D958" t="s">
        <v>69</v>
      </c>
      <c r="G958" t="s">
        <v>35</v>
      </c>
      <c r="H958">
        <v>1</v>
      </c>
      <c r="I958">
        <v>0</v>
      </c>
      <c r="J958" s="1">
        <v>43344</v>
      </c>
      <c r="K958" t="s">
        <v>223</v>
      </c>
      <c r="L958" t="s">
        <v>224</v>
      </c>
      <c r="M958" t="s">
        <v>131</v>
      </c>
      <c r="N958">
        <v>13</v>
      </c>
      <c r="O958" s="1">
        <v>43344</v>
      </c>
      <c r="P958" t="s">
        <v>41</v>
      </c>
      <c r="Q958" t="s">
        <v>49</v>
      </c>
      <c r="R958" t="str">
        <f>"0581204"</f>
        <v>0581204</v>
      </c>
      <c r="S958" t="s">
        <v>249</v>
      </c>
      <c r="T958" t="s">
        <v>223</v>
      </c>
      <c r="U958" t="s">
        <v>224</v>
      </c>
      <c r="V958" t="s">
        <v>131</v>
      </c>
      <c r="W958" t="s">
        <v>44</v>
      </c>
      <c r="X958" t="s">
        <v>45</v>
      </c>
      <c r="Y958" s="1">
        <v>31987</v>
      </c>
      <c r="Z958">
        <v>2</v>
      </c>
      <c r="AA958" t="s">
        <v>224</v>
      </c>
      <c r="AB958" s="40" t="s">
        <v>1796</v>
      </c>
    </row>
    <row r="959" spans="1:28" x14ac:dyDescent="0.25">
      <c r="A959">
        <v>99910958</v>
      </c>
      <c r="B959" t="s">
        <v>32</v>
      </c>
      <c r="C959" t="s">
        <v>52</v>
      </c>
      <c r="D959" t="s">
        <v>53</v>
      </c>
      <c r="G959" t="s">
        <v>35</v>
      </c>
      <c r="H959">
        <v>1</v>
      </c>
      <c r="I959">
        <v>0</v>
      </c>
      <c r="J959" s="1">
        <v>43344</v>
      </c>
      <c r="K959" t="s">
        <v>223</v>
      </c>
      <c r="L959" t="s">
        <v>224</v>
      </c>
      <c r="M959" t="s">
        <v>131</v>
      </c>
      <c r="N959">
        <v>13</v>
      </c>
      <c r="O959" s="1">
        <v>43344</v>
      </c>
      <c r="P959" t="s">
        <v>41</v>
      </c>
      <c r="Q959" t="s">
        <v>49</v>
      </c>
      <c r="R959" t="str">
        <f>"0591901"</f>
        <v>0591901</v>
      </c>
      <c r="S959" t="s">
        <v>230</v>
      </c>
      <c r="T959" t="s">
        <v>223</v>
      </c>
      <c r="U959" t="s">
        <v>224</v>
      </c>
      <c r="V959" t="s">
        <v>131</v>
      </c>
      <c r="W959" t="s">
        <v>44</v>
      </c>
      <c r="X959" t="s">
        <v>45</v>
      </c>
      <c r="Y959" s="1">
        <v>31871</v>
      </c>
      <c r="Z959">
        <v>2</v>
      </c>
      <c r="AA959" t="s">
        <v>224</v>
      </c>
      <c r="AB959" s="40" t="s">
        <v>1796</v>
      </c>
    </row>
    <row r="960" spans="1:28" x14ac:dyDescent="0.25">
      <c r="A960">
        <v>99910959</v>
      </c>
      <c r="B960" t="s">
        <v>32</v>
      </c>
      <c r="C960" t="s">
        <v>82</v>
      </c>
      <c r="D960" t="s">
        <v>83</v>
      </c>
      <c r="G960" t="s">
        <v>35</v>
      </c>
      <c r="H960">
        <v>1</v>
      </c>
      <c r="I960" t="s">
        <v>1064</v>
      </c>
      <c r="J960" s="1">
        <v>43344</v>
      </c>
      <c r="K960" t="s">
        <v>1051</v>
      </c>
      <c r="L960" t="s">
        <v>1052</v>
      </c>
      <c r="M960" t="s">
        <v>1053</v>
      </c>
      <c r="N960">
        <v>13</v>
      </c>
      <c r="O960" s="1">
        <v>43344</v>
      </c>
      <c r="P960" t="s">
        <v>41</v>
      </c>
      <c r="Q960" t="s">
        <v>42</v>
      </c>
      <c r="R960" t="str">
        <f>"2061004"</f>
        <v>2061004</v>
      </c>
      <c r="S960" t="s">
        <v>1055</v>
      </c>
      <c r="T960" t="s">
        <v>1051</v>
      </c>
      <c r="U960" t="s">
        <v>1052</v>
      </c>
      <c r="V960" t="s">
        <v>1053</v>
      </c>
      <c r="W960" t="s">
        <v>44</v>
      </c>
      <c r="X960" t="s">
        <v>45</v>
      </c>
      <c r="Y960" s="1">
        <v>31851</v>
      </c>
      <c r="Z960">
        <v>2</v>
      </c>
      <c r="AA960" t="s">
        <v>1052</v>
      </c>
      <c r="AB960" s="40" t="s">
        <v>1796</v>
      </c>
    </row>
    <row r="961" spans="1:28" x14ac:dyDescent="0.25">
      <c r="A961">
        <v>99910960</v>
      </c>
      <c r="B961" t="s">
        <v>32</v>
      </c>
      <c r="C961" t="s">
        <v>61</v>
      </c>
      <c r="D961" t="s">
        <v>62</v>
      </c>
      <c r="G961" t="s">
        <v>35</v>
      </c>
      <c r="H961">
        <v>1</v>
      </c>
      <c r="I961" t="s">
        <v>720</v>
      </c>
      <c r="J961" s="1">
        <v>43344</v>
      </c>
      <c r="K961" t="s">
        <v>268</v>
      </c>
      <c r="L961" t="s">
        <v>269</v>
      </c>
      <c r="M961" t="s">
        <v>131</v>
      </c>
      <c r="N961">
        <v>13</v>
      </c>
      <c r="O961" s="1">
        <v>43344</v>
      </c>
      <c r="P961" t="s">
        <v>41</v>
      </c>
      <c r="Q961" t="s">
        <v>75</v>
      </c>
      <c r="R961" t="str">
        <f>"7052040"</f>
        <v>7052040</v>
      </c>
      <c r="S961" t="s">
        <v>591</v>
      </c>
      <c r="T961" t="s">
        <v>268</v>
      </c>
      <c r="U961" t="s">
        <v>269</v>
      </c>
      <c r="V961" t="s">
        <v>131</v>
      </c>
      <c r="W961" t="s">
        <v>44</v>
      </c>
      <c r="X961" t="s">
        <v>45</v>
      </c>
      <c r="Y961" s="1">
        <v>30954</v>
      </c>
      <c r="Z961">
        <v>1</v>
      </c>
      <c r="AA961" t="s">
        <v>269</v>
      </c>
      <c r="AB961" s="40" t="s">
        <v>1796</v>
      </c>
    </row>
    <row r="962" spans="1:28" x14ac:dyDescent="0.25">
      <c r="A962">
        <v>99910961</v>
      </c>
      <c r="B962" t="s">
        <v>32</v>
      </c>
      <c r="C962" t="s">
        <v>64</v>
      </c>
      <c r="D962" t="s">
        <v>65</v>
      </c>
      <c r="G962" t="s">
        <v>48</v>
      </c>
      <c r="H962">
        <v>1</v>
      </c>
      <c r="K962" t="s">
        <v>1198</v>
      </c>
      <c r="L962" t="s">
        <v>1199</v>
      </c>
      <c r="M962" t="s">
        <v>1130</v>
      </c>
      <c r="N962">
        <v>13</v>
      </c>
      <c r="P962" t="s">
        <v>41</v>
      </c>
      <c r="Q962" t="s">
        <v>75</v>
      </c>
      <c r="R962" t="str">
        <f>"7311010"</f>
        <v>7311010</v>
      </c>
      <c r="S962" t="s">
        <v>1202</v>
      </c>
      <c r="T962" t="s">
        <v>1198</v>
      </c>
      <c r="U962" t="s">
        <v>1199</v>
      </c>
      <c r="V962" t="s">
        <v>1130</v>
      </c>
      <c r="W962" t="s">
        <v>51</v>
      </c>
      <c r="X962" t="s">
        <v>45</v>
      </c>
      <c r="Y962" s="1">
        <v>30909</v>
      </c>
      <c r="Z962">
        <v>1</v>
      </c>
      <c r="AA962" t="s">
        <v>1199</v>
      </c>
      <c r="AB962" s="40" t="s">
        <v>1796</v>
      </c>
    </row>
    <row r="963" spans="1:28" x14ac:dyDescent="0.25">
      <c r="A963">
        <v>99910962</v>
      </c>
      <c r="B963" t="s">
        <v>32</v>
      </c>
      <c r="C963" t="s">
        <v>52</v>
      </c>
      <c r="D963" t="s">
        <v>53</v>
      </c>
      <c r="G963" t="s">
        <v>35</v>
      </c>
      <c r="H963">
        <v>1</v>
      </c>
      <c r="K963" t="s">
        <v>300</v>
      </c>
      <c r="L963" t="s">
        <v>301</v>
      </c>
      <c r="M963" t="s">
        <v>131</v>
      </c>
      <c r="N963">
        <v>13</v>
      </c>
      <c r="P963" t="s">
        <v>41</v>
      </c>
      <c r="Q963" t="s">
        <v>42</v>
      </c>
      <c r="R963" t="str">
        <f>"0580457"</f>
        <v>0580457</v>
      </c>
      <c r="S963" t="s">
        <v>310</v>
      </c>
      <c r="T963" t="s">
        <v>300</v>
      </c>
      <c r="U963" t="s">
        <v>301</v>
      </c>
      <c r="V963" t="s">
        <v>131</v>
      </c>
      <c r="W963" t="s">
        <v>51</v>
      </c>
      <c r="X963" t="s">
        <v>45</v>
      </c>
      <c r="Y963" s="1">
        <v>30900</v>
      </c>
      <c r="Z963">
        <v>2</v>
      </c>
      <c r="AA963" t="s">
        <v>301</v>
      </c>
      <c r="AB963" s="40" t="s">
        <v>1796</v>
      </c>
    </row>
    <row r="964" spans="1:28" x14ac:dyDescent="0.25">
      <c r="A964">
        <v>99910963</v>
      </c>
      <c r="B964" t="s">
        <v>32</v>
      </c>
      <c r="C964" t="s">
        <v>64</v>
      </c>
      <c r="D964" t="s">
        <v>65</v>
      </c>
      <c r="G964" t="s">
        <v>48</v>
      </c>
      <c r="H964">
        <v>1</v>
      </c>
      <c r="I964" t="s">
        <v>582</v>
      </c>
      <c r="J964" s="1">
        <v>41941</v>
      </c>
      <c r="K964" t="s">
        <v>268</v>
      </c>
      <c r="L964" t="s">
        <v>269</v>
      </c>
      <c r="M964" t="s">
        <v>131</v>
      </c>
      <c r="N964">
        <v>13</v>
      </c>
      <c r="O964" s="1">
        <v>41941</v>
      </c>
      <c r="P964" t="s">
        <v>41</v>
      </c>
      <c r="Q964" t="s">
        <v>75</v>
      </c>
      <c r="R964" t="str">
        <f>"7052042"</f>
        <v>7052042</v>
      </c>
      <c r="S964" t="s">
        <v>583</v>
      </c>
      <c r="T964" t="s">
        <v>268</v>
      </c>
      <c r="U964" t="s">
        <v>269</v>
      </c>
      <c r="V964" t="s">
        <v>131</v>
      </c>
      <c r="W964" t="s">
        <v>51</v>
      </c>
      <c r="X964" t="s">
        <v>45</v>
      </c>
      <c r="Y964" s="1">
        <v>30682</v>
      </c>
      <c r="Z964">
        <v>1</v>
      </c>
      <c r="AA964" t="s">
        <v>269</v>
      </c>
      <c r="AB964" s="40" t="s">
        <v>1796</v>
      </c>
    </row>
    <row r="965" spans="1:28" x14ac:dyDescent="0.25">
      <c r="A965">
        <v>99910964</v>
      </c>
      <c r="B965" t="s">
        <v>32</v>
      </c>
      <c r="C965" t="s">
        <v>64</v>
      </c>
      <c r="D965" t="s">
        <v>65</v>
      </c>
      <c r="G965" t="s">
        <v>35</v>
      </c>
      <c r="H965">
        <v>1</v>
      </c>
      <c r="I965">
        <v>11609</v>
      </c>
      <c r="J965" s="1">
        <v>43344</v>
      </c>
      <c r="K965" t="s">
        <v>354</v>
      </c>
      <c r="L965" t="s">
        <v>355</v>
      </c>
      <c r="M965" t="s">
        <v>131</v>
      </c>
      <c r="N965">
        <v>13</v>
      </c>
      <c r="O965" s="1">
        <v>43344</v>
      </c>
      <c r="P965" t="s">
        <v>41</v>
      </c>
      <c r="Q965" t="s">
        <v>75</v>
      </c>
      <c r="R965" t="str">
        <f>"7054042"</f>
        <v>7054042</v>
      </c>
      <c r="S965" t="s">
        <v>776</v>
      </c>
      <c r="T965" t="s">
        <v>354</v>
      </c>
      <c r="U965" t="s">
        <v>355</v>
      </c>
      <c r="V965" t="s">
        <v>131</v>
      </c>
      <c r="W965" t="s">
        <v>44</v>
      </c>
      <c r="X965" t="s">
        <v>45</v>
      </c>
      <c r="Y965" s="1">
        <v>30612</v>
      </c>
      <c r="Z965">
        <v>1</v>
      </c>
      <c r="AA965" t="s">
        <v>355</v>
      </c>
      <c r="AB965" s="40" t="s">
        <v>1796</v>
      </c>
    </row>
    <row r="966" spans="1:28" x14ac:dyDescent="0.25">
      <c r="A966">
        <v>99910965</v>
      </c>
      <c r="B966" t="s">
        <v>56</v>
      </c>
      <c r="C966" t="s">
        <v>61</v>
      </c>
      <c r="D966" t="s">
        <v>62</v>
      </c>
      <c r="G966" t="s">
        <v>48</v>
      </c>
      <c r="H966">
        <v>1</v>
      </c>
      <c r="K966" t="s">
        <v>345</v>
      </c>
      <c r="L966" t="s">
        <v>346</v>
      </c>
      <c r="M966" t="s">
        <v>131</v>
      </c>
      <c r="N966">
        <v>13</v>
      </c>
      <c r="P966" t="s">
        <v>41</v>
      </c>
      <c r="Q966" t="s">
        <v>42</v>
      </c>
      <c r="R966" t="str">
        <f>"0580605"</f>
        <v>0580605</v>
      </c>
      <c r="S966" t="s">
        <v>362</v>
      </c>
      <c r="T966" t="s">
        <v>345</v>
      </c>
      <c r="U966" t="s">
        <v>346</v>
      </c>
      <c r="V966" t="s">
        <v>131</v>
      </c>
      <c r="W966" t="s">
        <v>51</v>
      </c>
      <c r="X966" t="s">
        <v>45</v>
      </c>
      <c r="Y966" s="1">
        <v>30454</v>
      </c>
      <c r="Z966">
        <v>2</v>
      </c>
      <c r="AA966" t="s">
        <v>346</v>
      </c>
      <c r="AB966" s="40" t="s">
        <v>1796</v>
      </c>
    </row>
    <row r="967" spans="1:28" x14ac:dyDescent="0.25">
      <c r="A967">
        <v>99910966</v>
      </c>
      <c r="B967" t="s">
        <v>32</v>
      </c>
      <c r="C967" t="s">
        <v>139</v>
      </c>
      <c r="D967" t="s">
        <v>140</v>
      </c>
      <c r="G967" t="s">
        <v>48</v>
      </c>
      <c r="H967">
        <v>1</v>
      </c>
      <c r="K967" t="s">
        <v>223</v>
      </c>
      <c r="L967" t="s">
        <v>224</v>
      </c>
      <c r="M967" t="s">
        <v>131</v>
      </c>
      <c r="N967">
        <v>13</v>
      </c>
      <c r="P967" t="s">
        <v>41</v>
      </c>
      <c r="Q967" t="s">
        <v>49</v>
      </c>
      <c r="R967" t="str">
        <f>"0540902"</f>
        <v>0540902</v>
      </c>
      <c r="S967" t="s">
        <v>256</v>
      </c>
      <c r="T967" t="s">
        <v>223</v>
      </c>
      <c r="U967" t="s">
        <v>224</v>
      </c>
      <c r="V967" t="s">
        <v>131</v>
      </c>
      <c r="W967" t="s">
        <v>51</v>
      </c>
      <c r="X967" t="s">
        <v>45</v>
      </c>
      <c r="Y967" s="1">
        <v>30361</v>
      </c>
      <c r="Z967">
        <v>2</v>
      </c>
      <c r="AA967" t="s">
        <v>224</v>
      </c>
      <c r="AB967" s="40" t="s">
        <v>1796</v>
      </c>
    </row>
    <row r="968" spans="1:28" x14ac:dyDescent="0.25">
      <c r="A968">
        <v>99910967</v>
      </c>
      <c r="B968" t="s">
        <v>32</v>
      </c>
      <c r="C968" t="s">
        <v>33</v>
      </c>
      <c r="D968" t="s">
        <v>34</v>
      </c>
      <c r="G968" t="s">
        <v>35</v>
      </c>
      <c r="H968">
        <v>1</v>
      </c>
      <c r="I968" t="s">
        <v>1056</v>
      </c>
      <c r="J968" s="1">
        <v>42986</v>
      </c>
      <c r="K968" t="s">
        <v>1051</v>
      </c>
      <c r="L968" t="s">
        <v>1052</v>
      </c>
      <c r="M968" t="s">
        <v>1053</v>
      </c>
      <c r="N968">
        <v>13</v>
      </c>
      <c r="O968" s="1">
        <v>42986</v>
      </c>
      <c r="P968" t="s">
        <v>41</v>
      </c>
      <c r="Q968" t="s">
        <v>42</v>
      </c>
      <c r="R968" t="str">
        <f>"2061004"</f>
        <v>2061004</v>
      </c>
      <c r="S968" t="s">
        <v>1055</v>
      </c>
      <c r="T968" t="s">
        <v>1051</v>
      </c>
      <c r="U968" t="s">
        <v>1052</v>
      </c>
      <c r="V968" t="s">
        <v>1053</v>
      </c>
      <c r="W968" t="s">
        <v>44</v>
      </c>
      <c r="X968" t="s">
        <v>45</v>
      </c>
      <c r="Y968" s="1">
        <v>30317</v>
      </c>
      <c r="Z968">
        <v>2</v>
      </c>
      <c r="AA968" t="s">
        <v>1052</v>
      </c>
      <c r="AB968" s="40" t="s">
        <v>1796</v>
      </c>
    </row>
    <row r="969" spans="1:28" x14ac:dyDescent="0.25">
      <c r="A969">
        <v>99910968</v>
      </c>
      <c r="B969" t="s">
        <v>32</v>
      </c>
      <c r="C969" t="s">
        <v>139</v>
      </c>
      <c r="D969" t="s">
        <v>140</v>
      </c>
      <c r="G969" t="s">
        <v>35</v>
      </c>
      <c r="H969">
        <v>1</v>
      </c>
      <c r="I969">
        <v>19677</v>
      </c>
      <c r="J969" s="1">
        <v>43362</v>
      </c>
      <c r="K969" t="s">
        <v>380</v>
      </c>
      <c r="L969" t="s">
        <v>381</v>
      </c>
      <c r="M969" t="s">
        <v>131</v>
      </c>
      <c r="N969">
        <v>13</v>
      </c>
      <c r="O969" s="1">
        <v>43362</v>
      </c>
      <c r="P969" t="s">
        <v>41</v>
      </c>
      <c r="Q969" t="s">
        <v>49</v>
      </c>
      <c r="R969" t="str">
        <f>"0591909"</f>
        <v>0591909</v>
      </c>
      <c r="S969" t="s">
        <v>385</v>
      </c>
      <c r="T969" t="s">
        <v>380</v>
      </c>
      <c r="U969" t="s">
        <v>381</v>
      </c>
      <c r="V969" t="s">
        <v>131</v>
      </c>
      <c r="W969" t="s">
        <v>44</v>
      </c>
      <c r="X969" t="s">
        <v>45</v>
      </c>
      <c r="Y969" s="1">
        <v>29735</v>
      </c>
      <c r="Z969">
        <v>2</v>
      </c>
      <c r="AA969" t="s">
        <v>381</v>
      </c>
      <c r="AB969" s="40" t="s">
        <v>1796</v>
      </c>
    </row>
    <row r="970" spans="1:28" x14ac:dyDescent="0.25">
      <c r="A970">
        <v>99910969</v>
      </c>
      <c r="B970" t="s">
        <v>32</v>
      </c>
      <c r="C970" t="s">
        <v>64</v>
      </c>
      <c r="D970" t="s">
        <v>65</v>
      </c>
      <c r="G970" t="s">
        <v>48</v>
      </c>
      <c r="H970">
        <v>1</v>
      </c>
      <c r="K970" t="s">
        <v>300</v>
      </c>
      <c r="L970" t="s">
        <v>301</v>
      </c>
      <c r="M970" t="s">
        <v>131</v>
      </c>
      <c r="N970">
        <v>13</v>
      </c>
      <c r="P970" t="s">
        <v>41</v>
      </c>
      <c r="Q970" t="s">
        <v>49</v>
      </c>
      <c r="R970" t="str">
        <f>"0560020"</f>
        <v>0560020</v>
      </c>
      <c r="S970" t="s">
        <v>302</v>
      </c>
      <c r="T970" t="s">
        <v>300</v>
      </c>
      <c r="U970" t="s">
        <v>301</v>
      </c>
      <c r="V970" t="s">
        <v>131</v>
      </c>
      <c r="W970" t="s">
        <v>51</v>
      </c>
      <c r="X970" t="s">
        <v>45</v>
      </c>
      <c r="Y970" s="1">
        <v>29369</v>
      </c>
      <c r="Z970">
        <v>2</v>
      </c>
      <c r="AA970" t="s">
        <v>301</v>
      </c>
      <c r="AB970" s="40" t="s">
        <v>1796</v>
      </c>
    </row>
    <row r="971" spans="1:28" x14ac:dyDescent="0.25">
      <c r="A971">
        <v>99910970</v>
      </c>
      <c r="B971" t="s">
        <v>32</v>
      </c>
      <c r="C971" t="s">
        <v>46</v>
      </c>
      <c r="D971" t="s">
        <v>47</v>
      </c>
      <c r="G971" t="s">
        <v>48</v>
      </c>
      <c r="H971">
        <v>1</v>
      </c>
      <c r="K971" t="s">
        <v>1566</v>
      </c>
      <c r="L971" t="s">
        <v>1567</v>
      </c>
      <c r="M971" t="s">
        <v>1548</v>
      </c>
      <c r="N971">
        <v>13</v>
      </c>
      <c r="P971" t="s">
        <v>41</v>
      </c>
      <c r="Q971" t="s">
        <v>42</v>
      </c>
      <c r="R971" t="str">
        <f>"2961001"</f>
        <v>2961001</v>
      </c>
      <c r="S971" t="s">
        <v>1568</v>
      </c>
      <c r="T971" t="s">
        <v>1566</v>
      </c>
      <c r="U971" t="s">
        <v>1567</v>
      </c>
      <c r="V971" t="s">
        <v>1548</v>
      </c>
      <c r="W971" t="s">
        <v>51</v>
      </c>
      <c r="X971" t="s">
        <v>45</v>
      </c>
      <c r="Y971" s="1">
        <v>29221</v>
      </c>
      <c r="Z971">
        <v>2</v>
      </c>
      <c r="AA971" t="s">
        <v>1567</v>
      </c>
      <c r="AB971" s="40" t="s">
        <v>1796</v>
      </c>
    </row>
    <row r="972" spans="1:28" x14ac:dyDescent="0.25">
      <c r="A972">
        <v>99910971</v>
      </c>
      <c r="B972" t="s">
        <v>32</v>
      </c>
      <c r="C972" t="s">
        <v>64</v>
      </c>
      <c r="D972" t="s">
        <v>65</v>
      </c>
      <c r="G972" t="s">
        <v>35</v>
      </c>
      <c r="H972">
        <v>1</v>
      </c>
      <c r="I972">
        <v>0</v>
      </c>
      <c r="J972" s="1">
        <v>43344</v>
      </c>
      <c r="K972" t="s">
        <v>223</v>
      </c>
      <c r="L972" t="s">
        <v>224</v>
      </c>
      <c r="M972" t="s">
        <v>131</v>
      </c>
      <c r="N972">
        <v>13</v>
      </c>
      <c r="O972" s="1">
        <v>43344</v>
      </c>
      <c r="P972" t="s">
        <v>41</v>
      </c>
      <c r="Q972" t="s">
        <v>49</v>
      </c>
      <c r="R972" t="str">
        <f>"0591901"</f>
        <v>0591901</v>
      </c>
      <c r="S972" t="s">
        <v>230</v>
      </c>
      <c r="T972" t="s">
        <v>223</v>
      </c>
      <c r="U972" t="s">
        <v>224</v>
      </c>
      <c r="V972" t="s">
        <v>131</v>
      </c>
      <c r="W972" t="s">
        <v>44</v>
      </c>
      <c r="X972" t="s">
        <v>45</v>
      </c>
      <c r="Y972" s="1">
        <v>29138</v>
      </c>
      <c r="Z972">
        <v>2</v>
      </c>
      <c r="AA972" t="s">
        <v>224</v>
      </c>
      <c r="AB972" s="40" t="s">
        <v>1796</v>
      </c>
    </row>
    <row r="973" spans="1:28" x14ac:dyDescent="0.25">
      <c r="A973">
        <v>99910972</v>
      </c>
      <c r="B973" t="s">
        <v>56</v>
      </c>
      <c r="C973" t="s">
        <v>68</v>
      </c>
      <c r="D973" t="s">
        <v>69</v>
      </c>
      <c r="G973" t="s">
        <v>35</v>
      </c>
      <c r="H973">
        <v>1</v>
      </c>
      <c r="K973" t="s">
        <v>1546</v>
      </c>
      <c r="L973" t="s">
        <v>1547</v>
      </c>
      <c r="M973" t="s">
        <v>1548</v>
      </c>
      <c r="N973">
        <v>13</v>
      </c>
      <c r="P973" t="s">
        <v>41</v>
      </c>
      <c r="Q973" t="s">
        <v>42</v>
      </c>
      <c r="R973" t="str">
        <f>"1080010"</f>
        <v>1080010</v>
      </c>
      <c r="S973" t="s">
        <v>1549</v>
      </c>
      <c r="T973" t="s">
        <v>1546</v>
      </c>
      <c r="U973" t="s">
        <v>1547</v>
      </c>
      <c r="V973" t="s">
        <v>1548</v>
      </c>
      <c r="W973" t="s">
        <v>51</v>
      </c>
      <c r="X973" t="s">
        <v>45</v>
      </c>
      <c r="Y973" s="1">
        <v>29043</v>
      </c>
      <c r="Z973">
        <v>2</v>
      </c>
      <c r="AA973" t="s">
        <v>1547</v>
      </c>
      <c r="AB973" s="40" t="s">
        <v>1796</v>
      </c>
    </row>
    <row r="974" spans="1:28" x14ac:dyDescent="0.25">
      <c r="A974">
        <v>99910973</v>
      </c>
      <c r="B974" t="s">
        <v>56</v>
      </c>
      <c r="C974" t="s">
        <v>71</v>
      </c>
      <c r="D974" t="s">
        <v>72</v>
      </c>
      <c r="G974" t="s">
        <v>48</v>
      </c>
      <c r="H974">
        <v>1</v>
      </c>
      <c r="K974" t="s">
        <v>985</v>
      </c>
      <c r="L974" t="s">
        <v>986</v>
      </c>
      <c r="M974" t="s">
        <v>938</v>
      </c>
      <c r="N974">
        <v>13</v>
      </c>
      <c r="P974" t="s">
        <v>41</v>
      </c>
      <c r="Q974" t="s">
        <v>75</v>
      </c>
      <c r="R974" t="str">
        <f>"7011000"</f>
        <v>7011000</v>
      </c>
      <c r="S974" t="s">
        <v>989</v>
      </c>
      <c r="T974" t="s">
        <v>985</v>
      </c>
      <c r="U974" t="s">
        <v>986</v>
      </c>
      <c r="V974" t="s">
        <v>938</v>
      </c>
      <c r="W974" t="s">
        <v>51</v>
      </c>
      <c r="X974" t="s">
        <v>45</v>
      </c>
      <c r="Y974" s="1">
        <v>29024</v>
      </c>
      <c r="Z974">
        <v>1</v>
      </c>
      <c r="AA974" t="s">
        <v>986</v>
      </c>
      <c r="AB974" s="40" t="s">
        <v>1796</v>
      </c>
    </row>
    <row r="975" spans="1:28" x14ac:dyDescent="0.25">
      <c r="A975">
        <v>99910974</v>
      </c>
      <c r="B975" t="s">
        <v>32</v>
      </c>
      <c r="C975" t="s">
        <v>79</v>
      </c>
      <c r="D975" t="s">
        <v>80</v>
      </c>
      <c r="G975" t="s">
        <v>35</v>
      </c>
      <c r="H975">
        <v>1</v>
      </c>
      <c r="I975" t="s">
        <v>1142</v>
      </c>
      <c r="J975" s="1">
        <v>43344</v>
      </c>
      <c r="K975" t="s">
        <v>1128</v>
      </c>
      <c r="L975" t="s">
        <v>1129</v>
      </c>
      <c r="M975" t="s">
        <v>1130</v>
      </c>
      <c r="N975">
        <v>13</v>
      </c>
      <c r="O975" s="1">
        <v>43344</v>
      </c>
      <c r="P975" t="s">
        <v>41</v>
      </c>
      <c r="Q975" t="s">
        <v>42</v>
      </c>
      <c r="R975" t="str">
        <f>"3180015"</f>
        <v>3180015</v>
      </c>
      <c r="S975" t="s">
        <v>1139</v>
      </c>
      <c r="T975" t="s">
        <v>1128</v>
      </c>
      <c r="U975" t="s">
        <v>1129</v>
      </c>
      <c r="V975" t="s">
        <v>1130</v>
      </c>
      <c r="W975" t="s">
        <v>51</v>
      </c>
      <c r="X975" t="s">
        <v>45</v>
      </c>
      <c r="Y975" s="1">
        <v>28957</v>
      </c>
      <c r="Z975">
        <v>2</v>
      </c>
      <c r="AA975" t="s">
        <v>1129</v>
      </c>
      <c r="AB975" s="40" t="s">
        <v>1796</v>
      </c>
    </row>
    <row r="976" spans="1:28" x14ac:dyDescent="0.25">
      <c r="A976">
        <v>99910975</v>
      </c>
      <c r="B976" t="s">
        <v>32</v>
      </c>
      <c r="C976" t="s">
        <v>79</v>
      </c>
      <c r="D976" t="s">
        <v>80</v>
      </c>
      <c r="G976" t="s">
        <v>48</v>
      </c>
      <c r="H976">
        <v>1</v>
      </c>
      <c r="K976" t="s">
        <v>300</v>
      </c>
      <c r="L976" t="s">
        <v>301</v>
      </c>
      <c r="M976" t="s">
        <v>131</v>
      </c>
      <c r="N976">
        <v>13</v>
      </c>
      <c r="P976" t="s">
        <v>41</v>
      </c>
      <c r="Q976" t="s">
        <v>49</v>
      </c>
      <c r="R976" t="str">
        <f>"0560001"</f>
        <v>0560001</v>
      </c>
      <c r="S976" t="s">
        <v>304</v>
      </c>
      <c r="T976" t="s">
        <v>300</v>
      </c>
      <c r="U976" t="s">
        <v>301</v>
      </c>
      <c r="V976" t="s">
        <v>131</v>
      </c>
      <c r="W976" t="s">
        <v>51</v>
      </c>
      <c r="X976" t="s">
        <v>45</v>
      </c>
      <c r="Y976" s="1">
        <v>28800</v>
      </c>
      <c r="Z976">
        <v>2</v>
      </c>
      <c r="AA976" t="s">
        <v>301</v>
      </c>
      <c r="AB976" s="40" t="s">
        <v>1796</v>
      </c>
    </row>
    <row r="977" spans="1:28" x14ac:dyDescent="0.25">
      <c r="A977">
        <v>99910976</v>
      </c>
      <c r="B977" t="s">
        <v>56</v>
      </c>
      <c r="C977" t="s">
        <v>85</v>
      </c>
      <c r="D977" t="s">
        <v>86</v>
      </c>
      <c r="G977" t="s">
        <v>48</v>
      </c>
      <c r="H977">
        <v>1</v>
      </c>
      <c r="K977" t="s">
        <v>1613</v>
      </c>
      <c r="L977" t="s">
        <v>1614</v>
      </c>
      <c r="M977" t="s">
        <v>1592</v>
      </c>
      <c r="N977">
        <v>13</v>
      </c>
      <c r="P977" t="s">
        <v>41</v>
      </c>
      <c r="Q977" t="s">
        <v>49</v>
      </c>
      <c r="R977" t="str">
        <f>"2860001"</f>
        <v>2860001</v>
      </c>
      <c r="S977" t="s">
        <v>1616</v>
      </c>
      <c r="T977" t="s">
        <v>1613</v>
      </c>
      <c r="U977" t="s">
        <v>1614</v>
      </c>
      <c r="V977" t="s">
        <v>1592</v>
      </c>
      <c r="W977" t="s">
        <v>51</v>
      </c>
      <c r="X977" t="s">
        <v>45</v>
      </c>
      <c r="Y977" s="1">
        <v>28432</v>
      </c>
      <c r="Z977">
        <v>2</v>
      </c>
      <c r="AA977" t="s">
        <v>1614</v>
      </c>
      <c r="AB977" s="40" t="s">
        <v>1796</v>
      </c>
    </row>
    <row r="978" spans="1:28" x14ac:dyDescent="0.25">
      <c r="A978">
        <v>99910977</v>
      </c>
      <c r="B978" t="s">
        <v>32</v>
      </c>
      <c r="C978" t="s">
        <v>52</v>
      </c>
      <c r="D978" t="s">
        <v>53</v>
      </c>
      <c r="G978" t="s">
        <v>48</v>
      </c>
      <c r="H978">
        <v>1</v>
      </c>
      <c r="K978" t="s">
        <v>162</v>
      </c>
      <c r="L978" t="s">
        <v>158</v>
      </c>
      <c r="M978" t="s">
        <v>131</v>
      </c>
      <c r="N978">
        <v>13</v>
      </c>
      <c r="P978" t="s">
        <v>41</v>
      </c>
      <c r="Q978" t="s">
        <v>49</v>
      </c>
      <c r="R978" t="str">
        <f>"0560027"</f>
        <v>0560027</v>
      </c>
      <c r="S978" t="s">
        <v>178</v>
      </c>
      <c r="T978" t="s">
        <v>162</v>
      </c>
      <c r="U978" t="s">
        <v>158</v>
      </c>
      <c r="V978" t="s">
        <v>131</v>
      </c>
      <c r="W978" t="s">
        <v>51</v>
      </c>
      <c r="X978" t="s">
        <v>45</v>
      </c>
      <c r="Y978" s="1">
        <v>28424</v>
      </c>
      <c r="Z978">
        <v>2</v>
      </c>
      <c r="AA978" t="s">
        <v>158</v>
      </c>
      <c r="AB978" s="40" t="s">
        <v>1796</v>
      </c>
    </row>
    <row r="979" spans="1:28" x14ac:dyDescent="0.25">
      <c r="A979">
        <v>99910978</v>
      </c>
      <c r="B979" t="s">
        <v>32</v>
      </c>
      <c r="C979" t="s">
        <v>139</v>
      </c>
      <c r="D979" t="s">
        <v>140</v>
      </c>
      <c r="G979" t="s">
        <v>48</v>
      </c>
      <c r="H979">
        <v>1</v>
      </c>
      <c r="K979" t="s">
        <v>380</v>
      </c>
      <c r="L979" t="s">
        <v>381</v>
      </c>
      <c r="M979" t="s">
        <v>131</v>
      </c>
      <c r="N979">
        <v>13</v>
      </c>
      <c r="P979" t="s">
        <v>41</v>
      </c>
      <c r="Q979" t="s">
        <v>49</v>
      </c>
      <c r="R979" t="str">
        <f>"0591908"</f>
        <v>0591908</v>
      </c>
      <c r="S979" t="s">
        <v>383</v>
      </c>
      <c r="T979" t="s">
        <v>380</v>
      </c>
      <c r="U979" t="s">
        <v>381</v>
      </c>
      <c r="V979" t="s">
        <v>131</v>
      </c>
      <c r="W979" t="s">
        <v>51</v>
      </c>
      <c r="X979" t="s">
        <v>45</v>
      </c>
      <c r="Y979" s="1">
        <v>28374</v>
      </c>
      <c r="Z979">
        <v>2</v>
      </c>
      <c r="AA979" t="s">
        <v>381</v>
      </c>
      <c r="AB979" s="40" t="s">
        <v>1796</v>
      </c>
    </row>
    <row r="980" spans="1:28" x14ac:dyDescent="0.25">
      <c r="A980">
        <v>99910979</v>
      </c>
      <c r="B980" t="s">
        <v>56</v>
      </c>
      <c r="C980" t="s">
        <v>58</v>
      </c>
      <c r="D980" t="s">
        <v>59</v>
      </c>
      <c r="G980" t="s">
        <v>35</v>
      </c>
      <c r="H980">
        <v>1</v>
      </c>
      <c r="I980" t="s">
        <v>60</v>
      </c>
      <c r="J980" s="1">
        <v>42989</v>
      </c>
      <c r="K980" t="s">
        <v>37</v>
      </c>
      <c r="L980" t="s">
        <v>38</v>
      </c>
      <c r="M980" t="s">
        <v>39</v>
      </c>
      <c r="N980">
        <v>13</v>
      </c>
      <c r="O980" s="1">
        <v>42989</v>
      </c>
      <c r="P980" t="s">
        <v>41</v>
      </c>
      <c r="Q980" t="s">
        <v>42</v>
      </c>
      <c r="R980" t="str">
        <f>"3780010"</f>
        <v>3780010</v>
      </c>
      <c r="S980" t="s">
        <v>43</v>
      </c>
      <c r="T980" t="s">
        <v>37</v>
      </c>
      <c r="U980" t="s">
        <v>38</v>
      </c>
      <c r="V980" t="s">
        <v>39</v>
      </c>
      <c r="W980" t="s">
        <v>44</v>
      </c>
      <c r="X980" t="s">
        <v>45</v>
      </c>
      <c r="Y980" s="1">
        <v>28313</v>
      </c>
      <c r="Z980">
        <v>2</v>
      </c>
      <c r="AA980" t="s">
        <v>38</v>
      </c>
      <c r="AB980" s="40" t="s">
        <v>1796</v>
      </c>
    </row>
    <row r="981" spans="1:28" x14ac:dyDescent="0.25">
      <c r="A981">
        <v>99910980</v>
      </c>
      <c r="B981" t="s">
        <v>56</v>
      </c>
      <c r="C981" t="s">
        <v>52</v>
      </c>
      <c r="D981" t="s">
        <v>53</v>
      </c>
      <c r="G981" t="s">
        <v>35</v>
      </c>
      <c r="H981">
        <v>1</v>
      </c>
      <c r="K981" t="s">
        <v>380</v>
      </c>
      <c r="L981" t="s">
        <v>381</v>
      </c>
      <c r="M981" t="s">
        <v>131</v>
      </c>
      <c r="N981">
        <v>13</v>
      </c>
      <c r="P981" t="s">
        <v>41</v>
      </c>
      <c r="Q981" t="s">
        <v>42</v>
      </c>
      <c r="R981" t="str">
        <f>"0590908"</f>
        <v>0590908</v>
      </c>
      <c r="S981" t="s">
        <v>382</v>
      </c>
      <c r="T981" t="s">
        <v>380</v>
      </c>
      <c r="U981" t="s">
        <v>381</v>
      </c>
      <c r="V981" t="s">
        <v>131</v>
      </c>
      <c r="W981" t="s">
        <v>44</v>
      </c>
      <c r="X981" t="s">
        <v>45</v>
      </c>
      <c r="Y981" s="1">
        <v>27934</v>
      </c>
      <c r="Z981">
        <v>2</v>
      </c>
      <c r="AA981" t="s">
        <v>381</v>
      </c>
      <c r="AB981" s="40" t="s">
        <v>1796</v>
      </c>
    </row>
    <row r="982" spans="1:28" x14ac:dyDescent="0.25">
      <c r="A982">
        <v>99910981</v>
      </c>
      <c r="B982" t="s">
        <v>32</v>
      </c>
      <c r="C982" t="s">
        <v>64</v>
      </c>
      <c r="D982" t="s">
        <v>65</v>
      </c>
      <c r="G982" t="s">
        <v>48</v>
      </c>
      <c r="H982">
        <v>1</v>
      </c>
      <c r="K982" t="s">
        <v>380</v>
      </c>
      <c r="L982" t="s">
        <v>381</v>
      </c>
      <c r="M982" t="s">
        <v>131</v>
      </c>
      <c r="N982">
        <v>13</v>
      </c>
      <c r="P982" t="s">
        <v>41</v>
      </c>
      <c r="Q982" t="s">
        <v>49</v>
      </c>
      <c r="R982" t="str">
        <f>"0591908"</f>
        <v>0591908</v>
      </c>
      <c r="S982" t="s">
        <v>383</v>
      </c>
      <c r="T982" t="s">
        <v>380</v>
      </c>
      <c r="U982" t="s">
        <v>381</v>
      </c>
      <c r="V982" t="s">
        <v>131</v>
      </c>
      <c r="W982" t="s">
        <v>51</v>
      </c>
      <c r="X982" t="s">
        <v>45</v>
      </c>
      <c r="Y982" s="1">
        <v>27925</v>
      </c>
      <c r="Z982">
        <v>2</v>
      </c>
      <c r="AA982" t="s">
        <v>381</v>
      </c>
      <c r="AB982" s="40" t="s">
        <v>1796</v>
      </c>
    </row>
    <row r="983" spans="1:28" x14ac:dyDescent="0.25">
      <c r="A983">
        <v>99910982</v>
      </c>
      <c r="B983" t="s">
        <v>32</v>
      </c>
      <c r="C983" t="s">
        <v>82</v>
      </c>
      <c r="D983" t="s">
        <v>83</v>
      </c>
      <c r="G983" t="s">
        <v>48</v>
      </c>
      <c r="H983">
        <v>1</v>
      </c>
      <c r="K983" t="s">
        <v>936</v>
      </c>
      <c r="L983" t="s">
        <v>937</v>
      </c>
      <c r="M983" t="s">
        <v>938</v>
      </c>
      <c r="N983">
        <v>13</v>
      </c>
      <c r="P983" t="s">
        <v>41</v>
      </c>
      <c r="Q983" t="s">
        <v>49</v>
      </c>
      <c r="R983" t="str">
        <f>"0160075"</f>
        <v>0160075</v>
      </c>
      <c r="S983" t="s">
        <v>939</v>
      </c>
      <c r="T983" t="s">
        <v>936</v>
      </c>
      <c r="U983" t="s">
        <v>937</v>
      </c>
      <c r="V983" t="s">
        <v>938</v>
      </c>
      <c r="W983" t="s">
        <v>51</v>
      </c>
      <c r="X983" t="s">
        <v>45</v>
      </c>
      <c r="Y983" s="1">
        <v>27760</v>
      </c>
      <c r="Z983">
        <v>2</v>
      </c>
      <c r="AA983" t="s">
        <v>937</v>
      </c>
      <c r="AB983" s="40" t="s">
        <v>1796</v>
      </c>
    </row>
    <row r="984" spans="1:28" x14ac:dyDescent="0.25">
      <c r="A984">
        <v>99910983</v>
      </c>
      <c r="B984" t="s">
        <v>32</v>
      </c>
      <c r="C984" t="s">
        <v>33</v>
      </c>
      <c r="D984" t="s">
        <v>34</v>
      </c>
      <c r="G984" t="s">
        <v>48</v>
      </c>
      <c r="H984">
        <v>1</v>
      </c>
      <c r="K984" t="s">
        <v>936</v>
      </c>
      <c r="L984" t="s">
        <v>937</v>
      </c>
      <c r="M984" t="s">
        <v>938</v>
      </c>
      <c r="N984">
        <v>13</v>
      </c>
      <c r="P984" t="s">
        <v>41</v>
      </c>
      <c r="Q984" t="s">
        <v>42</v>
      </c>
      <c r="R984" t="str">
        <f>"0161003"</f>
        <v>0161003</v>
      </c>
      <c r="S984" t="s">
        <v>942</v>
      </c>
      <c r="T984" t="s">
        <v>936</v>
      </c>
      <c r="U984" t="s">
        <v>937</v>
      </c>
      <c r="V984" t="s">
        <v>938</v>
      </c>
      <c r="W984" t="s">
        <v>51</v>
      </c>
      <c r="X984" t="s">
        <v>45</v>
      </c>
      <c r="Y984" s="1">
        <v>27760</v>
      </c>
      <c r="Z984">
        <v>2</v>
      </c>
      <c r="AA984" t="s">
        <v>937</v>
      </c>
      <c r="AB984" s="40" t="s">
        <v>1796</v>
      </c>
    </row>
    <row r="985" spans="1:28" x14ac:dyDescent="0.25">
      <c r="A985">
        <v>99910984</v>
      </c>
      <c r="B985" t="s">
        <v>56</v>
      </c>
      <c r="C985" t="s">
        <v>79</v>
      </c>
      <c r="D985" t="s">
        <v>80</v>
      </c>
      <c r="G985" t="s">
        <v>48</v>
      </c>
      <c r="H985">
        <v>1</v>
      </c>
      <c r="K985" t="s">
        <v>300</v>
      </c>
      <c r="L985" t="s">
        <v>301</v>
      </c>
      <c r="M985" t="s">
        <v>131</v>
      </c>
      <c r="N985">
        <v>13</v>
      </c>
      <c r="P985" t="s">
        <v>41</v>
      </c>
      <c r="Q985" t="s">
        <v>49</v>
      </c>
      <c r="R985" t="str">
        <f>"0560001"</f>
        <v>0560001</v>
      </c>
      <c r="S985" t="s">
        <v>304</v>
      </c>
      <c r="T985" t="s">
        <v>300</v>
      </c>
      <c r="U985" t="s">
        <v>301</v>
      </c>
      <c r="V985" t="s">
        <v>131</v>
      </c>
      <c r="W985" t="s">
        <v>51</v>
      </c>
      <c r="X985" t="s">
        <v>45</v>
      </c>
      <c r="Y985" s="1">
        <v>27468</v>
      </c>
      <c r="Z985">
        <v>2</v>
      </c>
      <c r="AA985" t="s">
        <v>301</v>
      </c>
      <c r="AB985" s="40" t="s">
        <v>1796</v>
      </c>
    </row>
    <row r="986" spans="1:28" x14ac:dyDescent="0.25">
      <c r="A986">
        <v>99910985</v>
      </c>
      <c r="B986" t="s">
        <v>32</v>
      </c>
      <c r="C986" t="s">
        <v>71</v>
      </c>
      <c r="D986" t="s">
        <v>72</v>
      </c>
      <c r="G986" t="s">
        <v>48</v>
      </c>
      <c r="H986">
        <v>1</v>
      </c>
      <c r="K986" t="s">
        <v>300</v>
      </c>
      <c r="L986" t="s">
        <v>301</v>
      </c>
      <c r="M986" t="s">
        <v>131</v>
      </c>
      <c r="N986">
        <v>13</v>
      </c>
      <c r="P986" t="s">
        <v>41</v>
      </c>
      <c r="Q986" t="s">
        <v>42</v>
      </c>
      <c r="R986" t="str">
        <f>"0580175"</f>
        <v>0580175</v>
      </c>
      <c r="S986" t="s">
        <v>303</v>
      </c>
      <c r="T986" t="s">
        <v>300</v>
      </c>
      <c r="U986" t="s">
        <v>301</v>
      </c>
      <c r="V986" t="s">
        <v>131</v>
      </c>
      <c r="W986" t="s">
        <v>51</v>
      </c>
      <c r="X986" t="s">
        <v>45</v>
      </c>
      <c r="Y986" s="1">
        <v>27395</v>
      </c>
      <c r="Z986">
        <v>2</v>
      </c>
      <c r="AA986" t="s">
        <v>301</v>
      </c>
      <c r="AB986" s="40" t="s">
        <v>1796</v>
      </c>
    </row>
    <row r="987" spans="1:28" x14ac:dyDescent="0.25">
      <c r="A987">
        <v>99910986</v>
      </c>
      <c r="B987" t="s">
        <v>32</v>
      </c>
      <c r="C987" t="s">
        <v>139</v>
      </c>
      <c r="D987" t="s">
        <v>140</v>
      </c>
      <c r="G987" t="s">
        <v>48</v>
      </c>
      <c r="H987">
        <v>1</v>
      </c>
      <c r="K987" t="s">
        <v>380</v>
      </c>
      <c r="L987" t="s">
        <v>381</v>
      </c>
      <c r="M987" t="s">
        <v>131</v>
      </c>
      <c r="N987">
        <v>13</v>
      </c>
      <c r="P987" t="s">
        <v>41</v>
      </c>
      <c r="Q987" t="s">
        <v>49</v>
      </c>
      <c r="R987" t="str">
        <f>"0591908"</f>
        <v>0591908</v>
      </c>
      <c r="S987" t="s">
        <v>383</v>
      </c>
      <c r="T987" t="s">
        <v>380</v>
      </c>
      <c r="U987" t="s">
        <v>381</v>
      </c>
      <c r="V987" t="s">
        <v>131</v>
      </c>
      <c r="W987" t="s">
        <v>51</v>
      </c>
      <c r="X987" t="s">
        <v>45</v>
      </c>
      <c r="Y987" s="1">
        <v>27125</v>
      </c>
      <c r="Z987">
        <v>2</v>
      </c>
      <c r="AA987" t="s">
        <v>381</v>
      </c>
      <c r="AB987" s="40" t="s">
        <v>1796</v>
      </c>
    </row>
    <row r="988" spans="1:28" x14ac:dyDescent="0.25">
      <c r="A988">
        <v>99910987</v>
      </c>
      <c r="B988" t="s">
        <v>56</v>
      </c>
      <c r="C988" t="s">
        <v>85</v>
      </c>
      <c r="D988" t="s">
        <v>86</v>
      </c>
      <c r="G988" t="s">
        <v>48</v>
      </c>
      <c r="H988">
        <v>1</v>
      </c>
      <c r="K988" t="s">
        <v>300</v>
      </c>
      <c r="L988" t="s">
        <v>301</v>
      </c>
      <c r="M988" t="s">
        <v>131</v>
      </c>
      <c r="N988">
        <v>13</v>
      </c>
      <c r="P988" t="s">
        <v>41</v>
      </c>
      <c r="Q988" t="s">
        <v>49</v>
      </c>
      <c r="R988" t="str">
        <f>"0560001"</f>
        <v>0560001</v>
      </c>
      <c r="S988" t="s">
        <v>304</v>
      </c>
      <c r="T988" t="s">
        <v>300</v>
      </c>
      <c r="U988" t="s">
        <v>301</v>
      </c>
      <c r="V988" t="s">
        <v>131</v>
      </c>
      <c r="W988" t="s">
        <v>51</v>
      </c>
      <c r="X988" t="s">
        <v>45</v>
      </c>
      <c r="Y988" s="1">
        <v>27120</v>
      </c>
      <c r="Z988">
        <v>2</v>
      </c>
      <c r="AA988" t="s">
        <v>301</v>
      </c>
      <c r="AB988" s="40" t="s">
        <v>1796</v>
      </c>
    </row>
    <row r="989" spans="1:28" x14ac:dyDescent="0.25">
      <c r="A989">
        <v>99910988</v>
      </c>
      <c r="B989" t="s">
        <v>56</v>
      </c>
      <c r="C989" t="s">
        <v>52</v>
      </c>
      <c r="D989" t="s">
        <v>53</v>
      </c>
      <c r="G989" t="s">
        <v>35</v>
      </c>
      <c r="H989">
        <v>1</v>
      </c>
      <c r="K989" t="s">
        <v>380</v>
      </c>
      <c r="L989" t="s">
        <v>381</v>
      </c>
      <c r="M989" t="s">
        <v>131</v>
      </c>
      <c r="N989">
        <v>13</v>
      </c>
      <c r="P989" t="s">
        <v>41</v>
      </c>
      <c r="Q989" t="s">
        <v>49</v>
      </c>
      <c r="R989" t="str">
        <f>"0591909"</f>
        <v>0591909</v>
      </c>
      <c r="S989" t="s">
        <v>385</v>
      </c>
      <c r="T989" t="s">
        <v>380</v>
      </c>
      <c r="U989" t="s">
        <v>381</v>
      </c>
      <c r="V989" t="s">
        <v>131</v>
      </c>
      <c r="W989" t="s">
        <v>44</v>
      </c>
      <c r="X989" t="s">
        <v>45</v>
      </c>
      <c r="Y989" s="1">
        <v>26847</v>
      </c>
      <c r="Z989">
        <v>2</v>
      </c>
      <c r="AA989" t="s">
        <v>381</v>
      </c>
      <c r="AB989" s="40" t="s">
        <v>1796</v>
      </c>
    </row>
    <row r="990" spans="1:28" x14ac:dyDescent="0.25">
      <c r="A990">
        <v>99910989</v>
      </c>
      <c r="B990" t="s">
        <v>32</v>
      </c>
      <c r="C990" t="s">
        <v>46</v>
      </c>
      <c r="D990" t="s">
        <v>47</v>
      </c>
      <c r="G990" t="s">
        <v>48</v>
      </c>
      <c r="H990">
        <v>1</v>
      </c>
      <c r="K990" t="s">
        <v>1613</v>
      </c>
      <c r="L990" t="s">
        <v>1614</v>
      </c>
      <c r="M990" t="s">
        <v>1592</v>
      </c>
      <c r="N990">
        <v>13</v>
      </c>
      <c r="P990" t="s">
        <v>41</v>
      </c>
      <c r="Q990" t="s">
        <v>42</v>
      </c>
      <c r="R990" t="str">
        <f>"2861001"</f>
        <v>2861001</v>
      </c>
      <c r="S990" t="s">
        <v>1621</v>
      </c>
      <c r="T990" t="s">
        <v>1613</v>
      </c>
      <c r="U990" t="s">
        <v>1614</v>
      </c>
      <c r="V990" t="s">
        <v>1592</v>
      </c>
      <c r="W990" t="s">
        <v>51</v>
      </c>
      <c r="X990" t="s">
        <v>45</v>
      </c>
      <c r="Y990" s="1">
        <v>26667</v>
      </c>
      <c r="Z990">
        <v>2</v>
      </c>
      <c r="AA990" t="s">
        <v>1614</v>
      </c>
      <c r="AB990" s="40" t="s">
        <v>1796</v>
      </c>
    </row>
    <row r="991" spans="1:28" x14ac:dyDescent="0.25">
      <c r="A991">
        <v>99910990</v>
      </c>
      <c r="B991" t="s">
        <v>56</v>
      </c>
      <c r="C991" t="s">
        <v>58</v>
      </c>
      <c r="D991" t="s">
        <v>59</v>
      </c>
      <c r="G991" t="s">
        <v>35</v>
      </c>
      <c r="H991">
        <v>1</v>
      </c>
      <c r="K991" t="s">
        <v>947</v>
      </c>
      <c r="L991" t="s">
        <v>948</v>
      </c>
      <c r="M991" t="s">
        <v>938</v>
      </c>
      <c r="N991">
        <v>13</v>
      </c>
      <c r="P991" t="s">
        <v>41</v>
      </c>
      <c r="Q991" t="s">
        <v>42</v>
      </c>
      <c r="R991" t="str">
        <f>"0680039"</f>
        <v>0680039</v>
      </c>
      <c r="S991" t="s">
        <v>949</v>
      </c>
      <c r="T991" t="s">
        <v>947</v>
      </c>
      <c r="U991" t="s">
        <v>948</v>
      </c>
      <c r="V991" t="s">
        <v>938</v>
      </c>
      <c r="W991" t="s">
        <v>51</v>
      </c>
      <c r="X991" t="s">
        <v>45</v>
      </c>
      <c r="Y991" s="1">
        <v>26449</v>
      </c>
      <c r="Z991">
        <v>2</v>
      </c>
      <c r="AA991" t="s">
        <v>948</v>
      </c>
      <c r="AB991" s="40" t="s">
        <v>1796</v>
      </c>
    </row>
    <row r="992" spans="1:28" x14ac:dyDescent="0.25">
      <c r="A992">
        <v>99910991</v>
      </c>
      <c r="B992" t="s">
        <v>56</v>
      </c>
      <c r="C992" t="s">
        <v>33</v>
      </c>
      <c r="D992" t="s">
        <v>34</v>
      </c>
      <c r="G992" t="s">
        <v>35</v>
      </c>
      <c r="H992">
        <v>1</v>
      </c>
      <c r="K992" t="s">
        <v>1546</v>
      </c>
      <c r="L992" t="s">
        <v>1547</v>
      </c>
      <c r="M992" t="s">
        <v>1548</v>
      </c>
      <c r="N992">
        <v>13</v>
      </c>
      <c r="P992" t="s">
        <v>41</v>
      </c>
      <c r="Q992" t="s">
        <v>49</v>
      </c>
      <c r="R992" t="str">
        <f>"1081010"</f>
        <v>1081010</v>
      </c>
      <c r="S992" t="s">
        <v>1552</v>
      </c>
      <c r="T992" t="s">
        <v>1546</v>
      </c>
      <c r="U992" t="s">
        <v>1547</v>
      </c>
      <c r="V992" t="s">
        <v>1548</v>
      </c>
      <c r="W992" t="s">
        <v>51</v>
      </c>
      <c r="X992" t="s">
        <v>45</v>
      </c>
      <c r="Y992" s="1">
        <v>26366</v>
      </c>
      <c r="Z992">
        <v>2</v>
      </c>
      <c r="AA992" t="s">
        <v>1547</v>
      </c>
      <c r="AB992" s="40" t="s">
        <v>1796</v>
      </c>
    </row>
    <row r="993" spans="1:28" x14ac:dyDescent="0.25">
      <c r="A993">
        <v>99910992</v>
      </c>
      <c r="B993" t="s">
        <v>56</v>
      </c>
      <c r="C993" t="s">
        <v>61</v>
      </c>
      <c r="D993" t="s">
        <v>62</v>
      </c>
      <c r="G993" t="s">
        <v>48</v>
      </c>
      <c r="H993">
        <v>1</v>
      </c>
      <c r="K993" t="s">
        <v>223</v>
      </c>
      <c r="L993" t="s">
        <v>224</v>
      </c>
      <c r="M993" t="s">
        <v>131</v>
      </c>
      <c r="N993">
        <v>13</v>
      </c>
      <c r="P993" t="s">
        <v>41</v>
      </c>
      <c r="Q993" t="s">
        <v>49</v>
      </c>
      <c r="R993" t="str">
        <f>"0581204"</f>
        <v>0581204</v>
      </c>
      <c r="S993" t="s">
        <v>249</v>
      </c>
      <c r="T993" t="s">
        <v>223</v>
      </c>
      <c r="U993" t="s">
        <v>224</v>
      </c>
      <c r="V993" t="s">
        <v>131</v>
      </c>
      <c r="W993" t="s">
        <v>165</v>
      </c>
      <c r="X993" t="s">
        <v>45</v>
      </c>
      <c r="Y993" s="1">
        <v>26320</v>
      </c>
      <c r="Z993">
        <v>2</v>
      </c>
      <c r="AA993" t="s">
        <v>224</v>
      </c>
      <c r="AB993" s="40" t="s">
        <v>1796</v>
      </c>
    </row>
    <row r="994" spans="1:28" x14ac:dyDescent="0.25">
      <c r="A994">
        <v>99910993</v>
      </c>
      <c r="B994" t="s">
        <v>32</v>
      </c>
      <c r="C994" t="s">
        <v>46</v>
      </c>
      <c r="D994" t="s">
        <v>47</v>
      </c>
      <c r="G994" t="s">
        <v>48</v>
      </c>
      <c r="H994">
        <v>1</v>
      </c>
      <c r="K994" t="s">
        <v>380</v>
      </c>
      <c r="L994" t="s">
        <v>381</v>
      </c>
      <c r="M994" t="s">
        <v>131</v>
      </c>
      <c r="N994">
        <v>13</v>
      </c>
      <c r="P994" t="s">
        <v>41</v>
      </c>
      <c r="Q994" t="s">
        <v>42</v>
      </c>
      <c r="R994" t="str">
        <f>"0590908"</f>
        <v>0590908</v>
      </c>
      <c r="S994" t="s">
        <v>382</v>
      </c>
      <c r="T994" t="s">
        <v>380</v>
      </c>
      <c r="U994" t="s">
        <v>381</v>
      </c>
      <c r="V994" t="s">
        <v>131</v>
      </c>
      <c r="W994" t="s">
        <v>51</v>
      </c>
      <c r="X994" t="s">
        <v>45</v>
      </c>
      <c r="Y994" s="1">
        <v>26013</v>
      </c>
      <c r="Z994">
        <v>2</v>
      </c>
      <c r="AA994" t="s">
        <v>381</v>
      </c>
      <c r="AB994" s="40" t="s">
        <v>1796</v>
      </c>
    </row>
    <row r="995" spans="1:28" x14ac:dyDescent="0.25">
      <c r="A995">
        <v>99910994</v>
      </c>
      <c r="B995" t="s">
        <v>32</v>
      </c>
      <c r="C995" t="s">
        <v>141</v>
      </c>
      <c r="D995" t="s">
        <v>142</v>
      </c>
      <c r="G995" t="s">
        <v>35</v>
      </c>
      <c r="H995">
        <v>1</v>
      </c>
      <c r="I995" t="s">
        <v>689</v>
      </c>
      <c r="J995" s="1">
        <v>43344</v>
      </c>
      <c r="K995" t="s">
        <v>268</v>
      </c>
      <c r="L995" t="s">
        <v>269</v>
      </c>
      <c r="M995" t="s">
        <v>131</v>
      </c>
      <c r="N995">
        <v>13</v>
      </c>
      <c r="O995" s="1">
        <v>43344</v>
      </c>
      <c r="P995" t="s">
        <v>41</v>
      </c>
      <c r="Q995" t="s">
        <v>75</v>
      </c>
      <c r="R995" t="str">
        <f>"7052028"</f>
        <v>7052028</v>
      </c>
      <c r="S995" t="s">
        <v>601</v>
      </c>
      <c r="T995" t="s">
        <v>268</v>
      </c>
      <c r="U995" t="s">
        <v>269</v>
      </c>
      <c r="V995" t="s">
        <v>131</v>
      </c>
      <c r="W995" t="s">
        <v>51</v>
      </c>
      <c r="X995" t="s">
        <v>45</v>
      </c>
      <c r="Y995" s="1">
        <v>25925</v>
      </c>
      <c r="Z995">
        <v>1</v>
      </c>
      <c r="AA995" t="s">
        <v>269</v>
      </c>
      <c r="AB995" s="40" t="s">
        <v>1796</v>
      </c>
    </row>
    <row r="996" spans="1:28" x14ac:dyDescent="0.25">
      <c r="A996">
        <v>99910995</v>
      </c>
      <c r="B996" t="s">
        <v>56</v>
      </c>
      <c r="C996" t="s">
        <v>85</v>
      </c>
      <c r="D996" t="s">
        <v>86</v>
      </c>
      <c r="G996" t="s">
        <v>48</v>
      </c>
      <c r="H996">
        <v>1</v>
      </c>
      <c r="K996" t="s">
        <v>1051</v>
      </c>
      <c r="L996" t="s">
        <v>1052</v>
      </c>
      <c r="M996" t="s">
        <v>1053</v>
      </c>
      <c r="N996">
        <v>13</v>
      </c>
      <c r="P996" t="s">
        <v>41</v>
      </c>
      <c r="Q996" t="s">
        <v>49</v>
      </c>
      <c r="R996" t="str">
        <f>"2060004"</f>
        <v>2060004</v>
      </c>
      <c r="S996" t="s">
        <v>1059</v>
      </c>
      <c r="T996" t="s">
        <v>1051</v>
      </c>
      <c r="U996" t="s">
        <v>1052</v>
      </c>
      <c r="V996" t="s">
        <v>1053</v>
      </c>
      <c r="W996" t="s">
        <v>51</v>
      </c>
      <c r="X996" t="s">
        <v>45</v>
      </c>
      <c r="Y996" s="1">
        <v>25832</v>
      </c>
      <c r="Z996">
        <v>2</v>
      </c>
      <c r="AA996" t="s">
        <v>1052</v>
      </c>
      <c r="AB996" s="40" t="s">
        <v>1796</v>
      </c>
    </row>
    <row r="997" spans="1:28" x14ac:dyDescent="0.25">
      <c r="A997">
        <v>99910996</v>
      </c>
      <c r="B997" t="s">
        <v>32</v>
      </c>
      <c r="C997" t="s">
        <v>71</v>
      </c>
      <c r="D997" t="s">
        <v>72</v>
      </c>
      <c r="G997" t="s">
        <v>48</v>
      </c>
      <c r="H997">
        <v>1</v>
      </c>
      <c r="K997" t="s">
        <v>223</v>
      </c>
      <c r="L997" t="s">
        <v>224</v>
      </c>
      <c r="M997" t="s">
        <v>131</v>
      </c>
      <c r="N997">
        <v>13</v>
      </c>
      <c r="P997" t="s">
        <v>41</v>
      </c>
      <c r="Q997" t="s">
        <v>49</v>
      </c>
      <c r="R997" t="str">
        <f>"0509999"</f>
        <v>0509999</v>
      </c>
      <c r="S997" t="s">
        <v>247</v>
      </c>
      <c r="T997" t="s">
        <v>223</v>
      </c>
      <c r="U997" t="s">
        <v>224</v>
      </c>
      <c r="V997" t="s">
        <v>131</v>
      </c>
      <c r="W997" t="s">
        <v>51</v>
      </c>
      <c r="X997" t="s">
        <v>45</v>
      </c>
      <c r="Y997" s="1">
        <v>25793</v>
      </c>
      <c r="Z997">
        <v>2</v>
      </c>
      <c r="AA997" t="s">
        <v>224</v>
      </c>
      <c r="AB997" s="40" t="s">
        <v>1796</v>
      </c>
    </row>
    <row r="998" spans="1:28" x14ac:dyDescent="0.25">
      <c r="A998">
        <v>99910997</v>
      </c>
      <c r="B998" t="s">
        <v>32</v>
      </c>
      <c r="C998" t="s">
        <v>68</v>
      </c>
      <c r="D998" t="s">
        <v>69</v>
      </c>
      <c r="G998" t="s">
        <v>48</v>
      </c>
      <c r="H998">
        <v>1</v>
      </c>
      <c r="K998" t="s">
        <v>162</v>
      </c>
      <c r="L998" t="s">
        <v>158</v>
      </c>
      <c r="M998" t="s">
        <v>131</v>
      </c>
      <c r="N998">
        <v>13</v>
      </c>
      <c r="P998" t="s">
        <v>41</v>
      </c>
      <c r="Q998" t="s">
        <v>49</v>
      </c>
      <c r="R998" t="str">
        <f>"0560027"</f>
        <v>0560027</v>
      </c>
      <c r="S998" t="s">
        <v>178</v>
      </c>
      <c r="T998" t="s">
        <v>162</v>
      </c>
      <c r="U998" t="s">
        <v>158</v>
      </c>
      <c r="V998" t="s">
        <v>131</v>
      </c>
      <c r="W998" t="s">
        <v>165</v>
      </c>
      <c r="X998" t="s">
        <v>45</v>
      </c>
      <c r="Y998" s="1">
        <v>25765</v>
      </c>
      <c r="Z998">
        <v>2</v>
      </c>
      <c r="AA998" t="s">
        <v>158</v>
      </c>
      <c r="AB998" s="40" t="s">
        <v>1796</v>
      </c>
    </row>
    <row r="999" spans="1:28" x14ac:dyDescent="0.25">
      <c r="A999">
        <v>99910998</v>
      </c>
      <c r="B999" t="s">
        <v>56</v>
      </c>
      <c r="C999" t="s">
        <v>46</v>
      </c>
      <c r="D999" t="s">
        <v>47</v>
      </c>
      <c r="G999" t="s">
        <v>48</v>
      </c>
      <c r="H999">
        <v>1</v>
      </c>
      <c r="K999" t="s">
        <v>300</v>
      </c>
      <c r="L999" t="s">
        <v>301</v>
      </c>
      <c r="M999" t="s">
        <v>131</v>
      </c>
      <c r="N999">
        <v>13</v>
      </c>
      <c r="P999" t="s">
        <v>41</v>
      </c>
      <c r="Q999" t="s">
        <v>42</v>
      </c>
      <c r="R999" t="str">
        <f>"0580176"</f>
        <v>0580176</v>
      </c>
      <c r="S999" t="s">
        <v>305</v>
      </c>
      <c r="T999" t="s">
        <v>300</v>
      </c>
      <c r="U999" t="s">
        <v>301</v>
      </c>
      <c r="V999" t="s">
        <v>131</v>
      </c>
      <c r="W999" t="s">
        <v>51</v>
      </c>
      <c r="X999" t="s">
        <v>45</v>
      </c>
      <c r="Y999" s="1">
        <v>25429</v>
      </c>
      <c r="Z999">
        <v>2</v>
      </c>
      <c r="AA999" t="s">
        <v>301</v>
      </c>
      <c r="AB999" s="40" t="s">
        <v>1796</v>
      </c>
    </row>
    <row r="1000" spans="1:28" x14ac:dyDescent="0.25">
      <c r="A1000">
        <v>99910999</v>
      </c>
      <c r="B1000" t="s">
        <v>56</v>
      </c>
      <c r="C1000" t="s">
        <v>79</v>
      </c>
      <c r="D1000" t="s">
        <v>80</v>
      </c>
      <c r="G1000" t="s">
        <v>48</v>
      </c>
      <c r="H1000">
        <v>1</v>
      </c>
      <c r="K1000" t="s">
        <v>223</v>
      </c>
      <c r="L1000" t="s">
        <v>224</v>
      </c>
      <c r="M1000" t="s">
        <v>131</v>
      </c>
      <c r="N1000">
        <v>13</v>
      </c>
      <c r="P1000" t="s">
        <v>41</v>
      </c>
      <c r="Q1000" t="s">
        <v>49</v>
      </c>
      <c r="R1000" t="str">
        <f>"0591910"</f>
        <v>0591910</v>
      </c>
      <c r="S1000" t="s">
        <v>228</v>
      </c>
      <c r="T1000" t="s">
        <v>223</v>
      </c>
      <c r="U1000" t="s">
        <v>224</v>
      </c>
      <c r="V1000" t="s">
        <v>131</v>
      </c>
      <c r="W1000" t="s">
        <v>51</v>
      </c>
      <c r="X1000" t="s">
        <v>45</v>
      </c>
      <c r="Y1000" s="1">
        <v>25408</v>
      </c>
      <c r="Z1000">
        <v>2</v>
      </c>
      <c r="AA1000" t="s">
        <v>224</v>
      </c>
      <c r="AB1000" s="40" t="s">
        <v>1796</v>
      </c>
    </row>
    <row r="1001" spans="1:28" x14ac:dyDescent="0.25">
      <c r="A1001">
        <v>99911000</v>
      </c>
      <c r="B1001" t="s">
        <v>32</v>
      </c>
      <c r="C1001" t="s">
        <v>33</v>
      </c>
      <c r="D1001" t="s">
        <v>34</v>
      </c>
      <c r="G1001" t="s">
        <v>35</v>
      </c>
      <c r="H1001">
        <v>1</v>
      </c>
      <c r="I1001" t="s">
        <v>391</v>
      </c>
      <c r="J1001" s="1">
        <v>43348</v>
      </c>
      <c r="K1001" t="s">
        <v>380</v>
      </c>
      <c r="L1001" t="s">
        <v>381</v>
      </c>
      <c r="M1001" t="s">
        <v>131</v>
      </c>
      <c r="N1001">
        <v>13</v>
      </c>
      <c r="O1001" s="1">
        <v>43348</v>
      </c>
      <c r="P1001" t="s">
        <v>41</v>
      </c>
      <c r="Q1001" t="s">
        <v>42</v>
      </c>
      <c r="R1001" t="str">
        <f>"0561016"</f>
        <v>0561016</v>
      </c>
      <c r="S1001" t="s">
        <v>389</v>
      </c>
      <c r="T1001" t="s">
        <v>380</v>
      </c>
      <c r="U1001" t="s">
        <v>381</v>
      </c>
      <c r="V1001" t="s">
        <v>131</v>
      </c>
      <c r="W1001" t="s">
        <v>44</v>
      </c>
      <c r="X1001" t="s">
        <v>45</v>
      </c>
      <c r="Y1001" s="1">
        <v>25204</v>
      </c>
      <c r="Z1001">
        <v>2</v>
      </c>
      <c r="AA1001" t="s">
        <v>381</v>
      </c>
      <c r="AB1001" s="40" t="s">
        <v>1796</v>
      </c>
    </row>
    <row r="1002" spans="1:28" x14ac:dyDescent="0.25">
      <c r="A1002">
        <v>99911001</v>
      </c>
      <c r="B1002" t="s">
        <v>32</v>
      </c>
      <c r="C1002" t="s">
        <v>58</v>
      </c>
      <c r="D1002" t="s">
        <v>59</v>
      </c>
      <c r="G1002" t="s">
        <v>48</v>
      </c>
      <c r="H1002">
        <v>1</v>
      </c>
      <c r="K1002" t="s">
        <v>1487</v>
      </c>
      <c r="L1002" t="s">
        <v>1488</v>
      </c>
      <c r="M1002" t="s">
        <v>670</v>
      </c>
      <c r="N1002">
        <v>13</v>
      </c>
      <c r="P1002" t="s">
        <v>41</v>
      </c>
      <c r="Q1002" t="s">
        <v>42</v>
      </c>
      <c r="R1002" t="str">
        <f>"1780020"</f>
        <v>1780020</v>
      </c>
      <c r="S1002" t="s">
        <v>1490</v>
      </c>
      <c r="T1002" t="s">
        <v>1487</v>
      </c>
      <c r="U1002" t="s">
        <v>1488</v>
      </c>
      <c r="V1002" t="s">
        <v>670</v>
      </c>
      <c r="W1002" t="s">
        <v>51</v>
      </c>
      <c r="X1002" t="s">
        <v>45</v>
      </c>
      <c r="Y1002" s="1">
        <v>25204</v>
      </c>
      <c r="Z1002">
        <v>2</v>
      </c>
      <c r="AA1002" t="s">
        <v>1488</v>
      </c>
      <c r="AB1002" s="40" t="s">
        <v>1796</v>
      </c>
    </row>
    <row r="1003" spans="1:28" x14ac:dyDescent="0.25">
      <c r="A1003">
        <v>99911002</v>
      </c>
      <c r="B1003" t="s">
        <v>56</v>
      </c>
      <c r="C1003" t="s">
        <v>85</v>
      </c>
      <c r="D1003" t="s">
        <v>86</v>
      </c>
      <c r="G1003" t="s">
        <v>48</v>
      </c>
      <c r="H1003">
        <v>1</v>
      </c>
      <c r="K1003" t="s">
        <v>936</v>
      </c>
      <c r="L1003" t="s">
        <v>937</v>
      </c>
      <c r="M1003" t="s">
        <v>938</v>
      </c>
      <c r="N1003">
        <v>13</v>
      </c>
      <c r="P1003" t="s">
        <v>41</v>
      </c>
      <c r="Q1003" t="s">
        <v>49</v>
      </c>
      <c r="R1003" t="str">
        <f>"0160075"</f>
        <v>0160075</v>
      </c>
      <c r="S1003" t="s">
        <v>939</v>
      </c>
      <c r="T1003" t="s">
        <v>936</v>
      </c>
      <c r="U1003" t="s">
        <v>937</v>
      </c>
      <c r="V1003" t="s">
        <v>938</v>
      </c>
      <c r="W1003" t="s">
        <v>51</v>
      </c>
      <c r="X1003" t="s">
        <v>45</v>
      </c>
      <c r="Y1003" s="1">
        <v>24946</v>
      </c>
      <c r="Z1003">
        <v>2</v>
      </c>
      <c r="AA1003" t="s">
        <v>937</v>
      </c>
      <c r="AB1003" s="40" t="s">
        <v>1796</v>
      </c>
    </row>
    <row r="1004" spans="1:28" x14ac:dyDescent="0.25">
      <c r="A1004">
        <v>99911003</v>
      </c>
      <c r="B1004" t="s">
        <v>32</v>
      </c>
      <c r="C1004" t="s">
        <v>64</v>
      </c>
      <c r="D1004" t="s">
        <v>65</v>
      </c>
      <c r="G1004" t="s">
        <v>48</v>
      </c>
      <c r="H1004">
        <v>1</v>
      </c>
      <c r="K1004" t="s">
        <v>380</v>
      </c>
      <c r="L1004" t="s">
        <v>381</v>
      </c>
      <c r="M1004" t="s">
        <v>131</v>
      </c>
      <c r="N1004">
        <v>13</v>
      </c>
      <c r="P1004" t="s">
        <v>41</v>
      </c>
      <c r="Q1004" t="s">
        <v>49</v>
      </c>
      <c r="R1004" t="str">
        <f>"0591908"</f>
        <v>0591908</v>
      </c>
      <c r="S1004" t="s">
        <v>383</v>
      </c>
      <c r="T1004" t="s">
        <v>380</v>
      </c>
      <c r="U1004" t="s">
        <v>381</v>
      </c>
      <c r="V1004" t="s">
        <v>131</v>
      </c>
      <c r="W1004" t="s">
        <v>51</v>
      </c>
      <c r="X1004" t="s">
        <v>45</v>
      </c>
      <c r="Y1004" s="1">
        <v>24917</v>
      </c>
      <c r="Z1004">
        <v>2</v>
      </c>
      <c r="AA1004" t="s">
        <v>381</v>
      </c>
      <c r="AB1004" s="40" t="s">
        <v>1796</v>
      </c>
    </row>
    <row r="1005" spans="1:28" x14ac:dyDescent="0.25">
      <c r="A1005">
        <v>99911004</v>
      </c>
      <c r="B1005" t="s">
        <v>56</v>
      </c>
      <c r="C1005" t="s">
        <v>52</v>
      </c>
      <c r="D1005" t="s">
        <v>53</v>
      </c>
      <c r="G1005" t="s">
        <v>48</v>
      </c>
      <c r="H1005">
        <v>1</v>
      </c>
      <c r="K1005" t="s">
        <v>380</v>
      </c>
      <c r="L1005" t="s">
        <v>381</v>
      </c>
      <c r="M1005" t="s">
        <v>131</v>
      </c>
      <c r="N1005">
        <v>13</v>
      </c>
      <c r="P1005" t="s">
        <v>41</v>
      </c>
      <c r="Q1005" t="s">
        <v>42</v>
      </c>
      <c r="R1005" t="str">
        <f>"0590908"</f>
        <v>0590908</v>
      </c>
      <c r="S1005" t="s">
        <v>382</v>
      </c>
      <c r="T1005" t="s">
        <v>380</v>
      </c>
      <c r="U1005" t="s">
        <v>381</v>
      </c>
      <c r="V1005" t="s">
        <v>131</v>
      </c>
      <c r="W1005" t="s">
        <v>51</v>
      </c>
      <c r="X1005" t="s">
        <v>45</v>
      </c>
      <c r="Y1005" s="1">
        <v>24753</v>
      </c>
      <c r="Z1005">
        <v>2</v>
      </c>
      <c r="AA1005" t="s">
        <v>381</v>
      </c>
      <c r="AB1005" s="40" t="s">
        <v>1796</v>
      </c>
    </row>
    <row r="1006" spans="1:28" x14ac:dyDescent="0.25">
      <c r="A1006">
        <v>99911005</v>
      </c>
      <c r="B1006" t="s">
        <v>32</v>
      </c>
      <c r="C1006" t="s">
        <v>79</v>
      </c>
      <c r="D1006" t="s">
        <v>80</v>
      </c>
      <c r="G1006" t="s">
        <v>35</v>
      </c>
      <c r="H1006">
        <v>1</v>
      </c>
      <c r="K1006" t="s">
        <v>877</v>
      </c>
      <c r="L1006" t="s">
        <v>878</v>
      </c>
      <c r="M1006" t="s">
        <v>131</v>
      </c>
      <c r="N1006">
        <v>13</v>
      </c>
      <c r="P1006" t="s">
        <v>41</v>
      </c>
      <c r="Q1006" t="s">
        <v>75</v>
      </c>
      <c r="R1006" t="str">
        <f>"7700025"</f>
        <v>7700025</v>
      </c>
      <c r="S1006" t="s">
        <v>880</v>
      </c>
      <c r="T1006" t="s">
        <v>877</v>
      </c>
      <c r="U1006" t="s">
        <v>878</v>
      </c>
      <c r="V1006" t="s">
        <v>131</v>
      </c>
      <c r="W1006" t="s">
        <v>51</v>
      </c>
      <c r="X1006" t="s">
        <v>45</v>
      </c>
      <c r="Y1006" s="1">
        <v>24473</v>
      </c>
      <c r="Z1006">
        <v>1</v>
      </c>
      <c r="AA1006" t="s">
        <v>878</v>
      </c>
      <c r="AB1006" s="40" t="s">
        <v>1796</v>
      </c>
    </row>
    <row r="1007" spans="1:28" x14ac:dyDescent="0.25">
      <c r="A1007">
        <v>99911006</v>
      </c>
      <c r="B1007" t="s">
        <v>32</v>
      </c>
      <c r="C1007" t="s">
        <v>58</v>
      </c>
      <c r="D1007" t="s">
        <v>59</v>
      </c>
      <c r="G1007" t="s">
        <v>35</v>
      </c>
      <c r="H1007">
        <v>1</v>
      </c>
      <c r="I1007" t="s">
        <v>945</v>
      </c>
      <c r="J1007" s="1">
        <v>43382</v>
      </c>
      <c r="K1007" t="s">
        <v>936</v>
      </c>
      <c r="L1007" t="s">
        <v>937</v>
      </c>
      <c r="M1007" t="s">
        <v>938</v>
      </c>
      <c r="N1007">
        <v>13</v>
      </c>
      <c r="O1007" s="1">
        <v>43382</v>
      </c>
      <c r="P1007" t="s">
        <v>41</v>
      </c>
      <c r="Q1007" t="s">
        <v>42</v>
      </c>
      <c r="R1007" t="str">
        <f>"0161002"</f>
        <v>0161002</v>
      </c>
      <c r="S1007" t="s">
        <v>941</v>
      </c>
      <c r="T1007" t="s">
        <v>936</v>
      </c>
      <c r="U1007" t="s">
        <v>937</v>
      </c>
      <c r="V1007" t="s">
        <v>938</v>
      </c>
      <c r="W1007" t="s">
        <v>44</v>
      </c>
      <c r="X1007" t="s">
        <v>45</v>
      </c>
      <c r="Y1007" s="1">
        <v>24127</v>
      </c>
      <c r="Z1007">
        <v>2</v>
      </c>
      <c r="AA1007" t="s">
        <v>937</v>
      </c>
      <c r="AB1007" s="40" t="s">
        <v>1796</v>
      </c>
    </row>
    <row r="1008" spans="1:28" x14ac:dyDescent="0.25">
      <c r="A1008">
        <v>99911007</v>
      </c>
      <c r="B1008" t="s">
        <v>32</v>
      </c>
      <c r="C1008" t="s">
        <v>85</v>
      </c>
      <c r="D1008" t="s">
        <v>86</v>
      </c>
      <c r="G1008" t="s">
        <v>35</v>
      </c>
      <c r="H1008">
        <v>1</v>
      </c>
      <c r="K1008" t="s">
        <v>300</v>
      </c>
      <c r="L1008" t="s">
        <v>301</v>
      </c>
      <c r="M1008" t="s">
        <v>131</v>
      </c>
      <c r="N1008">
        <v>13</v>
      </c>
      <c r="P1008" t="s">
        <v>41</v>
      </c>
      <c r="Q1008" t="s">
        <v>49</v>
      </c>
      <c r="R1008" t="str">
        <f>"0560002"</f>
        <v>0560002</v>
      </c>
      <c r="S1008" t="s">
        <v>315</v>
      </c>
      <c r="T1008" t="s">
        <v>300</v>
      </c>
      <c r="U1008" t="s">
        <v>301</v>
      </c>
      <c r="V1008" t="s">
        <v>131</v>
      </c>
      <c r="W1008" t="s">
        <v>165</v>
      </c>
      <c r="X1008" t="s">
        <v>45</v>
      </c>
      <c r="Y1008" s="1">
        <v>23966</v>
      </c>
      <c r="Z1008">
        <v>2</v>
      </c>
      <c r="AA1008" t="s">
        <v>301</v>
      </c>
      <c r="AB1008" s="40" t="s">
        <v>1796</v>
      </c>
    </row>
    <row r="1009" spans="1:28" x14ac:dyDescent="0.25">
      <c r="A1009">
        <v>99911008</v>
      </c>
      <c r="B1009" t="s">
        <v>56</v>
      </c>
      <c r="C1009" t="s">
        <v>79</v>
      </c>
      <c r="D1009" t="s">
        <v>80</v>
      </c>
      <c r="G1009" t="s">
        <v>48</v>
      </c>
      <c r="H1009">
        <v>1</v>
      </c>
      <c r="K1009" t="s">
        <v>223</v>
      </c>
      <c r="L1009" t="s">
        <v>224</v>
      </c>
      <c r="M1009" t="s">
        <v>131</v>
      </c>
      <c r="N1009">
        <v>13</v>
      </c>
      <c r="P1009" t="s">
        <v>41</v>
      </c>
      <c r="Q1009" t="s">
        <v>49</v>
      </c>
      <c r="R1009" t="str">
        <f>"0540902"</f>
        <v>0540902</v>
      </c>
      <c r="S1009" t="s">
        <v>256</v>
      </c>
      <c r="T1009" t="s">
        <v>223</v>
      </c>
      <c r="U1009" t="s">
        <v>224</v>
      </c>
      <c r="V1009" t="s">
        <v>131</v>
      </c>
      <c r="W1009" t="s">
        <v>51</v>
      </c>
      <c r="X1009" t="s">
        <v>45</v>
      </c>
      <c r="Y1009" s="1">
        <v>23713</v>
      </c>
      <c r="Z1009">
        <v>2</v>
      </c>
      <c r="AA1009" t="s">
        <v>224</v>
      </c>
      <c r="AB1009" s="40" t="s">
        <v>1796</v>
      </c>
    </row>
    <row r="1010" spans="1:28" x14ac:dyDescent="0.25">
      <c r="A1010">
        <v>99911009</v>
      </c>
      <c r="B1010" t="s">
        <v>32</v>
      </c>
      <c r="C1010" t="s">
        <v>61</v>
      </c>
      <c r="D1010" t="s">
        <v>62</v>
      </c>
      <c r="G1010" t="s">
        <v>48</v>
      </c>
      <c r="H1010">
        <v>1</v>
      </c>
      <c r="K1010" t="s">
        <v>223</v>
      </c>
      <c r="L1010" t="s">
        <v>224</v>
      </c>
      <c r="M1010" t="s">
        <v>131</v>
      </c>
      <c r="N1010">
        <v>13</v>
      </c>
      <c r="P1010" t="s">
        <v>41</v>
      </c>
      <c r="Q1010" t="s">
        <v>49</v>
      </c>
      <c r="R1010" t="str">
        <f>"0581202"</f>
        <v>0581202</v>
      </c>
      <c r="S1010" t="s">
        <v>248</v>
      </c>
      <c r="T1010" t="s">
        <v>223</v>
      </c>
      <c r="U1010" t="s">
        <v>224</v>
      </c>
      <c r="V1010" t="s">
        <v>131</v>
      </c>
      <c r="W1010" t="s">
        <v>51</v>
      </c>
      <c r="X1010" t="s">
        <v>45</v>
      </c>
      <c r="Y1010" s="1">
        <v>23472</v>
      </c>
      <c r="Z1010">
        <v>2</v>
      </c>
      <c r="AA1010" t="s">
        <v>224</v>
      </c>
      <c r="AB1010" s="40" t="s">
        <v>1796</v>
      </c>
    </row>
    <row r="1011" spans="1:28" x14ac:dyDescent="0.25">
      <c r="A1011">
        <v>99911010</v>
      </c>
      <c r="B1011" t="s">
        <v>56</v>
      </c>
      <c r="C1011" t="s">
        <v>141</v>
      </c>
      <c r="D1011" t="s">
        <v>142</v>
      </c>
      <c r="G1011" t="s">
        <v>35</v>
      </c>
      <c r="H1011">
        <v>1</v>
      </c>
      <c r="I1011">
        <v>0</v>
      </c>
      <c r="J1011" s="1">
        <v>43344</v>
      </c>
      <c r="K1011" t="s">
        <v>223</v>
      </c>
      <c r="L1011" t="s">
        <v>224</v>
      </c>
      <c r="M1011" t="s">
        <v>131</v>
      </c>
      <c r="N1011">
        <v>13</v>
      </c>
      <c r="O1011" s="1">
        <v>43344</v>
      </c>
      <c r="P1011" t="s">
        <v>41</v>
      </c>
      <c r="Q1011" t="s">
        <v>42</v>
      </c>
      <c r="R1011" t="str">
        <f>"0590903"</f>
        <v>0590903</v>
      </c>
      <c r="S1011" t="s">
        <v>226</v>
      </c>
      <c r="T1011" t="s">
        <v>223</v>
      </c>
      <c r="U1011" t="s">
        <v>224</v>
      </c>
      <c r="V1011" t="s">
        <v>131</v>
      </c>
      <c r="W1011" t="s">
        <v>44</v>
      </c>
      <c r="X1011" t="s">
        <v>45</v>
      </c>
      <c r="Y1011" s="1">
        <v>23377</v>
      </c>
      <c r="Z1011">
        <v>2</v>
      </c>
      <c r="AA1011" t="s">
        <v>224</v>
      </c>
      <c r="AB1011" s="40" t="s">
        <v>1796</v>
      </c>
    </row>
    <row r="1012" spans="1:28" x14ac:dyDescent="0.25">
      <c r="A1012">
        <v>99911011</v>
      </c>
      <c r="B1012" t="s">
        <v>32</v>
      </c>
      <c r="C1012" t="s">
        <v>64</v>
      </c>
      <c r="D1012" t="s">
        <v>65</v>
      </c>
      <c r="G1012" t="s">
        <v>35</v>
      </c>
      <c r="H1012">
        <v>1</v>
      </c>
      <c r="I1012">
        <v>0</v>
      </c>
      <c r="J1012" s="1">
        <v>43344</v>
      </c>
      <c r="K1012" t="s">
        <v>223</v>
      </c>
      <c r="L1012" t="s">
        <v>224</v>
      </c>
      <c r="M1012" t="s">
        <v>131</v>
      </c>
      <c r="N1012">
        <v>13</v>
      </c>
      <c r="O1012" s="1">
        <v>43344</v>
      </c>
      <c r="P1012" t="s">
        <v>41</v>
      </c>
      <c r="Q1012" t="s">
        <v>49</v>
      </c>
      <c r="R1012" t="str">
        <f>"0591901"</f>
        <v>0591901</v>
      </c>
      <c r="S1012" t="s">
        <v>230</v>
      </c>
      <c r="T1012" t="s">
        <v>223</v>
      </c>
      <c r="U1012" t="s">
        <v>224</v>
      </c>
      <c r="V1012" t="s">
        <v>131</v>
      </c>
      <c r="W1012" t="s">
        <v>44</v>
      </c>
      <c r="X1012" t="s">
        <v>45</v>
      </c>
      <c r="Y1012" s="1">
        <v>22585</v>
      </c>
      <c r="Z1012">
        <v>2</v>
      </c>
      <c r="AA1012" t="s">
        <v>224</v>
      </c>
      <c r="AB1012" s="40" t="s">
        <v>1796</v>
      </c>
    </row>
    <row r="1013" spans="1:28" x14ac:dyDescent="0.25">
      <c r="A1013">
        <v>99911012</v>
      </c>
      <c r="B1013" t="s">
        <v>32</v>
      </c>
      <c r="C1013" t="s">
        <v>139</v>
      </c>
      <c r="D1013" t="s">
        <v>140</v>
      </c>
      <c r="G1013" t="s">
        <v>35</v>
      </c>
      <c r="H1013">
        <v>1</v>
      </c>
      <c r="I1013" t="s">
        <v>643</v>
      </c>
      <c r="J1013" s="1">
        <v>43344</v>
      </c>
      <c r="K1013" t="s">
        <v>268</v>
      </c>
      <c r="L1013" t="s">
        <v>269</v>
      </c>
      <c r="M1013" t="s">
        <v>131</v>
      </c>
      <c r="N1013">
        <v>13</v>
      </c>
      <c r="O1013" s="1">
        <v>43344</v>
      </c>
      <c r="P1013" t="s">
        <v>41</v>
      </c>
      <c r="Q1013" t="s">
        <v>75</v>
      </c>
      <c r="R1013" t="str">
        <f>"7052020"</f>
        <v>7052020</v>
      </c>
      <c r="S1013" t="s">
        <v>267</v>
      </c>
      <c r="T1013" t="s">
        <v>268</v>
      </c>
      <c r="U1013" t="s">
        <v>269</v>
      </c>
      <c r="V1013" t="s">
        <v>131</v>
      </c>
      <c r="W1013" t="s">
        <v>51</v>
      </c>
      <c r="X1013" t="s">
        <v>45</v>
      </c>
      <c r="Y1013" s="1">
        <v>22555</v>
      </c>
      <c r="Z1013">
        <v>1</v>
      </c>
      <c r="AA1013" t="s">
        <v>269</v>
      </c>
      <c r="AB1013" s="40" t="s">
        <v>1796</v>
      </c>
    </row>
    <row r="1014" spans="1:28" x14ac:dyDescent="0.25">
      <c r="A1014">
        <v>99911013</v>
      </c>
      <c r="B1014" t="s">
        <v>32</v>
      </c>
      <c r="C1014" t="s">
        <v>111</v>
      </c>
      <c r="D1014" t="s">
        <v>112</v>
      </c>
      <c r="G1014" t="s">
        <v>48</v>
      </c>
      <c r="H1014">
        <v>14</v>
      </c>
      <c r="J1014" s="1">
        <v>43344</v>
      </c>
      <c r="K1014" t="s">
        <v>354</v>
      </c>
      <c r="L1014" t="s">
        <v>355</v>
      </c>
      <c r="M1014" t="s">
        <v>131</v>
      </c>
      <c r="N1014">
        <v>13</v>
      </c>
      <c r="O1014" s="1">
        <v>43344</v>
      </c>
      <c r="P1014" t="s">
        <v>41</v>
      </c>
      <c r="Q1014" t="s">
        <v>75</v>
      </c>
      <c r="R1014" t="str">
        <f>"7054006"</f>
        <v>7054006</v>
      </c>
      <c r="S1014" t="s">
        <v>774</v>
      </c>
      <c r="T1014" t="s">
        <v>354</v>
      </c>
      <c r="U1014" t="s">
        <v>355</v>
      </c>
      <c r="V1014" t="s">
        <v>131</v>
      </c>
      <c r="W1014" t="s">
        <v>51</v>
      </c>
      <c r="X1014" t="s">
        <v>45</v>
      </c>
      <c r="Y1014" s="1">
        <v>20974</v>
      </c>
      <c r="Z1014">
        <v>1</v>
      </c>
      <c r="AA1014" t="s">
        <v>355</v>
      </c>
      <c r="AB1014" s="40" t="s">
        <v>1796</v>
      </c>
    </row>
    <row r="1015" spans="1:28" x14ac:dyDescent="0.25">
      <c r="A1015">
        <v>99911014</v>
      </c>
      <c r="B1015" t="s">
        <v>32</v>
      </c>
      <c r="C1015" t="s">
        <v>64</v>
      </c>
      <c r="D1015" t="s">
        <v>65</v>
      </c>
      <c r="G1015" t="s">
        <v>48</v>
      </c>
      <c r="H1015">
        <v>1</v>
      </c>
      <c r="K1015" t="s">
        <v>157</v>
      </c>
      <c r="L1015" t="s">
        <v>158</v>
      </c>
      <c r="M1015" t="s">
        <v>131</v>
      </c>
      <c r="N1015">
        <v>13</v>
      </c>
      <c r="P1015" t="s">
        <v>41</v>
      </c>
      <c r="Q1015" t="s">
        <v>42</v>
      </c>
      <c r="R1015" t="str">
        <f>"0580290"</f>
        <v>0580290</v>
      </c>
      <c r="S1015" t="s">
        <v>171</v>
      </c>
      <c r="T1015" t="s">
        <v>157</v>
      </c>
      <c r="U1015" t="s">
        <v>158</v>
      </c>
      <c r="V1015" t="s">
        <v>131</v>
      </c>
      <c r="W1015" t="s">
        <v>51</v>
      </c>
      <c r="X1015" t="s">
        <v>45</v>
      </c>
      <c r="Y1015" s="1">
        <v>18920</v>
      </c>
      <c r="Z1015">
        <v>2</v>
      </c>
      <c r="AA1015" t="s">
        <v>158</v>
      </c>
      <c r="AB1015" s="40" t="s">
        <v>1796</v>
      </c>
    </row>
    <row r="1016" spans="1:28" x14ac:dyDescent="0.25">
      <c r="A1016">
        <v>99911015</v>
      </c>
      <c r="B1016" t="s">
        <v>32</v>
      </c>
      <c r="C1016" t="s">
        <v>52</v>
      </c>
      <c r="D1016" t="s">
        <v>53</v>
      </c>
      <c r="G1016" t="s">
        <v>35</v>
      </c>
      <c r="H1016">
        <v>1</v>
      </c>
      <c r="I1016" t="s">
        <v>216</v>
      </c>
      <c r="J1016" s="1">
        <v>43344</v>
      </c>
      <c r="K1016" t="s">
        <v>157</v>
      </c>
      <c r="L1016" t="s">
        <v>158</v>
      </c>
      <c r="M1016" t="s">
        <v>131</v>
      </c>
      <c r="N1016">
        <v>13</v>
      </c>
      <c r="O1016" s="1">
        <v>43344</v>
      </c>
      <c r="P1016" t="s">
        <v>41</v>
      </c>
      <c r="Q1016" t="s">
        <v>49</v>
      </c>
      <c r="R1016" t="str">
        <f>"2990102"</f>
        <v>2990102</v>
      </c>
      <c r="S1016" t="s">
        <v>217</v>
      </c>
      <c r="T1016" t="s">
        <v>157</v>
      </c>
      <c r="U1016" t="s">
        <v>158</v>
      </c>
      <c r="V1016" t="s">
        <v>131</v>
      </c>
      <c r="W1016" t="s">
        <v>44</v>
      </c>
      <c r="X1016" t="s">
        <v>45</v>
      </c>
      <c r="Z1016">
        <v>2</v>
      </c>
      <c r="AA1016" t="s">
        <v>158</v>
      </c>
      <c r="AB1016" s="40" t="s">
        <v>1796</v>
      </c>
    </row>
    <row r="1017" spans="1:28" x14ac:dyDescent="0.25">
      <c r="A1017">
        <v>99911016</v>
      </c>
      <c r="B1017" t="s">
        <v>32</v>
      </c>
      <c r="C1017" t="s">
        <v>64</v>
      </c>
      <c r="D1017" t="s">
        <v>65</v>
      </c>
      <c r="G1017" t="s">
        <v>35</v>
      </c>
      <c r="H1017">
        <v>1</v>
      </c>
      <c r="I1017">
        <v>0</v>
      </c>
      <c r="J1017" s="1">
        <v>43344</v>
      </c>
      <c r="K1017" t="s">
        <v>223</v>
      </c>
      <c r="L1017" t="s">
        <v>224</v>
      </c>
      <c r="M1017" t="s">
        <v>131</v>
      </c>
      <c r="N1017">
        <v>13</v>
      </c>
      <c r="O1017" s="1">
        <v>43344</v>
      </c>
      <c r="P1017" t="s">
        <v>41</v>
      </c>
      <c r="Q1017" t="s">
        <v>49</v>
      </c>
      <c r="R1017" t="str">
        <f>"0591901"</f>
        <v>0591901</v>
      </c>
      <c r="S1017" t="s">
        <v>230</v>
      </c>
      <c r="T1017" t="s">
        <v>223</v>
      </c>
      <c r="U1017" t="s">
        <v>224</v>
      </c>
      <c r="V1017" t="s">
        <v>131</v>
      </c>
      <c r="W1017" t="s">
        <v>44</v>
      </c>
      <c r="X1017" t="s">
        <v>45</v>
      </c>
      <c r="Z1017">
        <v>2</v>
      </c>
      <c r="AA1017" t="s">
        <v>224</v>
      </c>
      <c r="AB1017" s="40" t="s">
        <v>1796</v>
      </c>
    </row>
    <row r="1018" spans="1:28" x14ac:dyDescent="0.25">
      <c r="A1018">
        <v>99911017</v>
      </c>
      <c r="B1018" t="s">
        <v>32</v>
      </c>
      <c r="C1018" t="s">
        <v>52</v>
      </c>
      <c r="D1018" t="s">
        <v>53</v>
      </c>
      <c r="G1018" t="s">
        <v>35</v>
      </c>
      <c r="H1018">
        <v>1</v>
      </c>
      <c r="I1018">
        <v>0</v>
      </c>
      <c r="J1018" s="1">
        <v>43344</v>
      </c>
      <c r="K1018" t="s">
        <v>223</v>
      </c>
      <c r="L1018" t="s">
        <v>224</v>
      </c>
      <c r="M1018" t="s">
        <v>131</v>
      </c>
      <c r="N1018">
        <v>13</v>
      </c>
      <c r="O1018" s="1">
        <v>43344</v>
      </c>
      <c r="P1018" t="s">
        <v>41</v>
      </c>
      <c r="Q1018" t="s">
        <v>49</v>
      </c>
      <c r="R1018" t="str">
        <f>"0591901"</f>
        <v>0591901</v>
      </c>
      <c r="S1018" t="s">
        <v>230</v>
      </c>
      <c r="T1018" t="s">
        <v>223</v>
      </c>
      <c r="U1018" t="s">
        <v>224</v>
      </c>
      <c r="V1018" t="s">
        <v>131</v>
      </c>
      <c r="W1018" t="s">
        <v>44</v>
      </c>
      <c r="X1018" t="s">
        <v>45</v>
      </c>
      <c r="Z1018">
        <v>2</v>
      </c>
      <c r="AA1018" t="s">
        <v>224</v>
      </c>
      <c r="AB1018" s="40" t="s">
        <v>1796</v>
      </c>
    </row>
    <row r="1019" spans="1:28" x14ac:dyDescent="0.25">
      <c r="A1019">
        <v>99911018</v>
      </c>
      <c r="B1019" t="s">
        <v>32</v>
      </c>
      <c r="C1019" t="s">
        <v>52</v>
      </c>
      <c r="D1019" t="s">
        <v>53</v>
      </c>
      <c r="G1019" t="s">
        <v>35</v>
      </c>
      <c r="H1019">
        <v>1</v>
      </c>
      <c r="I1019">
        <v>0</v>
      </c>
      <c r="J1019" s="1">
        <v>43344</v>
      </c>
      <c r="K1019" t="s">
        <v>223</v>
      </c>
      <c r="L1019" t="s">
        <v>224</v>
      </c>
      <c r="M1019" t="s">
        <v>131</v>
      </c>
      <c r="N1019">
        <v>13</v>
      </c>
      <c r="O1019" s="1">
        <v>43344</v>
      </c>
      <c r="P1019" t="s">
        <v>41</v>
      </c>
      <c r="Q1019" t="s">
        <v>49</v>
      </c>
      <c r="R1019" t="str">
        <f>"0560034"</f>
        <v>0560034</v>
      </c>
      <c r="S1019" t="s">
        <v>266</v>
      </c>
      <c r="T1019" t="s">
        <v>223</v>
      </c>
      <c r="U1019" t="s">
        <v>224</v>
      </c>
      <c r="V1019" t="s">
        <v>131</v>
      </c>
      <c r="W1019" t="s">
        <v>44</v>
      </c>
      <c r="X1019" t="s">
        <v>45</v>
      </c>
      <c r="Z1019">
        <v>2</v>
      </c>
      <c r="AA1019" t="s">
        <v>224</v>
      </c>
      <c r="AB1019" s="40" t="s">
        <v>1796</v>
      </c>
    </row>
    <row r="1020" spans="1:28" x14ac:dyDescent="0.25">
      <c r="A1020">
        <v>99911019</v>
      </c>
      <c r="B1020" t="s">
        <v>32</v>
      </c>
      <c r="C1020" t="s">
        <v>68</v>
      </c>
      <c r="D1020" t="s">
        <v>69</v>
      </c>
      <c r="G1020" t="s">
        <v>35</v>
      </c>
      <c r="H1020">
        <v>1</v>
      </c>
      <c r="I1020" t="s">
        <v>1065</v>
      </c>
      <c r="J1020" s="1">
        <v>43355</v>
      </c>
      <c r="K1020" t="s">
        <v>1051</v>
      </c>
      <c r="L1020" t="s">
        <v>1052</v>
      </c>
      <c r="M1020" t="s">
        <v>1053</v>
      </c>
      <c r="N1020">
        <v>13</v>
      </c>
      <c r="O1020" s="1">
        <v>43355</v>
      </c>
      <c r="P1020" t="s">
        <v>41</v>
      </c>
      <c r="Q1020" t="s">
        <v>42</v>
      </c>
      <c r="R1020" t="str">
        <f>"2061004"</f>
        <v>2061004</v>
      </c>
      <c r="S1020" t="s">
        <v>1055</v>
      </c>
      <c r="T1020" t="s">
        <v>1051</v>
      </c>
      <c r="U1020" t="s">
        <v>1052</v>
      </c>
      <c r="V1020" t="s">
        <v>1053</v>
      </c>
      <c r="W1020" t="s">
        <v>44</v>
      </c>
      <c r="X1020" t="s">
        <v>45</v>
      </c>
      <c r="Z1020">
        <v>2</v>
      </c>
      <c r="AA1020" t="s">
        <v>1052</v>
      </c>
      <c r="AB1020" s="40" t="s">
        <v>1796</v>
      </c>
    </row>
    <row r="1021" spans="1:28" x14ac:dyDescent="0.25">
      <c r="A1021">
        <v>99911020</v>
      </c>
      <c r="B1021" t="s">
        <v>32</v>
      </c>
      <c r="C1021" t="s">
        <v>46</v>
      </c>
      <c r="D1021" t="s">
        <v>47</v>
      </c>
      <c r="G1021" t="s">
        <v>35</v>
      </c>
      <c r="H1021">
        <v>3</v>
      </c>
      <c r="I1021" t="s">
        <v>156</v>
      </c>
      <c r="J1021" s="1">
        <v>43344</v>
      </c>
      <c r="K1021" t="s">
        <v>129</v>
      </c>
      <c r="L1021" t="s">
        <v>130</v>
      </c>
      <c r="M1021" t="s">
        <v>131</v>
      </c>
      <c r="N1021">
        <v>14</v>
      </c>
      <c r="O1021" s="1">
        <v>43344</v>
      </c>
      <c r="P1021" t="s">
        <v>41</v>
      </c>
      <c r="Q1021" t="s">
        <v>42</v>
      </c>
      <c r="R1021" t="str">
        <f>"0561011"</f>
        <v>0561011</v>
      </c>
      <c r="S1021" t="s">
        <v>132</v>
      </c>
      <c r="T1021" t="s">
        <v>129</v>
      </c>
      <c r="U1021" t="s">
        <v>130</v>
      </c>
      <c r="V1021" t="s">
        <v>131</v>
      </c>
      <c r="W1021" t="s">
        <v>44</v>
      </c>
      <c r="X1021" t="s">
        <v>45</v>
      </c>
      <c r="Y1021" s="1">
        <v>43196</v>
      </c>
      <c r="Z1021">
        <v>2</v>
      </c>
      <c r="AA1021" t="s">
        <v>130</v>
      </c>
      <c r="AB1021" s="40" t="s">
        <v>1796</v>
      </c>
    </row>
    <row r="1022" spans="1:28" x14ac:dyDescent="0.25">
      <c r="A1022">
        <v>99911021</v>
      </c>
      <c r="B1022" t="s">
        <v>32</v>
      </c>
      <c r="C1022" t="s">
        <v>82</v>
      </c>
      <c r="D1022" t="s">
        <v>83</v>
      </c>
      <c r="G1022" t="s">
        <v>35</v>
      </c>
      <c r="H1022">
        <v>1</v>
      </c>
      <c r="K1022" t="s">
        <v>1626</v>
      </c>
      <c r="L1022" t="s">
        <v>1627</v>
      </c>
      <c r="M1022" t="s">
        <v>1592</v>
      </c>
      <c r="N1022">
        <v>14</v>
      </c>
      <c r="P1022" t="s">
        <v>41</v>
      </c>
      <c r="Q1022" t="s">
        <v>42</v>
      </c>
      <c r="R1022" t="str">
        <f>"3680015"</f>
        <v>3680015</v>
      </c>
      <c r="S1022" t="s">
        <v>1628</v>
      </c>
      <c r="T1022" t="s">
        <v>1626</v>
      </c>
      <c r="U1022" t="s">
        <v>1627</v>
      </c>
      <c r="V1022" t="s">
        <v>1592</v>
      </c>
      <c r="W1022" t="s">
        <v>51</v>
      </c>
      <c r="X1022" t="s">
        <v>45</v>
      </c>
      <c r="Y1022" s="1">
        <v>42754</v>
      </c>
      <c r="Z1022">
        <v>2</v>
      </c>
      <c r="AA1022" t="s">
        <v>1627</v>
      </c>
      <c r="AB1022" s="40" t="s">
        <v>1796</v>
      </c>
    </row>
    <row r="1023" spans="1:28" x14ac:dyDescent="0.25">
      <c r="A1023">
        <v>99911022</v>
      </c>
      <c r="B1023" t="s">
        <v>32</v>
      </c>
      <c r="C1023" t="s">
        <v>90</v>
      </c>
      <c r="D1023" t="s">
        <v>91</v>
      </c>
      <c r="G1023" t="s">
        <v>48</v>
      </c>
      <c r="H1023">
        <v>1</v>
      </c>
      <c r="K1023" t="s">
        <v>1564</v>
      </c>
      <c r="L1023" t="s">
        <v>1565</v>
      </c>
      <c r="M1023" t="s">
        <v>1548</v>
      </c>
      <c r="N1023">
        <v>14</v>
      </c>
      <c r="P1023" t="s">
        <v>41</v>
      </c>
      <c r="Q1023" t="s">
        <v>95</v>
      </c>
      <c r="R1023" t="str">
        <f>"7101009"</f>
        <v>7101009</v>
      </c>
      <c r="S1023" t="s">
        <v>1579</v>
      </c>
      <c r="T1023" t="s">
        <v>1564</v>
      </c>
      <c r="U1023" t="s">
        <v>1565</v>
      </c>
      <c r="V1023" t="s">
        <v>1548</v>
      </c>
      <c r="W1023" t="s">
        <v>51</v>
      </c>
      <c r="X1023" t="s">
        <v>45</v>
      </c>
      <c r="Y1023" s="1">
        <v>34632</v>
      </c>
      <c r="Z1023">
        <v>1</v>
      </c>
      <c r="AA1023" t="s">
        <v>1565</v>
      </c>
      <c r="AB1023" s="40" t="s">
        <v>1796</v>
      </c>
    </row>
    <row r="1024" spans="1:28" x14ac:dyDescent="0.25">
      <c r="A1024">
        <v>99911023</v>
      </c>
      <c r="B1024" t="s">
        <v>32</v>
      </c>
      <c r="C1024" t="s">
        <v>111</v>
      </c>
      <c r="D1024" t="s">
        <v>112</v>
      </c>
      <c r="G1024" t="s">
        <v>35</v>
      </c>
      <c r="H1024">
        <v>1</v>
      </c>
      <c r="I1024" t="s">
        <v>1234</v>
      </c>
      <c r="J1024" s="1">
        <v>43354</v>
      </c>
      <c r="K1024" t="s">
        <v>1221</v>
      </c>
      <c r="L1024" t="s">
        <v>1222</v>
      </c>
      <c r="M1024" t="s">
        <v>1130</v>
      </c>
      <c r="N1024">
        <v>14</v>
      </c>
      <c r="O1024" s="1">
        <v>43354</v>
      </c>
      <c r="P1024" t="s">
        <v>41</v>
      </c>
      <c r="Q1024" t="s">
        <v>75</v>
      </c>
      <c r="R1024" t="str">
        <f>"7351004"</f>
        <v>7351004</v>
      </c>
      <c r="S1024" t="s">
        <v>1225</v>
      </c>
      <c r="T1024" t="s">
        <v>1221</v>
      </c>
      <c r="U1024" t="s">
        <v>1222</v>
      </c>
      <c r="V1024" t="s">
        <v>1130</v>
      </c>
      <c r="W1024" t="s">
        <v>44</v>
      </c>
      <c r="X1024" t="s">
        <v>45</v>
      </c>
      <c r="Y1024" s="1">
        <v>34324</v>
      </c>
      <c r="Z1024">
        <v>1</v>
      </c>
      <c r="AA1024" t="s">
        <v>1222</v>
      </c>
      <c r="AB1024" s="40" t="s">
        <v>1796</v>
      </c>
    </row>
    <row r="1025" spans="1:28" x14ac:dyDescent="0.25">
      <c r="A1025">
        <v>99911024</v>
      </c>
      <c r="B1025" t="s">
        <v>32</v>
      </c>
      <c r="C1025" t="s">
        <v>46</v>
      </c>
      <c r="D1025" t="s">
        <v>47</v>
      </c>
      <c r="G1025" t="s">
        <v>35</v>
      </c>
      <c r="H1025">
        <v>1</v>
      </c>
      <c r="I1025" t="s">
        <v>1065</v>
      </c>
      <c r="J1025" s="1">
        <v>43355</v>
      </c>
      <c r="K1025" t="s">
        <v>1051</v>
      </c>
      <c r="L1025" t="s">
        <v>1052</v>
      </c>
      <c r="M1025" t="s">
        <v>1053</v>
      </c>
      <c r="N1025">
        <v>14</v>
      </c>
      <c r="O1025" s="1">
        <v>43355</v>
      </c>
      <c r="P1025" t="s">
        <v>41</v>
      </c>
      <c r="Q1025" t="s">
        <v>49</v>
      </c>
      <c r="R1025" t="str">
        <f>"2060004"</f>
        <v>2060004</v>
      </c>
      <c r="S1025" t="s">
        <v>1059</v>
      </c>
      <c r="T1025" t="s">
        <v>1051</v>
      </c>
      <c r="U1025" t="s">
        <v>1052</v>
      </c>
      <c r="V1025" t="s">
        <v>1053</v>
      </c>
      <c r="W1025" t="s">
        <v>44</v>
      </c>
      <c r="X1025" t="s">
        <v>45</v>
      </c>
      <c r="Y1025" s="1">
        <v>34037</v>
      </c>
      <c r="Z1025">
        <v>2</v>
      </c>
      <c r="AA1025" t="s">
        <v>1052</v>
      </c>
      <c r="AB1025" s="40" t="s">
        <v>1796</v>
      </c>
    </row>
    <row r="1026" spans="1:28" x14ac:dyDescent="0.25">
      <c r="A1026">
        <v>99911025</v>
      </c>
      <c r="B1026" t="s">
        <v>32</v>
      </c>
      <c r="C1026" t="s">
        <v>64</v>
      </c>
      <c r="D1026" t="s">
        <v>65</v>
      </c>
      <c r="G1026" t="s">
        <v>35</v>
      </c>
      <c r="H1026">
        <v>1</v>
      </c>
      <c r="I1026" s="1">
        <v>42258</v>
      </c>
      <c r="J1026" s="1">
        <v>43344</v>
      </c>
      <c r="K1026" t="s">
        <v>129</v>
      </c>
      <c r="L1026" t="s">
        <v>130</v>
      </c>
      <c r="M1026" t="s">
        <v>131</v>
      </c>
      <c r="N1026">
        <v>14</v>
      </c>
      <c r="O1026" s="1">
        <v>43344</v>
      </c>
      <c r="P1026" t="s">
        <v>41</v>
      </c>
      <c r="Q1026" t="s">
        <v>49</v>
      </c>
      <c r="R1026" t="str">
        <f>"0580150"</f>
        <v>0580150</v>
      </c>
      <c r="S1026" t="s">
        <v>134</v>
      </c>
      <c r="T1026" t="s">
        <v>129</v>
      </c>
      <c r="U1026" t="s">
        <v>130</v>
      </c>
      <c r="V1026" t="s">
        <v>131</v>
      </c>
      <c r="W1026" t="s">
        <v>44</v>
      </c>
      <c r="X1026" t="s">
        <v>45</v>
      </c>
      <c r="Y1026" s="1">
        <v>33900</v>
      </c>
      <c r="Z1026">
        <v>2</v>
      </c>
      <c r="AA1026" t="s">
        <v>130</v>
      </c>
      <c r="AB1026" s="40" t="s">
        <v>1796</v>
      </c>
    </row>
    <row r="1027" spans="1:28" x14ac:dyDescent="0.25">
      <c r="A1027">
        <v>99911026</v>
      </c>
      <c r="B1027" t="s">
        <v>32</v>
      </c>
      <c r="C1027" t="s">
        <v>64</v>
      </c>
      <c r="D1027" t="s">
        <v>65</v>
      </c>
      <c r="G1027" t="s">
        <v>35</v>
      </c>
      <c r="H1027">
        <v>1</v>
      </c>
      <c r="I1027">
        <v>142765886</v>
      </c>
      <c r="J1027" s="1">
        <v>43005</v>
      </c>
      <c r="K1027" t="s">
        <v>380</v>
      </c>
      <c r="L1027" t="s">
        <v>381</v>
      </c>
      <c r="M1027" t="s">
        <v>131</v>
      </c>
      <c r="N1027">
        <v>14</v>
      </c>
      <c r="O1027" s="1">
        <v>43005</v>
      </c>
      <c r="P1027" t="s">
        <v>41</v>
      </c>
      <c r="Q1027" t="s">
        <v>49</v>
      </c>
      <c r="R1027" t="str">
        <f>"0560028"</f>
        <v>0560028</v>
      </c>
      <c r="S1027" t="s">
        <v>384</v>
      </c>
      <c r="T1027" t="s">
        <v>380</v>
      </c>
      <c r="U1027" t="s">
        <v>381</v>
      </c>
      <c r="V1027" t="s">
        <v>131</v>
      </c>
      <c r="W1027" t="s">
        <v>44</v>
      </c>
      <c r="X1027" t="s">
        <v>45</v>
      </c>
      <c r="Y1027" s="1">
        <v>33121</v>
      </c>
      <c r="Z1027">
        <v>2</v>
      </c>
      <c r="AA1027" t="s">
        <v>381</v>
      </c>
      <c r="AB1027" s="40" t="s">
        <v>1796</v>
      </c>
    </row>
    <row r="1028" spans="1:28" x14ac:dyDescent="0.25">
      <c r="A1028">
        <v>99911027</v>
      </c>
      <c r="B1028" t="s">
        <v>56</v>
      </c>
      <c r="C1028" t="s">
        <v>61</v>
      </c>
      <c r="D1028" t="s">
        <v>62</v>
      </c>
      <c r="G1028" t="s">
        <v>35</v>
      </c>
      <c r="H1028">
        <v>1</v>
      </c>
      <c r="I1028">
        <v>27589</v>
      </c>
      <c r="J1028" s="1">
        <v>43059</v>
      </c>
      <c r="K1028" t="s">
        <v>380</v>
      </c>
      <c r="L1028" t="s">
        <v>381</v>
      </c>
      <c r="M1028" t="s">
        <v>131</v>
      </c>
      <c r="N1028">
        <v>14</v>
      </c>
      <c r="O1028" s="1">
        <v>43059</v>
      </c>
      <c r="P1028" t="s">
        <v>41</v>
      </c>
      <c r="Q1028" t="s">
        <v>42</v>
      </c>
      <c r="R1028" t="str">
        <f>"0561016"</f>
        <v>0561016</v>
      </c>
      <c r="S1028" t="s">
        <v>389</v>
      </c>
      <c r="T1028" t="s">
        <v>380</v>
      </c>
      <c r="U1028" t="s">
        <v>381</v>
      </c>
      <c r="V1028" t="s">
        <v>131</v>
      </c>
      <c r="W1028" t="s">
        <v>44</v>
      </c>
      <c r="X1028" t="s">
        <v>45</v>
      </c>
      <c r="Y1028" s="1">
        <v>32792</v>
      </c>
      <c r="Z1028">
        <v>2</v>
      </c>
      <c r="AA1028" t="s">
        <v>381</v>
      </c>
      <c r="AB1028" s="40" t="s">
        <v>1796</v>
      </c>
    </row>
    <row r="1029" spans="1:28" x14ac:dyDescent="0.25">
      <c r="A1029">
        <v>99911028</v>
      </c>
      <c r="B1029" t="s">
        <v>56</v>
      </c>
      <c r="C1029" t="s">
        <v>61</v>
      </c>
      <c r="D1029" t="s">
        <v>62</v>
      </c>
      <c r="G1029" t="s">
        <v>35</v>
      </c>
      <c r="H1029">
        <v>1</v>
      </c>
      <c r="I1029">
        <v>21563</v>
      </c>
      <c r="J1029" s="1">
        <v>43344</v>
      </c>
      <c r="K1029" t="s">
        <v>345</v>
      </c>
      <c r="L1029" t="s">
        <v>346</v>
      </c>
      <c r="M1029" t="s">
        <v>131</v>
      </c>
      <c r="N1029">
        <v>14</v>
      </c>
      <c r="O1029" s="1">
        <v>43344</v>
      </c>
      <c r="P1029" t="s">
        <v>41</v>
      </c>
      <c r="Q1029" t="s">
        <v>42</v>
      </c>
      <c r="R1029" t="str">
        <f>"0580615"</f>
        <v>0580615</v>
      </c>
      <c r="S1029" t="s">
        <v>364</v>
      </c>
      <c r="T1029" t="s">
        <v>345</v>
      </c>
      <c r="U1029" t="s">
        <v>346</v>
      </c>
      <c r="V1029" t="s">
        <v>131</v>
      </c>
      <c r="W1029" t="s">
        <v>44</v>
      </c>
      <c r="X1029" t="s">
        <v>45</v>
      </c>
      <c r="Y1029" s="1">
        <v>32774</v>
      </c>
      <c r="Z1029">
        <v>2</v>
      </c>
      <c r="AA1029" t="s">
        <v>346</v>
      </c>
      <c r="AB1029" s="40" t="s">
        <v>1796</v>
      </c>
    </row>
    <row r="1030" spans="1:28" x14ac:dyDescent="0.25">
      <c r="A1030">
        <v>99911029</v>
      </c>
      <c r="B1030" t="s">
        <v>32</v>
      </c>
      <c r="C1030" t="s">
        <v>64</v>
      </c>
      <c r="D1030" t="s">
        <v>65</v>
      </c>
      <c r="G1030" t="s">
        <v>35</v>
      </c>
      <c r="H1030">
        <v>1</v>
      </c>
      <c r="I1030" t="s">
        <v>1717</v>
      </c>
      <c r="J1030" s="1">
        <v>43344</v>
      </c>
      <c r="K1030" t="s">
        <v>1708</v>
      </c>
      <c r="L1030" t="s">
        <v>1709</v>
      </c>
      <c r="M1030" t="s">
        <v>1705</v>
      </c>
      <c r="N1030">
        <v>14</v>
      </c>
      <c r="O1030" s="1">
        <v>43344</v>
      </c>
      <c r="P1030" t="s">
        <v>41</v>
      </c>
      <c r="Q1030" t="s">
        <v>75</v>
      </c>
      <c r="R1030" t="str">
        <f>"7121000"</f>
        <v>7121000</v>
      </c>
      <c r="S1030" t="s">
        <v>1713</v>
      </c>
      <c r="T1030" t="s">
        <v>1708</v>
      </c>
      <c r="U1030" t="s">
        <v>1709</v>
      </c>
      <c r="V1030" t="s">
        <v>1705</v>
      </c>
      <c r="W1030" t="s">
        <v>51</v>
      </c>
      <c r="X1030" t="s">
        <v>45</v>
      </c>
      <c r="Y1030" s="1">
        <v>32651</v>
      </c>
      <c r="Z1030">
        <v>1</v>
      </c>
      <c r="AA1030" t="s">
        <v>1709</v>
      </c>
      <c r="AB1030" s="40" t="s">
        <v>1796</v>
      </c>
    </row>
    <row r="1031" spans="1:28" x14ac:dyDescent="0.25">
      <c r="A1031">
        <v>99911030</v>
      </c>
      <c r="B1031" t="s">
        <v>32</v>
      </c>
      <c r="C1031" t="s">
        <v>64</v>
      </c>
      <c r="D1031" t="s">
        <v>65</v>
      </c>
      <c r="G1031" t="s">
        <v>35</v>
      </c>
      <c r="H1031">
        <v>1</v>
      </c>
      <c r="I1031">
        <v>4138</v>
      </c>
      <c r="J1031" s="1">
        <v>43344</v>
      </c>
      <c r="K1031" t="s">
        <v>877</v>
      </c>
      <c r="L1031" t="s">
        <v>878</v>
      </c>
      <c r="M1031" t="s">
        <v>131</v>
      </c>
      <c r="N1031">
        <v>14</v>
      </c>
      <c r="O1031" s="1">
        <v>43344</v>
      </c>
      <c r="P1031" t="s">
        <v>41</v>
      </c>
      <c r="Q1031" t="s">
        <v>75</v>
      </c>
      <c r="R1031" t="str">
        <f>"7541024"</f>
        <v>7541024</v>
      </c>
      <c r="S1031" t="s">
        <v>885</v>
      </c>
      <c r="T1031" t="s">
        <v>877</v>
      </c>
      <c r="U1031" t="s">
        <v>878</v>
      </c>
      <c r="V1031" t="s">
        <v>131</v>
      </c>
      <c r="W1031" t="s">
        <v>51</v>
      </c>
      <c r="X1031" t="s">
        <v>45</v>
      </c>
      <c r="Y1031" s="1">
        <v>32004</v>
      </c>
      <c r="Z1031">
        <v>1</v>
      </c>
      <c r="AA1031" t="s">
        <v>878</v>
      </c>
      <c r="AB1031" s="40" t="s">
        <v>1796</v>
      </c>
    </row>
    <row r="1032" spans="1:28" x14ac:dyDescent="0.25">
      <c r="A1032">
        <v>99911031</v>
      </c>
      <c r="B1032" t="s">
        <v>56</v>
      </c>
      <c r="C1032" t="s">
        <v>52</v>
      </c>
      <c r="D1032" t="s">
        <v>53</v>
      </c>
      <c r="G1032" t="s">
        <v>35</v>
      </c>
      <c r="H1032">
        <v>1</v>
      </c>
      <c r="I1032">
        <v>0</v>
      </c>
      <c r="J1032" s="1">
        <v>43344</v>
      </c>
      <c r="K1032" t="s">
        <v>223</v>
      </c>
      <c r="L1032" t="s">
        <v>224</v>
      </c>
      <c r="M1032" t="s">
        <v>131</v>
      </c>
      <c r="N1032">
        <v>14</v>
      </c>
      <c r="O1032" s="1">
        <v>43344</v>
      </c>
      <c r="P1032" t="s">
        <v>41</v>
      </c>
      <c r="Q1032" t="s">
        <v>49</v>
      </c>
      <c r="R1032" t="str">
        <f>"0581207"</f>
        <v>0581207</v>
      </c>
      <c r="S1032" t="s">
        <v>233</v>
      </c>
      <c r="T1032" t="s">
        <v>223</v>
      </c>
      <c r="U1032" t="s">
        <v>224</v>
      </c>
      <c r="V1032" t="s">
        <v>131</v>
      </c>
      <c r="W1032" t="s">
        <v>44</v>
      </c>
      <c r="X1032" t="s">
        <v>45</v>
      </c>
      <c r="Y1032" s="1">
        <v>31866</v>
      </c>
      <c r="Z1032">
        <v>2</v>
      </c>
      <c r="AA1032" t="s">
        <v>224</v>
      </c>
      <c r="AB1032" s="40" t="s">
        <v>1796</v>
      </c>
    </row>
    <row r="1033" spans="1:28" x14ac:dyDescent="0.25">
      <c r="A1033">
        <v>99911032</v>
      </c>
      <c r="B1033" t="s">
        <v>32</v>
      </c>
      <c r="C1033" t="s">
        <v>64</v>
      </c>
      <c r="D1033" t="s">
        <v>65</v>
      </c>
      <c r="G1033" t="s">
        <v>35</v>
      </c>
      <c r="H1033">
        <v>1</v>
      </c>
      <c r="I1033" t="s">
        <v>1102</v>
      </c>
      <c r="J1033" s="1">
        <v>43344</v>
      </c>
      <c r="K1033" t="s">
        <v>1081</v>
      </c>
      <c r="L1033" t="s">
        <v>1082</v>
      </c>
      <c r="M1033" t="s">
        <v>1053</v>
      </c>
      <c r="N1033">
        <v>14</v>
      </c>
      <c r="O1033" s="1">
        <v>43344</v>
      </c>
      <c r="P1033" t="s">
        <v>41</v>
      </c>
      <c r="Q1033" t="s">
        <v>75</v>
      </c>
      <c r="R1033" t="str">
        <f>"7201000"</f>
        <v>7201000</v>
      </c>
      <c r="S1033" t="s">
        <v>1088</v>
      </c>
      <c r="T1033" t="s">
        <v>1081</v>
      </c>
      <c r="U1033" t="s">
        <v>1082</v>
      </c>
      <c r="V1033" t="s">
        <v>1053</v>
      </c>
      <c r="W1033" t="s">
        <v>51</v>
      </c>
      <c r="X1033" t="s">
        <v>45</v>
      </c>
      <c r="Y1033" s="1">
        <v>31560</v>
      </c>
      <c r="Z1033">
        <v>1</v>
      </c>
      <c r="AA1033" t="s">
        <v>1082</v>
      </c>
      <c r="AB1033" s="40" t="s">
        <v>1796</v>
      </c>
    </row>
    <row r="1034" spans="1:28" x14ac:dyDescent="0.25">
      <c r="A1034">
        <v>99911033</v>
      </c>
      <c r="B1034" t="s">
        <v>32</v>
      </c>
      <c r="C1034" t="s">
        <v>79</v>
      </c>
      <c r="D1034" t="s">
        <v>80</v>
      </c>
      <c r="G1034" t="s">
        <v>35</v>
      </c>
      <c r="H1034">
        <v>1</v>
      </c>
      <c r="I1034" t="s">
        <v>1080</v>
      </c>
      <c r="J1034" s="1">
        <v>43344</v>
      </c>
      <c r="K1034" t="s">
        <v>1081</v>
      </c>
      <c r="L1034" t="s">
        <v>1082</v>
      </c>
      <c r="M1034" t="s">
        <v>1053</v>
      </c>
      <c r="N1034">
        <v>14</v>
      </c>
      <c r="O1034" s="1">
        <v>43344</v>
      </c>
      <c r="P1034" t="s">
        <v>41</v>
      </c>
      <c r="Q1034" t="s">
        <v>75</v>
      </c>
      <c r="R1034" t="str">
        <f>"7201006"</f>
        <v>7201006</v>
      </c>
      <c r="S1034" t="s">
        <v>1083</v>
      </c>
      <c r="T1034" t="s">
        <v>1081</v>
      </c>
      <c r="U1034" t="s">
        <v>1082</v>
      </c>
      <c r="V1034" t="s">
        <v>1053</v>
      </c>
      <c r="W1034" t="s">
        <v>51</v>
      </c>
      <c r="X1034" t="s">
        <v>45</v>
      </c>
      <c r="Y1034" s="1">
        <v>31481</v>
      </c>
      <c r="Z1034">
        <v>1</v>
      </c>
      <c r="AA1034" t="s">
        <v>1082</v>
      </c>
      <c r="AB1034" s="40" t="s">
        <v>1796</v>
      </c>
    </row>
    <row r="1035" spans="1:28" x14ac:dyDescent="0.25">
      <c r="A1035">
        <v>99911034</v>
      </c>
      <c r="B1035" t="s">
        <v>32</v>
      </c>
      <c r="C1035" t="s">
        <v>58</v>
      </c>
      <c r="D1035" t="s">
        <v>59</v>
      </c>
      <c r="G1035" t="s">
        <v>48</v>
      </c>
      <c r="H1035">
        <v>1</v>
      </c>
      <c r="K1035" t="s">
        <v>162</v>
      </c>
      <c r="L1035" t="s">
        <v>158</v>
      </c>
      <c r="M1035" t="s">
        <v>131</v>
      </c>
      <c r="N1035">
        <v>14</v>
      </c>
      <c r="P1035" t="s">
        <v>41</v>
      </c>
      <c r="Q1035" t="s">
        <v>49</v>
      </c>
      <c r="R1035" t="str">
        <f>"0560003"</f>
        <v>0560003</v>
      </c>
      <c r="S1035" t="s">
        <v>181</v>
      </c>
      <c r="T1035" t="s">
        <v>162</v>
      </c>
      <c r="U1035" t="s">
        <v>158</v>
      </c>
      <c r="V1035" t="s">
        <v>131</v>
      </c>
      <c r="W1035" t="s">
        <v>51</v>
      </c>
      <c r="X1035" t="s">
        <v>45</v>
      </c>
      <c r="Y1035" s="1">
        <v>30753</v>
      </c>
      <c r="Z1035">
        <v>2</v>
      </c>
      <c r="AA1035" t="s">
        <v>158</v>
      </c>
      <c r="AB1035" s="40" t="s">
        <v>1796</v>
      </c>
    </row>
    <row r="1036" spans="1:28" x14ac:dyDescent="0.25">
      <c r="A1036">
        <v>99911035</v>
      </c>
      <c r="B1036" t="s">
        <v>32</v>
      </c>
      <c r="C1036" t="s">
        <v>46</v>
      </c>
      <c r="D1036" t="s">
        <v>47</v>
      </c>
      <c r="G1036" t="s">
        <v>48</v>
      </c>
      <c r="H1036">
        <v>5</v>
      </c>
      <c r="K1036" t="s">
        <v>129</v>
      </c>
      <c r="L1036" t="s">
        <v>130</v>
      </c>
      <c r="M1036" t="s">
        <v>131</v>
      </c>
      <c r="N1036">
        <v>14</v>
      </c>
      <c r="O1036" s="1">
        <v>38961</v>
      </c>
      <c r="P1036" t="s">
        <v>41</v>
      </c>
      <c r="Q1036" t="s">
        <v>42</v>
      </c>
      <c r="R1036" t="str">
        <f>"0561011"</f>
        <v>0561011</v>
      </c>
      <c r="S1036" t="s">
        <v>132</v>
      </c>
      <c r="T1036" t="s">
        <v>129</v>
      </c>
      <c r="U1036" t="s">
        <v>130</v>
      </c>
      <c r="V1036" t="s">
        <v>131</v>
      </c>
      <c r="W1036" t="s">
        <v>51</v>
      </c>
      <c r="X1036" t="s">
        <v>45</v>
      </c>
      <c r="Y1036" s="1">
        <v>30643</v>
      </c>
      <c r="Z1036">
        <v>2</v>
      </c>
      <c r="AA1036" t="s">
        <v>130</v>
      </c>
      <c r="AB1036" s="40" t="s">
        <v>1796</v>
      </c>
    </row>
    <row r="1037" spans="1:28" x14ac:dyDescent="0.25">
      <c r="A1037">
        <v>99911036</v>
      </c>
      <c r="B1037" t="s">
        <v>32</v>
      </c>
      <c r="C1037" t="s">
        <v>71</v>
      </c>
      <c r="D1037" t="s">
        <v>72</v>
      </c>
      <c r="G1037" t="s">
        <v>35</v>
      </c>
      <c r="H1037">
        <v>1</v>
      </c>
      <c r="K1037" t="s">
        <v>354</v>
      </c>
      <c r="L1037" t="s">
        <v>355</v>
      </c>
      <c r="M1037" t="s">
        <v>131</v>
      </c>
      <c r="N1037">
        <v>14</v>
      </c>
      <c r="P1037" t="s">
        <v>41</v>
      </c>
      <c r="Q1037" t="s">
        <v>75</v>
      </c>
      <c r="R1037" t="str">
        <f>"7054006"</f>
        <v>7054006</v>
      </c>
      <c r="S1037" t="s">
        <v>774</v>
      </c>
      <c r="T1037" t="s">
        <v>354</v>
      </c>
      <c r="U1037" t="s">
        <v>355</v>
      </c>
      <c r="V1037" t="s">
        <v>131</v>
      </c>
      <c r="W1037" t="s">
        <v>51</v>
      </c>
      <c r="X1037" t="s">
        <v>45</v>
      </c>
      <c r="Y1037" s="1">
        <v>30483</v>
      </c>
      <c r="Z1037">
        <v>1</v>
      </c>
      <c r="AA1037" t="s">
        <v>355</v>
      </c>
      <c r="AB1037" s="40" t="s">
        <v>1796</v>
      </c>
    </row>
    <row r="1038" spans="1:28" x14ac:dyDescent="0.25">
      <c r="A1038">
        <v>99911037</v>
      </c>
      <c r="B1038" t="s">
        <v>32</v>
      </c>
      <c r="C1038" t="s">
        <v>71</v>
      </c>
      <c r="D1038" t="s">
        <v>72</v>
      </c>
      <c r="G1038" t="s">
        <v>88</v>
      </c>
      <c r="H1038">
        <v>5</v>
      </c>
      <c r="K1038" t="s">
        <v>431</v>
      </c>
      <c r="L1038" t="s">
        <v>196</v>
      </c>
      <c r="M1038" t="s">
        <v>131</v>
      </c>
      <c r="N1038">
        <v>14</v>
      </c>
      <c r="P1038" t="s">
        <v>41</v>
      </c>
      <c r="Q1038" t="s">
        <v>75</v>
      </c>
      <c r="R1038" t="str">
        <f>"7521054"</f>
        <v>7521054</v>
      </c>
      <c r="S1038" t="s">
        <v>476</v>
      </c>
      <c r="T1038" t="s">
        <v>431</v>
      </c>
      <c r="U1038" t="s">
        <v>196</v>
      </c>
      <c r="V1038" t="s">
        <v>131</v>
      </c>
      <c r="W1038" t="s">
        <v>51</v>
      </c>
      <c r="X1038" t="s">
        <v>45</v>
      </c>
      <c r="Y1038" s="1">
        <v>30457</v>
      </c>
      <c r="Z1038">
        <v>1</v>
      </c>
      <c r="AA1038" t="s">
        <v>196</v>
      </c>
      <c r="AB1038" s="40" t="s">
        <v>1796</v>
      </c>
    </row>
    <row r="1039" spans="1:28" x14ac:dyDescent="0.25">
      <c r="A1039">
        <v>99911038</v>
      </c>
      <c r="B1039" t="s">
        <v>56</v>
      </c>
      <c r="C1039" t="s">
        <v>82</v>
      </c>
      <c r="D1039" t="s">
        <v>83</v>
      </c>
      <c r="G1039" t="s">
        <v>35</v>
      </c>
      <c r="H1039">
        <v>1</v>
      </c>
      <c r="I1039" t="s">
        <v>215</v>
      </c>
      <c r="J1039" s="1">
        <v>43344</v>
      </c>
      <c r="K1039" t="s">
        <v>157</v>
      </c>
      <c r="L1039" t="s">
        <v>158</v>
      </c>
      <c r="M1039" t="s">
        <v>131</v>
      </c>
      <c r="N1039">
        <v>14</v>
      </c>
      <c r="O1039" s="1">
        <v>43344</v>
      </c>
      <c r="P1039" t="s">
        <v>41</v>
      </c>
      <c r="Q1039" t="s">
        <v>42</v>
      </c>
      <c r="R1039" t="str">
        <f>"0580725"</f>
        <v>0580725</v>
      </c>
      <c r="S1039" t="s">
        <v>167</v>
      </c>
      <c r="T1039" t="s">
        <v>157</v>
      </c>
      <c r="U1039" t="s">
        <v>158</v>
      </c>
      <c r="V1039" t="s">
        <v>131</v>
      </c>
      <c r="W1039" t="s">
        <v>55</v>
      </c>
      <c r="X1039" t="s">
        <v>45</v>
      </c>
      <c r="Y1039" s="1">
        <v>30436</v>
      </c>
      <c r="Z1039">
        <v>2</v>
      </c>
      <c r="AA1039" t="s">
        <v>158</v>
      </c>
      <c r="AB1039" s="40" t="s">
        <v>1796</v>
      </c>
    </row>
    <row r="1040" spans="1:28" x14ac:dyDescent="0.25">
      <c r="A1040">
        <v>99911039</v>
      </c>
      <c r="B1040" t="s">
        <v>32</v>
      </c>
      <c r="C1040" t="s">
        <v>139</v>
      </c>
      <c r="D1040" t="s">
        <v>140</v>
      </c>
      <c r="G1040" t="s">
        <v>48</v>
      </c>
      <c r="H1040">
        <v>1</v>
      </c>
      <c r="K1040" t="s">
        <v>380</v>
      </c>
      <c r="L1040" t="s">
        <v>381</v>
      </c>
      <c r="M1040" t="s">
        <v>131</v>
      </c>
      <c r="N1040">
        <v>14</v>
      </c>
      <c r="P1040" t="s">
        <v>41</v>
      </c>
      <c r="Q1040" t="s">
        <v>49</v>
      </c>
      <c r="R1040" t="str">
        <f>"0591909"</f>
        <v>0591909</v>
      </c>
      <c r="S1040" t="s">
        <v>385</v>
      </c>
      <c r="T1040" t="s">
        <v>380</v>
      </c>
      <c r="U1040" t="s">
        <v>381</v>
      </c>
      <c r="V1040" t="s">
        <v>131</v>
      </c>
      <c r="W1040" t="s">
        <v>51</v>
      </c>
      <c r="X1040" t="s">
        <v>45</v>
      </c>
      <c r="Y1040" s="1">
        <v>29872</v>
      </c>
      <c r="Z1040">
        <v>2</v>
      </c>
      <c r="AA1040" t="s">
        <v>381</v>
      </c>
      <c r="AB1040" s="40" t="s">
        <v>1796</v>
      </c>
    </row>
    <row r="1041" spans="1:28" x14ac:dyDescent="0.25">
      <c r="A1041">
        <v>99911040</v>
      </c>
      <c r="B1041" t="s">
        <v>56</v>
      </c>
      <c r="C1041" t="s">
        <v>79</v>
      </c>
      <c r="D1041" t="s">
        <v>80</v>
      </c>
      <c r="G1041" t="s">
        <v>35</v>
      </c>
      <c r="H1041">
        <v>1</v>
      </c>
      <c r="I1041" t="s">
        <v>1174</v>
      </c>
      <c r="J1041" s="1">
        <v>43354</v>
      </c>
      <c r="K1041" t="s">
        <v>1171</v>
      </c>
      <c r="L1041" t="s">
        <v>1172</v>
      </c>
      <c r="M1041" t="s">
        <v>1130</v>
      </c>
      <c r="N1041">
        <v>14</v>
      </c>
      <c r="O1041" s="1">
        <v>43354</v>
      </c>
      <c r="P1041" t="s">
        <v>41</v>
      </c>
      <c r="Q1041" t="s">
        <v>42</v>
      </c>
      <c r="R1041" t="str">
        <f>"3561001"</f>
        <v>3561001</v>
      </c>
      <c r="S1041" t="s">
        <v>1173</v>
      </c>
      <c r="T1041" t="s">
        <v>1171</v>
      </c>
      <c r="U1041" t="s">
        <v>1172</v>
      </c>
      <c r="V1041" t="s">
        <v>1130</v>
      </c>
      <c r="W1041" t="s">
        <v>44</v>
      </c>
      <c r="X1041" t="s">
        <v>45</v>
      </c>
      <c r="Y1041" s="1">
        <v>29804</v>
      </c>
      <c r="Z1041">
        <v>2</v>
      </c>
      <c r="AA1041" t="s">
        <v>1172</v>
      </c>
      <c r="AB1041" s="40" t="s">
        <v>1796</v>
      </c>
    </row>
    <row r="1042" spans="1:28" x14ac:dyDescent="0.25">
      <c r="A1042">
        <v>99911041</v>
      </c>
      <c r="B1042" t="s">
        <v>32</v>
      </c>
      <c r="C1042" t="s">
        <v>79</v>
      </c>
      <c r="D1042" t="s">
        <v>80</v>
      </c>
      <c r="G1042" t="s">
        <v>48</v>
      </c>
      <c r="H1042">
        <v>1</v>
      </c>
      <c r="K1042" t="s">
        <v>223</v>
      </c>
      <c r="L1042" t="s">
        <v>224</v>
      </c>
      <c r="M1042" t="s">
        <v>131</v>
      </c>
      <c r="N1042">
        <v>14</v>
      </c>
      <c r="P1042" t="s">
        <v>41</v>
      </c>
      <c r="Q1042" t="s">
        <v>49</v>
      </c>
      <c r="R1042" t="str">
        <f>"0509999"</f>
        <v>0509999</v>
      </c>
      <c r="S1042" t="s">
        <v>247</v>
      </c>
      <c r="T1042" t="s">
        <v>223</v>
      </c>
      <c r="U1042" t="s">
        <v>224</v>
      </c>
      <c r="V1042" t="s">
        <v>131</v>
      </c>
      <c r="W1042" t="s">
        <v>51</v>
      </c>
      <c r="X1042" t="s">
        <v>45</v>
      </c>
      <c r="Y1042" s="1">
        <v>29713</v>
      </c>
      <c r="Z1042">
        <v>2</v>
      </c>
      <c r="AA1042" t="s">
        <v>224</v>
      </c>
      <c r="AB1042" s="40" t="s">
        <v>1796</v>
      </c>
    </row>
    <row r="1043" spans="1:28" x14ac:dyDescent="0.25">
      <c r="A1043">
        <v>99911042</v>
      </c>
      <c r="B1043" t="s">
        <v>32</v>
      </c>
      <c r="C1043" t="s">
        <v>64</v>
      </c>
      <c r="D1043" t="s">
        <v>65</v>
      </c>
      <c r="G1043" t="s">
        <v>48</v>
      </c>
      <c r="H1043">
        <v>1</v>
      </c>
      <c r="K1043" t="s">
        <v>268</v>
      </c>
      <c r="L1043" t="s">
        <v>269</v>
      </c>
      <c r="M1043" t="s">
        <v>131</v>
      </c>
      <c r="N1043">
        <v>14</v>
      </c>
      <c r="P1043" t="s">
        <v>41</v>
      </c>
      <c r="Q1043" t="s">
        <v>75</v>
      </c>
      <c r="R1043" t="str">
        <f>"7052016"</f>
        <v>7052016</v>
      </c>
      <c r="S1043" t="s">
        <v>588</v>
      </c>
      <c r="T1043" t="s">
        <v>268</v>
      </c>
      <c r="U1043" t="s">
        <v>269</v>
      </c>
      <c r="V1043" t="s">
        <v>131</v>
      </c>
      <c r="W1043" t="s">
        <v>51</v>
      </c>
      <c r="X1043" t="s">
        <v>45</v>
      </c>
      <c r="Y1043" s="1">
        <v>29572</v>
      </c>
      <c r="Z1043">
        <v>1</v>
      </c>
      <c r="AA1043" t="s">
        <v>269</v>
      </c>
      <c r="AB1043" s="40" t="s">
        <v>1796</v>
      </c>
    </row>
    <row r="1044" spans="1:28" x14ac:dyDescent="0.25">
      <c r="A1044">
        <v>99911043</v>
      </c>
      <c r="B1044" t="s">
        <v>32</v>
      </c>
      <c r="C1044" t="s">
        <v>64</v>
      </c>
      <c r="D1044" t="s">
        <v>65</v>
      </c>
      <c r="G1044" t="s">
        <v>88</v>
      </c>
      <c r="H1044">
        <v>5</v>
      </c>
      <c r="I1044" t="s">
        <v>1013</v>
      </c>
      <c r="J1044" s="1">
        <v>43344</v>
      </c>
      <c r="K1044" t="s">
        <v>963</v>
      </c>
      <c r="L1044" t="s">
        <v>964</v>
      </c>
      <c r="M1044" t="s">
        <v>938</v>
      </c>
      <c r="N1044">
        <v>14</v>
      </c>
      <c r="O1044" s="1">
        <v>43344</v>
      </c>
      <c r="P1044" t="s">
        <v>41</v>
      </c>
      <c r="Q1044" t="s">
        <v>75</v>
      </c>
      <c r="R1044" t="str">
        <f>"7061004"</f>
        <v>7061004</v>
      </c>
      <c r="S1044" t="s">
        <v>1002</v>
      </c>
      <c r="T1044" t="s">
        <v>963</v>
      </c>
      <c r="U1044" t="s">
        <v>964</v>
      </c>
      <c r="V1044" t="s">
        <v>938</v>
      </c>
      <c r="W1044" t="s">
        <v>44</v>
      </c>
      <c r="X1044" t="s">
        <v>45</v>
      </c>
      <c r="Y1044" s="1">
        <v>29454</v>
      </c>
      <c r="Z1044">
        <v>1</v>
      </c>
      <c r="AA1044" t="s">
        <v>964</v>
      </c>
      <c r="AB1044" s="40" t="s">
        <v>1796</v>
      </c>
    </row>
    <row r="1045" spans="1:28" x14ac:dyDescent="0.25">
      <c r="A1045">
        <v>99911044</v>
      </c>
      <c r="B1045" t="s">
        <v>32</v>
      </c>
      <c r="C1045" t="s">
        <v>139</v>
      </c>
      <c r="D1045" t="s">
        <v>140</v>
      </c>
      <c r="G1045" t="s">
        <v>35</v>
      </c>
      <c r="H1045">
        <v>1</v>
      </c>
      <c r="I1045">
        <v>20192</v>
      </c>
      <c r="J1045" s="1">
        <v>43344</v>
      </c>
      <c r="K1045" t="s">
        <v>380</v>
      </c>
      <c r="L1045" t="s">
        <v>381</v>
      </c>
      <c r="M1045" t="s">
        <v>131</v>
      </c>
      <c r="N1045">
        <v>14</v>
      </c>
      <c r="O1045" s="1">
        <v>43344</v>
      </c>
      <c r="P1045" t="s">
        <v>41</v>
      </c>
      <c r="Q1045" t="s">
        <v>49</v>
      </c>
      <c r="R1045" t="str">
        <f>"0591909"</f>
        <v>0591909</v>
      </c>
      <c r="S1045" t="s">
        <v>385</v>
      </c>
      <c r="T1045" t="s">
        <v>380</v>
      </c>
      <c r="U1045" t="s">
        <v>381</v>
      </c>
      <c r="V1045" t="s">
        <v>131</v>
      </c>
      <c r="W1045" t="s">
        <v>55</v>
      </c>
      <c r="X1045" t="s">
        <v>45</v>
      </c>
      <c r="Y1045" s="1">
        <v>29333</v>
      </c>
      <c r="Z1045">
        <v>2</v>
      </c>
      <c r="AA1045" t="s">
        <v>381</v>
      </c>
      <c r="AB1045" s="40" t="s">
        <v>1796</v>
      </c>
    </row>
    <row r="1046" spans="1:28" x14ac:dyDescent="0.25">
      <c r="A1046">
        <v>99911045</v>
      </c>
      <c r="B1046" t="s">
        <v>56</v>
      </c>
      <c r="C1046" t="s">
        <v>204</v>
      </c>
      <c r="D1046" t="s">
        <v>205</v>
      </c>
      <c r="G1046" t="s">
        <v>48</v>
      </c>
      <c r="H1046">
        <v>1</v>
      </c>
      <c r="K1046" t="s">
        <v>223</v>
      </c>
      <c r="L1046" t="s">
        <v>224</v>
      </c>
      <c r="M1046" t="s">
        <v>131</v>
      </c>
      <c r="N1046">
        <v>14</v>
      </c>
      <c r="P1046" t="s">
        <v>41</v>
      </c>
      <c r="Q1046" t="s">
        <v>49</v>
      </c>
      <c r="R1046" t="str">
        <f>"0581200"</f>
        <v>0581200</v>
      </c>
      <c r="S1046" t="s">
        <v>238</v>
      </c>
      <c r="T1046" t="s">
        <v>223</v>
      </c>
      <c r="U1046" t="s">
        <v>224</v>
      </c>
      <c r="V1046" t="s">
        <v>131</v>
      </c>
      <c r="W1046" t="s">
        <v>51</v>
      </c>
      <c r="X1046" t="s">
        <v>45</v>
      </c>
      <c r="Y1046" s="1">
        <v>29186</v>
      </c>
      <c r="Z1046">
        <v>2</v>
      </c>
      <c r="AA1046" t="s">
        <v>224</v>
      </c>
      <c r="AB1046" s="40" t="s">
        <v>1796</v>
      </c>
    </row>
    <row r="1047" spans="1:28" x14ac:dyDescent="0.25">
      <c r="A1047">
        <v>99911046</v>
      </c>
      <c r="B1047" t="s">
        <v>32</v>
      </c>
      <c r="C1047" t="s">
        <v>64</v>
      </c>
      <c r="D1047" t="s">
        <v>65</v>
      </c>
      <c r="G1047" t="s">
        <v>35</v>
      </c>
      <c r="H1047">
        <v>1</v>
      </c>
      <c r="I1047" t="s">
        <v>1662</v>
      </c>
      <c r="J1047" s="1">
        <v>43344</v>
      </c>
      <c r="K1047" t="s">
        <v>1619</v>
      </c>
      <c r="L1047" t="s">
        <v>1620</v>
      </c>
      <c r="M1047" t="s">
        <v>1592</v>
      </c>
      <c r="N1047">
        <v>14</v>
      </c>
      <c r="O1047" s="1">
        <v>43344</v>
      </c>
      <c r="P1047" t="s">
        <v>41</v>
      </c>
      <c r="Q1047" t="s">
        <v>75</v>
      </c>
      <c r="R1047" t="str">
        <f>"7281004"</f>
        <v>7281004</v>
      </c>
      <c r="S1047" t="s">
        <v>1651</v>
      </c>
      <c r="T1047" t="s">
        <v>1619</v>
      </c>
      <c r="U1047" t="s">
        <v>1620</v>
      </c>
      <c r="V1047" t="s">
        <v>1592</v>
      </c>
      <c r="W1047" t="s">
        <v>51</v>
      </c>
      <c r="X1047" t="s">
        <v>45</v>
      </c>
      <c r="Y1047" s="1">
        <v>28711</v>
      </c>
      <c r="Z1047">
        <v>1</v>
      </c>
      <c r="AA1047" t="s">
        <v>1620</v>
      </c>
      <c r="AB1047" s="40" t="s">
        <v>1796</v>
      </c>
    </row>
    <row r="1048" spans="1:28" x14ac:dyDescent="0.25">
      <c r="A1048">
        <v>99911047</v>
      </c>
      <c r="B1048" t="s">
        <v>32</v>
      </c>
      <c r="C1048" t="s">
        <v>139</v>
      </c>
      <c r="D1048" t="s">
        <v>140</v>
      </c>
      <c r="G1048" t="s">
        <v>88</v>
      </c>
      <c r="H1048">
        <v>2</v>
      </c>
      <c r="K1048" t="s">
        <v>354</v>
      </c>
      <c r="L1048" t="s">
        <v>355</v>
      </c>
      <c r="M1048" t="s">
        <v>131</v>
      </c>
      <c r="N1048">
        <v>14</v>
      </c>
      <c r="P1048" t="s">
        <v>41</v>
      </c>
      <c r="Q1048" t="s">
        <v>75</v>
      </c>
      <c r="R1048" t="str">
        <f>"7054006"</f>
        <v>7054006</v>
      </c>
      <c r="S1048" t="s">
        <v>774</v>
      </c>
      <c r="T1048" t="s">
        <v>354</v>
      </c>
      <c r="U1048" t="s">
        <v>355</v>
      </c>
      <c r="V1048" t="s">
        <v>131</v>
      </c>
      <c r="W1048" t="s">
        <v>51</v>
      </c>
      <c r="X1048" t="s">
        <v>45</v>
      </c>
      <c r="Y1048" s="1">
        <v>28433</v>
      </c>
      <c r="Z1048">
        <v>1</v>
      </c>
      <c r="AA1048" t="s">
        <v>355</v>
      </c>
      <c r="AB1048" s="40" t="s">
        <v>1796</v>
      </c>
    </row>
    <row r="1049" spans="1:28" x14ac:dyDescent="0.25">
      <c r="A1049">
        <v>99911048</v>
      </c>
      <c r="B1049" t="s">
        <v>32</v>
      </c>
      <c r="C1049" t="s">
        <v>46</v>
      </c>
      <c r="D1049" t="s">
        <v>47</v>
      </c>
      <c r="G1049" t="s">
        <v>48</v>
      </c>
      <c r="H1049">
        <v>1</v>
      </c>
      <c r="K1049" t="s">
        <v>162</v>
      </c>
      <c r="L1049" t="s">
        <v>158</v>
      </c>
      <c r="M1049" t="s">
        <v>131</v>
      </c>
      <c r="N1049">
        <v>14</v>
      </c>
      <c r="P1049" t="s">
        <v>41</v>
      </c>
      <c r="Q1049" t="s">
        <v>49</v>
      </c>
      <c r="R1049" t="str">
        <f>"0581350"</f>
        <v>0581350</v>
      </c>
      <c r="S1049" t="s">
        <v>187</v>
      </c>
      <c r="T1049" t="s">
        <v>162</v>
      </c>
      <c r="U1049" t="s">
        <v>158</v>
      </c>
      <c r="V1049" t="s">
        <v>131</v>
      </c>
      <c r="W1049" t="s">
        <v>51</v>
      </c>
      <c r="X1049" t="s">
        <v>45</v>
      </c>
      <c r="Y1049" s="1">
        <v>28382</v>
      </c>
      <c r="Z1049">
        <v>2</v>
      </c>
      <c r="AA1049" t="s">
        <v>158</v>
      </c>
      <c r="AB1049" s="40" t="s">
        <v>1796</v>
      </c>
    </row>
    <row r="1050" spans="1:28" x14ac:dyDescent="0.25">
      <c r="A1050">
        <v>99911049</v>
      </c>
      <c r="B1050" t="s">
        <v>56</v>
      </c>
      <c r="C1050" t="s">
        <v>52</v>
      </c>
      <c r="D1050" t="s">
        <v>53</v>
      </c>
      <c r="G1050" t="s">
        <v>48</v>
      </c>
      <c r="H1050">
        <v>1</v>
      </c>
      <c r="K1050" t="s">
        <v>1268</v>
      </c>
      <c r="L1050" t="s">
        <v>1269</v>
      </c>
      <c r="M1050" t="s">
        <v>1270</v>
      </c>
      <c r="N1050">
        <v>14</v>
      </c>
      <c r="P1050" t="s">
        <v>41</v>
      </c>
      <c r="Q1050" t="s">
        <v>49</v>
      </c>
      <c r="R1050" t="str">
        <f>"1981914"</f>
        <v>1981914</v>
      </c>
      <c r="S1050" t="s">
        <v>1287</v>
      </c>
      <c r="T1050" t="s">
        <v>1268</v>
      </c>
      <c r="U1050" t="s">
        <v>1269</v>
      </c>
      <c r="V1050" t="s">
        <v>1270</v>
      </c>
      <c r="W1050" t="s">
        <v>51</v>
      </c>
      <c r="X1050" t="s">
        <v>45</v>
      </c>
      <c r="Y1050" s="1">
        <v>28347</v>
      </c>
      <c r="Z1050">
        <v>2</v>
      </c>
      <c r="AA1050" t="s">
        <v>1269</v>
      </c>
      <c r="AB1050" s="40" t="s">
        <v>1796</v>
      </c>
    </row>
    <row r="1051" spans="1:28" x14ac:dyDescent="0.25">
      <c r="A1051">
        <v>99911050</v>
      </c>
      <c r="B1051" t="s">
        <v>56</v>
      </c>
      <c r="C1051" t="s">
        <v>46</v>
      </c>
      <c r="D1051" t="s">
        <v>47</v>
      </c>
      <c r="G1051" t="s">
        <v>48</v>
      </c>
      <c r="H1051">
        <v>1</v>
      </c>
      <c r="K1051" t="s">
        <v>1268</v>
      </c>
      <c r="L1051" t="s">
        <v>1269</v>
      </c>
      <c r="M1051" t="s">
        <v>1270</v>
      </c>
      <c r="N1051">
        <v>14</v>
      </c>
      <c r="P1051" t="s">
        <v>41</v>
      </c>
      <c r="Q1051" t="s">
        <v>42</v>
      </c>
      <c r="R1051" t="str">
        <f>"1990910"</f>
        <v>1990910</v>
      </c>
      <c r="S1051" t="s">
        <v>1281</v>
      </c>
      <c r="T1051" t="s">
        <v>1268</v>
      </c>
      <c r="U1051" t="s">
        <v>1269</v>
      </c>
      <c r="V1051" t="s">
        <v>1270</v>
      </c>
      <c r="W1051" t="s">
        <v>165</v>
      </c>
      <c r="X1051" t="s">
        <v>45</v>
      </c>
      <c r="Y1051" s="1">
        <v>28175</v>
      </c>
      <c r="Z1051">
        <v>2</v>
      </c>
      <c r="AA1051" t="s">
        <v>1269</v>
      </c>
      <c r="AB1051" s="40" t="s">
        <v>1796</v>
      </c>
    </row>
    <row r="1052" spans="1:28" x14ac:dyDescent="0.25">
      <c r="A1052">
        <v>99911051</v>
      </c>
      <c r="B1052" t="s">
        <v>32</v>
      </c>
      <c r="C1052" t="s">
        <v>139</v>
      </c>
      <c r="D1052" t="s">
        <v>140</v>
      </c>
      <c r="G1052" t="s">
        <v>35</v>
      </c>
      <c r="H1052">
        <v>1</v>
      </c>
      <c r="I1052" t="s">
        <v>1092</v>
      </c>
      <c r="J1052" s="1">
        <v>43344</v>
      </c>
      <c r="K1052" t="s">
        <v>1081</v>
      </c>
      <c r="L1052" t="s">
        <v>1082</v>
      </c>
      <c r="M1052" t="s">
        <v>1053</v>
      </c>
      <c r="N1052">
        <v>14</v>
      </c>
      <c r="O1052" s="1">
        <v>43344</v>
      </c>
      <c r="P1052" t="s">
        <v>41</v>
      </c>
      <c r="Q1052" t="s">
        <v>75</v>
      </c>
      <c r="R1052" t="str">
        <f>"7201006"</f>
        <v>7201006</v>
      </c>
      <c r="S1052" t="s">
        <v>1083</v>
      </c>
      <c r="T1052" t="s">
        <v>1081</v>
      </c>
      <c r="U1052" t="s">
        <v>1082</v>
      </c>
      <c r="V1052" t="s">
        <v>1053</v>
      </c>
      <c r="W1052" t="s">
        <v>51</v>
      </c>
      <c r="X1052" t="s">
        <v>45</v>
      </c>
      <c r="Y1052" s="1">
        <v>28060</v>
      </c>
      <c r="Z1052">
        <v>1</v>
      </c>
      <c r="AA1052" t="s">
        <v>1082</v>
      </c>
      <c r="AB1052" s="40" t="s">
        <v>1796</v>
      </c>
    </row>
    <row r="1053" spans="1:28" x14ac:dyDescent="0.25">
      <c r="A1053">
        <v>99911052</v>
      </c>
      <c r="B1053" t="s">
        <v>56</v>
      </c>
      <c r="C1053" t="s">
        <v>85</v>
      </c>
      <c r="D1053" t="s">
        <v>86</v>
      </c>
      <c r="G1053" t="s">
        <v>48</v>
      </c>
      <c r="H1053">
        <v>1</v>
      </c>
      <c r="K1053" t="s">
        <v>380</v>
      </c>
      <c r="L1053" t="s">
        <v>381</v>
      </c>
      <c r="M1053" t="s">
        <v>131</v>
      </c>
      <c r="N1053">
        <v>14</v>
      </c>
      <c r="P1053" t="s">
        <v>41</v>
      </c>
      <c r="Q1053" t="s">
        <v>42</v>
      </c>
      <c r="R1053" t="str">
        <f>"0590909"</f>
        <v>0590909</v>
      </c>
      <c r="S1053" t="s">
        <v>388</v>
      </c>
      <c r="T1053" t="s">
        <v>380</v>
      </c>
      <c r="U1053" t="s">
        <v>381</v>
      </c>
      <c r="V1053" t="s">
        <v>131</v>
      </c>
      <c r="W1053" t="s">
        <v>51</v>
      </c>
      <c r="X1053" t="s">
        <v>45</v>
      </c>
      <c r="Y1053" s="1">
        <v>27971</v>
      </c>
      <c r="Z1053">
        <v>2</v>
      </c>
      <c r="AA1053" t="s">
        <v>381</v>
      </c>
      <c r="AB1053" s="40" t="s">
        <v>1796</v>
      </c>
    </row>
    <row r="1054" spans="1:28" x14ac:dyDescent="0.25">
      <c r="A1054">
        <v>99911053</v>
      </c>
      <c r="B1054" t="s">
        <v>56</v>
      </c>
      <c r="C1054" t="s">
        <v>46</v>
      </c>
      <c r="D1054" t="s">
        <v>47</v>
      </c>
      <c r="G1054" t="s">
        <v>35</v>
      </c>
      <c r="H1054">
        <v>1</v>
      </c>
      <c r="I1054" t="s">
        <v>57</v>
      </c>
      <c r="J1054" s="1">
        <v>43376</v>
      </c>
      <c r="K1054" t="s">
        <v>37</v>
      </c>
      <c r="L1054" t="s">
        <v>38</v>
      </c>
      <c r="M1054" t="s">
        <v>39</v>
      </c>
      <c r="N1054">
        <v>14</v>
      </c>
      <c r="O1054" s="1">
        <v>43376</v>
      </c>
      <c r="P1054" t="s">
        <v>41</v>
      </c>
      <c r="Q1054" t="s">
        <v>42</v>
      </c>
      <c r="R1054" t="str">
        <f>"3780010"</f>
        <v>3780010</v>
      </c>
      <c r="S1054" t="s">
        <v>43</v>
      </c>
      <c r="T1054" t="s">
        <v>37</v>
      </c>
      <c r="U1054" t="s">
        <v>38</v>
      </c>
      <c r="V1054" t="s">
        <v>39</v>
      </c>
      <c r="W1054" t="s">
        <v>55</v>
      </c>
      <c r="X1054" t="s">
        <v>45</v>
      </c>
      <c r="Y1054" s="1">
        <v>27839</v>
      </c>
      <c r="Z1054">
        <v>2</v>
      </c>
      <c r="AA1054" t="s">
        <v>38</v>
      </c>
      <c r="AB1054" s="40" t="s">
        <v>1796</v>
      </c>
    </row>
    <row r="1055" spans="1:28" x14ac:dyDescent="0.25">
      <c r="A1055">
        <v>99911054</v>
      </c>
      <c r="B1055" t="s">
        <v>32</v>
      </c>
      <c r="C1055" t="s">
        <v>64</v>
      </c>
      <c r="D1055" t="s">
        <v>65</v>
      </c>
      <c r="G1055" t="s">
        <v>35</v>
      </c>
      <c r="H1055">
        <v>1</v>
      </c>
      <c r="I1055">
        <v>13021</v>
      </c>
      <c r="J1055" s="1">
        <v>43344</v>
      </c>
      <c r="K1055" t="s">
        <v>354</v>
      </c>
      <c r="L1055" t="s">
        <v>355</v>
      </c>
      <c r="M1055" t="s">
        <v>131</v>
      </c>
      <c r="N1055">
        <v>14</v>
      </c>
      <c r="O1055" s="1">
        <v>43344</v>
      </c>
      <c r="P1055" t="s">
        <v>41</v>
      </c>
      <c r="Q1055" t="s">
        <v>75</v>
      </c>
      <c r="R1055" t="str">
        <f>"7054028"</f>
        <v>7054028</v>
      </c>
      <c r="S1055" t="s">
        <v>788</v>
      </c>
      <c r="T1055" t="s">
        <v>354</v>
      </c>
      <c r="U1055" t="s">
        <v>355</v>
      </c>
      <c r="V1055" t="s">
        <v>131</v>
      </c>
      <c r="W1055" t="s">
        <v>51</v>
      </c>
      <c r="X1055" t="s">
        <v>45</v>
      </c>
      <c r="Y1055" s="1">
        <v>27685</v>
      </c>
      <c r="Z1055">
        <v>1</v>
      </c>
      <c r="AA1055" t="s">
        <v>355</v>
      </c>
      <c r="AB1055" s="40" t="s">
        <v>1796</v>
      </c>
    </row>
    <row r="1056" spans="1:28" x14ac:dyDescent="0.25">
      <c r="A1056">
        <v>99911055</v>
      </c>
      <c r="B1056" t="s">
        <v>32</v>
      </c>
      <c r="C1056" t="s">
        <v>64</v>
      </c>
      <c r="D1056" t="s">
        <v>65</v>
      </c>
      <c r="G1056" t="s">
        <v>48</v>
      </c>
      <c r="H1056">
        <v>1</v>
      </c>
      <c r="K1056" t="s">
        <v>1619</v>
      </c>
      <c r="L1056" t="s">
        <v>1620</v>
      </c>
      <c r="M1056" t="s">
        <v>1592</v>
      </c>
      <c r="N1056">
        <v>14</v>
      </c>
      <c r="P1056" t="s">
        <v>41</v>
      </c>
      <c r="Q1056" t="s">
        <v>75</v>
      </c>
      <c r="R1056" t="str">
        <f>"7281006"</f>
        <v>7281006</v>
      </c>
      <c r="S1056" t="s">
        <v>1618</v>
      </c>
      <c r="T1056" t="s">
        <v>1619</v>
      </c>
      <c r="U1056" t="s">
        <v>1620</v>
      </c>
      <c r="V1056" t="s">
        <v>1592</v>
      </c>
      <c r="W1056" t="s">
        <v>51</v>
      </c>
      <c r="X1056" t="s">
        <v>45</v>
      </c>
      <c r="Y1056" s="1">
        <v>27589</v>
      </c>
      <c r="Z1056">
        <v>1</v>
      </c>
      <c r="AA1056" t="s">
        <v>1620</v>
      </c>
      <c r="AB1056" s="40" t="s">
        <v>1796</v>
      </c>
    </row>
    <row r="1057" spans="1:28" x14ac:dyDescent="0.25">
      <c r="A1057">
        <v>99911056</v>
      </c>
      <c r="B1057" t="s">
        <v>32</v>
      </c>
      <c r="C1057" t="s">
        <v>46</v>
      </c>
      <c r="D1057" t="s">
        <v>47</v>
      </c>
      <c r="G1057" t="s">
        <v>35</v>
      </c>
      <c r="H1057">
        <v>1</v>
      </c>
      <c r="I1057">
        <v>9287</v>
      </c>
      <c r="J1057" s="1">
        <v>43364</v>
      </c>
      <c r="K1057" t="s">
        <v>1336</v>
      </c>
      <c r="L1057" t="s">
        <v>1337</v>
      </c>
      <c r="M1057" t="s">
        <v>1270</v>
      </c>
      <c r="N1057">
        <v>14</v>
      </c>
      <c r="O1057" s="1">
        <v>43364</v>
      </c>
      <c r="P1057" t="s">
        <v>41</v>
      </c>
      <c r="Q1057" t="s">
        <v>42</v>
      </c>
      <c r="R1057" t="str">
        <f>"4475070"</f>
        <v>4475070</v>
      </c>
      <c r="S1057" t="s">
        <v>1338</v>
      </c>
      <c r="T1057" t="s">
        <v>1336</v>
      </c>
      <c r="U1057" t="s">
        <v>1337</v>
      </c>
      <c r="V1057" t="s">
        <v>1270</v>
      </c>
      <c r="W1057" t="s">
        <v>51</v>
      </c>
      <c r="X1057" t="s">
        <v>45</v>
      </c>
      <c r="Y1057" s="1">
        <v>27184</v>
      </c>
      <c r="Z1057">
        <v>2</v>
      </c>
      <c r="AA1057" t="s">
        <v>1337</v>
      </c>
      <c r="AB1057" s="40" t="s">
        <v>1796</v>
      </c>
    </row>
    <row r="1058" spans="1:28" x14ac:dyDescent="0.25">
      <c r="A1058">
        <v>99911057</v>
      </c>
      <c r="B1058" t="s">
        <v>56</v>
      </c>
      <c r="C1058" t="s">
        <v>117</v>
      </c>
      <c r="D1058" t="s">
        <v>118</v>
      </c>
      <c r="G1058" t="s">
        <v>48</v>
      </c>
      <c r="H1058">
        <v>1</v>
      </c>
      <c r="I1058" t="s">
        <v>546</v>
      </c>
      <c r="J1058" s="1">
        <v>41884</v>
      </c>
      <c r="K1058" t="s">
        <v>431</v>
      </c>
      <c r="L1058" t="s">
        <v>196</v>
      </c>
      <c r="M1058" t="s">
        <v>131</v>
      </c>
      <c r="N1058">
        <v>14</v>
      </c>
      <c r="O1058" s="1">
        <v>41884</v>
      </c>
      <c r="P1058" t="s">
        <v>41</v>
      </c>
      <c r="Q1058" t="s">
        <v>75</v>
      </c>
      <c r="R1058" t="str">
        <f>"7521054"</f>
        <v>7521054</v>
      </c>
      <c r="S1058" t="s">
        <v>476</v>
      </c>
      <c r="T1058" t="s">
        <v>431</v>
      </c>
      <c r="U1058" t="s">
        <v>196</v>
      </c>
      <c r="V1058" t="s">
        <v>131</v>
      </c>
      <c r="W1058" t="s">
        <v>51</v>
      </c>
      <c r="X1058" t="s">
        <v>45</v>
      </c>
      <c r="Y1058" s="1">
        <v>27117</v>
      </c>
      <c r="Z1058">
        <v>1</v>
      </c>
      <c r="AA1058" t="s">
        <v>196</v>
      </c>
      <c r="AB1058" s="40" t="s">
        <v>1796</v>
      </c>
    </row>
    <row r="1059" spans="1:28" x14ac:dyDescent="0.25">
      <c r="A1059">
        <v>99911058</v>
      </c>
      <c r="B1059" t="s">
        <v>56</v>
      </c>
      <c r="C1059" t="s">
        <v>52</v>
      </c>
      <c r="D1059" t="s">
        <v>53</v>
      </c>
      <c r="G1059" t="s">
        <v>48</v>
      </c>
      <c r="H1059">
        <v>1</v>
      </c>
      <c r="K1059" t="s">
        <v>380</v>
      </c>
      <c r="L1059" t="s">
        <v>381</v>
      </c>
      <c r="M1059" t="s">
        <v>131</v>
      </c>
      <c r="N1059">
        <v>14</v>
      </c>
      <c r="P1059" t="s">
        <v>41</v>
      </c>
      <c r="Q1059" t="s">
        <v>49</v>
      </c>
      <c r="R1059" t="str">
        <f>"0581859"</f>
        <v>0581859</v>
      </c>
      <c r="S1059" t="s">
        <v>394</v>
      </c>
      <c r="T1059" t="s">
        <v>380</v>
      </c>
      <c r="U1059" t="s">
        <v>381</v>
      </c>
      <c r="V1059" t="s">
        <v>131</v>
      </c>
      <c r="W1059" t="s">
        <v>51</v>
      </c>
      <c r="X1059" t="s">
        <v>45</v>
      </c>
      <c r="Y1059" s="1">
        <v>27094</v>
      </c>
      <c r="Z1059">
        <v>2</v>
      </c>
      <c r="AA1059" t="s">
        <v>381</v>
      </c>
      <c r="AB1059" s="40" t="s">
        <v>1796</v>
      </c>
    </row>
    <row r="1060" spans="1:28" x14ac:dyDescent="0.25">
      <c r="A1060">
        <v>99911059</v>
      </c>
      <c r="B1060" t="s">
        <v>32</v>
      </c>
      <c r="C1060" t="s">
        <v>141</v>
      </c>
      <c r="D1060" t="s">
        <v>142</v>
      </c>
      <c r="G1060" t="s">
        <v>48</v>
      </c>
      <c r="H1060">
        <v>1</v>
      </c>
      <c r="K1060" t="s">
        <v>223</v>
      </c>
      <c r="L1060" t="s">
        <v>224</v>
      </c>
      <c r="M1060" t="s">
        <v>131</v>
      </c>
      <c r="N1060">
        <v>14</v>
      </c>
      <c r="P1060" t="s">
        <v>41</v>
      </c>
      <c r="Q1060" t="s">
        <v>49</v>
      </c>
      <c r="R1060" t="str">
        <f>"0591910"</f>
        <v>0591910</v>
      </c>
      <c r="S1060" t="s">
        <v>228</v>
      </c>
      <c r="T1060" t="s">
        <v>223</v>
      </c>
      <c r="U1060" t="s">
        <v>224</v>
      </c>
      <c r="V1060" t="s">
        <v>131</v>
      </c>
      <c r="W1060" t="s">
        <v>51</v>
      </c>
      <c r="X1060" t="s">
        <v>45</v>
      </c>
      <c r="Y1060" s="1">
        <v>26687</v>
      </c>
      <c r="Z1060">
        <v>2</v>
      </c>
      <c r="AA1060" t="s">
        <v>224</v>
      </c>
      <c r="AB1060" s="40" t="s">
        <v>1796</v>
      </c>
    </row>
    <row r="1061" spans="1:28" x14ac:dyDescent="0.25">
      <c r="A1061">
        <v>99911060</v>
      </c>
      <c r="B1061" t="s">
        <v>32</v>
      </c>
      <c r="C1061" t="s">
        <v>85</v>
      </c>
      <c r="D1061" t="s">
        <v>86</v>
      </c>
      <c r="G1061" t="s">
        <v>48</v>
      </c>
      <c r="H1061">
        <v>1</v>
      </c>
      <c r="K1061" t="s">
        <v>300</v>
      </c>
      <c r="L1061" t="s">
        <v>301</v>
      </c>
      <c r="M1061" t="s">
        <v>131</v>
      </c>
      <c r="N1061">
        <v>14</v>
      </c>
      <c r="P1061" t="s">
        <v>41</v>
      </c>
      <c r="Q1061" t="s">
        <v>42</v>
      </c>
      <c r="R1061" t="str">
        <f>"0580106"</f>
        <v>0580106</v>
      </c>
      <c r="S1061" t="s">
        <v>306</v>
      </c>
      <c r="T1061" t="s">
        <v>300</v>
      </c>
      <c r="U1061" t="s">
        <v>301</v>
      </c>
      <c r="V1061" t="s">
        <v>131</v>
      </c>
      <c r="W1061" t="s">
        <v>51</v>
      </c>
      <c r="X1061" t="s">
        <v>45</v>
      </c>
      <c r="Y1061" s="1">
        <v>26563</v>
      </c>
      <c r="Z1061">
        <v>2</v>
      </c>
      <c r="AA1061" t="s">
        <v>301</v>
      </c>
      <c r="AB1061" s="40" t="s">
        <v>1796</v>
      </c>
    </row>
    <row r="1062" spans="1:28" x14ac:dyDescent="0.25">
      <c r="A1062">
        <v>99911061</v>
      </c>
      <c r="B1062" t="s">
        <v>32</v>
      </c>
      <c r="C1062" t="s">
        <v>46</v>
      </c>
      <c r="D1062" t="s">
        <v>47</v>
      </c>
      <c r="G1062" t="s">
        <v>35</v>
      </c>
      <c r="H1062">
        <v>1</v>
      </c>
      <c r="I1062" t="s">
        <v>1340</v>
      </c>
      <c r="J1062" s="1">
        <v>43364</v>
      </c>
      <c r="K1062" t="s">
        <v>1336</v>
      </c>
      <c r="L1062" t="s">
        <v>1337</v>
      </c>
      <c r="M1062" t="s">
        <v>1270</v>
      </c>
      <c r="N1062">
        <v>14</v>
      </c>
      <c r="O1062" s="1">
        <v>43364</v>
      </c>
      <c r="P1062" t="s">
        <v>41</v>
      </c>
      <c r="Q1062" t="s">
        <v>42</v>
      </c>
      <c r="R1062" t="str">
        <f>"4475070"</f>
        <v>4475070</v>
      </c>
      <c r="S1062" t="s">
        <v>1338</v>
      </c>
      <c r="T1062" t="s">
        <v>1336</v>
      </c>
      <c r="U1062" t="s">
        <v>1337</v>
      </c>
      <c r="V1062" t="s">
        <v>1270</v>
      </c>
      <c r="W1062" t="s">
        <v>51</v>
      </c>
      <c r="X1062" t="s">
        <v>45</v>
      </c>
      <c r="Y1062" s="1">
        <v>26513</v>
      </c>
      <c r="Z1062">
        <v>2</v>
      </c>
      <c r="AA1062" t="s">
        <v>1337</v>
      </c>
      <c r="AB1062" s="40" t="s">
        <v>1796</v>
      </c>
    </row>
    <row r="1063" spans="1:28" x14ac:dyDescent="0.25">
      <c r="A1063">
        <v>99911062</v>
      </c>
      <c r="B1063" t="s">
        <v>32</v>
      </c>
      <c r="C1063" t="s">
        <v>85</v>
      </c>
      <c r="D1063" t="s">
        <v>86</v>
      </c>
      <c r="G1063" t="s">
        <v>48</v>
      </c>
      <c r="H1063">
        <v>1</v>
      </c>
      <c r="K1063" t="s">
        <v>223</v>
      </c>
      <c r="L1063" t="s">
        <v>224</v>
      </c>
      <c r="M1063" t="s">
        <v>131</v>
      </c>
      <c r="N1063">
        <v>14</v>
      </c>
      <c r="P1063" t="s">
        <v>41</v>
      </c>
      <c r="Q1063" t="s">
        <v>49</v>
      </c>
      <c r="R1063" t="str">
        <f>"0581200"</f>
        <v>0581200</v>
      </c>
      <c r="S1063" t="s">
        <v>238</v>
      </c>
      <c r="T1063" t="s">
        <v>223</v>
      </c>
      <c r="U1063" t="s">
        <v>224</v>
      </c>
      <c r="V1063" t="s">
        <v>131</v>
      </c>
      <c r="W1063" t="s">
        <v>51</v>
      </c>
      <c r="X1063" t="s">
        <v>45</v>
      </c>
      <c r="Y1063" s="1">
        <v>26446</v>
      </c>
      <c r="Z1063">
        <v>2</v>
      </c>
      <c r="AA1063" t="s">
        <v>224</v>
      </c>
      <c r="AB1063" s="40" t="s">
        <v>1796</v>
      </c>
    </row>
    <row r="1064" spans="1:28" x14ac:dyDescent="0.25">
      <c r="A1064">
        <v>99911063</v>
      </c>
      <c r="B1064" t="s">
        <v>32</v>
      </c>
      <c r="C1064" t="s">
        <v>46</v>
      </c>
      <c r="D1064" t="s">
        <v>47</v>
      </c>
      <c r="G1064" t="s">
        <v>35</v>
      </c>
      <c r="H1064">
        <v>1</v>
      </c>
      <c r="J1064" s="1">
        <v>38230</v>
      </c>
      <c r="K1064" t="s">
        <v>1336</v>
      </c>
      <c r="L1064" t="s">
        <v>1337</v>
      </c>
      <c r="M1064" t="s">
        <v>1270</v>
      </c>
      <c r="N1064">
        <v>14</v>
      </c>
      <c r="O1064" s="1">
        <v>38230</v>
      </c>
      <c r="P1064" t="s">
        <v>41</v>
      </c>
      <c r="Q1064" t="s">
        <v>49</v>
      </c>
      <c r="R1064" t="str">
        <f>"4475075"</f>
        <v>4475075</v>
      </c>
      <c r="S1064" t="s">
        <v>1339</v>
      </c>
      <c r="T1064" t="s">
        <v>1336</v>
      </c>
      <c r="U1064" t="s">
        <v>1337</v>
      </c>
      <c r="V1064" t="s">
        <v>1270</v>
      </c>
      <c r="W1064" t="s">
        <v>51</v>
      </c>
      <c r="X1064" t="s">
        <v>45</v>
      </c>
      <c r="Y1064" s="1">
        <v>26163</v>
      </c>
      <c r="Z1064">
        <v>2</v>
      </c>
      <c r="AA1064" t="s">
        <v>1337</v>
      </c>
      <c r="AB1064" s="40" t="s">
        <v>1796</v>
      </c>
    </row>
    <row r="1065" spans="1:28" x14ac:dyDescent="0.25">
      <c r="A1065">
        <v>99911064</v>
      </c>
      <c r="B1065" t="s">
        <v>32</v>
      </c>
      <c r="C1065" t="s">
        <v>68</v>
      </c>
      <c r="D1065" t="s">
        <v>69</v>
      </c>
      <c r="G1065" t="s">
        <v>35</v>
      </c>
      <c r="H1065">
        <v>1</v>
      </c>
      <c r="I1065">
        <v>20135</v>
      </c>
      <c r="J1065" s="1">
        <v>43020</v>
      </c>
      <c r="K1065" t="s">
        <v>380</v>
      </c>
      <c r="L1065" t="s">
        <v>381</v>
      </c>
      <c r="M1065" t="s">
        <v>131</v>
      </c>
      <c r="N1065">
        <v>14</v>
      </c>
      <c r="O1065" s="1">
        <v>43020</v>
      </c>
      <c r="P1065" t="s">
        <v>41</v>
      </c>
      <c r="Q1065" t="s">
        <v>49</v>
      </c>
      <c r="R1065" t="str">
        <f>"0591909"</f>
        <v>0591909</v>
      </c>
      <c r="S1065" t="s">
        <v>385</v>
      </c>
      <c r="T1065" t="s">
        <v>380</v>
      </c>
      <c r="U1065" t="s">
        <v>381</v>
      </c>
      <c r="V1065" t="s">
        <v>131</v>
      </c>
      <c r="W1065" t="s">
        <v>44</v>
      </c>
      <c r="X1065" t="s">
        <v>45</v>
      </c>
      <c r="Y1065" s="1">
        <v>25934</v>
      </c>
      <c r="Z1065">
        <v>2</v>
      </c>
      <c r="AA1065" t="s">
        <v>381</v>
      </c>
      <c r="AB1065" s="40" t="s">
        <v>1796</v>
      </c>
    </row>
    <row r="1066" spans="1:28" x14ac:dyDescent="0.25">
      <c r="A1066">
        <v>99911065</v>
      </c>
      <c r="B1066" t="s">
        <v>56</v>
      </c>
      <c r="C1066" t="s">
        <v>79</v>
      </c>
      <c r="D1066" t="s">
        <v>80</v>
      </c>
      <c r="G1066" t="s">
        <v>48</v>
      </c>
      <c r="H1066">
        <v>1</v>
      </c>
      <c r="K1066" t="s">
        <v>300</v>
      </c>
      <c r="L1066" t="s">
        <v>301</v>
      </c>
      <c r="M1066" t="s">
        <v>131</v>
      </c>
      <c r="N1066">
        <v>14</v>
      </c>
      <c r="P1066" t="s">
        <v>41</v>
      </c>
      <c r="Q1066" t="s">
        <v>49</v>
      </c>
      <c r="R1066" t="str">
        <f>"0560001"</f>
        <v>0560001</v>
      </c>
      <c r="S1066" t="s">
        <v>304</v>
      </c>
      <c r="T1066" t="s">
        <v>300</v>
      </c>
      <c r="U1066" t="s">
        <v>301</v>
      </c>
      <c r="V1066" t="s">
        <v>131</v>
      </c>
      <c r="W1066" t="s">
        <v>51</v>
      </c>
      <c r="X1066" t="s">
        <v>45</v>
      </c>
      <c r="Y1066" s="1">
        <v>25927</v>
      </c>
      <c r="Z1066">
        <v>2</v>
      </c>
      <c r="AA1066" t="s">
        <v>301</v>
      </c>
      <c r="AB1066" s="40" t="s">
        <v>1796</v>
      </c>
    </row>
    <row r="1067" spans="1:28" x14ac:dyDescent="0.25">
      <c r="A1067">
        <v>99911066</v>
      </c>
      <c r="B1067" t="s">
        <v>32</v>
      </c>
      <c r="C1067" t="s">
        <v>61</v>
      </c>
      <c r="D1067" t="s">
        <v>62</v>
      </c>
      <c r="G1067" t="s">
        <v>35</v>
      </c>
      <c r="H1067">
        <v>1</v>
      </c>
      <c r="K1067" t="s">
        <v>223</v>
      </c>
      <c r="L1067" t="s">
        <v>224</v>
      </c>
      <c r="M1067" t="s">
        <v>131</v>
      </c>
      <c r="N1067">
        <v>14</v>
      </c>
      <c r="P1067" t="s">
        <v>41</v>
      </c>
      <c r="Q1067" t="s">
        <v>42</v>
      </c>
      <c r="R1067" t="str">
        <f>"0590901"</f>
        <v>0590901</v>
      </c>
      <c r="S1067" t="s">
        <v>242</v>
      </c>
      <c r="T1067" t="s">
        <v>223</v>
      </c>
      <c r="U1067" t="s">
        <v>224</v>
      </c>
      <c r="V1067" t="s">
        <v>131</v>
      </c>
      <c r="W1067" t="s">
        <v>51</v>
      </c>
      <c r="X1067" t="s">
        <v>45</v>
      </c>
      <c r="Y1067" s="1">
        <v>25861</v>
      </c>
      <c r="Z1067">
        <v>2</v>
      </c>
      <c r="AA1067" t="s">
        <v>224</v>
      </c>
      <c r="AB1067" s="40" t="s">
        <v>1796</v>
      </c>
    </row>
    <row r="1068" spans="1:28" x14ac:dyDescent="0.25">
      <c r="A1068">
        <v>99911067</v>
      </c>
      <c r="B1068" t="s">
        <v>32</v>
      </c>
      <c r="C1068" t="s">
        <v>46</v>
      </c>
      <c r="D1068" t="s">
        <v>47</v>
      </c>
      <c r="G1068" t="s">
        <v>48</v>
      </c>
      <c r="H1068">
        <v>1</v>
      </c>
      <c r="K1068" t="s">
        <v>223</v>
      </c>
      <c r="L1068" t="s">
        <v>224</v>
      </c>
      <c r="M1068" t="s">
        <v>131</v>
      </c>
      <c r="N1068">
        <v>14</v>
      </c>
      <c r="P1068" t="s">
        <v>41</v>
      </c>
      <c r="Q1068" t="s">
        <v>49</v>
      </c>
      <c r="R1068" t="str">
        <f>"0591910"</f>
        <v>0591910</v>
      </c>
      <c r="S1068" t="s">
        <v>228</v>
      </c>
      <c r="T1068" t="s">
        <v>223</v>
      </c>
      <c r="U1068" t="s">
        <v>224</v>
      </c>
      <c r="V1068" t="s">
        <v>131</v>
      </c>
      <c r="W1068" t="s">
        <v>51</v>
      </c>
      <c r="X1068" t="s">
        <v>45</v>
      </c>
      <c r="Y1068" s="1">
        <v>25724</v>
      </c>
      <c r="Z1068">
        <v>2</v>
      </c>
      <c r="AA1068" t="s">
        <v>224</v>
      </c>
      <c r="AB1068" s="40" t="s">
        <v>1796</v>
      </c>
    </row>
    <row r="1069" spans="1:28" x14ac:dyDescent="0.25">
      <c r="A1069">
        <v>99911068</v>
      </c>
      <c r="B1069" t="s">
        <v>32</v>
      </c>
      <c r="C1069" t="s">
        <v>46</v>
      </c>
      <c r="D1069" t="s">
        <v>47</v>
      </c>
      <c r="G1069" t="s">
        <v>35</v>
      </c>
      <c r="H1069">
        <v>1</v>
      </c>
      <c r="J1069" s="1">
        <v>38230</v>
      </c>
      <c r="K1069" t="s">
        <v>1336</v>
      </c>
      <c r="L1069" t="s">
        <v>1337</v>
      </c>
      <c r="M1069" t="s">
        <v>1270</v>
      </c>
      <c r="N1069">
        <v>14</v>
      </c>
      <c r="O1069" s="1">
        <v>38230</v>
      </c>
      <c r="P1069" t="s">
        <v>41</v>
      </c>
      <c r="Q1069" t="s">
        <v>42</v>
      </c>
      <c r="R1069" t="str">
        <f>"4475070"</f>
        <v>4475070</v>
      </c>
      <c r="S1069" t="s">
        <v>1338</v>
      </c>
      <c r="T1069" t="s">
        <v>1336</v>
      </c>
      <c r="U1069" t="s">
        <v>1337</v>
      </c>
      <c r="V1069" t="s">
        <v>1270</v>
      </c>
      <c r="W1069" t="s">
        <v>51</v>
      </c>
      <c r="X1069" t="s">
        <v>45</v>
      </c>
      <c r="Y1069" s="1">
        <v>25664</v>
      </c>
      <c r="Z1069">
        <v>2</v>
      </c>
      <c r="AA1069" t="s">
        <v>1337</v>
      </c>
      <c r="AB1069" s="40" t="s">
        <v>1796</v>
      </c>
    </row>
    <row r="1070" spans="1:28" x14ac:dyDescent="0.25">
      <c r="A1070">
        <v>99911069</v>
      </c>
      <c r="B1070" t="s">
        <v>56</v>
      </c>
      <c r="C1070" t="s">
        <v>33</v>
      </c>
      <c r="D1070" t="s">
        <v>34</v>
      </c>
      <c r="G1070" t="s">
        <v>35</v>
      </c>
      <c r="H1070">
        <v>1</v>
      </c>
      <c r="K1070" t="s">
        <v>300</v>
      </c>
      <c r="L1070" t="s">
        <v>301</v>
      </c>
      <c r="M1070" t="s">
        <v>131</v>
      </c>
      <c r="N1070">
        <v>14</v>
      </c>
      <c r="P1070" t="s">
        <v>41</v>
      </c>
      <c r="Q1070" t="s">
        <v>42</v>
      </c>
      <c r="R1070" t="str">
        <f>"0580023"</f>
        <v>0580023</v>
      </c>
      <c r="S1070" t="s">
        <v>313</v>
      </c>
      <c r="T1070" t="s">
        <v>300</v>
      </c>
      <c r="U1070" t="s">
        <v>301</v>
      </c>
      <c r="V1070" t="s">
        <v>131</v>
      </c>
      <c r="W1070" t="s">
        <v>165</v>
      </c>
      <c r="X1070" t="s">
        <v>45</v>
      </c>
      <c r="Y1070" s="1">
        <v>25569</v>
      </c>
      <c r="Z1070">
        <v>2</v>
      </c>
      <c r="AA1070" t="s">
        <v>301</v>
      </c>
      <c r="AB1070" s="40" t="s">
        <v>1796</v>
      </c>
    </row>
    <row r="1071" spans="1:28" x14ac:dyDescent="0.25">
      <c r="A1071">
        <v>99911070</v>
      </c>
      <c r="B1071" t="s">
        <v>32</v>
      </c>
      <c r="C1071" t="s">
        <v>52</v>
      </c>
      <c r="D1071" t="s">
        <v>53</v>
      </c>
      <c r="G1071" t="s">
        <v>35</v>
      </c>
      <c r="H1071">
        <v>1</v>
      </c>
      <c r="K1071" t="s">
        <v>1268</v>
      </c>
      <c r="L1071" t="s">
        <v>1269</v>
      </c>
      <c r="M1071" t="s">
        <v>1270</v>
      </c>
      <c r="N1071">
        <v>14</v>
      </c>
      <c r="P1071" t="s">
        <v>41</v>
      </c>
      <c r="Q1071" t="s">
        <v>42</v>
      </c>
      <c r="R1071" t="str">
        <f>"1990914"</f>
        <v>1990914</v>
      </c>
      <c r="S1071" t="s">
        <v>1275</v>
      </c>
      <c r="T1071" t="s">
        <v>1268</v>
      </c>
      <c r="U1071" t="s">
        <v>1269</v>
      </c>
      <c r="V1071" t="s">
        <v>1270</v>
      </c>
      <c r="W1071" t="s">
        <v>51</v>
      </c>
      <c r="X1071" t="s">
        <v>45</v>
      </c>
      <c r="Y1071" s="1">
        <v>25488</v>
      </c>
      <c r="Z1071">
        <v>2</v>
      </c>
      <c r="AA1071" t="s">
        <v>1269</v>
      </c>
      <c r="AB1071" s="40" t="s">
        <v>1796</v>
      </c>
    </row>
    <row r="1072" spans="1:28" x14ac:dyDescent="0.25">
      <c r="A1072">
        <v>99911071</v>
      </c>
      <c r="B1072" t="s">
        <v>56</v>
      </c>
      <c r="C1072" t="s">
        <v>46</v>
      </c>
      <c r="D1072" t="s">
        <v>47</v>
      </c>
      <c r="G1072" t="s">
        <v>48</v>
      </c>
      <c r="H1072">
        <v>1</v>
      </c>
      <c r="K1072" t="s">
        <v>162</v>
      </c>
      <c r="L1072" t="s">
        <v>158</v>
      </c>
      <c r="M1072" t="s">
        <v>131</v>
      </c>
      <c r="N1072">
        <v>14</v>
      </c>
      <c r="P1072" t="s">
        <v>41</v>
      </c>
      <c r="Q1072" t="s">
        <v>42</v>
      </c>
      <c r="R1072" t="str">
        <f>"0580330"</f>
        <v>0580330</v>
      </c>
      <c r="S1072" t="s">
        <v>176</v>
      </c>
      <c r="T1072" t="s">
        <v>162</v>
      </c>
      <c r="U1072" t="s">
        <v>158</v>
      </c>
      <c r="V1072" t="s">
        <v>131</v>
      </c>
      <c r="W1072" t="s">
        <v>51</v>
      </c>
      <c r="X1072" t="s">
        <v>45</v>
      </c>
      <c r="Y1072" s="1">
        <v>25487</v>
      </c>
      <c r="Z1072">
        <v>2</v>
      </c>
      <c r="AA1072" t="s">
        <v>158</v>
      </c>
      <c r="AB1072" s="40" t="s">
        <v>1796</v>
      </c>
    </row>
    <row r="1073" spans="1:28" x14ac:dyDescent="0.25">
      <c r="A1073">
        <v>99911072</v>
      </c>
      <c r="B1073" t="s">
        <v>56</v>
      </c>
      <c r="C1073" t="s">
        <v>46</v>
      </c>
      <c r="D1073" t="s">
        <v>47</v>
      </c>
      <c r="G1073" t="s">
        <v>48</v>
      </c>
      <c r="H1073">
        <v>1</v>
      </c>
      <c r="K1073" t="s">
        <v>380</v>
      </c>
      <c r="L1073" t="s">
        <v>381</v>
      </c>
      <c r="M1073" t="s">
        <v>131</v>
      </c>
      <c r="N1073">
        <v>14</v>
      </c>
      <c r="P1073" t="s">
        <v>41</v>
      </c>
      <c r="Q1073" t="s">
        <v>49</v>
      </c>
      <c r="R1073" t="str">
        <f>"0591908"</f>
        <v>0591908</v>
      </c>
      <c r="S1073" t="s">
        <v>383</v>
      </c>
      <c r="T1073" t="s">
        <v>380</v>
      </c>
      <c r="U1073" t="s">
        <v>381</v>
      </c>
      <c r="V1073" t="s">
        <v>131</v>
      </c>
      <c r="W1073" t="s">
        <v>51</v>
      </c>
      <c r="X1073" t="s">
        <v>45</v>
      </c>
      <c r="Y1073" s="1">
        <v>25422</v>
      </c>
      <c r="Z1073">
        <v>2</v>
      </c>
      <c r="AA1073" t="s">
        <v>381</v>
      </c>
      <c r="AB1073" s="40" t="s">
        <v>1796</v>
      </c>
    </row>
    <row r="1074" spans="1:28" x14ac:dyDescent="0.25">
      <c r="A1074">
        <v>99911073</v>
      </c>
      <c r="B1074" t="s">
        <v>32</v>
      </c>
      <c r="C1074" t="s">
        <v>139</v>
      </c>
      <c r="D1074" t="s">
        <v>140</v>
      </c>
      <c r="G1074" t="s">
        <v>48</v>
      </c>
      <c r="H1074">
        <v>1</v>
      </c>
      <c r="K1074" t="s">
        <v>431</v>
      </c>
      <c r="L1074" t="s">
        <v>196</v>
      </c>
      <c r="M1074" t="s">
        <v>131</v>
      </c>
      <c r="N1074">
        <v>14</v>
      </c>
      <c r="P1074" t="s">
        <v>41</v>
      </c>
      <c r="Q1074" t="s">
        <v>75</v>
      </c>
      <c r="R1074" t="str">
        <f>"7521022"</f>
        <v>7521022</v>
      </c>
      <c r="S1074" t="s">
        <v>445</v>
      </c>
      <c r="T1074" t="s">
        <v>431</v>
      </c>
      <c r="U1074" t="s">
        <v>196</v>
      </c>
      <c r="V1074" t="s">
        <v>131</v>
      </c>
      <c r="W1074" t="s">
        <v>51</v>
      </c>
      <c r="X1074" t="s">
        <v>45</v>
      </c>
      <c r="Y1074" s="1">
        <v>25204</v>
      </c>
      <c r="Z1074">
        <v>1</v>
      </c>
      <c r="AA1074" t="s">
        <v>196</v>
      </c>
      <c r="AB1074" s="40" t="s">
        <v>1796</v>
      </c>
    </row>
    <row r="1075" spans="1:28" x14ac:dyDescent="0.25">
      <c r="A1075">
        <v>99911074</v>
      </c>
      <c r="B1075" t="s">
        <v>32</v>
      </c>
      <c r="C1075" t="s">
        <v>58</v>
      </c>
      <c r="D1075" t="s">
        <v>59</v>
      </c>
      <c r="G1075" t="s">
        <v>48</v>
      </c>
      <c r="H1075">
        <v>19</v>
      </c>
      <c r="K1075" t="s">
        <v>1268</v>
      </c>
      <c r="L1075" t="s">
        <v>1269</v>
      </c>
      <c r="M1075" t="s">
        <v>1270</v>
      </c>
      <c r="N1075">
        <v>14</v>
      </c>
      <c r="P1075" t="s">
        <v>41</v>
      </c>
      <c r="Q1075" t="s">
        <v>49</v>
      </c>
      <c r="R1075" t="str">
        <f>"1981912"</f>
        <v>1981912</v>
      </c>
      <c r="S1075" t="s">
        <v>1279</v>
      </c>
      <c r="T1075" t="s">
        <v>1268</v>
      </c>
      <c r="U1075" t="s">
        <v>1269</v>
      </c>
      <c r="V1075" t="s">
        <v>1270</v>
      </c>
      <c r="W1075" t="s">
        <v>51</v>
      </c>
      <c r="X1075" t="s">
        <v>45</v>
      </c>
      <c r="Y1075" s="1">
        <v>25196</v>
      </c>
      <c r="Z1075">
        <v>2</v>
      </c>
      <c r="AA1075" t="s">
        <v>1269</v>
      </c>
      <c r="AB1075" s="40" t="s">
        <v>1796</v>
      </c>
    </row>
    <row r="1076" spans="1:28" x14ac:dyDescent="0.25">
      <c r="A1076">
        <v>99911075</v>
      </c>
      <c r="B1076" t="s">
        <v>56</v>
      </c>
      <c r="C1076" t="s">
        <v>46</v>
      </c>
      <c r="D1076" t="s">
        <v>47</v>
      </c>
      <c r="G1076" t="s">
        <v>48</v>
      </c>
      <c r="H1076">
        <v>1</v>
      </c>
      <c r="K1076" t="s">
        <v>345</v>
      </c>
      <c r="L1076" t="s">
        <v>346</v>
      </c>
      <c r="M1076" t="s">
        <v>131</v>
      </c>
      <c r="N1076">
        <v>14</v>
      </c>
      <c r="P1076" t="s">
        <v>41</v>
      </c>
      <c r="Q1076" t="s">
        <v>49</v>
      </c>
      <c r="R1076" t="str">
        <f>"0561021"</f>
        <v>0561021</v>
      </c>
      <c r="S1076" t="s">
        <v>352</v>
      </c>
      <c r="T1076" t="s">
        <v>345</v>
      </c>
      <c r="U1076" t="s">
        <v>346</v>
      </c>
      <c r="V1076" t="s">
        <v>131</v>
      </c>
      <c r="W1076" t="s">
        <v>51</v>
      </c>
      <c r="X1076" t="s">
        <v>45</v>
      </c>
      <c r="Y1076" s="1">
        <v>25180</v>
      </c>
      <c r="Z1076">
        <v>2</v>
      </c>
      <c r="AA1076" t="s">
        <v>346</v>
      </c>
      <c r="AB1076" s="40" t="s">
        <v>1796</v>
      </c>
    </row>
    <row r="1077" spans="1:28" x14ac:dyDescent="0.25">
      <c r="A1077">
        <v>99911076</v>
      </c>
      <c r="B1077" t="s">
        <v>32</v>
      </c>
      <c r="C1077" t="s">
        <v>46</v>
      </c>
      <c r="D1077" t="s">
        <v>47</v>
      </c>
      <c r="G1077" t="s">
        <v>35</v>
      </c>
      <c r="H1077">
        <v>1</v>
      </c>
      <c r="J1077" s="1">
        <v>38230</v>
      </c>
      <c r="K1077" t="s">
        <v>1336</v>
      </c>
      <c r="L1077" t="s">
        <v>1337</v>
      </c>
      <c r="M1077" t="s">
        <v>1270</v>
      </c>
      <c r="N1077">
        <v>14</v>
      </c>
      <c r="O1077" s="1">
        <v>38230</v>
      </c>
      <c r="P1077" t="s">
        <v>41</v>
      </c>
      <c r="Q1077" t="s">
        <v>42</v>
      </c>
      <c r="R1077" t="str">
        <f>"4475070"</f>
        <v>4475070</v>
      </c>
      <c r="S1077" t="s">
        <v>1338</v>
      </c>
      <c r="T1077" t="s">
        <v>1336</v>
      </c>
      <c r="U1077" t="s">
        <v>1337</v>
      </c>
      <c r="V1077" t="s">
        <v>1270</v>
      </c>
      <c r="W1077" t="s">
        <v>51</v>
      </c>
      <c r="X1077" t="s">
        <v>45</v>
      </c>
      <c r="Y1077" s="1">
        <v>25103</v>
      </c>
      <c r="Z1077">
        <v>2</v>
      </c>
      <c r="AA1077" t="s">
        <v>1337</v>
      </c>
      <c r="AB1077" s="40" t="s">
        <v>1796</v>
      </c>
    </row>
    <row r="1078" spans="1:28" x14ac:dyDescent="0.25">
      <c r="A1078">
        <v>99911077</v>
      </c>
      <c r="B1078" t="s">
        <v>32</v>
      </c>
      <c r="C1078" t="s">
        <v>68</v>
      </c>
      <c r="D1078" t="s">
        <v>69</v>
      </c>
      <c r="G1078" t="s">
        <v>48</v>
      </c>
      <c r="H1078">
        <v>3</v>
      </c>
      <c r="K1078" t="s">
        <v>129</v>
      </c>
      <c r="L1078" t="s">
        <v>130</v>
      </c>
      <c r="M1078" t="s">
        <v>131</v>
      </c>
      <c r="N1078">
        <v>14</v>
      </c>
      <c r="O1078" s="1">
        <v>40422</v>
      </c>
      <c r="P1078" t="s">
        <v>41</v>
      </c>
      <c r="Q1078" t="s">
        <v>42</v>
      </c>
      <c r="R1078" t="str">
        <f>"0561011"</f>
        <v>0561011</v>
      </c>
      <c r="S1078" t="s">
        <v>132</v>
      </c>
      <c r="T1078" t="s">
        <v>129</v>
      </c>
      <c r="U1078" t="s">
        <v>130</v>
      </c>
      <c r="V1078" t="s">
        <v>131</v>
      </c>
      <c r="W1078" t="s">
        <v>51</v>
      </c>
      <c r="X1078" t="s">
        <v>45</v>
      </c>
      <c r="Y1078" s="1">
        <v>25084</v>
      </c>
      <c r="Z1078">
        <v>2</v>
      </c>
      <c r="AA1078" t="s">
        <v>130</v>
      </c>
      <c r="AB1078" s="40" t="s">
        <v>1796</v>
      </c>
    </row>
    <row r="1079" spans="1:28" x14ac:dyDescent="0.25">
      <c r="A1079">
        <v>99911078</v>
      </c>
      <c r="B1079" t="s">
        <v>56</v>
      </c>
      <c r="C1079" t="s">
        <v>68</v>
      </c>
      <c r="D1079" t="s">
        <v>69</v>
      </c>
      <c r="G1079" t="s">
        <v>35</v>
      </c>
      <c r="H1079">
        <v>1</v>
      </c>
      <c r="I1079" t="s">
        <v>1160</v>
      </c>
      <c r="J1079" s="1">
        <v>42979</v>
      </c>
      <c r="K1079" t="s">
        <v>1128</v>
      </c>
      <c r="L1079" t="s">
        <v>1129</v>
      </c>
      <c r="M1079" t="s">
        <v>1130</v>
      </c>
      <c r="N1079">
        <v>14</v>
      </c>
      <c r="O1079" s="1">
        <v>42979</v>
      </c>
      <c r="P1079" t="s">
        <v>41</v>
      </c>
      <c r="Q1079" t="s">
        <v>49</v>
      </c>
      <c r="R1079" t="str">
        <f>"3160003"</f>
        <v>3160003</v>
      </c>
      <c r="S1079" t="s">
        <v>1146</v>
      </c>
      <c r="T1079" t="s">
        <v>1128</v>
      </c>
      <c r="U1079" t="s">
        <v>1129</v>
      </c>
      <c r="V1079" t="s">
        <v>1130</v>
      </c>
      <c r="W1079" t="s">
        <v>44</v>
      </c>
      <c r="X1079" t="s">
        <v>45</v>
      </c>
      <c r="Y1079" s="1">
        <v>25080</v>
      </c>
      <c r="Z1079">
        <v>2</v>
      </c>
      <c r="AA1079" t="s">
        <v>1129</v>
      </c>
      <c r="AB1079" s="40" t="s">
        <v>1796</v>
      </c>
    </row>
    <row r="1080" spans="1:28" x14ac:dyDescent="0.25">
      <c r="A1080">
        <v>99911079</v>
      </c>
      <c r="B1080" t="s">
        <v>32</v>
      </c>
      <c r="C1080" t="s">
        <v>79</v>
      </c>
      <c r="D1080" t="s">
        <v>80</v>
      </c>
      <c r="G1080" t="s">
        <v>48</v>
      </c>
      <c r="H1080">
        <v>1</v>
      </c>
      <c r="K1080" t="s">
        <v>129</v>
      </c>
      <c r="L1080" t="s">
        <v>130</v>
      </c>
      <c r="M1080" t="s">
        <v>131</v>
      </c>
      <c r="N1080">
        <v>14</v>
      </c>
      <c r="P1080" t="s">
        <v>41</v>
      </c>
      <c r="Q1080" t="s">
        <v>49</v>
      </c>
      <c r="R1080" t="str">
        <f>"0591905"</f>
        <v>0591905</v>
      </c>
      <c r="S1080" t="s">
        <v>135</v>
      </c>
      <c r="T1080" t="s">
        <v>129</v>
      </c>
      <c r="U1080" t="s">
        <v>130</v>
      </c>
      <c r="V1080" t="s">
        <v>131</v>
      </c>
      <c r="W1080" t="s">
        <v>51</v>
      </c>
      <c r="X1080" t="s">
        <v>45</v>
      </c>
      <c r="Y1080" s="1">
        <v>25010</v>
      </c>
      <c r="Z1080">
        <v>2</v>
      </c>
      <c r="AA1080" t="s">
        <v>130</v>
      </c>
      <c r="AB1080" s="40" t="s">
        <v>1796</v>
      </c>
    </row>
    <row r="1081" spans="1:28" x14ac:dyDescent="0.25">
      <c r="A1081">
        <v>99911080</v>
      </c>
      <c r="B1081" t="s">
        <v>56</v>
      </c>
      <c r="C1081" t="s">
        <v>85</v>
      </c>
      <c r="D1081" t="s">
        <v>86</v>
      </c>
      <c r="G1081" t="s">
        <v>48</v>
      </c>
      <c r="H1081">
        <v>14</v>
      </c>
      <c r="K1081" t="s">
        <v>162</v>
      </c>
      <c r="L1081" t="s">
        <v>158</v>
      </c>
      <c r="M1081" t="s">
        <v>131</v>
      </c>
      <c r="N1081">
        <v>14</v>
      </c>
      <c r="P1081" t="s">
        <v>41</v>
      </c>
      <c r="Q1081" t="s">
        <v>42</v>
      </c>
      <c r="R1081" t="str">
        <f>"0580330"</f>
        <v>0580330</v>
      </c>
      <c r="S1081" t="s">
        <v>176</v>
      </c>
      <c r="T1081" t="s">
        <v>162</v>
      </c>
      <c r="U1081" t="s">
        <v>158</v>
      </c>
      <c r="V1081" t="s">
        <v>131</v>
      </c>
      <c r="W1081" t="s">
        <v>51</v>
      </c>
      <c r="X1081" t="s">
        <v>45</v>
      </c>
      <c r="Y1081" s="1">
        <v>24951</v>
      </c>
      <c r="Z1081">
        <v>2</v>
      </c>
      <c r="AA1081" t="s">
        <v>158</v>
      </c>
      <c r="AB1081" s="40" t="s">
        <v>1796</v>
      </c>
    </row>
    <row r="1082" spans="1:28" x14ac:dyDescent="0.25">
      <c r="A1082">
        <v>99911081</v>
      </c>
      <c r="B1082" t="s">
        <v>56</v>
      </c>
      <c r="C1082" t="s">
        <v>85</v>
      </c>
      <c r="D1082" t="s">
        <v>86</v>
      </c>
      <c r="G1082" t="s">
        <v>35</v>
      </c>
      <c r="H1082">
        <v>1</v>
      </c>
      <c r="K1082" t="s">
        <v>223</v>
      </c>
      <c r="L1082" t="s">
        <v>224</v>
      </c>
      <c r="M1082" t="s">
        <v>131</v>
      </c>
      <c r="N1082">
        <v>14</v>
      </c>
      <c r="P1082" t="s">
        <v>41</v>
      </c>
      <c r="Q1082" t="s">
        <v>49</v>
      </c>
      <c r="R1082" t="str">
        <f>"0591901"</f>
        <v>0591901</v>
      </c>
      <c r="S1082" t="s">
        <v>230</v>
      </c>
      <c r="T1082" t="s">
        <v>223</v>
      </c>
      <c r="U1082" t="s">
        <v>224</v>
      </c>
      <c r="V1082" t="s">
        <v>131</v>
      </c>
      <c r="W1082" t="s">
        <v>51</v>
      </c>
      <c r="X1082" t="s">
        <v>45</v>
      </c>
      <c r="Y1082" s="1">
        <v>24928</v>
      </c>
      <c r="Z1082">
        <v>2</v>
      </c>
      <c r="AA1082" t="s">
        <v>224</v>
      </c>
      <c r="AB1082" s="40" t="s">
        <v>1796</v>
      </c>
    </row>
    <row r="1083" spans="1:28" x14ac:dyDescent="0.25">
      <c r="A1083">
        <v>99911082</v>
      </c>
      <c r="B1083" t="s">
        <v>56</v>
      </c>
      <c r="C1083" t="s">
        <v>52</v>
      </c>
      <c r="D1083" t="s">
        <v>53</v>
      </c>
      <c r="G1083" t="s">
        <v>48</v>
      </c>
      <c r="H1083">
        <v>1</v>
      </c>
      <c r="K1083" t="s">
        <v>157</v>
      </c>
      <c r="L1083" t="s">
        <v>158</v>
      </c>
      <c r="M1083" t="s">
        <v>131</v>
      </c>
      <c r="N1083">
        <v>14</v>
      </c>
      <c r="P1083" t="s">
        <v>41</v>
      </c>
      <c r="Q1083" t="s">
        <v>42</v>
      </c>
      <c r="R1083" t="str">
        <f>"0580735"</f>
        <v>0580735</v>
      </c>
      <c r="S1083" t="s">
        <v>180</v>
      </c>
      <c r="T1083" t="s">
        <v>157</v>
      </c>
      <c r="U1083" t="s">
        <v>158</v>
      </c>
      <c r="V1083" t="s">
        <v>131</v>
      </c>
      <c r="W1083" t="s">
        <v>51</v>
      </c>
      <c r="X1083" t="s">
        <v>45</v>
      </c>
      <c r="Y1083" s="1">
        <v>24850</v>
      </c>
      <c r="Z1083">
        <v>2</v>
      </c>
      <c r="AA1083" t="s">
        <v>158</v>
      </c>
      <c r="AB1083" s="40" t="s">
        <v>1796</v>
      </c>
    </row>
    <row r="1084" spans="1:28" x14ac:dyDescent="0.25">
      <c r="A1084">
        <v>99911083</v>
      </c>
      <c r="B1084" t="s">
        <v>32</v>
      </c>
      <c r="C1084" t="s">
        <v>46</v>
      </c>
      <c r="D1084" t="s">
        <v>47</v>
      </c>
      <c r="G1084" t="s">
        <v>48</v>
      </c>
      <c r="H1084">
        <v>1</v>
      </c>
      <c r="K1084" t="s">
        <v>345</v>
      </c>
      <c r="L1084" t="s">
        <v>346</v>
      </c>
      <c r="M1084" t="s">
        <v>131</v>
      </c>
      <c r="N1084">
        <v>14</v>
      </c>
      <c r="P1084" t="s">
        <v>41</v>
      </c>
      <c r="Q1084" t="s">
        <v>49</v>
      </c>
      <c r="R1084" t="str">
        <f>"0561021"</f>
        <v>0561021</v>
      </c>
      <c r="S1084" t="s">
        <v>352</v>
      </c>
      <c r="T1084" t="s">
        <v>345</v>
      </c>
      <c r="U1084" t="s">
        <v>346</v>
      </c>
      <c r="V1084" t="s">
        <v>131</v>
      </c>
      <c r="W1084" t="s">
        <v>51</v>
      </c>
      <c r="X1084" t="s">
        <v>45</v>
      </c>
      <c r="Y1084" s="1">
        <v>24777</v>
      </c>
      <c r="Z1084">
        <v>2</v>
      </c>
      <c r="AA1084" t="s">
        <v>346</v>
      </c>
      <c r="AB1084" s="40" t="s">
        <v>1796</v>
      </c>
    </row>
    <row r="1085" spans="1:28" x14ac:dyDescent="0.25">
      <c r="A1085">
        <v>99911084</v>
      </c>
      <c r="B1085" t="s">
        <v>32</v>
      </c>
      <c r="C1085" t="s">
        <v>46</v>
      </c>
      <c r="D1085" t="s">
        <v>47</v>
      </c>
      <c r="G1085" t="s">
        <v>48</v>
      </c>
      <c r="H1085">
        <v>1</v>
      </c>
      <c r="K1085" t="s">
        <v>129</v>
      </c>
      <c r="L1085" t="s">
        <v>130</v>
      </c>
      <c r="M1085" t="s">
        <v>131</v>
      </c>
      <c r="N1085">
        <v>14</v>
      </c>
      <c r="P1085" t="s">
        <v>41</v>
      </c>
      <c r="Q1085" t="s">
        <v>42</v>
      </c>
      <c r="R1085" t="str">
        <f>"0590905"</f>
        <v>0590905</v>
      </c>
      <c r="S1085" t="s">
        <v>133</v>
      </c>
      <c r="T1085" t="s">
        <v>129</v>
      </c>
      <c r="U1085" t="s">
        <v>130</v>
      </c>
      <c r="V1085" t="s">
        <v>131</v>
      </c>
      <c r="W1085" t="s">
        <v>51</v>
      </c>
      <c r="X1085" t="s">
        <v>45</v>
      </c>
      <c r="Y1085" s="1">
        <v>24581</v>
      </c>
      <c r="Z1085">
        <v>2</v>
      </c>
      <c r="AA1085" t="s">
        <v>130</v>
      </c>
      <c r="AB1085" s="40" t="s">
        <v>1796</v>
      </c>
    </row>
    <row r="1086" spans="1:28" x14ac:dyDescent="0.25">
      <c r="A1086">
        <v>99911085</v>
      </c>
      <c r="B1086" t="s">
        <v>56</v>
      </c>
      <c r="C1086" t="s">
        <v>46</v>
      </c>
      <c r="D1086" t="s">
        <v>47</v>
      </c>
      <c r="G1086" t="s">
        <v>48</v>
      </c>
      <c r="H1086">
        <v>1</v>
      </c>
      <c r="K1086" t="s">
        <v>1268</v>
      </c>
      <c r="L1086" t="s">
        <v>1269</v>
      </c>
      <c r="M1086" t="s">
        <v>1270</v>
      </c>
      <c r="N1086">
        <v>14</v>
      </c>
      <c r="P1086" t="s">
        <v>41</v>
      </c>
      <c r="Q1086" t="s">
        <v>49</v>
      </c>
      <c r="R1086" t="str">
        <f>"1981914"</f>
        <v>1981914</v>
      </c>
      <c r="S1086" t="s">
        <v>1287</v>
      </c>
      <c r="T1086" t="s">
        <v>1268</v>
      </c>
      <c r="U1086" t="s">
        <v>1269</v>
      </c>
      <c r="V1086" t="s">
        <v>1270</v>
      </c>
      <c r="W1086" t="s">
        <v>51</v>
      </c>
      <c r="X1086" t="s">
        <v>45</v>
      </c>
      <c r="Y1086" s="1">
        <v>24497</v>
      </c>
      <c r="Z1086">
        <v>2</v>
      </c>
      <c r="AA1086" t="s">
        <v>1269</v>
      </c>
      <c r="AB1086" s="40" t="s">
        <v>1796</v>
      </c>
    </row>
    <row r="1087" spans="1:28" x14ac:dyDescent="0.25">
      <c r="A1087">
        <v>99911086</v>
      </c>
      <c r="B1087" t="s">
        <v>32</v>
      </c>
      <c r="C1087" t="s">
        <v>79</v>
      </c>
      <c r="D1087" t="s">
        <v>80</v>
      </c>
      <c r="G1087" t="s">
        <v>35</v>
      </c>
      <c r="H1087">
        <v>1</v>
      </c>
      <c r="K1087" t="s">
        <v>300</v>
      </c>
      <c r="L1087" t="s">
        <v>301</v>
      </c>
      <c r="M1087" t="s">
        <v>131</v>
      </c>
      <c r="N1087">
        <v>14</v>
      </c>
      <c r="P1087" t="s">
        <v>41</v>
      </c>
      <c r="Q1087" t="s">
        <v>42</v>
      </c>
      <c r="R1087" t="str">
        <f>"0580023"</f>
        <v>0580023</v>
      </c>
      <c r="S1087" t="s">
        <v>313</v>
      </c>
      <c r="T1087" t="s">
        <v>300</v>
      </c>
      <c r="U1087" t="s">
        <v>301</v>
      </c>
      <c r="V1087" t="s">
        <v>131</v>
      </c>
      <c r="W1087" t="s">
        <v>165</v>
      </c>
      <c r="X1087" t="s">
        <v>45</v>
      </c>
      <c r="Y1087" s="1">
        <v>24423</v>
      </c>
      <c r="Z1087">
        <v>2</v>
      </c>
      <c r="AA1087" t="s">
        <v>301</v>
      </c>
      <c r="AB1087" s="40" t="s">
        <v>1796</v>
      </c>
    </row>
    <row r="1088" spans="1:28" x14ac:dyDescent="0.25">
      <c r="A1088">
        <v>99911087</v>
      </c>
      <c r="B1088" t="s">
        <v>56</v>
      </c>
      <c r="C1088" t="s">
        <v>46</v>
      </c>
      <c r="D1088" t="s">
        <v>47</v>
      </c>
      <c r="G1088" t="s">
        <v>35</v>
      </c>
      <c r="H1088">
        <v>1</v>
      </c>
      <c r="K1088" t="s">
        <v>223</v>
      </c>
      <c r="L1088" t="s">
        <v>224</v>
      </c>
      <c r="M1088" t="s">
        <v>131</v>
      </c>
      <c r="N1088">
        <v>14</v>
      </c>
      <c r="P1088" t="s">
        <v>41</v>
      </c>
      <c r="Q1088" t="s">
        <v>42</v>
      </c>
      <c r="R1088" t="str">
        <f>"0590901"</f>
        <v>0590901</v>
      </c>
      <c r="S1088" t="s">
        <v>242</v>
      </c>
      <c r="T1088" t="s">
        <v>223</v>
      </c>
      <c r="U1088" t="s">
        <v>224</v>
      </c>
      <c r="V1088" t="s">
        <v>131</v>
      </c>
      <c r="W1088" t="s">
        <v>165</v>
      </c>
      <c r="X1088" t="s">
        <v>45</v>
      </c>
      <c r="Y1088" s="1">
        <v>24405</v>
      </c>
      <c r="Z1088">
        <v>2</v>
      </c>
      <c r="AA1088" t="s">
        <v>224</v>
      </c>
      <c r="AB1088" s="40" t="s">
        <v>1796</v>
      </c>
    </row>
    <row r="1089" spans="1:28" x14ac:dyDescent="0.25">
      <c r="A1089">
        <v>99911088</v>
      </c>
      <c r="B1089" t="s">
        <v>56</v>
      </c>
      <c r="C1089" t="s">
        <v>298</v>
      </c>
      <c r="D1089" t="s">
        <v>299</v>
      </c>
      <c r="G1089" t="s">
        <v>35</v>
      </c>
      <c r="H1089">
        <v>1</v>
      </c>
      <c r="I1089" t="s">
        <v>1594</v>
      </c>
      <c r="J1089" s="1">
        <v>43344</v>
      </c>
      <c r="K1089" t="s">
        <v>1590</v>
      </c>
      <c r="L1089" t="s">
        <v>1591</v>
      </c>
      <c r="M1089" t="s">
        <v>1592</v>
      </c>
      <c r="N1089">
        <v>14</v>
      </c>
      <c r="O1089" s="1">
        <v>43344</v>
      </c>
      <c r="P1089" t="s">
        <v>41</v>
      </c>
      <c r="Q1089" t="s">
        <v>42</v>
      </c>
      <c r="R1089" t="str">
        <f>"0280020"</f>
        <v>0280020</v>
      </c>
      <c r="S1089" t="s">
        <v>1597</v>
      </c>
      <c r="T1089" t="s">
        <v>1590</v>
      </c>
      <c r="U1089" t="s">
        <v>1591</v>
      </c>
      <c r="V1089" t="s">
        <v>1592</v>
      </c>
      <c r="W1089" t="s">
        <v>51</v>
      </c>
      <c r="X1089" t="s">
        <v>45</v>
      </c>
      <c r="Y1089" s="1">
        <v>24220</v>
      </c>
      <c r="Z1089">
        <v>2</v>
      </c>
      <c r="AA1089" t="s">
        <v>1591</v>
      </c>
      <c r="AB1089" s="40" t="s">
        <v>1796</v>
      </c>
    </row>
    <row r="1090" spans="1:28" x14ac:dyDescent="0.25">
      <c r="A1090">
        <v>99911089</v>
      </c>
      <c r="B1090" t="s">
        <v>32</v>
      </c>
      <c r="C1090" t="s">
        <v>79</v>
      </c>
      <c r="D1090" t="s">
        <v>80</v>
      </c>
      <c r="G1090" t="s">
        <v>48</v>
      </c>
      <c r="H1090">
        <v>5</v>
      </c>
      <c r="I1090" t="s">
        <v>550</v>
      </c>
      <c r="J1090" s="1">
        <v>39326</v>
      </c>
      <c r="K1090" t="s">
        <v>431</v>
      </c>
      <c r="L1090" t="s">
        <v>196</v>
      </c>
      <c r="M1090" t="s">
        <v>131</v>
      </c>
      <c r="N1090">
        <v>14</v>
      </c>
      <c r="O1090" s="1">
        <v>39326</v>
      </c>
      <c r="P1090" t="s">
        <v>41</v>
      </c>
      <c r="Q1090" t="s">
        <v>75</v>
      </c>
      <c r="R1090" t="str">
        <f>"7521022"</f>
        <v>7521022</v>
      </c>
      <c r="S1090" t="s">
        <v>445</v>
      </c>
      <c r="T1090" t="s">
        <v>431</v>
      </c>
      <c r="U1090" t="s">
        <v>196</v>
      </c>
      <c r="V1090" t="s">
        <v>131</v>
      </c>
      <c r="W1090" t="s">
        <v>51</v>
      </c>
      <c r="X1090" t="s">
        <v>45</v>
      </c>
      <c r="Y1090" s="1">
        <v>23993</v>
      </c>
      <c r="Z1090">
        <v>1</v>
      </c>
      <c r="AA1090" t="s">
        <v>196</v>
      </c>
      <c r="AB1090" s="40" t="s">
        <v>1796</v>
      </c>
    </row>
    <row r="1091" spans="1:28" x14ac:dyDescent="0.25">
      <c r="A1091">
        <v>99911090</v>
      </c>
      <c r="B1091" t="s">
        <v>56</v>
      </c>
      <c r="C1091" t="s">
        <v>68</v>
      </c>
      <c r="D1091" t="s">
        <v>69</v>
      </c>
      <c r="G1091" t="s">
        <v>48</v>
      </c>
      <c r="H1091">
        <v>1</v>
      </c>
      <c r="K1091" t="s">
        <v>1051</v>
      </c>
      <c r="L1091" t="s">
        <v>1052</v>
      </c>
      <c r="M1091" t="s">
        <v>1053</v>
      </c>
      <c r="N1091">
        <v>14</v>
      </c>
      <c r="P1091" t="s">
        <v>41</v>
      </c>
      <c r="Q1091" t="s">
        <v>42</v>
      </c>
      <c r="R1091" t="str">
        <f>"2061001"</f>
        <v>2061001</v>
      </c>
      <c r="S1091" t="s">
        <v>1058</v>
      </c>
      <c r="T1091" t="s">
        <v>1051</v>
      </c>
      <c r="U1091" t="s">
        <v>1052</v>
      </c>
      <c r="V1091" t="s">
        <v>1053</v>
      </c>
      <c r="W1091" t="s">
        <v>51</v>
      </c>
      <c r="X1091" t="s">
        <v>45</v>
      </c>
      <c r="Y1091" s="1">
        <v>23894</v>
      </c>
      <c r="Z1091">
        <v>2</v>
      </c>
      <c r="AA1091" t="s">
        <v>1052</v>
      </c>
      <c r="AB1091" s="40" t="s">
        <v>1796</v>
      </c>
    </row>
    <row r="1092" spans="1:28" x14ac:dyDescent="0.25">
      <c r="A1092">
        <v>99911091</v>
      </c>
      <c r="B1092" t="s">
        <v>32</v>
      </c>
      <c r="C1092" t="s">
        <v>61</v>
      </c>
      <c r="D1092" t="s">
        <v>62</v>
      </c>
      <c r="E1092" t="s">
        <v>52</v>
      </c>
      <c r="F1092" t="s">
        <v>53</v>
      </c>
      <c r="G1092" t="s">
        <v>48</v>
      </c>
      <c r="H1092">
        <v>1</v>
      </c>
      <c r="K1092" t="s">
        <v>1268</v>
      </c>
      <c r="L1092" t="s">
        <v>1269</v>
      </c>
      <c r="M1092" t="s">
        <v>1270</v>
      </c>
      <c r="N1092">
        <v>14</v>
      </c>
      <c r="P1092" t="s">
        <v>41</v>
      </c>
      <c r="Q1092" t="s">
        <v>42</v>
      </c>
      <c r="R1092" t="str">
        <f>"1990910"</f>
        <v>1990910</v>
      </c>
      <c r="S1092" t="s">
        <v>1281</v>
      </c>
      <c r="T1092" t="s">
        <v>1268</v>
      </c>
      <c r="U1092" t="s">
        <v>1269</v>
      </c>
      <c r="V1092" t="s">
        <v>1270</v>
      </c>
      <c r="W1092" t="s">
        <v>165</v>
      </c>
      <c r="X1092" t="s">
        <v>45</v>
      </c>
      <c r="Y1092" s="1">
        <v>23634</v>
      </c>
      <c r="Z1092">
        <v>2</v>
      </c>
      <c r="AA1092" t="s">
        <v>1269</v>
      </c>
      <c r="AB1092" s="40" t="s">
        <v>1796</v>
      </c>
    </row>
    <row r="1093" spans="1:28" x14ac:dyDescent="0.25">
      <c r="A1093">
        <v>99911092</v>
      </c>
      <c r="B1093" t="s">
        <v>32</v>
      </c>
      <c r="C1093" t="s">
        <v>71</v>
      </c>
      <c r="D1093" t="s">
        <v>72</v>
      </c>
      <c r="G1093" t="s">
        <v>48</v>
      </c>
      <c r="H1093">
        <v>1</v>
      </c>
      <c r="K1093" t="s">
        <v>223</v>
      </c>
      <c r="L1093" t="s">
        <v>224</v>
      </c>
      <c r="M1093" t="s">
        <v>131</v>
      </c>
      <c r="N1093">
        <v>14</v>
      </c>
      <c r="P1093" t="s">
        <v>41</v>
      </c>
      <c r="Q1093" t="s">
        <v>42</v>
      </c>
      <c r="R1093" t="str">
        <f>"0580265"</f>
        <v>0580265</v>
      </c>
      <c r="S1093" t="s">
        <v>231</v>
      </c>
      <c r="T1093" t="s">
        <v>223</v>
      </c>
      <c r="U1093" t="s">
        <v>224</v>
      </c>
      <c r="V1093" t="s">
        <v>131</v>
      </c>
      <c r="W1093" t="s">
        <v>51</v>
      </c>
      <c r="X1093" t="s">
        <v>45</v>
      </c>
      <c r="Y1093" s="1">
        <v>23302</v>
      </c>
      <c r="Z1093">
        <v>2</v>
      </c>
      <c r="AA1093" t="s">
        <v>224</v>
      </c>
      <c r="AB1093" s="40" t="s">
        <v>1796</v>
      </c>
    </row>
    <row r="1094" spans="1:28" x14ac:dyDescent="0.25">
      <c r="A1094">
        <v>99911093</v>
      </c>
      <c r="B1094" t="s">
        <v>32</v>
      </c>
      <c r="C1094" t="s">
        <v>61</v>
      </c>
      <c r="D1094" t="s">
        <v>62</v>
      </c>
      <c r="E1094" t="s">
        <v>52</v>
      </c>
      <c r="F1094" t="s">
        <v>53</v>
      </c>
      <c r="G1094" t="s">
        <v>48</v>
      </c>
      <c r="H1094">
        <v>1</v>
      </c>
      <c r="K1094" t="s">
        <v>162</v>
      </c>
      <c r="L1094" t="s">
        <v>158</v>
      </c>
      <c r="M1094" t="s">
        <v>131</v>
      </c>
      <c r="N1094">
        <v>14</v>
      </c>
      <c r="P1094" t="s">
        <v>41</v>
      </c>
      <c r="Q1094" t="s">
        <v>42</v>
      </c>
      <c r="R1094" t="str">
        <f>"0580325"</f>
        <v>0580325</v>
      </c>
      <c r="S1094" t="s">
        <v>170</v>
      </c>
      <c r="T1094" t="s">
        <v>162</v>
      </c>
      <c r="U1094" t="s">
        <v>158</v>
      </c>
      <c r="V1094" t="s">
        <v>131</v>
      </c>
      <c r="W1094" t="s">
        <v>165</v>
      </c>
      <c r="X1094" t="s">
        <v>45</v>
      </c>
      <c r="Y1094" s="1">
        <v>23187</v>
      </c>
      <c r="Z1094">
        <v>2</v>
      </c>
      <c r="AA1094" t="s">
        <v>158</v>
      </c>
      <c r="AB1094" s="40" t="s">
        <v>1796</v>
      </c>
    </row>
    <row r="1095" spans="1:28" x14ac:dyDescent="0.25">
      <c r="A1095">
        <v>99911094</v>
      </c>
      <c r="B1095" t="s">
        <v>32</v>
      </c>
      <c r="C1095" t="s">
        <v>46</v>
      </c>
      <c r="D1095" t="s">
        <v>47</v>
      </c>
      <c r="G1095" t="s">
        <v>48</v>
      </c>
      <c r="H1095">
        <v>1</v>
      </c>
      <c r="K1095" t="s">
        <v>1268</v>
      </c>
      <c r="L1095" t="s">
        <v>1269</v>
      </c>
      <c r="M1095" t="s">
        <v>1270</v>
      </c>
      <c r="N1095">
        <v>14</v>
      </c>
      <c r="P1095" t="s">
        <v>41</v>
      </c>
      <c r="Q1095" t="s">
        <v>42</v>
      </c>
      <c r="R1095" t="str">
        <f>"1990911"</f>
        <v>1990911</v>
      </c>
      <c r="S1095" t="s">
        <v>1276</v>
      </c>
      <c r="T1095" t="s">
        <v>1268</v>
      </c>
      <c r="U1095" t="s">
        <v>1269</v>
      </c>
      <c r="V1095" t="s">
        <v>1270</v>
      </c>
      <c r="W1095" t="s">
        <v>51</v>
      </c>
      <c r="X1095" t="s">
        <v>45</v>
      </c>
      <c r="Y1095" s="1">
        <v>23099</v>
      </c>
      <c r="Z1095">
        <v>2</v>
      </c>
      <c r="AA1095" t="s">
        <v>1269</v>
      </c>
      <c r="AB1095" s="40" t="s">
        <v>1796</v>
      </c>
    </row>
    <row r="1096" spans="1:28" x14ac:dyDescent="0.25">
      <c r="A1096">
        <v>99911095</v>
      </c>
      <c r="B1096" t="s">
        <v>32</v>
      </c>
      <c r="C1096" t="s">
        <v>71</v>
      </c>
      <c r="D1096" t="s">
        <v>72</v>
      </c>
      <c r="G1096" t="s">
        <v>48</v>
      </c>
      <c r="H1096">
        <v>1</v>
      </c>
      <c r="K1096" t="s">
        <v>431</v>
      </c>
      <c r="L1096" t="s">
        <v>196</v>
      </c>
      <c r="M1096" t="s">
        <v>131</v>
      </c>
      <c r="N1096">
        <v>14</v>
      </c>
      <c r="P1096" t="s">
        <v>41</v>
      </c>
      <c r="Q1096" t="s">
        <v>75</v>
      </c>
      <c r="R1096" t="str">
        <f>"7521022"</f>
        <v>7521022</v>
      </c>
      <c r="S1096" t="s">
        <v>445</v>
      </c>
      <c r="T1096" t="s">
        <v>431</v>
      </c>
      <c r="U1096" t="s">
        <v>196</v>
      </c>
      <c r="V1096" t="s">
        <v>131</v>
      </c>
      <c r="W1096" t="s">
        <v>51</v>
      </c>
      <c r="X1096" t="s">
        <v>45</v>
      </c>
      <c r="Y1096" s="1">
        <v>23035</v>
      </c>
      <c r="Z1096">
        <v>1</v>
      </c>
      <c r="AA1096" t="s">
        <v>196</v>
      </c>
      <c r="AB1096" s="40" t="s">
        <v>1796</v>
      </c>
    </row>
    <row r="1097" spans="1:28" x14ac:dyDescent="0.25">
      <c r="A1097">
        <v>99911096</v>
      </c>
      <c r="B1097" t="s">
        <v>56</v>
      </c>
      <c r="C1097" t="s">
        <v>79</v>
      </c>
      <c r="D1097" t="s">
        <v>80</v>
      </c>
      <c r="G1097" t="s">
        <v>48</v>
      </c>
      <c r="H1097">
        <v>1</v>
      </c>
      <c r="K1097" t="s">
        <v>345</v>
      </c>
      <c r="L1097" t="s">
        <v>346</v>
      </c>
      <c r="M1097" t="s">
        <v>131</v>
      </c>
      <c r="N1097">
        <v>14</v>
      </c>
      <c r="P1097" t="s">
        <v>41</v>
      </c>
      <c r="Q1097" t="s">
        <v>49</v>
      </c>
      <c r="R1097" t="str">
        <f>"0561021"</f>
        <v>0561021</v>
      </c>
      <c r="S1097" t="s">
        <v>352</v>
      </c>
      <c r="T1097" t="s">
        <v>345</v>
      </c>
      <c r="U1097" t="s">
        <v>346</v>
      </c>
      <c r="V1097" t="s">
        <v>131</v>
      </c>
      <c r="W1097" t="s">
        <v>51</v>
      </c>
      <c r="X1097" t="s">
        <v>45</v>
      </c>
      <c r="Y1097" s="1">
        <v>22836</v>
      </c>
      <c r="Z1097">
        <v>2</v>
      </c>
      <c r="AA1097" t="s">
        <v>346</v>
      </c>
      <c r="AB1097" s="40" t="s">
        <v>1796</v>
      </c>
    </row>
    <row r="1098" spans="1:28" x14ac:dyDescent="0.25">
      <c r="A1098">
        <v>99911097</v>
      </c>
      <c r="B1098" t="s">
        <v>32</v>
      </c>
      <c r="C1098" t="s">
        <v>139</v>
      </c>
      <c r="D1098" t="s">
        <v>140</v>
      </c>
      <c r="G1098" t="s">
        <v>48</v>
      </c>
      <c r="H1098">
        <v>1</v>
      </c>
      <c r="K1098" t="s">
        <v>223</v>
      </c>
      <c r="L1098" t="s">
        <v>224</v>
      </c>
      <c r="M1098" t="s">
        <v>131</v>
      </c>
      <c r="N1098">
        <v>14</v>
      </c>
      <c r="P1098" t="s">
        <v>41</v>
      </c>
      <c r="Q1098" t="s">
        <v>42</v>
      </c>
      <c r="R1098" t="str">
        <f>"0580200"</f>
        <v>0580200</v>
      </c>
      <c r="S1098" t="s">
        <v>245</v>
      </c>
      <c r="T1098" t="s">
        <v>223</v>
      </c>
      <c r="U1098" t="s">
        <v>224</v>
      </c>
      <c r="V1098" t="s">
        <v>131</v>
      </c>
      <c r="W1098" t="s">
        <v>51</v>
      </c>
      <c r="X1098" t="s">
        <v>45</v>
      </c>
      <c r="Y1098" s="1">
        <v>22632</v>
      </c>
      <c r="Z1098">
        <v>2</v>
      </c>
      <c r="AA1098" t="s">
        <v>224</v>
      </c>
      <c r="AB1098" s="40" t="s">
        <v>1796</v>
      </c>
    </row>
    <row r="1099" spans="1:28" x14ac:dyDescent="0.25">
      <c r="A1099">
        <v>99911098</v>
      </c>
      <c r="B1099" t="s">
        <v>56</v>
      </c>
      <c r="C1099" t="s">
        <v>85</v>
      </c>
      <c r="D1099" t="s">
        <v>86</v>
      </c>
      <c r="G1099" t="s">
        <v>48</v>
      </c>
      <c r="H1099">
        <v>1</v>
      </c>
      <c r="K1099" t="s">
        <v>223</v>
      </c>
      <c r="L1099" t="s">
        <v>224</v>
      </c>
      <c r="M1099" t="s">
        <v>131</v>
      </c>
      <c r="N1099">
        <v>14</v>
      </c>
      <c r="P1099" t="s">
        <v>41</v>
      </c>
      <c r="Q1099" t="s">
        <v>42</v>
      </c>
      <c r="R1099" t="str">
        <f>"0580202"</f>
        <v>0580202</v>
      </c>
      <c r="S1099" t="s">
        <v>240</v>
      </c>
      <c r="T1099" t="s">
        <v>223</v>
      </c>
      <c r="U1099" t="s">
        <v>224</v>
      </c>
      <c r="V1099" t="s">
        <v>131</v>
      </c>
      <c r="W1099" t="s">
        <v>51</v>
      </c>
      <c r="X1099" t="s">
        <v>45</v>
      </c>
      <c r="Y1099" s="1">
        <v>22525</v>
      </c>
      <c r="Z1099">
        <v>2</v>
      </c>
      <c r="AA1099" t="s">
        <v>224</v>
      </c>
      <c r="AB1099" s="40" t="s">
        <v>1796</v>
      </c>
    </row>
    <row r="1100" spans="1:28" x14ac:dyDescent="0.25">
      <c r="A1100">
        <v>99911099</v>
      </c>
      <c r="B1100" t="s">
        <v>32</v>
      </c>
      <c r="C1100" t="s">
        <v>79</v>
      </c>
      <c r="D1100" t="s">
        <v>80</v>
      </c>
      <c r="G1100" t="s">
        <v>48</v>
      </c>
      <c r="H1100">
        <v>1</v>
      </c>
      <c r="K1100" t="s">
        <v>431</v>
      </c>
      <c r="L1100" t="s">
        <v>196</v>
      </c>
      <c r="M1100" t="s">
        <v>131</v>
      </c>
      <c r="N1100">
        <v>14</v>
      </c>
      <c r="P1100" t="s">
        <v>41</v>
      </c>
      <c r="Q1100" t="s">
        <v>75</v>
      </c>
      <c r="R1100" t="str">
        <f>"7521012"</f>
        <v>7521012</v>
      </c>
      <c r="S1100" t="s">
        <v>432</v>
      </c>
      <c r="T1100" t="s">
        <v>431</v>
      </c>
      <c r="U1100" t="s">
        <v>196</v>
      </c>
      <c r="V1100" t="s">
        <v>131</v>
      </c>
      <c r="W1100" t="s">
        <v>51</v>
      </c>
      <c r="X1100" t="s">
        <v>45</v>
      </c>
      <c r="Y1100" s="1">
        <v>22351</v>
      </c>
      <c r="Z1100">
        <v>1</v>
      </c>
      <c r="AA1100" t="s">
        <v>196</v>
      </c>
      <c r="AB1100" s="40" t="s">
        <v>1796</v>
      </c>
    </row>
    <row r="1101" spans="1:28" x14ac:dyDescent="0.25">
      <c r="A1101">
        <v>99911100</v>
      </c>
      <c r="B1101" t="s">
        <v>56</v>
      </c>
      <c r="C1101" t="s">
        <v>52</v>
      </c>
      <c r="D1101" t="s">
        <v>53</v>
      </c>
      <c r="G1101" t="s">
        <v>35</v>
      </c>
      <c r="H1101">
        <v>1</v>
      </c>
      <c r="K1101" t="s">
        <v>1268</v>
      </c>
      <c r="L1101" t="s">
        <v>1269</v>
      </c>
      <c r="M1101" t="s">
        <v>1270</v>
      </c>
      <c r="N1101">
        <v>14</v>
      </c>
      <c r="P1101" t="s">
        <v>41</v>
      </c>
      <c r="Q1101" t="s">
        <v>42</v>
      </c>
      <c r="R1101" t="str">
        <f>"1990001"</f>
        <v>1990001</v>
      </c>
      <c r="S1101" t="s">
        <v>1294</v>
      </c>
      <c r="T1101" t="s">
        <v>1268</v>
      </c>
      <c r="U1101" t="s">
        <v>1269</v>
      </c>
      <c r="V1101" t="s">
        <v>1270</v>
      </c>
      <c r="W1101" t="s">
        <v>51</v>
      </c>
      <c r="X1101" t="s">
        <v>45</v>
      </c>
      <c r="Y1101" s="1">
        <v>22242</v>
      </c>
      <c r="Z1101">
        <v>2</v>
      </c>
      <c r="AA1101" t="s">
        <v>1269</v>
      </c>
      <c r="AB1101" s="40" t="s">
        <v>1796</v>
      </c>
    </row>
    <row r="1102" spans="1:28" x14ac:dyDescent="0.25">
      <c r="A1102">
        <v>99911101</v>
      </c>
      <c r="B1102" t="s">
        <v>56</v>
      </c>
      <c r="C1102" t="s">
        <v>52</v>
      </c>
      <c r="D1102" t="s">
        <v>53</v>
      </c>
      <c r="G1102" t="s">
        <v>48</v>
      </c>
      <c r="H1102">
        <v>1</v>
      </c>
      <c r="K1102" t="s">
        <v>300</v>
      </c>
      <c r="L1102" t="s">
        <v>301</v>
      </c>
      <c r="M1102" t="s">
        <v>131</v>
      </c>
      <c r="N1102">
        <v>14</v>
      </c>
      <c r="P1102" t="s">
        <v>41</v>
      </c>
      <c r="Q1102" t="s">
        <v>42</v>
      </c>
      <c r="R1102" t="str">
        <f>"0580175"</f>
        <v>0580175</v>
      </c>
      <c r="S1102" t="s">
        <v>303</v>
      </c>
      <c r="T1102" t="s">
        <v>300</v>
      </c>
      <c r="U1102" t="s">
        <v>301</v>
      </c>
      <c r="V1102" t="s">
        <v>131</v>
      </c>
      <c r="W1102" t="s">
        <v>51</v>
      </c>
      <c r="X1102" t="s">
        <v>45</v>
      </c>
      <c r="Y1102" s="1">
        <v>21488</v>
      </c>
      <c r="Z1102">
        <v>2</v>
      </c>
      <c r="AA1102" t="s">
        <v>301</v>
      </c>
      <c r="AB1102" s="40" t="s">
        <v>1796</v>
      </c>
    </row>
    <row r="1103" spans="1:28" x14ac:dyDescent="0.25">
      <c r="A1103">
        <v>99911102</v>
      </c>
      <c r="B1103" t="s">
        <v>56</v>
      </c>
      <c r="C1103" t="s">
        <v>33</v>
      </c>
      <c r="D1103" t="s">
        <v>34</v>
      </c>
      <c r="G1103" t="s">
        <v>48</v>
      </c>
      <c r="H1103">
        <v>14</v>
      </c>
      <c r="K1103" t="s">
        <v>162</v>
      </c>
      <c r="L1103" t="s">
        <v>158</v>
      </c>
      <c r="M1103" t="s">
        <v>131</v>
      </c>
      <c r="N1103">
        <v>14</v>
      </c>
      <c r="P1103" t="s">
        <v>41</v>
      </c>
      <c r="Q1103" t="s">
        <v>49</v>
      </c>
      <c r="R1103" t="str">
        <f>"0581325"</f>
        <v>0581325</v>
      </c>
      <c r="S1103" t="s">
        <v>169</v>
      </c>
      <c r="T1103" t="s">
        <v>162</v>
      </c>
      <c r="U1103" t="s">
        <v>158</v>
      </c>
      <c r="V1103" t="s">
        <v>131</v>
      </c>
      <c r="W1103" t="s">
        <v>165</v>
      </c>
      <c r="X1103" t="s">
        <v>45</v>
      </c>
      <c r="Y1103" s="1">
        <v>21404</v>
      </c>
      <c r="Z1103">
        <v>2</v>
      </c>
      <c r="AA1103" t="s">
        <v>158</v>
      </c>
      <c r="AB1103" s="40" t="s">
        <v>1796</v>
      </c>
    </row>
    <row r="1104" spans="1:28" x14ac:dyDescent="0.25">
      <c r="A1104">
        <v>99911103</v>
      </c>
      <c r="B1104" t="s">
        <v>56</v>
      </c>
      <c r="C1104" t="s">
        <v>52</v>
      </c>
      <c r="D1104" t="s">
        <v>53</v>
      </c>
      <c r="G1104" t="s">
        <v>48</v>
      </c>
      <c r="H1104">
        <v>1</v>
      </c>
      <c r="K1104" t="s">
        <v>223</v>
      </c>
      <c r="L1104" t="s">
        <v>224</v>
      </c>
      <c r="M1104" t="s">
        <v>131</v>
      </c>
      <c r="N1104">
        <v>14</v>
      </c>
      <c r="P1104" t="s">
        <v>41</v>
      </c>
      <c r="Q1104" t="s">
        <v>49</v>
      </c>
      <c r="R1104" t="str">
        <f>"0581202"</f>
        <v>0581202</v>
      </c>
      <c r="S1104" t="s">
        <v>248</v>
      </c>
      <c r="T1104" t="s">
        <v>223</v>
      </c>
      <c r="U1104" t="s">
        <v>224</v>
      </c>
      <c r="V1104" t="s">
        <v>131</v>
      </c>
      <c r="W1104" t="s">
        <v>165</v>
      </c>
      <c r="X1104" t="s">
        <v>45</v>
      </c>
      <c r="Y1104" s="1">
        <v>21347</v>
      </c>
      <c r="Z1104">
        <v>2</v>
      </c>
      <c r="AA1104" t="s">
        <v>224</v>
      </c>
      <c r="AB1104" s="40" t="s">
        <v>1796</v>
      </c>
    </row>
    <row r="1105" spans="1:28" x14ac:dyDescent="0.25">
      <c r="A1105">
        <v>99911104</v>
      </c>
      <c r="B1105" t="s">
        <v>32</v>
      </c>
      <c r="C1105" t="s">
        <v>46</v>
      </c>
      <c r="D1105" t="s">
        <v>47</v>
      </c>
      <c r="G1105" t="s">
        <v>35</v>
      </c>
      <c r="H1105">
        <v>1</v>
      </c>
      <c r="K1105" t="s">
        <v>162</v>
      </c>
      <c r="L1105" t="s">
        <v>158</v>
      </c>
      <c r="M1105" t="s">
        <v>131</v>
      </c>
      <c r="N1105">
        <v>14</v>
      </c>
      <c r="P1105" t="s">
        <v>41</v>
      </c>
      <c r="Q1105" t="s">
        <v>42</v>
      </c>
      <c r="R1105" t="str">
        <f>"0580320"</f>
        <v>0580320</v>
      </c>
      <c r="S1105" t="s">
        <v>164</v>
      </c>
      <c r="T1105" t="s">
        <v>162</v>
      </c>
      <c r="U1105" t="s">
        <v>158</v>
      </c>
      <c r="V1105" t="s">
        <v>131</v>
      </c>
      <c r="W1105" t="s">
        <v>165</v>
      </c>
      <c r="X1105" t="s">
        <v>45</v>
      </c>
      <c r="Y1105" s="1">
        <v>21083</v>
      </c>
      <c r="Z1105">
        <v>2</v>
      </c>
      <c r="AA1105" t="s">
        <v>158</v>
      </c>
      <c r="AB1105" s="40" t="s">
        <v>1796</v>
      </c>
    </row>
    <row r="1106" spans="1:28" x14ac:dyDescent="0.25">
      <c r="A1106">
        <v>99911105</v>
      </c>
      <c r="B1106" t="s">
        <v>56</v>
      </c>
      <c r="C1106" t="s">
        <v>68</v>
      </c>
      <c r="D1106" t="s">
        <v>69</v>
      </c>
      <c r="G1106" t="s">
        <v>35</v>
      </c>
      <c r="H1106">
        <v>1</v>
      </c>
      <c r="I1106" t="s">
        <v>1594</v>
      </c>
      <c r="J1106" s="1">
        <v>43344</v>
      </c>
      <c r="K1106" t="s">
        <v>1590</v>
      </c>
      <c r="L1106" t="s">
        <v>1591</v>
      </c>
      <c r="M1106" t="s">
        <v>1592</v>
      </c>
      <c r="N1106">
        <v>14</v>
      </c>
      <c r="O1106" s="1">
        <v>43344</v>
      </c>
      <c r="P1106" t="s">
        <v>41</v>
      </c>
      <c r="Q1106" t="s">
        <v>42</v>
      </c>
      <c r="R1106" t="str">
        <f>"0280020"</f>
        <v>0280020</v>
      </c>
      <c r="S1106" t="s">
        <v>1597</v>
      </c>
      <c r="T1106" t="s">
        <v>1590</v>
      </c>
      <c r="U1106" t="s">
        <v>1591</v>
      </c>
      <c r="V1106" t="s">
        <v>1592</v>
      </c>
      <c r="W1106" t="s">
        <v>51</v>
      </c>
      <c r="X1106" t="s">
        <v>45</v>
      </c>
      <c r="Y1106" s="1">
        <v>20981</v>
      </c>
      <c r="Z1106">
        <v>2</v>
      </c>
      <c r="AA1106" t="s">
        <v>1591</v>
      </c>
      <c r="AB1106" s="40" t="s">
        <v>1796</v>
      </c>
    </row>
    <row r="1107" spans="1:28" x14ac:dyDescent="0.25">
      <c r="A1107">
        <v>99911106</v>
      </c>
      <c r="B1107" t="s">
        <v>56</v>
      </c>
      <c r="C1107" t="s">
        <v>52</v>
      </c>
      <c r="D1107" t="s">
        <v>53</v>
      </c>
      <c r="G1107" t="s">
        <v>48</v>
      </c>
      <c r="H1107">
        <v>1</v>
      </c>
      <c r="K1107" t="s">
        <v>162</v>
      </c>
      <c r="L1107" t="s">
        <v>158</v>
      </c>
      <c r="M1107" t="s">
        <v>131</v>
      </c>
      <c r="N1107">
        <v>14</v>
      </c>
      <c r="P1107" t="s">
        <v>41</v>
      </c>
      <c r="Q1107" t="s">
        <v>42</v>
      </c>
      <c r="R1107" t="str">
        <f>"0580330"</f>
        <v>0580330</v>
      </c>
      <c r="S1107" t="s">
        <v>176</v>
      </c>
      <c r="T1107" t="s">
        <v>162</v>
      </c>
      <c r="U1107" t="s">
        <v>158</v>
      </c>
      <c r="V1107" t="s">
        <v>131</v>
      </c>
      <c r="W1107" t="s">
        <v>51</v>
      </c>
      <c r="X1107" t="s">
        <v>45</v>
      </c>
      <c r="Y1107" s="1">
        <v>20894</v>
      </c>
      <c r="Z1107">
        <v>2</v>
      </c>
      <c r="AA1107" t="s">
        <v>158</v>
      </c>
      <c r="AB1107" s="40" t="s">
        <v>1796</v>
      </c>
    </row>
    <row r="1108" spans="1:28" x14ac:dyDescent="0.25">
      <c r="A1108">
        <v>99911107</v>
      </c>
      <c r="B1108" t="s">
        <v>56</v>
      </c>
      <c r="C1108" t="s">
        <v>52</v>
      </c>
      <c r="D1108" t="s">
        <v>53</v>
      </c>
      <c r="G1108" t="s">
        <v>35</v>
      </c>
      <c r="H1108">
        <v>1</v>
      </c>
      <c r="I1108" t="s">
        <v>1603</v>
      </c>
      <c r="J1108" s="1">
        <v>43344</v>
      </c>
      <c r="K1108" t="s">
        <v>1590</v>
      </c>
      <c r="L1108" t="s">
        <v>1591</v>
      </c>
      <c r="M1108" t="s">
        <v>1592</v>
      </c>
      <c r="N1108">
        <v>14</v>
      </c>
      <c r="O1108" s="1">
        <v>43344</v>
      </c>
      <c r="P1108" t="s">
        <v>41</v>
      </c>
      <c r="Q1108" t="s">
        <v>42</v>
      </c>
      <c r="R1108" t="str">
        <f>"0280020"</f>
        <v>0280020</v>
      </c>
      <c r="S1108" t="s">
        <v>1597</v>
      </c>
      <c r="T1108" t="s">
        <v>1590</v>
      </c>
      <c r="U1108" t="s">
        <v>1591</v>
      </c>
      <c r="V1108" t="s">
        <v>1592</v>
      </c>
      <c r="W1108" t="s">
        <v>51</v>
      </c>
      <c r="X1108" t="s">
        <v>45</v>
      </c>
      <c r="Y1108" s="1">
        <v>20187</v>
      </c>
      <c r="Z1108">
        <v>2</v>
      </c>
      <c r="AA1108" t="s">
        <v>1591</v>
      </c>
      <c r="AB1108" s="40" t="s">
        <v>1796</v>
      </c>
    </row>
    <row r="1109" spans="1:28" x14ac:dyDescent="0.25">
      <c r="A1109">
        <v>99911108</v>
      </c>
      <c r="B1109" t="s">
        <v>32</v>
      </c>
      <c r="C1109" t="s">
        <v>46</v>
      </c>
      <c r="D1109" t="s">
        <v>47</v>
      </c>
      <c r="G1109" t="s">
        <v>35</v>
      </c>
      <c r="H1109">
        <v>1</v>
      </c>
      <c r="I1109">
        <v>19617</v>
      </c>
      <c r="J1109" s="1">
        <v>43412</v>
      </c>
      <c r="K1109" t="s">
        <v>157</v>
      </c>
      <c r="L1109" t="s">
        <v>158</v>
      </c>
      <c r="M1109" t="s">
        <v>131</v>
      </c>
      <c r="N1109">
        <v>14</v>
      </c>
      <c r="O1109" s="1">
        <v>43412</v>
      </c>
      <c r="P1109" t="s">
        <v>41</v>
      </c>
      <c r="Q1109" t="s">
        <v>42</v>
      </c>
      <c r="R1109" t="str">
        <f>"0561031"</f>
        <v>0561031</v>
      </c>
      <c r="S1109" t="s">
        <v>177</v>
      </c>
      <c r="T1109" t="s">
        <v>157</v>
      </c>
      <c r="U1109" t="s">
        <v>158</v>
      </c>
      <c r="V1109" t="s">
        <v>131</v>
      </c>
      <c r="W1109" t="s">
        <v>51</v>
      </c>
      <c r="X1109" t="s">
        <v>45</v>
      </c>
      <c r="Z1109">
        <v>2</v>
      </c>
      <c r="AA1109" t="s">
        <v>158</v>
      </c>
      <c r="AB1109" s="40" t="s">
        <v>1796</v>
      </c>
    </row>
    <row r="1110" spans="1:28" x14ac:dyDescent="0.25">
      <c r="A1110">
        <v>99911109</v>
      </c>
      <c r="B1110" t="s">
        <v>56</v>
      </c>
      <c r="C1110" t="s">
        <v>68</v>
      </c>
      <c r="D1110" t="s">
        <v>69</v>
      </c>
      <c r="G1110" t="s">
        <v>35</v>
      </c>
      <c r="H1110">
        <v>1</v>
      </c>
      <c r="K1110" t="s">
        <v>157</v>
      </c>
      <c r="L1110" t="s">
        <v>158</v>
      </c>
      <c r="M1110" t="s">
        <v>131</v>
      </c>
      <c r="N1110">
        <v>14</v>
      </c>
      <c r="P1110" t="s">
        <v>41</v>
      </c>
      <c r="Q1110" t="s">
        <v>42</v>
      </c>
      <c r="R1110" t="str">
        <f>"0561005"</f>
        <v>0561005</v>
      </c>
      <c r="S1110" t="s">
        <v>174</v>
      </c>
      <c r="T1110" t="s">
        <v>157</v>
      </c>
      <c r="U1110" t="s">
        <v>158</v>
      </c>
      <c r="V1110" t="s">
        <v>131</v>
      </c>
      <c r="W1110" t="s">
        <v>51</v>
      </c>
      <c r="X1110" t="s">
        <v>45</v>
      </c>
      <c r="Z1110">
        <v>2</v>
      </c>
      <c r="AA1110" t="s">
        <v>158</v>
      </c>
      <c r="AB1110" s="40" t="s">
        <v>1796</v>
      </c>
    </row>
    <row r="1111" spans="1:28" x14ac:dyDescent="0.25">
      <c r="A1111">
        <v>99911110</v>
      </c>
      <c r="B1111" t="s">
        <v>56</v>
      </c>
      <c r="C1111" t="s">
        <v>52</v>
      </c>
      <c r="D1111" t="s">
        <v>53</v>
      </c>
      <c r="G1111" t="s">
        <v>35</v>
      </c>
      <c r="H1111">
        <v>1</v>
      </c>
      <c r="K1111" t="s">
        <v>157</v>
      </c>
      <c r="L1111" t="s">
        <v>158</v>
      </c>
      <c r="M1111" t="s">
        <v>131</v>
      </c>
      <c r="N1111">
        <v>14</v>
      </c>
      <c r="P1111" t="s">
        <v>41</v>
      </c>
      <c r="Q1111" t="s">
        <v>49</v>
      </c>
      <c r="R1111" t="str">
        <f>"0580505"</f>
        <v>0580505</v>
      </c>
      <c r="S1111" t="s">
        <v>168</v>
      </c>
      <c r="T1111" t="s">
        <v>157</v>
      </c>
      <c r="U1111" t="s">
        <v>158</v>
      </c>
      <c r="V1111" t="s">
        <v>131</v>
      </c>
      <c r="W1111" t="s">
        <v>51</v>
      </c>
      <c r="X1111" t="s">
        <v>45</v>
      </c>
      <c r="Z1111">
        <v>2</v>
      </c>
      <c r="AA1111" t="s">
        <v>158</v>
      </c>
      <c r="AB1111" s="40" t="s">
        <v>1796</v>
      </c>
    </row>
    <row r="1112" spans="1:28" x14ac:dyDescent="0.25">
      <c r="A1112">
        <v>99911111</v>
      </c>
      <c r="B1112" t="s">
        <v>32</v>
      </c>
      <c r="C1112" t="s">
        <v>52</v>
      </c>
      <c r="D1112" t="s">
        <v>53</v>
      </c>
      <c r="G1112" t="s">
        <v>35</v>
      </c>
      <c r="H1112">
        <v>1</v>
      </c>
      <c r="I1112">
        <v>0</v>
      </c>
      <c r="J1112" s="1">
        <v>43344</v>
      </c>
      <c r="K1112" t="s">
        <v>223</v>
      </c>
      <c r="L1112" t="s">
        <v>224</v>
      </c>
      <c r="M1112" t="s">
        <v>131</v>
      </c>
      <c r="N1112">
        <v>14</v>
      </c>
      <c r="O1112" s="1">
        <v>43344</v>
      </c>
      <c r="P1112" t="s">
        <v>41</v>
      </c>
      <c r="Q1112" t="s">
        <v>49</v>
      </c>
      <c r="R1112" t="str">
        <f>"0591901"</f>
        <v>0591901</v>
      </c>
      <c r="S1112" t="s">
        <v>230</v>
      </c>
      <c r="T1112" t="s">
        <v>223</v>
      </c>
      <c r="U1112" t="s">
        <v>224</v>
      </c>
      <c r="V1112" t="s">
        <v>131</v>
      </c>
      <c r="W1112" t="s">
        <v>44</v>
      </c>
      <c r="X1112" t="s">
        <v>45</v>
      </c>
      <c r="Z1112">
        <v>2</v>
      </c>
      <c r="AA1112" t="s">
        <v>224</v>
      </c>
      <c r="AB1112" s="40" t="s">
        <v>1796</v>
      </c>
    </row>
    <row r="1113" spans="1:28" x14ac:dyDescent="0.25">
      <c r="A1113">
        <v>99911112</v>
      </c>
      <c r="B1113" t="s">
        <v>32</v>
      </c>
      <c r="C1113" t="s">
        <v>46</v>
      </c>
      <c r="D1113" t="s">
        <v>47</v>
      </c>
      <c r="G1113" t="s">
        <v>48</v>
      </c>
      <c r="H1113">
        <v>1</v>
      </c>
      <c r="K1113" t="s">
        <v>223</v>
      </c>
      <c r="L1113" t="s">
        <v>224</v>
      </c>
      <c r="M1113" t="s">
        <v>131</v>
      </c>
      <c r="N1113">
        <v>14</v>
      </c>
      <c r="P1113" t="s">
        <v>41</v>
      </c>
      <c r="Q1113" t="s">
        <v>42</v>
      </c>
      <c r="R1113" t="str">
        <f>"0580207"</f>
        <v>0580207</v>
      </c>
      <c r="S1113" t="s">
        <v>229</v>
      </c>
      <c r="T1113" t="s">
        <v>223</v>
      </c>
      <c r="U1113" t="s">
        <v>224</v>
      </c>
      <c r="V1113" t="s">
        <v>131</v>
      </c>
      <c r="W1113" t="s">
        <v>165</v>
      </c>
      <c r="X1113" t="s">
        <v>45</v>
      </c>
      <c r="Z1113">
        <v>2</v>
      </c>
      <c r="AA1113" t="s">
        <v>224</v>
      </c>
      <c r="AB1113" s="40" t="s">
        <v>1796</v>
      </c>
    </row>
    <row r="1114" spans="1:28" x14ac:dyDescent="0.25">
      <c r="A1114">
        <v>99911113</v>
      </c>
      <c r="B1114" t="s">
        <v>32</v>
      </c>
      <c r="C1114" t="s">
        <v>139</v>
      </c>
      <c r="D1114" t="s">
        <v>140</v>
      </c>
      <c r="G1114" t="s">
        <v>35</v>
      </c>
      <c r="H1114">
        <v>1</v>
      </c>
      <c r="I1114" t="s">
        <v>325</v>
      </c>
      <c r="J1114" s="1">
        <v>43344</v>
      </c>
      <c r="K1114" t="s">
        <v>300</v>
      </c>
      <c r="L1114" t="s">
        <v>301</v>
      </c>
      <c r="M1114" t="s">
        <v>131</v>
      </c>
      <c r="N1114">
        <v>14</v>
      </c>
      <c r="O1114" s="1">
        <v>43344</v>
      </c>
      <c r="P1114" t="s">
        <v>41</v>
      </c>
      <c r="Q1114" t="s">
        <v>49</v>
      </c>
      <c r="R1114" t="str">
        <f>"0560022"</f>
        <v>0560022</v>
      </c>
      <c r="S1114" t="s">
        <v>314</v>
      </c>
      <c r="T1114" t="s">
        <v>300</v>
      </c>
      <c r="U1114" t="s">
        <v>301</v>
      </c>
      <c r="V1114" t="s">
        <v>131</v>
      </c>
      <c r="W1114" t="s">
        <v>51</v>
      </c>
      <c r="X1114" t="s">
        <v>45</v>
      </c>
      <c r="Z1114">
        <v>2</v>
      </c>
      <c r="AA1114" t="s">
        <v>301</v>
      </c>
      <c r="AB1114" s="40" t="s">
        <v>1796</v>
      </c>
    </row>
    <row r="1115" spans="1:28" x14ac:dyDescent="0.25">
      <c r="A1115">
        <v>99911114</v>
      </c>
      <c r="B1115" t="s">
        <v>56</v>
      </c>
      <c r="C1115" t="s">
        <v>79</v>
      </c>
      <c r="D1115" t="s">
        <v>80</v>
      </c>
      <c r="G1115" t="s">
        <v>48</v>
      </c>
      <c r="H1115">
        <v>1</v>
      </c>
      <c r="K1115" t="s">
        <v>300</v>
      </c>
      <c r="L1115" t="s">
        <v>301</v>
      </c>
      <c r="M1115" t="s">
        <v>131</v>
      </c>
      <c r="N1115">
        <v>14</v>
      </c>
      <c r="P1115" t="s">
        <v>41</v>
      </c>
      <c r="Q1115" t="s">
        <v>49</v>
      </c>
      <c r="R1115" t="str">
        <f>"0560001"</f>
        <v>0560001</v>
      </c>
      <c r="S1115" t="s">
        <v>304</v>
      </c>
      <c r="T1115" t="s">
        <v>300</v>
      </c>
      <c r="U1115" t="s">
        <v>301</v>
      </c>
      <c r="V1115" t="s">
        <v>131</v>
      </c>
      <c r="W1115" t="s">
        <v>51</v>
      </c>
      <c r="X1115" t="s">
        <v>45</v>
      </c>
      <c r="Z1115">
        <v>2</v>
      </c>
      <c r="AA1115" t="s">
        <v>301</v>
      </c>
      <c r="AB1115" s="40" t="s">
        <v>1796</v>
      </c>
    </row>
    <row r="1116" spans="1:28" x14ac:dyDescent="0.25">
      <c r="A1116">
        <v>99911115</v>
      </c>
      <c r="B1116" t="s">
        <v>32</v>
      </c>
      <c r="C1116" t="s">
        <v>46</v>
      </c>
      <c r="D1116" t="s">
        <v>47</v>
      </c>
      <c r="G1116" t="s">
        <v>48</v>
      </c>
      <c r="H1116">
        <v>1</v>
      </c>
      <c r="K1116" t="s">
        <v>1268</v>
      </c>
      <c r="L1116" t="s">
        <v>1269</v>
      </c>
      <c r="M1116" t="s">
        <v>1270</v>
      </c>
      <c r="N1116">
        <v>14</v>
      </c>
      <c r="P1116" t="s">
        <v>41</v>
      </c>
      <c r="Q1116" t="s">
        <v>42</v>
      </c>
      <c r="R1116" t="str">
        <f>"1990912"</f>
        <v>1990912</v>
      </c>
      <c r="S1116" t="s">
        <v>1271</v>
      </c>
      <c r="T1116" t="s">
        <v>1268</v>
      </c>
      <c r="U1116" t="s">
        <v>1269</v>
      </c>
      <c r="V1116" t="s">
        <v>1270</v>
      </c>
      <c r="W1116" t="s">
        <v>51</v>
      </c>
      <c r="X1116" t="s">
        <v>45</v>
      </c>
      <c r="Z1116">
        <v>2</v>
      </c>
      <c r="AA1116" t="s">
        <v>1269</v>
      </c>
      <c r="AB1116" s="40" t="s">
        <v>1796</v>
      </c>
    </row>
    <row r="1117" spans="1:28" x14ac:dyDescent="0.25">
      <c r="A1117">
        <v>99911116</v>
      </c>
      <c r="B1117" t="s">
        <v>32</v>
      </c>
      <c r="C1117" t="s">
        <v>85</v>
      </c>
      <c r="D1117" t="s">
        <v>86</v>
      </c>
      <c r="G1117" t="s">
        <v>35</v>
      </c>
      <c r="H1117">
        <v>1</v>
      </c>
      <c r="I1117">
        <v>19786</v>
      </c>
      <c r="J1117" s="1">
        <v>43378</v>
      </c>
      <c r="K1117" t="s">
        <v>223</v>
      </c>
      <c r="L1117" t="s">
        <v>224</v>
      </c>
      <c r="M1117" t="s">
        <v>131</v>
      </c>
      <c r="N1117">
        <v>15</v>
      </c>
      <c r="O1117" s="1">
        <v>43378</v>
      </c>
      <c r="P1117" t="s">
        <v>41</v>
      </c>
      <c r="Q1117" t="s">
        <v>42</v>
      </c>
      <c r="R1117" t="str">
        <f>"0580204"</f>
        <v>0580204</v>
      </c>
      <c r="S1117" t="s">
        <v>235</v>
      </c>
      <c r="T1117" t="s">
        <v>223</v>
      </c>
      <c r="U1117" t="s">
        <v>224</v>
      </c>
      <c r="V1117" t="s">
        <v>131</v>
      </c>
      <c r="W1117" t="s">
        <v>55</v>
      </c>
      <c r="X1117" t="s">
        <v>45</v>
      </c>
      <c r="Y1117" s="1">
        <v>34471</v>
      </c>
      <c r="Z1117">
        <v>2</v>
      </c>
      <c r="AA1117" t="s">
        <v>224</v>
      </c>
      <c r="AB1117" s="40" t="s">
        <v>1796</v>
      </c>
    </row>
    <row r="1118" spans="1:28" x14ac:dyDescent="0.25">
      <c r="A1118">
        <v>99911117</v>
      </c>
      <c r="B1118" t="s">
        <v>32</v>
      </c>
      <c r="C1118" t="s">
        <v>111</v>
      </c>
      <c r="D1118" t="s">
        <v>112</v>
      </c>
      <c r="G1118" t="s">
        <v>35</v>
      </c>
      <c r="H1118">
        <v>3</v>
      </c>
      <c r="K1118" t="s">
        <v>1619</v>
      </c>
      <c r="L1118" t="s">
        <v>1620</v>
      </c>
      <c r="M1118" t="s">
        <v>1592</v>
      </c>
      <c r="N1118">
        <v>15</v>
      </c>
      <c r="P1118" t="s">
        <v>41</v>
      </c>
      <c r="Q1118" t="s">
        <v>75</v>
      </c>
      <c r="R1118" t="str">
        <f>"7281002"</f>
        <v>7281002</v>
      </c>
      <c r="S1118" t="s">
        <v>1660</v>
      </c>
      <c r="T1118" t="s">
        <v>1619</v>
      </c>
      <c r="U1118" t="s">
        <v>1620</v>
      </c>
      <c r="V1118" t="s">
        <v>1592</v>
      </c>
      <c r="W1118" t="s">
        <v>44</v>
      </c>
      <c r="X1118" t="s">
        <v>45</v>
      </c>
      <c r="Y1118" s="1">
        <v>34143</v>
      </c>
      <c r="Z1118">
        <v>1</v>
      </c>
      <c r="AA1118" t="s">
        <v>1620</v>
      </c>
      <c r="AB1118" s="40" t="s">
        <v>1796</v>
      </c>
    </row>
    <row r="1119" spans="1:28" x14ac:dyDescent="0.25">
      <c r="A1119">
        <v>99911118</v>
      </c>
      <c r="B1119" t="s">
        <v>32</v>
      </c>
      <c r="C1119" t="s">
        <v>52</v>
      </c>
      <c r="D1119" t="s">
        <v>53</v>
      </c>
      <c r="G1119" t="s">
        <v>35</v>
      </c>
      <c r="H1119">
        <v>1</v>
      </c>
      <c r="I1119" t="s">
        <v>1557</v>
      </c>
      <c r="J1119" s="1">
        <v>43383</v>
      </c>
      <c r="K1119" t="s">
        <v>1546</v>
      </c>
      <c r="L1119" t="s">
        <v>1547</v>
      </c>
      <c r="M1119" t="s">
        <v>1548</v>
      </c>
      <c r="N1119">
        <v>15</v>
      </c>
      <c r="O1119" s="1">
        <v>43383</v>
      </c>
      <c r="P1119" t="s">
        <v>41</v>
      </c>
      <c r="Q1119" t="s">
        <v>49</v>
      </c>
      <c r="R1119" t="str">
        <f>"1081010"</f>
        <v>1081010</v>
      </c>
      <c r="S1119" t="s">
        <v>1552</v>
      </c>
      <c r="T1119" t="s">
        <v>1546</v>
      </c>
      <c r="U1119" t="s">
        <v>1547</v>
      </c>
      <c r="V1119" t="s">
        <v>1548</v>
      </c>
      <c r="W1119" t="s">
        <v>55</v>
      </c>
      <c r="X1119" t="s">
        <v>45</v>
      </c>
      <c r="Y1119" s="1">
        <v>33999</v>
      </c>
      <c r="Z1119">
        <v>2</v>
      </c>
      <c r="AA1119" t="s">
        <v>1547</v>
      </c>
      <c r="AB1119" s="40" t="s">
        <v>1796</v>
      </c>
    </row>
    <row r="1120" spans="1:28" x14ac:dyDescent="0.25">
      <c r="A1120">
        <v>99911119</v>
      </c>
      <c r="B1120" t="s">
        <v>32</v>
      </c>
      <c r="C1120" t="s">
        <v>58</v>
      </c>
      <c r="D1120" t="s">
        <v>59</v>
      </c>
      <c r="G1120" t="s">
        <v>35</v>
      </c>
      <c r="H1120">
        <v>1</v>
      </c>
      <c r="I1120">
        <v>9186</v>
      </c>
      <c r="J1120" s="1">
        <v>43377</v>
      </c>
      <c r="K1120" t="s">
        <v>1051</v>
      </c>
      <c r="L1120" t="s">
        <v>1052</v>
      </c>
      <c r="M1120" t="s">
        <v>1053</v>
      </c>
      <c r="N1120">
        <v>15</v>
      </c>
      <c r="O1120" s="1">
        <v>43377</v>
      </c>
      <c r="P1120" t="s">
        <v>41</v>
      </c>
      <c r="Q1120" t="s">
        <v>42</v>
      </c>
      <c r="R1120" t="str">
        <f>"2061004"</f>
        <v>2061004</v>
      </c>
      <c r="S1120" t="s">
        <v>1055</v>
      </c>
      <c r="T1120" t="s">
        <v>1051</v>
      </c>
      <c r="U1120" t="s">
        <v>1052</v>
      </c>
      <c r="V1120" t="s">
        <v>1053</v>
      </c>
      <c r="W1120" t="s">
        <v>55</v>
      </c>
      <c r="X1120" t="s">
        <v>45</v>
      </c>
      <c r="Y1120" s="1">
        <v>33632</v>
      </c>
      <c r="Z1120">
        <v>2</v>
      </c>
      <c r="AA1120" t="s">
        <v>1052</v>
      </c>
      <c r="AB1120" s="40" t="s">
        <v>1796</v>
      </c>
    </row>
    <row r="1121" spans="1:28" x14ac:dyDescent="0.25">
      <c r="A1121">
        <v>99911120</v>
      </c>
      <c r="B1121" t="s">
        <v>56</v>
      </c>
      <c r="C1121" t="s">
        <v>257</v>
      </c>
      <c r="D1121" t="s">
        <v>258</v>
      </c>
      <c r="G1121" t="s">
        <v>35</v>
      </c>
      <c r="H1121">
        <v>1</v>
      </c>
      <c r="I1121" t="s">
        <v>341</v>
      </c>
      <c r="J1121" s="1">
        <v>43344</v>
      </c>
      <c r="K1121" t="s">
        <v>300</v>
      </c>
      <c r="L1121" t="s">
        <v>301</v>
      </c>
      <c r="M1121" t="s">
        <v>131</v>
      </c>
      <c r="N1121">
        <v>15</v>
      </c>
      <c r="O1121" s="1">
        <v>43344</v>
      </c>
      <c r="P1121" t="s">
        <v>41</v>
      </c>
      <c r="Q1121" t="s">
        <v>49</v>
      </c>
      <c r="R1121" t="str">
        <f>"0560001"</f>
        <v>0560001</v>
      </c>
      <c r="S1121" t="s">
        <v>304</v>
      </c>
      <c r="T1121" t="s">
        <v>300</v>
      </c>
      <c r="U1121" t="s">
        <v>301</v>
      </c>
      <c r="V1121" t="s">
        <v>131</v>
      </c>
      <c r="W1121" t="s">
        <v>44</v>
      </c>
      <c r="X1121" t="s">
        <v>45</v>
      </c>
      <c r="Y1121" s="1">
        <v>32658</v>
      </c>
      <c r="Z1121">
        <v>2</v>
      </c>
      <c r="AA1121" t="s">
        <v>301</v>
      </c>
      <c r="AB1121" s="40" t="s">
        <v>1796</v>
      </c>
    </row>
    <row r="1122" spans="1:28" x14ac:dyDescent="0.25">
      <c r="A1122">
        <v>99911121</v>
      </c>
      <c r="B1122" t="s">
        <v>32</v>
      </c>
      <c r="C1122" t="s">
        <v>58</v>
      </c>
      <c r="D1122" t="s">
        <v>59</v>
      </c>
      <c r="G1122" t="s">
        <v>35</v>
      </c>
      <c r="H1122">
        <v>1</v>
      </c>
      <c r="I1122">
        <v>8138</v>
      </c>
      <c r="J1122" s="1">
        <v>43350</v>
      </c>
      <c r="K1122" t="s">
        <v>1051</v>
      </c>
      <c r="L1122" t="s">
        <v>1052</v>
      </c>
      <c r="M1122" t="s">
        <v>1053</v>
      </c>
      <c r="N1122">
        <v>15</v>
      </c>
      <c r="O1122" s="1">
        <v>43350</v>
      </c>
      <c r="P1122" t="s">
        <v>41</v>
      </c>
      <c r="Q1122" t="s">
        <v>42</v>
      </c>
      <c r="R1122" t="str">
        <f>"2061004"</f>
        <v>2061004</v>
      </c>
      <c r="S1122" t="s">
        <v>1055</v>
      </c>
      <c r="T1122" t="s">
        <v>1051</v>
      </c>
      <c r="U1122" t="s">
        <v>1052</v>
      </c>
      <c r="V1122" t="s">
        <v>1053</v>
      </c>
      <c r="W1122" t="s">
        <v>51</v>
      </c>
      <c r="X1122" t="s">
        <v>45</v>
      </c>
      <c r="Y1122" s="1">
        <v>32283</v>
      </c>
      <c r="Z1122">
        <v>2</v>
      </c>
      <c r="AA1122" t="s">
        <v>1052</v>
      </c>
      <c r="AB1122" s="40" t="s">
        <v>1796</v>
      </c>
    </row>
    <row r="1123" spans="1:28" x14ac:dyDescent="0.25">
      <c r="A1123">
        <v>99911122</v>
      </c>
      <c r="B1123" t="s">
        <v>32</v>
      </c>
      <c r="C1123" t="s">
        <v>61</v>
      </c>
      <c r="D1123" t="s">
        <v>62</v>
      </c>
      <c r="G1123" t="s">
        <v>35</v>
      </c>
      <c r="H1123">
        <v>1</v>
      </c>
      <c r="I1123" t="s">
        <v>63</v>
      </c>
      <c r="J1123" s="1">
        <v>43344</v>
      </c>
      <c r="K1123" t="s">
        <v>37</v>
      </c>
      <c r="L1123" t="s">
        <v>38</v>
      </c>
      <c r="M1123" t="s">
        <v>39</v>
      </c>
      <c r="N1123">
        <v>15</v>
      </c>
      <c r="O1123" s="1">
        <v>43344</v>
      </c>
      <c r="P1123" t="s">
        <v>41</v>
      </c>
      <c r="Q1123" t="s">
        <v>49</v>
      </c>
      <c r="R1123" t="str">
        <f>"3781010"</f>
        <v>3781010</v>
      </c>
      <c r="S1123" t="s">
        <v>50</v>
      </c>
      <c r="T1123" t="s">
        <v>37</v>
      </c>
      <c r="U1123" t="s">
        <v>38</v>
      </c>
      <c r="V1123" t="s">
        <v>39</v>
      </c>
      <c r="W1123" t="s">
        <v>44</v>
      </c>
      <c r="X1123" t="s">
        <v>45</v>
      </c>
      <c r="Y1123" s="1">
        <v>32259</v>
      </c>
      <c r="Z1123">
        <v>2</v>
      </c>
      <c r="AA1123" t="s">
        <v>38</v>
      </c>
      <c r="AB1123" s="40" t="s">
        <v>1796</v>
      </c>
    </row>
    <row r="1124" spans="1:28" x14ac:dyDescent="0.25">
      <c r="A1124">
        <v>99911123</v>
      </c>
      <c r="B1124" t="s">
        <v>56</v>
      </c>
      <c r="C1124" t="s">
        <v>46</v>
      </c>
      <c r="D1124" t="s">
        <v>47</v>
      </c>
      <c r="G1124" t="s">
        <v>35</v>
      </c>
      <c r="H1124">
        <v>1</v>
      </c>
      <c r="I1124" t="s">
        <v>1554</v>
      </c>
      <c r="J1124" s="1">
        <v>43344</v>
      </c>
      <c r="K1124" t="s">
        <v>1546</v>
      </c>
      <c r="L1124" t="s">
        <v>1547</v>
      </c>
      <c r="M1124" t="s">
        <v>1548</v>
      </c>
      <c r="N1124">
        <v>15</v>
      </c>
      <c r="O1124" s="1">
        <v>43344</v>
      </c>
      <c r="P1124" t="s">
        <v>41</v>
      </c>
      <c r="Q1124" t="s">
        <v>49</v>
      </c>
      <c r="R1124" t="str">
        <f>"1081010"</f>
        <v>1081010</v>
      </c>
      <c r="S1124" t="s">
        <v>1552</v>
      </c>
      <c r="T1124" t="s">
        <v>1546</v>
      </c>
      <c r="U1124" t="s">
        <v>1547</v>
      </c>
      <c r="V1124" t="s">
        <v>1548</v>
      </c>
      <c r="W1124" t="s">
        <v>44</v>
      </c>
      <c r="X1124" t="s">
        <v>45</v>
      </c>
      <c r="Y1124" s="1">
        <v>32007</v>
      </c>
      <c r="Z1124">
        <v>2</v>
      </c>
      <c r="AA1124" t="s">
        <v>1547</v>
      </c>
      <c r="AB1124" s="40" t="s">
        <v>1796</v>
      </c>
    </row>
    <row r="1125" spans="1:28" x14ac:dyDescent="0.25">
      <c r="A1125">
        <v>99911124</v>
      </c>
      <c r="B1125" t="s">
        <v>32</v>
      </c>
      <c r="C1125" t="s">
        <v>79</v>
      </c>
      <c r="D1125" t="s">
        <v>80</v>
      </c>
      <c r="G1125" t="s">
        <v>35</v>
      </c>
      <c r="H1125">
        <v>1</v>
      </c>
      <c r="K1125" t="s">
        <v>223</v>
      </c>
      <c r="L1125" t="s">
        <v>224</v>
      </c>
      <c r="M1125" t="s">
        <v>131</v>
      </c>
      <c r="N1125">
        <v>15</v>
      </c>
      <c r="P1125" t="s">
        <v>41</v>
      </c>
      <c r="Q1125" t="s">
        <v>49</v>
      </c>
      <c r="R1125" t="str">
        <f>"0560018"</f>
        <v>0560018</v>
      </c>
      <c r="S1125" t="s">
        <v>234</v>
      </c>
      <c r="T1125" t="s">
        <v>223</v>
      </c>
      <c r="U1125" t="s">
        <v>224</v>
      </c>
      <c r="V1125" t="s">
        <v>131</v>
      </c>
      <c r="W1125" t="s">
        <v>51</v>
      </c>
      <c r="X1125" t="s">
        <v>45</v>
      </c>
      <c r="Y1125" s="1">
        <v>31828</v>
      </c>
      <c r="Z1125">
        <v>2</v>
      </c>
      <c r="AA1125" t="s">
        <v>224</v>
      </c>
      <c r="AB1125" s="40" t="s">
        <v>1796</v>
      </c>
    </row>
    <row r="1126" spans="1:28" x14ac:dyDescent="0.25">
      <c r="A1126">
        <v>99911125</v>
      </c>
      <c r="B1126" t="s">
        <v>32</v>
      </c>
      <c r="C1126" t="s">
        <v>46</v>
      </c>
      <c r="D1126" t="s">
        <v>47</v>
      </c>
      <c r="G1126" t="s">
        <v>48</v>
      </c>
      <c r="H1126">
        <v>1</v>
      </c>
      <c r="K1126" t="s">
        <v>1566</v>
      </c>
      <c r="L1126" t="s">
        <v>1567</v>
      </c>
      <c r="M1126" t="s">
        <v>1548</v>
      </c>
      <c r="N1126">
        <v>15</v>
      </c>
      <c r="P1126" t="s">
        <v>41</v>
      </c>
      <c r="Q1126" t="s">
        <v>42</v>
      </c>
      <c r="R1126" t="str">
        <f>"2961001"</f>
        <v>2961001</v>
      </c>
      <c r="S1126" t="s">
        <v>1568</v>
      </c>
      <c r="T1126" t="s">
        <v>1566</v>
      </c>
      <c r="U1126" t="s">
        <v>1567</v>
      </c>
      <c r="V1126" t="s">
        <v>1548</v>
      </c>
      <c r="W1126" t="s">
        <v>51</v>
      </c>
      <c r="X1126" t="s">
        <v>45</v>
      </c>
      <c r="Y1126" s="1">
        <v>31484</v>
      </c>
      <c r="Z1126">
        <v>2</v>
      </c>
      <c r="AA1126" t="s">
        <v>1567</v>
      </c>
      <c r="AB1126" s="40" t="s">
        <v>1796</v>
      </c>
    </row>
    <row r="1127" spans="1:28" x14ac:dyDescent="0.25">
      <c r="A1127">
        <v>99911126</v>
      </c>
      <c r="B1127" t="s">
        <v>56</v>
      </c>
      <c r="C1127" t="s">
        <v>257</v>
      </c>
      <c r="D1127" t="s">
        <v>258</v>
      </c>
      <c r="G1127" t="s">
        <v>35</v>
      </c>
      <c r="H1127">
        <v>1</v>
      </c>
      <c r="I1127" t="s">
        <v>277</v>
      </c>
      <c r="J1127" s="1">
        <v>43344</v>
      </c>
      <c r="K1127" t="s">
        <v>223</v>
      </c>
      <c r="L1127" t="s">
        <v>224</v>
      </c>
      <c r="M1127" t="s">
        <v>131</v>
      </c>
      <c r="N1127">
        <v>15</v>
      </c>
      <c r="O1127" s="1">
        <v>43344</v>
      </c>
      <c r="P1127" t="s">
        <v>41</v>
      </c>
      <c r="Q1127" t="s">
        <v>49</v>
      </c>
      <c r="R1127" t="str">
        <f>"0561022"</f>
        <v>0561022</v>
      </c>
      <c r="S1127" t="s">
        <v>225</v>
      </c>
      <c r="T1127" t="s">
        <v>223</v>
      </c>
      <c r="U1127" t="s">
        <v>224</v>
      </c>
      <c r="V1127" t="s">
        <v>131</v>
      </c>
      <c r="W1127" t="s">
        <v>44</v>
      </c>
      <c r="X1127" t="s">
        <v>45</v>
      </c>
      <c r="Y1127" s="1">
        <v>31419</v>
      </c>
      <c r="Z1127">
        <v>2</v>
      </c>
      <c r="AA1127" t="s">
        <v>224</v>
      </c>
      <c r="AB1127" s="40" t="s">
        <v>1796</v>
      </c>
    </row>
    <row r="1128" spans="1:28" x14ac:dyDescent="0.25">
      <c r="A1128">
        <v>99911127</v>
      </c>
      <c r="B1128" t="s">
        <v>32</v>
      </c>
      <c r="C1128" t="s">
        <v>46</v>
      </c>
      <c r="D1128" t="s">
        <v>47</v>
      </c>
      <c r="G1128" t="s">
        <v>35</v>
      </c>
      <c r="H1128">
        <v>1</v>
      </c>
      <c r="I1128">
        <v>18262</v>
      </c>
      <c r="J1128" s="1">
        <v>43344</v>
      </c>
      <c r="K1128" t="s">
        <v>223</v>
      </c>
      <c r="L1128" t="s">
        <v>224</v>
      </c>
      <c r="M1128" t="s">
        <v>131</v>
      </c>
      <c r="N1128">
        <v>15</v>
      </c>
      <c r="O1128" s="1">
        <v>43344</v>
      </c>
      <c r="P1128" t="s">
        <v>41</v>
      </c>
      <c r="Q1128" t="s">
        <v>49</v>
      </c>
      <c r="R1128" t="str">
        <f>"0560008"</f>
        <v>0560008</v>
      </c>
      <c r="S1128" t="s">
        <v>263</v>
      </c>
      <c r="T1128" t="s">
        <v>223</v>
      </c>
      <c r="U1128" t="s">
        <v>224</v>
      </c>
      <c r="V1128" t="s">
        <v>131</v>
      </c>
      <c r="W1128" t="s">
        <v>44</v>
      </c>
      <c r="X1128" t="s">
        <v>45</v>
      </c>
      <c r="Y1128" s="1">
        <v>31324</v>
      </c>
      <c r="Z1128">
        <v>2</v>
      </c>
      <c r="AA1128" t="s">
        <v>224</v>
      </c>
      <c r="AB1128" s="40" t="s">
        <v>1796</v>
      </c>
    </row>
    <row r="1129" spans="1:28" x14ac:dyDescent="0.25">
      <c r="A1129">
        <v>99911128</v>
      </c>
      <c r="B1129" t="s">
        <v>32</v>
      </c>
      <c r="C1129" t="s">
        <v>85</v>
      </c>
      <c r="D1129" t="s">
        <v>86</v>
      </c>
      <c r="G1129" t="s">
        <v>35</v>
      </c>
      <c r="H1129">
        <v>1</v>
      </c>
      <c r="I1129" t="s">
        <v>87</v>
      </c>
      <c r="J1129" s="1">
        <v>43344</v>
      </c>
      <c r="K1129" t="s">
        <v>37</v>
      </c>
      <c r="L1129" t="s">
        <v>38</v>
      </c>
      <c r="M1129" t="s">
        <v>39</v>
      </c>
      <c r="N1129">
        <v>15</v>
      </c>
      <c r="O1129" s="1">
        <v>43344</v>
      </c>
      <c r="P1129" t="s">
        <v>41</v>
      </c>
      <c r="Q1129" t="s">
        <v>49</v>
      </c>
      <c r="R1129" t="str">
        <f>"3781010"</f>
        <v>3781010</v>
      </c>
      <c r="S1129" t="s">
        <v>50</v>
      </c>
      <c r="T1129" t="s">
        <v>37</v>
      </c>
      <c r="U1129" t="s">
        <v>38</v>
      </c>
      <c r="V1129" t="s">
        <v>39</v>
      </c>
      <c r="W1129" t="s">
        <v>55</v>
      </c>
      <c r="X1129" t="s">
        <v>45</v>
      </c>
      <c r="Y1129" s="1">
        <v>31003</v>
      </c>
      <c r="Z1129">
        <v>2</v>
      </c>
      <c r="AA1129" t="s">
        <v>38</v>
      </c>
      <c r="AB1129" s="40" t="s">
        <v>1796</v>
      </c>
    </row>
    <row r="1130" spans="1:28" x14ac:dyDescent="0.25">
      <c r="A1130">
        <v>99911129</v>
      </c>
      <c r="B1130" t="s">
        <v>32</v>
      </c>
      <c r="C1130" t="s">
        <v>64</v>
      </c>
      <c r="D1130" t="s">
        <v>65</v>
      </c>
      <c r="G1130" t="s">
        <v>35</v>
      </c>
      <c r="H1130">
        <v>4</v>
      </c>
      <c r="K1130" t="s">
        <v>1619</v>
      </c>
      <c r="L1130" t="s">
        <v>1620</v>
      </c>
      <c r="M1130" t="s">
        <v>1592</v>
      </c>
      <c r="N1130">
        <v>15</v>
      </c>
      <c r="P1130" t="s">
        <v>41</v>
      </c>
      <c r="Q1130" t="s">
        <v>75</v>
      </c>
      <c r="R1130" t="str">
        <f>"7281000"</f>
        <v>7281000</v>
      </c>
      <c r="S1130" t="s">
        <v>1648</v>
      </c>
      <c r="T1130" t="s">
        <v>1619</v>
      </c>
      <c r="U1130" t="s">
        <v>1620</v>
      </c>
      <c r="V1130" t="s">
        <v>1592</v>
      </c>
      <c r="W1130" t="s">
        <v>51</v>
      </c>
      <c r="X1130" t="s">
        <v>45</v>
      </c>
      <c r="Y1130" s="1">
        <v>30903</v>
      </c>
      <c r="Z1130">
        <v>1</v>
      </c>
      <c r="AA1130" t="s">
        <v>1620</v>
      </c>
      <c r="AB1130" s="40" t="s">
        <v>1796</v>
      </c>
    </row>
    <row r="1131" spans="1:28" x14ac:dyDescent="0.25">
      <c r="A1131">
        <v>99911130</v>
      </c>
      <c r="B1131" t="s">
        <v>56</v>
      </c>
      <c r="C1131" t="s">
        <v>68</v>
      </c>
      <c r="D1131" t="s">
        <v>69</v>
      </c>
      <c r="G1131" t="s">
        <v>35</v>
      </c>
      <c r="H1131">
        <v>1</v>
      </c>
      <c r="I1131" t="s">
        <v>1609</v>
      </c>
      <c r="J1131" s="1">
        <v>43344</v>
      </c>
      <c r="K1131" t="s">
        <v>1590</v>
      </c>
      <c r="L1131" t="s">
        <v>1591</v>
      </c>
      <c r="M1131" t="s">
        <v>1592</v>
      </c>
      <c r="N1131">
        <v>15</v>
      </c>
      <c r="O1131" s="1">
        <v>43344</v>
      </c>
      <c r="P1131" t="s">
        <v>41</v>
      </c>
      <c r="Q1131" t="s">
        <v>49</v>
      </c>
      <c r="R1131" t="str">
        <f>"0260002"</f>
        <v>0260002</v>
      </c>
      <c r="S1131" t="s">
        <v>1593</v>
      </c>
      <c r="T1131" t="s">
        <v>1590</v>
      </c>
      <c r="U1131" t="s">
        <v>1591</v>
      </c>
      <c r="V1131" t="s">
        <v>1592</v>
      </c>
      <c r="W1131" t="s">
        <v>44</v>
      </c>
      <c r="X1131" t="s">
        <v>45</v>
      </c>
      <c r="Y1131" s="1">
        <v>30887</v>
      </c>
      <c r="Z1131">
        <v>2</v>
      </c>
      <c r="AA1131" t="s">
        <v>1591</v>
      </c>
      <c r="AB1131" s="40" t="s">
        <v>1796</v>
      </c>
    </row>
    <row r="1132" spans="1:28" x14ac:dyDescent="0.25">
      <c r="A1132">
        <v>99911131</v>
      </c>
      <c r="B1132" t="s">
        <v>32</v>
      </c>
      <c r="C1132" t="s">
        <v>68</v>
      </c>
      <c r="D1132" t="s">
        <v>69</v>
      </c>
      <c r="G1132" t="s">
        <v>48</v>
      </c>
      <c r="H1132">
        <v>1</v>
      </c>
      <c r="K1132" t="s">
        <v>1590</v>
      </c>
      <c r="L1132" t="s">
        <v>1591</v>
      </c>
      <c r="M1132" t="s">
        <v>1592</v>
      </c>
      <c r="N1132">
        <v>15</v>
      </c>
      <c r="P1132" t="s">
        <v>41</v>
      </c>
      <c r="Q1132" t="s">
        <v>49</v>
      </c>
      <c r="R1132" t="str">
        <f>"0260002"</f>
        <v>0260002</v>
      </c>
      <c r="S1132" t="s">
        <v>1593</v>
      </c>
      <c r="T1132" t="s">
        <v>1590</v>
      </c>
      <c r="U1132" t="s">
        <v>1591</v>
      </c>
      <c r="V1132" t="s">
        <v>1592</v>
      </c>
      <c r="W1132" t="s">
        <v>51</v>
      </c>
      <c r="X1132" t="s">
        <v>45</v>
      </c>
      <c r="Y1132" s="1">
        <v>30863</v>
      </c>
      <c r="Z1132">
        <v>2</v>
      </c>
      <c r="AA1132" t="s">
        <v>1591</v>
      </c>
      <c r="AB1132" s="40" t="s">
        <v>1796</v>
      </c>
    </row>
    <row r="1133" spans="1:28" x14ac:dyDescent="0.25">
      <c r="A1133">
        <v>99911132</v>
      </c>
      <c r="B1133" t="s">
        <v>56</v>
      </c>
      <c r="C1133" t="s">
        <v>46</v>
      </c>
      <c r="D1133" t="s">
        <v>47</v>
      </c>
      <c r="G1133" t="s">
        <v>48</v>
      </c>
      <c r="H1133">
        <v>1</v>
      </c>
      <c r="K1133" t="s">
        <v>1590</v>
      </c>
      <c r="L1133" t="s">
        <v>1591</v>
      </c>
      <c r="M1133" t="s">
        <v>1592</v>
      </c>
      <c r="N1133">
        <v>15</v>
      </c>
      <c r="P1133" t="s">
        <v>41</v>
      </c>
      <c r="Q1133" t="s">
        <v>49</v>
      </c>
      <c r="R1133" t="str">
        <f>"0260002"</f>
        <v>0260002</v>
      </c>
      <c r="S1133" t="s">
        <v>1593</v>
      </c>
      <c r="T1133" t="s">
        <v>1590</v>
      </c>
      <c r="U1133" t="s">
        <v>1591</v>
      </c>
      <c r="V1133" t="s">
        <v>1592</v>
      </c>
      <c r="W1133" t="s">
        <v>51</v>
      </c>
      <c r="X1133" t="s">
        <v>45</v>
      </c>
      <c r="Y1133" s="1">
        <v>30855</v>
      </c>
      <c r="Z1133">
        <v>2</v>
      </c>
      <c r="AA1133" t="s">
        <v>1591</v>
      </c>
      <c r="AB1133" s="40" t="s">
        <v>1796</v>
      </c>
    </row>
    <row r="1134" spans="1:28" x14ac:dyDescent="0.25">
      <c r="A1134">
        <v>99911133</v>
      </c>
      <c r="B1134" t="s">
        <v>56</v>
      </c>
      <c r="C1134" t="s">
        <v>58</v>
      </c>
      <c r="D1134" t="s">
        <v>59</v>
      </c>
      <c r="G1134" t="s">
        <v>88</v>
      </c>
      <c r="H1134">
        <v>4</v>
      </c>
      <c r="K1134" t="s">
        <v>157</v>
      </c>
      <c r="L1134" t="s">
        <v>158</v>
      </c>
      <c r="M1134" t="s">
        <v>131</v>
      </c>
      <c r="N1134">
        <v>15</v>
      </c>
      <c r="P1134" t="s">
        <v>41</v>
      </c>
      <c r="Q1134" t="s">
        <v>42</v>
      </c>
      <c r="R1134" t="str">
        <f>"0561004"</f>
        <v>0561004</v>
      </c>
      <c r="S1134" t="s">
        <v>172</v>
      </c>
      <c r="T1134" t="s">
        <v>157</v>
      </c>
      <c r="U1134" t="s">
        <v>158</v>
      </c>
      <c r="V1134" t="s">
        <v>131</v>
      </c>
      <c r="W1134" t="s">
        <v>51</v>
      </c>
      <c r="X1134" t="s">
        <v>45</v>
      </c>
      <c r="Y1134" s="1">
        <v>30621</v>
      </c>
      <c r="Z1134">
        <v>2</v>
      </c>
      <c r="AA1134" t="s">
        <v>158</v>
      </c>
      <c r="AB1134" s="40" t="s">
        <v>1796</v>
      </c>
    </row>
    <row r="1135" spans="1:28" x14ac:dyDescent="0.25">
      <c r="A1135">
        <v>99911134</v>
      </c>
      <c r="B1135" t="s">
        <v>32</v>
      </c>
      <c r="C1135" t="s">
        <v>143</v>
      </c>
      <c r="D1135" t="s">
        <v>144</v>
      </c>
      <c r="G1135" t="s">
        <v>35</v>
      </c>
      <c r="H1135">
        <v>1</v>
      </c>
      <c r="K1135" t="s">
        <v>431</v>
      </c>
      <c r="L1135" t="s">
        <v>196</v>
      </c>
      <c r="M1135" t="s">
        <v>131</v>
      </c>
      <c r="N1135">
        <v>15</v>
      </c>
      <c r="P1135" t="s">
        <v>41</v>
      </c>
      <c r="Q1135" t="s">
        <v>75</v>
      </c>
      <c r="R1135" t="str">
        <f>"7521032"</f>
        <v>7521032</v>
      </c>
      <c r="S1135" t="s">
        <v>462</v>
      </c>
      <c r="T1135" t="s">
        <v>431</v>
      </c>
      <c r="U1135" t="s">
        <v>196</v>
      </c>
      <c r="V1135" t="s">
        <v>131</v>
      </c>
      <c r="W1135" t="s">
        <v>51</v>
      </c>
      <c r="X1135" t="s">
        <v>45</v>
      </c>
      <c r="Y1135" s="1">
        <v>30122</v>
      </c>
      <c r="Z1135">
        <v>1</v>
      </c>
      <c r="AA1135" t="s">
        <v>196</v>
      </c>
      <c r="AB1135" s="40" t="s">
        <v>1796</v>
      </c>
    </row>
    <row r="1136" spans="1:28" x14ac:dyDescent="0.25">
      <c r="A1136">
        <v>99911135</v>
      </c>
      <c r="B1136" t="s">
        <v>32</v>
      </c>
      <c r="C1136" t="s">
        <v>52</v>
      </c>
      <c r="D1136" t="s">
        <v>53</v>
      </c>
      <c r="G1136" t="s">
        <v>35</v>
      </c>
      <c r="H1136">
        <v>1</v>
      </c>
      <c r="K1136" t="s">
        <v>1546</v>
      </c>
      <c r="L1136" t="s">
        <v>1547</v>
      </c>
      <c r="M1136" t="s">
        <v>1548</v>
      </c>
      <c r="N1136">
        <v>15</v>
      </c>
      <c r="P1136" t="s">
        <v>41</v>
      </c>
      <c r="Q1136" t="s">
        <v>49</v>
      </c>
      <c r="R1136" t="str">
        <f>"1081010"</f>
        <v>1081010</v>
      </c>
      <c r="S1136" t="s">
        <v>1552</v>
      </c>
      <c r="T1136" t="s">
        <v>1546</v>
      </c>
      <c r="U1136" t="s">
        <v>1547</v>
      </c>
      <c r="V1136" t="s">
        <v>1548</v>
      </c>
      <c r="W1136" t="s">
        <v>51</v>
      </c>
      <c r="X1136" t="s">
        <v>45</v>
      </c>
      <c r="Y1136" s="1">
        <v>30093</v>
      </c>
      <c r="Z1136">
        <v>2</v>
      </c>
      <c r="AA1136" t="s">
        <v>1547</v>
      </c>
      <c r="AB1136" s="40" t="s">
        <v>1796</v>
      </c>
    </row>
    <row r="1137" spans="1:28" x14ac:dyDescent="0.25">
      <c r="A1137">
        <v>99911136</v>
      </c>
      <c r="B1137" t="s">
        <v>32</v>
      </c>
      <c r="C1137" t="s">
        <v>64</v>
      </c>
      <c r="D1137" t="s">
        <v>65</v>
      </c>
      <c r="G1137" t="s">
        <v>35</v>
      </c>
      <c r="H1137">
        <v>1</v>
      </c>
      <c r="I1137">
        <v>14141</v>
      </c>
      <c r="J1137" s="1">
        <v>43344</v>
      </c>
      <c r="K1137" t="s">
        <v>354</v>
      </c>
      <c r="L1137" t="s">
        <v>355</v>
      </c>
      <c r="M1137" t="s">
        <v>131</v>
      </c>
      <c r="N1137">
        <v>15</v>
      </c>
      <c r="O1137" s="1">
        <v>43344</v>
      </c>
      <c r="P1137" t="s">
        <v>41</v>
      </c>
      <c r="Q1137" t="s">
        <v>75</v>
      </c>
      <c r="R1137" t="str">
        <f>"7054000"</f>
        <v>7054000</v>
      </c>
      <c r="S1137" t="s">
        <v>786</v>
      </c>
      <c r="T1137" t="s">
        <v>354</v>
      </c>
      <c r="U1137" t="s">
        <v>355</v>
      </c>
      <c r="V1137" t="s">
        <v>131</v>
      </c>
      <c r="W1137" t="s">
        <v>51</v>
      </c>
      <c r="X1137" t="s">
        <v>45</v>
      </c>
      <c r="Y1137" s="1">
        <v>29989</v>
      </c>
      <c r="Z1137">
        <v>1</v>
      </c>
      <c r="AA1137" t="s">
        <v>355</v>
      </c>
      <c r="AB1137" s="40" t="s">
        <v>1796</v>
      </c>
    </row>
    <row r="1138" spans="1:28" x14ac:dyDescent="0.25">
      <c r="A1138">
        <v>99911137</v>
      </c>
      <c r="B1138" t="s">
        <v>32</v>
      </c>
      <c r="C1138" t="s">
        <v>295</v>
      </c>
      <c r="D1138" t="s">
        <v>296</v>
      </c>
      <c r="G1138" t="s">
        <v>35</v>
      </c>
      <c r="H1138">
        <v>1</v>
      </c>
      <c r="I1138" t="s">
        <v>379</v>
      </c>
      <c r="J1138" s="1">
        <v>42979</v>
      </c>
      <c r="K1138" t="s">
        <v>345</v>
      </c>
      <c r="L1138" t="s">
        <v>346</v>
      </c>
      <c r="M1138" t="s">
        <v>131</v>
      </c>
      <c r="N1138">
        <v>15</v>
      </c>
      <c r="O1138" s="1">
        <v>42979</v>
      </c>
      <c r="P1138" t="s">
        <v>41</v>
      </c>
      <c r="Q1138" t="s">
        <v>49</v>
      </c>
      <c r="R1138" t="str">
        <f>"0560032"</f>
        <v>0560032</v>
      </c>
      <c r="S1138" t="s">
        <v>347</v>
      </c>
      <c r="T1138" t="s">
        <v>345</v>
      </c>
      <c r="U1138" t="s">
        <v>346</v>
      </c>
      <c r="V1138" t="s">
        <v>131</v>
      </c>
      <c r="W1138" t="s">
        <v>51</v>
      </c>
      <c r="X1138" t="s">
        <v>45</v>
      </c>
      <c r="Y1138" s="1">
        <v>29952</v>
      </c>
      <c r="Z1138">
        <v>2</v>
      </c>
      <c r="AA1138" t="s">
        <v>346</v>
      </c>
      <c r="AB1138" s="40" t="s">
        <v>1796</v>
      </c>
    </row>
    <row r="1139" spans="1:28" x14ac:dyDescent="0.25">
      <c r="A1139">
        <v>99911138</v>
      </c>
      <c r="B1139" t="s">
        <v>56</v>
      </c>
      <c r="C1139" t="s">
        <v>52</v>
      </c>
      <c r="D1139" t="s">
        <v>53</v>
      </c>
      <c r="G1139" t="s">
        <v>35</v>
      </c>
      <c r="H1139">
        <v>1</v>
      </c>
      <c r="I1139">
        <v>17757</v>
      </c>
      <c r="J1139" s="1">
        <v>43344</v>
      </c>
      <c r="K1139" t="s">
        <v>1306</v>
      </c>
      <c r="L1139" t="s">
        <v>1307</v>
      </c>
      <c r="M1139" t="s">
        <v>1270</v>
      </c>
      <c r="N1139">
        <v>15</v>
      </c>
      <c r="O1139" s="1">
        <v>43344</v>
      </c>
      <c r="P1139" t="s">
        <v>41</v>
      </c>
      <c r="Q1139" t="s">
        <v>49</v>
      </c>
      <c r="R1139" t="str">
        <f>"1991913"</f>
        <v>1991913</v>
      </c>
      <c r="S1139" t="s">
        <v>1310</v>
      </c>
      <c r="T1139" t="s">
        <v>1306</v>
      </c>
      <c r="U1139" t="s">
        <v>1307</v>
      </c>
      <c r="V1139" t="s">
        <v>1270</v>
      </c>
      <c r="W1139" t="s">
        <v>44</v>
      </c>
      <c r="X1139" t="s">
        <v>45</v>
      </c>
      <c r="Y1139" s="1">
        <v>29883</v>
      </c>
      <c r="Z1139">
        <v>2</v>
      </c>
      <c r="AA1139" t="s">
        <v>1307</v>
      </c>
      <c r="AB1139" s="40" t="s">
        <v>1796</v>
      </c>
    </row>
    <row r="1140" spans="1:28" x14ac:dyDescent="0.25">
      <c r="A1140">
        <v>99911139</v>
      </c>
      <c r="B1140" t="s">
        <v>56</v>
      </c>
      <c r="C1140" t="s">
        <v>61</v>
      </c>
      <c r="D1140" t="s">
        <v>62</v>
      </c>
      <c r="G1140" t="s">
        <v>35</v>
      </c>
      <c r="H1140">
        <v>1</v>
      </c>
      <c r="I1140" t="s">
        <v>1612</v>
      </c>
      <c r="J1140" s="1">
        <v>43344</v>
      </c>
      <c r="K1140" t="s">
        <v>1590</v>
      </c>
      <c r="L1140" t="s">
        <v>1591</v>
      </c>
      <c r="M1140" t="s">
        <v>1592</v>
      </c>
      <c r="N1140">
        <v>15</v>
      </c>
      <c r="O1140" s="1">
        <v>43344</v>
      </c>
      <c r="P1140" t="s">
        <v>41</v>
      </c>
      <c r="Q1140" t="s">
        <v>42</v>
      </c>
      <c r="R1140" t="str">
        <f>"0280020"</f>
        <v>0280020</v>
      </c>
      <c r="S1140" t="s">
        <v>1597</v>
      </c>
      <c r="T1140" t="s">
        <v>1590</v>
      </c>
      <c r="U1140" t="s">
        <v>1591</v>
      </c>
      <c r="V1140" t="s">
        <v>1592</v>
      </c>
      <c r="W1140" t="s">
        <v>51</v>
      </c>
      <c r="X1140" t="s">
        <v>45</v>
      </c>
      <c r="Y1140" s="1">
        <v>29607</v>
      </c>
      <c r="Z1140">
        <v>2</v>
      </c>
      <c r="AA1140" t="s">
        <v>1591</v>
      </c>
      <c r="AB1140" s="40" t="s">
        <v>1796</v>
      </c>
    </row>
    <row r="1141" spans="1:28" x14ac:dyDescent="0.25">
      <c r="A1141">
        <v>99911140</v>
      </c>
      <c r="B1141" t="s">
        <v>32</v>
      </c>
      <c r="C1141" t="s">
        <v>71</v>
      </c>
      <c r="D1141" t="s">
        <v>72</v>
      </c>
      <c r="G1141" t="s">
        <v>35</v>
      </c>
      <c r="H1141">
        <v>1</v>
      </c>
      <c r="I1141">
        <v>19764</v>
      </c>
      <c r="J1141" s="1">
        <v>43433</v>
      </c>
      <c r="K1141" t="s">
        <v>157</v>
      </c>
      <c r="L1141" t="s">
        <v>158</v>
      </c>
      <c r="M1141" t="s">
        <v>131</v>
      </c>
      <c r="N1141">
        <v>15</v>
      </c>
      <c r="O1141" s="1">
        <v>43433</v>
      </c>
      <c r="P1141" t="s">
        <v>41</v>
      </c>
      <c r="Q1141" t="s">
        <v>49</v>
      </c>
      <c r="R1141" t="str">
        <f>"0580505"</f>
        <v>0580505</v>
      </c>
      <c r="S1141" t="s">
        <v>168</v>
      </c>
      <c r="T1141" t="s">
        <v>157</v>
      </c>
      <c r="U1141" t="s">
        <v>158</v>
      </c>
      <c r="V1141" t="s">
        <v>131</v>
      </c>
      <c r="W1141" t="s">
        <v>44</v>
      </c>
      <c r="X1141" t="s">
        <v>45</v>
      </c>
      <c r="Y1141" s="1">
        <v>29587</v>
      </c>
      <c r="Z1141">
        <v>2</v>
      </c>
      <c r="AA1141" t="s">
        <v>158</v>
      </c>
      <c r="AB1141" s="40" t="s">
        <v>1796</v>
      </c>
    </row>
    <row r="1142" spans="1:28" x14ac:dyDescent="0.25">
      <c r="A1142">
        <v>99911141</v>
      </c>
      <c r="B1142" t="s">
        <v>32</v>
      </c>
      <c r="C1142" t="s">
        <v>46</v>
      </c>
      <c r="D1142" t="s">
        <v>47</v>
      </c>
      <c r="G1142" t="s">
        <v>35</v>
      </c>
      <c r="H1142">
        <v>1</v>
      </c>
      <c r="I1142" t="s">
        <v>331</v>
      </c>
      <c r="J1142" s="1">
        <v>43344</v>
      </c>
      <c r="K1142" t="s">
        <v>300</v>
      </c>
      <c r="L1142" t="s">
        <v>301</v>
      </c>
      <c r="M1142" t="s">
        <v>131</v>
      </c>
      <c r="N1142">
        <v>15</v>
      </c>
      <c r="O1142" s="1">
        <v>43344</v>
      </c>
      <c r="P1142" t="s">
        <v>41</v>
      </c>
      <c r="Q1142" t="s">
        <v>42</v>
      </c>
      <c r="R1142" t="str">
        <f>"0580023"</f>
        <v>0580023</v>
      </c>
      <c r="S1142" t="s">
        <v>313</v>
      </c>
      <c r="T1142" t="s">
        <v>300</v>
      </c>
      <c r="U1142" t="s">
        <v>301</v>
      </c>
      <c r="V1142" t="s">
        <v>131</v>
      </c>
      <c r="W1142" t="s">
        <v>51</v>
      </c>
      <c r="X1142" t="s">
        <v>45</v>
      </c>
      <c r="Y1142" s="1">
        <v>29382</v>
      </c>
      <c r="Z1142">
        <v>2</v>
      </c>
      <c r="AA1142" t="s">
        <v>301</v>
      </c>
      <c r="AB1142" s="40" t="s">
        <v>1796</v>
      </c>
    </row>
    <row r="1143" spans="1:28" x14ac:dyDescent="0.25">
      <c r="A1143">
        <v>99911142</v>
      </c>
      <c r="B1143" t="s">
        <v>56</v>
      </c>
      <c r="C1143" t="s">
        <v>82</v>
      </c>
      <c r="D1143" t="s">
        <v>83</v>
      </c>
      <c r="G1143" t="s">
        <v>48</v>
      </c>
      <c r="H1143">
        <v>1</v>
      </c>
      <c r="K1143" t="s">
        <v>223</v>
      </c>
      <c r="L1143" t="s">
        <v>224</v>
      </c>
      <c r="M1143" t="s">
        <v>131</v>
      </c>
      <c r="N1143">
        <v>15</v>
      </c>
      <c r="P1143" t="s">
        <v>41</v>
      </c>
      <c r="Q1143" t="s">
        <v>42</v>
      </c>
      <c r="R1143" t="str">
        <f>"0580395"</f>
        <v>0580395</v>
      </c>
      <c r="S1143" t="s">
        <v>265</v>
      </c>
      <c r="T1143" t="s">
        <v>223</v>
      </c>
      <c r="U1143" t="s">
        <v>224</v>
      </c>
      <c r="V1143" t="s">
        <v>131</v>
      </c>
      <c r="W1143" t="s">
        <v>51</v>
      </c>
      <c r="X1143" t="s">
        <v>45</v>
      </c>
      <c r="Y1143" s="1">
        <v>29162</v>
      </c>
      <c r="Z1143">
        <v>2</v>
      </c>
      <c r="AA1143" t="s">
        <v>224</v>
      </c>
      <c r="AB1143" s="40" t="s">
        <v>1796</v>
      </c>
    </row>
    <row r="1144" spans="1:28" x14ac:dyDescent="0.25">
      <c r="A1144">
        <v>99911143</v>
      </c>
      <c r="B1144" t="s">
        <v>56</v>
      </c>
      <c r="C1144" t="s">
        <v>141</v>
      </c>
      <c r="D1144" t="s">
        <v>142</v>
      </c>
      <c r="G1144" t="s">
        <v>35</v>
      </c>
      <c r="H1144">
        <v>1</v>
      </c>
      <c r="I1144">
        <v>12562</v>
      </c>
      <c r="J1144" s="1">
        <v>43344</v>
      </c>
      <c r="K1144" t="s">
        <v>354</v>
      </c>
      <c r="L1144" t="s">
        <v>355</v>
      </c>
      <c r="M1144" t="s">
        <v>131</v>
      </c>
      <c r="N1144">
        <v>15</v>
      </c>
      <c r="O1144" s="1">
        <v>43344</v>
      </c>
      <c r="P1144" t="s">
        <v>41</v>
      </c>
      <c r="Q1144" t="s">
        <v>75</v>
      </c>
      <c r="R1144" t="str">
        <f>"7054038"</f>
        <v>7054038</v>
      </c>
      <c r="S1144" t="s">
        <v>377</v>
      </c>
      <c r="T1144" t="s">
        <v>354</v>
      </c>
      <c r="U1144" t="s">
        <v>355</v>
      </c>
      <c r="V1144" t="s">
        <v>131</v>
      </c>
      <c r="W1144" t="s">
        <v>51</v>
      </c>
      <c r="X1144" t="s">
        <v>45</v>
      </c>
      <c r="Y1144" s="1">
        <v>29021</v>
      </c>
      <c r="Z1144">
        <v>1</v>
      </c>
      <c r="AA1144" t="s">
        <v>355</v>
      </c>
      <c r="AB1144" s="40" t="s">
        <v>1796</v>
      </c>
    </row>
    <row r="1145" spans="1:28" x14ac:dyDescent="0.25">
      <c r="A1145">
        <v>99911144</v>
      </c>
      <c r="B1145" t="s">
        <v>32</v>
      </c>
      <c r="C1145" t="s">
        <v>64</v>
      </c>
      <c r="D1145" t="s">
        <v>65</v>
      </c>
      <c r="G1145" t="s">
        <v>35</v>
      </c>
      <c r="H1145">
        <v>1</v>
      </c>
      <c r="I1145">
        <v>18253</v>
      </c>
      <c r="J1145" s="1">
        <v>43344</v>
      </c>
      <c r="K1145" t="s">
        <v>223</v>
      </c>
      <c r="L1145" t="s">
        <v>224</v>
      </c>
      <c r="M1145" t="s">
        <v>131</v>
      </c>
      <c r="N1145">
        <v>15</v>
      </c>
      <c r="O1145" s="1">
        <v>43344</v>
      </c>
      <c r="P1145" t="s">
        <v>41</v>
      </c>
      <c r="Q1145" t="s">
        <v>42</v>
      </c>
      <c r="R1145" t="str">
        <f>"0580345"</f>
        <v>0580345</v>
      </c>
      <c r="S1145" t="s">
        <v>261</v>
      </c>
      <c r="T1145" t="s">
        <v>223</v>
      </c>
      <c r="U1145" t="s">
        <v>224</v>
      </c>
      <c r="V1145" t="s">
        <v>131</v>
      </c>
      <c r="W1145" t="s">
        <v>51</v>
      </c>
      <c r="X1145" t="s">
        <v>45</v>
      </c>
      <c r="Y1145" s="1">
        <v>28985</v>
      </c>
      <c r="Z1145">
        <v>2</v>
      </c>
      <c r="AA1145" t="s">
        <v>224</v>
      </c>
      <c r="AB1145" s="40" t="s">
        <v>1796</v>
      </c>
    </row>
    <row r="1146" spans="1:28" x14ac:dyDescent="0.25">
      <c r="A1146">
        <v>99911145</v>
      </c>
      <c r="B1146" t="s">
        <v>32</v>
      </c>
      <c r="C1146" t="s">
        <v>52</v>
      </c>
      <c r="D1146" t="s">
        <v>53</v>
      </c>
      <c r="G1146" t="s">
        <v>35</v>
      </c>
      <c r="H1146">
        <v>1</v>
      </c>
      <c r="K1146" t="s">
        <v>1590</v>
      </c>
      <c r="L1146" t="s">
        <v>1591</v>
      </c>
      <c r="M1146" t="s">
        <v>1592</v>
      </c>
      <c r="N1146">
        <v>15</v>
      </c>
      <c r="P1146" t="s">
        <v>41</v>
      </c>
      <c r="Q1146" t="s">
        <v>49</v>
      </c>
      <c r="R1146" t="str">
        <f>"0260002"</f>
        <v>0260002</v>
      </c>
      <c r="S1146" t="s">
        <v>1593</v>
      </c>
      <c r="T1146" t="s">
        <v>1590</v>
      </c>
      <c r="U1146" t="s">
        <v>1591</v>
      </c>
      <c r="V1146" t="s">
        <v>1592</v>
      </c>
      <c r="W1146" t="s">
        <v>51</v>
      </c>
      <c r="X1146" t="s">
        <v>45</v>
      </c>
      <c r="Y1146" s="1">
        <v>28856</v>
      </c>
      <c r="Z1146">
        <v>2</v>
      </c>
      <c r="AA1146" t="s">
        <v>1591</v>
      </c>
      <c r="AB1146" s="40" t="s">
        <v>1796</v>
      </c>
    </row>
    <row r="1147" spans="1:28" x14ac:dyDescent="0.25">
      <c r="A1147">
        <v>99911146</v>
      </c>
      <c r="B1147" t="s">
        <v>32</v>
      </c>
      <c r="C1147" t="s">
        <v>143</v>
      </c>
      <c r="D1147" t="s">
        <v>144</v>
      </c>
      <c r="G1147" t="s">
        <v>48</v>
      </c>
      <c r="H1147">
        <v>1</v>
      </c>
      <c r="K1147" t="s">
        <v>223</v>
      </c>
      <c r="L1147" t="s">
        <v>224</v>
      </c>
      <c r="M1147" t="s">
        <v>131</v>
      </c>
      <c r="N1147">
        <v>15</v>
      </c>
      <c r="P1147" t="s">
        <v>41</v>
      </c>
      <c r="Q1147" t="s">
        <v>49</v>
      </c>
      <c r="R1147" t="str">
        <f>"0591910"</f>
        <v>0591910</v>
      </c>
      <c r="S1147" t="s">
        <v>228</v>
      </c>
      <c r="T1147" t="s">
        <v>223</v>
      </c>
      <c r="U1147" t="s">
        <v>224</v>
      </c>
      <c r="V1147" t="s">
        <v>131</v>
      </c>
      <c r="W1147" t="s">
        <v>51</v>
      </c>
      <c r="X1147" t="s">
        <v>45</v>
      </c>
      <c r="Y1147" s="1">
        <v>28605</v>
      </c>
      <c r="Z1147">
        <v>2</v>
      </c>
      <c r="AA1147" t="s">
        <v>224</v>
      </c>
      <c r="AB1147" s="40" t="s">
        <v>1796</v>
      </c>
    </row>
    <row r="1148" spans="1:28" x14ac:dyDescent="0.25">
      <c r="A1148">
        <v>99911147</v>
      </c>
      <c r="B1148" t="s">
        <v>32</v>
      </c>
      <c r="C1148" t="s">
        <v>79</v>
      </c>
      <c r="D1148" t="s">
        <v>80</v>
      </c>
      <c r="G1148" t="s">
        <v>48</v>
      </c>
      <c r="H1148">
        <v>1</v>
      </c>
      <c r="K1148" t="s">
        <v>1581</v>
      </c>
      <c r="L1148" t="s">
        <v>1582</v>
      </c>
      <c r="M1148" t="s">
        <v>1548</v>
      </c>
      <c r="N1148">
        <v>15</v>
      </c>
      <c r="P1148" t="s">
        <v>41</v>
      </c>
      <c r="Q1148" t="s">
        <v>75</v>
      </c>
      <c r="R1148" t="str">
        <f>"7291000"</f>
        <v>7291000</v>
      </c>
      <c r="S1148" t="s">
        <v>1584</v>
      </c>
      <c r="T1148" t="s">
        <v>1581</v>
      </c>
      <c r="U1148" t="s">
        <v>1582</v>
      </c>
      <c r="V1148" t="s">
        <v>1548</v>
      </c>
      <c r="W1148" t="s">
        <v>51</v>
      </c>
      <c r="X1148" t="s">
        <v>45</v>
      </c>
      <c r="Y1148" s="1">
        <v>27963</v>
      </c>
      <c r="Z1148">
        <v>1</v>
      </c>
      <c r="AA1148" t="s">
        <v>1582</v>
      </c>
      <c r="AB1148" s="40" t="s">
        <v>1796</v>
      </c>
    </row>
    <row r="1149" spans="1:28" x14ac:dyDescent="0.25">
      <c r="A1149">
        <v>99911148</v>
      </c>
      <c r="B1149" t="s">
        <v>56</v>
      </c>
      <c r="C1149" t="s">
        <v>46</v>
      </c>
      <c r="D1149" t="s">
        <v>47</v>
      </c>
      <c r="G1149" t="s">
        <v>48</v>
      </c>
      <c r="H1149">
        <v>1</v>
      </c>
      <c r="K1149" t="s">
        <v>162</v>
      </c>
      <c r="L1149" t="s">
        <v>158</v>
      </c>
      <c r="M1149" t="s">
        <v>131</v>
      </c>
      <c r="N1149">
        <v>15</v>
      </c>
      <c r="P1149" t="s">
        <v>41</v>
      </c>
      <c r="Q1149" t="s">
        <v>42</v>
      </c>
      <c r="R1149" t="str">
        <f>"0580320"</f>
        <v>0580320</v>
      </c>
      <c r="S1149" t="s">
        <v>164</v>
      </c>
      <c r="T1149" t="s">
        <v>162</v>
      </c>
      <c r="U1149" t="s">
        <v>158</v>
      </c>
      <c r="V1149" t="s">
        <v>131</v>
      </c>
      <c r="W1149" t="s">
        <v>165</v>
      </c>
      <c r="X1149" t="s">
        <v>45</v>
      </c>
      <c r="Y1149" s="1">
        <v>27760</v>
      </c>
      <c r="Z1149">
        <v>2</v>
      </c>
      <c r="AA1149" t="s">
        <v>158</v>
      </c>
      <c r="AB1149" s="40" t="s">
        <v>1796</v>
      </c>
    </row>
    <row r="1150" spans="1:28" x14ac:dyDescent="0.25">
      <c r="A1150">
        <v>99911149</v>
      </c>
      <c r="B1150" t="s">
        <v>56</v>
      </c>
      <c r="C1150" t="s">
        <v>52</v>
      </c>
      <c r="D1150" t="s">
        <v>53</v>
      </c>
      <c r="G1150" t="s">
        <v>48</v>
      </c>
      <c r="H1150">
        <v>1</v>
      </c>
      <c r="K1150" t="s">
        <v>380</v>
      </c>
      <c r="L1150" t="s">
        <v>381</v>
      </c>
      <c r="M1150" t="s">
        <v>131</v>
      </c>
      <c r="N1150">
        <v>15</v>
      </c>
      <c r="P1150" t="s">
        <v>41</v>
      </c>
      <c r="Q1150" t="s">
        <v>49</v>
      </c>
      <c r="R1150" t="str">
        <f>"0581575"</f>
        <v>0581575</v>
      </c>
      <c r="S1150" t="s">
        <v>392</v>
      </c>
      <c r="T1150" t="s">
        <v>380</v>
      </c>
      <c r="U1150" t="s">
        <v>381</v>
      </c>
      <c r="V1150" t="s">
        <v>131</v>
      </c>
      <c r="W1150" t="s">
        <v>51</v>
      </c>
      <c r="X1150" t="s">
        <v>45</v>
      </c>
      <c r="Y1150" s="1">
        <v>27760</v>
      </c>
      <c r="Z1150">
        <v>2</v>
      </c>
      <c r="AA1150" t="s">
        <v>381</v>
      </c>
      <c r="AB1150" s="40" t="s">
        <v>1796</v>
      </c>
    </row>
    <row r="1151" spans="1:28" x14ac:dyDescent="0.25">
      <c r="A1151">
        <v>99911150</v>
      </c>
      <c r="B1151" t="s">
        <v>56</v>
      </c>
      <c r="C1151" t="s">
        <v>68</v>
      </c>
      <c r="D1151" t="s">
        <v>69</v>
      </c>
      <c r="G1151" t="s">
        <v>88</v>
      </c>
      <c r="H1151">
        <v>4</v>
      </c>
      <c r="K1151" t="s">
        <v>157</v>
      </c>
      <c r="L1151" t="s">
        <v>158</v>
      </c>
      <c r="M1151" t="s">
        <v>131</v>
      </c>
      <c r="N1151">
        <v>15</v>
      </c>
      <c r="P1151" t="s">
        <v>41</v>
      </c>
      <c r="Q1151" t="s">
        <v>49</v>
      </c>
      <c r="R1151" t="str">
        <f>"0560026"</f>
        <v>0560026</v>
      </c>
      <c r="S1151" t="s">
        <v>184</v>
      </c>
      <c r="T1151" t="s">
        <v>157</v>
      </c>
      <c r="U1151" t="s">
        <v>158</v>
      </c>
      <c r="V1151" t="s">
        <v>131</v>
      </c>
      <c r="W1151" t="s">
        <v>51</v>
      </c>
      <c r="X1151" t="s">
        <v>45</v>
      </c>
      <c r="Y1151" s="1">
        <v>27667</v>
      </c>
      <c r="Z1151">
        <v>2</v>
      </c>
      <c r="AA1151" t="s">
        <v>158</v>
      </c>
      <c r="AB1151" s="40" t="s">
        <v>1796</v>
      </c>
    </row>
    <row r="1152" spans="1:28" x14ac:dyDescent="0.25">
      <c r="A1152">
        <v>99911151</v>
      </c>
      <c r="B1152" t="s">
        <v>32</v>
      </c>
      <c r="C1152" t="s">
        <v>46</v>
      </c>
      <c r="D1152" t="s">
        <v>47</v>
      </c>
      <c r="G1152" t="s">
        <v>35</v>
      </c>
      <c r="H1152">
        <v>1</v>
      </c>
      <c r="I1152">
        <v>4616</v>
      </c>
      <c r="J1152" s="1">
        <v>43350</v>
      </c>
      <c r="K1152" t="s">
        <v>919</v>
      </c>
      <c r="L1152" t="s">
        <v>920</v>
      </c>
      <c r="M1152" t="s">
        <v>921</v>
      </c>
      <c r="N1152">
        <v>15</v>
      </c>
      <c r="O1152" s="1">
        <v>43350</v>
      </c>
      <c r="P1152" t="s">
        <v>41</v>
      </c>
      <c r="Q1152" t="s">
        <v>922</v>
      </c>
      <c r="R1152" t="str">
        <f>"5162001"</f>
        <v>5162001</v>
      </c>
      <c r="S1152" t="s">
        <v>923</v>
      </c>
      <c r="T1152" t="s">
        <v>919</v>
      </c>
      <c r="U1152" t="s">
        <v>920</v>
      </c>
      <c r="V1152" t="s">
        <v>921</v>
      </c>
      <c r="W1152" t="s">
        <v>44</v>
      </c>
      <c r="X1152" t="s">
        <v>45</v>
      </c>
      <c r="Y1152" s="1">
        <v>27316</v>
      </c>
      <c r="Z1152">
        <v>2</v>
      </c>
      <c r="AA1152" t="s">
        <v>920</v>
      </c>
      <c r="AB1152" s="40" t="s">
        <v>1796</v>
      </c>
    </row>
    <row r="1153" spans="1:28" x14ac:dyDescent="0.25">
      <c r="A1153">
        <v>99911152</v>
      </c>
      <c r="B1153" t="s">
        <v>32</v>
      </c>
      <c r="C1153" t="s">
        <v>64</v>
      </c>
      <c r="D1153" t="s">
        <v>65</v>
      </c>
      <c r="G1153" t="s">
        <v>48</v>
      </c>
      <c r="H1153">
        <v>1</v>
      </c>
      <c r="K1153" t="s">
        <v>380</v>
      </c>
      <c r="L1153" t="s">
        <v>381</v>
      </c>
      <c r="M1153" t="s">
        <v>131</v>
      </c>
      <c r="N1153">
        <v>15</v>
      </c>
      <c r="P1153" t="s">
        <v>41</v>
      </c>
      <c r="Q1153" t="s">
        <v>49</v>
      </c>
      <c r="R1153" t="str">
        <f>"0591908"</f>
        <v>0591908</v>
      </c>
      <c r="S1153" t="s">
        <v>383</v>
      </c>
      <c r="T1153" t="s">
        <v>380</v>
      </c>
      <c r="U1153" t="s">
        <v>381</v>
      </c>
      <c r="V1153" t="s">
        <v>131</v>
      </c>
      <c r="W1153" t="s">
        <v>51</v>
      </c>
      <c r="X1153" t="s">
        <v>45</v>
      </c>
      <c r="Y1153" s="1">
        <v>27279</v>
      </c>
      <c r="Z1153">
        <v>2</v>
      </c>
      <c r="AA1153" t="s">
        <v>381</v>
      </c>
      <c r="AB1153" s="40" t="s">
        <v>1796</v>
      </c>
    </row>
    <row r="1154" spans="1:28" x14ac:dyDescent="0.25">
      <c r="A1154">
        <v>99911153</v>
      </c>
      <c r="B1154" t="s">
        <v>32</v>
      </c>
      <c r="C1154" t="s">
        <v>46</v>
      </c>
      <c r="D1154" t="s">
        <v>47</v>
      </c>
      <c r="G1154" t="s">
        <v>35</v>
      </c>
      <c r="H1154">
        <v>1</v>
      </c>
      <c r="I1154" t="s">
        <v>1594</v>
      </c>
      <c r="J1154" s="1">
        <v>43344</v>
      </c>
      <c r="K1154" t="s">
        <v>1590</v>
      </c>
      <c r="L1154" t="s">
        <v>1591</v>
      </c>
      <c r="M1154" t="s">
        <v>1592</v>
      </c>
      <c r="N1154">
        <v>15</v>
      </c>
      <c r="O1154" s="1">
        <v>43344</v>
      </c>
      <c r="P1154" t="s">
        <v>41</v>
      </c>
      <c r="Q1154" t="s">
        <v>42</v>
      </c>
      <c r="R1154" t="str">
        <f>"0280020"</f>
        <v>0280020</v>
      </c>
      <c r="S1154" t="s">
        <v>1597</v>
      </c>
      <c r="T1154" t="s">
        <v>1590</v>
      </c>
      <c r="U1154" t="s">
        <v>1591</v>
      </c>
      <c r="V1154" t="s">
        <v>1592</v>
      </c>
      <c r="W1154" t="s">
        <v>51</v>
      </c>
      <c r="X1154" t="s">
        <v>45</v>
      </c>
      <c r="Y1154" s="1">
        <v>26668</v>
      </c>
      <c r="Z1154">
        <v>2</v>
      </c>
      <c r="AA1154" t="s">
        <v>1591</v>
      </c>
      <c r="AB1154" s="40" t="s">
        <v>1796</v>
      </c>
    </row>
    <row r="1155" spans="1:28" x14ac:dyDescent="0.25">
      <c r="A1155">
        <v>99911154</v>
      </c>
      <c r="B1155" t="s">
        <v>32</v>
      </c>
      <c r="C1155" t="s">
        <v>64</v>
      </c>
      <c r="D1155" t="s">
        <v>65</v>
      </c>
      <c r="G1155" t="s">
        <v>35</v>
      </c>
      <c r="H1155">
        <v>1</v>
      </c>
      <c r="K1155" t="s">
        <v>223</v>
      </c>
      <c r="L1155" t="s">
        <v>224</v>
      </c>
      <c r="M1155" t="s">
        <v>131</v>
      </c>
      <c r="N1155">
        <v>15</v>
      </c>
      <c r="P1155" t="s">
        <v>41</v>
      </c>
      <c r="Q1155" t="s">
        <v>42</v>
      </c>
      <c r="R1155" t="str">
        <f>"0590903"</f>
        <v>0590903</v>
      </c>
      <c r="S1155" t="s">
        <v>226</v>
      </c>
      <c r="T1155" t="s">
        <v>223</v>
      </c>
      <c r="U1155" t="s">
        <v>224</v>
      </c>
      <c r="V1155" t="s">
        <v>131</v>
      </c>
      <c r="W1155" t="s">
        <v>51</v>
      </c>
      <c r="X1155" t="s">
        <v>45</v>
      </c>
      <c r="Y1155" s="1">
        <v>26572</v>
      </c>
      <c r="Z1155">
        <v>2</v>
      </c>
      <c r="AA1155" t="s">
        <v>224</v>
      </c>
      <c r="AB1155" s="40" t="s">
        <v>1796</v>
      </c>
    </row>
    <row r="1156" spans="1:28" x14ac:dyDescent="0.25">
      <c r="A1156">
        <v>99911155</v>
      </c>
      <c r="B1156" t="s">
        <v>32</v>
      </c>
      <c r="C1156" t="s">
        <v>46</v>
      </c>
      <c r="D1156" t="s">
        <v>47</v>
      </c>
      <c r="G1156" t="s">
        <v>35</v>
      </c>
      <c r="H1156">
        <v>1</v>
      </c>
      <c r="J1156" s="1">
        <v>38230</v>
      </c>
      <c r="K1156" t="s">
        <v>1336</v>
      </c>
      <c r="L1156" t="s">
        <v>1337</v>
      </c>
      <c r="M1156" t="s">
        <v>1270</v>
      </c>
      <c r="N1156">
        <v>15</v>
      </c>
      <c r="O1156" s="1">
        <v>38230</v>
      </c>
      <c r="P1156" t="s">
        <v>41</v>
      </c>
      <c r="Q1156" t="s">
        <v>49</v>
      </c>
      <c r="R1156" t="str">
        <f>"4475075"</f>
        <v>4475075</v>
      </c>
      <c r="S1156" t="s">
        <v>1339</v>
      </c>
      <c r="T1156" t="s">
        <v>1336</v>
      </c>
      <c r="U1156" t="s">
        <v>1337</v>
      </c>
      <c r="V1156" t="s">
        <v>1270</v>
      </c>
      <c r="W1156" t="s">
        <v>51</v>
      </c>
      <c r="X1156" t="s">
        <v>45</v>
      </c>
      <c r="Y1156" s="1">
        <v>26546</v>
      </c>
      <c r="Z1156">
        <v>2</v>
      </c>
      <c r="AA1156" t="s">
        <v>1337</v>
      </c>
      <c r="AB1156" s="40" t="s">
        <v>1796</v>
      </c>
    </row>
    <row r="1157" spans="1:28" x14ac:dyDescent="0.25">
      <c r="A1157">
        <v>99911156</v>
      </c>
      <c r="B1157" t="s">
        <v>32</v>
      </c>
      <c r="C1157" t="s">
        <v>141</v>
      </c>
      <c r="D1157" t="s">
        <v>142</v>
      </c>
      <c r="G1157" t="s">
        <v>88</v>
      </c>
      <c r="H1157">
        <v>3</v>
      </c>
      <c r="K1157" t="s">
        <v>877</v>
      </c>
      <c r="L1157" t="s">
        <v>878</v>
      </c>
      <c r="M1157" t="s">
        <v>131</v>
      </c>
      <c r="N1157">
        <v>15</v>
      </c>
      <c r="P1157" t="s">
        <v>41</v>
      </c>
      <c r="Q1157" t="s">
        <v>75</v>
      </c>
      <c r="R1157" t="str">
        <f>"7541010"</f>
        <v>7541010</v>
      </c>
      <c r="S1157" t="s">
        <v>887</v>
      </c>
      <c r="T1157" t="s">
        <v>877</v>
      </c>
      <c r="U1157" t="s">
        <v>878</v>
      </c>
      <c r="V1157" t="s">
        <v>131</v>
      </c>
      <c r="W1157" t="s">
        <v>51</v>
      </c>
      <c r="X1157" t="s">
        <v>45</v>
      </c>
      <c r="Y1157" s="1">
        <v>26305</v>
      </c>
      <c r="Z1157">
        <v>1</v>
      </c>
      <c r="AA1157" t="s">
        <v>878</v>
      </c>
      <c r="AB1157" s="40" t="s">
        <v>1796</v>
      </c>
    </row>
    <row r="1158" spans="1:28" x14ac:dyDescent="0.25">
      <c r="A1158">
        <v>99911157</v>
      </c>
      <c r="B1158" t="s">
        <v>56</v>
      </c>
      <c r="C1158" t="s">
        <v>68</v>
      </c>
      <c r="D1158" t="s">
        <v>69</v>
      </c>
      <c r="G1158" t="s">
        <v>88</v>
      </c>
      <c r="H1158">
        <v>4</v>
      </c>
      <c r="K1158" t="s">
        <v>157</v>
      </c>
      <c r="L1158" t="s">
        <v>158</v>
      </c>
      <c r="M1158" t="s">
        <v>131</v>
      </c>
      <c r="N1158">
        <v>15</v>
      </c>
      <c r="P1158" t="s">
        <v>41</v>
      </c>
      <c r="Q1158" t="s">
        <v>49</v>
      </c>
      <c r="R1158" t="str">
        <f>"0560026"</f>
        <v>0560026</v>
      </c>
      <c r="S1158" t="s">
        <v>184</v>
      </c>
      <c r="T1158" t="s">
        <v>157</v>
      </c>
      <c r="U1158" t="s">
        <v>158</v>
      </c>
      <c r="V1158" t="s">
        <v>131</v>
      </c>
      <c r="W1158" t="s">
        <v>51</v>
      </c>
      <c r="X1158" t="s">
        <v>45</v>
      </c>
      <c r="Y1158" s="1">
        <v>26299</v>
      </c>
      <c r="Z1158">
        <v>2</v>
      </c>
      <c r="AA1158" t="s">
        <v>158</v>
      </c>
      <c r="AB1158" s="40" t="s">
        <v>1796</v>
      </c>
    </row>
    <row r="1159" spans="1:28" x14ac:dyDescent="0.25">
      <c r="A1159">
        <v>99911158</v>
      </c>
      <c r="B1159" t="s">
        <v>56</v>
      </c>
      <c r="C1159" t="s">
        <v>141</v>
      </c>
      <c r="D1159" t="s">
        <v>142</v>
      </c>
      <c r="G1159" t="s">
        <v>48</v>
      </c>
      <c r="H1159">
        <v>1</v>
      </c>
      <c r="K1159" t="s">
        <v>1187</v>
      </c>
      <c r="L1159" t="s">
        <v>1188</v>
      </c>
      <c r="M1159" t="s">
        <v>1130</v>
      </c>
      <c r="N1159">
        <v>15</v>
      </c>
      <c r="P1159" t="s">
        <v>41</v>
      </c>
      <c r="Q1159" t="s">
        <v>49</v>
      </c>
      <c r="R1159" t="str">
        <f>"4581015"</f>
        <v>4581015</v>
      </c>
      <c r="S1159" t="s">
        <v>1190</v>
      </c>
      <c r="T1159" t="s">
        <v>1187</v>
      </c>
      <c r="U1159" t="s">
        <v>1188</v>
      </c>
      <c r="V1159" t="s">
        <v>1130</v>
      </c>
      <c r="W1159" t="s">
        <v>51</v>
      </c>
      <c r="X1159" t="s">
        <v>45</v>
      </c>
      <c r="Y1159" s="1">
        <v>26219</v>
      </c>
      <c r="Z1159">
        <v>2</v>
      </c>
      <c r="AA1159" t="s">
        <v>1188</v>
      </c>
      <c r="AB1159" s="40" t="s">
        <v>1796</v>
      </c>
    </row>
    <row r="1160" spans="1:28" x14ac:dyDescent="0.25">
      <c r="A1160">
        <v>99911159</v>
      </c>
      <c r="B1160" t="s">
        <v>56</v>
      </c>
      <c r="C1160" t="s">
        <v>82</v>
      </c>
      <c r="D1160" t="s">
        <v>83</v>
      </c>
      <c r="G1160" t="s">
        <v>35</v>
      </c>
      <c r="H1160">
        <v>1</v>
      </c>
      <c r="K1160" t="s">
        <v>223</v>
      </c>
      <c r="L1160" t="s">
        <v>224</v>
      </c>
      <c r="M1160" t="s">
        <v>131</v>
      </c>
      <c r="N1160">
        <v>15</v>
      </c>
      <c r="P1160" t="s">
        <v>41</v>
      </c>
      <c r="Q1160" t="s">
        <v>42</v>
      </c>
      <c r="R1160" t="str">
        <f>"0590903"</f>
        <v>0590903</v>
      </c>
      <c r="S1160" t="s">
        <v>226</v>
      </c>
      <c r="T1160" t="s">
        <v>223</v>
      </c>
      <c r="U1160" t="s">
        <v>224</v>
      </c>
      <c r="V1160" t="s">
        <v>131</v>
      </c>
      <c r="W1160" t="s">
        <v>51</v>
      </c>
      <c r="X1160" t="s">
        <v>45</v>
      </c>
      <c r="Y1160" s="1">
        <v>26038</v>
      </c>
      <c r="Z1160">
        <v>2</v>
      </c>
      <c r="AA1160" t="s">
        <v>224</v>
      </c>
      <c r="AB1160" s="40" t="s">
        <v>1796</v>
      </c>
    </row>
    <row r="1161" spans="1:28" x14ac:dyDescent="0.25">
      <c r="A1161">
        <v>99911160</v>
      </c>
      <c r="B1161" t="s">
        <v>56</v>
      </c>
      <c r="C1161" t="s">
        <v>46</v>
      </c>
      <c r="D1161" t="s">
        <v>47</v>
      </c>
      <c r="G1161" t="s">
        <v>35</v>
      </c>
      <c r="H1161">
        <v>1</v>
      </c>
      <c r="I1161" t="s">
        <v>1594</v>
      </c>
      <c r="J1161" s="1">
        <v>43344</v>
      </c>
      <c r="K1161" t="s">
        <v>1590</v>
      </c>
      <c r="L1161" t="s">
        <v>1591</v>
      </c>
      <c r="M1161" t="s">
        <v>1592</v>
      </c>
      <c r="N1161">
        <v>15</v>
      </c>
      <c r="O1161" s="1">
        <v>43344</v>
      </c>
      <c r="P1161" t="s">
        <v>41</v>
      </c>
      <c r="Q1161" t="s">
        <v>42</v>
      </c>
      <c r="R1161" t="str">
        <f>"0280020"</f>
        <v>0280020</v>
      </c>
      <c r="S1161" t="s">
        <v>1597</v>
      </c>
      <c r="T1161" t="s">
        <v>1590</v>
      </c>
      <c r="U1161" t="s">
        <v>1591</v>
      </c>
      <c r="V1161" t="s">
        <v>1592</v>
      </c>
      <c r="W1161" t="s">
        <v>51</v>
      </c>
      <c r="X1161" t="s">
        <v>45</v>
      </c>
      <c r="Y1161" s="1">
        <v>25983</v>
      </c>
      <c r="Z1161">
        <v>2</v>
      </c>
      <c r="AA1161" t="s">
        <v>1591</v>
      </c>
      <c r="AB1161" s="40" t="s">
        <v>1796</v>
      </c>
    </row>
    <row r="1162" spans="1:28" x14ac:dyDescent="0.25">
      <c r="A1162">
        <v>99911161</v>
      </c>
      <c r="B1162" t="s">
        <v>32</v>
      </c>
      <c r="C1162" t="s">
        <v>139</v>
      </c>
      <c r="D1162" t="s">
        <v>140</v>
      </c>
      <c r="G1162" t="s">
        <v>88</v>
      </c>
      <c r="H1162">
        <v>1</v>
      </c>
      <c r="I1162" t="s">
        <v>1320</v>
      </c>
      <c r="K1162" t="s">
        <v>1306</v>
      </c>
      <c r="L1162" t="s">
        <v>1307</v>
      </c>
      <c r="M1162" t="s">
        <v>1270</v>
      </c>
      <c r="N1162">
        <v>15</v>
      </c>
      <c r="P1162" t="s">
        <v>41</v>
      </c>
      <c r="Q1162" t="s">
        <v>49</v>
      </c>
      <c r="R1162" t="str">
        <f>"1991913"</f>
        <v>1991913</v>
      </c>
      <c r="S1162" t="s">
        <v>1310</v>
      </c>
      <c r="T1162" t="s">
        <v>1306</v>
      </c>
      <c r="U1162" t="s">
        <v>1307</v>
      </c>
      <c r="V1162" t="s">
        <v>1270</v>
      </c>
      <c r="W1162" t="s">
        <v>51</v>
      </c>
      <c r="X1162" t="s">
        <v>45</v>
      </c>
      <c r="Y1162" s="1">
        <v>25884</v>
      </c>
      <c r="Z1162">
        <v>2</v>
      </c>
      <c r="AA1162" t="s">
        <v>1307</v>
      </c>
      <c r="AB1162" s="40" t="s">
        <v>1796</v>
      </c>
    </row>
    <row r="1163" spans="1:28" x14ac:dyDescent="0.25">
      <c r="A1163">
        <v>99911162</v>
      </c>
      <c r="B1163" t="s">
        <v>56</v>
      </c>
      <c r="C1163" t="s">
        <v>33</v>
      </c>
      <c r="D1163" t="s">
        <v>34</v>
      </c>
      <c r="G1163" t="s">
        <v>48</v>
      </c>
      <c r="H1163">
        <v>1</v>
      </c>
      <c r="I1163" t="s">
        <v>1311</v>
      </c>
      <c r="K1163" t="s">
        <v>1306</v>
      </c>
      <c r="L1163" t="s">
        <v>1307</v>
      </c>
      <c r="M1163" t="s">
        <v>1270</v>
      </c>
      <c r="N1163">
        <v>15</v>
      </c>
      <c r="P1163" t="s">
        <v>41</v>
      </c>
      <c r="Q1163" t="s">
        <v>42</v>
      </c>
      <c r="R1163" t="str">
        <f>"1990913"</f>
        <v>1990913</v>
      </c>
      <c r="S1163" t="s">
        <v>1312</v>
      </c>
      <c r="T1163" t="s">
        <v>1306</v>
      </c>
      <c r="U1163" t="s">
        <v>1307</v>
      </c>
      <c r="V1163" t="s">
        <v>1270</v>
      </c>
      <c r="W1163" t="s">
        <v>51</v>
      </c>
      <c r="X1163" t="s">
        <v>45</v>
      </c>
      <c r="Y1163" s="1">
        <v>25299</v>
      </c>
      <c r="Z1163">
        <v>2</v>
      </c>
      <c r="AA1163" t="s">
        <v>1307</v>
      </c>
      <c r="AB1163" s="40" t="s">
        <v>1796</v>
      </c>
    </row>
    <row r="1164" spans="1:28" x14ac:dyDescent="0.25">
      <c r="A1164">
        <v>99911163</v>
      </c>
      <c r="B1164" t="s">
        <v>56</v>
      </c>
      <c r="C1164" t="s">
        <v>145</v>
      </c>
      <c r="D1164" t="s">
        <v>146</v>
      </c>
      <c r="G1164" t="s">
        <v>35</v>
      </c>
      <c r="H1164">
        <v>1</v>
      </c>
      <c r="J1164" s="1">
        <v>38595</v>
      </c>
      <c r="K1164" t="s">
        <v>1336</v>
      </c>
      <c r="L1164" t="s">
        <v>1337</v>
      </c>
      <c r="M1164" t="s">
        <v>1270</v>
      </c>
      <c r="N1164">
        <v>15</v>
      </c>
      <c r="O1164" s="1">
        <v>38595</v>
      </c>
      <c r="P1164" t="s">
        <v>41</v>
      </c>
      <c r="Q1164" t="s">
        <v>42</v>
      </c>
      <c r="R1164" t="str">
        <f>"4475070"</f>
        <v>4475070</v>
      </c>
      <c r="S1164" t="s">
        <v>1338</v>
      </c>
      <c r="T1164" t="s">
        <v>1336</v>
      </c>
      <c r="U1164" t="s">
        <v>1337</v>
      </c>
      <c r="V1164" t="s">
        <v>1270</v>
      </c>
      <c r="W1164" t="s">
        <v>51</v>
      </c>
      <c r="X1164" t="s">
        <v>45</v>
      </c>
      <c r="Y1164" s="1">
        <v>24952</v>
      </c>
      <c r="Z1164">
        <v>2</v>
      </c>
      <c r="AA1164" t="s">
        <v>1337</v>
      </c>
      <c r="AB1164" s="40" t="s">
        <v>1796</v>
      </c>
    </row>
    <row r="1165" spans="1:28" x14ac:dyDescent="0.25">
      <c r="A1165">
        <v>99911164</v>
      </c>
      <c r="B1165" t="s">
        <v>56</v>
      </c>
      <c r="C1165" t="s">
        <v>46</v>
      </c>
      <c r="D1165" t="s">
        <v>47</v>
      </c>
      <c r="G1165" t="s">
        <v>48</v>
      </c>
      <c r="H1165">
        <v>1</v>
      </c>
      <c r="K1165" t="s">
        <v>1613</v>
      </c>
      <c r="L1165" t="s">
        <v>1614</v>
      </c>
      <c r="M1165" t="s">
        <v>1592</v>
      </c>
      <c r="N1165">
        <v>15</v>
      </c>
      <c r="P1165" t="s">
        <v>41</v>
      </c>
      <c r="Q1165" t="s">
        <v>42</v>
      </c>
      <c r="R1165" t="str">
        <f>"2880010"</f>
        <v>2880010</v>
      </c>
      <c r="S1165" t="s">
        <v>1623</v>
      </c>
      <c r="T1165" t="s">
        <v>1613</v>
      </c>
      <c r="U1165" t="s">
        <v>1614</v>
      </c>
      <c r="V1165" t="s">
        <v>1592</v>
      </c>
      <c r="W1165" t="s">
        <v>51</v>
      </c>
      <c r="X1165" t="s">
        <v>45</v>
      </c>
      <c r="Y1165" s="1">
        <v>24946</v>
      </c>
      <c r="Z1165">
        <v>2</v>
      </c>
      <c r="AA1165" t="s">
        <v>1614</v>
      </c>
      <c r="AB1165" s="40" t="s">
        <v>1796</v>
      </c>
    </row>
    <row r="1166" spans="1:28" x14ac:dyDescent="0.25">
      <c r="A1166">
        <v>99911165</v>
      </c>
      <c r="B1166" t="s">
        <v>56</v>
      </c>
      <c r="C1166" t="s">
        <v>79</v>
      </c>
      <c r="D1166" t="s">
        <v>80</v>
      </c>
      <c r="G1166" t="s">
        <v>48</v>
      </c>
      <c r="H1166">
        <v>1</v>
      </c>
      <c r="K1166" t="s">
        <v>223</v>
      </c>
      <c r="L1166" t="s">
        <v>224</v>
      </c>
      <c r="M1166" t="s">
        <v>131</v>
      </c>
      <c r="N1166">
        <v>15</v>
      </c>
      <c r="P1166" t="s">
        <v>41</v>
      </c>
      <c r="Q1166" t="s">
        <v>49</v>
      </c>
      <c r="R1166" t="str">
        <f>"0581204"</f>
        <v>0581204</v>
      </c>
      <c r="S1166" t="s">
        <v>249</v>
      </c>
      <c r="T1166" t="s">
        <v>223</v>
      </c>
      <c r="U1166" t="s">
        <v>224</v>
      </c>
      <c r="V1166" t="s">
        <v>131</v>
      </c>
      <c r="W1166" t="s">
        <v>165</v>
      </c>
      <c r="X1166" t="s">
        <v>45</v>
      </c>
      <c r="Y1166" s="1">
        <v>24905</v>
      </c>
      <c r="Z1166">
        <v>2</v>
      </c>
      <c r="AA1166" t="s">
        <v>224</v>
      </c>
      <c r="AB1166" s="40" t="s">
        <v>1796</v>
      </c>
    </row>
    <row r="1167" spans="1:28" x14ac:dyDescent="0.25">
      <c r="A1167">
        <v>99911166</v>
      </c>
      <c r="B1167" t="s">
        <v>32</v>
      </c>
      <c r="C1167" t="s">
        <v>79</v>
      </c>
      <c r="D1167" t="s">
        <v>80</v>
      </c>
      <c r="G1167" t="s">
        <v>35</v>
      </c>
      <c r="H1167">
        <v>4</v>
      </c>
      <c r="K1167" t="s">
        <v>1619</v>
      </c>
      <c r="L1167" t="s">
        <v>1620</v>
      </c>
      <c r="M1167" t="s">
        <v>1592</v>
      </c>
      <c r="N1167">
        <v>15</v>
      </c>
      <c r="P1167" t="s">
        <v>41</v>
      </c>
      <c r="Q1167" t="s">
        <v>75</v>
      </c>
      <c r="R1167" t="str">
        <f>"7281000"</f>
        <v>7281000</v>
      </c>
      <c r="S1167" t="s">
        <v>1648</v>
      </c>
      <c r="T1167" t="s">
        <v>1619</v>
      </c>
      <c r="U1167" t="s">
        <v>1620</v>
      </c>
      <c r="V1167" t="s">
        <v>1592</v>
      </c>
      <c r="W1167" t="s">
        <v>51</v>
      </c>
      <c r="X1167" t="s">
        <v>45</v>
      </c>
      <c r="Y1167" s="1">
        <v>24473</v>
      </c>
      <c r="Z1167">
        <v>1</v>
      </c>
      <c r="AA1167" t="s">
        <v>1620</v>
      </c>
      <c r="AB1167" s="40" t="s">
        <v>1796</v>
      </c>
    </row>
    <row r="1168" spans="1:28" x14ac:dyDescent="0.25">
      <c r="A1168">
        <v>99911167</v>
      </c>
      <c r="B1168" t="s">
        <v>32</v>
      </c>
      <c r="C1168" t="s">
        <v>46</v>
      </c>
      <c r="D1168" t="s">
        <v>47</v>
      </c>
      <c r="G1168" t="s">
        <v>35</v>
      </c>
      <c r="H1168">
        <v>1</v>
      </c>
      <c r="K1168" t="s">
        <v>223</v>
      </c>
      <c r="L1168" t="s">
        <v>224</v>
      </c>
      <c r="M1168" t="s">
        <v>131</v>
      </c>
      <c r="N1168">
        <v>15</v>
      </c>
      <c r="P1168" t="s">
        <v>41</v>
      </c>
      <c r="Q1168" t="s">
        <v>49</v>
      </c>
      <c r="R1168" t="str">
        <f>"0591901"</f>
        <v>0591901</v>
      </c>
      <c r="S1168" t="s">
        <v>230</v>
      </c>
      <c r="T1168" t="s">
        <v>223</v>
      </c>
      <c r="U1168" t="s">
        <v>224</v>
      </c>
      <c r="V1168" t="s">
        <v>131</v>
      </c>
      <c r="W1168" t="s">
        <v>51</v>
      </c>
      <c r="X1168" t="s">
        <v>45</v>
      </c>
      <c r="Y1168" s="1">
        <v>24433</v>
      </c>
      <c r="Z1168">
        <v>2</v>
      </c>
      <c r="AA1168" t="s">
        <v>224</v>
      </c>
      <c r="AB1168" s="40" t="s">
        <v>1796</v>
      </c>
    </row>
    <row r="1169" spans="1:28" x14ac:dyDescent="0.25">
      <c r="A1169">
        <v>99911168</v>
      </c>
      <c r="B1169" t="s">
        <v>56</v>
      </c>
      <c r="C1169" t="s">
        <v>143</v>
      </c>
      <c r="D1169" t="s">
        <v>144</v>
      </c>
      <c r="G1169" t="s">
        <v>48</v>
      </c>
      <c r="H1169">
        <v>1</v>
      </c>
      <c r="K1169" t="s">
        <v>300</v>
      </c>
      <c r="L1169" t="s">
        <v>301</v>
      </c>
      <c r="M1169" t="s">
        <v>131</v>
      </c>
      <c r="N1169">
        <v>15</v>
      </c>
      <c r="P1169" t="s">
        <v>41</v>
      </c>
      <c r="Q1169" t="s">
        <v>49</v>
      </c>
      <c r="R1169" t="str">
        <f>"0560001"</f>
        <v>0560001</v>
      </c>
      <c r="S1169" t="s">
        <v>304</v>
      </c>
      <c r="T1169" t="s">
        <v>300</v>
      </c>
      <c r="U1169" t="s">
        <v>301</v>
      </c>
      <c r="V1169" t="s">
        <v>131</v>
      </c>
      <c r="W1169" t="s">
        <v>51</v>
      </c>
      <c r="X1169" t="s">
        <v>45</v>
      </c>
      <c r="Y1169" s="1">
        <v>24410</v>
      </c>
      <c r="Z1169">
        <v>2</v>
      </c>
      <c r="AA1169" t="s">
        <v>301</v>
      </c>
      <c r="AB1169" s="40" t="s">
        <v>1796</v>
      </c>
    </row>
    <row r="1170" spans="1:28" x14ac:dyDescent="0.25">
      <c r="A1170">
        <v>99911169</v>
      </c>
      <c r="B1170" t="s">
        <v>32</v>
      </c>
      <c r="C1170" t="s">
        <v>85</v>
      </c>
      <c r="D1170" t="s">
        <v>86</v>
      </c>
      <c r="G1170" t="s">
        <v>48</v>
      </c>
      <c r="H1170">
        <v>1</v>
      </c>
      <c r="K1170" t="s">
        <v>223</v>
      </c>
      <c r="L1170" t="s">
        <v>224</v>
      </c>
      <c r="M1170" t="s">
        <v>131</v>
      </c>
      <c r="N1170">
        <v>15</v>
      </c>
      <c r="P1170" t="s">
        <v>41</v>
      </c>
      <c r="Q1170" t="s">
        <v>42</v>
      </c>
      <c r="R1170" t="str">
        <f>"0590910"</f>
        <v>0590910</v>
      </c>
      <c r="S1170" t="s">
        <v>227</v>
      </c>
      <c r="T1170" t="s">
        <v>223</v>
      </c>
      <c r="U1170" t="s">
        <v>224</v>
      </c>
      <c r="V1170" t="s">
        <v>131</v>
      </c>
      <c r="W1170" t="s">
        <v>51</v>
      </c>
      <c r="X1170" t="s">
        <v>45</v>
      </c>
      <c r="Y1170" s="1">
        <v>24289</v>
      </c>
      <c r="Z1170">
        <v>2</v>
      </c>
      <c r="AA1170" t="s">
        <v>224</v>
      </c>
      <c r="AB1170" s="40" t="s">
        <v>1796</v>
      </c>
    </row>
    <row r="1171" spans="1:28" x14ac:dyDescent="0.25">
      <c r="A1171">
        <v>99911170</v>
      </c>
      <c r="B1171" t="s">
        <v>32</v>
      </c>
      <c r="C1171" t="s">
        <v>64</v>
      </c>
      <c r="D1171" t="s">
        <v>65</v>
      </c>
      <c r="G1171" t="s">
        <v>35</v>
      </c>
      <c r="H1171">
        <v>1</v>
      </c>
      <c r="K1171" t="s">
        <v>154</v>
      </c>
      <c r="L1171" t="s">
        <v>155</v>
      </c>
      <c r="M1171" t="s">
        <v>131</v>
      </c>
      <c r="N1171">
        <v>15</v>
      </c>
      <c r="P1171" t="s">
        <v>41</v>
      </c>
      <c r="Q1171" t="s">
        <v>75</v>
      </c>
      <c r="R1171" t="str">
        <f>"7700026"</f>
        <v>7700026</v>
      </c>
      <c r="S1171" t="s">
        <v>397</v>
      </c>
      <c r="T1171" t="s">
        <v>154</v>
      </c>
      <c r="U1171" t="s">
        <v>155</v>
      </c>
      <c r="V1171" t="s">
        <v>131</v>
      </c>
      <c r="W1171" t="s">
        <v>51</v>
      </c>
      <c r="X1171" t="s">
        <v>45</v>
      </c>
      <c r="Y1171" s="1">
        <v>23821</v>
      </c>
      <c r="Z1171">
        <v>1</v>
      </c>
      <c r="AA1171" t="s">
        <v>155</v>
      </c>
      <c r="AB1171" s="40" t="s">
        <v>1796</v>
      </c>
    </row>
    <row r="1172" spans="1:28" x14ac:dyDescent="0.25">
      <c r="A1172">
        <v>99911171</v>
      </c>
      <c r="B1172" t="s">
        <v>32</v>
      </c>
      <c r="C1172" t="s">
        <v>46</v>
      </c>
      <c r="D1172" t="s">
        <v>47</v>
      </c>
      <c r="G1172" t="s">
        <v>48</v>
      </c>
      <c r="H1172">
        <v>1</v>
      </c>
      <c r="K1172" t="s">
        <v>1487</v>
      </c>
      <c r="L1172" t="s">
        <v>1488</v>
      </c>
      <c r="M1172" t="s">
        <v>670</v>
      </c>
      <c r="N1172">
        <v>15</v>
      </c>
      <c r="P1172" t="s">
        <v>41</v>
      </c>
      <c r="Q1172" t="s">
        <v>49</v>
      </c>
      <c r="R1172" t="str">
        <f>"1760001"</f>
        <v>1760001</v>
      </c>
      <c r="S1172" t="s">
        <v>1489</v>
      </c>
      <c r="T1172" t="s">
        <v>1487</v>
      </c>
      <c r="U1172" t="s">
        <v>1488</v>
      </c>
      <c r="V1172" t="s">
        <v>670</v>
      </c>
      <c r="W1172" t="s">
        <v>51</v>
      </c>
      <c r="X1172" t="s">
        <v>45</v>
      </c>
      <c r="Y1172" s="1">
        <v>23802</v>
      </c>
      <c r="Z1172">
        <v>2</v>
      </c>
      <c r="AA1172" t="s">
        <v>1488</v>
      </c>
      <c r="AB1172" s="40" t="s">
        <v>1796</v>
      </c>
    </row>
    <row r="1173" spans="1:28" x14ac:dyDescent="0.25">
      <c r="A1173">
        <v>99911172</v>
      </c>
      <c r="B1173" t="s">
        <v>32</v>
      </c>
      <c r="C1173" t="s">
        <v>46</v>
      </c>
      <c r="D1173" t="s">
        <v>47</v>
      </c>
      <c r="G1173" t="s">
        <v>35</v>
      </c>
      <c r="H1173">
        <v>1</v>
      </c>
      <c r="K1173" t="s">
        <v>223</v>
      </c>
      <c r="L1173" t="s">
        <v>224</v>
      </c>
      <c r="M1173" t="s">
        <v>131</v>
      </c>
      <c r="N1173">
        <v>15</v>
      </c>
      <c r="P1173" t="s">
        <v>41</v>
      </c>
      <c r="Q1173" t="s">
        <v>49</v>
      </c>
      <c r="R1173" t="str">
        <f>"0581207"</f>
        <v>0581207</v>
      </c>
      <c r="S1173" t="s">
        <v>233</v>
      </c>
      <c r="T1173" t="s">
        <v>223</v>
      </c>
      <c r="U1173" t="s">
        <v>224</v>
      </c>
      <c r="V1173" t="s">
        <v>131</v>
      </c>
      <c r="W1173" t="s">
        <v>165</v>
      </c>
      <c r="X1173" t="s">
        <v>45</v>
      </c>
      <c r="Y1173" s="1">
        <v>23743</v>
      </c>
      <c r="Z1173">
        <v>2</v>
      </c>
      <c r="AA1173" t="s">
        <v>224</v>
      </c>
      <c r="AB1173" s="40" t="s">
        <v>1796</v>
      </c>
    </row>
    <row r="1174" spans="1:28" x14ac:dyDescent="0.25">
      <c r="A1174">
        <v>99911173</v>
      </c>
      <c r="B1174" t="s">
        <v>56</v>
      </c>
      <c r="C1174" t="s">
        <v>1282</v>
      </c>
      <c r="D1174" t="s">
        <v>1283</v>
      </c>
      <c r="G1174" t="s">
        <v>35</v>
      </c>
      <c r="H1174">
        <v>1</v>
      </c>
      <c r="K1174" t="s">
        <v>1268</v>
      </c>
      <c r="L1174" t="s">
        <v>1269</v>
      </c>
      <c r="M1174" t="s">
        <v>1270</v>
      </c>
      <c r="N1174">
        <v>15</v>
      </c>
      <c r="P1174" t="s">
        <v>41</v>
      </c>
      <c r="Q1174" t="s">
        <v>922</v>
      </c>
      <c r="R1174" t="str">
        <f>"1950001"</f>
        <v>1950001</v>
      </c>
      <c r="S1174" t="s">
        <v>1284</v>
      </c>
      <c r="T1174" t="s">
        <v>1268</v>
      </c>
      <c r="U1174" t="s">
        <v>1269</v>
      </c>
      <c r="V1174" t="s">
        <v>1270</v>
      </c>
      <c r="W1174" t="s">
        <v>51</v>
      </c>
      <c r="X1174" t="s">
        <v>45</v>
      </c>
      <c r="Y1174" s="1">
        <v>23724</v>
      </c>
      <c r="Z1174">
        <v>2</v>
      </c>
      <c r="AA1174" t="s">
        <v>1269</v>
      </c>
      <c r="AB1174" s="40" t="s">
        <v>1796</v>
      </c>
    </row>
    <row r="1175" spans="1:28" x14ac:dyDescent="0.25">
      <c r="A1175">
        <v>99911174</v>
      </c>
      <c r="B1175" t="s">
        <v>32</v>
      </c>
      <c r="C1175" t="s">
        <v>64</v>
      </c>
      <c r="D1175" t="s">
        <v>65</v>
      </c>
      <c r="G1175" t="s">
        <v>48</v>
      </c>
      <c r="H1175">
        <v>1</v>
      </c>
      <c r="K1175" t="s">
        <v>300</v>
      </c>
      <c r="L1175" t="s">
        <v>301</v>
      </c>
      <c r="M1175" t="s">
        <v>131</v>
      </c>
      <c r="N1175">
        <v>15</v>
      </c>
      <c r="P1175" t="s">
        <v>41</v>
      </c>
      <c r="Q1175" t="s">
        <v>49</v>
      </c>
      <c r="R1175" t="str">
        <f>"0560020"</f>
        <v>0560020</v>
      </c>
      <c r="S1175" t="s">
        <v>302</v>
      </c>
      <c r="T1175" t="s">
        <v>300</v>
      </c>
      <c r="U1175" t="s">
        <v>301</v>
      </c>
      <c r="V1175" t="s">
        <v>131</v>
      </c>
      <c r="W1175" t="s">
        <v>51</v>
      </c>
      <c r="X1175" t="s">
        <v>45</v>
      </c>
      <c r="Y1175" s="1">
        <v>23648</v>
      </c>
      <c r="Z1175">
        <v>2</v>
      </c>
      <c r="AA1175" t="s">
        <v>301</v>
      </c>
      <c r="AB1175" s="40" t="s">
        <v>1796</v>
      </c>
    </row>
    <row r="1176" spans="1:28" x14ac:dyDescent="0.25">
      <c r="A1176">
        <v>99911175</v>
      </c>
      <c r="B1176" t="s">
        <v>56</v>
      </c>
      <c r="C1176" t="s">
        <v>85</v>
      </c>
      <c r="D1176" t="s">
        <v>86</v>
      </c>
      <c r="G1176" t="s">
        <v>35</v>
      </c>
      <c r="H1176">
        <v>1</v>
      </c>
      <c r="K1176" t="s">
        <v>223</v>
      </c>
      <c r="L1176" t="s">
        <v>224</v>
      </c>
      <c r="M1176" t="s">
        <v>131</v>
      </c>
      <c r="N1176">
        <v>15</v>
      </c>
      <c r="P1176" t="s">
        <v>41</v>
      </c>
      <c r="Q1176" t="s">
        <v>42</v>
      </c>
      <c r="R1176" t="str">
        <f>"0590903"</f>
        <v>0590903</v>
      </c>
      <c r="S1176" t="s">
        <v>226</v>
      </c>
      <c r="T1176" t="s">
        <v>223</v>
      </c>
      <c r="U1176" t="s">
        <v>224</v>
      </c>
      <c r="V1176" t="s">
        <v>131</v>
      </c>
      <c r="W1176" t="s">
        <v>51</v>
      </c>
      <c r="X1176" t="s">
        <v>45</v>
      </c>
      <c r="Y1176" s="1">
        <v>23317</v>
      </c>
      <c r="Z1176">
        <v>2</v>
      </c>
      <c r="AA1176" t="s">
        <v>224</v>
      </c>
      <c r="AB1176" s="40" t="s">
        <v>1796</v>
      </c>
    </row>
    <row r="1177" spans="1:28" x14ac:dyDescent="0.25">
      <c r="A1177">
        <v>99911176</v>
      </c>
      <c r="B1177" t="s">
        <v>32</v>
      </c>
      <c r="C1177" t="s">
        <v>52</v>
      </c>
      <c r="D1177" t="s">
        <v>53</v>
      </c>
      <c r="G1177" t="s">
        <v>48</v>
      </c>
      <c r="H1177">
        <v>1</v>
      </c>
      <c r="K1177" t="s">
        <v>162</v>
      </c>
      <c r="L1177" t="s">
        <v>158</v>
      </c>
      <c r="M1177" t="s">
        <v>131</v>
      </c>
      <c r="N1177">
        <v>15</v>
      </c>
      <c r="P1177" t="s">
        <v>41</v>
      </c>
      <c r="Q1177" t="s">
        <v>49</v>
      </c>
      <c r="R1177" t="str">
        <f>"0581350"</f>
        <v>0581350</v>
      </c>
      <c r="S1177" t="s">
        <v>187</v>
      </c>
      <c r="T1177" t="s">
        <v>162</v>
      </c>
      <c r="U1177" t="s">
        <v>158</v>
      </c>
      <c r="V1177" t="s">
        <v>131</v>
      </c>
      <c r="W1177" t="s">
        <v>51</v>
      </c>
      <c r="X1177" t="s">
        <v>45</v>
      </c>
      <c r="Y1177" s="1">
        <v>23273</v>
      </c>
      <c r="Z1177">
        <v>2</v>
      </c>
      <c r="AA1177" t="s">
        <v>158</v>
      </c>
      <c r="AB1177" s="40" t="s">
        <v>1796</v>
      </c>
    </row>
    <row r="1178" spans="1:28" x14ac:dyDescent="0.25">
      <c r="A1178">
        <v>99911177</v>
      </c>
      <c r="B1178" t="s">
        <v>56</v>
      </c>
      <c r="C1178" t="s">
        <v>85</v>
      </c>
      <c r="D1178" t="s">
        <v>86</v>
      </c>
      <c r="G1178" t="s">
        <v>35</v>
      </c>
      <c r="H1178">
        <v>1</v>
      </c>
      <c r="K1178" t="s">
        <v>223</v>
      </c>
      <c r="L1178" t="s">
        <v>224</v>
      </c>
      <c r="M1178" t="s">
        <v>131</v>
      </c>
      <c r="N1178">
        <v>15</v>
      </c>
      <c r="P1178" t="s">
        <v>41</v>
      </c>
      <c r="Q1178" t="s">
        <v>49</v>
      </c>
      <c r="R1178" t="str">
        <f>"0540902"</f>
        <v>0540902</v>
      </c>
      <c r="S1178" t="s">
        <v>256</v>
      </c>
      <c r="T1178" t="s">
        <v>223</v>
      </c>
      <c r="U1178" t="s">
        <v>224</v>
      </c>
      <c r="V1178" t="s">
        <v>131</v>
      </c>
      <c r="W1178" t="s">
        <v>51</v>
      </c>
      <c r="X1178" t="s">
        <v>45</v>
      </c>
      <c r="Y1178" s="1">
        <v>22966</v>
      </c>
      <c r="Z1178">
        <v>2</v>
      </c>
      <c r="AA1178" t="s">
        <v>224</v>
      </c>
      <c r="AB1178" s="40" t="s">
        <v>1796</v>
      </c>
    </row>
    <row r="1179" spans="1:28" x14ac:dyDescent="0.25">
      <c r="A1179">
        <v>99911178</v>
      </c>
      <c r="B1179" t="s">
        <v>56</v>
      </c>
      <c r="C1179" t="s">
        <v>68</v>
      </c>
      <c r="D1179" t="s">
        <v>69</v>
      </c>
      <c r="G1179" t="s">
        <v>35</v>
      </c>
      <c r="H1179">
        <v>1</v>
      </c>
      <c r="I1179" t="s">
        <v>968</v>
      </c>
      <c r="J1179" s="1">
        <v>43344</v>
      </c>
      <c r="K1179" t="s">
        <v>947</v>
      </c>
      <c r="L1179" t="s">
        <v>948</v>
      </c>
      <c r="M1179" t="s">
        <v>938</v>
      </c>
      <c r="N1179">
        <v>15</v>
      </c>
      <c r="O1179" s="1">
        <v>43344</v>
      </c>
      <c r="P1179" t="s">
        <v>41</v>
      </c>
      <c r="Q1179" t="s">
        <v>42</v>
      </c>
      <c r="R1179" t="str">
        <f>"0680039"</f>
        <v>0680039</v>
      </c>
      <c r="S1179" t="s">
        <v>949</v>
      </c>
      <c r="T1179" t="s">
        <v>947</v>
      </c>
      <c r="U1179" t="s">
        <v>948</v>
      </c>
      <c r="V1179" t="s">
        <v>938</v>
      </c>
      <c r="W1179" t="s">
        <v>51</v>
      </c>
      <c r="X1179" t="s">
        <v>45</v>
      </c>
      <c r="Y1179" s="1">
        <v>22774</v>
      </c>
      <c r="Z1179">
        <v>2</v>
      </c>
      <c r="AA1179" t="s">
        <v>948</v>
      </c>
      <c r="AB1179" s="40" t="s">
        <v>1796</v>
      </c>
    </row>
    <row r="1180" spans="1:28" x14ac:dyDescent="0.25">
      <c r="A1180">
        <v>99911179</v>
      </c>
      <c r="B1180" t="s">
        <v>32</v>
      </c>
      <c r="C1180" t="s">
        <v>139</v>
      </c>
      <c r="D1180" t="s">
        <v>140</v>
      </c>
      <c r="G1180" t="s">
        <v>48</v>
      </c>
      <c r="H1180">
        <v>1</v>
      </c>
      <c r="K1180" t="s">
        <v>1051</v>
      </c>
      <c r="L1180" t="s">
        <v>1052</v>
      </c>
      <c r="M1180" t="s">
        <v>1053</v>
      </c>
      <c r="N1180">
        <v>15</v>
      </c>
      <c r="P1180" t="s">
        <v>41</v>
      </c>
      <c r="Q1180" t="s">
        <v>49</v>
      </c>
      <c r="R1180" t="str">
        <f>"2080025"</f>
        <v>2080025</v>
      </c>
      <c r="S1180" t="s">
        <v>1057</v>
      </c>
      <c r="T1180" t="s">
        <v>1051</v>
      </c>
      <c r="U1180" t="s">
        <v>1052</v>
      </c>
      <c r="V1180" t="s">
        <v>1053</v>
      </c>
      <c r="W1180" t="s">
        <v>51</v>
      </c>
      <c r="X1180" t="s">
        <v>45</v>
      </c>
      <c r="Y1180" s="1">
        <v>22584</v>
      </c>
      <c r="Z1180">
        <v>2</v>
      </c>
      <c r="AA1180" t="s">
        <v>1052</v>
      </c>
      <c r="AB1180" s="40" t="s">
        <v>1796</v>
      </c>
    </row>
    <row r="1181" spans="1:28" x14ac:dyDescent="0.25">
      <c r="A1181">
        <v>99911180</v>
      </c>
      <c r="B1181" t="s">
        <v>56</v>
      </c>
      <c r="C1181" t="s">
        <v>52</v>
      </c>
      <c r="D1181" t="s">
        <v>53</v>
      </c>
      <c r="G1181" t="s">
        <v>35</v>
      </c>
      <c r="H1181">
        <v>1</v>
      </c>
      <c r="J1181" s="1">
        <v>38230</v>
      </c>
      <c r="K1181" t="s">
        <v>1336</v>
      </c>
      <c r="L1181" t="s">
        <v>1337</v>
      </c>
      <c r="M1181" t="s">
        <v>1270</v>
      </c>
      <c r="N1181">
        <v>15</v>
      </c>
      <c r="O1181" s="1">
        <v>38230</v>
      </c>
      <c r="P1181" t="s">
        <v>41</v>
      </c>
      <c r="Q1181" t="s">
        <v>42</v>
      </c>
      <c r="R1181" t="str">
        <f>"4475070"</f>
        <v>4475070</v>
      </c>
      <c r="S1181" t="s">
        <v>1338</v>
      </c>
      <c r="T1181" t="s">
        <v>1336</v>
      </c>
      <c r="U1181" t="s">
        <v>1337</v>
      </c>
      <c r="V1181" t="s">
        <v>1270</v>
      </c>
      <c r="W1181" t="s">
        <v>51</v>
      </c>
      <c r="X1181" t="s">
        <v>45</v>
      </c>
      <c r="Y1181" s="1">
        <v>22448</v>
      </c>
      <c r="Z1181">
        <v>2</v>
      </c>
      <c r="AA1181" t="s">
        <v>1337</v>
      </c>
      <c r="AB1181" s="40" t="s">
        <v>1796</v>
      </c>
    </row>
    <row r="1182" spans="1:28" x14ac:dyDescent="0.25">
      <c r="A1182">
        <v>99911181</v>
      </c>
      <c r="B1182" t="s">
        <v>56</v>
      </c>
      <c r="C1182" t="s">
        <v>141</v>
      </c>
      <c r="D1182" t="s">
        <v>142</v>
      </c>
      <c r="G1182" t="s">
        <v>35</v>
      </c>
      <c r="H1182">
        <v>1</v>
      </c>
      <c r="I1182" t="s">
        <v>286</v>
      </c>
      <c r="J1182" s="1">
        <v>43344</v>
      </c>
      <c r="K1182" t="s">
        <v>268</v>
      </c>
      <c r="L1182" t="s">
        <v>269</v>
      </c>
      <c r="M1182" t="s">
        <v>131</v>
      </c>
      <c r="N1182">
        <v>15</v>
      </c>
      <c r="P1182" t="s">
        <v>41</v>
      </c>
      <c r="Q1182" t="s">
        <v>75</v>
      </c>
      <c r="R1182" t="str">
        <f>"7052018"</f>
        <v>7052018</v>
      </c>
      <c r="S1182" t="s">
        <v>577</v>
      </c>
      <c r="T1182" t="s">
        <v>268</v>
      </c>
      <c r="U1182" t="s">
        <v>269</v>
      </c>
      <c r="V1182" t="s">
        <v>131</v>
      </c>
      <c r="W1182" t="s">
        <v>51</v>
      </c>
      <c r="X1182" t="s">
        <v>45</v>
      </c>
      <c r="Y1182" s="1">
        <v>22296</v>
      </c>
      <c r="Z1182">
        <v>1</v>
      </c>
      <c r="AA1182" t="s">
        <v>269</v>
      </c>
      <c r="AB1182" s="40" t="s">
        <v>1796</v>
      </c>
    </row>
    <row r="1183" spans="1:28" x14ac:dyDescent="0.25">
      <c r="A1183">
        <v>99911182</v>
      </c>
      <c r="B1183" t="s">
        <v>32</v>
      </c>
      <c r="C1183" t="s">
        <v>52</v>
      </c>
      <c r="D1183" t="s">
        <v>53</v>
      </c>
      <c r="G1183" t="s">
        <v>35</v>
      </c>
      <c r="H1183">
        <v>1</v>
      </c>
      <c r="J1183" s="1">
        <v>38230</v>
      </c>
      <c r="K1183" t="s">
        <v>1336</v>
      </c>
      <c r="L1183" t="s">
        <v>1337</v>
      </c>
      <c r="M1183" t="s">
        <v>1270</v>
      </c>
      <c r="N1183">
        <v>15</v>
      </c>
      <c r="O1183" s="1">
        <v>38230</v>
      </c>
      <c r="P1183" t="s">
        <v>41</v>
      </c>
      <c r="Q1183" t="s">
        <v>42</v>
      </c>
      <c r="R1183" t="str">
        <f>"4475070"</f>
        <v>4475070</v>
      </c>
      <c r="S1183" t="s">
        <v>1338</v>
      </c>
      <c r="T1183" t="s">
        <v>1336</v>
      </c>
      <c r="U1183" t="s">
        <v>1337</v>
      </c>
      <c r="V1183" t="s">
        <v>1270</v>
      </c>
      <c r="W1183" t="s">
        <v>51</v>
      </c>
      <c r="X1183" t="s">
        <v>45</v>
      </c>
      <c r="Y1183" s="1">
        <v>22239</v>
      </c>
      <c r="Z1183">
        <v>2</v>
      </c>
      <c r="AA1183" t="s">
        <v>1337</v>
      </c>
      <c r="AB1183" s="40" t="s">
        <v>1796</v>
      </c>
    </row>
    <row r="1184" spans="1:28" x14ac:dyDescent="0.25">
      <c r="A1184">
        <v>99911183</v>
      </c>
      <c r="B1184" t="s">
        <v>56</v>
      </c>
      <c r="C1184" t="s">
        <v>68</v>
      </c>
      <c r="D1184" t="s">
        <v>69</v>
      </c>
      <c r="G1184" t="s">
        <v>48</v>
      </c>
      <c r="H1184">
        <v>1</v>
      </c>
      <c r="K1184" t="s">
        <v>1613</v>
      </c>
      <c r="L1184" t="s">
        <v>1614</v>
      </c>
      <c r="M1184" t="s">
        <v>1592</v>
      </c>
      <c r="N1184">
        <v>15</v>
      </c>
      <c r="P1184" t="s">
        <v>41</v>
      </c>
      <c r="Q1184" t="s">
        <v>49</v>
      </c>
      <c r="R1184" t="str">
        <f>"2881010"</f>
        <v>2881010</v>
      </c>
      <c r="S1184" t="s">
        <v>1622</v>
      </c>
      <c r="T1184" t="s">
        <v>1613</v>
      </c>
      <c r="U1184" t="s">
        <v>1614</v>
      </c>
      <c r="V1184" t="s">
        <v>1592</v>
      </c>
      <c r="W1184" t="s">
        <v>51</v>
      </c>
      <c r="X1184" t="s">
        <v>45</v>
      </c>
      <c r="Y1184" s="1">
        <v>22052</v>
      </c>
      <c r="Z1184">
        <v>2</v>
      </c>
      <c r="AA1184" t="s">
        <v>1614</v>
      </c>
      <c r="AB1184" s="40" t="s">
        <v>1796</v>
      </c>
    </row>
    <row r="1185" spans="1:28" x14ac:dyDescent="0.25">
      <c r="A1185">
        <v>99911184</v>
      </c>
      <c r="B1185" t="s">
        <v>56</v>
      </c>
      <c r="C1185" t="s">
        <v>141</v>
      </c>
      <c r="D1185" t="s">
        <v>142</v>
      </c>
      <c r="G1185" t="s">
        <v>35</v>
      </c>
      <c r="H1185">
        <v>1</v>
      </c>
      <c r="K1185" t="s">
        <v>877</v>
      </c>
      <c r="L1185" t="s">
        <v>878</v>
      </c>
      <c r="M1185" t="s">
        <v>131</v>
      </c>
      <c r="N1185">
        <v>15</v>
      </c>
      <c r="P1185" t="s">
        <v>41</v>
      </c>
      <c r="Q1185" t="s">
        <v>75</v>
      </c>
      <c r="R1185" t="str">
        <f>"7700025"</f>
        <v>7700025</v>
      </c>
      <c r="S1185" t="s">
        <v>880</v>
      </c>
      <c r="T1185" t="s">
        <v>877</v>
      </c>
      <c r="U1185" t="s">
        <v>878</v>
      </c>
      <c r="V1185" t="s">
        <v>131</v>
      </c>
      <c r="W1185" t="s">
        <v>51</v>
      </c>
      <c r="X1185" t="s">
        <v>45</v>
      </c>
      <c r="Y1185" s="1">
        <v>21968</v>
      </c>
      <c r="Z1185">
        <v>1</v>
      </c>
      <c r="AA1185" t="s">
        <v>878</v>
      </c>
      <c r="AB1185" s="40" t="s">
        <v>1796</v>
      </c>
    </row>
    <row r="1186" spans="1:28" x14ac:dyDescent="0.25">
      <c r="A1186">
        <v>99911185</v>
      </c>
      <c r="B1186" t="s">
        <v>32</v>
      </c>
      <c r="C1186" t="s">
        <v>46</v>
      </c>
      <c r="D1186" t="s">
        <v>47</v>
      </c>
      <c r="G1186" t="s">
        <v>35</v>
      </c>
      <c r="H1186">
        <v>1</v>
      </c>
      <c r="K1186" t="s">
        <v>223</v>
      </c>
      <c r="L1186" t="s">
        <v>224</v>
      </c>
      <c r="M1186" t="s">
        <v>131</v>
      </c>
      <c r="N1186">
        <v>15</v>
      </c>
      <c r="P1186" t="s">
        <v>41</v>
      </c>
      <c r="Q1186" t="s">
        <v>42</v>
      </c>
      <c r="R1186" t="str">
        <f>"0590902"</f>
        <v>0590902</v>
      </c>
      <c r="S1186" t="s">
        <v>241</v>
      </c>
      <c r="T1186" t="s">
        <v>223</v>
      </c>
      <c r="U1186" t="s">
        <v>224</v>
      </c>
      <c r="V1186" t="s">
        <v>131</v>
      </c>
      <c r="W1186" t="s">
        <v>51</v>
      </c>
      <c r="X1186" t="s">
        <v>45</v>
      </c>
      <c r="Y1186" s="1">
        <v>21952</v>
      </c>
      <c r="Z1186">
        <v>2</v>
      </c>
      <c r="AA1186" t="s">
        <v>224</v>
      </c>
      <c r="AB1186" s="40" t="s">
        <v>1796</v>
      </c>
    </row>
    <row r="1187" spans="1:28" x14ac:dyDescent="0.25">
      <c r="A1187">
        <v>99911186</v>
      </c>
      <c r="B1187" t="s">
        <v>56</v>
      </c>
      <c r="C1187" t="s">
        <v>33</v>
      </c>
      <c r="D1187" t="s">
        <v>34</v>
      </c>
      <c r="G1187" t="s">
        <v>48</v>
      </c>
      <c r="H1187">
        <v>1</v>
      </c>
      <c r="K1187" t="s">
        <v>223</v>
      </c>
      <c r="L1187" t="s">
        <v>224</v>
      </c>
      <c r="M1187" t="s">
        <v>131</v>
      </c>
      <c r="N1187">
        <v>15</v>
      </c>
      <c r="P1187" t="s">
        <v>41</v>
      </c>
      <c r="Q1187" t="s">
        <v>49</v>
      </c>
      <c r="R1187" t="str">
        <f>"0581204"</f>
        <v>0581204</v>
      </c>
      <c r="S1187" t="s">
        <v>249</v>
      </c>
      <c r="T1187" t="s">
        <v>223</v>
      </c>
      <c r="U1187" t="s">
        <v>224</v>
      </c>
      <c r="V1187" t="s">
        <v>131</v>
      </c>
      <c r="W1187" t="s">
        <v>165</v>
      </c>
      <c r="X1187" t="s">
        <v>45</v>
      </c>
      <c r="Y1187" s="1">
        <v>21596</v>
      </c>
      <c r="Z1187">
        <v>2</v>
      </c>
      <c r="AA1187" t="s">
        <v>224</v>
      </c>
      <c r="AB1187" s="40" t="s">
        <v>1796</v>
      </c>
    </row>
    <row r="1188" spans="1:28" x14ac:dyDescent="0.25">
      <c r="A1188">
        <v>99911187</v>
      </c>
      <c r="B1188" t="s">
        <v>32</v>
      </c>
      <c r="C1188" t="s">
        <v>141</v>
      </c>
      <c r="D1188" t="s">
        <v>142</v>
      </c>
      <c r="G1188" t="s">
        <v>48</v>
      </c>
      <c r="H1188">
        <v>1</v>
      </c>
      <c r="K1188" t="s">
        <v>157</v>
      </c>
      <c r="L1188" t="s">
        <v>158</v>
      </c>
      <c r="M1188" t="s">
        <v>131</v>
      </c>
      <c r="N1188">
        <v>15</v>
      </c>
      <c r="P1188" t="s">
        <v>41</v>
      </c>
      <c r="Q1188" t="s">
        <v>49</v>
      </c>
      <c r="R1188" t="str">
        <f>"0560006"</f>
        <v>0560006</v>
      </c>
      <c r="S1188" t="s">
        <v>191</v>
      </c>
      <c r="T1188" t="s">
        <v>157</v>
      </c>
      <c r="U1188" t="s">
        <v>158</v>
      </c>
      <c r="V1188" t="s">
        <v>131</v>
      </c>
      <c r="W1188" t="s">
        <v>51</v>
      </c>
      <c r="X1188" t="s">
        <v>45</v>
      </c>
      <c r="Y1188" s="1">
        <v>21314</v>
      </c>
      <c r="Z1188">
        <v>2</v>
      </c>
      <c r="AA1188" t="s">
        <v>158</v>
      </c>
      <c r="AB1188" s="40" t="s">
        <v>1796</v>
      </c>
    </row>
    <row r="1189" spans="1:28" x14ac:dyDescent="0.25">
      <c r="A1189">
        <v>99911188</v>
      </c>
      <c r="B1189" t="s">
        <v>32</v>
      </c>
      <c r="C1189" t="s">
        <v>141</v>
      </c>
      <c r="D1189" t="s">
        <v>142</v>
      </c>
      <c r="G1189" t="s">
        <v>35</v>
      </c>
      <c r="H1189">
        <v>1</v>
      </c>
      <c r="K1189" t="s">
        <v>268</v>
      </c>
      <c r="L1189" t="s">
        <v>269</v>
      </c>
      <c r="M1189" t="s">
        <v>131</v>
      </c>
      <c r="N1189">
        <v>15</v>
      </c>
      <c r="P1189" t="s">
        <v>41</v>
      </c>
      <c r="Q1189" t="s">
        <v>75</v>
      </c>
      <c r="R1189" t="str">
        <f>"7052008"</f>
        <v>7052008</v>
      </c>
      <c r="S1189" t="s">
        <v>274</v>
      </c>
      <c r="T1189" t="s">
        <v>268</v>
      </c>
      <c r="U1189" t="s">
        <v>269</v>
      </c>
      <c r="V1189" t="s">
        <v>131</v>
      </c>
      <c r="W1189" t="s">
        <v>51</v>
      </c>
      <c r="X1189" t="s">
        <v>45</v>
      </c>
      <c r="Y1189" s="1">
        <v>21108</v>
      </c>
      <c r="Z1189">
        <v>1</v>
      </c>
      <c r="AA1189" t="s">
        <v>269</v>
      </c>
      <c r="AB1189" s="40" t="s">
        <v>1796</v>
      </c>
    </row>
    <row r="1190" spans="1:28" x14ac:dyDescent="0.25">
      <c r="A1190">
        <v>99911189</v>
      </c>
      <c r="B1190" t="s">
        <v>56</v>
      </c>
      <c r="C1190" t="s">
        <v>52</v>
      </c>
      <c r="D1190" t="s">
        <v>53</v>
      </c>
      <c r="G1190" t="s">
        <v>35</v>
      </c>
      <c r="H1190">
        <v>1</v>
      </c>
      <c r="K1190" t="s">
        <v>300</v>
      </c>
      <c r="L1190" t="s">
        <v>301</v>
      </c>
      <c r="M1190" t="s">
        <v>131</v>
      </c>
      <c r="N1190">
        <v>15</v>
      </c>
      <c r="P1190" t="s">
        <v>41</v>
      </c>
      <c r="Q1190" t="s">
        <v>49</v>
      </c>
      <c r="R1190" t="str">
        <f>"0560022"</f>
        <v>0560022</v>
      </c>
      <c r="S1190" t="s">
        <v>314</v>
      </c>
      <c r="T1190" t="s">
        <v>300</v>
      </c>
      <c r="U1190" t="s">
        <v>301</v>
      </c>
      <c r="V1190" t="s">
        <v>131</v>
      </c>
      <c r="W1190" t="s">
        <v>51</v>
      </c>
      <c r="X1190" t="s">
        <v>45</v>
      </c>
      <c r="Y1190" s="1">
        <v>20739</v>
      </c>
      <c r="Z1190">
        <v>2</v>
      </c>
      <c r="AA1190" t="s">
        <v>301</v>
      </c>
      <c r="AB1190" s="40" t="s">
        <v>1796</v>
      </c>
    </row>
    <row r="1191" spans="1:28" x14ac:dyDescent="0.25">
      <c r="A1191">
        <v>99911190</v>
      </c>
      <c r="B1191" t="s">
        <v>56</v>
      </c>
      <c r="C1191" t="s">
        <v>251</v>
      </c>
      <c r="D1191" t="s">
        <v>252</v>
      </c>
      <c r="G1191" t="s">
        <v>48</v>
      </c>
      <c r="H1191">
        <v>1</v>
      </c>
      <c r="K1191" t="s">
        <v>380</v>
      </c>
      <c r="L1191" t="s">
        <v>381</v>
      </c>
      <c r="M1191" t="s">
        <v>131</v>
      </c>
      <c r="N1191">
        <v>15</v>
      </c>
      <c r="P1191" t="s">
        <v>41</v>
      </c>
      <c r="Q1191" t="s">
        <v>49</v>
      </c>
      <c r="R1191" t="str">
        <f>"0580552"</f>
        <v>0580552</v>
      </c>
      <c r="S1191" t="s">
        <v>386</v>
      </c>
      <c r="T1191" t="s">
        <v>380</v>
      </c>
      <c r="U1191" t="s">
        <v>381</v>
      </c>
      <c r="V1191" t="s">
        <v>131</v>
      </c>
      <c r="W1191" t="s">
        <v>51</v>
      </c>
      <c r="X1191" t="s">
        <v>45</v>
      </c>
      <c r="Y1191" s="1">
        <v>20002</v>
      </c>
      <c r="Z1191">
        <v>2</v>
      </c>
      <c r="AA1191" t="s">
        <v>381</v>
      </c>
      <c r="AB1191" s="40" t="s">
        <v>1796</v>
      </c>
    </row>
    <row r="1192" spans="1:28" x14ac:dyDescent="0.25">
      <c r="A1192">
        <v>99911191</v>
      </c>
      <c r="B1192" t="s">
        <v>56</v>
      </c>
      <c r="C1192" t="s">
        <v>52</v>
      </c>
      <c r="D1192" t="s">
        <v>53</v>
      </c>
      <c r="G1192" t="s">
        <v>48</v>
      </c>
      <c r="H1192">
        <v>1</v>
      </c>
      <c r="K1192" t="s">
        <v>936</v>
      </c>
      <c r="L1192" t="s">
        <v>937</v>
      </c>
      <c r="M1192" t="s">
        <v>938</v>
      </c>
      <c r="N1192">
        <v>15</v>
      </c>
      <c r="P1192" t="s">
        <v>41</v>
      </c>
      <c r="Q1192" t="s">
        <v>42</v>
      </c>
      <c r="R1192" t="str">
        <f>"0161002"</f>
        <v>0161002</v>
      </c>
      <c r="S1192" t="s">
        <v>941</v>
      </c>
      <c r="T1192" t="s">
        <v>936</v>
      </c>
      <c r="U1192" t="s">
        <v>937</v>
      </c>
      <c r="V1192" t="s">
        <v>938</v>
      </c>
      <c r="W1192" t="s">
        <v>51</v>
      </c>
      <c r="X1192" t="s">
        <v>45</v>
      </c>
      <c r="Y1192" s="1">
        <v>18502</v>
      </c>
      <c r="Z1192">
        <v>2</v>
      </c>
      <c r="AA1192" t="s">
        <v>937</v>
      </c>
      <c r="AB1192" s="40" t="s">
        <v>1796</v>
      </c>
    </row>
    <row r="1193" spans="1:28" x14ac:dyDescent="0.25">
      <c r="A1193">
        <v>99911192</v>
      </c>
      <c r="B1193" t="s">
        <v>56</v>
      </c>
      <c r="C1193" t="s">
        <v>139</v>
      </c>
      <c r="D1193" t="s">
        <v>140</v>
      </c>
      <c r="G1193" t="s">
        <v>48</v>
      </c>
      <c r="H1193">
        <v>1</v>
      </c>
      <c r="K1193" t="s">
        <v>223</v>
      </c>
      <c r="L1193" t="s">
        <v>224</v>
      </c>
      <c r="M1193" t="s">
        <v>131</v>
      </c>
      <c r="N1193">
        <v>15</v>
      </c>
      <c r="P1193" t="s">
        <v>41</v>
      </c>
      <c r="Q1193" t="s">
        <v>49</v>
      </c>
      <c r="R1193" t="str">
        <f>"0591910"</f>
        <v>0591910</v>
      </c>
      <c r="S1193" t="s">
        <v>228</v>
      </c>
      <c r="T1193" t="s">
        <v>223</v>
      </c>
      <c r="U1193" t="s">
        <v>224</v>
      </c>
      <c r="V1193" t="s">
        <v>131</v>
      </c>
      <c r="W1193" t="s">
        <v>51</v>
      </c>
      <c r="X1193" t="s">
        <v>45</v>
      </c>
      <c r="Z1193">
        <v>2</v>
      </c>
      <c r="AA1193" t="s">
        <v>224</v>
      </c>
      <c r="AB1193" s="40" t="s">
        <v>1796</v>
      </c>
    </row>
    <row r="1194" spans="1:28" x14ac:dyDescent="0.25">
      <c r="A1194">
        <v>99911193</v>
      </c>
      <c r="B1194" t="s">
        <v>56</v>
      </c>
      <c r="C1194" t="s">
        <v>68</v>
      </c>
      <c r="D1194" t="s">
        <v>69</v>
      </c>
      <c r="G1194" t="s">
        <v>48</v>
      </c>
      <c r="H1194">
        <v>1</v>
      </c>
      <c r="K1194" t="s">
        <v>223</v>
      </c>
      <c r="L1194" t="s">
        <v>224</v>
      </c>
      <c r="M1194" t="s">
        <v>131</v>
      </c>
      <c r="N1194">
        <v>15</v>
      </c>
      <c r="P1194" t="s">
        <v>41</v>
      </c>
      <c r="Q1194" t="s">
        <v>49</v>
      </c>
      <c r="R1194" t="str">
        <f>"0581207"</f>
        <v>0581207</v>
      </c>
      <c r="S1194" t="s">
        <v>233</v>
      </c>
      <c r="T1194" t="s">
        <v>223</v>
      </c>
      <c r="U1194" t="s">
        <v>224</v>
      </c>
      <c r="V1194" t="s">
        <v>131</v>
      </c>
      <c r="W1194" t="s">
        <v>165</v>
      </c>
      <c r="X1194" t="s">
        <v>45</v>
      </c>
      <c r="Z1194">
        <v>2</v>
      </c>
      <c r="AA1194" t="s">
        <v>224</v>
      </c>
      <c r="AB1194" s="40" t="s">
        <v>1796</v>
      </c>
    </row>
    <row r="1195" spans="1:28" x14ac:dyDescent="0.25">
      <c r="A1195">
        <v>99911194</v>
      </c>
      <c r="B1195" t="s">
        <v>32</v>
      </c>
      <c r="C1195" t="s">
        <v>64</v>
      </c>
      <c r="D1195" t="s">
        <v>65</v>
      </c>
      <c r="G1195" t="s">
        <v>35</v>
      </c>
      <c r="H1195">
        <v>1</v>
      </c>
      <c r="K1195" t="s">
        <v>431</v>
      </c>
      <c r="L1195" t="s">
        <v>196</v>
      </c>
      <c r="M1195" t="s">
        <v>131</v>
      </c>
      <c r="N1195">
        <v>15</v>
      </c>
      <c r="P1195" t="s">
        <v>41</v>
      </c>
      <c r="Q1195" t="s">
        <v>75</v>
      </c>
      <c r="R1195" t="str">
        <f>"7521056"</f>
        <v>7521056</v>
      </c>
      <c r="S1195" t="s">
        <v>437</v>
      </c>
      <c r="T1195" t="s">
        <v>431</v>
      </c>
      <c r="U1195" t="s">
        <v>196</v>
      </c>
      <c r="V1195" t="s">
        <v>131</v>
      </c>
      <c r="W1195" t="s">
        <v>51</v>
      </c>
      <c r="X1195" t="s">
        <v>45</v>
      </c>
      <c r="Z1195">
        <v>1</v>
      </c>
      <c r="AA1195" t="s">
        <v>196</v>
      </c>
      <c r="AB1195" s="40" t="s">
        <v>1796</v>
      </c>
    </row>
    <row r="1196" spans="1:28" x14ac:dyDescent="0.25">
      <c r="A1196">
        <v>99911195</v>
      </c>
      <c r="B1196" t="s">
        <v>56</v>
      </c>
      <c r="C1196" t="s">
        <v>61</v>
      </c>
      <c r="D1196" t="s">
        <v>62</v>
      </c>
      <c r="G1196" t="s">
        <v>48</v>
      </c>
      <c r="H1196">
        <v>1</v>
      </c>
      <c r="K1196" t="s">
        <v>268</v>
      </c>
      <c r="L1196" t="s">
        <v>269</v>
      </c>
      <c r="M1196" t="s">
        <v>131</v>
      </c>
      <c r="N1196">
        <v>15</v>
      </c>
      <c r="P1196" t="s">
        <v>41</v>
      </c>
      <c r="Q1196" t="s">
        <v>75</v>
      </c>
      <c r="R1196" t="str">
        <f>"7052044"</f>
        <v>7052044</v>
      </c>
      <c r="S1196" t="s">
        <v>589</v>
      </c>
      <c r="T1196" t="s">
        <v>268</v>
      </c>
      <c r="U1196" t="s">
        <v>269</v>
      </c>
      <c r="V1196" t="s">
        <v>131</v>
      </c>
      <c r="W1196" t="s">
        <v>51</v>
      </c>
      <c r="X1196" t="s">
        <v>45</v>
      </c>
      <c r="Z1196">
        <v>1</v>
      </c>
      <c r="AA1196" t="s">
        <v>269</v>
      </c>
      <c r="AB1196" s="40" t="s">
        <v>1796</v>
      </c>
    </row>
    <row r="1197" spans="1:28" x14ac:dyDescent="0.25">
      <c r="A1197">
        <v>99911196</v>
      </c>
      <c r="B1197" t="s">
        <v>32</v>
      </c>
      <c r="C1197" t="s">
        <v>64</v>
      </c>
      <c r="D1197" t="s">
        <v>65</v>
      </c>
      <c r="G1197" t="s">
        <v>48</v>
      </c>
      <c r="H1197">
        <v>1</v>
      </c>
      <c r="K1197" t="s">
        <v>268</v>
      </c>
      <c r="L1197" t="s">
        <v>269</v>
      </c>
      <c r="M1197" t="s">
        <v>131</v>
      </c>
      <c r="N1197">
        <v>15</v>
      </c>
      <c r="P1197" t="s">
        <v>41</v>
      </c>
      <c r="Q1197" t="s">
        <v>75</v>
      </c>
      <c r="R1197" t="str">
        <f>"7052044"</f>
        <v>7052044</v>
      </c>
      <c r="S1197" t="s">
        <v>589</v>
      </c>
      <c r="T1197" t="s">
        <v>268</v>
      </c>
      <c r="U1197" t="s">
        <v>269</v>
      </c>
      <c r="V1197" t="s">
        <v>131</v>
      </c>
      <c r="W1197" t="s">
        <v>51</v>
      </c>
      <c r="X1197" t="s">
        <v>45</v>
      </c>
      <c r="Z1197">
        <v>1</v>
      </c>
      <c r="AA1197" t="s">
        <v>269</v>
      </c>
      <c r="AB1197" s="40" t="s">
        <v>1796</v>
      </c>
    </row>
    <row r="1198" spans="1:28" x14ac:dyDescent="0.25">
      <c r="A1198">
        <v>99911197</v>
      </c>
      <c r="B1198" t="s">
        <v>32</v>
      </c>
      <c r="C1198" t="s">
        <v>143</v>
      </c>
      <c r="D1198" t="s">
        <v>144</v>
      </c>
      <c r="G1198" t="s">
        <v>35</v>
      </c>
      <c r="H1198">
        <v>1</v>
      </c>
      <c r="I1198" s="1">
        <v>42662</v>
      </c>
      <c r="J1198" s="1">
        <v>43344</v>
      </c>
      <c r="K1198" t="s">
        <v>1341</v>
      </c>
      <c r="L1198" t="s">
        <v>1342</v>
      </c>
      <c r="M1198" t="s">
        <v>1270</v>
      </c>
      <c r="N1198">
        <v>15</v>
      </c>
      <c r="O1198" s="1">
        <v>43344</v>
      </c>
      <c r="P1198" t="s">
        <v>41</v>
      </c>
      <c r="Q1198" t="s">
        <v>75</v>
      </c>
      <c r="R1198" t="str">
        <f>"7191034"</f>
        <v>7191034</v>
      </c>
      <c r="S1198" t="s">
        <v>1343</v>
      </c>
      <c r="T1198" t="s">
        <v>1341</v>
      </c>
      <c r="U1198" t="s">
        <v>1342</v>
      </c>
      <c r="V1198" t="s">
        <v>1270</v>
      </c>
      <c r="W1198" t="s">
        <v>51</v>
      </c>
      <c r="X1198" t="s">
        <v>45</v>
      </c>
      <c r="Z1198">
        <v>1</v>
      </c>
      <c r="AA1198" t="s">
        <v>1342</v>
      </c>
      <c r="AB1198" s="40" t="s">
        <v>1796</v>
      </c>
    </row>
    <row r="1199" spans="1:28" x14ac:dyDescent="0.25">
      <c r="A1199">
        <v>99911198</v>
      </c>
      <c r="B1199" t="s">
        <v>32</v>
      </c>
      <c r="C1199" t="s">
        <v>46</v>
      </c>
      <c r="D1199" t="s">
        <v>47</v>
      </c>
      <c r="G1199" t="s">
        <v>48</v>
      </c>
      <c r="H1199">
        <v>1</v>
      </c>
      <c r="K1199" t="s">
        <v>1487</v>
      </c>
      <c r="L1199" t="s">
        <v>1488</v>
      </c>
      <c r="M1199" t="s">
        <v>670</v>
      </c>
      <c r="N1199">
        <v>15</v>
      </c>
      <c r="P1199" t="s">
        <v>41</v>
      </c>
      <c r="Q1199" t="s">
        <v>42</v>
      </c>
      <c r="R1199" t="str">
        <f>"1780020"</f>
        <v>1780020</v>
      </c>
      <c r="S1199" t="s">
        <v>1490</v>
      </c>
      <c r="T1199" t="s">
        <v>1487</v>
      </c>
      <c r="U1199" t="s">
        <v>1488</v>
      </c>
      <c r="V1199" t="s">
        <v>670</v>
      </c>
      <c r="W1199" t="s">
        <v>51</v>
      </c>
      <c r="X1199" t="s">
        <v>45</v>
      </c>
      <c r="Z1199">
        <v>2</v>
      </c>
      <c r="AA1199" t="s">
        <v>1488</v>
      </c>
      <c r="AB1199" s="40" t="s">
        <v>1796</v>
      </c>
    </row>
    <row r="1200" spans="1:28" x14ac:dyDescent="0.25">
      <c r="A1200">
        <v>99911199</v>
      </c>
      <c r="B1200" t="s">
        <v>32</v>
      </c>
      <c r="C1200" t="s">
        <v>46</v>
      </c>
      <c r="D1200" t="s">
        <v>47</v>
      </c>
      <c r="G1200" t="s">
        <v>35</v>
      </c>
      <c r="H1200">
        <v>1</v>
      </c>
      <c r="I1200">
        <v>0</v>
      </c>
      <c r="J1200" s="1">
        <v>43344</v>
      </c>
      <c r="K1200" t="s">
        <v>223</v>
      </c>
      <c r="L1200" t="s">
        <v>224</v>
      </c>
      <c r="M1200" t="s">
        <v>131</v>
      </c>
      <c r="N1200">
        <v>16</v>
      </c>
      <c r="O1200" s="1">
        <v>43344</v>
      </c>
      <c r="P1200" t="s">
        <v>41</v>
      </c>
      <c r="Q1200" t="s">
        <v>42</v>
      </c>
      <c r="R1200" t="str">
        <f>"0590903"</f>
        <v>0590903</v>
      </c>
      <c r="S1200" t="s">
        <v>226</v>
      </c>
      <c r="T1200" t="s">
        <v>223</v>
      </c>
      <c r="U1200" t="s">
        <v>224</v>
      </c>
      <c r="V1200" t="s">
        <v>131</v>
      </c>
      <c r="W1200" t="s">
        <v>44</v>
      </c>
      <c r="X1200" t="s">
        <v>45</v>
      </c>
      <c r="Y1200" s="1">
        <v>33364</v>
      </c>
      <c r="Z1200">
        <v>2</v>
      </c>
      <c r="AA1200" t="s">
        <v>224</v>
      </c>
      <c r="AB1200" s="40" t="s">
        <v>1797</v>
      </c>
    </row>
    <row r="1201" spans="1:28" x14ac:dyDescent="0.25">
      <c r="A1201">
        <v>99911200</v>
      </c>
      <c r="B1201" t="s">
        <v>32</v>
      </c>
      <c r="C1201" t="s">
        <v>52</v>
      </c>
      <c r="D1201" t="s">
        <v>53</v>
      </c>
      <c r="G1201" t="s">
        <v>48</v>
      </c>
      <c r="H1201">
        <v>1</v>
      </c>
      <c r="K1201" t="s">
        <v>300</v>
      </c>
      <c r="L1201" t="s">
        <v>301</v>
      </c>
      <c r="M1201" t="s">
        <v>131</v>
      </c>
      <c r="N1201">
        <v>16</v>
      </c>
      <c r="P1201" t="s">
        <v>41</v>
      </c>
      <c r="Q1201" t="s">
        <v>49</v>
      </c>
      <c r="R1201" t="str">
        <f>"0560001"</f>
        <v>0560001</v>
      </c>
      <c r="S1201" t="s">
        <v>304</v>
      </c>
      <c r="T1201" t="s">
        <v>300</v>
      </c>
      <c r="U1201" t="s">
        <v>301</v>
      </c>
      <c r="V1201" t="s">
        <v>131</v>
      </c>
      <c r="W1201" t="s">
        <v>51</v>
      </c>
      <c r="X1201" t="s">
        <v>45</v>
      </c>
      <c r="Y1201" s="1">
        <v>33110</v>
      </c>
      <c r="Z1201">
        <v>2</v>
      </c>
      <c r="AA1201" t="s">
        <v>301</v>
      </c>
      <c r="AB1201" s="40" t="s">
        <v>1797</v>
      </c>
    </row>
    <row r="1202" spans="1:28" x14ac:dyDescent="0.25">
      <c r="A1202">
        <v>99911201</v>
      </c>
      <c r="B1202" t="s">
        <v>56</v>
      </c>
      <c r="C1202" t="s">
        <v>79</v>
      </c>
      <c r="D1202" t="s">
        <v>80</v>
      </c>
      <c r="G1202" t="s">
        <v>35</v>
      </c>
      <c r="H1202">
        <v>1</v>
      </c>
      <c r="I1202" t="s">
        <v>1098</v>
      </c>
      <c r="J1202" s="1">
        <v>43344</v>
      </c>
      <c r="K1202" t="s">
        <v>1081</v>
      </c>
      <c r="L1202" t="s">
        <v>1082</v>
      </c>
      <c r="M1202" t="s">
        <v>1053</v>
      </c>
      <c r="N1202">
        <v>16</v>
      </c>
      <c r="O1202" s="1">
        <v>43344</v>
      </c>
      <c r="P1202" t="s">
        <v>41</v>
      </c>
      <c r="Q1202" t="s">
        <v>75</v>
      </c>
      <c r="R1202" t="str">
        <f>"7201000"</f>
        <v>7201000</v>
      </c>
      <c r="S1202" t="s">
        <v>1088</v>
      </c>
      <c r="T1202" t="s">
        <v>1081</v>
      </c>
      <c r="U1202" t="s">
        <v>1082</v>
      </c>
      <c r="V1202" t="s">
        <v>1053</v>
      </c>
      <c r="W1202" t="s">
        <v>44</v>
      </c>
      <c r="X1202" t="s">
        <v>45</v>
      </c>
      <c r="Y1202" s="1">
        <v>32906</v>
      </c>
      <c r="Z1202">
        <v>1</v>
      </c>
      <c r="AA1202" t="s">
        <v>1082</v>
      </c>
      <c r="AB1202" s="40" t="s">
        <v>1797</v>
      </c>
    </row>
    <row r="1203" spans="1:28" x14ac:dyDescent="0.25">
      <c r="A1203">
        <v>99911202</v>
      </c>
      <c r="B1203" t="s">
        <v>56</v>
      </c>
      <c r="C1203" t="s">
        <v>79</v>
      </c>
      <c r="D1203" t="s">
        <v>80</v>
      </c>
      <c r="G1203" t="s">
        <v>35</v>
      </c>
      <c r="H1203">
        <v>1</v>
      </c>
      <c r="I1203" t="s">
        <v>81</v>
      </c>
      <c r="J1203" s="1">
        <v>43354</v>
      </c>
      <c r="K1203" t="s">
        <v>37</v>
      </c>
      <c r="L1203" t="s">
        <v>38</v>
      </c>
      <c r="M1203" t="s">
        <v>39</v>
      </c>
      <c r="N1203">
        <v>16</v>
      </c>
      <c r="O1203" s="1">
        <v>43354</v>
      </c>
      <c r="P1203" t="s">
        <v>41</v>
      </c>
      <c r="Q1203" t="s">
        <v>49</v>
      </c>
      <c r="R1203" t="str">
        <f>"3781010"</f>
        <v>3781010</v>
      </c>
      <c r="S1203" t="s">
        <v>50</v>
      </c>
      <c r="T1203" t="s">
        <v>37</v>
      </c>
      <c r="U1203" t="s">
        <v>38</v>
      </c>
      <c r="V1203" t="s">
        <v>39</v>
      </c>
      <c r="W1203" t="s">
        <v>44</v>
      </c>
      <c r="X1203" t="s">
        <v>45</v>
      </c>
      <c r="Y1203" s="1">
        <v>32856</v>
      </c>
      <c r="Z1203">
        <v>2</v>
      </c>
      <c r="AA1203" t="s">
        <v>38</v>
      </c>
      <c r="AB1203" s="40" t="s">
        <v>1797</v>
      </c>
    </row>
    <row r="1204" spans="1:28" x14ac:dyDescent="0.25">
      <c r="A1204">
        <v>99911203</v>
      </c>
      <c r="B1204" t="s">
        <v>32</v>
      </c>
      <c r="C1204" t="s">
        <v>79</v>
      </c>
      <c r="D1204" t="s">
        <v>80</v>
      </c>
      <c r="G1204" t="s">
        <v>35</v>
      </c>
      <c r="H1204">
        <v>1</v>
      </c>
      <c r="I1204" t="s">
        <v>286</v>
      </c>
      <c r="J1204" s="1">
        <v>43344</v>
      </c>
      <c r="K1204" t="s">
        <v>268</v>
      </c>
      <c r="L1204" t="s">
        <v>269</v>
      </c>
      <c r="M1204" t="s">
        <v>131</v>
      </c>
      <c r="N1204">
        <v>16</v>
      </c>
      <c r="O1204" s="1">
        <v>43344</v>
      </c>
      <c r="P1204" t="s">
        <v>41</v>
      </c>
      <c r="Q1204" t="s">
        <v>75</v>
      </c>
      <c r="R1204" t="str">
        <f>"7052000"</f>
        <v>7052000</v>
      </c>
      <c r="S1204" t="s">
        <v>656</v>
      </c>
      <c r="T1204" t="s">
        <v>268</v>
      </c>
      <c r="U1204" t="s">
        <v>269</v>
      </c>
      <c r="V1204" t="s">
        <v>131</v>
      </c>
      <c r="W1204" t="s">
        <v>51</v>
      </c>
      <c r="X1204" t="s">
        <v>45</v>
      </c>
      <c r="Y1204" s="1">
        <v>32797</v>
      </c>
      <c r="Z1204">
        <v>1</v>
      </c>
      <c r="AA1204" t="s">
        <v>269</v>
      </c>
      <c r="AB1204" s="40" t="s">
        <v>1797</v>
      </c>
    </row>
    <row r="1205" spans="1:28" x14ac:dyDescent="0.25">
      <c r="A1205">
        <v>99911204</v>
      </c>
      <c r="B1205" t="s">
        <v>32</v>
      </c>
      <c r="C1205" t="s">
        <v>79</v>
      </c>
      <c r="D1205" t="s">
        <v>80</v>
      </c>
      <c r="G1205" t="s">
        <v>48</v>
      </c>
      <c r="H1205">
        <v>1</v>
      </c>
      <c r="K1205" t="s">
        <v>1051</v>
      </c>
      <c r="L1205" t="s">
        <v>1052</v>
      </c>
      <c r="M1205" t="s">
        <v>1053</v>
      </c>
      <c r="N1205">
        <v>16</v>
      </c>
      <c r="P1205" t="s">
        <v>41</v>
      </c>
      <c r="Q1205" t="s">
        <v>49</v>
      </c>
      <c r="R1205" t="str">
        <f>"2080025"</f>
        <v>2080025</v>
      </c>
      <c r="S1205" t="s">
        <v>1057</v>
      </c>
      <c r="T1205" t="s">
        <v>1051</v>
      </c>
      <c r="U1205" t="s">
        <v>1052</v>
      </c>
      <c r="V1205" t="s">
        <v>1053</v>
      </c>
      <c r="W1205" t="s">
        <v>51</v>
      </c>
      <c r="X1205" t="s">
        <v>45</v>
      </c>
      <c r="Y1205" s="1">
        <v>32751</v>
      </c>
      <c r="Z1205">
        <v>2</v>
      </c>
      <c r="AA1205" t="s">
        <v>1052</v>
      </c>
      <c r="AB1205" s="40" t="s">
        <v>1797</v>
      </c>
    </row>
    <row r="1206" spans="1:28" x14ac:dyDescent="0.25">
      <c r="A1206">
        <v>99911205</v>
      </c>
      <c r="B1206" t="s">
        <v>32</v>
      </c>
      <c r="C1206" t="s">
        <v>46</v>
      </c>
      <c r="D1206" t="s">
        <v>47</v>
      </c>
      <c r="G1206" t="s">
        <v>35</v>
      </c>
      <c r="H1206">
        <v>1</v>
      </c>
      <c r="I1206">
        <v>0</v>
      </c>
      <c r="J1206" s="1">
        <v>43344</v>
      </c>
      <c r="K1206" t="s">
        <v>223</v>
      </c>
      <c r="L1206" t="s">
        <v>224</v>
      </c>
      <c r="M1206" t="s">
        <v>131</v>
      </c>
      <c r="N1206">
        <v>16</v>
      </c>
      <c r="O1206" s="1">
        <v>43344</v>
      </c>
      <c r="P1206" t="s">
        <v>41</v>
      </c>
      <c r="Q1206" t="s">
        <v>42</v>
      </c>
      <c r="R1206" t="str">
        <f>"0590903"</f>
        <v>0590903</v>
      </c>
      <c r="S1206" t="s">
        <v>226</v>
      </c>
      <c r="T1206" t="s">
        <v>223</v>
      </c>
      <c r="U1206" t="s">
        <v>224</v>
      </c>
      <c r="V1206" t="s">
        <v>131</v>
      </c>
      <c r="W1206" t="s">
        <v>44</v>
      </c>
      <c r="X1206" t="s">
        <v>45</v>
      </c>
      <c r="Y1206" s="1">
        <v>32665</v>
      </c>
      <c r="Z1206">
        <v>2</v>
      </c>
      <c r="AA1206" t="s">
        <v>224</v>
      </c>
      <c r="AB1206" s="40" t="s">
        <v>1797</v>
      </c>
    </row>
    <row r="1207" spans="1:28" x14ac:dyDescent="0.25">
      <c r="A1207">
        <v>99911206</v>
      </c>
      <c r="B1207" t="s">
        <v>32</v>
      </c>
      <c r="C1207" t="s">
        <v>46</v>
      </c>
      <c r="D1207" t="s">
        <v>47</v>
      </c>
      <c r="G1207" t="s">
        <v>35</v>
      </c>
      <c r="H1207">
        <v>1</v>
      </c>
      <c r="I1207">
        <v>21562</v>
      </c>
      <c r="J1207" s="1">
        <v>43344</v>
      </c>
      <c r="K1207" t="s">
        <v>345</v>
      </c>
      <c r="L1207" t="s">
        <v>346</v>
      </c>
      <c r="M1207" t="s">
        <v>131</v>
      </c>
      <c r="N1207">
        <v>16</v>
      </c>
      <c r="O1207" s="1">
        <v>43344</v>
      </c>
      <c r="P1207" t="s">
        <v>41</v>
      </c>
      <c r="Q1207" t="s">
        <v>42</v>
      </c>
      <c r="R1207" t="str">
        <f>"0580615"</f>
        <v>0580615</v>
      </c>
      <c r="S1207" t="s">
        <v>364</v>
      </c>
      <c r="T1207" t="s">
        <v>345</v>
      </c>
      <c r="U1207" t="s">
        <v>346</v>
      </c>
      <c r="V1207" t="s">
        <v>131</v>
      </c>
      <c r="W1207" t="s">
        <v>44</v>
      </c>
      <c r="X1207" t="s">
        <v>45</v>
      </c>
      <c r="Y1207" s="1">
        <v>32539</v>
      </c>
      <c r="Z1207">
        <v>2</v>
      </c>
      <c r="AA1207" t="s">
        <v>346</v>
      </c>
      <c r="AB1207" s="40" t="s">
        <v>1797</v>
      </c>
    </row>
    <row r="1208" spans="1:28" x14ac:dyDescent="0.25">
      <c r="A1208">
        <v>99911207</v>
      </c>
      <c r="B1208" t="s">
        <v>32</v>
      </c>
      <c r="C1208" t="s">
        <v>46</v>
      </c>
      <c r="D1208" t="s">
        <v>47</v>
      </c>
      <c r="G1208" t="s">
        <v>35</v>
      </c>
      <c r="H1208">
        <v>1</v>
      </c>
      <c r="I1208" t="s">
        <v>981</v>
      </c>
      <c r="J1208" s="1">
        <v>43344</v>
      </c>
      <c r="K1208" t="s">
        <v>947</v>
      </c>
      <c r="L1208" t="s">
        <v>948</v>
      </c>
      <c r="M1208" t="s">
        <v>938</v>
      </c>
      <c r="N1208">
        <v>16</v>
      </c>
      <c r="O1208" s="1">
        <v>43344</v>
      </c>
      <c r="P1208" t="s">
        <v>41</v>
      </c>
      <c r="Q1208" t="s">
        <v>49</v>
      </c>
      <c r="R1208" t="str">
        <f>"0605000"</f>
        <v>0605000</v>
      </c>
      <c r="S1208" t="s">
        <v>950</v>
      </c>
      <c r="T1208" t="s">
        <v>947</v>
      </c>
      <c r="U1208" t="s">
        <v>948</v>
      </c>
      <c r="V1208" t="s">
        <v>938</v>
      </c>
      <c r="W1208" t="s">
        <v>51</v>
      </c>
      <c r="X1208" t="s">
        <v>45</v>
      </c>
      <c r="Y1208" s="1">
        <v>32417</v>
      </c>
      <c r="Z1208">
        <v>2</v>
      </c>
      <c r="AA1208" t="s">
        <v>948</v>
      </c>
      <c r="AB1208" s="40" t="s">
        <v>1797</v>
      </c>
    </row>
    <row r="1209" spans="1:28" x14ac:dyDescent="0.25">
      <c r="A1209">
        <v>99911208</v>
      </c>
      <c r="B1209" t="s">
        <v>56</v>
      </c>
      <c r="C1209" t="s">
        <v>117</v>
      </c>
      <c r="D1209" t="s">
        <v>118</v>
      </c>
      <c r="E1209" t="s">
        <v>1475</v>
      </c>
      <c r="F1209" t="s">
        <v>1476</v>
      </c>
      <c r="G1209" t="s">
        <v>35</v>
      </c>
      <c r="H1209">
        <v>1</v>
      </c>
      <c r="I1209" t="s">
        <v>1477</v>
      </c>
      <c r="J1209" s="1">
        <v>43344</v>
      </c>
      <c r="K1209" t="s">
        <v>1334</v>
      </c>
      <c r="L1209" t="s">
        <v>1335</v>
      </c>
      <c r="M1209" t="s">
        <v>1270</v>
      </c>
      <c r="N1209">
        <v>16</v>
      </c>
      <c r="O1209" s="1">
        <v>43344</v>
      </c>
      <c r="P1209" t="s">
        <v>41</v>
      </c>
      <c r="Q1209" t="s">
        <v>75</v>
      </c>
      <c r="R1209" t="str">
        <f>"7391000"</f>
        <v>7391000</v>
      </c>
      <c r="S1209" t="s">
        <v>1333</v>
      </c>
      <c r="T1209" t="s">
        <v>1334</v>
      </c>
      <c r="U1209" t="s">
        <v>1335</v>
      </c>
      <c r="V1209" t="s">
        <v>1270</v>
      </c>
      <c r="W1209" t="s">
        <v>51</v>
      </c>
      <c r="X1209" t="s">
        <v>45</v>
      </c>
      <c r="Y1209" s="1">
        <v>32178</v>
      </c>
      <c r="Z1209">
        <v>1</v>
      </c>
      <c r="AA1209" t="s">
        <v>1335</v>
      </c>
      <c r="AB1209" s="40" t="s">
        <v>1797</v>
      </c>
    </row>
    <row r="1210" spans="1:28" x14ac:dyDescent="0.25">
      <c r="A1210">
        <v>99911209</v>
      </c>
      <c r="B1210" t="s">
        <v>56</v>
      </c>
      <c r="C1210" t="s">
        <v>111</v>
      </c>
      <c r="D1210" t="s">
        <v>112</v>
      </c>
      <c r="G1210" t="s">
        <v>35</v>
      </c>
      <c r="H1210">
        <v>1</v>
      </c>
      <c r="I1210">
        <v>10362</v>
      </c>
      <c r="J1210" s="1">
        <v>43349</v>
      </c>
      <c r="K1210" t="s">
        <v>1426</v>
      </c>
      <c r="L1210" t="s">
        <v>1427</v>
      </c>
      <c r="M1210" t="s">
        <v>1270</v>
      </c>
      <c r="N1210">
        <v>16</v>
      </c>
      <c r="O1210" s="1">
        <v>43349</v>
      </c>
      <c r="P1210" t="s">
        <v>41</v>
      </c>
      <c r="Q1210" t="s">
        <v>75</v>
      </c>
      <c r="R1210" t="str">
        <f>"7192000"</f>
        <v>7192000</v>
      </c>
      <c r="S1210" t="s">
        <v>1429</v>
      </c>
      <c r="T1210" t="s">
        <v>1426</v>
      </c>
      <c r="U1210" t="s">
        <v>1427</v>
      </c>
      <c r="V1210" t="s">
        <v>1270</v>
      </c>
      <c r="W1210" t="s">
        <v>44</v>
      </c>
      <c r="X1210" t="s">
        <v>45</v>
      </c>
      <c r="Y1210" s="1">
        <v>31900</v>
      </c>
      <c r="Z1210">
        <v>1</v>
      </c>
      <c r="AA1210" t="s">
        <v>1427</v>
      </c>
      <c r="AB1210" s="40" t="s">
        <v>1797</v>
      </c>
    </row>
    <row r="1211" spans="1:28" x14ac:dyDescent="0.25">
      <c r="A1211">
        <v>99911210</v>
      </c>
      <c r="B1211" t="s">
        <v>32</v>
      </c>
      <c r="C1211" t="s">
        <v>64</v>
      </c>
      <c r="D1211" t="s">
        <v>65</v>
      </c>
      <c r="G1211" t="s">
        <v>88</v>
      </c>
      <c r="H1211">
        <v>1</v>
      </c>
      <c r="I1211" t="s">
        <v>1318</v>
      </c>
      <c r="K1211" t="s">
        <v>1306</v>
      </c>
      <c r="L1211" t="s">
        <v>1307</v>
      </c>
      <c r="M1211" t="s">
        <v>1270</v>
      </c>
      <c r="N1211">
        <v>16</v>
      </c>
      <c r="P1211" t="s">
        <v>41</v>
      </c>
      <c r="Q1211" t="s">
        <v>49</v>
      </c>
      <c r="R1211" t="str">
        <f>"1991913"</f>
        <v>1991913</v>
      </c>
      <c r="S1211" t="s">
        <v>1310</v>
      </c>
      <c r="T1211" t="s">
        <v>1306</v>
      </c>
      <c r="U1211" t="s">
        <v>1307</v>
      </c>
      <c r="V1211" t="s">
        <v>1270</v>
      </c>
      <c r="W1211" t="s">
        <v>51</v>
      </c>
      <c r="X1211" t="s">
        <v>45</v>
      </c>
      <c r="Y1211" s="1">
        <v>31824</v>
      </c>
      <c r="Z1211">
        <v>2</v>
      </c>
      <c r="AA1211" t="s">
        <v>1307</v>
      </c>
      <c r="AB1211" s="40" t="s">
        <v>1797</v>
      </c>
    </row>
    <row r="1212" spans="1:28" x14ac:dyDescent="0.25">
      <c r="A1212">
        <v>99911211</v>
      </c>
      <c r="B1212" t="s">
        <v>32</v>
      </c>
      <c r="C1212" t="s">
        <v>64</v>
      </c>
      <c r="D1212" t="s">
        <v>65</v>
      </c>
      <c r="G1212" t="s">
        <v>48</v>
      </c>
      <c r="H1212">
        <v>1</v>
      </c>
      <c r="K1212" t="s">
        <v>985</v>
      </c>
      <c r="L1212" t="s">
        <v>986</v>
      </c>
      <c r="M1212" t="s">
        <v>938</v>
      </c>
      <c r="N1212">
        <v>16</v>
      </c>
      <c r="P1212" t="s">
        <v>41</v>
      </c>
      <c r="Q1212" t="s">
        <v>75</v>
      </c>
      <c r="R1212" t="str">
        <f>"7011000"</f>
        <v>7011000</v>
      </c>
      <c r="S1212" t="s">
        <v>989</v>
      </c>
      <c r="T1212" t="s">
        <v>985</v>
      </c>
      <c r="U1212" t="s">
        <v>986</v>
      </c>
      <c r="V1212" t="s">
        <v>938</v>
      </c>
      <c r="W1212" t="s">
        <v>51</v>
      </c>
      <c r="X1212" t="s">
        <v>45</v>
      </c>
      <c r="Y1212" s="1">
        <v>31794</v>
      </c>
      <c r="Z1212">
        <v>1</v>
      </c>
      <c r="AA1212" t="s">
        <v>986</v>
      </c>
      <c r="AB1212" s="40" t="s">
        <v>1797</v>
      </c>
    </row>
    <row r="1213" spans="1:28" x14ac:dyDescent="0.25">
      <c r="A1213">
        <v>99911212</v>
      </c>
      <c r="B1213" t="s">
        <v>32</v>
      </c>
      <c r="C1213" t="s">
        <v>136</v>
      </c>
      <c r="D1213" t="s">
        <v>137</v>
      </c>
      <c r="G1213" t="s">
        <v>48</v>
      </c>
      <c r="H1213">
        <v>3</v>
      </c>
      <c r="I1213" t="s">
        <v>509</v>
      </c>
      <c r="J1213" s="1">
        <v>43344</v>
      </c>
      <c r="K1213" t="s">
        <v>195</v>
      </c>
      <c r="L1213" t="s">
        <v>196</v>
      </c>
      <c r="M1213" t="s">
        <v>131</v>
      </c>
      <c r="N1213">
        <v>16</v>
      </c>
      <c r="O1213" s="1">
        <v>43344</v>
      </c>
      <c r="P1213" t="s">
        <v>41</v>
      </c>
      <c r="Q1213" t="s">
        <v>75</v>
      </c>
      <c r="R1213" t="str">
        <f>"7521042"</f>
        <v>7521042</v>
      </c>
      <c r="S1213" t="s">
        <v>440</v>
      </c>
      <c r="T1213" t="s">
        <v>195</v>
      </c>
      <c r="U1213" t="s">
        <v>196</v>
      </c>
      <c r="V1213" t="s">
        <v>131</v>
      </c>
      <c r="W1213" t="s">
        <v>165</v>
      </c>
      <c r="X1213" t="s">
        <v>45</v>
      </c>
      <c r="Y1213" s="1">
        <v>31563</v>
      </c>
      <c r="Z1213">
        <v>1</v>
      </c>
      <c r="AA1213" t="s">
        <v>196</v>
      </c>
      <c r="AB1213" s="40" t="s">
        <v>1797</v>
      </c>
    </row>
    <row r="1214" spans="1:28" x14ac:dyDescent="0.25">
      <c r="A1214">
        <v>99911213</v>
      </c>
      <c r="B1214" t="s">
        <v>32</v>
      </c>
      <c r="C1214" t="s">
        <v>64</v>
      </c>
      <c r="D1214" t="s">
        <v>65</v>
      </c>
      <c r="G1214" t="s">
        <v>48</v>
      </c>
      <c r="H1214">
        <v>1</v>
      </c>
      <c r="K1214" t="s">
        <v>1268</v>
      </c>
      <c r="L1214" t="s">
        <v>1269</v>
      </c>
      <c r="M1214" t="s">
        <v>1270</v>
      </c>
      <c r="N1214">
        <v>16</v>
      </c>
      <c r="R1214" t="str">
        <f>""</f>
        <v/>
      </c>
      <c r="U1214" t="s">
        <v>1269</v>
      </c>
      <c r="V1214" t="s">
        <v>1270</v>
      </c>
      <c r="W1214" t="s">
        <v>51</v>
      </c>
      <c r="X1214" t="s">
        <v>45</v>
      </c>
      <c r="Y1214" s="1">
        <v>31487</v>
      </c>
      <c r="Z1214">
        <v>2</v>
      </c>
      <c r="AA1214" t="s">
        <v>1269</v>
      </c>
      <c r="AB1214" s="40" t="s">
        <v>1797</v>
      </c>
    </row>
    <row r="1215" spans="1:28" x14ac:dyDescent="0.25">
      <c r="A1215">
        <v>99911214</v>
      </c>
      <c r="B1215" t="s">
        <v>32</v>
      </c>
      <c r="C1215" t="s">
        <v>82</v>
      </c>
      <c r="D1215" t="s">
        <v>83</v>
      </c>
      <c r="G1215" t="s">
        <v>48</v>
      </c>
      <c r="H1215">
        <v>1</v>
      </c>
      <c r="K1215" t="s">
        <v>300</v>
      </c>
      <c r="L1215" t="s">
        <v>301</v>
      </c>
      <c r="M1215" t="s">
        <v>131</v>
      </c>
      <c r="N1215">
        <v>16</v>
      </c>
      <c r="P1215" t="s">
        <v>41</v>
      </c>
      <c r="Q1215" t="s">
        <v>49</v>
      </c>
      <c r="R1215" t="str">
        <f>"0560022"</f>
        <v>0560022</v>
      </c>
      <c r="S1215" t="s">
        <v>314</v>
      </c>
      <c r="T1215" t="s">
        <v>300</v>
      </c>
      <c r="U1215" t="s">
        <v>301</v>
      </c>
      <c r="V1215" t="s">
        <v>131</v>
      </c>
      <c r="W1215" t="s">
        <v>51</v>
      </c>
      <c r="X1215" t="s">
        <v>45</v>
      </c>
      <c r="Y1215" s="1">
        <v>31182</v>
      </c>
      <c r="Z1215">
        <v>2</v>
      </c>
      <c r="AA1215" t="s">
        <v>301</v>
      </c>
      <c r="AB1215" s="40" t="s">
        <v>1797</v>
      </c>
    </row>
    <row r="1216" spans="1:28" x14ac:dyDescent="0.25">
      <c r="A1216">
        <v>99911215</v>
      </c>
      <c r="B1216" t="s">
        <v>32</v>
      </c>
      <c r="C1216" t="s">
        <v>85</v>
      </c>
      <c r="D1216" t="s">
        <v>86</v>
      </c>
      <c r="G1216" t="s">
        <v>35</v>
      </c>
      <c r="H1216">
        <v>1</v>
      </c>
      <c r="I1216">
        <v>0</v>
      </c>
      <c r="J1216" s="1">
        <v>43344</v>
      </c>
      <c r="K1216" t="s">
        <v>223</v>
      </c>
      <c r="L1216" t="s">
        <v>224</v>
      </c>
      <c r="M1216" t="s">
        <v>131</v>
      </c>
      <c r="N1216">
        <v>16</v>
      </c>
      <c r="O1216" s="1">
        <v>43344</v>
      </c>
      <c r="P1216" t="s">
        <v>41</v>
      </c>
      <c r="Q1216" t="s">
        <v>49</v>
      </c>
      <c r="R1216" t="str">
        <f>"0509999"</f>
        <v>0509999</v>
      </c>
      <c r="S1216" t="s">
        <v>247</v>
      </c>
      <c r="T1216" t="s">
        <v>223</v>
      </c>
      <c r="U1216" t="s">
        <v>224</v>
      </c>
      <c r="V1216" t="s">
        <v>131</v>
      </c>
      <c r="W1216" t="s">
        <v>44</v>
      </c>
      <c r="X1216" t="s">
        <v>45</v>
      </c>
      <c r="Y1216" s="1">
        <v>31081</v>
      </c>
      <c r="Z1216">
        <v>2</v>
      </c>
      <c r="AA1216" t="s">
        <v>224</v>
      </c>
      <c r="AB1216" s="40" t="s">
        <v>1797</v>
      </c>
    </row>
    <row r="1217" spans="1:28" x14ac:dyDescent="0.25">
      <c r="A1217">
        <v>99911216</v>
      </c>
      <c r="B1217" t="s">
        <v>32</v>
      </c>
      <c r="C1217" t="s">
        <v>71</v>
      </c>
      <c r="D1217" t="s">
        <v>72</v>
      </c>
      <c r="G1217" t="s">
        <v>35</v>
      </c>
      <c r="H1217">
        <v>1</v>
      </c>
      <c r="I1217">
        <v>17539</v>
      </c>
      <c r="J1217" s="1">
        <v>43346</v>
      </c>
      <c r="K1217" t="s">
        <v>380</v>
      </c>
      <c r="L1217" t="s">
        <v>381</v>
      </c>
      <c r="M1217" t="s">
        <v>131</v>
      </c>
      <c r="N1217">
        <v>16</v>
      </c>
      <c r="O1217" s="1">
        <v>43346</v>
      </c>
      <c r="P1217" t="s">
        <v>41</v>
      </c>
      <c r="Q1217" t="s">
        <v>49</v>
      </c>
      <c r="R1217" t="str">
        <f>"0560028"</f>
        <v>0560028</v>
      </c>
      <c r="S1217" t="s">
        <v>384</v>
      </c>
      <c r="T1217" t="s">
        <v>380</v>
      </c>
      <c r="U1217" t="s">
        <v>381</v>
      </c>
      <c r="V1217" t="s">
        <v>131</v>
      </c>
      <c r="W1217" t="s">
        <v>55</v>
      </c>
      <c r="X1217" t="s">
        <v>45</v>
      </c>
      <c r="Y1217" s="1">
        <v>30987</v>
      </c>
      <c r="Z1217">
        <v>2</v>
      </c>
      <c r="AA1217" t="s">
        <v>381</v>
      </c>
      <c r="AB1217" s="40" t="s">
        <v>1797</v>
      </c>
    </row>
    <row r="1218" spans="1:28" x14ac:dyDescent="0.25">
      <c r="A1218">
        <v>99911217</v>
      </c>
      <c r="B1218" t="s">
        <v>32</v>
      </c>
      <c r="C1218" t="s">
        <v>58</v>
      </c>
      <c r="D1218" t="s">
        <v>59</v>
      </c>
      <c r="G1218" t="s">
        <v>35</v>
      </c>
      <c r="H1218">
        <v>1</v>
      </c>
      <c r="K1218" t="s">
        <v>223</v>
      </c>
      <c r="L1218" t="s">
        <v>224</v>
      </c>
      <c r="M1218" t="s">
        <v>131</v>
      </c>
      <c r="N1218">
        <v>16</v>
      </c>
      <c r="P1218" t="s">
        <v>41</v>
      </c>
      <c r="Q1218" t="s">
        <v>49</v>
      </c>
      <c r="R1218" t="str">
        <f>"0581202"</f>
        <v>0581202</v>
      </c>
      <c r="S1218" t="s">
        <v>248</v>
      </c>
      <c r="T1218" t="s">
        <v>223</v>
      </c>
      <c r="U1218" t="s">
        <v>224</v>
      </c>
      <c r="V1218" t="s">
        <v>131</v>
      </c>
      <c r="W1218" t="s">
        <v>51</v>
      </c>
      <c r="X1218" t="s">
        <v>45</v>
      </c>
      <c r="Y1218" s="1">
        <v>30940</v>
      </c>
      <c r="Z1218">
        <v>2</v>
      </c>
      <c r="AA1218" t="s">
        <v>224</v>
      </c>
      <c r="AB1218" s="40" t="s">
        <v>1797</v>
      </c>
    </row>
    <row r="1219" spans="1:28" x14ac:dyDescent="0.25">
      <c r="A1219">
        <v>99911218</v>
      </c>
      <c r="B1219" t="s">
        <v>32</v>
      </c>
      <c r="C1219" t="s">
        <v>61</v>
      </c>
      <c r="D1219" t="s">
        <v>62</v>
      </c>
      <c r="G1219" t="s">
        <v>48</v>
      </c>
      <c r="H1219">
        <v>1</v>
      </c>
      <c r="K1219" t="s">
        <v>380</v>
      </c>
      <c r="L1219" t="s">
        <v>381</v>
      </c>
      <c r="M1219" t="s">
        <v>131</v>
      </c>
      <c r="N1219">
        <v>16</v>
      </c>
      <c r="P1219" t="s">
        <v>41</v>
      </c>
      <c r="Q1219" t="s">
        <v>42</v>
      </c>
      <c r="R1219" t="str">
        <f>"0590908"</f>
        <v>0590908</v>
      </c>
      <c r="S1219" t="s">
        <v>382</v>
      </c>
      <c r="T1219" t="s">
        <v>380</v>
      </c>
      <c r="U1219" t="s">
        <v>381</v>
      </c>
      <c r="V1219" t="s">
        <v>131</v>
      </c>
      <c r="W1219" t="s">
        <v>51</v>
      </c>
      <c r="X1219" t="s">
        <v>45</v>
      </c>
      <c r="Y1219" s="1">
        <v>30633</v>
      </c>
      <c r="Z1219">
        <v>2</v>
      </c>
      <c r="AA1219" t="s">
        <v>381</v>
      </c>
      <c r="AB1219" s="40" t="s">
        <v>1797</v>
      </c>
    </row>
    <row r="1220" spans="1:28" x14ac:dyDescent="0.25">
      <c r="A1220">
        <v>99911219</v>
      </c>
      <c r="B1220" t="s">
        <v>32</v>
      </c>
      <c r="C1220" t="s">
        <v>64</v>
      </c>
      <c r="D1220" t="s">
        <v>65</v>
      </c>
      <c r="G1220" t="s">
        <v>48</v>
      </c>
      <c r="H1220">
        <v>1</v>
      </c>
      <c r="K1220" t="s">
        <v>936</v>
      </c>
      <c r="L1220" t="s">
        <v>937</v>
      </c>
      <c r="M1220" t="s">
        <v>938</v>
      </c>
      <c r="N1220">
        <v>16</v>
      </c>
      <c r="P1220" t="s">
        <v>41</v>
      </c>
      <c r="Q1220" t="s">
        <v>49</v>
      </c>
      <c r="R1220" t="str">
        <f>"0160075"</f>
        <v>0160075</v>
      </c>
      <c r="S1220" t="s">
        <v>939</v>
      </c>
      <c r="T1220" t="s">
        <v>936</v>
      </c>
      <c r="U1220" t="s">
        <v>937</v>
      </c>
      <c r="V1220" t="s">
        <v>938</v>
      </c>
      <c r="W1220" t="s">
        <v>51</v>
      </c>
      <c r="X1220" t="s">
        <v>45</v>
      </c>
      <c r="Y1220" s="1">
        <v>30622</v>
      </c>
      <c r="Z1220">
        <v>2</v>
      </c>
      <c r="AA1220" t="s">
        <v>937</v>
      </c>
      <c r="AB1220" s="40" t="s">
        <v>1797</v>
      </c>
    </row>
    <row r="1221" spans="1:28" x14ac:dyDescent="0.25">
      <c r="A1221">
        <v>99911220</v>
      </c>
      <c r="B1221" t="s">
        <v>56</v>
      </c>
      <c r="C1221" t="s">
        <v>52</v>
      </c>
      <c r="D1221" t="s">
        <v>53</v>
      </c>
      <c r="G1221" t="s">
        <v>35</v>
      </c>
      <c r="H1221">
        <v>1</v>
      </c>
      <c r="K1221" t="s">
        <v>300</v>
      </c>
      <c r="L1221" t="s">
        <v>301</v>
      </c>
      <c r="M1221" t="s">
        <v>131</v>
      </c>
      <c r="N1221">
        <v>16</v>
      </c>
      <c r="P1221" t="s">
        <v>41</v>
      </c>
      <c r="Q1221" t="s">
        <v>42</v>
      </c>
      <c r="R1221" t="str">
        <f>"0580457"</f>
        <v>0580457</v>
      </c>
      <c r="S1221" t="s">
        <v>310</v>
      </c>
      <c r="T1221" t="s">
        <v>300</v>
      </c>
      <c r="U1221" t="s">
        <v>301</v>
      </c>
      <c r="V1221" t="s">
        <v>131</v>
      </c>
      <c r="W1221" t="s">
        <v>51</v>
      </c>
      <c r="X1221" t="s">
        <v>45</v>
      </c>
      <c r="Y1221" s="1">
        <v>30429</v>
      </c>
      <c r="Z1221">
        <v>2</v>
      </c>
      <c r="AA1221" t="s">
        <v>301</v>
      </c>
      <c r="AB1221" s="40" t="s">
        <v>1797</v>
      </c>
    </row>
    <row r="1222" spans="1:28" x14ac:dyDescent="0.25">
      <c r="A1222">
        <v>99911221</v>
      </c>
      <c r="B1222" t="s">
        <v>32</v>
      </c>
      <c r="C1222" t="s">
        <v>61</v>
      </c>
      <c r="D1222" t="s">
        <v>62</v>
      </c>
      <c r="G1222" t="s">
        <v>48</v>
      </c>
      <c r="H1222">
        <v>5</v>
      </c>
      <c r="K1222" t="s">
        <v>1426</v>
      </c>
      <c r="L1222" t="s">
        <v>1427</v>
      </c>
      <c r="M1222" t="s">
        <v>1270</v>
      </c>
      <c r="N1222">
        <v>16</v>
      </c>
      <c r="P1222" t="s">
        <v>41</v>
      </c>
      <c r="Q1222" t="s">
        <v>75</v>
      </c>
      <c r="R1222" t="str">
        <f>"7192000"</f>
        <v>7192000</v>
      </c>
      <c r="S1222" t="s">
        <v>1429</v>
      </c>
      <c r="T1222" t="s">
        <v>1426</v>
      </c>
      <c r="U1222" t="s">
        <v>1427</v>
      </c>
      <c r="V1222" t="s">
        <v>1270</v>
      </c>
      <c r="W1222" t="s">
        <v>51</v>
      </c>
      <c r="X1222" t="s">
        <v>45</v>
      </c>
      <c r="Y1222" s="1">
        <v>30407</v>
      </c>
      <c r="Z1222">
        <v>1</v>
      </c>
      <c r="AA1222" t="s">
        <v>1427</v>
      </c>
      <c r="AB1222" s="40" t="s">
        <v>1797</v>
      </c>
    </row>
    <row r="1223" spans="1:28" x14ac:dyDescent="0.25">
      <c r="A1223">
        <v>99911222</v>
      </c>
      <c r="B1223" t="s">
        <v>56</v>
      </c>
      <c r="C1223" t="s">
        <v>61</v>
      </c>
      <c r="D1223" t="s">
        <v>62</v>
      </c>
      <c r="G1223" t="s">
        <v>35</v>
      </c>
      <c r="H1223">
        <v>1</v>
      </c>
      <c r="K1223" t="s">
        <v>1564</v>
      </c>
      <c r="L1223" t="s">
        <v>1565</v>
      </c>
      <c r="M1223" t="s">
        <v>1548</v>
      </c>
      <c r="N1223">
        <v>16</v>
      </c>
      <c r="P1223" t="s">
        <v>41</v>
      </c>
      <c r="Q1223" t="s">
        <v>75</v>
      </c>
      <c r="R1223" t="str">
        <f>"7101000"</f>
        <v>7101000</v>
      </c>
      <c r="S1223" t="s">
        <v>1572</v>
      </c>
      <c r="T1223" t="s">
        <v>1564</v>
      </c>
      <c r="U1223" t="s">
        <v>1565</v>
      </c>
      <c r="V1223" t="s">
        <v>1548</v>
      </c>
      <c r="W1223" t="s">
        <v>51</v>
      </c>
      <c r="X1223" t="s">
        <v>45</v>
      </c>
      <c r="Y1223" s="1">
        <v>30378</v>
      </c>
      <c r="Z1223">
        <v>1</v>
      </c>
      <c r="AA1223" t="s">
        <v>1565</v>
      </c>
      <c r="AB1223" s="40" t="s">
        <v>1797</v>
      </c>
    </row>
    <row r="1224" spans="1:28" x14ac:dyDescent="0.25">
      <c r="A1224">
        <v>99911223</v>
      </c>
      <c r="B1224" t="s">
        <v>32</v>
      </c>
      <c r="C1224" t="s">
        <v>136</v>
      </c>
      <c r="D1224" t="s">
        <v>137</v>
      </c>
      <c r="G1224" t="s">
        <v>35</v>
      </c>
      <c r="H1224">
        <v>1</v>
      </c>
      <c r="I1224" t="s">
        <v>273</v>
      </c>
      <c r="J1224" s="1">
        <v>41900</v>
      </c>
      <c r="K1224" t="s">
        <v>354</v>
      </c>
      <c r="L1224" t="s">
        <v>355</v>
      </c>
      <c r="M1224" t="s">
        <v>131</v>
      </c>
      <c r="N1224">
        <v>16</v>
      </c>
      <c r="O1224" s="1">
        <v>41900</v>
      </c>
      <c r="P1224" t="s">
        <v>41</v>
      </c>
      <c r="Q1224" t="s">
        <v>75</v>
      </c>
      <c r="R1224" t="str">
        <f>"7054020"</f>
        <v>7054020</v>
      </c>
      <c r="S1224" t="s">
        <v>765</v>
      </c>
      <c r="T1224" t="s">
        <v>354</v>
      </c>
      <c r="U1224" t="s">
        <v>355</v>
      </c>
      <c r="V1224" t="s">
        <v>131</v>
      </c>
      <c r="W1224" t="s">
        <v>51</v>
      </c>
      <c r="X1224" t="s">
        <v>45</v>
      </c>
      <c r="Y1224" s="1">
        <v>30317</v>
      </c>
      <c r="Z1224">
        <v>1</v>
      </c>
      <c r="AA1224" t="s">
        <v>355</v>
      </c>
      <c r="AB1224" s="40" t="s">
        <v>1797</v>
      </c>
    </row>
    <row r="1225" spans="1:28" x14ac:dyDescent="0.25">
      <c r="A1225">
        <v>99911224</v>
      </c>
      <c r="B1225" t="s">
        <v>32</v>
      </c>
      <c r="C1225" t="s">
        <v>46</v>
      </c>
      <c r="D1225" t="s">
        <v>47</v>
      </c>
      <c r="G1225" t="s">
        <v>35</v>
      </c>
      <c r="H1225">
        <v>1</v>
      </c>
      <c r="I1225" t="s">
        <v>1603</v>
      </c>
      <c r="J1225" s="1">
        <v>43344</v>
      </c>
      <c r="K1225" t="s">
        <v>1590</v>
      </c>
      <c r="L1225" t="s">
        <v>1591</v>
      </c>
      <c r="M1225" t="s">
        <v>1592</v>
      </c>
      <c r="N1225">
        <v>16</v>
      </c>
      <c r="O1225" s="1">
        <v>43344</v>
      </c>
      <c r="P1225" t="s">
        <v>41</v>
      </c>
      <c r="Q1225" t="s">
        <v>49</v>
      </c>
      <c r="R1225" t="str">
        <f>"0260001"</f>
        <v>0260001</v>
      </c>
      <c r="S1225" t="s">
        <v>1595</v>
      </c>
      <c r="T1225" t="s">
        <v>1590</v>
      </c>
      <c r="U1225" t="s">
        <v>1591</v>
      </c>
      <c r="V1225" t="s">
        <v>1592</v>
      </c>
      <c r="W1225" t="s">
        <v>51</v>
      </c>
      <c r="X1225" t="s">
        <v>45</v>
      </c>
      <c r="Y1225" s="1">
        <v>30061</v>
      </c>
      <c r="Z1225">
        <v>2</v>
      </c>
      <c r="AA1225" t="s">
        <v>1591</v>
      </c>
      <c r="AB1225" s="40" t="s">
        <v>1797</v>
      </c>
    </row>
    <row r="1226" spans="1:28" x14ac:dyDescent="0.25">
      <c r="A1226">
        <v>99911225</v>
      </c>
      <c r="B1226" t="s">
        <v>32</v>
      </c>
      <c r="C1226" t="s">
        <v>79</v>
      </c>
      <c r="D1226" t="s">
        <v>80</v>
      </c>
      <c r="G1226" t="s">
        <v>35</v>
      </c>
      <c r="H1226">
        <v>1</v>
      </c>
      <c r="I1226">
        <v>0</v>
      </c>
      <c r="J1226" s="1">
        <v>43344</v>
      </c>
      <c r="K1226" t="s">
        <v>223</v>
      </c>
      <c r="L1226" t="s">
        <v>224</v>
      </c>
      <c r="M1226" t="s">
        <v>131</v>
      </c>
      <c r="N1226">
        <v>16</v>
      </c>
      <c r="O1226" s="1">
        <v>43344</v>
      </c>
      <c r="P1226" t="s">
        <v>41</v>
      </c>
      <c r="Q1226" t="s">
        <v>49</v>
      </c>
      <c r="R1226" t="str">
        <f>"0591901"</f>
        <v>0591901</v>
      </c>
      <c r="S1226" t="s">
        <v>230</v>
      </c>
      <c r="T1226" t="s">
        <v>223</v>
      </c>
      <c r="U1226" t="s">
        <v>224</v>
      </c>
      <c r="V1226" t="s">
        <v>131</v>
      </c>
      <c r="W1226" t="s">
        <v>44</v>
      </c>
      <c r="X1226" t="s">
        <v>45</v>
      </c>
      <c r="Y1226" s="1">
        <v>30058</v>
      </c>
      <c r="Z1226">
        <v>2</v>
      </c>
      <c r="AA1226" t="s">
        <v>224</v>
      </c>
      <c r="AB1226" s="40" t="s">
        <v>1797</v>
      </c>
    </row>
    <row r="1227" spans="1:28" x14ac:dyDescent="0.25">
      <c r="A1227">
        <v>99911226</v>
      </c>
      <c r="B1227" t="s">
        <v>56</v>
      </c>
      <c r="C1227" t="s">
        <v>79</v>
      </c>
      <c r="D1227" t="s">
        <v>80</v>
      </c>
      <c r="G1227" t="s">
        <v>48</v>
      </c>
      <c r="H1227">
        <v>1</v>
      </c>
      <c r="K1227" t="s">
        <v>380</v>
      </c>
      <c r="L1227" t="s">
        <v>381</v>
      </c>
      <c r="M1227" t="s">
        <v>131</v>
      </c>
      <c r="N1227">
        <v>16</v>
      </c>
      <c r="P1227" t="s">
        <v>41</v>
      </c>
      <c r="Q1227" t="s">
        <v>49</v>
      </c>
      <c r="R1227" t="str">
        <f>"0580552"</f>
        <v>0580552</v>
      </c>
      <c r="S1227" t="s">
        <v>386</v>
      </c>
      <c r="T1227" t="s">
        <v>380</v>
      </c>
      <c r="U1227" t="s">
        <v>381</v>
      </c>
      <c r="V1227" t="s">
        <v>131</v>
      </c>
      <c r="W1227" t="s">
        <v>51</v>
      </c>
      <c r="X1227" t="s">
        <v>45</v>
      </c>
      <c r="Y1227" s="1">
        <v>29858</v>
      </c>
      <c r="Z1227">
        <v>2</v>
      </c>
      <c r="AA1227" t="s">
        <v>381</v>
      </c>
      <c r="AB1227" s="40" t="s">
        <v>1797</v>
      </c>
    </row>
    <row r="1228" spans="1:28" x14ac:dyDescent="0.25">
      <c r="A1228">
        <v>99911227</v>
      </c>
      <c r="B1228" t="s">
        <v>32</v>
      </c>
      <c r="C1228" t="s">
        <v>143</v>
      </c>
      <c r="D1228" t="s">
        <v>144</v>
      </c>
      <c r="G1228" t="s">
        <v>35</v>
      </c>
      <c r="H1228">
        <v>1</v>
      </c>
      <c r="I1228" t="s">
        <v>286</v>
      </c>
      <c r="J1228" s="1">
        <v>43344</v>
      </c>
      <c r="K1228" t="s">
        <v>268</v>
      </c>
      <c r="L1228" t="s">
        <v>269</v>
      </c>
      <c r="M1228" t="s">
        <v>131</v>
      </c>
      <c r="N1228">
        <v>16</v>
      </c>
      <c r="P1228" t="s">
        <v>41</v>
      </c>
      <c r="Q1228" t="s">
        <v>75</v>
      </c>
      <c r="R1228" t="str">
        <f>"7052018"</f>
        <v>7052018</v>
      </c>
      <c r="S1228" t="s">
        <v>577</v>
      </c>
      <c r="T1228" t="s">
        <v>268</v>
      </c>
      <c r="U1228" t="s">
        <v>269</v>
      </c>
      <c r="V1228" t="s">
        <v>131</v>
      </c>
      <c r="W1228" t="s">
        <v>51</v>
      </c>
      <c r="X1228" t="s">
        <v>45</v>
      </c>
      <c r="Y1228" s="1">
        <v>29848</v>
      </c>
      <c r="Z1228">
        <v>1</v>
      </c>
      <c r="AA1228" t="s">
        <v>269</v>
      </c>
      <c r="AB1228" s="40" t="s">
        <v>1797</v>
      </c>
    </row>
    <row r="1229" spans="1:28" x14ac:dyDescent="0.25">
      <c r="A1229">
        <v>99911228</v>
      </c>
      <c r="B1229" t="s">
        <v>32</v>
      </c>
      <c r="C1229" t="s">
        <v>58</v>
      </c>
      <c r="D1229" t="s">
        <v>59</v>
      </c>
      <c r="G1229" t="s">
        <v>48</v>
      </c>
      <c r="H1229">
        <v>1</v>
      </c>
      <c r="K1229" t="s">
        <v>380</v>
      </c>
      <c r="L1229" t="s">
        <v>381</v>
      </c>
      <c r="M1229" t="s">
        <v>131</v>
      </c>
      <c r="N1229">
        <v>16</v>
      </c>
      <c r="P1229" t="s">
        <v>41</v>
      </c>
      <c r="Q1229" t="s">
        <v>42</v>
      </c>
      <c r="R1229" t="str">
        <f>"0590908"</f>
        <v>0590908</v>
      </c>
      <c r="S1229" t="s">
        <v>382</v>
      </c>
      <c r="T1229" t="s">
        <v>380</v>
      </c>
      <c r="U1229" t="s">
        <v>381</v>
      </c>
      <c r="V1229" t="s">
        <v>131</v>
      </c>
      <c r="W1229" t="s">
        <v>51</v>
      </c>
      <c r="X1229" t="s">
        <v>45</v>
      </c>
      <c r="Y1229" s="1">
        <v>29805</v>
      </c>
      <c r="Z1229">
        <v>2</v>
      </c>
      <c r="AA1229" t="s">
        <v>381</v>
      </c>
      <c r="AB1229" s="40" t="s">
        <v>1797</v>
      </c>
    </row>
    <row r="1230" spans="1:28" x14ac:dyDescent="0.25">
      <c r="A1230">
        <v>99911229</v>
      </c>
      <c r="B1230" t="s">
        <v>56</v>
      </c>
      <c r="C1230" t="s">
        <v>143</v>
      </c>
      <c r="D1230" t="s">
        <v>144</v>
      </c>
      <c r="G1230" t="s">
        <v>35</v>
      </c>
      <c r="H1230">
        <v>1</v>
      </c>
      <c r="I1230" t="s">
        <v>572</v>
      </c>
      <c r="J1230" s="1">
        <v>42298</v>
      </c>
      <c r="K1230" t="s">
        <v>195</v>
      </c>
      <c r="L1230" t="s">
        <v>196</v>
      </c>
      <c r="M1230" t="s">
        <v>131</v>
      </c>
      <c r="N1230">
        <v>16</v>
      </c>
      <c r="O1230" s="1">
        <v>42298</v>
      </c>
      <c r="P1230" t="s">
        <v>41</v>
      </c>
      <c r="Q1230" t="s">
        <v>75</v>
      </c>
      <c r="R1230" t="str">
        <f>"7521050"</f>
        <v>7521050</v>
      </c>
      <c r="S1230" t="s">
        <v>194</v>
      </c>
      <c r="T1230" t="s">
        <v>195</v>
      </c>
      <c r="U1230" t="s">
        <v>196</v>
      </c>
      <c r="V1230" t="s">
        <v>131</v>
      </c>
      <c r="W1230" t="s">
        <v>51</v>
      </c>
      <c r="X1230" t="s">
        <v>45</v>
      </c>
      <c r="Y1230" s="1">
        <v>29790</v>
      </c>
      <c r="Z1230">
        <v>1</v>
      </c>
      <c r="AA1230" t="s">
        <v>196</v>
      </c>
      <c r="AB1230" s="40" t="s">
        <v>1797</v>
      </c>
    </row>
    <row r="1231" spans="1:28" x14ac:dyDescent="0.25">
      <c r="A1231">
        <v>99911230</v>
      </c>
      <c r="B1231" t="s">
        <v>56</v>
      </c>
      <c r="C1231" t="s">
        <v>82</v>
      </c>
      <c r="D1231" t="s">
        <v>83</v>
      </c>
      <c r="G1231" t="s">
        <v>48</v>
      </c>
      <c r="H1231">
        <v>1</v>
      </c>
      <c r="I1231" t="s">
        <v>1319</v>
      </c>
      <c r="K1231" t="s">
        <v>1306</v>
      </c>
      <c r="L1231" t="s">
        <v>1307</v>
      </c>
      <c r="M1231" t="s">
        <v>1270</v>
      </c>
      <c r="N1231">
        <v>16</v>
      </c>
      <c r="P1231" t="s">
        <v>41</v>
      </c>
      <c r="Q1231" t="s">
        <v>42</v>
      </c>
      <c r="R1231" t="str">
        <f>"1990913"</f>
        <v>1990913</v>
      </c>
      <c r="S1231" t="s">
        <v>1312</v>
      </c>
      <c r="T1231" t="s">
        <v>1306</v>
      </c>
      <c r="U1231" t="s">
        <v>1307</v>
      </c>
      <c r="V1231" t="s">
        <v>1270</v>
      </c>
      <c r="W1231" t="s">
        <v>51</v>
      </c>
      <c r="X1231" t="s">
        <v>45</v>
      </c>
      <c r="Y1231" s="1">
        <v>29743</v>
      </c>
      <c r="Z1231">
        <v>2</v>
      </c>
      <c r="AA1231" t="s">
        <v>1307</v>
      </c>
      <c r="AB1231" s="40" t="s">
        <v>1797</v>
      </c>
    </row>
    <row r="1232" spans="1:28" x14ac:dyDescent="0.25">
      <c r="A1232">
        <v>99911231</v>
      </c>
      <c r="B1232" t="s">
        <v>56</v>
      </c>
      <c r="C1232" t="s">
        <v>79</v>
      </c>
      <c r="D1232" t="s">
        <v>80</v>
      </c>
      <c r="G1232" t="s">
        <v>48</v>
      </c>
      <c r="H1232">
        <v>1</v>
      </c>
      <c r="K1232" t="s">
        <v>1631</v>
      </c>
      <c r="L1232" t="s">
        <v>1632</v>
      </c>
      <c r="M1232" t="s">
        <v>1592</v>
      </c>
      <c r="N1232">
        <v>16</v>
      </c>
      <c r="P1232" t="s">
        <v>41</v>
      </c>
      <c r="Q1232" t="s">
        <v>75</v>
      </c>
      <c r="R1232" t="str">
        <f>"7021000"</f>
        <v>7021000</v>
      </c>
      <c r="S1232" t="s">
        <v>1633</v>
      </c>
      <c r="T1232" t="s">
        <v>1631</v>
      </c>
      <c r="U1232" t="s">
        <v>1632</v>
      </c>
      <c r="V1232" t="s">
        <v>1592</v>
      </c>
      <c r="W1232" t="s">
        <v>51</v>
      </c>
      <c r="X1232" t="s">
        <v>45</v>
      </c>
      <c r="Y1232" s="1">
        <v>29661</v>
      </c>
      <c r="Z1232">
        <v>1</v>
      </c>
      <c r="AA1232" t="s">
        <v>1632</v>
      </c>
      <c r="AB1232" s="40" t="s">
        <v>1797</v>
      </c>
    </row>
    <row r="1233" spans="1:29" x14ac:dyDescent="0.25">
      <c r="A1233">
        <v>99911232</v>
      </c>
      <c r="B1233" t="s">
        <v>32</v>
      </c>
      <c r="C1233" t="s">
        <v>85</v>
      </c>
      <c r="D1233" t="s">
        <v>86</v>
      </c>
      <c r="G1233" t="s">
        <v>35</v>
      </c>
      <c r="H1233">
        <v>1</v>
      </c>
      <c r="I1233">
        <v>11613</v>
      </c>
      <c r="J1233" s="1">
        <v>43395</v>
      </c>
      <c r="K1233" t="s">
        <v>1325</v>
      </c>
      <c r="L1233" t="s">
        <v>1326</v>
      </c>
      <c r="M1233" t="s">
        <v>1270</v>
      </c>
      <c r="N1233">
        <v>16</v>
      </c>
      <c r="O1233" s="1">
        <v>43395</v>
      </c>
      <c r="P1233" t="s">
        <v>41</v>
      </c>
      <c r="Q1233" t="s">
        <v>49</v>
      </c>
      <c r="R1233" t="str">
        <f>"3981100"</f>
        <v>3981100</v>
      </c>
      <c r="S1233" t="s">
        <v>1327</v>
      </c>
      <c r="T1233" t="s">
        <v>1325</v>
      </c>
      <c r="U1233" t="s">
        <v>1326</v>
      </c>
      <c r="V1233" t="s">
        <v>1270</v>
      </c>
      <c r="W1233" t="s">
        <v>44</v>
      </c>
      <c r="X1233" t="s">
        <v>45</v>
      </c>
      <c r="Y1233" s="1">
        <v>29594</v>
      </c>
      <c r="Z1233">
        <v>2</v>
      </c>
      <c r="AA1233" t="s">
        <v>1326</v>
      </c>
      <c r="AB1233" s="40" t="s">
        <v>1797</v>
      </c>
    </row>
    <row r="1234" spans="1:29" x14ac:dyDescent="0.25">
      <c r="A1234">
        <v>99911233</v>
      </c>
      <c r="B1234" t="s">
        <v>32</v>
      </c>
      <c r="C1234" t="s">
        <v>68</v>
      </c>
      <c r="D1234" t="s">
        <v>69</v>
      </c>
      <c r="G1234" t="s">
        <v>48</v>
      </c>
      <c r="H1234">
        <v>1</v>
      </c>
      <c r="K1234" t="s">
        <v>936</v>
      </c>
      <c r="L1234" t="s">
        <v>937</v>
      </c>
      <c r="M1234" t="s">
        <v>938</v>
      </c>
      <c r="N1234">
        <v>16</v>
      </c>
      <c r="P1234" t="s">
        <v>41</v>
      </c>
      <c r="Q1234" t="s">
        <v>42</v>
      </c>
      <c r="R1234" t="str">
        <f>"0161003"</f>
        <v>0161003</v>
      </c>
      <c r="S1234" t="s">
        <v>942</v>
      </c>
      <c r="T1234" t="s">
        <v>936</v>
      </c>
      <c r="U1234" t="s">
        <v>937</v>
      </c>
      <c r="V1234" t="s">
        <v>938</v>
      </c>
      <c r="W1234" t="s">
        <v>51</v>
      </c>
      <c r="X1234" t="s">
        <v>45</v>
      </c>
      <c r="Y1234" s="1">
        <v>29587</v>
      </c>
      <c r="Z1234">
        <v>2</v>
      </c>
      <c r="AA1234" t="s">
        <v>937</v>
      </c>
      <c r="AB1234" s="40" t="s">
        <v>1797</v>
      </c>
    </row>
    <row r="1235" spans="1:29" x14ac:dyDescent="0.25">
      <c r="A1235">
        <v>99911234</v>
      </c>
      <c r="B1235" t="s">
        <v>32</v>
      </c>
      <c r="C1235" t="s">
        <v>64</v>
      </c>
      <c r="D1235" t="s">
        <v>65</v>
      </c>
      <c r="G1235" t="s">
        <v>35</v>
      </c>
      <c r="H1235">
        <v>1</v>
      </c>
      <c r="I1235">
        <v>11620</v>
      </c>
      <c r="J1235" s="1">
        <v>43344</v>
      </c>
      <c r="K1235" t="s">
        <v>354</v>
      </c>
      <c r="L1235" t="s">
        <v>355</v>
      </c>
      <c r="M1235" t="s">
        <v>131</v>
      </c>
      <c r="N1235">
        <v>16</v>
      </c>
      <c r="O1235" s="1">
        <v>43344</v>
      </c>
      <c r="P1235" t="s">
        <v>41</v>
      </c>
      <c r="Q1235" t="s">
        <v>75</v>
      </c>
      <c r="R1235" t="str">
        <f>"7054038"</f>
        <v>7054038</v>
      </c>
      <c r="S1235" t="s">
        <v>377</v>
      </c>
      <c r="T1235" t="s">
        <v>354</v>
      </c>
      <c r="U1235" t="s">
        <v>355</v>
      </c>
      <c r="V1235" t="s">
        <v>131</v>
      </c>
      <c r="W1235" t="s">
        <v>44</v>
      </c>
      <c r="X1235" t="s">
        <v>45</v>
      </c>
      <c r="Y1235" s="1">
        <v>29504</v>
      </c>
      <c r="Z1235">
        <v>1</v>
      </c>
      <c r="AA1235" t="s">
        <v>355</v>
      </c>
      <c r="AB1235" s="40" t="s">
        <v>1797</v>
      </c>
    </row>
    <row r="1236" spans="1:29" x14ac:dyDescent="0.25">
      <c r="A1236">
        <v>99911235</v>
      </c>
      <c r="B1236" t="s">
        <v>32</v>
      </c>
      <c r="C1236" t="s">
        <v>52</v>
      </c>
      <c r="D1236" t="s">
        <v>53</v>
      </c>
      <c r="G1236" t="s">
        <v>48</v>
      </c>
      <c r="H1236">
        <v>1</v>
      </c>
      <c r="K1236" t="s">
        <v>223</v>
      </c>
      <c r="L1236" t="s">
        <v>224</v>
      </c>
      <c r="M1236" t="s">
        <v>131</v>
      </c>
      <c r="N1236">
        <v>16</v>
      </c>
      <c r="P1236" t="s">
        <v>41</v>
      </c>
      <c r="Q1236" t="s">
        <v>49</v>
      </c>
      <c r="R1236" t="str">
        <f>"0581207"</f>
        <v>0581207</v>
      </c>
      <c r="S1236" t="s">
        <v>233</v>
      </c>
      <c r="T1236" t="s">
        <v>223</v>
      </c>
      <c r="U1236" t="s">
        <v>224</v>
      </c>
      <c r="V1236" t="s">
        <v>131</v>
      </c>
      <c r="W1236" t="s">
        <v>51</v>
      </c>
      <c r="X1236" t="s">
        <v>45</v>
      </c>
      <c r="Y1236" s="1">
        <v>29372</v>
      </c>
      <c r="Z1236">
        <v>2</v>
      </c>
      <c r="AA1236" t="s">
        <v>224</v>
      </c>
      <c r="AB1236" s="40" t="s">
        <v>1797</v>
      </c>
    </row>
    <row r="1237" spans="1:29" x14ac:dyDescent="0.25">
      <c r="A1237">
        <v>99911236</v>
      </c>
      <c r="B1237" t="s">
        <v>56</v>
      </c>
      <c r="C1237" t="s">
        <v>46</v>
      </c>
      <c r="D1237" t="s">
        <v>47</v>
      </c>
      <c r="G1237" t="s">
        <v>48</v>
      </c>
      <c r="H1237">
        <v>1</v>
      </c>
      <c r="K1237" t="s">
        <v>157</v>
      </c>
      <c r="L1237" t="s">
        <v>158</v>
      </c>
      <c r="M1237" t="s">
        <v>131</v>
      </c>
      <c r="N1237">
        <v>16</v>
      </c>
      <c r="P1237" t="s">
        <v>41</v>
      </c>
      <c r="Q1237" t="s">
        <v>42</v>
      </c>
      <c r="R1237" t="str">
        <f>"0580735"</f>
        <v>0580735</v>
      </c>
      <c r="S1237" t="s">
        <v>180</v>
      </c>
      <c r="T1237" t="s">
        <v>157</v>
      </c>
      <c r="U1237" t="s">
        <v>158</v>
      </c>
      <c r="V1237" t="s">
        <v>131</v>
      </c>
      <c r="W1237" t="s">
        <v>51</v>
      </c>
      <c r="X1237" t="s">
        <v>45</v>
      </c>
      <c r="Y1237" s="1">
        <v>29221</v>
      </c>
      <c r="Z1237">
        <v>2</v>
      </c>
      <c r="AA1237" t="s">
        <v>158</v>
      </c>
      <c r="AB1237" s="40" t="s">
        <v>1797</v>
      </c>
    </row>
    <row r="1238" spans="1:29" x14ac:dyDescent="0.25">
      <c r="A1238">
        <v>99911237</v>
      </c>
      <c r="B1238" t="s">
        <v>32</v>
      </c>
      <c r="C1238" t="s">
        <v>46</v>
      </c>
      <c r="D1238" t="s">
        <v>47</v>
      </c>
      <c r="G1238" t="s">
        <v>48</v>
      </c>
      <c r="H1238">
        <v>1</v>
      </c>
      <c r="K1238" t="s">
        <v>1566</v>
      </c>
      <c r="L1238" t="s">
        <v>1567</v>
      </c>
      <c r="M1238" t="s">
        <v>1548</v>
      </c>
      <c r="N1238">
        <v>16</v>
      </c>
      <c r="P1238" t="s">
        <v>41</v>
      </c>
      <c r="Q1238" t="s">
        <v>42</v>
      </c>
      <c r="R1238" t="str">
        <f>"2961001"</f>
        <v>2961001</v>
      </c>
      <c r="S1238" t="s">
        <v>1568</v>
      </c>
      <c r="T1238" t="s">
        <v>1566</v>
      </c>
      <c r="U1238" t="s">
        <v>1567</v>
      </c>
      <c r="V1238" t="s">
        <v>1548</v>
      </c>
      <c r="W1238" t="s">
        <v>51</v>
      </c>
      <c r="X1238" t="s">
        <v>45</v>
      </c>
      <c r="Y1238" s="1">
        <v>29221</v>
      </c>
      <c r="Z1238">
        <v>2</v>
      </c>
      <c r="AA1238" t="s">
        <v>1567</v>
      </c>
      <c r="AB1238" s="40" t="s">
        <v>1797</v>
      </c>
    </row>
    <row r="1239" spans="1:29" x14ac:dyDescent="0.25">
      <c r="A1239">
        <v>99911238</v>
      </c>
      <c r="B1239" t="s">
        <v>56</v>
      </c>
      <c r="C1239" t="s">
        <v>33</v>
      </c>
      <c r="D1239" t="s">
        <v>34</v>
      </c>
      <c r="G1239" t="s">
        <v>48</v>
      </c>
      <c r="H1239">
        <v>1</v>
      </c>
      <c r="K1239" t="s">
        <v>380</v>
      </c>
      <c r="L1239" t="s">
        <v>381</v>
      </c>
      <c r="M1239" t="s">
        <v>131</v>
      </c>
      <c r="N1239">
        <v>16</v>
      </c>
      <c r="P1239" t="s">
        <v>41</v>
      </c>
      <c r="Q1239" t="s">
        <v>42</v>
      </c>
      <c r="R1239" t="str">
        <f>"0561010"</f>
        <v>0561010</v>
      </c>
      <c r="S1239" t="s">
        <v>387</v>
      </c>
      <c r="T1239" t="s">
        <v>380</v>
      </c>
      <c r="U1239" t="s">
        <v>381</v>
      </c>
      <c r="V1239" t="s">
        <v>131</v>
      </c>
      <c r="W1239" t="s">
        <v>51</v>
      </c>
      <c r="X1239" t="s">
        <v>45</v>
      </c>
      <c r="Y1239" s="1">
        <v>28856</v>
      </c>
      <c r="Z1239">
        <v>2</v>
      </c>
      <c r="AA1239" t="s">
        <v>381</v>
      </c>
      <c r="AB1239" s="40" t="s">
        <v>1797</v>
      </c>
    </row>
    <row r="1240" spans="1:29" x14ac:dyDescent="0.25">
      <c r="A1240">
        <v>99911239</v>
      </c>
      <c r="B1240" t="s">
        <v>32</v>
      </c>
      <c r="C1240" t="s">
        <v>141</v>
      </c>
      <c r="D1240" t="s">
        <v>142</v>
      </c>
      <c r="G1240" t="s">
        <v>35</v>
      </c>
      <c r="H1240">
        <v>1</v>
      </c>
      <c r="K1240" t="s">
        <v>947</v>
      </c>
      <c r="L1240" t="s">
        <v>948</v>
      </c>
      <c r="M1240" t="s">
        <v>938</v>
      </c>
      <c r="N1240">
        <v>16</v>
      </c>
      <c r="P1240" t="s">
        <v>41</v>
      </c>
      <c r="Q1240" t="s">
        <v>49</v>
      </c>
      <c r="R1240" t="str">
        <f>"0605000"</f>
        <v>0605000</v>
      </c>
      <c r="S1240" t="s">
        <v>950</v>
      </c>
      <c r="T1240" t="s">
        <v>947</v>
      </c>
      <c r="U1240" t="s">
        <v>948</v>
      </c>
      <c r="V1240" t="s">
        <v>938</v>
      </c>
      <c r="W1240" t="s">
        <v>51</v>
      </c>
      <c r="X1240" t="s">
        <v>45</v>
      </c>
      <c r="Y1240" s="1">
        <v>28430</v>
      </c>
      <c r="Z1240">
        <v>2</v>
      </c>
      <c r="AA1240" t="s">
        <v>948</v>
      </c>
      <c r="AB1240" s="40" t="s">
        <v>1797</v>
      </c>
    </row>
    <row r="1241" spans="1:29" x14ac:dyDescent="0.25">
      <c r="A1241">
        <v>99911240</v>
      </c>
      <c r="B1241" t="s">
        <v>32</v>
      </c>
      <c r="C1241" t="s">
        <v>136</v>
      </c>
      <c r="D1241" t="s">
        <v>137</v>
      </c>
      <c r="G1241" t="s">
        <v>48</v>
      </c>
      <c r="H1241">
        <v>4</v>
      </c>
      <c r="K1241" t="s">
        <v>195</v>
      </c>
      <c r="L1241" t="s">
        <v>196</v>
      </c>
      <c r="M1241" t="s">
        <v>131</v>
      </c>
      <c r="N1241">
        <v>16</v>
      </c>
      <c r="O1241" s="1">
        <v>40422</v>
      </c>
      <c r="P1241" t="s">
        <v>41</v>
      </c>
      <c r="Q1241" t="s">
        <v>75</v>
      </c>
      <c r="R1241" t="str">
        <f>"7521046"</f>
        <v>7521046</v>
      </c>
      <c r="S1241" t="s">
        <v>436</v>
      </c>
      <c r="T1241" t="s">
        <v>195</v>
      </c>
      <c r="U1241" t="s">
        <v>196</v>
      </c>
      <c r="V1241" t="s">
        <v>131</v>
      </c>
      <c r="W1241" t="s">
        <v>51</v>
      </c>
      <c r="X1241" t="s">
        <v>45</v>
      </c>
      <c r="Y1241" s="1">
        <v>28380</v>
      </c>
      <c r="Z1241">
        <v>1</v>
      </c>
      <c r="AA1241" t="s">
        <v>196</v>
      </c>
      <c r="AB1241" s="40" t="s">
        <v>1797</v>
      </c>
    </row>
    <row r="1242" spans="1:29" x14ac:dyDescent="0.25">
      <c r="A1242">
        <v>99911241</v>
      </c>
      <c r="B1242" t="s">
        <v>56</v>
      </c>
      <c r="C1242" t="s">
        <v>46</v>
      </c>
      <c r="D1242" t="s">
        <v>47</v>
      </c>
      <c r="G1242" t="s">
        <v>48</v>
      </c>
      <c r="H1242">
        <v>1</v>
      </c>
      <c r="K1242" t="s">
        <v>1487</v>
      </c>
      <c r="L1242" t="s">
        <v>1488</v>
      </c>
      <c r="M1242" t="s">
        <v>670</v>
      </c>
      <c r="N1242">
        <v>16</v>
      </c>
      <c r="P1242" t="s">
        <v>41</v>
      </c>
      <c r="Q1242" t="s">
        <v>42</v>
      </c>
      <c r="R1242" t="str">
        <f>"1780020"</f>
        <v>1780020</v>
      </c>
      <c r="S1242" t="s">
        <v>1490</v>
      </c>
      <c r="T1242" t="s">
        <v>1487</v>
      </c>
      <c r="U1242" t="s">
        <v>1488</v>
      </c>
      <c r="V1242" t="s">
        <v>670</v>
      </c>
      <c r="W1242" t="s">
        <v>51</v>
      </c>
      <c r="X1242" t="s">
        <v>45</v>
      </c>
      <c r="Y1242" s="1">
        <v>28126</v>
      </c>
      <c r="Z1242">
        <v>2</v>
      </c>
      <c r="AA1242" t="s">
        <v>1488</v>
      </c>
      <c r="AB1242" s="40" t="s">
        <v>1797</v>
      </c>
    </row>
    <row r="1243" spans="1:29" x14ac:dyDescent="0.25">
      <c r="A1243">
        <v>99911242</v>
      </c>
      <c r="B1243" t="s">
        <v>32</v>
      </c>
      <c r="C1243" t="s">
        <v>139</v>
      </c>
      <c r="D1243" t="s">
        <v>140</v>
      </c>
      <c r="G1243" t="s">
        <v>35</v>
      </c>
      <c r="H1243">
        <v>1</v>
      </c>
      <c r="K1243" t="s">
        <v>1581</v>
      </c>
      <c r="L1243" t="s">
        <v>1582</v>
      </c>
      <c r="M1243" t="s">
        <v>1548</v>
      </c>
      <c r="N1243">
        <v>16</v>
      </c>
      <c r="P1243" t="s">
        <v>41</v>
      </c>
      <c r="Q1243" t="s">
        <v>75</v>
      </c>
      <c r="R1243" t="str">
        <f>"7291002"</f>
        <v>7291002</v>
      </c>
      <c r="S1243" t="s">
        <v>1583</v>
      </c>
      <c r="T1243" t="s">
        <v>1581</v>
      </c>
      <c r="U1243" t="s">
        <v>1582</v>
      </c>
      <c r="V1243" t="s">
        <v>1548</v>
      </c>
      <c r="W1243" t="s">
        <v>51</v>
      </c>
      <c r="X1243" t="s">
        <v>45</v>
      </c>
      <c r="Y1243" s="1">
        <v>28017</v>
      </c>
      <c r="Z1243">
        <v>1</v>
      </c>
      <c r="AA1243" t="s">
        <v>1582</v>
      </c>
      <c r="AB1243" s="40" t="s">
        <v>1797</v>
      </c>
    </row>
    <row r="1244" spans="1:29" x14ac:dyDescent="0.25">
      <c r="A1244">
        <v>99911243</v>
      </c>
      <c r="B1244" t="s">
        <v>32</v>
      </c>
      <c r="C1244" t="s">
        <v>46</v>
      </c>
      <c r="D1244" t="s">
        <v>47</v>
      </c>
      <c r="G1244" t="s">
        <v>48</v>
      </c>
      <c r="H1244">
        <v>1</v>
      </c>
      <c r="K1244" t="s">
        <v>157</v>
      </c>
      <c r="L1244" t="s">
        <v>158</v>
      </c>
      <c r="M1244" t="s">
        <v>131</v>
      </c>
      <c r="N1244">
        <v>16</v>
      </c>
      <c r="P1244" t="s">
        <v>41</v>
      </c>
      <c r="Q1244" t="s">
        <v>42</v>
      </c>
      <c r="R1244" t="str">
        <f>"0580735"</f>
        <v>0580735</v>
      </c>
      <c r="S1244" t="s">
        <v>180</v>
      </c>
      <c r="T1244" t="s">
        <v>157</v>
      </c>
      <c r="U1244" t="s">
        <v>158</v>
      </c>
      <c r="V1244" t="s">
        <v>131</v>
      </c>
      <c r="W1244" t="s">
        <v>51</v>
      </c>
      <c r="X1244" t="s">
        <v>45</v>
      </c>
      <c r="Y1244" s="1">
        <v>27794</v>
      </c>
      <c r="Z1244">
        <v>2</v>
      </c>
      <c r="AA1244" t="s">
        <v>158</v>
      </c>
      <c r="AB1244" s="40" t="s">
        <v>1797</v>
      </c>
    </row>
    <row r="1245" spans="1:29" x14ac:dyDescent="0.25">
      <c r="A1245">
        <v>99911244</v>
      </c>
      <c r="B1245" t="s">
        <v>32</v>
      </c>
      <c r="C1245" t="s">
        <v>79</v>
      </c>
      <c r="D1245" t="s">
        <v>80</v>
      </c>
      <c r="G1245" t="s">
        <v>35</v>
      </c>
      <c r="H1245">
        <v>1</v>
      </c>
      <c r="I1245" t="s">
        <v>120</v>
      </c>
      <c r="J1245" s="1">
        <v>43369</v>
      </c>
      <c r="K1245" t="s">
        <v>77</v>
      </c>
      <c r="L1245" t="s">
        <v>78</v>
      </c>
      <c r="M1245" t="s">
        <v>39</v>
      </c>
      <c r="N1245">
        <v>16</v>
      </c>
      <c r="O1245" s="1">
        <v>43369</v>
      </c>
      <c r="P1245" t="s">
        <v>41</v>
      </c>
      <c r="Q1245" t="s">
        <v>75</v>
      </c>
      <c r="R1245" t="str">
        <f>"7371000"</f>
        <v>7371000</v>
      </c>
      <c r="S1245" t="s">
        <v>76</v>
      </c>
      <c r="T1245" t="s">
        <v>77</v>
      </c>
      <c r="U1245" t="s">
        <v>78</v>
      </c>
      <c r="V1245" t="s">
        <v>39</v>
      </c>
      <c r="W1245" t="s">
        <v>44</v>
      </c>
      <c r="X1245" t="s">
        <v>45</v>
      </c>
      <c r="Y1245" s="1">
        <v>27760</v>
      </c>
      <c r="Z1245">
        <v>1</v>
      </c>
      <c r="AA1245" t="s">
        <v>78</v>
      </c>
      <c r="AB1245" s="40" t="s">
        <v>1797</v>
      </c>
    </row>
    <row r="1246" spans="1:29" x14ac:dyDescent="0.25">
      <c r="A1246">
        <v>99911245</v>
      </c>
      <c r="B1246" t="s">
        <v>32</v>
      </c>
      <c r="C1246" t="s">
        <v>64</v>
      </c>
      <c r="D1246" t="s">
        <v>65</v>
      </c>
      <c r="G1246" t="s">
        <v>48</v>
      </c>
      <c r="H1246">
        <v>1</v>
      </c>
      <c r="K1246" t="s">
        <v>1198</v>
      </c>
      <c r="L1246" t="s">
        <v>1199</v>
      </c>
      <c r="M1246" t="s">
        <v>1130</v>
      </c>
      <c r="N1246">
        <v>16</v>
      </c>
      <c r="P1246" t="s">
        <v>41</v>
      </c>
      <c r="Q1246" t="s">
        <v>75</v>
      </c>
      <c r="R1246" t="str">
        <f>"7311008"</f>
        <v>7311008</v>
      </c>
      <c r="S1246" t="s">
        <v>1205</v>
      </c>
      <c r="T1246" t="s">
        <v>1198</v>
      </c>
      <c r="U1246" t="s">
        <v>1199</v>
      </c>
      <c r="V1246" t="s">
        <v>1130</v>
      </c>
      <c r="W1246" t="s">
        <v>51</v>
      </c>
      <c r="X1246" t="s">
        <v>45</v>
      </c>
      <c r="Y1246" s="1">
        <v>27760</v>
      </c>
      <c r="Z1246">
        <v>1</v>
      </c>
      <c r="AA1246" t="s">
        <v>1199</v>
      </c>
      <c r="AB1246" s="40" t="s">
        <v>1797</v>
      </c>
    </row>
    <row r="1247" spans="1:29" x14ac:dyDescent="0.25">
      <c r="A1247">
        <v>99911246</v>
      </c>
      <c r="B1247" t="s">
        <v>32</v>
      </c>
      <c r="C1247" t="s">
        <v>68</v>
      </c>
      <c r="D1247" t="s">
        <v>69</v>
      </c>
      <c r="G1247" t="s">
        <v>48</v>
      </c>
      <c r="H1247">
        <v>1</v>
      </c>
      <c r="K1247" t="s">
        <v>380</v>
      </c>
      <c r="L1247" t="s">
        <v>381</v>
      </c>
      <c r="M1247" t="s">
        <v>131</v>
      </c>
      <c r="N1247">
        <v>16</v>
      </c>
      <c r="P1247" t="s">
        <v>41</v>
      </c>
      <c r="Q1247" t="s">
        <v>49</v>
      </c>
      <c r="R1247" t="str">
        <f>"0591908"</f>
        <v>0591908</v>
      </c>
      <c r="S1247" t="s">
        <v>383</v>
      </c>
      <c r="T1247" t="s">
        <v>380</v>
      </c>
      <c r="U1247" t="s">
        <v>381</v>
      </c>
      <c r="V1247" t="s">
        <v>131</v>
      </c>
      <c r="W1247" t="s">
        <v>51</v>
      </c>
      <c r="X1247" t="s">
        <v>45</v>
      </c>
      <c r="Y1247" s="1">
        <v>27746</v>
      </c>
      <c r="Z1247">
        <v>2</v>
      </c>
      <c r="AA1247" t="s">
        <v>381</v>
      </c>
      <c r="AB1247" s="40" t="s">
        <v>1797</v>
      </c>
      <c r="AC1247" s="36"/>
    </row>
    <row r="1248" spans="1:29" x14ac:dyDescent="0.25">
      <c r="A1248">
        <v>99911247</v>
      </c>
      <c r="B1248" t="s">
        <v>56</v>
      </c>
      <c r="C1248" t="s">
        <v>52</v>
      </c>
      <c r="D1248" t="s">
        <v>53</v>
      </c>
      <c r="G1248" t="s">
        <v>48</v>
      </c>
      <c r="H1248">
        <v>1</v>
      </c>
      <c r="K1248" t="s">
        <v>380</v>
      </c>
      <c r="L1248" t="s">
        <v>381</v>
      </c>
      <c r="M1248" t="s">
        <v>131</v>
      </c>
      <c r="N1248">
        <v>16</v>
      </c>
      <c r="P1248" t="s">
        <v>41</v>
      </c>
      <c r="Q1248" t="s">
        <v>49</v>
      </c>
      <c r="R1248" t="str">
        <f>"0591909"</f>
        <v>0591909</v>
      </c>
      <c r="S1248" t="s">
        <v>385</v>
      </c>
      <c r="T1248" t="s">
        <v>380</v>
      </c>
      <c r="U1248" t="s">
        <v>381</v>
      </c>
      <c r="V1248" t="s">
        <v>131</v>
      </c>
      <c r="W1248" t="s">
        <v>51</v>
      </c>
      <c r="X1248" t="s">
        <v>45</v>
      </c>
      <c r="Y1248" s="1">
        <v>27604</v>
      </c>
      <c r="Z1248">
        <v>2</v>
      </c>
      <c r="AA1248" t="s">
        <v>381</v>
      </c>
      <c r="AB1248" s="40" t="s">
        <v>1797</v>
      </c>
    </row>
    <row r="1249" spans="1:28" x14ac:dyDescent="0.25">
      <c r="A1249">
        <v>99911248</v>
      </c>
      <c r="B1249" t="s">
        <v>32</v>
      </c>
      <c r="C1249" t="s">
        <v>46</v>
      </c>
      <c r="D1249" t="s">
        <v>47</v>
      </c>
      <c r="G1249" t="s">
        <v>48</v>
      </c>
      <c r="H1249">
        <v>1</v>
      </c>
      <c r="K1249" t="s">
        <v>1487</v>
      </c>
      <c r="L1249" t="s">
        <v>1488</v>
      </c>
      <c r="M1249" t="s">
        <v>670</v>
      </c>
      <c r="N1249">
        <v>16</v>
      </c>
      <c r="P1249" t="s">
        <v>41</v>
      </c>
      <c r="Q1249" t="s">
        <v>42</v>
      </c>
      <c r="R1249" t="str">
        <f>"1780020"</f>
        <v>1780020</v>
      </c>
      <c r="S1249" t="s">
        <v>1490</v>
      </c>
      <c r="T1249" t="s">
        <v>1487</v>
      </c>
      <c r="U1249" t="s">
        <v>1488</v>
      </c>
      <c r="V1249" t="s">
        <v>670</v>
      </c>
      <c r="W1249" t="s">
        <v>51</v>
      </c>
      <c r="X1249" t="s">
        <v>45</v>
      </c>
      <c r="Y1249" s="1">
        <v>27395</v>
      </c>
      <c r="Z1249">
        <v>2</v>
      </c>
      <c r="AA1249" t="s">
        <v>1488</v>
      </c>
      <c r="AB1249" s="40" t="s">
        <v>1797</v>
      </c>
    </row>
    <row r="1250" spans="1:28" x14ac:dyDescent="0.25">
      <c r="A1250">
        <v>99911249</v>
      </c>
      <c r="B1250" t="s">
        <v>32</v>
      </c>
      <c r="C1250" t="s">
        <v>79</v>
      </c>
      <c r="D1250" t="s">
        <v>80</v>
      </c>
      <c r="G1250" t="s">
        <v>48</v>
      </c>
      <c r="H1250">
        <v>1</v>
      </c>
      <c r="K1250" t="s">
        <v>162</v>
      </c>
      <c r="L1250" t="s">
        <v>158</v>
      </c>
      <c r="M1250" t="s">
        <v>131</v>
      </c>
      <c r="N1250">
        <v>16</v>
      </c>
      <c r="P1250" t="s">
        <v>41</v>
      </c>
      <c r="Q1250" t="s">
        <v>49</v>
      </c>
      <c r="R1250" t="str">
        <f>"0560027"</f>
        <v>0560027</v>
      </c>
      <c r="S1250" t="s">
        <v>178</v>
      </c>
      <c r="T1250" t="s">
        <v>162</v>
      </c>
      <c r="U1250" t="s">
        <v>158</v>
      </c>
      <c r="V1250" t="s">
        <v>131</v>
      </c>
      <c r="W1250" t="s">
        <v>51</v>
      </c>
      <c r="X1250" t="s">
        <v>45</v>
      </c>
      <c r="Y1250" s="1">
        <v>27234</v>
      </c>
      <c r="Z1250">
        <v>2</v>
      </c>
      <c r="AA1250" t="s">
        <v>158</v>
      </c>
      <c r="AB1250" s="40" t="s">
        <v>1797</v>
      </c>
    </row>
    <row r="1251" spans="1:28" x14ac:dyDescent="0.25">
      <c r="A1251">
        <v>99911250</v>
      </c>
      <c r="B1251" t="s">
        <v>32</v>
      </c>
      <c r="C1251" t="s">
        <v>46</v>
      </c>
      <c r="D1251" t="s">
        <v>47</v>
      </c>
      <c r="G1251" t="s">
        <v>48</v>
      </c>
      <c r="H1251">
        <v>1</v>
      </c>
      <c r="K1251" t="s">
        <v>162</v>
      </c>
      <c r="L1251" t="s">
        <v>158</v>
      </c>
      <c r="M1251" t="s">
        <v>131</v>
      </c>
      <c r="N1251">
        <v>16</v>
      </c>
      <c r="P1251" t="s">
        <v>41</v>
      </c>
      <c r="Q1251" t="s">
        <v>49</v>
      </c>
      <c r="R1251" t="str">
        <f>"0560027"</f>
        <v>0560027</v>
      </c>
      <c r="S1251" t="s">
        <v>178</v>
      </c>
      <c r="T1251" t="s">
        <v>162</v>
      </c>
      <c r="U1251" t="s">
        <v>158</v>
      </c>
      <c r="V1251" t="s">
        <v>131</v>
      </c>
      <c r="W1251" t="s">
        <v>51</v>
      </c>
      <c r="X1251" t="s">
        <v>45</v>
      </c>
      <c r="Y1251" s="1">
        <v>27211</v>
      </c>
      <c r="Z1251">
        <v>2</v>
      </c>
      <c r="AA1251" t="s">
        <v>158</v>
      </c>
      <c r="AB1251" s="40" t="s">
        <v>1797</v>
      </c>
    </row>
    <row r="1252" spans="1:28" x14ac:dyDescent="0.25">
      <c r="A1252">
        <v>99911251</v>
      </c>
      <c r="B1252" t="s">
        <v>56</v>
      </c>
      <c r="C1252" t="s">
        <v>46</v>
      </c>
      <c r="D1252" t="s">
        <v>47</v>
      </c>
      <c r="G1252" t="s">
        <v>48</v>
      </c>
      <c r="H1252">
        <v>1</v>
      </c>
      <c r="K1252" t="s">
        <v>1268</v>
      </c>
      <c r="L1252" t="s">
        <v>1269</v>
      </c>
      <c r="M1252" t="s">
        <v>1270</v>
      </c>
      <c r="N1252">
        <v>16</v>
      </c>
      <c r="P1252" t="s">
        <v>41</v>
      </c>
      <c r="Q1252" t="s">
        <v>42</v>
      </c>
      <c r="R1252" t="str">
        <f>"1990910"</f>
        <v>1990910</v>
      </c>
      <c r="S1252" t="s">
        <v>1281</v>
      </c>
      <c r="T1252" t="s">
        <v>1268</v>
      </c>
      <c r="U1252" t="s">
        <v>1269</v>
      </c>
      <c r="V1252" t="s">
        <v>1270</v>
      </c>
      <c r="W1252" t="s">
        <v>165</v>
      </c>
      <c r="X1252" t="s">
        <v>45</v>
      </c>
      <c r="Y1252" s="1">
        <v>27170</v>
      </c>
      <c r="Z1252">
        <v>2</v>
      </c>
      <c r="AA1252" t="s">
        <v>1269</v>
      </c>
      <c r="AB1252" s="40" t="s">
        <v>1797</v>
      </c>
    </row>
    <row r="1253" spans="1:28" x14ac:dyDescent="0.25">
      <c r="A1253">
        <v>99911252</v>
      </c>
      <c r="B1253" t="s">
        <v>32</v>
      </c>
      <c r="C1253" t="s">
        <v>136</v>
      </c>
      <c r="D1253" t="s">
        <v>137</v>
      </c>
      <c r="G1253" t="s">
        <v>48</v>
      </c>
      <c r="H1253">
        <v>10</v>
      </c>
      <c r="I1253" t="s">
        <v>482</v>
      </c>
      <c r="J1253" s="1">
        <v>40422</v>
      </c>
      <c r="K1253" t="s">
        <v>195</v>
      </c>
      <c r="L1253" t="s">
        <v>196</v>
      </c>
      <c r="M1253" t="s">
        <v>131</v>
      </c>
      <c r="N1253">
        <v>16</v>
      </c>
      <c r="O1253" s="1">
        <v>40422</v>
      </c>
      <c r="P1253" t="s">
        <v>41</v>
      </c>
      <c r="Q1253" t="s">
        <v>75</v>
      </c>
      <c r="R1253" t="str">
        <f>"7521044"</f>
        <v>7521044</v>
      </c>
      <c r="S1253" t="s">
        <v>453</v>
      </c>
      <c r="T1253" t="s">
        <v>195</v>
      </c>
      <c r="U1253" t="s">
        <v>196</v>
      </c>
      <c r="V1253" t="s">
        <v>131</v>
      </c>
      <c r="W1253" t="s">
        <v>165</v>
      </c>
      <c r="X1253" t="s">
        <v>45</v>
      </c>
      <c r="Y1253" s="1">
        <v>27137</v>
      </c>
      <c r="Z1253">
        <v>1</v>
      </c>
      <c r="AA1253" t="s">
        <v>196</v>
      </c>
      <c r="AB1253" s="40" t="s">
        <v>1797</v>
      </c>
    </row>
    <row r="1254" spans="1:28" x14ac:dyDescent="0.25">
      <c r="A1254">
        <v>99911253</v>
      </c>
      <c r="B1254" t="s">
        <v>56</v>
      </c>
      <c r="C1254" t="s">
        <v>52</v>
      </c>
      <c r="D1254" t="s">
        <v>53</v>
      </c>
      <c r="G1254" t="s">
        <v>48</v>
      </c>
      <c r="H1254">
        <v>1</v>
      </c>
      <c r="K1254" t="s">
        <v>162</v>
      </c>
      <c r="L1254" t="s">
        <v>158</v>
      </c>
      <c r="M1254" t="s">
        <v>131</v>
      </c>
      <c r="N1254">
        <v>16</v>
      </c>
      <c r="P1254" t="s">
        <v>41</v>
      </c>
      <c r="Q1254" t="s">
        <v>42</v>
      </c>
      <c r="R1254" t="str">
        <f>"0580330"</f>
        <v>0580330</v>
      </c>
      <c r="S1254" t="s">
        <v>176</v>
      </c>
      <c r="T1254" t="s">
        <v>162</v>
      </c>
      <c r="U1254" t="s">
        <v>158</v>
      </c>
      <c r="V1254" t="s">
        <v>131</v>
      </c>
      <c r="W1254" t="s">
        <v>51</v>
      </c>
      <c r="X1254" t="s">
        <v>45</v>
      </c>
      <c r="Y1254" s="1">
        <v>27085</v>
      </c>
      <c r="Z1254">
        <v>2</v>
      </c>
      <c r="AA1254" t="s">
        <v>158</v>
      </c>
      <c r="AB1254" s="40" t="s">
        <v>1797</v>
      </c>
    </row>
    <row r="1255" spans="1:28" x14ac:dyDescent="0.25">
      <c r="A1255">
        <v>99911254</v>
      </c>
      <c r="B1255" t="s">
        <v>32</v>
      </c>
      <c r="C1255" t="s">
        <v>64</v>
      </c>
      <c r="D1255" t="s">
        <v>65</v>
      </c>
      <c r="G1255" t="s">
        <v>48</v>
      </c>
      <c r="H1255">
        <v>1</v>
      </c>
      <c r="K1255" t="s">
        <v>1487</v>
      </c>
      <c r="L1255" t="s">
        <v>1488</v>
      </c>
      <c r="M1255" t="s">
        <v>670</v>
      </c>
      <c r="N1255">
        <v>16</v>
      </c>
      <c r="P1255" t="s">
        <v>41</v>
      </c>
      <c r="Q1255" t="s">
        <v>49</v>
      </c>
      <c r="R1255" t="str">
        <f>"1760001"</f>
        <v>1760001</v>
      </c>
      <c r="S1255" t="s">
        <v>1489</v>
      </c>
      <c r="T1255" t="s">
        <v>1487</v>
      </c>
      <c r="U1255" t="s">
        <v>1488</v>
      </c>
      <c r="V1255" t="s">
        <v>670</v>
      </c>
      <c r="W1255" t="s">
        <v>51</v>
      </c>
      <c r="X1255" t="s">
        <v>45</v>
      </c>
      <c r="Y1255" s="1">
        <v>27030</v>
      </c>
      <c r="Z1255">
        <v>2</v>
      </c>
      <c r="AA1255" t="s">
        <v>1488</v>
      </c>
      <c r="AB1255" s="40" t="s">
        <v>1797</v>
      </c>
    </row>
    <row r="1256" spans="1:28" x14ac:dyDescent="0.25">
      <c r="A1256">
        <v>99911255</v>
      </c>
      <c r="B1256" t="s">
        <v>56</v>
      </c>
      <c r="C1256" t="s">
        <v>33</v>
      </c>
      <c r="D1256" t="s">
        <v>34</v>
      </c>
      <c r="G1256" t="s">
        <v>48</v>
      </c>
      <c r="H1256">
        <v>1</v>
      </c>
      <c r="K1256" t="s">
        <v>300</v>
      </c>
      <c r="L1256" t="s">
        <v>301</v>
      </c>
      <c r="M1256" t="s">
        <v>131</v>
      </c>
      <c r="N1256">
        <v>16</v>
      </c>
      <c r="P1256" t="s">
        <v>41</v>
      </c>
      <c r="Q1256" t="s">
        <v>42</v>
      </c>
      <c r="R1256" t="str">
        <f>"0580176"</f>
        <v>0580176</v>
      </c>
      <c r="S1256" t="s">
        <v>305</v>
      </c>
      <c r="T1256" t="s">
        <v>300</v>
      </c>
      <c r="U1256" t="s">
        <v>301</v>
      </c>
      <c r="V1256" t="s">
        <v>131</v>
      </c>
      <c r="W1256" t="s">
        <v>51</v>
      </c>
      <c r="X1256" t="s">
        <v>45</v>
      </c>
      <c r="Y1256" s="1">
        <v>26981</v>
      </c>
      <c r="Z1256">
        <v>2</v>
      </c>
      <c r="AA1256" t="s">
        <v>301</v>
      </c>
      <c r="AB1256" s="40" t="s">
        <v>1797</v>
      </c>
    </row>
    <row r="1257" spans="1:28" x14ac:dyDescent="0.25">
      <c r="A1257">
        <v>99911256</v>
      </c>
      <c r="B1257" t="s">
        <v>32</v>
      </c>
      <c r="C1257" t="s">
        <v>79</v>
      </c>
      <c r="D1257" t="s">
        <v>80</v>
      </c>
      <c r="G1257" t="s">
        <v>48</v>
      </c>
      <c r="H1257">
        <v>1</v>
      </c>
      <c r="K1257" t="s">
        <v>223</v>
      </c>
      <c r="L1257" t="s">
        <v>224</v>
      </c>
      <c r="M1257" t="s">
        <v>131</v>
      </c>
      <c r="N1257">
        <v>16</v>
      </c>
      <c r="P1257" t="s">
        <v>41</v>
      </c>
      <c r="Q1257" t="s">
        <v>49</v>
      </c>
      <c r="R1257" t="str">
        <f>"0581202"</f>
        <v>0581202</v>
      </c>
      <c r="S1257" t="s">
        <v>248</v>
      </c>
      <c r="T1257" t="s">
        <v>223</v>
      </c>
      <c r="U1257" t="s">
        <v>224</v>
      </c>
      <c r="V1257" t="s">
        <v>131</v>
      </c>
      <c r="W1257" t="s">
        <v>51</v>
      </c>
      <c r="X1257" t="s">
        <v>45</v>
      </c>
      <c r="Y1257" s="1">
        <v>26870</v>
      </c>
      <c r="Z1257">
        <v>2</v>
      </c>
      <c r="AA1257" t="s">
        <v>224</v>
      </c>
      <c r="AB1257" s="40" t="s">
        <v>1797</v>
      </c>
    </row>
    <row r="1258" spans="1:28" x14ac:dyDescent="0.25">
      <c r="A1258">
        <v>99911257</v>
      </c>
      <c r="B1258" t="s">
        <v>56</v>
      </c>
      <c r="C1258" t="s">
        <v>141</v>
      </c>
      <c r="D1258" t="s">
        <v>142</v>
      </c>
      <c r="G1258" t="s">
        <v>48</v>
      </c>
      <c r="H1258">
        <v>1</v>
      </c>
      <c r="K1258" t="s">
        <v>268</v>
      </c>
      <c r="L1258" t="s">
        <v>269</v>
      </c>
      <c r="M1258" t="s">
        <v>131</v>
      </c>
      <c r="N1258">
        <v>16</v>
      </c>
      <c r="P1258" t="s">
        <v>41</v>
      </c>
      <c r="Q1258" t="s">
        <v>75</v>
      </c>
      <c r="R1258" t="str">
        <f>"7052040"</f>
        <v>7052040</v>
      </c>
      <c r="S1258" t="s">
        <v>591</v>
      </c>
      <c r="T1258" t="s">
        <v>268</v>
      </c>
      <c r="U1258" t="s">
        <v>269</v>
      </c>
      <c r="V1258" t="s">
        <v>131</v>
      </c>
      <c r="W1258" t="s">
        <v>51</v>
      </c>
      <c r="X1258" t="s">
        <v>45</v>
      </c>
      <c r="Y1258" s="1">
        <v>26766</v>
      </c>
      <c r="Z1258">
        <v>1</v>
      </c>
      <c r="AA1258" t="s">
        <v>269</v>
      </c>
      <c r="AB1258" s="40" t="s">
        <v>1797</v>
      </c>
    </row>
    <row r="1259" spans="1:28" x14ac:dyDescent="0.25">
      <c r="A1259">
        <v>99911258</v>
      </c>
      <c r="B1259" t="s">
        <v>32</v>
      </c>
      <c r="C1259" t="s">
        <v>33</v>
      </c>
      <c r="D1259" t="s">
        <v>34</v>
      </c>
      <c r="G1259" t="s">
        <v>35</v>
      </c>
      <c r="H1259">
        <v>1</v>
      </c>
      <c r="K1259" t="s">
        <v>223</v>
      </c>
      <c r="L1259" t="s">
        <v>224</v>
      </c>
      <c r="M1259" t="s">
        <v>131</v>
      </c>
      <c r="N1259">
        <v>16</v>
      </c>
      <c r="P1259" t="s">
        <v>41</v>
      </c>
      <c r="Q1259" t="s">
        <v>49</v>
      </c>
      <c r="R1259" t="str">
        <f>"0581265"</f>
        <v>0581265</v>
      </c>
      <c r="S1259" t="s">
        <v>236</v>
      </c>
      <c r="T1259" t="s">
        <v>223</v>
      </c>
      <c r="U1259" t="s">
        <v>224</v>
      </c>
      <c r="V1259" t="s">
        <v>131</v>
      </c>
      <c r="W1259" t="s">
        <v>51</v>
      </c>
      <c r="X1259" t="s">
        <v>45</v>
      </c>
      <c r="Y1259" s="1">
        <v>26665</v>
      </c>
      <c r="Z1259">
        <v>2</v>
      </c>
      <c r="AA1259" t="s">
        <v>224</v>
      </c>
      <c r="AB1259" s="40" t="s">
        <v>1797</v>
      </c>
    </row>
    <row r="1260" spans="1:28" x14ac:dyDescent="0.25">
      <c r="A1260">
        <v>99911259</v>
      </c>
      <c r="B1260" t="s">
        <v>56</v>
      </c>
      <c r="C1260" t="s">
        <v>46</v>
      </c>
      <c r="D1260" t="s">
        <v>47</v>
      </c>
      <c r="G1260" t="s">
        <v>35</v>
      </c>
      <c r="H1260">
        <v>1</v>
      </c>
      <c r="J1260" s="1">
        <v>38595</v>
      </c>
      <c r="K1260" t="s">
        <v>1336</v>
      </c>
      <c r="L1260" t="s">
        <v>1337</v>
      </c>
      <c r="M1260" t="s">
        <v>1270</v>
      </c>
      <c r="N1260">
        <v>16</v>
      </c>
      <c r="O1260" s="1">
        <v>38595</v>
      </c>
      <c r="P1260" t="s">
        <v>41</v>
      </c>
      <c r="Q1260" t="s">
        <v>42</v>
      </c>
      <c r="R1260" t="str">
        <f>"4475070"</f>
        <v>4475070</v>
      </c>
      <c r="S1260" t="s">
        <v>1338</v>
      </c>
      <c r="T1260" t="s">
        <v>1336</v>
      </c>
      <c r="U1260" t="s">
        <v>1337</v>
      </c>
      <c r="V1260" t="s">
        <v>1270</v>
      </c>
      <c r="W1260" t="s">
        <v>51</v>
      </c>
      <c r="X1260" t="s">
        <v>45</v>
      </c>
      <c r="Y1260" s="1">
        <v>26617</v>
      </c>
      <c r="Z1260">
        <v>2</v>
      </c>
      <c r="AA1260" t="s">
        <v>1337</v>
      </c>
      <c r="AB1260" s="40" t="s">
        <v>1797</v>
      </c>
    </row>
    <row r="1261" spans="1:28" x14ac:dyDescent="0.25">
      <c r="A1261">
        <v>99911260</v>
      </c>
      <c r="B1261" t="s">
        <v>32</v>
      </c>
      <c r="C1261" t="s">
        <v>85</v>
      </c>
      <c r="D1261" t="s">
        <v>86</v>
      </c>
      <c r="G1261" t="s">
        <v>35</v>
      </c>
      <c r="H1261">
        <v>1</v>
      </c>
      <c r="I1261" t="s">
        <v>1340</v>
      </c>
      <c r="J1261" s="1">
        <v>43364</v>
      </c>
      <c r="K1261" t="s">
        <v>1336</v>
      </c>
      <c r="L1261" t="s">
        <v>1337</v>
      </c>
      <c r="M1261" t="s">
        <v>1270</v>
      </c>
      <c r="N1261">
        <v>16</v>
      </c>
      <c r="O1261" s="1">
        <v>43364</v>
      </c>
      <c r="P1261" t="s">
        <v>41</v>
      </c>
      <c r="Q1261" t="s">
        <v>42</v>
      </c>
      <c r="R1261" t="str">
        <f>"4475070"</f>
        <v>4475070</v>
      </c>
      <c r="S1261" t="s">
        <v>1338</v>
      </c>
      <c r="T1261" t="s">
        <v>1336</v>
      </c>
      <c r="U1261" t="s">
        <v>1337</v>
      </c>
      <c r="V1261" t="s">
        <v>1270</v>
      </c>
      <c r="W1261" t="s">
        <v>51</v>
      </c>
      <c r="X1261" t="s">
        <v>45</v>
      </c>
      <c r="Y1261" s="1">
        <v>26479</v>
      </c>
      <c r="Z1261">
        <v>2</v>
      </c>
      <c r="AA1261" t="s">
        <v>1337</v>
      </c>
      <c r="AB1261" s="40" t="s">
        <v>1797</v>
      </c>
    </row>
    <row r="1262" spans="1:28" x14ac:dyDescent="0.25">
      <c r="A1262">
        <v>99911261</v>
      </c>
      <c r="B1262" t="s">
        <v>32</v>
      </c>
      <c r="C1262" t="s">
        <v>79</v>
      </c>
      <c r="D1262" t="s">
        <v>80</v>
      </c>
      <c r="G1262" t="s">
        <v>35</v>
      </c>
      <c r="H1262">
        <v>1</v>
      </c>
      <c r="I1262">
        <v>2668</v>
      </c>
      <c r="J1262" s="1">
        <v>43344</v>
      </c>
      <c r="K1262" t="s">
        <v>877</v>
      </c>
      <c r="L1262" t="s">
        <v>878</v>
      </c>
      <c r="M1262" t="s">
        <v>131</v>
      </c>
      <c r="N1262">
        <v>16</v>
      </c>
      <c r="O1262" s="1">
        <v>43344</v>
      </c>
      <c r="P1262" t="s">
        <v>41</v>
      </c>
      <c r="Q1262" t="s">
        <v>75</v>
      </c>
      <c r="R1262" t="str">
        <f>"7541024"</f>
        <v>7541024</v>
      </c>
      <c r="S1262" t="s">
        <v>885</v>
      </c>
      <c r="T1262" t="s">
        <v>877</v>
      </c>
      <c r="U1262" t="s">
        <v>878</v>
      </c>
      <c r="V1262" t="s">
        <v>131</v>
      </c>
      <c r="W1262" t="s">
        <v>51</v>
      </c>
      <c r="X1262" t="s">
        <v>45</v>
      </c>
      <c r="Y1262" s="1">
        <v>26423</v>
      </c>
      <c r="Z1262">
        <v>1</v>
      </c>
      <c r="AA1262" t="s">
        <v>878</v>
      </c>
      <c r="AB1262" s="40" t="s">
        <v>1797</v>
      </c>
    </row>
    <row r="1263" spans="1:28" x14ac:dyDescent="0.25">
      <c r="A1263">
        <v>99911262</v>
      </c>
      <c r="B1263" t="s">
        <v>56</v>
      </c>
      <c r="C1263" t="s">
        <v>46</v>
      </c>
      <c r="D1263" t="s">
        <v>47</v>
      </c>
      <c r="G1263" t="s">
        <v>48</v>
      </c>
      <c r="H1263">
        <v>1</v>
      </c>
      <c r="K1263" t="s">
        <v>162</v>
      </c>
      <c r="L1263" t="s">
        <v>158</v>
      </c>
      <c r="M1263" t="s">
        <v>131</v>
      </c>
      <c r="N1263">
        <v>16</v>
      </c>
      <c r="P1263" t="s">
        <v>41</v>
      </c>
      <c r="Q1263" t="s">
        <v>42</v>
      </c>
      <c r="R1263" t="str">
        <f>"0580330"</f>
        <v>0580330</v>
      </c>
      <c r="S1263" t="s">
        <v>176</v>
      </c>
      <c r="T1263" t="s">
        <v>162</v>
      </c>
      <c r="U1263" t="s">
        <v>158</v>
      </c>
      <c r="V1263" t="s">
        <v>131</v>
      </c>
      <c r="W1263" t="s">
        <v>51</v>
      </c>
      <c r="X1263" t="s">
        <v>45</v>
      </c>
      <c r="Y1263" s="1">
        <v>26254</v>
      </c>
      <c r="Z1263">
        <v>2</v>
      </c>
      <c r="AA1263" t="s">
        <v>158</v>
      </c>
      <c r="AB1263" s="40" t="s">
        <v>1797</v>
      </c>
    </row>
    <row r="1264" spans="1:28" x14ac:dyDescent="0.25">
      <c r="A1264">
        <v>99911263</v>
      </c>
      <c r="B1264" t="s">
        <v>32</v>
      </c>
      <c r="C1264" t="s">
        <v>46</v>
      </c>
      <c r="D1264" t="s">
        <v>47</v>
      </c>
      <c r="G1264" t="s">
        <v>48</v>
      </c>
      <c r="H1264">
        <v>1</v>
      </c>
      <c r="K1264" t="s">
        <v>223</v>
      </c>
      <c r="L1264" t="s">
        <v>224</v>
      </c>
      <c r="M1264" t="s">
        <v>131</v>
      </c>
      <c r="N1264">
        <v>16</v>
      </c>
      <c r="P1264" t="s">
        <v>41</v>
      </c>
      <c r="Q1264" t="s">
        <v>42</v>
      </c>
      <c r="R1264" t="str">
        <f>"0590910"</f>
        <v>0590910</v>
      </c>
      <c r="S1264" t="s">
        <v>227</v>
      </c>
      <c r="T1264" t="s">
        <v>223</v>
      </c>
      <c r="U1264" t="s">
        <v>224</v>
      </c>
      <c r="V1264" t="s">
        <v>131</v>
      </c>
      <c r="W1264" t="s">
        <v>51</v>
      </c>
      <c r="X1264" t="s">
        <v>45</v>
      </c>
      <c r="Y1264" s="1">
        <v>26238</v>
      </c>
      <c r="Z1264">
        <v>2</v>
      </c>
      <c r="AA1264" t="s">
        <v>224</v>
      </c>
      <c r="AB1264" s="40" t="s">
        <v>1797</v>
      </c>
    </row>
    <row r="1265" spans="1:28" x14ac:dyDescent="0.25">
      <c r="A1265">
        <v>99911264</v>
      </c>
      <c r="B1265" t="s">
        <v>32</v>
      </c>
      <c r="C1265" t="s">
        <v>64</v>
      </c>
      <c r="D1265" t="s">
        <v>65</v>
      </c>
      <c r="G1265" t="s">
        <v>48</v>
      </c>
      <c r="H1265">
        <v>1</v>
      </c>
      <c r="K1265" t="s">
        <v>223</v>
      </c>
      <c r="L1265" t="s">
        <v>224</v>
      </c>
      <c r="M1265" t="s">
        <v>131</v>
      </c>
      <c r="N1265">
        <v>16</v>
      </c>
      <c r="P1265" t="s">
        <v>41</v>
      </c>
      <c r="Q1265" t="s">
        <v>42</v>
      </c>
      <c r="R1265" t="str">
        <f>"0580202"</f>
        <v>0580202</v>
      </c>
      <c r="S1265" t="s">
        <v>240</v>
      </c>
      <c r="T1265" t="s">
        <v>223</v>
      </c>
      <c r="U1265" t="s">
        <v>224</v>
      </c>
      <c r="V1265" t="s">
        <v>131</v>
      </c>
      <c r="W1265" t="s">
        <v>51</v>
      </c>
      <c r="X1265" t="s">
        <v>45</v>
      </c>
      <c r="Y1265" s="1">
        <v>26178</v>
      </c>
      <c r="Z1265">
        <v>2</v>
      </c>
      <c r="AA1265" t="s">
        <v>224</v>
      </c>
      <c r="AB1265" s="40" t="s">
        <v>1797</v>
      </c>
    </row>
    <row r="1266" spans="1:28" x14ac:dyDescent="0.25">
      <c r="A1266">
        <v>99911265</v>
      </c>
      <c r="B1266" t="s">
        <v>56</v>
      </c>
      <c r="C1266" t="s">
        <v>64</v>
      </c>
      <c r="D1266" t="s">
        <v>65</v>
      </c>
      <c r="G1266" t="s">
        <v>48</v>
      </c>
      <c r="H1266">
        <v>1</v>
      </c>
      <c r="K1266" t="s">
        <v>223</v>
      </c>
      <c r="L1266" t="s">
        <v>224</v>
      </c>
      <c r="M1266" t="s">
        <v>131</v>
      </c>
      <c r="N1266">
        <v>16</v>
      </c>
      <c r="P1266" t="s">
        <v>41</v>
      </c>
      <c r="Q1266" t="s">
        <v>42</v>
      </c>
      <c r="R1266" t="str">
        <f>"0580200"</f>
        <v>0580200</v>
      </c>
      <c r="S1266" t="s">
        <v>245</v>
      </c>
      <c r="T1266" t="s">
        <v>223</v>
      </c>
      <c r="U1266" t="s">
        <v>224</v>
      </c>
      <c r="V1266" t="s">
        <v>131</v>
      </c>
      <c r="W1266" t="s">
        <v>51</v>
      </c>
      <c r="X1266" t="s">
        <v>45</v>
      </c>
      <c r="Y1266" s="1">
        <v>26147</v>
      </c>
      <c r="Z1266">
        <v>2</v>
      </c>
      <c r="AA1266" t="s">
        <v>224</v>
      </c>
      <c r="AB1266" s="40" t="s">
        <v>1797</v>
      </c>
    </row>
    <row r="1267" spans="1:28" x14ac:dyDescent="0.25">
      <c r="A1267">
        <v>99911266</v>
      </c>
      <c r="B1267" t="s">
        <v>32</v>
      </c>
      <c r="C1267" t="s">
        <v>68</v>
      </c>
      <c r="D1267" t="s">
        <v>69</v>
      </c>
      <c r="G1267" t="s">
        <v>35</v>
      </c>
      <c r="H1267">
        <v>1</v>
      </c>
      <c r="K1267" t="s">
        <v>223</v>
      </c>
      <c r="L1267" t="s">
        <v>224</v>
      </c>
      <c r="M1267" t="s">
        <v>131</v>
      </c>
      <c r="N1267">
        <v>16</v>
      </c>
      <c r="P1267" t="s">
        <v>41</v>
      </c>
      <c r="Q1267" t="s">
        <v>42</v>
      </c>
      <c r="R1267" t="str">
        <f>"0590901"</f>
        <v>0590901</v>
      </c>
      <c r="S1267" t="s">
        <v>242</v>
      </c>
      <c r="T1267" t="s">
        <v>223</v>
      </c>
      <c r="U1267" t="s">
        <v>224</v>
      </c>
      <c r="V1267" t="s">
        <v>131</v>
      </c>
      <c r="W1267" t="s">
        <v>51</v>
      </c>
      <c r="X1267" t="s">
        <v>45</v>
      </c>
      <c r="Y1267" s="1">
        <v>26143</v>
      </c>
      <c r="Z1267">
        <v>2</v>
      </c>
      <c r="AA1267" t="s">
        <v>224</v>
      </c>
      <c r="AB1267" s="40" t="s">
        <v>1797</v>
      </c>
    </row>
    <row r="1268" spans="1:28" x14ac:dyDescent="0.25">
      <c r="A1268">
        <v>99911267</v>
      </c>
      <c r="B1268" t="s">
        <v>56</v>
      </c>
      <c r="C1268" t="s">
        <v>79</v>
      </c>
      <c r="D1268" t="s">
        <v>80</v>
      </c>
      <c r="G1268" t="s">
        <v>48</v>
      </c>
      <c r="H1268">
        <v>1</v>
      </c>
      <c r="K1268" t="s">
        <v>162</v>
      </c>
      <c r="L1268" t="s">
        <v>158</v>
      </c>
      <c r="M1268" t="s">
        <v>131</v>
      </c>
      <c r="N1268">
        <v>16</v>
      </c>
      <c r="P1268" t="s">
        <v>41</v>
      </c>
      <c r="Q1268" t="s">
        <v>42</v>
      </c>
      <c r="R1268" t="str">
        <f>"0580320"</f>
        <v>0580320</v>
      </c>
      <c r="S1268" t="s">
        <v>164</v>
      </c>
      <c r="T1268" t="s">
        <v>162</v>
      </c>
      <c r="U1268" t="s">
        <v>158</v>
      </c>
      <c r="V1268" t="s">
        <v>131</v>
      </c>
      <c r="W1268" t="s">
        <v>51</v>
      </c>
      <c r="X1268" t="s">
        <v>45</v>
      </c>
      <c r="Y1268" s="1">
        <v>26139</v>
      </c>
      <c r="Z1268">
        <v>2</v>
      </c>
      <c r="AA1268" t="s">
        <v>158</v>
      </c>
      <c r="AB1268" s="40" t="s">
        <v>1797</v>
      </c>
    </row>
    <row r="1269" spans="1:28" x14ac:dyDescent="0.25">
      <c r="A1269">
        <v>99911268</v>
      </c>
      <c r="B1269" t="s">
        <v>32</v>
      </c>
      <c r="C1269" t="s">
        <v>61</v>
      </c>
      <c r="D1269" t="s">
        <v>62</v>
      </c>
      <c r="E1269" t="s">
        <v>68</v>
      </c>
      <c r="F1269" t="s">
        <v>69</v>
      </c>
      <c r="G1269" t="s">
        <v>48</v>
      </c>
      <c r="H1269">
        <v>1</v>
      </c>
      <c r="K1269" t="s">
        <v>162</v>
      </c>
      <c r="L1269" t="s">
        <v>158</v>
      </c>
      <c r="M1269" t="s">
        <v>131</v>
      </c>
      <c r="N1269">
        <v>16</v>
      </c>
      <c r="P1269" t="s">
        <v>41</v>
      </c>
      <c r="Q1269" t="s">
        <v>49</v>
      </c>
      <c r="R1269" t="str">
        <f>"0505050"</f>
        <v>0505050</v>
      </c>
      <c r="S1269" t="s">
        <v>163</v>
      </c>
      <c r="T1269" t="s">
        <v>162</v>
      </c>
      <c r="U1269" t="s">
        <v>158</v>
      </c>
      <c r="V1269" t="s">
        <v>131</v>
      </c>
      <c r="W1269" t="s">
        <v>51</v>
      </c>
      <c r="X1269" t="s">
        <v>45</v>
      </c>
      <c r="Y1269" s="1">
        <v>25909</v>
      </c>
      <c r="Z1269">
        <v>2</v>
      </c>
      <c r="AA1269" t="s">
        <v>158</v>
      </c>
      <c r="AB1269" s="40" t="s">
        <v>1797</v>
      </c>
    </row>
    <row r="1270" spans="1:28" x14ac:dyDescent="0.25">
      <c r="A1270">
        <v>99911269</v>
      </c>
      <c r="B1270" t="s">
        <v>32</v>
      </c>
      <c r="C1270" t="s">
        <v>46</v>
      </c>
      <c r="D1270" t="s">
        <v>47</v>
      </c>
      <c r="G1270" t="s">
        <v>48</v>
      </c>
      <c r="H1270">
        <v>1</v>
      </c>
      <c r="K1270" t="s">
        <v>162</v>
      </c>
      <c r="L1270" t="s">
        <v>158</v>
      </c>
      <c r="M1270" t="s">
        <v>131</v>
      </c>
      <c r="N1270">
        <v>16</v>
      </c>
      <c r="P1270" t="s">
        <v>41</v>
      </c>
      <c r="Q1270" t="s">
        <v>49</v>
      </c>
      <c r="R1270" t="str">
        <f>"0560003"</f>
        <v>0560003</v>
      </c>
      <c r="S1270" t="s">
        <v>181</v>
      </c>
      <c r="T1270" t="s">
        <v>162</v>
      </c>
      <c r="U1270" t="s">
        <v>158</v>
      </c>
      <c r="V1270" t="s">
        <v>131</v>
      </c>
      <c r="W1270" t="s">
        <v>51</v>
      </c>
      <c r="X1270" t="s">
        <v>45</v>
      </c>
      <c r="Y1270" s="1">
        <v>25709</v>
      </c>
      <c r="Z1270">
        <v>2</v>
      </c>
      <c r="AA1270" t="s">
        <v>158</v>
      </c>
      <c r="AB1270" s="40" t="s">
        <v>1797</v>
      </c>
    </row>
    <row r="1271" spans="1:28" x14ac:dyDescent="0.25">
      <c r="A1271">
        <v>99911270</v>
      </c>
      <c r="B1271" t="s">
        <v>56</v>
      </c>
      <c r="C1271" t="s">
        <v>82</v>
      </c>
      <c r="D1271" t="s">
        <v>83</v>
      </c>
      <c r="G1271" t="s">
        <v>48</v>
      </c>
      <c r="H1271">
        <v>1</v>
      </c>
      <c r="K1271" t="s">
        <v>300</v>
      </c>
      <c r="L1271" t="s">
        <v>301</v>
      </c>
      <c r="M1271" t="s">
        <v>131</v>
      </c>
      <c r="N1271">
        <v>16</v>
      </c>
      <c r="P1271" t="s">
        <v>41</v>
      </c>
      <c r="Q1271" t="s">
        <v>42</v>
      </c>
      <c r="R1271" t="str">
        <f>"0561001"</f>
        <v>0561001</v>
      </c>
      <c r="S1271" t="s">
        <v>308</v>
      </c>
      <c r="T1271" t="s">
        <v>300</v>
      </c>
      <c r="U1271" t="s">
        <v>301</v>
      </c>
      <c r="V1271" t="s">
        <v>131</v>
      </c>
      <c r="W1271" t="s">
        <v>51</v>
      </c>
      <c r="X1271" t="s">
        <v>45</v>
      </c>
      <c r="Y1271" s="1">
        <v>25705</v>
      </c>
      <c r="Z1271">
        <v>2</v>
      </c>
      <c r="AA1271" t="s">
        <v>301</v>
      </c>
      <c r="AB1271" s="40" t="s">
        <v>1797</v>
      </c>
    </row>
    <row r="1272" spans="1:28" x14ac:dyDescent="0.25">
      <c r="A1272">
        <v>99911271</v>
      </c>
      <c r="B1272" t="s">
        <v>56</v>
      </c>
      <c r="C1272" t="s">
        <v>79</v>
      </c>
      <c r="D1272" t="s">
        <v>80</v>
      </c>
      <c r="G1272" t="s">
        <v>48</v>
      </c>
      <c r="H1272">
        <v>1</v>
      </c>
      <c r="K1272" t="s">
        <v>985</v>
      </c>
      <c r="L1272" t="s">
        <v>986</v>
      </c>
      <c r="M1272" t="s">
        <v>938</v>
      </c>
      <c r="N1272">
        <v>16</v>
      </c>
      <c r="P1272" t="s">
        <v>41</v>
      </c>
      <c r="Q1272" t="s">
        <v>75</v>
      </c>
      <c r="R1272" t="str">
        <f>"7011000"</f>
        <v>7011000</v>
      </c>
      <c r="S1272" t="s">
        <v>989</v>
      </c>
      <c r="T1272" t="s">
        <v>985</v>
      </c>
      <c r="U1272" t="s">
        <v>986</v>
      </c>
      <c r="V1272" t="s">
        <v>938</v>
      </c>
      <c r="W1272" t="s">
        <v>51</v>
      </c>
      <c r="X1272" t="s">
        <v>45</v>
      </c>
      <c r="Y1272" s="1">
        <v>25678</v>
      </c>
      <c r="Z1272">
        <v>1</v>
      </c>
      <c r="AA1272" t="s">
        <v>986</v>
      </c>
      <c r="AB1272" s="40" t="s">
        <v>1797</v>
      </c>
    </row>
    <row r="1273" spans="1:28" x14ac:dyDescent="0.25">
      <c r="A1273">
        <v>99911272</v>
      </c>
      <c r="B1273" t="s">
        <v>32</v>
      </c>
      <c r="C1273" t="s">
        <v>139</v>
      </c>
      <c r="D1273" t="s">
        <v>140</v>
      </c>
      <c r="G1273" t="s">
        <v>35</v>
      </c>
      <c r="H1273">
        <v>1</v>
      </c>
      <c r="K1273" t="s">
        <v>268</v>
      </c>
      <c r="L1273" t="s">
        <v>269</v>
      </c>
      <c r="M1273" t="s">
        <v>131</v>
      </c>
      <c r="N1273">
        <v>16</v>
      </c>
      <c r="P1273" t="s">
        <v>41</v>
      </c>
      <c r="Q1273" t="s">
        <v>75</v>
      </c>
      <c r="R1273" t="str">
        <f>"7052042"</f>
        <v>7052042</v>
      </c>
      <c r="S1273" t="s">
        <v>583</v>
      </c>
      <c r="T1273" t="s">
        <v>268</v>
      </c>
      <c r="U1273" t="s">
        <v>269</v>
      </c>
      <c r="V1273" t="s">
        <v>131</v>
      </c>
      <c r="W1273" t="s">
        <v>51</v>
      </c>
      <c r="X1273" t="s">
        <v>45</v>
      </c>
      <c r="Y1273" s="1">
        <v>25569</v>
      </c>
      <c r="Z1273">
        <v>1</v>
      </c>
      <c r="AA1273" t="s">
        <v>269</v>
      </c>
      <c r="AB1273" s="40" t="s">
        <v>1797</v>
      </c>
    </row>
    <row r="1274" spans="1:28" x14ac:dyDescent="0.25">
      <c r="A1274">
        <v>99911273</v>
      </c>
      <c r="B1274" t="s">
        <v>56</v>
      </c>
      <c r="C1274" t="s">
        <v>79</v>
      </c>
      <c r="D1274" t="s">
        <v>80</v>
      </c>
      <c r="G1274" t="s">
        <v>48</v>
      </c>
      <c r="H1274">
        <v>1</v>
      </c>
      <c r="K1274" t="s">
        <v>268</v>
      </c>
      <c r="L1274" t="s">
        <v>269</v>
      </c>
      <c r="M1274" t="s">
        <v>131</v>
      </c>
      <c r="N1274">
        <v>16</v>
      </c>
      <c r="P1274" t="s">
        <v>41</v>
      </c>
      <c r="Q1274" t="s">
        <v>75</v>
      </c>
      <c r="R1274" t="str">
        <f>"7052034"</f>
        <v>7052034</v>
      </c>
      <c r="S1274" t="s">
        <v>604</v>
      </c>
      <c r="T1274" t="s">
        <v>268</v>
      </c>
      <c r="U1274" t="s">
        <v>269</v>
      </c>
      <c r="V1274" t="s">
        <v>131</v>
      </c>
      <c r="W1274" t="s">
        <v>51</v>
      </c>
      <c r="X1274" t="s">
        <v>45</v>
      </c>
      <c r="Y1274" s="1">
        <v>25553</v>
      </c>
      <c r="Z1274">
        <v>1</v>
      </c>
      <c r="AA1274" t="s">
        <v>269</v>
      </c>
      <c r="AB1274" s="40" t="s">
        <v>1797</v>
      </c>
    </row>
    <row r="1275" spans="1:28" x14ac:dyDescent="0.25">
      <c r="A1275">
        <v>99911274</v>
      </c>
      <c r="B1275" t="s">
        <v>56</v>
      </c>
      <c r="C1275" t="s">
        <v>46</v>
      </c>
      <c r="D1275" t="s">
        <v>47</v>
      </c>
      <c r="G1275" t="s">
        <v>48</v>
      </c>
      <c r="H1275">
        <v>1</v>
      </c>
      <c r="K1275" t="s">
        <v>223</v>
      </c>
      <c r="L1275" t="s">
        <v>224</v>
      </c>
      <c r="M1275" t="s">
        <v>131</v>
      </c>
      <c r="N1275">
        <v>16</v>
      </c>
      <c r="P1275" t="s">
        <v>41</v>
      </c>
      <c r="Q1275" t="s">
        <v>42</v>
      </c>
      <c r="R1275" t="str">
        <f>"0580207"</f>
        <v>0580207</v>
      </c>
      <c r="S1275" t="s">
        <v>229</v>
      </c>
      <c r="T1275" t="s">
        <v>223</v>
      </c>
      <c r="U1275" t="s">
        <v>224</v>
      </c>
      <c r="V1275" t="s">
        <v>131</v>
      </c>
      <c r="W1275" t="s">
        <v>51</v>
      </c>
      <c r="X1275" t="s">
        <v>45</v>
      </c>
      <c r="Y1275" s="1">
        <v>25243</v>
      </c>
      <c r="Z1275">
        <v>2</v>
      </c>
      <c r="AA1275" t="s">
        <v>224</v>
      </c>
      <c r="AB1275" s="40" t="s">
        <v>1797</v>
      </c>
    </row>
    <row r="1276" spans="1:28" x14ac:dyDescent="0.25">
      <c r="A1276">
        <v>99911275</v>
      </c>
      <c r="B1276" t="s">
        <v>56</v>
      </c>
      <c r="C1276" t="s">
        <v>33</v>
      </c>
      <c r="D1276" t="s">
        <v>34</v>
      </c>
      <c r="G1276" t="s">
        <v>35</v>
      </c>
      <c r="H1276">
        <v>1</v>
      </c>
      <c r="K1276" t="s">
        <v>223</v>
      </c>
      <c r="L1276" t="s">
        <v>224</v>
      </c>
      <c r="M1276" t="s">
        <v>131</v>
      </c>
      <c r="N1276">
        <v>16</v>
      </c>
      <c r="P1276" t="s">
        <v>41</v>
      </c>
      <c r="Q1276" t="s">
        <v>49</v>
      </c>
      <c r="R1276" t="str">
        <f>"0560018"</f>
        <v>0560018</v>
      </c>
      <c r="S1276" t="s">
        <v>234</v>
      </c>
      <c r="T1276" t="s">
        <v>223</v>
      </c>
      <c r="U1276" t="s">
        <v>224</v>
      </c>
      <c r="V1276" t="s">
        <v>131</v>
      </c>
      <c r="W1276" t="s">
        <v>51</v>
      </c>
      <c r="X1276" t="s">
        <v>45</v>
      </c>
      <c r="Y1276" s="1">
        <v>25186</v>
      </c>
      <c r="Z1276">
        <v>2</v>
      </c>
      <c r="AA1276" t="s">
        <v>224</v>
      </c>
      <c r="AB1276" s="40" t="s">
        <v>1797</v>
      </c>
    </row>
    <row r="1277" spans="1:28" x14ac:dyDescent="0.25">
      <c r="A1277">
        <v>99911276</v>
      </c>
      <c r="B1277" t="s">
        <v>32</v>
      </c>
      <c r="C1277" t="s">
        <v>33</v>
      </c>
      <c r="D1277" t="s">
        <v>34</v>
      </c>
      <c r="G1277" t="s">
        <v>48</v>
      </c>
      <c r="H1277">
        <v>7</v>
      </c>
      <c r="K1277" t="s">
        <v>129</v>
      </c>
      <c r="L1277" t="s">
        <v>130</v>
      </c>
      <c r="M1277" t="s">
        <v>131</v>
      </c>
      <c r="N1277">
        <v>16</v>
      </c>
      <c r="O1277" s="1">
        <v>37510</v>
      </c>
      <c r="P1277" t="s">
        <v>41</v>
      </c>
      <c r="Q1277" t="s">
        <v>49</v>
      </c>
      <c r="R1277" t="str">
        <f>"0580150"</f>
        <v>0580150</v>
      </c>
      <c r="S1277" t="s">
        <v>134</v>
      </c>
      <c r="T1277" t="s">
        <v>129</v>
      </c>
      <c r="U1277" t="s">
        <v>130</v>
      </c>
      <c r="V1277" t="s">
        <v>131</v>
      </c>
      <c r="W1277" t="s">
        <v>51</v>
      </c>
      <c r="X1277" t="s">
        <v>45</v>
      </c>
      <c r="Y1277" s="1">
        <v>25101</v>
      </c>
      <c r="Z1277">
        <v>2</v>
      </c>
      <c r="AA1277" t="s">
        <v>130</v>
      </c>
      <c r="AB1277" s="40" t="s">
        <v>1797</v>
      </c>
    </row>
    <row r="1278" spans="1:28" x14ac:dyDescent="0.25">
      <c r="A1278">
        <v>99911277</v>
      </c>
      <c r="B1278" t="s">
        <v>32</v>
      </c>
      <c r="C1278" t="s">
        <v>139</v>
      </c>
      <c r="D1278" t="s">
        <v>140</v>
      </c>
      <c r="G1278" t="s">
        <v>48</v>
      </c>
      <c r="H1278">
        <v>9</v>
      </c>
      <c r="K1278" t="s">
        <v>1268</v>
      </c>
      <c r="L1278" t="s">
        <v>1269</v>
      </c>
      <c r="M1278" t="s">
        <v>1270</v>
      </c>
      <c r="N1278">
        <v>16</v>
      </c>
      <c r="P1278" t="s">
        <v>41</v>
      </c>
      <c r="Q1278" t="s">
        <v>49</v>
      </c>
      <c r="R1278" t="str">
        <f>"1981912"</f>
        <v>1981912</v>
      </c>
      <c r="S1278" t="s">
        <v>1279</v>
      </c>
      <c r="T1278" t="s">
        <v>1268</v>
      </c>
      <c r="U1278" t="s">
        <v>1269</v>
      </c>
      <c r="V1278" t="s">
        <v>1270</v>
      </c>
      <c r="W1278" t="s">
        <v>51</v>
      </c>
      <c r="X1278" t="s">
        <v>45</v>
      </c>
      <c r="Y1278" s="1">
        <v>25082</v>
      </c>
      <c r="Z1278">
        <v>2</v>
      </c>
      <c r="AA1278" t="s">
        <v>1269</v>
      </c>
      <c r="AB1278" s="40" t="s">
        <v>1797</v>
      </c>
    </row>
    <row r="1279" spans="1:28" x14ac:dyDescent="0.25">
      <c r="A1279">
        <v>99911278</v>
      </c>
      <c r="B1279" t="s">
        <v>56</v>
      </c>
      <c r="C1279" t="s">
        <v>33</v>
      </c>
      <c r="D1279" t="s">
        <v>34</v>
      </c>
      <c r="G1279" t="s">
        <v>48</v>
      </c>
      <c r="H1279">
        <v>1</v>
      </c>
      <c r="K1279" t="s">
        <v>162</v>
      </c>
      <c r="L1279" t="s">
        <v>158</v>
      </c>
      <c r="M1279" t="s">
        <v>131</v>
      </c>
      <c r="N1279">
        <v>16</v>
      </c>
      <c r="P1279" t="s">
        <v>41</v>
      </c>
      <c r="Q1279" t="s">
        <v>42</v>
      </c>
      <c r="R1279" t="str">
        <f>"0580330"</f>
        <v>0580330</v>
      </c>
      <c r="S1279" t="s">
        <v>176</v>
      </c>
      <c r="T1279" t="s">
        <v>162</v>
      </c>
      <c r="U1279" t="s">
        <v>158</v>
      </c>
      <c r="V1279" t="s">
        <v>131</v>
      </c>
      <c r="W1279" t="s">
        <v>51</v>
      </c>
      <c r="X1279" t="s">
        <v>45</v>
      </c>
      <c r="Y1279" s="1">
        <v>25026</v>
      </c>
      <c r="Z1279">
        <v>2</v>
      </c>
      <c r="AA1279" t="s">
        <v>158</v>
      </c>
      <c r="AB1279" s="40" t="s">
        <v>1797</v>
      </c>
    </row>
    <row r="1280" spans="1:28" x14ac:dyDescent="0.25">
      <c r="A1280">
        <v>99911279</v>
      </c>
      <c r="B1280" t="s">
        <v>56</v>
      </c>
      <c r="C1280" t="s">
        <v>82</v>
      </c>
      <c r="D1280" t="s">
        <v>83</v>
      </c>
      <c r="G1280" t="s">
        <v>48</v>
      </c>
      <c r="H1280">
        <v>1</v>
      </c>
      <c r="K1280" t="s">
        <v>380</v>
      </c>
      <c r="L1280" t="s">
        <v>381</v>
      </c>
      <c r="M1280" t="s">
        <v>131</v>
      </c>
      <c r="N1280">
        <v>16</v>
      </c>
      <c r="P1280" t="s">
        <v>41</v>
      </c>
      <c r="Q1280" t="s">
        <v>42</v>
      </c>
      <c r="R1280" t="str">
        <f>"0590908"</f>
        <v>0590908</v>
      </c>
      <c r="S1280" t="s">
        <v>382</v>
      </c>
      <c r="T1280" t="s">
        <v>380</v>
      </c>
      <c r="U1280" t="s">
        <v>381</v>
      </c>
      <c r="V1280" t="s">
        <v>131</v>
      </c>
      <c r="W1280" t="s">
        <v>51</v>
      </c>
      <c r="X1280" t="s">
        <v>45</v>
      </c>
      <c r="Y1280" s="1">
        <v>24974</v>
      </c>
      <c r="Z1280">
        <v>2</v>
      </c>
      <c r="AA1280" t="s">
        <v>381</v>
      </c>
      <c r="AB1280" s="40" t="s">
        <v>1797</v>
      </c>
    </row>
    <row r="1281" spans="1:28" x14ac:dyDescent="0.25">
      <c r="A1281">
        <v>99911280</v>
      </c>
      <c r="B1281" t="s">
        <v>56</v>
      </c>
      <c r="C1281" t="s">
        <v>149</v>
      </c>
      <c r="D1281" t="s">
        <v>150</v>
      </c>
      <c r="E1281" t="s">
        <v>251</v>
      </c>
      <c r="F1281" t="s">
        <v>252</v>
      </c>
      <c r="G1281" t="s">
        <v>35</v>
      </c>
      <c r="H1281">
        <v>1</v>
      </c>
      <c r="K1281" t="s">
        <v>223</v>
      </c>
      <c r="L1281" t="s">
        <v>224</v>
      </c>
      <c r="M1281" t="s">
        <v>131</v>
      </c>
      <c r="N1281">
        <v>16</v>
      </c>
      <c r="P1281" t="s">
        <v>41</v>
      </c>
      <c r="Q1281" t="s">
        <v>49</v>
      </c>
      <c r="R1281" t="str">
        <f>"0591901"</f>
        <v>0591901</v>
      </c>
      <c r="S1281" t="s">
        <v>230</v>
      </c>
      <c r="T1281" t="s">
        <v>223</v>
      </c>
      <c r="U1281" t="s">
        <v>224</v>
      </c>
      <c r="V1281" t="s">
        <v>131</v>
      </c>
      <c r="W1281" t="s">
        <v>51</v>
      </c>
      <c r="X1281" t="s">
        <v>45</v>
      </c>
      <c r="Y1281" s="1">
        <v>24956</v>
      </c>
      <c r="Z1281">
        <v>2</v>
      </c>
      <c r="AA1281" t="s">
        <v>224</v>
      </c>
      <c r="AB1281" s="40" t="s">
        <v>1797</v>
      </c>
    </row>
    <row r="1282" spans="1:28" x14ac:dyDescent="0.25">
      <c r="A1282">
        <v>99911281</v>
      </c>
      <c r="B1282" t="s">
        <v>32</v>
      </c>
      <c r="C1282" t="s">
        <v>46</v>
      </c>
      <c r="D1282" t="s">
        <v>47</v>
      </c>
      <c r="G1282" t="s">
        <v>48</v>
      </c>
      <c r="H1282">
        <v>1</v>
      </c>
      <c r="K1282" t="s">
        <v>1613</v>
      </c>
      <c r="L1282" t="s">
        <v>1614</v>
      </c>
      <c r="M1282" t="s">
        <v>1592</v>
      </c>
      <c r="N1282">
        <v>16</v>
      </c>
      <c r="P1282" t="s">
        <v>41</v>
      </c>
      <c r="Q1282" t="s">
        <v>42</v>
      </c>
      <c r="R1282" t="str">
        <f>"2880010"</f>
        <v>2880010</v>
      </c>
      <c r="S1282" t="s">
        <v>1623</v>
      </c>
      <c r="T1282" t="s">
        <v>1613</v>
      </c>
      <c r="U1282" t="s">
        <v>1614</v>
      </c>
      <c r="V1282" t="s">
        <v>1592</v>
      </c>
      <c r="W1282" t="s">
        <v>51</v>
      </c>
      <c r="X1282" t="s">
        <v>45</v>
      </c>
      <c r="Y1282" s="1">
        <v>24927</v>
      </c>
      <c r="Z1282">
        <v>2</v>
      </c>
      <c r="AA1282" t="s">
        <v>1614</v>
      </c>
      <c r="AB1282" s="40" t="s">
        <v>1797</v>
      </c>
    </row>
    <row r="1283" spans="1:28" x14ac:dyDescent="0.25">
      <c r="A1283">
        <v>99911282</v>
      </c>
      <c r="B1283" t="s">
        <v>32</v>
      </c>
      <c r="C1283" t="s">
        <v>46</v>
      </c>
      <c r="D1283" t="s">
        <v>47</v>
      </c>
      <c r="G1283" t="s">
        <v>48</v>
      </c>
      <c r="H1283">
        <v>1</v>
      </c>
      <c r="K1283" t="s">
        <v>157</v>
      </c>
      <c r="L1283" t="s">
        <v>158</v>
      </c>
      <c r="M1283" t="s">
        <v>131</v>
      </c>
      <c r="N1283">
        <v>16</v>
      </c>
      <c r="P1283" t="s">
        <v>41</v>
      </c>
      <c r="Q1283" t="s">
        <v>42</v>
      </c>
      <c r="R1283" t="str">
        <f>"0580290"</f>
        <v>0580290</v>
      </c>
      <c r="S1283" t="s">
        <v>171</v>
      </c>
      <c r="T1283" t="s">
        <v>157</v>
      </c>
      <c r="U1283" t="s">
        <v>158</v>
      </c>
      <c r="V1283" t="s">
        <v>131</v>
      </c>
      <c r="W1283" t="s">
        <v>51</v>
      </c>
      <c r="X1283" t="s">
        <v>45</v>
      </c>
      <c r="Y1283" s="1">
        <v>24921</v>
      </c>
      <c r="Z1283">
        <v>2</v>
      </c>
      <c r="AA1283" t="s">
        <v>158</v>
      </c>
      <c r="AB1283" s="40" t="s">
        <v>1797</v>
      </c>
    </row>
    <row r="1284" spans="1:28" x14ac:dyDescent="0.25">
      <c r="A1284">
        <v>99911283</v>
      </c>
      <c r="B1284" t="s">
        <v>32</v>
      </c>
      <c r="C1284" t="s">
        <v>79</v>
      </c>
      <c r="D1284" t="s">
        <v>80</v>
      </c>
      <c r="G1284" t="s">
        <v>35</v>
      </c>
      <c r="H1284">
        <v>1</v>
      </c>
      <c r="K1284" t="s">
        <v>268</v>
      </c>
      <c r="L1284" t="s">
        <v>269</v>
      </c>
      <c r="M1284" t="s">
        <v>131</v>
      </c>
      <c r="N1284">
        <v>16</v>
      </c>
      <c r="P1284" t="s">
        <v>41</v>
      </c>
      <c r="Q1284" t="s">
        <v>75</v>
      </c>
      <c r="R1284" t="str">
        <f>"7052010"</f>
        <v>7052010</v>
      </c>
      <c r="S1284" t="s">
        <v>615</v>
      </c>
      <c r="T1284" t="s">
        <v>268</v>
      </c>
      <c r="U1284" t="s">
        <v>269</v>
      </c>
      <c r="V1284" t="s">
        <v>131</v>
      </c>
      <c r="W1284" t="s">
        <v>51</v>
      </c>
      <c r="X1284" t="s">
        <v>45</v>
      </c>
      <c r="Y1284" s="1">
        <v>24813</v>
      </c>
      <c r="Z1284">
        <v>1</v>
      </c>
      <c r="AA1284" t="s">
        <v>269</v>
      </c>
      <c r="AB1284" s="40" t="s">
        <v>1797</v>
      </c>
    </row>
    <row r="1285" spans="1:28" x14ac:dyDescent="0.25">
      <c r="A1285">
        <v>99911284</v>
      </c>
      <c r="B1285" t="s">
        <v>56</v>
      </c>
      <c r="C1285" t="s">
        <v>82</v>
      </c>
      <c r="D1285" t="s">
        <v>83</v>
      </c>
      <c r="G1285" t="s">
        <v>48</v>
      </c>
      <c r="H1285">
        <v>1</v>
      </c>
      <c r="K1285" t="s">
        <v>1487</v>
      </c>
      <c r="L1285" t="s">
        <v>1488</v>
      </c>
      <c r="M1285" t="s">
        <v>670</v>
      </c>
      <c r="N1285">
        <v>16</v>
      </c>
      <c r="P1285" t="s">
        <v>41</v>
      </c>
      <c r="Q1285" t="s">
        <v>49</v>
      </c>
      <c r="R1285" t="str">
        <f>"1760001"</f>
        <v>1760001</v>
      </c>
      <c r="S1285" t="s">
        <v>1489</v>
      </c>
      <c r="T1285" t="s">
        <v>1487</v>
      </c>
      <c r="U1285" t="s">
        <v>1488</v>
      </c>
      <c r="V1285" t="s">
        <v>670</v>
      </c>
      <c r="W1285" t="s">
        <v>51</v>
      </c>
      <c r="X1285" t="s">
        <v>45</v>
      </c>
      <c r="Y1285" s="1">
        <v>24687</v>
      </c>
      <c r="Z1285">
        <v>2</v>
      </c>
      <c r="AA1285" t="s">
        <v>1488</v>
      </c>
      <c r="AB1285" s="40" t="s">
        <v>1797</v>
      </c>
    </row>
    <row r="1286" spans="1:28" x14ac:dyDescent="0.25">
      <c r="A1286">
        <v>99911285</v>
      </c>
      <c r="B1286" t="s">
        <v>32</v>
      </c>
      <c r="C1286" t="s">
        <v>64</v>
      </c>
      <c r="D1286" t="s">
        <v>65</v>
      </c>
      <c r="G1286" t="s">
        <v>48</v>
      </c>
      <c r="H1286">
        <v>1</v>
      </c>
      <c r="K1286" t="s">
        <v>268</v>
      </c>
      <c r="L1286" t="s">
        <v>269</v>
      </c>
      <c r="M1286" t="s">
        <v>131</v>
      </c>
      <c r="N1286">
        <v>16</v>
      </c>
      <c r="P1286" t="s">
        <v>41</v>
      </c>
      <c r="Q1286" t="s">
        <v>75</v>
      </c>
      <c r="R1286" t="str">
        <f>"7052034"</f>
        <v>7052034</v>
      </c>
      <c r="S1286" t="s">
        <v>604</v>
      </c>
      <c r="T1286" t="s">
        <v>268</v>
      </c>
      <c r="U1286" t="s">
        <v>269</v>
      </c>
      <c r="V1286" t="s">
        <v>131</v>
      </c>
      <c r="W1286" t="s">
        <v>51</v>
      </c>
      <c r="X1286" t="s">
        <v>45</v>
      </c>
      <c r="Y1286" s="1">
        <v>24634</v>
      </c>
      <c r="Z1286">
        <v>1</v>
      </c>
      <c r="AA1286" t="s">
        <v>269</v>
      </c>
      <c r="AB1286" s="40" t="s">
        <v>1797</v>
      </c>
    </row>
    <row r="1287" spans="1:28" x14ac:dyDescent="0.25">
      <c r="A1287">
        <v>99911286</v>
      </c>
      <c r="B1287" t="s">
        <v>32</v>
      </c>
      <c r="C1287" t="s">
        <v>52</v>
      </c>
      <c r="D1287" t="s">
        <v>53</v>
      </c>
      <c r="G1287" t="s">
        <v>48</v>
      </c>
      <c r="H1287">
        <v>1</v>
      </c>
      <c r="K1287" t="s">
        <v>157</v>
      </c>
      <c r="L1287" t="s">
        <v>158</v>
      </c>
      <c r="M1287" t="s">
        <v>131</v>
      </c>
      <c r="N1287">
        <v>16</v>
      </c>
      <c r="P1287" t="s">
        <v>41</v>
      </c>
      <c r="Q1287" t="s">
        <v>42</v>
      </c>
      <c r="R1287" t="str">
        <f>"0580290"</f>
        <v>0580290</v>
      </c>
      <c r="S1287" t="s">
        <v>171</v>
      </c>
      <c r="T1287" t="s">
        <v>157</v>
      </c>
      <c r="U1287" t="s">
        <v>158</v>
      </c>
      <c r="V1287" t="s">
        <v>131</v>
      </c>
      <c r="W1287" t="s">
        <v>51</v>
      </c>
      <c r="X1287" t="s">
        <v>45</v>
      </c>
      <c r="Y1287" s="1">
        <v>24545</v>
      </c>
      <c r="Z1287">
        <v>2</v>
      </c>
      <c r="AA1287" t="s">
        <v>158</v>
      </c>
      <c r="AB1287" s="40" t="s">
        <v>1797</v>
      </c>
    </row>
    <row r="1288" spans="1:28" x14ac:dyDescent="0.25">
      <c r="A1288">
        <v>99911287</v>
      </c>
      <c r="B1288" t="s">
        <v>56</v>
      </c>
      <c r="C1288" t="s">
        <v>33</v>
      </c>
      <c r="D1288" t="s">
        <v>34</v>
      </c>
      <c r="G1288" t="s">
        <v>35</v>
      </c>
      <c r="H1288">
        <v>1</v>
      </c>
      <c r="K1288" t="s">
        <v>223</v>
      </c>
      <c r="L1288" t="s">
        <v>224</v>
      </c>
      <c r="M1288" t="s">
        <v>131</v>
      </c>
      <c r="N1288">
        <v>16</v>
      </c>
      <c r="P1288" t="s">
        <v>41</v>
      </c>
      <c r="Q1288" t="s">
        <v>42</v>
      </c>
      <c r="R1288" t="str">
        <f>"0590901"</f>
        <v>0590901</v>
      </c>
      <c r="S1288" t="s">
        <v>242</v>
      </c>
      <c r="T1288" t="s">
        <v>223</v>
      </c>
      <c r="U1288" t="s">
        <v>224</v>
      </c>
      <c r="V1288" t="s">
        <v>131</v>
      </c>
      <c r="W1288" t="s">
        <v>51</v>
      </c>
      <c r="X1288" t="s">
        <v>45</v>
      </c>
      <c r="Y1288" s="1">
        <v>24542</v>
      </c>
      <c r="Z1288">
        <v>2</v>
      </c>
      <c r="AA1288" t="s">
        <v>224</v>
      </c>
      <c r="AB1288" s="40" t="s">
        <v>1797</v>
      </c>
    </row>
    <row r="1289" spans="1:28" x14ac:dyDescent="0.25">
      <c r="A1289">
        <v>99911288</v>
      </c>
      <c r="B1289" t="s">
        <v>56</v>
      </c>
      <c r="C1289" t="s">
        <v>79</v>
      </c>
      <c r="D1289" t="s">
        <v>80</v>
      </c>
      <c r="G1289" t="s">
        <v>35</v>
      </c>
      <c r="H1289">
        <v>1</v>
      </c>
      <c r="K1289" t="s">
        <v>354</v>
      </c>
      <c r="L1289" t="s">
        <v>355</v>
      </c>
      <c r="M1289" t="s">
        <v>131</v>
      </c>
      <c r="N1289">
        <v>16</v>
      </c>
      <c r="P1289" t="s">
        <v>41</v>
      </c>
      <c r="Q1289" t="s">
        <v>75</v>
      </c>
      <c r="R1289" t="str">
        <f>"7054028"</f>
        <v>7054028</v>
      </c>
      <c r="S1289" t="s">
        <v>788</v>
      </c>
      <c r="T1289" t="s">
        <v>354</v>
      </c>
      <c r="U1289" t="s">
        <v>355</v>
      </c>
      <c r="V1289" t="s">
        <v>131</v>
      </c>
      <c r="W1289" t="s">
        <v>51</v>
      </c>
      <c r="X1289" t="s">
        <v>45</v>
      </c>
      <c r="Y1289" s="1">
        <v>23917</v>
      </c>
      <c r="Z1289">
        <v>1</v>
      </c>
      <c r="AA1289" t="s">
        <v>355</v>
      </c>
      <c r="AB1289" s="40" t="s">
        <v>1797</v>
      </c>
    </row>
    <row r="1290" spans="1:28" x14ac:dyDescent="0.25">
      <c r="A1290">
        <v>99911289</v>
      </c>
      <c r="B1290" t="s">
        <v>56</v>
      </c>
      <c r="C1290" t="s">
        <v>52</v>
      </c>
      <c r="D1290" t="s">
        <v>53</v>
      </c>
      <c r="G1290" t="s">
        <v>48</v>
      </c>
      <c r="H1290">
        <v>1</v>
      </c>
      <c r="K1290" t="s">
        <v>162</v>
      </c>
      <c r="L1290" t="s">
        <v>158</v>
      </c>
      <c r="M1290" t="s">
        <v>131</v>
      </c>
      <c r="N1290">
        <v>16</v>
      </c>
      <c r="P1290" t="s">
        <v>41</v>
      </c>
      <c r="Q1290" t="s">
        <v>42</v>
      </c>
      <c r="R1290" t="str">
        <f>"0580325"</f>
        <v>0580325</v>
      </c>
      <c r="S1290" t="s">
        <v>170</v>
      </c>
      <c r="T1290" t="s">
        <v>162</v>
      </c>
      <c r="U1290" t="s">
        <v>158</v>
      </c>
      <c r="V1290" t="s">
        <v>131</v>
      </c>
      <c r="W1290" t="s">
        <v>165</v>
      </c>
      <c r="X1290" t="s">
        <v>45</v>
      </c>
      <c r="Y1290" s="1">
        <v>23533</v>
      </c>
      <c r="Z1290">
        <v>2</v>
      </c>
      <c r="AA1290" t="s">
        <v>158</v>
      </c>
      <c r="AB1290" s="40" t="s">
        <v>1797</v>
      </c>
    </row>
    <row r="1291" spans="1:28" x14ac:dyDescent="0.25">
      <c r="A1291">
        <v>99911290</v>
      </c>
      <c r="B1291" t="s">
        <v>56</v>
      </c>
      <c r="C1291" t="s">
        <v>68</v>
      </c>
      <c r="D1291" t="s">
        <v>69</v>
      </c>
      <c r="G1291" t="s">
        <v>35</v>
      </c>
      <c r="H1291">
        <v>1</v>
      </c>
      <c r="I1291" t="s">
        <v>940</v>
      </c>
      <c r="J1291" s="1">
        <v>42979</v>
      </c>
      <c r="K1291" t="s">
        <v>936</v>
      </c>
      <c r="L1291" t="s">
        <v>937</v>
      </c>
      <c r="M1291" t="s">
        <v>938</v>
      </c>
      <c r="N1291">
        <v>16</v>
      </c>
      <c r="O1291" s="1">
        <v>42979</v>
      </c>
      <c r="P1291" t="s">
        <v>41</v>
      </c>
      <c r="Q1291" t="s">
        <v>42</v>
      </c>
      <c r="R1291" t="str">
        <f>"0161002"</f>
        <v>0161002</v>
      </c>
      <c r="S1291" t="s">
        <v>941</v>
      </c>
      <c r="T1291" t="s">
        <v>936</v>
      </c>
      <c r="U1291" t="s">
        <v>937</v>
      </c>
      <c r="V1291" t="s">
        <v>938</v>
      </c>
      <c r="W1291" t="s">
        <v>44</v>
      </c>
      <c r="X1291" t="s">
        <v>45</v>
      </c>
      <c r="Y1291" s="1">
        <v>23400</v>
      </c>
      <c r="Z1291">
        <v>2</v>
      </c>
      <c r="AA1291" t="s">
        <v>937</v>
      </c>
      <c r="AB1291" s="40" t="s">
        <v>1797</v>
      </c>
    </row>
    <row r="1292" spans="1:28" x14ac:dyDescent="0.25">
      <c r="A1292">
        <v>99911291</v>
      </c>
      <c r="B1292" t="s">
        <v>56</v>
      </c>
      <c r="C1292" t="s">
        <v>52</v>
      </c>
      <c r="D1292" t="s">
        <v>53</v>
      </c>
      <c r="G1292" t="s">
        <v>35</v>
      </c>
      <c r="H1292">
        <v>1</v>
      </c>
      <c r="J1292" s="1">
        <v>38230</v>
      </c>
      <c r="K1292" t="s">
        <v>1336</v>
      </c>
      <c r="L1292" t="s">
        <v>1337</v>
      </c>
      <c r="M1292" t="s">
        <v>1270</v>
      </c>
      <c r="N1292">
        <v>16</v>
      </c>
      <c r="O1292" s="1">
        <v>38230</v>
      </c>
      <c r="P1292" t="s">
        <v>41</v>
      </c>
      <c r="Q1292" t="s">
        <v>49</v>
      </c>
      <c r="R1292" t="str">
        <f>"4475075"</f>
        <v>4475075</v>
      </c>
      <c r="S1292" t="s">
        <v>1339</v>
      </c>
      <c r="T1292" t="s">
        <v>1336</v>
      </c>
      <c r="U1292" t="s">
        <v>1337</v>
      </c>
      <c r="V1292" t="s">
        <v>1270</v>
      </c>
      <c r="W1292" t="s">
        <v>51</v>
      </c>
      <c r="X1292" t="s">
        <v>45</v>
      </c>
      <c r="Y1292" s="1">
        <v>23077</v>
      </c>
      <c r="Z1292">
        <v>2</v>
      </c>
      <c r="AA1292" t="s">
        <v>1337</v>
      </c>
      <c r="AB1292" s="40" t="s">
        <v>1797</v>
      </c>
    </row>
    <row r="1293" spans="1:28" x14ac:dyDescent="0.25">
      <c r="A1293">
        <v>99911292</v>
      </c>
      <c r="B1293" t="s">
        <v>56</v>
      </c>
      <c r="C1293" t="s">
        <v>68</v>
      </c>
      <c r="D1293" t="s">
        <v>69</v>
      </c>
      <c r="G1293" t="s">
        <v>48</v>
      </c>
      <c r="H1293">
        <v>1</v>
      </c>
      <c r="K1293" t="s">
        <v>157</v>
      </c>
      <c r="L1293" t="s">
        <v>158</v>
      </c>
      <c r="M1293" t="s">
        <v>131</v>
      </c>
      <c r="N1293">
        <v>16</v>
      </c>
      <c r="P1293" t="s">
        <v>41</v>
      </c>
      <c r="Q1293" t="s">
        <v>42</v>
      </c>
      <c r="R1293" t="str">
        <f>"0580290"</f>
        <v>0580290</v>
      </c>
      <c r="S1293" t="s">
        <v>171</v>
      </c>
      <c r="T1293" t="s">
        <v>157</v>
      </c>
      <c r="U1293" t="s">
        <v>158</v>
      </c>
      <c r="V1293" t="s">
        <v>131</v>
      </c>
      <c r="W1293" t="s">
        <v>51</v>
      </c>
      <c r="X1293" t="s">
        <v>45</v>
      </c>
      <c r="Y1293" s="1">
        <v>22922</v>
      </c>
      <c r="Z1293">
        <v>2</v>
      </c>
      <c r="AA1293" t="s">
        <v>158</v>
      </c>
      <c r="AB1293" s="40" t="s">
        <v>1797</v>
      </c>
    </row>
    <row r="1294" spans="1:28" x14ac:dyDescent="0.25">
      <c r="A1294">
        <v>99911293</v>
      </c>
      <c r="B1294" t="s">
        <v>32</v>
      </c>
      <c r="C1294" t="s">
        <v>64</v>
      </c>
      <c r="D1294" t="s">
        <v>65</v>
      </c>
      <c r="G1294" t="s">
        <v>35</v>
      </c>
      <c r="H1294">
        <v>1</v>
      </c>
      <c r="K1294" t="s">
        <v>162</v>
      </c>
      <c r="L1294" t="s">
        <v>158</v>
      </c>
      <c r="M1294" t="s">
        <v>131</v>
      </c>
      <c r="N1294">
        <v>16</v>
      </c>
      <c r="P1294" t="s">
        <v>41</v>
      </c>
      <c r="Q1294" t="s">
        <v>49</v>
      </c>
      <c r="R1294" t="str">
        <f>"0505050"</f>
        <v>0505050</v>
      </c>
      <c r="S1294" t="s">
        <v>163</v>
      </c>
      <c r="T1294" t="s">
        <v>162</v>
      </c>
      <c r="U1294" t="s">
        <v>158</v>
      </c>
      <c r="V1294" t="s">
        <v>131</v>
      </c>
      <c r="W1294" t="s">
        <v>165</v>
      </c>
      <c r="X1294" t="s">
        <v>45</v>
      </c>
      <c r="Y1294" s="1">
        <v>22807</v>
      </c>
      <c r="Z1294">
        <v>2</v>
      </c>
      <c r="AA1294" t="s">
        <v>158</v>
      </c>
      <c r="AB1294" s="40" t="s">
        <v>1797</v>
      </c>
    </row>
    <row r="1295" spans="1:28" x14ac:dyDescent="0.25">
      <c r="A1295">
        <v>99911294</v>
      </c>
      <c r="B1295" t="s">
        <v>32</v>
      </c>
      <c r="C1295" t="s">
        <v>64</v>
      </c>
      <c r="D1295" t="s">
        <v>65</v>
      </c>
      <c r="G1295" t="s">
        <v>48</v>
      </c>
      <c r="H1295">
        <v>1</v>
      </c>
      <c r="K1295" t="s">
        <v>223</v>
      </c>
      <c r="L1295" t="s">
        <v>224</v>
      </c>
      <c r="M1295" t="s">
        <v>131</v>
      </c>
      <c r="N1295">
        <v>16</v>
      </c>
      <c r="P1295" t="s">
        <v>41</v>
      </c>
      <c r="Q1295" t="s">
        <v>42</v>
      </c>
      <c r="R1295" t="str">
        <f>"0580204"</f>
        <v>0580204</v>
      </c>
      <c r="S1295" t="s">
        <v>235</v>
      </c>
      <c r="T1295" t="s">
        <v>223</v>
      </c>
      <c r="U1295" t="s">
        <v>224</v>
      </c>
      <c r="V1295" t="s">
        <v>131</v>
      </c>
      <c r="W1295" t="s">
        <v>165</v>
      </c>
      <c r="X1295" t="s">
        <v>45</v>
      </c>
      <c r="Y1295" s="1">
        <v>22478</v>
      </c>
      <c r="Z1295">
        <v>2</v>
      </c>
      <c r="AA1295" t="s">
        <v>224</v>
      </c>
      <c r="AB1295" s="40" t="s">
        <v>1797</v>
      </c>
    </row>
    <row r="1296" spans="1:28" x14ac:dyDescent="0.25">
      <c r="A1296">
        <v>99911295</v>
      </c>
      <c r="B1296" t="s">
        <v>32</v>
      </c>
      <c r="C1296" t="s">
        <v>79</v>
      </c>
      <c r="D1296" t="s">
        <v>80</v>
      </c>
      <c r="G1296" t="s">
        <v>48</v>
      </c>
      <c r="H1296">
        <v>1</v>
      </c>
      <c r="K1296" t="s">
        <v>157</v>
      </c>
      <c r="L1296" t="s">
        <v>158</v>
      </c>
      <c r="M1296" t="s">
        <v>131</v>
      </c>
      <c r="N1296">
        <v>16</v>
      </c>
      <c r="P1296" t="s">
        <v>41</v>
      </c>
      <c r="Q1296" t="s">
        <v>49</v>
      </c>
      <c r="R1296" t="str">
        <f>"0560010"</f>
        <v>0560010</v>
      </c>
      <c r="S1296" t="s">
        <v>179</v>
      </c>
      <c r="T1296" t="s">
        <v>157</v>
      </c>
      <c r="U1296" t="s">
        <v>158</v>
      </c>
      <c r="V1296" t="s">
        <v>131</v>
      </c>
      <c r="W1296" t="s">
        <v>51</v>
      </c>
      <c r="X1296" t="s">
        <v>45</v>
      </c>
      <c r="Y1296" s="1">
        <v>22471</v>
      </c>
      <c r="Z1296">
        <v>2</v>
      </c>
      <c r="AA1296" t="s">
        <v>158</v>
      </c>
      <c r="AB1296" s="40" t="s">
        <v>1797</v>
      </c>
    </row>
    <row r="1297" spans="1:28" x14ac:dyDescent="0.25">
      <c r="A1297">
        <v>99911296</v>
      </c>
      <c r="B1297" t="s">
        <v>56</v>
      </c>
      <c r="C1297" t="s">
        <v>52</v>
      </c>
      <c r="D1297" t="s">
        <v>53</v>
      </c>
      <c r="G1297" t="s">
        <v>48</v>
      </c>
      <c r="H1297">
        <v>1</v>
      </c>
      <c r="K1297" t="s">
        <v>223</v>
      </c>
      <c r="L1297" t="s">
        <v>224</v>
      </c>
      <c r="M1297" t="s">
        <v>131</v>
      </c>
      <c r="N1297">
        <v>16</v>
      </c>
      <c r="P1297" t="s">
        <v>41</v>
      </c>
      <c r="Q1297" t="s">
        <v>42</v>
      </c>
      <c r="R1297" t="str">
        <f>"0561014"</f>
        <v>0561014</v>
      </c>
      <c r="S1297" t="s">
        <v>264</v>
      </c>
      <c r="T1297" t="s">
        <v>223</v>
      </c>
      <c r="U1297" t="s">
        <v>224</v>
      </c>
      <c r="V1297" t="s">
        <v>131</v>
      </c>
      <c r="W1297" t="s">
        <v>51</v>
      </c>
      <c r="X1297" t="s">
        <v>45</v>
      </c>
      <c r="Y1297" s="1">
        <v>21186</v>
      </c>
      <c r="Z1297">
        <v>2</v>
      </c>
      <c r="AA1297" t="s">
        <v>224</v>
      </c>
      <c r="AB1297" s="40" t="s">
        <v>1797</v>
      </c>
    </row>
    <row r="1298" spans="1:28" x14ac:dyDescent="0.25">
      <c r="A1298">
        <v>99911297</v>
      </c>
      <c r="B1298" t="s">
        <v>32</v>
      </c>
      <c r="C1298" t="s">
        <v>52</v>
      </c>
      <c r="D1298" t="s">
        <v>53</v>
      </c>
      <c r="G1298" t="s">
        <v>48</v>
      </c>
      <c r="H1298">
        <v>1</v>
      </c>
      <c r="K1298" t="s">
        <v>380</v>
      </c>
      <c r="L1298" t="s">
        <v>381</v>
      </c>
      <c r="M1298" t="s">
        <v>131</v>
      </c>
      <c r="N1298">
        <v>16</v>
      </c>
      <c r="P1298" t="s">
        <v>41</v>
      </c>
      <c r="Q1298" t="s">
        <v>42</v>
      </c>
      <c r="R1298" t="str">
        <f>"0561016"</f>
        <v>0561016</v>
      </c>
      <c r="S1298" t="s">
        <v>389</v>
      </c>
      <c r="T1298" t="s">
        <v>380</v>
      </c>
      <c r="U1298" t="s">
        <v>381</v>
      </c>
      <c r="V1298" t="s">
        <v>131</v>
      </c>
      <c r="W1298" t="s">
        <v>51</v>
      </c>
      <c r="X1298" t="s">
        <v>45</v>
      </c>
      <c r="Y1298" s="1">
        <v>21021</v>
      </c>
      <c r="Z1298">
        <v>2</v>
      </c>
      <c r="AA1298" t="s">
        <v>381</v>
      </c>
      <c r="AB1298" s="40" t="s">
        <v>1797</v>
      </c>
    </row>
    <row r="1299" spans="1:28" x14ac:dyDescent="0.25">
      <c r="A1299">
        <v>99911298</v>
      </c>
      <c r="B1299" t="s">
        <v>56</v>
      </c>
      <c r="C1299" t="s">
        <v>68</v>
      </c>
      <c r="D1299" t="s">
        <v>69</v>
      </c>
      <c r="G1299" t="s">
        <v>48</v>
      </c>
      <c r="H1299">
        <v>1</v>
      </c>
      <c r="K1299" t="s">
        <v>223</v>
      </c>
      <c r="L1299" t="s">
        <v>224</v>
      </c>
      <c r="M1299" t="s">
        <v>131</v>
      </c>
      <c r="N1299">
        <v>16</v>
      </c>
      <c r="P1299" t="s">
        <v>41</v>
      </c>
      <c r="Q1299" t="s">
        <v>42</v>
      </c>
      <c r="R1299" t="str">
        <f>"0580207"</f>
        <v>0580207</v>
      </c>
      <c r="S1299" t="s">
        <v>229</v>
      </c>
      <c r="T1299" t="s">
        <v>223</v>
      </c>
      <c r="U1299" t="s">
        <v>224</v>
      </c>
      <c r="V1299" t="s">
        <v>131</v>
      </c>
      <c r="W1299" t="s">
        <v>51</v>
      </c>
      <c r="X1299" t="s">
        <v>45</v>
      </c>
      <c r="Y1299" s="1">
        <v>18764</v>
      </c>
      <c r="Z1299">
        <v>2</v>
      </c>
      <c r="AA1299" t="s">
        <v>224</v>
      </c>
      <c r="AB1299" s="40" t="s">
        <v>1797</v>
      </c>
    </row>
    <row r="1300" spans="1:28" x14ac:dyDescent="0.25">
      <c r="A1300">
        <v>99911299</v>
      </c>
      <c r="B1300" t="s">
        <v>56</v>
      </c>
      <c r="C1300" t="s">
        <v>251</v>
      </c>
      <c r="D1300" t="s">
        <v>252</v>
      </c>
      <c r="G1300" t="s">
        <v>35</v>
      </c>
      <c r="H1300">
        <v>1</v>
      </c>
      <c r="K1300" t="s">
        <v>223</v>
      </c>
      <c r="L1300" t="s">
        <v>224</v>
      </c>
      <c r="M1300" t="s">
        <v>131</v>
      </c>
      <c r="N1300">
        <v>16</v>
      </c>
      <c r="P1300" t="s">
        <v>41</v>
      </c>
      <c r="Q1300" t="s">
        <v>42</v>
      </c>
      <c r="R1300" t="str">
        <f>"0590903"</f>
        <v>0590903</v>
      </c>
      <c r="S1300" t="s">
        <v>226</v>
      </c>
      <c r="T1300" t="s">
        <v>223</v>
      </c>
      <c r="U1300" t="s">
        <v>224</v>
      </c>
      <c r="V1300" t="s">
        <v>131</v>
      </c>
      <c r="W1300" t="s">
        <v>51</v>
      </c>
      <c r="X1300" t="s">
        <v>45</v>
      </c>
      <c r="Y1300" s="1">
        <v>18494</v>
      </c>
      <c r="Z1300">
        <v>2</v>
      </c>
      <c r="AA1300" t="s">
        <v>224</v>
      </c>
      <c r="AB1300" s="40" t="s">
        <v>1797</v>
      </c>
    </row>
    <row r="1301" spans="1:28" x14ac:dyDescent="0.25">
      <c r="A1301">
        <v>99911300</v>
      </c>
      <c r="B1301" t="s">
        <v>56</v>
      </c>
      <c r="C1301" t="s">
        <v>46</v>
      </c>
      <c r="D1301" t="s">
        <v>47</v>
      </c>
      <c r="G1301" t="s">
        <v>35</v>
      </c>
      <c r="H1301">
        <v>1</v>
      </c>
      <c r="K1301" t="s">
        <v>157</v>
      </c>
      <c r="L1301" t="s">
        <v>158</v>
      </c>
      <c r="M1301" t="s">
        <v>131</v>
      </c>
      <c r="N1301">
        <v>16</v>
      </c>
      <c r="P1301" t="s">
        <v>41</v>
      </c>
      <c r="Q1301" t="s">
        <v>42</v>
      </c>
      <c r="R1301" t="str">
        <f>"0561005"</f>
        <v>0561005</v>
      </c>
      <c r="S1301" t="s">
        <v>174</v>
      </c>
      <c r="T1301" t="s">
        <v>157</v>
      </c>
      <c r="U1301" t="s">
        <v>158</v>
      </c>
      <c r="V1301" t="s">
        <v>131</v>
      </c>
      <c r="W1301" t="s">
        <v>51</v>
      </c>
      <c r="X1301" t="s">
        <v>45</v>
      </c>
      <c r="Z1301">
        <v>2</v>
      </c>
      <c r="AA1301" t="s">
        <v>158</v>
      </c>
      <c r="AB1301" s="40" t="s">
        <v>1797</v>
      </c>
    </row>
    <row r="1302" spans="1:28" x14ac:dyDescent="0.25">
      <c r="A1302">
        <v>99911301</v>
      </c>
      <c r="B1302" t="s">
        <v>56</v>
      </c>
      <c r="C1302" t="s">
        <v>85</v>
      </c>
      <c r="D1302" t="s">
        <v>86</v>
      </c>
      <c r="G1302" t="s">
        <v>35</v>
      </c>
      <c r="H1302">
        <v>1</v>
      </c>
      <c r="K1302" t="s">
        <v>157</v>
      </c>
      <c r="L1302" t="s">
        <v>158</v>
      </c>
      <c r="M1302" t="s">
        <v>131</v>
      </c>
      <c r="N1302">
        <v>16</v>
      </c>
      <c r="P1302" t="s">
        <v>41</v>
      </c>
      <c r="Q1302" t="s">
        <v>42</v>
      </c>
      <c r="R1302" t="str">
        <f>"0580470"</f>
        <v>0580470</v>
      </c>
      <c r="S1302" t="s">
        <v>175</v>
      </c>
      <c r="T1302" t="s">
        <v>157</v>
      </c>
      <c r="U1302" t="s">
        <v>158</v>
      </c>
      <c r="V1302" t="s">
        <v>131</v>
      </c>
      <c r="W1302" t="s">
        <v>165</v>
      </c>
      <c r="X1302" t="s">
        <v>45</v>
      </c>
      <c r="Z1302">
        <v>2</v>
      </c>
      <c r="AA1302" t="s">
        <v>158</v>
      </c>
      <c r="AB1302" s="40" t="s">
        <v>1797</v>
      </c>
    </row>
    <row r="1303" spans="1:28" x14ac:dyDescent="0.25">
      <c r="A1303">
        <v>99911302</v>
      </c>
      <c r="B1303" t="s">
        <v>56</v>
      </c>
      <c r="C1303" t="s">
        <v>46</v>
      </c>
      <c r="D1303" t="s">
        <v>47</v>
      </c>
      <c r="G1303" t="s">
        <v>35</v>
      </c>
      <c r="H1303">
        <v>1</v>
      </c>
      <c r="K1303" t="s">
        <v>162</v>
      </c>
      <c r="L1303" t="s">
        <v>158</v>
      </c>
      <c r="M1303" t="s">
        <v>131</v>
      </c>
      <c r="N1303">
        <v>16</v>
      </c>
      <c r="P1303" t="s">
        <v>41</v>
      </c>
      <c r="Q1303" t="s">
        <v>49</v>
      </c>
      <c r="R1303" t="str">
        <f>"0505050"</f>
        <v>0505050</v>
      </c>
      <c r="S1303" t="s">
        <v>163</v>
      </c>
      <c r="T1303" t="s">
        <v>162</v>
      </c>
      <c r="U1303" t="s">
        <v>158</v>
      </c>
      <c r="V1303" t="s">
        <v>131</v>
      </c>
      <c r="W1303" t="s">
        <v>51</v>
      </c>
      <c r="X1303" t="s">
        <v>45</v>
      </c>
      <c r="Z1303">
        <v>2</v>
      </c>
      <c r="AA1303" t="s">
        <v>158</v>
      </c>
      <c r="AB1303" s="40" t="s">
        <v>1797</v>
      </c>
    </row>
    <row r="1304" spans="1:28" x14ac:dyDescent="0.25">
      <c r="A1304">
        <v>99911303</v>
      </c>
      <c r="B1304" t="s">
        <v>32</v>
      </c>
      <c r="C1304" t="s">
        <v>79</v>
      </c>
      <c r="D1304" t="s">
        <v>80</v>
      </c>
      <c r="G1304" t="s">
        <v>48</v>
      </c>
      <c r="H1304">
        <v>1</v>
      </c>
      <c r="K1304" t="s">
        <v>162</v>
      </c>
      <c r="L1304" t="s">
        <v>158</v>
      </c>
      <c r="M1304" t="s">
        <v>131</v>
      </c>
      <c r="N1304">
        <v>16</v>
      </c>
      <c r="P1304" t="s">
        <v>41</v>
      </c>
      <c r="Q1304" t="s">
        <v>49</v>
      </c>
      <c r="R1304" t="str">
        <f>"0581325"</f>
        <v>0581325</v>
      </c>
      <c r="S1304" t="s">
        <v>169</v>
      </c>
      <c r="T1304" t="s">
        <v>162</v>
      </c>
      <c r="U1304" t="s">
        <v>158</v>
      </c>
      <c r="V1304" t="s">
        <v>131</v>
      </c>
      <c r="W1304" t="s">
        <v>51</v>
      </c>
      <c r="X1304" t="s">
        <v>45</v>
      </c>
      <c r="Z1304">
        <v>2</v>
      </c>
      <c r="AA1304" t="s">
        <v>158</v>
      </c>
      <c r="AB1304" s="40" t="s">
        <v>1797</v>
      </c>
    </row>
    <row r="1305" spans="1:28" x14ac:dyDescent="0.25">
      <c r="A1305">
        <v>99911304</v>
      </c>
      <c r="B1305" t="s">
        <v>32</v>
      </c>
      <c r="C1305" t="s">
        <v>33</v>
      </c>
      <c r="D1305" t="s">
        <v>34</v>
      </c>
      <c r="G1305" t="s">
        <v>35</v>
      </c>
      <c r="H1305">
        <v>1</v>
      </c>
      <c r="K1305" t="s">
        <v>223</v>
      </c>
      <c r="L1305" t="s">
        <v>224</v>
      </c>
      <c r="M1305" t="s">
        <v>131</v>
      </c>
      <c r="N1305">
        <v>16</v>
      </c>
      <c r="P1305" t="s">
        <v>41</v>
      </c>
      <c r="Q1305" t="s">
        <v>42</v>
      </c>
      <c r="R1305" t="str">
        <f>"0590903"</f>
        <v>0590903</v>
      </c>
      <c r="S1305" t="s">
        <v>226</v>
      </c>
      <c r="T1305" t="s">
        <v>223</v>
      </c>
      <c r="U1305" t="s">
        <v>224</v>
      </c>
      <c r="V1305" t="s">
        <v>131</v>
      </c>
      <c r="W1305" t="s">
        <v>51</v>
      </c>
      <c r="X1305" t="s">
        <v>45</v>
      </c>
      <c r="Z1305">
        <v>2</v>
      </c>
      <c r="AA1305" t="s">
        <v>224</v>
      </c>
      <c r="AB1305" s="40" t="s">
        <v>1797</v>
      </c>
    </row>
    <row r="1306" spans="1:28" x14ac:dyDescent="0.25">
      <c r="A1306">
        <v>99911305</v>
      </c>
      <c r="B1306" t="s">
        <v>32</v>
      </c>
      <c r="C1306" t="s">
        <v>82</v>
      </c>
      <c r="D1306" t="s">
        <v>83</v>
      </c>
      <c r="G1306" t="s">
        <v>48</v>
      </c>
      <c r="H1306">
        <v>1</v>
      </c>
      <c r="K1306" t="s">
        <v>223</v>
      </c>
      <c r="L1306" t="s">
        <v>224</v>
      </c>
      <c r="M1306" t="s">
        <v>131</v>
      </c>
      <c r="N1306">
        <v>16</v>
      </c>
      <c r="P1306" t="s">
        <v>41</v>
      </c>
      <c r="Q1306" t="s">
        <v>42</v>
      </c>
      <c r="R1306" t="str">
        <f>"0561014"</f>
        <v>0561014</v>
      </c>
      <c r="S1306" t="s">
        <v>264</v>
      </c>
      <c r="T1306" t="s">
        <v>223</v>
      </c>
      <c r="U1306" t="s">
        <v>224</v>
      </c>
      <c r="V1306" t="s">
        <v>131</v>
      </c>
      <c r="W1306" t="s">
        <v>51</v>
      </c>
      <c r="X1306" t="s">
        <v>45</v>
      </c>
      <c r="Z1306">
        <v>2</v>
      </c>
      <c r="AA1306" t="s">
        <v>224</v>
      </c>
      <c r="AB1306" s="40" t="s">
        <v>1797</v>
      </c>
    </row>
    <row r="1307" spans="1:28" x14ac:dyDescent="0.25">
      <c r="A1307">
        <v>99911306</v>
      </c>
      <c r="B1307" t="s">
        <v>56</v>
      </c>
      <c r="C1307" t="s">
        <v>68</v>
      </c>
      <c r="D1307" t="s">
        <v>69</v>
      </c>
      <c r="G1307" t="s">
        <v>48</v>
      </c>
      <c r="H1307">
        <v>1</v>
      </c>
      <c r="K1307" t="s">
        <v>223</v>
      </c>
      <c r="L1307" t="s">
        <v>224</v>
      </c>
      <c r="M1307" t="s">
        <v>131</v>
      </c>
      <c r="N1307">
        <v>16</v>
      </c>
      <c r="P1307" t="s">
        <v>41</v>
      </c>
      <c r="Q1307" t="s">
        <v>42</v>
      </c>
      <c r="R1307" t="str">
        <f>"0561014"</f>
        <v>0561014</v>
      </c>
      <c r="S1307" t="s">
        <v>264</v>
      </c>
      <c r="T1307" t="s">
        <v>223</v>
      </c>
      <c r="U1307" t="s">
        <v>224</v>
      </c>
      <c r="V1307" t="s">
        <v>131</v>
      </c>
      <c r="W1307" t="s">
        <v>51</v>
      </c>
      <c r="X1307" t="s">
        <v>45</v>
      </c>
      <c r="Z1307">
        <v>2</v>
      </c>
      <c r="AA1307" t="s">
        <v>224</v>
      </c>
      <c r="AB1307" s="40" t="s">
        <v>1797</v>
      </c>
    </row>
    <row r="1308" spans="1:28" x14ac:dyDescent="0.25">
      <c r="A1308">
        <v>99911307</v>
      </c>
      <c r="B1308" t="s">
        <v>32</v>
      </c>
      <c r="C1308" t="s">
        <v>46</v>
      </c>
      <c r="D1308" t="s">
        <v>47</v>
      </c>
      <c r="G1308" t="s">
        <v>35</v>
      </c>
      <c r="H1308">
        <v>1</v>
      </c>
      <c r="K1308" t="s">
        <v>300</v>
      </c>
      <c r="L1308" t="s">
        <v>301</v>
      </c>
      <c r="M1308" t="s">
        <v>131</v>
      </c>
      <c r="N1308">
        <v>16</v>
      </c>
      <c r="P1308" t="s">
        <v>41</v>
      </c>
      <c r="Q1308" t="s">
        <v>49</v>
      </c>
      <c r="R1308" t="str">
        <f>"0560022"</f>
        <v>0560022</v>
      </c>
      <c r="S1308" t="s">
        <v>314</v>
      </c>
      <c r="T1308" t="s">
        <v>300</v>
      </c>
      <c r="U1308" t="s">
        <v>301</v>
      </c>
      <c r="V1308" t="s">
        <v>131</v>
      </c>
      <c r="W1308" t="s">
        <v>51</v>
      </c>
      <c r="X1308" t="s">
        <v>45</v>
      </c>
      <c r="Z1308">
        <v>2</v>
      </c>
      <c r="AA1308" t="s">
        <v>301</v>
      </c>
      <c r="AB1308" s="40" t="s">
        <v>1797</v>
      </c>
    </row>
    <row r="1309" spans="1:28" x14ac:dyDescent="0.25">
      <c r="A1309">
        <v>99911308</v>
      </c>
      <c r="B1309" t="s">
        <v>56</v>
      </c>
      <c r="C1309" t="s">
        <v>52</v>
      </c>
      <c r="D1309" t="s">
        <v>53</v>
      </c>
      <c r="G1309" t="s">
        <v>35</v>
      </c>
      <c r="H1309">
        <v>1</v>
      </c>
      <c r="I1309">
        <v>15011</v>
      </c>
      <c r="J1309" s="1">
        <v>43357</v>
      </c>
      <c r="K1309" t="s">
        <v>345</v>
      </c>
      <c r="L1309" t="s">
        <v>346</v>
      </c>
      <c r="M1309" t="s">
        <v>131</v>
      </c>
      <c r="N1309">
        <v>16</v>
      </c>
      <c r="O1309" s="1">
        <v>43357</v>
      </c>
      <c r="P1309" t="s">
        <v>41</v>
      </c>
      <c r="Q1309" t="s">
        <v>42</v>
      </c>
      <c r="R1309" t="str">
        <f>"0580155"</f>
        <v>0580155</v>
      </c>
      <c r="S1309" t="s">
        <v>365</v>
      </c>
      <c r="T1309" t="s">
        <v>345</v>
      </c>
      <c r="U1309" t="s">
        <v>346</v>
      </c>
      <c r="V1309" t="s">
        <v>131</v>
      </c>
      <c r="W1309" t="s">
        <v>44</v>
      </c>
      <c r="X1309" t="s">
        <v>45</v>
      </c>
      <c r="Z1309">
        <v>2</v>
      </c>
      <c r="AA1309" t="s">
        <v>346</v>
      </c>
      <c r="AB1309" s="40" t="s">
        <v>1797</v>
      </c>
    </row>
    <row r="1310" spans="1:28" x14ac:dyDescent="0.25">
      <c r="A1310">
        <v>99911309</v>
      </c>
      <c r="B1310" t="s">
        <v>56</v>
      </c>
      <c r="C1310" t="s">
        <v>79</v>
      </c>
      <c r="D1310" t="s">
        <v>80</v>
      </c>
      <c r="G1310" t="s">
        <v>35</v>
      </c>
      <c r="H1310">
        <v>1</v>
      </c>
      <c r="K1310" t="s">
        <v>431</v>
      </c>
      <c r="L1310" t="s">
        <v>196</v>
      </c>
      <c r="M1310" t="s">
        <v>131</v>
      </c>
      <c r="N1310">
        <v>16</v>
      </c>
      <c r="P1310" t="s">
        <v>41</v>
      </c>
      <c r="Q1310" t="s">
        <v>75</v>
      </c>
      <c r="R1310" t="str">
        <f>"7521056"</f>
        <v>7521056</v>
      </c>
      <c r="S1310" t="s">
        <v>437</v>
      </c>
      <c r="T1310" t="s">
        <v>431</v>
      </c>
      <c r="U1310" t="s">
        <v>196</v>
      </c>
      <c r="V1310" t="s">
        <v>131</v>
      </c>
      <c r="W1310" t="s">
        <v>51</v>
      </c>
      <c r="X1310" t="s">
        <v>45</v>
      </c>
      <c r="Z1310">
        <v>1</v>
      </c>
      <c r="AA1310" t="s">
        <v>196</v>
      </c>
      <c r="AB1310" s="40" t="s">
        <v>1797</v>
      </c>
    </row>
    <row r="1311" spans="1:28" x14ac:dyDescent="0.25">
      <c r="A1311">
        <v>99911310</v>
      </c>
      <c r="B1311" t="s">
        <v>56</v>
      </c>
      <c r="C1311" t="s">
        <v>79</v>
      </c>
      <c r="D1311" t="s">
        <v>80</v>
      </c>
      <c r="G1311" t="s">
        <v>35</v>
      </c>
      <c r="H1311">
        <v>1</v>
      </c>
      <c r="K1311" t="s">
        <v>431</v>
      </c>
      <c r="L1311" t="s">
        <v>196</v>
      </c>
      <c r="M1311" t="s">
        <v>131</v>
      </c>
      <c r="N1311">
        <v>16</v>
      </c>
      <c r="P1311" t="s">
        <v>41</v>
      </c>
      <c r="Q1311" t="s">
        <v>75</v>
      </c>
      <c r="R1311" t="str">
        <f>"7521056"</f>
        <v>7521056</v>
      </c>
      <c r="S1311" t="s">
        <v>437</v>
      </c>
      <c r="T1311" t="s">
        <v>431</v>
      </c>
      <c r="U1311" t="s">
        <v>196</v>
      </c>
      <c r="V1311" t="s">
        <v>131</v>
      </c>
      <c r="W1311" t="s">
        <v>51</v>
      </c>
      <c r="X1311" t="s">
        <v>45</v>
      </c>
      <c r="Z1311">
        <v>1</v>
      </c>
      <c r="AA1311" t="s">
        <v>196</v>
      </c>
      <c r="AB1311" s="40" t="s">
        <v>1797</v>
      </c>
    </row>
    <row r="1312" spans="1:28" x14ac:dyDescent="0.25">
      <c r="A1312">
        <v>99911311</v>
      </c>
      <c r="B1312" t="s">
        <v>32</v>
      </c>
      <c r="C1312" t="s">
        <v>64</v>
      </c>
      <c r="D1312" t="s">
        <v>65</v>
      </c>
      <c r="G1312" t="s">
        <v>35</v>
      </c>
      <c r="H1312">
        <v>1</v>
      </c>
      <c r="I1312">
        <v>0</v>
      </c>
      <c r="J1312" s="1">
        <v>43344</v>
      </c>
      <c r="K1312" t="s">
        <v>268</v>
      </c>
      <c r="L1312" t="s">
        <v>269</v>
      </c>
      <c r="M1312" t="s">
        <v>131</v>
      </c>
      <c r="N1312">
        <v>17</v>
      </c>
      <c r="O1312" s="1">
        <v>43344</v>
      </c>
      <c r="P1312" t="s">
        <v>41</v>
      </c>
      <c r="Q1312" t="s">
        <v>75</v>
      </c>
      <c r="R1312" t="str">
        <f>"7052040"</f>
        <v>7052040</v>
      </c>
      <c r="S1312" t="s">
        <v>591</v>
      </c>
      <c r="T1312" t="s">
        <v>268</v>
      </c>
      <c r="U1312" t="s">
        <v>269</v>
      </c>
      <c r="V1312" t="s">
        <v>131</v>
      </c>
      <c r="W1312" t="s">
        <v>44</v>
      </c>
      <c r="X1312" t="s">
        <v>45</v>
      </c>
      <c r="Y1312" s="1">
        <v>32050</v>
      </c>
      <c r="Z1312">
        <v>1</v>
      </c>
      <c r="AA1312" t="s">
        <v>269</v>
      </c>
      <c r="AB1312" s="40" t="s">
        <v>1797</v>
      </c>
    </row>
    <row r="1313" spans="1:28" x14ac:dyDescent="0.25">
      <c r="A1313">
        <v>99911312</v>
      </c>
      <c r="B1313" t="s">
        <v>32</v>
      </c>
      <c r="C1313" t="s">
        <v>64</v>
      </c>
      <c r="D1313" t="s">
        <v>65</v>
      </c>
      <c r="G1313" t="s">
        <v>35</v>
      </c>
      <c r="H1313">
        <v>1</v>
      </c>
      <c r="I1313">
        <v>20135</v>
      </c>
      <c r="J1313" s="1">
        <v>43020</v>
      </c>
      <c r="K1313" t="s">
        <v>380</v>
      </c>
      <c r="L1313" t="s">
        <v>381</v>
      </c>
      <c r="M1313" t="s">
        <v>131</v>
      </c>
      <c r="N1313">
        <v>17</v>
      </c>
      <c r="O1313" s="1">
        <v>43020</v>
      </c>
      <c r="P1313" t="s">
        <v>41</v>
      </c>
      <c r="Q1313" t="s">
        <v>49</v>
      </c>
      <c r="R1313" t="str">
        <f>"0591909"</f>
        <v>0591909</v>
      </c>
      <c r="S1313" t="s">
        <v>385</v>
      </c>
      <c r="T1313" t="s">
        <v>380</v>
      </c>
      <c r="U1313" t="s">
        <v>381</v>
      </c>
      <c r="V1313" t="s">
        <v>131</v>
      </c>
      <c r="W1313" t="s">
        <v>44</v>
      </c>
      <c r="X1313" t="s">
        <v>45</v>
      </c>
      <c r="Y1313" s="1">
        <v>31614</v>
      </c>
      <c r="Z1313">
        <v>2</v>
      </c>
      <c r="AA1313" t="s">
        <v>381</v>
      </c>
      <c r="AB1313" s="40" t="s">
        <v>1797</v>
      </c>
    </row>
    <row r="1314" spans="1:28" x14ac:dyDescent="0.25">
      <c r="A1314">
        <v>99911313</v>
      </c>
      <c r="B1314" t="s">
        <v>56</v>
      </c>
      <c r="C1314" t="s">
        <v>33</v>
      </c>
      <c r="D1314" t="s">
        <v>34</v>
      </c>
      <c r="G1314" t="s">
        <v>35</v>
      </c>
      <c r="H1314">
        <v>1</v>
      </c>
      <c r="I1314">
        <v>20587</v>
      </c>
      <c r="J1314" s="1">
        <v>43388</v>
      </c>
      <c r="K1314" t="s">
        <v>129</v>
      </c>
      <c r="L1314" t="s">
        <v>130</v>
      </c>
      <c r="M1314" t="s">
        <v>131</v>
      </c>
      <c r="N1314">
        <v>17</v>
      </c>
      <c r="O1314" s="1">
        <v>43388</v>
      </c>
      <c r="P1314" t="s">
        <v>41</v>
      </c>
      <c r="Q1314" t="s">
        <v>49</v>
      </c>
      <c r="R1314" t="str">
        <f>"0591905"</f>
        <v>0591905</v>
      </c>
      <c r="S1314" t="s">
        <v>135</v>
      </c>
      <c r="T1314" t="s">
        <v>129</v>
      </c>
      <c r="U1314" t="s">
        <v>130</v>
      </c>
      <c r="V1314" t="s">
        <v>131</v>
      </c>
      <c r="W1314" t="s">
        <v>44</v>
      </c>
      <c r="X1314" t="s">
        <v>45</v>
      </c>
      <c r="Y1314" s="1">
        <v>31356</v>
      </c>
      <c r="Z1314">
        <v>2</v>
      </c>
      <c r="AA1314" t="s">
        <v>130</v>
      </c>
      <c r="AB1314" s="40" t="s">
        <v>1797</v>
      </c>
    </row>
    <row r="1315" spans="1:28" x14ac:dyDescent="0.25">
      <c r="A1315">
        <v>99911314</v>
      </c>
      <c r="B1315" t="s">
        <v>56</v>
      </c>
      <c r="C1315" t="s">
        <v>61</v>
      </c>
      <c r="D1315" t="s">
        <v>62</v>
      </c>
      <c r="G1315" t="s">
        <v>35</v>
      </c>
      <c r="H1315">
        <v>1</v>
      </c>
      <c r="I1315" t="s">
        <v>1669</v>
      </c>
      <c r="J1315" s="1">
        <v>43344</v>
      </c>
      <c r="K1315" t="s">
        <v>1619</v>
      </c>
      <c r="L1315" t="s">
        <v>1620</v>
      </c>
      <c r="M1315" t="s">
        <v>1592</v>
      </c>
      <c r="N1315">
        <v>17</v>
      </c>
      <c r="O1315" s="1">
        <v>43344</v>
      </c>
      <c r="P1315" t="s">
        <v>41</v>
      </c>
      <c r="Q1315" t="s">
        <v>75</v>
      </c>
      <c r="R1315" t="str">
        <f>"7281000"</f>
        <v>7281000</v>
      </c>
      <c r="S1315" t="s">
        <v>1648</v>
      </c>
      <c r="T1315" t="s">
        <v>1619</v>
      </c>
      <c r="U1315" t="s">
        <v>1620</v>
      </c>
      <c r="V1315" t="s">
        <v>1592</v>
      </c>
      <c r="W1315" t="s">
        <v>51</v>
      </c>
      <c r="X1315" t="s">
        <v>45</v>
      </c>
      <c r="Y1315" s="1">
        <v>31350</v>
      </c>
      <c r="Z1315">
        <v>1</v>
      </c>
      <c r="AA1315" t="s">
        <v>1620</v>
      </c>
      <c r="AB1315" s="40" t="s">
        <v>1797</v>
      </c>
    </row>
    <row r="1316" spans="1:28" x14ac:dyDescent="0.25">
      <c r="A1316">
        <v>99911315</v>
      </c>
      <c r="B1316" t="s">
        <v>56</v>
      </c>
      <c r="C1316" t="s">
        <v>52</v>
      </c>
      <c r="D1316" t="s">
        <v>53</v>
      </c>
      <c r="G1316" t="s">
        <v>35</v>
      </c>
      <c r="H1316">
        <v>1</v>
      </c>
      <c r="K1316" t="s">
        <v>300</v>
      </c>
      <c r="L1316" t="s">
        <v>301</v>
      </c>
      <c r="M1316" t="s">
        <v>131</v>
      </c>
      <c r="N1316">
        <v>17</v>
      </c>
      <c r="P1316" t="s">
        <v>41</v>
      </c>
      <c r="Q1316" t="s">
        <v>42</v>
      </c>
      <c r="R1316" t="str">
        <f>"0580457"</f>
        <v>0580457</v>
      </c>
      <c r="S1316" t="s">
        <v>310</v>
      </c>
      <c r="T1316" t="s">
        <v>300</v>
      </c>
      <c r="U1316" t="s">
        <v>301</v>
      </c>
      <c r="V1316" t="s">
        <v>131</v>
      </c>
      <c r="W1316" t="s">
        <v>51</v>
      </c>
      <c r="X1316" t="s">
        <v>45</v>
      </c>
      <c r="Y1316" s="1">
        <v>31321</v>
      </c>
      <c r="Z1316">
        <v>2</v>
      </c>
      <c r="AA1316" t="s">
        <v>301</v>
      </c>
      <c r="AB1316" s="40" t="s">
        <v>1797</v>
      </c>
    </row>
    <row r="1317" spans="1:28" x14ac:dyDescent="0.25">
      <c r="A1317">
        <v>99911316</v>
      </c>
      <c r="B1317" t="s">
        <v>56</v>
      </c>
      <c r="C1317" t="s">
        <v>52</v>
      </c>
      <c r="D1317" t="s">
        <v>53</v>
      </c>
      <c r="G1317" t="s">
        <v>88</v>
      </c>
      <c r="H1317">
        <v>3</v>
      </c>
      <c r="K1317" t="s">
        <v>157</v>
      </c>
      <c r="L1317" t="s">
        <v>158</v>
      </c>
      <c r="M1317" t="s">
        <v>131</v>
      </c>
      <c r="N1317">
        <v>17</v>
      </c>
      <c r="P1317" t="s">
        <v>41</v>
      </c>
      <c r="Q1317" t="s">
        <v>42</v>
      </c>
      <c r="R1317" t="str">
        <f>"0561004"</f>
        <v>0561004</v>
      </c>
      <c r="S1317" t="s">
        <v>172</v>
      </c>
      <c r="T1317" t="s">
        <v>157</v>
      </c>
      <c r="U1317" t="s">
        <v>158</v>
      </c>
      <c r="V1317" t="s">
        <v>131</v>
      </c>
      <c r="W1317" t="s">
        <v>51</v>
      </c>
      <c r="X1317" t="s">
        <v>45</v>
      </c>
      <c r="Y1317" s="1">
        <v>31086</v>
      </c>
      <c r="Z1317">
        <v>2</v>
      </c>
      <c r="AA1317" t="s">
        <v>158</v>
      </c>
      <c r="AB1317" s="40" t="s">
        <v>1797</v>
      </c>
    </row>
    <row r="1318" spans="1:28" x14ac:dyDescent="0.25">
      <c r="A1318">
        <v>99911317</v>
      </c>
      <c r="B1318" t="s">
        <v>32</v>
      </c>
      <c r="C1318" t="s">
        <v>52</v>
      </c>
      <c r="D1318" t="s">
        <v>53</v>
      </c>
      <c r="G1318" t="s">
        <v>35</v>
      </c>
      <c r="H1318">
        <v>1</v>
      </c>
      <c r="K1318" t="s">
        <v>157</v>
      </c>
      <c r="L1318" t="s">
        <v>158</v>
      </c>
      <c r="M1318" t="s">
        <v>131</v>
      </c>
      <c r="N1318">
        <v>17</v>
      </c>
      <c r="P1318" t="s">
        <v>41</v>
      </c>
      <c r="Q1318" t="s">
        <v>42</v>
      </c>
      <c r="R1318" t="str">
        <f>"0580470"</f>
        <v>0580470</v>
      </c>
      <c r="S1318" t="s">
        <v>175</v>
      </c>
      <c r="T1318" t="s">
        <v>157</v>
      </c>
      <c r="U1318" t="s">
        <v>158</v>
      </c>
      <c r="V1318" t="s">
        <v>131</v>
      </c>
      <c r="W1318" t="s">
        <v>165</v>
      </c>
      <c r="X1318" t="s">
        <v>45</v>
      </c>
      <c r="Y1318" s="1">
        <v>31072</v>
      </c>
      <c r="Z1318">
        <v>2</v>
      </c>
      <c r="AA1318" t="s">
        <v>158</v>
      </c>
      <c r="AB1318" s="40" t="s">
        <v>1797</v>
      </c>
    </row>
    <row r="1319" spans="1:28" x14ac:dyDescent="0.25">
      <c r="A1319">
        <v>99911318</v>
      </c>
      <c r="B1319" t="s">
        <v>32</v>
      </c>
      <c r="C1319" t="s">
        <v>46</v>
      </c>
      <c r="D1319" t="s">
        <v>47</v>
      </c>
      <c r="G1319" t="s">
        <v>35</v>
      </c>
      <c r="H1319">
        <v>1</v>
      </c>
      <c r="I1319" t="s">
        <v>1183</v>
      </c>
      <c r="J1319" s="1">
        <v>43354</v>
      </c>
      <c r="K1319" t="s">
        <v>1171</v>
      </c>
      <c r="L1319" t="s">
        <v>1172</v>
      </c>
      <c r="M1319" t="s">
        <v>1130</v>
      </c>
      <c r="N1319">
        <v>17</v>
      </c>
      <c r="O1319" s="1">
        <v>43354</v>
      </c>
      <c r="P1319" t="s">
        <v>41</v>
      </c>
      <c r="Q1319" t="s">
        <v>49</v>
      </c>
      <c r="R1319" t="str">
        <f>"3560001"</f>
        <v>3560001</v>
      </c>
      <c r="S1319" t="s">
        <v>1179</v>
      </c>
      <c r="T1319" t="s">
        <v>1171</v>
      </c>
      <c r="U1319" t="s">
        <v>1172</v>
      </c>
      <c r="V1319" t="s">
        <v>1130</v>
      </c>
      <c r="W1319" t="s">
        <v>44</v>
      </c>
      <c r="X1319" t="s">
        <v>45</v>
      </c>
      <c r="Y1319" s="1">
        <v>30997</v>
      </c>
      <c r="Z1319">
        <v>2</v>
      </c>
      <c r="AA1319" t="s">
        <v>1172</v>
      </c>
      <c r="AB1319" s="40" t="s">
        <v>1797</v>
      </c>
    </row>
    <row r="1320" spans="1:28" x14ac:dyDescent="0.25">
      <c r="A1320">
        <v>99911319</v>
      </c>
      <c r="B1320" t="s">
        <v>32</v>
      </c>
      <c r="C1320" t="s">
        <v>61</v>
      </c>
      <c r="D1320" t="s">
        <v>62</v>
      </c>
      <c r="G1320" t="s">
        <v>48</v>
      </c>
      <c r="H1320">
        <v>1</v>
      </c>
      <c r="K1320" t="s">
        <v>354</v>
      </c>
      <c r="L1320" t="s">
        <v>355</v>
      </c>
      <c r="M1320" t="s">
        <v>131</v>
      </c>
      <c r="N1320">
        <v>17</v>
      </c>
      <c r="P1320" t="s">
        <v>41</v>
      </c>
      <c r="Q1320" t="s">
        <v>75</v>
      </c>
      <c r="R1320" t="str">
        <f>"7054000"</f>
        <v>7054000</v>
      </c>
      <c r="S1320" t="s">
        <v>786</v>
      </c>
      <c r="T1320" t="s">
        <v>354</v>
      </c>
      <c r="U1320" t="s">
        <v>355</v>
      </c>
      <c r="V1320" t="s">
        <v>131</v>
      </c>
      <c r="W1320" t="s">
        <v>51</v>
      </c>
      <c r="X1320" t="s">
        <v>45</v>
      </c>
      <c r="Y1320" s="1">
        <v>30960</v>
      </c>
      <c r="Z1320">
        <v>1</v>
      </c>
      <c r="AA1320" t="s">
        <v>355</v>
      </c>
      <c r="AB1320" s="40" t="s">
        <v>1797</v>
      </c>
    </row>
    <row r="1321" spans="1:28" x14ac:dyDescent="0.25">
      <c r="A1321">
        <v>99911320</v>
      </c>
      <c r="B1321" t="s">
        <v>32</v>
      </c>
      <c r="C1321" t="s">
        <v>82</v>
      </c>
      <c r="D1321" t="s">
        <v>83</v>
      </c>
      <c r="G1321" t="s">
        <v>35</v>
      </c>
      <c r="H1321">
        <v>1</v>
      </c>
      <c r="I1321" t="s">
        <v>1340</v>
      </c>
      <c r="J1321" s="1">
        <v>43364</v>
      </c>
      <c r="K1321" t="s">
        <v>1336</v>
      </c>
      <c r="L1321" t="s">
        <v>1337</v>
      </c>
      <c r="M1321" t="s">
        <v>1270</v>
      </c>
      <c r="N1321">
        <v>17</v>
      </c>
      <c r="O1321" s="1">
        <v>43364</v>
      </c>
      <c r="P1321" t="s">
        <v>41</v>
      </c>
      <c r="Q1321" t="s">
        <v>42</v>
      </c>
      <c r="R1321" t="str">
        <f>"4475070"</f>
        <v>4475070</v>
      </c>
      <c r="S1321" t="s">
        <v>1338</v>
      </c>
      <c r="T1321" t="s">
        <v>1336</v>
      </c>
      <c r="U1321" t="s">
        <v>1337</v>
      </c>
      <c r="V1321" t="s">
        <v>1270</v>
      </c>
      <c r="W1321" t="s">
        <v>51</v>
      </c>
      <c r="X1321" t="s">
        <v>45</v>
      </c>
      <c r="Y1321" s="1">
        <v>30912</v>
      </c>
      <c r="Z1321">
        <v>2</v>
      </c>
      <c r="AA1321" t="s">
        <v>1337</v>
      </c>
      <c r="AB1321" s="40" t="s">
        <v>1797</v>
      </c>
    </row>
    <row r="1322" spans="1:28" x14ac:dyDescent="0.25">
      <c r="A1322">
        <v>99911321</v>
      </c>
      <c r="B1322" t="s">
        <v>56</v>
      </c>
      <c r="C1322" t="s">
        <v>79</v>
      </c>
      <c r="D1322" t="s">
        <v>80</v>
      </c>
      <c r="G1322" t="s">
        <v>48</v>
      </c>
      <c r="H1322">
        <v>1</v>
      </c>
      <c r="K1322" t="s">
        <v>1619</v>
      </c>
      <c r="L1322" t="s">
        <v>1620</v>
      </c>
      <c r="M1322" t="s">
        <v>1592</v>
      </c>
      <c r="N1322">
        <v>17</v>
      </c>
      <c r="P1322" t="s">
        <v>41</v>
      </c>
      <c r="Q1322" t="s">
        <v>75</v>
      </c>
      <c r="R1322" t="str">
        <f>"7281004"</f>
        <v>7281004</v>
      </c>
      <c r="S1322" t="s">
        <v>1651</v>
      </c>
      <c r="T1322" t="s">
        <v>1619</v>
      </c>
      <c r="U1322" t="s">
        <v>1620</v>
      </c>
      <c r="V1322" t="s">
        <v>1592</v>
      </c>
      <c r="W1322" t="s">
        <v>51</v>
      </c>
      <c r="X1322" t="s">
        <v>45</v>
      </c>
      <c r="Y1322" s="1">
        <v>30759</v>
      </c>
      <c r="Z1322">
        <v>1</v>
      </c>
      <c r="AA1322" t="s">
        <v>1620</v>
      </c>
      <c r="AB1322" s="40" t="s">
        <v>1797</v>
      </c>
    </row>
    <row r="1323" spans="1:28" x14ac:dyDescent="0.25">
      <c r="A1323">
        <v>99911322</v>
      </c>
      <c r="B1323" t="s">
        <v>32</v>
      </c>
      <c r="C1323" t="s">
        <v>71</v>
      </c>
      <c r="D1323" t="s">
        <v>72</v>
      </c>
      <c r="G1323" t="s">
        <v>35</v>
      </c>
      <c r="H1323">
        <v>1</v>
      </c>
      <c r="I1323" t="s">
        <v>286</v>
      </c>
      <c r="J1323" s="1">
        <v>43344</v>
      </c>
      <c r="K1323" t="s">
        <v>268</v>
      </c>
      <c r="L1323" t="s">
        <v>269</v>
      </c>
      <c r="M1323" t="s">
        <v>131</v>
      </c>
      <c r="N1323">
        <v>17</v>
      </c>
      <c r="O1323" s="1">
        <v>43344</v>
      </c>
      <c r="P1323" t="s">
        <v>41</v>
      </c>
      <c r="Q1323" t="s">
        <v>75</v>
      </c>
      <c r="R1323" t="str">
        <f>"7052018"</f>
        <v>7052018</v>
      </c>
      <c r="S1323" t="s">
        <v>577</v>
      </c>
      <c r="T1323" t="s">
        <v>268</v>
      </c>
      <c r="U1323" t="s">
        <v>269</v>
      </c>
      <c r="V1323" t="s">
        <v>131</v>
      </c>
      <c r="W1323" t="s">
        <v>51</v>
      </c>
      <c r="X1323" t="s">
        <v>45</v>
      </c>
      <c r="Y1323" s="1">
        <v>30682</v>
      </c>
      <c r="Z1323">
        <v>1</v>
      </c>
      <c r="AA1323" t="s">
        <v>269</v>
      </c>
      <c r="AB1323" s="40" t="s">
        <v>1797</v>
      </c>
    </row>
    <row r="1324" spans="1:28" x14ac:dyDescent="0.25">
      <c r="A1324">
        <v>99911323</v>
      </c>
      <c r="B1324" t="s">
        <v>56</v>
      </c>
      <c r="C1324" t="s">
        <v>52</v>
      </c>
      <c r="D1324" t="s">
        <v>53</v>
      </c>
      <c r="G1324" t="s">
        <v>35</v>
      </c>
      <c r="H1324">
        <v>1</v>
      </c>
      <c r="I1324" t="s">
        <v>1602</v>
      </c>
      <c r="J1324" s="1">
        <v>43344</v>
      </c>
      <c r="K1324" t="s">
        <v>1590</v>
      </c>
      <c r="L1324" t="s">
        <v>1591</v>
      </c>
      <c r="M1324" t="s">
        <v>1592</v>
      </c>
      <c r="N1324">
        <v>17</v>
      </c>
      <c r="O1324" s="1">
        <v>43344</v>
      </c>
      <c r="P1324" t="s">
        <v>41</v>
      </c>
      <c r="Q1324" t="s">
        <v>42</v>
      </c>
      <c r="R1324" t="str">
        <f>"0280020"</f>
        <v>0280020</v>
      </c>
      <c r="S1324" t="s">
        <v>1597</v>
      </c>
      <c r="T1324" t="s">
        <v>1590</v>
      </c>
      <c r="U1324" t="s">
        <v>1591</v>
      </c>
      <c r="V1324" t="s">
        <v>1592</v>
      </c>
      <c r="W1324" t="s">
        <v>44</v>
      </c>
      <c r="X1324" t="s">
        <v>45</v>
      </c>
      <c r="Y1324" s="1">
        <v>30565</v>
      </c>
      <c r="Z1324">
        <v>2</v>
      </c>
      <c r="AA1324" t="s">
        <v>1591</v>
      </c>
      <c r="AB1324" s="40" t="s">
        <v>1797</v>
      </c>
    </row>
    <row r="1325" spans="1:28" x14ac:dyDescent="0.25">
      <c r="A1325">
        <v>99911324</v>
      </c>
      <c r="B1325" t="s">
        <v>56</v>
      </c>
      <c r="C1325" t="s">
        <v>52</v>
      </c>
      <c r="D1325" t="s">
        <v>53</v>
      </c>
      <c r="G1325" t="s">
        <v>35</v>
      </c>
      <c r="H1325">
        <v>1</v>
      </c>
      <c r="I1325">
        <v>10085</v>
      </c>
      <c r="J1325" s="1">
        <v>43344</v>
      </c>
      <c r="K1325" t="s">
        <v>1051</v>
      </c>
      <c r="L1325" t="s">
        <v>1052</v>
      </c>
      <c r="M1325" t="s">
        <v>1053</v>
      </c>
      <c r="N1325">
        <v>17</v>
      </c>
      <c r="O1325" s="1">
        <v>43344</v>
      </c>
      <c r="P1325" t="s">
        <v>41</v>
      </c>
      <c r="Q1325" t="s">
        <v>42</v>
      </c>
      <c r="R1325" t="str">
        <f>"2061004"</f>
        <v>2061004</v>
      </c>
      <c r="S1325" t="s">
        <v>1055</v>
      </c>
      <c r="T1325" t="s">
        <v>1051</v>
      </c>
      <c r="U1325" t="s">
        <v>1052</v>
      </c>
      <c r="V1325" t="s">
        <v>1053</v>
      </c>
      <c r="W1325" t="s">
        <v>44</v>
      </c>
      <c r="X1325" t="s">
        <v>45</v>
      </c>
      <c r="Y1325" s="1">
        <v>30386</v>
      </c>
      <c r="Z1325">
        <v>2</v>
      </c>
      <c r="AA1325" t="s">
        <v>1052</v>
      </c>
      <c r="AB1325" s="40" t="s">
        <v>1797</v>
      </c>
    </row>
    <row r="1326" spans="1:28" x14ac:dyDescent="0.25">
      <c r="A1326">
        <v>99911325</v>
      </c>
      <c r="B1326" t="s">
        <v>32</v>
      </c>
      <c r="C1326" t="s">
        <v>139</v>
      </c>
      <c r="D1326" t="s">
        <v>140</v>
      </c>
      <c r="G1326" t="s">
        <v>35</v>
      </c>
      <c r="H1326">
        <v>1</v>
      </c>
      <c r="I1326">
        <v>18424</v>
      </c>
      <c r="J1326" s="1">
        <v>43344</v>
      </c>
      <c r="K1326" t="s">
        <v>380</v>
      </c>
      <c r="L1326" t="s">
        <v>381</v>
      </c>
      <c r="M1326" t="s">
        <v>131</v>
      </c>
      <c r="N1326">
        <v>17</v>
      </c>
      <c r="O1326" s="1">
        <v>43344</v>
      </c>
      <c r="P1326" t="s">
        <v>41</v>
      </c>
      <c r="Q1326" t="s">
        <v>49</v>
      </c>
      <c r="R1326" t="str">
        <f>"0560028"</f>
        <v>0560028</v>
      </c>
      <c r="S1326" t="s">
        <v>384</v>
      </c>
      <c r="T1326" t="s">
        <v>380</v>
      </c>
      <c r="U1326" t="s">
        <v>381</v>
      </c>
      <c r="V1326" t="s">
        <v>131</v>
      </c>
      <c r="W1326" t="s">
        <v>51</v>
      </c>
      <c r="X1326" t="s">
        <v>45</v>
      </c>
      <c r="Y1326" s="1">
        <v>30319</v>
      </c>
      <c r="Z1326">
        <v>2</v>
      </c>
      <c r="AA1326" t="s">
        <v>381</v>
      </c>
      <c r="AB1326" s="40" t="s">
        <v>1797</v>
      </c>
    </row>
    <row r="1327" spans="1:28" x14ac:dyDescent="0.25">
      <c r="A1327">
        <v>99911326</v>
      </c>
      <c r="B1327" t="s">
        <v>56</v>
      </c>
      <c r="C1327" t="s">
        <v>61</v>
      </c>
      <c r="D1327" t="s">
        <v>62</v>
      </c>
      <c r="E1327" t="s">
        <v>257</v>
      </c>
      <c r="F1327" t="s">
        <v>258</v>
      </c>
      <c r="G1327" t="s">
        <v>48</v>
      </c>
      <c r="H1327">
        <v>1</v>
      </c>
      <c r="K1327" t="s">
        <v>936</v>
      </c>
      <c r="L1327" t="s">
        <v>937</v>
      </c>
      <c r="M1327" t="s">
        <v>938</v>
      </c>
      <c r="N1327">
        <v>17</v>
      </c>
      <c r="P1327" t="s">
        <v>41</v>
      </c>
      <c r="Q1327" t="s">
        <v>49</v>
      </c>
      <c r="R1327" t="str">
        <f>"0180017"</f>
        <v>0180017</v>
      </c>
      <c r="S1327" t="s">
        <v>943</v>
      </c>
      <c r="T1327" t="s">
        <v>936</v>
      </c>
      <c r="U1327" t="s">
        <v>937</v>
      </c>
      <c r="V1327" t="s">
        <v>938</v>
      </c>
      <c r="W1327" t="s">
        <v>51</v>
      </c>
      <c r="X1327" t="s">
        <v>45</v>
      </c>
      <c r="Y1327" s="1">
        <v>30317</v>
      </c>
      <c r="Z1327">
        <v>2</v>
      </c>
      <c r="AA1327" t="s">
        <v>937</v>
      </c>
      <c r="AB1327" s="40" t="s">
        <v>1797</v>
      </c>
    </row>
    <row r="1328" spans="1:28" x14ac:dyDescent="0.25">
      <c r="A1328">
        <v>99911327</v>
      </c>
      <c r="B1328" t="s">
        <v>32</v>
      </c>
      <c r="C1328" t="s">
        <v>64</v>
      </c>
      <c r="D1328" t="s">
        <v>65</v>
      </c>
      <c r="G1328" t="s">
        <v>35</v>
      </c>
      <c r="H1328">
        <v>1</v>
      </c>
      <c r="I1328" t="s">
        <v>971</v>
      </c>
      <c r="J1328" s="1">
        <v>43371</v>
      </c>
      <c r="K1328" t="s">
        <v>947</v>
      </c>
      <c r="L1328" t="s">
        <v>948</v>
      </c>
      <c r="M1328" t="s">
        <v>938</v>
      </c>
      <c r="N1328">
        <v>17</v>
      </c>
      <c r="O1328" s="1">
        <v>43371</v>
      </c>
      <c r="P1328" t="s">
        <v>41</v>
      </c>
      <c r="Q1328" t="s">
        <v>49</v>
      </c>
      <c r="R1328" t="str">
        <f>"0605000"</f>
        <v>0605000</v>
      </c>
      <c r="S1328" t="s">
        <v>950</v>
      </c>
      <c r="T1328" t="s">
        <v>947</v>
      </c>
      <c r="U1328" t="s">
        <v>948</v>
      </c>
      <c r="V1328" t="s">
        <v>938</v>
      </c>
      <c r="W1328" t="s">
        <v>51</v>
      </c>
      <c r="X1328" t="s">
        <v>45</v>
      </c>
      <c r="Y1328" s="1">
        <v>30317</v>
      </c>
      <c r="Z1328">
        <v>2</v>
      </c>
      <c r="AA1328" t="s">
        <v>948</v>
      </c>
      <c r="AB1328" s="40" t="s">
        <v>1797</v>
      </c>
    </row>
    <row r="1329" spans="1:28" x14ac:dyDescent="0.25">
      <c r="A1329">
        <v>99911328</v>
      </c>
      <c r="B1329" t="s">
        <v>32</v>
      </c>
      <c r="C1329" t="s">
        <v>139</v>
      </c>
      <c r="D1329" t="s">
        <v>140</v>
      </c>
      <c r="G1329" t="s">
        <v>35</v>
      </c>
      <c r="H1329">
        <v>1</v>
      </c>
      <c r="I1329" t="s">
        <v>973</v>
      </c>
      <c r="J1329" s="1">
        <v>43344</v>
      </c>
      <c r="K1329" t="s">
        <v>947</v>
      </c>
      <c r="L1329" t="s">
        <v>948</v>
      </c>
      <c r="M1329" t="s">
        <v>938</v>
      </c>
      <c r="N1329">
        <v>17</v>
      </c>
      <c r="O1329" s="1">
        <v>43344</v>
      </c>
      <c r="P1329" t="s">
        <v>41</v>
      </c>
      <c r="Q1329" t="s">
        <v>49</v>
      </c>
      <c r="R1329" t="str">
        <f>"0645053"</f>
        <v>0645053</v>
      </c>
      <c r="S1329" t="s">
        <v>957</v>
      </c>
      <c r="T1329" t="s">
        <v>947</v>
      </c>
      <c r="U1329" t="s">
        <v>948</v>
      </c>
      <c r="V1329" t="s">
        <v>938</v>
      </c>
      <c r="W1329" t="s">
        <v>51</v>
      </c>
      <c r="X1329" t="s">
        <v>45</v>
      </c>
      <c r="Y1329" s="1">
        <v>30317</v>
      </c>
      <c r="Z1329">
        <v>2</v>
      </c>
      <c r="AA1329" t="s">
        <v>948</v>
      </c>
      <c r="AB1329" s="40" t="s">
        <v>1797</v>
      </c>
    </row>
    <row r="1330" spans="1:28" x14ac:dyDescent="0.25">
      <c r="A1330">
        <v>99911329</v>
      </c>
      <c r="B1330" t="s">
        <v>56</v>
      </c>
      <c r="C1330" t="s">
        <v>259</v>
      </c>
      <c r="D1330" t="s">
        <v>260</v>
      </c>
      <c r="G1330" t="s">
        <v>48</v>
      </c>
      <c r="H1330">
        <v>1</v>
      </c>
      <c r="K1330" t="s">
        <v>223</v>
      </c>
      <c r="L1330" t="s">
        <v>224</v>
      </c>
      <c r="M1330" t="s">
        <v>131</v>
      </c>
      <c r="N1330">
        <v>17</v>
      </c>
      <c r="P1330" t="s">
        <v>41</v>
      </c>
      <c r="Q1330" t="s">
        <v>49</v>
      </c>
      <c r="R1330" t="str">
        <f>"0591910"</f>
        <v>0591910</v>
      </c>
      <c r="S1330" t="s">
        <v>228</v>
      </c>
      <c r="T1330" t="s">
        <v>223</v>
      </c>
      <c r="U1330" t="s">
        <v>224</v>
      </c>
      <c r="V1330" t="s">
        <v>131</v>
      </c>
      <c r="W1330" t="s">
        <v>51</v>
      </c>
      <c r="X1330" t="s">
        <v>45</v>
      </c>
      <c r="Y1330" s="1">
        <v>30094</v>
      </c>
      <c r="Z1330">
        <v>2</v>
      </c>
      <c r="AA1330" t="s">
        <v>224</v>
      </c>
      <c r="AB1330" s="40" t="s">
        <v>1797</v>
      </c>
    </row>
    <row r="1331" spans="1:28" x14ac:dyDescent="0.25">
      <c r="A1331">
        <v>99911330</v>
      </c>
      <c r="B1331" t="s">
        <v>56</v>
      </c>
      <c r="C1331" t="s">
        <v>82</v>
      </c>
      <c r="D1331" t="s">
        <v>83</v>
      </c>
      <c r="G1331" t="s">
        <v>35</v>
      </c>
      <c r="H1331">
        <v>1</v>
      </c>
      <c r="I1331" t="s">
        <v>327</v>
      </c>
      <c r="J1331" s="1">
        <v>43344</v>
      </c>
      <c r="K1331" t="s">
        <v>300</v>
      </c>
      <c r="L1331" t="s">
        <v>301</v>
      </c>
      <c r="M1331" t="s">
        <v>131</v>
      </c>
      <c r="N1331">
        <v>17</v>
      </c>
      <c r="O1331" s="1">
        <v>43344</v>
      </c>
      <c r="P1331" t="s">
        <v>41</v>
      </c>
      <c r="Q1331" t="s">
        <v>49</v>
      </c>
      <c r="R1331" t="str">
        <f>"0560020"</f>
        <v>0560020</v>
      </c>
      <c r="S1331" t="s">
        <v>302</v>
      </c>
      <c r="T1331" t="s">
        <v>300</v>
      </c>
      <c r="U1331" t="s">
        <v>301</v>
      </c>
      <c r="V1331" t="s">
        <v>131</v>
      </c>
      <c r="W1331" t="s">
        <v>51</v>
      </c>
      <c r="X1331" t="s">
        <v>45</v>
      </c>
      <c r="Y1331" s="1">
        <v>29447</v>
      </c>
      <c r="Z1331">
        <v>2</v>
      </c>
      <c r="AA1331" t="s">
        <v>301</v>
      </c>
      <c r="AB1331" s="40" t="s">
        <v>1797</v>
      </c>
    </row>
    <row r="1332" spans="1:28" x14ac:dyDescent="0.25">
      <c r="A1332">
        <v>99911331</v>
      </c>
      <c r="B1332" t="s">
        <v>32</v>
      </c>
      <c r="C1332" t="s">
        <v>90</v>
      </c>
      <c r="D1332" t="s">
        <v>91</v>
      </c>
      <c r="G1332" t="s">
        <v>48</v>
      </c>
      <c r="H1332">
        <v>1</v>
      </c>
      <c r="K1332" t="s">
        <v>268</v>
      </c>
      <c r="L1332" t="s">
        <v>269</v>
      </c>
      <c r="M1332" t="s">
        <v>131</v>
      </c>
      <c r="N1332">
        <v>17</v>
      </c>
      <c r="P1332" t="s">
        <v>41</v>
      </c>
      <c r="Q1332" t="s">
        <v>95</v>
      </c>
      <c r="R1332" t="str">
        <f>"7052001"</f>
        <v>7052001</v>
      </c>
      <c r="S1332" t="s">
        <v>576</v>
      </c>
      <c r="T1332" t="s">
        <v>268</v>
      </c>
      <c r="U1332" t="s">
        <v>269</v>
      </c>
      <c r="V1332" t="s">
        <v>131</v>
      </c>
      <c r="W1332" t="s">
        <v>51</v>
      </c>
      <c r="X1332" t="s">
        <v>45</v>
      </c>
      <c r="Y1332" s="1">
        <v>29437</v>
      </c>
      <c r="Z1332">
        <v>1</v>
      </c>
      <c r="AA1332" t="s">
        <v>269</v>
      </c>
      <c r="AB1332" s="40" t="s">
        <v>1797</v>
      </c>
    </row>
    <row r="1333" spans="1:28" x14ac:dyDescent="0.25">
      <c r="A1333">
        <v>99911332</v>
      </c>
      <c r="B1333" t="s">
        <v>32</v>
      </c>
      <c r="C1333" t="s">
        <v>82</v>
      </c>
      <c r="D1333" t="s">
        <v>83</v>
      </c>
      <c r="G1333" t="s">
        <v>35</v>
      </c>
      <c r="H1333">
        <v>1</v>
      </c>
      <c r="I1333" t="s">
        <v>969</v>
      </c>
      <c r="J1333" s="1">
        <v>43344</v>
      </c>
      <c r="K1333" t="s">
        <v>947</v>
      </c>
      <c r="L1333" t="s">
        <v>948</v>
      </c>
      <c r="M1333" t="s">
        <v>938</v>
      </c>
      <c r="N1333">
        <v>17</v>
      </c>
      <c r="O1333" s="1">
        <v>43344</v>
      </c>
      <c r="P1333" t="s">
        <v>41</v>
      </c>
      <c r="Q1333" t="s">
        <v>49</v>
      </c>
      <c r="R1333" t="str">
        <f>"0645053"</f>
        <v>0645053</v>
      </c>
      <c r="S1333" t="s">
        <v>957</v>
      </c>
      <c r="T1333" t="s">
        <v>947</v>
      </c>
      <c r="U1333" t="s">
        <v>948</v>
      </c>
      <c r="V1333" t="s">
        <v>938</v>
      </c>
      <c r="W1333" t="s">
        <v>51</v>
      </c>
      <c r="X1333" t="s">
        <v>45</v>
      </c>
      <c r="Y1333" s="1">
        <v>29436</v>
      </c>
      <c r="Z1333">
        <v>2</v>
      </c>
      <c r="AA1333" t="s">
        <v>948</v>
      </c>
      <c r="AB1333" s="40" t="s">
        <v>1797</v>
      </c>
    </row>
    <row r="1334" spans="1:28" x14ac:dyDescent="0.25">
      <c r="A1334">
        <v>99911333</v>
      </c>
      <c r="B1334" t="s">
        <v>32</v>
      </c>
      <c r="C1334" t="s">
        <v>52</v>
      </c>
      <c r="D1334" t="s">
        <v>53</v>
      </c>
      <c r="G1334" t="s">
        <v>48</v>
      </c>
      <c r="H1334">
        <v>1</v>
      </c>
      <c r="K1334" t="s">
        <v>223</v>
      </c>
      <c r="L1334" t="s">
        <v>224</v>
      </c>
      <c r="M1334" t="s">
        <v>131</v>
      </c>
      <c r="N1334">
        <v>17</v>
      </c>
      <c r="P1334" t="s">
        <v>41</v>
      </c>
      <c r="Q1334" t="s">
        <v>49</v>
      </c>
      <c r="R1334" t="str">
        <f>"0581200"</f>
        <v>0581200</v>
      </c>
      <c r="S1334" t="s">
        <v>238</v>
      </c>
      <c r="T1334" t="s">
        <v>223</v>
      </c>
      <c r="U1334" t="s">
        <v>224</v>
      </c>
      <c r="V1334" t="s">
        <v>131</v>
      </c>
      <c r="W1334" t="s">
        <v>51</v>
      </c>
      <c r="X1334" t="s">
        <v>45</v>
      </c>
      <c r="Y1334" s="1">
        <v>29334</v>
      </c>
      <c r="Z1334">
        <v>2</v>
      </c>
      <c r="AA1334" t="s">
        <v>224</v>
      </c>
      <c r="AB1334" s="40" t="s">
        <v>1797</v>
      </c>
    </row>
    <row r="1335" spans="1:28" x14ac:dyDescent="0.25">
      <c r="A1335">
        <v>99911334</v>
      </c>
      <c r="B1335" t="s">
        <v>56</v>
      </c>
      <c r="C1335" t="s">
        <v>61</v>
      </c>
      <c r="D1335" t="s">
        <v>62</v>
      </c>
      <c r="G1335" t="s">
        <v>48</v>
      </c>
      <c r="H1335">
        <v>1</v>
      </c>
      <c r="K1335" t="s">
        <v>162</v>
      </c>
      <c r="L1335" t="s">
        <v>158</v>
      </c>
      <c r="M1335" t="s">
        <v>131</v>
      </c>
      <c r="N1335">
        <v>17</v>
      </c>
      <c r="P1335" t="s">
        <v>41</v>
      </c>
      <c r="Q1335" t="s">
        <v>49</v>
      </c>
      <c r="R1335" t="str">
        <f>"0560027"</f>
        <v>0560027</v>
      </c>
      <c r="S1335" t="s">
        <v>178</v>
      </c>
      <c r="T1335" t="s">
        <v>162</v>
      </c>
      <c r="U1335" t="s">
        <v>158</v>
      </c>
      <c r="V1335" t="s">
        <v>131</v>
      </c>
      <c r="W1335" t="s">
        <v>51</v>
      </c>
      <c r="X1335" t="s">
        <v>45</v>
      </c>
      <c r="Y1335" s="1">
        <v>29281</v>
      </c>
      <c r="Z1335">
        <v>2</v>
      </c>
      <c r="AA1335" t="s">
        <v>158</v>
      </c>
      <c r="AB1335" s="40" t="s">
        <v>1797</v>
      </c>
    </row>
    <row r="1336" spans="1:28" x14ac:dyDescent="0.25">
      <c r="A1336">
        <v>99911335</v>
      </c>
      <c r="B1336" t="s">
        <v>32</v>
      </c>
      <c r="C1336" t="s">
        <v>141</v>
      </c>
      <c r="D1336" t="s">
        <v>142</v>
      </c>
      <c r="G1336" t="s">
        <v>35</v>
      </c>
      <c r="H1336">
        <v>1</v>
      </c>
      <c r="I1336">
        <v>1</v>
      </c>
      <c r="J1336" s="1">
        <v>43344</v>
      </c>
      <c r="K1336" t="s">
        <v>1198</v>
      </c>
      <c r="L1336" t="s">
        <v>1199</v>
      </c>
      <c r="M1336" t="s">
        <v>1130</v>
      </c>
      <c r="N1336">
        <v>17</v>
      </c>
      <c r="O1336" s="1">
        <v>43344</v>
      </c>
      <c r="P1336" t="s">
        <v>41</v>
      </c>
      <c r="Q1336" t="s">
        <v>75</v>
      </c>
      <c r="R1336" t="str">
        <f>"7311010"</f>
        <v>7311010</v>
      </c>
      <c r="S1336" t="s">
        <v>1202</v>
      </c>
      <c r="T1336" t="s">
        <v>1198</v>
      </c>
      <c r="U1336" t="s">
        <v>1199</v>
      </c>
      <c r="V1336" t="s">
        <v>1130</v>
      </c>
      <c r="W1336" t="s">
        <v>51</v>
      </c>
      <c r="X1336" t="s">
        <v>45</v>
      </c>
      <c r="Y1336" s="1">
        <v>29221</v>
      </c>
      <c r="Z1336">
        <v>1</v>
      </c>
      <c r="AA1336" t="s">
        <v>1199</v>
      </c>
      <c r="AB1336" s="40" t="s">
        <v>1797</v>
      </c>
    </row>
    <row r="1337" spans="1:28" x14ac:dyDescent="0.25">
      <c r="A1337">
        <v>99911336</v>
      </c>
      <c r="B1337" t="s">
        <v>32</v>
      </c>
      <c r="C1337" t="s">
        <v>79</v>
      </c>
      <c r="D1337" t="s">
        <v>80</v>
      </c>
      <c r="G1337" t="s">
        <v>48</v>
      </c>
      <c r="H1337">
        <v>1</v>
      </c>
      <c r="K1337" t="s">
        <v>268</v>
      </c>
      <c r="L1337" t="s">
        <v>269</v>
      </c>
      <c r="M1337" t="s">
        <v>131</v>
      </c>
      <c r="N1337">
        <v>17</v>
      </c>
      <c r="P1337" t="s">
        <v>41</v>
      </c>
      <c r="Q1337" t="s">
        <v>75</v>
      </c>
      <c r="R1337" t="str">
        <f>"7052040"</f>
        <v>7052040</v>
      </c>
      <c r="S1337" t="s">
        <v>591</v>
      </c>
      <c r="T1337" t="s">
        <v>268</v>
      </c>
      <c r="U1337" t="s">
        <v>269</v>
      </c>
      <c r="V1337" t="s">
        <v>131</v>
      </c>
      <c r="W1337" t="s">
        <v>51</v>
      </c>
      <c r="X1337" t="s">
        <v>45</v>
      </c>
      <c r="Y1337" s="1">
        <v>29129</v>
      </c>
      <c r="Z1337">
        <v>1</v>
      </c>
      <c r="AA1337" t="s">
        <v>269</v>
      </c>
      <c r="AB1337" s="40" t="s">
        <v>1797</v>
      </c>
    </row>
    <row r="1338" spans="1:28" x14ac:dyDescent="0.25">
      <c r="A1338">
        <v>99911337</v>
      </c>
      <c r="B1338" t="s">
        <v>32</v>
      </c>
      <c r="C1338" t="s">
        <v>145</v>
      </c>
      <c r="D1338" t="s">
        <v>146</v>
      </c>
      <c r="G1338" t="s">
        <v>48</v>
      </c>
      <c r="H1338">
        <v>1</v>
      </c>
      <c r="K1338" t="s">
        <v>300</v>
      </c>
      <c r="L1338" t="s">
        <v>301</v>
      </c>
      <c r="M1338" t="s">
        <v>131</v>
      </c>
      <c r="N1338">
        <v>17</v>
      </c>
      <c r="P1338" t="s">
        <v>41</v>
      </c>
      <c r="Q1338" t="s">
        <v>49</v>
      </c>
      <c r="R1338" t="str">
        <f>"0560013"</f>
        <v>0560013</v>
      </c>
      <c r="S1338" t="s">
        <v>324</v>
      </c>
      <c r="T1338" t="s">
        <v>300</v>
      </c>
      <c r="U1338" t="s">
        <v>301</v>
      </c>
      <c r="V1338" t="s">
        <v>131</v>
      </c>
      <c r="W1338" t="s">
        <v>51</v>
      </c>
      <c r="X1338" t="s">
        <v>45</v>
      </c>
      <c r="Y1338" s="1">
        <v>28545</v>
      </c>
      <c r="Z1338">
        <v>2</v>
      </c>
      <c r="AA1338" t="s">
        <v>301</v>
      </c>
      <c r="AB1338" s="40" t="s">
        <v>1797</v>
      </c>
    </row>
    <row r="1339" spans="1:28" x14ac:dyDescent="0.25">
      <c r="A1339">
        <v>99911338</v>
      </c>
      <c r="B1339" t="s">
        <v>32</v>
      </c>
      <c r="C1339" t="s">
        <v>71</v>
      </c>
      <c r="D1339" t="s">
        <v>72</v>
      </c>
      <c r="G1339" t="s">
        <v>35</v>
      </c>
      <c r="H1339">
        <v>1</v>
      </c>
      <c r="I1339" t="s">
        <v>1027</v>
      </c>
      <c r="J1339" s="1">
        <v>41983</v>
      </c>
      <c r="K1339" t="s">
        <v>963</v>
      </c>
      <c r="L1339" t="s">
        <v>964</v>
      </c>
      <c r="M1339" t="s">
        <v>938</v>
      </c>
      <c r="N1339">
        <v>17</v>
      </c>
      <c r="O1339" s="1">
        <v>41983</v>
      </c>
      <c r="P1339" t="s">
        <v>41</v>
      </c>
      <c r="Q1339" t="s">
        <v>75</v>
      </c>
      <c r="R1339" t="str">
        <f>"7061000"</f>
        <v>7061000</v>
      </c>
      <c r="S1339" t="s">
        <v>962</v>
      </c>
      <c r="T1339" t="s">
        <v>963</v>
      </c>
      <c r="U1339" t="s">
        <v>964</v>
      </c>
      <c r="V1339" t="s">
        <v>938</v>
      </c>
      <c r="W1339" t="s">
        <v>51</v>
      </c>
      <c r="X1339" t="s">
        <v>45</v>
      </c>
      <c r="Y1339" s="1">
        <v>28491</v>
      </c>
      <c r="Z1339">
        <v>1</v>
      </c>
      <c r="AA1339" t="s">
        <v>964</v>
      </c>
      <c r="AB1339" s="40" t="s">
        <v>1797</v>
      </c>
    </row>
    <row r="1340" spans="1:28" x14ac:dyDescent="0.25">
      <c r="A1340">
        <v>99911339</v>
      </c>
      <c r="B1340" t="s">
        <v>56</v>
      </c>
      <c r="C1340" t="s">
        <v>52</v>
      </c>
      <c r="D1340" t="s">
        <v>53</v>
      </c>
      <c r="G1340" t="s">
        <v>48</v>
      </c>
      <c r="H1340">
        <v>1</v>
      </c>
      <c r="K1340" t="s">
        <v>300</v>
      </c>
      <c r="L1340" t="s">
        <v>301</v>
      </c>
      <c r="M1340" t="s">
        <v>131</v>
      </c>
      <c r="N1340">
        <v>17</v>
      </c>
      <c r="P1340" t="s">
        <v>41</v>
      </c>
      <c r="Q1340" t="s">
        <v>49</v>
      </c>
      <c r="R1340" t="str">
        <f>"0560013"</f>
        <v>0560013</v>
      </c>
      <c r="S1340" t="s">
        <v>324</v>
      </c>
      <c r="T1340" t="s">
        <v>300</v>
      </c>
      <c r="U1340" t="s">
        <v>301</v>
      </c>
      <c r="V1340" t="s">
        <v>131</v>
      </c>
      <c r="W1340" t="s">
        <v>51</v>
      </c>
      <c r="X1340" t="s">
        <v>45</v>
      </c>
      <c r="Y1340" s="1">
        <v>28278</v>
      </c>
      <c r="Z1340">
        <v>2</v>
      </c>
      <c r="AA1340" t="s">
        <v>301</v>
      </c>
      <c r="AB1340" s="40" t="s">
        <v>1797</v>
      </c>
    </row>
    <row r="1341" spans="1:28" x14ac:dyDescent="0.25">
      <c r="A1341">
        <v>99911340</v>
      </c>
      <c r="B1341" t="s">
        <v>32</v>
      </c>
      <c r="C1341" t="s">
        <v>139</v>
      </c>
      <c r="D1341" t="s">
        <v>140</v>
      </c>
      <c r="G1341" t="s">
        <v>35</v>
      </c>
      <c r="H1341">
        <v>1</v>
      </c>
      <c r="I1341">
        <v>3393</v>
      </c>
      <c r="J1341" s="1">
        <v>43344</v>
      </c>
      <c r="K1341" t="s">
        <v>380</v>
      </c>
      <c r="L1341" t="s">
        <v>381</v>
      </c>
      <c r="M1341" t="s">
        <v>131</v>
      </c>
      <c r="N1341">
        <v>17</v>
      </c>
      <c r="O1341" s="1">
        <v>43344</v>
      </c>
      <c r="P1341" t="s">
        <v>41</v>
      </c>
      <c r="Q1341" t="s">
        <v>49</v>
      </c>
      <c r="R1341" t="str">
        <f>"0560028"</f>
        <v>0560028</v>
      </c>
      <c r="S1341" t="s">
        <v>384</v>
      </c>
      <c r="T1341" t="s">
        <v>380</v>
      </c>
      <c r="U1341" t="s">
        <v>381</v>
      </c>
      <c r="V1341" t="s">
        <v>131</v>
      </c>
      <c r="W1341" t="s">
        <v>51</v>
      </c>
      <c r="X1341" t="s">
        <v>45</v>
      </c>
      <c r="Y1341" s="1">
        <v>28265</v>
      </c>
      <c r="Z1341">
        <v>2</v>
      </c>
      <c r="AA1341" t="s">
        <v>381</v>
      </c>
      <c r="AB1341" s="40" t="s">
        <v>1797</v>
      </c>
    </row>
    <row r="1342" spans="1:28" x14ac:dyDescent="0.25">
      <c r="A1342">
        <v>99911341</v>
      </c>
      <c r="B1342" t="s">
        <v>32</v>
      </c>
      <c r="C1342" t="s">
        <v>143</v>
      </c>
      <c r="D1342" t="s">
        <v>144</v>
      </c>
      <c r="G1342" t="s">
        <v>35</v>
      </c>
      <c r="H1342">
        <v>1</v>
      </c>
      <c r="I1342">
        <v>19613</v>
      </c>
      <c r="J1342" s="1">
        <v>43412</v>
      </c>
      <c r="K1342" t="s">
        <v>157</v>
      </c>
      <c r="L1342" t="s">
        <v>158</v>
      </c>
      <c r="M1342" t="s">
        <v>131</v>
      </c>
      <c r="N1342">
        <v>17</v>
      </c>
      <c r="O1342" s="1">
        <v>43412</v>
      </c>
      <c r="P1342" t="s">
        <v>41</v>
      </c>
      <c r="Q1342" t="s">
        <v>49</v>
      </c>
      <c r="R1342" t="str">
        <f>"0560042"</f>
        <v>0560042</v>
      </c>
      <c r="S1342" t="s">
        <v>159</v>
      </c>
      <c r="T1342" t="s">
        <v>157</v>
      </c>
      <c r="U1342" t="s">
        <v>158</v>
      </c>
      <c r="V1342" t="s">
        <v>131</v>
      </c>
      <c r="W1342" t="s">
        <v>44</v>
      </c>
      <c r="X1342" t="s">
        <v>45</v>
      </c>
      <c r="Y1342" s="1">
        <v>27947</v>
      </c>
      <c r="Z1342">
        <v>2</v>
      </c>
      <c r="AA1342" t="s">
        <v>158</v>
      </c>
      <c r="AB1342" s="40" t="s">
        <v>1797</v>
      </c>
    </row>
    <row r="1343" spans="1:28" x14ac:dyDescent="0.25">
      <c r="A1343">
        <v>99911342</v>
      </c>
      <c r="B1343" t="s">
        <v>32</v>
      </c>
      <c r="C1343" t="s">
        <v>82</v>
      </c>
      <c r="D1343" t="s">
        <v>83</v>
      </c>
      <c r="G1343" t="s">
        <v>35</v>
      </c>
      <c r="H1343">
        <v>1</v>
      </c>
      <c r="I1343">
        <v>21123</v>
      </c>
      <c r="J1343" s="1">
        <v>43005</v>
      </c>
      <c r="K1343" t="s">
        <v>380</v>
      </c>
      <c r="L1343" t="s">
        <v>381</v>
      </c>
      <c r="M1343" t="s">
        <v>131</v>
      </c>
      <c r="N1343">
        <v>17</v>
      </c>
      <c r="O1343" s="1">
        <v>43073</v>
      </c>
      <c r="P1343" t="s">
        <v>41</v>
      </c>
      <c r="Q1343" t="s">
        <v>42</v>
      </c>
      <c r="R1343" t="str">
        <f>"0561016"</f>
        <v>0561016</v>
      </c>
      <c r="S1343" t="s">
        <v>389</v>
      </c>
      <c r="T1343" t="s">
        <v>380</v>
      </c>
      <c r="U1343" t="s">
        <v>381</v>
      </c>
      <c r="V1343" t="s">
        <v>131</v>
      </c>
      <c r="W1343" t="s">
        <v>44</v>
      </c>
      <c r="X1343" t="s">
        <v>45</v>
      </c>
      <c r="Y1343" s="1">
        <v>27760</v>
      </c>
      <c r="Z1343">
        <v>2</v>
      </c>
      <c r="AA1343" t="s">
        <v>381</v>
      </c>
      <c r="AB1343" s="40" t="s">
        <v>1797</v>
      </c>
    </row>
    <row r="1344" spans="1:28" x14ac:dyDescent="0.25">
      <c r="A1344">
        <v>99911343</v>
      </c>
      <c r="B1344" t="s">
        <v>32</v>
      </c>
      <c r="C1344" t="s">
        <v>143</v>
      </c>
      <c r="D1344" t="s">
        <v>144</v>
      </c>
      <c r="G1344" t="s">
        <v>48</v>
      </c>
      <c r="H1344">
        <v>5</v>
      </c>
      <c r="K1344" t="s">
        <v>1268</v>
      </c>
      <c r="L1344" t="s">
        <v>1269</v>
      </c>
      <c r="M1344" t="s">
        <v>1270</v>
      </c>
      <c r="N1344">
        <v>17</v>
      </c>
      <c r="P1344" t="s">
        <v>41</v>
      </c>
      <c r="Q1344" t="s">
        <v>49</v>
      </c>
      <c r="R1344" t="str">
        <f>"1981912"</f>
        <v>1981912</v>
      </c>
      <c r="S1344" t="s">
        <v>1279</v>
      </c>
      <c r="T1344" t="s">
        <v>1268</v>
      </c>
      <c r="U1344" t="s">
        <v>1269</v>
      </c>
      <c r="V1344" t="s">
        <v>1270</v>
      </c>
      <c r="W1344" t="s">
        <v>51</v>
      </c>
      <c r="X1344" t="s">
        <v>45</v>
      </c>
      <c r="Y1344" s="1">
        <v>27739</v>
      </c>
      <c r="Z1344">
        <v>2</v>
      </c>
      <c r="AA1344" t="s">
        <v>1269</v>
      </c>
      <c r="AB1344" s="40" t="s">
        <v>1797</v>
      </c>
    </row>
    <row r="1345" spans="1:28" x14ac:dyDescent="0.25">
      <c r="A1345">
        <v>99911344</v>
      </c>
      <c r="B1345" t="s">
        <v>32</v>
      </c>
      <c r="C1345" t="s">
        <v>46</v>
      </c>
      <c r="D1345" t="s">
        <v>47</v>
      </c>
      <c r="G1345" t="s">
        <v>35</v>
      </c>
      <c r="H1345">
        <v>1</v>
      </c>
      <c r="I1345">
        <v>15443</v>
      </c>
      <c r="J1345" s="1">
        <v>43344</v>
      </c>
      <c r="K1345" t="s">
        <v>345</v>
      </c>
      <c r="L1345" t="s">
        <v>346</v>
      </c>
      <c r="M1345" t="s">
        <v>131</v>
      </c>
      <c r="N1345">
        <v>17</v>
      </c>
      <c r="O1345" s="1">
        <v>43344</v>
      </c>
      <c r="P1345" t="s">
        <v>41</v>
      </c>
      <c r="Q1345" t="s">
        <v>49</v>
      </c>
      <c r="R1345" t="str">
        <f>"0561003"</f>
        <v>0561003</v>
      </c>
      <c r="S1345" t="s">
        <v>370</v>
      </c>
      <c r="T1345" t="s">
        <v>345</v>
      </c>
      <c r="U1345" t="s">
        <v>346</v>
      </c>
      <c r="V1345" t="s">
        <v>131</v>
      </c>
      <c r="W1345" t="s">
        <v>55</v>
      </c>
      <c r="X1345" t="s">
        <v>45</v>
      </c>
      <c r="Y1345" s="1">
        <v>27731</v>
      </c>
      <c r="Z1345">
        <v>2</v>
      </c>
      <c r="AA1345" t="s">
        <v>346</v>
      </c>
      <c r="AB1345" s="40" t="s">
        <v>1797</v>
      </c>
    </row>
    <row r="1346" spans="1:28" x14ac:dyDescent="0.25">
      <c r="A1346">
        <v>99911345</v>
      </c>
      <c r="B1346" t="s">
        <v>32</v>
      </c>
      <c r="C1346" t="s">
        <v>145</v>
      </c>
      <c r="D1346" t="s">
        <v>146</v>
      </c>
      <c r="G1346" t="s">
        <v>48</v>
      </c>
      <c r="H1346">
        <v>1</v>
      </c>
      <c r="K1346" t="s">
        <v>1128</v>
      </c>
      <c r="L1346" t="s">
        <v>1129</v>
      </c>
      <c r="M1346" t="s">
        <v>1130</v>
      </c>
      <c r="N1346">
        <v>17</v>
      </c>
      <c r="P1346" t="s">
        <v>41</v>
      </c>
      <c r="Q1346" t="s">
        <v>49</v>
      </c>
      <c r="R1346" t="str">
        <f>"3181015"</f>
        <v>3181015</v>
      </c>
      <c r="S1346" t="s">
        <v>1131</v>
      </c>
      <c r="T1346" t="s">
        <v>1128</v>
      </c>
      <c r="U1346" t="s">
        <v>1129</v>
      </c>
      <c r="V1346" t="s">
        <v>1130</v>
      </c>
      <c r="W1346" t="s">
        <v>51</v>
      </c>
      <c r="X1346" t="s">
        <v>45</v>
      </c>
      <c r="Y1346" s="1">
        <v>27201</v>
      </c>
      <c r="Z1346">
        <v>2</v>
      </c>
      <c r="AA1346" t="s">
        <v>1129</v>
      </c>
      <c r="AB1346" s="40" t="s">
        <v>1797</v>
      </c>
    </row>
    <row r="1347" spans="1:28" x14ac:dyDescent="0.25">
      <c r="A1347">
        <v>99911346</v>
      </c>
      <c r="B1347" t="s">
        <v>32</v>
      </c>
      <c r="C1347" t="s">
        <v>64</v>
      </c>
      <c r="D1347" t="s">
        <v>65</v>
      </c>
      <c r="G1347" t="s">
        <v>35</v>
      </c>
      <c r="H1347">
        <v>1</v>
      </c>
      <c r="I1347">
        <v>19689</v>
      </c>
      <c r="J1347" s="1">
        <v>43344</v>
      </c>
      <c r="K1347" t="s">
        <v>380</v>
      </c>
      <c r="L1347" t="s">
        <v>381</v>
      </c>
      <c r="M1347" t="s">
        <v>131</v>
      </c>
      <c r="N1347">
        <v>17</v>
      </c>
      <c r="O1347" s="1">
        <v>43344</v>
      </c>
      <c r="P1347" t="s">
        <v>41</v>
      </c>
      <c r="Q1347" t="s">
        <v>49</v>
      </c>
      <c r="R1347" t="str">
        <f>"0591909"</f>
        <v>0591909</v>
      </c>
      <c r="S1347" t="s">
        <v>385</v>
      </c>
      <c r="T1347" t="s">
        <v>380</v>
      </c>
      <c r="U1347" t="s">
        <v>381</v>
      </c>
      <c r="V1347" t="s">
        <v>131</v>
      </c>
      <c r="W1347" t="s">
        <v>51</v>
      </c>
      <c r="X1347" t="s">
        <v>45</v>
      </c>
      <c r="Y1347" s="1">
        <v>27182</v>
      </c>
      <c r="Z1347">
        <v>2</v>
      </c>
      <c r="AA1347" t="s">
        <v>381</v>
      </c>
      <c r="AB1347" s="40" t="s">
        <v>1797</v>
      </c>
    </row>
    <row r="1348" spans="1:28" x14ac:dyDescent="0.25">
      <c r="A1348">
        <v>99911347</v>
      </c>
      <c r="B1348" t="s">
        <v>32</v>
      </c>
      <c r="C1348" t="s">
        <v>64</v>
      </c>
      <c r="D1348" t="s">
        <v>65</v>
      </c>
      <c r="G1348" t="s">
        <v>48</v>
      </c>
      <c r="H1348">
        <v>1</v>
      </c>
      <c r="K1348" t="s">
        <v>380</v>
      </c>
      <c r="L1348" t="s">
        <v>381</v>
      </c>
      <c r="M1348" t="s">
        <v>131</v>
      </c>
      <c r="N1348">
        <v>17</v>
      </c>
      <c r="P1348" t="s">
        <v>41</v>
      </c>
      <c r="Q1348" t="s">
        <v>49</v>
      </c>
      <c r="R1348" t="str">
        <f>"0591909"</f>
        <v>0591909</v>
      </c>
      <c r="S1348" t="s">
        <v>385</v>
      </c>
      <c r="T1348" t="s">
        <v>380</v>
      </c>
      <c r="U1348" t="s">
        <v>381</v>
      </c>
      <c r="V1348" t="s">
        <v>131</v>
      </c>
      <c r="W1348" t="s">
        <v>51</v>
      </c>
      <c r="X1348" t="s">
        <v>45</v>
      </c>
      <c r="Y1348" s="1">
        <v>27111</v>
      </c>
      <c r="Z1348">
        <v>2</v>
      </c>
      <c r="AA1348" t="s">
        <v>381</v>
      </c>
      <c r="AB1348" s="40" t="s">
        <v>1797</v>
      </c>
    </row>
    <row r="1349" spans="1:28" x14ac:dyDescent="0.25">
      <c r="A1349">
        <v>99911348</v>
      </c>
      <c r="B1349" t="s">
        <v>56</v>
      </c>
      <c r="C1349" t="s">
        <v>46</v>
      </c>
      <c r="D1349" t="s">
        <v>47</v>
      </c>
      <c r="G1349" t="s">
        <v>48</v>
      </c>
      <c r="H1349">
        <v>1</v>
      </c>
      <c r="K1349" t="s">
        <v>300</v>
      </c>
      <c r="L1349" t="s">
        <v>301</v>
      </c>
      <c r="M1349" t="s">
        <v>131</v>
      </c>
      <c r="N1349">
        <v>17</v>
      </c>
      <c r="P1349" t="s">
        <v>41</v>
      </c>
      <c r="Q1349" t="s">
        <v>42</v>
      </c>
      <c r="R1349" t="str">
        <f>"0561001"</f>
        <v>0561001</v>
      </c>
      <c r="S1349" t="s">
        <v>308</v>
      </c>
      <c r="T1349" t="s">
        <v>300</v>
      </c>
      <c r="U1349" t="s">
        <v>301</v>
      </c>
      <c r="V1349" t="s">
        <v>131</v>
      </c>
      <c r="W1349" t="s">
        <v>51</v>
      </c>
      <c r="X1349" t="s">
        <v>45</v>
      </c>
      <c r="Y1349" s="1">
        <v>27030</v>
      </c>
      <c r="Z1349">
        <v>2</v>
      </c>
      <c r="AA1349" t="s">
        <v>301</v>
      </c>
      <c r="AB1349" s="40" t="s">
        <v>1797</v>
      </c>
    </row>
    <row r="1350" spans="1:28" x14ac:dyDescent="0.25">
      <c r="A1350">
        <v>99911349</v>
      </c>
      <c r="B1350" t="s">
        <v>56</v>
      </c>
      <c r="C1350" t="s">
        <v>52</v>
      </c>
      <c r="D1350" t="s">
        <v>53</v>
      </c>
      <c r="G1350" t="s">
        <v>88</v>
      </c>
      <c r="H1350">
        <v>4</v>
      </c>
      <c r="K1350" t="s">
        <v>157</v>
      </c>
      <c r="L1350" t="s">
        <v>158</v>
      </c>
      <c r="M1350" t="s">
        <v>131</v>
      </c>
      <c r="N1350">
        <v>17</v>
      </c>
      <c r="P1350" t="s">
        <v>41</v>
      </c>
      <c r="Q1350" t="s">
        <v>42</v>
      </c>
      <c r="R1350" t="str">
        <f>"0561004"</f>
        <v>0561004</v>
      </c>
      <c r="S1350" t="s">
        <v>172</v>
      </c>
      <c r="T1350" t="s">
        <v>157</v>
      </c>
      <c r="U1350" t="s">
        <v>158</v>
      </c>
      <c r="V1350" t="s">
        <v>131</v>
      </c>
      <c r="W1350" t="s">
        <v>51</v>
      </c>
      <c r="X1350" t="s">
        <v>45</v>
      </c>
      <c r="Y1350" s="1">
        <v>26586</v>
      </c>
      <c r="Z1350">
        <v>2</v>
      </c>
      <c r="AA1350" t="s">
        <v>158</v>
      </c>
      <c r="AB1350" s="40" t="s">
        <v>1797</v>
      </c>
    </row>
    <row r="1351" spans="1:28" x14ac:dyDescent="0.25">
      <c r="A1351">
        <v>99911350</v>
      </c>
      <c r="B1351" t="s">
        <v>32</v>
      </c>
      <c r="C1351" t="s">
        <v>145</v>
      </c>
      <c r="D1351" t="s">
        <v>146</v>
      </c>
      <c r="G1351" t="s">
        <v>35</v>
      </c>
      <c r="H1351">
        <v>1</v>
      </c>
      <c r="K1351" t="s">
        <v>300</v>
      </c>
      <c r="L1351" t="s">
        <v>301</v>
      </c>
      <c r="M1351" t="s">
        <v>131</v>
      </c>
      <c r="N1351">
        <v>17</v>
      </c>
      <c r="P1351" t="s">
        <v>41</v>
      </c>
      <c r="Q1351" t="s">
        <v>42</v>
      </c>
      <c r="R1351" t="str">
        <f>"0580023"</f>
        <v>0580023</v>
      </c>
      <c r="S1351" t="s">
        <v>313</v>
      </c>
      <c r="T1351" t="s">
        <v>300</v>
      </c>
      <c r="U1351" t="s">
        <v>301</v>
      </c>
      <c r="V1351" t="s">
        <v>131</v>
      </c>
      <c r="W1351" t="s">
        <v>165</v>
      </c>
      <c r="X1351" t="s">
        <v>45</v>
      </c>
      <c r="Y1351" s="1">
        <v>26202</v>
      </c>
      <c r="Z1351">
        <v>2</v>
      </c>
      <c r="AA1351" t="s">
        <v>301</v>
      </c>
      <c r="AB1351" s="40" t="s">
        <v>1797</v>
      </c>
    </row>
    <row r="1352" spans="1:28" x14ac:dyDescent="0.25">
      <c r="A1352">
        <v>99911351</v>
      </c>
      <c r="B1352" t="s">
        <v>32</v>
      </c>
      <c r="C1352" t="s">
        <v>46</v>
      </c>
      <c r="D1352" t="s">
        <v>47</v>
      </c>
      <c r="G1352" t="s">
        <v>48</v>
      </c>
      <c r="H1352">
        <v>1</v>
      </c>
      <c r="K1352" t="s">
        <v>1566</v>
      </c>
      <c r="L1352" t="s">
        <v>1567</v>
      </c>
      <c r="M1352" t="s">
        <v>1548</v>
      </c>
      <c r="N1352">
        <v>17</v>
      </c>
      <c r="P1352" t="s">
        <v>41</v>
      </c>
      <c r="Q1352" t="s">
        <v>49</v>
      </c>
      <c r="R1352" t="str">
        <f>"2960001"</f>
        <v>2960001</v>
      </c>
      <c r="S1352" t="s">
        <v>1569</v>
      </c>
      <c r="T1352" t="s">
        <v>1566</v>
      </c>
      <c r="U1352" t="s">
        <v>1567</v>
      </c>
      <c r="V1352" t="s">
        <v>1548</v>
      </c>
      <c r="W1352" t="s">
        <v>51</v>
      </c>
      <c r="X1352" t="s">
        <v>45</v>
      </c>
      <c r="Y1352" s="1">
        <v>26187</v>
      </c>
      <c r="Z1352">
        <v>2</v>
      </c>
      <c r="AA1352" t="s">
        <v>1567</v>
      </c>
      <c r="AB1352" s="40" t="s">
        <v>1797</v>
      </c>
    </row>
    <row r="1353" spans="1:28" x14ac:dyDescent="0.25">
      <c r="A1353">
        <v>99911352</v>
      </c>
      <c r="B1353" t="s">
        <v>56</v>
      </c>
      <c r="C1353" t="s">
        <v>79</v>
      </c>
      <c r="D1353" t="s">
        <v>80</v>
      </c>
      <c r="G1353" t="s">
        <v>48</v>
      </c>
      <c r="H1353">
        <v>1</v>
      </c>
      <c r="K1353" t="s">
        <v>1613</v>
      </c>
      <c r="L1353" t="s">
        <v>1614</v>
      </c>
      <c r="M1353" t="s">
        <v>1592</v>
      </c>
      <c r="N1353">
        <v>17</v>
      </c>
      <c r="P1353" t="s">
        <v>41</v>
      </c>
      <c r="Q1353" t="s">
        <v>42</v>
      </c>
      <c r="R1353" t="str">
        <f>"2861001"</f>
        <v>2861001</v>
      </c>
      <c r="S1353" t="s">
        <v>1621</v>
      </c>
      <c r="T1353" t="s">
        <v>1613</v>
      </c>
      <c r="U1353" t="s">
        <v>1614</v>
      </c>
      <c r="V1353" t="s">
        <v>1592</v>
      </c>
      <c r="W1353" t="s">
        <v>51</v>
      </c>
      <c r="X1353" t="s">
        <v>45</v>
      </c>
      <c r="Y1353" s="1">
        <v>26178</v>
      </c>
      <c r="Z1353">
        <v>2</v>
      </c>
      <c r="AA1353" t="s">
        <v>1614</v>
      </c>
      <c r="AB1353" s="40" t="s">
        <v>1797</v>
      </c>
    </row>
    <row r="1354" spans="1:28" x14ac:dyDescent="0.25">
      <c r="A1354">
        <v>99911353</v>
      </c>
      <c r="B1354" t="s">
        <v>56</v>
      </c>
      <c r="C1354" t="s">
        <v>82</v>
      </c>
      <c r="D1354" t="s">
        <v>83</v>
      </c>
      <c r="G1354" t="s">
        <v>35</v>
      </c>
      <c r="H1354">
        <v>1</v>
      </c>
      <c r="K1354" t="s">
        <v>1128</v>
      </c>
      <c r="L1354" t="s">
        <v>1129</v>
      </c>
      <c r="M1354" t="s">
        <v>1130</v>
      </c>
      <c r="N1354">
        <v>17</v>
      </c>
      <c r="P1354" t="s">
        <v>41</v>
      </c>
      <c r="Q1354" t="s">
        <v>49</v>
      </c>
      <c r="R1354" t="str">
        <f>"3160002"</f>
        <v>3160002</v>
      </c>
      <c r="S1354" t="s">
        <v>1143</v>
      </c>
      <c r="T1354" t="s">
        <v>1128</v>
      </c>
      <c r="U1354" t="s">
        <v>1129</v>
      </c>
      <c r="V1354" t="s">
        <v>1130</v>
      </c>
      <c r="W1354" t="s">
        <v>51</v>
      </c>
      <c r="X1354" t="s">
        <v>45</v>
      </c>
      <c r="Y1354" s="1">
        <v>26127</v>
      </c>
      <c r="Z1354">
        <v>2</v>
      </c>
      <c r="AA1354" t="s">
        <v>1129</v>
      </c>
      <c r="AB1354" s="40" t="s">
        <v>1797</v>
      </c>
    </row>
    <row r="1355" spans="1:28" x14ac:dyDescent="0.25">
      <c r="A1355">
        <v>99911354</v>
      </c>
      <c r="B1355" t="s">
        <v>32</v>
      </c>
      <c r="C1355" t="s">
        <v>141</v>
      </c>
      <c r="D1355" t="s">
        <v>142</v>
      </c>
      <c r="G1355" t="s">
        <v>35</v>
      </c>
      <c r="H1355">
        <v>1</v>
      </c>
      <c r="K1355" t="s">
        <v>223</v>
      </c>
      <c r="L1355" t="s">
        <v>224</v>
      </c>
      <c r="M1355" t="s">
        <v>131</v>
      </c>
      <c r="N1355">
        <v>17</v>
      </c>
      <c r="P1355" t="s">
        <v>41</v>
      </c>
      <c r="Q1355" t="s">
        <v>49</v>
      </c>
      <c r="R1355" t="str">
        <f>"0591901"</f>
        <v>0591901</v>
      </c>
      <c r="S1355" t="s">
        <v>230</v>
      </c>
      <c r="T1355" t="s">
        <v>223</v>
      </c>
      <c r="U1355" t="s">
        <v>224</v>
      </c>
      <c r="V1355" t="s">
        <v>131</v>
      </c>
      <c r="W1355" t="s">
        <v>51</v>
      </c>
      <c r="X1355" t="s">
        <v>45</v>
      </c>
      <c r="Y1355" s="1">
        <v>26013</v>
      </c>
      <c r="Z1355">
        <v>2</v>
      </c>
      <c r="AA1355" t="s">
        <v>224</v>
      </c>
      <c r="AB1355" s="40" t="s">
        <v>1797</v>
      </c>
    </row>
    <row r="1356" spans="1:28" x14ac:dyDescent="0.25">
      <c r="A1356">
        <v>99911355</v>
      </c>
      <c r="B1356" t="s">
        <v>56</v>
      </c>
      <c r="C1356" t="s">
        <v>259</v>
      </c>
      <c r="D1356" t="s">
        <v>260</v>
      </c>
      <c r="G1356" t="s">
        <v>88</v>
      </c>
      <c r="H1356">
        <v>4</v>
      </c>
      <c r="I1356" t="s">
        <v>980</v>
      </c>
      <c r="J1356" s="1">
        <v>43353</v>
      </c>
      <c r="K1356" t="s">
        <v>947</v>
      </c>
      <c r="L1356" t="s">
        <v>948</v>
      </c>
      <c r="M1356" t="s">
        <v>938</v>
      </c>
      <c r="N1356">
        <v>17</v>
      </c>
      <c r="O1356" s="1">
        <v>43353</v>
      </c>
      <c r="P1356" t="s">
        <v>41</v>
      </c>
      <c r="Q1356" t="s">
        <v>953</v>
      </c>
      <c r="R1356" t="str">
        <f>"0610801"</f>
        <v>0610801</v>
      </c>
      <c r="S1356" t="s">
        <v>954</v>
      </c>
      <c r="T1356" t="s">
        <v>947</v>
      </c>
      <c r="U1356" t="s">
        <v>948</v>
      </c>
      <c r="V1356" t="s">
        <v>938</v>
      </c>
      <c r="W1356" t="s">
        <v>44</v>
      </c>
      <c r="X1356" t="s">
        <v>45</v>
      </c>
      <c r="Y1356" s="1">
        <v>26012</v>
      </c>
      <c r="Z1356">
        <v>2</v>
      </c>
      <c r="AA1356" t="s">
        <v>948</v>
      </c>
      <c r="AB1356" s="40" t="s">
        <v>1797</v>
      </c>
    </row>
    <row r="1357" spans="1:28" x14ac:dyDescent="0.25">
      <c r="A1357">
        <v>99911356</v>
      </c>
      <c r="B1357" t="s">
        <v>32</v>
      </c>
      <c r="C1357" t="s">
        <v>64</v>
      </c>
      <c r="D1357" t="s">
        <v>65</v>
      </c>
      <c r="G1357" t="s">
        <v>48</v>
      </c>
      <c r="H1357">
        <v>1</v>
      </c>
      <c r="K1357" t="s">
        <v>268</v>
      </c>
      <c r="L1357" t="s">
        <v>269</v>
      </c>
      <c r="M1357" t="s">
        <v>131</v>
      </c>
      <c r="N1357">
        <v>17</v>
      </c>
      <c r="P1357" t="s">
        <v>41</v>
      </c>
      <c r="Q1357" t="s">
        <v>75</v>
      </c>
      <c r="R1357" t="str">
        <f>"7052044"</f>
        <v>7052044</v>
      </c>
      <c r="S1357" t="s">
        <v>589</v>
      </c>
      <c r="T1357" t="s">
        <v>268</v>
      </c>
      <c r="U1357" t="s">
        <v>269</v>
      </c>
      <c r="V1357" t="s">
        <v>131</v>
      </c>
      <c r="W1357" t="s">
        <v>51</v>
      </c>
      <c r="X1357" t="s">
        <v>45</v>
      </c>
      <c r="Y1357" s="1">
        <v>25881</v>
      </c>
      <c r="Z1357">
        <v>1</v>
      </c>
      <c r="AA1357" t="s">
        <v>269</v>
      </c>
      <c r="AB1357" s="40" t="s">
        <v>1797</v>
      </c>
    </row>
    <row r="1358" spans="1:28" x14ac:dyDescent="0.25">
      <c r="A1358">
        <v>99911357</v>
      </c>
      <c r="B1358" t="s">
        <v>32</v>
      </c>
      <c r="C1358" t="s">
        <v>117</v>
      </c>
      <c r="D1358" t="s">
        <v>118</v>
      </c>
      <c r="G1358" t="s">
        <v>35</v>
      </c>
      <c r="H1358">
        <v>1</v>
      </c>
      <c r="I1358" t="s">
        <v>995</v>
      </c>
      <c r="J1358" s="1">
        <v>43369</v>
      </c>
      <c r="K1358" t="s">
        <v>985</v>
      </c>
      <c r="L1358" t="s">
        <v>986</v>
      </c>
      <c r="M1358" t="s">
        <v>938</v>
      </c>
      <c r="N1358">
        <v>17</v>
      </c>
      <c r="O1358" s="1">
        <v>43369</v>
      </c>
      <c r="P1358" t="s">
        <v>41</v>
      </c>
      <c r="Q1358" t="s">
        <v>75</v>
      </c>
      <c r="R1358" t="str">
        <f>"7011004"</f>
        <v>7011004</v>
      </c>
      <c r="S1358" t="s">
        <v>987</v>
      </c>
      <c r="T1358" t="s">
        <v>985</v>
      </c>
      <c r="U1358" t="s">
        <v>986</v>
      </c>
      <c r="V1358" t="s">
        <v>938</v>
      </c>
      <c r="W1358" t="s">
        <v>51</v>
      </c>
      <c r="X1358" t="s">
        <v>45</v>
      </c>
      <c r="Y1358" s="1">
        <v>25773</v>
      </c>
      <c r="Z1358">
        <v>1</v>
      </c>
      <c r="AA1358" t="s">
        <v>986</v>
      </c>
      <c r="AB1358" s="40" t="s">
        <v>1797</v>
      </c>
    </row>
    <row r="1359" spans="1:28" x14ac:dyDescent="0.25">
      <c r="A1359">
        <v>99911358</v>
      </c>
      <c r="B1359" t="s">
        <v>32</v>
      </c>
      <c r="C1359" t="s">
        <v>61</v>
      </c>
      <c r="D1359" t="s">
        <v>62</v>
      </c>
      <c r="E1359" t="s">
        <v>52</v>
      </c>
      <c r="F1359" t="s">
        <v>53</v>
      </c>
      <c r="G1359" t="s">
        <v>48</v>
      </c>
      <c r="H1359">
        <v>1</v>
      </c>
      <c r="K1359" t="s">
        <v>157</v>
      </c>
      <c r="L1359" t="s">
        <v>158</v>
      </c>
      <c r="M1359" t="s">
        <v>131</v>
      </c>
      <c r="N1359">
        <v>17</v>
      </c>
      <c r="P1359" t="s">
        <v>41</v>
      </c>
      <c r="Q1359" t="s">
        <v>42</v>
      </c>
      <c r="R1359" t="str">
        <f>"0580290"</f>
        <v>0580290</v>
      </c>
      <c r="S1359" t="s">
        <v>171</v>
      </c>
      <c r="T1359" t="s">
        <v>157</v>
      </c>
      <c r="U1359" t="s">
        <v>158</v>
      </c>
      <c r="V1359" t="s">
        <v>131</v>
      </c>
      <c r="W1359" t="s">
        <v>51</v>
      </c>
      <c r="X1359" t="s">
        <v>45</v>
      </c>
      <c r="Y1359" s="1">
        <v>25761</v>
      </c>
      <c r="Z1359">
        <v>2</v>
      </c>
      <c r="AA1359" t="s">
        <v>158</v>
      </c>
      <c r="AB1359" s="40" t="s">
        <v>1797</v>
      </c>
    </row>
    <row r="1360" spans="1:28" x14ac:dyDescent="0.25">
      <c r="A1360">
        <v>99911359</v>
      </c>
      <c r="B1360" t="s">
        <v>32</v>
      </c>
      <c r="C1360" t="s">
        <v>46</v>
      </c>
      <c r="D1360" t="s">
        <v>47</v>
      </c>
      <c r="G1360" t="s">
        <v>48</v>
      </c>
      <c r="H1360">
        <v>13</v>
      </c>
      <c r="K1360" t="s">
        <v>1268</v>
      </c>
      <c r="L1360" t="s">
        <v>1269</v>
      </c>
      <c r="M1360" t="s">
        <v>1270</v>
      </c>
      <c r="N1360">
        <v>17</v>
      </c>
      <c r="P1360" t="s">
        <v>41</v>
      </c>
      <c r="Q1360" t="s">
        <v>42</v>
      </c>
      <c r="R1360" t="str">
        <f>"1990911"</f>
        <v>1990911</v>
      </c>
      <c r="S1360" t="s">
        <v>1276</v>
      </c>
      <c r="T1360" t="s">
        <v>1268</v>
      </c>
      <c r="U1360" t="s">
        <v>1269</v>
      </c>
      <c r="V1360" t="s">
        <v>1270</v>
      </c>
      <c r="W1360" t="s">
        <v>51</v>
      </c>
      <c r="X1360" t="s">
        <v>45</v>
      </c>
      <c r="Y1360" s="1">
        <v>25668</v>
      </c>
      <c r="Z1360">
        <v>2</v>
      </c>
      <c r="AA1360" t="s">
        <v>1269</v>
      </c>
      <c r="AB1360" s="40" t="s">
        <v>1797</v>
      </c>
    </row>
    <row r="1361" spans="1:28" x14ac:dyDescent="0.25">
      <c r="A1361">
        <v>99911360</v>
      </c>
      <c r="B1361" t="s">
        <v>56</v>
      </c>
      <c r="C1361" t="s">
        <v>79</v>
      </c>
      <c r="D1361" t="s">
        <v>80</v>
      </c>
      <c r="G1361" t="s">
        <v>35</v>
      </c>
      <c r="H1361">
        <v>1</v>
      </c>
      <c r="I1361" t="s">
        <v>348</v>
      </c>
      <c r="J1361" s="1">
        <v>43344</v>
      </c>
      <c r="K1361" t="s">
        <v>345</v>
      </c>
      <c r="L1361" t="s">
        <v>346</v>
      </c>
      <c r="M1361" t="s">
        <v>131</v>
      </c>
      <c r="N1361">
        <v>17</v>
      </c>
      <c r="O1361" s="1">
        <v>43344</v>
      </c>
      <c r="P1361" t="s">
        <v>41</v>
      </c>
      <c r="Q1361" t="s">
        <v>49</v>
      </c>
      <c r="R1361" t="str">
        <f>"0581155"</f>
        <v>0581155</v>
      </c>
      <c r="S1361" t="s">
        <v>349</v>
      </c>
      <c r="T1361" t="s">
        <v>345</v>
      </c>
      <c r="U1361" t="s">
        <v>346</v>
      </c>
      <c r="V1361" t="s">
        <v>131</v>
      </c>
      <c r="W1361" t="s">
        <v>51</v>
      </c>
      <c r="X1361" t="s">
        <v>45</v>
      </c>
      <c r="Y1361" s="1">
        <v>25422</v>
      </c>
      <c r="Z1361">
        <v>2</v>
      </c>
      <c r="AA1361" t="s">
        <v>346</v>
      </c>
      <c r="AB1361" s="40" t="s">
        <v>1797</v>
      </c>
    </row>
    <row r="1362" spans="1:28" x14ac:dyDescent="0.25">
      <c r="A1362">
        <v>99911361</v>
      </c>
      <c r="B1362" t="s">
        <v>56</v>
      </c>
      <c r="C1362" t="s">
        <v>68</v>
      </c>
      <c r="D1362" t="s">
        <v>69</v>
      </c>
      <c r="G1362" t="s">
        <v>48</v>
      </c>
      <c r="H1362">
        <v>1</v>
      </c>
      <c r="K1362" t="s">
        <v>162</v>
      </c>
      <c r="L1362" t="s">
        <v>158</v>
      </c>
      <c r="M1362" t="s">
        <v>131</v>
      </c>
      <c r="N1362">
        <v>17</v>
      </c>
      <c r="P1362" t="s">
        <v>41</v>
      </c>
      <c r="Q1362" t="s">
        <v>42</v>
      </c>
      <c r="R1362" t="str">
        <f>"0580310"</f>
        <v>0580310</v>
      </c>
      <c r="S1362" t="s">
        <v>173</v>
      </c>
      <c r="T1362" t="s">
        <v>162</v>
      </c>
      <c r="U1362" t="s">
        <v>158</v>
      </c>
      <c r="V1362" t="s">
        <v>131</v>
      </c>
      <c r="W1362" t="s">
        <v>51</v>
      </c>
      <c r="X1362" t="s">
        <v>45</v>
      </c>
      <c r="Y1362" s="1">
        <v>25383</v>
      </c>
      <c r="Z1362">
        <v>2</v>
      </c>
      <c r="AA1362" t="s">
        <v>158</v>
      </c>
      <c r="AB1362" s="40" t="s">
        <v>1797</v>
      </c>
    </row>
    <row r="1363" spans="1:28" x14ac:dyDescent="0.25">
      <c r="A1363">
        <v>99911362</v>
      </c>
      <c r="B1363" t="s">
        <v>32</v>
      </c>
      <c r="C1363" t="s">
        <v>79</v>
      </c>
      <c r="D1363" t="s">
        <v>80</v>
      </c>
      <c r="G1363" t="s">
        <v>48</v>
      </c>
      <c r="H1363">
        <v>1</v>
      </c>
      <c r="K1363" t="s">
        <v>268</v>
      </c>
      <c r="L1363" t="s">
        <v>269</v>
      </c>
      <c r="M1363" t="s">
        <v>131</v>
      </c>
      <c r="N1363">
        <v>17</v>
      </c>
      <c r="P1363" t="s">
        <v>41</v>
      </c>
      <c r="Q1363" t="s">
        <v>75</v>
      </c>
      <c r="R1363" t="str">
        <f>"7052008"</f>
        <v>7052008</v>
      </c>
      <c r="S1363" t="s">
        <v>274</v>
      </c>
      <c r="T1363" t="s">
        <v>268</v>
      </c>
      <c r="U1363" t="s">
        <v>269</v>
      </c>
      <c r="V1363" t="s">
        <v>131</v>
      </c>
      <c r="W1363" t="s">
        <v>51</v>
      </c>
      <c r="X1363" t="s">
        <v>45</v>
      </c>
      <c r="Y1363" s="1">
        <v>24860</v>
      </c>
      <c r="Z1363">
        <v>1</v>
      </c>
      <c r="AA1363" t="s">
        <v>269</v>
      </c>
      <c r="AB1363" s="40" t="s">
        <v>1797</v>
      </c>
    </row>
    <row r="1364" spans="1:28" x14ac:dyDescent="0.25">
      <c r="A1364">
        <v>99911363</v>
      </c>
      <c r="B1364" t="s">
        <v>32</v>
      </c>
      <c r="C1364" t="s">
        <v>68</v>
      </c>
      <c r="D1364" t="s">
        <v>69</v>
      </c>
      <c r="G1364" t="s">
        <v>35</v>
      </c>
      <c r="H1364">
        <v>1</v>
      </c>
      <c r="K1364" t="s">
        <v>300</v>
      </c>
      <c r="L1364" t="s">
        <v>301</v>
      </c>
      <c r="M1364" t="s">
        <v>131</v>
      </c>
      <c r="N1364">
        <v>17</v>
      </c>
      <c r="P1364" t="s">
        <v>41</v>
      </c>
      <c r="Q1364" t="s">
        <v>49</v>
      </c>
      <c r="R1364" t="str">
        <f>"0560002"</f>
        <v>0560002</v>
      </c>
      <c r="S1364" t="s">
        <v>315</v>
      </c>
      <c r="T1364" t="s">
        <v>300</v>
      </c>
      <c r="U1364" t="s">
        <v>301</v>
      </c>
      <c r="V1364" t="s">
        <v>131</v>
      </c>
      <c r="W1364" t="s">
        <v>165</v>
      </c>
      <c r="X1364" t="s">
        <v>45</v>
      </c>
      <c r="Y1364" s="1">
        <v>24759</v>
      </c>
      <c r="Z1364">
        <v>2</v>
      </c>
      <c r="AA1364" t="s">
        <v>301</v>
      </c>
      <c r="AB1364" s="40" t="s">
        <v>1797</v>
      </c>
    </row>
    <row r="1365" spans="1:28" x14ac:dyDescent="0.25">
      <c r="A1365">
        <v>99911364</v>
      </c>
      <c r="B1365" t="s">
        <v>56</v>
      </c>
      <c r="C1365" t="s">
        <v>33</v>
      </c>
      <c r="D1365" t="s">
        <v>34</v>
      </c>
      <c r="G1365" t="s">
        <v>35</v>
      </c>
      <c r="H1365">
        <v>1</v>
      </c>
      <c r="J1365" s="1">
        <v>38230</v>
      </c>
      <c r="K1365" t="s">
        <v>1336</v>
      </c>
      <c r="L1365" t="s">
        <v>1337</v>
      </c>
      <c r="M1365" t="s">
        <v>1270</v>
      </c>
      <c r="N1365">
        <v>17</v>
      </c>
      <c r="O1365" s="1">
        <v>38230</v>
      </c>
      <c r="P1365" t="s">
        <v>41</v>
      </c>
      <c r="Q1365" t="s">
        <v>49</v>
      </c>
      <c r="R1365" t="str">
        <f>"4475075"</f>
        <v>4475075</v>
      </c>
      <c r="S1365" t="s">
        <v>1339</v>
      </c>
      <c r="T1365" t="s">
        <v>1336</v>
      </c>
      <c r="U1365" t="s">
        <v>1337</v>
      </c>
      <c r="V1365" t="s">
        <v>1270</v>
      </c>
      <c r="W1365" t="s">
        <v>51</v>
      </c>
      <c r="X1365" t="s">
        <v>45</v>
      </c>
      <c r="Y1365" s="1">
        <v>24682</v>
      </c>
      <c r="Z1365">
        <v>2</v>
      </c>
      <c r="AA1365" t="s">
        <v>1337</v>
      </c>
      <c r="AB1365" s="40" t="s">
        <v>1797</v>
      </c>
    </row>
    <row r="1366" spans="1:28" x14ac:dyDescent="0.25">
      <c r="A1366">
        <v>99911365</v>
      </c>
      <c r="B1366" t="s">
        <v>32</v>
      </c>
      <c r="C1366" t="s">
        <v>46</v>
      </c>
      <c r="D1366" t="s">
        <v>47</v>
      </c>
      <c r="G1366" t="s">
        <v>48</v>
      </c>
      <c r="H1366">
        <v>1</v>
      </c>
      <c r="K1366" t="s">
        <v>162</v>
      </c>
      <c r="L1366" t="s">
        <v>158</v>
      </c>
      <c r="M1366" t="s">
        <v>131</v>
      </c>
      <c r="N1366">
        <v>17</v>
      </c>
      <c r="P1366" t="s">
        <v>41</v>
      </c>
      <c r="Q1366" t="s">
        <v>49</v>
      </c>
      <c r="R1366" t="str">
        <f>"0560027"</f>
        <v>0560027</v>
      </c>
      <c r="S1366" t="s">
        <v>178</v>
      </c>
      <c r="T1366" t="s">
        <v>162</v>
      </c>
      <c r="U1366" t="s">
        <v>158</v>
      </c>
      <c r="V1366" t="s">
        <v>131</v>
      </c>
      <c r="W1366" t="s">
        <v>51</v>
      </c>
      <c r="X1366" t="s">
        <v>45</v>
      </c>
      <c r="Y1366" s="1">
        <v>24647</v>
      </c>
      <c r="Z1366">
        <v>2</v>
      </c>
      <c r="AA1366" t="s">
        <v>158</v>
      </c>
      <c r="AB1366" s="40" t="s">
        <v>1797</v>
      </c>
    </row>
    <row r="1367" spans="1:28" x14ac:dyDescent="0.25">
      <c r="A1367">
        <v>99911366</v>
      </c>
      <c r="B1367" t="s">
        <v>56</v>
      </c>
      <c r="C1367" t="s">
        <v>52</v>
      </c>
      <c r="D1367" t="s">
        <v>53</v>
      </c>
      <c r="G1367" t="s">
        <v>48</v>
      </c>
      <c r="H1367">
        <v>1</v>
      </c>
      <c r="K1367" t="s">
        <v>223</v>
      </c>
      <c r="L1367" t="s">
        <v>224</v>
      </c>
      <c r="M1367" t="s">
        <v>131</v>
      </c>
      <c r="N1367">
        <v>17</v>
      </c>
      <c r="P1367" t="s">
        <v>41</v>
      </c>
      <c r="Q1367" t="s">
        <v>42</v>
      </c>
      <c r="R1367" t="str">
        <f>"0580207"</f>
        <v>0580207</v>
      </c>
      <c r="S1367" t="s">
        <v>229</v>
      </c>
      <c r="T1367" t="s">
        <v>223</v>
      </c>
      <c r="U1367" t="s">
        <v>224</v>
      </c>
      <c r="V1367" t="s">
        <v>131</v>
      </c>
      <c r="W1367" t="s">
        <v>51</v>
      </c>
      <c r="X1367" t="s">
        <v>45</v>
      </c>
      <c r="Y1367" s="1">
        <v>24359</v>
      </c>
      <c r="Z1367">
        <v>2</v>
      </c>
      <c r="AA1367" t="s">
        <v>224</v>
      </c>
      <c r="AB1367" s="40" t="s">
        <v>1797</v>
      </c>
    </row>
    <row r="1368" spans="1:28" x14ac:dyDescent="0.25">
      <c r="A1368">
        <v>99911367</v>
      </c>
      <c r="B1368" t="s">
        <v>32</v>
      </c>
      <c r="C1368" t="s">
        <v>52</v>
      </c>
      <c r="D1368" t="s">
        <v>53</v>
      </c>
      <c r="G1368" t="s">
        <v>35</v>
      </c>
      <c r="H1368">
        <v>1</v>
      </c>
      <c r="K1368" t="s">
        <v>223</v>
      </c>
      <c r="L1368" t="s">
        <v>224</v>
      </c>
      <c r="M1368" t="s">
        <v>131</v>
      </c>
      <c r="N1368">
        <v>17</v>
      </c>
      <c r="P1368" t="s">
        <v>41</v>
      </c>
      <c r="Q1368" t="s">
        <v>42</v>
      </c>
      <c r="R1368" t="str">
        <f>"0590902"</f>
        <v>0590902</v>
      </c>
      <c r="S1368" t="s">
        <v>241</v>
      </c>
      <c r="T1368" t="s">
        <v>223</v>
      </c>
      <c r="U1368" t="s">
        <v>224</v>
      </c>
      <c r="V1368" t="s">
        <v>131</v>
      </c>
      <c r="W1368" t="s">
        <v>51</v>
      </c>
      <c r="X1368" t="s">
        <v>45</v>
      </c>
      <c r="Y1368" s="1">
        <v>24347</v>
      </c>
      <c r="Z1368">
        <v>2</v>
      </c>
      <c r="AA1368" t="s">
        <v>224</v>
      </c>
      <c r="AB1368" s="40" t="s">
        <v>1797</v>
      </c>
    </row>
    <row r="1369" spans="1:28" x14ac:dyDescent="0.25">
      <c r="A1369">
        <v>99911368</v>
      </c>
      <c r="B1369" t="s">
        <v>32</v>
      </c>
      <c r="C1369" t="s">
        <v>33</v>
      </c>
      <c r="D1369" t="s">
        <v>34</v>
      </c>
      <c r="G1369" t="s">
        <v>48</v>
      </c>
      <c r="H1369">
        <v>1</v>
      </c>
      <c r="K1369" t="s">
        <v>223</v>
      </c>
      <c r="L1369" t="s">
        <v>224</v>
      </c>
      <c r="M1369" t="s">
        <v>131</v>
      </c>
      <c r="N1369">
        <v>17</v>
      </c>
      <c r="P1369" t="s">
        <v>41</v>
      </c>
      <c r="Q1369" t="s">
        <v>42</v>
      </c>
      <c r="R1369" t="str">
        <f>"0580265"</f>
        <v>0580265</v>
      </c>
      <c r="S1369" t="s">
        <v>231</v>
      </c>
      <c r="T1369" t="s">
        <v>223</v>
      </c>
      <c r="U1369" t="s">
        <v>224</v>
      </c>
      <c r="V1369" t="s">
        <v>131</v>
      </c>
      <c r="W1369" t="s">
        <v>51</v>
      </c>
      <c r="X1369" t="s">
        <v>45</v>
      </c>
      <c r="Y1369" s="1">
        <v>23792</v>
      </c>
      <c r="Z1369">
        <v>2</v>
      </c>
      <c r="AA1369" t="s">
        <v>224</v>
      </c>
      <c r="AB1369" s="40" t="s">
        <v>1797</v>
      </c>
    </row>
    <row r="1370" spans="1:28" x14ac:dyDescent="0.25">
      <c r="A1370">
        <v>99911369</v>
      </c>
      <c r="B1370" t="s">
        <v>32</v>
      </c>
      <c r="C1370" t="s">
        <v>52</v>
      </c>
      <c r="D1370" t="s">
        <v>53</v>
      </c>
      <c r="G1370" t="s">
        <v>35</v>
      </c>
      <c r="H1370">
        <v>1</v>
      </c>
      <c r="I1370">
        <v>13814</v>
      </c>
      <c r="J1370" s="1">
        <v>43355</v>
      </c>
      <c r="K1370" t="s">
        <v>345</v>
      </c>
      <c r="L1370" t="s">
        <v>346</v>
      </c>
      <c r="M1370" t="s">
        <v>131</v>
      </c>
      <c r="N1370">
        <v>17</v>
      </c>
      <c r="O1370" s="1">
        <v>43355</v>
      </c>
      <c r="P1370" t="s">
        <v>41</v>
      </c>
      <c r="Q1370" t="s">
        <v>49</v>
      </c>
      <c r="R1370" t="str">
        <f>"0581605"</f>
        <v>0581605</v>
      </c>
      <c r="S1370" t="s">
        <v>366</v>
      </c>
      <c r="T1370" t="s">
        <v>345</v>
      </c>
      <c r="U1370" t="s">
        <v>346</v>
      </c>
      <c r="V1370" t="s">
        <v>131</v>
      </c>
      <c r="W1370" t="s">
        <v>51</v>
      </c>
      <c r="X1370" t="s">
        <v>45</v>
      </c>
      <c r="Y1370" s="1">
        <v>23707</v>
      </c>
      <c r="Z1370">
        <v>2</v>
      </c>
      <c r="AA1370" t="s">
        <v>346</v>
      </c>
      <c r="AB1370" s="40" t="s">
        <v>1797</v>
      </c>
    </row>
    <row r="1371" spans="1:28" x14ac:dyDescent="0.25">
      <c r="A1371">
        <v>99911370</v>
      </c>
      <c r="B1371" t="s">
        <v>32</v>
      </c>
      <c r="C1371" t="s">
        <v>71</v>
      </c>
      <c r="D1371" t="s">
        <v>72</v>
      </c>
      <c r="G1371" t="s">
        <v>48</v>
      </c>
      <c r="H1371">
        <v>1</v>
      </c>
      <c r="K1371" t="s">
        <v>1051</v>
      </c>
      <c r="L1371" t="s">
        <v>1052</v>
      </c>
      <c r="M1371" t="s">
        <v>1053</v>
      </c>
      <c r="N1371">
        <v>17</v>
      </c>
      <c r="P1371" t="s">
        <v>41</v>
      </c>
      <c r="Q1371" t="s">
        <v>49</v>
      </c>
      <c r="R1371" t="str">
        <f>"2080025"</f>
        <v>2080025</v>
      </c>
      <c r="S1371" t="s">
        <v>1057</v>
      </c>
      <c r="T1371" t="s">
        <v>1051</v>
      </c>
      <c r="U1371" t="s">
        <v>1052</v>
      </c>
      <c r="V1371" t="s">
        <v>1053</v>
      </c>
      <c r="W1371" t="s">
        <v>51</v>
      </c>
      <c r="X1371" t="s">
        <v>45</v>
      </c>
      <c r="Y1371" s="1">
        <v>23298</v>
      </c>
      <c r="Z1371">
        <v>2</v>
      </c>
      <c r="AA1371" t="s">
        <v>1052</v>
      </c>
      <c r="AB1371" s="40" t="s">
        <v>1797</v>
      </c>
    </row>
    <row r="1372" spans="1:28" x14ac:dyDescent="0.25">
      <c r="A1372">
        <v>99911371</v>
      </c>
      <c r="B1372" t="s">
        <v>56</v>
      </c>
      <c r="C1372" t="s">
        <v>68</v>
      </c>
      <c r="D1372" t="s">
        <v>69</v>
      </c>
      <c r="G1372" t="s">
        <v>35</v>
      </c>
      <c r="H1372">
        <v>1</v>
      </c>
      <c r="J1372" s="1">
        <v>38230</v>
      </c>
      <c r="K1372" t="s">
        <v>1336</v>
      </c>
      <c r="L1372" t="s">
        <v>1337</v>
      </c>
      <c r="M1372" t="s">
        <v>1270</v>
      </c>
      <c r="N1372">
        <v>17</v>
      </c>
      <c r="O1372" s="1">
        <v>38230</v>
      </c>
      <c r="P1372" t="s">
        <v>41</v>
      </c>
      <c r="Q1372" t="s">
        <v>42</v>
      </c>
      <c r="R1372" t="str">
        <f>"4475070"</f>
        <v>4475070</v>
      </c>
      <c r="S1372" t="s">
        <v>1338</v>
      </c>
      <c r="T1372" t="s">
        <v>1336</v>
      </c>
      <c r="U1372" t="s">
        <v>1337</v>
      </c>
      <c r="V1372" t="s">
        <v>1270</v>
      </c>
      <c r="W1372" t="s">
        <v>51</v>
      </c>
      <c r="X1372" t="s">
        <v>45</v>
      </c>
      <c r="Y1372" s="1">
        <v>22796</v>
      </c>
      <c r="Z1372">
        <v>2</v>
      </c>
      <c r="AA1372" t="s">
        <v>1337</v>
      </c>
      <c r="AB1372" s="40" t="s">
        <v>1797</v>
      </c>
    </row>
    <row r="1373" spans="1:28" x14ac:dyDescent="0.25">
      <c r="A1373">
        <v>99911372</v>
      </c>
      <c r="B1373" t="s">
        <v>56</v>
      </c>
      <c r="C1373" t="s">
        <v>68</v>
      </c>
      <c r="D1373" t="s">
        <v>69</v>
      </c>
      <c r="G1373" t="s">
        <v>48</v>
      </c>
      <c r="H1373">
        <v>1</v>
      </c>
      <c r="K1373" t="s">
        <v>380</v>
      </c>
      <c r="L1373" t="s">
        <v>381</v>
      </c>
      <c r="M1373" t="s">
        <v>131</v>
      </c>
      <c r="N1373">
        <v>17</v>
      </c>
      <c r="P1373" t="s">
        <v>41</v>
      </c>
      <c r="Q1373" t="s">
        <v>42</v>
      </c>
      <c r="R1373" t="str">
        <f>"0561010"</f>
        <v>0561010</v>
      </c>
      <c r="S1373" t="s">
        <v>387</v>
      </c>
      <c r="T1373" t="s">
        <v>380</v>
      </c>
      <c r="U1373" t="s">
        <v>381</v>
      </c>
      <c r="V1373" t="s">
        <v>131</v>
      </c>
      <c r="W1373" t="s">
        <v>51</v>
      </c>
      <c r="X1373" t="s">
        <v>45</v>
      </c>
      <c r="Y1373" s="1">
        <v>22780</v>
      </c>
      <c r="Z1373">
        <v>2</v>
      </c>
      <c r="AA1373" t="s">
        <v>381</v>
      </c>
      <c r="AB1373" s="40" t="s">
        <v>1797</v>
      </c>
    </row>
    <row r="1374" spans="1:28" x14ac:dyDescent="0.25">
      <c r="A1374">
        <v>99911373</v>
      </c>
      <c r="B1374" t="s">
        <v>32</v>
      </c>
      <c r="C1374" t="s">
        <v>64</v>
      </c>
      <c r="D1374" t="s">
        <v>65</v>
      </c>
      <c r="G1374" t="s">
        <v>35</v>
      </c>
      <c r="H1374">
        <v>13</v>
      </c>
      <c r="K1374" t="s">
        <v>268</v>
      </c>
      <c r="L1374" t="s">
        <v>269</v>
      </c>
      <c r="M1374" t="s">
        <v>131</v>
      </c>
      <c r="N1374">
        <v>17</v>
      </c>
      <c r="P1374" t="s">
        <v>41</v>
      </c>
      <c r="Q1374" t="s">
        <v>75</v>
      </c>
      <c r="R1374" t="str">
        <f>"7052002"</f>
        <v>7052002</v>
      </c>
      <c r="S1374" t="s">
        <v>590</v>
      </c>
      <c r="T1374" t="s">
        <v>268</v>
      </c>
      <c r="U1374" t="s">
        <v>269</v>
      </c>
      <c r="V1374" t="s">
        <v>131</v>
      </c>
      <c r="W1374" t="s">
        <v>51</v>
      </c>
      <c r="X1374" t="s">
        <v>45</v>
      </c>
      <c r="Y1374" s="1">
        <v>22555</v>
      </c>
      <c r="Z1374">
        <v>1</v>
      </c>
      <c r="AA1374" t="s">
        <v>269</v>
      </c>
      <c r="AB1374" s="40" t="s">
        <v>1797</v>
      </c>
    </row>
    <row r="1375" spans="1:28" x14ac:dyDescent="0.25">
      <c r="A1375">
        <v>99911374</v>
      </c>
      <c r="B1375" t="s">
        <v>56</v>
      </c>
      <c r="C1375" t="s">
        <v>68</v>
      </c>
      <c r="D1375" t="s">
        <v>69</v>
      </c>
      <c r="G1375" t="s">
        <v>35</v>
      </c>
      <c r="H1375">
        <v>1</v>
      </c>
      <c r="K1375" t="s">
        <v>223</v>
      </c>
      <c r="L1375" t="s">
        <v>224</v>
      </c>
      <c r="M1375" t="s">
        <v>131</v>
      </c>
      <c r="N1375">
        <v>17</v>
      </c>
      <c r="P1375" t="s">
        <v>41</v>
      </c>
      <c r="Q1375" t="s">
        <v>42</v>
      </c>
      <c r="R1375" t="str">
        <f>"0590901"</f>
        <v>0590901</v>
      </c>
      <c r="S1375" t="s">
        <v>242</v>
      </c>
      <c r="T1375" t="s">
        <v>223</v>
      </c>
      <c r="U1375" t="s">
        <v>224</v>
      </c>
      <c r="V1375" t="s">
        <v>131</v>
      </c>
      <c r="W1375" t="s">
        <v>165</v>
      </c>
      <c r="X1375" t="s">
        <v>45</v>
      </c>
      <c r="Y1375" s="1">
        <v>22364</v>
      </c>
      <c r="Z1375">
        <v>2</v>
      </c>
      <c r="AA1375" t="s">
        <v>224</v>
      </c>
      <c r="AB1375" s="40" t="s">
        <v>1797</v>
      </c>
    </row>
    <row r="1376" spans="1:28" x14ac:dyDescent="0.25">
      <c r="A1376">
        <v>99911375</v>
      </c>
      <c r="B1376" t="s">
        <v>56</v>
      </c>
      <c r="C1376" t="s">
        <v>79</v>
      </c>
      <c r="D1376" t="s">
        <v>80</v>
      </c>
      <c r="G1376" t="s">
        <v>35</v>
      </c>
      <c r="H1376">
        <v>1</v>
      </c>
      <c r="K1376" t="s">
        <v>223</v>
      </c>
      <c r="L1376" t="s">
        <v>224</v>
      </c>
      <c r="M1376" t="s">
        <v>131</v>
      </c>
      <c r="N1376">
        <v>17</v>
      </c>
      <c r="P1376" t="s">
        <v>41</v>
      </c>
      <c r="Q1376" t="s">
        <v>49</v>
      </c>
      <c r="R1376" t="str">
        <f>"0591901"</f>
        <v>0591901</v>
      </c>
      <c r="S1376" t="s">
        <v>230</v>
      </c>
      <c r="T1376" t="s">
        <v>223</v>
      </c>
      <c r="U1376" t="s">
        <v>224</v>
      </c>
      <c r="V1376" t="s">
        <v>131</v>
      </c>
      <c r="W1376" t="s">
        <v>165</v>
      </c>
      <c r="X1376" t="s">
        <v>45</v>
      </c>
      <c r="Y1376" s="1">
        <v>22088</v>
      </c>
      <c r="Z1376">
        <v>2</v>
      </c>
      <c r="AA1376" t="s">
        <v>224</v>
      </c>
      <c r="AB1376" s="40" t="s">
        <v>1797</v>
      </c>
    </row>
    <row r="1377" spans="1:28" x14ac:dyDescent="0.25">
      <c r="A1377">
        <v>99911376</v>
      </c>
      <c r="B1377" t="s">
        <v>32</v>
      </c>
      <c r="C1377" t="s">
        <v>61</v>
      </c>
      <c r="D1377" t="s">
        <v>62</v>
      </c>
      <c r="G1377" t="s">
        <v>35</v>
      </c>
      <c r="H1377">
        <v>1</v>
      </c>
      <c r="K1377" t="s">
        <v>877</v>
      </c>
      <c r="L1377" t="s">
        <v>878</v>
      </c>
      <c r="M1377" t="s">
        <v>131</v>
      </c>
      <c r="N1377">
        <v>17</v>
      </c>
      <c r="P1377" t="s">
        <v>41</v>
      </c>
      <c r="Q1377" t="s">
        <v>75</v>
      </c>
      <c r="R1377" t="str">
        <f>"7700025"</f>
        <v>7700025</v>
      </c>
      <c r="S1377" t="s">
        <v>880</v>
      </c>
      <c r="T1377" t="s">
        <v>877</v>
      </c>
      <c r="U1377" t="s">
        <v>878</v>
      </c>
      <c r="V1377" t="s">
        <v>131</v>
      </c>
      <c r="W1377" t="s">
        <v>51</v>
      </c>
      <c r="X1377" t="s">
        <v>45</v>
      </c>
      <c r="Y1377" s="1">
        <v>22088</v>
      </c>
      <c r="Z1377">
        <v>1</v>
      </c>
      <c r="AA1377" t="s">
        <v>878</v>
      </c>
      <c r="AB1377" s="40" t="s">
        <v>1797</v>
      </c>
    </row>
    <row r="1378" spans="1:28" x14ac:dyDescent="0.25">
      <c r="A1378">
        <v>99911377</v>
      </c>
      <c r="B1378" t="s">
        <v>32</v>
      </c>
      <c r="C1378" t="s">
        <v>143</v>
      </c>
      <c r="D1378" t="s">
        <v>144</v>
      </c>
      <c r="G1378" t="s">
        <v>48</v>
      </c>
      <c r="H1378">
        <v>1</v>
      </c>
      <c r="K1378" t="s">
        <v>223</v>
      </c>
      <c r="L1378" t="s">
        <v>224</v>
      </c>
      <c r="M1378" t="s">
        <v>131</v>
      </c>
      <c r="N1378">
        <v>17</v>
      </c>
      <c r="P1378" t="s">
        <v>41</v>
      </c>
      <c r="Q1378" t="s">
        <v>49</v>
      </c>
      <c r="R1378" t="str">
        <f>"0581200"</f>
        <v>0581200</v>
      </c>
      <c r="S1378" t="s">
        <v>238</v>
      </c>
      <c r="T1378" t="s">
        <v>223</v>
      </c>
      <c r="U1378" t="s">
        <v>224</v>
      </c>
      <c r="V1378" t="s">
        <v>131</v>
      </c>
      <c r="W1378" t="s">
        <v>51</v>
      </c>
      <c r="X1378" t="s">
        <v>45</v>
      </c>
      <c r="Y1378" s="1">
        <v>22056</v>
      </c>
      <c r="Z1378">
        <v>2</v>
      </c>
      <c r="AA1378" t="s">
        <v>224</v>
      </c>
      <c r="AB1378" s="40" t="s">
        <v>1797</v>
      </c>
    </row>
    <row r="1379" spans="1:28" x14ac:dyDescent="0.25">
      <c r="A1379">
        <v>99911378</v>
      </c>
      <c r="B1379" t="s">
        <v>32</v>
      </c>
      <c r="C1379" t="s">
        <v>64</v>
      </c>
      <c r="D1379" t="s">
        <v>65</v>
      </c>
      <c r="G1379" t="s">
        <v>48</v>
      </c>
      <c r="H1379">
        <v>1</v>
      </c>
      <c r="K1379" t="s">
        <v>223</v>
      </c>
      <c r="L1379" t="s">
        <v>224</v>
      </c>
      <c r="M1379" t="s">
        <v>131</v>
      </c>
      <c r="N1379">
        <v>17</v>
      </c>
      <c r="P1379" t="s">
        <v>41</v>
      </c>
      <c r="Q1379" t="s">
        <v>49</v>
      </c>
      <c r="R1379" t="str">
        <f>"0581200"</f>
        <v>0581200</v>
      </c>
      <c r="S1379" t="s">
        <v>238</v>
      </c>
      <c r="T1379" t="s">
        <v>223</v>
      </c>
      <c r="U1379" t="s">
        <v>224</v>
      </c>
      <c r="V1379" t="s">
        <v>131</v>
      </c>
      <c r="W1379" t="s">
        <v>51</v>
      </c>
      <c r="X1379" t="s">
        <v>45</v>
      </c>
      <c r="Y1379" s="1">
        <v>21436</v>
      </c>
      <c r="Z1379">
        <v>2</v>
      </c>
      <c r="AA1379" t="s">
        <v>224</v>
      </c>
      <c r="AB1379" s="40" t="s">
        <v>1797</v>
      </c>
    </row>
    <row r="1380" spans="1:28" x14ac:dyDescent="0.25">
      <c r="A1380">
        <v>99911379</v>
      </c>
      <c r="B1380" t="s">
        <v>32</v>
      </c>
      <c r="C1380" t="s">
        <v>64</v>
      </c>
      <c r="D1380" t="s">
        <v>65</v>
      </c>
      <c r="G1380" t="s">
        <v>35</v>
      </c>
      <c r="H1380">
        <v>1</v>
      </c>
      <c r="K1380" t="s">
        <v>223</v>
      </c>
      <c r="L1380" t="s">
        <v>224</v>
      </c>
      <c r="M1380" t="s">
        <v>131</v>
      </c>
      <c r="N1380">
        <v>17</v>
      </c>
      <c r="P1380" t="s">
        <v>41</v>
      </c>
      <c r="Q1380" t="s">
        <v>49</v>
      </c>
      <c r="R1380" t="str">
        <f>"0591901"</f>
        <v>0591901</v>
      </c>
      <c r="S1380" t="s">
        <v>230</v>
      </c>
      <c r="T1380" t="s">
        <v>223</v>
      </c>
      <c r="U1380" t="s">
        <v>224</v>
      </c>
      <c r="V1380" t="s">
        <v>131</v>
      </c>
      <c r="W1380" t="s">
        <v>51</v>
      </c>
      <c r="X1380" t="s">
        <v>45</v>
      </c>
      <c r="Y1380" s="1">
        <v>21415</v>
      </c>
      <c r="Z1380">
        <v>2</v>
      </c>
      <c r="AA1380" t="s">
        <v>224</v>
      </c>
      <c r="AB1380" s="40" t="s">
        <v>1797</v>
      </c>
    </row>
    <row r="1381" spans="1:28" x14ac:dyDescent="0.25">
      <c r="A1381">
        <v>99911380</v>
      </c>
      <c r="B1381" t="s">
        <v>56</v>
      </c>
      <c r="C1381" t="s">
        <v>68</v>
      </c>
      <c r="D1381" t="s">
        <v>69</v>
      </c>
      <c r="G1381" t="s">
        <v>48</v>
      </c>
      <c r="H1381">
        <v>1</v>
      </c>
      <c r="K1381" t="s">
        <v>300</v>
      </c>
      <c r="L1381" t="s">
        <v>301</v>
      </c>
      <c r="M1381" t="s">
        <v>131</v>
      </c>
      <c r="N1381">
        <v>17</v>
      </c>
      <c r="P1381" t="s">
        <v>41</v>
      </c>
      <c r="Q1381" t="s">
        <v>42</v>
      </c>
      <c r="R1381" t="str">
        <f>"0580176"</f>
        <v>0580176</v>
      </c>
      <c r="S1381" t="s">
        <v>305</v>
      </c>
      <c r="T1381" t="s">
        <v>300</v>
      </c>
      <c r="U1381" t="s">
        <v>301</v>
      </c>
      <c r="V1381" t="s">
        <v>131</v>
      </c>
      <c r="W1381" t="s">
        <v>51</v>
      </c>
      <c r="X1381" t="s">
        <v>45</v>
      </c>
      <c r="Y1381" s="1">
        <v>21232</v>
      </c>
      <c r="Z1381">
        <v>2</v>
      </c>
      <c r="AA1381" t="s">
        <v>301</v>
      </c>
      <c r="AB1381" s="40" t="s">
        <v>1797</v>
      </c>
    </row>
    <row r="1382" spans="1:28" x14ac:dyDescent="0.25">
      <c r="A1382">
        <v>99911381</v>
      </c>
      <c r="B1382" t="s">
        <v>56</v>
      </c>
      <c r="C1382" t="s">
        <v>68</v>
      </c>
      <c r="D1382" t="s">
        <v>69</v>
      </c>
      <c r="G1382" t="s">
        <v>48</v>
      </c>
      <c r="H1382">
        <v>1</v>
      </c>
      <c r="K1382" t="s">
        <v>380</v>
      </c>
      <c r="L1382" t="s">
        <v>381</v>
      </c>
      <c r="M1382" t="s">
        <v>131</v>
      </c>
      <c r="N1382">
        <v>17</v>
      </c>
      <c r="P1382" t="s">
        <v>41</v>
      </c>
      <c r="Q1382" t="s">
        <v>49</v>
      </c>
      <c r="R1382" t="str">
        <f>"0591908"</f>
        <v>0591908</v>
      </c>
      <c r="S1382" t="s">
        <v>383</v>
      </c>
      <c r="T1382" t="s">
        <v>380</v>
      </c>
      <c r="U1382" t="s">
        <v>381</v>
      </c>
      <c r="V1382" t="s">
        <v>131</v>
      </c>
      <c r="W1382" t="s">
        <v>51</v>
      </c>
      <c r="X1382" t="s">
        <v>45</v>
      </c>
      <c r="Y1382" s="1">
        <v>20136</v>
      </c>
      <c r="Z1382">
        <v>2</v>
      </c>
      <c r="AA1382" t="s">
        <v>381</v>
      </c>
      <c r="AB1382" s="40" t="s">
        <v>1797</v>
      </c>
    </row>
    <row r="1383" spans="1:28" x14ac:dyDescent="0.25">
      <c r="A1383">
        <v>99911382</v>
      </c>
      <c r="B1383" t="s">
        <v>32</v>
      </c>
      <c r="C1383" t="s">
        <v>64</v>
      </c>
      <c r="D1383" t="s">
        <v>65</v>
      </c>
      <c r="G1383" t="s">
        <v>35</v>
      </c>
      <c r="H1383">
        <v>1</v>
      </c>
      <c r="K1383" t="s">
        <v>157</v>
      </c>
      <c r="L1383" t="s">
        <v>158</v>
      </c>
      <c r="M1383" t="s">
        <v>131</v>
      </c>
      <c r="N1383">
        <v>17</v>
      </c>
      <c r="P1383" t="s">
        <v>41</v>
      </c>
      <c r="Q1383" t="s">
        <v>42</v>
      </c>
      <c r="R1383" t="str">
        <f>"0561005"</f>
        <v>0561005</v>
      </c>
      <c r="S1383" t="s">
        <v>174</v>
      </c>
      <c r="T1383" t="s">
        <v>157</v>
      </c>
      <c r="U1383" t="s">
        <v>158</v>
      </c>
      <c r="V1383" t="s">
        <v>131</v>
      </c>
      <c r="W1383" t="s">
        <v>51</v>
      </c>
      <c r="X1383" t="s">
        <v>45</v>
      </c>
      <c r="Z1383">
        <v>2</v>
      </c>
      <c r="AA1383" t="s">
        <v>158</v>
      </c>
      <c r="AB1383" s="40" t="s">
        <v>1797</v>
      </c>
    </row>
    <row r="1384" spans="1:28" x14ac:dyDescent="0.25">
      <c r="A1384">
        <v>99911383</v>
      </c>
      <c r="B1384" t="s">
        <v>32</v>
      </c>
      <c r="C1384" t="s">
        <v>46</v>
      </c>
      <c r="D1384" t="s">
        <v>47</v>
      </c>
      <c r="G1384" t="s">
        <v>35</v>
      </c>
      <c r="H1384">
        <v>1</v>
      </c>
      <c r="K1384" t="s">
        <v>162</v>
      </c>
      <c r="L1384" t="s">
        <v>158</v>
      </c>
      <c r="M1384" t="s">
        <v>131</v>
      </c>
      <c r="N1384">
        <v>17</v>
      </c>
      <c r="P1384" t="s">
        <v>41</v>
      </c>
      <c r="Q1384" t="s">
        <v>49</v>
      </c>
      <c r="R1384" t="str">
        <f>"0505050"</f>
        <v>0505050</v>
      </c>
      <c r="S1384" t="s">
        <v>163</v>
      </c>
      <c r="T1384" t="s">
        <v>162</v>
      </c>
      <c r="U1384" t="s">
        <v>158</v>
      </c>
      <c r="V1384" t="s">
        <v>131</v>
      </c>
      <c r="W1384" t="s">
        <v>165</v>
      </c>
      <c r="X1384" t="s">
        <v>45</v>
      </c>
      <c r="Z1384">
        <v>2</v>
      </c>
      <c r="AA1384" t="s">
        <v>158</v>
      </c>
      <c r="AB1384" s="40" t="s">
        <v>1797</v>
      </c>
    </row>
    <row r="1385" spans="1:28" x14ac:dyDescent="0.25">
      <c r="A1385">
        <v>99911384</v>
      </c>
      <c r="B1385" t="s">
        <v>32</v>
      </c>
      <c r="C1385" t="s">
        <v>46</v>
      </c>
      <c r="D1385" t="s">
        <v>47</v>
      </c>
      <c r="G1385" t="s">
        <v>35</v>
      </c>
      <c r="H1385">
        <v>1</v>
      </c>
      <c r="I1385">
        <v>0</v>
      </c>
      <c r="J1385" s="1">
        <v>43344</v>
      </c>
      <c r="K1385" t="s">
        <v>223</v>
      </c>
      <c r="L1385" t="s">
        <v>224</v>
      </c>
      <c r="M1385" t="s">
        <v>131</v>
      </c>
      <c r="N1385">
        <v>17</v>
      </c>
      <c r="O1385" s="1">
        <v>43344</v>
      </c>
      <c r="P1385" t="s">
        <v>41</v>
      </c>
      <c r="Q1385" t="s">
        <v>42</v>
      </c>
      <c r="R1385" t="str">
        <f>"0580207"</f>
        <v>0580207</v>
      </c>
      <c r="S1385" t="s">
        <v>229</v>
      </c>
      <c r="T1385" t="s">
        <v>223</v>
      </c>
      <c r="U1385" t="s">
        <v>224</v>
      </c>
      <c r="V1385" t="s">
        <v>131</v>
      </c>
      <c r="W1385" t="s">
        <v>44</v>
      </c>
      <c r="X1385" t="s">
        <v>45</v>
      </c>
      <c r="Z1385">
        <v>2</v>
      </c>
      <c r="AA1385" t="s">
        <v>224</v>
      </c>
      <c r="AB1385" s="40" t="s">
        <v>1797</v>
      </c>
    </row>
    <row r="1386" spans="1:28" x14ac:dyDescent="0.25">
      <c r="A1386">
        <v>99911385</v>
      </c>
      <c r="B1386" t="s">
        <v>56</v>
      </c>
      <c r="C1386" t="s">
        <v>46</v>
      </c>
      <c r="D1386" t="s">
        <v>47</v>
      </c>
      <c r="G1386" t="s">
        <v>48</v>
      </c>
      <c r="H1386">
        <v>1</v>
      </c>
      <c r="K1386" t="s">
        <v>129</v>
      </c>
      <c r="L1386" t="s">
        <v>130</v>
      </c>
      <c r="M1386" t="s">
        <v>131</v>
      </c>
      <c r="N1386">
        <v>18</v>
      </c>
      <c r="P1386" t="s">
        <v>41</v>
      </c>
      <c r="Q1386" t="s">
        <v>49</v>
      </c>
      <c r="R1386" t="str">
        <f>"0591905"</f>
        <v>0591905</v>
      </c>
      <c r="S1386" t="s">
        <v>135</v>
      </c>
      <c r="T1386" t="s">
        <v>129</v>
      </c>
      <c r="U1386" t="s">
        <v>130</v>
      </c>
      <c r="V1386" t="s">
        <v>131</v>
      </c>
      <c r="W1386" t="s">
        <v>51</v>
      </c>
      <c r="X1386" t="s">
        <v>45</v>
      </c>
      <c r="Y1386" s="1">
        <v>35424</v>
      </c>
      <c r="Z1386">
        <v>2</v>
      </c>
      <c r="AA1386" t="s">
        <v>130</v>
      </c>
      <c r="AB1386" s="40" t="s">
        <v>1797</v>
      </c>
    </row>
    <row r="1387" spans="1:28" x14ac:dyDescent="0.25">
      <c r="A1387">
        <v>99911386</v>
      </c>
      <c r="B1387" t="s">
        <v>56</v>
      </c>
      <c r="C1387" t="s">
        <v>52</v>
      </c>
      <c r="D1387" t="s">
        <v>53</v>
      </c>
      <c r="G1387" t="s">
        <v>35</v>
      </c>
      <c r="H1387">
        <v>1</v>
      </c>
      <c r="I1387">
        <v>12819</v>
      </c>
      <c r="J1387" s="1">
        <v>43417</v>
      </c>
      <c r="K1387" t="s">
        <v>1325</v>
      </c>
      <c r="L1387" t="s">
        <v>1326</v>
      </c>
      <c r="M1387" t="s">
        <v>1270</v>
      </c>
      <c r="N1387">
        <v>18</v>
      </c>
      <c r="O1387" s="1">
        <v>43417</v>
      </c>
      <c r="R1387" t="str">
        <f>""</f>
        <v/>
      </c>
      <c r="U1387" t="s">
        <v>1326</v>
      </c>
      <c r="V1387" t="s">
        <v>1270</v>
      </c>
      <c r="W1387" t="s">
        <v>44</v>
      </c>
      <c r="X1387" t="s">
        <v>45</v>
      </c>
      <c r="Y1387" s="1">
        <v>34257</v>
      </c>
      <c r="Z1387">
        <v>2</v>
      </c>
      <c r="AA1387" t="s">
        <v>1326</v>
      </c>
      <c r="AB1387" s="40" t="s">
        <v>1797</v>
      </c>
    </row>
    <row r="1388" spans="1:28" x14ac:dyDescent="0.25">
      <c r="A1388">
        <v>99911387</v>
      </c>
      <c r="B1388" t="s">
        <v>32</v>
      </c>
      <c r="C1388" t="s">
        <v>71</v>
      </c>
      <c r="D1388" t="s">
        <v>72</v>
      </c>
      <c r="G1388" t="s">
        <v>35</v>
      </c>
      <c r="H1388">
        <v>1</v>
      </c>
      <c r="I1388" s="1">
        <v>43344</v>
      </c>
      <c r="J1388" s="1">
        <v>43344</v>
      </c>
      <c r="K1388" t="s">
        <v>1341</v>
      </c>
      <c r="L1388" t="s">
        <v>1342</v>
      </c>
      <c r="M1388" t="s">
        <v>1270</v>
      </c>
      <c r="N1388">
        <v>18</v>
      </c>
      <c r="O1388" s="1">
        <v>43344</v>
      </c>
      <c r="P1388" t="s">
        <v>41</v>
      </c>
      <c r="Q1388" t="s">
        <v>75</v>
      </c>
      <c r="R1388" t="str">
        <f>"7191004"</f>
        <v>7191004</v>
      </c>
      <c r="S1388" t="s">
        <v>1344</v>
      </c>
      <c r="T1388" t="s">
        <v>1341</v>
      </c>
      <c r="U1388" t="s">
        <v>1342</v>
      </c>
      <c r="V1388" t="s">
        <v>1270</v>
      </c>
      <c r="W1388" t="s">
        <v>44</v>
      </c>
      <c r="X1388" t="s">
        <v>45</v>
      </c>
      <c r="Y1388" s="1">
        <v>33981</v>
      </c>
      <c r="Z1388">
        <v>1</v>
      </c>
      <c r="AA1388" t="s">
        <v>1342</v>
      </c>
      <c r="AB1388" s="40" t="s">
        <v>1797</v>
      </c>
    </row>
    <row r="1389" spans="1:28" x14ac:dyDescent="0.25">
      <c r="A1389">
        <v>99911388</v>
      </c>
      <c r="B1389" t="s">
        <v>56</v>
      </c>
      <c r="C1389" t="s">
        <v>141</v>
      </c>
      <c r="D1389" t="s">
        <v>142</v>
      </c>
      <c r="G1389" t="s">
        <v>35</v>
      </c>
      <c r="H1389">
        <v>1</v>
      </c>
      <c r="I1389">
        <v>0</v>
      </c>
      <c r="J1389" s="1">
        <v>43344</v>
      </c>
      <c r="K1389" t="s">
        <v>223</v>
      </c>
      <c r="L1389" t="s">
        <v>224</v>
      </c>
      <c r="M1389" t="s">
        <v>131</v>
      </c>
      <c r="N1389">
        <v>18</v>
      </c>
      <c r="O1389" s="1">
        <v>43344</v>
      </c>
      <c r="P1389" t="s">
        <v>41</v>
      </c>
      <c r="Q1389" t="s">
        <v>49</v>
      </c>
      <c r="R1389" t="str">
        <f>"0581207"</f>
        <v>0581207</v>
      </c>
      <c r="S1389" t="s">
        <v>233</v>
      </c>
      <c r="T1389" t="s">
        <v>223</v>
      </c>
      <c r="U1389" t="s">
        <v>224</v>
      </c>
      <c r="V1389" t="s">
        <v>131</v>
      </c>
      <c r="W1389" t="s">
        <v>44</v>
      </c>
      <c r="X1389" t="s">
        <v>45</v>
      </c>
      <c r="Y1389" s="1">
        <v>32874</v>
      </c>
      <c r="Z1389">
        <v>2</v>
      </c>
      <c r="AA1389" t="s">
        <v>224</v>
      </c>
      <c r="AB1389" s="40" t="s">
        <v>1797</v>
      </c>
    </row>
    <row r="1390" spans="1:28" x14ac:dyDescent="0.25">
      <c r="A1390">
        <v>99911389</v>
      </c>
      <c r="B1390" t="s">
        <v>32</v>
      </c>
      <c r="C1390" t="s">
        <v>79</v>
      </c>
      <c r="D1390" t="s">
        <v>80</v>
      </c>
      <c r="G1390" t="s">
        <v>48</v>
      </c>
      <c r="H1390">
        <v>1</v>
      </c>
      <c r="K1390" t="s">
        <v>223</v>
      </c>
      <c r="L1390" t="s">
        <v>224</v>
      </c>
      <c r="M1390" t="s">
        <v>131</v>
      </c>
      <c r="N1390">
        <v>18</v>
      </c>
      <c r="P1390" t="s">
        <v>41</v>
      </c>
      <c r="Q1390" t="s">
        <v>42</v>
      </c>
      <c r="R1390" t="str">
        <f>"0580206"</f>
        <v>0580206</v>
      </c>
      <c r="S1390" t="s">
        <v>237</v>
      </c>
      <c r="T1390" t="s">
        <v>223</v>
      </c>
      <c r="U1390" t="s">
        <v>224</v>
      </c>
      <c r="V1390" t="s">
        <v>131</v>
      </c>
      <c r="W1390" t="s">
        <v>51</v>
      </c>
      <c r="X1390" t="s">
        <v>45</v>
      </c>
      <c r="Y1390" s="1">
        <v>32874</v>
      </c>
      <c r="Z1390">
        <v>2</v>
      </c>
      <c r="AA1390" t="s">
        <v>224</v>
      </c>
      <c r="AB1390" s="40" t="s">
        <v>1797</v>
      </c>
    </row>
    <row r="1391" spans="1:28" x14ac:dyDescent="0.25">
      <c r="A1391">
        <v>99911390</v>
      </c>
      <c r="B1391" t="s">
        <v>32</v>
      </c>
      <c r="C1391" t="s">
        <v>58</v>
      </c>
      <c r="D1391" t="s">
        <v>59</v>
      </c>
      <c r="G1391" t="s">
        <v>35</v>
      </c>
      <c r="H1391">
        <v>1</v>
      </c>
      <c r="K1391" t="s">
        <v>380</v>
      </c>
      <c r="L1391" t="s">
        <v>381</v>
      </c>
      <c r="M1391" t="s">
        <v>131</v>
      </c>
      <c r="N1391">
        <v>18</v>
      </c>
      <c r="P1391" t="s">
        <v>41</v>
      </c>
      <c r="Q1391" t="s">
        <v>42</v>
      </c>
      <c r="R1391" t="str">
        <f>"0561016"</f>
        <v>0561016</v>
      </c>
      <c r="S1391" t="s">
        <v>389</v>
      </c>
      <c r="T1391" t="s">
        <v>380</v>
      </c>
      <c r="U1391" t="s">
        <v>381</v>
      </c>
      <c r="V1391" t="s">
        <v>131</v>
      </c>
      <c r="W1391" t="s">
        <v>51</v>
      </c>
      <c r="X1391" t="s">
        <v>45</v>
      </c>
      <c r="Y1391" s="1">
        <v>32814</v>
      </c>
      <c r="Z1391">
        <v>2</v>
      </c>
      <c r="AA1391" t="s">
        <v>381</v>
      </c>
      <c r="AB1391" s="40" t="s">
        <v>1797</v>
      </c>
    </row>
    <row r="1392" spans="1:28" x14ac:dyDescent="0.25">
      <c r="A1392">
        <v>99911391</v>
      </c>
      <c r="B1392" t="s">
        <v>56</v>
      </c>
      <c r="C1392" t="s">
        <v>298</v>
      </c>
      <c r="D1392" t="s">
        <v>299</v>
      </c>
      <c r="G1392" t="s">
        <v>35</v>
      </c>
      <c r="H1392">
        <v>1</v>
      </c>
      <c r="I1392">
        <v>0</v>
      </c>
      <c r="J1392" s="1">
        <v>43344</v>
      </c>
      <c r="K1392" t="s">
        <v>223</v>
      </c>
      <c r="L1392" t="s">
        <v>224</v>
      </c>
      <c r="M1392" t="s">
        <v>131</v>
      </c>
      <c r="N1392">
        <v>18</v>
      </c>
      <c r="O1392" s="1">
        <v>43344</v>
      </c>
      <c r="P1392" t="s">
        <v>41</v>
      </c>
      <c r="Q1392" t="s">
        <v>42</v>
      </c>
      <c r="R1392" t="str">
        <f>"0590903"</f>
        <v>0590903</v>
      </c>
      <c r="S1392" t="s">
        <v>226</v>
      </c>
      <c r="T1392" t="s">
        <v>223</v>
      </c>
      <c r="U1392" t="s">
        <v>224</v>
      </c>
      <c r="V1392" t="s">
        <v>131</v>
      </c>
      <c r="W1392" t="s">
        <v>44</v>
      </c>
      <c r="X1392" t="s">
        <v>45</v>
      </c>
      <c r="Y1392" s="1">
        <v>32694</v>
      </c>
      <c r="Z1392">
        <v>2</v>
      </c>
      <c r="AA1392" t="s">
        <v>224</v>
      </c>
      <c r="AB1392" s="40" t="s">
        <v>1797</v>
      </c>
    </row>
    <row r="1393" spans="1:28" x14ac:dyDescent="0.25">
      <c r="A1393">
        <v>99911392</v>
      </c>
      <c r="B1393" t="s">
        <v>56</v>
      </c>
      <c r="C1393" t="s">
        <v>68</v>
      </c>
      <c r="D1393" t="s">
        <v>69</v>
      </c>
      <c r="G1393" t="s">
        <v>48</v>
      </c>
      <c r="H1393">
        <v>1</v>
      </c>
      <c r="K1393" t="s">
        <v>300</v>
      </c>
      <c r="L1393" t="s">
        <v>301</v>
      </c>
      <c r="M1393" t="s">
        <v>131</v>
      </c>
      <c r="N1393">
        <v>18</v>
      </c>
      <c r="P1393" t="s">
        <v>41</v>
      </c>
      <c r="Q1393" t="s">
        <v>49</v>
      </c>
      <c r="R1393" t="str">
        <f>"0560001"</f>
        <v>0560001</v>
      </c>
      <c r="S1393" t="s">
        <v>304</v>
      </c>
      <c r="T1393" t="s">
        <v>300</v>
      </c>
      <c r="U1393" t="s">
        <v>301</v>
      </c>
      <c r="V1393" t="s">
        <v>131</v>
      </c>
      <c r="W1393" t="s">
        <v>51</v>
      </c>
      <c r="X1393" t="s">
        <v>45</v>
      </c>
      <c r="Y1393" s="1">
        <v>32617</v>
      </c>
      <c r="Z1393">
        <v>2</v>
      </c>
      <c r="AA1393" t="s">
        <v>301</v>
      </c>
      <c r="AB1393" s="40" t="s">
        <v>1797</v>
      </c>
    </row>
    <row r="1394" spans="1:28" x14ac:dyDescent="0.25">
      <c r="A1394">
        <v>99911393</v>
      </c>
      <c r="B1394" t="s">
        <v>32</v>
      </c>
      <c r="C1394" t="s">
        <v>46</v>
      </c>
      <c r="D1394" t="s">
        <v>47</v>
      </c>
      <c r="G1394" t="s">
        <v>35</v>
      </c>
      <c r="H1394">
        <v>1</v>
      </c>
      <c r="I1394">
        <v>11290</v>
      </c>
      <c r="J1394" s="1">
        <v>43344</v>
      </c>
      <c r="K1394" t="s">
        <v>1325</v>
      </c>
      <c r="L1394" t="s">
        <v>1326</v>
      </c>
      <c r="M1394" t="s">
        <v>1270</v>
      </c>
      <c r="N1394">
        <v>18</v>
      </c>
      <c r="O1394" s="1">
        <v>43344</v>
      </c>
      <c r="P1394" t="s">
        <v>41</v>
      </c>
      <c r="Q1394" t="s">
        <v>49</v>
      </c>
      <c r="R1394" t="str">
        <f>"3981100"</f>
        <v>3981100</v>
      </c>
      <c r="S1394" t="s">
        <v>1327</v>
      </c>
      <c r="T1394" t="s">
        <v>1325</v>
      </c>
      <c r="U1394" t="s">
        <v>1326</v>
      </c>
      <c r="V1394" t="s">
        <v>1270</v>
      </c>
      <c r="W1394" t="s">
        <v>51</v>
      </c>
      <c r="X1394" t="s">
        <v>45</v>
      </c>
      <c r="Y1394" s="1">
        <v>32522</v>
      </c>
      <c r="Z1394">
        <v>2</v>
      </c>
      <c r="AA1394" t="s">
        <v>1326</v>
      </c>
      <c r="AB1394" s="40" t="s">
        <v>1797</v>
      </c>
    </row>
    <row r="1395" spans="1:28" x14ac:dyDescent="0.25">
      <c r="A1395">
        <v>99911394</v>
      </c>
      <c r="B1395" t="s">
        <v>32</v>
      </c>
      <c r="C1395" t="s">
        <v>68</v>
      </c>
      <c r="D1395" t="s">
        <v>69</v>
      </c>
      <c r="G1395" t="s">
        <v>48</v>
      </c>
      <c r="H1395">
        <v>1</v>
      </c>
      <c r="K1395" t="s">
        <v>1566</v>
      </c>
      <c r="L1395" t="s">
        <v>1567</v>
      </c>
      <c r="M1395" t="s">
        <v>1548</v>
      </c>
      <c r="N1395">
        <v>18</v>
      </c>
      <c r="P1395" t="s">
        <v>41</v>
      </c>
      <c r="Q1395" t="s">
        <v>42</v>
      </c>
      <c r="R1395" t="str">
        <f>"2961001"</f>
        <v>2961001</v>
      </c>
      <c r="S1395" t="s">
        <v>1568</v>
      </c>
      <c r="T1395" t="s">
        <v>1566</v>
      </c>
      <c r="U1395" t="s">
        <v>1567</v>
      </c>
      <c r="V1395" t="s">
        <v>1548</v>
      </c>
      <c r="W1395" t="s">
        <v>51</v>
      </c>
      <c r="X1395" t="s">
        <v>45</v>
      </c>
      <c r="Y1395" s="1">
        <v>32351</v>
      </c>
      <c r="Z1395">
        <v>2</v>
      </c>
      <c r="AA1395" t="s">
        <v>1567</v>
      </c>
      <c r="AB1395" s="40" t="s">
        <v>1797</v>
      </c>
    </row>
    <row r="1396" spans="1:28" x14ac:dyDescent="0.25">
      <c r="A1396">
        <v>99911395</v>
      </c>
      <c r="B1396" t="s">
        <v>32</v>
      </c>
      <c r="C1396" t="s">
        <v>854</v>
      </c>
      <c r="D1396" t="s">
        <v>855</v>
      </c>
      <c r="G1396" t="s">
        <v>35</v>
      </c>
      <c r="H1396">
        <v>1</v>
      </c>
      <c r="I1396">
        <v>14598</v>
      </c>
      <c r="J1396" s="1">
        <v>43344</v>
      </c>
      <c r="K1396" t="s">
        <v>354</v>
      </c>
      <c r="L1396" t="s">
        <v>355</v>
      </c>
      <c r="M1396" t="s">
        <v>131</v>
      </c>
      <c r="N1396">
        <v>18</v>
      </c>
      <c r="O1396" s="1">
        <v>43344</v>
      </c>
      <c r="P1396" t="s">
        <v>41</v>
      </c>
      <c r="Q1396" t="s">
        <v>75</v>
      </c>
      <c r="R1396" t="str">
        <f>"7054006"</f>
        <v>7054006</v>
      </c>
      <c r="S1396" t="s">
        <v>774</v>
      </c>
      <c r="T1396" t="s">
        <v>354</v>
      </c>
      <c r="U1396" t="s">
        <v>355</v>
      </c>
      <c r="V1396" t="s">
        <v>131</v>
      </c>
      <c r="W1396" t="s">
        <v>51</v>
      </c>
      <c r="X1396" t="s">
        <v>45</v>
      </c>
      <c r="Y1396" s="1">
        <v>32316</v>
      </c>
      <c r="Z1396">
        <v>1</v>
      </c>
      <c r="AA1396" t="s">
        <v>355</v>
      </c>
      <c r="AB1396" s="40" t="s">
        <v>1797</v>
      </c>
    </row>
    <row r="1397" spans="1:28" x14ac:dyDescent="0.25">
      <c r="A1397">
        <v>99911396</v>
      </c>
      <c r="B1397" t="s">
        <v>32</v>
      </c>
      <c r="C1397" t="s">
        <v>61</v>
      </c>
      <c r="D1397" t="s">
        <v>62</v>
      </c>
      <c r="G1397" t="s">
        <v>35</v>
      </c>
      <c r="H1397">
        <v>1</v>
      </c>
      <c r="I1397" s="1">
        <v>42633</v>
      </c>
      <c r="J1397" s="1">
        <v>43344</v>
      </c>
      <c r="K1397" t="s">
        <v>1341</v>
      </c>
      <c r="L1397" t="s">
        <v>1342</v>
      </c>
      <c r="M1397" t="s">
        <v>1270</v>
      </c>
      <c r="N1397">
        <v>18</v>
      </c>
      <c r="O1397" s="1">
        <v>43344</v>
      </c>
      <c r="P1397" t="s">
        <v>41</v>
      </c>
      <c r="Q1397" t="s">
        <v>75</v>
      </c>
      <c r="R1397" t="str">
        <f>"7191004"</f>
        <v>7191004</v>
      </c>
      <c r="S1397" t="s">
        <v>1344</v>
      </c>
      <c r="T1397" t="s">
        <v>1341</v>
      </c>
      <c r="U1397" t="s">
        <v>1342</v>
      </c>
      <c r="V1397" t="s">
        <v>1270</v>
      </c>
      <c r="W1397" t="s">
        <v>51</v>
      </c>
      <c r="X1397" t="s">
        <v>45</v>
      </c>
      <c r="Y1397" s="1">
        <v>31636</v>
      </c>
      <c r="Z1397">
        <v>1</v>
      </c>
      <c r="AA1397" t="s">
        <v>1342</v>
      </c>
      <c r="AB1397" s="40" t="s">
        <v>1797</v>
      </c>
    </row>
    <row r="1398" spans="1:28" x14ac:dyDescent="0.25">
      <c r="A1398">
        <v>99911397</v>
      </c>
      <c r="B1398" t="s">
        <v>32</v>
      </c>
      <c r="C1398" t="s">
        <v>71</v>
      </c>
      <c r="D1398" t="s">
        <v>72</v>
      </c>
      <c r="G1398" t="s">
        <v>35</v>
      </c>
      <c r="H1398">
        <v>1</v>
      </c>
      <c r="I1398" t="s">
        <v>520</v>
      </c>
      <c r="J1398" s="1">
        <v>43344</v>
      </c>
      <c r="K1398" t="s">
        <v>195</v>
      </c>
      <c r="L1398" t="s">
        <v>196</v>
      </c>
      <c r="M1398" t="s">
        <v>131</v>
      </c>
      <c r="N1398">
        <v>18</v>
      </c>
      <c r="O1398" s="1">
        <v>43344</v>
      </c>
      <c r="P1398" t="s">
        <v>41</v>
      </c>
      <c r="Q1398" t="s">
        <v>75</v>
      </c>
      <c r="R1398" t="str">
        <f>"7521042"</f>
        <v>7521042</v>
      </c>
      <c r="S1398" t="s">
        <v>440</v>
      </c>
      <c r="T1398" t="s">
        <v>195</v>
      </c>
      <c r="U1398" t="s">
        <v>196</v>
      </c>
      <c r="V1398" t="s">
        <v>131</v>
      </c>
      <c r="W1398" t="s">
        <v>44</v>
      </c>
      <c r="X1398" t="s">
        <v>45</v>
      </c>
      <c r="Y1398" s="1">
        <v>31563</v>
      </c>
      <c r="Z1398">
        <v>1</v>
      </c>
      <c r="AA1398" t="s">
        <v>196</v>
      </c>
      <c r="AB1398" s="40" t="s">
        <v>1797</v>
      </c>
    </row>
    <row r="1399" spans="1:28" x14ac:dyDescent="0.25">
      <c r="A1399">
        <v>99911398</v>
      </c>
      <c r="B1399" t="s">
        <v>56</v>
      </c>
      <c r="C1399" t="s">
        <v>79</v>
      </c>
      <c r="D1399" t="s">
        <v>80</v>
      </c>
      <c r="G1399" t="s">
        <v>48</v>
      </c>
      <c r="H1399">
        <v>1</v>
      </c>
      <c r="K1399" t="s">
        <v>877</v>
      </c>
      <c r="L1399" t="s">
        <v>878</v>
      </c>
      <c r="M1399" t="s">
        <v>131</v>
      </c>
      <c r="N1399">
        <v>18</v>
      </c>
      <c r="P1399" t="s">
        <v>41</v>
      </c>
      <c r="Q1399" t="s">
        <v>75</v>
      </c>
      <c r="R1399" t="str">
        <f>"7541008"</f>
        <v>7541008</v>
      </c>
      <c r="S1399" t="s">
        <v>879</v>
      </c>
      <c r="T1399" t="s">
        <v>877</v>
      </c>
      <c r="U1399" t="s">
        <v>878</v>
      </c>
      <c r="V1399" t="s">
        <v>131</v>
      </c>
      <c r="W1399" t="s">
        <v>51</v>
      </c>
      <c r="X1399" t="s">
        <v>45</v>
      </c>
      <c r="Y1399" s="1">
        <v>31499</v>
      </c>
      <c r="Z1399">
        <v>1</v>
      </c>
      <c r="AA1399" t="s">
        <v>878</v>
      </c>
      <c r="AB1399" s="40" t="s">
        <v>1797</v>
      </c>
    </row>
    <row r="1400" spans="1:28" x14ac:dyDescent="0.25">
      <c r="A1400">
        <v>99911399</v>
      </c>
      <c r="B1400" t="s">
        <v>56</v>
      </c>
      <c r="C1400" t="s">
        <v>68</v>
      </c>
      <c r="D1400" t="s">
        <v>69</v>
      </c>
      <c r="G1400" t="s">
        <v>35</v>
      </c>
      <c r="H1400">
        <v>1</v>
      </c>
      <c r="I1400" t="s">
        <v>70</v>
      </c>
      <c r="J1400" s="1">
        <v>43361</v>
      </c>
      <c r="K1400" t="s">
        <v>37</v>
      </c>
      <c r="L1400" t="s">
        <v>38</v>
      </c>
      <c r="M1400" t="s">
        <v>39</v>
      </c>
      <c r="N1400">
        <v>18</v>
      </c>
      <c r="O1400" s="1">
        <v>43361</v>
      </c>
      <c r="P1400" t="s">
        <v>41</v>
      </c>
      <c r="Q1400" t="s">
        <v>42</v>
      </c>
      <c r="R1400" t="str">
        <f>"3780010"</f>
        <v>3780010</v>
      </c>
      <c r="S1400" t="s">
        <v>43</v>
      </c>
      <c r="T1400" t="s">
        <v>37</v>
      </c>
      <c r="U1400" t="s">
        <v>38</v>
      </c>
      <c r="V1400" t="s">
        <v>39</v>
      </c>
      <c r="W1400" t="s">
        <v>44</v>
      </c>
      <c r="X1400" t="s">
        <v>45</v>
      </c>
      <c r="Y1400" s="1">
        <v>31166</v>
      </c>
      <c r="Z1400">
        <v>2</v>
      </c>
      <c r="AA1400" t="s">
        <v>38</v>
      </c>
      <c r="AB1400" s="40" t="s">
        <v>1797</v>
      </c>
    </row>
    <row r="1401" spans="1:28" x14ac:dyDescent="0.25">
      <c r="A1401">
        <v>99911400</v>
      </c>
      <c r="B1401" t="s">
        <v>56</v>
      </c>
      <c r="C1401" t="s">
        <v>79</v>
      </c>
      <c r="D1401" t="s">
        <v>80</v>
      </c>
      <c r="G1401" t="s">
        <v>35</v>
      </c>
      <c r="H1401">
        <v>1</v>
      </c>
      <c r="I1401" s="1">
        <v>40807</v>
      </c>
      <c r="J1401" s="1">
        <v>43344</v>
      </c>
      <c r="K1401" t="s">
        <v>1341</v>
      </c>
      <c r="L1401" t="s">
        <v>1342</v>
      </c>
      <c r="M1401" t="s">
        <v>1270</v>
      </c>
      <c r="N1401">
        <v>18</v>
      </c>
      <c r="O1401" s="1">
        <v>43344</v>
      </c>
      <c r="P1401" t="s">
        <v>41</v>
      </c>
      <c r="Q1401" t="s">
        <v>75</v>
      </c>
      <c r="R1401" t="str">
        <f>"7191000"</f>
        <v>7191000</v>
      </c>
      <c r="S1401" t="s">
        <v>1347</v>
      </c>
      <c r="T1401" t="s">
        <v>1341</v>
      </c>
      <c r="U1401" t="s">
        <v>1342</v>
      </c>
      <c r="V1401" t="s">
        <v>1270</v>
      </c>
      <c r="W1401" t="s">
        <v>51</v>
      </c>
      <c r="X1401" t="s">
        <v>45</v>
      </c>
      <c r="Y1401" s="1">
        <v>31024</v>
      </c>
      <c r="Z1401">
        <v>1</v>
      </c>
      <c r="AA1401" t="s">
        <v>1342</v>
      </c>
      <c r="AB1401" s="40" t="s">
        <v>1797</v>
      </c>
    </row>
    <row r="1402" spans="1:28" x14ac:dyDescent="0.25">
      <c r="A1402">
        <v>99911401</v>
      </c>
      <c r="B1402" t="s">
        <v>56</v>
      </c>
      <c r="C1402" t="s">
        <v>58</v>
      </c>
      <c r="D1402" t="s">
        <v>59</v>
      </c>
      <c r="G1402" t="s">
        <v>48</v>
      </c>
      <c r="H1402">
        <v>1</v>
      </c>
      <c r="K1402" t="s">
        <v>1128</v>
      </c>
      <c r="L1402" t="s">
        <v>1129</v>
      </c>
      <c r="M1402" t="s">
        <v>1130</v>
      </c>
      <c r="N1402">
        <v>18</v>
      </c>
      <c r="P1402" t="s">
        <v>41</v>
      </c>
      <c r="Q1402" t="s">
        <v>42</v>
      </c>
      <c r="R1402" t="str">
        <f>"3180015"</f>
        <v>3180015</v>
      </c>
      <c r="S1402" t="s">
        <v>1139</v>
      </c>
      <c r="T1402" t="s">
        <v>1128</v>
      </c>
      <c r="U1402" t="s">
        <v>1129</v>
      </c>
      <c r="V1402" t="s">
        <v>1130</v>
      </c>
      <c r="W1402" t="s">
        <v>51</v>
      </c>
      <c r="X1402" t="s">
        <v>45</v>
      </c>
      <c r="Y1402" s="1">
        <v>30992</v>
      </c>
      <c r="Z1402">
        <v>2</v>
      </c>
      <c r="AA1402" t="s">
        <v>1129</v>
      </c>
      <c r="AB1402" s="40" t="s">
        <v>1797</v>
      </c>
    </row>
    <row r="1403" spans="1:28" x14ac:dyDescent="0.25">
      <c r="A1403">
        <v>99911402</v>
      </c>
      <c r="B1403" t="s">
        <v>32</v>
      </c>
      <c r="C1403" t="s">
        <v>61</v>
      </c>
      <c r="D1403" t="s">
        <v>62</v>
      </c>
      <c r="G1403" t="s">
        <v>35</v>
      </c>
      <c r="H1403">
        <v>1</v>
      </c>
      <c r="I1403">
        <v>0</v>
      </c>
      <c r="J1403" s="1">
        <v>43344</v>
      </c>
      <c r="K1403" t="s">
        <v>985</v>
      </c>
      <c r="L1403" t="s">
        <v>986</v>
      </c>
      <c r="M1403" t="s">
        <v>938</v>
      </c>
      <c r="N1403">
        <v>18</v>
      </c>
      <c r="O1403" s="1">
        <v>43344</v>
      </c>
      <c r="P1403" t="s">
        <v>41</v>
      </c>
      <c r="Q1403" t="s">
        <v>75</v>
      </c>
      <c r="R1403" t="str">
        <f>"7011004"</f>
        <v>7011004</v>
      </c>
      <c r="S1403" t="s">
        <v>987</v>
      </c>
      <c r="T1403" t="s">
        <v>985</v>
      </c>
      <c r="U1403" t="s">
        <v>986</v>
      </c>
      <c r="V1403" t="s">
        <v>938</v>
      </c>
      <c r="W1403" t="s">
        <v>51</v>
      </c>
      <c r="X1403" t="s">
        <v>45</v>
      </c>
      <c r="Y1403" s="1">
        <v>30757</v>
      </c>
      <c r="Z1403">
        <v>1</v>
      </c>
      <c r="AA1403" t="s">
        <v>986</v>
      </c>
      <c r="AB1403" s="40" t="s">
        <v>1797</v>
      </c>
    </row>
    <row r="1404" spans="1:28" x14ac:dyDescent="0.25">
      <c r="A1404">
        <v>99911403</v>
      </c>
      <c r="B1404" t="s">
        <v>56</v>
      </c>
      <c r="C1404" t="s">
        <v>64</v>
      </c>
      <c r="D1404" t="s">
        <v>65</v>
      </c>
      <c r="G1404" t="s">
        <v>35</v>
      </c>
      <c r="H1404">
        <v>1</v>
      </c>
      <c r="I1404" t="s">
        <v>537</v>
      </c>
      <c r="J1404" s="1">
        <v>41981</v>
      </c>
      <c r="K1404" t="s">
        <v>431</v>
      </c>
      <c r="L1404" t="s">
        <v>196</v>
      </c>
      <c r="M1404" t="s">
        <v>131</v>
      </c>
      <c r="N1404">
        <v>18</v>
      </c>
      <c r="O1404" s="1">
        <v>41981</v>
      </c>
      <c r="P1404" t="s">
        <v>41</v>
      </c>
      <c r="Q1404" t="s">
        <v>75</v>
      </c>
      <c r="R1404" t="str">
        <f>"7521060"</f>
        <v>7521060</v>
      </c>
      <c r="S1404" t="s">
        <v>501</v>
      </c>
      <c r="T1404" t="s">
        <v>431</v>
      </c>
      <c r="U1404" t="s">
        <v>196</v>
      </c>
      <c r="V1404" t="s">
        <v>131</v>
      </c>
      <c r="W1404" t="s">
        <v>44</v>
      </c>
      <c r="X1404" t="s">
        <v>45</v>
      </c>
      <c r="Y1404" s="1">
        <v>30682</v>
      </c>
      <c r="Z1404">
        <v>1</v>
      </c>
      <c r="AA1404" t="s">
        <v>196</v>
      </c>
      <c r="AB1404" s="40" t="s">
        <v>1797</v>
      </c>
    </row>
    <row r="1405" spans="1:28" x14ac:dyDescent="0.25">
      <c r="A1405">
        <v>99911404</v>
      </c>
      <c r="B1405" t="s">
        <v>32</v>
      </c>
      <c r="C1405" t="s">
        <v>139</v>
      </c>
      <c r="D1405" t="s">
        <v>140</v>
      </c>
      <c r="G1405" t="s">
        <v>35</v>
      </c>
      <c r="H1405">
        <v>1</v>
      </c>
      <c r="I1405" s="1">
        <v>43344</v>
      </c>
      <c r="J1405" s="1">
        <v>43344</v>
      </c>
      <c r="K1405" t="s">
        <v>1341</v>
      </c>
      <c r="L1405" t="s">
        <v>1342</v>
      </c>
      <c r="M1405" t="s">
        <v>1270</v>
      </c>
      <c r="N1405">
        <v>18</v>
      </c>
      <c r="O1405" s="1">
        <v>43344</v>
      </c>
      <c r="P1405" t="s">
        <v>41</v>
      </c>
      <c r="Q1405" t="s">
        <v>75</v>
      </c>
      <c r="R1405" t="str">
        <f>"7191004"</f>
        <v>7191004</v>
      </c>
      <c r="S1405" t="s">
        <v>1344</v>
      </c>
      <c r="T1405" t="s">
        <v>1341</v>
      </c>
      <c r="U1405" t="s">
        <v>1342</v>
      </c>
      <c r="V1405" t="s">
        <v>1270</v>
      </c>
      <c r="W1405" t="s">
        <v>44</v>
      </c>
      <c r="X1405" t="s">
        <v>45</v>
      </c>
      <c r="Y1405" s="1">
        <v>30410</v>
      </c>
      <c r="Z1405">
        <v>1</v>
      </c>
      <c r="AA1405" t="s">
        <v>1342</v>
      </c>
      <c r="AB1405" s="40" t="s">
        <v>1797</v>
      </c>
    </row>
    <row r="1406" spans="1:28" x14ac:dyDescent="0.25">
      <c r="A1406">
        <v>99911405</v>
      </c>
      <c r="B1406" t="s">
        <v>32</v>
      </c>
      <c r="C1406" t="s">
        <v>82</v>
      </c>
      <c r="D1406" t="s">
        <v>83</v>
      </c>
      <c r="G1406" t="s">
        <v>35</v>
      </c>
      <c r="H1406">
        <v>1</v>
      </c>
      <c r="I1406">
        <v>19763</v>
      </c>
      <c r="J1406" s="1">
        <v>43433</v>
      </c>
      <c r="K1406" t="s">
        <v>157</v>
      </c>
      <c r="L1406" t="s">
        <v>158</v>
      </c>
      <c r="M1406" t="s">
        <v>131</v>
      </c>
      <c r="N1406">
        <v>18</v>
      </c>
      <c r="O1406" s="1">
        <v>43433</v>
      </c>
      <c r="P1406" t="s">
        <v>41</v>
      </c>
      <c r="Q1406" t="s">
        <v>49</v>
      </c>
      <c r="R1406" t="str">
        <f>"0580505"</f>
        <v>0580505</v>
      </c>
      <c r="S1406" t="s">
        <v>168</v>
      </c>
      <c r="T1406" t="s">
        <v>157</v>
      </c>
      <c r="U1406" t="s">
        <v>158</v>
      </c>
      <c r="V1406" t="s">
        <v>131</v>
      </c>
      <c r="W1406" t="s">
        <v>44</v>
      </c>
      <c r="X1406" t="s">
        <v>45</v>
      </c>
      <c r="Y1406" s="1">
        <v>30338</v>
      </c>
      <c r="Z1406">
        <v>2</v>
      </c>
      <c r="AA1406" t="s">
        <v>158</v>
      </c>
      <c r="AB1406" s="40" t="s">
        <v>1797</v>
      </c>
    </row>
    <row r="1407" spans="1:28" x14ac:dyDescent="0.25">
      <c r="A1407">
        <v>99911406</v>
      </c>
      <c r="B1407" t="s">
        <v>32</v>
      </c>
      <c r="C1407" t="s">
        <v>52</v>
      </c>
      <c r="D1407" t="s">
        <v>53</v>
      </c>
      <c r="G1407" t="s">
        <v>48</v>
      </c>
      <c r="H1407">
        <v>1</v>
      </c>
      <c r="K1407" t="s">
        <v>1566</v>
      </c>
      <c r="L1407" t="s">
        <v>1567</v>
      </c>
      <c r="M1407" t="s">
        <v>1548</v>
      </c>
      <c r="N1407">
        <v>18</v>
      </c>
      <c r="P1407" t="s">
        <v>41</v>
      </c>
      <c r="Q1407" t="s">
        <v>49</v>
      </c>
      <c r="R1407" t="str">
        <f>"2960001"</f>
        <v>2960001</v>
      </c>
      <c r="S1407" t="s">
        <v>1569</v>
      </c>
      <c r="T1407" t="s">
        <v>1566</v>
      </c>
      <c r="U1407" t="s">
        <v>1567</v>
      </c>
      <c r="V1407" t="s">
        <v>1548</v>
      </c>
      <c r="W1407" t="s">
        <v>51</v>
      </c>
      <c r="X1407" t="s">
        <v>45</v>
      </c>
      <c r="Y1407" s="1">
        <v>30317</v>
      </c>
      <c r="Z1407">
        <v>2</v>
      </c>
      <c r="AA1407" t="s">
        <v>1567</v>
      </c>
      <c r="AB1407" s="40" t="s">
        <v>1797</v>
      </c>
    </row>
    <row r="1408" spans="1:28" x14ac:dyDescent="0.25">
      <c r="A1408">
        <v>99911407</v>
      </c>
      <c r="B1408" t="s">
        <v>32</v>
      </c>
      <c r="C1408" t="s">
        <v>79</v>
      </c>
      <c r="D1408" t="s">
        <v>80</v>
      </c>
      <c r="G1408" t="s">
        <v>35</v>
      </c>
      <c r="H1408">
        <v>1</v>
      </c>
      <c r="I1408">
        <v>22306</v>
      </c>
      <c r="J1408" s="1">
        <v>43344</v>
      </c>
      <c r="K1408" t="s">
        <v>300</v>
      </c>
      <c r="L1408" t="s">
        <v>301</v>
      </c>
      <c r="M1408" t="s">
        <v>131</v>
      </c>
      <c r="N1408">
        <v>18</v>
      </c>
      <c r="O1408" s="1">
        <v>43344</v>
      </c>
      <c r="P1408" t="s">
        <v>41</v>
      </c>
      <c r="Q1408" t="s">
        <v>49</v>
      </c>
      <c r="R1408" t="str">
        <f>"0560020"</f>
        <v>0560020</v>
      </c>
      <c r="S1408" t="s">
        <v>302</v>
      </c>
      <c r="T1408" t="s">
        <v>300</v>
      </c>
      <c r="U1408" t="s">
        <v>301</v>
      </c>
      <c r="V1408" t="s">
        <v>131</v>
      </c>
      <c r="W1408" t="s">
        <v>51</v>
      </c>
      <c r="X1408" t="s">
        <v>45</v>
      </c>
      <c r="Y1408" s="1">
        <v>30087</v>
      </c>
      <c r="Z1408">
        <v>2</v>
      </c>
      <c r="AA1408" t="s">
        <v>301</v>
      </c>
      <c r="AB1408" s="40" t="s">
        <v>1797</v>
      </c>
    </row>
    <row r="1409" spans="1:28" x14ac:dyDescent="0.25">
      <c r="A1409">
        <v>99911408</v>
      </c>
      <c r="B1409" t="s">
        <v>32</v>
      </c>
      <c r="C1409" t="s">
        <v>64</v>
      </c>
      <c r="D1409" t="s">
        <v>65</v>
      </c>
      <c r="G1409" t="s">
        <v>35</v>
      </c>
      <c r="H1409">
        <v>2</v>
      </c>
      <c r="K1409" t="s">
        <v>431</v>
      </c>
      <c r="L1409" t="s">
        <v>196</v>
      </c>
      <c r="M1409" t="s">
        <v>131</v>
      </c>
      <c r="N1409">
        <v>18</v>
      </c>
      <c r="P1409" t="s">
        <v>41</v>
      </c>
      <c r="Q1409" t="s">
        <v>75</v>
      </c>
      <c r="R1409" t="str">
        <f>"7521054"</f>
        <v>7521054</v>
      </c>
      <c r="S1409" t="s">
        <v>476</v>
      </c>
      <c r="T1409" t="s">
        <v>431</v>
      </c>
      <c r="U1409" t="s">
        <v>196</v>
      </c>
      <c r="V1409" t="s">
        <v>131</v>
      </c>
      <c r="W1409" t="s">
        <v>51</v>
      </c>
      <c r="X1409" t="s">
        <v>45</v>
      </c>
      <c r="Y1409" s="1">
        <v>30064</v>
      </c>
      <c r="Z1409">
        <v>1</v>
      </c>
      <c r="AA1409" t="s">
        <v>196</v>
      </c>
      <c r="AB1409" s="40" t="s">
        <v>1797</v>
      </c>
    </row>
    <row r="1410" spans="1:28" x14ac:dyDescent="0.25">
      <c r="A1410">
        <v>99911409</v>
      </c>
      <c r="B1410" t="s">
        <v>56</v>
      </c>
      <c r="C1410" t="s">
        <v>79</v>
      </c>
      <c r="D1410" t="s">
        <v>80</v>
      </c>
      <c r="G1410" t="s">
        <v>35</v>
      </c>
      <c r="H1410">
        <v>1</v>
      </c>
      <c r="I1410" t="s">
        <v>621</v>
      </c>
      <c r="J1410" s="1">
        <v>43344</v>
      </c>
      <c r="K1410" t="s">
        <v>268</v>
      </c>
      <c r="L1410" t="s">
        <v>269</v>
      </c>
      <c r="M1410" t="s">
        <v>131</v>
      </c>
      <c r="N1410">
        <v>18</v>
      </c>
      <c r="O1410" s="1">
        <v>43344</v>
      </c>
      <c r="P1410" t="s">
        <v>41</v>
      </c>
      <c r="Q1410" t="s">
        <v>75</v>
      </c>
      <c r="R1410" t="str">
        <f>"7052020"</f>
        <v>7052020</v>
      </c>
      <c r="S1410" t="s">
        <v>267</v>
      </c>
      <c r="T1410" t="s">
        <v>268</v>
      </c>
      <c r="U1410" t="s">
        <v>269</v>
      </c>
      <c r="V1410" t="s">
        <v>131</v>
      </c>
      <c r="W1410" t="s">
        <v>51</v>
      </c>
      <c r="X1410" t="s">
        <v>45</v>
      </c>
      <c r="Y1410" s="1">
        <v>30044</v>
      </c>
      <c r="Z1410">
        <v>1</v>
      </c>
      <c r="AA1410" t="s">
        <v>269</v>
      </c>
      <c r="AB1410" s="40" t="s">
        <v>1797</v>
      </c>
    </row>
    <row r="1411" spans="1:28" x14ac:dyDescent="0.25">
      <c r="A1411">
        <v>99911410</v>
      </c>
      <c r="B1411" t="s">
        <v>32</v>
      </c>
      <c r="C1411" t="s">
        <v>143</v>
      </c>
      <c r="D1411" t="s">
        <v>144</v>
      </c>
      <c r="G1411" t="s">
        <v>88</v>
      </c>
      <c r="H1411">
        <v>3</v>
      </c>
      <c r="I1411" t="s">
        <v>512</v>
      </c>
      <c r="J1411" s="1">
        <v>41518</v>
      </c>
      <c r="K1411" t="s">
        <v>195</v>
      </c>
      <c r="L1411" t="s">
        <v>196</v>
      </c>
      <c r="M1411" t="s">
        <v>131</v>
      </c>
      <c r="N1411">
        <v>18</v>
      </c>
      <c r="O1411" s="1">
        <v>41518</v>
      </c>
      <c r="P1411" t="s">
        <v>41</v>
      </c>
      <c r="Q1411" t="s">
        <v>75</v>
      </c>
      <c r="R1411" t="str">
        <f>"7521050"</f>
        <v>7521050</v>
      </c>
      <c r="S1411" t="s">
        <v>194</v>
      </c>
      <c r="T1411" t="s">
        <v>195</v>
      </c>
      <c r="U1411" t="s">
        <v>196</v>
      </c>
      <c r="V1411" t="s">
        <v>131</v>
      </c>
      <c r="W1411" t="s">
        <v>51</v>
      </c>
      <c r="X1411" t="s">
        <v>45</v>
      </c>
      <c r="Y1411" s="1">
        <v>29989</v>
      </c>
      <c r="Z1411">
        <v>1</v>
      </c>
      <c r="AA1411" t="s">
        <v>196</v>
      </c>
      <c r="AB1411" s="40" t="s">
        <v>1797</v>
      </c>
    </row>
    <row r="1412" spans="1:28" x14ac:dyDescent="0.25">
      <c r="A1412">
        <v>99911411</v>
      </c>
      <c r="B1412" t="s">
        <v>56</v>
      </c>
      <c r="C1412" t="s">
        <v>64</v>
      </c>
      <c r="D1412" t="s">
        <v>65</v>
      </c>
      <c r="G1412" t="s">
        <v>35</v>
      </c>
      <c r="H1412">
        <v>1</v>
      </c>
      <c r="I1412">
        <v>0</v>
      </c>
      <c r="J1412" s="1">
        <v>43344</v>
      </c>
      <c r="K1412" t="s">
        <v>223</v>
      </c>
      <c r="L1412" t="s">
        <v>224</v>
      </c>
      <c r="M1412" t="s">
        <v>131</v>
      </c>
      <c r="N1412">
        <v>18</v>
      </c>
      <c r="O1412" s="1">
        <v>43344</v>
      </c>
      <c r="P1412" t="s">
        <v>41</v>
      </c>
      <c r="Q1412" t="s">
        <v>42</v>
      </c>
      <c r="R1412" t="str">
        <f>"0580203"</f>
        <v>0580203</v>
      </c>
      <c r="S1412" t="s">
        <v>239</v>
      </c>
      <c r="T1412" t="s">
        <v>223</v>
      </c>
      <c r="U1412" t="s">
        <v>224</v>
      </c>
      <c r="V1412" t="s">
        <v>131</v>
      </c>
      <c r="W1412" t="s">
        <v>44</v>
      </c>
      <c r="X1412" t="s">
        <v>45</v>
      </c>
      <c r="Y1412" s="1">
        <v>29916</v>
      </c>
      <c r="Z1412">
        <v>2</v>
      </c>
      <c r="AA1412" t="s">
        <v>224</v>
      </c>
      <c r="AB1412" s="40" t="s">
        <v>1797</v>
      </c>
    </row>
    <row r="1413" spans="1:28" x14ac:dyDescent="0.25">
      <c r="A1413">
        <v>99911412</v>
      </c>
      <c r="B1413" t="s">
        <v>56</v>
      </c>
      <c r="C1413" t="s">
        <v>33</v>
      </c>
      <c r="D1413" t="s">
        <v>34</v>
      </c>
      <c r="G1413" t="s">
        <v>35</v>
      </c>
      <c r="H1413">
        <v>1</v>
      </c>
      <c r="I1413" t="s">
        <v>1177</v>
      </c>
      <c r="J1413" s="1">
        <v>42989</v>
      </c>
      <c r="K1413" t="s">
        <v>1171</v>
      </c>
      <c r="L1413" t="s">
        <v>1172</v>
      </c>
      <c r="M1413" t="s">
        <v>1130</v>
      </c>
      <c r="N1413">
        <v>18</v>
      </c>
      <c r="O1413" s="1">
        <v>42989</v>
      </c>
      <c r="P1413" t="s">
        <v>41</v>
      </c>
      <c r="Q1413" t="s">
        <v>42</v>
      </c>
      <c r="R1413" t="str">
        <f>"3561001"</f>
        <v>3561001</v>
      </c>
      <c r="S1413" t="s">
        <v>1173</v>
      </c>
      <c r="T1413" t="s">
        <v>1171</v>
      </c>
      <c r="U1413" t="s">
        <v>1172</v>
      </c>
      <c r="V1413" t="s">
        <v>1130</v>
      </c>
      <c r="W1413" t="s">
        <v>44</v>
      </c>
      <c r="X1413" t="s">
        <v>45</v>
      </c>
      <c r="Y1413" s="1">
        <v>29874</v>
      </c>
      <c r="Z1413">
        <v>2</v>
      </c>
      <c r="AA1413" t="s">
        <v>1172</v>
      </c>
      <c r="AB1413" s="40" t="s">
        <v>1797</v>
      </c>
    </row>
    <row r="1414" spans="1:28" x14ac:dyDescent="0.25">
      <c r="A1414">
        <v>99911413</v>
      </c>
      <c r="B1414" t="s">
        <v>32</v>
      </c>
      <c r="C1414" t="s">
        <v>64</v>
      </c>
      <c r="D1414" t="s">
        <v>65</v>
      </c>
      <c r="G1414" t="s">
        <v>48</v>
      </c>
      <c r="H1414">
        <v>1</v>
      </c>
      <c r="K1414" t="s">
        <v>1566</v>
      </c>
      <c r="L1414" t="s">
        <v>1567</v>
      </c>
      <c r="M1414" t="s">
        <v>1548</v>
      </c>
      <c r="N1414">
        <v>18</v>
      </c>
      <c r="P1414" t="s">
        <v>41</v>
      </c>
      <c r="Q1414" t="s">
        <v>49</v>
      </c>
      <c r="R1414" t="str">
        <f>"2960001"</f>
        <v>2960001</v>
      </c>
      <c r="S1414" t="s">
        <v>1569</v>
      </c>
      <c r="T1414" t="s">
        <v>1566</v>
      </c>
      <c r="U1414" t="s">
        <v>1567</v>
      </c>
      <c r="V1414" t="s">
        <v>1548</v>
      </c>
      <c r="W1414" t="s">
        <v>51</v>
      </c>
      <c r="X1414" t="s">
        <v>45</v>
      </c>
      <c r="Y1414" s="1">
        <v>29832</v>
      </c>
      <c r="Z1414">
        <v>2</v>
      </c>
      <c r="AA1414" t="s">
        <v>1567</v>
      </c>
      <c r="AB1414" s="40" t="s">
        <v>1797</v>
      </c>
    </row>
    <row r="1415" spans="1:28" x14ac:dyDescent="0.25">
      <c r="A1415">
        <v>99911414</v>
      </c>
      <c r="B1415" t="s">
        <v>32</v>
      </c>
      <c r="C1415" t="s">
        <v>71</v>
      </c>
      <c r="D1415" t="s">
        <v>72</v>
      </c>
      <c r="G1415" t="s">
        <v>35</v>
      </c>
      <c r="H1415">
        <v>1</v>
      </c>
      <c r="I1415" t="s">
        <v>286</v>
      </c>
      <c r="J1415" s="1">
        <v>43354</v>
      </c>
      <c r="K1415" t="s">
        <v>223</v>
      </c>
      <c r="L1415" t="s">
        <v>224</v>
      </c>
      <c r="M1415" t="s">
        <v>131</v>
      </c>
      <c r="N1415">
        <v>18</v>
      </c>
      <c r="O1415" s="1">
        <v>43354</v>
      </c>
      <c r="P1415" t="s">
        <v>41</v>
      </c>
      <c r="Q1415" t="s">
        <v>49</v>
      </c>
      <c r="R1415" t="str">
        <f>"0581204"</f>
        <v>0581204</v>
      </c>
      <c r="S1415" t="s">
        <v>249</v>
      </c>
      <c r="T1415" t="s">
        <v>223</v>
      </c>
      <c r="U1415" t="s">
        <v>224</v>
      </c>
      <c r="V1415" t="s">
        <v>131</v>
      </c>
      <c r="W1415" t="s">
        <v>44</v>
      </c>
      <c r="X1415" t="s">
        <v>45</v>
      </c>
      <c r="Y1415" s="1">
        <v>29722</v>
      </c>
      <c r="Z1415">
        <v>2</v>
      </c>
      <c r="AA1415" t="s">
        <v>224</v>
      </c>
      <c r="AB1415" s="40" t="s">
        <v>1797</v>
      </c>
    </row>
    <row r="1416" spans="1:28" x14ac:dyDescent="0.25">
      <c r="A1416">
        <v>99911415</v>
      </c>
      <c r="B1416" t="s">
        <v>32</v>
      </c>
      <c r="C1416" t="s">
        <v>79</v>
      </c>
      <c r="D1416" t="s">
        <v>80</v>
      </c>
      <c r="G1416" t="s">
        <v>35</v>
      </c>
      <c r="H1416">
        <v>2</v>
      </c>
      <c r="K1416" t="s">
        <v>1426</v>
      </c>
      <c r="L1416" t="s">
        <v>1427</v>
      </c>
      <c r="M1416" t="s">
        <v>1270</v>
      </c>
      <c r="N1416">
        <v>18</v>
      </c>
      <c r="P1416" t="s">
        <v>41</v>
      </c>
      <c r="Q1416" t="s">
        <v>75</v>
      </c>
      <c r="R1416" t="str">
        <f>"7192000"</f>
        <v>7192000</v>
      </c>
      <c r="S1416" t="s">
        <v>1429</v>
      </c>
      <c r="T1416" t="s">
        <v>1426</v>
      </c>
      <c r="U1416" t="s">
        <v>1427</v>
      </c>
      <c r="V1416" t="s">
        <v>1270</v>
      </c>
      <c r="W1416" t="s">
        <v>51</v>
      </c>
      <c r="X1416" t="s">
        <v>45</v>
      </c>
      <c r="Y1416" s="1">
        <v>29699</v>
      </c>
      <c r="Z1416">
        <v>1</v>
      </c>
      <c r="AA1416" t="s">
        <v>1427</v>
      </c>
      <c r="AB1416" s="40" t="s">
        <v>1797</v>
      </c>
    </row>
    <row r="1417" spans="1:28" x14ac:dyDescent="0.25">
      <c r="A1417">
        <v>99911416</v>
      </c>
      <c r="B1417" t="s">
        <v>32</v>
      </c>
      <c r="C1417" t="s">
        <v>82</v>
      </c>
      <c r="D1417" t="s">
        <v>83</v>
      </c>
      <c r="G1417" t="s">
        <v>48</v>
      </c>
      <c r="H1417">
        <v>1</v>
      </c>
      <c r="K1417" t="s">
        <v>300</v>
      </c>
      <c r="L1417" t="s">
        <v>301</v>
      </c>
      <c r="M1417" t="s">
        <v>131</v>
      </c>
      <c r="N1417">
        <v>18</v>
      </c>
      <c r="P1417" t="s">
        <v>41</v>
      </c>
      <c r="Q1417" t="s">
        <v>42</v>
      </c>
      <c r="R1417" t="str">
        <f>"0580106"</f>
        <v>0580106</v>
      </c>
      <c r="S1417" t="s">
        <v>306</v>
      </c>
      <c r="T1417" t="s">
        <v>300</v>
      </c>
      <c r="U1417" t="s">
        <v>301</v>
      </c>
      <c r="V1417" t="s">
        <v>131</v>
      </c>
      <c r="W1417" t="s">
        <v>51</v>
      </c>
      <c r="X1417" t="s">
        <v>45</v>
      </c>
      <c r="Y1417" s="1">
        <v>29693</v>
      </c>
      <c r="Z1417">
        <v>2</v>
      </c>
      <c r="AA1417" t="s">
        <v>301</v>
      </c>
      <c r="AB1417" s="40" t="s">
        <v>1797</v>
      </c>
    </row>
    <row r="1418" spans="1:28" x14ac:dyDescent="0.25">
      <c r="A1418">
        <v>99911417</v>
      </c>
      <c r="B1418" t="s">
        <v>56</v>
      </c>
      <c r="C1418" t="s">
        <v>79</v>
      </c>
      <c r="D1418" t="s">
        <v>80</v>
      </c>
      <c r="G1418" t="s">
        <v>35</v>
      </c>
      <c r="H1418">
        <v>1</v>
      </c>
      <c r="I1418">
        <v>8702</v>
      </c>
      <c r="J1418" s="1">
        <v>42978</v>
      </c>
      <c r="K1418" t="s">
        <v>1325</v>
      </c>
      <c r="L1418" t="s">
        <v>1326</v>
      </c>
      <c r="M1418" t="s">
        <v>1270</v>
      </c>
      <c r="N1418">
        <v>18</v>
      </c>
      <c r="O1418" s="1">
        <v>42979</v>
      </c>
      <c r="P1418" t="s">
        <v>41</v>
      </c>
      <c r="Q1418" t="s">
        <v>49</v>
      </c>
      <c r="R1418" t="str">
        <f>"3981100"</f>
        <v>3981100</v>
      </c>
      <c r="S1418" t="s">
        <v>1327</v>
      </c>
      <c r="T1418" t="s">
        <v>1325</v>
      </c>
      <c r="U1418" t="s">
        <v>1326</v>
      </c>
      <c r="V1418" t="s">
        <v>1270</v>
      </c>
      <c r="W1418" t="s">
        <v>51</v>
      </c>
      <c r="X1418" t="s">
        <v>45</v>
      </c>
      <c r="Y1418" s="1">
        <v>29363</v>
      </c>
      <c r="Z1418">
        <v>2</v>
      </c>
      <c r="AA1418" t="s">
        <v>1326</v>
      </c>
      <c r="AB1418" s="40" t="s">
        <v>1797</v>
      </c>
    </row>
    <row r="1419" spans="1:28" x14ac:dyDescent="0.25">
      <c r="A1419">
        <v>99911418</v>
      </c>
      <c r="B1419" t="s">
        <v>32</v>
      </c>
      <c r="C1419" t="s">
        <v>79</v>
      </c>
      <c r="D1419" t="s">
        <v>80</v>
      </c>
      <c r="G1419" t="s">
        <v>35</v>
      </c>
      <c r="H1419">
        <v>1</v>
      </c>
      <c r="K1419" t="s">
        <v>223</v>
      </c>
      <c r="L1419" t="s">
        <v>224</v>
      </c>
      <c r="M1419" t="s">
        <v>131</v>
      </c>
      <c r="N1419">
        <v>18</v>
      </c>
      <c r="P1419" t="s">
        <v>41</v>
      </c>
      <c r="Q1419" t="s">
        <v>42</v>
      </c>
      <c r="R1419" t="str">
        <f>"0590903"</f>
        <v>0590903</v>
      </c>
      <c r="S1419" t="s">
        <v>226</v>
      </c>
      <c r="T1419" t="s">
        <v>223</v>
      </c>
      <c r="U1419" t="s">
        <v>224</v>
      </c>
      <c r="V1419" t="s">
        <v>131</v>
      </c>
      <c r="W1419" t="s">
        <v>51</v>
      </c>
      <c r="X1419" t="s">
        <v>45</v>
      </c>
      <c r="Y1419" s="1">
        <v>29288</v>
      </c>
      <c r="Z1419">
        <v>2</v>
      </c>
      <c r="AA1419" t="s">
        <v>224</v>
      </c>
      <c r="AB1419" s="40" t="s">
        <v>1797</v>
      </c>
    </row>
    <row r="1420" spans="1:28" x14ac:dyDescent="0.25">
      <c r="A1420">
        <v>99911419</v>
      </c>
      <c r="B1420" t="s">
        <v>32</v>
      </c>
      <c r="C1420" t="s">
        <v>68</v>
      </c>
      <c r="D1420" t="s">
        <v>69</v>
      </c>
      <c r="G1420" t="s">
        <v>35</v>
      </c>
      <c r="H1420">
        <v>1</v>
      </c>
      <c r="K1420" t="s">
        <v>157</v>
      </c>
      <c r="L1420" t="s">
        <v>158</v>
      </c>
      <c r="M1420" t="s">
        <v>131</v>
      </c>
      <c r="N1420">
        <v>18</v>
      </c>
      <c r="P1420" t="s">
        <v>41</v>
      </c>
      <c r="Q1420" t="s">
        <v>49</v>
      </c>
      <c r="R1420" t="str">
        <f>"0581725"</f>
        <v>0581725</v>
      </c>
      <c r="S1420" t="s">
        <v>161</v>
      </c>
      <c r="T1420" t="s">
        <v>157</v>
      </c>
      <c r="U1420" t="s">
        <v>158</v>
      </c>
      <c r="V1420" t="s">
        <v>131</v>
      </c>
      <c r="W1420" t="s">
        <v>51</v>
      </c>
      <c r="X1420" t="s">
        <v>45</v>
      </c>
      <c r="Y1420" s="1">
        <v>29221</v>
      </c>
      <c r="Z1420">
        <v>2</v>
      </c>
      <c r="AA1420" t="s">
        <v>158</v>
      </c>
      <c r="AB1420" s="40" t="s">
        <v>1797</v>
      </c>
    </row>
    <row r="1421" spans="1:28" x14ac:dyDescent="0.25">
      <c r="A1421">
        <v>99911420</v>
      </c>
      <c r="B1421" t="s">
        <v>32</v>
      </c>
      <c r="C1421" t="s">
        <v>64</v>
      </c>
      <c r="D1421" t="s">
        <v>65</v>
      </c>
      <c r="G1421" t="s">
        <v>35</v>
      </c>
      <c r="H1421">
        <v>1</v>
      </c>
      <c r="K1421" t="s">
        <v>268</v>
      </c>
      <c r="L1421" t="s">
        <v>269</v>
      </c>
      <c r="M1421" t="s">
        <v>131</v>
      </c>
      <c r="N1421">
        <v>18</v>
      </c>
      <c r="P1421" t="s">
        <v>41</v>
      </c>
      <c r="Q1421" t="s">
        <v>75</v>
      </c>
      <c r="R1421" t="str">
        <f>"7052036"</f>
        <v>7052036</v>
      </c>
      <c r="S1421" t="s">
        <v>679</v>
      </c>
      <c r="T1421" t="s">
        <v>268</v>
      </c>
      <c r="U1421" t="s">
        <v>269</v>
      </c>
      <c r="V1421" t="s">
        <v>131</v>
      </c>
      <c r="W1421" t="s">
        <v>51</v>
      </c>
      <c r="X1421" t="s">
        <v>45</v>
      </c>
      <c r="Y1421" s="1">
        <v>29221</v>
      </c>
      <c r="Z1421">
        <v>1</v>
      </c>
      <c r="AA1421" t="s">
        <v>269</v>
      </c>
      <c r="AB1421" s="40" t="s">
        <v>1797</v>
      </c>
    </row>
    <row r="1422" spans="1:28" x14ac:dyDescent="0.25">
      <c r="A1422">
        <v>99911421</v>
      </c>
      <c r="B1422" t="s">
        <v>32</v>
      </c>
      <c r="C1422" t="s">
        <v>85</v>
      </c>
      <c r="D1422" t="s">
        <v>86</v>
      </c>
      <c r="G1422" t="s">
        <v>35</v>
      </c>
      <c r="H1422">
        <v>1</v>
      </c>
      <c r="K1422" t="s">
        <v>1268</v>
      </c>
      <c r="L1422" t="s">
        <v>1269</v>
      </c>
      <c r="M1422" t="s">
        <v>1270</v>
      </c>
      <c r="N1422">
        <v>18</v>
      </c>
      <c r="P1422" t="s">
        <v>41</v>
      </c>
      <c r="Q1422" t="s">
        <v>42</v>
      </c>
      <c r="R1422" t="str">
        <f>"1990001"</f>
        <v>1990001</v>
      </c>
      <c r="S1422" t="s">
        <v>1294</v>
      </c>
      <c r="T1422" t="s">
        <v>1268</v>
      </c>
      <c r="U1422" t="s">
        <v>1269</v>
      </c>
      <c r="V1422" t="s">
        <v>1270</v>
      </c>
      <c r="W1422" t="s">
        <v>51</v>
      </c>
      <c r="X1422" t="s">
        <v>45</v>
      </c>
      <c r="Y1422" s="1">
        <v>29148</v>
      </c>
      <c r="Z1422">
        <v>2</v>
      </c>
      <c r="AA1422" t="s">
        <v>1269</v>
      </c>
      <c r="AB1422" s="40" t="s">
        <v>1797</v>
      </c>
    </row>
    <row r="1423" spans="1:28" x14ac:dyDescent="0.25">
      <c r="A1423">
        <v>99911422</v>
      </c>
      <c r="B1423" t="s">
        <v>32</v>
      </c>
      <c r="C1423" t="s">
        <v>64</v>
      </c>
      <c r="D1423" t="s">
        <v>65</v>
      </c>
      <c r="G1423" t="s">
        <v>35</v>
      </c>
      <c r="H1423">
        <v>1</v>
      </c>
      <c r="I1423">
        <v>8038</v>
      </c>
      <c r="J1423" s="1">
        <v>43344</v>
      </c>
      <c r="K1423" t="s">
        <v>1198</v>
      </c>
      <c r="L1423" t="s">
        <v>1199</v>
      </c>
      <c r="M1423" t="s">
        <v>1130</v>
      </c>
      <c r="N1423">
        <v>18</v>
      </c>
      <c r="O1423" s="1">
        <v>43344</v>
      </c>
      <c r="P1423" t="s">
        <v>41</v>
      </c>
      <c r="Q1423" t="s">
        <v>75</v>
      </c>
      <c r="R1423" t="str">
        <f>"7311002"</f>
        <v>7311002</v>
      </c>
      <c r="S1423" t="s">
        <v>1203</v>
      </c>
      <c r="T1423" t="s">
        <v>1198</v>
      </c>
      <c r="U1423" t="s">
        <v>1199</v>
      </c>
      <c r="V1423" t="s">
        <v>1130</v>
      </c>
      <c r="W1423" t="s">
        <v>51</v>
      </c>
      <c r="X1423" t="s">
        <v>45</v>
      </c>
      <c r="Y1423" s="1">
        <v>28856</v>
      </c>
      <c r="Z1423">
        <v>1</v>
      </c>
      <c r="AA1423" t="s">
        <v>1199</v>
      </c>
      <c r="AB1423" s="40" t="s">
        <v>1797</v>
      </c>
    </row>
    <row r="1424" spans="1:28" x14ac:dyDescent="0.25">
      <c r="A1424">
        <v>99911423</v>
      </c>
      <c r="B1424" t="s">
        <v>56</v>
      </c>
      <c r="C1424" t="s">
        <v>85</v>
      </c>
      <c r="D1424" t="s">
        <v>86</v>
      </c>
      <c r="E1424" t="s">
        <v>46</v>
      </c>
      <c r="F1424" t="s">
        <v>47</v>
      </c>
      <c r="G1424" t="s">
        <v>48</v>
      </c>
      <c r="H1424">
        <v>1</v>
      </c>
      <c r="K1424" t="s">
        <v>1487</v>
      </c>
      <c r="L1424" t="s">
        <v>1488</v>
      </c>
      <c r="M1424" t="s">
        <v>670</v>
      </c>
      <c r="N1424">
        <v>18</v>
      </c>
      <c r="P1424" t="s">
        <v>41</v>
      </c>
      <c r="Q1424" t="s">
        <v>49</v>
      </c>
      <c r="R1424" t="str">
        <f>"1760001"</f>
        <v>1760001</v>
      </c>
      <c r="S1424" t="s">
        <v>1489</v>
      </c>
      <c r="T1424" t="s">
        <v>1487</v>
      </c>
      <c r="U1424" t="s">
        <v>1488</v>
      </c>
      <c r="V1424" t="s">
        <v>670</v>
      </c>
      <c r="W1424" t="s">
        <v>51</v>
      </c>
      <c r="X1424" t="s">
        <v>45</v>
      </c>
      <c r="Y1424" s="1">
        <v>28856</v>
      </c>
      <c r="Z1424">
        <v>2</v>
      </c>
      <c r="AA1424" t="s">
        <v>1488</v>
      </c>
      <c r="AB1424" s="40" t="s">
        <v>1797</v>
      </c>
    </row>
    <row r="1425" spans="1:28" x14ac:dyDescent="0.25">
      <c r="A1425">
        <v>99911424</v>
      </c>
      <c r="B1425" t="s">
        <v>32</v>
      </c>
      <c r="C1425" t="s">
        <v>71</v>
      </c>
      <c r="D1425" t="s">
        <v>72</v>
      </c>
      <c r="G1425" t="s">
        <v>48</v>
      </c>
      <c r="H1425">
        <v>1</v>
      </c>
      <c r="K1425" t="s">
        <v>1128</v>
      </c>
      <c r="L1425" t="s">
        <v>1129</v>
      </c>
      <c r="M1425" t="s">
        <v>1130</v>
      </c>
      <c r="N1425">
        <v>18</v>
      </c>
      <c r="P1425" t="s">
        <v>41</v>
      </c>
      <c r="Q1425" t="s">
        <v>49</v>
      </c>
      <c r="R1425" t="str">
        <f>"3181010"</f>
        <v>3181010</v>
      </c>
      <c r="S1425" t="s">
        <v>1134</v>
      </c>
      <c r="T1425" t="s">
        <v>1128</v>
      </c>
      <c r="U1425" t="s">
        <v>1129</v>
      </c>
      <c r="V1425" t="s">
        <v>1130</v>
      </c>
      <c r="W1425" t="s">
        <v>165</v>
      </c>
      <c r="X1425" t="s">
        <v>45</v>
      </c>
      <c r="Y1425" s="1">
        <v>28763</v>
      </c>
      <c r="Z1425">
        <v>2</v>
      </c>
      <c r="AA1425" t="s">
        <v>1129</v>
      </c>
      <c r="AB1425" s="40" t="s">
        <v>1797</v>
      </c>
    </row>
    <row r="1426" spans="1:28" x14ac:dyDescent="0.25">
      <c r="A1426">
        <v>99911425</v>
      </c>
      <c r="B1426" t="s">
        <v>32</v>
      </c>
      <c r="C1426" t="s">
        <v>141</v>
      </c>
      <c r="D1426" t="s">
        <v>142</v>
      </c>
      <c r="G1426" t="s">
        <v>48</v>
      </c>
      <c r="H1426">
        <v>1</v>
      </c>
      <c r="K1426" t="s">
        <v>223</v>
      </c>
      <c r="L1426" t="s">
        <v>224</v>
      </c>
      <c r="M1426" t="s">
        <v>131</v>
      </c>
      <c r="N1426">
        <v>18</v>
      </c>
      <c r="P1426" t="s">
        <v>41</v>
      </c>
      <c r="Q1426" t="s">
        <v>49</v>
      </c>
      <c r="R1426" t="str">
        <f>"0581204"</f>
        <v>0581204</v>
      </c>
      <c r="S1426" t="s">
        <v>249</v>
      </c>
      <c r="T1426" t="s">
        <v>223</v>
      </c>
      <c r="U1426" t="s">
        <v>224</v>
      </c>
      <c r="V1426" t="s">
        <v>131</v>
      </c>
      <c r="W1426" t="s">
        <v>51</v>
      </c>
      <c r="X1426" t="s">
        <v>45</v>
      </c>
      <c r="Y1426" s="1">
        <v>28542</v>
      </c>
      <c r="Z1426">
        <v>2</v>
      </c>
      <c r="AA1426" t="s">
        <v>224</v>
      </c>
      <c r="AB1426" s="40" t="s">
        <v>1797</v>
      </c>
    </row>
    <row r="1427" spans="1:28" x14ac:dyDescent="0.25">
      <c r="A1427">
        <v>99911426</v>
      </c>
      <c r="B1427" t="s">
        <v>56</v>
      </c>
      <c r="C1427" t="s">
        <v>61</v>
      </c>
      <c r="D1427" t="s">
        <v>62</v>
      </c>
      <c r="G1427" t="s">
        <v>48</v>
      </c>
      <c r="H1427">
        <v>1</v>
      </c>
      <c r="K1427" t="s">
        <v>345</v>
      </c>
      <c r="L1427" t="s">
        <v>346</v>
      </c>
      <c r="M1427" t="s">
        <v>131</v>
      </c>
      <c r="N1427">
        <v>18</v>
      </c>
      <c r="P1427" t="s">
        <v>41</v>
      </c>
      <c r="Q1427" t="s">
        <v>42</v>
      </c>
      <c r="R1427" t="str">
        <f>"0580650"</f>
        <v>0580650</v>
      </c>
      <c r="S1427" t="s">
        <v>356</v>
      </c>
      <c r="T1427" t="s">
        <v>345</v>
      </c>
      <c r="U1427" t="s">
        <v>346</v>
      </c>
      <c r="V1427" t="s">
        <v>131</v>
      </c>
      <c r="W1427" t="s">
        <v>51</v>
      </c>
      <c r="X1427" t="s">
        <v>45</v>
      </c>
      <c r="Y1427" s="1">
        <v>28521</v>
      </c>
      <c r="Z1427">
        <v>2</v>
      </c>
      <c r="AA1427" t="s">
        <v>346</v>
      </c>
      <c r="AB1427" s="40" t="s">
        <v>1797</v>
      </c>
    </row>
    <row r="1428" spans="1:28" x14ac:dyDescent="0.25">
      <c r="A1428">
        <v>99911427</v>
      </c>
      <c r="B1428" t="s">
        <v>56</v>
      </c>
      <c r="C1428" t="s">
        <v>143</v>
      </c>
      <c r="D1428" t="s">
        <v>144</v>
      </c>
      <c r="G1428" t="s">
        <v>35</v>
      </c>
      <c r="H1428">
        <v>1</v>
      </c>
      <c r="I1428" t="s">
        <v>662</v>
      </c>
      <c r="J1428" s="1">
        <v>43344</v>
      </c>
      <c r="K1428" t="s">
        <v>268</v>
      </c>
      <c r="L1428" t="s">
        <v>269</v>
      </c>
      <c r="M1428" t="s">
        <v>131</v>
      </c>
      <c r="N1428">
        <v>18</v>
      </c>
      <c r="O1428" s="1">
        <v>43344</v>
      </c>
      <c r="P1428" t="s">
        <v>41</v>
      </c>
      <c r="Q1428" t="s">
        <v>75</v>
      </c>
      <c r="R1428" t="str">
        <f>"7052020"</f>
        <v>7052020</v>
      </c>
      <c r="S1428" t="s">
        <v>267</v>
      </c>
      <c r="T1428" t="s">
        <v>268</v>
      </c>
      <c r="U1428" t="s">
        <v>269</v>
      </c>
      <c r="V1428" t="s">
        <v>131</v>
      </c>
      <c r="W1428" t="s">
        <v>51</v>
      </c>
      <c r="X1428" t="s">
        <v>45</v>
      </c>
      <c r="Y1428" s="1">
        <v>28517</v>
      </c>
      <c r="Z1428">
        <v>1</v>
      </c>
      <c r="AA1428" t="s">
        <v>269</v>
      </c>
      <c r="AB1428" s="40" t="s">
        <v>1797</v>
      </c>
    </row>
    <row r="1429" spans="1:28" x14ac:dyDescent="0.25">
      <c r="A1429">
        <v>99911428</v>
      </c>
      <c r="B1429" t="s">
        <v>32</v>
      </c>
      <c r="C1429" t="s">
        <v>46</v>
      </c>
      <c r="D1429" t="s">
        <v>47</v>
      </c>
      <c r="G1429" t="s">
        <v>35</v>
      </c>
      <c r="H1429">
        <v>1</v>
      </c>
      <c r="K1429" t="s">
        <v>223</v>
      </c>
      <c r="L1429" t="s">
        <v>224</v>
      </c>
      <c r="M1429" t="s">
        <v>131</v>
      </c>
      <c r="N1429">
        <v>18</v>
      </c>
      <c r="P1429" t="s">
        <v>41</v>
      </c>
      <c r="Q1429" t="s">
        <v>49</v>
      </c>
      <c r="R1429" t="str">
        <f>"0591901"</f>
        <v>0591901</v>
      </c>
      <c r="S1429" t="s">
        <v>230</v>
      </c>
      <c r="T1429" t="s">
        <v>223</v>
      </c>
      <c r="U1429" t="s">
        <v>224</v>
      </c>
      <c r="V1429" t="s">
        <v>131</v>
      </c>
      <c r="W1429" t="s">
        <v>51</v>
      </c>
      <c r="X1429" t="s">
        <v>45</v>
      </c>
      <c r="Y1429" s="1">
        <v>28268</v>
      </c>
      <c r="Z1429">
        <v>2</v>
      </c>
      <c r="AA1429" t="s">
        <v>224</v>
      </c>
      <c r="AB1429" s="40" t="s">
        <v>1797</v>
      </c>
    </row>
    <row r="1430" spans="1:28" x14ac:dyDescent="0.25">
      <c r="A1430">
        <v>99911429</v>
      </c>
      <c r="B1430" t="s">
        <v>56</v>
      </c>
      <c r="C1430" t="s">
        <v>46</v>
      </c>
      <c r="D1430" t="s">
        <v>47</v>
      </c>
      <c r="G1430" t="s">
        <v>35</v>
      </c>
      <c r="H1430">
        <v>1</v>
      </c>
      <c r="K1430" t="s">
        <v>223</v>
      </c>
      <c r="L1430" t="s">
        <v>224</v>
      </c>
      <c r="M1430" t="s">
        <v>131</v>
      </c>
      <c r="N1430">
        <v>18</v>
      </c>
      <c r="P1430" t="s">
        <v>41</v>
      </c>
      <c r="Q1430" t="s">
        <v>42</v>
      </c>
      <c r="R1430" t="str">
        <f>"0590903"</f>
        <v>0590903</v>
      </c>
      <c r="S1430" t="s">
        <v>226</v>
      </c>
      <c r="T1430" t="s">
        <v>223</v>
      </c>
      <c r="U1430" t="s">
        <v>224</v>
      </c>
      <c r="V1430" t="s">
        <v>131</v>
      </c>
      <c r="W1430" t="s">
        <v>51</v>
      </c>
      <c r="X1430" t="s">
        <v>45</v>
      </c>
      <c r="Y1430" s="1">
        <v>28161</v>
      </c>
      <c r="Z1430">
        <v>2</v>
      </c>
      <c r="AA1430" t="s">
        <v>224</v>
      </c>
      <c r="AB1430" s="40" t="s">
        <v>1797</v>
      </c>
    </row>
    <row r="1431" spans="1:28" x14ac:dyDescent="0.25">
      <c r="A1431">
        <v>99911430</v>
      </c>
      <c r="B1431" t="s">
        <v>32</v>
      </c>
      <c r="C1431" t="s">
        <v>141</v>
      </c>
      <c r="D1431" t="s">
        <v>142</v>
      </c>
      <c r="G1431" t="s">
        <v>35</v>
      </c>
      <c r="H1431">
        <v>1</v>
      </c>
      <c r="I1431">
        <v>1084</v>
      </c>
      <c r="J1431" s="1">
        <v>43344</v>
      </c>
      <c r="K1431" t="s">
        <v>1198</v>
      </c>
      <c r="L1431" t="s">
        <v>1199</v>
      </c>
      <c r="M1431" t="s">
        <v>1130</v>
      </c>
      <c r="N1431">
        <v>18</v>
      </c>
      <c r="O1431" s="1">
        <v>43344</v>
      </c>
      <c r="P1431" t="s">
        <v>41</v>
      </c>
      <c r="Q1431" t="s">
        <v>75</v>
      </c>
      <c r="R1431" t="str">
        <f>"7311002"</f>
        <v>7311002</v>
      </c>
      <c r="S1431" t="s">
        <v>1203</v>
      </c>
      <c r="T1431" t="s">
        <v>1198</v>
      </c>
      <c r="U1431" t="s">
        <v>1199</v>
      </c>
      <c r="V1431" t="s">
        <v>1130</v>
      </c>
      <c r="W1431" t="s">
        <v>51</v>
      </c>
      <c r="X1431" t="s">
        <v>45</v>
      </c>
      <c r="Y1431" s="1">
        <v>28126</v>
      </c>
      <c r="Z1431">
        <v>1</v>
      </c>
      <c r="AA1431" t="s">
        <v>1199</v>
      </c>
      <c r="AB1431" s="40" t="s">
        <v>1797</v>
      </c>
    </row>
    <row r="1432" spans="1:28" x14ac:dyDescent="0.25">
      <c r="A1432">
        <v>99911431</v>
      </c>
      <c r="B1432" t="s">
        <v>32</v>
      </c>
      <c r="C1432" t="s">
        <v>58</v>
      </c>
      <c r="D1432" t="s">
        <v>59</v>
      </c>
      <c r="G1432" t="s">
        <v>35</v>
      </c>
      <c r="H1432">
        <v>1</v>
      </c>
      <c r="K1432" t="s">
        <v>223</v>
      </c>
      <c r="L1432" t="s">
        <v>224</v>
      </c>
      <c r="M1432" t="s">
        <v>131</v>
      </c>
      <c r="N1432">
        <v>18</v>
      </c>
      <c r="P1432" t="s">
        <v>41</v>
      </c>
      <c r="Q1432" t="s">
        <v>42</v>
      </c>
      <c r="R1432" t="str">
        <f>"0590903"</f>
        <v>0590903</v>
      </c>
      <c r="S1432" t="s">
        <v>226</v>
      </c>
      <c r="T1432" t="s">
        <v>223</v>
      </c>
      <c r="U1432" t="s">
        <v>224</v>
      </c>
      <c r="V1432" t="s">
        <v>131</v>
      </c>
      <c r="W1432" t="s">
        <v>51</v>
      </c>
      <c r="X1432" t="s">
        <v>45</v>
      </c>
      <c r="Y1432" s="1">
        <v>28033</v>
      </c>
      <c r="Z1432">
        <v>2</v>
      </c>
      <c r="AA1432" t="s">
        <v>224</v>
      </c>
      <c r="AB1432" s="40" t="s">
        <v>1797</v>
      </c>
    </row>
    <row r="1433" spans="1:28" x14ac:dyDescent="0.25">
      <c r="A1433">
        <v>99911432</v>
      </c>
      <c r="B1433" t="s">
        <v>56</v>
      </c>
      <c r="C1433" t="s">
        <v>52</v>
      </c>
      <c r="D1433" t="s">
        <v>53</v>
      </c>
      <c r="G1433" t="s">
        <v>35</v>
      </c>
      <c r="H1433">
        <v>1</v>
      </c>
      <c r="K1433" t="s">
        <v>300</v>
      </c>
      <c r="L1433" t="s">
        <v>301</v>
      </c>
      <c r="M1433" t="s">
        <v>131</v>
      </c>
      <c r="N1433">
        <v>18</v>
      </c>
      <c r="P1433" t="s">
        <v>41</v>
      </c>
      <c r="Q1433" t="s">
        <v>49</v>
      </c>
      <c r="R1433" t="str">
        <f>"0560002"</f>
        <v>0560002</v>
      </c>
      <c r="S1433" t="s">
        <v>315</v>
      </c>
      <c r="T1433" t="s">
        <v>300</v>
      </c>
      <c r="U1433" t="s">
        <v>301</v>
      </c>
      <c r="V1433" t="s">
        <v>131</v>
      </c>
      <c r="W1433" t="s">
        <v>165</v>
      </c>
      <c r="X1433" t="s">
        <v>45</v>
      </c>
      <c r="Y1433" s="1">
        <v>28019</v>
      </c>
      <c r="Z1433">
        <v>2</v>
      </c>
      <c r="AA1433" t="s">
        <v>301</v>
      </c>
      <c r="AB1433" s="40" t="s">
        <v>1797</v>
      </c>
    </row>
    <row r="1434" spans="1:28" x14ac:dyDescent="0.25">
      <c r="A1434">
        <v>99911433</v>
      </c>
      <c r="B1434" t="s">
        <v>32</v>
      </c>
      <c r="C1434" t="s">
        <v>79</v>
      </c>
      <c r="D1434" t="s">
        <v>80</v>
      </c>
      <c r="G1434" t="s">
        <v>48</v>
      </c>
      <c r="H1434">
        <v>1</v>
      </c>
      <c r="K1434" t="s">
        <v>223</v>
      </c>
      <c r="L1434" t="s">
        <v>224</v>
      </c>
      <c r="M1434" t="s">
        <v>131</v>
      </c>
      <c r="N1434">
        <v>18</v>
      </c>
      <c r="P1434" t="s">
        <v>41</v>
      </c>
      <c r="Q1434" t="s">
        <v>75</v>
      </c>
      <c r="R1434" t="str">
        <f>"7052008"</f>
        <v>7052008</v>
      </c>
      <c r="S1434" t="s">
        <v>274</v>
      </c>
      <c r="T1434" t="s">
        <v>268</v>
      </c>
      <c r="U1434" t="s">
        <v>269</v>
      </c>
      <c r="V1434" t="s">
        <v>131</v>
      </c>
      <c r="W1434" t="s">
        <v>51</v>
      </c>
      <c r="X1434" t="s">
        <v>45</v>
      </c>
      <c r="Y1434" s="1">
        <v>27927</v>
      </c>
      <c r="Z1434">
        <v>2</v>
      </c>
      <c r="AA1434" t="s">
        <v>224</v>
      </c>
      <c r="AB1434" s="40" t="s">
        <v>1797</v>
      </c>
    </row>
    <row r="1435" spans="1:28" x14ac:dyDescent="0.25">
      <c r="A1435">
        <v>99911434</v>
      </c>
      <c r="B1435" t="s">
        <v>32</v>
      </c>
      <c r="C1435" t="s">
        <v>82</v>
      </c>
      <c r="D1435" t="s">
        <v>83</v>
      </c>
      <c r="G1435" t="s">
        <v>48</v>
      </c>
      <c r="H1435">
        <v>1</v>
      </c>
      <c r="K1435" t="s">
        <v>936</v>
      </c>
      <c r="L1435" t="s">
        <v>937</v>
      </c>
      <c r="M1435" t="s">
        <v>938</v>
      </c>
      <c r="N1435">
        <v>18</v>
      </c>
      <c r="P1435" t="s">
        <v>41</v>
      </c>
      <c r="Q1435" t="s">
        <v>49</v>
      </c>
      <c r="R1435" t="str">
        <f>"0180017"</f>
        <v>0180017</v>
      </c>
      <c r="S1435" t="s">
        <v>943</v>
      </c>
      <c r="T1435" t="s">
        <v>936</v>
      </c>
      <c r="U1435" t="s">
        <v>937</v>
      </c>
      <c r="V1435" t="s">
        <v>938</v>
      </c>
      <c r="W1435" t="s">
        <v>51</v>
      </c>
      <c r="X1435" t="s">
        <v>45</v>
      </c>
      <c r="Y1435" s="1">
        <v>27907</v>
      </c>
      <c r="Z1435">
        <v>2</v>
      </c>
      <c r="AA1435" t="s">
        <v>937</v>
      </c>
      <c r="AB1435" s="40" t="s">
        <v>1797</v>
      </c>
    </row>
    <row r="1436" spans="1:28" x14ac:dyDescent="0.25">
      <c r="A1436">
        <v>99911435</v>
      </c>
      <c r="B1436" t="s">
        <v>32</v>
      </c>
      <c r="C1436" t="s">
        <v>46</v>
      </c>
      <c r="D1436" t="s">
        <v>47</v>
      </c>
      <c r="G1436" t="s">
        <v>48</v>
      </c>
      <c r="H1436">
        <v>1</v>
      </c>
      <c r="K1436" t="s">
        <v>162</v>
      </c>
      <c r="L1436" t="s">
        <v>158</v>
      </c>
      <c r="M1436" t="s">
        <v>131</v>
      </c>
      <c r="N1436">
        <v>18</v>
      </c>
      <c r="P1436" t="s">
        <v>41</v>
      </c>
      <c r="Q1436" t="s">
        <v>49</v>
      </c>
      <c r="R1436" t="str">
        <f>"0560027"</f>
        <v>0560027</v>
      </c>
      <c r="S1436" t="s">
        <v>178</v>
      </c>
      <c r="T1436" t="s">
        <v>162</v>
      </c>
      <c r="U1436" t="s">
        <v>158</v>
      </c>
      <c r="V1436" t="s">
        <v>131</v>
      </c>
      <c r="W1436" t="s">
        <v>51</v>
      </c>
      <c r="X1436" t="s">
        <v>45</v>
      </c>
      <c r="Y1436" s="1">
        <v>27771</v>
      </c>
      <c r="Z1436">
        <v>2</v>
      </c>
      <c r="AA1436" t="s">
        <v>158</v>
      </c>
      <c r="AB1436" s="40" t="s">
        <v>1797</v>
      </c>
    </row>
    <row r="1437" spans="1:28" x14ac:dyDescent="0.25">
      <c r="A1437">
        <v>99911436</v>
      </c>
      <c r="B1437" t="s">
        <v>32</v>
      </c>
      <c r="C1437" t="s">
        <v>52</v>
      </c>
      <c r="D1437" t="s">
        <v>53</v>
      </c>
      <c r="G1437" t="s">
        <v>35</v>
      </c>
      <c r="H1437">
        <v>1</v>
      </c>
      <c r="I1437">
        <v>0</v>
      </c>
      <c r="J1437" s="1">
        <v>43344</v>
      </c>
      <c r="K1437" t="s">
        <v>223</v>
      </c>
      <c r="L1437" t="s">
        <v>224</v>
      </c>
      <c r="M1437" t="s">
        <v>131</v>
      </c>
      <c r="N1437">
        <v>18</v>
      </c>
      <c r="O1437" s="1">
        <v>43344</v>
      </c>
      <c r="P1437" t="s">
        <v>41</v>
      </c>
      <c r="Q1437" t="s">
        <v>42</v>
      </c>
      <c r="R1437" t="str">
        <f>"0590903"</f>
        <v>0590903</v>
      </c>
      <c r="S1437" t="s">
        <v>226</v>
      </c>
      <c r="T1437" t="s">
        <v>223</v>
      </c>
      <c r="U1437" t="s">
        <v>224</v>
      </c>
      <c r="V1437" t="s">
        <v>131</v>
      </c>
      <c r="W1437" t="s">
        <v>44</v>
      </c>
      <c r="X1437" t="s">
        <v>45</v>
      </c>
      <c r="Y1437" s="1">
        <v>27760</v>
      </c>
      <c r="Z1437">
        <v>2</v>
      </c>
      <c r="AA1437" t="s">
        <v>224</v>
      </c>
      <c r="AB1437" s="40" t="s">
        <v>1797</v>
      </c>
    </row>
    <row r="1438" spans="1:28" x14ac:dyDescent="0.25">
      <c r="A1438">
        <v>99911437</v>
      </c>
      <c r="B1438" t="s">
        <v>56</v>
      </c>
      <c r="C1438" t="s">
        <v>85</v>
      </c>
      <c r="D1438" t="s">
        <v>86</v>
      </c>
      <c r="G1438" t="s">
        <v>35</v>
      </c>
      <c r="H1438">
        <v>1</v>
      </c>
      <c r="K1438" t="s">
        <v>947</v>
      </c>
      <c r="L1438" t="s">
        <v>948</v>
      </c>
      <c r="M1438" t="s">
        <v>938</v>
      </c>
      <c r="N1438">
        <v>18</v>
      </c>
      <c r="P1438" t="s">
        <v>41</v>
      </c>
      <c r="Q1438" t="s">
        <v>42</v>
      </c>
      <c r="R1438" t="str">
        <f>"0680030"</f>
        <v>0680030</v>
      </c>
      <c r="S1438" t="s">
        <v>951</v>
      </c>
      <c r="T1438" t="s">
        <v>947</v>
      </c>
      <c r="U1438" t="s">
        <v>948</v>
      </c>
      <c r="V1438" t="s">
        <v>938</v>
      </c>
      <c r="W1438" t="s">
        <v>51</v>
      </c>
      <c r="X1438" t="s">
        <v>45</v>
      </c>
      <c r="Y1438" s="1">
        <v>27760</v>
      </c>
      <c r="Z1438">
        <v>2</v>
      </c>
      <c r="AA1438" t="s">
        <v>948</v>
      </c>
      <c r="AB1438" s="40" t="s">
        <v>1797</v>
      </c>
    </row>
    <row r="1439" spans="1:28" x14ac:dyDescent="0.25">
      <c r="A1439">
        <v>99911438</v>
      </c>
      <c r="B1439" t="s">
        <v>56</v>
      </c>
      <c r="C1439" t="s">
        <v>46</v>
      </c>
      <c r="D1439" t="s">
        <v>47</v>
      </c>
      <c r="G1439" t="s">
        <v>35</v>
      </c>
      <c r="H1439">
        <v>1</v>
      </c>
      <c r="K1439" t="s">
        <v>223</v>
      </c>
      <c r="L1439" t="s">
        <v>224</v>
      </c>
      <c r="M1439" t="s">
        <v>131</v>
      </c>
      <c r="N1439">
        <v>18</v>
      </c>
      <c r="P1439" t="s">
        <v>41</v>
      </c>
      <c r="Q1439" t="s">
        <v>42</v>
      </c>
      <c r="R1439" t="str">
        <f>"0590903"</f>
        <v>0590903</v>
      </c>
      <c r="S1439" t="s">
        <v>226</v>
      </c>
      <c r="T1439" t="s">
        <v>223</v>
      </c>
      <c r="U1439" t="s">
        <v>224</v>
      </c>
      <c r="V1439" t="s">
        <v>131</v>
      </c>
      <c r="W1439" t="s">
        <v>51</v>
      </c>
      <c r="X1439" t="s">
        <v>45</v>
      </c>
      <c r="Y1439" s="1">
        <v>27676</v>
      </c>
      <c r="Z1439">
        <v>2</v>
      </c>
      <c r="AA1439" t="s">
        <v>224</v>
      </c>
      <c r="AB1439" s="40" t="s">
        <v>1797</v>
      </c>
    </row>
    <row r="1440" spans="1:28" x14ac:dyDescent="0.25">
      <c r="A1440">
        <v>99911439</v>
      </c>
      <c r="B1440" t="s">
        <v>56</v>
      </c>
      <c r="C1440" t="s">
        <v>61</v>
      </c>
      <c r="D1440" t="s">
        <v>62</v>
      </c>
      <c r="E1440" t="s">
        <v>151</v>
      </c>
      <c r="F1440" t="s">
        <v>152</v>
      </c>
      <c r="G1440" t="s">
        <v>35</v>
      </c>
      <c r="H1440">
        <v>1</v>
      </c>
      <c r="I1440" t="s">
        <v>273</v>
      </c>
      <c r="J1440" s="1">
        <v>41900</v>
      </c>
      <c r="K1440" t="s">
        <v>223</v>
      </c>
      <c r="L1440" t="s">
        <v>224</v>
      </c>
      <c r="M1440" t="s">
        <v>131</v>
      </c>
      <c r="N1440">
        <v>18</v>
      </c>
      <c r="O1440" s="1">
        <v>41900</v>
      </c>
      <c r="P1440" t="s">
        <v>41</v>
      </c>
      <c r="Q1440" t="s">
        <v>49</v>
      </c>
      <c r="R1440" t="str">
        <f>"0591901"</f>
        <v>0591901</v>
      </c>
      <c r="S1440" t="s">
        <v>230</v>
      </c>
      <c r="T1440" t="s">
        <v>223</v>
      </c>
      <c r="U1440" t="s">
        <v>224</v>
      </c>
      <c r="V1440" t="s">
        <v>131</v>
      </c>
      <c r="W1440" t="s">
        <v>51</v>
      </c>
      <c r="X1440" t="s">
        <v>45</v>
      </c>
      <c r="Y1440" s="1">
        <v>27625</v>
      </c>
      <c r="Z1440">
        <v>2</v>
      </c>
      <c r="AA1440" t="s">
        <v>224</v>
      </c>
      <c r="AB1440" s="40" t="s">
        <v>1797</v>
      </c>
    </row>
    <row r="1441" spans="1:28" x14ac:dyDescent="0.25">
      <c r="A1441">
        <v>99911440</v>
      </c>
      <c r="B1441" t="s">
        <v>32</v>
      </c>
      <c r="C1441" t="s">
        <v>71</v>
      </c>
      <c r="D1441" t="s">
        <v>72</v>
      </c>
      <c r="G1441" t="s">
        <v>48</v>
      </c>
      <c r="H1441">
        <v>1</v>
      </c>
      <c r="K1441" t="s">
        <v>1268</v>
      </c>
      <c r="L1441" t="s">
        <v>1269</v>
      </c>
      <c r="M1441" t="s">
        <v>1270</v>
      </c>
      <c r="N1441">
        <v>18</v>
      </c>
      <c r="P1441" t="s">
        <v>41</v>
      </c>
      <c r="Q1441" t="s">
        <v>42</v>
      </c>
      <c r="R1441" t="str">
        <f>"1980050"</f>
        <v>1980050</v>
      </c>
      <c r="S1441" t="s">
        <v>1278</v>
      </c>
      <c r="T1441" t="s">
        <v>1268</v>
      </c>
      <c r="U1441" t="s">
        <v>1269</v>
      </c>
      <c r="V1441" t="s">
        <v>1270</v>
      </c>
      <c r="W1441" t="s">
        <v>51</v>
      </c>
      <c r="X1441" t="s">
        <v>45</v>
      </c>
      <c r="Y1441" s="1">
        <v>27569</v>
      </c>
      <c r="Z1441">
        <v>2</v>
      </c>
      <c r="AA1441" t="s">
        <v>1269</v>
      </c>
      <c r="AB1441" s="40" t="s">
        <v>1797</v>
      </c>
    </row>
    <row r="1442" spans="1:28" x14ac:dyDescent="0.25">
      <c r="A1442">
        <v>99911441</v>
      </c>
      <c r="B1442" t="s">
        <v>56</v>
      </c>
      <c r="C1442" t="s">
        <v>46</v>
      </c>
      <c r="D1442" t="s">
        <v>47</v>
      </c>
      <c r="G1442" t="s">
        <v>48</v>
      </c>
      <c r="H1442">
        <v>1</v>
      </c>
      <c r="K1442" t="s">
        <v>162</v>
      </c>
      <c r="L1442" t="s">
        <v>158</v>
      </c>
      <c r="M1442" t="s">
        <v>131</v>
      </c>
      <c r="N1442">
        <v>18</v>
      </c>
      <c r="P1442" t="s">
        <v>41</v>
      </c>
      <c r="Q1442" t="s">
        <v>49</v>
      </c>
      <c r="R1442" t="str">
        <f>"0560027"</f>
        <v>0560027</v>
      </c>
      <c r="S1442" t="s">
        <v>178</v>
      </c>
      <c r="T1442" t="s">
        <v>162</v>
      </c>
      <c r="U1442" t="s">
        <v>158</v>
      </c>
      <c r="V1442" t="s">
        <v>131</v>
      </c>
      <c r="W1442" t="s">
        <v>51</v>
      </c>
      <c r="X1442" t="s">
        <v>45</v>
      </c>
      <c r="Y1442" s="1">
        <v>27455</v>
      </c>
      <c r="Z1442">
        <v>2</v>
      </c>
      <c r="AA1442" t="s">
        <v>158</v>
      </c>
      <c r="AB1442" s="40" t="s">
        <v>1797</v>
      </c>
    </row>
    <row r="1443" spans="1:28" x14ac:dyDescent="0.25">
      <c r="A1443">
        <v>99911442</v>
      </c>
      <c r="B1443" t="s">
        <v>32</v>
      </c>
      <c r="C1443" t="s">
        <v>46</v>
      </c>
      <c r="D1443" t="s">
        <v>47</v>
      </c>
      <c r="G1443" t="s">
        <v>48</v>
      </c>
      <c r="H1443">
        <v>1</v>
      </c>
      <c r="K1443" t="s">
        <v>157</v>
      </c>
      <c r="L1443" t="s">
        <v>158</v>
      </c>
      <c r="M1443" t="s">
        <v>131</v>
      </c>
      <c r="N1443">
        <v>18</v>
      </c>
      <c r="P1443" t="s">
        <v>41</v>
      </c>
      <c r="Q1443" t="s">
        <v>42</v>
      </c>
      <c r="R1443" t="str">
        <f>"0580735"</f>
        <v>0580735</v>
      </c>
      <c r="S1443" t="s">
        <v>180</v>
      </c>
      <c r="T1443" t="s">
        <v>157</v>
      </c>
      <c r="U1443" t="s">
        <v>158</v>
      </c>
      <c r="V1443" t="s">
        <v>131</v>
      </c>
      <c r="W1443" t="s">
        <v>51</v>
      </c>
      <c r="X1443" t="s">
        <v>45</v>
      </c>
      <c r="Y1443" s="1">
        <v>27431</v>
      </c>
      <c r="Z1443">
        <v>2</v>
      </c>
      <c r="AA1443" t="s">
        <v>158</v>
      </c>
      <c r="AB1443" s="40" t="s">
        <v>1797</v>
      </c>
    </row>
    <row r="1444" spans="1:28" x14ac:dyDescent="0.25">
      <c r="A1444">
        <v>99911443</v>
      </c>
      <c r="B1444" t="s">
        <v>32</v>
      </c>
      <c r="C1444" t="s">
        <v>64</v>
      </c>
      <c r="D1444" t="s">
        <v>65</v>
      </c>
      <c r="G1444" t="s">
        <v>48</v>
      </c>
      <c r="H1444">
        <v>1</v>
      </c>
      <c r="K1444" t="s">
        <v>268</v>
      </c>
      <c r="L1444" t="s">
        <v>269</v>
      </c>
      <c r="M1444" t="s">
        <v>131</v>
      </c>
      <c r="N1444">
        <v>18</v>
      </c>
      <c r="P1444" t="s">
        <v>41</v>
      </c>
      <c r="Q1444" t="s">
        <v>75</v>
      </c>
      <c r="R1444" t="str">
        <f>"7052008"</f>
        <v>7052008</v>
      </c>
      <c r="S1444" t="s">
        <v>274</v>
      </c>
      <c r="T1444" t="s">
        <v>268</v>
      </c>
      <c r="U1444" t="s">
        <v>269</v>
      </c>
      <c r="V1444" t="s">
        <v>131</v>
      </c>
      <c r="W1444" t="s">
        <v>51</v>
      </c>
      <c r="X1444" t="s">
        <v>45</v>
      </c>
      <c r="Y1444" s="1">
        <v>27351</v>
      </c>
      <c r="Z1444">
        <v>1</v>
      </c>
      <c r="AA1444" t="s">
        <v>269</v>
      </c>
      <c r="AB1444" s="40" t="s">
        <v>1797</v>
      </c>
    </row>
    <row r="1445" spans="1:28" x14ac:dyDescent="0.25">
      <c r="A1445">
        <v>99911444</v>
      </c>
      <c r="B1445" t="s">
        <v>32</v>
      </c>
      <c r="C1445" t="s">
        <v>64</v>
      </c>
      <c r="D1445" t="s">
        <v>65</v>
      </c>
      <c r="G1445" t="s">
        <v>35</v>
      </c>
      <c r="H1445">
        <v>1</v>
      </c>
      <c r="K1445" t="s">
        <v>1581</v>
      </c>
      <c r="L1445" t="s">
        <v>1582</v>
      </c>
      <c r="M1445" t="s">
        <v>1548</v>
      </c>
      <c r="N1445">
        <v>18</v>
      </c>
      <c r="P1445" t="s">
        <v>41</v>
      </c>
      <c r="Q1445" t="s">
        <v>75</v>
      </c>
      <c r="R1445" t="str">
        <f>"7291002"</f>
        <v>7291002</v>
      </c>
      <c r="S1445" t="s">
        <v>1583</v>
      </c>
      <c r="T1445" t="s">
        <v>1581</v>
      </c>
      <c r="U1445" t="s">
        <v>1582</v>
      </c>
      <c r="V1445" t="s">
        <v>1548</v>
      </c>
      <c r="W1445" t="s">
        <v>51</v>
      </c>
      <c r="X1445" t="s">
        <v>45</v>
      </c>
      <c r="Y1445" s="1">
        <v>27032</v>
      </c>
      <c r="Z1445">
        <v>1</v>
      </c>
      <c r="AA1445" t="s">
        <v>1582</v>
      </c>
      <c r="AB1445" s="40" t="s">
        <v>1797</v>
      </c>
    </row>
    <row r="1446" spans="1:28" x14ac:dyDescent="0.25">
      <c r="A1446">
        <v>99911445</v>
      </c>
      <c r="B1446" t="s">
        <v>32</v>
      </c>
      <c r="C1446" t="s">
        <v>52</v>
      </c>
      <c r="D1446" t="s">
        <v>53</v>
      </c>
      <c r="G1446" t="s">
        <v>48</v>
      </c>
      <c r="H1446">
        <v>3</v>
      </c>
      <c r="K1446" t="s">
        <v>129</v>
      </c>
      <c r="L1446" t="s">
        <v>130</v>
      </c>
      <c r="M1446" t="s">
        <v>131</v>
      </c>
      <c r="N1446">
        <v>18</v>
      </c>
      <c r="P1446" t="s">
        <v>41</v>
      </c>
      <c r="Q1446" t="s">
        <v>49</v>
      </c>
      <c r="R1446" t="str">
        <f>"0591905"</f>
        <v>0591905</v>
      </c>
      <c r="S1446" t="s">
        <v>135</v>
      </c>
      <c r="T1446" t="s">
        <v>129</v>
      </c>
      <c r="U1446" t="s">
        <v>130</v>
      </c>
      <c r="V1446" t="s">
        <v>131</v>
      </c>
      <c r="W1446" t="s">
        <v>51</v>
      </c>
      <c r="X1446" t="s">
        <v>45</v>
      </c>
      <c r="Y1446" s="1">
        <v>26955</v>
      </c>
      <c r="Z1446">
        <v>2</v>
      </c>
      <c r="AA1446" t="s">
        <v>130</v>
      </c>
      <c r="AB1446" s="40" t="s">
        <v>1797</v>
      </c>
    </row>
    <row r="1447" spans="1:28" x14ac:dyDescent="0.25">
      <c r="A1447">
        <v>99911446</v>
      </c>
      <c r="B1447" t="s">
        <v>32</v>
      </c>
      <c r="C1447" t="s">
        <v>145</v>
      </c>
      <c r="D1447" t="s">
        <v>146</v>
      </c>
      <c r="G1447" t="s">
        <v>48</v>
      </c>
      <c r="H1447">
        <v>1</v>
      </c>
      <c r="K1447" t="s">
        <v>345</v>
      </c>
      <c r="L1447" t="s">
        <v>346</v>
      </c>
      <c r="M1447" t="s">
        <v>131</v>
      </c>
      <c r="N1447">
        <v>18</v>
      </c>
      <c r="P1447" t="s">
        <v>41</v>
      </c>
      <c r="Q1447" t="s">
        <v>42</v>
      </c>
      <c r="R1447" t="str">
        <f>"0580650"</f>
        <v>0580650</v>
      </c>
      <c r="S1447" t="s">
        <v>356</v>
      </c>
      <c r="T1447" t="s">
        <v>345</v>
      </c>
      <c r="U1447" t="s">
        <v>346</v>
      </c>
      <c r="V1447" t="s">
        <v>131</v>
      </c>
      <c r="W1447" t="s">
        <v>51</v>
      </c>
      <c r="X1447" t="s">
        <v>45</v>
      </c>
      <c r="Y1447" s="1">
        <v>26799</v>
      </c>
      <c r="Z1447">
        <v>2</v>
      </c>
      <c r="AA1447" t="s">
        <v>346</v>
      </c>
      <c r="AB1447" s="40" t="s">
        <v>1797</v>
      </c>
    </row>
    <row r="1448" spans="1:28" x14ac:dyDescent="0.25">
      <c r="A1448">
        <v>99911447</v>
      </c>
      <c r="B1448" t="s">
        <v>56</v>
      </c>
      <c r="C1448" t="s">
        <v>79</v>
      </c>
      <c r="D1448" t="s">
        <v>80</v>
      </c>
      <c r="G1448" t="s">
        <v>48</v>
      </c>
      <c r="H1448">
        <v>1</v>
      </c>
      <c r="K1448" t="s">
        <v>380</v>
      </c>
      <c r="L1448" t="s">
        <v>381</v>
      </c>
      <c r="M1448" t="s">
        <v>131</v>
      </c>
      <c r="N1448">
        <v>18</v>
      </c>
      <c r="P1448" t="s">
        <v>41</v>
      </c>
      <c r="Q1448" t="s">
        <v>49</v>
      </c>
      <c r="R1448" t="str">
        <f>"0591909"</f>
        <v>0591909</v>
      </c>
      <c r="S1448" t="s">
        <v>385</v>
      </c>
      <c r="T1448" t="s">
        <v>380</v>
      </c>
      <c r="U1448" t="s">
        <v>381</v>
      </c>
      <c r="V1448" t="s">
        <v>131</v>
      </c>
      <c r="W1448" t="s">
        <v>51</v>
      </c>
      <c r="X1448" t="s">
        <v>45</v>
      </c>
      <c r="Y1448" s="1">
        <v>26738</v>
      </c>
      <c r="Z1448">
        <v>2</v>
      </c>
      <c r="AA1448" t="s">
        <v>381</v>
      </c>
      <c r="AB1448" s="40" t="s">
        <v>1797</v>
      </c>
    </row>
    <row r="1449" spans="1:28" x14ac:dyDescent="0.25">
      <c r="A1449">
        <v>99911448</v>
      </c>
      <c r="B1449" t="s">
        <v>32</v>
      </c>
      <c r="C1449" t="s">
        <v>46</v>
      </c>
      <c r="D1449" t="s">
        <v>47</v>
      </c>
      <c r="G1449" t="s">
        <v>48</v>
      </c>
      <c r="H1449">
        <v>1</v>
      </c>
      <c r="K1449" t="s">
        <v>1613</v>
      </c>
      <c r="L1449" t="s">
        <v>1614</v>
      </c>
      <c r="M1449" t="s">
        <v>1592</v>
      </c>
      <c r="N1449">
        <v>18</v>
      </c>
      <c r="P1449" t="s">
        <v>41</v>
      </c>
      <c r="Q1449" t="s">
        <v>42</v>
      </c>
      <c r="R1449" t="str">
        <f>"2880010"</f>
        <v>2880010</v>
      </c>
      <c r="S1449" t="s">
        <v>1623</v>
      </c>
      <c r="T1449" t="s">
        <v>1613</v>
      </c>
      <c r="U1449" t="s">
        <v>1614</v>
      </c>
      <c r="V1449" t="s">
        <v>1592</v>
      </c>
      <c r="W1449" t="s">
        <v>51</v>
      </c>
      <c r="X1449" t="s">
        <v>45</v>
      </c>
      <c r="Y1449" s="1">
        <v>26732</v>
      </c>
      <c r="Z1449">
        <v>2</v>
      </c>
      <c r="AA1449" t="s">
        <v>1614</v>
      </c>
      <c r="AB1449" s="40" t="s">
        <v>1797</v>
      </c>
    </row>
    <row r="1450" spans="1:28" x14ac:dyDescent="0.25">
      <c r="A1450">
        <v>99911449</v>
      </c>
      <c r="B1450" t="s">
        <v>56</v>
      </c>
      <c r="C1450" t="s">
        <v>68</v>
      </c>
      <c r="D1450" t="s">
        <v>69</v>
      </c>
      <c r="G1450" t="s">
        <v>48</v>
      </c>
      <c r="H1450">
        <v>7</v>
      </c>
      <c r="I1450" t="s">
        <v>1315</v>
      </c>
      <c r="K1450" t="s">
        <v>1306</v>
      </c>
      <c r="L1450" t="s">
        <v>1307</v>
      </c>
      <c r="M1450" t="s">
        <v>1270</v>
      </c>
      <c r="N1450">
        <v>18</v>
      </c>
      <c r="P1450" t="s">
        <v>41</v>
      </c>
      <c r="Q1450" t="s">
        <v>42</v>
      </c>
      <c r="R1450" t="str">
        <f>"1990913"</f>
        <v>1990913</v>
      </c>
      <c r="S1450" t="s">
        <v>1312</v>
      </c>
      <c r="T1450" t="s">
        <v>1306</v>
      </c>
      <c r="U1450" t="s">
        <v>1307</v>
      </c>
      <c r="V1450" t="s">
        <v>1270</v>
      </c>
      <c r="W1450" t="s">
        <v>51</v>
      </c>
      <c r="X1450" t="s">
        <v>45</v>
      </c>
      <c r="Y1450" s="1">
        <v>26705</v>
      </c>
      <c r="Z1450">
        <v>2</v>
      </c>
      <c r="AA1450" t="s">
        <v>1307</v>
      </c>
      <c r="AB1450" s="40" t="s">
        <v>1797</v>
      </c>
    </row>
    <row r="1451" spans="1:28" x14ac:dyDescent="0.25">
      <c r="A1451">
        <v>99911450</v>
      </c>
      <c r="B1451" t="s">
        <v>32</v>
      </c>
      <c r="C1451" t="s">
        <v>64</v>
      </c>
      <c r="D1451" t="s">
        <v>65</v>
      </c>
      <c r="G1451" t="s">
        <v>48</v>
      </c>
      <c r="H1451">
        <v>1</v>
      </c>
      <c r="K1451" t="s">
        <v>129</v>
      </c>
      <c r="L1451" t="s">
        <v>130</v>
      </c>
      <c r="M1451" t="s">
        <v>131</v>
      </c>
      <c r="N1451">
        <v>18</v>
      </c>
      <c r="P1451" t="s">
        <v>41</v>
      </c>
      <c r="Q1451" t="s">
        <v>49</v>
      </c>
      <c r="R1451" t="str">
        <f>"0591905"</f>
        <v>0591905</v>
      </c>
      <c r="S1451" t="s">
        <v>135</v>
      </c>
      <c r="T1451" t="s">
        <v>129</v>
      </c>
      <c r="U1451" t="s">
        <v>130</v>
      </c>
      <c r="V1451" t="s">
        <v>131</v>
      </c>
      <c r="W1451" t="s">
        <v>51</v>
      </c>
      <c r="X1451" t="s">
        <v>45</v>
      </c>
      <c r="Y1451" s="1">
        <v>26665</v>
      </c>
      <c r="Z1451">
        <v>2</v>
      </c>
      <c r="AA1451" t="s">
        <v>130</v>
      </c>
      <c r="AB1451" s="40" t="s">
        <v>1797</v>
      </c>
    </row>
    <row r="1452" spans="1:28" x14ac:dyDescent="0.25">
      <c r="A1452">
        <v>99911451</v>
      </c>
      <c r="B1452" t="s">
        <v>32</v>
      </c>
      <c r="C1452" t="s">
        <v>85</v>
      </c>
      <c r="D1452" t="s">
        <v>86</v>
      </c>
      <c r="G1452" t="s">
        <v>35</v>
      </c>
      <c r="H1452">
        <v>1</v>
      </c>
      <c r="K1452" t="s">
        <v>223</v>
      </c>
      <c r="L1452" t="s">
        <v>224</v>
      </c>
      <c r="M1452" t="s">
        <v>131</v>
      </c>
      <c r="N1452">
        <v>18</v>
      </c>
      <c r="P1452" t="s">
        <v>41</v>
      </c>
      <c r="Q1452" t="s">
        <v>49</v>
      </c>
      <c r="R1452" t="str">
        <f>"0560008"</f>
        <v>0560008</v>
      </c>
      <c r="S1452" t="s">
        <v>263</v>
      </c>
      <c r="T1452" t="s">
        <v>223</v>
      </c>
      <c r="U1452" t="s">
        <v>224</v>
      </c>
      <c r="V1452" t="s">
        <v>131</v>
      </c>
      <c r="W1452" t="s">
        <v>51</v>
      </c>
      <c r="X1452" t="s">
        <v>45</v>
      </c>
      <c r="Y1452" s="1">
        <v>26601</v>
      </c>
      <c r="Z1452">
        <v>2</v>
      </c>
      <c r="AA1452" t="s">
        <v>224</v>
      </c>
      <c r="AB1452" s="40" t="s">
        <v>1797</v>
      </c>
    </row>
    <row r="1453" spans="1:28" x14ac:dyDescent="0.25">
      <c r="A1453">
        <v>99911452</v>
      </c>
      <c r="B1453" t="s">
        <v>32</v>
      </c>
      <c r="C1453" t="s">
        <v>46</v>
      </c>
      <c r="D1453" t="s">
        <v>47</v>
      </c>
      <c r="G1453" t="s">
        <v>48</v>
      </c>
      <c r="H1453">
        <v>13</v>
      </c>
      <c r="K1453" t="s">
        <v>1268</v>
      </c>
      <c r="L1453" t="s">
        <v>1269</v>
      </c>
      <c r="M1453" t="s">
        <v>1270</v>
      </c>
      <c r="N1453">
        <v>18</v>
      </c>
      <c r="O1453" s="1">
        <v>43344</v>
      </c>
      <c r="P1453" t="s">
        <v>41</v>
      </c>
      <c r="Q1453" t="s">
        <v>49</v>
      </c>
      <c r="R1453" t="str">
        <f>"1960001"</f>
        <v>1960001</v>
      </c>
      <c r="S1453" t="s">
        <v>1272</v>
      </c>
      <c r="T1453" t="s">
        <v>1268</v>
      </c>
      <c r="U1453" t="s">
        <v>1269</v>
      </c>
      <c r="V1453" t="s">
        <v>1270</v>
      </c>
      <c r="W1453" t="s">
        <v>51</v>
      </c>
      <c r="X1453" t="s">
        <v>45</v>
      </c>
      <c r="Y1453" s="1">
        <v>26593</v>
      </c>
      <c r="Z1453">
        <v>2</v>
      </c>
      <c r="AA1453" t="s">
        <v>1269</v>
      </c>
      <c r="AB1453" s="40" t="s">
        <v>1797</v>
      </c>
    </row>
    <row r="1454" spans="1:28" x14ac:dyDescent="0.25">
      <c r="A1454">
        <v>99911453</v>
      </c>
      <c r="B1454" t="s">
        <v>32</v>
      </c>
      <c r="C1454" t="s">
        <v>68</v>
      </c>
      <c r="D1454" t="s">
        <v>69</v>
      </c>
      <c r="G1454" t="s">
        <v>35</v>
      </c>
      <c r="H1454">
        <v>1</v>
      </c>
      <c r="K1454" t="s">
        <v>1325</v>
      </c>
      <c r="L1454" t="s">
        <v>1326</v>
      </c>
      <c r="M1454" t="s">
        <v>1270</v>
      </c>
      <c r="N1454">
        <v>18</v>
      </c>
      <c r="P1454" t="s">
        <v>41</v>
      </c>
      <c r="Q1454" t="s">
        <v>49</v>
      </c>
      <c r="R1454" t="str">
        <f>"3981100"</f>
        <v>3981100</v>
      </c>
      <c r="S1454" t="s">
        <v>1327</v>
      </c>
      <c r="T1454" t="s">
        <v>1325</v>
      </c>
      <c r="U1454" t="s">
        <v>1326</v>
      </c>
      <c r="V1454" t="s">
        <v>1270</v>
      </c>
      <c r="W1454" t="s">
        <v>51</v>
      </c>
      <c r="X1454" t="s">
        <v>45</v>
      </c>
      <c r="Y1454" s="1">
        <v>26593</v>
      </c>
      <c r="Z1454">
        <v>2</v>
      </c>
      <c r="AA1454" t="s">
        <v>1326</v>
      </c>
      <c r="AB1454" s="40" t="s">
        <v>1797</v>
      </c>
    </row>
    <row r="1455" spans="1:28" x14ac:dyDescent="0.25">
      <c r="A1455">
        <v>99911454</v>
      </c>
      <c r="B1455" t="s">
        <v>32</v>
      </c>
      <c r="C1455" t="s">
        <v>82</v>
      </c>
      <c r="D1455" t="s">
        <v>83</v>
      </c>
      <c r="G1455" t="s">
        <v>35</v>
      </c>
      <c r="H1455">
        <v>1</v>
      </c>
      <c r="I1455">
        <v>0</v>
      </c>
      <c r="J1455" s="1">
        <v>43344</v>
      </c>
      <c r="K1455" t="s">
        <v>223</v>
      </c>
      <c r="L1455" t="s">
        <v>224</v>
      </c>
      <c r="M1455" t="s">
        <v>131</v>
      </c>
      <c r="N1455">
        <v>18</v>
      </c>
      <c r="O1455" s="1">
        <v>43344</v>
      </c>
      <c r="P1455" t="s">
        <v>41</v>
      </c>
      <c r="Q1455" t="s">
        <v>49</v>
      </c>
      <c r="R1455" t="str">
        <f>"0581207"</f>
        <v>0581207</v>
      </c>
      <c r="S1455" t="s">
        <v>233</v>
      </c>
      <c r="T1455" t="s">
        <v>223</v>
      </c>
      <c r="U1455" t="s">
        <v>224</v>
      </c>
      <c r="V1455" t="s">
        <v>131</v>
      </c>
      <c r="W1455" t="s">
        <v>44</v>
      </c>
      <c r="X1455" t="s">
        <v>45</v>
      </c>
      <c r="Y1455" s="1">
        <v>26558</v>
      </c>
      <c r="Z1455">
        <v>2</v>
      </c>
      <c r="AA1455" t="s">
        <v>224</v>
      </c>
      <c r="AB1455" s="40" t="s">
        <v>1797</v>
      </c>
    </row>
    <row r="1456" spans="1:28" x14ac:dyDescent="0.25">
      <c r="A1456">
        <v>99911455</v>
      </c>
      <c r="B1456" t="s">
        <v>32</v>
      </c>
      <c r="C1456" t="s">
        <v>46</v>
      </c>
      <c r="D1456" t="s">
        <v>47</v>
      </c>
      <c r="G1456" t="s">
        <v>48</v>
      </c>
      <c r="H1456">
        <v>1</v>
      </c>
      <c r="K1456" t="s">
        <v>380</v>
      </c>
      <c r="L1456" t="s">
        <v>381</v>
      </c>
      <c r="M1456" t="s">
        <v>131</v>
      </c>
      <c r="N1456">
        <v>18</v>
      </c>
      <c r="P1456" t="s">
        <v>41</v>
      </c>
      <c r="Q1456" t="s">
        <v>49</v>
      </c>
      <c r="R1456" t="str">
        <f>"0591909"</f>
        <v>0591909</v>
      </c>
      <c r="S1456" t="s">
        <v>385</v>
      </c>
      <c r="T1456" t="s">
        <v>380</v>
      </c>
      <c r="U1456" t="s">
        <v>381</v>
      </c>
      <c r="V1456" t="s">
        <v>131</v>
      </c>
      <c r="W1456" t="s">
        <v>51</v>
      </c>
      <c r="X1456" t="s">
        <v>45</v>
      </c>
      <c r="Y1456" s="1">
        <v>26556</v>
      </c>
      <c r="Z1456">
        <v>2</v>
      </c>
      <c r="AA1456" t="s">
        <v>381</v>
      </c>
      <c r="AB1456" s="40" t="s">
        <v>1797</v>
      </c>
    </row>
    <row r="1457" spans="1:30" x14ac:dyDescent="0.25">
      <c r="A1457">
        <v>99911456</v>
      </c>
      <c r="B1457" t="s">
        <v>32</v>
      </c>
      <c r="C1457" t="s">
        <v>139</v>
      </c>
      <c r="D1457" t="s">
        <v>140</v>
      </c>
      <c r="G1457" t="s">
        <v>48</v>
      </c>
      <c r="H1457">
        <v>1</v>
      </c>
      <c r="K1457" t="s">
        <v>129</v>
      </c>
      <c r="L1457" t="s">
        <v>130</v>
      </c>
      <c r="M1457" t="s">
        <v>131</v>
      </c>
      <c r="N1457">
        <v>18</v>
      </c>
      <c r="P1457" t="s">
        <v>41</v>
      </c>
      <c r="Q1457" t="s">
        <v>42</v>
      </c>
      <c r="R1457" t="str">
        <f>"0590905"</f>
        <v>0590905</v>
      </c>
      <c r="S1457" t="s">
        <v>133</v>
      </c>
      <c r="T1457" t="s">
        <v>129</v>
      </c>
      <c r="U1457" t="s">
        <v>130</v>
      </c>
      <c r="V1457" t="s">
        <v>131</v>
      </c>
      <c r="W1457" t="s">
        <v>51</v>
      </c>
      <c r="X1457" t="s">
        <v>45</v>
      </c>
      <c r="Y1457" s="1">
        <v>26512</v>
      </c>
      <c r="Z1457">
        <v>2</v>
      </c>
      <c r="AA1457" t="s">
        <v>130</v>
      </c>
      <c r="AB1457" s="40" t="s">
        <v>1797</v>
      </c>
    </row>
    <row r="1458" spans="1:30" x14ac:dyDescent="0.25">
      <c r="A1458">
        <v>99911457</v>
      </c>
      <c r="B1458" t="s">
        <v>32</v>
      </c>
      <c r="C1458" t="s">
        <v>46</v>
      </c>
      <c r="D1458" t="s">
        <v>47</v>
      </c>
      <c r="G1458" t="s">
        <v>35</v>
      </c>
      <c r="H1458">
        <v>1</v>
      </c>
      <c r="K1458" t="s">
        <v>1268</v>
      </c>
      <c r="L1458" t="s">
        <v>1269</v>
      </c>
      <c r="M1458" t="s">
        <v>1270</v>
      </c>
      <c r="N1458">
        <v>18</v>
      </c>
      <c r="P1458" t="s">
        <v>41</v>
      </c>
      <c r="Q1458" t="s">
        <v>42</v>
      </c>
      <c r="R1458" t="str">
        <f>"1990914"</f>
        <v>1990914</v>
      </c>
      <c r="S1458" t="s">
        <v>1275</v>
      </c>
      <c r="T1458" t="s">
        <v>1268</v>
      </c>
      <c r="U1458" t="s">
        <v>1269</v>
      </c>
      <c r="V1458" t="s">
        <v>1270</v>
      </c>
      <c r="W1458" t="s">
        <v>51</v>
      </c>
      <c r="X1458" t="s">
        <v>45</v>
      </c>
      <c r="Y1458" s="1">
        <v>26483</v>
      </c>
      <c r="Z1458">
        <v>2</v>
      </c>
      <c r="AA1458" t="s">
        <v>1269</v>
      </c>
      <c r="AB1458" s="40" t="s">
        <v>1797</v>
      </c>
    </row>
    <row r="1459" spans="1:30" x14ac:dyDescent="0.25">
      <c r="A1459">
        <v>99911458</v>
      </c>
      <c r="B1459" t="s">
        <v>32</v>
      </c>
      <c r="C1459" t="s">
        <v>46</v>
      </c>
      <c r="D1459" t="s">
        <v>47</v>
      </c>
      <c r="G1459" t="s">
        <v>35</v>
      </c>
      <c r="H1459">
        <v>10</v>
      </c>
      <c r="K1459" t="s">
        <v>345</v>
      </c>
      <c r="L1459" t="s">
        <v>346</v>
      </c>
      <c r="M1459" t="s">
        <v>131</v>
      </c>
      <c r="N1459">
        <v>18</v>
      </c>
      <c r="P1459" t="s">
        <v>41</v>
      </c>
      <c r="Q1459" t="s">
        <v>49</v>
      </c>
      <c r="R1459" t="str">
        <f>"0560007"</f>
        <v>0560007</v>
      </c>
      <c r="S1459" t="s">
        <v>357</v>
      </c>
      <c r="T1459" t="s">
        <v>345</v>
      </c>
      <c r="U1459" t="s">
        <v>346</v>
      </c>
      <c r="V1459" t="s">
        <v>131</v>
      </c>
      <c r="W1459" t="s">
        <v>51</v>
      </c>
      <c r="X1459" t="s">
        <v>45</v>
      </c>
      <c r="Y1459" s="1">
        <v>26441</v>
      </c>
      <c r="Z1459">
        <v>2</v>
      </c>
      <c r="AA1459" t="s">
        <v>346</v>
      </c>
      <c r="AB1459" s="40" t="s">
        <v>1797</v>
      </c>
    </row>
    <row r="1460" spans="1:30" x14ac:dyDescent="0.25">
      <c r="A1460">
        <v>99911459</v>
      </c>
      <c r="B1460" t="s">
        <v>32</v>
      </c>
      <c r="C1460" t="s">
        <v>52</v>
      </c>
      <c r="D1460" t="s">
        <v>53</v>
      </c>
      <c r="G1460" t="s">
        <v>48</v>
      </c>
      <c r="H1460">
        <v>11</v>
      </c>
      <c r="K1460" t="s">
        <v>129</v>
      </c>
      <c r="L1460" t="s">
        <v>130</v>
      </c>
      <c r="M1460" t="s">
        <v>131</v>
      </c>
      <c r="N1460">
        <v>18</v>
      </c>
      <c r="O1460" s="1">
        <v>35319</v>
      </c>
      <c r="P1460" t="s">
        <v>41</v>
      </c>
      <c r="Q1460" t="s">
        <v>49</v>
      </c>
      <c r="R1460" t="str">
        <f>"0580150"</f>
        <v>0580150</v>
      </c>
      <c r="S1460" t="s">
        <v>134</v>
      </c>
      <c r="T1460" t="s">
        <v>129</v>
      </c>
      <c r="U1460" t="s">
        <v>130</v>
      </c>
      <c r="V1460" t="s">
        <v>131</v>
      </c>
      <c r="W1460" t="s">
        <v>51</v>
      </c>
      <c r="X1460" t="s">
        <v>45</v>
      </c>
      <c r="Y1460" s="1">
        <v>26439</v>
      </c>
      <c r="Z1460">
        <v>2</v>
      </c>
      <c r="AA1460" t="s">
        <v>130</v>
      </c>
      <c r="AB1460" s="40" t="s">
        <v>1797</v>
      </c>
    </row>
    <row r="1461" spans="1:30" x14ac:dyDescent="0.25">
      <c r="A1461">
        <v>99911460</v>
      </c>
      <c r="B1461" t="s">
        <v>56</v>
      </c>
      <c r="C1461" t="s">
        <v>85</v>
      </c>
      <c r="D1461" t="s">
        <v>86</v>
      </c>
      <c r="G1461" t="s">
        <v>48</v>
      </c>
      <c r="H1461">
        <v>11</v>
      </c>
      <c r="K1461" t="s">
        <v>1268</v>
      </c>
      <c r="L1461" t="s">
        <v>1269</v>
      </c>
      <c r="M1461" t="s">
        <v>1270</v>
      </c>
      <c r="N1461">
        <v>18</v>
      </c>
      <c r="O1461" s="1">
        <v>43344</v>
      </c>
      <c r="P1461" t="s">
        <v>41</v>
      </c>
      <c r="Q1461" t="s">
        <v>42</v>
      </c>
      <c r="R1461" t="str">
        <f>"1980060"</f>
        <v>1980060</v>
      </c>
      <c r="S1461" t="s">
        <v>1277</v>
      </c>
      <c r="T1461" t="s">
        <v>1268</v>
      </c>
      <c r="U1461" t="s">
        <v>1269</v>
      </c>
      <c r="V1461" t="s">
        <v>1270</v>
      </c>
      <c r="W1461" t="s">
        <v>51</v>
      </c>
      <c r="X1461" t="s">
        <v>45</v>
      </c>
      <c r="Y1461" s="1">
        <v>26417</v>
      </c>
      <c r="Z1461">
        <v>2</v>
      </c>
      <c r="AA1461" t="s">
        <v>1269</v>
      </c>
      <c r="AB1461" s="40" t="s">
        <v>1797</v>
      </c>
    </row>
    <row r="1462" spans="1:30" x14ac:dyDescent="0.25">
      <c r="A1462">
        <v>99911461</v>
      </c>
      <c r="B1462" t="s">
        <v>32</v>
      </c>
      <c r="C1462" t="s">
        <v>46</v>
      </c>
      <c r="D1462" t="s">
        <v>47</v>
      </c>
      <c r="G1462" t="s">
        <v>48</v>
      </c>
      <c r="H1462">
        <v>1</v>
      </c>
      <c r="K1462" t="s">
        <v>1268</v>
      </c>
      <c r="L1462" t="s">
        <v>1269</v>
      </c>
      <c r="M1462" t="s">
        <v>1270</v>
      </c>
      <c r="N1462">
        <v>18</v>
      </c>
      <c r="P1462" t="s">
        <v>41</v>
      </c>
      <c r="Q1462" t="s">
        <v>49</v>
      </c>
      <c r="R1462" t="str">
        <f>"1981912"</f>
        <v>1981912</v>
      </c>
      <c r="S1462" t="s">
        <v>1279</v>
      </c>
      <c r="T1462" t="s">
        <v>1268</v>
      </c>
      <c r="U1462" t="s">
        <v>1269</v>
      </c>
      <c r="V1462" t="s">
        <v>1270</v>
      </c>
      <c r="W1462" t="s">
        <v>51</v>
      </c>
      <c r="X1462" t="s">
        <v>45</v>
      </c>
      <c r="Y1462" s="1">
        <v>26381</v>
      </c>
      <c r="Z1462">
        <v>2</v>
      </c>
      <c r="AA1462" t="s">
        <v>1269</v>
      </c>
      <c r="AB1462" s="40" t="s">
        <v>1797</v>
      </c>
    </row>
    <row r="1463" spans="1:30" x14ac:dyDescent="0.25">
      <c r="A1463">
        <v>99911462</v>
      </c>
      <c r="B1463" t="s">
        <v>56</v>
      </c>
      <c r="C1463" t="s">
        <v>52</v>
      </c>
      <c r="D1463" t="s">
        <v>53</v>
      </c>
      <c r="G1463" t="s">
        <v>48</v>
      </c>
      <c r="H1463">
        <v>1</v>
      </c>
      <c r="K1463" t="s">
        <v>129</v>
      </c>
      <c r="L1463" t="s">
        <v>130</v>
      </c>
      <c r="M1463" t="s">
        <v>131</v>
      </c>
      <c r="N1463">
        <v>18</v>
      </c>
      <c r="P1463" t="s">
        <v>41</v>
      </c>
      <c r="Q1463" t="s">
        <v>42</v>
      </c>
      <c r="R1463" t="str">
        <f>"0590905"</f>
        <v>0590905</v>
      </c>
      <c r="S1463" t="s">
        <v>133</v>
      </c>
      <c r="T1463" t="s">
        <v>129</v>
      </c>
      <c r="U1463" t="s">
        <v>130</v>
      </c>
      <c r="V1463" t="s">
        <v>131</v>
      </c>
      <c r="W1463" t="s">
        <v>51</v>
      </c>
      <c r="X1463" t="s">
        <v>45</v>
      </c>
      <c r="Y1463" s="1">
        <v>26374</v>
      </c>
      <c r="Z1463">
        <v>2</v>
      </c>
      <c r="AA1463" t="s">
        <v>130</v>
      </c>
      <c r="AB1463" s="40" t="s">
        <v>1797</v>
      </c>
      <c r="AC1463" s="36"/>
      <c r="AD1463" s="36"/>
    </row>
    <row r="1464" spans="1:30" x14ac:dyDescent="0.25">
      <c r="A1464">
        <v>99911463</v>
      </c>
      <c r="B1464" t="s">
        <v>32</v>
      </c>
      <c r="C1464" t="s">
        <v>139</v>
      </c>
      <c r="D1464" t="s">
        <v>140</v>
      </c>
      <c r="G1464" t="s">
        <v>35</v>
      </c>
      <c r="H1464">
        <v>1</v>
      </c>
      <c r="K1464" t="s">
        <v>380</v>
      </c>
      <c r="L1464" t="s">
        <v>381</v>
      </c>
      <c r="M1464" t="s">
        <v>131</v>
      </c>
      <c r="N1464">
        <v>18</v>
      </c>
      <c r="P1464" t="s">
        <v>41</v>
      </c>
      <c r="Q1464" t="s">
        <v>49</v>
      </c>
      <c r="R1464" t="str">
        <f>"0591908"</f>
        <v>0591908</v>
      </c>
      <c r="S1464" t="s">
        <v>383</v>
      </c>
      <c r="T1464" t="s">
        <v>380</v>
      </c>
      <c r="U1464" t="s">
        <v>381</v>
      </c>
      <c r="V1464" t="s">
        <v>131</v>
      </c>
      <c r="W1464" t="s">
        <v>51</v>
      </c>
      <c r="X1464" t="s">
        <v>45</v>
      </c>
      <c r="Y1464" s="1">
        <v>26341</v>
      </c>
      <c r="Z1464">
        <v>2</v>
      </c>
      <c r="AA1464" t="s">
        <v>381</v>
      </c>
      <c r="AB1464" s="40" t="s">
        <v>1797</v>
      </c>
    </row>
    <row r="1465" spans="1:30" x14ac:dyDescent="0.25">
      <c r="A1465">
        <v>99911464</v>
      </c>
      <c r="B1465" t="s">
        <v>32</v>
      </c>
      <c r="C1465" t="s">
        <v>46</v>
      </c>
      <c r="D1465" t="s">
        <v>47</v>
      </c>
      <c r="G1465" t="s">
        <v>48</v>
      </c>
      <c r="H1465">
        <v>17</v>
      </c>
      <c r="K1465" t="s">
        <v>1268</v>
      </c>
      <c r="L1465" t="s">
        <v>1269</v>
      </c>
      <c r="M1465" t="s">
        <v>1270</v>
      </c>
      <c r="N1465">
        <v>18</v>
      </c>
      <c r="P1465" t="s">
        <v>41</v>
      </c>
      <c r="Q1465" t="s">
        <v>42</v>
      </c>
      <c r="R1465" t="str">
        <f>"1990911"</f>
        <v>1990911</v>
      </c>
      <c r="S1465" t="s">
        <v>1276</v>
      </c>
      <c r="T1465" t="s">
        <v>1268</v>
      </c>
      <c r="U1465" t="s">
        <v>1269</v>
      </c>
      <c r="V1465" t="s">
        <v>1270</v>
      </c>
      <c r="W1465" t="s">
        <v>51</v>
      </c>
      <c r="X1465" t="s">
        <v>45</v>
      </c>
      <c r="Y1465" s="1">
        <v>26284</v>
      </c>
      <c r="Z1465">
        <v>2</v>
      </c>
      <c r="AA1465" t="s">
        <v>1269</v>
      </c>
      <c r="AB1465" s="40" t="s">
        <v>1797</v>
      </c>
    </row>
    <row r="1466" spans="1:30" x14ac:dyDescent="0.25">
      <c r="A1466">
        <v>99911465</v>
      </c>
      <c r="B1466" t="s">
        <v>32</v>
      </c>
      <c r="C1466" t="s">
        <v>46</v>
      </c>
      <c r="D1466" t="s">
        <v>47</v>
      </c>
      <c r="G1466" t="s">
        <v>48</v>
      </c>
      <c r="H1466">
        <v>1</v>
      </c>
      <c r="K1466" t="s">
        <v>380</v>
      </c>
      <c r="L1466" t="s">
        <v>381</v>
      </c>
      <c r="M1466" t="s">
        <v>131</v>
      </c>
      <c r="N1466">
        <v>18</v>
      </c>
      <c r="P1466" t="s">
        <v>41</v>
      </c>
      <c r="Q1466" t="s">
        <v>42</v>
      </c>
      <c r="R1466" t="str">
        <f>"0590908"</f>
        <v>0590908</v>
      </c>
      <c r="S1466" t="s">
        <v>382</v>
      </c>
      <c r="T1466" t="s">
        <v>380</v>
      </c>
      <c r="U1466" t="s">
        <v>381</v>
      </c>
      <c r="V1466" t="s">
        <v>131</v>
      </c>
      <c r="W1466" t="s">
        <v>51</v>
      </c>
      <c r="X1466" t="s">
        <v>45</v>
      </c>
      <c r="Y1466" s="1">
        <v>26281</v>
      </c>
      <c r="Z1466">
        <v>2</v>
      </c>
      <c r="AA1466" t="s">
        <v>381</v>
      </c>
      <c r="AB1466" s="40" t="s">
        <v>1797</v>
      </c>
    </row>
    <row r="1467" spans="1:30" x14ac:dyDescent="0.25">
      <c r="A1467">
        <v>99911466</v>
      </c>
      <c r="B1467" t="s">
        <v>56</v>
      </c>
      <c r="C1467" t="s">
        <v>46</v>
      </c>
      <c r="D1467" t="s">
        <v>47</v>
      </c>
      <c r="G1467" t="s">
        <v>48</v>
      </c>
      <c r="H1467">
        <v>10</v>
      </c>
      <c r="K1467" t="s">
        <v>1268</v>
      </c>
      <c r="L1467" t="s">
        <v>1269</v>
      </c>
      <c r="M1467" t="s">
        <v>1270</v>
      </c>
      <c r="N1467">
        <v>18</v>
      </c>
      <c r="O1467" s="1">
        <v>43344</v>
      </c>
      <c r="P1467" t="s">
        <v>41</v>
      </c>
      <c r="Q1467" t="s">
        <v>42</v>
      </c>
      <c r="R1467" t="str">
        <f>"1980055"</f>
        <v>1980055</v>
      </c>
      <c r="S1467" t="s">
        <v>1285</v>
      </c>
      <c r="T1467" t="s">
        <v>1268</v>
      </c>
      <c r="U1467" t="s">
        <v>1269</v>
      </c>
      <c r="V1467" t="s">
        <v>1270</v>
      </c>
      <c r="W1467" t="s">
        <v>51</v>
      </c>
      <c r="X1467" t="s">
        <v>45</v>
      </c>
      <c r="Y1467" s="1">
        <v>26264</v>
      </c>
      <c r="Z1467">
        <v>2</v>
      </c>
      <c r="AA1467" t="s">
        <v>1269</v>
      </c>
      <c r="AB1467" s="40" t="s">
        <v>1797</v>
      </c>
    </row>
    <row r="1468" spans="1:30" x14ac:dyDescent="0.25">
      <c r="A1468">
        <v>99911467</v>
      </c>
      <c r="B1468" t="s">
        <v>32</v>
      </c>
      <c r="C1468" t="s">
        <v>71</v>
      </c>
      <c r="D1468" t="s">
        <v>72</v>
      </c>
      <c r="G1468" t="s">
        <v>35</v>
      </c>
      <c r="H1468">
        <v>1</v>
      </c>
      <c r="K1468" t="s">
        <v>223</v>
      </c>
      <c r="L1468" t="s">
        <v>224</v>
      </c>
      <c r="M1468" t="s">
        <v>131</v>
      </c>
      <c r="N1468">
        <v>18</v>
      </c>
      <c r="P1468" t="s">
        <v>41</v>
      </c>
      <c r="Q1468" t="s">
        <v>42</v>
      </c>
      <c r="R1468" t="str">
        <f>"0590903"</f>
        <v>0590903</v>
      </c>
      <c r="S1468" t="s">
        <v>226</v>
      </c>
      <c r="T1468" t="s">
        <v>223</v>
      </c>
      <c r="U1468" t="s">
        <v>224</v>
      </c>
      <c r="V1468" t="s">
        <v>131</v>
      </c>
      <c r="W1468" t="s">
        <v>51</v>
      </c>
      <c r="X1468" t="s">
        <v>45</v>
      </c>
      <c r="Y1468" s="1">
        <v>26197</v>
      </c>
      <c r="Z1468">
        <v>2</v>
      </c>
      <c r="AA1468" t="s">
        <v>224</v>
      </c>
      <c r="AB1468" s="40" t="s">
        <v>1797</v>
      </c>
    </row>
    <row r="1469" spans="1:30" x14ac:dyDescent="0.25">
      <c r="A1469">
        <v>99911468</v>
      </c>
      <c r="B1469" t="s">
        <v>32</v>
      </c>
      <c r="C1469" t="s">
        <v>46</v>
      </c>
      <c r="D1469" t="s">
        <v>47</v>
      </c>
      <c r="G1469" t="s">
        <v>48</v>
      </c>
      <c r="H1469">
        <v>12</v>
      </c>
      <c r="K1469" t="s">
        <v>1268</v>
      </c>
      <c r="L1469" t="s">
        <v>1269</v>
      </c>
      <c r="M1469" t="s">
        <v>1270</v>
      </c>
      <c r="N1469">
        <v>18</v>
      </c>
      <c r="O1469" s="1">
        <v>43344</v>
      </c>
      <c r="P1469" t="s">
        <v>41</v>
      </c>
      <c r="Q1469" t="s">
        <v>49</v>
      </c>
      <c r="R1469" t="str">
        <f>"1960001"</f>
        <v>1960001</v>
      </c>
      <c r="S1469" t="s">
        <v>1272</v>
      </c>
      <c r="T1469" t="s">
        <v>1268</v>
      </c>
      <c r="U1469" t="s">
        <v>1269</v>
      </c>
      <c r="V1469" t="s">
        <v>1270</v>
      </c>
      <c r="W1469" t="s">
        <v>51</v>
      </c>
      <c r="X1469" t="s">
        <v>45</v>
      </c>
      <c r="Y1469" s="1">
        <v>26193</v>
      </c>
      <c r="Z1469">
        <v>2</v>
      </c>
      <c r="AA1469" t="s">
        <v>1269</v>
      </c>
      <c r="AB1469" s="40" t="s">
        <v>1797</v>
      </c>
    </row>
    <row r="1470" spans="1:30" x14ac:dyDescent="0.25">
      <c r="A1470">
        <v>99911469</v>
      </c>
      <c r="B1470" t="s">
        <v>56</v>
      </c>
      <c r="C1470" t="s">
        <v>46</v>
      </c>
      <c r="D1470" t="s">
        <v>47</v>
      </c>
      <c r="G1470" t="s">
        <v>48</v>
      </c>
      <c r="H1470">
        <v>1</v>
      </c>
      <c r="K1470" t="s">
        <v>223</v>
      </c>
      <c r="L1470" t="s">
        <v>224</v>
      </c>
      <c r="M1470" t="s">
        <v>131</v>
      </c>
      <c r="N1470">
        <v>18</v>
      </c>
      <c r="P1470" t="s">
        <v>41</v>
      </c>
      <c r="Q1470" t="s">
        <v>42</v>
      </c>
      <c r="R1470" t="str">
        <f>"0580206"</f>
        <v>0580206</v>
      </c>
      <c r="S1470" t="s">
        <v>237</v>
      </c>
      <c r="T1470" t="s">
        <v>223</v>
      </c>
      <c r="U1470" t="s">
        <v>224</v>
      </c>
      <c r="V1470" t="s">
        <v>131</v>
      </c>
      <c r="W1470" t="s">
        <v>51</v>
      </c>
      <c r="X1470" t="s">
        <v>45</v>
      </c>
      <c r="Y1470" s="1">
        <v>26092</v>
      </c>
      <c r="Z1470">
        <v>2</v>
      </c>
      <c r="AA1470" t="s">
        <v>224</v>
      </c>
      <c r="AB1470" s="40" t="s">
        <v>1797</v>
      </c>
    </row>
    <row r="1471" spans="1:30" x14ac:dyDescent="0.25">
      <c r="A1471">
        <v>99911470</v>
      </c>
      <c r="B1471" t="s">
        <v>32</v>
      </c>
      <c r="C1471" t="s">
        <v>139</v>
      </c>
      <c r="D1471" t="s">
        <v>140</v>
      </c>
      <c r="G1471" t="s">
        <v>48</v>
      </c>
      <c r="H1471">
        <v>1</v>
      </c>
      <c r="K1471" t="s">
        <v>223</v>
      </c>
      <c r="L1471" t="s">
        <v>224</v>
      </c>
      <c r="M1471" t="s">
        <v>131</v>
      </c>
      <c r="N1471">
        <v>18</v>
      </c>
      <c r="P1471" t="s">
        <v>41</v>
      </c>
      <c r="Q1471" t="s">
        <v>42</v>
      </c>
      <c r="R1471" t="str">
        <f>"0580395"</f>
        <v>0580395</v>
      </c>
      <c r="S1471" t="s">
        <v>265</v>
      </c>
      <c r="T1471" t="s">
        <v>223</v>
      </c>
      <c r="U1471" t="s">
        <v>224</v>
      </c>
      <c r="V1471" t="s">
        <v>131</v>
      </c>
      <c r="W1471" t="s">
        <v>51</v>
      </c>
      <c r="X1471" t="s">
        <v>45</v>
      </c>
      <c r="Y1471" s="1">
        <v>26087</v>
      </c>
      <c r="Z1471">
        <v>2</v>
      </c>
      <c r="AA1471" t="s">
        <v>224</v>
      </c>
      <c r="AB1471" s="40" t="s">
        <v>1797</v>
      </c>
    </row>
    <row r="1472" spans="1:30" x14ac:dyDescent="0.25">
      <c r="A1472">
        <v>99911471</v>
      </c>
      <c r="B1472" t="s">
        <v>32</v>
      </c>
      <c r="C1472" t="s">
        <v>71</v>
      </c>
      <c r="D1472" t="s">
        <v>72</v>
      </c>
      <c r="G1472" t="s">
        <v>48</v>
      </c>
      <c r="H1472">
        <v>1</v>
      </c>
      <c r="K1472" t="s">
        <v>300</v>
      </c>
      <c r="L1472" t="s">
        <v>301</v>
      </c>
      <c r="M1472" t="s">
        <v>131</v>
      </c>
      <c r="N1472">
        <v>18</v>
      </c>
      <c r="P1472" t="s">
        <v>41</v>
      </c>
      <c r="Q1472" t="s">
        <v>49</v>
      </c>
      <c r="R1472" t="str">
        <f>"0560022"</f>
        <v>0560022</v>
      </c>
      <c r="S1472" t="s">
        <v>314</v>
      </c>
      <c r="T1472" t="s">
        <v>300</v>
      </c>
      <c r="U1472" t="s">
        <v>301</v>
      </c>
      <c r="V1472" t="s">
        <v>131</v>
      </c>
      <c r="W1472" t="s">
        <v>51</v>
      </c>
      <c r="X1472" t="s">
        <v>45</v>
      </c>
      <c r="Y1472" s="1">
        <v>26032</v>
      </c>
      <c r="Z1472">
        <v>2</v>
      </c>
      <c r="AA1472" t="s">
        <v>301</v>
      </c>
      <c r="AB1472" s="40" t="s">
        <v>1797</v>
      </c>
    </row>
    <row r="1473" spans="1:28" x14ac:dyDescent="0.25">
      <c r="A1473">
        <v>99911472</v>
      </c>
      <c r="B1473" t="s">
        <v>56</v>
      </c>
      <c r="C1473" t="s">
        <v>58</v>
      </c>
      <c r="D1473" t="s">
        <v>59</v>
      </c>
      <c r="G1473" t="s">
        <v>35</v>
      </c>
      <c r="H1473">
        <v>1</v>
      </c>
      <c r="I1473">
        <v>0</v>
      </c>
      <c r="J1473" s="1">
        <v>43344</v>
      </c>
      <c r="K1473" t="s">
        <v>223</v>
      </c>
      <c r="L1473" t="s">
        <v>224</v>
      </c>
      <c r="M1473" t="s">
        <v>131</v>
      </c>
      <c r="N1473">
        <v>18</v>
      </c>
      <c r="O1473" s="1">
        <v>43344</v>
      </c>
      <c r="P1473" t="s">
        <v>41</v>
      </c>
      <c r="Q1473" t="s">
        <v>42</v>
      </c>
      <c r="R1473" t="str">
        <f>"0580206"</f>
        <v>0580206</v>
      </c>
      <c r="S1473" t="s">
        <v>237</v>
      </c>
      <c r="T1473" t="s">
        <v>223</v>
      </c>
      <c r="U1473" t="s">
        <v>224</v>
      </c>
      <c r="V1473" t="s">
        <v>131</v>
      </c>
      <c r="W1473" t="s">
        <v>51</v>
      </c>
      <c r="X1473" t="s">
        <v>45</v>
      </c>
      <c r="Y1473" s="1">
        <v>26022</v>
      </c>
      <c r="Z1473">
        <v>2</v>
      </c>
      <c r="AA1473" t="s">
        <v>224</v>
      </c>
      <c r="AB1473" s="40" t="s">
        <v>1797</v>
      </c>
    </row>
    <row r="1474" spans="1:28" x14ac:dyDescent="0.25">
      <c r="A1474">
        <v>99911473</v>
      </c>
      <c r="B1474" t="s">
        <v>56</v>
      </c>
      <c r="C1474" t="s">
        <v>68</v>
      </c>
      <c r="D1474" t="s">
        <v>69</v>
      </c>
      <c r="G1474" t="s">
        <v>48</v>
      </c>
      <c r="H1474">
        <v>1</v>
      </c>
      <c r="K1474" t="s">
        <v>300</v>
      </c>
      <c r="L1474" t="s">
        <v>301</v>
      </c>
      <c r="M1474" t="s">
        <v>131</v>
      </c>
      <c r="N1474">
        <v>18</v>
      </c>
      <c r="P1474" t="s">
        <v>41</v>
      </c>
      <c r="Q1474" t="s">
        <v>42</v>
      </c>
      <c r="R1474" t="str">
        <f>"0580175"</f>
        <v>0580175</v>
      </c>
      <c r="S1474" t="s">
        <v>303</v>
      </c>
      <c r="T1474" t="s">
        <v>300</v>
      </c>
      <c r="U1474" t="s">
        <v>301</v>
      </c>
      <c r="V1474" t="s">
        <v>131</v>
      </c>
      <c r="W1474" t="s">
        <v>51</v>
      </c>
      <c r="X1474" t="s">
        <v>45</v>
      </c>
      <c r="Y1474" s="1">
        <v>25939</v>
      </c>
      <c r="Z1474">
        <v>2</v>
      </c>
      <c r="AA1474" t="s">
        <v>301</v>
      </c>
      <c r="AB1474" s="40" t="s">
        <v>1797</v>
      </c>
    </row>
    <row r="1475" spans="1:28" x14ac:dyDescent="0.25">
      <c r="A1475">
        <v>99911474</v>
      </c>
      <c r="B1475" t="s">
        <v>32</v>
      </c>
      <c r="C1475" t="s">
        <v>46</v>
      </c>
      <c r="D1475" t="s">
        <v>47</v>
      </c>
      <c r="G1475" t="s">
        <v>35</v>
      </c>
      <c r="H1475">
        <v>1</v>
      </c>
      <c r="K1475" t="s">
        <v>1325</v>
      </c>
      <c r="L1475" t="s">
        <v>1326</v>
      </c>
      <c r="M1475" t="s">
        <v>1270</v>
      </c>
      <c r="N1475">
        <v>18</v>
      </c>
      <c r="P1475" t="s">
        <v>41</v>
      </c>
      <c r="Q1475" t="s">
        <v>42</v>
      </c>
      <c r="R1475" t="str">
        <f>"3980100"</f>
        <v>3980100</v>
      </c>
      <c r="S1475" t="s">
        <v>1328</v>
      </c>
      <c r="T1475" t="s">
        <v>1325</v>
      </c>
      <c r="U1475" t="s">
        <v>1326</v>
      </c>
      <c r="V1475" t="s">
        <v>1270</v>
      </c>
      <c r="W1475" t="s">
        <v>51</v>
      </c>
      <c r="X1475" t="s">
        <v>45</v>
      </c>
      <c r="Y1475" s="1">
        <v>25934</v>
      </c>
      <c r="Z1475">
        <v>2</v>
      </c>
      <c r="AA1475" t="s">
        <v>1326</v>
      </c>
      <c r="AB1475" s="40" t="s">
        <v>1797</v>
      </c>
    </row>
    <row r="1476" spans="1:28" x14ac:dyDescent="0.25">
      <c r="A1476">
        <v>99911475</v>
      </c>
      <c r="B1476" t="s">
        <v>32</v>
      </c>
      <c r="C1476" t="s">
        <v>33</v>
      </c>
      <c r="D1476" t="s">
        <v>34</v>
      </c>
      <c r="G1476" t="s">
        <v>48</v>
      </c>
      <c r="H1476">
        <v>1</v>
      </c>
      <c r="K1476" t="s">
        <v>162</v>
      </c>
      <c r="L1476" t="s">
        <v>158</v>
      </c>
      <c r="M1476" t="s">
        <v>131</v>
      </c>
      <c r="N1476">
        <v>18</v>
      </c>
      <c r="P1476" t="s">
        <v>41</v>
      </c>
      <c r="Q1476" t="s">
        <v>42</v>
      </c>
      <c r="R1476" t="str">
        <f>"0580325"</f>
        <v>0580325</v>
      </c>
      <c r="S1476" t="s">
        <v>170</v>
      </c>
      <c r="T1476" t="s">
        <v>162</v>
      </c>
      <c r="U1476" t="s">
        <v>158</v>
      </c>
      <c r="V1476" t="s">
        <v>131</v>
      </c>
      <c r="W1476" t="s">
        <v>165</v>
      </c>
      <c r="X1476" t="s">
        <v>45</v>
      </c>
      <c r="Y1476" s="1">
        <v>25926</v>
      </c>
      <c r="Z1476">
        <v>2</v>
      </c>
      <c r="AA1476" t="s">
        <v>158</v>
      </c>
      <c r="AB1476" s="40" t="s">
        <v>1797</v>
      </c>
    </row>
    <row r="1477" spans="1:28" x14ac:dyDescent="0.25">
      <c r="A1477">
        <v>99911476</v>
      </c>
      <c r="B1477" t="s">
        <v>32</v>
      </c>
      <c r="C1477" t="s">
        <v>46</v>
      </c>
      <c r="D1477" t="s">
        <v>47</v>
      </c>
      <c r="G1477" t="s">
        <v>48</v>
      </c>
      <c r="H1477">
        <v>1</v>
      </c>
      <c r="K1477" t="s">
        <v>129</v>
      </c>
      <c r="L1477" t="s">
        <v>130</v>
      </c>
      <c r="M1477" t="s">
        <v>131</v>
      </c>
      <c r="N1477">
        <v>18</v>
      </c>
      <c r="P1477" t="s">
        <v>41</v>
      </c>
      <c r="Q1477" t="s">
        <v>42</v>
      </c>
      <c r="R1477" t="str">
        <f>"0590905"</f>
        <v>0590905</v>
      </c>
      <c r="S1477" t="s">
        <v>133</v>
      </c>
      <c r="T1477" t="s">
        <v>129</v>
      </c>
      <c r="U1477" t="s">
        <v>130</v>
      </c>
      <c r="V1477" t="s">
        <v>131</v>
      </c>
      <c r="W1477" t="s">
        <v>51</v>
      </c>
      <c r="X1477" t="s">
        <v>45</v>
      </c>
      <c r="Y1477" s="1">
        <v>25913</v>
      </c>
      <c r="Z1477">
        <v>2</v>
      </c>
      <c r="AA1477" t="s">
        <v>130</v>
      </c>
      <c r="AB1477" s="40" t="s">
        <v>1797</v>
      </c>
    </row>
    <row r="1478" spans="1:28" x14ac:dyDescent="0.25">
      <c r="A1478">
        <v>99911477</v>
      </c>
      <c r="B1478" t="s">
        <v>32</v>
      </c>
      <c r="C1478" t="s">
        <v>64</v>
      </c>
      <c r="D1478" t="s">
        <v>65</v>
      </c>
      <c r="G1478" t="s">
        <v>48</v>
      </c>
      <c r="H1478">
        <v>1</v>
      </c>
      <c r="K1478" t="s">
        <v>345</v>
      </c>
      <c r="L1478" t="s">
        <v>346</v>
      </c>
      <c r="M1478" t="s">
        <v>131</v>
      </c>
      <c r="N1478">
        <v>18</v>
      </c>
      <c r="P1478" t="s">
        <v>41</v>
      </c>
      <c r="Q1478" t="s">
        <v>49</v>
      </c>
      <c r="R1478" t="str">
        <f>"0561021"</f>
        <v>0561021</v>
      </c>
      <c r="S1478" t="s">
        <v>352</v>
      </c>
      <c r="T1478" t="s">
        <v>345</v>
      </c>
      <c r="U1478" t="s">
        <v>346</v>
      </c>
      <c r="V1478" t="s">
        <v>131</v>
      </c>
      <c r="W1478" t="s">
        <v>51</v>
      </c>
      <c r="X1478" t="s">
        <v>45</v>
      </c>
      <c r="Y1478" s="1">
        <v>25856</v>
      </c>
      <c r="Z1478">
        <v>2</v>
      </c>
      <c r="AA1478" t="s">
        <v>346</v>
      </c>
      <c r="AB1478" s="40" t="s">
        <v>1797</v>
      </c>
    </row>
    <row r="1479" spans="1:28" x14ac:dyDescent="0.25">
      <c r="A1479">
        <v>99911478</v>
      </c>
      <c r="B1479" t="s">
        <v>32</v>
      </c>
      <c r="C1479" t="s">
        <v>46</v>
      </c>
      <c r="D1479" t="s">
        <v>47</v>
      </c>
      <c r="G1479" t="s">
        <v>35</v>
      </c>
      <c r="H1479">
        <v>1</v>
      </c>
      <c r="K1479" t="s">
        <v>223</v>
      </c>
      <c r="L1479" t="s">
        <v>224</v>
      </c>
      <c r="M1479" t="s">
        <v>131</v>
      </c>
      <c r="N1479">
        <v>18</v>
      </c>
      <c r="P1479" t="s">
        <v>41</v>
      </c>
      <c r="Q1479" t="s">
        <v>42</v>
      </c>
      <c r="R1479" t="str">
        <f>"0590901"</f>
        <v>0590901</v>
      </c>
      <c r="S1479" t="s">
        <v>242</v>
      </c>
      <c r="T1479" t="s">
        <v>223</v>
      </c>
      <c r="U1479" t="s">
        <v>224</v>
      </c>
      <c r="V1479" t="s">
        <v>131</v>
      </c>
      <c r="W1479" t="s">
        <v>165</v>
      </c>
      <c r="X1479" t="s">
        <v>45</v>
      </c>
      <c r="Y1479" s="1">
        <v>25822</v>
      </c>
      <c r="Z1479">
        <v>2</v>
      </c>
      <c r="AA1479" t="s">
        <v>224</v>
      </c>
      <c r="AB1479" s="40" t="s">
        <v>1797</v>
      </c>
    </row>
    <row r="1480" spans="1:28" x14ac:dyDescent="0.25">
      <c r="A1480">
        <v>99911479</v>
      </c>
      <c r="B1480" t="s">
        <v>32</v>
      </c>
      <c r="C1480" t="s">
        <v>46</v>
      </c>
      <c r="D1480" t="s">
        <v>47</v>
      </c>
      <c r="G1480" t="s">
        <v>48</v>
      </c>
      <c r="H1480">
        <v>12</v>
      </c>
      <c r="K1480" t="s">
        <v>1268</v>
      </c>
      <c r="L1480" t="s">
        <v>1269</v>
      </c>
      <c r="M1480" t="s">
        <v>1270</v>
      </c>
      <c r="N1480">
        <v>18</v>
      </c>
      <c r="O1480" s="1">
        <v>43344</v>
      </c>
      <c r="P1480" t="s">
        <v>41</v>
      </c>
      <c r="Q1480" t="s">
        <v>42</v>
      </c>
      <c r="R1480" t="str">
        <f>"1980055"</f>
        <v>1980055</v>
      </c>
      <c r="S1480" t="s">
        <v>1285</v>
      </c>
      <c r="T1480" t="s">
        <v>1268</v>
      </c>
      <c r="U1480" t="s">
        <v>1269</v>
      </c>
      <c r="V1480" t="s">
        <v>1270</v>
      </c>
      <c r="W1480" t="s">
        <v>165</v>
      </c>
      <c r="X1480" t="s">
        <v>45</v>
      </c>
      <c r="Y1480" s="1">
        <v>25822</v>
      </c>
      <c r="Z1480">
        <v>2</v>
      </c>
      <c r="AA1480" t="s">
        <v>1269</v>
      </c>
      <c r="AB1480" s="40" t="s">
        <v>1797</v>
      </c>
    </row>
    <row r="1481" spans="1:28" x14ac:dyDescent="0.25">
      <c r="A1481">
        <v>99911480</v>
      </c>
      <c r="B1481" t="s">
        <v>32</v>
      </c>
      <c r="C1481" t="s">
        <v>33</v>
      </c>
      <c r="D1481" t="s">
        <v>34</v>
      </c>
      <c r="G1481" t="s">
        <v>35</v>
      </c>
      <c r="H1481">
        <v>1</v>
      </c>
      <c r="I1481" t="s">
        <v>1063</v>
      </c>
      <c r="J1481" s="1">
        <v>43344</v>
      </c>
      <c r="K1481" t="s">
        <v>1051</v>
      </c>
      <c r="L1481" t="s">
        <v>1052</v>
      </c>
      <c r="M1481" t="s">
        <v>1053</v>
      </c>
      <c r="N1481">
        <v>18</v>
      </c>
      <c r="O1481" s="1">
        <v>43344</v>
      </c>
      <c r="P1481" t="s">
        <v>41</v>
      </c>
      <c r="Q1481" t="s">
        <v>42</v>
      </c>
      <c r="R1481" t="str">
        <f>"2061001"</f>
        <v>2061001</v>
      </c>
      <c r="S1481" t="s">
        <v>1058</v>
      </c>
      <c r="T1481" t="s">
        <v>1051</v>
      </c>
      <c r="U1481" t="s">
        <v>1052</v>
      </c>
      <c r="V1481" t="s">
        <v>1053</v>
      </c>
      <c r="W1481" t="s">
        <v>51</v>
      </c>
      <c r="X1481" t="s">
        <v>45</v>
      </c>
      <c r="Y1481" s="1">
        <v>25809</v>
      </c>
      <c r="Z1481">
        <v>2</v>
      </c>
      <c r="AA1481" t="s">
        <v>1052</v>
      </c>
      <c r="AB1481" s="40" t="s">
        <v>1797</v>
      </c>
    </row>
    <row r="1482" spans="1:28" x14ac:dyDescent="0.25">
      <c r="A1482">
        <v>99911481</v>
      </c>
      <c r="B1482" t="s">
        <v>56</v>
      </c>
      <c r="C1482" t="s">
        <v>139</v>
      </c>
      <c r="D1482" t="s">
        <v>140</v>
      </c>
      <c r="G1482" t="s">
        <v>48</v>
      </c>
      <c r="H1482">
        <v>6</v>
      </c>
      <c r="K1482" t="s">
        <v>877</v>
      </c>
      <c r="L1482" t="s">
        <v>878</v>
      </c>
      <c r="M1482" t="s">
        <v>131</v>
      </c>
      <c r="N1482">
        <v>18</v>
      </c>
      <c r="P1482" t="s">
        <v>41</v>
      </c>
      <c r="Q1482" t="s">
        <v>75</v>
      </c>
      <c r="R1482" t="str">
        <f>"7541004"</f>
        <v>7541004</v>
      </c>
      <c r="S1482" t="s">
        <v>889</v>
      </c>
      <c r="T1482" t="s">
        <v>877</v>
      </c>
      <c r="U1482" t="s">
        <v>878</v>
      </c>
      <c r="V1482" t="s">
        <v>131</v>
      </c>
      <c r="W1482" t="s">
        <v>51</v>
      </c>
      <c r="X1482" t="s">
        <v>45</v>
      </c>
      <c r="Y1482" s="1">
        <v>25774</v>
      </c>
      <c r="Z1482">
        <v>1</v>
      </c>
      <c r="AA1482" t="s">
        <v>878</v>
      </c>
      <c r="AB1482" s="40" t="s">
        <v>1797</v>
      </c>
    </row>
    <row r="1483" spans="1:28" x14ac:dyDescent="0.25">
      <c r="A1483">
        <v>99911482</v>
      </c>
      <c r="B1483" t="s">
        <v>32</v>
      </c>
      <c r="C1483" t="s">
        <v>46</v>
      </c>
      <c r="D1483" t="s">
        <v>47</v>
      </c>
      <c r="G1483" t="s">
        <v>48</v>
      </c>
      <c r="H1483">
        <v>1</v>
      </c>
      <c r="K1483" t="s">
        <v>157</v>
      </c>
      <c r="L1483" t="s">
        <v>158</v>
      </c>
      <c r="M1483" t="s">
        <v>131</v>
      </c>
      <c r="N1483">
        <v>18</v>
      </c>
      <c r="P1483" t="s">
        <v>41</v>
      </c>
      <c r="Q1483" t="s">
        <v>49</v>
      </c>
      <c r="R1483" t="str">
        <f>"0560010"</f>
        <v>0560010</v>
      </c>
      <c r="S1483" t="s">
        <v>179</v>
      </c>
      <c r="T1483" t="s">
        <v>157</v>
      </c>
      <c r="U1483" t="s">
        <v>158</v>
      </c>
      <c r="V1483" t="s">
        <v>131</v>
      </c>
      <c r="W1483" t="s">
        <v>51</v>
      </c>
      <c r="X1483" t="s">
        <v>45</v>
      </c>
      <c r="Y1483" s="1">
        <v>25764</v>
      </c>
      <c r="Z1483">
        <v>2</v>
      </c>
      <c r="AA1483" t="s">
        <v>158</v>
      </c>
      <c r="AB1483" s="40" t="s">
        <v>1797</v>
      </c>
    </row>
    <row r="1484" spans="1:28" x14ac:dyDescent="0.25">
      <c r="A1484">
        <v>99911483</v>
      </c>
      <c r="B1484" t="s">
        <v>32</v>
      </c>
      <c r="C1484" t="s">
        <v>141</v>
      </c>
      <c r="D1484" t="s">
        <v>142</v>
      </c>
      <c r="G1484" t="s">
        <v>35</v>
      </c>
      <c r="H1484">
        <v>1</v>
      </c>
      <c r="I1484" s="1">
        <v>36139</v>
      </c>
      <c r="J1484" s="1">
        <v>43344</v>
      </c>
      <c r="K1484" t="s">
        <v>1341</v>
      </c>
      <c r="L1484" t="s">
        <v>1342</v>
      </c>
      <c r="M1484" t="s">
        <v>1270</v>
      </c>
      <c r="N1484">
        <v>18</v>
      </c>
      <c r="O1484" s="1">
        <v>43344</v>
      </c>
      <c r="P1484" t="s">
        <v>41</v>
      </c>
      <c r="Q1484" t="s">
        <v>75</v>
      </c>
      <c r="R1484" t="str">
        <f>"7191004"</f>
        <v>7191004</v>
      </c>
      <c r="S1484" t="s">
        <v>1344</v>
      </c>
      <c r="T1484" t="s">
        <v>1341</v>
      </c>
      <c r="U1484" t="s">
        <v>1342</v>
      </c>
      <c r="V1484" t="s">
        <v>1270</v>
      </c>
      <c r="W1484" t="s">
        <v>51</v>
      </c>
      <c r="X1484" t="s">
        <v>45</v>
      </c>
      <c r="Y1484" s="1">
        <v>25761</v>
      </c>
      <c r="Z1484">
        <v>1</v>
      </c>
      <c r="AA1484" t="s">
        <v>1342</v>
      </c>
      <c r="AB1484" s="40" t="s">
        <v>1797</v>
      </c>
    </row>
    <row r="1485" spans="1:28" x14ac:dyDescent="0.25">
      <c r="A1485">
        <v>99911484</v>
      </c>
      <c r="B1485" t="s">
        <v>56</v>
      </c>
      <c r="C1485" t="s">
        <v>79</v>
      </c>
      <c r="D1485" t="s">
        <v>80</v>
      </c>
      <c r="G1485" t="s">
        <v>48</v>
      </c>
      <c r="H1485">
        <v>1</v>
      </c>
      <c r="K1485" t="s">
        <v>223</v>
      </c>
      <c r="L1485" t="s">
        <v>224</v>
      </c>
      <c r="M1485" t="s">
        <v>131</v>
      </c>
      <c r="N1485">
        <v>18</v>
      </c>
      <c r="P1485" t="s">
        <v>41</v>
      </c>
      <c r="Q1485" t="s">
        <v>42</v>
      </c>
      <c r="R1485" t="str">
        <f>"0561007"</f>
        <v>0561007</v>
      </c>
      <c r="S1485" t="s">
        <v>262</v>
      </c>
      <c r="T1485" t="s">
        <v>223</v>
      </c>
      <c r="U1485" t="s">
        <v>224</v>
      </c>
      <c r="V1485" t="s">
        <v>131</v>
      </c>
      <c r="W1485" t="s">
        <v>51</v>
      </c>
      <c r="X1485" t="s">
        <v>45</v>
      </c>
      <c r="Y1485" s="1">
        <v>25736</v>
      </c>
      <c r="Z1485">
        <v>2</v>
      </c>
      <c r="AA1485" t="s">
        <v>224</v>
      </c>
      <c r="AB1485" s="40" t="s">
        <v>1797</v>
      </c>
    </row>
    <row r="1486" spans="1:28" x14ac:dyDescent="0.25">
      <c r="A1486">
        <v>99911485</v>
      </c>
      <c r="B1486" t="s">
        <v>56</v>
      </c>
      <c r="C1486" t="s">
        <v>64</v>
      </c>
      <c r="D1486" t="s">
        <v>65</v>
      </c>
      <c r="G1486" t="s">
        <v>35</v>
      </c>
      <c r="H1486">
        <v>1</v>
      </c>
      <c r="K1486" t="s">
        <v>223</v>
      </c>
      <c r="L1486" t="s">
        <v>224</v>
      </c>
      <c r="M1486" t="s">
        <v>131</v>
      </c>
      <c r="N1486">
        <v>18</v>
      </c>
      <c r="P1486" t="s">
        <v>41</v>
      </c>
      <c r="Q1486" t="s">
        <v>49</v>
      </c>
      <c r="R1486" t="str">
        <f>"0591901"</f>
        <v>0591901</v>
      </c>
      <c r="S1486" t="s">
        <v>230</v>
      </c>
      <c r="T1486" t="s">
        <v>223</v>
      </c>
      <c r="U1486" t="s">
        <v>224</v>
      </c>
      <c r="V1486" t="s">
        <v>131</v>
      </c>
      <c r="W1486" t="s">
        <v>51</v>
      </c>
      <c r="X1486" t="s">
        <v>45</v>
      </c>
      <c r="Y1486" s="1">
        <v>25713</v>
      </c>
      <c r="Z1486">
        <v>2</v>
      </c>
      <c r="AA1486" t="s">
        <v>224</v>
      </c>
      <c r="AB1486" s="40" t="s">
        <v>1797</v>
      </c>
    </row>
    <row r="1487" spans="1:28" x14ac:dyDescent="0.25">
      <c r="A1487">
        <v>99911486</v>
      </c>
      <c r="B1487" t="s">
        <v>56</v>
      </c>
      <c r="C1487" t="s">
        <v>79</v>
      </c>
      <c r="D1487" t="s">
        <v>80</v>
      </c>
      <c r="G1487" t="s">
        <v>35</v>
      </c>
      <c r="H1487">
        <v>1</v>
      </c>
      <c r="K1487" t="s">
        <v>154</v>
      </c>
      <c r="L1487" t="s">
        <v>155</v>
      </c>
      <c r="M1487" t="s">
        <v>131</v>
      </c>
      <c r="N1487">
        <v>18</v>
      </c>
      <c r="P1487" t="s">
        <v>41</v>
      </c>
      <c r="Q1487" t="s">
        <v>75</v>
      </c>
      <c r="R1487" t="str">
        <f>"7051026"</f>
        <v>7051026</v>
      </c>
      <c r="S1487" t="s">
        <v>396</v>
      </c>
      <c r="T1487" t="s">
        <v>154</v>
      </c>
      <c r="U1487" t="s">
        <v>155</v>
      </c>
      <c r="V1487" t="s">
        <v>131</v>
      </c>
      <c r="W1487" t="s">
        <v>51</v>
      </c>
      <c r="X1487" t="s">
        <v>45</v>
      </c>
      <c r="Y1487" s="1">
        <v>25690</v>
      </c>
      <c r="Z1487">
        <v>1</v>
      </c>
      <c r="AA1487" t="s">
        <v>155</v>
      </c>
      <c r="AB1487" s="40" t="s">
        <v>1797</v>
      </c>
    </row>
    <row r="1488" spans="1:28" x14ac:dyDescent="0.25">
      <c r="A1488">
        <v>99911487</v>
      </c>
      <c r="B1488" t="s">
        <v>32</v>
      </c>
      <c r="C1488" t="s">
        <v>46</v>
      </c>
      <c r="D1488" t="s">
        <v>47</v>
      </c>
      <c r="G1488" t="s">
        <v>48</v>
      </c>
      <c r="H1488">
        <v>1</v>
      </c>
      <c r="K1488" t="s">
        <v>162</v>
      </c>
      <c r="L1488" t="s">
        <v>158</v>
      </c>
      <c r="M1488" t="s">
        <v>131</v>
      </c>
      <c r="N1488">
        <v>18</v>
      </c>
      <c r="P1488" t="s">
        <v>41</v>
      </c>
      <c r="Q1488" t="s">
        <v>49</v>
      </c>
      <c r="R1488" t="str">
        <f>"0581325"</f>
        <v>0581325</v>
      </c>
      <c r="S1488" t="s">
        <v>169</v>
      </c>
      <c r="T1488" t="s">
        <v>162</v>
      </c>
      <c r="U1488" t="s">
        <v>158</v>
      </c>
      <c r="V1488" t="s">
        <v>131</v>
      </c>
      <c r="W1488" t="s">
        <v>51</v>
      </c>
      <c r="X1488" t="s">
        <v>45</v>
      </c>
      <c r="Y1488" s="1">
        <v>25667</v>
      </c>
      <c r="Z1488">
        <v>2</v>
      </c>
      <c r="AA1488" t="s">
        <v>158</v>
      </c>
      <c r="AB1488" s="40" t="s">
        <v>1797</v>
      </c>
    </row>
    <row r="1489" spans="1:28" x14ac:dyDescent="0.25">
      <c r="A1489">
        <v>99911488</v>
      </c>
      <c r="B1489" t="s">
        <v>32</v>
      </c>
      <c r="C1489" t="s">
        <v>46</v>
      </c>
      <c r="D1489" t="s">
        <v>47</v>
      </c>
      <c r="G1489" t="s">
        <v>35</v>
      </c>
      <c r="H1489">
        <v>1</v>
      </c>
      <c r="K1489" t="s">
        <v>300</v>
      </c>
      <c r="L1489" t="s">
        <v>301</v>
      </c>
      <c r="M1489" t="s">
        <v>131</v>
      </c>
      <c r="N1489">
        <v>18</v>
      </c>
      <c r="P1489" t="s">
        <v>41</v>
      </c>
      <c r="Q1489" t="s">
        <v>42</v>
      </c>
      <c r="R1489" t="str">
        <f>"0580023"</f>
        <v>0580023</v>
      </c>
      <c r="S1489" t="s">
        <v>313</v>
      </c>
      <c r="T1489" t="s">
        <v>300</v>
      </c>
      <c r="U1489" t="s">
        <v>301</v>
      </c>
      <c r="V1489" t="s">
        <v>131</v>
      </c>
      <c r="W1489" t="s">
        <v>165</v>
      </c>
      <c r="X1489" t="s">
        <v>45</v>
      </c>
      <c r="Y1489" s="1">
        <v>25659</v>
      </c>
      <c r="Z1489">
        <v>2</v>
      </c>
      <c r="AA1489" t="s">
        <v>301</v>
      </c>
      <c r="AB1489" s="40" t="s">
        <v>1797</v>
      </c>
    </row>
    <row r="1490" spans="1:28" x14ac:dyDescent="0.25">
      <c r="A1490">
        <v>99911489</v>
      </c>
      <c r="B1490" t="s">
        <v>56</v>
      </c>
      <c r="C1490" t="s">
        <v>46</v>
      </c>
      <c r="D1490" t="s">
        <v>47</v>
      </c>
      <c r="G1490" t="s">
        <v>48</v>
      </c>
      <c r="H1490">
        <v>1</v>
      </c>
      <c r="K1490" t="s">
        <v>223</v>
      </c>
      <c r="L1490" t="s">
        <v>224</v>
      </c>
      <c r="M1490" t="s">
        <v>131</v>
      </c>
      <c r="N1490">
        <v>18</v>
      </c>
      <c r="P1490" t="s">
        <v>41</v>
      </c>
      <c r="Q1490" t="s">
        <v>42</v>
      </c>
      <c r="R1490" t="str">
        <f>"0580202"</f>
        <v>0580202</v>
      </c>
      <c r="S1490" t="s">
        <v>240</v>
      </c>
      <c r="T1490" t="s">
        <v>223</v>
      </c>
      <c r="U1490" t="s">
        <v>224</v>
      </c>
      <c r="V1490" t="s">
        <v>131</v>
      </c>
      <c r="W1490" t="s">
        <v>51</v>
      </c>
      <c r="X1490" t="s">
        <v>45</v>
      </c>
      <c r="Y1490" s="1">
        <v>25657</v>
      </c>
      <c r="Z1490">
        <v>2</v>
      </c>
      <c r="AA1490" t="s">
        <v>224</v>
      </c>
      <c r="AB1490" s="40" t="s">
        <v>1797</v>
      </c>
    </row>
    <row r="1491" spans="1:28" x14ac:dyDescent="0.25">
      <c r="A1491">
        <v>99911490</v>
      </c>
      <c r="B1491" t="s">
        <v>56</v>
      </c>
      <c r="C1491" t="s">
        <v>139</v>
      </c>
      <c r="D1491" t="s">
        <v>140</v>
      </c>
      <c r="G1491" t="s">
        <v>35</v>
      </c>
      <c r="H1491">
        <v>1</v>
      </c>
      <c r="I1491">
        <v>0</v>
      </c>
      <c r="J1491" s="1">
        <v>43344</v>
      </c>
      <c r="K1491" t="s">
        <v>223</v>
      </c>
      <c r="L1491" t="s">
        <v>224</v>
      </c>
      <c r="M1491" t="s">
        <v>131</v>
      </c>
      <c r="N1491">
        <v>18</v>
      </c>
      <c r="O1491" s="1">
        <v>43344</v>
      </c>
      <c r="P1491" t="s">
        <v>41</v>
      </c>
      <c r="Q1491" t="s">
        <v>49</v>
      </c>
      <c r="R1491" t="str">
        <f>"0591907"</f>
        <v>0591907</v>
      </c>
      <c r="S1491" t="s">
        <v>243</v>
      </c>
      <c r="T1491" t="s">
        <v>223</v>
      </c>
      <c r="U1491" t="s">
        <v>224</v>
      </c>
      <c r="V1491" t="s">
        <v>131</v>
      </c>
      <c r="W1491" t="s">
        <v>51</v>
      </c>
      <c r="X1491" t="s">
        <v>45</v>
      </c>
      <c r="Y1491" s="1">
        <v>25641</v>
      </c>
      <c r="Z1491">
        <v>2</v>
      </c>
      <c r="AA1491" t="s">
        <v>224</v>
      </c>
      <c r="AB1491" s="40" t="s">
        <v>1797</v>
      </c>
    </row>
    <row r="1492" spans="1:28" x14ac:dyDescent="0.25">
      <c r="A1492">
        <v>99911491</v>
      </c>
      <c r="B1492" t="s">
        <v>32</v>
      </c>
      <c r="C1492" t="s">
        <v>46</v>
      </c>
      <c r="D1492" t="s">
        <v>47</v>
      </c>
      <c r="G1492" t="s">
        <v>48</v>
      </c>
      <c r="H1492">
        <v>1</v>
      </c>
      <c r="K1492" t="s">
        <v>345</v>
      </c>
      <c r="L1492" t="s">
        <v>346</v>
      </c>
      <c r="M1492" t="s">
        <v>131</v>
      </c>
      <c r="N1492">
        <v>18</v>
      </c>
      <c r="P1492" t="s">
        <v>41</v>
      </c>
      <c r="Q1492" t="s">
        <v>42</v>
      </c>
      <c r="R1492" t="str">
        <f>"0580605"</f>
        <v>0580605</v>
      </c>
      <c r="S1492" t="s">
        <v>362</v>
      </c>
      <c r="T1492" t="s">
        <v>345</v>
      </c>
      <c r="U1492" t="s">
        <v>346</v>
      </c>
      <c r="V1492" t="s">
        <v>131</v>
      </c>
      <c r="W1492" t="s">
        <v>51</v>
      </c>
      <c r="X1492" t="s">
        <v>45</v>
      </c>
      <c r="Y1492" s="1">
        <v>25639</v>
      </c>
      <c r="Z1492">
        <v>2</v>
      </c>
      <c r="AA1492" t="s">
        <v>346</v>
      </c>
      <c r="AB1492" s="40" t="s">
        <v>1797</v>
      </c>
    </row>
    <row r="1493" spans="1:28" x14ac:dyDescent="0.25">
      <c r="A1493">
        <v>99911492</v>
      </c>
      <c r="B1493" t="s">
        <v>32</v>
      </c>
      <c r="C1493" t="s">
        <v>85</v>
      </c>
      <c r="D1493" t="s">
        <v>86</v>
      </c>
      <c r="E1493" t="s">
        <v>46</v>
      </c>
      <c r="F1493" t="s">
        <v>47</v>
      </c>
      <c r="G1493" t="s">
        <v>48</v>
      </c>
      <c r="H1493">
        <v>11</v>
      </c>
      <c r="K1493" t="s">
        <v>129</v>
      </c>
      <c r="L1493" t="s">
        <v>130</v>
      </c>
      <c r="M1493" t="s">
        <v>131</v>
      </c>
      <c r="N1493">
        <v>18</v>
      </c>
      <c r="O1493" s="1">
        <v>34589</v>
      </c>
      <c r="P1493" t="s">
        <v>41</v>
      </c>
      <c r="Q1493" t="s">
        <v>42</v>
      </c>
      <c r="R1493" t="str">
        <f>"0561011"</f>
        <v>0561011</v>
      </c>
      <c r="S1493" t="s">
        <v>132</v>
      </c>
      <c r="T1493" t="s">
        <v>129</v>
      </c>
      <c r="U1493" t="s">
        <v>130</v>
      </c>
      <c r="V1493" t="s">
        <v>131</v>
      </c>
      <c r="W1493" t="s">
        <v>51</v>
      </c>
      <c r="X1493" t="s">
        <v>45</v>
      </c>
      <c r="Y1493" s="1">
        <v>25618</v>
      </c>
      <c r="Z1493">
        <v>2</v>
      </c>
      <c r="AA1493" t="s">
        <v>130</v>
      </c>
      <c r="AB1493" s="40" t="s">
        <v>1797</v>
      </c>
    </row>
    <row r="1494" spans="1:28" x14ac:dyDescent="0.25">
      <c r="A1494">
        <v>99911493</v>
      </c>
      <c r="B1494" t="s">
        <v>32</v>
      </c>
      <c r="C1494" t="s">
        <v>46</v>
      </c>
      <c r="D1494" t="s">
        <v>47</v>
      </c>
      <c r="G1494" t="s">
        <v>48</v>
      </c>
      <c r="H1494">
        <v>1</v>
      </c>
      <c r="K1494" t="s">
        <v>1268</v>
      </c>
      <c r="L1494" t="s">
        <v>1269</v>
      </c>
      <c r="M1494" t="s">
        <v>1270</v>
      </c>
      <c r="N1494">
        <v>18</v>
      </c>
      <c r="P1494" t="s">
        <v>41</v>
      </c>
      <c r="Q1494" t="s">
        <v>49</v>
      </c>
      <c r="R1494" t="str">
        <f>"1981912"</f>
        <v>1981912</v>
      </c>
      <c r="S1494" t="s">
        <v>1279</v>
      </c>
      <c r="T1494" t="s">
        <v>1268</v>
      </c>
      <c r="U1494" t="s">
        <v>1269</v>
      </c>
      <c r="V1494" t="s">
        <v>1270</v>
      </c>
      <c r="W1494" t="s">
        <v>51</v>
      </c>
      <c r="X1494" t="s">
        <v>45</v>
      </c>
      <c r="Y1494" s="1">
        <v>25615</v>
      </c>
      <c r="Z1494">
        <v>2</v>
      </c>
      <c r="AA1494" t="s">
        <v>1269</v>
      </c>
      <c r="AB1494" s="40" t="s">
        <v>1797</v>
      </c>
    </row>
    <row r="1495" spans="1:28" x14ac:dyDescent="0.25">
      <c r="A1495">
        <v>99911494</v>
      </c>
      <c r="B1495" t="s">
        <v>32</v>
      </c>
      <c r="C1495" t="s">
        <v>85</v>
      </c>
      <c r="D1495" t="s">
        <v>86</v>
      </c>
      <c r="G1495" t="s">
        <v>48</v>
      </c>
      <c r="H1495">
        <v>1</v>
      </c>
      <c r="K1495" t="s">
        <v>223</v>
      </c>
      <c r="L1495" t="s">
        <v>224</v>
      </c>
      <c r="M1495" t="s">
        <v>131</v>
      </c>
      <c r="N1495">
        <v>18</v>
      </c>
      <c r="P1495" t="s">
        <v>41</v>
      </c>
      <c r="Q1495" t="s">
        <v>49</v>
      </c>
      <c r="R1495" t="str">
        <f>"0581204"</f>
        <v>0581204</v>
      </c>
      <c r="S1495" t="s">
        <v>249</v>
      </c>
      <c r="T1495" t="s">
        <v>223</v>
      </c>
      <c r="U1495" t="s">
        <v>224</v>
      </c>
      <c r="V1495" t="s">
        <v>131</v>
      </c>
      <c r="W1495" t="s">
        <v>165</v>
      </c>
      <c r="X1495" t="s">
        <v>45</v>
      </c>
      <c r="Y1495" s="1">
        <v>25603</v>
      </c>
      <c r="Z1495">
        <v>2</v>
      </c>
      <c r="AA1495" t="s">
        <v>224</v>
      </c>
      <c r="AB1495" s="40" t="s">
        <v>1797</v>
      </c>
    </row>
    <row r="1496" spans="1:28" x14ac:dyDescent="0.25">
      <c r="A1496">
        <v>99911495</v>
      </c>
      <c r="B1496" t="s">
        <v>32</v>
      </c>
      <c r="C1496" t="s">
        <v>61</v>
      </c>
      <c r="D1496" t="s">
        <v>62</v>
      </c>
      <c r="G1496" t="s">
        <v>48</v>
      </c>
      <c r="H1496">
        <v>1</v>
      </c>
      <c r="K1496" t="s">
        <v>380</v>
      </c>
      <c r="L1496" t="s">
        <v>381</v>
      </c>
      <c r="M1496" t="s">
        <v>131</v>
      </c>
      <c r="N1496">
        <v>18</v>
      </c>
      <c r="P1496" t="s">
        <v>41</v>
      </c>
      <c r="Q1496" t="s">
        <v>49</v>
      </c>
      <c r="R1496" t="str">
        <f>"0591909"</f>
        <v>0591909</v>
      </c>
      <c r="S1496" t="s">
        <v>385</v>
      </c>
      <c r="T1496" t="s">
        <v>380</v>
      </c>
      <c r="U1496" t="s">
        <v>381</v>
      </c>
      <c r="V1496" t="s">
        <v>131</v>
      </c>
      <c r="W1496" t="s">
        <v>51</v>
      </c>
      <c r="X1496" t="s">
        <v>45</v>
      </c>
      <c r="Y1496" s="1">
        <v>25578</v>
      </c>
      <c r="Z1496">
        <v>2</v>
      </c>
      <c r="AA1496" t="s">
        <v>381</v>
      </c>
      <c r="AB1496" s="40" t="s">
        <v>1797</v>
      </c>
    </row>
    <row r="1497" spans="1:28" x14ac:dyDescent="0.25">
      <c r="A1497">
        <v>99911496</v>
      </c>
      <c r="B1497" t="s">
        <v>32</v>
      </c>
      <c r="C1497" t="s">
        <v>46</v>
      </c>
      <c r="D1497" t="s">
        <v>47</v>
      </c>
      <c r="G1497" t="s">
        <v>48</v>
      </c>
      <c r="H1497">
        <v>1</v>
      </c>
      <c r="K1497" t="s">
        <v>162</v>
      </c>
      <c r="L1497" t="s">
        <v>158</v>
      </c>
      <c r="M1497" t="s">
        <v>131</v>
      </c>
      <c r="N1497">
        <v>18</v>
      </c>
      <c r="P1497" t="s">
        <v>41</v>
      </c>
      <c r="Q1497" t="s">
        <v>49</v>
      </c>
      <c r="R1497" t="str">
        <f>"0560027"</f>
        <v>0560027</v>
      </c>
      <c r="S1497" t="s">
        <v>178</v>
      </c>
      <c r="T1497" t="s">
        <v>162</v>
      </c>
      <c r="U1497" t="s">
        <v>158</v>
      </c>
      <c r="V1497" t="s">
        <v>131</v>
      </c>
      <c r="W1497" t="s">
        <v>51</v>
      </c>
      <c r="X1497" t="s">
        <v>45</v>
      </c>
      <c r="Y1497" s="1">
        <v>25570</v>
      </c>
      <c r="Z1497">
        <v>2</v>
      </c>
      <c r="AA1497" t="s">
        <v>158</v>
      </c>
      <c r="AB1497" s="40" t="s">
        <v>1797</v>
      </c>
    </row>
    <row r="1498" spans="1:28" x14ac:dyDescent="0.25">
      <c r="A1498">
        <v>99911497</v>
      </c>
      <c r="B1498" t="s">
        <v>32</v>
      </c>
      <c r="C1498" t="s">
        <v>64</v>
      </c>
      <c r="D1498" t="s">
        <v>65</v>
      </c>
      <c r="G1498" t="s">
        <v>48</v>
      </c>
      <c r="H1498">
        <v>1</v>
      </c>
      <c r="K1498" t="s">
        <v>1128</v>
      </c>
      <c r="L1498" t="s">
        <v>1129</v>
      </c>
      <c r="M1498" t="s">
        <v>1130</v>
      </c>
      <c r="N1498">
        <v>18</v>
      </c>
      <c r="P1498" t="s">
        <v>41</v>
      </c>
      <c r="Q1498" t="s">
        <v>49</v>
      </c>
      <c r="R1498" t="str">
        <f>"3181010"</f>
        <v>3181010</v>
      </c>
      <c r="S1498" t="s">
        <v>1134</v>
      </c>
      <c r="T1498" t="s">
        <v>1128</v>
      </c>
      <c r="U1498" t="s">
        <v>1129</v>
      </c>
      <c r="V1498" t="s">
        <v>1130</v>
      </c>
      <c r="W1498" t="s">
        <v>165</v>
      </c>
      <c r="X1498" t="s">
        <v>45</v>
      </c>
      <c r="Y1498" s="1">
        <v>25564</v>
      </c>
      <c r="Z1498">
        <v>2</v>
      </c>
      <c r="AA1498" t="s">
        <v>1129</v>
      </c>
      <c r="AB1498" s="40" t="s">
        <v>1797</v>
      </c>
    </row>
    <row r="1499" spans="1:28" x14ac:dyDescent="0.25">
      <c r="A1499">
        <v>99911498</v>
      </c>
      <c r="B1499" t="s">
        <v>56</v>
      </c>
      <c r="C1499" t="s">
        <v>46</v>
      </c>
      <c r="D1499" t="s">
        <v>47</v>
      </c>
      <c r="G1499" t="s">
        <v>48</v>
      </c>
      <c r="H1499">
        <v>12</v>
      </c>
      <c r="K1499" t="s">
        <v>345</v>
      </c>
      <c r="L1499" t="s">
        <v>346</v>
      </c>
      <c r="M1499" t="s">
        <v>131</v>
      </c>
      <c r="N1499">
        <v>18</v>
      </c>
      <c r="P1499" t="s">
        <v>41</v>
      </c>
      <c r="Q1499" t="s">
        <v>42</v>
      </c>
      <c r="R1499" t="str">
        <f>"0590906"</f>
        <v>0590906</v>
      </c>
      <c r="S1499" t="s">
        <v>361</v>
      </c>
      <c r="T1499" t="s">
        <v>345</v>
      </c>
      <c r="U1499" t="s">
        <v>346</v>
      </c>
      <c r="V1499" t="s">
        <v>131</v>
      </c>
      <c r="W1499" t="s">
        <v>51</v>
      </c>
      <c r="X1499" t="s">
        <v>45</v>
      </c>
      <c r="Y1499" s="1">
        <v>25556</v>
      </c>
      <c r="Z1499">
        <v>2</v>
      </c>
      <c r="AA1499" t="s">
        <v>346</v>
      </c>
      <c r="AB1499" s="40" t="s">
        <v>1797</v>
      </c>
    </row>
    <row r="1500" spans="1:28" x14ac:dyDescent="0.25">
      <c r="A1500">
        <v>99911499</v>
      </c>
      <c r="B1500" t="s">
        <v>32</v>
      </c>
      <c r="C1500" t="s">
        <v>46</v>
      </c>
      <c r="D1500" t="s">
        <v>47</v>
      </c>
      <c r="G1500" t="s">
        <v>48</v>
      </c>
      <c r="H1500">
        <v>1</v>
      </c>
      <c r="K1500" t="s">
        <v>223</v>
      </c>
      <c r="L1500" t="s">
        <v>224</v>
      </c>
      <c r="M1500" t="s">
        <v>131</v>
      </c>
      <c r="N1500">
        <v>18</v>
      </c>
      <c r="P1500" t="s">
        <v>41</v>
      </c>
      <c r="Q1500" t="s">
        <v>49</v>
      </c>
      <c r="R1500" t="str">
        <f>"0581204"</f>
        <v>0581204</v>
      </c>
      <c r="S1500" t="s">
        <v>249</v>
      </c>
      <c r="T1500" t="s">
        <v>223</v>
      </c>
      <c r="U1500" t="s">
        <v>224</v>
      </c>
      <c r="V1500" t="s">
        <v>131</v>
      </c>
      <c r="W1500" t="s">
        <v>165</v>
      </c>
      <c r="X1500" t="s">
        <v>45</v>
      </c>
      <c r="Y1500" s="1">
        <v>25544</v>
      </c>
      <c r="Z1500">
        <v>2</v>
      </c>
      <c r="AA1500" t="s">
        <v>224</v>
      </c>
      <c r="AB1500" s="40" t="s">
        <v>1797</v>
      </c>
    </row>
    <row r="1501" spans="1:28" x14ac:dyDescent="0.25">
      <c r="A1501">
        <v>99911500</v>
      </c>
      <c r="B1501" t="s">
        <v>56</v>
      </c>
      <c r="C1501" t="s">
        <v>79</v>
      </c>
      <c r="D1501" t="s">
        <v>80</v>
      </c>
      <c r="G1501" t="s">
        <v>48</v>
      </c>
      <c r="H1501">
        <v>1</v>
      </c>
      <c r="K1501" t="s">
        <v>1187</v>
      </c>
      <c r="L1501" t="s">
        <v>1188</v>
      </c>
      <c r="M1501" t="s">
        <v>1130</v>
      </c>
      <c r="N1501">
        <v>18</v>
      </c>
      <c r="P1501" t="s">
        <v>41</v>
      </c>
      <c r="Q1501" t="s">
        <v>49</v>
      </c>
      <c r="R1501" t="str">
        <f>"4581015"</f>
        <v>4581015</v>
      </c>
      <c r="S1501" t="s">
        <v>1190</v>
      </c>
      <c r="T1501" t="s">
        <v>1187</v>
      </c>
      <c r="U1501" t="s">
        <v>1188</v>
      </c>
      <c r="V1501" t="s">
        <v>1130</v>
      </c>
      <c r="W1501" t="s">
        <v>51</v>
      </c>
      <c r="X1501" t="s">
        <v>45</v>
      </c>
      <c r="Y1501" s="1">
        <v>25535</v>
      </c>
      <c r="Z1501">
        <v>2</v>
      </c>
      <c r="AA1501" t="s">
        <v>1188</v>
      </c>
      <c r="AB1501" s="40" t="s">
        <v>1797</v>
      </c>
    </row>
    <row r="1502" spans="1:28" x14ac:dyDescent="0.25">
      <c r="A1502">
        <v>99911501</v>
      </c>
      <c r="B1502" t="s">
        <v>32</v>
      </c>
      <c r="C1502" t="s">
        <v>46</v>
      </c>
      <c r="D1502" t="s">
        <v>47</v>
      </c>
      <c r="G1502" t="s">
        <v>35</v>
      </c>
      <c r="H1502">
        <v>1</v>
      </c>
      <c r="K1502" t="s">
        <v>223</v>
      </c>
      <c r="L1502" t="s">
        <v>224</v>
      </c>
      <c r="M1502" t="s">
        <v>131</v>
      </c>
      <c r="N1502">
        <v>18</v>
      </c>
      <c r="P1502" t="s">
        <v>41</v>
      </c>
      <c r="Q1502" t="s">
        <v>42</v>
      </c>
      <c r="R1502" t="str">
        <f>"0590902"</f>
        <v>0590902</v>
      </c>
      <c r="S1502" t="s">
        <v>241</v>
      </c>
      <c r="T1502" t="s">
        <v>223</v>
      </c>
      <c r="U1502" t="s">
        <v>224</v>
      </c>
      <c r="V1502" t="s">
        <v>131</v>
      </c>
      <c r="W1502" t="s">
        <v>51</v>
      </c>
      <c r="X1502" t="s">
        <v>45</v>
      </c>
      <c r="Y1502" s="1">
        <v>25485</v>
      </c>
      <c r="Z1502">
        <v>2</v>
      </c>
      <c r="AA1502" t="s">
        <v>224</v>
      </c>
      <c r="AB1502" s="40" t="s">
        <v>1797</v>
      </c>
    </row>
    <row r="1503" spans="1:28" x14ac:dyDescent="0.25">
      <c r="A1503">
        <v>99911502</v>
      </c>
      <c r="B1503" t="s">
        <v>32</v>
      </c>
      <c r="C1503" t="s">
        <v>46</v>
      </c>
      <c r="D1503" t="s">
        <v>47</v>
      </c>
      <c r="G1503" t="s">
        <v>48</v>
      </c>
      <c r="H1503">
        <v>1</v>
      </c>
      <c r="K1503" t="s">
        <v>345</v>
      </c>
      <c r="L1503" t="s">
        <v>346</v>
      </c>
      <c r="M1503" t="s">
        <v>131</v>
      </c>
      <c r="N1503">
        <v>18</v>
      </c>
      <c r="P1503" t="s">
        <v>41</v>
      </c>
      <c r="Q1503" t="s">
        <v>49</v>
      </c>
      <c r="R1503" t="str">
        <f>"0581605"</f>
        <v>0581605</v>
      </c>
      <c r="S1503" t="s">
        <v>366</v>
      </c>
      <c r="T1503" t="s">
        <v>345</v>
      </c>
      <c r="U1503" t="s">
        <v>346</v>
      </c>
      <c r="V1503" t="s">
        <v>131</v>
      </c>
      <c r="W1503" t="s">
        <v>51</v>
      </c>
      <c r="X1503" t="s">
        <v>45</v>
      </c>
      <c r="Y1503" s="1">
        <v>25472</v>
      </c>
      <c r="Z1503">
        <v>2</v>
      </c>
      <c r="AA1503" t="s">
        <v>346</v>
      </c>
      <c r="AB1503" s="40" t="s">
        <v>1797</v>
      </c>
    </row>
    <row r="1504" spans="1:28" x14ac:dyDescent="0.25">
      <c r="A1504">
        <v>99911503</v>
      </c>
      <c r="B1504" t="s">
        <v>32</v>
      </c>
      <c r="C1504" t="s">
        <v>46</v>
      </c>
      <c r="D1504" t="s">
        <v>47</v>
      </c>
      <c r="G1504" t="s">
        <v>48</v>
      </c>
      <c r="H1504">
        <v>1</v>
      </c>
      <c r="K1504" t="s">
        <v>380</v>
      </c>
      <c r="L1504" t="s">
        <v>381</v>
      </c>
      <c r="M1504" t="s">
        <v>131</v>
      </c>
      <c r="N1504">
        <v>18</v>
      </c>
      <c r="P1504" t="s">
        <v>41</v>
      </c>
      <c r="Q1504" t="s">
        <v>42</v>
      </c>
      <c r="R1504" t="str">
        <f>"0590909"</f>
        <v>0590909</v>
      </c>
      <c r="S1504" t="s">
        <v>388</v>
      </c>
      <c r="T1504" t="s">
        <v>380</v>
      </c>
      <c r="U1504" t="s">
        <v>381</v>
      </c>
      <c r="V1504" t="s">
        <v>131</v>
      </c>
      <c r="W1504" t="s">
        <v>51</v>
      </c>
      <c r="X1504" t="s">
        <v>45</v>
      </c>
      <c r="Y1504" s="1">
        <v>25447</v>
      </c>
      <c r="Z1504">
        <v>2</v>
      </c>
      <c r="AA1504" t="s">
        <v>381</v>
      </c>
      <c r="AB1504" s="40" t="s">
        <v>1797</v>
      </c>
    </row>
    <row r="1505" spans="1:28" x14ac:dyDescent="0.25">
      <c r="A1505">
        <v>99911504</v>
      </c>
      <c r="B1505" t="s">
        <v>32</v>
      </c>
      <c r="C1505" t="s">
        <v>68</v>
      </c>
      <c r="D1505" t="s">
        <v>69</v>
      </c>
      <c r="G1505" t="s">
        <v>48</v>
      </c>
      <c r="H1505">
        <v>1</v>
      </c>
      <c r="K1505" t="s">
        <v>223</v>
      </c>
      <c r="L1505" t="s">
        <v>224</v>
      </c>
      <c r="M1505" t="s">
        <v>131</v>
      </c>
      <c r="N1505">
        <v>18</v>
      </c>
      <c r="P1505" t="s">
        <v>41</v>
      </c>
      <c r="Q1505" t="s">
        <v>49</v>
      </c>
      <c r="R1505" t="str">
        <f>"0581200"</f>
        <v>0581200</v>
      </c>
      <c r="S1505" t="s">
        <v>238</v>
      </c>
      <c r="T1505" t="s">
        <v>223</v>
      </c>
      <c r="U1505" t="s">
        <v>224</v>
      </c>
      <c r="V1505" t="s">
        <v>131</v>
      </c>
      <c r="W1505" t="s">
        <v>51</v>
      </c>
      <c r="X1505" t="s">
        <v>45</v>
      </c>
      <c r="Y1505" s="1">
        <v>25444</v>
      </c>
      <c r="Z1505">
        <v>2</v>
      </c>
      <c r="AA1505" t="s">
        <v>224</v>
      </c>
      <c r="AB1505" s="40" t="s">
        <v>1797</v>
      </c>
    </row>
    <row r="1506" spans="1:28" x14ac:dyDescent="0.25">
      <c r="A1506">
        <v>99911505</v>
      </c>
      <c r="B1506" t="s">
        <v>32</v>
      </c>
      <c r="C1506" t="s">
        <v>46</v>
      </c>
      <c r="D1506" t="s">
        <v>47</v>
      </c>
      <c r="G1506" t="s">
        <v>48</v>
      </c>
      <c r="H1506">
        <v>1</v>
      </c>
      <c r="K1506" t="s">
        <v>345</v>
      </c>
      <c r="L1506" t="s">
        <v>346</v>
      </c>
      <c r="M1506" t="s">
        <v>131</v>
      </c>
      <c r="N1506">
        <v>18</v>
      </c>
      <c r="P1506" t="s">
        <v>41</v>
      </c>
      <c r="Q1506" t="s">
        <v>42</v>
      </c>
      <c r="R1506" t="str">
        <f>"0580650"</f>
        <v>0580650</v>
      </c>
      <c r="S1506" t="s">
        <v>356</v>
      </c>
      <c r="T1506" t="s">
        <v>345</v>
      </c>
      <c r="U1506" t="s">
        <v>346</v>
      </c>
      <c r="V1506" t="s">
        <v>131</v>
      </c>
      <c r="W1506" t="s">
        <v>51</v>
      </c>
      <c r="X1506" t="s">
        <v>45</v>
      </c>
      <c r="Y1506" s="1">
        <v>25441</v>
      </c>
      <c r="Z1506">
        <v>2</v>
      </c>
      <c r="AA1506" t="s">
        <v>346</v>
      </c>
      <c r="AB1506" s="40" t="s">
        <v>1797</v>
      </c>
    </row>
    <row r="1507" spans="1:28" x14ac:dyDescent="0.25">
      <c r="A1507">
        <v>99911506</v>
      </c>
      <c r="B1507" t="s">
        <v>32</v>
      </c>
      <c r="C1507" t="s">
        <v>46</v>
      </c>
      <c r="D1507" t="s">
        <v>47</v>
      </c>
      <c r="G1507" t="s">
        <v>35</v>
      </c>
      <c r="H1507">
        <v>1</v>
      </c>
      <c r="I1507" t="s">
        <v>218</v>
      </c>
      <c r="J1507" s="1">
        <v>43344</v>
      </c>
      <c r="K1507" t="s">
        <v>162</v>
      </c>
      <c r="L1507" t="s">
        <v>158</v>
      </c>
      <c r="M1507" t="s">
        <v>131</v>
      </c>
      <c r="N1507">
        <v>18</v>
      </c>
      <c r="O1507" s="1">
        <v>43344</v>
      </c>
      <c r="P1507" t="s">
        <v>41</v>
      </c>
      <c r="Q1507" t="s">
        <v>42</v>
      </c>
      <c r="R1507" t="str">
        <f>"0580320"</f>
        <v>0580320</v>
      </c>
      <c r="S1507" t="s">
        <v>164</v>
      </c>
      <c r="T1507" t="s">
        <v>162</v>
      </c>
      <c r="U1507" t="s">
        <v>158</v>
      </c>
      <c r="V1507" t="s">
        <v>131</v>
      </c>
      <c r="W1507" t="s">
        <v>165</v>
      </c>
      <c r="X1507" t="s">
        <v>45</v>
      </c>
      <c r="Y1507" s="1">
        <v>25439</v>
      </c>
      <c r="Z1507">
        <v>2</v>
      </c>
      <c r="AA1507" t="s">
        <v>158</v>
      </c>
      <c r="AB1507" s="40" t="s">
        <v>1797</v>
      </c>
    </row>
    <row r="1508" spans="1:28" x14ac:dyDescent="0.25">
      <c r="A1508">
        <v>99911507</v>
      </c>
      <c r="B1508" t="s">
        <v>32</v>
      </c>
      <c r="C1508" t="s">
        <v>46</v>
      </c>
      <c r="D1508" t="s">
        <v>47</v>
      </c>
      <c r="G1508" t="s">
        <v>35</v>
      </c>
      <c r="H1508">
        <v>1</v>
      </c>
      <c r="I1508" t="s">
        <v>348</v>
      </c>
      <c r="J1508" s="1">
        <v>43344</v>
      </c>
      <c r="K1508" t="s">
        <v>345</v>
      </c>
      <c r="L1508" t="s">
        <v>346</v>
      </c>
      <c r="M1508" t="s">
        <v>131</v>
      </c>
      <c r="N1508">
        <v>18</v>
      </c>
      <c r="O1508" s="1">
        <v>43344</v>
      </c>
      <c r="P1508" t="s">
        <v>41</v>
      </c>
      <c r="Q1508" t="s">
        <v>42</v>
      </c>
      <c r="R1508" t="str">
        <f>"0580155"</f>
        <v>0580155</v>
      </c>
      <c r="S1508" t="s">
        <v>365</v>
      </c>
      <c r="T1508" t="s">
        <v>345</v>
      </c>
      <c r="U1508" t="s">
        <v>346</v>
      </c>
      <c r="V1508" t="s">
        <v>131</v>
      </c>
      <c r="W1508" t="s">
        <v>51</v>
      </c>
      <c r="X1508" t="s">
        <v>45</v>
      </c>
      <c r="Y1508" s="1">
        <v>25394</v>
      </c>
      <c r="Z1508">
        <v>2</v>
      </c>
      <c r="AA1508" t="s">
        <v>346</v>
      </c>
      <c r="AB1508" s="40" t="s">
        <v>1797</v>
      </c>
    </row>
    <row r="1509" spans="1:28" x14ac:dyDescent="0.25">
      <c r="A1509">
        <v>99911508</v>
      </c>
      <c r="B1509" t="s">
        <v>32</v>
      </c>
      <c r="C1509" t="s">
        <v>46</v>
      </c>
      <c r="D1509" t="s">
        <v>47</v>
      </c>
      <c r="G1509" t="s">
        <v>48</v>
      </c>
      <c r="H1509">
        <v>1</v>
      </c>
      <c r="K1509" t="s">
        <v>300</v>
      </c>
      <c r="L1509" t="s">
        <v>301</v>
      </c>
      <c r="M1509" t="s">
        <v>131</v>
      </c>
      <c r="N1509">
        <v>18</v>
      </c>
      <c r="P1509" t="s">
        <v>41</v>
      </c>
      <c r="Q1509" t="s">
        <v>42</v>
      </c>
      <c r="R1509" t="str">
        <f>"0580176"</f>
        <v>0580176</v>
      </c>
      <c r="S1509" t="s">
        <v>305</v>
      </c>
      <c r="T1509" t="s">
        <v>300</v>
      </c>
      <c r="U1509" t="s">
        <v>301</v>
      </c>
      <c r="V1509" t="s">
        <v>131</v>
      </c>
      <c r="W1509" t="s">
        <v>51</v>
      </c>
      <c r="X1509" t="s">
        <v>45</v>
      </c>
      <c r="Y1509" s="1">
        <v>25375</v>
      </c>
      <c r="Z1509">
        <v>2</v>
      </c>
      <c r="AA1509" t="s">
        <v>301</v>
      </c>
      <c r="AB1509" s="40" t="s">
        <v>1797</v>
      </c>
    </row>
    <row r="1510" spans="1:28" x14ac:dyDescent="0.25">
      <c r="A1510">
        <v>99911509</v>
      </c>
      <c r="B1510" t="s">
        <v>32</v>
      </c>
      <c r="C1510" t="s">
        <v>82</v>
      </c>
      <c r="D1510" t="s">
        <v>83</v>
      </c>
      <c r="G1510" t="s">
        <v>48</v>
      </c>
      <c r="H1510">
        <v>1</v>
      </c>
      <c r="K1510" t="s">
        <v>223</v>
      </c>
      <c r="L1510" t="s">
        <v>224</v>
      </c>
      <c r="M1510" t="s">
        <v>131</v>
      </c>
      <c r="N1510">
        <v>18</v>
      </c>
      <c r="P1510" t="s">
        <v>41</v>
      </c>
      <c r="Q1510" t="s">
        <v>42</v>
      </c>
      <c r="R1510" t="str">
        <f>"0580202"</f>
        <v>0580202</v>
      </c>
      <c r="S1510" t="s">
        <v>240</v>
      </c>
      <c r="T1510" t="s">
        <v>223</v>
      </c>
      <c r="U1510" t="s">
        <v>224</v>
      </c>
      <c r="V1510" t="s">
        <v>131</v>
      </c>
      <c r="W1510" t="s">
        <v>165</v>
      </c>
      <c r="X1510" t="s">
        <v>45</v>
      </c>
      <c r="Y1510" s="1">
        <v>25355</v>
      </c>
      <c r="Z1510">
        <v>2</v>
      </c>
      <c r="AA1510" t="s">
        <v>224</v>
      </c>
      <c r="AB1510" s="40" t="s">
        <v>1797</v>
      </c>
    </row>
    <row r="1511" spans="1:28" x14ac:dyDescent="0.25">
      <c r="A1511">
        <v>99911510</v>
      </c>
      <c r="B1511" t="s">
        <v>32</v>
      </c>
      <c r="C1511" t="s">
        <v>46</v>
      </c>
      <c r="D1511" t="s">
        <v>47</v>
      </c>
      <c r="G1511" t="s">
        <v>35</v>
      </c>
      <c r="H1511">
        <v>1</v>
      </c>
      <c r="K1511" t="s">
        <v>223</v>
      </c>
      <c r="L1511" t="s">
        <v>224</v>
      </c>
      <c r="M1511" t="s">
        <v>131</v>
      </c>
      <c r="N1511">
        <v>18</v>
      </c>
      <c r="P1511" t="s">
        <v>41</v>
      </c>
      <c r="Q1511" t="s">
        <v>49</v>
      </c>
      <c r="R1511" t="str">
        <f>"0591907"</f>
        <v>0591907</v>
      </c>
      <c r="S1511" t="s">
        <v>243</v>
      </c>
      <c r="T1511" t="s">
        <v>223</v>
      </c>
      <c r="U1511" t="s">
        <v>224</v>
      </c>
      <c r="V1511" t="s">
        <v>131</v>
      </c>
      <c r="W1511" t="s">
        <v>51</v>
      </c>
      <c r="X1511" t="s">
        <v>45</v>
      </c>
      <c r="Y1511" s="1">
        <v>25351</v>
      </c>
      <c r="Z1511">
        <v>2</v>
      </c>
      <c r="AA1511" t="s">
        <v>224</v>
      </c>
      <c r="AB1511" s="40" t="s">
        <v>1797</v>
      </c>
    </row>
    <row r="1512" spans="1:28" x14ac:dyDescent="0.25">
      <c r="A1512">
        <v>99911511</v>
      </c>
      <c r="B1512" t="s">
        <v>56</v>
      </c>
      <c r="C1512" t="s">
        <v>46</v>
      </c>
      <c r="D1512" t="s">
        <v>47</v>
      </c>
      <c r="G1512" t="s">
        <v>48</v>
      </c>
      <c r="H1512">
        <v>1</v>
      </c>
      <c r="K1512" t="s">
        <v>345</v>
      </c>
      <c r="L1512" t="s">
        <v>346</v>
      </c>
      <c r="M1512" t="s">
        <v>131</v>
      </c>
      <c r="N1512">
        <v>18</v>
      </c>
      <c r="P1512" t="s">
        <v>41</v>
      </c>
      <c r="Q1512" t="s">
        <v>42</v>
      </c>
      <c r="R1512" t="str">
        <f>"0590906"</f>
        <v>0590906</v>
      </c>
      <c r="S1512" t="s">
        <v>361</v>
      </c>
      <c r="T1512" t="s">
        <v>345</v>
      </c>
      <c r="U1512" t="s">
        <v>346</v>
      </c>
      <c r="V1512" t="s">
        <v>131</v>
      </c>
      <c r="W1512" t="s">
        <v>51</v>
      </c>
      <c r="X1512" t="s">
        <v>45</v>
      </c>
      <c r="Y1512" s="1">
        <v>25346</v>
      </c>
      <c r="Z1512">
        <v>2</v>
      </c>
      <c r="AA1512" t="s">
        <v>346</v>
      </c>
      <c r="AB1512" s="40" t="s">
        <v>1797</v>
      </c>
    </row>
    <row r="1513" spans="1:28" x14ac:dyDescent="0.25">
      <c r="A1513">
        <v>99911512</v>
      </c>
      <c r="B1513" t="s">
        <v>32</v>
      </c>
      <c r="C1513" t="s">
        <v>46</v>
      </c>
      <c r="D1513" t="s">
        <v>47</v>
      </c>
      <c r="G1513" t="s">
        <v>48</v>
      </c>
      <c r="H1513">
        <v>1</v>
      </c>
      <c r="K1513" t="s">
        <v>223</v>
      </c>
      <c r="L1513" t="s">
        <v>224</v>
      </c>
      <c r="M1513" t="s">
        <v>131</v>
      </c>
      <c r="N1513">
        <v>18</v>
      </c>
      <c r="P1513" t="s">
        <v>41</v>
      </c>
      <c r="Q1513" t="s">
        <v>42</v>
      </c>
      <c r="R1513" t="str">
        <f>"0580204"</f>
        <v>0580204</v>
      </c>
      <c r="S1513" t="s">
        <v>235</v>
      </c>
      <c r="T1513" t="s">
        <v>223</v>
      </c>
      <c r="U1513" t="s">
        <v>224</v>
      </c>
      <c r="V1513" t="s">
        <v>131</v>
      </c>
      <c r="W1513" t="s">
        <v>165</v>
      </c>
      <c r="X1513" t="s">
        <v>45</v>
      </c>
      <c r="Y1513" s="1">
        <v>25334</v>
      </c>
      <c r="Z1513">
        <v>2</v>
      </c>
      <c r="AA1513" t="s">
        <v>224</v>
      </c>
      <c r="AB1513" s="40" t="s">
        <v>1797</v>
      </c>
    </row>
    <row r="1514" spans="1:28" x14ac:dyDescent="0.25">
      <c r="A1514">
        <v>99911513</v>
      </c>
      <c r="B1514" t="s">
        <v>56</v>
      </c>
      <c r="C1514" t="s">
        <v>46</v>
      </c>
      <c r="D1514" t="s">
        <v>47</v>
      </c>
      <c r="G1514" t="s">
        <v>48</v>
      </c>
      <c r="H1514">
        <v>1</v>
      </c>
      <c r="K1514" t="s">
        <v>380</v>
      </c>
      <c r="L1514" t="s">
        <v>381</v>
      </c>
      <c r="M1514" t="s">
        <v>131</v>
      </c>
      <c r="N1514">
        <v>18</v>
      </c>
      <c r="P1514" t="s">
        <v>41</v>
      </c>
      <c r="Q1514" t="s">
        <v>42</v>
      </c>
      <c r="R1514" t="str">
        <f>"0590908"</f>
        <v>0590908</v>
      </c>
      <c r="S1514" t="s">
        <v>382</v>
      </c>
      <c r="T1514" t="s">
        <v>380</v>
      </c>
      <c r="U1514" t="s">
        <v>381</v>
      </c>
      <c r="V1514" t="s">
        <v>131</v>
      </c>
      <c r="W1514" t="s">
        <v>51</v>
      </c>
      <c r="X1514" t="s">
        <v>45</v>
      </c>
      <c r="Y1514" s="1">
        <v>25329</v>
      </c>
      <c r="Z1514">
        <v>2</v>
      </c>
      <c r="AA1514" t="s">
        <v>381</v>
      </c>
      <c r="AB1514" s="40" t="s">
        <v>1797</v>
      </c>
    </row>
    <row r="1515" spans="1:28" x14ac:dyDescent="0.25">
      <c r="A1515">
        <v>99911514</v>
      </c>
      <c r="B1515" t="s">
        <v>32</v>
      </c>
      <c r="C1515" t="s">
        <v>68</v>
      </c>
      <c r="D1515" t="s">
        <v>69</v>
      </c>
      <c r="G1515" t="s">
        <v>48</v>
      </c>
      <c r="H1515">
        <v>1</v>
      </c>
      <c r="K1515" t="s">
        <v>345</v>
      </c>
      <c r="L1515" t="s">
        <v>346</v>
      </c>
      <c r="M1515" t="s">
        <v>131</v>
      </c>
      <c r="N1515">
        <v>18</v>
      </c>
      <c r="P1515" t="s">
        <v>41</v>
      </c>
      <c r="Q1515" t="s">
        <v>42</v>
      </c>
      <c r="R1515" t="str">
        <f>"0580931"</f>
        <v>0580931</v>
      </c>
      <c r="S1515" t="s">
        <v>369</v>
      </c>
      <c r="T1515" t="s">
        <v>345</v>
      </c>
      <c r="U1515" t="s">
        <v>346</v>
      </c>
      <c r="V1515" t="s">
        <v>131</v>
      </c>
      <c r="W1515" t="s">
        <v>51</v>
      </c>
      <c r="X1515" t="s">
        <v>45</v>
      </c>
      <c r="Y1515" s="1">
        <v>25323</v>
      </c>
      <c r="Z1515">
        <v>2</v>
      </c>
      <c r="AA1515" t="s">
        <v>346</v>
      </c>
      <c r="AB1515" s="40" t="s">
        <v>1797</v>
      </c>
    </row>
    <row r="1516" spans="1:28" x14ac:dyDescent="0.25">
      <c r="A1516">
        <v>99911515</v>
      </c>
      <c r="B1516" t="s">
        <v>32</v>
      </c>
      <c r="C1516" t="s">
        <v>46</v>
      </c>
      <c r="D1516" t="s">
        <v>47</v>
      </c>
      <c r="G1516" t="s">
        <v>35</v>
      </c>
      <c r="H1516">
        <v>1</v>
      </c>
      <c r="I1516" t="s">
        <v>348</v>
      </c>
      <c r="J1516" s="1">
        <v>43344</v>
      </c>
      <c r="K1516" t="s">
        <v>345</v>
      </c>
      <c r="L1516" t="s">
        <v>346</v>
      </c>
      <c r="M1516" t="s">
        <v>131</v>
      </c>
      <c r="N1516">
        <v>18</v>
      </c>
      <c r="O1516" s="1">
        <v>43344</v>
      </c>
      <c r="P1516" t="s">
        <v>41</v>
      </c>
      <c r="Q1516" t="s">
        <v>42</v>
      </c>
      <c r="R1516" t="str">
        <f>"0580155"</f>
        <v>0580155</v>
      </c>
      <c r="S1516" t="s">
        <v>365</v>
      </c>
      <c r="T1516" t="s">
        <v>345</v>
      </c>
      <c r="U1516" t="s">
        <v>346</v>
      </c>
      <c r="V1516" t="s">
        <v>131</v>
      </c>
      <c r="W1516" t="s">
        <v>51</v>
      </c>
      <c r="X1516" t="s">
        <v>45</v>
      </c>
      <c r="Y1516" s="1">
        <v>25306</v>
      </c>
      <c r="Z1516">
        <v>2</v>
      </c>
      <c r="AA1516" t="s">
        <v>346</v>
      </c>
      <c r="AB1516" s="40" t="s">
        <v>1797</v>
      </c>
    </row>
    <row r="1517" spans="1:28" x14ac:dyDescent="0.25">
      <c r="A1517">
        <v>99911516</v>
      </c>
      <c r="B1517" t="s">
        <v>32</v>
      </c>
      <c r="C1517" t="s">
        <v>46</v>
      </c>
      <c r="D1517" t="s">
        <v>47</v>
      </c>
      <c r="G1517" t="s">
        <v>48</v>
      </c>
      <c r="H1517">
        <v>12</v>
      </c>
      <c r="K1517" t="s">
        <v>1268</v>
      </c>
      <c r="L1517" t="s">
        <v>1269</v>
      </c>
      <c r="M1517" t="s">
        <v>1270</v>
      </c>
      <c r="N1517">
        <v>18</v>
      </c>
      <c r="O1517" s="1">
        <v>43344</v>
      </c>
      <c r="P1517" t="s">
        <v>41</v>
      </c>
      <c r="Q1517" t="s">
        <v>49</v>
      </c>
      <c r="R1517" t="str">
        <f>"1981055"</f>
        <v>1981055</v>
      </c>
      <c r="S1517" t="s">
        <v>1280</v>
      </c>
      <c r="T1517" t="s">
        <v>1268</v>
      </c>
      <c r="U1517" t="s">
        <v>1269</v>
      </c>
      <c r="V1517" t="s">
        <v>1270</v>
      </c>
      <c r="W1517" t="s">
        <v>165</v>
      </c>
      <c r="X1517" t="s">
        <v>45</v>
      </c>
      <c r="Y1517" s="1">
        <v>25299</v>
      </c>
      <c r="Z1517">
        <v>2</v>
      </c>
      <c r="AA1517" t="s">
        <v>1269</v>
      </c>
      <c r="AB1517" s="40" t="s">
        <v>1797</v>
      </c>
    </row>
    <row r="1518" spans="1:28" x14ac:dyDescent="0.25">
      <c r="A1518">
        <v>99911517</v>
      </c>
      <c r="B1518" t="s">
        <v>32</v>
      </c>
      <c r="C1518" t="s">
        <v>46</v>
      </c>
      <c r="D1518" t="s">
        <v>47</v>
      </c>
      <c r="G1518" t="s">
        <v>48</v>
      </c>
      <c r="H1518">
        <v>1</v>
      </c>
      <c r="K1518" t="s">
        <v>380</v>
      </c>
      <c r="L1518" t="s">
        <v>381</v>
      </c>
      <c r="M1518" t="s">
        <v>131</v>
      </c>
      <c r="N1518">
        <v>18</v>
      </c>
      <c r="P1518" t="s">
        <v>41</v>
      </c>
      <c r="Q1518" t="s">
        <v>42</v>
      </c>
      <c r="R1518" t="str">
        <f>"0590909"</f>
        <v>0590909</v>
      </c>
      <c r="S1518" t="s">
        <v>388</v>
      </c>
      <c r="T1518" t="s">
        <v>380</v>
      </c>
      <c r="U1518" t="s">
        <v>381</v>
      </c>
      <c r="V1518" t="s">
        <v>131</v>
      </c>
      <c r="W1518" t="s">
        <v>51</v>
      </c>
      <c r="X1518" t="s">
        <v>45</v>
      </c>
      <c r="Y1518" s="1">
        <v>25292</v>
      </c>
      <c r="Z1518">
        <v>2</v>
      </c>
      <c r="AA1518" t="s">
        <v>381</v>
      </c>
      <c r="AB1518" s="40" t="s">
        <v>1797</v>
      </c>
    </row>
    <row r="1519" spans="1:28" x14ac:dyDescent="0.25">
      <c r="A1519">
        <v>99911518</v>
      </c>
      <c r="B1519" t="s">
        <v>56</v>
      </c>
      <c r="C1519" t="s">
        <v>46</v>
      </c>
      <c r="D1519" t="s">
        <v>47</v>
      </c>
      <c r="G1519" t="s">
        <v>35</v>
      </c>
      <c r="H1519">
        <v>1</v>
      </c>
      <c r="K1519" t="s">
        <v>223</v>
      </c>
      <c r="L1519" t="s">
        <v>224</v>
      </c>
      <c r="M1519" t="s">
        <v>131</v>
      </c>
      <c r="N1519">
        <v>18</v>
      </c>
      <c r="P1519" t="s">
        <v>41</v>
      </c>
      <c r="Q1519" t="s">
        <v>42</v>
      </c>
      <c r="R1519" t="str">
        <f>"0590901"</f>
        <v>0590901</v>
      </c>
      <c r="S1519" t="s">
        <v>242</v>
      </c>
      <c r="T1519" t="s">
        <v>223</v>
      </c>
      <c r="U1519" t="s">
        <v>224</v>
      </c>
      <c r="V1519" t="s">
        <v>131</v>
      </c>
      <c r="W1519" t="s">
        <v>51</v>
      </c>
      <c r="X1519" t="s">
        <v>45</v>
      </c>
      <c r="Y1519" s="1">
        <v>25271</v>
      </c>
      <c r="Z1519">
        <v>2</v>
      </c>
      <c r="AA1519" t="s">
        <v>224</v>
      </c>
      <c r="AB1519" s="40" t="s">
        <v>1797</v>
      </c>
    </row>
    <row r="1520" spans="1:28" x14ac:dyDescent="0.25">
      <c r="A1520">
        <v>99911519</v>
      </c>
      <c r="B1520" t="s">
        <v>32</v>
      </c>
      <c r="C1520" t="s">
        <v>139</v>
      </c>
      <c r="D1520" t="s">
        <v>140</v>
      </c>
      <c r="G1520" t="s">
        <v>48</v>
      </c>
      <c r="H1520">
        <v>1</v>
      </c>
      <c r="K1520" t="s">
        <v>1268</v>
      </c>
      <c r="L1520" t="s">
        <v>1269</v>
      </c>
      <c r="M1520" t="s">
        <v>1270</v>
      </c>
      <c r="N1520">
        <v>18</v>
      </c>
      <c r="P1520" t="s">
        <v>41</v>
      </c>
      <c r="Q1520" t="s">
        <v>42</v>
      </c>
      <c r="R1520" t="str">
        <f>"1980050"</f>
        <v>1980050</v>
      </c>
      <c r="S1520" t="s">
        <v>1278</v>
      </c>
      <c r="T1520" t="s">
        <v>1268</v>
      </c>
      <c r="U1520" t="s">
        <v>1269</v>
      </c>
      <c r="V1520" t="s">
        <v>1270</v>
      </c>
      <c r="W1520" t="s">
        <v>51</v>
      </c>
      <c r="X1520" t="s">
        <v>45</v>
      </c>
      <c r="Y1520" s="1">
        <v>25260</v>
      </c>
      <c r="Z1520">
        <v>2</v>
      </c>
      <c r="AA1520" t="s">
        <v>1269</v>
      </c>
      <c r="AB1520" s="40" t="s">
        <v>1797</v>
      </c>
    </row>
    <row r="1521" spans="1:28" x14ac:dyDescent="0.25">
      <c r="A1521">
        <v>99911520</v>
      </c>
      <c r="B1521" t="s">
        <v>56</v>
      </c>
      <c r="C1521" t="s">
        <v>79</v>
      </c>
      <c r="D1521" t="s">
        <v>80</v>
      </c>
      <c r="G1521" t="s">
        <v>35</v>
      </c>
      <c r="H1521">
        <v>1</v>
      </c>
      <c r="I1521">
        <v>0</v>
      </c>
      <c r="J1521" s="1">
        <v>43344</v>
      </c>
      <c r="K1521" t="s">
        <v>223</v>
      </c>
      <c r="L1521" t="s">
        <v>224</v>
      </c>
      <c r="M1521" t="s">
        <v>131</v>
      </c>
      <c r="N1521">
        <v>18</v>
      </c>
      <c r="O1521" s="1">
        <v>43344</v>
      </c>
      <c r="P1521" t="s">
        <v>41</v>
      </c>
      <c r="Q1521" t="s">
        <v>49</v>
      </c>
      <c r="R1521" t="str">
        <f>"0581207"</f>
        <v>0581207</v>
      </c>
      <c r="S1521" t="s">
        <v>233</v>
      </c>
      <c r="T1521" t="s">
        <v>223</v>
      </c>
      <c r="U1521" t="s">
        <v>224</v>
      </c>
      <c r="V1521" t="s">
        <v>131</v>
      </c>
      <c r="W1521" t="s">
        <v>51</v>
      </c>
      <c r="X1521" t="s">
        <v>45</v>
      </c>
      <c r="Y1521" s="1">
        <v>25238</v>
      </c>
      <c r="Z1521">
        <v>2</v>
      </c>
      <c r="AA1521" t="s">
        <v>224</v>
      </c>
      <c r="AB1521" s="40" t="s">
        <v>1797</v>
      </c>
    </row>
    <row r="1522" spans="1:28" x14ac:dyDescent="0.25">
      <c r="A1522">
        <v>99911521</v>
      </c>
      <c r="B1522" t="s">
        <v>32</v>
      </c>
      <c r="C1522" t="s">
        <v>46</v>
      </c>
      <c r="D1522" t="s">
        <v>47</v>
      </c>
      <c r="G1522" t="s">
        <v>48</v>
      </c>
      <c r="H1522">
        <v>1</v>
      </c>
      <c r="K1522" t="s">
        <v>223</v>
      </c>
      <c r="L1522" t="s">
        <v>224</v>
      </c>
      <c r="M1522" t="s">
        <v>131</v>
      </c>
      <c r="N1522">
        <v>18</v>
      </c>
      <c r="P1522" t="s">
        <v>41</v>
      </c>
      <c r="Q1522" t="s">
        <v>42</v>
      </c>
      <c r="R1522" t="str">
        <f>"0580203"</f>
        <v>0580203</v>
      </c>
      <c r="S1522" t="s">
        <v>239</v>
      </c>
      <c r="T1522" t="s">
        <v>223</v>
      </c>
      <c r="U1522" t="s">
        <v>224</v>
      </c>
      <c r="V1522" t="s">
        <v>131</v>
      </c>
      <c r="W1522" t="s">
        <v>165</v>
      </c>
      <c r="X1522" t="s">
        <v>45</v>
      </c>
      <c r="Y1522" s="1">
        <v>25207</v>
      </c>
      <c r="Z1522">
        <v>2</v>
      </c>
      <c r="AA1522" t="s">
        <v>224</v>
      </c>
      <c r="AB1522" s="40" t="s">
        <v>1797</v>
      </c>
    </row>
    <row r="1523" spans="1:28" x14ac:dyDescent="0.25">
      <c r="A1523">
        <v>99911522</v>
      </c>
      <c r="B1523" t="s">
        <v>32</v>
      </c>
      <c r="C1523" t="s">
        <v>85</v>
      </c>
      <c r="D1523" t="s">
        <v>86</v>
      </c>
      <c r="G1523" t="s">
        <v>48</v>
      </c>
      <c r="H1523">
        <v>13</v>
      </c>
      <c r="K1523" t="s">
        <v>345</v>
      </c>
      <c r="L1523" t="s">
        <v>346</v>
      </c>
      <c r="M1523" t="s">
        <v>131</v>
      </c>
      <c r="N1523">
        <v>18</v>
      </c>
      <c r="P1523" t="s">
        <v>41</v>
      </c>
      <c r="Q1523" t="s">
        <v>49</v>
      </c>
      <c r="R1523" t="str">
        <f>"0561021"</f>
        <v>0561021</v>
      </c>
      <c r="S1523" t="s">
        <v>352</v>
      </c>
      <c r="T1523" t="s">
        <v>345</v>
      </c>
      <c r="U1523" t="s">
        <v>346</v>
      </c>
      <c r="V1523" t="s">
        <v>131</v>
      </c>
      <c r="W1523" t="s">
        <v>51</v>
      </c>
      <c r="X1523" t="s">
        <v>45</v>
      </c>
      <c r="Y1523" s="1">
        <v>25198</v>
      </c>
      <c r="Z1523">
        <v>2</v>
      </c>
      <c r="AA1523" t="s">
        <v>346</v>
      </c>
      <c r="AB1523" s="40" t="s">
        <v>1797</v>
      </c>
    </row>
    <row r="1524" spans="1:28" x14ac:dyDescent="0.25">
      <c r="A1524">
        <v>99911523</v>
      </c>
      <c r="B1524" t="s">
        <v>56</v>
      </c>
      <c r="C1524" t="s">
        <v>68</v>
      </c>
      <c r="D1524" t="s">
        <v>69</v>
      </c>
      <c r="G1524" t="s">
        <v>48</v>
      </c>
      <c r="H1524">
        <v>1</v>
      </c>
      <c r="K1524" t="s">
        <v>223</v>
      </c>
      <c r="L1524" t="s">
        <v>224</v>
      </c>
      <c r="M1524" t="s">
        <v>131</v>
      </c>
      <c r="N1524">
        <v>18</v>
      </c>
      <c r="P1524" t="s">
        <v>41</v>
      </c>
      <c r="Q1524" t="s">
        <v>42</v>
      </c>
      <c r="R1524" t="str">
        <f>"0580265"</f>
        <v>0580265</v>
      </c>
      <c r="S1524" t="s">
        <v>231</v>
      </c>
      <c r="T1524" t="s">
        <v>223</v>
      </c>
      <c r="U1524" t="s">
        <v>224</v>
      </c>
      <c r="V1524" t="s">
        <v>131</v>
      </c>
      <c r="W1524" t="s">
        <v>51</v>
      </c>
      <c r="X1524" t="s">
        <v>45</v>
      </c>
      <c r="Y1524" s="1">
        <v>25150</v>
      </c>
      <c r="Z1524">
        <v>2</v>
      </c>
      <c r="AA1524" t="s">
        <v>224</v>
      </c>
      <c r="AB1524" s="40" t="s">
        <v>1797</v>
      </c>
    </row>
    <row r="1525" spans="1:28" x14ac:dyDescent="0.25">
      <c r="A1525">
        <v>99911524</v>
      </c>
      <c r="B1525" t="s">
        <v>56</v>
      </c>
      <c r="C1525" t="s">
        <v>46</v>
      </c>
      <c r="D1525" t="s">
        <v>47</v>
      </c>
      <c r="G1525" t="s">
        <v>48</v>
      </c>
      <c r="H1525">
        <v>1</v>
      </c>
      <c r="K1525" t="s">
        <v>300</v>
      </c>
      <c r="L1525" t="s">
        <v>301</v>
      </c>
      <c r="M1525" t="s">
        <v>131</v>
      </c>
      <c r="N1525">
        <v>18</v>
      </c>
      <c r="P1525" t="s">
        <v>41</v>
      </c>
      <c r="Q1525" t="s">
        <v>42</v>
      </c>
      <c r="R1525" t="str">
        <f>"0561001"</f>
        <v>0561001</v>
      </c>
      <c r="S1525" t="s">
        <v>308</v>
      </c>
      <c r="T1525" t="s">
        <v>300</v>
      </c>
      <c r="U1525" t="s">
        <v>301</v>
      </c>
      <c r="V1525" t="s">
        <v>131</v>
      </c>
      <c r="W1525" t="s">
        <v>165</v>
      </c>
      <c r="X1525" t="s">
        <v>45</v>
      </c>
      <c r="Y1525" s="1">
        <v>25150</v>
      </c>
      <c r="Z1525">
        <v>2</v>
      </c>
      <c r="AA1525" t="s">
        <v>301</v>
      </c>
      <c r="AB1525" s="40" t="s">
        <v>1797</v>
      </c>
    </row>
    <row r="1526" spans="1:28" x14ac:dyDescent="0.25">
      <c r="A1526">
        <v>99911525</v>
      </c>
      <c r="B1526" t="s">
        <v>32</v>
      </c>
      <c r="C1526" t="s">
        <v>46</v>
      </c>
      <c r="D1526" t="s">
        <v>47</v>
      </c>
      <c r="G1526" t="s">
        <v>35</v>
      </c>
      <c r="H1526">
        <v>1</v>
      </c>
      <c r="I1526" t="s">
        <v>348</v>
      </c>
      <c r="J1526" s="1">
        <v>43344</v>
      </c>
      <c r="K1526" t="s">
        <v>345</v>
      </c>
      <c r="L1526" t="s">
        <v>346</v>
      </c>
      <c r="M1526" t="s">
        <v>131</v>
      </c>
      <c r="N1526">
        <v>18</v>
      </c>
      <c r="O1526" s="1">
        <v>43344</v>
      </c>
      <c r="P1526" t="s">
        <v>41</v>
      </c>
      <c r="Q1526" t="s">
        <v>49</v>
      </c>
      <c r="R1526" t="str">
        <f>"0581155"</f>
        <v>0581155</v>
      </c>
      <c r="S1526" t="s">
        <v>349</v>
      </c>
      <c r="T1526" t="s">
        <v>345</v>
      </c>
      <c r="U1526" t="s">
        <v>346</v>
      </c>
      <c r="V1526" t="s">
        <v>131</v>
      </c>
      <c r="W1526" t="s">
        <v>51</v>
      </c>
      <c r="X1526" t="s">
        <v>45</v>
      </c>
      <c r="Y1526" s="1">
        <v>25139</v>
      </c>
      <c r="Z1526">
        <v>2</v>
      </c>
      <c r="AA1526" t="s">
        <v>346</v>
      </c>
      <c r="AB1526" s="40" t="s">
        <v>1797</v>
      </c>
    </row>
    <row r="1527" spans="1:28" x14ac:dyDescent="0.25">
      <c r="A1527">
        <v>99911526</v>
      </c>
      <c r="B1527" t="s">
        <v>56</v>
      </c>
      <c r="C1527" t="s">
        <v>52</v>
      </c>
      <c r="D1527" t="s">
        <v>53</v>
      </c>
      <c r="G1527" t="s">
        <v>35</v>
      </c>
      <c r="H1527">
        <v>12</v>
      </c>
      <c r="I1527" t="s">
        <v>348</v>
      </c>
      <c r="J1527" s="1">
        <v>43344</v>
      </c>
      <c r="K1527" t="s">
        <v>345</v>
      </c>
      <c r="L1527" t="s">
        <v>346</v>
      </c>
      <c r="M1527" t="s">
        <v>131</v>
      </c>
      <c r="N1527">
        <v>18</v>
      </c>
      <c r="O1527" s="1">
        <v>43344</v>
      </c>
      <c r="P1527" t="s">
        <v>41</v>
      </c>
      <c r="Q1527" t="s">
        <v>42</v>
      </c>
      <c r="R1527" t="str">
        <f>"0580155"</f>
        <v>0580155</v>
      </c>
      <c r="S1527" t="s">
        <v>365</v>
      </c>
      <c r="T1527" t="s">
        <v>345</v>
      </c>
      <c r="U1527" t="s">
        <v>346</v>
      </c>
      <c r="V1527" t="s">
        <v>131</v>
      </c>
      <c r="W1527" t="s">
        <v>51</v>
      </c>
      <c r="X1527" t="s">
        <v>45</v>
      </c>
      <c r="Y1527" s="1">
        <v>25130</v>
      </c>
      <c r="Z1527">
        <v>2</v>
      </c>
      <c r="AA1527" t="s">
        <v>346</v>
      </c>
      <c r="AB1527" s="40" t="s">
        <v>1797</v>
      </c>
    </row>
    <row r="1528" spans="1:28" x14ac:dyDescent="0.25">
      <c r="A1528">
        <v>99911527</v>
      </c>
      <c r="B1528" t="s">
        <v>32</v>
      </c>
      <c r="C1528" t="s">
        <v>52</v>
      </c>
      <c r="D1528" t="s">
        <v>53</v>
      </c>
      <c r="G1528" t="s">
        <v>48</v>
      </c>
      <c r="H1528">
        <v>13</v>
      </c>
      <c r="K1528" t="s">
        <v>345</v>
      </c>
      <c r="L1528" t="s">
        <v>346</v>
      </c>
      <c r="M1528" t="s">
        <v>131</v>
      </c>
      <c r="N1528">
        <v>18</v>
      </c>
      <c r="P1528" t="s">
        <v>41</v>
      </c>
      <c r="Q1528" t="s">
        <v>49</v>
      </c>
      <c r="R1528" t="str">
        <f>"0591906"</f>
        <v>0591906</v>
      </c>
      <c r="S1528" t="s">
        <v>350</v>
      </c>
      <c r="T1528" t="s">
        <v>345</v>
      </c>
      <c r="U1528" t="s">
        <v>346</v>
      </c>
      <c r="V1528" t="s">
        <v>131</v>
      </c>
      <c r="W1528" t="s">
        <v>51</v>
      </c>
      <c r="X1528" t="s">
        <v>45</v>
      </c>
      <c r="Y1528" s="1">
        <v>25125</v>
      </c>
      <c r="Z1528">
        <v>2</v>
      </c>
      <c r="AA1528" t="s">
        <v>346</v>
      </c>
      <c r="AB1528" s="40" t="s">
        <v>1797</v>
      </c>
    </row>
    <row r="1529" spans="1:28" x14ac:dyDescent="0.25">
      <c r="A1529">
        <v>99911528</v>
      </c>
      <c r="B1529" t="s">
        <v>56</v>
      </c>
      <c r="C1529" t="s">
        <v>85</v>
      </c>
      <c r="D1529" t="s">
        <v>86</v>
      </c>
      <c r="G1529" t="s">
        <v>48</v>
      </c>
      <c r="H1529">
        <v>12</v>
      </c>
      <c r="K1529" t="s">
        <v>345</v>
      </c>
      <c r="L1529" t="s">
        <v>346</v>
      </c>
      <c r="M1529" t="s">
        <v>131</v>
      </c>
      <c r="N1529">
        <v>18</v>
      </c>
      <c r="P1529" t="s">
        <v>41</v>
      </c>
      <c r="Q1529" t="s">
        <v>42</v>
      </c>
      <c r="R1529" t="str">
        <f>"0590906"</f>
        <v>0590906</v>
      </c>
      <c r="S1529" t="s">
        <v>361</v>
      </c>
      <c r="T1529" t="s">
        <v>345</v>
      </c>
      <c r="U1529" t="s">
        <v>346</v>
      </c>
      <c r="V1529" t="s">
        <v>131</v>
      </c>
      <c r="W1529" t="s">
        <v>51</v>
      </c>
      <c r="X1529" t="s">
        <v>45</v>
      </c>
      <c r="Y1529" s="1">
        <v>25124</v>
      </c>
      <c r="Z1529">
        <v>2</v>
      </c>
      <c r="AA1529" t="s">
        <v>346</v>
      </c>
      <c r="AB1529" s="40" t="s">
        <v>1797</v>
      </c>
    </row>
    <row r="1530" spans="1:28" x14ac:dyDescent="0.25">
      <c r="A1530">
        <v>99911529</v>
      </c>
      <c r="B1530" t="s">
        <v>32</v>
      </c>
      <c r="C1530" t="s">
        <v>143</v>
      </c>
      <c r="D1530" t="s">
        <v>144</v>
      </c>
      <c r="G1530" t="s">
        <v>48</v>
      </c>
      <c r="H1530">
        <v>1</v>
      </c>
      <c r="K1530" t="s">
        <v>380</v>
      </c>
      <c r="L1530" t="s">
        <v>381</v>
      </c>
      <c r="M1530" t="s">
        <v>131</v>
      </c>
      <c r="N1530">
        <v>18</v>
      </c>
      <c r="P1530" t="s">
        <v>41</v>
      </c>
      <c r="Q1530" t="s">
        <v>49</v>
      </c>
      <c r="R1530" t="str">
        <f>"0591909"</f>
        <v>0591909</v>
      </c>
      <c r="S1530" t="s">
        <v>385</v>
      </c>
      <c r="T1530" t="s">
        <v>380</v>
      </c>
      <c r="U1530" t="s">
        <v>381</v>
      </c>
      <c r="V1530" t="s">
        <v>131</v>
      </c>
      <c r="W1530" t="s">
        <v>51</v>
      </c>
      <c r="X1530" t="s">
        <v>45</v>
      </c>
      <c r="Y1530" s="1">
        <v>25120</v>
      </c>
      <c r="Z1530">
        <v>2</v>
      </c>
      <c r="AA1530" t="s">
        <v>381</v>
      </c>
      <c r="AB1530" s="40" t="s">
        <v>1797</v>
      </c>
    </row>
    <row r="1531" spans="1:28" x14ac:dyDescent="0.25">
      <c r="A1531">
        <v>99911530</v>
      </c>
      <c r="B1531" t="s">
        <v>32</v>
      </c>
      <c r="C1531" t="s">
        <v>46</v>
      </c>
      <c r="D1531" t="s">
        <v>47</v>
      </c>
      <c r="G1531" t="s">
        <v>48</v>
      </c>
      <c r="H1531">
        <v>1</v>
      </c>
      <c r="K1531" t="s">
        <v>162</v>
      </c>
      <c r="L1531" t="s">
        <v>158</v>
      </c>
      <c r="M1531" t="s">
        <v>131</v>
      </c>
      <c r="N1531">
        <v>18</v>
      </c>
      <c r="P1531" t="s">
        <v>41</v>
      </c>
      <c r="Q1531" t="s">
        <v>42</v>
      </c>
      <c r="R1531" t="str">
        <f>"0580325"</f>
        <v>0580325</v>
      </c>
      <c r="S1531" t="s">
        <v>170</v>
      </c>
      <c r="T1531" t="s">
        <v>162</v>
      </c>
      <c r="U1531" t="s">
        <v>158</v>
      </c>
      <c r="V1531" t="s">
        <v>131</v>
      </c>
      <c r="W1531" t="s">
        <v>165</v>
      </c>
      <c r="X1531" t="s">
        <v>45</v>
      </c>
      <c r="Y1531" s="1">
        <v>25118</v>
      </c>
      <c r="Z1531">
        <v>2</v>
      </c>
      <c r="AA1531" t="s">
        <v>158</v>
      </c>
      <c r="AB1531" s="40" t="s">
        <v>1797</v>
      </c>
    </row>
    <row r="1532" spans="1:28" x14ac:dyDescent="0.25">
      <c r="A1532">
        <v>99911531</v>
      </c>
      <c r="B1532" t="s">
        <v>32</v>
      </c>
      <c r="C1532" t="s">
        <v>46</v>
      </c>
      <c r="D1532" t="s">
        <v>47</v>
      </c>
      <c r="G1532" t="s">
        <v>48</v>
      </c>
      <c r="H1532">
        <v>1</v>
      </c>
      <c r="K1532" t="s">
        <v>345</v>
      </c>
      <c r="L1532" t="s">
        <v>346</v>
      </c>
      <c r="M1532" t="s">
        <v>131</v>
      </c>
      <c r="N1532">
        <v>18</v>
      </c>
      <c r="P1532" t="s">
        <v>41</v>
      </c>
      <c r="Q1532" t="s">
        <v>42</v>
      </c>
      <c r="R1532" t="str">
        <f>"0561019"</f>
        <v>0561019</v>
      </c>
      <c r="S1532" t="s">
        <v>351</v>
      </c>
      <c r="T1532" t="s">
        <v>345</v>
      </c>
      <c r="U1532" t="s">
        <v>346</v>
      </c>
      <c r="V1532" t="s">
        <v>131</v>
      </c>
      <c r="W1532" t="s">
        <v>51</v>
      </c>
      <c r="X1532" t="s">
        <v>45</v>
      </c>
      <c r="Y1532" s="1">
        <v>25113</v>
      </c>
      <c r="Z1532">
        <v>2</v>
      </c>
      <c r="AA1532" t="s">
        <v>346</v>
      </c>
      <c r="AB1532" s="40" t="s">
        <v>1797</v>
      </c>
    </row>
    <row r="1533" spans="1:28" x14ac:dyDescent="0.25">
      <c r="A1533">
        <v>99911532</v>
      </c>
      <c r="B1533" t="s">
        <v>32</v>
      </c>
      <c r="C1533" t="s">
        <v>46</v>
      </c>
      <c r="D1533" t="s">
        <v>47</v>
      </c>
      <c r="G1533" t="s">
        <v>35</v>
      </c>
      <c r="H1533">
        <v>1</v>
      </c>
      <c r="K1533" t="s">
        <v>223</v>
      </c>
      <c r="L1533" t="s">
        <v>224</v>
      </c>
      <c r="M1533" t="s">
        <v>131</v>
      </c>
      <c r="N1533">
        <v>18</v>
      </c>
      <c r="P1533" t="s">
        <v>41</v>
      </c>
      <c r="Q1533" t="s">
        <v>49</v>
      </c>
      <c r="R1533" t="str">
        <f>"0581207"</f>
        <v>0581207</v>
      </c>
      <c r="S1533" t="s">
        <v>233</v>
      </c>
      <c r="T1533" t="s">
        <v>223</v>
      </c>
      <c r="U1533" t="s">
        <v>224</v>
      </c>
      <c r="V1533" t="s">
        <v>131</v>
      </c>
      <c r="W1533" t="s">
        <v>165</v>
      </c>
      <c r="X1533" t="s">
        <v>45</v>
      </c>
      <c r="Y1533" s="1">
        <v>25094</v>
      </c>
      <c r="Z1533">
        <v>2</v>
      </c>
      <c r="AA1533" t="s">
        <v>224</v>
      </c>
      <c r="AB1533" s="40" t="s">
        <v>1797</v>
      </c>
    </row>
    <row r="1534" spans="1:28" x14ac:dyDescent="0.25">
      <c r="A1534">
        <v>99911533</v>
      </c>
      <c r="B1534" t="s">
        <v>32</v>
      </c>
      <c r="C1534" t="s">
        <v>46</v>
      </c>
      <c r="D1534" t="s">
        <v>47</v>
      </c>
      <c r="G1534" t="s">
        <v>48</v>
      </c>
      <c r="H1534">
        <v>1</v>
      </c>
      <c r="K1534" t="s">
        <v>345</v>
      </c>
      <c r="L1534" t="s">
        <v>346</v>
      </c>
      <c r="M1534" t="s">
        <v>131</v>
      </c>
      <c r="N1534">
        <v>18</v>
      </c>
      <c r="P1534" t="s">
        <v>41</v>
      </c>
      <c r="Q1534" t="s">
        <v>42</v>
      </c>
      <c r="R1534" t="str">
        <f>"0580650"</f>
        <v>0580650</v>
      </c>
      <c r="S1534" t="s">
        <v>356</v>
      </c>
      <c r="T1534" t="s">
        <v>345</v>
      </c>
      <c r="U1534" t="s">
        <v>346</v>
      </c>
      <c r="V1534" t="s">
        <v>131</v>
      </c>
      <c r="W1534" t="s">
        <v>51</v>
      </c>
      <c r="X1534" t="s">
        <v>45</v>
      </c>
      <c r="Y1534" s="1">
        <v>25090</v>
      </c>
      <c r="Z1534">
        <v>2</v>
      </c>
      <c r="AA1534" t="s">
        <v>346</v>
      </c>
      <c r="AB1534" s="40" t="s">
        <v>1797</v>
      </c>
    </row>
    <row r="1535" spans="1:28" x14ac:dyDescent="0.25">
      <c r="A1535">
        <v>99911534</v>
      </c>
      <c r="B1535" t="s">
        <v>32</v>
      </c>
      <c r="C1535" t="s">
        <v>46</v>
      </c>
      <c r="D1535" t="s">
        <v>47</v>
      </c>
      <c r="G1535" t="s">
        <v>48</v>
      </c>
      <c r="H1535">
        <v>1</v>
      </c>
      <c r="K1535" t="s">
        <v>157</v>
      </c>
      <c r="L1535" t="s">
        <v>158</v>
      </c>
      <c r="M1535" t="s">
        <v>131</v>
      </c>
      <c r="N1535">
        <v>18</v>
      </c>
      <c r="P1535" t="s">
        <v>41</v>
      </c>
      <c r="Q1535" t="s">
        <v>49</v>
      </c>
      <c r="R1535" t="str">
        <f>"0560011"</f>
        <v>0560011</v>
      </c>
      <c r="S1535" t="s">
        <v>185</v>
      </c>
      <c r="T1535" t="s">
        <v>157</v>
      </c>
      <c r="U1535" t="s">
        <v>158</v>
      </c>
      <c r="V1535" t="s">
        <v>131</v>
      </c>
      <c r="W1535" t="s">
        <v>51</v>
      </c>
      <c r="X1535" t="s">
        <v>45</v>
      </c>
      <c r="Y1535" s="1">
        <v>25084</v>
      </c>
      <c r="Z1535">
        <v>2</v>
      </c>
      <c r="AA1535" t="s">
        <v>158</v>
      </c>
      <c r="AB1535" s="40" t="s">
        <v>1797</v>
      </c>
    </row>
    <row r="1536" spans="1:28" x14ac:dyDescent="0.25">
      <c r="A1536">
        <v>99911535</v>
      </c>
      <c r="B1536" t="s">
        <v>32</v>
      </c>
      <c r="C1536" t="s">
        <v>64</v>
      </c>
      <c r="D1536" t="s">
        <v>65</v>
      </c>
      <c r="G1536" t="s">
        <v>35</v>
      </c>
      <c r="H1536">
        <v>1</v>
      </c>
      <c r="K1536" t="s">
        <v>162</v>
      </c>
      <c r="L1536" t="s">
        <v>158</v>
      </c>
      <c r="M1536" t="s">
        <v>131</v>
      </c>
      <c r="N1536">
        <v>18</v>
      </c>
      <c r="P1536" t="s">
        <v>41</v>
      </c>
      <c r="Q1536" t="s">
        <v>49</v>
      </c>
      <c r="R1536" t="str">
        <f>"0505050"</f>
        <v>0505050</v>
      </c>
      <c r="S1536" t="s">
        <v>163</v>
      </c>
      <c r="T1536" t="s">
        <v>162</v>
      </c>
      <c r="U1536" t="s">
        <v>158</v>
      </c>
      <c r="V1536" t="s">
        <v>131</v>
      </c>
      <c r="W1536" t="s">
        <v>165</v>
      </c>
      <c r="X1536" t="s">
        <v>45</v>
      </c>
      <c r="Y1536" s="1">
        <v>25054</v>
      </c>
      <c r="Z1536">
        <v>2</v>
      </c>
      <c r="AA1536" t="s">
        <v>158</v>
      </c>
      <c r="AB1536" s="40" t="s">
        <v>1797</v>
      </c>
    </row>
    <row r="1537" spans="1:28" x14ac:dyDescent="0.25">
      <c r="A1537">
        <v>99911536</v>
      </c>
      <c r="B1537" t="s">
        <v>32</v>
      </c>
      <c r="C1537" t="s">
        <v>46</v>
      </c>
      <c r="D1537" t="s">
        <v>47</v>
      </c>
      <c r="G1537" t="s">
        <v>35</v>
      </c>
      <c r="H1537">
        <v>1</v>
      </c>
      <c r="K1537" t="s">
        <v>223</v>
      </c>
      <c r="L1537" t="s">
        <v>224</v>
      </c>
      <c r="M1537" t="s">
        <v>131</v>
      </c>
      <c r="N1537">
        <v>18</v>
      </c>
      <c r="P1537" t="s">
        <v>41</v>
      </c>
      <c r="Q1537" t="s">
        <v>49</v>
      </c>
      <c r="R1537" t="str">
        <f>"0591901"</f>
        <v>0591901</v>
      </c>
      <c r="S1537" t="s">
        <v>230</v>
      </c>
      <c r="T1537" t="s">
        <v>223</v>
      </c>
      <c r="U1537" t="s">
        <v>224</v>
      </c>
      <c r="V1537" t="s">
        <v>131</v>
      </c>
      <c r="W1537" t="s">
        <v>165</v>
      </c>
      <c r="X1537" t="s">
        <v>45</v>
      </c>
      <c r="Y1537" s="1">
        <v>25054</v>
      </c>
      <c r="Z1537">
        <v>2</v>
      </c>
      <c r="AA1537" t="s">
        <v>224</v>
      </c>
      <c r="AB1537" s="40" t="s">
        <v>1797</v>
      </c>
    </row>
    <row r="1538" spans="1:28" x14ac:dyDescent="0.25">
      <c r="A1538">
        <v>99911537</v>
      </c>
      <c r="B1538" t="s">
        <v>32</v>
      </c>
      <c r="C1538" t="s">
        <v>46</v>
      </c>
      <c r="D1538" t="s">
        <v>47</v>
      </c>
      <c r="G1538" t="s">
        <v>35</v>
      </c>
      <c r="H1538">
        <v>1</v>
      </c>
      <c r="I1538" t="s">
        <v>348</v>
      </c>
      <c r="J1538" s="1">
        <v>43344</v>
      </c>
      <c r="K1538" t="s">
        <v>345</v>
      </c>
      <c r="L1538" t="s">
        <v>346</v>
      </c>
      <c r="M1538" t="s">
        <v>131</v>
      </c>
      <c r="N1538">
        <v>18</v>
      </c>
      <c r="O1538" s="1">
        <v>43344</v>
      </c>
      <c r="P1538" t="s">
        <v>41</v>
      </c>
      <c r="Q1538" t="s">
        <v>42</v>
      </c>
      <c r="R1538" t="str">
        <f>"0580155"</f>
        <v>0580155</v>
      </c>
      <c r="S1538" t="s">
        <v>365</v>
      </c>
      <c r="T1538" t="s">
        <v>345</v>
      </c>
      <c r="U1538" t="s">
        <v>346</v>
      </c>
      <c r="V1538" t="s">
        <v>131</v>
      </c>
      <c r="W1538" t="s">
        <v>51</v>
      </c>
      <c r="X1538" t="s">
        <v>45</v>
      </c>
      <c r="Y1538" s="1">
        <v>25048</v>
      </c>
      <c r="Z1538">
        <v>2</v>
      </c>
      <c r="AA1538" t="s">
        <v>346</v>
      </c>
      <c r="AB1538" s="40" t="s">
        <v>1797</v>
      </c>
    </row>
    <row r="1539" spans="1:28" x14ac:dyDescent="0.25">
      <c r="A1539">
        <v>99911538</v>
      </c>
      <c r="B1539" t="s">
        <v>56</v>
      </c>
      <c r="C1539" t="s">
        <v>141</v>
      </c>
      <c r="D1539" t="s">
        <v>142</v>
      </c>
      <c r="G1539" t="s">
        <v>35</v>
      </c>
      <c r="H1539">
        <v>1</v>
      </c>
      <c r="K1539" t="s">
        <v>223</v>
      </c>
      <c r="L1539" t="s">
        <v>224</v>
      </c>
      <c r="M1539" t="s">
        <v>131</v>
      </c>
      <c r="N1539">
        <v>18</v>
      </c>
      <c r="P1539" t="s">
        <v>41</v>
      </c>
      <c r="Q1539" t="s">
        <v>49</v>
      </c>
      <c r="R1539" t="str">
        <f>"0591901"</f>
        <v>0591901</v>
      </c>
      <c r="S1539" t="s">
        <v>230</v>
      </c>
      <c r="T1539" t="s">
        <v>223</v>
      </c>
      <c r="U1539" t="s">
        <v>224</v>
      </c>
      <c r="V1539" t="s">
        <v>131</v>
      </c>
      <c r="W1539" t="s">
        <v>51</v>
      </c>
      <c r="X1539" t="s">
        <v>45</v>
      </c>
      <c r="Y1539" s="1">
        <v>25034</v>
      </c>
      <c r="Z1539">
        <v>2</v>
      </c>
      <c r="AA1539" t="s">
        <v>224</v>
      </c>
      <c r="AB1539" s="40" t="s">
        <v>1797</v>
      </c>
    </row>
    <row r="1540" spans="1:28" x14ac:dyDescent="0.25">
      <c r="A1540">
        <v>99911539</v>
      </c>
      <c r="B1540" t="s">
        <v>32</v>
      </c>
      <c r="C1540" t="s">
        <v>46</v>
      </c>
      <c r="D1540" t="s">
        <v>47</v>
      </c>
      <c r="G1540" t="s">
        <v>35</v>
      </c>
      <c r="H1540">
        <v>1</v>
      </c>
      <c r="K1540" t="s">
        <v>947</v>
      </c>
      <c r="L1540" t="s">
        <v>948</v>
      </c>
      <c r="M1540" t="s">
        <v>938</v>
      </c>
      <c r="N1540">
        <v>18</v>
      </c>
      <c r="P1540" t="s">
        <v>41</v>
      </c>
      <c r="Q1540" t="s">
        <v>49</v>
      </c>
      <c r="R1540" t="str">
        <f>"0605000"</f>
        <v>0605000</v>
      </c>
      <c r="S1540" t="s">
        <v>950</v>
      </c>
      <c r="T1540" t="s">
        <v>947</v>
      </c>
      <c r="U1540" t="s">
        <v>948</v>
      </c>
      <c r="V1540" t="s">
        <v>938</v>
      </c>
      <c r="W1540" t="s">
        <v>165</v>
      </c>
      <c r="X1540" t="s">
        <v>45</v>
      </c>
      <c r="Y1540" s="1">
        <v>25033</v>
      </c>
      <c r="Z1540">
        <v>2</v>
      </c>
      <c r="AA1540" t="s">
        <v>948</v>
      </c>
      <c r="AB1540" s="40" t="s">
        <v>1797</v>
      </c>
    </row>
    <row r="1541" spans="1:28" x14ac:dyDescent="0.25">
      <c r="A1541">
        <v>99911540</v>
      </c>
      <c r="B1541" t="s">
        <v>32</v>
      </c>
      <c r="C1541" t="s">
        <v>85</v>
      </c>
      <c r="D1541" t="s">
        <v>86</v>
      </c>
      <c r="G1541" t="s">
        <v>35</v>
      </c>
      <c r="H1541">
        <v>1</v>
      </c>
      <c r="K1541" t="s">
        <v>223</v>
      </c>
      <c r="L1541" t="s">
        <v>224</v>
      </c>
      <c r="M1541" t="s">
        <v>131</v>
      </c>
      <c r="N1541">
        <v>18</v>
      </c>
      <c r="P1541" t="s">
        <v>41</v>
      </c>
      <c r="Q1541" t="s">
        <v>49</v>
      </c>
      <c r="R1541" t="str">
        <f>"0581207"</f>
        <v>0581207</v>
      </c>
      <c r="S1541" t="s">
        <v>233</v>
      </c>
      <c r="T1541" t="s">
        <v>223</v>
      </c>
      <c r="U1541" t="s">
        <v>224</v>
      </c>
      <c r="V1541" t="s">
        <v>131</v>
      </c>
      <c r="W1541" t="s">
        <v>165</v>
      </c>
      <c r="X1541" t="s">
        <v>45</v>
      </c>
      <c r="Y1541" s="1">
        <v>25030</v>
      </c>
      <c r="Z1541">
        <v>2</v>
      </c>
      <c r="AA1541" t="s">
        <v>224</v>
      </c>
      <c r="AB1541" s="40" t="s">
        <v>1797</v>
      </c>
    </row>
    <row r="1542" spans="1:28" x14ac:dyDescent="0.25">
      <c r="A1542">
        <v>99911541</v>
      </c>
      <c r="B1542" t="s">
        <v>32</v>
      </c>
      <c r="C1542" t="s">
        <v>46</v>
      </c>
      <c r="D1542" t="s">
        <v>47</v>
      </c>
      <c r="G1542" t="s">
        <v>48</v>
      </c>
      <c r="H1542">
        <v>13</v>
      </c>
      <c r="K1542" t="s">
        <v>1268</v>
      </c>
      <c r="L1542" t="s">
        <v>1269</v>
      </c>
      <c r="M1542" t="s">
        <v>1270</v>
      </c>
      <c r="N1542">
        <v>18</v>
      </c>
      <c r="O1542" s="1">
        <v>43344</v>
      </c>
      <c r="P1542" t="s">
        <v>41</v>
      </c>
      <c r="Q1542" t="s">
        <v>42</v>
      </c>
      <c r="R1542" t="str">
        <f>"1980055"</f>
        <v>1980055</v>
      </c>
      <c r="S1542" t="s">
        <v>1285</v>
      </c>
      <c r="T1542" t="s">
        <v>1268</v>
      </c>
      <c r="U1542" t="s">
        <v>1269</v>
      </c>
      <c r="V1542" t="s">
        <v>1270</v>
      </c>
      <c r="W1542" t="s">
        <v>165</v>
      </c>
      <c r="X1542" t="s">
        <v>45</v>
      </c>
      <c r="Y1542" s="1">
        <v>25000</v>
      </c>
      <c r="Z1542">
        <v>2</v>
      </c>
      <c r="AA1542" t="s">
        <v>1269</v>
      </c>
      <c r="AB1542" s="40" t="s">
        <v>1797</v>
      </c>
    </row>
    <row r="1543" spans="1:28" x14ac:dyDescent="0.25">
      <c r="A1543">
        <v>99911542</v>
      </c>
      <c r="B1543" t="s">
        <v>56</v>
      </c>
      <c r="C1543" t="s">
        <v>46</v>
      </c>
      <c r="D1543" t="s">
        <v>47</v>
      </c>
      <c r="G1543" t="s">
        <v>48</v>
      </c>
      <c r="H1543">
        <v>1</v>
      </c>
      <c r="K1543" t="s">
        <v>380</v>
      </c>
      <c r="L1543" t="s">
        <v>381</v>
      </c>
      <c r="M1543" t="s">
        <v>131</v>
      </c>
      <c r="N1543">
        <v>18</v>
      </c>
      <c r="P1543" t="s">
        <v>41</v>
      </c>
      <c r="Q1543" t="s">
        <v>42</v>
      </c>
      <c r="R1543" t="str">
        <f>"0590908"</f>
        <v>0590908</v>
      </c>
      <c r="S1543" t="s">
        <v>382</v>
      </c>
      <c r="T1543" t="s">
        <v>380</v>
      </c>
      <c r="U1543" t="s">
        <v>381</v>
      </c>
      <c r="V1543" t="s">
        <v>131</v>
      </c>
      <c r="W1543" t="s">
        <v>51</v>
      </c>
      <c r="X1543" t="s">
        <v>45</v>
      </c>
      <c r="Y1543" s="1">
        <v>24991</v>
      </c>
      <c r="Z1543">
        <v>2</v>
      </c>
      <c r="AA1543" t="s">
        <v>381</v>
      </c>
      <c r="AB1543" s="40" t="s">
        <v>1797</v>
      </c>
    </row>
    <row r="1544" spans="1:28" x14ac:dyDescent="0.25">
      <c r="A1544">
        <v>99911543</v>
      </c>
      <c r="B1544" t="s">
        <v>56</v>
      </c>
      <c r="C1544" t="s">
        <v>85</v>
      </c>
      <c r="D1544" t="s">
        <v>86</v>
      </c>
      <c r="G1544" t="s">
        <v>48</v>
      </c>
      <c r="H1544">
        <v>1</v>
      </c>
      <c r="K1544" t="s">
        <v>380</v>
      </c>
      <c r="L1544" t="s">
        <v>381</v>
      </c>
      <c r="M1544" t="s">
        <v>131</v>
      </c>
      <c r="N1544">
        <v>18</v>
      </c>
      <c r="P1544" t="s">
        <v>41</v>
      </c>
      <c r="Q1544" t="s">
        <v>49</v>
      </c>
      <c r="R1544" t="str">
        <f>"0591909"</f>
        <v>0591909</v>
      </c>
      <c r="S1544" t="s">
        <v>385</v>
      </c>
      <c r="T1544" t="s">
        <v>380</v>
      </c>
      <c r="U1544" t="s">
        <v>381</v>
      </c>
      <c r="V1544" t="s">
        <v>131</v>
      </c>
      <c r="W1544" t="s">
        <v>51</v>
      </c>
      <c r="X1544" t="s">
        <v>45</v>
      </c>
      <c r="Y1544" s="1">
        <v>24986</v>
      </c>
      <c r="Z1544">
        <v>2</v>
      </c>
      <c r="AA1544" t="s">
        <v>381</v>
      </c>
      <c r="AB1544" s="40" t="s">
        <v>1797</v>
      </c>
    </row>
    <row r="1545" spans="1:28" x14ac:dyDescent="0.25">
      <c r="A1545">
        <v>99911544</v>
      </c>
      <c r="B1545" t="s">
        <v>56</v>
      </c>
      <c r="C1545" t="s">
        <v>68</v>
      </c>
      <c r="D1545" t="s">
        <v>69</v>
      </c>
      <c r="G1545" t="s">
        <v>35</v>
      </c>
      <c r="H1545">
        <v>1</v>
      </c>
      <c r="K1545" t="s">
        <v>300</v>
      </c>
      <c r="L1545" t="s">
        <v>301</v>
      </c>
      <c r="M1545" t="s">
        <v>131</v>
      </c>
      <c r="N1545">
        <v>18</v>
      </c>
      <c r="P1545" t="s">
        <v>41</v>
      </c>
      <c r="Q1545" t="s">
        <v>42</v>
      </c>
      <c r="R1545" t="str">
        <f>"0580023"</f>
        <v>0580023</v>
      </c>
      <c r="S1545" t="s">
        <v>313</v>
      </c>
      <c r="T1545" t="s">
        <v>300</v>
      </c>
      <c r="U1545" t="s">
        <v>301</v>
      </c>
      <c r="V1545" t="s">
        <v>131</v>
      </c>
      <c r="W1545" t="s">
        <v>165</v>
      </c>
      <c r="X1545" t="s">
        <v>45</v>
      </c>
      <c r="Y1545" s="1">
        <v>24980</v>
      </c>
      <c r="Z1545">
        <v>2</v>
      </c>
      <c r="AA1545" t="s">
        <v>301</v>
      </c>
      <c r="AB1545" s="40" t="s">
        <v>1797</v>
      </c>
    </row>
    <row r="1546" spans="1:28" x14ac:dyDescent="0.25">
      <c r="A1546">
        <v>99911545</v>
      </c>
      <c r="B1546" t="s">
        <v>32</v>
      </c>
      <c r="C1546" t="s">
        <v>79</v>
      </c>
      <c r="D1546" t="s">
        <v>80</v>
      </c>
      <c r="G1546" t="s">
        <v>48</v>
      </c>
      <c r="H1546">
        <v>1</v>
      </c>
      <c r="K1546" t="s">
        <v>162</v>
      </c>
      <c r="L1546" t="s">
        <v>158</v>
      </c>
      <c r="M1546" t="s">
        <v>131</v>
      </c>
      <c r="N1546">
        <v>18</v>
      </c>
      <c r="P1546" t="s">
        <v>41</v>
      </c>
      <c r="Q1546" t="s">
        <v>49</v>
      </c>
      <c r="R1546" t="str">
        <f>"0581325"</f>
        <v>0581325</v>
      </c>
      <c r="S1546" t="s">
        <v>169</v>
      </c>
      <c r="T1546" t="s">
        <v>162</v>
      </c>
      <c r="U1546" t="s">
        <v>158</v>
      </c>
      <c r="V1546" t="s">
        <v>131</v>
      </c>
      <c r="W1546" t="s">
        <v>165</v>
      </c>
      <c r="X1546" t="s">
        <v>45</v>
      </c>
      <c r="Y1546" s="1">
        <v>24975</v>
      </c>
      <c r="Z1546">
        <v>2</v>
      </c>
      <c r="AA1546" t="s">
        <v>158</v>
      </c>
      <c r="AB1546" s="40" t="s">
        <v>1797</v>
      </c>
    </row>
    <row r="1547" spans="1:28" x14ac:dyDescent="0.25">
      <c r="A1547">
        <v>99911546</v>
      </c>
      <c r="B1547" t="s">
        <v>32</v>
      </c>
      <c r="C1547" t="s">
        <v>64</v>
      </c>
      <c r="D1547" t="s">
        <v>65</v>
      </c>
      <c r="G1547" t="s">
        <v>35</v>
      </c>
      <c r="H1547">
        <v>1</v>
      </c>
      <c r="K1547" t="s">
        <v>223</v>
      </c>
      <c r="L1547" t="s">
        <v>224</v>
      </c>
      <c r="M1547" t="s">
        <v>131</v>
      </c>
      <c r="N1547">
        <v>18</v>
      </c>
      <c r="P1547" t="s">
        <v>41</v>
      </c>
      <c r="Q1547" t="s">
        <v>49</v>
      </c>
      <c r="R1547" t="str">
        <f>"0591901"</f>
        <v>0591901</v>
      </c>
      <c r="S1547" t="s">
        <v>230</v>
      </c>
      <c r="T1547" t="s">
        <v>223</v>
      </c>
      <c r="U1547" t="s">
        <v>224</v>
      </c>
      <c r="V1547" t="s">
        <v>131</v>
      </c>
      <c r="W1547" t="s">
        <v>165</v>
      </c>
      <c r="X1547" t="s">
        <v>45</v>
      </c>
      <c r="Y1547" s="1">
        <v>24975</v>
      </c>
      <c r="Z1547">
        <v>2</v>
      </c>
      <c r="AA1547" t="s">
        <v>224</v>
      </c>
      <c r="AB1547" s="40" t="s">
        <v>1797</v>
      </c>
    </row>
    <row r="1548" spans="1:28" x14ac:dyDescent="0.25">
      <c r="A1548">
        <v>99911547</v>
      </c>
      <c r="B1548" t="s">
        <v>32</v>
      </c>
      <c r="C1548" t="s">
        <v>52</v>
      </c>
      <c r="D1548" t="s">
        <v>53</v>
      </c>
      <c r="G1548" t="s">
        <v>48</v>
      </c>
      <c r="H1548">
        <v>12</v>
      </c>
      <c r="K1548" t="s">
        <v>1268</v>
      </c>
      <c r="L1548" t="s">
        <v>1269</v>
      </c>
      <c r="M1548" t="s">
        <v>1270</v>
      </c>
      <c r="N1548">
        <v>18</v>
      </c>
      <c r="O1548" s="1">
        <v>43344</v>
      </c>
      <c r="P1548" t="s">
        <v>41</v>
      </c>
      <c r="Q1548" t="s">
        <v>49</v>
      </c>
      <c r="R1548" t="str">
        <f>"1960001"</f>
        <v>1960001</v>
      </c>
      <c r="S1548" t="s">
        <v>1272</v>
      </c>
      <c r="T1548" t="s">
        <v>1268</v>
      </c>
      <c r="U1548" t="s">
        <v>1269</v>
      </c>
      <c r="V1548" t="s">
        <v>1270</v>
      </c>
      <c r="W1548" t="s">
        <v>51</v>
      </c>
      <c r="X1548" t="s">
        <v>45</v>
      </c>
      <c r="Y1548" s="1">
        <v>24969</v>
      </c>
      <c r="Z1548">
        <v>2</v>
      </c>
      <c r="AA1548" t="s">
        <v>1269</v>
      </c>
      <c r="AB1548" s="40" t="s">
        <v>1797</v>
      </c>
    </row>
    <row r="1549" spans="1:28" x14ac:dyDescent="0.25">
      <c r="A1549">
        <v>99911548</v>
      </c>
      <c r="B1549" t="s">
        <v>32</v>
      </c>
      <c r="C1549" t="s">
        <v>68</v>
      </c>
      <c r="D1549" t="s">
        <v>69</v>
      </c>
      <c r="G1549" t="s">
        <v>35</v>
      </c>
      <c r="H1549">
        <v>1</v>
      </c>
      <c r="K1549" t="s">
        <v>157</v>
      </c>
      <c r="L1549" t="s">
        <v>158</v>
      </c>
      <c r="M1549" t="s">
        <v>131</v>
      </c>
      <c r="N1549">
        <v>18</v>
      </c>
      <c r="P1549" t="s">
        <v>41</v>
      </c>
      <c r="Q1549" t="s">
        <v>49</v>
      </c>
      <c r="R1549" t="str">
        <f>"0560011"</f>
        <v>0560011</v>
      </c>
      <c r="S1549" t="s">
        <v>185</v>
      </c>
      <c r="T1549" t="s">
        <v>157</v>
      </c>
      <c r="U1549" t="s">
        <v>158</v>
      </c>
      <c r="V1549" t="s">
        <v>131</v>
      </c>
      <c r="W1549" t="s">
        <v>165</v>
      </c>
      <c r="X1549" t="s">
        <v>45</v>
      </c>
      <c r="Y1549" s="1">
        <v>24967</v>
      </c>
      <c r="Z1549">
        <v>2</v>
      </c>
      <c r="AA1549" t="s">
        <v>158</v>
      </c>
      <c r="AB1549" s="40" t="s">
        <v>1797</v>
      </c>
    </row>
    <row r="1550" spans="1:28" x14ac:dyDescent="0.25">
      <c r="A1550">
        <v>99911549</v>
      </c>
      <c r="B1550" t="s">
        <v>32</v>
      </c>
      <c r="C1550" t="s">
        <v>64</v>
      </c>
      <c r="D1550" t="s">
        <v>65</v>
      </c>
      <c r="G1550" t="s">
        <v>48</v>
      </c>
      <c r="H1550">
        <v>1</v>
      </c>
      <c r="K1550" t="s">
        <v>300</v>
      </c>
      <c r="L1550" t="s">
        <v>301</v>
      </c>
      <c r="M1550" t="s">
        <v>131</v>
      </c>
      <c r="N1550">
        <v>18</v>
      </c>
      <c r="P1550" t="s">
        <v>41</v>
      </c>
      <c r="Q1550" t="s">
        <v>49</v>
      </c>
      <c r="R1550" t="str">
        <f>"0560001"</f>
        <v>0560001</v>
      </c>
      <c r="S1550" t="s">
        <v>304</v>
      </c>
      <c r="T1550" t="s">
        <v>300</v>
      </c>
      <c r="U1550" t="s">
        <v>301</v>
      </c>
      <c r="V1550" t="s">
        <v>131</v>
      </c>
      <c r="W1550" t="s">
        <v>51</v>
      </c>
      <c r="X1550" t="s">
        <v>45</v>
      </c>
      <c r="Y1550" s="1">
        <v>24957</v>
      </c>
      <c r="Z1550">
        <v>2</v>
      </c>
      <c r="AA1550" t="s">
        <v>301</v>
      </c>
      <c r="AB1550" s="40" t="s">
        <v>1797</v>
      </c>
    </row>
    <row r="1551" spans="1:28" x14ac:dyDescent="0.25">
      <c r="A1551">
        <v>99911550</v>
      </c>
      <c r="B1551" t="s">
        <v>32</v>
      </c>
      <c r="C1551" t="s">
        <v>46</v>
      </c>
      <c r="D1551" t="s">
        <v>47</v>
      </c>
      <c r="G1551" t="s">
        <v>48</v>
      </c>
      <c r="H1551">
        <v>1</v>
      </c>
      <c r="K1551" t="s">
        <v>157</v>
      </c>
      <c r="L1551" t="s">
        <v>158</v>
      </c>
      <c r="M1551" t="s">
        <v>131</v>
      </c>
      <c r="N1551">
        <v>18</v>
      </c>
      <c r="P1551" t="s">
        <v>41</v>
      </c>
      <c r="Q1551" t="s">
        <v>42</v>
      </c>
      <c r="R1551" t="str">
        <f>"0580290"</f>
        <v>0580290</v>
      </c>
      <c r="S1551" t="s">
        <v>171</v>
      </c>
      <c r="T1551" t="s">
        <v>157</v>
      </c>
      <c r="U1551" t="s">
        <v>158</v>
      </c>
      <c r="V1551" t="s">
        <v>131</v>
      </c>
      <c r="W1551" t="s">
        <v>51</v>
      </c>
      <c r="X1551" t="s">
        <v>45</v>
      </c>
      <c r="Y1551" s="1">
        <v>24956</v>
      </c>
      <c r="Z1551">
        <v>2</v>
      </c>
      <c r="AA1551" t="s">
        <v>158</v>
      </c>
      <c r="AB1551" s="40" t="s">
        <v>1797</v>
      </c>
    </row>
    <row r="1552" spans="1:28" x14ac:dyDescent="0.25">
      <c r="A1552">
        <v>99911551</v>
      </c>
      <c r="B1552" t="s">
        <v>32</v>
      </c>
      <c r="C1552" t="s">
        <v>46</v>
      </c>
      <c r="D1552" t="s">
        <v>47</v>
      </c>
      <c r="G1552" t="s">
        <v>48</v>
      </c>
      <c r="H1552">
        <v>1</v>
      </c>
      <c r="K1552" t="s">
        <v>1268</v>
      </c>
      <c r="L1552" t="s">
        <v>1269</v>
      </c>
      <c r="M1552" t="s">
        <v>1270</v>
      </c>
      <c r="N1552">
        <v>18</v>
      </c>
      <c r="P1552" t="s">
        <v>41</v>
      </c>
      <c r="Q1552" t="s">
        <v>42</v>
      </c>
      <c r="R1552" t="str">
        <f>"1990910"</f>
        <v>1990910</v>
      </c>
      <c r="S1552" t="s">
        <v>1281</v>
      </c>
      <c r="T1552" t="s">
        <v>1268</v>
      </c>
      <c r="U1552" t="s">
        <v>1269</v>
      </c>
      <c r="V1552" t="s">
        <v>1270</v>
      </c>
      <c r="W1552" t="s">
        <v>165</v>
      </c>
      <c r="X1552" t="s">
        <v>45</v>
      </c>
      <c r="Y1552" s="1">
        <v>24956</v>
      </c>
      <c r="Z1552">
        <v>2</v>
      </c>
      <c r="AA1552" t="s">
        <v>1269</v>
      </c>
      <c r="AB1552" s="40" t="s">
        <v>1797</v>
      </c>
    </row>
    <row r="1553" spans="1:28" x14ac:dyDescent="0.25">
      <c r="A1553">
        <v>99911552</v>
      </c>
      <c r="B1553" t="s">
        <v>32</v>
      </c>
      <c r="C1553" t="s">
        <v>64</v>
      </c>
      <c r="D1553" t="s">
        <v>65</v>
      </c>
      <c r="G1553" t="s">
        <v>48</v>
      </c>
      <c r="H1553">
        <v>1</v>
      </c>
      <c r="K1553" t="s">
        <v>223</v>
      </c>
      <c r="L1553" t="s">
        <v>224</v>
      </c>
      <c r="M1553" t="s">
        <v>131</v>
      </c>
      <c r="N1553">
        <v>18</v>
      </c>
      <c r="P1553" t="s">
        <v>41</v>
      </c>
      <c r="Q1553" t="s">
        <v>49</v>
      </c>
      <c r="R1553" t="str">
        <f>"0581202"</f>
        <v>0581202</v>
      </c>
      <c r="S1553" t="s">
        <v>248</v>
      </c>
      <c r="T1553" t="s">
        <v>223</v>
      </c>
      <c r="U1553" t="s">
        <v>224</v>
      </c>
      <c r="V1553" t="s">
        <v>131</v>
      </c>
      <c r="W1553" t="s">
        <v>165</v>
      </c>
      <c r="X1553" t="s">
        <v>45</v>
      </c>
      <c r="Y1553" s="1">
        <v>24948</v>
      </c>
      <c r="Z1553">
        <v>2</v>
      </c>
      <c r="AA1553" t="s">
        <v>224</v>
      </c>
      <c r="AB1553" s="40" t="s">
        <v>1797</v>
      </c>
    </row>
    <row r="1554" spans="1:28" x14ac:dyDescent="0.25">
      <c r="A1554">
        <v>99911553</v>
      </c>
      <c r="B1554" t="s">
        <v>32</v>
      </c>
      <c r="C1554" t="s">
        <v>33</v>
      </c>
      <c r="D1554" t="s">
        <v>34</v>
      </c>
      <c r="G1554" t="s">
        <v>48</v>
      </c>
      <c r="H1554">
        <v>1</v>
      </c>
      <c r="K1554" t="s">
        <v>223</v>
      </c>
      <c r="L1554" t="s">
        <v>224</v>
      </c>
      <c r="M1554" t="s">
        <v>131</v>
      </c>
      <c r="N1554">
        <v>18</v>
      </c>
      <c r="P1554" t="s">
        <v>41</v>
      </c>
      <c r="Q1554" t="s">
        <v>42</v>
      </c>
      <c r="R1554" t="str">
        <f>"0580204"</f>
        <v>0580204</v>
      </c>
      <c r="S1554" t="s">
        <v>235</v>
      </c>
      <c r="T1554" t="s">
        <v>223</v>
      </c>
      <c r="U1554" t="s">
        <v>224</v>
      </c>
      <c r="V1554" t="s">
        <v>131</v>
      </c>
      <c r="W1554" t="s">
        <v>165</v>
      </c>
      <c r="X1554" t="s">
        <v>45</v>
      </c>
      <c r="Y1554" s="1">
        <v>24938</v>
      </c>
      <c r="Z1554">
        <v>2</v>
      </c>
      <c r="AA1554" t="s">
        <v>224</v>
      </c>
      <c r="AB1554" s="40" t="s">
        <v>1797</v>
      </c>
    </row>
    <row r="1555" spans="1:28" x14ac:dyDescent="0.25">
      <c r="A1555">
        <v>99911554</v>
      </c>
      <c r="B1555" t="s">
        <v>32</v>
      </c>
      <c r="C1555" t="s">
        <v>79</v>
      </c>
      <c r="D1555" t="s">
        <v>80</v>
      </c>
      <c r="G1555" t="s">
        <v>48</v>
      </c>
      <c r="H1555">
        <v>11</v>
      </c>
      <c r="K1555" t="s">
        <v>1268</v>
      </c>
      <c r="L1555" t="s">
        <v>1269</v>
      </c>
      <c r="M1555" t="s">
        <v>1270</v>
      </c>
      <c r="N1555">
        <v>18</v>
      </c>
      <c r="P1555" t="s">
        <v>41</v>
      </c>
      <c r="Q1555" t="s">
        <v>42</v>
      </c>
      <c r="R1555" t="str">
        <f>"1980050"</f>
        <v>1980050</v>
      </c>
      <c r="S1555" t="s">
        <v>1278</v>
      </c>
      <c r="T1555" t="s">
        <v>1268</v>
      </c>
      <c r="U1555" t="s">
        <v>1269</v>
      </c>
      <c r="V1555" t="s">
        <v>1270</v>
      </c>
      <c r="W1555" t="s">
        <v>51</v>
      </c>
      <c r="X1555" t="s">
        <v>45</v>
      </c>
      <c r="Y1555" s="1">
        <v>24927</v>
      </c>
      <c r="Z1555">
        <v>2</v>
      </c>
      <c r="AA1555" t="s">
        <v>1269</v>
      </c>
      <c r="AB1555" s="40" t="s">
        <v>1797</v>
      </c>
    </row>
    <row r="1556" spans="1:28" x14ac:dyDescent="0.25">
      <c r="A1556">
        <v>99911555</v>
      </c>
      <c r="B1556" t="s">
        <v>32</v>
      </c>
      <c r="C1556" t="s">
        <v>46</v>
      </c>
      <c r="D1556" t="s">
        <v>47</v>
      </c>
      <c r="G1556" t="s">
        <v>48</v>
      </c>
      <c r="H1556">
        <v>1</v>
      </c>
      <c r="K1556" t="s">
        <v>345</v>
      </c>
      <c r="L1556" t="s">
        <v>346</v>
      </c>
      <c r="M1556" t="s">
        <v>131</v>
      </c>
      <c r="N1556">
        <v>18</v>
      </c>
      <c r="P1556" t="s">
        <v>41</v>
      </c>
      <c r="Q1556" t="s">
        <v>42</v>
      </c>
      <c r="R1556" t="str">
        <f>"0580931"</f>
        <v>0580931</v>
      </c>
      <c r="S1556" t="s">
        <v>369</v>
      </c>
      <c r="T1556" t="s">
        <v>345</v>
      </c>
      <c r="U1556" t="s">
        <v>346</v>
      </c>
      <c r="V1556" t="s">
        <v>131</v>
      </c>
      <c r="W1556" t="s">
        <v>51</v>
      </c>
      <c r="X1556" t="s">
        <v>45</v>
      </c>
      <c r="Y1556" s="1">
        <v>24920</v>
      </c>
      <c r="Z1556">
        <v>2</v>
      </c>
      <c r="AA1556" t="s">
        <v>346</v>
      </c>
      <c r="AB1556" s="40" t="s">
        <v>1797</v>
      </c>
    </row>
    <row r="1557" spans="1:28" x14ac:dyDescent="0.25">
      <c r="A1557">
        <v>99911556</v>
      </c>
      <c r="B1557" t="s">
        <v>32</v>
      </c>
      <c r="C1557" t="s">
        <v>46</v>
      </c>
      <c r="D1557" t="s">
        <v>47</v>
      </c>
      <c r="G1557" t="s">
        <v>35</v>
      </c>
      <c r="H1557">
        <v>1</v>
      </c>
      <c r="I1557">
        <v>0</v>
      </c>
      <c r="J1557" s="1">
        <v>43344</v>
      </c>
      <c r="K1557" t="s">
        <v>223</v>
      </c>
      <c r="L1557" t="s">
        <v>224</v>
      </c>
      <c r="M1557" t="s">
        <v>131</v>
      </c>
      <c r="N1557">
        <v>18</v>
      </c>
      <c r="O1557" s="1">
        <v>43344</v>
      </c>
      <c r="P1557" t="s">
        <v>41</v>
      </c>
      <c r="Q1557" t="s">
        <v>42</v>
      </c>
      <c r="R1557" t="str">
        <f>"0580206"</f>
        <v>0580206</v>
      </c>
      <c r="S1557" t="s">
        <v>237</v>
      </c>
      <c r="T1557" t="s">
        <v>223</v>
      </c>
      <c r="U1557" t="s">
        <v>224</v>
      </c>
      <c r="V1557" t="s">
        <v>131</v>
      </c>
      <c r="W1557" t="s">
        <v>51</v>
      </c>
      <c r="X1557" t="s">
        <v>45</v>
      </c>
      <c r="Y1557" s="1">
        <v>24915</v>
      </c>
      <c r="Z1557">
        <v>2</v>
      </c>
      <c r="AA1557" t="s">
        <v>224</v>
      </c>
      <c r="AB1557" s="40" t="s">
        <v>1797</v>
      </c>
    </row>
    <row r="1558" spans="1:28" x14ac:dyDescent="0.25">
      <c r="A1558">
        <v>99911557</v>
      </c>
      <c r="B1558" t="s">
        <v>32</v>
      </c>
      <c r="C1558" t="s">
        <v>46</v>
      </c>
      <c r="D1558" t="s">
        <v>47</v>
      </c>
      <c r="G1558" t="s">
        <v>35</v>
      </c>
      <c r="H1558">
        <v>1</v>
      </c>
      <c r="K1558" t="s">
        <v>300</v>
      </c>
      <c r="L1558" t="s">
        <v>301</v>
      </c>
      <c r="M1558" t="s">
        <v>131</v>
      </c>
      <c r="N1558">
        <v>18</v>
      </c>
      <c r="P1558" t="s">
        <v>41</v>
      </c>
      <c r="Q1558" t="s">
        <v>49</v>
      </c>
      <c r="R1558" t="str">
        <f>"0560002"</f>
        <v>0560002</v>
      </c>
      <c r="S1558" t="s">
        <v>315</v>
      </c>
      <c r="T1558" t="s">
        <v>300</v>
      </c>
      <c r="U1558" t="s">
        <v>301</v>
      </c>
      <c r="V1558" t="s">
        <v>131</v>
      </c>
      <c r="W1558" t="s">
        <v>165</v>
      </c>
      <c r="X1558" t="s">
        <v>45</v>
      </c>
      <c r="Y1558" s="1">
        <v>24908</v>
      </c>
      <c r="Z1558">
        <v>2</v>
      </c>
      <c r="AA1558" t="s">
        <v>301</v>
      </c>
      <c r="AB1558" s="40" t="s">
        <v>1797</v>
      </c>
    </row>
    <row r="1559" spans="1:28" x14ac:dyDescent="0.25">
      <c r="A1559">
        <v>99911558</v>
      </c>
      <c r="B1559" t="s">
        <v>32</v>
      </c>
      <c r="C1559" t="s">
        <v>46</v>
      </c>
      <c r="D1559" t="s">
        <v>47</v>
      </c>
      <c r="G1559" t="s">
        <v>35</v>
      </c>
      <c r="H1559">
        <v>1</v>
      </c>
      <c r="I1559">
        <v>18459</v>
      </c>
      <c r="J1559" s="1">
        <v>43353</v>
      </c>
      <c r="K1559" t="s">
        <v>380</v>
      </c>
      <c r="L1559" t="s">
        <v>381</v>
      </c>
      <c r="M1559" t="s">
        <v>131</v>
      </c>
      <c r="N1559">
        <v>18</v>
      </c>
      <c r="O1559" s="1">
        <v>43353</v>
      </c>
      <c r="P1559" t="s">
        <v>41</v>
      </c>
      <c r="Q1559" t="s">
        <v>42</v>
      </c>
      <c r="R1559" t="str">
        <f>"0561016"</f>
        <v>0561016</v>
      </c>
      <c r="S1559" t="s">
        <v>389</v>
      </c>
      <c r="T1559" t="s">
        <v>380</v>
      </c>
      <c r="U1559" t="s">
        <v>381</v>
      </c>
      <c r="V1559" t="s">
        <v>131</v>
      </c>
      <c r="W1559" t="s">
        <v>44</v>
      </c>
      <c r="X1559" t="s">
        <v>45</v>
      </c>
      <c r="Y1559" s="1">
        <v>24906</v>
      </c>
      <c r="Z1559">
        <v>2</v>
      </c>
      <c r="AA1559" t="s">
        <v>381</v>
      </c>
      <c r="AB1559" s="40" t="s">
        <v>1797</v>
      </c>
    </row>
    <row r="1560" spans="1:28" x14ac:dyDescent="0.25">
      <c r="A1560">
        <v>99911559</v>
      </c>
      <c r="B1560" t="s">
        <v>32</v>
      </c>
      <c r="C1560" t="s">
        <v>71</v>
      </c>
      <c r="D1560" t="s">
        <v>72</v>
      </c>
      <c r="G1560" t="s">
        <v>48</v>
      </c>
      <c r="H1560">
        <v>10</v>
      </c>
      <c r="K1560" t="s">
        <v>1268</v>
      </c>
      <c r="L1560" t="s">
        <v>1269</v>
      </c>
      <c r="M1560" t="s">
        <v>1270</v>
      </c>
      <c r="N1560">
        <v>18</v>
      </c>
      <c r="P1560" t="s">
        <v>41</v>
      </c>
      <c r="Q1560" t="s">
        <v>49</v>
      </c>
      <c r="R1560" t="str">
        <f>"1981912"</f>
        <v>1981912</v>
      </c>
      <c r="S1560" t="s">
        <v>1279</v>
      </c>
      <c r="T1560" t="s">
        <v>1268</v>
      </c>
      <c r="U1560" t="s">
        <v>1269</v>
      </c>
      <c r="V1560" t="s">
        <v>1270</v>
      </c>
      <c r="W1560" t="s">
        <v>51</v>
      </c>
      <c r="X1560" t="s">
        <v>45</v>
      </c>
      <c r="Y1560" s="1">
        <v>24903</v>
      </c>
      <c r="Z1560">
        <v>2</v>
      </c>
      <c r="AA1560" t="s">
        <v>1269</v>
      </c>
      <c r="AB1560" s="40" t="s">
        <v>1797</v>
      </c>
    </row>
    <row r="1561" spans="1:28" x14ac:dyDescent="0.25">
      <c r="A1561">
        <v>99911560</v>
      </c>
      <c r="B1561" t="s">
        <v>56</v>
      </c>
      <c r="C1561" t="s">
        <v>82</v>
      </c>
      <c r="D1561" t="s">
        <v>83</v>
      </c>
      <c r="G1561" t="s">
        <v>48</v>
      </c>
      <c r="H1561">
        <v>1</v>
      </c>
      <c r="K1561" t="s">
        <v>223</v>
      </c>
      <c r="L1561" t="s">
        <v>224</v>
      </c>
      <c r="M1561" t="s">
        <v>131</v>
      </c>
      <c r="N1561">
        <v>18</v>
      </c>
      <c r="P1561" t="s">
        <v>41</v>
      </c>
      <c r="Q1561" t="s">
        <v>42</v>
      </c>
      <c r="R1561" t="str">
        <f>"0580206"</f>
        <v>0580206</v>
      </c>
      <c r="S1561" t="s">
        <v>237</v>
      </c>
      <c r="T1561" t="s">
        <v>223</v>
      </c>
      <c r="U1561" t="s">
        <v>224</v>
      </c>
      <c r="V1561" t="s">
        <v>131</v>
      </c>
      <c r="W1561" t="s">
        <v>51</v>
      </c>
      <c r="X1561" t="s">
        <v>45</v>
      </c>
      <c r="Y1561" s="1">
        <v>24899</v>
      </c>
      <c r="Z1561">
        <v>2</v>
      </c>
      <c r="AA1561" t="s">
        <v>224</v>
      </c>
      <c r="AB1561" s="40" t="s">
        <v>1797</v>
      </c>
    </row>
    <row r="1562" spans="1:28" x14ac:dyDescent="0.25">
      <c r="A1562">
        <v>99911561</v>
      </c>
      <c r="B1562" t="s">
        <v>32</v>
      </c>
      <c r="C1562" t="s">
        <v>68</v>
      </c>
      <c r="D1562" t="s">
        <v>69</v>
      </c>
      <c r="G1562" t="s">
        <v>48</v>
      </c>
      <c r="H1562">
        <v>1</v>
      </c>
      <c r="K1562" t="s">
        <v>223</v>
      </c>
      <c r="L1562" t="s">
        <v>224</v>
      </c>
      <c r="M1562" t="s">
        <v>131</v>
      </c>
      <c r="N1562">
        <v>18</v>
      </c>
      <c r="P1562" t="s">
        <v>41</v>
      </c>
      <c r="Q1562" t="s">
        <v>42</v>
      </c>
      <c r="R1562" t="str">
        <f>"0580202"</f>
        <v>0580202</v>
      </c>
      <c r="S1562" t="s">
        <v>240</v>
      </c>
      <c r="T1562" t="s">
        <v>223</v>
      </c>
      <c r="U1562" t="s">
        <v>224</v>
      </c>
      <c r="V1562" t="s">
        <v>131</v>
      </c>
      <c r="W1562" t="s">
        <v>165</v>
      </c>
      <c r="X1562" t="s">
        <v>45</v>
      </c>
      <c r="Y1562" s="1">
        <v>24880</v>
      </c>
      <c r="Z1562">
        <v>2</v>
      </c>
      <c r="AA1562" t="s">
        <v>224</v>
      </c>
      <c r="AB1562" s="40" t="s">
        <v>1797</v>
      </c>
    </row>
    <row r="1563" spans="1:28" x14ac:dyDescent="0.25">
      <c r="A1563">
        <v>99911562</v>
      </c>
      <c r="B1563" t="s">
        <v>56</v>
      </c>
      <c r="C1563" t="s">
        <v>46</v>
      </c>
      <c r="D1563" t="s">
        <v>47</v>
      </c>
      <c r="G1563" t="s">
        <v>48</v>
      </c>
      <c r="H1563">
        <v>1</v>
      </c>
      <c r="K1563" t="s">
        <v>1268</v>
      </c>
      <c r="L1563" t="s">
        <v>1269</v>
      </c>
      <c r="M1563" t="s">
        <v>1270</v>
      </c>
      <c r="N1563">
        <v>18</v>
      </c>
      <c r="P1563" t="s">
        <v>41</v>
      </c>
      <c r="Q1563" t="s">
        <v>42</v>
      </c>
      <c r="R1563" t="str">
        <f>"1980050"</f>
        <v>1980050</v>
      </c>
      <c r="S1563" t="s">
        <v>1278</v>
      </c>
      <c r="T1563" t="s">
        <v>1268</v>
      </c>
      <c r="U1563" t="s">
        <v>1269</v>
      </c>
      <c r="V1563" t="s">
        <v>1270</v>
      </c>
      <c r="W1563" t="s">
        <v>51</v>
      </c>
      <c r="X1563" t="s">
        <v>45</v>
      </c>
      <c r="Y1563" s="1">
        <v>24877</v>
      </c>
      <c r="Z1563">
        <v>2</v>
      </c>
      <c r="AA1563" t="s">
        <v>1269</v>
      </c>
      <c r="AB1563" s="40" t="s">
        <v>1797</v>
      </c>
    </row>
    <row r="1564" spans="1:28" x14ac:dyDescent="0.25">
      <c r="A1564">
        <v>99911563</v>
      </c>
      <c r="B1564" t="s">
        <v>56</v>
      </c>
      <c r="C1564" t="s">
        <v>46</v>
      </c>
      <c r="D1564" t="s">
        <v>47</v>
      </c>
      <c r="G1564" t="s">
        <v>48</v>
      </c>
      <c r="H1564">
        <v>1</v>
      </c>
      <c r="K1564" t="s">
        <v>223</v>
      </c>
      <c r="L1564" t="s">
        <v>224</v>
      </c>
      <c r="M1564" t="s">
        <v>131</v>
      </c>
      <c r="N1564">
        <v>18</v>
      </c>
      <c r="P1564" t="s">
        <v>41</v>
      </c>
      <c r="Q1564" t="s">
        <v>42</v>
      </c>
      <c r="R1564" t="str">
        <f>"0580265"</f>
        <v>0580265</v>
      </c>
      <c r="S1564" t="s">
        <v>231</v>
      </c>
      <c r="T1564" t="s">
        <v>223</v>
      </c>
      <c r="U1564" t="s">
        <v>224</v>
      </c>
      <c r="V1564" t="s">
        <v>131</v>
      </c>
      <c r="W1564" t="s">
        <v>51</v>
      </c>
      <c r="X1564" t="s">
        <v>45</v>
      </c>
      <c r="Y1564" s="1">
        <v>24867</v>
      </c>
      <c r="Z1564">
        <v>2</v>
      </c>
      <c r="AA1564" t="s">
        <v>224</v>
      </c>
      <c r="AB1564" s="40" t="s">
        <v>1797</v>
      </c>
    </row>
    <row r="1565" spans="1:28" x14ac:dyDescent="0.25">
      <c r="A1565">
        <v>99911564</v>
      </c>
      <c r="B1565" t="s">
        <v>56</v>
      </c>
      <c r="C1565" t="s">
        <v>79</v>
      </c>
      <c r="D1565" t="s">
        <v>80</v>
      </c>
      <c r="G1565" t="s">
        <v>48</v>
      </c>
      <c r="H1565">
        <v>10</v>
      </c>
      <c r="K1565" t="s">
        <v>1268</v>
      </c>
      <c r="L1565" t="s">
        <v>1269</v>
      </c>
      <c r="M1565" t="s">
        <v>1270</v>
      </c>
      <c r="N1565">
        <v>18</v>
      </c>
      <c r="O1565" s="1">
        <v>43344</v>
      </c>
      <c r="P1565" t="s">
        <v>41</v>
      </c>
      <c r="Q1565" t="s">
        <v>49</v>
      </c>
      <c r="R1565" t="str">
        <f>"1981055"</f>
        <v>1981055</v>
      </c>
      <c r="S1565" t="s">
        <v>1280</v>
      </c>
      <c r="T1565" t="s">
        <v>1268</v>
      </c>
      <c r="U1565" t="s">
        <v>1269</v>
      </c>
      <c r="V1565" t="s">
        <v>1270</v>
      </c>
      <c r="W1565" t="s">
        <v>165</v>
      </c>
      <c r="X1565" t="s">
        <v>45</v>
      </c>
      <c r="Y1565" s="1">
        <v>24866</v>
      </c>
      <c r="Z1565">
        <v>2</v>
      </c>
      <c r="AA1565" t="s">
        <v>1269</v>
      </c>
      <c r="AB1565" s="40" t="s">
        <v>1797</v>
      </c>
    </row>
    <row r="1566" spans="1:28" x14ac:dyDescent="0.25">
      <c r="A1566">
        <v>99911565</v>
      </c>
      <c r="B1566" t="s">
        <v>56</v>
      </c>
      <c r="C1566" t="s">
        <v>79</v>
      </c>
      <c r="D1566" t="s">
        <v>80</v>
      </c>
      <c r="G1566" t="s">
        <v>48</v>
      </c>
      <c r="H1566">
        <v>1</v>
      </c>
      <c r="K1566" t="s">
        <v>223</v>
      </c>
      <c r="L1566" t="s">
        <v>224</v>
      </c>
      <c r="M1566" t="s">
        <v>131</v>
      </c>
      <c r="N1566">
        <v>18</v>
      </c>
      <c r="P1566" t="s">
        <v>41</v>
      </c>
      <c r="Q1566" t="s">
        <v>49</v>
      </c>
      <c r="R1566" t="str">
        <f>"0581200"</f>
        <v>0581200</v>
      </c>
      <c r="S1566" t="s">
        <v>238</v>
      </c>
      <c r="T1566" t="s">
        <v>223</v>
      </c>
      <c r="U1566" t="s">
        <v>224</v>
      </c>
      <c r="V1566" t="s">
        <v>131</v>
      </c>
      <c r="W1566" t="s">
        <v>51</v>
      </c>
      <c r="X1566" t="s">
        <v>45</v>
      </c>
      <c r="Y1566" s="1">
        <v>24865</v>
      </c>
      <c r="Z1566">
        <v>2</v>
      </c>
      <c r="AA1566" t="s">
        <v>224</v>
      </c>
      <c r="AB1566" s="40" t="s">
        <v>1797</v>
      </c>
    </row>
    <row r="1567" spans="1:28" x14ac:dyDescent="0.25">
      <c r="A1567">
        <v>99911566</v>
      </c>
      <c r="B1567" t="s">
        <v>56</v>
      </c>
      <c r="C1567" t="s">
        <v>46</v>
      </c>
      <c r="D1567" t="s">
        <v>47</v>
      </c>
      <c r="G1567" t="s">
        <v>48</v>
      </c>
      <c r="H1567">
        <v>1</v>
      </c>
      <c r="K1567" t="s">
        <v>345</v>
      </c>
      <c r="L1567" t="s">
        <v>346</v>
      </c>
      <c r="M1567" t="s">
        <v>131</v>
      </c>
      <c r="N1567">
        <v>18</v>
      </c>
      <c r="P1567" t="s">
        <v>41</v>
      </c>
      <c r="Q1567" t="s">
        <v>42</v>
      </c>
      <c r="R1567" t="str">
        <f>"0580650"</f>
        <v>0580650</v>
      </c>
      <c r="S1567" t="s">
        <v>356</v>
      </c>
      <c r="T1567" t="s">
        <v>345</v>
      </c>
      <c r="U1567" t="s">
        <v>346</v>
      </c>
      <c r="V1567" t="s">
        <v>131</v>
      </c>
      <c r="W1567" t="s">
        <v>51</v>
      </c>
      <c r="X1567" t="s">
        <v>45</v>
      </c>
      <c r="Y1567" s="1">
        <v>24859</v>
      </c>
      <c r="Z1567">
        <v>2</v>
      </c>
      <c r="AA1567" t="s">
        <v>346</v>
      </c>
      <c r="AB1567" s="40" t="s">
        <v>1797</v>
      </c>
    </row>
    <row r="1568" spans="1:28" x14ac:dyDescent="0.25">
      <c r="A1568">
        <v>99911567</v>
      </c>
      <c r="B1568" t="s">
        <v>32</v>
      </c>
      <c r="C1568" t="s">
        <v>46</v>
      </c>
      <c r="D1568" t="s">
        <v>47</v>
      </c>
      <c r="G1568" t="s">
        <v>48</v>
      </c>
      <c r="H1568">
        <v>1</v>
      </c>
      <c r="K1568" t="s">
        <v>345</v>
      </c>
      <c r="L1568" t="s">
        <v>346</v>
      </c>
      <c r="M1568" t="s">
        <v>131</v>
      </c>
      <c r="N1568">
        <v>18</v>
      </c>
      <c r="P1568" t="s">
        <v>41</v>
      </c>
      <c r="Q1568" t="s">
        <v>49</v>
      </c>
      <c r="R1568" t="str">
        <f>"0591906"</f>
        <v>0591906</v>
      </c>
      <c r="S1568" t="s">
        <v>350</v>
      </c>
      <c r="T1568" t="s">
        <v>345</v>
      </c>
      <c r="U1568" t="s">
        <v>346</v>
      </c>
      <c r="V1568" t="s">
        <v>131</v>
      </c>
      <c r="W1568" t="s">
        <v>51</v>
      </c>
      <c r="X1568" t="s">
        <v>45</v>
      </c>
      <c r="Y1568" s="1">
        <v>24858</v>
      </c>
      <c r="Z1568">
        <v>2</v>
      </c>
      <c r="AA1568" t="s">
        <v>346</v>
      </c>
      <c r="AB1568" s="40" t="s">
        <v>1797</v>
      </c>
    </row>
    <row r="1569" spans="1:28" x14ac:dyDescent="0.25">
      <c r="A1569">
        <v>99911568</v>
      </c>
      <c r="B1569" t="s">
        <v>32</v>
      </c>
      <c r="C1569" t="s">
        <v>46</v>
      </c>
      <c r="D1569" t="s">
        <v>47</v>
      </c>
      <c r="G1569" t="s">
        <v>48</v>
      </c>
      <c r="H1569">
        <v>1</v>
      </c>
      <c r="K1569" t="s">
        <v>223</v>
      </c>
      <c r="L1569" t="s">
        <v>224</v>
      </c>
      <c r="M1569" t="s">
        <v>131</v>
      </c>
      <c r="N1569">
        <v>18</v>
      </c>
      <c r="P1569" t="s">
        <v>41</v>
      </c>
      <c r="Q1569" t="s">
        <v>42</v>
      </c>
      <c r="R1569" t="str">
        <f>"0580202"</f>
        <v>0580202</v>
      </c>
      <c r="S1569" t="s">
        <v>240</v>
      </c>
      <c r="T1569" t="s">
        <v>223</v>
      </c>
      <c r="U1569" t="s">
        <v>224</v>
      </c>
      <c r="V1569" t="s">
        <v>131</v>
      </c>
      <c r="W1569" t="s">
        <v>165</v>
      </c>
      <c r="X1569" t="s">
        <v>45</v>
      </c>
      <c r="Y1569" s="1">
        <v>24856</v>
      </c>
      <c r="Z1569">
        <v>2</v>
      </c>
      <c r="AA1569" t="s">
        <v>224</v>
      </c>
      <c r="AB1569" s="40" t="s">
        <v>1797</v>
      </c>
    </row>
    <row r="1570" spans="1:28" x14ac:dyDescent="0.25">
      <c r="A1570">
        <v>99911569</v>
      </c>
      <c r="B1570" t="s">
        <v>32</v>
      </c>
      <c r="C1570" t="s">
        <v>46</v>
      </c>
      <c r="D1570" t="s">
        <v>47</v>
      </c>
      <c r="G1570" t="s">
        <v>48</v>
      </c>
      <c r="H1570">
        <v>1</v>
      </c>
      <c r="K1570" t="s">
        <v>162</v>
      </c>
      <c r="L1570" t="s">
        <v>158</v>
      </c>
      <c r="M1570" t="s">
        <v>131</v>
      </c>
      <c r="N1570">
        <v>18</v>
      </c>
      <c r="P1570" t="s">
        <v>41</v>
      </c>
      <c r="Q1570" t="s">
        <v>42</v>
      </c>
      <c r="R1570" t="str">
        <f>"0580325"</f>
        <v>0580325</v>
      </c>
      <c r="S1570" t="s">
        <v>170</v>
      </c>
      <c r="T1570" t="s">
        <v>162</v>
      </c>
      <c r="U1570" t="s">
        <v>158</v>
      </c>
      <c r="V1570" t="s">
        <v>131</v>
      </c>
      <c r="W1570" t="s">
        <v>165</v>
      </c>
      <c r="X1570" t="s">
        <v>45</v>
      </c>
      <c r="Y1570" s="1">
        <v>24850</v>
      </c>
      <c r="Z1570">
        <v>2</v>
      </c>
      <c r="AA1570" t="s">
        <v>158</v>
      </c>
      <c r="AB1570" s="40" t="s">
        <v>1797</v>
      </c>
    </row>
    <row r="1571" spans="1:28" x14ac:dyDescent="0.25">
      <c r="A1571">
        <v>99911570</v>
      </c>
      <c r="B1571" t="s">
        <v>32</v>
      </c>
      <c r="C1571" t="s">
        <v>85</v>
      </c>
      <c r="D1571" t="s">
        <v>86</v>
      </c>
      <c r="G1571" t="s">
        <v>48</v>
      </c>
      <c r="H1571">
        <v>1</v>
      </c>
      <c r="K1571" t="s">
        <v>1268</v>
      </c>
      <c r="L1571" t="s">
        <v>1269</v>
      </c>
      <c r="M1571" t="s">
        <v>1270</v>
      </c>
      <c r="N1571">
        <v>18</v>
      </c>
      <c r="P1571" t="s">
        <v>41</v>
      </c>
      <c r="Q1571" t="s">
        <v>42</v>
      </c>
      <c r="R1571" t="str">
        <f>"1990910"</f>
        <v>1990910</v>
      </c>
      <c r="S1571" t="s">
        <v>1281</v>
      </c>
      <c r="T1571" t="s">
        <v>1268</v>
      </c>
      <c r="U1571" t="s">
        <v>1269</v>
      </c>
      <c r="V1571" t="s">
        <v>1270</v>
      </c>
      <c r="W1571" t="s">
        <v>165</v>
      </c>
      <c r="X1571" t="s">
        <v>45</v>
      </c>
      <c r="Y1571" s="1">
        <v>24842</v>
      </c>
      <c r="Z1571">
        <v>2</v>
      </c>
      <c r="AA1571" t="s">
        <v>1269</v>
      </c>
      <c r="AB1571" s="40" t="s">
        <v>1797</v>
      </c>
    </row>
    <row r="1572" spans="1:28" x14ac:dyDescent="0.25">
      <c r="A1572">
        <v>99911571</v>
      </c>
      <c r="B1572" t="s">
        <v>56</v>
      </c>
      <c r="C1572" t="s">
        <v>46</v>
      </c>
      <c r="D1572" t="s">
        <v>47</v>
      </c>
      <c r="G1572" t="s">
        <v>48</v>
      </c>
      <c r="H1572">
        <v>1</v>
      </c>
      <c r="K1572" t="s">
        <v>345</v>
      </c>
      <c r="L1572" t="s">
        <v>346</v>
      </c>
      <c r="M1572" t="s">
        <v>131</v>
      </c>
      <c r="N1572">
        <v>18</v>
      </c>
      <c r="P1572" t="s">
        <v>41</v>
      </c>
      <c r="Q1572" t="s">
        <v>49</v>
      </c>
      <c r="R1572" t="str">
        <f>"0581605"</f>
        <v>0581605</v>
      </c>
      <c r="S1572" t="s">
        <v>366</v>
      </c>
      <c r="T1572" t="s">
        <v>345</v>
      </c>
      <c r="U1572" t="s">
        <v>346</v>
      </c>
      <c r="V1572" t="s">
        <v>131</v>
      </c>
      <c r="W1572" t="s">
        <v>51</v>
      </c>
      <c r="X1572" t="s">
        <v>45</v>
      </c>
      <c r="Y1572" s="1">
        <v>24838</v>
      </c>
      <c r="Z1572">
        <v>2</v>
      </c>
      <c r="AA1572" t="s">
        <v>346</v>
      </c>
      <c r="AB1572" s="40" t="s">
        <v>1797</v>
      </c>
    </row>
    <row r="1573" spans="1:28" x14ac:dyDescent="0.25">
      <c r="A1573">
        <v>99911572</v>
      </c>
      <c r="B1573" t="s">
        <v>56</v>
      </c>
      <c r="C1573" t="s">
        <v>79</v>
      </c>
      <c r="D1573" t="s">
        <v>80</v>
      </c>
      <c r="G1573" t="s">
        <v>35</v>
      </c>
      <c r="H1573">
        <v>1</v>
      </c>
      <c r="I1573">
        <v>3050</v>
      </c>
      <c r="J1573" s="1">
        <v>43344</v>
      </c>
      <c r="K1573" t="s">
        <v>354</v>
      </c>
      <c r="L1573" t="s">
        <v>355</v>
      </c>
      <c r="M1573" t="s">
        <v>131</v>
      </c>
      <c r="N1573">
        <v>18</v>
      </c>
      <c r="O1573" s="1">
        <v>43344</v>
      </c>
      <c r="P1573" t="s">
        <v>41</v>
      </c>
      <c r="Q1573" t="s">
        <v>75</v>
      </c>
      <c r="R1573" t="str">
        <f>"7054008"</f>
        <v>7054008</v>
      </c>
      <c r="S1573" t="s">
        <v>813</v>
      </c>
      <c r="T1573" t="s">
        <v>354</v>
      </c>
      <c r="U1573" t="s">
        <v>355</v>
      </c>
      <c r="V1573" t="s">
        <v>131</v>
      </c>
      <c r="W1573" t="s">
        <v>51</v>
      </c>
      <c r="X1573" t="s">
        <v>45</v>
      </c>
      <c r="Y1573" s="1">
        <v>24838</v>
      </c>
      <c r="Z1573">
        <v>1</v>
      </c>
      <c r="AA1573" t="s">
        <v>355</v>
      </c>
      <c r="AB1573" s="40" t="s">
        <v>1797</v>
      </c>
    </row>
    <row r="1574" spans="1:28" x14ac:dyDescent="0.25">
      <c r="A1574">
        <v>99911573</v>
      </c>
      <c r="B1574" t="s">
        <v>56</v>
      </c>
      <c r="C1574" t="s">
        <v>46</v>
      </c>
      <c r="D1574" t="s">
        <v>47</v>
      </c>
      <c r="G1574" t="s">
        <v>48</v>
      </c>
      <c r="H1574">
        <v>1</v>
      </c>
      <c r="K1574" t="s">
        <v>223</v>
      </c>
      <c r="L1574" t="s">
        <v>224</v>
      </c>
      <c r="M1574" t="s">
        <v>131</v>
      </c>
      <c r="N1574">
        <v>18</v>
      </c>
      <c r="P1574" t="s">
        <v>41</v>
      </c>
      <c r="Q1574" t="s">
        <v>42</v>
      </c>
      <c r="R1574" t="str">
        <f>"0580203"</f>
        <v>0580203</v>
      </c>
      <c r="S1574" t="s">
        <v>239</v>
      </c>
      <c r="T1574" t="s">
        <v>223</v>
      </c>
      <c r="U1574" t="s">
        <v>224</v>
      </c>
      <c r="V1574" t="s">
        <v>131</v>
      </c>
      <c r="W1574" t="s">
        <v>165</v>
      </c>
      <c r="X1574" t="s">
        <v>45</v>
      </c>
      <c r="Y1574" s="1">
        <v>24834</v>
      </c>
      <c r="Z1574">
        <v>2</v>
      </c>
      <c r="AA1574" t="s">
        <v>224</v>
      </c>
      <c r="AB1574" s="40" t="s">
        <v>1797</v>
      </c>
    </row>
    <row r="1575" spans="1:28" x14ac:dyDescent="0.25">
      <c r="A1575">
        <v>99911574</v>
      </c>
      <c r="B1575" t="s">
        <v>56</v>
      </c>
      <c r="C1575" t="s">
        <v>259</v>
      </c>
      <c r="D1575" t="s">
        <v>260</v>
      </c>
      <c r="G1575" t="s">
        <v>48</v>
      </c>
      <c r="H1575">
        <v>1</v>
      </c>
      <c r="K1575" t="s">
        <v>223</v>
      </c>
      <c r="L1575" t="s">
        <v>224</v>
      </c>
      <c r="M1575" t="s">
        <v>131</v>
      </c>
      <c r="N1575">
        <v>18</v>
      </c>
      <c r="P1575" t="s">
        <v>41</v>
      </c>
      <c r="Q1575" t="s">
        <v>49</v>
      </c>
      <c r="R1575" t="str">
        <f>"0581204"</f>
        <v>0581204</v>
      </c>
      <c r="S1575" t="s">
        <v>249</v>
      </c>
      <c r="T1575" t="s">
        <v>223</v>
      </c>
      <c r="U1575" t="s">
        <v>224</v>
      </c>
      <c r="V1575" t="s">
        <v>131</v>
      </c>
      <c r="W1575" t="s">
        <v>165</v>
      </c>
      <c r="X1575" t="s">
        <v>45</v>
      </c>
      <c r="Y1575" s="1">
        <v>24823</v>
      </c>
      <c r="Z1575">
        <v>2</v>
      </c>
      <c r="AA1575" t="s">
        <v>224</v>
      </c>
      <c r="AB1575" s="40" t="s">
        <v>1797</v>
      </c>
    </row>
    <row r="1576" spans="1:28" x14ac:dyDescent="0.25">
      <c r="A1576">
        <v>99911575</v>
      </c>
      <c r="B1576" t="s">
        <v>32</v>
      </c>
      <c r="C1576" t="s">
        <v>46</v>
      </c>
      <c r="D1576" t="s">
        <v>47</v>
      </c>
      <c r="G1576" t="s">
        <v>35</v>
      </c>
      <c r="H1576">
        <v>1</v>
      </c>
      <c r="I1576">
        <v>0</v>
      </c>
      <c r="J1576" s="1">
        <v>43344</v>
      </c>
      <c r="K1576" t="s">
        <v>223</v>
      </c>
      <c r="L1576" t="s">
        <v>224</v>
      </c>
      <c r="M1576" t="s">
        <v>131</v>
      </c>
      <c r="N1576">
        <v>18</v>
      </c>
      <c r="O1576" s="1">
        <v>43344</v>
      </c>
      <c r="P1576" t="s">
        <v>41</v>
      </c>
      <c r="Q1576" t="s">
        <v>42</v>
      </c>
      <c r="R1576" t="str">
        <f>"0580207"</f>
        <v>0580207</v>
      </c>
      <c r="S1576" t="s">
        <v>229</v>
      </c>
      <c r="T1576" t="s">
        <v>223</v>
      </c>
      <c r="U1576" t="s">
        <v>224</v>
      </c>
      <c r="V1576" t="s">
        <v>131</v>
      </c>
      <c r="W1576" t="s">
        <v>51</v>
      </c>
      <c r="X1576" t="s">
        <v>45</v>
      </c>
      <c r="Y1576" s="1">
        <v>24816</v>
      </c>
      <c r="Z1576">
        <v>2</v>
      </c>
      <c r="AA1576" t="s">
        <v>224</v>
      </c>
      <c r="AB1576" s="40" t="s">
        <v>1797</v>
      </c>
    </row>
    <row r="1577" spans="1:28" x14ac:dyDescent="0.25">
      <c r="A1577">
        <v>99911576</v>
      </c>
      <c r="B1577" t="s">
        <v>56</v>
      </c>
      <c r="C1577" t="s">
        <v>79</v>
      </c>
      <c r="D1577" t="s">
        <v>80</v>
      </c>
      <c r="G1577" t="s">
        <v>48</v>
      </c>
      <c r="H1577">
        <v>1</v>
      </c>
      <c r="K1577" t="s">
        <v>1502</v>
      </c>
      <c r="L1577" t="s">
        <v>1503</v>
      </c>
      <c r="M1577" t="s">
        <v>670</v>
      </c>
      <c r="N1577">
        <v>18</v>
      </c>
      <c r="P1577" t="s">
        <v>41</v>
      </c>
      <c r="Q1577" t="s">
        <v>75</v>
      </c>
      <c r="R1577" t="str">
        <f>"7171000"</f>
        <v>7171000</v>
      </c>
      <c r="S1577" t="s">
        <v>1506</v>
      </c>
      <c r="T1577" t="s">
        <v>1502</v>
      </c>
      <c r="U1577" t="s">
        <v>1503</v>
      </c>
      <c r="V1577" t="s">
        <v>670</v>
      </c>
      <c r="W1577" t="s">
        <v>51</v>
      </c>
      <c r="X1577" t="s">
        <v>45</v>
      </c>
      <c r="Y1577" s="1">
        <v>24790</v>
      </c>
      <c r="Z1577">
        <v>1</v>
      </c>
      <c r="AA1577" t="s">
        <v>1503</v>
      </c>
      <c r="AB1577" s="40" t="s">
        <v>1797</v>
      </c>
    </row>
    <row r="1578" spans="1:28" x14ac:dyDescent="0.25">
      <c r="A1578">
        <v>99911577</v>
      </c>
      <c r="B1578" t="s">
        <v>56</v>
      </c>
      <c r="C1578" t="s">
        <v>79</v>
      </c>
      <c r="D1578" t="s">
        <v>80</v>
      </c>
      <c r="G1578" t="s">
        <v>48</v>
      </c>
      <c r="H1578">
        <v>1</v>
      </c>
      <c r="K1578" t="s">
        <v>223</v>
      </c>
      <c r="L1578" t="s">
        <v>224</v>
      </c>
      <c r="M1578" t="s">
        <v>131</v>
      </c>
      <c r="N1578">
        <v>18</v>
      </c>
      <c r="P1578" t="s">
        <v>41</v>
      </c>
      <c r="Q1578" t="s">
        <v>49</v>
      </c>
      <c r="R1578" t="str">
        <f>"0581200"</f>
        <v>0581200</v>
      </c>
      <c r="S1578" t="s">
        <v>238</v>
      </c>
      <c r="T1578" t="s">
        <v>223</v>
      </c>
      <c r="U1578" t="s">
        <v>224</v>
      </c>
      <c r="V1578" t="s">
        <v>131</v>
      </c>
      <c r="W1578" t="s">
        <v>51</v>
      </c>
      <c r="X1578" t="s">
        <v>45</v>
      </c>
      <c r="Y1578" s="1">
        <v>24778</v>
      </c>
      <c r="Z1578">
        <v>2</v>
      </c>
      <c r="AA1578" t="s">
        <v>224</v>
      </c>
      <c r="AB1578" s="40" t="s">
        <v>1797</v>
      </c>
    </row>
    <row r="1579" spans="1:28" x14ac:dyDescent="0.25">
      <c r="A1579">
        <v>99911578</v>
      </c>
      <c r="B1579" t="s">
        <v>32</v>
      </c>
      <c r="C1579" t="s">
        <v>46</v>
      </c>
      <c r="D1579" t="s">
        <v>47</v>
      </c>
      <c r="G1579" t="s">
        <v>48</v>
      </c>
      <c r="H1579">
        <v>1</v>
      </c>
      <c r="K1579" t="s">
        <v>157</v>
      </c>
      <c r="L1579" t="s">
        <v>158</v>
      </c>
      <c r="M1579" t="s">
        <v>131</v>
      </c>
      <c r="N1579">
        <v>18</v>
      </c>
      <c r="P1579" t="s">
        <v>41</v>
      </c>
      <c r="Q1579" t="s">
        <v>49</v>
      </c>
      <c r="R1579" t="str">
        <f>"0560010"</f>
        <v>0560010</v>
      </c>
      <c r="S1579" t="s">
        <v>179</v>
      </c>
      <c r="T1579" t="s">
        <v>157</v>
      </c>
      <c r="U1579" t="s">
        <v>158</v>
      </c>
      <c r="V1579" t="s">
        <v>131</v>
      </c>
      <c r="W1579" t="s">
        <v>51</v>
      </c>
      <c r="X1579" t="s">
        <v>45</v>
      </c>
      <c r="Y1579" s="1">
        <v>24756</v>
      </c>
      <c r="Z1579">
        <v>2</v>
      </c>
      <c r="AA1579" t="s">
        <v>158</v>
      </c>
      <c r="AB1579" s="40" t="s">
        <v>1797</v>
      </c>
    </row>
    <row r="1580" spans="1:28" x14ac:dyDescent="0.25">
      <c r="A1580">
        <v>99911579</v>
      </c>
      <c r="B1580" t="s">
        <v>56</v>
      </c>
      <c r="C1580" t="s">
        <v>46</v>
      </c>
      <c r="D1580" t="s">
        <v>47</v>
      </c>
      <c r="G1580" t="s">
        <v>48</v>
      </c>
      <c r="H1580">
        <v>1</v>
      </c>
      <c r="K1580" t="s">
        <v>345</v>
      </c>
      <c r="L1580" t="s">
        <v>346</v>
      </c>
      <c r="M1580" t="s">
        <v>131</v>
      </c>
      <c r="N1580">
        <v>18</v>
      </c>
      <c r="P1580" t="s">
        <v>41</v>
      </c>
      <c r="Q1580" t="s">
        <v>42</v>
      </c>
      <c r="R1580" t="str">
        <f>"0580605"</f>
        <v>0580605</v>
      </c>
      <c r="S1580" t="s">
        <v>362</v>
      </c>
      <c r="T1580" t="s">
        <v>345</v>
      </c>
      <c r="U1580" t="s">
        <v>346</v>
      </c>
      <c r="V1580" t="s">
        <v>131</v>
      </c>
      <c r="W1580" t="s">
        <v>51</v>
      </c>
      <c r="X1580" t="s">
        <v>45</v>
      </c>
      <c r="Y1580" s="1">
        <v>24751</v>
      </c>
      <c r="Z1580">
        <v>2</v>
      </c>
      <c r="AA1580" t="s">
        <v>346</v>
      </c>
      <c r="AB1580" s="40" t="s">
        <v>1797</v>
      </c>
    </row>
    <row r="1581" spans="1:28" x14ac:dyDescent="0.25">
      <c r="A1581">
        <v>99911580</v>
      </c>
      <c r="B1581" t="s">
        <v>32</v>
      </c>
      <c r="C1581" t="s">
        <v>64</v>
      </c>
      <c r="D1581" t="s">
        <v>65</v>
      </c>
      <c r="G1581" t="s">
        <v>48</v>
      </c>
      <c r="H1581">
        <v>1</v>
      </c>
      <c r="K1581" t="s">
        <v>162</v>
      </c>
      <c r="L1581" t="s">
        <v>158</v>
      </c>
      <c r="M1581" t="s">
        <v>131</v>
      </c>
      <c r="N1581">
        <v>18</v>
      </c>
      <c r="P1581" t="s">
        <v>41</v>
      </c>
      <c r="Q1581" t="s">
        <v>42</v>
      </c>
      <c r="R1581" t="str">
        <f>"0580325"</f>
        <v>0580325</v>
      </c>
      <c r="S1581" t="s">
        <v>170</v>
      </c>
      <c r="T1581" t="s">
        <v>162</v>
      </c>
      <c r="U1581" t="s">
        <v>158</v>
      </c>
      <c r="V1581" t="s">
        <v>131</v>
      </c>
      <c r="W1581" t="s">
        <v>165</v>
      </c>
      <c r="X1581" t="s">
        <v>45</v>
      </c>
      <c r="Y1581" s="1">
        <v>24748</v>
      </c>
      <c r="Z1581">
        <v>2</v>
      </c>
      <c r="AA1581" t="s">
        <v>158</v>
      </c>
      <c r="AB1581" s="40" t="s">
        <v>1797</v>
      </c>
    </row>
    <row r="1582" spans="1:28" x14ac:dyDescent="0.25">
      <c r="A1582">
        <v>99911581</v>
      </c>
      <c r="B1582" t="s">
        <v>32</v>
      </c>
      <c r="C1582" t="s">
        <v>139</v>
      </c>
      <c r="D1582" t="s">
        <v>140</v>
      </c>
      <c r="G1582" t="s">
        <v>48</v>
      </c>
      <c r="H1582">
        <v>1</v>
      </c>
      <c r="K1582" t="s">
        <v>877</v>
      </c>
      <c r="L1582" t="s">
        <v>878</v>
      </c>
      <c r="M1582" t="s">
        <v>131</v>
      </c>
      <c r="N1582">
        <v>18</v>
      </c>
      <c r="P1582" t="s">
        <v>41</v>
      </c>
      <c r="Q1582" t="s">
        <v>75</v>
      </c>
      <c r="R1582" t="str">
        <f>"7700025"</f>
        <v>7700025</v>
      </c>
      <c r="S1582" t="s">
        <v>880</v>
      </c>
      <c r="T1582" t="s">
        <v>877</v>
      </c>
      <c r="U1582" t="s">
        <v>878</v>
      </c>
      <c r="V1582" t="s">
        <v>131</v>
      </c>
      <c r="W1582" t="s">
        <v>51</v>
      </c>
      <c r="X1582" t="s">
        <v>45</v>
      </c>
      <c r="Y1582" s="1">
        <v>24743</v>
      </c>
      <c r="Z1582">
        <v>1</v>
      </c>
      <c r="AA1582" t="s">
        <v>878</v>
      </c>
      <c r="AB1582" s="40" t="s">
        <v>1797</v>
      </c>
    </row>
    <row r="1583" spans="1:28" x14ac:dyDescent="0.25">
      <c r="A1583">
        <v>99911582</v>
      </c>
      <c r="B1583" t="s">
        <v>32</v>
      </c>
      <c r="C1583" t="s">
        <v>46</v>
      </c>
      <c r="D1583" t="s">
        <v>47</v>
      </c>
      <c r="G1583" t="s">
        <v>48</v>
      </c>
      <c r="H1583">
        <v>1</v>
      </c>
      <c r="K1583" t="s">
        <v>380</v>
      </c>
      <c r="L1583" t="s">
        <v>381</v>
      </c>
      <c r="M1583" t="s">
        <v>131</v>
      </c>
      <c r="N1583">
        <v>18</v>
      </c>
      <c r="P1583" t="s">
        <v>41</v>
      </c>
      <c r="Q1583" t="s">
        <v>42</v>
      </c>
      <c r="R1583" t="str">
        <f>"0590908"</f>
        <v>0590908</v>
      </c>
      <c r="S1583" t="s">
        <v>382</v>
      </c>
      <c r="T1583" t="s">
        <v>380</v>
      </c>
      <c r="U1583" t="s">
        <v>381</v>
      </c>
      <c r="V1583" t="s">
        <v>131</v>
      </c>
      <c r="W1583" t="s">
        <v>51</v>
      </c>
      <c r="X1583" t="s">
        <v>45</v>
      </c>
      <c r="Y1583" s="1">
        <v>24740</v>
      </c>
      <c r="Z1583">
        <v>2</v>
      </c>
      <c r="AA1583" t="s">
        <v>381</v>
      </c>
      <c r="AB1583" s="40" t="s">
        <v>1797</v>
      </c>
    </row>
    <row r="1584" spans="1:28" x14ac:dyDescent="0.25">
      <c r="A1584">
        <v>99911583</v>
      </c>
      <c r="B1584" t="s">
        <v>32</v>
      </c>
      <c r="C1584" t="s">
        <v>46</v>
      </c>
      <c r="D1584" t="s">
        <v>47</v>
      </c>
      <c r="G1584" t="s">
        <v>35</v>
      </c>
      <c r="H1584">
        <v>1</v>
      </c>
      <c r="K1584" t="s">
        <v>223</v>
      </c>
      <c r="L1584" t="s">
        <v>224</v>
      </c>
      <c r="M1584" t="s">
        <v>131</v>
      </c>
      <c r="N1584">
        <v>18</v>
      </c>
      <c r="P1584" t="s">
        <v>41</v>
      </c>
      <c r="Q1584" t="s">
        <v>42</v>
      </c>
      <c r="R1584" t="str">
        <f>"0590903"</f>
        <v>0590903</v>
      </c>
      <c r="S1584" t="s">
        <v>226</v>
      </c>
      <c r="T1584" t="s">
        <v>223</v>
      </c>
      <c r="U1584" t="s">
        <v>224</v>
      </c>
      <c r="V1584" t="s">
        <v>131</v>
      </c>
      <c r="W1584" t="s">
        <v>51</v>
      </c>
      <c r="X1584" t="s">
        <v>45</v>
      </c>
      <c r="Y1584" s="1">
        <v>24737</v>
      </c>
      <c r="Z1584">
        <v>2</v>
      </c>
      <c r="AA1584" t="s">
        <v>224</v>
      </c>
      <c r="AB1584" s="40" t="s">
        <v>1797</v>
      </c>
    </row>
    <row r="1585" spans="1:28" x14ac:dyDescent="0.25">
      <c r="A1585">
        <v>99911584</v>
      </c>
      <c r="B1585" t="s">
        <v>32</v>
      </c>
      <c r="C1585" t="s">
        <v>64</v>
      </c>
      <c r="D1585" t="s">
        <v>65</v>
      </c>
      <c r="G1585" t="s">
        <v>48</v>
      </c>
      <c r="H1585">
        <v>1</v>
      </c>
      <c r="K1585" t="s">
        <v>345</v>
      </c>
      <c r="L1585" t="s">
        <v>346</v>
      </c>
      <c r="M1585" t="s">
        <v>131</v>
      </c>
      <c r="N1585">
        <v>18</v>
      </c>
      <c r="P1585" t="s">
        <v>41</v>
      </c>
      <c r="Q1585" t="s">
        <v>49</v>
      </c>
      <c r="R1585" t="str">
        <f>"0581605"</f>
        <v>0581605</v>
      </c>
      <c r="S1585" t="s">
        <v>366</v>
      </c>
      <c r="T1585" t="s">
        <v>345</v>
      </c>
      <c r="U1585" t="s">
        <v>346</v>
      </c>
      <c r="V1585" t="s">
        <v>131</v>
      </c>
      <c r="W1585" t="s">
        <v>51</v>
      </c>
      <c r="X1585" t="s">
        <v>45</v>
      </c>
      <c r="Y1585" s="1">
        <v>24723</v>
      </c>
      <c r="Z1585">
        <v>2</v>
      </c>
      <c r="AA1585" t="s">
        <v>346</v>
      </c>
      <c r="AB1585" s="40" t="s">
        <v>1797</v>
      </c>
    </row>
    <row r="1586" spans="1:28" x14ac:dyDescent="0.25">
      <c r="A1586">
        <v>99911585</v>
      </c>
      <c r="B1586" t="s">
        <v>32</v>
      </c>
      <c r="C1586" t="s">
        <v>46</v>
      </c>
      <c r="D1586" t="s">
        <v>47</v>
      </c>
      <c r="G1586" t="s">
        <v>48</v>
      </c>
      <c r="H1586">
        <v>1</v>
      </c>
      <c r="K1586" t="s">
        <v>162</v>
      </c>
      <c r="L1586" t="s">
        <v>158</v>
      </c>
      <c r="M1586" t="s">
        <v>131</v>
      </c>
      <c r="N1586">
        <v>18</v>
      </c>
      <c r="P1586" t="s">
        <v>41</v>
      </c>
      <c r="Q1586" t="s">
        <v>49</v>
      </c>
      <c r="R1586" t="str">
        <f>"0581325"</f>
        <v>0581325</v>
      </c>
      <c r="S1586" t="s">
        <v>169</v>
      </c>
      <c r="T1586" t="s">
        <v>162</v>
      </c>
      <c r="U1586" t="s">
        <v>158</v>
      </c>
      <c r="V1586" t="s">
        <v>131</v>
      </c>
      <c r="W1586" t="s">
        <v>51</v>
      </c>
      <c r="X1586" t="s">
        <v>45</v>
      </c>
      <c r="Y1586" s="1">
        <v>24711</v>
      </c>
      <c r="Z1586">
        <v>2</v>
      </c>
      <c r="AA1586" t="s">
        <v>158</v>
      </c>
      <c r="AB1586" s="40" t="s">
        <v>1797</v>
      </c>
    </row>
    <row r="1587" spans="1:28" x14ac:dyDescent="0.25">
      <c r="A1587">
        <v>99911586</v>
      </c>
      <c r="B1587" t="s">
        <v>32</v>
      </c>
      <c r="C1587" t="s">
        <v>46</v>
      </c>
      <c r="D1587" t="s">
        <v>47</v>
      </c>
      <c r="G1587" t="s">
        <v>48</v>
      </c>
      <c r="H1587">
        <v>1</v>
      </c>
      <c r="K1587" t="s">
        <v>223</v>
      </c>
      <c r="L1587" t="s">
        <v>224</v>
      </c>
      <c r="M1587" t="s">
        <v>131</v>
      </c>
      <c r="N1587">
        <v>18</v>
      </c>
      <c r="P1587" t="s">
        <v>41</v>
      </c>
      <c r="Q1587" t="s">
        <v>42</v>
      </c>
      <c r="R1587" t="str">
        <f>"0580204"</f>
        <v>0580204</v>
      </c>
      <c r="S1587" t="s">
        <v>235</v>
      </c>
      <c r="T1587" t="s">
        <v>223</v>
      </c>
      <c r="U1587" t="s">
        <v>224</v>
      </c>
      <c r="V1587" t="s">
        <v>131</v>
      </c>
      <c r="W1587" t="s">
        <v>165</v>
      </c>
      <c r="X1587" t="s">
        <v>45</v>
      </c>
      <c r="Y1587" s="1">
        <v>24709</v>
      </c>
      <c r="Z1587">
        <v>2</v>
      </c>
      <c r="AA1587" t="s">
        <v>224</v>
      </c>
      <c r="AB1587" s="40" t="s">
        <v>1797</v>
      </c>
    </row>
    <row r="1588" spans="1:28" x14ac:dyDescent="0.25">
      <c r="A1588">
        <v>99911587</v>
      </c>
      <c r="B1588" t="s">
        <v>32</v>
      </c>
      <c r="C1588" t="s">
        <v>79</v>
      </c>
      <c r="D1588" t="s">
        <v>80</v>
      </c>
      <c r="G1588" t="s">
        <v>35</v>
      </c>
      <c r="H1588">
        <v>1</v>
      </c>
      <c r="K1588" t="s">
        <v>223</v>
      </c>
      <c r="L1588" t="s">
        <v>224</v>
      </c>
      <c r="M1588" t="s">
        <v>131</v>
      </c>
      <c r="N1588">
        <v>18</v>
      </c>
      <c r="P1588" t="s">
        <v>41</v>
      </c>
      <c r="Q1588" t="s">
        <v>42</v>
      </c>
      <c r="R1588" t="str">
        <f>"0590907"</f>
        <v>0590907</v>
      </c>
      <c r="S1588" t="s">
        <v>285</v>
      </c>
      <c r="T1588" t="s">
        <v>223</v>
      </c>
      <c r="U1588" t="s">
        <v>224</v>
      </c>
      <c r="V1588" t="s">
        <v>131</v>
      </c>
      <c r="W1588" t="s">
        <v>51</v>
      </c>
      <c r="X1588" t="s">
        <v>45</v>
      </c>
      <c r="Y1588" s="1">
        <v>24699</v>
      </c>
      <c r="Z1588">
        <v>2</v>
      </c>
      <c r="AA1588" t="s">
        <v>224</v>
      </c>
      <c r="AB1588" s="40" t="s">
        <v>1797</v>
      </c>
    </row>
    <row r="1589" spans="1:28" x14ac:dyDescent="0.25">
      <c r="A1589">
        <v>99911588</v>
      </c>
      <c r="B1589" t="s">
        <v>32</v>
      </c>
      <c r="C1589" t="s">
        <v>79</v>
      </c>
      <c r="D1589" t="s">
        <v>80</v>
      </c>
      <c r="G1589" t="s">
        <v>48</v>
      </c>
      <c r="H1589">
        <v>1</v>
      </c>
      <c r="K1589" t="s">
        <v>223</v>
      </c>
      <c r="L1589" t="s">
        <v>224</v>
      </c>
      <c r="M1589" t="s">
        <v>131</v>
      </c>
      <c r="N1589">
        <v>18</v>
      </c>
      <c r="P1589" t="s">
        <v>41</v>
      </c>
      <c r="Q1589" t="s">
        <v>49</v>
      </c>
      <c r="R1589" t="str">
        <f>"0581202"</f>
        <v>0581202</v>
      </c>
      <c r="S1589" t="s">
        <v>248</v>
      </c>
      <c r="T1589" t="s">
        <v>223</v>
      </c>
      <c r="U1589" t="s">
        <v>224</v>
      </c>
      <c r="V1589" t="s">
        <v>131</v>
      </c>
      <c r="W1589" t="s">
        <v>165</v>
      </c>
      <c r="X1589" t="s">
        <v>45</v>
      </c>
      <c r="Y1589" s="1">
        <v>24692</v>
      </c>
      <c r="Z1589">
        <v>2</v>
      </c>
      <c r="AA1589" t="s">
        <v>224</v>
      </c>
      <c r="AB1589" s="40" t="s">
        <v>1797</v>
      </c>
    </row>
    <row r="1590" spans="1:28" x14ac:dyDescent="0.25">
      <c r="A1590">
        <v>99911589</v>
      </c>
      <c r="B1590" t="s">
        <v>32</v>
      </c>
      <c r="C1590" t="s">
        <v>46</v>
      </c>
      <c r="D1590" t="s">
        <v>47</v>
      </c>
      <c r="G1590" t="s">
        <v>35</v>
      </c>
      <c r="H1590">
        <v>1</v>
      </c>
      <c r="K1590" t="s">
        <v>223</v>
      </c>
      <c r="L1590" t="s">
        <v>224</v>
      </c>
      <c r="M1590" t="s">
        <v>131</v>
      </c>
      <c r="N1590">
        <v>18</v>
      </c>
      <c r="P1590" t="s">
        <v>41</v>
      </c>
      <c r="Q1590" t="s">
        <v>42</v>
      </c>
      <c r="R1590" t="str">
        <f>"0590901"</f>
        <v>0590901</v>
      </c>
      <c r="S1590" t="s">
        <v>242</v>
      </c>
      <c r="T1590" t="s">
        <v>223</v>
      </c>
      <c r="U1590" t="s">
        <v>224</v>
      </c>
      <c r="V1590" t="s">
        <v>131</v>
      </c>
      <c r="W1590" t="s">
        <v>165</v>
      </c>
      <c r="X1590" t="s">
        <v>45</v>
      </c>
      <c r="Y1590" s="1">
        <v>24684</v>
      </c>
      <c r="Z1590">
        <v>2</v>
      </c>
      <c r="AA1590" t="s">
        <v>224</v>
      </c>
      <c r="AB1590" s="40" t="s">
        <v>1797</v>
      </c>
    </row>
    <row r="1591" spans="1:28" x14ac:dyDescent="0.25">
      <c r="A1591">
        <v>99911590</v>
      </c>
      <c r="B1591" t="s">
        <v>56</v>
      </c>
      <c r="C1591" t="s">
        <v>79</v>
      </c>
      <c r="D1591" t="s">
        <v>80</v>
      </c>
      <c r="G1591" t="s">
        <v>48</v>
      </c>
      <c r="H1591">
        <v>1</v>
      </c>
      <c r="K1591" t="s">
        <v>162</v>
      </c>
      <c r="L1591" t="s">
        <v>158</v>
      </c>
      <c r="M1591" t="s">
        <v>131</v>
      </c>
      <c r="N1591">
        <v>18</v>
      </c>
      <c r="P1591" t="s">
        <v>41</v>
      </c>
      <c r="Q1591" t="s">
        <v>42</v>
      </c>
      <c r="R1591" t="str">
        <f>"0580325"</f>
        <v>0580325</v>
      </c>
      <c r="S1591" t="s">
        <v>170</v>
      </c>
      <c r="T1591" t="s">
        <v>162</v>
      </c>
      <c r="U1591" t="s">
        <v>158</v>
      </c>
      <c r="V1591" t="s">
        <v>131</v>
      </c>
      <c r="W1591" t="s">
        <v>165</v>
      </c>
      <c r="X1591" t="s">
        <v>45</v>
      </c>
      <c r="Y1591" s="1">
        <v>24679</v>
      </c>
      <c r="Z1591">
        <v>2</v>
      </c>
      <c r="AA1591" t="s">
        <v>158</v>
      </c>
      <c r="AB1591" s="40" t="s">
        <v>1797</v>
      </c>
    </row>
    <row r="1592" spans="1:28" x14ac:dyDescent="0.25">
      <c r="A1592">
        <v>99911591</v>
      </c>
      <c r="B1592" t="s">
        <v>56</v>
      </c>
      <c r="C1592" t="s">
        <v>46</v>
      </c>
      <c r="D1592" t="s">
        <v>47</v>
      </c>
      <c r="G1592" t="s">
        <v>48</v>
      </c>
      <c r="H1592">
        <v>1</v>
      </c>
      <c r="K1592" t="s">
        <v>223</v>
      </c>
      <c r="L1592" t="s">
        <v>224</v>
      </c>
      <c r="M1592" t="s">
        <v>131</v>
      </c>
      <c r="N1592">
        <v>18</v>
      </c>
      <c r="P1592" t="s">
        <v>41</v>
      </c>
      <c r="Q1592" t="s">
        <v>42</v>
      </c>
      <c r="R1592" t="str">
        <f>"0580265"</f>
        <v>0580265</v>
      </c>
      <c r="S1592" t="s">
        <v>231</v>
      </c>
      <c r="T1592" t="s">
        <v>223</v>
      </c>
      <c r="U1592" t="s">
        <v>224</v>
      </c>
      <c r="V1592" t="s">
        <v>131</v>
      </c>
      <c r="W1592" t="s">
        <v>51</v>
      </c>
      <c r="X1592" t="s">
        <v>45</v>
      </c>
      <c r="Y1592" s="1">
        <v>24669</v>
      </c>
      <c r="Z1592">
        <v>2</v>
      </c>
      <c r="AA1592" t="s">
        <v>224</v>
      </c>
      <c r="AB1592" s="40" t="s">
        <v>1797</v>
      </c>
    </row>
    <row r="1593" spans="1:28" x14ac:dyDescent="0.25">
      <c r="A1593">
        <v>99911592</v>
      </c>
      <c r="B1593" t="s">
        <v>56</v>
      </c>
      <c r="C1593" t="s">
        <v>46</v>
      </c>
      <c r="D1593" t="s">
        <v>47</v>
      </c>
      <c r="G1593" t="s">
        <v>48</v>
      </c>
      <c r="H1593">
        <v>3</v>
      </c>
      <c r="K1593" t="s">
        <v>129</v>
      </c>
      <c r="L1593" t="s">
        <v>130</v>
      </c>
      <c r="M1593" t="s">
        <v>131</v>
      </c>
      <c r="N1593">
        <v>18</v>
      </c>
      <c r="P1593" t="s">
        <v>41</v>
      </c>
      <c r="Q1593" t="s">
        <v>42</v>
      </c>
      <c r="R1593" t="str">
        <f>"0590905"</f>
        <v>0590905</v>
      </c>
      <c r="S1593" t="s">
        <v>133</v>
      </c>
      <c r="T1593" t="s">
        <v>129</v>
      </c>
      <c r="U1593" t="s">
        <v>130</v>
      </c>
      <c r="V1593" t="s">
        <v>131</v>
      </c>
      <c r="W1593" t="s">
        <v>51</v>
      </c>
      <c r="X1593" t="s">
        <v>45</v>
      </c>
      <c r="Y1593" s="1">
        <v>24656</v>
      </c>
      <c r="Z1593">
        <v>2</v>
      </c>
      <c r="AA1593" t="s">
        <v>130</v>
      </c>
      <c r="AB1593" s="40" t="s">
        <v>1797</v>
      </c>
    </row>
    <row r="1594" spans="1:28" x14ac:dyDescent="0.25">
      <c r="A1594">
        <v>99911593</v>
      </c>
      <c r="B1594" t="s">
        <v>56</v>
      </c>
      <c r="C1594" t="s">
        <v>46</v>
      </c>
      <c r="D1594" t="s">
        <v>47</v>
      </c>
      <c r="G1594" t="s">
        <v>35</v>
      </c>
      <c r="H1594">
        <v>1</v>
      </c>
      <c r="K1594" t="s">
        <v>1268</v>
      </c>
      <c r="L1594" t="s">
        <v>1269</v>
      </c>
      <c r="M1594" t="s">
        <v>1270</v>
      </c>
      <c r="N1594">
        <v>18</v>
      </c>
      <c r="P1594" t="s">
        <v>41</v>
      </c>
      <c r="Q1594" t="s">
        <v>42</v>
      </c>
      <c r="R1594" t="str">
        <f>"1990001"</f>
        <v>1990001</v>
      </c>
      <c r="S1594" t="s">
        <v>1294</v>
      </c>
      <c r="T1594" t="s">
        <v>1268</v>
      </c>
      <c r="U1594" t="s">
        <v>1269</v>
      </c>
      <c r="V1594" t="s">
        <v>1270</v>
      </c>
      <c r="W1594" t="s">
        <v>51</v>
      </c>
      <c r="X1594" t="s">
        <v>45</v>
      </c>
      <c r="Y1594" s="1">
        <v>24656</v>
      </c>
      <c r="Z1594">
        <v>2</v>
      </c>
      <c r="AA1594" t="s">
        <v>1269</v>
      </c>
      <c r="AB1594" s="40" t="s">
        <v>1797</v>
      </c>
    </row>
    <row r="1595" spans="1:28" x14ac:dyDescent="0.25">
      <c r="A1595">
        <v>99911594</v>
      </c>
      <c r="B1595" t="s">
        <v>32</v>
      </c>
      <c r="C1595" t="s">
        <v>46</v>
      </c>
      <c r="D1595" t="s">
        <v>47</v>
      </c>
      <c r="G1595" t="s">
        <v>48</v>
      </c>
      <c r="H1595">
        <v>1</v>
      </c>
      <c r="K1595" t="s">
        <v>223</v>
      </c>
      <c r="L1595" t="s">
        <v>224</v>
      </c>
      <c r="M1595" t="s">
        <v>131</v>
      </c>
      <c r="N1595">
        <v>18</v>
      </c>
      <c r="P1595" t="s">
        <v>41</v>
      </c>
      <c r="Q1595" t="s">
        <v>42</v>
      </c>
      <c r="R1595" t="str">
        <f>"0580203"</f>
        <v>0580203</v>
      </c>
      <c r="S1595" t="s">
        <v>239</v>
      </c>
      <c r="T1595" t="s">
        <v>223</v>
      </c>
      <c r="U1595" t="s">
        <v>224</v>
      </c>
      <c r="V1595" t="s">
        <v>131</v>
      </c>
      <c r="W1595" t="s">
        <v>165</v>
      </c>
      <c r="X1595" t="s">
        <v>45</v>
      </c>
      <c r="Y1595" s="1">
        <v>24654</v>
      </c>
      <c r="Z1595">
        <v>2</v>
      </c>
      <c r="AA1595" t="s">
        <v>224</v>
      </c>
      <c r="AB1595" s="40" t="s">
        <v>1797</v>
      </c>
    </row>
    <row r="1596" spans="1:28" x14ac:dyDescent="0.25">
      <c r="A1596">
        <v>99911595</v>
      </c>
      <c r="B1596" t="s">
        <v>56</v>
      </c>
      <c r="C1596" t="s">
        <v>52</v>
      </c>
      <c r="D1596" t="s">
        <v>53</v>
      </c>
      <c r="G1596" t="s">
        <v>48</v>
      </c>
      <c r="H1596">
        <v>1</v>
      </c>
      <c r="K1596" t="s">
        <v>157</v>
      </c>
      <c r="L1596" t="s">
        <v>158</v>
      </c>
      <c r="M1596" t="s">
        <v>131</v>
      </c>
      <c r="N1596">
        <v>18</v>
      </c>
      <c r="P1596" t="s">
        <v>41</v>
      </c>
      <c r="Q1596" t="s">
        <v>42</v>
      </c>
      <c r="R1596" t="str">
        <f>"0580735"</f>
        <v>0580735</v>
      </c>
      <c r="S1596" t="s">
        <v>180</v>
      </c>
      <c r="T1596" t="s">
        <v>157</v>
      </c>
      <c r="U1596" t="s">
        <v>158</v>
      </c>
      <c r="V1596" t="s">
        <v>131</v>
      </c>
      <c r="W1596" t="s">
        <v>51</v>
      </c>
      <c r="X1596" t="s">
        <v>45</v>
      </c>
      <c r="Y1596" s="1">
        <v>24644</v>
      </c>
      <c r="Z1596">
        <v>2</v>
      </c>
      <c r="AA1596" t="s">
        <v>158</v>
      </c>
      <c r="AB1596" s="40" t="s">
        <v>1797</v>
      </c>
    </row>
    <row r="1597" spans="1:28" x14ac:dyDescent="0.25">
      <c r="A1597">
        <v>99911596</v>
      </c>
      <c r="B1597" t="s">
        <v>56</v>
      </c>
      <c r="C1597" t="s">
        <v>79</v>
      </c>
      <c r="D1597" t="s">
        <v>80</v>
      </c>
      <c r="G1597" t="s">
        <v>48</v>
      </c>
      <c r="H1597">
        <v>1</v>
      </c>
      <c r="K1597" t="s">
        <v>223</v>
      </c>
      <c r="L1597" t="s">
        <v>224</v>
      </c>
      <c r="M1597" t="s">
        <v>131</v>
      </c>
      <c r="N1597">
        <v>18</v>
      </c>
      <c r="P1597" t="s">
        <v>41</v>
      </c>
      <c r="Q1597" t="s">
        <v>42</v>
      </c>
      <c r="R1597" t="str">
        <f>"0580202"</f>
        <v>0580202</v>
      </c>
      <c r="S1597" t="s">
        <v>240</v>
      </c>
      <c r="T1597" t="s">
        <v>223</v>
      </c>
      <c r="U1597" t="s">
        <v>224</v>
      </c>
      <c r="V1597" t="s">
        <v>131</v>
      </c>
      <c r="W1597" t="s">
        <v>165</v>
      </c>
      <c r="X1597" t="s">
        <v>45</v>
      </c>
      <c r="Y1597" s="1">
        <v>24644</v>
      </c>
      <c r="Z1597">
        <v>2</v>
      </c>
      <c r="AA1597" t="s">
        <v>224</v>
      </c>
      <c r="AB1597" s="40" t="s">
        <v>1797</v>
      </c>
    </row>
    <row r="1598" spans="1:28" x14ac:dyDescent="0.25">
      <c r="A1598">
        <v>99911597</v>
      </c>
      <c r="B1598" t="s">
        <v>32</v>
      </c>
      <c r="C1598" t="s">
        <v>46</v>
      </c>
      <c r="D1598" t="s">
        <v>47</v>
      </c>
      <c r="G1598" t="s">
        <v>48</v>
      </c>
      <c r="H1598">
        <v>1</v>
      </c>
      <c r="K1598" t="s">
        <v>162</v>
      </c>
      <c r="L1598" t="s">
        <v>158</v>
      </c>
      <c r="M1598" t="s">
        <v>131</v>
      </c>
      <c r="N1598">
        <v>18</v>
      </c>
      <c r="P1598" t="s">
        <v>41</v>
      </c>
      <c r="Q1598" t="s">
        <v>42</v>
      </c>
      <c r="R1598" t="str">
        <f>"0580320"</f>
        <v>0580320</v>
      </c>
      <c r="S1598" t="s">
        <v>164</v>
      </c>
      <c r="T1598" t="s">
        <v>162</v>
      </c>
      <c r="U1598" t="s">
        <v>158</v>
      </c>
      <c r="V1598" t="s">
        <v>131</v>
      </c>
      <c r="W1598" t="s">
        <v>165</v>
      </c>
      <c r="X1598" t="s">
        <v>45</v>
      </c>
      <c r="Y1598" s="1">
        <v>24643</v>
      </c>
      <c r="Z1598">
        <v>2</v>
      </c>
      <c r="AA1598" t="s">
        <v>158</v>
      </c>
      <c r="AB1598" s="40" t="s">
        <v>1797</v>
      </c>
    </row>
    <row r="1599" spans="1:28" x14ac:dyDescent="0.25">
      <c r="A1599">
        <v>99911598</v>
      </c>
      <c r="B1599" t="s">
        <v>32</v>
      </c>
      <c r="C1599" t="s">
        <v>79</v>
      </c>
      <c r="D1599" t="s">
        <v>80</v>
      </c>
      <c r="G1599" t="s">
        <v>48</v>
      </c>
      <c r="H1599">
        <v>1</v>
      </c>
      <c r="K1599" t="s">
        <v>431</v>
      </c>
      <c r="L1599" t="s">
        <v>196</v>
      </c>
      <c r="M1599" t="s">
        <v>131</v>
      </c>
      <c r="N1599">
        <v>18</v>
      </c>
      <c r="P1599" t="s">
        <v>41</v>
      </c>
      <c r="Q1599" t="s">
        <v>75</v>
      </c>
      <c r="R1599" t="str">
        <f>"7521022"</f>
        <v>7521022</v>
      </c>
      <c r="S1599" t="s">
        <v>445</v>
      </c>
      <c r="T1599" t="s">
        <v>431</v>
      </c>
      <c r="U1599" t="s">
        <v>196</v>
      </c>
      <c r="V1599" t="s">
        <v>131</v>
      </c>
      <c r="W1599" t="s">
        <v>51</v>
      </c>
      <c r="X1599" t="s">
        <v>45</v>
      </c>
      <c r="Y1599" s="1">
        <v>24626</v>
      </c>
      <c r="Z1599">
        <v>1</v>
      </c>
      <c r="AA1599" t="s">
        <v>196</v>
      </c>
      <c r="AB1599" s="40" t="s">
        <v>1797</v>
      </c>
    </row>
    <row r="1600" spans="1:28" x14ac:dyDescent="0.25">
      <c r="A1600">
        <v>99911599</v>
      </c>
      <c r="B1600" t="s">
        <v>32</v>
      </c>
      <c r="C1600" t="s">
        <v>82</v>
      </c>
      <c r="D1600" t="s">
        <v>83</v>
      </c>
      <c r="G1600" t="s">
        <v>48</v>
      </c>
      <c r="H1600">
        <v>1</v>
      </c>
      <c r="K1600" t="s">
        <v>162</v>
      </c>
      <c r="L1600" t="s">
        <v>158</v>
      </c>
      <c r="M1600" t="s">
        <v>131</v>
      </c>
      <c r="N1600">
        <v>18</v>
      </c>
      <c r="P1600" t="s">
        <v>41</v>
      </c>
      <c r="Q1600" t="s">
        <v>42</v>
      </c>
      <c r="R1600" t="str">
        <f>"0580320"</f>
        <v>0580320</v>
      </c>
      <c r="S1600" t="s">
        <v>164</v>
      </c>
      <c r="T1600" t="s">
        <v>162</v>
      </c>
      <c r="U1600" t="s">
        <v>158</v>
      </c>
      <c r="V1600" t="s">
        <v>131</v>
      </c>
      <c r="W1600" t="s">
        <v>165</v>
      </c>
      <c r="X1600" t="s">
        <v>45</v>
      </c>
      <c r="Y1600" s="1">
        <v>24618</v>
      </c>
      <c r="Z1600">
        <v>2</v>
      </c>
      <c r="AA1600" t="s">
        <v>158</v>
      </c>
      <c r="AB1600" s="40" t="s">
        <v>1797</v>
      </c>
    </row>
    <row r="1601" spans="1:28" x14ac:dyDescent="0.25">
      <c r="A1601">
        <v>99911600</v>
      </c>
      <c r="B1601" t="s">
        <v>56</v>
      </c>
      <c r="C1601" t="s">
        <v>85</v>
      </c>
      <c r="D1601" t="s">
        <v>86</v>
      </c>
      <c r="G1601" t="s">
        <v>48</v>
      </c>
      <c r="H1601">
        <v>11</v>
      </c>
      <c r="K1601" t="s">
        <v>1268</v>
      </c>
      <c r="L1601" t="s">
        <v>1269</v>
      </c>
      <c r="M1601" t="s">
        <v>1270</v>
      </c>
      <c r="N1601">
        <v>18</v>
      </c>
      <c r="P1601" t="s">
        <v>41</v>
      </c>
      <c r="Q1601" t="s">
        <v>49</v>
      </c>
      <c r="R1601" t="str">
        <f>"1981911"</f>
        <v>1981911</v>
      </c>
      <c r="S1601" t="s">
        <v>1286</v>
      </c>
      <c r="T1601" t="s">
        <v>1268</v>
      </c>
      <c r="U1601" t="s">
        <v>1269</v>
      </c>
      <c r="V1601" t="s">
        <v>1270</v>
      </c>
      <c r="W1601" t="s">
        <v>51</v>
      </c>
      <c r="X1601" t="s">
        <v>45</v>
      </c>
      <c r="Y1601" s="1">
        <v>24618</v>
      </c>
      <c r="Z1601">
        <v>2</v>
      </c>
      <c r="AA1601" t="s">
        <v>1269</v>
      </c>
      <c r="AB1601" s="40" t="s">
        <v>1797</v>
      </c>
    </row>
    <row r="1602" spans="1:28" x14ac:dyDescent="0.25">
      <c r="A1602">
        <v>99911601</v>
      </c>
      <c r="B1602" t="s">
        <v>32</v>
      </c>
      <c r="C1602" t="s">
        <v>82</v>
      </c>
      <c r="D1602" t="s">
        <v>83</v>
      </c>
      <c r="G1602" t="s">
        <v>48</v>
      </c>
      <c r="H1602">
        <v>1</v>
      </c>
      <c r="K1602" t="s">
        <v>1268</v>
      </c>
      <c r="L1602" t="s">
        <v>1269</v>
      </c>
      <c r="M1602" t="s">
        <v>1270</v>
      </c>
      <c r="N1602">
        <v>18</v>
      </c>
      <c r="P1602" t="s">
        <v>41</v>
      </c>
      <c r="Q1602" t="s">
        <v>42</v>
      </c>
      <c r="R1602" t="str">
        <f>"1990910"</f>
        <v>1990910</v>
      </c>
      <c r="S1602" t="s">
        <v>1281</v>
      </c>
      <c r="T1602" t="s">
        <v>1268</v>
      </c>
      <c r="U1602" t="s">
        <v>1269</v>
      </c>
      <c r="V1602" t="s">
        <v>1270</v>
      </c>
      <c r="W1602" t="s">
        <v>165</v>
      </c>
      <c r="X1602" t="s">
        <v>45</v>
      </c>
      <c r="Y1602" s="1">
        <v>24614</v>
      </c>
      <c r="Z1602">
        <v>2</v>
      </c>
      <c r="AA1602" t="s">
        <v>1269</v>
      </c>
      <c r="AB1602" s="40" t="s">
        <v>1797</v>
      </c>
    </row>
    <row r="1603" spans="1:28" x14ac:dyDescent="0.25">
      <c r="A1603">
        <v>99911602</v>
      </c>
      <c r="B1603" t="s">
        <v>56</v>
      </c>
      <c r="C1603" t="s">
        <v>251</v>
      </c>
      <c r="D1603" t="s">
        <v>252</v>
      </c>
      <c r="G1603" t="s">
        <v>48</v>
      </c>
      <c r="H1603">
        <v>1</v>
      </c>
      <c r="K1603" t="s">
        <v>300</v>
      </c>
      <c r="L1603" t="s">
        <v>301</v>
      </c>
      <c r="M1603" t="s">
        <v>131</v>
      </c>
      <c r="N1603">
        <v>18</v>
      </c>
      <c r="P1603" t="s">
        <v>41</v>
      </c>
      <c r="Q1603" t="s">
        <v>49</v>
      </c>
      <c r="R1603" t="str">
        <f>"0560020"</f>
        <v>0560020</v>
      </c>
      <c r="S1603" t="s">
        <v>302</v>
      </c>
      <c r="T1603" t="s">
        <v>300</v>
      </c>
      <c r="U1603" t="s">
        <v>301</v>
      </c>
      <c r="V1603" t="s">
        <v>131</v>
      </c>
      <c r="W1603" t="s">
        <v>51</v>
      </c>
      <c r="X1603" t="s">
        <v>45</v>
      </c>
      <c r="Y1603" s="1">
        <v>24605</v>
      </c>
      <c r="Z1603">
        <v>2</v>
      </c>
      <c r="AA1603" t="s">
        <v>301</v>
      </c>
      <c r="AB1603" s="40" t="s">
        <v>1797</v>
      </c>
    </row>
    <row r="1604" spans="1:28" x14ac:dyDescent="0.25">
      <c r="A1604">
        <v>99911603</v>
      </c>
      <c r="B1604" t="s">
        <v>32</v>
      </c>
      <c r="C1604" t="s">
        <v>143</v>
      </c>
      <c r="D1604" t="s">
        <v>144</v>
      </c>
      <c r="G1604" t="s">
        <v>48</v>
      </c>
      <c r="H1604">
        <v>1</v>
      </c>
      <c r="K1604" t="s">
        <v>223</v>
      </c>
      <c r="L1604" t="s">
        <v>224</v>
      </c>
      <c r="M1604" t="s">
        <v>131</v>
      </c>
      <c r="N1604">
        <v>18</v>
      </c>
      <c r="P1604" t="s">
        <v>41</v>
      </c>
      <c r="Q1604" t="s">
        <v>49</v>
      </c>
      <c r="R1604" t="str">
        <f>"0509999"</f>
        <v>0509999</v>
      </c>
      <c r="S1604" t="s">
        <v>247</v>
      </c>
      <c r="T1604" t="s">
        <v>223</v>
      </c>
      <c r="U1604" t="s">
        <v>224</v>
      </c>
      <c r="V1604" t="s">
        <v>131</v>
      </c>
      <c r="W1604" t="s">
        <v>51</v>
      </c>
      <c r="X1604" t="s">
        <v>45</v>
      </c>
      <c r="Y1604" s="1">
        <v>24601</v>
      </c>
      <c r="Z1604">
        <v>2</v>
      </c>
      <c r="AA1604" t="s">
        <v>224</v>
      </c>
      <c r="AB1604" s="40" t="s">
        <v>1797</v>
      </c>
    </row>
    <row r="1605" spans="1:28" x14ac:dyDescent="0.25">
      <c r="A1605">
        <v>99911604</v>
      </c>
      <c r="B1605" t="s">
        <v>32</v>
      </c>
      <c r="C1605" t="s">
        <v>52</v>
      </c>
      <c r="D1605" t="s">
        <v>53</v>
      </c>
      <c r="G1605" t="s">
        <v>35</v>
      </c>
      <c r="H1605">
        <v>1</v>
      </c>
      <c r="K1605" t="s">
        <v>223</v>
      </c>
      <c r="L1605" t="s">
        <v>224</v>
      </c>
      <c r="M1605" t="s">
        <v>131</v>
      </c>
      <c r="N1605">
        <v>18</v>
      </c>
      <c r="P1605" t="s">
        <v>41</v>
      </c>
      <c r="Q1605" t="s">
        <v>42</v>
      </c>
      <c r="R1605" t="str">
        <f>"0580395"</f>
        <v>0580395</v>
      </c>
      <c r="S1605" t="s">
        <v>265</v>
      </c>
      <c r="T1605" t="s">
        <v>223</v>
      </c>
      <c r="U1605" t="s">
        <v>224</v>
      </c>
      <c r="V1605" t="s">
        <v>131</v>
      </c>
      <c r="W1605" t="s">
        <v>51</v>
      </c>
      <c r="X1605" t="s">
        <v>45</v>
      </c>
      <c r="Y1605" s="1">
        <v>24598</v>
      </c>
      <c r="Z1605">
        <v>2</v>
      </c>
      <c r="AA1605" t="s">
        <v>224</v>
      </c>
      <c r="AB1605" s="40" t="s">
        <v>1797</v>
      </c>
    </row>
    <row r="1606" spans="1:28" x14ac:dyDescent="0.25">
      <c r="A1606">
        <v>99911605</v>
      </c>
      <c r="B1606" t="s">
        <v>32</v>
      </c>
      <c r="C1606" t="s">
        <v>46</v>
      </c>
      <c r="D1606" t="s">
        <v>47</v>
      </c>
      <c r="G1606" t="s">
        <v>48</v>
      </c>
      <c r="H1606">
        <v>1</v>
      </c>
      <c r="K1606" t="s">
        <v>380</v>
      </c>
      <c r="L1606" t="s">
        <v>381</v>
      </c>
      <c r="M1606" t="s">
        <v>131</v>
      </c>
      <c r="N1606">
        <v>18</v>
      </c>
      <c r="P1606" t="s">
        <v>41</v>
      </c>
      <c r="Q1606" t="s">
        <v>42</v>
      </c>
      <c r="R1606" t="str">
        <f>"0590908"</f>
        <v>0590908</v>
      </c>
      <c r="S1606" t="s">
        <v>382</v>
      </c>
      <c r="T1606" t="s">
        <v>380</v>
      </c>
      <c r="U1606" t="s">
        <v>381</v>
      </c>
      <c r="V1606" t="s">
        <v>131</v>
      </c>
      <c r="W1606" t="s">
        <v>51</v>
      </c>
      <c r="X1606" t="s">
        <v>45</v>
      </c>
      <c r="Y1606" s="1">
        <v>24588</v>
      </c>
      <c r="Z1606">
        <v>2</v>
      </c>
      <c r="AA1606" t="s">
        <v>381</v>
      </c>
      <c r="AB1606" s="40" t="s">
        <v>1797</v>
      </c>
    </row>
    <row r="1607" spans="1:28" x14ac:dyDescent="0.25">
      <c r="A1607">
        <v>99911606</v>
      </c>
      <c r="B1607" t="s">
        <v>32</v>
      </c>
      <c r="C1607" t="s">
        <v>85</v>
      </c>
      <c r="D1607" t="s">
        <v>86</v>
      </c>
      <c r="G1607" t="s">
        <v>48</v>
      </c>
      <c r="H1607">
        <v>1</v>
      </c>
      <c r="K1607" t="s">
        <v>345</v>
      </c>
      <c r="L1607" t="s">
        <v>346</v>
      </c>
      <c r="M1607" t="s">
        <v>131</v>
      </c>
      <c r="N1607">
        <v>18</v>
      </c>
      <c r="P1607" t="s">
        <v>41</v>
      </c>
      <c r="Q1607" t="s">
        <v>42</v>
      </c>
      <c r="R1607" t="str">
        <f>"0580650"</f>
        <v>0580650</v>
      </c>
      <c r="S1607" t="s">
        <v>356</v>
      </c>
      <c r="T1607" t="s">
        <v>345</v>
      </c>
      <c r="U1607" t="s">
        <v>346</v>
      </c>
      <c r="V1607" t="s">
        <v>131</v>
      </c>
      <c r="W1607" t="s">
        <v>51</v>
      </c>
      <c r="X1607" t="s">
        <v>45</v>
      </c>
      <c r="Y1607" s="1">
        <v>24580</v>
      </c>
      <c r="Z1607">
        <v>2</v>
      </c>
      <c r="AA1607" t="s">
        <v>346</v>
      </c>
      <c r="AB1607" s="40" t="s">
        <v>1797</v>
      </c>
    </row>
    <row r="1608" spans="1:28" x14ac:dyDescent="0.25">
      <c r="A1608">
        <v>99911607</v>
      </c>
      <c r="B1608" t="s">
        <v>32</v>
      </c>
      <c r="C1608" t="s">
        <v>46</v>
      </c>
      <c r="D1608" t="s">
        <v>47</v>
      </c>
      <c r="G1608" t="s">
        <v>48</v>
      </c>
      <c r="H1608">
        <v>1</v>
      </c>
      <c r="K1608" t="s">
        <v>157</v>
      </c>
      <c r="L1608" t="s">
        <v>158</v>
      </c>
      <c r="M1608" t="s">
        <v>131</v>
      </c>
      <c r="N1608">
        <v>18</v>
      </c>
      <c r="P1608" t="s">
        <v>41</v>
      </c>
      <c r="Q1608" t="s">
        <v>42</v>
      </c>
      <c r="R1608" t="str">
        <f>"0580470"</f>
        <v>0580470</v>
      </c>
      <c r="S1608" t="s">
        <v>175</v>
      </c>
      <c r="T1608" t="s">
        <v>157</v>
      </c>
      <c r="U1608" t="s">
        <v>158</v>
      </c>
      <c r="V1608" t="s">
        <v>131</v>
      </c>
      <c r="W1608" t="s">
        <v>165</v>
      </c>
      <c r="X1608" t="s">
        <v>45</v>
      </c>
      <c r="Y1608" s="1">
        <v>24569</v>
      </c>
      <c r="Z1608">
        <v>2</v>
      </c>
      <c r="AA1608" t="s">
        <v>158</v>
      </c>
      <c r="AB1608" s="40" t="s">
        <v>1797</v>
      </c>
    </row>
    <row r="1609" spans="1:28" x14ac:dyDescent="0.25">
      <c r="A1609">
        <v>99911608</v>
      </c>
      <c r="B1609" t="s">
        <v>32</v>
      </c>
      <c r="C1609" t="s">
        <v>52</v>
      </c>
      <c r="D1609" t="s">
        <v>53</v>
      </c>
      <c r="G1609" t="s">
        <v>48</v>
      </c>
      <c r="H1609">
        <v>12</v>
      </c>
      <c r="K1609" t="s">
        <v>1268</v>
      </c>
      <c r="L1609" t="s">
        <v>1269</v>
      </c>
      <c r="M1609" t="s">
        <v>1270</v>
      </c>
      <c r="N1609">
        <v>18</v>
      </c>
      <c r="O1609" s="1">
        <v>43344</v>
      </c>
      <c r="P1609" t="s">
        <v>41</v>
      </c>
      <c r="Q1609" t="s">
        <v>49</v>
      </c>
      <c r="R1609" t="str">
        <f>"1981055"</f>
        <v>1981055</v>
      </c>
      <c r="S1609" t="s">
        <v>1280</v>
      </c>
      <c r="T1609" t="s">
        <v>1268</v>
      </c>
      <c r="U1609" t="s">
        <v>1269</v>
      </c>
      <c r="V1609" t="s">
        <v>1270</v>
      </c>
      <c r="W1609" t="s">
        <v>165</v>
      </c>
      <c r="X1609" t="s">
        <v>45</v>
      </c>
      <c r="Y1609" s="1">
        <v>24551</v>
      </c>
      <c r="Z1609">
        <v>2</v>
      </c>
      <c r="AA1609" t="s">
        <v>1269</v>
      </c>
      <c r="AB1609" s="40" t="s">
        <v>1797</v>
      </c>
    </row>
    <row r="1610" spans="1:28" x14ac:dyDescent="0.25">
      <c r="A1610">
        <v>99911609</v>
      </c>
      <c r="B1610" t="s">
        <v>56</v>
      </c>
      <c r="C1610" t="s">
        <v>68</v>
      </c>
      <c r="D1610" t="s">
        <v>69</v>
      </c>
      <c r="G1610" t="s">
        <v>48</v>
      </c>
      <c r="H1610">
        <v>1</v>
      </c>
      <c r="K1610" t="s">
        <v>380</v>
      </c>
      <c r="L1610" t="s">
        <v>381</v>
      </c>
      <c r="M1610" t="s">
        <v>131</v>
      </c>
      <c r="N1610">
        <v>18</v>
      </c>
      <c r="P1610" t="s">
        <v>41</v>
      </c>
      <c r="Q1610" t="s">
        <v>49</v>
      </c>
      <c r="R1610" t="str">
        <f>"0591909"</f>
        <v>0591909</v>
      </c>
      <c r="S1610" t="s">
        <v>385</v>
      </c>
      <c r="T1610" t="s">
        <v>380</v>
      </c>
      <c r="U1610" t="s">
        <v>381</v>
      </c>
      <c r="V1610" t="s">
        <v>131</v>
      </c>
      <c r="W1610" t="s">
        <v>51</v>
      </c>
      <c r="X1610" t="s">
        <v>45</v>
      </c>
      <c r="Y1610" s="1">
        <v>24547</v>
      </c>
      <c r="Z1610">
        <v>2</v>
      </c>
      <c r="AA1610" t="s">
        <v>381</v>
      </c>
      <c r="AB1610" s="40" t="s">
        <v>1797</v>
      </c>
    </row>
    <row r="1611" spans="1:28" x14ac:dyDescent="0.25">
      <c r="A1611">
        <v>99911610</v>
      </c>
      <c r="B1611" t="s">
        <v>32</v>
      </c>
      <c r="C1611" t="s">
        <v>46</v>
      </c>
      <c r="D1611" t="s">
        <v>47</v>
      </c>
      <c r="G1611" t="s">
        <v>35</v>
      </c>
      <c r="H1611">
        <v>1</v>
      </c>
      <c r="K1611" t="s">
        <v>162</v>
      </c>
      <c r="L1611" t="s">
        <v>158</v>
      </c>
      <c r="M1611" t="s">
        <v>131</v>
      </c>
      <c r="N1611">
        <v>18</v>
      </c>
      <c r="P1611" t="s">
        <v>41</v>
      </c>
      <c r="Q1611" t="s">
        <v>49</v>
      </c>
      <c r="R1611" t="str">
        <f>"0581325"</f>
        <v>0581325</v>
      </c>
      <c r="S1611" t="s">
        <v>169</v>
      </c>
      <c r="T1611" t="s">
        <v>162</v>
      </c>
      <c r="U1611" t="s">
        <v>158</v>
      </c>
      <c r="V1611" t="s">
        <v>131</v>
      </c>
      <c r="W1611" t="s">
        <v>165</v>
      </c>
      <c r="X1611" t="s">
        <v>45</v>
      </c>
      <c r="Y1611" s="1">
        <v>24535</v>
      </c>
      <c r="Z1611">
        <v>2</v>
      </c>
      <c r="AA1611" t="s">
        <v>158</v>
      </c>
      <c r="AB1611" s="40" t="s">
        <v>1797</v>
      </c>
    </row>
    <row r="1612" spans="1:28" x14ac:dyDescent="0.25">
      <c r="A1612">
        <v>99911611</v>
      </c>
      <c r="B1612" t="s">
        <v>32</v>
      </c>
      <c r="C1612" t="s">
        <v>46</v>
      </c>
      <c r="D1612" t="s">
        <v>47</v>
      </c>
      <c r="G1612" t="s">
        <v>48</v>
      </c>
      <c r="H1612">
        <v>1</v>
      </c>
      <c r="K1612" t="s">
        <v>380</v>
      </c>
      <c r="L1612" t="s">
        <v>381</v>
      </c>
      <c r="M1612" t="s">
        <v>131</v>
      </c>
      <c r="N1612">
        <v>18</v>
      </c>
      <c r="P1612" t="s">
        <v>41</v>
      </c>
      <c r="Q1612" t="s">
        <v>42</v>
      </c>
      <c r="R1612" t="str">
        <f>"0590909"</f>
        <v>0590909</v>
      </c>
      <c r="S1612" t="s">
        <v>388</v>
      </c>
      <c r="T1612" t="s">
        <v>380</v>
      </c>
      <c r="U1612" t="s">
        <v>381</v>
      </c>
      <c r="V1612" t="s">
        <v>131</v>
      </c>
      <c r="W1612" t="s">
        <v>51</v>
      </c>
      <c r="X1612" t="s">
        <v>45</v>
      </c>
      <c r="Y1612" s="1">
        <v>24533</v>
      </c>
      <c r="Z1612">
        <v>2</v>
      </c>
      <c r="AA1612" t="s">
        <v>381</v>
      </c>
      <c r="AB1612" s="40" t="s">
        <v>1797</v>
      </c>
    </row>
    <row r="1613" spans="1:28" x14ac:dyDescent="0.25">
      <c r="A1613">
        <v>99911612</v>
      </c>
      <c r="B1613" t="s">
        <v>32</v>
      </c>
      <c r="C1613" t="s">
        <v>64</v>
      </c>
      <c r="D1613" t="s">
        <v>65</v>
      </c>
      <c r="G1613" t="s">
        <v>48</v>
      </c>
      <c r="H1613">
        <v>1</v>
      </c>
      <c r="K1613" t="s">
        <v>431</v>
      </c>
      <c r="L1613" t="s">
        <v>196</v>
      </c>
      <c r="M1613" t="s">
        <v>131</v>
      </c>
      <c r="N1613">
        <v>18</v>
      </c>
      <c r="P1613" t="s">
        <v>41</v>
      </c>
      <c r="Q1613" t="s">
        <v>49</v>
      </c>
      <c r="R1613" t="str">
        <f>"0560006"</f>
        <v>0560006</v>
      </c>
      <c r="S1613" t="s">
        <v>191</v>
      </c>
      <c r="T1613" t="s">
        <v>157</v>
      </c>
      <c r="U1613" t="s">
        <v>158</v>
      </c>
      <c r="V1613" t="s">
        <v>131</v>
      </c>
      <c r="W1613" t="s">
        <v>51</v>
      </c>
      <c r="X1613" t="s">
        <v>45</v>
      </c>
      <c r="Y1613" s="1">
        <v>24532</v>
      </c>
      <c r="Z1613">
        <v>1</v>
      </c>
      <c r="AA1613" t="s">
        <v>196</v>
      </c>
      <c r="AB1613" s="40" t="s">
        <v>1797</v>
      </c>
    </row>
    <row r="1614" spans="1:28" x14ac:dyDescent="0.25">
      <c r="A1614">
        <v>99911613</v>
      </c>
      <c r="B1614" t="s">
        <v>32</v>
      </c>
      <c r="C1614" t="s">
        <v>64</v>
      </c>
      <c r="D1614" t="s">
        <v>65</v>
      </c>
      <c r="G1614" t="s">
        <v>48</v>
      </c>
      <c r="H1614">
        <v>1</v>
      </c>
      <c r="K1614" t="s">
        <v>129</v>
      </c>
      <c r="L1614" t="s">
        <v>130</v>
      </c>
      <c r="M1614" t="s">
        <v>131</v>
      </c>
      <c r="N1614">
        <v>18</v>
      </c>
      <c r="P1614" t="s">
        <v>41</v>
      </c>
      <c r="Q1614" t="s">
        <v>49</v>
      </c>
      <c r="R1614" t="str">
        <f>"0591905"</f>
        <v>0591905</v>
      </c>
      <c r="S1614" t="s">
        <v>135</v>
      </c>
      <c r="T1614" t="s">
        <v>129</v>
      </c>
      <c r="U1614" t="s">
        <v>130</v>
      </c>
      <c r="V1614" t="s">
        <v>131</v>
      </c>
      <c r="W1614" t="s">
        <v>51</v>
      </c>
      <c r="X1614" t="s">
        <v>45</v>
      </c>
      <c r="Y1614" s="1">
        <v>24518</v>
      </c>
      <c r="Z1614">
        <v>2</v>
      </c>
      <c r="AA1614" t="s">
        <v>130</v>
      </c>
      <c r="AB1614" s="40" t="s">
        <v>1797</v>
      </c>
    </row>
    <row r="1615" spans="1:28" x14ac:dyDescent="0.25">
      <c r="A1615">
        <v>99911614</v>
      </c>
      <c r="B1615" t="s">
        <v>32</v>
      </c>
      <c r="C1615" t="s">
        <v>46</v>
      </c>
      <c r="D1615" t="s">
        <v>47</v>
      </c>
      <c r="G1615" t="s">
        <v>48</v>
      </c>
      <c r="H1615">
        <v>1</v>
      </c>
      <c r="K1615" t="s">
        <v>223</v>
      </c>
      <c r="L1615" t="s">
        <v>224</v>
      </c>
      <c r="M1615" t="s">
        <v>131</v>
      </c>
      <c r="N1615">
        <v>18</v>
      </c>
      <c r="P1615" t="s">
        <v>41</v>
      </c>
      <c r="Q1615" t="s">
        <v>42</v>
      </c>
      <c r="R1615" t="str">
        <f>"0580203"</f>
        <v>0580203</v>
      </c>
      <c r="S1615" t="s">
        <v>239</v>
      </c>
      <c r="T1615" t="s">
        <v>223</v>
      </c>
      <c r="U1615" t="s">
        <v>224</v>
      </c>
      <c r="V1615" t="s">
        <v>131</v>
      </c>
      <c r="W1615" t="s">
        <v>165</v>
      </c>
      <c r="X1615" t="s">
        <v>45</v>
      </c>
      <c r="Y1615" s="1">
        <v>24517</v>
      </c>
      <c r="Z1615">
        <v>2</v>
      </c>
      <c r="AA1615" t="s">
        <v>224</v>
      </c>
      <c r="AB1615" s="40" t="s">
        <v>1797</v>
      </c>
    </row>
    <row r="1616" spans="1:28" x14ac:dyDescent="0.25">
      <c r="A1616">
        <v>99911615</v>
      </c>
      <c r="B1616" t="s">
        <v>56</v>
      </c>
      <c r="C1616" t="s">
        <v>68</v>
      </c>
      <c r="D1616" t="s">
        <v>69</v>
      </c>
      <c r="G1616" t="s">
        <v>48</v>
      </c>
      <c r="H1616">
        <v>1</v>
      </c>
      <c r="K1616" t="s">
        <v>380</v>
      </c>
      <c r="L1616" t="s">
        <v>381</v>
      </c>
      <c r="M1616" t="s">
        <v>131</v>
      </c>
      <c r="N1616">
        <v>18</v>
      </c>
      <c r="P1616" t="s">
        <v>41</v>
      </c>
      <c r="Q1616" t="s">
        <v>49</v>
      </c>
      <c r="R1616" t="str">
        <f>"0591909"</f>
        <v>0591909</v>
      </c>
      <c r="S1616" t="s">
        <v>385</v>
      </c>
      <c r="T1616" t="s">
        <v>380</v>
      </c>
      <c r="U1616" t="s">
        <v>381</v>
      </c>
      <c r="V1616" t="s">
        <v>131</v>
      </c>
      <c r="W1616" t="s">
        <v>51</v>
      </c>
      <c r="X1616" t="s">
        <v>45</v>
      </c>
      <c r="Y1616" s="1">
        <v>24514</v>
      </c>
      <c r="Z1616">
        <v>2</v>
      </c>
      <c r="AA1616" t="s">
        <v>381</v>
      </c>
      <c r="AB1616" s="40" t="s">
        <v>1797</v>
      </c>
    </row>
    <row r="1617" spans="1:28" x14ac:dyDescent="0.25">
      <c r="A1617">
        <v>99911616</v>
      </c>
      <c r="B1617" t="s">
        <v>32</v>
      </c>
      <c r="C1617" t="s">
        <v>85</v>
      </c>
      <c r="D1617" t="s">
        <v>86</v>
      </c>
      <c r="G1617" t="s">
        <v>35</v>
      </c>
      <c r="H1617">
        <v>1</v>
      </c>
      <c r="K1617" t="s">
        <v>223</v>
      </c>
      <c r="L1617" t="s">
        <v>224</v>
      </c>
      <c r="M1617" t="s">
        <v>131</v>
      </c>
      <c r="N1617">
        <v>18</v>
      </c>
      <c r="P1617" t="s">
        <v>41</v>
      </c>
      <c r="Q1617" t="s">
        <v>49</v>
      </c>
      <c r="R1617" t="str">
        <f>"0591907"</f>
        <v>0591907</v>
      </c>
      <c r="S1617" t="s">
        <v>243</v>
      </c>
      <c r="T1617" t="s">
        <v>223</v>
      </c>
      <c r="U1617" t="s">
        <v>224</v>
      </c>
      <c r="V1617" t="s">
        <v>131</v>
      </c>
      <c r="W1617" t="s">
        <v>51</v>
      </c>
      <c r="X1617" t="s">
        <v>45</v>
      </c>
      <c r="Y1617" s="1">
        <v>24501</v>
      </c>
      <c r="Z1617">
        <v>2</v>
      </c>
      <c r="AA1617" t="s">
        <v>224</v>
      </c>
      <c r="AB1617" s="40" t="s">
        <v>1797</v>
      </c>
    </row>
    <row r="1618" spans="1:28" x14ac:dyDescent="0.25">
      <c r="A1618">
        <v>99911617</v>
      </c>
      <c r="B1618" t="s">
        <v>32</v>
      </c>
      <c r="C1618" t="s">
        <v>52</v>
      </c>
      <c r="D1618" t="s">
        <v>53</v>
      </c>
      <c r="G1618" t="s">
        <v>48</v>
      </c>
      <c r="H1618">
        <v>1</v>
      </c>
      <c r="K1618" t="s">
        <v>223</v>
      </c>
      <c r="L1618" t="s">
        <v>224</v>
      </c>
      <c r="M1618" t="s">
        <v>131</v>
      </c>
      <c r="N1618">
        <v>18</v>
      </c>
      <c r="P1618" t="s">
        <v>41</v>
      </c>
      <c r="Q1618" t="s">
        <v>49</v>
      </c>
      <c r="R1618" t="str">
        <f>"0581206"</f>
        <v>0581206</v>
      </c>
      <c r="S1618" t="s">
        <v>232</v>
      </c>
      <c r="T1618" t="s">
        <v>223</v>
      </c>
      <c r="U1618" t="s">
        <v>224</v>
      </c>
      <c r="V1618" t="s">
        <v>131</v>
      </c>
      <c r="W1618" t="s">
        <v>51</v>
      </c>
      <c r="X1618" t="s">
        <v>45</v>
      </c>
      <c r="Y1618" s="1">
        <v>24501</v>
      </c>
      <c r="Z1618">
        <v>2</v>
      </c>
      <c r="AA1618" t="s">
        <v>224</v>
      </c>
      <c r="AB1618" s="40" t="s">
        <v>1797</v>
      </c>
    </row>
    <row r="1619" spans="1:28" x14ac:dyDescent="0.25">
      <c r="A1619">
        <v>99911618</v>
      </c>
      <c r="B1619" t="s">
        <v>32</v>
      </c>
      <c r="C1619" t="s">
        <v>79</v>
      </c>
      <c r="D1619" t="s">
        <v>80</v>
      </c>
      <c r="G1619" t="s">
        <v>48</v>
      </c>
      <c r="H1619">
        <v>1</v>
      </c>
      <c r="K1619" t="s">
        <v>223</v>
      </c>
      <c r="L1619" t="s">
        <v>224</v>
      </c>
      <c r="M1619" t="s">
        <v>131</v>
      </c>
      <c r="N1619">
        <v>18</v>
      </c>
      <c r="P1619" t="s">
        <v>41</v>
      </c>
      <c r="Q1619" t="s">
        <v>75</v>
      </c>
      <c r="R1619" t="str">
        <f>"7052008"</f>
        <v>7052008</v>
      </c>
      <c r="S1619" t="s">
        <v>274</v>
      </c>
      <c r="T1619" t="s">
        <v>268</v>
      </c>
      <c r="U1619" t="s">
        <v>269</v>
      </c>
      <c r="V1619" t="s">
        <v>131</v>
      </c>
      <c r="W1619" t="s">
        <v>51</v>
      </c>
      <c r="X1619" t="s">
        <v>45</v>
      </c>
      <c r="Y1619" s="1">
        <v>24478</v>
      </c>
      <c r="Z1619">
        <v>2</v>
      </c>
      <c r="AA1619" t="s">
        <v>224</v>
      </c>
      <c r="AB1619" s="40" t="s">
        <v>1797</v>
      </c>
    </row>
    <row r="1620" spans="1:28" x14ac:dyDescent="0.25">
      <c r="A1620">
        <v>99911619</v>
      </c>
      <c r="B1620" t="s">
        <v>32</v>
      </c>
      <c r="C1620" t="s">
        <v>64</v>
      </c>
      <c r="D1620" t="s">
        <v>65</v>
      </c>
      <c r="G1620" t="s">
        <v>48</v>
      </c>
      <c r="H1620">
        <v>1</v>
      </c>
      <c r="K1620" t="s">
        <v>129</v>
      </c>
      <c r="L1620" t="s">
        <v>130</v>
      </c>
      <c r="M1620" t="s">
        <v>131</v>
      </c>
      <c r="N1620">
        <v>18</v>
      </c>
      <c r="P1620" t="s">
        <v>41</v>
      </c>
      <c r="Q1620" t="s">
        <v>49</v>
      </c>
      <c r="R1620" t="str">
        <f>"0591905"</f>
        <v>0591905</v>
      </c>
      <c r="S1620" t="s">
        <v>135</v>
      </c>
      <c r="T1620" t="s">
        <v>129</v>
      </c>
      <c r="U1620" t="s">
        <v>130</v>
      </c>
      <c r="V1620" t="s">
        <v>131</v>
      </c>
      <c r="W1620" t="s">
        <v>51</v>
      </c>
      <c r="X1620" t="s">
        <v>45</v>
      </c>
      <c r="Y1620" s="1">
        <v>24477</v>
      </c>
      <c r="Z1620">
        <v>2</v>
      </c>
      <c r="AA1620" t="s">
        <v>130</v>
      </c>
      <c r="AB1620" s="40" t="s">
        <v>1797</v>
      </c>
    </row>
    <row r="1621" spans="1:28" x14ac:dyDescent="0.25">
      <c r="A1621">
        <v>99911620</v>
      </c>
      <c r="B1621" t="s">
        <v>56</v>
      </c>
      <c r="C1621" t="s">
        <v>46</v>
      </c>
      <c r="D1621" t="s">
        <v>47</v>
      </c>
      <c r="G1621" t="s">
        <v>48</v>
      </c>
      <c r="H1621">
        <v>1</v>
      </c>
      <c r="K1621" t="s">
        <v>129</v>
      </c>
      <c r="L1621" t="s">
        <v>130</v>
      </c>
      <c r="M1621" t="s">
        <v>131</v>
      </c>
      <c r="N1621">
        <v>18</v>
      </c>
      <c r="P1621" t="s">
        <v>41</v>
      </c>
      <c r="Q1621" t="s">
        <v>49</v>
      </c>
      <c r="R1621" t="str">
        <f>"0591905"</f>
        <v>0591905</v>
      </c>
      <c r="S1621" t="s">
        <v>135</v>
      </c>
      <c r="T1621" t="s">
        <v>129</v>
      </c>
      <c r="U1621" t="s">
        <v>130</v>
      </c>
      <c r="V1621" t="s">
        <v>131</v>
      </c>
      <c r="W1621" t="s">
        <v>51</v>
      </c>
      <c r="X1621" t="s">
        <v>45</v>
      </c>
      <c r="Y1621" s="1">
        <v>24473</v>
      </c>
      <c r="Z1621">
        <v>2</v>
      </c>
      <c r="AA1621" t="s">
        <v>130</v>
      </c>
      <c r="AB1621" s="40" t="s">
        <v>1797</v>
      </c>
    </row>
    <row r="1622" spans="1:28" x14ac:dyDescent="0.25">
      <c r="A1622">
        <v>99911621</v>
      </c>
      <c r="B1622" t="s">
        <v>32</v>
      </c>
      <c r="C1622" t="s">
        <v>64</v>
      </c>
      <c r="D1622" t="s">
        <v>65</v>
      </c>
      <c r="G1622" t="s">
        <v>35</v>
      </c>
      <c r="H1622">
        <v>1</v>
      </c>
      <c r="K1622" t="s">
        <v>162</v>
      </c>
      <c r="L1622" t="s">
        <v>158</v>
      </c>
      <c r="M1622" t="s">
        <v>131</v>
      </c>
      <c r="N1622">
        <v>18</v>
      </c>
      <c r="P1622" t="s">
        <v>41</v>
      </c>
      <c r="Q1622" t="s">
        <v>49</v>
      </c>
      <c r="R1622" t="str">
        <f>"0505050"</f>
        <v>0505050</v>
      </c>
      <c r="S1622" t="s">
        <v>163</v>
      </c>
      <c r="T1622" t="s">
        <v>162</v>
      </c>
      <c r="U1622" t="s">
        <v>158</v>
      </c>
      <c r="V1622" t="s">
        <v>131</v>
      </c>
      <c r="W1622" t="s">
        <v>165</v>
      </c>
      <c r="X1622" t="s">
        <v>45</v>
      </c>
      <c r="Y1622" s="1">
        <v>24473</v>
      </c>
      <c r="Z1622">
        <v>2</v>
      </c>
      <c r="AA1622" t="s">
        <v>158</v>
      </c>
      <c r="AB1622" s="40" t="s">
        <v>1797</v>
      </c>
    </row>
    <row r="1623" spans="1:28" x14ac:dyDescent="0.25">
      <c r="A1623">
        <v>99911622</v>
      </c>
      <c r="B1623" t="s">
        <v>32</v>
      </c>
      <c r="C1623" t="s">
        <v>46</v>
      </c>
      <c r="D1623" t="s">
        <v>47</v>
      </c>
      <c r="G1623" t="s">
        <v>48</v>
      </c>
      <c r="H1623">
        <v>1</v>
      </c>
      <c r="K1623" t="s">
        <v>345</v>
      </c>
      <c r="L1623" t="s">
        <v>346</v>
      </c>
      <c r="M1623" t="s">
        <v>131</v>
      </c>
      <c r="N1623">
        <v>18</v>
      </c>
      <c r="P1623" t="s">
        <v>41</v>
      </c>
      <c r="Q1623" t="s">
        <v>42</v>
      </c>
      <c r="R1623" t="str">
        <f>"0590906"</f>
        <v>0590906</v>
      </c>
      <c r="S1623" t="s">
        <v>361</v>
      </c>
      <c r="T1623" t="s">
        <v>345</v>
      </c>
      <c r="U1623" t="s">
        <v>346</v>
      </c>
      <c r="V1623" t="s">
        <v>131</v>
      </c>
      <c r="W1623" t="s">
        <v>51</v>
      </c>
      <c r="X1623" t="s">
        <v>45</v>
      </c>
      <c r="Y1623" s="1">
        <v>24473</v>
      </c>
      <c r="Z1623">
        <v>2</v>
      </c>
      <c r="AA1623" t="s">
        <v>346</v>
      </c>
      <c r="AB1623" s="40" t="s">
        <v>1797</v>
      </c>
    </row>
    <row r="1624" spans="1:28" x14ac:dyDescent="0.25">
      <c r="A1624">
        <v>99911623</v>
      </c>
      <c r="B1624" t="s">
        <v>32</v>
      </c>
      <c r="C1624" t="s">
        <v>46</v>
      </c>
      <c r="D1624" t="s">
        <v>47</v>
      </c>
      <c r="G1624" t="s">
        <v>48</v>
      </c>
      <c r="H1624">
        <v>1</v>
      </c>
      <c r="K1624" t="s">
        <v>1268</v>
      </c>
      <c r="L1624" t="s">
        <v>1269</v>
      </c>
      <c r="M1624" t="s">
        <v>1270</v>
      </c>
      <c r="N1624">
        <v>18</v>
      </c>
      <c r="P1624" t="s">
        <v>41</v>
      </c>
      <c r="Q1624" t="s">
        <v>49</v>
      </c>
      <c r="R1624" t="str">
        <f>"1981912"</f>
        <v>1981912</v>
      </c>
      <c r="S1624" t="s">
        <v>1279</v>
      </c>
      <c r="T1624" t="s">
        <v>1268</v>
      </c>
      <c r="U1624" t="s">
        <v>1269</v>
      </c>
      <c r="V1624" t="s">
        <v>1270</v>
      </c>
      <c r="W1624" t="s">
        <v>51</v>
      </c>
      <c r="X1624" t="s">
        <v>45</v>
      </c>
      <c r="Y1624" s="1">
        <v>24452</v>
      </c>
      <c r="Z1624">
        <v>2</v>
      </c>
      <c r="AA1624" t="s">
        <v>1269</v>
      </c>
      <c r="AB1624" s="40" t="s">
        <v>1797</v>
      </c>
    </row>
    <row r="1625" spans="1:28" x14ac:dyDescent="0.25">
      <c r="A1625">
        <v>99911624</v>
      </c>
      <c r="B1625" t="s">
        <v>32</v>
      </c>
      <c r="C1625" t="s">
        <v>71</v>
      </c>
      <c r="D1625" t="s">
        <v>72</v>
      </c>
      <c r="G1625" t="s">
        <v>48</v>
      </c>
      <c r="H1625">
        <v>1</v>
      </c>
      <c r="K1625" t="s">
        <v>223</v>
      </c>
      <c r="L1625" t="s">
        <v>224</v>
      </c>
      <c r="M1625" t="s">
        <v>131</v>
      </c>
      <c r="N1625">
        <v>18</v>
      </c>
      <c r="P1625" t="s">
        <v>41</v>
      </c>
      <c r="Q1625" t="s">
        <v>49</v>
      </c>
      <c r="R1625" t="str">
        <f>"0581202"</f>
        <v>0581202</v>
      </c>
      <c r="S1625" t="s">
        <v>248</v>
      </c>
      <c r="T1625" t="s">
        <v>223</v>
      </c>
      <c r="U1625" t="s">
        <v>224</v>
      </c>
      <c r="V1625" t="s">
        <v>131</v>
      </c>
      <c r="W1625" t="s">
        <v>165</v>
      </c>
      <c r="X1625" t="s">
        <v>45</v>
      </c>
      <c r="Y1625" s="1">
        <v>24451</v>
      </c>
      <c r="Z1625">
        <v>2</v>
      </c>
      <c r="AA1625" t="s">
        <v>224</v>
      </c>
      <c r="AB1625" s="40" t="s">
        <v>1797</v>
      </c>
    </row>
    <row r="1626" spans="1:28" x14ac:dyDescent="0.25">
      <c r="A1626">
        <v>99911625</v>
      </c>
      <c r="B1626" t="s">
        <v>32</v>
      </c>
      <c r="C1626" t="s">
        <v>46</v>
      </c>
      <c r="D1626" t="s">
        <v>47</v>
      </c>
      <c r="G1626" t="s">
        <v>48</v>
      </c>
      <c r="H1626">
        <v>1</v>
      </c>
      <c r="K1626" t="s">
        <v>162</v>
      </c>
      <c r="L1626" t="s">
        <v>158</v>
      </c>
      <c r="M1626" t="s">
        <v>131</v>
      </c>
      <c r="N1626">
        <v>18</v>
      </c>
      <c r="P1626" t="s">
        <v>41</v>
      </c>
      <c r="Q1626" t="s">
        <v>42</v>
      </c>
      <c r="R1626" t="str">
        <f>"0580320"</f>
        <v>0580320</v>
      </c>
      <c r="S1626" t="s">
        <v>164</v>
      </c>
      <c r="T1626" t="s">
        <v>162</v>
      </c>
      <c r="U1626" t="s">
        <v>158</v>
      </c>
      <c r="V1626" t="s">
        <v>131</v>
      </c>
      <c r="W1626" t="s">
        <v>165</v>
      </c>
      <c r="X1626" t="s">
        <v>45</v>
      </c>
      <c r="Y1626" s="1">
        <v>24449</v>
      </c>
      <c r="Z1626">
        <v>2</v>
      </c>
      <c r="AA1626" t="s">
        <v>158</v>
      </c>
      <c r="AB1626" s="40" t="s">
        <v>1797</v>
      </c>
    </row>
    <row r="1627" spans="1:28" x14ac:dyDescent="0.25">
      <c r="A1627">
        <v>99911626</v>
      </c>
      <c r="B1627" t="s">
        <v>56</v>
      </c>
      <c r="C1627" t="s">
        <v>79</v>
      </c>
      <c r="D1627" t="s">
        <v>80</v>
      </c>
      <c r="G1627" t="s">
        <v>35</v>
      </c>
      <c r="H1627">
        <v>13</v>
      </c>
      <c r="K1627" t="s">
        <v>345</v>
      </c>
      <c r="L1627" t="s">
        <v>346</v>
      </c>
      <c r="M1627" t="s">
        <v>131</v>
      </c>
      <c r="N1627">
        <v>18</v>
      </c>
      <c r="P1627" t="s">
        <v>41</v>
      </c>
      <c r="Q1627" t="s">
        <v>49</v>
      </c>
      <c r="R1627" t="str">
        <f>"0560007"</f>
        <v>0560007</v>
      </c>
      <c r="S1627" t="s">
        <v>357</v>
      </c>
      <c r="T1627" t="s">
        <v>345</v>
      </c>
      <c r="U1627" t="s">
        <v>346</v>
      </c>
      <c r="V1627" t="s">
        <v>131</v>
      </c>
      <c r="W1627" t="s">
        <v>51</v>
      </c>
      <c r="X1627" t="s">
        <v>45</v>
      </c>
      <c r="Y1627" s="1">
        <v>24448</v>
      </c>
      <c r="Z1627">
        <v>2</v>
      </c>
      <c r="AA1627" t="s">
        <v>346</v>
      </c>
      <c r="AB1627" s="40" t="s">
        <v>1797</v>
      </c>
    </row>
    <row r="1628" spans="1:28" x14ac:dyDescent="0.25">
      <c r="A1628">
        <v>99911627</v>
      </c>
      <c r="B1628" t="s">
        <v>32</v>
      </c>
      <c r="C1628" t="s">
        <v>46</v>
      </c>
      <c r="D1628" t="s">
        <v>47</v>
      </c>
      <c r="G1628" t="s">
        <v>48</v>
      </c>
      <c r="H1628">
        <v>1</v>
      </c>
      <c r="K1628" t="s">
        <v>162</v>
      </c>
      <c r="L1628" t="s">
        <v>158</v>
      </c>
      <c r="M1628" t="s">
        <v>131</v>
      </c>
      <c r="N1628">
        <v>18</v>
      </c>
      <c r="P1628" t="s">
        <v>41</v>
      </c>
      <c r="Q1628" t="s">
        <v>42</v>
      </c>
      <c r="R1628" t="str">
        <f>"0580325"</f>
        <v>0580325</v>
      </c>
      <c r="S1628" t="s">
        <v>170</v>
      </c>
      <c r="T1628" t="s">
        <v>162</v>
      </c>
      <c r="U1628" t="s">
        <v>158</v>
      </c>
      <c r="V1628" t="s">
        <v>131</v>
      </c>
      <c r="W1628" t="s">
        <v>165</v>
      </c>
      <c r="X1628" t="s">
        <v>45</v>
      </c>
      <c r="Y1628" s="1">
        <v>24441</v>
      </c>
      <c r="Z1628">
        <v>2</v>
      </c>
      <c r="AA1628" t="s">
        <v>158</v>
      </c>
      <c r="AB1628" s="40" t="s">
        <v>1797</v>
      </c>
    </row>
    <row r="1629" spans="1:28" x14ac:dyDescent="0.25">
      <c r="A1629">
        <v>99911628</v>
      </c>
      <c r="B1629" t="s">
        <v>56</v>
      </c>
      <c r="C1629" t="s">
        <v>52</v>
      </c>
      <c r="D1629" t="s">
        <v>53</v>
      </c>
      <c r="G1629" t="s">
        <v>35</v>
      </c>
      <c r="H1629">
        <v>1</v>
      </c>
      <c r="K1629" t="s">
        <v>223</v>
      </c>
      <c r="L1629" t="s">
        <v>224</v>
      </c>
      <c r="M1629" t="s">
        <v>131</v>
      </c>
      <c r="N1629">
        <v>18</v>
      </c>
      <c r="P1629" t="s">
        <v>41</v>
      </c>
      <c r="Q1629" t="s">
        <v>49</v>
      </c>
      <c r="R1629" t="str">
        <f>"0591907"</f>
        <v>0591907</v>
      </c>
      <c r="S1629" t="s">
        <v>243</v>
      </c>
      <c r="T1629" t="s">
        <v>223</v>
      </c>
      <c r="U1629" t="s">
        <v>224</v>
      </c>
      <c r="V1629" t="s">
        <v>131</v>
      </c>
      <c r="W1629" t="s">
        <v>51</v>
      </c>
      <c r="X1629" t="s">
        <v>45</v>
      </c>
      <c r="Y1629" s="1">
        <v>24439</v>
      </c>
      <c r="Z1629">
        <v>2</v>
      </c>
      <c r="AA1629" t="s">
        <v>224</v>
      </c>
      <c r="AB1629" s="40" t="s">
        <v>1797</v>
      </c>
    </row>
    <row r="1630" spans="1:28" x14ac:dyDescent="0.25">
      <c r="A1630">
        <v>99911629</v>
      </c>
      <c r="B1630" t="s">
        <v>32</v>
      </c>
      <c r="C1630" t="s">
        <v>85</v>
      </c>
      <c r="D1630" t="s">
        <v>86</v>
      </c>
      <c r="G1630" t="s">
        <v>48</v>
      </c>
      <c r="H1630">
        <v>1</v>
      </c>
      <c r="K1630" t="s">
        <v>157</v>
      </c>
      <c r="L1630" t="s">
        <v>158</v>
      </c>
      <c r="M1630" t="s">
        <v>131</v>
      </c>
      <c r="N1630">
        <v>18</v>
      </c>
      <c r="P1630" t="s">
        <v>41</v>
      </c>
      <c r="Q1630" t="s">
        <v>49</v>
      </c>
      <c r="R1630" t="str">
        <f>"0560010"</f>
        <v>0560010</v>
      </c>
      <c r="S1630" t="s">
        <v>179</v>
      </c>
      <c r="T1630" t="s">
        <v>157</v>
      </c>
      <c r="U1630" t="s">
        <v>158</v>
      </c>
      <c r="V1630" t="s">
        <v>131</v>
      </c>
      <c r="W1630" t="s">
        <v>51</v>
      </c>
      <c r="X1630" t="s">
        <v>45</v>
      </c>
      <c r="Y1630" s="1">
        <v>24435</v>
      </c>
      <c r="Z1630">
        <v>2</v>
      </c>
      <c r="AA1630" t="s">
        <v>158</v>
      </c>
      <c r="AB1630" s="40" t="s">
        <v>1797</v>
      </c>
    </row>
    <row r="1631" spans="1:28" x14ac:dyDescent="0.25">
      <c r="A1631">
        <v>99911630</v>
      </c>
      <c r="B1631" t="s">
        <v>32</v>
      </c>
      <c r="C1631" t="s">
        <v>58</v>
      </c>
      <c r="D1631" t="s">
        <v>59</v>
      </c>
      <c r="G1631" t="s">
        <v>48</v>
      </c>
      <c r="H1631">
        <v>2</v>
      </c>
      <c r="K1631" t="s">
        <v>129</v>
      </c>
      <c r="L1631" t="s">
        <v>130</v>
      </c>
      <c r="M1631" t="s">
        <v>131</v>
      </c>
      <c r="N1631">
        <v>18</v>
      </c>
      <c r="P1631" t="s">
        <v>41</v>
      </c>
      <c r="Q1631" t="s">
        <v>49</v>
      </c>
      <c r="R1631" t="str">
        <f>"0591905"</f>
        <v>0591905</v>
      </c>
      <c r="S1631" t="s">
        <v>135</v>
      </c>
      <c r="T1631" t="s">
        <v>129</v>
      </c>
      <c r="U1631" t="s">
        <v>130</v>
      </c>
      <c r="V1631" t="s">
        <v>131</v>
      </c>
      <c r="W1631" t="s">
        <v>51</v>
      </c>
      <c r="X1631" t="s">
        <v>45</v>
      </c>
      <c r="Y1631" s="1">
        <v>24423</v>
      </c>
      <c r="Z1631">
        <v>2</v>
      </c>
      <c r="AA1631" t="s">
        <v>130</v>
      </c>
      <c r="AB1631" s="40" t="s">
        <v>1797</v>
      </c>
    </row>
    <row r="1632" spans="1:28" x14ac:dyDescent="0.25">
      <c r="A1632">
        <v>99911631</v>
      </c>
      <c r="B1632" t="s">
        <v>32</v>
      </c>
      <c r="C1632" t="s">
        <v>46</v>
      </c>
      <c r="D1632" t="s">
        <v>47</v>
      </c>
      <c r="G1632" t="s">
        <v>48</v>
      </c>
      <c r="H1632">
        <v>1</v>
      </c>
      <c r="K1632" t="s">
        <v>223</v>
      </c>
      <c r="L1632" t="s">
        <v>224</v>
      </c>
      <c r="M1632" t="s">
        <v>131</v>
      </c>
      <c r="N1632">
        <v>18</v>
      </c>
      <c r="P1632" t="s">
        <v>41</v>
      </c>
      <c r="Q1632" t="s">
        <v>42</v>
      </c>
      <c r="R1632" t="str">
        <f>"0580200"</f>
        <v>0580200</v>
      </c>
      <c r="S1632" t="s">
        <v>245</v>
      </c>
      <c r="T1632" t="s">
        <v>223</v>
      </c>
      <c r="U1632" t="s">
        <v>224</v>
      </c>
      <c r="V1632" t="s">
        <v>131</v>
      </c>
      <c r="W1632" t="s">
        <v>51</v>
      </c>
      <c r="X1632" t="s">
        <v>45</v>
      </c>
      <c r="Y1632" s="1">
        <v>24423</v>
      </c>
      <c r="Z1632">
        <v>2</v>
      </c>
      <c r="AA1632" t="s">
        <v>224</v>
      </c>
      <c r="AB1632" s="40" t="s">
        <v>1797</v>
      </c>
    </row>
    <row r="1633" spans="1:28" x14ac:dyDescent="0.25">
      <c r="A1633">
        <v>99911632</v>
      </c>
      <c r="B1633" t="s">
        <v>32</v>
      </c>
      <c r="C1633" t="s">
        <v>46</v>
      </c>
      <c r="D1633" t="s">
        <v>47</v>
      </c>
      <c r="G1633" t="s">
        <v>35</v>
      </c>
      <c r="H1633">
        <v>1</v>
      </c>
      <c r="K1633" t="s">
        <v>223</v>
      </c>
      <c r="L1633" t="s">
        <v>224</v>
      </c>
      <c r="M1633" t="s">
        <v>131</v>
      </c>
      <c r="N1633">
        <v>18</v>
      </c>
      <c r="P1633" t="s">
        <v>41</v>
      </c>
      <c r="Q1633" t="s">
        <v>42</v>
      </c>
      <c r="R1633" t="str">
        <f>"0590901"</f>
        <v>0590901</v>
      </c>
      <c r="S1633" t="s">
        <v>242</v>
      </c>
      <c r="T1633" t="s">
        <v>223</v>
      </c>
      <c r="U1633" t="s">
        <v>224</v>
      </c>
      <c r="V1633" t="s">
        <v>131</v>
      </c>
      <c r="W1633" t="s">
        <v>165</v>
      </c>
      <c r="X1633" t="s">
        <v>45</v>
      </c>
      <c r="Y1633" s="1">
        <v>24411</v>
      </c>
      <c r="Z1633">
        <v>2</v>
      </c>
      <c r="AA1633" t="s">
        <v>224</v>
      </c>
      <c r="AB1633" s="40" t="s">
        <v>1797</v>
      </c>
    </row>
    <row r="1634" spans="1:28" x14ac:dyDescent="0.25">
      <c r="A1634">
        <v>99911633</v>
      </c>
      <c r="B1634" t="s">
        <v>56</v>
      </c>
      <c r="C1634" t="s">
        <v>46</v>
      </c>
      <c r="D1634" t="s">
        <v>47</v>
      </c>
      <c r="G1634" t="s">
        <v>48</v>
      </c>
      <c r="H1634">
        <v>1</v>
      </c>
      <c r="K1634" t="s">
        <v>1268</v>
      </c>
      <c r="L1634" t="s">
        <v>1269</v>
      </c>
      <c r="M1634" t="s">
        <v>1270</v>
      </c>
      <c r="N1634">
        <v>18</v>
      </c>
      <c r="P1634" t="s">
        <v>41</v>
      </c>
      <c r="Q1634" t="s">
        <v>42</v>
      </c>
      <c r="R1634" t="str">
        <f>"1990911"</f>
        <v>1990911</v>
      </c>
      <c r="S1634" t="s">
        <v>1276</v>
      </c>
      <c r="T1634" t="s">
        <v>1268</v>
      </c>
      <c r="U1634" t="s">
        <v>1269</v>
      </c>
      <c r="V1634" t="s">
        <v>1270</v>
      </c>
      <c r="W1634" t="s">
        <v>51</v>
      </c>
      <c r="X1634" t="s">
        <v>45</v>
      </c>
      <c r="Y1634" s="1">
        <v>24397</v>
      </c>
      <c r="Z1634">
        <v>2</v>
      </c>
      <c r="AA1634" t="s">
        <v>1269</v>
      </c>
      <c r="AB1634" s="40" t="s">
        <v>1797</v>
      </c>
    </row>
    <row r="1635" spans="1:28" x14ac:dyDescent="0.25">
      <c r="A1635">
        <v>99911634</v>
      </c>
      <c r="B1635" t="s">
        <v>32</v>
      </c>
      <c r="C1635" t="s">
        <v>46</v>
      </c>
      <c r="D1635" t="s">
        <v>47</v>
      </c>
      <c r="G1635" t="s">
        <v>35</v>
      </c>
      <c r="H1635">
        <v>1</v>
      </c>
      <c r="K1635" t="s">
        <v>223</v>
      </c>
      <c r="L1635" t="s">
        <v>224</v>
      </c>
      <c r="M1635" t="s">
        <v>131</v>
      </c>
      <c r="N1635">
        <v>18</v>
      </c>
      <c r="P1635" t="s">
        <v>41</v>
      </c>
      <c r="Q1635" t="s">
        <v>42</v>
      </c>
      <c r="R1635" t="str">
        <f>"0590901"</f>
        <v>0590901</v>
      </c>
      <c r="S1635" t="s">
        <v>242</v>
      </c>
      <c r="T1635" t="s">
        <v>223</v>
      </c>
      <c r="U1635" t="s">
        <v>224</v>
      </c>
      <c r="V1635" t="s">
        <v>131</v>
      </c>
      <c r="W1635" t="s">
        <v>165</v>
      </c>
      <c r="X1635" t="s">
        <v>45</v>
      </c>
      <c r="Y1635" s="1">
        <v>24396</v>
      </c>
      <c r="Z1635">
        <v>2</v>
      </c>
      <c r="AA1635" t="s">
        <v>224</v>
      </c>
      <c r="AB1635" s="40" t="s">
        <v>1797</v>
      </c>
    </row>
    <row r="1636" spans="1:28" x14ac:dyDescent="0.25">
      <c r="A1636">
        <v>99911635</v>
      </c>
      <c r="B1636" t="s">
        <v>32</v>
      </c>
      <c r="C1636" t="s">
        <v>46</v>
      </c>
      <c r="D1636" t="s">
        <v>47</v>
      </c>
      <c r="G1636" t="s">
        <v>48</v>
      </c>
      <c r="H1636">
        <v>1</v>
      </c>
      <c r="K1636" t="s">
        <v>223</v>
      </c>
      <c r="L1636" t="s">
        <v>224</v>
      </c>
      <c r="M1636" t="s">
        <v>131</v>
      </c>
      <c r="N1636">
        <v>18</v>
      </c>
      <c r="P1636" t="s">
        <v>41</v>
      </c>
      <c r="Q1636" t="s">
        <v>42</v>
      </c>
      <c r="R1636" t="str">
        <f>"0580203"</f>
        <v>0580203</v>
      </c>
      <c r="S1636" t="s">
        <v>239</v>
      </c>
      <c r="T1636" t="s">
        <v>223</v>
      </c>
      <c r="U1636" t="s">
        <v>224</v>
      </c>
      <c r="V1636" t="s">
        <v>131</v>
      </c>
      <c r="W1636" t="s">
        <v>165</v>
      </c>
      <c r="X1636" t="s">
        <v>45</v>
      </c>
      <c r="Y1636" s="1">
        <v>24394</v>
      </c>
      <c r="Z1636">
        <v>2</v>
      </c>
      <c r="AA1636" t="s">
        <v>224</v>
      </c>
      <c r="AB1636" s="40" t="s">
        <v>1797</v>
      </c>
    </row>
    <row r="1637" spans="1:28" x14ac:dyDescent="0.25">
      <c r="A1637">
        <v>99911636</v>
      </c>
      <c r="B1637" t="s">
        <v>56</v>
      </c>
      <c r="C1637" t="s">
        <v>1282</v>
      </c>
      <c r="D1637" t="s">
        <v>1283</v>
      </c>
      <c r="G1637" t="s">
        <v>35</v>
      </c>
      <c r="H1637">
        <v>1</v>
      </c>
      <c r="K1637" t="s">
        <v>1268</v>
      </c>
      <c r="L1637" t="s">
        <v>1269</v>
      </c>
      <c r="M1637" t="s">
        <v>1270</v>
      </c>
      <c r="N1637">
        <v>18</v>
      </c>
      <c r="P1637" t="s">
        <v>41</v>
      </c>
      <c r="Q1637" t="s">
        <v>922</v>
      </c>
      <c r="R1637" t="str">
        <f>"1950001"</f>
        <v>1950001</v>
      </c>
      <c r="S1637" t="s">
        <v>1284</v>
      </c>
      <c r="T1637" t="s">
        <v>1268</v>
      </c>
      <c r="U1637" t="s">
        <v>1269</v>
      </c>
      <c r="V1637" t="s">
        <v>1270</v>
      </c>
      <c r="W1637" t="s">
        <v>51</v>
      </c>
      <c r="X1637" t="s">
        <v>45</v>
      </c>
      <c r="Y1637" s="1">
        <v>24367</v>
      </c>
      <c r="Z1637">
        <v>2</v>
      </c>
      <c r="AA1637" t="s">
        <v>1269</v>
      </c>
      <c r="AB1637" s="40" t="s">
        <v>1797</v>
      </c>
    </row>
    <row r="1638" spans="1:28" x14ac:dyDescent="0.25">
      <c r="A1638">
        <v>99911637</v>
      </c>
      <c r="B1638" t="s">
        <v>32</v>
      </c>
      <c r="C1638" t="s">
        <v>46</v>
      </c>
      <c r="D1638" t="s">
        <v>47</v>
      </c>
      <c r="G1638" t="s">
        <v>48</v>
      </c>
      <c r="H1638">
        <v>1</v>
      </c>
      <c r="K1638" t="s">
        <v>223</v>
      </c>
      <c r="L1638" t="s">
        <v>224</v>
      </c>
      <c r="M1638" t="s">
        <v>131</v>
      </c>
      <c r="N1638">
        <v>18</v>
      </c>
      <c r="P1638" t="s">
        <v>41</v>
      </c>
      <c r="Q1638" t="s">
        <v>49</v>
      </c>
      <c r="R1638" t="str">
        <f>"0509999"</f>
        <v>0509999</v>
      </c>
      <c r="S1638" t="s">
        <v>247</v>
      </c>
      <c r="T1638" t="s">
        <v>223</v>
      </c>
      <c r="U1638" t="s">
        <v>224</v>
      </c>
      <c r="V1638" t="s">
        <v>131</v>
      </c>
      <c r="W1638" t="s">
        <v>51</v>
      </c>
      <c r="X1638" t="s">
        <v>45</v>
      </c>
      <c r="Y1638" s="1">
        <v>24364</v>
      </c>
      <c r="Z1638">
        <v>2</v>
      </c>
      <c r="AA1638" t="s">
        <v>224</v>
      </c>
      <c r="AB1638" s="40" t="s">
        <v>1797</v>
      </c>
    </row>
    <row r="1639" spans="1:28" x14ac:dyDescent="0.25">
      <c r="A1639">
        <v>99911638</v>
      </c>
      <c r="B1639" t="s">
        <v>56</v>
      </c>
      <c r="C1639" t="s">
        <v>46</v>
      </c>
      <c r="D1639" t="s">
        <v>47</v>
      </c>
      <c r="G1639" t="s">
        <v>35</v>
      </c>
      <c r="H1639">
        <v>1</v>
      </c>
      <c r="K1639" t="s">
        <v>223</v>
      </c>
      <c r="L1639" t="s">
        <v>224</v>
      </c>
      <c r="M1639" t="s">
        <v>131</v>
      </c>
      <c r="N1639">
        <v>18</v>
      </c>
      <c r="P1639" t="s">
        <v>41</v>
      </c>
      <c r="Q1639" t="s">
        <v>49</v>
      </c>
      <c r="R1639" t="str">
        <f>"0591901"</f>
        <v>0591901</v>
      </c>
      <c r="S1639" t="s">
        <v>230</v>
      </c>
      <c r="T1639" t="s">
        <v>223</v>
      </c>
      <c r="U1639" t="s">
        <v>224</v>
      </c>
      <c r="V1639" t="s">
        <v>131</v>
      </c>
      <c r="W1639" t="s">
        <v>165</v>
      </c>
      <c r="X1639" t="s">
        <v>45</v>
      </c>
      <c r="Y1639" s="1">
        <v>24358</v>
      </c>
      <c r="Z1639">
        <v>2</v>
      </c>
      <c r="AA1639" t="s">
        <v>224</v>
      </c>
      <c r="AB1639" s="40" t="s">
        <v>1797</v>
      </c>
    </row>
    <row r="1640" spans="1:28" x14ac:dyDescent="0.25">
      <c r="A1640">
        <v>99911639</v>
      </c>
      <c r="B1640" t="s">
        <v>32</v>
      </c>
      <c r="C1640" t="s">
        <v>79</v>
      </c>
      <c r="D1640" t="s">
        <v>80</v>
      </c>
      <c r="G1640" t="s">
        <v>48</v>
      </c>
      <c r="H1640">
        <v>14</v>
      </c>
      <c r="I1640" t="s">
        <v>210</v>
      </c>
      <c r="J1640" s="1">
        <v>37500</v>
      </c>
      <c r="K1640" t="s">
        <v>431</v>
      </c>
      <c r="L1640" t="s">
        <v>196</v>
      </c>
      <c r="M1640" t="s">
        <v>131</v>
      </c>
      <c r="N1640">
        <v>18</v>
      </c>
      <c r="O1640" s="1">
        <v>37500</v>
      </c>
      <c r="P1640" t="s">
        <v>41</v>
      </c>
      <c r="Q1640" t="s">
        <v>75</v>
      </c>
      <c r="R1640" t="str">
        <f>"7521022"</f>
        <v>7521022</v>
      </c>
      <c r="S1640" t="s">
        <v>445</v>
      </c>
      <c r="T1640" t="s">
        <v>431</v>
      </c>
      <c r="U1640" t="s">
        <v>196</v>
      </c>
      <c r="V1640" t="s">
        <v>131</v>
      </c>
      <c r="W1640" t="s">
        <v>51</v>
      </c>
      <c r="X1640" t="s">
        <v>45</v>
      </c>
      <c r="Y1640" s="1">
        <v>24355</v>
      </c>
      <c r="Z1640">
        <v>1</v>
      </c>
      <c r="AA1640" t="s">
        <v>196</v>
      </c>
      <c r="AB1640" s="40" t="s">
        <v>1797</v>
      </c>
    </row>
    <row r="1641" spans="1:28" x14ac:dyDescent="0.25">
      <c r="A1641">
        <v>99911640</v>
      </c>
      <c r="B1641" t="s">
        <v>56</v>
      </c>
      <c r="C1641" t="s">
        <v>46</v>
      </c>
      <c r="D1641" t="s">
        <v>47</v>
      </c>
      <c r="G1641" t="s">
        <v>48</v>
      </c>
      <c r="H1641">
        <v>1</v>
      </c>
      <c r="K1641" t="s">
        <v>345</v>
      </c>
      <c r="L1641" t="s">
        <v>346</v>
      </c>
      <c r="M1641" t="s">
        <v>131</v>
      </c>
      <c r="N1641">
        <v>18</v>
      </c>
      <c r="P1641" t="s">
        <v>41</v>
      </c>
      <c r="Q1641" t="s">
        <v>42</v>
      </c>
      <c r="R1641" t="str">
        <f>"0580931"</f>
        <v>0580931</v>
      </c>
      <c r="S1641" t="s">
        <v>369</v>
      </c>
      <c r="T1641" t="s">
        <v>345</v>
      </c>
      <c r="U1641" t="s">
        <v>346</v>
      </c>
      <c r="V1641" t="s">
        <v>131</v>
      </c>
      <c r="W1641" t="s">
        <v>51</v>
      </c>
      <c r="X1641" t="s">
        <v>45</v>
      </c>
      <c r="Y1641" s="1">
        <v>24342</v>
      </c>
      <c r="Z1641">
        <v>2</v>
      </c>
      <c r="AA1641" t="s">
        <v>346</v>
      </c>
      <c r="AB1641" s="40" t="s">
        <v>1797</v>
      </c>
    </row>
    <row r="1642" spans="1:28" x14ac:dyDescent="0.25">
      <c r="A1642">
        <v>99911641</v>
      </c>
      <c r="B1642" t="s">
        <v>56</v>
      </c>
      <c r="C1642" t="s">
        <v>79</v>
      </c>
      <c r="D1642" t="s">
        <v>80</v>
      </c>
      <c r="G1642" t="s">
        <v>35</v>
      </c>
      <c r="H1642">
        <v>1</v>
      </c>
      <c r="K1642" t="s">
        <v>223</v>
      </c>
      <c r="L1642" t="s">
        <v>224</v>
      </c>
      <c r="M1642" t="s">
        <v>131</v>
      </c>
      <c r="N1642">
        <v>18</v>
      </c>
      <c r="P1642" t="s">
        <v>41</v>
      </c>
      <c r="Q1642" t="s">
        <v>42</v>
      </c>
      <c r="R1642" t="str">
        <f>"0590903"</f>
        <v>0590903</v>
      </c>
      <c r="S1642" t="s">
        <v>226</v>
      </c>
      <c r="T1642" t="s">
        <v>223</v>
      </c>
      <c r="U1642" t="s">
        <v>224</v>
      </c>
      <c r="V1642" t="s">
        <v>131</v>
      </c>
      <c r="W1642" t="s">
        <v>51</v>
      </c>
      <c r="X1642" t="s">
        <v>45</v>
      </c>
      <c r="Y1642" s="1">
        <v>24338</v>
      </c>
      <c r="Z1642">
        <v>2</v>
      </c>
      <c r="AA1642" t="s">
        <v>224</v>
      </c>
      <c r="AB1642" s="40" t="s">
        <v>1797</v>
      </c>
    </row>
    <row r="1643" spans="1:28" x14ac:dyDescent="0.25">
      <c r="A1643">
        <v>99911642</v>
      </c>
      <c r="B1643" t="s">
        <v>32</v>
      </c>
      <c r="C1643" t="s">
        <v>85</v>
      </c>
      <c r="D1643" t="s">
        <v>86</v>
      </c>
      <c r="G1643" t="s">
        <v>48</v>
      </c>
      <c r="H1643">
        <v>1</v>
      </c>
      <c r="K1643" t="s">
        <v>380</v>
      </c>
      <c r="L1643" t="s">
        <v>381</v>
      </c>
      <c r="M1643" t="s">
        <v>131</v>
      </c>
      <c r="N1643">
        <v>18</v>
      </c>
      <c r="P1643" t="s">
        <v>41</v>
      </c>
      <c r="Q1643" t="s">
        <v>49</v>
      </c>
      <c r="R1643" t="str">
        <f>"0591908"</f>
        <v>0591908</v>
      </c>
      <c r="S1643" t="s">
        <v>383</v>
      </c>
      <c r="T1643" t="s">
        <v>380</v>
      </c>
      <c r="U1643" t="s">
        <v>381</v>
      </c>
      <c r="V1643" t="s">
        <v>131</v>
      </c>
      <c r="W1643" t="s">
        <v>51</v>
      </c>
      <c r="X1643" t="s">
        <v>45</v>
      </c>
      <c r="Y1643" s="1">
        <v>24296</v>
      </c>
      <c r="Z1643">
        <v>2</v>
      </c>
      <c r="AA1643" t="s">
        <v>381</v>
      </c>
      <c r="AB1643" s="40" t="s">
        <v>1797</v>
      </c>
    </row>
    <row r="1644" spans="1:28" x14ac:dyDescent="0.25">
      <c r="A1644">
        <v>99911643</v>
      </c>
      <c r="B1644" t="s">
        <v>56</v>
      </c>
      <c r="C1644" t="s">
        <v>52</v>
      </c>
      <c r="D1644" t="s">
        <v>53</v>
      </c>
      <c r="G1644" t="s">
        <v>48</v>
      </c>
      <c r="H1644">
        <v>1</v>
      </c>
      <c r="K1644" t="s">
        <v>300</v>
      </c>
      <c r="L1644" t="s">
        <v>301</v>
      </c>
      <c r="M1644" t="s">
        <v>131</v>
      </c>
      <c r="N1644">
        <v>18</v>
      </c>
      <c r="P1644" t="s">
        <v>41</v>
      </c>
      <c r="Q1644" t="s">
        <v>42</v>
      </c>
      <c r="R1644" t="str">
        <f>"0561001"</f>
        <v>0561001</v>
      </c>
      <c r="S1644" t="s">
        <v>308</v>
      </c>
      <c r="T1644" t="s">
        <v>300</v>
      </c>
      <c r="U1644" t="s">
        <v>301</v>
      </c>
      <c r="V1644" t="s">
        <v>131</v>
      </c>
      <c r="W1644" t="s">
        <v>51</v>
      </c>
      <c r="X1644" t="s">
        <v>45</v>
      </c>
      <c r="Y1644" s="1">
        <v>24279</v>
      </c>
      <c r="Z1644">
        <v>2</v>
      </c>
      <c r="AA1644" t="s">
        <v>301</v>
      </c>
      <c r="AB1644" s="40" t="s">
        <v>1797</v>
      </c>
    </row>
    <row r="1645" spans="1:28" x14ac:dyDescent="0.25">
      <c r="A1645">
        <v>99911644</v>
      </c>
      <c r="B1645" t="s">
        <v>32</v>
      </c>
      <c r="C1645" t="s">
        <v>33</v>
      </c>
      <c r="D1645" t="s">
        <v>34</v>
      </c>
      <c r="G1645" t="s">
        <v>48</v>
      </c>
      <c r="H1645">
        <v>1</v>
      </c>
      <c r="K1645" t="s">
        <v>345</v>
      </c>
      <c r="L1645" t="s">
        <v>346</v>
      </c>
      <c r="M1645" t="s">
        <v>131</v>
      </c>
      <c r="N1645">
        <v>18</v>
      </c>
      <c r="P1645" t="s">
        <v>41</v>
      </c>
      <c r="Q1645" t="s">
        <v>42</v>
      </c>
      <c r="R1645" t="str">
        <f>"0590906"</f>
        <v>0590906</v>
      </c>
      <c r="S1645" t="s">
        <v>361</v>
      </c>
      <c r="T1645" t="s">
        <v>345</v>
      </c>
      <c r="U1645" t="s">
        <v>346</v>
      </c>
      <c r="V1645" t="s">
        <v>131</v>
      </c>
      <c r="W1645" t="s">
        <v>51</v>
      </c>
      <c r="X1645" t="s">
        <v>45</v>
      </c>
      <c r="Y1645" s="1">
        <v>24258</v>
      </c>
      <c r="Z1645">
        <v>2</v>
      </c>
      <c r="AA1645" t="s">
        <v>346</v>
      </c>
      <c r="AB1645" s="40" t="s">
        <v>1797</v>
      </c>
    </row>
    <row r="1646" spans="1:28" x14ac:dyDescent="0.25">
      <c r="A1646">
        <v>99911645</v>
      </c>
      <c r="B1646" t="s">
        <v>32</v>
      </c>
      <c r="C1646" t="s">
        <v>71</v>
      </c>
      <c r="D1646" t="s">
        <v>72</v>
      </c>
      <c r="G1646" t="s">
        <v>48</v>
      </c>
      <c r="H1646">
        <v>1</v>
      </c>
      <c r="K1646" t="s">
        <v>223</v>
      </c>
      <c r="L1646" t="s">
        <v>224</v>
      </c>
      <c r="M1646" t="s">
        <v>131</v>
      </c>
      <c r="N1646">
        <v>18</v>
      </c>
      <c r="P1646" t="s">
        <v>41</v>
      </c>
      <c r="Q1646" t="s">
        <v>49</v>
      </c>
      <c r="R1646" t="str">
        <f>"0581204"</f>
        <v>0581204</v>
      </c>
      <c r="S1646" t="s">
        <v>249</v>
      </c>
      <c r="T1646" t="s">
        <v>223</v>
      </c>
      <c r="U1646" t="s">
        <v>224</v>
      </c>
      <c r="V1646" t="s">
        <v>131</v>
      </c>
      <c r="W1646" t="s">
        <v>165</v>
      </c>
      <c r="X1646" t="s">
        <v>45</v>
      </c>
      <c r="Y1646" s="1">
        <v>24240</v>
      </c>
      <c r="Z1646">
        <v>2</v>
      </c>
      <c r="AA1646" t="s">
        <v>224</v>
      </c>
      <c r="AB1646" s="40" t="s">
        <v>1797</v>
      </c>
    </row>
    <row r="1647" spans="1:28" x14ac:dyDescent="0.25">
      <c r="A1647">
        <v>99911646</v>
      </c>
      <c r="B1647" t="s">
        <v>32</v>
      </c>
      <c r="C1647" t="s">
        <v>64</v>
      </c>
      <c r="D1647" t="s">
        <v>65</v>
      </c>
      <c r="G1647" t="s">
        <v>35</v>
      </c>
      <c r="H1647">
        <v>1</v>
      </c>
      <c r="I1647" t="s">
        <v>348</v>
      </c>
      <c r="J1647" s="1">
        <v>43344</v>
      </c>
      <c r="K1647" t="s">
        <v>345</v>
      </c>
      <c r="L1647" t="s">
        <v>346</v>
      </c>
      <c r="M1647" t="s">
        <v>131</v>
      </c>
      <c r="N1647">
        <v>18</v>
      </c>
      <c r="O1647" s="1">
        <v>43344</v>
      </c>
      <c r="P1647" t="s">
        <v>41</v>
      </c>
      <c r="Q1647" t="s">
        <v>42</v>
      </c>
      <c r="R1647" t="str">
        <f>"0580155"</f>
        <v>0580155</v>
      </c>
      <c r="S1647" t="s">
        <v>365</v>
      </c>
      <c r="T1647" t="s">
        <v>345</v>
      </c>
      <c r="U1647" t="s">
        <v>346</v>
      </c>
      <c r="V1647" t="s">
        <v>131</v>
      </c>
      <c r="W1647" t="s">
        <v>51</v>
      </c>
      <c r="X1647" t="s">
        <v>45</v>
      </c>
      <c r="Y1647" s="1">
        <v>24238</v>
      </c>
      <c r="Z1647">
        <v>2</v>
      </c>
      <c r="AA1647" t="s">
        <v>346</v>
      </c>
      <c r="AB1647" s="40" t="s">
        <v>1797</v>
      </c>
    </row>
    <row r="1648" spans="1:28" x14ac:dyDescent="0.25">
      <c r="A1648">
        <v>99911647</v>
      </c>
      <c r="B1648" t="s">
        <v>32</v>
      </c>
      <c r="C1648" t="s">
        <v>79</v>
      </c>
      <c r="D1648" t="s">
        <v>80</v>
      </c>
      <c r="G1648" t="s">
        <v>48</v>
      </c>
      <c r="H1648">
        <v>1</v>
      </c>
      <c r="K1648" t="s">
        <v>268</v>
      </c>
      <c r="L1648" t="s">
        <v>269</v>
      </c>
      <c r="M1648" t="s">
        <v>131</v>
      </c>
      <c r="N1648">
        <v>18</v>
      </c>
      <c r="P1648" t="s">
        <v>41</v>
      </c>
      <c r="Q1648" t="s">
        <v>75</v>
      </c>
      <c r="R1648" t="str">
        <f>"7052008"</f>
        <v>7052008</v>
      </c>
      <c r="S1648" t="s">
        <v>274</v>
      </c>
      <c r="T1648" t="s">
        <v>268</v>
      </c>
      <c r="U1648" t="s">
        <v>269</v>
      </c>
      <c r="V1648" t="s">
        <v>131</v>
      </c>
      <c r="W1648" t="s">
        <v>51</v>
      </c>
      <c r="X1648" t="s">
        <v>45</v>
      </c>
      <c r="Y1648" s="1">
        <v>24235</v>
      </c>
      <c r="Z1648">
        <v>1</v>
      </c>
      <c r="AA1648" t="s">
        <v>269</v>
      </c>
      <c r="AB1648" s="40" t="s">
        <v>1797</v>
      </c>
    </row>
    <row r="1649" spans="1:28" x14ac:dyDescent="0.25">
      <c r="A1649">
        <v>99911648</v>
      </c>
      <c r="B1649" t="s">
        <v>32</v>
      </c>
      <c r="C1649" t="s">
        <v>46</v>
      </c>
      <c r="D1649" t="s">
        <v>47</v>
      </c>
      <c r="G1649" t="s">
        <v>48</v>
      </c>
      <c r="H1649">
        <v>1</v>
      </c>
      <c r="K1649" t="s">
        <v>223</v>
      </c>
      <c r="L1649" t="s">
        <v>224</v>
      </c>
      <c r="M1649" t="s">
        <v>131</v>
      </c>
      <c r="N1649">
        <v>18</v>
      </c>
      <c r="P1649" t="s">
        <v>41</v>
      </c>
      <c r="Q1649" t="s">
        <v>42</v>
      </c>
      <c r="R1649" t="str">
        <f>"0580200"</f>
        <v>0580200</v>
      </c>
      <c r="S1649" t="s">
        <v>245</v>
      </c>
      <c r="T1649" t="s">
        <v>223</v>
      </c>
      <c r="U1649" t="s">
        <v>224</v>
      </c>
      <c r="V1649" t="s">
        <v>131</v>
      </c>
      <c r="W1649" t="s">
        <v>51</v>
      </c>
      <c r="X1649" t="s">
        <v>45</v>
      </c>
      <c r="Y1649" s="1">
        <v>24216</v>
      </c>
      <c r="Z1649">
        <v>2</v>
      </c>
      <c r="AA1649" t="s">
        <v>224</v>
      </c>
      <c r="AB1649" s="40" t="s">
        <v>1797</v>
      </c>
    </row>
    <row r="1650" spans="1:28" x14ac:dyDescent="0.25">
      <c r="A1650">
        <v>99911649</v>
      </c>
      <c r="B1650" t="s">
        <v>32</v>
      </c>
      <c r="C1650" t="s">
        <v>71</v>
      </c>
      <c r="D1650" t="s">
        <v>72</v>
      </c>
      <c r="G1650" t="s">
        <v>48</v>
      </c>
      <c r="H1650">
        <v>1</v>
      </c>
      <c r="K1650" t="s">
        <v>223</v>
      </c>
      <c r="L1650" t="s">
        <v>224</v>
      </c>
      <c r="M1650" t="s">
        <v>131</v>
      </c>
      <c r="N1650">
        <v>18</v>
      </c>
      <c r="P1650" t="s">
        <v>41</v>
      </c>
      <c r="Q1650" t="s">
        <v>49</v>
      </c>
      <c r="R1650" t="str">
        <f>"0581200"</f>
        <v>0581200</v>
      </c>
      <c r="S1650" t="s">
        <v>238</v>
      </c>
      <c r="T1650" t="s">
        <v>223</v>
      </c>
      <c r="U1650" t="s">
        <v>224</v>
      </c>
      <c r="V1650" t="s">
        <v>131</v>
      </c>
      <c r="W1650" t="s">
        <v>51</v>
      </c>
      <c r="X1650" t="s">
        <v>45</v>
      </c>
      <c r="Y1650" s="1">
        <v>24208</v>
      </c>
      <c r="Z1650">
        <v>2</v>
      </c>
      <c r="AA1650" t="s">
        <v>224</v>
      </c>
      <c r="AB1650" s="40" t="s">
        <v>1797</v>
      </c>
    </row>
    <row r="1651" spans="1:28" x14ac:dyDescent="0.25">
      <c r="A1651">
        <v>99911650</v>
      </c>
      <c r="B1651" t="s">
        <v>32</v>
      </c>
      <c r="C1651" t="s">
        <v>145</v>
      </c>
      <c r="D1651" t="s">
        <v>146</v>
      </c>
      <c r="G1651" t="s">
        <v>48</v>
      </c>
      <c r="H1651">
        <v>1</v>
      </c>
      <c r="K1651" t="s">
        <v>162</v>
      </c>
      <c r="L1651" t="s">
        <v>158</v>
      </c>
      <c r="M1651" t="s">
        <v>131</v>
      </c>
      <c r="N1651">
        <v>18</v>
      </c>
      <c r="P1651" t="s">
        <v>41</v>
      </c>
      <c r="Q1651" t="s">
        <v>42</v>
      </c>
      <c r="R1651" t="str">
        <f>"0580325"</f>
        <v>0580325</v>
      </c>
      <c r="S1651" t="s">
        <v>170</v>
      </c>
      <c r="T1651" t="s">
        <v>162</v>
      </c>
      <c r="U1651" t="s">
        <v>158</v>
      </c>
      <c r="V1651" t="s">
        <v>131</v>
      </c>
      <c r="W1651" t="s">
        <v>165</v>
      </c>
      <c r="X1651" t="s">
        <v>45</v>
      </c>
      <c r="Y1651" s="1">
        <v>24197</v>
      </c>
      <c r="Z1651">
        <v>2</v>
      </c>
      <c r="AA1651" t="s">
        <v>158</v>
      </c>
      <c r="AB1651" s="40" t="s">
        <v>1797</v>
      </c>
    </row>
    <row r="1652" spans="1:28" x14ac:dyDescent="0.25">
      <c r="A1652">
        <v>99911651</v>
      </c>
      <c r="B1652" t="s">
        <v>56</v>
      </c>
      <c r="C1652" t="s">
        <v>79</v>
      </c>
      <c r="D1652" t="s">
        <v>80</v>
      </c>
      <c r="G1652" t="s">
        <v>48</v>
      </c>
      <c r="H1652">
        <v>1</v>
      </c>
      <c r="K1652" t="s">
        <v>223</v>
      </c>
      <c r="L1652" t="s">
        <v>224</v>
      </c>
      <c r="M1652" t="s">
        <v>131</v>
      </c>
      <c r="N1652">
        <v>18</v>
      </c>
      <c r="P1652" t="s">
        <v>41</v>
      </c>
      <c r="Q1652" t="s">
        <v>49</v>
      </c>
      <c r="R1652" t="str">
        <f>"0581202"</f>
        <v>0581202</v>
      </c>
      <c r="S1652" t="s">
        <v>248</v>
      </c>
      <c r="T1652" t="s">
        <v>223</v>
      </c>
      <c r="U1652" t="s">
        <v>224</v>
      </c>
      <c r="V1652" t="s">
        <v>131</v>
      </c>
      <c r="W1652" t="s">
        <v>165</v>
      </c>
      <c r="X1652" t="s">
        <v>45</v>
      </c>
      <c r="Y1652" s="1">
        <v>24175</v>
      </c>
      <c r="Z1652">
        <v>2</v>
      </c>
      <c r="AA1652" t="s">
        <v>224</v>
      </c>
      <c r="AB1652" s="40" t="s">
        <v>1797</v>
      </c>
    </row>
    <row r="1653" spans="1:28" x14ac:dyDescent="0.25">
      <c r="A1653">
        <v>99911652</v>
      </c>
      <c r="B1653" t="s">
        <v>32</v>
      </c>
      <c r="C1653" t="s">
        <v>79</v>
      </c>
      <c r="D1653" t="s">
        <v>80</v>
      </c>
      <c r="G1653" t="s">
        <v>48</v>
      </c>
      <c r="H1653">
        <v>1</v>
      </c>
      <c r="J1653" s="1">
        <v>33117</v>
      </c>
      <c r="K1653" t="s">
        <v>1268</v>
      </c>
      <c r="L1653" t="s">
        <v>1269</v>
      </c>
      <c r="M1653" t="s">
        <v>1270</v>
      </c>
      <c r="N1653">
        <v>18</v>
      </c>
      <c r="O1653" s="1">
        <v>33117</v>
      </c>
      <c r="P1653" t="s">
        <v>41</v>
      </c>
      <c r="Q1653" t="s">
        <v>42</v>
      </c>
      <c r="R1653" t="str">
        <f>"1990910"</f>
        <v>1990910</v>
      </c>
      <c r="S1653" t="s">
        <v>1281</v>
      </c>
      <c r="T1653" t="s">
        <v>1268</v>
      </c>
      <c r="U1653" t="s">
        <v>1269</v>
      </c>
      <c r="V1653" t="s">
        <v>1270</v>
      </c>
      <c r="W1653" t="s">
        <v>51</v>
      </c>
      <c r="X1653" t="s">
        <v>45</v>
      </c>
      <c r="Y1653" s="1">
        <v>24170</v>
      </c>
      <c r="Z1653">
        <v>2</v>
      </c>
      <c r="AA1653" t="s">
        <v>1269</v>
      </c>
      <c r="AB1653" s="40" t="s">
        <v>1797</v>
      </c>
    </row>
    <row r="1654" spans="1:28" x14ac:dyDescent="0.25">
      <c r="A1654">
        <v>99911653</v>
      </c>
      <c r="B1654" t="s">
        <v>32</v>
      </c>
      <c r="C1654" t="s">
        <v>64</v>
      </c>
      <c r="D1654" t="s">
        <v>65</v>
      </c>
      <c r="G1654" t="s">
        <v>48</v>
      </c>
      <c r="H1654">
        <v>1</v>
      </c>
      <c r="K1654" t="s">
        <v>223</v>
      </c>
      <c r="L1654" t="s">
        <v>224</v>
      </c>
      <c r="M1654" t="s">
        <v>131</v>
      </c>
      <c r="N1654">
        <v>18</v>
      </c>
      <c r="P1654" t="s">
        <v>41</v>
      </c>
      <c r="Q1654" t="s">
        <v>49</v>
      </c>
      <c r="R1654" t="str">
        <f>"0581206"</f>
        <v>0581206</v>
      </c>
      <c r="S1654" t="s">
        <v>232</v>
      </c>
      <c r="T1654" t="s">
        <v>223</v>
      </c>
      <c r="U1654" t="s">
        <v>224</v>
      </c>
      <c r="V1654" t="s">
        <v>131</v>
      </c>
      <c r="W1654" t="s">
        <v>51</v>
      </c>
      <c r="X1654" t="s">
        <v>45</v>
      </c>
      <c r="Y1654" s="1">
        <v>24166</v>
      </c>
      <c r="Z1654">
        <v>2</v>
      </c>
      <c r="AA1654" t="s">
        <v>224</v>
      </c>
      <c r="AB1654" s="40" t="s">
        <v>1797</v>
      </c>
    </row>
    <row r="1655" spans="1:28" x14ac:dyDescent="0.25">
      <c r="A1655">
        <v>99911654</v>
      </c>
      <c r="B1655" t="s">
        <v>56</v>
      </c>
      <c r="C1655" t="s">
        <v>68</v>
      </c>
      <c r="D1655" t="s">
        <v>69</v>
      </c>
      <c r="G1655" t="s">
        <v>48</v>
      </c>
      <c r="H1655">
        <v>1</v>
      </c>
      <c r="K1655" t="s">
        <v>162</v>
      </c>
      <c r="L1655" t="s">
        <v>158</v>
      </c>
      <c r="M1655" t="s">
        <v>131</v>
      </c>
      <c r="N1655">
        <v>18</v>
      </c>
      <c r="P1655" t="s">
        <v>41</v>
      </c>
      <c r="Q1655" t="s">
        <v>42</v>
      </c>
      <c r="R1655" t="str">
        <f>"0580320"</f>
        <v>0580320</v>
      </c>
      <c r="S1655" t="s">
        <v>164</v>
      </c>
      <c r="T1655" t="s">
        <v>162</v>
      </c>
      <c r="U1655" t="s">
        <v>158</v>
      </c>
      <c r="V1655" t="s">
        <v>131</v>
      </c>
      <c r="W1655" t="s">
        <v>165</v>
      </c>
      <c r="X1655" t="s">
        <v>45</v>
      </c>
      <c r="Y1655" s="1">
        <v>24164</v>
      </c>
      <c r="Z1655">
        <v>2</v>
      </c>
      <c r="AA1655" t="s">
        <v>158</v>
      </c>
      <c r="AB1655" s="40" t="s">
        <v>1797</v>
      </c>
    </row>
    <row r="1656" spans="1:28" x14ac:dyDescent="0.25">
      <c r="A1656">
        <v>99911655</v>
      </c>
      <c r="B1656" t="s">
        <v>32</v>
      </c>
      <c r="C1656" t="s">
        <v>46</v>
      </c>
      <c r="D1656" t="s">
        <v>47</v>
      </c>
      <c r="G1656" t="s">
        <v>48</v>
      </c>
      <c r="H1656">
        <v>1</v>
      </c>
      <c r="K1656" t="s">
        <v>223</v>
      </c>
      <c r="L1656" t="s">
        <v>224</v>
      </c>
      <c r="M1656" t="s">
        <v>131</v>
      </c>
      <c r="N1656">
        <v>18</v>
      </c>
      <c r="P1656" t="s">
        <v>41</v>
      </c>
      <c r="Q1656" t="s">
        <v>42</v>
      </c>
      <c r="R1656" t="str">
        <f>"0580265"</f>
        <v>0580265</v>
      </c>
      <c r="S1656" t="s">
        <v>231</v>
      </c>
      <c r="T1656" t="s">
        <v>223</v>
      </c>
      <c r="U1656" t="s">
        <v>224</v>
      </c>
      <c r="V1656" t="s">
        <v>131</v>
      </c>
      <c r="W1656" t="s">
        <v>51</v>
      </c>
      <c r="X1656" t="s">
        <v>45</v>
      </c>
      <c r="Y1656" s="1">
        <v>24162</v>
      </c>
      <c r="Z1656">
        <v>2</v>
      </c>
      <c r="AA1656" t="s">
        <v>224</v>
      </c>
      <c r="AB1656" s="40" t="s">
        <v>1797</v>
      </c>
    </row>
    <row r="1657" spans="1:28" x14ac:dyDescent="0.25">
      <c r="A1657">
        <v>99911656</v>
      </c>
      <c r="B1657" t="s">
        <v>32</v>
      </c>
      <c r="C1657" t="s">
        <v>46</v>
      </c>
      <c r="D1657" t="s">
        <v>47</v>
      </c>
      <c r="G1657" t="s">
        <v>35</v>
      </c>
      <c r="H1657">
        <v>1</v>
      </c>
      <c r="I1657">
        <v>18104</v>
      </c>
      <c r="J1657" s="1">
        <v>43344</v>
      </c>
      <c r="K1657" t="s">
        <v>345</v>
      </c>
      <c r="L1657" t="s">
        <v>346</v>
      </c>
      <c r="M1657" t="s">
        <v>131</v>
      </c>
      <c r="N1657">
        <v>18</v>
      </c>
      <c r="O1657" s="1">
        <v>43344</v>
      </c>
      <c r="P1657" t="s">
        <v>41</v>
      </c>
      <c r="Q1657" t="s">
        <v>367</v>
      </c>
      <c r="R1657" t="str">
        <f>"0580655"</f>
        <v>0580655</v>
      </c>
      <c r="S1657" t="s">
        <v>368</v>
      </c>
      <c r="T1657" t="s">
        <v>345</v>
      </c>
      <c r="U1657" t="s">
        <v>346</v>
      </c>
      <c r="V1657" t="s">
        <v>131</v>
      </c>
      <c r="W1657" t="s">
        <v>51</v>
      </c>
      <c r="X1657" t="s">
        <v>45</v>
      </c>
      <c r="Y1657" s="1">
        <v>24149</v>
      </c>
      <c r="Z1657">
        <v>2</v>
      </c>
      <c r="AA1657" t="s">
        <v>346</v>
      </c>
      <c r="AB1657" s="40" t="s">
        <v>1797</v>
      </c>
    </row>
    <row r="1658" spans="1:28" x14ac:dyDescent="0.25">
      <c r="A1658">
        <v>99911657</v>
      </c>
      <c r="B1658" t="s">
        <v>32</v>
      </c>
      <c r="C1658" t="s">
        <v>61</v>
      </c>
      <c r="D1658" t="s">
        <v>62</v>
      </c>
      <c r="G1658" t="s">
        <v>48</v>
      </c>
      <c r="H1658">
        <v>1</v>
      </c>
      <c r="K1658" t="s">
        <v>345</v>
      </c>
      <c r="L1658" t="s">
        <v>346</v>
      </c>
      <c r="M1658" t="s">
        <v>131</v>
      </c>
      <c r="N1658">
        <v>18</v>
      </c>
      <c r="P1658" t="s">
        <v>41</v>
      </c>
      <c r="Q1658" t="s">
        <v>42</v>
      </c>
      <c r="R1658" t="str">
        <f>"0590906"</f>
        <v>0590906</v>
      </c>
      <c r="S1658" t="s">
        <v>361</v>
      </c>
      <c r="T1658" t="s">
        <v>345</v>
      </c>
      <c r="U1658" t="s">
        <v>346</v>
      </c>
      <c r="V1658" t="s">
        <v>131</v>
      </c>
      <c r="W1658" t="s">
        <v>51</v>
      </c>
      <c r="X1658" t="s">
        <v>45</v>
      </c>
      <c r="Y1658" s="1">
        <v>24147</v>
      </c>
      <c r="Z1658">
        <v>2</v>
      </c>
      <c r="AA1658" t="s">
        <v>346</v>
      </c>
      <c r="AB1658" s="40" t="s">
        <v>1797</v>
      </c>
    </row>
    <row r="1659" spans="1:28" x14ac:dyDescent="0.25">
      <c r="A1659">
        <v>99911658</v>
      </c>
      <c r="B1659" t="s">
        <v>56</v>
      </c>
      <c r="C1659" t="s">
        <v>85</v>
      </c>
      <c r="D1659" t="s">
        <v>86</v>
      </c>
      <c r="G1659" t="s">
        <v>48</v>
      </c>
      <c r="H1659">
        <v>17</v>
      </c>
      <c r="K1659" t="s">
        <v>1268</v>
      </c>
      <c r="L1659" t="s">
        <v>1269</v>
      </c>
      <c r="M1659" t="s">
        <v>1270</v>
      </c>
      <c r="N1659">
        <v>18</v>
      </c>
      <c r="O1659" s="1">
        <v>43344</v>
      </c>
      <c r="P1659" t="s">
        <v>41</v>
      </c>
      <c r="Q1659" t="s">
        <v>49</v>
      </c>
      <c r="R1659" t="str">
        <f>"1981055"</f>
        <v>1981055</v>
      </c>
      <c r="S1659" t="s">
        <v>1280</v>
      </c>
      <c r="T1659" t="s">
        <v>1268</v>
      </c>
      <c r="U1659" t="s">
        <v>1269</v>
      </c>
      <c r="V1659" t="s">
        <v>1270</v>
      </c>
      <c r="W1659" t="s">
        <v>165</v>
      </c>
      <c r="X1659" t="s">
        <v>45</v>
      </c>
      <c r="Y1659" s="1">
        <v>24139</v>
      </c>
      <c r="Z1659">
        <v>2</v>
      </c>
      <c r="AA1659" t="s">
        <v>1269</v>
      </c>
      <c r="AB1659" s="40" t="s">
        <v>1797</v>
      </c>
    </row>
    <row r="1660" spans="1:28" x14ac:dyDescent="0.25">
      <c r="A1660">
        <v>99911659</v>
      </c>
      <c r="B1660" t="s">
        <v>56</v>
      </c>
      <c r="C1660" t="s">
        <v>79</v>
      </c>
      <c r="D1660" t="s">
        <v>80</v>
      </c>
      <c r="G1660" t="s">
        <v>48</v>
      </c>
      <c r="H1660">
        <v>1</v>
      </c>
      <c r="K1660" t="s">
        <v>223</v>
      </c>
      <c r="L1660" t="s">
        <v>224</v>
      </c>
      <c r="M1660" t="s">
        <v>131</v>
      </c>
      <c r="N1660">
        <v>18</v>
      </c>
      <c r="P1660" t="s">
        <v>41</v>
      </c>
      <c r="Q1660" t="s">
        <v>42</v>
      </c>
      <c r="R1660" t="str">
        <f>"0580200"</f>
        <v>0580200</v>
      </c>
      <c r="S1660" t="s">
        <v>245</v>
      </c>
      <c r="T1660" t="s">
        <v>223</v>
      </c>
      <c r="U1660" t="s">
        <v>224</v>
      </c>
      <c r="V1660" t="s">
        <v>131</v>
      </c>
      <c r="W1660" t="s">
        <v>51</v>
      </c>
      <c r="X1660" t="s">
        <v>45</v>
      </c>
      <c r="Y1660" s="1">
        <v>24137</v>
      </c>
      <c r="Z1660">
        <v>2</v>
      </c>
      <c r="AA1660" t="s">
        <v>224</v>
      </c>
      <c r="AB1660" s="40" t="s">
        <v>1797</v>
      </c>
    </row>
    <row r="1661" spans="1:28" x14ac:dyDescent="0.25">
      <c r="A1661">
        <v>99911660</v>
      </c>
      <c r="B1661" t="s">
        <v>32</v>
      </c>
      <c r="C1661" t="s">
        <v>85</v>
      </c>
      <c r="D1661" t="s">
        <v>86</v>
      </c>
      <c r="G1661" t="s">
        <v>48</v>
      </c>
      <c r="H1661">
        <v>1</v>
      </c>
      <c r="K1661" t="s">
        <v>162</v>
      </c>
      <c r="L1661" t="s">
        <v>158</v>
      </c>
      <c r="M1661" t="s">
        <v>131</v>
      </c>
      <c r="N1661">
        <v>18</v>
      </c>
      <c r="P1661" t="s">
        <v>41</v>
      </c>
      <c r="Q1661" t="s">
        <v>42</v>
      </c>
      <c r="R1661" t="str">
        <f>"0580325"</f>
        <v>0580325</v>
      </c>
      <c r="S1661" t="s">
        <v>170</v>
      </c>
      <c r="T1661" t="s">
        <v>162</v>
      </c>
      <c r="U1661" t="s">
        <v>158</v>
      </c>
      <c r="V1661" t="s">
        <v>131</v>
      </c>
      <c r="W1661" t="s">
        <v>165</v>
      </c>
      <c r="X1661" t="s">
        <v>45</v>
      </c>
      <c r="Y1661" s="1">
        <v>24134</v>
      </c>
      <c r="Z1661">
        <v>2</v>
      </c>
      <c r="AA1661" t="s">
        <v>158</v>
      </c>
      <c r="AB1661" s="40" t="s">
        <v>1797</v>
      </c>
    </row>
    <row r="1662" spans="1:28" x14ac:dyDescent="0.25">
      <c r="A1662">
        <v>99911661</v>
      </c>
      <c r="B1662" t="s">
        <v>56</v>
      </c>
      <c r="C1662" t="s">
        <v>68</v>
      </c>
      <c r="D1662" t="s">
        <v>69</v>
      </c>
      <c r="G1662" t="s">
        <v>35</v>
      </c>
      <c r="H1662">
        <v>13</v>
      </c>
      <c r="K1662" t="s">
        <v>1268</v>
      </c>
      <c r="L1662" t="s">
        <v>1269</v>
      </c>
      <c r="M1662" t="s">
        <v>1270</v>
      </c>
      <c r="N1662">
        <v>18</v>
      </c>
      <c r="P1662" t="s">
        <v>41</v>
      </c>
      <c r="Q1662" t="s">
        <v>42</v>
      </c>
      <c r="R1662" t="str">
        <f>"1980060"</f>
        <v>1980060</v>
      </c>
      <c r="S1662" t="s">
        <v>1277</v>
      </c>
      <c r="T1662" t="s">
        <v>1268</v>
      </c>
      <c r="U1662" t="s">
        <v>1269</v>
      </c>
      <c r="V1662" t="s">
        <v>1270</v>
      </c>
      <c r="W1662" t="s">
        <v>51</v>
      </c>
      <c r="X1662" t="s">
        <v>45</v>
      </c>
      <c r="Y1662" s="1">
        <v>24129</v>
      </c>
      <c r="Z1662">
        <v>2</v>
      </c>
      <c r="AA1662" t="s">
        <v>1269</v>
      </c>
      <c r="AB1662" s="40" t="s">
        <v>1797</v>
      </c>
    </row>
    <row r="1663" spans="1:28" x14ac:dyDescent="0.25">
      <c r="A1663">
        <v>99911662</v>
      </c>
      <c r="B1663" t="s">
        <v>32</v>
      </c>
      <c r="C1663" t="s">
        <v>46</v>
      </c>
      <c r="D1663" t="s">
        <v>47</v>
      </c>
      <c r="G1663" t="s">
        <v>48</v>
      </c>
      <c r="H1663">
        <v>12</v>
      </c>
      <c r="K1663" t="s">
        <v>1268</v>
      </c>
      <c r="L1663" t="s">
        <v>1269</v>
      </c>
      <c r="M1663" t="s">
        <v>1270</v>
      </c>
      <c r="N1663">
        <v>18</v>
      </c>
      <c r="O1663" s="1">
        <v>43344</v>
      </c>
      <c r="P1663" t="s">
        <v>41</v>
      </c>
      <c r="Q1663" t="s">
        <v>42</v>
      </c>
      <c r="R1663" t="str">
        <f>"1980060"</f>
        <v>1980060</v>
      </c>
      <c r="S1663" t="s">
        <v>1277</v>
      </c>
      <c r="T1663" t="s">
        <v>1268</v>
      </c>
      <c r="U1663" t="s">
        <v>1269</v>
      </c>
      <c r="V1663" t="s">
        <v>1270</v>
      </c>
      <c r="W1663" t="s">
        <v>51</v>
      </c>
      <c r="X1663" t="s">
        <v>45</v>
      </c>
      <c r="Y1663" s="1">
        <v>24129</v>
      </c>
      <c r="Z1663">
        <v>2</v>
      </c>
      <c r="AA1663" t="s">
        <v>1269</v>
      </c>
      <c r="AB1663" s="40" t="s">
        <v>1797</v>
      </c>
    </row>
    <row r="1664" spans="1:28" x14ac:dyDescent="0.25">
      <c r="A1664">
        <v>99911663</v>
      </c>
      <c r="B1664" t="s">
        <v>56</v>
      </c>
      <c r="C1664" t="s">
        <v>145</v>
      </c>
      <c r="D1664" t="s">
        <v>146</v>
      </c>
      <c r="G1664" t="s">
        <v>35</v>
      </c>
      <c r="H1664">
        <v>1</v>
      </c>
      <c r="K1664" t="s">
        <v>947</v>
      </c>
      <c r="L1664" t="s">
        <v>948</v>
      </c>
      <c r="M1664" t="s">
        <v>938</v>
      </c>
      <c r="N1664">
        <v>18</v>
      </c>
      <c r="P1664" t="s">
        <v>41</v>
      </c>
      <c r="Q1664" t="s">
        <v>42</v>
      </c>
      <c r="R1664" t="str">
        <f>"0680030"</f>
        <v>0680030</v>
      </c>
      <c r="S1664" t="s">
        <v>951</v>
      </c>
      <c r="T1664" t="s">
        <v>947</v>
      </c>
      <c r="U1664" t="s">
        <v>948</v>
      </c>
      <c r="V1664" t="s">
        <v>938</v>
      </c>
      <c r="W1664" t="s">
        <v>165</v>
      </c>
      <c r="X1664" t="s">
        <v>45</v>
      </c>
      <c r="Y1664" s="1">
        <v>24126</v>
      </c>
      <c r="Z1664">
        <v>2</v>
      </c>
      <c r="AA1664" t="s">
        <v>948</v>
      </c>
      <c r="AB1664" s="40" t="s">
        <v>1797</v>
      </c>
    </row>
    <row r="1665" spans="1:28" x14ac:dyDescent="0.25">
      <c r="A1665">
        <v>99911664</v>
      </c>
      <c r="B1665" t="s">
        <v>56</v>
      </c>
      <c r="C1665" t="s">
        <v>46</v>
      </c>
      <c r="D1665" t="s">
        <v>47</v>
      </c>
      <c r="G1665" t="s">
        <v>48</v>
      </c>
      <c r="H1665">
        <v>1</v>
      </c>
      <c r="K1665" t="s">
        <v>223</v>
      </c>
      <c r="L1665" t="s">
        <v>224</v>
      </c>
      <c r="M1665" t="s">
        <v>131</v>
      </c>
      <c r="N1665">
        <v>18</v>
      </c>
      <c r="P1665" t="s">
        <v>41</v>
      </c>
      <c r="Q1665" t="s">
        <v>42</v>
      </c>
      <c r="R1665" t="str">
        <f>"0580204"</f>
        <v>0580204</v>
      </c>
      <c r="S1665" t="s">
        <v>235</v>
      </c>
      <c r="T1665" t="s">
        <v>223</v>
      </c>
      <c r="U1665" t="s">
        <v>224</v>
      </c>
      <c r="V1665" t="s">
        <v>131</v>
      </c>
      <c r="W1665" t="s">
        <v>165</v>
      </c>
      <c r="X1665" t="s">
        <v>45</v>
      </c>
      <c r="Y1665" s="1">
        <v>24116</v>
      </c>
      <c r="Z1665">
        <v>2</v>
      </c>
      <c r="AA1665" t="s">
        <v>224</v>
      </c>
      <c r="AB1665" s="40" t="s">
        <v>1797</v>
      </c>
    </row>
    <row r="1666" spans="1:28" x14ac:dyDescent="0.25">
      <c r="A1666">
        <v>99911665</v>
      </c>
      <c r="B1666" t="s">
        <v>56</v>
      </c>
      <c r="C1666" t="s">
        <v>52</v>
      </c>
      <c r="D1666" t="s">
        <v>53</v>
      </c>
      <c r="G1666" t="s">
        <v>35</v>
      </c>
      <c r="H1666">
        <v>1</v>
      </c>
      <c r="I1666" t="s">
        <v>348</v>
      </c>
      <c r="J1666" s="1">
        <v>43344</v>
      </c>
      <c r="K1666" t="s">
        <v>345</v>
      </c>
      <c r="L1666" t="s">
        <v>346</v>
      </c>
      <c r="M1666" t="s">
        <v>131</v>
      </c>
      <c r="N1666">
        <v>18</v>
      </c>
      <c r="O1666" s="1">
        <v>43344</v>
      </c>
      <c r="P1666" t="s">
        <v>41</v>
      </c>
      <c r="Q1666" t="s">
        <v>42</v>
      </c>
      <c r="R1666" t="str">
        <f>"0580155"</f>
        <v>0580155</v>
      </c>
      <c r="S1666" t="s">
        <v>365</v>
      </c>
      <c r="T1666" t="s">
        <v>345</v>
      </c>
      <c r="U1666" t="s">
        <v>346</v>
      </c>
      <c r="V1666" t="s">
        <v>131</v>
      </c>
      <c r="W1666" t="s">
        <v>51</v>
      </c>
      <c r="X1666" t="s">
        <v>45</v>
      </c>
      <c r="Y1666" s="1">
        <v>24108</v>
      </c>
      <c r="Z1666">
        <v>2</v>
      </c>
      <c r="AA1666" t="s">
        <v>346</v>
      </c>
      <c r="AB1666" s="40" t="s">
        <v>1797</v>
      </c>
    </row>
    <row r="1667" spans="1:28" x14ac:dyDescent="0.25">
      <c r="A1667">
        <v>99911666</v>
      </c>
      <c r="B1667" t="s">
        <v>32</v>
      </c>
      <c r="C1667" t="s">
        <v>139</v>
      </c>
      <c r="D1667" t="s">
        <v>140</v>
      </c>
      <c r="G1667" t="s">
        <v>48</v>
      </c>
      <c r="H1667">
        <v>1</v>
      </c>
      <c r="K1667" t="s">
        <v>345</v>
      </c>
      <c r="L1667" t="s">
        <v>346</v>
      </c>
      <c r="M1667" t="s">
        <v>131</v>
      </c>
      <c r="N1667">
        <v>18</v>
      </c>
      <c r="P1667" t="s">
        <v>41</v>
      </c>
      <c r="Q1667" t="s">
        <v>49</v>
      </c>
      <c r="R1667" t="str">
        <f>"0591906"</f>
        <v>0591906</v>
      </c>
      <c r="S1667" t="s">
        <v>350</v>
      </c>
      <c r="T1667" t="s">
        <v>345</v>
      </c>
      <c r="U1667" t="s">
        <v>346</v>
      </c>
      <c r="V1667" t="s">
        <v>131</v>
      </c>
      <c r="W1667" t="s">
        <v>51</v>
      </c>
      <c r="X1667" t="s">
        <v>45</v>
      </c>
      <c r="Y1667" s="1">
        <v>24101</v>
      </c>
      <c r="Z1667">
        <v>2</v>
      </c>
      <c r="AA1667" t="s">
        <v>346</v>
      </c>
      <c r="AB1667" s="40" t="s">
        <v>1797</v>
      </c>
    </row>
    <row r="1668" spans="1:28" x14ac:dyDescent="0.25">
      <c r="A1668">
        <v>99911667</v>
      </c>
      <c r="B1668" t="s">
        <v>56</v>
      </c>
      <c r="C1668" t="s">
        <v>46</v>
      </c>
      <c r="D1668" t="s">
        <v>47</v>
      </c>
      <c r="G1668" t="s">
        <v>48</v>
      </c>
      <c r="H1668">
        <v>1</v>
      </c>
      <c r="K1668" t="s">
        <v>157</v>
      </c>
      <c r="L1668" t="s">
        <v>158</v>
      </c>
      <c r="M1668" t="s">
        <v>131</v>
      </c>
      <c r="N1668">
        <v>18</v>
      </c>
      <c r="P1668" t="s">
        <v>41</v>
      </c>
      <c r="Q1668" t="s">
        <v>42</v>
      </c>
      <c r="R1668" t="str">
        <f>"0580470"</f>
        <v>0580470</v>
      </c>
      <c r="S1668" t="s">
        <v>175</v>
      </c>
      <c r="T1668" t="s">
        <v>157</v>
      </c>
      <c r="U1668" t="s">
        <v>158</v>
      </c>
      <c r="V1668" t="s">
        <v>131</v>
      </c>
      <c r="W1668" t="s">
        <v>51</v>
      </c>
      <c r="X1668" t="s">
        <v>45</v>
      </c>
      <c r="Y1668" s="1">
        <v>24085</v>
      </c>
      <c r="Z1668">
        <v>2</v>
      </c>
      <c r="AA1668" t="s">
        <v>158</v>
      </c>
      <c r="AB1668" s="40" t="s">
        <v>1797</v>
      </c>
    </row>
    <row r="1669" spans="1:28" x14ac:dyDescent="0.25">
      <c r="A1669">
        <v>99911668</v>
      </c>
      <c r="B1669" t="s">
        <v>32</v>
      </c>
      <c r="C1669" t="s">
        <v>58</v>
      </c>
      <c r="D1669" t="s">
        <v>59</v>
      </c>
      <c r="E1669" t="s">
        <v>85</v>
      </c>
      <c r="F1669" t="s">
        <v>86</v>
      </c>
      <c r="G1669" t="s">
        <v>48</v>
      </c>
      <c r="H1669">
        <v>15</v>
      </c>
      <c r="K1669" t="s">
        <v>345</v>
      </c>
      <c r="L1669" t="s">
        <v>346</v>
      </c>
      <c r="M1669" t="s">
        <v>131</v>
      </c>
      <c r="N1669">
        <v>18</v>
      </c>
      <c r="P1669" t="s">
        <v>41</v>
      </c>
      <c r="Q1669" t="s">
        <v>49</v>
      </c>
      <c r="R1669" t="str">
        <f>"0591906"</f>
        <v>0591906</v>
      </c>
      <c r="S1669" t="s">
        <v>350</v>
      </c>
      <c r="T1669" t="s">
        <v>345</v>
      </c>
      <c r="U1669" t="s">
        <v>346</v>
      </c>
      <c r="V1669" t="s">
        <v>131</v>
      </c>
      <c r="W1669" t="s">
        <v>51</v>
      </c>
      <c r="X1669" t="s">
        <v>45</v>
      </c>
      <c r="Y1669" s="1">
        <v>24076</v>
      </c>
      <c r="Z1669">
        <v>2</v>
      </c>
      <c r="AA1669" t="s">
        <v>346</v>
      </c>
      <c r="AB1669" s="40" t="s">
        <v>1797</v>
      </c>
    </row>
    <row r="1670" spans="1:28" x14ac:dyDescent="0.25">
      <c r="A1670">
        <v>99911669</v>
      </c>
      <c r="B1670" t="s">
        <v>56</v>
      </c>
      <c r="C1670" t="s">
        <v>52</v>
      </c>
      <c r="D1670" t="s">
        <v>53</v>
      </c>
      <c r="G1670" t="s">
        <v>48</v>
      </c>
      <c r="H1670">
        <v>1</v>
      </c>
      <c r="K1670" t="s">
        <v>345</v>
      </c>
      <c r="L1670" t="s">
        <v>346</v>
      </c>
      <c r="M1670" t="s">
        <v>131</v>
      </c>
      <c r="N1670">
        <v>18</v>
      </c>
      <c r="P1670" t="s">
        <v>41</v>
      </c>
      <c r="Q1670" t="s">
        <v>42</v>
      </c>
      <c r="R1670" t="str">
        <f>"0590906"</f>
        <v>0590906</v>
      </c>
      <c r="S1670" t="s">
        <v>361</v>
      </c>
      <c r="T1670" t="s">
        <v>345</v>
      </c>
      <c r="U1670" t="s">
        <v>346</v>
      </c>
      <c r="V1670" t="s">
        <v>131</v>
      </c>
      <c r="W1670" t="s">
        <v>51</v>
      </c>
      <c r="X1670" t="s">
        <v>45</v>
      </c>
      <c r="Y1670" s="1">
        <v>24066</v>
      </c>
      <c r="Z1670">
        <v>2</v>
      </c>
      <c r="AA1670" t="s">
        <v>346</v>
      </c>
      <c r="AB1670" s="40" t="s">
        <v>1797</v>
      </c>
    </row>
    <row r="1671" spans="1:28" x14ac:dyDescent="0.25">
      <c r="A1671">
        <v>99911670</v>
      </c>
      <c r="B1671" t="s">
        <v>32</v>
      </c>
      <c r="C1671" t="s">
        <v>85</v>
      </c>
      <c r="D1671" t="s">
        <v>86</v>
      </c>
      <c r="G1671" t="s">
        <v>48</v>
      </c>
      <c r="H1671">
        <v>1</v>
      </c>
      <c r="K1671" t="s">
        <v>162</v>
      </c>
      <c r="L1671" t="s">
        <v>158</v>
      </c>
      <c r="M1671" t="s">
        <v>131</v>
      </c>
      <c r="N1671">
        <v>18</v>
      </c>
      <c r="P1671" t="s">
        <v>41</v>
      </c>
      <c r="Q1671" t="s">
        <v>42</v>
      </c>
      <c r="R1671" t="str">
        <f>"0580320"</f>
        <v>0580320</v>
      </c>
      <c r="S1671" t="s">
        <v>164</v>
      </c>
      <c r="T1671" t="s">
        <v>162</v>
      </c>
      <c r="U1671" t="s">
        <v>158</v>
      </c>
      <c r="V1671" t="s">
        <v>131</v>
      </c>
      <c r="W1671" t="s">
        <v>165</v>
      </c>
      <c r="X1671" t="s">
        <v>45</v>
      </c>
      <c r="Y1671" s="1">
        <v>24063</v>
      </c>
      <c r="Z1671">
        <v>2</v>
      </c>
      <c r="AA1671" t="s">
        <v>158</v>
      </c>
      <c r="AB1671" s="40" t="s">
        <v>1797</v>
      </c>
    </row>
    <row r="1672" spans="1:28" x14ac:dyDescent="0.25">
      <c r="A1672">
        <v>99911671</v>
      </c>
      <c r="B1672" t="s">
        <v>56</v>
      </c>
      <c r="C1672" t="s">
        <v>46</v>
      </c>
      <c r="D1672" t="s">
        <v>47</v>
      </c>
      <c r="G1672" t="s">
        <v>35</v>
      </c>
      <c r="H1672">
        <v>1</v>
      </c>
      <c r="K1672" t="s">
        <v>223</v>
      </c>
      <c r="L1672" t="s">
        <v>224</v>
      </c>
      <c r="M1672" t="s">
        <v>131</v>
      </c>
      <c r="N1672">
        <v>18</v>
      </c>
      <c r="P1672" t="s">
        <v>41</v>
      </c>
      <c r="Q1672" t="s">
        <v>42</v>
      </c>
      <c r="R1672" t="str">
        <f>"0590901"</f>
        <v>0590901</v>
      </c>
      <c r="S1672" t="s">
        <v>242</v>
      </c>
      <c r="T1672" t="s">
        <v>223</v>
      </c>
      <c r="U1672" t="s">
        <v>224</v>
      </c>
      <c r="V1672" t="s">
        <v>131</v>
      </c>
      <c r="W1672" t="s">
        <v>165</v>
      </c>
      <c r="X1672" t="s">
        <v>45</v>
      </c>
      <c r="Y1672" s="1">
        <v>24054</v>
      </c>
      <c r="Z1672">
        <v>2</v>
      </c>
      <c r="AA1672" t="s">
        <v>224</v>
      </c>
      <c r="AB1672" s="40" t="s">
        <v>1797</v>
      </c>
    </row>
    <row r="1673" spans="1:28" x14ac:dyDescent="0.25">
      <c r="A1673">
        <v>99911672</v>
      </c>
      <c r="B1673" t="s">
        <v>32</v>
      </c>
      <c r="C1673" t="s">
        <v>46</v>
      </c>
      <c r="D1673" t="s">
        <v>47</v>
      </c>
      <c r="G1673" t="s">
        <v>48</v>
      </c>
      <c r="H1673">
        <v>1</v>
      </c>
      <c r="K1673" t="s">
        <v>223</v>
      </c>
      <c r="L1673" t="s">
        <v>224</v>
      </c>
      <c r="M1673" t="s">
        <v>131</v>
      </c>
      <c r="N1673">
        <v>18</v>
      </c>
      <c r="P1673" t="s">
        <v>41</v>
      </c>
      <c r="Q1673" t="s">
        <v>49</v>
      </c>
      <c r="R1673" t="str">
        <f>"0581202"</f>
        <v>0581202</v>
      </c>
      <c r="S1673" t="s">
        <v>248</v>
      </c>
      <c r="T1673" t="s">
        <v>223</v>
      </c>
      <c r="U1673" t="s">
        <v>224</v>
      </c>
      <c r="V1673" t="s">
        <v>131</v>
      </c>
      <c r="W1673" t="s">
        <v>165</v>
      </c>
      <c r="X1673" t="s">
        <v>45</v>
      </c>
      <c r="Y1673" s="1">
        <v>24032</v>
      </c>
      <c r="Z1673">
        <v>2</v>
      </c>
      <c r="AA1673" t="s">
        <v>224</v>
      </c>
      <c r="AB1673" s="40" t="s">
        <v>1797</v>
      </c>
    </row>
    <row r="1674" spans="1:28" x14ac:dyDescent="0.25">
      <c r="A1674">
        <v>99911673</v>
      </c>
      <c r="B1674" t="s">
        <v>32</v>
      </c>
      <c r="C1674" t="s">
        <v>46</v>
      </c>
      <c r="D1674" t="s">
        <v>47</v>
      </c>
      <c r="G1674" t="s">
        <v>48</v>
      </c>
      <c r="H1674">
        <v>1</v>
      </c>
      <c r="K1674" t="s">
        <v>157</v>
      </c>
      <c r="L1674" t="s">
        <v>158</v>
      </c>
      <c r="M1674" t="s">
        <v>131</v>
      </c>
      <c r="N1674">
        <v>18</v>
      </c>
      <c r="P1674" t="s">
        <v>41</v>
      </c>
      <c r="Q1674" t="s">
        <v>49</v>
      </c>
      <c r="R1674" t="str">
        <f>"0560011"</f>
        <v>0560011</v>
      </c>
      <c r="S1674" t="s">
        <v>185</v>
      </c>
      <c r="T1674" t="s">
        <v>157</v>
      </c>
      <c r="U1674" t="s">
        <v>158</v>
      </c>
      <c r="V1674" t="s">
        <v>131</v>
      </c>
      <c r="W1674" t="s">
        <v>51</v>
      </c>
      <c r="X1674" t="s">
        <v>45</v>
      </c>
      <c r="Y1674" s="1">
        <v>24026</v>
      </c>
      <c r="Z1674">
        <v>2</v>
      </c>
      <c r="AA1674" t="s">
        <v>158</v>
      </c>
      <c r="AB1674" s="40" t="s">
        <v>1797</v>
      </c>
    </row>
    <row r="1675" spans="1:28" x14ac:dyDescent="0.25">
      <c r="A1675">
        <v>99911674</v>
      </c>
      <c r="B1675" t="s">
        <v>32</v>
      </c>
      <c r="C1675" t="s">
        <v>139</v>
      </c>
      <c r="D1675" t="s">
        <v>140</v>
      </c>
      <c r="G1675" t="s">
        <v>48</v>
      </c>
      <c r="H1675">
        <v>1</v>
      </c>
      <c r="K1675" t="s">
        <v>129</v>
      </c>
      <c r="L1675" t="s">
        <v>130</v>
      </c>
      <c r="M1675" t="s">
        <v>131</v>
      </c>
      <c r="N1675">
        <v>18</v>
      </c>
      <c r="P1675" t="s">
        <v>41</v>
      </c>
      <c r="Q1675" t="s">
        <v>49</v>
      </c>
      <c r="R1675" t="str">
        <f>"0591905"</f>
        <v>0591905</v>
      </c>
      <c r="S1675" t="s">
        <v>135</v>
      </c>
      <c r="T1675" t="s">
        <v>129</v>
      </c>
      <c r="U1675" t="s">
        <v>130</v>
      </c>
      <c r="V1675" t="s">
        <v>131</v>
      </c>
      <c r="W1675" t="s">
        <v>51</v>
      </c>
      <c r="X1675" t="s">
        <v>45</v>
      </c>
      <c r="Y1675" s="1">
        <v>24021</v>
      </c>
      <c r="Z1675">
        <v>2</v>
      </c>
      <c r="AA1675" t="s">
        <v>130</v>
      </c>
      <c r="AB1675" s="40" t="s">
        <v>1797</v>
      </c>
    </row>
    <row r="1676" spans="1:28" x14ac:dyDescent="0.25">
      <c r="A1676">
        <v>99911675</v>
      </c>
      <c r="B1676" t="s">
        <v>32</v>
      </c>
      <c r="C1676" t="s">
        <v>46</v>
      </c>
      <c r="D1676" t="s">
        <v>47</v>
      </c>
      <c r="G1676" t="s">
        <v>48</v>
      </c>
      <c r="H1676">
        <v>1</v>
      </c>
      <c r="K1676" t="s">
        <v>345</v>
      </c>
      <c r="L1676" t="s">
        <v>346</v>
      </c>
      <c r="M1676" t="s">
        <v>131</v>
      </c>
      <c r="N1676">
        <v>18</v>
      </c>
      <c r="P1676" t="s">
        <v>41</v>
      </c>
      <c r="Q1676" t="s">
        <v>42</v>
      </c>
      <c r="R1676" t="str">
        <f>"0590906"</f>
        <v>0590906</v>
      </c>
      <c r="S1676" t="s">
        <v>361</v>
      </c>
      <c r="T1676" t="s">
        <v>345</v>
      </c>
      <c r="U1676" t="s">
        <v>346</v>
      </c>
      <c r="V1676" t="s">
        <v>131</v>
      </c>
      <c r="W1676" t="s">
        <v>51</v>
      </c>
      <c r="X1676" t="s">
        <v>45</v>
      </c>
      <c r="Y1676" s="1">
        <v>24020</v>
      </c>
      <c r="Z1676">
        <v>2</v>
      </c>
      <c r="AA1676" t="s">
        <v>346</v>
      </c>
      <c r="AB1676" s="40" t="s">
        <v>1797</v>
      </c>
    </row>
    <row r="1677" spans="1:28" x14ac:dyDescent="0.25">
      <c r="A1677">
        <v>99911676</v>
      </c>
      <c r="B1677" t="s">
        <v>56</v>
      </c>
      <c r="C1677" t="s">
        <v>79</v>
      </c>
      <c r="D1677" t="s">
        <v>80</v>
      </c>
      <c r="G1677" t="s">
        <v>48</v>
      </c>
      <c r="H1677">
        <v>1</v>
      </c>
      <c r="K1677" t="s">
        <v>223</v>
      </c>
      <c r="L1677" t="s">
        <v>224</v>
      </c>
      <c r="M1677" t="s">
        <v>131</v>
      </c>
      <c r="N1677">
        <v>18</v>
      </c>
      <c r="P1677" t="s">
        <v>41</v>
      </c>
      <c r="Q1677" t="s">
        <v>49</v>
      </c>
      <c r="R1677" t="str">
        <f>"0581200"</f>
        <v>0581200</v>
      </c>
      <c r="S1677" t="s">
        <v>238</v>
      </c>
      <c r="T1677" t="s">
        <v>223</v>
      </c>
      <c r="U1677" t="s">
        <v>224</v>
      </c>
      <c r="V1677" t="s">
        <v>131</v>
      </c>
      <c r="W1677" t="s">
        <v>51</v>
      </c>
      <c r="X1677" t="s">
        <v>45</v>
      </c>
      <c r="Y1677" s="1">
        <v>23991</v>
      </c>
      <c r="Z1677">
        <v>2</v>
      </c>
      <c r="AA1677" t="s">
        <v>224</v>
      </c>
      <c r="AB1677" s="40" t="s">
        <v>1797</v>
      </c>
    </row>
    <row r="1678" spans="1:28" x14ac:dyDescent="0.25">
      <c r="A1678">
        <v>99911677</v>
      </c>
      <c r="B1678" t="s">
        <v>56</v>
      </c>
      <c r="C1678" t="s">
        <v>68</v>
      </c>
      <c r="D1678" t="s">
        <v>69</v>
      </c>
      <c r="G1678" t="s">
        <v>48</v>
      </c>
      <c r="H1678">
        <v>1</v>
      </c>
      <c r="K1678" t="s">
        <v>157</v>
      </c>
      <c r="L1678" t="s">
        <v>158</v>
      </c>
      <c r="M1678" t="s">
        <v>131</v>
      </c>
      <c r="N1678">
        <v>18</v>
      </c>
      <c r="P1678" t="s">
        <v>41</v>
      </c>
      <c r="Q1678" t="s">
        <v>49</v>
      </c>
      <c r="R1678" t="str">
        <f>"0560010"</f>
        <v>0560010</v>
      </c>
      <c r="S1678" t="s">
        <v>179</v>
      </c>
      <c r="T1678" t="s">
        <v>157</v>
      </c>
      <c r="U1678" t="s">
        <v>158</v>
      </c>
      <c r="V1678" t="s">
        <v>131</v>
      </c>
      <c r="W1678" t="s">
        <v>51</v>
      </c>
      <c r="X1678" t="s">
        <v>45</v>
      </c>
      <c r="Y1678" s="1">
        <v>23969</v>
      </c>
      <c r="Z1678">
        <v>2</v>
      </c>
      <c r="AA1678" t="s">
        <v>158</v>
      </c>
      <c r="AB1678" s="40" t="s">
        <v>1797</v>
      </c>
    </row>
    <row r="1679" spans="1:28" x14ac:dyDescent="0.25">
      <c r="A1679">
        <v>99911678</v>
      </c>
      <c r="B1679" t="s">
        <v>32</v>
      </c>
      <c r="C1679" t="s">
        <v>79</v>
      </c>
      <c r="D1679" t="s">
        <v>80</v>
      </c>
      <c r="G1679" t="s">
        <v>48</v>
      </c>
      <c r="H1679">
        <v>1</v>
      </c>
      <c r="K1679" t="s">
        <v>268</v>
      </c>
      <c r="L1679" t="s">
        <v>269</v>
      </c>
      <c r="M1679" t="s">
        <v>131</v>
      </c>
      <c r="N1679">
        <v>18</v>
      </c>
      <c r="P1679" t="s">
        <v>41</v>
      </c>
      <c r="Q1679" t="s">
        <v>75</v>
      </c>
      <c r="R1679" t="str">
        <f>"7052008"</f>
        <v>7052008</v>
      </c>
      <c r="S1679" t="s">
        <v>274</v>
      </c>
      <c r="T1679" t="s">
        <v>268</v>
      </c>
      <c r="U1679" t="s">
        <v>269</v>
      </c>
      <c r="V1679" t="s">
        <v>131</v>
      </c>
      <c r="W1679" t="s">
        <v>51</v>
      </c>
      <c r="X1679" t="s">
        <v>45</v>
      </c>
      <c r="Y1679" s="1">
        <v>23953</v>
      </c>
      <c r="Z1679">
        <v>1</v>
      </c>
      <c r="AA1679" t="s">
        <v>269</v>
      </c>
      <c r="AB1679" s="40" t="s">
        <v>1797</v>
      </c>
    </row>
    <row r="1680" spans="1:28" x14ac:dyDescent="0.25">
      <c r="A1680">
        <v>99911679</v>
      </c>
      <c r="B1680" t="s">
        <v>32</v>
      </c>
      <c r="C1680" t="s">
        <v>46</v>
      </c>
      <c r="D1680" t="s">
        <v>47</v>
      </c>
      <c r="G1680" t="s">
        <v>48</v>
      </c>
      <c r="H1680">
        <v>1</v>
      </c>
      <c r="K1680" t="s">
        <v>223</v>
      </c>
      <c r="L1680" t="s">
        <v>224</v>
      </c>
      <c r="M1680" t="s">
        <v>131</v>
      </c>
      <c r="N1680">
        <v>18</v>
      </c>
      <c r="P1680" t="s">
        <v>41</v>
      </c>
      <c r="Q1680" t="s">
        <v>42</v>
      </c>
      <c r="R1680" t="str">
        <f>"0580204"</f>
        <v>0580204</v>
      </c>
      <c r="S1680" t="s">
        <v>235</v>
      </c>
      <c r="T1680" t="s">
        <v>223</v>
      </c>
      <c r="U1680" t="s">
        <v>224</v>
      </c>
      <c r="V1680" t="s">
        <v>131</v>
      </c>
      <c r="W1680" t="s">
        <v>165</v>
      </c>
      <c r="X1680" t="s">
        <v>45</v>
      </c>
      <c r="Y1680" s="1">
        <v>23950</v>
      </c>
      <c r="Z1680">
        <v>2</v>
      </c>
      <c r="AA1680" t="s">
        <v>224</v>
      </c>
      <c r="AB1680" s="40" t="s">
        <v>1797</v>
      </c>
    </row>
    <row r="1681" spans="1:28" x14ac:dyDescent="0.25">
      <c r="A1681">
        <v>99911680</v>
      </c>
      <c r="B1681" t="s">
        <v>56</v>
      </c>
      <c r="C1681" t="s">
        <v>46</v>
      </c>
      <c r="D1681" t="s">
        <v>47</v>
      </c>
      <c r="G1681" t="s">
        <v>48</v>
      </c>
      <c r="H1681">
        <v>4</v>
      </c>
      <c r="K1681" t="s">
        <v>129</v>
      </c>
      <c r="L1681" t="s">
        <v>130</v>
      </c>
      <c r="M1681" t="s">
        <v>131</v>
      </c>
      <c r="N1681">
        <v>18</v>
      </c>
      <c r="P1681" t="s">
        <v>41</v>
      </c>
      <c r="Q1681" t="s">
        <v>42</v>
      </c>
      <c r="R1681" t="str">
        <f>"0590905"</f>
        <v>0590905</v>
      </c>
      <c r="S1681" t="s">
        <v>133</v>
      </c>
      <c r="T1681" t="s">
        <v>129</v>
      </c>
      <c r="U1681" t="s">
        <v>130</v>
      </c>
      <c r="V1681" t="s">
        <v>131</v>
      </c>
      <c r="W1681" t="s">
        <v>51</v>
      </c>
      <c r="X1681" t="s">
        <v>45</v>
      </c>
      <c r="Y1681" s="1">
        <v>23948</v>
      </c>
      <c r="Z1681">
        <v>2</v>
      </c>
      <c r="AA1681" t="s">
        <v>130</v>
      </c>
      <c r="AB1681" s="40" t="s">
        <v>1797</v>
      </c>
    </row>
    <row r="1682" spans="1:28" x14ac:dyDescent="0.25">
      <c r="A1682">
        <v>99911681</v>
      </c>
      <c r="B1682" t="s">
        <v>56</v>
      </c>
      <c r="C1682" t="s">
        <v>52</v>
      </c>
      <c r="D1682" t="s">
        <v>53</v>
      </c>
      <c r="G1682" t="s">
        <v>35</v>
      </c>
      <c r="H1682">
        <v>11</v>
      </c>
      <c r="K1682" t="s">
        <v>1268</v>
      </c>
      <c r="L1682" t="s">
        <v>1269</v>
      </c>
      <c r="M1682" t="s">
        <v>1270</v>
      </c>
      <c r="N1682">
        <v>18</v>
      </c>
      <c r="O1682" s="1">
        <v>43344</v>
      </c>
      <c r="P1682" t="s">
        <v>41</v>
      </c>
      <c r="Q1682" t="s">
        <v>922</v>
      </c>
      <c r="R1682" t="str">
        <f>"1950001"</f>
        <v>1950001</v>
      </c>
      <c r="S1682" t="s">
        <v>1284</v>
      </c>
      <c r="T1682" t="s">
        <v>1268</v>
      </c>
      <c r="U1682" t="s">
        <v>1269</v>
      </c>
      <c r="V1682" t="s">
        <v>1270</v>
      </c>
      <c r="W1682" t="s">
        <v>51</v>
      </c>
      <c r="X1682" t="s">
        <v>45</v>
      </c>
      <c r="Y1682" s="1">
        <v>23947</v>
      </c>
      <c r="Z1682">
        <v>2</v>
      </c>
      <c r="AA1682" t="s">
        <v>1269</v>
      </c>
      <c r="AB1682" s="40" t="s">
        <v>1797</v>
      </c>
    </row>
    <row r="1683" spans="1:28" x14ac:dyDescent="0.25">
      <c r="A1683">
        <v>99911682</v>
      </c>
      <c r="B1683" t="s">
        <v>56</v>
      </c>
      <c r="C1683" t="s">
        <v>33</v>
      </c>
      <c r="D1683" t="s">
        <v>34</v>
      </c>
      <c r="G1683" t="s">
        <v>35</v>
      </c>
      <c r="H1683">
        <v>1</v>
      </c>
      <c r="K1683" t="s">
        <v>223</v>
      </c>
      <c r="L1683" t="s">
        <v>224</v>
      </c>
      <c r="M1683" t="s">
        <v>131</v>
      </c>
      <c r="N1683">
        <v>18</v>
      </c>
      <c r="P1683" t="s">
        <v>41</v>
      </c>
      <c r="Q1683" t="s">
        <v>42</v>
      </c>
      <c r="R1683" t="str">
        <f>"0590903"</f>
        <v>0590903</v>
      </c>
      <c r="S1683" t="s">
        <v>226</v>
      </c>
      <c r="T1683" t="s">
        <v>223</v>
      </c>
      <c r="U1683" t="s">
        <v>224</v>
      </c>
      <c r="V1683" t="s">
        <v>131</v>
      </c>
      <c r="W1683" t="s">
        <v>51</v>
      </c>
      <c r="X1683" t="s">
        <v>45</v>
      </c>
      <c r="Y1683" s="1">
        <v>23939</v>
      </c>
      <c r="Z1683">
        <v>2</v>
      </c>
      <c r="AA1683" t="s">
        <v>224</v>
      </c>
      <c r="AB1683" s="40" t="s">
        <v>1797</v>
      </c>
    </row>
    <row r="1684" spans="1:28" x14ac:dyDescent="0.25">
      <c r="A1684">
        <v>99911683</v>
      </c>
      <c r="B1684" t="s">
        <v>56</v>
      </c>
      <c r="C1684" t="s">
        <v>141</v>
      </c>
      <c r="D1684" t="s">
        <v>142</v>
      </c>
      <c r="G1684" t="s">
        <v>48</v>
      </c>
      <c r="H1684">
        <v>1</v>
      </c>
      <c r="K1684" t="s">
        <v>345</v>
      </c>
      <c r="L1684" t="s">
        <v>346</v>
      </c>
      <c r="M1684" t="s">
        <v>131</v>
      </c>
      <c r="N1684">
        <v>18</v>
      </c>
      <c r="P1684" t="s">
        <v>41</v>
      </c>
      <c r="Q1684" t="s">
        <v>49</v>
      </c>
      <c r="R1684" t="str">
        <f>"0591906"</f>
        <v>0591906</v>
      </c>
      <c r="S1684" t="s">
        <v>350</v>
      </c>
      <c r="T1684" t="s">
        <v>345</v>
      </c>
      <c r="U1684" t="s">
        <v>346</v>
      </c>
      <c r="V1684" t="s">
        <v>131</v>
      </c>
      <c r="W1684" t="s">
        <v>51</v>
      </c>
      <c r="X1684" t="s">
        <v>45</v>
      </c>
      <c r="Y1684" s="1">
        <v>23933</v>
      </c>
      <c r="Z1684">
        <v>2</v>
      </c>
      <c r="AA1684" t="s">
        <v>346</v>
      </c>
      <c r="AB1684" s="40" t="s">
        <v>1797</v>
      </c>
    </row>
    <row r="1685" spans="1:28" x14ac:dyDescent="0.25">
      <c r="A1685">
        <v>99911684</v>
      </c>
      <c r="B1685" t="s">
        <v>32</v>
      </c>
      <c r="C1685" t="s">
        <v>282</v>
      </c>
      <c r="D1685" t="s">
        <v>283</v>
      </c>
      <c r="G1685" t="s">
        <v>35</v>
      </c>
      <c r="H1685">
        <v>1</v>
      </c>
      <c r="K1685" t="s">
        <v>223</v>
      </c>
      <c r="L1685" t="s">
        <v>224</v>
      </c>
      <c r="M1685" t="s">
        <v>131</v>
      </c>
      <c r="N1685">
        <v>18</v>
      </c>
      <c r="P1685" t="s">
        <v>41</v>
      </c>
      <c r="Q1685" t="s">
        <v>49</v>
      </c>
      <c r="R1685" t="str">
        <f>"0581207"</f>
        <v>0581207</v>
      </c>
      <c r="S1685" t="s">
        <v>233</v>
      </c>
      <c r="T1685" t="s">
        <v>223</v>
      </c>
      <c r="U1685" t="s">
        <v>224</v>
      </c>
      <c r="V1685" t="s">
        <v>131</v>
      </c>
      <c r="W1685" t="s">
        <v>165</v>
      </c>
      <c r="X1685" t="s">
        <v>45</v>
      </c>
      <c r="Y1685" s="1">
        <v>23932</v>
      </c>
      <c r="Z1685">
        <v>2</v>
      </c>
      <c r="AA1685" t="s">
        <v>224</v>
      </c>
      <c r="AB1685" s="40" t="s">
        <v>1797</v>
      </c>
    </row>
    <row r="1686" spans="1:28" x14ac:dyDescent="0.25">
      <c r="A1686">
        <v>99911685</v>
      </c>
      <c r="B1686" t="s">
        <v>32</v>
      </c>
      <c r="C1686" t="s">
        <v>139</v>
      </c>
      <c r="D1686" t="s">
        <v>140</v>
      </c>
      <c r="G1686" t="s">
        <v>48</v>
      </c>
      <c r="H1686">
        <v>1</v>
      </c>
      <c r="K1686" t="s">
        <v>380</v>
      </c>
      <c r="L1686" t="s">
        <v>381</v>
      </c>
      <c r="M1686" t="s">
        <v>131</v>
      </c>
      <c r="N1686">
        <v>18</v>
      </c>
      <c r="P1686" t="s">
        <v>41</v>
      </c>
      <c r="Q1686" t="s">
        <v>42</v>
      </c>
      <c r="R1686" t="str">
        <f>"0590909"</f>
        <v>0590909</v>
      </c>
      <c r="S1686" t="s">
        <v>388</v>
      </c>
      <c r="T1686" t="s">
        <v>380</v>
      </c>
      <c r="U1686" t="s">
        <v>381</v>
      </c>
      <c r="V1686" t="s">
        <v>131</v>
      </c>
      <c r="W1686" t="s">
        <v>51</v>
      </c>
      <c r="X1686" t="s">
        <v>45</v>
      </c>
      <c r="Y1686" s="1">
        <v>23927</v>
      </c>
      <c r="Z1686">
        <v>2</v>
      </c>
      <c r="AA1686" t="s">
        <v>381</v>
      </c>
      <c r="AB1686" s="40" t="s">
        <v>1797</v>
      </c>
    </row>
    <row r="1687" spans="1:28" x14ac:dyDescent="0.25">
      <c r="A1687">
        <v>99911686</v>
      </c>
      <c r="B1687" t="s">
        <v>32</v>
      </c>
      <c r="C1687" t="s">
        <v>64</v>
      </c>
      <c r="D1687" t="s">
        <v>65</v>
      </c>
      <c r="G1687" t="s">
        <v>35</v>
      </c>
      <c r="H1687">
        <v>1</v>
      </c>
      <c r="I1687">
        <v>6983</v>
      </c>
      <c r="J1687" s="1">
        <v>43344</v>
      </c>
      <c r="K1687" t="s">
        <v>1306</v>
      </c>
      <c r="L1687" t="s">
        <v>1307</v>
      </c>
      <c r="M1687" t="s">
        <v>1270</v>
      </c>
      <c r="N1687">
        <v>18</v>
      </c>
      <c r="O1687" s="1">
        <v>43344</v>
      </c>
      <c r="P1687" t="s">
        <v>41</v>
      </c>
      <c r="Q1687" t="s">
        <v>49</v>
      </c>
      <c r="R1687" t="str">
        <f>"1991915"</f>
        <v>1991915</v>
      </c>
      <c r="S1687" t="s">
        <v>1316</v>
      </c>
      <c r="T1687" t="s">
        <v>1306</v>
      </c>
      <c r="U1687" t="s">
        <v>1307</v>
      </c>
      <c r="V1687" t="s">
        <v>1270</v>
      </c>
      <c r="W1687" t="s">
        <v>51</v>
      </c>
      <c r="X1687" t="s">
        <v>45</v>
      </c>
      <c r="Y1687" s="1">
        <v>23927</v>
      </c>
      <c r="Z1687">
        <v>2</v>
      </c>
      <c r="AA1687" t="s">
        <v>1307</v>
      </c>
      <c r="AB1687" s="40" t="s">
        <v>1797</v>
      </c>
    </row>
    <row r="1688" spans="1:28" x14ac:dyDescent="0.25">
      <c r="A1688">
        <v>99911687</v>
      </c>
      <c r="B1688" t="s">
        <v>32</v>
      </c>
      <c r="C1688" t="s">
        <v>46</v>
      </c>
      <c r="D1688" t="s">
        <v>47</v>
      </c>
      <c r="G1688" t="s">
        <v>48</v>
      </c>
      <c r="H1688">
        <v>13</v>
      </c>
      <c r="K1688" t="s">
        <v>129</v>
      </c>
      <c r="L1688" t="s">
        <v>130</v>
      </c>
      <c r="M1688" t="s">
        <v>131</v>
      </c>
      <c r="N1688">
        <v>18</v>
      </c>
      <c r="O1688" s="1">
        <v>32752</v>
      </c>
      <c r="P1688" t="s">
        <v>41</v>
      </c>
      <c r="Q1688" t="s">
        <v>42</v>
      </c>
      <c r="R1688" t="str">
        <f>"0561011"</f>
        <v>0561011</v>
      </c>
      <c r="S1688" t="s">
        <v>132</v>
      </c>
      <c r="T1688" t="s">
        <v>129</v>
      </c>
      <c r="U1688" t="s">
        <v>130</v>
      </c>
      <c r="V1688" t="s">
        <v>131</v>
      </c>
      <c r="W1688" t="s">
        <v>51</v>
      </c>
      <c r="X1688" t="s">
        <v>45</v>
      </c>
      <c r="Y1688" s="1">
        <v>23922</v>
      </c>
      <c r="Z1688">
        <v>2</v>
      </c>
      <c r="AA1688" t="s">
        <v>130</v>
      </c>
      <c r="AB1688" s="40" t="s">
        <v>1797</v>
      </c>
    </row>
    <row r="1689" spans="1:28" x14ac:dyDescent="0.25">
      <c r="A1689">
        <v>99911688</v>
      </c>
      <c r="B1689" t="s">
        <v>32</v>
      </c>
      <c r="C1689" t="s">
        <v>46</v>
      </c>
      <c r="D1689" t="s">
        <v>47</v>
      </c>
      <c r="G1689" t="s">
        <v>48</v>
      </c>
      <c r="H1689">
        <v>14</v>
      </c>
      <c r="K1689" t="s">
        <v>1268</v>
      </c>
      <c r="L1689" t="s">
        <v>1269</v>
      </c>
      <c r="M1689" t="s">
        <v>1270</v>
      </c>
      <c r="N1689">
        <v>18</v>
      </c>
      <c r="P1689" t="s">
        <v>41</v>
      </c>
      <c r="Q1689" t="s">
        <v>42</v>
      </c>
      <c r="R1689" t="str">
        <f>"1980060"</f>
        <v>1980060</v>
      </c>
      <c r="S1689" t="s">
        <v>1277</v>
      </c>
      <c r="T1689" t="s">
        <v>1268</v>
      </c>
      <c r="U1689" t="s">
        <v>1269</v>
      </c>
      <c r="V1689" t="s">
        <v>1270</v>
      </c>
      <c r="W1689" t="s">
        <v>51</v>
      </c>
      <c r="X1689" t="s">
        <v>45</v>
      </c>
      <c r="Y1689" s="1">
        <v>23921</v>
      </c>
      <c r="Z1689">
        <v>2</v>
      </c>
      <c r="AA1689" t="s">
        <v>1269</v>
      </c>
      <c r="AB1689" s="40" t="s">
        <v>1797</v>
      </c>
    </row>
    <row r="1690" spans="1:28" x14ac:dyDescent="0.25">
      <c r="A1690">
        <v>99911689</v>
      </c>
      <c r="B1690" t="s">
        <v>32</v>
      </c>
      <c r="C1690" t="s">
        <v>46</v>
      </c>
      <c r="D1690" t="s">
        <v>47</v>
      </c>
      <c r="G1690" t="s">
        <v>48</v>
      </c>
      <c r="H1690">
        <v>1</v>
      </c>
      <c r="K1690" t="s">
        <v>157</v>
      </c>
      <c r="L1690" t="s">
        <v>158</v>
      </c>
      <c r="M1690" t="s">
        <v>131</v>
      </c>
      <c r="N1690">
        <v>18</v>
      </c>
      <c r="P1690" t="s">
        <v>41</v>
      </c>
      <c r="Q1690" t="s">
        <v>42</v>
      </c>
      <c r="R1690" t="str">
        <f>"0580290"</f>
        <v>0580290</v>
      </c>
      <c r="S1690" t="s">
        <v>171</v>
      </c>
      <c r="T1690" t="s">
        <v>157</v>
      </c>
      <c r="U1690" t="s">
        <v>158</v>
      </c>
      <c r="V1690" t="s">
        <v>131</v>
      </c>
      <c r="W1690" t="s">
        <v>51</v>
      </c>
      <c r="X1690" t="s">
        <v>45</v>
      </c>
      <c r="Y1690" s="1">
        <v>23915</v>
      </c>
      <c r="Z1690">
        <v>2</v>
      </c>
      <c r="AA1690" t="s">
        <v>158</v>
      </c>
      <c r="AB1690" s="40" t="s">
        <v>1797</v>
      </c>
    </row>
    <row r="1691" spans="1:28" x14ac:dyDescent="0.25">
      <c r="A1691">
        <v>99911690</v>
      </c>
      <c r="B1691" t="s">
        <v>32</v>
      </c>
      <c r="C1691" t="s">
        <v>46</v>
      </c>
      <c r="D1691" t="s">
        <v>47</v>
      </c>
      <c r="G1691" t="s">
        <v>48</v>
      </c>
      <c r="H1691">
        <v>13</v>
      </c>
      <c r="K1691" t="s">
        <v>1268</v>
      </c>
      <c r="L1691" t="s">
        <v>1269</v>
      </c>
      <c r="M1691" t="s">
        <v>1270</v>
      </c>
      <c r="N1691">
        <v>18</v>
      </c>
      <c r="O1691" s="1">
        <v>43344</v>
      </c>
      <c r="P1691" t="s">
        <v>41</v>
      </c>
      <c r="Q1691" t="s">
        <v>42</v>
      </c>
      <c r="R1691" t="str">
        <f>"1980055"</f>
        <v>1980055</v>
      </c>
      <c r="S1691" t="s">
        <v>1285</v>
      </c>
      <c r="T1691" t="s">
        <v>1268</v>
      </c>
      <c r="U1691" t="s">
        <v>1269</v>
      </c>
      <c r="V1691" t="s">
        <v>1270</v>
      </c>
      <c r="W1691" t="s">
        <v>165</v>
      </c>
      <c r="X1691" t="s">
        <v>45</v>
      </c>
      <c r="Y1691" s="1">
        <v>23915</v>
      </c>
      <c r="Z1691">
        <v>2</v>
      </c>
      <c r="AA1691" t="s">
        <v>1269</v>
      </c>
      <c r="AB1691" s="40" t="s">
        <v>1797</v>
      </c>
    </row>
    <row r="1692" spans="1:28" x14ac:dyDescent="0.25">
      <c r="A1692">
        <v>99911691</v>
      </c>
      <c r="B1692" t="s">
        <v>56</v>
      </c>
      <c r="C1692" t="s">
        <v>52</v>
      </c>
      <c r="D1692" t="s">
        <v>53</v>
      </c>
      <c r="G1692" t="s">
        <v>48</v>
      </c>
      <c r="H1692">
        <v>1</v>
      </c>
      <c r="K1692" t="s">
        <v>345</v>
      </c>
      <c r="L1692" t="s">
        <v>346</v>
      </c>
      <c r="M1692" t="s">
        <v>131</v>
      </c>
      <c r="N1692">
        <v>18</v>
      </c>
      <c r="P1692" t="s">
        <v>41</v>
      </c>
      <c r="Q1692" t="s">
        <v>42</v>
      </c>
      <c r="R1692" t="str">
        <f>"0590906"</f>
        <v>0590906</v>
      </c>
      <c r="S1692" t="s">
        <v>361</v>
      </c>
      <c r="T1692" t="s">
        <v>345</v>
      </c>
      <c r="U1692" t="s">
        <v>346</v>
      </c>
      <c r="V1692" t="s">
        <v>131</v>
      </c>
      <c r="W1692" t="s">
        <v>51</v>
      </c>
      <c r="X1692" t="s">
        <v>45</v>
      </c>
      <c r="Y1692" s="1">
        <v>23902</v>
      </c>
      <c r="Z1692">
        <v>2</v>
      </c>
      <c r="AA1692" t="s">
        <v>346</v>
      </c>
      <c r="AB1692" s="40" t="s">
        <v>1797</v>
      </c>
    </row>
    <row r="1693" spans="1:28" x14ac:dyDescent="0.25">
      <c r="A1693">
        <v>99911692</v>
      </c>
      <c r="B1693" t="s">
        <v>32</v>
      </c>
      <c r="C1693" t="s">
        <v>64</v>
      </c>
      <c r="D1693" t="s">
        <v>65</v>
      </c>
      <c r="G1693" t="s">
        <v>48</v>
      </c>
      <c r="H1693">
        <v>15</v>
      </c>
      <c r="K1693" t="s">
        <v>1268</v>
      </c>
      <c r="L1693" t="s">
        <v>1269</v>
      </c>
      <c r="M1693" t="s">
        <v>1270</v>
      </c>
      <c r="N1693">
        <v>18</v>
      </c>
      <c r="O1693" s="1">
        <v>43344</v>
      </c>
      <c r="P1693" t="s">
        <v>41</v>
      </c>
      <c r="Q1693" t="s">
        <v>49</v>
      </c>
      <c r="R1693" t="str">
        <f>"1981055"</f>
        <v>1981055</v>
      </c>
      <c r="S1693" t="s">
        <v>1280</v>
      </c>
      <c r="T1693" t="s">
        <v>1268</v>
      </c>
      <c r="U1693" t="s">
        <v>1269</v>
      </c>
      <c r="V1693" t="s">
        <v>1270</v>
      </c>
      <c r="W1693" t="s">
        <v>51</v>
      </c>
      <c r="X1693" t="s">
        <v>45</v>
      </c>
      <c r="Y1693" s="1">
        <v>23902</v>
      </c>
      <c r="Z1693">
        <v>2</v>
      </c>
      <c r="AA1693" t="s">
        <v>1269</v>
      </c>
      <c r="AB1693" s="40" t="s">
        <v>1797</v>
      </c>
    </row>
    <row r="1694" spans="1:28" x14ac:dyDescent="0.25">
      <c r="A1694">
        <v>99911693</v>
      </c>
      <c r="B1694" t="s">
        <v>32</v>
      </c>
      <c r="C1694" t="s">
        <v>46</v>
      </c>
      <c r="D1694" t="s">
        <v>47</v>
      </c>
      <c r="G1694" t="s">
        <v>48</v>
      </c>
      <c r="H1694">
        <v>1</v>
      </c>
      <c r="K1694" t="s">
        <v>162</v>
      </c>
      <c r="L1694" t="s">
        <v>158</v>
      </c>
      <c r="M1694" t="s">
        <v>131</v>
      </c>
      <c r="N1694">
        <v>18</v>
      </c>
      <c r="P1694" t="s">
        <v>41</v>
      </c>
      <c r="Q1694" t="s">
        <v>42</v>
      </c>
      <c r="R1694" t="str">
        <f>"0580320"</f>
        <v>0580320</v>
      </c>
      <c r="S1694" t="s">
        <v>164</v>
      </c>
      <c r="T1694" t="s">
        <v>162</v>
      </c>
      <c r="U1694" t="s">
        <v>158</v>
      </c>
      <c r="V1694" t="s">
        <v>131</v>
      </c>
      <c r="W1694" t="s">
        <v>165</v>
      </c>
      <c r="X1694" t="s">
        <v>45</v>
      </c>
      <c r="Y1694" s="1">
        <v>23899</v>
      </c>
      <c r="Z1694">
        <v>2</v>
      </c>
      <c r="AA1694" t="s">
        <v>158</v>
      </c>
      <c r="AB1694" s="40" t="s">
        <v>1797</v>
      </c>
    </row>
    <row r="1695" spans="1:28" x14ac:dyDescent="0.25">
      <c r="A1695">
        <v>99911694</v>
      </c>
      <c r="B1695" t="s">
        <v>56</v>
      </c>
      <c r="C1695" t="s">
        <v>52</v>
      </c>
      <c r="D1695" t="s">
        <v>53</v>
      </c>
      <c r="G1695" t="s">
        <v>48</v>
      </c>
      <c r="H1695">
        <v>1</v>
      </c>
      <c r="K1695" t="s">
        <v>1268</v>
      </c>
      <c r="L1695" t="s">
        <v>1269</v>
      </c>
      <c r="M1695" t="s">
        <v>1270</v>
      </c>
      <c r="N1695">
        <v>18</v>
      </c>
      <c r="P1695" t="s">
        <v>41</v>
      </c>
      <c r="Q1695" t="s">
        <v>42</v>
      </c>
      <c r="R1695" t="str">
        <f>"1980050"</f>
        <v>1980050</v>
      </c>
      <c r="S1695" t="s">
        <v>1278</v>
      </c>
      <c r="T1695" t="s">
        <v>1268</v>
      </c>
      <c r="U1695" t="s">
        <v>1269</v>
      </c>
      <c r="V1695" t="s">
        <v>1270</v>
      </c>
      <c r="W1695" t="s">
        <v>51</v>
      </c>
      <c r="X1695" t="s">
        <v>45</v>
      </c>
      <c r="Y1695" s="1">
        <v>23894</v>
      </c>
      <c r="Z1695">
        <v>2</v>
      </c>
      <c r="AA1695" t="s">
        <v>1269</v>
      </c>
      <c r="AB1695" s="40" t="s">
        <v>1797</v>
      </c>
    </row>
    <row r="1696" spans="1:28" x14ac:dyDescent="0.25">
      <c r="A1696">
        <v>99911695</v>
      </c>
      <c r="B1696" t="s">
        <v>32</v>
      </c>
      <c r="C1696" t="s">
        <v>143</v>
      </c>
      <c r="D1696" t="s">
        <v>144</v>
      </c>
      <c r="G1696" t="s">
        <v>35</v>
      </c>
      <c r="H1696">
        <v>1</v>
      </c>
      <c r="K1696" t="s">
        <v>223</v>
      </c>
      <c r="L1696" t="s">
        <v>224</v>
      </c>
      <c r="M1696" t="s">
        <v>131</v>
      </c>
      <c r="N1696">
        <v>18</v>
      </c>
      <c r="P1696" t="s">
        <v>41</v>
      </c>
      <c r="Q1696" t="s">
        <v>49</v>
      </c>
      <c r="R1696" t="str">
        <f>"0591901"</f>
        <v>0591901</v>
      </c>
      <c r="S1696" t="s">
        <v>230</v>
      </c>
      <c r="T1696" t="s">
        <v>223</v>
      </c>
      <c r="U1696" t="s">
        <v>224</v>
      </c>
      <c r="V1696" t="s">
        <v>131</v>
      </c>
      <c r="W1696" t="s">
        <v>51</v>
      </c>
      <c r="X1696" t="s">
        <v>45</v>
      </c>
      <c r="Y1696" s="1">
        <v>23891</v>
      </c>
      <c r="Z1696">
        <v>2</v>
      </c>
      <c r="AA1696" t="s">
        <v>224</v>
      </c>
      <c r="AB1696" s="40" t="s">
        <v>1797</v>
      </c>
    </row>
    <row r="1697" spans="1:28" x14ac:dyDescent="0.25">
      <c r="A1697">
        <v>99911696</v>
      </c>
      <c r="B1697" t="s">
        <v>32</v>
      </c>
      <c r="C1697" t="s">
        <v>64</v>
      </c>
      <c r="D1697" t="s">
        <v>65</v>
      </c>
      <c r="G1697" t="s">
        <v>48</v>
      </c>
      <c r="H1697">
        <v>1</v>
      </c>
      <c r="K1697" t="s">
        <v>157</v>
      </c>
      <c r="L1697" t="s">
        <v>158</v>
      </c>
      <c r="M1697" t="s">
        <v>131</v>
      </c>
      <c r="N1697">
        <v>18</v>
      </c>
      <c r="P1697" t="s">
        <v>41</v>
      </c>
      <c r="Q1697" t="s">
        <v>49</v>
      </c>
      <c r="R1697" t="str">
        <f>"0560006"</f>
        <v>0560006</v>
      </c>
      <c r="S1697" t="s">
        <v>191</v>
      </c>
      <c r="T1697" t="s">
        <v>157</v>
      </c>
      <c r="U1697" t="s">
        <v>158</v>
      </c>
      <c r="V1697" t="s">
        <v>131</v>
      </c>
      <c r="W1697" t="s">
        <v>51</v>
      </c>
      <c r="X1697" t="s">
        <v>45</v>
      </c>
      <c r="Y1697" s="1">
        <v>23871</v>
      </c>
      <c r="Z1697">
        <v>2</v>
      </c>
      <c r="AA1697" t="s">
        <v>158</v>
      </c>
      <c r="AB1697" s="40" t="s">
        <v>1797</v>
      </c>
    </row>
    <row r="1698" spans="1:28" x14ac:dyDescent="0.25">
      <c r="A1698">
        <v>99911697</v>
      </c>
      <c r="B1698" t="s">
        <v>56</v>
      </c>
      <c r="C1698" t="s">
        <v>46</v>
      </c>
      <c r="D1698" t="s">
        <v>47</v>
      </c>
      <c r="G1698" t="s">
        <v>48</v>
      </c>
      <c r="H1698">
        <v>1</v>
      </c>
      <c r="K1698" t="s">
        <v>223</v>
      </c>
      <c r="L1698" t="s">
        <v>224</v>
      </c>
      <c r="M1698" t="s">
        <v>131</v>
      </c>
      <c r="N1698">
        <v>18</v>
      </c>
      <c r="P1698" t="s">
        <v>41</v>
      </c>
      <c r="Q1698" t="s">
        <v>42</v>
      </c>
      <c r="R1698" t="str">
        <f>"0580200"</f>
        <v>0580200</v>
      </c>
      <c r="S1698" t="s">
        <v>245</v>
      </c>
      <c r="T1698" t="s">
        <v>223</v>
      </c>
      <c r="U1698" t="s">
        <v>224</v>
      </c>
      <c r="V1698" t="s">
        <v>131</v>
      </c>
      <c r="W1698" t="s">
        <v>51</v>
      </c>
      <c r="X1698" t="s">
        <v>45</v>
      </c>
      <c r="Y1698" s="1">
        <v>23871</v>
      </c>
      <c r="Z1698">
        <v>2</v>
      </c>
      <c r="AA1698" t="s">
        <v>224</v>
      </c>
      <c r="AB1698" s="40" t="s">
        <v>1797</v>
      </c>
    </row>
    <row r="1699" spans="1:28" x14ac:dyDescent="0.25">
      <c r="A1699">
        <v>99911698</v>
      </c>
      <c r="B1699" t="s">
        <v>32</v>
      </c>
      <c r="C1699" t="s">
        <v>64</v>
      </c>
      <c r="D1699" t="s">
        <v>65</v>
      </c>
      <c r="G1699" t="s">
        <v>48</v>
      </c>
      <c r="H1699">
        <v>1</v>
      </c>
      <c r="K1699" t="s">
        <v>162</v>
      </c>
      <c r="L1699" t="s">
        <v>158</v>
      </c>
      <c r="M1699" t="s">
        <v>131</v>
      </c>
      <c r="N1699">
        <v>18</v>
      </c>
      <c r="P1699" t="s">
        <v>41</v>
      </c>
      <c r="Q1699" t="s">
        <v>42</v>
      </c>
      <c r="R1699" t="str">
        <f>"0580325"</f>
        <v>0580325</v>
      </c>
      <c r="S1699" t="s">
        <v>170</v>
      </c>
      <c r="T1699" t="s">
        <v>162</v>
      </c>
      <c r="U1699" t="s">
        <v>158</v>
      </c>
      <c r="V1699" t="s">
        <v>131</v>
      </c>
      <c r="W1699" t="s">
        <v>165</v>
      </c>
      <c r="X1699" t="s">
        <v>45</v>
      </c>
      <c r="Y1699" s="1">
        <v>23859</v>
      </c>
      <c r="Z1699">
        <v>2</v>
      </c>
      <c r="AA1699" t="s">
        <v>158</v>
      </c>
      <c r="AB1699" s="40" t="s">
        <v>1797</v>
      </c>
    </row>
    <row r="1700" spans="1:28" x14ac:dyDescent="0.25">
      <c r="A1700">
        <v>99911699</v>
      </c>
      <c r="B1700" t="s">
        <v>32</v>
      </c>
      <c r="C1700" t="s">
        <v>79</v>
      </c>
      <c r="D1700" t="s">
        <v>80</v>
      </c>
      <c r="G1700" t="s">
        <v>48</v>
      </c>
      <c r="H1700">
        <v>15</v>
      </c>
      <c r="K1700" t="s">
        <v>1268</v>
      </c>
      <c r="L1700" t="s">
        <v>1269</v>
      </c>
      <c r="M1700" t="s">
        <v>1270</v>
      </c>
      <c r="N1700">
        <v>18</v>
      </c>
      <c r="P1700" t="s">
        <v>41</v>
      </c>
      <c r="Q1700" t="s">
        <v>42</v>
      </c>
      <c r="R1700" t="str">
        <f>"1980060"</f>
        <v>1980060</v>
      </c>
      <c r="S1700" t="s">
        <v>1277</v>
      </c>
      <c r="T1700" t="s">
        <v>1268</v>
      </c>
      <c r="U1700" t="s">
        <v>1269</v>
      </c>
      <c r="V1700" t="s">
        <v>1270</v>
      </c>
      <c r="W1700" t="s">
        <v>51</v>
      </c>
      <c r="X1700" t="s">
        <v>45</v>
      </c>
      <c r="Y1700" s="1">
        <v>23847</v>
      </c>
      <c r="Z1700">
        <v>2</v>
      </c>
      <c r="AA1700" t="s">
        <v>1269</v>
      </c>
      <c r="AB1700" s="40" t="s">
        <v>1797</v>
      </c>
    </row>
    <row r="1701" spans="1:28" x14ac:dyDescent="0.25">
      <c r="A1701">
        <v>99911700</v>
      </c>
      <c r="B1701" t="s">
        <v>56</v>
      </c>
      <c r="C1701" t="s">
        <v>79</v>
      </c>
      <c r="D1701" t="s">
        <v>80</v>
      </c>
      <c r="G1701" t="s">
        <v>35</v>
      </c>
      <c r="H1701">
        <v>1</v>
      </c>
      <c r="K1701" t="s">
        <v>157</v>
      </c>
      <c r="L1701" t="s">
        <v>158</v>
      </c>
      <c r="M1701" t="s">
        <v>131</v>
      </c>
      <c r="N1701">
        <v>18</v>
      </c>
      <c r="P1701" t="s">
        <v>41</v>
      </c>
      <c r="Q1701" t="s">
        <v>49</v>
      </c>
      <c r="R1701" t="str">
        <f>"0560011"</f>
        <v>0560011</v>
      </c>
      <c r="S1701" t="s">
        <v>185</v>
      </c>
      <c r="T1701" t="s">
        <v>157</v>
      </c>
      <c r="U1701" t="s">
        <v>158</v>
      </c>
      <c r="V1701" t="s">
        <v>131</v>
      </c>
      <c r="W1701" t="s">
        <v>165</v>
      </c>
      <c r="X1701" t="s">
        <v>45</v>
      </c>
      <c r="Y1701" s="1">
        <v>23836</v>
      </c>
      <c r="Z1701">
        <v>2</v>
      </c>
      <c r="AA1701" t="s">
        <v>158</v>
      </c>
      <c r="AB1701" s="40" t="s">
        <v>1797</v>
      </c>
    </row>
    <row r="1702" spans="1:28" x14ac:dyDescent="0.25">
      <c r="A1702">
        <v>99911701</v>
      </c>
      <c r="B1702" t="s">
        <v>56</v>
      </c>
      <c r="C1702" t="s">
        <v>52</v>
      </c>
      <c r="D1702" t="s">
        <v>53</v>
      </c>
      <c r="G1702" t="s">
        <v>48</v>
      </c>
      <c r="H1702">
        <v>12</v>
      </c>
      <c r="K1702" t="s">
        <v>1268</v>
      </c>
      <c r="L1702" t="s">
        <v>1269</v>
      </c>
      <c r="M1702" t="s">
        <v>1270</v>
      </c>
      <c r="N1702">
        <v>18</v>
      </c>
      <c r="O1702" s="1">
        <v>43344</v>
      </c>
      <c r="P1702" t="s">
        <v>41</v>
      </c>
      <c r="Q1702" t="s">
        <v>42</v>
      </c>
      <c r="R1702" t="str">
        <f>"1980060"</f>
        <v>1980060</v>
      </c>
      <c r="S1702" t="s">
        <v>1277</v>
      </c>
      <c r="T1702" t="s">
        <v>1268</v>
      </c>
      <c r="U1702" t="s">
        <v>1269</v>
      </c>
      <c r="V1702" t="s">
        <v>1270</v>
      </c>
      <c r="W1702" t="s">
        <v>51</v>
      </c>
      <c r="X1702" t="s">
        <v>45</v>
      </c>
      <c r="Y1702" s="1">
        <v>23829</v>
      </c>
      <c r="Z1702">
        <v>2</v>
      </c>
      <c r="AA1702" t="s">
        <v>1269</v>
      </c>
      <c r="AB1702" s="40" t="s">
        <v>1797</v>
      </c>
    </row>
    <row r="1703" spans="1:28" x14ac:dyDescent="0.25">
      <c r="A1703">
        <v>99911702</v>
      </c>
      <c r="B1703" t="s">
        <v>32</v>
      </c>
      <c r="C1703" t="s">
        <v>52</v>
      </c>
      <c r="D1703" t="s">
        <v>53</v>
      </c>
      <c r="G1703" t="s">
        <v>48</v>
      </c>
      <c r="H1703">
        <v>12</v>
      </c>
      <c r="K1703" t="s">
        <v>129</v>
      </c>
      <c r="L1703" t="s">
        <v>130</v>
      </c>
      <c r="M1703" t="s">
        <v>131</v>
      </c>
      <c r="N1703">
        <v>18</v>
      </c>
      <c r="O1703" s="1">
        <v>34213</v>
      </c>
      <c r="P1703" t="s">
        <v>41</v>
      </c>
      <c r="Q1703" t="s">
        <v>42</v>
      </c>
      <c r="R1703" t="str">
        <f>"0561011"</f>
        <v>0561011</v>
      </c>
      <c r="S1703" t="s">
        <v>132</v>
      </c>
      <c r="T1703" t="s">
        <v>129</v>
      </c>
      <c r="U1703" t="s">
        <v>130</v>
      </c>
      <c r="V1703" t="s">
        <v>131</v>
      </c>
      <c r="W1703" t="s">
        <v>51</v>
      </c>
      <c r="X1703" t="s">
        <v>45</v>
      </c>
      <c r="Y1703" s="1">
        <v>23822</v>
      </c>
      <c r="Z1703">
        <v>2</v>
      </c>
      <c r="AA1703" t="s">
        <v>130</v>
      </c>
      <c r="AB1703" s="40" t="s">
        <v>1797</v>
      </c>
    </row>
    <row r="1704" spans="1:28" x14ac:dyDescent="0.25">
      <c r="A1704">
        <v>99911703</v>
      </c>
      <c r="B1704" t="s">
        <v>32</v>
      </c>
      <c r="C1704" t="s">
        <v>46</v>
      </c>
      <c r="D1704" t="s">
        <v>47</v>
      </c>
      <c r="G1704" t="s">
        <v>48</v>
      </c>
      <c r="H1704">
        <v>1</v>
      </c>
      <c r="K1704" t="s">
        <v>223</v>
      </c>
      <c r="L1704" t="s">
        <v>224</v>
      </c>
      <c r="M1704" t="s">
        <v>131</v>
      </c>
      <c r="N1704">
        <v>18</v>
      </c>
      <c r="P1704" t="s">
        <v>41</v>
      </c>
      <c r="Q1704" t="s">
        <v>49</v>
      </c>
      <c r="R1704" t="str">
        <f>"0540902"</f>
        <v>0540902</v>
      </c>
      <c r="S1704" t="s">
        <v>256</v>
      </c>
      <c r="T1704" t="s">
        <v>223</v>
      </c>
      <c r="U1704" t="s">
        <v>224</v>
      </c>
      <c r="V1704" t="s">
        <v>131</v>
      </c>
      <c r="W1704" t="s">
        <v>51</v>
      </c>
      <c r="X1704" t="s">
        <v>45</v>
      </c>
      <c r="Y1704" s="1">
        <v>23821</v>
      </c>
      <c r="Z1704">
        <v>2</v>
      </c>
      <c r="AA1704" t="s">
        <v>224</v>
      </c>
      <c r="AB1704" s="40" t="s">
        <v>1797</v>
      </c>
    </row>
    <row r="1705" spans="1:28" x14ac:dyDescent="0.25">
      <c r="A1705">
        <v>99911704</v>
      </c>
      <c r="B1705" t="s">
        <v>32</v>
      </c>
      <c r="C1705" t="s">
        <v>64</v>
      </c>
      <c r="D1705" t="s">
        <v>65</v>
      </c>
      <c r="G1705" t="s">
        <v>35</v>
      </c>
      <c r="H1705">
        <v>1</v>
      </c>
      <c r="K1705" t="s">
        <v>223</v>
      </c>
      <c r="L1705" t="s">
        <v>224</v>
      </c>
      <c r="M1705" t="s">
        <v>131</v>
      </c>
      <c r="N1705">
        <v>18</v>
      </c>
      <c r="P1705" t="s">
        <v>41</v>
      </c>
      <c r="Q1705" t="s">
        <v>49</v>
      </c>
      <c r="R1705" t="str">
        <f>"0581207"</f>
        <v>0581207</v>
      </c>
      <c r="S1705" t="s">
        <v>233</v>
      </c>
      <c r="T1705" t="s">
        <v>223</v>
      </c>
      <c r="U1705" t="s">
        <v>224</v>
      </c>
      <c r="V1705" t="s">
        <v>131</v>
      </c>
      <c r="W1705" t="s">
        <v>165</v>
      </c>
      <c r="X1705" t="s">
        <v>45</v>
      </c>
      <c r="Y1705" s="1">
        <v>23804</v>
      </c>
      <c r="Z1705">
        <v>2</v>
      </c>
      <c r="AA1705" t="s">
        <v>224</v>
      </c>
      <c r="AB1705" s="40" t="s">
        <v>1797</v>
      </c>
    </row>
    <row r="1706" spans="1:28" x14ac:dyDescent="0.25">
      <c r="A1706">
        <v>99911705</v>
      </c>
      <c r="B1706" t="s">
        <v>32</v>
      </c>
      <c r="C1706" t="s">
        <v>46</v>
      </c>
      <c r="D1706" t="s">
        <v>47</v>
      </c>
      <c r="G1706" t="s">
        <v>48</v>
      </c>
      <c r="H1706">
        <v>1</v>
      </c>
      <c r="K1706" t="s">
        <v>223</v>
      </c>
      <c r="L1706" t="s">
        <v>224</v>
      </c>
      <c r="M1706" t="s">
        <v>131</v>
      </c>
      <c r="N1706">
        <v>18</v>
      </c>
      <c r="P1706" t="s">
        <v>41</v>
      </c>
      <c r="Q1706" t="s">
        <v>42</v>
      </c>
      <c r="R1706" t="str">
        <f>"0580200"</f>
        <v>0580200</v>
      </c>
      <c r="S1706" t="s">
        <v>245</v>
      </c>
      <c r="T1706" t="s">
        <v>223</v>
      </c>
      <c r="U1706" t="s">
        <v>224</v>
      </c>
      <c r="V1706" t="s">
        <v>131</v>
      </c>
      <c r="W1706" t="s">
        <v>51</v>
      </c>
      <c r="X1706" t="s">
        <v>45</v>
      </c>
      <c r="Y1706" s="1">
        <v>23798</v>
      </c>
      <c r="Z1706">
        <v>2</v>
      </c>
      <c r="AA1706" t="s">
        <v>224</v>
      </c>
      <c r="AB1706" s="40" t="s">
        <v>1797</v>
      </c>
    </row>
    <row r="1707" spans="1:28" x14ac:dyDescent="0.25">
      <c r="A1707">
        <v>99911706</v>
      </c>
      <c r="B1707" t="s">
        <v>32</v>
      </c>
      <c r="C1707" t="s">
        <v>46</v>
      </c>
      <c r="D1707" t="s">
        <v>47</v>
      </c>
      <c r="G1707" t="s">
        <v>35</v>
      </c>
      <c r="H1707">
        <v>1</v>
      </c>
      <c r="K1707" t="s">
        <v>223</v>
      </c>
      <c r="L1707" t="s">
        <v>224</v>
      </c>
      <c r="M1707" t="s">
        <v>131</v>
      </c>
      <c r="N1707">
        <v>18</v>
      </c>
      <c r="P1707" t="s">
        <v>41</v>
      </c>
      <c r="Q1707" t="s">
        <v>42</v>
      </c>
      <c r="R1707" t="str">
        <f>"0590901"</f>
        <v>0590901</v>
      </c>
      <c r="S1707" t="s">
        <v>242</v>
      </c>
      <c r="T1707" t="s">
        <v>223</v>
      </c>
      <c r="U1707" t="s">
        <v>224</v>
      </c>
      <c r="V1707" t="s">
        <v>131</v>
      </c>
      <c r="W1707" t="s">
        <v>165</v>
      </c>
      <c r="X1707" t="s">
        <v>45</v>
      </c>
      <c r="Y1707" s="1">
        <v>23792</v>
      </c>
      <c r="Z1707">
        <v>2</v>
      </c>
      <c r="AA1707" t="s">
        <v>224</v>
      </c>
      <c r="AB1707" s="40" t="s">
        <v>1797</v>
      </c>
    </row>
    <row r="1708" spans="1:28" x14ac:dyDescent="0.25">
      <c r="A1708">
        <v>99911707</v>
      </c>
      <c r="B1708" t="s">
        <v>32</v>
      </c>
      <c r="C1708" t="s">
        <v>64</v>
      </c>
      <c r="D1708" t="s">
        <v>65</v>
      </c>
      <c r="G1708" t="s">
        <v>48</v>
      </c>
      <c r="H1708">
        <v>1</v>
      </c>
      <c r="K1708" t="s">
        <v>157</v>
      </c>
      <c r="L1708" t="s">
        <v>158</v>
      </c>
      <c r="M1708" t="s">
        <v>131</v>
      </c>
      <c r="N1708">
        <v>18</v>
      </c>
      <c r="P1708" t="s">
        <v>41</v>
      </c>
      <c r="Q1708" t="s">
        <v>49</v>
      </c>
      <c r="R1708" t="str">
        <f>"0560010"</f>
        <v>0560010</v>
      </c>
      <c r="S1708" t="s">
        <v>179</v>
      </c>
      <c r="T1708" t="s">
        <v>157</v>
      </c>
      <c r="U1708" t="s">
        <v>158</v>
      </c>
      <c r="V1708" t="s">
        <v>131</v>
      </c>
      <c r="W1708" t="s">
        <v>51</v>
      </c>
      <c r="X1708" t="s">
        <v>45</v>
      </c>
      <c r="Y1708" s="1">
        <v>23781</v>
      </c>
      <c r="Z1708">
        <v>2</v>
      </c>
      <c r="AA1708" t="s">
        <v>158</v>
      </c>
      <c r="AB1708" s="40" t="s">
        <v>1797</v>
      </c>
    </row>
    <row r="1709" spans="1:28" x14ac:dyDescent="0.25">
      <c r="A1709">
        <v>99911708</v>
      </c>
      <c r="B1709" t="s">
        <v>56</v>
      </c>
      <c r="C1709" t="s">
        <v>46</v>
      </c>
      <c r="D1709" t="s">
        <v>47</v>
      </c>
      <c r="G1709" t="s">
        <v>48</v>
      </c>
      <c r="H1709">
        <v>1</v>
      </c>
      <c r="K1709" t="s">
        <v>223</v>
      </c>
      <c r="L1709" t="s">
        <v>224</v>
      </c>
      <c r="M1709" t="s">
        <v>131</v>
      </c>
      <c r="N1709">
        <v>18</v>
      </c>
      <c r="P1709" t="s">
        <v>41</v>
      </c>
      <c r="Q1709" t="s">
        <v>42</v>
      </c>
      <c r="R1709" t="str">
        <f>"0580206"</f>
        <v>0580206</v>
      </c>
      <c r="S1709" t="s">
        <v>237</v>
      </c>
      <c r="T1709" t="s">
        <v>223</v>
      </c>
      <c r="U1709" t="s">
        <v>224</v>
      </c>
      <c r="V1709" t="s">
        <v>131</v>
      </c>
      <c r="W1709" t="s">
        <v>51</v>
      </c>
      <c r="X1709" t="s">
        <v>45</v>
      </c>
      <c r="Y1709" s="1">
        <v>23781</v>
      </c>
      <c r="Z1709">
        <v>2</v>
      </c>
      <c r="AA1709" t="s">
        <v>224</v>
      </c>
      <c r="AB1709" s="40" t="s">
        <v>1797</v>
      </c>
    </row>
    <row r="1710" spans="1:28" x14ac:dyDescent="0.25">
      <c r="A1710">
        <v>99911709</v>
      </c>
      <c r="B1710" t="s">
        <v>32</v>
      </c>
      <c r="C1710" t="s">
        <v>145</v>
      </c>
      <c r="D1710" t="s">
        <v>146</v>
      </c>
      <c r="G1710" t="s">
        <v>48</v>
      </c>
      <c r="H1710">
        <v>1</v>
      </c>
      <c r="K1710" t="s">
        <v>223</v>
      </c>
      <c r="L1710" t="s">
        <v>224</v>
      </c>
      <c r="M1710" t="s">
        <v>131</v>
      </c>
      <c r="N1710">
        <v>18</v>
      </c>
      <c r="P1710" t="s">
        <v>41</v>
      </c>
      <c r="Q1710" t="s">
        <v>42</v>
      </c>
      <c r="R1710" t="str">
        <f>"0580202"</f>
        <v>0580202</v>
      </c>
      <c r="S1710" t="s">
        <v>240</v>
      </c>
      <c r="T1710" t="s">
        <v>223</v>
      </c>
      <c r="U1710" t="s">
        <v>224</v>
      </c>
      <c r="V1710" t="s">
        <v>131</v>
      </c>
      <c r="W1710" t="s">
        <v>51</v>
      </c>
      <c r="X1710" t="s">
        <v>45</v>
      </c>
      <c r="Y1710" s="1">
        <v>23780</v>
      </c>
      <c r="Z1710">
        <v>2</v>
      </c>
      <c r="AA1710" t="s">
        <v>224</v>
      </c>
      <c r="AB1710" s="40" t="s">
        <v>1797</v>
      </c>
    </row>
    <row r="1711" spans="1:28" x14ac:dyDescent="0.25">
      <c r="A1711">
        <v>99911710</v>
      </c>
      <c r="B1711" t="s">
        <v>56</v>
      </c>
      <c r="C1711" t="s">
        <v>79</v>
      </c>
      <c r="D1711" t="s">
        <v>80</v>
      </c>
      <c r="G1711" t="s">
        <v>48</v>
      </c>
      <c r="H1711">
        <v>1</v>
      </c>
      <c r="K1711" t="s">
        <v>157</v>
      </c>
      <c r="L1711" t="s">
        <v>158</v>
      </c>
      <c r="M1711" t="s">
        <v>131</v>
      </c>
      <c r="N1711">
        <v>18</v>
      </c>
      <c r="P1711" t="s">
        <v>41</v>
      </c>
      <c r="Q1711" t="s">
        <v>42</v>
      </c>
      <c r="R1711" t="str">
        <f>"0580250"</f>
        <v>0580250</v>
      </c>
      <c r="S1711" t="s">
        <v>160</v>
      </c>
      <c r="T1711" t="s">
        <v>157</v>
      </c>
      <c r="U1711" t="s">
        <v>158</v>
      </c>
      <c r="V1711" t="s">
        <v>131</v>
      </c>
      <c r="W1711" t="s">
        <v>51</v>
      </c>
      <c r="X1711" t="s">
        <v>45</v>
      </c>
      <c r="Y1711" s="1">
        <v>23775</v>
      </c>
      <c r="Z1711">
        <v>2</v>
      </c>
      <c r="AA1711" t="s">
        <v>158</v>
      </c>
      <c r="AB1711" s="40" t="s">
        <v>1797</v>
      </c>
    </row>
    <row r="1712" spans="1:28" x14ac:dyDescent="0.25">
      <c r="A1712">
        <v>99911711</v>
      </c>
      <c r="B1712" t="s">
        <v>32</v>
      </c>
      <c r="C1712" t="s">
        <v>46</v>
      </c>
      <c r="D1712" t="s">
        <v>47</v>
      </c>
      <c r="G1712" t="s">
        <v>48</v>
      </c>
      <c r="H1712">
        <v>1</v>
      </c>
      <c r="K1712" t="s">
        <v>345</v>
      </c>
      <c r="L1712" t="s">
        <v>346</v>
      </c>
      <c r="M1712" t="s">
        <v>131</v>
      </c>
      <c r="N1712">
        <v>18</v>
      </c>
      <c r="P1712" t="s">
        <v>41</v>
      </c>
      <c r="Q1712" t="s">
        <v>42</v>
      </c>
      <c r="R1712" t="str">
        <f>"0561019"</f>
        <v>0561019</v>
      </c>
      <c r="S1712" t="s">
        <v>351</v>
      </c>
      <c r="T1712" t="s">
        <v>345</v>
      </c>
      <c r="U1712" t="s">
        <v>346</v>
      </c>
      <c r="V1712" t="s">
        <v>131</v>
      </c>
      <c r="W1712" t="s">
        <v>51</v>
      </c>
      <c r="X1712" t="s">
        <v>45</v>
      </c>
      <c r="Y1712" s="1">
        <v>23773</v>
      </c>
      <c r="Z1712">
        <v>2</v>
      </c>
      <c r="AA1712" t="s">
        <v>346</v>
      </c>
      <c r="AB1712" s="40" t="s">
        <v>1797</v>
      </c>
    </row>
    <row r="1713" spans="1:28" x14ac:dyDescent="0.25">
      <c r="A1713">
        <v>99911712</v>
      </c>
      <c r="B1713" t="s">
        <v>56</v>
      </c>
      <c r="C1713" t="s">
        <v>79</v>
      </c>
      <c r="D1713" t="s">
        <v>80</v>
      </c>
      <c r="G1713" t="s">
        <v>48</v>
      </c>
      <c r="H1713">
        <v>1</v>
      </c>
      <c r="K1713" t="s">
        <v>1268</v>
      </c>
      <c r="L1713" t="s">
        <v>1269</v>
      </c>
      <c r="M1713" t="s">
        <v>1270</v>
      </c>
      <c r="N1713">
        <v>18</v>
      </c>
      <c r="P1713" t="s">
        <v>41</v>
      </c>
      <c r="Q1713" t="s">
        <v>42</v>
      </c>
      <c r="R1713" t="str">
        <f>"1980050"</f>
        <v>1980050</v>
      </c>
      <c r="S1713" t="s">
        <v>1278</v>
      </c>
      <c r="T1713" t="s">
        <v>1268</v>
      </c>
      <c r="U1713" t="s">
        <v>1269</v>
      </c>
      <c r="V1713" t="s">
        <v>1270</v>
      </c>
      <c r="W1713" t="s">
        <v>51</v>
      </c>
      <c r="X1713" t="s">
        <v>45</v>
      </c>
      <c r="Y1713" s="1">
        <v>23772</v>
      </c>
      <c r="Z1713">
        <v>2</v>
      </c>
      <c r="AA1713" t="s">
        <v>1269</v>
      </c>
      <c r="AB1713" s="40" t="s">
        <v>1797</v>
      </c>
    </row>
    <row r="1714" spans="1:28" x14ac:dyDescent="0.25">
      <c r="A1714">
        <v>99911713</v>
      </c>
      <c r="B1714" t="s">
        <v>56</v>
      </c>
      <c r="C1714" t="s">
        <v>79</v>
      </c>
      <c r="D1714" t="s">
        <v>80</v>
      </c>
      <c r="G1714" t="s">
        <v>35</v>
      </c>
      <c r="H1714">
        <v>1</v>
      </c>
      <c r="K1714" t="s">
        <v>223</v>
      </c>
      <c r="L1714" t="s">
        <v>224</v>
      </c>
      <c r="M1714" t="s">
        <v>131</v>
      </c>
      <c r="N1714">
        <v>18</v>
      </c>
      <c r="P1714" t="s">
        <v>41</v>
      </c>
      <c r="Q1714" t="s">
        <v>49</v>
      </c>
      <c r="R1714" t="str">
        <f>"0591901"</f>
        <v>0591901</v>
      </c>
      <c r="S1714" t="s">
        <v>230</v>
      </c>
      <c r="T1714" t="s">
        <v>223</v>
      </c>
      <c r="U1714" t="s">
        <v>224</v>
      </c>
      <c r="V1714" t="s">
        <v>131</v>
      </c>
      <c r="W1714" t="s">
        <v>165</v>
      </c>
      <c r="X1714" t="s">
        <v>45</v>
      </c>
      <c r="Y1714" s="1">
        <v>23765</v>
      </c>
      <c r="Z1714">
        <v>2</v>
      </c>
      <c r="AA1714" t="s">
        <v>224</v>
      </c>
      <c r="AB1714" s="40" t="s">
        <v>1797</v>
      </c>
    </row>
    <row r="1715" spans="1:28" x14ac:dyDescent="0.25">
      <c r="A1715">
        <v>99911714</v>
      </c>
      <c r="B1715" t="s">
        <v>32</v>
      </c>
      <c r="C1715" t="s">
        <v>145</v>
      </c>
      <c r="D1715" t="s">
        <v>146</v>
      </c>
      <c r="G1715" t="s">
        <v>48</v>
      </c>
      <c r="H1715">
        <v>1</v>
      </c>
      <c r="K1715" t="s">
        <v>1613</v>
      </c>
      <c r="L1715" t="s">
        <v>1614</v>
      </c>
      <c r="M1715" t="s">
        <v>1592</v>
      </c>
      <c r="N1715">
        <v>18</v>
      </c>
      <c r="P1715" t="s">
        <v>41</v>
      </c>
      <c r="Q1715" t="s">
        <v>42</v>
      </c>
      <c r="R1715" t="str">
        <f>"2880010"</f>
        <v>2880010</v>
      </c>
      <c r="S1715" t="s">
        <v>1623</v>
      </c>
      <c r="T1715" t="s">
        <v>1613</v>
      </c>
      <c r="U1715" t="s">
        <v>1614</v>
      </c>
      <c r="V1715" t="s">
        <v>1592</v>
      </c>
      <c r="W1715" t="s">
        <v>51</v>
      </c>
      <c r="X1715" t="s">
        <v>45</v>
      </c>
      <c r="Y1715" s="1">
        <v>23761</v>
      </c>
      <c r="Z1715">
        <v>2</v>
      </c>
      <c r="AA1715" t="s">
        <v>1614</v>
      </c>
      <c r="AB1715" s="40" t="s">
        <v>1797</v>
      </c>
    </row>
    <row r="1716" spans="1:28" x14ac:dyDescent="0.25">
      <c r="A1716">
        <v>99911715</v>
      </c>
      <c r="B1716" t="s">
        <v>32</v>
      </c>
      <c r="C1716" t="s">
        <v>64</v>
      </c>
      <c r="D1716" t="s">
        <v>65</v>
      </c>
      <c r="G1716" t="s">
        <v>48</v>
      </c>
      <c r="H1716">
        <v>1</v>
      </c>
      <c r="K1716" t="s">
        <v>1268</v>
      </c>
      <c r="L1716" t="s">
        <v>1269</v>
      </c>
      <c r="M1716" t="s">
        <v>1270</v>
      </c>
      <c r="N1716">
        <v>18</v>
      </c>
      <c r="P1716" t="s">
        <v>41</v>
      </c>
      <c r="Q1716" t="s">
        <v>42</v>
      </c>
      <c r="R1716" t="str">
        <f>"1990910"</f>
        <v>1990910</v>
      </c>
      <c r="S1716" t="s">
        <v>1281</v>
      </c>
      <c r="T1716" t="s">
        <v>1268</v>
      </c>
      <c r="U1716" t="s">
        <v>1269</v>
      </c>
      <c r="V1716" t="s">
        <v>1270</v>
      </c>
      <c r="W1716" t="s">
        <v>165</v>
      </c>
      <c r="X1716" t="s">
        <v>45</v>
      </c>
      <c r="Y1716" s="1">
        <v>23752</v>
      </c>
      <c r="Z1716">
        <v>2</v>
      </c>
      <c r="AA1716" t="s">
        <v>1269</v>
      </c>
      <c r="AB1716" s="40" t="s">
        <v>1797</v>
      </c>
    </row>
    <row r="1717" spans="1:28" x14ac:dyDescent="0.25">
      <c r="A1717">
        <v>99911716</v>
      </c>
      <c r="B1717" t="s">
        <v>32</v>
      </c>
      <c r="C1717" t="s">
        <v>64</v>
      </c>
      <c r="D1717" t="s">
        <v>65</v>
      </c>
      <c r="G1717" t="s">
        <v>48</v>
      </c>
      <c r="H1717">
        <v>13</v>
      </c>
      <c r="K1717" t="s">
        <v>345</v>
      </c>
      <c r="L1717" t="s">
        <v>346</v>
      </c>
      <c r="M1717" t="s">
        <v>131</v>
      </c>
      <c r="N1717">
        <v>18</v>
      </c>
      <c r="P1717" t="s">
        <v>41</v>
      </c>
      <c r="Q1717" t="s">
        <v>49</v>
      </c>
      <c r="R1717" t="str">
        <f>"0591906"</f>
        <v>0591906</v>
      </c>
      <c r="S1717" t="s">
        <v>350</v>
      </c>
      <c r="T1717" t="s">
        <v>345</v>
      </c>
      <c r="U1717" t="s">
        <v>346</v>
      </c>
      <c r="V1717" t="s">
        <v>131</v>
      </c>
      <c r="W1717" t="s">
        <v>51</v>
      </c>
      <c r="X1717" t="s">
        <v>45</v>
      </c>
      <c r="Y1717" s="1">
        <v>23746</v>
      </c>
      <c r="Z1717">
        <v>2</v>
      </c>
      <c r="AA1717" t="s">
        <v>346</v>
      </c>
      <c r="AB1717" s="40" t="s">
        <v>1797</v>
      </c>
    </row>
    <row r="1718" spans="1:28" x14ac:dyDescent="0.25">
      <c r="A1718">
        <v>99911717</v>
      </c>
      <c r="B1718" t="s">
        <v>56</v>
      </c>
      <c r="C1718" t="s">
        <v>68</v>
      </c>
      <c r="D1718" t="s">
        <v>69</v>
      </c>
      <c r="G1718" t="s">
        <v>48</v>
      </c>
      <c r="H1718">
        <v>1</v>
      </c>
      <c r="K1718" t="s">
        <v>162</v>
      </c>
      <c r="L1718" t="s">
        <v>158</v>
      </c>
      <c r="M1718" t="s">
        <v>131</v>
      </c>
      <c r="N1718">
        <v>18</v>
      </c>
      <c r="P1718" t="s">
        <v>41</v>
      </c>
      <c r="Q1718" t="s">
        <v>42</v>
      </c>
      <c r="R1718" t="str">
        <f>"0580330"</f>
        <v>0580330</v>
      </c>
      <c r="S1718" t="s">
        <v>176</v>
      </c>
      <c r="T1718" t="s">
        <v>162</v>
      </c>
      <c r="U1718" t="s">
        <v>158</v>
      </c>
      <c r="V1718" t="s">
        <v>131</v>
      </c>
      <c r="W1718" t="s">
        <v>51</v>
      </c>
      <c r="X1718" t="s">
        <v>45</v>
      </c>
      <c r="Y1718" s="1">
        <v>23745</v>
      </c>
      <c r="Z1718">
        <v>2</v>
      </c>
      <c r="AA1718" t="s">
        <v>158</v>
      </c>
      <c r="AB1718" s="40" t="s">
        <v>1797</v>
      </c>
    </row>
    <row r="1719" spans="1:28" x14ac:dyDescent="0.25">
      <c r="A1719">
        <v>99911718</v>
      </c>
      <c r="B1719" t="s">
        <v>56</v>
      </c>
      <c r="C1719" t="s">
        <v>79</v>
      </c>
      <c r="D1719" t="s">
        <v>80</v>
      </c>
      <c r="G1719" t="s">
        <v>35</v>
      </c>
      <c r="H1719">
        <v>1</v>
      </c>
      <c r="I1719">
        <v>2732</v>
      </c>
      <c r="J1719" s="1">
        <v>43344</v>
      </c>
      <c r="K1719" t="s">
        <v>268</v>
      </c>
      <c r="L1719" t="s">
        <v>269</v>
      </c>
      <c r="M1719" t="s">
        <v>131</v>
      </c>
      <c r="N1719">
        <v>18</v>
      </c>
      <c r="P1719" t="s">
        <v>41</v>
      </c>
      <c r="Q1719" t="s">
        <v>75</v>
      </c>
      <c r="R1719" t="str">
        <f>"7052012"</f>
        <v>7052012</v>
      </c>
      <c r="S1719" t="s">
        <v>270</v>
      </c>
      <c r="T1719" t="s">
        <v>268</v>
      </c>
      <c r="U1719" t="s">
        <v>269</v>
      </c>
      <c r="V1719" t="s">
        <v>131</v>
      </c>
      <c r="W1719" t="s">
        <v>51</v>
      </c>
      <c r="X1719" t="s">
        <v>45</v>
      </c>
      <c r="Y1719" s="1">
        <v>23743</v>
      </c>
      <c r="Z1719">
        <v>1</v>
      </c>
      <c r="AA1719" t="s">
        <v>269</v>
      </c>
      <c r="AB1719" s="40" t="s">
        <v>1797</v>
      </c>
    </row>
    <row r="1720" spans="1:28" x14ac:dyDescent="0.25">
      <c r="A1720">
        <v>99911719</v>
      </c>
      <c r="B1720" t="s">
        <v>56</v>
      </c>
      <c r="C1720" t="s">
        <v>52</v>
      </c>
      <c r="D1720" t="s">
        <v>53</v>
      </c>
      <c r="G1720" t="s">
        <v>48</v>
      </c>
      <c r="H1720">
        <v>1</v>
      </c>
      <c r="K1720" t="s">
        <v>223</v>
      </c>
      <c r="L1720" t="s">
        <v>224</v>
      </c>
      <c r="M1720" t="s">
        <v>131</v>
      </c>
      <c r="N1720">
        <v>18</v>
      </c>
      <c r="P1720" t="s">
        <v>41</v>
      </c>
      <c r="Q1720" t="s">
        <v>42</v>
      </c>
      <c r="R1720" t="str">
        <f>"0580204"</f>
        <v>0580204</v>
      </c>
      <c r="S1720" t="s">
        <v>235</v>
      </c>
      <c r="T1720" t="s">
        <v>223</v>
      </c>
      <c r="U1720" t="s">
        <v>224</v>
      </c>
      <c r="V1720" t="s">
        <v>131</v>
      </c>
      <c r="W1720" t="s">
        <v>165</v>
      </c>
      <c r="X1720" t="s">
        <v>45</v>
      </c>
      <c r="Y1720" s="1">
        <v>23731</v>
      </c>
      <c r="Z1720">
        <v>2</v>
      </c>
      <c r="AA1720" t="s">
        <v>224</v>
      </c>
      <c r="AB1720" s="40" t="s">
        <v>1797</v>
      </c>
    </row>
    <row r="1721" spans="1:28" x14ac:dyDescent="0.25">
      <c r="A1721">
        <v>99911720</v>
      </c>
      <c r="B1721" t="s">
        <v>56</v>
      </c>
      <c r="C1721" t="s">
        <v>68</v>
      </c>
      <c r="D1721" t="s">
        <v>69</v>
      </c>
      <c r="G1721" t="s">
        <v>48</v>
      </c>
      <c r="H1721">
        <v>1</v>
      </c>
      <c r="I1721" t="s">
        <v>1315</v>
      </c>
      <c r="K1721" t="s">
        <v>1306</v>
      </c>
      <c r="L1721" t="s">
        <v>1307</v>
      </c>
      <c r="M1721" t="s">
        <v>1270</v>
      </c>
      <c r="N1721">
        <v>18</v>
      </c>
      <c r="P1721" t="s">
        <v>41</v>
      </c>
      <c r="Q1721" t="s">
        <v>49</v>
      </c>
      <c r="R1721" t="str">
        <f>"1991913"</f>
        <v>1991913</v>
      </c>
      <c r="S1721" t="s">
        <v>1310</v>
      </c>
      <c r="T1721" t="s">
        <v>1306</v>
      </c>
      <c r="U1721" t="s">
        <v>1307</v>
      </c>
      <c r="V1721" t="s">
        <v>1270</v>
      </c>
      <c r="W1721" t="s">
        <v>51</v>
      </c>
      <c r="X1721" t="s">
        <v>45</v>
      </c>
      <c r="Y1721" s="1">
        <v>23730</v>
      </c>
      <c r="Z1721">
        <v>2</v>
      </c>
      <c r="AA1721" t="s">
        <v>1307</v>
      </c>
      <c r="AB1721" s="40" t="s">
        <v>1797</v>
      </c>
    </row>
    <row r="1722" spans="1:28" x14ac:dyDescent="0.25">
      <c r="A1722">
        <v>99911721</v>
      </c>
      <c r="B1722" t="s">
        <v>32</v>
      </c>
      <c r="C1722" t="s">
        <v>139</v>
      </c>
      <c r="D1722" t="s">
        <v>140</v>
      </c>
      <c r="G1722" t="s">
        <v>48</v>
      </c>
      <c r="H1722">
        <v>1</v>
      </c>
      <c r="K1722" t="s">
        <v>223</v>
      </c>
      <c r="L1722" t="s">
        <v>224</v>
      </c>
      <c r="M1722" t="s">
        <v>131</v>
      </c>
      <c r="N1722">
        <v>18</v>
      </c>
      <c r="P1722" t="s">
        <v>41</v>
      </c>
      <c r="Q1722" t="s">
        <v>49</v>
      </c>
      <c r="R1722" t="str">
        <f>"0581206"</f>
        <v>0581206</v>
      </c>
      <c r="S1722" t="s">
        <v>232</v>
      </c>
      <c r="T1722" t="s">
        <v>223</v>
      </c>
      <c r="U1722" t="s">
        <v>224</v>
      </c>
      <c r="V1722" t="s">
        <v>131</v>
      </c>
      <c r="W1722" t="s">
        <v>51</v>
      </c>
      <c r="X1722" t="s">
        <v>45</v>
      </c>
      <c r="Y1722" s="1">
        <v>23726</v>
      </c>
      <c r="Z1722">
        <v>2</v>
      </c>
      <c r="AA1722" t="s">
        <v>224</v>
      </c>
      <c r="AB1722" s="40" t="s">
        <v>1797</v>
      </c>
    </row>
    <row r="1723" spans="1:28" x14ac:dyDescent="0.25">
      <c r="A1723">
        <v>99911722</v>
      </c>
      <c r="B1723" t="s">
        <v>32</v>
      </c>
      <c r="C1723" t="s">
        <v>46</v>
      </c>
      <c r="D1723" t="s">
        <v>47</v>
      </c>
      <c r="G1723" t="s">
        <v>48</v>
      </c>
      <c r="H1723">
        <v>2</v>
      </c>
      <c r="K1723" t="s">
        <v>129</v>
      </c>
      <c r="L1723" t="s">
        <v>130</v>
      </c>
      <c r="M1723" t="s">
        <v>131</v>
      </c>
      <c r="N1723">
        <v>18</v>
      </c>
      <c r="P1723" t="s">
        <v>41</v>
      </c>
      <c r="Q1723" t="s">
        <v>42</v>
      </c>
      <c r="R1723" t="str">
        <f>"0590905"</f>
        <v>0590905</v>
      </c>
      <c r="S1723" t="s">
        <v>133</v>
      </c>
      <c r="T1723" t="s">
        <v>129</v>
      </c>
      <c r="U1723" t="s">
        <v>130</v>
      </c>
      <c r="V1723" t="s">
        <v>131</v>
      </c>
      <c r="W1723" t="s">
        <v>51</v>
      </c>
      <c r="X1723" t="s">
        <v>45</v>
      </c>
      <c r="Y1723" s="1">
        <v>23718</v>
      </c>
      <c r="Z1723">
        <v>2</v>
      </c>
      <c r="AA1723" t="s">
        <v>130</v>
      </c>
      <c r="AB1723" s="40" t="s">
        <v>1797</v>
      </c>
    </row>
    <row r="1724" spans="1:28" x14ac:dyDescent="0.25">
      <c r="A1724">
        <v>99911723</v>
      </c>
      <c r="B1724" t="s">
        <v>32</v>
      </c>
      <c r="C1724" t="s">
        <v>46</v>
      </c>
      <c r="D1724" t="s">
        <v>47</v>
      </c>
      <c r="G1724" t="s">
        <v>48</v>
      </c>
      <c r="H1724">
        <v>17</v>
      </c>
      <c r="K1724" t="s">
        <v>1268</v>
      </c>
      <c r="L1724" t="s">
        <v>1269</v>
      </c>
      <c r="M1724" t="s">
        <v>1270</v>
      </c>
      <c r="N1724">
        <v>18</v>
      </c>
      <c r="O1724" s="1">
        <v>43344</v>
      </c>
      <c r="P1724" t="s">
        <v>41</v>
      </c>
      <c r="Q1724" t="s">
        <v>42</v>
      </c>
      <c r="R1724" t="str">
        <f>"1980055"</f>
        <v>1980055</v>
      </c>
      <c r="S1724" t="s">
        <v>1285</v>
      </c>
      <c r="T1724" t="s">
        <v>1268</v>
      </c>
      <c r="U1724" t="s">
        <v>1269</v>
      </c>
      <c r="V1724" t="s">
        <v>1270</v>
      </c>
      <c r="W1724" t="s">
        <v>165</v>
      </c>
      <c r="X1724" t="s">
        <v>45</v>
      </c>
      <c r="Y1724" s="1">
        <v>23703</v>
      </c>
      <c r="Z1724">
        <v>2</v>
      </c>
      <c r="AA1724" t="s">
        <v>1269</v>
      </c>
      <c r="AB1724" s="40" t="s">
        <v>1797</v>
      </c>
    </row>
    <row r="1725" spans="1:28" x14ac:dyDescent="0.25">
      <c r="A1725">
        <v>99911724</v>
      </c>
      <c r="B1725" t="s">
        <v>32</v>
      </c>
      <c r="C1725" t="s">
        <v>64</v>
      </c>
      <c r="D1725" t="s">
        <v>65</v>
      </c>
      <c r="G1725" t="s">
        <v>48</v>
      </c>
      <c r="H1725">
        <v>1</v>
      </c>
      <c r="K1725" t="s">
        <v>162</v>
      </c>
      <c r="L1725" t="s">
        <v>158</v>
      </c>
      <c r="M1725" t="s">
        <v>131</v>
      </c>
      <c r="N1725">
        <v>18</v>
      </c>
      <c r="P1725" t="s">
        <v>41</v>
      </c>
      <c r="Q1725" t="s">
        <v>49</v>
      </c>
      <c r="R1725" t="str">
        <f>"0581325"</f>
        <v>0581325</v>
      </c>
      <c r="S1725" t="s">
        <v>169</v>
      </c>
      <c r="T1725" t="s">
        <v>162</v>
      </c>
      <c r="U1725" t="s">
        <v>158</v>
      </c>
      <c r="V1725" t="s">
        <v>131</v>
      </c>
      <c r="W1725" t="s">
        <v>165</v>
      </c>
      <c r="X1725" t="s">
        <v>45</v>
      </c>
      <c r="Y1725" s="1">
        <v>23698</v>
      </c>
      <c r="Z1725">
        <v>2</v>
      </c>
      <c r="AA1725" t="s">
        <v>158</v>
      </c>
      <c r="AB1725" s="40" t="s">
        <v>1797</v>
      </c>
    </row>
    <row r="1726" spans="1:28" x14ac:dyDescent="0.25">
      <c r="A1726">
        <v>99911725</v>
      </c>
      <c r="B1726" t="s">
        <v>32</v>
      </c>
      <c r="C1726" t="s">
        <v>46</v>
      </c>
      <c r="D1726" t="s">
        <v>47</v>
      </c>
      <c r="G1726" t="s">
        <v>35</v>
      </c>
      <c r="H1726">
        <v>1</v>
      </c>
      <c r="K1726" t="s">
        <v>223</v>
      </c>
      <c r="L1726" t="s">
        <v>224</v>
      </c>
      <c r="M1726" t="s">
        <v>131</v>
      </c>
      <c r="N1726">
        <v>18</v>
      </c>
      <c r="P1726" t="s">
        <v>41</v>
      </c>
      <c r="Q1726" t="s">
        <v>42</v>
      </c>
      <c r="R1726" t="str">
        <f>"0590903"</f>
        <v>0590903</v>
      </c>
      <c r="S1726" t="s">
        <v>226</v>
      </c>
      <c r="T1726" t="s">
        <v>223</v>
      </c>
      <c r="U1726" t="s">
        <v>224</v>
      </c>
      <c r="V1726" t="s">
        <v>131</v>
      </c>
      <c r="W1726" t="s">
        <v>51</v>
      </c>
      <c r="X1726" t="s">
        <v>45</v>
      </c>
      <c r="Y1726" s="1">
        <v>23694</v>
      </c>
      <c r="Z1726">
        <v>2</v>
      </c>
      <c r="AA1726" t="s">
        <v>224</v>
      </c>
      <c r="AB1726" s="40" t="s">
        <v>1797</v>
      </c>
    </row>
    <row r="1727" spans="1:28" x14ac:dyDescent="0.25">
      <c r="A1727">
        <v>99911726</v>
      </c>
      <c r="B1727" t="s">
        <v>32</v>
      </c>
      <c r="C1727" t="s">
        <v>79</v>
      </c>
      <c r="D1727" t="s">
        <v>80</v>
      </c>
      <c r="G1727" t="s">
        <v>48</v>
      </c>
      <c r="H1727">
        <v>1</v>
      </c>
      <c r="K1727" t="s">
        <v>268</v>
      </c>
      <c r="L1727" t="s">
        <v>269</v>
      </c>
      <c r="M1727" t="s">
        <v>131</v>
      </c>
      <c r="N1727">
        <v>18</v>
      </c>
      <c r="P1727" t="s">
        <v>41</v>
      </c>
      <c r="Q1727" t="s">
        <v>75</v>
      </c>
      <c r="R1727" t="str">
        <f>"7052008"</f>
        <v>7052008</v>
      </c>
      <c r="S1727" t="s">
        <v>274</v>
      </c>
      <c r="T1727" t="s">
        <v>268</v>
      </c>
      <c r="U1727" t="s">
        <v>269</v>
      </c>
      <c r="V1727" t="s">
        <v>131</v>
      </c>
      <c r="W1727" t="s">
        <v>51</v>
      </c>
      <c r="X1727" t="s">
        <v>45</v>
      </c>
      <c r="Y1727" s="1">
        <v>23664</v>
      </c>
      <c r="Z1727">
        <v>1</v>
      </c>
      <c r="AA1727" t="s">
        <v>269</v>
      </c>
      <c r="AB1727" s="40" t="s">
        <v>1797</v>
      </c>
    </row>
    <row r="1728" spans="1:28" x14ac:dyDescent="0.25">
      <c r="A1728">
        <v>99911727</v>
      </c>
      <c r="B1728" t="s">
        <v>56</v>
      </c>
      <c r="C1728" t="s">
        <v>64</v>
      </c>
      <c r="D1728" t="s">
        <v>65</v>
      </c>
      <c r="G1728" t="s">
        <v>48</v>
      </c>
      <c r="H1728">
        <v>1</v>
      </c>
      <c r="K1728" t="s">
        <v>345</v>
      </c>
      <c r="L1728" t="s">
        <v>346</v>
      </c>
      <c r="M1728" t="s">
        <v>131</v>
      </c>
      <c r="N1728">
        <v>18</v>
      </c>
      <c r="P1728" t="s">
        <v>41</v>
      </c>
      <c r="Q1728" t="s">
        <v>49</v>
      </c>
      <c r="R1728" t="str">
        <f>"0561021"</f>
        <v>0561021</v>
      </c>
      <c r="S1728" t="s">
        <v>352</v>
      </c>
      <c r="T1728" t="s">
        <v>345</v>
      </c>
      <c r="U1728" t="s">
        <v>346</v>
      </c>
      <c r="V1728" t="s">
        <v>131</v>
      </c>
      <c r="W1728" t="s">
        <v>51</v>
      </c>
      <c r="X1728" t="s">
        <v>45</v>
      </c>
      <c r="Y1728" s="1">
        <v>23650</v>
      </c>
      <c r="Z1728">
        <v>2</v>
      </c>
      <c r="AA1728" t="s">
        <v>346</v>
      </c>
      <c r="AB1728" s="40" t="s">
        <v>1797</v>
      </c>
    </row>
    <row r="1729" spans="1:28" x14ac:dyDescent="0.25">
      <c r="A1729">
        <v>99911728</v>
      </c>
      <c r="B1729" t="s">
        <v>56</v>
      </c>
      <c r="C1729" t="s">
        <v>52</v>
      </c>
      <c r="D1729" t="s">
        <v>53</v>
      </c>
      <c r="G1729" t="s">
        <v>48</v>
      </c>
      <c r="H1729">
        <v>1</v>
      </c>
      <c r="K1729" t="s">
        <v>223</v>
      </c>
      <c r="L1729" t="s">
        <v>224</v>
      </c>
      <c r="M1729" t="s">
        <v>131</v>
      </c>
      <c r="N1729">
        <v>18</v>
      </c>
      <c r="P1729" t="s">
        <v>41</v>
      </c>
      <c r="Q1729" t="s">
        <v>42</v>
      </c>
      <c r="R1729" t="str">
        <f>"0590902"</f>
        <v>0590902</v>
      </c>
      <c r="S1729" t="s">
        <v>241</v>
      </c>
      <c r="T1729" t="s">
        <v>223</v>
      </c>
      <c r="U1729" t="s">
        <v>224</v>
      </c>
      <c r="V1729" t="s">
        <v>131</v>
      </c>
      <c r="W1729" t="s">
        <v>51</v>
      </c>
      <c r="X1729" t="s">
        <v>45</v>
      </c>
      <c r="Y1729" s="1">
        <v>23648</v>
      </c>
      <c r="Z1729">
        <v>2</v>
      </c>
      <c r="AA1729" t="s">
        <v>224</v>
      </c>
      <c r="AB1729" s="40" t="s">
        <v>1797</v>
      </c>
    </row>
    <row r="1730" spans="1:28" x14ac:dyDescent="0.25">
      <c r="A1730">
        <v>99911729</v>
      </c>
      <c r="B1730" t="s">
        <v>56</v>
      </c>
      <c r="C1730" t="s">
        <v>46</v>
      </c>
      <c r="D1730" t="s">
        <v>47</v>
      </c>
      <c r="G1730" t="s">
        <v>48</v>
      </c>
      <c r="H1730">
        <v>1</v>
      </c>
      <c r="K1730" t="s">
        <v>223</v>
      </c>
      <c r="L1730" t="s">
        <v>224</v>
      </c>
      <c r="M1730" t="s">
        <v>131</v>
      </c>
      <c r="N1730">
        <v>18</v>
      </c>
      <c r="P1730" t="s">
        <v>41</v>
      </c>
      <c r="Q1730" t="s">
        <v>42</v>
      </c>
      <c r="R1730" t="str">
        <f>"0580207"</f>
        <v>0580207</v>
      </c>
      <c r="S1730" t="s">
        <v>229</v>
      </c>
      <c r="T1730" t="s">
        <v>223</v>
      </c>
      <c r="U1730" t="s">
        <v>224</v>
      </c>
      <c r="V1730" t="s">
        <v>131</v>
      </c>
      <c r="W1730" t="s">
        <v>51</v>
      </c>
      <c r="X1730" t="s">
        <v>45</v>
      </c>
      <c r="Y1730" s="1">
        <v>23642</v>
      </c>
      <c r="Z1730">
        <v>2</v>
      </c>
      <c r="AA1730" t="s">
        <v>224</v>
      </c>
      <c r="AB1730" s="40" t="s">
        <v>1797</v>
      </c>
    </row>
    <row r="1731" spans="1:28" x14ac:dyDescent="0.25">
      <c r="A1731">
        <v>99911730</v>
      </c>
      <c r="B1731" t="s">
        <v>32</v>
      </c>
      <c r="C1731" t="s">
        <v>46</v>
      </c>
      <c r="D1731" t="s">
        <v>47</v>
      </c>
      <c r="G1731" t="s">
        <v>48</v>
      </c>
      <c r="H1731">
        <v>1</v>
      </c>
      <c r="K1731" t="s">
        <v>129</v>
      </c>
      <c r="L1731" t="s">
        <v>130</v>
      </c>
      <c r="M1731" t="s">
        <v>131</v>
      </c>
      <c r="N1731">
        <v>18</v>
      </c>
      <c r="P1731" t="s">
        <v>41</v>
      </c>
      <c r="Q1731" t="s">
        <v>42</v>
      </c>
      <c r="R1731" t="str">
        <f>"0590905"</f>
        <v>0590905</v>
      </c>
      <c r="S1731" t="s">
        <v>133</v>
      </c>
      <c r="T1731" t="s">
        <v>129</v>
      </c>
      <c r="U1731" t="s">
        <v>130</v>
      </c>
      <c r="V1731" t="s">
        <v>131</v>
      </c>
      <c r="W1731" t="s">
        <v>51</v>
      </c>
      <c r="X1731" t="s">
        <v>45</v>
      </c>
      <c r="Y1731" s="1">
        <v>23641</v>
      </c>
      <c r="Z1731">
        <v>2</v>
      </c>
      <c r="AA1731" t="s">
        <v>130</v>
      </c>
      <c r="AB1731" s="40" t="s">
        <v>1797</v>
      </c>
    </row>
    <row r="1732" spans="1:28" x14ac:dyDescent="0.25">
      <c r="A1732">
        <v>99911731</v>
      </c>
      <c r="B1732" t="s">
        <v>32</v>
      </c>
      <c r="C1732" t="s">
        <v>46</v>
      </c>
      <c r="D1732" t="s">
        <v>47</v>
      </c>
      <c r="G1732" t="s">
        <v>48</v>
      </c>
      <c r="H1732">
        <v>1</v>
      </c>
      <c r="K1732" t="s">
        <v>223</v>
      </c>
      <c r="L1732" t="s">
        <v>224</v>
      </c>
      <c r="M1732" t="s">
        <v>131</v>
      </c>
      <c r="N1732">
        <v>18</v>
      </c>
      <c r="P1732" t="s">
        <v>41</v>
      </c>
      <c r="Q1732" t="s">
        <v>49</v>
      </c>
      <c r="R1732" t="str">
        <f>"0581202"</f>
        <v>0581202</v>
      </c>
      <c r="S1732" t="s">
        <v>248</v>
      </c>
      <c r="T1732" t="s">
        <v>223</v>
      </c>
      <c r="U1732" t="s">
        <v>224</v>
      </c>
      <c r="V1732" t="s">
        <v>131</v>
      </c>
      <c r="W1732" t="s">
        <v>165</v>
      </c>
      <c r="X1732" t="s">
        <v>45</v>
      </c>
      <c r="Y1732" s="1">
        <v>23641</v>
      </c>
      <c r="Z1732">
        <v>2</v>
      </c>
      <c r="AA1732" t="s">
        <v>224</v>
      </c>
      <c r="AB1732" s="40" t="s">
        <v>1797</v>
      </c>
    </row>
    <row r="1733" spans="1:28" x14ac:dyDescent="0.25">
      <c r="A1733">
        <v>99911732</v>
      </c>
      <c r="B1733" t="s">
        <v>56</v>
      </c>
      <c r="C1733" t="s">
        <v>52</v>
      </c>
      <c r="D1733" t="s">
        <v>53</v>
      </c>
      <c r="G1733" t="s">
        <v>48</v>
      </c>
      <c r="H1733">
        <v>1</v>
      </c>
      <c r="K1733" t="s">
        <v>345</v>
      </c>
      <c r="L1733" t="s">
        <v>346</v>
      </c>
      <c r="M1733" t="s">
        <v>131</v>
      </c>
      <c r="N1733">
        <v>18</v>
      </c>
      <c r="P1733" t="s">
        <v>41</v>
      </c>
      <c r="Q1733" t="s">
        <v>49</v>
      </c>
      <c r="R1733" t="str">
        <f>"0561021"</f>
        <v>0561021</v>
      </c>
      <c r="S1733" t="s">
        <v>352</v>
      </c>
      <c r="T1733" t="s">
        <v>345</v>
      </c>
      <c r="U1733" t="s">
        <v>346</v>
      </c>
      <c r="V1733" t="s">
        <v>131</v>
      </c>
      <c r="W1733" t="s">
        <v>51</v>
      </c>
      <c r="X1733" t="s">
        <v>45</v>
      </c>
      <c r="Y1733" s="1">
        <v>23636</v>
      </c>
      <c r="Z1733">
        <v>2</v>
      </c>
      <c r="AA1733" t="s">
        <v>346</v>
      </c>
      <c r="AB1733" s="40" t="s">
        <v>1797</v>
      </c>
    </row>
    <row r="1734" spans="1:28" x14ac:dyDescent="0.25">
      <c r="A1734">
        <v>99911733</v>
      </c>
      <c r="B1734" t="s">
        <v>56</v>
      </c>
      <c r="C1734" t="s">
        <v>64</v>
      </c>
      <c r="D1734" t="s">
        <v>65</v>
      </c>
      <c r="G1734" t="s">
        <v>35</v>
      </c>
      <c r="H1734">
        <v>1</v>
      </c>
      <c r="K1734" t="s">
        <v>223</v>
      </c>
      <c r="L1734" t="s">
        <v>224</v>
      </c>
      <c r="M1734" t="s">
        <v>131</v>
      </c>
      <c r="N1734">
        <v>18</v>
      </c>
      <c r="P1734" t="s">
        <v>41</v>
      </c>
      <c r="Q1734" t="s">
        <v>42</v>
      </c>
      <c r="R1734" t="str">
        <f>"0590901"</f>
        <v>0590901</v>
      </c>
      <c r="S1734" t="s">
        <v>242</v>
      </c>
      <c r="T1734" t="s">
        <v>223</v>
      </c>
      <c r="U1734" t="s">
        <v>224</v>
      </c>
      <c r="V1734" t="s">
        <v>131</v>
      </c>
      <c r="W1734" t="s">
        <v>51</v>
      </c>
      <c r="X1734" t="s">
        <v>45</v>
      </c>
      <c r="Y1734" s="1">
        <v>23624</v>
      </c>
      <c r="Z1734">
        <v>2</v>
      </c>
      <c r="AA1734" t="s">
        <v>224</v>
      </c>
      <c r="AB1734" s="40" t="s">
        <v>1797</v>
      </c>
    </row>
    <row r="1735" spans="1:28" x14ac:dyDescent="0.25">
      <c r="A1735">
        <v>99911734</v>
      </c>
      <c r="B1735" t="s">
        <v>32</v>
      </c>
      <c r="C1735" t="s">
        <v>64</v>
      </c>
      <c r="D1735" t="s">
        <v>65</v>
      </c>
      <c r="G1735" t="s">
        <v>48</v>
      </c>
      <c r="H1735">
        <v>1</v>
      </c>
      <c r="K1735" t="s">
        <v>162</v>
      </c>
      <c r="L1735" t="s">
        <v>158</v>
      </c>
      <c r="M1735" t="s">
        <v>131</v>
      </c>
      <c r="N1735">
        <v>18</v>
      </c>
      <c r="P1735" t="s">
        <v>41</v>
      </c>
      <c r="Q1735" t="s">
        <v>42</v>
      </c>
      <c r="R1735" t="str">
        <f>"0580325"</f>
        <v>0580325</v>
      </c>
      <c r="S1735" t="s">
        <v>170</v>
      </c>
      <c r="T1735" t="s">
        <v>162</v>
      </c>
      <c r="U1735" t="s">
        <v>158</v>
      </c>
      <c r="V1735" t="s">
        <v>131</v>
      </c>
      <c r="W1735" t="s">
        <v>165</v>
      </c>
      <c r="X1735" t="s">
        <v>45</v>
      </c>
      <c r="Y1735" s="1">
        <v>23621</v>
      </c>
      <c r="Z1735">
        <v>2</v>
      </c>
      <c r="AA1735" t="s">
        <v>158</v>
      </c>
      <c r="AB1735" s="40" t="s">
        <v>1797</v>
      </c>
    </row>
    <row r="1736" spans="1:28" x14ac:dyDescent="0.25">
      <c r="A1736">
        <v>99911735</v>
      </c>
      <c r="B1736" t="s">
        <v>56</v>
      </c>
      <c r="C1736" t="s">
        <v>52</v>
      </c>
      <c r="D1736" t="s">
        <v>53</v>
      </c>
      <c r="G1736" t="s">
        <v>35</v>
      </c>
      <c r="H1736">
        <v>1</v>
      </c>
      <c r="K1736" t="s">
        <v>162</v>
      </c>
      <c r="L1736" t="s">
        <v>158</v>
      </c>
      <c r="M1736" t="s">
        <v>131</v>
      </c>
      <c r="N1736">
        <v>18</v>
      </c>
      <c r="P1736" t="s">
        <v>41</v>
      </c>
      <c r="Q1736" t="s">
        <v>42</v>
      </c>
      <c r="R1736" t="str">
        <f>"0580320"</f>
        <v>0580320</v>
      </c>
      <c r="S1736" t="s">
        <v>164</v>
      </c>
      <c r="T1736" t="s">
        <v>162</v>
      </c>
      <c r="U1736" t="s">
        <v>158</v>
      </c>
      <c r="V1736" t="s">
        <v>131</v>
      </c>
      <c r="W1736" t="s">
        <v>165</v>
      </c>
      <c r="X1736" t="s">
        <v>45</v>
      </c>
      <c r="Y1736" s="1">
        <v>23620</v>
      </c>
      <c r="Z1736">
        <v>2</v>
      </c>
      <c r="AA1736" t="s">
        <v>158</v>
      </c>
      <c r="AB1736" s="40" t="s">
        <v>1797</v>
      </c>
    </row>
    <row r="1737" spans="1:28" x14ac:dyDescent="0.25">
      <c r="A1737">
        <v>99911736</v>
      </c>
      <c r="B1737" t="s">
        <v>32</v>
      </c>
      <c r="C1737" t="s">
        <v>139</v>
      </c>
      <c r="D1737" t="s">
        <v>140</v>
      </c>
      <c r="G1737" t="s">
        <v>48</v>
      </c>
      <c r="H1737">
        <v>1</v>
      </c>
      <c r="K1737" t="s">
        <v>162</v>
      </c>
      <c r="L1737" t="s">
        <v>158</v>
      </c>
      <c r="M1737" t="s">
        <v>131</v>
      </c>
      <c r="N1737">
        <v>18</v>
      </c>
      <c r="P1737" t="s">
        <v>41</v>
      </c>
      <c r="Q1737" t="s">
        <v>49</v>
      </c>
      <c r="R1737" t="str">
        <f>"0505050"</f>
        <v>0505050</v>
      </c>
      <c r="S1737" t="s">
        <v>163</v>
      </c>
      <c r="T1737" t="s">
        <v>162</v>
      </c>
      <c r="U1737" t="s">
        <v>158</v>
      </c>
      <c r="V1737" t="s">
        <v>131</v>
      </c>
      <c r="W1737" t="s">
        <v>165</v>
      </c>
      <c r="X1737" t="s">
        <v>45</v>
      </c>
      <c r="Y1737" s="1">
        <v>23614</v>
      </c>
      <c r="Z1737">
        <v>2</v>
      </c>
      <c r="AA1737" t="s">
        <v>158</v>
      </c>
      <c r="AB1737" s="40" t="s">
        <v>1797</v>
      </c>
    </row>
    <row r="1738" spans="1:28" x14ac:dyDescent="0.25">
      <c r="A1738">
        <v>99911737</v>
      </c>
      <c r="B1738" t="s">
        <v>32</v>
      </c>
      <c r="C1738" t="s">
        <v>139</v>
      </c>
      <c r="D1738" t="s">
        <v>140</v>
      </c>
      <c r="G1738" t="s">
        <v>48</v>
      </c>
      <c r="H1738">
        <v>1</v>
      </c>
      <c r="K1738" t="s">
        <v>380</v>
      </c>
      <c r="L1738" t="s">
        <v>381</v>
      </c>
      <c r="M1738" t="s">
        <v>131</v>
      </c>
      <c r="N1738">
        <v>18</v>
      </c>
      <c r="P1738" t="s">
        <v>41</v>
      </c>
      <c r="Q1738" t="s">
        <v>49</v>
      </c>
      <c r="R1738" t="str">
        <f>"0591909"</f>
        <v>0591909</v>
      </c>
      <c r="S1738" t="s">
        <v>385</v>
      </c>
      <c r="T1738" t="s">
        <v>380</v>
      </c>
      <c r="U1738" t="s">
        <v>381</v>
      </c>
      <c r="V1738" t="s">
        <v>131</v>
      </c>
      <c r="W1738" t="s">
        <v>51</v>
      </c>
      <c r="X1738" t="s">
        <v>45</v>
      </c>
      <c r="Y1738" s="1">
        <v>23608</v>
      </c>
      <c r="Z1738">
        <v>2</v>
      </c>
      <c r="AA1738" t="s">
        <v>381</v>
      </c>
      <c r="AB1738" s="40" t="s">
        <v>1797</v>
      </c>
    </row>
    <row r="1739" spans="1:28" x14ac:dyDescent="0.25">
      <c r="A1739">
        <v>99911738</v>
      </c>
      <c r="B1739" t="s">
        <v>32</v>
      </c>
      <c r="C1739" t="s">
        <v>46</v>
      </c>
      <c r="D1739" t="s">
        <v>47</v>
      </c>
      <c r="G1739" t="s">
        <v>48</v>
      </c>
      <c r="H1739">
        <v>1</v>
      </c>
      <c r="K1739" t="s">
        <v>1268</v>
      </c>
      <c r="L1739" t="s">
        <v>1269</v>
      </c>
      <c r="M1739" t="s">
        <v>1270</v>
      </c>
      <c r="N1739">
        <v>18</v>
      </c>
      <c r="P1739" t="s">
        <v>41</v>
      </c>
      <c r="Q1739" t="s">
        <v>49</v>
      </c>
      <c r="R1739" t="str">
        <f>"1981912"</f>
        <v>1981912</v>
      </c>
      <c r="S1739" t="s">
        <v>1279</v>
      </c>
      <c r="T1739" t="s">
        <v>1268</v>
      </c>
      <c r="U1739" t="s">
        <v>1269</v>
      </c>
      <c r="V1739" t="s">
        <v>1270</v>
      </c>
      <c r="W1739" t="s">
        <v>51</v>
      </c>
      <c r="X1739" t="s">
        <v>45</v>
      </c>
      <c r="Y1739" s="1">
        <v>23606</v>
      </c>
      <c r="Z1739">
        <v>2</v>
      </c>
      <c r="AA1739" t="s">
        <v>1269</v>
      </c>
      <c r="AB1739" s="40" t="s">
        <v>1797</v>
      </c>
    </row>
    <row r="1740" spans="1:28" x14ac:dyDescent="0.25">
      <c r="A1740">
        <v>99911739</v>
      </c>
      <c r="B1740" t="s">
        <v>32</v>
      </c>
      <c r="C1740" t="s">
        <v>64</v>
      </c>
      <c r="D1740" t="s">
        <v>65</v>
      </c>
      <c r="G1740" t="s">
        <v>48</v>
      </c>
      <c r="H1740">
        <v>1</v>
      </c>
      <c r="K1740" t="s">
        <v>162</v>
      </c>
      <c r="L1740" t="s">
        <v>158</v>
      </c>
      <c r="M1740" t="s">
        <v>131</v>
      </c>
      <c r="N1740">
        <v>18</v>
      </c>
      <c r="P1740" t="s">
        <v>41</v>
      </c>
      <c r="Q1740" t="s">
        <v>49</v>
      </c>
      <c r="R1740" t="str">
        <f>"0581325"</f>
        <v>0581325</v>
      </c>
      <c r="S1740" t="s">
        <v>169</v>
      </c>
      <c r="T1740" t="s">
        <v>162</v>
      </c>
      <c r="U1740" t="s">
        <v>158</v>
      </c>
      <c r="V1740" t="s">
        <v>131</v>
      </c>
      <c r="W1740" t="s">
        <v>165</v>
      </c>
      <c r="X1740" t="s">
        <v>45</v>
      </c>
      <c r="Y1740" s="1">
        <v>23598</v>
      </c>
      <c r="Z1740">
        <v>2</v>
      </c>
      <c r="AA1740" t="s">
        <v>158</v>
      </c>
      <c r="AB1740" s="40" t="s">
        <v>1797</v>
      </c>
    </row>
    <row r="1741" spans="1:28" x14ac:dyDescent="0.25">
      <c r="A1741">
        <v>99911740</v>
      </c>
      <c r="B1741" t="s">
        <v>56</v>
      </c>
      <c r="C1741" t="s">
        <v>52</v>
      </c>
      <c r="D1741" t="s">
        <v>53</v>
      </c>
      <c r="G1741" t="s">
        <v>48</v>
      </c>
      <c r="H1741">
        <v>1</v>
      </c>
      <c r="K1741" t="s">
        <v>129</v>
      </c>
      <c r="L1741" t="s">
        <v>130</v>
      </c>
      <c r="M1741" t="s">
        <v>131</v>
      </c>
      <c r="N1741">
        <v>18</v>
      </c>
      <c r="P1741" t="s">
        <v>41</v>
      </c>
      <c r="Q1741" t="s">
        <v>42</v>
      </c>
      <c r="R1741" t="str">
        <f>"0590905"</f>
        <v>0590905</v>
      </c>
      <c r="S1741" t="s">
        <v>133</v>
      </c>
      <c r="T1741" t="s">
        <v>129</v>
      </c>
      <c r="U1741" t="s">
        <v>130</v>
      </c>
      <c r="V1741" t="s">
        <v>131</v>
      </c>
      <c r="W1741" t="s">
        <v>51</v>
      </c>
      <c r="X1741" t="s">
        <v>45</v>
      </c>
      <c r="Y1741" s="1">
        <v>23577</v>
      </c>
      <c r="Z1741">
        <v>2</v>
      </c>
      <c r="AA1741" t="s">
        <v>130</v>
      </c>
      <c r="AB1741" s="40" t="s">
        <v>1797</v>
      </c>
    </row>
    <row r="1742" spans="1:28" x14ac:dyDescent="0.25">
      <c r="A1742">
        <v>99911741</v>
      </c>
      <c r="B1742" t="s">
        <v>32</v>
      </c>
      <c r="C1742" t="s">
        <v>68</v>
      </c>
      <c r="D1742" t="s">
        <v>69</v>
      </c>
      <c r="G1742" t="s">
        <v>35</v>
      </c>
      <c r="H1742">
        <v>1</v>
      </c>
      <c r="K1742" t="s">
        <v>162</v>
      </c>
      <c r="L1742" t="s">
        <v>158</v>
      </c>
      <c r="M1742" t="s">
        <v>131</v>
      </c>
      <c r="N1742">
        <v>18</v>
      </c>
      <c r="P1742" t="s">
        <v>41</v>
      </c>
      <c r="Q1742" t="s">
        <v>49</v>
      </c>
      <c r="R1742" t="str">
        <f>"0505050"</f>
        <v>0505050</v>
      </c>
      <c r="S1742" t="s">
        <v>163</v>
      </c>
      <c r="T1742" t="s">
        <v>162</v>
      </c>
      <c r="U1742" t="s">
        <v>158</v>
      </c>
      <c r="V1742" t="s">
        <v>131</v>
      </c>
      <c r="W1742" t="s">
        <v>165</v>
      </c>
      <c r="X1742" t="s">
        <v>45</v>
      </c>
      <c r="Y1742" s="1">
        <v>23577</v>
      </c>
      <c r="Z1742">
        <v>2</v>
      </c>
      <c r="AA1742" t="s">
        <v>158</v>
      </c>
      <c r="AB1742" s="40" t="s">
        <v>1797</v>
      </c>
    </row>
    <row r="1743" spans="1:28" x14ac:dyDescent="0.25">
      <c r="A1743">
        <v>99911742</v>
      </c>
      <c r="B1743" t="s">
        <v>56</v>
      </c>
      <c r="C1743" t="s">
        <v>145</v>
      </c>
      <c r="D1743" t="s">
        <v>146</v>
      </c>
      <c r="G1743" t="s">
        <v>35</v>
      </c>
      <c r="H1743">
        <v>1</v>
      </c>
      <c r="K1743" t="s">
        <v>1268</v>
      </c>
      <c r="L1743" t="s">
        <v>1269</v>
      </c>
      <c r="M1743" t="s">
        <v>1270</v>
      </c>
      <c r="N1743">
        <v>18</v>
      </c>
      <c r="P1743" t="s">
        <v>41</v>
      </c>
      <c r="Q1743" t="s">
        <v>42</v>
      </c>
      <c r="R1743" t="str">
        <f>"1990914"</f>
        <v>1990914</v>
      </c>
      <c r="S1743" t="s">
        <v>1275</v>
      </c>
      <c r="T1743" t="s">
        <v>1268</v>
      </c>
      <c r="U1743" t="s">
        <v>1269</v>
      </c>
      <c r="V1743" t="s">
        <v>1270</v>
      </c>
      <c r="W1743" t="s">
        <v>51</v>
      </c>
      <c r="X1743" t="s">
        <v>45</v>
      </c>
      <c r="Y1743" s="1">
        <v>23569</v>
      </c>
      <c r="Z1743">
        <v>2</v>
      </c>
      <c r="AA1743" t="s">
        <v>1269</v>
      </c>
      <c r="AB1743" s="40" t="s">
        <v>1797</v>
      </c>
    </row>
    <row r="1744" spans="1:28" x14ac:dyDescent="0.25">
      <c r="A1744">
        <v>99911743</v>
      </c>
      <c r="B1744" t="s">
        <v>32</v>
      </c>
      <c r="C1744" t="s">
        <v>46</v>
      </c>
      <c r="D1744" t="s">
        <v>47</v>
      </c>
      <c r="G1744" t="s">
        <v>48</v>
      </c>
      <c r="H1744">
        <v>1</v>
      </c>
      <c r="K1744" t="s">
        <v>223</v>
      </c>
      <c r="L1744" t="s">
        <v>224</v>
      </c>
      <c r="M1744" t="s">
        <v>131</v>
      </c>
      <c r="N1744">
        <v>18</v>
      </c>
      <c r="P1744" t="s">
        <v>41</v>
      </c>
      <c r="Q1744" t="s">
        <v>42</v>
      </c>
      <c r="R1744" t="str">
        <f>"0580395"</f>
        <v>0580395</v>
      </c>
      <c r="S1744" t="s">
        <v>265</v>
      </c>
      <c r="T1744" t="s">
        <v>223</v>
      </c>
      <c r="U1744" t="s">
        <v>224</v>
      </c>
      <c r="V1744" t="s">
        <v>131</v>
      </c>
      <c r="W1744" t="s">
        <v>51</v>
      </c>
      <c r="X1744" t="s">
        <v>45</v>
      </c>
      <c r="Y1744" s="1">
        <v>23566</v>
      </c>
      <c r="Z1744">
        <v>2</v>
      </c>
      <c r="AA1744" t="s">
        <v>224</v>
      </c>
      <c r="AB1744" s="40" t="s">
        <v>1797</v>
      </c>
    </row>
    <row r="1745" spans="1:28" x14ac:dyDescent="0.25">
      <c r="A1745">
        <v>99911744</v>
      </c>
      <c r="B1745" t="s">
        <v>32</v>
      </c>
      <c r="C1745" t="s">
        <v>52</v>
      </c>
      <c r="D1745" t="s">
        <v>53</v>
      </c>
      <c r="G1745" t="s">
        <v>48</v>
      </c>
      <c r="H1745">
        <v>1</v>
      </c>
      <c r="K1745" t="s">
        <v>223</v>
      </c>
      <c r="L1745" t="s">
        <v>224</v>
      </c>
      <c r="M1745" t="s">
        <v>131</v>
      </c>
      <c r="N1745">
        <v>18</v>
      </c>
      <c r="P1745" t="s">
        <v>41</v>
      </c>
      <c r="Q1745" t="s">
        <v>49</v>
      </c>
      <c r="R1745" t="str">
        <f>"0581265"</f>
        <v>0581265</v>
      </c>
      <c r="S1745" t="s">
        <v>236</v>
      </c>
      <c r="T1745" t="s">
        <v>223</v>
      </c>
      <c r="U1745" t="s">
        <v>224</v>
      </c>
      <c r="V1745" t="s">
        <v>131</v>
      </c>
      <c r="W1745" t="s">
        <v>51</v>
      </c>
      <c r="X1745" t="s">
        <v>45</v>
      </c>
      <c r="Y1745" s="1">
        <v>23561</v>
      </c>
      <c r="Z1745">
        <v>2</v>
      </c>
      <c r="AA1745" t="s">
        <v>224</v>
      </c>
      <c r="AB1745" s="40" t="s">
        <v>1797</v>
      </c>
    </row>
    <row r="1746" spans="1:28" x14ac:dyDescent="0.25">
      <c r="A1746">
        <v>99911745</v>
      </c>
      <c r="B1746" t="s">
        <v>56</v>
      </c>
      <c r="C1746" t="s">
        <v>46</v>
      </c>
      <c r="D1746" t="s">
        <v>47</v>
      </c>
      <c r="G1746" t="s">
        <v>48</v>
      </c>
      <c r="H1746">
        <v>1</v>
      </c>
      <c r="K1746" t="s">
        <v>129</v>
      </c>
      <c r="L1746" t="s">
        <v>130</v>
      </c>
      <c r="M1746" t="s">
        <v>131</v>
      </c>
      <c r="N1746">
        <v>18</v>
      </c>
      <c r="P1746" t="s">
        <v>41</v>
      </c>
      <c r="Q1746" t="s">
        <v>42</v>
      </c>
      <c r="R1746" t="str">
        <f>"0590905"</f>
        <v>0590905</v>
      </c>
      <c r="S1746" t="s">
        <v>133</v>
      </c>
      <c r="T1746" t="s">
        <v>129</v>
      </c>
      <c r="U1746" t="s">
        <v>130</v>
      </c>
      <c r="V1746" t="s">
        <v>131</v>
      </c>
      <c r="W1746" t="s">
        <v>51</v>
      </c>
      <c r="X1746" t="s">
        <v>45</v>
      </c>
      <c r="Y1746" s="1">
        <v>23552</v>
      </c>
      <c r="Z1746">
        <v>2</v>
      </c>
      <c r="AA1746" t="s">
        <v>130</v>
      </c>
      <c r="AB1746" s="40" t="s">
        <v>1797</v>
      </c>
    </row>
    <row r="1747" spans="1:28" x14ac:dyDescent="0.25">
      <c r="A1747">
        <v>99911746</v>
      </c>
      <c r="B1747" t="s">
        <v>56</v>
      </c>
      <c r="C1747" t="s">
        <v>71</v>
      </c>
      <c r="D1747" t="s">
        <v>72</v>
      </c>
      <c r="G1747" t="s">
        <v>35</v>
      </c>
      <c r="H1747">
        <v>1</v>
      </c>
      <c r="K1747" t="s">
        <v>223</v>
      </c>
      <c r="L1747" t="s">
        <v>224</v>
      </c>
      <c r="M1747" t="s">
        <v>131</v>
      </c>
      <c r="N1747">
        <v>18</v>
      </c>
      <c r="P1747" t="s">
        <v>41</v>
      </c>
      <c r="Q1747" t="s">
        <v>42</v>
      </c>
      <c r="R1747" t="str">
        <f>"0590903"</f>
        <v>0590903</v>
      </c>
      <c r="S1747" t="s">
        <v>226</v>
      </c>
      <c r="T1747" t="s">
        <v>223</v>
      </c>
      <c r="U1747" t="s">
        <v>224</v>
      </c>
      <c r="V1747" t="s">
        <v>131</v>
      </c>
      <c r="W1747" t="s">
        <v>51</v>
      </c>
      <c r="X1747" t="s">
        <v>45</v>
      </c>
      <c r="Y1747" s="1">
        <v>23536</v>
      </c>
      <c r="Z1747">
        <v>2</v>
      </c>
      <c r="AA1747" t="s">
        <v>224</v>
      </c>
      <c r="AB1747" s="40" t="s">
        <v>1797</v>
      </c>
    </row>
    <row r="1748" spans="1:28" x14ac:dyDescent="0.25">
      <c r="A1748">
        <v>99911747</v>
      </c>
      <c r="B1748" t="s">
        <v>32</v>
      </c>
      <c r="C1748" t="s">
        <v>82</v>
      </c>
      <c r="D1748" t="s">
        <v>83</v>
      </c>
      <c r="G1748" t="s">
        <v>48</v>
      </c>
      <c r="H1748">
        <v>1</v>
      </c>
      <c r="K1748" t="s">
        <v>223</v>
      </c>
      <c r="L1748" t="s">
        <v>224</v>
      </c>
      <c r="M1748" t="s">
        <v>131</v>
      </c>
      <c r="N1748">
        <v>18</v>
      </c>
      <c r="P1748" t="s">
        <v>41</v>
      </c>
      <c r="Q1748" t="s">
        <v>42</v>
      </c>
      <c r="R1748" t="str">
        <f>"0580204"</f>
        <v>0580204</v>
      </c>
      <c r="S1748" t="s">
        <v>235</v>
      </c>
      <c r="T1748" t="s">
        <v>223</v>
      </c>
      <c r="U1748" t="s">
        <v>224</v>
      </c>
      <c r="V1748" t="s">
        <v>131</v>
      </c>
      <c r="W1748" t="s">
        <v>165</v>
      </c>
      <c r="X1748" t="s">
        <v>45</v>
      </c>
      <c r="Y1748" s="1">
        <v>23536</v>
      </c>
      <c r="Z1748">
        <v>2</v>
      </c>
      <c r="AA1748" t="s">
        <v>224</v>
      </c>
      <c r="AB1748" s="40" t="s">
        <v>1797</v>
      </c>
    </row>
    <row r="1749" spans="1:28" x14ac:dyDescent="0.25">
      <c r="A1749">
        <v>99911748</v>
      </c>
      <c r="B1749" t="s">
        <v>32</v>
      </c>
      <c r="C1749" t="s">
        <v>64</v>
      </c>
      <c r="D1749" t="s">
        <v>65</v>
      </c>
      <c r="G1749" t="s">
        <v>48</v>
      </c>
      <c r="H1749">
        <v>1</v>
      </c>
      <c r="K1749" t="s">
        <v>129</v>
      </c>
      <c r="L1749" t="s">
        <v>130</v>
      </c>
      <c r="M1749" t="s">
        <v>131</v>
      </c>
      <c r="N1749">
        <v>18</v>
      </c>
      <c r="P1749" t="s">
        <v>41</v>
      </c>
      <c r="Q1749" t="s">
        <v>49</v>
      </c>
      <c r="R1749" t="str">
        <f>"0591905"</f>
        <v>0591905</v>
      </c>
      <c r="S1749" t="s">
        <v>135</v>
      </c>
      <c r="T1749" t="s">
        <v>129</v>
      </c>
      <c r="U1749" t="s">
        <v>130</v>
      </c>
      <c r="V1749" t="s">
        <v>131</v>
      </c>
      <c r="W1749" t="s">
        <v>51</v>
      </c>
      <c r="X1749" t="s">
        <v>45</v>
      </c>
      <c r="Y1749" s="1">
        <v>23531</v>
      </c>
      <c r="Z1749">
        <v>2</v>
      </c>
      <c r="AA1749" t="s">
        <v>130</v>
      </c>
      <c r="AB1749" s="40" t="s">
        <v>1797</v>
      </c>
    </row>
    <row r="1750" spans="1:28" x14ac:dyDescent="0.25">
      <c r="A1750">
        <v>99911749</v>
      </c>
      <c r="B1750" t="s">
        <v>32</v>
      </c>
      <c r="C1750" t="s">
        <v>46</v>
      </c>
      <c r="D1750" t="s">
        <v>47</v>
      </c>
      <c r="G1750" t="s">
        <v>35</v>
      </c>
      <c r="H1750">
        <v>1</v>
      </c>
      <c r="K1750" t="s">
        <v>1268</v>
      </c>
      <c r="L1750" t="s">
        <v>1269</v>
      </c>
      <c r="M1750" t="s">
        <v>1270</v>
      </c>
      <c r="N1750">
        <v>18</v>
      </c>
      <c r="P1750" t="s">
        <v>41</v>
      </c>
      <c r="Q1750" t="s">
        <v>42</v>
      </c>
      <c r="R1750" t="str">
        <f>"1990914"</f>
        <v>1990914</v>
      </c>
      <c r="S1750" t="s">
        <v>1275</v>
      </c>
      <c r="T1750" t="s">
        <v>1268</v>
      </c>
      <c r="U1750" t="s">
        <v>1269</v>
      </c>
      <c r="V1750" t="s">
        <v>1270</v>
      </c>
      <c r="W1750" t="s">
        <v>51</v>
      </c>
      <c r="X1750" t="s">
        <v>45</v>
      </c>
      <c r="Y1750" s="1">
        <v>23507</v>
      </c>
      <c r="Z1750">
        <v>2</v>
      </c>
      <c r="AA1750" t="s">
        <v>1269</v>
      </c>
      <c r="AB1750" s="40" t="s">
        <v>1797</v>
      </c>
    </row>
    <row r="1751" spans="1:28" x14ac:dyDescent="0.25">
      <c r="A1751">
        <v>99911750</v>
      </c>
      <c r="B1751" t="s">
        <v>32</v>
      </c>
      <c r="C1751" t="s">
        <v>58</v>
      </c>
      <c r="D1751" t="s">
        <v>59</v>
      </c>
      <c r="E1751" t="s">
        <v>46</v>
      </c>
      <c r="F1751" t="s">
        <v>47</v>
      </c>
      <c r="G1751" t="s">
        <v>48</v>
      </c>
      <c r="H1751">
        <v>12</v>
      </c>
      <c r="K1751" t="s">
        <v>345</v>
      </c>
      <c r="L1751" t="s">
        <v>346</v>
      </c>
      <c r="M1751" t="s">
        <v>131</v>
      </c>
      <c r="N1751">
        <v>18</v>
      </c>
      <c r="P1751" t="s">
        <v>41</v>
      </c>
      <c r="Q1751" t="s">
        <v>42</v>
      </c>
      <c r="R1751" t="str">
        <f>"0590906"</f>
        <v>0590906</v>
      </c>
      <c r="S1751" t="s">
        <v>361</v>
      </c>
      <c r="T1751" t="s">
        <v>345</v>
      </c>
      <c r="U1751" t="s">
        <v>346</v>
      </c>
      <c r="V1751" t="s">
        <v>131</v>
      </c>
      <c r="W1751" t="s">
        <v>51</v>
      </c>
      <c r="X1751" t="s">
        <v>45</v>
      </c>
      <c r="Y1751" s="1">
        <v>23496</v>
      </c>
      <c r="Z1751">
        <v>2</v>
      </c>
      <c r="AA1751" t="s">
        <v>346</v>
      </c>
      <c r="AB1751" s="40" t="s">
        <v>1797</v>
      </c>
    </row>
    <row r="1752" spans="1:28" x14ac:dyDescent="0.25">
      <c r="A1752">
        <v>99911751</v>
      </c>
      <c r="B1752" t="s">
        <v>32</v>
      </c>
      <c r="C1752" t="s">
        <v>46</v>
      </c>
      <c r="D1752" t="s">
        <v>47</v>
      </c>
      <c r="G1752" t="s">
        <v>35</v>
      </c>
      <c r="H1752">
        <v>1</v>
      </c>
      <c r="K1752" t="s">
        <v>223</v>
      </c>
      <c r="L1752" t="s">
        <v>224</v>
      </c>
      <c r="M1752" t="s">
        <v>131</v>
      </c>
      <c r="N1752">
        <v>18</v>
      </c>
      <c r="P1752" t="s">
        <v>41</v>
      </c>
      <c r="Q1752" t="s">
        <v>49</v>
      </c>
      <c r="R1752" t="str">
        <f>"0591901"</f>
        <v>0591901</v>
      </c>
      <c r="S1752" t="s">
        <v>230</v>
      </c>
      <c r="T1752" t="s">
        <v>223</v>
      </c>
      <c r="U1752" t="s">
        <v>224</v>
      </c>
      <c r="V1752" t="s">
        <v>131</v>
      </c>
      <c r="W1752" t="s">
        <v>165</v>
      </c>
      <c r="X1752" t="s">
        <v>45</v>
      </c>
      <c r="Y1752" s="1">
        <v>23482</v>
      </c>
      <c r="Z1752">
        <v>2</v>
      </c>
      <c r="AA1752" t="s">
        <v>224</v>
      </c>
      <c r="AB1752" s="40" t="s">
        <v>1797</v>
      </c>
    </row>
    <row r="1753" spans="1:28" x14ac:dyDescent="0.25">
      <c r="A1753">
        <v>99911752</v>
      </c>
      <c r="B1753" t="s">
        <v>32</v>
      </c>
      <c r="C1753" t="s">
        <v>46</v>
      </c>
      <c r="D1753" t="s">
        <v>47</v>
      </c>
      <c r="G1753" t="s">
        <v>48</v>
      </c>
      <c r="H1753">
        <v>1</v>
      </c>
      <c r="K1753" t="s">
        <v>345</v>
      </c>
      <c r="L1753" t="s">
        <v>346</v>
      </c>
      <c r="M1753" t="s">
        <v>131</v>
      </c>
      <c r="N1753">
        <v>18</v>
      </c>
      <c r="P1753" t="s">
        <v>41</v>
      </c>
      <c r="Q1753" t="s">
        <v>42</v>
      </c>
      <c r="R1753" t="str">
        <f>"0590906"</f>
        <v>0590906</v>
      </c>
      <c r="S1753" t="s">
        <v>361</v>
      </c>
      <c r="T1753" t="s">
        <v>345</v>
      </c>
      <c r="U1753" t="s">
        <v>346</v>
      </c>
      <c r="V1753" t="s">
        <v>131</v>
      </c>
      <c r="W1753" t="s">
        <v>51</v>
      </c>
      <c r="X1753" t="s">
        <v>45</v>
      </c>
      <c r="Y1753" s="1">
        <v>23481</v>
      </c>
      <c r="Z1753">
        <v>2</v>
      </c>
      <c r="AA1753" t="s">
        <v>346</v>
      </c>
      <c r="AB1753" s="40" t="s">
        <v>1797</v>
      </c>
    </row>
    <row r="1754" spans="1:28" x14ac:dyDescent="0.25">
      <c r="A1754">
        <v>99911753</v>
      </c>
      <c r="B1754" t="s">
        <v>56</v>
      </c>
      <c r="C1754" t="s">
        <v>46</v>
      </c>
      <c r="D1754" t="s">
        <v>47</v>
      </c>
      <c r="G1754" t="s">
        <v>48</v>
      </c>
      <c r="H1754">
        <v>3</v>
      </c>
      <c r="K1754" t="s">
        <v>129</v>
      </c>
      <c r="L1754" t="s">
        <v>130</v>
      </c>
      <c r="M1754" t="s">
        <v>131</v>
      </c>
      <c r="N1754">
        <v>18</v>
      </c>
      <c r="P1754" t="s">
        <v>41</v>
      </c>
      <c r="Q1754" t="s">
        <v>42</v>
      </c>
      <c r="R1754" t="str">
        <f>"0590905"</f>
        <v>0590905</v>
      </c>
      <c r="S1754" t="s">
        <v>133</v>
      </c>
      <c r="T1754" t="s">
        <v>129</v>
      </c>
      <c r="U1754" t="s">
        <v>130</v>
      </c>
      <c r="V1754" t="s">
        <v>131</v>
      </c>
      <c r="W1754" t="s">
        <v>51</v>
      </c>
      <c r="X1754" t="s">
        <v>45</v>
      </c>
      <c r="Y1754" s="1">
        <v>23479</v>
      </c>
      <c r="Z1754">
        <v>2</v>
      </c>
      <c r="AA1754" t="s">
        <v>130</v>
      </c>
      <c r="AB1754" s="40" t="s">
        <v>1797</v>
      </c>
    </row>
    <row r="1755" spans="1:28" x14ac:dyDescent="0.25">
      <c r="A1755">
        <v>99911754</v>
      </c>
      <c r="B1755" t="s">
        <v>56</v>
      </c>
      <c r="C1755" t="s">
        <v>52</v>
      </c>
      <c r="D1755" t="s">
        <v>53</v>
      </c>
      <c r="G1755" t="s">
        <v>35</v>
      </c>
      <c r="H1755">
        <v>1</v>
      </c>
      <c r="K1755" t="s">
        <v>1268</v>
      </c>
      <c r="L1755" t="s">
        <v>1269</v>
      </c>
      <c r="M1755" t="s">
        <v>1270</v>
      </c>
      <c r="N1755">
        <v>18</v>
      </c>
      <c r="P1755" t="s">
        <v>41</v>
      </c>
      <c r="Q1755" t="s">
        <v>42</v>
      </c>
      <c r="R1755" t="str">
        <f>"1990914"</f>
        <v>1990914</v>
      </c>
      <c r="S1755" t="s">
        <v>1275</v>
      </c>
      <c r="T1755" t="s">
        <v>1268</v>
      </c>
      <c r="U1755" t="s">
        <v>1269</v>
      </c>
      <c r="V1755" t="s">
        <v>1270</v>
      </c>
      <c r="W1755" t="s">
        <v>51</v>
      </c>
      <c r="X1755" t="s">
        <v>45</v>
      </c>
      <c r="Y1755" s="1">
        <v>23478</v>
      </c>
      <c r="Z1755">
        <v>2</v>
      </c>
      <c r="AA1755" t="s">
        <v>1269</v>
      </c>
      <c r="AB1755" s="40" t="s">
        <v>1797</v>
      </c>
    </row>
    <row r="1756" spans="1:28" x14ac:dyDescent="0.25">
      <c r="A1756">
        <v>99911755</v>
      </c>
      <c r="B1756" t="s">
        <v>56</v>
      </c>
      <c r="C1756" t="s">
        <v>79</v>
      </c>
      <c r="D1756" t="s">
        <v>80</v>
      </c>
      <c r="G1756" t="s">
        <v>35</v>
      </c>
      <c r="H1756">
        <v>1</v>
      </c>
      <c r="K1756" t="s">
        <v>223</v>
      </c>
      <c r="L1756" t="s">
        <v>224</v>
      </c>
      <c r="M1756" t="s">
        <v>131</v>
      </c>
      <c r="N1756">
        <v>18</v>
      </c>
      <c r="P1756" t="s">
        <v>41</v>
      </c>
      <c r="Q1756" t="s">
        <v>49</v>
      </c>
      <c r="R1756" t="str">
        <f>"0581207"</f>
        <v>0581207</v>
      </c>
      <c r="S1756" t="s">
        <v>233</v>
      </c>
      <c r="T1756" t="s">
        <v>223</v>
      </c>
      <c r="U1756" t="s">
        <v>224</v>
      </c>
      <c r="V1756" t="s">
        <v>131</v>
      </c>
      <c r="W1756" t="s">
        <v>51</v>
      </c>
      <c r="X1756" t="s">
        <v>45</v>
      </c>
      <c r="Y1756" s="1">
        <v>23471</v>
      </c>
      <c r="Z1756">
        <v>2</v>
      </c>
      <c r="AA1756" t="s">
        <v>224</v>
      </c>
      <c r="AB1756" s="40" t="s">
        <v>1797</v>
      </c>
    </row>
    <row r="1757" spans="1:28" x14ac:dyDescent="0.25">
      <c r="A1757">
        <v>99911756</v>
      </c>
      <c r="B1757" t="s">
        <v>32</v>
      </c>
      <c r="C1757" t="s">
        <v>46</v>
      </c>
      <c r="D1757" t="s">
        <v>47</v>
      </c>
      <c r="G1757" t="s">
        <v>48</v>
      </c>
      <c r="H1757">
        <v>1</v>
      </c>
      <c r="K1757" t="s">
        <v>162</v>
      </c>
      <c r="L1757" t="s">
        <v>158</v>
      </c>
      <c r="M1757" t="s">
        <v>131</v>
      </c>
      <c r="N1757">
        <v>18</v>
      </c>
      <c r="P1757" t="s">
        <v>41</v>
      </c>
      <c r="Q1757" t="s">
        <v>42</v>
      </c>
      <c r="R1757" t="str">
        <f>"0580325"</f>
        <v>0580325</v>
      </c>
      <c r="S1757" t="s">
        <v>170</v>
      </c>
      <c r="T1757" t="s">
        <v>162</v>
      </c>
      <c r="U1757" t="s">
        <v>158</v>
      </c>
      <c r="V1757" t="s">
        <v>131</v>
      </c>
      <c r="W1757" t="s">
        <v>165</v>
      </c>
      <c r="X1757" t="s">
        <v>45</v>
      </c>
      <c r="Y1757" s="1">
        <v>23468</v>
      </c>
      <c r="Z1757">
        <v>2</v>
      </c>
      <c r="AA1757" t="s">
        <v>158</v>
      </c>
      <c r="AB1757" s="40" t="s">
        <v>1797</v>
      </c>
    </row>
    <row r="1758" spans="1:28" x14ac:dyDescent="0.25">
      <c r="A1758">
        <v>99911757</v>
      </c>
      <c r="B1758" t="s">
        <v>32</v>
      </c>
      <c r="C1758" t="s">
        <v>145</v>
      </c>
      <c r="D1758" t="s">
        <v>146</v>
      </c>
      <c r="G1758" t="s">
        <v>48</v>
      </c>
      <c r="H1758">
        <v>1</v>
      </c>
      <c r="K1758" t="s">
        <v>162</v>
      </c>
      <c r="L1758" t="s">
        <v>158</v>
      </c>
      <c r="M1758" t="s">
        <v>131</v>
      </c>
      <c r="N1758">
        <v>18</v>
      </c>
      <c r="P1758" t="s">
        <v>41</v>
      </c>
      <c r="Q1758" t="s">
        <v>42</v>
      </c>
      <c r="R1758" t="str">
        <f>"0580320"</f>
        <v>0580320</v>
      </c>
      <c r="S1758" t="s">
        <v>164</v>
      </c>
      <c r="T1758" t="s">
        <v>162</v>
      </c>
      <c r="U1758" t="s">
        <v>158</v>
      </c>
      <c r="V1758" t="s">
        <v>131</v>
      </c>
      <c r="W1758" t="s">
        <v>165</v>
      </c>
      <c r="X1758" t="s">
        <v>45</v>
      </c>
      <c r="Y1758" s="1">
        <v>23439</v>
      </c>
      <c r="Z1758">
        <v>2</v>
      </c>
      <c r="AA1758" t="s">
        <v>158</v>
      </c>
      <c r="AB1758" s="40" t="s">
        <v>1797</v>
      </c>
    </row>
    <row r="1759" spans="1:28" x14ac:dyDescent="0.25">
      <c r="A1759">
        <v>99911758</v>
      </c>
      <c r="B1759" t="s">
        <v>32</v>
      </c>
      <c r="C1759" t="s">
        <v>46</v>
      </c>
      <c r="D1759" t="s">
        <v>47</v>
      </c>
      <c r="G1759" t="s">
        <v>35</v>
      </c>
      <c r="H1759">
        <v>1</v>
      </c>
      <c r="K1759" t="s">
        <v>223</v>
      </c>
      <c r="L1759" t="s">
        <v>224</v>
      </c>
      <c r="M1759" t="s">
        <v>131</v>
      </c>
      <c r="N1759">
        <v>18</v>
      </c>
      <c r="P1759" t="s">
        <v>41</v>
      </c>
      <c r="Q1759" t="s">
        <v>42</v>
      </c>
      <c r="R1759" t="str">
        <f>"0590901"</f>
        <v>0590901</v>
      </c>
      <c r="S1759" t="s">
        <v>242</v>
      </c>
      <c r="T1759" t="s">
        <v>223</v>
      </c>
      <c r="U1759" t="s">
        <v>224</v>
      </c>
      <c r="V1759" t="s">
        <v>131</v>
      </c>
      <c r="W1759" t="s">
        <v>165</v>
      </c>
      <c r="X1759" t="s">
        <v>45</v>
      </c>
      <c r="Y1759" s="1">
        <v>23437</v>
      </c>
      <c r="Z1759">
        <v>2</v>
      </c>
      <c r="AA1759" t="s">
        <v>224</v>
      </c>
      <c r="AB1759" s="40" t="s">
        <v>1797</v>
      </c>
    </row>
    <row r="1760" spans="1:28" x14ac:dyDescent="0.25">
      <c r="A1760">
        <v>99911759</v>
      </c>
      <c r="B1760" t="s">
        <v>32</v>
      </c>
      <c r="C1760" t="s">
        <v>139</v>
      </c>
      <c r="D1760" t="s">
        <v>140</v>
      </c>
      <c r="G1760" t="s">
        <v>48</v>
      </c>
      <c r="H1760">
        <v>1</v>
      </c>
      <c r="K1760" t="s">
        <v>1268</v>
      </c>
      <c r="L1760" t="s">
        <v>1269</v>
      </c>
      <c r="M1760" t="s">
        <v>1270</v>
      </c>
      <c r="N1760">
        <v>18</v>
      </c>
      <c r="P1760" t="s">
        <v>41</v>
      </c>
      <c r="Q1760" t="s">
        <v>49</v>
      </c>
      <c r="R1760" t="str">
        <f>"1981914"</f>
        <v>1981914</v>
      </c>
      <c r="S1760" t="s">
        <v>1287</v>
      </c>
      <c r="T1760" t="s">
        <v>1268</v>
      </c>
      <c r="U1760" t="s">
        <v>1269</v>
      </c>
      <c r="V1760" t="s">
        <v>1270</v>
      </c>
      <c r="W1760" t="s">
        <v>51</v>
      </c>
      <c r="X1760" t="s">
        <v>45</v>
      </c>
      <c r="Y1760" s="1">
        <v>23427</v>
      </c>
      <c r="Z1760">
        <v>2</v>
      </c>
      <c r="AA1760" t="s">
        <v>1269</v>
      </c>
      <c r="AB1760" s="40" t="s">
        <v>1797</v>
      </c>
    </row>
    <row r="1761" spans="1:28" x14ac:dyDescent="0.25">
      <c r="A1761">
        <v>99911760</v>
      </c>
      <c r="B1761" t="s">
        <v>56</v>
      </c>
      <c r="C1761" t="s">
        <v>79</v>
      </c>
      <c r="D1761" t="s">
        <v>80</v>
      </c>
      <c r="G1761" t="s">
        <v>48</v>
      </c>
      <c r="H1761">
        <v>1</v>
      </c>
      <c r="K1761" t="s">
        <v>129</v>
      </c>
      <c r="L1761" t="s">
        <v>130</v>
      </c>
      <c r="M1761" t="s">
        <v>131</v>
      </c>
      <c r="N1761">
        <v>18</v>
      </c>
      <c r="P1761" t="s">
        <v>41</v>
      </c>
      <c r="Q1761" t="s">
        <v>42</v>
      </c>
      <c r="R1761" t="str">
        <f>"0590905"</f>
        <v>0590905</v>
      </c>
      <c r="S1761" t="s">
        <v>133</v>
      </c>
      <c r="T1761" t="s">
        <v>129</v>
      </c>
      <c r="U1761" t="s">
        <v>130</v>
      </c>
      <c r="V1761" t="s">
        <v>131</v>
      </c>
      <c r="W1761" t="s">
        <v>51</v>
      </c>
      <c r="X1761" t="s">
        <v>45</v>
      </c>
      <c r="Y1761" s="1">
        <v>23422</v>
      </c>
      <c r="Z1761">
        <v>2</v>
      </c>
      <c r="AA1761" t="s">
        <v>130</v>
      </c>
      <c r="AB1761" s="40" t="s">
        <v>1797</v>
      </c>
    </row>
    <row r="1762" spans="1:28" x14ac:dyDescent="0.25">
      <c r="A1762">
        <v>99911761</v>
      </c>
      <c r="B1762" t="s">
        <v>32</v>
      </c>
      <c r="C1762" t="s">
        <v>68</v>
      </c>
      <c r="D1762" t="s">
        <v>69</v>
      </c>
      <c r="G1762" t="s">
        <v>48</v>
      </c>
      <c r="H1762">
        <v>1</v>
      </c>
      <c r="K1762" t="s">
        <v>162</v>
      </c>
      <c r="L1762" t="s">
        <v>158</v>
      </c>
      <c r="M1762" t="s">
        <v>131</v>
      </c>
      <c r="N1762">
        <v>18</v>
      </c>
      <c r="P1762" t="s">
        <v>41</v>
      </c>
      <c r="Q1762" t="s">
        <v>42</v>
      </c>
      <c r="R1762" t="str">
        <f>"0580325"</f>
        <v>0580325</v>
      </c>
      <c r="S1762" t="s">
        <v>170</v>
      </c>
      <c r="T1762" t="s">
        <v>162</v>
      </c>
      <c r="U1762" t="s">
        <v>158</v>
      </c>
      <c r="V1762" t="s">
        <v>131</v>
      </c>
      <c r="W1762" t="s">
        <v>165</v>
      </c>
      <c r="X1762" t="s">
        <v>45</v>
      </c>
      <c r="Y1762" s="1">
        <v>23401</v>
      </c>
      <c r="Z1762">
        <v>2</v>
      </c>
      <c r="AA1762" t="s">
        <v>158</v>
      </c>
      <c r="AB1762" s="40" t="s">
        <v>1797</v>
      </c>
    </row>
    <row r="1763" spans="1:28" x14ac:dyDescent="0.25">
      <c r="A1763">
        <v>99911762</v>
      </c>
      <c r="B1763" t="s">
        <v>56</v>
      </c>
      <c r="C1763" t="s">
        <v>52</v>
      </c>
      <c r="D1763" t="s">
        <v>53</v>
      </c>
      <c r="G1763" t="s">
        <v>48</v>
      </c>
      <c r="H1763">
        <v>1</v>
      </c>
      <c r="K1763" t="s">
        <v>157</v>
      </c>
      <c r="L1763" t="s">
        <v>158</v>
      </c>
      <c r="M1763" t="s">
        <v>131</v>
      </c>
      <c r="N1763">
        <v>18</v>
      </c>
      <c r="P1763" t="s">
        <v>41</v>
      </c>
      <c r="Q1763" t="s">
        <v>42</v>
      </c>
      <c r="R1763" t="str">
        <f>"0580735"</f>
        <v>0580735</v>
      </c>
      <c r="S1763" t="s">
        <v>180</v>
      </c>
      <c r="T1763" t="s">
        <v>157</v>
      </c>
      <c r="U1763" t="s">
        <v>158</v>
      </c>
      <c r="V1763" t="s">
        <v>131</v>
      </c>
      <c r="W1763" t="s">
        <v>51</v>
      </c>
      <c r="X1763" t="s">
        <v>45</v>
      </c>
      <c r="Y1763" s="1">
        <v>23377</v>
      </c>
      <c r="Z1763">
        <v>2</v>
      </c>
      <c r="AA1763" t="s">
        <v>158</v>
      </c>
      <c r="AB1763" s="40" t="s">
        <v>1797</v>
      </c>
    </row>
    <row r="1764" spans="1:28" x14ac:dyDescent="0.25">
      <c r="A1764">
        <v>99911763</v>
      </c>
      <c r="B1764" t="s">
        <v>32</v>
      </c>
      <c r="C1764" t="s">
        <v>71</v>
      </c>
      <c r="D1764" t="s">
        <v>72</v>
      </c>
      <c r="G1764" t="s">
        <v>35</v>
      </c>
      <c r="H1764">
        <v>1</v>
      </c>
      <c r="K1764" t="s">
        <v>947</v>
      </c>
      <c r="L1764" t="s">
        <v>948</v>
      </c>
      <c r="M1764" t="s">
        <v>938</v>
      </c>
      <c r="N1764">
        <v>18</v>
      </c>
      <c r="P1764" t="s">
        <v>41</v>
      </c>
      <c r="Q1764" t="s">
        <v>42</v>
      </c>
      <c r="R1764" t="str">
        <f>"0680030"</f>
        <v>0680030</v>
      </c>
      <c r="S1764" t="s">
        <v>951</v>
      </c>
      <c r="T1764" t="s">
        <v>947</v>
      </c>
      <c r="U1764" t="s">
        <v>948</v>
      </c>
      <c r="V1764" t="s">
        <v>938</v>
      </c>
      <c r="W1764" t="s">
        <v>165</v>
      </c>
      <c r="X1764" t="s">
        <v>45</v>
      </c>
      <c r="Y1764" s="1">
        <v>23377</v>
      </c>
      <c r="Z1764">
        <v>2</v>
      </c>
      <c r="AA1764" t="s">
        <v>948</v>
      </c>
      <c r="AB1764" s="40" t="s">
        <v>1797</v>
      </c>
    </row>
    <row r="1765" spans="1:28" x14ac:dyDescent="0.25">
      <c r="A1765">
        <v>99911764</v>
      </c>
      <c r="B1765" t="s">
        <v>56</v>
      </c>
      <c r="C1765" t="s">
        <v>68</v>
      </c>
      <c r="D1765" t="s">
        <v>69</v>
      </c>
      <c r="G1765" t="s">
        <v>48</v>
      </c>
      <c r="H1765">
        <v>1</v>
      </c>
      <c r="K1765" t="s">
        <v>1487</v>
      </c>
      <c r="L1765" t="s">
        <v>1488</v>
      </c>
      <c r="M1765" t="s">
        <v>670</v>
      </c>
      <c r="N1765">
        <v>18</v>
      </c>
      <c r="P1765" t="s">
        <v>41</v>
      </c>
      <c r="Q1765" t="s">
        <v>42</v>
      </c>
      <c r="R1765" t="str">
        <f>"1780020"</f>
        <v>1780020</v>
      </c>
      <c r="S1765" t="s">
        <v>1490</v>
      </c>
      <c r="T1765" t="s">
        <v>1487</v>
      </c>
      <c r="U1765" t="s">
        <v>1488</v>
      </c>
      <c r="V1765" t="s">
        <v>670</v>
      </c>
      <c r="W1765" t="s">
        <v>51</v>
      </c>
      <c r="X1765" t="s">
        <v>45</v>
      </c>
      <c r="Y1765" s="1">
        <v>23377</v>
      </c>
      <c r="Z1765">
        <v>2</v>
      </c>
      <c r="AA1765" t="s">
        <v>1488</v>
      </c>
      <c r="AB1765" s="40" t="s">
        <v>1797</v>
      </c>
    </row>
    <row r="1766" spans="1:28" x14ac:dyDescent="0.25">
      <c r="A1766">
        <v>99911765</v>
      </c>
      <c r="B1766" t="s">
        <v>56</v>
      </c>
      <c r="C1766" t="s">
        <v>85</v>
      </c>
      <c r="D1766" t="s">
        <v>86</v>
      </c>
      <c r="G1766" t="s">
        <v>48</v>
      </c>
      <c r="H1766">
        <v>1</v>
      </c>
      <c r="K1766" t="s">
        <v>223</v>
      </c>
      <c r="L1766" t="s">
        <v>224</v>
      </c>
      <c r="M1766" t="s">
        <v>131</v>
      </c>
      <c r="N1766">
        <v>18</v>
      </c>
      <c r="P1766" t="s">
        <v>41</v>
      </c>
      <c r="Q1766" t="s">
        <v>49</v>
      </c>
      <c r="R1766" t="str">
        <f>"0591910"</f>
        <v>0591910</v>
      </c>
      <c r="S1766" t="s">
        <v>228</v>
      </c>
      <c r="T1766" t="s">
        <v>223</v>
      </c>
      <c r="U1766" t="s">
        <v>224</v>
      </c>
      <c r="V1766" t="s">
        <v>131</v>
      </c>
      <c r="W1766" t="s">
        <v>51</v>
      </c>
      <c r="X1766" t="s">
        <v>45</v>
      </c>
      <c r="Y1766" s="1">
        <v>23346</v>
      </c>
      <c r="Z1766">
        <v>2</v>
      </c>
      <c r="AA1766" t="s">
        <v>224</v>
      </c>
      <c r="AB1766" s="40" t="s">
        <v>1797</v>
      </c>
    </row>
    <row r="1767" spans="1:28" x14ac:dyDescent="0.25">
      <c r="A1767">
        <v>99911766</v>
      </c>
      <c r="B1767" t="s">
        <v>56</v>
      </c>
      <c r="C1767" t="s">
        <v>79</v>
      </c>
      <c r="D1767" t="s">
        <v>80</v>
      </c>
      <c r="G1767" t="s">
        <v>48</v>
      </c>
      <c r="H1767">
        <v>1</v>
      </c>
      <c r="K1767" t="s">
        <v>157</v>
      </c>
      <c r="L1767" t="s">
        <v>158</v>
      </c>
      <c r="M1767" t="s">
        <v>131</v>
      </c>
      <c r="N1767">
        <v>18</v>
      </c>
      <c r="P1767" t="s">
        <v>41</v>
      </c>
      <c r="Q1767" t="s">
        <v>49</v>
      </c>
      <c r="R1767" t="str">
        <f>"0560006"</f>
        <v>0560006</v>
      </c>
      <c r="S1767" t="s">
        <v>191</v>
      </c>
      <c r="T1767" t="s">
        <v>157</v>
      </c>
      <c r="U1767" t="s">
        <v>158</v>
      </c>
      <c r="V1767" t="s">
        <v>131</v>
      </c>
      <c r="W1767" t="s">
        <v>51</v>
      </c>
      <c r="X1767" t="s">
        <v>45</v>
      </c>
      <c r="Y1767" s="1">
        <v>23344</v>
      </c>
      <c r="Z1767">
        <v>2</v>
      </c>
      <c r="AA1767" t="s">
        <v>158</v>
      </c>
      <c r="AB1767" s="40" t="s">
        <v>1797</v>
      </c>
    </row>
    <row r="1768" spans="1:28" x14ac:dyDescent="0.25">
      <c r="A1768">
        <v>99911767</v>
      </c>
      <c r="B1768" t="s">
        <v>32</v>
      </c>
      <c r="C1768" t="s">
        <v>46</v>
      </c>
      <c r="D1768" t="s">
        <v>47</v>
      </c>
      <c r="G1768" t="s">
        <v>48</v>
      </c>
      <c r="H1768">
        <v>1</v>
      </c>
      <c r="K1768" t="s">
        <v>1268</v>
      </c>
      <c r="L1768" t="s">
        <v>1269</v>
      </c>
      <c r="M1768" t="s">
        <v>1270</v>
      </c>
      <c r="N1768">
        <v>18</v>
      </c>
      <c r="P1768" t="s">
        <v>41</v>
      </c>
      <c r="Q1768" t="s">
        <v>42</v>
      </c>
      <c r="R1768" t="str">
        <f>"1990910"</f>
        <v>1990910</v>
      </c>
      <c r="S1768" t="s">
        <v>1281</v>
      </c>
      <c r="T1768" t="s">
        <v>1268</v>
      </c>
      <c r="U1768" t="s">
        <v>1269</v>
      </c>
      <c r="V1768" t="s">
        <v>1270</v>
      </c>
      <c r="W1768" t="s">
        <v>165</v>
      </c>
      <c r="X1768" t="s">
        <v>45</v>
      </c>
      <c r="Y1768" s="1">
        <v>23330</v>
      </c>
      <c r="Z1768">
        <v>2</v>
      </c>
      <c r="AA1768" t="s">
        <v>1269</v>
      </c>
      <c r="AB1768" s="40" t="s">
        <v>1797</v>
      </c>
    </row>
    <row r="1769" spans="1:28" x14ac:dyDescent="0.25">
      <c r="A1769">
        <v>99911768</v>
      </c>
      <c r="B1769" t="s">
        <v>56</v>
      </c>
      <c r="C1769" t="s">
        <v>139</v>
      </c>
      <c r="D1769" t="s">
        <v>140</v>
      </c>
      <c r="G1769" t="s">
        <v>48</v>
      </c>
      <c r="H1769">
        <v>2</v>
      </c>
      <c r="K1769" t="s">
        <v>129</v>
      </c>
      <c r="L1769" t="s">
        <v>130</v>
      </c>
      <c r="M1769" t="s">
        <v>131</v>
      </c>
      <c r="N1769">
        <v>18</v>
      </c>
      <c r="P1769" t="s">
        <v>41</v>
      </c>
      <c r="Q1769" t="s">
        <v>42</v>
      </c>
      <c r="R1769" t="str">
        <f>"0590905"</f>
        <v>0590905</v>
      </c>
      <c r="S1769" t="s">
        <v>133</v>
      </c>
      <c r="T1769" t="s">
        <v>129</v>
      </c>
      <c r="U1769" t="s">
        <v>130</v>
      </c>
      <c r="V1769" t="s">
        <v>131</v>
      </c>
      <c r="W1769" t="s">
        <v>51</v>
      </c>
      <c r="X1769" t="s">
        <v>45</v>
      </c>
      <c r="Y1769" s="1">
        <v>23322</v>
      </c>
      <c r="Z1769">
        <v>2</v>
      </c>
      <c r="AA1769" t="s">
        <v>130</v>
      </c>
      <c r="AB1769" s="40" t="s">
        <v>1797</v>
      </c>
    </row>
    <row r="1770" spans="1:28" x14ac:dyDescent="0.25">
      <c r="A1770">
        <v>99911769</v>
      </c>
      <c r="B1770" t="s">
        <v>56</v>
      </c>
      <c r="C1770" t="s">
        <v>46</v>
      </c>
      <c r="D1770" t="s">
        <v>47</v>
      </c>
      <c r="G1770" t="s">
        <v>35</v>
      </c>
      <c r="H1770">
        <v>1</v>
      </c>
      <c r="K1770" t="s">
        <v>223</v>
      </c>
      <c r="L1770" t="s">
        <v>224</v>
      </c>
      <c r="M1770" t="s">
        <v>131</v>
      </c>
      <c r="N1770">
        <v>18</v>
      </c>
      <c r="P1770" t="s">
        <v>41</v>
      </c>
      <c r="Q1770" t="s">
        <v>42</v>
      </c>
      <c r="R1770" t="str">
        <f>"0590901"</f>
        <v>0590901</v>
      </c>
      <c r="S1770" t="s">
        <v>242</v>
      </c>
      <c r="T1770" t="s">
        <v>223</v>
      </c>
      <c r="U1770" t="s">
        <v>224</v>
      </c>
      <c r="V1770" t="s">
        <v>131</v>
      </c>
      <c r="W1770" t="s">
        <v>165</v>
      </c>
      <c r="X1770" t="s">
        <v>45</v>
      </c>
      <c r="Y1770" s="1">
        <v>23312</v>
      </c>
      <c r="Z1770">
        <v>2</v>
      </c>
      <c r="AA1770" t="s">
        <v>224</v>
      </c>
      <c r="AB1770" s="40" t="s">
        <v>1797</v>
      </c>
    </row>
    <row r="1771" spans="1:28" x14ac:dyDescent="0.25">
      <c r="A1771">
        <v>99911770</v>
      </c>
      <c r="B1771" t="s">
        <v>32</v>
      </c>
      <c r="C1771" t="s">
        <v>68</v>
      </c>
      <c r="D1771" t="s">
        <v>69</v>
      </c>
      <c r="G1771" t="s">
        <v>48</v>
      </c>
      <c r="H1771">
        <v>1</v>
      </c>
      <c r="K1771" t="s">
        <v>162</v>
      </c>
      <c r="L1771" t="s">
        <v>158</v>
      </c>
      <c r="M1771" t="s">
        <v>131</v>
      </c>
      <c r="N1771">
        <v>18</v>
      </c>
      <c r="P1771" t="s">
        <v>41</v>
      </c>
      <c r="Q1771" t="s">
        <v>49</v>
      </c>
      <c r="R1771" t="str">
        <f>"0505050"</f>
        <v>0505050</v>
      </c>
      <c r="S1771" t="s">
        <v>163</v>
      </c>
      <c r="T1771" t="s">
        <v>162</v>
      </c>
      <c r="U1771" t="s">
        <v>158</v>
      </c>
      <c r="V1771" t="s">
        <v>131</v>
      </c>
      <c r="W1771" t="s">
        <v>165</v>
      </c>
      <c r="X1771" t="s">
        <v>45</v>
      </c>
      <c r="Y1771" s="1">
        <v>23308</v>
      </c>
      <c r="Z1771">
        <v>2</v>
      </c>
      <c r="AA1771" t="s">
        <v>158</v>
      </c>
      <c r="AB1771" s="40" t="s">
        <v>1797</v>
      </c>
    </row>
    <row r="1772" spans="1:28" x14ac:dyDescent="0.25">
      <c r="A1772">
        <v>99911771</v>
      </c>
      <c r="B1772" t="s">
        <v>56</v>
      </c>
      <c r="C1772" t="s">
        <v>145</v>
      </c>
      <c r="D1772" t="s">
        <v>146</v>
      </c>
      <c r="G1772" t="s">
        <v>48</v>
      </c>
      <c r="H1772">
        <v>1</v>
      </c>
      <c r="K1772" t="s">
        <v>345</v>
      </c>
      <c r="L1772" t="s">
        <v>346</v>
      </c>
      <c r="M1772" t="s">
        <v>131</v>
      </c>
      <c r="N1772">
        <v>18</v>
      </c>
      <c r="P1772" t="s">
        <v>41</v>
      </c>
      <c r="Q1772" t="s">
        <v>42</v>
      </c>
      <c r="R1772" t="str">
        <f>"0561019"</f>
        <v>0561019</v>
      </c>
      <c r="S1772" t="s">
        <v>351</v>
      </c>
      <c r="T1772" t="s">
        <v>345</v>
      </c>
      <c r="U1772" t="s">
        <v>346</v>
      </c>
      <c r="V1772" t="s">
        <v>131</v>
      </c>
      <c r="W1772" t="s">
        <v>51</v>
      </c>
      <c r="X1772" t="s">
        <v>45</v>
      </c>
      <c r="Y1772" s="1">
        <v>23306</v>
      </c>
      <c r="Z1772">
        <v>2</v>
      </c>
      <c r="AA1772" t="s">
        <v>346</v>
      </c>
      <c r="AB1772" s="40" t="s">
        <v>1797</v>
      </c>
    </row>
    <row r="1773" spans="1:28" x14ac:dyDescent="0.25">
      <c r="A1773">
        <v>99911772</v>
      </c>
      <c r="B1773" t="s">
        <v>32</v>
      </c>
      <c r="C1773" t="s">
        <v>68</v>
      </c>
      <c r="D1773" t="s">
        <v>69</v>
      </c>
      <c r="G1773" t="s">
        <v>35</v>
      </c>
      <c r="H1773">
        <v>1</v>
      </c>
      <c r="K1773" t="s">
        <v>223</v>
      </c>
      <c r="L1773" t="s">
        <v>224</v>
      </c>
      <c r="M1773" t="s">
        <v>131</v>
      </c>
      <c r="N1773">
        <v>18</v>
      </c>
      <c r="P1773" t="s">
        <v>41</v>
      </c>
      <c r="Q1773" t="s">
        <v>49</v>
      </c>
      <c r="R1773" t="str">
        <f>"0591907"</f>
        <v>0591907</v>
      </c>
      <c r="S1773" t="s">
        <v>243</v>
      </c>
      <c r="T1773" t="s">
        <v>223</v>
      </c>
      <c r="U1773" t="s">
        <v>224</v>
      </c>
      <c r="V1773" t="s">
        <v>131</v>
      </c>
      <c r="W1773" t="s">
        <v>51</v>
      </c>
      <c r="X1773" t="s">
        <v>45</v>
      </c>
      <c r="Y1773" s="1">
        <v>23291</v>
      </c>
      <c r="Z1773">
        <v>2</v>
      </c>
      <c r="AA1773" t="s">
        <v>224</v>
      </c>
      <c r="AB1773" s="40" t="s">
        <v>1797</v>
      </c>
    </row>
    <row r="1774" spans="1:28" x14ac:dyDescent="0.25">
      <c r="A1774">
        <v>99911773</v>
      </c>
      <c r="B1774" t="s">
        <v>56</v>
      </c>
      <c r="C1774" t="s">
        <v>68</v>
      </c>
      <c r="D1774" t="s">
        <v>69</v>
      </c>
      <c r="G1774" t="s">
        <v>48</v>
      </c>
      <c r="H1774">
        <v>1</v>
      </c>
      <c r="K1774" t="s">
        <v>1325</v>
      </c>
      <c r="L1774" t="s">
        <v>1326</v>
      </c>
      <c r="M1774" t="s">
        <v>1270</v>
      </c>
      <c r="N1774">
        <v>18</v>
      </c>
      <c r="P1774" t="s">
        <v>41</v>
      </c>
      <c r="Q1774" t="s">
        <v>42</v>
      </c>
      <c r="R1774" t="str">
        <f>"3980100"</f>
        <v>3980100</v>
      </c>
      <c r="S1774" t="s">
        <v>1328</v>
      </c>
      <c r="T1774" t="s">
        <v>1325</v>
      </c>
      <c r="U1774" t="s">
        <v>1326</v>
      </c>
      <c r="V1774" t="s">
        <v>1270</v>
      </c>
      <c r="W1774" t="s">
        <v>51</v>
      </c>
      <c r="X1774" t="s">
        <v>45</v>
      </c>
      <c r="Y1774" s="1">
        <v>23283</v>
      </c>
      <c r="Z1774">
        <v>2</v>
      </c>
      <c r="AA1774" t="s">
        <v>1326</v>
      </c>
      <c r="AB1774" s="40" t="s">
        <v>1797</v>
      </c>
    </row>
    <row r="1775" spans="1:28" x14ac:dyDescent="0.25">
      <c r="A1775">
        <v>99911774</v>
      </c>
      <c r="B1775" t="s">
        <v>32</v>
      </c>
      <c r="C1775" t="s">
        <v>139</v>
      </c>
      <c r="D1775" t="s">
        <v>140</v>
      </c>
      <c r="G1775" t="s">
        <v>48</v>
      </c>
      <c r="H1775">
        <v>1</v>
      </c>
      <c r="K1775" t="s">
        <v>223</v>
      </c>
      <c r="L1775" t="s">
        <v>224</v>
      </c>
      <c r="M1775" t="s">
        <v>131</v>
      </c>
      <c r="N1775">
        <v>18</v>
      </c>
      <c r="P1775" t="s">
        <v>41</v>
      </c>
      <c r="Q1775" t="s">
        <v>49</v>
      </c>
      <c r="R1775" t="str">
        <f>"0581206"</f>
        <v>0581206</v>
      </c>
      <c r="S1775" t="s">
        <v>232</v>
      </c>
      <c r="T1775" t="s">
        <v>223</v>
      </c>
      <c r="U1775" t="s">
        <v>224</v>
      </c>
      <c r="V1775" t="s">
        <v>131</v>
      </c>
      <c r="W1775" t="s">
        <v>51</v>
      </c>
      <c r="X1775" t="s">
        <v>45</v>
      </c>
      <c r="Y1775" s="1">
        <v>23269</v>
      </c>
      <c r="Z1775">
        <v>2</v>
      </c>
      <c r="AA1775" t="s">
        <v>224</v>
      </c>
      <c r="AB1775" s="40" t="s">
        <v>1797</v>
      </c>
    </row>
    <row r="1776" spans="1:28" x14ac:dyDescent="0.25">
      <c r="A1776">
        <v>99911775</v>
      </c>
      <c r="B1776" t="s">
        <v>32</v>
      </c>
      <c r="C1776" t="s">
        <v>46</v>
      </c>
      <c r="D1776" t="s">
        <v>47</v>
      </c>
      <c r="G1776" t="s">
        <v>35</v>
      </c>
      <c r="H1776">
        <v>1</v>
      </c>
      <c r="K1776" t="s">
        <v>223</v>
      </c>
      <c r="L1776" t="s">
        <v>224</v>
      </c>
      <c r="M1776" t="s">
        <v>131</v>
      </c>
      <c r="N1776">
        <v>18</v>
      </c>
      <c r="P1776" t="s">
        <v>41</v>
      </c>
      <c r="Q1776" t="s">
        <v>49</v>
      </c>
      <c r="R1776" t="str">
        <f>"0581207"</f>
        <v>0581207</v>
      </c>
      <c r="S1776" t="s">
        <v>233</v>
      </c>
      <c r="T1776" t="s">
        <v>223</v>
      </c>
      <c r="U1776" t="s">
        <v>224</v>
      </c>
      <c r="V1776" t="s">
        <v>131</v>
      </c>
      <c r="W1776" t="s">
        <v>165</v>
      </c>
      <c r="X1776" t="s">
        <v>45</v>
      </c>
      <c r="Y1776" s="1">
        <v>23255</v>
      </c>
      <c r="Z1776">
        <v>2</v>
      </c>
      <c r="AA1776" t="s">
        <v>224</v>
      </c>
      <c r="AB1776" s="40" t="s">
        <v>1797</v>
      </c>
    </row>
    <row r="1777" spans="1:28" x14ac:dyDescent="0.25">
      <c r="A1777">
        <v>99911776</v>
      </c>
      <c r="B1777" t="s">
        <v>32</v>
      </c>
      <c r="C1777" t="s">
        <v>33</v>
      </c>
      <c r="D1777" t="s">
        <v>34</v>
      </c>
      <c r="G1777" t="s">
        <v>48</v>
      </c>
      <c r="H1777">
        <v>1</v>
      </c>
      <c r="K1777" t="s">
        <v>380</v>
      </c>
      <c r="L1777" t="s">
        <v>381</v>
      </c>
      <c r="M1777" t="s">
        <v>131</v>
      </c>
      <c r="N1777">
        <v>18</v>
      </c>
      <c r="P1777" t="s">
        <v>41</v>
      </c>
      <c r="Q1777" t="s">
        <v>49</v>
      </c>
      <c r="R1777" t="str">
        <f>"0591908"</f>
        <v>0591908</v>
      </c>
      <c r="S1777" t="s">
        <v>383</v>
      </c>
      <c r="T1777" t="s">
        <v>380</v>
      </c>
      <c r="U1777" t="s">
        <v>381</v>
      </c>
      <c r="V1777" t="s">
        <v>131</v>
      </c>
      <c r="W1777" t="s">
        <v>51</v>
      </c>
      <c r="X1777" t="s">
        <v>45</v>
      </c>
      <c r="Y1777" s="1">
        <v>23252</v>
      </c>
      <c r="Z1777">
        <v>2</v>
      </c>
      <c r="AA1777" t="s">
        <v>381</v>
      </c>
      <c r="AB1777" s="40" t="s">
        <v>1797</v>
      </c>
    </row>
    <row r="1778" spans="1:28" x14ac:dyDescent="0.25">
      <c r="A1778">
        <v>99911777</v>
      </c>
      <c r="B1778" t="s">
        <v>32</v>
      </c>
      <c r="C1778" t="s">
        <v>46</v>
      </c>
      <c r="D1778" t="s">
        <v>47</v>
      </c>
      <c r="G1778" t="s">
        <v>48</v>
      </c>
      <c r="H1778">
        <v>16</v>
      </c>
      <c r="K1778" t="s">
        <v>1268</v>
      </c>
      <c r="L1778" t="s">
        <v>1269</v>
      </c>
      <c r="M1778" t="s">
        <v>1270</v>
      </c>
      <c r="N1778">
        <v>18</v>
      </c>
      <c r="O1778" s="1">
        <v>43344</v>
      </c>
      <c r="P1778" t="s">
        <v>41</v>
      </c>
      <c r="Q1778" t="s">
        <v>42</v>
      </c>
      <c r="R1778" t="str">
        <f>"1980060"</f>
        <v>1980060</v>
      </c>
      <c r="S1778" t="s">
        <v>1277</v>
      </c>
      <c r="T1778" t="s">
        <v>1268</v>
      </c>
      <c r="U1778" t="s">
        <v>1269</v>
      </c>
      <c r="V1778" t="s">
        <v>1270</v>
      </c>
      <c r="W1778" t="s">
        <v>51</v>
      </c>
      <c r="X1778" t="s">
        <v>45</v>
      </c>
      <c r="Y1778" s="1">
        <v>23251</v>
      </c>
      <c r="Z1778">
        <v>2</v>
      </c>
      <c r="AA1778" t="s">
        <v>1269</v>
      </c>
      <c r="AB1778" s="40" t="s">
        <v>1797</v>
      </c>
    </row>
    <row r="1779" spans="1:28" x14ac:dyDescent="0.25">
      <c r="A1779">
        <v>99911778</v>
      </c>
      <c r="B1779" t="s">
        <v>56</v>
      </c>
      <c r="C1779" t="s">
        <v>68</v>
      </c>
      <c r="D1779" t="s">
        <v>69</v>
      </c>
      <c r="G1779" t="s">
        <v>48</v>
      </c>
      <c r="H1779">
        <v>14</v>
      </c>
      <c r="K1779" t="s">
        <v>1268</v>
      </c>
      <c r="L1779" t="s">
        <v>1269</v>
      </c>
      <c r="M1779" t="s">
        <v>1270</v>
      </c>
      <c r="N1779">
        <v>18</v>
      </c>
      <c r="O1779" s="1">
        <v>43344</v>
      </c>
      <c r="P1779" t="s">
        <v>41</v>
      </c>
      <c r="Q1779" t="s">
        <v>42</v>
      </c>
      <c r="R1779" t="str">
        <f>"1980055"</f>
        <v>1980055</v>
      </c>
      <c r="S1779" t="s">
        <v>1285</v>
      </c>
      <c r="T1779" t="s">
        <v>1268</v>
      </c>
      <c r="U1779" t="s">
        <v>1269</v>
      </c>
      <c r="V1779" t="s">
        <v>1270</v>
      </c>
      <c r="W1779" t="s">
        <v>165</v>
      </c>
      <c r="X1779" t="s">
        <v>45</v>
      </c>
      <c r="Y1779" s="1">
        <v>23248</v>
      </c>
      <c r="Z1779">
        <v>2</v>
      </c>
      <c r="AA1779" t="s">
        <v>1269</v>
      </c>
      <c r="AB1779" s="40" t="s">
        <v>1797</v>
      </c>
    </row>
    <row r="1780" spans="1:28" x14ac:dyDescent="0.25">
      <c r="A1780">
        <v>99911779</v>
      </c>
      <c r="B1780" t="s">
        <v>56</v>
      </c>
      <c r="C1780" t="s">
        <v>52</v>
      </c>
      <c r="D1780" t="s">
        <v>53</v>
      </c>
      <c r="G1780" t="s">
        <v>48</v>
      </c>
      <c r="H1780">
        <v>1</v>
      </c>
      <c r="K1780" t="s">
        <v>345</v>
      </c>
      <c r="L1780" t="s">
        <v>346</v>
      </c>
      <c r="M1780" t="s">
        <v>131</v>
      </c>
      <c r="N1780">
        <v>18</v>
      </c>
      <c r="P1780" t="s">
        <v>41</v>
      </c>
      <c r="Q1780" t="s">
        <v>49</v>
      </c>
      <c r="R1780" t="str">
        <f>"0560004"</f>
        <v>0560004</v>
      </c>
      <c r="S1780" t="s">
        <v>371</v>
      </c>
      <c r="T1780" t="s">
        <v>345</v>
      </c>
      <c r="U1780" t="s">
        <v>346</v>
      </c>
      <c r="V1780" t="s">
        <v>131</v>
      </c>
      <c r="W1780" t="s">
        <v>51</v>
      </c>
      <c r="X1780" t="s">
        <v>45</v>
      </c>
      <c r="Y1780" s="1">
        <v>23232</v>
      </c>
      <c r="Z1780">
        <v>2</v>
      </c>
      <c r="AA1780" t="s">
        <v>346</v>
      </c>
      <c r="AB1780" s="40" t="s">
        <v>1797</v>
      </c>
    </row>
    <row r="1781" spans="1:28" x14ac:dyDescent="0.25">
      <c r="A1781">
        <v>99911780</v>
      </c>
      <c r="B1781" t="s">
        <v>32</v>
      </c>
      <c r="C1781" t="s">
        <v>33</v>
      </c>
      <c r="D1781" t="s">
        <v>34</v>
      </c>
      <c r="G1781" t="s">
        <v>48</v>
      </c>
      <c r="H1781">
        <v>12</v>
      </c>
      <c r="K1781" t="s">
        <v>129</v>
      </c>
      <c r="L1781" t="s">
        <v>130</v>
      </c>
      <c r="M1781" t="s">
        <v>131</v>
      </c>
      <c r="N1781">
        <v>18</v>
      </c>
      <c r="O1781" s="1">
        <v>34213</v>
      </c>
      <c r="P1781" t="s">
        <v>41</v>
      </c>
      <c r="Q1781" t="s">
        <v>42</v>
      </c>
      <c r="R1781" t="str">
        <f>"0561011"</f>
        <v>0561011</v>
      </c>
      <c r="S1781" t="s">
        <v>132</v>
      </c>
      <c r="T1781" t="s">
        <v>129</v>
      </c>
      <c r="U1781" t="s">
        <v>130</v>
      </c>
      <c r="V1781" t="s">
        <v>131</v>
      </c>
      <c r="W1781" t="s">
        <v>51</v>
      </c>
      <c r="X1781" t="s">
        <v>45</v>
      </c>
      <c r="Y1781" s="1">
        <v>23222</v>
      </c>
      <c r="Z1781">
        <v>2</v>
      </c>
      <c r="AA1781" t="s">
        <v>130</v>
      </c>
      <c r="AB1781" s="40" t="s">
        <v>1797</v>
      </c>
    </row>
    <row r="1782" spans="1:28" x14ac:dyDescent="0.25">
      <c r="A1782">
        <v>99911781</v>
      </c>
      <c r="B1782" t="s">
        <v>32</v>
      </c>
      <c r="C1782" t="s">
        <v>33</v>
      </c>
      <c r="D1782" t="s">
        <v>34</v>
      </c>
      <c r="G1782" t="s">
        <v>48</v>
      </c>
      <c r="H1782">
        <v>1</v>
      </c>
      <c r="K1782" t="s">
        <v>223</v>
      </c>
      <c r="L1782" t="s">
        <v>224</v>
      </c>
      <c r="M1782" t="s">
        <v>131</v>
      </c>
      <c r="N1782">
        <v>18</v>
      </c>
      <c r="P1782" t="s">
        <v>41</v>
      </c>
      <c r="Q1782" t="s">
        <v>42</v>
      </c>
      <c r="R1782" t="str">
        <f>"0580395"</f>
        <v>0580395</v>
      </c>
      <c r="S1782" t="s">
        <v>265</v>
      </c>
      <c r="T1782" t="s">
        <v>223</v>
      </c>
      <c r="U1782" t="s">
        <v>224</v>
      </c>
      <c r="V1782" t="s">
        <v>131</v>
      </c>
      <c r="W1782" t="s">
        <v>51</v>
      </c>
      <c r="X1782" t="s">
        <v>45</v>
      </c>
      <c r="Y1782" s="1">
        <v>23193</v>
      </c>
      <c r="Z1782">
        <v>2</v>
      </c>
      <c r="AA1782" t="s">
        <v>224</v>
      </c>
      <c r="AB1782" s="40" t="s">
        <v>1797</v>
      </c>
    </row>
    <row r="1783" spans="1:28" x14ac:dyDescent="0.25">
      <c r="A1783">
        <v>99911782</v>
      </c>
      <c r="B1783" t="s">
        <v>32</v>
      </c>
      <c r="C1783" t="s">
        <v>46</v>
      </c>
      <c r="D1783" t="s">
        <v>47</v>
      </c>
      <c r="G1783" t="s">
        <v>48</v>
      </c>
      <c r="H1783">
        <v>1</v>
      </c>
      <c r="K1783" t="s">
        <v>380</v>
      </c>
      <c r="L1783" t="s">
        <v>381</v>
      </c>
      <c r="M1783" t="s">
        <v>131</v>
      </c>
      <c r="N1783">
        <v>18</v>
      </c>
      <c r="P1783" t="s">
        <v>41</v>
      </c>
      <c r="Q1783" t="s">
        <v>49</v>
      </c>
      <c r="R1783" t="str">
        <f>"0591909"</f>
        <v>0591909</v>
      </c>
      <c r="S1783" t="s">
        <v>385</v>
      </c>
      <c r="T1783" t="s">
        <v>380</v>
      </c>
      <c r="U1783" t="s">
        <v>381</v>
      </c>
      <c r="V1783" t="s">
        <v>131</v>
      </c>
      <c r="W1783" t="s">
        <v>51</v>
      </c>
      <c r="X1783" t="s">
        <v>45</v>
      </c>
      <c r="Y1783" s="1">
        <v>23191</v>
      </c>
      <c r="Z1783">
        <v>2</v>
      </c>
      <c r="AA1783" t="s">
        <v>381</v>
      </c>
      <c r="AB1783" s="40" t="s">
        <v>1797</v>
      </c>
    </row>
    <row r="1784" spans="1:28" x14ac:dyDescent="0.25">
      <c r="A1784">
        <v>99911783</v>
      </c>
      <c r="B1784" t="s">
        <v>32</v>
      </c>
      <c r="C1784" t="s">
        <v>71</v>
      </c>
      <c r="D1784" t="s">
        <v>72</v>
      </c>
      <c r="G1784" t="s">
        <v>48</v>
      </c>
      <c r="H1784">
        <v>1</v>
      </c>
      <c r="K1784" t="s">
        <v>157</v>
      </c>
      <c r="L1784" t="s">
        <v>158</v>
      </c>
      <c r="M1784" t="s">
        <v>131</v>
      </c>
      <c r="N1784">
        <v>18</v>
      </c>
      <c r="P1784" t="s">
        <v>41</v>
      </c>
      <c r="Q1784" t="s">
        <v>49</v>
      </c>
      <c r="R1784" t="str">
        <f>"0560006"</f>
        <v>0560006</v>
      </c>
      <c r="S1784" t="s">
        <v>191</v>
      </c>
      <c r="T1784" t="s">
        <v>157</v>
      </c>
      <c r="U1784" t="s">
        <v>158</v>
      </c>
      <c r="V1784" t="s">
        <v>131</v>
      </c>
      <c r="W1784" t="s">
        <v>51</v>
      </c>
      <c r="X1784" t="s">
        <v>45</v>
      </c>
      <c r="Y1784" s="1">
        <v>23162</v>
      </c>
      <c r="Z1784">
        <v>2</v>
      </c>
      <c r="AA1784" t="s">
        <v>158</v>
      </c>
      <c r="AB1784" s="40" t="s">
        <v>1797</v>
      </c>
    </row>
    <row r="1785" spans="1:28" x14ac:dyDescent="0.25">
      <c r="A1785">
        <v>99911784</v>
      </c>
      <c r="B1785" t="s">
        <v>32</v>
      </c>
      <c r="C1785" t="s">
        <v>64</v>
      </c>
      <c r="D1785" t="s">
        <v>65</v>
      </c>
      <c r="G1785" t="s">
        <v>48</v>
      </c>
      <c r="H1785">
        <v>1</v>
      </c>
      <c r="K1785" t="s">
        <v>223</v>
      </c>
      <c r="L1785" t="s">
        <v>224</v>
      </c>
      <c r="M1785" t="s">
        <v>131</v>
      </c>
      <c r="N1785">
        <v>18</v>
      </c>
      <c r="P1785" t="s">
        <v>41</v>
      </c>
      <c r="Q1785" t="s">
        <v>42</v>
      </c>
      <c r="R1785" t="str">
        <f>"0580203"</f>
        <v>0580203</v>
      </c>
      <c r="S1785" t="s">
        <v>239</v>
      </c>
      <c r="T1785" t="s">
        <v>223</v>
      </c>
      <c r="U1785" t="s">
        <v>224</v>
      </c>
      <c r="V1785" t="s">
        <v>131</v>
      </c>
      <c r="W1785" t="s">
        <v>165</v>
      </c>
      <c r="X1785" t="s">
        <v>45</v>
      </c>
      <c r="Y1785" s="1">
        <v>23162</v>
      </c>
      <c r="Z1785">
        <v>2</v>
      </c>
      <c r="AA1785" t="s">
        <v>224</v>
      </c>
      <c r="AB1785" s="40" t="s">
        <v>1797</v>
      </c>
    </row>
    <row r="1786" spans="1:28" x14ac:dyDescent="0.25">
      <c r="A1786">
        <v>99911785</v>
      </c>
      <c r="B1786" t="s">
        <v>56</v>
      </c>
      <c r="C1786" t="s">
        <v>52</v>
      </c>
      <c r="D1786" t="s">
        <v>53</v>
      </c>
      <c r="G1786" t="s">
        <v>48</v>
      </c>
      <c r="H1786">
        <v>1</v>
      </c>
      <c r="K1786" t="s">
        <v>157</v>
      </c>
      <c r="L1786" t="s">
        <v>158</v>
      </c>
      <c r="M1786" t="s">
        <v>131</v>
      </c>
      <c r="N1786">
        <v>18</v>
      </c>
      <c r="P1786" t="s">
        <v>41</v>
      </c>
      <c r="Q1786" t="s">
        <v>49</v>
      </c>
      <c r="R1786" t="str">
        <f>"0560010"</f>
        <v>0560010</v>
      </c>
      <c r="S1786" t="s">
        <v>179</v>
      </c>
      <c r="T1786" t="s">
        <v>157</v>
      </c>
      <c r="U1786" t="s">
        <v>158</v>
      </c>
      <c r="V1786" t="s">
        <v>131</v>
      </c>
      <c r="W1786" t="s">
        <v>51</v>
      </c>
      <c r="X1786" t="s">
        <v>45</v>
      </c>
      <c r="Y1786" s="1">
        <v>23149</v>
      </c>
      <c r="Z1786">
        <v>2</v>
      </c>
      <c r="AA1786" t="s">
        <v>158</v>
      </c>
      <c r="AB1786" s="40" t="s">
        <v>1797</v>
      </c>
    </row>
    <row r="1787" spans="1:28" x14ac:dyDescent="0.25">
      <c r="A1787">
        <v>99911786</v>
      </c>
      <c r="B1787" t="s">
        <v>32</v>
      </c>
      <c r="C1787" t="s">
        <v>71</v>
      </c>
      <c r="D1787" t="s">
        <v>72</v>
      </c>
      <c r="G1787" t="s">
        <v>48</v>
      </c>
      <c r="H1787">
        <v>1</v>
      </c>
      <c r="K1787" t="s">
        <v>162</v>
      </c>
      <c r="L1787" t="s">
        <v>158</v>
      </c>
      <c r="M1787" t="s">
        <v>131</v>
      </c>
      <c r="N1787">
        <v>18</v>
      </c>
      <c r="P1787" t="s">
        <v>41</v>
      </c>
      <c r="Q1787" t="s">
        <v>49</v>
      </c>
      <c r="R1787" t="str">
        <f>"0581325"</f>
        <v>0581325</v>
      </c>
      <c r="S1787" t="s">
        <v>169</v>
      </c>
      <c r="T1787" t="s">
        <v>162</v>
      </c>
      <c r="U1787" t="s">
        <v>158</v>
      </c>
      <c r="V1787" t="s">
        <v>131</v>
      </c>
      <c r="W1787" t="s">
        <v>51</v>
      </c>
      <c r="X1787" t="s">
        <v>45</v>
      </c>
      <c r="Y1787" s="1">
        <v>23149</v>
      </c>
      <c r="Z1787">
        <v>2</v>
      </c>
      <c r="AA1787" t="s">
        <v>158</v>
      </c>
      <c r="AB1787" s="40" t="s">
        <v>1797</v>
      </c>
    </row>
    <row r="1788" spans="1:28" x14ac:dyDescent="0.25">
      <c r="A1788">
        <v>99911787</v>
      </c>
      <c r="B1788" t="s">
        <v>32</v>
      </c>
      <c r="C1788" t="s">
        <v>46</v>
      </c>
      <c r="D1788" t="s">
        <v>47</v>
      </c>
      <c r="G1788" t="s">
        <v>48</v>
      </c>
      <c r="H1788">
        <v>19</v>
      </c>
      <c r="K1788" t="s">
        <v>1268</v>
      </c>
      <c r="L1788" t="s">
        <v>1269</v>
      </c>
      <c r="M1788" t="s">
        <v>1270</v>
      </c>
      <c r="N1788">
        <v>18</v>
      </c>
      <c r="O1788" s="1">
        <v>43344</v>
      </c>
      <c r="P1788" t="s">
        <v>41</v>
      </c>
      <c r="Q1788" t="s">
        <v>42</v>
      </c>
      <c r="R1788" t="str">
        <f>"1980055"</f>
        <v>1980055</v>
      </c>
      <c r="S1788" t="s">
        <v>1285</v>
      </c>
      <c r="T1788" t="s">
        <v>1268</v>
      </c>
      <c r="U1788" t="s">
        <v>1269</v>
      </c>
      <c r="V1788" t="s">
        <v>1270</v>
      </c>
      <c r="W1788" t="s">
        <v>165</v>
      </c>
      <c r="X1788" t="s">
        <v>45</v>
      </c>
      <c r="Y1788" s="1">
        <v>23142</v>
      </c>
      <c r="Z1788">
        <v>2</v>
      </c>
      <c r="AA1788" t="s">
        <v>1269</v>
      </c>
      <c r="AB1788" s="40" t="s">
        <v>1797</v>
      </c>
    </row>
    <row r="1789" spans="1:28" x14ac:dyDescent="0.25">
      <c r="A1789">
        <v>99911788</v>
      </c>
      <c r="B1789" t="s">
        <v>32</v>
      </c>
      <c r="C1789" t="s">
        <v>64</v>
      </c>
      <c r="D1789" t="s">
        <v>65</v>
      </c>
      <c r="G1789" t="s">
        <v>48</v>
      </c>
      <c r="H1789">
        <v>15</v>
      </c>
      <c r="K1789" t="s">
        <v>1268</v>
      </c>
      <c r="L1789" t="s">
        <v>1269</v>
      </c>
      <c r="M1789" t="s">
        <v>1270</v>
      </c>
      <c r="N1789">
        <v>18</v>
      </c>
      <c r="O1789" s="1">
        <v>43344</v>
      </c>
      <c r="P1789" t="s">
        <v>41</v>
      </c>
      <c r="Q1789" t="s">
        <v>49</v>
      </c>
      <c r="R1789" t="str">
        <f>"1981055"</f>
        <v>1981055</v>
      </c>
      <c r="S1789" t="s">
        <v>1280</v>
      </c>
      <c r="T1789" t="s">
        <v>1268</v>
      </c>
      <c r="U1789" t="s">
        <v>1269</v>
      </c>
      <c r="V1789" t="s">
        <v>1270</v>
      </c>
      <c r="W1789" t="s">
        <v>51</v>
      </c>
      <c r="X1789" t="s">
        <v>45</v>
      </c>
      <c r="Y1789" s="1">
        <v>23121</v>
      </c>
      <c r="Z1789">
        <v>2</v>
      </c>
      <c r="AA1789" t="s">
        <v>1269</v>
      </c>
      <c r="AB1789" s="40" t="s">
        <v>1797</v>
      </c>
    </row>
    <row r="1790" spans="1:28" x14ac:dyDescent="0.25">
      <c r="A1790">
        <v>99911789</v>
      </c>
      <c r="B1790" t="s">
        <v>56</v>
      </c>
      <c r="C1790" t="s">
        <v>52</v>
      </c>
      <c r="D1790" t="s">
        <v>53</v>
      </c>
      <c r="G1790" t="s">
        <v>48</v>
      </c>
      <c r="H1790">
        <v>1</v>
      </c>
      <c r="K1790" t="s">
        <v>345</v>
      </c>
      <c r="L1790" t="s">
        <v>346</v>
      </c>
      <c r="M1790" t="s">
        <v>131</v>
      </c>
      <c r="N1790">
        <v>18</v>
      </c>
      <c r="P1790" t="s">
        <v>41</v>
      </c>
      <c r="Q1790" t="s">
        <v>42</v>
      </c>
      <c r="R1790" t="str">
        <f>"0590906"</f>
        <v>0590906</v>
      </c>
      <c r="S1790" t="s">
        <v>361</v>
      </c>
      <c r="T1790" t="s">
        <v>345</v>
      </c>
      <c r="U1790" t="s">
        <v>346</v>
      </c>
      <c r="V1790" t="s">
        <v>131</v>
      </c>
      <c r="W1790" t="s">
        <v>51</v>
      </c>
      <c r="X1790" t="s">
        <v>45</v>
      </c>
      <c r="Y1790" s="1">
        <v>23119</v>
      </c>
      <c r="Z1790">
        <v>2</v>
      </c>
      <c r="AA1790" t="s">
        <v>346</v>
      </c>
      <c r="AB1790" s="40" t="s">
        <v>1797</v>
      </c>
    </row>
    <row r="1791" spans="1:28" x14ac:dyDescent="0.25">
      <c r="A1791">
        <v>99911790</v>
      </c>
      <c r="B1791" t="s">
        <v>56</v>
      </c>
      <c r="C1791" t="s">
        <v>85</v>
      </c>
      <c r="D1791" t="s">
        <v>86</v>
      </c>
      <c r="G1791" t="s">
        <v>35</v>
      </c>
      <c r="H1791">
        <v>1</v>
      </c>
      <c r="K1791" t="s">
        <v>223</v>
      </c>
      <c r="L1791" t="s">
        <v>224</v>
      </c>
      <c r="M1791" t="s">
        <v>131</v>
      </c>
      <c r="N1791">
        <v>18</v>
      </c>
      <c r="P1791" t="s">
        <v>41</v>
      </c>
      <c r="Q1791" t="s">
        <v>42</v>
      </c>
      <c r="R1791" t="str">
        <f>"0590903"</f>
        <v>0590903</v>
      </c>
      <c r="S1791" t="s">
        <v>226</v>
      </c>
      <c r="T1791" t="s">
        <v>223</v>
      </c>
      <c r="U1791" t="s">
        <v>224</v>
      </c>
      <c r="V1791" t="s">
        <v>131</v>
      </c>
      <c r="W1791" t="s">
        <v>51</v>
      </c>
      <c r="X1791" t="s">
        <v>45</v>
      </c>
      <c r="Y1791" s="1">
        <v>23081</v>
      </c>
      <c r="Z1791">
        <v>2</v>
      </c>
      <c r="AA1791" t="s">
        <v>224</v>
      </c>
      <c r="AB1791" s="40" t="s">
        <v>1797</v>
      </c>
    </row>
    <row r="1792" spans="1:28" x14ac:dyDescent="0.25">
      <c r="A1792">
        <v>99911791</v>
      </c>
      <c r="B1792" t="s">
        <v>56</v>
      </c>
      <c r="C1792" t="s">
        <v>68</v>
      </c>
      <c r="D1792" t="s">
        <v>69</v>
      </c>
      <c r="G1792" t="s">
        <v>48</v>
      </c>
      <c r="H1792">
        <v>1</v>
      </c>
      <c r="K1792" t="s">
        <v>223</v>
      </c>
      <c r="L1792" t="s">
        <v>224</v>
      </c>
      <c r="M1792" t="s">
        <v>131</v>
      </c>
      <c r="N1792">
        <v>18</v>
      </c>
      <c r="P1792" t="s">
        <v>41</v>
      </c>
      <c r="Q1792" t="s">
        <v>49</v>
      </c>
      <c r="R1792" t="str">
        <f>"0581206"</f>
        <v>0581206</v>
      </c>
      <c r="S1792" t="s">
        <v>232</v>
      </c>
      <c r="T1792" t="s">
        <v>223</v>
      </c>
      <c r="U1792" t="s">
        <v>224</v>
      </c>
      <c r="V1792" t="s">
        <v>131</v>
      </c>
      <c r="W1792" t="s">
        <v>51</v>
      </c>
      <c r="X1792" t="s">
        <v>45</v>
      </c>
      <c r="Y1792" s="1">
        <v>23072</v>
      </c>
      <c r="Z1792">
        <v>2</v>
      </c>
      <c r="AA1792" t="s">
        <v>224</v>
      </c>
      <c r="AB1792" s="40" t="s">
        <v>1797</v>
      </c>
    </row>
    <row r="1793" spans="1:28" x14ac:dyDescent="0.25">
      <c r="A1793">
        <v>99911792</v>
      </c>
      <c r="B1793" t="s">
        <v>56</v>
      </c>
      <c r="C1793" t="s">
        <v>33</v>
      </c>
      <c r="D1793" t="s">
        <v>34</v>
      </c>
      <c r="G1793" t="s">
        <v>48</v>
      </c>
      <c r="H1793">
        <v>19</v>
      </c>
      <c r="K1793" t="s">
        <v>1268</v>
      </c>
      <c r="L1793" t="s">
        <v>1269</v>
      </c>
      <c r="M1793" t="s">
        <v>1270</v>
      </c>
      <c r="N1793">
        <v>18</v>
      </c>
      <c r="O1793" s="1">
        <v>43344</v>
      </c>
      <c r="P1793" t="s">
        <v>41</v>
      </c>
      <c r="Q1793" t="s">
        <v>42</v>
      </c>
      <c r="R1793" t="str">
        <f>"1980055"</f>
        <v>1980055</v>
      </c>
      <c r="S1793" t="s">
        <v>1285</v>
      </c>
      <c r="T1793" t="s">
        <v>1268</v>
      </c>
      <c r="U1793" t="s">
        <v>1269</v>
      </c>
      <c r="V1793" t="s">
        <v>1270</v>
      </c>
      <c r="W1793" t="s">
        <v>165</v>
      </c>
      <c r="X1793" t="s">
        <v>45</v>
      </c>
      <c r="Y1793" s="1">
        <v>23040</v>
      </c>
      <c r="Z1793">
        <v>2</v>
      </c>
      <c r="AA1793" t="s">
        <v>1269</v>
      </c>
      <c r="AB1793" s="40" t="s">
        <v>1797</v>
      </c>
    </row>
    <row r="1794" spans="1:28" x14ac:dyDescent="0.25">
      <c r="A1794">
        <v>99911793</v>
      </c>
      <c r="B1794" t="s">
        <v>32</v>
      </c>
      <c r="C1794" t="s">
        <v>46</v>
      </c>
      <c r="D1794" t="s">
        <v>47</v>
      </c>
      <c r="G1794" t="s">
        <v>48</v>
      </c>
      <c r="H1794">
        <v>1</v>
      </c>
      <c r="K1794" t="s">
        <v>223</v>
      </c>
      <c r="L1794" t="s">
        <v>224</v>
      </c>
      <c r="M1794" t="s">
        <v>131</v>
      </c>
      <c r="N1794">
        <v>18</v>
      </c>
      <c r="P1794" t="s">
        <v>41</v>
      </c>
      <c r="Q1794" t="s">
        <v>42</v>
      </c>
      <c r="R1794" t="str">
        <f>"0580200"</f>
        <v>0580200</v>
      </c>
      <c r="S1794" t="s">
        <v>245</v>
      </c>
      <c r="T1794" t="s">
        <v>223</v>
      </c>
      <c r="U1794" t="s">
        <v>224</v>
      </c>
      <c r="V1794" t="s">
        <v>131</v>
      </c>
      <c r="W1794" t="s">
        <v>51</v>
      </c>
      <c r="X1794" t="s">
        <v>45</v>
      </c>
      <c r="Y1794" s="1">
        <v>23021</v>
      </c>
      <c r="Z1794">
        <v>2</v>
      </c>
      <c r="AA1794" t="s">
        <v>224</v>
      </c>
      <c r="AB1794" s="40" t="s">
        <v>1797</v>
      </c>
    </row>
    <row r="1795" spans="1:28" x14ac:dyDescent="0.25">
      <c r="A1795">
        <v>99911794</v>
      </c>
      <c r="B1795" t="s">
        <v>56</v>
      </c>
      <c r="C1795" t="s">
        <v>79</v>
      </c>
      <c r="D1795" t="s">
        <v>80</v>
      </c>
      <c r="G1795" t="s">
        <v>48</v>
      </c>
      <c r="H1795">
        <v>1</v>
      </c>
      <c r="K1795" t="s">
        <v>223</v>
      </c>
      <c r="L1795" t="s">
        <v>224</v>
      </c>
      <c r="M1795" t="s">
        <v>131</v>
      </c>
      <c r="N1795">
        <v>18</v>
      </c>
      <c r="P1795" t="s">
        <v>41</v>
      </c>
      <c r="Q1795" t="s">
        <v>42</v>
      </c>
      <c r="R1795" t="str">
        <f>"0580207"</f>
        <v>0580207</v>
      </c>
      <c r="S1795" t="s">
        <v>229</v>
      </c>
      <c r="T1795" t="s">
        <v>223</v>
      </c>
      <c r="U1795" t="s">
        <v>224</v>
      </c>
      <c r="V1795" t="s">
        <v>131</v>
      </c>
      <c r="W1795" t="s">
        <v>51</v>
      </c>
      <c r="X1795" t="s">
        <v>45</v>
      </c>
      <c r="Y1795" s="1">
        <v>23014</v>
      </c>
      <c r="Z1795">
        <v>2</v>
      </c>
      <c r="AA1795" t="s">
        <v>224</v>
      </c>
      <c r="AB1795" s="40" t="s">
        <v>1797</v>
      </c>
    </row>
    <row r="1796" spans="1:28" x14ac:dyDescent="0.25">
      <c r="A1796">
        <v>99911795</v>
      </c>
      <c r="B1796" t="s">
        <v>32</v>
      </c>
      <c r="C1796" t="s">
        <v>79</v>
      </c>
      <c r="D1796" t="s">
        <v>80</v>
      </c>
      <c r="G1796" t="s">
        <v>35</v>
      </c>
      <c r="H1796">
        <v>1</v>
      </c>
      <c r="I1796">
        <v>1981</v>
      </c>
      <c r="J1796" s="1">
        <v>43344</v>
      </c>
      <c r="K1796" t="s">
        <v>268</v>
      </c>
      <c r="L1796" t="s">
        <v>269</v>
      </c>
      <c r="M1796" t="s">
        <v>131</v>
      </c>
      <c r="N1796">
        <v>18</v>
      </c>
      <c r="P1796" t="s">
        <v>41</v>
      </c>
      <c r="Q1796" t="s">
        <v>75</v>
      </c>
      <c r="R1796" t="str">
        <f>"7052012"</f>
        <v>7052012</v>
      </c>
      <c r="S1796" t="s">
        <v>270</v>
      </c>
      <c r="T1796" t="s">
        <v>268</v>
      </c>
      <c r="U1796" t="s">
        <v>269</v>
      </c>
      <c r="V1796" t="s">
        <v>131</v>
      </c>
      <c r="W1796" t="s">
        <v>51</v>
      </c>
      <c r="X1796" t="s">
        <v>45</v>
      </c>
      <c r="Y1796" s="1">
        <v>23012</v>
      </c>
      <c r="Z1796">
        <v>1</v>
      </c>
      <c r="AA1796" t="s">
        <v>269</v>
      </c>
      <c r="AB1796" s="40" t="s">
        <v>1797</v>
      </c>
    </row>
    <row r="1797" spans="1:28" x14ac:dyDescent="0.25">
      <c r="A1797">
        <v>99911796</v>
      </c>
      <c r="B1797" t="s">
        <v>56</v>
      </c>
      <c r="C1797" t="s">
        <v>68</v>
      </c>
      <c r="D1797" t="s">
        <v>69</v>
      </c>
      <c r="G1797" t="s">
        <v>35</v>
      </c>
      <c r="H1797">
        <v>1</v>
      </c>
      <c r="K1797" t="s">
        <v>223</v>
      </c>
      <c r="L1797" t="s">
        <v>224</v>
      </c>
      <c r="M1797" t="s">
        <v>131</v>
      </c>
      <c r="N1797">
        <v>18</v>
      </c>
      <c r="P1797" t="s">
        <v>41</v>
      </c>
      <c r="Q1797" t="s">
        <v>42</v>
      </c>
      <c r="R1797" t="str">
        <f>"0590903"</f>
        <v>0590903</v>
      </c>
      <c r="S1797" t="s">
        <v>226</v>
      </c>
      <c r="T1797" t="s">
        <v>223</v>
      </c>
      <c r="U1797" t="s">
        <v>224</v>
      </c>
      <c r="V1797" t="s">
        <v>131</v>
      </c>
      <c r="W1797" t="s">
        <v>51</v>
      </c>
      <c r="X1797" t="s">
        <v>45</v>
      </c>
      <c r="Y1797" s="1">
        <v>23009</v>
      </c>
      <c r="Z1797">
        <v>2</v>
      </c>
      <c r="AA1797" t="s">
        <v>224</v>
      </c>
      <c r="AB1797" s="40" t="s">
        <v>1797</v>
      </c>
    </row>
    <row r="1798" spans="1:28" x14ac:dyDescent="0.25">
      <c r="A1798">
        <v>99911797</v>
      </c>
      <c r="B1798" t="s">
        <v>32</v>
      </c>
      <c r="C1798" t="s">
        <v>46</v>
      </c>
      <c r="D1798" t="s">
        <v>47</v>
      </c>
      <c r="G1798" t="s">
        <v>48</v>
      </c>
      <c r="H1798">
        <v>1</v>
      </c>
      <c r="K1798" t="s">
        <v>162</v>
      </c>
      <c r="L1798" t="s">
        <v>158</v>
      </c>
      <c r="M1798" t="s">
        <v>131</v>
      </c>
      <c r="N1798">
        <v>18</v>
      </c>
      <c r="P1798" t="s">
        <v>41</v>
      </c>
      <c r="Q1798" t="s">
        <v>42</v>
      </c>
      <c r="R1798" t="str">
        <f>"0580325"</f>
        <v>0580325</v>
      </c>
      <c r="S1798" t="s">
        <v>170</v>
      </c>
      <c r="T1798" t="s">
        <v>162</v>
      </c>
      <c r="U1798" t="s">
        <v>158</v>
      </c>
      <c r="V1798" t="s">
        <v>131</v>
      </c>
      <c r="W1798" t="s">
        <v>165</v>
      </c>
      <c r="X1798" t="s">
        <v>45</v>
      </c>
      <c r="Y1798" s="1">
        <v>22987</v>
      </c>
      <c r="Z1798">
        <v>2</v>
      </c>
      <c r="AA1798" t="s">
        <v>158</v>
      </c>
      <c r="AB1798" s="40" t="s">
        <v>1797</v>
      </c>
    </row>
    <row r="1799" spans="1:28" x14ac:dyDescent="0.25">
      <c r="A1799">
        <v>99911798</v>
      </c>
      <c r="B1799" t="s">
        <v>32</v>
      </c>
      <c r="C1799" t="s">
        <v>139</v>
      </c>
      <c r="D1799" t="s">
        <v>140</v>
      </c>
      <c r="G1799" t="s">
        <v>48</v>
      </c>
      <c r="H1799">
        <v>1</v>
      </c>
      <c r="K1799" t="s">
        <v>162</v>
      </c>
      <c r="L1799" t="s">
        <v>158</v>
      </c>
      <c r="M1799" t="s">
        <v>131</v>
      </c>
      <c r="N1799">
        <v>18</v>
      </c>
      <c r="P1799" t="s">
        <v>41</v>
      </c>
      <c r="Q1799" t="s">
        <v>49</v>
      </c>
      <c r="R1799" t="str">
        <f>"0581325"</f>
        <v>0581325</v>
      </c>
      <c r="S1799" t="s">
        <v>169</v>
      </c>
      <c r="T1799" t="s">
        <v>162</v>
      </c>
      <c r="U1799" t="s">
        <v>158</v>
      </c>
      <c r="V1799" t="s">
        <v>131</v>
      </c>
      <c r="W1799" t="s">
        <v>165</v>
      </c>
      <c r="X1799" t="s">
        <v>45</v>
      </c>
      <c r="Y1799" s="1">
        <v>22967</v>
      </c>
      <c r="Z1799">
        <v>2</v>
      </c>
      <c r="AA1799" t="s">
        <v>158</v>
      </c>
      <c r="AB1799" s="40" t="s">
        <v>1797</v>
      </c>
    </row>
    <row r="1800" spans="1:28" x14ac:dyDescent="0.25">
      <c r="A1800">
        <v>99911799</v>
      </c>
      <c r="B1800" t="s">
        <v>32</v>
      </c>
      <c r="C1800" t="s">
        <v>85</v>
      </c>
      <c r="D1800" t="s">
        <v>86</v>
      </c>
      <c r="G1800" t="s">
        <v>48</v>
      </c>
      <c r="H1800">
        <v>1</v>
      </c>
      <c r="K1800" t="s">
        <v>223</v>
      </c>
      <c r="L1800" t="s">
        <v>224</v>
      </c>
      <c r="M1800" t="s">
        <v>131</v>
      </c>
      <c r="N1800">
        <v>18</v>
      </c>
      <c r="P1800" t="s">
        <v>41</v>
      </c>
      <c r="Q1800" t="s">
        <v>49</v>
      </c>
      <c r="R1800" t="str">
        <f>"0581202"</f>
        <v>0581202</v>
      </c>
      <c r="S1800" t="s">
        <v>248</v>
      </c>
      <c r="T1800" t="s">
        <v>223</v>
      </c>
      <c r="U1800" t="s">
        <v>224</v>
      </c>
      <c r="V1800" t="s">
        <v>131</v>
      </c>
      <c r="W1800" t="s">
        <v>165</v>
      </c>
      <c r="X1800" t="s">
        <v>45</v>
      </c>
      <c r="Y1800" s="1">
        <v>22962</v>
      </c>
      <c r="Z1800">
        <v>2</v>
      </c>
      <c r="AA1800" t="s">
        <v>224</v>
      </c>
      <c r="AB1800" s="40" t="s">
        <v>1797</v>
      </c>
    </row>
    <row r="1801" spans="1:28" x14ac:dyDescent="0.25">
      <c r="A1801">
        <v>99911800</v>
      </c>
      <c r="B1801" t="s">
        <v>32</v>
      </c>
      <c r="C1801" t="s">
        <v>82</v>
      </c>
      <c r="D1801" t="s">
        <v>83</v>
      </c>
      <c r="G1801" t="s">
        <v>35</v>
      </c>
      <c r="H1801">
        <v>1</v>
      </c>
      <c r="K1801" t="s">
        <v>223</v>
      </c>
      <c r="L1801" t="s">
        <v>224</v>
      </c>
      <c r="M1801" t="s">
        <v>131</v>
      </c>
      <c r="N1801">
        <v>18</v>
      </c>
      <c r="P1801" t="s">
        <v>41</v>
      </c>
      <c r="Q1801" t="s">
        <v>42</v>
      </c>
      <c r="R1801" t="str">
        <f>"0590907"</f>
        <v>0590907</v>
      </c>
      <c r="S1801" t="s">
        <v>285</v>
      </c>
      <c r="T1801" t="s">
        <v>223</v>
      </c>
      <c r="U1801" t="s">
        <v>224</v>
      </c>
      <c r="V1801" t="s">
        <v>131</v>
      </c>
      <c r="W1801" t="s">
        <v>51</v>
      </c>
      <c r="X1801" t="s">
        <v>45</v>
      </c>
      <c r="Y1801" s="1">
        <v>22961</v>
      </c>
      <c r="Z1801">
        <v>2</v>
      </c>
      <c r="AA1801" t="s">
        <v>224</v>
      </c>
      <c r="AB1801" s="40" t="s">
        <v>1797</v>
      </c>
    </row>
    <row r="1802" spans="1:28" x14ac:dyDescent="0.25">
      <c r="A1802">
        <v>99911801</v>
      </c>
      <c r="B1802" t="s">
        <v>32</v>
      </c>
      <c r="C1802" t="s">
        <v>79</v>
      </c>
      <c r="D1802" t="s">
        <v>80</v>
      </c>
      <c r="G1802" t="s">
        <v>48</v>
      </c>
      <c r="H1802">
        <v>1</v>
      </c>
      <c r="K1802" t="s">
        <v>380</v>
      </c>
      <c r="L1802" t="s">
        <v>381</v>
      </c>
      <c r="M1802" t="s">
        <v>131</v>
      </c>
      <c r="N1802">
        <v>18</v>
      </c>
      <c r="P1802" t="s">
        <v>41</v>
      </c>
      <c r="Q1802" t="s">
        <v>49</v>
      </c>
      <c r="R1802" t="str">
        <f>"0591909"</f>
        <v>0591909</v>
      </c>
      <c r="S1802" t="s">
        <v>385</v>
      </c>
      <c r="T1802" t="s">
        <v>380</v>
      </c>
      <c r="U1802" t="s">
        <v>381</v>
      </c>
      <c r="V1802" t="s">
        <v>131</v>
      </c>
      <c r="W1802" t="s">
        <v>51</v>
      </c>
      <c r="X1802" t="s">
        <v>45</v>
      </c>
      <c r="Y1802" s="1">
        <v>22960</v>
      </c>
      <c r="Z1802">
        <v>2</v>
      </c>
      <c r="AA1802" t="s">
        <v>381</v>
      </c>
      <c r="AB1802" s="40" t="s">
        <v>1797</v>
      </c>
    </row>
    <row r="1803" spans="1:28" x14ac:dyDescent="0.25">
      <c r="A1803">
        <v>99911802</v>
      </c>
      <c r="B1803" t="s">
        <v>56</v>
      </c>
      <c r="C1803" t="s">
        <v>68</v>
      </c>
      <c r="D1803" t="s">
        <v>69</v>
      </c>
      <c r="G1803" t="s">
        <v>48</v>
      </c>
      <c r="H1803">
        <v>1</v>
      </c>
      <c r="K1803" t="s">
        <v>345</v>
      </c>
      <c r="L1803" t="s">
        <v>346</v>
      </c>
      <c r="M1803" t="s">
        <v>131</v>
      </c>
      <c r="N1803">
        <v>18</v>
      </c>
      <c r="P1803" t="s">
        <v>41</v>
      </c>
      <c r="Q1803" t="s">
        <v>42</v>
      </c>
      <c r="R1803" t="str">
        <f>"0580605"</f>
        <v>0580605</v>
      </c>
      <c r="S1803" t="s">
        <v>362</v>
      </c>
      <c r="T1803" t="s">
        <v>345</v>
      </c>
      <c r="U1803" t="s">
        <v>346</v>
      </c>
      <c r="V1803" t="s">
        <v>131</v>
      </c>
      <c r="W1803" t="s">
        <v>51</v>
      </c>
      <c r="X1803" t="s">
        <v>45</v>
      </c>
      <c r="Y1803" s="1">
        <v>22955</v>
      </c>
      <c r="Z1803">
        <v>2</v>
      </c>
      <c r="AA1803" t="s">
        <v>346</v>
      </c>
      <c r="AB1803" s="40" t="s">
        <v>1797</v>
      </c>
    </row>
    <row r="1804" spans="1:28" x14ac:dyDescent="0.25">
      <c r="A1804">
        <v>99911803</v>
      </c>
      <c r="B1804" t="s">
        <v>56</v>
      </c>
      <c r="C1804" t="s">
        <v>68</v>
      </c>
      <c r="D1804" t="s">
        <v>69</v>
      </c>
      <c r="G1804" t="s">
        <v>48</v>
      </c>
      <c r="H1804">
        <v>1</v>
      </c>
      <c r="K1804" t="s">
        <v>345</v>
      </c>
      <c r="L1804" t="s">
        <v>346</v>
      </c>
      <c r="M1804" t="s">
        <v>131</v>
      </c>
      <c r="N1804">
        <v>18</v>
      </c>
      <c r="P1804" t="s">
        <v>41</v>
      </c>
      <c r="Q1804" t="s">
        <v>49</v>
      </c>
      <c r="R1804" t="str">
        <f>"0591906"</f>
        <v>0591906</v>
      </c>
      <c r="S1804" t="s">
        <v>350</v>
      </c>
      <c r="T1804" t="s">
        <v>345</v>
      </c>
      <c r="U1804" t="s">
        <v>346</v>
      </c>
      <c r="V1804" t="s">
        <v>131</v>
      </c>
      <c r="W1804" t="s">
        <v>51</v>
      </c>
      <c r="X1804" t="s">
        <v>45</v>
      </c>
      <c r="Y1804" s="1">
        <v>22946</v>
      </c>
      <c r="Z1804">
        <v>2</v>
      </c>
      <c r="AA1804" t="s">
        <v>346</v>
      </c>
      <c r="AB1804" s="40" t="s">
        <v>1797</v>
      </c>
    </row>
    <row r="1805" spans="1:28" x14ac:dyDescent="0.25">
      <c r="A1805">
        <v>99911804</v>
      </c>
      <c r="B1805" t="s">
        <v>56</v>
      </c>
      <c r="C1805" t="s">
        <v>52</v>
      </c>
      <c r="D1805" t="s">
        <v>53</v>
      </c>
      <c r="G1805" t="s">
        <v>35</v>
      </c>
      <c r="H1805">
        <v>1</v>
      </c>
      <c r="K1805" t="s">
        <v>947</v>
      </c>
      <c r="L1805" t="s">
        <v>948</v>
      </c>
      <c r="M1805" t="s">
        <v>938</v>
      </c>
      <c r="N1805">
        <v>18</v>
      </c>
      <c r="P1805" t="s">
        <v>41</v>
      </c>
      <c r="Q1805" t="s">
        <v>42</v>
      </c>
      <c r="R1805" t="str">
        <f>"0680030"</f>
        <v>0680030</v>
      </c>
      <c r="S1805" t="s">
        <v>951</v>
      </c>
      <c r="T1805" t="s">
        <v>947</v>
      </c>
      <c r="U1805" t="s">
        <v>948</v>
      </c>
      <c r="V1805" t="s">
        <v>938</v>
      </c>
      <c r="W1805" t="s">
        <v>165</v>
      </c>
      <c r="X1805" t="s">
        <v>45</v>
      </c>
      <c r="Y1805" s="1">
        <v>22943</v>
      </c>
      <c r="Z1805">
        <v>2</v>
      </c>
      <c r="AA1805" t="s">
        <v>948</v>
      </c>
      <c r="AB1805" s="40" t="s">
        <v>1797</v>
      </c>
    </row>
    <row r="1806" spans="1:28" x14ac:dyDescent="0.25">
      <c r="A1806">
        <v>99911805</v>
      </c>
      <c r="B1806" t="s">
        <v>32</v>
      </c>
      <c r="C1806" t="s">
        <v>64</v>
      </c>
      <c r="D1806" t="s">
        <v>65</v>
      </c>
      <c r="G1806" t="s">
        <v>48</v>
      </c>
      <c r="H1806">
        <v>1</v>
      </c>
      <c r="K1806" t="s">
        <v>162</v>
      </c>
      <c r="L1806" t="s">
        <v>158</v>
      </c>
      <c r="M1806" t="s">
        <v>131</v>
      </c>
      <c r="N1806">
        <v>18</v>
      </c>
      <c r="P1806" t="s">
        <v>41</v>
      </c>
      <c r="Q1806" t="s">
        <v>42</v>
      </c>
      <c r="R1806" t="str">
        <f>"0580325"</f>
        <v>0580325</v>
      </c>
      <c r="S1806" t="s">
        <v>170</v>
      </c>
      <c r="T1806" t="s">
        <v>162</v>
      </c>
      <c r="U1806" t="s">
        <v>158</v>
      </c>
      <c r="V1806" t="s">
        <v>131</v>
      </c>
      <c r="W1806" t="s">
        <v>165</v>
      </c>
      <c r="X1806" t="s">
        <v>45</v>
      </c>
      <c r="Y1806" s="1">
        <v>22942</v>
      </c>
      <c r="Z1806">
        <v>2</v>
      </c>
      <c r="AA1806" t="s">
        <v>158</v>
      </c>
      <c r="AB1806" s="40" t="s">
        <v>1797</v>
      </c>
    </row>
    <row r="1807" spans="1:28" x14ac:dyDescent="0.25">
      <c r="A1807">
        <v>99911806</v>
      </c>
      <c r="B1807" t="s">
        <v>56</v>
      </c>
      <c r="C1807" t="s">
        <v>79</v>
      </c>
      <c r="D1807" t="s">
        <v>80</v>
      </c>
      <c r="G1807" t="s">
        <v>48</v>
      </c>
      <c r="H1807">
        <v>1</v>
      </c>
      <c r="K1807" t="s">
        <v>354</v>
      </c>
      <c r="L1807" t="s">
        <v>355</v>
      </c>
      <c r="M1807" t="s">
        <v>131</v>
      </c>
      <c r="N1807">
        <v>18</v>
      </c>
      <c r="P1807" t="s">
        <v>41</v>
      </c>
      <c r="Q1807" t="s">
        <v>75</v>
      </c>
      <c r="R1807" t="str">
        <f>"7054002"</f>
        <v>7054002</v>
      </c>
      <c r="S1807" t="s">
        <v>376</v>
      </c>
      <c r="T1807" t="s">
        <v>354</v>
      </c>
      <c r="U1807" t="s">
        <v>355</v>
      </c>
      <c r="V1807" t="s">
        <v>131</v>
      </c>
      <c r="W1807" t="s">
        <v>51</v>
      </c>
      <c r="X1807" t="s">
        <v>45</v>
      </c>
      <c r="Y1807" s="1">
        <v>22942</v>
      </c>
      <c r="Z1807">
        <v>1</v>
      </c>
      <c r="AA1807" t="s">
        <v>355</v>
      </c>
      <c r="AB1807" s="40" t="s">
        <v>1797</v>
      </c>
    </row>
    <row r="1808" spans="1:28" x14ac:dyDescent="0.25">
      <c r="A1808">
        <v>99911807</v>
      </c>
      <c r="B1808" t="s">
        <v>56</v>
      </c>
      <c r="C1808" t="s">
        <v>82</v>
      </c>
      <c r="D1808" t="s">
        <v>83</v>
      </c>
      <c r="G1808" t="s">
        <v>48</v>
      </c>
      <c r="H1808">
        <v>1</v>
      </c>
      <c r="K1808" t="s">
        <v>345</v>
      </c>
      <c r="L1808" t="s">
        <v>346</v>
      </c>
      <c r="M1808" t="s">
        <v>131</v>
      </c>
      <c r="N1808">
        <v>18</v>
      </c>
      <c r="P1808" t="s">
        <v>41</v>
      </c>
      <c r="Q1808" t="s">
        <v>42</v>
      </c>
      <c r="R1808" t="str">
        <f>"0590906"</f>
        <v>0590906</v>
      </c>
      <c r="S1808" t="s">
        <v>361</v>
      </c>
      <c r="T1808" t="s">
        <v>345</v>
      </c>
      <c r="U1808" t="s">
        <v>346</v>
      </c>
      <c r="V1808" t="s">
        <v>131</v>
      </c>
      <c r="W1808" t="s">
        <v>51</v>
      </c>
      <c r="X1808" t="s">
        <v>45</v>
      </c>
      <c r="Y1808" s="1">
        <v>22940</v>
      </c>
      <c r="Z1808">
        <v>2</v>
      </c>
      <c r="AA1808" t="s">
        <v>346</v>
      </c>
      <c r="AB1808" s="40" t="s">
        <v>1797</v>
      </c>
    </row>
    <row r="1809" spans="1:28" x14ac:dyDescent="0.25">
      <c r="A1809">
        <v>99911808</v>
      </c>
      <c r="B1809" t="s">
        <v>32</v>
      </c>
      <c r="C1809" t="s">
        <v>145</v>
      </c>
      <c r="D1809" t="s">
        <v>146</v>
      </c>
      <c r="G1809" t="s">
        <v>48</v>
      </c>
      <c r="H1809">
        <v>1</v>
      </c>
      <c r="K1809" t="s">
        <v>129</v>
      </c>
      <c r="L1809" t="s">
        <v>130</v>
      </c>
      <c r="M1809" t="s">
        <v>131</v>
      </c>
      <c r="N1809">
        <v>18</v>
      </c>
      <c r="P1809" t="s">
        <v>41</v>
      </c>
      <c r="Q1809" t="s">
        <v>42</v>
      </c>
      <c r="R1809" t="str">
        <f>"0590905"</f>
        <v>0590905</v>
      </c>
      <c r="S1809" t="s">
        <v>133</v>
      </c>
      <c r="T1809" t="s">
        <v>129</v>
      </c>
      <c r="U1809" t="s">
        <v>130</v>
      </c>
      <c r="V1809" t="s">
        <v>131</v>
      </c>
      <c r="W1809" t="s">
        <v>51</v>
      </c>
      <c r="X1809" t="s">
        <v>45</v>
      </c>
      <c r="Y1809" s="1">
        <v>22936</v>
      </c>
      <c r="Z1809">
        <v>2</v>
      </c>
      <c r="AA1809" t="s">
        <v>130</v>
      </c>
      <c r="AB1809" s="40" t="s">
        <v>1797</v>
      </c>
    </row>
    <row r="1810" spans="1:28" x14ac:dyDescent="0.25">
      <c r="A1810">
        <v>99911809</v>
      </c>
      <c r="B1810" t="s">
        <v>32</v>
      </c>
      <c r="C1810" t="s">
        <v>64</v>
      </c>
      <c r="D1810" t="s">
        <v>65</v>
      </c>
      <c r="G1810" t="s">
        <v>35</v>
      </c>
      <c r="H1810">
        <v>1</v>
      </c>
      <c r="K1810" t="s">
        <v>223</v>
      </c>
      <c r="L1810" t="s">
        <v>224</v>
      </c>
      <c r="M1810" t="s">
        <v>131</v>
      </c>
      <c r="N1810">
        <v>18</v>
      </c>
      <c r="P1810" t="s">
        <v>41</v>
      </c>
      <c r="Q1810" t="s">
        <v>49</v>
      </c>
      <c r="R1810" t="str">
        <f>"0591901"</f>
        <v>0591901</v>
      </c>
      <c r="S1810" t="s">
        <v>230</v>
      </c>
      <c r="T1810" t="s">
        <v>223</v>
      </c>
      <c r="U1810" t="s">
        <v>224</v>
      </c>
      <c r="V1810" t="s">
        <v>131</v>
      </c>
      <c r="W1810" t="s">
        <v>51</v>
      </c>
      <c r="X1810" t="s">
        <v>45</v>
      </c>
      <c r="Y1810" s="1">
        <v>22931</v>
      </c>
      <c r="Z1810">
        <v>2</v>
      </c>
      <c r="AA1810" t="s">
        <v>224</v>
      </c>
      <c r="AB1810" s="40" t="s">
        <v>1797</v>
      </c>
    </row>
    <row r="1811" spans="1:28" x14ac:dyDescent="0.25">
      <c r="A1811">
        <v>99911810</v>
      </c>
      <c r="B1811" t="s">
        <v>32</v>
      </c>
      <c r="C1811" t="s">
        <v>46</v>
      </c>
      <c r="D1811" t="s">
        <v>47</v>
      </c>
      <c r="G1811" t="s">
        <v>48</v>
      </c>
      <c r="H1811">
        <v>17</v>
      </c>
      <c r="K1811" t="s">
        <v>1268</v>
      </c>
      <c r="L1811" t="s">
        <v>1269</v>
      </c>
      <c r="M1811" t="s">
        <v>1270</v>
      </c>
      <c r="N1811">
        <v>18</v>
      </c>
      <c r="O1811" s="1">
        <v>43344</v>
      </c>
      <c r="P1811" t="s">
        <v>41</v>
      </c>
      <c r="Q1811" t="s">
        <v>42</v>
      </c>
      <c r="R1811" t="str">
        <f>"1980055"</f>
        <v>1980055</v>
      </c>
      <c r="S1811" t="s">
        <v>1285</v>
      </c>
      <c r="T1811" t="s">
        <v>1268</v>
      </c>
      <c r="U1811" t="s">
        <v>1269</v>
      </c>
      <c r="V1811" t="s">
        <v>1270</v>
      </c>
      <c r="W1811" t="s">
        <v>165</v>
      </c>
      <c r="X1811" t="s">
        <v>45</v>
      </c>
      <c r="Y1811" s="1">
        <v>22930</v>
      </c>
      <c r="Z1811">
        <v>2</v>
      </c>
      <c r="AA1811" t="s">
        <v>1269</v>
      </c>
      <c r="AB1811" s="40" t="s">
        <v>1797</v>
      </c>
    </row>
    <row r="1812" spans="1:28" x14ac:dyDescent="0.25">
      <c r="A1812">
        <v>99911811</v>
      </c>
      <c r="B1812" t="s">
        <v>32</v>
      </c>
      <c r="C1812" t="s">
        <v>64</v>
      </c>
      <c r="D1812" t="s">
        <v>65</v>
      </c>
      <c r="G1812" t="s">
        <v>35</v>
      </c>
      <c r="H1812">
        <v>1</v>
      </c>
      <c r="K1812" t="s">
        <v>223</v>
      </c>
      <c r="L1812" t="s">
        <v>224</v>
      </c>
      <c r="M1812" t="s">
        <v>131</v>
      </c>
      <c r="N1812">
        <v>18</v>
      </c>
      <c r="P1812" t="s">
        <v>41</v>
      </c>
      <c r="Q1812" t="s">
        <v>42</v>
      </c>
      <c r="R1812" t="str">
        <f>"0590901"</f>
        <v>0590901</v>
      </c>
      <c r="S1812" t="s">
        <v>242</v>
      </c>
      <c r="T1812" t="s">
        <v>223</v>
      </c>
      <c r="U1812" t="s">
        <v>224</v>
      </c>
      <c r="V1812" t="s">
        <v>131</v>
      </c>
      <c r="W1812" t="s">
        <v>51</v>
      </c>
      <c r="X1812" t="s">
        <v>45</v>
      </c>
      <c r="Y1812" s="1">
        <v>22902</v>
      </c>
      <c r="Z1812">
        <v>2</v>
      </c>
      <c r="AA1812" t="s">
        <v>224</v>
      </c>
      <c r="AB1812" s="40" t="s">
        <v>1797</v>
      </c>
    </row>
    <row r="1813" spans="1:28" x14ac:dyDescent="0.25">
      <c r="A1813">
        <v>99911812</v>
      </c>
      <c r="B1813" t="s">
        <v>32</v>
      </c>
      <c r="C1813" t="s">
        <v>139</v>
      </c>
      <c r="D1813" t="s">
        <v>140</v>
      </c>
      <c r="G1813" t="s">
        <v>48</v>
      </c>
      <c r="H1813">
        <v>1</v>
      </c>
      <c r="K1813" t="s">
        <v>380</v>
      </c>
      <c r="L1813" t="s">
        <v>381</v>
      </c>
      <c r="M1813" t="s">
        <v>131</v>
      </c>
      <c r="N1813">
        <v>18</v>
      </c>
      <c r="P1813" t="s">
        <v>41</v>
      </c>
      <c r="Q1813" t="s">
        <v>49</v>
      </c>
      <c r="R1813" t="str">
        <f>"0591909"</f>
        <v>0591909</v>
      </c>
      <c r="S1813" t="s">
        <v>385</v>
      </c>
      <c r="T1813" t="s">
        <v>380</v>
      </c>
      <c r="U1813" t="s">
        <v>381</v>
      </c>
      <c r="V1813" t="s">
        <v>131</v>
      </c>
      <c r="W1813" t="s">
        <v>51</v>
      </c>
      <c r="X1813" t="s">
        <v>45</v>
      </c>
      <c r="Y1813" s="1">
        <v>22899</v>
      </c>
      <c r="Z1813">
        <v>2</v>
      </c>
      <c r="AA1813" t="s">
        <v>381</v>
      </c>
      <c r="AB1813" s="40" t="s">
        <v>1797</v>
      </c>
    </row>
    <row r="1814" spans="1:28" x14ac:dyDescent="0.25">
      <c r="A1814">
        <v>99911813</v>
      </c>
      <c r="B1814" t="s">
        <v>32</v>
      </c>
      <c r="C1814" t="s">
        <v>64</v>
      </c>
      <c r="D1814" t="s">
        <v>65</v>
      </c>
      <c r="G1814" t="s">
        <v>48</v>
      </c>
      <c r="H1814">
        <v>1</v>
      </c>
      <c r="K1814" t="s">
        <v>223</v>
      </c>
      <c r="L1814" t="s">
        <v>224</v>
      </c>
      <c r="M1814" t="s">
        <v>131</v>
      </c>
      <c r="N1814">
        <v>18</v>
      </c>
      <c r="P1814" t="s">
        <v>41</v>
      </c>
      <c r="Q1814" t="s">
        <v>49</v>
      </c>
      <c r="R1814" t="str">
        <f>"0581204"</f>
        <v>0581204</v>
      </c>
      <c r="S1814" t="s">
        <v>249</v>
      </c>
      <c r="T1814" t="s">
        <v>223</v>
      </c>
      <c r="U1814" t="s">
        <v>224</v>
      </c>
      <c r="V1814" t="s">
        <v>131</v>
      </c>
      <c r="W1814" t="s">
        <v>165</v>
      </c>
      <c r="X1814" t="s">
        <v>45</v>
      </c>
      <c r="Y1814" s="1">
        <v>22897</v>
      </c>
      <c r="Z1814">
        <v>2</v>
      </c>
      <c r="AA1814" t="s">
        <v>224</v>
      </c>
      <c r="AB1814" s="40" t="s">
        <v>1797</v>
      </c>
    </row>
    <row r="1815" spans="1:28" x14ac:dyDescent="0.25">
      <c r="A1815">
        <v>99911814</v>
      </c>
      <c r="B1815" t="s">
        <v>56</v>
      </c>
      <c r="C1815" t="s">
        <v>79</v>
      </c>
      <c r="D1815" t="s">
        <v>80</v>
      </c>
      <c r="G1815" t="s">
        <v>48</v>
      </c>
      <c r="H1815">
        <v>1</v>
      </c>
      <c r="K1815" t="s">
        <v>223</v>
      </c>
      <c r="L1815" t="s">
        <v>224</v>
      </c>
      <c r="M1815" t="s">
        <v>131</v>
      </c>
      <c r="N1815">
        <v>18</v>
      </c>
      <c r="P1815" t="s">
        <v>41</v>
      </c>
      <c r="Q1815" t="s">
        <v>49</v>
      </c>
      <c r="R1815" t="str">
        <f>"0581206"</f>
        <v>0581206</v>
      </c>
      <c r="S1815" t="s">
        <v>232</v>
      </c>
      <c r="T1815" t="s">
        <v>223</v>
      </c>
      <c r="U1815" t="s">
        <v>224</v>
      </c>
      <c r="V1815" t="s">
        <v>131</v>
      </c>
      <c r="W1815" t="s">
        <v>51</v>
      </c>
      <c r="X1815" t="s">
        <v>45</v>
      </c>
      <c r="Y1815" s="1">
        <v>22895</v>
      </c>
      <c r="Z1815">
        <v>2</v>
      </c>
      <c r="AA1815" t="s">
        <v>224</v>
      </c>
      <c r="AB1815" s="40" t="s">
        <v>1797</v>
      </c>
    </row>
    <row r="1816" spans="1:28" x14ac:dyDescent="0.25">
      <c r="A1816">
        <v>99911815</v>
      </c>
      <c r="B1816" t="s">
        <v>32</v>
      </c>
      <c r="C1816" t="s">
        <v>46</v>
      </c>
      <c r="D1816" t="s">
        <v>47</v>
      </c>
      <c r="G1816" t="s">
        <v>35</v>
      </c>
      <c r="H1816">
        <v>1</v>
      </c>
      <c r="K1816" t="s">
        <v>223</v>
      </c>
      <c r="L1816" t="s">
        <v>224</v>
      </c>
      <c r="M1816" t="s">
        <v>131</v>
      </c>
      <c r="N1816">
        <v>18</v>
      </c>
      <c r="P1816" t="s">
        <v>41</v>
      </c>
      <c r="Q1816" t="s">
        <v>49</v>
      </c>
      <c r="R1816" t="str">
        <f>"0581207"</f>
        <v>0581207</v>
      </c>
      <c r="S1816" t="s">
        <v>233</v>
      </c>
      <c r="T1816" t="s">
        <v>223</v>
      </c>
      <c r="U1816" t="s">
        <v>224</v>
      </c>
      <c r="V1816" t="s">
        <v>131</v>
      </c>
      <c r="W1816" t="s">
        <v>165</v>
      </c>
      <c r="X1816" t="s">
        <v>45</v>
      </c>
      <c r="Y1816" s="1">
        <v>22883</v>
      </c>
      <c r="Z1816">
        <v>2</v>
      </c>
      <c r="AA1816" t="s">
        <v>224</v>
      </c>
      <c r="AB1816" s="40" t="s">
        <v>1797</v>
      </c>
    </row>
    <row r="1817" spans="1:28" x14ac:dyDescent="0.25">
      <c r="A1817">
        <v>99911816</v>
      </c>
      <c r="B1817" t="s">
        <v>32</v>
      </c>
      <c r="C1817" t="s">
        <v>46</v>
      </c>
      <c r="D1817" t="s">
        <v>47</v>
      </c>
      <c r="G1817" t="s">
        <v>48</v>
      </c>
      <c r="H1817">
        <v>1</v>
      </c>
      <c r="K1817" t="s">
        <v>223</v>
      </c>
      <c r="L1817" t="s">
        <v>224</v>
      </c>
      <c r="M1817" t="s">
        <v>131</v>
      </c>
      <c r="N1817">
        <v>18</v>
      </c>
      <c r="P1817" t="s">
        <v>41</v>
      </c>
      <c r="Q1817" t="s">
        <v>42</v>
      </c>
      <c r="R1817" t="str">
        <f>"0580203"</f>
        <v>0580203</v>
      </c>
      <c r="S1817" t="s">
        <v>239</v>
      </c>
      <c r="T1817" t="s">
        <v>223</v>
      </c>
      <c r="U1817" t="s">
        <v>224</v>
      </c>
      <c r="V1817" t="s">
        <v>131</v>
      </c>
      <c r="W1817" t="s">
        <v>165</v>
      </c>
      <c r="X1817" t="s">
        <v>45</v>
      </c>
      <c r="Y1817" s="1">
        <v>22878</v>
      </c>
      <c r="Z1817">
        <v>2</v>
      </c>
      <c r="AA1817" t="s">
        <v>224</v>
      </c>
      <c r="AB1817" s="40" t="s">
        <v>1797</v>
      </c>
    </row>
    <row r="1818" spans="1:28" x14ac:dyDescent="0.25">
      <c r="A1818">
        <v>99911817</v>
      </c>
      <c r="B1818" t="s">
        <v>56</v>
      </c>
      <c r="C1818" t="s">
        <v>68</v>
      </c>
      <c r="D1818" t="s">
        <v>69</v>
      </c>
      <c r="G1818" t="s">
        <v>48</v>
      </c>
      <c r="H1818">
        <v>1</v>
      </c>
      <c r="K1818" t="s">
        <v>223</v>
      </c>
      <c r="L1818" t="s">
        <v>224</v>
      </c>
      <c r="M1818" t="s">
        <v>131</v>
      </c>
      <c r="N1818">
        <v>18</v>
      </c>
      <c r="P1818" t="s">
        <v>41</v>
      </c>
      <c r="Q1818" t="s">
        <v>42</v>
      </c>
      <c r="R1818" t="str">
        <f>"0580204"</f>
        <v>0580204</v>
      </c>
      <c r="S1818" t="s">
        <v>235</v>
      </c>
      <c r="T1818" t="s">
        <v>223</v>
      </c>
      <c r="U1818" t="s">
        <v>224</v>
      </c>
      <c r="V1818" t="s">
        <v>131</v>
      </c>
      <c r="W1818" t="s">
        <v>165</v>
      </c>
      <c r="X1818" t="s">
        <v>45</v>
      </c>
      <c r="Y1818" s="1">
        <v>22877</v>
      </c>
      <c r="Z1818">
        <v>2</v>
      </c>
      <c r="AA1818" t="s">
        <v>224</v>
      </c>
      <c r="AB1818" s="40" t="s">
        <v>1797</v>
      </c>
    </row>
    <row r="1819" spans="1:28" x14ac:dyDescent="0.25">
      <c r="A1819">
        <v>99911818</v>
      </c>
      <c r="B1819" t="s">
        <v>56</v>
      </c>
      <c r="C1819" t="s">
        <v>68</v>
      </c>
      <c r="D1819" t="s">
        <v>69</v>
      </c>
      <c r="G1819" t="s">
        <v>48</v>
      </c>
      <c r="H1819">
        <v>12</v>
      </c>
      <c r="K1819" t="s">
        <v>1268</v>
      </c>
      <c r="L1819" t="s">
        <v>1269</v>
      </c>
      <c r="M1819" t="s">
        <v>1270</v>
      </c>
      <c r="N1819">
        <v>18</v>
      </c>
      <c r="O1819" s="1">
        <v>43344</v>
      </c>
      <c r="P1819" t="s">
        <v>41</v>
      </c>
      <c r="Q1819" t="s">
        <v>42</v>
      </c>
      <c r="R1819" t="str">
        <f>"1980055"</f>
        <v>1980055</v>
      </c>
      <c r="S1819" t="s">
        <v>1285</v>
      </c>
      <c r="T1819" t="s">
        <v>1268</v>
      </c>
      <c r="U1819" t="s">
        <v>1269</v>
      </c>
      <c r="V1819" t="s">
        <v>1270</v>
      </c>
      <c r="W1819" t="s">
        <v>165</v>
      </c>
      <c r="X1819" t="s">
        <v>45</v>
      </c>
      <c r="Y1819" s="1">
        <v>22874</v>
      </c>
      <c r="Z1819">
        <v>2</v>
      </c>
      <c r="AA1819" t="s">
        <v>1269</v>
      </c>
      <c r="AB1819" s="40" t="s">
        <v>1797</v>
      </c>
    </row>
    <row r="1820" spans="1:28" x14ac:dyDescent="0.25">
      <c r="A1820">
        <v>99911819</v>
      </c>
      <c r="B1820" t="s">
        <v>32</v>
      </c>
      <c r="C1820" t="s">
        <v>64</v>
      </c>
      <c r="D1820" t="s">
        <v>65</v>
      </c>
      <c r="G1820" t="s">
        <v>48</v>
      </c>
      <c r="H1820">
        <v>1</v>
      </c>
      <c r="K1820" t="s">
        <v>223</v>
      </c>
      <c r="L1820" t="s">
        <v>224</v>
      </c>
      <c r="M1820" t="s">
        <v>131</v>
      </c>
      <c r="N1820">
        <v>18</v>
      </c>
      <c r="P1820" t="s">
        <v>41</v>
      </c>
      <c r="Q1820" t="s">
        <v>42</v>
      </c>
      <c r="R1820" t="str">
        <f>"0580200"</f>
        <v>0580200</v>
      </c>
      <c r="S1820" t="s">
        <v>245</v>
      </c>
      <c r="T1820" t="s">
        <v>223</v>
      </c>
      <c r="U1820" t="s">
        <v>224</v>
      </c>
      <c r="V1820" t="s">
        <v>131</v>
      </c>
      <c r="W1820" t="s">
        <v>51</v>
      </c>
      <c r="X1820" t="s">
        <v>45</v>
      </c>
      <c r="Y1820" s="1">
        <v>22861</v>
      </c>
      <c r="Z1820">
        <v>2</v>
      </c>
      <c r="AA1820" t="s">
        <v>224</v>
      </c>
      <c r="AB1820" s="40" t="s">
        <v>1797</v>
      </c>
    </row>
    <row r="1821" spans="1:28" x14ac:dyDescent="0.25">
      <c r="A1821">
        <v>99911820</v>
      </c>
      <c r="B1821" t="s">
        <v>56</v>
      </c>
      <c r="C1821" t="s">
        <v>52</v>
      </c>
      <c r="D1821" t="s">
        <v>53</v>
      </c>
      <c r="G1821" t="s">
        <v>48</v>
      </c>
      <c r="H1821">
        <v>1</v>
      </c>
      <c r="K1821" t="s">
        <v>1268</v>
      </c>
      <c r="L1821" t="s">
        <v>1269</v>
      </c>
      <c r="M1821" t="s">
        <v>1270</v>
      </c>
      <c r="N1821">
        <v>18</v>
      </c>
      <c r="P1821" t="s">
        <v>41</v>
      </c>
      <c r="Q1821" t="s">
        <v>49</v>
      </c>
      <c r="R1821" t="str">
        <f>"1981912"</f>
        <v>1981912</v>
      </c>
      <c r="S1821" t="s">
        <v>1279</v>
      </c>
      <c r="T1821" t="s">
        <v>1268</v>
      </c>
      <c r="U1821" t="s">
        <v>1269</v>
      </c>
      <c r="V1821" t="s">
        <v>1270</v>
      </c>
      <c r="W1821" t="s">
        <v>51</v>
      </c>
      <c r="X1821" t="s">
        <v>45</v>
      </c>
      <c r="Y1821" s="1">
        <v>22858</v>
      </c>
      <c r="Z1821">
        <v>2</v>
      </c>
      <c r="AA1821" t="s">
        <v>1269</v>
      </c>
      <c r="AB1821" s="40" t="s">
        <v>1797</v>
      </c>
    </row>
    <row r="1822" spans="1:28" x14ac:dyDescent="0.25">
      <c r="A1822">
        <v>99911821</v>
      </c>
      <c r="B1822" t="s">
        <v>32</v>
      </c>
      <c r="C1822" t="s">
        <v>46</v>
      </c>
      <c r="D1822" t="s">
        <v>47</v>
      </c>
      <c r="G1822" t="s">
        <v>48</v>
      </c>
      <c r="H1822">
        <v>1</v>
      </c>
      <c r="K1822" t="s">
        <v>223</v>
      </c>
      <c r="L1822" t="s">
        <v>224</v>
      </c>
      <c r="M1822" t="s">
        <v>131</v>
      </c>
      <c r="N1822">
        <v>18</v>
      </c>
      <c r="P1822" t="s">
        <v>41</v>
      </c>
      <c r="Q1822" t="s">
        <v>42</v>
      </c>
      <c r="R1822" t="str">
        <f>"0580204"</f>
        <v>0580204</v>
      </c>
      <c r="S1822" t="s">
        <v>235</v>
      </c>
      <c r="T1822" t="s">
        <v>223</v>
      </c>
      <c r="U1822" t="s">
        <v>224</v>
      </c>
      <c r="V1822" t="s">
        <v>131</v>
      </c>
      <c r="W1822" t="s">
        <v>165</v>
      </c>
      <c r="X1822" t="s">
        <v>45</v>
      </c>
      <c r="Y1822" s="1">
        <v>22847</v>
      </c>
      <c r="Z1822">
        <v>2</v>
      </c>
      <c r="AA1822" t="s">
        <v>224</v>
      </c>
      <c r="AB1822" s="40" t="s">
        <v>1797</v>
      </c>
    </row>
    <row r="1823" spans="1:28" x14ac:dyDescent="0.25">
      <c r="A1823">
        <v>99911822</v>
      </c>
      <c r="B1823" t="s">
        <v>32</v>
      </c>
      <c r="C1823" t="s">
        <v>46</v>
      </c>
      <c r="D1823" t="s">
        <v>47</v>
      </c>
      <c r="G1823" t="s">
        <v>48</v>
      </c>
      <c r="H1823">
        <v>1</v>
      </c>
      <c r="K1823" t="s">
        <v>223</v>
      </c>
      <c r="L1823" t="s">
        <v>224</v>
      </c>
      <c r="M1823" t="s">
        <v>131</v>
      </c>
      <c r="N1823">
        <v>18</v>
      </c>
      <c r="P1823" t="s">
        <v>41</v>
      </c>
      <c r="Q1823" t="s">
        <v>49</v>
      </c>
      <c r="R1823" t="str">
        <f>"0581204"</f>
        <v>0581204</v>
      </c>
      <c r="S1823" t="s">
        <v>249</v>
      </c>
      <c r="T1823" t="s">
        <v>223</v>
      </c>
      <c r="U1823" t="s">
        <v>224</v>
      </c>
      <c r="V1823" t="s">
        <v>131</v>
      </c>
      <c r="W1823" t="s">
        <v>165</v>
      </c>
      <c r="X1823" t="s">
        <v>45</v>
      </c>
      <c r="Y1823" s="1">
        <v>22827</v>
      </c>
      <c r="Z1823">
        <v>2</v>
      </c>
      <c r="AA1823" t="s">
        <v>224</v>
      </c>
      <c r="AB1823" s="40" t="s">
        <v>1797</v>
      </c>
    </row>
    <row r="1824" spans="1:28" x14ac:dyDescent="0.25">
      <c r="A1824">
        <v>99911823</v>
      </c>
      <c r="B1824" t="s">
        <v>32</v>
      </c>
      <c r="C1824" t="s">
        <v>46</v>
      </c>
      <c r="D1824" t="s">
        <v>47</v>
      </c>
      <c r="G1824" t="s">
        <v>35</v>
      </c>
      <c r="H1824">
        <v>1</v>
      </c>
      <c r="K1824" t="s">
        <v>345</v>
      </c>
      <c r="L1824" t="s">
        <v>346</v>
      </c>
      <c r="M1824" t="s">
        <v>131</v>
      </c>
      <c r="N1824">
        <v>18</v>
      </c>
      <c r="P1824" t="s">
        <v>41</v>
      </c>
      <c r="Q1824" t="s">
        <v>49</v>
      </c>
      <c r="R1824" t="str">
        <f>"0560007"</f>
        <v>0560007</v>
      </c>
      <c r="S1824" t="s">
        <v>357</v>
      </c>
      <c r="T1824" t="s">
        <v>345</v>
      </c>
      <c r="U1824" t="s">
        <v>346</v>
      </c>
      <c r="V1824" t="s">
        <v>131</v>
      </c>
      <c r="W1824" t="s">
        <v>51</v>
      </c>
      <c r="X1824" t="s">
        <v>45</v>
      </c>
      <c r="Y1824" s="1">
        <v>22819</v>
      </c>
      <c r="Z1824">
        <v>2</v>
      </c>
      <c r="AA1824" t="s">
        <v>346</v>
      </c>
      <c r="AB1824" s="40" t="s">
        <v>1797</v>
      </c>
    </row>
    <row r="1825" spans="1:28" x14ac:dyDescent="0.25">
      <c r="A1825">
        <v>99911824</v>
      </c>
      <c r="B1825" t="s">
        <v>32</v>
      </c>
      <c r="C1825" t="s">
        <v>79</v>
      </c>
      <c r="D1825" t="s">
        <v>80</v>
      </c>
      <c r="G1825" t="s">
        <v>48</v>
      </c>
      <c r="H1825">
        <v>1</v>
      </c>
      <c r="K1825" t="s">
        <v>223</v>
      </c>
      <c r="L1825" t="s">
        <v>224</v>
      </c>
      <c r="M1825" t="s">
        <v>131</v>
      </c>
      <c r="N1825">
        <v>18</v>
      </c>
      <c r="P1825" t="s">
        <v>41</v>
      </c>
      <c r="Q1825" t="s">
        <v>42</v>
      </c>
      <c r="R1825" t="str">
        <f>"0561007"</f>
        <v>0561007</v>
      </c>
      <c r="S1825" t="s">
        <v>262</v>
      </c>
      <c r="T1825" t="s">
        <v>223</v>
      </c>
      <c r="U1825" t="s">
        <v>224</v>
      </c>
      <c r="V1825" t="s">
        <v>131</v>
      </c>
      <c r="W1825" t="s">
        <v>51</v>
      </c>
      <c r="X1825" t="s">
        <v>45</v>
      </c>
      <c r="Y1825" s="1">
        <v>22797</v>
      </c>
      <c r="Z1825">
        <v>2</v>
      </c>
      <c r="AA1825" t="s">
        <v>224</v>
      </c>
      <c r="AB1825" s="40" t="s">
        <v>1797</v>
      </c>
    </row>
    <row r="1826" spans="1:28" x14ac:dyDescent="0.25">
      <c r="A1826">
        <v>99911825</v>
      </c>
      <c r="B1826" t="s">
        <v>56</v>
      </c>
      <c r="C1826" t="s">
        <v>52</v>
      </c>
      <c r="D1826" t="s">
        <v>53</v>
      </c>
      <c r="G1826" t="s">
        <v>48</v>
      </c>
      <c r="H1826">
        <v>1</v>
      </c>
      <c r="K1826" t="s">
        <v>157</v>
      </c>
      <c r="L1826" t="s">
        <v>158</v>
      </c>
      <c r="M1826" t="s">
        <v>131</v>
      </c>
      <c r="N1826">
        <v>18</v>
      </c>
      <c r="P1826" t="s">
        <v>41</v>
      </c>
      <c r="Q1826" t="s">
        <v>42</v>
      </c>
      <c r="R1826" t="str">
        <f>"0580290"</f>
        <v>0580290</v>
      </c>
      <c r="S1826" t="s">
        <v>171</v>
      </c>
      <c r="T1826" t="s">
        <v>157</v>
      </c>
      <c r="U1826" t="s">
        <v>158</v>
      </c>
      <c r="V1826" t="s">
        <v>131</v>
      </c>
      <c r="W1826" t="s">
        <v>51</v>
      </c>
      <c r="X1826" t="s">
        <v>45</v>
      </c>
      <c r="Y1826" s="1">
        <v>22791</v>
      </c>
      <c r="Z1826">
        <v>2</v>
      </c>
      <c r="AA1826" t="s">
        <v>158</v>
      </c>
      <c r="AB1826" s="40" t="s">
        <v>1797</v>
      </c>
    </row>
    <row r="1827" spans="1:28" x14ac:dyDescent="0.25">
      <c r="A1827">
        <v>99911826</v>
      </c>
      <c r="B1827" t="s">
        <v>32</v>
      </c>
      <c r="C1827" t="s">
        <v>64</v>
      </c>
      <c r="D1827" t="s">
        <v>65</v>
      </c>
      <c r="G1827" t="s">
        <v>35</v>
      </c>
      <c r="H1827">
        <v>1</v>
      </c>
      <c r="K1827" t="s">
        <v>223</v>
      </c>
      <c r="L1827" t="s">
        <v>224</v>
      </c>
      <c r="M1827" t="s">
        <v>131</v>
      </c>
      <c r="N1827">
        <v>18</v>
      </c>
      <c r="P1827" t="s">
        <v>41</v>
      </c>
      <c r="Q1827" t="s">
        <v>49</v>
      </c>
      <c r="R1827" t="str">
        <f>"0591901"</f>
        <v>0591901</v>
      </c>
      <c r="S1827" t="s">
        <v>230</v>
      </c>
      <c r="T1827" t="s">
        <v>223</v>
      </c>
      <c r="U1827" t="s">
        <v>224</v>
      </c>
      <c r="V1827" t="s">
        <v>131</v>
      </c>
      <c r="W1827" t="s">
        <v>51</v>
      </c>
      <c r="X1827" t="s">
        <v>45</v>
      </c>
      <c r="Y1827" s="1">
        <v>22788</v>
      </c>
      <c r="Z1827">
        <v>2</v>
      </c>
      <c r="AA1827" t="s">
        <v>224</v>
      </c>
      <c r="AB1827" s="40" t="s">
        <v>1797</v>
      </c>
    </row>
    <row r="1828" spans="1:28" x14ac:dyDescent="0.25">
      <c r="A1828">
        <v>99911827</v>
      </c>
      <c r="B1828" t="s">
        <v>56</v>
      </c>
      <c r="C1828" t="s">
        <v>68</v>
      </c>
      <c r="D1828" t="s">
        <v>69</v>
      </c>
      <c r="G1828" t="s">
        <v>48</v>
      </c>
      <c r="H1828">
        <v>1</v>
      </c>
      <c r="K1828" t="s">
        <v>1268</v>
      </c>
      <c r="L1828" t="s">
        <v>1269</v>
      </c>
      <c r="M1828" t="s">
        <v>1270</v>
      </c>
      <c r="N1828">
        <v>18</v>
      </c>
      <c r="P1828" t="s">
        <v>41</v>
      </c>
      <c r="Q1828" t="s">
        <v>42</v>
      </c>
      <c r="R1828" t="str">
        <f>"1990911"</f>
        <v>1990911</v>
      </c>
      <c r="S1828" t="s">
        <v>1276</v>
      </c>
      <c r="T1828" t="s">
        <v>1268</v>
      </c>
      <c r="U1828" t="s">
        <v>1269</v>
      </c>
      <c r="V1828" t="s">
        <v>1270</v>
      </c>
      <c r="W1828" t="s">
        <v>51</v>
      </c>
      <c r="X1828" t="s">
        <v>45</v>
      </c>
      <c r="Y1828" s="1">
        <v>22762</v>
      </c>
      <c r="Z1828">
        <v>2</v>
      </c>
      <c r="AA1828" t="s">
        <v>1269</v>
      </c>
      <c r="AB1828" s="40" t="s">
        <v>1797</v>
      </c>
    </row>
    <row r="1829" spans="1:28" x14ac:dyDescent="0.25">
      <c r="A1829">
        <v>99911828</v>
      </c>
      <c r="B1829" t="s">
        <v>32</v>
      </c>
      <c r="C1829" t="s">
        <v>64</v>
      </c>
      <c r="D1829" t="s">
        <v>65</v>
      </c>
      <c r="G1829" t="s">
        <v>35</v>
      </c>
      <c r="H1829">
        <v>1</v>
      </c>
      <c r="K1829" t="s">
        <v>223</v>
      </c>
      <c r="L1829" t="s">
        <v>224</v>
      </c>
      <c r="M1829" t="s">
        <v>131</v>
      </c>
      <c r="N1829">
        <v>18</v>
      </c>
      <c r="P1829" t="s">
        <v>41</v>
      </c>
      <c r="Q1829" t="s">
        <v>49</v>
      </c>
      <c r="R1829" t="str">
        <f>"0581207"</f>
        <v>0581207</v>
      </c>
      <c r="S1829" t="s">
        <v>233</v>
      </c>
      <c r="T1829" t="s">
        <v>223</v>
      </c>
      <c r="U1829" t="s">
        <v>224</v>
      </c>
      <c r="V1829" t="s">
        <v>131</v>
      </c>
      <c r="W1829" t="s">
        <v>165</v>
      </c>
      <c r="X1829" t="s">
        <v>45</v>
      </c>
      <c r="Y1829" s="1">
        <v>22759</v>
      </c>
      <c r="Z1829">
        <v>2</v>
      </c>
      <c r="AA1829" t="s">
        <v>224</v>
      </c>
      <c r="AB1829" s="40" t="s">
        <v>1797</v>
      </c>
    </row>
    <row r="1830" spans="1:28" x14ac:dyDescent="0.25">
      <c r="A1830">
        <v>99911829</v>
      </c>
      <c r="B1830" t="s">
        <v>32</v>
      </c>
      <c r="C1830" t="s">
        <v>68</v>
      </c>
      <c r="D1830" t="s">
        <v>69</v>
      </c>
      <c r="G1830" t="s">
        <v>48</v>
      </c>
      <c r="H1830">
        <v>1</v>
      </c>
      <c r="K1830" t="s">
        <v>162</v>
      </c>
      <c r="L1830" t="s">
        <v>158</v>
      </c>
      <c r="M1830" t="s">
        <v>131</v>
      </c>
      <c r="N1830">
        <v>18</v>
      </c>
      <c r="P1830" t="s">
        <v>41</v>
      </c>
      <c r="Q1830" t="s">
        <v>42</v>
      </c>
      <c r="R1830" t="str">
        <f>"0580325"</f>
        <v>0580325</v>
      </c>
      <c r="S1830" t="s">
        <v>170</v>
      </c>
      <c r="T1830" t="s">
        <v>162</v>
      </c>
      <c r="U1830" t="s">
        <v>158</v>
      </c>
      <c r="V1830" t="s">
        <v>131</v>
      </c>
      <c r="W1830" t="s">
        <v>165</v>
      </c>
      <c r="X1830" t="s">
        <v>45</v>
      </c>
      <c r="Y1830" s="1">
        <v>22749</v>
      </c>
      <c r="Z1830">
        <v>2</v>
      </c>
      <c r="AA1830" t="s">
        <v>158</v>
      </c>
      <c r="AB1830" s="40" t="s">
        <v>1797</v>
      </c>
    </row>
    <row r="1831" spans="1:28" x14ac:dyDescent="0.25">
      <c r="A1831">
        <v>99911830</v>
      </c>
      <c r="B1831" t="s">
        <v>56</v>
      </c>
      <c r="C1831" t="s">
        <v>79</v>
      </c>
      <c r="D1831" t="s">
        <v>80</v>
      </c>
      <c r="G1831" t="s">
        <v>48</v>
      </c>
      <c r="H1831">
        <v>15</v>
      </c>
      <c r="K1831" t="s">
        <v>1268</v>
      </c>
      <c r="L1831" t="s">
        <v>1269</v>
      </c>
      <c r="M1831" t="s">
        <v>1270</v>
      </c>
      <c r="N1831">
        <v>18</v>
      </c>
      <c r="P1831" t="s">
        <v>41</v>
      </c>
      <c r="Q1831" t="s">
        <v>49</v>
      </c>
      <c r="R1831" t="str">
        <f>"1960001"</f>
        <v>1960001</v>
      </c>
      <c r="S1831" t="s">
        <v>1272</v>
      </c>
      <c r="T1831" t="s">
        <v>1268</v>
      </c>
      <c r="U1831" t="s">
        <v>1269</v>
      </c>
      <c r="V1831" t="s">
        <v>1270</v>
      </c>
      <c r="W1831" t="s">
        <v>51</v>
      </c>
      <c r="X1831" t="s">
        <v>45</v>
      </c>
      <c r="Y1831" s="1">
        <v>22746</v>
      </c>
      <c r="Z1831">
        <v>2</v>
      </c>
      <c r="AA1831" t="s">
        <v>1269</v>
      </c>
      <c r="AB1831" s="40" t="s">
        <v>1797</v>
      </c>
    </row>
    <row r="1832" spans="1:28" x14ac:dyDescent="0.25">
      <c r="A1832">
        <v>99911831</v>
      </c>
      <c r="B1832" t="s">
        <v>32</v>
      </c>
      <c r="C1832" t="s">
        <v>52</v>
      </c>
      <c r="D1832" t="s">
        <v>53</v>
      </c>
      <c r="G1832" t="s">
        <v>48</v>
      </c>
      <c r="H1832">
        <v>15</v>
      </c>
      <c r="K1832" t="s">
        <v>1268</v>
      </c>
      <c r="L1832" t="s">
        <v>1269</v>
      </c>
      <c r="M1832" t="s">
        <v>1270</v>
      </c>
      <c r="N1832">
        <v>18</v>
      </c>
      <c r="O1832" s="1">
        <v>43344</v>
      </c>
      <c r="P1832" t="s">
        <v>41</v>
      </c>
      <c r="Q1832" t="s">
        <v>49</v>
      </c>
      <c r="R1832" t="str">
        <f>"1981055"</f>
        <v>1981055</v>
      </c>
      <c r="S1832" t="s">
        <v>1280</v>
      </c>
      <c r="T1832" t="s">
        <v>1268</v>
      </c>
      <c r="U1832" t="s">
        <v>1269</v>
      </c>
      <c r="V1832" t="s">
        <v>1270</v>
      </c>
      <c r="W1832" t="s">
        <v>165</v>
      </c>
      <c r="X1832" t="s">
        <v>45</v>
      </c>
      <c r="Y1832" s="1">
        <v>22745</v>
      </c>
      <c r="Z1832">
        <v>2</v>
      </c>
      <c r="AA1832" t="s">
        <v>1269</v>
      </c>
      <c r="AB1832" s="40" t="s">
        <v>1797</v>
      </c>
    </row>
    <row r="1833" spans="1:28" x14ac:dyDescent="0.25">
      <c r="A1833">
        <v>99911832</v>
      </c>
      <c r="B1833" t="s">
        <v>56</v>
      </c>
      <c r="C1833" t="s">
        <v>52</v>
      </c>
      <c r="D1833" t="s">
        <v>53</v>
      </c>
      <c r="G1833" t="s">
        <v>48</v>
      </c>
      <c r="H1833">
        <v>1</v>
      </c>
      <c r="K1833" t="s">
        <v>345</v>
      </c>
      <c r="L1833" t="s">
        <v>346</v>
      </c>
      <c r="M1833" t="s">
        <v>131</v>
      </c>
      <c r="N1833">
        <v>18</v>
      </c>
      <c r="P1833" t="s">
        <v>41</v>
      </c>
      <c r="Q1833" t="s">
        <v>49</v>
      </c>
      <c r="R1833" t="str">
        <f>"0561003"</f>
        <v>0561003</v>
      </c>
      <c r="S1833" t="s">
        <v>370</v>
      </c>
      <c r="T1833" t="s">
        <v>345</v>
      </c>
      <c r="U1833" t="s">
        <v>346</v>
      </c>
      <c r="V1833" t="s">
        <v>131</v>
      </c>
      <c r="W1833" t="s">
        <v>51</v>
      </c>
      <c r="X1833" t="s">
        <v>45</v>
      </c>
      <c r="Y1833" s="1">
        <v>22736</v>
      </c>
      <c r="Z1833">
        <v>2</v>
      </c>
      <c r="AA1833" t="s">
        <v>346</v>
      </c>
      <c r="AB1833" s="40" t="s">
        <v>1797</v>
      </c>
    </row>
    <row r="1834" spans="1:28" x14ac:dyDescent="0.25">
      <c r="A1834">
        <v>99911833</v>
      </c>
      <c r="B1834" t="s">
        <v>32</v>
      </c>
      <c r="C1834" t="s">
        <v>64</v>
      </c>
      <c r="D1834" t="s">
        <v>65</v>
      </c>
      <c r="G1834" t="s">
        <v>35</v>
      </c>
      <c r="H1834">
        <v>1</v>
      </c>
      <c r="K1834" t="s">
        <v>947</v>
      </c>
      <c r="L1834" t="s">
        <v>948</v>
      </c>
      <c r="M1834" t="s">
        <v>938</v>
      </c>
      <c r="N1834">
        <v>18</v>
      </c>
      <c r="P1834" t="s">
        <v>41</v>
      </c>
      <c r="Q1834" t="s">
        <v>42</v>
      </c>
      <c r="R1834" t="str">
        <f>"0680030"</f>
        <v>0680030</v>
      </c>
      <c r="S1834" t="s">
        <v>951</v>
      </c>
      <c r="T1834" t="s">
        <v>947</v>
      </c>
      <c r="U1834" t="s">
        <v>948</v>
      </c>
      <c r="V1834" t="s">
        <v>938</v>
      </c>
      <c r="W1834" t="s">
        <v>165</v>
      </c>
      <c r="X1834" t="s">
        <v>45</v>
      </c>
      <c r="Y1834" s="1">
        <v>22709</v>
      </c>
      <c r="Z1834">
        <v>2</v>
      </c>
      <c r="AA1834" t="s">
        <v>948</v>
      </c>
      <c r="AB1834" s="40" t="s">
        <v>1797</v>
      </c>
    </row>
    <row r="1835" spans="1:28" x14ac:dyDescent="0.25">
      <c r="A1835">
        <v>99911834</v>
      </c>
      <c r="B1835" t="s">
        <v>56</v>
      </c>
      <c r="C1835" t="s">
        <v>46</v>
      </c>
      <c r="D1835" t="s">
        <v>47</v>
      </c>
      <c r="G1835" t="s">
        <v>48</v>
      </c>
      <c r="H1835">
        <v>13</v>
      </c>
      <c r="K1835" t="s">
        <v>1268</v>
      </c>
      <c r="L1835" t="s">
        <v>1269</v>
      </c>
      <c r="M1835" t="s">
        <v>1270</v>
      </c>
      <c r="N1835">
        <v>18</v>
      </c>
      <c r="O1835" s="1">
        <v>43344</v>
      </c>
      <c r="P1835" t="s">
        <v>41</v>
      </c>
      <c r="Q1835" t="s">
        <v>49</v>
      </c>
      <c r="R1835" t="str">
        <f>"1981055"</f>
        <v>1981055</v>
      </c>
      <c r="S1835" t="s">
        <v>1280</v>
      </c>
      <c r="T1835" t="s">
        <v>1268</v>
      </c>
      <c r="U1835" t="s">
        <v>1269</v>
      </c>
      <c r="V1835" t="s">
        <v>1270</v>
      </c>
      <c r="W1835" t="s">
        <v>165</v>
      </c>
      <c r="X1835" t="s">
        <v>45</v>
      </c>
      <c r="Y1835" s="1">
        <v>22707</v>
      </c>
      <c r="Z1835">
        <v>2</v>
      </c>
      <c r="AA1835" t="s">
        <v>1269</v>
      </c>
      <c r="AB1835" s="40" t="s">
        <v>1797</v>
      </c>
    </row>
    <row r="1836" spans="1:28" x14ac:dyDescent="0.25">
      <c r="A1836">
        <v>99911835</v>
      </c>
      <c r="B1836" t="s">
        <v>56</v>
      </c>
      <c r="C1836" t="s">
        <v>68</v>
      </c>
      <c r="D1836" t="s">
        <v>69</v>
      </c>
      <c r="G1836" t="s">
        <v>48</v>
      </c>
      <c r="H1836">
        <v>1</v>
      </c>
      <c r="K1836" t="s">
        <v>223</v>
      </c>
      <c r="L1836" t="s">
        <v>224</v>
      </c>
      <c r="M1836" t="s">
        <v>131</v>
      </c>
      <c r="N1836">
        <v>18</v>
      </c>
      <c r="P1836" t="s">
        <v>41</v>
      </c>
      <c r="Q1836" t="s">
        <v>42</v>
      </c>
      <c r="R1836" t="str">
        <f>"0580204"</f>
        <v>0580204</v>
      </c>
      <c r="S1836" t="s">
        <v>235</v>
      </c>
      <c r="T1836" t="s">
        <v>223</v>
      </c>
      <c r="U1836" t="s">
        <v>224</v>
      </c>
      <c r="V1836" t="s">
        <v>131</v>
      </c>
      <c r="W1836" t="s">
        <v>165</v>
      </c>
      <c r="X1836" t="s">
        <v>45</v>
      </c>
      <c r="Y1836" s="1">
        <v>22694</v>
      </c>
      <c r="Z1836">
        <v>2</v>
      </c>
      <c r="AA1836" t="s">
        <v>224</v>
      </c>
      <c r="AB1836" s="40" t="s">
        <v>1797</v>
      </c>
    </row>
    <row r="1837" spans="1:28" x14ac:dyDescent="0.25">
      <c r="A1837">
        <v>99911836</v>
      </c>
      <c r="B1837" t="s">
        <v>32</v>
      </c>
      <c r="C1837" t="s">
        <v>46</v>
      </c>
      <c r="D1837" t="s">
        <v>47</v>
      </c>
      <c r="G1837" t="s">
        <v>35</v>
      </c>
      <c r="H1837">
        <v>1</v>
      </c>
      <c r="K1837" t="s">
        <v>162</v>
      </c>
      <c r="L1837" t="s">
        <v>158</v>
      </c>
      <c r="M1837" t="s">
        <v>131</v>
      </c>
      <c r="N1837">
        <v>18</v>
      </c>
      <c r="P1837" t="s">
        <v>41</v>
      </c>
      <c r="Q1837" t="s">
        <v>49</v>
      </c>
      <c r="R1837" t="str">
        <f>"0581325"</f>
        <v>0581325</v>
      </c>
      <c r="S1837" t="s">
        <v>169</v>
      </c>
      <c r="T1837" t="s">
        <v>162</v>
      </c>
      <c r="U1837" t="s">
        <v>158</v>
      </c>
      <c r="V1837" t="s">
        <v>131</v>
      </c>
      <c r="W1837" t="s">
        <v>165</v>
      </c>
      <c r="X1837" t="s">
        <v>45</v>
      </c>
      <c r="Y1837" s="1">
        <v>22689</v>
      </c>
      <c r="Z1837">
        <v>2</v>
      </c>
      <c r="AA1837" t="s">
        <v>158</v>
      </c>
      <c r="AB1837" s="40" t="s">
        <v>1797</v>
      </c>
    </row>
    <row r="1838" spans="1:28" x14ac:dyDescent="0.25">
      <c r="A1838">
        <v>99911837</v>
      </c>
      <c r="B1838" t="s">
        <v>32</v>
      </c>
      <c r="C1838" t="s">
        <v>145</v>
      </c>
      <c r="D1838" t="s">
        <v>146</v>
      </c>
      <c r="G1838" t="s">
        <v>48</v>
      </c>
      <c r="H1838">
        <v>4</v>
      </c>
      <c r="K1838" t="s">
        <v>129</v>
      </c>
      <c r="L1838" t="s">
        <v>130</v>
      </c>
      <c r="M1838" t="s">
        <v>131</v>
      </c>
      <c r="N1838">
        <v>18</v>
      </c>
      <c r="P1838" t="s">
        <v>41</v>
      </c>
      <c r="Q1838" t="s">
        <v>42</v>
      </c>
      <c r="R1838" t="str">
        <f>"0590905"</f>
        <v>0590905</v>
      </c>
      <c r="S1838" t="s">
        <v>133</v>
      </c>
      <c r="T1838" t="s">
        <v>129</v>
      </c>
      <c r="U1838" t="s">
        <v>130</v>
      </c>
      <c r="V1838" t="s">
        <v>131</v>
      </c>
      <c r="W1838" t="s">
        <v>51</v>
      </c>
      <c r="X1838" t="s">
        <v>45</v>
      </c>
      <c r="Y1838" s="1">
        <v>22647</v>
      </c>
      <c r="Z1838">
        <v>2</v>
      </c>
      <c r="AA1838" t="s">
        <v>130</v>
      </c>
      <c r="AB1838" s="40" t="s">
        <v>1797</v>
      </c>
    </row>
    <row r="1839" spans="1:28" x14ac:dyDescent="0.25">
      <c r="A1839">
        <v>99911838</v>
      </c>
      <c r="B1839" t="s">
        <v>56</v>
      </c>
      <c r="C1839" t="s">
        <v>85</v>
      </c>
      <c r="D1839" t="s">
        <v>86</v>
      </c>
      <c r="G1839" t="s">
        <v>48</v>
      </c>
      <c r="H1839">
        <v>1</v>
      </c>
      <c r="K1839" t="s">
        <v>162</v>
      </c>
      <c r="L1839" t="s">
        <v>158</v>
      </c>
      <c r="M1839" t="s">
        <v>131</v>
      </c>
      <c r="N1839">
        <v>18</v>
      </c>
      <c r="P1839" t="s">
        <v>41</v>
      </c>
      <c r="Q1839" t="s">
        <v>42</v>
      </c>
      <c r="R1839" t="str">
        <f>"0580310"</f>
        <v>0580310</v>
      </c>
      <c r="S1839" t="s">
        <v>173</v>
      </c>
      <c r="T1839" t="s">
        <v>162</v>
      </c>
      <c r="U1839" t="s">
        <v>158</v>
      </c>
      <c r="V1839" t="s">
        <v>131</v>
      </c>
      <c r="W1839" t="s">
        <v>51</v>
      </c>
      <c r="X1839" t="s">
        <v>45</v>
      </c>
      <c r="Y1839" s="1">
        <v>22647</v>
      </c>
      <c r="Z1839">
        <v>2</v>
      </c>
      <c r="AA1839" t="s">
        <v>158</v>
      </c>
      <c r="AB1839" s="40" t="s">
        <v>1797</v>
      </c>
    </row>
    <row r="1840" spans="1:28" x14ac:dyDescent="0.25">
      <c r="A1840">
        <v>99911839</v>
      </c>
      <c r="B1840" t="s">
        <v>56</v>
      </c>
      <c r="C1840" t="s">
        <v>85</v>
      </c>
      <c r="D1840" t="s">
        <v>86</v>
      </c>
      <c r="G1840" t="s">
        <v>48</v>
      </c>
      <c r="H1840">
        <v>1</v>
      </c>
      <c r="K1840" t="s">
        <v>223</v>
      </c>
      <c r="L1840" t="s">
        <v>224</v>
      </c>
      <c r="M1840" t="s">
        <v>131</v>
      </c>
      <c r="N1840">
        <v>18</v>
      </c>
      <c r="P1840" t="s">
        <v>41</v>
      </c>
      <c r="Q1840" t="s">
        <v>42</v>
      </c>
      <c r="R1840" t="str">
        <f>"0580265"</f>
        <v>0580265</v>
      </c>
      <c r="S1840" t="s">
        <v>231</v>
      </c>
      <c r="T1840" t="s">
        <v>223</v>
      </c>
      <c r="U1840" t="s">
        <v>224</v>
      </c>
      <c r="V1840" t="s">
        <v>131</v>
      </c>
      <c r="W1840" t="s">
        <v>51</v>
      </c>
      <c r="X1840" t="s">
        <v>45</v>
      </c>
      <c r="Y1840" s="1">
        <v>22595</v>
      </c>
      <c r="Z1840">
        <v>2</v>
      </c>
      <c r="AA1840" t="s">
        <v>224</v>
      </c>
      <c r="AB1840" s="40" t="s">
        <v>1797</v>
      </c>
    </row>
    <row r="1841" spans="1:28" x14ac:dyDescent="0.25">
      <c r="A1841">
        <v>99911840</v>
      </c>
      <c r="B1841" t="s">
        <v>56</v>
      </c>
      <c r="C1841" t="s">
        <v>33</v>
      </c>
      <c r="D1841" t="s">
        <v>34</v>
      </c>
      <c r="G1841" t="s">
        <v>48</v>
      </c>
      <c r="H1841">
        <v>11</v>
      </c>
      <c r="K1841" t="s">
        <v>1268</v>
      </c>
      <c r="L1841" t="s">
        <v>1269</v>
      </c>
      <c r="M1841" t="s">
        <v>1270</v>
      </c>
      <c r="N1841">
        <v>18</v>
      </c>
      <c r="P1841" t="s">
        <v>41</v>
      </c>
      <c r="Q1841" t="s">
        <v>42</v>
      </c>
      <c r="R1841" t="str">
        <f>"1980060"</f>
        <v>1980060</v>
      </c>
      <c r="S1841" t="s">
        <v>1277</v>
      </c>
      <c r="T1841" t="s">
        <v>1268</v>
      </c>
      <c r="U1841" t="s">
        <v>1269</v>
      </c>
      <c r="V1841" t="s">
        <v>1270</v>
      </c>
      <c r="W1841" t="s">
        <v>51</v>
      </c>
      <c r="X1841" t="s">
        <v>45</v>
      </c>
      <c r="Y1841" s="1">
        <v>22591</v>
      </c>
      <c r="Z1841">
        <v>2</v>
      </c>
      <c r="AA1841" t="s">
        <v>1269</v>
      </c>
      <c r="AB1841" s="40" t="s">
        <v>1797</v>
      </c>
    </row>
    <row r="1842" spans="1:28" x14ac:dyDescent="0.25">
      <c r="A1842">
        <v>99911841</v>
      </c>
      <c r="B1842" t="s">
        <v>32</v>
      </c>
      <c r="C1842" t="s">
        <v>85</v>
      </c>
      <c r="D1842" t="s">
        <v>86</v>
      </c>
      <c r="G1842" t="s">
        <v>35</v>
      </c>
      <c r="H1842">
        <v>1</v>
      </c>
      <c r="K1842" t="s">
        <v>223</v>
      </c>
      <c r="L1842" t="s">
        <v>224</v>
      </c>
      <c r="M1842" t="s">
        <v>131</v>
      </c>
      <c r="N1842">
        <v>18</v>
      </c>
      <c r="P1842" t="s">
        <v>41</v>
      </c>
      <c r="Q1842" t="s">
        <v>49</v>
      </c>
      <c r="R1842" t="str">
        <f>"0581207"</f>
        <v>0581207</v>
      </c>
      <c r="S1842" t="s">
        <v>233</v>
      </c>
      <c r="T1842" t="s">
        <v>223</v>
      </c>
      <c r="U1842" t="s">
        <v>224</v>
      </c>
      <c r="V1842" t="s">
        <v>131</v>
      </c>
      <c r="W1842" t="s">
        <v>165</v>
      </c>
      <c r="X1842" t="s">
        <v>45</v>
      </c>
      <c r="Y1842" s="1">
        <v>22583</v>
      </c>
      <c r="Z1842">
        <v>2</v>
      </c>
      <c r="AA1842" t="s">
        <v>224</v>
      </c>
      <c r="AB1842" s="40" t="s">
        <v>1797</v>
      </c>
    </row>
    <row r="1843" spans="1:28" x14ac:dyDescent="0.25">
      <c r="A1843">
        <v>99911842</v>
      </c>
      <c r="B1843" t="s">
        <v>32</v>
      </c>
      <c r="C1843" t="s">
        <v>145</v>
      </c>
      <c r="D1843" t="s">
        <v>146</v>
      </c>
      <c r="G1843" t="s">
        <v>48</v>
      </c>
      <c r="H1843">
        <v>1</v>
      </c>
      <c r="K1843" t="s">
        <v>345</v>
      </c>
      <c r="L1843" t="s">
        <v>346</v>
      </c>
      <c r="M1843" t="s">
        <v>131</v>
      </c>
      <c r="N1843">
        <v>18</v>
      </c>
      <c r="P1843" t="s">
        <v>41</v>
      </c>
      <c r="Q1843" t="s">
        <v>42</v>
      </c>
      <c r="R1843" t="str">
        <f>"0590906"</f>
        <v>0590906</v>
      </c>
      <c r="S1843" t="s">
        <v>361</v>
      </c>
      <c r="T1843" t="s">
        <v>345</v>
      </c>
      <c r="U1843" t="s">
        <v>346</v>
      </c>
      <c r="V1843" t="s">
        <v>131</v>
      </c>
      <c r="W1843" t="s">
        <v>51</v>
      </c>
      <c r="X1843" t="s">
        <v>45</v>
      </c>
      <c r="Y1843" s="1">
        <v>22581</v>
      </c>
      <c r="Z1843">
        <v>2</v>
      </c>
      <c r="AA1843" t="s">
        <v>346</v>
      </c>
      <c r="AB1843" s="40" t="s">
        <v>1797</v>
      </c>
    </row>
    <row r="1844" spans="1:28" x14ac:dyDescent="0.25">
      <c r="A1844">
        <v>99911843</v>
      </c>
      <c r="B1844" t="s">
        <v>32</v>
      </c>
      <c r="C1844" t="s">
        <v>64</v>
      </c>
      <c r="D1844" t="s">
        <v>65</v>
      </c>
      <c r="G1844" t="s">
        <v>48</v>
      </c>
      <c r="H1844">
        <v>1</v>
      </c>
      <c r="K1844" t="s">
        <v>223</v>
      </c>
      <c r="L1844" t="s">
        <v>224</v>
      </c>
      <c r="M1844" t="s">
        <v>131</v>
      </c>
      <c r="N1844">
        <v>18</v>
      </c>
      <c r="P1844" t="s">
        <v>41</v>
      </c>
      <c r="Q1844" t="s">
        <v>49</v>
      </c>
      <c r="R1844" t="str">
        <f>"0581202"</f>
        <v>0581202</v>
      </c>
      <c r="S1844" t="s">
        <v>248</v>
      </c>
      <c r="T1844" t="s">
        <v>223</v>
      </c>
      <c r="U1844" t="s">
        <v>224</v>
      </c>
      <c r="V1844" t="s">
        <v>131</v>
      </c>
      <c r="W1844" t="s">
        <v>165</v>
      </c>
      <c r="X1844" t="s">
        <v>45</v>
      </c>
      <c r="Y1844" s="1">
        <v>22579</v>
      </c>
      <c r="Z1844">
        <v>2</v>
      </c>
      <c r="AA1844" t="s">
        <v>224</v>
      </c>
      <c r="AB1844" s="40" t="s">
        <v>1797</v>
      </c>
    </row>
    <row r="1845" spans="1:28" x14ac:dyDescent="0.25">
      <c r="A1845">
        <v>99911844</v>
      </c>
      <c r="B1845" t="s">
        <v>56</v>
      </c>
      <c r="C1845" t="s">
        <v>68</v>
      </c>
      <c r="D1845" t="s">
        <v>69</v>
      </c>
      <c r="G1845" t="s">
        <v>48</v>
      </c>
      <c r="H1845">
        <v>1</v>
      </c>
      <c r="K1845" t="s">
        <v>223</v>
      </c>
      <c r="L1845" t="s">
        <v>224</v>
      </c>
      <c r="M1845" t="s">
        <v>131</v>
      </c>
      <c r="N1845">
        <v>18</v>
      </c>
      <c r="P1845" t="s">
        <v>41</v>
      </c>
      <c r="Q1845" t="s">
        <v>42</v>
      </c>
      <c r="R1845" t="str">
        <f>"0580265"</f>
        <v>0580265</v>
      </c>
      <c r="S1845" t="s">
        <v>231</v>
      </c>
      <c r="T1845" t="s">
        <v>223</v>
      </c>
      <c r="U1845" t="s">
        <v>224</v>
      </c>
      <c r="V1845" t="s">
        <v>131</v>
      </c>
      <c r="W1845" t="s">
        <v>51</v>
      </c>
      <c r="X1845" t="s">
        <v>45</v>
      </c>
      <c r="Y1845" s="1">
        <v>22572</v>
      </c>
      <c r="Z1845">
        <v>2</v>
      </c>
      <c r="AA1845" t="s">
        <v>224</v>
      </c>
      <c r="AB1845" s="40" t="s">
        <v>1797</v>
      </c>
    </row>
    <row r="1846" spans="1:28" x14ac:dyDescent="0.25">
      <c r="A1846">
        <v>99911845</v>
      </c>
      <c r="B1846" t="s">
        <v>32</v>
      </c>
      <c r="C1846" t="s">
        <v>139</v>
      </c>
      <c r="D1846" t="s">
        <v>140</v>
      </c>
      <c r="G1846" t="s">
        <v>48</v>
      </c>
      <c r="H1846">
        <v>1</v>
      </c>
      <c r="K1846" t="s">
        <v>223</v>
      </c>
      <c r="L1846" t="s">
        <v>224</v>
      </c>
      <c r="M1846" t="s">
        <v>131</v>
      </c>
      <c r="N1846">
        <v>18</v>
      </c>
      <c r="P1846" t="s">
        <v>41</v>
      </c>
      <c r="Q1846" t="s">
        <v>49</v>
      </c>
      <c r="R1846" t="str">
        <f>"0581202"</f>
        <v>0581202</v>
      </c>
      <c r="S1846" t="s">
        <v>248</v>
      </c>
      <c r="T1846" t="s">
        <v>223</v>
      </c>
      <c r="U1846" t="s">
        <v>224</v>
      </c>
      <c r="V1846" t="s">
        <v>131</v>
      </c>
      <c r="W1846" t="s">
        <v>165</v>
      </c>
      <c r="X1846" t="s">
        <v>45</v>
      </c>
      <c r="Y1846" s="1">
        <v>22568</v>
      </c>
      <c r="Z1846">
        <v>2</v>
      </c>
      <c r="AA1846" t="s">
        <v>224</v>
      </c>
      <c r="AB1846" s="40" t="s">
        <v>1797</v>
      </c>
    </row>
    <row r="1847" spans="1:28" x14ac:dyDescent="0.25">
      <c r="A1847">
        <v>99911846</v>
      </c>
      <c r="B1847" t="s">
        <v>32</v>
      </c>
      <c r="C1847" t="s">
        <v>46</v>
      </c>
      <c r="D1847" t="s">
        <v>47</v>
      </c>
      <c r="G1847" t="s">
        <v>48</v>
      </c>
      <c r="H1847">
        <v>16</v>
      </c>
      <c r="K1847" t="s">
        <v>1268</v>
      </c>
      <c r="L1847" t="s">
        <v>1269</v>
      </c>
      <c r="M1847" t="s">
        <v>1270</v>
      </c>
      <c r="N1847">
        <v>18</v>
      </c>
      <c r="P1847" t="s">
        <v>41</v>
      </c>
      <c r="Q1847" t="s">
        <v>49</v>
      </c>
      <c r="R1847" t="str">
        <f>"1960001"</f>
        <v>1960001</v>
      </c>
      <c r="S1847" t="s">
        <v>1272</v>
      </c>
      <c r="T1847" t="s">
        <v>1268</v>
      </c>
      <c r="U1847" t="s">
        <v>1269</v>
      </c>
      <c r="V1847" t="s">
        <v>1270</v>
      </c>
      <c r="W1847" t="s">
        <v>51</v>
      </c>
      <c r="X1847" t="s">
        <v>45</v>
      </c>
      <c r="Y1847" s="1">
        <v>22555</v>
      </c>
      <c r="Z1847">
        <v>2</v>
      </c>
      <c r="AA1847" t="s">
        <v>1269</v>
      </c>
      <c r="AB1847" s="40" t="s">
        <v>1797</v>
      </c>
    </row>
    <row r="1848" spans="1:28" x14ac:dyDescent="0.25">
      <c r="A1848">
        <v>99911847</v>
      </c>
      <c r="B1848" t="s">
        <v>56</v>
      </c>
      <c r="C1848" t="s">
        <v>52</v>
      </c>
      <c r="D1848" t="s">
        <v>53</v>
      </c>
      <c r="G1848" t="s">
        <v>48</v>
      </c>
      <c r="H1848">
        <v>1</v>
      </c>
      <c r="K1848" t="s">
        <v>345</v>
      </c>
      <c r="L1848" t="s">
        <v>346</v>
      </c>
      <c r="M1848" t="s">
        <v>131</v>
      </c>
      <c r="N1848">
        <v>18</v>
      </c>
      <c r="P1848" t="s">
        <v>41</v>
      </c>
      <c r="Q1848" t="s">
        <v>49</v>
      </c>
      <c r="R1848" t="str">
        <f>"0591906"</f>
        <v>0591906</v>
      </c>
      <c r="S1848" t="s">
        <v>350</v>
      </c>
      <c r="T1848" t="s">
        <v>345</v>
      </c>
      <c r="U1848" t="s">
        <v>346</v>
      </c>
      <c r="V1848" t="s">
        <v>131</v>
      </c>
      <c r="W1848" t="s">
        <v>51</v>
      </c>
      <c r="X1848" t="s">
        <v>45</v>
      </c>
      <c r="Y1848" s="1">
        <v>22540</v>
      </c>
      <c r="Z1848">
        <v>2</v>
      </c>
      <c r="AA1848" t="s">
        <v>346</v>
      </c>
      <c r="AB1848" s="40" t="s">
        <v>1797</v>
      </c>
    </row>
    <row r="1849" spans="1:28" x14ac:dyDescent="0.25">
      <c r="A1849">
        <v>99911848</v>
      </c>
      <c r="B1849" t="s">
        <v>32</v>
      </c>
      <c r="C1849" t="s">
        <v>46</v>
      </c>
      <c r="D1849" t="s">
        <v>47</v>
      </c>
      <c r="G1849" t="s">
        <v>48</v>
      </c>
      <c r="H1849">
        <v>1</v>
      </c>
      <c r="K1849" t="s">
        <v>223</v>
      </c>
      <c r="L1849" t="s">
        <v>224</v>
      </c>
      <c r="M1849" t="s">
        <v>131</v>
      </c>
      <c r="N1849">
        <v>18</v>
      </c>
      <c r="P1849" t="s">
        <v>41</v>
      </c>
      <c r="Q1849" t="s">
        <v>49</v>
      </c>
      <c r="R1849" t="str">
        <f>"0581200"</f>
        <v>0581200</v>
      </c>
      <c r="S1849" t="s">
        <v>238</v>
      </c>
      <c r="T1849" t="s">
        <v>223</v>
      </c>
      <c r="U1849" t="s">
        <v>224</v>
      </c>
      <c r="V1849" t="s">
        <v>131</v>
      </c>
      <c r="W1849" t="s">
        <v>51</v>
      </c>
      <c r="X1849" t="s">
        <v>45</v>
      </c>
      <c r="Y1849" s="1">
        <v>22524</v>
      </c>
      <c r="Z1849">
        <v>2</v>
      </c>
      <c r="AA1849" t="s">
        <v>224</v>
      </c>
      <c r="AB1849" s="40" t="s">
        <v>1797</v>
      </c>
    </row>
    <row r="1850" spans="1:28" x14ac:dyDescent="0.25">
      <c r="A1850">
        <v>99911849</v>
      </c>
      <c r="B1850" t="s">
        <v>56</v>
      </c>
      <c r="C1850" t="s">
        <v>46</v>
      </c>
      <c r="D1850" t="s">
        <v>47</v>
      </c>
      <c r="G1850" t="s">
        <v>48</v>
      </c>
      <c r="H1850">
        <v>1</v>
      </c>
      <c r="K1850" t="s">
        <v>157</v>
      </c>
      <c r="L1850" t="s">
        <v>158</v>
      </c>
      <c r="M1850" t="s">
        <v>131</v>
      </c>
      <c r="N1850">
        <v>18</v>
      </c>
      <c r="P1850" t="s">
        <v>41</v>
      </c>
      <c r="Q1850" t="s">
        <v>42</v>
      </c>
      <c r="R1850" t="str">
        <f>"0580290"</f>
        <v>0580290</v>
      </c>
      <c r="S1850" t="s">
        <v>171</v>
      </c>
      <c r="T1850" t="s">
        <v>157</v>
      </c>
      <c r="U1850" t="s">
        <v>158</v>
      </c>
      <c r="V1850" t="s">
        <v>131</v>
      </c>
      <c r="W1850" t="s">
        <v>51</v>
      </c>
      <c r="X1850" t="s">
        <v>45</v>
      </c>
      <c r="Y1850" s="1">
        <v>22473</v>
      </c>
      <c r="Z1850">
        <v>2</v>
      </c>
      <c r="AA1850" t="s">
        <v>158</v>
      </c>
      <c r="AB1850" s="40" t="s">
        <v>1797</v>
      </c>
    </row>
    <row r="1851" spans="1:28" x14ac:dyDescent="0.25">
      <c r="A1851">
        <v>99911850</v>
      </c>
      <c r="B1851" t="s">
        <v>32</v>
      </c>
      <c r="C1851" t="s">
        <v>52</v>
      </c>
      <c r="D1851" t="s">
        <v>53</v>
      </c>
      <c r="G1851" t="s">
        <v>48</v>
      </c>
      <c r="H1851">
        <v>14</v>
      </c>
      <c r="K1851" t="s">
        <v>129</v>
      </c>
      <c r="L1851" t="s">
        <v>130</v>
      </c>
      <c r="M1851" t="s">
        <v>131</v>
      </c>
      <c r="N1851">
        <v>18</v>
      </c>
      <c r="O1851" s="1">
        <v>33848</v>
      </c>
      <c r="P1851" t="s">
        <v>41</v>
      </c>
      <c r="Q1851" t="s">
        <v>49</v>
      </c>
      <c r="R1851" t="str">
        <f>"0580150"</f>
        <v>0580150</v>
      </c>
      <c r="S1851" t="s">
        <v>134</v>
      </c>
      <c r="T1851" t="s">
        <v>129</v>
      </c>
      <c r="U1851" t="s">
        <v>130</v>
      </c>
      <c r="V1851" t="s">
        <v>131</v>
      </c>
      <c r="W1851" t="s">
        <v>51</v>
      </c>
      <c r="X1851" t="s">
        <v>45</v>
      </c>
      <c r="Y1851" s="1">
        <v>22469</v>
      </c>
      <c r="Z1851">
        <v>2</v>
      </c>
      <c r="AA1851" t="s">
        <v>130</v>
      </c>
      <c r="AB1851" s="40" t="s">
        <v>1797</v>
      </c>
    </row>
    <row r="1852" spans="1:28" x14ac:dyDescent="0.25">
      <c r="A1852">
        <v>99911851</v>
      </c>
      <c r="B1852" t="s">
        <v>32</v>
      </c>
      <c r="C1852" t="s">
        <v>46</v>
      </c>
      <c r="D1852" t="s">
        <v>47</v>
      </c>
      <c r="G1852" t="s">
        <v>48</v>
      </c>
      <c r="H1852">
        <v>13</v>
      </c>
      <c r="K1852" t="s">
        <v>129</v>
      </c>
      <c r="L1852" t="s">
        <v>130</v>
      </c>
      <c r="M1852" t="s">
        <v>131</v>
      </c>
      <c r="N1852">
        <v>18</v>
      </c>
      <c r="O1852" s="1">
        <v>33117</v>
      </c>
      <c r="P1852" t="s">
        <v>41</v>
      </c>
      <c r="Q1852" t="s">
        <v>49</v>
      </c>
      <c r="R1852" t="str">
        <f>"0580150"</f>
        <v>0580150</v>
      </c>
      <c r="S1852" t="s">
        <v>134</v>
      </c>
      <c r="T1852" t="s">
        <v>129</v>
      </c>
      <c r="U1852" t="s">
        <v>130</v>
      </c>
      <c r="V1852" t="s">
        <v>131</v>
      </c>
      <c r="W1852" t="s">
        <v>51</v>
      </c>
      <c r="X1852" t="s">
        <v>45</v>
      </c>
      <c r="Y1852" s="1">
        <v>22468</v>
      </c>
      <c r="Z1852">
        <v>2</v>
      </c>
      <c r="AA1852" t="s">
        <v>130</v>
      </c>
      <c r="AB1852" s="40" t="s">
        <v>1797</v>
      </c>
    </row>
    <row r="1853" spans="1:28" x14ac:dyDescent="0.25">
      <c r="A1853">
        <v>99911852</v>
      </c>
      <c r="B1853" t="s">
        <v>32</v>
      </c>
      <c r="C1853" t="s">
        <v>141</v>
      </c>
      <c r="D1853" t="s">
        <v>142</v>
      </c>
      <c r="G1853" t="s">
        <v>48</v>
      </c>
      <c r="H1853">
        <v>1</v>
      </c>
      <c r="K1853" t="s">
        <v>1268</v>
      </c>
      <c r="L1853" t="s">
        <v>1269</v>
      </c>
      <c r="M1853" t="s">
        <v>1270</v>
      </c>
      <c r="N1853">
        <v>18</v>
      </c>
      <c r="P1853" t="s">
        <v>41</v>
      </c>
      <c r="Q1853" t="s">
        <v>49</v>
      </c>
      <c r="R1853" t="str">
        <f>"1981914"</f>
        <v>1981914</v>
      </c>
      <c r="S1853" t="s">
        <v>1287</v>
      </c>
      <c r="T1853" t="s">
        <v>1268</v>
      </c>
      <c r="U1853" t="s">
        <v>1269</v>
      </c>
      <c r="V1853" t="s">
        <v>1270</v>
      </c>
      <c r="W1853" t="s">
        <v>51</v>
      </c>
      <c r="X1853" t="s">
        <v>45</v>
      </c>
      <c r="Y1853" s="1">
        <v>22462</v>
      </c>
      <c r="Z1853">
        <v>2</v>
      </c>
      <c r="AA1853" t="s">
        <v>1269</v>
      </c>
      <c r="AB1853" s="40" t="s">
        <v>1797</v>
      </c>
    </row>
    <row r="1854" spans="1:28" x14ac:dyDescent="0.25">
      <c r="A1854">
        <v>99911853</v>
      </c>
      <c r="B1854" t="s">
        <v>56</v>
      </c>
      <c r="C1854" t="s">
        <v>68</v>
      </c>
      <c r="D1854" t="s">
        <v>69</v>
      </c>
      <c r="G1854" t="s">
        <v>48</v>
      </c>
      <c r="H1854">
        <v>1</v>
      </c>
      <c r="K1854" t="s">
        <v>223</v>
      </c>
      <c r="L1854" t="s">
        <v>224</v>
      </c>
      <c r="M1854" t="s">
        <v>131</v>
      </c>
      <c r="N1854">
        <v>18</v>
      </c>
      <c r="P1854" t="s">
        <v>41</v>
      </c>
      <c r="Q1854" t="s">
        <v>42</v>
      </c>
      <c r="R1854" t="str">
        <f>"0580200"</f>
        <v>0580200</v>
      </c>
      <c r="S1854" t="s">
        <v>245</v>
      </c>
      <c r="T1854" t="s">
        <v>223</v>
      </c>
      <c r="U1854" t="s">
        <v>224</v>
      </c>
      <c r="V1854" t="s">
        <v>131</v>
      </c>
      <c r="W1854" t="s">
        <v>51</v>
      </c>
      <c r="X1854" t="s">
        <v>45</v>
      </c>
      <c r="Y1854" s="1">
        <v>22459</v>
      </c>
      <c r="Z1854">
        <v>2</v>
      </c>
      <c r="AA1854" t="s">
        <v>224</v>
      </c>
      <c r="AB1854" s="40" t="s">
        <v>1797</v>
      </c>
    </row>
    <row r="1855" spans="1:28" x14ac:dyDescent="0.25">
      <c r="A1855">
        <v>99911854</v>
      </c>
      <c r="B1855" t="s">
        <v>32</v>
      </c>
      <c r="C1855" t="s">
        <v>52</v>
      </c>
      <c r="D1855" t="s">
        <v>53</v>
      </c>
      <c r="G1855" t="s">
        <v>48</v>
      </c>
      <c r="H1855">
        <v>1</v>
      </c>
      <c r="K1855" t="s">
        <v>1268</v>
      </c>
      <c r="L1855" t="s">
        <v>1269</v>
      </c>
      <c r="M1855" t="s">
        <v>1270</v>
      </c>
      <c r="N1855">
        <v>18</v>
      </c>
      <c r="P1855" t="s">
        <v>41</v>
      </c>
      <c r="Q1855" t="s">
        <v>49</v>
      </c>
      <c r="R1855" t="str">
        <f>"1981912"</f>
        <v>1981912</v>
      </c>
      <c r="S1855" t="s">
        <v>1279</v>
      </c>
      <c r="T1855" t="s">
        <v>1268</v>
      </c>
      <c r="U1855" t="s">
        <v>1269</v>
      </c>
      <c r="V1855" t="s">
        <v>1270</v>
      </c>
      <c r="W1855" t="s">
        <v>51</v>
      </c>
      <c r="X1855" t="s">
        <v>45</v>
      </c>
      <c r="Y1855" s="1">
        <v>22456</v>
      </c>
      <c r="Z1855">
        <v>2</v>
      </c>
      <c r="AA1855" t="s">
        <v>1269</v>
      </c>
      <c r="AB1855" s="40" t="s">
        <v>1797</v>
      </c>
    </row>
    <row r="1856" spans="1:28" x14ac:dyDescent="0.25">
      <c r="A1856">
        <v>99911855</v>
      </c>
      <c r="B1856" t="s">
        <v>32</v>
      </c>
      <c r="C1856" t="s">
        <v>71</v>
      </c>
      <c r="D1856" t="s">
        <v>72</v>
      </c>
      <c r="G1856" t="s">
        <v>48</v>
      </c>
      <c r="H1856">
        <v>1</v>
      </c>
      <c r="K1856" t="s">
        <v>223</v>
      </c>
      <c r="L1856" t="s">
        <v>224</v>
      </c>
      <c r="M1856" t="s">
        <v>131</v>
      </c>
      <c r="N1856">
        <v>18</v>
      </c>
      <c r="P1856" t="s">
        <v>41</v>
      </c>
      <c r="Q1856" t="s">
        <v>49</v>
      </c>
      <c r="R1856" t="str">
        <f>"0581200"</f>
        <v>0581200</v>
      </c>
      <c r="S1856" t="s">
        <v>238</v>
      </c>
      <c r="T1856" t="s">
        <v>223</v>
      </c>
      <c r="U1856" t="s">
        <v>224</v>
      </c>
      <c r="V1856" t="s">
        <v>131</v>
      </c>
      <c r="W1856" t="s">
        <v>51</v>
      </c>
      <c r="X1856" t="s">
        <v>45</v>
      </c>
      <c r="Y1856" s="1">
        <v>22449</v>
      </c>
      <c r="Z1856">
        <v>2</v>
      </c>
      <c r="AA1856" t="s">
        <v>224</v>
      </c>
      <c r="AB1856" s="40" t="s">
        <v>1797</v>
      </c>
    </row>
    <row r="1857" spans="1:28" x14ac:dyDescent="0.25">
      <c r="A1857">
        <v>99911856</v>
      </c>
      <c r="B1857" t="s">
        <v>56</v>
      </c>
      <c r="C1857" t="s">
        <v>52</v>
      </c>
      <c r="D1857" t="s">
        <v>53</v>
      </c>
      <c r="G1857" t="s">
        <v>48</v>
      </c>
      <c r="H1857">
        <v>14</v>
      </c>
      <c r="K1857" t="s">
        <v>345</v>
      </c>
      <c r="L1857" t="s">
        <v>346</v>
      </c>
      <c r="M1857" t="s">
        <v>131</v>
      </c>
      <c r="N1857">
        <v>18</v>
      </c>
      <c r="P1857" t="s">
        <v>41</v>
      </c>
      <c r="Q1857" t="s">
        <v>42</v>
      </c>
      <c r="R1857" t="str">
        <f>"0590906"</f>
        <v>0590906</v>
      </c>
      <c r="S1857" t="s">
        <v>361</v>
      </c>
      <c r="T1857" t="s">
        <v>345</v>
      </c>
      <c r="U1857" t="s">
        <v>346</v>
      </c>
      <c r="V1857" t="s">
        <v>131</v>
      </c>
      <c r="W1857" t="s">
        <v>51</v>
      </c>
      <c r="X1857" t="s">
        <v>45</v>
      </c>
      <c r="Y1857" s="1">
        <v>22440</v>
      </c>
      <c r="Z1857">
        <v>2</v>
      </c>
      <c r="AA1857" t="s">
        <v>346</v>
      </c>
      <c r="AB1857" s="40" t="s">
        <v>1797</v>
      </c>
    </row>
    <row r="1858" spans="1:28" x14ac:dyDescent="0.25">
      <c r="A1858">
        <v>99911857</v>
      </c>
      <c r="B1858" t="s">
        <v>56</v>
      </c>
      <c r="C1858" t="s">
        <v>1292</v>
      </c>
      <c r="D1858" t="s">
        <v>1293</v>
      </c>
      <c r="G1858" t="s">
        <v>35</v>
      </c>
      <c r="H1858">
        <v>1</v>
      </c>
      <c r="K1858" t="s">
        <v>1268</v>
      </c>
      <c r="L1858" t="s">
        <v>1269</v>
      </c>
      <c r="M1858" t="s">
        <v>1270</v>
      </c>
      <c r="N1858">
        <v>18</v>
      </c>
      <c r="P1858" t="s">
        <v>41</v>
      </c>
      <c r="Q1858" t="s">
        <v>922</v>
      </c>
      <c r="R1858" t="str">
        <f>"1950001"</f>
        <v>1950001</v>
      </c>
      <c r="S1858" t="s">
        <v>1284</v>
      </c>
      <c r="T1858" t="s">
        <v>1268</v>
      </c>
      <c r="U1858" t="s">
        <v>1269</v>
      </c>
      <c r="V1858" t="s">
        <v>1270</v>
      </c>
      <c r="W1858" t="s">
        <v>51</v>
      </c>
      <c r="X1858" t="s">
        <v>45</v>
      </c>
      <c r="Y1858" s="1">
        <v>22433</v>
      </c>
      <c r="Z1858">
        <v>2</v>
      </c>
      <c r="AA1858" t="s">
        <v>1269</v>
      </c>
      <c r="AB1858" s="40" t="s">
        <v>1797</v>
      </c>
    </row>
    <row r="1859" spans="1:28" x14ac:dyDescent="0.25">
      <c r="A1859">
        <v>99911858</v>
      </c>
      <c r="B1859" t="s">
        <v>32</v>
      </c>
      <c r="C1859" t="s">
        <v>139</v>
      </c>
      <c r="D1859" t="s">
        <v>140</v>
      </c>
      <c r="G1859" t="s">
        <v>48</v>
      </c>
      <c r="H1859">
        <v>1</v>
      </c>
      <c r="K1859" t="s">
        <v>157</v>
      </c>
      <c r="L1859" t="s">
        <v>158</v>
      </c>
      <c r="M1859" t="s">
        <v>131</v>
      </c>
      <c r="N1859">
        <v>18</v>
      </c>
      <c r="P1859" t="s">
        <v>41</v>
      </c>
      <c r="Q1859" t="s">
        <v>49</v>
      </c>
      <c r="R1859" t="str">
        <f>"0560006"</f>
        <v>0560006</v>
      </c>
      <c r="S1859" t="s">
        <v>191</v>
      </c>
      <c r="T1859" t="s">
        <v>157</v>
      </c>
      <c r="U1859" t="s">
        <v>158</v>
      </c>
      <c r="V1859" t="s">
        <v>131</v>
      </c>
      <c r="W1859" t="s">
        <v>51</v>
      </c>
      <c r="X1859" t="s">
        <v>45</v>
      </c>
      <c r="Y1859" s="1">
        <v>22412</v>
      </c>
      <c r="Z1859">
        <v>2</v>
      </c>
      <c r="AA1859" t="s">
        <v>158</v>
      </c>
      <c r="AB1859" s="40" t="s">
        <v>1797</v>
      </c>
    </row>
    <row r="1860" spans="1:28" x14ac:dyDescent="0.25">
      <c r="A1860">
        <v>99911859</v>
      </c>
      <c r="B1860" t="s">
        <v>56</v>
      </c>
      <c r="C1860" t="s">
        <v>68</v>
      </c>
      <c r="D1860" t="s">
        <v>69</v>
      </c>
      <c r="G1860" t="s">
        <v>48</v>
      </c>
      <c r="H1860">
        <v>14</v>
      </c>
      <c r="K1860" t="s">
        <v>345</v>
      </c>
      <c r="L1860" t="s">
        <v>346</v>
      </c>
      <c r="M1860" t="s">
        <v>131</v>
      </c>
      <c r="N1860">
        <v>18</v>
      </c>
      <c r="P1860" t="s">
        <v>41</v>
      </c>
      <c r="Q1860" t="s">
        <v>42</v>
      </c>
      <c r="R1860" t="str">
        <f>"0590906"</f>
        <v>0590906</v>
      </c>
      <c r="S1860" t="s">
        <v>361</v>
      </c>
      <c r="T1860" t="s">
        <v>345</v>
      </c>
      <c r="U1860" t="s">
        <v>346</v>
      </c>
      <c r="V1860" t="s">
        <v>131</v>
      </c>
      <c r="W1860" t="s">
        <v>51</v>
      </c>
      <c r="X1860" t="s">
        <v>45</v>
      </c>
      <c r="Y1860" s="1">
        <v>22398</v>
      </c>
      <c r="Z1860">
        <v>2</v>
      </c>
      <c r="AA1860" t="s">
        <v>346</v>
      </c>
      <c r="AB1860" s="40" t="s">
        <v>1797</v>
      </c>
    </row>
    <row r="1861" spans="1:28" x14ac:dyDescent="0.25">
      <c r="A1861">
        <v>99911860</v>
      </c>
      <c r="B1861" t="s">
        <v>56</v>
      </c>
      <c r="C1861" t="s">
        <v>82</v>
      </c>
      <c r="D1861" t="s">
        <v>83</v>
      </c>
      <c r="G1861" t="s">
        <v>48</v>
      </c>
      <c r="H1861">
        <v>1</v>
      </c>
      <c r="K1861" t="s">
        <v>300</v>
      </c>
      <c r="L1861" t="s">
        <v>301</v>
      </c>
      <c r="M1861" t="s">
        <v>131</v>
      </c>
      <c r="N1861">
        <v>18</v>
      </c>
      <c r="P1861" t="s">
        <v>41</v>
      </c>
      <c r="Q1861" t="s">
        <v>42</v>
      </c>
      <c r="R1861" t="str">
        <f>"0580023"</f>
        <v>0580023</v>
      </c>
      <c r="S1861" t="s">
        <v>313</v>
      </c>
      <c r="T1861" t="s">
        <v>300</v>
      </c>
      <c r="U1861" t="s">
        <v>301</v>
      </c>
      <c r="V1861" t="s">
        <v>131</v>
      </c>
      <c r="W1861" t="s">
        <v>165</v>
      </c>
      <c r="X1861" t="s">
        <v>45</v>
      </c>
      <c r="Y1861" s="1">
        <v>22394</v>
      </c>
      <c r="Z1861">
        <v>2</v>
      </c>
      <c r="AA1861" t="s">
        <v>301</v>
      </c>
      <c r="AB1861" s="40" t="s">
        <v>1797</v>
      </c>
    </row>
    <row r="1862" spans="1:28" x14ac:dyDescent="0.25">
      <c r="A1862">
        <v>99911861</v>
      </c>
      <c r="B1862" t="s">
        <v>32</v>
      </c>
      <c r="C1862" t="s">
        <v>52</v>
      </c>
      <c r="D1862" t="s">
        <v>53</v>
      </c>
      <c r="G1862" t="s">
        <v>48</v>
      </c>
      <c r="H1862">
        <v>1</v>
      </c>
      <c r="K1862" t="s">
        <v>1268</v>
      </c>
      <c r="L1862" t="s">
        <v>1269</v>
      </c>
      <c r="M1862" t="s">
        <v>1270</v>
      </c>
      <c r="N1862">
        <v>18</v>
      </c>
      <c r="P1862" t="s">
        <v>41</v>
      </c>
      <c r="Q1862" t="s">
        <v>42</v>
      </c>
      <c r="R1862" t="str">
        <f>"1990910"</f>
        <v>1990910</v>
      </c>
      <c r="S1862" t="s">
        <v>1281</v>
      </c>
      <c r="T1862" t="s">
        <v>1268</v>
      </c>
      <c r="U1862" t="s">
        <v>1269</v>
      </c>
      <c r="V1862" t="s">
        <v>1270</v>
      </c>
      <c r="W1862" t="s">
        <v>165</v>
      </c>
      <c r="X1862" t="s">
        <v>45</v>
      </c>
      <c r="Y1862" s="1">
        <v>22372</v>
      </c>
      <c r="Z1862">
        <v>2</v>
      </c>
      <c r="AA1862" t="s">
        <v>1269</v>
      </c>
      <c r="AB1862" s="40" t="s">
        <v>1797</v>
      </c>
    </row>
    <row r="1863" spans="1:28" x14ac:dyDescent="0.25">
      <c r="A1863">
        <v>99911862</v>
      </c>
      <c r="B1863" t="s">
        <v>32</v>
      </c>
      <c r="C1863" t="s">
        <v>46</v>
      </c>
      <c r="D1863" t="s">
        <v>47</v>
      </c>
      <c r="G1863" t="s">
        <v>48</v>
      </c>
      <c r="H1863">
        <v>1</v>
      </c>
      <c r="K1863" t="s">
        <v>223</v>
      </c>
      <c r="L1863" t="s">
        <v>224</v>
      </c>
      <c r="M1863" t="s">
        <v>131</v>
      </c>
      <c r="N1863">
        <v>18</v>
      </c>
      <c r="P1863" t="s">
        <v>41</v>
      </c>
      <c r="Q1863" t="s">
        <v>42</v>
      </c>
      <c r="R1863" t="str">
        <f>"0580202"</f>
        <v>0580202</v>
      </c>
      <c r="S1863" t="s">
        <v>240</v>
      </c>
      <c r="T1863" t="s">
        <v>223</v>
      </c>
      <c r="U1863" t="s">
        <v>224</v>
      </c>
      <c r="V1863" t="s">
        <v>131</v>
      </c>
      <c r="W1863" t="s">
        <v>165</v>
      </c>
      <c r="X1863" t="s">
        <v>45</v>
      </c>
      <c r="Y1863" s="1">
        <v>22367</v>
      </c>
      <c r="Z1863">
        <v>2</v>
      </c>
      <c r="AA1863" t="s">
        <v>224</v>
      </c>
      <c r="AB1863" s="40" t="s">
        <v>1797</v>
      </c>
    </row>
    <row r="1864" spans="1:28" x14ac:dyDescent="0.25">
      <c r="A1864">
        <v>99911863</v>
      </c>
      <c r="B1864" t="s">
        <v>56</v>
      </c>
      <c r="C1864" t="s">
        <v>68</v>
      </c>
      <c r="D1864" t="s">
        <v>69</v>
      </c>
      <c r="G1864" t="s">
        <v>48</v>
      </c>
      <c r="H1864">
        <v>1</v>
      </c>
      <c r="K1864" t="s">
        <v>157</v>
      </c>
      <c r="L1864" t="s">
        <v>158</v>
      </c>
      <c r="M1864" t="s">
        <v>131</v>
      </c>
      <c r="N1864">
        <v>18</v>
      </c>
      <c r="P1864" t="s">
        <v>41</v>
      </c>
      <c r="Q1864" t="s">
        <v>42</v>
      </c>
      <c r="R1864" t="str">
        <f>"0580470"</f>
        <v>0580470</v>
      </c>
      <c r="S1864" t="s">
        <v>175</v>
      </c>
      <c r="T1864" t="s">
        <v>157</v>
      </c>
      <c r="U1864" t="s">
        <v>158</v>
      </c>
      <c r="V1864" t="s">
        <v>131</v>
      </c>
      <c r="W1864" t="s">
        <v>51</v>
      </c>
      <c r="X1864" t="s">
        <v>45</v>
      </c>
      <c r="Y1864" s="1">
        <v>22366</v>
      </c>
      <c r="Z1864">
        <v>2</v>
      </c>
      <c r="AA1864" t="s">
        <v>158</v>
      </c>
      <c r="AB1864" s="40" t="s">
        <v>1797</v>
      </c>
    </row>
    <row r="1865" spans="1:28" x14ac:dyDescent="0.25">
      <c r="A1865">
        <v>99911864</v>
      </c>
      <c r="B1865" t="s">
        <v>32</v>
      </c>
      <c r="C1865" t="s">
        <v>82</v>
      </c>
      <c r="D1865" t="s">
        <v>83</v>
      </c>
      <c r="G1865" t="s">
        <v>48</v>
      </c>
      <c r="H1865">
        <v>1</v>
      </c>
      <c r="K1865" t="s">
        <v>223</v>
      </c>
      <c r="L1865" t="s">
        <v>224</v>
      </c>
      <c r="M1865" t="s">
        <v>131</v>
      </c>
      <c r="N1865">
        <v>18</v>
      </c>
      <c r="P1865" t="s">
        <v>41</v>
      </c>
      <c r="Q1865" t="s">
        <v>42</v>
      </c>
      <c r="R1865" t="str">
        <f>"0590902"</f>
        <v>0590902</v>
      </c>
      <c r="S1865" t="s">
        <v>241</v>
      </c>
      <c r="T1865" t="s">
        <v>223</v>
      </c>
      <c r="U1865" t="s">
        <v>224</v>
      </c>
      <c r="V1865" t="s">
        <v>131</v>
      </c>
      <c r="W1865" t="s">
        <v>51</v>
      </c>
      <c r="X1865" t="s">
        <v>45</v>
      </c>
      <c r="Y1865" s="1">
        <v>22361</v>
      </c>
      <c r="Z1865">
        <v>2</v>
      </c>
      <c r="AA1865" t="s">
        <v>224</v>
      </c>
      <c r="AB1865" s="40" t="s">
        <v>1797</v>
      </c>
    </row>
    <row r="1866" spans="1:28" x14ac:dyDescent="0.25">
      <c r="A1866">
        <v>99911865</v>
      </c>
      <c r="B1866" t="s">
        <v>56</v>
      </c>
      <c r="C1866" t="s">
        <v>33</v>
      </c>
      <c r="D1866" t="s">
        <v>34</v>
      </c>
      <c r="G1866" t="s">
        <v>48</v>
      </c>
      <c r="H1866">
        <v>1</v>
      </c>
      <c r="K1866" t="s">
        <v>223</v>
      </c>
      <c r="L1866" t="s">
        <v>224</v>
      </c>
      <c r="M1866" t="s">
        <v>131</v>
      </c>
      <c r="N1866">
        <v>18</v>
      </c>
      <c r="P1866" t="s">
        <v>41</v>
      </c>
      <c r="Q1866" t="s">
        <v>42</v>
      </c>
      <c r="R1866" t="str">
        <f>"0580202"</f>
        <v>0580202</v>
      </c>
      <c r="S1866" t="s">
        <v>240</v>
      </c>
      <c r="T1866" t="s">
        <v>223</v>
      </c>
      <c r="U1866" t="s">
        <v>224</v>
      </c>
      <c r="V1866" t="s">
        <v>131</v>
      </c>
      <c r="W1866" t="s">
        <v>165</v>
      </c>
      <c r="X1866" t="s">
        <v>45</v>
      </c>
      <c r="Y1866" s="1">
        <v>22352</v>
      </c>
      <c r="Z1866">
        <v>2</v>
      </c>
      <c r="AA1866" t="s">
        <v>224</v>
      </c>
      <c r="AB1866" s="40" t="s">
        <v>1797</v>
      </c>
    </row>
    <row r="1867" spans="1:28" x14ac:dyDescent="0.25">
      <c r="A1867">
        <v>99911866</v>
      </c>
      <c r="B1867" t="s">
        <v>32</v>
      </c>
      <c r="C1867" t="s">
        <v>52</v>
      </c>
      <c r="D1867" t="s">
        <v>53</v>
      </c>
      <c r="G1867" t="s">
        <v>48</v>
      </c>
      <c r="H1867">
        <v>1</v>
      </c>
      <c r="K1867" t="s">
        <v>162</v>
      </c>
      <c r="L1867" t="s">
        <v>158</v>
      </c>
      <c r="M1867" t="s">
        <v>131</v>
      </c>
      <c r="N1867">
        <v>18</v>
      </c>
      <c r="P1867" t="s">
        <v>41</v>
      </c>
      <c r="Q1867" t="s">
        <v>42</v>
      </c>
      <c r="R1867" t="str">
        <f>"0580320"</f>
        <v>0580320</v>
      </c>
      <c r="S1867" t="s">
        <v>164</v>
      </c>
      <c r="T1867" t="s">
        <v>162</v>
      </c>
      <c r="U1867" t="s">
        <v>158</v>
      </c>
      <c r="V1867" t="s">
        <v>131</v>
      </c>
      <c r="W1867" t="s">
        <v>165</v>
      </c>
      <c r="X1867" t="s">
        <v>45</v>
      </c>
      <c r="Y1867" s="1">
        <v>22302</v>
      </c>
      <c r="Z1867">
        <v>2</v>
      </c>
      <c r="AA1867" t="s">
        <v>158</v>
      </c>
      <c r="AB1867" s="40" t="s">
        <v>1797</v>
      </c>
    </row>
    <row r="1868" spans="1:28" x14ac:dyDescent="0.25">
      <c r="A1868">
        <v>99911867</v>
      </c>
      <c r="B1868" t="s">
        <v>32</v>
      </c>
      <c r="C1868" t="s">
        <v>46</v>
      </c>
      <c r="D1868" t="s">
        <v>47</v>
      </c>
      <c r="G1868" t="s">
        <v>35</v>
      </c>
      <c r="H1868">
        <v>1</v>
      </c>
      <c r="K1868" t="s">
        <v>223</v>
      </c>
      <c r="L1868" t="s">
        <v>224</v>
      </c>
      <c r="M1868" t="s">
        <v>131</v>
      </c>
      <c r="N1868">
        <v>18</v>
      </c>
      <c r="P1868" t="s">
        <v>41</v>
      </c>
      <c r="Q1868" t="s">
        <v>49</v>
      </c>
      <c r="R1868" t="str">
        <f>"0581207"</f>
        <v>0581207</v>
      </c>
      <c r="S1868" t="s">
        <v>233</v>
      </c>
      <c r="T1868" t="s">
        <v>223</v>
      </c>
      <c r="U1868" t="s">
        <v>224</v>
      </c>
      <c r="V1868" t="s">
        <v>131</v>
      </c>
      <c r="W1868" t="s">
        <v>165</v>
      </c>
      <c r="X1868" t="s">
        <v>45</v>
      </c>
      <c r="Y1868" s="1">
        <v>22302</v>
      </c>
      <c r="Z1868">
        <v>2</v>
      </c>
      <c r="AA1868" t="s">
        <v>224</v>
      </c>
      <c r="AB1868" s="40" t="s">
        <v>1797</v>
      </c>
    </row>
    <row r="1869" spans="1:28" x14ac:dyDescent="0.25">
      <c r="A1869">
        <v>99911868</v>
      </c>
      <c r="B1869" t="s">
        <v>32</v>
      </c>
      <c r="C1869" t="s">
        <v>64</v>
      </c>
      <c r="D1869" t="s">
        <v>65</v>
      </c>
      <c r="G1869" t="s">
        <v>35</v>
      </c>
      <c r="H1869">
        <v>1</v>
      </c>
      <c r="K1869" t="s">
        <v>268</v>
      </c>
      <c r="L1869" t="s">
        <v>269</v>
      </c>
      <c r="M1869" t="s">
        <v>131</v>
      </c>
      <c r="N1869">
        <v>18</v>
      </c>
      <c r="P1869" t="s">
        <v>41</v>
      </c>
      <c r="Q1869" t="s">
        <v>75</v>
      </c>
      <c r="R1869" t="str">
        <f>"7052028"</f>
        <v>7052028</v>
      </c>
      <c r="S1869" t="s">
        <v>601</v>
      </c>
      <c r="T1869" t="s">
        <v>268</v>
      </c>
      <c r="U1869" t="s">
        <v>269</v>
      </c>
      <c r="V1869" t="s">
        <v>131</v>
      </c>
      <c r="W1869" t="s">
        <v>51</v>
      </c>
      <c r="X1869" t="s">
        <v>45</v>
      </c>
      <c r="Y1869" s="1">
        <v>22292</v>
      </c>
      <c r="Z1869">
        <v>1</v>
      </c>
      <c r="AA1869" t="s">
        <v>269</v>
      </c>
      <c r="AB1869" s="40" t="s">
        <v>1797</v>
      </c>
    </row>
    <row r="1870" spans="1:28" x14ac:dyDescent="0.25">
      <c r="A1870">
        <v>99911869</v>
      </c>
      <c r="B1870" t="s">
        <v>56</v>
      </c>
      <c r="C1870" t="s">
        <v>52</v>
      </c>
      <c r="D1870" t="s">
        <v>53</v>
      </c>
      <c r="G1870" t="s">
        <v>48</v>
      </c>
      <c r="H1870">
        <v>1</v>
      </c>
      <c r="K1870" t="s">
        <v>380</v>
      </c>
      <c r="L1870" t="s">
        <v>381</v>
      </c>
      <c r="M1870" t="s">
        <v>131</v>
      </c>
      <c r="N1870">
        <v>18</v>
      </c>
      <c r="P1870" t="s">
        <v>41</v>
      </c>
      <c r="Q1870" t="s">
        <v>42</v>
      </c>
      <c r="R1870" t="str">
        <f>"0561010"</f>
        <v>0561010</v>
      </c>
      <c r="S1870" t="s">
        <v>387</v>
      </c>
      <c r="T1870" t="s">
        <v>380</v>
      </c>
      <c r="U1870" t="s">
        <v>381</v>
      </c>
      <c r="V1870" t="s">
        <v>131</v>
      </c>
      <c r="W1870" t="s">
        <v>51</v>
      </c>
      <c r="X1870" t="s">
        <v>45</v>
      </c>
      <c r="Y1870" s="1">
        <v>22282</v>
      </c>
      <c r="Z1870">
        <v>2</v>
      </c>
      <c r="AA1870" t="s">
        <v>381</v>
      </c>
      <c r="AB1870" s="40" t="s">
        <v>1797</v>
      </c>
    </row>
    <row r="1871" spans="1:28" x14ac:dyDescent="0.25">
      <c r="A1871">
        <v>99911870</v>
      </c>
      <c r="B1871" t="s">
        <v>32</v>
      </c>
      <c r="C1871" t="s">
        <v>139</v>
      </c>
      <c r="D1871" t="s">
        <v>140</v>
      </c>
      <c r="G1871" t="s">
        <v>48</v>
      </c>
      <c r="H1871">
        <v>1</v>
      </c>
      <c r="K1871" t="s">
        <v>1268</v>
      </c>
      <c r="L1871" t="s">
        <v>1269</v>
      </c>
      <c r="M1871" t="s">
        <v>1270</v>
      </c>
      <c r="N1871">
        <v>18</v>
      </c>
      <c r="P1871" t="s">
        <v>41</v>
      </c>
      <c r="Q1871" t="s">
        <v>42</v>
      </c>
      <c r="R1871" t="str">
        <f>"1980050"</f>
        <v>1980050</v>
      </c>
      <c r="S1871" t="s">
        <v>1278</v>
      </c>
      <c r="T1871" t="s">
        <v>1268</v>
      </c>
      <c r="U1871" t="s">
        <v>1269</v>
      </c>
      <c r="V1871" t="s">
        <v>1270</v>
      </c>
      <c r="W1871" t="s">
        <v>51</v>
      </c>
      <c r="X1871" t="s">
        <v>45</v>
      </c>
      <c r="Y1871" s="1">
        <v>22224</v>
      </c>
      <c r="Z1871">
        <v>2</v>
      </c>
      <c r="AA1871" t="s">
        <v>1269</v>
      </c>
      <c r="AB1871" s="40" t="s">
        <v>1797</v>
      </c>
    </row>
    <row r="1872" spans="1:28" x14ac:dyDescent="0.25">
      <c r="A1872">
        <v>99911871</v>
      </c>
      <c r="B1872" t="s">
        <v>56</v>
      </c>
      <c r="C1872" t="s">
        <v>52</v>
      </c>
      <c r="D1872" t="s">
        <v>53</v>
      </c>
      <c r="G1872" t="s">
        <v>48</v>
      </c>
      <c r="H1872">
        <v>1</v>
      </c>
      <c r="K1872" t="s">
        <v>223</v>
      </c>
      <c r="L1872" t="s">
        <v>224</v>
      </c>
      <c r="M1872" t="s">
        <v>131</v>
      </c>
      <c r="N1872">
        <v>18</v>
      </c>
      <c r="P1872" t="s">
        <v>41</v>
      </c>
      <c r="Q1872" t="s">
        <v>42</v>
      </c>
      <c r="R1872" t="str">
        <f>"0580200"</f>
        <v>0580200</v>
      </c>
      <c r="S1872" t="s">
        <v>245</v>
      </c>
      <c r="T1872" t="s">
        <v>223</v>
      </c>
      <c r="U1872" t="s">
        <v>224</v>
      </c>
      <c r="V1872" t="s">
        <v>131</v>
      </c>
      <c r="W1872" t="s">
        <v>51</v>
      </c>
      <c r="X1872" t="s">
        <v>45</v>
      </c>
      <c r="Y1872" s="1">
        <v>22212</v>
      </c>
      <c r="Z1872">
        <v>2</v>
      </c>
      <c r="AA1872" t="s">
        <v>224</v>
      </c>
      <c r="AB1872" s="40" t="s">
        <v>1797</v>
      </c>
    </row>
    <row r="1873" spans="1:28" x14ac:dyDescent="0.25">
      <c r="A1873">
        <v>99911872</v>
      </c>
      <c r="B1873" t="s">
        <v>56</v>
      </c>
      <c r="C1873" t="s">
        <v>79</v>
      </c>
      <c r="D1873" t="s">
        <v>80</v>
      </c>
      <c r="G1873" t="s">
        <v>35</v>
      </c>
      <c r="H1873">
        <v>1</v>
      </c>
      <c r="K1873" t="s">
        <v>223</v>
      </c>
      <c r="L1873" t="s">
        <v>224</v>
      </c>
      <c r="M1873" t="s">
        <v>131</v>
      </c>
      <c r="N1873">
        <v>18</v>
      </c>
      <c r="P1873" t="s">
        <v>41</v>
      </c>
      <c r="Q1873" t="s">
        <v>49</v>
      </c>
      <c r="R1873" t="str">
        <f>"0581207"</f>
        <v>0581207</v>
      </c>
      <c r="S1873" t="s">
        <v>233</v>
      </c>
      <c r="T1873" t="s">
        <v>223</v>
      </c>
      <c r="U1873" t="s">
        <v>224</v>
      </c>
      <c r="V1873" t="s">
        <v>131</v>
      </c>
      <c r="W1873" t="s">
        <v>51</v>
      </c>
      <c r="X1873" t="s">
        <v>45</v>
      </c>
      <c r="Y1873" s="1">
        <v>22207</v>
      </c>
      <c r="Z1873">
        <v>2</v>
      </c>
      <c r="AA1873" t="s">
        <v>224</v>
      </c>
      <c r="AB1873" s="40" t="s">
        <v>1797</v>
      </c>
    </row>
    <row r="1874" spans="1:28" x14ac:dyDescent="0.25">
      <c r="A1874">
        <v>99911873</v>
      </c>
      <c r="B1874" t="s">
        <v>56</v>
      </c>
      <c r="C1874" t="s">
        <v>46</v>
      </c>
      <c r="D1874" t="s">
        <v>47</v>
      </c>
      <c r="G1874" t="s">
        <v>35</v>
      </c>
      <c r="H1874">
        <v>1</v>
      </c>
      <c r="K1874" t="s">
        <v>223</v>
      </c>
      <c r="L1874" t="s">
        <v>224</v>
      </c>
      <c r="M1874" t="s">
        <v>131</v>
      </c>
      <c r="N1874">
        <v>18</v>
      </c>
      <c r="P1874" t="s">
        <v>41</v>
      </c>
      <c r="Q1874" t="s">
        <v>42</v>
      </c>
      <c r="R1874" t="str">
        <f>"0590901"</f>
        <v>0590901</v>
      </c>
      <c r="S1874" t="s">
        <v>242</v>
      </c>
      <c r="T1874" t="s">
        <v>223</v>
      </c>
      <c r="U1874" t="s">
        <v>224</v>
      </c>
      <c r="V1874" t="s">
        <v>131</v>
      </c>
      <c r="W1874" t="s">
        <v>165</v>
      </c>
      <c r="X1874" t="s">
        <v>45</v>
      </c>
      <c r="Y1874" s="1">
        <v>22194</v>
      </c>
      <c r="Z1874">
        <v>2</v>
      </c>
      <c r="AA1874" t="s">
        <v>224</v>
      </c>
      <c r="AB1874" s="40" t="s">
        <v>1797</v>
      </c>
    </row>
    <row r="1875" spans="1:28" x14ac:dyDescent="0.25">
      <c r="A1875">
        <v>99911874</v>
      </c>
      <c r="B1875" t="s">
        <v>32</v>
      </c>
      <c r="C1875" t="s">
        <v>52</v>
      </c>
      <c r="D1875" t="s">
        <v>53</v>
      </c>
      <c r="G1875" t="s">
        <v>48</v>
      </c>
      <c r="H1875">
        <v>1</v>
      </c>
      <c r="K1875" t="s">
        <v>223</v>
      </c>
      <c r="L1875" t="s">
        <v>224</v>
      </c>
      <c r="M1875" t="s">
        <v>131</v>
      </c>
      <c r="N1875">
        <v>18</v>
      </c>
      <c r="P1875" t="s">
        <v>41</v>
      </c>
      <c r="Q1875" t="s">
        <v>42</v>
      </c>
      <c r="R1875" t="str">
        <f>"0580265"</f>
        <v>0580265</v>
      </c>
      <c r="S1875" t="s">
        <v>231</v>
      </c>
      <c r="T1875" t="s">
        <v>223</v>
      </c>
      <c r="U1875" t="s">
        <v>224</v>
      </c>
      <c r="V1875" t="s">
        <v>131</v>
      </c>
      <c r="W1875" t="s">
        <v>51</v>
      </c>
      <c r="X1875" t="s">
        <v>45</v>
      </c>
      <c r="Y1875" s="1">
        <v>22193</v>
      </c>
      <c r="Z1875">
        <v>2</v>
      </c>
      <c r="AA1875" t="s">
        <v>224</v>
      </c>
      <c r="AB1875" s="40" t="s">
        <v>1797</v>
      </c>
    </row>
    <row r="1876" spans="1:28" x14ac:dyDescent="0.25">
      <c r="A1876">
        <v>99911875</v>
      </c>
      <c r="B1876" t="s">
        <v>56</v>
      </c>
      <c r="C1876" t="s">
        <v>52</v>
      </c>
      <c r="D1876" t="s">
        <v>53</v>
      </c>
      <c r="G1876" t="s">
        <v>48</v>
      </c>
      <c r="H1876">
        <v>1</v>
      </c>
      <c r="K1876" t="s">
        <v>129</v>
      </c>
      <c r="L1876" t="s">
        <v>130</v>
      </c>
      <c r="M1876" t="s">
        <v>131</v>
      </c>
      <c r="N1876">
        <v>18</v>
      </c>
      <c r="P1876" t="s">
        <v>41</v>
      </c>
      <c r="Q1876" t="s">
        <v>42</v>
      </c>
      <c r="R1876" t="str">
        <f>"0590905"</f>
        <v>0590905</v>
      </c>
      <c r="S1876" t="s">
        <v>133</v>
      </c>
      <c r="T1876" t="s">
        <v>129</v>
      </c>
      <c r="U1876" t="s">
        <v>130</v>
      </c>
      <c r="V1876" t="s">
        <v>131</v>
      </c>
      <c r="W1876" t="s">
        <v>51</v>
      </c>
      <c r="X1876" t="s">
        <v>45</v>
      </c>
      <c r="Y1876" s="1">
        <v>22189</v>
      </c>
      <c r="Z1876">
        <v>2</v>
      </c>
      <c r="AA1876" t="s">
        <v>130</v>
      </c>
      <c r="AB1876" s="40" t="s">
        <v>1797</v>
      </c>
    </row>
    <row r="1877" spans="1:28" x14ac:dyDescent="0.25">
      <c r="A1877">
        <v>99911876</v>
      </c>
      <c r="B1877" t="s">
        <v>32</v>
      </c>
      <c r="C1877" t="s">
        <v>46</v>
      </c>
      <c r="D1877" t="s">
        <v>47</v>
      </c>
      <c r="G1877" t="s">
        <v>48</v>
      </c>
      <c r="H1877">
        <v>1</v>
      </c>
      <c r="K1877" t="s">
        <v>1268</v>
      </c>
      <c r="L1877" t="s">
        <v>1269</v>
      </c>
      <c r="M1877" t="s">
        <v>1270</v>
      </c>
      <c r="N1877">
        <v>18</v>
      </c>
      <c r="P1877" t="s">
        <v>41</v>
      </c>
      <c r="Q1877" t="s">
        <v>42</v>
      </c>
      <c r="R1877" t="str">
        <f>"1990911"</f>
        <v>1990911</v>
      </c>
      <c r="S1877" t="s">
        <v>1276</v>
      </c>
      <c r="T1877" t="s">
        <v>1268</v>
      </c>
      <c r="U1877" t="s">
        <v>1269</v>
      </c>
      <c r="V1877" t="s">
        <v>1270</v>
      </c>
      <c r="W1877" t="s">
        <v>51</v>
      </c>
      <c r="X1877" t="s">
        <v>45</v>
      </c>
      <c r="Y1877" s="1">
        <v>22188</v>
      </c>
      <c r="Z1877">
        <v>2</v>
      </c>
      <c r="AA1877" t="s">
        <v>1269</v>
      </c>
      <c r="AB1877" s="40" t="s">
        <v>1797</v>
      </c>
    </row>
    <row r="1878" spans="1:28" x14ac:dyDescent="0.25">
      <c r="A1878">
        <v>99911877</v>
      </c>
      <c r="B1878" t="s">
        <v>56</v>
      </c>
      <c r="C1878" t="s">
        <v>52</v>
      </c>
      <c r="D1878" t="s">
        <v>53</v>
      </c>
      <c r="G1878" t="s">
        <v>48</v>
      </c>
      <c r="H1878">
        <v>1</v>
      </c>
      <c r="K1878" t="s">
        <v>129</v>
      </c>
      <c r="L1878" t="s">
        <v>130</v>
      </c>
      <c r="M1878" t="s">
        <v>131</v>
      </c>
      <c r="N1878">
        <v>18</v>
      </c>
      <c r="P1878" t="s">
        <v>41</v>
      </c>
      <c r="Q1878" t="s">
        <v>49</v>
      </c>
      <c r="R1878" t="str">
        <f>"0591905"</f>
        <v>0591905</v>
      </c>
      <c r="S1878" t="s">
        <v>135</v>
      </c>
      <c r="T1878" t="s">
        <v>129</v>
      </c>
      <c r="U1878" t="s">
        <v>130</v>
      </c>
      <c r="V1878" t="s">
        <v>131</v>
      </c>
      <c r="W1878" t="s">
        <v>51</v>
      </c>
      <c r="X1878" t="s">
        <v>45</v>
      </c>
      <c r="Y1878" s="1">
        <v>22180</v>
      </c>
      <c r="Z1878">
        <v>2</v>
      </c>
      <c r="AA1878" t="s">
        <v>130</v>
      </c>
      <c r="AB1878" s="40" t="s">
        <v>1797</v>
      </c>
    </row>
    <row r="1879" spans="1:28" x14ac:dyDescent="0.25">
      <c r="A1879">
        <v>99911878</v>
      </c>
      <c r="B1879" t="s">
        <v>56</v>
      </c>
      <c r="C1879" t="s">
        <v>79</v>
      </c>
      <c r="D1879" t="s">
        <v>80</v>
      </c>
      <c r="G1879" t="s">
        <v>35</v>
      </c>
      <c r="H1879">
        <v>1</v>
      </c>
      <c r="K1879" t="s">
        <v>223</v>
      </c>
      <c r="L1879" t="s">
        <v>224</v>
      </c>
      <c r="M1879" t="s">
        <v>131</v>
      </c>
      <c r="N1879">
        <v>18</v>
      </c>
      <c r="P1879" t="s">
        <v>41</v>
      </c>
      <c r="Q1879" t="s">
        <v>42</v>
      </c>
      <c r="R1879" t="str">
        <f>"0590903"</f>
        <v>0590903</v>
      </c>
      <c r="S1879" t="s">
        <v>226</v>
      </c>
      <c r="T1879" t="s">
        <v>223</v>
      </c>
      <c r="U1879" t="s">
        <v>224</v>
      </c>
      <c r="V1879" t="s">
        <v>131</v>
      </c>
      <c r="W1879" t="s">
        <v>51</v>
      </c>
      <c r="X1879" t="s">
        <v>45</v>
      </c>
      <c r="Y1879" s="1">
        <v>22177</v>
      </c>
      <c r="Z1879">
        <v>2</v>
      </c>
      <c r="AA1879" t="s">
        <v>224</v>
      </c>
      <c r="AB1879" s="40" t="s">
        <v>1797</v>
      </c>
    </row>
    <row r="1880" spans="1:28" x14ac:dyDescent="0.25">
      <c r="A1880">
        <v>99911879</v>
      </c>
      <c r="B1880" t="s">
        <v>56</v>
      </c>
      <c r="C1880" t="s">
        <v>52</v>
      </c>
      <c r="D1880" t="s">
        <v>53</v>
      </c>
      <c r="G1880" t="s">
        <v>35</v>
      </c>
      <c r="H1880">
        <v>1</v>
      </c>
      <c r="I1880">
        <v>0</v>
      </c>
      <c r="J1880" s="1">
        <v>43344</v>
      </c>
      <c r="K1880" t="s">
        <v>223</v>
      </c>
      <c r="L1880" t="s">
        <v>224</v>
      </c>
      <c r="M1880" t="s">
        <v>131</v>
      </c>
      <c r="N1880">
        <v>18</v>
      </c>
      <c r="O1880" s="1">
        <v>43344</v>
      </c>
      <c r="P1880" t="s">
        <v>41</v>
      </c>
      <c r="Q1880" t="s">
        <v>42</v>
      </c>
      <c r="R1880" t="str">
        <f>"0590907"</f>
        <v>0590907</v>
      </c>
      <c r="S1880" t="s">
        <v>285</v>
      </c>
      <c r="T1880" t="s">
        <v>223</v>
      </c>
      <c r="U1880" t="s">
        <v>224</v>
      </c>
      <c r="V1880" t="s">
        <v>131</v>
      </c>
      <c r="W1880" t="s">
        <v>51</v>
      </c>
      <c r="X1880" t="s">
        <v>45</v>
      </c>
      <c r="Y1880" s="1">
        <v>22171</v>
      </c>
      <c r="Z1880">
        <v>2</v>
      </c>
      <c r="AA1880" t="s">
        <v>224</v>
      </c>
      <c r="AB1880" s="40" t="s">
        <v>1797</v>
      </c>
    </row>
    <row r="1881" spans="1:28" x14ac:dyDescent="0.25">
      <c r="A1881">
        <v>99911880</v>
      </c>
      <c r="B1881" t="s">
        <v>56</v>
      </c>
      <c r="C1881" t="s">
        <v>82</v>
      </c>
      <c r="D1881" t="s">
        <v>83</v>
      </c>
      <c r="G1881" t="s">
        <v>48</v>
      </c>
      <c r="H1881">
        <v>11</v>
      </c>
      <c r="K1881" t="s">
        <v>1268</v>
      </c>
      <c r="L1881" t="s">
        <v>1269</v>
      </c>
      <c r="M1881" t="s">
        <v>1270</v>
      </c>
      <c r="N1881">
        <v>18</v>
      </c>
      <c r="O1881" s="1">
        <v>43344</v>
      </c>
      <c r="P1881" t="s">
        <v>41</v>
      </c>
      <c r="Q1881" t="s">
        <v>42</v>
      </c>
      <c r="R1881" t="str">
        <f>"1980055"</f>
        <v>1980055</v>
      </c>
      <c r="S1881" t="s">
        <v>1285</v>
      </c>
      <c r="T1881" t="s">
        <v>1268</v>
      </c>
      <c r="U1881" t="s">
        <v>1269</v>
      </c>
      <c r="V1881" t="s">
        <v>1270</v>
      </c>
      <c r="W1881" t="s">
        <v>165</v>
      </c>
      <c r="X1881" t="s">
        <v>45</v>
      </c>
      <c r="Y1881" s="1">
        <v>22151</v>
      </c>
      <c r="Z1881">
        <v>2</v>
      </c>
      <c r="AA1881" t="s">
        <v>1269</v>
      </c>
      <c r="AB1881" s="40" t="s">
        <v>1797</v>
      </c>
    </row>
    <row r="1882" spans="1:28" x14ac:dyDescent="0.25">
      <c r="A1882">
        <v>99911881</v>
      </c>
      <c r="B1882" t="s">
        <v>32</v>
      </c>
      <c r="C1882" t="s">
        <v>68</v>
      </c>
      <c r="D1882" t="s">
        <v>69</v>
      </c>
      <c r="G1882" t="s">
        <v>48</v>
      </c>
      <c r="H1882">
        <v>1</v>
      </c>
      <c r="K1882" t="s">
        <v>162</v>
      </c>
      <c r="L1882" t="s">
        <v>158</v>
      </c>
      <c r="M1882" t="s">
        <v>131</v>
      </c>
      <c r="N1882">
        <v>18</v>
      </c>
      <c r="P1882" t="s">
        <v>41</v>
      </c>
      <c r="Q1882" t="s">
        <v>42</v>
      </c>
      <c r="R1882" t="str">
        <f>"0580320"</f>
        <v>0580320</v>
      </c>
      <c r="S1882" t="s">
        <v>164</v>
      </c>
      <c r="T1882" t="s">
        <v>162</v>
      </c>
      <c r="U1882" t="s">
        <v>158</v>
      </c>
      <c r="V1882" t="s">
        <v>131</v>
      </c>
      <c r="W1882" t="s">
        <v>165</v>
      </c>
      <c r="X1882" t="s">
        <v>45</v>
      </c>
      <c r="Y1882" s="1">
        <v>22143</v>
      </c>
      <c r="Z1882">
        <v>2</v>
      </c>
      <c r="AA1882" t="s">
        <v>158</v>
      </c>
      <c r="AB1882" s="40" t="s">
        <v>1797</v>
      </c>
    </row>
    <row r="1883" spans="1:28" x14ac:dyDescent="0.25">
      <c r="A1883">
        <v>99911882</v>
      </c>
      <c r="B1883" t="s">
        <v>56</v>
      </c>
      <c r="C1883" t="s">
        <v>68</v>
      </c>
      <c r="D1883" t="s">
        <v>69</v>
      </c>
      <c r="G1883" t="s">
        <v>48</v>
      </c>
      <c r="H1883">
        <v>1</v>
      </c>
      <c r="K1883" t="s">
        <v>345</v>
      </c>
      <c r="L1883" t="s">
        <v>346</v>
      </c>
      <c r="M1883" t="s">
        <v>131</v>
      </c>
      <c r="N1883">
        <v>18</v>
      </c>
      <c r="P1883" t="s">
        <v>41</v>
      </c>
      <c r="Q1883" t="s">
        <v>49</v>
      </c>
      <c r="R1883" t="str">
        <f>"0581605"</f>
        <v>0581605</v>
      </c>
      <c r="S1883" t="s">
        <v>366</v>
      </c>
      <c r="T1883" t="s">
        <v>345</v>
      </c>
      <c r="U1883" t="s">
        <v>346</v>
      </c>
      <c r="V1883" t="s">
        <v>131</v>
      </c>
      <c r="W1883" t="s">
        <v>51</v>
      </c>
      <c r="X1883" t="s">
        <v>45</v>
      </c>
      <c r="Y1883" s="1">
        <v>22138</v>
      </c>
      <c r="Z1883">
        <v>2</v>
      </c>
      <c r="AA1883" t="s">
        <v>346</v>
      </c>
      <c r="AB1883" s="40" t="s">
        <v>1797</v>
      </c>
    </row>
    <row r="1884" spans="1:28" x14ac:dyDescent="0.25">
      <c r="A1884">
        <v>99911883</v>
      </c>
      <c r="B1884" t="s">
        <v>56</v>
      </c>
      <c r="C1884" t="s">
        <v>79</v>
      </c>
      <c r="D1884" t="s">
        <v>80</v>
      </c>
      <c r="G1884" t="s">
        <v>48</v>
      </c>
      <c r="H1884">
        <v>1</v>
      </c>
      <c r="K1884" t="s">
        <v>223</v>
      </c>
      <c r="L1884" t="s">
        <v>224</v>
      </c>
      <c r="M1884" t="s">
        <v>131</v>
      </c>
      <c r="N1884">
        <v>18</v>
      </c>
      <c r="P1884" t="s">
        <v>41</v>
      </c>
      <c r="Q1884" t="s">
        <v>49</v>
      </c>
      <c r="R1884" t="str">
        <f>"0581206"</f>
        <v>0581206</v>
      </c>
      <c r="S1884" t="s">
        <v>232</v>
      </c>
      <c r="T1884" t="s">
        <v>223</v>
      </c>
      <c r="U1884" t="s">
        <v>224</v>
      </c>
      <c r="V1884" t="s">
        <v>131</v>
      </c>
      <c r="W1884" t="s">
        <v>51</v>
      </c>
      <c r="X1884" t="s">
        <v>45</v>
      </c>
      <c r="Y1884" s="1">
        <v>22110</v>
      </c>
      <c r="Z1884">
        <v>2</v>
      </c>
      <c r="AA1884" t="s">
        <v>224</v>
      </c>
      <c r="AB1884" s="40" t="s">
        <v>1797</v>
      </c>
    </row>
    <row r="1885" spans="1:28" x14ac:dyDescent="0.25">
      <c r="A1885">
        <v>99911884</v>
      </c>
      <c r="B1885" t="s">
        <v>56</v>
      </c>
      <c r="C1885" t="s">
        <v>52</v>
      </c>
      <c r="D1885" t="s">
        <v>53</v>
      </c>
      <c r="G1885" t="s">
        <v>48</v>
      </c>
      <c r="H1885">
        <v>1</v>
      </c>
      <c r="K1885" t="s">
        <v>223</v>
      </c>
      <c r="L1885" t="s">
        <v>224</v>
      </c>
      <c r="M1885" t="s">
        <v>131</v>
      </c>
      <c r="N1885">
        <v>18</v>
      </c>
      <c r="P1885" t="s">
        <v>41</v>
      </c>
      <c r="Q1885" t="s">
        <v>42</v>
      </c>
      <c r="R1885" t="str">
        <f>"0580204"</f>
        <v>0580204</v>
      </c>
      <c r="S1885" t="s">
        <v>235</v>
      </c>
      <c r="T1885" t="s">
        <v>223</v>
      </c>
      <c r="U1885" t="s">
        <v>224</v>
      </c>
      <c r="V1885" t="s">
        <v>131</v>
      </c>
      <c r="W1885" t="s">
        <v>165</v>
      </c>
      <c r="X1885" t="s">
        <v>45</v>
      </c>
      <c r="Y1885" s="1">
        <v>22093</v>
      </c>
      <c r="Z1885">
        <v>2</v>
      </c>
      <c r="AA1885" t="s">
        <v>224</v>
      </c>
      <c r="AB1885" s="40" t="s">
        <v>1797</v>
      </c>
    </row>
    <row r="1886" spans="1:28" x14ac:dyDescent="0.25">
      <c r="A1886">
        <v>99911885</v>
      </c>
      <c r="B1886" t="s">
        <v>32</v>
      </c>
      <c r="C1886" t="s">
        <v>143</v>
      </c>
      <c r="D1886" t="s">
        <v>144</v>
      </c>
      <c r="G1886" t="s">
        <v>35</v>
      </c>
      <c r="H1886">
        <v>1</v>
      </c>
      <c r="K1886" t="s">
        <v>223</v>
      </c>
      <c r="L1886" t="s">
        <v>224</v>
      </c>
      <c r="M1886" t="s">
        <v>131</v>
      </c>
      <c r="N1886">
        <v>18</v>
      </c>
      <c r="P1886" t="s">
        <v>41</v>
      </c>
      <c r="Q1886" t="s">
        <v>49</v>
      </c>
      <c r="R1886" t="str">
        <f>"0591901"</f>
        <v>0591901</v>
      </c>
      <c r="S1886" t="s">
        <v>230</v>
      </c>
      <c r="T1886" t="s">
        <v>223</v>
      </c>
      <c r="U1886" t="s">
        <v>224</v>
      </c>
      <c r="V1886" t="s">
        <v>131</v>
      </c>
      <c r="W1886" t="s">
        <v>165</v>
      </c>
      <c r="X1886" t="s">
        <v>45</v>
      </c>
      <c r="Y1886" s="1">
        <v>22086</v>
      </c>
      <c r="Z1886">
        <v>2</v>
      </c>
      <c r="AA1886" t="s">
        <v>224</v>
      </c>
      <c r="AB1886" s="40" t="s">
        <v>1797</v>
      </c>
    </row>
    <row r="1887" spans="1:28" x14ac:dyDescent="0.25">
      <c r="A1887">
        <v>99911886</v>
      </c>
      <c r="B1887" t="s">
        <v>56</v>
      </c>
      <c r="C1887" t="s">
        <v>52</v>
      </c>
      <c r="D1887" t="s">
        <v>53</v>
      </c>
      <c r="G1887" t="s">
        <v>48</v>
      </c>
      <c r="H1887">
        <v>1</v>
      </c>
      <c r="K1887" t="s">
        <v>223</v>
      </c>
      <c r="L1887" t="s">
        <v>224</v>
      </c>
      <c r="M1887" t="s">
        <v>131</v>
      </c>
      <c r="N1887">
        <v>18</v>
      </c>
      <c r="P1887" t="s">
        <v>41</v>
      </c>
      <c r="Q1887" t="s">
        <v>42</v>
      </c>
      <c r="R1887" t="str">
        <f>"0580203"</f>
        <v>0580203</v>
      </c>
      <c r="S1887" t="s">
        <v>239</v>
      </c>
      <c r="T1887" t="s">
        <v>223</v>
      </c>
      <c r="U1887" t="s">
        <v>224</v>
      </c>
      <c r="V1887" t="s">
        <v>131</v>
      </c>
      <c r="W1887" t="s">
        <v>51</v>
      </c>
      <c r="X1887" t="s">
        <v>45</v>
      </c>
      <c r="Y1887" s="1">
        <v>22086</v>
      </c>
      <c r="Z1887">
        <v>2</v>
      </c>
      <c r="AA1887" t="s">
        <v>224</v>
      </c>
      <c r="AB1887" s="40" t="s">
        <v>1797</v>
      </c>
    </row>
    <row r="1888" spans="1:28" x14ac:dyDescent="0.25">
      <c r="A1888">
        <v>99911887</v>
      </c>
      <c r="B1888" t="s">
        <v>56</v>
      </c>
      <c r="C1888" t="s">
        <v>68</v>
      </c>
      <c r="D1888" t="s">
        <v>69</v>
      </c>
      <c r="G1888" t="s">
        <v>35</v>
      </c>
      <c r="H1888">
        <v>1</v>
      </c>
      <c r="I1888">
        <v>0</v>
      </c>
      <c r="J1888" s="1">
        <v>43344</v>
      </c>
      <c r="K1888" t="s">
        <v>223</v>
      </c>
      <c r="L1888" t="s">
        <v>224</v>
      </c>
      <c r="M1888" t="s">
        <v>131</v>
      </c>
      <c r="N1888">
        <v>18</v>
      </c>
      <c r="O1888" s="1">
        <v>43344</v>
      </c>
      <c r="P1888" t="s">
        <v>41</v>
      </c>
      <c r="Q1888" t="s">
        <v>42</v>
      </c>
      <c r="R1888" t="str">
        <f>"0590907"</f>
        <v>0590907</v>
      </c>
      <c r="S1888" t="s">
        <v>285</v>
      </c>
      <c r="T1888" t="s">
        <v>223</v>
      </c>
      <c r="U1888" t="s">
        <v>224</v>
      </c>
      <c r="V1888" t="s">
        <v>131</v>
      </c>
      <c r="W1888" t="s">
        <v>51</v>
      </c>
      <c r="X1888" t="s">
        <v>45</v>
      </c>
      <c r="Y1888" s="1">
        <v>22077</v>
      </c>
      <c r="Z1888">
        <v>2</v>
      </c>
      <c r="AA1888" t="s">
        <v>224</v>
      </c>
      <c r="AB1888" s="40" t="s">
        <v>1797</v>
      </c>
    </row>
    <row r="1889" spans="1:28" x14ac:dyDescent="0.25">
      <c r="A1889">
        <v>99911888</v>
      </c>
      <c r="B1889" t="s">
        <v>56</v>
      </c>
      <c r="C1889" t="s">
        <v>79</v>
      </c>
      <c r="D1889" t="s">
        <v>80</v>
      </c>
      <c r="G1889" t="s">
        <v>48</v>
      </c>
      <c r="H1889">
        <v>1</v>
      </c>
      <c r="I1889" t="s">
        <v>1321</v>
      </c>
      <c r="K1889" t="s">
        <v>1306</v>
      </c>
      <c r="L1889" t="s">
        <v>1307</v>
      </c>
      <c r="M1889" t="s">
        <v>1270</v>
      </c>
      <c r="N1889">
        <v>18</v>
      </c>
      <c r="P1889" t="s">
        <v>41</v>
      </c>
      <c r="Q1889" t="s">
        <v>49</v>
      </c>
      <c r="R1889" t="str">
        <f>"1991913"</f>
        <v>1991913</v>
      </c>
      <c r="S1889" t="s">
        <v>1310</v>
      </c>
      <c r="T1889" t="s">
        <v>1306</v>
      </c>
      <c r="U1889" t="s">
        <v>1307</v>
      </c>
      <c r="V1889" t="s">
        <v>1270</v>
      </c>
      <c r="W1889" t="s">
        <v>51</v>
      </c>
      <c r="X1889" t="s">
        <v>45</v>
      </c>
      <c r="Y1889" s="1">
        <v>22047</v>
      </c>
      <c r="Z1889">
        <v>2</v>
      </c>
      <c r="AA1889" t="s">
        <v>1307</v>
      </c>
      <c r="AB1889" s="40" t="s">
        <v>1797</v>
      </c>
    </row>
    <row r="1890" spans="1:28" x14ac:dyDescent="0.25">
      <c r="A1890">
        <v>99911889</v>
      </c>
      <c r="B1890" t="s">
        <v>56</v>
      </c>
      <c r="C1890" t="s">
        <v>79</v>
      </c>
      <c r="D1890" t="s">
        <v>80</v>
      </c>
      <c r="G1890" t="s">
        <v>48</v>
      </c>
      <c r="H1890">
        <v>1</v>
      </c>
      <c r="K1890" t="s">
        <v>157</v>
      </c>
      <c r="L1890" t="s">
        <v>158</v>
      </c>
      <c r="M1890" t="s">
        <v>131</v>
      </c>
      <c r="N1890">
        <v>18</v>
      </c>
      <c r="P1890" t="s">
        <v>41</v>
      </c>
      <c r="Q1890" t="s">
        <v>49</v>
      </c>
      <c r="R1890" t="str">
        <f>"0560010"</f>
        <v>0560010</v>
      </c>
      <c r="S1890" t="s">
        <v>179</v>
      </c>
      <c r="T1890" t="s">
        <v>157</v>
      </c>
      <c r="U1890" t="s">
        <v>158</v>
      </c>
      <c r="V1890" t="s">
        <v>131</v>
      </c>
      <c r="W1890" t="s">
        <v>51</v>
      </c>
      <c r="X1890" t="s">
        <v>45</v>
      </c>
      <c r="Y1890" s="1">
        <v>22021</v>
      </c>
      <c r="Z1890">
        <v>2</v>
      </c>
      <c r="AA1890" t="s">
        <v>158</v>
      </c>
      <c r="AB1890" s="40" t="s">
        <v>1797</v>
      </c>
    </row>
    <row r="1891" spans="1:28" x14ac:dyDescent="0.25">
      <c r="A1891">
        <v>99911890</v>
      </c>
      <c r="B1891" t="s">
        <v>56</v>
      </c>
      <c r="C1891" t="s">
        <v>33</v>
      </c>
      <c r="D1891" t="s">
        <v>34</v>
      </c>
      <c r="G1891" t="s">
        <v>48</v>
      </c>
      <c r="H1891">
        <v>1</v>
      </c>
      <c r="K1891" t="s">
        <v>223</v>
      </c>
      <c r="L1891" t="s">
        <v>224</v>
      </c>
      <c r="M1891" t="s">
        <v>131</v>
      </c>
      <c r="N1891">
        <v>18</v>
      </c>
      <c r="P1891" t="s">
        <v>41</v>
      </c>
      <c r="Q1891" t="s">
        <v>42</v>
      </c>
      <c r="R1891" t="str">
        <f>"0580200"</f>
        <v>0580200</v>
      </c>
      <c r="S1891" t="s">
        <v>245</v>
      </c>
      <c r="T1891" t="s">
        <v>223</v>
      </c>
      <c r="U1891" t="s">
        <v>224</v>
      </c>
      <c r="V1891" t="s">
        <v>131</v>
      </c>
      <c r="W1891" t="s">
        <v>51</v>
      </c>
      <c r="X1891" t="s">
        <v>45</v>
      </c>
      <c r="Y1891" s="1">
        <v>22014</v>
      </c>
      <c r="Z1891">
        <v>2</v>
      </c>
      <c r="AA1891" t="s">
        <v>224</v>
      </c>
      <c r="AB1891" s="40" t="s">
        <v>1797</v>
      </c>
    </row>
    <row r="1892" spans="1:28" x14ac:dyDescent="0.25">
      <c r="A1892">
        <v>99911891</v>
      </c>
      <c r="B1892" t="s">
        <v>32</v>
      </c>
      <c r="C1892" t="s">
        <v>139</v>
      </c>
      <c r="D1892" t="s">
        <v>140</v>
      </c>
      <c r="G1892" t="s">
        <v>48</v>
      </c>
      <c r="H1892">
        <v>11</v>
      </c>
      <c r="K1892" t="s">
        <v>1268</v>
      </c>
      <c r="L1892" t="s">
        <v>1269</v>
      </c>
      <c r="M1892" t="s">
        <v>1270</v>
      </c>
      <c r="N1892">
        <v>18</v>
      </c>
      <c r="O1892" s="1">
        <v>43344</v>
      </c>
      <c r="P1892" t="s">
        <v>41</v>
      </c>
      <c r="Q1892" t="s">
        <v>42</v>
      </c>
      <c r="R1892" t="str">
        <f>"1980060"</f>
        <v>1980060</v>
      </c>
      <c r="S1892" t="s">
        <v>1277</v>
      </c>
      <c r="T1892" t="s">
        <v>1268</v>
      </c>
      <c r="U1892" t="s">
        <v>1269</v>
      </c>
      <c r="V1892" t="s">
        <v>1270</v>
      </c>
      <c r="W1892" t="s">
        <v>51</v>
      </c>
      <c r="X1892" t="s">
        <v>45</v>
      </c>
      <c r="Y1892" s="1">
        <v>22007</v>
      </c>
      <c r="Z1892">
        <v>2</v>
      </c>
      <c r="AA1892" t="s">
        <v>1269</v>
      </c>
      <c r="AB1892" s="40" t="s">
        <v>1797</v>
      </c>
    </row>
    <row r="1893" spans="1:28" x14ac:dyDescent="0.25">
      <c r="A1893">
        <v>99911892</v>
      </c>
      <c r="B1893" t="s">
        <v>32</v>
      </c>
      <c r="C1893" t="s">
        <v>46</v>
      </c>
      <c r="D1893" t="s">
        <v>47</v>
      </c>
      <c r="G1893" t="s">
        <v>48</v>
      </c>
      <c r="H1893">
        <v>1</v>
      </c>
      <c r="K1893" t="s">
        <v>162</v>
      </c>
      <c r="L1893" t="s">
        <v>158</v>
      </c>
      <c r="M1893" t="s">
        <v>131</v>
      </c>
      <c r="N1893">
        <v>18</v>
      </c>
      <c r="P1893" t="s">
        <v>41</v>
      </c>
      <c r="Q1893" t="s">
        <v>42</v>
      </c>
      <c r="R1893" t="str">
        <f>"0580320"</f>
        <v>0580320</v>
      </c>
      <c r="S1893" t="s">
        <v>164</v>
      </c>
      <c r="T1893" t="s">
        <v>162</v>
      </c>
      <c r="U1893" t="s">
        <v>158</v>
      </c>
      <c r="V1893" t="s">
        <v>131</v>
      </c>
      <c r="W1893" t="s">
        <v>165</v>
      </c>
      <c r="X1893" t="s">
        <v>45</v>
      </c>
      <c r="Y1893" s="1">
        <v>21989</v>
      </c>
      <c r="Z1893">
        <v>2</v>
      </c>
      <c r="AA1893" t="s">
        <v>158</v>
      </c>
      <c r="AB1893" s="40" t="s">
        <v>1797</v>
      </c>
    </row>
    <row r="1894" spans="1:28" x14ac:dyDescent="0.25">
      <c r="A1894">
        <v>99911893</v>
      </c>
      <c r="B1894" t="s">
        <v>32</v>
      </c>
      <c r="C1894" t="s">
        <v>79</v>
      </c>
      <c r="D1894" t="s">
        <v>80</v>
      </c>
      <c r="G1894" t="s">
        <v>35</v>
      </c>
      <c r="H1894">
        <v>1</v>
      </c>
      <c r="K1894" t="s">
        <v>223</v>
      </c>
      <c r="L1894" t="s">
        <v>224</v>
      </c>
      <c r="M1894" t="s">
        <v>131</v>
      </c>
      <c r="N1894">
        <v>18</v>
      </c>
      <c r="P1894" t="s">
        <v>41</v>
      </c>
      <c r="Q1894" t="s">
        <v>42</v>
      </c>
      <c r="R1894" t="str">
        <f>"0590903"</f>
        <v>0590903</v>
      </c>
      <c r="S1894" t="s">
        <v>226</v>
      </c>
      <c r="T1894" t="s">
        <v>223</v>
      </c>
      <c r="U1894" t="s">
        <v>224</v>
      </c>
      <c r="V1894" t="s">
        <v>131</v>
      </c>
      <c r="W1894" t="s">
        <v>51</v>
      </c>
      <c r="X1894" t="s">
        <v>45</v>
      </c>
      <c r="Y1894" s="1">
        <v>21983</v>
      </c>
      <c r="Z1894">
        <v>2</v>
      </c>
      <c r="AA1894" t="s">
        <v>224</v>
      </c>
      <c r="AB1894" s="40" t="s">
        <v>1797</v>
      </c>
    </row>
    <row r="1895" spans="1:28" x14ac:dyDescent="0.25">
      <c r="A1895">
        <v>99911894</v>
      </c>
      <c r="B1895" t="s">
        <v>32</v>
      </c>
      <c r="C1895" t="s">
        <v>71</v>
      </c>
      <c r="D1895" t="s">
        <v>72</v>
      </c>
      <c r="G1895" t="s">
        <v>48</v>
      </c>
      <c r="H1895">
        <v>1</v>
      </c>
      <c r="K1895" t="s">
        <v>345</v>
      </c>
      <c r="L1895" t="s">
        <v>346</v>
      </c>
      <c r="M1895" t="s">
        <v>131</v>
      </c>
      <c r="N1895">
        <v>18</v>
      </c>
      <c r="P1895" t="s">
        <v>41</v>
      </c>
      <c r="Q1895" t="s">
        <v>49</v>
      </c>
      <c r="R1895" t="str">
        <f>"0561003"</f>
        <v>0561003</v>
      </c>
      <c r="S1895" t="s">
        <v>370</v>
      </c>
      <c r="T1895" t="s">
        <v>345</v>
      </c>
      <c r="U1895" t="s">
        <v>346</v>
      </c>
      <c r="V1895" t="s">
        <v>131</v>
      </c>
      <c r="W1895" t="s">
        <v>51</v>
      </c>
      <c r="X1895" t="s">
        <v>45</v>
      </c>
      <c r="Y1895" s="1">
        <v>21924</v>
      </c>
      <c r="Z1895">
        <v>2</v>
      </c>
      <c r="AA1895" t="s">
        <v>346</v>
      </c>
      <c r="AB1895" s="40" t="s">
        <v>1797</v>
      </c>
    </row>
    <row r="1896" spans="1:28" x14ac:dyDescent="0.25">
      <c r="A1896">
        <v>99911895</v>
      </c>
      <c r="B1896" t="s">
        <v>32</v>
      </c>
      <c r="C1896" t="s">
        <v>139</v>
      </c>
      <c r="D1896" t="s">
        <v>140</v>
      </c>
      <c r="G1896" t="s">
        <v>48</v>
      </c>
      <c r="H1896">
        <v>1</v>
      </c>
      <c r="K1896" t="s">
        <v>223</v>
      </c>
      <c r="L1896" t="s">
        <v>224</v>
      </c>
      <c r="M1896" t="s">
        <v>131</v>
      </c>
      <c r="N1896">
        <v>18</v>
      </c>
      <c r="P1896" t="s">
        <v>41</v>
      </c>
      <c r="Q1896" t="s">
        <v>42</v>
      </c>
      <c r="R1896" t="str">
        <f>"0580204"</f>
        <v>0580204</v>
      </c>
      <c r="S1896" t="s">
        <v>235</v>
      </c>
      <c r="T1896" t="s">
        <v>223</v>
      </c>
      <c r="U1896" t="s">
        <v>224</v>
      </c>
      <c r="V1896" t="s">
        <v>131</v>
      </c>
      <c r="W1896" t="s">
        <v>165</v>
      </c>
      <c r="X1896" t="s">
        <v>45</v>
      </c>
      <c r="Y1896" s="1">
        <v>21916</v>
      </c>
      <c r="Z1896">
        <v>2</v>
      </c>
      <c r="AA1896" t="s">
        <v>224</v>
      </c>
      <c r="AB1896" s="40" t="s">
        <v>1797</v>
      </c>
    </row>
    <row r="1897" spans="1:28" x14ac:dyDescent="0.25">
      <c r="A1897">
        <v>99911896</v>
      </c>
      <c r="B1897" t="s">
        <v>32</v>
      </c>
      <c r="C1897" t="s">
        <v>139</v>
      </c>
      <c r="D1897" t="s">
        <v>140</v>
      </c>
      <c r="G1897" t="s">
        <v>35</v>
      </c>
      <c r="H1897">
        <v>1</v>
      </c>
      <c r="K1897" t="s">
        <v>947</v>
      </c>
      <c r="L1897" t="s">
        <v>948</v>
      </c>
      <c r="M1897" t="s">
        <v>938</v>
      </c>
      <c r="N1897">
        <v>18</v>
      </c>
      <c r="P1897" t="s">
        <v>41</v>
      </c>
      <c r="Q1897" t="s">
        <v>49</v>
      </c>
      <c r="R1897" t="str">
        <f>"0605000"</f>
        <v>0605000</v>
      </c>
      <c r="S1897" t="s">
        <v>950</v>
      </c>
      <c r="T1897" t="s">
        <v>947</v>
      </c>
      <c r="U1897" t="s">
        <v>948</v>
      </c>
      <c r="V1897" t="s">
        <v>938</v>
      </c>
      <c r="W1897" t="s">
        <v>51</v>
      </c>
      <c r="X1897" t="s">
        <v>45</v>
      </c>
      <c r="Y1897" s="1">
        <v>21916</v>
      </c>
      <c r="Z1897">
        <v>2</v>
      </c>
      <c r="AA1897" t="s">
        <v>948</v>
      </c>
      <c r="AB1897" s="40" t="s">
        <v>1797</v>
      </c>
    </row>
    <row r="1898" spans="1:28" x14ac:dyDescent="0.25">
      <c r="A1898">
        <v>99911897</v>
      </c>
      <c r="B1898" t="s">
        <v>56</v>
      </c>
      <c r="C1898" t="s">
        <v>52</v>
      </c>
      <c r="D1898" t="s">
        <v>53</v>
      </c>
      <c r="G1898" t="s">
        <v>35</v>
      </c>
      <c r="H1898">
        <v>1</v>
      </c>
      <c r="K1898" t="s">
        <v>223</v>
      </c>
      <c r="L1898" t="s">
        <v>224</v>
      </c>
      <c r="M1898" t="s">
        <v>131</v>
      </c>
      <c r="N1898">
        <v>18</v>
      </c>
      <c r="P1898" t="s">
        <v>41</v>
      </c>
      <c r="Q1898" t="s">
        <v>42</v>
      </c>
      <c r="R1898" t="str">
        <f>"0580207"</f>
        <v>0580207</v>
      </c>
      <c r="S1898" t="s">
        <v>229</v>
      </c>
      <c r="T1898" t="s">
        <v>223</v>
      </c>
      <c r="U1898" t="s">
        <v>224</v>
      </c>
      <c r="V1898" t="s">
        <v>131</v>
      </c>
      <c r="W1898" t="s">
        <v>165</v>
      </c>
      <c r="X1898" t="s">
        <v>45</v>
      </c>
      <c r="Y1898" s="1">
        <v>21894</v>
      </c>
      <c r="Z1898">
        <v>2</v>
      </c>
      <c r="AA1898" t="s">
        <v>224</v>
      </c>
      <c r="AB1898" s="40" t="s">
        <v>1797</v>
      </c>
    </row>
    <row r="1899" spans="1:28" x14ac:dyDescent="0.25">
      <c r="A1899">
        <v>99911898</v>
      </c>
      <c r="B1899" t="s">
        <v>32</v>
      </c>
      <c r="C1899" t="s">
        <v>64</v>
      </c>
      <c r="D1899" t="s">
        <v>65</v>
      </c>
      <c r="G1899" t="s">
        <v>48</v>
      </c>
      <c r="H1899">
        <v>1</v>
      </c>
      <c r="K1899" t="s">
        <v>223</v>
      </c>
      <c r="L1899" t="s">
        <v>224</v>
      </c>
      <c r="M1899" t="s">
        <v>131</v>
      </c>
      <c r="N1899">
        <v>18</v>
      </c>
      <c r="P1899" t="s">
        <v>41</v>
      </c>
      <c r="Q1899" t="s">
        <v>49</v>
      </c>
      <c r="R1899" t="str">
        <f>"0581204"</f>
        <v>0581204</v>
      </c>
      <c r="S1899" t="s">
        <v>249</v>
      </c>
      <c r="T1899" t="s">
        <v>223</v>
      </c>
      <c r="U1899" t="s">
        <v>224</v>
      </c>
      <c r="V1899" t="s">
        <v>131</v>
      </c>
      <c r="W1899" t="s">
        <v>165</v>
      </c>
      <c r="X1899" t="s">
        <v>45</v>
      </c>
      <c r="Y1899" s="1">
        <v>21880</v>
      </c>
      <c r="Z1899">
        <v>2</v>
      </c>
      <c r="AA1899" t="s">
        <v>224</v>
      </c>
      <c r="AB1899" s="40" t="s">
        <v>1797</v>
      </c>
    </row>
    <row r="1900" spans="1:28" x14ac:dyDescent="0.25">
      <c r="A1900">
        <v>99911899</v>
      </c>
      <c r="B1900" t="s">
        <v>56</v>
      </c>
      <c r="C1900" t="s">
        <v>68</v>
      </c>
      <c r="D1900" t="s">
        <v>69</v>
      </c>
      <c r="G1900" t="s">
        <v>35</v>
      </c>
      <c r="H1900">
        <v>1</v>
      </c>
      <c r="K1900" t="s">
        <v>1268</v>
      </c>
      <c r="L1900" t="s">
        <v>1269</v>
      </c>
      <c r="M1900" t="s">
        <v>1270</v>
      </c>
      <c r="N1900">
        <v>18</v>
      </c>
      <c r="P1900" t="s">
        <v>41</v>
      </c>
      <c r="Q1900" t="s">
        <v>42</v>
      </c>
      <c r="R1900" t="str">
        <f>"1990001"</f>
        <v>1990001</v>
      </c>
      <c r="S1900" t="s">
        <v>1294</v>
      </c>
      <c r="T1900" t="s">
        <v>1268</v>
      </c>
      <c r="U1900" t="s">
        <v>1269</v>
      </c>
      <c r="V1900" t="s">
        <v>1270</v>
      </c>
      <c r="W1900" t="s">
        <v>51</v>
      </c>
      <c r="X1900" t="s">
        <v>45</v>
      </c>
      <c r="Y1900" s="1">
        <v>21851</v>
      </c>
      <c r="Z1900">
        <v>2</v>
      </c>
      <c r="AA1900" t="s">
        <v>1269</v>
      </c>
      <c r="AB1900" s="40" t="s">
        <v>1797</v>
      </c>
    </row>
    <row r="1901" spans="1:28" x14ac:dyDescent="0.25">
      <c r="A1901">
        <v>99911900</v>
      </c>
      <c r="B1901" t="s">
        <v>32</v>
      </c>
      <c r="C1901" t="s">
        <v>64</v>
      </c>
      <c r="D1901" t="s">
        <v>65</v>
      </c>
      <c r="G1901" t="s">
        <v>35</v>
      </c>
      <c r="H1901">
        <v>1</v>
      </c>
      <c r="K1901" t="s">
        <v>380</v>
      </c>
      <c r="L1901" t="s">
        <v>381</v>
      </c>
      <c r="M1901" t="s">
        <v>131</v>
      </c>
      <c r="N1901">
        <v>18</v>
      </c>
      <c r="P1901" t="s">
        <v>41</v>
      </c>
      <c r="Q1901" t="s">
        <v>49</v>
      </c>
      <c r="R1901" t="str">
        <f>"0591909"</f>
        <v>0591909</v>
      </c>
      <c r="S1901" t="s">
        <v>385</v>
      </c>
      <c r="T1901" t="s">
        <v>380</v>
      </c>
      <c r="U1901" t="s">
        <v>381</v>
      </c>
      <c r="V1901" t="s">
        <v>131</v>
      </c>
      <c r="W1901" t="s">
        <v>51</v>
      </c>
      <c r="X1901" t="s">
        <v>45</v>
      </c>
      <c r="Y1901" s="1">
        <v>21843</v>
      </c>
      <c r="Z1901">
        <v>2</v>
      </c>
      <c r="AA1901" t="s">
        <v>381</v>
      </c>
      <c r="AB1901" s="40" t="s">
        <v>1797</v>
      </c>
    </row>
    <row r="1902" spans="1:28" x14ac:dyDescent="0.25">
      <c r="A1902">
        <v>99911901</v>
      </c>
      <c r="B1902" t="s">
        <v>56</v>
      </c>
      <c r="C1902" t="s">
        <v>61</v>
      </c>
      <c r="D1902" t="s">
        <v>62</v>
      </c>
      <c r="G1902" t="s">
        <v>48</v>
      </c>
      <c r="H1902">
        <v>15</v>
      </c>
      <c r="K1902" t="s">
        <v>1268</v>
      </c>
      <c r="L1902" t="s">
        <v>1269</v>
      </c>
      <c r="M1902" t="s">
        <v>1270</v>
      </c>
      <c r="N1902">
        <v>18</v>
      </c>
      <c r="O1902" s="1">
        <v>43344</v>
      </c>
      <c r="P1902" t="s">
        <v>41</v>
      </c>
      <c r="Q1902" t="s">
        <v>49</v>
      </c>
      <c r="R1902" t="str">
        <f>"1960001"</f>
        <v>1960001</v>
      </c>
      <c r="S1902" t="s">
        <v>1272</v>
      </c>
      <c r="T1902" t="s">
        <v>1268</v>
      </c>
      <c r="U1902" t="s">
        <v>1269</v>
      </c>
      <c r="V1902" t="s">
        <v>1270</v>
      </c>
      <c r="W1902" t="s">
        <v>51</v>
      </c>
      <c r="X1902" t="s">
        <v>45</v>
      </c>
      <c r="Y1902" s="1">
        <v>21835</v>
      </c>
      <c r="Z1902">
        <v>2</v>
      </c>
      <c r="AA1902" t="s">
        <v>1269</v>
      </c>
      <c r="AB1902" s="40" t="s">
        <v>1797</v>
      </c>
    </row>
    <row r="1903" spans="1:28" x14ac:dyDescent="0.25">
      <c r="A1903">
        <v>99911902</v>
      </c>
      <c r="B1903" t="s">
        <v>56</v>
      </c>
      <c r="C1903" t="s">
        <v>52</v>
      </c>
      <c r="D1903" t="s">
        <v>53</v>
      </c>
      <c r="G1903" t="s">
        <v>48</v>
      </c>
      <c r="H1903">
        <v>1</v>
      </c>
      <c r="K1903" t="s">
        <v>157</v>
      </c>
      <c r="L1903" t="s">
        <v>158</v>
      </c>
      <c r="M1903" t="s">
        <v>131</v>
      </c>
      <c r="N1903">
        <v>18</v>
      </c>
      <c r="P1903" t="s">
        <v>41</v>
      </c>
      <c r="Q1903" t="s">
        <v>42</v>
      </c>
      <c r="R1903" t="str">
        <f>"0580290"</f>
        <v>0580290</v>
      </c>
      <c r="S1903" t="s">
        <v>171</v>
      </c>
      <c r="T1903" t="s">
        <v>157</v>
      </c>
      <c r="U1903" t="s">
        <v>158</v>
      </c>
      <c r="V1903" t="s">
        <v>131</v>
      </c>
      <c r="W1903" t="s">
        <v>51</v>
      </c>
      <c r="X1903" t="s">
        <v>45</v>
      </c>
      <c r="Y1903" s="1">
        <v>21819</v>
      </c>
      <c r="Z1903">
        <v>2</v>
      </c>
      <c r="AA1903" t="s">
        <v>158</v>
      </c>
      <c r="AB1903" s="40" t="s">
        <v>1797</v>
      </c>
    </row>
    <row r="1904" spans="1:28" x14ac:dyDescent="0.25">
      <c r="A1904">
        <v>99911903</v>
      </c>
      <c r="B1904" t="s">
        <v>32</v>
      </c>
      <c r="C1904" t="s">
        <v>64</v>
      </c>
      <c r="D1904" t="s">
        <v>65</v>
      </c>
      <c r="G1904" t="s">
        <v>48</v>
      </c>
      <c r="H1904">
        <v>1</v>
      </c>
      <c r="K1904" t="s">
        <v>345</v>
      </c>
      <c r="L1904" t="s">
        <v>346</v>
      </c>
      <c r="M1904" t="s">
        <v>131</v>
      </c>
      <c r="N1904">
        <v>18</v>
      </c>
      <c r="P1904" t="s">
        <v>41</v>
      </c>
      <c r="Q1904" t="s">
        <v>49</v>
      </c>
      <c r="R1904" t="str">
        <f>"0561003"</f>
        <v>0561003</v>
      </c>
      <c r="S1904" t="s">
        <v>370</v>
      </c>
      <c r="T1904" t="s">
        <v>345</v>
      </c>
      <c r="U1904" t="s">
        <v>346</v>
      </c>
      <c r="V1904" t="s">
        <v>131</v>
      </c>
      <c r="W1904" t="s">
        <v>51</v>
      </c>
      <c r="X1904" t="s">
        <v>45</v>
      </c>
      <c r="Y1904" s="1">
        <v>21815</v>
      </c>
      <c r="Z1904">
        <v>2</v>
      </c>
      <c r="AA1904" t="s">
        <v>346</v>
      </c>
      <c r="AB1904" s="40" t="s">
        <v>1797</v>
      </c>
    </row>
    <row r="1905" spans="1:28" x14ac:dyDescent="0.25">
      <c r="A1905">
        <v>99911904</v>
      </c>
      <c r="B1905" t="s">
        <v>32</v>
      </c>
      <c r="C1905" t="s">
        <v>85</v>
      </c>
      <c r="D1905" t="s">
        <v>86</v>
      </c>
      <c r="G1905" t="s">
        <v>35</v>
      </c>
      <c r="H1905">
        <v>1</v>
      </c>
      <c r="K1905" t="s">
        <v>223</v>
      </c>
      <c r="L1905" t="s">
        <v>224</v>
      </c>
      <c r="M1905" t="s">
        <v>131</v>
      </c>
      <c r="N1905">
        <v>18</v>
      </c>
      <c r="P1905" t="s">
        <v>41</v>
      </c>
      <c r="Q1905" t="s">
        <v>42</v>
      </c>
      <c r="R1905" t="str">
        <f>"0590903"</f>
        <v>0590903</v>
      </c>
      <c r="S1905" t="s">
        <v>226</v>
      </c>
      <c r="T1905" t="s">
        <v>223</v>
      </c>
      <c r="U1905" t="s">
        <v>224</v>
      </c>
      <c r="V1905" t="s">
        <v>131</v>
      </c>
      <c r="W1905" t="s">
        <v>51</v>
      </c>
      <c r="X1905" t="s">
        <v>45</v>
      </c>
      <c r="Y1905" s="1">
        <v>21801</v>
      </c>
      <c r="Z1905">
        <v>2</v>
      </c>
      <c r="AA1905" t="s">
        <v>224</v>
      </c>
      <c r="AB1905" s="40" t="s">
        <v>1797</v>
      </c>
    </row>
    <row r="1906" spans="1:28" x14ac:dyDescent="0.25">
      <c r="A1906">
        <v>99911905</v>
      </c>
      <c r="B1906" t="s">
        <v>32</v>
      </c>
      <c r="C1906" t="s">
        <v>139</v>
      </c>
      <c r="D1906" t="s">
        <v>140</v>
      </c>
      <c r="G1906" t="s">
        <v>48</v>
      </c>
      <c r="H1906">
        <v>1</v>
      </c>
      <c r="K1906" t="s">
        <v>129</v>
      </c>
      <c r="L1906" t="s">
        <v>130</v>
      </c>
      <c r="M1906" t="s">
        <v>131</v>
      </c>
      <c r="N1906">
        <v>18</v>
      </c>
      <c r="P1906" t="s">
        <v>41</v>
      </c>
      <c r="Q1906" t="s">
        <v>42</v>
      </c>
      <c r="R1906" t="str">
        <f>"0590905"</f>
        <v>0590905</v>
      </c>
      <c r="S1906" t="s">
        <v>133</v>
      </c>
      <c r="T1906" t="s">
        <v>129</v>
      </c>
      <c r="U1906" t="s">
        <v>130</v>
      </c>
      <c r="V1906" t="s">
        <v>131</v>
      </c>
      <c r="W1906" t="s">
        <v>51</v>
      </c>
      <c r="X1906" t="s">
        <v>45</v>
      </c>
      <c r="Y1906" s="1">
        <v>21790</v>
      </c>
      <c r="Z1906">
        <v>2</v>
      </c>
      <c r="AA1906" t="s">
        <v>130</v>
      </c>
      <c r="AB1906" s="40" t="s">
        <v>1797</v>
      </c>
    </row>
    <row r="1907" spans="1:28" x14ac:dyDescent="0.25">
      <c r="A1907">
        <v>99911906</v>
      </c>
      <c r="B1907" t="s">
        <v>56</v>
      </c>
      <c r="C1907" t="s">
        <v>46</v>
      </c>
      <c r="D1907" t="s">
        <v>47</v>
      </c>
      <c r="G1907" t="s">
        <v>48</v>
      </c>
      <c r="H1907">
        <v>1</v>
      </c>
      <c r="K1907" t="s">
        <v>129</v>
      </c>
      <c r="L1907" t="s">
        <v>130</v>
      </c>
      <c r="M1907" t="s">
        <v>131</v>
      </c>
      <c r="N1907">
        <v>18</v>
      </c>
      <c r="P1907" t="s">
        <v>41</v>
      </c>
      <c r="Q1907" t="s">
        <v>42</v>
      </c>
      <c r="R1907" t="str">
        <f>"0590905"</f>
        <v>0590905</v>
      </c>
      <c r="S1907" t="s">
        <v>133</v>
      </c>
      <c r="T1907" t="s">
        <v>129</v>
      </c>
      <c r="U1907" t="s">
        <v>130</v>
      </c>
      <c r="V1907" t="s">
        <v>131</v>
      </c>
      <c r="W1907" t="s">
        <v>51</v>
      </c>
      <c r="X1907" t="s">
        <v>45</v>
      </c>
      <c r="Y1907" s="1">
        <v>21775</v>
      </c>
      <c r="Z1907">
        <v>2</v>
      </c>
      <c r="AA1907" t="s">
        <v>130</v>
      </c>
      <c r="AB1907" s="40" t="s">
        <v>1797</v>
      </c>
    </row>
    <row r="1908" spans="1:28" x14ac:dyDescent="0.25">
      <c r="A1908">
        <v>99911907</v>
      </c>
      <c r="B1908" t="s">
        <v>32</v>
      </c>
      <c r="C1908" t="s">
        <v>46</v>
      </c>
      <c r="D1908" t="s">
        <v>47</v>
      </c>
      <c r="G1908" t="s">
        <v>48</v>
      </c>
      <c r="H1908">
        <v>1</v>
      </c>
      <c r="K1908" t="s">
        <v>223</v>
      </c>
      <c r="L1908" t="s">
        <v>224</v>
      </c>
      <c r="M1908" t="s">
        <v>131</v>
      </c>
      <c r="N1908">
        <v>18</v>
      </c>
      <c r="P1908" t="s">
        <v>41</v>
      </c>
      <c r="Q1908" t="s">
        <v>42</v>
      </c>
      <c r="R1908" t="str">
        <f>"0580202"</f>
        <v>0580202</v>
      </c>
      <c r="S1908" t="s">
        <v>240</v>
      </c>
      <c r="T1908" t="s">
        <v>223</v>
      </c>
      <c r="U1908" t="s">
        <v>224</v>
      </c>
      <c r="V1908" t="s">
        <v>131</v>
      </c>
      <c r="W1908" t="s">
        <v>165</v>
      </c>
      <c r="X1908" t="s">
        <v>45</v>
      </c>
      <c r="Y1908" s="1">
        <v>21750</v>
      </c>
      <c r="Z1908">
        <v>2</v>
      </c>
      <c r="AA1908" t="s">
        <v>224</v>
      </c>
      <c r="AB1908" s="40" t="s">
        <v>1797</v>
      </c>
    </row>
    <row r="1909" spans="1:28" x14ac:dyDescent="0.25">
      <c r="A1909">
        <v>99911908</v>
      </c>
      <c r="B1909" t="s">
        <v>32</v>
      </c>
      <c r="C1909" t="s">
        <v>46</v>
      </c>
      <c r="D1909" t="s">
        <v>47</v>
      </c>
      <c r="G1909" t="s">
        <v>48</v>
      </c>
      <c r="H1909">
        <v>1</v>
      </c>
      <c r="K1909" t="s">
        <v>157</v>
      </c>
      <c r="L1909" t="s">
        <v>158</v>
      </c>
      <c r="M1909" t="s">
        <v>131</v>
      </c>
      <c r="N1909">
        <v>18</v>
      </c>
      <c r="P1909" t="s">
        <v>41</v>
      </c>
      <c r="Q1909" t="s">
        <v>49</v>
      </c>
      <c r="R1909" t="str">
        <f>"0560010"</f>
        <v>0560010</v>
      </c>
      <c r="S1909" t="s">
        <v>179</v>
      </c>
      <c r="T1909" t="s">
        <v>157</v>
      </c>
      <c r="U1909" t="s">
        <v>158</v>
      </c>
      <c r="V1909" t="s">
        <v>131</v>
      </c>
      <c r="W1909" t="s">
        <v>51</v>
      </c>
      <c r="X1909" t="s">
        <v>45</v>
      </c>
      <c r="Y1909" s="1">
        <v>21748</v>
      </c>
      <c r="Z1909">
        <v>2</v>
      </c>
      <c r="AA1909" t="s">
        <v>158</v>
      </c>
      <c r="AB1909" s="40" t="s">
        <v>1797</v>
      </c>
    </row>
    <row r="1910" spans="1:28" x14ac:dyDescent="0.25">
      <c r="A1910">
        <v>99911909</v>
      </c>
      <c r="B1910" t="s">
        <v>32</v>
      </c>
      <c r="C1910" t="s">
        <v>64</v>
      </c>
      <c r="D1910" t="s">
        <v>65</v>
      </c>
      <c r="G1910" t="s">
        <v>35</v>
      </c>
      <c r="H1910">
        <v>1</v>
      </c>
      <c r="K1910" t="s">
        <v>223</v>
      </c>
      <c r="L1910" t="s">
        <v>224</v>
      </c>
      <c r="M1910" t="s">
        <v>131</v>
      </c>
      <c r="N1910">
        <v>18</v>
      </c>
      <c r="P1910" t="s">
        <v>41</v>
      </c>
      <c r="Q1910" t="s">
        <v>42</v>
      </c>
      <c r="R1910" t="str">
        <f>"0590903"</f>
        <v>0590903</v>
      </c>
      <c r="S1910" t="s">
        <v>226</v>
      </c>
      <c r="T1910" t="s">
        <v>223</v>
      </c>
      <c r="U1910" t="s">
        <v>224</v>
      </c>
      <c r="V1910" t="s">
        <v>131</v>
      </c>
      <c r="W1910" t="s">
        <v>51</v>
      </c>
      <c r="X1910" t="s">
        <v>45</v>
      </c>
      <c r="Y1910" s="1">
        <v>21745</v>
      </c>
      <c r="Z1910">
        <v>2</v>
      </c>
      <c r="AA1910" t="s">
        <v>224</v>
      </c>
      <c r="AB1910" s="40" t="s">
        <v>1797</v>
      </c>
    </row>
    <row r="1911" spans="1:28" x14ac:dyDescent="0.25">
      <c r="A1911">
        <v>99911910</v>
      </c>
      <c r="B1911" t="s">
        <v>32</v>
      </c>
      <c r="C1911" t="s">
        <v>64</v>
      </c>
      <c r="D1911" t="s">
        <v>65</v>
      </c>
      <c r="G1911" t="s">
        <v>35</v>
      </c>
      <c r="H1911">
        <v>1</v>
      </c>
      <c r="K1911" t="s">
        <v>223</v>
      </c>
      <c r="L1911" t="s">
        <v>224</v>
      </c>
      <c r="M1911" t="s">
        <v>131</v>
      </c>
      <c r="N1911">
        <v>18</v>
      </c>
      <c r="P1911" t="s">
        <v>41</v>
      </c>
      <c r="Q1911" t="s">
        <v>49</v>
      </c>
      <c r="R1911" t="str">
        <f>"0591901"</f>
        <v>0591901</v>
      </c>
      <c r="S1911" t="s">
        <v>230</v>
      </c>
      <c r="T1911" t="s">
        <v>223</v>
      </c>
      <c r="U1911" t="s">
        <v>224</v>
      </c>
      <c r="V1911" t="s">
        <v>131</v>
      </c>
      <c r="W1911" t="s">
        <v>51</v>
      </c>
      <c r="X1911" t="s">
        <v>45</v>
      </c>
      <c r="Y1911" s="1">
        <v>21673</v>
      </c>
      <c r="Z1911">
        <v>2</v>
      </c>
      <c r="AA1911" t="s">
        <v>224</v>
      </c>
      <c r="AB1911" s="40" t="s">
        <v>1797</v>
      </c>
    </row>
    <row r="1912" spans="1:28" x14ac:dyDescent="0.25">
      <c r="A1912">
        <v>99911911</v>
      </c>
      <c r="B1912" t="s">
        <v>56</v>
      </c>
      <c r="C1912" t="s">
        <v>52</v>
      </c>
      <c r="D1912" t="s">
        <v>53</v>
      </c>
      <c r="G1912" t="s">
        <v>48</v>
      </c>
      <c r="H1912">
        <v>1</v>
      </c>
      <c r="K1912" t="s">
        <v>162</v>
      </c>
      <c r="L1912" t="s">
        <v>158</v>
      </c>
      <c r="M1912" t="s">
        <v>131</v>
      </c>
      <c r="N1912">
        <v>18</v>
      </c>
      <c r="P1912" t="s">
        <v>41</v>
      </c>
      <c r="Q1912" t="s">
        <v>42</v>
      </c>
      <c r="R1912" t="str">
        <f>"0580320"</f>
        <v>0580320</v>
      </c>
      <c r="S1912" t="s">
        <v>164</v>
      </c>
      <c r="T1912" t="s">
        <v>162</v>
      </c>
      <c r="U1912" t="s">
        <v>158</v>
      </c>
      <c r="V1912" t="s">
        <v>131</v>
      </c>
      <c r="W1912" t="s">
        <v>165</v>
      </c>
      <c r="X1912" t="s">
        <v>45</v>
      </c>
      <c r="Y1912" s="1">
        <v>21669</v>
      </c>
      <c r="Z1912">
        <v>2</v>
      </c>
      <c r="AA1912" t="s">
        <v>158</v>
      </c>
      <c r="AB1912" s="40" t="s">
        <v>1797</v>
      </c>
    </row>
    <row r="1913" spans="1:28" x14ac:dyDescent="0.25">
      <c r="A1913">
        <v>99911912</v>
      </c>
      <c r="B1913" t="s">
        <v>56</v>
      </c>
      <c r="C1913" t="s">
        <v>46</v>
      </c>
      <c r="D1913" t="s">
        <v>47</v>
      </c>
      <c r="G1913" t="s">
        <v>48</v>
      </c>
      <c r="H1913">
        <v>1</v>
      </c>
      <c r="K1913" t="s">
        <v>129</v>
      </c>
      <c r="L1913" t="s">
        <v>130</v>
      </c>
      <c r="M1913" t="s">
        <v>131</v>
      </c>
      <c r="N1913">
        <v>18</v>
      </c>
      <c r="P1913" t="s">
        <v>41</v>
      </c>
      <c r="Q1913" t="s">
        <v>49</v>
      </c>
      <c r="R1913" t="str">
        <f>"0591905"</f>
        <v>0591905</v>
      </c>
      <c r="S1913" t="s">
        <v>135</v>
      </c>
      <c r="T1913" t="s">
        <v>129</v>
      </c>
      <c r="U1913" t="s">
        <v>130</v>
      </c>
      <c r="V1913" t="s">
        <v>131</v>
      </c>
      <c r="W1913" t="s">
        <v>51</v>
      </c>
      <c r="X1913" t="s">
        <v>45</v>
      </c>
      <c r="Y1913" s="1">
        <v>21667</v>
      </c>
      <c r="Z1913">
        <v>2</v>
      </c>
      <c r="AA1913" t="s">
        <v>130</v>
      </c>
      <c r="AB1913" s="40" t="s">
        <v>1797</v>
      </c>
    </row>
    <row r="1914" spans="1:28" x14ac:dyDescent="0.25">
      <c r="A1914">
        <v>99911913</v>
      </c>
      <c r="B1914" t="s">
        <v>32</v>
      </c>
      <c r="C1914" t="s">
        <v>46</v>
      </c>
      <c r="D1914" t="s">
        <v>47</v>
      </c>
      <c r="G1914" t="s">
        <v>48</v>
      </c>
      <c r="H1914">
        <v>18</v>
      </c>
      <c r="K1914" t="s">
        <v>1268</v>
      </c>
      <c r="L1914" t="s">
        <v>1269</v>
      </c>
      <c r="M1914" t="s">
        <v>1270</v>
      </c>
      <c r="N1914">
        <v>18</v>
      </c>
      <c r="O1914" s="1">
        <v>43344</v>
      </c>
      <c r="P1914" t="s">
        <v>41</v>
      </c>
      <c r="Q1914" t="s">
        <v>42</v>
      </c>
      <c r="R1914" t="str">
        <f>"1980055"</f>
        <v>1980055</v>
      </c>
      <c r="S1914" t="s">
        <v>1285</v>
      </c>
      <c r="T1914" t="s">
        <v>1268</v>
      </c>
      <c r="U1914" t="s">
        <v>1269</v>
      </c>
      <c r="V1914" t="s">
        <v>1270</v>
      </c>
      <c r="W1914" t="s">
        <v>165</v>
      </c>
      <c r="X1914" t="s">
        <v>45</v>
      </c>
      <c r="Y1914" s="1">
        <v>21663</v>
      </c>
      <c r="Z1914">
        <v>2</v>
      </c>
      <c r="AA1914" t="s">
        <v>1269</v>
      </c>
      <c r="AB1914" s="40" t="s">
        <v>1797</v>
      </c>
    </row>
    <row r="1915" spans="1:28" x14ac:dyDescent="0.25">
      <c r="A1915">
        <v>99911914</v>
      </c>
      <c r="B1915" t="s">
        <v>56</v>
      </c>
      <c r="C1915" t="s">
        <v>46</v>
      </c>
      <c r="D1915" t="s">
        <v>47</v>
      </c>
      <c r="G1915" t="s">
        <v>35</v>
      </c>
      <c r="H1915">
        <v>1</v>
      </c>
      <c r="K1915" t="s">
        <v>1268</v>
      </c>
      <c r="L1915" t="s">
        <v>1269</v>
      </c>
      <c r="M1915" t="s">
        <v>1270</v>
      </c>
      <c r="N1915">
        <v>18</v>
      </c>
      <c r="P1915" t="s">
        <v>41</v>
      </c>
      <c r="Q1915" t="s">
        <v>42</v>
      </c>
      <c r="R1915" t="str">
        <f>"1990914"</f>
        <v>1990914</v>
      </c>
      <c r="S1915" t="s">
        <v>1275</v>
      </c>
      <c r="T1915" t="s">
        <v>1268</v>
      </c>
      <c r="U1915" t="s">
        <v>1269</v>
      </c>
      <c r="V1915" t="s">
        <v>1270</v>
      </c>
      <c r="W1915" t="s">
        <v>51</v>
      </c>
      <c r="X1915" t="s">
        <v>45</v>
      </c>
      <c r="Y1915" s="1">
        <v>21661</v>
      </c>
      <c r="Z1915">
        <v>2</v>
      </c>
      <c r="AA1915" t="s">
        <v>1269</v>
      </c>
      <c r="AB1915" s="40" t="s">
        <v>1797</v>
      </c>
    </row>
    <row r="1916" spans="1:28" x14ac:dyDescent="0.25">
      <c r="A1916">
        <v>99911915</v>
      </c>
      <c r="B1916" t="s">
        <v>32</v>
      </c>
      <c r="C1916" t="s">
        <v>64</v>
      </c>
      <c r="D1916" t="s">
        <v>65</v>
      </c>
      <c r="G1916" t="s">
        <v>48</v>
      </c>
      <c r="H1916">
        <v>1</v>
      </c>
      <c r="K1916" t="s">
        <v>223</v>
      </c>
      <c r="L1916" t="s">
        <v>224</v>
      </c>
      <c r="M1916" t="s">
        <v>131</v>
      </c>
      <c r="N1916">
        <v>18</v>
      </c>
      <c r="P1916" t="s">
        <v>41</v>
      </c>
      <c r="Q1916" t="s">
        <v>49</v>
      </c>
      <c r="R1916" t="str">
        <f>"0509999"</f>
        <v>0509999</v>
      </c>
      <c r="S1916" t="s">
        <v>247</v>
      </c>
      <c r="T1916" t="s">
        <v>223</v>
      </c>
      <c r="U1916" t="s">
        <v>224</v>
      </c>
      <c r="V1916" t="s">
        <v>131</v>
      </c>
      <c r="W1916" t="s">
        <v>51</v>
      </c>
      <c r="X1916" t="s">
        <v>45</v>
      </c>
      <c r="Y1916" s="1">
        <v>21654</v>
      </c>
      <c r="Z1916">
        <v>2</v>
      </c>
      <c r="AA1916" t="s">
        <v>224</v>
      </c>
      <c r="AB1916" s="40" t="s">
        <v>1797</v>
      </c>
    </row>
    <row r="1917" spans="1:28" x14ac:dyDescent="0.25">
      <c r="A1917">
        <v>99911916</v>
      </c>
      <c r="B1917" t="s">
        <v>32</v>
      </c>
      <c r="C1917" t="s">
        <v>46</v>
      </c>
      <c r="D1917" t="s">
        <v>47</v>
      </c>
      <c r="G1917" t="s">
        <v>48</v>
      </c>
      <c r="H1917">
        <v>1</v>
      </c>
      <c r="K1917" t="s">
        <v>223</v>
      </c>
      <c r="L1917" t="s">
        <v>224</v>
      </c>
      <c r="M1917" t="s">
        <v>131</v>
      </c>
      <c r="N1917">
        <v>18</v>
      </c>
      <c r="P1917" t="s">
        <v>41</v>
      </c>
      <c r="Q1917" t="s">
        <v>42</v>
      </c>
      <c r="R1917" t="str">
        <f>"0580204"</f>
        <v>0580204</v>
      </c>
      <c r="S1917" t="s">
        <v>235</v>
      </c>
      <c r="T1917" t="s">
        <v>223</v>
      </c>
      <c r="U1917" t="s">
        <v>224</v>
      </c>
      <c r="V1917" t="s">
        <v>131</v>
      </c>
      <c r="W1917" t="s">
        <v>165</v>
      </c>
      <c r="X1917" t="s">
        <v>45</v>
      </c>
      <c r="Y1917" s="1">
        <v>21629</v>
      </c>
      <c r="Z1917">
        <v>2</v>
      </c>
      <c r="AA1917" t="s">
        <v>224</v>
      </c>
      <c r="AB1917" s="40" t="s">
        <v>1797</v>
      </c>
    </row>
    <row r="1918" spans="1:28" x14ac:dyDescent="0.25">
      <c r="A1918">
        <v>99911917</v>
      </c>
      <c r="B1918" t="s">
        <v>56</v>
      </c>
      <c r="C1918" t="s">
        <v>52</v>
      </c>
      <c r="D1918" t="s">
        <v>53</v>
      </c>
      <c r="G1918" t="s">
        <v>48</v>
      </c>
      <c r="H1918">
        <v>1</v>
      </c>
      <c r="K1918" t="s">
        <v>1268</v>
      </c>
      <c r="L1918" t="s">
        <v>1269</v>
      </c>
      <c r="M1918" t="s">
        <v>1270</v>
      </c>
      <c r="N1918">
        <v>18</v>
      </c>
      <c r="P1918" t="s">
        <v>41</v>
      </c>
      <c r="Q1918" t="s">
        <v>42</v>
      </c>
      <c r="R1918" t="str">
        <f>"1980050"</f>
        <v>1980050</v>
      </c>
      <c r="S1918" t="s">
        <v>1278</v>
      </c>
      <c r="T1918" t="s">
        <v>1268</v>
      </c>
      <c r="U1918" t="s">
        <v>1269</v>
      </c>
      <c r="V1918" t="s">
        <v>1270</v>
      </c>
      <c r="W1918" t="s">
        <v>51</v>
      </c>
      <c r="X1918" t="s">
        <v>45</v>
      </c>
      <c r="Y1918" s="1">
        <v>21622</v>
      </c>
      <c r="Z1918">
        <v>2</v>
      </c>
      <c r="AA1918" t="s">
        <v>1269</v>
      </c>
      <c r="AB1918" s="40" t="s">
        <v>1797</v>
      </c>
    </row>
    <row r="1919" spans="1:28" x14ac:dyDescent="0.25">
      <c r="A1919">
        <v>99911918</v>
      </c>
      <c r="B1919" t="s">
        <v>32</v>
      </c>
      <c r="C1919" t="s">
        <v>52</v>
      </c>
      <c r="D1919" t="s">
        <v>53</v>
      </c>
      <c r="G1919" t="s">
        <v>48</v>
      </c>
      <c r="H1919">
        <v>14</v>
      </c>
      <c r="K1919" t="s">
        <v>1268</v>
      </c>
      <c r="L1919" t="s">
        <v>1269</v>
      </c>
      <c r="M1919" t="s">
        <v>1270</v>
      </c>
      <c r="N1919">
        <v>18</v>
      </c>
      <c r="O1919" s="1">
        <v>43344</v>
      </c>
      <c r="P1919" t="s">
        <v>41</v>
      </c>
      <c r="Q1919" t="s">
        <v>42</v>
      </c>
      <c r="R1919" t="str">
        <f>"1980055"</f>
        <v>1980055</v>
      </c>
      <c r="S1919" t="s">
        <v>1285</v>
      </c>
      <c r="T1919" t="s">
        <v>1268</v>
      </c>
      <c r="U1919" t="s">
        <v>1269</v>
      </c>
      <c r="V1919" t="s">
        <v>1270</v>
      </c>
      <c r="W1919" t="s">
        <v>165</v>
      </c>
      <c r="X1919" t="s">
        <v>45</v>
      </c>
      <c r="Y1919" s="1">
        <v>21620</v>
      </c>
      <c r="Z1919">
        <v>2</v>
      </c>
      <c r="AA1919" t="s">
        <v>1269</v>
      </c>
      <c r="AB1919" s="40" t="s">
        <v>1797</v>
      </c>
    </row>
    <row r="1920" spans="1:28" x14ac:dyDescent="0.25">
      <c r="A1920">
        <v>99911919</v>
      </c>
      <c r="B1920" t="s">
        <v>32</v>
      </c>
      <c r="C1920" t="s">
        <v>46</v>
      </c>
      <c r="D1920" t="s">
        <v>47</v>
      </c>
      <c r="G1920" t="s">
        <v>48</v>
      </c>
      <c r="H1920">
        <v>1</v>
      </c>
      <c r="K1920" t="s">
        <v>223</v>
      </c>
      <c r="L1920" t="s">
        <v>224</v>
      </c>
      <c r="M1920" t="s">
        <v>131</v>
      </c>
      <c r="N1920">
        <v>18</v>
      </c>
      <c r="P1920" t="s">
        <v>41</v>
      </c>
      <c r="Q1920" t="s">
        <v>42</v>
      </c>
      <c r="R1920" t="str">
        <f>"0580203"</f>
        <v>0580203</v>
      </c>
      <c r="S1920" t="s">
        <v>239</v>
      </c>
      <c r="T1920" t="s">
        <v>223</v>
      </c>
      <c r="U1920" t="s">
        <v>224</v>
      </c>
      <c r="V1920" t="s">
        <v>131</v>
      </c>
      <c r="W1920" t="s">
        <v>165</v>
      </c>
      <c r="X1920" t="s">
        <v>45</v>
      </c>
      <c r="Y1920" s="1">
        <v>21610</v>
      </c>
      <c r="Z1920">
        <v>2</v>
      </c>
      <c r="AA1920" t="s">
        <v>224</v>
      </c>
      <c r="AB1920" s="40" t="s">
        <v>1797</v>
      </c>
    </row>
    <row r="1921" spans="1:28" x14ac:dyDescent="0.25">
      <c r="A1921">
        <v>99911920</v>
      </c>
      <c r="B1921" t="s">
        <v>32</v>
      </c>
      <c r="C1921" t="s">
        <v>139</v>
      </c>
      <c r="D1921" t="s">
        <v>140</v>
      </c>
      <c r="G1921" t="s">
        <v>48</v>
      </c>
      <c r="H1921">
        <v>1</v>
      </c>
      <c r="K1921" t="s">
        <v>345</v>
      </c>
      <c r="L1921" t="s">
        <v>346</v>
      </c>
      <c r="M1921" t="s">
        <v>131</v>
      </c>
      <c r="N1921">
        <v>18</v>
      </c>
      <c r="P1921" t="s">
        <v>41</v>
      </c>
      <c r="Q1921" t="s">
        <v>49</v>
      </c>
      <c r="R1921" t="str">
        <f>"0591906"</f>
        <v>0591906</v>
      </c>
      <c r="S1921" t="s">
        <v>350</v>
      </c>
      <c r="T1921" t="s">
        <v>345</v>
      </c>
      <c r="U1921" t="s">
        <v>346</v>
      </c>
      <c r="V1921" t="s">
        <v>131</v>
      </c>
      <c r="W1921" t="s">
        <v>51</v>
      </c>
      <c r="X1921" t="s">
        <v>45</v>
      </c>
      <c r="Y1921" s="1">
        <v>21606</v>
      </c>
      <c r="Z1921">
        <v>2</v>
      </c>
      <c r="AA1921" t="s">
        <v>346</v>
      </c>
      <c r="AB1921" s="40" t="s">
        <v>1797</v>
      </c>
    </row>
    <row r="1922" spans="1:28" x14ac:dyDescent="0.25">
      <c r="A1922">
        <v>99911921</v>
      </c>
      <c r="B1922" t="s">
        <v>56</v>
      </c>
      <c r="C1922" t="s">
        <v>52</v>
      </c>
      <c r="D1922" t="s">
        <v>53</v>
      </c>
      <c r="G1922" t="s">
        <v>35</v>
      </c>
      <c r="H1922">
        <v>1</v>
      </c>
      <c r="K1922" t="s">
        <v>223</v>
      </c>
      <c r="L1922" t="s">
        <v>224</v>
      </c>
      <c r="M1922" t="s">
        <v>131</v>
      </c>
      <c r="N1922">
        <v>18</v>
      </c>
      <c r="P1922" t="s">
        <v>41</v>
      </c>
      <c r="Q1922" t="s">
        <v>42</v>
      </c>
      <c r="R1922" t="str">
        <f>"0590901"</f>
        <v>0590901</v>
      </c>
      <c r="S1922" t="s">
        <v>242</v>
      </c>
      <c r="T1922" t="s">
        <v>223</v>
      </c>
      <c r="U1922" t="s">
        <v>224</v>
      </c>
      <c r="V1922" t="s">
        <v>131</v>
      </c>
      <c r="W1922" t="s">
        <v>165</v>
      </c>
      <c r="X1922" t="s">
        <v>45</v>
      </c>
      <c r="Y1922" s="1">
        <v>21594</v>
      </c>
      <c r="Z1922">
        <v>2</v>
      </c>
      <c r="AA1922" t="s">
        <v>224</v>
      </c>
      <c r="AB1922" s="40" t="s">
        <v>1797</v>
      </c>
    </row>
    <row r="1923" spans="1:28" x14ac:dyDescent="0.25">
      <c r="A1923">
        <v>99911922</v>
      </c>
      <c r="B1923" t="s">
        <v>32</v>
      </c>
      <c r="C1923" t="s">
        <v>64</v>
      </c>
      <c r="D1923" t="s">
        <v>65</v>
      </c>
      <c r="G1923" t="s">
        <v>48</v>
      </c>
      <c r="H1923">
        <v>1</v>
      </c>
      <c r="K1923" t="s">
        <v>223</v>
      </c>
      <c r="L1923" t="s">
        <v>224</v>
      </c>
      <c r="M1923" t="s">
        <v>131</v>
      </c>
      <c r="N1923">
        <v>18</v>
      </c>
      <c r="P1923" t="s">
        <v>41</v>
      </c>
      <c r="Q1923" t="s">
        <v>49</v>
      </c>
      <c r="R1923" t="str">
        <f>"0581204"</f>
        <v>0581204</v>
      </c>
      <c r="S1923" t="s">
        <v>249</v>
      </c>
      <c r="T1923" t="s">
        <v>223</v>
      </c>
      <c r="U1923" t="s">
        <v>224</v>
      </c>
      <c r="V1923" t="s">
        <v>131</v>
      </c>
      <c r="W1923" t="s">
        <v>165</v>
      </c>
      <c r="X1923" t="s">
        <v>45</v>
      </c>
      <c r="Y1923" s="1">
        <v>21533</v>
      </c>
      <c r="Z1923">
        <v>2</v>
      </c>
      <c r="AA1923" t="s">
        <v>224</v>
      </c>
      <c r="AB1923" s="40" t="s">
        <v>1797</v>
      </c>
    </row>
    <row r="1924" spans="1:28" x14ac:dyDescent="0.25">
      <c r="A1924">
        <v>99911923</v>
      </c>
      <c r="B1924" t="s">
        <v>56</v>
      </c>
      <c r="C1924" t="s">
        <v>52</v>
      </c>
      <c r="D1924" t="s">
        <v>53</v>
      </c>
      <c r="G1924" t="s">
        <v>48</v>
      </c>
      <c r="H1924">
        <v>1</v>
      </c>
      <c r="K1924" t="s">
        <v>345</v>
      </c>
      <c r="L1924" t="s">
        <v>346</v>
      </c>
      <c r="M1924" t="s">
        <v>131</v>
      </c>
      <c r="N1924">
        <v>18</v>
      </c>
      <c r="P1924" t="s">
        <v>41</v>
      </c>
      <c r="Q1924" t="s">
        <v>42</v>
      </c>
      <c r="R1924" t="str">
        <f>"0590906"</f>
        <v>0590906</v>
      </c>
      <c r="S1924" t="s">
        <v>361</v>
      </c>
      <c r="T1924" t="s">
        <v>345</v>
      </c>
      <c r="U1924" t="s">
        <v>346</v>
      </c>
      <c r="V1924" t="s">
        <v>131</v>
      </c>
      <c r="W1924" t="s">
        <v>51</v>
      </c>
      <c r="X1924" t="s">
        <v>45</v>
      </c>
      <c r="Y1924" s="1">
        <v>21462</v>
      </c>
      <c r="Z1924">
        <v>2</v>
      </c>
      <c r="AA1924" t="s">
        <v>346</v>
      </c>
      <c r="AB1924" s="40" t="s">
        <v>1797</v>
      </c>
    </row>
    <row r="1925" spans="1:28" x14ac:dyDescent="0.25">
      <c r="A1925">
        <v>99911924</v>
      </c>
      <c r="B1925" t="s">
        <v>56</v>
      </c>
      <c r="C1925" t="s">
        <v>58</v>
      </c>
      <c r="D1925" t="s">
        <v>59</v>
      </c>
      <c r="G1925" t="s">
        <v>48</v>
      </c>
      <c r="H1925">
        <v>1</v>
      </c>
      <c r="K1925" t="s">
        <v>1268</v>
      </c>
      <c r="L1925" t="s">
        <v>1269</v>
      </c>
      <c r="M1925" t="s">
        <v>1270</v>
      </c>
      <c r="N1925">
        <v>18</v>
      </c>
      <c r="P1925" t="s">
        <v>41</v>
      </c>
      <c r="Q1925" t="s">
        <v>42</v>
      </c>
      <c r="R1925" t="str">
        <f>"1990911"</f>
        <v>1990911</v>
      </c>
      <c r="S1925" t="s">
        <v>1276</v>
      </c>
      <c r="T1925" t="s">
        <v>1268</v>
      </c>
      <c r="U1925" t="s">
        <v>1269</v>
      </c>
      <c r="V1925" t="s">
        <v>1270</v>
      </c>
      <c r="W1925" t="s">
        <v>51</v>
      </c>
      <c r="X1925" t="s">
        <v>45</v>
      </c>
      <c r="Y1925" s="1">
        <v>21462</v>
      </c>
      <c r="Z1925">
        <v>2</v>
      </c>
      <c r="AA1925" t="s">
        <v>1269</v>
      </c>
      <c r="AB1925" s="40" t="s">
        <v>1797</v>
      </c>
    </row>
    <row r="1926" spans="1:28" x14ac:dyDescent="0.25">
      <c r="A1926">
        <v>99911925</v>
      </c>
      <c r="B1926" t="s">
        <v>56</v>
      </c>
      <c r="C1926" t="s">
        <v>79</v>
      </c>
      <c r="D1926" t="s">
        <v>80</v>
      </c>
      <c r="G1926" t="s">
        <v>48</v>
      </c>
      <c r="H1926">
        <v>1</v>
      </c>
      <c r="K1926" t="s">
        <v>129</v>
      </c>
      <c r="L1926" t="s">
        <v>130</v>
      </c>
      <c r="M1926" t="s">
        <v>131</v>
      </c>
      <c r="N1926">
        <v>18</v>
      </c>
      <c r="P1926" t="s">
        <v>41</v>
      </c>
      <c r="Q1926" t="s">
        <v>49</v>
      </c>
      <c r="R1926" t="str">
        <f>"0591905"</f>
        <v>0591905</v>
      </c>
      <c r="S1926" t="s">
        <v>135</v>
      </c>
      <c r="T1926" t="s">
        <v>129</v>
      </c>
      <c r="U1926" t="s">
        <v>130</v>
      </c>
      <c r="V1926" t="s">
        <v>131</v>
      </c>
      <c r="W1926" t="s">
        <v>51</v>
      </c>
      <c r="X1926" t="s">
        <v>45</v>
      </c>
      <c r="Y1926" s="1">
        <v>21434</v>
      </c>
      <c r="Z1926">
        <v>2</v>
      </c>
      <c r="AA1926" t="s">
        <v>130</v>
      </c>
      <c r="AB1926" s="40" t="s">
        <v>1797</v>
      </c>
    </row>
    <row r="1927" spans="1:28" x14ac:dyDescent="0.25">
      <c r="A1927">
        <v>99911926</v>
      </c>
      <c r="B1927" t="s">
        <v>56</v>
      </c>
      <c r="C1927" t="s">
        <v>46</v>
      </c>
      <c r="D1927" t="s">
        <v>47</v>
      </c>
      <c r="G1927" t="s">
        <v>48</v>
      </c>
      <c r="H1927">
        <v>1</v>
      </c>
      <c r="K1927" t="s">
        <v>345</v>
      </c>
      <c r="L1927" t="s">
        <v>346</v>
      </c>
      <c r="M1927" t="s">
        <v>131</v>
      </c>
      <c r="N1927">
        <v>18</v>
      </c>
      <c r="P1927" t="s">
        <v>41</v>
      </c>
      <c r="Q1927" t="s">
        <v>42</v>
      </c>
      <c r="R1927" t="str">
        <f>"0590906"</f>
        <v>0590906</v>
      </c>
      <c r="S1927" t="s">
        <v>361</v>
      </c>
      <c r="T1927" t="s">
        <v>345</v>
      </c>
      <c r="U1927" t="s">
        <v>346</v>
      </c>
      <c r="V1927" t="s">
        <v>131</v>
      </c>
      <c r="W1927" t="s">
        <v>51</v>
      </c>
      <c r="X1927" t="s">
        <v>45</v>
      </c>
      <c r="Y1927" s="1">
        <v>21422</v>
      </c>
      <c r="Z1927">
        <v>2</v>
      </c>
      <c r="AA1927" t="s">
        <v>346</v>
      </c>
      <c r="AB1927" s="40" t="s">
        <v>1797</v>
      </c>
    </row>
    <row r="1928" spans="1:28" x14ac:dyDescent="0.25">
      <c r="A1928">
        <v>99911927</v>
      </c>
      <c r="B1928" t="s">
        <v>56</v>
      </c>
      <c r="C1928" t="s">
        <v>68</v>
      </c>
      <c r="D1928" t="s">
        <v>69</v>
      </c>
      <c r="G1928" t="s">
        <v>48</v>
      </c>
      <c r="H1928">
        <v>1</v>
      </c>
      <c r="K1928" t="s">
        <v>380</v>
      </c>
      <c r="L1928" t="s">
        <v>381</v>
      </c>
      <c r="M1928" t="s">
        <v>131</v>
      </c>
      <c r="N1928">
        <v>18</v>
      </c>
      <c r="P1928" t="s">
        <v>41</v>
      </c>
      <c r="Q1928" t="s">
        <v>42</v>
      </c>
      <c r="R1928" t="str">
        <f>"0590909"</f>
        <v>0590909</v>
      </c>
      <c r="S1928" t="s">
        <v>388</v>
      </c>
      <c r="T1928" t="s">
        <v>380</v>
      </c>
      <c r="U1928" t="s">
        <v>381</v>
      </c>
      <c r="V1928" t="s">
        <v>131</v>
      </c>
      <c r="W1928" t="s">
        <v>51</v>
      </c>
      <c r="X1928" t="s">
        <v>45</v>
      </c>
      <c r="Y1928" s="1">
        <v>21415</v>
      </c>
      <c r="Z1928">
        <v>2</v>
      </c>
      <c r="AA1928" t="s">
        <v>381</v>
      </c>
      <c r="AB1928" s="40" t="s">
        <v>1797</v>
      </c>
    </row>
    <row r="1929" spans="1:28" x14ac:dyDescent="0.25">
      <c r="A1929">
        <v>99911928</v>
      </c>
      <c r="B1929" t="s">
        <v>56</v>
      </c>
      <c r="C1929" t="s">
        <v>52</v>
      </c>
      <c r="D1929" t="s">
        <v>53</v>
      </c>
      <c r="G1929" t="s">
        <v>48</v>
      </c>
      <c r="H1929">
        <v>1</v>
      </c>
      <c r="K1929" t="s">
        <v>1268</v>
      </c>
      <c r="L1929" t="s">
        <v>1269</v>
      </c>
      <c r="M1929" t="s">
        <v>1270</v>
      </c>
      <c r="N1929">
        <v>18</v>
      </c>
      <c r="P1929" t="s">
        <v>41</v>
      </c>
      <c r="Q1929" t="s">
        <v>42</v>
      </c>
      <c r="R1929" t="str">
        <f>"1990911"</f>
        <v>1990911</v>
      </c>
      <c r="S1929" t="s">
        <v>1276</v>
      </c>
      <c r="T1929" t="s">
        <v>1268</v>
      </c>
      <c r="U1929" t="s">
        <v>1269</v>
      </c>
      <c r="V1929" t="s">
        <v>1270</v>
      </c>
      <c r="W1929" t="s">
        <v>51</v>
      </c>
      <c r="X1929" t="s">
        <v>45</v>
      </c>
      <c r="Y1929" s="1">
        <v>21362</v>
      </c>
      <c r="Z1929">
        <v>2</v>
      </c>
      <c r="AA1929" t="s">
        <v>1269</v>
      </c>
      <c r="AB1929" s="40" t="s">
        <v>1797</v>
      </c>
    </row>
    <row r="1930" spans="1:28" x14ac:dyDescent="0.25">
      <c r="A1930">
        <v>99911929</v>
      </c>
      <c r="B1930" t="s">
        <v>56</v>
      </c>
      <c r="C1930" t="s">
        <v>52</v>
      </c>
      <c r="D1930" t="s">
        <v>53</v>
      </c>
      <c r="G1930" t="s">
        <v>48</v>
      </c>
      <c r="H1930">
        <v>1</v>
      </c>
      <c r="K1930" t="s">
        <v>129</v>
      </c>
      <c r="L1930" t="s">
        <v>130</v>
      </c>
      <c r="M1930" t="s">
        <v>131</v>
      </c>
      <c r="N1930">
        <v>18</v>
      </c>
      <c r="P1930" t="s">
        <v>41</v>
      </c>
      <c r="Q1930" t="s">
        <v>42</v>
      </c>
      <c r="R1930" t="str">
        <f>"0590905"</f>
        <v>0590905</v>
      </c>
      <c r="S1930" t="s">
        <v>133</v>
      </c>
      <c r="T1930" t="s">
        <v>129</v>
      </c>
      <c r="U1930" t="s">
        <v>130</v>
      </c>
      <c r="V1930" t="s">
        <v>131</v>
      </c>
      <c r="W1930" t="s">
        <v>51</v>
      </c>
      <c r="X1930" t="s">
        <v>45</v>
      </c>
      <c r="Y1930" s="1">
        <v>21358</v>
      </c>
      <c r="Z1930">
        <v>2</v>
      </c>
      <c r="AA1930" t="s">
        <v>130</v>
      </c>
      <c r="AB1930" s="40" t="s">
        <v>1797</v>
      </c>
    </row>
    <row r="1931" spans="1:28" x14ac:dyDescent="0.25">
      <c r="A1931">
        <v>99911930</v>
      </c>
      <c r="B1931" t="s">
        <v>32</v>
      </c>
      <c r="C1931" t="s">
        <v>52</v>
      </c>
      <c r="D1931" t="s">
        <v>53</v>
      </c>
      <c r="G1931" t="s">
        <v>48</v>
      </c>
      <c r="H1931">
        <v>14</v>
      </c>
      <c r="K1931" t="s">
        <v>1268</v>
      </c>
      <c r="L1931" t="s">
        <v>1269</v>
      </c>
      <c r="M1931" t="s">
        <v>1270</v>
      </c>
      <c r="N1931">
        <v>18</v>
      </c>
      <c r="P1931" t="s">
        <v>41</v>
      </c>
      <c r="Q1931" t="s">
        <v>49</v>
      </c>
      <c r="R1931" t="str">
        <f>"1960001"</f>
        <v>1960001</v>
      </c>
      <c r="S1931" t="s">
        <v>1272</v>
      </c>
      <c r="T1931" t="s">
        <v>1268</v>
      </c>
      <c r="U1931" t="s">
        <v>1269</v>
      </c>
      <c r="V1931" t="s">
        <v>1270</v>
      </c>
      <c r="W1931" t="s">
        <v>51</v>
      </c>
      <c r="X1931" t="s">
        <v>45</v>
      </c>
      <c r="Y1931" s="1">
        <v>21338</v>
      </c>
      <c r="Z1931">
        <v>2</v>
      </c>
      <c r="AA1931" t="s">
        <v>1269</v>
      </c>
      <c r="AB1931" s="40" t="s">
        <v>1797</v>
      </c>
    </row>
    <row r="1932" spans="1:28" x14ac:dyDescent="0.25">
      <c r="A1932">
        <v>99911931</v>
      </c>
      <c r="B1932" t="s">
        <v>56</v>
      </c>
      <c r="C1932" t="s">
        <v>85</v>
      </c>
      <c r="D1932" t="s">
        <v>86</v>
      </c>
      <c r="G1932" t="s">
        <v>48</v>
      </c>
      <c r="H1932">
        <v>1</v>
      </c>
      <c r="K1932" t="s">
        <v>223</v>
      </c>
      <c r="L1932" t="s">
        <v>224</v>
      </c>
      <c r="M1932" t="s">
        <v>131</v>
      </c>
      <c r="N1932">
        <v>18</v>
      </c>
      <c r="P1932" t="s">
        <v>41</v>
      </c>
      <c r="Q1932" t="s">
        <v>42</v>
      </c>
      <c r="R1932" t="str">
        <f>"0580200"</f>
        <v>0580200</v>
      </c>
      <c r="S1932" t="s">
        <v>245</v>
      </c>
      <c r="T1932" t="s">
        <v>223</v>
      </c>
      <c r="U1932" t="s">
        <v>224</v>
      </c>
      <c r="V1932" t="s">
        <v>131</v>
      </c>
      <c r="W1932" t="s">
        <v>51</v>
      </c>
      <c r="X1932" t="s">
        <v>45</v>
      </c>
      <c r="Y1932" s="1">
        <v>21325</v>
      </c>
      <c r="Z1932">
        <v>2</v>
      </c>
      <c r="AA1932" t="s">
        <v>224</v>
      </c>
      <c r="AB1932" s="40" t="s">
        <v>1797</v>
      </c>
    </row>
    <row r="1933" spans="1:28" x14ac:dyDescent="0.25">
      <c r="A1933">
        <v>99911932</v>
      </c>
      <c r="B1933" t="s">
        <v>56</v>
      </c>
      <c r="C1933" t="s">
        <v>33</v>
      </c>
      <c r="D1933" t="s">
        <v>34</v>
      </c>
      <c r="G1933" t="s">
        <v>48</v>
      </c>
      <c r="H1933">
        <v>1</v>
      </c>
      <c r="K1933" t="s">
        <v>157</v>
      </c>
      <c r="L1933" t="s">
        <v>158</v>
      </c>
      <c r="M1933" t="s">
        <v>131</v>
      </c>
      <c r="N1933">
        <v>18</v>
      </c>
      <c r="P1933" t="s">
        <v>41</v>
      </c>
      <c r="Q1933" t="s">
        <v>42</v>
      </c>
      <c r="R1933" t="str">
        <f>"0580290"</f>
        <v>0580290</v>
      </c>
      <c r="S1933" t="s">
        <v>171</v>
      </c>
      <c r="T1933" t="s">
        <v>157</v>
      </c>
      <c r="U1933" t="s">
        <v>158</v>
      </c>
      <c r="V1933" t="s">
        <v>131</v>
      </c>
      <c r="W1933" t="s">
        <v>51</v>
      </c>
      <c r="X1933" t="s">
        <v>45</v>
      </c>
      <c r="Y1933" s="1">
        <v>21318</v>
      </c>
      <c r="Z1933">
        <v>2</v>
      </c>
      <c r="AA1933" t="s">
        <v>158</v>
      </c>
      <c r="AB1933" s="40" t="s">
        <v>1797</v>
      </c>
    </row>
    <row r="1934" spans="1:28" x14ac:dyDescent="0.25">
      <c r="A1934">
        <v>99911933</v>
      </c>
      <c r="B1934" t="s">
        <v>32</v>
      </c>
      <c r="C1934" t="s">
        <v>64</v>
      </c>
      <c r="D1934" t="s">
        <v>65</v>
      </c>
      <c r="G1934" t="s">
        <v>48</v>
      </c>
      <c r="H1934">
        <v>1</v>
      </c>
      <c r="K1934" t="s">
        <v>223</v>
      </c>
      <c r="L1934" t="s">
        <v>224</v>
      </c>
      <c r="M1934" t="s">
        <v>131</v>
      </c>
      <c r="N1934">
        <v>18</v>
      </c>
      <c r="P1934" t="s">
        <v>41</v>
      </c>
      <c r="Q1934" t="s">
        <v>49</v>
      </c>
      <c r="R1934" t="str">
        <f>"0509999"</f>
        <v>0509999</v>
      </c>
      <c r="S1934" t="s">
        <v>247</v>
      </c>
      <c r="T1934" t="s">
        <v>223</v>
      </c>
      <c r="U1934" t="s">
        <v>224</v>
      </c>
      <c r="V1934" t="s">
        <v>131</v>
      </c>
      <c r="W1934" t="s">
        <v>51</v>
      </c>
      <c r="X1934" t="s">
        <v>45</v>
      </c>
      <c r="Y1934" s="1">
        <v>21299</v>
      </c>
      <c r="Z1934">
        <v>2</v>
      </c>
      <c r="AA1934" t="s">
        <v>224</v>
      </c>
      <c r="AB1934" s="40" t="s">
        <v>1797</v>
      </c>
    </row>
    <row r="1935" spans="1:28" x14ac:dyDescent="0.25">
      <c r="A1935">
        <v>99911934</v>
      </c>
      <c r="B1935" t="s">
        <v>32</v>
      </c>
      <c r="C1935" t="s">
        <v>79</v>
      </c>
      <c r="D1935" t="s">
        <v>80</v>
      </c>
      <c r="G1935" t="s">
        <v>48</v>
      </c>
      <c r="H1935">
        <v>1</v>
      </c>
      <c r="K1935" t="s">
        <v>1187</v>
      </c>
      <c r="L1935" t="s">
        <v>1188</v>
      </c>
      <c r="M1935" t="s">
        <v>1130</v>
      </c>
      <c r="N1935">
        <v>18</v>
      </c>
      <c r="P1935" t="s">
        <v>41</v>
      </c>
      <c r="Q1935" t="s">
        <v>49</v>
      </c>
      <c r="R1935" t="str">
        <f>"4581015"</f>
        <v>4581015</v>
      </c>
      <c r="S1935" t="s">
        <v>1190</v>
      </c>
      <c r="T1935" t="s">
        <v>1187</v>
      </c>
      <c r="U1935" t="s">
        <v>1188</v>
      </c>
      <c r="V1935" t="s">
        <v>1130</v>
      </c>
      <c r="W1935" t="s">
        <v>51</v>
      </c>
      <c r="X1935" t="s">
        <v>45</v>
      </c>
      <c r="Y1935" s="1">
        <v>21244</v>
      </c>
      <c r="Z1935">
        <v>2</v>
      </c>
      <c r="AA1935" t="s">
        <v>1188</v>
      </c>
      <c r="AB1935" s="40" t="s">
        <v>1797</v>
      </c>
    </row>
    <row r="1936" spans="1:28" x14ac:dyDescent="0.25">
      <c r="A1936">
        <v>99911935</v>
      </c>
      <c r="B1936" t="s">
        <v>56</v>
      </c>
      <c r="C1936" t="s">
        <v>141</v>
      </c>
      <c r="D1936" t="s">
        <v>142</v>
      </c>
      <c r="G1936" t="s">
        <v>48</v>
      </c>
      <c r="H1936">
        <v>17</v>
      </c>
      <c r="K1936" t="s">
        <v>1268</v>
      </c>
      <c r="L1936" t="s">
        <v>1269</v>
      </c>
      <c r="M1936" t="s">
        <v>1270</v>
      </c>
      <c r="N1936">
        <v>18</v>
      </c>
      <c r="P1936" t="s">
        <v>41</v>
      </c>
      <c r="Q1936" t="s">
        <v>49</v>
      </c>
      <c r="R1936" t="str">
        <f>"1981912"</f>
        <v>1981912</v>
      </c>
      <c r="S1936" t="s">
        <v>1279</v>
      </c>
      <c r="T1936" t="s">
        <v>1268</v>
      </c>
      <c r="U1936" t="s">
        <v>1269</v>
      </c>
      <c r="V1936" t="s">
        <v>1270</v>
      </c>
      <c r="W1936" t="s">
        <v>51</v>
      </c>
      <c r="X1936" t="s">
        <v>45</v>
      </c>
      <c r="Y1936" s="1">
        <v>21216</v>
      </c>
      <c r="Z1936">
        <v>2</v>
      </c>
      <c r="AA1936" t="s">
        <v>1269</v>
      </c>
      <c r="AB1936" s="40" t="s">
        <v>1797</v>
      </c>
    </row>
    <row r="1937" spans="1:28" x14ac:dyDescent="0.25">
      <c r="A1937">
        <v>99911936</v>
      </c>
      <c r="B1937" t="s">
        <v>56</v>
      </c>
      <c r="C1937" t="s">
        <v>85</v>
      </c>
      <c r="D1937" t="s">
        <v>86</v>
      </c>
      <c r="G1937" t="s">
        <v>48</v>
      </c>
      <c r="H1937">
        <v>1</v>
      </c>
      <c r="K1937" t="s">
        <v>157</v>
      </c>
      <c r="L1937" t="s">
        <v>158</v>
      </c>
      <c r="M1937" t="s">
        <v>131</v>
      </c>
      <c r="N1937">
        <v>18</v>
      </c>
      <c r="P1937" t="s">
        <v>41</v>
      </c>
      <c r="Q1937" t="s">
        <v>42</v>
      </c>
      <c r="R1937" t="str">
        <f>"0580290"</f>
        <v>0580290</v>
      </c>
      <c r="S1937" t="s">
        <v>171</v>
      </c>
      <c r="T1937" t="s">
        <v>157</v>
      </c>
      <c r="U1937" t="s">
        <v>158</v>
      </c>
      <c r="V1937" t="s">
        <v>131</v>
      </c>
      <c r="W1937" t="s">
        <v>51</v>
      </c>
      <c r="X1937" t="s">
        <v>45</v>
      </c>
      <c r="Y1937" s="1">
        <v>21202</v>
      </c>
      <c r="Z1937">
        <v>2</v>
      </c>
      <c r="AA1937" t="s">
        <v>158</v>
      </c>
      <c r="AB1937" s="40" t="s">
        <v>1797</v>
      </c>
    </row>
    <row r="1938" spans="1:28" x14ac:dyDescent="0.25">
      <c r="A1938">
        <v>99911937</v>
      </c>
      <c r="B1938" t="s">
        <v>32</v>
      </c>
      <c r="C1938" t="s">
        <v>64</v>
      </c>
      <c r="D1938" t="s">
        <v>65</v>
      </c>
      <c r="G1938" t="s">
        <v>35</v>
      </c>
      <c r="H1938">
        <v>1</v>
      </c>
      <c r="K1938" t="s">
        <v>223</v>
      </c>
      <c r="L1938" t="s">
        <v>224</v>
      </c>
      <c r="M1938" t="s">
        <v>131</v>
      </c>
      <c r="N1938">
        <v>18</v>
      </c>
      <c r="P1938" t="s">
        <v>41</v>
      </c>
      <c r="Q1938" t="s">
        <v>42</v>
      </c>
      <c r="R1938" t="str">
        <f>"0590901"</f>
        <v>0590901</v>
      </c>
      <c r="S1938" t="s">
        <v>242</v>
      </c>
      <c r="T1938" t="s">
        <v>223</v>
      </c>
      <c r="U1938" t="s">
        <v>224</v>
      </c>
      <c r="V1938" t="s">
        <v>131</v>
      </c>
      <c r="W1938" t="s">
        <v>165</v>
      </c>
      <c r="X1938" t="s">
        <v>45</v>
      </c>
      <c r="Y1938" s="1">
        <v>21183</v>
      </c>
      <c r="Z1938">
        <v>2</v>
      </c>
      <c r="AA1938" t="s">
        <v>224</v>
      </c>
      <c r="AB1938" s="40" t="s">
        <v>1797</v>
      </c>
    </row>
    <row r="1939" spans="1:28" x14ac:dyDescent="0.25">
      <c r="A1939">
        <v>99911938</v>
      </c>
      <c r="B1939" t="s">
        <v>56</v>
      </c>
      <c r="C1939" t="s">
        <v>52</v>
      </c>
      <c r="D1939" t="s">
        <v>53</v>
      </c>
      <c r="E1939" t="s">
        <v>61</v>
      </c>
      <c r="F1939" t="s">
        <v>62</v>
      </c>
      <c r="G1939" t="s">
        <v>48</v>
      </c>
      <c r="H1939">
        <v>1</v>
      </c>
      <c r="K1939" t="s">
        <v>223</v>
      </c>
      <c r="L1939" t="s">
        <v>224</v>
      </c>
      <c r="M1939" t="s">
        <v>131</v>
      </c>
      <c r="N1939">
        <v>18</v>
      </c>
      <c r="P1939" t="s">
        <v>41</v>
      </c>
      <c r="Q1939" t="s">
        <v>49</v>
      </c>
      <c r="R1939" t="str">
        <f>"0581200"</f>
        <v>0581200</v>
      </c>
      <c r="S1939" t="s">
        <v>238</v>
      </c>
      <c r="T1939" t="s">
        <v>223</v>
      </c>
      <c r="U1939" t="s">
        <v>224</v>
      </c>
      <c r="V1939" t="s">
        <v>131</v>
      </c>
      <c r="W1939" t="s">
        <v>51</v>
      </c>
      <c r="X1939" t="s">
        <v>45</v>
      </c>
      <c r="Y1939" s="1">
        <v>21175</v>
      </c>
      <c r="Z1939">
        <v>2</v>
      </c>
      <c r="AA1939" t="s">
        <v>224</v>
      </c>
      <c r="AB1939" s="40" t="s">
        <v>1797</v>
      </c>
    </row>
    <row r="1940" spans="1:28" x14ac:dyDescent="0.25">
      <c r="A1940">
        <v>99911939</v>
      </c>
      <c r="B1940" t="s">
        <v>32</v>
      </c>
      <c r="C1940" t="s">
        <v>64</v>
      </c>
      <c r="D1940" t="s">
        <v>65</v>
      </c>
      <c r="G1940" t="s">
        <v>48</v>
      </c>
      <c r="H1940">
        <v>1</v>
      </c>
      <c r="K1940" t="s">
        <v>223</v>
      </c>
      <c r="L1940" t="s">
        <v>224</v>
      </c>
      <c r="M1940" t="s">
        <v>131</v>
      </c>
      <c r="N1940">
        <v>18</v>
      </c>
      <c r="P1940" t="s">
        <v>41</v>
      </c>
      <c r="Q1940" t="s">
        <v>49</v>
      </c>
      <c r="R1940" t="str">
        <f>"0581200"</f>
        <v>0581200</v>
      </c>
      <c r="S1940" t="s">
        <v>238</v>
      </c>
      <c r="T1940" t="s">
        <v>223</v>
      </c>
      <c r="U1940" t="s">
        <v>224</v>
      </c>
      <c r="V1940" t="s">
        <v>131</v>
      </c>
      <c r="W1940" t="s">
        <v>51</v>
      </c>
      <c r="X1940" t="s">
        <v>45</v>
      </c>
      <c r="Y1940" s="1">
        <v>21167</v>
      </c>
      <c r="Z1940">
        <v>2</v>
      </c>
      <c r="AA1940" t="s">
        <v>224</v>
      </c>
      <c r="AB1940" s="40" t="s">
        <v>1797</v>
      </c>
    </row>
    <row r="1941" spans="1:28" x14ac:dyDescent="0.25">
      <c r="A1941">
        <v>99911940</v>
      </c>
      <c r="B1941" t="s">
        <v>56</v>
      </c>
      <c r="C1941" t="s">
        <v>52</v>
      </c>
      <c r="D1941" t="s">
        <v>53</v>
      </c>
      <c r="G1941" t="s">
        <v>48</v>
      </c>
      <c r="H1941">
        <v>16</v>
      </c>
      <c r="K1941" t="s">
        <v>1268</v>
      </c>
      <c r="L1941" t="s">
        <v>1269</v>
      </c>
      <c r="M1941" t="s">
        <v>1270</v>
      </c>
      <c r="N1941">
        <v>18</v>
      </c>
      <c r="O1941" s="1">
        <v>43344</v>
      </c>
      <c r="P1941" t="s">
        <v>41</v>
      </c>
      <c r="Q1941" t="s">
        <v>42</v>
      </c>
      <c r="R1941" t="str">
        <f>"1980055"</f>
        <v>1980055</v>
      </c>
      <c r="S1941" t="s">
        <v>1285</v>
      </c>
      <c r="T1941" t="s">
        <v>1268</v>
      </c>
      <c r="U1941" t="s">
        <v>1269</v>
      </c>
      <c r="V1941" t="s">
        <v>1270</v>
      </c>
      <c r="W1941" t="s">
        <v>165</v>
      </c>
      <c r="X1941" t="s">
        <v>45</v>
      </c>
      <c r="Y1941" s="1">
        <v>21135</v>
      </c>
      <c r="Z1941">
        <v>2</v>
      </c>
      <c r="AA1941" t="s">
        <v>1269</v>
      </c>
      <c r="AB1941" s="40" t="s">
        <v>1797</v>
      </c>
    </row>
    <row r="1942" spans="1:28" x14ac:dyDescent="0.25">
      <c r="A1942">
        <v>99911941</v>
      </c>
      <c r="B1942" t="s">
        <v>56</v>
      </c>
      <c r="C1942" t="s">
        <v>52</v>
      </c>
      <c r="D1942" t="s">
        <v>53</v>
      </c>
      <c r="G1942" t="s">
        <v>48</v>
      </c>
      <c r="H1942">
        <v>1</v>
      </c>
      <c r="K1942" t="s">
        <v>157</v>
      </c>
      <c r="L1942" t="s">
        <v>158</v>
      </c>
      <c r="M1942" t="s">
        <v>131</v>
      </c>
      <c r="N1942">
        <v>18</v>
      </c>
      <c r="P1942" t="s">
        <v>41</v>
      </c>
      <c r="Q1942" t="s">
        <v>42</v>
      </c>
      <c r="R1942" t="str">
        <f>"0580290"</f>
        <v>0580290</v>
      </c>
      <c r="S1942" t="s">
        <v>171</v>
      </c>
      <c r="T1942" t="s">
        <v>157</v>
      </c>
      <c r="U1942" t="s">
        <v>158</v>
      </c>
      <c r="V1942" t="s">
        <v>131</v>
      </c>
      <c r="W1942" t="s">
        <v>51</v>
      </c>
      <c r="X1942" t="s">
        <v>45</v>
      </c>
      <c r="Y1942" s="1">
        <v>21108</v>
      </c>
      <c r="Z1942">
        <v>2</v>
      </c>
      <c r="AA1942" t="s">
        <v>158</v>
      </c>
      <c r="AB1942" s="40" t="s">
        <v>1797</v>
      </c>
    </row>
    <row r="1943" spans="1:28" x14ac:dyDescent="0.25">
      <c r="A1943">
        <v>99911942</v>
      </c>
      <c r="B1943" t="s">
        <v>32</v>
      </c>
      <c r="C1943" t="s">
        <v>46</v>
      </c>
      <c r="D1943" t="s">
        <v>47</v>
      </c>
      <c r="G1943" t="s">
        <v>48</v>
      </c>
      <c r="H1943">
        <v>1</v>
      </c>
      <c r="K1943" t="s">
        <v>223</v>
      </c>
      <c r="L1943" t="s">
        <v>224</v>
      </c>
      <c r="M1943" t="s">
        <v>131</v>
      </c>
      <c r="N1943">
        <v>18</v>
      </c>
      <c r="P1943" t="s">
        <v>41</v>
      </c>
      <c r="Q1943" t="s">
        <v>42</v>
      </c>
      <c r="R1943" t="str">
        <f>"0580204"</f>
        <v>0580204</v>
      </c>
      <c r="S1943" t="s">
        <v>235</v>
      </c>
      <c r="T1943" t="s">
        <v>223</v>
      </c>
      <c r="U1943" t="s">
        <v>224</v>
      </c>
      <c r="V1943" t="s">
        <v>131</v>
      </c>
      <c r="W1943" t="s">
        <v>165</v>
      </c>
      <c r="X1943" t="s">
        <v>45</v>
      </c>
      <c r="Y1943" s="1">
        <v>21098</v>
      </c>
      <c r="Z1943">
        <v>2</v>
      </c>
      <c r="AA1943" t="s">
        <v>224</v>
      </c>
      <c r="AB1943" s="40" t="s">
        <v>1797</v>
      </c>
    </row>
    <row r="1944" spans="1:28" x14ac:dyDescent="0.25">
      <c r="A1944">
        <v>99911943</v>
      </c>
      <c r="B1944" t="s">
        <v>56</v>
      </c>
      <c r="C1944" t="s">
        <v>52</v>
      </c>
      <c r="D1944" t="s">
        <v>53</v>
      </c>
      <c r="G1944" t="s">
        <v>35</v>
      </c>
      <c r="H1944">
        <v>1</v>
      </c>
      <c r="K1944" t="s">
        <v>223</v>
      </c>
      <c r="L1944" t="s">
        <v>224</v>
      </c>
      <c r="M1944" t="s">
        <v>131</v>
      </c>
      <c r="N1944">
        <v>18</v>
      </c>
      <c r="P1944" t="s">
        <v>41</v>
      </c>
      <c r="Q1944" t="s">
        <v>42</v>
      </c>
      <c r="R1944" t="str">
        <f>"0590901"</f>
        <v>0590901</v>
      </c>
      <c r="S1944" t="s">
        <v>242</v>
      </c>
      <c r="T1944" t="s">
        <v>223</v>
      </c>
      <c r="U1944" t="s">
        <v>224</v>
      </c>
      <c r="V1944" t="s">
        <v>131</v>
      </c>
      <c r="W1944" t="s">
        <v>165</v>
      </c>
      <c r="X1944" t="s">
        <v>45</v>
      </c>
      <c r="Y1944" s="1">
        <v>21086</v>
      </c>
      <c r="Z1944">
        <v>2</v>
      </c>
      <c r="AA1944" t="s">
        <v>224</v>
      </c>
      <c r="AB1944" s="40" t="s">
        <v>1797</v>
      </c>
    </row>
    <row r="1945" spans="1:28" x14ac:dyDescent="0.25">
      <c r="A1945">
        <v>99911944</v>
      </c>
      <c r="B1945" t="s">
        <v>56</v>
      </c>
      <c r="C1945" t="s">
        <v>1290</v>
      </c>
      <c r="D1945" t="s">
        <v>1291</v>
      </c>
      <c r="G1945" t="s">
        <v>35</v>
      </c>
      <c r="H1945">
        <v>1</v>
      </c>
      <c r="K1945" t="s">
        <v>1268</v>
      </c>
      <c r="L1945" t="s">
        <v>1269</v>
      </c>
      <c r="M1945" t="s">
        <v>1270</v>
      </c>
      <c r="N1945">
        <v>18</v>
      </c>
      <c r="P1945" t="s">
        <v>41</v>
      </c>
      <c r="Q1945" t="s">
        <v>922</v>
      </c>
      <c r="R1945" t="str">
        <f>"1950001"</f>
        <v>1950001</v>
      </c>
      <c r="S1945" t="s">
        <v>1284</v>
      </c>
      <c r="T1945" t="s">
        <v>1268</v>
      </c>
      <c r="U1945" t="s">
        <v>1269</v>
      </c>
      <c r="V1945" t="s">
        <v>1270</v>
      </c>
      <c r="W1945" t="s">
        <v>51</v>
      </c>
      <c r="X1945" t="s">
        <v>45</v>
      </c>
      <c r="Y1945" s="1">
        <v>21083</v>
      </c>
      <c r="Z1945">
        <v>2</v>
      </c>
      <c r="AA1945" t="s">
        <v>1269</v>
      </c>
      <c r="AB1945" s="40" t="s">
        <v>1797</v>
      </c>
    </row>
    <row r="1946" spans="1:28" x14ac:dyDescent="0.25">
      <c r="A1946">
        <v>99911945</v>
      </c>
      <c r="B1946" t="s">
        <v>56</v>
      </c>
      <c r="C1946" t="s">
        <v>33</v>
      </c>
      <c r="D1946" t="s">
        <v>34</v>
      </c>
      <c r="G1946" t="s">
        <v>48</v>
      </c>
      <c r="H1946">
        <v>1</v>
      </c>
      <c r="K1946" t="s">
        <v>223</v>
      </c>
      <c r="L1946" t="s">
        <v>224</v>
      </c>
      <c r="M1946" t="s">
        <v>131</v>
      </c>
      <c r="N1946">
        <v>18</v>
      </c>
      <c r="P1946" t="s">
        <v>41</v>
      </c>
      <c r="Q1946" t="s">
        <v>42</v>
      </c>
      <c r="R1946" t="str">
        <f>"0590902"</f>
        <v>0590902</v>
      </c>
      <c r="S1946" t="s">
        <v>241</v>
      </c>
      <c r="T1946" t="s">
        <v>223</v>
      </c>
      <c r="U1946" t="s">
        <v>224</v>
      </c>
      <c r="V1946" t="s">
        <v>131</v>
      </c>
      <c r="W1946" t="s">
        <v>51</v>
      </c>
      <c r="X1946" t="s">
        <v>45</v>
      </c>
      <c r="Y1946" s="1">
        <v>21076</v>
      </c>
      <c r="Z1946">
        <v>2</v>
      </c>
      <c r="AA1946" t="s">
        <v>224</v>
      </c>
      <c r="AB1946" s="40" t="s">
        <v>1797</v>
      </c>
    </row>
    <row r="1947" spans="1:28" x14ac:dyDescent="0.25">
      <c r="A1947">
        <v>99911946</v>
      </c>
      <c r="B1947" t="s">
        <v>32</v>
      </c>
      <c r="C1947" t="s">
        <v>46</v>
      </c>
      <c r="D1947" t="s">
        <v>47</v>
      </c>
      <c r="G1947" t="s">
        <v>48</v>
      </c>
      <c r="H1947">
        <v>1</v>
      </c>
      <c r="K1947" t="s">
        <v>223</v>
      </c>
      <c r="L1947" t="s">
        <v>224</v>
      </c>
      <c r="M1947" t="s">
        <v>131</v>
      </c>
      <c r="N1947">
        <v>18</v>
      </c>
      <c r="P1947" t="s">
        <v>41</v>
      </c>
      <c r="Q1947" t="s">
        <v>49</v>
      </c>
      <c r="R1947" t="str">
        <f>"0591910"</f>
        <v>0591910</v>
      </c>
      <c r="S1947" t="s">
        <v>228</v>
      </c>
      <c r="T1947" t="s">
        <v>223</v>
      </c>
      <c r="U1947" t="s">
        <v>224</v>
      </c>
      <c r="V1947" t="s">
        <v>131</v>
      </c>
      <c r="W1947" t="s">
        <v>51</v>
      </c>
      <c r="X1947" t="s">
        <v>45</v>
      </c>
      <c r="Y1947" s="1">
        <v>21065</v>
      </c>
      <c r="Z1947">
        <v>2</v>
      </c>
      <c r="AA1947" t="s">
        <v>224</v>
      </c>
      <c r="AB1947" s="40" t="s">
        <v>1797</v>
      </c>
    </row>
    <row r="1948" spans="1:28" x14ac:dyDescent="0.25">
      <c r="A1948">
        <v>99911947</v>
      </c>
      <c r="B1948" t="s">
        <v>56</v>
      </c>
      <c r="C1948" t="s">
        <v>58</v>
      </c>
      <c r="D1948" t="s">
        <v>59</v>
      </c>
      <c r="G1948" t="s">
        <v>35</v>
      </c>
      <c r="H1948">
        <v>1</v>
      </c>
      <c r="K1948" t="s">
        <v>223</v>
      </c>
      <c r="L1948" t="s">
        <v>224</v>
      </c>
      <c r="M1948" t="s">
        <v>131</v>
      </c>
      <c r="N1948">
        <v>18</v>
      </c>
      <c r="P1948" t="s">
        <v>41</v>
      </c>
      <c r="Q1948" t="s">
        <v>42</v>
      </c>
      <c r="R1948" t="str">
        <f>"0590901"</f>
        <v>0590901</v>
      </c>
      <c r="S1948" t="s">
        <v>242</v>
      </c>
      <c r="T1948" t="s">
        <v>223</v>
      </c>
      <c r="U1948" t="s">
        <v>224</v>
      </c>
      <c r="V1948" t="s">
        <v>131</v>
      </c>
      <c r="W1948" t="s">
        <v>165</v>
      </c>
      <c r="X1948" t="s">
        <v>45</v>
      </c>
      <c r="Y1948" s="1">
        <v>21058</v>
      </c>
      <c r="Z1948">
        <v>2</v>
      </c>
      <c r="AA1948" t="s">
        <v>224</v>
      </c>
      <c r="AB1948" s="40" t="s">
        <v>1797</v>
      </c>
    </row>
    <row r="1949" spans="1:28" x14ac:dyDescent="0.25">
      <c r="A1949">
        <v>99911948</v>
      </c>
      <c r="B1949" t="s">
        <v>32</v>
      </c>
      <c r="C1949" t="s">
        <v>139</v>
      </c>
      <c r="D1949" t="s">
        <v>140</v>
      </c>
      <c r="G1949" t="s">
        <v>48</v>
      </c>
      <c r="H1949">
        <v>1</v>
      </c>
      <c r="K1949" t="s">
        <v>223</v>
      </c>
      <c r="L1949" t="s">
        <v>224</v>
      </c>
      <c r="M1949" t="s">
        <v>131</v>
      </c>
      <c r="N1949">
        <v>18</v>
      </c>
      <c r="P1949" t="s">
        <v>41</v>
      </c>
      <c r="Q1949" t="s">
        <v>49</v>
      </c>
      <c r="R1949" t="str">
        <f>"0581204"</f>
        <v>0581204</v>
      </c>
      <c r="S1949" t="s">
        <v>249</v>
      </c>
      <c r="T1949" t="s">
        <v>223</v>
      </c>
      <c r="U1949" t="s">
        <v>224</v>
      </c>
      <c r="V1949" t="s">
        <v>131</v>
      </c>
      <c r="W1949" t="s">
        <v>165</v>
      </c>
      <c r="X1949" t="s">
        <v>45</v>
      </c>
      <c r="Y1949" s="1">
        <v>21057</v>
      </c>
      <c r="Z1949">
        <v>2</v>
      </c>
      <c r="AA1949" t="s">
        <v>224</v>
      </c>
      <c r="AB1949" s="40" t="s">
        <v>1797</v>
      </c>
    </row>
    <row r="1950" spans="1:28" x14ac:dyDescent="0.25">
      <c r="A1950">
        <v>99911949</v>
      </c>
      <c r="B1950" t="s">
        <v>56</v>
      </c>
      <c r="C1950" t="s">
        <v>68</v>
      </c>
      <c r="D1950" t="s">
        <v>69</v>
      </c>
      <c r="G1950" t="s">
        <v>35</v>
      </c>
      <c r="H1950">
        <v>1</v>
      </c>
      <c r="K1950" t="s">
        <v>1268</v>
      </c>
      <c r="L1950" t="s">
        <v>1269</v>
      </c>
      <c r="M1950" t="s">
        <v>1270</v>
      </c>
      <c r="N1950">
        <v>18</v>
      </c>
      <c r="P1950" t="s">
        <v>41</v>
      </c>
      <c r="Q1950" t="s">
        <v>42</v>
      </c>
      <c r="R1950" t="str">
        <f>"1990914"</f>
        <v>1990914</v>
      </c>
      <c r="S1950" t="s">
        <v>1275</v>
      </c>
      <c r="T1950" t="s">
        <v>1268</v>
      </c>
      <c r="U1950" t="s">
        <v>1269</v>
      </c>
      <c r="V1950" t="s">
        <v>1270</v>
      </c>
      <c r="W1950" t="s">
        <v>51</v>
      </c>
      <c r="X1950" t="s">
        <v>45</v>
      </c>
      <c r="Y1950" s="1">
        <v>21045</v>
      </c>
      <c r="Z1950">
        <v>2</v>
      </c>
      <c r="AA1950" t="s">
        <v>1269</v>
      </c>
      <c r="AB1950" s="40" t="s">
        <v>1797</v>
      </c>
    </row>
    <row r="1951" spans="1:28" x14ac:dyDescent="0.25">
      <c r="A1951">
        <v>99911950</v>
      </c>
      <c r="B1951" t="s">
        <v>56</v>
      </c>
      <c r="C1951" t="s">
        <v>64</v>
      </c>
      <c r="D1951" t="s">
        <v>65</v>
      </c>
      <c r="G1951" t="s">
        <v>48</v>
      </c>
      <c r="H1951">
        <v>1</v>
      </c>
      <c r="K1951" t="s">
        <v>223</v>
      </c>
      <c r="L1951" t="s">
        <v>224</v>
      </c>
      <c r="M1951" t="s">
        <v>131</v>
      </c>
      <c r="N1951">
        <v>18</v>
      </c>
      <c r="P1951" t="s">
        <v>41</v>
      </c>
      <c r="Q1951" t="s">
        <v>49</v>
      </c>
      <c r="R1951" t="str">
        <f>"0581206"</f>
        <v>0581206</v>
      </c>
      <c r="S1951" t="s">
        <v>232</v>
      </c>
      <c r="T1951" t="s">
        <v>223</v>
      </c>
      <c r="U1951" t="s">
        <v>224</v>
      </c>
      <c r="V1951" t="s">
        <v>131</v>
      </c>
      <c r="W1951" t="s">
        <v>51</v>
      </c>
      <c r="X1951" t="s">
        <v>45</v>
      </c>
      <c r="Y1951" s="1">
        <v>21022</v>
      </c>
      <c r="Z1951">
        <v>2</v>
      </c>
      <c r="AA1951" t="s">
        <v>224</v>
      </c>
      <c r="AB1951" s="40" t="s">
        <v>1797</v>
      </c>
    </row>
    <row r="1952" spans="1:28" x14ac:dyDescent="0.25">
      <c r="A1952">
        <v>99911951</v>
      </c>
      <c r="B1952" t="s">
        <v>32</v>
      </c>
      <c r="C1952" t="s">
        <v>1290</v>
      </c>
      <c r="D1952" t="s">
        <v>1291</v>
      </c>
      <c r="G1952" t="s">
        <v>35</v>
      </c>
      <c r="H1952">
        <v>1</v>
      </c>
      <c r="K1952" t="s">
        <v>1268</v>
      </c>
      <c r="L1952" t="s">
        <v>1269</v>
      </c>
      <c r="M1952" t="s">
        <v>1270</v>
      </c>
      <c r="N1952">
        <v>18</v>
      </c>
      <c r="P1952" t="s">
        <v>41</v>
      </c>
      <c r="Q1952" t="s">
        <v>922</v>
      </c>
      <c r="R1952" t="str">
        <f>"1950001"</f>
        <v>1950001</v>
      </c>
      <c r="S1952" t="s">
        <v>1284</v>
      </c>
      <c r="T1952" t="s">
        <v>1268</v>
      </c>
      <c r="U1952" t="s">
        <v>1269</v>
      </c>
      <c r="V1952" t="s">
        <v>1270</v>
      </c>
      <c r="W1952" t="s">
        <v>51</v>
      </c>
      <c r="X1952" t="s">
        <v>45</v>
      </c>
      <c r="Y1952" s="1">
        <v>20965</v>
      </c>
      <c r="Z1952">
        <v>2</v>
      </c>
      <c r="AA1952" t="s">
        <v>1269</v>
      </c>
      <c r="AB1952" s="40" t="s">
        <v>1797</v>
      </c>
    </row>
    <row r="1953" spans="1:28" x14ac:dyDescent="0.25">
      <c r="A1953">
        <v>99911952</v>
      </c>
      <c r="B1953" t="s">
        <v>56</v>
      </c>
      <c r="C1953" t="s">
        <v>52</v>
      </c>
      <c r="D1953" t="s">
        <v>53</v>
      </c>
      <c r="G1953" t="s">
        <v>48</v>
      </c>
      <c r="H1953">
        <v>1</v>
      </c>
      <c r="K1953" t="s">
        <v>345</v>
      </c>
      <c r="L1953" t="s">
        <v>346</v>
      </c>
      <c r="M1953" t="s">
        <v>131</v>
      </c>
      <c r="N1953">
        <v>18</v>
      </c>
      <c r="P1953" t="s">
        <v>41</v>
      </c>
      <c r="Q1953" t="s">
        <v>49</v>
      </c>
      <c r="R1953" t="str">
        <f>"0561021"</f>
        <v>0561021</v>
      </c>
      <c r="S1953" t="s">
        <v>352</v>
      </c>
      <c r="T1953" t="s">
        <v>345</v>
      </c>
      <c r="U1953" t="s">
        <v>346</v>
      </c>
      <c r="V1953" t="s">
        <v>131</v>
      </c>
      <c r="W1953" t="s">
        <v>51</v>
      </c>
      <c r="X1953" t="s">
        <v>45</v>
      </c>
      <c r="Y1953" s="1">
        <v>20963</v>
      </c>
      <c r="Z1953">
        <v>2</v>
      </c>
      <c r="AA1953" t="s">
        <v>346</v>
      </c>
      <c r="AB1953" s="40" t="s">
        <v>1797</v>
      </c>
    </row>
    <row r="1954" spans="1:28" x14ac:dyDescent="0.25">
      <c r="A1954">
        <v>99911953</v>
      </c>
      <c r="B1954" t="s">
        <v>32</v>
      </c>
      <c r="C1954" t="s">
        <v>139</v>
      </c>
      <c r="D1954" t="s">
        <v>140</v>
      </c>
      <c r="G1954" t="s">
        <v>48</v>
      </c>
      <c r="H1954">
        <v>16</v>
      </c>
      <c r="K1954" t="s">
        <v>1268</v>
      </c>
      <c r="L1954" t="s">
        <v>1269</v>
      </c>
      <c r="M1954" t="s">
        <v>1270</v>
      </c>
      <c r="N1954">
        <v>18</v>
      </c>
      <c r="O1954" s="1">
        <v>43344</v>
      </c>
      <c r="P1954" t="s">
        <v>41</v>
      </c>
      <c r="Q1954" t="s">
        <v>49</v>
      </c>
      <c r="R1954" t="str">
        <f>"1981055"</f>
        <v>1981055</v>
      </c>
      <c r="S1954" t="s">
        <v>1280</v>
      </c>
      <c r="T1954" t="s">
        <v>1268</v>
      </c>
      <c r="U1954" t="s">
        <v>1269</v>
      </c>
      <c r="V1954" t="s">
        <v>1270</v>
      </c>
      <c r="W1954" t="s">
        <v>165</v>
      </c>
      <c r="X1954" t="s">
        <v>45</v>
      </c>
      <c r="Y1954" s="1">
        <v>20947</v>
      </c>
      <c r="Z1954">
        <v>2</v>
      </c>
      <c r="AA1954" t="s">
        <v>1269</v>
      </c>
      <c r="AB1954" s="40" t="s">
        <v>1797</v>
      </c>
    </row>
    <row r="1955" spans="1:28" x14ac:dyDescent="0.25">
      <c r="A1955">
        <v>99911954</v>
      </c>
      <c r="B1955" t="s">
        <v>56</v>
      </c>
      <c r="C1955" t="s">
        <v>68</v>
      </c>
      <c r="D1955" t="s">
        <v>69</v>
      </c>
      <c r="G1955" t="s">
        <v>48</v>
      </c>
      <c r="H1955">
        <v>16</v>
      </c>
      <c r="K1955" t="s">
        <v>1268</v>
      </c>
      <c r="L1955" t="s">
        <v>1269</v>
      </c>
      <c r="M1955" t="s">
        <v>1270</v>
      </c>
      <c r="N1955">
        <v>18</v>
      </c>
      <c r="P1955" t="s">
        <v>41</v>
      </c>
      <c r="Q1955" t="s">
        <v>49</v>
      </c>
      <c r="R1955" t="str">
        <f>"1960001"</f>
        <v>1960001</v>
      </c>
      <c r="S1955" t="s">
        <v>1272</v>
      </c>
      <c r="T1955" t="s">
        <v>1268</v>
      </c>
      <c r="U1955" t="s">
        <v>1269</v>
      </c>
      <c r="V1955" t="s">
        <v>1270</v>
      </c>
      <c r="W1955" t="s">
        <v>51</v>
      </c>
      <c r="X1955" t="s">
        <v>45</v>
      </c>
      <c r="Y1955" s="1">
        <v>20909</v>
      </c>
      <c r="Z1955">
        <v>2</v>
      </c>
      <c r="AA1955" t="s">
        <v>1269</v>
      </c>
      <c r="AB1955" s="40" t="s">
        <v>1797</v>
      </c>
    </row>
    <row r="1956" spans="1:28" x14ac:dyDescent="0.25">
      <c r="A1956">
        <v>99911955</v>
      </c>
      <c r="B1956" t="s">
        <v>56</v>
      </c>
      <c r="C1956" t="s">
        <v>33</v>
      </c>
      <c r="D1956" t="s">
        <v>34</v>
      </c>
      <c r="G1956" t="s">
        <v>48</v>
      </c>
      <c r="H1956">
        <v>1</v>
      </c>
      <c r="K1956" t="s">
        <v>1487</v>
      </c>
      <c r="L1956" t="s">
        <v>1488</v>
      </c>
      <c r="M1956" t="s">
        <v>670</v>
      </c>
      <c r="N1956">
        <v>18</v>
      </c>
      <c r="P1956" t="s">
        <v>41</v>
      </c>
      <c r="Q1956" t="s">
        <v>42</v>
      </c>
      <c r="R1956" t="str">
        <f>"1780020"</f>
        <v>1780020</v>
      </c>
      <c r="S1956" t="s">
        <v>1490</v>
      </c>
      <c r="T1956" t="s">
        <v>1487</v>
      </c>
      <c r="U1956" t="s">
        <v>1488</v>
      </c>
      <c r="V1956" t="s">
        <v>670</v>
      </c>
      <c r="W1956" t="s">
        <v>51</v>
      </c>
      <c r="X1956" t="s">
        <v>45</v>
      </c>
      <c r="Y1956" s="1">
        <v>20908</v>
      </c>
      <c r="Z1956">
        <v>2</v>
      </c>
      <c r="AA1956" t="s">
        <v>1488</v>
      </c>
      <c r="AB1956" s="40" t="s">
        <v>1797</v>
      </c>
    </row>
    <row r="1957" spans="1:28" x14ac:dyDescent="0.25">
      <c r="A1957">
        <v>99911956</v>
      </c>
      <c r="B1957" t="s">
        <v>32</v>
      </c>
      <c r="C1957" t="s">
        <v>46</v>
      </c>
      <c r="D1957" t="s">
        <v>47</v>
      </c>
      <c r="G1957" t="s">
        <v>35</v>
      </c>
      <c r="H1957">
        <v>1</v>
      </c>
      <c r="K1957" t="s">
        <v>223</v>
      </c>
      <c r="L1957" t="s">
        <v>224</v>
      </c>
      <c r="M1957" t="s">
        <v>131</v>
      </c>
      <c r="N1957">
        <v>18</v>
      </c>
      <c r="P1957" t="s">
        <v>41</v>
      </c>
      <c r="Q1957" t="s">
        <v>49</v>
      </c>
      <c r="R1957" t="str">
        <f>"0581207"</f>
        <v>0581207</v>
      </c>
      <c r="S1957" t="s">
        <v>233</v>
      </c>
      <c r="T1957" t="s">
        <v>223</v>
      </c>
      <c r="U1957" t="s">
        <v>224</v>
      </c>
      <c r="V1957" t="s">
        <v>131</v>
      </c>
      <c r="W1957" t="s">
        <v>165</v>
      </c>
      <c r="X1957" t="s">
        <v>45</v>
      </c>
      <c r="Y1957" s="1">
        <v>20905</v>
      </c>
      <c r="Z1957">
        <v>2</v>
      </c>
      <c r="AA1957" t="s">
        <v>224</v>
      </c>
      <c r="AB1957" s="40" t="s">
        <v>1797</v>
      </c>
    </row>
    <row r="1958" spans="1:28" x14ac:dyDescent="0.25">
      <c r="A1958">
        <v>99911957</v>
      </c>
      <c r="B1958" t="s">
        <v>32</v>
      </c>
      <c r="C1958" t="s">
        <v>71</v>
      </c>
      <c r="D1958" t="s">
        <v>72</v>
      </c>
      <c r="G1958" t="s">
        <v>35</v>
      </c>
      <c r="H1958">
        <v>1</v>
      </c>
      <c r="K1958" t="s">
        <v>223</v>
      </c>
      <c r="L1958" t="s">
        <v>224</v>
      </c>
      <c r="M1958" t="s">
        <v>131</v>
      </c>
      <c r="N1958">
        <v>18</v>
      </c>
      <c r="P1958" t="s">
        <v>41</v>
      </c>
      <c r="Q1958" t="s">
        <v>42</v>
      </c>
      <c r="R1958" t="str">
        <f>"0590903"</f>
        <v>0590903</v>
      </c>
      <c r="S1958" t="s">
        <v>226</v>
      </c>
      <c r="T1958" t="s">
        <v>223</v>
      </c>
      <c r="U1958" t="s">
        <v>224</v>
      </c>
      <c r="V1958" t="s">
        <v>131</v>
      </c>
      <c r="W1958" t="s">
        <v>51</v>
      </c>
      <c r="X1958" t="s">
        <v>45</v>
      </c>
      <c r="Y1958" s="1">
        <v>20854</v>
      </c>
      <c r="Z1958">
        <v>2</v>
      </c>
      <c r="AA1958" t="s">
        <v>224</v>
      </c>
      <c r="AB1958" s="40" t="s">
        <v>1797</v>
      </c>
    </row>
    <row r="1959" spans="1:28" x14ac:dyDescent="0.25">
      <c r="A1959">
        <v>99911958</v>
      </c>
      <c r="B1959" t="s">
        <v>56</v>
      </c>
      <c r="C1959" t="s">
        <v>139</v>
      </c>
      <c r="D1959" t="s">
        <v>140</v>
      </c>
      <c r="G1959" t="s">
        <v>48</v>
      </c>
      <c r="H1959">
        <v>1</v>
      </c>
      <c r="K1959" t="s">
        <v>380</v>
      </c>
      <c r="L1959" t="s">
        <v>381</v>
      </c>
      <c r="M1959" t="s">
        <v>131</v>
      </c>
      <c r="N1959">
        <v>18</v>
      </c>
      <c r="P1959" t="s">
        <v>41</v>
      </c>
      <c r="Q1959" t="s">
        <v>42</v>
      </c>
      <c r="R1959" t="str">
        <f>"0590909"</f>
        <v>0590909</v>
      </c>
      <c r="S1959" t="s">
        <v>388</v>
      </c>
      <c r="T1959" t="s">
        <v>380</v>
      </c>
      <c r="U1959" t="s">
        <v>381</v>
      </c>
      <c r="V1959" t="s">
        <v>131</v>
      </c>
      <c r="W1959" t="s">
        <v>51</v>
      </c>
      <c r="X1959" t="s">
        <v>45</v>
      </c>
      <c r="Y1959" s="1">
        <v>20798</v>
      </c>
      <c r="Z1959">
        <v>2</v>
      </c>
      <c r="AA1959" t="s">
        <v>381</v>
      </c>
      <c r="AB1959" s="40" t="s">
        <v>1797</v>
      </c>
    </row>
    <row r="1960" spans="1:28" x14ac:dyDescent="0.25">
      <c r="A1960">
        <v>99911959</v>
      </c>
      <c r="B1960" t="s">
        <v>56</v>
      </c>
      <c r="C1960" t="s">
        <v>79</v>
      </c>
      <c r="D1960" t="s">
        <v>80</v>
      </c>
      <c r="G1960" t="s">
        <v>48</v>
      </c>
      <c r="H1960">
        <v>16</v>
      </c>
      <c r="K1960" t="s">
        <v>1268</v>
      </c>
      <c r="L1960" t="s">
        <v>1269</v>
      </c>
      <c r="M1960" t="s">
        <v>1270</v>
      </c>
      <c r="N1960">
        <v>18</v>
      </c>
      <c r="O1960" s="1">
        <v>43344</v>
      </c>
      <c r="P1960" t="s">
        <v>41</v>
      </c>
      <c r="Q1960" t="s">
        <v>42</v>
      </c>
      <c r="R1960" t="str">
        <f>"1980055"</f>
        <v>1980055</v>
      </c>
      <c r="S1960" t="s">
        <v>1285</v>
      </c>
      <c r="T1960" t="s">
        <v>1268</v>
      </c>
      <c r="U1960" t="s">
        <v>1269</v>
      </c>
      <c r="V1960" t="s">
        <v>1270</v>
      </c>
      <c r="W1960" t="s">
        <v>165</v>
      </c>
      <c r="X1960" t="s">
        <v>45</v>
      </c>
      <c r="Y1960" s="1">
        <v>20769</v>
      </c>
      <c r="Z1960">
        <v>2</v>
      </c>
      <c r="AA1960" t="s">
        <v>1269</v>
      </c>
      <c r="AB1960" s="40" t="s">
        <v>1797</v>
      </c>
    </row>
    <row r="1961" spans="1:28" x14ac:dyDescent="0.25">
      <c r="A1961">
        <v>99911960</v>
      </c>
      <c r="B1961" t="s">
        <v>32</v>
      </c>
      <c r="C1961" t="s">
        <v>46</v>
      </c>
      <c r="D1961" t="s">
        <v>47</v>
      </c>
      <c r="G1961" t="s">
        <v>48</v>
      </c>
      <c r="H1961">
        <v>1</v>
      </c>
      <c r="K1961" t="s">
        <v>223</v>
      </c>
      <c r="L1961" t="s">
        <v>224</v>
      </c>
      <c r="M1961" t="s">
        <v>131</v>
      </c>
      <c r="N1961">
        <v>18</v>
      </c>
      <c r="P1961" t="s">
        <v>41</v>
      </c>
      <c r="Q1961" t="s">
        <v>42</v>
      </c>
      <c r="R1961" t="str">
        <f>"0580395"</f>
        <v>0580395</v>
      </c>
      <c r="S1961" t="s">
        <v>265</v>
      </c>
      <c r="T1961" t="s">
        <v>223</v>
      </c>
      <c r="U1961" t="s">
        <v>224</v>
      </c>
      <c r="V1961" t="s">
        <v>131</v>
      </c>
      <c r="W1961" t="s">
        <v>51</v>
      </c>
      <c r="X1961" t="s">
        <v>45</v>
      </c>
      <c r="Y1961" s="1">
        <v>20768</v>
      </c>
      <c r="Z1961">
        <v>2</v>
      </c>
      <c r="AA1961" t="s">
        <v>224</v>
      </c>
      <c r="AB1961" s="40" t="s">
        <v>1797</v>
      </c>
    </row>
    <row r="1962" spans="1:28" x14ac:dyDescent="0.25">
      <c r="A1962">
        <v>99911961</v>
      </c>
      <c r="B1962" t="s">
        <v>32</v>
      </c>
      <c r="C1962" t="s">
        <v>46</v>
      </c>
      <c r="D1962" t="s">
        <v>47</v>
      </c>
      <c r="G1962" t="s">
        <v>48</v>
      </c>
      <c r="H1962">
        <v>1</v>
      </c>
      <c r="K1962" t="s">
        <v>223</v>
      </c>
      <c r="L1962" t="s">
        <v>224</v>
      </c>
      <c r="M1962" t="s">
        <v>131</v>
      </c>
      <c r="N1962">
        <v>18</v>
      </c>
      <c r="P1962" t="s">
        <v>41</v>
      </c>
      <c r="Q1962" t="s">
        <v>49</v>
      </c>
      <c r="R1962" t="str">
        <f>"0581204"</f>
        <v>0581204</v>
      </c>
      <c r="S1962" t="s">
        <v>249</v>
      </c>
      <c r="T1962" t="s">
        <v>223</v>
      </c>
      <c r="U1962" t="s">
        <v>224</v>
      </c>
      <c r="V1962" t="s">
        <v>131</v>
      </c>
      <c r="W1962" t="s">
        <v>165</v>
      </c>
      <c r="X1962" t="s">
        <v>45</v>
      </c>
      <c r="Y1962" s="1">
        <v>20765</v>
      </c>
      <c r="Z1962">
        <v>2</v>
      </c>
      <c r="AA1962" t="s">
        <v>224</v>
      </c>
      <c r="AB1962" s="40" t="s">
        <v>1797</v>
      </c>
    </row>
    <row r="1963" spans="1:28" x14ac:dyDescent="0.25">
      <c r="A1963">
        <v>99911962</v>
      </c>
      <c r="B1963" t="s">
        <v>32</v>
      </c>
      <c r="C1963" t="s">
        <v>64</v>
      </c>
      <c r="D1963" t="s">
        <v>65</v>
      </c>
      <c r="G1963" t="s">
        <v>35</v>
      </c>
      <c r="H1963">
        <v>1</v>
      </c>
      <c r="K1963" t="s">
        <v>223</v>
      </c>
      <c r="L1963" t="s">
        <v>224</v>
      </c>
      <c r="M1963" t="s">
        <v>131</v>
      </c>
      <c r="N1963">
        <v>18</v>
      </c>
      <c r="P1963" t="s">
        <v>41</v>
      </c>
      <c r="Q1963" t="s">
        <v>42</v>
      </c>
      <c r="R1963" t="str">
        <f>"0590901"</f>
        <v>0590901</v>
      </c>
      <c r="S1963" t="s">
        <v>242</v>
      </c>
      <c r="T1963" t="s">
        <v>223</v>
      </c>
      <c r="U1963" t="s">
        <v>224</v>
      </c>
      <c r="V1963" t="s">
        <v>131</v>
      </c>
      <c r="W1963" t="s">
        <v>165</v>
      </c>
      <c r="X1963" t="s">
        <v>45</v>
      </c>
      <c r="Y1963" s="1">
        <v>20747</v>
      </c>
      <c r="Z1963">
        <v>2</v>
      </c>
      <c r="AA1963" t="s">
        <v>224</v>
      </c>
      <c r="AB1963" s="40" t="s">
        <v>1797</v>
      </c>
    </row>
    <row r="1964" spans="1:28" x14ac:dyDescent="0.25">
      <c r="A1964">
        <v>99911963</v>
      </c>
      <c r="B1964" t="s">
        <v>56</v>
      </c>
      <c r="C1964" t="s">
        <v>46</v>
      </c>
      <c r="D1964" t="s">
        <v>47</v>
      </c>
      <c r="G1964" t="s">
        <v>48</v>
      </c>
      <c r="H1964">
        <v>1</v>
      </c>
      <c r="K1964" t="s">
        <v>1128</v>
      </c>
      <c r="L1964" t="s">
        <v>1129</v>
      </c>
      <c r="M1964" t="s">
        <v>1130</v>
      </c>
      <c r="N1964">
        <v>18</v>
      </c>
      <c r="P1964" t="s">
        <v>41</v>
      </c>
      <c r="Q1964" t="s">
        <v>42</v>
      </c>
      <c r="R1964" t="str">
        <f>"3180015"</f>
        <v>3180015</v>
      </c>
      <c r="S1964" t="s">
        <v>1139</v>
      </c>
      <c r="T1964" t="s">
        <v>1128</v>
      </c>
      <c r="U1964" t="s">
        <v>1129</v>
      </c>
      <c r="V1964" t="s">
        <v>1130</v>
      </c>
      <c r="W1964" t="s">
        <v>51</v>
      </c>
      <c r="X1964" t="s">
        <v>45</v>
      </c>
      <c r="Y1964" s="1">
        <v>20733</v>
      </c>
      <c r="Z1964">
        <v>2</v>
      </c>
      <c r="AA1964" t="s">
        <v>1129</v>
      </c>
      <c r="AB1964" s="40" t="s">
        <v>1797</v>
      </c>
    </row>
    <row r="1965" spans="1:28" x14ac:dyDescent="0.25">
      <c r="A1965">
        <v>99911964</v>
      </c>
      <c r="B1965" t="s">
        <v>32</v>
      </c>
      <c r="C1965" t="s">
        <v>46</v>
      </c>
      <c r="D1965" t="s">
        <v>47</v>
      </c>
      <c r="G1965" t="s">
        <v>48</v>
      </c>
      <c r="H1965">
        <v>1</v>
      </c>
      <c r="K1965" t="s">
        <v>223</v>
      </c>
      <c r="L1965" t="s">
        <v>224</v>
      </c>
      <c r="M1965" t="s">
        <v>131</v>
      </c>
      <c r="N1965">
        <v>18</v>
      </c>
      <c r="P1965" t="s">
        <v>41</v>
      </c>
      <c r="Q1965" t="s">
        <v>42</v>
      </c>
      <c r="R1965" t="str">
        <f>"0580395"</f>
        <v>0580395</v>
      </c>
      <c r="S1965" t="s">
        <v>265</v>
      </c>
      <c r="T1965" t="s">
        <v>223</v>
      </c>
      <c r="U1965" t="s">
        <v>224</v>
      </c>
      <c r="V1965" t="s">
        <v>131</v>
      </c>
      <c r="W1965" t="s">
        <v>51</v>
      </c>
      <c r="X1965" t="s">
        <v>45</v>
      </c>
      <c r="Y1965" s="1">
        <v>20704</v>
      </c>
      <c r="Z1965">
        <v>2</v>
      </c>
      <c r="AA1965" t="s">
        <v>224</v>
      </c>
      <c r="AB1965" s="40" t="s">
        <v>1797</v>
      </c>
    </row>
    <row r="1966" spans="1:28" x14ac:dyDescent="0.25">
      <c r="A1966">
        <v>99911965</v>
      </c>
      <c r="B1966" t="s">
        <v>56</v>
      </c>
      <c r="C1966" t="s">
        <v>52</v>
      </c>
      <c r="D1966" t="s">
        <v>53</v>
      </c>
      <c r="G1966" t="s">
        <v>48</v>
      </c>
      <c r="H1966">
        <v>4</v>
      </c>
      <c r="K1966" t="s">
        <v>37</v>
      </c>
      <c r="L1966" t="s">
        <v>38</v>
      </c>
      <c r="M1966" t="s">
        <v>39</v>
      </c>
      <c r="N1966">
        <v>18</v>
      </c>
      <c r="P1966" t="s">
        <v>41</v>
      </c>
      <c r="Q1966" t="s">
        <v>42</v>
      </c>
      <c r="R1966" t="str">
        <f>"3780010"</f>
        <v>3780010</v>
      </c>
      <c r="S1966" t="s">
        <v>43</v>
      </c>
      <c r="T1966" t="s">
        <v>37</v>
      </c>
      <c r="U1966" t="s">
        <v>38</v>
      </c>
      <c r="V1966" t="s">
        <v>39</v>
      </c>
      <c r="W1966" t="s">
        <v>51</v>
      </c>
      <c r="X1966" t="s">
        <v>45</v>
      </c>
      <c r="Y1966" s="1">
        <v>20689</v>
      </c>
      <c r="Z1966">
        <v>2</v>
      </c>
      <c r="AA1966" t="s">
        <v>38</v>
      </c>
      <c r="AB1966" s="40" t="s">
        <v>1797</v>
      </c>
    </row>
    <row r="1967" spans="1:28" x14ac:dyDescent="0.25">
      <c r="A1967">
        <v>99911966</v>
      </c>
      <c r="B1967" t="s">
        <v>32</v>
      </c>
      <c r="C1967" t="s">
        <v>64</v>
      </c>
      <c r="D1967" t="s">
        <v>65</v>
      </c>
      <c r="G1967" t="s">
        <v>35</v>
      </c>
      <c r="H1967">
        <v>1</v>
      </c>
      <c r="K1967" t="s">
        <v>345</v>
      </c>
      <c r="L1967" t="s">
        <v>346</v>
      </c>
      <c r="M1967" t="s">
        <v>131</v>
      </c>
      <c r="N1967">
        <v>18</v>
      </c>
      <c r="P1967" t="s">
        <v>41</v>
      </c>
      <c r="Q1967" t="s">
        <v>49</v>
      </c>
      <c r="R1967" t="str">
        <f>"0560007"</f>
        <v>0560007</v>
      </c>
      <c r="S1967" t="s">
        <v>357</v>
      </c>
      <c r="T1967" t="s">
        <v>345</v>
      </c>
      <c r="U1967" t="s">
        <v>346</v>
      </c>
      <c r="V1967" t="s">
        <v>131</v>
      </c>
      <c r="W1967" t="s">
        <v>51</v>
      </c>
      <c r="X1967" t="s">
        <v>45</v>
      </c>
      <c r="Y1967" s="1">
        <v>20660</v>
      </c>
      <c r="Z1967">
        <v>2</v>
      </c>
      <c r="AA1967" t="s">
        <v>346</v>
      </c>
      <c r="AB1967" s="40" t="s">
        <v>1797</v>
      </c>
    </row>
    <row r="1968" spans="1:28" x14ac:dyDescent="0.25">
      <c r="A1968">
        <v>99911967</v>
      </c>
      <c r="B1968" t="s">
        <v>56</v>
      </c>
      <c r="C1968" t="s">
        <v>58</v>
      </c>
      <c r="D1968" t="s">
        <v>59</v>
      </c>
      <c r="G1968" t="s">
        <v>48</v>
      </c>
      <c r="H1968">
        <v>1</v>
      </c>
      <c r="K1968" t="s">
        <v>1268</v>
      </c>
      <c r="L1968" t="s">
        <v>1269</v>
      </c>
      <c r="M1968" t="s">
        <v>1270</v>
      </c>
      <c r="N1968">
        <v>18</v>
      </c>
      <c r="P1968" t="s">
        <v>41</v>
      </c>
      <c r="Q1968" t="s">
        <v>42</v>
      </c>
      <c r="R1968" t="str">
        <f>"1990910"</f>
        <v>1990910</v>
      </c>
      <c r="S1968" t="s">
        <v>1281</v>
      </c>
      <c r="T1968" t="s">
        <v>1268</v>
      </c>
      <c r="U1968" t="s">
        <v>1269</v>
      </c>
      <c r="V1968" t="s">
        <v>1270</v>
      </c>
      <c r="W1968" t="s">
        <v>165</v>
      </c>
      <c r="X1968" t="s">
        <v>45</v>
      </c>
      <c r="Y1968" s="1">
        <v>20659</v>
      </c>
      <c r="Z1968">
        <v>2</v>
      </c>
      <c r="AA1968" t="s">
        <v>1269</v>
      </c>
      <c r="AB1968" s="40" t="s">
        <v>1797</v>
      </c>
    </row>
    <row r="1969" spans="1:28" x14ac:dyDescent="0.25">
      <c r="A1969">
        <v>99911968</v>
      </c>
      <c r="B1969" t="s">
        <v>56</v>
      </c>
      <c r="C1969" t="s">
        <v>52</v>
      </c>
      <c r="D1969" t="s">
        <v>53</v>
      </c>
      <c r="G1969" t="s">
        <v>35</v>
      </c>
      <c r="H1969">
        <v>1</v>
      </c>
      <c r="K1969" t="s">
        <v>223</v>
      </c>
      <c r="L1969" t="s">
        <v>224</v>
      </c>
      <c r="M1969" t="s">
        <v>131</v>
      </c>
      <c r="N1969">
        <v>18</v>
      </c>
      <c r="P1969" t="s">
        <v>41</v>
      </c>
      <c r="Q1969" t="s">
        <v>49</v>
      </c>
      <c r="R1969" t="str">
        <f>"0581207"</f>
        <v>0581207</v>
      </c>
      <c r="S1969" t="s">
        <v>233</v>
      </c>
      <c r="T1969" t="s">
        <v>223</v>
      </c>
      <c r="U1969" t="s">
        <v>224</v>
      </c>
      <c r="V1969" t="s">
        <v>131</v>
      </c>
      <c r="W1969" t="s">
        <v>51</v>
      </c>
      <c r="X1969" t="s">
        <v>45</v>
      </c>
      <c r="Y1969" s="1">
        <v>20654</v>
      </c>
      <c r="Z1969">
        <v>2</v>
      </c>
      <c r="AA1969" t="s">
        <v>224</v>
      </c>
      <c r="AB1969" s="40" t="s">
        <v>1797</v>
      </c>
    </row>
    <row r="1970" spans="1:28" x14ac:dyDescent="0.25">
      <c r="A1970">
        <v>99911969</v>
      </c>
      <c r="B1970" t="s">
        <v>56</v>
      </c>
      <c r="C1970" t="s">
        <v>68</v>
      </c>
      <c r="D1970" t="s">
        <v>69</v>
      </c>
      <c r="G1970" t="s">
        <v>48</v>
      </c>
      <c r="H1970">
        <v>1</v>
      </c>
      <c r="K1970" t="s">
        <v>129</v>
      </c>
      <c r="L1970" t="s">
        <v>130</v>
      </c>
      <c r="M1970" t="s">
        <v>131</v>
      </c>
      <c r="N1970">
        <v>18</v>
      </c>
      <c r="P1970" t="s">
        <v>41</v>
      </c>
      <c r="Q1970" t="s">
        <v>49</v>
      </c>
      <c r="R1970" t="str">
        <f>"0591905"</f>
        <v>0591905</v>
      </c>
      <c r="S1970" t="s">
        <v>135</v>
      </c>
      <c r="T1970" t="s">
        <v>129</v>
      </c>
      <c r="U1970" t="s">
        <v>130</v>
      </c>
      <c r="V1970" t="s">
        <v>131</v>
      </c>
      <c r="W1970" t="s">
        <v>51</v>
      </c>
      <c r="X1970" t="s">
        <v>45</v>
      </c>
      <c r="Y1970" s="1">
        <v>20628</v>
      </c>
      <c r="Z1970">
        <v>2</v>
      </c>
      <c r="AA1970" t="s">
        <v>130</v>
      </c>
      <c r="AB1970" s="40" t="s">
        <v>1797</v>
      </c>
    </row>
    <row r="1971" spans="1:28" x14ac:dyDescent="0.25">
      <c r="A1971">
        <v>99911970</v>
      </c>
      <c r="B1971" t="s">
        <v>32</v>
      </c>
      <c r="C1971" t="s">
        <v>85</v>
      </c>
      <c r="D1971" t="s">
        <v>86</v>
      </c>
      <c r="G1971" t="s">
        <v>48</v>
      </c>
      <c r="H1971">
        <v>14</v>
      </c>
      <c r="K1971" t="s">
        <v>1268</v>
      </c>
      <c r="L1971" t="s">
        <v>1269</v>
      </c>
      <c r="M1971" t="s">
        <v>1270</v>
      </c>
      <c r="N1971">
        <v>18</v>
      </c>
      <c r="O1971" s="1">
        <v>43344</v>
      </c>
      <c r="P1971" t="s">
        <v>41</v>
      </c>
      <c r="Q1971" t="s">
        <v>42</v>
      </c>
      <c r="R1971" t="str">
        <f>"1980055"</f>
        <v>1980055</v>
      </c>
      <c r="S1971" t="s">
        <v>1285</v>
      </c>
      <c r="T1971" t="s">
        <v>1268</v>
      </c>
      <c r="U1971" t="s">
        <v>1269</v>
      </c>
      <c r="V1971" t="s">
        <v>1270</v>
      </c>
      <c r="W1971" t="s">
        <v>165</v>
      </c>
      <c r="X1971" t="s">
        <v>45</v>
      </c>
      <c r="Y1971" s="1">
        <v>20610</v>
      </c>
      <c r="Z1971">
        <v>2</v>
      </c>
      <c r="AA1971" t="s">
        <v>1269</v>
      </c>
      <c r="AB1971" s="40" t="s">
        <v>1797</v>
      </c>
    </row>
    <row r="1972" spans="1:28" x14ac:dyDescent="0.25">
      <c r="A1972">
        <v>99911971</v>
      </c>
      <c r="B1972" t="s">
        <v>32</v>
      </c>
      <c r="C1972" t="s">
        <v>64</v>
      </c>
      <c r="D1972" t="s">
        <v>65</v>
      </c>
      <c r="G1972" t="s">
        <v>35</v>
      </c>
      <c r="H1972">
        <v>1</v>
      </c>
      <c r="K1972" t="s">
        <v>223</v>
      </c>
      <c r="L1972" t="s">
        <v>224</v>
      </c>
      <c r="M1972" t="s">
        <v>131</v>
      </c>
      <c r="N1972">
        <v>18</v>
      </c>
      <c r="P1972" t="s">
        <v>41</v>
      </c>
      <c r="Q1972" t="s">
        <v>49</v>
      </c>
      <c r="R1972" t="str">
        <f>"0581207"</f>
        <v>0581207</v>
      </c>
      <c r="S1972" t="s">
        <v>233</v>
      </c>
      <c r="T1972" t="s">
        <v>223</v>
      </c>
      <c r="U1972" t="s">
        <v>224</v>
      </c>
      <c r="V1972" t="s">
        <v>131</v>
      </c>
      <c r="W1972" t="s">
        <v>165</v>
      </c>
      <c r="X1972" t="s">
        <v>45</v>
      </c>
      <c r="Y1972" s="1">
        <v>20573</v>
      </c>
      <c r="Z1972">
        <v>2</v>
      </c>
      <c r="AA1972" t="s">
        <v>224</v>
      </c>
      <c r="AB1972" s="40" t="s">
        <v>1797</v>
      </c>
    </row>
    <row r="1973" spans="1:28" x14ac:dyDescent="0.25">
      <c r="A1973">
        <v>99911972</v>
      </c>
      <c r="B1973" t="s">
        <v>32</v>
      </c>
      <c r="C1973" t="s">
        <v>139</v>
      </c>
      <c r="D1973" t="s">
        <v>140</v>
      </c>
      <c r="G1973" t="s">
        <v>48</v>
      </c>
      <c r="H1973">
        <v>1</v>
      </c>
      <c r="K1973" t="s">
        <v>223</v>
      </c>
      <c r="L1973" t="s">
        <v>224</v>
      </c>
      <c r="M1973" t="s">
        <v>131</v>
      </c>
      <c r="N1973">
        <v>18</v>
      </c>
      <c r="P1973" t="s">
        <v>41</v>
      </c>
      <c r="Q1973" t="s">
        <v>42</v>
      </c>
      <c r="R1973" t="str">
        <f>"0580203"</f>
        <v>0580203</v>
      </c>
      <c r="S1973" t="s">
        <v>239</v>
      </c>
      <c r="T1973" t="s">
        <v>223</v>
      </c>
      <c r="U1973" t="s">
        <v>224</v>
      </c>
      <c r="V1973" t="s">
        <v>131</v>
      </c>
      <c r="W1973" t="s">
        <v>165</v>
      </c>
      <c r="X1973" t="s">
        <v>45</v>
      </c>
      <c r="Y1973" s="1">
        <v>20561</v>
      </c>
      <c r="Z1973">
        <v>2</v>
      </c>
      <c r="AA1973" t="s">
        <v>224</v>
      </c>
      <c r="AB1973" s="40" t="s">
        <v>1797</v>
      </c>
    </row>
    <row r="1974" spans="1:28" x14ac:dyDescent="0.25">
      <c r="A1974">
        <v>99911973</v>
      </c>
      <c r="B1974" t="s">
        <v>32</v>
      </c>
      <c r="C1974" t="s">
        <v>143</v>
      </c>
      <c r="D1974" t="s">
        <v>144</v>
      </c>
      <c r="G1974" t="s">
        <v>48</v>
      </c>
      <c r="H1974">
        <v>1</v>
      </c>
      <c r="K1974" t="s">
        <v>223</v>
      </c>
      <c r="L1974" t="s">
        <v>224</v>
      </c>
      <c r="M1974" t="s">
        <v>131</v>
      </c>
      <c r="N1974">
        <v>18</v>
      </c>
      <c r="P1974" t="s">
        <v>41</v>
      </c>
      <c r="Q1974" t="s">
        <v>49</v>
      </c>
      <c r="R1974" t="str">
        <f>"0581204"</f>
        <v>0581204</v>
      </c>
      <c r="S1974" t="s">
        <v>249</v>
      </c>
      <c r="T1974" t="s">
        <v>223</v>
      </c>
      <c r="U1974" t="s">
        <v>224</v>
      </c>
      <c r="V1974" t="s">
        <v>131</v>
      </c>
      <c r="W1974" t="s">
        <v>165</v>
      </c>
      <c r="X1974" t="s">
        <v>45</v>
      </c>
      <c r="Y1974" s="1">
        <v>20553</v>
      </c>
      <c r="Z1974">
        <v>2</v>
      </c>
      <c r="AA1974" t="s">
        <v>224</v>
      </c>
      <c r="AB1974" s="40" t="s">
        <v>1797</v>
      </c>
    </row>
    <row r="1975" spans="1:28" x14ac:dyDescent="0.25">
      <c r="A1975">
        <v>99911974</v>
      </c>
      <c r="B1975" t="s">
        <v>56</v>
      </c>
      <c r="C1975" t="s">
        <v>52</v>
      </c>
      <c r="D1975" t="s">
        <v>53</v>
      </c>
      <c r="G1975" t="s">
        <v>48</v>
      </c>
      <c r="H1975">
        <v>1</v>
      </c>
      <c r="K1975" t="s">
        <v>380</v>
      </c>
      <c r="L1975" t="s">
        <v>381</v>
      </c>
      <c r="M1975" t="s">
        <v>131</v>
      </c>
      <c r="N1975">
        <v>18</v>
      </c>
      <c r="P1975" t="s">
        <v>41</v>
      </c>
      <c r="Q1975" t="s">
        <v>42</v>
      </c>
      <c r="R1975" t="str">
        <f>"0590908"</f>
        <v>0590908</v>
      </c>
      <c r="S1975" t="s">
        <v>382</v>
      </c>
      <c r="T1975" t="s">
        <v>380</v>
      </c>
      <c r="U1975" t="s">
        <v>381</v>
      </c>
      <c r="V1975" t="s">
        <v>131</v>
      </c>
      <c r="W1975" t="s">
        <v>51</v>
      </c>
      <c r="X1975" t="s">
        <v>45</v>
      </c>
      <c r="Y1975" s="1">
        <v>20553</v>
      </c>
      <c r="Z1975">
        <v>2</v>
      </c>
      <c r="AA1975" t="s">
        <v>381</v>
      </c>
      <c r="AB1975" s="40" t="s">
        <v>1797</v>
      </c>
    </row>
    <row r="1976" spans="1:28" x14ac:dyDescent="0.25">
      <c r="A1976">
        <v>99911975</v>
      </c>
      <c r="B1976" t="s">
        <v>56</v>
      </c>
      <c r="C1976" t="s">
        <v>46</v>
      </c>
      <c r="D1976" t="s">
        <v>47</v>
      </c>
      <c r="G1976" t="s">
        <v>35</v>
      </c>
      <c r="H1976">
        <v>1</v>
      </c>
      <c r="K1976" t="s">
        <v>223</v>
      </c>
      <c r="L1976" t="s">
        <v>224</v>
      </c>
      <c r="M1976" t="s">
        <v>131</v>
      </c>
      <c r="N1976">
        <v>18</v>
      </c>
      <c r="P1976" t="s">
        <v>41</v>
      </c>
      <c r="Q1976" t="s">
        <v>49</v>
      </c>
      <c r="R1976" t="str">
        <f>"0581207"</f>
        <v>0581207</v>
      </c>
      <c r="S1976" t="s">
        <v>233</v>
      </c>
      <c r="T1976" t="s">
        <v>223</v>
      </c>
      <c r="U1976" t="s">
        <v>224</v>
      </c>
      <c r="V1976" t="s">
        <v>131</v>
      </c>
      <c r="W1976" t="s">
        <v>165</v>
      </c>
      <c r="X1976" t="s">
        <v>45</v>
      </c>
      <c r="Y1976" s="1">
        <v>20478</v>
      </c>
      <c r="Z1976">
        <v>2</v>
      </c>
      <c r="AA1976" t="s">
        <v>224</v>
      </c>
      <c r="AB1976" s="40" t="s">
        <v>1797</v>
      </c>
    </row>
    <row r="1977" spans="1:28" x14ac:dyDescent="0.25">
      <c r="A1977">
        <v>99911976</v>
      </c>
      <c r="B1977" t="s">
        <v>56</v>
      </c>
      <c r="C1977" t="s">
        <v>52</v>
      </c>
      <c r="D1977" t="s">
        <v>53</v>
      </c>
      <c r="G1977" t="s">
        <v>48</v>
      </c>
      <c r="H1977">
        <v>1</v>
      </c>
      <c r="K1977" t="s">
        <v>223</v>
      </c>
      <c r="L1977" t="s">
        <v>224</v>
      </c>
      <c r="M1977" t="s">
        <v>131</v>
      </c>
      <c r="N1977">
        <v>18</v>
      </c>
      <c r="P1977" t="s">
        <v>41</v>
      </c>
      <c r="Q1977" t="s">
        <v>42</v>
      </c>
      <c r="R1977" t="str">
        <f>"0580202"</f>
        <v>0580202</v>
      </c>
      <c r="S1977" t="s">
        <v>240</v>
      </c>
      <c r="T1977" t="s">
        <v>223</v>
      </c>
      <c r="U1977" t="s">
        <v>224</v>
      </c>
      <c r="V1977" t="s">
        <v>131</v>
      </c>
      <c r="W1977" t="s">
        <v>51</v>
      </c>
      <c r="X1977" t="s">
        <v>45</v>
      </c>
      <c r="Y1977" s="1">
        <v>20383</v>
      </c>
      <c r="Z1977">
        <v>2</v>
      </c>
      <c r="AA1977" t="s">
        <v>224</v>
      </c>
      <c r="AB1977" s="40" t="s">
        <v>1797</v>
      </c>
    </row>
    <row r="1978" spans="1:28" x14ac:dyDescent="0.25">
      <c r="A1978">
        <v>99911977</v>
      </c>
      <c r="B1978" t="s">
        <v>56</v>
      </c>
      <c r="C1978" t="s">
        <v>68</v>
      </c>
      <c r="D1978" t="s">
        <v>69</v>
      </c>
      <c r="G1978" t="s">
        <v>48</v>
      </c>
      <c r="H1978">
        <v>1</v>
      </c>
      <c r="K1978" t="s">
        <v>223</v>
      </c>
      <c r="L1978" t="s">
        <v>224</v>
      </c>
      <c r="M1978" t="s">
        <v>131</v>
      </c>
      <c r="N1978">
        <v>18</v>
      </c>
      <c r="P1978" t="s">
        <v>41</v>
      </c>
      <c r="Q1978" t="s">
        <v>42</v>
      </c>
      <c r="R1978" t="str">
        <f>"0590910"</f>
        <v>0590910</v>
      </c>
      <c r="S1978" t="s">
        <v>227</v>
      </c>
      <c r="T1978" t="s">
        <v>223</v>
      </c>
      <c r="U1978" t="s">
        <v>224</v>
      </c>
      <c r="V1978" t="s">
        <v>131</v>
      </c>
      <c r="W1978" t="s">
        <v>51</v>
      </c>
      <c r="X1978" t="s">
        <v>45</v>
      </c>
      <c r="Y1978" s="1">
        <v>20380</v>
      </c>
      <c r="Z1978">
        <v>2</v>
      </c>
      <c r="AA1978" t="s">
        <v>224</v>
      </c>
      <c r="AB1978" s="40" t="s">
        <v>1797</v>
      </c>
    </row>
    <row r="1979" spans="1:28" x14ac:dyDescent="0.25">
      <c r="A1979">
        <v>99911978</v>
      </c>
      <c r="B1979" t="s">
        <v>56</v>
      </c>
      <c r="C1979" t="s">
        <v>68</v>
      </c>
      <c r="D1979" t="s">
        <v>69</v>
      </c>
      <c r="G1979" t="s">
        <v>48</v>
      </c>
      <c r="H1979">
        <v>1</v>
      </c>
      <c r="K1979" t="s">
        <v>1268</v>
      </c>
      <c r="L1979" t="s">
        <v>1269</v>
      </c>
      <c r="M1979" t="s">
        <v>1270</v>
      </c>
      <c r="N1979">
        <v>18</v>
      </c>
      <c r="P1979" t="s">
        <v>41</v>
      </c>
      <c r="Q1979" t="s">
        <v>42</v>
      </c>
      <c r="R1979" t="str">
        <f>"1990910"</f>
        <v>1990910</v>
      </c>
      <c r="S1979" t="s">
        <v>1281</v>
      </c>
      <c r="T1979" t="s">
        <v>1268</v>
      </c>
      <c r="U1979" t="s">
        <v>1269</v>
      </c>
      <c r="V1979" t="s">
        <v>1270</v>
      </c>
      <c r="W1979" t="s">
        <v>165</v>
      </c>
      <c r="X1979" t="s">
        <v>45</v>
      </c>
      <c r="Y1979" s="1">
        <v>20371</v>
      </c>
      <c r="Z1979">
        <v>2</v>
      </c>
      <c r="AA1979" t="s">
        <v>1269</v>
      </c>
      <c r="AB1979" s="40" t="s">
        <v>1797</v>
      </c>
    </row>
    <row r="1980" spans="1:28" x14ac:dyDescent="0.25">
      <c r="A1980">
        <v>99911979</v>
      </c>
      <c r="B1980" t="s">
        <v>56</v>
      </c>
      <c r="C1980" t="s">
        <v>46</v>
      </c>
      <c r="D1980" t="s">
        <v>47</v>
      </c>
      <c r="G1980" t="s">
        <v>35</v>
      </c>
      <c r="H1980">
        <v>1</v>
      </c>
      <c r="K1980" t="s">
        <v>223</v>
      </c>
      <c r="L1980" t="s">
        <v>224</v>
      </c>
      <c r="M1980" t="s">
        <v>131</v>
      </c>
      <c r="N1980">
        <v>18</v>
      </c>
      <c r="P1980" t="s">
        <v>41</v>
      </c>
      <c r="Q1980" t="s">
        <v>42</v>
      </c>
      <c r="R1980" t="str">
        <f>"0590903"</f>
        <v>0590903</v>
      </c>
      <c r="S1980" t="s">
        <v>226</v>
      </c>
      <c r="T1980" t="s">
        <v>223</v>
      </c>
      <c r="U1980" t="s">
        <v>224</v>
      </c>
      <c r="V1980" t="s">
        <v>131</v>
      </c>
      <c r="W1980" t="s">
        <v>51</v>
      </c>
      <c r="X1980" t="s">
        <v>45</v>
      </c>
      <c r="Y1980" s="1">
        <v>20353</v>
      </c>
      <c r="Z1980">
        <v>2</v>
      </c>
      <c r="AA1980" t="s">
        <v>224</v>
      </c>
      <c r="AB1980" s="40" t="s">
        <v>1797</v>
      </c>
    </row>
    <row r="1981" spans="1:28" x14ac:dyDescent="0.25">
      <c r="A1981">
        <v>99911980</v>
      </c>
      <c r="B1981" t="s">
        <v>32</v>
      </c>
      <c r="C1981" t="s">
        <v>46</v>
      </c>
      <c r="D1981" t="s">
        <v>47</v>
      </c>
      <c r="G1981" t="s">
        <v>48</v>
      </c>
      <c r="H1981">
        <v>1</v>
      </c>
      <c r="K1981" t="s">
        <v>162</v>
      </c>
      <c r="L1981" t="s">
        <v>158</v>
      </c>
      <c r="M1981" t="s">
        <v>131</v>
      </c>
      <c r="N1981">
        <v>18</v>
      </c>
      <c r="P1981" t="s">
        <v>41</v>
      </c>
      <c r="Q1981" t="s">
        <v>42</v>
      </c>
      <c r="R1981" t="str">
        <f>"0580325"</f>
        <v>0580325</v>
      </c>
      <c r="S1981" t="s">
        <v>170</v>
      </c>
      <c r="T1981" t="s">
        <v>162</v>
      </c>
      <c r="U1981" t="s">
        <v>158</v>
      </c>
      <c r="V1981" t="s">
        <v>131</v>
      </c>
      <c r="W1981" t="s">
        <v>165</v>
      </c>
      <c r="X1981" t="s">
        <v>45</v>
      </c>
      <c r="Y1981" s="1">
        <v>20347</v>
      </c>
      <c r="Z1981">
        <v>2</v>
      </c>
      <c r="AA1981" t="s">
        <v>158</v>
      </c>
      <c r="AB1981" s="40" t="s">
        <v>1797</v>
      </c>
    </row>
    <row r="1982" spans="1:28" x14ac:dyDescent="0.25">
      <c r="A1982">
        <v>99911981</v>
      </c>
      <c r="B1982" t="s">
        <v>32</v>
      </c>
      <c r="C1982" t="s">
        <v>64</v>
      </c>
      <c r="D1982" t="s">
        <v>65</v>
      </c>
      <c r="G1982" t="s">
        <v>35</v>
      </c>
      <c r="H1982">
        <v>1</v>
      </c>
      <c r="I1982">
        <v>0</v>
      </c>
      <c r="J1982" s="1">
        <v>43344</v>
      </c>
      <c r="K1982" t="s">
        <v>223</v>
      </c>
      <c r="L1982" t="s">
        <v>224</v>
      </c>
      <c r="M1982" t="s">
        <v>131</v>
      </c>
      <c r="N1982">
        <v>18</v>
      </c>
      <c r="O1982" s="1">
        <v>43344</v>
      </c>
      <c r="P1982" t="s">
        <v>41</v>
      </c>
      <c r="Q1982" t="s">
        <v>42</v>
      </c>
      <c r="R1982" t="str">
        <f>"0580206"</f>
        <v>0580206</v>
      </c>
      <c r="S1982" t="s">
        <v>237</v>
      </c>
      <c r="T1982" t="s">
        <v>223</v>
      </c>
      <c r="U1982" t="s">
        <v>224</v>
      </c>
      <c r="V1982" t="s">
        <v>131</v>
      </c>
      <c r="W1982" t="s">
        <v>51</v>
      </c>
      <c r="X1982" t="s">
        <v>45</v>
      </c>
      <c r="Y1982" s="1">
        <v>20298</v>
      </c>
      <c r="Z1982">
        <v>2</v>
      </c>
      <c r="AA1982" t="s">
        <v>224</v>
      </c>
      <c r="AB1982" s="40" t="s">
        <v>1797</v>
      </c>
    </row>
    <row r="1983" spans="1:28" x14ac:dyDescent="0.25">
      <c r="A1983">
        <v>99911982</v>
      </c>
      <c r="B1983" t="s">
        <v>32</v>
      </c>
      <c r="C1983" t="s">
        <v>46</v>
      </c>
      <c r="D1983" t="s">
        <v>47</v>
      </c>
      <c r="G1983" t="s">
        <v>35</v>
      </c>
      <c r="H1983">
        <v>1</v>
      </c>
      <c r="K1983" t="s">
        <v>223</v>
      </c>
      <c r="L1983" t="s">
        <v>224</v>
      </c>
      <c r="M1983" t="s">
        <v>131</v>
      </c>
      <c r="N1983">
        <v>18</v>
      </c>
      <c r="P1983" t="s">
        <v>41</v>
      </c>
      <c r="Q1983" t="s">
        <v>42</v>
      </c>
      <c r="R1983" t="str">
        <f>"0590901"</f>
        <v>0590901</v>
      </c>
      <c r="S1983" t="s">
        <v>242</v>
      </c>
      <c r="T1983" t="s">
        <v>223</v>
      </c>
      <c r="U1983" t="s">
        <v>224</v>
      </c>
      <c r="V1983" t="s">
        <v>131</v>
      </c>
      <c r="W1983" t="s">
        <v>165</v>
      </c>
      <c r="X1983" t="s">
        <v>45</v>
      </c>
      <c r="Y1983" s="1">
        <v>20209</v>
      </c>
      <c r="Z1983">
        <v>2</v>
      </c>
      <c r="AA1983" t="s">
        <v>224</v>
      </c>
      <c r="AB1983" s="40" t="s">
        <v>1797</v>
      </c>
    </row>
    <row r="1984" spans="1:28" x14ac:dyDescent="0.25">
      <c r="A1984">
        <v>99911983</v>
      </c>
      <c r="B1984" t="s">
        <v>56</v>
      </c>
      <c r="C1984" t="s">
        <v>46</v>
      </c>
      <c r="D1984" t="s">
        <v>47</v>
      </c>
      <c r="G1984" t="s">
        <v>35</v>
      </c>
      <c r="H1984">
        <v>1</v>
      </c>
      <c r="I1984">
        <v>0</v>
      </c>
      <c r="J1984" s="1">
        <v>43344</v>
      </c>
      <c r="K1984" t="s">
        <v>223</v>
      </c>
      <c r="L1984" t="s">
        <v>224</v>
      </c>
      <c r="M1984" t="s">
        <v>131</v>
      </c>
      <c r="N1984">
        <v>18</v>
      </c>
      <c r="O1984" s="1">
        <v>43344</v>
      </c>
      <c r="P1984" t="s">
        <v>41</v>
      </c>
      <c r="Q1984" t="s">
        <v>49</v>
      </c>
      <c r="R1984" t="str">
        <f>"0581202"</f>
        <v>0581202</v>
      </c>
      <c r="S1984" t="s">
        <v>248</v>
      </c>
      <c r="T1984" t="s">
        <v>223</v>
      </c>
      <c r="U1984" t="s">
        <v>224</v>
      </c>
      <c r="V1984" t="s">
        <v>131</v>
      </c>
      <c r="W1984" t="s">
        <v>165</v>
      </c>
      <c r="X1984" t="s">
        <v>45</v>
      </c>
      <c r="Y1984" s="1">
        <v>20181</v>
      </c>
      <c r="Z1984">
        <v>2</v>
      </c>
      <c r="AA1984" t="s">
        <v>224</v>
      </c>
      <c r="AB1984" s="40" t="s">
        <v>1797</v>
      </c>
    </row>
    <row r="1985" spans="1:28" x14ac:dyDescent="0.25">
      <c r="A1985">
        <v>99911984</v>
      </c>
      <c r="B1985" t="s">
        <v>56</v>
      </c>
      <c r="C1985" t="s">
        <v>46</v>
      </c>
      <c r="D1985" t="s">
        <v>47</v>
      </c>
      <c r="G1985" t="s">
        <v>48</v>
      </c>
      <c r="H1985">
        <v>1</v>
      </c>
      <c r="K1985" t="s">
        <v>1268</v>
      </c>
      <c r="L1985" t="s">
        <v>1269</v>
      </c>
      <c r="M1985" t="s">
        <v>1270</v>
      </c>
      <c r="N1985">
        <v>18</v>
      </c>
      <c r="P1985" t="s">
        <v>41</v>
      </c>
      <c r="Q1985" t="s">
        <v>42</v>
      </c>
      <c r="R1985" t="str">
        <f>"1990911"</f>
        <v>1990911</v>
      </c>
      <c r="S1985" t="s">
        <v>1276</v>
      </c>
      <c r="T1985" t="s">
        <v>1268</v>
      </c>
      <c r="U1985" t="s">
        <v>1269</v>
      </c>
      <c r="V1985" t="s">
        <v>1270</v>
      </c>
      <c r="W1985" t="s">
        <v>165</v>
      </c>
      <c r="X1985" t="s">
        <v>45</v>
      </c>
      <c r="Y1985" s="1">
        <v>20171</v>
      </c>
      <c r="Z1985">
        <v>2</v>
      </c>
      <c r="AA1985" t="s">
        <v>1269</v>
      </c>
      <c r="AB1985" s="40" t="s">
        <v>1797</v>
      </c>
    </row>
    <row r="1986" spans="1:28" x14ac:dyDescent="0.25">
      <c r="A1986">
        <v>99911985</v>
      </c>
      <c r="B1986" t="s">
        <v>32</v>
      </c>
      <c r="C1986" t="s">
        <v>139</v>
      </c>
      <c r="D1986" t="s">
        <v>140</v>
      </c>
      <c r="G1986" t="s">
        <v>35</v>
      </c>
      <c r="H1986">
        <v>1</v>
      </c>
      <c r="K1986" t="s">
        <v>162</v>
      </c>
      <c r="L1986" t="s">
        <v>158</v>
      </c>
      <c r="M1986" t="s">
        <v>131</v>
      </c>
      <c r="N1986">
        <v>18</v>
      </c>
      <c r="P1986" t="s">
        <v>41</v>
      </c>
      <c r="Q1986" t="s">
        <v>49</v>
      </c>
      <c r="R1986" t="str">
        <f>"0581325"</f>
        <v>0581325</v>
      </c>
      <c r="S1986" t="s">
        <v>169</v>
      </c>
      <c r="T1986" t="s">
        <v>162</v>
      </c>
      <c r="U1986" t="s">
        <v>158</v>
      </c>
      <c r="V1986" t="s">
        <v>131</v>
      </c>
      <c r="W1986" t="s">
        <v>165</v>
      </c>
      <c r="X1986" t="s">
        <v>45</v>
      </c>
      <c r="Y1986" s="1">
        <v>20128</v>
      </c>
      <c r="Z1986">
        <v>2</v>
      </c>
      <c r="AA1986" t="s">
        <v>158</v>
      </c>
      <c r="AB1986" s="40" t="s">
        <v>1797</v>
      </c>
    </row>
    <row r="1987" spans="1:28" x14ac:dyDescent="0.25">
      <c r="A1987">
        <v>99911986</v>
      </c>
      <c r="B1987" t="s">
        <v>56</v>
      </c>
      <c r="C1987" t="s">
        <v>68</v>
      </c>
      <c r="D1987" t="s">
        <v>69</v>
      </c>
      <c r="G1987" t="s">
        <v>35</v>
      </c>
      <c r="H1987">
        <v>1</v>
      </c>
      <c r="K1987" t="s">
        <v>223</v>
      </c>
      <c r="L1987" t="s">
        <v>224</v>
      </c>
      <c r="M1987" t="s">
        <v>131</v>
      </c>
      <c r="N1987">
        <v>18</v>
      </c>
      <c r="P1987" t="s">
        <v>41</v>
      </c>
      <c r="Q1987" t="s">
        <v>42</v>
      </c>
      <c r="R1987" t="str">
        <f>"0590901"</f>
        <v>0590901</v>
      </c>
      <c r="S1987" t="s">
        <v>242</v>
      </c>
      <c r="T1987" t="s">
        <v>223</v>
      </c>
      <c r="U1987" t="s">
        <v>224</v>
      </c>
      <c r="V1987" t="s">
        <v>131</v>
      </c>
      <c r="W1987" t="s">
        <v>165</v>
      </c>
      <c r="X1987" t="s">
        <v>45</v>
      </c>
      <c r="Y1987" s="1">
        <v>20057</v>
      </c>
      <c r="Z1987">
        <v>2</v>
      </c>
      <c r="AA1987" t="s">
        <v>224</v>
      </c>
      <c r="AB1987" s="40" t="s">
        <v>1797</v>
      </c>
    </row>
    <row r="1988" spans="1:28" x14ac:dyDescent="0.25">
      <c r="A1988">
        <v>99911987</v>
      </c>
      <c r="B1988" t="s">
        <v>32</v>
      </c>
      <c r="C1988" t="s">
        <v>64</v>
      </c>
      <c r="D1988" t="s">
        <v>65</v>
      </c>
      <c r="G1988" t="s">
        <v>35</v>
      </c>
      <c r="H1988">
        <v>1</v>
      </c>
      <c r="K1988" t="s">
        <v>223</v>
      </c>
      <c r="L1988" t="s">
        <v>224</v>
      </c>
      <c r="M1988" t="s">
        <v>131</v>
      </c>
      <c r="N1988">
        <v>18</v>
      </c>
      <c r="P1988" t="s">
        <v>41</v>
      </c>
      <c r="Q1988" t="s">
        <v>49</v>
      </c>
      <c r="R1988" t="str">
        <f>"0591901"</f>
        <v>0591901</v>
      </c>
      <c r="S1988" t="s">
        <v>230</v>
      </c>
      <c r="T1988" t="s">
        <v>223</v>
      </c>
      <c r="U1988" t="s">
        <v>224</v>
      </c>
      <c r="V1988" t="s">
        <v>131</v>
      </c>
      <c r="W1988" t="s">
        <v>51</v>
      </c>
      <c r="X1988" t="s">
        <v>45</v>
      </c>
      <c r="Y1988" s="1">
        <v>20045</v>
      </c>
      <c r="Z1988">
        <v>2</v>
      </c>
      <c r="AA1988" t="s">
        <v>224</v>
      </c>
      <c r="AB1988" s="40" t="s">
        <v>1797</v>
      </c>
    </row>
    <row r="1989" spans="1:28" x14ac:dyDescent="0.25">
      <c r="A1989">
        <v>99911988</v>
      </c>
      <c r="B1989" t="s">
        <v>56</v>
      </c>
      <c r="C1989" t="s">
        <v>52</v>
      </c>
      <c r="D1989" t="s">
        <v>53</v>
      </c>
      <c r="G1989" t="s">
        <v>48</v>
      </c>
      <c r="H1989">
        <v>17</v>
      </c>
      <c r="K1989" t="s">
        <v>1268</v>
      </c>
      <c r="L1989" t="s">
        <v>1269</v>
      </c>
      <c r="M1989" t="s">
        <v>1270</v>
      </c>
      <c r="N1989">
        <v>18</v>
      </c>
      <c r="P1989" t="s">
        <v>41</v>
      </c>
      <c r="Q1989" t="s">
        <v>42</v>
      </c>
      <c r="R1989" t="str">
        <f>"1990910"</f>
        <v>1990910</v>
      </c>
      <c r="S1989" t="s">
        <v>1281</v>
      </c>
      <c r="T1989" t="s">
        <v>1268</v>
      </c>
      <c r="U1989" t="s">
        <v>1269</v>
      </c>
      <c r="V1989" t="s">
        <v>1270</v>
      </c>
      <c r="W1989" t="s">
        <v>51</v>
      </c>
      <c r="X1989" t="s">
        <v>45</v>
      </c>
      <c r="Y1989" s="1">
        <v>19989</v>
      </c>
      <c r="Z1989">
        <v>2</v>
      </c>
      <c r="AA1989" t="s">
        <v>1269</v>
      </c>
      <c r="AB1989" s="40" t="s">
        <v>1797</v>
      </c>
    </row>
    <row r="1990" spans="1:28" x14ac:dyDescent="0.25">
      <c r="A1990">
        <v>99911989</v>
      </c>
      <c r="B1990" t="s">
        <v>32</v>
      </c>
      <c r="C1990" t="s">
        <v>82</v>
      </c>
      <c r="D1990" t="s">
        <v>83</v>
      </c>
      <c r="G1990" t="s">
        <v>48</v>
      </c>
      <c r="H1990">
        <v>1</v>
      </c>
      <c r="K1990" t="s">
        <v>223</v>
      </c>
      <c r="L1990" t="s">
        <v>224</v>
      </c>
      <c r="M1990" t="s">
        <v>131</v>
      </c>
      <c r="N1990">
        <v>18</v>
      </c>
      <c r="P1990" t="s">
        <v>41</v>
      </c>
      <c r="Q1990" t="s">
        <v>49</v>
      </c>
      <c r="R1990" t="str">
        <f>"0509999"</f>
        <v>0509999</v>
      </c>
      <c r="S1990" t="s">
        <v>247</v>
      </c>
      <c r="T1990" t="s">
        <v>223</v>
      </c>
      <c r="U1990" t="s">
        <v>224</v>
      </c>
      <c r="V1990" t="s">
        <v>131</v>
      </c>
      <c r="W1990" t="s">
        <v>51</v>
      </c>
      <c r="X1990" t="s">
        <v>45</v>
      </c>
      <c r="Y1990" s="1">
        <v>19882</v>
      </c>
      <c r="Z1990">
        <v>2</v>
      </c>
      <c r="AA1990" t="s">
        <v>224</v>
      </c>
      <c r="AB1990" s="40" t="s">
        <v>1797</v>
      </c>
    </row>
    <row r="1991" spans="1:28" x14ac:dyDescent="0.25">
      <c r="A1991">
        <v>99911990</v>
      </c>
      <c r="B1991" t="s">
        <v>56</v>
      </c>
      <c r="C1991" t="s">
        <v>139</v>
      </c>
      <c r="D1991" t="s">
        <v>140</v>
      </c>
      <c r="G1991" t="s">
        <v>48</v>
      </c>
      <c r="H1991">
        <v>1</v>
      </c>
      <c r="K1991" t="s">
        <v>345</v>
      </c>
      <c r="L1991" t="s">
        <v>346</v>
      </c>
      <c r="M1991" t="s">
        <v>131</v>
      </c>
      <c r="N1991">
        <v>18</v>
      </c>
      <c r="P1991" t="s">
        <v>41</v>
      </c>
      <c r="Q1991" t="s">
        <v>49</v>
      </c>
      <c r="R1991" t="str">
        <f>"0591906"</f>
        <v>0591906</v>
      </c>
      <c r="S1991" t="s">
        <v>350</v>
      </c>
      <c r="T1991" t="s">
        <v>345</v>
      </c>
      <c r="U1991" t="s">
        <v>346</v>
      </c>
      <c r="V1991" t="s">
        <v>131</v>
      </c>
      <c r="W1991" t="s">
        <v>51</v>
      </c>
      <c r="X1991" t="s">
        <v>45</v>
      </c>
      <c r="Y1991" s="1">
        <v>19829</v>
      </c>
      <c r="Z1991">
        <v>2</v>
      </c>
      <c r="AA1991" t="s">
        <v>346</v>
      </c>
      <c r="AB1991" s="40" t="s">
        <v>1797</v>
      </c>
    </row>
    <row r="1992" spans="1:28" x14ac:dyDescent="0.25">
      <c r="A1992">
        <v>99911991</v>
      </c>
      <c r="B1992" t="s">
        <v>56</v>
      </c>
      <c r="C1992" t="s">
        <v>85</v>
      </c>
      <c r="D1992" t="s">
        <v>86</v>
      </c>
      <c r="G1992" t="s">
        <v>35</v>
      </c>
      <c r="H1992">
        <v>1</v>
      </c>
      <c r="K1992" t="s">
        <v>223</v>
      </c>
      <c r="L1992" t="s">
        <v>224</v>
      </c>
      <c r="M1992" t="s">
        <v>131</v>
      </c>
      <c r="N1992">
        <v>18</v>
      </c>
      <c r="P1992" t="s">
        <v>41</v>
      </c>
      <c r="Q1992" t="s">
        <v>49</v>
      </c>
      <c r="R1992" t="str">
        <f>"0581207"</f>
        <v>0581207</v>
      </c>
      <c r="S1992" t="s">
        <v>233</v>
      </c>
      <c r="T1992" t="s">
        <v>223</v>
      </c>
      <c r="U1992" t="s">
        <v>224</v>
      </c>
      <c r="V1992" t="s">
        <v>131</v>
      </c>
      <c r="W1992" t="s">
        <v>165</v>
      </c>
      <c r="X1992" t="s">
        <v>45</v>
      </c>
      <c r="Y1992" s="1">
        <v>19753</v>
      </c>
      <c r="Z1992">
        <v>2</v>
      </c>
      <c r="AA1992" t="s">
        <v>224</v>
      </c>
      <c r="AB1992" s="40" t="s">
        <v>1797</v>
      </c>
    </row>
    <row r="1993" spans="1:28" x14ac:dyDescent="0.25">
      <c r="A1993">
        <v>99911992</v>
      </c>
      <c r="B1993" t="s">
        <v>56</v>
      </c>
      <c r="C1993" t="s">
        <v>52</v>
      </c>
      <c r="D1993" t="s">
        <v>53</v>
      </c>
      <c r="G1993" t="s">
        <v>48</v>
      </c>
      <c r="H1993">
        <v>1</v>
      </c>
      <c r="K1993" t="s">
        <v>380</v>
      </c>
      <c r="L1993" t="s">
        <v>381</v>
      </c>
      <c r="M1993" t="s">
        <v>131</v>
      </c>
      <c r="N1993">
        <v>18</v>
      </c>
      <c r="P1993" t="s">
        <v>41</v>
      </c>
      <c r="Q1993" t="s">
        <v>42</v>
      </c>
      <c r="R1993" t="str">
        <f>"0590909"</f>
        <v>0590909</v>
      </c>
      <c r="S1993" t="s">
        <v>388</v>
      </c>
      <c r="T1993" t="s">
        <v>380</v>
      </c>
      <c r="U1993" t="s">
        <v>381</v>
      </c>
      <c r="V1993" t="s">
        <v>131</v>
      </c>
      <c r="W1993" t="s">
        <v>51</v>
      </c>
      <c r="X1993" t="s">
        <v>45</v>
      </c>
      <c r="Y1993" s="1">
        <v>19745</v>
      </c>
      <c r="Z1993">
        <v>2</v>
      </c>
      <c r="AA1993" t="s">
        <v>381</v>
      </c>
      <c r="AB1993" s="40" t="s">
        <v>1797</v>
      </c>
    </row>
    <row r="1994" spans="1:28" x14ac:dyDescent="0.25">
      <c r="A1994">
        <v>99911993</v>
      </c>
      <c r="B1994" t="s">
        <v>56</v>
      </c>
      <c r="C1994" t="s">
        <v>68</v>
      </c>
      <c r="D1994" t="s">
        <v>69</v>
      </c>
      <c r="G1994" t="s">
        <v>48</v>
      </c>
      <c r="H1994">
        <v>1</v>
      </c>
      <c r="K1994" t="s">
        <v>162</v>
      </c>
      <c r="L1994" t="s">
        <v>158</v>
      </c>
      <c r="M1994" t="s">
        <v>131</v>
      </c>
      <c r="N1994">
        <v>18</v>
      </c>
      <c r="P1994" t="s">
        <v>41</v>
      </c>
      <c r="Q1994" t="s">
        <v>49</v>
      </c>
      <c r="R1994" t="str">
        <f>"0505050"</f>
        <v>0505050</v>
      </c>
      <c r="S1994" t="s">
        <v>163</v>
      </c>
      <c r="T1994" t="s">
        <v>162</v>
      </c>
      <c r="U1994" t="s">
        <v>158</v>
      </c>
      <c r="V1994" t="s">
        <v>131</v>
      </c>
      <c r="W1994" t="s">
        <v>165</v>
      </c>
      <c r="X1994" t="s">
        <v>45</v>
      </c>
      <c r="Y1994" s="1">
        <v>19637</v>
      </c>
      <c r="Z1994">
        <v>2</v>
      </c>
      <c r="AA1994" t="s">
        <v>158</v>
      </c>
      <c r="AB1994" s="40" t="s">
        <v>1797</v>
      </c>
    </row>
    <row r="1995" spans="1:28" x14ac:dyDescent="0.25">
      <c r="A1995">
        <v>99911994</v>
      </c>
      <c r="B1995" t="s">
        <v>32</v>
      </c>
      <c r="C1995" t="s">
        <v>64</v>
      </c>
      <c r="D1995" t="s">
        <v>65</v>
      </c>
      <c r="G1995" t="s">
        <v>35</v>
      </c>
      <c r="H1995">
        <v>1</v>
      </c>
      <c r="K1995" t="s">
        <v>223</v>
      </c>
      <c r="L1995" t="s">
        <v>224</v>
      </c>
      <c r="M1995" t="s">
        <v>131</v>
      </c>
      <c r="N1995">
        <v>18</v>
      </c>
      <c r="P1995" t="s">
        <v>41</v>
      </c>
      <c r="Q1995" t="s">
        <v>42</v>
      </c>
      <c r="R1995" t="str">
        <f>"0590901"</f>
        <v>0590901</v>
      </c>
      <c r="S1995" t="s">
        <v>242</v>
      </c>
      <c r="T1995" t="s">
        <v>223</v>
      </c>
      <c r="U1995" t="s">
        <v>224</v>
      </c>
      <c r="V1995" t="s">
        <v>131</v>
      </c>
      <c r="W1995" t="s">
        <v>51</v>
      </c>
      <c r="X1995" t="s">
        <v>45</v>
      </c>
      <c r="Y1995" s="1">
        <v>19594</v>
      </c>
      <c r="Z1995">
        <v>2</v>
      </c>
      <c r="AA1995" t="s">
        <v>224</v>
      </c>
      <c r="AB1995" s="40" t="s">
        <v>1797</v>
      </c>
    </row>
    <row r="1996" spans="1:28" x14ac:dyDescent="0.25">
      <c r="A1996">
        <v>99911995</v>
      </c>
      <c r="B1996" t="s">
        <v>56</v>
      </c>
      <c r="C1996" t="s">
        <v>33</v>
      </c>
      <c r="D1996" t="s">
        <v>34</v>
      </c>
      <c r="G1996" t="s">
        <v>35</v>
      </c>
      <c r="H1996">
        <v>1</v>
      </c>
      <c r="K1996" t="s">
        <v>1268</v>
      </c>
      <c r="L1996" t="s">
        <v>1269</v>
      </c>
      <c r="M1996" t="s">
        <v>1270</v>
      </c>
      <c r="N1996">
        <v>18</v>
      </c>
      <c r="P1996" t="s">
        <v>41</v>
      </c>
      <c r="Q1996" t="s">
        <v>42</v>
      </c>
      <c r="R1996" t="str">
        <f>"1990914"</f>
        <v>1990914</v>
      </c>
      <c r="S1996" t="s">
        <v>1275</v>
      </c>
      <c r="T1996" t="s">
        <v>1268</v>
      </c>
      <c r="U1996" t="s">
        <v>1269</v>
      </c>
      <c r="V1996" t="s">
        <v>1270</v>
      </c>
      <c r="W1996" t="s">
        <v>51</v>
      </c>
      <c r="X1996" t="s">
        <v>45</v>
      </c>
      <c r="Y1996" s="1">
        <v>19434</v>
      </c>
      <c r="Z1996">
        <v>2</v>
      </c>
      <c r="AA1996" t="s">
        <v>1269</v>
      </c>
      <c r="AB1996" s="40" t="s">
        <v>1797</v>
      </c>
    </row>
    <row r="1997" spans="1:28" x14ac:dyDescent="0.25">
      <c r="A1997">
        <v>99911996</v>
      </c>
      <c r="B1997" t="s">
        <v>32</v>
      </c>
      <c r="C1997" t="s">
        <v>64</v>
      </c>
      <c r="D1997" t="s">
        <v>65</v>
      </c>
      <c r="G1997" t="s">
        <v>35</v>
      </c>
      <c r="H1997">
        <v>1</v>
      </c>
      <c r="K1997" t="s">
        <v>223</v>
      </c>
      <c r="L1997" t="s">
        <v>224</v>
      </c>
      <c r="M1997" t="s">
        <v>131</v>
      </c>
      <c r="N1997">
        <v>18</v>
      </c>
      <c r="P1997" t="s">
        <v>41</v>
      </c>
      <c r="Q1997" t="s">
        <v>42</v>
      </c>
      <c r="R1997" t="str">
        <f>"0590903"</f>
        <v>0590903</v>
      </c>
      <c r="S1997" t="s">
        <v>226</v>
      </c>
      <c r="T1997" t="s">
        <v>223</v>
      </c>
      <c r="U1997" t="s">
        <v>224</v>
      </c>
      <c r="V1997" t="s">
        <v>131</v>
      </c>
      <c r="W1997" t="s">
        <v>51</v>
      </c>
      <c r="X1997" t="s">
        <v>45</v>
      </c>
      <c r="Y1997" s="1">
        <v>19401</v>
      </c>
      <c r="Z1997">
        <v>2</v>
      </c>
      <c r="AA1997" t="s">
        <v>224</v>
      </c>
      <c r="AB1997" s="40" t="s">
        <v>1797</v>
      </c>
    </row>
    <row r="1998" spans="1:28" x14ac:dyDescent="0.25">
      <c r="A1998">
        <v>99911997</v>
      </c>
      <c r="B1998" t="s">
        <v>32</v>
      </c>
      <c r="C1998" t="s">
        <v>139</v>
      </c>
      <c r="D1998" t="s">
        <v>140</v>
      </c>
      <c r="G1998" t="s">
        <v>48</v>
      </c>
      <c r="H1998">
        <v>17</v>
      </c>
      <c r="K1998" t="s">
        <v>345</v>
      </c>
      <c r="L1998" t="s">
        <v>346</v>
      </c>
      <c r="M1998" t="s">
        <v>131</v>
      </c>
      <c r="N1998">
        <v>18</v>
      </c>
      <c r="P1998" t="s">
        <v>41</v>
      </c>
      <c r="Q1998" t="s">
        <v>42</v>
      </c>
      <c r="R1998" t="str">
        <f>"0590906"</f>
        <v>0590906</v>
      </c>
      <c r="S1998" t="s">
        <v>361</v>
      </c>
      <c r="T1998" t="s">
        <v>345</v>
      </c>
      <c r="U1998" t="s">
        <v>346</v>
      </c>
      <c r="V1998" t="s">
        <v>131</v>
      </c>
      <c r="W1998" t="s">
        <v>51</v>
      </c>
      <c r="X1998" t="s">
        <v>45</v>
      </c>
      <c r="Y1998" s="1">
        <v>19384</v>
      </c>
      <c r="Z1998">
        <v>2</v>
      </c>
      <c r="AA1998" t="s">
        <v>346</v>
      </c>
      <c r="AB1998" s="40" t="s">
        <v>1797</v>
      </c>
    </row>
    <row r="1999" spans="1:28" x14ac:dyDescent="0.25">
      <c r="A1999">
        <v>99911998</v>
      </c>
      <c r="B1999" t="s">
        <v>56</v>
      </c>
      <c r="C1999" t="s">
        <v>52</v>
      </c>
      <c r="D1999" t="s">
        <v>53</v>
      </c>
      <c r="G1999" t="s">
        <v>48</v>
      </c>
      <c r="H1999">
        <v>14</v>
      </c>
      <c r="K1999" t="s">
        <v>1268</v>
      </c>
      <c r="L1999" t="s">
        <v>1269</v>
      </c>
      <c r="M1999" t="s">
        <v>1270</v>
      </c>
      <c r="N1999">
        <v>18</v>
      </c>
      <c r="O1999" s="1">
        <v>43344</v>
      </c>
      <c r="P1999" t="s">
        <v>41</v>
      </c>
      <c r="Q1999" t="s">
        <v>42</v>
      </c>
      <c r="R1999" t="str">
        <f>"1980055"</f>
        <v>1980055</v>
      </c>
      <c r="S1999" t="s">
        <v>1285</v>
      </c>
      <c r="T1999" t="s">
        <v>1268</v>
      </c>
      <c r="U1999" t="s">
        <v>1269</v>
      </c>
      <c r="V1999" t="s">
        <v>1270</v>
      </c>
      <c r="W1999" t="s">
        <v>165</v>
      </c>
      <c r="X1999" t="s">
        <v>45</v>
      </c>
      <c r="Y1999" s="1">
        <v>19360</v>
      </c>
      <c r="Z1999">
        <v>2</v>
      </c>
      <c r="AA1999" t="s">
        <v>1269</v>
      </c>
      <c r="AB1999" s="40" t="s">
        <v>1797</v>
      </c>
    </row>
    <row r="2000" spans="1:28" x14ac:dyDescent="0.25">
      <c r="A2000">
        <v>99911999</v>
      </c>
      <c r="B2000" t="s">
        <v>56</v>
      </c>
      <c r="C2000" t="s">
        <v>52</v>
      </c>
      <c r="D2000" t="s">
        <v>53</v>
      </c>
      <c r="G2000" t="s">
        <v>48</v>
      </c>
      <c r="H2000">
        <v>16</v>
      </c>
      <c r="K2000" t="s">
        <v>1268</v>
      </c>
      <c r="L2000" t="s">
        <v>1269</v>
      </c>
      <c r="M2000" t="s">
        <v>1270</v>
      </c>
      <c r="N2000">
        <v>18</v>
      </c>
      <c r="O2000" s="1">
        <v>43344</v>
      </c>
      <c r="P2000" t="s">
        <v>41</v>
      </c>
      <c r="Q2000" t="s">
        <v>42</v>
      </c>
      <c r="R2000" t="str">
        <f>"1980060"</f>
        <v>1980060</v>
      </c>
      <c r="S2000" t="s">
        <v>1277</v>
      </c>
      <c r="T2000" t="s">
        <v>1268</v>
      </c>
      <c r="U2000" t="s">
        <v>1269</v>
      </c>
      <c r="V2000" t="s">
        <v>1270</v>
      </c>
      <c r="W2000" t="s">
        <v>51</v>
      </c>
      <c r="X2000" t="s">
        <v>45</v>
      </c>
      <c r="Y2000" s="1">
        <v>19321</v>
      </c>
      <c r="Z2000">
        <v>2</v>
      </c>
      <c r="AA2000" t="s">
        <v>1269</v>
      </c>
      <c r="AB2000" s="40" t="s">
        <v>1797</v>
      </c>
    </row>
    <row r="2001" spans="1:28" x14ac:dyDescent="0.25">
      <c r="A2001">
        <v>99912000</v>
      </c>
      <c r="B2001" t="s">
        <v>32</v>
      </c>
      <c r="C2001" t="s">
        <v>139</v>
      </c>
      <c r="D2001" t="s">
        <v>140</v>
      </c>
      <c r="G2001" t="s">
        <v>48</v>
      </c>
      <c r="H2001">
        <v>1</v>
      </c>
      <c r="K2001" t="s">
        <v>162</v>
      </c>
      <c r="L2001" t="s">
        <v>158</v>
      </c>
      <c r="M2001" t="s">
        <v>131</v>
      </c>
      <c r="N2001">
        <v>18</v>
      </c>
      <c r="P2001" t="s">
        <v>41</v>
      </c>
      <c r="Q2001" t="s">
        <v>42</v>
      </c>
      <c r="R2001" t="str">
        <f>"0580320"</f>
        <v>0580320</v>
      </c>
      <c r="S2001" t="s">
        <v>164</v>
      </c>
      <c r="T2001" t="s">
        <v>162</v>
      </c>
      <c r="U2001" t="s">
        <v>158</v>
      </c>
      <c r="V2001" t="s">
        <v>131</v>
      </c>
      <c r="W2001" t="s">
        <v>165</v>
      </c>
      <c r="X2001" t="s">
        <v>45</v>
      </c>
      <c r="Y2001" s="1">
        <v>19320</v>
      </c>
      <c r="Z2001">
        <v>2</v>
      </c>
      <c r="AA2001" t="s">
        <v>158</v>
      </c>
      <c r="AB2001" s="40" t="s">
        <v>1797</v>
      </c>
    </row>
    <row r="2002" spans="1:28" x14ac:dyDescent="0.25">
      <c r="A2002">
        <v>99912001</v>
      </c>
      <c r="B2002" t="s">
        <v>32</v>
      </c>
      <c r="C2002" t="s">
        <v>71</v>
      </c>
      <c r="D2002" t="s">
        <v>72</v>
      </c>
      <c r="G2002" t="s">
        <v>48</v>
      </c>
      <c r="H2002">
        <v>1</v>
      </c>
      <c r="K2002" t="s">
        <v>223</v>
      </c>
      <c r="L2002" t="s">
        <v>224</v>
      </c>
      <c r="M2002" t="s">
        <v>131</v>
      </c>
      <c r="N2002">
        <v>18</v>
      </c>
      <c r="P2002" t="s">
        <v>41</v>
      </c>
      <c r="Q2002" t="s">
        <v>49</v>
      </c>
      <c r="R2002" t="str">
        <f>"0581202"</f>
        <v>0581202</v>
      </c>
      <c r="S2002" t="s">
        <v>248</v>
      </c>
      <c r="T2002" t="s">
        <v>223</v>
      </c>
      <c r="U2002" t="s">
        <v>224</v>
      </c>
      <c r="V2002" t="s">
        <v>131</v>
      </c>
      <c r="W2002" t="s">
        <v>165</v>
      </c>
      <c r="X2002" t="s">
        <v>45</v>
      </c>
      <c r="Y2002" s="1">
        <v>19303</v>
      </c>
      <c r="Z2002">
        <v>2</v>
      </c>
      <c r="AA2002" t="s">
        <v>224</v>
      </c>
      <c r="AB2002" s="40" t="s">
        <v>1797</v>
      </c>
    </row>
    <row r="2003" spans="1:28" x14ac:dyDescent="0.25">
      <c r="A2003">
        <v>99912002</v>
      </c>
      <c r="B2003" t="s">
        <v>32</v>
      </c>
      <c r="C2003" t="s">
        <v>64</v>
      </c>
      <c r="D2003" t="s">
        <v>65</v>
      </c>
      <c r="G2003" t="s">
        <v>35</v>
      </c>
      <c r="H2003">
        <v>1</v>
      </c>
      <c r="K2003" t="s">
        <v>223</v>
      </c>
      <c r="L2003" t="s">
        <v>224</v>
      </c>
      <c r="M2003" t="s">
        <v>131</v>
      </c>
      <c r="N2003">
        <v>18</v>
      </c>
      <c r="P2003" t="s">
        <v>41</v>
      </c>
      <c r="Q2003" t="s">
        <v>49</v>
      </c>
      <c r="R2003" t="str">
        <f>"0581207"</f>
        <v>0581207</v>
      </c>
      <c r="S2003" t="s">
        <v>233</v>
      </c>
      <c r="T2003" t="s">
        <v>223</v>
      </c>
      <c r="U2003" t="s">
        <v>224</v>
      </c>
      <c r="V2003" t="s">
        <v>131</v>
      </c>
      <c r="W2003" t="s">
        <v>165</v>
      </c>
      <c r="X2003" t="s">
        <v>45</v>
      </c>
      <c r="Y2003" s="1">
        <v>18768</v>
      </c>
      <c r="Z2003">
        <v>2</v>
      </c>
      <c r="AA2003" t="s">
        <v>224</v>
      </c>
      <c r="AB2003" s="40" t="s">
        <v>1797</v>
      </c>
    </row>
    <row r="2004" spans="1:28" x14ac:dyDescent="0.25">
      <c r="A2004">
        <v>99912003</v>
      </c>
      <c r="B2004" t="s">
        <v>56</v>
      </c>
      <c r="C2004" t="s">
        <v>68</v>
      </c>
      <c r="D2004" t="s">
        <v>69</v>
      </c>
      <c r="G2004" t="s">
        <v>48</v>
      </c>
      <c r="H2004">
        <v>1</v>
      </c>
      <c r="K2004" t="s">
        <v>223</v>
      </c>
      <c r="L2004" t="s">
        <v>224</v>
      </c>
      <c r="M2004" t="s">
        <v>131</v>
      </c>
      <c r="N2004">
        <v>18</v>
      </c>
      <c r="P2004" t="s">
        <v>41</v>
      </c>
      <c r="Q2004" t="s">
        <v>49</v>
      </c>
      <c r="R2004" t="str">
        <f>"0581265"</f>
        <v>0581265</v>
      </c>
      <c r="S2004" t="s">
        <v>236</v>
      </c>
      <c r="T2004" t="s">
        <v>223</v>
      </c>
      <c r="U2004" t="s">
        <v>224</v>
      </c>
      <c r="V2004" t="s">
        <v>131</v>
      </c>
      <c r="W2004" t="s">
        <v>51</v>
      </c>
      <c r="X2004" t="s">
        <v>45</v>
      </c>
      <c r="Y2004" s="1">
        <v>18571</v>
      </c>
      <c r="Z2004">
        <v>2</v>
      </c>
      <c r="AA2004" t="s">
        <v>224</v>
      </c>
      <c r="AB2004" s="40" t="s">
        <v>1797</v>
      </c>
    </row>
    <row r="2005" spans="1:28" x14ac:dyDescent="0.25">
      <c r="A2005">
        <v>99912004</v>
      </c>
      <c r="B2005" t="s">
        <v>32</v>
      </c>
      <c r="C2005" t="s">
        <v>58</v>
      </c>
      <c r="D2005" t="s">
        <v>59</v>
      </c>
      <c r="G2005" t="s">
        <v>48</v>
      </c>
      <c r="H2005">
        <v>1</v>
      </c>
      <c r="K2005" t="s">
        <v>162</v>
      </c>
      <c r="L2005" t="s">
        <v>158</v>
      </c>
      <c r="M2005" t="s">
        <v>131</v>
      </c>
      <c r="N2005">
        <v>18</v>
      </c>
      <c r="P2005" t="s">
        <v>41</v>
      </c>
      <c r="Q2005" t="s">
        <v>42</v>
      </c>
      <c r="R2005" t="str">
        <f>"0580325"</f>
        <v>0580325</v>
      </c>
      <c r="S2005" t="s">
        <v>170</v>
      </c>
      <c r="T2005" t="s">
        <v>162</v>
      </c>
      <c r="U2005" t="s">
        <v>158</v>
      </c>
      <c r="V2005" t="s">
        <v>131</v>
      </c>
      <c r="W2005" t="s">
        <v>51</v>
      </c>
      <c r="X2005" t="s">
        <v>45</v>
      </c>
      <c r="Y2005" s="1">
        <v>18431</v>
      </c>
      <c r="Z2005">
        <v>2</v>
      </c>
      <c r="AA2005" t="s">
        <v>158</v>
      </c>
      <c r="AB2005" s="40" t="s">
        <v>1797</v>
      </c>
    </row>
    <row r="2006" spans="1:28" x14ac:dyDescent="0.25">
      <c r="A2006">
        <v>99912005</v>
      </c>
      <c r="B2006" t="s">
        <v>56</v>
      </c>
      <c r="C2006" t="s">
        <v>68</v>
      </c>
      <c r="D2006" t="s">
        <v>69</v>
      </c>
      <c r="G2006" t="s">
        <v>35</v>
      </c>
      <c r="H2006">
        <v>1</v>
      </c>
      <c r="K2006" t="s">
        <v>223</v>
      </c>
      <c r="L2006" t="s">
        <v>224</v>
      </c>
      <c r="M2006" t="s">
        <v>131</v>
      </c>
      <c r="N2006">
        <v>18</v>
      </c>
      <c r="P2006" t="s">
        <v>41</v>
      </c>
      <c r="Q2006" t="s">
        <v>49</v>
      </c>
      <c r="R2006" t="str">
        <f>"0581207"</f>
        <v>0581207</v>
      </c>
      <c r="S2006" t="s">
        <v>233</v>
      </c>
      <c r="T2006" t="s">
        <v>223</v>
      </c>
      <c r="U2006" t="s">
        <v>224</v>
      </c>
      <c r="V2006" t="s">
        <v>131</v>
      </c>
      <c r="W2006" t="s">
        <v>165</v>
      </c>
      <c r="X2006" t="s">
        <v>45</v>
      </c>
      <c r="Y2006" s="1">
        <v>18343</v>
      </c>
      <c r="Z2006">
        <v>2</v>
      </c>
      <c r="AA2006" t="s">
        <v>224</v>
      </c>
      <c r="AB2006" s="40" t="s">
        <v>1797</v>
      </c>
    </row>
    <row r="2007" spans="1:28" x14ac:dyDescent="0.25">
      <c r="A2007">
        <v>99912006</v>
      </c>
      <c r="B2007" t="s">
        <v>56</v>
      </c>
      <c r="C2007" t="s">
        <v>52</v>
      </c>
      <c r="D2007" t="s">
        <v>53</v>
      </c>
      <c r="G2007" t="s">
        <v>35</v>
      </c>
      <c r="H2007">
        <v>1</v>
      </c>
      <c r="K2007" t="s">
        <v>223</v>
      </c>
      <c r="L2007" t="s">
        <v>224</v>
      </c>
      <c r="M2007" t="s">
        <v>131</v>
      </c>
      <c r="N2007">
        <v>18</v>
      </c>
      <c r="P2007" t="s">
        <v>41</v>
      </c>
      <c r="Q2007" t="s">
        <v>42</v>
      </c>
      <c r="R2007" t="str">
        <f>"0590903"</f>
        <v>0590903</v>
      </c>
      <c r="S2007" t="s">
        <v>226</v>
      </c>
      <c r="T2007" t="s">
        <v>223</v>
      </c>
      <c r="U2007" t="s">
        <v>224</v>
      </c>
      <c r="V2007" t="s">
        <v>131</v>
      </c>
      <c r="W2007" t="s">
        <v>51</v>
      </c>
      <c r="X2007" t="s">
        <v>45</v>
      </c>
      <c r="Y2007" s="1">
        <v>17797</v>
      </c>
      <c r="Z2007">
        <v>2</v>
      </c>
      <c r="AA2007" t="s">
        <v>224</v>
      </c>
      <c r="AB2007" s="40" t="s">
        <v>1797</v>
      </c>
    </row>
    <row r="2008" spans="1:28" x14ac:dyDescent="0.25">
      <c r="A2008">
        <v>99912007</v>
      </c>
      <c r="B2008" t="s">
        <v>32</v>
      </c>
      <c r="C2008" t="s">
        <v>46</v>
      </c>
      <c r="D2008" t="s">
        <v>47</v>
      </c>
      <c r="G2008" t="s">
        <v>48</v>
      </c>
      <c r="H2008">
        <v>1</v>
      </c>
      <c r="K2008" t="s">
        <v>129</v>
      </c>
      <c r="L2008" t="s">
        <v>130</v>
      </c>
      <c r="M2008" t="s">
        <v>131</v>
      </c>
      <c r="N2008">
        <v>18</v>
      </c>
      <c r="P2008" t="s">
        <v>41</v>
      </c>
      <c r="Q2008" t="s">
        <v>49</v>
      </c>
      <c r="R2008" t="str">
        <f>"0591905"</f>
        <v>0591905</v>
      </c>
      <c r="S2008" t="s">
        <v>135</v>
      </c>
      <c r="T2008" t="s">
        <v>129</v>
      </c>
      <c r="U2008" t="s">
        <v>130</v>
      </c>
      <c r="V2008" t="s">
        <v>131</v>
      </c>
      <c r="W2008" t="s">
        <v>51</v>
      </c>
      <c r="X2008" t="s">
        <v>45</v>
      </c>
      <c r="Z2008">
        <v>2</v>
      </c>
      <c r="AA2008" t="s">
        <v>130</v>
      </c>
      <c r="AB2008" s="40" t="s">
        <v>1797</v>
      </c>
    </row>
    <row r="2009" spans="1:28" x14ac:dyDescent="0.25">
      <c r="A2009">
        <v>99912008</v>
      </c>
      <c r="B2009" t="s">
        <v>56</v>
      </c>
      <c r="C2009" t="s">
        <v>52</v>
      </c>
      <c r="D2009" t="s">
        <v>53</v>
      </c>
      <c r="G2009" t="s">
        <v>35</v>
      </c>
      <c r="H2009">
        <v>1</v>
      </c>
      <c r="I2009" t="s">
        <v>148</v>
      </c>
      <c r="J2009" s="1">
        <v>43344</v>
      </c>
      <c r="K2009" t="s">
        <v>129</v>
      </c>
      <c r="L2009" t="s">
        <v>130</v>
      </c>
      <c r="M2009" t="s">
        <v>131</v>
      </c>
      <c r="N2009">
        <v>18</v>
      </c>
      <c r="O2009" s="1">
        <v>43344</v>
      </c>
      <c r="P2009" t="s">
        <v>41</v>
      </c>
      <c r="Q2009" t="s">
        <v>49</v>
      </c>
      <c r="R2009" t="str">
        <f>"0591905"</f>
        <v>0591905</v>
      </c>
      <c r="S2009" t="s">
        <v>135</v>
      </c>
      <c r="T2009" t="s">
        <v>129</v>
      </c>
      <c r="U2009" t="s">
        <v>130</v>
      </c>
      <c r="V2009" t="s">
        <v>131</v>
      </c>
      <c r="W2009" t="s">
        <v>51</v>
      </c>
      <c r="X2009" t="s">
        <v>45</v>
      </c>
      <c r="Z2009">
        <v>2</v>
      </c>
      <c r="AA2009" t="s">
        <v>130</v>
      </c>
      <c r="AB2009" s="40" t="s">
        <v>1797</v>
      </c>
    </row>
    <row r="2010" spans="1:28" x14ac:dyDescent="0.25">
      <c r="A2010">
        <v>99912009</v>
      </c>
      <c r="B2010" t="s">
        <v>56</v>
      </c>
      <c r="C2010" t="s">
        <v>46</v>
      </c>
      <c r="D2010" t="s">
        <v>47</v>
      </c>
      <c r="G2010" t="s">
        <v>35</v>
      </c>
      <c r="H2010">
        <v>1</v>
      </c>
      <c r="I2010">
        <v>22274</v>
      </c>
      <c r="J2010" s="1">
        <v>43397</v>
      </c>
      <c r="K2010" t="s">
        <v>129</v>
      </c>
      <c r="L2010" t="s">
        <v>130</v>
      </c>
      <c r="M2010" t="s">
        <v>131</v>
      </c>
      <c r="N2010">
        <v>18</v>
      </c>
      <c r="O2010" s="1">
        <v>43397</v>
      </c>
      <c r="P2010" t="s">
        <v>41</v>
      </c>
      <c r="Q2010" t="s">
        <v>49</v>
      </c>
      <c r="R2010" t="str">
        <f>"0591905"</f>
        <v>0591905</v>
      </c>
      <c r="S2010" t="s">
        <v>135</v>
      </c>
      <c r="T2010" t="s">
        <v>129</v>
      </c>
      <c r="U2010" t="s">
        <v>130</v>
      </c>
      <c r="V2010" t="s">
        <v>131</v>
      </c>
      <c r="W2010" t="s">
        <v>51</v>
      </c>
      <c r="X2010" t="s">
        <v>45</v>
      </c>
      <c r="Z2010">
        <v>2</v>
      </c>
      <c r="AA2010" t="s">
        <v>130</v>
      </c>
      <c r="AB2010" s="40" t="s">
        <v>1797</v>
      </c>
    </row>
    <row r="2011" spans="1:28" x14ac:dyDescent="0.25">
      <c r="A2011">
        <v>99912010</v>
      </c>
      <c r="B2011" t="s">
        <v>32</v>
      </c>
      <c r="C2011" t="s">
        <v>139</v>
      </c>
      <c r="D2011" t="s">
        <v>140</v>
      </c>
      <c r="G2011" t="s">
        <v>48</v>
      </c>
      <c r="H2011">
        <v>1</v>
      </c>
      <c r="K2011" t="s">
        <v>129</v>
      </c>
      <c r="L2011" t="s">
        <v>130</v>
      </c>
      <c r="M2011" t="s">
        <v>131</v>
      </c>
      <c r="N2011">
        <v>18</v>
      </c>
      <c r="P2011" t="s">
        <v>41</v>
      </c>
      <c r="Q2011" t="s">
        <v>49</v>
      </c>
      <c r="R2011" t="str">
        <f>"0591905"</f>
        <v>0591905</v>
      </c>
      <c r="S2011" t="s">
        <v>135</v>
      </c>
      <c r="T2011" t="s">
        <v>129</v>
      </c>
      <c r="U2011" t="s">
        <v>130</v>
      </c>
      <c r="V2011" t="s">
        <v>131</v>
      </c>
      <c r="W2011" t="s">
        <v>51</v>
      </c>
      <c r="X2011" t="s">
        <v>45</v>
      </c>
      <c r="Z2011">
        <v>2</v>
      </c>
      <c r="AA2011" t="s">
        <v>130</v>
      </c>
      <c r="AB2011" s="40" t="s">
        <v>1797</v>
      </c>
    </row>
    <row r="2012" spans="1:28" x14ac:dyDescent="0.25">
      <c r="A2012">
        <v>99912011</v>
      </c>
      <c r="B2012" t="s">
        <v>56</v>
      </c>
      <c r="C2012" t="s">
        <v>85</v>
      </c>
      <c r="D2012" t="s">
        <v>86</v>
      </c>
      <c r="G2012" t="s">
        <v>48</v>
      </c>
      <c r="H2012">
        <v>1</v>
      </c>
      <c r="K2012" t="s">
        <v>129</v>
      </c>
      <c r="L2012" t="s">
        <v>130</v>
      </c>
      <c r="M2012" t="s">
        <v>131</v>
      </c>
      <c r="N2012">
        <v>18</v>
      </c>
      <c r="P2012" t="s">
        <v>41</v>
      </c>
      <c r="Q2012" t="s">
        <v>49</v>
      </c>
      <c r="R2012" t="str">
        <f>"0591905"</f>
        <v>0591905</v>
      </c>
      <c r="S2012" t="s">
        <v>135</v>
      </c>
      <c r="T2012" t="s">
        <v>129</v>
      </c>
      <c r="U2012" t="s">
        <v>130</v>
      </c>
      <c r="V2012" t="s">
        <v>131</v>
      </c>
      <c r="W2012" t="s">
        <v>51</v>
      </c>
      <c r="X2012" t="s">
        <v>45</v>
      </c>
      <c r="Z2012">
        <v>2</v>
      </c>
      <c r="AA2012" t="s">
        <v>130</v>
      </c>
      <c r="AB2012" s="40" t="s">
        <v>1797</v>
      </c>
    </row>
    <row r="2013" spans="1:28" x14ac:dyDescent="0.25">
      <c r="A2013">
        <v>99912012</v>
      </c>
      <c r="B2013" t="s">
        <v>56</v>
      </c>
      <c r="C2013" t="s">
        <v>68</v>
      </c>
      <c r="D2013" t="s">
        <v>69</v>
      </c>
      <c r="G2013" t="s">
        <v>35</v>
      </c>
      <c r="H2013">
        <v>1</v>
      </c>
      <c r="K2013" t="s">
        <v>157</v>
      </c>
      <c r="L2013" t="s">
        <v>158</v>
      </c>
      <c r="M2013" t="s">
        <v>131</v>
      </c>
      <c r="N2013">
        <v>18</v>
      </c>
      <c r="P2013" t="s">
        <v>41</v>
      </c>
      <c r="Q2013" t="s">
        <v>42</v>
      </c>
      <c r="R2013" t="str">
        <f>"0561005"</f>
        <v>0561005</v>
      </c>
      <c r="S2013" t="s">
        <v>174</v>
      </c>
      <c r="T2013" t="s">
        <v>157</v>
      </c>
      <c r="U2013" t="s">
        <v>158</v>
      </c>
      <c r="V2013" t="s">
        <v>131</v>
      </c>
      <c r="W2013" t="s">
        <v>51</v>
      </c>
      <c r="X2013" t="s">
        <v>45</v>
      </c>
      <c r="Z2013">
        <v>2</v>
      </c>
      <c r="AA2013" t="s">
        <v>158</v>
      </c>
      <c r="AB2013" s="40" t="s">
        <v>1797</v>
      </c>
    </row>
    <row r="2014" spans="1:28" x14ac:dyDescent="0.25">
      <c r="A2014">
        <v>99912013</v>
      </c>
      <c r="B2014" t="s">
        <v>32</v>
      </c>
      <c r="C2014" t="s">
        <v>46</v>
      </c>
      <c r="D2014" t="s">
        <v>47</v>
      </c>
      <c r="G2014" t="s">
        <v>35</v>
      </c>
      <c r="H2014">
        <v>1</v>
      </c>
      <c r="K2014" t="s">
        <v>157</v>
      </c>
      <c r="L2014" t="s">
        <v>158</v>
      </c>
      <c r="M2014" t="s">
        <v>131</v>
      </c>
      <c r="N2014">
        <v>18</v>
      </c>
      <c r="P2014" t="s">
        <v>41</v>
      </c>
      <c r="Q2014" t="s">
        <v>49</v>
      </c>
      <c r="R2014" t="str">
        <f>"0580505"</f>
        <v>0580505</v>
      </c>
      <c r="S2014" t="s">
        <v>168</v>
      </c>
      <c r="T2014" t="s">
        <v>157</v>
      </c>
      <c r="U2014" t="s">
        <v>158</v>
      </c>
      <c r="V2014" t="s">
        <v>131</v>
      </c>
      <c r="W2014" t="s">
        <v>51</v>
      </c>
      <c r="X2014" t="s">
        <v>45</v>
      </c>
      <c r="Z2014">
        <v>2</v>
      </c>
      <c r="AA2014" t="s">
        <v>158</v>
      </c>
      <c r="AB2014" s="40" t="s">
        <v>1797</v>
      </c>
    </row>
    <row r="2015" spans="1:28" x14ac:dyDescent="0.25">
      <c r="A2015">
        <v>99912014</v>
      </c>
      <c r="B2015" t="s">
        <v>32</v>
      </c>
      <c r="C2015" t="s">
        <v>46</v>
      </c>
      <c r="D2015" t="s">
        <v>47</v>
      </c>
      <c r="G2015" t="s">
        <v>48</v>
      </c>
      <c r="H2015">
        <v>1</v>
      </c>
      <c r="K2015" t="s">
        <v>157</v>
      </c>
      <c r="L2015" t="s">
        <v>158</v>
      </c>
      <c r="M2015" t="s">
        <v>131</v>
      </c>
      <c r="N2015">
        <v>18</v>
      </c>
      <c r="P2015" t="s">
        <v>41</v>
      </c>
      <c r="Q2015" t="s">
        <v>49</v>
      </c>
      <c r="R2015" t="str">
        <f>"0560011"</f>
        <v>0560011</v>
      </c>
      <c r="S2015" t="s">
        <v>185</v>
      </c>
      <c r="T2015" t="s">
        <v>157</v>
      </c>
      <c r="U2015" t="s">
        <v>158</v>
      </c>
      <c r="V2015" t="s">
        <v>131</v>
      </c>
      <c r="W2015" t="s">
        <v>51</v>
      </c>
      <c r="X2015" t="s">
        <v>45</v>
      </c>
      <c r="Z2015">
        <v>2</v>
      </c>
      <c r="AA2015" t="s">
        <v>158</v>
      </c>
      <c r="AB2015" s="40" t="s">
        <v>1797</v>
      </c>
    </row>
    <row r="2016" spans="1:28" x14ac:dyDescent="0.25">
      <c r="A2016">
        <v>99912015</v>
      </c>
      <c r="B2016" t="s">
        <v>56</v>
      </c>
      <c r="C2016" t="s">
        <v>46</v>
      </c>
      <c r="D2016" t="s">
        <v>47</v>
      </c>
      <c r="G2016" t="s">
        <v>35</v>
      </c>
      <c r="H2016">
        <v>1</v>
      </c>
      <c r="K2016" t="s">
        <v>157</v>
      </c>
      <c r="L2016" t="s">
        <v>158</v>
      </c>
      <c r="M2016" t="s">
        <v>131</v>
      </c>
      <c r="N2016">
        <v>18</v>
      </c>
      <c r="P2016" t="s">
        <v>41</v>
      </c>
      <c r="Q2016" t="s">
        <v>42</v>
      </c>
      <c r="R2016" t="str">
        <f>"0580250"</f>
        <v>0580250</v>
      </c>
      <c r="S2016" t="s">
        <v>160</v>
      </c>
      <c r="T2016" t="s">
        <v>157</v>
      </c>
      <c r="U2016" t="s">
        <v>158</v>
      </c>
      <c r="V2016" t="s">
        <v>131</v>
      </c>
      <c r="W2016" t="s">
        <v>51</v>
      </c>
      <c r="X2016" t="s">
        <v>45</v>
      </c>
      <c r="Z2016">
        <v>2</v>
      </c>
      <c r="AA2016" t="s">
        <v>158</v>
      </c>
      <c r="AB2016" s="40" t="s">
        <v>1797</v>
      </c>
    </row>
    <row r="2017" spans="1:28" x14ac:dyDescent="0.25">
      <c r="A2017">
        <v>99912016</v>
      </c>
      <c r="B2017" t="s">
        <v>32</v>
      </c>
      <c r="C2017" t="s">
        <v>46</v>
      </c>
      <c r="D2017" t="s">
        <v>47</v>
      </c>
      <c r="G2017" t="s">
        <v>35</v>
      </c>
      <c r="H2017">
        <v>1</v>
      </c>
      <c r="K2017" t="s">
        <v>157</v>
      </c>
      <c r="L2017" t="s">
        <v>158</v>
      </c>
      <c r="M2017" t="s">
        <v>131</v>
      </c>
      <c r="N2017">
        <v>18</v>
      </c>
      <c r="P2017" t="s">
        <v>41</v>
      </c>
      <c r="Q2017" t="s">
        <v>42</v>
      </c>
      <c r="R2017" t="str">
        <f>"0561005"</f>
        <v>0561005</v>
      </c>
      <c r="S2017" t="s">
        <v>174</v>
      </c>
      <c r="T2017" t="s">
        <v>157</v>
      </c>
      <c r="U2017" t="s">
        <v>158</v>
      </c>
      <c r="V2017" t="s">
        <v>131</v>
      </c>
      <c r="W2017" t="s">
        <v>51</v>
      </c>
      <c r="X2017" t="s">
        <v>45</v>
      </c>
      <c r="Z2017">
        <v>2</v>
      </c>
      <c r="AA2017" t="s">
        <v>158</v>
      </c>
      <c r="AB2017" s="40" t="s">
        <v>1797</v>
      </c>
    </row>
    <row r="2018" spans="1:28" x14ac:dyDescent="0.25">
      <c r="A2018">
        <v>99912017</v>
      </c>
      <c r="B2018" t="s">
        <v>56</v>
      </c>
      <c r="C2018" t="s">
        <v>46</v>
      </c>
      <c r="D2018" t="s">
        <v>47</v>
      </c>
      <c r="G2018" t="s">
        <v>35</v>
      </c>
      <c r="H2018">
        <v>1</v>
      </c>
      <c r="K2018" t="s">
        <v>157</v>
      </c>
      <c r="L2018" t="s">
        <v>158</v>
      </c>
      <c r="M2018" t="s">
        <v>131</v>
      </c>
      <c r="N2018">
        <v>18</v>
      </c>
      <c r="P2018" t="s">
        <v>41</v>
      </c>
      <c r="Q2018" t="s">
        <v>42</v>
      </c>
      <c r="R2018" t="str">
        <f>"0561005"</f>
        <v>0561005</v>
      </c>
      <c r="S2018" t="s">
        <v>174</v>
      </c>
      <c r="T2018" t="s">
        <v>157</v>
      </c>
      <c r="U2018" t="s">
        <v>158</v>
      </c>
      <c r="V2018" t="s">
        <v>131</v>
      </c>
      <c r="W2018" t="s">
        <v>51</v>
      </c>
      <c r="X2018" t="s">
        <v>45</v>
      </c>
      <c r="Z2018">
        <v>2</v>
      </c>
      <c r="AA2018" t="s">
        <v>158</v>
      </c>
      <c r="AB2018" s="40" t="s">
        <v>1797</v>
      </c>
    </row>
    <row r="2019" spans="1:28" x14ac:dyDescent="0.25">
      <c r="A2019">
        <v>99912018</v>
      </c>
      <c r="B2019" t="s">
        <v>56</v>
      </c>
      <c r="C2019" t="s">
        <v>46</v>
      </c>
      <c r="D2019" t="s">
        <v>47</v>
      </c>
      <c r="G2019" t="s">
        <v>35</v>
      </c>
      <c r="H2019">
        <v>1</v>
      </c>
      <c r="K2019" t="s">
        <v>157</v>
      </c>
      <c r="L2019" t="s">
        <v>158</v>
      </c>
      <c r="M2019" t="s">
        <v>131</v>
      </c>
      <c r="N2019">
        <v>18</v>
      </c>
      <c r="P2019" t="s">
        <v>41</v>
      </c>
      <c r="Q2019" t="s">
        <v>49</v>
      </c>
      <c r="R2019" t="str">
        <f>"0580505"</f>
        <v>0580505</v>
      </c>
      <c r="S2019" t="s">
        <v>168</v>
      </c>
      <c r="T2019" t="s">
        <v>157</v>
      </c>
      <c r="U2019" t="s">
        <v>158</v>
      </c>
      <c r="V2019" t="s">
        <v>131</v>
      </c>
      <c r="W2019" t="s">
        <v>51</v>
      </c>
      <c r="X2019" t="s">
        <v>45</v>
      </c>
      <c r="Z2019">
        <v>2</v>
      </c>
      <c r="AA2019" t="s">
        <v>158</v>
      </c>
      <c r="AB2019" s="40" t="s">
        <v>1797</v>
      </c>
    </row>
    <row r="2020" spans="1:28" x14ac:dyDescent="0.25">
      <c r="A2020">
        <v>99912019</v>
      </c>
      <c r="B2020" t="s">
        <v>56</v>
      </c>
      <c r="C2020" t="s">
        <v>52</v>
      </c>
      <c r="D2020" t="s">
        <v>53</v>
      </c>
      <c r="G2020" t="s">
        <v>35</v>
      </c>
      <c r="H2020">
        <v>1</v>
      </c>
      <c r="K2020" t="s">
        <v>157</v>
      </c>
      <c r="L2020" t="s">
        <v>158</v>
      </c>
      <c r="M2020" t="s">
        <v>131</v>
      </c>
      <c r="N2020">
        <v>18</v>
      </c>
      <c r="P2020" t="s">
        <v>41</v>
      </c>
      <c r="Q2020" t="s">
        <v>42</v>
      </c>
      <c r="R2020" t="str">
        <f>"0580250"</f>
        <v>0580250</v>
      </c>
      <c r="S2020" t="s">
        <v>160</v>
      </c>
      <c r="T2020" t="s">
        <v>157</v>
      </c>
      <c r="U2020" t="s">
        <v>158</v>
      </c>
      <c r="V2020" t="s">
        <v>131</v>
      </c>
      <c r="W2020" t="s">
        <v>51</v>
      </c>
      <c r="X2020" t="s">
        <v>45</v>
      </c>
      <c r="Z2020">
        <v>2</v>
      </c>
      <c r="AA2020" t="s">
        <v>158</v>
      </c>
      <c r="AB2020" s="40" t="s">
        <v>1797</v>
      </c>
    </row>
    <row r="2021" spans="1:28" x14ac:dyDescent="0.25">
      <c r="A2021">
        <v>99912020</v>
      </c>
      <c r="B2021" t="s">
        <v>32</v>
      </c>
      <c r="C2021" t="s">
        <v>68</v>
      </c>
      <c r="D2021" t="s">
        <v>69</v>
      </c>
      <c r="G2021" t="s">
        <v>35</v>
      </c>
      <c r="H2021">
        <v>1</v>
      </c>
      <c r="K2021" t="s">
        <v>162</v>
      </c>
      <c r="L2021" t="s">
        <v>158</v>
      </c>
      <c r="M2021" t="s">
        <v>131</v>
      </c>
      <c r="N2021">
        <v>18</v>
      </c>
      <c r="P2021" t="s">
        <v>41</v>
      </c>
      <c r="Q2021" t="s">
        <v>49</v>
      </c>
      <c r="R2021" t="str">
        <f>"0581325"</f>
        <v>0581325</v>
      </c>
      <c r="S2021" t="s">
        <v>169</v>
      </c>
      <c r="T2021" t="s">
        <v>162</v>
      </c>
      <c r="U2021" t="s">
        <v>158</v>
      </c>
      <c r="V2021" t="s">
        <v>131</v>
      </c>
      <c r="W2021" t="s">
        <v>165</v>
      </c>
      <c r="X2021" t="s">
        <v>45</v>
      </c>
      <c r="Z2021">
        <v>2</v>
      </c>
      <c r="AA2021" t="s">
        <v>158</v>
      </c>
      <c r="AB2021" s="40" t="s">
        <v>1797</v>
      </c>
    </row>
    <row r="2022" spans="1:28" x14ac:dyDescent="0.25">
      <c r="A2022">
        <v>99912021</v>
      </c>
      <c r="B2022" t="s">
        <v>32</v>
      </c>
      <c r="C2022" t="s">
        <v>64</v>
      </c>
      <c r="D2022" t="s">
        <v>65</v>
      </c>
      <c r="G2022" t="s">
        <v>35</v>
      </c>
      <c r="H2022">
        <v>1</v>
      </c>
      <c r="K2022" t="s">
        <v>157</v>
      </c>
      <c r="L2022" t="s">
        <v>158</v>
      </c>
      <c r="M2022" t="s">
        <v>131</v>
      </c>
      <c r="N2022">
        <v>18</v>
      </c>
      <c r="P2022" t="s">
        <v>41</v>
      </c>
      <c r="Q2022" t="s">
        <v>49</v>
      </c>
      <c r="R2022" t="str">
        <f>"0560011"</f>
        <v>0560011</v>
      </c>
      <c r="S2022" t="s">
        <v>185</v>
      </c>
      <c r="T2022" t="s">
        <v>157</v>
      </c>
      <c r="U2022" t="s">
        <v>158</v>
      </c>
      <c r="V2022" t="s">
        <v>131</v>
      </c>
      <c r="W2022" t="s">
        <v>165</v>
      </c>
      <c r="X2022" t="s">
        <v>45</v>
      </c>
      <c r="Z2022">
        <v>2</v>
      </c>
      <c r="AA2022" t="s">
        <v>158</v>
      </c>
      <c r="AB2022" s="40" t="s">
        <v>1797</v>
      </c>
    </row>
    <row r="2023" spans="1:28" x14ac:dyDescent="0.25">
      <c r="A2023">
        <v>99912022</v>
      </c>
      <c r="B2023" t="s">
        <v>32</v>
      </c>
      <c r="C2023" t="s">
        <v>58</v>
      </c>
      <c r="D2023" t="s">
        <v>59</v>
      </c>
      <c r="G2023" t="s">
        <v>35</v>
      </c>
      <c r="H2023">
        <v>1</v>
      </c>
      <c r="K2023" t="s">
        <v>157</v>
      </c>
      <c r="L2023" t="s">
        <v>158</v>
      </c>
      <c r="M2023" t="s">
        <v>131</v>
      </c>
      <c r="N2023">
        <v>18</v>
      </c>
      <c r="P2023" t="s">
        <v>41</v>
      </c>
      <c r="Q2023" t="s">
        <v>49</v>
      </c>
      <c r="R2023" t="str">
        <f>"0580505"</f>
        <v>0580505</v>
      </c>
      <c r="S2023" t="s">
        <v>168</v>
      </c>
      <c r="T2023" t="s">
        <v>157</v>
      </c>
      <c r="U2023" t="s">
        <v>158</v>
      </c>
      <c r="V2023" t="s">
        <v>131</v>
      </c>
      <c r="W2023" t="s">
        <v>51</v>
      </c>
      <c r="X2023" t="s">
        <v>45</v>
      </c>
      <c r="Z2023">
        <v>2</v>
      </c>
      <c r="AA2023" t="s">
        <v>158</v>
      </c>
      <c r="AB2023" s="40" t="s">
        <v>1797</v>
      </c>
    </row>
    <row r="2024" spans="1:28" x14ac:dyDescent="0.25">
      <c r="A2024">
        <v>99912023</v>
      </c>
      <c r="B2024" t="s">
        <v>56</v>
      </c>
      <c r="C2024" t="s">
        <v>52</v>
      </c>
      <c r="D2024" t="s">
        <v>53</v>
      </c>
      <c r="G2024" t="s">
        <v>35</v>
      </c>
      <c r="H2024">
        <v>1</v>
      </c>
      <c r="K2024" t="s">
        <v>157</v>
      </c>
      <c r="L2024" t="s">
        <v>158</v>
      </c>
      <c r="M2024" t="s">
        <v>131</v>
      </c>
      <c r="N2024">
        <v>18</v>
      </c>
      <c r="P2024" t="s">
        <v>41</v>
      </c>
      <c r="Q2024" t="s">
        <v>42</v>
      </c>
      <c r="R2024" t="str">
        <f>"0561005"</f>
        <v>0561005</v>
      </c>
      <c r="S2024" t="s">
        <v>174</v>
      </c>
      <c r="T2024" t="s">
        <v>157</v>
      </c>
      <c r="U2024" t="s">
        <v>158</v>
      </c>
      <c r="V2024" t="s">
        <v>131</v>
      </c>
      <c r="W2024" t="s">
        <v>51</v>
      </c>
      <c r="X2024" t="s">
        <v>45</v>
      </c>
      <c r="Z2024">
        <v>2</v>
      </c>
      <c r="AA2024" t="s">
        <v>158</v>
      </c>
      <c r="AB2024" s="40" t="s">
        <v>1797</v>
      </c>
    </row>
    <row r="2025" spans="1:28" x14ac:dyDescent="0.25">
      <c r="A2025">
        <v>99912024</v>
      </c>
      <c r="B2025" t="s">
        <v>32</v>
      </c>
      <c r="C2025" t="s">
        <v>46</v>
      </c>
      <c r="D2025" t="s">
        <v>47</v>
      </c>
      <c r="G2025" t="s">
        <v>35</v>
      </c>
      <c r="H2025">
        <v>1</v>
      </c>
      <c r="K2025" t="s">
        <v>157</v>
      </c>
      <c r="L2025" t="s">
        <v>158</v>
      </c>
      <c r="M2025" t="s">
        <v>131</v>
      </c>
      <c r="N2025">
        <v>18</v>
      </c>
      <c r="P2025" t="s">
        <v>41</v>
      </c>
      <c r="Q2025" t="s">
        <v>42</v>
      </c>
      <c r="R2025" t="str">
        <f>"0561005"</f>
        <v>0561005</v>
      </c>
      <c r="S2025" t="s">
        <v>174</v>
      </c>
      <c r="T2025" t="s">
        <v>157</v>
      </c>
      <c r="U2025" t="s">
        <v>158</v>
      </c>
      <c r="V2025" t="s">
        <v>131</v>
      </c>
      <c r="W2025" t="s">
        <v>51</v>
      </c>
      <c r="X2025" t="s">
        <v>45</v>
      </c>
      <c r="Z2025">
        <v>2</v>
      </c>
      <c r="AA2025" t="s">
        <v>158</v>
      </c>
      <c r="AB2025" s="40" t="s">
        <v>1797</v>
      </c>
    </row>
    <row r="2026" spans="1:28" x14ac:dyDescent="0.25">
      <c r="A2026">
        <v>99912025</v>
      </c>
      <c r="B2026" t="s">
        <v>56</v>
      </c>
      <c r="C2026" t="s">
        <v>46</v>
      </c>
      <c r="D2026" t="s">
        <v>47</v>
      </c>
      <c r="G2026" t="s">
        <v>35</v>
      </c>
      <c r="H2026">
        <v>1</v>
      </c>
      <c r="K2026" t="s">
        <v>157</v>
      </c>
      <c r="L2026" t="s">
        <v>158</v>
      </c>
      <c r="M2026" t="s">
        <v>131</v>
      </c>
      <c r="N2026">
        <v>18</v>
      </c>
      <c r="P2026" t="s">
        <v>41</v>
      </c>
      <c r="Q2026" t="s">
        <v>42</v>
      </c>
      <c r="R2026" t="str">
        <f>"0561005"</f>
        <v>0561005</v>
      </c>
      <c r="S2026" t="s">
        <v>174</v>
      </c>
      <c r="T2026" t="s">
        <v>157</v>
      </c>
      <c r="U2026" t="s">
        <v>158</v>
      </c>
      <c r="V2026" t="s">
        <v>131</v>
      </c>
      <c r="W2026" t="s">
        <v>51</v>
      </c>
      <c r="X2026" t="s">
        <v>45</v>
      </c>
      <c r="Z2026">
        <v>2</v>
      </c>
      <c r="AA2026" t="s">
        <v>158</v>
      </c>
      <c r="AB2026" s="40" t="s">
        <v>1797</v>
      </c>
    </row>
    <row r="2027" spans="1:28" x14ac:dyDescent="0.25">
      <c r="A2027">
        <v>99912026</v>
      </c>
      <c r="B2027" t="s">
        <v>56</v>
      </c>
      <c r="C2027" t="s">
        <v>52</v>
      </c>
      <c r="D2027" t="s">
        <v>53</v>
      </c>
      <c r="G2027" t="s">
        <v>35</v>
      </c>
      <c r="H2027">
        <v>1</v>
      </c>
      <c r="K2027" t="s">
        <v>157</v>
      </c>
      <c r="L2027" t="s">
        <v>158</v>
      </c>
      <c r="M2027" t="s">
        <v>131</v>
      </c>
      <c r="N2027">
        <v>18</v>
      </c>
      <c r="P2027" t="s">
        <v>41</v>
      </c>
      <c r="Q2027" t="s">
        <v>42</v>
      </c>
      <c r="R2027" t="str">
        <f>"0561005"</f>
        <v>0561005</v>
      </c>
      <c r="S2027" t="s">
        <v>174</v>
      </c>
      <c r="T2027" t="s">
        <v>157</v>
      </c>
      <c r="U2027" t="s">
        <v>158</v>
      </c>
      <c r="V2027" t="s">
        <v>131</v>
      </c>
      <c r="W2027" t="s">
        <v>51</v>
      </c>
      <c r="X2027" t="s">
        <v>45</v>
      </c>
      <c r="Z2027">
        <v>2</v>
      </c>
      <c r="AA2027" t="s">
        <v>158</v>
      </c>
      <c r="AB2027" s="40" t="s">
        <v>1797</v>
      </c>
    </row>
    <row r="2028" spans="1:28" x14ac:dyDescent="0.25">
      <c r="A2028">
        <v>99912027</v>
      </c>
      <c r="B2028" t="s">
        <v>56</v>
      </c>
      <c r="C2028" t="s">
        <v>79</v>
      </c>
      <c r="D2028" t="s">
        <v>80</v>
      </c>
      <c r="G2028" t="s">
        <v>35</v>
      </c>
      <c r="H2028">
        <v>1</v>
      </c>
      <c r="K2028" t="s">
        <v>162</v>
      </c>
      <c r="L2028" t="s">
        <v>158</v>
      </c>
      <c r="M2028" t="s">
        <v>131</v>
      </c>
      <c r="N2028">
        <v>18</v>
      </c>
      <c r="P2028" t="s">
        <v>41</v>
      </c>
      <c r="Q2028" t="s">
        <v>49</v>
      </c>
      <c r="R2028" t="str">
        <f>"0505050"</f>
        <v>0505050</v>
      </c>
      <c r="S2028" t="s">
        <v>163</v>
      </c>
      <c r="T2028" t="s">
        <v>162</v>
      </c>
      <c r="U2028" t="s">
        <v>158</v>
      </c>
      <c r="V2028" t="s">
        <v>131</v>
      </c>
      <c r="W2028" t="s">
        <v>51</v>
      </c>
      <c r="X2028" t="s">
        <v>45</v>
      </c>
      <c r="Z2028">
        <v>2</v>
      </c>
      <c r="AA2028" t="s">
        <v>158</v>
      </c>
      <c r="AB2028" s="40" t="s">
        <v>1797</v>
      </c>
    </row>
    <row r="2029" spans="1:28" x14ac:dyDescent="0.25">
      <c r="A2029">
        <v>99912028</v>
      </c>
      <c r="B2029" t="s">
        <v>32</v>
      </c>
      <c r="C2029" t="s">
        <v>46</v>
      </c>
      <c r="D2029" t="s">
        <v>47</v>
      </c>
      <c r="G2029" t="s">
        <v>35</v>
      </c>
      <c r="H2029">
        <v>1</v>
      </c>
      <c r="K2029" t="s">
        <v>157</v>
      </c>
      <c r="L2029" t="s">
        <v>158</v>
      </c>
      <c r="M2029" t="s">
        <v>131</v>
      </c>
      <c r="N2029">
        <v>18</v>
      </c>
      <c r="P2029" t="s">
        <v>41</v>
      </c>
      <c r="Q2029" t="s">
        <v>42</v>
      </c>
      <c r="R2029" t="str">
        <f>"0561005"</f>
        <v>0561005</v>
      </c>
      <c r="S2029" t="s">
        <v>174</v>
      </c>
      <c r="T2029" t="s">
        <v>157</v>
      </c>
      <c r="U2029" t="s">
        <v>158</v>
      </c>
      <c r="V2029" t="s">
        <v>131</v>
      </c>
      <c r="W2029" t="s">
        <v>51</v>
      </c>
      <c r="X2029" t="s">
        <v>45</v>
      </c>
      <c r="Z2029">
        <v>2</v>
      </c>
      <c r="AA2029" t="s">
        <v>158</v>
      </c>
      <c r="AB2029" s="40" t="s">
        <v>1797</v>
      </c>
    </row>
    <row r="2030" spans="1:28" x14ac:dyDescent="0.25">
      <c r="A2030">
        <v>99912029</v>
      </c>
      <c r="B2030" t="s">
        <v>32</v>
      </c>
      <c r="C2030" t="s">
        <v>149</v>
      </c>
      <c r="D2030" t="s">
        <v>150</v>
      </c>
      <c r="G2030" t="s">
        <v>35</v>
      </c>
      <c r="H2030">
        <v>1</v>
      </c>
      <c r="K2030" t="s">
        <v>162</v>
      </c>
      <c r="L2030" t="s">
        <v>158</v>
      </c>
      <c r="M2030" t="s">
        <v>131</v>
      </c>
      <c r="N2030">
        <v>18</v>
      </c>
      <c r="P2030" t="s">
        <v>41</v>
      </c>
      <c r="Q2030" t="s">
        <v>49</v>
      </c>
      <c r="R2030" t="str">
        <f>"0505050"</f>
        <v>0505050</v>
      </c>
      <c r="S2030" t="s">
        <v>163</v>
      </c>
      <c r="T2030" t="s">
        <v>162</v>
      </c>
      <c r="U2030" t="s">
        <v>158</v>
      </c>
      <c r="V2030" t="s">
        <v>131</v>
      </c>
      <c r="W2030" t="s">
        <v>165</v>
      </c>
      <c r="X2030" t="s">
        <v>45</v>
      </c>
      <c r="Z2030">
        <v>2</v>
      </c>
      <c r="AA2030" t="s">
        <v>158</v>
      </c>
      <c r="AB2030" s="40" t="s">
        <v>1797</v>
      </c>
    </row>
    <row r="2031" spans="1:28" x14ac:dyDescent="0.25">
      <c r="A2031">
        <v>99912030</v>
      </c>
      <c r="B2031" t="s">
        <v>32</v>
      </c>
      <c r="C2031" t="s">
        <v>46</v>
      </c>
      <c r="D2031" t="s">
        <v>47</v>
      </c>
      <c r="G2031" t="s">
        <v>35</v>
      </c>
      <c r="H2031">
        <v>1</v>
      </c>
      <c r="I2031">
        <v>19758</v>
      </c>
      <c r="J2031" s="1">
        <v>43437</v>
      </c>
      <c r="K2031" t="s">
        <v>157</v>
      </c>
      <c r="L2031" t="s">
        <v>158</v>
      </c>
      <c r="M2031" t="s">
        <v>131</v>
      </c>
      <c r="N2031">
        <v>18</v>
      </c>
      <c r="O2031" s="1">
        <v>43437</v>
      </c>
      <c r="P2031" t="s">
        <v>41</v>
      </c>
      <c r="Q2031" t="s">
        <v>42</v>
      </c>
      <c r="R2031" t="str">
        <f>"0561005"</f>
        <v>0561005</v>
      </c>
      <c r="S2031" t="s">
        <v>174</v>
      </c>
      <c r="T2031" t="s">
        <v>157</v>
      </c>
      <c r="U2031" t="s">
        <v>158</v>
      </c>
      <c r="V2031" t="s">
        <v>131</v>
      </c>
      <c r="W2031" t="s">
        <v>44</v>
      </c>
      <c r="X2031" t="s">
        <v>45</v>
      </c>
      <c r="Z2031">
        <v>2</v>
      </c>
      <c r="AA2031" t="s">
        <v>158</v>
      </c>
      <c r="AB2031" s="40" t="s">
        <v>1797</v>
      </c>
    </row>
    <row r="2032" spans="1:28" x14ac:dyDescent="0.25">
      <c r="A2032">
        <v>99912031</v>
      </c>
      <c r="B2032" t="s">
        <v>32</v>
      </c>
      <c r="C2032" t="s">
        <v>64</v>
      </c>
      <c r="D2032" t="s">
        <v>65</v>
      </c>
      <c r="G2032" t="s">
        <v>48</v>
      </c>
      <c r="H2032">
        <v>1</v>
      </c>
      <c r="K2032" t="s">
        <v>223</v>
      </c>
      <c r="L2032" t="s">
        <v>224</v>
      </c>
      <c r="M2032" t="s">
        <v>131</v>
      </c>
      <c r="N2032">
        <v>18</v>
      </c>
      <c r="P2032" t="s">
        <v>41</v>
      </c>
      <c r="Q2032" t="s">
        <v>42</v>
      </c>
      <c r="R2032" t="str">
        <f t="shared" ref="R2032:R2040" si="0">"0580207"</f>
        <v>0580207</v>
      </c>
      <c r="S2032" t="s">
        <v>229</v>
      </c>
      <c r="T2032" t="s">
        <v>223</v>
      </c>
      <c r="U2032" t="s">
        <v>224</v>
      </c>
      <c r="V2032" t="s">
        <v>131</v>
      </c>
      <c r="W2032" t="s">
        <v>51</v>
      </c>
      <c r="X2032" t="s">
        <v>45</v>
      </c>
      <c r="Z2032">
        <v>2</v>
      </c>
      <c r="AA2032" t="s">
        <v>224</v>
      </c>
      <c r="AB2032" s="40" t="s">
        <v>1797</v>
      </c>
    </row>
    <row r="2033" spans="1:28" x14ac:dyDescent="0.25">
      <c r="A2033">
        <v>99912032</v>
      </c>
      <c r="B2033" t="s">
        <v>32</v>
      </c>
      <c r="C2033" t="s">
        <v>82</v>
      </c>
      <c r="D2033" t="s">
        <v>83</v>
      </c>
      <c r="G2033" t="s">
        <v>48</v>
      </c>
      <c r="H2033">
        <v>1</v>
      </c>
      <c r="K2033" t="s">
        <v>223</v>
      </c>
      <c r="L2033" t="s">
        <v>224</v>
      </c>
      <c r="M2033" t="s">
        <v>131</v>
      </c>
      <c r="N2033">
        <v>18</v>
      </c>
      <c r="P2033" t="s">
        <v>41</v>
      </c>
      <c r="Q2033" t="s">
        <v>42</v>
      </c>
      <c r="R2033" t="str">
        <f t="shared" si="0"/>
        <v>0580207</v>
      </c>
      <c r="S2033" t="s">
        <v>229</v>
      </c>
      <c r="T2033" t="s">
        <v>223</v>
      </c>
      <c r="U2033" t="s">
        <v>224</v>
      </c>
      <c r="V2033" t="s">
        <v>131</v>
      </c>
      <c r="W2033" t="s">
        <v>165</v>
      </c>
      <c r="X2033" t="s">
        <v>45</v>
      </c>
      <c r="Z2033">
        <v>2</v>
      </c>
      <c r="AA2033" t="s">
        <v>224</v>
      </c>
      <c r="AB2033" s="40" t="s">
        <v>1797</v>
      </c>
    </row>
    <row r="2034" spans="1:28" x14ac:dyDescent="0.25">
      <c r="A2034">
        <v>99912033</v>
      </c>
      <c r="B2034" t="s">
        <v>32</v>
      </c>
      <c r="C2034" t="s">
        <v>46</v>
      </c>
      <c r="D2034" t="s">
        <v>47</v>
      </c>
      <c r="G2034" t="s">
        <v>48</v>
      </c>
      <c r="H2034">
        <v>1</v>
      </c>
      <c r="K2034" t="s">
        <v>223</v>
      </c>
      <c r="L2034" t="s">
        <v>224</v>
      </c>
      <c r="M2034" t="s">
        <v>131</v>
      </c>
      <c r="N2034">
        <v>18</v>
      </c>
      <c r="P2034" t="s">
        <v>41</v>
      </c>
      <c r="Q2034" t="s">
        <v>42</v>
      </c>
      <c r="R2034" t="str">
        <f t="shared" si="0"/>
        <v>0580207</v>
      </c>
      <c r="S2034" t="s">
        <v>229</v>
      </c>
      <c r="T2034" t="s">
        <v>223</v>
      </c>
      <c r="U2034" t="s">
        <v>224</v>
      </c>
      <c r="V2034" t="s">
        <v>131</v>
      </c>
      <c r="W2034" t="s">
        <v>165</v>
      </c>
      <c r="X2034" t="s">
        <v>45</v>
      </c>
      <c r="Z2034">
        <v>2</v>
      </c>
      <c r="AA2034" t="s">
        <v>224</v>
      </c>
      <c r="AB2034" s="40" t="s">
        <v>1797</v>
      </c>
    </row>
    <row r="2035" spans="1:28" x14ac:dyDescent="0.25">
      <c r="A2035">
        <v>99912034</v>
      </c>
      <c r="B2035" t="s">
        <v>32</v>
      </c>
      <c r="C2035" t="s">
        <v>33</v>
      </c>
      <c r="D2035" t="s">
        <v>34</v>
      </c>
      <c r="G2035" t="s">
        <v>48</v>
      </c>
      <c r="H2035">
        <v>1</v>
      </c>
      <c r="K2035" t="s">
        <v>223</v>
      </c>
      <c r="L2035" t="s">
        <v>224</v>
      </c>
      <c r="M2035" t="s">
        <v>131</v>
      </c>
      <c r="N2035">
        <v>18</v>
      </c>
      <c r="P2035" t="s">
        <v>41</v>
      </c>
      <c r="Q2035" t="s">
        <v>42</v>
      </c>
      <c r="R2035" t="str">
        <f t="shared" si="0"/>
        <v>0580207</v>
      </c>
      <c r="S2035" t="s">
        <v>229</v>
      </c>
      <c r="T2035" t="s">
        <v>223</v>
      </c>
      <c r="U2035" t="s">
        <v>224</v>
      </c>
      <c r="V2035" t="s">
        <v>131</v>
      </c>
      <c r="W2035" t="s">
        <v>51</v>
      </c>
      <c r="X2035" t="s">
        <v>45</v>
      </c>
      <c r="Z2035">
        <v>2</v>
      </c>
      <c r="AA2035" t="s">
        <v>224</v>
      </c>
      <c r="AB2035" s="40" t="s">
        <v>1797</v>
      </c>
    </row>
    <row r="2036" spans="1:28" x14ac:dyDescent="0.25">
      <c r="A2036">
        <v>99912035</v>
      </c>
      <c r="B2036" t="s">
        <v>32</v>
      </c>
      <c r="C2036" t="s">
        <v>46</v>
      </c>
      <c r="D2036" t="s">
        <v>47</v>
      </c>
      <c r="G2036" t="s">
        <v>48</v>
      </c>
      <c r="H2036">
        <v>1</v>
      </c>
      <c r="K2036" t="s">
        <v>223</v>
      </c>
      <c r="L2036" t="s">
        <v>224</v>
      </c>
      <c r="M2036" t="s">
        <v>131</v>
      </c>
      <c r="N2036">
        <v>18</v>
      </c>
      <c r="P2036" t="s">
        <v>41</v>
      </c>
      <c r="Q2036" t="s">
        <v>42</v>
      </c>
      <c r="R2036" t="str">
        <f t="shared" si="0"/>
        <v>0580207</v>
      </c>
      <c r="S2036" t="s">
        <v>229</v>
      </c>
      <c r="T2036" t="s">
        <v>223</v>
      </c>
      <c r="U2036" t="s">
        <v>224</v>
      </c>
      <c r="V2036" t="s">
        <v>131</v>
      </c>
      <c r="W2036" t="s">
        <v>165</v>
      </c>
      <c r="X2036" t="s">
        <v>45</v>
      </c>
      <c r="Z2036">
        <v>2</v>
      </c>
      <c r="AA2036" t="s">
        <v>224</v>
      </c>
      <c r="AB2036" s="40" t="s">
        <v>1797</v>
      </c>
    </row>
    <row r="2037" spans="1:28" x14ac:dyDescent="0.25">
      <c r="A2037">
        <v>99912036</v>
      </c>
      <c r="B2037" t="s">
        <v>32</v>
      </c>
      <c r="C2037" t="s">
        <v>46</v>
      </c>
      <c r="D2037" t="s">
        <v>47</v>
      </c>
      <c r="G2037" t="s">
        <v>48</v>
      </c>
      <c r="H2037">
        <v>1</v>
      </c>
      <c r="K2037" t="s">
        <v>223</v>
      </c>
      <c r="L2037" t="s">
        <v>224</v>
      </c>
      <c r="M2037" t="s">
        <v>131</v>
      </c>
      <c r="N2037">
        <v>18</v>
      </c>
      <c r="P2037" t="s">
        <v>41</v>
      </c>
      <c r="Q2037" t="s">
        <v>42</v>
      </c>
      <c r="R2037" t="str">
        <f t="shared" si="0"/>
        <v>0580207</v>
      </c>
      <c r="S2037" t="s">
        <v>229</v>
      </c>
      <c r="T2037" t="s">
        <v>223</v>
      </c>
      <c r="U2037" t="s">
        <v>224</v>
      </c>
      <c r="V2037" t="s">
        <v>131</v>
      </c>
      <c r="W2037" t="s">
        <v>165</v>
      </c>
      <c r="X2037" t="s">
        <v>45</v>
      </c>
      <c r="Z2037">
        <v>2</v>
      </c>
      <c r="AA2037" t="s">
        <v>224</v>
      </c>
      <c r="AB2037" s="40" t="s">
        <v>1797</v>
      </c>
    </row>
    <row r="2038" spans="1:28" x14ac:dyDescent="0.25">
      <c r="A2038">
        <v>99912037</v>
      </c>
      <c r="B2038" t="s">
        <v>56</v>
      </c>
      <c r="C2038" t="s">
        <v>68</v>
      </c>
      <c r="D2038" t="s">
        <v>69</v>
      </c>
      <c r="G2038" t="s">
        <v>48</v>
      </c>
      <c r="H2038">
        <v>1</v>
      </c>
      <c r="K2038" t="s">
        <v>223</v>
      </c>
      <c r="L2038" t="s">
        <v>224</v>
      </c>
      <c r="M2038" t="s">
        <v>131</v>
      </c>
      <c r="N2038">
        <v>18</v>
      </c>
      <c r="P2038" t="s">
        <v>41</v>
      </c>
      <c r="Q2038" t="s">
        <v>42</v>
      </c>
      <c r="R2038" t="str">
        <f t="shared" si="0"/>
        <v>0580207</v>
      </c>
      <c r="S2038" t="s">
        <v>229</v>
      </c>
      <c r="T2038" t="s">
        <v>223</v>
      </c>
      <c r="U2038" t="s">
        <v>224</v>
      </c>
      <c r="V2038" t="s">
        <v>131</v>
      </c>
      <c r="W2038" t="s">
        <v>165</v>
      </c>
      <c r="X2038" t="s">
        <v>45</v>
      </c>
      <c r="Z2038">
        <v>2</v>
      </c>
      <c r="AA2038" t="s">
        <v>224</v>
      </c>
      <c r="AB2038" s="40" t="s">
        <v>1797</v>
      </c>
    </row>
    <row r="2039" spans="1:28" x14ac:dyDescent="0.25">
      <c r="A2039">
        <v>99912038</v>
      </c>
      <c r="B2039" t="s">
        <v>56</v>
      </c>
      <c r="C2039" t="s">
        <v>46</v>
      </c>
      <c r="D2039" t="s">
        <v>47</v>
      </c>
      <c r="G2039" t="s">
        <v>48</v>
      </c>
      <c r="H2039">
        <v>1</v>
      </c>
      <c r="K2039" t="s">
        <v>223</v>
      </c>
      <c r="L2039" t="s">
        <v>224</v>
      </c>
      <c r="M2039" t="s">
        <v>131</v>
      </c>
      <c r="N2039">
        <v>18</v>
      </c>
      <c r="P2039" t="s">
        <v>41</v>
      </c>
      <c r="Q2039" t="s">
        <v>42</v>
      </c>
      <c r="R2039" t="str">
        <f t="shared" si="0"/>
        <v>0580207</v>
      </c>
      <c r="S2039" t="s">
        <v>229</v>
      </c>
      <c r="T2039" t="s">
        <v>223</v>
      </c>
      <c r="U2039" t="s">
        <v>224</v>
      </c>
      <c r="V2039" t="s">
        <v>131</v>
      </c>
      <c r="W2039" t="s">
        <v>165</v>
      </c>
      <c r="X2039" t="s">
        <v>45</v>
      </c>
      <c r="Z2039">
        <v>2</v>
      </c>
      <c r="AA2039" t="s">
        <v>224</v>
      </c>
      <c r="AB2039" s="40" t="s">
        <v>1797</v>
      </c>
    </row>
    <row r="2040" spans="1:28" x14ac:dyDescent="0.25">
      <c r="A2040">
        <v>99912039</v>
      </c>
      <c r="B2040" t="s">
        <v>32</v>
      </c>
      <c r="C2040" t="s">
        <v>64</v>
      </c>
      <c r="D2040" t="s">
        <v>65</v>
      </c>
      <c r="G2040" t="s">
        <v>48</v>
      </c>
      <c r="H2040">
        <v>1</v>
      </c>
      <c r="K2040" t="s">
        <v>223</v>
      </c>
      <c r="L2040" t="s">
        <v>224</v>
      </c>
      <c r="M2040" t="s">
        <v>131</v>
      </c>
      <c r="N2040">
        <v>18</v>
      </c>
      <c r="P2040" t="s">
        <v>41</v>
      </c>
      <c r="Q2040" t="s">
        <v>42</v>
      </c>
      <c r="R2040" t="str">
        <f t="shared" si="0"/>
        <v>0580207</v>
      </c>
      <c r="S2040" t="s">
        <v>229</v>
      </c>
      <c r="T2040" t="s">
        <v>223</v>
      </c>
      <c r="U2040" t="s">
        <v>224</v>
      </c>
      <c r="V2040" t="s">
        <v>131</v>
      </c>
      <c r="W2040" t="s">
        <v>51</v>
      </c>
      <c r="X2040" t="s">
        <v>45</v>
      </c>
      <c r="Z2040">
        <v>2</v>
      </c>
      <c r="AA2040" t="s">
        <v>224</v>
      </c>
      <c r="AB2040" s="40" t="s">
        <v>1797</v>
      </c>
    </row>
    <row r="2041" spans="1:28" x14ac:dyDescent="0.25">
      <c r="A2041">
        <v>99912040</v>
      </c>
      <c r="B2041" t="s">
        <v>56</v>
      </c>
      <c r="C2041" t="s">
        <v>46</v>
      </c>
      <c r="D2041" t="s">
        <v>47</v>
      </c>
      <c r="G2041" t="s">
        <v>48</v>
      </c>
      <c r="H2041">
        <v>1</v>
      </c>
      <c r="K2041" t="s">
        <v>223</v>
      </c>
      <c r="L2041" t="s">
        <v>224</v>
      </c>
      <c r="M2041" t="s">
        <v>131</v>
      </c>
      <c r="N2041">
        <v>18</v>
      </c>
      <c r="P2041" t="s">
        <v>41</v>
      </c>
      <c r="Q2041" t="s">
        <v>42</v>
      </c>
      <c r="R2041" t="str">
        <f>"0580315"</f>
        <v>0580315</v>
      </c>
      <c r="S2041" t="s">
        <v>246</v>
      </c>
      <c r="T2041" t="s">
        <v>223</v>
      </c>
      <c r="U2041" t="s">
        <v>224</v>
      </c>
      <c r="V2041" t="s">
        <v>131</v>
      </c>
      <c r="W2041" t="s">
        <v>51</v>
      </c>
      <c r="X2041" t="s">
        <v>45</v>
      </c>
      <c r="Z2041">
        <v>2</v>
      </c>
      <c r="AA2041" t="s">
        <v>224</v>
      </c>
      <c r="AB2041" s="40" t="s">
        <v>1797</v>
      </c>
    </row>
    <row r="2042" spans="1:28" x14ac:dyDescent="0.25">
      <c r="A2042">
        <v>99912041</v>
      </c>
      <c r="B2042" t="s">
        <v>56</v>
      </c>
      <c r="C2042" t="s">
        <v>52</v>
      </c>
      <c r="D2042" t="s">
        <v>53</v>
      </c>
      <c r="G2042" t="s">
        <v>48</v>
      </c>
      <c r="H2042">
        <v>1</v>
      </c>
      <c r="K2042" t="s">
        <v>223</v>
      </c>
      <c r="L2042" t="s">
        <v>224</v>
      </c>
      <c r="M2042" t="s">
        <v>131</v>
      </c>
      <c r="N2042">
        <v>18</v>
      </c>
      <c r="P2042" t="s">
        <v>41</v>
      </c>
      <c r="Q2042" t="s">
        <v>42</v>
      </c>
      <c r="R2042" t="str">
        <f>"0580207"</f>
        <v>0580207</v>
      </c>
      <c r="S2042" t="s">
        <v>229</v>
      </c>
      <c r="T2042" t="s">
        <v>223</v>
      </c>
      <c r="U2042" t="s">
        <v>224</v>
      </c>
      <c r="V2042" t="s">
        <v>131</v>
      </c>
      <c r="W2042" t="s">
        <v>165</v>
      </c>
      <c r="X2042" t="s">
        <v>45</v>
      </c>
      <c r="Z2042">
        <v>2</v>
      </c>
      <c r="AA2042" t="s">
        <v>224</v>
      </c>
      <c r="AB2042" s="40" t="s">
        <v>1797</v>
      </c>
    </row>
    <row r="2043" spans="1:28" x14ac:dyDescent="0.25">
      <c r="A2043">
        <v>99912042</v>
      </c>
      <c r="B2043" t="s">
        <v>56</v>
      </c>
      <c r="C2043" t="s">
        <v>46</v>
      </c>
      <c r="D2043" t="s">
        <v>47</v>
      </c>
      <c r="G2043" t="s">
        <v>48</v>
      </c>
      <c r="H2043">
        <v>1</v>
      </c>
      <c r="K2043" t="s">
        <v>223</v>
      </c>
      <c r="L2043" t="s">
        <v>224</v>
      </c>
      <c r="M2043" t="s">
        <v>131</v>
      </c>
      <c r="N2043">
        <v>18</v>
      </c>
      <c r="P2043" t="s">
        <v>41</v>
      </c>
      <c r="Q2043" t="s">
        <v>42</v>
      </c>
      <c r="R2043" t="str">
        <f>"0580315"</f>
        <v>0580315</v>
      </c>
      <c r="S2043" t="s">
        <v>246</v>
      </c>
      <c r="T2043" t="s">
        <v>223</v>
      </c>
      <c r="U2043" t="s">
        <v>224</v>
      </c>
      <c r="V2043" t="s">
        <v>131</v>
      </c>
      <c r="W2043" t="s">
        <v>51</v>
      </c>
      <c r="X2043" t="s">
        <v>45</v>
      </c>
      <c r="Z2043">
        <v>2</v>
      </c>
      <c r="AA2043" t="s">
        <v>224</v>
      </c>
      <c r="AB2043" s="40" t="s">
        <v>1797</v>
      </c>
    </row>
    <row r="2044" spans="1:28" x14ac:dyDescent="0.25">
      <c r="A2044">
        <v>99912043</v>
      </c>
      <c r="B2044" t="s">
        <v>56</v>
      </c>
      <c r="C2044" t="s">
        <v>52</v>
      </c>
      <c r="D2044" t="s">
        <v>53</v>
      </c>
      <c r="G2044" t="s">
        <v>48</v>
      </c>
      <c r="H2044">
        <v>1</v>
      </c>
      <c r="K2044" t="s">
        <v>223</v>
      </c>
      <c r="L2044" t="s">
        <v>224</v>
      </c>
      <c r="M2044" t="s">
        <v>131</v>
      </c>
      <c r="N2044">
        <v>18</v>
      </c>
      <c r="P2044" t="s">
        <v>41</v>
      </c>
      <c r="Q2044" t="s">
        <v>49</v>
      </c>
      <c r="R2044" t="str">
        <f>"0560016"</f>
        <v>0560016</v>
      </c>
      <c r="S2044" t="s">
        <v>254</v>
      </c>
      <c r="T2044" t="s">
        <v>223</v>
      </c>
      <c r="U2044" t="s">
        <v>224</v>
      </c>
      <c r="V2044" t="s">
        <v>131</v>
      </c>
      <c r="W2044" t="s">
        <v>51</v>
      </c>
      <c r="X2044" t="s">
        <v>45</v>
      </c>
      <c r="Z2044">
        <v>2</v>
      </c>
      <c r="AA2044" t="s">
        <v>224</v>
      </c>
      <c r="AB2044" s="40" t="s">
        <v>1797</v>
      </c>
    </row>
    <row r="2045" spans="1:28" x14ac:dyDescent="0.25">
      <c r="A2045">
        <v>99912044</v>
      </c>
      <c r="B2045" t="s">
        <v>56</v>
      </c>
      <c r="C2045" t="s">
        <v>58</v>
      </c>
      <c r="D2045" t="s">
        <v>59</v>
      </c>
      <c r="G2045" t="s">
        <v>48</v>
      </c>
      <c r="H2045">
        <v>1</v>
      </c>
      <c r="K2045" t="s">
        <v>223</v>
      </c>
      <c r="L2045" t="s">
        <v>224</v>
      </c>
      <c r="M2045" t="s">
        <v>131</v>
      </c>
      <c r="N2045">
        <v>18</v>
      </c>
      <c r="P2045" t="s">
        <v>41</v>
      </c>
      <c r="Q2045" t="s">
        <v>42</v>
      </c>
      <c r="R2045" t="str">
        <f>"0580207"</f>
        <v>0580207</v>
      </c>
      <c r="S2045" t="s">
        <v>229</v>
      </c>
      <c r="T2045" t="s">
        <v>223</v>
      </c>
      <c r="U2045" t="s">
        <v>224</v>
      </c>
      <c r="V2045" t="s">
        <v>131</v>
      </c>
      <c r="W2045" t="s">
        <v>51</v>
      </c>
      <c r="X2045" t="s">
        <v>45</v>
      </c>
      <c r="Z2045">
        <v>2</v>
      </c>
      <c r="AA2045" t="s">
        <v>224</v>
      </c>
      <c r="AB2045" s="40" t="s">
        <v>1797</v>
      </c>
    </row>
    <row r="2046" spans="1:28" x14ac:dyDescent="0.25">
      <c r="A2046">
        <v>99912045</v>
      </c>
      <c r="B2046" t="s">
        <v>32</v>
      </c>
      <c r="C2046" t="s">
        <v>46</v>
      </c>
      <c r="D2046" t="s">
        <v>47</v>
      </c>
      <c r="G2046" t="s">
        <v>48</v>
      </c>
      <c r="H2046">
        <v>1</v>
      </c>
      <c r="K2046" t="s">
        <v>223</v>
      </c>
      <c r="L2046" t="s">
        <v>224</v>
      </c>
      <c r="M2046" t="s">
        <v>131</v>
      </c>
      <c r="N2046">
        <v>18</v>
      </c>
      <c r="P2046" t="s">
        <v>41</v>
      </c>
      <c r="Q2046" t="s">
        <v>42</v>
      </c>
      <c r="R2046" t="str">
        <f>"0580315"</f>
        <v>0580315</v>
      </c>
      <c r="S2046" t="s">
        <v>246</v>
      </c>
      <c r="T2046" t="s">
        <v>223</v>
      </c>
      <c r="U2046" t="s">
        <v>224</v>
      </c>
      <c r="V2046" t="s">
        <v>131</v>
      </c>
      <c r="W2046" t="s">
        <v>51</v>
      </c>
      <c r="X2046" t="s">
        <v>45</v>
      </c>
      <c r="Z2046">
        <v>2</v>
      </c>
      <c r="AA2046" t="s">
        <v>224</v>
      </c>
      <c r="AB2046" s="40" t="s">
        <v>1797</v>
      </c>
    </row>
    <row r="2047" spans="1:28" x14ac:dyDescent="0.25">
      <c r="A2047">
        <v>99912046</v>
      </c>
      <c r="B2047" t="s">
        <v>56</v>
      </c>
      <c r="C2047" t="s">
        <v>85</v>
      </c>
      <c r="D2047" t="s">
        <v>86</v>
      </c>
      <c r="G2047" t="s">
        <v>48</v>
      </c>
      <c r="H2047">
        <v>1</v>
      </c>
      <c r="K2047" t="s">
        <v>223</v>
      </c>
      <c r="L2047" t="s">
        <v>224</v>
      </c>
      <c r="M2047" t="s">
        <v>131</v>
      </c>
      <c r="N2047">
        <v>18</v>
      </c>
      <c r="P2047" t="s">
        <v>41</v>
      </c>
      <c r="Q2047" t="s">
        <v>42</v>
      </c>
      <c r="R2047" t="str">
        <f>"0580207"</f>
        <v>0580207</v>
      </c>
      <c r="S2047" t="s">
        <v>229</v>
      </c>
      <c r="T2047" t="s">
        <v>223</v>
      </c>
      <c r="U2047" t="s">
        <v>224</v>
      </c>
      <c r="V2047" t="s">
        <v>131</v>
      </c>
      <c r="W2047" t="s">
        <v>165</v>
      </c>
      <c r="X2047" t="s">
        <v>45</v>
      </c>
      <c r="Z2047">
        <v>2</v>
      </c>
      <c r="AA2047" t="s">
        <v>224</v>
      </c>
      <c r="AB2047" s="40" t="s">
        <v>1797</v>
      </c>
    </row>
    <row r="2048" spans="1:28" x14ac:dyDescent="0.25">
      <c r="A2048">
        <v>99912047</v>
      </c>
      <c r="B2048" t="s">
        <v>56</v>
      </c>
      <c r="C2048" t="s">
        <v>52</v>
      </c>
      <c r="D2048" t="s">
        <v>53</v>
      </c>
      <c r="G2048" t="s">
        <v>48</v>
      </c>
      <c r="H2048">
        <v>1</v>
      </c>
      <c r="K2048" t="s">
        <v>223</v>
      </c>
      <c r="L2048" t="s">
        <v>224</v>
      </c>
      <c r="M2048" t="s">
        <v>131</v>
      </c>
      <c r="N2048">
        <v>18</v>
      </c>
      <c r="P2048" t="s">
        <v>41</v>
      </c>
      <c r="Q2048" t="s">
        <v>42</v>
      </c>
      <c r="R2048" t="str">
        <f>"0580207"</f>
        <v>0580207</v>
      </c>
      <c r="S2048" t="s">
        <v>229</v>
      </c>
      <c r="T2048" t="s">
        <v>223</v>
      </c>
      <c r="U2048" t="s">
        <v>224</v>
      </c>
      <c r="V2048" t="s">
        <v>131</v>
      </c>
      <c r="W2048" t="s">
        <v>165</v>
      </c>
      <c r="X2048" t="s">
        <v>45</v>
      </c>
      <c r="Z2048">
        <v>2</v>
      </c>
      <c r="AA2048" t="s">
        <v>224</v>
      </c>
      <c r="AB2048" s="40" t="s">
        <v>1797</v>
      </c>
    </row>
    <row r="2049" spans="1:28" x14ac:dyDescent="0.25">
      <c r="A2049">
        <v>99912048</v>
      </c>
      <c r="B2049" t="s">
        <v>56</v>
      </c>
      <c r="C2049" t="s">
        <v>259</v>
      </c>
      <c r="D2049" t="s">
        <v>260</v>
      </c>
      <c r="G2049" t="s">
        <v>35</v>
      </c>
      <c r="H2049">
        <v>1</v>
      </c>
      <c r="I2049">
        <v>18346</v>
      </c>
      <c r="J2049" s="1">
        <v>43392</v>
      </c>
      <c r="K2049" t="s">
        <v>345</v>
      </c>
      <c r="L2049" t="s">
        <v>346</v>
      </c>
      <c r="M2049" t="s">
        <v>131</v>
      </c>
      <c r="N2049">
        <v>18</v>
      </c>
      <c r="O2049" s="1">
        <v>43392</v>
      </c>
      <c r="P2049" t="s">
        <v>41</v>
      </c>
      <c r="Q2049" t="s">
        <v>49</v>
      </c>
      <c r="R2049" t="str">
        <f>"0591906"</f>
        <v>0591906</v>
      </c>
      <c r="S2049" t="s">
        <v>350</v>
      </c>
      <c r="T2049" t="s">
        <v>345</v>
      </c>
      <c r="U2049" t="s">
        <v>346</v>
      </c>
      <c r="V2049" t="s">
        <v>131</v>
      </c>
      <c r="W2049" t="s">
        <v>44</v>
      </c>
      <c r="X2049" t="s">
        <v>45</v>
      </c>
      <c r="Z2049">
        <v>2</v>
      </c>
      <c r="AA2049" t="s">
        <v>346</v>
      </c>
      <c r="AB2049" s="40" t="s">
        <v>1797</v>
      </c>
    </row>
    <row r="2050" spans="1:28" x14ac:dyDescent="0.25">
      <c r="A2050">
        <v>99912049</v>
      </c>
      <c r="B2050" t="s">
        <v>32</v>
      </c>
      <c r="C2050" t="s">
        <v>139</v>
      </c>
      <c r="D2050" t="s">
        <v>140</v>
      </c>
      <c r="G2050" t="s">
        <v>35</v>
      </c>
      <c r="H2050">
        <v>1</v>
      </c>
      <c r="K2050" t="s">
        <v>154</v>
      </c>
      <c r="L2050" t="s">
        <v>155</v>
      </c>
      <c r="M2050" t="s">
        <v>131</v>
      </c>
      <c r="N2050">
        <v>18</v>
      </c>
      <c r="P2050" t="s">
        <v>41</v>
      </c>
      <c r="Q2050" t="s">
        <v>75</v>
      </c>
      <c r="R2050" t="str">
        <f>"7051014"</f>
        <v>7051014</v>
      </c>
      <c r="S2050" t="s">
        <v>398</v>
      </c>
      <c r="T2050" t="s">
        <v>154</v>
      </c>
      <c r="U2050" t="s">
        <v>155</v>
      </c>
      <c r="V2050" t="s">
        <v>131</v>
      </c>
      <c r="W2050" t="s">
        <v>165</v>
      </c>
      <c r="X2050" t="s">
        <v>45</v>
      </c>
      <c r="Z2050">
        <v>1</v>
      </c>
      <c r="AA2050" t="s">
        <v>155</v>
      </c>
      <c r="AB2050" s="40" t="s">
        <v>1797</v>
      </c>
    </row>
    <row r="2051" spans="1:28" x14ac:dyDescent="0.25">
      <c r="A2051">
        <v>99912050</v>
      </c>
      <c r="B2051" t="s">
        <v>56</v>
      </c>
      <c r="C2051" t="s">
        <v>143</v>
      </c>
      <c r="D2051" t="s">
        <v>144</v>
      </c>
      <c r="G2051" t="s">
        <v>48</v>
      </c>
      <c r="H2051">
        <v>1</v>
      </c>
      <c r="K2051" t="s">
        <v>431</v>
      </c>
      <c r="L2051" t="s">
        <v>196</v>
      </c>
      <c r="M2051" t="s">
        <v>131</v>
      </c>
      <c r="N2051">
        <v>18</v>
      </c>
      <c r="P2051" t="s">
        <v>41</v>
      </c>
      <c r="Q2051" t="s">
        <v>75</v>
      </c>
      <c r="R2051" t="str">
        <f>"7521012"</f>
        <v>7521012</v>
      </c>
      <c r="S2051" t="s">
        <v>432</v>
      </c>
      <c r="T2051" t="s">
        <v>431</v>
      </c>
      <c r="U2051" t="s">
        <v>196</v>
      </c>
      <c r="V2051" t="s">
        <v>131</v>
      </c>
      <c r="W2051" t="s">
        <v>51</v>
      </c>
      <c r="X2051" t="s">
        <v>45</v>
      </c>
      <c r="Z2051">
        <v>1</v>
      </c>
      <c r="AA2051" t="s">
        <v>196</v>
      </c>
      <c r="AB2051" s="40" t="s">
        <v>1797</v>
      </c>
    </row>
    <row r="2052" spans="1:28" x14ac:dyDescent="0.25">
      <c r="A2052">
        <v>99912051</v>
      </c>
      <c r="B2052" t="s">
        <v>32</v>
      </c>
      <c r="C2052" t="s">
        <v>79</v>
      </c>
      <c r="D2052" t="s">
        <v>80</v>
      </c>
      <c r="G2052" t="s">
        <v>48</v>
      </c>
      <c r="H2052">
        <v>1</v>
      </c>
      <c r="K2052" t="s">
        <v>268</v>
      </c>
      <c r="L2052" t="s">
        <v>269</v>
      </c>
      <c r="M2052" t="s">
        <v>131</v>
      </c>
      <c r="N2052">
        <v>18</v>
      </c>
      <c r="P2052" t="s">
        <v>41</v>
      </c>
      <c r="Q2052" t="s">
        <v>75</v>
      </c>
      <c r="R2052" t="str">
        <f>"7052044"</f>
        <v>7052044</v>
      </c>
      <c r="S2052" t="s">
        <v>589</v>
      </c>
      <c r="T2052" t="s">
        <v>268</v>
      </c>
      <c r="U2052" t="s">
        <v>269</v>
      </c>
      <c r="V2052" t="s">
        <v>131</v>
      </c>
      <c r="W2052" t="s">
        <v>51</v>
      </c>
      <c r="X2052" t="s">
        <v>45</v>
      </c>
      <c r="Z2052">
        <v>1</v>
      </c>
      <c r="AA2052" t="s">
        <v>269</v>
      </c>
      <c r="AB2052" s="40" t="s">
        <v>1797</v>
      </c>
    </row>
    <row r="2053" spans="1:28" x14ac:dyDescent="0.25">
      <c r="A2053">
        <v>99912052</v>
      </c>
      <c r="B2053" t="s">
        <v>32</v>
      </c>
      <c r="C2053" t="s">
        <v>139</v>
      </c>
      <c r="D2053" t="s">
        <v>140</v>
      </c>
      <c r="G2053" t="s">
        <v>48</v>
      </c>
      <c r="H2053">
        <v>1</v>
      </c>
      <c r="K2053" t="s">
        <v>268</v>
      </c>
      <c r="L2053" t="s">
        <v>269</v>
      </c>
      <c r="M2053" t="s">
        <v>131</v>
      </c>
      <c r="N2053">
        <v>18</v>
      </c>
      <c r="P2053" t="s">
        <v>41</v>
      </c>
      <c r="Q2053" t="s">
        <v>75</v>
      </c>
      <c r="R2053" t="str">
        <f>"7052044"</f>
        <v>7052044</v>
      </c>
      <c r="S2053" t="s">
        <v>589</v>
      </c>
      <c r="T2053" t="s">
        <v>268</v>
      </c>
      <c r="U2053" t="s">
        <v>269</v>
      </c>
      <c r="V2053" t="s">
        <v>131</v>
      </c>
      <c r="W2053" t="s">
        <v>51</v>
      </c>
      <c r="X2053" t="s">
        <v>45</v>
      </c>
      <c r="Z2053">
        <v>1</v>
      </c>
      <c r="AA2053" t="s">
        <v>269</v>
      </c>
      <c r="AB2053" s="40" t="s">
        <v>1797</v>
      </c>
    </row>
    <row r="2054" spans="1:28" x14ac:dyDescent="0.25">
      <c r="A2054">
        <v>99912053</v>
      </c>
      <c r="B2054" t="s">
        <v>32</v>
      </c>
      <c r="C2054" t="s">
        <v>139</v>
      </c>
      <c r="D2054" t="s">
        <v>140</v>
      </c>
      <c r="G2054" t="s">
        <v>48</v>
      </c>
      <c r="H2054">
        <v>1</v>
      </c>
      <c r="K2054" t="s">
        <v>268</v>
      </c>
      <c r="L2054" t="s">
        <v>269</v>
      </c>
      <c r="M2054" t="s">
        <v>131</v>
      </c>
      <c r="N2054">
        <v>18</v>
      </c>
      <c r="P2054" t="s">
        <v>41</v>
      </c>
      <c r="Q2054" t="s">
        <v>75</v>
      </c>
      <c r="R2054" t="str">
        <f>"7052044"</f>
        <v>7052044</v>
      </c>
      <c r="S2054" t="s">
        <v>589</v>
      </c>
      <c r="T2054" t="s">
        <v>268</v>
      </c>
      <c r="U2054" t="s">
        <v>269</v>
      </c>
      <c r="V2054" t="s">
        <v>131</v>
      </c>
      <c r="W2054" t="s">
        <v>51</v>
      </c>
      <c r="X2054" t="s">
        <v>45</v>
      </c>
      <c r="Z2054">
        <v>1</v>
      </c>
      <c r="AA2054" t="s">
        <v>269</v>
      </c>
      <c r="AB2054" s="40" t="s">
        <v>1797</v>
      </c>
    </row>
    <row r="2055" spans="1:28" x14ac:dyDescent="0.25">
      <c r="A2055">
        <v>99912054</v>
      </c>
      <c r="B2055" t="s">
        <v>32</v>
      </c>
      <c r="C2055" t="s">
        <v>79</v>
      </c>
      <c r="D2055" t="s">
        <v>80</v>
      </c>
      <c r="G2055" t="s">
        <v>35</v>
      </c>
      <c r="H2055">
        <v>1</v>
      </c>
      <c r="I2055">
        <v>1466</v>
      </c>
      <c r="J2055" s="1">
        <v>43344</v>
      </c>
      <c r="K2055" t="s">
        <v>1198</v>
      </c>
      <c r="L2055" t="s">
        <v>1199</v>
      </c>
      <c r="M2055" t="s">
        <v>1130</v>
      </c>
      <c r="N2055">
        <v>18</v>
      </c>
      <c r="O2055" s="1">
        <v>43344</v>
      </c>
      <c r="P2055" t="s">
        <v>41</v>
      </c>
      <c r="Q2055" t="s">
        <v>75</v>
      </c>
      <c r="R2055" t="str">
        <f>"7311002"</f>
        <v>7311002</v>
      </c>
      <c r="S2055" t="s">
        <v>1203</v>
      </c>
      <c r="T2055" t="s">
        <v>1198</v>
      </c>
      <c r="U2055" t="s">
        <v>1199</v>
      </c>
      <c r="V2055" t="s">
        <v>1130</v>
      </c>
      <c r="W2055" t="s">
        <v>51</v>
      </c>
      <c r="X2055" t="s">
        <v>45</v>
      </c>
      <c r="Z2055">
        <v>1</v>
      </c>
      <c r="AA2055" t="s">
        <v>1199</v>
      </c>
      <c r="AB2055" s="40" t="s">
        <v>1797</v>
      </c>
    </row>
    <row r="2056" spans="1:28" x14ac:dyDescent="0.25">
      <c r="A2056">
        <v>99912055</v>
      </c>
      <c r="B2056" t="s">
        <v>32</v>
      </c>
      <c r="C2056" t="s">
        <v>46</v>
      </c>
      <c r="D2056" t="s">
        <v>47</v>
      </c>
      <c r="G2056" t="s">
        <v>48</v>
      </c>
      <c r="H2056">
        <v>1</v>
      </c>
      <c r="K2056" t="s">
        <v>1487</v>
      </c>
      <c r="L2056" t="s">
        <v>1488</v>
      </c>
      <c r="M2056" t="s">
        <v>670</v>
      </c>
      <c r="N2056">
        <v>18</v>
      </c>
      <c r="P2056" t="s">
        <v>41</v>
      </c>
      <c r="Q2056" t="s">
        <v>49</v>
      </c>
      <c r="R2056" t="str">
        <f>"1760001"</f>
        <v>1760001</v>
      </c>
      <c r="S2056" t="s">
        <v>1489</v>
      </c>
      <c r="T2056" t="s">
        <v>1487</v>
      </c>
      <c r="U2056" t="s">
        <v>1488</v>
      </c>
      <c r="V2056" t="s">
        <v>670</v>
      </c>
      <c r="W2056" t="s">
        <v>51</v>
      </c>
      <c r="X2056" t="s">
        <v>45</v>
      </c>
      <c r="Z2056">
        <v>2</v>
      </c>
      <c r="AA2056" t="s">
        <v>1488</v>
      </c>
      <c r="AB2056" s="40" t="s">
        <v>1797</v>
      </c>
    </row>
    <row r="2057" spans="1:28" x14ac:dyDescent="0.25">
      <c r="A2057">
        <v>99912056</v>
      </c>
      <c r="B2057" t="s">
        <v>56</v>
      </c>
      <c r="C2057" t="s">
        <v>79</v>
      </c>
      <c r="D2057" t="s">
        <v>80</v>
      </c>
      <c r="G2057" t="s">
        <v>48</v>
      </c>
      <c r="H2057">
        <v>1</v>
      </c>
      <c r="K2057" t="s">
        <v>1487</v>
      </c>
      <c r="L2057" t="s">
        <v>1488</v>
      </c>
      <c r="M2057" t="s">
        <v>670</v>
      </c>
      <c r="N2057">
        <v>18</v>
      </c>
      <c r="P2057" t="s">
        <v>41</v>
      </c>
      <c r="Q2057" t="s">
        <v>49</v>
      </c>
      <c r="R2057" t="str">
        <f>"1760001"</f>
        <v>1760001</v>
      </c>
      <c r="S2057" t="s">
        <v>1489</v>
      </c>
      <c r="T2057" t="s">
        <v>1487</v>
      </c>
      <c r="U2057" t="s">
        <v>1488</v>
      </c>
      <c r="V2057" t="s">
        <v>670</v>
      </c>
      <c r="W2057" t="s">
        <v>51</v>
      </c>
      <c r="X2057" t="s">
        <v>45</v>
      </c>
      <c r="Z2057">
        <v>2</v>
      </c>
      <c r="AA2057" t="s">
        <v>1488</v>
      </c>
      <c r="AB2057" s="40" t="s">
        <v>1797</v>
      </c>
    </row>
    <row r="2058" spans="1:28" x14ac:dyDescent="0.25">
      <c r="A2058">
        <v>99912057</v>
      </c>
      <c r="B2058" t="s">
        <v>32</v>
      </c>
      <c r="C2058" t="s">
        <v>136</v>
      </c>
      <c r="D2058" t="s">
        <v>137</v>
      </c>
      <c r="G2058" t="s">
        <v>35</v>
      </c>
      <c r="H2058">
        <v>1</v>
      </c>
      <c r="I2058" t="s">
        <v>1014</v>
      </c>
      <c r="J2058" s="1">
        <v>43384</v>
      </c>
      <c r="K2058" t="s">
        <v>963</v>
      </c>
      <c r="L2058" t="s">
        <v>964</v>
      </c>
      <c r="M2058" t="s">
        <v>938</v>
      </c>
      <c r="N2058">
        <v>19</v>
      </c>
      <c r="O2058" s="1">
        <v>43384</v>
      </c>
      <c r="P2058" t="s">
        <v>41</v>
      </c>
      <c r="Q2058" t="s">
        <v>75</v>
      </c>
      <c r="R2058" t="str">
        <f>"7061000"</f>
        <v>7061000</v>
      </c>
      <c r="S2058" t="s">
        <v>962</v>
      </c>
      <c r="T2058" t="s">
        <v>963</v>
      </c>
      <c r="U2058" t="s">
        <v>964</v>
      </c>
      <c r="V2058" t="s">
        <v>938</v>
      </c>
      <c r="W2058" t="s">
        <v>55</v>
      </c>
      <c r="X2058" t="s">
        <v>45</v>
      </c>
      <c r="Y2058" s="1">
        <v>34512</v>
      </c>
      <c r="Z2058">
        <v>1</v>
      </c>
      <c r="AA2058" t="s">
        <v>964</v>
      </c>
      <c r="AB2058" s="40" t="s">
        <v>1797</v>
      </c>
    </row>
    <row r="2059" spans="1:28" x14ac:dyDescent="0.25">
      <c r="A2059">
        <v>99912058</v>
      </c>
      <c r="B2059" t="s">
        <v>56</v>
      </c>
      <c r="C2059" t="s">
        <v>111</v>
      </c>
      <c r="D2059" t="s">
        <v>112</v>
      </c>
      <c r="G2059" t="s">
        <v>35</v>
      </c>
      <c r="H2059">
        <v>1</v>
      </c>
      <c r="I2059">
        <v>0</v>
      </c>
      <c r="J2059" s="1">
        <v>43344</v>
      </c>
      <c r="K2059" t="s">
        <v>985</v>
      </c>
      <c r="L2059" t="s">
        <v>986</v>
      </c>
      <c r="M2059" t="s">
        <v>938</v>
      </c>
      <c r="N2059">
        <v>19</v>
      </c>
      <c r="O2059" s="1">
        <v>43344</v>
      </c>
      <c r="P2059" t="s">
        <v>41</v>
      </c>
      <c r="Q2059" t="s">
        <v>75</v>
      </c>
      <c r="R2059" t="str">
        <f>"7011004"</f>
        <v>7011004</v>
      </c>
      <c r="S2059" t="s">
        <v>987</v>
      </c>
      <c r="T2059" t="s">
        <v>985</v>
      </c>
      <c r="U2059" t="s">
        <v>986</v>
      </c>
      <c r="V2059" t="s">
        <v>938</v>
      </c>
      <c r="W2059" t="s">
        <v>44</v>
      </c>
      <c r="X2059" t="s">
        <v>45</v>
      </c>
      <c r="Y2059" s="1">
        <v>32664</v>
      </c>
      <c r="Z2059">
        <v>1</v>
      </c>
      <c r="AA2059" t="s">
        <v>986</v>
      </c>
      <c r="AB2059" s="40" t="s">
        <v>1797</v>
      </c>
    </row>
    <row r="2060" spans="1:28" x14ac:dyDescent="0.25">
      <c r="A2060">
        <v>99912059</v>
      </c>
      <c r="B2060" t="s">
        <v>32</v>
      </c>
      <c r="C2060" t="s">
        <v>46</v>
      </c>
      <c r="D2060" t="s">
        <v>47</v>
      </c>
      <c r="G2060" t="s">
        <v>35</v>
      </c>
      <c r="H2060">
        <v>1</v>
      </c>
      <c r="I2060" t="s">
        <v>1559</v>
      </c>
      <c r="J2060" s="1">
        <v>43344</v>
      </c>
      <c r="K2060" t="s">
        <v>1546</v>
      </c>
      <c r="L2060" t="s">
        <v>1547</v>
      </c>
      <c r="M2060" t="s">
        <v>1548</v>
      </c>
      <c r="N2060">
        <v>19</v>
      </c>
      <c r="O2060" s="1">
        <v>43344</v>
      </c>
      <c r="P2060" t="s">
        <v>41</v>
      </c>
      <c r="Q2060" t="s">
        <v>49</v>
      </c>
      <c r="R2060" t="str">
        <f>"1060001"</f>
        <v>1060001</v>
      </c>
      <c r="S2060" t="s">
        <v>1553</v>
      </c>
      <c r="T2060" t="s">
        <v>1546</v>
      </c>
      <c r="U2060" t="s">
        <v>1547</v>
      </c>
      <c r="V2060" t="s">
        <v>1548</v>
      </c>
      <c r="W2060" t="s">
        <v>44</v>
      </c>
      <c r="X2060" t="s">
        <v>45</v>
      </c>
      <c r="Y2060" s="1">
        <v>32454</v>
      </c>
      <c r="Z2060">
        <v>2</v>
      </c>
      <c r="AA2060" t="s">
        <v>1547</v>
      </c>
      <c r="AB2060" s="40" t="s">
        <v>1797</v>
      </c>
    </row>
    <row r="2061" spans="1:28" x14ac:dyDescent="0.25">
      <c r="A2061">
        <v>99912060</v>
      </c>
      <c r="B2061" t="s">
        <v>32</v>
      </c>
      <c r="C2061" t="s">
        <v>64</v>
      </c>
      <c r="D2061" t="s">
        <v>65</v>
      </c>
      <c r="G2061" t="s">
        <v>48</v>
      </c>
      <c r="H2061">
        <v>1</v>
      </c>
      <c r="K2061" t="s">
        <v>1502</v>
      </c>
      <c r="L2061" t="s">
        <v>1503</v>
      </c>
      <c r="M2061" t="s">
        <v>670</v>
      </c>
      <c r="N2061">
        <v>19</v>
      </c>
      <c r="P2061" t="s">
        <v>41</v>
      </c>
      <c r="Q2061" t="s">
        <v>75</v>
      </c>
      <c r="R2061" t="str">
        <f>"7171002"</f>
        <v>7171002</v>
      </c>
      <c r="S2061" t="s">
        <v>1505</v>
      </c>
      <c r="T2061" t="s">
        <v>1502</v>
      </c>
      <c r="U2061" t="s">
        <v>1503</v>
      </c>
      <c r="V2061" t="s">
        <v>670</v>
      </c>
      <c r="W2061" t="s">
        <v>51</v>
      </c>
      <c r="X2061" t="s">
        <v>45</v>
      </c>
      <c r="Y2061" s="1">
        <v>32435</v>
      </c>
      <c r="Z2061">
        <v>1</v>
      </c>
      <c r="AA2061" t="s">
        <v>1503</v>
      </c>
      <c r="AB2061" s="40" t="s">
        <v>1797</v>
      </c>
    </row>
    <row r="2062" spans="1:28" x14ac:dyDescent="0.25">
      <c r="A2062">
        <v>99912061</v>
      </c>
      <c r="B2062" t="s">
        <v>32</v>
      </c>
      <c r="C2062" t="s">
        <v>46</v>
      </c>
      <c r="D2062" t="s">
        <v>47</v>
      </c>
      <c r="G2062" t="s">
        <v>48</v>
      </c>
      <c r="H2062">
        <v>1</v>
      </c>
      <c r="K2062" t="s">
        <v>1187</v>
      </c>
      <c r="L2062" t="s">
        <v>1188</v>
      </c>
      <c r="M2062" t="s">
        <v>1130</v>
      </c>
      <c r="N2062">
        <v>19</v>
      </c>
      <c r="P2062" t="s">
        <v>41</v>
      </c>
      <c r="Q2062" t="s">
        <v>49</v>
      </c>
      <c r="R2062" t="str">
        <f>"4581015"</f>
        <v>4581015</v>
      </c>
      <c r="S2062" t="s">
        <v>1190</v>
      </c>
      <c r="T2062" t="s">
        <v>1187</v>
      </c>
      <c r="U2062" t="s">
        <v>1188</v>
      </c>
      <c r="V2062" t="s">
        <v>1130</v>
      </c>
      <c r="W2062" t="s">
        <v>51</v>
      </c>
      <c r="X2062" t="s">
        <v>45</v>
      </c>
      <c r="Y2062" s="1">
        <v>32375</v>
      </c>
      <c r="Z2062">
        <v>2</v>
      </c>
      <c r="AA2062" t="s">
        <v>1188</v>
      </c>
      <c r="AB2062" s="40" t="s">
        <v>1797</v>
      </c>
    </row>
    <row r="2063" spans="1:28" x14ac:dyDescent="0.25">
      <c r="A2063">
        <v>99912062</v>
      </c>
      <c r="B2063" t="s">
        <v>32</v>
      </c>
      <c r="C2063" t="s">
        <v>46</v>
      </c>
      <c r="D2063" t="s">
        <v>47</v>
      </c>
      <c r="G2063" t="s">
        <v>35</v>
      </c>
      <c r="H2063">
        <v>1</v>
      </c>
      <c r="K2063" t="s">
        <v>223</v>
      </c>
      <c r="L2063" t="s">
        <v>224</v>
      </c>
      <c r="M2063" t="s">
        <v>131</v>
      </c>
      <c r="N2063">
        <v>19</v>
      </c>
      <c r="P2063" t="s">
        <v>41</v>
      </c>
      <c r="Q2063" t="s">
        <v>49</v>
      </c>
      <c r="R2063" t="str">
        <f>"0581206"</f>
        <v>0581206</v>
      </c>
      <c r="S2063" t="s">
        <v>232</v>
      </c>
      <c r="T2063" t="s">
        <v>223</v>
      </c>
      <c r="U2063" t="s">
        <v>224</v>
      </c>
      <c r="V2063" t="s">
        <v>131</v>
      </c>
      <c r="W2063" t="s">
        <v>165</v>
      </c>
      <c r="X2063" t="s">
        <v>45</v>
      </c>
      <c r="Y2063" s="1">
        <v>32022</v>
      </c>
      <c r="Z2063">
        <v>2</v>
      </c>
      <c r="AA2063" t="s">
        <v>224</v>
      </c>
      <c r="AB2063" s="40" t="s">
        <v>1797</v>
      </c>
    </row>
    <row r="2064" spans="1:28" x14ac:dyDescent="0.25">
      <c r="A2064">
        <v>99912063</v>
      </c>
      <c r="B2064" t="s">
        <v>32</v>
      </c>
      <c r="C2064" t="s">
        <v>61</v>
      </c>
      <c r="D2064" t="s">
        <v>62</v>
      </c>
      <c r="G2064" t="s">
        <v>35</v>
      </c>
      <c r="H2064">
        <v>1</v>
      </c>
      <c r="I2064">
        <v>13031</v>
      </c>
      <c r="J2064" s="1">
        <v>43344</v>
      </c>
      <c r="K2064" t="s">
        <v>354</v>
      </c>
      <c r="L2064" t="s">
        <v>355</v>
      </c>
      <c r="M2064" t="s">
        <v>131</v>
      </c>
      <c r="N2064">
        <v>19</v>
      </c>
      <c r="O2064" s="1">
        <v>43344</v>
      </c>
      <c r="P2064" t="s">
        <v>41</v>
      </c>
      <c r="Q2064" t="s">
        <v>75</v>
      </c>
      <c r="R2064" t="str">
        <f>"7054042"</f>
        <v>7054042</v>
      </c>
      <c r="S2064" t="s">
        <v>776</v>
      </c>
      <c r="T2064" t="s">
        <v>354</v>
      </c>
      <c r="U2064" t="s">
        <v>355</v>
      </c>
      <c r="V2064" t="s">
        <v>131</v>
      </c>
      <c r="W2064" t="s">
        <v>51</v>
      </c>
      <c r="X2064" t="s">
        <v>45</v>
      </c>
      <c r="Y2064" s="1">
        <v>31020</v>
      </c>
      <c r="Z2064">
        <v>1</v>
      </c>
      <c r="AA2064" t="s">
        <v>355</v>
      </c>
      <c r="AB2064" s="40" t="s">
        <v>1797</v>
      </c>
    </row>
    <row r="2065" spans="1:28" x14ac:dyDescent="0.25">
      <c r="A2065">
        <v>99912064</v>
      </c>
      <c r="B2065" t="s">
        <v>56</v>
      </c>
      <c r="C2065" t="s">
        <v>259</v>
      </c>
      <c r="D2065" t="s">
        <v>260</v>
      </c>
      <c r="G2065" t="s">
        <v>35</v>
      </c>
      <c r="H2065">
        <v>1</v>
      </c>
      <c r="K2065" t="s">
        <v>947</v>
      </c>
      <c r="L2065" t="s">
        <v>948</v>
      </c>
      <c r="M2065" t="s">
        <v>938</v>
      </c>
      <c r="N2065">
        <v>19</v>
      </c>
      <c r="P2065" t="s">
        <v>41</v>
      </c>
      <c r="Q2065" t="s">
        <v>49</v>
      </c>
      <c r="R2065" t="str">
        <f>"0605000"</f>
        <v>0605000</v>
      </c>
      <c r="S2065" t="s">
        <v>950</v>
      </c>
      <c r="T2065" t="s">
        <v>947</v>
      </c>
      <c r="U2065" t="s">
        <v>948</v>
      </c>
      <c r="V2065" t="s">
        <v>938</v>
      </c>
      <c r="W2065" t="s">
        <v>51</v>
      </c>
      <c r="X2065" t="s">
        <v>45</v>
      </c>
      <c r="Y2065" s="1">
        <v>30683</v>
      </c>
      <c r="Z2065">
        <v>2</v>
      </c>
      <c r="AA2065" t="s">
        <v>948</v>
      </c>
      <c r="AB2065" s="40" t="s">
        <v>1797</v>
      </c>
    </row>
    <row r="2066" spans="1:28" x14ac:dyDescent="0.25">
      <c r="A2066">
        <v>99912065</v>
      </c>
      <c r="B2066" t="s">
        <v>56</v>
      </c>
      <c r="C2066" t="s">
        <v>79</v>
      </c>
      <c r="D2066" t="s">
        <v>80</v>
      </c>
      <c r="G2066" t="s">
        <v>48</v>
      </c>
      <c r="H2066">
        <v>1</v>
      </c>
      <c r="K2066" t="s">
        <v>223</v>
      </c>
      <c r="L2066" t="s">
        <v>224</v>
      </c>
      <c r="M2066" t="s">
        <v>131</v>
      </c>
      <c r="N2066">
        <v>19</v>
      </c>
      <c r="P2066" t="s">
        <v>41</v>
      </c>
      <c r="Q2066" t="s">
        <v>49</v>
      </c>
      <c r="R2066" t="str">
        <f>"0581200"</f>
        <v>0581200</v>
      </c>
      <c r="S2066" t="s">
        <v>238</v>
      </c>
      <c r="T2066" t="s">
        <v>223</v>
      </c>
      <c r="U2066" t="s">
        <v>224</v>
      </c>
      <c r="V2066" t="s">
        <v>131</v>
      </c>
      <c r="W2066" t="s">
        <v>51</v>
      </c>
      <c r="X2066" t="s">
        <v>45</v>
      </c>
      <c r="Y2066" s="1">
        <v>30616</v>
      </c>
      <c r="Z2066">
        <v>2</v>
      </c>
      <c r="AA2066" t="s">
        <v>224</v>
      </c>
      <c r="AB2066" s="40" t="s">
        <v>1797</v>
      </c>
    </row>
    <row r="2067" spans="1:28" x14ac:dyDescent="0.25">
      <c r="A2067">
        <v>99912066</v>
      </c>
      <c r="B2067" t="s">
        <v>32</v>
      </c>
      <c r="C2067" t="s">
        <v>52</v>
      </c>
      <c r="D2067" t="s">
        <v>53</v>
      </c>
      <c r="G2067" t="s">
        <v>48</v>
      </c>
      <c r="H2067">
        <v>1</v>
      </c>
      <c r="K2067" t="s">
        <v>223</v>
      </c>
      <c r="L2067" t="s">
        <v>224</v>
      </c>
      <c r="M2067" t="s">
        <v>131</v>
      </c>
      <c r="N2067">
        <v>19</v>
      </c>
      <c r="P2067" t="s">
        <v>41</v>
      </c>
      <c r="Q2067" t="s">
        <v>42</v>
      </c>
      <c r="R2067" t="str">
        <f>"0580206"</f>
        <v>0580206</v>
      </c>
      <c r="S2067" t="s">
        <v>237</v>
      </c>
      <c r="T2067" t="s">
        <v>223</v>
      </c>
      <c r="U2067" t="s">
        <v>224</v>
      </c>
      <c r="V2067" t="s">
        <v>131</v>
      </c>
      <c r="W2067" t="s">
        <v>51</v>
      </c>
      <c r="X2067" t="s">
        <v>45</v>
      </c>
      <c r="Y2067" s="1">
        <v>30596</v>
      </c>
      <c r="Z2067">
        <v>2</v>
      </c>
      <c r="AA2067" t="s">
        <v>224</v>
      </c>
      <c r="AB2067" s="40" t="s">
        <v>1797</v>
      </c>
    </row>
    <row r="2068" spans="1:28" x14ac:dyDescent="0.25">
      <c r="A2068">
        <v>99912067</v>
      </c>
      <c r="B2068" t="s">
        <v>32</v>
      </c>
      <c r="C2068" t="s">
        <v>64</v>
      </c>
      <c r="D2068" t="s">
        <v>65</v>
      </c>
      <c r="G2068" t="s">
        <v>35</v>
      </c>
      <c r="H2068">
        <v>1</v>
      </c>
      <c r="I2068" t="s">
        <v>1625</v>
      </c>
      <c r="J2068" s="1">
        <v>43344</v>
      </c>
      <c r="K2068" t="s">
        <v>1626</v>
      </c>
      <c r="L2068" t="s">
        <v>1627</v>
      </c>
      <c r="M2068" t="s">
        <v>1592</v>
      </c>
      <c r="N2068">
        <v>19</v>
      </c>
      <c r="O2068" s="1">
        <v>43344</v>
      </c>
      <c r="P2068" t="s">
        <v>41</v>
      </c>
      <c r="Q2068" t="s">
        <v>49</v>
      </c>
      <c r="R2068" t="str">
        <f>"3681015"</f>
        <v>3681015</v>
      </c>
      <c r="S2068" t="s">
        <v>1629</v>
      </c>
      <c r="T2068" t="s">
        <v>1626</v>
      </c>
      <c r="U2068" t="s">
        <v>1627</v>
      </c>
      <c r="V2068" t="s">
        <v>1592</v>
      </c>
      <c r="W2068" t="s">
        <v>51</v>
      </c>
      <c r="X2068" t="s">
        <v>45</v>
      </c>
      <c r="Y2068" s="1">
        <v>30508</v>
      </c>
      <c r="Z2068">
        <v>2</v>
      </c>
      <c r="AA2068" t="s">
        <v>1627</v>
      </c>
      <c r="AB2068" s="40" t="s">
        <v>1797</v>
      </c>
    </row>
    <row r="2069" spans="1:28" x14ac:dyDescent="0.25">
      <c r="A2069">
        <v>99912068</v>
      </c>
      <c r="B2069" t="s">
        <v>32</v>
      </c>
      <c r="C2069" t="s">
        <v>64</v>
      </c>
      <c r="D2069" t="s">
        <v>65</v>
      </c>
      <c r="G2069" t="s">
        <v>48</v>
      </c>
      <c r="H2069">
        <v>1</v>
      </c>
      <c r="K2069" t="s">
        <v>380</v>
      </c>
      <c r="L2069" t="s">
        <v>381</v>
      </c>
      <c r="M2069" t="s">
        <v>131</v>
      </c>
      <c r="N2069">
        <v>19</v>
      </c>
      <c r="P2069" t="s">
        <v>41</v>
      </c>
      <c r="Q2069" t="s">
        <v>49</v>
      </c>
      <c r="R2069" t="str">
        <f>"0560028"</f>
        <v>0560028</v>
      </c>
      <c r="S2069" t="s">
        <v>384</v>
      </c>
      <c r="T2069" t="s">
        <v>380</v>
      </c>
      <c r="U2069" t="s">
        <v>381</v>
      </c>
      <c r="V2069" t="s">
        <v>131</v>
      </c>
      <c r="W2069" t="s">
        <v>51</v>
      </c>
      <c r="X2069" t="s">
        <v>45</v>
      </c>
      <c r="Y2069" s="1">
        <v>30317</v>
      </c>
      <c r="Z2069">
        <v>2</v>
      </c>
      <c r="AA2069" t="s">
        <v>381</v>
      </c>
      <c r="AB2069" s="40" t="s">
        <v>1797</v>
      </c>
    </row>
    <row r="2070" spans="1:28" x14ac:dyDescent="0.25">
      <c r="A2070">
        <v>99912069</v>
      </c>
      <c r="B2070" t="s">
        <v>32</v>
      </c>
      <c r="C2070" t="s">
        <v>136</v>
      </c>
      <c r="D2070" t="s">
        <v>137</v>
      </c>
      <c r="G2070" t="s">
        <v>35</v>
      </c>
      <c r="H2070">
        <v>1</v>
      </c>
      <c r="K2070" t="s">
        <v>947</v>
      </c>
      <c r="L2070" t="s">
        <v>948</v>
      </c>
      <c r="M2070" t="s">
        <v>938</v>
      </c>
      <c r="N2070">
        <v>19</v>
      </c>
      <c r="P2070" t="s">
        <v>41</v>
      </c>
      <c r="Q2070" t="s">
        <v>75</v>
      </c>
      <c r="R2070" t="str">
        <f>"7061000"</f>
        <v>7061000</v>
      </c>
      <c r="S2070" t="s">
        <v>962</v>
      </c>
      <c r="T2070" t="s">
        <v>963</v>
      </c>
      <c r="U2070" t="s">
        <v>964</v>
      </c>
      <c r="V2070" t="s">
        <v>938</v>
      </c>
      <c r="W2070" t="s">
        <v>51</v>
      </c>
      <c r="X2070" t="s">
        <v>45</v>
      </c>
      <c r="Y2070" s="1">
        <v>30317</v>
      </c>
      <c r="Z2070">
        <v>2</v>
      </c>
      <c r="AA2070" t="s">
        <v>948</v>
      </c>
      <c r="AB2070" s="40" t="s">
        <v>1797</v>
      </c>
    </row>
    <row r="2071" spans="1:28" x14ac:dyDescent="0.25">
      <c r="A2071">
        <v>99912070</v>
      </c>
      <c r="B2071" t="s">
        <v>32</v>
      </c>
      <c r="C2071" t="s">
        <v>52</v>
      </c>
      <c r="D2071" t="s">
        <v>53</v>
      </c>
      <c r="G2071" t="s">
        <v>35</v>
      </c>
      <c r="H2071">
        <v>1</v>
      </c>
      <c r="K2071" t="s">
        <v>1268</v>
      </c>
      <c r="L2071" t="s">
        <v>1269</v>
      </c>
      <c r="M2071" t="s">
        <v>1270</v>
      </c>
      <c r="N2071">
        <v>19</v>
      </c>
      <c r="P2071" t="s">
        <v>41</v>
      </c>
      <c r="Q2071" t="s">
        <v>922</v>
      </c>
      <c r="R2071" t="str">
        <f>"1950001"</f>
        <v>1950001</v>
      </c>
      <c r="S2071" t="s">
        <v>1284</v>
      </c>
      <c r="T2071" t="s">
        <v>1268</v>
      </c>
      <c r="U2071" t="s">
        <v>1269</v>
      </c>
      <c r="V2071" t="s">
        <v>1270</v>
      </c>
      <c r="W2071" t="s">
        <v>51</v>
      </c>
      <c r="X2071" t="s">
        <v>45</v>
      </c>
      <c r="Y2071" s="1">
        <v>30271</v>
      </c>
      <c r="Z2071">
        <v>2</v>
      </c>
      <c r="AA2071" t="s">
        <v>1269</v>
      </c>
      <c r="AB2071" s="40" t="s">
        <v>1797</v>
      </c>
    </row>
    <row r="2072" spans="1:28" x14ac:dyDescent="0.25">
      <c r="A2072">
        <v>99912071</v>
      </c>
      <c r="B2072" t="s">
        <v>56</v>
      </c>
      <c r="C2072" t="s">
        <v>64</v>
      </c>
      <c r="D2072" t="s">
        <v>65</v>
      </c>
      <c r="G2072" t="s">
        <v>35</v>
      </c>
      <c r="H2072">
        <v>1</v>
      </c>
      <c r="I2072">
        <v>8138</v>
      </c>
      <c r="J2072" s="1">
        <v>43350</v>
      </c>
      <c r="K2072" t="s">
        <v>1051</v>
      </c>
      <c r="L2072" t="s">
        <v>1052</v>
      </c>
      <c r="M2072" t="s">
        <v>1053</v>
      </c>
      <c r="N2072">
        <v>19</v>
      </c>
      <c r="O2072" s="1">
        <v>43350</v>
      </c>
      <c r="P2072" t="s">
        <v>41</v>
      </c>
      <c r="Q2072" t="s">
        <v>49</v>
      </c>
      <c r="R2072" t="str">
        <f>"2060004"</f>
        <v>2060004</v>
      </c>
      <c r="S2072" t="s">
        <v>1059</v>
      </c>
      <c r="T2072" t="s">
        <v>1051</v>
      </c>
      <c r="U2072" t="s">
        <v>1052</v>
      </c>
      <c r="V2072" t="s">
        <v>1053</v>
      </c>
      <c r="W2072" t="s">
        <v>51</v>
      </c>
      <c r="X2072" t="s">
        <v>45</v>
      </c>
      <c r="Y2072" s="1">
        <v>30197</v>
      </c>
      <c r="Z2072">
        <v>2</v>
      </c>
      <c r="AA2072" t="s">
        <v>1052</v>
      </c>
      <c r="AB2072" s="40" t="s">
        <v>1797</v>
      </c>
    </row>
    <row r="2073" spans="1:28" x14ac:dyDescent="0.25">
      <c r="A2073">
        <v>99912072</v>
      </c>
      <c r="B2073" t="s">
        <v>32</v>
      </c>
      <c r="C2073" t="s">
        <v>71</v>
      </c>
      <c r="D2073" t="s">
        <v>72</v>
      </c>
      <c r="G2073" t="s">
        <v>88</v>
      </c>
      <c r="H2073">
        <v>2</v>
      </c>
      <c r="I2073" t="s">
        <v>488</v>
      </c>
      <c r="J2073" s="1">
        <v>41883</v>
      </c>
      <c r="K2073" t="s">
        <v>195</v>
      </c>
      <c r="L2073" t="s">
        <v>196</v>
      </c>
      <c r="M2073" t="s">
        <v>131</v>
      </c>
      <c r="N2073">
        <v>19</v>
      </c>
      <c r="O2073" s="1">
        <v>41883</v>
      </c>
      <c r="P2073" t="s">
        <v>41</v>
      </c>
      <c r="Q2073" t="s">
        <v>75</v>
      </c>
      <c r="R2073" t="str">
        <f>"7521050"</f>
        <v>7521050</v>
      </c>
      <c r="S2073" t="s">
        <v>194</v>
      </c>
      <c r="T2073" t="s">
        <v>195</v>
      </c>
      <c r="U2073" t="s">
        <v>196</v>
      </c>
      <c r="V2073" t="s">
        <v>131</v>
      </c>
      <c r="W2073" t="s">
        <v>51</v>
      </c>
      <c r="X2073" t="s">
        <v>45</v>
      </c>
      <c r="Y2073" s="1">
        <v>30168</v>
      </c>
      <c r="Z2073">
        <v>1</v>
      </c>
      <c r="AA2073" t="s">
        <v>196</v>
      </c>
      <c r="AB2073" s="40" t="s">
        <v>1797</v>
      </c>
    </row>
    <row r="2074" spans="1:28" x14ac:dyDescent="0.25">
      <c r="A2074">
        <v>99912073</v>
      </c>
      <c r="B2074" t="s">
        <v>56</v>
      </c>
      <c r="C2074" t="s">
        <v>64</v>
      </c>
      <c r="D2074" t="s">
        <v>65</v>
      </c>
      <c r="G2074" t="s">
        <v>48</v>
      </c>
      <c r="H2074">
        <v>1</v>
      </c>
      <c r="K2074" t="s">
        <v>300</v>
      </c>
      <c r="L2074" t="s">
        <v>301</v>
      </c>
      <c r="M2074" t="s">
        <v>131</v>
      </c>
      <c r="N2074">
        <v>19</v>
      </c>
      <c r="P2074" t="s">
        <v>41</v>
      </c>
      <c r="Q2074" t="s">
        <v>49</v>
      </c>
      <c r="R2074" t="str">
        <f>"0560020"</f>
        <v>0560020</v>
      </c>
      <c r="S2074" t="s">
        <v>302</v>
      </c>
      <c r="T2074" t="s">
        <v>300</v>
      </c>
      <c r="U2074" t="s">
        <v>301</v>
      </c>
      <c r="V2074" t="s">
        <v>131</v>
      </c>
      <c r="W2074" t="s">
        <v>51</v>
      </c>
      <c r="X2074" t="s">
        <v>45</v>
      </c>
      <c r="Y2074" s="1">
        <v>29952</v>
      </c>
      <c r="Z2074">
        <v>2</v>
      </c>
      <c r="AA2074" t="s">
        <v>301</v>
      </c>
      <c r="AB2074" s="40" t="s">
        <v>1797</v>
      </c>
    </row>
    <row r="2075" spans="1:28" x14ac:dyDescent="0.25">
      <c r="A2075">
        <v>99912074</v>
      </c>
      <c r="B2075" t="s">
        <v>56</v>
      </c>
      <c r="C2075" t="s">
        <v>136</v>
      </c>
      <c r="D2075" t="s">
        <v>137</v>
      </c>
      <c r="G2075" t="s">
        <v>35</v>
      </c>
      <c r="H2075">
        <v>1</v>
      </c>
      <c r="I2075" t="s">
        <v>193</v>
      </c>
      <c r="J2075" s="1">
        <v>43344</v>
      </c>
      <c r="K2075" t="s">
        <v>162</v>
      </c>
      <c r="L2075" t="s">
        <v>158</v>
      </c>
      <c r="M2075" t="s">
        <v>131</v>
      </c>
      <c r="N2075">
        <v>19</v>
      </c>
      <c r="O2075" s="1">
        <v>43344</v>
      </c>
      <c r="P2075" t="s">
        <v>41</v>
      </c>
      <c r="Q2075" t="s">
        <v>49</v>
      </c>
      <c r="R2075" t="str">
        <f>"0581325"</f>
        <v>0581325</v>
      </c>
      <c r="S2075" t="s">
        <v>169</v>
      </c>
      <c r="T2075" t="s">
        <v>162</v>
      </c>
      <c r="U2075" t="s">
        <v>158</v>
      </c>
      <c r="V2075" t="s">
        <v>131</v>
      </c>
      <c r="W2075" t="s">
        <v>44</v>
      </c>
      <c r="X2075" t="s">
        <v>45</v>
      </c>
      <c r="Y2075" s="1">
        <v>29886</v>
      </c>
      <c r="Z2075">
        <v>2</v>
      </c>
      <c r="AA2075" t="s">
        <v>158</v>
      </c>
      <c r="AB2075" s="40" t="s">
        <v>1797</v>
      </c>
    </row>
    <row r="2076" spans="1:28" x14ac:dyDescent="0.25">
      <c r="A2076">
        <v>99912075</v>
      </c>
      <c r="B2076" t="s">
        <v>32</v>
      </c>
      <c r="C2076" t="s">
        <v>64</v>
      </c>
      <c r="D2076" t="s">
        <v>65</v>
      </c>
      <c r="G2076" t="s">
        <v>48</v>
      </c>
      <c r="H2076">
        <v>1</v>
      </c>
      <c r="K2076" t="s">
        <v>1268</v>
      </c>
      <c r="L2076" t="s">
        <v>1269</v>
      </c>
      <c r="M2076" t="s">
        <v>1270</v>
      </c>
      <c r="N2076">
        <v>19</v>
      </c>
      <c r="P2076" t="s">
        <v>41</v>
      </c>
      <c r="Q2076" t="s">
        <v>49</v>
      </c>
      <c r="R2076" t="str">
        <f>"1981912"</f>
        <v>1981912</v>
      </c>
      <c r="S2076" t="s">
        <v>1279</v>
      </c>
      <c r="T2076" t="s">
        <v>1268</v>
      </c>
      <c r="U2076" t="s">
        <v>1269</v>
      </c>
      <c r="V2076" t="s">
        <v>1270</v>
      </c>
      <c r="W2076" t="s">
        <v>51</v>
      </c>
      <c r="X2076" t="s">
        <v>45</v>
      </c>
      <c r="Y2076" s="1">
        <v>29649</v>
      </c>
      <c r="Z2076">
        <v>2</v>
      </c>
      <c r="AA2076" t="s">
        <v>1269</v>
      </c>
      <c r="AB2076" s="40" t="s">
        <v>1797</v>
      </c>
    </row>
    <row r="2077" spans="1:28" x14ac:dyDescent="0.25">
      <c r="A2077">
        <v>99912076</v>
      </c>
      <c r="B2077" t="s">
        <v>56</v>
      </c>
      <c r="C2077" t="s">
        <v>58</v>
      </c>
      <c r="D2077" t="s">
        <v>59</v>
      </c>
      <c r="G2077" t="s">
        <v>35</v>
      </c>
      <c r="H2077">
        <v>1</v>
      </c>
      <c r="I2077" t="s">
        <v>1181</v>
      </c>
      <c r="J2077" s="1">
        <v>43370</v>
      </c>
      <c r="K2077" t="s">
        <v>1171</v>
      </c>
      <c r="L2077" t="s">
        <v>1172</v>
      </c>
      <c r="M2077" t="s">
        <v>1130</v>
      </c>
      <c r="N2077">
        <v>19</v>
      </c>
      <c r="O2077" s="1">
        <v>43370</v>
      </c>
      <c r="P2077" t="s">
        <v>41</v>
      </c>
      <c r="Q2077" t="s">
        <v>42</v>
      </c>
      <c r="R2077" t="str">
        <f>"3561001"</f>
        <v>3561001</v>
      </c>
      <c r="S2077" t="s">
        <v>1173</v>
      </c>
      <c r="T2077" t="s">
        <v>1171</v>
      </c>
      <c r="U2077" t="s">
        <v>1172</v>
      </c>
      <c r="V2077" t="s">
        <v>1130</v>
      </c>
      <c r="W2077" t="s">
        <v>44</v>
      </c>
      <c r="X2077" t="s">
        <v>45</v>
      </c>
      <c r="Y2077" s="1">
        <v>29474</v>
      </c>
      <c r="Z2077">
        <v>2</v>
      </c>
      <c r="AA2077" t="s">
        <v>1172</v>
      </c>
      <c r="AB2077" s="40" t="s">
        <v>1797</v>
      </c>
    </row>
    <row r="2078" spans="1:28" x14ac:dyDescent="0.25">
      <c r="A2078">
        <v>99912077</v>
      </c>
      <c r="B2078" t="s">
        <v>32</v>
      </c>
      <c r="C2078" t="s">
        <v>46</v>
      </c>
      <c r="D2078" t="s">
        <v>47</v>
      </c>
      <c r="G2078" t="s">
        <v>48</v>
      </c>
      <c r="H2078">
        <v>1</v>
      </c>
      <c r="K2078" t="s">
        <v>162</v>
      </c>
      <c r="L2078" t="s">
        <v>158</v>
      </c>
      <c r="M2078" t="s">
        <v>131</v>
      </c>
      <c r="N2078">
        <v>19</v>
      </c>
      <c r="P2078" t="s">
        <v>41</v>
      </c>
      <c r="Q2078" t="s">
        <v>49</v>
      </c>
      <c r="R2078" t="str">
        <f>"0581325"</f>
        <v>0581325</v>
      </c>
      <c r="S2078" t="s">
        <v>169</v>
      </c>
      <c r="T2078" t="s">
        <v>162</v>
      </c>
      <c r="U2078" t="s">
        <v>158</v>
      </c>
      <c r="V2078" t="s">
        <v>131</v>
      </c>
      <c r="W2078" t="s">
        <v>51</v>
      </c>
      <c r="X2078" t="s">
        <v>45</v>
      </c>
      <c r="Y2078" s="1">
        <v>29373</v>
      </c>
      <c r="Z2078">
        <v>2</v>
      </c>
      <c r="AA2078" t="s">
        <v>158</v>
      </c>
      <c r="AB2078" s="40" t="s">
        <v>1797</v>
      </c>
    </row>
    <row r="2079" spans="1:28" x14ac:dyDescent="0.25">
      <c r="A2079">
        <v>99912078</v>
      </c>
      <c r="B2079" t="s">
        <v>56</v>
      </c>
      <c r="C2079" t="s">
        <v>68</v>
      </c>
      <c r="D2079" t="s">
        <v>69</v>
      </c>
      <c r="G2079" t="s">
        <v>48</v>
      </c>
      <c r="H2079">
        <v>1</v>
      </c>
      <c r="K2079" t="s">
        <v>300</v>
      </c>
      <c r="L2079" t="s">
        <v>301</v>
      </c>
      <c r="M2079" t="s">
        <v>131</v>
      </c>
      <c r="N2079">
        <v>19</v>
      </c>
      <c r="P2079" t="s">
        <v>41</v>
      </c>
      <c r="Q2079" t="s">
        <v>49</v>
      </c>
      <c r="R2079" t="str">
        <f>"0560020"</f>
        <v>0560020</v>
      </c>
      <c r="S2079" t="s">
        <v>302</v>
      </c>
      <c r="T2079" t="s">
        <v>300</v>
      </c>
      <c r="U2079" t="s">
        <v>301</v>
      </c>
      <c r="V2079" t="s">
        <v>131</v>
      </c>
      <c r="W2079" t="s">
        <v>51</v>
      </c>
      <c r="X2079" t="s">
        <v>45</v>
      </c>
      <c r="Y2079" s="1">
        <v>29286</v>
      </c>
      <c r="Z2079">
        <v>2</v>
      </c>
      <c r="AA2079" t="s">
        <v>301</v>
      </c>
      <c r="AB2079" s="40" t="s">
        <v>1797</v>
      </c>
    </row>
    <row r="2080" spans="1:28" x14ac:dyDescent="0.25">
      <c r="A2080">
        <v>99912079</v>
      </c>
      <c r="B2080" t="s">
        <v>56</v>
      </c>
      <c r="C2080" t="s">
        <v>61</v>
      </c>
      <c r="D2080" t="s">
        <v>62</v>
      </c>
      <c r="G2080" t="s">
        <v>48</v>
      </c>
      <c r="H2080">
        <v>1</v>
      </c>
      <c r="K2080" t="s">
        <v>1198</v>
      </c>
      <c r="L2080" t="s">
        <v>1199</v>
      </c>
      <c r="M2080" t="s">
        <v>1130</v>
      </c>
      <c r="N2080">
        <v>19</v>
      </c>
      <c r="P2080" t="s">
        <v>41</v>
      </c>
      <c r="Q2080" t="s">
        <v>75</v>
      </c>
      <c r="R2080" t="str">
        <f>"7311006"</f>
        <v>7311006</v>
      </c>
      <c r="S2080" t="s">
        <v>1200</v>
      </c>
      <c r="T2080" t="s">
        <v>1198</v>
      </c>
      <c r="U2080" t="s">
        <v>1199</v>
      </c>
      <c r="V2080" t="s">
        <v>1130</v>
      </c>
      <c r="W2080" t="s">
        <v>51</v>
      </c>
      <c r="X2080" t="s">
        <v>45</v>
      </c>
      <c r="Y2080" s="1">
        <v>29260</v>
      </c>
      <c r="Z2080">
        <v>1</v>
      </c>
      <c r="AA2080" t="s">
        <v>1199</v>
      </c>
      <c r="AB2080" s="40" t="s">
        <v>1797</v>
      </c>
    </row>
    <row r="2081" spans="1:28" x14ac:dyDescent="0.25">
      <c r="A2081">
        <v>99912080</v>
      </c>
      <c r="B2081" t="s">
        <v>32</v>
      </c>
      <c r="C2081" t="s">
        <v>46</v>
      </c>
      <c r="D2081" t="s">
        <v>47</v>
      </c>
      <c r="G2081" t="s">
        <v>48</v>
      </c>
      <c r="H2081">
        <v>1</v>
      </c>
      <c r="K2081" t="s">
        <v>300</v>
      </c>
      <c r="L2081" t="s">
        <v>301</v>
      </c>
      <c r="M2081" t="s">
        <v>131</v>
      </c>
      <c r="N2081">
        <v>19</v>
      </c>
      <c r="P2081" t="s">
        <v>41</v>
      </c>
      <c r="Q2081" t="s">
        <v>49</v>
      </c>
      <c r="R2081" t="str">
        <f>"0560022"</f>
        <v>0560022</v>
      </c>
      <c r="S2081" t="s">
        <v>314</v>
      </c>
      <c r="T2081" t="s">
        <v>300</v>
      </c>
      <c r="U2081" t="s">
        <v>301</v>
      </c>
      <c r="V2081" t="s">
        <v>131</v>
      </c>
      <c r="W2081" t="s">
        <v>51</v>
      </c>
      <c r="X2081" t="s">
        <v>45</v>
      </c>
      <c r="Y2081" s="1">
        <v>29221</v>
      </c>
      <c r="Z2081">
        <v>2</v>
      </c>
      <c r="AA2081" t="s">
        <v>301</v>
      </c>
      <c r="AB2081" s="40" t="s">
        <v>1797</v>
      </c>
    </row>
    <row r="2082" spans="1:28" x14ac:dyDescent="0.25">
      <c r="A2082">
        <v>99912081</v>
      </c>
      <c r="B2082" t="s">
        <v>32</v>
      </c>
      <c r="C2082" t="s">
        <v>139</v>
      </c>
      <c r="D2082" t="s">
        <v>140</v>
      </c>
      <c r="G2082" t="s">
        <v>35</v>
      </c>
      <c r="H2082">
        <v>1</v>
      </c>
      <c r="I2082">
        <v>0</v>
      </c>
      <c r="J2082" s="1">
        <v>43344</v>
      </c>
      <c r="K2082" t="s">
        <v>985</v>
      </c>
      <c r="L2082" t="s">
        <v>986</v>
      </c>
      <c r="M2082" t="s">
        <v>938</v>
      </c>
      <c r="N2082">
        <v>19</v>
      </c>
      <c r="O2082" s="1">
        <v>43344</v>
      </c>
      <c r="P2082" t="s">
        <v>41</v>
      </c>
      <c r="Q2082" t="s">
        <v>75</v>
      </c>
      <c r="R2082" t="str">
        <f>"7011000"</f>
        <v>7011000</v>
      </c>
      <c r="S2082" t="s">
        <v>989</v>
      </c>
      <c r="T2082" t="s">
        <v>985</v>
      </c>
      <c r="U2082" t="s">
        <v>986</v>
      </c>
      <c r="V2082" t="s">
        <v>938</v>
      </c>
      <c r="W2082" t="s">
        <v>51</v>
      </c>
      <c r="X2082" t="s">
        <v>45</v>
      </c>
      <c r="Y2082" s="1">
        <v>29051</v>
      </c>
      <c r="Z2082">
        <v>1</v>
      </c>
      <c r="AA2082" t="s">
        <v>986</v>
      </c>
      <c r="AB2082" s="40" t="s">
        <v>1797</v>
      </c>
    </row>
    <row r="2083" spans="1:28" x14ac:dyDescent="0.25">
      <c r="A2083">
        <v>99912082</v>
      </c>
      <c r="B2083" t="s">
        <v>56</v>
      </c>
      <c r="C2083" t="s">
        <v>52</v>
      </c>
      <c r="D2083" t="s">
        <v>53</v>
      </c>
      <c r="G2083" t="s">
        <v>35</v>
      </c>
      <c r="H2083">
        <v>1</v>
      </c>
      <c r="I2083" t="s">
        <v>328</v>
      </c>
      <c r="J2083" s="1">
        <v>43344</v>
      </c>
      <c r="K2083" t="s">
        <v>300</v>
      </c>
      <c r="L2083" t="s">
        <v>301</v>
      </c>
      <c r="M2083" t="s">
        <v>131</v>
      </c>
      <c r="N2083">
        <v>19</v>
      </c>
      <c r="O2083" s="1">
        <v>43344</v>
      </c>
      <c r="P2083" t="s">
        <v>41</v>
      </c>
      <c r="Q2083" t="s">
        <v>42</v>
      </c>
      <c r="R2083" t="str">
        <f>"0580106"</f>
        <v>0580106</v>
      </c>
      <c r="S2083" t="s">
        <v>306</v>
      </c>
      <c r="T2083" t="s">
        <v>300</v>
      </c>
      <c r="U2083" t="s">
        <v>301</v>
      </c>
      <c r="V2083" t="s">
        <v>131</v>
      </c>
      <c r="W2083" t="s">
        <v>165</v>
      </c>
      <c r="X2083" t="s">
        <v>45</v>
      </c>
      <c r="Y2083" s="1">
        <v>28803</v>
      </c>
      <c r="Z2083">
        <v>2</v>
      </c>
      <c r="AA2083" t="s">
        <v>301</v>
      </c>
      <c r="AB2083" s="40" t="s">
        <v>1797</v>
      </c>
    </row>
    <row r="2084" spans="1:28" x14ac:dyDescent="0.25">
      <c r="A2084">
        <v>99912083</v>
      </c>
      <c r="B2084" t="s">
        <v>56</v>
      </c>
      <c r="C2084" t="s">
        <v>85</v>
      </c>
      <c r="D2084" t="s">
        <v>86</v>
      </c>
      <c r="G2084" t="s">
        <v>48</v>
      </c>
      <c r="H2084">
        <v>1</v>
      </c>
      <c r="K2084" t="s">
        <v>1613</v>
      </c>
      <c r="L2084" t="s">
        <v>1614</v>
      </c>
      <c r="M2084" t="s">
        <v>1592</v>
      </c>
      <c r="N2084">
        <v>19</v>
      </c>
      <c r="P2084" t="s">
        <v>41</v>
      </c>
      <c r="Q2084" t="s">
        <v>49</v>
      </c>
      <c r="R2084" t="str">
        <f>"2860001"</f>
        <v>2860001</v>
      </c>
      <c r="S2084" t="s">
        <v>1616</v>
      </c>
      <c r="T2084" t="s">
        <v>1613</v>
      </c>
      <c r="U2084" t="s">
        <v>1614</v>
      </c>
      <c r="V2084" t="s">
        <v>1592</v>
      </c>
      <c r="W2084" t="s">
        <v>51</v>
      </c>
      <c r="X2084" t="s">
        <v>45</v>
      </c>
      <c r="Y2084" s="1">
        <v>28797</v>
      </c>
      <c r="Z2084">
        <v>2</v>
      </c>
      <c r="AA2084" t="s">
        <v>1614</v>
      </c>
      <c r="AB2084" s="40" t="s">
        <v>1797</v>
      </c>
    </row>
    <row r="2085" spans="1:28" x14ac:dyDescent="0.25">
      <c r="A2085">
        <v>99912084</v>
      </c>
      <c r="B2085" t="s">
        <v>32</v>
      </c>
      <c r="C2085" t="s">
        <v>85</v>
      </c>
      <c r="D2085" t="s">
        <v>86</v>
      </c>
      <c r="G2085" t="s">
        <v>35</v>
      </c>
      <c r="H2085">
        <v>1</v>
      </c>
      <c r="K2085" t="s">
        <v>1325</v>
      </c>
      <c r="L2085" t="s">
        <v>1326</v>
      </c>
      <c r="M2085" t="s">
        <v>1270</v>
      </c>
      <c r="N2085">
        <v>19</v>
      </c>
      <c r="P2085" t="s">
        <v>41</v>
      </c>
      <c r="Q2085" t="s">
        <v>42</v>
      </c>
      <c r="R2085" t="str">
        <f>"3980100"</f>
        <v>3980100</v>
      </c>
      <c r="S2085" t="s">
        <v>1328</v>
      </c>
      <c r="T2085" t="s">
        <v>1325</v>
      </c>
      <c r="U2085" t="s">
        <v>1326</v>
      </c>
      <c r="V2085" t="s">
        <v>1270</v>
      </c>
      <c r="W2085" t="s">
        <v>51</v>
      </c>
      <c r="X2085" t="s">
        <v>45</v>
      </c>
      <c r="Y2085" s="1">
        <v>28670</v>
      </c>
      <c r="Z2085">
        <v>2</v>
      </c>
      <c r="AA2085" t="s">
        <v>1326</v>
      </c>
      <c r="AB2085" s="40" t="s">
        <v>1797</v>
      </c>
    </row>
    <row r="2086" spans="1:28" x14ac:dyDescent="0.25">
      <c r="A2086">
        <v>99912085</v>
      </c>
      <c r="B2086" t="s">
        <v>56</v>
      </c>
      <c r="C2086" t="s">
        <v>61</v>
      </c>
      <c r="D2086" t="s">
        <v>62</v>
      </c>
      <c r="G2086" t="s">
        <v>48</v>
      </c>
      <c r="H2086">
        <v>1</v>
      </c>
      <c r="K2086" t="s">
        <v>300</v>
      </c>
      <c r="L2086" t="s">
        <v>301</v>
      </c>
      <c r="M2086" t="s">
        <v>131</v>
      </c>
      <c r="N2086">
        <v>19</v>
      </c>
      <c r="P2086" t="s">
        <v>41</v>
      </c>
      <c r="Q2086" t="s">
        <v>49</v>
      </c>
      <c r="R2086" t="str">
        <f>"0560002"</f>
        <v>0560002</v>
      </c>
      <c r="S2086" t="s">
        <v>315</v>
      </c>
      <c r="T2086" t="s">
        <v>300</v>
      </c>
      <c r="U2086" t="s">
        <v>301</v>
      </c>
      <c r="V2086" t="s">
        <v>131</v>
      </c>
      <c r="W2086" t="s">
        <v>165</v>
      </c>
      <c r="X2086" t="s">
        <v>45</v>
      </c>
      <c r="Y2086" s="1">
        <v>28655</v>
      </c>
      <c r="Z2086">
        <v>2</v>
      </c>
      <c r="AA2086" t="s">
        <v>301</v>
      </c>
      <c r="AB2086" s="40" t="s">
        <v>1797</v>
      </c>
    </row>
    <row r="2087" spans="1:28" x14ac:dyDescent="0.25">
      <c r="A2087">
        <v>99912086</v>
      </c>
      <c r="B2087" t="s">
        <v>32</v>
      </c>
      <c r="C2087" t="s">
        <v>117</v>
      </c>
      <c r="D2087" t="s">
        <v>118</v>
      </c>
      <c r="G2087" t="s">
        <v>35</v>
      </c>
      <c r="H2087">
        <v>1</v>
      </c>
      <c r="I2087">
        <v>2325</v>
      </c>
      <c r="J2087" s="1">
        <v>43344</v>
      </c>
      <c r="K2087" t="s">
        <v>354</v>
      </c>
      <c r="L2087" t="s">
        <v>355</v>
      </c>
      <c r="M2087" t="s">
        <v>131</v>
      </c>
      <c r="N2087">
        <v>19</v>
      </c>
      <c r="O2087" s="1">
        <v>43344</v>
      </c>
      <c r="P2087" t="s">
        <v>41</v>
      </c>
      <c r="Q2087" t="s">
        <v>75</v>
      </c>
      <c r="R2087" t="str">
        <f>"7054042"</f>
        <v>7054042</v>
      </c>
      <c r="S2087" t="s">
        <v>776</v>
      </c>
      <c r="T2087" t="s">
        <v>354</v>
      </c>
      <c r="U2087" t="s">
        <v>355</v>
      </c>
      <c r="V2087" t="s">
        <v>131</v>
      </c>
      <c r="W2087" t="s">
        <v>51</v>
      </c>
      <c r="X2087" t="s">
        <v>45</v>
      </c>
      <c r="Y2087" s="1">
        <v>28625</v>
      </c>
      <c r="Z2087">
        <v>1</v>
      </c>
      <c r="AA2087" t="s">
        <v>355</v>
      </c>
      <c r="AB2087" s="40" t="s">
        <v>1797</v>
      </c>
    </row>
    <row r="2088" spans="1:28" x14ac:dyDescent="0.25">
      <c r="A2088">
        <v>99912087</v>
      </c>
      <c r="B2088" t="s">
        <v>56</v>
      </c>
      <c r="C2088" t="s">
        <v>79</v>
      </c>
      <c r="D2088" t="s">
        <v>80</v>
      </c>
      <c r="G2088" t="s">
        <v>48</v>
      </c>
      <c r="H2088">
        <v>1</v>
      </c>
      <c r="K2088" t="s">
        <v>223</v>
      </c>
      <c r="L2088" t="s">
        <v>224</v>
      </c>
      <c r="M2088" t="s">
        <v>131</v>
      </c>
      <c r="N2088">
        <v>19</v>
      </c>
      <c r="P2088" t="s">
        <v>41</v>
      </c>
      <c r="Q2088" t="s">
        <v>42</v>
      </c>
      <c r="R2088" t="str">
        <f>"0580200"</f>
        <v>0580200</v>
      </c>
      <c r="S2088" t="s">
        <v>245</v>
      </c>
      <c r="T2088" t="s">
        <v>223</v>
      </c>
      <c r="U2088" t="s">
        <v>224</v>
      </c>
      <c r="V2088" t="s">
        <v>131</v>
      </c>
      <c r="W2088" t="s">
        <v>51</v>
      </c>
      <c r="X2088" t="s">
        <v>45</v>
      </c>
      <c r="Y2088" s="1">
        <v>28586</v>
      </c>
      <c r="Z2088">
        <v>2</v>
      </c>
      <c r="AA2088" t="s">
        <v>224</v>
      </c>
      <c r="AB2088" s="40" t="s">
        <v>1797</v>
      </c>
    </row>
    <row r="2089" spans="1:28" x14ac:dyDescent="0.25">
      <c r="A2089">
        <v>99912088</v>
      </c>
      <c r="B2089" t="s">
        <v>32</v>
      </c>
      <c r="C2089" t="s">
        <v>58</v>
      </c>
      <c r="D2089" t="s">
        <v>59</v>
      </c>
      <c r="G2089" t="s">
        <v>35</v>
      </c>
      <c r="H2089">
        <v>1</v>
      </c>
      <c r="K2089" t="s">
        <v>1546</v>
      </c>
      <c r="L2089" t="s">
        <v>1547</v>
      </c>
      <c r="M2089" t="s">
        <v>1548</v>
      </c>
      <c r="N2089">
        <v>19</v>
      </c>
      <c r="P2089" t="s">
        <v>41</v>
      </c>
      <c r="Q2089" t="s">
        <v>42</v>
      </c>
      <c r="R2089" t="str">
        <f>"1080010"</f>
        <v>1080010</v>
      </c>
      <c r="S2089" t="s">
        <v>1549</v>
      </c>
      <c r="T2089" t="s">
        <v>1546</v>
      </c>
      <c r="U2089" t="s">
        <v>1547</v>
      </c>
      <c r="V2089" t="s">
        <v>1548</v>
      </c>
      <c r="W2089" t="s">
        <v>51</v>
      </c>
      <c r="X2089" t="s">
        <v>45</v>
      </c>
      <c r="Y2089" s="1">
        <v>28505</v>
      </c>
      <c r="Z2089">
        <v>2</v>
      </c>
      <c r="AA2089" t="s">
        <v>1547</v>
      </c>
      <c r="AB2089" s="40" t="s">
        <v>1797</v>
      </c>
    </row>
    <row r="2090" spans="1:28" x14ac:dyDescent="0.25">
      <c r="A2090">
        <v>99912089</v>
      </c>
      <c r="B2090" t="s">
        <v>32</v>
      </c>
      <c r="C2090" t="s">
        <v>33</v>
      </c>
      <c r="D2090" t="s">
        <v>34</v>
      </c>
      <c r="G2090" t="s">
        <v>48</v>
      </c>
      <c r="H2090">
        <v>1</v>
      </c>
      <c r="K2090" t="s">
        <v>1268</v>
      </c>
      <c r="L2090" t="s">
        <v>1269</v>
      </c>
      <c r="M2090" t="s">
        <v>1270</v>
      </c>
      <c r="N2090">
        <v>19</v>
      </c>
      <c r="P2090" t="s">
        <v>41</v>
      </c>
      <c r="Q2090" t="s">
        <v>42</v>
      </c>
      <c r="R2090" t="str">
        <f>"1990911"</f>
        <v>1990911</v>
      </c>
      <c r="S2090" t="s">
        <v>1276</v>
      </c>
      <c r="T2090" t="s">
        <v>1268</v>
      </c>
      <c r="U2090" t="s">
        <v>1269</v>
      </c>
      <c r="V2090" t="s">
        <v>1270</v>
      </c>
      <c r="W2090" t="s">
        <v>165</v>
      </c>
      <c r="X2090" t="s">
        <v>45</v>
      </c>
      <c r="Y2090" s="1">
        <v>28491</v>
      </c>
      <c r="Z2090">
        <v>2</v>
      </c>
      <c r="AA2090" t="s">
        <v>1269</v>
      </c>
      <c r="AB2090" s="40" t="s">
        <v>1797</v>
      </c>
    </row>
    <row r="2091" spans="1:28" x14ac:dyDescent="0.25">
      <c r="A2091">
        <v>99912090</v>
      </c>
      <c r="B2091" t="s">
        <v>56</v>
      </c>
      <c r="C2091" t="s">
        <v>82</v>
      </c>
      <c r="D2091" t="s">
        <v>83</v>
      </c>
      <c r="G2091" t="s">
        <v>35</v>
      </c>
      <c r="H2091">
        <v>1</v>
      </c>
      <c r="I2091" t="s">
        <v>1332</v>
      </c>
      <c r="J2091" s="1">
        <v>43344</v>
      </c>
      <c r="K2091" t="s">
        <v>1325</v>
      </c>
      <c r="L2091" t="s">
        <v>1326</v>
      </c>
      <c r="M2091" t="s">
        <v>1270</v>
      </c>
      <c r="N2091">
        <v>19</v>
      </c>
      <c r="O2091" s="1">
        <v>43344</v>
      </c>
      <c r="P2091" t="s">
        <v>41</v>
      </c>
      <c r="Q2091" t="s">
        <v>42</v>
      </c>
      <c r="R2091" t="str">
        <f>"3980100"</f>
        <v>3980100</v>
      </c>
      <c r="S2091" t="s">
        <v>1328</v>
      </c>
      <c r="T2091" t="s">
        <v>1325</v>
      </c>
      <c r="U2091" t="s">
        <v>1326</v>
      </c>
      <c r="V2091" t="s">
        <v>1270</v>
      </c>
      <c r="W2091" t="s">
        <v>51</v>
      </c>
      <c r="X2091" t="s">
        <v>45</v>
      </c>
      <c r="Y2091" s="1">
        <v>28491</v>
      </c>
      <c r="Z2091">
        <v>2</v>
      </c>
      <c r="AA2091" t="s">
        <v>1326</v>
      </c>
      <c r="AB2091" s="40" t="s">
        <v>1797</v>
      </c>
    </row>
    <row r="2092" spans="1:28" x14ac:dyDescent="0.25">
      <c r="A2092">
        <v>99912091</v>
      </c>
      <c r="B2092" t="s">
        <v>32</v>
      </c>
      <c r="C2092" t="s">
        <v>61</v>
      </c>
      <c r="D2092" t="s">
        <v>62</v>
      </c>
      <c r="E2092" t="s">
        <v>257</v>
      </c>
      <c r="F2092" t="s">
        <v>258</v>
      </c>
      <c r="G2092" t="s">
        <v>48</v>
      </c>
      <c r="H2092">
        <v>1</v>
      </c>
      <c r="K2092" t="s">
        <v>223</v>
      </c>
      <c r="L2092" t="s">
        <v>224</v>
      </c>
      <c r="M2092" t="s">
        <v>131</v>
      </c>
      <c r="N2092">
        <v>19</v>
      </c>
      <c r="P2092" t="s">
        <v>41</v>
      </c>
      <c r="Q2092" t="s">
        <v>49</v>
      </c>
      <c r="R2092" t="str">
        <f>"0581207"</f>
        <v>0581207</v>
      </c>
      <c r="S2092" t="s">
        <v>233</v>
      </c>
      <c r="T2092" t="s">
        <v>223</v>
      </c>
      <c r="U2092" t="s">
        <v>224</v>
      </c>
      <c r="V2092" t="s">
        <v>131</v>
      </c>
      <c r="W2092" t="s">
        <v>51</v>
      </c>
      <c r="X2092" t="s">
        <v>45</v>
      </c>
      <c r="Y2092" s="1">
        <v>28490</v>
      </c>
      <c r="Z2092">
        <v>2</v>
      </c>
      <c r="AA2092" t="s">
        <v>224</v>
      </c>
      <c r="AB2092" s="40" t="s">
        <v>1797</v>
      </c>
    </row>
    <row r="2093" spans="1:28" x14ac:dyDescent="0.25">
      <c r="A2093">
        <v>99912092</v>
      </c>
      <c r="B2093" t="s">
        <v>56</v>
      </c>
      <c r="C2093" t="s">
        <v>79</v>
      </c>
      <c r="D2093" t="s">
        <v>80</v>
      </c>
      <c r="G2093" t="s">
        <v>48</v>
      </c>
      <c r="H2093">
        <v>1</v>
      </c>
      <c r="K2093" t="s">
        <v>162</v>
      </c>
      <c r="L2093" t="s">
        <v>158</v>
      </c>
      <c r="M2093" t="s">
        <v>131</v>
      </c>
      <c r="N2093">
        <v>19</v>
      </c>
      <c r="P2093" t="s">
        <v>41</v>
      </c>
      <c r="Q2093" t="s">
        <v>49</v>
      </c>
      <c r="R2093" t="str">
        <f>"0581325"</f>
        <v>0581325</v>
      </c>
      <c r="S2093" t="s">
        <v>169</v>
      </c>
      <c r="T2093" t="s">
        <v>162</v>
      </c>
      <c r="U2093" t="s">
        <v>158</v>
      </c>
      <c r="V2093" t="s">
        <v>131</v>
      </c>
      <c r="W2093" t="s">
        <v>51</v>
      </c>
      <c r="X2093" t="s">
        <v>45</v>
      </c>
      <c r="Y2093" s="1">
        <v>28280</v>
      </c>
      <c r="Z2093">
        <v>2</v>
      </c>
      <c r="AA2093" t="s">
        <v>158</v>
      </c>
      <c r="AB2093" s="40" t="s">
        <v>1797</v>
      </c>
    </row>
    <row r="2094" spans="1:28" x14ac:dyDescent="0.25">
      <c r="A2094">
        <v>99912093</v>
      </c>
      <c r="B2094" t="s">
        <v>56</v>
      </c>
      <c r="C2094" t="s">
        <v>68</v>
      </c>
      <c r="D2094" t="s">
        <v>69</v>
      </c>
      <c r="G2094" t="s">
        <v>35</v>
      </c>
      <c r="H2094">
        <v>1</v>
      </c>
      <c r="K2094" t="s">
        <v>223</v>
      </c>
      <c r="L2094" t="s">
        <v>224</v>
      </c>
      <c r="M2094" t="s">
        <v>131</v>
      </c>
      <c r="N2094">
        <v>19</v>
      </c>
      <c r="P2094" t="s">
        <v>41</v>
      </c>
      <c r="Q2094" t="s">
        <v>49</v>
      </c>
      <c r="R2094" t="str">
        <f>"0591901"</f>
        <v>0591901</v>
      </c>
      <c r="S2094" t="s">
        <v>230</v>
      </c>
      <c r="T2094" t="s">
        <v>223</v>
      </c>
      <c r="U2094" t="s">
        <v>224</v>
      </c>
      <c r="V2094" t="s">
        <v>131</v>
      </c>
      <c r="W2094" t="s">
        <v>51</v>
      </c>
      <c r="X2094" t="s">
        <v>45</v>
      </c>
      <c r="Y2094" s="1">
        <v>28221</v>
      </c>
      <c r="Z2094">
        <v>2</v>
      </c>
      <c r="AA2094" t="s">
        <v>224</v>
      </c>
      <c r="AB2094" s="40" t="s">
        <v>1797</v>
      </c>
    </row>
    <row r="2095" spans="1:28" x14ac:dyDescent="0.25">
      <c r="A2095">
        <v>99912094</v>
      </c>
      <c r="B2095" t="s">
        <v>32</v>
      </c>
      <c r="C2095" t="s">
        <v>141</v>
      </c>
      <c r="D2095" t="s">
        <v>142</v>
      </c>
      <c r="G2095" t="s">
        <v>48</v>
      </c>
      <c r="H2095">
        <v>1</v>
      </c>
      <c r="K2095" t="s">
        <v>162</v>
      </c>
      <c r="L2095" t="s">
        <v>158</v>
      </c>
      <c r="M2095" t="s">
        <v>131</v>
      </c>
      <c r="N2095">
        <v>19</v>
      </c>
      <c r="P2095" t="s">
        <v>41</v>
      </c>
      <c r="Q2095" t="s">
        <v>42</v>
      </c>
      <c r="R2095" t="str">
        <f>"0580320"</f>
        <v>0580320</v>
      </c>
      <c r="S2095" t="s">
        <v>164</v>
      </c>
      <c r="T2095" t="s">
        <v>162</v>
      </c>
      <c r="U2095" t="s">
        <v>158</v>
      </c>
      <c r="V2095" t="s">
        <v>131</v>
      </c>
      <c r="W2095" t="s">
        <v>51</v>
      </c>
      <c r="X2095" t="s">
        <v>45</v>
      </c>
      <c r="Y2095" s="1">
        <v>28126</v>
      </c>
      <c r="Z2095">
        <v>2</v>
      </c>
      <c r="AA2095" t="s">
        <v>158</v>
      </c>
      <c r="AB2095" s="40" t="s">
        <v>1797</v>
      </c>
    </row>
    <row r="2096" spans="1:28" x14ac:dyDescent="0.25">
      <c r="A2096">
        <v>99912095</v>
      </c>
      <c r="B2096" t="s">
        <v>56</v>
      </c>
      <c r="C2096" t="s">
        <v>79</v>
      </c>
      <c r="D2096" t="s">
        <v>80</v>
      </c>
      <c r="G2096" t="s">
        <v>35</v>
      </c>
      <c r="H2096">
        <v>1</v>
      </c>
      <c r="I2096" t="s">
        <v>996</v>
      </c>
      <c r="J2096" s="1">
        <v>43346</v>
      </c>
      <c r="K2096" t="s">
        <v>985</v>
      </c>
      <c r="L2096" t="s">
        <v>986</v>
      </c>
      <c r="M2096" t="s">
        <v>938</v>
      </c>
      <c r="N2096">
        <v>19</v>
      </c>
      <c r="O2096" s="1">
        <v>43346</v>
      </c>
      <c r="P2096" t="s">
        <v>41</v>
      </c>
      <c r="Q2096" t="s">
        <v>75</v>
      </c>
      <c r="R2096" t="str">
        <f>"7011004"</f>
        <v>7011004</v>
      </c>
      <c r="S2096" t="s">
        <v>987</v>
      </c>
      <c r="T2096" t="s">
        <v>985</v>
      </c>
      <c r="U2096" t="s">
        <v>986</v>
      </c>
      <c r="V2096" t="s">
        <v>938</v>
      </c>
      <c r="W2096" t="s">
        <v>44</v>
      </c>
      <c r="X2096" t="s">
        <v>45</v>
      </c>
      <c r="Y2096" s="1">
        <v>28122</v>
      </c>
      <c r="Z2096">
        <v>1</v>
      </c>
      <c r="AA2096" t="s">
        <v>986</v>
      </c>
      <c r="AB2096" s="40" t="s">
        <v>1797</v>
      </c>
    </row>
    <row r="2097" spans="1:28" x14ac:dyDescent="0.25">
      <c r="A2097">
        <v>99912096</v>
      </c>
      <c r="B2097" t="s">
        <v>56</v>
      </c>
      <c r="C2097" t="s">
        <v>79</v>
      </c>
      <c r="D2097" t="s">
        <v>80</v>
      </c>
      <c r="G2097" t="s">
        <v>48</v>
      </c>
      <c r="H2097">
        <v>1</v>
      </c>
      <c r="K2097" t="s">
        <v>1128</v>
      </c>
      <c r="L2097" t="s">
        <v>1129</v>
      </c>
      <c r="M2097" t="s">
        <v>1130</v>
      </c>
      <c r="N2097">
        <v>19</v>
      </c>
      <c r="P2097" t="s">
        <v>41</v>
      </c>
      <c r="Q2097" t="s">
        <v>49</v>
      </c>
      <c r="R2097" t="str">
        <f>"3181015"</f>
        <v>3181015</v>
      </c>
      <c r="S2097" t="s">
        <v>1131</v>
      </c>
      <c r="T2097" t="s">
        <v>1128</v>
      </c>
      <c r="U2097" t="s">
        <v>1129</v>
      </c>
      <c r="V2097" t="s">
        <v>1130</v>
      </c>
      <c r="W2097" t="s">
        <v>51</v>
      </c>
      <c r="X2097" t="s">
        <v>45</v>
      </c>
      <c r="Y2097" s="1">
        <v>28112</v>
      </c>
      <c r="Z2097">
        <v>2</v>
      </c>
      <c r="AA2097" t="s">
        <v>1129</v>
      </c>
      <c r="AB2097" s="40" t="s">
        <v>1797</v>
      </c>
    </row>
    <row r="2098" spans="1:28" x14ac:dyDescent="0.25">
      <c r="A2098">
        <v>99912097</v>
      </c>
      <c r="B2098" t="s">
        <v>32</v>
      </c>
      <c r="C2098" t="s">
        <v>64</v>
      </c>
      <c r="D2098" t="s">
        <v>65</v>
      </c>
      <c r="G2098" t="s">
        <v>35</v>
      </c>
      <c r="H2098">
        <v>1</v>
      </c>
      <c r="I2098" t="s">
        <v>1147</v>
      </c>
      <c r="J2098" s="1">
        <v>43344</v>
      </c>
      <c r="K2098" t="s">
        <v>1128</v>
      </c>
      <c r="L2098" t="s">
        <v>1129</v>
      </c>
      <c r="M2098" t="s">
        <v>1130</v>
      </c>
      <c r="N2098">
        <v>19</v>
      </c>
      <c r="O2098" s="1">
        <v>43344</v>
      </c>
      <c r="P2098" t="s">
        <v>41</v>
      </c>
      <c r="Q2098" t="s">
        <v>49</v>
      </c>
      <c r="R2098" t="str">
        <f>"3181015"</f>
        <v>3181015</v>
      </c>
      <c r="S2098" t="s">
        <v>1131</v>
      </c>
      <c r="T2098" t="s">
        <v>1128</v>
      </c>
      <c r="U2098" t="s">
        <v>1129</v>
      </c>
      <c r="V2098" t="s">
        <v>1130</v>
      </c>
      <c r="W2098" t="s">
        <v>51</v>
      </c>
      <c r="X2098" t="s">
        <v>45</v>
      </c>
      <c r="Y2098" s="1">
        <v>28055</v>
      </c>
      <c r="Z2098">
        <v>2</v>
      </c>
      <c r="AA2098" t="s">
        <v>1129</v>
      </c>
      <c r="AB2098" s="40" t="s">
        <v>1797</v>
      </c>
    </row>
    <row r="2099" spans="1:28" x14ac:dyDescent="0.25">
      <c r="A2099">
        <v>99912098</v>
      </c>
      <c r="B2099" t="s">
        <v>32</v>
      </c>
      <c r="C2099" t="s">
        <v>141</v>
      </c>
      <c r="D2099" t="s">
        <v>142</v>
      </c>
      <c r="G2099" t="s">
        <v>35</v>
      </c>
      <c r="H2099">
        <v>1</v>
      </c>
      <c r="K2099" t="s">
        <v>1695</v>
      </c>
      <c r="L2099" t="s">
        <v>1696</v>
      </c>
      <c r="M2099" t="s">
        <v>1592</v>
      </c>
      <c r="N2099">
        <v>19</v>
      </c>
      <c r="P2099" t="s">
        <v>41</v>
      </c>
      <c r="Q2099" t="s">
        <v>75</v>
      </c>
      <c r="R2099" t="str">
        <f>"7361000"</f>
        <v>7361000</v>
      </c>
      <c r="S2099" t="s">
        <v>1698</v>
      </c>
      <c r="T2099" t="s">
        <v>1695</v>
      </c>
      <c r="U2099" t="s">
        <v>1696</v>
      </c>
      <c r="V2099" t="s">
        <v>1592</v>
      </c>
      <c r="W2099" t="s">
        <v>51</v>
      </c>
      <c r="X2099" t="s">
        <v>45</v>
      </c>
      <c r="Y2099" s="1">
        <v>27961</v>
      </c>
      <c r="Z2099">
        <v>1</v>
      </c>
      <c r="AA2099" t="s">
        <v>1696</v>
      </c>
      <c r="AB2099" s="40" t="s">
        <v>1797</v>
      </c>
    </row>
    <row r="2100" spans="1:28" x14ac:dyDescent="0.25">
      <c r="A2100">
        <v>99912099</v>
      </c>
      <c r="B2100" t="s">
        <v>56</v>
      </c>
      <c r="C2100" t="s">
        <v>68</v>
      </c>
      <c r="D2100" t="s">
        <v>69</v>
      </c>
      <c r="G2100" t="s">
        <v>48</v>
      </c>
      <c r="H2100">
        <v>1</v>
      </c>
      <c r="K2100" t="s">
        <v>223</v>
      </c>
      <c r="L2100" t="s">
        <v>224</v>
      </c>
      <c r="M2100" t="s">
        <v>131</v>
      </c>
      <c r="N2100">
        <v>19</v>
      </c>
      <c r="P2100" t="s">
        <v>41</v>
      </c>
      <c r="Q2100" t="s">
        <v>49</v>
      </c>
      <c r="R2100" t="str">
        <f>"0581204"</f>
        <v>0581204</v>
      </c>
      <c r="S2100" t="s">
        <v>249</v>
      </c>
      <c r="T2100" t="s">
        <v>223</v>
      </c>
      <c r="U2100" t="s">
        <v>224</v>
      </c>
      <c r="V2100" t="s">
        <v>131</v>
      </c>
      <c r="W2100" t="s">
        <v>51</v>
      </c>
      <c r="X2100" t="s">
        <v>45</v>
      </c>
      <c r="Y2100" s="1">
        <v>27847</v>
      </c>
      <c r="Z2100">
        <v>2</v>
      </c>
      <c r="AA2100" t="s">
        <v>224</v>
      </c>
      <c r="AB2100" s="40" t="s">
        <v>1797</v>
      </c>
    </row>
    <row r="2101" spans="1:28" x14ac:dyDescent="0.25">
      <c r="A2101">
        <v>99912100</v>
      </c>
      <c r="B2101" t="s">
        <v>32</v>
      </c>
      <c r="C2101" t="s">
        <v>64</v>
      </c>
      <c r="D2101" t="s">
        <v>65</v>
      </c>
      <c r="G2101" t="s">
        <v>48</v>
      </c>
      <c r="H2101">
        <v>1</v>
      </c>
      <c r="K2101" t="s">
        <v>300</v>
      </c>
      <c r="L2101" t="s">
        <v>301</v>
      </c>
      <c r="M2101" t="s">
        <v>131</v>
      </c>
      <c r="N2101">
        <v>19</v>
      </c>
      <c r="P2101" t="s">
        <v>41</v>
      </c>
      <c r="Q2101" t="s">
        <v>49</v>
      </c>
      <c r="R2101" t="str">
        <f>"0560020"</f>
        <v>0560020</v>
      </c>
      <c r="S2101" t="s">
        <v>302</v>
      </c>
      <c r="T2101" t="s">
        <v>300</v>
      </c>
      <c r="U2101" t="s">
        <v>301</v>
      </c>
      <c r="V2101" t="s">
        <v>131</v>
      </c>
      <c r="W2101" t="s">
        <v>51</v>
      </c>
      <c r="X2101" t="s">
        <v>45</v>
      </c>
      <c r="Y2101" s="1">
        <v>27796</v>
      </c>
      <c r="Z2101">
        <v>2</v>
      </c>
      <c r="AA2101" t="s">
        <v>301</v>
      </c>
      <c r="AB2101" s="40" t="s">
        <v>1797</v>
      </c>
    </row>
    <row r="2102" spans="1:28" x14ac:dyDescent="0.25">
      <c r="A2102">
        <v>99912101</v>
      </c>
      <c r="B2102" t="s">
        <v>56</v>
      </c>
      <c r="C2102" t="s">
        <v>58</v>
      </c>
      <c r="D2102" t="s">
        <v>59</v>
      </c>
      <c r="G2102" t="s">
        <v>35</v>
      </c>
      <c r="H2102">
        <v>1</v>
      </c>
      <c r="I2102">
        <v>14662</v>
      </c>
      <c r="J2102" s="1">
        <v>42979</v>
      </c>
      <c r="K2102" t="s">
        <v>1306</v>
      </c>
      <c r="L2102" t="s">
        <v>1307</v>
      </c>
      <c r="M2102" t="s">
        <v>1270</v>
      </c>
      <c r="N2102">
        <v>19</v>
      </c>
      <c r="O2102" s="1">
        <v>42979</v>
      </c>
      <c r="P2102" t="s">
        <v>41</v>
      </c>
      <c r="Q2102" t="s">
        <v>42</v>
      </c>
      <c r="R2102" t="str">
        <f>"1990913"</f>
        <v>1990913</v>
      </c>
      <c r="S2102" t="s">
        <v>1312</v>
      </c>
      <c r="T2102" t="s">
        <v>1306</v>
      </c>
      <c r="U2102" t="s">
        <v>1307</v>
      </c>
      <c r="V2102" t="s">
        <v>1270</v>
      </c>
      <c r="W2102" t="s">
        <v>44</v>
      </c>
      <c r="X2102" t="s">
        <v>45</v>
      </c>
      <c r="Y2102" s="1">
        <v>27760</v>
      </c>
      <c r="Z2102">
        <v>2</v>
      </c>
      <c r="AA2102" t="s">
        <v>1307</v>
      </c>
      <c r="AB2102" s="40" t="s">
        <v>1797</v>
      </c>
    </row>
    <row r="2103" spans="1:28" x14ac:dyDescent="0.25">
      <c r="A2103">
        <v>99912102</v>
      </c>
      <c r="B2103" t="s">
        <v>56</v>
      </c>
      <c r="C2103" t="s">
        <v>143</v>
      </c>
      <c r="D2103" t="s">
        <v>144</v>
      </c>
      <c r="G2103" t="s">
        <v>48</v>
      </c>
      <c r="H2103">
        <v>1</v>
      </c>
      <c r="K2103" t="s">
        <v>157</v>
      </c>
      <c r="L2103" t="s">
        <v>158</v>
      </c>
      <c r="M2103" t="s">
        <v>131</v>
      </c>
      <c r="N2103">
        <v>19</v>
      </c>
      <c r="P2103" t="s">
        <v>41</v>
      </c>
      <c r="Q2103" t="s">
        <v>42</v>
      </c>
      <c r="R2103" t="str">
        <f>"0580290"</f>
        <v>0580290</v>
      </c>
      <c r="S2103" t="s">
        <v>171</v>
      </c>
      <c r="T2103" t="s">
        <v>157</v>
      </c>
      <c r="U2103" t="s">
        <v>158</v>
      </c>
      <c r="V2103" t="s">
        <v>131</v>
      </c>
      <c r="W2103" t="s">
        <v>51</v>
      </c>
      <c r="X2103" t="s">
        <v>45</v>
      </c>
      <c r="Y2103" s="1">
        <v>27395</v>
      </c>
      <c r="Z2103">
        <v>2</v>
      </c>
      <c r="AA2103" t="s">
        <v>158</v>
      </c>
      <c r="AB2103" s="40" t="s">
        <v>1797</v>
      </c>
    </row>
    <row r="2104" spans="1:28" x14ac:dyDescent="0.25">
      <c r="A2104">
        <v>99912103</v>
      </c>
      <c r="B2104" t="s">
        <v>56</v>
      </c>
      <c r="C2104" t="s">
        <v>46</v>
      </c>
      <c r="D2104" t="s">
        <v>47</v>
      </c>
      <c r="G2104" t="s">
        <v>35</v>
      </c>
      <c r="H2104">
        <v>1</v>
      </c>
      <c r="I2104">
        <v>0</v>
      </c>
      <c r="J2104" s="1">
        <v>43344</v>
      </c>
      <c r="K2104" t="s">
        <v>223</v>
      </c>
      <c r="L2104" t="s">
        <v>224</v>
      </c>
      <c r="M2104" t="s">
        <v>131</v>
      </c>
      <c r="N2104">
        <v>19</v>
      </c>
      <c r="O2104" s="1">
        <v>43344</v>
      </c>
      <c r="P2104" t="s">
        <v>41</v>
      </c>
      <c r="Q2104" t="s">
        <v>42</v>
      </c>
      <c r="R2104" t="str">
        <f>"0580206"</f>
        <v>0580206</v>
      </c>
      <c r="S2104" t="s">
        <v>237</v>
      </c>
      <c r="T2104" t="s">
        <v>223</v>
      </c>
      <c r="U2104" t="s">
        <v>224</v>
      </c>
      <c r="V2104" t="s">
        <v>131</v>
      </c>
      <c r="W2104" t="s">
        <v>51</v>
      </c>
      <c r="X2104" t="s">
        <v>45</v>
      </c>
      <c r="Y2104" s="1">
        <v>27395</v>
      </c>
      <c r="Z2104">
        <v>2</v>
      </c>
      <c r="AA2104" t="s">
        <v>224</v>
      </c>
      <c r="AB2104" s="40" t="s">
        <v>1797</v>
      </c>
    </row>
    <row r="2105" spans="1:28" x14ac:dyDescent="0.25">
      <c r="A2105">
        <v>99912104</v>
      </c>
      <c r="B2105" t="s">
        <v>32</v>
      </c>
      <c r="C2105" t="s">
        <v>139</v>
      </c>
      <c r="D2105" t="s">
        <v>140</v>
      </c>
      <c r="G2105" t="s">
        <v>35</v>
      </c>
      <c r="H2105">
        <v>1</v>
      </c>
      <c r="K2105" t="s">
        <v>877</v>
      </c>
      <c r="L2105" t="s">
        <v>878</v>
      </c>
      <c r="M2105" t="s">
        <v>131</v>
      </c>
      <c r="N2105">
        <v>19</v>
      </c>
      <c r="P2105" t="s">
        <v>41</v>
      </c>
      <c r="Q2105" t="s">
        <v>75</v>
      </c>
      <c r="R2105" t="str">
        <f>"7700025"</f>
        <v>7700025</v>
      </c>
      <c r="S2105" t="s">
        <v>880</v>
      </c>
      <c r="T2105" t="s">
        <v>877</v>
      </c>
      <c r="U2105" t="s">
        <v>878</v>
      </c>
      <c r="V2105" t="s">
        <v>131</v>
      </c>
      <c r="W2105" t="s">
        <v>51</v>
      </c>
      <c r="X2105" t="s">
        <v>45</v>
      </c>
      <c r="Y2105" s="1">
        <v>27286</v>
      </c>
      <c r="Z2105">
        <v>1</v>
      </c>
      <c r="AA2105" t="s">
        <v>878</v>
      </c>
      <c r="AB2105" s="40" t="s">
        <v>1797</v>
      </c>
    </row>
    <row r="2106" spans="1:28" x14ac:dyDescent="0.25">
      <c r="A2106">
        <v>99912105</v>
      </c>
      <c r="B2106" t="s">
        <v>32</v>
      </c>
      <c r="C2106" t="s">
        <v>61</v>
      </c>
      <c r="D2106" t="s">
        <v>62</v>
      </c>
      <c r="G2106" t="s">
        <v>35</v>
      </c>
      <c r="H2106">
        <v>1</v>
      </c>
      <c r="I2106" s="1">
        <v>43344</v>
      </c>
      <c r="J2106" s="1">
        <v>43344</v>
      </c>
      <c r="K2106" t="s">
        <v>1341</v>
      </c>
      <c r="L2106" t="s">
        <v>1342</v>
      </c>
      <c r="M2106" t="s">
        <v>1270</v>
      </c>
      <c r="N2106">
        <v>19</v>
      </c>
      <c r="O2106" s="1">
        <v>43344</v>
      </c>
      <c r="P2106" t="s">
        <v>41</v>
      </c>
      <c r="Q2106" t="s">
        <v>75</v>
      </c>
      <c r="R2106" t="str">
        <f>"7191000"</f>
        <v>7191000</v>
      </c>
      <c r="S2106" t="s">
        <v>1347</v>
      </c>
      <c r="T2106" t="s">
        <v>1341</v>
      </c>
      <c r="U2106" t="s">
        <v>1342</v>
      </c>
      <c r="V2106" t="s">
        <v>1270</v>
      </c>
      <c r="W2106" t="s">
        <v>44</v>
      </c>
      <c r="X2106" t="s">
        <v>45</v>
      </c>
      <c r="Y2106" s="1">
        <v>27284</v>
      </c>
      <c r="Z2106">
        <v>1</v>
      </c>
      <c r="AA2106" t="s">
        <v>1342</v>
      </c>
      <c r="AB2106" s="40" t="s">
        <v>1797</v>
      </c>
    </row>
    <row r="2107" spans="1:28" x14ac:dyDescent="0.25">
      <c r="A2107">
        <v>99912106</v>
      </c>
      <c r="B2107" t="s">
        <v>32</v>
      </c>
      <c r="C2107" t="s">
        <v>139</v>
      </c>
      <c r="D2107" t="s">
        <v>140</v>
      </c>
      <c r="G2107" t="s">
        <v>88</v>
      </c>
      <c r="H2107">
        <v>3</v>
      </c>
      <c r="I2107" t="s">
        <v>472</v>
      </c>
      <c r="J2107" s="1">
        <v>42262</v>
      </c>
      <c r="K2107" t="s">
        <v>195</v>
      </c>
      <c r="L2107" t="s">
        <v>196</v>
      </c>
      <c r="M2107" t="s">
        <v>131</v>
      </c>
      <c r="N2107">
        <v>19</v>
      </c>
      <c r="O2107" s="1">
        <v>42262</v>
      </c>
      <c r="P2107" t="s">
        <v>41</v>
      </c>
      <c r="Q2107" t="s">
        <v>75</v>
      </c>
      <c r="R2107" t="str">
        <f>"7521050"</f>
        <v>7521050</v>
      </c>
      <c r="S2107" t="s">
        <v>194</v>
      </c>
      <c r="T2107" t="s">
        <v>195</v>
      </c>
      <c r="U2107" t="s">
        <v>196</v>
      </c>
      <c r="V2107" t="s">
        <v>131</v>
      </c>
      <c r="W2107" t="s">
        <v>51</v>
      </c>
      <c r="X2107" t="s">
        <v>45</v>
      </c>
      <c r="Y2107" s="1">
        <v>27023</v>
      </c>
      <c r="Z2107">
        <v>1</v>
      </c>
      <c r="AA2107" t="s">
        <v>196</v>
      </c>
      <c r="AB2107" s="40" t="s">
        <v>1797</v>
      </c>
    </row>
    <row r="2108" spans="1:28" x14ac:dyDescent="0.25">
      <c r="A2108">
        <v>99912107</v>
      </c>
      <c r="B2108" t="s">
        <v>56</v>
      </c>
      <c r="C2108" t="s">
        <v>82</v>
      </c>
      <c r="D2108" t="s">
        <v>83</v>
      </c>
      <c r="G2108" t="s">
        <v>35</v>
      </c>
      <c r="H2108">
        <v>1</v>
      </c>
      <c r="K2108" t="s">
        <v>223</v>
      </c>
      <c r="L2108" t="s">
        <v>224</v>
      </c>
      <c r="M2108" t="s">
        <v>131</v>
      </c>
      <c r="N2108">
        <v>19</v>
      </c>
      <c r="P2108" t="s">
        <v>41</v>
      </c>
      <c r="Q2108" t="s">
        <v>42</v>
      </c>
      <c r="R2108" t="str">
        <f>"0590901"</f>
        <v>0590901</v>
      </c>
      <c r="S2108" t="s">
        <v>242</v>
      </c>
      <c r="T2108" t="s">
        <v>223</v>
      </c>
      <c r="U2108" t="s">
        <v>224</v>
      </c>
      <c r="V2108" t="s">
        <v>131</v>
      </c>
      <c r="W2108" t="s">
        <v>51</v>
      </c>
      <c r="X2108" t="s">
        <v>45</v>
      </c>
      <c r="Y2108" s="1">
        <v>26863</v>
      </c>
      <c r="Z2108">
        <v>2</v>
      </c>
      <c r="AA2108" t="s">
        <v>224</v>
      </c>
      <c r="AB2108" s="40" t="s">
        <v>1797</v>
      </c>
    </row>
    <row r="2109" spans="1:28" x14ac:dyDescent="0.25">
      <c r="A2109">
        <v>99912108</v>
      </c>
      <c r="B2109" t="s">
        <v>56</v>
      </c>
      <c r="C2109" t="s">
        <v>33</v>
      </c>
      <c r="D2109" t="s">
        <v>34</v>
      </c>
      <c r="G2109" t="s">
        <v>48</v>
      </c>
      <c r="H2109">
        <v>1</v>
      </c>
      <c r="K2109" t="s">
        <v>1268</v>
      </c>
      <c r="L2109" t="s">
        <v>1269</v>
      </c>
      <c r="M2109" t="s">
        <v>1270</v>
      </c>
      <c r="N2109">
        <v>19</v>
      </c>
      <c r="P2109" t="s">
        <v>41</v>
      </c>
      <c r="Q2109" t="s">
        <v>49</v>
      </c>
      <c r="R2109" t="str">
        <f>"1981912"</f>
        <v>1981912</v>
      </c>
      <c r="S2109" t="s">
        <v>1279</v>
      </c>
      <c r="T2109" t="s">
        <v>1268</v>
      </c>
      <c r="U2109" t="s">
        <v>1269</v>
      </c>
      <c r="V2109" t="s">
        <v>1270</v>
      </c>
      <c r="W2109" t="s">
        <v>51</v>
      </c>
      <c r="X2109" t="s">
        <v>45</v>
      </c>
      <c r="Y2109" s="1">
        <v>26861</v>
      </c>
      <c r="Z2109">
        <v>2</v>
      </c>
      <c r="AA2109" t="s">
        <v>1269</v>
      </c>
      <c r="AB2109" s="40" t="s">
        <v>1797</v>
      </c>
    </row>
    <row r="2110" spans="1:28" x14ac:dyDescent="0.25">
      <c r="A2110">
        <v>99912109</v>
      </c>
      <c r="B2110" t="s">
        <v>56</v>
      </c>
      <c r="C2110" t="s">
        <v>68</v>
      </c>
      <c r="D2110" t="s">
        <v>69</v>
      </c>
      <c r="G2110" t="s">
        <v>48</v>
      </c>
      <c r="H2110">
        <v>1</v>
      </c>
      <c r="K2110" t="s">
        <v>300</v>
      </c>
      <c r="L2110" t="s">
        <v>301</v>
      </c>
      <c r="M2110" t="s">
        <v>131</v>
      </c>
      <c r="N2110">
        <v>19</v>
      </c>
      <c r="P2110" t="s">
        <v>41</v>
      </c>
      <c r="Q2110" t="s">
        <v>42</v>
      </c>
      <c r="R2110" t="str">
        <f>"0580106"</f>
        <v>0580106</v>
      </c>
      <c r="S2110" t="s">
        <v>306</v>
      </c>
      <c r="T2110" t="s">
        <v>300</v>
      </c>
      <c r="U2110" t="s">
        <v>301</v>
      </c>
      <c r="V2110" t="s">
        <v>131</v>
      </c>
      <c r="W2110" t="s">
        <v>51</v>
      </c>
      <c r="X2110" t="s">
        <v>45</v>
      </c>
      <c r="Y2110" s="1">
        <v>26800</v>
      </c>
      <c r="Z2110">
        <v>2</v>
      </c>
      <c r="AA2110" t="s">
        <v>301</v>
      </c>
      <c r="AB2110" s="40" t="s">
        <v>1797</v>
      </c>
    </row>
    <row r="2111" spans="1:28" x14ac:dyDescent="0.25">
      <c r="A2111">
        <v>99912110</v>
      </c>
      <c r="B2111" t="s">
        <v>56</v>
      </c>
      <c r="C2111" t="s">
        <v>52</v>
      </c>
      <c r="D2111" t="s">
        <v>53</v>
      </c>
      <c r="G2111" t="s">
        <v>48</v>
      </c>
      <c r="H2111">
        <v>1</v>
      </c>
      <c r="K2111" t="s">
        <v>162</v>
      </c>
      <c r="L2111" t="s">
        <v>158</v>
      </c>
      <c r="M2111" t="s">
        <v>131</v>
      </c>
      <c r="N2111">
        <v>19</v>
      </c>
      <c r="P2111" t="s">
        <v>41</v>
      </c>
      <c r="Q2111" t="s">
        <v>42</v>
      </c>
      <c r="R2111" t="str">
        <f>"0580330"</f>
        <v>0580330</v>
      </c>
      <c r="S2111" t="s">
        <v>176</v>
      </c>
      <c r="T2111" t="s">
        <v>162</v>
      </c>
      <c r="U2111" t="s">
        <v>158</v>
      </c>
      <c r="V2111" t="s">
        <v>131</v>
      </c>
      <c r="W2111" t="s">
        <v>51</v>
      </c>
      <c r="X2111" t="s">
        <v>45</v>
      </c>
      <c r="Y2111" s="1">
        <v>26782</v>
      </c>
      <c r="Z2111">
        <v>2</v>
      </c>
      <c r="AA2111" t="s">
        <v>158</v>
      </c>
      <c r="AB2111" s="40" t="s">
        <v>1797</v>
      </c>
    </row>
    <row r="2112" spans="1:28" x14ac:dyDescent="0.25">
      <c r="A2112">
        <v>99912111</v>
      </c>
      <c r="B2112" t="s">
        <v>32</v>
      </c>
      <c r="C2112" t="s">
        <v>52</v>
      </c>
      <c r="D2112" t="s">
        <v>53</v>
      </c>
      <c r="G2112" t="s">
        <v>48</v>
      </c>
      <c r="H2112">
        <v>7</v>
      </c>
      <c r="K2112" t="s">
        <v>1268</v>
      </c>
      <c r="L2112" t="s">
        <v>1269</v>
      </c>
      <c r="M2112" t="s">
        <v>1270</v>
      </c>
      <c r="N2112">
        <v>19</v>
      </c>
      <c r="P2112" t="s">
        <v>41</v>
      </c>
      <c r="Q2112" t="s">
        <v>42</v>
      </c>
      <c r="R2112" t="str">
        <f>"1990910"</f>
        <v>1990910</v>
      </c>
      <c r="S2112" t="s">
        <v>1281</v>
      </c>
      <c r="T2112" t="s">
        <v>1268</v>
      </c>
      <c r="U2112" t="s">
        <v>1269</v>
      </c>
      <c r="V2112" t="s">
        <v>1270</v>
      </c>
      <c r="W2112" t="s">
        <v>51</v>
      </c>
      <c r="X2112" t="s">
        <v>45</v>
      </c>
      <c r="Y2112" s="1">
        <v>26540</v>
      </c>
      <c r="Z2112">
        <v>2</v>
      </c>
      <c r="AA2112" t="s">
        <v>1269</v>
      </c>
      <c r="AB2112" s="40" t="s">
        <v>1797</v>
      </c>
    </row>
    <row r="2113" spans="1:28" x14ac:dyDescent="0.25">
      <c r="A2113">
        <v>99912112</v>
      </c>
      <c r="B2113" t="s">
        <v>56</v>
      </c>
      <c r="C2113" t="s">
        <v>52</v>
      </c>
      <c r="D2113" t="s">
        <v>53</v>
      </c>
      <c r="G2113" t="s">
        <v>48</v>
      </c>
      <c r="H2113">
        <v>1</v>
      </c>
      <c r="K2113" t="s">
        <v>223</v>
      </c>
      <c r="L2113" t="s">
        <v>224</v>
      </c>
      <c r="M2113" t="s">
        <v>131</v>
      </c>
      <c r="N2113">
        <v>19</v>
      </c>
      <c r="P2113" t="s">
        <v>41</v>
      </c>
      <c r="Q2113" t="s">
        <v>42</v>
      </c>
      <c r="R2113" t="str">
        <f>"0580206"</f>
        <v>0580206</v>
      </c>
      <c r="S2113" t="s">
        <v>237</v>
      </c>
      <c r="T2113" t="s">
        <v>223</v>
      </c>
      <c r="U2113" t="s">
        <v>224</v>
      </c>
      <c r="V2113" t="s">
        <v>131</v>
      </c>
      <c r="W2113" t="s">
        <v>51</v>
      </c>
      <c r="X2113" t="s">
        <v>45</v>
      </c>
      <c r="Y2113" s="1">
        <v>26486</v>
      </c>
      <c r="Z2113">
        <v>2</v>
      </c>
      <c r="AA2113" t="s">
        <v>224</v>
      </c>
      <c r="AB2113" s="40" t="s">
        <v>1797</v>
      </c>
    </row>
    <row r="2114" spans="1:28" x14ac:dyDescent="0.25">
      <c r="A2114">
        <v>99912113</v>
      </c>
      <c r="B2114" t="s">
        <v>32</v>
      </c>
      <c r="C2114" t="s">
        <v>46</v>
      </c>
      <c r="D2114" t="s">
        <v>47</v>
      </c>
      <c r="G2114" t="s">
        <v>48</v>
      </c>
      <c r="H2114">
        <v>1</v>
      </c>
      <c r="K2114" t="s">
        <v>162</v>
      </c>
      <c r="L2114" t="s">
        <v>158</v>
      </c>
      <c r="M2114" t="s">
        <v>131</v>
      </c>
      <c r="N2114">
        <v>19</v>
      </c>
      <c r="P2114" t="s">
        <v>41</v>
      </c>
      <c r="Q2114" t="s">
        <v>42</v>
      </c>
      <c r="R2114" t="str">
        <f>"0580330"</f>
        <v>0580330</v>
      </c>
      <c r="S2114" t="s">
        <v>176</v>
      </c>
      <c r="T2114" t="s">
        <v>162</v>
      </c>
      <c r="U2114" t="s">
        <v>158</v>
      </c>
      <c r="V2114" t="s">
        <v>131</v>
      </c>
      <c r="W2114" t="s">
        <v>51</v>
      </c>
      <c r="X2114" t="s">
        <v>45</v>
      </c>
      <c r="Y2114" s="1">
        <v>26179</v>
      </c>
      <c r="Z2114">
        <v>2</v>
      </c>
      <c r="AA2114" t="s">
        <v>158</v>
      </c>
      <c r="AB2114" s="40" t="s">
        <v>1797</v>
      </c>
    </row>
    <row r="2115" spans="1:28" x14ac:dyDescent="0.25">
      <c r="A2115">
        <v>99912114</v>
      </c>
      <c r="B2115" t="s">
        <v>56</v>
      </c>
      <c r="C2115" t="s">
        <v>46</v>
      </c>
      <c r="D2115" t="s">
        <v>47</v>
      </c>
      <c r="G2115" t="s">
        <v>48</v>
      </c>
      <c r="H2115">
        <v>1</v>
      </c>
      <c r="K2115" t="s">
        <v>1590</v>
      </c>
      <c r="L2115" t="s">
        <v>1591</v>
      </c>
      <c r="M2115" t="s">
        <v>1592</v>
      </c>
      <c r="N2115">
        <v>19</v>
      </c>
      <c r="P2115" t="s">
        <v>41</v>
      </c>
      <c r="Q2115" t="s">
        <v>49</v>
      </c>
      <c r="R2115" t="str">
        <f>"0260002"</f>
        <v>0260002</v>
      </c>
      <c r="S2115" t="s">
        <v>1593</v>
      </c>
      <c r="T2115" t="s">
        <v>1590</v>
      </c>
      <c r="U2115" t="s">
        <v>1591</v>
      </c>
      <c r="V2115" t="s">
        <v>1592</v>
      </c>
      <c r="W2115" t="s">
        <v>51</v>
      </c>
      <c r="X2115" t="s">
        <v>45</v>
      </c>
      <c r="Y2115" s="1">
        <v>26095</v>
      </c>
      <c r="Z2115">
        <v>2</v>
      </c>
      <c r="AA2115" t="s">
        <v>1591</v>
      </c>
      <c r="AB2115" s="40" t="s">
        <v>1797</v>
      </c>
    </row>
    <row r="2116" spans="1:28" x14ac:dyDescent="0.25">
      <c r="A2116">
        <v>99912115</v>
      </c>
      <c r="B2116" t="s">
        <v>32</v>
      </c>
      <c r="C2116" t="s">
        <v>139</v>
      </c>
      <c r="D2116" t="s">
        <v>140</v>
      </c>
      <c r="G2116" t="s">
        <v>48</v>
      </c>
      <c r="H2116">
        <v>1</v>
      </c>
      <c r="K2116" t="s">
        <v>268</v>
      </c>
      <c r="L2116" t="s">
        <v>269</v>
      </c>
      <c r="M2116" t="s">
        <v>131</v>
      </c>
      <c r="N2116">
        <v>19</v>
      </c>
      <c r="P2116" t="s">
        <v>41</v>
      </c>
      <c r="Q2116" t="s">
        <v>75</v>
      </c>
      <c r="R2116" t="str">
        <f>"7052008"</f>
        <v>7052008</v>
      </c>
      <c r="S2116" t="s">
        <v>274</v>
      </c>
      <c r="T2116" t="s">
        <v>268</v>
      </c>
      <c r="U2116" t="s">
        <v>269</v>
      </c>
      <c r="V2116" t="s">
        <v>131</v>
      </c>
      <c r="W2116" t="s">
        <v>51</v>
      </c>
      <c r="X2116" t="s">
        <v>45</v>
      </c>
      <c r="Y2116" s="1">
        <v>26081</v>
      </c>
      <c r="Z2116">
        <v>1</v>
      </c>
      <c r="AA2116" t="s">
        <v>269</v>
      </c>
      <c r="AB2116" s="40" t="s">
        <v>1797</v>
      </c>
    </row>
    <row r="2117" spans="1:28" x14ac:dyDescent="0.25">
      <c r="A2117">
        <v>99912116</v>
      </c>
      <c r="B2117" t="s">
        <v>56</v>
      </c>
      <c r="C2117" t="s">
        <v>79</v>
      </c>
      <c r="D2117" t="s">
        <v>80</v>
      </c>
      <c r="G2117" t="s">
        <v>35</v>
      </c>
      <c r="H2117">
        <v>1</v>
      </c>
      <c r="K2117" t="s">
        <v>268</v>
      </c>
      <c r="L2117" t="s">
        <v>269</v>
      </c>
      <c r="M2117" t="s">
        <v>131</v>
      </c>
      <c r="N2117">
        <v>19</v>
      </c>
      <c r="P2117" t="s">
        <v>41</v>
      </c>
      <c r="Q2117" t="s">
        <v>75</v>
      </c>
      <c r="R2117" t="str">
        <f>"7052036"</f>
        <v>7052036</v>
      </c>
      <c r="S2117" t="s">
        <v>679</v>
      </c>
      <c r="T2117" t="s">
        <v>268</v>
      </c>
      <c r="U2117" t="s">
        <v>269</v>
      </c>
      <c r="V2117" t="s">
        <v>131</v>
      </c>
      <c r="W2117" t="s">
        <v>51</v>
      </c>
      <c r="X2117" t="s">
        <v>45</v>
      </c>
      <c r="Y2117" s="1">
        <v>25966</v>
      </c>
      <c r="Z2117">
        <v>1</v>
      </c>
      <c r="AA2117" t="s">
        <v>269</v>
      </c>
      <c r="AB2117" s="40" t="s">
        <v>1797</v>
      </c>
    </row>
    <row r="2118" spans="1:28" x14ac:dyDescent="0.25">
      <c r="A2118">
        <v>99912117</v>
      </c>
      <c r="B2118" t="s">
        <v>32</v>
      </c>
      <c r="C2118" t="s">
        <v>64</v>
      </c>
      <c r="D2118" t="s">
        <v>65</v>
      </c>
      <c r="G2118" t="s">
        <v>35</v>
      </c>
      <c r="H2118">
        <v>1</v>
      </c>
      <c r="I2118">
        <v>2716</v>
      </c>
      <c r="J2118" s="1">
        <v>43344</v>
      </c>
      <c r="K2118" t="s">
        <v>268</v>
      </c>
      <c r="L2118" t="s">
        <v>269</v>
      </c>
      <c r="M2118" t="s">
        <v>131</v>
      </c>
      <c r="N2118">
        <v>19</v>
      </c>
      <c r="O2118" s="1">
        <v>43344</v>
      </c>
      <c r="P2118" t="s">
        <v>41</v>
      </c>
      <c r="Q2118" t="s">
        <v>75</v>
      </c>
      <c r="R2118" t="str">
        <f>"7052012"</f>
        <v>7052012</v>
      </c>
      <c r="S2118" t="s">
        <v>270</v>
      </c>
      <c r="T2118" t="s">
        <v>268</v>
      </c>
      <c r="U2118" t="s">
        <v>269</v>
      </c>
      <c r="V2118" t="s">
        <v>131</v>
      </c>
      <c r="W2118" t="s">
        <v>51</v>
      </c>
      <c r="X2118" t="s">
        <v>45</v>
      </c>
      <c r="Y2118" s="1">
        <v>25934</v>
      </c>
      <c r="Z2118">
        <v>1</v>
      </c>
      <c r="AA2118" t="s">
        <v>269</v>
      </c>
      <c r="AB2118" s="40" t="s">
        <v>1797</v>
      </c>
    </row>
    <row r="2119" spans="1:28" x14ac:dyDescent="0.25">
      <c r="A2119">
        <v>99912118</v>
      </c>
      <c r="B2119" t="s">
        <v>32</v>
      </c>
      <c r="C2119" t="s">
        <v>46</v>
      </c>
      <c r="D2119" t="s">
        <v>47</v>
      </c>
      <c r="G2119" t="s">
        <v>48</v>
      </c>
      <c r="H2119">
        <v>6</v>
      </c>
      <c r="K2119" t="s">
        <v>1268</v>
      </c>
      <c r="L2119" t="s">
        <v>1269</v>
      </c>
      <c r="M2119" t="s">
        <v>1270</v>
      </c>
      <c r="N2119">
        <v>19</v>
      </c>
      <c r="P2119" t="s">
        <v>41</v>
      </c>
      <c r="Q2119" t="s">
        <v>42</v>
      </c>
      <c r="R2119" t="str">
        <f>"1990911"</f>
        <v>1990911</v>
      </c>
      <c r="S2119" t="s">
        <v>1276</v>
      </c>
      <c r="T2119" t="s">
        <v>1268</v>
      </c>
      <c r="U2119" t="s">
        <v>1269</v>
      </c>
      <c r="V2119" t="s">
        <v>1270</v>
      </c>
      <c r="W2119" t="s">
        <v>51</v>
      </c>
      <c r="X2119" t="s">
        <v>45</v>
      </c>
      <c r="Y2119" s="1">
        <v>25934</v>
      </c>
      <c r="Z2119">
        <v>2</v>
      </c>
      <c r="AA2119" t="s">
        <v>1269</v>
      </c>
      <c r="AB2119" s="40" t="s">
        <v>1797</v>
      </c>
    </row>
    <row r="2120" spans="1:28" x14ac:dyDescent="0.25">
      <c r="A2120">
        <v>99912119</v>
      </c>
      <c r="B2120" t="s">
        <v>56</v>
      </c>
      <c r="C2120" t="s">
        <v>46</v>
      </c>
      <c r="D2120" t="s">
        <v>47</v>
      </c>
      <c r="G2120" t="s">
        <v>48</v>
      </c>
      <c r="H2120">
        <v>1</v>
      </c>
      <c r="K2120" t="s">
        <v>1268</v>
      </c>
      <c r="L2120" t="s">
        <v>1269</v>
      </c>
      <c r="M2120" t="s">
        <v>1270</v>
      </c>
      <c r="N2120">
        <v>19</v>
      </c>
      <c r="P2120" t="s">
        <v>41</v>
      </c>
      <c r="Q2120" t="s">
        <v>42</v>
      </c>
      <c r="R2120" t="str">
        <f>"1990910"</f>
        <v>1990910</v>
      </c>
      <c r="S2120" t="s">
        <v>1281</v>
      </c>
      <c r="T2120" t="s">
        <v>1268</v>
      </c>
      <c r="U2120" t="s">
        <v>1269</v>
      </c>
      <c r="V2120" t="s">
        <v>1270</v>
      </c>
      <c r="W2120" t="s">
        <v>165</v>
      </c>
      <c r="X2120" t="s">
        <v>45</v>
      </c>
      <c r="Y2120" s="1">
        <v>25863</v>
      </c>
      <c r="Z2120">
        <v>2</v>
      </c>
      <c r="AA2120" t="s">
        <v>1269</v>
      </c>
      <c r="AB2120" s="40" t="s">
        <v>1797</v>
      </c>
    </row>
    <row r="2121" spans="1:28" x14ac:dyDescent="0.25">
      <c r="A2121">
        <v>99912120</v>
      </c>
      <c r="B2121" t="s">
        <v>32</v>
      </c>
      <c r="C2121" t="s">
        <v>79</v>
      </c>
      <c r="D2121" t="s">
        <v>80</v>
      </c>
      <c r="G2121" t="s">
        <v>35</v>
      </c>
      <c r="H2121">
        <v>1</v>
      </c>
      <c r="K2121" t="s">
        <v>1564</v>
      </c>
      <c r="L2121" t="s">
        <v>1565</v>
      </c>
      <c r="M2121" t="s">
        <v>1548</v>
      </c>
      <c r="N2121">
        <v>19</v>
      </c>
      <c r="P2121" t="s">
        <v>41</v>
      </c>
      <c r="Q2121" t="s">
        <v>75</v>
      </c>
      <c r="R2121" t="str">
        <f>"7101000"</f>
        <v>7101000</v>
      </c>
      <c r="S2121" t="s">
        <v>1572</v>
      </c>
      <c r="T2121" t="s">
        <v>1564</v>
      </c>
      <c r="U2121" t="s">
        <v>1565</v>
      </c>
      <c r="V2121" t="s">
        <v>1548</v>
      </c>
      <c r="W2121" t="s">
        <v>51</v>
      </c>
      <c r="X2121" t="s">
        <v>45</v>
      </c>
      <c r="Y2121" s="1">
        <v>25854</v>
      </c>
      <c r="Z2121">
        <v>1</v>
      </c>
      <c r="AA2121" t="s">
        <v>1565</v>
      </c>
      <c r="AB2121" s="40" t="s">
        <v>1797</v>
      </c>
    </row>
    <row r="2122" spans="1:28" x14ac:dyDescent="0.25">
      <c r="A2122">
        <v>99912121</v>
      </c>
      <c r="B2122" t="s">
        <v>56</v>
      </c>
      <c r="C2122" t="s">
        <v>68</v>
      </c>
      <c r="D2122" t="s">
        <v>69</v>
      </c>
      <c r="G2122" t="s">
        <v>48</v>
      </c>
      <c r="H2122">
        <v>1</v>
      </c>
      <c r="K2122" t="s">
        <v>162</v>
      </c>
      <c r="L2122" t="s">
        <v>158</v>
      </c>
      <c r="M2122" t="s">
        <v>131</v>
      </c>
      <c r="N2122">
        <v>19</v>
      </c>
      <c r="P2122" t="s">
        <v>41</v>
      </c>
      <c r="Q2122" t="s">
        <v>42</v>
      </c>
      <c r="R2122" t="str">
        <f>"0580325"</f>
        <v>0580325</v>
      </c>
      <c r="S2122" t="s">
        <v>170</v>
      </c>
      <c r="T2122" t="s">
        <v>162</v>
      </c>
      <c r="U2122" t="s">
        <v>158</v>
      </c>
      <c r="V2122" t="s">
        <v>131</v>
      </c>
      <c r="W2122" t="s">
        <v>165</v>
      </c>
      <c r="X2122" t="s">
        <v>45</v>
      </c>
      <c r="Y2122" s="1">
        <v>25731</v>
      </c>
      <c r="Z2122">
        <v>2</v>
      </c>
      <c r="AA2122" t="s">
        <v>158</v>
      </c>
      <c r="AB2122" s="40" t="s">
        <v>1797</v>
      </c>
    </row>
    <row r="2123" spans="1:28" x14ac:dyDescent="0.25">
      <c r="A2123">
        <v>99912122</v>
      </c>
      <c r="B2123" t="s">
        <v>32</v>
      </c>
      <c r="C2123" t="s">
        <v>139</v>
      </c>
      <c r="D2123" t="s">
        <v>140</v>
      </c>
      <c r="G2123" t="s">
        <v>48</v>
      </c>
      <c r="H2123">
        <v>5</v>
      </c>
      <c r="I2123" t="s">
        <v>461</v>
      </c>
      <c r="J2123" s="1">
        <v>41153</v>
      </c>
      <c r="K2123" t="s">
        <v>195</v>
      </c>
      <c r="L2123" t="s">
        <v>196</v>
      </c>
      <c r="M2123" t="s">
        <v>131</v>
      </c>
      <c r="N2123">
        <v>19</v>
      </c>
      <c r="O2123" s="1">
        <v>41153</v>
      </c>
      <c r="P2123" t="s">
        <v>41</v>
      </c>
      <c r="Q2123" t="s">
        <v>75</v>
      </c>
      <c r="R2123" t="str">
        <f>"7521050"</f>
        <v>7521050</v>
      </c>
      <c r="S2123" t="s">
        <v>194</v>
      </c>
      <c r="T2123" t="s">
        <v>195</v>
      </c>
      <c r="U2123" t="s">
        <v>196</v>
      </c>
      <c r="V2123" t="s">
        <v>131</v>
      </c>
      <c r="W2123" t="s">
        <v>51</v>
      </c>
      <c r="X2123" t="s">
        <v>45</v>
      </c>
      <c r="Y2123" s="1">
        <v>25609</v>
      </c>
      <c r="Z2123">
        <v>1</v>
      </c>
      <c r="AA2123" t="s">
        <v>196</v>
      </c>
      <c r="AB2123" s="40" t="s">
        <v>1797</v>
      </c>
    </row>
    <row r="2124" spans="1:28" x14ac:dyDescent="0.25">
      <c r="A2124">
        <v>99912123</v>
      </c>
      <c r="B2124" t="s">
        <v>32</v>
      </c>
      <c r="C2124" t="s">
        <v>61</v>
      </c>
      <c r="D2124" t="s">
        <v>62</v>
      </c>
      <c r="E2124" t="s">
        <v>52</v>
      </c>
      <c r="F2124" t="s">
        <v>53</v>
      </c>
      <c r="G2124" t="s">
        <v>35</v>
      </c>
      <c r="H2124">
        <v>1</v>
      </c>
      <c r="K2124" t="s">
        <v>162</v>
      </c>
      <c r="L2124" t="s">
        <v>158</v>
      </c>
      <c r="M2124" t="s">
        <v>131</v>
      </c>
      <c r="N2124">
        <v>19</v>
      </c>
      <c r="P2124" t="s">
        <v>41</v>
      </c>
      <c r="Q2124" t="s">
        <v>49</v>
      </c>
      <c r="R2124" t="str">
        <f>"0505050"</f>
        <v>0505050</v>
      </c>
      <c r="S2124" t="s">
        <v>163</v>
      </c>
      <c r="T2124" t="s">
        <v>162</v>
      </c>
      <c r="U2124" t="s">
        <v>158</v>
      </c>
      <c r="V2124" t="s">
        <v>131</v>
      </c>
      <c r="W2124" t="s">
        <v>51</v>
      </c>
      <c r="X2124" t="s">
        <v>45</v>
      </c>
      <c r="Y2124" s="1">
        <v>25569</v>
      </c>
      <c r="Z2124">
        <v>2</v>
      </c>
      <c r="AA2124" t="s">
        <v>158</v>
      </c>
      <c r="AB2124" s="40" t="s">
        <v>1797</v>
      </c>
    </row>
    <row r="2125" spans="1:28" x14ac:dyDescent="0.25">
      <c r="A2125">
        <v>99912124</v>
      </c>
      <c r="B2125" t="s">
        <v>32</v>
      </c>
      <c r="C2125" t="s">
        <v>61</v>
      </c>
      <c r="D2125" t="s">
        <v>62</v>
      </c>
      <c r="E2125" t="s">
        <v>52</v>
      </c>
      <c r="F2125" t="s">
        <v>53</v>
      </c>
      <c r="G2125" t="s">
        <v>48</v>
      </c>
      <c r="H2125">
        <v>1</v>
      </c>
      <c r="K2125" t="s">
        <v>195</v>
      </c>
      <c r="L2125" t="s">
        <v>196</v>
      </c>
      <c r="M2125" t="s">
        <v>131</v>
      </c>
      <c r="N2125">
        <v>19</v>
      </c>
      <c r="P2125" t="s">
        <v>41</v>
      </c>
      <c r="Q2125" t="s">
        <v>75</v>
      </c>
      <c r="R2125" t="str">
        <f>"7521046"</f>
        <v>7521046</v>
      </c>
      <c r="S2125" t="s">
        <v>436</v>
      </c>
      <c r="T2125" t="s">
        <v>195</v>
      </c>
      <c r="U2125" t="s">
        <v>196</v>
      </c>
      <c r="V2125" t="s">
        <v>131</v>
      </c>
      <c r="W2125" t="s">
        <v>51</v>
      </c>
      <c r="X2125" t="s">
        <v>45</v>
      </c>
      <c r="Y2125" s="1">
        <v>25467</v>
      </c>
      <c r="Z2125">
        <v>1</v>
      </c>
      <c r="AA2125" t="s">
        <v>196</v>
      </c>
      <c r="AB2125" s="40" t="s">
        <v>1797</v>
      </c>
    </row>
    <row r="2126" spans="1:28" x14ac:dyDescent="0.25">
      <c r="A2126">
        <v>99912125</v>
      </c>
      <c r="B2126" t="s">
        <v>56</v>
      </c>
      <c r="C2126" t="s">
        <v>68</v>
      </c>
      <c r="D2126" t="s">
        <v>69</v>
      </c>
      <c r="G2126" t="s">
        <v>48</v>
      </c>
      <c r="H2126">
        <v>1</v>
      </c>
      <c r="K2126" t="s">
        <v>345</v>
      </c>
      <c r="L2126" t="s">
        <v>346</v>
      </c>
      <c r="M2126" t="s">
        <v>131</v>
      </c>
      <c r="N2126">
        <v>19</v>
      </c>
      <c r="P2126" t="s">
        <v>41</v>
      </c>
      <c r="Q2126" t="s">
        <v>42</v>
      </c>
      <c r="R2126" t="str">
        <f>"0580650"</f>
        <v>0580650</v>
      </c>
      <c r="S2126" t="s">
        <v>356</v>
      </c>
      <c r="T2126" t="s">
        <v>345</v>
      </c>
      <c r="U2126" t="s">
        <v>346</v>
      </c>
      <c r="V2126" t="s">
        <v>131</v>
      </c>
      <c r="W2126" t="s">
        <v>51</v>
      </c>
      <c r="X2126" t="s">
        <v>45</v>
      </c>
      <c r="Y2126" s="1">
        <v>25308</v>
      </c>
      <c r="Z2126">
        <v>2</v>
      </c>
      <c r="AA2126" t="s">
        <v>346</v>
      </c>
      <c r="AB2126" s="40" t="s">
        <v>1797</v>
      </c>
    </row>
    <row r="2127" spans="1:28" x14ac:dyDescent="0.25">
      <c r="A2127">
        <v>99912126</v>
      </c>
      <c r="B2127" t="s">
        <v>32</v>
      </c>
      <c r="C2127" t="s">
        <v>79</v>
      </c>
      <c r="D2127" t="s">
        <v>80</v>
      </c>
      <c r="G2127" t="s">
        <v>35</v>
      </c>
      <c r="H2127">
        <v>1</v>
      </c>
      <c r="K2127" t="s">
        <v>407</v>
      </c>
      <c r="L2127" t="s">
        <v>409</v>
      </c>
      <c r="M2127" t="s">
        <v>131</v>
      </c>
      <c r="N2127">
        <v>19</v>
      </c>
      <c r="P2127" t="s">
        <v>41</v>
      </c>
      <c r="Q2127" t="s">
        <v>75</v>
      </c>
      <c r="R2127" t="str">
        <f>"7053000"</f>
        <v>7053000</v>
      </c>
      <c r="S2127" t="s">
        <v>754</v>
      </c>
      <c r="T2127" t="s">
        <v>407</v>
      </c>
      <c r="U2127" t="s">
        <v>409</v>
      </c>
      <c r="V2127" t="s">
        <v>131</v>
      </c>
      <c r="W2127" t="s">
        <v>51</v>
      </c>
      <c r="X2127" t="s">
        <v>45</v>
      </c>
      <c r="Y2127" s="1">
        <v>25214</v>
      </c>
      <c r="Z2127">
        <v>1</v>
      </c>
      <c r="AA2127" t="s">
        <v>409</v>
      </c>
      <c r="AB2127" s="40" t="s">
        <v>1797</v>
      </c>
    </row>
    <row r="2128" spans="1:28" x14ac:dyDescent="0.25">
      <c r="A2128">
        <v>99912127</v>
      </c>
      <c r="B2128" t="s">
        <v>32</v>
      </c>
      <c r="C2128" t="s">
        <v>52</v>
      </c>
      <c r="D2128" t="s">
        <v>53</v>
      </c>
      <c r="G2128" t="s">
        <v>48</v>
      </c>
      <c r="H2128">
        <v>1</v>
      </c>
      <c r="K2128" t="s">
        <v>1566</v>
      </c>
      <c r="L2128" t="s">
        <v>1567</v>
      </c>
      <c r="M2128" t="s">
        <v>1548</v>
      </c>
      <c r="N2128">
        <v>19</v>
      </c>
      <c r="P2128" t="s">
        <v>41</v>
      </c>
      <c r="Q2128" t="s">
        <v>42</v>
      </c>
      <c r="R2128" t="str">
        <f>"2961001"</f>
        <v>2961001</v>
      </c>
      <c r="S2128" t="s">
        <v>1568</v>
      </c>
      <c r="T2128" t="s">
        <v>1566</v>
      </c>
      <c r="U2128" t="s">
        <v>1567</v>
      </c>
      <c r="V2128" t="s">
        <v>1548</v>
      </c>
      <c r="W2128" t="s">
        <v>51</v>
      </c>
      <c r="X2128" t="s">
        <v>45</v>
      </c>
      <c r="Y2128" s="1">
        <v>25204</v>
      </c>
      <c r="Z2128">
        <v>2</v>
      </c>
      <c r="AA2128" t="s">
        <v>1567</v>
      </c>
      <c r="AB2128" s="40" t="s">
        <v>1797</v>
      </c>
    </row>
    <row r="2129" spans="1:28" x14ac:dyDescent="0.25">
      <c r="A2129">
        <v>99912128</v>
      </c>
      <c r="B2129" t="s">
        <v>32</v>
      </c>
      <c r="C2129" t="s">
        <v>46</v>
      </c>
      <c r="D2129" t="s">
        <v>47</v>
      </c>
      <c r="G2129" t="s">
        <v>48</v>
      </c>
      <c r="H2129">
        <v>1</v>
      </c>
      <c r="K2129" t="s">
        <v>936</v>
      </c>
      <c r="L2129" t="s">
        <v>937</v>
      </c>
      <c r="M2129" t="s">
        <v>938</v>
      </c>
      <c r="N2129">
        <v>19</v>
      </c>
      <c r="P2129" t="s">
        <v>41</v>
      </c>
      <c r="Q2129" t="s">
        <v>42</v>
      </c>
      <c r="R2129" t="str">
        <f>"0161002"</f>
        <v>0161002</v>
      </c>
      <c r="S2129" t="s">
        <v>941</v>
      </c>
      <c r="T2129" t="s">
        <v>936</v>
      </c>
      <c r="U2129" t="s">
        <v>937</v>
      </c>
      <c r="V2129" t="s">
        <v>938</v>
      </c>
      <c r="W2129" t="s">
        <v>51</v>
      </c>
      <c r="X2129" t="s">
        <v>45</v>
      </c>
      <c r="Y2129" s="1">
        <v>25125</v>
      </c>
      <c r="Z2129">
        <v>2</v>
      </c>
      <c r="AA2129" t="s">
        <v>937</v>
      </c>
      <c r="AB2129" s="40" t="s">
        <v>1797</v>
      </c>
    </row>
    <row r="2130" spans="1:28" x14ac:dyDescent="0.25">
      <c r="A2130">
        <v>99912129</v>
      </c>
      <c r="B2130" t="s">
        <v>32</v>
      </c>
      <c r="C2130" t="s">
        <v>64</v>
      </c>
      <c r="D2130" t="s">
        <v>65</v>
      </c>
      <c r="G2130" t="s">
        <v>48</v>
      </c>
      <c r="H2130">
        <v>1</v>
      </c>
      <c r="K2130" t="s">
        <v>380</v>
      </c>
      <c r="L2130" t="s">
        <v>381</v>
      </c>
      <c r="M2130" t="s">
        <v>131</v>
      </c>
      <c r="N2130">
        <v>19</v>
      </c>
      <c r="P2130" t="s">
        <v>41</v>
      </c>
      <c r="Q2130" t="s">
        <v>49</v>
      </c>
      <c r="R2130" t="str">
        <f>"0591908"</f>
        <v>0591908</v>
      </c>
      <c r="S2130" t="s">
        <v>383</v>
      </c>
      <c r="T2130" t="s">
        <v>380</v>
      </c>
      <c r="U2130" t="s">
        <v>381</v>
      </c>
      <c r="V2130" t="s">
        <v>131</v>
      </c>
      <c r="W2130" t="s">
        <v>51</v>
      </c>
      <c r="X2130" t="s">
        <v>45</v>
      </c>
      <c r="Y2130" s="1">
        <v>25119</v>
      </c>
      <c r="Z2130">
        <v>2</v>
      </c>
      <c r="AA2130" t="s">
        <v>381</v>
      </c>
      <c r="AB2130" s="40" t="s">
        <v>1797</v>
      </c>
    </row>
    <row r="2131" spans="1:28" x14ac:dyDescent="0.25">
      <c r="A2131">
        <v>99912130</v>
      </c>
      <c r="B2131" t="s">
        <v>32</v>
      </c>
      <c r="C2131" t="s">
        <v>139</v>
      </c>
      <c r="D2131" t="s">
        <v>140</v>
      </c>
      <c r="G2131" t="s">
        <v>48</v>
      </c>
      <c r="H2131">
        <v>1</v>
      </c>
      <c r="K2131" t="s">
        <v>223</v>
      </c>
      <c r="L2131" t="s">
        <v>224</v>
      </c>
      <c r="M2131" t="s">
        <v>131</v>
      </c>
      <c r="N2131">
        <v>19</v>
      </c>
      <c r="P2131" t="s">
        <v>41</v>
      </c>
      <c r="Q2131" t="s">
        <v>42</v>
      </c>
      <c r="R2131" t="str">
        <f>"0590902"</f>
        <v>0590902</v>
      </c>
      <c r="S2131" t="s">
        <v>241</v>
      </c>
      <c r="T2131" t="s">
        <v>223</v>
      </c>
      <c r="U2131" t="s">
        <v>224</v>
      </c>
      <c r="V2131" t="s">
        <v>131</v>
      </c>
      <c r="W2131" t="s">
        <v>51</v>
      </c>
      <c r="X2131" t="s">
        <v>45</v>
      </c>
      <c r="Y2131" s="1">
        <v>25030</v>
      </c>
      <c r="Z2131">
        <v>2</v>
      </c>
      <c r="AA2131" t="s">
        <v>224</v>
      </c>
      <c r="AB2131" s="40" t="s">
        <v>1797</v>
      </c>
    </row>
    <row r="2132" spans="1:28" x14ac:dyDescent="0.25">
      <c r="A2132">
        <v>99912131</v>
      </c>
      <c r="B2132" t="s">
        <v>32</v>
      </c>
      <c r="C2132" t="s">
        <v>58</v>
      </c>
      <c r="D2132" t="s">
        <v>59</v>
      </c>
      <c r="G2132" t="s">
        <v>48</v>
      </c>
      <c r="H2132">
        <v>1</v>
      </c>
      <c r="K2132" t="s">
        <v>157</v>
      </c>
      <c r="L2132" t="s">
        <v>158</v>
      </c>
      <c r="M2132" t="s">
        <v>131</v>
      </c>
      <c r="N2132">
        <v>19</v>
      </c>
      <c r="P2132" t="s">
        <v>41</v>
      </c>
      <c r="Q2132" t="s">
        <v>42</v>
      </c>
      <c r="R2132" t="str">
        <f>"0580470"</f>
        <v>0580470</v>
      </c>
      <c r="S2132" t="s">
        <v>175</v>
      </c>
      <c r="T2132" t="s">
        <v>157</v>
      </c>
      <c r="U2132" t="s">
        <v>158</v>
      </c>
      <c r="V2132" t="s">
        <v>131</v>
      </c>
      <c r="W2132" t="s">
        <v>51</v>
      </c>
      <c r="X2132" t="s">
        <v>45</v>
      </c>
      <c r="Y2132" s="1">
        <v>25018</v>
      </c>
      <c r="Z2132">
        <v>2</v>
      </c>
      <c r="AA2132" t="s">
        <v>158</v>
      </c>
      <c r="AB2132" s="40" t="s">
        <v>1797</v>
      </c>
    </row>
    <row r="2133" spans="1:28" x14ac:dyDescent="0.25">
      <c r="A2133">
        <v>99912132</v>
      </c>
      <c r="B2133" t="s">
        <v>56</v>
      </c>
      <c r="C2133" t="s">
        <v>68</v>
      </c>
      <c r="D2133" t="s">
        <v>69</v>
      </c>
      <c r="G2133" t="s">
        <v>35</v>
      </c>
      <c r="H2133">
        <v>1</v>
      </c>
      <c r="I2133">
        <v>9266</v>
      </c>
      <c r="J2133" s="1">
        <v>43344</v>
      </c>
      <c r="K2133" t="s">
        <v>1325</v>
      </c>
      <c r="L2133" t="s">
        <v>1326</v>
      </c>
      <c r="M2133" t="s">
        <v>1270</v>
      </c>
      <c r="N2133">
        <v>19</v>
      </c>
      <c r="O2133" s="1">
        <v>43344</v>
      </c>
      <c r="P2133" t="s">
        <v>41</v>
      </c>
      <c r="Q2133" t="s">
        <v>42</v>
      </c>
      <c r="R2133" t="str">
        <f>"3980100"</f>
        <v>3980100</v>
      </c>
      <c r="S2133" t="s">
        <v>1328</v>
      </c>
      <c r="T2133" t="s">
        <v>1325</v>
      </c>
      <c r="U2133" t="s">
        <v>1326</v>
      </c>
      <c r="V2133" t="s">
        <v>1270</v>
      </c>
      <c r="W2133" t="s">
        <v>51</v>
      </c>
      <c r="X2133" t="s">
        <v>45</v>
      </c>
      <c r="Y2133" s="1">
        <v>24959</v>
      </c>
      <c r="Z2133">
        <v>2</v>
      </c>
      <c r="AA2133" t="s">
        <v>1326</v>
      </c>
      <c r="AB2133" s="40" t="s">
        <v>1797</v>
      </c>
    </row>
    <row r="2134" spans="1:28" x14ac:dyDescent="0.25">
      <c r="A2134">
        <v>99912133</v>
      </c>
      <c r="B2134" t="s">
        <v>32</v>
      </c>
      <c r="C2134" t="s">
        <v>46</v>
      </c>
      <c r="D2134" t="s">
        <v>47</v>
      </c>
      <c r="G2134" t="s">
        <v>48</v>
      </c>
      <c r="H2134">
        <v>1</v>
      </c>
      <c r="K2134" t="s">
        <v>157</v>
      </c>
      <c r="L2134" t="s">
        <v>158</v>
      </c>
      <c r="M2134" t="s">
        <v>131</v>
      </c>
      <c r="N2134">
        <v>19</v>
      </c>
      <c r="P2134" t="s">
        <v>41</v>
      </c>
      <c r="Q2134" t="s">
        <v>49</v>
      </c>
      <c r="R2134" t="str">
        <f>"0560011"</f>
        <v>0560011</v>
      </c>
      <c r="S2134" t="s">
        <v>185</v>
      </c>
      <c r="T2134" t="s">
        <v>157</v>
      </c>
      <c r="U2134" t="s">
        <v>158</v>
      </c>
      <c r="V2134" t="s">
        <v>131</v>
      </c>
      <c r="W2134" t="s">
        <v>51</v>
      </c>
      <c r="X2134" t="s">
        <v>45</v>
      </c>
      <c r="Y2134" s="1">
        <v>24957</v>
      </c>
      <c r="Z2134">
        <v>2</v>
      </c>
      <c r="AA2134" t="s">
        <v>158</v>
      </c>
      <c r="AB2134" s="40" t="s">
        <v>1797</v>
      </c>
    </row>
    <row r="2135" spans="1:28" x14ac:dyDescent="0.25">
      <c r="A2135">
        <v>99912134</v>
      </c>
      <c r="B2135" t="s">
        <v>32</v>
      </c>
      <c r="C2135" t="s">
        <v>52</v>
      </c>
      <c r="D2135" t="s">
        <v>53</v>
      </c>
      <c r="G2135" t="s">
        <v>48</v>
      </c>
      <c r="H2135">
        <v>1</v>
      </c>
      <c r="K2135" t="s">
        <v>223</v>
      </c>
      <c r="L2135" t="s">
        <v>224</v>
      </c>
      <c r="M2135" t="s">
        <v>131</v>
      </c>
      <c r="N2135">
        <v>19</v>
      </c>
      <c r="P2135" t="s">
        <v>41</v>
      </c>
      <c r="Q2135" t="s">
        <v>42</v>
      </c>
      <c r="R2135" t="str">
        <f>"0580206"</f>
        <v>0580206</v>
      </c>
      <c r="S2135" t="s">
        <v>237</v>
      </c>
      <c r="T2135" t="s">
        <v>223</v>
      </c>
      <c r="U2135" t="s">
        <v>224</v>
      </c>
      <c r="V2135" t="s">
        <v>131</v>
      </c>
      <c r="W2135" t="s">
        <v>51</v>
      </c>
      <c r="X2135" t="s">
        <v>45</v>
      </c>
      <c r="Y2135" s="1">
        <v>24816</v>
      </c>
      <c r="Z2135">
        <v>2</v>
      </c>
      <c r="AA2135" t="s">
        <v>224</v>
      </c>
      <c r="AB2135" s="40" t="s">
        <v>1797</v>
      </c>
    </row>
    <row r="2136" spans="1:28" x14ac:dyDescent="0.25">
      <c r="A2136">
        <v>99912135</v>
      </c>
      <c r="B2136" t="s">
        <v>32</v>
      </c>
      <c r="C2136" t="s">
        <v>79</v>
      </c>
      <c r="D2136" t="s">
        <v>80</v>
      </c>
      <c r="G2136" t="s">
        <v>48</v>
      </c>
      <c r="H2136">
        <v>1</v>
      </c>
      <c r="K2136" t="s">
        <v>154</v>
      </c>
      <c r="L2136" t="s">
        <v>155</v>
      </c>
      <c r="M2136" t="s">
        <v>131</v>
      </c>
      <c r="N2136">
        <v>19</v>
      </c>
      <c r="P2136" t="s">
        <v>41</v>
      </c>
      <c r="Q2136" t="s">
        <v>75</v>
      </c>
      <c r="R2136" t="str">
        <f>"7051022"</f>
        <v>7051022</v>
      </c>
      <c r="S2136" t="s">
        <v>153</v>
      </c>
      <c r="T2136" t="s">
        <v>154</v>
      </c>
      <c r="U2136" t="s">
        <v>155</v>
      </c>
      <c r="V2136" t="s">
        <v>131</v>
      </c>
      <c r="W2136" t="s">
        <v>51</v>
      </c>
      <c r="X2136" t="s">
        <v>45</v>
      </c>
      <c r="Y2136" s="1">
        <v>24812</v>
      </c>
      <c r="Z2136">
        <v>1</v>
      </c>
      <c r="AA2136" t="s">
        <v>155</v>
      </c>
      <c r="AB2136" s="40" t="s">
        <v>1797</v>
      </c>
    </row>
    <row r="2137" spans="1:28" x14ac:dyDescent="0.25">
      <c r="A2137">
        <v>99912136</v>
      </c>
      <c r="B2137" t="s">
        <v>56</v>
      </c>
      <c r="C2137" t="s">
        <v>79</v>
      </c>
      <c r="D2137" t="s">
        <v>80</v>
      </c>
      <c r="G2137" t="s">
        <v>48</v>
      </c>
      <c r="H2137">
        <v>1</v>
      </c>
      <c r="K2137" t="s">
        <v>431</v>
      </c>
      <c r="L2137" t="s">
        <v>196</v>
      </c>
      <c r="M2137" t="s">
        <v>131</v>
      </c>
      <c r="N2137">
        <v>19</v>
      </c>
      <c r="P2137" t="s">
        <v>41</v>
      </c>
      <c r="Q2137" t="s">
        <v>75</v>
      </c>
      <c r="R2137" t="str">
        <f>"7521012"</f>
        <v>7521012</v>
      </c>
      <c r="S2137" t="s">
        <v>432</v>
      </c>
      <c r="T2137" t="s">
        <v>431</v>
      </c>
      <c r="U2137" t="s">
        <v>196</v>
      </c>
      <c r="V2137" t="s">
        <v>131</v>
      </c>
      <c r="W2137" t="s">
        <v>51</v>
      </c>
      <c r="X2137" t="s">
        <v>45</v>
      </c>
      <c r="Y2137" s="1">
        <v>24802</v>
      </c>
      <c r="Z2137">
        <v>1</v>
      </c>
      <c r="AA2137" t="s">
        <v>196</v>
      </c>
      <c r="AB2137" s="40" t="s">
        <v>1797</v>
      </c>
    </row>
    <row r="2138" spans="1:28" x14ac:dyDescent="0.25">
      <c r="A2138">
        <v>99912137</v>
      </c>
      <c r="B2138" t="s">
        <v>32</v>
      </c>
      <c r="C2138" t="s">
        <v>85</v>
      </c>
      <c r="D2138" t="s">
        <v>86</v>
      </c>
      <c r="G2138" t="s">
        <v>48</v>
      </c>
      <c r="H2138">
        <v>1</v>
      </c>
      <c r="K2138" t="s">
        <v>1613</v>
      </c>
      <c r="L2138" t="s">
        <v>1614</v>
      </c>
      <c r="M2138" t="s">
        <v>1592</v>
      </c>
      <c r="N2138">
        <v>19</v>
      </c>
      <c r="P2138" t="s">
        <v>41</v>
      </c>
      <c r="Q2138" t="s">
        <v>42</v>
      </c>
      <c r="R2138" t="str">
        <f>"2880010"</f>
        <v>2880010</v>
      </c>
      <c r="S2138" t="s">
        <v>1623</v>
      </c>
      <c r="T2138" t="s">
        <v>1613</v>
      </c>
      <c r="U2138" t="s">
        <v>1614</v>
      </c>
      <c r="V2138" t="s">
        <v>1592</v>
      </c>
      <c r="W2138" t="s">
        <v>51</v>
      </c>
      <c r="X2138" t="s">
        <v>45</v>
      </c>
      <c r="Y2138" s="1">
        <v>24772</v>
      </c>
      <c r="Z2138">
        <v>2</v>
      </c>
      <c r="AA2138" t="s">
        <v>1614</v>
      </c>
      <c r="AB2138" s="40" t="s">
        <v>1797</v>
      </c>
    </row>
    <row r="2139" spans="1:28" x14ac:dyDescent="0.25">
      <c r="A2139">
        <v>99912138</v>
      </c>
      <c r="B2139" t="s">
        <v>32</v>
      </c>
      <c r="C2139" t="s">
        <v>139</v>
      </c>
      <c r="D2139" t="s">
        <v>140</v>
      </c>
      <c r="G2139" t="s">
        <v>35</v>
      </c>
      <c r="H2139">
        <v>1</v>
      </c>
      <c r="K2139" t="s">
        <v>877</v>
      </c>
      <c r="L2139" t="s">
        <v>878</v>
      </c>
      <c r="M2139" t="s">
        <v>131</v>
      </c>
      <c r="N2139">
        <v>19</v>
      </c>
      <c r="P2139" t="s">
        <v>41</v>
      </c>
      <c r="Q2139" t="s">
        <v>75</v>
      </c>
      <c r="R2139" t="str">
        <f>"7700025"</f>
        <v>7700025</v>
      </c>
      <c r="S2139" t="s">
        <v>880</v>
      </c>
      <c r="T2139" t="s">
        <v>877</v>
      </c>
      <c r="U2139" t="s">
        <v>878</v>
      </c>
      <c r="V2139" t="s">
        <v>131</v>
      </c>
      <c r="W2139" t="s">
        <v>51</v>
      </c>
      <c r="X2139" t="s">
        <v>45</v>
      </c>
      <c r="Y2139" s="1">
        <v>24750</v>
      </c>
      <c r="Z2139">
        <v>1</v>
      </c>
      <c r="AA2139" t="s">
        <v>878</v>
      </c>
      <c r="AB2139" s="40" t="s">
        <v>1797</v>
      </c>
    </row>
    <row r="2140" spans="1:28" x14ac:dyDescent="0.25">
      <c r="A2140">
        <v>99912139</v>
      </c>
      <c r="B2140" t="s">
        <v>32</v>
      </c>
      <c r="C2140" t="s">
        <v>52</v>
      </c>
      <c r="D2140" t="s">
        <v>53</v>
      </c>
      <c r="G2140" t="s">
        <v>48</v>
      </c>
      <c r="H2140">
        <v>1</v>
      </c>
      <c r="K2140" t="s">
        <v>162</v>
      </c>
      <c r="L2140" t="s">
        <v>158</v>
      </c>
      <c r="M2140" t="s">
        <v>131</v>
      </c>
      <c r="N2140">
        <v>19</v>
      </c>
      <c r="P2140" t="s">
        <v>41</v>
      </c>
      <c r="Q2140" t="s">
        <v>42</v>
      </c>
      <c r="R2140" t="str">
        <f>"0580330"</f>
        <v>0580330</v>
      </c>
      <c r="S2140" t="s">
        <v>176</v>
      </c>
      <c r="T2140" t="s">
        <v>162</v>
      </c>
      <c r="U2140" t="s">
        <v>158</v>
      </c>
      <c r="V2140" t="s">
        <v>131</v>
      </c>
      <c r="W2140" t="s">
        <v>51</v>
      </c>
      <c r="X2140" t="s">
        <v>45</v>
      </c>
      <c r="Y2140" s="1">
        <v>24484</v>
      </c>
      <c r="Z2140">
        <v>2</v>
      </c>
      <c r="AA2140" t="s">
        <v>158</v>
      </c>
      <c r="AB2140" s="40" t="s">
        <v>1797</v>
      </c>
    </row>
    <row r="2141" spans="1:28" x14ac:dyDescent="0.25">
      <c r="A2141">
        <v>99912140</v>
      </c>
      <c r="B2141" t="s">
        <v>56</v>
      </c>
      <c r="C2141" t="s">
        <v>79</v>
      </c>
      <c r="D2141" t="s">
        <v>80</v>
      </c>
      <c r="G2141" t="s">
        <v>48</v>
      </c>
      <c r="H2141">
        <v>1</v>
      </c>
      <c r="K2141" t="s">
        <v>223</v>
      </c>
      <c r="L2141" t="s">
        <v>224</v>
      </c>
      <c r="M2141" t="s">
        <v>131</v>
      </c>
      <c r="N2141">
        <v>19</v>
      </c>
      <c r="P2141" t="s">
        <v>41</v>
      </c>
      <c r="Q2141" t="s">
        <v>42</v>
      </c>
      <c r="R2141" t="str">
        <f>"0580207"</f>
        <v>0580207</v>
      </c>
      <c r="S2141" t="s">
        <v>229</v>
      </c>
      <c r="T2141" t="s">
        <v>223</v>
      </c>
      <c r="U2141" t="s">
        <v>224</v>
      </c>
      <c r="V2141" t="s">
        <v>131</v>
      </c>
      <c r="W2141" t="s">
        <v>51</v>
      </c>
      <c r="X2141" t="s">
        <v>45</v>
      </c>
      <c r="Y2141" s="1">
        <v>24322</v>
      </c>
      <c r="Z2141">
        <v>2</v>
      </c>
      <c r="AA2141" t="s">
        <v>224</v>
      </c>
      <c r="AB2141" s="40" t="s">
        <v>1797</v>
      </c>
    </row>
    <row r="2142" spans="1:28" x14ac:dyDescent="0.25">
      <c r="A2142">
        <v>99912141</v>
      </c>
      <c r="B2142" t="s">
        <v>32</v>
      </c>
      <c r="C2142" t="s">
        <v>64</v>
      </c>
      <c r="D2142" t="s">
        <v>65</v>
      </c>
      <c r="G2142" t="s">
        <v>35</v>
      </c>
      <c r="H2142">
        <v>1</v>
      </c>
      <c r="I2142" t="s">
        <v>307</v>
      </c>
      <c r="J2142" s="1">
        <v>43344</v>
      </c>
      <c r="K2142" t="s">
        <v>300</v>
      </c>
      <c r="L2142" t="s">
        <v>301</v>
      </c>
      <c r="M2142" t="s">
        <v>131</v>
      </c>
      <c r="N2142">
        <v>19</v>
      </c>
      <c r="O2142" s="1">
        <v>43344</v>
      </c>
      <c r="P2142" t="s">
        <v>41</v>
      </c>
      <c r="Q2142" t="s">
        <v>49</v>
      </c>
      <c r="R2142" t="str">
        <f>"0560001"</f>
        <v>0560001</v>
      </c>
      <c r="S2142" t="s">
        <v>304</v>
      </c>
      <c r="T2142" t="s">
        <v>300</v>
      </c>
      <c r="U2142" t="s">
        <v>301</v>
      </c>
      <c r="V2142" t="s">
        <v>131</v>
      </c>
      <c r="W2142" t="s">
        <v>51</v>
      </c>
      <c r="X2142" t="s">
        <v>45</v>
      </c>
      <c r="Y2142" s="1">
        <v>24218</v>
      </c>
      <c r="Z2142">
        <v>2</v>
      </c>
      <c r="AA2142" t="s">
        <v>301</v>
      </c>
      <c r="AB2142" s="40" t="s">
        <v>1797</v>
      </c>
    </row>
    <row r="2143" spans="1:28" x14ac:dyDescent="0.25">
      <c r="A2143">
        <v>99912142</v>
      </c>
      <c r="B2143" t="s">
        <v>32</v>
      </c>
      <c r="C2143" t="s">
        <v>46</v>
      </c>
      <c r="D2143" t="s">
        <v>47</v>
      </c>
      <c r="G2143" t="s">
        <v>48</v>
      </c>
      <c r="H2143">
        <v>1</v>
      </c>
      <c r="K2143" t="s">
        <v>223</v>
      </c>
      <c r="L2143" t="s">
        <v>224</v>
      </c>
      <c r="M2143" t="s">
        <v>131</v>
      </c>
      <c r="N2143">
        <v>19</v>
      </c>
      <c r="P2143" t="s">
        <v>41</v>
      </c>
      <c r="Q2143" t="s">
        <v>49</v>
      </c>
      <c r="R2143" t="str">
        <f>"0591910"</f>
        <v>0591910</v>
      </c>
      <c r="S2143" t="s">
        <v>228</v>
      </c>
      <c r="T2143" t="s">
        <v>223</v>
      </c>
      <c r="U2143" t="s">
        <v>224</v>
      </c>
      <c r="V2143" t="s">
        <v>131</v>
      </c>
      <c r="W2143" t="s">
        <v>51</v>
      </c>
      <c r="X2143" t="s">
        <v>45</v>
      </c>
      <c r="Y2143" s="1">
        <v>24065</v>
      </c>
      <c r="Z2143">
        <v>2</v>
      </c>
      <c r="AA2143" t="s">
        <v>224</v>
      </c>
      <c r="AB2143" s="40" t="s">
        <v>1797</v>
      </c>
    </row>
    <row r="2144" spans="1:28" x14ac:dyDescent="0.25">
      <c r="A2144">
        <v>99912143</v>
      </c>
      <c r="B2144" t="s">
        <v>56</v>
      </c>
      <c r="C2144" t="s">
        <v>58</v>
      </c>
      <c r="D2144" t="s">
        <v>59</v>
      </c>
      <c r="G2144" t="s">
        <v>48</v>
      </c>
      <c r="H2144">
        <v>1</v>
      </c>
      <c r="K2144" t="s">
        <v>162</v>
      </c>
      <c r="L2144" t="s">
        <v>158</v>
      </c>
      <c r="M2144" t="s">
        <v>131</v>
      </c>
      <c r="N2144">
        <v>19</v>
      </c>
      <c r="P2144" t="s">
        <v>41</v>
      </c>
      <c r="Q2144" t="s">
        <v>42</v>
      </c>
      <c r="R2144" t="str">
        <f>"0580330"</f>
        <v>0580330</v>
      </c>
      <c r="S2144" t="s">
        <v>176</v>
      </c>
      <c r="T2144" t="s">
        <v>162</v>
      </c>
      <c r="U2144" t="s">
        <v>158</v>
      </c>
      <c r="V2144" t="s">
        <v>131</v>
      </c>
      <c r="W2144" t="s">
        <v>51</v>
      </c>
      <c r="X2144" t="s">
        <v>45</v>
      </c>
      <c r="Y2144" s="1">
        <v>24024</v>
      </c>
      <c r="Z2144">
        <v>2</v>
      </c>
      <c r="AA2144" t="s">
        <v>158</v>
      </c>
      <c r="AB2144" s="40" t="s">
        <v>1797</v>
      </c>
    </row>
    <row r="2145" spans="1:28" x14ac:dyDescent="0.25">
      <c r="A2145">
        <v>99912144</v>
      </c>
      <c r="B2145" t="s">
        <v>56</v>
      </c>
      <c r="C2145" t="s">
        <v>58</v>
      </c>
      <c r="D2145" t="s">
        <v>59</v>
      </c>
      <c r="G2145" t="s">
        <v>48</v>
      </c>
      <c r="H2145">
        <v>1</v>
      </c>
      <c r="K2145" t="s">
        <v>223</v>
      </c>
      <c r="L2145" t="s">
        <v>224</v>
      </c>
      <c r="M2145" t="s">
        <v>131</v>
      </c>
      <c r="N2145">
        <v>19</v>
      </c>
      <c r="P2145" t="s">
        <v>41</v>
      </c>
      <c r="Q2145" t="s">
        <v>42</v>
      </c>
      <c r="R2145" t="str">
        <f>"0561014"</f>
        <v>0561014</v>
      </c>
      <c r="S2145" t="s">
        <v>264</v>
      </c>
      <c r="T2145" t="s">
        <v>223</v>
      </c>
      <c r="U2145" t="s">
        <v>224</v>
      </c>
      <c r="V2145" t="s">
        <v>131</v>
      </c>
      <c r="W2145" t="s">
        <v>51</v>
      </c>
      <c r="X2145" t="s">
        <v>45</v>
      </c>
      <c r="Y2145" s="1">
        <v>23882</v>
      </c>
      <c r="Z2145">
        <v>2</v>
      </c>
      <c r="AA2145" t="s">
        <v>224</v>
      </c>
      <c r="AB2145" s="40" t="s">
        <v>1797</v>
      </c>
    </row>
    <row r="2146" spans="1:28" x14ac:dyDescent="0.25">
      <c r="A2146">
        <v>99912145</v>
      </c>
      <c r="B2146" t="s">
        <v>56</v>
      </c>
      <c r="C2146" t="s">
        <v>79</v>
      </c>
      <c r="D2146" t="s">
        <v>80</v>
      </c>
      <c r="G2146" t="s">
        <v>48</v>
      </c>
      <c r="H2146">
        <v>1</v>
      </c>
      <c r="K2146" t="s">
        <v>1051</v>
      </c>
      <c r="L2146" t="s">
        <v>1052</v>
      </c>
      <c r="M2146" t="s">
        <v>1053</v>
      </c>
      <c r="N2146">
        <v>19</v>
      </c>
      <c r="P2146" t="s">
        <v>41</v>
      </c>
      <c r="Q2146" t="s">
        <v>42</v>
      </c>
      <c r="R2146" t="str">
        <f>"2061001"</f>
        <v>2061001</v>
      </c>
      <c r="S2146" t="s">
        <v>1058</v>
      </c>
      <c r="T2146" t="s">
        <v>1051</v>
      </c>
      <c r="U2146" t="s">
        <v>1052</v>
      </c>
      <c r="V2146" t="s">
        <v>1053</v>
      </c>
      <c r="W2146" t="s">
        <v>51</v>
      </c>
      <c r="X2146" t="s">
        <v>45</v>
      </c>
      <c r="Y2146" s="1">
        <v>23868</v>
      </c>
      <c r="Z2146">
        <v>2</v>
      </c>
      <c r="AA2146" t="s">
        <v>1052</v>
      </c>
      <c r="AB2146" s="40" t="s">
        <v>1797</v>
      </c>
    </row>
    <row r="2147" spans="1:28" x14ac:dyDescent="0.25">
      <c r="A2147">
        <v>99912146</v>
      </c>
      <c r="B2147" t="s">
        <v>32</v>
      </c>
      <c r="C2147" t="s">
        <v>33</v>
      </c>
      <c r="D2147" t="s">
        <v>34</v>
      </c>
      <c r="G2147" t="s">
        <v>48</v>
      </c>
      <c r="H2147">
        <v>1</v>
      </c>
      <c r="K2147" t="s">
        <v>162</v>
      </c>
      <c r="L2147" t="s">
        <v>158</v>
      </c>
      <c r="M2147" t="s">
        <v>131</v>
      </c>
      <c r="N2147">
        <v>19</v>
      </c>
      <c r="P2147" t="s">
        <v>41</v>
      </c>
      <c r="Q2147" t="s">
        <v>49</v>
      </c>
      <c r="R2147" t="str">
        <f>"0560027"</f>
        <v>0560027</v>
      </c>
      <c r="S2147" t="s">
        <v>178</v>
      </c>
      <c r="T2147" t="s">
        <v>162</v>
      </c>
      <c r="U2147" t="s">
        <v>158</v>
      </c>
      <c r="V2147" t="s">
        <v>131</v>
      </c>
      <c r="W2147" t="s">
        <v>51</v>
      </c>
      <c r="X2147" t="s">
        <v>45</v>
      </c>
      <c r="Y2147" s="1">
        <v>23612</v>
      </c>
      <c r="Z2147">
        <v>2</v>
      </c>
      <c r="AA2147" t="s">
        <v>158</v>
      </c>
      <c r="AB2147" s="40" t="s">
        <v>1797</v>
      </c>
    </row>
    <row r="2148" spans="1:28" x14ac:dyDescent="0.25">
      <c r="A2148">
        <v>99912147</v>
      </c>
      <c r="B2148" t="s">
        <v>32</v>
      </c>
      <c r="C2148" t="s">
        <v>52</v>
      </c>
      <c r="D2148" t="s">
        <v>53</v>
      </c>
      <c r="G2148" t="s">
        <v>48</v>
      </c>
      <c r="H2148">
        <v>1</v>
      </c>
      <c r="K2148" t="s">
        <v>1268</v>
      </c>
      <c r="L2148" t="s">
        <v>1269</v>
      </c>
      <c r="M2148" t="s">
        <v>1270</v>
      </c>
      <c r="N2148">
        <v>19</v>
      </c>
      <c r="P2148" t="s">
        <v>41</v>
      </c>
      <c r="Q2148" t="s">
        <v>42</v>
      </c>
      <c r="R2148" t="str">
        <f>"1990911"</f>
        <v>1990911</v>
      </c>
      <c r="S2148" t="s">
        <v>1276</v>
      </c>
      <c r="T2148" t="s">
        <v>1268</v>
      </c>
      <c r="U2148" t="s">
        <v>1269</v>
      </c>
      <c r="V2148" t="s">
        <v>1270</v>
      </c>
      <c r="W2148" t="s">
        <v>165</v>
      </c>
      <c r="X2148" t="s">
        <v>45</v>
      </c>
      <c r="Y2148" s="1">
        <v>23377</v>
      </c>
      <c r="Z2148">
        <v>2</v>
      </c>
      <c r="AA2148" t="s">
        <v>1269</v>
      </c>
      <c r="AB2148" s="40" t="s">
        <v>1797</v>
      </c>
    </row>
    <row r="2149" spans="1:28" x14ac:dyDescent="0.25">
      <c r="A2149">
        <v>99912148</v>
      </c>
      <c r="B2149" t="s">
        <v>32</v>
      </c>
      <c r="C2149" t="s">
        <v>61</v>
      </c>
      <c r="D2149" t="s">
        <v>62</v>
      </c>
      <c r="G2149" t="s">
        <v>35</v>
      </c>
      <c r="H2149">
        <v>1</v>
      </c>
      <c r="K2149" t="s">
        <v>223</v>
      </c>
      <c r="L2149" t="s">
        <v>224</v>
      </c>
      <c r="M2149" t="s">
        <v>131</v>
      </c>
      <c r="N2149">
        <v>19</v>
      </c>
      <c r="P2149" t="s">
        <v>41</v>
      </c>
      <c r="Q2149" t="s">
        <v>49</v>
      </c>
      <c r="R2149" t="str">
        <f>"0591901"</f>
        <v>0591901</v>
      </c>
      <c r="S2149" t="s">
        <v>230</v>
      </c>
      <c r="T2149" t="s">
        <v>223</v>
      </c>
      <c r="U2149" t="s">
        <v>224</v>
      </c>
      <c r="V2149" t="s">
        <v>131</v>
      </c>
      <c r="W2149" t="s">
        <v>165</v>
      </c>
      <c r="X2149" t="s">
        <v>45</v>
      </c>
      <c r="Y2149" s="1">
        <v>23346</v>
      </c>
      <c r="Z2149">
        <v>2</v>
      </c>
      <c r="AA2149" t="s">
        <v>224</v>
      </c>
      <c r="AB2149" s="40" t="s">
        <v>1797</v>
      </c>
    </row>
    <row r="2150" spans="1:28" x14ac:dyDescent="0.25">
      <c r="A2150">
        <v>99912149</v>
      </c>
      <c r="B2150" t="s">
        <v>56</v>
      </c>
      <c r="C2150" t="s">
        <v>68</v>
      </c>
      <c r="D2150" t="s">
        <v>69</v>
      </c>
      <c r="G2150" t="s">
        <v>48</v>
      </c>
      <c r="H2150">
        <v>1</v>
      </c>
      <c r="K2150" t="s">
        <v>380</v>
      </c>
      <c r="L2150" t="s">
        <v>381</v>
      </c>
      <c r="M2150" t="s">
        <v>131</v>
      </c>
      <c r="N2150">
        <v>19</v>
      </c>
      <c r="P2150" t="s">
        <v>41</v>
      </c>
      <c r="Q2150" t="s">
        <v>49</v>
      </c>
      <c r="R2150" t="str">
        <f>"0581859"</f>
        <v>0581859</v>
      </c>
      <c r="S2150" t="s">
        <v>394</v>
      </c>
      <c r="T2150" t="s">
        <v>380</v>
      </c>
      <c r="U2150" t="s">
        <v>381</v>
      </c>
      <c r="V2150" t="s">
        <v>131</v>
      </c>
      <c r="W2150" t="s">
        <v>51</v>
      </c>
      <c r="X2150" t="s">
        <v>45</v>
      </c>
      <c r="Y2150" s="1">
        <v>23069</v>
      </c>
      <c r="Z2150">
        <v>2</v>
      </c>
      <c r="AA2150" t="s">
        <v>381</v>
      </c>
      <c r="AB2150" s="40" t="s">
        <v>1797</v>
      </c>
    </row>
    <row r="2151" spans="1:28" x14ac:dyDescent="0.25">
      <c r="A2151">
        <v>99912150</v>
      </c>
      <c r="B2151" t="s">
        <v>32</v>
      </c>
      <c r="C2151" t="s">
        <v>64</v>
      </c>
      <c r="D2151" t="s">
        <v>65</v>
      </c>
      <c r="G2151" t="s">
        <v>48</v>
      </c>
      <c r="H2151">
        <v>1</v>
      </c>
      <c r="K2151" t="s">
        <v>157</v>
      </c>
      <c r="L2151" t="s">
        <v>158</v>
      </c>
      <c r="M2151" t="s">
        <v>131</v>
      </c>
      <c r="N2151">
        <v>19</v>
      </c>
      <c r="P2151" t="s">
        <v>41</v>
      </c>
      <c r="Q2151" t="s">
        <v>49</v>
      </c>
      <c r="R2151" t="str">
        <f>"0560006"</f>
        <v>0560006</v>
      </c>
      <c r="S2151" t="s">
        <v>191</v>
      </c>
      <c r="T2151" t="s">
        <v>157</v>
      </c>
      <c r="U2151" t="s">
        <v>158</v>
      </c>
      <c r="V2151" t="s">
        <v>131</v>
      </c>
      <c r="W2151" t="s">
        <v>51</v>
      </c>
      <c r="X2151" t="s">
        <v>45</v>
      </c>
      <c r="Y2151" s="1">
        <v>22910</v>
      </c>
      <c r="Z2151">
        <v>2</v>
      </c>
      <c r="AA2151" t="s">
        <v>158</v>
      </c>
      <c r="AB2151" s="40" t="s">
        <v>1797</v>
      </c>
    </row>
    <row r="2152" spans="1:28" x14ac:dyDescent="0.25">
      <c r="A2152">
        <v>99912151</v>
      </c>
      <c r="B2152" t="s">
        <v>32</v>
      </c>
      <c r="C2152" t="s">
        <v>64</v>
      </c>
      <c r="D2152" t="s">
        <v>65</v>
      </c>
      <c r="G2152" t="s">
        <v>48</v>
      </c>
      <c r="H2152">
        <v>1</v>
      </c>
      <c r="K2152" t="s">
        <v>223</v>
      </c>
      <c r="L2152" t="s">
        <v>224</v>
      </c>
      <c r="M2152" t="s">
        <v>131</v>
      </c>
      <c r="N2152">
        <v>19</v>
      </c>
      <c r="P2152" t="s">
        <v>41</v>
      </c>
      <c r="Q2152" t="s">
        <v>49</v>
      </c>
      <c r="R2152" t="str">
        <f>"0581200"</f>
        <v>0581200</v>
      </c>
      <c r="S2152" t="s">
        <v>238</v>
      </c>
      <c r="T2152" t="s">
        <v>223</v>
      </c>
      <c r="U2152" t="s">
        <v>224</v>
      </c>
      <c r="V2152" t="s">
        <v>131</v>
      </c>
      <c r="W2152" t="s">
        <v>51</v>
      </c>
      <c r="X2152" t="s">
        <v>45</v>
      </c>
      <c r="Y2152" s="1">
        <v>22751</v>
      </c>
      <c r="Z2152">
        <v>2</v>
      </c>
      <c r="AA2152" t="s">
        <v>224</v>
      </c>
      <c r="AB2152" s="40" t="s">
        <v>1797</v>
      </c>
    </row>
    <row r="2153" spans="1:28" x14ac:dyDescent="0.25">
      <c r="A2153">
        <v>99912152</v>
      </c>
      <c r="B2153" t="s">
        <v>56</v>
      </c>
      <c r="C2153" t="s">
        <v>52</v>
      </c>
      <c r="D2153" t="s">
        <v>53</v>
      </c>
      <c r="G2153" t="s">
        <v>35</v>
      </c>
      <c r="H2153">
        <v>1</v>
      </c>
      <c r="K2153" t="s">
        <v>223</v>
      </c>
      <c r="L2153" t="s">
        <v>224</v>
      </c>
      <c r="M2153" t="s">
        <v>131</v>
      </c>
      <c r="N2153">
        <v>19</v>
      </c>
      <c r="P2153" t="s">
        <v>41</v>
      </c>
      <c r="Q2153" t="s">
        <v>42</v>
      </c>
      <c r="R2153" t="str">
        <f>"0590901"</f>
        <v>0590901</v>
      </c>
      <c r="S2153" t="s">
        <v>242</v>
      </c>
      <c r="T2153" t="s">
        <v>223</v>
      </c>
      <c r="U2153" t="s">
        <v>224</v>
      </c>
      <c r="V2153" t="s">
        <v>131</v>
      </c>
      <c r="W2153" t="s">
        <v>51</v>
      </c>
      <c r="X2153" t="s">
        <v>45</v>
      </c>
      <c r="Y2153" s="1">
        <v>22732</v>
      </c>
      <c r="Z2153">
        <v>2</v>
      </c>
      <c r="AA2153" t="s">
        <v>224</v>
      </c>
      <c r="AB2153" s="40" t="s">
        <v>1797</v>
      </c>
    </row>
    <row r="2154" spans="1:28" x14ac:dyDescent="0.25">
      <c r="A2154">
        <v>99912153</v>
      </c>
      <c r="B2154" t="s">
        <v>56</v>
      </c>
      <c r="C2154" t="s">
        <v>52</v>
      </c>
      <c r="D2154" t="s">
        <v>53</v>
      </c>
      <c r="G2154" t="s">
        <v>48</v>
      </c>
      <c r="H2154">
        <v>1</v>
      </c>
      <c r="K2154" t="s">
        <v>157</v>
      </c>
      <c r="L2154" t="s">
        <v>158</v>
      </c>
      <c r="M2154" t="s">
        <v>131</v>
      </c>
      <c r="N2154">
        <v>19</v>
      </c>
      <c r="P2154" t="s">
        <v>41</v>
      </c>
      <c r="Q2154" t="s">
        <v>42</v>
      </c>
      <c r="R2154" t="str">
        <f>"0580470"</f>
        <v>0580470</v>
      </c>
      <c r="S2154" t="s">
        <v>175</v>
      </c>
      <c r="T2154" t="s">
        <v>157</v>
      </c>
      <c r="U2154" t="s">
        <v>158</v>
      </c>
      <c r="V2154" t="s">
        <v>131</v>
      </c>
      <c r="W2154" t="s">
        <v>51</v>
      </c>
      <c r="X2154" t="s">
        <v>45</v>
      </c>
      <c r="Y2154" s="1">
        <v>22082</v>
      </c>
      <c r="Z2154">
        <v>2</v>
      </c>
      <c r="AA2154" t="s">
        <v>158</v>
      </c>
      <c r="AB2154" s="40" t="s">
        <v>1797</v>
      </c>
    </row>
    <row r="2155" spans="1:28" x14ac:dyDescent="0.25">
      <c r="A2155">
        <v>99912154</v>
      </c>
      <c r="B2155" t="s">
        <v>56</v>
      </c>
      <c r="C2155" t="s">
        <v>46</v>
      </c>
      <c r="D2155" t="s">
        <v>47</v>
      </c>
      <c r="G2155" t="s">
        <v>48</v>
      </c>
      <c r="H2155">
        <v>1</v>
      </c>
      <c r="K2155" t="s">
        <v>1566</v>
      </c>
      <c r="L2155" t="s">
        <v>1567</v>
      </c>
      <c r="M2155" t="s">
        <v>1548</v>
      </c>
      <c r="N2155">
        <v>19</v>
      </c>
      <c r="P2155" t="s">
        <v>41</v>
      </c>
      <c r="Q2155" t="s">
        <v>42</v>
      </c>
      <c r="R2155" t="str">
        <f>"2961001"</f>
        <v>2961001</v>
      </c>
      <c r="S2155" t="s">
        <v>1568</v>
      </c>
      <c r="T2155" t="s">
        <v>1566</v>
      </c>
      <c r="U2155" t="s">
        <v>1567</v>
      </c>
      <c r="V2155" t="s">
        <v>1548</v>
      </c>
      <c r="W2155" t="s">
        <v>51</v>
      </c>
      <c r="X2155" t="s">
        <v>45</v>
      </c>
      <c r="Y2155" s="1">
        <v>21608</v>
      </c>
      <c r="Z2155">
        <v>2</v>
      </c>
      <c r="AA2155" t="s">
        <v>1567</v>
      </c>
      <c r="AB2155" s="40" t="s">
        <v>1797</v>
      </c>
    </row>
    <row r="2156" spans="1:28" x14ac:dyDescent="0.25">
      <c r="A2156">
        <v>99912155</v>
      </c>
      <c r="B2156" t="s">
        <v>32</v>
      </c>
      <c r="C2156" t="s">
        <v>64</v>
      </c>
      <c r="D2156" t="s">
        <v>65</v>
      </c>
      <c r="G2156" t="s">
        <v>48</v>
      </c>
      <c r="H2156">
        <v>1</v>
      </c>
      <c r="K2156" t="s">
        <v>223</v>
      </c>
      <c r="L2156" t="s">
        <v>224</v>
      </c>
      <c r="M2156" t="s">
        <v>131</v>
      </c>
      <c r="N2156">
        <v>19</v>
      </c>
      <c r="P2156" t="s">
        <v>41</v>
      </c>
      <c r="Q2156" t="s">
        <v>49</v>
      </c>
      <c r="R2156" t="str">
        <f>"0591910"</f>
        <v>0591910</v>
      </c>
      <c r="S2156" t="s">
        <v>228</v>
      </c>
      <c r="T2156" t="s">
        <v>223</v>
      </c>
      <c r="U2156" t="s">
        <v>224</v>
      </c>
      <c r="V2156" t="s">
        <v>131</v>
      </c>
      <c r="W2156" t="s">
        <v>51</v>
      </c>
      <c r="X2156" t="s">
        <v>45</v>
      </c>
      <c r="Y2156" s="1">
        <v>21599</v>
      </c>
      <c r="Z2156">
        <v>2</v>
      </c>
      <c r="AA2156" t="s">
        <v>224</v>
      </c>
      <c r="AB2156" s="40" t="s">
        <v>1797</v>
      </c>
    </row>
    <row r="2157" spans="1:28" x14ac:dyDescent="0.25">
      <c r="A2157">
        <v>99912156</v>
      </c>
      <c r="B2157" t="s">
        <v>32</v>
      </c>
      <c r="C2157" t="s">
        <v>82</v>
      </c>
      <c r="D2157" t="s">
        <v>83</v>
      </c>
      <c r="G2157" t="s">
        <v>48</v>
      </c>
      <c r="H2157">
        <v>1</v>
      </c>
      <c r="K2157" t="s">
        <v>380</v>
      </c>
      <c r="L2157" t="s">
        <v>381</v>
      </c>
      <c r="M2157" t="s">
        <v>131</v>
      </c>
      <c r="N2157">
        <v>19</v>
      </c>
      <c r="P2157" t="s">
        <v>41</v>
      </c>
      <c r="Q2157" t="s">
        <v>42</v>
      </c>
      <c r="R2157" t="str">
        <f>"0590908"</f>
        <v>0590908</v>
      </c>
      <c r="S2157" t="s">
        <v>382</v>
      </c>
      <c r="T2157" t="s">
        <v>380</v>
      </c>
      <c r="U2157" t="s">
        <v>381</v>
      </c>
      <c r="V2157" t="s">
        <v>131</v>
      </c>
      <c r="W2157" t="s">
        <v>51</v>
      </c>
      <c r="X2157" t="s">
        <v>45</v>
      </c>
      <c r="Y2157" s="1">
        <v>21361</v>
      </c>
      <c r="Z2157">
        <v>2</v>
      </c>
      <c r="AA2157" t="s">
        <v>381</v>
      </c>
      <c r="AB2157" s="40" t="s">
        <v>1797</v>
      </c>
    </row>
    <row r="2158" spans="1:28" x14ac:dyDescent="0.25">
      <c r="A2158">
        <v>99912157</v>
      </c>
      <c r="B2158" t="s">
        <v>56</v>
      </c>
      <c r="C2158" t="s">
        <v>141</v>
      </c>
      <c r="D2158" t="s">
        <v>142</v>
      </c>
      <c r="G2158" t="s">
        <v>35</v>
      </c>
      <c r="H2158">
        <v>1</v>
      </c>
      <c r="K2158" t="s">
        <v>354</v>
      </c>
      <c r="L2158" t="s">
        <v>355</v>
      </c>
      <c r="M2158" t="s">
        <v>131</v>
      </c>
      <c r="N2158">
        <v>19</v>
      </c>
      <c r="P2158" t="s">
        <v>41</v>
      </c>
      <c r="Q2158" t="s">
        <v>75</v>
      </c>
      <c r="R2158" t="str">
        <f>"7054006"</f>
        <v>7054006</v>
      </c>
      <c r="S2158" t="s">
        <v>774</v>
      </c>
      <c r="T2158" t="s">
        <v>354</v>
      </c>
      <c r="U2158" t="s">
        <v>355</v>
      </c>
      <c r="V2158" t="s">
        <v>131</v>
      </c>
      <c r="W2158" t="s">
        <v>51</v>
      </c>
      <c r="X2158" t="s">
        <v>45</v>
      </c>
      <c r="Y2158" s="1">
        <v>21272</v>
      </c>
      <c r="Z2158">
        <v>1</v>
      </c>
      <c r="AA2158" t="s">
        <v>355</v>
      </c>
      <c r="AB2158" s="40" t="s">
        <v>1797</v>
      </c>
    </row>
    <row r="2159" spans="1:28" x14ac:dyDescent="0.25">
      <c r="A2159">
        <v>99912158</v>
      </c>
      <c r="B2159" t="s">
        <v>56</v>
      </c>
      <c r="C2159" t="s">
        <v>52</v>
      </c>
      <c r="D2159" t="s">
        <v>53</v>
      </c>
      <c r="G2159" t="s">
        <v>48</v>
      </c>
      <c r="H2159">
        <v>1</v>
      </c>
      <c r="K2159" t="s">
        <v>157</v>
      </c>
      <c r="L2159" t="s">
        <v>158</v>
      </c>
      <c r="M2159" t="s">
        <v>131</v>
      </c>
      <c r="N2159">
        <v>19</v>
      </c>
      <c r="P2159" t="s">
        <v>41</v>
      </c>
      <c r="Q2159" t="s">
        <v>49</v>
      </c>
      <c r="R2159" t="str">
        <f>"0560011"</f>
        <v>0560011</v>
      </c>
      <c r="S2159" t="s">
        <v>185</v>
      </c>
      <c r="T2159" t="s">
        <v>157</v>
      </c>
      <c r="U2159" t="s">
        <v>158</v>
      </c>
      <c r="V2159" t="s">
        <v>131</v>
      </c>
      <c r="W2159" t="s">
        <v>51</v>
      </c>
      <c r="X2159" t="s">
        <v>45</v>
      </c>
      <c r="Y2159" s="1">
        <v>19584</v>
      </c>
      <c r="Z2159">
        <v>2</v>
      </c>
      <c r="AA2159" t="s">
        <v>158</v>
      </c>
      <c r="AB2159" s="40" t="s">
        <v>1797</v>
      </c>
    </row>
    <row r="2160" spans="1:28" x14ac:dyDescent="0.25">
      <c r="A2160">
        <v>99912159</v>
      </c>
      <c r="B2160" t="s">
        <v>32</v>
      </c>
      <c r="C2160" t="s">
        <v>46</v>
      </c>
      <c r="D2160" t="s">
        <v>47</v>
      </c>
      <c r="G2160" t="s">
        <v>35</v>
      </c>
      <c r="H2160">
        <v>1</v>
      </c>
      <c r="K2160" t="s">
        <v>157</v>
      </c>
      <c r="L2160" t="s">
        <v>158</v>
      </c>
      <c r="M2160" t="s">
        <v>131</v>
      </c>
      <c r="N2160">
        <v>19</v>
      </c>
      <c r="P2160" t="s">
        <v>41</v>
      </c>
      <c r="Q2160" t="s">
        <v>49</v>
      </c>
      <c r="R2160" t="str">
        <f>"0580505"</f>
        <v>0580505</v>
      </c>
      <c r="S2160" t="s">
        <v>168</v>
      </c>
      <c r="T2160" t="s">
        <v>157</v>
      </c>
      <c r="U2160" t="s">
        <v>158</v>
      </c>
      <c r="V2160" t="s">
        <v>131</v>
      </c>
      <c r="W2160" t="s">
        <v>51</v>
      </c>
      <c r="X2160" t="s">
        <v>45</v>
      </c>
      <c r="Z2160">
        <v>2</v>
      </c>
      <c r="AA2160" t="s">
        <v>158</v>
      </c>
      <c r="AB2160" s="40" t="s">
        <v>1797</v>
      </c>
    </row>
    <row r="2161" spans="1:28" x14ac:dyDescent="0.25">
      <c r="A2161">
        <v>99912160</v>
      </c>
      <c r="B2161" t="s">
        <v>56</v>
      </c>
      <c r="C2161" t="s">
        <v>33</v>
      </c>
      <c r="D2161" t="s">
        <v>34</v>
      </c>
      <c r="G2161" t="s">
        <v>35</v>
      </c>
      <c r="H2161">
        <v>1</v>
      </c>
      <c r="I2161" t="s">
        <v>321</v>
      </c>
      <c r="J2161" s="1">
        <v>43344</v>
      </c>
      <c r="K2161" t="s">
        <v>300</v>
      </c>
      <c r="L2161" t="s">
        <v>301</v>
      </c>
      <c r="M2161" t="s">
        <v>131</v>
      </c>
      <c r="N2161">
        <v>19</v>
      </c>
      <c r="O2161" s="1">
        <v>43344</v>
      </c>
      <c r="P2161" t="s">
        <v>41</v>
      </c>
      <c r="Q2161" t="s">
        <v>42</v>
      </c>
      <c r="R2161" t="str">
        <f>"0580176"</f>
        <v>0580176</v>
      </c>
      <c r="S2161" t="s">
        <v>305</v>
      </c>
      <c r="T2161" t="s">
        <v>300</v>
      </c>
      <c r="U2161" t="s">
        <v>301</v>
      </c>
      <c r="V2161" t="s">
        <v>131</v>
      </c>
      <c r="W2161" t="s">
        <v>44</v>
      </c>
      <c r="X2161" t="s">
        <v>45</v>
      </c>
      <c r="Z2161">
        <v>2</v>
      </c>
      <c r="AA2161" t="s">
        <v>301</v>
      </c>
      <c r="AB2161" s="40" t="s">
        <v>1797</v>
      </c>
    </row>
    <row r="2162" spans="1:28" x14ac:dyDescent="0.25">
      <c r="A2162">
        <v>99912161</v>
      </c>
      <c r="B2162" t="s">
        <v>32</v>
      </c>
      <c r="C2162" t="s">
        <v>52</v>
      </c>
      <c r="D2162" t="s">
        <v>53</v>
      </c>
      <c r="G2162" t="s">
        <v>35</v>
      </c>
      <c r="H2162">
        <v>1</v>
      </c>
      <c r="I2162" t="s">
        <v>343</v>
      </c>
      <c r="J2162" s="1">
        <v>43344</v>
      </c>
      <c r="K2162" t="s">
        <v>300</v>
      </c>
      <c r="L2162" t="s">
        <v>301</v>
      </c>
      <c r="M2162" t="s">
        <v>131</v>
      </c>
      <c r="N2162">
        <v>19</v>
      </c>
      <c r="O2162" s="1">
        <v>43344</v>
      </c>
      <c r="P2162" t="s">
        <v>41</v>
      </c>
      <c r="Q2162" t="s">
        <v>49</v>
      </c>
      <c r="R2162" t="str">
        <f>"0560001"</f>
        <v>0560001</v>
      </c>
      <c r="S2162" t="s">
        <v>304</v>
      </c>
      <c r="T2162" t="s">
        <v>300</v>
      </c>
      <c r="U2162" t="s">
        <v>301</v>
      </c>
      <c r="V2162" t="s">
        <v>131</v>
      </c>
      <c r="W2162" t="s">
        <v>44</v>
      </c>
      <c r="X2162" t="s">
        <v>45</v>
      </c>
      <c r="Z2162">
        <v>2</v>
      </c>
      <c r="AA2162" t="s">
        <v>301</v>
      </c>
      <c r="AB2162" s="40" t="s">
        <v>1797</v>
      </c>
    </row>
    <row r="2163" spans="1:28" x14ac:dyDescent="0.25">
      <c r="A2163">
        <v>99912162</v>
      </c>
      <c r="B2163" t="s">
        <v>32</v>
      </c>
      <c r="C2163" t="s">
        <v>61</v>
      </c>
      <c r="D2163" t="s">
        <v>62</v>
      </c>
      <c r="G2163" t="s">
        <v>35</v>
      </c>
      <c r="H2163">
        <v>1</v>
      </c>
      <c r="I2163">
        <v>9288</v>
      </c>
      <c r="J2163" s="1">
        <v>43344</v>
      </c>
      <c r="K2163" t="s">
        <v>1198</v>
      </c>
      <c r="L2163" t="s">
        <v>1199</v>
      </c>
      <c r="M2163" t="s">
        <v>1130</v>
      </c>
      <c r="N2163">
        <v>19</v>
      </c>
      <c r="O2163" s="1">
        <v>43344</v>
      </c>
      <c r="P2163" t="s">
        <v>41</v>
      </c>
      <c r="Q2163" t="s">
        <v>75</v>
      </c>
      <c r="R2163" t="str">
        <f>"7311002"</f>
        <v>7311002</v>
      </c>
      <c r="S2163" t="s">
        <v>1203</v>
      </c>
      <c r="T2163" t="s">
        <v>1198</v>
      </c>
      <c r="U2163" t="s">
        <v>1199</v>
      </c>
      <c r="V2163" t="s">
        <v>1130</v>
      </c>
      <c r="W2163" t="s">
        <v>51</v>
      </c>
      <c r="X2163" t="s">
        <v>45</v>
      </c>
      <c r="Z2163">
        <v>1</v>
      </c>
      <c r="AA2163" t="s">
        <v>1199</v>
      </c>
      <c r="AB2163" s="40" t="s">
        <v>1797</v>
      </c>
    </row>
    <row r="2164" spans="1:28" x14ac:dyDescent="0.25">
      <c r="A2164">
        <v>99912163</v>
      </c>
      <c r="B2164" t="s">
        <v>32</v>
      </c>
      <c r="C2164" t="s">
        <v>46</v>
      </c>
      <c r="D2164" t="s">
        <v>47</v>
      </c>
      <c r="G2164" t="s">
        <v>48</v>
      </c>
      <c r="H2164">
        <v>2</v>
      </c>
      <c r="K2164" t="s">
        <v>129</v>
      </c>
      <c r="L2164" t="s">
        <v>130</v>
      </c>
      <c r="M2164" t="s">
        <v>131</v>
      </c>
      <c r="N2164">
        <v>20</v>
      </c>
      <c r="P2164" t="s">
        <v>41</v>
      </c>
      <c r="Q2164" t="s">
        <v>42</v>
      </c>
      <c r="R2164" t="str">
        <f>"0590905"</f>
        <v>0590905</v>
      </c>
      <c r="S2164" t="s">
        <v>133</v>
      </c>
      <c r="T2164" t="s">
        <v>129</v>
      </c>
      <c r="U2164" t="s">
        <v>130</v>
      </c>
      <c r="V2164" t="s">
        <v>131</v>
      </c>
      <c r="W2164" t="s">
        <v>51</v>
      </c>
      <c r="X2164" t="s">
        <v>45</v>
      </c>
      <c r="Y2164" s="1">
        <v>36311</v>
      </c>
      <c r="Z2164">
        <v>2</v>
      </c>
      <c r="AA2164" t="s">
        <v>130</v>
      </c>
      <c r="AB2164" s="40" t="s">
        <v>1798</v>
      </c>
    </row>
    <row r="2165" spans="1:28" x14ac:dyDescent="0.25">
      <c r="A2165">
        <v>99912164</v>
      </c>
      <c r="B2165" t="s">
        <v>32</v>
      </c>
      <c r="C2165" t="s">
        <v>90</v>
      </c>
      <c r="D2165" t="s">
        <v>91</v>
      </c>
      <c r="G2165" t="s">
        <v>35</v>
      </c>
      <c r="H2165">
        <v>1</v>
      </c>
      <c r="I2165" t="s">
        <v>1474</v>
      </c>
      <c r="J2165" s="1">
        <v>43355</v>
      </c>
      <c r="K2165" t="s">
        <v>1334</v>
      </c>
      <c r="L2165" t="s">
        <v>1335</v>
      </c>
      <c r="M2165" t="s">
        <v>1270</v>
      </c>
      <c r="N2165">
        <v>20</v>
      </c>
      <c r="O2165" s="1">
        <v>43355</v>
      </c>
      <c r="P2165" t="s">
        <v>41</v>
      </c>
      <c r="Q2165" t="s">
        <v>95</v>
      </c>
      <c r="R2165" t="str">
        <f>"7391001"</f>
        <v>7391001</v>
      </c>
      <c r="S2165" t="s">
        <v>1468</v>
      </c>
      <c r="T2165" t="s">
        <v>1334</v>
      </c>
      <c r="U2165" t="s">
        <v>1335</v>
      </c>
      <c r="V2165" t="s">
        <v>1270</v>
      </c>
      <c r="W2165" t="s">
        <v>44</v>
      </c>
      <c r="X2165" t="s">
        <v>45</v>
      </c>
      <c r="Y2165" s="1">
        <v>34311</v>
      </c>
      <c r="Z2165">
        <v>1</v>
      </c>
      <c r="AA2165" t="s">
        <v>1335</v>
      </c>
      <c r="AB2165" s="40" t="s">
        <v>1798</v>
      </c>
    </row>
    <row r="2166" spans="1:28" x14ac:dyDescent="0.25">
      <c r="A2166">
        <v>99912165</v>
      </c>
      <c r="B2166" t="s">
        <v>32</v>
      </c>
      <c r="C2166" t="s">
        <v>64</v>
      </c>
      <c r="D2166" t="s">
        <v>65</v>
      </c>
      <c r="G2166" t="s">
        <v>35</v>
      </c>
      <c r="H2166">
        <v>1</v>
      </c>
      <c r="I2166">
        <v>0</v>
      </c>
      <c r="J2166" s="1">
        <v>43344</v>
      </c>
      <c r="K2166" t="s">
        <v>936</v>
      </c>
      <c r="L2166" t="s">
        <v>937</v>
      </c>
      <c r="M2166" t="s">
        <v>938</v>
      </c>
      <c r="N2166">
        <v>20</v>
      </c>
      <c r="O2166" s="1">
        <v>43344</v>
      </c>
      <c r="P2166" t="s">
        <v>41</v>
      </c>
      <c r="Q2166" t="s">
        <v>49</v>
      </c>
      <c r="R2166" t="str">
        <f>"0160075"</f>
        <v>0160075</v>
      </c>
      <c r="S2166" t="s">
        <v>939</v>
      </c>
      <c r="T2166" t="s">
        <v>936</v>
      </c>
      <c r="U2166" t="s">
        <v>937</v>
      </c>
      <c r="V2166" t="s">
        <v>938</v>
      </c>
      <c r="W2166" t="s">
        <v>44</v>
      </c>
      <c r="X2166" t="s">
        <v>45</v>
      </c>
      <c r="Y2166" s="1">
        <v>34014</v>
      </c>
      <c r="Z2166">
        <v>2</v>
      </c>
      <c r="AA2166" t="s">
        <v>937</v>
      </c>
      <c r="AB2166" s="40" t="s">
        <v>1798</v>
      </c>
    </row>
    <row r="2167" spans="1:28" x14ac:dyDescent="0.25">
      <c r="A2167">
        <v>99912166</v>
      </c>
      <c r="B2167" t="s">
        <v>32</v>
      </c>
      <c r="C2167" t="s">
        <v>143</v>
      </c>
      <c r="D2167" t="s">
        <v>144</v>
      </c>
      <c r="G2167" t="s">
        <v>35</v>
      </c>
      <c r="H2167">
        <v>1</v>
      </c>
      <c r="K2167" t="s">
        <v>1426</v>
      </c>
      <c r="L2167" t="s">
        <v>1427</v>
      </c>
      <c r="M2167" t="s">
        <v>1270</v>
      </c>
      <c r="N2167">
        <v>20</v>
      </c>
      <c r="P2167" t="s">
        <v>41</v>
      </c>
      <c r="Q2167" t="s">
        <v>75</v>
      </c>
      <c r="R2167" t="str">
        <f>"7192000"</f>
        <v>7192000</v>
      </c>
      <c r="S2167" t="s">
        <v>1429</v>
      </c>
      <c r="T2167" t="s">
        <v>1426</v>
      </c>
      <c r="U2167" t="s">
        <v>1427</v>
      </c>
      <c r="V2167" t="s">
        <v>1270</v>
      </c>
      <c r="W2167" t="s">
        <v>51</v>
      </c>
      <c r="X2167" t="s">
        <v>45</v>
      </c>
      <c r="Y2167" s="1">
        <v>33729</v>
      </c>
      <c r="Z2167">
        <v>1</v>
      </c>
      <c r="AA2167" t="s">
        <v>1427</v>
      </c>
      <c r="AB2167" s="40" t="s">
        <v>1798</v>
      </c>
    </row>
    <row r="2168" spans="1:28" x14ac:dyDescent="0.25">
      <c r="A2168">
        <v>99912167</v>
      </c>
      <c r="B2168" t="s">
        <v>56</v>
      </c>
      <c r="C2168" t="s">
        <v>46</v>
      </c>
      <c r="D2168" t="s">
        <v>47</v>
      </c>
      <c r="G2168" t="s">
        <v>35</v>
      </c>
      <c r="H2168">
        <v>1</v>
      </c>
      <c r="I2168">
        <v>0</v>
      </c>
      <c r="J2168" s="1">
        <v>43344</v>
      </c>
      <c r="K2168" t="s">
        <v>223</v>
      </c>
      <c r="L2168" t="s">
        <v>224</v>
      </c>
      <c r="M2168" t="s">
        <v>131</v>
      </c>
      <c r="N2168">
        <v>20</v>
      </c>
      <c r="O2168" s="1">
        <v>43344</v>
      </c>
      <c r="P2168" t="s">
        <v>41</v>
      </c>
      <c r="Q2168" t="s">
        <v>49</v>
      </c>
      <c r="R2168" t="str">
        <f>"0560034"</f>
        <v>0560034</v>
      </c>
      <c r="S2168" t="s">
        <v>266</v>
      </c>
      <c r="T2168" t="s">
        <v>223</v>
      </c>
      <c r="U2168" t="s">
        <v>224</v>
      </c>
      <c r="V2168" t="s">
        <v>131</v>
      </c>
      <c r="W2168" t="s">
        <v>44</v>
      </c>
      <c r="X2168" t="s">
        <v>45</v>
      </c>
      <c r="Y2168" s="1">
        <v>33054</v>
      </c>
      <c r="Z2168">
        <v>2</v>
      </c>
      <c r="AA2168" t="s">
        <v>224</v>
      </c>
      <c r="AB2168" s="40" t="s">
        <v>1798</v>
      </c>
    </row>
    <row r="2169" spans="1:28" x14ac:dyDescent="0.25">
      <c r="A2169">
        <v>99912168</v>
      </c>
      <c r="B2169" t="s">
        <v>32</v>
      </c>
      <c r="C2169" t="s">
        <v>82</v>
      </c>
      <c r="D2169" t="s">
        <v>83</v>
      </c>
      <c r="G2169" t="s">
        <v>35</v>
      </c>
      <c r="H2169">
        <v>1</v>
      </c>
      <c r="I2169" t="s">
        <v>967</v>
      </c>
      <c r="J2169" s="1">
        <v>43372</v>
      </c>
      <c r="K2169" t="s">
        <v>947</v>
      </c>
      <c r="L2169" t="s">
        <v>948</v>
      </c>
      <c r="M2169" t="s">
        <v>938</v>
      </c>
      <c r="N2169">
        <v>20</v>
      </c>
      <c r="O2169" s="1">
        <v>43372</v>
      </c>
      <c r="P2169" t="s">
        <v>41</v>
      </c>
      <c r="Q2169" t="s">
        <v>42</v>
      </c>
      <c r="R2169" t="str">
        <f>"0680030"</f>
        <v>0680030</v>
      </c>
      <c r="S2169" t="s">
        <v>951</v>
      </c>
      <c r="T2169" t="s">
        <v>947</v>
      </c>
      <c r="U2169" t="s">
        <v>948</v>
      </c>
      <c r="V2169" t="s">
        <v>938</v>
      </c>
      <c r="W2169" t="s">
        <v>51</v>
      </c>
      <c r="X2169" t="s">
        <v>45</v>
      </c>
      <c r="Y2169" s="1">
        <v>32962</v>
      </c>
      <c r="Z2169">
        <v>2</v>
      </c>
      <c r="AA2169" t="s">
        <v>948</v>
      </c>
      <c r="AB2169" s="40" t="s">
        <v>1798</v>
      </c>
    </row>
    <row r="2170" spans="1:28" x14ac:dyDescent="0.25">
      <c r="A2170">
        <v>99912169</v>
      </c>
      <c r="B2170" t="s">
        <v>32</v>
      </c>
      <c r="C2170" t="s">
        <v>90</v>
      </c>
      <c r="D2170" t="s">
        <v>91</v>
      </c>
      <c r="G2170" t="s">
        <v>35</v>
      </c>
      <c r="H2170">
        <v>1</v>
      </c>
      <c r="I2170">
        <v>1779864</v>
      </c>
      <c r="J2170" s="1">
        <v>43344</v>
      </c>
      <c r="K2170" t="s">
        <v>268</v>
      </c>
      <c r="L2170" t="s">
        <v>269</v>
      </c>
      <c r="M2170" t="s">
        <v>131</v>
      </c>
      <c r="N2170">
        <v>20</v>
      </c>
      <c r="P2170" t="s">
        <v>41</v>
      </c>
      <c r="Q2170" t="s">
        <v>95</v>
      </c>
      <c r="R2170" t="str">
        <f>"7052189"</f>
        <v>7052189</v>
      </c>
      <c r="S2170" t="s">
        <v>585</v>
      </c>
      <c r="T2170" t="s">
        <v>268</v>
      </c>
      <c r="U2170" t="s">
        <v>269</v>
      </c>
      <c r="V2170" t="s">
        <v>131</v>
      </c>
      <c r="W2170" t="s">
        <v>55</v>
      </c>
      <c r="X2170" t="s">
        <v>45</v>
      </c>
      <c r="Y2170" s="1">
        <v>32958</v>
      </c>
      <c r="Z2170">
        <v>1</v>
      </c>
      <c r="AA2170" t="s">
        <v>269</v>
      </c>
      <c r="AB2170" s="40" t="s">
        <v>1798</v>
      </c>
    </row>
    <row r="2171" spans="1:28" x14ac:dyDescent="0.25">
      <c r="A2171">
        <v>99912170</v>
      </c>
      <c r="B2171" t="s">
        <v>32</v>
      </c>
      <c r="C2171" t="s">
        <v>90</v>
      </c>
      <c r="D2171" t="s">
        <v>91</v>
      </c>
      <c r="G2171" t="s">
        <v>35</v>
      </c>
      <c r="H2171">
        <v>1</v>
      </c>
      <c r="I2171">
        <v>1779623</v>
      </c>
      <c r="J2171" s="1">
        <v>43344</v>
      </c>
      <c r="K2171" t="s">
        <v>268</v>
      </c>
      <c r="L2171" t="s">
        <v>269</v>
      </c>
      <c r="M2171" t="s">
        <v>131</v>
      </c>
      <c r="N2171">
        <v>20</v>
      </c>
      <c r="P2171" t="s">
        <v>41</v>
      </c>
      <c r="Q2171" t="s">
        <v>95</v>
      </c>
      <c r="R2171" t="str">
        <f>"7052189"</f>
        <v>7052189</v>
      </c>
      <c r="S2171" t="s">
        <v>585</v>
      </c>
      <c r="T2171" t="s">
        <v>268</v>
      </c>
      <c r="U2171" t="s">
        <v>269</v>
      </c>
      <c r="V2171" t="s">
        <v>131</v>
      </c>
      <c r="W2171" t="s">
        <v>51</v>
      </c>
      <c r="X2171" t="s">
        <v>45</v>
      </c>
      <c r="Y2171" s="1">
        <v>32903</v>
      </c>
      <c r="Z2171">
        <v>1</v>
      </c>
      <c r="AA2171" t="s">
        <v>269</v>
      </c>
      <c r="AB2171" s="40" t="s">
        <v>1798</v>
      </c>
    </row>
    <row r="2172" spans="1:28" x14ac:dyDescent="0.25">
      <c r="A2172">
        <v>99912171</v>
      </c>
      <c r="B2172" t="s">
        <v>32</v>
      </c>
      <c r="C2172" t="s">
        <v>111</v>
      </c>
      <c r="D2172" t="s">
        <v>112</v>
      </c>
      <c r="G2172" t="s">
        <v>35</v>
      </c>
      <c r="H2172">
        <v>1</v>
      </c>
      <c r="I2172" t="s">
        <v>1678</v>
      </c>
      <c r="J2172" s="1">
        <v>43344</v>
      </c>
      <c r="K2172" t="s">
        <v>1619</v>
      </c>
      <c r="L2172" t="s">
        <v>1620</v>
      </c>
      <c r="M2172" t="s">
        <v>1592</v>
      </c>
      <c r="N2172">
        <v>20</v>
      </c>
      <c r="O2172" s="1">
        <v>43344</v>
      </c>
      <c r="P2172" t="s">
        <v>41</v>
      </c>
      <c r="Q2172" t="s">
        <v>75</v>
      </c>
      <c r="R2172" t="str">
        <f>"7281002"</f>
        <v>7281002</v>
      </c>
      <c r="S2172" t="s">
        <v>1660</v>
      </c>
      <c r="T2172" t="s">
        <v>1619</v>
      </c>
      <c r="U2172" t="s">
        <v>1620</v>
      </c>
      <c r="V2172" t="s">
        <v>1592</v>
      </c>
      <c r="W2172" t="s">
        <v>51</v>
      </c>
      <c r="X2172" t="s">
        <v>45</v>
      </c>
      <c r="Y2172" s="1">
        <v>32682</v>
      </c>
      <c r="Z2172">
        <v>1</v>
      </c>
      <c r="AA2172" t="s">
        <v>1620</v>
      </c>
      <c r="AB2172" s="40" t="s">
        <v>1798</v>
      </c>
    </row>
    <row r="2173" spans="1:28" x14ac:dyDescent="0.25">
      <c r="A2173">
        <v>99912172</v>
      </c>
      <c r="B2173" t="s">
        <v>56</v>
      </c>
      <c r="C2173" t="s">
        <v>33</v>
      </c>
      <c r="D2173" t="s">
        <v>34</v>
      </c>
      <c r="G2173" t="s">
        <v>35</v>
      </c>
      <c r="H2173">
        <v>1</v>
      </c>
      <c r="I2173" t="s">
        <v>208</v>
      </c>
      <c r="J2173" s="1">
        <v>43357</v>
      </c>
      <c r="K2173" t="s">
        <v>162</v>
      </c>
      <c r="L2173" t="s">
        <v>158</v>
      </c>
      <c r="M2173" t="s">
        <v>131</v>
      </c>
      <c r="N2173">
        <v>20</v>
      </c>
      <c r="O2173" s="1">
        <v>43357</v>
      </c>
      <c r="P2173" t="s">
        <v>41</v>
      </c>
      <c r="Q2173" t="s">
        <v>42</v>
      </c>
      <c r="R2173" t="str">
        <f>"0580320"</f>
        <v>0580320</v>
      </c>
      <c r="S2173" t="s">
        <v>164</v>
      </c>
      <c r="T2173" t="s">
        <v>162</v>
      </c>
      <c r="U2173" t="s">
        <v>158</v>
      </c>
      <c r="V2173" t="s">
        <v>131</v>
      </c>
      <c r="W2173" t="s">
        <v>44</v>
      </c>
      <c r="X2173" t="s">
        <v>45</v>
      </c>
      <c r="Y2173" s="1">
        <v>32646</v>
      </c>
      <c r="Z2173">
        <v>2</v>
      </c>
      <c r="AA2173" t="s">
        <v>158</v>
      </c>
      <c r="AB2173" s="40" t="s">
        <v>1798</v>
      </c>
    </row>
    <row r="2174" spans="1:28" x14ac:dyDescent="0.25">
      <c r="A2174">
        <v>99912173</v>
      </c>
      <c r="B2174" t="s">
        <v>32</v>
      </c>
      <c r="C2174" t="s">
        <v>64</v>
      </c>
      <c r="D2174" t="s">
        <v>65</v>
      </c>
      <c r="G2174" t="s">
        <v>35</v>
      </c>
      <c r="H2174">
        <v>1</v>
      </c>
      <c r="I2174" t="s">
        <v>695</v>
      </c>
      <c r="J2174" s="1">
        <v>43344</v>
      </c>
      <c r="K2174" t="s">
        <v>268</v>
      </c>
      <c r="L2174" t="s">
        <v>269</v>
      </c>
      <c r="M2174" t="s">
        <v>131</v>
      </c>
      <c r="N2174">
        <v>20</v>
      </c>
      <c r="O2174" s="1">
        <v>43344</v>
      </c>
      <c r="P2174" t="s">
        <v>41</v>
      </c>
      <c r="Q2174" t="s">
        <v>75</v>
      </c>
      <c r="R2174" t="str">
        <f>"7052010"</f>
        <v>7052010</v>
      </c>
      <c r="S2174" t="s">
        <v>615</v>
      </c>
      <c r="T2174" t="s">
        <v>268</v>
      </c>
      <c r="U2174" t="s">
        <v>269</v>
      </c>
      <c r="V2174" t="s">
        <v>131</v>
      </c>
      <c r="W2174" t="s">
        <v>44</v>
      </c>
      <c r="X2174" t="s">
        <v>45</v>
      </c>
      <c r="Y2174" s="1">
        <v>32389</v>
      </c>
      <c r="Z2174">
        <v>1</v>
      </c>
      <c r="AA2174" t="s">
        <v>269</v>
      </c>
      <c r="AB2174" s="40" t="s">
        <v>1798</v>
      </c>
    </row>
    <row r="2175" spans="1:28" x14ac:dyDescent="0.25">
      <c r="A2175">
        <v>99912174</v>
      </c>
      <c r="B2175" t="s">
        <v>32</v>
      </c>
      <c r="C2175" t="s">
        <v>90</v>
      </c>
      <c r="D2175" t="s">
        <v>91</v>
      </c>
      <c r="G2175" t="s">
        <v>35</v>
      </c>
      <c r="H2175">
        <v>1</v>
      </c>
      <c r="I2175">
        <v>1779526</v>
      </c>
      <c r="J2175" s="1">
        <v>43344</v>
      </c>
      <c r="K2175" t="s">
        <v>268</v>
      </c>
      <c r="L2175" t="s">
        <v>269</v>
      </c>
      <c r="M2175" t="s">
        <v>131</v>
      </c>
      <c r="N2175">
        <v>20</v>
      </c>
      <c r="P2175" t="s">
        <v>41</v>
      </c>
      <c r="Q2175" t="s">
        <v>95</v>
      </c>
      <c r="R2175" t="str">
        <f>"7052189"</f>
        <v>7052189</v>
      </c>
      <c r="S2175" t="s">
        <v>585</v>
      </c>
      <c r="T2175" t="s">
        <v>268</v>
      </c>
      <c r="U2175" t="s">
        <v>269</v>
      </c>
      <c r="V2175" t="s">
        <v>131</v>
      </c>
      <c r="W2175" t="s">
        <v>51</v>
      </c>
      <c r="X2175" t="s">
        <v>45</v>
      </c>
      <c r="Y2175" s="1">
        <v>32293</v>
      </c>
      <c r="Z2175">
        <v>1</v>
      </c>
      <c r="AA2175" t="s">
        <v>269</v>
      </c>
      <c r="AB2175" s="40" t="s">
        <v>1798</v>
      </c>
    </row>
    <row r="2176" spans="1:28" x14ac:dyDescent="0.25">
      <c r="A2176">
        <v>99912175</v>
      </c>
      <c r="B2176" t="s">
        <v>32</v>
      </c>
      <c r="C2176" t="s">
        <v>90</v>
      </c>
      <c r="D2176" t="s">
        <v>91</v>
      </c>
      <c r="G2176" t="s">
        <v>35</v>
      </c>
      <c r="H2176">
        <v>1</v>
      </c>
      <c r="I2176">
        <v>1779739</v>
      </c>
      <c r="J2176" s="1">
        <v>43344</v>
      </c>
      <c r="K2176" t="s">
        <v>268</v>
      </c>
      <c r="L2176" t="s">
        <v>269</v>
      </c>
      <c r="M2176" t="s">
        <v>131</v>
      </c>
      <c r="N2176">
        <v>20</v>
      </c>
      <c r="P2176" t="s">
        <v>41</v>
      </c>
      <c r="Q2176" t="s">
        <v>95</v>
      </c>
      <c r="R2176" t="str">
        <f>"7052189"</f>
        <v>7052189</v>
      </c>
      <c r="S2176" t="s">
        <v>585</v>
      </c>
      <c r="T2176" t="s">
        <v>268</v>
      </c>
      <c r="U2176" t="s">
        <v>269</v>
      </c>
      <c r="V2176" t="s">
        <v>131</v>
      </c>
      <c r="W2176" t="s">
        <v>51</v>
      </c>
      <c r="X2176" t="s">
        <v>45</v>
      </c>
      <c r="Y2176" s="1">
        <v>32236</v>
      </c>
      <c r="Z2176">
        <v>1</v>
      </c>
      <c r="AA2176" t="s">
        <v>269</v>
      </c>
      <c r="AB2176" s="40" t="s">
        <v>1798</v>
      </c>
    </row>
    <row r="2177" spans="1:28" x14ac:dyDescent="0.25">
      <c r="A2177">
        <v>99912176</v>
      </c>
      <c r="B2177" t="s">
        <v>56</v>
      </c>
      <c r="C2177" t="s">
        <v>68</v>
      </c>
      <c r="D2177" t="s">
        <v>69</v>
      </c>
      <c r="G2177" t="s">
        <v>35</v>
      </c>
      <c r="H2177">
        <v>1</v>
      </c>
      <c r="I2177">
        <v>9267</v>
      </c>
      <c r="J2177" s="1">
        <v>43344</v>
      </c>
      <c r="K2177" t="s">
        <v>1325</v>
      </c>
      <c r="L2177" t="s">
        <v>1326</v>
      </c>
      <c r="M2177" t="s">
        <v>1270</v>
      </c>
      <c r="N2177">
        <v>20</v>
      </c>
      <c r="O2177" s="1">
        <v>43344</v>
      </c>
      <c r="P2177" t="s">
        <v>41</v>
      </c>
      <c r="Q2177" t="s">
        <v>49</v>
      </c>
      <c r="R2177" t="str">
        <f>"3981100"</f>
        <v>3981100</v>
      </c>
      <c r="S2177" t="s">
        <v>1327</v>
      </c>
      <c r="T2177" t="s">
        <v>1325</v>
      </c>
      <c r="U2177" t="s">
        <v>1326</v>
      </c>
      <c r="V2177" t="s">
        <v>1270</v>
      </c>
      <c r="W2177" t="s">
        <v>51</v>
      </c>
      <c r="X2177" t="s">
        <v>45</v>
      </c>
      <c r="Y2177" s="1">
        <v>32042</v>
      </c>
      <c r="Z2177">
        <v>2</v>
      </c>
      <c r="AA2177" t="s">
        <v>1326</v>
      </c>
      <c r="AB2177" s="40" t="s">
        <v>1798</v>
      </c>
    </row>
    <row r="2178" spans="1:28" x14ac:dyDescent="0.25">
      <c r="A2178">
        <v>99912177</v>
      </c>
      <c r="B2178" t="s">
        <v>32</v>
      </c>
      <c r="C2178" t="s">
        <v>64</v>
      </c>
      <c r="D2178" t="s">
        <v>65</v>
      </c>
      <c r="G2178" t="s">
        <v>35</v>
      </c>
      <c r="H2178">
        <v>1</v>
      </c>
      <c r="I2178" t="s">
        <v>287</v>
      </c>
      <c r="J2178" s="1">
        <v>43360</v>
      </c>
      <c r="K2178" t="s">
        <v>223</v>
      </c>
      <c r="L2178" t="s">
        <v>224</v>
      </c>
      <c r="M2178" t="s">
        <v>131</v>
      </c>
      <c r="N2178">
        <v>20</v>
      </c>
      <c r="O2178" s="1">
        <v>43360</v>
      </c>
      <c r="P2178" t="s">
        <v>41</v>
      </c>
      <c r="Q2178" t="s">
        <v>42</v>
      </c>
      <c r="R2178" t="str">
        <f>"0580204"</f>
        <v>0580204</v>
      </c>
      <c r="S2178" t="s">
        <v>235</v>
      </c>
      <c r="T2178" t="s">
        <v>223</v>
      </c>
      <c r="U2178" t="s">
        <v>224</v>
      </c>
      <c r="V2178" t="s">
        <v>131</v>
      </c>
      <c r="W2178" t="s">
        <v>55</v>
      </c>
      <c r="X2178" t="s">
        <v>45</v>
      </c>
      <c r="Y2178" s="1">
        <v>31896</v>
      </c>
      <c r="Z2178">
        <v>2</v>
      </c>
      <c r="AA2178" t="s">
        <v>224</v>
      </c>
      <c r="AB2178" s="40" t="s">
        <v>1798</v>
      </c>
    </row>
    <row r="2179" spans="1:28" x14ac:dyDescent="0.25">
      <c r="A2179">
        <v>99912178</v>
      </c>
      <c r="B2179" t="s">
        <v>32</v>
      </c>
      <c r="C2179" t="s">
        <v>71</v>
      </c>
      <c r="D2179" t="s">
        <v>72</v>
      </c>
      <c r="G2179" t="s">
        <v>48</v>
      </c>
      <c r="H2179">
        <v>1</v>
      </c>
      <c r="K2179" t="s">
        <v>268</v>
      </c>
      <c r="L2179" t="s">
        <v>269</v>
      </c>
      <c r="M2179" t="s">
        <v>131</v>
      </c>
      <c r="N2179">
        <v>20</v>
      </c>
      <c r="P2179" t="s">
        <v>41</v>
      </c>
      <c r="Q2179" t="s">
        <v>75</v>
      </c>
      <c r="R2179" t="str">
        <f>"7052034"</f>
        <v>7052034</v>
      </c>
      <c r="S2179" t="s">
        <v>604</v>
      </c>
      <c r="T2179" t="s">
        <v>268</v>
      </c>
      <c r="U2179" t="s">
        <v>269</v>
      </c>
      <c r="V2179" t="s">
        <v>131</v>
      </c>
      <c r="W2179" t="s">
        <v>51</v>
      </c>
      <c r="X2179" t="s">
        <v>45</v>
      </c>
      <c r="Y2179" s="1">
        <v>31723</v>
      </c>
      <c r="Z2179">
        <v>1</v>
      </c>
      <c r="AA2179" t="s">
        <v>269</v>
      </c>
      <c r="AB2179" s="40" t="s">
        <v>1798</v>
      </c>
    </row>
    <row r="2180" spans="1:28" x14ac:dyDescent="0.25">
      <c r="A2180">
        <v>99912179</v>
      </c>
      <c r="B2180" t="s">
        <v>56</v>
      </c>
      <c r="C2180" t="s">
        <v>79</v>
      </c>
      <c r="D2180" t="s">
        <v>80</v>
      </c>
      <c r="G2180" t="s">
        <v>35</v>
      </c>
      <c r="H2180">
        <v>1</v>
      </c>
      <c r="I2180">
        <v>12334</v>
      </c>
      <c r="J2180" s="1">
        <v>43344</v>
      </c>
      <c r="K2180" t="s">
        <v>354</v>
      </c>
      <c r="L2180" t="s">
        <v>355</v>
      </c>
      <c r="M2180" t="s">
        <v>131</v>
      </c>
      <c r="N2180">
        <v>20</v>
      </c>
      <c r="O2180" s="1">
        <v>43344</v>
      </c>
      <c r="P2180" t="s">
        <v>41</v>
      </c>
      <c r="Q2180" t="s">
        <v>75</v>
      </c>
      <c r="R2180" t="str">
        <f>"7054000"</f>
        <v>7054000</v>
      </c>
      <c r="S2180" t="s">
        <v>786</v>
      </c>
      <c r="T2180" t="s">
        <v>354</v>
      </c>
      <c r="U2180" t="s">
        <v>355</v>
      </c>
      <c r="V2180" t="s">
        <v>131</v>
      </c>
      <c r="W2180" t="s">
        <v>44</v>
      </c>
      <c r="X2180" t="s">
        <v>45</v>
      </c>
      <c r="Y2180" s="1">
        <v>31617</v>
      </c>
      <c r="Z2180">
        <v>1</v>
      </c>
      <c r="AA2180" t="s">
        <v>355</v>
      </c>
      <c r="AB2180" s="40" t="s">
        <v>1798</v>
      </c>
    </row>
    <row r="2181" spans="1:28" x14ac:dyDescent="0.25">
      <c r="A2181">
        <v>99912180</v>
      </c>
      <c r="B2181" t="s">
        <v>32</v>
      </c>
      <c r="C2181" t="s">
        <v>58</v>
      </c>
      <c r="D2181" t="s">
        <v>59</v>
      </c>
      <c r="G2181" t="s">
        <v>35</v>
      </c>
      <c r="H2181">
        <v>1</v>
      </c>
      <c r="I2181" t="s">
        <v>1148</v>
      </c>
      <c r="J2181" s="1">
        <v>43355</v>
      </c>
      <c r="K2181" t="s">
        <v>1128</v>
      </c>
      <c r="L2181" t="s">
        <v>1129</v>
      </c>
      <c r="M2181" t="s">
        <v>1130</v>
      </c>
      <c r="N2181">
        <v>20</v>
      </c>
      <c r="O2181" s="1">
        <v>43355</v>
      </c>
      <c r="P2181" t="s">
        <v>41</v>
      </c>
      <c r="Q2181" t="s">
        <v>42</v>
      </c>
      <c r="R2181" t="str">
        <f>"3180010"</f>
        <v>3180010</v>
      </c>
      <c r="S2181" t="s">
        <v>1132</v>
      </c>
      <c r="T2181" t="s">
        <v>1128</v>
      </c>
      <c r="U2181" t="s">
        <v>1129</v>
      </c>
      <c r="V2181" t="s">
        <v>1130</v>
      </c>
      <c r="W2181" t="s">
        <v>55</v>
      </c>
      <c r="X2181" t="s">
        <v>45</v>
      </c>
      <c r="Y2181" s="1">
        <v>31474</v>
      </c>
      <c r="Z2181">
        <v>2</v>
      </c>
      <c r="AA2181" t="s">
        <v>1129</v>
      </c>
      <c r="AB2181" s="40" t="s">
        <v>1798</v>
      </c>
    </row>
    <row r="2182" spans="1:28" x14ac:dyDescent="0.25">
      <c r="A2182">
        <v>99912181</v>
      </c>
      <c r="B2182" t="s">
        <v>32</v>
      </c>
      <c r="C2182" t="s">
        <v>90</v>
      </c>
      <c r="D2182" t="s">
        <v>91</v>
      </c>
      <c r="G2182" t="s">
        <v>35</v>
      </c>
      <c r="H2182">
        <v>1</v>
      </c>
      <c r="I2182">
        <v>1779435</v>
      </c>
      <c r="J2182" s="1">
        <v>43344</v>
      </c>
      <c r="K2182" t="s">
        <v>268</v>
      </c>
      <c r="L2182" t="s">
        <v>269</v>
      </c>
      <c r="M2182" t="s">
        <v>131</v>
      </c>
      <c r="N2182">
        <v>20</v>
      </c>
      <c r="P2182" t="s">
        <v>41</v>
      </c>
      <c r="Q2182" t="s">
        <v>95</v>
      </c>
      <c r="R2182" t="str">
        <f>"7052189"</f>
        <v>7052189</v>
      </c>
      <c r="S2182" t="s">
        <v>585</v>
      </c>
      <c r="T2182" t="s">
        <v>268</v>
      </c>
      <c r="U2182" t="s">
        <v>269</v>
      </c>
      <c r="V2182" t="s">
        <v>131</v>
      </c>
      <c r="W2182" t="s">
        <v>51</v>
      </c>
      <c r="X2182" t="s">
        <v>45</v>
      </c>
      <c r="Y2182" s="1">
        <v>31426</v>
      </c>
      <c r="Z2182">
        <v>1</v>
      </c>
      <c r="AA2182" t="s">
        <v>269</v>
      </c>
      <c r="AB2182" s="40" t="s">
        <v>1798</v>
      </c>
    </row>
    <row r="2183" spans="1:28" x14ac:dyDescent="0.25">
      <c r="A2183">
        <v>99912182</v>
      </c>
      <c r="B2183" t="s">
        <v>32</v>
      </c>
      <c r="C2183" t="s">
        <v>52</v>
      </c>
      <c r="D2183" t="s">
        <v>53</v>
      </c>
      <c r="G2183" t="s">
        <v>35</v>
      </c>
      <c r="H2183">
        <v>1</v>
      </c>
      <c r="I2183" t="s">
        <v>272</v>
      </c>
      <c r="J2183" s="1">
        <v>43344</v>
      </c>
      <c r="K2183" t="s">
        <v>223</v>
      </c>
      <c r="L2183" t="s">
        <v>224</v>
      </c>
      <c r="M2183" t="s">
        <v>131</v>
      </c>
      <c r="N2183">
        <v>20</v>
      </c>
      <c r="O2183" s="1">
        <v>43344</v>
      </c>
      <c r="P2183" t="s">
        <v>41</v>
      </c>
      <c r="Q2183" t="s">
        <v>49</v>
      </c>
      <c r="R2183" t="str">
        <f>"0581204"</f>
        <v>0581204</v>
      </c>
      <c r="S2183" t="s">
        <v>249</v>
      </c>
      <c r="T2183" t="s">
        <v>223</v>
      </c>
      <c r="U2183" t="s">
        <v>224</v>
      </c>
      <c r="V2183" t="s">
        <v>131</v>
      </c>
      <c r="W2183" t="s">
        <v>44</v>
      </c>
      <c r="X2183" t="s">
        <v>45</v>
      </c>
      <c r="Y2183" s="1">
        <v>31413</v>
      </c>
      <c r="Z2183">
        <v>2</v>
      </c>
      <c r="AA2183" t="s">
        <v>224</v>
      </c>
      <c r="AB2183" s="40" t="s">
        <v>1798</v>
      </c>
    </row>
    <row r="2184" spans="1:28" x14ac:dyDescent="0.25">
      <c r="A2184">
        <v>99912183</v>
      </c>
      <c r="B2184" t="s">
        <v>32</v>
      </c>
      <c r="C2184" t="s">
        <v>90</v>
      </c>
      <c r="D2184" t="s">
        <v>91</v>
      </c>
      <c r="G2184" t="s">
        <v>48</v>
      </c>
      <c r="H2184">
        <v>1</v>
      </c>
      <c r="K2184" t="s">
        <v>268</v>
      </c>
      <c r="L2184" t="s">
        <v>269</v>
      </c>
      <c r="M2184" t="s">
        <v>131</v>
      </c>
      <c r="N2184">
        <v>20</v>
      </c>
      <c r="P2184" t="s">
        <v>41</v>
      </c>
      <c r="Q2184" t="s">
        <v>95</v>
      </c>
      <c r="R2184" t="str">
        <f>"7052117"</f>
        <v>7052117</v>
      </c>
      <c r="S2184" t="s">
        <v>654</v>
      </c>
      <c r="T2184" t="s">
        <v>268</v>
      </c>
      <c r="U2184" t="s">
        <v>269</v>
      </c>
      <c r="V2184" t="s">
        <v>131</v>
      </c>
      <c r="W2184" t="s">
        <v>51</v>
      </c>
      <c r="X2184" t="s">
        <v>45</v>
      </c>
      <c r="Y2184" s="1">
        <v>31224</v>
      </c>
      <c r="Z2184">
        <v>1</v>
      </c>
      <c r="AA2184" t="s">
        <v>269</v>
      </c>
      <c r="AB2184" s="40" t="s">
        <v>1798</v>
      </c>
    </row>
    <row r="2185" spans="1:28" x14ac:dyDescent="0.25">
      <c r="A2185">
        <v>99912184</v>
      </c>
      <c r="B2185" t="s">
        <v>32</v>
      </c>
      <c r="C2185" t="s">
        <v>71</v>
      </c>
      <c r="D2185" t="s">
        <v>72</v>
      </c>
      <c r="G2185" t="s">
        <v>48</v>
      </c>
      <c r="H2185">
        <v>1</v>
      </c>
      <c r="K2185" t="s">
        <v>667</v>
      </c>
      <c r="L2185" t="s">
        <v>669</v>
      </c>
      <c r="M2185" t="s">
        <v>670</v>
      </c>
      <c r="N2185">
        <v>20</v>
      </c>
      <c r="P2185" t="s">
        <v>41</v>
      </c>
      <c r="Q2185" t="s">
        <v>75</v>
      </c>
      <c r="R2185" t="str">
        <f>"7501000"</f>
        <v>7501000</v>
      </c>
      <c r="S2185" t="s">
        <v>668</v>
      </c>
      <c r="T2185" t="s">
        <v>667</v>
      </c>
      <c r="U2185" t="s">
        <v>669</v>
      </c>
      <c r="V2185" t="s">
        <v>670</v>
      </c>
      <c r="W2185" t="s">
        <v>51</v>
      </c>
      <c r="X2185" t="s">
        <v>45</v>
      </c>
      <c r="Y2185" s="1">
        <v>31048</v>
      </c>
      <c r="Z2185">
        <v>1</v>
      </c>
      <c r="AA2185" t="s">
        <v>669</v>
      </c>
      <c r="AB2185" s="40" t="s">
        <v>1798</v>
      </c>
    </row>
    <row r="2186" spans="1:28" x14ac:dyDescent="0.25">
      <c r="A2186">
        <v>99912185</v>
      </c>
      <c r="B2186" t="s">
        <v>32</v>
      </c>
      <c r="C2186" t="s">
        <v>46</v>
      </c>
      <c r="D2186" t="s">
        <v>47</v>
      </c>
      <c r="G2186" t="s">
        <v>48</v>
      </c>
      <c r="H2186">
        <v>1</v>
      </c>
      <c r="K2186" t="s">
        <v>300</v>
      </c>
      <c r="L2186" t="s">
        <v>301</v>
      </c>
      <c r="M2186" t="s">
        <v>131</v>
      </c>
      <c r="N2186">
        <v>20</v>
      </c>
      <c r="P2186" t="s">
        <v>41</v>
      </c>
      <c r="Q2186" t="s">
        <v>49</v>
      </c>
      <c r="R2186" t="str">
        <f>"0560029"</f>
        <v>0560029</v>
      </c>
      <c r="S2186" t="s">
        <v>309</v>
      </c>
      <c r="T2186" t="s">
        <v>300</v>
      </c>
      <c r="U2186" t="s">
        <v>301</v>
      </c>
      <c r="V2186" t="s">
        <v>131</v>
      </c>
      <c r="W2186" t="s">
        <v>51</v>
      </c>
      <c r="X2186" t="s">
        <v>45</v>
      </c>
      <c r="Y2186" s="1">
        <v>30981</v>
      </c>
      <c r="Z2186">
        <v>2</v>
      </c>
      <c r="AA2186" t="s">
        <v>301</v>
      </c>
      <c r="AB2186" s="40" t="s">
        <v>1798</v>
      </c>
    </row>
    <row r="2187" spans="1:28" x14ac:dyDescent="0.25">
      <c r="A2187">
        <v>99912186</v>
      </c>
      <c r="B2187" t="s">
        <v>32</v>
      </c>
      <c r="C2187" t="s">
        <v>139</v>
      </c>
      <c r="D2187" t="s">
        <v>140</v>
      </c>
      <c r="G2187" t="s">
        <v>35</v>
      </c>
      <c r="H2187">
        <v>1</v>
      </c>
      <c r="K2187" t="s">
        <v>1546</v>
      </c>
      <c r="L2187" t="s">
        <v>1547</v>
      </c>
      <c r="M2187" t="s">
        <v>1548</v>
      </c>
      <c r="N2187">
        <v>20</v>
      </c>
      <c r="P2187" t="s">
        <v>41</v>
      </c>
      <c r="Q2187" t="s">
        <v>49</v>
      </c>
      <c r="R2187" t="str">
        <f>"1081010"</f>
        <v>1081010</v>
      </c>
      <c r="S2187" t="s">
        <v>1552</v>
      </c>
      <c r="T2187" t="s">
        <v>1546</v>
      </c>
      <c r="U2187" t="s">
        <v>1547</v>
      </c>
      <c r="V2187" t="s">
        <v>1548</v>
      </c>
      <c r="W2187" t="s">
        <v>51</v>
      </c>
      <c r="X2187" t="s">
        <v>45</v>
      </c>
      <c r="Y2187" s="1">
        <v>30913</v>
      </c>
      <c r="Z2187">
        <v>2</v>
      </c>
      <c r="AA2187" t="s">
        <v>1547</v>
      </c>
      <c r="AB2187" s="40" t="s">
        <v>1798</v>
      </c>
    </row>
    <row r="2188" spans="1:28" x14ac:dyDescent="0.25">
      <c r="A2188">
        <v>99912187</v>
      </c>
      <c r="B2188" t="s">
        <v>56</v>
      </c>
      <c r="C2188" t="s">
        <v>61</v>
      </c>
      <c r="D2188" t="s">
        <v>62</v>
      </c>
      <c r="G2188" t="s">
        <v>35</v>
      </c>
      <c r="H2188">
        <v>1</v>
      </c>
      <c r="I2188">
        <v>20586</v>
      </c>
      <c r="J2188" s="1">
        <v>43344</v>
      </c>
      <c r="K2188" t="s">
        <v>129</v>
      </c>
      <c r="L2188" t="s">
        <v>130</v>
      </c>
      <c r="M2188" t="s">
        <v>131</v>
      </c>
      <c r="N2188">
        <v>20</v>
      </c>
      <c r="O2188" s="1">
        <v>43344</v>
      </c>
      <c r="P2188" t="s">
        <v>41</v>
      </c>
      <c r="Q2188" t="s">
        <v>49</v>
      </c>
      <c r="R2188" t="str">
        <f>"0591905"</f>
        <v>0591905</v>
      </c>
      <c r="S2188" t="s">
        <v>135</v>
      </c>
      <c r="T2188" t="s">
        <v>129</v>
      </c>
      <c r="U2188" t="s">
        <v>130</v>
      </c>
      <c r="V2188" t="s">
        <v>131</v>
      </c>
      <c r="W2188" t="s">
        <v>44</v>
      </c>
      <c r="X2188" t="s">
        <v>45</v>
      </c>
      <c r="Y2188" s="1">
        <v>30804</v>
      </c>
      <c r="Z2188">
        <v>2</v>
      </c>
      <c r="AA2188" t="s">
        <v>130</v>
      </c>
      <c r="AB2188" s="40" t="s">
        <v>1798</v>
      </c>
    </row>
    <row r="2189" spans="1:28" x14ac:dyDescent="0.25">
      <c r="A2189">
        <v>99912188</v>
      </c>
      <c r="B2189" t="s">
        <v>32</v>
      </c>
      <c r="C2189" t="s">
        <v>90</v>
      </c>
      <c r="D2189" t="s">
        <v>91</v>
      </c>
      <c r="G2189" t="s">
        <v>48</v>
      </c>
      <c r="H2189">
        <v>4</v>
      </c>
      <c r="K2189" t="s">
        <v>1426</v>
      </c>
      <c r="L2189" t="s">
        <v>1427</v>
      </c>
      <c r="M2189" t="s">
        <v>1270</v>
      </c>
      <c r="N2189">
        <v>20</v>
      </c>
      <c r="P2189" t="s">
        <v>41</v>
      </c>
      <c r="Q2189" t="s">
        <v>95</v>
      </c>
      <c r="R2189" t="str">
        <f>"7192017"</f>
        <v>7192017</v>
      </c>
      <c r="S2189" t="s">
        <v>1433</v>
      </c>
      <c r="T2189" t="s">
        <v>1426</v>
      </c>
      <c r="U2189" t="s">
        <v>1427</v>
      </c>
      <c r="V2189" t="s">
        <v>1270</v>
      </c>
      <c r="W2189" t="s">
        <v>51</v>
      </c>
      <c r="X2189" t="s">
        <v>45</v>
      </c>
      <c r="Y2189" s="1">
        <v>30800</v>
      </c>
      <c r="Z2189">
        <v>1</v>
      </c>
      <c r="AA2189" t="s">
        <v>1427</v>
      </c>
      <c r="AB2189" s="40" t="s">
        <v>1798</v>
      </c>
    </row>
    <row r="2190" spans="1:28" x14ac:dyDescent="0.25">
      <c r="A2190">
        <v>99912189</v>
      </c>
      <c r="B2190" t="s">
        <v>56</v>
      </c>
      <c r="C2190" t="s">
        <v>61</v>
      </c>
      <c r="D2190" t="s">
        <v>62</v>
      </c>
      <c r="G2190" t="s">
        <v>48</v>
      </c>
      <c r="H2190">
        <v>1</v>
      </c>
      <c r="K2190" t="s">
        <v>162</v>
      </c>
      <c r="L2190" t="s">
        <v>158</v>
      </c>
      <c r="M2190" t="s">
        <v>131</v>
      </c>
      <c r="N2190">
        <v>20</v>
      </c>
      <c r="P2190" t="s">
        <v>41</v>
      </c>
      <c r="Q2190" t="s">
        <v>42</v>
      </c>
      <c r="R2190" t="str">
        <f>"0580310"</f>
        <v>0580310</v>
      </c>
      <c r="S2190" t="s">
        <v>173</v>
      </c>
      <c r="T2190" t="s">
        <v>162</v>
      </c>
      <c r="U2190" t="s">
        <v>158</v>
      </c>
      <c r="V2190" t="s">
        <v>131</v>
      </c>
      <c r="W2190" t="s">
        <v>51</v>
      </c>
      <c r="X2190" t="s">
        <v>45</v>
      </c>
      <c r="Y2190" s="1">
        <v>30774</v>
      </c>
      <c r="Z2190">
        <v>2</v>
      </c>
      <c r="AA2190" t="s">
        <v>158</v>
      </c>
      <c r="AB2190" s="40" t="s">
        <v>1798</v>
      </c>
    </row>
    <row r="2191" spans="1:28" x14ac:dyDescent="0.25">
      <c r="A2191">
        <v>99912190</v>
      </c>
      <c r="B2191" t="s">
        <v>32</v>
      </c>
      <c r="C2191" t="s">
        <v>71</v>
      </c>
      <c r="D2191" t="s">
        <v>72</v>
      </c>
      <c r="G2191" t="s">
        <v>48</v>
      </c>
      <c r="H2191">
        <v>1</v>
      </c>
      <c r="K2191" t="s">
        <v>877</v>
      </c>
      <c r="L2191" t="s">
        <v>878</v>
      </c>
      <c r="M2191" t="s">
        <v>131</v>
      </c>
      <c r="N2191">
        <v>20</v>
      </c>
      <c r="P2191" t="s">
        <v>41</v>
      </c>
      <c r="Q2191" t="s">
        <v>75</v>
      </c>
      <c r="R2191" t="str">
        <f>"7541008"</f>
        <v>7541008</v>
      </c>
      <c r="S2191" t="s">
        <v>879</v>
      </c>
      <c r="T2191" t="s">
        <v>877</v>
      </c>
      <c r="U2191" t="s">
        <v>878</v>
      </c>
      <c r="V2191" t="s">
        <v>131</v>
      </c>
      <c r="W2191" t="s">
        <v>51</v>
      </c>
      <c r="X2191" t="s">
        <v>45</v>
      </c>
      <c r="Y2191" s="1">
        <v>30682</v>
      </c>
      <c r="Z2191">
        <v>1</v>
      </c>
      <c r="AA2191" t="s">
        <v>878</v>
      </c>
      <c r="AB2191" s="40" t="s">
        <v>1798</v>
      </c>
    </row>
    <row r="2192" spans="1:28" x14ac:dyDescent="0.25">
      <c r="A2192">
        <v>99912191</v>
      </c>
      <c r="B2192" t="s">
        <v>32</v>
      </c>
      <c r="C2192" t="s">
        <v>52</v>
      </c>
      <c r="D2192" t="s">
        <v>53</v>
      </c>
      <c r="G2192" t="s">
        <v>48</v>
      </c>
      <c r="H2192">
        <v>1</v>
      </c>
      <c r="K2192" t="s">
        <v>300</v>
      </c>
      <c r="L2192" t="s">
        <v>301</v>
      </c>
      <c r="M2192" t="s">
        <v>131</v>
      </c>
      <c r="N2192">
        <v>20</v>
      </c>
      <c r="P2192" t="s">
        <v>41</v>
      </c>
      <c r="Q2192" t="s">
        <v>49</v>
      </c>
      <c r="R2192" t="str">
        <f>"0560022"</f>
        <v>0560022</v>
      </c>
      <c r="S2192" t="s">
        <v>314</v>
      </c>
      <c r="T2192" t="s">
        <v>300</v>
      </c>
      <c r="U2192" t="s">
        <v>301</v>
      </c>
      <c r="V2192" t="s">
        <v>131</v>
      </c>
      <c r="W2192" t="s">
        <v>51</v>
      </c>
      <c r="X2192" t="s">
        <v>45</v>
      </c>
      <c r="Y2192" s="1">
        <v>30648</v>
      </c>
      <c r="Z2192">
        <v>2</v>
      </c>
      <c r="AA2192" t="s">
        <v>301</v>
      </c>
      <c r="AB2192" s="40" t="s">
        <v>1798</v>
      </c>
    </row>
    <row r="2193" spans="1:28" x14ac:dyDescent="0.25">
      <c r="A2193">
        <v>99912192</v>
      </c>
      <c r="B2193" t="s">
        <v>56</v>
      </c>
      <c r="C2193" t="s">
        <v>52</v>
      </c>
      <c r="D2193" t="s">
        <v>53</v>
      </c>
      <c r="G2193" t="s">
        <v>35</v>
      </c>
      <c r="H2193">
        <v>1</v>
      </c>
      <c r="I2193" t="s">
        <v>320</v>
      </c>
      <c r="J2193" s="1">
        <v>43344</v>
      </c>
      <c r="K2193" t="s">
        <v>300</v>
      </c>
      <c r="L2193" t="s">
        <v>301</v>
      </c>
      <c r="M2193" t="s">
        <v>131</v>
      </c>
      <c r="N2193">
        <v>20</v>
      </c>
      <c r="O2193" s="1">
        <v>43344</v>
      </c>
      <c r="P2193" t="s">
        <v>41</v>
      </c>
      <c r="Q2193" t="s">
        <v>42</v>
      </c>
      <c r="R2193" t="str">
        <f>"0580106"</f>
        <v>0580106</v>
      </c>
      <c r="S2193" t="s">
        <v>306</v>
      </c>
      <c r="T2193" t="s">
        <v>300</v>
      </c>
      <c r="U2193" t="s">
        <v>301</v>
      </c>
      <c r="V2193" t="s">
        <v>131</v>
      </c>
      <c r="W2193" t="s">
        <v>51</v>
      </c>
      <c r="X2193" t="s">
        <v>45</v>
      </c>
      <c r="Y2193" s="1">
        <v>30601</v>
      </c>
      <c r="Z2193">
        <v>2</v>
      </c>
      <c r="AA2193" t="s">
        <v>301</v>
      </c>
      <c r="AB2193" s="40" t="s">
        <v>1798</v>
      </c>
    </row>
    <row r="2194" spans="1:28" x14ac:dyDescent="0.25">
      <c r="A2194">
        <v>99912193</v>
      </c>
      <c r="B2194" t="s">
        <v>32</v>
      </c>
      <c r="C2194" t="s">
        <v>46</v>
      </c>
      <c r="D2194" t="s">
        <v>47</v>
      </c>
      <c r="G2194" t="s">
        <v>48</v>
      </c>
      <c r="H2194">
        <v>1</v>
      </c>
      <c r="K2194" t="s">
        <v>223</v>
      </c>
      <c r="L2194" t="s">
        <v>224</v>
      </c>
      <c r="M2194" t="s">
        <v>131</v>
      </c>
      <c r="N2194">
        <v>20</v>
      </c>
      <c r="P2194" t="s">
        <v>41</v>
      </c>
      <c r="Q2194" t="s">
        <v>42</v>
      </c>
      <c r="R2194" t="str">
        <f>"0561014"</f>
        <v>0561014</v>
      </c>
      <c r="S2194" t="s">
        <v>264</v>
      </c>
      <c r="T2194" t="s">
        <v>223</v>
      </c>
      <c r="U2194" t="s">
        <v>224</v>
      </c>
      <c r="V2194" t="s">
        <v>131</v>
      </c>
      <c r="W2194" t="s">
        <v>51</v>
      </c>
      <c r="X2194" t="s">
        <v>45</v>
      </c>
      <c r="Y2194" s="1">
        <v>30587</v>
      </c>
      <c r="Z2194">
        <v>2</v>
      </c>
      <c r="AA2194" t="s">
        <v>224</v>
      </c>
      <c r="AB2194" s="40" t="s">
        <v>1798</v>
      </c>
    </row>
    <row r="2195" spans="1:28" x14ac:dyDescent="0.25">
      <c r="A2195">
        <v>99912194</v>
      </c>
      <c r="B2195" t="s">
        <v>32</v>
      </c>
      <c r="C2195" t="s">
        <v>46</v>
      </c>
      <c r="D2195" t="s">
        <v>47</v>
      </c>
      <c r="G2195" t="s">
        <v>48</v>
      </c>
      <c r="H2195">
        <v>1</v>
      </c>
      <c r="K2195" t="s">
        <v>1613</v>
      </c>
      <c r="L2195" t="s">
        <v>1614</v>
      </c>
      <c r="M2195" t="s">
        <v>1592</v>
      </c>
      <c r="N2195">
        <v>20</v>
      </c>
      <c r="P2195" t="s">
        <v>41</v>
      </c>
      <c r="Q2195" t="s">
        <v>42</v>
      </c>
      <c r="R2195" t="str">
        <f>"2861001"</f>
        <v>2861001</v>
      </c>
      <c r="S2195" t="s">
        <v>1621</v>
      </c>
      <c r="T2195" t="s">
        <v>1613</v>
      </c>
      <c r="U2195" t="s">
        <v>1614</v>
      </c>
      <c r="V2195" t="s">
        <v>1592</v>
      </c>
      <c r="W2195" t="s">
        <v>51</v>
      </c>
      <c r="X2195" t="s">
        <v>45</v>
      </c>
      <c r="Y2195" s="1">
        <v>30449</v>
      </c>
      <c r="Z2195">
        <v>2</v>
      </c>
      <c r="AA2195" t="s">
        <v>1614</v>
      </c>
      <c r="AB2195" s="40" t="s">
        <v>1798</v>
      </c>
    </row>
    <row r="2196" spans="1:28" x14ac:dyDescent="0.25">
      <c r="A2196">
        <v>99912195</v>
      </c>
      <c r="B2196" t="s">
        <v>56</v>
      </c>
      <c r="C2196" t="s">
        <v>68</v>
      </c>
      <c r="D2196" t="s">
        <v>69</v>
      </c>
      <c r="G2196" t="s">
        <v>48</v>
      </c>
      <c r="H2196">
        <v>1</v>
      </c>
      <c r="K2196" t="s">
        <v>223</v>
      </c>
      <c r="L2196" t="s">
        <v>224</v>
      </c>
      <c r="M2196" t="s">
        <v>131</v>
      </c>
      <c r="N2196">
        <v>20</v>
      </c>
      <c r="P2196" t="s">
        <v>41</v>
      </c>
      <c r="Q2196" t="s">
        <v>49</v>
      </c>
      <c r="R2196" t="str">
        <f>"0581202"</f>
        <v>0581202</v>
      </c>
      <c r="S2196" t="s">
        <v>248</v>
      </c>
      <c r="T2196" t="s">
        <v>223</v>
      </c>
      <c r="U2196" t="s">
        <v>224</v>
      </c>
      <c r="V2196" t="s">
        <v>131</v>
      </c>
      <c r="W2196" t="s">
        <v>51</v>
      </c>
      <c r="X2196" t="s">
        <v>45</v>
      </c>
      <c r="Y2196" s="1">
        <v>30329</v>
      </c>
      <c r="Z2196">
        <v>2</v>
      </c>
      <c r="AA2196" t="s">
        <v>224</v>
      </c>
      <c r="AB2196" s="40" t="s">
        <v>1798</v>
      </c>
    </row>
    <row r="2197" spans="1:28" x14ac:dyDescent="0.25">
      <c r="A2197">
        <v>99912196</v>
      </c>
      <c r="B2197" t="s">
        <v>56</v>
      </c>
      <c r="C2197" t="s">
        <v>61</v>
      </c>
      <c r="D2197" t="s">
        <v>62</v>
      </c>
      <c r="G2197" t="s">
        <v>48</v>
      </c>
      <c r="H2197">
        <v>1</v>
      </c>
      <c r="K2197" t="s">
        <v>1496</v>
      </c>
      <c r="L2197" t="s">
        <v>1497</v>
      </c>
      <c r="M2197" t="s">
        <v>670</v>
      </c>
      <c r="N2197">
        <v>20</v>
      </c>
      <c r="P2197" t="s">
        <v>41</v>
      </c>
      <c r="Q2197" t="s">
        <v>42</v>
      </c>
      <c r="R2197" t="str">
        <f>"5080015"</f>
        <v>5080015</v>
      </c>
      <c r="S2197" t="s">
        <v>1498</v>
      </c>
      <c r="T2197" t="s">
        <v>1496</v>
      </c>
      <c r="U2197" t="s">
        <v>1497</v>
      </c>
      <c r="V2197" t="s">
        <v>670</v>
      </c>
      <c r="W2197" t="s">
        <v>51</v>
      </c>
      <c r="X2197" t="s">
        <v>45</v>
      </c>
      <c r="Y2197" s="1">
        <v>30317</v>
      </c>
      <c r="Z2197">
        <v>2</v>
      </c>
      <c r="AA2197" t="s">
        <v>1497</v>
      </c>
      <c r="AB2197" s="40" t="s">
        <v>1798</v>
      </c>
    </row>
    <row r="2198" spans="1:28" x14ac:dyDescent="0.25">
      <c r="A2198">
        <v>99912197</v>
      </c>
      <c r="B2198" t="s">
        <v>32</v>
      </c>
      <c r="C2198" t="s">
        <v>46</v>
      </c>
      <c r="D2198" t="s">
        <v>47</v>
      </c>
      <c r="G2198" t="s">
        <v>48</v>
      </c>
      <c r="H2198">
        <v>1</v>
      </c>
      <c r="K2198" t="s">
        <v>129</v>
      </c>
      <c r="L2198" t="s">
        <v>130</v>
      </c>
      <c r="M2198" t="s">
        <v>131</v>
      </c>
      <c r="N2198">
        <v>20</v>
      </c>
      <c r="P2198" t="s">
        <v>41</v>
      </c>
      <c r="Q2198" t="s">
        <v>49</v>
      </c>
      <c r="R2198" t="str">
        <f>"0591905"</f>
        <v>0591905</v>
      </c>
      <c r="S2198" t="s">
        <v>135</v>
      </c>
      <c r="T2198" t="s">
        <v>129</v>
      </c>
      <c r="U2198" t="s">
        <v>130</v>
      </c>
      <c r="V2198" t="s">
        <v>131</v>
      </c>
      <c r="W2198" t="s">
        <v>51</v>
      </c>
      <c r="X2198" t="s">
        <v>45</v>
      </c>
      <c r="Y2198" s="1">
        <v>30230</v>
      </c>
      <c r="Z2198">
        <v>2</v>
      </c>
      <c r="AA2198" t="s">
        <v>130</v>
      </c>
      <c r="AB2198" s="40" t="s">
        <v>1798</v>
      </c>
    </row>
    <row r="2199" spans="1:28" x14ac:dyDescent="0.25">
      <c r="A2199">
        <v>99912198</v>
      </c>
      <c r="B2199" t="s">
        <v>32</v>
      </c>
      <c r="C2199" t="s">
        <v>85</v>
      </c>
      <c r="D2199" t="s">
        <v>86</v>
      </c>
      <c r="G2199" t="s">
        <v>88</v>
      </c>
      <c r="H2199">
        <v>3</v>
      </c>
      <c r="I2199" t="s">
        <v>89</v>
      </c>
      <c r="J2199" s="1">
        <v>43344</v>
      </c>
      <c r="K2199" t="s">
        <v>37</v>
      </c>
      <c r="L2199" t="s">
        <v>38</v>
      </c>
      <c r="M2199" t="s">
        <v>39</v>
      </c>
      <c r="N2199">
        <v>20</v>
      </c>
      <c r="O2199" s="1">
        <v>43344</v>
      </c>
      <c r="P2199" t="s">
        <v>41</v>
      </c>
      <c r="Q2199" t="s">
        <v>49</v>
      </c>
      <c r="R2199" t="str">
        <f>"3781010"</f>
        <v>3781010</v>
      </c>
      <c r="S2199" t="s">
        <v>50</v>
      </c>
      <c r="T2199" t="s">
        <v>37</v>
      </c>
      <c r="U2199" t="s">
        <v>38</v>
      </c>
      <c r="V2199" t="s">
        <v>39</v>
      </c>
      <c r="W2199" t="s">
        <v>51</v>
      </c>
      <c r="X2199" t="s">
        <v>45</v>
      </c>
      <c r="Y2199" s="1">
        <v>30092</v>
      </c>
      <c r="Z2199">
        <v>2</v>
      </c>
      <c r="AA2199" t="s">
        <v>38</v>
      </c>
      <c r="AB2199" s="40" t="s">
        <v>1798</v>
      </c>
    </row>
    <row r="2200" spans="1:28" x14ac:dyDescent="0.25">
      <c r="A2200">
        <v>99912199</v>
      </c>
      <c r="B2200" t="s">
        <v>32</v>
      </c>
      <c r="C2200" t="s">
        <v>111</v>
      </c>
      <c r="D2200" t="s">
        <v>112</v>
      </c>
      <c r="G2200" t="s">
        <v>35</v>
      </c>
      <c r="H2200">
        <v>1</v>
      </c>
      <c r="K2200" t="s">
        <v>154</v>
      </c>
      <c r="L2200" t="s">
        <v>155</v>
      </c>
      <c r="M2200" t="s">
        <v>131</v>
      </c>
      <c r="N2200">
        <v>20</v>
      </c>
      <c r="P2200" t="s">
        <v>41</v>
      </c>
      <c r="Q2200" t="s">
        <v>75</v>
      </c>
      <c r="R2200" t="str">
        <f>"7051032"</f>
        <v>7051032</v>
      </c>
      <c r="S2200" t="s">
        <v>400</v>
      </c>
      <c r="T2200" t="s">
        <v>154</v>
      </c>
      <c r="U2200" t="s">
        <v>155</v>
      </c>
      <c r="V2200" t="s">
        <v>131</v>
      </c>
      <c r="W2200" t="s">
        <v>51</v>
      </c>
      <c r="X2200" t="s">
        <v>45</v>
      </c>
      <c r="Y2200" s="1">
        <v>30006</v>
      </c>
      <c r="Z2200">
        <v>1</v>
      </c>
      <c r="AA2200" t="s">
        <v>155</v>
      </c>
      <c r="AB2200" s="40" t="s">
        <v>1798</v>
      </c>
    </row>
    <row r="2201" spans="1:28" x14ac:dyDescent="0.25">
      <c r="A2201">
        <v>99912200</v>
      </c>
      <c r="B2201" t="s">
        <v>32</v>
      </c>
      <c r="C2201" t="s">
        <v>64</v>
      </c>
      <c r="D2201" t="s">
        <v>65</v>
      </c>
      <c r="G2201" t="s">
        <v>35</v>
      </c>
      <c r="H2201">
        <v>1</v>
      </c>
      <c r="I2201">
        <v>12560</v>
      </c>
      <c r="J2201" s="1">
        <v>43344</v>
      </c>
      <c r="K2201" t="s">
        <v>354</v>
      </c>
      <c r="L2201" t="s">
        <v>355</v>
      </c>
      <c r="M2201" t="s">
        <v>131</v>
      </c>
      <c r="N2201">
        <v>20</v>
      </c>
      <c r="O2201" s="1">
        <v>43344</v>
      </c>
      <c r="P2201" t="s">
        <v>41</v>
      </c>
      <c r="Q2201" t="s">
        <v>75</v>
      </c>
      <c r="R2201" t="str">
        <f>"7054042"</f>
        <v>7054042</v>
      </c>
      <c r="S2201" t="s">
        <v>776</v>
      </c>
      <c r="T2201" t="s">
        <v>354</v>
      </c>
      <c r="U2201" t="s">
        <v>355</v>
      </c>
      <c r="V2201" t="s">
        <v>131</v>
      </c>
      <c r="W2201" t="s">
        <v>51</v>
      </c>
      <c r="X2201" t="s">
        <v>45</v>
      </c>
      <c r="Y2201" s="1">
        <v>29952</v>
      </c>
      <c r="Z2201">
        <v>1</v>
      </c>
      <c r="AA2201" t="s">
        <v>355</v>
      </c>
      <c r="AB2201" s="40" t="s">
        <v>1798</v>
      </c>
    </row>
    <row r="2202" spans="1:28" x14ac:dyDescent="0.25">
      <c r="A2202">
        <v>99912201</v>
      </c>
      <c r="B2202" t="s">
        <v>32</v>
      </c>
      <c r="C2202" t="s">
        <v>46</v>
      </c>
      <c r="D2202" t="s">
        <v>47</v>
      </c>
      <c r="G2202" t="s">
        <v>35</v>
      </c>
      <c r="H2202">
        <v>1</v>
      </c>
      <c r="K2202" t="s">
        <v>1546</v>
      </c>
      <c r="L2202" t="s">
        <v>1547</v>
      </c>
      <c r="M2202" t="s">
        <v>1548</v>
      </c>
      <c r="N2202">
        <v>20</v>
      </c>
      <c r="P2202" t="s">
        <v>41</v>
      </c>
      <c r="Q2202" t="s">
        <v>49</v>
      </c>
      <c r="R2202" t="str">
        <f>"1081010"</f>
        <v>1081010</v>
      </c>
      <c r="S2202" t="s">
        <v>1552</v>
      </c>
      <c r="T2202" t="s">
        <v>1546</v>
      </c>
      <c r="U2202" t="s">
        <v>1547</v>
      </c>
      <c r="V2202" t="s">
        <v>1548</v>
      </c>
      <c r="W2202" t="s">
        <v>51</v>
      </c>
      <c r="X2202" t="s">
        <v>45</v>
      </c>
      <c r="Y2202" s="1">
        <v>29897</v>
      </c>
      <c r="Z2202">
        <v>2</v>
      </c>
      <c r="AA2202" t="s">
        <v>1547</v>
      </c>
      <c r="AB2202" s="40" t="s">
        <v>1798</v>
      </c>
    </row>
    <row r="2203" spans="1:28" x14ac:dyDescent="0.25">
      <c r="A2203">
        <v>99912202</v>
      </c>
      <c r="B2203" t="s">
        <v>32</v>
      </c>
      <c r="C2203" t="s">
        <v>71</v>
      </c>
      <c r="D2203" t="s">
        <v>72</v>
      </c>
      <c r="G2203" t="s">
        <v>35</v>
      </c>
      <c r="H2203">
        <v>1</v>
      </c>
      <c r="I2203" t="s">
        <v>220</v>
      </c>
      <c r="J2203" s="1">
        <v>43344</v>
      </c>
      <c r="K2203" t="s">
        <v>162</v>
      </c>
      <c r="L2203" t="s">
        <v>158</v>
      </c>
      <c r="M2203" t="s">
        <v>131</v>
      </c>
      <c r="N2203">
        <v>20</v>
      </c>
      <c r="O2203" s="1">
        <v>43344</v>
      </c>
      <c r="P2203" t="s">
        <v>41</v>
      </c>
      <c r="Q2203" t="s">
        <v>49</v>
      </c>
      <c r="R2203" t="str">
        <f>"0505050"</f>
        <v>0505050</v>
      </c>
      <c r="S2203" t="s">
        <v>163</v>
      </c>
      <c r="T2203" t="s">
        <v>162</v>
      </c>
      <c r="U2203" t="s">
        <v>158</v>
      </c>
      <c r="V2203" t="s">
        <v>131</v>
      </c>
      <c r="W2203" t="s">
        <v>165</v>
      </c>
      <c r="X2203" t="s">
        <v>45</v>
      </c>
      <c r="Y2203" s="1">
        <v>29842</v>
      </c>
      <c r="Z2203">
        <v>2</v>
      </c>
      <c r="AA2203" t="s">
        <v>158</v>
      </c>
      <c r="AB2203" s="40" t="s">
        <v>1798</v>
      </c>
    </row>
    <row r="2204" spans="1:28" x14ac:dyDescent="0.25">
      <c r="A2204">
        <v>99912203</v>
      </c>
      <c r="B2204" t="s">
        <v>32</v>
      </c>
      <c r="C2204" t="s">
        <v>46</v>
      </c>
      <c r="D2204" t="s">
        <v>47</v>
      </c>
      <c r="G2204" t="s">
        <v>48</v>
      </c>
      <c r="H2204">
        <v>1</v>
      </c>
      <c r="K2204" t="s">
        <v>129</v>
      </c>
      <c r="L2204" t="s">
        <v>130</v>
      </c>
      <c r="M2204" t="s">
        <v>131</v>
      </c>
      <c r="N2204">
        <v>20</v>
      </c>
      <c r="P2204" t="s">
        <v>41</v>
      </c>
      <c r="Q2204" t="s">
        <v>49</v>
      </c>
      <c r="R2204" t="str">
        <f>"0591905"</f>
        <v>0591905</v>
      </c>
      <c r="S2204" t="s">
        <v>135</v>
      </c>
      <c r="T2204" t="s">
        <v>129</v>
      </c>
      <c r="U2204" t="s">
        <v>130</v>
      </c>
      <c r="V2204" t="s">
        <v>131</v>
      </c>
      <c r="W2204" t="s">
        <v>51</v>
      </c>
      <c r="X2204" t="s">
        <v>45</v>
      </c>
      <c r="Y2204" s="1">
        <v>29834</v>
      </c>
      <c r="Z2204">
        <v>2</v>
      </c>
      <c r="AA2204" t="s">
        <v>130</v>
      </c>
      <c r="AB2204" s="40" t="s">
        <v>1798</v>
      </c>
    </row>
    <row r="2205" spans="1:28" x14ac:dyDescent="0.25">
      <c r="A2205">
        <v>99912204</v>
      </c>
      <c r="B2205" t="s">
        <v>32</v>
      </c>
      <c r="C2205" t="s">
        <v>85</v>
      </c>
      <c r="D2205" t="s">
        <v>86</v>
      </c>
      <c r="G2205" t="s">
        <v>48</v>
      </c>
      <c r="H2205">
        <v>1</v>
      </c>
      <c r="K2205" t="s">
        <v>129</v>
      </c>
      <c r="L2205" t="s">
        <v>130</v>
      </c>
      <c r="M2205" t="s">
        <v>131</v>
      </c>
      <c r="N2205">
        <v>20</v>
      </c>
      <c r="P2205" t="s">
        <v>41</v>
      </c>
      <c r="Q2205" t="s">
        <v>49</v>
      </c>
      <c r="R2205" t="str">
        <f>"0591905"</f>
        <v>0591905</v>
      </c>
      <c r="S2205" t="s">
        <v>135</v>
      </c>
      <c r="T2205" t="s">
        <v>129</v>
      </c>
      <c r="U2205" t="s">
        <v>130</v>
      </c>
      <c r="V2205" t="s">
        <v>131</v>
      </c>
      <c r="W2205" t="s">
        <v>51</v>
      </c>
      <c r="X2205" t="s">
        <v>45</v>
      </c>
      <c r="Y2205" s="1">
        <v>29828</v>
      </c>
      <c r="Z2205">
        <v>2</v>
      </c>
      <c r="AA2205" t="s">
        <v>130</v>
      </c>
      <c r="AB2205" s="40" t="s">
        <v>1798</v>
      </c>
    </row>
    <row r="2206" spans="1:28" x14ac:dyDescent="0.25">
      <c r="A2206">
        <v>99912205</v>
      </c>
      <c r="B2206" t="s">
        <v>56</v>
      </c>
      <c r="C2206" t="s">
        <v>46</v>
      </c>
      <c r="D2206" t="s">
        <v>47</v>
      </c>
      <c r="G2206" t="s">
        <v>35</v>
      </c>
      <c r="H2206">
        <v>1</v>
      </c>
      <c r="I2206">
        <v>0</v>
      </c>
      <c r="J2206" s="1">
        <v>43344</v>
      </c>
      <c r="K2206" t="s">
        <v>223</v>
      </c>
      <c r="L2206" t="s">
        <v>224</v>
      </c>
      <c r="M2206" t="s">
        <v>131</v>
      </c>
      <c r="N2206">
        <v>20</v>
      </c>
      <c r="O2206" s="1">
        <v>43344</v>
      </c>
      <c r="P2206" t="s">
        <v>41</v>
      </c>
      <c r="Q2206" t="s">
        <v>42</v>
      </c>
      <c r="R2206" t="str">
        <f>"0580204"</f>
        <v>0580204</v>
      </c>
      <c r="S2206" t="s">
        <v>235</v>
      </c>
      <c r="T2206" t="s">
        <v>223</v>
      </c>
      <c r="U2206" t="s">
        <v>224</v>
      </c>
      <c r="V2206" t="s">
        <v>131</v>
      </c>
      <c r="W2206" t="s">
        <v>44</v>
      </c>
      <c r="X2206" t="s">
        <v>45</v>
      </c>
      <c r="Y2206" s="1">
        <v>29809</v>
      </c>
      <c r="Z2206">
        <v>2</v>
      </c>
      <c r="AA2206" t="s">
        <v>224</v>
      </c>
      <c r="AB2206" s="40" t="s">
        <v>1798</v>
      </c>
    </row>
    <row r="2207" spans="1:28" x14ac:dyDescent="0.25">
      <c r="A2207">
        <v>99912206</v>
      </c>
      <c r="B2207" t="s">
        <v>56</v>
      </c>
      <c r="C2207" t="s">
        <v>79</v>
      </c>
      <c r="D2207" t="s">
        <v>80</v>
      </c>
      <c r="G2207" t="s">
        <v>88</v>
      </c>
      <c r="H2207">
        <v>2</v>
      </c>
      <c r="I2207" t="s">
        <v>484</v>
      </c>
      <c r="J2207" s="1">
        <v>42614</v>
      </c>
      <c r="K2207" t="s">
        <v>195</v>
      </c>
      <c r="L2207" t="s">
        <v>196</v>
      </c>
      <c r="M2207" t="s">
        <v>131</v>
      </c>
      <c r="N2207">
        <v>20</v>
      </c>
      <c r="O2207" s="1">
        <v>42614</v>
      </c>
      <c r="P2207" t="s">
        <v>41</v>
      </c>
      <c r="Q2207" t="s">
        <v>75</v>
      </c>
      <c r="R2207" t="str">
        <f>"7521050"</f>
        <v>7521050</v>
      </c>
      <c r="S2207" t="s">
        <v>194</v>
      </c>
      <c r="T2207" t="s">
        <v>195</v>
      </c>
      <c r="U2207" t="s">
        <v>196</v>
      </c>
      <c r="V2207" t="s">
        <v>131</v>
      </c>
      <c r="W2207" t="s">
        <v>51</v>
      </c>
      <c r="X2207" t="s">
        <v>45</v>
      </c>
      <c r="Y2207" s="1">
        <v>29775</v>
      </c>
      <c r="Z2207">
        <v>1</v>
      </c>
      <c r="AA2207" t="s">
        <v>196</v>
      </c>
      <c r="AB2207" s="40" t="s">
        <v>1798</v>
      </c>
    </row>
    <row r="2208" spans="1:28" x14ac:dyDescent="0.25">
      <c r="A2208">
        <v>99912207</v>
      </c>
      <c r="B2208" t="s">
        <v>32</v>
      </c>
      <c r="C2208" t="s">
        <v>143</v>
      </c>
      <c r="D2208" t="s">
        <v>144</v>
      </c>
      <c r="G2208" t="s">
        <v>48</v>
      </c>
      <c r="H2208">
        <v>1</v>
      </c>
      <c r="K2208" t="s">
        <v>162</v>
      </c>
      <c r="L2208" t="s">
        <v>158</v>
      </c>
      <c r="M2208" t="s">
        <v>131</v>
      </c>
      <c r="N2208">
        <v>20</v>
      </c>
      <c r="P2208" t="s">
        <v>41</v>
      </c>
      <c r="Q2208" t="s">
        <v>49</v>
      </c>
      <c r="R2208" t="str">
        <f>"0505050"</f>
        <v>0505050</v>
      </c>
      <c r="S2208" t="s">
        <v>163</v>
      </c>
      <c r="T2208" t="s">
        <v>162</v>
      </c>
      <c r="U2208" t="s">
        <v>158</v>
      </c>
      <c r="V2208" t="s">
        <v>131</v>
      </c>
      <c r="W2208" t="s">
        <v>51</v>
      </c>
      <c r="X2208" t="s">
        <v>45</v>
      </c>
      <c r="Y2208" s="1">
        <v>29752</v>
      </c>
      <c r="Z2208">
        <v>2</v>
      </c>
      <c r="AA2208" t="s">
        <v>158</v>
      </c>
      <c r="AB2208" s="40" t="s">
        <v>1798</v>
      </c>
    </row>
    <row r="2209" spans="1:28" x14ac:dyDescent="0.25">
      <c r="A2209">
        <v>99912208</v>
      </c>
      <c r="B2209" t="s">
        <v>32</v>
      </c>
      <c r="C2209" t="s">
        <v>46</v>
      </c>
      <c r="D2209" t="s">
        <v>47</v>
      </c>
      <c r="G2209" t="s">
        <v>48</v>
      </c>
      <c r="H2209">
        <v>1</v>
      </c>
      <c r="K2209" t="s">
        <v>129</v>
      </c>
      <c r="L2209" t="s">
        <v>130</v>
      </c>
      <c r="M2209" t="s">
        <v>131</v>
      </c>
      <c r="N2209">
        <v>20</v>
      </c>
      <c r="P2209" t="s">
        <v>41</v>
      </c>
      <c r="Q2209" t="s">
        <v>49</v>
      </c>
      <c r="R2209" t="str">
        <f>"0591905"</f>
        <v>0591905</v>
      </c>
      <c r="S2209" t="s">
        <v>135</v>
      </c>
      <c r="T2209" t="s">
        <v>129</v>
      </c>
      <c r="U2209" t="s">
        <v>130</v>
      </c>
      <c r="V2209" t="s">
        <v>131</v>
      </c>
      <c r="W2209" t="s">
        <v>51</v>
      </c>
      <c r="X2209" t="s">
        <v>45</v>
      </c>
      <c r="Y2209" s="1">
        <v>29724</v>
      </c>
      <c r="Z2209">
        <v>2</v>
      </c>
      <c r="AA2209" t="s">
        <v>130</v>
      </c>
      <c r="AB2209" s="40" t="s">
        <v>1798</v>
      </c>
    </row>
    <row r="2210" spans="1:28" x14ac:dyDescent="0.25">
      <c r="A2210">
        <v>99912209</v>
      </c>
      <c r="B2210" t="s">
        <v>32</v>
      </c>
      <c r="C2210" t="s">
        <v>64</v>
      </c>
      <c r="D2210" t="s">
        <v>65</v>
      </c>
      <c r="G2210" t="s">
        <v>35</v>
      </c>
      <c r="H2210">
        <v>1</v>
      </c>
      <c r="I2210">
        <v>6768</v>
      </c>
      <c r="J2210" s="1">
        <v>43344</v>
      </c>
      <c r="K2210" t="s">
        <v>1198</v>
      </c>
      <c r="L2210" t="s">
        <v>1199</v>
      </c>
      <c r="M2210" t="s">
        <v>1130</v>
      </c>
      <c r="N2210">
        <v>20</v>
      </c>
      <c r="O2210" s="1">
        <v>43344</v>
      </c>
      <c r="P2210" t="s">
        <v>41</v>
      </c>
      <c r="Q2210" t="s">
        <v>75</v>
      </c>
      <c r="R2210" t="str">
        <f>"7311006"</f>
        <v>7311006</v>
      </c>
      <c r="S2210" t="s">
        <v>1200</v>
      </c>
      <c r="T2210" t="s">
        <v>1198</v>
      </c>
      <c r="U2210" t="s">
        <v>1199</v>
      </c>
      <c r="V2210" t="s">
        <v>1130</v>
      </c>
      <c r="W2210" t="s">
        <v>51</v>
      </c>
      <c r="X2210" t="s">
        <v>45</v>
      </c>
      <c r="Y2210" s="1">
        <v>29711</v>
      </c>
      <c r="Z2210">
        <v>1</v>
      </c>
      <c r="AA2210" t="s">
        <v>1199</v>
      </c>
      <c r="AB2210" s="40" t="s">
        <v>1798</v>
      </c>
    </row>
    <row r="2211" spans="1:28" x14ac:dyDescent="0.25">
      <c r="A2211">
        <v>99912210</v>
      </c>
      <c r="B2211" t="s">
        <v>32</v>
      </c>
      <c r="C2211" t="s">
        <v>90</v>
      </c>
      <c r="D2211" t="s">
        <v>91</v>
      </c>
      <c r="G2211" t="s">
        <v>48</v>
      </c>
      <c r="H2211">
        <v>1</v>
      </c>
      <c r="K2211" t="s">
        <v>431</v>
      </c>
      <c r="L2211" t="s">
        <v>196</v>
      </c>
      <c r="M2211" t="s">
        <v>131</v>
      </c>
      <c r="N2211">
        <v>20</v>
      </c>
      <c r="P2211" t="s">
        <v>41</v>
      </c>
      <c r="Q2211" t="s">
        <v>95</v>
      </c>
      <c r="R2211" t="str">
        <f>"7521011"</f>
        <v>7521011</v>
      </c>
      <c r="S2211" t="s">
        <v>506</v>
      </c>
      <c r="T2211" t="s">
        <v>431</v>
      </c>
      <c r="U2211" t="s">
        <v>196</v>
      </c>
      <c r="V2211" t="s">
        <v>131</v>
      </c>
      <c r="W2211" t="s">
        <v>51</v>
      </c>
      <c r="X2211" t="s">
        <v>45</v>
      </c>
      <c r="Y2211" s="1">
        <v>29470</v>
      </c>
      <c r="Z2211">
        <v>1</v>
      </c>
      <c r="AA2211" t="s">
        <v>196</v>
      </c>
      <c r="AB2211" s="40" t="s">
        <v>1798</v>
      </c>
    </row>
    <row r="2212" spans="1:28" x14ac:dyDescent="0.25">
      <c r="A2212">
        <v>99912211</v>
      </c>
      <c r="B2212" t="s">
        <v>56</v>
      </c>
      <c r="C2212" t="s">
        <v>117</v>
      </c>
      <c r="D2212" t="s">
        <v>118</v>
      </c>
      <c r="G2212" t="s">
        <v>35</v>
      </c>
      <c r="H2212">
        <v>1</v>
      </c>
      <c r="I2212" s="1">
        <v>40057</v>
      </c>
      <c r="J2212" s="1">
        <v>43344</v>
      </c>
      <c r="K2212" t="s">
        <v>1341</v>
      </c>
      <c r="L2212" t="s">
        <v>1342</v>
      </c>
      <c r="M2212" t="s">
        <v>1270</v>
      </c>
      <c r="N2212">
        <v>20</v>
      </c>
      <c r="O2212" s="1">
        <v>43344</v>
      </c>
      <c r="P2212" t="s">
        <v>41</v>
      </c>
      <c r="Q2212" t="s">
        <v>75</v>
      </c>
      <c r="R2212" t="str">
        <f>"7191004"</f>
        <v>7191004</v>
      </c>
      <c r="S2212" t="s">
        <v>1344</v>
      </c>
      <c r="T2212" t="s">
        <v>1341</v>
      </c>
      <c r="U2212" t="s">
        <v>1342</v>
      </c>
      <c r="V2212" t="s">
        <v>1270</v>
      </c>
      <c r="W2212" t="s">
        <v>51</v>
      </c>
      <c r="X2212" t="s">
        <v>45</v>
      </c>
      <c r="Y2212" s="1">
        <v>29454</v>
      </c>
      <c r="Z2212">
        <v>1</v>
      </c>
      <c r="AA2212" t="s">
        <v>1342</v>
      </c>
      <c r="AB2212" s="40" t="s">
        <v>1798</v>
      </c>
    </row>
    <row r="2213" spans="1:28" x14ac:dyDescent="0.25">
      <c r="A2213">
        <v>99912212</v>
      </c>
      <c r="B2213" t="s">
        <v>56</v>
      </c>
      <c r="C2213" t="s">
        <v>33</v>
      </c>
      <c r="D2213" t="s">
        <v>34</v>
      </c>
      <c r="G2213" t="s">
        <v>35</v>
      </c>
      <c r="H2213">
        <v>1</v>
      </c>
      <c r="K2213" t="s">
        <v>223</v>
      </c>
      <c r="L2213" t="s">
        <v>224</v>
      </c>
      <c r="M2213" t="s">
        <v>131</v>
      </c>
      <c r="N2213">
        <v>20</v>
      </c>
      <c r="P2213" t="s">
        <v>41</v>
      </c>
      <c r="Q2213" t="s">
        <v>42</v>
      </c>
      <c r="R2213" t="str">
        <f>"0590901"</f>
        <v>0590901</v>
      </c>
      <c r="S2213" t="s">
        <v>242</v>
      </c>
      <c r="T2213" t="s">
        <v>223</v>
      </c>
      <c r="U2213" t="s">
        <v>224</v>
      </c>
      <c r="V2213" t="s">
        <v>131</v>
      </c>
      <c r="W2213" t="s">
        <v>51</v>
      </c>
      <c r="X2213" t="s">
        <v>45</v>
      </c>
      <c r="Y2213" s="1">
        <v>29441</v>
      </c>
      <c r="Z2213">
        <v>2</v>
      </c>
      <c r="AA2213" t="s">
        <v>224</v>
      </c>
      <c r="AB2213" s="40" t="s">
        <v>1798</v>
      </c>
    </row>
    <row r="2214" spans="1:28" x14ac:dyDescent="0.25">
      <c r="A2214">
        <v>99912213</v>
      </c>
      <c r="B2214" t="s">
        <v>32</v>
      </c>
      <c r="C2214" t="s">
        <v>52</v>
      </c>
      <c r="D2214" t="s">
        <v>53</v>
      </c>
      <c r="G2214" t="s">
        <v>48</v>
      </c>
      <c r="H2214">
        <v>1</v>
      </c>
      <c r="K2214" t="s">
        <v>223</v>
      </c>
      <c r="L2214" t="s">
        <v>224</v>
      </c>
      <c r="M2214" t="s">
        <v>131</v>
      </c>
      <c r="N2214">
        <v>20</v>
      </c>
      <c r="P2214" t="s">
        <v>41</v>
      </c>
      <c r="Q2214" t="s">
        <v>49</v>
      </c>
      <c r="R2214" t="str">
        <f>"0581204"</f>
        <v>0581204</v>
      </c>
      <c r="S2214" t="s">
        <v>249</v>
      </c>
      <c r="T2214" t="s">
        <v>223</v>
      </c>
      <c r="U2214" t="s">
        <v>224</v>
      </c>
      <c r="V2214" t="s">
        <v>131</v>
      </c>
      <c r="W2214" t="s">
        <v>51</v>
      </c>
      <c r="X2214" t="s">
        <v>45</v>
      </c>
      <c r="Y2214" s="1">
        <v>29406</v>
      </c>
      <c r="Z2214">
        <v>2</v>
      </c>
      <c r="AA2214" t="s">
        <v>224</v>
      </c>
      <c r="AB2214" s="40" t="s">
        <v>1798</v>
      </c>
    </row>
    <row r="2215" spans="1:28" x14ac:dyDescent="0.25">
      <c r="A2215">
        <v>99912214</v>
      </c>
      <c r="B2215" t="s">
        <v>32</v>
      </c>
      <c r="C2215" t="s">
        <v>46</v>
      </c>
      <c r="D2215" t="s">
        <v>47</v>
      </c>
      <c r="G2215" t="s">
        <v>48</v>
      </c>
      <c r="H2215">
        <v>7</v>
      </c>
      <c r="K2215" t="s">
        <v>1268</v>
      </c>
      <c r="L2215" t="s">
        <v>1269</v>
      </c>
      <c r="M2215" t="s">
        <v>1270</v>
      </c>
      <c r="N2215">
        <v>20</v>
      </c>
      <c r="P2215" t="s">
        <v>41</v>
      </c>
      <c r="Q2215" t="s">
        <v>49</v>
      </c>
      <c r="R2215" t="str">
        <f>"1981912"</f>
        <v>1981912</v>
      </c>
      <c r="S2215" t="s">
        <v>1279</v>
      </c>
      <c r="T2215" t="s">
        <v>1268</v>
      </c>
      <c r="U2215" t="s">
        <v>1269</v>
      </c>
      <c r="V2215" t="s">
        <v>1270</v>
      </c>
      <c r="W2215" t="s">
        <v>51</v>
      </c>
      <c r="X2215" t="s">
        <v>45</v>
      </c>
      <c r="Y2215" s="1">
        <v>29372</v>
      </c>
      <c r="Z2215">
        <v>2</v>
      </c>
      <c r="AA2215" t="s">
        <v>1269</v>
      </c>
      <c r="AB2215" s="40" t="s">
        <v>1798</v>
      </c>
    </row>
    <row r="2216" spans="1:28" x14ac:dyDescent="0.25">
      <c r="A2216">
        <v>99912215</v>
      </c>
      <c r="B2216" t="s">
        <v>32</v>
      </c>
      <c r="C2216" t="s">
        <v>46</v>
      </c>
      <c r="D2216" t="s">
        <v>47</v>
      </c>
      <c r="G2216" t="s">
        <v>35</v>
      </c>
      <c r="H2216">
        <v>1</v>
      </c>
      <c r="I2216">
        <v>0</v>
      </c>
      <c r="J2216" s="1">
        <v>43344</v>
      </c>
      <c r="K2216" t="s">
        <v>223</v>
      </c>
      <c r="L2216" t="s">
        <v>224</v>
      </c>
      <c r="M2216" t="s">
        <v>131</v>
      </c>
      <c r="N2216">
        <v>20</v>
      </c>
      <c r="O2216" s="1">
        <v>43344</v>
      </c>
      <c r="P2216" t="s">
        <v>41</v>
      </c>
      <c r="Q2216" t="s">
        <v>42</v>
      </c>
      <c r="R2216" t="str">
        <f>"0580206"</f>
        <v>0580206</v>
      </c>
      <c r="S2216" t="s">
        <v>237</v>
      </c>
      <c r="T2216" t="s">
        <v>223</v>
      </c>
      <c r="U2216" t="s">
        <v>224</v>
      </c>
      <c r="V2216" t="s">
        <v>131</v>
      </c>
      <c r="W2216" t="s">
        <v>51</v>
      </c>
      <c r="X2216" t="s">
        <v>45</v>
      </c>
      <c r="Y2216" s="1">
        <v>29273</v>
      </c>
      <c r="Z2216">
        <v>2</v>
      </c>
      <c r="AA2216" t="s">
        <v>224</v>
      </c>
      <c r="AB2216" s="40" t="s">
        <v>1798</v>
      </c>
    </row>
    <row r="2217" spans="1:28" x14ac:dyDescent="0.25">
      <c r="A2217">
        <v>99912216</v>
      </c>
      <c r="B2217" t="s">
        <v>56</v>
      </c>
      <c r="C2217" t="s">
        <v>61</v>
      </c>
      <c r="D2217" t="s">
        <v>62</v>
      </c>
      <c r="G2217" t="s">
        <v>35</v>
      </c>
      <c r="H2217">
        <v>1</v>
      </c>
      <c r="I2217" t="s">
        <v>74</v>
      </c>
      <c r="J2217" s="1">
        <v>43362</v>
      </c>
      <c r="K2217" t="s">
        <v>37</v>
      </c>
      <c r="L2217" t="s">
        <v>38</v>
      </c>
      <c r="M2217" t="s">
        <v>39</v>
      </c>
      <c r="N2217">
        <v>20</v>
      </c>
      <c r="O2217" s="1">
        <v>43362</v>
      </c>
      <c r="P2217" t="s">
        <v>41</v>
      </c>
      <c r="Q2217" t="s">
        <v>75</v>
      </c>
      <c r="R2217" t="str">
        <f>"7371000"</f>
        <v>7371000</v>
      </c>
      <c r="S2217" t="s">
        <v>76</v>
      </c>
      <c r="T2217" t="s">
        <v>77</v>
      </c>
      <c r="U2217" t="s">
        <v>78</v>
      </c>
      <c r="V2217" t="s">
        <v>39</v>
      </c>
      <c r="W2217" t="s">
        <v>55</v>
      </c>
      <c r="X2217" t="s">
        <v>45</v>
      </c>
      <c r="Y2217" s="1">
        <v>29257</v>
      </c>
      <c r="Z2217">
        <v>2</v>
      </c>
      <c r="AA2217" t="s">
        <v>38</v>
      </c>
      <c r="AB2217" s="40" t="s">
        <v>1798</v>
      </c>
    </row>
    <row r="2218" spans="1:28" x14ac:dyDescent="0.25">
      <c r="A2218">
        <v>99912217</v>
      </c>
      <c r="B2218" t="s">
        <v>56</v>
      </c>
      <c r="C2218" t="s">
        <v>61</v>
      </c>
      <c r="D2218" t="s">
        <v>62</v>
      </c>
      <c r="G2218" t="s">
        <v>48</v>
      </c>
      <c r="H2218">
        <v>6</v>
      </c>
      <c r="K2218" t="s">
        <v>431</v>
      </c>
      <c r="L2218" t="s">
        <v>196</v>
      </c>
      <c r="M2218" t="s">
        <v>131</v>
      </c>
      <c r="N2218">
        <v>20</v>
      </c>
      <c r="P2218" t="s">
        <v>41</v>
      </c>
      <c r="Q2218" t="s">
        <v>75</v>
      </c>
      <c r="R2218" t="str">
        <f>"7521054"</f>
        <v>7521054</v>
      </c>
      <c r="S2218" t="s">
        <v>476</v>
      </c>
      <c r="T2218" t="s">
        <v>431</v>
      </c>
      <c r="U2218" t="s">
        <v>196</v>
      </c>
      <c r="V2218" t="s">
        <v>131</v>
      </c>
      <c r="W2218" t="s">
        <v>51</v>
      </c>
      <c r="X2218" t="s">
        <v>45</v>
      </c>
      <c r="Y2218" s="1">
        <v>29230</v>
      </c>
      <c r="Z2218">
        <v>1</v>
      </c>
      <c r="AA2218" t="s">
        <v>196</v>
      </c>
      <c r="AB2218" s="40" t="s">
        <v>1798</v>
      </c>
    </row>
    <row r="2219" spans="1:28" x14ac:dyDescent="0.25">
      <c r="A2219">
        <v>99912218</v>
      </c>
      <c r="B2219" t="s">
        <v>32</v>
      </c>
      <c r="C2219" t="s">
        <v>64</v>
      </c>
      <c r="D2219" t="s">
        <v>65</v>
      </c>
      <c r="G2219" t="s">
        <v>35</v>
      </c>
      <c r="H2219">
        <v>1</v>
      </c>
      <c r="K2219" t="s">
        <v>431</v>
      </c>
      <c r="L2219" t="s">
        <v>196</v>
      </c>
      <c r="M2219" t="s">
        <v>131</v>
      </c>
      <c r="N2219">
        <v>20</v>
      </c>
      <c r="P2219" t="s">
        <v>41</v>
      </c>
      <c r="Q2219" t="s">
        <v>75</v>
      </c>
      <c r="R2219" t="str">
        <f>"7521032"</f>
        <v>7521032</v>
      </c>
      <c r="S2219" t="s">
        <v>462</v>
      </c>
      <c r="T2219" t="s">
        <v>431</v>
      </c>
      <c r="U2219" t="s">
        <v>196</v>
      </c>
      <c r="V2219" t="s">
        <v>131</v>
      </c>
      <c r="W2219" t="s">
        <v>51</v>
      </c>
      <c r="X2219" t="s">
        <v>45</v>
      </c>
      <c r="Y2219" s="1">
        <v>29221</v>
      </c>
      <c r="Z2219">
        <v>1</v>
      </c>
      <c r="AA2219" t="s">
        <v>196</v>
      </c>
      <c r="AB2219" s="40" t="s">
        <v>1798</v>
      </c>
    </row>
    <row r="2220" spans="1:28" x14ac:dyDescent="0.25">
      <c r="A2220">
        <v>99912219</v>
      </c>
      <c r="B2220" t="s">
        <v>32</v>
      </c>
      <c r="C2220" t="s">
        <v>46</v>
      </c>
      <c r="D2220" t="s">
        <v>47</v>
      </c>
      <c r="G2220" t="s">
        <v>48</v>
      </c>
      <c r="H2220">
        <v>1</v>
      </c>
      <c r="K2220" t="s">
        <v>223</v>
      </c>
      <c r="L2220" t="s">
        <v>224</v>
      </c>
      <c r="M2220" t="s">
        <v>131</v>
      </c>
      <c r="N2220">
        <v>20</v>
      </c>
      <c r="P2220" t="s">
        <v>41</v>
      </c>
      <c r="Q2220" t="s">
        <v>49</v>
      </c>
      <c r="R2220" t="str">
        <f>"0581204"</f>
        <v>0581204</v>
      </c>
      <c r="S2220" t="s">
        <v>249</v>
      </c>
      <c r="T2220" t="s">
        <v>223</v>
      </c>
      <c r="U2220" t="s">
        <v>224</v>
      </c>
      <c r="V2220" t="s">
        <v>131</v>
      </c>
      <c r="W2220" t="s">
        <v>165</v>
      </c>
      <c r="X2220" t="s">
        <v>45</v>
      </c>
      <c r="Y2220" s="1">
        <v>29193</v>
      </c>
      <c r="Z2220">
        <v>2</v>
      </c>
      <c r="AA2220" t="s">
        <v>224</v>
      </c>
      <c r="AB2220" s="40" t="s">
        <v>1798</v>
      </c>
    </row>
    <row r="2221" spans="1:28" x14ac:dyDescent="0.25">
      <c r="A2221">
        <v>99912220</v>
      </c>
      <c r="B2221" t="s">
        <v>32</v>
      </c>
      <c r="C2221" t="s">
        <v>46</v>
      </c>
      <c r="D2221" t="s">
        <v>47</v>
      </c>
      <c r="E2221" t="s">
        <v>85</v>
      </c>
      <c r="F2221" t="s">
        <v>86</v>
      </c>
      <c r="G2221" t="s">
        <v>35</v>
      </c>
      <c r="H2221">
        <v>1</v>
      </c>
      <c r="K2221" t="s">
        <v>1613</v>
      </c>
      <c r="L2221" t="s">
        <v>1614</v>
      </c>
      <c r="M2221" t="s">
        <v>1592</v>
      </c>
      <c r="N2221">
        <v>20</v>
      </c>
      <c r="P2221" t="s">
        <v>41</v>
      </c>
      <c r="Q2221" t="s">
        <v>49</v>
      </c>
      <c r="R2221" t="str">
        <f>"2881020"</f>
        <v>2881020</v>
      </c>
      <c r="S2221" t="s">
        <v>1615</v>
      </c>
      <c r="T2221" t="s">
        <v>1613</v>
      </c>
      <c r="U2221" t="s">
        <v>1614</v>
      </c>
      <c r="V2221" t="s">
        <v>1592</v>
      </c>
      <c r="W2221" t="s">
        <v>51</v>
      </c>
      <c r="X2221" t="s">
        <v>45</v>
      </c>
      <c r="Y2221" s="1">
        <v>29187</v>
      </c>
      <c r="Z2221">
        <v>2</v>
      </c>
      <c r="AA2221" t="s">
        <v>1614</v>
      </c>
      <c r="AB2221" s="40" t="s">
        <v>1798</v>
      </c>
    </row>
    <row r="2222" spans="1:28" x14ac:dyDescent="0.25">
      <c r="A2222">
        <v>99912221</v>
      </c>
      <c r="B2222" t="s">
        <v>56</v>
      </c>
      <c r="C2222" t="s">
        <v>85</v>
      </c>
      <c r="D2222" t="s">
        <v>86</v>
      </c>
      <c r="G2222" t="s">
        <v>48</v>
      </c>
      <c r="H2222">
        <v>1</v>
      </c>
      <c r="K2222" t="s">
        <v>223</v>
      </c>
      <c r="L2222" t="s">
        <v>224</v>
      </c>
      <c r="M2222" t="s">
        <v>131</v>
      </c>
      <c r="N2222">
        <v>20</v>
      </c>
      <c r="P2222" t="s">
        <v>41</v>
      </c>
      <c r="Q2222" t="s">
        <v>42</v>
      </c>
      <c r="R2222" t="str">
        <f>"0580206"</f>
        <v>0580206</v>
      </c>
      <c r="S2222" t="s">
        <v>237</v>
      </c>
      <c r="T2222" t="s">
        <v>223</v>
      </c>
      <c r="U2222" t="s">
        <v>224</v>
      </c>
      <c r="V2222" t="s">
        <v>131</v>
      </c>
      <c r="W2222" t="s">
        <v>51</v>
      </c>
      <c r="X2222" t="s">
        <v>45</v>
      </c>
      <c r="Y2222" s="1">
        <v>29171</v>
      </c>
      <c r="Z2222">
        <v>2</v>
      </c>
      <c r="AA2222" t="s">
        <v>224</v>
      </c>
      <c r="AB2222" s="40" t="s">
        <v>1798</v>
      </c>
    </row>
    <row r="2223" spans="1:28" x14ac:dyDescent="0.25">
      <c r="A2223">
        <v>99912222</v>
      </c>
      <c r="B2223" t="s">
        <v>32</v>
      </c>
      <c r="C2223" t="s">
        <v>61</v>
      </c>
      <c r="D2223" t="s">
        <v>62</v>
      </c>
      <c r="G2223" t="s">
        <v>48</v>
      </c>
      <c r="H2223">
        <v>7</v>
      </c>
      <c r="K2223" t="s">
        <v>345</v>
      </c>
      <c r="L2223" t="s">
        <v>346</v>
      </c>
      <c r="M2223" t="s">
        <v>131</v>
      </c>
      <c r="N2223">
        <v>20</v>
      </c>
      <c r="P2223" t="s">
        <v>41</v>
      </c>
      <c r="Q2223" t="s">
        <v>49</v>
      </c>
      <c r="R2223" t="str">
        <f>"0561021"</f>
        <v>0561021</v>
      </c>
      <c r="S2223" t="s">
        <v>352</v>
      </c>
      <c r="T2223" t="s">
        <v>345</v>
      </c>
      <c r="U2223" t="s">
        <v>346</v>
      </c>
      <c r="V2223" t="s">
        <v>131</v>
      </c>
      <c r="W2223" t="s">
        <v>51</v>
      </c>
      <c r="X2223" t="s">
        <v>45</v>
      </c>
      <c r="Y2223" s="1">
        <v>29170</v>
      </c>
      <c r="Z2223">
        <v>2</v>
      </c>
      <c r="AA2223" t="s">
        <v>346</v>
      </c>
      <c r="AB2223" s="40" t="s">
        <v>1798</v>
      </c>
    </row>
    <row r="2224" spans="1:28" x14ac:dyDescent="0.25">
      <c r="A2224">
        <v>99912223</v>
      </c>
      <c r="B2224" t="s">
        <v>32</v>
      </c>
      <c r="C2224" t="s">
        <v>64</v>
      </c>
      <c r="D2224" t="s">
        <v>65</v>
      </c>
      <c r="G2224" t="s">
        <v>35</v>
      </c>
      <c r="H2224">
        <v>1</v>
      </c>
      <c r="I2224" t="s">
        <v>358</v>
      </c>
      <c r="J2224" s="1">
        <v>43344</v>
      </c>
      <c r="K2224" t="s">
        <v>345</v>
      </c>
      <c r="L2224" t="s">
        <v>346</v>
      </c>
      <c r="M2224" t="s">
        <v>131</v>
      </c>
      <c r="N2224">
        <v>20</v>
      </c>
      <c r="O2224" s="1">
        <v>43344</v>
      </c>
      <c r="P2224" t="s">
        <v>41</v>
      </c>
      <c r="Q2224" t="s">
        <v>49</v>
      </c>
      <c r="R2224" t="str">
        <f>"0581660"</f>
        <v>0581660</v>
      </c>
      <c r="S2224" t="s">
        <v>359</v>
      </c>
      <c r="T2224" t="s">
        <v>345</v>
      </c>
      <c r="U2224" t="s">
        <v>346</v>
      </c>
      <c r="V2224" t="s">
        <v>131</v>
      </c>
      <c r="W2224" t="s">
        <v>51</v>
      </c>
      <c r="X2224" t="s">
        <v>45</v>
      </c>
      <c r="Y2224" s="1">
        <v>29154</v>
      </c>
      <c r="Z2224">
        <v>2</v>
      </c>
      <c r="AA2224" t="s">
        <v>346</v>
      </c>
      <c r="AB2224" s="40" t="s">
        <v>1798</v>
      </c>
    </row>
    <row r="2225" spans="1:28" x14ac:dyDescent="0.25">
      <c r="A2225">
        <v>99912224</v>
      </c>
      <c r="B2225" t="s">
        <v>56</v>
      </c>
      <c r="C2225" t="s">
        <v>46</v>
      </c>
      <c r="D2225" t="s">
        <v>47</v>
      </c>
      <c r="G2225" t="s">
        <v>35</v>
      </c>
      <c r="H2225">
        <v>1</v>
      </c>
      <c r="K2225" t="s">
        <v>947</v>
      </c>
      <c r="L2225" t="s">
        <v>948</v>
      </c>
      <c r="M2225" t="s">
        <v>938</v>
      </c>
      <c r="N2225">
        <v>20</v>
      </c>
      <c r="P2225" t="s">
        <v>41</v>
      </c>
      <c r="Q2225" t="s">
        <v>49</v>
      </c>
      <c r="R2225" t="str">
        <f>"0645053"</f>
        <v>0645053</v>
      </c>
      <c r="S2225" t="s">
        <v>957</v>
      </c>
      <c r="T2225" t="s">
        <v>947</v>
      </c>
      <c r="U2225" t="s">
        <v>948</v>
      </c>
      <c r="V2225" t="s">
        <v>938</v>
      </c>
      <c r="W2225" t="s">
        <v>51</v>
      </c>
      <c r="X2225" t="s">
        <v>45</v>
      </c>
      <c r="Y2225" s="1">
        <v>29024</v>
      </c>
      <c r="Z2225">
        <v>2</v>
      </c>
      <c r="AA2225" t="s">
        <v>948</v>
      </c>
      <c r="AB2225" s="40" t="s">
        <v>1798</v>
      </c>
    </row>
    <row r="2226" spans="1:28" x14ac:dyDescent="0.25">
      <c r="A2226">
        <v>99912225</v>
      </c>
      <c r="B2226" t="s">
        <v>32</v>
      </c>
      <c r="C2226" t="s">
        <v>46</v>
      </c>
      <c r="D2226" t="s">
        <v>47</v>
      </c>
      <c r="G2226" t="s">
        <v>48</v>
      </c>
      <c r="H2226">
        <v>1</v>
      </c>
      <c r="K2226" t="s">
        <v>223</v>
      </c>
      <c r="L2226" t="s">
        <v>224</v>
      </c>
      <c r="M2226" t="s">
        <v>131</v>
      </c>
      <c r="N2226">
        <v>20</v>
      </c>
      <c r="P2226" t="s">
        <v>41</v>
      </c>
      <c r="Q2226" t="s">
        <v>42</v>
      </c>
      <c r="R2226" t="str">
        <f>"0580206"</f>
        <v>0580206</v>
      </c>
      <c r="S2226" t="s">
        <v>237</v>
      </c>
      <c r="T2226" t="s">
        <v>223</v>
      </c>
      <c r="U2226" t="s">
        <v>224</v>
      </c>
      <c r="V2226" t="s">
        <v>131</v>
      </c>
      <c r="W2226" t="s">
        <v>51</v>
      </c>
      <c r="X2226" t="s">
        <v>45</v>
      </c>
      <c r="Y2226" s="1">
        <v>29022</v>
      </c>
      <c r="Z2226">
        <v>2</v>
      </c>
      <c r="AA2226" t="s">
        <v>224</v>
      </c>
      <c r="AB2226" s="40" t="s">
        <v>1798</v>
      </c>
    </row>
    <row r="2227" spans="1:28" x14ac:dyDescent="0.25">
      <c r="A2227">
        <v>99912226</v>
      </c>
      <c r="B2227" t="s">
        <v>32</v>
      </c>
      <c r="C2227" t="s">
        <v>46</v>
      </c>
      <c r="D2227" t="s">
        <v>47</v>
      </c>
      <c r="G2227" t="s">
        <v>35</v>
      </c>
      <c r="H2227">
        <v>1</v>
      </c>
      <c r="I2227" t="s">
        <v>348</v>
      </c>
      <c r="J2227" s="1">
        <v>43344</v>
      </c>
      <c r="K2227" t="s">
        <v>345</v>
      </c>
      <c r="L2227" t="s">
        <v>346</v>
      </c>
      <c r="M2227" t="s">
        <v>131</v>
      </c>
      <c r="N2227">
        <v>20</v>
      </c>
      <c r="O2227" s="1">
        <v>43344</v>
      </c>
      <c r="P2227" t="s">
        <v>41</v>
      </c>
      <c r="Q2227" t="s">
        <v>42</v>
      </c>
      <c r="R2227" t="str">
        <f>"0580155"</f>
        <v>0580155</v>
      </c>
      <c r="S2227" t="s">
        <v>365</v>
      </c>
      <c r="T2227" t="s">
        <v>345</v>
      </c>
      <c r="U2227" t="s">
        <v>346</v>
      </c>
      <c r="V2227" t="s">
        <v>131</v>
      </c>
      <c r="W2227" t="s">
        <v>51</v>
      </c>
      <c r="X2227" t="s">
        <v>45</v>
      </c>
      <c r="Y2227" s="1">
        <v>29011</v>
      </c>
      <c r="Z2227">
        <v>2</v>
      </c>
      <c r="AA2227" t="s">
        <v>346</v>
      </c>
      <c r="AB2227" s="40" t="s">
        <v>1798</v>
      </c>
    </row>
    <row r="2228" spans="1:28" x14ac:dyDescent="0.25">
      <c r="A2228">
        <v>99912227</v>
      </c>
      <c r="B2228" t="s">
        <v>32</v>
      </c>
      <c r="C2228" t="s">
        <v>64</v>
      </c>
      <c r="D2228" t="s">
        <v>65</v>
      </c>
      <c r="G2228" t="s">
        <v>35</v>
      </c>
      <c r="H2228">
        <v>1</v>
      </c>
      <c r="I2228">
        <v>0</v>
      </c>
      <c r="J2228" s="1">
        <v>43344</v>
      </c>
      <c r="K2228" t="s">
        <v>223</v>
      </c>
      <c r="L2228" t="s">
        <v>224</v>
      </c>
      <c r="M2228" t="s">
        <v>131</v>
      </c>
      <c r="N2228">
        <v>20</v>
      </c>
      <c r="O2228" s="1">
        <v>43344</v>
      </c>
      <c r="P2228" t="s">
        <v>41</v>
      </c>
      <c r="Q2228" t="s">
        <v>49</v>
      </c>
      <c r="R2228" t="str">
        <f>"0581207"</f>
        <v>0581207</v>
      </c>
      <c r="S2228" t="s">
        <v>233</v>
      </c>
      <c r="T2228" t="s">
        <v>223</v>
      </c>
      <c r="U2228" t="s">
        <v>224</v>
      </c>
      <c r="V2228" t="s">
        <v>131</v>
      </c>
      <c r="W2228" t="s">
        <v>165</v>
      </c>
      <c r="X2228" t="s">
        <v>45</v>
      </c>
      <c r="Y2228" s="1">
        <v>28996</v>
      </c>
      <c r="Z2228">
        <v>2</v>
      </c>
      <c r="AA2228" t="s">
        <v>224</v>
      </c>
      <c r="AB2228" s="40" t="s">
        <v>1798</v>
      </c>
    </row>
    <row r="2229" spans="1:28" x14ac:dyDescent="0.25">
      <c r="A2229">
        <v>99912228</v>
      </c>
      <c r="B2229" t="s">
        <v>32</v>
      </c>
      <c r="C2229" t="s">
        <v>46</v>
      </c>
      <c r="D2229" t="s">
        <v>47</v>
      </c>
      <c r="G2229" t="s">
        <v>48</v>
      </c>
      <c r="H2229">
        <v>1</v>
      </c>
      <c r="K2229" t="s">
        <v>162</v>
      </c>
      <c r="L2229" t="s">
        <v>158</v>
      </c>
      <c r="M2229" t="s">
        <v>131</v>
      </c>
      <c r="N2229">
        <v>20</v>
      </c>
      <c r="P2229" t="s">
        <v>41</v>
      </c>
      <c r="Q2229" t="s">
        <v>49</v>
      </c>
      <c r="R2229" t="str">
        <f>"0581325"</f>
        <v>0581325</v>
      </c>
      <c r="S2229" t="s">
        <v>169</v>
      </c>
      <c r="T2229" t="s">
        <v>162</v>
      </c>
      <c r="U2229" t="s">
        <v>158</v>
      </c>
      <c r="V2229" t="s">
        <v>131</v>
      </c>
      <c r="W2229" t="s">
        <v>51</v>
      </c>
      <c r="X2229" t="s">
        <v>45</v>
      </c>
      <c r="Y2229" s="1">
        <v>28988</v>
      </c>
      <c r="Z2229">
        <v>2</v>
      </c>
      <c r="AA2229" t="s">
        <v>158</v>
      </c>
      <c r="AB2229" s="40" t="s">
        <v>1798</v>
      </c>
    </row>
    <row r="2230" spans="1:28" x14ac:dyDescent="0.25">
      <c r="A2230">
        <v>99912229</v>
      </c>
      <c r="B2230" t="s">
        <v>32</v>
      </c>
      <c r="C2230" t="s">
        <v>46</v>
      </c>
      <c r="D2230" t="s">
        <v>47</v>
      </c>
      <c r="G2230" t="s">
        <v>35</v>
      </c>
      <c r="H2230">
        <v>1</v>
      </c>
      <c r="K2230" t="s">
        <v>157</v>
      </c>
      <c r="L2230" t="s">
        <v>158</v>
      </c>
      <c r="M2230" t="s">
        <v>131</v>
      </c>
      <c r="N2230">
        <v>20</v>
      </c>
      <c r="P2230" t="s">
        <v>41</v>
      </c>
      <c r="Q2230" t="s">
        <v>42</v>
      </c>
      <c r="R2230" t="str">
        <f>"0580470"</f>
        <v>0580470</v>
      </c>
      <c r="S2230" t="s">
        <v>175</v>
      </c>
      <c r="T2230" t="s">
        <v>157</v>
      </c>
      <c r="U2230" t="s">
        <v>158</v>
      </c>
      <c r="V2230" t="s">
        <v>131</v>
      </c>
      <c r="W2230" t="s">
        <v>51</v>
      </c>
      <c r="X2230" t="s">
        <v>45</v>
      </c>
      <c r="Y2230" s="1">
        <v>28929</v>
      </c>
      <c r="Z2230">
        <v>2</v>
      </c>
      <c r="AA2230" t="s">
        <v>158</v>
      </c>
      <c r="AB2230" s="40" t="s">
        <v>1798</v>
      </c>
    </row>
    <row r="2231" spans="1:28" x14ac:dyDescent="0.25">
      <c r="A2231">
        <v>99912230</v>
      </c>
      <c r="B2231" t="s">
        <v>32</v>
      </c>
      <c r="C2231" t="s">
        <v>46</v>
      </c>
      <c r="D2231" t="s">
        <v>47</v>
      </c>
      <c r="G2231" t="s">
        <v>48</v>
      </c>
      <c r="H2231">
        <v>8</v>
      </c>
      <c r="K2231" t="s">
        <v>1268</v>
      </c>
      <c r="L2231" t="s">
        <v>1269</v>
      </c>
      <c r="M2231" t="s">
        <v>1270</v>
      </c>
      <c r="N2231">
        <v>20</v>
      </c>
      <c r="O2231" s="1">
        <v>43344</v>
      </c>
      <c r="P2231" t="s">
        <v>41</v>
      </c>
      <c r="Q2231" t="s">
        <v>49</v>
      </c>
      <c r="R2231" t="str">
        <f>"1960001"</f>
        <v>1960001</v>
      </c>
      <c r="S2231" t="s">
        <v>1272</v>
      </c>
      <c r="T2231" t="s">
        <v>1268</v>
      </c>
      <c r="U2231" t="s">
        <v>1269</v>
      </c>
      <c r="V2231" t="s">
        <v>1270</v>
      </c>
      <c r="W2231" t="s">
        <v>51</v>
      </c>
      <c r="X2231" t="s">
        <v>45</v>
      </c>
      <c r="Y2231" s="1">
        <v>28857</v>
      </c>
      <c r="Z2231">
        <v>2</v>
      </c>
      <c r="AA2231" t="s">
        <v>1269</v>
      </c>
      <c r="AB2231" s="40" t="s">
        <v>1798</v>
      </c>
    </row>
    <row r="2232" spans="1:28" x14ac:dyDescent="0.25">
      <c r="A2232">
        <v>99912231</v>
      </c>
      <c r="B2232" t="s">
        <v>32</v>
      </c>
      <c r="C2232" t="s">
        <v>139</v>
      </c>
      <c r="D2232" t="s">
        <v>140</v>
      </c>
      <c r="G2232" t="s">
        <v>35</v>
      </c>
      <c r="H2232">
        <v>1</v>
      </c>
      <c r="I2232">
        <v>18525</v>
      </c>
      <c r="J2232" s="1">
        <v>43344</v>
      </c>
      <c r="K2232" t="s">
        <v>129</v>
      </c>
      <c r="L2232" t="s">
        <v>130</v>
      </c>
      <c r="M2232" t="s">
        <v>131</v>
      </c>
      <c r="N2232">
        <v>20</v>
      </c>
      <c r="O2232" s="1">
        <v>43344</v>
      </c>
      <c r="P2232" t="s">
        <v>41</v>
      </c>
      <c r="Q2232" t="s">
        <v>49</v>
      </c>
      <c r="R2232" t="str">
        <f>"0591905"</f>
        <v>0591905</v>
      </c>
      <c r="S2232" t="s">
        <v>135</v>
      </c>
      <c r="T2232" t="s">
        <v>129</v>
      </c>
      <c r="U2232" t="s">
        <v>130</v>
      </c>
      <c r="V2232" t="s">
        <v>131</v>
      </c>
      <c r="W2232" t="s">
        <v>44</v>
      </c>
      <c r="X2232" t="s">
        <v>45</v>
      </c>
      <c r="Y2232" s="1">
        <v>28856</v>
      </c>
      <c r="Z2232">
        <v>2</v>
      </c>
      <c r="AA2232" t="s">
        <v>130</v>
      </c>
      <c r="AB2232" s="40" t="s">
        <v>1798</v>
      </c>
    </row>
    <row r="2233" spans="1:28" x14ac:dyDescent="0.25">
      <c r="A2233">
        <v>99912232</v>
      </c>
      <c r="B2233" t="s">
        <v>32</v>
      </c>
      <c r="C2233" t="s">
        <v>46</v>
      </c>
      <c r="D2233" t="s">
        <v>47</v>
      </c>
      <c r="G2233" t="s">
        <v>48</v>
      </c>
      <c r="H2233">
        <v>1</v>
      </c>
      <c r="K2233" t="s">
        <v>300</v>
      </c>
      <c r="L2233" t="s">
        <v>301</v>
      </c>
      <c r="M2233" t="s">
        <v>131</v>
      </c>
      <c r="N2233">
        <v>20</v>
      </c>
      <c r="P2233" t="s">
        <v>41</v>
      </c>
      <c r="Q2233" t="s">
        <v>49</v>
      </c>
      <c r="R2233" t="str">
        <f>"0560022"</f>
        <v>0560022</v>
      </c>
      <c r="S2233" t="s">
        <v>314</v>
      </c>
      <c r="T2233" t="s">
        <v>300</v>
      </c>
      <c r="U2233" t="s">
        <v>301</v>
      </c>
      <c r="V2233" t="s">
        <v>131</v>
      </c>
      <c r="W2233" t="s">
        <v>51</v>
      </c>
      <c r="X2233" t="s">
        <v>45</v>
      </c>
      <c r="Y2233" s="1">
        <v>28856</v>
      </c>
      <c r="Z2233">
        <v>2</v>
      </c>
      <c r="AA2233" t="s">
        <v>301</v>
      </c>
      <c r="AB2233" s="40" t="s">
        <v>1798</v>
      </c>
    </row>
    <row r="2234" spans="1:28" x14ac:dyDescent="0.25">
      <c r="A2234">
        <v>99912233</v>
      </c>
      <c r="B2234" t="s">
        <v>56</v>
      </c>
      <c r="C2234" t="s">
        <v>46</v>
      </c>
      <c r="D2234" t="s">
        <v>47</v>
      </c>
      <c r="G2234" t="s">
        <v>35</v>
      </c>
      <c r="H2234">
        <v>1</v>
      </c>
      <c r="I2234" t="s">
        <v>316</v>
      </c>
      <c r="J2234" s="1">
        <v>43425</v>
      </c>
      <c r="K2234" t="s">
        <v>300</v>
      </c>
      <c r="L2234" t="s">
        <v>301</v>
      </c>
      <c r="M2234" t="s">
        <v>131</v>
      </c>
      <c r="N2234">
        <v>20</v>
      </c>
      <c r="O2234" s="1">
        <v>43425</v>
      </c>
      <c r="P2234" t="s">
        <v>41</v>
      </c>
      <c r="Q2234" t="s">
        <v>49</v>
      </c>
      <c r="R2234" t="str">
        <f>"0560020"</f>
        <v>0560020</v>
      </c>
      <c r="S2234" t="s">
        <v>302</v>
      </c>
      <c r="T2234" t="s">
        <v>300</v>
      </c>
      <c r="U2234" t="s">
        <v>301</v>
      </c>
      <c r="V2234" t="s">
        <v>131</v>
      </c>
      <c r="W2234" t="s">
        <v>55</v>
      </c>
      <c r="X2234" t="s">
        <v>45</v>
      </c>
      <c r="Y2234" s="1">
        <v>28843</v>
      </c>
      <c r="Z2234">
        <v>2</v>
      </c>
      <c r="AA2234" t="s">
        <v>301</v>
      </c>
      <c r="AB2234" s="40" t="s">
        <v>1798</v>
      </c>
    </row>
    <row r="2235" spans="1:28" x14ac:dyDescent="0.25">
      <c r="A2235">
        <v>99912234</v>
      </c>
      <c r="B2235" t="s">
        <v>32</v>
      </c>
      <c r="C2235" t="s">
        <v>52</v>
      </c>
      <c r="D2235" t="s">
        <v>53</v>
      </c>
      <c r="G2235" t="s">
        <v>35</v>
      </c>
      <c r="H2235">
        <v>1</v>
      </c>
      <c r="K2235" t="s">
        <v>223</v>
      </c>
      <c r="L2235" t="s">
        <v>224</v>
      </c>
      <c r="M2235" t="s">
        <v>131</v>
      </c>
      <c r="N2235">
        <v>20</v>
      </c>
      <c r="P2235" t="s">
        <v>41</v>
      </c>
      <c r="Q2235" t="s">
        <v>49</v>
      </c>
      <c r="R2235" t="str">
        <f>"0591907"</f>
        <v>0591907</v>
      </c>
      <c r="S2235" t="s">
        <v>243</v>
      </c>
      <c r="T2235" t="s">
        <v>223</v>
      </c>
      <c r="U2235" t="s">
        <v>224</v>
      </c>
      <c r="V2235" t="s">
        <v>131</v>
      </c>
      <c r="W2235" t="s">
        <v>51</v>
      </c>
      <c r="X2235" t="s">
        <v>45</v>
      </c>
      <c r="Y2235" s="1">
        <v>28840</v>
      </c>
      <c r="Z2235">
        <v>2</v>
      </c>
      <c r="AA2235" t="s">
        <v>224</v>
      </c>
      <c r="AB2235" s="40" t="s">
        <v>1798</v>
      </c>
    </row>
    <row r="2236" spans="1:28" x14ac:dyDescent="0.25">
      <c r="A2236">
        <v>99912235</v>
      </c>
      <c r="B2236" t="s">
        <v>32</v>
      </c>
      <c r="C2236" t="s">
        <v>46</v>
      </c>
      <c r="D2236" t="s">
        <v>47</v>
      </c>
      <c r="G2236" t="s">
        <v>35</v>
      </c>
      <c r="H2236">
        <v>7</v>
      </c>
      <c r="I2236">
        <v>13814</v>
      </c>
      <c r="J2236" s="1">
        <v>43355</v>
      </c>
      <c r="K2236" t="s">
        <v>345</v>
      </c>
      <c r="L2236" t="s">
        <v>346</v>
      </c>
      <c r="M2236" t="s">
        <v>131</v>
      </c>
      <c r="N2236">
        <v>20</v>
      </c>
      <c r="O2236" s="1">
        <v>43355</v>
      </c>
      <c r="P2236" t="s">
        <v>41</v>
      </c>
      <c r="Q2236" t="s">
        <v>49</v>
      </c>
      <c r="R2236" t="str">
        <f>"0591906"</f>
        <v>0591906</v>
      </c>
      <c r="S2236" t="s">
        <v>350</v>
      </c>
      <c r="T2236" t="s">
        <v>345</v>
      </c>
      <c r="U2236" t="s">
        <v>346</v>
      </c>
      <c r="V2236" t="s">
        <v>131</v>
      </c>
      <c r="W2236" t="s">
        <v>51</v>
      </c>
      <c r="X2236" t="s">
        <v>45</v>
      </c>
      <c r="Y2236" s="1">
        <v>28761</v>
      </c>
      <c r="Z2236">
        <v>2</v>
      </c>
      <c r="AA2236" t="s">
        <v>346</v>
      </c>
      <c r="AB2236" s="40" t="s">
        <v>1798</v>
      </c>
    </row>
    <row r="2237" spans="1:28" x14ac:dyDescent="0.25">
      <c r="A2237">
        <v>99912236</v>
      </c>
      <c r="B2237" t="s">
        <v>32</v>
      </c>
      <c r="C2237" t="s">
        <v>46</v>
      </c>
      <c r="D2237" t="s">
        <v>47</v>
      </c>
      <c r="G2237" t="s">
        <v>48</v>
      </c>
      <c r="H2237">
        <v>1</v>
      </c>
      <c r="K2237" t="s">
        <v>936</v>
      </c>
      <c r="L2237" t="s">
        <v>937</v>
      </c>
      <c r="M2237" t="s">
        <v>938</v>
      </c>
      <c r="N2237">
        <v>20</v>
      </c>
      <c r="P2237" t="s">
        <v>41</v>
      </c>
      <c r="Q2237" t="s">
        <v>49</v>
      </c>
      <c r="R2237" t="str">
        <f>"0180017"</f>
        <v>0180017</v>
      </c>
      <c r="S2237" t="s">
        <v>943</v>
      </c>
      <c r="T2237" t="s">
        <v>936</v>
      </c>
      <c r="U2237" t="s">
        <v>937</v>
      </c>
      <c r="V2237" t="s">
        <v>938</v>
      </c>
      <c r="W2237" t="s">
        <v>51</v>
      </c>
      <c r="X2237" t="s">
        <v>45</v>
      </c>
      <c r="Y2237" s="1">
        <v>28761</v>
      </c>
      <c r="Z2237">
        <v>2</v>
      </c>
      <c r="AA2237" t="s">
        <v>937</v>
      </c>
      <c r="AB2237" s="40" t="s">
        <v>1798</v>
      </c>
    </row>
    <row r="2238" spans="1:28" x14ac:dyDescent="0.25">
      <c r="A2238">
        <v>99912237</v>
      </c>
      <c r="B2238" t="s">
        <v>32</v>
      </c>
      <c r="C2238" t="s">
        <v>64</v>
      </c>
      <c r="D2238" t="s">
        <v>65</v>
      </c>
      <c r="G2238" t="s">
        <v>35</v>
      </c>
      <c r="H2238">
        <v>1</v>
      </c>
      <c r="K2238" t="s">
        <v>223</v>
      </c>
      <c r="L2238" t="s">
        <v>224</v>
      </c>
      <c r="M2238" t="s">
        <v>131</v>
      </c>
      <c r="N2238">
        <v>20</v>
      </c>
      <c r="P2238" t="s">
        <v>41</v>
      </c>
      <c r="Q2238" t="s">
        <v>49</v>
      </c>
      <c r="R2238" t="str">
        <f>"0560018"</f>
        <v>0560018</v>
      </c>
      <c r="S2238" t="s">
        <v>234</v>
      </c>
      <c r="T2238" t="s">
        <v>223</v>
      </c>
      <c r="U2238" t="s">
        <v>224</v>
      </c>
      <c r="V2238" t="s">
        <v>131</v>
      </c>
      <c r="W2238" t="s">
        <v>51</v>
      </c>
      <c r="X2238" t="s">
        <v>45</v>
      </c>
      <c r="Y2238" s="1">
        <v>28674</v>
      </c>
      <c r="Z2238">
        <v>2</v>
      </c>
      <c r="AA2238" t="s">
        <v>224</v>
      </c>
      <c r="AB2238" s="40" t="s">
        <v>1798</v>
      </c>
    </row>
    <row r="2239" spans="1:28" x14ac:dyDescent="0.25">
      <c r="A2239">
        <v>99912238</v>
      </c>
      <c r="B2239" t="s">
        <v>32</v>
      </c>
      <c r="C2239" t="s">
        <v>46</v>
      </c>
      <c r="D2239" t="s">
        <v>47</v>
      </c>
      <c r="G2239" t="s">
        <v>48</v>
      </c>
      <c r="H2239">
        <v>1</v>
      </c>
      <c r="K2239" t="s">
        <v>345</v>
      </c>
      <c r="L2239" t="s">
        <v>346</v>
      </c>
      <c r="M2239" t="s">
        <v>131</v>
      </c>
      <c r="N2239">
        <v>20</v>
      </c>
      <c r="P2239" t="s">
        <v>41</v>
      </c>
      <c r="Q2239" t="s">
        <v>49</v>
      </c>
      <c r="R2239" t="str">
        <f>"0591906"</f>
        <v>0591906</v>
      </c>
      <c r="S2239" t="s">
        <v>350</v>
      </c>
      <c r="T2239" t="s">
        <v>345</v>
      </c>
      <c r="U2239" t="s">
        <v>346</v>
      </c>
      <c r="V2239" t="s">
        <v>131</v>
      </c>
      <c r="W2239" t="s">
        <v>51</v>
      </c>
      <c r="X2239" t="s">
        <v>45</v>
      </c>
      <c r="Y2239" s="1">
        <v>28651</v>
      </c>
      <c r="Z2239">
        <v>2</v>
      </c>
      <c r="AA2239" t="s">
        <v>346</v>
      </c>
      <c r="AB2239" s="40" t="s">
        <v>1798</v>
      </c>
    </row>
    <row r="2240" spans="1:28" x14ac:dyDescent="0.25">
      <c r="A2240">
        <v>99912239</v>
      </c>
      <c r="B2240" t="s">
        <v>32</v>
      </c>
      <c r="C2240" t="s">
        <v>46</v>
      </c>
      <c r="D2240" t="s">
        <v>47</v>
      </c>
      <c r="G2240" t="s">
        <v>35</v>
      </c>
      <c r="H2240">
        <v>1</v>
      </c>
      <c r="I2240" t="s">
        <v>378</v>
      </c>
      <c r="J2240" s="1">
        <v>43344</v>
      </c>
      <c r="K2240" t="s">
        <v>345</v>
      </c>
      <c r="L2240" t="s">
        <v>346</v>
      </c>
      <c r="M2240" t="s">
        <v>131</v>
      </c>
      <c r="N2240">
        <v>20</v>
      </c>
      <c r="O2240" s="1">
        <v>43344</v>
      </c>
      <c r="P2240" t="s">
        <v>41</v>
      </c>
      <c r="Q2240" t="s">
        <v>49</v>
      </c>
      <c r="R2240" t="str">
        <f>"0581155"</f>
        <v>0581155</v>
      </c>
      <c r="S2240" t="s">
        <v>349</v>
      </c>
      <c r="T2240" t="s">
        <v>345</v>
      </c>
      <c r="U2240" t="s">
        <v>346</v>
      </c>
      <c r="V2240" t="s">
        <v>131</v>
      </c>
      <c r="W2240" t="s">
        <v>51</v>
      </c>
      <c r="X2240" t="s">
        <v>45</v>
      </c>
      <c r="Y2240" s="1">
        <v>28621</v>
      </c>
      <c r="Z2240">
        <v>2</v>
      </c>
      <c r="AA2240" t="s">
        <v>346</v>
      </c>
      <c r="AB2240" s="40" t="s">
        <v>1798</v>
      </c>
    </row>
    <row r="2241" spans="1:28" x14ac:dyDescent="0.25">
      <c r="A2241">
        <v>99912240</v>
      </c>
      <c r="B2241" t="s">
        <v>32</v>
      </c>
      <c r="C2241" t="s">
        <v>58</v>
      </c>
      <c r="D2241" t="s">
        <v>59</v>
      </c>
      <c r="G2241" t="s">
        <v>48</v>
      </c>
      <c r="H2241">
        <v>1</v>
      </c>
      <c r="K2241" t="s">
        <v>223</v>
      </c>
      <c r="L2241" t="s">
        <v>224</v>
      </c>
      <c r="M2241" t="s">
        <v>131</v>
      </c>
      <c r="N2241">
        <v>20</v>
      </c>
      <c r="P2241" t="s">
        <v>41</v>
      </c>
      <c r="Q2241" t="s">
        <v>49</v>
      </c>
      <c r="R2241" t="str">
        <f>"0581200"</f>
        <v>0581200</v>
      </c>
      <c r="S2241" t="s">
        <v>238</v>
      </c>
      <c r="T2241" t="s">
        <v>223</v>
      </c>
      <c r="U2241" t="s">
        <v>224</v>
      </c>
      <c r="V2241" t="s">
        <v>131</v>
      </c>
      <c r="W2241" t="s">
        <v>51</v>
      </c>
      <c r="X2241" t="s">
        <v>45</v>
      </c>
      <c r="Y2241" s="1">
        <v>28562</v>
      </c>
      <c r="Z2241">
        <v>2</v>
      </c>
      <c r="AA2241" t="s">
        <v>224</v>
      </c>
      <c r="AB2241" s="40" t="s">
        <v>1798</v>
      </c>
    </row>
    <row r="2242" spans="1:28" x14ac:dyDescent="0.25">
      <c r="A2242">
        <v>99912241</v>
      </c>
      <c r="B2242" t="s">
        <v>32</v>
      </c>
      <c r="C2242" t="s">
        <v>46</v>
      </c>
      <c r="D2242" t="s">
        <v>47</v>
      </c>
      <c r="G2242" t="s">
        <v>48</v>
      </c>
      <c r="H2242">
        <v>1</v>
      </c>
      <c r="K2242" t="s">
        <v>1268</v>
      </c>
      <c r="L2242" t="s">
        <v>1269</v>
      </c>
      <c r="M2242" t="s">
        <v>1270</v>
      </c>
      <c r="N2242">
        <v>20</v>
      </c>
      <c r="P2242" t="s">
        <v>41</v>
      </c>
      <c r="Q2242" t="s">
        <v>49</v>
      </c>
      <c r="R2242" t="str">
        <f>"1981912"</f>
        <v>1981912</v>
      </c>
      <c r="S2242" t="s">
        <v>1279</v>
      </c>
      <c r="T2242" t="s">
        <v>1268</v>
      </c>
      <c r="U2242" t="s">
        <v>1269</v>
      </c>
      <c r="V2242" t="s">
        <v>1270</v>
      </c>
      <c r="W2242" t="s">
        <v>51</v>
      </c>
      <c r="X2242" t="s">
        <v>45</v>
      </c>
      <c r="Y2242" s="1">
        <v>28536</v>
      </c>
      <c r="Z2242">
        <v>2</v>
      </c>
      <c r="AA2242" t="s">
        <v>1269</v>
      </c>
      <c r="AB2242" s="40" t="s">
        <v>1798</v>
      </c>
    </row>
    <row r="2243" spans="1:28" x14ac:dyDescent="0.25">
      <c r="A2243">
        <v>99912242</v>
      </c>
      <c r="B2243" t="s">
        <v>32</v>
      </c>
      <c r="C2243" t="s">
        <v>82</v>
      </c>
      <c r="D2243" t="s">
        <v>83</v>
      </c>
      <c r="G2243" t="s">
        <v>48</v>
      </c>
      <c r="H2243">
        <v>1</v>
      </c>
      <c r="K2243" t="s">
        <v>345</v>
      </c>
      <c r="L2243" t="s">
        <v>346</v>
      </c>
      <c r="M2243" t="s">
        <v>131</v>
      </c>
      <c r="N2243">
        <v>20</v>
      </c>
      <c r="P2243" t="s">
        <v>41</v>
      </c>
      <c r="Q2243" t="s">
        <v>42</v>
      </c>
      <c r="R2243" t="str">
        <f>"0580931"</f>
        <v>0580931</v>
      </c>
      <c r="S2243" t="s">
        <v>369</v>
      </c>
      <c r="T2243" t="s">
        <v>345</v>
      </c>
      <c r="U2243" t="s">
        <v>346</v>
      </c>
      <c r="V2243" t="s">
        <v>131</v>
      </c>
      <c r="W2243" t="s">
        <v>51</v>
      </c>
      <c r="X2243" t="s">
        <v>45</v>
      </c>
      <c r="Y2243" s="1">
        <v>28526</v>
      </c>
      <c r="Z2243">
        <v>2</v>
      </c>
      <c r="AA2243" t="s">
        <v>346</v>
      </c>
      <c r="AB2243" s="40" t="s">
        <v>1798</v>
      </c>
    </row>
    <row r="2244" spans="1:28" x14ac:dyDescent="0.25">
      <c r="A2244">
        <v>99912243</v>
      </c>
      <c r="B2244" t="s">
        <v>32</v>
      </c>
      <c r="C2244" t="s">
        <v>64</v>
      </c>
      <c r="D2244" t="s">
        <v>65</v>
      </c>
      <c r="G2244" t="s">
        <v>35</v>
      </c>
      <c r="H2244">
        <v>1</v>
      </c>
      <c r="I2244" t="s">
        <v>279</v>
      </c>
      <c r="J2244" s="1">
        <v>41599</v>
      </c>
      <c r="K2244" t="s">
        <v>354</v>
      </c>
      <c r="L2244" t="s">
        <v>355</v>
      </c>
      <c r="M2244" t="s">
        <v>131</v>
      </c>
      <c r="N2244">
        <v>20</v>
      </c>
      <c r="O2244" s="1">
        <v>41599</v>
      </c>
      <c r="P2244" t="s">
        <v>41</v>
      </c>
      <c r="Q2244" t="s">
        <v>75</v>
      </c>
      <c r="R2244" t="str">
        <f>"7054000"</f>
        <v>7054000</v>
      </c>
      <c r="S2244" t="s">
        <v>786</v>
      </c>
      <c r="T2244" t="s">
        <v>354</v>
      </c>
      <c r="U2244" t="s">
        <v>355</v>
      </c>
      <c r="V2244" t="s">
        <v>131</v>
      </c>
      <c r="W2244" t="s">
        <v>51</v>
      </c>
      <c r="X2244" t="s">
        <v>45</v>
      </c>
      <c r="Y2244" s="1">
        <v>28491</v>
      </c>
      <c r="Z2244">
        <v>1</v>
      </c>
      <c r="AA2244" t="s">
        <v>355</v>
      </c>
      <c r="AB2244" s="40" t="s">
        <v>1798</v>
      </c>
    </row>
    <row r="2245" spans="1:28" x14ac:dyDescent="0.25">
      <c r="A2245">
        <v>99912244</v>
      </c>
      <c r="B2245" t="s">
        <v>32</v>
      </c>
      <c r="C2245" t="s">
        <v>61</v>
      </c>
      <c r="D2245" t="s">
        <v>62</v>
      </c>
      <c r="G2245" t="s">
        <v>48</v>
      </c>
      <c r="H2245">
        <v>1</v>
      </c>
      <c r="K2245" t="s">
        <v>1268</v>
      </c>
      <c r="L2245" t="s">
        <v>1269</v>
      </c>
      <c r="M2245" t="s">
        <v>1270</v>
      </c>
      <c r="N2245">
        <v>20</v>
      </c>
      <c r="P2245" t="s">
        <v>41</v>
      </c>
      <c r="Q2245" t="s">
        <v>49</v>
      </c>
      <c r="R2245" t="str">
        <f>"1981912"</f>
        <v>1981912</v>
      </c>
      <c r="S2245" t="s">
        <v>1279</v>
      </c>
      <c r="T2245" t="s">
        <v>1268</v>
      </c>
      <c r="U2245" t="s">
        <v>1269</v>
      </c>
      <c r="V2245" t="s">
        <v>1270</v>
      </c>
      <c r="W2245" t="s">
        <v>51</v>
      </c>
      <c r="X2245" t="s">
        <v>45</v>
      </c>
      <c r="Y2245" s="1">
        <v>28491</v>
      </c>
      <c r="Z2245">
        <v>2</v>
      </c>
      <c r="AA2245" t="s">
        <v>1269</v>
      </c>
      <c r="AB2245" s="40" t="s">
        <v>1798</v>
      </c>
    </row>
    <row r="2246" spans="1:28" x14ac:dyDescent="0.25">
      <c r="A2246">
        <v>99912245</v>
      </c>
      <c r="B2246" t="s">
        <v>32</v>
      </c>
      <c r="C2246" t="s">
        <v>46</v>
      </c>
      <c r="D2246" t="s">
        <v>47</v>
      </c>
      <c r="G2246" t="s">
        <v>35</v>
      </c>
      <c r="H2246">
        <v>1</v>
      </c>
      <c r="K2246" t="s">
        <v>223</v>
      </c>
      <c r="L2246" t="s">
        <v>224</v>
      </c>
      <c r="M2246" t="s">
        <v>131</v>
      </c>
      <c r="N2246">
        <v>20</v>
      </c>
      <c r="P2246" t="s">
        <v>41</v>
      </c>
      <c r="Q2246" t="s">
        <v>42</v>
      </c>
      <c r="R2246" t="str">
        <f>"0580345"</f>
        <v>0580345</v>
      </c>
      <c r="S2246" t="s">
        <v>261</v>
      </c>
      <c r="T2246" t="s">
        <v>223</v>
      </c>
      <c r="U2246" t="s">
        <v>224</v>
      </c>
      <c r="V2246" t="s">
        <v>131</v>
      </c>
      <c r="W2246" t="s">
        <v>51</v>
      </c>
      <c r="X2246" t="s">
        <v>45</v>
      </c>
      <c r="Y2246" s="1">
        <v>28428</v>
      </c>
      <c r="Z2246">
        <v>2</v>
      </c>
      <c r="AA2246" t="s">
        <v>224</v>
      </c>
      <c r="AB2246" s="40" t="s">
        <v>1798</v>
      </c>
    </row>
    <row r="2247" spans="1:28" x14ac:dyDescent="0.25">
      <c r="A2247">
        <v>99912246</v>
      </c>
      <c r="B2247" t="s">
        <v>32</v>
      </c>
      <c r="C2247" t="s">
        <v>46</v>
      </c>
      <c r="D2247" t="s">
        <v>47</v>
      </c>
      <c r="G2247" t="s">
        <v>35</v>
      </c>
      <c r="H2247">
        <v>1</v>
      </c>
      <c r="K2247" t="s">
        <v>223</v>
      </c>
      <c r="L2247" t="s">
        <v>224</v>
      </c>
      <c r="M2247" t="s">
        <v>131</v>
      </c>
      <c r="N2247">
        <v>20</v>
      </c>
      <c r="P2247" t="s">
        <v>41</v>
      </c>
      <c r="Q2247" t="s">
        <v>49</v>
      </c>
      <c r="R2247" t="str">
        <f>"0581207"</f>
        <v>0581207</v>
      </c>
      <c r="S2247" t="s">
        <v>233</v>
      </c>
      <c r="T2247" t="s">
        <v>223</v>
      </c>
      <c r="U2247" t="s">
        <v>224</v>
      </c>
      <c r="V2247" t="s">
        <v>131</v>
      </c>
      <c r="W2247" t="s">
        <v>165</v>
      </c>
      <c r="X2247" t="s">
        <v>45</v>
      </c>
      <c r="Y2247" s="1">
        <v>28373</v>
      </c>
      <c r="Z2247">
        <v>2</v>
      </c>
      <c r="AA2247" t="s">
        <v>224</v>
      </c>
      <c r="AB2247" s="40" t="s">
        <v>1798</v>
      </c>
    </row>
    <row r="2248" spans="1:28" x14ac:dyDescent="0.25">
      <c r="A2248">
        <v>99912247</v>
      </c>
      <c r="B2248" t="s">
        <v>32</v>
      </c>
      <c r="C2248" t="s">
        <v>46</v>
      </c>
      <c r="D2248" t="s">
        <v>47</v>
      </c>
      <c r="G2248" t="s">
        <v>35</v>
      </c>
      <c r="H2248">
        <v>1</v>
      </c>
      <c r="K2248" t="s">
        <v>223</v>
      </c>
      <c r="L2248" t="s">
        <v>224</v>
      </c>
      <c r="M2248" t="s">
        <v>131</v>
      </c>
      <c r="N2248">
        <v>20</v>
      </c>
      <c r="P2248" t="s">
        <v>41</v>
      </c>
      <c r="Q2248" t="s">
        <v>49</v>
      </c>
      <c r="R2248" t="str">
        <f>"0591901"</f>
        <v>0591901</v>
      </c>
      <c r="S2248" t="s">
        <v>230</v>
      </c>
      <c r="T2248" t="s">
        <v>223</v>
      </c>
      <c r="U2248" t="s">
        <v>224</v>
      </c>
      <c r="V2248" t="s">
        <v>131</v>
      </c>
      <c r="W2248" t="s">
        <v>51</v>
      </c>
      <c r="X2248" t="s">
        <v>45</v>
      </c>
      <c r="Y2248" s="1">
        <v>28359</v>
      </c>
      <c r="Z2248">
        <v>2</v>
      </c>
      <c r="AA2248" t="s">
        <v>224</v>
      </c>
      <c r="AB2248" s="40" t="s">
        <v>1798</v>
      </c>
    </row>
    <row r="2249" spans="1:28" x14ac:dyDescent="0.25">
      <c r="A2249">
        <v>99912248</v>
      </c>
      <c r="B2249" t="s">
        <v>56</v>
      </c>
      <c r="C2249" t="s">
        <v>46</v>
      </c>
      <c r="D2249" t="s">
        <v>47</v>
      </c>
      <c r="G2249" t="s">
        <v>48</v>
      </c>
      <c r="H2249">
        <v>7</v>
      </c>
      <c r="K2249" t="s">
        <v>345</v>
      </c>
      <c r="L2249" t="s">
        <v>346</v>
      </c>
      <c r="M2249" t="s">
        <v>131</v>
      </c>
      <c r="N2249">
        <v>20</v>
      </c>
      <c r="P2249" t="s">
        <v>41</v>
      </c>
      <c r="Q2249" t="s">
        <v>42</v>
      </c>
      <c r="R2249" t="str">
        <f>"0590906"</f>
        <v>0590906</v>
      </c>
      <c r="S2249" t="s">
        <v>361</v>
      </c>
      <c r="T2249" t="s">
        <v>345</v>
      </c>
      <c r="U2249" t="s">
        <v>346</v>
      </c>
      <c r="V2249" t="s">
        <v>131</v>
      </c>
      <c r="W2249" t="s">
        <v>51</v>
      </c>
      <c r="X2249" t="s">
        <v>45</v>
      </c>
      <c r="Y2249" s="1">
        <v>28332</v>
      </c>
      <c r="Z2249">
        <v>2</v>
      </c>
      <c r="AA2249" t="s">
        <v>346</v>
      </c>
      <c r="AB2249" s="40" t="s">
        <v>1798</v>
      </c>
    </row>
    <row r="2250" spans="1:28" x14ac:dyDescent="0.25">
      <c r="A2250">
        <v>99912249</v>
      </c>
      <c r="B2250" t="s">
        <v>32</v>
      </c>
      <c r="C2250" t="s">
        <v>61</v>
      </c>
      <c r="D2250" t="s">
        <v>62</v>
      </c>
      <c r="G2250" t="s">
        <v>48</v>
      </c>
      <c r="H2250">
        <v>8</v>
      </c>
      <c r="K2250" t="s">
        <v>1268</v>
      </c>
      <c r="L2250" t="s">
        <v>1269</v>
      </c>
      <c r="M2250" t="s">
        <v>1270</v>
      </c>
      <c r="N2250">
        <v>20</v>
      </c>
      <c r="P2250" t="s">
        <v>41</v>
      </c>
      <c r="Q2250" t="s">
        <v>49</v>
      </c>
      <c r="R2250" t="str">
        <f>"1981912"</f>
        <v>1981912</v>
      </c>
      <c r="S2250" t="s">
        <v>1279</v>
      </c>
      <c r="T2250" t="s">
        <v>1268</v>
      </c>
      <c r="U2250" t="s">
        <v>1269</v>
      </c>
      <c r="V2250" t="s">
        <v>1270</v>
      </c>
      <c r="W2250" t="s">
        <v>51</v>
      </c>
      <c r="X2250" t="s">
        <v>45</v>
      </c>
      <c r="Y2250" s="1">
        <v>28329</v>
      </c>
      <c r="Z2250">
        <v>2</v>
      </c>
      <c r="AA2250" t="s">
        <v>1269</v>
      </c>
      <c r="AB2250" s="40" t="s">
        <v>1798</v>
      </c>
    </row>
    <row r="2251" spans="1:28" x14ac:dyDescent="0.25">
      <c r="A2251">
        <v>99912250</v>
      </c>
      <c r="B2251" t="s">
        <v>32</v>
      </c>
      <c r="C2251" t="s">
        <v>64</v>
      </c>
      <c r="D2251" t="s">
        <v>65</v>
      </c>
      <c r="G2251" t="s">
        <v>48</v>
      </c>
      <c r="H2251">
        <v>1</v>
      </c>
      <c r="K2251" t="s">
        <v>223</v>
      </c>
      <c r="L2251" t="s">
        <v>224</v>
      </c>
      <c r="M2251" t="s">
        <v>131</v>
      </c>
      <c r="N2251">
        <v>20</v>
      </c>
      <c r="P2251" t="s">
        <v>41</v>
      </c>
      <c r="Q2251" t="s">
        <v>49</v>
      </c>
      <c r="R2251" t="str">
        <f>"0581206"</f>
        <v>0581206</v>
      </c>
      <c r="S2251" t="s">
        <v>232</v>
      </c>
      <c r="T2251" t="s">
        <v>223</v>
      </c>
      <c r="U2251" t="s">
        <v>224</v>
      </c>
      <c r="V2251" t="s">
        <v>131</v>
      </c>
      <c r="W2251" t="s">
        <v>51</v>
      </c>
      <c r="X2251" t="s">
        <v>45</v>
      </c>
      <c r="Y2251" s="1">
        <v>28327</v>
      </c>
      <c r="Z2251">
        <v>2</v>
      </c>
      <c r="AA2251" t="s">
        <v>224</v>
      </c>
      <c r="AB2251" s="40" t="s">
        <v>1798</v>
      </c>
    </row>
    <row r="2252" spans="1:28" x14ac:dyDescent="0.25">
      <c r="A2252">
        <v>99912251</v>
      </c>
      <c r="B2252" t="s">
        <v>32</v>
      </c>
      <c r="C2252" t="s">
        <v>139</v>
      </c>
      <c r="D2252" t="s">
        <v>140</v>
      </c>
      <c r="G2252" t="s">
        <v>35</v>
      </c>
      <c r="H2252">
        <v>1</v>
      </c>
      <c r="K2252" t="s">
        <v>154</v>
      </c>
      <c r="L2252" t="s">
        <v>155</v>
      </c>
      <c r="M2252" t="s">
        <v>131</v>
      </c>
      <c r="N2252">
        <v>20</v>
      </c>
      <c r="P2252" t="s">
        <v>41</v>
      </c>
      <c r="Q2252" t="s">
        <v>75</v>
      </c>
      <c r="R2252" t="str">
        <f>"7700026"</f>
        <v>7700026</v>
      </c>
      <c r="S2252" t="s">
        <v>397</v>
      </c>
      <c r="T2252" t="s">
        <v>154</v>
      </c>
      <c r="U2252" t="s">
        <v>155</v>
      </c>
      <c r="V2252" t="s">
        <v>131</v>
      </c>
      <c r="W2252" t="s">
        <v>51</v>
      </c>
      <c r="X2252" t="s">
        <v>45</v>
      </c>
      <c r="Y2252" s="1">
        <v>28314</v>
      </c>
      <c r="Z2252">
        <v>1</v>
      </c>
      <c r="AA2252" t="s">
        <v>155</v>
      </c>
      <c r="AB2252" s="40" t="s">
        <v>1798</v>
      </c>
    </row>
    <row r="2253" spans="1:28" x14ac:dyDescent="0.25">
      <c r="A2253">
        <v>99912252</v>
      </c>
      <c r="B2253" t="s">
        <v>56</v>
      </c>
      <c r="C2253" t="s">
        <v>52</v>
      </c>
      <c r="D2253" t="s">
        <v>53</v>
      </c>
      <c r="G2253" t="s">
        <v>48</v>
      </c>
      <c r="H2253">
        <v>1</v>
      </c>
      <c r="K2253" t="s">
        <v>162</v>
      </c>
      <c r="L2253" t="s">
        <v>158</v>
      </c>
      <c r="M2253" t="s">
        <v>131</v>
      </c>
      <c r="N2253">
        <v>20</v>
      </c>
      <c r="P2253" t="s">
        <v>41</v>
      </c>
      <c r="Q2253" t="s">
        <v>42</v>
      </c>
      <c r="R2253" t="str">
        <f>"0580325"</f>
        <v>0580325</v>
      </c>
      <c r="S2253" t="s">
        <v>170</v>
      </c>
      <c r="T2253" t="s">
        <v>162</v>
      </c>
      <c r="U2253" t="s">
        <v>158</v>
      </c>
      <c r="V2253" t="s">
        <v>131</v>
      </c>
      <c r="W2253" t="s">
        <v>51</v>
      </c>
      <c r="X2253" t="s">
        <v>45</v>
      </c>
      <c r="Y2253" s="1">
        <v>28297</v>
      </c>
      <c r="Z2253">
        <v>2</v>
      </c>
      <c r="AA2253" t="s">
        <v>158</v>
      </c>
      <c r="AB2253" s="40" t="s">
        <v>1798</v>
      </c>
    </row>
    <row r="2254" spans="1:28" x14ac:dyDescent="0.25">
      <c r="A2254">
        <v>99912253</v>
      </c>
      <c r="B2254" t="s">
        <v>32</v>
      </c>
      <c r="C2254" t="s">
        <v>145</v>
      </c>
      <c r="D2254" t="s">
        <v>146</v>
      </c>
      <c r="G2254" t="s">
        <v>48</v>
      </c>
      <c r="H2254">
        <v>1</v>
      </c>
      <c r="K2254" t="s">
        <v>157</v>
      </c>
      <c r="L2254" t="s">
        <v>158</v>
      </c>
      <c r="M2254" t="s">
        <v>131</v>
      </c>
      <c r="N2254">
        <v>20</v>
      </c>
      <c r="P2254" t="s">
        <v>41</v>
      </c>
      <c r="Q2254" t="s">
        <v>49</v>
      </c>
      <c r="R2254" t="str">
        <f>"0560019"</f>
        <v>0560019</v>
      </c>
      <c r="S2254" t="s">
        <v>166</v>
      </c>
      <c r="T2254" t="s">
        <v>157</v>
      </c>
      <c r="U2254" t="s">
        <v>158</v>
      </c>
      <c r="V2254" t="s">
        <v>131</v>
      </c>
      <c r="W2254" t="s">
        <v>51</v>
      </c>
      <c r="X2254" t="s">
        <v>45</v>
      </c>
      <c r="Y2254" s="1">
        <v>28270</v>
      </c>
      <c r="Z2254">
        <v>2</v>
      </c>
      <c r="AA2254" t="s">
        <v>158</v>
      </c>
      <c r="AB2254" s="40" t="s">
        <v>1798</v>
      </c>
    </row>
    <row r="2255" spans="1:28" x14ac:dyDescent="0.25">
      <c r="A2255">
        <v>99912254</v>
      </c>
      <c r="B2255" t="s">
        <v>32</v>
      </c>
      <c r="C2255" t="s">
        <v>46</v>
      </c>
      <c r="D2255" t="s">
        <v>47</v>
      </c>
      <c r="G2255" t="s">
        <v>48</v>
      </c>
      <c r="H2255">
        <v>7</v>
      </c>
      <c r="K2255" t="s">
        <v>1268</v>
      </c>
      <c r="L2255" t="s">
        <v>1269</v>
      </c>
      <c r="M2255" t="s">
        <v>1270</v>
      </c>
      <c r="N2255">
        <v>20</v>
      </c>
      <c r="P2255" t="s">
        <v>41</v>
      </c>
      <c r="Q2255" t="s">
        <v>49</v>
      </c>
      <c r="R2255" t="str">
        <f>"1981912"</f>
        <v>1981912</v>
      </c>
      <c r="S2255" t="s">
        <v>1279</v>
      </c>
      <c r="T2255" t="s">
        <v>1268</v>
      </c>
      <c r="U2255" t="s">
        <v>1269</v>
      </c>
      <c r="V2255" t="s">
        <v>1270</v>
      </c>
      <c r="W2255" t="s">
        <v>51</v>
      </c>
      <c r="X2255" t="s">
        <v>45</v>
      </c>
      <c r="Y2255" s="1">
        <v>28241</v>
      </c>
      <c r="Z2255">
        <v>2</v>
      </c>
      <c r="AA2255" t="s">
        <v>1269</v>
      </c>
      <c r="AB2255" s="40" t="s">
        <v>1798</v>
      </c>
    </row>
    <row r="2256" spans="1:28" x14ac:dyDescent="0.25">
      <c r="A2256">
        <v>99912255</v>
      </c>
      <c r="B2256" t="s">
        <v>32</v>
      </c>
      <c r="C2256" t="s">
        <v>46</v>
      </c>
      <c r="D2256" t="s">
        <v>47</v>
      </c>
      <c r="G2256" t="s">
        <v>35</v>
      </c>
      <c r="H2256">
        <v>1</v>
      </c>
      <c r="K2256" t="s">
        <v>162</v>
      </c>
      <c r="L2256" t="s">
        <v>158</v>
      </c>
      <c r="M2256" t="s">
        <v>131</v>
      </c>
      <c r="N2256">
        <v>20</v>
      </c>
      <c r="P2256" t="s">
        <v>41</v>
      </c>
      <c r="Q2256" t="s">
        <v>49</v>
      </c>
      <c r="R2256" t="str">
        <f>"0505050"</f>
        <v>0505050</v>
      </c>
      <c r="S2256" t="s">
        <v>163</v>
      </c>
      <c r="T2256" t="s">
        <v>162</v>
      </c>
      <c r="U2256" t="s">
        <v>158</v>
      </c>
      <c r="V2256" t="s">
        <v>131</v>
      </c>
      <c r="W2256" t="s">
        <v>165</v>
      </c>
      <c r="X2256" t="s">
        <v>45</v>
      </c>
      <c r="Y2256" s="1">
        <v>28220</v>
      </c>
      <c r="Z2256">
        <v>2</v>
      </c>
      <c r="AA2256" t="s">
        <v>158</v>
      </c>
      <c r="AB2256" s="40" t="s">
        <v>1798</v>
      </c>
    </row>
    <row r="2257" spans="1:28" x14ac:dyDescent="0.25">
      <c r="A2257">
        <v>99912256</v>
      </c>
      <c r="B2257" t="s">
        <v>32</v>
      </c>
      <c r="C2257" t="s">
        <v>64</v>
      </c>
      <c r="D2257" t="s">
        <v>65</v>
      </c>
      <c r="G2257" t="s">
        <v>48</v>
      </c>
      <c r="H2257">
        <v>1</v>
      </c>
      <c r="K2257" t="s">
        <v>1268</v>
      </c>
      <c r="L2257" t="s">
        <v>1269</v>
      </c>
      <c r="M2257" t="s">
        <v>1270</v>
      </c>
      <c r="N2257">
        <v>20</v>
      </c>
      <c r="P2257" t="s">
        <v>41</v>
      </c>
      <c r="Q2257" t="s">
        <v>42</v>
      </c>
      <c r="R2257" t="str">
        <f>"1990911"</f>
        <v>1990911</v>
      </c>
      <c r="S2257" t="s">
        <v>1276</v>
      </c>
      <c r="T2257" t="s">
        <v>1268</v>
      </c>
      <c r="U2257" t="s">
        <v>1269</v>
      </c>
      <c r="V2257" t="s">
        <v>1270</v>
      </c>
      <c r="W2257" t="s">
        <v>51</v>
      </c>
      <c r="X2257" t="s">
        <v>45</v>
      </c>
      <c r="Y2257" s="1">
        <v>28169</v>
      </c>
      <c r="Z2257">
        <v>2</v>
      </c>
      <c r="AA2257" t="s">
        <v>1269</v>
      </c>
      <c r="AB2257" s="40" t="s">
        <v>1798</v>
      </c>
    </row>
    <row r="2258" spans="1:28" x14ac:dyDescent="0.25">
      <c r="A2258">
        <v>99912257</v>
      </c>
      <c r="B2258" t="s">
        <v>56</v>
      </c>
      <c r="C2258" t="s">
        <v>82</v>
      </c>
      <c r="D2258" t="s">
        <v>83</v>
      </c>
      <c r="G2258" t="s">
        <v>48</v>
      </c>
      <c r="H2258">
        <v>1</v>
      </c>
      <c r="I2258" t="s">
        <v>212</v>
      </c>
      <c r="J2258" s="1">
        <v>41614</v>
      </c>
      <c r="K2258" t="s">
        <v>162</v>
      </c>
      <c r="L2258" t="s">
        <v>158</v>
      </c>
      <c r="M2258" t="s">
        <v>131</v>
      </c>
      <c r="N2258">
        <v>20</v>
      </c>
      <c r="O2258" s="1">
        <v>41614</v>
      </c>
      <c r="P2258" t="s">
        <v>41</v>
      </c>
      <c r="Q2258" t="s">
        <v>42</v>
      </c>
      <c r="R2258" t="str">
        <f>"0580320"</f>
        <v>0580320</v>
      </c>
      <c r="S2258" t="s">
        <v>164</v>
      </c>
      <c r="T2258" t="s">
        <v>162</v>
      </c>
      <c r="U2258" t="s">
        <v>158</v>
      </c>
      <c r="V2258" t="s">
        <v>131</v>
      </c>
      <c r="W2258" t="s">
        <v>51</v>
      </c>
      <c r="X2258" t="s">
        <v>45</v>
      </c>
      <c r="Y2258" s="1">
        <v>28126</v>
      </c>
      <c r="Z2258">
        <v>2</v>
      </c>
      <c r="AA2258" t="s">
        <v>158</v>
      </c>
      <c r="AB2258" s="40" t="s">
        <v>1798</v>
      </c>
    </row>
    <row r="2259" spans="1:28" x14ac:dyDescent="0.25">
      <c r="A2259">
        <v>99912258</v>
      </c>
      <c r="B2259" t="s">
        <v>56</v>
      </c>
      <c r="C2259" t="s">
        <v>46</v>
      </c>
      <c r="D2259" t="s">
        <v>47</v>
      </c>
      <c r="G2259" t="s">
        <v>48</v>
      </c>
      <c r="H2259">
        <v>1</v>
      </c>
      <c r="K2259" t="s">
        <v>223</v>
      </c>
      <c r="L2259" t="s">
        <v>224</v>
      </c>
      <c r="M2259" t="s">
        <v>131</v>
      </c>
      <c r="N2259">
        <v>20</v>
      </c>
      <c r="P2259" t="s">
        <v>41</v>
      </c>
      <c r="Q2259" t="s">
        <v>42</v>
      </c>
      <c r="R2259" t="str">
        <f>"0580202"</f>
        <v>0580202</v>
      </c>
      <c r="S2259" t="s">
        <v>240</v>
      </c>
      <c r="T2259" t="s">
        <v>223</v>
      </c>
      <c r="U2259" t="s">
        <v>224</v>
      </c>
      <c r="V2259" t="s">
        <v>131</v>
      </c>
      <c r="W2259" t="s">
        <v>51</v>
      </c>
      <c r="X2259" t="s">
        <v>45</v>
      </c>
      <c r="Y2259" s="1">
        <v>28126</v>
      </c>
      <c r="Z2259">
        <v>2</v>
      </c>
      <c r="AA2259" t="s">
        <v>224</v>
      </c>
      <c r="AB2259" s="40" t="s">
        <v>1798</v>
      </c>
    </row>
    <row r="2260" spans="1:28" x14ac:dyDescent="0.25">
      <c r="A2260">
        <v>99912259</v>
      </c>
      <c r="B2260" t="s">
        <v>32</v>
      </c>
      <c r="C2260" t="s">
        <v>64</v>
      </c>
      <c r="D2260" t="s">
        <v>65</v>
      </c>
      <c r="G2260" t="s">
        <v>48</v>
      </c>
      <c r="H2260">
        <v>7</v>
      </c>
      <c r="K2260" t="s">
        <v>354</v>
      </c>
      <c r="L2260" t="s">
        <v>355</v>
      </c>
      <c r="M2260" t="s">
        <v>131</v>
      </c>
      <c r="N2260">
        <v>20</v>
      </c>
      <c r="P2260" t="s">
        <v>41</v>
      </c>
      <c r="Q2260" t="s">
        <v>75</v>
      </c>
      <c r="R2260" t="str">
        <f>"7054006"</f>
        <v>7054006</v>
      </c>
      <c r="S2260" t="s">
        <v>774</v>
      </c>
      <c r="T2260" t="s">
        <v>354</v>
      </c>
      <c r="U2260" t="s">
        <v>355</v>
      </c>
      <c r="V2260" t="s">
        <v>131</v>
      </c>
      <c r="W2260" t="s">
        <v>51</v>
      </c>
      <c r="X2260" t="s">
        <v>45</v>
      </c>
      <c r="Y2260" s="1">
        <v>28126</v>
      </c>
      <c r="Z2260">
        <v>1</v>
      </c>
      <c r="AA2260" t="s">
        <v>355</v>
      </c>
      <c r="AB2260" s="40" t="s">
        <v>1798</v>
      </c>
    </row>
    <row r="2261" spans="1:28" x14ac:dyDescent="0.25">
      <c r="A2261">
        <v>99912260</v>
      </c>
      <c r="B2261" t="s">
        <v>56</v>
      </c>
      <c r="C2261" t="s">
        <v>79</v>
      </c>
      <c r="D2261" t="s">
        <v>80</v>
      </c>
      <c r="G2261" t="s">
        <v>35</v>
      </c>
      <c r="H2261">
        <v>1</v>
      </c>
      <c r="K2261" t="s">
        <v>1626</v>
      </c>
      <c r="L2261" t="s">
        <v>1627</v>
      </c>
      <c r="M2261" t="s">
        <v>1592</v>
      </c>
      <c r="N2261">
        <v>20</v>
      </c>
      <c r="P2261" t="s">
        <v>41</v>
      </c>
      <c r="Q2261" t="s">
        <v>49</v>
      </c>
      <c r="R2261" t="str">
        <f>"3681015"</f>
        <v>3681015</v>
      </c>
      <c r="S2261" t="s">
        <v>1629</v>
      </c>
      <c r="T2261" t="s">
        <v>1626</v>
      </c>
      <c r="U2261" t="s">
        <v>1627</v>
      </c>
      <c r="V2261" t="s">
        <v>1592</v>
      </c>
      <c r="W2261" t="s">
        <v>51</v>
      </c>
      <c r="X2261" t="s">
        <v>45</v>
      </c>
      <c r="Y2261" s="1">
        <v>28126</v>
      </c>
      <c r="Z2261">
        <v>2</v>
      </c>
      <c r="AA2261" t="s">
        <v>1627</v>
      </c>
      <c r="AB2261" s="40" t="s">
        <v>1798</v>
      </c>
    </row>
    <row r="2262" spans="1:28" x14ac:dyDescent="0.25">
      <c r="A2262">
        <v>99912261</v>
      </c>
      <c r="B2262" t="s">
        <v>32</v>
      </c>
      <c r="C2262" t="s">
        <v>139</v>
      </c>
      <c r="D2262" t="s">
        <v>140</v>
      </c>
      <c r="G2262" t="s">
        <v>48</v>
      </c>
      <c r="H2262">
        <v>1</v>
      </c>
      <c r="K2262" t="s">
        <v>129</v>
      </c>
      <c r="L2262" t="s">
        <v>130</v>
      </c>
      <c r="M2262" t="s">
        <v>131</v>
      </c>
      <c r="N2262">
        <v>20</v>
      </c>
      <c r="P2262" t="s">
        <v>41</v>
      </c>
      <c r="Q2262" t="s">
        <v>49</v>
      </c>
      <c r="R2262" t="str">
        <f>"0591905"</f>
        <v>0591905</v>
      </c>
      <c r="S2262" t="s">
        <v>135</v>
      </c>
      <c r="T2262" t="s">
        <v>129</v>
      </c>
      <c r="U2262" t="s">
        <v>130</v>
      </c>
      <c r="V2262" t="s">
        <v>131</v>
      </c>
      <c r="W2262" t="s">
        <v>51</v>
      </c>
      <c r="X2262" t="s">
        <v>45</v>
      </c>
      <c r="Y2262" s="1">
        <v>28121</v>
      </c>
      <c r="Z2262">
        <v>2</v>
      </c>
      <c r="AA2262" t="s">
        <v>130</v>
      </c>
      <c r="AB2262" s="40" t="s">
        <v>1798</v>
      </c>
    </row>
    <row r="2263" spans="1:28" x14ac:dyDescent="0.25">
      <c r="A2263">
        <v>99912262</v>
      </c>
      <c r="B2263" t="s">
        <v>56</v>
      </c>
      <c r="C2263" t="s">
        <v>85</v>
      </c>
      <c r="D2263" t="s">
        <v>86</v>
      </c>
      <c r="G2263" t="s">
        <v>48</v>
      </c>
      <c r="H2263">
        <v>1</v>
      </c>
      <c r="K2263" t="s">
        <v>157</v>
      </c>
      <c r="L2263" t="s">
        <v>158</v>
      </c>
      <c r="M2263" t="s">
        <v>131</v>
      </c>
      <c r="N2263">
        <v>20</v>
      </c>
      <c r="P2263" t="s">
        <v>41</v>
      </c>
      <c r="Q2263" t="s">
        <v>49</v>
      </c>
      <c r="R2263" t="str">
        <f>"0560019"</f>
        <v>0560019</v>
      </c>
      <c r="S2263" t="s">
        <v>166</v>
      </c>
      <c r="T2263" t="s">
        <v>157</v>
      </c>
      <c r="U2263" t="s">
        <v>158</v>
      </c>
      <c r="V2263" t="s">
        <v>131</v>
      </c>
      <c r="W2263" t="s">
        <v>51</v>
      </c>
      <c r="X2263" t="s">
        <v>45</v>
      </c>
      <c r="Y2263" s="1">
        <v>28120</v>
      </c>
      <c r="Z2263">
        <v>2</v>
      </c>
      <c r="AA2263" t="s">
        <v>158</v>
      </c>
      <c r="AB2263" s="40" t="s">
        <v>1798</v>
      </c>
    </row>
    <row r="2264" spans="1:28" x14ac:dyDescent="0.25">
      <c r="A2264">
        <v>99912263</v>
      </c>
      <c r="B2264" t="s">
        <v>32</v>
      </c>
      <c r="C2264" t="s">
        <v>46</v>
      </c>
      <c r="D2264" t="s">
        <v>47</v>
      </c>
      <c r="G2264" t="s">
        <v>48</v>
      </c>
      <c r="H2264">
        <v>1</v>
      </c>
      <c r="K2264" t="s">
        <v>380</v>
      </c>
      <c r="L2264" t="s">
        <v>381</v>
      </c>
      <c r="M2264" t="s">
        <v>131</v>
      </c>
      <c r="N2264">
        <v>20</v>
      </c>
      <c r="P2264" t="s">
        <v>41</v>
      </c>
      <c r="Q2264" t="s">
        <v>49</v>
      </c>
      <c r="R2264" t="str">
        <f>"0591908"</f>
        <v>0591908</v>
      </c>
      <c r="S2264" t="s">
        <v>383</v>
      </c>
      <c r="T2264" t="s">
        <v>380</v>
      </c>
      <c r="U2264" t="s">
        <v>381</v>
      </c>
      <c r="V2264" t="s">
        <v>131</v>
      </c>
      <c r="W2264" t="s">
        <v>51</v>
      </c>
      <c r="X2264" t="s">
        <v>45</v>
      </c>
      <c r="Y2264" s="1">
        <v>28117</v>
      </c>
      <c r="Z2264">
        <v>2</v>
      </c>
      <c r="AA2264" t="s">
        <v>381</v>
      </c>
      <c r="AB2264" s="40" t="s">
        <v>1798</v>
      </c>
    </row>
    <row r="2265" spans="1:28" x14ac:dyDescent="0.25">
      <c r="A2265">
        <v>99912264</v>
      </c>
      <c r="B2265" t="s">
        <v>32</v>
      </c>
      <c r="C2265" t="s">
        <v>46</v>
      </c>
      <c r="D2265" t="s">
        <v>47</v>
      </c>
      <c r="G2265" t="s">
        <v>35</v>
      </c>
      <c r="H2265">
        <v>1</v>
      </c>
      <c r="K2265" t="s">
        <v>162</v>
      </c>
      <c r="L2265" t="s">
        <v>158</v>
      </c>
      <c r="M2265" t="s">
        <v>131</v>
      </c>
      <c r="N2265">
        <v>20</v>
      </c>
      <c r="P2265" t="s">
        <v>41</v>
      </c>
      <c r="Q2265" t="s">
        <v>49</v>
      </c>
      <c r="R2265" t="str">
        <f>"0505050"</f>
        <v>0505050</v>
      </c>
      <c r="S2265" t="s">
        <v>163</v>
      </c>
      <c r="T2265" t="s">
        <v>162</v>
      </c>
      <c r="U2265" t="s">
        <v>158</v>
      </c>
      <c r="V2265" t="s">
        <v>131</v>
      </c>
      <c r="W2265" t="s">
        <v>51</v>
      </c>
      <c r="X2265" t="s">
        <v>45</v>
      </c>
      <c r="Y2265" s="1">
        <v>28104</v>
      </c>
      <c r="Z2265">
        <v>2</v>
      </c>
      <c r="AA2265" t="s">
        <v>158</v>
      </c>
      <c r="AB2265" s="40" t="s">
        <v>1798</v>
      </c>
    </row>
    <row r="2266" spans="1:28" x14ac:dyDescent="0.25">
      <c r="A2266">
        <v>99912265</v>
      </c>
      <c r="B2266" t="s">
        <v>32</v>
      </c>
      <c r="C2266" t="s">
        <v>46</v>
      </c>
      <c r="D2266" t="s">
        <v>47</v>
      </c>
      <c r="G2266" t="s">
        <v>48</v>
      </c>
      <c r="H2266">
        <v>1</v>
      </c>
      <c r="K2266" t="s">
        <v>1128</v>
      </c>
      <c r="L2266" t="s">
        <v>1129</v>
      </c>
      <c r="M2266" t="s">
        <v>1130</v>
      </c>
      <c r="N2266">
        <v>20</v>
      </c>
      <c r="P2266" t="s">
        <v>41</v>
      </c>
      <c r="Q2266" t="s">
        <v>42</v>
      </c>
      <c r="R2266" t="str">
        <f>"3180010"</f>
        <v>3180010</v>
      </c>
      <c r="S2266" t="s">
        <v>1132</v>
      </c>
      <c r="T2266" t="s">
        <v>1128</v>
      </c>
      <c r="U2266" t="s">
        <v>1129</v>
      </c>
      <c r="V2266" t="s">
        <v>1130</v>
      </c>
      <c r="W2266" t="s">
        <v>165</v>
      </c>
      <c r="X2266" t="s">
        <v>45</v>
      </c>
      <c r="Y2266" s="1">
        <v>28102</v>
      </c>
      <c r="Z2266">
        <v>2</v>
      </c>
      <c r="AA2266" t="s">
        <v>1129</v>
      </c>
      <c r="AB2266" s="40" t="s">
        <v>1798</v>
      </c>
    </row>
    <row r="2267" spans="1:28" x14ac:dyDescent="0.25">
      <c r="A2267">
        <v>99912266</v>
      </c>
      <c r="B2267" t="s">
        <v>32</v>
      </c>
      <c r="C2267" t="s">
        <v>46</v>
      </c>
      <c r="D2267" t="s">
        <v>47</v>
      </c>
      <c r="G2267" t="s">
        <v>48</v>
      </c>
      <c r="H2267">
        <v>1</v>
      </c>
      <c r="K2267" t="s">
        <v>223</v>
      </c>
      <c r="L2267" t="s">
        <v>224</v>
      </c>
      <c r="M2267" t="s">
        <v>131</v>
      </c>
      <c r="N2267">
        <v>20</v>
      </c>
      <c r="P2267" t="s">
        <v>41</v>
      </c>
      <c r="Q2267" t="s">
        <v>42</v>
      </c>
      <c r="R2267" t="str">
        <f>"0580395"</f>
        <v>0580395</v>
      </c>
      <c r="S2267" t="s">
        <v>265</v>
      </c>
      <c r="T2267" t="s">
        <v>223</v>
      </c>
      <c r="U2267" t="s">
        <v>224</v>
      </c>
      <c r="V2267" t="s">
        <v>131</v>
      </c>
      <c r="W2267" t="s">
        <v>51</v>
      </c>
      <c r="X2267" t="s">
        <v>45</v>
      </c>
      <c r="Y2267" s="1">
        <v>28057</v>
      </c>
      <c r="Z2267">
        <v>2</v>
      </c>
      <c r="AA2267" t="s">
        <v>224</v>
      </c>
      <c r="AB2267" s="40" t="s">
        <v>1798</v>
      </c>
    </row>
    <row r="2268" spans="1:28" x14ac:dyDescent="0.25">
      <c r="A2268">
        <v>99912267</v>
      </c>
      <c r="B2268" t="s">
        <v>32</v>
      </c>
      <c r="C2268" t="s">
        <v>139</v>
      </c>
      <c r="D2268" t="s">
        <v>140</v>
      </c>
      <c r="G2268" t="s">
        <v>48</v>
      </c>
      <c r="H2268">
        <v>9</v>
      </c>
      <c r="K2268" t="s">
        <v>1268</v>
      </c>
      <c r="L2268" t="s">
        <v>1269</v>
      </c>
      <c r="M2268" t="s">
        <v>1270</v>
      </c>
      <c r="N2268">
        <v>20</v>
      </c>
      <c r="O2268" s="1">
        <v>43344</v>
      </c>
      <c r="P2268" t="s">
        <v>41</v>
      </c>
      <c r="Q2268" t="s">
        <v>49</v>
      </c>
      <c r="R2268" t="str">
        <f>"1981055"</f>
        <v>1981055</v>
      </c>
      <c r="S2268" t="s">
        <v>1280</v>
      </c>
      <c r="T2268" t="s">
        <v>1268</v>
      </c>
      <c r="U2268" t="s">
        <v>1269</v>
      </c>
      <c r="V2268" t="s">
        <v>1270</v>
      </c>
      <c r="W2268" t="s">
        <v>51</v>
      </c>
      <c r="X2268" t="s">
        <v>45</v>
      </c>
      <c r="Y2268" s="1">
        <v>28021</v>
      </c>
      <c r="Z2268">
        <v>2</v>
      </c>
      <c r="AA2268" t="s">
        <v>1269</v>
      </c>
      <c r="AB2268" s="40" t="s">
        <v>1798</v>
      </c>
    </row>
    <row r="2269" spans="1:28" x14ac:dyDescent="0.25">
      <c r="A2269">
        <v>99912268</v>
      </c>
      <c r="B2269" t="s">
        <v>32</v>
      </c>
      <c r="C2269" t="s">
        <v>64</v>
      </c>
      <c r="D2269" t="s">
        <v>65</v>
      </c>
      <c r="G2269" t="s">
        <v>35</v>
      </c>
      <c r="H2269">
        <v>1</v>
      </c>
      <c r="K2269" t="s">
        <v>223</v>
      </c>
      <c r="L2269" t="s">
        <v>224</v>
      </c>
      <c r="M2269" t="s">
        <v>131</v>
      </c>
      <c r="N2269">
        <v>20</v>
      </c>
      <c r="P2269" t="s">
        <v>41</v>
      </c>
      <c r="Q2269" t="s">
        <v>49</v>
      </c>
      <c r="R2269" t="str">
        <f>"0581200"</f>
        <v>0581200</v>
      </c>
      <c r="S2269" t="s">
        <v>238</v>
      </c>
      <c r="T2269" t="s">
        <v>223</v>
      </c>
      <c r="U2269" t="s">
        <v>224</v>
      </c>
      <c r="V2269" t="s">
        <v>131</v>
      </c>
      <c r="W2269" t="s">
        <v>51</v>
      </c>
      <c r="X2269" t="s">
        <v>45</v>
      </c>
      <c r="Y2269" s="1">
        <v>28004</v>
      </c>
      <c r="Z2269">
        <v>2</v>
      </c>
      <c r="AA2269" t="s">
        <v>224</v>
      </c>
      <c r="AB2269" s="40" t="s">
        <v>1798</v>
      </c>
    </row>
    <row r="2270" spans="1:28" x14ac:dyDescent="0.25">
      <c r="A2270">
        <v>99912269</v>
      </c>
      <c r="B2270" t="s">
        <v>32</v>
      </c>
      <c r="C2270" t="s">
        <v>46</v>
      </c>
      <c r="D2270" t="s">
        <v>47</v>
      </c>
      <c r="G2270" t="s">
        <v>35</v>
      </c>
      <c r="H2270">
        <v>1</v>
      </c>
      <c r="K2270" t="s">
        <v>1546</v>
      </c>
      <c r="L2270" t="s">
        <v>1547</v>
      </c>
      <c r="M2270" t="s">
        <v>1548</v>
      </c>
      <c r="N2270">
        <v>20</v>
      </c>
      <c r="P2270" t="s">
        <v>41</v>
      </c>
      <c r="Q2270" t="s">
        <v>42</v>
      </c>
      <c r="R2270" t="str">
        <f>"1080010"</f>
        <v>1080010</v>
      </c>
      <c r="S2270" t="s">
        <v>1549</v>
      </c>
      <c r="T2270" t="s">
        <v>1546</v>
      </c>
      <c r="U2270" t="s">
        <v>1547</v>
      </c>
      <c r="V2270" t="s">
        <v>1548</v>
      </c>
      <c r="W2270" t="s">
        <v>51</v>
      </c>
      <c r="X2270" t="s">
        <v>45</v>
      </c>
      <c r="Y2270" s="1">
        <v>27990</v>
      </c>
      <c r="Z2270">
        <v>2</v>
      </c>
      <c r="AA2270" t="s">
        <v>1547</v>
      </c>
      <c r="AB2270" s="40" t="s">
        <v>1798</v>
      </c>
    </row>
    <row r="2271" spans="1:28" x14ac:dyDescent="0.25">
      <c r="A2271">
        <v>99912270</v>
      </c>
      <c r="B2271" t="s">
        <v>56</v>
      </c>
      <c r="C2271" t="s">
        <v>46</v>
      </c>
      <c r="D2271" t="s">
        <v>47</v>
      </c>
      <c r="G2271" t="s">
        <v>48</v>
      </c>
      <c r="H2271">
        <v>1</v>
      </c>
      <c r="K2271" t="s">
        <v>162</v>
      </c>
      <c r="L2271" t="s">
        <v>158</v>
      </c>
      <c r="M2271" t="s">
        <v>131</v>
      </c>
      <c r="N2271">
        <v>20</v>
      </c>
      <c r="P2271" t="s">
        <v>41</v>
      </c>
      <c r="Q2271" t="s">
        <v>42</v>
      </c>
      <c r="R2271" t="str">
        <f>"0580325"</f>
        <v>0580325</v>
      </c>
      <c r="S2271" t="s">
        <v>170</v>
      </c>
      <c r="T2271" t="s">
        <v>162</v>
      </c>
      <c r="U2271" t="s">
        <v>158</v>
      </c>
      <c r="V2271" t="s">
        <v>131</v>
      </c>
      <c r="W2271" t="s">
        <v>51</v>
      </c>
      <c r="X2271" t="s">
        <v>45</v>
      </c>
      <c r="Y2271" s="1">
        <v>27981</v>
      </c>
      <c r="Z2271">
        <v>2</v>
      </c>
      <c r="AA2271" t="s">
        <v>158</v>
      </c>
      <c r="AB2271" s="40" t="s">
        <v>1798</v>
      </c>
    </row>
    <row r="2272" spans="1:28" x14ac:dyDescent="0.25">
      <c r="A2272">
        <v>99912271</v>
      </c>
      <c r="B2272" t="s">
        <v>32</v>
      </c>
      <c r="C2272" t="s">
        <v>139</v>
      </c>
      <c r="D2272" t="s">
        <v>140</v>
      </c>
      <c r="G2272" t="s">
        <v>48</v>
      </c>
      <c r="H2272">
        <v>1</v>
      </c>
      <c r="K2272" t="s">
        <v>345</v>
      </c>
      <c r="L2272" t="s">
        <v>346</v>
      </c>
      <c r="M2272" t="s">
        <v>131</v>
      </c>
      <c r="N2272">
        <v>20</v>
      </c>
      <c r="P2272" t="s">
        <v>41</v>
      </c>
      <c r="Q2272" t="s">
        <v>42</v>
      </c>
      <c r="R2272" t="str">
        <f>"0590906"</f>
        <v>0590906</v>
      </c>
      <c r="S2272" t="s">
        <v>361</v>
      </c>
      <c r="T2272" t="s">
        <v>345</v>
      </c>
      <c r="U2272" t="s">
        <v>346</v>
      </c>
      <c r="V2272" t="s">
        <v>131</v>
      </c>
      <c r="W2272" t="s">
        <v>51</v>
      </c>
      <c r="X2272" t="s">
        <v>45</v>
      </c>
      <c r="Y2272" s="1">
        <v>27967</v>
      </c>
      <c r="Z2272">
        <v>2</v>
      </c>
      <c r="AA2272" t="s">
        <v>346</v>
      </c>
      <c r="AB2272" s="40" t="s">
        <v>1798</v>
      </c>
    </row>
    <row r="2273" spans="1:29" x14ac:dyDescent="0.25">
      <c r="A2273">
        <v>99912272</v>
      </c>
      <c r="B2273" t="s">
        <v>32</v>
      </c>
      <c r="C2273" t="s">
        <v>46</v>
      </c>
      <c r="D2273" t="s">
        <v>47</v>
      </c>
      <c r="G2273" t="s">
        <v>48</v>
      </c>
      <c r="H2273">
        <v>7</v>
      </c>
      <c r="K2273" t="s">
        <v>1268</v>
      </c>
      <c r="L2273" t="s">
        <v>1269</v>
      </c>
      <c r="M2273" t="s">
        <v>1270</v>
      </c>
      <c r="N2273">
        <v>20</v>
      </c>
      <c r="P2273" t="s">
        <v>41</v>
      </c>
      <c r="Q2273" t="s">
        <v>49</v>
      </c>
      <c r="R2273" t="str">
        <f>"1981912"</f>
        <v>1981912</v>
      </c>
      <c r="S2273" t="s">
        <v>1279</v>
      </c>
      <c r="T2273" t="s">
        <v>1268</v>
      </c>
      <c r="U2273" t="s">
        <v>1269</v>
      </c>
      <c r="V2273" t="s">
        <v>1270</v>
      </c>
      <c r="W2273" t="s">
        <v>51</v>
      </c>
      <c r="X2273" t="s">
        <v>45</v>
      </c>
      <c r="Y2273" s="1">
        <v>27944</v>
      </c>
      <c r="Z2273">
        <v>2</v>
      </c>
      <c r="AA2273" t="s">
        <v>1269</v>
      </c>
      <c r="AB2273" s="40" t="s">
        <v>1798</v>
      </c>
    </row>
    <row r="2274" spans="1:29" x14ac:dyDescent="0.25">
      <c r="A2274">
        <v>99912273</v>
      </c>
      <c r="B2274" t="s">
        <v>56</v>
      </c>
      <c r="C2274" t="s">
        <v>188</v>
      </c>
      <c r="D2274" t="s">
        <v>189</v>
      </c>
      <c r="G2274" t="s">
        <v>35</v>
      </c>
      <c r="H2274">
        <v>1</v>
      </c>
      <c r="K2274" t="s">
        <v>1268</v>
      </c>
      <c r="L2274" t="s">
        <v>1269</v>
      </c>
      <c r="M2274" t="s">
        <v>1270</v>
      </c>
      <c r="N2274">
        <v>20</v>
      </c>
      <c r="P2274" t="s">
        <v>41</v>
      </c>
      <c r="Q2274" t="s">
        <v>922</v>
      </c>
      <c r="R2274" t="str">
        <f>"1950001"</f>
        <v>1950001</v>
      </c>
      <c r="S2274" t="s">
        <v>1284</v>
      </c>
      <c r="T2274" t="s">
        <v>1268</v>
      </c>
      <c r="U2274" t="s">
        <v>1269</v>
      </c>
      <c r="V2274" t="s">
        <v>1270</v>
      </c>
      <c r="W2274" t="s">
        <v>51</v>
      </c>
      <c r="X2274" t="s">
        <v>45</v>
      </c>
      <c r="Y2274" s="1">
        <v>27907</v>
      </c>
      <c r="Z2274">
        <v>2</v>
      </c>
      <c r="AA2274" t="s">
        <v>1269</v>
      </c>
      <c r="AB2274" s="40" t="s">
        <v>1798</v>
      </c>
    </row>
    <row r="2275" spans="1:29" x14ac:dyDescent="0.25">
      <c r="A2275">
        <v>99912274</v>
      </c>
      <c r="B2275" t="s">
        <v>32</v>
      </c>
      <c r="C2275" t="s">
        <v>52</v>
      </c>
      <c r="D2275" t="s">
        <v>53</v>
      </c>
      <c r="G2275" t="s">
        <v>48</v>
      </c>
      <c r="H2275">
        <v>1</v>
      </c>
      <c r="K2275" t="s">
        <v>162</v>
      </c>
      <c r="L2275" t="s">
        <v>158</v>
      </c>
      <c r="M2275" t="s">
        <v>131</v>
      </c>
      <c r="N2275">
        <v>20</v>
      </c>
      <c r="P2275" t="s">
        <v>41</v>
      </c>
      <c r="Q2275" t="s">
        <v>42</v>
      </c>
      <c r="R2275" t="str">
        <f>"0580320"</f>
        <v>0580320</v>
      </c>
      <c r="S2275" t="s">
        <v>164</v>
      </c>
      <c r="T2275" t="s">
        <v>162</v>
      </c>
      <c r="U2275" t="s">
        <v>158</v>
      </c>
      <c r="V2275" t="s">
        <v>131</v>
      </c>
      <c r="W2275" t="s">
        <v>165</v>
      </c>
      <c r="X2275" t="s">
        <v>45</v>
      </c>
      <c r="Y2275" s="1">
        <v>27885</v>
      </c>
      <c r="Z2275">
        <v>2</v>
      </c>
      <c r="AA2275" t="s">
        <v>158</v>
      </c>
      <c r="AB2275" s="40" t="s">
        <v>1798</v>
      </c>
    </row>
    <row r="2276" spans="1:29" x14ac:dyDescent="0.25">
      <c r="A2276">
        <v>99912275</v>
      </c>
      <c r="B2276" t="s">
        <v>32</v>
      </c>
      <c r="C2276" t="s">
        <v>141</v>
      </c>
      <c r="D2276" t="s">
        <v>142</v>
      </c>
      <c r="G2276" t="s">
        <v>48</v>
      </c>
      <c r="H2276">
        <v>2</v>
      </c>
      <c r="K2276" t="s">
        <v>129</v>
      </c>
      <c r="L2276" t="s">
        <v>130</v>
      </c>
      <c r="M2276" t="s">
        <v>131</v>
      </c>
      <c r="N2276">
        <v>20</v>
      </c>
      <c r="P2276" t="s">
        <v>41</v>
      </c>
      <c r="Q2276" t="s">
        <v>49</v>
      </c>
      <c r="R2276" t="str">
        <f>"0591905"</f>
        <v>0591905</v>
      </c>
      <c r="S2276" t="s">
        <v>135</v>
      </c>
      <c r="T2276" t="s">
        <v>129</v>
      </c>
      <c r="U2276" t="s">
        <v>130</v>
      </c>
      <c r="V2276" t="s">
        <v>131</v>
      </c>
      <c r="W2276" t="s">
        <v>51</v>
      </c>
      <c r="X2276" t="s">
        <v>45</v>
      </c>
      <c r="Y2276" s="1">
        <v>27851</v>
      </c>
      <c r="Z2276">
        <v>2</v>
      </c>
      <c r="AA2276" t="s">
        <v>130</v>
      </c>
      <c r="AB2276" s="40" t="s">
        <v>1798</v>
      </c>
    </row>
    <row r="2277" spans="1:29" x14ac:dyDescent="0.25">
      <c r="A2277">
        <v>99912276</v>
      </c>
      <c r="B2277" t="s">
        <v>32</v>
      </c>
      <c r="C2277" t="s">
        <v>46</v>
      </c>
      <c r="D2277" t="s">
        <v>47</v>
      </c>
      <c r="G2277" t="s">
        <v>48</v>
      </c>
      <c r="H2277">
        <v>1</v>
      </c>
      <c r="K2277" t="s">
        <v>1128</v>
      </c>
      <c r="L2277" t="s">
        <v>1129</v>
      </c>
      <c r="M2277" t="s">
        <v>1130</v>
      </c>
      <c r="N2277">
        <v>20</v>
      </c>
      <c r="P2277" t="s">
        <v>41</v>
      </c>
      <c r="Q2277" t="s">
        <v>49</v>
      </c>
      <c r="R2277" t="str">
        <f>"3181010"</f>
        <v>3181010</v>
      </c>
      <c r="S2277" t="s">
        <v>1134</v>
      </c>
      <c r="T2277" t="s">
        <v>1128</v>
      </c>
      <c r="U2277" t="s">
        <v>1129</v>
      </c>
      <c r="V2277" t="s">
        <v>1130</v>
      </c>
      <c r="W2277" t="s">
        <v>165</v>
      </c>
      <c r="X2277" t="s">
        <v>45</v>
      </c>
      <c r="Y2277" s="1">
        <v>27809</v>
      </c>
      <c r="Z2277">
        <v>2</v>
      </c>
      <c r="AA2277" t="s">
        <v>1129</v>
      </c>
      <c r="AB2277" s="40" t="s">
        <v>1798</v>
      </c>
    </row>
    <row r="2278" spans="1:29" x14ac:dyDescent="0.25">
      <c r="A2278">
        <v>99912277</v>
      </c>
      <c r="B2278" t="s">
        <v>32</v>
      </c>
      <c r="C2278" t="s">
        <v>46</v>
      </c>
      <c r="D2278" t="s">
        <v>47</v>
      </c>
      <c r="G2278" t="s">
        <v>48</v>
      </c>
      <c r="H2278">
        <v>1</v>
      </c>
      <c r="K2278" t="s">
        <v>129</v>
      </c>
      <c r="L2278" t="s">
        <v>130</v>
      </c>
      <c r="M2278" t="s">
        <v>131</v>
      </c>
      <c r="N2278">
        <v>20</v>
      </c>
      <c r="P2278" t="s">
        <v>41</v>
      </c>
      <c r="Q2278" t="s">
        <v>49</v>
      </c>
      <c r="R2278" t="str">
        <f>"0591905"</f>
        <v>0591905</v>
      </c>
      <c r="S2278" t="s">
        <v>135</v>
      </c>
      <c r="T2278" t="s">
        <v>129</v>
      </c>
      <c r="U2278" t="s">
        <v>130</v>
      </c>
      <c r="V2278" t="s">
        <v>131</v>
      </c>
      <c r="W2278" t="s">
        <v>51</v>
      </c>
      <c r="X2278" t="s">
        <v>45</v>
      </c>
      <c r="Y2278" s="1">
        <v>27804</v>
      </c>
      <c r="Z2278">
        <v>2</v>
      </c>
      <c r="AA2278" t="s">
        <v>130</v>
      </c>
      <c r="AB2278" s="40" t="s">
        <v>1798</v>
      </c>
    </row>
    <row r="2279" spans="1:29" x14ac:dyDescent="0.25">
      <c r="A2279">
        <v>99912278</v>
      </c>
      <c r="B2279" t="s">
        <v>32</v>
      </c>
      <c r="C2279" t="s">
        <v>46</v>
      </c>
      <c r="D2279" t="s">
        <v>47</v>
      </c>
      <c r="G2279" t="s">
        <v>35</v>
      </c>
      <c r="H2279">
        <v>1</v>
      </c>
      <c r="K2279" t="s">
        <v>162</v>
      </c>
      <c r="L2279" t="s">
        <v>158</v>
      </c>
      <c r="M2279" t="s">
        <v>131</v>
      </c>
      <c r="N2279">
        <v>20</v>
      </c>
      <c r="P2279" t="s">
        <v>41</v>
      </c>
      <c r="Q2279" t="s">
        <v>49</v>
      </c>
      <c r="R2279" t="str">
        <f>"0505050"</f>
        <v>0505050</v>
      </c>
      <c r="S2279" t="s">
        <v>163</v>
      </c>
      <c r="T2279" t="s">
        <v>162</v>
      </c>
      <c r="U2279" t="s">
        <v>158</v>
      </c>
      <c r="V2279" t="s">
        <v>131</v>
      </c>
      <c r="W2279" t="s">
        <v>165</v>
      </c>
      <c r="X2279" t="s">
        <v>45</v>
      </c>
      <c r="Y2279" s="1">
        <v>27791</v>
      </c>
      <c r="Z2279">
        <v>2</v>
      </c>
      <c r="AA2279" t="s">
        <v>158</v>
      </c>
      <c r="AB2279" s="40" t="s">
        <v>1798</v>
      </c>
    </row>
    <row r="2280" spans="1:29" x14ac:dyDescent="0.25">
      <c r="A2280">
        <v>99912279</v>
      </c>
      <c r="B2280" t="s">
        <v>32</v>
      </c>
      <c r="C2280" t="s">
        <v>52</v>
      </c>
      <c r="D2280" t="s">
        <v>53</v>
      </c>
      <c r="G2280" t="s">
        <v>48</v>
      </c>
      <c r="H2280">
        <v>1</v>
      </c>
      <c r="K2280" t="s">
        <v>162</v>
      </c>
      <c r="L2280" t="s">
        <v>158</v>
      </c>
      <c r="M2280" t="s">
        <v>131</v>
      </c>
      <c r="N2280">
        <v>20</v>
      </c>
      <c r="P2280" t="s">
        <v>41</v>
      </c>
      <c r="Q2280" t="s">
        <v>49</v>
      </c>
      <c r="R2280" t="str">
        <f>"0581325"</f>
        <v>0581325</v>
      </c>
      <c r="S2280" t="s">
        <v>169</v>
      </c>
      <c r="T2280" t="s">
        <v>162</v>
      </c>
      <c r="U2280" t="s">
        <v>158</v>
      </c>
      <c r="V2280" t="s">
        <v>131</v>
      </c>
      <c r="W2280" t="s">
        <v>51</v>
      </c>
      <c r="X2280" t="s">
        <v>45</v>
      </c>
      <c r="Y2280" s="1">
        <v>27763</v>
      </c>
      <c r="Z2280">
        <v>2</v>
      </c>
      <c r="AA2280" t="s">
        <v>158</v>
      </c>
      <c r="AB2280" s="40" t="s">
        <v>1798</v>
      </c>
    </row>
    <row r="2281" spans="1:29" x14ac:dyDescent="0.25">
      <c r="A2281">
        <v>99912280</v>
      </c>
      <c r="B2281" t="s">
        <v>56</v>
      </c>
      <c r="C2281" t="s">
        <v>46</v>
      </c>
      <c r="D2281" t="s">
        <v>47</v>
      </c>
      <c r="G2281" t="s">
        <v>48</v>
      </c>
      <c r="H2281">
        <v>1</v>
      </c>
      <c r="K2281" t="s">
        <v>300</v>
      </c>
      <c r="L2281" t="s">
        <v>301</v>
      </c>
      <c r="M2281" t="s">
        <v>131</v>
      </c>
      <c r="N2281">
        <v>20</v>
      </c>
      <c r="P2281" t="s">
        <v>41</v>
      </c>
      <c r="Q2281" t="s">
        <v>49</v>
      </c>
      <c r="R2281" t="str">
        <f>"0560001"</f>
        <v>0560001</v>
      </c>
      <c r="S2281" t="s">
        <v>304</v>
      </c>
      <c r="T2281" t="s">
        <v>300</v>
      </c>
      <c r="U2281" t="s">
        <v>301</v>
      </c>
      <c r="V2281" t="s">
        <v>131</v>
      </c>
      <c r="W2281" t="s">
        <v>51</v>
      </c>
      <c r="X2281" t="s">
        <v>45</v>
      </c>
      <c r="Y2281" s="1">
        <v>27760</v>
      </c>
      <c r="Z2281">
        <v>2</v>
      </c>
      <c r="AA2281" t="s">
        <v>301</v>
      </c>
      <c r="AB2281" s="40" t="s">
        <v>1798</v>
      </c>
      <c r="AC2281" s="36"/>
    </row>
    <row r="2282" spans="1:29" x14ac:dyDescent="0.25">
      <c r="A2282">
        <v>99912281</v>
      </c>
      <c r="B2282" t="s">
        <v>32</v>
      </c>
      <c r="C2282" t="s">
        <v>64</v>
      </c>
      <c r="D2282" t="s">
        <v>65</v>
      </c>
      <c r="G2282" t="s">
        <v>35</v>
      </c>
      <c r="H2282">
        <v>1</v>
      </c>
      <c r="K2282" t="s">
        <v>354</v>
      </c>
      <c r="L2282" t="s">
        <v>355</v>
      </c>
      <c r="M2282" t="s">
        <v>131</v>
      </c>
      <c r="N2282">
        <v>20</v>
      </c>
      <c r="P2282" t="s">
        <v>41</v>
      </c>
      <c r="Q2282" t="s">
        <v>75</v>
      </c>
      <c r="R2282" t="str">
        <f>"7054000"</f>
        <v>7054000</v>
      </c>
      <c r="S2282" t="s">
        <v>786</v>
      </c>
      <c r="T2282" t="s">
        <v>354</v>
      </c>
      <c r="U2282" t="s">
        <v>355</v>
      </c>
      <c r="V2282" t="s">
        <v>131</v>
      </c>
      <c r="W2282" t="s">
        <v>51</v>
      </c>
      <c r="X2282" t="s">
        <v>45</v>
      </c>
      <c r="Y2282" s="1">
        <v>27760</v>
      </c>
      <c r="Z2282">
        <v>1</v>
      </c>
      <c r="AA2282" t="s">
        <v>355</v>
      </c>
      <c r="AB2282" s="40" t="s">
        <v>1798</v>
      </c>
    </row>
    <row r="2283" spans="1:29" x14ac:dyDescent="0.25">
      <c r="A2283">
        <v>99912282</v>
      </c>
      <c r="B2283" t="s">
        <v>32</v>
      </c>
      <c r="C2283" t="s">
        <v>46</v>
      </c>
      <c r="D2283" t="s">
        <v>47</v>
      </c>
      <c r="G2283" t="s">
        <v>35</v>
      </c>
      <c r="H2283">
        <v>1</v>
      </c>
      <c r="I2283" t="s">
        <v>961</v>
      </c>
      <c r="J2283" s="1">
        <v>43344</v>
      </c>
      <c r="K2283" t="s">
        <v>947</v>
      </c>
      <c r="L2283" t="s">
        <v>948</v>
      </c>
      <c r="M2283" t="s">
        <v>938</v>
      </c>
      <c r="N2283">
        <v>20</v>
      </c>
      <c r="O2283" s="1">
        <v>43344</v>
      </c>
      <c r="P2283" t="s">
        <v>41</v>
      </c>
      <c r="Q2283" t="s">
        <v>42</v>
      </c>
      <c r="R2283" t="str">
        <f>"0680030"</f>
        <v>0680030</v>
      </c>
      <c r="S2283" t="s">
        <v>951</v>
      </c>
      <c r="T2283" t="s">
        <v>947</v>
      </c>
      <c r="U2283" t="s">
        <v>948</v>
      </c>
      <c r="V2283" t="s">
        <v>938</v>
      </c>
      <c r="W2283" t="s">
        <v>51</v>
      </c>
      <c r="X2283" t="s">
        <v>45</v>
      </c>
      <c r="Y2283" s="1">
        <v>27760</v>
      </c>
      <c r="Z2283">
        <v>2</v>
      </c>
      <c r="AA2283" t="s">
        <v>948</v>
      </c>
      <c r="AB2283" s="40" t="s">
        <v>1798</v>
      </c>
    </row>
    <row r="2284" spans="1:29" x14ac:dyDescent="0.25">
      <c r="A2284">
        <v>99912283</v>
      </c>
      <c r="B2284" t="s">
        <v>32</v>
      </c>
      <c r="C2284" t="s">
        <v>52</v>
      </c>
      <c r="D2284" t="s">
        <v>53</v>
      </c>
      <c r="G2284" t="s">
        <v>48</v>
      </c>
      <c r="H2284">
        <v>10</v>
      </c>
      <c r="K2284" t="s">
        <v>1268</v>
      </c>
      <c r="L2284" t="s">
        <v>1269</v>
      </c>
      <c r="M2284" t="s">
        <v>1270</v>
      </c>
      <c r="N2284">
        <v>20</v>
      </c>
      <c r="P2284" t="s">
        <v>41</v>
      </c>
      <c r="Q2284" t="s">
        <v>49</v>
      </c>
      <c r="R2284" t="str">
        <f>"1981912"</f>
        <v>1981912</v>
      </c>
      <c r="S2284" t="s">
        <v>1279</v>
      </c>
      <c r="T2284" t="s">
        <v>1268</v>
      </c>
      <c r="U2284" t="s">
        <v>1269</v>
      </c>
      <c r="V2284" t="s">
        <v>1270</v>
      </c>
      <c r="W2284" t="s">
        <v>51</v>
      </c>
      <c r="X2284" t="s">
        <v>45</v>
      </c>
      <c r="Y2284" s="1">
        <v>27746</v>
      </c>
      <c r="Z2284">
        <v>2</v>
      </c>
      <c r="AA2284" t="s">
        <v>1269</v>
      </c>
      <c r="AB2284" s="40" t="s">
        <v>1798</v>
      </c>
    </row>
    <row r="2285" spans="1:29" x14ac:dyDescent="0.25">
      <c r="A2285">
        <v>99912284</v>
      </c>
      <c r="B2285" t="s">
        <v>56</v>
      </c>
      <c r="C2285" t="s">
        <v>52</v>
      </c>
      <c r="D2285" t="s">
        <v>53</v>
      </c>
      <c r="G2285" t="s">
        <v>48</v>
      </c>
      <c r="H2285">
        <v>1</v>
      </c>
      <c r="K2285" t="s">
        <v>1128</v>
      </c>
      <c r="L2285" t="s">
        <v>1129</v>
      </c>
      <c r="M2285" t="s">
        <v>1130</v>
      </c>
      <c r="N2285">
        <v>20</v>
      </c>
      <c r="P2285" t="s">
        <v>41</v>
      </c>
      <c r="Q2285" t="s">
        <v>49</v>
      </c>
      <c r="R2285" t="str">
        <f>"3181010"</f>
        <v>3181010</v>
      </c>
      <c r="S2285" t="s">
        <v>1134</v>
      </c>
      <c r="T2285" t="s">
        <v>1128</v>
      </c>
      <c r="U2285" t="s">
        <v>1129</v>
      </c>
      <c r="V2285" t="s">
        <v>1130</v>
      </c>
      <c r="W2285" t="s">
        <v>165</v>
      </c>
      <c r="X2285" t="s">
        <v>45</v>
      </c>
      <c r="Y2285" s="1">
        <v>27734</v>
      </c>
      <c r="Z2285">
        <v>2</v>
      </c>
      <c r="AA2285" t="s">
        <v>1129</v>
      </c>
      <c r="AB2285" s="40" t="s">
        <v>1798</v>
      </c>
    </row>
    <row r="2286" spans="1:29" x14ac:dyDescent="0.25">
      <c r="A2286">
        <v>99912285</v>
      </c>
      <c r="B2286" t="s">
        <v>32</v>
      </c>
      <c r="C2286" t="s">
        <v>111</v>
      </c>
      <c r="D2286" t="s">
        <v>112</v>
      </c>
      <c r="G2286" t="s">
        <v>35</v>
      </c>
      <c r="H2286">
        <v>1</v>
      </c>
      <c r="K2286" t="s">
        <v>1341</v>
      </c>
      <c r="L2286" t="s">
        <v>1342</v>
      </c>
      <c r="M2286" t="s">
        <v>1270</v>
      </c>
      <c r="N2286">
        <v>20</v>
      </c>
      <c r="P2286" t="s">
        <v>41</v>
      </c>
      <c r="Q2286" t="s">
        <v>75</v>
      </c>
      <c r="R2286" t="str">
        <f>"7191006"</f>
        <v>7191006</v>
      </c>
      <c r="S2286" t="s">
        <v>1351</v>
      </c>
      <c r="T2286" t="s">
        <v>1341</v>
      </c>
      <c r="U2286" t="s">
        <v>1342</v>
      </c>
      <c r="V2286" t="s">
        <v>1270</v>
      </c>
      <c r="W2286" t="s">
        <v>51</v>
      </c>
      <c r="X2286" t="s">
        <v>45</v>
      </c>
      <c r="Y2286" s="1">
        <v>27668</v>
      </c>
      <c r="Z2286">
        <v>1</v>
      </c>
      <c r="AA2286" t="s">
        <v>1342</v>
      </c>
      <c r="AB2286" s="40" t="s">
        <v>1798</v>
      </c>
    </row>
    <row r="2287" spans="1:29" x14ac:dyDescent="0.25">
      <c r="A2287">
        <v>99912286</v>
      </c>
      <c r="B2287" t="s">
        <v>56</v>
      </c>
      <c r="C2287" t="s">
        <v>82</v>
      </c>
      <c r="D2287" t="s">
        <v>83</v>
      </c>
      <c r="G2287" t="s">
        <v>48</v>
      </c>
      <c r="H2287">
        <v>1</v>
      </c>
      <c r="K2287" t="s">
        <v>300</v>
      </c>
      <c r="L2287" t="s">
        <v>301</v>
      </c>
      <c r="M2287" t="s">
        <v>131</v>
      </c>
      <c r="N2287">
        <v>20</v>
      </c>
      <c r="P2287" t="s">
        <v>41</v>
      </c>
      <c r="Q2287" t="s">
        <v>42</v>
      </c>
      <c r="R2287" t="str">
        <f>"0580106"</f>
        <v>0580106</v>
      </c>
      <c r="S2287" t="s">
        <v>306</v>
      </c>
      <c r="T2287" t="s">
        <v>300</v>
      </c>
      <c r="U2287" t="s">
        <v>301</v>
      </c>
      <c r="V2287" t="s">
        <v>131</v>
      </c>
      <c r="W2287" t="s">
        <v>51</v>
      </c>
      <c r="X2287" t="s">
        <v>45</v>
      </c>
      <c r="Y2287" s="1">
        <v>27660</v>
      </c>
      <c r="Z2287">
        <v>2</v>
      </c>
      <c r="AA2287" t="s">
        <v>301</v>
      </c>
      <c r="AB2287" s="40" t="s">
        <v>1798</v>
      </c>
    </row>
    <row r="2288" spans="1:29" x14ac:dyDescent="0.25">
      <c r="A2288">
        <v>99912287</v>
      </c>
      <c r="B2288" t="s">
        <v>32</v>
      </c>
      <c r="C2288" t="s">
        <v>64</v>
      </c>
      <c r="D2288" t="s">
        <v>65</v>
      </c>
      <c r="G2288" t="s">
        <v>35</v>
      </c>
      <c r="H2288">
        <v>1</v>
      </c>
      <c r="K2288" t="s">
        <v>154</v>
      </c>
      <c r="L2288" t="s">
        <v>155</v>
      </c>
      <c r="M2288" t="s">
        <v>131</v>
      </c>
      <c r="N2288">
        <v>20</v>
      </c>
      <c r="P2288" t="s">
        <v>41</v>
      </c>
      <c r="Q2288" t="s">
        <v>75</v>
      </c>
      <c r="R2288" t="str">
        <f>"7051032"</f>
        <v>7051032</v>
      </c>
      <c r="S2288" t="s">
        <v>400</v>
      </c>
      <c r="T2288" t="s">
        <v>154</v>
      </c>
      <c r="U2288" t="s">
        <v>155</v>
      </c>
      <c r="V2288" t="s">
        <v>131</v>
      </c>
      <c r="W2288" t="s">
        <v>51</v>
      </c>
      <c r="X2288" t="s">
        <v>45</v>
      </c>
      <c r="Y2288" s="1">
        <v>27659</v>
      </c>
      <c r="Z2288">
        <v>1</v>
      </c>
      <c r="AA2288" t="s">
        <v>155</v>
      </c>
      <c r="AB2288" s="40" t="s">
        <v>1798</v>
      </c>
    </row>
    <row r="2289" spans="1:28" x14ac:dyDescent="0.25">
      <c r="A2289">
        <v>99912288</v>
      </c>
      <c r="B2289" t="s">
        <v>32</v>
      </c>
      <c r="C2289" t="s">
        <v>139</v>
      </c>
      <c r="D2289" t="s">
        <v>140</v>
      </c>
      <c r="G2289" t="s">
        <v>48</v>
      </c>
      <c r="H2289">
        <v>1</v>
      </c>
      <c r="K2289" t="s">
        <v>154</v>
      </c>
      <c r="L2289" t="s">
        <v>155</v>
      </c>
      <c r="M2289" t="s">
        <v>131</v>
      </c>
      <c r="N2289">
        <v>20</v>
      </c>
      <c r="P2289" t="s">
        <v>41</v>
      </c>
      <c r="Q2289" t="s">
        <v>75</v>
      </c>
      <c r="R2289" t="str">
        <f>"7700026"</f>
        <v>7700026</v>
      </c>
      <c r="S2289" t="s">
        <v>397</v>
      </c>
      <c r="T2289" t="s">
        <v>154</v>
      </c>
      <c r="U2289" t="s">
        <v>155</v>
      </c>
      <c r="V2289" t="s">
        <v>131</v>
      </c>
      <c r="W2289" t="s">
        <v>51</v>
      </c>
      <c r="X2289" t="s">
        <v>45</v>
      </c>
      <c r="Y2289" s="1">
        <v>27629</v>
      </c>
      <c r="Z2289">
        <v>1</v>
      </c>
      <c r="AA2289" t="s">
        <v>155</v>
      </c>
      <c r="AB2289" s="40" t="s">
        <v>1798</v>
      </c>
    </row>
    <row r="2290" spans="1:28" x14ac:dyDescent="0.25">
      <c r="A2290">
        <v>99912289</v>
      </c>
      <c r="B2290" t="s">
        <v>32</v>
      </c>
      <c r="C2290" t="s">
        <v>52</v>
      </c>
      <c r="D2290" t="s">
        <v>53</v>
      </c>
      <c r="G2290" t="s">
        <v>48</v>
      </c>
      <c r="H2290">
        <v>1</v>
      </c>
      <c r="K2290" t="s">
        <v>300</v>
      </c>
      <c r="L2290" t="s">
        <v>301</v>
      </c>
      <c r="M2290" t="s">
        <v>131</v>
      </c>
      <c r="N2290">
        <v>20</v>
      </c>
      <c r="P2290" t="s">
        <v>41</v>
      </c>
      <c r="Q2290" t="s">
        <v>42</v>
      </c>
      <c r="R2290" t="str">
        <f>"0580176"</f>
        <v>0580176</v>
      </c>
      <c r="S2290" t="s">
        <v>305</v>
      </c>
      <c r="T2290" t="s">
        <v>300</v>
      </c>
      <c r="U2290" t="s">
        <v>301</v>
      </c>
      <c r="V2290" t="s">
        <v>131</v>
      </c>
      <c r="W2290" t="s">
        <v>51</v>
      </c>
      <c r="X2290" t="s">
        <v>45</v>
      </c>
      <c r="Y2290" s="1">
        <v>27626</v>
      </c>
      <c r="Z2290">
        <v>2</v>
      </c>
      <c r="AA2290" t="s">
        <v>301</v>
      </c>
      <c r="AB2290" s="40" t="s">
        <v>1798</v>
      </c>
    </row>
    <row r="2291" spans="1:28" x14ac:dyDescent="0.25">
      <c r="A2291">
        <v>99912290</v>
      </c>
      <c r="B2291" t="s">
        <v>32</v>
      </c>
      <c r="C2291" t="s">
        <v>58</v>
      </c>
      <c r="D2291" t="s">
        <v>59</v>
      </c>
      <c r="G2291" t="s">
        <v>35</v>
      </c>
      <c r="H2291">
        <v>1</v>
      </c>
      <c r="K2291" t="s">
        <v>162</v>
      </c>
      <c r="L2291" t="s">
        <v>158</v>
      </c>
      <c r="M2291" t="s">
        <v>131</v>
      </c>
      <c r="N2291">
        <v>20</v>
      </c>
      <c r="P2291" t="s">
        <v>41</v>
      </c>
      <c r="Q2291" t="s">
        <v>49</v>
      </c>
      <c r="R2291" t="str">
        <f>"0581325"</f>
        <v>0581325</v>
      </c>
      <c r="S2291" t="s">
        <v>169</v>
      </c>
      <c r="T2291" t="s">
        <v>162</v>
      </c>
      <c r="U2291" t="s">
        <v>158</v>
      </c>
      <c r="V2291" t="s">
        <v>131</v>
      </c>
      <c r="W2291" t="s">
        <v>165</v>
      </c>
      <c r="X2291" t="s">
        <v>45</v>
      </c>
      <c r="Y2291" s="1">
        <v>27610</v>
      </c>
      <c r="Z2291">
        <v>2</v>
      </c>
      <c r="AA2291" t="s">
        <v>158</v>
      </c>
      <c r="AB2291" s="40" t="s">
        <v>1798</v>
      </c>
    </row>
    <row r="2292" spans="1:28" x14ac:dyDescent="0.25">
      <c r="A2292">
        <v>99912291</v>
      </c>
      <c r="B2292" t="s">
        <v>32</v>
      </c>
      <c r="C2292" t="s">
        <v>46</v>
      </c>
      <c r="D2292" t="s">
        <v>47</v>
      </c>
      <c r="G2292" t="s">
        <v>48</v>
      </c>
      <c r="H2292">
        <v>1</v>
      </c>
      <c r="K2292" t="s">
        <v>223</v>
      </c>
      <c r="L2292" t="s">
        <v>224</v>
      </c>
      <c r="M2292" t="s">
        <v>131</v>
      </c>
      <c r="N2292">
        <v>20</v>
      </c>
      <c r="P2292" t="s">
        <v>41</v>
      </c>
      <c r="Q2292" t="s">
        <v>49</v>
      </c>
      <c r="R2292" t="str">
        <f>"0509999"</f>
        <v>0509999</v>
      </c>
      <c r="S2292" t="s">
        <v>247</v>
      </c>
      <c r="T2292" t="s">
        <v>223</v>
      </c>
      <c r="U2292" t="s">
        <v>224</v>
      </c>
      <c r="V2292" t="s">
        <v>131</v>
      </c>
      <c r="W2292" t="s">
        <v>51</v>
      </c>
      <c r="X2292" t="s">
        <v>45</v>
      </c>
      <c r="Y2292" s="1">
        <v>27600</v>
      </c>
      <c r="Z2292">
        <v>2</v>
      </c>
      <c r="AA2292" t="s">
        <v>224</v>
      </c>
      <c r="AB2292" s="40" t="s">
        <v>1798</v>
      </c>
    </row>
    <row r="2293" spans="1:28" x14ac:dyDescent="0.25">
      <c r="A2293">
        <v>99912292</v>
      </c>
      <c r="B2293" t="s">
        <v>32</v>
      </c>
      <c r="C2293" t="s">
        <v>46</v>
      </c>
      <c r="D2293" t="s">
        <v>47</v>
      </c>
      <c r="G2293" t="s">
        <v>48</v>
      </c>
      <c r="H2293">
        <v>1</v>
      </c>
      <c r="K2293" t="s">
        <v>162</v>
      </c>
      <c r="L2293" t="s">
        <v>158</v>
      </c>
      <c r="M2293" t="s">
        <v>131</v>
      </c>
      <c r="N2293">
        <v>20</v>
      </c>
      <c r="P2293" t="s">
        <v>41</v>
      </c>
      <c r="Q2293" t="s">
        <v>42</v>
      </c>
      <c r="R2293" t="str">
        <f>"0580325"</f>
        <v>0580325</v>
      </c>
      <c r="S2293" t="s">
        <v>170</v>
      </c>
      <c r="T2293" t="s">
        <v>162</v>
      </c>
      <c r="U2293" t="s">
        <v>158</v>
      </c>
      <c r="V2293" t="s">
        <v>131</v>
      </c>
      <c r="W2293" t="s">
        <v>165</v>
      </c>
      <c r="X2293" t="s">
        <v>45</v>
      </c>
      <c r="Y2293" s="1">
        <v>27584</v>
      </c>
      <c r="Z2293">
        <v>2</v>
      </c>
      <c r="AA2293" t="s">
        <v>158</v>
      </c>
      <c r="AB2293" s="40" t="s">
        <v>1798</v>
      </c>
    </row>
    <row r="2294" spans="1:28" x14ac:dyDescent="0.25">
      <c r="A2294">
        <v>99912293</v>
      </c>
      <c r="B2294" t="s">
        <v>32</v>
      </c>
      <c r="C2294" t="s">
        <v>46</v>
      </c>
      <c r="D2294" t="s">
        <v>47</v>
      </c>
      <c r="G2294" t="s">
        <v>35</v>
      </c>
      <c r="H2294">
        <v>1</v>
      </c>
      <c r="K2294" t="s">
        <v>223</v>
      </c>
      <c r="L2294" t="s">
        <v>224</v>
      </c>
      <c r="M2294" t="s">
        <v>131</v>
      </c>
      <c r="N2294">
        <v>20</v>
      </c>
      <c r="P2294" t="s">
        <v>41</v>
      </c>
      <c r="Q2294" t="s">
        <v>49</v>
      </c>
      <c r="R2294" t="str">
        <f>"0581207"</f>
        <v>0581207</v>
      </c>
      <c r="S2294" t="s">
        <v>233</v>
      </c>
      <c r="T2294" t="s">
        <v>223</v>
      </c>
      <c r="U2294" t="s">
        <v>224</v>
      </c>
      <c r="V2294" t="s">
        <v>131</v>
      </c>
      <c r="W2294" t="s">
        <v>165</v>
      </c>
      <c r="X2294" t="s">
        <v>45</v>
      </c>
      <c r="Y2294" s="1">
        <v>27564</v>
      </c>
      <c r="Z2294">
        <v>2</v>
      </c>
      <c r="AA2294" t="s">
        <v>224</v>
      </c>
      <c r="AB2294" s="40" t="s">
        <v>1798</v>
      </c>
    </row>
    <row r="2295" spans="1:28" x14ac:dyDescent="0.25">
      <c r="A2295">
        <v>99912294</v>
      </c>
      <c r="B2295" t="s">
        <v>56</v>
      </c>
      <c r="C2295" t="s">
        <v>52</v>
      </c>
      <c r="D2295" t="s">
        <v>53</v>
      </c>
      <c r="G2295" t="s">
        <v>48</v>
      </c>
      <c r="H2295">
        <v>1</v>
      </c>
      <c r="K2295" t="s">
        <v>223</v>
      </c>
      <c r="L2295" t="s">
        <v>224</v>
      </c>
      <c r="M2295" t="s">
        <v>131</v>
      </c>
      <c r="N2295">
        <v>20</v>
      </c>
      <c r="P2295" t="s">
        <v>41</v>
      </c>
      <c r="Q2295" t="s">
        <v>42</v>
      </c>
      <c r="R2295" t="str">
        <f>"0580204"</f>
        <v>0580204</v>
      </c>
      <c r="S2295" t="s">
        <v>235</v>
      </c>
      <c r="T2295" t="s">
        <v>223</v>
      </c>
      <c r="U2295" t="s">
        <v>224</v>
      </c>
      <c r="V2295" t="s">
        <v>131</v>
      </c>
      <c r="W2295" t="s">
        <v>51</v>
      </c>
      <c r="X2295" t="s">
        <v>45</v>
      </c>
      <c r="Y2295" s="1">
        <v>27556</v>
      </c>
      <c r="Z2295">
        <v>2</v>
      </c>
      <c r="AA2295" t="s">
        <v>224</v>
      </c>
      <c r="AB2295" s="40" t="s">
        <v>1798</v>
      </c>
    </row>
    <row r="2296" spans="1:28" x14ac:dyDescent="0.25">
      <c r="A2296">
        <v>99912295</v>
      </c>
      <c r="B2296" t="s">
        <v>32</v>
      </c>
      <c r="C2296" t="s">
        <v>139</v>
      </c>
      <c r="D2296" t="s">
        <v>140</v>
      </c>
      <c r="G2296" t="s">
        <v>48</v>
      </c>
      <c r="H2296">
        <v>1</v>
      </c>
      <c r="K2296" t="s">
        <v>223</v>
      </c>
      <c r="L2296" t="s">
        <v>224</v>
      </c>
      <c r="M2296" t="s">
        <v>131</v>
      </c>
      <c r="N2296">
        <v>20</v>
      </c>
      <c r="P2296" t="s">
        <v>41</v>
      </c>
      <c r="Q2296" t="s">
        <v>49</v>
      </c>
      <c r="R2296" t="str">
        <f>"0581206"</f>
        <v>0581206</v>
      </c>
      <c r="S2296" t="s">
        <v>232</v>
      </c>
      <c r="T2296" t="s">
        <v>223</v>
      </c>
      <c r="U2296" t="s">
        <v>224</v>
      </c>
      <c r="V2296" t="s">
        <v>131</v>
      </c>
      <c r="W2296" t="s">
        <v>51</v>
      </c>
      <c r="X2296" t="s">
        <v>45</v>
      </c>
      <c r="Y2296" s="1">
        <v>27548</v>
      </c>
      <c r="Z2296">
        <v>2</v>
      </c>
      <c r="AA2296" t="s">
        <v>224</v>
      </c>
      <c r="AB2296" s="40" t="s">
        <v>1798</v>
      </c>
    </row>
    <row r="2297" spans="1:28" x14ac:dyDescent="0.25">
      <c r="A2297">
        <v>99912296</v>
      </c>
      <c r="B2297" t="s">
        <v>56</v>
      </c>
      <c r="C2297" t="s">
        <v>79</v>
      </c>
      <c r="D2297" t="s">
        <v>80</v>
      </c>
      <c r="G2297" t="s">
        <v>48</v>
      </c>
      <c r="H2297">
        <v>1</v>
      </c>
      <c r="K2297" t="s">
        <v>300</v>
      </c>
      <c r="L2297" t="s">
        <v>301</v>
      </c>
      <c r="M2297" t="s">
        <v>131</v>
      </c>
      <c r="N2297">
        <v>20</v>
      </c>
      <c r="P2297" t="s">
        <v>41</v>
      </c>
      <c r="Q2297" t="s">
        <v>42</v>
      </c>
      <c r="R2297" t="str">
        <f>"0561001"</f>
        <v>0561001</v>
      </c>
      <c r="S2297" t="s">
        <v>308</v>
      </c>
      <c r="T2297" t="s">
        <v>300</v>
      </c>
      <c r="U2297" t="s">
        <v>301</v>
      </c>
      <c r="V2297" t="s">
        <v>131</v>
      </c>
      <c r="W2297" t="s">
        <v>51</v>
      </c>
      <c r="X2297" t="s">
        <v>45</v>
      </c>
      <c r="Y2297" s="1">
        <v>27542</v>
      </c>
      <c r="Z2297">
        <v>2</v>
      </c>
      <c r="AA2297" t="s">
        <v>301</v>
      </c>
      <c r="AB2297" s="40" t="s">
        <v>1798</v>
      </c>
    </row>
    <row r="2298" spans="1:28" x14ac:dyDescent="0.25">
      <c r="A2298">
        <v>99912297</v>
      </c>
      <c r="B2298" t="s">
        <v>32</v>
      </c>
      <c r="C2298" t="s">
        <v>68</v>
      </c>
      <c r="D2298" t="s">
        <v>69</v>
      </c>
      <c r="G2298" t="s">
        <v>35</v>
      </c>
      <c r="H2298">
        <v>1</v>
      </c>
      <c r="I2298">
        <v>6983</v>
      </c>
      <c r="J2298" s="1">
        <v>43344</v>
      </c>
      <c r="K2298" t="s">
        <v>1306</v>
      </c>
      <c r="L2298" t="s">
        <v>1307</v>
      </c>
      <c r="M2298" t="s">
        <v>1270</v>
      </c>
      <c r="N2298">
        <v>20</v>
      </c>
      <c r="O2298" s="1">
        <v>43344</v>
      </c>
      <c r="P2298" t="s">
        <v>41</v>
      </c>
      <c r="Q2298" t="s">
        <v>42</v>
      </c>
      <c r="R2298" t="str">
        <f>"1990915"</f>
        <v>1990915</v>
      </c>
      <c r="S2298" t="s">
        <v>1308</v>
      </c>
      <c r="T2298" t="s">
        <v>1306</v>
      </c>
      <c r="U2298" t="s">
        <v>1307</v>
      </c>
      <c r="V2298" t="s">
        <v>1270</v>
      </c>
      <c r="W2298" t="s">
        <v>51</v>
      </c>
      <c r="X2298" t="s">
        <v>45</v>
      </c>
      <c r="Y2298" s="1">
        <v>27525</v>
      </c>
      <c r="Z2298">
        <v>2</v>
      </c>
      <c r="AA2298" t="s">
        <v>1307</v>
      </c>
      <c r="AB2298" s="40" t="s">
        <v>1798</v>
      </c>
    </row>
    <row r="2299" spans="1:28" x14ac:dyDescent="0.25">
      <c r="A2299">
        <v>99912298</v>
      </c>
      <c r="B2299" t="s">
        <v>56</v>
      </c>
      <c r="C2299" t="s">
        <v>64</v>
      </c>
      <c r="D2299" t="s">
        <v>65</v>
      </c>
      <c r="G2299" t="s">
        <v>48</v>
      </c>
      <c r="H2299">
        <v>1</v>
      </c>
      <c r="K2299" t="s">
        <v>129</v>
      </c>
      <c r="L2299" t="s">
        <v>130</v>
      </c>
      <c r="M2299" t="s">
        <v>131</v>
      </c>
      <c r="N2299">
        <v>20</v>
      </c>
      <c r="P2299" t="s">
        <v>41</v>
      </c>
      <c r="Q2299" t="s">
        <v>49</v>
      </c>
      <c r="R2299" t="str">
        <f>"0591905"</f>
        <v>0591905</v>
      </c>
      <c r="S2299" t="s">
        <v>135</v>
      </c>
      <c r="T2299" t="s">
        <v>129</v>
      </c>
      <c r="U2299" t="s">
        <v>130</v>
      </c>
      <c r="V2299" t="s">
        <v>131</v>
      </c>
      <c r="W2299" t="s">
        <v>51</v>
      </c>
      <c r="X2299" t="s">
        <v>45</v>
      </c>
      <c r="Y2299" s="1">
        <v>27465</v>
      </c>
      <c r="Z2299">
        <v>2</v>
      </c>
      <c r="AA2299" t="s">
        <v>130</v>
      </c>
      <c r="AB2299" s="40" t="s">
        <v>1798</v>
      </c>
    </row>
    <row r="2300" spans="1:28" x14ac:dyDescent="0.25">
      <c r="A2300">
        <v>99912299</v>
      </c>
      <c r="B2300" t="s">
        <v>32</v>
      </c>
      <c r="C2300" t="s">
        <v>46</v>
      </c>
      <c r="D2300" t="s">
        <v>47</v>
      </c>
      <c r="G2300" t="s">
        <v>48</v>
      </c>
      <c r="H2300">
        <v>1</v>
      </c>
      <c r="K2300" t="s">
        <v>223</v>
      </c>
      <c r="L2300" t="s">
        <v>224</v>
      </c>
      <c r="M2300" t="s">
        <v>131</v>
      </c>
      <c r="N2300">
        <v>20</v>
      </c>
      <c r="P2300" t="s">
        <v>41</v>
      </c>
      <c r="Q2300" t="s">
        <v>49</v>
      </c>
      <c r="R2300" t="str">
        <f>"0581202"</f>
        <v>0581202</v>
      </c>
      <c r="S2300" t="s">
        <v>248</v>
      </c>
      <c r="T2300" t="s">
        <v>223</v>
      </c>
      <c r="U2300" t="s">
        <v>224</v>
      </c>
      <c r="V2300" t="s">
        <v>131</v>
      </c>
      <c r="W2300" t="s">
        <v>165</v>
      </c>
      <c r="X2300" t="s">
        <v>45</v>
      </c>
      <c r="Y2300" s="1">
        <v>27462</v>
      </c>
      <c r="Z2300">
        <v>2</v>
      </c>
      <c r="AA2300" t="s">
        <v>224</v>
      </c>
      <c r="AB2300" s="40" t="s">
        <v>1798</v>
      </c>
    </row>
    <row r="2301" spans="1:28" x14ac:dyDescent="0.25">
      <c r="A2301">
        <v>99912300</v>
      </c>
      <c r="B2301" t="s">
        <v>32</v>
      </c>
      <c r="C2301" t="s">
        <v>46</v>
      </c>
      <c r="D2301" t="s">
        <v>47</v>
      </c>
      <c r="G2301" t="s">
        <v>48</v>
      </c>
      <c r="H2301">
        <v>1</v>
      </c>
      <c r="K2301" t="s">
        <v>157</v>
      </c>
      <c r="L2301" t="s">
        <v>158</v>
      </c>
      <c r="M2301" t="s">
        <v>131</v>
      </c>
      <c r="N2301">
        <v>20</v>
      </c>
      <c r="P2301" t="s">
        <v>41</v>
      </c>
      <c r="Q2301" t="s">
        <v>49</v>
      </c>
      <c r="R2301" t="str">
        <f>"0560019"</f>
        <v>0560019</v>
      </c>
      <c r="S2301" t="s">
        <v>166</v>
      </c>
      <c r="T2301" t="s">
        <v>157</v>
      </c>
      <c r="U2301" t="s">
        <v>158</v>
      </c>
      <c r="V2301" t="s">
        <v>131</v>
      </c>
      <c r="W2301" t="s">
        <v>51</v>
      </c>
      <c r="X2301" t="s">
        <v>45</v>
      </c>
      <c r="Y2301" s="1">
        <v>27449</v>
      </c>
      <c r="Z2301">
        <v>2</v>
      </c>
      <c r="AA2301" t="s">
        <v>158</v>
      </c>
      <c r="AB2301" s="40" t="s">
        <v>1798</v>
      </c>
    </row>
    <row r="2302" spans="1:28" x14ac:dyDescent="0.25">
      <c r="A2302">
        <v>99912301</v>
      </c>
      <c r="B2302" t="s">
        <v>32</v>
      </c>
      <c r="C2302" t="s">
        <v>46</v>
      </c>
      <c r="D2302" t="s">
        <v>47</v>
      </c>
      <c r="G2302" t="s">
        <v>48</v>
      </c>
      <c r="H2302">
        <v>1</v>
      </c>
      <c r="K2302" t="s">
        <v>223</v>
      </c>
      <c r="L2302" t="s">
        <v>224</v>
      </c>
      <c r="M2302" t="s">
        <v>131</v>
      </c>
      <c r="N2302">
        <v>20</v>
      </c>
      <c r="P2302" t="s">
        <v>41</v>
      </c>
      <c r="Q2302" t="s">
        <v>42</v>
      </c>
      <c r="R2302" t="str">
        <f>"0580202"</f>
        <v>0580202</v>
      </c>
      <c r="S2302" t="s">
        <v>240</v>
      </c>
      <c r="T2302" t="s">
        <v>223</v>
      </c>
      <c r="U2302" t="s">
        <v>224</v>
      </c>
      <c r="V2302" t="s">
        <v>131</v>
      </c>
      <c r="W2302" t="s">
        <v>165</v>
      </c>
      <c r="X2302" t="s">
        <v>45</v>
      </c>
      <c r="Y2302" s="1">
        <v>27433</v>
      </c>
      <c r="Z2302">
        <v>2</v>
      </c>
      <c r="AA2302" t="s">
        <v>224</v>
      </c>
      <c r="AB2302" s="40" t="s">
        <v>1798</v>
      </c>
    </row>
    <row r="2303" spans="1:28" x14ac:dyDescent="0.25">
      <c r="A2303">
        <v>99912302</v>
      </c>
      <c r="B2303" t="s">
        <v>56</v>
      </c>
      <c r="C2303" t="s">
        <v>68</v>
      </c>
      <c r="D2303" t="s">
        <v>69</v>
      </c>
      <c r="G2303" t="s">
        <v>35</v>
      </c>
      <c r="H2303">
        <v>1</v>
      </c>
      <c r="K2303" t="s">
        <v>223</v>
      </c>
      <c r="L2303" t="s">
        <v>224</v>
      </c>
      <c r="M2303" t="s">
        <v>131</v>
      </c>
      <c r="N2303">
        <v>20</v>
      </c>
      <c r="P2303" t="s">
        <v>41</v>
      </c>
      <c r="Q2303" t="s">
        <v>42</v>
      </c>
      <c r="R2303" t="str">
        <f>"0590901"</f>
        <v>0590901</v>
      </c>
      <c r="S2303" t="s">
        <v>242</v>
      </c>
      <c r="T2303" t="s">
        <v>223</v>
      </c>
      <c r="U2303" t="s">
        <v>224</v>
      </c>
      <c r="V2303" t="s">
        <v>131</v>
      </c>
      <c r="W2303" t="s">
        <v>51</v>
      </c>
      <c r="X2303" t="s">
        <v>45</v>
      </c>
      <c r="Y2303" s="1">
        <v>27428</v>
      </c>
      <c r="Z2303">
        <v>2</v>
      </c>
      <c r="AA2303" t="s">
        <v>224</v>
      </c>
      <c r="AB2303" s="40" t="s">
        <v>1798</v>
      </c>
    </row>
    <row r="2304" spans="1:28" x14ac:dyDescent="0.25">
      <c r="A2304">
        <v>99912303</v>
      </c>
      <c r="B2304" t="s">
        <v>32</v>
      </c>
      <c r="C2304" t="s">
        <v>46</v>
      </c>
      <c r="D2304" t="s">
        <v>47</v>
      </c>
      <c r="G2304" t="s">
        <v>48</v>
      </c>
      <c r="H2304">
        <v>1</v>
      </c>
      <c r="K2304" t="s">
        <v>223</v>
      </c>
      <c r="L2304" t="s">
        <v>224</v>
      </c>
      <c r="M2304" t="s">
        <v>131</v>
      </c>
      <c r="N2304">
        <v>20</v>
      </c>
      <c r="P2304" t="s">
        <v>41</v>
      </c>
      <c r="Q2304" t="s">
        <v>49</v>
      </c>
      <c r="R2304" t="str">
        <f>"0581206"</f>
        <v>0581206</v>
      </c>
      <c r="S2304" t="s">
        <v>232</v>
      </c>
      <c r="T2304" t="s">
        <v>223</v>
      </c>
      <c r="U2304" t="s">
        <v>224</v>
      </c>
      <c r="V2304" t="s">
        <v>131</v>
      </c>
      <c r="W2304" t="s">
        <v>51</v>
      </c>
      <c r="X2304" t="s">
        <v>45</v>
      </c>
      <c r="Y2304" s="1">
        <v>27399</v>
      </c>
      <c r="Z2304">
        <v>2</v>
      </c>
      <c r="AA2304" t="s">
        <v>224</v>
      </c>
      <c r="AB2304" s="40" t="s">
        <v>1798</v>
      </c>
    </row>
    <row r="2305" spans="1:28" x14ac:dyDescent="0.25">
      <c r="A2305">
        <v>99912304</v>
      </c>
      <c r="B2305" t="s">
        <v>32</v>
      </c>
      <c r="C2305" t="s">
        <v>143</v>
      </c>
      <c r="D2305" t="s">
        <v>144</v>
      </c>
      <c r="G2305" t="s">
        <v>48</v>
      </c>
      <c r="H2305">
        <v>1</v>
      </c>
      <c r="K2305" t="s">
        <v>129</v>
      </c>
      <c r="L2305" t="s">
        <v>130</v>
      </c>
      <c r="M2305" t="s">
        <v>131</v>
      </c>
      <c r="N2305">
        <v>20</v>
      </c>
      <c r="P2305" t="s">
        <v>41</v>
      </c>
      <c r="Q2305" t="s">
        <v>49</v>
      </c>
      <c r="R2305" t="str">
        <f>"0591905"</f>
        <v>0591905</v>
      </c>
      <c r="S2305" t="s">
        <v>135</v>
      </c>
      <c r="T2305" t="s">
        <v>129</v>
      </c>
      <c r="U2305" t="s">
        <v>130</v>
      </c>
      <c r="V2305" t="s">
        <v>131</v>
      </c>
      <c r="W2305" t="s">
        <v>51</v>
      </c>
      <c r="X2305" t="s">
        <v>45</v>
      </c>
      <c r="Y2305" s="1">
        <v>27395</v>
      </c>
      <c r="Z2305">
        <v>2</v>
      </c>
      <c r="AA2305" t="s">
        <v>130</v>
      </c>
      <c r="AB2305" s="40" t="s">
        <v>1798</v>
      </c>
    </row>
    <row r="2306" spans="1:28" x14ac:dyDescent="0.25">
      <c r="A2306">
        <v>99912305</v>
      </c>
      <c r="B2306" t="s">
        <v>32</v>
      </c>
      <c r="C2306" t="s">
        <v>46</v>
      </c>
      <c r="D2306" t="s">
        <v>47</v>
      </c>
      <c r="G2306" t="s">
        <v>48</v>
      </c>
      <c r="H2306">
        <v>1</v>
      </c>
      <c r="K2306" t="s">
        <v>1268</v>
      </c>
      <c r="L2306" t="s">
        <v>1269</v>
      </c>
      <c r="M2306" t="s">
        <v>1270</v>
      </c>
      <c r="N2306">
        <v>20</v>
      </c>
      <c r="P2306" t="s">
        <v>41</v>
      </c>
      <c r="Q2306" t="s">
        <v>42</v>
      </c>
      <c r="R2306" t="str">
        <f>"1990912"</f>
        <v>1990912</v>
      </c>
      <c r="S2306" t="s">
        <v>1271</v>
      </c>
      <c r="T2306" t="s">
        <v>1268</v>
      </c>
      <c r="U2306" t="s">
        <v>1269</v>
      </c>
      <c r="V2306" t="s">
        <v>1270</v>
      </c>
      <c r="W2306" t="s">
        <v>51</v>
      </c>
      <c r="X2306" t="s">
        <v>45</v>
      </c>
      <c r="Y2306" s="1">
        <v>27395</v>
      </c>
      <c r="Z2306">
        <v>2</v>
      </c>
      <c r="AA2306" t="s">
        <v>1269</v>
      </c>
      <c r="AB2306" s="40" t="s">
        <v>1798</v>
      </c>
    </row>
    <row r="2307" spans="1:28" x14ac:dyDescent="0.25">
      <c r="A2307">
        <v>99912306</v>
      </c>
      <c r="B2307" t="s">
        <v>56</v>
      </c>
      <c r="C2307" t="s">
        <v>52</v>
      </c>
      <c r="D2307" t="s">
        <v>53</v>
      </c>
      <c r="G2307" t="s">
        <v>35</v>
      </c>
      <c r="H2307">
        <v>1</v>
      </c>
      <c r="K2307" t="s">
        <v>223</v>
      </c>
      <c r="L2307" t="s">
        <v>224</v>
      </c>
      <c r="M2307" t="s">
        <v>131</v>
      </c>
      <c r="N2307">
        <v>20</v>
      </c>
      <c r="P2307" t="s">
        <v>41</v>
      </c>
      <c r="Q2307" t="s">
        <v>42</v>
      </c>
      <c r="R2307" t="str">
        <f>"0590901"</f>
        <v>0590901</v>
      </c>
      <c r="S2307" t="s">
        <v>242</v>
      </c>
      <c r="T2307" t="s">
        <v>223</v>
      </c>
      <c r="U2307" t="s">
        <v>224</v>
      </c>
      <c r="V2307" t="s">
        <v>131</v>
      </c>
      <c r="W2307" t="s">
        <v>51</v>
      </c>
      <c r="X2307" t="s">
        <v>45</v>
      </c>
      <c r="Y2307" s="1">
        <v>27386</v>
      </c>
      <c r="Z2307">
        <v>2</v>
      </c>
      <c r="AA2307" t="s">
        <v>224</v>
      </c>
      <c r="AB2307" s="40" t="s">
        <v>1798</v>
      </c>
    </row>
    <row r="2308" spans="1:28" x14ac:dyDescent="0.25">
      <c r="A2308">
        <v>99912307</v>
      </c>
      <c r="B2308" t="s">
        <v>32</v>
      </c>
      <c r="C2308" t="s">
        <v>46</v>
      </c>
      <c r="D2308" t="s">
        <v>47</v>
      </c>
      <c r="G2308" t="s">
        <v>35</v>
      </c>
      <c r="H2308">
        <v>1</v>
      </c>
      <c r="K2308" t="s">
        <v>223</v>
      </c>
      <c r="L2308" t="s">
        <v>224</v>
      </c>
      <c r="M2308" t="s">
        <v>131</v>
      </c>
      <c r="N2308">
        <v>20</v>
      </c>
      <c r="P2308" t="s">
        <v>41</v>
      </c>
      <c r="Q2308" t="s">
        <v>42</v>
      </c>
      <c r="R2308" t="str">
        <f>"0590903"</f>
        <v>0590903</v>
      </c>
      <c r="S2308" t="s">
        <v>226</v>
      </c>
      <c r="T2308" t="s">
        <v>223</v>
      </c>
      <c r="U2308" t="s">
        <v>224</v>
      </c>
      <c r="V2308" t="s">
        <v>131</v>
      </c>
      <c r="W2308" t="s">
        <v>51</v>
      </c>
      <c r="X2308" t="s">
        <v>45</v>
      </c>
      <c r="Y2308" s="1">
        <v>27368</v>
      </c>
      <c r="Z2308">
        <v>2</v>
      </c>
      <c r="AA2308" t="s">
        <v>224</v>
      </c>
      <c r="AB2308" s="40" t="s">
        <v>1798</v>
      </c>
    </row>
    <row r="2309" spans="1:28" x14ac:dyDescent="0.25">
      <c r="A2309">
        <v>99912308</v>
      </c>
      <c r="B2309" t="s">
        <v>32</v>
      </c>
      <c r="C2309" t="s">
        <v>46</v>
      </c>
      <c r="D2309" t="s">
        <v>47</v>
      </c>
      <c r="G2309" t="s">
        <v>35</v>
      </c>
      <c r="H2309">
        <v>1</v>
      </c>
      <c r="K2309" t="s">
        <v>1128</v>
      </c>
      <c r="L2309" t="s">
        <v>1129</v>
      </c>
      <c r="M2309" t="s">
        <v>1130</v>
      </c>
      <c r="N2309">
        <v>20</v>
      </c>
      <c r="P2309" t="s">
        <v>41</v>
      </c>
      <c r="Q2309" t="s">
        <v>42</v>
      </c>
      <c r="R2309" t="str">
        <f>"3180010"</f>
        <v>3180010</v>
      </c>
      <c r="S2309" t="s">
        <v>1132</v>
      </c>
      <c r="T2309" t="s">
        <v>1128</v>
      </c>
      <c r="U2309" t="s">
        <v>1129</v>
      </c>
      <c r="V2309" t="s">
        <v>1130</v>
      </c>
      <c r="W2309" t="s">
        <v>51</v>
      </c>
      <c r="X2309" t="s">
        <v>45</v>
      </c>
      <c r="Y2309" s="1">
        <v>27341</v>
      </c>
      <c r="Z2309">
        <v>2</v>
      </c>
      <c r="AA2309" t="s">
        <v>1129</v>
      </c>
      <c r="AB2309" s="40" t="s">
        <v>1798</v>
      </c>
    </row>
    <row r="2310" spans="1:28" x14ac:dyDescent="0.25">
      <c r="A2310">
        <v>99912309</v>
      </c>
      <c r="B2310" t="s">
        <v>32</v>
      </c>
      <c r="C2310" t="s">
        <v>46</v>
      </c>
      <c r="D2310" t="s">
        <v>47</v>
      </c>
      <c r="G2310" t="s">
        <v>35</v>
      </c>
      <c r="H2310">
        <v>1</v>
      </c>
      <c r="K2310" t="s">
        <v>947</v>
      </c>
      <c r="L2310" t="s">
        <v>948</v>
      </c>
      <c r="M2310" t="s">
        <v>938</v>
      </c>
      <c r="N2310">
        <v>20</v>
      </c>
      <c r="P2310" t="s">
        <v>41</v>
      </c>
      <c r="Q2310" t="s">
        <v>49</v>
      </c>
      <c r="R2310" t="str">
        <f>"0605000"</f>
        <v>0605000</v>
      </c>
      <c r="S2310" t="s">
        <v>950</v>
      </c>
      <c r="T2310" t="s">
        <v>947</v>
      </c>
      <c r="U2310" t="s">
        <v>948</v>
      </c>
      <c r="V2310" t="s">
        <v>938</v>
      </c>
      <c r="W2310" t="s">
        <v>165</v>
      </c>
      <c r="X2310" t="s">
        <v>45</v>
      </c>
      <c r="Y2310" s="1">
        <v>27340</v>
      </c>
      <c r="Z2310">
        <v>2</v>
      </c>
      <c r="AA2310" t="s">
        <v>948</v>
      </c>
      <c r="AB2310" s="40" t="s">
        <v>1798</v>
      </c>
    </row>
    <row r="2311" spans="1:28" x14ac:dyDescent="0.25">
      <c r="A2311">
        <v>99912310</v>
      </c>
      <c r="B2311" t="s">
        <v>32</v>
      </c>
      <c r="C2311" t="s">
        <v>46</v>
      </c>
      <c r="D2311" t="s">
        <v>47</v>
      </c>
      <c r="G2311" t="s">
        <v>48</v>
      </c>
      <c r="H2311">
        <v>5</v>
      </c>
      <c r="K2311" t="s">
        <v>129</v>
      </c>
      <c r="L2311" t="s">
        <v>130</v>
      </c>
      <c r="M2311" t="s">
        <v>131</v>
      </c>
      <c r="N2311">
        <v>20</v>
      </c>
      <c r="O2311" s="1">
        <v>38384</v>
      </c>
      <c r="P2311" t="s">
        <v>41</v>
      </c>
      <c r="Q2311" t="s">
        <v>49</v>
      </c>
      <c r="R2311" t="str">
        <f>"0580150"</f>
        <v>0580150</v>
      </c>
      <c r="S2311" t="s">
        <v>134</v>
      </c>
      <c r="T2311" t="s">
        <v>129</v>
      </c>
      <c r="U2311" t="s">
        <v>130</v>
      </c>
      <c r="V2311" t="s">
        <v>131</v>
      </c>
      <c r="W2311" t="s">
        <v>51</v>
      </c>
      <c r="X2311" t="s">
        <v>45</v>
      </c>
      <c r="Y2311" s="1">
        <v>27333</v>
      </c>
      <c r="Z2311">
        <v>2</v>
      </c>
      <c r="AA2311" t="s">
        <v>130</v>
      </c>
      <c r="AB2311" s="40" t="s">
        <v>1798</v>
      </c>
    </row>
    <row r="2312" spans="1:28" x14ac:dyDescent="0.25">
      <c r="A2312">
        <v>99912311</v>
      </c>
      <c r="B2312" t="s">
        <v>56</v>
      </c>
      <c r="C2312" t="s">
        <v>61</v>
      </c>
      <c r="D2312" t="s">
        <v>62</v>
      </c>
      <c r="G2312" t="s">
        <v>48</v>
      </c>
      <c r="H2312">
        <v>1</v>
      </c>
      <c r="K2312" t="s">
        <v>129</v>
      </c>
      <c r="L2312" t="s">
        <v>130</v>
      </c>
      <c r="M2312" t="s">
        <v>131</v>
      </c>
      <c r="N2312">
        <v>20</v>
      </c>
      <c r="P2312" t="s">
        <v>41</v>
      </c>
      <c r="Q2312" t="s">
        <v>49</v>
      </c>
      <c r="R2312" t="str">
        <f>"0591905"</f>
        <v>0591905</v>
      </c>
      <c r="S2312" t="s">
        <v>135</v>
      </c>
      <c r="T2312" t="s">
        <v>129</v>
      </c>
      <c r="U2312" t="s">
        <v>130</v>
      </c>
      <c r="V2312" t="s">
        <v>131</v>
      </c>
      <c r="W2312" t="s">
        <v>51</v>
      </c>
      <c r="X2312" t="s">
        <v>45</v>
      </c>
      <c r="Y2312" s="1">
        <v>27315</v>
      </c>
      <c r="Z2312">
        <v>2</v>
      </c>
      <c r="AA2312" t="s">
        <v>130</v>
      </c>
      <c r="AB2312" s="40" t="s">
        <v>1798</v>
      </c>
    </row>
    <row r="2313" spans="1:28" x14ac:dyDescent="0.25">
      <c r="A2313">
        <v>99912312</v>
      </c>
      <c r="B2313" t="s">
        <v>32</v>
      </c>
      <c r="C2313" t="s">
        <v>46</v>
      </c>
      <c r="D2313" t="s">
        <v>47</v>
      </c>
      <c r="G2313" t="s">
        <v>48</v>
      </c>
      <c r="H2313">
        <v>1</v>
      </c>
      <c r="K2313" t="s">
        <v>223</v>
      </c>
      <c r="L2313" t="s">
        <v>224</v>
      </c>
      <c r="M2313" t="s">
        <v>131</v>
      </c>
      <c r="N2313">
        <v>20</v>
      </c>
      <c r="P2313" t="s">
        <v>41</v>
      </c>
      <c r="Q2313" t="s">
        <v>42</v>
      </c>
      <c r="R2313" t="str">
        <f>"0580202"</f>
        <v>0580202</v>
      </c>
      <c r="S2313" t="s">
        <v>240</v>
      </c>
      <c r="T2313" t="s">
        <v>223</v>
      </c>
      <c r="U2313" t="s">
        <v>224</v>
      </c>
      <c r="V2313" t="s">
        <v>131</v>
      </c>
      <c r="W2313" t="s">
        <v>51</v>
      </c>
      <c r="X2313" t="s">
        <v>45</v>
      </c>
      <c r="Y2313" s="1">
        <v>27307</v>
      </c>
      <c r="Z2313">
        <v>2</v>
      </c>
      <c r="AA2313" t="s">
        <v>224</v>
      </c>
      <c r="AB2313" s="40" t="s">
        <v>1798</v>
      </c>
    </row>
    <row r="2314" spans="1:28" x14ac:dyDescent="0.25">
      <c r="A2314">
        <v>99912313</v>
      </c>
      <c r="B2314" t="s">
        <v>56</v>
      </c>
      <c r="C2314" t="s">
        <v>46</v>
      </c>
      <c r="D2314" t="s">
        <v>47</v>
      </c>
      <c r="G2314" t="s">
        <v>48</v>
      </c>
      <c r="H2314">
        <v>1</v>
      </c>
      <c r="K2314" t="s">
        <v>380</v>
      </c>
      <c r="L2314" t="s">
        <v>381</v>
      </c>
      <c r="M2314" t="s">
        <v>131</v>
      </c>
      <c r="N2314">
        <v>20</v>
      </c>
      <c r="P2314" t="s">
        <v>41</v>
      </c>
      <c r="Q2314" t="s">
        <v>42</v>
      </c>
      <c r="R2314" t="str">
        <f>"0561010"</f>
        <v>0561010</v>
      </c>
      <c r="S2314" t="s">
        <v>387</v>
      </c>
      <c r="T2314" t="s">
        <v>380</v>
      </c>
      <c r="U2314" t="s">
        <v>381</v>
      </c>
      <c r="V2314" t="s">
        <v>131</v>
      </c>
      <c r="W2314" t="s">
        <v>51</v>
      </c>
      <c r="X2314" t="s">
        <v>45</v>
      </c>
      <c r="Y2314" s="1">
        <v>27271</v>
      </c>
      <c r="Z2314">
        <v>2</v>
      </c>
      <c r="AA2314" t="s">
        <v>381</v>
      </c>
      <c r="AB2314" s="40" t="s">
        <v>1798</v>
      </c>
    </row>
    <row r="2315" spans="1:28" x14ac:dyDescent="0.25">
      <c r="A2315">
        <v>99912314</v>
      </c>
      <c r="B2315" t="s">
        <v>32</v>
      </c>
      <c r="C2315" t="s">
        <v>46</v>
      </c>
      <c r="D2315" t="s">
        <v>47</v>
      </c>
      <c r="G2315" t="s">
        <v>48</v>
      </c>
      <c r="H2315">
        <v>1</v>
      </c>
      <c r="K2315" t="s">
        <v>162</v>
      </c>
      <c r="L2315" t="s">
        <v>158</v>
      </c>
      <c r="M2315" t="s">
        <v>131</v>
      </c>
      <c r="N2315">
        <v>20</v>
      </c>
      <c r="P2315" t="s">
        <v>41</v>
      </c>
      <c r="Q2315" t="s">
        <v>49</v>
      </c>
      <c r="R2315" t="str">
        <f>"0560003"</f>
        <v>0560003</v>
      </c>
      <c r="S2315" t="s">
        <v>181</v>
      </c>
      <c r="T2315" t="s">
        <v>162</v>
      </c>
      <c r="U2315" t="s">
        <v>158</v>
      </c>
      <c r="V2315" t="s">
        <v>131</v>
      </c>
      <c r="W2315" t="s">
        <v>51</v>
      </c>
      <c r="X2315" t="s">
        <v>45</v>
      </c>
      <c r="Y2315" s="1">
        <v>27251</v>
      </c>
      <c r="Z2315">
        <v>2</v>
      </c>
      <c r="AA2315" t="s">
        <v>158</v>
      </c>
      <c r="AB2315" s="40" t="s">
        <v>1798</v>
      </c>
    </row>
    <row r="2316" spans="1:28" x14ac:dyDescent="0.25">
      <c r="A2316">
        <v>99912315</v>
      </c>
      <c r="B2316" t="s">
        <v>32</v>
      </c>
      <c r="C2316" t="s">
        <v>64</v>
      </c>
      <c r="D2316" t="s">
        <v>65</v>
      </c>
      <c r="G2316" t="s">
        <v>48</v>
      </c>
      <c r="H2316">
        <v>1</v>
      </c>
      <c r="K2316" t="s">
        <v>223</v>
      </c>
      <c r="L2316" t="s">
        <v>224</v>
      </c>
      <c r="M2316" t="s">
        <v>131</v>
      </c>
      <c r="N2316">
        <v>20</v>
      </c>
      <c r="P2316" t="s">
        <v>41</v>
      </c>
      <c r="Q2316" t="s">
        <v>49</v>
      </c>
      <c r="R2316" t="str">
        <f>"0581206"</f>
        <v>0581206</v>
      </c>
      <c r="S2316" t="s">
        <v>232</v>
      </c>
      <c r="T2316" t="s">
        <v>223</v>
      </c>
      <c r="U2316" t="s">
        <v>224</v>
      </c>
      <c r="V2316" t="s">
        <v>131</v>
      </c>
      <c r="W2316" t="s">
        <v>51</v>
      </c>
      <c r="X2316" t="s">
        <v>45</v>
      </c>
      <c r="Y2316" s="1">
        <v>27231</v>
      </c>
      <c r="Z2316">
        <v>2</v>
      </c>
      <c r="AA2316" t="s">
        <v>224</v>
      </c>
      <c r="AB2316" s="40" t="s">
        <v>1798</v>
      </c>
    </row>
    <row r="2317" spans="1:28" x14ac:dyDescent="0.25">
      <c r="A2317">
        <v>99912316</v>
      </c>
      <c r="B2317" t="s">
        <v>32</v>
      </c>
      <c r="C2317" t="s">
        <v>143</v>
      </c>
      <c r="D2317" t="s">
        <v>144</v>
      </c>
      <c r="G2317" t="s">
        <v>48</v>
      </c>
      <c r="H2317">
        <v>1</v>
      </c>
      <c r="K2317" t="s">
        <v>154</v>
      </c>
      <c r="L2317" t="s">
        <v>155</v>
      </c>
      <c r="M2317" t="s">
        <v>131</v>
      </c>
      <c r="N2317">
        <v>20</v>
      </c>
      <c r="P2317" t="s">
        <v>41</v>
      </c>
      <c r="Q2317" t="s">
        <v>75</v>
      </c>
      <c r="R2317" t="str">
        <f>"7051022"</f>
        <v>7051022</v>
      </c>
      <c r="S2317" t="s">
        <v>153</v>
      </c>
      <c r="T2317" t="s">
        <v>154</v>
      </c>
      <c r="U2317" t="s">
        <v>155</v>
      </c>
      <c r="V2317" t="s">
        <v>131</v>
      </c>
      <c r="W2317" t="s">
        <v>51</v>
      </c>
      <c r="X2317" t="s">
        <v>45</v>
      </c>
      <c r="Y2317" s="1">
        <v>27216</v>
      </c>
      <c r="Z2317">
        <v>1</v>
      </c>
      <c r="AA2317" t="s">
        <v>155</v>
      </c>
      <c r="AB2317" s="40" t="s">
        <v>1798</v>
      </c>
    </row>
    <row r="2318" spans="1:28" x14ac:dyDescent="0.25">
      <c r="A2318">
        <v>99912317</v>
      </c>
      <c r="B2318" t="s">
        <v>32</v>
      </c>
      <c r="C2318" t="s">
        <v>64</v>
      </c>
      <c r="D2318" t="s">
        <v>65</v>
      </c>
      <c r="G2318" t="s">
        <v>48</v>
      </c>
      <c r="H2318">
        <v>1</v>
      </c>
      <c r="K2318" t="s">
        <v>223</v>
      </c>
      <c r="L2318" t="s">
        <v>224</v>
      </c>
      <c r="M2318" t="s">
        <v>131</v>
      </c>
      <c r="N2318">
        <v>20</v>
      </c>
      <c r="P2318" t="s">
        <v>41</v>
      </c>
      <c r="Q2318" t="s">
        <v>42</v>
      </c>
      <c r="R2318" t="str">
        <f>"0580204"</f>
        <v>0580204</v>
      </c>
      <c r="S2318" t="s">
        <v>235</v>
      </c>
      <c r="T2318" t="s">
        <v>223</v>
      </c>
      <c r="U2318" t="s">
        <v>224</v>
      </c>
      <c r="V2318" t="s">
        <v>131</v>
      </c>
      <c r="W2318" t="s">
        <v>51</v>
      </c>
      <c r="X2318" t="s">
        <v>45</v>
      </c>
      <c r="Y2318" s="1">
        <v>27190</v>
      </c>
      <c r="Z2318">
        <v>2</v>
      </c>
      <c r="AA2318" t="s">
        <v>224</v>
      </c>
      <c r="AB2318" s="40" t="s">
        <v>1798</v>
      </c>
    </row>
    <row r="2319" spans="1:28" x14ac:dyDescent="0.25">
      <c r="A2319">
        <v>99912318</v>
      </c>
      <c r="B2319" t="s">
        <v>56</v>
      </c>
      <c r="C2319" t="s">
        <v>46</v>
      </c>
      <c r="D2319" t="s">
        <v>47</v>
      </c>
      <c r="G2319" t="s">
        <v>48</v>
      </c>
      <c r="H2319">
        <v>1</v>
      </c>
      <c r="K2319" t="s">
        <v>345</v>
      </c>
      <c r="L2319" t="s">
        <v>346</v>
      </c>
      <c r="M2319" t="s">
        <v>131</v>
      </c>
      <c r="N2319">
        <v>20</v>
      </c>
      <c r="P2319" t="s">
        <v>41</v>
      </c>
      <c r="Q2319" t="s">
        <v>42</v>
      </c>
      <c r="R2319" t="str">
        <f>"0590906"</f>
        <v>0590906</v>
      </c>
      <c r="S2319" t="s">
        <v>361</v>
      </c>
      <c r="T2319" t="s">
        <v>345</v>
      </c>
      <c r="U2319" t="s">
        <v>346</v>
      </c>
      <c r="V2319" t="s">
        <v>131</v>
      </c>
      <c r="W2319" t="s">
        <v>51</v>
      </c>
      <c r="X2319" t="s">
        <v>45</v>
      </c>
      <c r="Y2319" s="1">
        <v>27172</v>
      </c>
      <c r="Z2319">
        <v>2</v>
      </c>
      <c r="AA2319" t="s">
        <v>346</v>
      </c>
      <c r="AB2319" s="40" t="s">
        <v>1798</v>
      </c>
    </row>
    <row r="2320" spans="1:28" x14ac:dyDescent="0.25">
      <c r="A2320">
        <v>99912319</v>
      </c>
      <c r="B2320" t="s">
        <v>56</v>
      </c>
      <c r="C2320" t="s">
        <v>46</v>
      </c>
      <c r="D2320" t="s">
        <v>47</v>
      </c>
      <c r="G2320" t="s">
        <v>48</v>
      </c>
      <c r="H2320">
        <v>1</v>
      </c>
      <c r="K2320" t="s">
        <v>345</v>
      </c>
      <c r="L2320" t="s">
        <v>346</v>
      </c>
      <c r="M2320" t="s">
        <v>131</v>
      </c>
      <c r="N2320">
        <v>20</v>
      </c>
      <c r="P2320" t="s">
        <v>41</v>
      </c>
      <c r="Q2320" t="s">
        <v>49</v>
      </c>
      <c r="R2320" t="str">
        <f>"0561021"</f>
        <v>0561021</v>
      </c>
      <c r="S2320" t="s">
        <v>352</v>
      </c>
      <c r="T2320" t="s">
        <v>345</v>
      </c>
      <c r="U2320" t="s">
        <v>346</v>
      </c>
      <c r="V2320" t="s">
        <v>131</v>
      </c>
      <c r="W2320" t="s">
        <v>51</v>
      </c>
      <c r="X2320" t="s">
        <v>45</v>
      </c>
      <c r="Y2320" s="1">
        <v>27143</v>
      </c>
      <c r="Z2320">
        <v>2</v>
      </c>
      <c r="AA2320" t="s">
        <v>346</v>
      </c>
      <c r="AB2320" s="40" t="s">
        <v>1798</v>
      </c>
    </row>
    <row r="2321" spans="1:28" x14ac:dyDescent="0.25">
      <c r="A2321">
        <v>99912320</v>
      </c>
      <c r="B2321" t="s">
        <v>32</v>
      </c>
      <c r="C2321" t="s">
        <v>46</v>
      </c>
      <c r="D2321" t="s">
        <v>47</v>
      </c>
      <c r="G2321" t="s">
        <v>48</v>
      </c>
      <c r="H2321">
        <v>1</v>
      </c>
      <c r="K2321" t="s">
        <v>223</v>
      </c>
      <c r="L2321" t="s">
        <v>224</v>
      </c>
      <c r="M2321" t="s">
        <v>131</v>
      </c>
      <c r="N2321">
        <v>20</v>
      </c>
      <c r="P2321" t="s">
        <v>41</v>
      </c>
      <c r="Q2321" t="s">
        <v>49</v>
      </c>
      <c r="R2321" t="str">
        <f>"0581202"</f>
        <v>0581202</v>
      </c>
      <c r="S2321" t="s">
        <v>248</v>
      </c>
      <c r="T2321" t="s">
        <v>223</v>
      </c>
      <c r="U2321" t="s">
        <v>224</v>
      </c>
      <c r="V2321" t="s">
        <v>131</v>
      </c>
      <c r="W2321" t="s">
        <v>165</v>
      </c>
      <c r="X2321" t="s">
        <v>45</v>
      </c>
      <c r="Y2321" s="1">
        <v>27121</v>
      </c>
      <c r="Z2321">
        <v>2</v>
      </c>
      <c r="AA2321" t="s">
        <v>224</v>
      </c>
      <c r="AB2321" s="40" t="s">
        <v>1798</v>
      </c>
    </row>
    <row r="2322" spans="1:28" x14ac:dyDescent="0.25">
      <c r="A2322">
        <v>99912321</v>
      </c>
      <c r="B2322" t="s">
        <v>32</v>
      </c>
      <c r="C2322" t="s">
        <v>46</v>
      </c>
      <c r="D2322" t="s">
        <v>47</v>
      </c>
      <c r="G2322" t="s">
        <v>48</v>
      </c>
      <c r="H2322">
        <v>1</v>
      </c>
      <c r="I2322" t="s">
        <v>1317</v>
      </c>
      <c r="K2322" t="s">
        <v>1306</v>
      </c>
      <c r="L2322" t="s">
        <v>1307</v>
      </c>
      <c r="M2322" t="s">
        <v>1270</v>
      </c>
      <c r="N2322">
        <v>20</v>
      </c>
      <c r="P2322" t="s">
        <v>41</v>
      </c>
      <c r="Q2322" t="s">
        <v>42</v>
      </c>
      <c r="R2322" t="str">
        <f>"1990913"</f>
        <v>1990913</v>
      </c>
      <c r="S2322" t="s">
        <v>1312</v>
      </c>
      <c r="T2322" t="s">
        <v>1306</v>
      </c>
      <c r="U2322" t="s">
        <v>1307</v>
      </c>
      <c r="V2322" t="s">
        <v>1270</v>
      </c>
      <c r="W2322" t="s">
        <v>51</v>
      </c>
      <c r="X2322" t="s">
        <v>45</v>
      </c>
      <c r="Y2322" s="1">
        <v>27108</v>
      </c>
      <c r="Z2322">
        <v>2</v>
      </c>
      <c r="AA2322" t="s">
        <v>1307</v>
      </c>
      <c r="AB2322" s="40" t="s">
        <v>1798</v>
      </c>
    </row>
    <row r="2323" spans="1:28" x14ac:dyDescent="0.25">
      <c r="A2323">
        <v>99912322</v>
      </c>
      <c r="B2323" t="s">
        <v>32</v>
      </c>
      <c r="C2323" t="s">
        <v>145</v>
      </c>
      <c r="D2323" t="s">
        <v>146</v>
      </c>
      <c r="G2323" t="s">
        <v>48</v>
      </c>
      <c r="H2323">
        <v>1</v>
      </c>
      <c r="K2323" t="s">
        <v>345</v>
      </c>
      <c r="L2323" t="s">
        <v>346</v>
      </c>
      <c r="M2323" t="s">
        <v>131</v>
      </c>
      <c r="N2323">
        <v>20</v>
      </c>
      <c r="P2323" t="s">
        <v>41</v>
      </c>
      <c r="Q2323" t="s">
        <v>42</v>
      </c>
      <c r="R2323" t="str">
        <f>"0561019"</f>
        <v>0561019</v>
      </c>
      <c r="S2323" t="s">
        <v>351</v>
      </c>
      <c r="T2323" t="s">
        <v>345</v>
      </c>
      <c r="U2323" t="s">
        <v>346</v>
      </c>
      <c r="V2323" t="s">
        <v>131</v>
      </c>
      <c r="W2323" t="s">
        <v>51</v>
      </c>
      <c r="X2323" t="s">
        <v>45</v>
      </c>
      <c r="Y2323" s="1">
        <v>27106</v>
      </c>
      <c r="Z2323">
        <v>2</v>
      </c>
      <c r="AA2323" t="s">
        <v>346</v>
      </c>
      <c r="AB2323" s="40" t="s">
        <v>1798</v>
      </c>
    </row>
    <row r="2324" spans="1:28" x14ac:dyDescent="0.25">
      <c r="A2324">
        <v>99912323</v>
      </c>
      <c r="B2324" t="s">
        <v>32</v>
      </c>
      <c r="C2324" t="s">
        <v>46</v>
      </c>
      <c r="D2324" t="s">
        <v>47</v>
      </c>
      <c r="G2324" t="s">
        <v>35</v>
      </c>
      <c r="H2324">
        <v>1</v>
      </c>
      <c r="I2324">
        <v>0</v>
      </c>
      <c r="J2324" s="1">
        <v>43344</v>
      </c>
      <c r="K2324" t="s">
        <v>223</v>
      </c>
      <c r="L2324" t="s">
        <v>224</v>
      </c>
      <c r="M2324" t="s">
        <v>131</v>
      </c>
      <c r="N2324">
        <v>20</v>
      </c>
      <c r="O2324" s="1">
        <v>43344</v>
      </c>
      <c r="P2324" t="s">
        <v>41</v>
      </c>
      <c r="Q2324" t="s">
        <v>42</v>
      </c>
      <c r="R2324" t="str">
        <f>"0580206"</f>
        <v>0580206</v>
      </c>
      <c r="S2324" t="s">
        <v>237</v>
      </c>
      <c r="T2324" t="s">
        <v>223</v>
      </c>
      <c r="U2324" t="s">
        <v>224</v>
      </c>
      <c r="V2324" t="s">
        <v>131</v>
      </c>
      <c r="W2324" t="s">
        <v>44</v>
      </c>
      <c r="X2324" t="s">
        <v>45</v>
      </c>
      <c r="Y2324" s="1">
        <v>27095</v>
      </c>
      <c r="Z2324">
        <v>2</v>
      </c>
      <c r="AA2324" t="s">
        <v>224</v>
      </c>
      <c r="AB2324" s="40" t="s">
        <v>1798</v>
      </c>
    </row>
    <row r="2325" spans="1:28" x14ac:dyDescent="0.25">
      <c r="A2325">
        <v>99912324</v>
      </c>
      <c r="B2325" t="s">
        <v>32</v>
      </c>
      <c r="C2325" t="s">
        <v>46</v>
      </c>
      <c r="D2325" t="s">
        <v>47</v>
      </c>
      <c r="G2325" t="s">
        <v>48</v>
      </c>
      <c r="H2325">
        <v>1</v>
      </c>
      <c r="K2325" t="s">
        <v>1187</v>
      </c>
      <c r="L2325" t="s">
        <v>1188</v>
      </c>
      <c r="M2325" t="s">
        <v>1130</v>
      </c>
      <c r="N2325">
        <v>20</v>
      </c>
      <c r="P2325" t="s">
        <v>41</v>
      </c>
      <c r="Q2325" t="s">
        <v>49</v>
      </c>
      <c r="R2325" t="str">
        <f>"4581015"</f>
        <v>4581015</v>
      </c>
      <c r="S2325" t="s">
        <v>1190</v>
      </c>
      <c r="T2325" t="s">
        <v>1187</v>
      </c>
      <c r="U2325" t="s">
        <v>1188</v>
      </c>
      <c r="V2325" t="s">
        <v>1130</v>
      </c>
      <c r="W2325" t="s">
        <v>51</v>
      </c>
      <c r="X2325" t="s">
        <v>45</v>
      </c>
      <c r="Y2325" s="1">
        <v>27072</v>
      </c>
      <c r="Z2325">
        <v>2</v>
      </c>
      <c r="AA2325" t="s">
        <v>1188</v>
      </c>
      <c r="AB2325" s="40" t="s">
        <v>1798</v>
      </c>
    </row>
    <row r="2326" spans="1:28" x14ac:dyDescent="0.25">
      <c r="A2326">
        <v>99912325</v>
      </c>
      <c r="B2326" t="s">
        <v>32</v>
      </c>
      <c r="C2326" t="s">
        <v>85</v>
      </c>
      <c r="D2326" t="s">
        <v>86</v>
      </c>
      <c r="G2326" t="s">
        <v>35</v>
      </c>
      <c r="H2326">
        <v>1</v>
      </c>
      <c r="K2326" t="s">
        <v>223</v>
      </c>
      <c r="L2326" t="s">
        <v>224</v>
      </c>
      <c r="M2326" t="s">
        <v>131</v>
      </c>
      <c r="N2326">
        <v>20</v>
      </c>
      <c r="P2326" t="s">
        <v>41</v>
      </c>
      <c r="Q2326" t="s">
        <v>49</v>
      </c>
      <c r="R2326" t="str">
        <f>"0591907"</f>
        <v>0591907</v>
      </c>
      <c r="S2326" t="s">
        <v>243</v>
      </c>
      <c r="T2326" t="s">
        <v>223</v>
      </c>
      <c r="U2326" t="s">
        <v>224</v>
      </c>
      <c r="V2326" t="s">
        <v>131</v>
      </c>
      <c r="W2326" t="s">
        <v>51</v>
      </c>
      <c r="X2326" t="s">
        <v>45</v>
      </c>
      <c r="Y2326" s="1">
        <v>27067</v>
      </c>
      <c r="Z2326">
        <v>2</v>
      </c>
      <c r="AA2326" t="s">
        <v>224</v>
      </c>
      <c r="AB2326" s="40" t="s">
        <v>1798</v>
      </c>
    </row>
    <row r="2327" spans="1:28" x14ac:dyDescent="0.25">
      <c r="A2327">
        <v>99912326</v>
      </c>
      <c r="B2327" t="s">
        <v>56</v>
      </c>
      <c r="C2327" t="s">
        <v>46</v>
      </c>
      <c r="D2327" t="s">
        <v>47</v>
      </c>
      <c r="G2327" t="s">
        <v>48</v>
      </c>
      <c r="H2327">
        <v>1</v>
      </c>
      <c r="K2327" t="s">
        <v>162</v>
      </c>
      <c r="L2327" t="s">
        <v>158</v>
      </c>
      <c r="M2327" t="s">
        <v>131</v>
      </c>
      <c r="N2327">
        <v>20</v>
      </c>
      <c r="P2327" t="s">
        <v>41</v>
      </c>
      <c r="Q2327" t="s">
        <v>42</v>
      </c>
      <c r="R2327" t="str">
        <f>"0580325"</f>
        <v>0580325</v>
      </c>
      <c r="S2327" t="s">
        <v>170</v>
      </c>
      <c r="T2327" t="s">
        <v>162</v>
      </c>
      <c r="U2327" t="s">
        <v>158</v>
      </c>
      <c r="V2327" t="s">
        <v>131</v>
      </c>
      <c r="W2327" t="s">
        <v>165</v>
      </c>
      <c r="X2327" t="s">
        <v>45</v>
      </c>
      <c r="Y2327" s="1">
        <v>27064</v>
      </c>
      <c r="Z2327">
        <v>2</v>
      </c>
      <c r="AA2327" t="s">
        <v>158</v>
      </c>
      <c r="AB2327" s="40" t="s">
        <v>1798</v>
      </c>
    </row>
    <row r="2328" spans="1:28" x14ac:dyDescent="0.25">
      <c r="A2328">
        <v>99912327</v>
      </c>
      <c r="B2328" t="s">
        <v>56</v>
      </c>
      <c r="C2328" t="s">
        <v>58</v>
      </c>
      <c r="D2328" t="s">
        <v>59</v>
      </c>
      <c r="G2328" t="s">
        <v>35</v>
      </c>
      <c r="H2328">
        <v>1</v>
      </c>
      <c r="I2328">
        <v>0</v>
      </c>
      <c r="J2328" s="1">
        <v>43344</v>
      </c>
      <c r="K2328" t="s">
        <v>223</v>
      </c>
      <c r="L2328" t="s">
        <v>224</v>
      </c>
      <c r="M2328" t="s">
        <v>131</v>
      </c>
      <c r="N2328">
        <v>20</v>
      </c>
      <c r="O2328" s="1">
        <v>43344</v>
      </c>
      <c r="P2328" t="s">
        <v>41</v>
      </c>
      <c r="Q2328" t="s">
        <v>42</v>
      </c>
      <c r="R2328" t="str">
        <f>"0580206"</f>
        <v>0580206</v>
      </c>
      <c r="S2328" t="s">
        <v>237</v>
      </c>
      <c r="T2328" t="s">
        <v>223</v>
      </c>
      <c r="U2328" t="s">
        <v>224</v>
      </c>
      <c r="V2328" t="s">
        <v>131</v>
      </c>
      <c r="W2328" t="s">
        <v>51</v>
      </c>
      <c r="X2328" t="s">
        <v>45</v>
      </c>
      <c r="Y2328" s="1">
        <v>27054</v>
      </c>
      <c r="Z2328">
        <v>2</v>
      </c>
      <c r="AA2328" t="s">
        <v>224</v>
      </c>
      <c r="AB2328" s="40" t="s">
        <v>1798</v>
      </c>
    </row>
    <row r="2329" spans="1:28" x14ac:dyDescent="0.25">
      <c r="A2329">
        <v>99912328</v>
      </c>
      <c r="B2329" t="s">
        <v>32</v>
      </c>
      <c r="C2329" t="s">
        <v>46</v>
      </c>
      <c r="D2329" t="s">
        <v>47</v>
      </c>
      <c r="G2329" t="s">
        <v>35</v>
      </c>
      <c r="H2329">
        <v>1</v>
      </c>
      <c r="K2329" t="s">
        <v>1268</v>
      </c>
      <c r="L2329" t="s">
        <v>1269</v>
      </c>
      <c r="M2329" t="s">
        <v>1270</v>
      </c>
      <c r="N2329">
        <v>20</v>
      </c>
      <c r="P2329" t="s">
        <v>41</v>
      </c>
      <c r="Q2329" t="s">
        <v>922</v>
      </c>
      <c r="R2329" t="str">
        <f>"1950001"</f>
        <v>1950001</v>
      </c>
      <c r="S2329" t="s">
        <v>1284</v>
      </c>
      <c r="T2329" t="s">
        <v>1268</v>
      </c>
      <c r="U2329" t="s">
        <v>1269</v>
      </c>
      <c r="V2329" t="s">
        <v>1270</v>
      </c>
      <c r="W2329" t="s">
        <v>51</v>
      </c>
      <c r="X2329" t="s">
        <v>45</v>
      </c>
      <c r="Y2329" s="1">
        <v>27045</v>
      </c>
      <c r="Z2329">
        <v>2</v>
      </c>
      <c r="AA2329" t="s">
        <v>1269</v>
      </c>
      <c r="AB2329" s="40" t="s">
        <v>1798</v>
      </c>
    </row>
    <row r="2330" spans="1:28" x14ac:dyDescent="0.25">
      <c r="A2330">
        <v>99912329</v>
      </c>
      <c r="B2330" t="s">
        <v>32</v>
      </c>
      <c r="C2330" t="s">
        <v>46</v>
      </c>
      <c r="D2330" t="s">
        <v>47</v>
      </c>
      <c r="G2330" t="s">
        <v>35</v>
      </c>
      <c r="H2330">
        <v>1</v>
      </c>
      <c r="K2330" t="s">
        <v>223</v>
      </c>
      <c r="L2330" t="s">
        <v>224</v>
      </c>
      <c r="M2330" t="s">
        <v>131</v>
      </c>
      <c r="N2330">
        <v>20</v>
      </c>
      <c r="P2330" t="s">
        <v>41</v>
      </c>
      <c r="Q2330" t="s">
        <v>42</v>
      </c>
      <c r="R2330" t="str">
        <f>"0590901"</f>
        <v>0590901</v>
      </c>
      <c r="S2330" t="s">
        <v>242</v>
      </c>
      <c r="T2330" t="s">
        <v>223</v>
      </c>
      <c r="U2330" t="s">
        <v>224</v>
      </c>
      <c r="V2330" t="s">
        <v>131</v>
      </c>
      <c r="W2330" t="s">
        <v>51</v>
      </c>
      <c r="X2330" t="s">
        <v>45</v>
      </c>
      <c r="Y2330" s="1">
        <v>27033</v>
      </c>
      <c r="Z2330">
        <v>2</v>
      </c>
      <c r="AA2330" t="s">
        <v>224</v>
      </c>
      <c r="AB2330" s="40" t="s">
        <v>1798</v>
      </c>
    </row>
    <row r="2331" spans="1:28" x14ac:dyDescent="0.25">
      <c r="A2331">
        <v>99912330</v>
      </c>
      <c r="B2331" t="s">
        <v>32</v>
      </c>
      <c r="C2331" t="s">
        <v>46</v>
      </c>
      <c r="D2331" t="s">
        <v>47</v>
      </c>
      <c r="G2331" t="s">
        <v>35</v>
      </c>
      <c r="H2331">
        <v>1</v>
      </c>
      <c r="K2331" t="s">
        <v>1268</v>
      </c>
      <c r="L2331" t="s">
        <v>1269</v>
      </c>
      <c r="M2331" t="s">
        <v>1270</v>
      </c>
      <c r="N2331">
        <v>20</v>
      </c>
      <c r="P2331" t="s">
        <v>41</v>
      </c>
      <c r="Q2331" t="s">
        <v>49</v>
      </c>
      <c r="R2331" t="str">
        <f>"1981914"</f>
        <v>1981914</v>
      </c>
      <c r="S2331" t="s">
        <v>1287</v>
      </c>
      <c r="T2331" t="s">
        <v>1268</v>
      </c>
      <c r="U2331" t="s">
        <v>1269</v>
      </c>
      <c r="V2331" t="s">
        <v>1270</v>
      </c>
      <c r="W2331" t="s">
        <v>51</v>
      </c>
      <c r="X2331" t="s">
        <v>45</v>
      </c>
      <c r="Y2331" s="1">
        <v>27030</v>
      </c>
      <c r="Z2331">
        <v>2</v>
      </c>
      <c r="AA2331" t="s">
        <v>1269</v>
      </c>
      <c r="AB2331" s="40" t="s">
        <v>1798</v>
      </c>
    </row>
    <row r="2332" spans="1:28" x14ac:dyDescent="0.25">
      <c r="A2332">
        <v>99912331</v>
      </c>
      <c r="B2332" t="s">
        <v>32</v>
      </c>
      <c r="C2332" t="s">
        <v>46</v>
      </c>
      <c r="D2332" t="s">
        <v>47</v>
      </c>
      <c r="G2332" t="s">
        <v>35</v>
      </c>
      <c r="H2332">
        <v>1</v>
      </c>
      <c r="K2332" t="s">
        <v>1268</v>
      </c>
      <c r="L2332" t="s">
        <v>1269</v>
      </c>
      <c r="M2332" t="s">
        <v>1270</v>
      </c>
      <c r="N2332">
        <v>20</v>
      </c>
      <c r="P2332" t="s">
        <v>41</v>
      </c>
      <c r="Q2332" t="s">
        <v>922</v>
      </c>
      <c r="R2332" t="str">
        <f>"1950001"</f>
        <v>1950001</v>
      </c>
      <c r="S2332" t="s">
        <v>1284</v>
      </c>
      <c r="T2332" t="s">
        <v>1268</v>
      </c>
      <c r="U2332" t="s">
        <v>1269</v>
      </c>
      <c r="V2332" t="s">
        <v>1270</v>
      </c>
      <c r="W2332" t="s">
        <v>51</v>
      </c>
      <c r="X2332" t="s">
        <v>45</v>
      </c>
      <c r="Y2332" s="1">
        <v>26986</v>
      </c>
      <c r="Z2332">
        <v>2</v>
      </c>
      <c r="AA2332" t="s">
        <v>1269</v>
      </c>
      <c r="AB2332" s="40" t="s">
        <v>1798</v>
      </c>
    </row>
    <row r="2333" spans="1:28" x14ac:dyDescent="0.25">
      <c r="A2333">
        <v>99912332</v>
      </c>
      <c r="B2333" t="s">
        <v>32</v>
      </c>
      <c r="C2333" t="s">
        <v>61</v>
      </c>
      <c r="D2333" t="s">
        <v>62</v>
      </c>
      <c r="G2333" t="s">
        <v>48</v>
      </c>
      <c r="H2333">
        <v>10</v>
      </c>
      <c r="K2333" t="s">
        <v>1268</v>
      </c>
      <c r="L2333" t="s">
        <v>1269</v>
      </c>
      <c r="M2333" t="s">
        <v>1270</v>
      </c>
      <c r="N2333">
        <v>20</v>
      </c>
      <c r="O2333" s="1">
        <v>43344</v>
      </c>
      <c r="P2333" t="s">
        <v>41</v>
      </c>
      <c r="Q2333" t="s">
        <v>42</v>
      </c>
      <c r="R2333" t="str">
        <f>"1980055"</f>
        <v>1980055</v>
      </c>
      <c r="S2333" t="s">
        <v>1285</v>
      </c>
      <c r="T2333" t="s">
        <v>1268</v>
      </c>
      <c r="U2333" t="s">
        <v>1269</v>
      </c>
      <c r="V2333" t="s">
        <v>1270</v>
      </c>
      <c r="W2333" t="s">
        <v>165</v>
      </c>
      <c r="X2333" t="s">
        <v>45</v>
      </c>
      <c r="Y2333" s="1">
        <v>26982</v>
      </c>
      <c r="Z2333">
        <v>2</v>
      </c>
      <c r="AA2333" t="s">
        <v>1269</v>
      </c>
      <c r="AB2333" s="40" t="s">
        <v>1798</v>
      </c>
    </row>
    <row r="2334" spans="1:28" x14ac:dyDescent="0.25">
      <c r="A2334">
        <v>99912333</v>
      </c>
      <c r="B2334" t="s">
        <v>56</v>
      </c>
      <c r="C2334" t="s">
        <v>79</v>
      </c>
      <c r="D2334" t="s">
        <v>80</v>
      </c>
      <c r="G2334" t="s">
        <v>48</v>
      </c>
      <c r="H2334">
        <v>1</v>
      </c>
      <c r="K2334" t="s">
        <v>223</v>
      </c>
      <c r="L2334" t="s">
        <v>224</v>
      </c>
      <c r="M2334" t="s">
        <v>131</v>
      </c>
      <c r="N2334">
        <v>20</v>
      </c>
      <c r="P2334" t="s">
        <v>41</v>
      </c>
      <c r="Q2334" t="s">
        <v>49</v>
      </c>
      <c r="R2334" t="str">
        <f>"0581206"</f>
        <v>0581206</v>
      </c>
      <c r="S2334" t="s">
        <v>232</v>
      </c>
      <c r="T2334" t="s">
        <v>223</v>
      </c>
      <c r="U2334" t="s">
        <v>224</v>
      </c>
      <c r="V2334" t="s">
        <v>131</v>
      </c>
      <c r="W2334" t="s">
        <v>51</v>
      </c>
      <c r="X2334" t="s">
        <v>45</v>
      </c>
      <c r="Y2334" s="1">
        <v>26972</v>
      </c>
      <c r="Z2334">
        <v>2</v>
      </c>
      <c r="AA2334" t="s">
        <v>224</v>
      </c>
      <c r="AB2334" s="40" t="s">
        <v>1798</v>
      </c>
    </row>
    <row r="2335" spans="1:28" x14ac:dyDescent="0.25">
      <c r="A2335">
        <v>99912334</v>
      </c>
      <c r="B2335" t="s">
        <v>32</v>
      </c>
      <c r="C2335" t="s">
        <v>46</v>
      </c>
      <c r="D2335" t="s">
        <v>47</v>
      </c>
      <c r="G2335" t="s">
        <v>35</v>
      </c>
      <c r="H2335">
        <v>1</v>
      </c>
      <c r="K2335" t="s">
        <v>345</v>
      </c>
      <c r="L2335" t="s">
        <v>346</v>
      </c>
      <c r="M2335" t="s">
        <v>131</v>
      </c>
      <c r="N2335">
        <v>20</v>
      </c>
      <c r="P2335" t="s">
        <v>41</v>
      </c>
      <c r="Q2335" t="s">
        <v>49</v>
      </c>
      <c r="R2335" t="str">
        <f>"0560007"</f>
        <v>0560007</v>
      </c>
      <c r="S2335" t="s">
        <v>357</v>
      </c>
      <c r="T2335" t="s">
        <v>345</v>
      </c>
      <c r="U2335" t="s">
        <v>346</v>
      </c>
      <c r="V2335" t="s">
        <v>131</v>
      </c>
      <c r="W2335" t="s">
        <v>51</v>
      </c>
      <c r="X2335" t="s">
        <v>45</v>
      </c>
      <c r="Y2335" s="1">
        <v>26965</v>
      </c>
      <c r="Z2335">
        <v>2</v>
      </c>
      <c r="AA2335" t="s">
        <v>346</v>
      </c>
      <c r="AB2335" s="40" t="s">
        <v>1798</v>
      </c>
    </row>
    <row r="2336" spans="1:28" x14ac:dyDescent="0.25">
      <c r="A2336">
        <v>99912335</v>
      </c>
      <c r="B2336" t="s">
        <v>56</v>
      </c>
      <c r="C2336" t="s">
        <v>61</v>
      </c>
      <c r="D2336" t="s">
        <v>62</v>
      </c>
      <c r="G2336" t="s">
        <v>48</v>
      </c>
      <c r="H2336">
        <v>1</v>
      </c>
      <c r="K2336" t="s">
        <v>223</v>
      </c>
      <c r="L2336" t="s">
        <v>224</v>
      </c>
      <c r="M2336" t="s">
        <v>131</v>
      </c>
      <c r="N2336">
        <v>20</v>
      </c>
      <c r="P2336" t="s">
        <v>41</v>
      </c>
      <c r="Q2336" t="s">
        <v>49</v>
      </c>
      <c r="R2336" t="str">
        <f>"0540902"</f>
        <v>0540902</v>
      </c>
      <c r="S2336" t="s">
        <v>256</v>
      </c>
      <c r="T2336" t="s">
        <v>223</v>
      </c>
      <c r="U2336" t="s">
        <v>224</v>
      </c>
      <c r="V2336" t="s">
        <v>131</v>
      </c>
      <c r="W2336" t="s">
        <v>51</v>
      </c>
      <c r="X2336" t="s">
        <v>45</v>
      </c>
      <c r="Y2336" s="1">
        <v>26918</v>
      </c>
      <c r="Z2336">
        <v>2</v>
      </c>
      <c r="AA2336" t="s">
        <v>224</v>
      </c>
      <c r="AB2336" s="40" t="s">
        <v>1798</v>
      </c>
    </row>
    <row r="2337" spans="1:28" x14ac:dyDescent="0.25">
      <c r="A2337">
        <v>99912336</v>
      </c>
      <c r="B2337" t="s">
        <v>56</v>
      </c>
      <c r="C2337" t="s">
        <v>61</v>
      </c>
      <c r="D2337" t="s">
        <v>62</v>
      </c>
      <c r="G2337" t="s">
        <v>48</v>
      </c>
      <c r="H2337">
        <v>1</v>
      </c>
      <c r="K2337" t="s">
        <v>157</v>
      </c>
      <c r="L2337" t="s">
        <v>158</v>
      </c>
      <c r="M2337" t="s">
        <v>131</v>
      </c>
      <c r="N2337">
        <v>20</v>
      </c>
      <c r="P2337" t="s">
        <v>41</v>
      </c>
      <c r="Q2337" t="s">
        <v>42</v>
      </c>
      <c r="R2337" t="str">
        <f>"0580470"</f>
        <v>0580470</v>
      </c>
      <c r="S2337" t="s">
        <v>175</v>
      </c>
      <c r="T2337" t="s">
        <v>157</v>
      </c>
      <c r="U2337" t="s">
        <v>158</v>
      </c>
      <c r="V2337" t="s">
        <v>131</v>
      </c>
      <c r="W2337" t="s">
        <v>51</v>
      </c>
      <c r="X2337" t="s">
        <v>45</v>
      </c>
      <c r="Y2337" s="1">
        <v>26915</v>
      </c>
      <c r="Z2337">
        <v>2</v>
      </c>
      <c r="AA2337" t="s">
        <v>158</v>
      </c>
      <c r="AB2337" s="40" t="s">
        <v>1798</v>
      </c>
    </row>
    <row r="2338" spans="1:28" x14ac:dyDescent="0.25">
      <c r="A2338">
        <v>99912337</v>
      </c>
      <c r="B2338" t="s">
        <v>32</v>
      </c>
      <c r="C2338" t="s">
        <v>46</v>
      </c>
      <c r="D2338" t="s">
        <v>47</v>
      </c>
      <c r="G2338" t="s">
        <v>48</v>
      </c>
      <c r="H2338">
        <v>1</v>
      </c>
      <c r="K2338" t="s">
        <v>1128</v>
      </c>
      <c r="L2338" t="s">
        <v>1129</v>
      </c>
      <c r="M2338" t="s">
        <v>1130</v>
      </c>
      <c r="N2338">
        <v>20</v>
      </c>
      <c r="P2338" t="s">
        <v>41</v>
      </c>
      <c r="Q2338" t="s">
        <v>49</v>
      </c>
      <c r="R2338" t="str">
        <f>"3181010"</f>
        <v>3181010</v>
      </c>
      <c r="S2338" t="s">
        <v>1134</v>
      </c>
      <c r="T2338" t="s">
        <v>1128</v>
      </c>
      <c r="U2338" t="s">
        <v>1129</v>
      </c>
      <c r="V2338" t="s">
        <v>1130</v>
      </c>
      <c r="W2338" t="s">
        <v>165</v>
      </c>
      <c r="X2338" t="s">
        <v>45</v>
      </c>
      <c r="Y2338" s="1">
        <v>26881</v>
      </c>
      <c r="Z2338">
        <v>2</v>
      </c>
      <c r="AA2338" t="s">
        <v>1129</v>
      </c>
      <c r="AB2338" s="40" t="s">
        <v>1798</v>
      </c>
    </row>
    <row r="2339" spans="1:28" x14ac:dyDescent="0.25">
      <c r="A2339">
        <v>99912338</v>
      </c>
      <c r="B2339" t="s">
        <v>32</v>
      </c>
      <c r="C2339" t="s">
        <v>46</v>
      </c>
      <c r="D2339" t="s">
        <v>47</v>
      </c>
      <c r="G2339" t="s">
        <v>48</v>
      </c>
      <c r="H2339">
        <v>1</v>
      </c>
      <c r="K2339" t="s">
        <v>345</v>
      </c>
      <c r="L2339" t="s">
        <v>346</v>
      </c>
      <c r="M2339" t="s">
        <v>131</v>
      </c>
      <c r="N2339">
        <v>20</v>
      </c>
      <c r="P2339" t="s">
        <v>41</v>
      </c>
      <c r="Q2339" t="s">
        <v>49</v>
      </c>
      <c r="R2339" t="str">
        <f>"0581605"</f>
        <v>0581605</v>
      </c>
      <c r="S2339" t="s">
        <v>366</v>
      </c>
      <c r="T2339" t="s">
        <v>345</v>
      </c>
      <c r="U2339" t="s">
        <v>346</v>
      </c>
      <c r="V2339" t="s">
        <v>131</v>
      </c>
      <c r="W2339" t="s">
        <v>51</v>
      </c>
      <c r="X2339" t="s">
        <v>45</v>
      </c>
      <c r="Y2339" s="1">
        <v>26879</v>
      </c>
      <c r="Z2339">
        <v>2</v>
      </c>
      <c r="AA2339" t="s">
        <v>346</v>
      </c>
      <c r="AB2339" s="40" t="s">
        <v>1798</v>
      </c>
    </row>
    <row r="2340" spans="1:28" x14ac:dyDescent="0.25">
      <c r="A2340">
        <v>99912339</v>
      </c>
      <c r="B2340" t="s">
        <v>32</v>
      </c>
      <c r="C2340" t="s">
        <v>64</v>
      </c>
      <c r="D2340" t="s">
        <v>65</v>
      </c>
      <c r="G2340" t="s">
        <v>48</v>
      </c>
      <c r="H2340">
        <v>1</v>
      </c>
      <c r="K2340" t="s">
        <v>223</v>
      </c>
      <c r="L2340" t="s">
        <v>224</v>
      </c>
      <c r="M2340" t="s">
        <v>131</v>
      </c>
      <c r="N2340">
        <v>20</v>
      </c>
      <c r="P2340" t="s">
        <v>41</v>
      </c>
      <c r="Q2340" t="s">
        <v>49</v>
      </c>
      <c r="R2340" t="str">
        <f>"0581206"</f>
        <v>0581206</v>
      </c>
      <c r="S2340" t="s">
        <v>232</v>
      </c>
      <c r="T2340" t="s">
        <v>223</v>
      </c>
      <c r="U2340" t="s">
        <v>224</v>
      </c>
      <c r="V2340" t="s">
        <v>131</v>
      </c>
      <c r="W2340" t="s">
        <v>51</v>
      </c>
      <c r="X2340" t="s">
        <v>45</v>
      </c>
      <c r="Y2340" s="1">
        <v>26878</v>
      </c>
      <c r="Z2340">
        <v>2</v>
      </c>
      <c r="AA2340" t="s">
        <v>224</v>
      </c>
      <c r="AB2340" s="40" t="s">
        <v>1798</v>
      </c>
    </row>
    <row r="2341" spans="1:28" x14ac:dyDescent="0.25">
      <c r="A2341">
        <v>99912340</v>
      </c>
      <c r="B2341" t="s">
        <v>32</v>
      </c>
      <c r="C2341" t="s">
        <v>46</v>
      </c>
      <c r="D2341" t="s">
        <v>47</v>
      </c>
      <c r="G2341" t="s">
        <v>35</v>
      </c>
      <c r="H2341">
        <v>1</v>
      </c>
      <c r="I2341" t="s">
        <v>1606</v>
      </c>
      <c r="J2341" s="1">
        <v>43344</v>
      </c>
      <c r="K2341" t="s">
        <v>1590</v>
      </c>
      <c r="L2341" t="s">
        <v>1591</v>
      </c>
      <c r="M2341" t="s">
        <v>1592</v>
      </c>
      <c r="N2341">
        <v>20</v>
      </c>
      <c r="O2341" s="1">
        <v>43344</v>
      </c>
      <c r="P2341" t="s">
        <v>41</v>
      </c>
      <c r="Q2341" t="s">
        <v>42</v>
      </c>
      <c r="R2341" t="str">
        <f>"0280020"</f>
        <v>0280020</v>
      </c>
      <c r="S2341" t="s">
        <v>1597</v>
      </c>
      <c r="T2341" t="s">
        <v>1590</v>
      </c>
      <c r="U2341" t="s">
        <v>1591</v>
      </c>
      <c r="V2341" t="s">
        <v>1592</v>
      </c>
      <c r="W2341" t="s">
        <v>51</v>
      </c>
      <c r="X2341" t="s">
        <v>45</v>
      </c>
      <c r="Y2341" s="1">
        <v>26866</v>
      </c>
      <c r="Z2341">
        <v>2</v>
      </c>
      <c r="AA2341" t="s">
        <v>1591</v>
      </c>
      <c r="AB2341" s="40" t="s">
        <v>1798</v>
      </c>
    </row>
    <row r="2342" spans="1:28" x14ac:dyDescent="0.25">
      <c r="A2342">
        <v>99912341</v>
      </c>
      <c r="B2342" t="s">
        <v>56</v>
      </c>
      <c r="C2342" t="s">
        <v>139</v>
      </c>
      <c r="D2342" t="s">
        <v>140</v>
      </c>
      <c r="G2342" t="s">
        <v>48</v>
      </c>
      <c r="H2342">
        <v>1</v>
      </c>
      <c r="K2342" t="s">
        <v>129</v>
      </c>
      <c r="L2342" t="s">
        <v>130</v>
      </c>
      <c r="M2342" t="s">
        <v>131</v>
      </c>
      <c r="N2342">
        <v>20</v>
      </c>
      <c r="P2342" t="s">
        <v>41</v>
      </c>
      <c r="Q2342" t="s">
        <v>49</v>
      </c>
      <c r="R2342" t="str">
        <f>"0591905"</f>
        <v>0591905</v>
      </c>
      <c r="S2342" t="s">
        <v>135</v>
      </c>
      <c r="T2342" t="s">
        <v>129</v>
      </c>
      <c r="U2342" t="s">
        <v>130</v>
      </c>
      <c r="V2342" t="s">
        <v>131</v>
      </c>
      <c r="W2342" t="s">
        <v>51</v>
      </c>
      <c r="X2342" t="s">
        <v>45</v>
      </c>
      <c r="Y2342" s="1">
        <v>26862</v>
      </c>
      <c r="Z2342">
        <v>2</v>
      </c>
      <c r="AA2342" t="s">
        <v>130</v>
      </c>
      <c r="AB2342" s="40" t="s">
        <v>1798</v>
      </c>
    </row>
    <row r="2343" spans="1:28" x14ac:dyDescent="0.25">
      <c r="A2343">
        <v>99912342</v>
      </c>
      <c r="B2343" t="s">
        <v>32</v>
      </c>
      <c r="C2343" t="s">
        <v>46</v>
      </c>
      <c r="D2343" t="s">
        <v>47</v>
      </c>
      <c r="G2343" t="s">
        <v>35</v>
      </c>
      <c r="H2343">
        <v>1</v>
      </c>
      <c r="K2343" t="s">
        <v>1128</v>
      </c>
      <c r="L2343" t="s">
        <v>1129</v>
      </c>
      <c r="M2343" t="s">
        <v>1130</v>
      </c>
      <c r="N2343">
        <v>20</v>
      </c>
      <c r="P2343" t="s">
        <v>41</v>
      </c>
      <c r="Q2343" t="s">
        <v>42</v>
      </c>
      <c r="R2343" t="str">
        <f>"3180010"</f>
        <v>3180010</v>
      </c>
      <c r="S2343" t="s">
        <v>1132</v>
      </c>
      <c r="T2343" t="s">
        <v>1128</v>
      </c>
      <c r="U2343" t="s">
        <v>1129</v>
      </c>
      <c r="V2343" t="s">
        <v>1130</v>
      </c>
      <c r="W2343" t="s">
        <v>51</v>
      </c>
      <c r="X2343" t="s">
        <v>45</v>
      </c>
      <c r="Y2343" s="1">
        <v>26844</v>
      </c>
      <c r="Z2343">
        <v>2</v>
      </c>
      <c r="AA2343" t="s">
        <v>1129</v>
      </c>
      <c r="AB2343" s="40" t="s">
        <v>1798</v>
      </c>
    </row>
    <row r="2344" spans="1:28" x14ac:dyDescent="0.25">
      <c r="A2344">
        <v>99912343</v>
      </c>
      <c r="B2344" t="s">
        <v>32</v>
      </c>
      <c r="C2344" t="s">
        <v>46</v>
      </c>
      <c r="D2344" t="s">
        <v>47</v>
      </c>
      <c r="G2344" t="s">
        <v>48</v>
      </c>
      <c r="H2344">
        <v>1</v>
      </c>
      <c r="K2344" t="s">
        <v>223</v>
      </c>
      <c r="L2344" t="s">
        <v>224</v>
      </c>
      <c r="M2344" t="s">
        <v>131</v>
      </c>
      <c r="N2344">
        <v>20</v>
      </c>
      <c r="P2344" t="s">
        <v>41</v>
      </c>
      <c r="Q2344" t="s">
        <v>49</v>
      </c>
      <c r="R2344" t="str">
        <f>"0581200"</f>
        <v>0581200</v>
      </c>
      <c r="S2344" t="s">
        <v>238</v>
      </c>
      <c r="T2344" t="s">
        <v>223</v>
      </c>
      <c r="U2344" t="s">
        <v>224</v>
      </c>
      <c r="V2344" t="s">
        <v>131</v>
      </c>
      <c r="W2344" t="s">
        <v>51</v>
      </c>
      <c r="X2344" t="s">
        <v>45</v>
      </c>
      <c r="Y2344" s="1">
        <v>26824</v>
      </c>
      <c r="Z2344">
        <v>2</v>
      </c>
      <c r="AA2344" t="s">
        <v>224</v>
      </c>
      <c r="AB2344" s="40" t="s">
        <v>1798</v>
      </c>
    </row>
    <row r="2345" spans="1:28" x14ac:dyDescent="0.25">
      <c r="A2345">
        <v>99912344</v>
      </c>
      <c r="B2345" t="s">
        <v>56</v>
      </c>
      <c r="C2345" t="s">
        <v>58</v>
      </c>
      <c r="D2345" t="s">
        <v>59</v>
      </c>
      <c r="G2345" t="s">
        <v>48</v>
      </c>
      <c r="H2345">
        <v>1</v>
      </c>
      <c r="K2345" t="s">
        <v>300</v>
      </c>
      <c r="L2345" t="s">
        <v>301</v>
      </c>
      <c r="M2345" t="s">
        <v>131</v>
      </c>
      <c r="N2345">
        <v>20</v>
      </c>
      <c r="P2345" t="s">
        <v>41</v>
      </c>
      <c r="Q2345" t="s">
        <v>42</v>
      </c>
      <c r="R2345" t="str">
        <f>"0561001"</f>
        <v>0561001</v>
      </c>
      <c r="S2345" t="s">
        <v>308</v>
      </c>
      <c r="T2345" t="s">
        <v>300</v>
      </c>
      <c r="U2345" t="s">
        <v>301</v>
      </c>
      <c r="V2345" t="s">
        <v>131</v>
      </c>
      <c r="W2345" t="s">
        <v>51</v>
      </c>
      <c r="X2345" t="s">
        <v>45</v>
      </c>
      <c r="Y2345" s="1">
        <v>26821</v>
      </c>
      <c r="Z2345">
        <v>2</v>
      </c>
      <c r="AA2345" t="s">
        <v>301</v>
      </c>
      <c r="AB2345" s="40" t="s">
        <v>1798</v>
      </c>
    </row>
    <row r="2346" spans="1:28" x14ac:dyDescent="0.25">
      <c r="A2346">
        <v>99912345</v>
      </c>
      <c r="B2346" t="s">
        <v>32</v>
      </c>
      <c r="C2346" t="s">
        <v>64</v>
      </c>
      <c r="D2346" t="s">
        <v>65</v>
      </c>
      <c r="G2346" t="s">
        <v>48</v>
      </c>
      <c r="H2346">
        <v>1</v>
      </c>
      <c r="K2346" t="s">
        <v>223</v>
      </c>
      <c r="L2346" t="s">
        <v>224</v>
      </c>
      <c r="M2346" t="s">
        <v>131</v>
      </c>
      <c r="N2346">
        <v>20</v>
      </c>
      <c r="P2346" t="s">
        <v>41</v>
      </c>
      <c r="Q2346" t="s">
        <v>42</v>
      </c>
      <c r="R2346" t="str">
        <f>"0580204"</f>
        <v>0580204</v>
      </c>
      <c r="S2346" t="s">
        <v>235</v>
      </c>
      <c r="T2346" t="s">
        <v>223</v>
      </c>
      <c r="U2346" t="s">
        <v>224</v>
      </c>
      <c r="V2346" t="s">
        <v>131</v>
      </c>
      <c r="W2346" t="s">
        <v>51</v>
      </c>
      <c r="X2346" t="s">
        <v>45</v>
      </c>
      <c r="Y2346" s="1">
        <v>26819</v>
      </c>
      <c r="Z2346">
        <v>2</v>
      </c>
      <c r="AA2346" t="s">
        <v>224</v>
      </c>
      <c r="AB2346" s="40" t="s">
        <v>1798</v>
      </c>
    </row>
    <row r="2347" spans="1:28" x14ac:dyDescent="0.25">
      <c r="A2347">
        <v>99912346</v>
      </c>
      <c r="B2347" t="s">
        <v>32</v>
      </c>
      <c r="C2347" t="s">
        <v>64</v>
      </c>
      <c r="D2347" t="s">
        <v>65</v>
      </c>
      <c r="G2347" t="s">
        <v>48</v>
      </c>
      <c r="H2347">
        <v>8</v>
      </c>
      <c r="K2347" t="s">
        <v>1268</v>
      </c>
      <c r="L2347" t="s">
        <v>1269</v>
      </c>
      <c r="M2347" t="s">
        <v>1270</v>
      </c>
      <c r="N2347">
        <v>20</v>
      </c>
      <c r="O2347" s="1">
        <v>43344</v>
      </c>
      <c r="P2347" t="s">
        <v>41</v>
      </c>
      <c r="Q2347" t="s">
        <v>49</v>
      </c>
      <c r="R2347" t="str">
        <f>"1981055"</f>
        <v>1981055</v>
      </c>
      <c r="S2347" t="s">
        <v>1280</v>
      </c>
      <c r="T2347" t="s">
        <v>1268</v>
      </c>
      <c r="U2347" t="s">
        <v>1269</v>
      </c>
      <c r="V2347" t="s">
        <v>1270</v>
      </c>
      <c r="W2347" t="s">
        <v>51</v>
      </c>
      <c r="X2347" t="s">
        <v>45</v>
      </c>
      <c r="Y2347" s="1">
        <v>26816</v>
      </c>
      <c r="Z2347">
        <v>2</v>
      </c>
      <c r="AA2347" t="s">
        <v>1269</v>
      </c>
      <c r="AB2347" s="40" t="s">
        <v>1798</v>
      </c>
    </row>
    <row r="2348" spans="1:28" x14ac:dyDescent="0.25">
      <c r="A2348">
        <v>99912347</v>
      </c>
      <c r="B2348" t="s">
        <v>32</v>
      </c>
      <c r="C2348" t="s">
        <v>52</v>
      </c>
      <c r="D2348" t="s">
        <v>53</v>
      </c>
      <c r="G2348" t="s">
        <v>48</v>
      </c>
      <c r="H2348">
        <v>1</v>
      </c>
      <c r="K2348" t="s">
        <v>223</v>
      </c>
      <c r="L2348" t="s">
        <v>224</v>
      </c>
      <c r="M2348" t="s">
        <v>131</v>
      </c>
      <c r="N2348">
        <v>20</v>
      </c>
      <c r="P2348" t="s">
        <v>41</v>
      </c>
      <c r="Q2348" t="s">
        <v>49</v>
      </c>
      <c r="R2348" t="str">
        <f>"0581204"</f>
        <v>0581204</v>
      </c>
      <c r="S2348" t="s">
        <v>249</v>
      </c>
      <c r="T2348" t="s">
        <v>223</v>
      </c>
      <c r="U2348" t="s">
        <v>224</v>
      </c>
      <c r="V2348" t="s">
        <v>131</v>
      </c>
      <c r="W2348" t="s">
        <v>51</v>
      </c>
      <c r="X2348" t="s">
        <v>45</v>
      </c>
      <c r="Y2348" s="1">
        <v>26785</v>
      </c>
      <c r="Z2348">
        <v>2</v>
      </c>
      <c r="AA2348" t="s">
        <v>224</v>
      </c>
      <c r="AB2348" s="40" t="s">
        <v>1798</v>
      </c>
    </row>
    <row r="2349" spans="1:28" x14ac:dyDescent="0.25">
      <c r="A2349">
        <v>99912348</v>
      </c>
      <c r="B2349" t="s">
        <v>32</v>
      </c>
      <c r="C2349" t="s">
        <v>46</v>
      </c>
      <c r="D2349" t="s">
        <v>47</v>
      </c>
      <c r="G2349" t="s">
        <v>48</v>
      </c>
      <c r="H2349">
        <v>1</v>
      </c>
      <c r="K2349" t="s">
        <v>223</v>
      </c>
      <c r="L2349" t="s">
        <v>224</v>
      </c>
      <c r="M2349" t="s">
        <v>131</v>
      </c>
      <c r="N2349">
        <v>20</v>
      </c>
      <c r="P2349" t="s">
        <v>41</v>
      </c>
      <c r="Q2349" t="s">
        <v>49</v>
      </c>
      <c r="R2349" t="str">
        <f>"0581202"</f>
        <v>0581202</v>
      </c>
      <c r="S2349" t="s">
        <v>248</v>
      </c>
      <c r="T2349" t="s">
        <v>223</v>
      </c>
      <c r="U2349" t="s">
        <v>224</v>
      </c>
      <c r="V2349" t="s">
        <v>131</v>
      </c>
      <c r="W2349" t="s">
        <v>165</v>
      </c>
      <c r="X2349" t="s">
        <v>45</v>
      </c>
      <c r="Y2349" s="1">
        <v>26780</v>
      </c>
      <c r="Z2349">
        <v>2</v>
      </c>
      <c r="AA2349" t="s">
        <v>224</v>
      </c>
      <c r="AB2349" s="40" t="s">
        <v>1798</v>
      </c>
    </row>
    <row r="2350" spans="1:28" x14ac:dyDescent="0.25">
      <c r="A2350">
        <v>99912349</v>
      </c>
      <c r="B2350" t="s">
        <v>32</v>
      </c>
      <c r="C2350" t="s">
        <v>61</v>
      </c>
      <c r="D2350" t="s">
        <v>62</v>
      </c>
      <c r="G2350" t="s">
        <v>48</v>
      </c>
      <c r="H2350">
        <v>1</v>
      </c>
      <c r="K2350" t="s">
        <v>129</v>
      </c>
      <c r="L2350" t="s">
        <v>130</v>
      </c>
      <c r="M2350" t="s">
        <v>131</v>
      </c>
      <c r="N2350">
        <v>20</v>
      </c>
      <c r="P2350" t="s">
        <v>41</v>
      </c>
      <c r="Q2350" t="s">
        <v>49</v>
      </c>
      <c r="R2350" t="str">
        <f>"0591905"</f>
        <v>0591905</v>
      </c>
      <c r="S2350" t="s">
        <v>135</v>
      </c>
      <c r="T2350" t="s">
        <v>129</v>
      </c>
      <c r="U2350" t="s">
        <v>130</v>
      </c>
      <c r="V2350" t="s">
        <v>131</v>
      </c>
      <c r="W2350" t="s">
        <v>51</v>
      </c>
      <c r="X2350" t="s">
        <v>45</v>
      </c>
      <c r="Y2350" s="1">
        <v>26767</v>
      </c>
      <c r="Z2350">
        <v>2</v>
      </c>
      <c r="AA2350" t="s">
        <v>130</v>
      </c>
      <c r="AB2350" s="40" t="s">
        <v>1798</v>
      </c>
    </row>
    <row r="2351" spans="1:28" x14ac:dyDescent="0.25">
      <c r="A2351">
        <v>99912350</v>
      </c>
      <c r="B2351" t="s">
        <v>32</v>
      </c>
      <c r="C2351" t="s">
        <v>46</v>
      </c>
      <c r="D2351" t="s">
        <v>47</v>
      </c>
      <c r="G2351" t="s">
        <v>48</v>
      </c>
      <c r="H2351">
        <v>1</v>
      </c>
      <c r="K2351" t="s">
        <v>129</v>
      </c>
      <c r="L2351" t="s">
        <v>130</v>
      </c>
      <c r="M2351" t="s">
        <v>131</v>
      </c>
      <c r="N2351">
        <v>20</v>
      </c>
      <c r="P2351" t="s">
        <v>41</v>
      </c>
      <c r="Q2351" t="s">
        <v>49</v>
      </c>
      <c r="R2351" t="str">
        <f>"0560024"</f>
        <v>0560024</v>
      </c>
      <c r="S2351" t="s">
        <v>138</v>
      </c>
      <c r="T2351" t="s">
        <v>129</v>
      </c>
      <c r="U2351" t="s">
        <v>130</v>
      </c>
      <c r="V2351" t="s">
        <v>131</v>
      </c>
      <c r="W2351" t="s">
        <v>51</v>
      </c>
      <c r="X2351" t="s">
        <v>45</v>
      </c>
      <c r="Y2351" s="1">
        <v>26759</v>
      </c>
      <c r="Z2351">
        <v>2</v>
      </c>
      <c r="AA2351" t="s">
        <v>130</v>
      </c>
      <c r="AB2351" s="40" t="s">
        <v>1798</v>
      </c>
    </row>
    <row r="2352" spans="1:28" x14ac:dyDescent="0.25">
      <c r="A2352">
        <v>99912351</v>
      </c>
      <c r="B2352" t="s">
        <v>32</v>
      </c>
      <c r="C2352" t="s">
        <v>82</v>
      </c>
      <c r="D2352" t="s">
        <v>83</v>
      </c>
      <c r="G2352" t="s">
        <v>48</v>
      </c>
      <c r="H2352">
        <v>1</v>
      </c>
      <c r="K2352" t="s">
        <v>223</v>
      </c>
      <c r="L2352" t="s">
        <v>224</v>
      </c>
      <c r="M2352" t="s">
        <v>131</v>
      </c>
      <c r="N2352">
        <v>20</v>
      </c>
      <c r="P2352" t="s">
        <v>41</v>
      </c>
      <c r="Q2352" t="s">
        <v>49</v>
      </c>
      <c r="R2352" t="str">
        <f>"0581200"</f>
        <v>0581200</v>
      </c>
      <c r="S2352" t="s">
        <v>238</v>
      </c>
      <c r="T2352" t="s">
        <v>223</v>
      </c>
      <c r="U2352" t="s">
        <v>224</v>
      </c>
      <c r="V2352" t="s">
        <v>131</v>
      </c>
      <c r="W2352" t="s">
        <v>51</v>
      </c>
      <c r="X2352" t="s">
        <v>45</v>
      </c>
      <c r="Y2352" s="1">
        <v>26748</v>
      </c>
      <c r="Z2352">
        <v>2</v>
      </c>
      <c r="AA2352" t="s">
        <v>224</v>
      </c>
      <c r="AB2352" s="40" t="s">
        <v>1798</v>
      </c>
    </row>
    <row r="2353" spans="1:28" x14ac:dyDescent="0.25">
      <c r="A2353">
        <v>99912352</v>
      </c>
      <c r="B2353" t="s">
        <v>32</v>
      </c>
      <c r="C2353" t="s">
        <v>145</v>
      </c>
      <c r="D2353" t="s">
        <v>146</v>
      </c>
      <c r="G2353" t="s">
        <v>48</v>
      </c>
      <c r="H2353">
        <v>9</v>
      </c>
      <c r="K2353" t="s">
        <v>129</v>
      </c>
      <c r="L2353" t="s">
        <v>130</v>
      </c>
      <c r="M2353" t="s">
        <v>131</v>
      </c>
      <c r="N2353">
        <v>20</v>
      </c>
      <c r="O2353" s="1">
        <v>35319</v>
      </c>
      <c r="P2353" t="s">
        <v>41</v>
      </c>
      <c r="Q2353" t="s">
        <v>42</v>
      </c>
      <c r="R2353" t="str">
        <f>"0561011"</f>
        <v>0561011</v>
      </c>
      <c r="S2353" t="s">
        <v>132</v>
      </c>
      <c r="T2353" t="s">
        <v>129</v>
      </c>
      <c r="U2353" t="s">
        <v>130</v>
      </c>
      <c r="V2353" t="s">
        <v>131</v>
      </c>
      <c r="W2353" t="s">
        <v>51</v>
      </c>
      <c r="X2353" t="s">
        <v>45</v>
      </c>
      <c r="Y2353" s="1">
        <v>26740</v>
      </c>
      <c r="Z2353">
        <v>2</v>
      </c>
      <c r="AA2353" t="s">
        <v>130</v>
      </c>
      <c r="AB2353" s="40" t="s">
        <v>1798</v>
      </c>
    </row>
    <row r="2354" spans="1:28" x14ac:dyDescent="0.25">
      <c r="A2354">
        <v>99912353</v>
      </c>
      <c r="B2354" t="s">
        <v>56</v>
      </c>
      <c r="C2354" t="s">
        <v>79</v>
      </c>
      <c r="D2354" t="s">
        <v>80</v>
      </c>
      <c r="G2354" t="s">
        <v>48</v>
      </c>
      <c r="H2354">
        <v>1</v>
      </c>
      <c r="K2354" t="s">
        <v>223</v>
      </c>
      <c r="L2354" t="s">
        <v>224</v>
      </c>
      <c r="M2354" t="s">
        <v>131</v>
      </c>
      <c r="N2354">
        <v>20</v>
      </c>
      <c r="P2354" t="s">
        <v>41</v>
      </c>
      <c r="Q2354" t="s">
        <v>42</v>
      </c>
      <c r="R2354" t="str">
        <f>"0580315"</f>
        <v>0580315</v>
      </c>
      <c r="S2354" t="s">
        <v>246</v>
      </c>
      <c r="T2354" t="s">
        <v>223</v>
      </c>
      <c r="U2354" t="s">
        <v>224</v>
      </c>
      <c r="V2354" t="s">
        <v>131</v>
      </c>
      <c r="W2354" t="s">
        <v>51</v>
      </c>
      <c r="X2354" t="s">
        <v>45</v>
      </c>
      <c r="Y2354" s="1">
        <v>26718</v>
      </c>
      <c r="Z2354">
        <v>2</v>
      </c>
      <c r="AA2354" t="s">
        <v>224</v>
      </c>
      <c r="AB2354" s="40" t="s">
        <v>1798</v>
      </c>
    </row>
    <row r="2355" spans="1:28" x14ac:dyDescent="0.25">
      <c r="A2355">
        <v>99912354</v>
      </c>
      <c r="B2355" t="s">
        <v>56</v>
      </c>
      <c r="C2355" t="s">
        <v>46</v>
      </c>
      <c r="D2355" t="s">
        <v>47</v>
      </c>
      <c r="G2355" t="s">
        <v>48</v>
      </c>
      <c r="H2355">
        <v>1</v>
      </c>
      <c r="K2355" t="s">
        <v>162</v>
      </c>
      <c r="L2355" t="s">
        <v>158</v>
      </c>
      <c r="M2355" t="s">
        <v>131</v>
      </c>
      <c r="N2355">
        <v>20</v>
      </c>
      <c r="P2355" t="s">
        <v>41</v>
      </c>
      <c r="Q2355" t="s">
        <v>42</v>
      </c>
      <c r="R2355" t="str">
        <f>"0580320"</f>
        <v>0580320</v>
      </c>
      <c r="S2355" t="s">
        <v>164</v>
      </c>
      <c r="T2355" t="s">
        <v>162</v>
      </c>
      <c r="U2355" t="s">
        <v>158</v>
      </c>
      <c r="V2355" t="s">
        <v>131</v>
      </c>
      <c r="W2355" t="s">
        <v>165</v>
      </c>
      <c r="X2355" t="s">
        <v>45</v>
      </c>
      <c r="Y2355" s="1">
        <v>26712</v>
      </c>
      <c r="Z2355">
        <v>2</v>
      </c>
      <c r="AA2355" t="s">
        <v>158</v>
      </c>
      <c r="AB2355" s="40" t="s">
        <v>1798</v>
      </c>
    </row>
    <row r="2356" spans="1:28" x14ac:dyDescent="0.25">
      <c r="A2356">
        <v>99912355</v>
      </c>
      <c r="B2356" t="s">
        <v>32</v>
      </c>
      <c r="C2356" t="s">
        <v>46</v>
      </c>
      <c r="D2356" t="s">
        <v>47</v>
      </c>
      <c r="G2356" t="s">
        <v>48</v>
      </c>
      <c r="H2356">
        <v>1</v>
      </c>
      <c r="K2356" t="s">
        <v>345</v>
      </c>
      <c r="L2356" t="s">
        <v>346</v>
      </c>
      <c r="M2356" t="s">
        <v>131</v>
      </c>
      <c r="N2356">
        <v>20</v>
      </c>
      <c r="P2356" t="s">
        <v>41</v>
      </c>
      <c r="Q2356" t="s">
        <v>42</v>
      </c>
      <c r="R2356" t="str">
        <f>"0580931"</f>
        <v>0580931</v>
      </c>
      <c r="S2356" t="s">
        <v>369</v>
      </c>
      <c r="T2356" t="s">
        <v>345</v>
      </c>
      <c r="U2356" t="s">
        <v>346</v>
      </c>
      <c r="V2356" t="s">
        <v>131</v>
      </c>
      <c r="W2356" t="s">
        <v>51</v>
      </c>
      <c r="X2356" t="s">
        <v>45</v>
      </c>
      <c r="Y2356" s="1">
        <v>26707</v>
      </c>
      <c r="Z2356">
        <v>2</v>
      </c>
      <c r="AA2356" t="s">
        <v>346</v>
      </c>
      <c r="AB2356" s="40" t="s">
        <v>1798</v>
      </c>
    </row>
    <row r="2357" spans="1:28" x14ac:dyDescent="0.25">
      <c r="A2357">
        <v>99912356</v>
      </c>
      <c r="B2357" t="s">
        <v>56</v>
      </c>
      <c r="C2357" t="s">
        <v>141</v>
      </c>
      <c r="D2357" t="s">
        <v>142</v>
      </c>
      <c r="G2357" t="s">
        <v>48</v>
      </c>
      <c r="H2357">
        <v>1</v>
      </c>
      <c r="K2357" t="s">
        <v>223</v>
      </c>
      <c r="L2357" t="s">
        <v>224</v>
      </c>
      <c r="M2357" t="s">
        <v>131</v>
      </c>
      <c r="N2357">
        <v>20</v>
      </c>
      <c r="P2357" t="s">
        <v>41</v>
      </c>
      <c r="Q2357" t="s">
        <v>49</v>
      </c>
      <c r="R2357" t="str">
        <f>"0581207"</f>
        <v>0581207</v>
      </c>
      <c r="S2357" t="s">
        <v>233</v>
      </c>
      <c r="T2357" t="s">
        <v>223</v>
      </c>
      <c r="U2357" t="s">
        <v>224</v>
      </c>
      <c r="V2357" t="s">
        <v>131</v>
      </c>
      <c r="W2357" t="s">
        <v>51</v>
      </c>
      <c r="X2357" t="s">
        <v>45</v>
      </c>
      <c r="Y2357" s="1">
        <v>26696</v>
      </c>
      <c r="Z2357">
        <v>2</v>
      </c>
      <c r="AA2357" t="s">
        <v>224</v>
      </c>
      <c r="AB2357" s="40" t="s">
        <v>1798</v>
      </c>
    </row>
    <row r="2358" spans="1:28" x14ac:dyDescent="0.25">
      <c r="A2358">
        <v>99912357</v>
      </c>
      <c r="B2358" t="s">
        <v>32</v>
      </c>
      <c r="C2358" t="s">
        <v>90</v>
      </c>
      <c r="D2358" t="s">
        <v>91</v>
      </c>
      <c r="G2358" t="s">
        <v>35</v>
      </c>
      <c r="H2358">
        <v>1</v>
      </c>
      <c r="I2358" t="s">
        <v>637</v>
      </c>
      <c r="J2358" s="1">
        <v>43344</v>
      </c>
      <c r="K2358" t="s">
        <v>268</v>
      </c>
      <c r="L2358" t="s">
        <v>269</v>
      </c>
      <c r="M2358" t="s">
        <v>131</v>
      </c>
      <c r="N2358">
        <v>20</v>
      </c>
      <c r="P2358" t="s">
        <v>41</v>
      </c>
      <c r="Q2358" t="s">
        <v>95</v>
      </c>
      <c r="R2358" t="str">
        <f>"7052071"</f>
        <v>7052071</v>
      </c>
      <c r="S2358" t="s">
        <v>628</v>
      </c>
      <c r="T2358" t="s">
        <v>268</v>
      </c>
      <c r="U2358" t="s">
        <v>269</v>
      </c>
      <c r="V2358" t="s">
        <v>131</v>
      </c>
      <c r="W2358" t="s">
        <v>51</v>
      </c>
      <c r="X2358" t="s">
        <v>45</v>
      </c>
      <c r="Y2358" s="1">
        <v>26694</v>
      </c>
      <c r="Z2358">
        <v>1</v>
      </c>
      <c r="AA2358" t="s">
        <v>269</v>
      </c>
      <c r="AB2358" s="40" t="s">
        <v>1798</v>
      </c>
    </row>
    <row r="2359" spans="1:28" x14ac:dyDescent="0.25">
      <c r="A2359">
        <v>99912358</v>
      </c>
      <c r="B2359" t="s">
        <v>32</v>
      </c>
      <c r="C2359" t="s">
        <v>52</v>
      </c>
      <c r="D2359" t="s">
        <v>53</v>
      </c>
      <c r="G2359" t="s">
        <v>35</v>
      </c>
      <c r="H2359">
        <v>1</v>
      </c>
      <c r="K2359" t="s">
        <v>1268</v>
      </c>
      <c r="L2359" t="s">
        <v>1269</v>
      </c>
      <c r="M2359" t="s">
        <v>1270</v>
      </c>
      <c r="N2359">
        <v>20</v>
      </c>
      <c r="P2359" t="s">
        <v>41</v>
      </c>
      <c r="Q2359" t="s">
        <v>42</v>
      </c>
      <c r="R2359" t="str">
        <f>"1990914"</f>
        <v>1990914</v>
      </c>
      <c r="S2359" t="s">
        <v>1275</v>
      </c>
      <c r="T2359" t="s">
        <v>1268</v>
      </c>
      <c r="U2359" t="s">
        <v>1269</v>
      </c>
      <c r="V2359" t="s">
        <v>1270</v>
      </c>
      <c r="W2359" t="s">
        <v>51</v>
      </c>
      <c r="X2359" t="s">
        <v>45</v>
      </c>
      <c r="Y2359" s="1">
        <v>26685</v>
      </c>
      <c r="Z2359">
        <v>2</v>
      </c>
      <c r="AA2359" t="s">
        <v>1269</v>
      </c>
      <c r="AB2359" s="40" t="s">
        <v>1798</v>
      </c>
    </row>
    <row r="2360" spans="1:28" x14ac:dyDescent="0.25">
      <c r="A2360">
        <v>99912359</v>
      </c>
      <c r="B2360" t="s">
        <v>32</v>
      </c>
      <c r="C2360" t="s">
        <v>46</v>
      </c>
      <c r="D2360" t="s">
        <v>47</v>
      </c>
      <c r="G2360" t="s">
        <v>35</v>
      </c>
      <c r="H2360">
        <v>1</v>
      </c>
      <c r="I2360" t="s">
        <v>348</v>
      </c>
      <c r="J2360" s="1">
        <v>43344</v>
      </c>
      <c r="K2360" t="s">
        <v>345</v>
      </c>
      <c r="L2360" t="s">
        <v>346</v>
      </c>
      <c r="M2360" t="s">
        <v>131</v>
      </c>
      <c r="N2360">
        <v>20</v>
      </c>
      <c r="O2360" s="1">
        <v>43344</v>
      </c>
      <c r="P2360" t="s">
        <v>41</v>
      </c>
      <c r="Q2360" t="s">
        <v>49</v>
      </c>
      <c r="R2360" t="str">
        <f>"0581155"</f>
        <v>0581155</v>
      </c>
      <c r="S2360" t="s">
        <v>349</v>
      </c>
      <c r="T2360" t="s">
        <v>345</v>
      </c>
      <c r="U2360" t="s">
        <v>346</v>
      </c>
      <c r="V2360" t="s">
        <v>131</v>
      </c>
      <c r="W2360" t="s">
        <v>51</v>
      </c>
      <c r="X2360" t="s">
        <v>45</v>
      </c>
      <c r="Y2360" s="1">
        <v>26672</v>
      </c>
      <c r="Z2360">
        <v>2</v>
      </c>
      <c r="AA2360" t="s">
        <v>346</v>
      </c>
      <c r="AB2360" s="40" t="s">
        <v>1798</v>
      </c>
    </row>
    <row r="2361" spans="1:28" x14ac:dyDescent="0.25">
      <c r="A2361">
        <v>99912360</v>
      </c>
      <c r="B2361" t="s">
        <v>56</v>
      </c>
      <c r="C2361" t="s">
        <v>82</v>
      </c>
      <c r="D2361" t="s">
        <v>83</v>
      </c>
      <c r="G2361" t="s">
        <v>48</v>
      </c>
      <c r="H2361">
        <v>1</v>
      </c>
      <c r="K2361" t="s">
        <v>129</v>
      </c>
      <c r="L2361" t="s">
        <v>130</v>
      </c>
      <c r="M2361" t="s">
        <v>131</v>
      </c>
      <c r="N2361">
        <v>20</v>
      </c>
      <c r="P2361" t="s">
        <v>41</v>
      </c>
      <c r="Q2361" t="s">
        <v>42</v>
      </c>
      <c r="R2361" t="str">
        <f>"0590905"</f>
        <v>0590905</v>
      </c>
      <c r="S2361" t="s">
        <v>133</v>
      </c>
      <c r="T2361" t="s">
        <v>129</v>
      </c>
      <c r="U2361" t="s">
        <v>130</v>
      </c>
      <c r="V2361" t="s">
        <v>131</v>
      </c>
      <c r="W2361" t="s">
        <v>51</v>
      </c>
      <c r="X2361" t="s">
        <v>45</v>
      </c>
      <c r="Y2361" s="1">
        <v>26665</v>
      </c>
      <c r="Z2361">
        <v>2</v>
      </c>
      <c r="AA2361" t="s">
        <v>130</v>
      </c>
      <c r="AB2361" s="40" t="s">
        <v>1798</v>
      </c>
    </row>
    <row r="2362" spans="1:28" x14ac:dyDescent="0.25">
      <c r="A2362">
        <v>99912361</v>
      </c>
      <c r="B2362" t="s">
        <v>56</v>
      </c>
      <c r="C2362" t="s">
        <v>68</v>
      </c>
      <c r="D2362" t="s">
        <v>69</v>
      </c>
      <c r="G2362" t="s">
        <v>48</v>
      </c>
      <c r="H2362">
        <v>12</v>
      </c>
      <c r="K2362" t="s">
        <v>1268</v>
      </c>
      <c r="L2362" t="s">
        <v>1269</v>
      </c>
      <c r="M2362" t="s">
        <v>1270</v>
      </c>
      <c r="N2362">
        <v>20</v>
      </c>
      <c r="O2362" s="1">
        <v>43344</v>
      </c>
      <c r="P2362" t="s">
        <v>41</v>
      </c>
      <c r="Q2362" t="s">
        <v>49</v>
      </c>
      <c r="R2362" t="str">
        <f>"1981055"</f>
        <v>1981055</v>
      </c>
      <c r="S2362" t="s">
        <v>1280</v>
      </c>
      <c r="T2362" t="s">
        <v>1268</v>
      </c>
      <c r="U2362" t="s">
        <v>1269</v>
      </c>
      <c r="V2362" t="s">
        <v>1270</v>
      </c>
      <c r="W2362" t="s">
        <v>51</v>
      </c>
      <c r="X2362" t="s">
        <v>45</v>
      </c>
      <c r="Y2362" s="1">
        <v>26665</v>
      </c>
      <c r="Z2362">
        <v>2</v>
      </c>
      <c r="AA2362" t="s">
        <v>1269</v>
      </c>
      <c r="AB2362" s="40" t="s">
        <v>1798</v>
      </c>
    </row>
    <row r="2363" spans="1:28" x14ac:dyDescent="0.25">
      <c r="A2363">
        <v>99912362</v>
      </c>
      <c r="B2363" t="s">
        <v>56</v>
      </c>
      <c r="C2363" t="s">
        <v>46</v>
      </c>
      <c r="D2363" t="s">
        <v>47</v>
      </c>
      <c r="G2363" t="s">
        <v>35</v>
      </c>
      <c r="H2363">
        <v>1</v>
      </c>
      <c r="I2363">
        <v>6983</v>
      </c>
      <c r="J2363" s="1">
        <v>43344</v>
      </c>
      <c r="K2363" t="s">
        <v>1306</v>
      </c>
      <c r="L2363" t="s">
        <v>1307</v>
      </c>
      <c r="M2363" t="s">
        <v>1270</v>
      </c>
      <c r="N2363">
        <v>20</v>
      </c>
      <c r="O2363" s="1">
        <v>43344</v>
      </c>
      <c r="P2363" t="s">
        <v>41</v>
      </c>
      <c r="Q2363" t="s">
        <v>49</v>
      </c>
      <c r="R2363" t="str">
        <f>"1991915"</f>
        <v>1991915</v>
      </c>
      <c r="S2363" t="s">
        <v>1316</v>
      </c>
      <c r="T2363" t="s">
        <v>1306</v>
      </c>
      <c r="U2363" t="s">
        <v>1307</v>
      </c>
      <c r="V2363" t="s">
        <v>1270</v>
      </c>
      <c r="W2363" t="s">
        <v>51</v>
      </c>
      <c r="X2363" t="s">
        <v>45</v>
      </c>
      <c r="Y2363" s="1">
        <v>26665</v>
      </c>
      <c r="Z2363">
        <v>2</v>
      </c>
      <c r="AA2363" t="s">
        <v>1307</v>
      </c>
      <c r="AB2363" s="40" t="s">
        <v>1798</v>
      </c>
    </row>
    <row r="2364" spans="1:28" x14ac:dyDescent="0.25">
      <c r="A2364">
        <v>99912363</v>
      </c>
      <c r="B2364" t="s">
        <v>32</v>
      </c>
      <c r="C2364" t="s">
        <v>71</v>
      </c>
      <c r="D2364" t="s">
        <v>72</v>
      </c>
      <c r="G2364" t="s">
        <v>35</v>
      </c>
      <c r="H2364">
        <v>1</v>
      </c>
      <c r="K2364" t="s">
        <v>1325</v>
      </c>
      <c r="L2364" t="s">
        <v>1326</v>
      </c>
      <c r="M2364" t="s">
        <v>1270</v>
      </c>
      <c r="N2364">
        <v>20</v>
      </c>
      <c r="P2364" t="s">
        <v>41</v>
      </c>
      <c r="Q2364" t="s">
        <v>49</v>
      </c>
      <c r="R2364" t="str">
        <f>"3981100"</f>
        <v>3981100</v>
      </c>
      <c r="S2364" t="s">
        <v>1327</v>
      </c>
      <c r="T2364" t="s">
        <v>1325</v>
      </c>
      <c r="U2364" t="s">
        <v>1326</v>
      </c>
      <c r="V2364" t="s">
        <v>1270</v>
      </c>
      <c r="W2364" t="s">
        <v>51</v>
      </c>
      <c r="X2364" t="s">
        <v>45</v>
      </c>
      <c r="Y2364" s="1">
        <v>26665</v>
      </c>
      <c r="Z2364">
        <v>2</v>
      </c>
      <c r="AA2364" t="s">
        <v>1326</v>
      </c>
      <c r="AB2364" s="40" t="s">
        <v>1798</v>
      </c>
    </row>
    <row r="2365" spans="1:28" x14ac:dyDescent="0.25">
      <c r="A2365">
        <v>99912364</v>
      </c>
      <c r="B2365" t="s">
        <v>56</v>
      </c>
      <c r="C2365" t="s">
        <v>68</v>
      </c>
      <c r="D2365" t="s">
        <v>69</v>
      </c>
      <c r="E2365" t="s">
        <v>61</v>
      </c>
      <c r="F2365" t="s">
        <v>62</v>
      </c>
      <c r="G2365" t="s">
        <v>48</v>
      </c>
      <c r="H2365">
        <v>1</v>
      </c>
      <c r="K2365" t="s">
        <v>300</v>
      </c>
      <c r="L2365" t="s">
        <v>301</v>
      </c>
      <c r="M2365" t="s">
        <v>131</v>
      </c>
      <c r="N2365">
        <v>20</v>
      </c>
      <c r="P2365" t="s">
        <v>41</v>
      </c>
      <c r="Q2365" t="s">
        <v>49</v>
      </c>
      <c r="R2365" t="str">
        <f>"0560020"</f>
        <v>0560020</v>
      </c>
      <c r="S2365" t="s">
        <v>302</v>
      </c>
      <c r="T2365" t="s">
        <v>300</v>
      </c>
      <c r="U2365" t="s">
        <v>301</v>
      </c>
      <c r="V2365" t="s">
        <v>131</v>
      </c>
      <c r="W2365" t="s">
        <v>51</v>
      </c>
      <c r="X2365" t="s">
        <v>45</v>
      </c>
      <c r="Y2365" s="1">
        <v>26661</v>
      </c>
      <c r="Z2365">
        <v>2</v>
      </c>
      <c r="AA2365" t="s">
        <v>301</v>
      </c>
      <c r="AB2365" s="40" t="s">
        <v>1798</v>
      </c>
    </row>
    <row r="2366" spans="1:28" x14ac:dyDescent="0.25">
      <c r="A2366">
        <v>99912365</v>
      </c>
      <c r="B2366" t="s">
        <v>32</v>
      </c>
      <c r="C2366" t="s">
        <v>85</v>
      </c>
      <c r="D2366" t="s">
        <v>86</v>
      </c>
      <c r="G2366" t="s">
        <v>48</v>
      </c>
      <c r="H2366">
        <v>1</v>
      </c>
      <c r="K2366" t="s">
        <v>345</v>
      </c>
      <c r="L2366" t="s">
        <v>346</v>
      </c>
      <c r="M2366" t="s">
        <v>131</v>
      </c>
      <c r="N2366">
        <v>20</v>
      </c>
      <c r="P2366" t="s">
        <v>41</v>
      </c>
      <c r="Q2366" t="s">
        <v>49</v>
      </c>
      <c r="R2366" t="str">
        <f>"0581605"</f>
        <v>0581605</v>
      </c>
      <c r="S2366" t="s">
        <v>366</v>
      </c>
      <c r="T2366" t="s">
        <v>345</v>
      </c>
      <c r="U2366" t="s">
        <v>346</v>
      </c>
      <c r="V2366" t="s">
        <v>131</v>
      </c>
      <c r="W2366" t="s">
        <v>51</v>
      </c>
      <c r="X2366" t="s">
        <v>45</v>
      </c>
      <c r="Y2366" s="1">
        <v>26654</v>
      </c>
      <c r="Z2366">
        <v>2</v>
      </c>
      <c r="AA2366" t="s">
        <v>346</v>
      </c>
      <c r="AB2366" s="40" t="s">
        <v>1798</v>
      </c>
    </row>
    <row r="2367" spans="1:28" x14ac:dyDescent="0.25">
      <c r="A2367">
        <v>99912366</v>
      </c>
      <c r="B2367" t="s">
        <v>56</v>
      </c>
      <c r="C2367" t="s">
        <v>68</v>
      </c>
      <c r="D2367" t="s">
        <v>69</v>
      </c>
      <c r="G2367" t="s">
        <v>48</v>
      </c>
      <c r="H2367">
        <v>1</v>
      </c>
      <c r="K2367" t="s">
        <v>1325</v>
      </c>
      <c r="L2367" t="s">
        <v>1326</v>
      </c>
      <c r="M2367" t="s">
        <v>1270</v>
      </c>
      <c r="N2367">
        <v>20</v>
      </c>
      <c r="P2367" t="s">
        <v>41</v>
      </c>
      <c r="Q2367" t="s">
        <v>49</v>
      </c>
      <c r="R2367" t="str">
        <f>"3981100"</f>
        <v>3981100</v>
      </c>
      <c r="S2367" t="s">
        <v>1327</v>
      </c>
      <c r="T2367" t="s">
        <v>1325</v>
      </c>
      <c r="U2367" t="s">
        <v>1326</v>
      </c>
      <c r="V2367" t="s">
        <v>1270</v>
      </c>
      <c r="W2367" t="s">
        <v>51</v>
      </c>
      <c r="X2367" t="s">
        <v>45</v>
      </c>
      <c r="Y2367" s="1">
        <v>26647</v>
      </c>
      <c r="Z2367">
        <v>2</v>
      </c>
      <c r="AA2367" t="s">
        <v>1326</v>
      </c>
      <c r="AB2367" s="40" t="s">
        <v>1798</v>
      </c>
    </row>
    <row r="2368" spans="1:28" x14ac:dyDescent="0.25">
      <c r="A2368">
        <v>99912367</v>
      </c>
      <c r="B2368" t="s">
        <v>32</v>
      </c>
      <c r="C2368" t="s">
        <v>46</v>
      </c>
      <c r="D2368" t="s">
        <v>47</v>
      </c>
      <c r="G2368" t="s">
        <v>48</v>
      </c>
      <c r="H2368">
        <v>7</v>
      </c>
      <c r="K2368" t="s">
        <v>129</v>
      </c>
      <c r="L2368" t="s">
        <v>130</v>
      </c>
      <c r="M2368" t="s">
        <v>131</v>
      </c>
      <c r="N2368">
        <v>20</v>
      </c>
      <c r="O2368" s="1">
        <v>37137</v>
      </c>
      <c r="P2368" t="s">
        <v>41</v>
      </c>
      <c r="Q2368" t="s">
        <v>49</v>
      </c>
      <c r="R2368" t="str">
        <f>"0580150"</f>
        <v>0580150</v>
      </c>
      <c r="S2368" t="s">
        <v>134</v>
      </c>
      <c r="T2368" t="s">
        <v>129</v>
      </c>
      <c r="U2368" t="s">
        <v>130</v>
      </c>
      <c r="V2368" t="s">
        <v>131</v>
      </c>
      <c r="W2368" t="s">
        <v>51</v>
      </c>
      <c r="X2368" t="s">
        <v>45</v>
      </c>
      <c r="Y2368" s="1">
        <v>26636</v>
      </c>
      <c r="Z2368">
        <v>2</v>
      </c>
      <c r="AA2368" t="s">
        <v>130</v>
      </c>
      <c r="AB2368" s="40" t="s">
        <v>1798</v>
      </c>
    </row>
    <row r="2369" spans="1:28" x14ac:dyDescent="0.25">
      <c r="A2369">
        <v>99912368</v>
      </c>
      <c r="B2369" t="s">
        <v>56</v>
      </c>
      <c r="C2369" t="s">
        <v>52</v>
      </c>
      <c r="D2369" t="s">
        <v>53</v>
      </c>
      <c r="G2369" t="s">
        <v>35</v>
      </c>
      <c r="H2369">
        <v>1</v>
      </c>
      <c r="K2369" t="s">
        <v>223</v>
      </c>
      <c r="L2369" t="s">
        <v>224</v>
      </c>
      <c r="M2369" t="s">
        <v>131</v>
      </c>
      <c r="N2369">
        <v>20</v>
      </c>
      <c r="P2369" t="s">
        <v>41</v>
      </c>
      <c r="Q2369" t="s">
        <v>49</v>
      </c>
      <c r="R2369" t="str">
        <f>"0560018"</f>
        <v>0560018</v>
      </c>
      <c r="S2369" t="s">
        <v>234</v>
      </c>
      <c r="T2369" t="s">
        <v>223</v>
      </c>
      <c r="U2369" t="s">
        <v>224</v>
      </c>
      <c r="V2369" t="s">
        <v>131</v>
      </c>
      <c r="W2369" t="s">
        <v>51</v>
      </c>
      <c r="X2369" t="s">
        <v>45</v>
      </c>
      <c r="Y2369" s="1">
        <v>26632</v>
      </c>
      <c r="Z2369">
        <v>2</v>
      </c>
      <c r="AA2369" t="s">
        <v>224</v>
      </c>
      <c r="AB2369" s="40" t="s">
        <v>1798</v>
      </c>
    </row>
    <row r="2370" spans="1:28" x14ac:dyDescent="0.25">
      <c r="A2370">
        <v>99912369</v>
      </c>
      <c r="B2370" t="s">
        <v>56</v>
      </c>
      <c r="C2370" t="s">
        <v>52</v>
      </c>
      <c r="D2370" t="s">
        <v>53</v>
      </c>
      <c r="G2370" t="s">
        <v>48</v>
      </c>
      <c r="H2370">
        <v>1</v>
      </c>
      <c r="K2370" t="s">
        <v>223</v>
      </c>
      <c r="L2370" t="s">
        <v>224</v>
      </c>
      <c r="M2370" t="s">
        <v>131</v>
      </c>
      <c r="N2370">
        <v>20</v>
      </c>
      <c r="P2370" t="s">
        <v>41</v>
      </c>
      <c r="Q2370" t="s">
        <v>42</v>
      </c>
      <c r="R2370" t="str">
        <f>"0580200"</f>
        <v>0580200</v>
      </c>
      <c r="S2370" t="s">
        <v>245</v>
      </c>
      <c r="T2370" t="s">
        <v>223</v>
      </c>
      <c r="U2370" t="s">
        <v>224</v>
      </c>
      <c r="V2370" t="s">
        <v>131</v>
      </c>
      <c r="W2370" t="s">
        <v>51</v>
      </c>
      <c r="X2370" t="s">
        <v>45</v>
      </c>
      <c r="Y2370" s="1">
        <v>26621</v>
      </c>
      <c r="Z2370">
        <v>2</v>
      </c>
      <c r="AA2370" t="s">
        <v>224</v>
      </c>
      <c r="AB2370" s="40" t="s">
        <v>1798</v>
      </c>
    </row>
    <row r="2371" spans="1:28" x14ac:dyDescent="0.25">
      <c r="A2371">
        <v>99912370</v>
      </c>
      <c r="B2371" t="s">
        <v>56</v>
      </c>
      <c r="C2371" t="s">
        <v>46</v>
      </c>
      <c r="D2371" t="s">
        <v>47</v>
      </c>
      <c r="G2371" t="s">
        <v>48</v>
      </c>
      <c r="H2371">
        <v>1</v>
      </c>
      <c r="K2371" t="s">
        <v>300</v>
      </c>
      <c r="L2371" t="s">
        <v>301</v>
      </c>
      <c r="M2371" t="s">
        <v>131</v>
      </c>
      <c r="N2371">
        <v>20</v>
      </c>
      <c r="P2371" t="s">
        <v>41</v>
      </c>
      <c r="Q2371" t="s">
        <v>49</v>
      </c>
      <c r="R2371" t="str">
        <f>"0560029"</f>
        <v>0560029</v>
      </c>
      <c r="S2371" t="s">
        <v>309</v>
      </c>
      <c r="T2371" t="s">
        <v>300</v>
      </c>
      <c r="U2371" t="s">
        <v>301</v>
      </c>
      <c r="V2371" t="s">
        <v>131</v>
      </c>
      <c r="W2371" t="s">
        <v>165</v>
      </c>
      <c r="X2371" t="s">
        <v>45</v>
      </c>
      <c r="Y2371" s="1">
        <v>26620</v>
      </c>
      <c r="Z2371">
        <v>2</v>
      </c>
      <c r="AA2371" t="s">
        <v>301</v>
      </c>
      <c r="AB2371" s="40" t="s">
        <v>1798</v>
      </c>
    </row>
    <row r="2372" spans="1:28" x14ac:dyDescent="0.25">
      <c r="A2372">
        <v>99912371</v>
      </c>
      <c r="B2372" t="s">
        <v>32</v>
      </c>
      <c r="C2372" t="s">
        <v>145</v>
      </c>
      <c r="D2372" t="s">
        <v>146</v>
      </c>
      <c r="G2372" t="s">
        <v>48</v>
      </c>
      <c r="H2372">
        <v>1</v>
      </c>
      <c r="K2372" t="s">
        <v>223</v>
      </c>
      <c r="L2372" t="s">
        <v>224</v>
      </c>
      <c r="M2372" t="s">
        <v>131</v>
      </c>
      <c r="N2372">
        <v>20</v>
      </c>
      <c r="P2372" t="s">
        <v>41</v>
      </c>
      <c r="Q2372" t="s">
        <v>42</v>
      </c>
      <c r="R2372" t="str">
        <f>"0580204"</f>
        <v>0580204</v>
      </c>
      <c r="S2372" t="s">
        <v>235</v>
      </c>
      <c r="T2372" t="s">
        <v>223</v>
      </c>
      <c r="U2372" t="s">
        <v>224</v>
      </c>
      <c r="V2372" t="s">
        <v>131</v>
      </c>
      <c r="W2372" t="s">
        <v>165</v>
      </c>
      <c r="X2372" t="s">
        <v>45</v>
      </c>
      <c r="Y2372" s="1">
        <v>26608</v>
      </c>
      <c r="Z2372">
        <v>2</v>
      </c>
      <c r="AA2372" t="s">
        <v>224</v>
      </c>
      <c r="AB2372" s="40" t="s">
        <v>1798</v>
      </c>
    </row>
    <row r="2373" spans="1:28" x14ac:dyDescent="0.25">
      <c r="A2373">
        <v>99912372</v>
      </c>
      <c r="B2373" t="s">
        <v>56</v>
      </c>
      <c r="C2373" t="s">
        <v>46</v>
      </c>
      <c r="D2373" t="s">
        <v>47</v>
      </c>
      <c r="G2373" t="s">
        <v>35</v>
      </c>
      <c r="H2373">
        <v>1</v>
      </c>
      <c r="I2373">
        <v>0</v>
      </c>
      <c r="J2373" s="1">
        <v>43344</v>
      </c>
      <c r="K2373" t="s">
        <v>223</v>
      </c>
      <c r="L2373" t="s">
        <v>224</v>
      </c>
      <c r="M2373" t="s">
        <v>131</v>
      </c>
      <c r="N2373">
        <v>20</v>
      </c>
      <c r="O2373" s="1">
        <v>43344</v>
      </c>
      <c r="P2373" t="s">
        <v>41</v>
      </c>
      <c r="Q2373" t="s">
        <v>42</v>
      </c>
      <c r="R2373" t="str">
        <f>"0580206"</f>
        <v>0580206</v>
      </c>
      <c r="S2373" t="s">
        <v>237</v>
      </c>
      <c r="T2373" t="s">
        <v>223</v>
      </c>
      <c r="U2373" t="s">
        <v>224</v>
      </c>
      <c r="V2373" t="s">
        <v>131</v>
      </c>
      <c r="W2373" t="s">
        <v>51</v>
      </c>
      <c r="X2373" t="s">
        <v>45</v>
      </c>
      <c r="Y2373" s="1">
        <v>26597</v>
      </c>
      <c r="Z2373">
        <v>2</v>
      </c>
      <c r="AA2373" t="s">
        <v>224</v>
      </c>
      <c r="AB2373" s="40" t="s">
        <v>1798</v>
      </c>
    </row>
    <row r="2374" spans="1:28" x14ac:dyDescent="0.25">
      <c r="A2374">
        <v>99912373</v>
      </c>
      <c r="B2374" t="s">
        <v>56</v>
      </c>
      <c r="C2374" t="s">
        <v>52</v>
      </c>
      <c r="D2374" t="s">
        <v>53</v>
      </c>
      <c r="G2374" t="s">
        <v>35</v>
      </c>
      <c r="H2374">
        <v>1</v>
      </c>
      <c r="K2374" t="s">
        <v>947</v>
      </c>
      <c r="L2374" t="s">
        <v>948</v>
      </c>
      <c r="M2374" t="s">
        <v>938</v>
      </c>
      <c r="N2374">
        <v>20</v>
      </c>
      <c r="P2374" t="s">
        <v>41</v>
      </c>
      <c r="Q2374" t="s">
        <v>42</v>
      </c>
      <c r="R2374" t="str">
        <f>"0680030"</f>
        <v>0680030</v>
      </c>
      <c r="S2374" t="s">
        <v>951</v>
      </c>
      <c r="T2374" t="s">
        <v>947</v>
      </c>
      <c r="U2374" t="s">
        <v>948</v>
      </c>
      <c r="V2374" t="s">
        <v>938</v>
      </c>
      <c r="W2374" t="s">
        <v>51</v>
      </c>
      <c r="X2374" t="s">
        <v>45</v>
      </c>
      <c r="Y2374" s="1">
        <v>26594</v>
      </c>
      <c r="Z2374">
        <v>2</v>
      </c>
      <c r="AA2374" t="s">
        <v>948</v>
      </c>
      <c r="AB2374" s="40" t="s">
        <v>1798</v>
      </c>
    </row>
    <row r="2375" spans="1:28" x14ac:dyDescent="0.25">
      <c r="A2375">
        <v>99912374</v>
      </c>
      <c r="B2375" t="s">
        <v>32</v>
      </c>
      <c r="C2375" t="s">
        <v>46</v>
      </c>
      <c r="D2375" t="s">
        <v>47</v>
      </c>
      <c r="G2375" t="s">
        <v>48</v>
      </c>
      <c r="H2375">
        <v>1</v>
      </c>
      <c r="K2375" t="s">
        <v>223</v>
      </c>
      <c r="L2375" t="s">
        <v>224</v>
      </c>
      <c r="M2375" t="s">
        <v>131</v>
      </c>
      <c r="N2375">
        <v>20</v>
      </c>
      <c r="P2375" t="s">
        <v>41</v>
      </c>
      <c r="Q2375" t="s">
        <v>42</v>
      </c>
      <c r="R2375" t="str">
        <f>"0580202"</f>
        <v>0580202</v>
      </c>
      <c r="S2375" t="s">
        <v>240</v>
      </c>
      <c r="T2375" t="s">
        <v>223</v>
      </c>
      <c r="U2375" t="s">
        <v>224</v>
      </c>
      <c r="V2375" t="s">
        <v>131</v>
      </c>
      <c r="W2375" t="s">
        <v>165</v>
      </c>
      <c r="X2375" t="s">
        <v>45</v>
      </c>
      <c r="Y2375" s="1">
        <v>26580</v>
      </c>
      <c r="Z2375">
        <v>2</v>
      </c>
      <c r="AA2375" t="s">
        <v>224</v>
      </c>
      <c r="AB2375" s="40" t="s">
        <v>1798</v>
      </c>
    </row>
    <row r="2376" spans="1:28" x14ac:dyDescent="0.25">
      <c r="A2376">
        <v>99912375</v>
      </c>
      <c r="B2376" t="s">
        <v>32</v>
      </c>
      <c r="C2376" t="s">
        <v>64</v>
      </c>
      <c r="D2376" t="s">
        <v>65</v>
      </c>
      <c r="G2376" t="s">
        <v>35</v>
      </c>
      <c r="H2376">
        <v>1</v>
      </c>
      <c r="I2376" t="s">
        <v>348</v>
      </c>
      <c r="J2376" s="1">
        <v>43344</v>
      </c>
      <c r="K2376" t="s">
        <v>345</v>
      </c>
      <c r="L2376" t="s">
        <v>346</v>
      </c>
      <c r="M2376" t="s">
        <v>131</v>
      </c>
      <c r="N2376">
        <v>20</v>
      </c>
      <c r="O2376" s="1">
        <v>43344</v>
      </c>
      <c r="P2376" t="s">
        <v>41</v>
      </c>
      <c r="Q2376" t="s">
        <v>42</v>
      </c>
      <c r="R2376" t="str">
        <f>"0580155"</f>
        <v>0580155</v>
      </c>
      <c r="S2376" t="s">
        <v>365</v>
      </c>
      <c r="T2376" t="s">
        <v>345</v>
      </c>
      <c r="U2376" t="s">
        <v>346</v>
      </c>
      <c r="V2376" t="s">
        <v>131</v>
      </c>
      <c r="W2376" t="s">
        <v>51</v>
      </c>
      <c r="X2376" t="s">
        <v>45</v>
      </c>
      <c r="Y2376" s="1">
        <v>26580</v>
      </c>
      <c r="Z2376">
        <v>2</v>
      </c>
      <c r="AA2376" t="s">
        <v>346</v>
      </c>
      <c r="AB2376" s="40" t="s">
        <v>1798</v>
      </c>
    </row>
    <row r="2377" spans="1:28" x14ac:dyDescent="0.25">
      <c r="A2377">
        <v>99912376</v>
      </c>
      <c r="B2377" t="s">
        <v>32</v>
      </c>
      <c r="C2377" t="s">
        <v>46</v>
      </c>
      <c r="D2377" t="s">
        <v>47</v>
      </c>
      <c r="G2377" t="s">
        <v>35</v>
      </c>
      <c r="H2377">
        <v>1</v>
      </c>
      <c r="K2377" t="s">
        <v>223</v>
      </c>
      <c r="L2377" t="s">
        <v>224</v>
      </c>
      <c r="M2377" t="s">
        <v>131</v>
      </c>
      <c r="N2377">
        <v>20</v>
      </c>
      <c r="P2377" t="s">
        <v>41</v>
      </c>
      <c r="Q2377" t="s">
        <v>49</v>
      </c>
      <c r="R2377" t="str">
        <f>"0560018"</f>
        <v>0560018</v>
      </c>
      <c r="S2377" t="s">
        <v>234</v>
      </c>
      <c r="T2377" t="s">
        <v>223</v>
      </c>
      <c r="U2377" t="s">
        <v>224</v>
      </c>
      <c r="V2377" t="s">
        <v>131</v>
      </c>
      <c r="W2377" t="s">
        <v>51</v>
      </c>
      <c r="X2377" t="s">
        <v>45</v>
      </c>
      <c r="Y2377" s="1">
        <v>26577</v>
      </c>
      <c r="Z2377">
        <v>2</v>
      </c>
      <c r="AA2377" t="s">
        <v>224</v>
      </c>
      <c r="AB2377" s="40" t="s">
        <v>1798</v>
      </c>
    </row>
    <row r="2378" spans="1:28" x14ac:dyDescent="0.25">
      <c r="A2378">
        <v>99912377</v>
      </c>
      <c r="B2378" t="s">
        <v>32</v>
      </c>
      <c r="C2378" t="s">
        <v>46</v>
      </c>
      <c r="D2378" t="s">
        <v>47</v>
      </c>
      <c r="G2378" t="s">
        <v>35</v>
      </c>
      <c r="H2378">
        <v>1</v>
      </c>
      <c r="K2378" t="s">
        <v>223</v>
      </c>
      <c r="L2378" t="s">
        <v>224</v>
      </c>
      <c r="M2378" t="s">
        <v>131</v>
      </c>
      <c r="N2378">
        <v>20</v>
      </c>
      <c r="P2378" t="s">
        <v>41</v>
      </c>
      <c r="Q2378" t="s">
        <v>42</v>
      </c>
      <c r="R2378" t="str">
        <f>"0580396"</f>
        <v>0580396</v>
      </c>
      <c r="S2378" t="s">
        <v>255</v>
      </c>
      <c r="T2378" t="s">
        <v>223</v>
      </c>
      <c r="U2378" t="s">
        <v>224</v>
      </c>
      <c r="V2378" t="s">
        <v>131</v>
      </c>
      <c r="W2378" t="s">
        <v>51</v>
      </c>
      <c r="X2378" t="s">
        <v>45</v>
      </c>
      <c r="Y2378" s="1">
        <v>26571</v>
      </c>
      <c r="Z2378">
        <v>2</v>
      </c>
      <c r="AA2378" t="s">
        <v>224</v>
      </c>
      <c r="AB2378" s="40" t="s">
        <v>1798</v>
      </c>
    </row>
    <row r="2379" spans="1:28" x14ac:dyDescent="0.25">
      <c r="A2379">
        <v>99912378</v>
      </c>
      <c r="B2379" t="s">
        <v>56</v>
      </c>
      <c r="C2379" t="s">
        <v>46</v>
      </c>
      <c r="D2379" t="s">
        <v>47</v>
      </c>
      <c r="G2379" t="s">
        <v>48</v>
      </c>
      <c r="H2379">
        <v>1</v>
      </c>
      <c r="K2379" t="s">
        <v>1187</v>
      </c>
      <c r="L2379" t="s">
        <v>1188</v>
      </c>
      <c r="M2379" t="s">
        <v>1130</v>
      </c>
      <c r="N2379">
        <v>20</v>
      </c>
      <c r="P2379" t="s">
        <v>41</v>
      </c>
      <c r="Q2379" t="s">
        <v>49</v>
      </c>
      <c r="R2379" t="str">
        <f>"4581015"</f>
        <v>4581015</v>
      </c>
      <c r="S2379" t="s">
        <v>1190</v>
      </c>
      <c r="T2379" t="s">
        <v>1187</v>
      </c>
      <c r="U2379" t="s">
        <v>1188</v>
      </c>
      <c r="V2379" t="s">
        <v>1130</v>
      </c>
      <c r="W2379" t="s">
        <v>51</v>
      </c>
      <c r="X2379" t="s">
        <v>45</v>
      </c>
      <c r="Y2379" s="1">
        <v>26512</v>
      </c>
      <c r="Z2379">
        <v>2</v>
      </c>
      <c r="AA2379" t="s">
        <v>1188</v>
      </c>
      <c r="AB2379" s="40" t="s">
        <v>1798</v>
      </c>
    </row>
    <row r="2380" spans="1:28" x14ac:dyDescent="0.25">
      <c r="A2380">
        <v>99912379</v>
      </c>
      <c r="B2380" t="s">
        <v>56</v>
      </c>
      <c r="C2380" t="s">
        <v>46</v>
      </c>
      <c r="D2380" t="s">
        <v>47</v>
      </c>
      <c r="G2380" t="s">
        <v>48</v>
      </c>
      <c r="H2380">
        <v>1</v>
      </c>
      <c r="K2380" t="s">
        <v>300</v>
      </c>
      <c r="L2380" t="s">
        <v>301</v>
      </c>
      <c r="M2380" t="s">
        <v>131</v>
      </c>
      <c r="N2380">
        <v>20</v>
      </c>
      <c r="P2380" t="s">
        <v>41</v>
      </c>
      <c r="Q2380" t="s">
        <v>42</v>
      </c>
      <c r="R2380" t="str">
        <f>"0580176"</f>
        <v>0580176</v>
      </c>
      <c r="S2380" t="s">
        <v>305</v>
      </c>
      <c r="T2380" t="s">
        <v>300</v>
      </c>
      <c r="U2380" t="s">
        <v>301</v>
      </c>
      <c r="V2380" t="s">
        <v>131</v>
      </c>
      <c r="W2380" t="s">
        <v>51</v>
      </c>
      <c r="X2380" t="s">
        <v>45</v>
      </c>
      <c r="Y2380" s="1">
        <v>26510</v>
      </c>
      <c r="Z2380">
        <v>2</v>
      </c>
      <c r="AA2380" t="s">
        <v>301</v>
      </c>
      <c r="AB2380" s="40" t="s">
        <v>1798</v>
      </c>
    </row>
    <row r="2381" spans="1:28" x14ac:dyDescent="0.25">
      <c r="A2381">
        <v>99912380</v>
      </c>
      <c r="B2381" t="s">
        <v>56</v>
      </c>
      <c r="C2381" t="s">
        <v>33</v>
      </c>
      <c r="D2381" t="s">
        <v>34</v>
      </c>
      <c r="G2381" t="s">
        <v>48</v>
      </c>
      <c r="H2381">
        <v>1</v>
      </c>
      <c r="K2381" t="s">
        <v>162</v>
      </c>
      <c r="L2381" t="s">
        <v>158</v>
      </c>
      <c r="M2381" t="s">
        <v>131</v>
      </c>
      <c r="N2381">
        <v>20</v>
      </c>
      <c r="P2381" t="s">
        <v>41</v>
      </c>
      <c r="Q2381" t="s">
        <v>42</v>
      </c>
      <c r="R2381" t="str">
        <f>"0580320"</f>
        <v>0580320</v>
      </c>
      <c r="S2381" t="s">
        <v>164</v>
      </c>
      <c r="T2381" t="s">
        <v>162</v>
      </c>
      <c r="U2381" t="s">
        <v>158</v>
      </c>
      <c r="V2381" t="s">
        <v>131</v>
      </c>
      <c r="W2381" t="s">
        <v>51</v>
      </c>
      <c r="X2381" t="s">
        <v>45</v>
      </c>
      <c r="Y2381" s="1">
        <v>26506</v>
      </c>
      <c r="Z2381">
        <v>2</v>
      </c>
      <c r="AA2381" t="s">
        <v>158</v>
      </c>
      <c r="AB2381" s="40" t="s">
        <v>1798</v>
      </c>
    </row>
    <row r="2382" spans="1:28" x14ac:dyDescent="0.25">
      <c r="A2382">
        <v>99912381</v>
      </c>
      <c r="B2382" t="s">
        <v>56</v>
      </c>
      <c r="C2382" t="s">
        <v>52</v>
      </c>
      <c r="D2382" t="s">
        <v>53</v>
      </c>
      <c r="G2382" t="s">
        <v>35</v>
      </c>
      <c r="H2382">
        <v>1</v>
      </c>
      <c r="I2382" t="s">
        <v>348</v>
      </c>
      <c r="J2382" s="1">
        <v>43344</v>
      </c>
      <c r="K2382" t="s">
        <v>345</v>
      </c>
      <c r="L2382" t="s">
        <v>346</v>
      </c>
      <c r="M2382" t="s">
        <v>131</v>
      </c>
      <c r="N2382">
        <v>20</v>
      </c>
      <c r="O2382" s="1">
        <v>43344</v>
      </c>
      <c r="P2382" t="s">
        <v>41</v>
      </c>
      <c r="Q2382" t="s">
        <v>42</v>
      </c>
      <c r="R2382" t="str">
        <f>"0580155"</f>
        <v>0580155</v>
      </c>
      <c r="S2382" t="s">
        <v>365</v>
      </c>
      <c r="T2382" t="s">
        <v>345</v>
      </c>
      <c r="U2382" t="s">
        <v>346</v>
      </c>
      <c r="V2382" t="s">
        <v>131</v>
      </c>
      <c r="W2382" t="s">
        <v>51</v>
      </c>
      <c r="X2382" t="s">
        <v>45</v>
      </c>
      <c r="Y2382" s="1">
        <v>26504</v>
      </c>
      <c r="Z2382">
        <v>2</v>
      </c>
      <c r="AA2382" t="s">
        <v>346</v>
      </c>
      <c r="AB2382" s="40" t="s">
        <v>1798</v>
      </c>
    </row>
    <row r="2383" spans="1:28" x14ac:dyDescent="0.25">
      <c r="A2383">
        <v>99912382</v>
      </c>
      <c r="B2383" t="s">
        <v>32</v>
      </c>
      <c r="C2383" t="s">
        <v>46</v>
      </c>
      <c r="D2383" t="s">
        <v>47</v>
      </c>
      <c r="G2383" t="s">
        <v>35</v>
      </c>
      <c r="H2383">
        <v>1</v>
      </c>
      <c r="I2383">
        <v>0</v>
      </c>
      <c r="J2383" s="1">
        <v>43344</v>
      </c>
      <c r="K2383" t="s">
        <v>223</v>
      </c>
      <c r="L2383" t="s">
        <v>224</v>
      </c>
      <c r="M2383" t="s">
        <v>131</v>
      </c>
      <c r="N2383">
        <v>20</v>
      </c>
      <c r="O2383" s="1">
        <v>43344</v>
      </c>
      <c r="P2383" t="s">
        <v>41</v>
      </c>
      <c r="Q2383" t="s">
        <v>42</v>
      </c>
      <c r="R2383" t="str">
        <f>"0580206"</f>
        <v>0580206</v>
      </c>
      <c r="S2383" t="s">
        <v>237</v>
      </c>
      <c r="T2383" t="s">
        <v>223</v>
      </c>
      <c r="U2383" t="s">
        <v>224</v>
      </c>
      <c r="V2383" t="s">
        <v>131</v>
      </c>
      <c r="W2383" t="s">
        <v>51</v>
      </c>
      <c r="X2383" t="s">
        <v>45</v>
      </c>
      <c r="Y2383" s="1">
        <v>26502</v>
      </c>
      <c r="Z2383">
        <v>2</v>
      </c>
      <c r="AA2383" t="s">
        <v>224</v>
      </c>
      <c r="AB2383" s="40" t="s">
        <v>1798</v>
      </c>
    </row>
    <row r="2384" spans="1:28" x14ac:dyDescent="0.25">
      <c r="A2384">
        <v>99912383</v>
      </c>
      <c r="B2384" t="s">
        <v>56</v>
      </c>
      <c r="C2384" t="s">
        <v>68</v>
      </c>
      <c r="D2384" t="s">
        <v>69</v>
      </c>
      <c r="G2384" t="s">
        <v>48</v>
      </c>
      <c r="H2384">
        <v>1</v>
      </c>
      <c r="K2384" t="s">
        <v>223</v>
      </c>
      <c r="L2384" t="s">
        <v>224</v>
      </c>
      <c r="M2384" t="s">
        <v>131</v>
      </c>
      <c r="N2384">
        <v>20</v>
      </c>
      <c r="P2384" t="s">
        <v>41</v>
      </c>
      <c r="Q2384" t="s">
        <v>49</v>
      </c>
      <c r="R2384" t="str">
        <f>"0581206"</f>
        <v>0581206</v>
      </c>
      <c r="S2384" t="s">
        <v>232</v>
      </c>
      <c r="T2384" t="s">
        <v>223</v>
      </c>
      <c r="U2384" t="s">
        <v>224</v>
      </c>
      <c r="V2384" t="s">
        <v>131</v>
      </c>
      <c r="W2384" t="s">
        <v>51</v>
      </c>
      <c r="X2384" t="s">
        <v>45</v>
      </c>
      <c r="Y2384" s="1">
        <v>26501</v>
      </c>
      <c r="Z2384">
        <v>2</v>
      </c>
      <c r="AA2384" t="s">
        <v>224</v>
      </c>
      <c r="AB2384" s="40" t="s">
        <v>1798</v>
      </c>
    </row>
    <row r="2385" spans="1:28" x14ac:dyDescent="0.25">
      <c r="A2385">
        <v>99912384</v>
      </c>
      <c r="B2385" t="s">
        <v>32</v>
      </c>
      <c r="C2385" t="s">
        <v>46</v>
      </c>
      <c r="D2385" t="s">
        <v>47</v>
      </c>
      <c r="G2385" t="s">
        <v>35</v>
      </c>
      <c r="H2385">
        <v>1</v>
      </c>
      <c r="I2385">
        <v>6844</v>
      </c>
      <c r="J2385" s="1">
        <v>43344</v>
      </c>
      <c r="K2385" t="s">
        <v>1306</v>
      </c>
      <c r="L2385" t="s">
        <v>1307</v>
      </c>
      <c r="M2385" t="s">
        <v>1270</v>
      </c>
      <c r="N2385">
        <v>20</v>
      </c>
      <c r="O2385" s="1">
        <v>43344</v>
      </c>
      <c r="P2385" t="s">
        <v>41</v>
      </c>
      <c r="Q2385" t="s">
        <v>42</v>
      </c>
      <c r="R2385" t="str">
        <f>"1990915"</f>
        <v>1990915</v>
      </c>
      <c r="S2385" t="s">
        <v>1308</v>
      </c>
      <c r="T2385" t="s">
        <v>1306</v>
      </c>
      <c r="U2385" t="s">
        <v>1307</v>
      </c>
      <c r="V2385" t="s">
        <v>1270</v>
      </c>
      <c r="W2385" t="s">
        <v>51</v>
      </c>
      <c r="X2385" t="s">
        <v>45</v>
      </c>
      <c r="Y2385" s="1">
        <v>26492</v>
      </c>
      <c r="Z2385">
        <v>2</v>
      </c>
      <c r="AA2385" t="s">
        <v>1307</v>
      </c>
      <c r="AB2385" s="40" t="s">
        <v>1798</v>
      </c>
    </row>
    <row r="2386" spans="1:28" x14ac:dyDescent="0.25">
      <c r="A2386">
        <v>99912385</v>
      </c>
      <c r="B2386" t="s">
        <v>32</v>
      </c>
      <c r="C2386" t="s">
        <v>85</v>
      </c>
      <c r="D2386" t="s">
        <v>86</v>
      </c>
      <c r="G2386" t="s">
        <v>48</v>
      </c>
      <c r="H2386">
        <v>1</v>
      </c>
      <c r="K2386" t="s">
        <v>223</v>
      </c>
      <c r="L2386" t="s">
        <v>224</v>
      </c>
      <c r="M2386" t="s">
        <v>131</v>
      </c>
      <c r="N2386">
        <v>20</v>
      </c>
      <c r="P2386" t="s">
        <v>41</v>
      </c>
      <c r="Q2386" t="s">
        <v>49</v>
      </c>
      <c r="R2386" t="str">
        <f>"0581202"</f>
        <v>0581202</v>
      </c>
      <c r="S2386" t="s">
        <v>248</v>
      </c>
      <c r="T2386" t="s">
        <v>223</v>
      </c>
      <c r="U2386" t="s">
        <v>224</v>
      </c>
      <c r="V2386" t="s">
        <v>131</v>
      </c>
      <c r="W2386" t="s">
        <v>165</v>
      </c>
      <c r="X2386" t="s">
        <v>45</v>
      </c>
      <c r="Y2386" s="1">
        <v>26489</v>
      </c>
      <c r="Z2386">
        <v>2</v>
      </c>
      <c r="AA2386" t="s">
        <v>224</v>
      </c>
      <c r="AB2386" s="40" t="s">
        <v>1798</v>
      </c>
    </row>
    <row r="2387" spans="1:28" x14ac:dyDescent="0.25">
      <c r="A2387">
        <v>99912386</v>
      </c>
      <c r="B2387" t="s">
        <v>32</v>
      </c>
      <c r="C2387" t="s">
        <v>251</v>
      </c>
      <c r="D2387" t="s">
        <v>252</v>
      </c>
      <c r="G2387" t="s">
        <v>35</v>
      </c>
      <c r="H2387">
        <v>1</v>
      </c>
      <c r="K2387" t="s">
        <v>963</v>
      </c>
      <c r="L2387" t="s">
        <v>964</v>
      </c>
      <c r="M2387" t="s">
        <v>938</v>
      </c>
      <c r="N2387">
        <v>20</v>
      </c>
      <c r="P2387" t="s">
        <v>41</v>
      </c>
      <c r="Q2387" t="s">
        <v>75</v>
      </c>
      <c r="R2387" t="str">
        <f>"7061000"</f>
        <v>7061000</v>
      </c>
      <c r="S2387" t="s">
        <v>962</v>
      </c>
      <c r="T2387" t="s">
        <v>963</v>
      </c>
      <c r="U2387" t="s">
        <v>964</v>
      </c>
      <c r="V2387" t="s">
        <v>938</v>
      </c>
      <c r="W2387" t="s">
        <v>51</v>
      </c>
      <c r="X2387" t="s">
        <v>45</v>
      </c>
      <c r="Y2387" s="1">
        <v>26488</v>
      </c>
      <c r="Z2387">
        <v>1</v>
      </c>
      <c r="AA2387" t="s">
        <v>964</v>
      </c>
      <c r="AB2387" s="40" t="s">
        <v>1798</v>
      </c>
    </row>
    <row r="2388" spans="1:28" x14ac:dyDescent="0.25">
      <c r="A2388">
        <v>99912387</v>
      </c>
      <c r="B2388" t="s">
        <v>32</v>
      </c>
      <c r="C2388" t="s">
        <v>64</v>
      </c>
      <c r="D2388" t="s">
        <v>65</v>
      </c>
      <c r="G2388" t="s">
        <v>48</v>
      </c>
      <c r="H2388">
        <v>1</v>
      </c>
      <c r="K2388" t="s">
        <v>223</v>
      </c>
      <c r="L2388" t="s">
        <v>224</v>
      </c>
      <c r="M2388" t="s">
        <v>131</v>
      </c>
      <c r="N2388">
        <v>20</v>
      </c>
      <c r="P2388" t="s">
        <v>41</v>
      </c>
      <c r="Q2388" t="s">
        <v>49</v>
      </c>
      <c r="R2388" t="str">
        <f>"0581206"</f>
        <v>0581206</v>
      </c>
      <c r="S2388" t="s">
        <v>232</v>
      </c>
      <c r="T2388" t="s">
        <v>223</v>
      </c>
      <c r="U2388" t="s">
        <v>224</v>
      </c>
      <c r="V2388" t="s">
        <v>131</v>
      </c>
      <c r="W2388" t="s">
        <v>51</v>
      </c>
      <c r="X2388" t="s">
        <v>45</v>
      </c>
      <c r="Y2388" s="1">
        <v>26487</v>
      </c>
      <c r="Z2388">
        <v>2</v>
      </c>
      <c r="AA2388" t="s">
        <v>224</v>
      </c>
      <c r="AB2388" s="40" t="s">
        <v>1798</v>
      </c>
    </row>
    <row r="2389" spans="1:28" x14ac:dyDescent="0.25">
      <c r="A2389">
        <v>99912388</v>
      </c>
      <c r="B2389" t="s">
        <v>32</v>
      </c>
      <c r="C2389" t="s">
        <v>52</v>
      </c>
      <c r="D2389" t="s">
        <v>53</v>
      </c>
      <c r="G2389" t="s">
        <v>35</v>
      </c>
      <c r="H2389">
        <v>1</v>
      </c>
      <c r="K2389" t="s">
        <v>1626</v>
      </c>
      <c r="L2389" t="s">
        <v>1627</v>
      </c>
      <c r="M2389" t="s">
        <v>1592</v>
      </c>
      <c r="N2389">
        <v>20</v>
      </c>
      <c r="P2389" t="s">
        <v>41</v>
      </c>
      <c r="Q2389" t="s">
        <v>49</v>
      </c>
      <c r="R2389" t="str">
        <f>"3681015"</f>
        <v>3681015</v>
      </c>
      <c r="S2389" t="s">
        <v>1629</v>
      </c>
      <c r="T2389" t="s">
        <v>1626</v>
      </c>
      <c r="U2389" t="s">
        <v>1627</v>
      </c>
      <c r="V2389" t="s">
        <v>1592</v>
      </c>
      <c r="W2389" t="s">
        <v>51</v>
      </c>
      <c r="X2389" t="s">
        <v>45</v>
      </c>
      <c r="Y2389" s="1">
        <v>26481</v>
      </c>
      <c r="Z2389">
        <v>2</v>
      </c>
      <c r="AA2389" t="s">
        <v>1627</v>
      </c>
      <c r="AB2389" s="40" t="s">
        <v>1798</v>
      </c>
    </row>
    <row r="2390" spans="1:28" x14ac:dyDescent="0.25">
      <c r="A2390">
        <v>99912389</v>
      </c>
      <c r="B2390" t="s">
        <v>56</v>
      </c>
      <c r="C2390" t="s">
        <v>68</v>
      </c>
      <c r="D2390" t="s">
        <v>69</v>
      </c>
      <c r="E2390" t="s">
        <v>61</v>
      </c>
      <c r="F2390" t="s">
        <v>62</v>
      </c>
      <c r="G2390" t="s">
        <v>48</v>
      </c>
      <c r="H2390">
        <v>1</v>
      </c>
      <c r="K2390" t="s">
        <v>1268</v>
      </c>
      <c r="L2390" t="s">
        <v>1269</v>
      </c>
      <c r="M2390" t="s">
        <v>1270</v>
      </c>
      <c r="N2390">
        <v>20</v>
      </c>
      <c r="P2390" t="s">
        <v>41</v>
      </c>
      <c r="Q2390" t="s">
        <v>49</v>
      </c>
      <c r="R2390" t="str">
        <f>"1981914"</f>
        <v>1981914</v>
      </c>
      <c r="S2390" t="s">
        <v>1287</v>
      </c>
      <c r="T2390" t="s">
        <v>1268</v>
      </c>
      <c r="U2390" t="s">
        <v>1269</v>
      </c>
      <c r="V2390" t="s">
        <v>1270</v>
      </c>
      <c r="W2390" t="s">
        <v>51</v>
      </c>
      <c r="X2390" t="s">
        <v>45</v>
      </c>
      <c r="Y2390" s="1">
        <v>26474</v>
      </c>
      <c r="Z2390">
        <v>2</v>
      </c>
      <c r="AA2390" t="s">
        <v>1269</v>
      </c>
      <c r="AB2390" s="40" t="s">
        <v>1798</v>
      </c>
    </row>
    <row r="2391" spans="1:28" x14ac:dyDescent="0.25">
      <c r="A2391">
        <v>99912390</v>
      </c>
      <c r="B2391" t="s">
        <v>56</v>
      </c>
      <c r="C2391" t="s">
        <v>52</v>
      </c>
      <c r="D2391" t="s">
        <v>53</v>
      </c>
      <c r="G2391" t="s">
        <v>48</v>
      </c>
      <c r="H2391">
        <v>1</v>
      </c>
      <c r="K2391" t="s">
        <v>300</v>
      </c>
      <c r="L2391" t="s">
        <v>301</v>
      </c>
      <c r="M2391" t="s">
        <v>131</v>
      </c>
      <c r="N2391">
        <v>20</v>
      </c>
      <c r="P2391" t="s">
        <v>41</v>
      </c>
      <c r="Q2391" t="s">
        <v>42</v>
      </c>
      <c r="R2391" t="str">
        <f>"0580176"</f>
        <v>0580176</v>
      </c>
      <c r="S2391" t="s">
        <v>305</v>
      </c>
      <c r="T2391" t="s">
        <v>300</v>
      </c>
      <c r="U2391" t="s">
        <v>301</v>
      </c>
      <c r="V2391" t="s">
        <v>131</v>
      </c>
      <c r="W2391" t="s">
        <v>51</v>
      </c>
      <c r="X2391" t="s">
        <v>45</v>
      </c>
      <c r="Y2391" s="1">
        <v>26472</v>
      </c>
      <c r="Z2391">
        <v>2</v>
      </c>
      <c r="AA2391" t="s">
        <v>301</v>
      </c>
      <c r="AB2391" s="40" t="s">
        <v>1798</v>
      </c>
    </row>
    <row r="2392" spans="1:28" x14ac:dyDescent="0.25">
      <c r="A2392">
        <v>99912391</v>
      </c>
      <c r="B2392" t="s">
        <v>56</v>
      </c>
      <c r="C2392" t="s">
        <v>46</v>
      </c>
      <c r="D2392" t="s">
        <v>47</v>
      </c>
      <c r="G2392" t="s">
        <v>48</v>
      </c>
      <c r="H2392">
        <v>1</v>
      </c>
      <c r="K2392" t="s">
        <v>223</v>
      </c>
      <c r="L2392" t="s">
        <v>224</v>
      </c>
      <c r="M2392" t="s">
        <v>131</v>
      </c>
      <c r="N2392">
        <v>20</v>
      </c>
      <c r="P2392" t="s">
        <v>41</v>
      </c>
      <c r="Q2392" t="s">
        <v>49</v>
      </c>
      <c r="R2392" t="str">
        <f>"0581202"</f>
        <v>0581202</v>
      </c>
      <c r="S2392" t="s">
        <v>248</v>
      </c>
      <c r="T2392" t="s">
        <v>223</v>
      </c>
      <c r="U2392" t="s">
        <v>224</v>
      </c>
      <c r="V2392" t="s">
        <v>131</v>
      </c>
      <c r="W2392" t="s">
        <v>165</v>
      </c>
      <c r="X2392" t="s">
        <v>45</v>
      </c>
      <c r="Y2392" s="1">
        <v>26463</v>
      </c>
      <c r="Z2392">
        <v>2</v>
      </c>
      <c r="AA2392" t="s">
        <v>224</v>
      </c>
      <c r="AB2392" s="40" t="s">
        <v>1798</v>
      </c>
    </row>
    <row r="2393" spans="1:28" x14ac:dyDescent="0.25">
      <c r="A2393">
        <v>99912392</v>
      </c>
      <c r="B2393" t="s">
        <v>32</v>
      </c>
      <c r="C2393" t="s">
        <v>46</v>
      </c>
      <c r="D2393" t="s">
        <v>47</v>
      </c>
      <c r="G2393" t="s">
        <v>35</v>
      </c>
      <c r="H2393">
        <v>1</v>
      </c>
      <c r="K2393" t="s">
        <v>223</v>
      </c>
      <c r="L2393" t="s">
        <v>224</v>
      </c>
      <c r="M2393" t="s">
        <v>131</v>
      </c>
      <c r="N2393">
        <v>20</v>
      </c>
      <c r="P2393" t="s">
        <v>41</v>
      </c>
      <c r="Q2393" t="s">
        <v>49</v>
      </c>
      <c r="R2393" t="str">
        <f>"0560018"</f>
        <v>0560018</v>
      </c>
      <c r="S2393" t="s">
        <v>234</v>
      </c>
      <c r="T2393" t="s">
        <v>223</v>
      </c>
      <c r="U2393" t="s">
        <v>224</v>
      </c>
      <c r="V2393" t="s">
        <v>131</v>
      </c>
      <c r="W2393" t="s">
        <v>51</v>
      </c>
      <c r="X2393" t="s">
        <v>45</v>
      </c>
      <c r="Y2393" s="1">
        <v>26442</v>
      </c>
      <c r="Z2393">
        <v>2</v>
      </c>
      <c r="AA2393" t="s">
        <v>224</v>
      </c>
      <c r="AB2393" s="40" t="s">
        <v>1798</v>
      </c>
    </row>
    <row r="2394" spans="1:28" x14ac:dyDescent="0.25">
      <c r="A2394">
        <v>99912393</v>
      </c>
      <c r="B2394" t="s">
        <v>32</v>
      </c>
      <c r="C2394" t="s">
        <v>79</v>
      </c>
      <c r="D2394" t="s">
        <v>80</v>
      </c>
      <c r="G2394" t="s">
        <v>35</v>
      </c>
      <c r="H2394">
        <v>1</v>
      </c>
      <c r="I2394">
        <v>0</v>
      </c>
      <c r="J2394" s="1">
        <v>43344</v>
      </c>
      <c r="K2394" t="s">
        <v>223</v>
      </c>
      <c r="L2394" t="s">
        <v>224</v>
      </c>
      <c r="M2394" t="s">
        <v>131</v>
      </c>
      <c r="N2394">
        <v>20</v>
      </c>
      <c r="O2394" s="1">
        <v>43344</v>
      </c>
      <c r="P2394" t="s">
        <v>41</v>
      </c>
      <c r="Q2394" t="s">
        <v>49</v>
      </c>
      <c r="R2394" t="str">
        <f>"0581207"</f>
        <v>0581207</v>
      </c>
      <c r="S2394" t="s">
        <v>233</v>
      </c>
      <c r="T2394" t="s">
        <v>223</v>
      </c>
      <c r="U2394" t="s">
        <v>224</v>
      </c>
      <c r="V2394" t="s">
        <v>131</v>
      </c>
      <c r="W2394" t="s">
        <v>51</v>
      </c>
      <c r="X2394" t="s">
        <v>45</v>
      </c>
      <c r="Y2394" s="1">
        <v>26442</v>
      </c>
      <c r="Z2394">
        <v>2</v>
      </c>
      <c r="AA2394" t="s">
        <v>224</v>
      </c>
      <c r="AB2394" s="40" t="s">
        <v>1798</v>
      </c>
    </row>
    <row r="2395" spans="1:28" x14ac:dyDescent="0.25">
      <c r="A2395">
        <v>99912394</v>
      </c>
      <c r="B2395" t="s">
        <v>56</v>
      </c>
      <c r="C2395" t="s">
        <v>46</v>
      </c>
      <c r="D2395" t="s">
        <v>47</v>
      </c>
      <c r="G2395" t="s">
        <v>48</v>
      </c>
      <c r="H2395">
        <v>1</v>
      </c>
      <c r="K2395" t="s">
        <v>129</v>
      </c>
      <c r="L2395" t="s">
        <v>130</v>
      </c>
      <c r="M2395" t="s">
        <v>131</v>
      </c>
      <c r="N2395">
        <v>20</v>
      </c>
      <c r="P2395" t="s">
        <v>41</v>
      </c>
      <c r="Q2395" t="s">
        <v>42</v>
      </c>
      <c r="R2395" t="str">
        <f>"0590905"</f>
        <v>0590905</v>
      </c>
      <c r="S2395" t="s">
        <v>133</v>
      </c>
      <c r="T2395" t="s">
        <v>129</v>
      </c>
      <c r="U2395" t="s">
        <v>130</v>
      </c>
      <c r="V2395" t="s">
        <v>131</v>
      </c>
      <c r="W2395" t="s">
        <v>51</v>
      </c>
      <c r="X2395" t="s">
        <v>45</v>
      </c>
      <c r="Y2395" s="1">
        <v>26441</v>
      </c>
      <c r="Z2395">
        <v>2</v>
      </c>
      <c r="AA2395" t="s">
        <v>130</v>
      </c>
      <c r="AB2395" s="40" t="s">
        <v>1798</v>
      </c>
    </row>
    <row r="2396" spans="1:28" x14ac:dyDescent="0.25">
      <c r="A2396">
        <v>99912395</v>
      </c>
      <c r="B2396" t="s">
        <v>32</v>
      </c>
      <c r="C2396" t="s">
        <v>46</v>
      </c>
      <c r="D2396" t="s">
        <v>47</v>
      </c>
      <c r="G2396" t="s">
        <v>48</v>
      </c>
      <c r="H2396">
        <v>1</v>
      </c>
      <c r="K2396" t="s">
        <v>345</v>
      </c>
      <c r="L2396" t="s">
        <v>346</v>
      </c>
      <c r="M2396" t="s">
        <v>131</v>
      </c>
      <c r="N2396">
        <v>20</v>
      </c>
      <c r="P2396" t="s">
        <v>41</v>
      </c>
      <c r="Q2396" t="s">
        <v>42</v>
      </c>
      <c r="R2396" t="str">
        <f>"0561019"</f>
        <v>0561019</v>
      </c>
      <c r="S2396" t="s">
        <v>351</v>
      </c>
      <c r="T2396" t="s">
        <v>345</v>
      </c>
      <c r="U2396" t="s">
        <v>346</v>
      </c>
      <c r="V2396" t="s">
        <v>131</v>
      </c>
      <c r="W2396" t="s">
        <v>51</v>
      </c>
      <c r="X2396" t="s">
        <v>45</v>
      </c>
      <c r="Y2396" s="1">
        <v>26440</v>
      </c>
      <c r="Z2396">
        <v>2</v>
      </c>
      <c r="AA2396" t="s">
        <v>346</v>
      </c>
      <c r="AB2396" s="40" t="s">
        <v>1798</v>
      </c>
    </row>
    <row r="2397" spans="1:28" x14ac:dyDescent="0.25">
      <c r="A2397">
        <v>99912396</v>
      </c>
      <c r="B2397" t="s">
        <v>32</v>
      </c>
      <c r="C2397" t="s">
        <v>139</v>
      </c>
      <c r="D2397" t="s">
        <v>140</v>
      </c>
      <c r="E2397" t="s">
        <v>46</v>
      </c>
      <c r="F2397" t="s">
        <v>47</v>
      </c>
      <c r="G2397" t="s">
        <v>48</v>
      </c>
      <c r="H2397">
        <v>1</v>
      </c>
      <c r="K2397" t="s">
        <v>223</v>
      </c>
      <c r="L2397" t="s">
        <v>224</v>
      </c>
      <c r="M2397" t="s">
        <v>131</v>
      </c>
      <c r="N2397">
        <v>20</v>
      </c>
      <c r="P2397" t="s">
        <v>41</v>
      </c>
      <c r="Q2397" t="s">
        <v>49</v>
      </c>
      <c r="R2397" t="str">
        <f>"0581204"</f>
        <v>0581204</v>
      </c>
      <c r="S2397" t="s">
        <v>249</v>
      </c>
      <c r="T2397" t="s">
        <v>223</v>
      </c>
      <c r="U2397" t="s">
        <v>224</v>
      </c>
      <c r="V2397" t="s">
        <v>131</v>
      </c>
      <c r="W2397" t="s">
        <v>51</v>
      </c>
      <c r="X2397" t="s">
        <v>45</v>
      </c>
      <c r="Y2397" s="1">
        <v>26438</v>
      </c>
      <c r="Z2397">
        <v>2</v>
      </c>
      <c r="AA2397" t="s">
        <v>224</v>
      </c>
      <c r="AB2397" s="40" t="s">
        <v>1798</v>
      </c>
    </row>
    <row r="2398" spans="1:28" x14ac:dyDescent="0.25">
      <c r="A2398">
        <v>99912397</v>
      </c>
      <c r="B2398" t="s">
        <v>32</v>
      </c>
      <c r="C2398" t="s">
        <v>71</v>
      </c>
      <c r="D2398" t="s">
        <v>72</v>
      </c>
      <c r="G2398" t="s">
        <v>48</v>
      </c>
      <c r="H2398">
        <v>1</v>
      </c>
      <c r="K2398" t="s">
        <v>1268</v>
      </c>
      <c r="L2398" t="s">
        <v>1269</v>
      </c>
      <c r="M2398" t="s">
        <v>1270</v>
      </c>
      <c r="N2398">
        <v>20</v>
      </c>
      <c r="P2398" t="s">
        <v>41</v>
      </c>
      <c r="Q2398" t="s">
        <v>49</v>
      </c>
      <c r="R2398" t="str">
        <f>"1981912"</f>
        <v>1981912</v>
      </c>
      <c r="S2398" t="s">
        <v>1279</v>
      </c>
      <c r="T2398" t="s">
        <v>1268</v>
      </c>
      <c r="U2398" t="s">
        <v>1269</v>
      </c>
      <c r="V2398" t="s">
        <v>1270</v>
      </c>
      <c r="W2398" t="s">
        <v>51</v>
      </c>
      <c r="X2398" t="s">
        <v>45</v>
      </c>
      <c r="Y2398" s="1">
        <v>26436</v>
      </c>
      <c r="Z2398">
        <v>2</v>
      </c>
      <c r="AA2398" t="s">
        <v>1269</v>
      </c>
      <c r="AB2398" s="40" t="s">
        <v>1798</v>
      </c>
    </row>
    <row r="2399" spans="1:28" x14ac:dyDescent="0.25">
      <c r="A2399">
        <v>99912398</v>
      </c>
      <c r="B2399" t="s">
        <v>32</v>
      </c>
      <c r="C2399" t="s">
        <v>46</v>
      </c>
      <c r="D2399" t="s">
        <v>47</v>
      </c>
      <c r="G2399" t="s">
        <v>48</v>
      </c>
      <c r="H2399">
        <v>1</v>
      </c>
      <c r="K2399" t="s">
        <v>162</v>
      </c>
      <c r="L2399" t="s">
        <v>158</v>
      </c>
      <c r="M2399" t="s">
        <v>131</v>
      </c>
      <c r="N2399">
        <v>20</v>
      </c>
      <c r="P2399" t="s">
        <v>41</v>
      </c>
      <c r="Q2399" t="s">
        <v>42</v>
      </c>
      <c r="R2399" t="str">
        <f>"0580310"</f>
        <v>0580310</v>
      </c>
      <c r="S2399" t="s">
        <v>173</v>
      </c>
      <c r="T2399" t="s">
        <v>162</v>
      </c>
      <c r="U2399" t="s">
        <v>158</v>
      </c>
      <c r="V2399" t="s">
        <v>131</v>
      </c>
      <c r="W2399" t="s">
        <v>51</v>
      </c>
      <c r="X2399" t="s">
        <v>45</v>
      </c>
      <c r="Y2399" s="1">
        <v>26435</v>
      </c>
      <c r="Z2399">
        <v>2</v>
      </c>
      <c r="AA2399" t="s">
        <v>158</v>
      </c>
      <c r="AB2399" s="40" t="s">
        <v>1798</v>
      </c>
    </row>
    <row r="2400" spans="1:28" x14ac:dyDescent="0.25">
      <c r="A2400">
        <v>99912399</v>
      </c>
      <c r="B2400" t="s">
        <v>32</v>
      </c>
      <c r="C2400" t="s">
        <v>46</v>
      </c>
      <c r="D2400" t="s">
        <v>47</v>
      </c>
      <c r="G2400" t="s">
        <v>35</v>
      </c>
      <c r="H2400">
        <v>1</v>
      </c>
      <c r="K2400" t="s">
        <v>223</v>
      </c>
      <c r="L2400" t="s">
        <v>224</v>
      </c>
      <c r="M2400" t="s">
        <v>131</v>
      </c>
      <c r="N2400">
        <v>20</v>
      </c>
      <c r="P2400" t="s">
        <v>41</v>
      </c>
      <c r="Q2400" t="s">
        <v>49</v>
      </c>
      <c r="R2400" t="str">
        <f>"0581207"</f>
        <v>0581207</v>
      </c>
      <c r="S2400" t="s">
        <v>233</v>
      </c>
      <c r="T2400" t="s">
        <v>223</v>
      </c>
      <c r="U2400" t="s">
        <v>224</v>
      </c>
      <c r="V2400" t="s">
        <v>131</v>
      </c>
      <c r="W2400" t="s">
        <v>165</v>
      </c>
      <c r="X2400" t="s">
        <v>45</v>
      </c>
      <c r="Y2400" s="1">
        <v>26434</v>
      </c>
      <c r="Z2400">
        <v>2</v>
      </c>
      <c r="AA2400" t="s">
        <v>224</v>
      </c>
      <c r="AB2400" s="40" t="s">
        <v>1798</v>
      </c>
    </row>
    <row r="2401" spans="1:28" x14ac:dyDescent="0.25">
      <c r="A2401">
        <v>99912400</v>
      </c>
      <c r="B2401" t="s">
        <v>32</v>
      </c>
      <c r="C2401" t="s">
        <v>79</v>
      </c>
      <c r="D2401" t="s">
        <v>80</v>
      </c>
      <c r="G2401" t="s">
        <v>48</v>
      </c>
      <c r="H2401">
        <v>1</v>
      </c>
      <c r="K2401" t="s">
        <v>223</v>
      </c>
      <c r="L2401" t="s">
        <v>224</v>
      </c>
      <c r="M2401" t="s">
        <v>131</v>
      </c>
      <c r="N2401">
        <v>20</v>
      </c>
      <c r="P2401" t="s">
        <v>41</v>
      </c>
      <c r="Q2401" t="s">
        <v>49</v>
      </c>
      <c r="R2401" t="str">
        <f>"0581204"</f>
        <v>0581204</v>
      </c>
      <c r="S2401" t="s">
        <v>249</v>
      </c>
      <c r="T2401" t="s">
        <v>223</v>
      </c>
      <c r="U2401" t="s">
        <v>224</v>
      </c>
      <c r="V2401" t="s">
        <v>131</v>
      </c>
      <c r="W2401" t="s">
        <v>51</v>
      </c>
      <c r="X2401" t="s">
        <v>45</v>
      </c>
      <c r="Y2401" s="1">
        <v>26417</v>
      </c>
      <c r="Z2401">
        <v>2</v>
      </c>
      <c r="AA2401" t="s">
        <v>224</v>
      </c>
      <c r="AB2401" s="40" t="s">
        <v>1798</v>
      </c>
    </row>
    <row r="2402" spans="1:28" x14ac:dyDescent="0.25">
      <c r="A2402">
        <v>99912401</v>
      </c>
      <c r="B2402" t="s">
        <v>56</v>
      </c>
      <c r="C2402" t="s">
        <v>46</v>
      </c>
      <c r="D2402" t="s">
        <v>47</v>
      </c>
      <c r="G2402" t="s">
        <v>48</v>
      </c>
      <c r="H2402">
        <v>7</v>
      </c>
      <c r="K2402" t="s">
        <v>1051</v>
      </c>
      <c r="L2402" t="s">
        <v>1052</v>
      </c>
      <c r="M2402" t="s">
        <v>1053</v>
      </c>
      <c r="N2402">
        <v>20</v>
      </c>
      <c r="P2402" t="s">
        <v>41</v>
      </c>
      <c r="Q2402" t="s">
        <v>49</v>
      </c>
      <c r="R2402" t="str">
        <f>"2080025"</f>
        <v>2080025</v>
      </c>
      <c r="S2402" t="s">
        <v>1057</v>
      </c>
      <c r="T2402" t="s">
        <v>1051</v>
      </c>
      <c r="U2402" t="s">
        <v>1052</v>
      </c>
      <c r="V2402" t="s">
        <v>1053</v>
      </c>
      <c r="W2402" t="s">
        <v>51</v>
      </c>
      <c r="X2402" t="s">
        <v>45</v>
      </c>
      <c r="Y2402" s="1">
        <v>26414</v>
      </c>
      <c r="Z2402">
        <v>2</v>
      </c>
      <c r="AA2402" t="s">
        <v>1052</v>
      </c>
      <c r="AB2402" s="40" t="s">
        <v>1798</v>
      </c>
    </row>
    <row r="2403" spans="1:28" x14ac:dyDescent="0.25">
      <c r="A2403">
        <v>99912402</v>
      </c>
      <c r="B2403" t="s">
        <v>32</v>
      </c>
      <c r="C2403" t="s">
        <v>46</v>
      </c>
      <c r="D2403" t="s">
        <v>47</v>
      </c>
      <c r="G2403" t="s">
        <v>35</v>
      </c>
      <c r="H2403">
        <v>1</v>
      </c>
      <c r="I2403" t="s">
        <v>292</v>
      </c>
      <c r="J2403" s="1">
        <v>43344</v>
      </c>
      <c r="K2403" t="s">
        <v>223</v>
      </c>
      <c r="L2403" t="s">
        <v>224</v>
      </c>
      <c r="M2403" t="s">
        <v>131</v>
      </c>
      <c r="N2403">
        <v>20</v>
      </c>
      <c r="O2403" s="1">
        <v>43344</v>
      </c>
      <c r="P2403" t="s">
        <v>41</v>
      </c>
      <c r="Q2403" t="s">
        <v>49</v>
      </c>
      <c r="R2403" t="str">
        <f>"0581207"</f>
        <v>0581207</v>
      </c>
      <c r="S2403" t="s">
        <v>233</v>
      </c>
      <c r="T2403" t="s">
        <v>223</v>
      </c>
      <c r="U2403" t="s">
        <v>224</v>
      </c>
      <c r="V2403" t="s">
        <v>131</v>
      </c>
      <c r="W2403" t="s">
        <v>44</v>
      </c>
      <c r="X2403" t="s">
        <v>45</v>
      </c>
      <c r="Y2403" s="1">
        <v>26410</v>
      </c>
      <c r="Z2403">
        <v>2</v>
      </c>
      <c r="AA2403" t="s">
        <v>224</v>
      </c>
      <c r="AB2403" s="40" t="s">
        <v>1798</v>
      </c>
    </row>
    <row r="2404" spans="1:28" x14ac:dyDescent="0.25">
      <c r="A2404">
        <v>99912403</v>
      </c>
      <c r="B2404" t="s">
        <v>56</v>
      </c>
      <c r="C2404" t="s">
        <v>82</v>
      </c>
      <c r="D2404" t="s">
        <v>83</v>
      </c>
      <c r="G2404" t="s">
        <v>48</v>
      </c>
      <c r="H2404">
        <v>6</v>
      </c>
      <c r="K2404" t="s">
        <v>1268</v>
      </c>
      <c r="L2404" t="s">
        <v>1269</v>
      </c>
      <c r="M2404" t="s">
        <v>1270</v>
      </c>
      <c r="N2404">
        <v>20</v>
      </c>
      <c r="O2404" s="1">
        <v>43344</v>
      </c>
      <c r="P2404" t="s">
        <v>41</v>
      </c>
      <c r="Q2404" t="s">
        <v>42</v>
      </c>
      <c r="R2404" t="str">
        <f>"1980060"</f>
        <v>1980060</v>
      </c>
      <c r="S2404" t="s">
        <v>1277</v>
      </c>
      <c r="T2404" t="s">
        <v>1268</v>
      </c>
      <c r="U2404" t="s">
        <v>1269</v>
      </c>
      <c r="V2404" t="s">
        <v>1270</v>
      </c>
      <c r="W2404" t="s">
        <v>51</v>
      </c>
      <c r="X2404" t="s">
        <v>45</v>
      </c>
      <c r="Y2404" s="1">
        <v>26409</v>
      </c>
      <c r="Z2404">
        <v>2</v>
      </c>
      <c r="AA2404" t="s">
        <v>1269</v>
      </c>
      <c r="AB2404" s="40" t="s">
        <v>1798</v>
      </c>
    </row>
    <row r="2405" spans="1:28" x14ac:dyDescent="0.25">
      <c r="A2405">
        <v>99912404</v>
      </c>
      <c r="B2405" t="s">
        <v>56</v>
      </c>
      <c r="C2405" t="s">
        <v>68</v>
      </c>
      <c r="D2405" t="s">
        <v>69</v>
      </c>
      <c r="G2405" t="s">
        <v>48</v>
      </c>
      <c r="H2405">
        <v>1</v>
      </c>
      <c r="K2405" t="s">
        <v>223</v>
      </c>
      <c r="L2405" t="s">
        <v>224</v>
      </c>
      <c r="M2405" t="s">
        <v>131</v>
      </c>
      <c r="N2405">
        <v>20</v>
      </c>
      <c r="P2405" t="s">
        <v>41</v>
      </c>
      <c r="Q2405" t="s">
        <v>42</v>
      </c>
      <c r="R2405" t="str">
        <f>"0580202"</f>
        <v>0580202</v>
      </c>
      <c r="S2405" t="s">
        <v>240</v>
      </c>
      <c r="T2405" t="s">
        <v>223</v>
      </c>
      <c r="U2405" t="s">
        <v>224</v>
      </c>
      <c r="V2405" t="s">
        <v>131</v>
      </c>
      <c r="W2405" t="s">
        <v>51</v>
      </c>
      <c r="X2405" t="s">
        <v>45</v>
      </c>
      <c r="Y2405" s="1">
        <v>26386</v>
      </c>
      <c r="Z2405">
        <v>2</v>
      </c>
      <c r="AA2405" t="s">
        <v>224</v>
      </c>
      <c r="AB2405" s="40" t="s">
        <v>1798</v>
      </c>
    </row>
    <row r="2406" spans="1:28" x14ac:dyDescent="0.25">
      <c r="A2406">
        <v>99912405</v>
      </c>
      <c r="B2406" t="s">
        <v>56</v>
      </c>
      <c r="C2406" t="s">
        <v>46</v>
      </c>
      <c r="D2406" t="s">
        <v>47</v>
      </c>
      <c r="G2406" t="s">
        <v>48</v>
      </c>
      <c r="H2406">
        <v>1</v>
      </c>
      <c r="K2406" t="s">
        <v>129</v>
      </c>
      <c r="L2406" t="s">
        <v>130</v>
      </c>
      <c r="M2406" t="s">
        <v>131</v>
      </c>
      <c r="N2406">
        <v>20</v>
      </c>
      <c r="P2406" t="s">
        <v>41</v>
      </c>
      <c r="Q2406" t="s">
        <v>49</v>
      </c>
      <c r="R2406" t="str">
        <f>"0591905"</f>
        <v>0591905</v>
      </c>
      <c r="S2406" t="s">
        <v>135</v>
      </c>
      <c r="T2406" t="s">
        <v>129</v>
      </c>
      <c r="U2406" t="s">
        <v>130</v>
      </c>
      <c r="V2406" t="s">
        <v>131</v>
      </c>
      <c r="W2406" t="s">
        <v>51</v>
      </c>
      <c r="X2406" t="s">
        <v>45</v>
      </c>
      <c r="Y2406" s="1">
        <v>26380</v>
      </c>
      <c r="Z2406">
        <v>2</v>
      </c>
      <c r="AA2406" t="s">
        <v>130</v>
      </c>
      <c r="AB2406" s="40" t="s">
        <v>1798</v>
      </c>
    </row>
    <row r="2407" spans="1:28" x14ac:dyDescent="0.25">
      <c r="A2407">
        <v>99912406</v>
      </c>
      <c r="B2407" t="s">
        <v>32</v>
      </c>
      <c r="C2407" t="s">
        <v>79</v>
      </c>
      <c r="D2407" t="s">
        <v>80</v>
      </c>
      <c r="G2407" t="s">
        <v>48</v>
      </c>
      <c r="H2407">
        <v>6</v>
      </c>
      <c r="K2407" t="s">
        <v>268</v>
      </c>
      <c r="L2407" t="s">
        <v>269</v>
      </c>
      <c r="M2407" t="s">
        <v>131</v>
      </c>
      <c r="N2407">
        <v>20</v>
      </c>
      <c r="P2407" t="s">
        <v>41</v>
      </c>
      <c r="Q2407" t="s">
        <v>75</v>
      </c>
      <c r="R2407" t="str">
        <f>"7052006"</f>
        <v>7052006</v>
      </c>
      <c r="S2407" t="s">
        <v>575</v>
      </c>
      <c r="T2407" t="s">
        <v>268</v>
      </c>
      <c r="U2407" t="s">
        <v>269</v>
      </c>
      <c r="V2407" t="s">
        <v>131</v>
      </c>
      <c r="W2407" t="s">
        <v>51</v>
      </c>
      <c r="X2407" t="s">
        <v>45</v>
      </c>
      <c r="Y2407" s="1">
        <v>26376</v>
      </c>
      <c r="Z2407">
        <v>1</v>
      </c>
      <c r="AA2407" t="s">
        <v>269</v>
      </c>
      <c r="AB2407" s="40" t="s">
        <v>1798</v>
      </c>
    </row>
    <row r="2408" spans="1:28" x14ac:dyDescent="0.25">
      <c r="A2408">
        <v>99912407</v>
      </c>
      <c r="B2408" t="s">
        <v>32</v>
      </c>
      <c r="C2408" t="s">
        <v>64</v>
      </c>
      <c r="D2408" t="s">
        <v>65</v>
      </c>
      <c r="G2408" t="s">
        <v>48</v>
      </c>
      <c r="H2408">
        <v>1</v>
      </c>
      <c r="K2408" t="s">
        <v>1128</v>
      </c>
      <c r="L2408" t="s">
        <v>1129</v>
      </c>
      <c r="M2408" t="s">
        <v>1130</v>
      </c>
      <c r="N2408">
        <v>20</v>
      </c>
      <c r="P2408" t="s">
        <v>41</v>
      </c>
      <c r="Q2408" t="s">
        <v>49</v>
      </c>
      <c r="R2408" t="str">
        <f>"3181015"</f>
        <v>3181015</v>
      </c>
      <c r="S2408" t="s">
        <v>1131</v>
      </c>
      <c r="T2408" t="s">
        <v>1128</v>
      </c>
      <c r="U2408" t="s">
        <v>1129</v>
      </c>
      <c r="V2408" t="s">
        <v>1130</v>
      </c>
      <c r="W2408" t="s">
        <v>51</v>
      </c>
      <c r="X2408" t="s">
        <v>45</v>
      </c>
      <c r="Y2408" s="1">
        <v>26364</v>
      </c>
      <c r="Z2408">
        <v>2</v>
      </c>
      <c r="AA2408" t="s">
        <v>1129</v>
      </c>
      <c r="AB2408" s="40" t="s">
        <v>1798</v>
      </c>
    </row>
    <row r="2409" spans="1:28" x14ac:dyDescent="0.25">
      <c r="A2409">
        <v>99912408</v>
      </c>
      <c r="B2409" t="s">
        <v>32</v>
      </c>
      <c r="C2409" t="s">
        <v>46</v>
      </c>
      <c r="D2409" t="s">
        <v>47</v>
      </c>
      <c r="G2409" t="s">
        <v>35</v>
      </c>
      <c r="H2409">
        <v>1</v>
      </c>
      <c r="K2409" t="s">
        <v>223</v>
      </c>
      <c r="L2409" t="s">
        <v>224</v>
      </c>
      <c r="M2409" t="s">
        <v>131</v>
      </c>
      <c r="N2409">
        <v>20</v>
      </c>
      <c r="P2409" t="s">
        <v>41</v>
      </c>
      <c r="Q2409" t="s">
        <v>42</v>
      </c>
      <c r="R2409" t="str">
        <f>"0590903"</f>
        <v>0590903</v>
      </c>
      <c r="S2409" t="s">
        <v>226</v>
      </c>
      <c r="T2409" t="s">
        <v>223</v>
      </c>
      <c r="U2409" t="s">
        <v>224</v>
      </c>
      <c r="V2409" t="s">
        <v>131</v>
      </c>
      <c r="W2409" t="s">
        <v>51</v>
      </c>
      <c r="X2409" t="s">
        <v>45</v>
      </c>
      <c r="Y2409" s="1">
        <v>26333</v>
      </c>
      <c r="Z2409">
        <v>2</v>
      </c>
      <c r="AA2409" t="s">
        <v>224</v>
      </c>
      <c r="AB2409" s="40" t="s">
        <v>1798</v>
      </c>
    </row>
    <row r="2410" spans="1:28" x14ac:dyDescent="0.25">
      <c r="A2410">
        <v>99912409</v>
      </c>
      <c r="B2410" t="s">
        <v>56</v>
      </c>
      <c r="C2410" t="s">
        <v>139</v>
      </c>
      <c r="D2410" t="s">
        <v>140</v>
      </c>
      <c r="G2410" t="s">
        <v>48</v>
      </c>
      <c r="H2410">
        <v>1</v>
      </c>
      <c r="K2410" t="s">
        <v>129</v>
      </c>
      <c r="L2410" t="s">
        <v>130</v>
      </c>
      <c r="M2410" t="s">
        <v>131</v>
      </c>
      <c r="N2410">
        <v>20</v>
      </c>
      <c r="P2410" t="s">
        <v>41</v>
      </c>
      <c r="Q2410" t="s">
        <v>42</v>
      </c>
      <c r="R2410" t="str">
        <f>"0590905"</f>
        <v>0590905</v>
      </c>
      <c r="S2410" t="s">
        <v>133</v>
      </c>
      <c r="T2410" t="s">
        <v>129</v>
      </c>
      <c r="U2410" t="s">
        <v>130</v>
      </c>
      <c r="V2410" t="s">
        <v>131</v>
      </c>
      <c r="W2410" t="s">
        <v>51</v>
      </c>
      <c r="X2410" t="s">
        <v>45</v>
      </c>
      <c r="Y2410" s="1">
        <v>26327</v>
      </c>
      <c r="Z2410">
        <v>2</v>
      </c>
      <c r="AA2410" t="s">
        <v>130</v>
      </c>
      <c r="AB2410" s="40" t="s">
        <v>1798</v>
      </c>
    </row>
    <row r="2411" spans="1:28" x14ac:dyDescent="0.25">
      <c r="A2411">
        <v>99912410</v>
      </c>
      <c r="B2411" t="s">
        <v>32</v>
      </c>
      <c r="C2411" t="s">
        <v>46</v>
      </c>
      <c r="D2411" t="s">
        <v>47</v>
      </c>
      <c r="G2411" t="s">
        <v>48</v>
      </c>
      <c r="H2411">
        <v>1</v>
      </c>
      <c r="K2411" t="s">
        <v>223</v>
      </c>
      <c r="L2411" t="s">
        <v>224</v>
      </c>
      <c r="M2411" t="s">
        <v>131</v>
      </c>
      <c r="N2411">
        <v>20</v>
      </c>
      <c r="P2411" t="s">
        <v>41</v>
      </c>
      <c r="Q2411" t="s">
        <v>49</v>
      </c>
      <c r="R2411" t="str">
        <f>"0581204"</f>
        <v>0581204</v>
      </c>
      <c r="S2411" t="s">
        <v>249</v>
      </c>
      <c r="T2411" t="s">
        <v>223</v>
      </c>
      <c r="U2411" t="s">
        <v>224</v>
      </c>
      <c r="V2411" t="s">
        <v>131</v>
      </c>
      <c r="W2411" t="s">
        <v>51</v>
      </c>
      <c r="X2411" t="s">
        <v>45</v>
      </c>
      <c r="Y2411" s="1">
        <v>26324</v>
      </c>
      <c r="Z2411">
        <v>2</v>
      </c>
      <c r="AA2411" t="s">
        <v>224</v>
      </c>
      <c r="AB2411" s="40" t="s">
        <v>1798</v>
      </c>
    </row>
    <row r="2412" spans="1:28" x14ac:dyDescent="0.25">
      <c r="A2412">
        <v>99912411</v>
      </c>
      <c r="B2412" t="s">
        <v>56</v>
      </c>
      <c r="C2412" t="s">
        <v>46</v>
      </c>
      <c r="D2412" t="s">
        <v>47</v>
      </c>
      <c r="G2412" t="s">
        <v>48</v>
      </c>
      <c r="H2412">
        <v>1</v>
      </c>
      <c r="K2412" t="s">
        <v>129</v>
      </c>
      <c r="L2412" t="s">
        <v>130</v>
      </c>
      <c r="M2412" t="s">
        <v>131</v>
      </c>
      <c r="N2412">
        <v>20</v>
      </c>
      <c r="P2412" t="s">
        <v>41</v>
      </c>
      <c r="Q2412" t="s">
        <v>42</v>
      </c>
      <c r="R2412" t="str">
        <f>"0580715"</f>
        <v>0580715</v>
      </c>
      <c r="S2412" t="s">
        <v>147</v>
      </c>
      <c r="T2412" t="s">
        <v>129</v>
      </c>
      <c r="U2412" t="s">
        <v>130</v>
      </c>
      <c r="V2412" t="s">
        <v>131</v>
      </c>
      <c r="W2412" t="s">
        <v>51</v>
      </c>
      <c r="X2412" t="s">
        <v>45</v>
      </c>
      <c r="Y2412" s="1">
        <v>26317</v>
      </c>
      <c r="Z2412">
        <v>2</v>
      </c>
      <c r="AA2412" t="s">
        <v>130</v>
      </c>
      <c r="AB2412" s="40" t="s">
        <v>1798</v>
      </c>
    </row>
    <row r="2413" spans="1:28" x14ac:dyDescent="0.25">
      <c r="A2413">
        <v>99912412</v>
      </c>
      <c r="B2413" t="s">
        <v>56</v>
      </c>
      <c r="C2413" t="s">
        <v>145</v>
      </c>
      <c r="D2413" t="s">
        <v>146</v>
      </c>
      <c r="G2413" t="s">
        <v>48</v>
      </c>
      <c r="H2413">
        <v>1</v>
      </c>
      <c r="K2413" t="s">
        <v>300</v>
      </c>
      <c r="L2413" t="s">
        <v>301</v>
      </c>
      <c r="M2413" t="s">
        <v>131</v>
      </c>
      <c r="N2413">
        <v>20</v>
      </c>
      <c r="P2413" t="s">
        <v>41</v>
      </c>
      <c r="Q2413" t="s">
        <v>42</v>
      </c>
      <c r="R2413" t="str">
        <f>"0580106"</f>
        <v>0580106</v>
      </c>
      <c r="S2413" t="s">
        <v>306</v>
      </c>
      <c r="T2413" t="s">
        <v>300</v>
      </c>
      <c r="U2413" t="s">
        <v>301</v>
      </c>
      <c r="V2413" t="s">
        <v>131</v>
      </c>
      <c r="W2413" t="s">
        <v>51</v>
      </c>
      <c r="X2413" t="s">
        <v>45</v>
      </c>
      <c r="Y2413" s="1">
        <v>26299</v>
      </c>
      <c r="Z2413">
        <v>2</v>
      </c>
      <c r="AA2413" t="s">
        <v>301</v>
      </c>
      <c r="AB2413" s="40" t="s">
        <v>1798</v>
      </c>
    </row>
    <row r="2414" spans="1:28" x14ac:dyDescent="0.25">
      <c r="A2414">
        <v>99912413</v>
      </c>
      <c r="B2414" t="s">
        <v>32</v>
      </c>
      <c r="C2414" t="s">
        <v>71</v>
      </c>
      <c r="D2414" t="s">
        <v>72</v>
      </c>
      <c r="G2414" t="s">
        <v>48</v>
      </c>
      <c r="H2414">
        <v>1</v>
      </c>
      <c r="K2414" t="s">
        <v>345</v>
      </c>
      <c r="L2414" t="s">
        <v>346</v>
      </c>
      <c r="M2414" t="s">
        <v>131</v>
      </c>
      <c r="N2414">
        <v>20</v>
      </c>
      <c r="P2414" t="s">
        <v>41</v>
      </c>
      <c r="Q2414" t="s">
        <v>49</v>
      </c>
      <c r="R2414" t="str">
        <f>"0561021"</f>
        <v>0561021</v>
      </c>
      <c r="S2414" t="s">
        <v>352</v>
      </c>
      <c r="T2414" t="s">
        <v>345</v>
      </c>
      <c r="U2414" t="s">
        <v>346</v>
      </c>
      <c r="V2414" t="s">
        <v>131</v>
      </c>
      <c r="W2414" t="s">
        <v>51</v>
      </c>
      <c r="X2414" t="s">
        <v>45</v>
      </c>
      <c r="Y2414" s="1">
        <v>26299</v>
      </c>
      <c r="Z2414">
        <v>2</v>
      </c>
      <c r="AA2414" t="s">
        <v>346</v>
      </c>
      <c r="AB2414" s="40" t="s">
        <v>1798</v>
      </c>
    </row>
    <row r="2415" spans="1:28" x14ac:dyDescent="0.25">
      <c r="A2415">
        <v>99912414</v>
      </c>
      <c r="B2415" t="s">
        <v>32</v>
      </c>
      <c r="C2415" t="s">
        <v>64</v>
      </c>
      <c r="D2415" t="s">
        <v>65</v>
      </c>
      <c r="G2415" t="s">
        <v>48</v>
      </c>
      <c r="H2415">
        <v>1</v>
      </c>
      <c r="K2415" t="s">
        <v>877</v>
      </c>
      <c r="L2415" t="s">
        <v>878</v>
      </c>
      <c r="M2415" t="s">
        <v>131</v>
      </c>
      <c r="N2415">
        <v>20</v>
      </c>
      <c r="P2415" t="s">
        <v>41</v>
      </c>
      <c r="Q2415" t="s">
        <v>75</v>
      </c>
      <c r="R2415" t="str">
        <f>"7541010"</f>
        <v>7541010</v>
      </c>
      <c r="S2415" t="s">
        <v>887</v>
      </c>
      <c r="T2415" t="s">
        <v>877</v>
      </c>
      <c r="U2415" t="s">
        <v>878</v>
      </c>
      <c r="V2415" t="s">
        <v>131</v>
      </c>
      <c r="W2415" t="s">
        <v>51</v>
      </c>
      <c r="X2415" t="s">
        <v>45</v>
      </c>
      <c r="Y2415" s="1">
        <v>26299</v>
      </c>
      <c r="Z2415">
        <v>1</v>
      </c>
      <c r="AA2415" t="s">
        <v>878</v>
      </c>
      <c r="AB2415" s="40" t="s">
        <v>1798</v>
      </c>
    </row>
    <row r="2416" spans="1:28" x14ac:dyDescent="0.25">
      <c r="A2416">
        <v>99912415</v>
      </c>
      <c r="B2416" t="s">
        <v>32</v>
      </c>
      <c r="C2416" t="s">
        <v>46</v>
      </c>
      <c r="D2416" t="s">
        <v>47</v>
      </c>
      <c r="G2416" t="s">
        <v>35</v>
      </c>
      <c r="H2416">
        <v>1</v>
      </c>
      <c r="K2416" t="s">
        <v>1128</v>
      </c>
      <c r="L2416" t="s">
        <v>1129</v>
      </c>
      <c r="M2416" t="s">
        <v>1130</v>
      </c>
      <c r="N2416">
        <v>20</v>
      </c>
      <c r="P2416" t="s">
        <v>41</v>
      </c>
      <c r="Q2416" t="s">
        <v>42</v>
      </c>
      <c r="R2416" t="str">
        <f>"3180010"</f>
        <v>3180010</v>
      </c>
      <c r="S2416" t="s">
        <v>1132</v>
      </c>
      <c r="T2416" t="s">
        <v>1128</v>
      </c>
      <c r="U2416" t="s">
        <v>1129</v>
      </c>
      <c r="V2416" t="s">
        <v>1130</v>
      </c>
      <c r="W2416" t="s">
        <v>51</v>
      </c>
      <c r="X2416" t="s">
        <v>45</v>
      </c>
      <c r="Y2416" s="1">
        <v>26299</v>
      </c>
      <c r="Z2416">
        <v>2</v>
      </c>
      <c r="AA2416" t="s">
        <v>1129</v>
      </c>
      <c r="AB2416" s="40" t="s">
        <v>1798</v>
      </c>
    </row>
    <row r="2417" spans="1:29" x14ac:dyDescent="0.25">
      <c r="A2417">
        <v>99912416</v>
      </c>
      <c r="B2417" t="s">
        <v>32</v>
      </c>
      <c r="C2417" t="s">
        <v>46</v>
      </c>
      <c r="D2417" t="s">
        <v>47</v>
      </c>
      <c r="G2417" t="s">
        <v>35</v>
      </c>
      <c r="H2417">
        <v>1</v>
      </c>
      <c r="K2417" t="s">
        <v>1268</v>
      </c>
      <c r="L2417" t="s">
        <v>1269</v>
      </c>
      <c r="M2417" t="s">
        <v>1270</v>
      </c>
      <c r="N2417">
        <v>20</v>
      </c>
      <c r="P2417" t="s">
        <v>41</v>
      </c>
      <c r="Q2417" t="s">
        <v>49</v>
      </c>
      <c r="R2417" t="str">
        <f>"1981912"</f>
        <v>1981912</v>
      </c>
      <c r="S2417" t="s">
        <v>1279</v>
      </c>
      <c r="T2417" t="s">
        <v>1268</v>
      </c>
      <c r="U2417" t="s">
        <v>1269</v>
      </c>
      <c r="V2417" t="s">
        <v>1270</v>
      </c>
      <c r="W2417" t="s">
        <v>51</v>
      </c>
      <c r="X2417" t="s">
        <v>45</v>
      </c>
      <c r="Y2417" s="1">
        <v>26299</v>
      </c>
      <c r="Z2417">
        <v>2</v>
      </c>
      <c r="AA2417" t="s">
        <v>1269</v>
      </c>
      <c r="AB2417" s="40" t="s">
        <v>1798</v>
      </c>
    </row>
    <row r="2418" spans="1:29" x14ac:dyDescent="0.25">
      <c r="A2418">
        <v>99912417</v>
      </c>
      <c r="B2418" t="s">
        <v>32</v>
      </c>
      <c r="C2418" t="s">
        <v>46</v>
      </c>
      <c r="D2418" t="s">
        <v>47</v>
      </c>
      <c r="G2418" t="s">
        <v>48</v>
      </c>
      <c r="H2418">
        <v>1</v>
      </c>
      <c r="K2418" t="s">
        <v>1268</v>
      </c>
      <c r="L2418" t="s">
        <v>1269</v>
      </c>
      <c r="M2418" t="s">
        <v>1270</v>
      </c>
      <c r="N2418">
        <v>20</v>
      </c>
      <c r="P2418" t="s">
        <v>41</v>
      </c>
      <c r="Q2418" t="s">
        <v>42</v>
      </c>
      <c r="R2418" t="str">
        <f>"1990911"</f>
        <v>1990911</v>
      </c>
      <c r="S2418" t="s">
        <v>1276</v>
      </c>
      <c r="T2418" t="s">
        <v>1268</v>
      </c>
      <c r="U2418" t="s">
        <v>1269</v>
      </c>
      <c r="V2418" t="s">
        <v>1270</v>
      </c>
      <c r="W2418" t="s">
        <v>51</v>
      </c>
      <c r="X2418" t="s">
        <v>45</v>
      </c>
      <c r="Y2418" s="1">
        <v>26284</v>
      </c>
      <c r="Z2418">
        <v>2</v>
      </c>
      <c r="AA2418" t="s">
        <v>1269</v>
      </c>
      <c r="AB2418" s="40" t="s">
        <v>1798</v>
      </c>
    </row>
    <row r="2419" spans="1:29" x14ac:dyDescent="0.25">
      <c r="A2419">
        <v>99912418</v>
      </c>
      <c r="B2419" t="s">
        <v>56</v>
      </c>
      <c r="C2419" t="s">
        <v>46</v>
      </c>
      <c r="D2419" t="s">
        <v>47</v>
      </c>
      <c r="G2419" t="s">
        <v>35</v>
      </c>
      <c r="H2419">
        <v>1</v>
      </c>
      <c r="I2419" t="s">
        <v>374</v>
      </c>
      <c r="J2419" s="1">
        <v>43344</v>
      </c>
      <c r="K2419" t="s">
        <v>345</v>
      </c>
      <c r="L2419" t="s">
        <v>346</v>
      </c>
      <c r="M2419" t="s">
        <v>131</v>
      </c>
      <c r="N2419">
        <v>20</v>
      </c>
      <c r="O2419" s="1">
        <v>43344</v>
      </c>
      <c r="P2419" t="s">
        <v>41</v>
      </c>
      <c r="Q2419" t="s">
        <v>42</v>
      </c>
      <c r="R2419" t="str">
        <f>"0561006"</f>
        <v>0561006</v>
      </c>
      <c r="S2419" t="s">
        <v>360</v>
      </c>
      <c r="T2419" t="s">
        <v>345</v>
      </c>
      <c r="U2419" t="s">
        <v>346</v>
      </c>
      <c r="V2419" t="s">
        <v>131</v>
      </c>
      <c r="W2419" t="s">
        <v>51</v>
      </c>
      <c r="X2419" t="s">
        <v>45</v>
      </c>
      <c r="Y2419" s="1">
        <v>26282</v>
      </c>
      <c r="Z2419">
        <v>2</v>
      </c>
      <c r="AA2419" t="s">
        <v>346</v>
      </c>
      <c r="AB2419" s="40" t="s">
        <v>1798</v>
      </c>
    </row>
    <row r="2420" spans="1:29" x14ac:dyDescent="0.25">
      <c r="A2420">
        <v>99912419</v>
      </c>
      <c r="B2420" t="s">
        <v>32</v>
      </c>
      <c r="C2420" t="s">
        <v>64</v>
      </c>
      <c r="D2420" t="s">
        <v>65</v>
      </c>
      <c r="G2420" t="s">
        <v>35</v>
      </c>
      <c r="H2420">
        <v>1</v>
      </c>
      <c r="I2420" t="s">
        <v>673</v>
      </c>
      <c r="J2420" s="1">
        <v>43344</v>
      </c>
      <c r="K2420" t="s">
        <v>268</v>
      </c>
      <c r="L2420" t="s">
        <v>269</v>
      </c>
      <c r="M2420" t="s">
        <v>131</v>
      </c>
      <c r="N2420">
        <v>20</v>
      </c>
      <c r="O2420" s="1">
        <v>43344</v>
      </c>
      <c r="P2420" t="s">
        <v>41</v>
      </c>
      <c r="Q2420" t="s">
        <v>75</v>
      </c>
      <c r="R2420" t="str">
        <f>"7052020"</f>
        <v>7052020</v>
      </c>
      <c r="S2420" t="s">
        <v>267</v>
      </c>
      <c r="T2420" t="s">
        <v>268</v>
      </c>
      <c r="U2420" t="s">
        <v>269</v>
      </c>
      <c r="V2420" t="s">
        <v>131</v>
      </c>
      <c r="W2420" t="s">
        <v>51</v>
      </c>
      <c r="X2420" t="s">
        <v>45</v>
      </c>
      <c r="Y2420" s="1">
        <v>26281</v>
      </c>
      <c r="Z2420">
        <v>1</v>
      </c>
      <c r="AA2420" t="s">
        <v>269</v>
      </c>
      <c r="AB2420" s="40" t="s">
        <v>1798</v>
      </c>
    </row>
    <row r="2421" spans="1:29" x14ac:dyDescent="0.25">
      <c r="A2421">
        <v>99912420</v>
      </c>
      <c r="B2421" t="s">
        <v>56</v>
      </c>
      <c r="C2421" t="s">
        <v>52</v>
      </c>
      <c r="D2421" t="s">
        <v>53</v>
      </c>
      <c r="G2421" t="s">
        <v>48</v>
      </c>
      <c r="H2421">
        <v>1</v>
      </c>
      <c r="K2421" t="s">
        <v>157</v>
      </c>
      <c r="L2421" t="s">
        <v>158</v>
      </c>
      <c r="M2421" t="s">
        <v>131</v>
      </c>
      <c r="N2421">
        <v>20</v>
      </c>
      <c r="P2421" t="s">
        <v>41</v>
      </c>
      <c r="Q2421" t="s">
        <v>42</v>
      </c>
      <c r="R2421" t="str">
        <f>"0580725"</f>
        <v>0580725</v>
      </c>
      <c r="S2421" t="s">
        <v>167</v>
      </c>
      <c r="T2421" t="s">
        <v>157</v>
      </c>
      <c r="U2421" t="s">
        <v>158</v>
      </c>
      <c r="V2421" t="s">
        <v>131</v>
      </c>
      <c r="W2421" t="s">
        <v>51</v>
      </c>
      <c r="X2421" t="s">
        <v>45</v>
      </c>
      <c r="Y2421" s="1">
        <v>26268</v>
      </c>
      <c r="Z2421">
        <v>2</v>
      </c>
      <c r="AA2421" t="s">
        <v>158</v>
      </c>
      <c r="AB2421" s="40" t="s">
        <v>1798</v>
      </c>
    </row>
    <row r="2422" spans="1:29" x14ac:dyDescent="0.25">
      <c r="A2422">
        <v>99912421</v>
      </c>
      <c r="B2422" t="s">
        <v>32</v>
      </c>
      <c r="C2422" t="s">
        <v>139</v>
      </c>
      <c r="D2422" t="s">
        <v>140</v>
      </c>
      <c r="G2422" t="s">
        <v>48</v>
      </c>
      <c r="H2422">
        <v>1</v>
      </c>
      <c r="K2422" t="s">
        <v>223</v>
      </c>
      <c r="L2422" t="s">
        <v>224</v>
      </c>
      <c r="M2422" t="s">
        <v>131</v>
      </c>
      <c r="N2422">
        <v>20</v>
      </c>
      <c r="P2422" t="s">
        <v>41</v>
      </c>
      <c r="Q2422" t="s">
        <v>49</v>
      </c>
      <c r="R2422" t="str">
        <f>"0581206"</f>
        <v>0581206</v>
      </c>
      <c r="S2422" t="s">
        <v>232</v>
      </c>
      <c r="T2422" t="s">
        <v>223</v>
      </c>
      <c r="U2422" t="s">
        <v>224</v>
      </c>
      <c r="V2422" t="s">
        <v>131</v>
      </c>
      <c r="W2422" t="s">
        <v>51</v>
      </c>
      <c r="X2422" t="s">
        <v>45</v>
      </c>
      <c r="Y2422" s="1">
        <v>26268</v>
      </c>
      <c r="Z2422">
        <v>2</v>
      </c>
      <c r="AA2422" t="s">
        <v>224</v>
      </c>
      <c r="AB2422" s="40" t="s">
        <v>1798</v>
      </c>
    </row>
    <row r="2423" spans="1:29" x14ac:dyDescent="0.25">
      <c r="A2423">
        <v>99912422</v>
      </c>
      <c r="B2423" t="s">
        <v>32</v>
      </c>
      <c r="C2423" t="s">
        <v>46</v>
      </c>
      <c r="D2423" t="s">
        <v>47</v>
      </c>
      <c r="G2423" t="s">
        <v>48</v>
      </c>
      <c r="H2423">
        <v>1</v>
      </c>
      <c r="K2423" t="s">
        <v>223</v>
      </c>
      <c r="L2423" t="s">
        <v>224</v>
      </c>
      <c r="M2423" t="s">
        <v>131</v>
      </c>
      <c r="N2423">
        <v>20</v>
      </c>
      <c r="P2423" t="s">
        <v>41</v>
      </c>
      <c r="Q2423" t="s">
        <v>42</v>
      </c>
      <c r="R2423" t="str">
        <f>"0580203"</f>
        <v>0580203</v>
      </c>
      <c r="S2423" t="s">
        <v>239</v>
      </c>
      <c r="T2423" t="s">
        <v>223</v>
      </c>
      <c r="U2423" t="s">
        <v>224</v>
      </c>
      <c r="V2423" t="s">
        <v>131</v>
      </c>
      <c r="W2423" t="s">
        <v>165</v>
      </c>
      <c r="X2423" t="s">
        <v>45</v>
      </c>
      <c r="Y2423" s="1">
        <v>26257</v>
      </c>
      <c r="Z2423">
        <v>2</v>
      </c>
      <c r="AA2423" t="s">
        <v>224</v>
      </c>
      <c r="AB2423" s="40" t="s">
        <v>1798</v>
      </c>
    </row>
    <row r="2424" spans="1:29" x14ac:dyDescent="0.25">
      <c r="A2424">
        <v>99912423</v>
      </c>
      <c r="B2424" t="s">
        <v>32</v>
      </c>
      <c r="C2424" t="s">
        <v>82</v>
      </c>
      <c r="D2424" t="s">
        <v>83</v>
      </c>
      <c r="E2424" t="s">
        <v>145</v>
      </c>
      <c r="F2424" t="s">
        <v>146</v>
      </c>
      <c r="G2424" t="s">
        <v>48</v>
      </c>
      <c r="H2424">
        <v>1</v>
      </c>
      <c r="K2424" t="s">
        <v>1268</v>
      </c>
      <c r="L2424" t="s">
        <v>1269</v>
      </c>
      <c r="M2424" t="s">
        <v>1270</v>
      </c>
      <c r="N2424">
        <v>20</v>
      </c>
      <c r="P2424" t="s">
        <v>41</v>
      </c>
      <c r="Q2424" t="s">
        <v>42</v>
      </c>
      <c r="R2424" t="str">
        <f>"1990911"</f>
        <v>1990911</v>
      </c>
      <c r="S2424" t="s">
        <v>1276</v>
      </c>
      <c r="T2424" t="s">
        <v>1268</v>
      </c>
      <c r="U2424" t="s">
        <v>1269</v>
      </c>
      <c r="V2424" t="s">
        <v>1270</v>
      </c>
      <c r="W2424" t="s">
        <v>51</v>
      </c>
      <c r="X2424" t="s">
        <v>45</v>
      </c>
      <c r="Y2424" s="1">
        <v>26253</v>
      </c>
      <c r="Z2424">
        <v>2</v>
      </c>
      <c r="AA2424" t="s">
        <v>1269</v>
      </c>
      <c r="AB2424" s="40" t="s">
        <v>1798</v>
      </c>
    </row>
    <row r="2425" spans="1:29" x14ac:dyDescent="0.25">
      <c r="A2425">
        <v>99912424</v>
      </c>
      <c r="B2425" t="s">
        <v>32</v>
      </c>
      <c r="C2425" t="s">
        <v>64</v>
      </c>
      <c r="D2425" t="s">
        <v>65</v>
      </c>
      <c r="G2425" t="s">
        <v>48</v>
      </c>
      <c r="H2425">
        <v>1</v>
      </c>
      <c r="K2425" t="s">
        <v>345</v>
      </c>
      <c r="L2425" t="s">
        <v>346</v>
      </c>
      <c r="M2425" t="s">
        <v>131</v>
      </c>
      <c r="N2425">
        <v>20</v>
      </c>
      <c r="P2425" t="s">
        <v>41</v>
      </c>
      <c r="Q2425" t="s">
        <v>49</v>
      </c>
      <c r="R2425" t="str">
        <f>"0591906"</f>
        <v>0591906</v>
      </c>
      <c r="S2425" t="s">
        <v>350</v>
      </c>
      <c r="T2425" t="s">
        <v>345</v>
      </c>
      <c r="U2425" t="s">
        <v>346</v>
      </c>
      <c r="V2425" t="s">
        <v>131</v>
      </c>
      <c r="W2425" t="s">
        <v>51</v>
      </c>
      <c r="X2425" t="s">
        <v>45</v>
      </c>
      <c r="Y2425" s="1">
        <v>26216</v>
      </c>
      <c r="Z2425">
        <v>2</v>
      </c>
      <c r="AA2425" t="s">
        <v>346</v>
      </c>
      <c r="AB2425" s="40" t="s">
        <v>1798</v>
      </c>
    </row>
    <row r="2426" spans="1:29" x14ac:dyDescent="0.25">
      <c r="A2426">
        <v>99912425</v>
      </c>
      <c r="B2426" t="s">
        <v>32</v>
      </c>
      <c r="C2426" t="s">
        <v>46</v>
      </c>
      <c r="D2426" t="s">
        <v>47</v>
      </c>
      <c r="G2426" t="s">
        <v>35</v>
      </c>
      <c r="H2426">
        <v>1</v>
      </c>
      <c r="K2426" t="s">
        <v>162</v>
      </c>
      <c r="L2426" t="s">
        <v>158</v>
      </c>
      <c r="M2426" t="s">
        <v>131</v>
      </c>
      <c r="N2426">
        <v>20</v>
      </c>
      <c r="P2426" t="s">
        <v>41</v>
      </c>
      <c r="Q2426" t="s">
        <v>49</v>
      </c>
      <c r="R2426" t="str">
        <f>"0581325"</f>
        <v>0581325</v>
      </c>
      <c r="S2426" t="s">
        <v>169</v>
      </c>
      <c r="T2426" t="s">
        <v>162</v>
      </c>
      <c r="U2426" t="s">
        <v>158</v>
      </c>
      <c r="V2426" t="s">
        <v>131</v>
      </c>
      <c r="W2426" t="s">
        <v>51</v>
      </c>
      <c r="X2426" t="s">
        <v>45</v>
      </c>
      <c r="Y2426" s="1">
        <v>26212</v>
      </c>
      <c r="Z2426">
        <v>2</v>
      </c>
      <c r="AA2426" t="s">
        <v>158</v>
      </c>
      <c r="AB2426" s="40" t="s">
        <v>1798</v>
      </c>
    </row>
    <row r="2427" spans="1:29" x14ac:dyDescent="0.25">
      <c r="A2427">
        <v>99912426</v>
      </c>
      <c r="B2427" t="s">
        <v>32</v>
      </c>
      <c r="C2427" t="s">
        <v>64</v>
      </c>
      <c r="D2427" t="s">
        <v>65</v>
      </c>
      <c r="G2427" t="s">
        <v>48</v>
      </c>
      <c r="H2427">
        <v>1</v>
      </c>
      <c r="K2427" t="s">
        <v>345</v>
      </c>
      <c r="L2427" t="s">
        <v>346</v>
      </c>
      <c r="M2427" t="s">
        <v>131</v>
      </c>
      <c r="N2427">
        <v>20</v>
      </c>
      <c r="P2427" t="s">
        <v>41</v>
      </c>
      <c r="Q2427" t="s">
        <v>49</v>
      </c>
      <c r="R2427" t="str">
        <f>"0591906"</f>
        <v>0591906</v>
      </c>
      <c r="S2427" t="s">
        <v>350</v>
      </c>
      <c r="T2427" t="s">
        <v>345</v>
      </c>
      <c r="U2427" t="s">
        <v>346</v>
      </c>
      <c r="V2427" t="s">
        <v>131</v>
      </c>
      <c r="W2427" t="s">
        <v>51</v>
      </c>
      <c r="X2427" t="s">
        <v>45</v>
      </c>
      <c r="Y2427" s="1">
        <v>26209</v>
      </c>
      <c r="Z2427">
        <v>2</v>
      </c>
      <c r="AA2427" t="s">
        <v>346</v>
      </c>
      <c r="AB2427" s="40" t="s">
        <v>1798</v>
      </c>
    </row>
    <row r="2428" spans="1:29" x14ac:dyDescent="0.25">
      <c r="A2428">
        <v>99912427</v>
      </c>
      <c r="B2428" t="s">
        <v>32</v>
      </c>
      <c r="C2428" t="s">
        <v>46</v>
      </c>
      <c r="D2428" t="s">
        <v>47</v>
      </c>
      <c r="G2428" t="s">
        <v>48</v>
      </c>
      <c r="H2428">
        <v>1</v>
      </c>
      <c r="K2428" t="s">
        <v>223</v>
      </c>
      <c r="L2428" t="s">
        <v>224</v>
      </c>
      <c r="M2428" t="s">
        <v>131</v>
      </c>
      <c r="N2428">
        <v>20</v>
      </c>
      <c r="P2428" t="s">
        <v>41</v>
      </c>
      <c r="Q2428" t="s">
        <v>49</v>
      </c>
      <c r="R2428" t="str">
        <f>"0581202"</f>
        <v>0581202</v>
      </c>
      <c r="S2428" t="s">
        <v>248</v>
      </c>
      <c r="T2428" t="s">
        <v>223</v>
      </c>
      <c r="U2428" t="s">
        <v>224</v>
      </c>
      <c r="V2428" t="s">
        <v>131</v>
      </c>
      <c r="W2428" t="s">
        <v>165</v>
      </c>
      <c r="X2428" t="s">
        <v>45</v>
      </c>
      <c r="Y2428" s="1">
        <v>26199</v>
      </c>
      <c r="Z2428">
        <v>2</v>
      </c>
      <c r="AA2428" t="s">
        <v>224</v>
      </c>
      <c r="AB2428" s="40" t="s">
        <v>1798</v>
      </c>
      <c r="AC2428" s="36"/>
    </row>
    <row r="2429" spans="1:29" x14ac:dyDescent="0.25">
      <c r="A2429">
        <v>99912428</v>
      </c>
      <c r="B2429" t="s">
        <v>56</v>
      </c>
      <c r="C2429" t="s">
        <v>52</v>
      </c>
      <c r="D2429" t="s">
        <v>53</v>
      </c>
      <c r="G2429" t="s">
        <v>48</v>
      </c>
      <c r="H2429">
        <v>1</v>
      </c>
      <c r="K2429" t="s">
        <v>223</v>
      </c>
      <c r="L2429" t="s">
        <v>224</v>
      </c>
      <c r="M2429" t="s">
        <v>131</v>
      </c>
      <c r="N2429">
        <v>20</v>
      </c>
      <c r="P2429" t="s">
        <v>41</v>
      </c>
      <c r="Q2429" t="s">
        <v>42</v>
      </c>
      <c r="R2429" t="str">
        <f>"0580265"</f>
        <v>0580265</v>
      </c>
      <c r="S2429" t="s">
        <v>231</v>
      </c>
      <c r="T2429" t="s">
        <v>223</v>
      </c>
      <c r="U2429" t="s">
        <v>224</v>
      </c>
      <c r="V2429" t="s">
        <v>131</v>
      </c>
      <c r="W2429" t="s">
        <v>51</v>
      </c>
      <c r="X2429" t="s">
        <v>45</v>
      </c>
      <c r="Y2429" s="1">
        <v>26177</v>
      </c>
      <c r="Z2429">
        <v>2</v>
      </c>
      <c r="AA2429" t="s">
        <v>224</v>
      </c>
      <c r="AB2429" s="40" t="s">
        <v>1798</v>
      </c>
    </row>
    <row r="2430" spans="1:29" x14ac:dyDescent="0.25">
      <c r="A2430">
        <v>99912429</v>
      </c>
      <c r="B2430" t="s">
        <v>56</v>
      </c>
      <c r="C2430" t="s">
        <v>68</v>
      </c>
      <c r="D2430" t="s">
        <v>69</v>
      </c>
      <c r="G2430" t="s">
        <v>48</v>
      </c>
      <c r="H2430">
        <v>1</v>
      </c>
      <c r="K2430" t="s">
        <v>223</v>
      </c>
      <c r="L2430" t="s">
        <v>224</v>
      </c>
      <c r="M2430" t="s">
        <v>131</v>
      </c>
      <c r="N2430">
        <v>20</v>
      </c>
      <c r="P2430" t="s">
        <v>41</v>
      </c>
      <c r="Q2430" t="s">
        <v>42</v>
      </c>
      <c r="R2430" t="str">
        <f>"0580202"</f>
        <v>0580202</v>
      </c>
      <c r="S2430" t="s">
        <v>240</v>
      </c>
      <c r="T2430" t="s">
        <v>223</v>
      </c>
      <c r="U2430" t="s">
        <v>224</v>
      </c>
      <c r="V2430" t="s">
        <v>131</v>
      </c>
      <c r="W2430" t="s">
        <v>51</v>
      </c>
      <c r="X2430" t="s">
        <v>45</v>
      </c>
      <c r="Y2430" s="1">
        <v>26170</v>
      </c>
      <c r="Z2430">
        <v>2</v>
      </c>
      <c r="AA2430" t="s">
        <v>224</v>
      </c>
      <c r="AB2430" s="40" t="s">
        <v>1798</v>
      </c>
    </row>
    <row r="2431" spans="1:29" x14ac:dyDescent="0.25">
      <c r="A2431">
        <v>99912430</v>
      </c>
      <c r="B2431" t="s">
        <v>32</v>
      </c>
      <c r="C2431" t="s">
        <v>139</v>
      </c>
      <c r="D2431" t="s">
        <v>140</v>
      </c>
      <c r="G2431" t="s">
        <v>48</v>
      </c>
      <c r="H2431">
        <v>1</v>
      </c>
      <c r="K2431" t="s">
        <v>345</v>
      </c>
      <c r="L2431" t="s">
        <v>346</v>
      </c>
      <c r="M2431" t="s">
        <v>131</v>
      </c>
      <c r="N2431">
        <v>20</v>
      </c>
      <c r="P2431" t="s">
        <v>41</v>
      </c>
      <c r="Q2431" t="s">
        <v>42</v>
      </c>
      <c r="R2431" t="str">
        <f>"0590906"</f>
        <v>0590906</v>
      </c>
      <c r="S2431" t="s">
        <v>361</v>
      </c>
      <c r="T2431" t="s">
        <v>345</v>
      </c>
      <c r="U2431" t="s">
        <v>346</v>
      </c>
      <c r="V2431" t="s">
        <v>131</v>
      </c>
      <c r="W2431" t="s">
        <v>51</v>
      </c>
      <c r="X2431" t="s">
        <v>45</v>
      </c>
      <c r="Y2431" s="1">
        <v>26164</v>
      </c>
      <c r="Z2431">
        <v>2</v>
      </c>
      <c r="AA2431" t="s">
        <v>346</v>
      </c>
      <c r="AB2431" s="40" t="s">
        <v>1798</v>
      </c>
    </row>
    <row r="2432" spans="1:29" x14ac:dyDescent="0.25">
      <c r="A2432">
        <v>99912431</v>
      </c>
      <c r="B2432" t="s">
        <v>32</v>
      </c>
      <c r="C2432" t="s">
        <v>33</v>
      </c>
      <c r="D2432" t="s">
        <v>34</v>
      </c>
      <c r="G2432" t="s">
        <v>35</v>
      </c>
      <c r="H2432">
        <v>1</v>
      </c>
      <c r="I2432">
        <v>6726</v>
      </c>
      <c r="J2432" s="1">
        <v>43344</v>
      </c>
      <c r="K2432" t="s">
        <v>1306</v>
      </c>
      <c r="L2432" t="s">
        <v>1307</v>
      </c>
      <c r="M2432" t="s">
        <v>1270</v>
      </c>
      <c r="N2432">
        <v>20</v>
      </c>
      <c r="O2432" s="1">
        <v>43344</v>
      </c>
      <c r="P2432" t="s">
        <v>41</v>
      </c>
      <c r="Q2432" t="s">
        <v>42</v>
      </c>
      <c r="R2432" t="str">
        <f>"1990915"</f>
        <v>1990915</v>
      </c>
      <c r="S2432" t="s">
        <v>1308</v>
      </c>
      <c r="T2432" t="s">
        <v>1306</v>
      </c>
      <c r="U2432" t="s">
        <v>1307</v>
      </c>
      <c r="V2432" t="s">
        <v>1270</v>
      </c>
      <c r="W2432" t="s">
        <v>51</v>
      </c>
      <c r="X2432" t="s">
        <v>45</v>
      </c>
      <c r="Y2432" s="1">
        <v>26145</v>
      </c>
      <c r="Z2432">
        <v>2</v>
      </c>
      <c r="AA2432" t="s">
        <v>1307</v>
      </c>
      <c r="AB2432" s="40" t="s">
        <v>1798</v>
      </c>
    </row>
    <row r="2433" spans="1:28" x14ac:dyDescent="0.25">
      <c r="A2433">
        <v>99912432</v>
      </c>
      <c r="B2433" t="s">
        <v>56</v>
      </c>
      <c r="C2433" t="s">
        <v>46</v>
      </c>
      <c r="D2433" t="s">
        <v>47</v>
      </c>
      <c r="G2433" t="s">
        <v>48</v>
      </c>
      <c r="H2433">
        <v>1</v>
      </c>
      <c r="K2433" t="s">
        <v>380</v>
      </c>
      <c r="L2433" t="s">
        <v>381</v>
      </c>
      <c r="M2433" t="s">
        <v>131</v>
      </c>
      <c r="N2433">
        <v>20</v>
      </c>
      <c r="P2433" t="s">
        <v>41</v>
      </c>
      <c r="Q2433" t="s">
        <v>42</v>
      </c>
      <c r="R2433" t="str">
        <f>"0590909"</f>
        <v>0590909</v>
      </c>
      <c r="S2433" t="s">
        <v>388</v>
      </c>
      <c r="T2433" t="s">
        <v>380</v>
      </c>
      <c r="U2433" t="s">
        <v>381</v>
      </c>
      <c r="V2433" t="s">
        <v>131</v>
      </c>
      <c r="W2433" t="s">
        <v>51</v>
      </c>
      <c r="X2433" t="s">
        <v>45</v>
      </c>
      <c r="Y2433" s="1">
        <v>26127</v>
      </c>
      <c r="Z2433">
        <v>2</v>
      </c>
      <c r="AA2433" t="s">
        <v>381</v>
      </c>
      <c r="AB2433" s="40" t="s">
        <v>1798</v>
      </c>
    </row>
    <row r="2434" spans="1:28" x14ac:dyDescent="0.25">
      <c r="A2434">
        <v>99912433</v>
      </c>
      <c r="B2434" t="s">
        <v>32</v>
      </c>
      <c r="C2434" t="s">
        <v>64</v>
      </c>
      <c r="D2434" t="s">
        <v>65</v>
      </c>
      <c r="G2434" t="s">
        <v>48</v>
      </c>
      <c r="H2434">
        <v>1</v>
      </c>
      <c r="K2434" t="s">
        <v>223</v>
      </c>
      <c r="L2434" t="s">
        <v>224</v>
      </c>
      <c r="M2434" t="s">
        <v>131</v>
      </c>
      <c r="N2434">
        <v>20</v>
      </c>
      <c r="P2434" t="s">
        <v>41</v>
      </c>
      <c r="Q2434" t="s">
        <v>49</v>
      </c>
      <c r="R2434" t="str">
        <f>"0581206"</f>
        <v>0581206</v>
      </c>
      <c r="S2434" t="s">
        <v>232</v>
      </c>
      <c r="T2434" t="s">
        <v>223</v>
      </c>
      <c r="U2434" t="s">
        <v>224</v>
      </c>
      <c r="V2434" t="s">
        <v>131</v>
      </c>
      <c r="W2434" t="s">
        <v>51</v>
      </c>
      <c r="X2434" t="s">
        <v>45</v>
      </c>
      <c r="Y2434" s="1">
        <v>26115</v>
      </c>
      <c r="Z2434">
        <v>2</v>
      </c>
      <c r="AA2434" t="s">
        <v>224</v>
      </c>
      <c r="AB2434" s="40" t="s">
        <v>1798</v>
      </c>
    </row>
    <row r="2435" spans="1:28" x14ac:dyDescent="0.25">
      <c r="A2435">
        <v>99912434</v>
      </c>
      <c r="B2435" t="s">
        <v>56</v>
      </c>
      <c r="C2435" t="s">
        <v>46</v>
      </c>
      <c r="D2435" t="s">
        <v>47</v>
      </c>
      <c r="G2435" t="s">
        <v>48</v>
      </c>
      <c r="H2435">
        <v>1</v>
      </c>
      <c r="K2435" t="s">
        <v>223</v>
      </c>
      <c r="L2435" t="s">
        <v>224</v>
      </c>
      <c r="M2435" t="s">
        <v>131</v>
      </c>
      <c r="N2435">
        <v>20</v>
      </c>
      <c r="P2435" t="s">
        <v>41</v>
      </c>
      <c r="Q2435" t="s">
        <v>42</v>
      </c>
      <c r="R2435" t="str">
        <f>"0580207"</f>
        <v>0580207</v>
      </c>
      <c r="S2435" t="s">
        <v>229</v>
      </c>
      <c r="T2435" t="s">
        <v>223</v>
      </c>
      <c r="U2435" t="s">
        <v>224</v>
      </c>
      <c r="V2435" t="s">
        <v>131</v>
      </c>
      <c r="W2435" t="s">
        <v>51</v>
      </c>
      <c r="X2435" t="s">
        <v>45</v>
      </c>
      <c r="Y2435" s="1">
        <v>26111</v>
      </c>
      <c r="Z2435">
        <v>2</v>
      </c>
      <c r="AA2435" t="s">
        <v>224</v>
      </c>
      <c r="AB2435" s="40" t="s">
        <v>1798</v>
      </c>
    </row>
    <row r="2436" spans="1:28" x14ac:dyDescent="0.25">
      <c r="A2436">
        <v>99912435</v>
      </c>
      <c r="B2436" t="s">
        <v>32</v>
      </c>
      <c r="C2436" t="s">
        <v>46</v>
      </c>
      <c r="D2436" t="s">
        <v>47</v>
      </c>
      <c r="G2436" t="s">
        <v>48</v>
      </c>
      <c r="H2436">
        <v>1</v>
      </c>
      <c r="K2436" t="s">
        <v>223</v>
      </c>
      <c r="L2436" t="s">
        <v>224</v>
      </c>
      <c r="M2436" t="s">
        <v>131</v>
      </c>
      <c r="N2436">
        <v>20</v>
      </c>
      <c r="P2436" t="s">
        <v>41</v>
      </c>
      <c r="Q2436" t="s">
        <v>49</v>
      </c>
      <c r="R2436" t="str">
        <f>"0581202"</f>
        <v>0581202</v>
      </c>
      <c r="S2436" t="s">
        <v>248</v>
      </c>
      <c r="T2436" t="s">
        <v>223</v>
      </c>
      <c r="U2436" t="s">
        <v>224</v>
      </c>
      <c r="V2436" t="s">
        <v>131</v>
      </c>
      <c r="W2436" t="s">
        <v>165</v>
      </c>
      <c r="X2436" t="s">
        <v>45</v>
      </c>
      <c r="Y2436" s="1">
        <v>26103</v>
      </c>
      <c r="Z2436">
        <v>2</v>
      </c>
      <c r="AA2436" t="s">
        <v>224</v>
      </c>
      <c r="AB2436" s="40" t="s">
        <v>1798</v>
      </c>
    </row>
    <row r="2437" spans="1:28" x14ac:dyDescent="0.25">
      <c r="A2437">
        <v>99912436</v>
      </c>
      <c r="B2437" t="s">
        <v>56</v>
      </c>
      <c r="C2437" t="s">
        <v>85</v>
      </c>
      <c r="D2437" t="s">
        <v>86</v>
      </c>
      <c r="E2437" t="s">
        <v>33</v>
      </c>
      <c r="F2437" t="s">
        <v>34</v>
      </c>
      <c r="G2437" t="s">
        <v>48</v>
      </c>
      <c r="H2437">
        <v>1</v>
      </c>
      <c r="K2437" t="s">
        <v>1268</v>
      </c>
      <c r="L2437" t="s">
        <v>1269</v>
      </c>
      <c r="M2437" t="s">
        <v>1270</v>
      </c>
      <c r="N2437">
        <v>20</v>
      </c>
      <c r="P2437" t="s">
        <v>41</v>
      </c>
      <c r="Q2437" t="s">
        <v>42</v>
      </c>
      <c r="R2437" t="str">
        <f>"1990910"</f>
        <v>1990910</v>
      </c>
      <c r="S2437" t="s">
        <v>1281</v>
      </c>
      <c r="T2437" t="s">
        <v>1268</v>
      </c>
      <c r="U2437" t="s">
        <v>1269</v>
      </c>
      <c r="V2437" t="s">
        <v>1270</v>
      </c>
      <c r="W2437" t="s">
        <v>165</v>
      </c>
      <c r="X2437" t="s">
        <v>45</v>
      </c>
      <c r="Y2437" s="1">
        <v>26098</v>
      </c>
      <c r="Z2437">
        <v>2</v>
      </c>
      <c r="AA2437" t="s">
        <v>1269</v>
      </c>
      <c r="AB2437" s="40" t="s">
        <v>1798</v>
      </c>
    </row>
    <row r="2438" spans="1:28" x14ac:dyDescent="0.25">
      <c r="A2438">
        <v>99912437</v>
      </c>
      <c r="B2438" t="s">
        <v>32</v>
      </c>
      <c r="C2438" t="s">
        <v>64</v>
      </c>
      <c r="D2438" t="s">
        <v>65</v>
      </c>
      <c r="G2438" t="s">
        <v>35</v>
      </c>
      <c r="H2438">
        <v>1</v>
      </c>
      <c r="I2438">
        <v>0</v>
      </c>
      <c r="J2438" s="1">
        <v>43344</v>
      </c>
      <c r="K2438" t="s">
        <v>223</v>
      </c>
      <c r="L2438" t="s">
        <v>224</v>
      </c>
      <c r="M2438" t="s">
        <v>131</v>
      </c>
      <c r="N2438">
        <v>20</v>
      </c>
      <c r="O2438" s="1">
        <v>43344</v>
      </c>
      <c r="P2438" t="s">
        <v>41</v>
      </c>
      <c r="Q2438" t="s">
        <v>49</v>
      </c>
      <c r="R2438" t="str">
        <f>"0581207"</f>
        <v>0581207</v>
      </c>
      <c r="S2438" t="s">
        <v>233</v>
      </c>
      <c r="T2438" t="s">
        <v>223</v>
      </c>
      <c r="U2438" t="s">
        <v>224</v>
      </c>
      <c r="V2438" t="s">
        <v>131</v>
      </c>
      <c r="W2438" t="s">
        <v>51</v>
      </c>
      <c r="X2438" t="s">
        <v>45</v>
      </c>
      <c r="Y2438" s="1">
        <v>26095</v>
      </c>
      <c r="Z2438">
        <v>2</v>
      </c>
      <c r="AA2438" t="s">
        <v>224</v>
      </c>
      <c r="AB2438" s="40" t="s">
        <v>1798</v>
      </c>
    </row>
    <row r="2439" spans="1:28" x14ac:dyDescent="0.25">
      <c r="A2439">
        <v>99912438</v>
      </c>
      <c r="B2439" t="s">
        <v>32</v>
      </c>
      <c r="C2439" t="s">
        <v>46</v>
      </c>
      <c r="D2439" t="s">
        <v>47</v>
      </c>
      <c r="G2439" t="s">
        <v>35</v>
      </c>
      <c r="H2439">
        <v>1</v>
      </c>
      <c r="K2439" t="s">
        <v>947</v>
      </c>
      <c r="L2439" t="s">
        <v>948</v>
      </c>
      <c r="M2439" t="s">
        <v>938</v>
      </c>
      <c r="N2439">
        <v>20</v>
      </c>
      <c r="P2439" t="s">
        <v>41</v>
      </c>
      <c r="Q2439" t="s">
        <v>42</v>
      </c>
      <c r="R2439" t="str">
        <f>"0680030"</f>
        <v>0680030</v>
      </c>
      <c r="S2439" t="s">
        <v>951</v>
      </c>
      <c r="T2439" t="s">
        <v>947</v>
      </c>
      <c r="U2439" t="s">
        <v>948</v>
      </c>
      <c r="V2439" t="s">
        <v>938</v>
      </c>
      <c r="W2439" t="s">
        <v>165</v>
      </c>
      <c r="X2439" t="s">
        <v>45</v>
      </c>
      <c r="Y2439" s="1">
        <v>26089</v>
      </c>
      <c r="Z2439">
        <v>2</v>
      </c>
      <c r="AA2439" t="s">
        <v>948</v>
      </c>
      <c r="AB2439" s="40" t="s">
        <v>1798</v>
      </c>
    </row>
    <row r="2440" spans="1:28" x14ac:dyDescent="0.25">
      <c r="A2440">
        <v>99912439</v>
      </c>
      <c r="B2440" t="s">
        <v>56</v>
      </c>
      <c r="C2440" t="s">
        <v>46</v>
      </c>
      <c r="D2440" t="s">
        <v>47</v>
      </c>
      <c r="G2440" t="s">
        <v>35</v>
      </c>
      <c r="H2440">
        <v>1</v>
      </c>
      <c r="K2440" t="s">
        <v>345</v>
      </c>
      <c r="L2440" t="s">
        <v>346</v>
      </c>
      <c r="M2440" t="s">
        <v>131</v>
      </c>
      <c r="N2440">
        <v>20</v>
      </c>
      <c r="P2440" t="s">
        <v>41</v>
      </c>
      <c r="Q2440" t="s">
        <v>42</v>
      </c>
      <c r="R2440" t="str">
        <f>"0561006"</f>
        <v>0561006</v>
      </c>
      <c r="S2440" t="s">
        <v>360</v>
      </c>
      <c r="T2440" t="s">
        <v>345</v>
      </c>
      <c r="U2440" t="s">
        <v>346</v>
      </c>
      <c r="V2440" t="s">
        <v>131</v>
      </c>
      <c r="W2440" t="s">
        <v>51</v>
      </c>
      <c r="X2440" t="s">
        <v>45</v>
      </c>
      <c r="Y2440" s="1">
        <v>26074</v>
      </c>
      <c r="Z2440">
        <v>2</v>
      </c>
      <c r="AA2440" t="s">
        <v>346</v>
      </c>
      <c r="AB2440" s="40" t="s">
        <v>1798</v>
      </c>
    </row>
    <row r="2441" spans="1:28" x14ac:dyDescent="0.25">
      <c r="A2441">
        <v>99912440</v>
      </c>
      <c r="B2441" t="s">
        <v>56</v>
      </c>
      <c r="C2441" t="s">
        <v>46</v>
      </c>
      <c r="D2441" t="s">
        <v>47</v>
      </c>
      <c r="G2441" t="s">
        <v>48</v>
      </c>
      <c r="H2441">
        <v>9</v>
      </c>
      <c r="K2441" t="s">
        <v>1268</v>
      </c>
      <c r="L2441" t="s">
        <v>1269</v>
      </c>
      <c r="M2441" t="s">
        <v>1270</v>
      </c>
      <c r="N2441">
        <v>20</v>
      </c>
      <c r="O2441" s="1">
        <v>43344</v>
      </c>
      <c r="P2441" t="s">
        <v>41</v>
      </c>
      <c r="Q2441" t="s">
        <v>42</v>
      </c>
      <c r="R2441" t="str">
        <f>"1980060"</f>
        <v>1980060</v>
      </c>
      <c r="S2441" t="s">
        <v>1277</v>
      </c>
      <c r="T2441" t="s">
        <v>1268</v>
      </c>
      <c r="U2441" t="s">
        <v>1269</v>
      </c>
      <c r="V2441" t="s">
        <v>1270</v>
      </c>
      <c r="W2441" t="s">
        <v>51</v>
      </c>
      <c r="X2441" t="s">
        <v>45</v>
      </c>
      <c r="Y2441" s="1">
        <v>26065</v>
      </c>
      <c r="Z2441">
        <v>2</v>
      </c>
      <c r="AA2441" t="s">
        <v>1269</v>
      </c>
      <c r="AB2441" s="40" t="s">
        <v>1798</v>
      </c>
    </row>
    <row r="2442" spans="1:28" x14ac:dyDescent="0.25">
      <c r="A2442">
        <v>99912441</v>
      </c>
      <c r="B2442" t="s">
        <v>56</v>
      </c>
      <c r="C2442" t="s">
        <v>259</v>
      </c>
      <c r="D2442" t="s">
        <v>260</v>
      </c>
      <c r="G2442" t="s">
        <v>48</v>
      </c>
      <c r="H2442">
        <v>1</v>
      </c>
      <c r="K2442" t="s">
        <v>223</v>
      </c>
      <c r="L2442" t="s">
        <v>224</v>
      </c>
      <c r="M2442" t="s">
        <v>131</v>
      </c>
      <c r="N2442">
        <v>20</v>
      </c>
      <c r="P2442" t="s">
        <v>41</v>
      </c>
      <c r="Q2442" t="s">
        <v>49</v>
      </c>
      <c r="R2442" t="str">
        <f>"0581206"</f>
        <v>0581206</v>
      </c>
      <c r="S2442" t="s">
        <v>232</v>
      </c>
      <c r="T2442" t="s">
        <v>223</v>
      </c>
      <c r="U2442" t="s">
        <v>224</v>
      </c>
      <c r="V2442" t="s">
        <v>131</v>
      </c>
      <c r="W2442" t="s">
        <v>51</v>
      </c>
      <c r="X2442" t="s">
        <v>45</v>
      </c>
      <c r="Y2442" s="1">
        <v>26058</v>
      </c>
      <c r="Z2442">
        <v>2</v>
      </c>
      <c r="AA2442" t="s">
        <v>224</v>
      </c>
      <c r="AB2442" s="40" t="s">
        <v>1798</v>
      </c>
    </row>
    <row r="2443" spans="1:28" x14ac:dyDescent="0.25">
      <c r="A2443">
        <v>99912442</v>
      </c>
      <c r="B2443" t="s">
        <v>32</v>
      </c>
      <c r="C2443" t="s">
        <v>82</v>
      </c>
      <c r="D2443" t="s">
        <v>83</v>
      </c>
      <c r="G2443" t="s">
        <v>48</v>
      </c>
      <c r="H2443">
        <v>1</v>
      </c>
      <c r="K2443" t="s">
        <v>345</v>
      </c>
      <c r="L2443" t="s">
        <v>346</v>
      </c>
      <c r="M2443" t="s">
        <v>131</v>
      </c>
      <c r="N2443">
        <v>20</v>
      </c>
      <c r="P2443" t="s">
        <v>41</v>
      </c>
      <c r="Q2443" t="s">
        <v>42</v>
      </c>
      <c r="R2443" t="str">
        <f>"0580650"</f>
        <v>0580650</v>
      </c>
      <c r="S2443" t="s">
        <v>356</v>
      </c>
      <c r="T2443" t="s">
        <v>345</v>
      </c>
      <c r="U2443" t="s">
        <v>346</v>
      </c>
      <c r="V2443" t="s">
        <v>131</v>
      </c>
      <c r="W2443" t="s">
        <v>51</v>
      </c>
      <c r="X2443" t="s">
        <v>45</v>
      </c>
      <c r="Y2443" s="1">
        <v>26058</v>
      </c>
      <c r="Z2443">
        <v>2</v>
      </c>
      <c r="AA2443" t="s">
        <v>346</v>
      </c>
      <c r="AB2443" s="40" t="s">
        <v>1798</v>
      </c>
    </row>
    <row r="2444" spans="1:28" x14ac:dyDescent="0.25">
      <c r="A2444">
        <v>99912443</v>
      </c>
      <c r="B2444" t="s">
        <v>56</v>
      </c>
      <c r="C2444" t="s">
        <v>52</v>
      </c>
      <c r="D2444" t="s">
        <v>53</v>
      </c>
      <c r="G2444" t="s">
        <v>35</v>
      </c>
      <c r="H2444">
        <v>1</v>
      </c>
      <c r="K2444" t="s">
        <v>1546</v>
      </c>
      <c r="L2444" t="s">
        <v>1547</v>
      </c>
      <c r="M2444" t="s">
        <v>1548</v>
      </c>
      <c r="N2444">
        <v>20</v>
      </c>
      <c r="P2444" t="s">
        <v>41</v>
      </c>
      <c r="Q2444" t="s">
        <v>42</v>
      </c>
      <c r="R2444" t="str">
        <f>"1080010"</f>
        <v>1080010</v>
      </c>
      <c r="S2444" t="s">
        <v>1549</v>
      </c>
      <c r="T2444" t="s">
        <v>1546</v>
      </c>
      <c r="U2444" t="s">
        <v>1547</v>
      </c>
      <c r="V2444" t="s">
        <v>1548</v>
      </c>
      <c r="W2444" t="s">
        <v>51</v>
      </c>
      <c r="X2444" t="s">
        <v>45</v>
      </c>
      <c r="Y2444" s="1">
        <v>26057</v>
      </c>
      <c r="Z2444">
        <v>2</v>
      </c>
      <c r="AA2444" t="s">
        <v>1547</v>
      </c>
      <c r="AB2444" s="40" t="s">
        <v>1798</v>
      </c>
    </row>
    <row r="2445" spans="1:28" x14ac:dyDescent="0.25">
      <c r="A2445">
        <v>99912444</v>
      </c>
      <c r="B2445" t="s">
        <v>32</v>
      </c>
      <c r="C2445" t="s">
        <v>46</v>
      </c>
      <c r="D2445" t="s">
        <v>47</v>
      </c>
      <c r="G2445" t="s">
        <v>35</v>
      </c>
      <c r="H2445">
        <v>1</v>
      </c>
      <c r="K2445" t="s">
        <v>223</v>
      </c>
      <c r="L2445" t="s">
        <v>224</v>
      </c>
      <c r="M2445" t="s">
        <v>131</v>
      </c>
      <c r="N2445">
        <v>20</v>
      </c>
      <c r="P2445" t="s">
        <v>41</v>
      </c>
      <c r="Q2445" t="s">
        <v>42</v>
      </c>
      <c r="R2445" t="str">
        <f>"0590901"</f>
        <v>0590901</v>
      </c>
      <c r="S2445" t="s">
        <v>242</v>
      </c>
      <c r="T2445" t="s">
        <v>223</v>
      </c>
      <c r="U2445" t="s">
        <v>224</v>
      </c>
      <c r="V2445" t="s">
        <v>131</v>
      </c>
      <c r="W2445" t="s">
        <v>51</v>
      </c>
      <c r="X2445" t="s">
        <v>45</v>
      </c>
      <c r="Y2445" s="1">
        <v>26055</v>
      </c>
      <c r="Z2445">
        <v>2</v>
      </c>
      <c r="AA2445" t="s">
        <v>224</v>
      </c>
      <c r="AB2445" s="40" t="s">
        <v>1798</v>
      </c>
    </row>
    <row r="2446" spans="1:28" x14ac:dyDescent="0.25">
      <c r="A2446">
        <v>99912445</v>
      </c>
      <c r="B2446" t="s">
        <v>32</v>
      </c>
      <c r="C2446" t="s">
        <v>64</v>
      </c>
      <c r="D2446" t="s">
        <v>65</v>
      </c>
      <c r="G2446" t="s">
        <v>48</v>
      </c>
      <c r="H2446">
        <v>1</v>
      </c>
      <c r="K2446" t="s">
        <v>223</v>
      </c>
      <c r="L2446" t="s">
        <v>224</v>
      </c>
      <c r="M2446" t="s">
        <v>131</v>
      </c>
      <c r="N2446">
        <v>20</v>
      </c>
      <c r="P2446" t="s">
        <v>41</v>
      </c>
      <c r="Q2446" t="s">
        <v>42</v>
      </c>
      <c r="R2446" t="str">
        <f>"0580202"</f>
        <v>0580202</v>
      </c>
      <c r="S2446" t="s">
        <v>240</v>
      </c>
      <c r="T2446" t="s">
        <v>223</v>
      </c>
      <c r="U2446" t="s">
        <v>224</v>
      </c>
      <c r="V2446" t="s">
        <v>131</v>
      </c>
      <c r="W2446" t="s">
        <v>165</v>
      </c>
      <c r="X2446" t="s">
        <v>45</v>
      </c>
      <c r="Y2446" s="1">
        <v>26049</v>
      </c>
      <c r="Z2446">
        <v>2</v>
      </c>
      <c r="AA2446" t="s">
        <v>224</v>
      </c>
      <c r="AB2446" s="40" t="s">
        <v>1798</v>
      </c>
    </row>
    <row r="2447" spans="1:28" x14ac:dyDescent="0.25">
      <c r="A2447">
        <v>99912446</v>
      </c>
      <c r="B2447" t="s">
        <v>56</v>
      </c>
      <c r="C2447" t="s">
        <v>68</v>
      </c>
      <c r="D2447" t="s">
        <v>69</v>
      </c>
      <c r="G2447" t="s">
        <v>48</v>
      </c>
      <c r="H2447">
        <v>1</v>
      </c>
      <c r="K2447" t="s">
        <v>129</v>
      </c>
      <c r="L2447" t="s">
        <v>130</v>
      </c>
      <c r="M2447" t="s">
        <v>131</v>
      </c>
      <c r="N2447">
        <v>20</v>
      </c>
      <c r="P2447" t="s">
        <v>41</v>
      </c>
      <c r="Q2447" t="s">
        <v>49</v>
      </c>
      <c r="R2447" t="str">
        <f>"0560024"</f>
        <v>0560024</v>
      </c>
      <c r="S2447" t="s">
        <v>138</v>
      </c>
      <c r="T2447" t="s">
        <v>129</v>
      </c>
      <c r="U2447" t="s">
        <v>130</v>
      </c>
      <c r="V2447" t="s">
        <v>131</v>
      </c>
      <c r="W2447" t="s">
        <v>51</v>
      </c>
      <c r="X2447" t="s">
        <v>45</v>
      </c>
      <c r="Y2447" s="1">
        <v>26042</v>
      </c>
      <c r="Z2447">
        <v>2</v>
      </c>
      <c r="AA2447" t="s">
        <v>130</v>
      </c>
      <c r="AB2447" s="40" t="s">
        <v>1798</v>
      </c>
    </row>
    <row r="2448" spans="1:28" x14ac:dyDescent="0.25">
      <c r="A2448">
        <v>99912447</v>
      </c>
      <c r="B2448" t="s">
        <v>56</v>
      </c>
      <c r="C2448" t="s">
        <v>68</v>
      </c>
      <c r="D2448" t="s">
        <v>69</v>
      </c>
      <c r="G2448" t="s">
        <v>48</v>
      </c>
      <c r="H2448">
        <v>1</v>
      </c>
      <c r="K2448" t="s">
        <v>1268</v>
      </c>
      <c r="L2448" t="s">
        <v>1269</v>
      </c>
      <c r="M2448" t="s">
        <v>1270</v>
      </c>
      <c r="N2448">
        <v>20</v>
      </c>
      <c r="P2448" t="s">
        <v>41</v>
      </c>
      <c r="Q2448" t="s">
        <v>42</v>
      </c>
      <c r="R2448" t="str">
        <f>"1990911"</f>
        <v>1990911</v>
      </c>
      <c r="S2448" t="s">
        <v>1276</v>
      </c>
      <c r="T2448" t="s">
        <v>1268</v>
      </c>
      <c r="U2448" t="s">
        <v>1269</v>
      </c>
      <c r="V2448" t="s">
        <v>1270</v>
      </c>
      <c r="W2448" t="s">
        <v>165</v>
      </c>
      <c r="X2448" t="s">
        <v>45</v>
      </c>
      <c r="Y2448" s="1">
        <v>26023</v>
      </c>
      <c r="Z2448">
        <v>2</v>
      </c>
      <c r="AA2448" t="s">
        <v>1269</v>
      </c>
      <c r="AB2448" s="40" t="s">
        <v>1798</v>
      </c>
    </row>
    <row r="2449" spans="1:29" x14ac:dyDescent="0.25">
      <c r="A2449">
        <v>99912448</v>
      </c>
      <c r="B2449" t="s">
        <v>32</v>
      </c>
      <c r="C2449" t="s">
        <v>82</v>
      </c>
      <c r="D2449" t="s">
        <v>83</v>
      </c>
      <c r="G2449" t="s">
        <v>48</v>
      </c>
      <c r="H2449">
        <v>1</v>
      </c>
      <c r="K2449" t="s">
        <v>223</v>
      </c>
      <c r="L2449" t="s">
        <v>224</v>
      </c>
      <c r="M2449" t="s">
        <v>131</v>
      </c>
      <c r="N2449">
        <v>20</v>
      </c>
      <c r="P2449" t="s">
        <v>41</v>
      </c>
      <c r="Q2449" t="s">
        <v>42</v>
      </c>
      <c r="R2449" t="str">
        <f>"0580202"</f>
        <v>0580202</v>
      </c>
      <c r="S2449" t="s">
        <v>240</v>
      </c>
      <c r="T2449" t="s">
        <v>223</v>
      </c>
      <c r="U2449" t="s">
        <v>224</v>
      </c>
      <c r="V2449" t="s">
        <v>131</v>
      </c>
      <c r="W2449" t="s">
        <v>51</v>
      </c>
      <c r="X2449" t="s">
        <v>45</v>
      </c>
      <c r="Y2449" s="1">
        <v>26016</v>
      </c>
      <c r="Z2449">
        <v>2</v>
      </c>
      <c r="AA2449" t="s">
        <v>224</v>
      </c>
      <c r="AB2449" s="40" t="s">
        <v>1798</v>
      </c>
    </row>
    <row r="2450" spans="1:29" x14ac:dyDescent="0.25">
      <c r="A2450">
        <v>99912449</v>
      </c>
      <c r="B2450" t="s">
        <v>32</v>
      </c>
      <c r="C2450" t="s">
        <v>79</v>
      </c>
      <c r="D2450" t="s">
        <v>80</v>
      </c>
      <c r="G2450" t="s">
        <v>48</v>
      </c>
      <c r="H2450">
        <v>1</v>
      </c>
      <c r="K2450" t="s">
        <v>268</v>
      </c>
      <c r="L2450" t="s">
        <v>269</v>
      </c>
      <c r="M2450" t="s">
        <v>131</v>
      </c>
      <c r="N2450">
        <v>20</v>
      </c>
      <c r="P2450" t="s">
        <v>41</v>
      </c>
      <c r="Q2450" t="s">
        <v>75</v>
      </c>
      <c r="R2450" t="str">
        <f>"7052008"</f>
        <v>7052008</v>
      </c>
      <c r="S2450" t="s">
        <v>274</v>
      </c>
      <c r="T2450" t="s">
        <v>268</v>
      </c>
      <c r="U2450" t="s">
        <v>269</v>
      </c>
      <c r="V2450" t="s">
        <v>131</v>
      </c>
      <c r="W2450" t="s">
        <v>51</v>
      </c>
      <c r="X2450" t="s">
        <v>45</v>
      </c>
      <c r="Y2450" s="1">
        <v>26012</v>
      </c>
      <c r="Z2450">
        <v>1</v>
      </c>
      <c r="AA2450" t="s">
        <v>269</v>
      </c>
      <c r="AB2450" s="40" t="s">
        <v>1798</v>
      </c>
    </row>
    <row r="2451" spans="1:29" x14ac:dyDescent="0.25">
      <c r="A2451">
        <v>99912450</v>
      </c>
      <c r="B2451" t="s">
        <v>56</v>
      </c>
      <c r="C2451" t="s">
        <v>52</v>
      </c>
      <c r="D2451" t="s">
        <v>53</v>
      </c>
      <c r="G2451" t="s">
        <v>48</v>
      </c>
      <c r="H2451">
        <v>1</v>
      </c>
      <c r="K2451" t="s">
        <v>380</v>
      </c>
      <c r="L2451" t="s">
        <v>381</v>
      </c>
      <c r="M2451" t="s">
        <v>131</v>
      </c>
      <c r="N2451">
        <v>20</v>
      </c>
      <c r="P2451" t="s">
        <v>41</v>
      </c>
      <c r="Q2451" t="s">
        <v>49</v>
      </c>
      <c r="R2451" t="str">
        <f>"0591908"</f>
        <v>0591908</v>
      </c>
      <c r="S2451" t="s">
        <v>383</v>
      </c>
      <c r="T2451" t="s">
        <v>380</v>
      </c>
      <c r="U2451" t="s">
        <v>381</v>
      </c>
      <c r="V2451" t="s">
        <v>131</v>
      </c>
      <c r="W2451" t="s">
        <v>51</v>
      </c>
      <c r="X2451" t="s">
        <v>45</v>
      </c>
      <c r="Y2451" s="1">
        <v>26003</v>
      </c>
      <c r="Z2451">
        <v>2</v>
      </c>
      <c r="AA2451" t="s">
        <v>381</v>
      </c>
      <c r="AB2451" s="40" t="s">
        <v>1798</v>
      </c>
    </row>
    <row r="2452" spans="1:29" x14ac:dyDescent="0.25">
      <c r="A2452">
        <v>99912451</v>
      </c>
      <c r="B2452" t="s">
        <v>56</v>
      </c>
      <c r="C2452" t="s">
        <v>46</v>
      </c>
      <c r="D2452" t="s">
        <v>47</v>
      </c>
      <c r="G2452" t="s">
        <v>48</v>
      </c>
      <c r="H2452">
        <v>1</v>
      </c>
      <c r="K2452" t="s">
        <v>223</v>
      </c>
      <c r="L2452" t="s">
        <v>224</v>
      </c>
      <c r="M2452" t="s">
        <v>131</v>
      </c>
      <c r="N2452">
        <v>20</v>
      </c>
      <c r="P2452" t="s">
        <v>41</v>
      </c>
      <c r="Q2452" t="s">
        <v>49</v>
      </c>
      <c r="R2452" t="str">
        <f>"0581206"</f>
        <v>0581206</v>
      </c>
      <c r="S2452" t="s">
        <v>232</v>
      </c>
      <c r="T2452" t="s">
        <v>223</v>
      </c>
      <c r="U2452" t="s">
        <v>224</v>
      </c>
      <c r="V2452" t="s">
        <v>131</v>
      </c>
      <c r="W2452" t="s">
        <v>51</v>
      </c>
      <c r="X2452" t="s">
        <v>45</v>
      </c>
      <c r="Y2452" s="1">
        <v>25976</v>
      </c>
      <c r="Z2452">
        <v>2</v>
      </c>
      <c r="AA2452" t="s">
        <v>224</v>
      </c>
      <c r="AB2452" s="40" t="s">
        <v>1798</v>
      </c>
    </row>
    <row r="2453" spans="1:29" x14ac:dyDescent="0.25">
      <c r="A2453">
        <v>99912452</v>
      </c>
      <c r="B2453" t="s">
        <v>32</v>
      </c>
      <c r="C2453" t="s">
        <v>139</v>
      </c>
      <c r="D2453" t="s">
        <v>140</v>
      </c>
      <c r="G2453" t="s">
        <v>35</v>
      </c>
      <c r="H2453">
        <v>1</v>
      </c>
      <c r="I2453">
        <v>0</v>
      </c>
      <c r="J2453" s="1">
        <v>43344</v>
      </c>
      <c r="K2453" t="s">
        <v>223</v>
      </c>
      <c r="L2453" t="s">
        <v>224</v>
      </c>
      <c r="M2453" t="s">
        <v>131</v>
      </c>
      <c r="N2453">
        <v>20</v>
      </c>
      <c r="O2453" s="1">
        <v>43344</v>
      </c>
      <c r="P2453" t="s">
        <v>41</v>
      </c>
      <c r="Q2453" t="s">
        <v>49</v>
      </c>
      <c r="R2453" t="str">
        <f>"0581204"</f>
        <v>0581204</v>
      </c>
      <c r="S2453" t="s">
        <v>249</v>
      </c>
      <c r="T2453" t="s">
        <v>223</v>
      </c>
      <c r="U2453" t="s">
        <v>224</v>
      </c>
      <c r="V2453" t="s">
        <v>131</v>
      </c>
      <c r="W2453" t="s">
        <v>44</v>
      </c>
      <c r="X2453" t="s">
        <v>45</v>
      </c>
      <c r="Y2453" s="1">
        <v>25974</v>
      </c>
      <c r="Z2453">
        <v>2</v>
      </c>
      <c r="AA2453" t="s">
        <v>224</v>
      </c>
      <c r="AB2453" s="40" t="s">
        <v>1798</v>
      </c>
    </row>
    <row r="2454" spans="1:29" x14ac:dyDescent="0.25">
      <c r="A2454">
        <v>99912453</v>
      </c>
      <c r="B2454" t="s">
        <v>56</v>
      </c>
      <c r="C2454" t="s">
        <v>85</v>
      </c>
      <c r="D2454" t="s">
        <v>86</v>
      </c>
      <c r="G2454" t="s">
        <v>48</v>
      </c>
      <c r="H2454">
        <v>1</v>
      </c>
      <c r="K2454" t="s">
        <v>380</v>
      </c>
      <c r="L2454" t="s">
        <v>381</v>
      </c>
      <c r="M2454" t="s">
        <v>131</v>
      </c>
      <c r="N2454">
        <v>20</v>
      </c>
      <c r="P2454" t="s">
        <v>41</v>
      </c>
      <c r="Q2454" t="s">
        <v>49</v>
      </c>
      <c r="R2454" t="str">
        <f>"0591908"</f>
        <v>0591908</v>
      </c>
      <c r="S2454" t="s">
        <v>383</v>
      </c>
      <c r="T2454" t="s">
        <v>380</v>
      </c>
      <c r="U2454" t="s">
        <v>381</v>
      </c>
      <c r="V2454" t="s">
        <v>131</v>
      </c>
      <c r="W2454" t="s">
        <v>51</v>
      </c>
      <c r="X2454" t="s">
        <v>45</v>
      </c>
      <c r="Y2454" s="1">
        <v>25974</v>
      </c>
      <c r="Z2454">
        <v>2</v>
      </c>
      <c r="AA2454" t="s">
        <v>381</v>
      </c>
      <c r="AB2454" s="40" t="s">
        <v>1798</v>
      </c>
    </row>
    <row r="2455" spans="1:29" x14ac:dyDescent="0.25">
      <c r="A2455">
        <v>99912454</v>
      </c>
      <c r="B2455" t="s">
        <v>56</v>
      </c>
      <c r="C2455" t="s">
        <v>46</v>
      </c>
      <c r="D2455" t="s">
        <v>47</v>
      </c>
      <c r="G2455" t="s">
        <v>48</v>
      </c>
      <c r="H2455">
        <v>1</v>
      </c>
      <c r="K2455" t="s">
        <v>1187</v>
      </c>
      <c r="L2455" t="s">
        <v>1188</v>
      </c>
      <c r="M2455" t="s">
        <v>1130</v>
      </c>
      <c r="N2455">
        <v>20</v>
      </c>
      <c r="P2455" t="s">
        <v>41</v>
      </c>
      <c r="Q2455" t="s">
        <v>49</v>
      </c>
      <c r="R2455" t="str">
        <f>"4581015"</f>
        <v>4581015</v>
      </c>
      <c r="S2455" t="s">
        <v>1190</v>
      </c>
      <c r="T2455" t="s">
        <v>1187</v>
      </c>
      <c r="U2455" t="s">
        <v>1188</v>
      </c>
      <c r="V2455" t="s">
        <v>1130</v>
      </c>
      <c r="W2455" t="s">
        <v>51</v>
      </c>
      <c r="X2455" t="s">
        <v>45</v>
      </c>
      <c r="Y2455" s="1">
        <v>25974</v>
      </c>
      <c r="Z2455">
        <v>2</v>
      </c>
      <c r="AA2455" t="s">
        <v>1188</v>
      </c>
      <c r="AB2455" s="40" t="s">
        <v>1798</v>
      </c>
    </row>
    <row r="2456" spans="1:29" x14ac:dyDescent="0.25">
      <c r="A2456">
        <v>99912455</v>
      </c>
      <c r="B2456" t="s">
        <v>32</v>
      </c>
      <c r="C2456" t="s">
        <v>46</v>
      </c>
      <c r="D2456" t="s">
        <v>47</v>
      </c>
      <c r="G2456" t="s">
        <v>48</v>
      </c>
      <c r="H2456">
        <v>1</v>
      </c>
      <c r="K2456" t="s">
        <v>345</v>
      </c>
      <c r="L2456" t="s">
        <v>346</v>
      </c>
      <c r="M2456" t="s">
        <v>131</v>
      </c>
      <c r="N2456">
        <v>20</v>
      </c>
      <c r="P2456" t="s">
        <v>41</v>
      </c>
      <c r="Q2456" t="s">
        <v>49</v>
      </c>
      <c r="R2456" t="str">
        <f>"0561021"</f>
        <v>0561021</v>
      </c>
      <c r="S2456" t="s">
        <v>352</v>
      </c>
      <c r="T2456" t="s">
        <v>345</v>
      </c>
      <c r="U2456" t="s">
        <v>346</v>
      </c>
      <c r="V2456" t="s">
        <v>131</v>
      </c>
      <c r="W2456" t="s">
        <v>51</v>
      </c>
      <c r="X2456" t="s">
        <v>45</v>
      </c>
      <c r="Y2456" s="1">
        <v>25970</v>
      </c>
      <c r="Z2456">
        <v>2</v>
      </c>
      <c r="AA2456" t="s">
        <v>346</v>
      </c>
      <c r="AB2456" s="40" t="s">
        <v>1798</v>
      </c>
    </row>
    <row r="2457" spans="1:29" x14ac:dyDescent="0.25">
      <c r="A2457">
        <v>99912456</v>
      </c>
      <c r="B2457" t="s">
        <v>56</v>
      </c>
      <c r="C2457" t="s">
        <v>46</v>
      </c>
      <c r="D2457" t="s">
        <v>47</v>
      </c>
      <c r="G2457" t="s">
        <v>48</v>
      </c>
      <c r="H2457">
        <v>1</v>
      </c>
      <c r="K2457" t="s">
        <v>1268</v>
      </c>
      <c r="L2457" t="s">
        <v>1269</v>
      </c>
      <c r="M2457" t="s">
        <v>1270</v>
      </c>
      <c r="N2457">
        <v>20</v>
      </c>
      <c r="P2457" t="s">
        <v>41</v>
      </c>
      <c r="Q2457" t="s">
        <v>42</v>
      </c>
      <c r="R2457" t="str">
        <f>"1990910"</f>
        <v>1990910</v>
      </c>
      <c r="S2457" t="s">
        <v>1281</v>
      </c>
      <c r="T2457" t="s">
        <v>1268</v>
      </c>
      <c r="U2457" t="s">
        <v>1269</v>
      </c>
      <c r="V2457" t="s">
        <v>1270</v>
      </c>
      <c r="W2457" t="s">
        <v>165</v>
      </c>
      <c r="X2457" t="s">
        <v>45</v>
      </c>
      <c r="Y2457" s="1">
        <v>25949</v>
      </c>
      <c r="Z2457">
        <v>2</v>
      </c>
      <c r="AA2457" t="s">
        <v>1269</v>
      </c>
      <c r="AB2457" s="40" t="s">
        <v>1798</v>
      </c>
    </row>
    <row r="2458" spans="1:29" x14ac:dyDescent="0.25">
      <c r="A2458">
        <v>99912457</v>
      </c>
      <c r="B2458" t="s">
        <v>32</v>
      </c>
      <c r="C2458" t="s">
        <v>46</v>
      </c>
      <c r="D2458" t="s">
        <v>47</v>
      </c>
      <c r="G2458" t="s">
        <v>48</v>
      </c>
      <c r="H2458">
        <v>7</v>
      </c>
      <c r="K2458" t="s">
        <v>129</v>
      </c>
      <c r="L2458" t="s">
        <v>130</v>
      </c>
      <c r="M2458" t="s">
        <v>131</v>
      </c>
      <c r="N2458">
        <v>20</v>
      </c>
      <c r="O2458" s="1">
        <v>37137</v>
      </c>
      <c r="P2458" t="s">
        <v>41</v>
      </c>
      <c r="Q2458" t="s">
        <v>49</v>
      </c>
      <c r="R2458" t="str">
        <f>"0580150"</f>
        <v>0580150</v>
      </c>
      <c r="S2458" t="s">
        <v>134</v>
      </c>
      <c r="T2458" t="s">
        <v>129</v>
      </c>
      <c r="U2458" t="s">
        <v>130</v>
      </c>
      <c r="V2458" t="s">
        <v>131</v>
      </c>
      <c r="W2458" t="s">
        <v>51</v>
      </c>
      <c r="X2458" t="s">
        <v>45</v>
      </c>
      <c r="Y2458" s="1">
        <v>25946</v>
      </c>
      <c r="Z2458">
        <v>2</v>
      </c>
      <c r="AA2458" t="s">
        <v>130</v>
      </c>
      <c r="AB2458" s="40" t="s">
        <v>1798</v>
      </c>
    </row>
    <row r="2459" spans="1:29" x14ac:dyDescent="0.25">
      <c r="A2459">
        <v>99912458</v>
      </c>
      <c r="B2459" t="s">
        <v>56</v>
      </c>
      <c r="C2459" t="s">
        <v>46</v>
      </c>
      <c r="D2459" t="s">
        <v>47</v>
      </c>
      <c r="G2459" t="s">
        <v>48</v>
      </c>
      <c r="H2459">
        <v>10</v>
      </c>
      <c r="K2459" t="s">
        <v>1268</v>
      </c>
      <c r="L2459" t="s">
        <v>1269</v>
      </c>
      <c r="M2459" t="s">
        <v>1270</v>
      </c>
      <c r="N2459">
        <v>20</v>
      </c>
      <c r="O2459" s="1">
        <v>43344</v>
      </c>
      <c r="P2459" t="s">
        <v>41</v>
      </c>
      <c r="Q2459" t="s">
        <v>42</v>
      </c>
      <c r="R2459" t="str">
        <f>"1980060"</f>
        <v>1980060</v>
      </c>
      <c r="S2459" t="s">
        <v>1277</v>
      </c>
      <c r="T2459" t="s">
        <v>1268</v>
      </c>
      <c r="U2459" t="s">
        <v>1269</v>
      </c>
      <c r="V2459" t="s">
        <v>1270</v>
      </c>
      <c r="W2459" t="s">
        <v>51</v>
      </c>
      <c r="X2459" t="s">
        <v>45</v>
      </c>
      <c r="Y2459" s="1">
        <v>25944</v>
      </c>
      <c r="Z2459">
        <v>2</v>
      </c>
      <c r="AA2459" t="s">
        <v>1269</v>
      </c>
      <c r="AB2459" s="40" t="s">
        <v>1798</v>
      </c>
    </row>
    <row r="2460" spans="1:29" x14ac:dyDescent="0.25">
      <c r="A2460">
        <v>99912459</v>
      </c>
      <c r="B2460" t="s">
        <v>56</v>
      </c>
      <c r="C2460" t="s">
        <v>46</v>
      </c>
      <c r="D2460" t="s">
        <v>47</v>
      </c>
      <c r="G2460" t="s">
        <v>48</v>
      </c>
      <c r="H2460">
        <v>1</v>
      </c>
      <c r="K2460" t="s">
        <v>162</v>
      </c>
      <c r="L2460" t="s">
        <v>158</v>
      </c>
      <c r="M2460" t="s">
        <v>131</v>
      </c>
      <c r="N2460">
        <v>20</v>
      </c>
      <c r="P2460" t="s">
        <v>41</v>
      </c>
      <c r="Q2460" t="s">
        <v>49</v>
      </c>
      <c r="R2460" t="str">
        <f>"0560003"</f>
        <v>0560003</v>
      </c>
      <c r="S2460" t="s">
        <v>181</v>
      </c>
      <c r="T2460" t="s">
        <v>162</v>
      </c>
      <c r="U2460" t="s">
        <v>158</v>
      </c>
      <c r="V2460" t="s">
        <v>131</v>
      </c>
      <c r="W2460" t="s">
        <v>51</v>
      </c>
      <c r="X2460" t="s">
        <v>45</v>
      </c>
      <c r="Y2460" s="1">
        <v>25937</v>
      </c>
      <c r="Z2460">
        <v>2</v>
      </c>
      <c r="AA2460" t="s">
        <v>158</v>
      </c>
      <c r="AB2460" s="40" t="s">
        <v>1798</v>
      </c>
      <c r="AC2460" s="36"/>
    </row>
    <row r="2461" spans="1:29" x14ac:dyDescent="0.25">
      <c r="A2461">
        <v>99912460</v>
      </c>
      <c r="B2461" t="s">
        <v>32</v>
      </c>
      <c r="C2461" t="s">
        <v>64</v>
      </c>
      <c r="D2461" t="s">
        <v>65</v>
      </c>
      <c r="G2461" t="s">
        <v>48</v>
      </c>
      <c r="H2461">
        <v>7</v>
      </c>
      <c r="K2461" t="s">
        <v>1268</v>
      </c>
      <c r="L2461" t="s">
        <v>1269</v>
      </c>
      <c r="M2461" t="s">
        <v>1270</v>
      </c>
      <c r="N2461">
        <v>20</v>
      </c>
      <c r="O2461" s="1">
        <v>43344</v>
      </c>
      <c r="P2461" t="s">
        <v>41</v>
      </c>
      <c r="Q2461" t="s">
        <v>49</v>
      </c>
      <c r="R2461" t="str">
        <f>"1960001"</f>
        <v>1960001</v>
      </c>
      <c r="S2461" t="s">
        <v>1272</v>
      </c>
      <c r="T2461" t="s">
        <v>1268</v>
      </c>
      <c r="U2461" t="s">
        <v>1269</v>
      </c>
      <c r="V2461" t="s">
        <v>1270</v>
      </c>
      <c r="W2461" t="s">
        <v>51</v>
      </c>
      <c r="X2461" t="s">
        <v>45</v>
      </c>
      <c r="Y2461" s="1">
        <v>25934</v>
      </c>
      <c r="Z2461">
        <v>2</v>
      </c>
      <c r="AA2461" t="s">
        <v>1269</v>
      </c>
      <c r="AB2461" s="40" t="s">
        <v>1798</v>
      </c>
    </row>
    <row r="2462" spans="1:29" x14ac:dyDescent="0.25">
      <c r="A2462">
        <v>99912461</v>
      </c>
      <c r="B2462" t="s">
        <v>32</v>
      </c>
      <c r="C2462" t="s">
        <v>46</v>
      </c>
      <c r="D2462" t="s">
        <v>47</v>
      </c>
      <c r="G2462" t="s">
        <v>35</v>
      </c>
      <c r="H2462">
        <v>1</v>
      </c>
      <c r="I2462">
        <v>6983</v>
      </c>
      <c r="J2462" s="1">
        <v>43344</v>
      </c>
      <c r="K2462" t="s">
        <v>1306</v>
      </c>
      <c r="L2462" t="s">
        <v>1307</v>
      </c>
      <c r="M2462" t="s">
        <v>1270</v>
      </c>
      <c r="N2462">
        <v>20</v>
      </c>
      <c r="O2462" s="1">
        <v>43344</v>
      </c>
      <c r="P2462" t="s">
        <v>41</v>
      </c>
      <c r="Q2462" t="s">
        <v>49</v>
      </c>
      <c r="R2462" t="str">
        <f>"1991915"</f>
        <v>1991915</v>
      </c>
      <c r="S2462" t="s">
        <v>1316</v>
      </c>
      <c r="T2462" t="s">
        <v>1306</v>
      </c>
      <c r="U2462" t="s">
        <v>1307</v>
      </c>
      <c r="V2462" t="s">
        <v>1270</v>
      </c>
      <c r="W2462" t="s">
        <v>51</v>
      </c>
      <c r="X2462" t="s">
        <v>45</v>
      </c>
      <c r="Y2462" s="1">
        <v>25934</v>
      </c>
      <c r="Z2462">
        <v>2</v>
      </c>
      <c r="AA2462" t="s">
        <v>1307</v>
      </c>
      <c r="AB2462" s="40" t="s">
        <v>1798</v>
      </c>
    </row>
    <row r="2463" spans="1:29" x14ac:dyDescent="0.25">
      <c r="A2463">
        <v>99912462</v>
      </c>
      <c r="B2463" t="s">
        <v>32</v>
      </c>
      <c r="C2463" t="s">
        <v>46</v>
      </c>
      <c r="D2463" t="s">
        <v>47</v>
      </c>
      <c r="G2463" t="s">
        <v>48</v>
      </c>
      <c r="H2463">
        <v>1</v>
      </c>
      <c r="I2463" t="s">
        <v>1495</v>
      </c>
      <c r="J2463" s="1">
        <v>42276</v>
      </c>
      <c r="K2463" t="s">
        <v>1496</v>
      </c>
      <c r="L2463" t="s">
        <v>1497</v>
      </c>
      <c r="M2463" t="s">
        <v>670</v>
      </c>
      <c r="N2463">
        <v>20</v>
      </c>
      <c r="O2463" s="1">
        <v>42276</v>
      </c>
      <c r="P2463" t="s">
        <v>41</v>
      </c>
      <c r="Q2463" t="s">
        <v>42</v>
      </c>
      <c r="R2463" t="str">
        <f>"5080015"</f>
        <v>5080015</v>
      </c>
      <c r="S2463" t="s">
        <v>1498</v>
      </c>
      <c r="T2463" t="s">
        <v>1496</v>
      </c>
      <c r="U2463" t="s">
        <v>1497</v>
      </c>
      <c r="V2463" t="s">
        <v>670</v>
      </c>
      <c r="W2463" t="s">
        <v>51</v>
      </c>
      <c r="X2463" t="s">
        <v>45</v>
      </c>
      <c r="Y2463" s="1">
        <v>25934</v>
      </c>
      <c r="Z2463">
        <v>2</v>
      </c>
      <c r="AA2463" t="s">
        <v>1497</v>
      </c>
      <c r="AB2463" s="40" t="s">
        <v>1798</v>
      </c>
    </row>
    <row r="2464" spans="1:29" x14ac:dyDescent="0.25">
      <c r="A2464">
        <v>99912463</v>
      </c>
      <c r="B2464" t="s">
        <v>32</v>
      </c>
      <c r="C2464" t="s">
        <v>58</v>
      </c>
      <c r="D2464" t="s">
        <v>59</v>
      </c>
      <c r="G2464" t="s">
        <v>35</v>
      </c>
      <c r="H2464">
        <v>1</v>
      </c>
      <c r="K2464" t="s">
        <v>223</v>
      </c>
      <c r="L2464" t="s">
        <v>224</v>
      </c>
      <c r="M2464" t="s">
        <v>131</v>
      </c>
      <c r="N2464">
        <v>20</v>
      </c>
      <c r="P2464" t="s">
        <v>41</v>
      </c>
      <c r="Q2464" t="s">
        <v>42</v>
      </c>
      <c r="R2464" t="str">
        <f>"0580345"</f>
        <v>0580345</v>
      </c>
      <c r="S2464" t="s">
        <v>261</v>
      </c>
      <c r="T2464" t="s">
        <v>223</v>
      </c>
      <c r="U2464" t="s">
        <v>224</v>
      </c>
      <c r="V2464" t="s">
        <v>131</v>
      </c>
      <c r="W2464" t="s">
        <v>51</v>
      </c>
      <c r="X2464" t="s">
        <v>45</v>
      </c>
      <c r="Y2464" s="1">
        <v>25932</v>
      </c>
      <c r="Z2464">
        <v>2</v>
      </c>
      <c r="AA2464" t="s">
        <v>224</v>
      </c>
      <c r="AB2464" s="40" t="s">
        <v>1798</v>
      </c>
    </row>
    <row r="2465" spans="1:28" x14ac:dyDescent="0.25">
      <c r="A2465">
        <v>99912464</v>
      </c>
      <c r="B2465" t="s">
        <v>32</v>
      </c>
      <c r="C2465" t="s">
        <v>33</v>
      </c>
      <c r="D2465" t="s">
        <v>34</v>
      </c>
      <c r="G2465" t="s">
        <v>48</v>
      </c>
      <c r="H2465">
        <v>1</v>
      </c>
      <c r="K2465" t="s">
        <v>345</v>
      </c>
      <c r="L2465" t="s">
        <v>346</v>
      </c>
      <c r="M2465" t="s">
        <v>131</v>
      </c>
      <c r="N2465">
        <v>20</v>
      </c>
      <c r="P2465" t="s">
        <v>41</v>
      </c>
      <c r="Q2465" t="s">
        <v>42</v>
      </c>
      <c r="R2465" t="str">
        <f>"0590906"</f>
        <v>0590906</v>
      </c>
      <c r="S2465" t="s">
        <v>361</v>
      </c>
      <c r="T2465" t="s">
        <v>345</v>
      </c>
      <c r="U2465" t="s">
        <v>346</v>
      </c>
      <c r="V2465" t="s">
        <v>131</v>
      </c>
      <c r="W2465" t="s">
        <v>51</v>
      </c>
      <c r="X2465" t="s">
        <v>45</v>
      </c>
      <c r="Y2465" s="1">
        <v>25910</v>
      </c>
      <c r="Z2465">
        <v>2</v>
      </c>
      <c r="AA2465" t="s">
        <v>346</v>
      </c>
      <c r="AB2465" s="40" t="s">
        <v>1798</v>
      </c>
    </row>
    <row r="2466" spans="1:28" x14ac:dyDescent="0.25">
      <c r="A2466">
        <v>99912465</v>
      </c>
      <c r="B2466" t="s">
        <v>32</v>
      </c>
      <c r="C2466" t="s">
        <v>46</v>
      </c>
      <c r="D2466" t="s">
        <v>47</v>
      </c>
      <c r="G2466" t="s">
        <v>48</v>
      </c>
      <c r="H2466">
        <v>1</v>
      </c>
      <c r="K2466" t="s">
        <v>223</v>
      </c>
      <c r="L2466" t="s">
        <v>224</v>
      </c>
      <c r="M2466" t="s">
        <v>131</v>
      </c>
      <c r="N2466">
        <v>20</v>
      </c>
      <c r="P2466" t="s">
        <v>41</v>
      </c>
      <c r="Q2466" t="s">
        <v>49</v>
      </c>
      <c r="R2466" t="str">
        <f>"0581200"</f>
        <v>0581200</v>
      </c>
      <c r="S2466" t="s">
        <v>238</v>
      </c>
      <c r="T2466" t="s">
        <v>223</v>
      </c>
      <c r="U2466" t="s">
        <v>224</v>
      </c>
      <c r="V2466" t="s">
        <v>131</v>
      </c>
      <c r="W2466" t="s">
        <v>51</v>
      </c>
      <c r="X2466" t="s">
        <v>45</v>
      </c>
      <c r="Y2466" s="1">
        <v>25869</v>
      </c>
      <c r="Z2466">
        <v>2</v>
      </c>
      <c r="AA2466" t="s">
        <v>224</v>
      </c>
      <c r="AB2466" s="40" t="s">
        <v>1798</v>
      </c>
    </row>
    <row r="2467" spans="1:28" x14ac:dyDescent="0.25">
      <c r="A2467">
        <v>99912466</v>
      </c>
      <c r="B2467" t="s">
        <v>32</v>
      </c>
      <c r="C2467" t="s">
        <v>33</v>
      </c>
      <c r="D2467" t="s">
        <v>34</v>
      </c>
      <c r="G2467" t="s">
        <v>35</v>
      </c>
      <c r="H2467">
        <v>1</v>
      </c>
      <c r="K2467" t="s">
        <v>223</v>
      </c>
      <c r="L2467" t="s">
        <v>224</v>
      </c>
      <c r="M2467" t="s">
        <v>131</v>
      </c>
      <c r="N2467">
        <v>20</v>
      </c>
      <c r="P2467" t="s">
        <v>41</v>
      </c>
      <c r="Q2467" t="s">
        <v>42</v>
      </c>
      <c r="R2467" t="str">
        <f>"0580396"</f>
        <v>0580396</v>
      </c>
      <c r="S2467" t="s">
        <v>255</v>
      </c>
      <c r="T2467" t="s">
        <v>223</v>
      </c>
      <c r="U2467" t="s">
        <v>224</v>
      </c>
      <c r="V2467" t="s">
        <v>131</v>
      </c>
      <c r="W2467" t="s">
        <v>51</v>
      </c>
      <c r="X2467" t="s">
        <v>45</v>
      </c>
      <c r="Y2467" s="1">
        <v>25859</v>
      </c>
      <c r="Z2467">
        <v>2</v>
      </c>
      <c r="AA2467" t="s">
        <v>224</v>
      </c>
      <c r="AB2467" s="40" t="s">
        <v>1798</v>
      </c>
    </row>
    <row r="2468" spans="1:28" x14ac:dyDescent="0.25">
      <c r="A2468">
        <v>99912467</v>
      </c>
      <c r="B2468" t="s">
        <v>32</v>
      </c>
      <c r="C2468" t="s">
        <v>145</v>
      </c>
      <c r="D2468" t="s">
        <v>146</v>
      </c>
      <c r="G2468" t="s">
        <v>35</v>
      </c>
      <c r="H2468">
        <v>1</v>
      </c>
      <c r="K2468" t="s">
        <v>223</v>
      </c>
      <c r="L2468" t="s">
        <v>224</v>
      </c>
      <c r="M2468" t="s">
        <v>131</v>
      </c>
      <c r="N2468">
        <v>20</v>
      </c>
      <c r="P2468" t="s">
        <v>41</v>
      </c>
      <c r="Q2468" t="s">
        <v>49</v>
      </c>
      <c r="R2468" t="str">
        <f>"0591907"</f>
        <v>0591907</v>
      </c>
      <c r="S2468" t="s">
        <v>243</v>
      </c>
      <c r="T2468" t="s">
        <v>223</v>
      </c>
      <c r="U2468" t="s">
        <v>224</v>
      </c>
      <c r="V2468" t="s">
        <v>131</v>
      </c>
      <c r="W2468" t="s">
        <v>51</v>
      </c>
      <c r="X2468" t="s">
        <v>45</v>
      </c>
      <c r="Y2468" s="1">
        <v>25858</v>
      </c>
      <c r="Z2468">
        <v>2</v>
      </c>
      <c r="AA2468" t="s">
        <v>224</v>
      </c>
      <c r="AB2468" s="40" t="s">
        <v>1798</v>
      </c>
    </row>
    <row r="2469" spans="1:28" x14ac:dyDescent="0.25">
      <c r="A2469">
        <v>99912468</v>
      </c>
      <c r="B2469" t="s">
        <v>32</v>
      </c>
      <c r="C2469" t="s">
        <v>79</v>
      </c>
      <c r="D2469" t="s">
        <v>80</v>
      </c>
      <c r="G2469" t="s">
        <v>48</v>
      </c>
      <c r="H2469">
        <v>1</v>
      </c>
      <c r="K2469" t="s">
        <v>345</v>
      </c>
      <c r="L2469" t="s">
        <v>346</v>
      </c>
      <c r="M2469" t="s">
        <v>131</v>
      </c>
      <c r="N2469">
        <v>20</v>
      </c>
      <c r="P2469" t="s">
        <v>41</v>
      </c>
      <c r="Q2469" t="s">
        <v>49</v>
      </c>
      <c r="R2469" t="str">
        <f>"0561021"</f>
        <v>0561021</v>
      </c>
      <c r="S2469" t="s">
        <v>352</v>
      </c>
      <c r="T2469" t="s">
        <v>345</v>
      </c>
      <c r="U2469" t="s">
        <v>346</v>
      </c>
      <c r="V2469" t="s">
        <v>131</v>
      </c>
      <c r="W2469" t="s">
        <v>51</v>
      </c>
      <c r="X2469" t="s">
        <v>45</v>
      </c>
      <c r="Y2469" s="1">
        <v>25851</v>
      </c>
      <c r="Z2469">
        <v>2</v>
      </c>
      <c r="AA2469" t="s">
        <v>346</v>
      </c>
      <c r="AB2469" s="40" t="s">
        <v>1798</v>
      </c>
    </row>
    <row r="2470" spans="1:28" x14ac:dyDescent="0.25">
      <c r="A2470">
        <v>99912469</v>
      </c>
      <c r="B2470" t="s">
        <v>56</v>
      </c>
      <c r="C2470" t="s">
        <v>79</v>
      </c>
      <c r="D2470" t="s">
        <v>80</v>
      </c>
      <c r="G2470" t="s">
        <v>48</v>
      </c>
      <c r="H2470">
        <v>1</v>
      </c>
      <c r="K2470" t="s">
        <v>380</v>
      </c>
      <c r="L2470" t="s">
        <v>381</v>
      </c>
      <c r="M2470" t="s">
        <v>131</v>
      </c>
      <c r="N2470">
        <v>20</v>
      </c>
      <c r="P2470" t="s">
        <v>41</v>
      </c>
      <c r="Q2470" t="s">
        <v>49</v>
      </c>
      <c r="R2470" t="str">
        <f>"0591908"</f>
        <v>0591908</v>
      </c>
      <c r="S2470" t="s">
        <v>383</v>
      </c>
      <c r="T2470" t="s">
        <v>380</v>
      </c>
      <c r="U2470" t="s">
        <v>381</v>
      </c>
      <c r="V2470" t="s">
        <v>131</v>
      </c>
      <c r="W2470" t="s">
        <v>51</v>
      </c>
      <c r="X2470" t="s">
        <v>45</v>
      </c>
      <c r="Y2470" s="1">
        <v>25851</v>
      </c>
      <c r="Z2470">
        <v>2</v>
      </c>
      <c r="AA2470" t="s">
        <v>381</v>
      </c>
      <c r="AB2470" s="40" t="s">
        <v>1798</v>
      </c>
    </row>
    <row r="2471" spans="1:28" x14ac:dyDescent="0.25">
      <c r="A2471">
        <v>99912470</v>
      </c>
      <c r="B2471" t="s">
        <v>32</v>
      </c>
      <c r="C2471" t="s">
        <v>141</v>
      </c>
      <c r="D2471" t="s">
        <v>142</v>
      </c>
      <c r="G2471" t="s">
        <v>48</v>
      </c>
      <c r="H2471">
        <v>1</v>
      </c>
      <c r="K2471" t="s">
        <v>223</v>
      </c>
      <c r="L2471" t="s">
        <v>224</v>
      </c>
      <c r="M2471" t="s">
        <v>131</v>
      </c>
      <c r="N2471">
        <v>20</v>
      </c>
      <c r="P2471" t="s">
        <v>41</v>
      </c>
      <c r="Q2471" t="s">
        <v>49</v>
      </c>
      <c r="R2471" t="str">
        <f>"0581206"</f>
        <v>0581206</v>
      </c>
      <c r="S2471" t="s">
        <v>232</v>
      </c>
      <c r="T2471" t="s">
        <v>223</v>
      </c>
      <c r="U2471" t="s">
        <v>224</v>
      </c>
      <c r="V2471" t="s">
        <v>131</v>
      </c>
      <c r="W2471" t="s">
        <v>51</v>
      </c>
      <c r="X2471" t="s">
        <v>45</v>
      </c>
      <c r="Y2471" s="1">
        <v>25835</v>
      </c>
      <c r="Z2471">
        <v>2</v>
      </c>
      <c r="AA2471" t="s">
        <v>224</v>
      </c>
      <c r="AB2471" s="40" t="s">
        <v>1798</v>
      </c>
    </row>
    <row r="2472" spans="1:28" x14ac:dyDescent="0.25">
      <c r="A2472">
        <v>99912471</v>
      </c>
      <c r="B2472" t="s">
        <v>32</v>
      </c>
      <c r="C2472" t="s">
        <v>68</v>
      </c>
      <c r="D2472" t="s">
        <v>69</v>
      </c>
      <c r="G2472" t="s">
        <v>48</v>
      </c>
      <c r="H2472">
        <v>1</v>
      </c>
      <c r="K2472" t="s">
        <v>223</v>
      </c>
      <c r="L2472" t="s">
        <v>224</v>
      </c>
      <c r="M2472" t="s">
        <v>131</v>
      </c>
      <c r="N2472">
        <v>20</v>
      </c>
      <c r="P2472" t="s">
        <v>41</v>
      </c>
      <c r="Q2472" t="s">
        <v>49</v>
      </c>
      <c r="R2472" t="str">
        <f>"0581202"</f>
        <v>0581202</v>
      </c>
      <c r="S2472" t="s">
        <v>248</v>
      </c>
      <c r="T2472" t="s">
        <v>223</v>
      </c>
      <c r="U2472" t="s">
        <v>224</v>
      </c>
      <c r="V2472" t="s">
        <v>131</v>
      </c>
      <c r="W2472" t="s">
        <v>51</v>
      </c>
      <c r="X2472" t="s">
        <v>45</v>
      </c>
      <c r="Y2472" s="1">
        <v>25812</v>
      </c>
      <c r="Z2472">
        <v>2</v>
      </c>
      <c r="AA2472" t="s">
        <v>224</v>
      </c>
      <c r="AB2472" s="40" t="s">
        <v>1798</v>
      </c>
    </row>
    <row r="2473" spans="1:28" x14ac:dyDescent="0.25">
      <c r="A2473">
        <v>99912472</v>
      </c>
      <c r="B2473" t="s">
        <v>32</v>
      </c>
      <c r="C2473" t="s">
        <v>79</v>
      </c>
      <c r="D2473" t="s">
        <v>80</v>
      </c>
      <c r="G2473" t="s">
        <v>35</v>
      </c>
      <c r="H2473">
        <v>1</v>
      </c>
      <c r="K2473" t="s">
        <v>947</v>
      </c>
      <c r="L2473" t="s">
        <v>948</v>
      </c>
      <c r="M2473" t="s">
        <v>938</v>
      </c>
      <c r="N2473">
        <v>20</v>
      </c>
      <c r="P2473" t="s">
        <v>41</v>
      </c>
      <c r="Q2473" t="s">
        <v>49</v>
      </c>
      <c r="R2473" t="str">
        <f>"0605000"</f>
        <v>0605000</v>
      </c>
      <c r="S2473" t="s">
        <v>950</v>
      </c>
      <c r="T2473" t="s">
        <v>947</v>
      </c>
      <c r="U2473" t="s">
        <v>948</v>
      </c>
      <c r="V2473" t="s">
        <v>938</v>
      </c>
      <c r="W2473" t="s">
        <v>51</v>
      </c>
      <c r="X2473" t="s">
        <v>45</v>
      </c>
      <c r="Y2473" s="1">
        <v>25812</v>
      </c>
      <c r="Z2473">
        <v>2</v>
      </c>
      <c r="AA2473" t="s">
        <v>948</v>
      </c>
      <c r="AB2473" s="40" t="s">
        <v>1798</v>
      </c>
    </row>
    <row r="2474" spans="1:28" x14ac:dyDescent="0.25">
      <c r="A2474">
        <v>99912473</v>
      </c>
      <c r="B2474" t="s">
        <v>32</v>
      </c>
      <c r="C2474" t="s">
        <v>46</v>
      </c>
      <c r="D2474" t="s">
        <v>47</v>
      </c>
      <c r="G2474" t="s">
        <v>48</v>
      </c>
      <c r="H2474">
        <v>1</v>
      </c>
      <c r="K2474" t="s">
        <v>1128</v>
      </c>
      <c r="L2474" t="s">
        <v>1129</v>
      </c>
      <c r="M2474" t="s">
        <v>1130</v>
      </c>
      <c r="N2474">
        <v>20</v>
      </c>
      <c r="P2474" t="s">
        <v>41</v>
      </c>
      <c r="Q2474" t="s">
        <v>49</v>
      </c>
      <c r="R2474" t="str">
        <f>"3181015"</f>
        <v>3181015</v>
      </c>
      <c r="S2474" t="s">
        <v>1131</v>
      </c>
      <c r="T2474" t="s">
        <v>1128</v>
      </c>
      <c r="U2474" t="s">
        <v>1129</v>
      </c>
      <c r="V2474" t="s">
        <v>1130</v>
      </c>
      <c r="W2474" t="s">
        <v>51</v>
      </c>
      <c r="X2474" t="s">
        <v>45</v>
      </c>
      <c r="Y2474" s="1">
        <v>25799</v>
      </c>
      <c r="Z2474">
        <v>2</v>
      </c>
      <c r="AA2474" t="s">
        <v>1129</v>
      </c>
      <c r="AB2474" s="40" t="s">
        <v>1798</v>
      </c>
    </row>
    <row r="2475" spans="1:28" x14ac:dyDescent="0.25">
      <c r="A2475">
        <v>99912474</v>
      </c>
      <c r="B2475" t="s">
        <v>32</v>
      </c>
      <c r="C2475" t="s">
        <v>141</v>
      </c>
      <c r="D2475" t="s">
        <v>142</v>
      </c>
      <c r="G2475" t="s">
        <v>48</v>
      </c>
      <c r="H2475">
        <v>8</v>
      </c>
      <c r="K2475" t="s">
        <v>1268</v>
      </c>
      <c r="L2475" t="s">
        <v>1269</v>
      </c>
      <c r="M2475" t="s">
        <v>1270</v>
      </c>
      <c r="N2475">
        <v>20</v>
      </c>
      <c r="O2475" s="1">
        <v>43344</v>
      </c>
      <c r="P2475" t="s">
        <v>41</v>
      </c>
      <c r="Q2475" t="s">
        <v>49</v>
      </c>
      <c r="R2475" t="str">
        <f>"1981055"</f>
        <v>1981055</v>
      </c>
      <c r="S2475" t="s">
        <v>1280</v>
      </c>
      <c r="T2475" t="s">
        <v>1268</v>
      </c>
      <c r="U2475" t="s">
        <v>1269</v>
      </c>
      <c r="V2475" t="s">
        <v>1270</v>
      </c>
      <c r="W2475" t="s">
        <v>165</v>
      </c>
      <c r="X2475" t="s">
        <v>45</v>
      </c>
      <c r="Y2475" s="1">
        <v>25793</v>
      </c>
      <c r="Z2475">
        <v>2</v>
      </c>
      <c r="AA2475" t="s">
        <v>1269</v>
      </c>
      <c r="AB2475" s="40" t="s">
        <v>1798</v>
      </c>
    </row>
    <row r="2476" spans="1:28" x14ac:dyDescent="0.25">
      <c r="A2476">
        <v>99912475</v>
      </c>
      <c r="B2476" t="s">
        <v>32</v>
      </c>
      <c r="C2476" t="s">
        <v>46</v>
      </c>
      <c r="D2476" t="s">
        <v>47</v>
      </c>
      <c r="G2476" t="s">
        <v>48</v>
      </c>
      <c r="H2476">
        <v>1</v>
      </c>
      <c r="K2476" t="s">
        <v>162</v>
      </c>
      <c r="L2476" t="s">
        <v>158</v>
      </c>
      <c r="M2476" t="s">
        <v>131</v>
      </c>
      <c r="N2476">
        <v>20</v>
      </c>
      <c r="P2476" t="s">
        <v>41</v>
      </c>
      <c r="Q2476" t="s">
        <v>42</v>
      </c>
      <c r="R2476" t="str">
        <f>"0580320"</f>
        <v>0580320</v>
      </c>
      <c r="S2476" t="s">
        <v>164</v>
      </c>
      <c r="T2476" t="s">
        <v>162</v>
      </c>
      <c r="U2476" t="s">
        <v>158</v>
      </c>
      <c r="V2476" t="s">
        <v>131</v>
      </c>
      <c r="W2476" t="s">
        <v>165</v>
      </c>
      <c r="X2476" t="s">
        <v>45</v>
      </c>
      <c r="Y2476" s="1">
        <v>25785</v>
      </c>
      <c r="Z2476">
        <v>2</v>
      </c>
      <c r="AA2476" t="s">
        <v>158</v>
      </c>
      <c r="AB2476" s="40" t="s">
        <v>1798</v>
      </c>
    </row>
    <row r="2477" spans="1:28" x14ac:dyDescent="0.25">
      <c r="A2477">
        <v>99912476</v>
      </c>
      <c r="B2477" t="s">
        <v>32</v>
      </c>
      <c r="C2477" t="s">
        <v>46</v>
      </c>
      <c r="D2477" t="s">
        <v>47</v>
      </c>
      <c r="G2477" t="s">
        <v>48</v>
      </c>
      <c r="H2477">
        <v>1</v>
      </c>
      <c r="K2477" t="s">
        <v>223</v>
      </c>
      <c r="L2477" t="s">
        <v>224</v>
      </c>
      <c r="M2477" t="s">
        <v>131</v>
      </c>
      <c r="N2477">
        <v>20</v>
      </c>
      <c r="P2477" t="s">
        <v>41</v>
      </c>
      <c r="Q2477" t="s">
        <v>42</v>
      </c>
      <c r="R2477" t="str">
        <f>"0580204"</f>
        <v>0580204</v>
      </c>
      <c r="S2477" t="s">
        <v>235</v>
      </c>
      <c r="T2477" t="s">
        <v>223</v>
      </c>
      <c r="U2477" t="s">
        <v>224</v>
      </c>
      <c r="V2477" t="s">
        <v>131</v>
      </c>
      <c r="W2477" t="s">
        <v>165</v>
      </c>
      <c r="X2477" t="s">
        <v>45</v>
      </c>
      <c r="Y2477" s="1">
        <v>25778</v>
      </c>
      <c r="Z2477">
        <v>2</v>
      </c>
      <c r="AA2477" t="s">
        <v>224</v>
      </c>
      <c r="AB2477" s="40" t="s">
        <v>1798</v>
      </c>
    </row>
    <row r="2478" spans="1:28" x14ac:dyDescent="0.25">
      <c r="A2478">
        <v>99912477</v>
      </c>
      <c r="B2478" t="s">
        <v>56</v>
      </c>
      <c r="C2478" t="s">
        <v>68</v>
      </c>
      <c r="D2478" t="s">
        <v>69</v>
      </c>
      <c r="G2478" t="s">
        <v>48</v>
      </c>
      <c r="H2478">
        <v>1</v>
      </c>
      <c r="K2478" t="s">
        <v>1268</v>
      </c>
      <c r="L2478" t="s">
        <v>1269</v>
      </c>
      <c r="M2478" t="s">
        <v>1270</v>
      </c>
      <c r="N2478">
        <v>20</v>
      </c>
      <c r="P2478" t="s">
        <v>41</v>
      </c>
      <c r="Q2478" t="s">
        <v>42</v>
      </c>
      <c r="R2478" t="str">
        <f>"1990911"</f>
        <v>1990911</v>
      </c>
      <c r="S2478" t="s">
        <v>1276</v>
      </c>
      <c r="T2478" t="s">
        <v>1268</v>
      </c>
      <c r="U2478" t="s">
        <v>1269</v>
      </c>
      <c r="V2478" t="s">
        <v>1270</v>
      </c>
      <c r="W2478" t="s">
        <v>165</v>
      </c>
      <c r="X2478" t="s">
        <v>45</v>
      </c>
      <c r="Y2478" s="1">
        <v>25777</v>
      </c>
      <c r="Z2478">
        <v>2</v>
      </c>
      <c r="AA2478" t="s">
        <v>1269</v>
      </c>
      <c r="AB2478" s="40" t="s">
        <v>1798</v>
      </c>
    </row>
    <row r="2479" spans="1:28" x14ac:dyDescent="0.25">
      <c r="A2479">
        <v>99912478</v>
      </c>
      <c r="B2479" t="s">
        <v>56</v>
      </c>
      <c r="C2479" t="s">
        <v>52</v>
      </c>
      <c r="D2479" t="s">
        <v>53</v>
      </c>
      <c r="G2479" t="s">
        <v>48</v>
      </c>
      <c r="H2479">
        <v>1</v>
      </c>
      <c r="K2479" t="s">
        <v>300</v>
      </c>
      <c r="L2479" t="s">
        <v>301</v>
      </c>
      <c r="M2479" t="s">
        <v>131</v>
      </c>
      <c r="N2479">
        <v>20</v>
      </c>
      <c r="P2479" t="s">
        <v>41</v>
      </c>
      <c r="Q2479" t="s">
        <v>49</v>
      </c>
      <c r="R2479" t="str">
        <f>"0560020"</f>
        <v>0560020</v>
      </c>
      <c r="S2479" t="s">
        <v>302</v>
      </c>
      <c r="T2479" t="s">
        <v>300</v>
      </c>
      <c r="U2479" t="s">
        <v>301</v>
      </c>
      <c r="V2479" t="s">
        <v>131</v>
      </c>
      <c r="W2479" t="s">
        <v>51</v>
      </c>
      <c r="X2479" t="s">
        <v>45</v>
      </c>
      <c r="Y2479" s="1">
        <v>25776</v>
      </c>
      <c r="Z2479">
        <v>2</v>
      </c>
      <c r="AA2479" t="s">
        <v>301</v>
      </c>
      <c r="AB2479" s="40" t="s">
        <v>1798</v>
      </c>
    </row>
    <row r="2480" spans="1:28" x14ac:dyDescent="0.25">
      <c r="A2480">
        <v>99912479</v>
      </c>
      <c r="B2480" t="s">
        <v>56</v>
      </c>
      <c r="C2480" t="s">
        <v>79</v>
      </c>
      <c r="D2480" t="s">
        <v>80</v>
      </c>
      <c r="G2480" t="s">
        <v>48</v>
      </c>
      <c r="H2480">
        <v>1</v>
      </c>
      <c r="K2480" t="s">
        <v>223</v>
      </c>
      <c r="L2480" t="s">
        <v>224</v>
      </c>
      <c r="M2480" t="s">
        <v>131</v>
      </c>
      <c r="N2480">
        <v>20</v>
      </c>
      <c r="P2480" t="s">
        <v>41</v>
      </c>
      <c r="Q2480" t="s">
        <v>49</v>
      </c>
      <c r="R2480" t="str">
        <f>"0581200"</f>
        <v>0581200</v>
      </c>
      <c r="S2480" t="s">
        <v>238</v>
      </c>
      <c r="T2480" t="s">
        <v>223</v>
      </c>
      <c r="U2480" t="s">
        <v>224</v>
      </c>
      <c r="V2480" t="s">
        <v>131</v>
      </c>
      <c r="W2480" t="s">
        <v>51</v>
      </c>
      <c r="X2480" t="s">
        <v>45</v>
      </c>
      <c r="Y2480" s="1">
        <v>25775</v>
      </c>
      <c r="Z2480">
        <v>2</v>
      </c>
      <c r="AA2480" t="s">
        <v>224</v>
      </c>
      <c r="AB2480" s="40" t="s">
        <v>1798</v>
      </c>
    </row>
    <row r="2481" spans="1:28" x14ac:dyDescent="0.25">
      <c r="A2481">
        <v>99912480</v>
      </c>
      <c r="B2481" t="s">
        <v>32</v>
      </c>
      <c r="C2481" t="s">
        <v>82</v>
      </c>
      <c r="D2481" t="s">
        <v>83</v>
      </c>
      <c r="G2481" t="s">
        <v>35</v>
      </c>
      <c r="H2481">
        <v>1</v>
      </c>
      <c r="I2481" t="s">
        <v>1601</v>
      </c>
      <c r="J2481" s="1">
        <v>43344</v>
      </c>
      <c r="K2481" t="s">
        <v>1590</v>
      </c>
      <c r="L2481" t="s">
        <v>1591</v>
      </c>
      <c r="M2481" t="s">
        <v>1592</v>
      </c>
      <c r="N2481">
        <v>20</v>
      </c>
      <c r="O2481" s="1">
        <v>43344</v>
      </c>
      <c r="P2481" t="s">
        <v>41</v>
      </c>
      <c r="Q2481" t="s">
        <v>42</v>
      </c>
      <c r="R2481" t="str">
        <f>"0280020"</f>
        <v>0280020</v>
      </c>
      <c r="S2481" t="s">
        <v>1597</v>
      </c>
      <c r="T2481" t="s">
        <v>1590</v>
      </c>
      <c r="U2481" t="s">
        <v>1591</v>
      </c>
      <c r="V2481" t="s">
        <v>1592</v>
      </c>
      <c r="W2481" t="s">
        <v>51</v>
      </c>
      <c r="X2481" t="s">
        <v>45</v>
      </c>
      <c r="Y2481" s="1">
        <v>25772</v>
      </c>
      <c r="Z2481">
        <v>2</v>
      </c>
      <c r="AA2481" t="s">
        <v>1591</v>
      </c>
      <c r="AB2481" s="40" t="s">
        <v>1798</v>
      </c>
    </row>
    <row r="2482" spans="1:28" x14ac:dyDescent="0.25">
      <c r="A2482">
        <v>99912481</v>
      </c>
      <c r="B2482" t="s">
        <v>56</v>
      </c>
      <c r="C2482" t="s">
        <v>46</v>
      </c>
      <c r="D2482" t="s">
        <v>47</v>
      </c>
      <c r="G2482" t="s">
        <v>35</v>
      </c>
      <c r="H2482">
        <v>1</v>
      </c>
      <c r="K2482" t="s">
        <v>223</v>
      </c>
      <c r="L2482" t="s">
        <v>224</v>
      </c>
      <c r="M2482" t="s">
        <v>131</v>
      </c>
      <c r="N2482">
        <v>20</v>
      </c>
      <c r="P2482" t="s">
        <v>41</v>
      </c>
      <c r="Q2482" t="s">
        <v>42</v>
      </c>
      <c r="R2482" t="str">
        <f>"0590903"</f>
        <v>0590903</v>
      </c>
      <c r="S2482" t="s">
        <v>226</v>
      </c>
      <c r="T2482" t="s">
        <v>223</v>
      </c>
      <c r="U2482" t="s">
        <v>224</v>
      </c>
      <c r="V2482" t="s">
        <v>131</v>
      </c>
      <c r="W2482" t="s">
        <v>51</v>
      </c>
      <c r="X2482" t="s">
        <v>45</v>
      </c>
      <c r="Y2482" s="1">
        <v>25768</v>
      </c>
      <c r="Z2482">
        <v>2</v>
      </c>
      <c r="AA2482" t="s">
        <v>224</v>
      </c>
      <c r="AB2482" s="40" t="s">
        <v>1798</v>
      </c>
    </row>
    <row r="2483" spans="1:28" x14ac:dyDescent="0.25">
      <c r="A2483">
        <v>99912482</v>
      </c>
      <c r="B2483" t="s">
        <v>56</v>
      </c>
      <c r="C2483" t="s">
        <v>46</v>
      </c>
      <c r="D2483" t="s">
        <v>47</v>
      </c>
      <c r="G2483" t="s">
        <v>35</v>
      </c>
      <c r="H2483">
        <v>1</v>
      </c>
      <c r="K2483" t="s">
        <v>223</v>
      </c>
      <c r="L2483" t="s">
        <v>224</v>
      </c>
      <c r="M2483" t="s">
        <v>131</v>
      </c>
      <c r="N2483">
        <v>20</v>
      </c>
      <c r="P2483" t="s">
        <v>41</v>
      </c>
      <c r="Q2483" t="s">
        <v>42</v>
      </c>
      <c r="R2483" t="str">
        <f>"0590903"</f>
        <v>0590903</v>
      </c>
      <c r="S2483" t="s">
        <v>226</v>
      </c>
      <c r="T2483" t="s">
        <v>223</v>
      </c>
      <c r="U2483" t="s">
        <v>224</v>
      </c>
      <c r="V2483" t="s">
        <v>131</v>
      </c>
      <c r="W2483" t="s">
        <v>51</v>
      </c>
      <c r="X2483" t="s">
        <v>45</v>
      </c>
      <c r="Y2483" s="1">
        <v>25768</v>
      </c>
      <c r="Z2483">
        <v>2</v>
      </c>
      <c r="AA2483" t="s">
        <v>224</v>
      </c>
      <c r="AB2483" s="40" t="s">
        <v>1798</v>
      </c>
    </row>
    <row r="2484" spans="1:28" x14ac:dyDescent="0.25">
      <c r="A2484">
        <v>99912483</v>
      </c>
      <c r="B2484" t="s">
        <v>56</v>
      </c>
      <c r="C2484" t="s">
        <v>46</v>
      </c>
      <c r="D2484" t="s">
        <v>47</v>
      </c>
      <c r="G2484" t="s">
        <v>48</v>
      </c>
      <c r="H2484">
        <v>1</v>
      </c>
      <c r="K2484" t="s">
        <v>1128</v>
      </c>
      <c r="L2484" t="s">
        <v>1129</v>
      </c>
      <c r="M2484" t="s">
        <v>1130</v>
      </c>
      <c r="N2484">
        <v>20</v>
      </c>
      <c r="P2484" t="s">
        <v>41</v>
      </c>
      <c r="Q2484" t="s">
        <v>42</v>
      </c>
      <c r="R2484" t="str">
        <f>"3180015"</f>
        <v>3180015</v>
      </c>
      <c r="S2484" t="s">
        <v>1139</v>
      </c>
      <c r="T2484" t="s">
        <v>1128</v>
      </c>
      <c r="U2484" t="s">
        <v>1129</v>
      </c>
      <c r="V2484" t="s">
        <v>1130</v>
      </c>
      <c r="W2484" t="s">
        <v>51</v>
      </c>
      <c r="X2484" t="s">
        <v>45</v>
      </c>
      <c r="Y2484" s="1">
        <v>25762</v>
      </c>
      <c r="Z2484">
        <v>2</v>
      </c>
      <c r="AA2484" t="s">
        <v>1129</v>
      </c>
      <c r="AB2484" s="40" t="s">
        <v>1798</v>
      </c>
    </row>
    <row r="2485" spans="1:28" x14ac:dyDescent="0.25">
      <c r="A2485">
        <v>99912484</v>
      </c>
      <c r="B2485" t="s">
        <v>32</v>
      </c>
      <c r="C2485" t="s">
        <v>46</v>
      </c>
      <c r="D2485" t="s">
        <v>47</v>
      </c>
      <c r="G2485" t="s">
        <v>48</v>
      </c>
      <c r="H2485">
        <v>1</v>
      </c>
      <c r="K2485" t="s">
        <v>1051</v>
      </c>
      <c r="L2485" t="s">
        <v>1052</v>
      </c>
      <c r="M2485" t="s">
        <v>1053</v>
      </c>
      <c r="N2485">
        <v>20</v>
      </c>
      <c r="P2485" t="s">
        <v>41</v>
      </c>
      <c r="Q2485" t="s">
        <v>49</v>
      </c>
      <c r="R2485" t="str">
        <f>"2080025"</f>
        <v>2080025</v>
      </c>
      <c r="S2485" t="s">
        <v>1057</v>
      </c>
      <c r="T2485" t="s">
        <v>1051</v>
      </c>
      <c r="U2485" t="s">
        <v>1052</v>
      </c>
      <c r="V2485" t="s">
        <v>1053</v>
      </c>
      <c r="W2485" t="s">
        <v>51</v>
      </c>
      <c r="X2485" t="s">
        <v>45</v>
      </c>
      <c r="Y2485" s="1">
        <v>25748</v>
      </c>
      <c r="Z2485">
        <v>2</v>
      </c>
      <c r="AA2485" t="s">
        <v>1052</v>
      </c>
      <c r="AB2485" s="40" t="s">
        <v>1798</v>
      </c>
    </row>
    <row r="2486" spans="1:28" x14ac:dyDescent="0.25">
      <c r="A2486">
        <v>99912485</v>
      </c>
      <c r="B2486" t="s">
        <v>32</v>
      </c>
      <c r="C2486" t="s">
        <v>71</v>
      </c>
      <c r="D2486" t="s">
        <v>72</v>
      </c>
      <c r="G2486" t="s">
        <v>48</v>
      </c>
      <c r="H2486">
        <v>7</v>
      </c>
      <c r="K2486" t="s">
        <v>1268</v>
      </c>
      <c r="L2486" t="s">
        <v>1269</v>
      </c>
      <c r="M2486" t="s">
        <v>1270</v>
      </c>
      <c r="N2486">
        <v>20</v>
      </c>
      <c r="O2486" s="1">
        <v>43344</v>
      </c>
      <c r="P2486" t="s">
        <v>41</v>
      </c>
      <c r="Q2486" t="s">
        <v>49</v>
      </c>
      <c r="R2486" t="str">
        <f>"1981055"</f>
        <v>1981055</v>
      </c>
      <c r="S2486" t="s">
        <v>1280</v>
      </c>
      <c r="T2486" t="s">
        <v>1268</v>
      </c>
      <c r="U2486" t="s">
        <v>1269</v>
      </c>
      <c r="V2486" t="s">
        <v>1270</v>
      </c>
      <c r="W2486" t="s">
        <v>51</v>
      </c>
      <c r="X2486" t="s">
        <v>45</v>
      </c>
      <c r="Y2486" s="1">
        <v>25747</v>
      </c>
      <c r="Z2486">
        <v>2</v>
      </c>
      <c r="AA2486" t="s">
        <v>1269</v>
      </c>
      <c r="AB2486" s="40" t="s">
        <v>1798</v>
      </c>
    </row>
    <row r="2487" spans="1:28" x14ac:dyDescent="0.25">
      <c r="A2487">
        <v>99912486</v>
      </c>
      <c r="B2487" t="s">
        <v>56</v>
      </c>
      <c r="C2487" t="s">
        <v>46</v>
      </c>
      <c r="D2487" t="s">
        <v>47</v>
      </c>
      <c r="G2487" t="s">
        <v>48</v>
      </c>
      <c r="H2487">
        <v>1</v>
      </c>
      <c r="K2487" t="s">
        <v>1496</v>
      </c>
      <c r="L2487" t="s">
        <v>1497</v>
      </c>
      <c r="M2487" t="s">
        <v>670</v>
      </c>
      <c r="N2487">
        <v>20</v>
      </c>
      <c r="P2487" t="s">
        <v>41</v>
      </c>
      <c r="Q2487" t="s">
        <v>42</v>
      </c>
      <c r="R2487" t="str">
        <f>"5080015"</f>
        <v>5080015</v>
      </c>
      <c r="S2487" t="s">
        <v>1498</v>
      </c>
      <c r="T2487" t="s">
        <v>1496</v>
      </c>
      <c r="U2487" t="s">
        <v>1497</v>
      </c>
      <c r="V2487" t="s">
        <v>670</v>
      </c>
      <c r="W2487" t="s">
        <v>51</v>
      </c>
      <c r="X2487" t="s">
        <v>45</v>
      </c>
      <c r="Y2487" s="1">
        <v>25744</v>
      </c>
      <c r="Z2487">
        <v>2</v>
      </c>
      <c r="AA2487" t="s">
        <v>1497</v>
      </c>
      <c r="AB2487" s="40" t="s">
        <v>1798</v>
      </c>
    </row>
    <row r="2488" spans="1:28" x14ac:dyDescent="0.25">
      <c r="A2488">
        <v>99912487</v>
      </c>
      <c r="B2488" t="s">
        <v>56</v>
      </c>
      <c r="C2488" t="s">
        <v>52</v>
      </c>
      <c r="D2488" t="s">
        <v>53</v>
      </c>
      <c r="G2488" t="s">
        <v>48</v>
      </c>
      <c r="H2488">
        <v>1</v>
      </c>
      <c r="K2488" t="s">
        <v>223</v>
      </c>
      <c r="L2488" t="s">
        <v>224</v>
      </c>
      <c r="M2488" t="s">
        <v>131</v>
      </c>
      <c r="N2488">
        <v>20</v>
      </c>
      <c r="P2488" t="s">
        <v>41</v>
      </c>
      <c r="Q2488" t="s">
        <v>49</v>
      </c>
      <c r="R2488" t="str">
        <f>"0540902"</f>
        <v>0540902</v>
      </c>
      <c r="S2488" t="s">
        <v>256</v>
      </c>
      <c r="T2488" t="s">
        <v>223</v>
      </c>
      <c r="U2488" t="s">
        <v>224</v>
      </c>
      <c r="V2488" t="s">
        <v>131</v>
      </c>
      <c r="W2488" t="s">
        <v>51</v>
      </c>
      <c r="X2488" t="s">
        <v>45</v>
      </c>
      <c r="Y2488" s="1">
        <v>25742</v>
      </c>
      <c r="Z2488">
        <v>2</v>
      </c>
      <c r="AA2488" t="s">
        <v>224</v>
      </c>
      <c r="AB2488" s="40" t="s">
        <v>1798</v>
      </c>
    </row>
    <row r="2489" spans="1:28" x14ac:dyDescent="0.25">
      <c r="A2489">
        <v>99912488</v>
      </c>
      <c r="B2489" t="s">
        <v>56</v>
      </c>
      <c r="C2489" t="s">
        <v>46</v>
      </c>
      <c r="D2489" t="s">
        <v>47</v>
      </c>
      <c r="G2489" t="s">
        <v>48</v>
      </c>
      <c r="H2489">
        <v>1</v>
      </c>
      <c r="K2489" t="s">
        <v>1268</v>
      </c>
      <c r="L2489" t="s">
        <v>1269</v>
      </c>
      <c r="M2489" t="s">
        <v>1270</v>
      </c>
      <c r="N2489">
        <v>20</v>
      </c>
      <c r="P2489" t="s">
        <v>41</v>
      </c>
      <c r="Q2489" t="s">
        <v>42</v>
      </c>
      <c r="R2489" t="str">
        <f>"1990910"</f>
        <v>1990910</v>
      </c>
      <c r="S2489" t="s">
        <v>1281</v>
      </c>
      <c r="T2489" t="s">
        <v>1268</v>
      </c>
      <c r="U2489" t="s">
        <v>1269</v>
      </c>
      <c r="V2489" t="s">
        <v>1270</v>
      </c>
      <c r="W2489" t="s">
        <v>165</v>
      </c>
      <c r="X2489" t="s">
        <v>45</v>
      </c>
      <c r="Y2489" s="1">
        <v>25732</v>
      </c>
      <c r="Z2489">
        <v>2</v>
      </c>
      <c r="AA2489" t="s">
        <v>1269</v>
      </c>
      <c r="AB2489" s="40" t="s">
        <v>1798</v>
      </c>
    </row>
    <row r="2490" spans="1:28" x14ac:dyDescent="0.25">
      <c r="A2490">
        <v>99912489</v>
      </c>
      <c r="B2490" t="s">
        <v>32</v>
      </c>
      <c r="C2490" t="s">
        <v>46</v>
      </c>
      <c r="D2490" t="s">
        <v>47</v>
      </c>
      <c r="G2490" t="s">
        <v>48</v>
      </c>
      <c r="H2490">
        <v>1</v>
      </c>
      <c r="K2490" t="s">
        <v>936</v>
      </c>
      <c r="L2490" t="s">
        <v>937</v>
      </c>
      <c r="M2490" t="s">
        <v>938</v>
      </c>
      <c r="N2490">
        <v>20</v>
      </c>
      <c r="P2490" t="s">
        <v>41</v>
      </c>
      <c r="Q2490" t="s">
        <v>49</v>
      </c>
      <c r="R2490" t="str">
        <f>"0180017"</f>
        <v>0180017</v>
      </c>
      <c r="S2490" t="s">
        <v>943</v>
      </c>
      <c r="T2490" t="s">
        <v>936</v>
      </c>
      <c r="U2490" t="s">
        <v>937</v>
      </c>
      <c r="V2490" t="s">
        <v>938</v>
      </c>
      <c r="W2490" t="s">
        <v>51</v>
      </c>
      <c r="X2490" t="s">
        <v>45</v>
      </c>
      <c r="Y2490" s="1">
        <v>25730</v>
      </c>
      <c r="Z2490">
        <v>2</v>
      </c>
      <c r="AA2490" t="s">
        <v>937</v>
      </c>
      <c r="AB2490" s="40" t="s">
        <v>1798</v>
      </c>
    </row>
    <row r="2491" spans="1:28" x14ac:dyDescent="0.25">
      <c r="A2491">
        <v>99912490</v>
      </c>
      <c r="B2491" t="s">
        <v>32</v>
      </c>
      <c r="C2491" t="s">
        <v>46</v>
      </c>
      <c r="D2491" t="s">
        <v>47</v>
      </c>
      <c r="G2491" t="s">
        <v>35</v>
      </c>
      <c r="H2491">
        <v>1</v>
      </c>
      <c r="K2491" t="s">
        <v>162</v>
      </c>
      <c r="L2491" t="s">
        <v>158</v>
      </c>
      <c r="M2491" t="s">
        <v>131</v>
      </c>
      <c r="N2491">
        <v>20</v>
      </c>
      <c r="P2491" t="s">
        <v>41</v>
      </c>
      <c r="Q2491" t="s">
        <v>49</v>
      </c>
      <c r="R2491" t="str">
        <f>"0505050"</f>
        <v>0505050</v>
      </c>
      <c r="S2491" t="s">
        <v>163</v>
      </c>
      <c r="T2491" t="s">
        <v>162</v>
      </c>
      <c r="U2491" t="s">
        <v>158</v>
      </c>
      <c r="V2491" t="s">
        <v>131</v>
      </c>
      <c r="W2491" t="s">
        <v>165</v>
      </c>
      <c r="X2491" t="s">
        <v>45</v>
      </c>
      <c r="Y2491" s="1">
        <v>25726</v>
      </c>
      <c r="Z2491">
        <v>2</v>
      </c>
      <c r="AA2491" t="s">
        <v>158</v>
      </c>
      <c r="AB2491" s="40" t="s">
        <v>1798</v>
      </c>
    </row>
    <row r="2492" spans="1:28" x14ac:dyDescent="0.25">
      <c r="A2492">
        <v>99912491</v>
      </c>
      <c r="B2492" t="s">
        <v>32</v>
      </c>
      <c r="C2492" t="s">
        <v>46</v>
      </c>
      <c r="D2492" t="s">
        <v>47</v>
      </c>
      <c r="G2492" t="s">
        <v>48</v>
      </c>
      <c r="H2492">
        <v>1</v>
      </c>
      <c r="K2492" t="s">
        <v>223</v>
      </c>
      <c r="L2492" t="s">
        <v>224</v>
      </c>
      <c r="M2492" t="s">
        <v>131</v>
      </c>
      <c r="N2492">
        <v>20</v>
      </c>
      <c r="P2492" t="s">
        <v>41</v>
      </c>
      <c r="Q2492" t="s">
        <v>49</v>
      </c>
      <c r="R2492" t="str">
        <f>"0591910"</f>
        <v>0591910</v>
      </c>
      <c r="S2492" t="s">
        <v>228</v>
      </c>
      <c r="T2492" t="s">
        <v>223</v>
      </c>
      <c r="U2492" t="s">
        <v>224</v>
      </c>
      <c r="V2492" t="s">
        <v>131</v>
      </c>
      <c r="W2492" t="s">
        <v>51</v>
      </c>
      <c r="X2492" t="s">
        <v>45</v>
      </c>
      <c r="Y2492" s="1">
        <v>25723</v>
      </c>
      <c r="Z2492">
        <v>2</v>
      </c>
      <c r="AA2492" t="s">
        <v>224</v>
      </c>
      <c r="AB2492" s="40" t="s">
        <v>1798</v>
      </c>
    </row>
    <row r="2493" spans="1:28" x14ac:dyDescent="0.25">
      <c r="A2493">
        <v>99912492</v>
      </c>
      <c r="B2493" t="s">
        <v>56</v>
      </c>
      <c r="C2493" t="s">
        <v>52</v>
      </c>
      <c r="D2493" t="s">
        <v>53</v>
      </c>
      <c r="G2493" t="s">
        <v>48</v>
      </c>
      <c r="H2493">
        <v>1</v>
      </c>
      <c r="K2493" t="s">
        <v>223</v>
      </c>
      <c r="L2493" t="s">
        <v>224</v>
      </c>
      <c r="M2493" t="s">
        <v>131</v>
      </c>
      <c r="N2493">
        <v>20</v>
      </c>
      <c r="P2493" t="s">
        <v>41</v>
      </c>
      <c r="Q2493" t="s">
        <v>42</v>
      </c>
      <c r="R2493" t="str">
        <f>"0580200"</f>
        <v>0580200</v>
      </c>
      <c r="S2493" t="s">
        <v>245</v>
      </c>
      <c r="T2493" t="s">
        <v>223</v>
      </c>
      <c r="U2493" t="s">
        <v>224</v>
      </c>
      <c r="V2493" t="s">
        <v>131</v>
      </c>
      <c r="W2493" t="s">
        <v>51</v>
      </c>
      <c r="X2493" t="s">
        <v>45</v>
      </c>
      <c r="Y2493" s="1">
        <v>25712</v>
      </c>
      <c r="Z2493">
        <v>2</v>
      </c>
      <c r="AA2493" t="s">
        <v>224</v>
      </c>
      <c r="AB2493" s="40" t="s">
        <v>1798</v>
      </c>
    </row>
    <row r="2494" spans="1:28" x14ac:dyDescent="0.25">
      <c r="A2494">
        <v>99912493</v>
      </c>
      <c r="B2494" t="s">
        <v>56</v>
      </c>
      <c r="C2494" t="s">
        <v>68</v>
      </c>
      <c r="D2494" t="s">
        <v>69</v>
      </c>
      <c r="G2494" t="s">
        <v>35</v>
      </c>
      <c r="H2494">
        <v>1</v>
      </c>
      <c r="K2494" t="s">
        <v>223</v>
      </c>
      <c r="L2494" t="s">
        <v>224</v>
      </c>
      <c r="M2494" t="s">
        <v>131</v>
      </c>
      <c r="N2494">
        <v>20</v>
      </c>
      <c r="P2494" t="s">
        <v>41</v>
      </c>
      <c r="Q2494" t="s">
        <v>42</v>
      </c>
      <c r="R2494" t="str">
        <f>"0580396"</f>
        <v>0580396</v>
      </c>
      <c r="S2494" t="s">
        <v>255</v>
      </c>
      <c r="T2494" t="s">
        <v>223</v>
      </c>
      <c r="U2494" t="s">
        <v>224</v>
      </c>
      <c r="V2494" t="s">
        <v>131</v>
      </c>
      <c r="W2494" t="s">
        <v>51</v>
      </c>
      <c r="X2494" t="s">
        <v>45</v>
      </c>
      <c r="Y2494" s="1">
        <v>25711</v>
      </c>
      <c r="Z2494">
        <v>2</v>
      </c>
      <c r="AA2494" t="s">
        <v>224</v>
      </c>
      <c r="AB2494" s="40" t="s">
        <v>1798</v>
      </c>
    </row>
    <row r="2495" spans="1:28" x14ac:dyDescent="0.25">
      <c r="A2495">
        <v>99912494</v>
      </c>
      <c r="B2495" t="s">
        <v>56</v>
      </c>
      <c r="C2495" t="s">
        <v>145</v>
      </c>
      <c r="D2495" t="s">
        <v>146</v>
      </c>
      <c r="G2495" t="s">
        <v>35</v>
      </c>
      <c r="H2495">
        <v>1</v>
      </c>
      <c r="I2495" t="s">
        <v>1599</v>
      </c>
      <c r="J2495" s="1">
        <v>43344</v>
      </c>
      <c r="K2495" t="s">
        <v>1590</v>
      </c>
      <c r="L2495" t="s">
        <v>1591</v>
      </c>
      <c r="M2495" t="s">
        <v>1592</v>
      </c>
      <c r="N2495">
        <v>20</v>
      </c>
      <c r="O2495" s="1">
        <v>43344</v>
      </c>
      <c r="P2495" t="s">
        <v>41</v>
      </c>
      <c r="Q2495" t="s">
        <v>42</v>
      </c>
      <c r="R2495" t="str">
        <f>"0280020"</f>
        <v>0280020</v>
      </c>
      <c r="S2495" t="s">
        <v>1597</v>
      </c>
      <c r="T2495" t="s">
        <v>1590</v>
      </c>
      <c r="U2495" t="s">
        <v>1591</v>
      </c>
      <c r="V2495" t="s">
        <v>1592</v>
      </c>
      <c r="W2495" t="s">
        <v>51</v>
      </c>
      <c r="X2495" t="s">
        <v>45</v>
      </c>
      <c r="Y2495" s="1">
        <v>25710</v>
      </c>
      <c r="Z2495">
        <v>2</v>
      </c>
      <c r="AA2495" t="s">
        <v>1591</v>
      </c>
      <c r="AB2495" s="40" t="s">
        <v>1798</v>
      </c>
    </row>
    <row r="2496" spans="1:28" x14ac:dyDescent="0.25">
      <c r="A2496">
        <v>99912495</v>
      </c>
      <c r="B2496" t="s">
        <v>56</v>
      </c>
      <c r="C2496" t="s">
        <v>79</v>
      </c>
      <c r="D2496" t="s">
        <v>80</v>
      </c>
      <c r="G2496" t="s">
        <v>48</v>
      </c>
      <c r="H2496">
        <v>1</v>
      </c>
      <c r="K2496" t="s">
        <v>223</v>
      </c>
      <c r="L2496" t="s">
        <v>224</v>
      </c>
      <c r="M2496" t="s">
        <v>131</v>
      </c>
      <c r="N2496">
        <v>20</v>
      </c>
      <c r="P2496" t="s">
        <v>41</v>
      </c>
      <c r="Q2496" t="s">
        <v>49</v>
      </c>
      <c r="R2496" t="str">
        <f>"0581206"</f>
        <v>0581206</v>
      </c>
      <c r="S2496" t="s">
        <v>232</v>
      </c>
      <c r="T2496" t="s">
        <v>223</v>
      </c>
      <c r="U2496" t="s">
        <v>224</v>
      </c>
      <c r="V2496" t="s">
        <v>131</v>
      </c>
      <c r="W2496" t="s">
        <v>51</v>
      </c>
      <c r="X2496" t="s">
        <v>45</v>
      </c>
      <c r="Y2496" s="1">
        <v>25704</v>
      </c>
      <c r="Z2496">
        <v>2</v>
      </c>
      <c r="AA2496" t="s">
        <v>224</v>
      </c>
      <c r="AB2496" s="40" t="s">
        <v>1798</v>
      </c>
    </row>
    <row r="2497" spans="1:28" x14ac:dyDescent="0.25">
      <c r="A2497">
        <v>99912496</v>
      </c>
      <c r="B2497" t="s">
        <v>32</v>
      </c>
      <c r="C2497" t="s">
        <v>52</v>
      </c>
      <c r="D2497" t="s">
        <v>53</v>
      </c>
      <c r="G2497" t="s">
        <v>48</v>
      </c>
      <c r="H2497">
        <v>1</v>
      </c>
      <c r="K2497" t="s">
        <v>223</v>
      </c>
      <c r="L2497" t="s">
        <v>224</v>
      </c>
      <c r="M2497" t="s">
        <v>131</v>
      </c>
      <c r="N2497">
        <v>20</v>
      </c>
      <c r="P2497" t="s">
        <v>41</v>
      </c>
      <c r="Q2497" t="s">
        <v>49</v>
      </c>
      <c r="R2497" t="str">
        <f>"0581202"</f>
        <v>0581202</v>
      </c>
      <c r="S2497" t="s">
        <v>248</v>
      </c>
      <c r="T2497" t="s">
        <v>223</v>
      </c>
      <c r="U2497" t="s">
        <v>224</v>
      </c>
      <c r="V2497" t="s">
        <v>131</v>
      </c>
      <c r="W2497" t="s">
        <v>165</v>
      </c>
      <c r="X2497" t="s">
        <v>45</v>
      </c>
      <c r="Y2497" s="1">
        <v>25704</v>
      </c>
      <c r="Z2497">
        <v>2</v>
      </c>
      <c r="AA2497" t="s">
        <v>224</v>
      </c>
      <c r="AB2497" s="40" t="s">
        <v>1798</v>
      </c>
    </row>
    <row r="2498" spans="1:28" x14ac:dyDescent="0.25">
      <c r="A2498">
        <v>99912497</v>
      </c>
      <c r="B2498" t="s">
        <v>32</v>
      </c>
      <c r="C2498" t="s">
        <v>64</v>
      </c>
      <c r="D2498" t="s">
        <v>65</v>
      </c>
      <c r="G2498" t="s">
        <v>48</v>
      </c>
      <c r="H2498">
        <v>1</v>
      </c>
      <c r="K2498" t="s">
        <v>154</v>
      </c>
      <c r="L2498" t="s">
        <v>155</v>
      </c>
      <c r="M2498" t="s">
        <v>131</v>
      </c>
      <c r="N2498">
        <v>20</v>
      </c>
      <c r="P2498" t="s">
        <v>41</v>
      </c>
      <c r="Q2498" t="s">
        <v>75</v>
      </c>
      <c r="R2498" t="str">
        <f>"7700026"</f>
        <v>7700026</v>
      </c>
      <c r="S2498" t="s">
        <v>397</v>
      </c>
      <c r="T2498" t="s">
        <v>154</v>
      </c>
      <c r="U2498" t="s">
        <v>155</v>
      </c>
      <c r="V2498" t="s">
        <v>131</v>
      </c>
      <c r="W2498" t="s">
        <v>51</v>
      </c>
      <c r="X2498" t="s">
        <v>45</v>
      </c>
      <c r="Y2498" s="1">
        <v>25697</v>
      </c>
      <c r="Z2498">
        <v>1</v>
      </c>
      <c r="AA2498" t="s">
        <v>155</v>
      </c>
      <c r="AB2498" s="40" t="s">
        <v>1798</v>
      </c>
    </row>
    <row r="2499" spans="1:28" x14ac:dyDescent="0.25">
      <c r="A2499">
        <v>99912498</v>
      </c>
      <c r="B2499" t="s">
        <v>32</v>
      </c>
      <c r="C2499" t="s">
        <v>46</v>
      </c>
      <c r="D2499" t="s">
        <v>47</v>
      </c>
      <c r="G2499" t="s">
        <v>35</v>
      </c>
      <c r="H2499">
        <v>1</v>
      </c>
      <c r="K2499" t="s">
        <v>1268</v>
      </c>
      <c r="L2499" t="s">
        <v>1269</v>
      </c>
      <c r="M2499" t="s">
        <v>1270</v>
      </c>
      <c r="N2499">
        <v>20</v>
      </c>
      <c r="P2499" t="s">
        <v>41</v>
      </c>
      <c r="Q2499" t="s">
        <v>42</v>
      </c>
      <c r="R2499" t="str">
        <f>"1990911"</f>
        <v>1990911</v>
      </c>
      <c r="S2499" t="s">
        <v>1276</v>
      </c>
      <c r="T2499" t="s">
        <v>1268</v>
      </c>
      <c r="U2499" t="s">
        <v>1269</v>
      </c>
      <c r="V2499" t="s">
        <v>1270</v>
      </c>
      <c r="W2499" t="s">
        <v>51</v>
      </c>
      <c r="X2499" t="s">
        <v>45</v>
      </c>
      <c r="Y2499" s="1">
        <v>25695</v>
      </c>
      <c r="Z2499">
        <v>2</v>
      </c>
      <c r="AA2499" t="s">
        <v>1269</v>
      </c>
      <c r="AB2499" s="40" t="s">
        <v>1798</v>
      </c>
    </row>
    <row r="2500" spans="1:28" x14ac:dyDescent="0.25">
      <c r="A2500">
        <v>99912499</v>
      </c>
      <c r="B2500" t="s">
        <v>56</v>
      </c>
      <c r="C2500" t="s">
        <v>82</v>
      </c>
      <c r="D2500" t="s">
        <v>83</v>
      </c>
      <c r="G2500" t="s">
        <v>48</v>
      </c>
      <c r="H2500">
        <v>1</v>
      </c>
      <c r="K2500" t="s">
        <v>223</v>
      </c>
      <c r="L2500" t="s">
        <v>224</v>
      </c>
      <c r="M2500" t="s">
        <v>131</v>
      </c>
      <c r="N2500">
        <v>20</v>
      </c>
      <c r="P2500" t="s">
        <v>41</v>
      </c>
      <c r="Q2500" t="s">
        <v>42</v>
      </c>
      <c r="R2500" t="str">
        <f>"0580265"</f>
        <v>0580265</v>
      </c>
      <c r="S2500" t="s">
        <v>231</v>
      </c>
      <c r="T2500" t="s">
        <v>223</v>
      </c>
      <c r="U2500" t="s">
        <v>224</v>
      </c>
      <c r="V2500" t="s">
        <v>131</v>
      </c>
      <c r="W2500" t="s">
        <v>51</v>
      </c>
      <c r="X2500" t="s">
        <v>45</v>
      </c>
      <c r="Y2500" s="1">
        <v>25682</v>
      </c>
      <c r="Z2500">
        <v>2</v>
      </c>
      <c r="AA2500" t="s">
        <v>224</v>
      </c>
      <c r="AB2500" s="40" t="s">
        <v>1798</v>
      </c>
    </row>
    <row r="2501" spans="1:28" x14ac:dyDescent="0.25">
      <c r="A2501">
        <v>99912500</v>
      </c>
      <c r="B2501" t="s">
        <v>56</v>
      </c>
      <c r="C2501" t="s">
        <v>79</v>
      </c>
      <c r="D2501" t="s">
        <v>80</v>
      </c>
      <c r="G2501" t="s">
        <v>48</v>
      </c>
      <c r="H2501">
        <v>1</v>
      </c>
      <c r="K2501" t="s">
        <v>345</v>
      </c>
      <c r="L2501" t="s">
        <v>346</v>
      </c>
      <c r="M2501" t="s">
        <v>131</v>
      </c>
      <c r="N2501">
        <v>20</v>
      </c>
      <c r="P2501" t="s">
        <v>41</v>
      </c>
      <c r="Q2501" t="s">
        <v>42</v>
      </c>
      <c r="R2501" t="str">
        <f>"0590906"</f>
        <v>0590906</v>
      </c>
      <c r="S2501" t="s">
        <v>361</v>
      </c>
      <c r="T2501" t="s">
        <v>345</v>
      </c>
      <c r="U2501" t="s">
        <v>346</v>
      </c>
      <c r="V2501" t="s">
        <v>131</v>
      </c>
      <c r="W2501" t="s">
        <v>51</v>
      </c>
      <c r="X2501" t="s">
        <v>45</v>
      </c>
      <c r="Y2501" s="1">
        <v>25681</v>
      </c>
      <c r="Z2501">
        <v>2</v>
      </c>
      <c r="AA2501" t="s">
        <v>346</v>
      </c>
      <c r="AB2501" s="40" t="s">
        <v>1798</v>
      </c>
    </row>
    <row r="2502" spans="1:28" x14ac:dyDescent="0.25">
      <c r="A2502">
        <v>99912501</v>
      </c>
      <c r="B2502" t="s">
        <v>56</v>
      </c>
      <c r="C2502" t="s">
        <v>46</v>
      </c>
      <c r="D2502" t="s">
        <v>47</v>
      </c>
      <c r="G2502" t="s">
        <v>48</v>
      </c>
      <c r="H2502">
        <v>10</v>
      </c>
      <c r="K2502" t="s">
        <v>1268</v>
      </c>
      <c r="L2502" t="s">
        <v>1269</v>
      </c>
      <c r="M2502" t="s">
        <v>1270</v>
      </c>
      <c r="N2502">
        <v>20</v>
      </c>
      <c r="O2502" s="1">
        <v>43344</v>
      </c>
      <c r="P2502" t="s">
        <v>41</v>
      </c>
      <c r="Q2502" t="s">
        <v>49</v>
      </c>
      <c r="R2502" t="str">
        <f>"1981055"</f>
        <v>1981055</v>
      </c>
      <c r="S2502" t="s">
        <v>1280</v>
      </c>
      <c r="T2502" t="s">
        <v>1268</v>
      </c>
      <c r="U2502" t="s">
        <v>1269</v>
      </c>
      <c r="V2502" t="s">
        <v>1270</v>
      </c>
      <c r="W2502" t="s">
        <v>51</v>
      </c>
      <c r="X2502" t="s">
        <v>45</v>
      </c>
      <c r="Y2502" s="1">
        <v>25666</v>
      </c>
      <c r="Z2502">
        <v>2</v>
      </c>
      <c r="AA2502" t="s">
        <v>1269</v>
      </c>
      <c r="AB2502" s="40" t="s">
        <v>1798</v>
      </c>
    </row>
    <row r="2503" spans="1:28" x14ac:dyDescent="0.25">
      <c r="A2503">
        <v>99912502</v>
      </c>
      <c r="B2503" t="s">
        <v>56</v>
      </c>
      <c r="C2503" t="s">
        <v>46</v>
      </c>
      <c r="D2503" t="s">
        <v>47</v>
      </c>
      <c r="G2503" t="s">
        <v>48</v>
      </c>
      <c r="H2503">
        <v>1</v>
      </c>
      <c r="K2503" t="s">
        <v>223</v>
      </c>
      <c r="L2503" t="s">
        <v>224</v>
      </c>
      <c r="M2503" t="s">
        <v>131</v>
      </c>
      <c r="N2503">
        <v>20</v>
      </c>
      <c r="P2503" t="s">
        <v>41</v>
      </c>
      <c r="Q2503" t="s">
        <v>42</v>
      </c>
      <c r="R2503" t="str">
        <f>"0580204"</f>
        <v>0580204</v>
      </c>
      <c r="S2503" t="s">
        <v>235</v>
      </c>
      <c r="T2503" t="s">
        <v>223</v>
      </c>
      <c r="U2503" t="s">
        <v>224</v>
      </c>
      <c r="V2503" t="s">
        <v>131</v>
      </c>
      <c r="W2503" t="s">
        <v>51</v>
      </c>
      <c r="X2503" t="s">
        <v>45</v>
      </c>
      <c r="Y2503" s="1">
        <v>25658</v>
      </c>
      <c r="Z2503">
        <v>2</v>
      </c>
      <c r="AA2503" t="s">
        <v>224</v>
      </c>
      <c r="AB2503" s="40" t="s">
        <v>1798</v>
      </c>
    </row>
    <row r="2504" spans="1:28" x14ac:dyDescent="0.25">
      <c r="A2504">
        <v>99912503</v>
      </c>
      <c r="B2504" t="s">
        <v>56</v>
      </c>
      <c r="C2504" t="s">
        <v>143</v>
      </c>
      <c r="D2504" t="s">
        <v>144</v>
      </c>
      <c r="G2504" t="s">
        <v>35</v>
      </c>
      <c r="H2504">
        <v>1</v>
      </c>
      <c r="K2504" t="s">
        <v>345</v>
      </c>
      <c r="L2504" t="s">
        <v>346</v>
      </c>
      <c r="M2504" t="s">
        <v>131</v>
      </c>
      <c r="N2504">
        <v>20</v>
      </c>
      <c r="P2504" t="s">
        <v>41</v>
      </c>
      <c r="Q2504" t="s">
        <v>49</v>
      </c>
      <c r="R2504" t="str">
        <f>"0560007"</f>
        <v>0560007</v>
      </c>
      <c r="S2504" t="s">
        <v>357</v>
      </c>
      <c r="T2504" t="s">
        <v>345</v>
      </c>
      <c r="U2504" t="s">
        <v>346</v>
      </c>
      <c r="V2504" t="s">
        <v>131</v>
      </c>
      <c r="W2504" t="s">
        <v>51</v>
      </c>
      <c r="X2504" t="s">
        <v>45</v>
      </c>
      <c r="Y2504" s="1">
        <v>25598</v>
      </c>
      <c r="Z2504">
        <v>2</v>
      </c>
      <c r="AA2504" t="s">
        <v>346</v>
      </c>
      <c r="AB2504" s="40" t="s">
        <v>1798</v>
      </c>
    </row>
    <row r="2505" spans="1:28" x14ac:dyDescent="0.25">
      <c r="A2505">
        <v>99912504</v>
      </c>
      <c r="B2505" t="s">
        <v>56</v>
      </c>
      <c r="C2505" t="s">
        <v>64</v>
      </c>
      <c r="D2505" t="s">
        <v>65</v>
      </c>
      <c r="G2505" t="s">
        <v>48</v>
      </c>
      <c r="H2505">
        <v>1</v>
      </c>
      <c r="K2505" t="s">
        <v>1128</v>
      </c>
      <c r="L2505" t="s">
        <v>1129</v>
      </c>
      <c r="M2505" t="s">
        <v>1130</v>
      </c>
      <c r="N2505">
        <v>20</v>
      </c>
      <c r="P2505" t="s">
        <v>41</v>
      </c>
      <c r="Q2505" t="s">
        <v>49</v>
      </c>
      <c r="R2505" t="str">
        <f>"3181015"</f>
        <v>3181015</v>
      </c>
      <c r="S2505" t="s">
        <v>1131</v>
      </c>
      <c r="T2505" t="s">
        <v>1128</v>
      </c>
      <c r="U2505" t="s">
        <v>1129</v>
      </c>
      <c r="V2505" t="s">
        <v>1130</v>
      </c>
      <c r="W2505" t="s">
        <v>51</v>
      </c>
      <c r="X2505" t="s">
        <v>45</v>
      </c>
      <c r="Y2505" s="1">
        <v>25579</v>
      </c>
      <c r="Z2505">
        <v>2</v>
      </c>
      <c r="AA2505" t="s">
        <v>1129</v>
      </c>
      <c r="AB2505" s="40" t="s">
        <v>1798</v>
      </c>
    </row>
    <row r="2506" spans="1:28" x14ac:dyDescent="0.25">
      <c r="A2506">
        <v>99912505</v>
      </c>
      <c r="B2506" t="s">
        <v>32</v>
      </c>
      <c r="C2506" t="s">
        <v>79</v>
      </c>
      <c r="D2506" t="s">
        <v>80</v>
      </c>
      <c r="G2506" t="s">
        <v>35</v>
      </c>
      <c r="H2506">
        <v>1</v>
      </c>
      <c r="I2506" t="s">
        <v>222</v>
      </c>
      <c r="J2506" s="1">
        <v>43354</v>
      </c>
      <c r="K2506" t="s">
        <v>162</v>
      </c>
      <c r="L2506" t="s">
        <v>158</v>
      </c>
      <c r="M2506" t="s">
        <v>131</v>
      </c>
      <c r="N2506">
        <v>20</v>
      </c>
      <c r="O2506" s="1">
        <v>43354</v>
      </c>
      <c r="P2506" t="s">
        <v>41</v>
      </c>
      <c r="Q2506" t="s">
        <v>42</v>
      </c>
      <c r="R2506" t="str">
        <f>"0580325"</f>
        <v>0580325</v>
      </c>
      <c r="S2506" t="s">
        <v>170</v>
      </c>
      <c r="T2506" t="s">
        <v>162</v>
      </c>
      <c r="U2506" t="s">
        <v>158</v>
      </c>
      <c r="V2506" t="s">
        <v>131</v>
      </c>
      <c r="W2506" t="s">
        <v>44</v>
      </c>
      <c r="X2506" t="s">
        <v>45</v>
      </c>
      <c r="Y2506" s="1">
        <v>25569</v>
      </c>
      <c r="Z2506">
        <v>2</v>
      </c>
      <c r="AA2506" t="s">
        <v>158</v>
      </c>
      <c r="AB2506" s="40" t="s">
        <v>1798</v>
      </c>
    </row>
    <row r="2507" spans="1:28" x14ac:dyDescent="0.25">
      <c r="A2507">
        <v>99912506</v>
      </c>
      <c r="B2507" t="s">
        <v>32</v>
      </c>
      <c r="C2507" t="s">
        <v>52</v>
      </c>
      <c r="D2507" t="s">
        <v>53</v>
      </c>
      <c r="G2507" t="s">
        <v>35</v>
      </c>
      <c r="H2507">
        <v>1</v>
      </c>
      <c r="I2507" t="s">
        <v>358</v>
      </c>
      <c r="J2507" s="1">
        <v>43344</v>
      </c>
      <c r="K2507" t="s">
        <v>345</v>
      </c>
      <c r="L2507" t="s">
        <v>346</v>
      </c>
      <c r="M2507" t="s">
        <v>131</v>
      </c>
      <c r="N2507">
        <v>20</v>
      </c>
      <c r="O2507" s="1">
        <v>43344</v>
      </c>
      <c r="P2507" t="s">
        <v>41</v>
      </c>
      <c r="Q2507" t="s">
        <v>42</v>
      </c>
      <c r="R2507" t="str">
        <f>"0580615"</f>
        <v>0580615</v>
      </c>
      <c r="S2507" t="s">
        <v>364</v>
      </c>
      <c r="T2507" t="s">
        <v>345</v>
      </c>
      <c r="U2507" t="s">
        <v>346</v>
      </c>
      <c r="V2507" t="s">
        <v>131</v>
      </c>
      <c r="W2507" t="s">
        <v>51</v>
      </c>
      <c r="X2507" t="s">
        <v>45</v>
      </c>
      <c r="Y2507" s="1">
        <v>25569</v>
      </c>
      <c r="Z2507">
        <v>2</v>
      </c>
      <c r="AA2507" t="s">
        <v>346</v>
      </c>
      <c r="AB2507" s="40" t="s">
        <v>1798</v>
      </c>
    </row>
    <row r="2508" spans="1:28" x14ac:dyDescent="0.25">
      <c r="A2508">
        <v>99912507</v>
      </c>
      <c r="B2508" t="s">
        <v>56</v>
      </c>
      <c r="C2508" t="s">
        <v>79</v>
      </c>
      <c r="D2508" t="s">
        <v>80</v>
      </c>
      <c r="G2508" t="s">
        <v>35</v>
      </c>
      <c r="H2508">
        <v>1</v>
      </c>
      <c r="K2508" t="s">
        <v>1128</v>
      </c>
      <c r="L2508" t="s">
        <v>1129</v>
      </c>
      <c r="M2508" t="s">
        <v>1130</v>
      </c>
      <c r="N2508">
        <v>20</v>
      </c>
      <c r="P2508" t="s">
        <v>41</v>
      </c>
      <c r="Q2508" t="s">
        <v>42</v>
      </c>
      <c r="R2508" t="str">
        <f>"3180010"</f>
        <v>3180010</v>
      </c>
      <c r="S2508" t="s">
        <v>1132</v>
      </c>
      <c r="T2508" t="s">
        <v>1128</v>
      </c>
      <c r="U2508" t="s">
        <v>1129</v>
      </c>
      <c r="V2508" t="s">
        <v>1130</v>
      </c>
      <c r="W2508" t="s">
        <v>51</v>
      </c>
      <c r="X2508" t="s">
        <v>45</v>
      </c>
      <c r="Y2508" s="1">
        <v>25569</v>
      </c>
      <c r="Z2508">
        <v>2</v>
      </c>
      <c r="AA2508" t="s">
        <v>1129</v>
      </c>
      <c r="AB2508" s="40" t="s">
        <v>1798</v>
      </c>
    </row>
    <row r="2509" spans="1:28" x14ac:dyDescent="0.25">
      <c r="A2509">
        <v>99912508</v>
      </c>
      <c r="B2509" t="s">
        <v>56</v>
      </c>
      <c r="C2509" t="s">
        <v>52</v>
      </c>
      <c r="D2509" t="s">
        <v>53</v>
      </c>
      <c r="G2509" t="s">
        <v>48</v>
      </c>
      <c r="H2509">
        <v>1</v>
      </c>
      <c r="K2509" t="s">
        <v>1268</v>
      </c>
      <c r="L2509" t="s">
        <v>1269</v>
      </c>
      <c r="M2509" t="s">
        <v>1270</v>
      </c>
      <c r="N2509">
        <v>20</v>
      </c>
      <c r="P2509" t="s">
        <v>41</v>
      </c>
      <c r="Q2509" t="s">
        <v>42</v>
      </c>
      <c r="R2509" t="str">
        <f>"1990911"</f>
        <v>1990911</v>
      </c>
      <c r="S2509" t="s">
        <v>1276</v>
      </c>
      <c r="T2509" t="s">
        <v>1268</v>
      </c>
      <c r="U2509" t="s">
        <v>1269</v>
      </c>
      <c r="V2509" t="s">
        <v>1270</v>
      </c>
      <c r="W2509" t="s">
        <v>165</v>
      </c>
      <c r="X2509" t="s">
        <v>45</v>
      </c>
      <c r="Y2509" s="1">
        <v>25569</v>
      </c>
      <c r="Z2509">
        <v>2</v>
      </c>
      <c r="AA2509" t="s">
        <v>1269</v>
      </c>
      <c r="AB2509" s="40" t="s">
        <v>1798</v>
      </c>
    </row>
    <row r="2510" spans="1:28" x14ac:dyDescent="0.25">
      <c r="A2510">
        <v>99912509</v>
      </c>
      <c r="B2510" t="s">
        <v>32</v>
      </c>
      <c r="C2510" t="s">
        <v>46</v>
      </c>
      <c r="D2510" t="s">
        <v>47</v>
      </c>
      <c r="G2510" t="s">
        <v>48</v>
      </c>
      <c r="H2510">
        <v>9</v>
      </c>
      <c r="K2510" t="s">
        <v>1268</v>
      </c>
      <c r="L2510" t="s">
        <v>1269</v>
      </c>
      <c r="M2510" t="s">
        <v>1270</v>
      </c>
      <c r="N2510">
        <v>20</v>
      </c>
      <c r="O2510" s="1">
        <v>43344</v>
      </c>
      <c r="P2510" t="s">
        <v>41</v>
      </c>
      <c r="Q2510" t="s">
        <v>49</v>
      </c>
      <c r="R2510" t="str">
        <f>"1981055"</f>
        <v>1981055</v>
      </c>
      <c r="S2510" t="s">
        <v>1280</v>
      </c>
      <c r="T2510" t="s">
        <v>1268</v>
      </c>
      <c r="U2510" t="s">
        <v>1269</v>
      </c>
      <c r="V2510" t="s">
        <v>1270</v>
      </c>
      <c r="W2510" t="s">
        <v>51</v>
      </c>
      <c r="X2510" t="s">
        <v>45</v>
      </c>
      <c r="Y2510" s="1">
        <v>25556</v>
      </c>
      <c r="Z2510">
        <v>2</v>
      </c>
      <c r="AA2510" t="s">
        <v>1269</v>
      </c>
      <c r="AB2510" s="40" t="s">
        <v>1798</v>
      </c>
    </row>
    <row r="2511" spans="1:28" x14ac:dyDescent="0.25">
      <c r="A2511">
        <v>99912510</v>
      </c>
      <c r="B2511" t="s">
        <v>32</v>
      </c>
      <c r="C2511" t="s">
        <v>33</v>
      </c>
      <c r="D2511" t="s">
        <v>34</v>
      </c>
      <c r="G2511" t="s">
        <v>48</v>
      </c>
      <c r="H2511">
        <v>10</v>
      </c>
      <c r="K2511" t="s">
        <v>129</v>
      </c>
      <c r="L2511" t="s">
        <v>130</v>
      </c>
      <c r="M2511" t="s">
        <v>131</v>
      </c>
      <c r="N2511">
        <v>20</v>
      </c>
      <c r="O2511" s="1">
        <v>37137</v>
      </c>
      <c r="P2511" t="s">
        <v>41</v>
      </c>
      <c r="Q2511" t="s">
        <v>42</v>
      </c>
      <c r="R2511" t="str">
        <f>"0561011"</f>
        <v>0561011</v>
      </c>
      <c r="S2511" t="s">
        <v>132</v>
      </c>
      <c r="T2511" t="s">
        <v>129</v>
      </c>
      <c r="U2511" t="s">
        <v>130</v>
      </c>
      <c r="V2511" t="s">
        <v>131</v>
      </c>
      <c r="W2511" t="s">
        <v>51</v>
      </c>
      <c r="X2511" t="s">
        <v>45</v>
      </c>
      <c r="Y2511" s="1">
        <v>25524</v>
      </c>
      <c r="Z2511">
        <v>2</v>
      </c>
      <c r="AA2511" t="s">
        <v>130</v>
      </c>
      <c r="AB2511" s="40" t="s">
        <v>1798</v>
      </c>
    </row>
    <row r="2512" spans="1:28" x14ac:dyDescent="0.25">
      <c r="A2512">
        <v>99912511</v>
      </c>
      <c r="B2512" t="s">
        <v>56</v>
      </c>
      <c r="C2512" t="s">
        <v>1282</v>
      </c>
      <c r="D2512" t="s">
        <v>1283</v>
      </c>
      <c r="G2512" t="s">
        <v>35</v>
      </c>
      <c r="H2512">
        <v>1</v>
      </c>
      <c r="K2512" t="s">
        <v>1268</v>
      </c>
      <c r="L2512" t="s">
        <v>1269</v>
      </c>
      <c r="M2512" t="s">
        <v>1270</v>
      </c>
      <c r="N2512">
        <v>20</v>
      </c>
      <c r="P2512" t="s">
        <v>41</v>
      </c>
      <c r="Q2512" t="s">
        <v>922</v>
      </c>
      <c r="R2512" t="str">
        <f>"1950001"</f>
        <v>1950001</v>
      </c>
      <c r="S2512" t="s">
        <v>1284</v>
      </c>
      <c r="T2512" t="s">
        <v>1268</v>
      </c>
      <c r="U2512" t="s">
        <v>1269</v>
      </c>
      <c r="V2512" t="s">
        <v>1270</v>
      </c>
      <c r="W2512" t="s">
        <v>51</v>
      </c>
      <c r="X2512" t="s">
        <v>45</v>
      </c>
      <c r="Y2512" s="1">
        <v>25524</v>
      </c>
      <c r="Z2512">
        <v>2</v>
      </c>
      <c r="AA2512" t="s">
        <v>1269</v>
      </c>
      <c r="AB2512" s="40" t="s">
        <v>1798</v>
      </c>
    </row>
    <row r="2513" spans="1:28" x14ac:dyDescent="0.25">
      <c r="A2513">
        <v>99912512</v>
      </c>
      <c r="B2513" t="s">
        <v>56</v>
      </c>
      <c r="C2513" t="s">
        <v>68</v>
      </c>
      <c r="D2513" t="s">
        <v>69</v>
      </c>
      <c r="G2513" t="s">
        <v>35</v>
      </c>
      <c r="H2513">
        <v>1</v>
      </c>
      <c r="I2513" t="s">
        <v>289</v>
      </c>
      <c r="J2513" s="1">
        <v>43344</v>
      </c>
      <c r="K2513" t="s">
        <v>223</v>
      </c>
      <c r="L2513" t="s">
        <v>224</v>
      </c>
      <c r="M2513" t="s">
        <v>131</v>
      </c>
      <c r="N2513">
        <v>20</v>
      </c>
      <c r="O2513" s="1">
        <v>43344</v>
      </c>
      <c r="P2513" t="s">
        <v>41</v>
      </c>
      <c r="Q2513" t="s">
        <v>42</v>
      </c>
      <c r="R2513" t="str">
        <f>"0580207"</f>
        <v>0580207</v>
      </c>
      <c r="S2513" t="s">
        <v>229</v>
      </c>
      <c r="T2513" t="s">
        <v>223</v>
      </c>
      <c r="U2513" t="s">
        <v>224</v>
      </c>
      <c r="V2513" t="s">
        <v>131</v>
      </c>
      <c r="W2513" t="s">
        <v>51</v>
      </c>
      <c r="X2513" t="s">
        <v>45</v>
      </c>
      <c r="Y2513" s="1">
        <v>25522</v>
      </c>
      <c r="Z2513">
        <v>2</v>
      </c>
      <c r="AA2513" t="s">
        <v>224</v>
      </c>
      <c r="AB2513" s="40" t="s">
        <v>1798</v>
      </c>
    </row>
    <row r="2514" spans="1:28" x14ac:dyDescent="0.25">
      <c r="A2514">
        <v>99912513</v>
      </c>
      <c r="B2514" t="s">
        <v>56</v>
      </c>
      <c r="C2514" t="s">
        <v>52</v>
      </c>
      <c r="D2514" t="s">
        <v>53</v>
      </c>
      <c r="G2514" t="s">
        <v>48</v>
      </c>
      <c r="H2514">
        <v>1</v>
      </c>
      <c r="K2514" t="s">
        <v>300</v>
      </c>
      <c r="L2514" t="s">
        <v>301</v>
      </c>
      <c r="M2514" t="s">
        <v>131</v>
      </c>
      <c r="N2514">
        <v>20</v>
      </c>
      <c r="P2514" t="s">
        <v>41</v>
      </c>
      <c r="Q2514" t="s">
        <v>42</v>
      </c>
      <c r="R2514" t="str">
        <f>"0580176"</f>
        <v>0580176</v>
      </c>
      <c r="S2514" t="s">
        <v>305</v>
      </c>
      <c r="T2514" t="s">
        <v>300</v>
      </c>
      <c r="U2514" t="s">
        <v>301</v>
      </c>
      <c r="V2514" t="s">
        <v>131</v>
      </c>
      <c r="W2514" t="s">
        <v>51</v>
      </c>
      <c r="X2514" t="s">
        <v>45</v>
      </c>
      <c r="Y2514" s="1">
        <v>25521</v>
      </c>
      <c r="Z2514">
        <v>2</v>
      </c>
      <c r="AA2514" t="s">
        <v>301</v>
      </c>
      <c r="AB2514" s="40" t="s">
        <v>1798</v>
      </c>
    </row>
    <row r="2515" spans="1:28" x14ac:dyDescent="0.25">
      <c r="A2515">
        <v>99912514</v>
      </c>
      <c r="B2515" t="s">
        <v>56</v>
      </c>
      <c r="C2515" t="s">
        <v>33</v>
      </c>
      <c r="D2515" t="s">
        <v>34</v>
      </c>
      <c r="G2515" t="s">
        <v>35</v>
      </c>
      <c r="H2515">
        <v>1</v>
      </c>
      <c r="K2515" t="s">
        <v>157</v>
      </c>
      <c r="L2515" t="s">
        <v>158</v>
      </c>
      <c r="M2515" t="s">
        <v>131</v>
      </c>
      <c r="N2515">
        <v>20</v>
      </c>
      <c r="P2515" t="s">
        <v>41</v>
      </c>
      <c r="Q2515" t="s">
        <v>49</v>
      </c>
      <c r="R2515" t="str">
        <f>"0560010"</f>
        <v>0560010</v>
      </c>
      <c r="S2515" t="s">
        <v>179</v>
      </c>
      <c r="T2515" t="s">
        <v>157</v>
      </c>
      <c r="U2515" t="s">
        <v>158</v>
      </c>
      <c r="V2515" t="s">
        <v>131</v>
      </c>
      <c r="W2515" t="s">
        <v>51</v>
      </c>
      <c r="X2515" t="s">
        <v>45</v>
      </c>
      <c r="Y2515" s="1">
        <v>25520</v>
      </c>
      <c r="Z2515">
        <v>2</v>
      </c>
      <c r="AA2515" t="s">
        <v>158</v>
      </c>
      <c r="AB2515" s="40" t="s">
        <v>1798</v>
      </c>
    </row>
    <row r="2516" spans="1:28" x14ac:dyDescent="0.25">
      <c r="A2516">
        <v>99912515</v>
      </c>
      <c r="B2516" t="s">
        <v>32</v>
      </c>
      <c r="C2516" t="s">
        <v>46</v>
      </c>
      <c r="D2516" t="s">
        <v>47</v>
      </c>
      <c r="G2516" t="s">
        <v>48</v>
      </c>
      <c r="H2516">
        <v>1</v>
      </c>
      <c r="K2516" t="s">
        <v>223</v>
      </c>
      <c r="L2516" t="s">
        <v>224</v>
      </c>
      <c r="M2516" t="s">
        <v>131</v>
      </c>
      <c r="N2516">
        <v>20</v>
      </c>
      <c r="P2516" t="s">
        <v>41</v>
      </c>
      <c r="Q2516" t="s">
        <v>42</v>
      </c>
      <c r="R2516" t="str">
        <f>"0580202"</f>
        <v>0580202</v>
      </c>
      <c r="S2516" t="s">
        <v>240</v>
      </c>
      <c r="T2516" t="s">
        <v>223</v>
      </c>
      <c r="U2516" t="s">
        <v>224</v>
      </c>
      <c r="V2516" t="s">
        <v>131</v>
      </c>
      <c r="W2516" t="s">
        <v>165</v>
      </c>
      <c r="X2516" t="s">
        <v>45</v>
      </c>
      <c r="Y2516" s="1">
        <v>25502</v>
      </c>
      <c r="Z2516">
        <v>2</v>
      </c>
      <c r="AA2516" t="s">
        <v>224</v>
      </c>
      <c r="AB2516" s="40" t="s">
        <v>1798</v>
      </c>
    </row>
    <row r="2517" spans="1:28" x14ac:dyDescent="0.25">
      <c r="A2517">
        <v>99912516</v>
      </c>
      <c r="B2517" t="s">
        <v>32</v>
      </c>
      <c r="C2517" t="s">
        <v>52</v>
      </c>
      <c r="D2517" t="s">
        <v>53</v>
      </c>
      <c r="G2517" t="s">
        <v>48</v>
      </c>
      <c r="H2517">
        <v>1</v>
      </c>
      <c r="K2517" t="s">
        <v>162</v>
      </c>
      <c r="L2517" t="s">
        <v>158</v>
      </c>
      <c r="M2517" t="s">
        <v>131</v>
      </c>
      <c r="N2517">
        <v>20</v>
      </c>
      <c r="P2517" t="s">
        <v>41</v>
      </c>
      <c r="Q2517" t="s">
        <v>42</v>
      </c>
      <c r="R2517" t="str">
        <f>"0580320"</f>
        <v>0580320</v>
      </c>
      <c r="S2517" t="s">
        <v>164</v>
      </c>
      <c r="T2517" t="s">
        <v>162</v>
      </c>
      <c r="U2517" t="s">
        <v>158</v>
      </c>
      <c r="V2517" t="s">
        <v>131</v>
      </c>
      <c r="W2517" t="s">
        <v>165</v>
      </c>
      <c r="X2517" t="s">
        <v>45</v>
      </c>
      <c r="Y2517" s="1">
        <v>25492</v>
      </c>
      <c r="Z2517">
        <v>2</v>
      </c>
      <c r="AA2517" t="s">
        <v>158</v>
      </c>
      <c r="AB2517" s="40" t="s">
        <v>1798</v>
      </c>
    </row>
    <row r="2518" spans="1:28" x14ac:dyDescent="0.25">
      <c r="A2518">
        <v>99912517</v>
      </c>
      <c r="B2518" t="s">
        <v>32</v>
      </c>
      <c r="C2518" t="s">
        <v>71</v>
      </c>
      <c r="D2518" t="s">
        <v>72</v>
      </c>
      <c r="G2518" t="s">
        <v>48</v>
      </c>
      <c r="H2518">
        <v>1</v>
      </c>
      <c r="K2518" t="s">
        <v>1268</v>
      </c>
      <c r="L2518" t="s">
        <v>1269</v>
      </c>
      <c r="M2518" t="s">
        <v>1270</v>
      </c>
      <c r="N2518">
        <v>20</v>
      </c>
      <c r="P2518" t="s">
        <v>41</v>
      </c>
      <c r="Q2518" t="s">
        <v>49</v>
      </c>
      <c r="R2518" t="str">
        <f>"1981912"</f>
        <v>1981912</v>
      </c>
      <c r="S2518" t="s">
        <v>1279</v>
      </c>
      <c r="T2518" t="s">
        <v>1268</v>
      </c>
      <c r="U2518" t="s">
        <v>1269</v>
      </c>
      <c r="V2518" t="s">
        <v>1270</v>
      </c>
      <c r="W2518" t="s">
        <v>51</v>
      </c>
      <c r="X2518" t="s">
        <v>45</v>
      </c>
      <c r="Y2518" s="1">
        <v>25476</v>
      </c>
      <c r="Z2518">
        <v>2</v>
      </c>
      <c r="AA2518" t="s">
        <v>1269</v>
      </c>
      <c r="AB2518" s="40" t="s">
        <v>1798</v>
      </c>
    </row>
    <row r="2519" spans="1:28" x14ac:dyDescent="0.25">
      <c r="A2519">
        <v>99912518</v>
      </c>
      <c r="B2519" t="s">
        <v>56</v>
      </c>
      <c r="C2519" t="s">
        <v>68</v>
      </c>
      <c r="D2519" t="s">
        <v>69</v>
      </c>
      <c r="G2519" t="s">
        <v>48</v>
      </c>
      <c r="H2519">
        <v>1</v>
      </c>
      <c r="K2519" t="s">
        <v>1128</v>
      </c>
      <c r="L2519" t="s">
        <v>1129</v>
      </c>
      <c r="M2519" t="s">
        <v>1130</v>
      </c>
      <c r="N2519">
        <v>20</v>
      </c>
      <c r="P2519" t="s">
        <v>41</v>
      </c>
      <c r="Q2519" t="s">
        <v>42</v>
      </c>
      <c r="R2519" t="str">
        <f>"3180015"</f>
        <v>3180015</v>
      </c>
      <c r="S2519" t="s">
        <v>1139</v>
      </c>
      <c r="T2519" t="s">
        <v>1128</v>
      </c>
      <c r="U2519" t="s">
        <v>1129</v>
      </c>
      <c r="V2519" t="s">
        <v>1130</v>
      </c>
      <c r="W2519" t="s">
        <v>51</v>
      </c>
      <c r="X2519" t="s">
        <v>45</v>
      </c>
      <c r="Y2519" s="1">
        <v>25473</v>
      </c>
      <c r="Z2519">
        <v>2</v>
      </c>
      <c r="AA2519" t="s">
        <v>1129</v>
      </c>
      <c r="AB2519" s="40" t="s">
        <v>1798</v>
      </c>
    </row>
    <row r="2520" spans="1:28" x14ac:dyDescent="0.25">
      <c r="A2520">
        <v>99912519</v>
      </c>
      <c r="B2520" t="s">
        <v>32</v>
      </c>
      <c r="C2520" t="s">
        <v>64</v>
      </c>
      <c r="D2520" t="s">
        <v>65</v>
      </c>
      <c r="G2520" t="s">
        <v>48</v>
      </c>
      <c r="H2520">
        <v>1</v>
      </c>
      <c r="K2520" t="s">
        <v>162</v>
      </c>
      <c r="L2520" t="s">
        <v>158</v>
      </c>
      <c r="M2520" t="s">
        <v>131</v>
      </c>
      <c r="N2520">
        <v>20</v>
      </c>
      <c r="P2520" t="s">
        <v>41</v>
      </c>
      <c r="Q2520" t="s">
        <v>49</v>
      </c>
      <c r="R2520" t="str">
        <f>"0581325"</f>
        <v>0581325</v>
      </c>
      <c r="S2520" t="s">
        <v>169</v>
      </c>
      <c r="T2520" t="s">
        <v>162</v>
      </c>
      <c r="U2520" t="s">
        <v>158</v>
      </c>
      <c r="V2520" t="s">
        <v>131</v>
      </c>
      <c r="W2520" t="s">
        <v>165</v>
      </c>
      <c r="X2520" t="s">
        <v>45</v>
      </c>
      <c r="Y2520" s="1">
        <v>25465</v>
      </c>
      <c r="Z2520">
        <v>2</v>
      </c>
      <c r="AA2520" t="s">
        <v>158</v>
      </c>
      <c r="AB2520" s="40" t="s">
        <v>1798</v>
      </c>
    </row>
    <row r="2521" spans="1:28" x14ac:dyDescent="0.25">
      <c r="A2521">
        <v>99912520</v>
      </c>
      <c r="B2521" t="s">
        <v>32</v>
      </c>
      <c r="C2521" t="s">
        <v>46</v>
      </c>
      <c r="D2521" t="s">
        <v>47</v>
      </c>
      <c r="G2521" t="s">
        <v>35</v>
      </c>
      <c r="H2521">
        <v>1</v>
      </c>
      <c r="I2521">
        <v>0</v>
      </c>
      <c r="J2521" s="1">
        <v>43344</v>
      </c>
      <c r="K2521" t="s">
        <v>223</v>
      </c>
      <c r="L2521" t="s">
        <v>224</v>
      </c>
      <c r="M2521" t="s">
        <v>131</v>
      </c>
      <c r="N2521">
        <v>20</v>
      </c>
      <c r="O2521" s="1">
        <v>43344</v>
      </c>
      <c r="P2521" t="s">
        <v>41</v>
      </c>
      <c r="Q2521" t="s">
        <v>42</v>
      </c>
      <c r="R2521" t="str">
        <f>"0580206"</f>
        <v>0580206</v>
      </c>
      <c r="S2521" t="s">
        <v>237</v>
      </c>
      <c r="T2521" t="s">
        <v>223</v>
      </c>
      <c r="U2521" t="s">
        <v>224</v>
      </c>
      <c r="V2521" t="s">
        <v>131</v>
      </c>
      <c r="W2521" t="s">
        <v>51</v>
      </c>
      <c r="X2521" t="s">
        <v>45</v>
      </c>
      <c r="Y2521" s="1">
        <v>25449</v>
      </c>
      <c r="Z2521">
        <v>2</v>
      </c>
      <c r="AA2521" t="s">
        <v>224</v>
      </c>
      <c r="AB2521" s="40" t="s">
        <v>1798</v>
      </c>
    </row>
    <row r="2522" spans="1:28" x14ac:dyDescent="0.25">
      <c r="A2522">
        <v>99912521</v>
      </c>
      <c r="B2522" t="s">
        <v>56</v>
      </c>
      <c r="C2522" t="s">
        <v>85</v>
      </c>
      <c r="D2522" t="s">
        <v>86</v>
      </c>
      <c r="G2522" t="s">
        <v>35</v>
      </c>
      <c r="H2522">
        <v>1</v>
      </c>
      <c r="K2522" t="s">
        <v>223</v>
      </c>
      <c r="L2522" t="s">
        <v>224</v>
      </c>
      <c r="M2522" t="s">
        <v>131</v>
      </c>
      <c r="N2522">
        <v>20</v>
      </c>
      <c r="P2522" t="s">
        <v>41</v>
      </c>
      <c r="Q2522" t="s">
        <v>49</v>
      </c>
      <c r="R2522" t="str">
        <f>"0560018"</f>
        <v>0560018</v>
      </c>
      <c r="S2522" t="s">
        <v>234</v>
      </c>
      <c r="T2522" t="s">
        <v>223</v>
      </c>
      <c r="U2522" t="s">
        <v>224</v>
      </c>
      <c r="V2522" t="s">
        <v>131</v>
      </c>
      <c r="W2522" t="s">
        <v>51</v>
      </c>
      <c r="X2522" t="s">
        <v>45</v>
      </c>
      <c r="Y2522" s="1">
        <v>25440</v>
      </c>
      <c r="Z2522">
        <v>2</v>
      </c>
      <c r="AA2522" t="s">
        <v>224</v>
      </c>
      <c r="AB2522" s="40" t="s">
        <v>1798</v>
      </c>
    </row>
    <row r="2523" spans="1:28" x14ac:dyDescent="0.25">
      <c r="A2523">
        <v>99912522</v>
      </c>
      <c r="B2523" t="s">
        <v>32</v>
      </c>
      <c r="C2523" t="s">
        <v>46</v>
      </c>
      <c r="D2523" t="s">
        <v>47</v>
      </c>
      <c r="G2523" t="s">
        <v>48</v>
      </c>
      <c r="H2523">
        <v>1</v>
      </c>
      <c r="K2523" t="s">
        <v>223</v>
      </c>
      <c r="L2523" t="s">
        <v>224</v>
      </c>
      <c r="M2523" t="s">
        <v>131</v>
      </c>
      <c r="N2523">
        <v>20</v>
      </c>
      <c r="P2523" t="s">
        <v>41</v>
      </c>
      <c r="Q2523" t="s">
        <v>42</v>
      </c>
      <c r="R2523" t="str">
        <f>"0580200"</f>
        <v>0580200</v>
      </c>
      <c r="S2523" t="s">
        <v>245</v>
      </c>
      <c r="T2523" t="s">
        <v>223</v>
      </c>
      <c r="U2523" t="s">
        <v>224</v>
      </c>
      <c r="V2523" t="s">
        <v>131</v>
      </c>
      <c r="W2523" t="s">
        <v>51</v>
      </c>
      <c r="X2523" t="s">
        <v>45</v>
      </c>
      <c r="Y2523" s="1">
        <v>25429</v>
      </c>
      <c r="Z2523">
        <v>2</v>
      </c>
      <c r="AA2523" t="s">
        <v>224</v>
      </c>
      <c r="AB2523" s="40" t="s">
        <v>1798</v>
      </c>
    </row>
    <row r="2524" spans="1:28" x14ac:dyDescent="0.25">
      <c r="A2524">
        <v>99912523</v>
      </c>
      <c r="B2524" t="s">
        <v>56</v>
      </c>
      <c r="C2524" t="s">
        <v>79</v>
      </c>
      <c r="D2524" t="s">
        <v>80</v>
      </c>
      <c r="G2524" t="s">
        <v>35</v>
      </c>
      <c r="H2524">
        <v>1</v>
      </c>
      <c r="I2524">
        <v>6569</v>
      </c>
      <c r="J2524" s="1">
        <v>43344</v>
      </c>
      <c r="K2524" t="s">
        <v>1306</v>
      </c>
      <c r="L2524" t="s">
        <v>1307</v>
      </c>
      <c r="M2524" t="s">
        <v>1270</v>
      </c>
      <c r="N2524">
        <v>20</v>
      </c>
      <c r="O2524" s="1">
        <v>43344</v>
      </c>
      <c r="P2524" t="s">
        <v>41</v>
      </c>
      <c r="Q2524" t="s">
        <v>49</v>
      </c>
      <c r="R2524" t="str">
        <f>"1991915"</f>
        <v>1991915</v>
      </c>
      <c r="S2524" t="s">
        <v>1316</v>
      </c>
      <c r="T2524" t="s">
        <v>1306</v>
      </c>
      <c r="U2524" t="s">
        <v>1307</v>
      </c>
      <c r="V2524" t="s">
        <v>1270</v>
      </c>
      <c r="W2524" t="s">
        <v>165</v>
      </c>
      <c r="X2524" t="s">
        <v>45</v>
      </c>
      <c r="Y2524" s="1">
        <v>25425</v>
      </c>
      <c r="Z2524">
        <v>2</v>
      </c>
      <c r="AA2524" t="s">
        <v>1307</v>
      </c>
      <c r="AB2524" s="40" t="s">
        <v>1798</v>
      </c>
    </row>
    <row r="2525" spans="1:28" x14ac:dyDescent="0.25">
      <c r="A2525">
        <v>99912524</v>
      </c>
      <c r="B2525" t="s">
        <v>56</v>
      </c>
      <c r="C2525" t="s">
        <v>79</v>
      </c>
      <c r="D2525" t="s">
        <v>80</v>
      </c>
      <c r="G2525" t="s">
        <v>35</v>
      </c>
      <c r="H2525">
        <v>1</v>
      </c>
      <c r="K2525" t="s">
        <v>223</v>
      </c>
      <c r="L2525" t="s">
        <v>224</v>
      </c>
      <c r="M2525" t="s">
        <v>131</v>
      </c>
      <c r="N2525">
        <v>20</v>
      </c>
      <c r="P2525" t="s">
        <v>41</v>
      </c>
      <c r="Q2525" t="s">
        <v>42</v>
      </c>
      <c r="R2525" t="str">
        <f>"0590903"</f>
        <v>0590903</v>
      </c>
      <c r="S2525" t="s">
        <v>226</v>
      </c>
      <c r="T2525" t="s">
        <v>223</v>
      </c>
      <c r="U2525" t="s">
        <v>224</v>
      </c>
      <c r="V2525" t="s">
        <v>131</v>
      </c>
      <c r="W2525" t="s">
        <v>51</v>
      </c>
      <c r="X2525" t="s">
        <v>45</v>
      </c>
      <c r="Y2525" s="1">
        <v>25417</v>
      </c>
      <c r="Z2525">
        <v>2</v>
      </c>
      <c r="AA2525" t="s">
        <v>224</v>
      </c>
      <c r="AB2525" s="40" t="s">
        <v>1798</v>
      </c>
    </row>
    <row r="2526" spans="1:28" x14ac:dyDescent="0.25">
      <c r="A2526">
        <v>99912525</v>
      </c>
      <c r="B2526" t="s">
        <v>32</v>
      </c>
      <c r="C2526" t="s">
        <v>79</v>
      </c>
      <c r="D2526" t="s">
        <v>80</v>
      </c>
      <c r="G2526" t="s">
        <v>35</v>
      </c>
      <c r="H2526">
        <v>1</v>
      </c>
      <c r="K2526" t="s">
        <v>223</v>
      </c>
      <c r="L2526" t="s">
        <v>224</v>
      </c>
      <c r="M2526" t="s">
        <v>131</v>
      </c>
      <c r="N2526">
        <v>20</v>
      </c>
      <c r="P2526" t="s">
        <v>41</v>
      </c>
      <c r="Q2526" t="s">
        <v>49</v>
      </c>
      <c r="R2526" t="str">
        <f>"0591901"</f>
        <v>0591901</v>
      </c>
      <c r="S2526" t="s">
        <v>230</v>
      </c>
      <c r="T2526" t="s">
        <v>223</v>
      </c>
      <c r="U2526" t="s">
        <v>224</v>
      </c>
      <c r="V2526" t="s">
        <v>131</v>
      </c>
      <c r="W2526" t="s">
        <v>51</v>
      </c>
      <c r="X2526" t="s">
        <v>45</v>
      </c>
      <c r="Y2526" s="1">
        <v>25416</v>
      </c>
      <c r="Z2526">
        <v>2</v>
      </c>
      <c r="AA2526" t="s">
        <v>224</v>
      </c>
      <c r="AB2526" s="40" t="s">
        <v>1798</v>
      </c>
    </row>
    <row r="2527" spans="1:28" x14ac:dyDescent="0.25">
      <c r="A2527">
        <v>99912526</v>
      </c>
      <c r="B2527" t="s">
        <v>56</v>
      </c>
      <c r="C2527" t="s">
        <v>61</v>
      </c>
      <c r="D2527" t="s">
        <v>62</v>
      </c>
      <c r="E2527" t="s">
        <v>52</v>
      </c>
      <c r="F2527" t="s">
        <v>53</v>
      </c>
      <c r="G2527" t="s">
        <v>48</v>
      </c>
      <c r="H2527">
        <v>1</v>
      </c>
      <c r="K2527" t="s">
        <v>1187</v>
      </c>
      <c r="L2527" t="s">
        <v>1188</v>
      </c>
      <c r="M2527" t="s">
        <v>1130</v>
      </c>
      <c r="N2527">
        <v>20</v>
      </c>
      <c r="P2527" t="s">
        <v>41</v>
      </c>
      <c r="Q2527" t="s">
        <v>49</v>
      </c>
      <c r="R2527" t="str">
        <f>"4581015"</f>
        <v>4581015</v>
      </c>
      <c r="S2527" t="s">
        <v>1190</v>
      </c>
      <c r="T2527" t="s">
        <v>1187</v>
      </c>
      <c r="U2527" t="s">
        <v>1188</v>
      </c>
      <c r="V2527" t="s">
        <v>1130</v>
      </c>
      <c r="W2527" t="s">
        <v>51</v>
      </c>
      <c r="X2527" t="s">
        <v>45</v>
      </c>
      <c r="Y2527" s="1">
        <v>25408</v>
      </c>
      <c r="Z2527">
        <v>2</v>
      </c>
      <c r="AA2527" t="s">
        <v>1188</v>
      </c>
      <c r="AB2527" s="40" t="s">
        <v>1798</v>
      </c>
    </row>
    <row r="2528" spans="1:28" x14ac:dyDescent="0.25">
      <c r="A2528">
        <v>99912527</v>
      </c>
      <c r="B2528" t="s">
        <v>32</v>
      </c>
      <c r="C2528" t="s">
        <v>46</v>
      </c>
      <c r="D2528" t="s">
        <v>47</v>
      </c>
      <c r="G2528" t="s">
        <v>35</v>
      </c>
      <c r="H2528">
        <v>1</v>
      </c>
      <c r="K2528" t="s">
        <v>157</v>
      </c>
      <c r="L2528" t="s">
        <v>158</v>
      </c>
      <c r="M2528" t="s">
        <v>131</v>
      </c>
      <c r="N2528">
        <v>20</v>
      </c>
      <c r="P2528" t="s">
        <v>41</v>
      </c>
      <c r="Q2528" t="s">
        <v>42</v>
      </c>
      <c r="R2528" t="str">
        <f>"0580725"</f>
        <v>0580725</v>
      </c>
      <c r="S2528" t="s">
        <v>167</v>
      </c>
      <c r="T2528" t="s">
        <v>157</v>
      </c>
      <c r="U2528" t="s">
        <v>158</v>
      </c>
      <c r="V2528" t="s">
        <v>131</v>
      </c>
      <c r="W2528" t="s">
        <v>51</v>
      </c>
      <c r="X2528" t="s">
        <v>45</v>
      </c>
      <c r="Y2528" s="1">
        <v>25407</v>
      </c>
      <c r="Z2528">
        <v>2</v>
      </c>
      <c r="AA2528" t="s">
        <v>158</v>
      </c>
      <c r="AB2528" s="40" t="s">
        <v>1798</v>
      </c>
    </row>
    <row r="2529" spans="1:28" x14ac:dyDescent="0.25">
      <c r="A2529">
        <v>99912528</v>
      </c>
      <c r="B2529" t="s">
        <v>56</v>
      </c>
      <c r="C2529" t="s">
        <v>143</v>
      </c>
      <c r="D2529" t="s">
        <v>144</v>
      </c>
      <c r="G2529" t="s">
        <v>48</v>
      </c>
      <c r="H2529">
        <v>1</v>
      </c>
      <c r="K2529" t="s">
        <v>223</v>
      </c>
      <c r="L2529" t="s">
        <v>224</v>
      </c>
      <c r="M2529" t="s">
        <v>131</v>
      </c>
      <c r="N2529">
        <v>20</v>
      </c>
      <c r="P2529" t="s">
        <v>41</v>
      </c>
      <c r="Q2529" t="s">
        <v>49</v>
      </c>
      <c r="R2529" t="str">
        <f>"0581207"</f>
        <v>0581207</v>
      </c>
      <c r="S2529" t="s">
        <v>233</v>
      </c>
      <c r="T2529" t="s">
        <v>223</v>
      </c>
      <c r="U2529" t="s">
        <v>224</v>
      </c>
      <c r="V2529" t="s">
        <v>131</v>
      </c>
      <c r="W2529" t="s">
        <v>51</v>
      </c>
      <c r="X2529" t="s">
        <v>45</v>
      </c>
      <c r="Y2529" s="1">
        <v>25402</v>
      </c>
      <c r="Z2529">
        <v>2</v>
      </c>
      <c r="AA2529" t="s">
        <v>224</v>
      </c>
      <c r="AB2529" s="40" t="s">
        <v>1798</v>
      </c>
    </row>
    <row r="2530" spans="1:28" x14ac:dyDescent="0.25">
      <c r="A2530">
        <v>99912529</v>
      </c>
      <c r="B2530" t="s">
        <v>32</v>
      </c>
      <c r="C2530" t="s">
        <v>111</v>
      </c>
      <c r="D2530" t="s">
        <v>112</v>
      </c>
      <c r="G2530" t="s">
        <v>35</v>
      </c>
      <c r="H2530">
        <v>1</v>
      </c>
      <c r="K2530" t="s">
        <v>1341</v>
      </c>
      <c r="L2530" t="s">
        <v>1342</v>
      </c>
      <c r="M2530" t="s">
        <v>1270</v>
      </c>
      <c r="N2530">
        <v>20</v>
      </c>
      <c r="P2530" t="s">
        <v>41</v>
      </c>
      <c r="Q2530" t="s">
        <v>75</v>
      </c>
      <c r="R2530" t="str">
        <f>"7191006"</f>
        <v>7191006</v>
      </c>
      <c r="S2530" t="s">
        <v>1351</v>
      </c>
      <c r="T2530" t="s">
        <v>1341</v>
      </c>
      <c r="U2530" t="s">
        <v>1342</v>
      </c>
      <c r="V2530" t="s">
        <v>1270</v>
      </c>
      <c r="W2530" t="s">
        <v>51</v>
      </c>
      <c r="X2530" t="s">
        <v>45</v>
      </c>
      <c r="Y2530" s="1">
        <v>25399</v>
      </c>
      <c r="Z2530">
        <v>1</v>
      </c>
      <c r="AA2530" t="s">
        <v>1342</v>
      </c>
      <c r="AB2530" s="40" t="s">
        <v>1798</v>
      </c>
    </row>
    <row r="2531" spans="1:28" x14ac:dyDescent="0.25">
      <c r="A2531">
        <v>99912530</v>
      </c>
      <c r="B2531" t="s">
        <v>56</v>
      </c>
      <c r="C2531" t="s">
        <v>68</v>
      </c>
      <c r="D2531" t="s">
        <v>69</v>
      </c>
      <c r="G2531" t="s">
        <v>48</v>
      </c>
      <c r="H2531">
        <v>6</v>
      </c>
      <c r="K2531" t="s">
        <v>345</v>
      </c>
      <c r="L2531" t="s">
        <v>346</v>
      </c>
      <c r="M2531" t="s">
        <v>131</v>
      </c>
      <c r="N2531">
        <v>20</v>
      </c>
      <c r="P2531" t="s">
        <v>41</v>
      </c>
      <c r="Q2531" t="s">
        <v>49</v>
      </c>
      <c r="R2531" t="str">
        <f>"0561021"</f>
        <v>0561021</v>
      </c>
      <c r="S2531" t="s">
        <v>352</v>
      </c>
      <c r="T2531" t="s">
        <v>345</v>
      </c>
      <c r="U2531" t="s">
        <v>346</v>
      </c>
      <c r="V2531" t="s">
        <v>131</v>
      </c>
      <c r="W2531" t="s">
        <v>51</v>
      </c>
      <c r="X2531" t="s">
        <v>45</v>
      </c>
      <c r="Y2531" s="1">
        <v>25393</v>
      </c>
      <c r="Z2531">
        <v>2</v>
      </c>
      <c r="AA2531" t="s">
        <v>346</v>
      </c>
      <c r="AB2531" s="40" t="s">
        <v>1798</v>
      </c>
    </row>
    <row r="2532" spans="1:28" x14ac:dyDescent="0.25">
      <c r="A2532">
        <v>99912531</v>
      </c>
      <c r="B2532" t="s">
        <v>32</v>
      </c>
      <c r="C2532" t="s">
        <v>33</v>
      </c>
      <c r="D2532" t="s">
        <v>34</v>
      </c>
      <c r="G2532" t="s">
        <v>48</v>
      </c>
      <c r="H2532">
        <v>1</v>
      </c>
      <c r="K2532" t="s">
        <v>129</v>
      </c>
      <c r="L2532" t="s">
        <v>130</v>
      </c>
      <c r="M2532" t="s">
        <v>131</v>
      </c>
      <c r="N2532">
        <v>20</v>
      </c>
      <c r="P2532" t="s">
        <v>41</v>
      </c>
      <c r="Q2532" t="s">
        <v>42</v>
      </c>
      <c r="R2532" t="str">
        <f>"0590905"</f>
        <v>0590905</v>
      </c>
      <c r="S2532" t="s">
        <v>133</v>
      </c>
      <c r="T2532" t="s">
        <v>129</v>
      </c>
      <c r="U2532" t="s">
        <v>130</v>
      </c>
      <c r="V2532" t="s">
        <v>131</v>
      </c>
      <c r="W2532" t="s">
        <v>51</v>
      </c>
      <c r="X2532" t="s">
        <v>45</v>
      </c>
      <c r="Y2532" s="1">
        <v>25375</v>
      </c>
      <c r="Z2532">
        <v>2</v>
      </c>
      <c r="AA2532" t="s">
        <v>130</v>
      </c>
      <c r="AB2532" s="40" t="s">
        <v>1798</v>
      </c>
    </row>
    <row r="2533" spans="1:28" x14ac:dyDescent="0.25">
      <c r="A2533">
        <v>99912532</v>
      </c>
      <c r="B2533" t="s">
        <v>32</v>
      </c>
      <c r="C2533" t="s">
        <v>33</v>
      </c>
      <c r="D2533" t="s">
        <v>34</v>
      </c>
      <c r="G2533" t="s">
        <v>48</v>
      </c>
      <c r="H2533">
        <v>1</v>
      </c>
      <c r="K2533" t="s">
        <v>1268</v>
      </c>
      <c r="L2533" t="s">
        <v>1269</v>
      </c>
      <c r="M2533" t="s">
        <v>1270</v>
      </c>
      <c r="N2533">
        <v>20</v>
      </c>
      <c r="P2533" t="s">
        <v>41</v>
      </c>
      <c r="Q2533" t="s">
        <v>42</v>
      </c>
      <c r="R2533" t="str">
        <f>"1990910"</f>
        <v>1990910</v>
      </c>
      <c r="S2533" t="s">
        <v>1281</v>
      </c>
      <c r="T2533" t="s">
        <v>1268</v>
      </c>
      <c r="U2533" t="s">
        <v>1269</v>
      </c>
      <c r="V2533" t="s">
        <v>1270</v>
      </c>
      <c r="W2533" t="s">
        <v>165</v>
      </c>
      <c r="X2533" t="s">
        <v>45</v>
      </c>
      <c r="Y2533" s="1">
        <v>25361</v>
      </c>
      <c r="Z2533">
        <v>2</v>
      </c>
      <c r="AA2533" t="s">
        <v>1269</v>
      </c>
      <c r="AB2533" s="40" t="s">
        <v>1798</v>
      </c>
    </row>
    <row r="2534" spans="1:28" x14ac:dyDescent="0.25">
      <c r="A2534">
        <v>99912533</v>
      </c>
      <c r="B2534" t="s">
        <v>56</v>
      </c>
      <c r="C2534" t="s">
        <v>82</v>
      </c>
      <c r="D2534" t="s">
        <v>83</v>
      </c>
      <c r="G2534" t="s">
        <v>35</v>
      </c>
      <c r="H2534">
        <v>1</v>
      </c>
      <c r="I2534">
        <v>16467</v>
      </c>
      <c r="J2534" s="1">
        <v>43344</v>
      </c>
      <c r="K2534" t="s">
        <v>345</v>
      </c>
      <c r="L2534" t="s">
        <v>346</v>
      </c>
      <c r="M2534" t="s">
        <v>131</v>
      </c>
      <c r="N2534">
        <v>20</v>
      </c>
      <c r="O2534" s="1">
        <v>43344</v>
      </c>
      <c r="P2534" t="s">
        <v>41</v>
      </c>
      <c r="Q2534" t="s">
        <v>42</v>
      </c>
      <c r="R2534" t="str">
        <f>"0590906"</f>
        <v>0590906</v>
      </c>
      <c r="S2534" t="s">
        <v>361</v>
      </c>
      <c r="T2534" t="s">
        <v>345</v>
      </c>
      <c r="U2534" t="s">
        <v>346</v>
      </c>
      <c r="V2534" t="s">
        <v>131</v>
      </c>
      <c r="W2534" t="s">
        <v>55</v>
      </c>
      <c r="X2534" t="s">
        <v>45</v>
      </c>
      <c r="Y2534" s="1">
        <v>25358</v>
      </c>
      <c r="Z2534">
        <v>2</v>
      </c>
      <c r="AA2534" t="s">
        <v>346</v>
      </c>
      <c r="AB2534" s="40" t="s">
        <v>1798</v>
      </c>
    </row>
    <row r="2535" spans="1:28" x14ac:dyDescent="0.25">
      <c r="A2535">
        <v>99912534</v>
      </c>
      <c r="B2535" t="s">
        <v>32</v>
      </c>
      <c r="C2535" t="s">
        <v>46</v>
      </c>
      <c r="D2535" t="s">
        <v>47</v>
      </c>
      <c r="G2535" t="s">
        <v>48</v>
      </c>
      <c r="H2535">
        <v>1</v>
      </c>
      <c r="K2535" t="s">
        <v>223</v>
      </c>
      <c r="L2535" t="s">
        <v>224</v>
      </c>
      <c r="M2535" t="s">
        <v>131</v>
      </c>
      <c r="N2535">
        <v>20</v>
      </c>
      <c r="P2535" t="s">
        <v>41</v>
      </c>
      <c r="Q2535" t="s">
        <v>49</v>
      </c>
      <c r="R2535" t="str">
        <f>"0581202"</f>
        <v>0581202</v>
      </c>
      <c r="S2535" t="s">
        <v>248</v>
      </c>
      <c r="T2535" t="s">
        <v>223</v>
      </c>
      <c r="U2535" t="s">
        <v>224</v>
      </c>
      <c r="V2535" t="s">
        <v>131</v>
      </c>
      <c r="W2535" t="s">
        <v>51</v>
      </c>
      <c r="X2535" t="s">
        <v>45</v>
      </c>
      <c r="Y2535" s="1">
        <v>25353</v>
      </c>
      <c r="Z2535">
        <v>2</v>
      </c>
      <c r="AA2535" t="s">
        <v>224</v>
      </c>
      <c r="AB2535" s="40" t="s">
        <v>1798</v>
      </c>
    </row>
    <row r="2536" spans="1:28" x14ac:dyDescent="0.25">
      <c r="A2536">
        <v>99912535</v>
      </c>
      <c r="B2536" t="s">
        <v>56</v>
      </c>
      <c r="C2536" t="s">
        <v>46</v>
      </c>
      <c r="D2536" t="s">
        <v>47</v>
      </c>
      <c r="G2536" t="s">
        <v>35</v>
      </c>
      <c r="H2536">
        <v>1</v>
      </c>
      <c r="I2536" t="s">
        <v>372</v>
      </c>
      <c r="J2536" s="1">
        <v>43344</v>
      </c>
      <c r="K2536" t="s">
        <v>345</v>
      </c>
      <c r="L2536" t="s">
        <v>346</v>
      </c>
      <c r="M2536" t="s">
        <v>131</v>
      </c>
      <c r="N2536">
        <v>20</v>
      </c>
      <c r="O2536" s="1">
        <v>43344</v>
      </c>
      <c r="P2536" t="s">
        <v>41</v>
      </c>
      <c r="Q2536" t="s">
        <v>42</v>
      </c>
      <c r="R2536" t="str">
        <f>"0561006"</f>
        <v>0561006</v>
      </c>
      <c r="S2536" t="s">
        <v>360</v>
      </c>
      <c r="T2536" t="s">
        <v>345</v>
      </c>
      <c r="U2536" t="s">
        <v>346</v>
      </c>
      <c r="V2536" t="s">
        <v>131</v>
      </c>
      <c r="W2536" t="s">
        <v>51</v>
      </c>
      <c r="X2536" t="s">
        <v>45</v>
      </c>
      <c r="Y2536" s="1">
        <v>25353</v>
      </c>
      <c r="Z2536">
        <v>2</v>
      </c>
      <c r="AA2536" t="s">
        <v>346</v>
      </c>
      <c r="AB2536" s="40" t="s">
        <v>1798</v>
      </c>
    </row>
    <row r="2537" spans="1:28" x14ac:dyDescent="0.25">
      <c r="A2537">
        <v>99912536</v>
      </c>
      <c r="B2537" t="s">
        <v>32</v>
      </c>
      <c r="C2537" t="s">
        <v>64</v>
      </c>
      <c r="D2537" t="s">
        <v>65</v>
      </c>
      <c r="G2537" t="s">
        <v>48</v>
      </c>
      <c r="H2537">
        <v>4</v>
      </c>
      <c r="K2537" t="s">
        <v>1426</v>
      </c>
      <c r="L2537" t="s">
        <v>1427</v>
      </c>
      <c r="M2537" t="s">
        <v>1270</v>
      </c>
      <c r="N2537">
        <v>20</v>
      </c>
      <c r="P2537" t="s">
        <v>41</v>
      </c>
      <c r="Q2537" t="s">
        <v>75</v>
      </c>
      <c r="R2537" t="str">
        <f>"7192000"</f>
        <v>7192000</v>
      </c>
      <c r="S2537" t="s">
        <v>1429</v>
      </c>
      <c r="T2537" t="s">
        <v>1426</v>
      </c>
      <c r="U2537" t="s">
        <v>1427</v>
      </c>
      <c r="V2537" t="s">
        <v>1270</v>
      </c>
      <c r="W2537" t="s">
        <v>51</v>
      </c>
      <c r="X2537" t="s">
        <v>45</v>
      </c>
      <c r="Y2537" s="1">
        <v>25343</v>
      </c>
      <c r="Z2537">
        <v>1</v>
      </c>
      <c r="AA2537" t="s">
        <v>1427</v>
      </c>
      <c r="AB2537" s="40" t="s">
        <v>1798</v>
      </c>
    </row>
    <row r="2538" spans="1:28" x14ac:dyDescent="0.25">
      <c r="A2538">
        <v>99912537</v>
      </c>
      <c r="B2538" t="s">
        <v>56</v>
      </c>
      <c r="C2538" t="s">
        <v>139</v>
      </c>
      <c r="D2538" t="s">
        <v>140</v>
      </c>
      <c r="G2538" t="s">
        <v>48</v>
      </c>
      <c r="H2538">
        <v>10</v>
      </c>
      <c r="K2538" t="s">
        <v>345</v>
      </c>
      <c r="L2538" t="s">
        <v>346</v>
      </c>
      <c r="M2538" t="s">
        <v>131</v>
      </c>
      <c r="N2538">
        <v>20</v>
      </c>
      <c r="P2538" t="s">
        <v>41</v>
      </c>
      <c r="Q2538" t="s">
        <v>49</v>
      </c>
      <c r="R2538" t="str">
        <f>"0591906"</f>
        <v>0591906</v>
      </c>
      <c r="S2538" t="s">
        <v>350</v>
      </c>
      <c r="T2538" t="s">
        <v>345</v>
      </c>
      <c r="U2538" t="s">
        <v>346</v>
      </c>
      <c r="V2538" t="s">
        <v>131</v>
      </c>
      <c r="W2538" t="s">
        <v>51</v>
      </c>
      <c r="X2538" t="s">
        <v>45</v>
      </c>
      <c r="Y2538" s="1">
        <v>25340</v>
      </c>
      <c r="Z2538">
        <v>2</v>
      </c>
      <c r="AA2538" t="s">
        <v>346</v>
      </c>
      <c r="AB2538" s="40" t="s">
        <v>1798</v>
      </c>
    </row>
    <row r="2539" spans="1:28" x14ac:dyDescent="0.25">
      <c r="A2539">
        <v>99912538</v>
      </c>
      <c r="B2539" t="s">
        <v>32</v>
      </c>
      <c r="C2539" t="s">
        <v>79</v>
      </c>
      <c r="D2539" t="s">
        <v>80</v>
      </c>
      <c r="G2539" t="s">
        <v>48</v>
      </c>
      <c r="H2539">
        <v>1</v>
      </c>
      <c r="K2539" t="s">
        <v>268</v>
      </c>
      <c r="L2539" t="s">
        <v>269</v>
      </c>
      <c r="M2539" t="s">
        <v>131</v>
      </c>
      <c r="N2539">
        <v>20</v>
      </c>
      <c r="P2539" t="s">
        <v>41</v>
      </c>
      <c r="Q2539" t="s">
        <v>75</v>
      </c>
      <c r="R2539" t="str">
        <f>"7052008"</f>
        <v>7052008</v>
      </c>
      <c r="S2539" t="s">
        <v>274</v>
      </c>
      <c r="T2539" t="s">
        <v>268</v>
      </c>
      <c r="U2539" t="s">
        <v>269</v>
      </c>
      <c r="V2539" t="s">
        <v>131</v>
      </c>
      <c r="W2539" t="s">
        <v>51</v>
      </c>
      <c r="X2539" t="s">
        <v>45</v>
      </c>
      <c r="Y2539" s="1">
        <v>25333</v>
      </c>
      <c r="Z2539">
        <v>1</v>
      </c>
      <c r="AA2539" t="s">
        <v>269</v>
      </c>
      <c r="AB2539" s="40" t="s">
        <v>1798</v>
      </c>
    </row>
    <row r="2540" spans="1:28" x14ac:dyDescent="0.25">
      <c r="A2540">
        <v>99912539</v>
      </c>
      <c r="B2540" t="s">
        <v>32</v>
      </c>
      <c r="C2540" t="s">
        <v>82</v>
      </c>
      <c r="D2540" t="s">
        <v>83</v>
      </c>
      <c r="G2540" t="s">
        <v>48</v>
      </c>
      <c r="H2540">
        <v>1</v>
      </c>
      <c r="K2540" t="s">
        <v>1128</v>
      </c>
      <c r="L2540" t="s">
        <v>1129</v>
      </c>
      <c r="M2540" t="s">
        <v>1130</v>
      </c>
      <c r="N2540">
        <v>20</v>
      </c>
      <c r="P2540" t="s">
        <v>41</v>
      </c>
      <c r="Q2540" t="s">
        <v>42</v>
      </c>
      <c r="R2540" t="str">
        <f>"3180015"</f>
        <v>3180015</v>
      </c>
      <c r="S2540" t="s">
        <v>1139</v>
      </c>
      <c r="T2540" t="s">
        <v>1128</v>
      </c>
      <c r="U2540" t="s">
        <v>1129</v>
      </c>
      <c r="V2540" t="s">
        <v>1130</v>
      </c>
      <c r="W2540" t="s">
        <v>51</v>
      </c>
      <c r="X2540" t="s">
        <v>45</v>
      </c>
      <c r="Y2540" s="1">
        <v>25314</v>
      </c>
      <c r="Z2540">
        <v>2</v>
      </c>
      <c r="AA2540" t="s">
        <v>1129</v>
      </c>
      <c r="AB2540" s="40" t="s">
        <v>1798</v>
      </c>
    </row>
    <row r="2541" spans="1:28" x14ac:dyDescent="0.25">
      <c r="A2541">
        <v>99912540</v>
      </c>
      <c r="B2541" t="s">
        <v>56</v>
      </c>
      <c r="C2541" t="s">
        <v>85</v>
      </c>
      <c r="D2541" t="s">
        <v>86</v>
      </c>
      <c r="G2541" t="s">
        <v>35</v>
      </c>
      <c r="H2541">
        <v>1</v>
      </c>
      <c r="I2541">
        <v>0</v>
      </c>
      <c r="J2541" s="1">
        <v>43344</v>
      </c>
      <c r="K2541" t="s">
        <v>223</v>
      </c>
      <c r="L2541" t="s">
        <v>224</v>
      </c>
      <c r="M2541" t="s">
        <v>131</v>
      </c>
      <c r="N2541">
        <v>20</v>
      </c>
      <c r="O2541" s="1">
        <v>43344</v>
      </c>
      <c r="P2541" t="s">
        <v>41</v>
      </c>
      <c r="Q2541" t="s">
        <v>42</v>
      </c>
      <c r="R2541" t="str">
        <f>"0580206"</f>
        <v>0580206</v>
      </c>
      <c r="S2541" t="s">
        <v>237</v>
      </c>
      <c r="T2541" t="s">
        <v>223</v>
      </c>
      <c r="U2541" t="s">
        <v>224</v>
      </c>
      <c r="V2541" t="s">
        <v>131</v>
      </c>
      <c r="W2541" t="s">
        <v>51</v>
      </c>
      <c r="X2541" t="s">
        <v>45</v>
      </c>
      <c r="Y2541" s="1">
        <v>25308</v>
      </c>
      <c r="Z2541">
        <v>2</v>
      </c>
      <c r="AA2541" t="s">
        <v>224</v>
      </c>
      <c r="AB2541" s="40" t="s">
        <v>1798</v>
      </c>
    </row>
    <row r="2542" spans="1:28" x14ac:dyDescent="0.25">
      <c r="A2542">
        <v>99912541</v>
      </c>
      <c r="B2542" t="s">
        <v>32</v>
      </c>
      <c r="C2542" t="s">
        <v>139</v>
      </c>
      <c r="D2542" t="s">
        <v>140</v>
      </c>
      <c r="G2542" t="s">
        <v>48</v>
      </c>
      <c r="H2542">
        <v>4</v>
      </c>
      <c r="K2542" t="s">
        <v>1619</v>
      </c>
      <c r="L2542" t="s">
        <v>1620</v>
      </c>
      <c r="M2542" t="s">
        <v>1592</v>
      </c>
      <c r="N2542">
        <v>20</v>
      </c>
      <c r="P2542" t="s">
        <v>41</v>
      </c>
      <c r="Q2542" t="s">
        <v>75</v>
      </c>
      <c r="R2542" t="str">
        <f>"7281004"</f>
        <v>7281004</v>
      </c>
      <c r="S2542" t="s">
        <v>1651</v>
      </c>
      <c r="T2542" t="s">
        <v>1619</v>
      </c>
      <c r="U2542" t="s">
        <v>1620</v>
      </c>
      <c r="V2542" t="s">
        <v>1592</v>
      </c>
      <c r="W2542" t="s">
        <v>51</v>
      </c>
      <c r="X2542" t="s">
        <v>45</v>
      </c>
      <c r="Y2542" s="1">
        <v>25293</v>
      </c>
      <c r="Z2542">
        <v>1</v>
      </c>
      <c r="AA2542" t="s">
        <v>1620</v>
      </c>
      <c r="AB2542" s="40" t="s">
        <v>1798</v>
      </c>
    </row>
    <row r="2543" spans="1:28" x14ac:dyDescent="0.25">
      <c r="A2543">
        <v>99912542</v>
      </c>
      <c r="B2543" t="s">
        <v>32</v>
      </c>
      <c r="C2543" t="s">
        <v>79</v>
      </c>
      <c r="D2543" t="s">
        <v>80</v>
      </c>
      <c r="G2543" t="s">
        <v>35</v>
      </c>
      <c r="H2543">
        <v>1</v>
      </c>
      <c r="K2543" t="s">
        <v>162</v>
      </c>
      <c r="L2543" t="s">
        <v>158</v>
      </c>
      <c r="M2543" t="s">
        <v>131</v>
      </c>
      <c r="N2543">
        <v>20</v>
      </c>
      <c r="P2543" t="s">
        <v>41</v>
      </c>
      <c r="Q2543" t="s">
        <v>49</v>
      </c>
      <c r="R2543" t="str">
        <f>"0505050"</f>
        <v>0505050</v>
      </c>
      <c r="S2543" t="s">
        <v>163</v>
      </c>
      <c r="T2543" t="s">
        <v>162</v>
      </c>
      <c r="U2543" t="s">
        <v>158</v>
      </c>
      <c r="V2543" t="s">
        <v>131</v>
      </c>
      <c r="W2543" t="s">
        <v>165</v>
      </c>
      <c r="X2543" t="s">
        <v>45</v>
      </c>
      <c r="Y2543" s="1">
        <v>25291</v>
      </c>
      <c r="Z2543">
        <v>2</v>
      </c>
      <c r="AA2543" t="s">
        <v>158</v>
      </c>
      <c r="AB2543" s="40" t="s">
        <v>1798</v>
      </c>
    </row>
    <row r="2544" spans="1:28" x14ac:dyDescent="0.25">
      <c r="A2544">
        <v>99912543</v>
      </c>
      <c r="B2544" t="s">
        <v>56</v>
      </c>
      <c r="C2544" t="s">
        <v>68</v>
      </c>
      <c r="D2544" t="s">
        <v>69</v>
      </c>
      <c r="G2544" t="s">
        <v>48</v>
      </c>
      <c r="H2544">
        <v>1</v>
      </c>
      <c r="K2544" t="s">
        <v>223</v>
      </c>
      <c r="L2544" t="s">
        <v>224</v>
      </c>
      <c r="M2544" t="s">
        <v>131</v>
      </c>
      <c r="N2544">
        <v>20</v>
      </c>
      <c r="P2544" t="s">
        <v>41</v>
      </c>
      <c r="Q2544" t="s">
        <v>49</v>
      </c>
      <c r="R2544" t="str">
        <f>"0581202"</f>
        <v>0581202</v>
      </c>
      <c r="S2544" t="s">
        <v>248</v>
      </c>
      <c r="T2544" t="s">
        <v>223</v>
      </c>
      <c r="U2544" t="s">
        <v>224</v>
      </c>
      <c r="V2544" t="s">
        <v>131</v>
      </c>
      <c r="W2544" t="s">
        <v>51</v>
      </c>
      <c r="X2544" t="s">
        <v>45</v>
      </c>
      <c r="Y2544" s="1">
        <v>25288</v>
      </c>
      <c r="Z2544">
        <v>2</v>
      </c>
      <c r="AA2544" t="s">
        <v>224</v>
      </c>
      <c r="AB2544" s="40" t="s">
        <v>1798</v>
      </c>
    </row>
    <row r="2545" spans="1:28" x14ac:dyDescent="0.25">
      <c r="A2545">
        <v>99912544</v>
      </c>
      <c r="B2545" t="s">
        <v>32</v>
      </c>
      <c r="C2545" t="s">
        <v>79</v>
      </c>
      <c r="D2545" t="s">
        <v>80</v>
      </c>
      <c r="G2545" t="s">
        <v>48</v>
      </c>
      <c r="H2545">
        <v>1</v>
      </c>
      <c r="K2545" t="s">
        <v>345</v>
      </c>
      <c r="L2545" t="s">
        <v>346</v>
      </c>
      <c r="M2545" t="s">
        <v>131</v>
      </c>
      <c r="N2545">
        <v>20</v>
      </c>
      <c r="P2545" t="s">
        <v>41</v>
      </c>
      <c r="Q2545" t="s">
        <v>49</v>
      </c>
      <c r="R2545" t="str">
        <f>"0581605"</f>
        <v>0581605</v>
      </c>
      <c r="S2545" t="s">
        <v>366</v>
      </c>
      <c r="T2545" t="s">
        <v>345</v>
      </c>
      <c r="U2545" t="s">
        <v>346</v>
      </c>
      <c r="V2545" t="s">
        <v>131</v>
      </c>
      <c r="W2545" t="s">
        <v>51</v>
      </c>
      <c r="X2545" t="s">
        <v>45</v>
      </c>
      <c r="Y2545" s="1">
        <v>25267</v>
      </c>
      <c r="Z2545">
        <v>2</v>
      </c>
      <c r="AA2545" t="s">
        <v>346</v>
      </c>
      <c r="AB2545" s="40" t="s">
        <v>1798</v>
      </c>
    </row>
    <row r="2546" spans="1:28" x14ac:dyDescent="0.25">
      <c r="A2546">
        <v>99912545</v>
      </c>
      <c r="B2546" t="s">
        <v>32</v>
      </c>
      <c r="C2546" t="s">
        <v>46</v>
      </c>
      <c r="D2546" t="s">
        <v>47</v>
      </c>
      <c r="G2546" t="s">
        <v>48</v>
      </c>
      <c r="H2546">
        <v>1</v>
      </c>
      <c r="K2546" t="s">
        <v>1496</v>
      </c>
      <c r="L2546" t="s">
        <v>1497</v>
      </c>
      <c r="M2546" t="s">
        <v>670</v>
      </c>
      <c r="N2546">
        <v>20</v>
      </c>
      <c r="P2546" t="s">
        <v>41</v>
      </c>
      <c r="Q2546" t="s">
        <v>42</v>
      </c>
      <c r="R2546" t="str">
        <f>"5080015"</f>
        <v>5080015</v>
      </c>
      <c r="S2546" t="s">
        <v>1498</v>
      </c>
      <c r="T2546" t="s">
        <v>1496</v>
      </c>
      <c r="U2546" t="s">
        <v>1497</v>
      </c>
      <c r="V2546" t="s">
        <v>670</v>
      </c>
      <c r="W2546" t="s">
        <v>51</v>
      </c>
      <c r="X2546" t="s">
        <v>45</v>
      </c>
      <c r="Y2546" s="1">
        <v>25257</v>
      </c>
      <c r="Z2546">
        <v>2</v>
      </c>
      <c r="AA2546" t="s">
        <v>1497</v>
      </c>
      <c r="AB2546" s="40" t="s">
        <v>1798</v>
      </c>
    </row>
    <row r="2547" spans="1:28" x14ac:dyDescent="0.25">
      <c r="A2547">
        <v>99912546</v>
      </c>
      <c r="B2547" t="s">
        <v>56</v>
      </c>
      <c r="C2547" t="s">
        <v>46</v>
      </c>
      <c r="D2547" t="s">
        <v>47</v>
      </c>
      <c r="G2547" t="s">
        <v>48</v>
      </c>
      <c r="H2547">
        <v>1</v>
      </c>
      <c r="K2547" t="s">
        <v>129</v>
      </c>
      <c r="L2547" t="s">
        <v>130</v>
      </c>
      <c r="M2547" t="s">
        <v>131</v>
      </c>
      <c r="N2547">
        <v>20</v>
      </c>
      <c r="P2547" t="s">
        <v>41</v>
      </c>
      <c r="Q2547" t="s">
        <v>49</v>
      </c>
      <c r="R2547" t="str">
        <f>"0560024"</f>
        <v>0560024</v>
      </c>
      <c r="S2547" t="s">
        <v>138</v>
      </c>
      <c r="T2547" t="s">
        <v>129</v>
      </c>
      <c r="U2547" t="s">
        <v>130</v>
      </c>
      <c r="V2547" t="s">
        <v>131</v>
      </c>
      <c r="W2547" t="s">
        <v>51</v>
      </c>
      <c r="X2547" t="s">
        <v>45</v>
      </c>
      <c r="Y2547" s="1">
        <v>25255</v>
      </c>
      <c r="Z2547">
        <v>2</v>
      </c>
      <c r="AA2547" t="s">
        <v>130</v>
      </c>
      <c r="AB2547" s="40" t="s">
        <v>1798</v>
      </c>
    </row>
    <row r="2548" spans="1:28" x14ac:dyDescent="0.25">
      <c r="A2548">
        <v>99912547</v>
      </c>
      <c r="B2548" t="s">
        <v>32</v>
      </c>
      <c r="C2548" t="s">
        <v>52</v>
      </c>
      <c r="D2548" t="s">
        <v>53</v>
      </c>
      <c r="G2548" t="s">
        <v>48</v>
      </c>
      <c r="H2548">
        <v>1</v>
      </c>
      <c r="K2548" t="s">
        <v>162</v>
      </c>
      <c r="L2548" t="s">
        <v>158</v>
      </c>
      <c r="M2548" t="s">
        <v>131</v>
      </c>
      <c r="N2548">
        <v>20</v>
      </c>
      <c r="P2548" t="s">
        <v>41</v>
      </c>
      <c r="Q2548" t="s">
        <v>42</v>
      </c>
      <c r="R2548" t="str">
        <f>"0580325"</f>
        <v>0580325</v>
      </c>
      <c r="S2548" t="s">
        <v>170</v>
      </c>
      <c r="T2548" t="s">
        <v>162</v>
      </c>
      <c r="U2548" t="s">
        <v>158</v>
      </c>
      <c r="V2548" t="s">
        <v>131</v>
      </c>
      <c r="W2548" t="s">
        <v>51</v>
      </c>
      <c r="X2548" t="s">
        <v>45</v>
      </c>
      <c r="Y2548" s="1">
        <v>25255</v>
      </c>
      <c r="Z2548">
        <v>2</v>
      </c>
      <c r="AA2548" t="s">
        <v>158</v>
      </c>
      <c r="AB2548" s="40" t="s">
        <v>1798</v>
      </c>
    </row>
    <row r="2549" spans="1:28" x14ac:dyDescent="0.25">
      <c r="A2549">
        <v>99912548</v>
      </c>
      <c r="B2549" t="s">
        <v>32</v>
      </c>
      <c r="C2549" t="s">
        <v>64</v>
      </c>
      <c r="D2549" t="s">
        <v>65</v>
      </c>
      <c r="G2549" t="s">
        <v>48</v>
      </c>
      <c r="H2549">
        <v>1</v>
      </c>
      <c r="K2549" t="s">
        <v>223</v>
      </c>
      <c r="L2549" t="s">
        <v>224</v>
      </c>
      <c r="M2549" t="s">
        <v>131</v>
      </c>
      <c r="N2549">
        <v>20</v>
      </c>
      <c r="P2549" t="s">
        <v>41</v>
      </c>
      <c r="Q2549" t="s">
        <v>49</v>
      </c>
      <c r="R2549" t="str">
        <f>"0591910"</f>
        <v>0591910</v>
      </c>
      <c r="S2549" t="s">
        <v>228</v>
      </c>
      <c r="T2549" t="s">
        <v>223</v>
      </c>
      <c r="U2549" t="s">
        <v>224</v>
      </c>
      <c r="V2549" t="s">
        <v>131</v>
      </c>
      <c r="W2549" t="s">
        <v>51</v>
      </c>
      <c r="X2549" t="s">
        <v>45</v>
      </c>
      <c r="Y2549" s="1">
        <v>25244</v>
      </c>
      <c r="Z2549">
        <v>2</v>
      </c>
      <c r="AA2549" t="s">
        <v>224</v>
      </c>
      <c r="AB2549" s="40" t="s">
        <v>1798</v>
      </c>
    </row>
    <row r="2550" spans="1:28" x14ac:dyDescent="0.25">
      <c r="A2550">
        <v>99912549</v>
      </c>
      <c r="B2550" t="s">
        <v>56</v>
      </c>
      <c r="C2550" t="s">
        <v>46</v>
      </c>
      <c r="D2550" t="s">
        <v>47</v>
      </c>
      <c r="G2550" t="s">
        <v>48</v>
      </c>
      <c r="H2550">
        <v>1</v>
      </c>
      <c r="K2550" t="s">
        <v>1268</v>
      </c>
      <c r="L2550" t="s">
        <v>1269</v>
      </c>
      <c r="M2550" t="s">
        <v>1270</v>
      </c>
      <c r="N2550">
        <v>20</v>
      </c>
      <c r="P2550" t="s">
        <v>41</v>
      </c>
      <c r="Q2550" t="s">
        <v>49</v>
      </c>
      <c r="R2550" t="str">
        <f>"1981914"</f>
        <v>1981914</v>
      </c>
      <c r="S2550" t="s">
        <v>1287</v>
      </c>
      <c r="T2550" t="s">
        <v>1268</v>
      </c>
      <c r="U2550" t="s">
        <v>1269</v>
      </c>
      <c r="V2550" t="s">
        <v>1270</v>
      </c>
      <c r="W2550" t="s">
        <v>51</v>
      </c>
      <c r="X2550" t="s">
        <v>45</v>
      </c>
      <c r="Y2550" s="1">
        <v>25239</v>
      </c>
      <c r="Z2550">
        <v>2</v>
      </c>
      <c r="AA2550" t="s">
        <v>1269</v>
      </c>
      <c r="AB2550" s="40" t="s">
        <v>1798</v>
      </c>
    </row>
    <row r="2551" spans="1:28" x14ac:dyDescent="0.25">
      <c r="A2551">
        <v>99912550</v>
      </c>
      <c r="B2551" t="s">
        <v>32</v>
      </c>
      <c r="C2551" t="s">
        <v>145</v>
      </c>
      <c r="D2551" t="s">
        <v>146</v>
      </c>
      <c r="G2551" t="s">
        <v>48</v>
      </c>
      <c r="H2551">
        <v>1</v>
      </c>
      <c r="K2551" t="s">
        <v>223</v>
      </c>
      <c r="L2551" t="s">
        <v>224</v>
      </c>
      <c r="M2551" t="s">
        <v>131</v>
      </c>
      <c r="N2551">
        <v>20</v>
      </c>
      <c r="P2551" t="s">
        <v>41</v>
      </c>
      <c r="Q2551" t="s">
        <v>42</v>
      </c>
      <c r="R2551" t="str">
        <f>"0580202"</f>
        <v>0580202</v>
      </c>
      <c r="S2551" t="s">
        <v>240</v>
      </c>
      <c r="T2551" t="s">
        <v>223</v>
      </c>
      <c r="U2551" t="s">
        <v>224</v>
      </c>
      <c r="V2551" t="s">
        <v>131</v>
      </c>
      <c r="W2551" t="s">
        <v>51</v>
      </c>
      <c r="X2551" t="s">
        <v>45</v>
      </c>
      <c r="Y2551" s="1">
        <v>25229</v>
      </c>
      <c r="Z2551">
        <v>2</v>
      </c>
      <c r="AA2551" t="s">
        <v>224</v>
      </c>
      <c r="AB2551" s="40" t="s">
        <v>1798</v>
      </c>
    </row>
    <row r="2552" spans="1:28" x14ac:dyDescent="0.25">
      <c r="A2552">
        <v>99912551</v>
      </c>
      <c r="B2552" t="s">
        <v>32</v>
      </c>
      <c r="C2552" t="s">
        <v>61</v>
      </c>
      <c r="D2552" t="s">
        <v>62</v>
      </c>
      <c r="G2552" t="s">
        <v>48</v>
      </c>
      <c r="H2552">
        <v>1</v>
      </c>
      <c r="K2552" t="s">
        <v>300</v>
      </c>
      <c r="L2552" t="s">
        <v>301</v>
      </c>
      <c r="M2552" t="s">
        <v>131</v>
      </c>
      <c r="N2552">
        <v>20</v>
      </c>
      <c r="P2552" t="s">
        <v>41</v>
      </c>
      <c r="Q2552" t="s">
        <v>49</v>
      </c>
      <c r="R2552" t="str">
        <f>"0560001"</f>
        <v>0560001</v>
      </c>
      <c r="S2552" t="s">
        <v>304</v>
      </c>
      <c r="T2552" t="s">
        <v>300</v>
      </c>
      <c r="U2552" t="s">
        <v>301</v>
      </c>
      <c r="V2552" t="s">
        <v>131</v>
      </c>
      <c r="W2552" t="s">
        <v>51</v>
      </c>
      <c r="X2552" t="s">
        <v>45</v>
      </c>
      <c r="Y2552" s="1">
        <v>25204</v>
      </c>
      <c r="Z2552">
        <v>2</v>
      </c>
      <c r="AA2552" t="s">
        <v>301</v>
      </c>
      <c r="AB2552" s="40" t="s">
        <v>1798</v>
      </c>
    </row>
    <row r="2553" spans="1:28" x14ac:dyDescent="0.25">
      <c r="A2553">
        <v>99912552</v>
      </c>
      <c r="B2553" t="s">
        <v>32</v>
      </c>
      <c r="C2553" t="s">
        <v>111</v>
      </c>
      <c r="D2553" t="s">
        <v>112</v>
      </c>
      <c r="G2553" t="s">
        <v>48</v>
      </c>
      <c r="H2553">
        <v>1</v>
      </c>
      <c r="K2553" t="s">
        <v>268</v>
      </c>
      <c r="L2553" t="s">
        <v>269</v>
      </c>
      <c r="M2553" t="s">
        <v>131</v>
      </c>
      <c r="N2553">
        <v>20</v>
      </c>
      <c r="P2553" t="s">
        <v>41</v>
      </c>
      <c r="Q2553" t="s">
        <v>75</v>
      </c>
      <c r="R2553" t="str">
        <f>"7052008"</f>
        <v>7052008</v>
      </c>
      <c r="S2553" t="s">
        <v>274</v>
      </c>
      <c r="T2553" t="s">
        <v>268</v>
      </c>
      <c r="U2553" t="s">
        <v>269</v>
      </c>
      <c r="V2553" t="s">
        <v>131</v>
      </c>
      <c r="W2553" t="s">
        <v>51</v>
      </c>
      <c r="X2553" t="s">
        <v>45</v>
      </c>
      <c r="Y2553" s="1">
        <v>25204</v>
      </c>
      <c r="Z2553">
        <v>1</v>
      </c>
      <c r="AA2553" t="s">
        <v>269</v>
      </c>
      <c r="AB2553" s="40" t="s">
        <v>1798</v>
      </c>
    </row>
    <row r="2554" spans="1:28" x14ac:dyDescent="0.25">
      <c r="A2554">
        <v>99912553</v>
      </c>
      <c r="B2554" t="s">
        <v>32</v>
      </c>
      <c r="C2554" t="s">
        <v>46</v>
      </c>
      <c r="D2554" t="s">
        <v>47</v>
      </c>
      <c r="G2554" t="s">
        <v>35</v>
      </c>
      <c r="H2554">
        <v>1</v>
      </c>
      <c r="I2554">
        <v>6726</v>
      </c>
      <c r="J2554" s="1">
        <v>43344</v>
      </c>
      <c r="K2554" t="s">
        <v>1306</v>
      </c>
      <c r="L2554" t="s">
        <v>1307</v>
      </c>
      <c r="M2554" t="s">
        <v>1270</v>
      </c>
      <c r="N2554">
        <v>20</v>
      </c>
      <c r="O2554" s="1">
        <v>43344</v>
      </c>
      <c r="P2554" t="s">
        <v>41</v>
      </c>
      <c r="Q2554" t="s">
        <v>42</v>
      </c>
      <c r="R2554" t="str">
        <f>"1990915"</f>
        <v>1990915</v>
      </c>
      <c r="S2554" t="s">
        <v>1308</v>
      </c>
      <c r="T2554" t="s">
        <v>1306</v>
      </c>
      <c r="U2554" t="s">
        <v>1307</v>
      </c>
      <c r="V2554" t="s">
        <v>1270</v>
      </c>
      <c r="W2554" t="s">
        <v>51</v>
      </c>
      <c r="X2554" t="s">
        <v>45</v>
      </c>
      <c r="Y2554" s="1">
        <v>25204</v>
      </c>
      <c r="Z2554">
        <v>2</v>
      </c>
      <c r="AA2554" t="s">
        <v>1307</v>
      </c>
      <c r="AB2554" s="40" t="s">
        <v>1798</v>
      </c>
    </row>
    <row r="2555" spans="1:28" x14ac:dyDescent="0.25">
      <c r="A2555">
        <v>99912554</v>
      </c>
      <c r="B2555" t="s">
        <v>56</v>
      </c>
      <c r="C2555" t="s">
        <v>61</v>
      </c>
      <c r="D2555" t="s">
        <v>62</v>
      </c>
      <c r="G2555" t="s">
        <v>48</v>
      </c>
      <c r="H2555">
        <v>1</v>
      </c>
      <c r="K2555" t="s">
        <v>1487</v>
      </c>
      <c r="L2555" t="s">
        <v>1488</v>
      </c>
      <c r="M2555" t="s">
        <v>670</v>
      </c>
      <c r="N2555">
        <v>20</v>
      </c>
      <c r="P2555" t="s">
        <v>41</v>
      </c>
      <c r="Q2555" t="s">
        <v>49</v>
      </c>
      <c r="R2555" t="str">
        <f>"1760001"</f>
        <v>1760001</v>
      </c>
      <c r="S2555" t="s">
        <v>1489</v>
      </c>
      <c r="T2555" t="s">
        <v>1487</v>
      </c>
      <c r="U2555" t="s">
        <v>1488</v>
      </c>
      <c r="V2555" t="s">
        <v>670</v>
      </c>
      <c r="W2555" t="s">
        <v>51</v>
      </c>
      <c r="X2555" t="s">
        <v>45</v>
      </c>
      <c r="Y2555" s="1">
        <v>25204</v>
      </c>
      <c r="Z2555">
        <v>2</v>
      </c>
      <c r="AA2555" t="s">
        <v>1488</v>
      </c>
      <c r="AB2555" s="40" t="s">
        <v>1798</v>
      </c>
    </row>
    <row r="2556" spans="1:28" x14ac:dyDescent="0.25">
      <c r="A2556">
        <v>99912555</v>
      </c>
      <c r="B2556" t="s">
        <v>56</v>
      </c>
      <c r="C2556" t="s">
        <v>46</v>
      </c>
      <c r="D2556" t="s">
        <v>47</v>
      </c>
      <c r="G2556" t="s">
        <v>35</v>
      </c>
      <c r="H2556">
        <v>1</v>
      </c>
      <c r="K2556" t="s">
        <v>1546</v>
      </c>
      <c r="L2556" t="s">
        <v>1547</v>
      </c>
      <c r="M2556" t="s">
        <v>1548</v>
      </c>
      <c r="N2556">
        <v>20</v>
      </c>
      <c r="P2556" t="s">
        <v>41</v>
      </c>
      <c r="Q2556" t="s">
        <v>42</v>
      </c>
      <c r="R2556" t="str">
        <f>"1080010"</f>
        <v>1080010</v>
      </c>
      <c r="S2556" t="s">
        <v>1549</v>
      </c>
      <c r="T2556" t="s">
        <v>1546</v>
      </c>
      <c r="U2556" t="s">
        <v>1547</v>
      </c>
      <c r="V2556" t="s">
        <v>1548</v>
      </c>
      <c r="W2556" t="s">
        <v>51</v>
      </c>
      <c r="X2556" t="s">
        <v>45</v>
      </c>
      <c r="Y2556" s="1">
        <v>25189</v>
      </c>
      <c r="Z2556">
        <v>2</v>
      </c>
      <c r="AA2556" t="s">
        <v>1547</v>
      </c>
      <c r="AB2556" s="40" t="s">
        <v>1798</v>
      </c>
    </row>
    <row r="2557" spans="1:28" x14ac:dyDescent="0.25">
      <c r="A2557">
        <v>99912556</v>
      </c>
      <c r="B2557" t="s">
        <v>32</v>
      </c>
      <c r="C2557" t="s">
        <v>46</v>
      </c>
      <c r="D2557" t="s">
        <v>47</v>
      </c>
      <c r="G2557" t="s">
        <v>48</v>
      </c>
      <c r="H2557">
        <v>1</v>
      </c>
      <c r="I2557" t="s">
        <v>1315</v>
      </c>
      <c r="K2557" t="s">
        <v>1306</v>
      </c>
      <c r="L2557" t="s">
        <v>1307</v>
      </c>
      <c r="M2557" t="s">
        <v>1270</v>
      </c>
      <c r="N2557">
        <v>20</v>
      </c>
      <c r="P2557" t="s">
        <v>41</v>
      </c>
      <c r="Q2557" t="s">
        <v>42</v>
      </c>
      <c r="R2557" t="str">
        <f>"1990913"</f>
        <v>1990913</v>
      </c>
      <c r="S2557" t="s">
        <v>1312</v>
      </c>
      <c r="T2557" t="s">
        <v>1306</v>
      </c>
      <c r="U2557" t="s">
        <v>1307</v>
      </c>
      <c r="V2557" t="s">
        <v>1270</v>
      </c>
      <c r="W2557" t="s">
        <v>51</v>
      </c>
      <c r="X2557" t="s">
        <v>45</v>
      </c>
      <c r="Y2557" s="1">
        <v>25187</v>
      </c>
      <c r="Z2557">
        <v>2</v>
      </c>
      <c r="AA2557" t="s">
        <v>1307</v>
      </c>
      <c r="AB2557" s="40" t="s">
        <v>1798</v>
      </c>
    </row>
    <row r="2558" spans="1:28" x14ac:dyDescent="0.25">
      <c r="A2558">
        <v>99912557</v>
      </c>
      <c r="B2558" t="s">
        <v>32</v>
      </c>
      <c r="C2558" t="s">
        <v>71</v>
      </c>
      <c r="D2558" t="s">
        <v>72</v>
      </c>
      <c r="G2558" t="s">
        <v>48</v>
      </c>
      <c r="H2558">
        <v>1</v>
      </c>
      <c r="K2558" t="s">
        <v>162</v>
      </c>
      <c r="L2558" t="s">
        <v>158</v>
      </c>
      <c r="M2558" t="s">
        <v>131</v>
      </c>
      <c r="N2558">
        <v>20</v>
      </c>
      <c r="P2558" t="s">
        <v>41</v>
      </c>
      <c r="Q2558" t="s">
        <v>49</v>
      </c>
      <c r="R2558" t="str">
        <f>"0581325"</f>
        <v>0581325</v>
      </c>
      <c r="S2558" t="s">
        <v>169</v>
      </c>
      <c r="T2558" t="s">
        <v>162</v>
      </c>
      <c r="U2558" t="s">
        <v>158</v>
      </c>
      <c r="V2558" t="s">
        <v>131</v>
      </c>
      <c r="W2558" t="s">
        <v>51</v>
      </c>
      <c r="X2558" t="s">
        <v>45</v>
      </c>
      <c r="Y2558" s="1">
        <v>25186</v>
      </c>
      <c r="Z2558">
        <v>2</v>
      </c>
      <c r="AA2558" t="s">
        <v>158</v>
      </c>
      <c r="AB2558" s="40" t="s">
        <v>1798</v>
      </c>
    </row>
    <row r="2559" spans="1:28" x14ac:dyDescent="0.25">
      <c r="A2559">
        <v>99912558</v>
      </c>
      <c r="B2559" t="s">
        <v>32</v>
      </c>
      <c r="C2559" t="s">
        <v>141</v>
      </c>
      <c r="D2559" t="s">
        <v>142</v>
      </c>
      <c r="G2559" t="s">
        <v>35</v>
      </c>
      <c r="H2559">
        <v>1</v>
      </c>
      <c r="I2559" t="s">
        <v>742</v>
      </c>
      <c r="J2559" s="1">
        <v>43344</v>
      </c>
      <c r="K2559" t="s">
        <v>268</v>
      </c>
      <c r="L2559" t="s">
        <v>269</v>
      </c>
      <c r="M2559" t="s">
        <v>131</v>
      </c>
      <c r="N2559">
        <v>20</v>
      </c>
      <c r="O2559" s="1">
        <v>43344</v>
      </c>
      <c r="P2559" t="s">
        <v>41</v>
      </c>
      <c r="Q2559" t="s">
        <v>75</v>
      </c>
      <c r="R2559" t="str">
        <f>"7052020"</f>
        <v>7052020</v>
      </c>
      <c r="S2559" t="s">
        <v>267</v>
      </c>
      <c r="T2559" t="s">
        <v>268</v>
      </c>
      <c r="U2559" t="s">
        <v>269</v>
      </c>
      <c r="V2559" t="s">
        <v>131</v>
      </c>
      <c r="W2559" t="s">
        <v>51</v>
      </c>
      <c r="X2559" t="s">
        <v>45</v>
      </c>
      <c r="Y2559" s="1">
        <v>25157</v>
      </c>
      <c r="Z2559">
        <v>1</v>
      </c>
      <c r="AA2559" t="s">
        <v>269</v>
      </c>
      <c r="AB2559" s="40" t="s">
        <v>1798</v>
      </c>
    </row>
    <row r="2560" spans="1:28" x14ac:dyDescent="0.25">
      <c r="A2560">
        <v>99912559</v>
      </c>
      <c r="B2560" t="s">
        <v>32</v>
      </c>
      <c r="C2560" t="s">
        <v>52</v>
      </c>
      <c r="D2560" t="s">
        <v>53</v>
      </c>
      <c r="G2560" t="s">
        <v>48</v>
      </c>
      <c r="H2560">
        <v>1</v>
      </c>
      <c r="K2560" t="s">
        <v>223</v>
      </c>
      <c r="L2560" t="s">
        <v>224</v>
      </c>
      <c r="M2560" t="s">
        <v>131</v>
      </c>
      <c r="N2560">
        <v>20</v>
      </c>
      <c r="P2560" t="s">
        <v>41</v>
      </c>
      <c r="Q2560" t="s">
        <v>42</v>
      </c>
      <c r="R2560" t="str">
        <f>"0580202"</f>
        <v>0580202</v>
      </c>
      <c r="S2560" t="s">
        <v>240</v>
      </c>
      <c r="T2560" t="s">
        <v>223</v>
      </c>
      <c r="U2560" t="s">
        <v>224</v>
      </c>
      <c r="V2560" t="s">
        <v>131</v>
      </c>
      <c r="W2560" t="s">
        <v>165</v>
      </c>
      <c r="X2560" t="s">
        <v>45</v>
      </c>
      <c r="Y2560" s="1">
        <v>25148</v>
      </c>
      <c r="Z2560">
        <v>2</v>
      </c>
      <c r="AA2560" t="s">
        <v>224</v>
      </c>
      <c r="AB2560" s="40" t="s">
        <v>1798</v>
      </c>
    </row>
    <row r="2561" spans="1:28" x14ac:dyDescent="0.25">
      <c r="A2561">
        <v>99912560</v>
      </c>
      <c r="B2561" t="s">
        <v>32</v>
      </c>
      <c r="C2561" t="s">
        <v>82</v>
      </c>
      <c r="D2561" t="s">
        <v>83</v>
      </c>
      <c r="G2561" t="s">
        <v>48</v>
      </c>
      <c r="H2561">
        <v>1</v>
      </c>
      <c r="K2561" t="s">
        <v>300</v>
      </c>
      <c r="L2561" t="s">
        <v>301</v>
      </c>
      <c r="M2561" t="s">
        <v>131</v>
      </c>
      <c r="N2561">
        <v>20</v>
      </c>
      <c r="P2561" t="s">
        <v>41</v>
      </c>
      <c r="Q2561" t="s">
        <v>42</v>
      </c>
      <c r="R2561" t="str">
        <f>"0580176"</f>
        <v>0580176</v>
      </c>
      <c r="S2561" t="s">
        <v>305</v>
      </c>
      <c r="T2561" t="s">
        <v>300</v>
      </c>
      <c r="U2561" t="s">
        <v>301</v>
      </c>
      <c r="V2561" t="s">
        <v>131</v>
      </c>
      <c r="W2561" t="s">
        <v>51</v>
      </c>
      <c r="X2561" t="s">
        <v>45</v>
      </c>
      <c r="Y2561" s="1">
        <v>25148</v>
      </c>
      <c r="Z2561">
        <v>2</v>
      </c>
      <c r="AA2561" t="s">
        <v>301</v>
      </c>
      <c r="AB2561" s="40" t="s">
        <v>1798</v>
      </c>
    </row>
    <row r="2562" spans="1:28" x14ac:dyDescent="0.25">
      <c r="A2562">
        <v>99912561</v>
      </c>
      <c r="B2562" t="s">
        <v>56</v>
      </c>
      <c r="C2562" t="s">
        <v>46</v>
      </c>
      <c r="D2562" t="s">
        <v>47</v>
      </c>
      <c r="G2562" t="s">
        <v>35</v>
      </c>
      <c r="H2562">
        <v>1</v>
      </c>
      <c r="I2562">
        <v>0</v>
      </c>
      <c r="J2562" s="1">
        <v>43344</v>
      </c>
      <c r="K2562" t="s">
        <v>223</v>
      </c>
      <c r="L2562" t="s">
        <v>224</v>
      </c>
      <c r="M2562" t="s">
        <v>131</v>
      </c>
      <c r="N2562">
        <v>20</v>
      </c>
      <c r="O2562" s="1">
        <v>43344</v>
      </c>
      <c r="P2562" t="s">
        <v>41</v>
      </c>
      <c r="Q2562" t="s">
        <v>42</v>
      </c>
      <c r="R2562" t="str">
        <f>"0580206"</f>
        <v>0580206</v>
      </c>
      <c r="S2562" t="s">
        <v>237</v>
      </c>
      <c r="T2562" t="s">
        <v>223</v>
      </c>
      <c r="U2562" t="s">
        <v>224</v>
      </c>
      <c r="V2562" t="s">
        <v>131</v>
      </c>
      <c r="W2562" t="s">
        <v>51</v>
      </c>
      <c r="X2562" t="s">
        <v>45</v>
      </c>
      <c r="Y2562" s="1">
        <v>25146</v>
      </c>
      <c r="Z2562">
        <v>2</v>
      </c>
      <c r="AA2562" t="s">
        <v>224</v>
      </c>
      <c r="AB2562" s="40" t="s">
        <v>1798</v>
      </c>
    </row>
    <row r="2563" spans="1:28" x14ac:dyDescent="0.25">
      <c r="A2563">
        <v>99912562</v>
      </c>
      <c r="B2563" t="s">
        <v>32</v>
      </c>
      <c r="C2563" t="s">
        <v>46</v>
      </c>
      <c r="D2563" t="s">
        <v>47</v>
      </c>
      <c r="G2563" t="s">
        <v>48</v>
      </c>
      <c r="H2563">
        <v>1</v>
      </c>
      <c r="K2563" t="s">
        <v>162</v>
      </c>
      <c r="L2563" t="s">
        <v>158</v>
      </c>
      <c r="M2563" t="s">
        <v>131</v>
      </c>
      <c r="N2563">
        <v>20</v>
      </c>
      <c r="P2563" t="s">
        <v>41</v>
      </c>
      <c r="Q2563" t="s">
        <v>49</v>
      </c>
      <c r="R2563" t="str">
        <f>"0581325"</f>
        <v>0581325</v>
      </c>
      <c r="S2563" t="s">
        <v>169</v>
      </c>
      <c r="T2563" t="s">
        <v>162</v>
      </c>
      <c r="U2563" t="s">
        <v>158</v>
      </c>
      <c r="V2563" t="s">
        <v>131</v>
      </c>
      <c r="W2563" t="s">
        <v>51</v>
      </c>
      <c r="X2563" t="s">
        <v>45</v>
      </c>
      <c r="Y2563" s="1">
        <v>25135</v>
      </c>
      <c r="Z2563">
        <v>2</v>
      </c>
      <c r="AA2563" t="s">
        <v>158</v>
      </c>
      <c r="AB2563" s="40" t="s">
        <v>1798</v>
      </c>
    </row>
    <row r="2564" spans="1:28" x14ac:dyDescent="0.25">
      <c r="A2564">
        <v>99912563</v>
      </c>
      <c r="B2564" t="s">
        <v>32</v>
      </c>
      <c r="C2564" t="s">
        <v>79</v>
      </c>
      <c r="D2564" t="s">
        <v>80</v>
      </c>
      <c r="G2564" t="s">
        <v>48</v>
      </c>
      <c r="H2564">
        <v>1</v>
      </c>
      <c r="K2564" t="s">
        <v>1268</v>
      </c>
      <c r="L2564" t="s">
        <v>1269</v>
      </c>
      <c r="M2564" t="s">
        <v>1270</v>
      </c>
      <c r="N2564">
        <v>20</v>
      </c>
      <c r="P2564" t="s">
        <v>41</v>
      </c>
      <c r="Q2564" t="s">
        <v>42</v>
      </c>
      <c r="R2564" t="str">
        <f>"1990911"</f>
        <v>1990911</v>
      </c>
      <c r="S2564" t="s">
        <v>1276</v>
      </c>
      <c r="T2564" t="s">
        <v>1268</v>
      </c>
      <c r="U2564" t="s">
        <v>1269</v>
      </c>
      <c r="V2564" t="s">
        <v>1270</v>
      </c>
      <c r="W2564" t="s">
        <v>165</v>
      </c>
      <c r="X2564" t="s">
        <v>45</v>
      </c>
      <c r="Y2564" s="1">
        <v>25128</v>
      </c>
      <c r="Z2564">
        <v>2</v>
      </c>
      <c r="AA2564" t="s">
        <v>1269</v>
      </c>
      <c r="AB2564" s="40" t="s">
        <v>1798</v>
      </c>
    </row>
    <row r="2565" spans="1:28" x14ac:dyDescent="0.25">
      <c r="A2565">
        <v>99912564</v>
      </c>
      <c r="B2565" t="s">
        <v>56</v>
      </c>
      <c r="C2565" t="s">
        <v>52</v>
      </c>
      <c r="D2565" t="s">
        <v>53</v>
      </c>
      <c r="G2565" t="s">
        <v>48</v>
      </c>
      <c r="H2565">
        <v>1</v>
      </c>
      <c r="K2565" t="s">
        <v>129</v>
      </c>
      <c r="L2565" t="s">
        <v>130</v>
      </c>
      <c r="M2565" t="s">
        <v>131</v>
      </c>
      <c r="N2565">
        <v>20</v>
      </c>
      <c r="P2565" t="s">
        <v>41</v>
      </c>
      <c r="Q2565" t="s">
        <v>42</v>
      </c>
      <c r="R2565" t="str">
        <f>"0590905"</f>
        <v>0590905</v>
      </c>
      <c r="S2565" t="s">
        <v>133</v>
      </c>
      <c r="T2565" t="s">
        <v>129</v>
      </c>
      <c r="U2565" t="s">
        <v>130</v>
      </c>
      <c r="V2565" t="s">
        <v>131</v>
      </c>
      <c r="W2565" t="s">
        <v>51</v>
      </c>
      <c r="X2565" t="s">
        <v>45</v>
      </c>
      <c r="Y2565" s="1">
        <v>25121</v>
      </c>
      <c r="Z2565">
        <v>2</v>
      </c>
      <c r="AA2565" t="s">
        <v>130</v>
      </c>
      <c r="AB2565" s="40" t="s">
        <v>1798</v>
      </c>
    </row>
    <row r="2566" spans="1:28" x14ac:dyDescent="0.25">
      <c r="A2566">
        <v>99912565</v>
      </c>
      <c r="B2566" t="s">
        <v>56</v>
      </c>
      <c r="C2566" t="s">
        <v>46</v>
      </c>
      <c r="D2566" t="s">
        <v>47</v>
      </c>
      <c r="G2566" t="s">
        <v>48</v>
      </c>
      <c r="H2566">
        <v>8</v>
      </c>
      <c r="K2566" t="s">
        <v>129</v>
      </c>
      <c r="L2566" t="s">
        <v>130</v>
      </c>
      <c r="M2566" t="s">
        <v>131</v>
      </c>
      <c r="N2566">
        <v>20</v>
      </c>
      <c r="O2566" s="1">
        <v>36770</v>
      </c>
      <c r="P2566" t="s">
        <v>41</v>
      </c>
      <c r="Q2566" t="s">
        <v>42</v>
      </c>
      <c r="R2566" t="str">
        <f>"0561011"</f>
        <v>0561011</v>
      </c>
      <c r="S2566" t="s">
        <v>132</v>
      </c>
      <c r="T2566" t="s">
        <v>129</v>
      </c>
      <c r="U2566" t="s">
        <v>130</v>
      </c>
      <c r="V2566" t="s">
        <v>131</v>
      </c>
      <c r="W2566" t="s">
        <v>51</v>
      </c>
      <c r="X2566" t="s">
        <v>45</v>
      </c>
      <c r="Y2566" s="1">
        <v>25113</v>
      </c>
      <c r="Z2566">
        <v>2</v>
      </c>
      <c r="AA2566" t="s">
        <v>130</v>
      </c>
      <c r="AB2566" s="40" t="s">
        <v>1798</v>
      </c>
    </row>
    <row r="2567" spans="1:28" x14ac:dyDescent="0.25">
      <c r="A2567">
        <v>99912566</v>
      </c>
      <c r="B2567" t="s">
        <v>32</v>
      </c>
      <c r="C2567" t="s">
        <v>46</v>
      </c>
      <c r="D2567" t="s">
        <v>47</v>
      </c>
      <c r="G2567" t="s">
        <v>48</v>
      </c>
      <c r="H2567">
        <v>9</v>
      </c>
      <c r="K2567" t="s">
        <v>129</v>
      </c>
      <c r="L2567" t="s">
        <v>130</v>
      </c>
      <c r="M2567" t="s">
        <v>131</v>
      </c>
      <c r="N2567">
        <v>20</v>
      </c>
      <c r="O2567" s="1">
        <v>36201</v>
      </c>
      <c r="P2567" t="s">
        <v>41</v>
      </c>
      <c r="Q2567" t="s">
        <v>42</v>
      </c>
      <c r="R2567" t="str">
        <f>"0561011"</f>
        <v>0561011</v>
      </c>
      <c r="S2567" t="s">
        <v>132</v>
      </c>
      <c r="T2567" t="s">
        <v>129</v>
      </c>
      <c r="U2567" t="s">
        <v>130</v>
      </c>
      <c r="V2567" t="s">
        <v>131</v>
      </c>
      <c r="W2567" t="s">
        <v>51</v>
      </c>
      <c r="X2567" t="s">
        <v>45</v>
      </c>
      <c r="Y2567" s="1">
        <v>25101</v>
      </c>
      <c r="Z2567">
        <v>2</v>
      </c>
      <c r="AA2567" t="s">
        <v>130</v>
      </c>
      <c r="AB2567" s="40" t="s">
        <v>1798</v>
      </c>
    </row>
    <row r="2568" spans="1:28" x14ac:dyDescent="0.25">
      <c r="A2568">
        <v>99912567</v>
      </c>
      <c r="B2568" t="s">
        <v>32</v>
      </c>
      <c r="C2568" t="s">
        <v>61</v>
      </c>
      <c r="D2568" t="s">
        <v>62</v>
      </c>
      <c r="G2568" t="s">
        <v>48</v>
      </c>
      <c r="H2568">
        <v>1</v>
      </c>
      <c r="K2568" t="s">
        <v>345</v>
      </c>
      <c r="L2568" t="s">
        <v>346</v>
      </c>
      <c r="M2568" t="s">
        <v>131</v>
      </c>
      <c r="N2568">
        <v>20</v>
      </c>
      <c r="P2568" t="s">
        <v>41</v>
      </c>
      <c r="Q2568" t="s">
        <v>49</v>
      </c>
      <c r="R2568" t="str">
        <f>"0591906"</f>
        <v>0591906</v>
      </c>
      <c r="S2568" t="s">
        <v>350</v>
      </c>
      <c r="T2568" t="s">
        <v>345</v>
      </c>
      <c r="U2568" t="s">
        <v>346</v>
      </c>
      <c r="V2568" t="s">
        <v>131</v>
      </c>
      <c r="W2568" t="s">
        <v>51</v>
      </c>
      <c r="X2568" t="s">
        <v>45</v>
      </c>
      <c r="Y2568" s="1">
        <v>25096</v>
      </c>
      <c r="Z2568">
        <v>2</v>
      </c>
      <c r="AA2568" t="s">
        <v>346</v>
      </c>
      <c r="AB2568" s="40" t="s">
        <v>1798</v>
      </c>
    </row>
    <row r="2569" spans="1:28" x14ac:dyDescent="0.25">
      <c r="A2569">
        <v>99912568</v>
      </c>
      <c r="B2569" t="s">
        <v>56</v>
      </c>
      <c r="C2569" t="s">
        <v>46</v>
      </c>
      <c r="D2569" t="s">
        <v>47</v>
      </c>
      <c r="G2569" t="s">
        <v>35</v>
      </c>
      <c r="H2569">
        <v>1</v>
      </c>
      <c r="K2569" t="s">
        <v>1268</v>
      </c>
      <c r="L2569" t="s">
        <v>1269</v>
      </c>
      <c r="M2569" t="s">
        <v>1270</v>
      </c>
      <c r="N2569">
        <v>20</v>
      </c>
      <c r="P2569" t="s">
        <v>41</v>
      </c>
      <c r="Q2569" t="s">
        <v>42</v>
      </c>
      <c r="R2569" t="str">
        <f>"1980030"</f>
        <v>1980030</v>
      </c>
      <c r="S2569" t="s">
        <v>1289</v>
      </c>
      <c r="T2569" t="s">
        <v>1268</v>
      </c>
      <c r="U2569" t="s">
        <v>1269</v>
      </c>
      <c r="V2569" t="s">
        <v>1270</v>
      </c>
      <c r="W2569" t="s">
        <v>51</v>
      </c>
      <c r="X2569" t="s">
        <v>45</v>
      </c>
      <c r="Y2569" s="1">
        <v>25089</v>
      </c>
      <c r="Z2569">
        <v>2</v>
      </c>
      <c r="AA2569" t="s">
        <v>1269</v>
      </c>
      <c r="AB2569" s="40" t="s">
        <v>1798</v>
      </c>
    </row>
    <row r="2570" spans="1:28" x14ac:dyDescent="0.25">
      <c r="A2570">
        <v>99912569</v>
      </c>
      <c r="B2570" t="s">
        <v>56</v>
      </c>
      <c r="C2570" t="s">
        <v>68</v>
      </c>
      <c r="D2570" t="s">
        <v>69</v>
      </c>
      <c r="G2570" t="s">
        <v>48</v>
      </c>
      <c r="H2570">
        <v>1</v>
      </c>
      <c r="K2570" t="s">
        <v>1268</v>
      </c>
      <c r="L2570" t="s">
        <v>1269</v>
      </c>
      <c r="M2570" t="s">
        <v>1270</v>
      </c>
      <c r="N2570">
        <v>20</v>
      </c>
      <c r="P2570" t="s">
        <v>41</v>
      </c>
      <c r="Q2570" t="s">
        <v>42</v>
      </c>
      <c r="R2570" t="str">
        <f>"1990910"</f>
        <v>1990910</v>
      </c>
      <c r="S2570" t="s">
        <v>1281</v>
      </c>
      <c r="T2570" t="s">
        <v>1268</v>
      </c>
      <c r="U2570" t="s">
        <v>1269</v>
      </c>
      <c r="V2570" t="s">
        <v>1270</v>
      </c>
      <c r="W2570" t="s">
        <v>165</v>
      </c>
      <c r="X2570" t="s">
        <v>45</v>
      </c>
      <c r="Y2570" s="1">
        <v>25087</v>
      </c>
      <c r="Z2570">
        <v>2</v>
      </c>
      <c r="AA2570" t="s">
        <v>1269</v>
      </c>
      <c r="AB2570" s="40" t="s">
        <v>1798</v>
      </c>
    </row>
    <row r="2571" spans="1:28" x14ac:dyDescent="0.25">
      <c r="A2571">
        <v>99912570</v>
      </c>
      <c r="B2571" t="s">
        <v>32</v>
      </c>
      <c r="C2571" t="s">
        <v>46</v>
      </c>
      <c r="D2571" t="s">
        <v>47</v>
      </c>
      <c r="G2571" t="s">
        <v>48</v>
      </c>
      <c r="H2571">
        <v>1</v>
      </c>
      <c r="K2571" t="s">
        <v>162</v>
      </c>
      <c r="L2571" t="s">
        <v>158</v>
      </c>
      <c r="M2571" t="s">
        <v>131</v>
      </c>
      <c r="N2571">
        <v>20</v>
      </c>
      <c r="P2571" t="s">
        <v>41</v>
      </c>
      <c r="Q2571" t="s">
        <v>42</v>
      </c>
      <c r="R2571" t="str">
        <f>"0580330"</f>
        <v>0580330</v>
      </c>
      <c r="S2571" t="s">
        <v>176</v>
      </c>
      <c r="T2571" t="s">
        <v>162</v>
      </c>
      <c r="U2571" t="s">
        <v>158</v>
      </c>
      <c r="V2571" t="s">
        <v>131</v>
      </c>
      <c r="W2571" t="s">
        <v>51</v>
      </c>
      <c r="X2571" t="s">
        <v>45</v>
      </c>
      <c r="Y2571" s="1">
        <v>25068</v>
      </c>
      <c r="Z2571">
        <v>2</v>
      </c>
      <c r="AA2571" t="s">
        <v>158</v>
      </c>
      <c r="AB2571" s="40" t="s">
        <v>1798</v>
      </c>
    </row>
    <row r="2572" spans="1:28" x14ac:dyDescent="0.25">
      <c r="A2572">
        <v>99912571</v>
      </c>
      <c r="B2572" t="s">
        <v>56</v>
      </c>
      <c r="C2572" t="s">
        <v>61</v>
      </c>
      <c r="D2572" t="s">
        <v>62</v>
      </c>
      <c r="G2572" t="s">
        <v>48</v>
      </c>
      <c r="H2572">
        <v>1</v>
      </c>
      <c r="K2572" t="s">
        <v>162</v>
      </c>
      <c r="L2572" t="s">
        <v>158</v>
      </c>
      <c r="M2572" t="s">
        <v>131</v>
      </c>
      <c r="N2572">
        <v>20</v>
      </c>
      <c r="P2572" t="s">
        <v>41</v>
      </c>
      <c r="Q2572" t="s">
        <v>42</v>
      </c>
      <c r="R2572" t="str">
        <f>"0580325"</f>
        <v>0580325</v>
      </c>
      <c r="S2572" t="s">
        <v>170</v>
      </c>
      <c r="T2572" t="s">
        <v>162</v>
      </c>
      <c r="U2572" t="s">
        <v>158</v>
      </c>
      <c r="V2572" t="s">
        <v>131</v>
      </c>
      <c r="W2572" t="s">
        <v>51</v>
      </c>
      <c r="X2572" t="s">
        <v>45</v>
      </c>
      <c r="Y2572" s="1">
        <v>25068</v>
      </c>
      <c r="Z2572">
        <v>2</v>
      </c>
      <c r="AA2572" t="s">
        <v>158</v>
      </c>
      <c r="AB2572" s="40" t="s">
        <v>1798</v>
      </c>
    </row>
    <row r="2573" spans="1:28" x14ac:dyDescent="0.25">
      <c r="A2573">
        <v>99912572</v>
      </c>
      <c r="B2573" t="s">
        <v>56</v>
      </c>
      <c r="C2573" t="s">
        <v>61</v>
      </c>
      <c r="D2573" t="s">
        <v>62</v>
      </c>
      <c r="G2573" t="s">
        <v>48</v>
      </c>
      <c r="H2573">
        <v>1</v>
      </c>
      <c r="K2573" t="s">
        <v>129</v>
      </c>
      <c r="L2573" t="s">
        <v>130</v>
      </c>
      <c r="M2573" t="s">
        <v>131</v>
      </c>
      <c r="N2573">
        <v>20</v>
      </c>
      <c r="P2573" t="s">
        <v>41</v>
      </c>
      <c r="Q2573" t="s">
        <v>42</v>
      </c>
      <c r="R2573" t="str">
        <f>"0590905"</f>
        <v>0590905</v>
      </c>
      <c r="S2573" t="s">
        <v>133</v>
      </c>
      <c r="T2573" t="s">
        <v>129</v>
      </c>
      <c r="U2573" t="s">
        <v>130</v>
      </c>
      <c r="V2573" t="s">
        <v>131</v>
      </c>
      <c r="W2573" t="s">
        <v>51</v>
      </c>
      <c r="X2573" t="s">
        <v>45</v>
      </c>
      <c r="Y2573" s="1">
        <v>25060</v>
      </c>
      <c r="Z2573">
        <v>2</v>
      </c>
      <c r="AA2573" t="s">
        <v>130</v>
      </c>
      <c r="AB2573" s="40" t="s">
        <v>1798</v>
      </c>
    </row>
    <row r="2574" spans="1:28" x14ac:dyDescent="0.25">
      <c r="A2574">
        <v>99912573</v>
      </c>
      <c r="B2574" t="s">
        <v>32</v>
      </c>
      <c r="C2574" t="s">
        <v>46</v>
      </c>
      <c r="D2574" t="s">
        <v>47</v>
      </c>
      <c r="G2574" t="s">
        <v>35</v>
      </c>
      <c r="H2574">
        <v>12</v>
      </c>
      <c r="I2574" t="s">
        <v>358</v>
      </c>
      <c r="J2574" s="1">
        <v>43344</v>
      </c>
      <c r="K2574" t="s">
        <v>345</v>
      </c>
      <c r="L2574" t="s">
        <v>346</v>
      </c>
      <c r="M2574" t="s">
        <v>131</v>
      </c>
      <c r="N2574">
        <v>20</v>
      </c>
      <c r="O2574" s="1">
        <v>43344</v>
      </c>
      <c r="P2574" t="s">
        <v>41</v>
      </c>
      <c r="Q2574" t="s">
        <v>42</v>
      </c>
      <c r="R2574" t="str">
        <f>"0580615"</f>
        <v>0580615</v>
      </c>
      <c r="S2574" t="s">
        <v>364</v>
      </c>
      <c r="T2574" t="s">
        <v>345</v>
      </c>
      <c r="U2574" t="s">
        <v>346</v>
      </c>
      <c r="V2574" t="s">
        <v>131</v>
      </c>
      <c r="W2574" t="s">
        <v>51</v>
      </c>
      <c r="X2574" t="s">
        <v>45</v>
      </c>
      <c r="Y2574" s="1">
        <v>25055</v>
      </c>
      <c r="Z2574">
        <v>2</v>
      </c>
      <c r="AA2574" t="s">
        <v>346</v>
      </c>
      <c r="AB2574" s="40" t="s">
        <v>1798</v>
      </c>
    </row>
    <row r="2575" spans="1:28" x14ac:dyDescent="0.25">
      <c r="A2575">
        <v>99912574</v>
      </c>
      <c r="B2575" t="s">
        <v>56</v>
      </c>
      <c r="C2575" t="s">
        <v>33</v>
      </c>
      <c r="D2575" t="s">
        <v>34</v>
      </c>
      <c r="G2575" t="s">
        <v>48</v>
      </c>
      <c r="H2575">
        <v>1</v>
      </c>
      <c r="K2575" t="s">
        <v>380</v>
      </c>
      <c r="L2575" t="s">
        <v>381</v>
      </c>
      <c r="M2575" t="s">
        <v>131</v>
      </c>
      <c r="N2575">
        <v>20</v>
      </c>
      <c r="P2575" t="s">
        <v>41</v>
      </c>
      <c r="Q2575" t="s">
        <v>42</v>
      </c>
      <c r="R2575" t="str">
        <f>"0590908"</f>
        <v>0590908</v>
      </c>
      <c r="S2575" t="s">
        <v>382</v>
      </c>
      <c r="T2575" t="s">
        <v>380</v>
      </c>
      <c r="U2575" t="s">
        <v>381</v>
      </c>
      <c r="V2575" t="s">
        <v>131</v>
      </c>
      <c r="W2575" t="s">
        <v>51</v>
      </c>
      <c r="X2575" t="s">
        <v>45</v>
      </c>
      <c r="Y2575" s="1">
        <v>25043</v>
      </c>
      <c r="Z2575">
        <v>2</v>
      </c>
      <c r="AA2575" t="s">
        <v>381</v>
      </c>
      <c r="AB2575" s="40" t="s">
        <v>1798</v>
      </c>
    </row>
    <row r="2576" spans="1:28" x14ac:dyDescent="0.25">
      <c r="A2576">
        <v>99912575</v>
      </c>
      <c r="B2576" t="s">
        <v>32</v>
      </c>
      <c r="C2576" t="s">
        <v>46</v>
      </c>
      <c r="D2576" t="s">
        <v>47</v>
      </c>
      <c r="G2576" t="s">
        <v>48</v>
      </c>
      <c r="H2576">
        <v>1</v>
      </c>
      <c r="K2576" t="s">
        <v>223</v>
      </c>
      <c r="L2576" t="s">
        <v>224</v>
      </c>
      <c r="M2576" t="s">
        <v>131</v>
      </c>
      <c r="N2576">
        <v>20</v>
      </c>
      <c r="P2576" t="s">
        <v>41</v>
      </c>
      <c r="Q2576" t="s">
        <v>42</v>
      </c>
      <c r="R2576" t="str">
        <f>"0580265"</f>
        <v>0580265</v>
      </c>
      <c r="S2576" t="s">
        <v>231</v>
      </c>
      <c r="T2576" t="s">
        <v>223</v>
      </c>
      <c r="U2576" t="s">
        <v>224</v>
      </c>
      <c r="V2576" t="s">
        <v>131</v>
      </c>
      <c r="W2576" t="s">
        <v>51</v>
      </c>
      <c r="X2576" t="s">
        <v>45</v>
      </c>
      <c r="Y2576" s="1">
        <v>25036</v>
      </c>
      <c r="Z2576">
        <v>2</v>
      </c>
      <c r="AA2576" t="s">
        <v>224</v>
      </c>
      <c r="AB2576" s="40" t="s">
        <v>1798</v>
      </c>
    </row>
    <row r="2577" spans="1:28" x14ac:dyDescent="0.25">
      <c r="A2577">
        <v>99912576</v>
      </c>
      <c r="B2577" t="s">
        <v>56</v>
      </c>
      <c r="C2577" t="s">
        <v>68</v>
      </c>
      <c r="D2577" t="s">
        <v>69</v>
      </c>
      <c r="G2577" t="s">
        <v>35</v>
      </c>
      <c r="H2577">
        <v>1</v>
      </c>
      <c r="I2577" t="s">
        <v>348</v>
      </c>
      <c r="J2577" s="1">
        <v>43344</v>
      </c>
      <c r="K2577" t="s">
        <v>345</v>
      </c>
      <c r="L2577" t="s">
        <v>346</v>
      </c>
      <c r="M2577" t="s">
        <v>131</v>
      </c>
      <c r="N2577">
        <v>20</v>
      </c>
      <c r="O2577" s="1">
        <v>43344</v>
      </c>
      <c r="P2577" t="s">
        <v>41</v>
      </c>
      <c r="Q2577" t="s">
        <v>49</v>
      </c>
      <c r="R2577" t="str">
        <f>"0581155"</f>
        <v>0581155</v>
      </c>
      <c r="S2577" t="s">
        <v>349</v>
      </c>
      <c r="T2577" t="s">
        <v>345</v>
      </c>
      <c r="U2577" t="s">
        <v>346</v>
      </c>
      <c r="V2577" t="s">
        <v>131</v>
      </c>
      <c r="W2577" t="s">
        <v>51</v>
      </c>
      <c r="X2577" t="s">
        <v>45</v>
      </c>
      <c r="Y2577" s="1">
        <v>25032</v>
      </c>
      <c r="Z2577">
        <v>2</v>
      </c>
      <c r="AA2577" t="s">
        <v>346</v>
      </c>
      <c r="AB2577" s="40" t="s">
        <v>1798</v>
      </c>
    </row>
    <row r="2578" spans="1:28" x14ac:dyDescent="0.25">
      <c r="A2578">
        <v>99912577</v>
      </c>
      <c r="B2578" t="s">
        <v>32</v>
      </c>
      <c r="C2578" t="s">
        <v>58</v>
      </c>
      <c r="D2578" t="s">
        <v>59</v>
      </c>
      <c r="G2578" t="s">
        <v>48</v>
      </c>
      <c r="H2578">
        <v>9</v>
      </c>
      <c r="K2578" t="s">
        <v>1268</v>
      </c>
      <c r="L2578" t="s">
        <v>1269</v>
      </c>
      <c r="M2578" t="s">
        <v>1270</v>
      </c>
      <c r="N2578">
        <v>20</v>
      </c>
      <c r="O2578" s="1">
        <v>43344</v>
      </c>
      <c r="P2578" t="s">
        <v>41</v>
      </c>
      <c r="Q2578" t="s">
        <v>42</v>
      </c>
      <c r="R2578" t="str">
        <f>"1980055"</f>
        <v>1980055</v>
      </c>
      <c r="S2578" t="s">
        <v>1285</v>
      </c>
      <c r="T2578" t="s">
        <v>1268</v>
      </c>
      <c r="U2578" t="s">
        <v>1269</v>
      </c>
      <c r="V2578" t="s">
        <v>1270</v>
      </c>
      <c r="W2578" t="s">
        <v>165</v>
      </c>
      <c r="X2578" t="s">
        <v>45</v>
      </c>
      <c r="Y2578" s="1">
        <v>25030</v>
      </c>
      <c r="Z2578">
        <v>2</v>
      </c>
      <c r="AA2578" t="s">
        <v>1269</v>
      </c>
      <c r="AB2578" s="40" t="s">
        <v>1798</v>
      </c>
    </row>
    <row r="2579" spans="1:28" x14ac:dyDescent="0.25">
      <c r="A2579">
        <v>99912578</v>
      </c>
      <c r="B2579" t="s">
        <v>32</v>
      </c>
      <c r="C2579" t="s">
        <v>46</v>
      </c>
      <c r="D2579" t="s">
        <v>47</v>
      </c>
      <c r="G2579" t="s">
        <v>35</v>
      </c>
      <c r="H2579">
        <v>1</v>
      </c>
      <c r="K2579" t="s">
        <v>162</v>
      </c>
      <c r="L2579" t="s">
        <v>158</v>
      </c>
      <c r="M2579" t="s">
        <v>131</v>
      </c>
      <c r="N2579">
        <v>20</v>
      </c>
      <c r="P2579" t="s">
        <v>41</v>
      </c>
      <c r="Q2579" t="s">
        <v>49</v>
      </c>
      <c r="R2579" t="str">
        <f>"0505050"</f>
        <v>0505050</v>
      </c>
      <c r="S2579" t="s">
        <v>163</v>
      </c>
      <c r="T2579" t="s">
        <v>162</v>
      </c>
      <c r="U2579" t="s">
        <v>158</v>
      </c>
      <c r="V2579" t="s">
        <v>131</v>
      </c>
      <c r="W2579" t="s">
        <v>165</v>
      </c>
      <c r="X2579" t="s">
        <v>45</v>
      </c>
      <c r="Y2579" s="1">
        <v>25022</v>
      </c>
      <c r="Z2579">
        <v>2</v>
      </c>
      <c r="AA2579" t="s">
        <v>158</v>
      </c>
      <c r="AB2579" s="40" t="s">
        <v>1798</v>
      </c>
    </row>
    <row r="2580" spans="1:28" x14ac:dyDescent="0.25">
      <c r="A2580">
        <v>99912579</v>
      </c>
      <c r="B2580" t="s">
        <v>32</v>
      </c>
      <c r="C2580" t="s">
        <v>46</v>
      </c>
      <c r="D2580" t="s">
        <v>47</v>
      </c>
      <c r="G2580" t="s">
        <v>48</v>
      </c>
      <c r="H2580">
        <v>1</v>
      </c>
      <c r="K2580" t="s">
        <v>157</v>
      </c>
      <c r="L2580" t="s">
        <v>158</v>
      </c>
      <c r="M2580" t="s">
        <v>131</v>
      </c>
      <c r="N2580">
        <v>20</v>
      </c>
      <c r="P2580" t="s">
        <v>41</v>
      </c>
      <c r="Q2580" t="s">
        <v>49</v>
      </c>
      <c r="R2580" t="str">
        <f>"0560011"</f>
        <v>0560011</v>
      </c>
      <c r="S2580" t="s">
        <v>185</v>
      </c>
      <c r="T2580" t="s">
        <v>157</v>
      </c>
      <c r="U2580" t="s">
        <v>158</v>
      </c>
      <c r="V2580" t="s">
        <v>131</v>
      </c>
      <c r="W2580" t="s">
        <v>51</v>
      </c>
      <c r="X2580" t="s">
        <v>45</v>
      </c>
      <c r="Y2580" s="1">
        <v>25017</v>
      </c>
      <c r="Z2580">
        <v>2</v>
      </c>
      <c r="AA2580" t="s">
        <v>158</v>
      </c>
      <c r="AB2580" s="40" t="s">
        <v>1798</v>
      </c>
    </row>
    <row r="2581" spans="1:28" x14ac:dyDescent="0.25">
      <c r="A2581">
        <v>99912580</v>
      </c>
      <c r="B2581" t="s">
        <v>56</v>
      </c>
      <c r="C2581" t="s">
        <v>68</v>
      </c>
      <c r="D2581" t="s">
        <v>69</v>
      </c>
      <c r="G2581" t="s">
        <v>48</v>
      </c>
      <c r="H2581">
        <v>1</v>
      </c>
      <c r="K2581" t="s">
        <v>1268</v>
      </c>
      <c r="L2581" t="s">
        <v>1269</v>
      </c>
      <c r="M2581" t="s">
        <v>1270</v>
      </c>
      <c r="N2581">
        <v>20</v>
      </c>
      <c r="P2581" t="s">
        <v>41</v>
      </c>
      <c r="Q2581" t="s">
        <v>42</v>
      </c>
      <c r="R2581" t="str">
        <f>"1980050"</f>
        <v>1980050</v>
      </c>
      <c r="S2581" t="s">
        <v>1278</v>
      </c>
      <c r="T2581" t="s">
        <v>1268</v>
      </c>
      <c r="U2581" t="s">
        <v>1269</v>
      </c>
      <c r="V2581" t="s">
        <v>1270</v>
      </c>
      <c r="W2581" t="s">
        <v>51</v>
      </c>
      <c r="X2581" t="s">
        <v>45</v>
      </c>
      <c r="Y2581" s="1">
        <v>25007</v>
      </c>
      <c r="Z2581">
        <v>2</v>
      </c>
      <c r="AA2581" t="s">
        <v>1269</v>
      </c>
      <c r="AB2581" s="40" t="s">
        <v>1798</v>
      </c>
    </row>
    <row r="2582" spans="1:28" x14ac:dyDescent="0.25">
      <c r="A2582">
        <v>99912581</v>
      </c>
      <c r="B2582" t="s">
        <v>56</v>
      </c>
      <c r="C2582" t="s">
        <v>46</v>
      </c>
      <c r="D2582" t="s">
        <v>47</v>
      </c>
      <c r="G2582" t="s">
        <v>48</v>
      </c>
      <c r="H2582">
        <v>1</v>
      </c>
      <c r="K2582" t="s">
        <v>1187</v>
      </c>
      <c r="L2582" t="s">
        <v>1188</v>
      </c>
      <c r="M2582" t="s">
        <v>1130</v>
      </c>
      <c r="N2582">
        <v>20</v>
      </c>
      <c r="P2582" t="s">
        <v>41</v>
      </c>
      <c r="Q2582" t="s">
        <v>42</v>
      </c>
      <c r="R2582" t="str">
        <f>"4580015"</f>
        <v>4580015</v>
      </c>
      <c r="S2582" t="s">
        <v>1189</v>
      </c>
      <c r="T2582" t="s">
        <v>1187</v>
      </c>
      <c r="U2582" t="s">
        <v>1188</v>
      </c>
      <c r="V2582" t="s">
        <v>1130</v>
      </c>
      <c r="W2582" t="s">
        <v>51</v>
      </c>
      <c r="X2582" t="s">
        <v>45</v>
      </c>
      <c r="Y2582" s="1">
        <v>24997</v>
      </c>
      <c r="Z2582">
        <v>2</v>
      </c>
      <c r="AA2582" t="s">
        <v>1188</v>
      </c>
      <c r="AB2582" s="40" t="s">
        <v>1798</v>
      </c>
    </row>
    <row r="2583" spans="1:28" x14ac:dyDescent="0.25">
      <c r="A2583">
        <v>99912582</v>
      </c>
      <c r="B2583" t="s">
        <v>56</v>
      </c>
      <c r="C2583" t="s">
        <v>52</v>
      </c>
      <c r="D2583" t="s">
        <v>53</v>
      </c>
      <c r="G2583" t="s">
        <v>48</v>
      </c>
      <c r="H2583">
        <v>1</v>
      </c>
      <c r="K2583" t="s">
        <v>1268</v>
      </c>
      <c r="L2583" t="s">
        <v>1269</v>
      </c>
      <c r="M2583" t="s">
        <v>1270</v>
      </c>
      <c r="N2583">
        <v>20</v>
      </c>
      <c r="P2583" t="s">
        <v>41</v>
      </c>
      <c r="Q2583" t="s">
        <v>42</v>
      </c>
      <c r="R2583" t="str">
        <f>"1990910"</f>
        <v>1990910</v>
      </c>
      <c r="S2583" t="s">
        <v>1281</v>
      </c>
      <c r="T2583" t="s">
        <v>1268</v>
      </c>
      <c r="U2583" t="s">
        <v>1269</v>
      </c>
      <c r="V2583" t="s">
        <v>1270</v>
      </c>
      <c r="W2583" t="s">
        <v>165</v>
      </c>
      <c r="X2583" t="s">
        <v>45</v>
      </c>
      <c r="Y2583" s="1">
        <v>24992</v>
      </c>
      <c r="Z2583">
        <v>2</v>
      </c>
      <c r="AA2583" t="s">
        <v>1269</v>
      </c>
      <c r="AB2583" s="40" t="s">
        <v>1798</v>
      </c>
    </row>
    <row r="2584" spans="1:28" x14ac:dyDescent="0.25">
      <c r="A2584">
        <v>99912583</v>
      </c>
      <c r="B2584" t="s">
        <v>56</v>
      </c>
      <c r="C2584" t="s">
        <v>46</v>
      </c>
      <c r="D2584" t="s">
        <v>47</v>
      </c>
      <c r="G2584" t="s">
        <v>48</v>
      </c>
      <c r="H2584">
        <v>1</v>
      </c>
      <c r="K2584" t="s">
        <v>223</v>
      </c>
      <c r="L2584" t="s">
        <v>224</v>
      </c>
      <c r="M2584" t="s">
        <v>131</v>
      </c>
      <c r="N2584">
        <v>20</v>
      </c>
      <c r="P2584" t="s">
        <v>41</v>
      </c>
      <c r="Q2584" t="s">
        <v>42</v>
      </c>
      <c r="R2584" t="str">
        <f>"0580265"</f>
        <v>0580265</v>
      </c>
      <c r="S2584" t="s">
        <v>231</v>
      </c>
      <c r="T2584" t="s">
        <v>223</v>
      </c>
      <c r="U2584" t="s">
        <v>224</v>
      </c>
      <c r="V2584" t="s">
        <v>131</v>
      </c>
      <c r="W2584" t="s">
        <v>51</v>
      </c>
      <c r="X2584" t="s">
        <v>45</v>
      </c>
      <c r="Y2584" s="1">
        <v>24986</v>
      </c>
      <c r="Z2584">
        <v>2</v>
      </c>
      <c r="AA2584" t="s">
        <v>224</v>
      </c>
      <c r="AB2584" s="40" t="s">
        <v>1798</v>
      </c>
    </row>
    <row r="2585" spans="1:28" x14ac:dyDescent="0.25">
      <c r="A2585">
        <v>99912584</v>
      </c>
      <c r="B2585" t="s">
        <v>32</v>
      </c>
      <c r="C2585" t="s">
        <v>82</v>
      </c>
      <c r="D2585" t="s">
        <v>83</v>
      </c>
      <c r="G2585" t="s">
        <v>48</v>
      </c>
      <c r="H2585">
        <v>1</v>
      </c>
      <c r="K2585" t="s">
        <v>1128</v>
      </c>
      <c r="L2585" t="s">
        <v>1129</v>
      </c>
      <c r="M2585" t="s">
        <v>1130</v>
      </c>
      <c r="N2585">
        <v>20</v>
      </c>
      <c r="P2585" t="s">
        <v>41</v>
      </c>
      <c r="Q2585" t="s">
        <v>42</v>
      </c>
      <c r="R2585" t="str">
        <f>"3180010"</f>
        <v>3180010</v>
      </c>
      <c r="S2585" t="s">
        <v>1132</v>
      </c>
      <c r="T2585" t="s">
        <v>1128</v>
      </c>
      <c r="U2585" t="s">
        <v>1129</v>
      </c>
      <c r="V2585" t="s">
        <v>1130</v>
      </c>
      <c r="W2585" t="s">
        <v>165</v>
      </c>
      <c r="X2585" t="s">
        <v>45</v>
      </c>
      <c r="Y2585" s="1">
        <v>24968</v>
      </c>
      <c r="Z2585">
        <v>2</v>
      </c>
      <c r="AA2585" t="s">
        <v>1129</v>
      </c>
      <c r="AB2585" s="40" t="s">
        <v>1798</v>
      </c>
    </row>
    <row r="2586" spans="1:28" x14ac:dyDescent="0.25">
      <c r="A2586">
        <v>99912585</v>
      </c>
      <c r="B2586" t="s">
        <v>56</v>
      </c>
      <c r="C2586" t="s">
        <v>52</v>
      </c>
      <c r="D2586" t="s">
        <v>53</v>
      </c>
      <c r="G2586" t="s">
        <v>48</v>
      </c>
      <c r="H2586">
        <v>1</v>
      </c>
      <c r="K2586" t="s">
        <v>1187</v>
      </c>
      <c r="L2586" t="s">
        <v>1188</v>
      </c>
      <c r="M2586" t="s">
        <v>1130</v>
      </c>
      <c r="N2586">
        <v>20</v>
      </c>
      <c r="P2586" t="s">
        <v>41</v>
      </c>
      <c r="Q2586" t="s">
        <v>42</v>
      </c>
      <c r="R2586" t="str">
        <f>"4580015"</f>
        <v>4580015</v>
      </c>
      <c r="S2586" t="s">
        <v>1189</v>
      </c>
      <c r="T2586" t="s">
        <v>1187</v>
      </c>
      <c r="U2586" t="s">
        <v>1188</v>
      </c>
      <c r="V2586" t="s">
        <v>1130</v>
      </c>
      <c r="W2586" t="s">
        <v>51</v>
      </c>
      <c r="X2586" t="s">
        <v>45</v>
      </c>
      <c r="Y2586" s="1">
        <v>24962</v>
      </c>
      <c r="Z2586">
        <v>2</v>
      </c>
      <c r="AA2586" t="s">
        <v>1188</v>
      </c>
      <c r="AB2586" s="40" t="s">
        <v>1798</v>
      </c>
    </row>
    <row r="2587" spans="1:28" x14ac:dyDescent="0.25">
      <c r="A2587">
        <v>99912586</v>
      </c>
      <c r="B2587" t="s">
        <v>56</v>
      </c>
      <c r="C2587" t="s">
        <v>52</v>
      </c>
      <c r="D2587" t="s">
        <v>53</v>
      </c>
      <c r="G2587" t="s">
        <v>48</v>
      </c>
      <c r="H2587">
        <v>1</v>
      </c>
      <c r="K2587" t="s">
        <v>223</v>
      </c>
      <c r="L2587" t="s">
        <v>224</v>
      </c>
      <c r="M2587" t="s">
        <v>131</v>
      </c>
      <c r="N2587">
        <v>20</v>
      </c>
      <c r="P2587" t="s">
        <v>41</v>
      </c>
      <c r="Q2587" t="s">
        <v>42</v>
      </c>
      <c r="R2587" t="str">
        <f>"0580265"</f>
        <v>0580265</v>
      </c>
      <c r="S2587" t="s">
        <v>231</v>
      </c>
      <c r="T2587" t="s">
        <v>223</v>
      </c>
      <c r="U2587" t="s">
        <v>224</v>
      </c>
      <c r="V2587" t="s">
        <v>131</v>
      </c>
      <c r="W2587" t="s">
        <v>51</v>
      </c>
      <c r="X2587" t="s">
        <v>45</v>
      </c>
      <c r="Y2587" s="1">
        <v>24959</v>
      </c>
      <c r="Z2587">
        <v>2</v>
      </c>
      <c r="AA2587" t="s">
        <v>224</v>
      </c>
      <c r="AB2587" s="40" t="s">
        <v>1798</v>
      </c>
    </row>
    <row r="2588" spans="1:28" x14ac:dyDescent="0.25">
      <c r="A2588">
        <v>99912587</v>
      </c>
      <c r="B2588" t="s">
        <v>32</v>
      </c>
      <c r="C2588" t="s">
        <v>58</v>
      </c>
      <c r="D2588" t="s">
        <v>59</v>
      </c>
      <c r="G2588" t="s">
        <v>48</v>
      </c>
      <c r="H2588">
        <v>1</v>
      </c>
      <c r="K2588" t="s">
        <v>1187</v>
      </c>
      <c r="L2588" t="s">
        <v>1188</v>
      </c>
      <c r="M2588" t="s">
        <v>1130</v>
      </c>
      <c r="N2588">
        <v>20</v>
      </c>
      <c r="P2588" t="s">
        <v>41</v>
      </c>
      <c r="Q2588" t="s">
        <v>42</v>
      </c>
      <c r="R2588" t="str">
        <f>"4580015"</f>
        <v>4580015</v>
      </c>
      <c r="S2588" t="s">
        <v>1189</v>
      </c>
      <c r="T2588" t="s">
        <v>1187</v>
      </c>
      <c r="U2588" t="s">
        <v>1188</v>
      </c>
      <c r="V2588" t="s">
        <v>1130</v>
      </c>
      <c r="W2588" t="s">
        <v>51</v>
      </c>
      <c r="X2588" t="s">
        <v>45</v>
      </c>
      <c r="Y2588" s="1">
        <v>24937</v>
      </c>
      <c r="Z2588">
        <v>2</v>
      </c>
      <c r="AA2588" t="s">
        <v>1188</v>
      </c>
      <c r="AB2588" s="40" t="s">
        <v>1798</v>
      </c>
    </row>
    <row r="2589" spans="1:28" x14ac:dyDescent="0.25">
      <c r="A2589">
        <v>99912588</v>
      </c>
      <c r="B2589" t="s">
        <v>32</v>
      </c>
      <c r="C2589" t="s">
        <v>64</v>
      </c>
      <c r="D2589" t="s">
        <v>65</v>
      </c>
      <c r="G2589" t="s">
        <v>35</v>
      </c>
      <c r="H2589">
        <v>1</v>
      </c>
      <c r="K2589" t="s">
        <v>1268</v>
      </c>
      <c r="L2589" t="s">
        <v>1269</v>
      </c>
      <c r="M2589" t="s">
        <v>1270</v>
      </c>
      <c r="N2589">
        <v>20</v>
      </c>
      <c r="P2589" t="s">
        <v>41</v>
      </c>
      <c r="Q2589" t="s">
        <v>922</v>
      </c>
      <c r="R2589" t="str">
        <f>"1950001"</f>
        <v>1950001</v>
      </c>
      <c r="S2589" t="s">
        <v>1284</v>
      </c>
      <c r="T2589" t="s">
        <v>1268</v>
      </c>
      <c r="U2589" t="s">
        <v>1269</v>
      </c>
      <c r="V2589" t="s">
        <v>1270</v>
      </c>
      <c r="W2589" t="s">
        <v>51</v>
      </c>
      <c r="X2589" t="s">
        <v>45</v>
      </c>
      <c r="Y2589" s="1">
        <v>24932</v>
      </c>
      <c r="Z2589">
        <v>2</v>
      </c>
      <c r="AA2589" t="s">
        <v>1269</v>
      </c>
      <c r="AB2589" s="40" t="s">
        <v>1798</v>
      </c>
    </row>
    <row r="2590" spans="1:28" x14ac:dyDescent="0.25">
      <c r="A2590">
        <v>99912589</v>
      </c>
      <c r="B2590" t="s">
        <v>32</v>
      </c>
      <c r="C2590" t="s">
        <v>46</v>
      </c>
      <c r="D2590" t="s">
        <v>47</v>
      </c>
      <c r="G2590" t="s">
        <v>48</v>
      </c>
      <c r="H2590">
        <v>1</v>
      </c>
      <c r="K2590" t="s">
        <v>223</v>
      </c>
      <c r="L2590" t="s">
        <v>224</v>
      </c>
      <c r="M2590" t="s">
        <v>131</v>
      </c>
      <c r="N2590">
        <v>20</v>
      </c>
      <c r="P2590" t="s">
        <v>41</v>
      </c>
      <c r="Q2590" t="s">
        <v>49</v>
      </c>
      <c r="R2590" t="str">
        <f>"0581206"</f>
        <v>0581206</v>
      </c>
      <c r="S2590" t="s">
        <v>232</v>
      </c>
      <c r="T2590" t="s">
        <v>223</v>
      </c>
      <c r="U2590" t="s">
        <v>224</v>
      </c>
      <c r="V2590" t="s">
        <v>131</v>
      </c>
      <c r="W2590" t="s">
        <v>51</v>
      </c>
      <c r="X2590" t="s">
        <v>45</v>
      </c>
      <c r="Y2590" s="1">
        <v>24920</v>
      </c>
      <c r="Z2590">
        <v>2</v>
      </c>
      <c r="AA2590" t="s">
        <v>224</v>
      </c>
      <c r="AB2590" s="40" t="s">
        <v>1798</v>
      </c>
    </row>
    <row r="2591" spans="1:28" x14ac:dyDescent="0.25">
      <c r="A2591">
        <v>99912590</v>
      </c>
      <c r="B2591" t="s">
        <v>56</v>
      </c>
      <c r="C2591" t="s">
        <v>68</v>
      </c>
      <c r="D2591" t="s">
        <v>69</v>
      </c>
      <c r="E2591" t="s">
        <v>151</v>
      </c>
      <c r="F2591" t="s">
        <v>152</v>
      </c>
      <c r="G2591" t="s">
        <v>48</v>
      </c>
      <c r="H2591">
        <v>9</v>
      </c>
      <c r="K2591" t="s">
        <v>1128</v>
      </c>
      <c r="L2591" t="s">
        <v>1129</v>
      </c>
      <c r="M2591" t="s">
        <v>1130</v>
      </c>
      <c r="N2591">
        <v>20</v>
      </c>
      <c r="P2591" t="s">
        <v>41</v>
      </c>
      <c r="Q2591" t="s">
        <v>42</v>
      </c>
      <c r="R2591" t="str">
        <f>"3180015"</f>
        <v>3180015</v>
      </c>
      <c r="S2591" t="s">
        <v>1139</v>
      </c>
      <c r="T2591" t="s">
        <v>1128</v>
      </c>
      <c r="U2591" t="s">
        <v>1129</v>
      </c>
      <c r="V2591" t="s">
        <v>1130</v>
      </c>
      <c r="W2591" t="s">
        <v>51</v>
      </c>
      <c r="X2591" t="s">
        <v>45</v>
      </c>
      <c r="Y2591" s="1">
        <v>24912</v>
      </c>
      <c r="Z2591">
        <v>2</v>
      </c>
      <c r="AA2591" t="s">
        <v>1129</v>
      </c>
      <c r="AB2591" s="40" t="s">
        <v>1798</v>
      </c>
    </row>
    <row r="2592" spans="1:28" x14ac:dyDescent="0.25">
      <c r="A2592">
        <v>99912591</v>
      </c>
      <c r="B2592" t="s">
        <v>32</v>
      </c>
      <c r="C2592" t="s">
        <v>79</v>
      </c>
      <c r="D2592" t="s">
        <v>80</v>
      </c>
      <c r="G2592" t="s">
        <v>48</v>
      </c>
      <c r="H2592">
        <v>9</v>
      </c>
      <c r="K2592" t="s">
        <v>345</v>
      </c>
      <c r="L2592" t="s">
        <v>346</v>
      </c>
      <c r="M2592" t="s">
        <v>131</v>
      </c>
      <c r="N2592">
        <v>20</v>
      </c>
      <c r="P2592" t="s">
        <v>41</v>
      </c>
      <c r="Q2592" t="s">
        <v>42</v>
      </c>
      <c r="R2592" t="str">
        <f>"0590906"</f>
        <v>0590906</v>
      </c>
      <c r="S2592" t="s">
        <v>361</v>
      </c>
      <c r="T2592" t="s">
        <v>345</v>
      </c>
      <c r="U2592" t="s">
        <v>346</v>
      </c>
      <c r="V2592" t="s">
        <v>131</v>
      </c>
      <c r="W2592" t="s">
        <v>51</v>
      </c>
      <c r="X2592" t="s">
        <v>45</v>
      </c>
      <c r="Y2592" s="1">
        <v>24876</v>
      </c>
      <c r="Z2592">
        <v>2</v>
      </c>
      <c r="AA2592" t="s">
        <v>346</v>
      </c>
      <c r="AB2592" s="40" t="s">
        <v>1798</v>
      </c>
    </row>
    <row r="2593" spans="1:28" x14ac:dyDescent="0.25">
      <c r="A2593">
        <v>99912592</v>
      </c>
      <c r="B2593" t="s">
        <v>32</v>
      </c>
      <c r="C2593" t="s">
        <v>145</v>
      </c>
      <c r="D2593" t="s">
        <v>146</v>
      </c>
      <c r="G2593" t="s">
        <v>48</v>
      </c>
      <c r="H2593">
        <v>1</v>
      </c>
      <c r="K2593" t="s">
        <v>380</v>
      </c>
      <c r="L2593" t="s">
        <v>381</v>
      </c>
      <c r="M2593" t="s">
        <v>131</v>
      </c>
      <c r="N2593">
        <v>20</v>
      </c>
      <c r="P2593" t="s">
        <v>41</v>
      </c>
      <c r="Q2593" t="s">
        <v>42</v>
      </c>
      <c r="R2593" t="str">
        <f>"0590908"</f>
        <v>0590908</v>
      </c>
      <c r="S2593" t="s">
        <v>382</v>
      </c>
      <c r="T2593" t="s">
        <v>380</v>
      </c>
      <c r="U2593" t="s">
        <v>381</v>
      </c>
      <c r="V2593" t="s">
        <v>131</v>
      </c>
      <c r="W2593" t="s">
        <v>51</v>
      </c>
      <c r="X2593" t="s">
        <v>45</v>
      </c>
      <c r="Y2593" s="1">
        <v>24873</v>
      </c>
      <c r="Z2593">
        <v>2</v>
      </c>
      <c r="AA2593" t="s">
        <v>381</v>
      </c>
      <c r="AB2593" s="40" t="s">
        <v>1798</v>
      </c>
    </row>
    <row r="2594" spans="1:28" x14ac:dyDescent="0.25">
      <c r="A2594">
        <v>99912593</v>
      </c>
      <c r="B2594" t="s">
        <v>56</v>
      </c>
      <c r="C2594" t="s">
        <v>46</v>
      </c>
      <c r="D2594" t="s">
        <v>47</v>
      </c>
      <c r="G2594" t="s">
        <v>48</v>
      </c>
      <c r="H2594">
        <v>16</v>
      </c>
      <c r="K2594" t="s">
        <v>1268</v>
      </c>
      <c r="L2594" t="s">
        <v>1269</v>
      </c>
      <c r="M2594" t="s">
        <v>1270</v>
      </c>
      <c r="N2594">
        <v>20</v>
      </c>
      <c r="O2594" s="1">
        <v>43344</v>
      </c>
      <c r="P2594" t="s">
        <v>41</v>
      </c>
      <c r="Q2594" t="s">
        <v>42</v>
      </c>
      <c r="R2594" t="str">
        <f>"1980055"</f>
        <v>1980055</v>
      </c>
      <c r="S2594" t="s">
        <v>1285</v>
      </c>
      <c r="T2594" t="s">
        <v>1268</v>
      </c>
      <c r="U2594" t="s">
        <v>1269</v>
      </c>
      <c r="V2594" t="s">
        <v>1270</v>
      </c>
      <c r="W2594" t="s">
        <v>165</v>
      </c>
      <c r="X2594" t="s">
        <v>45</v>
      </c>
      <c r="Y2594" s="1">
        <v>24870</v>
      </c>
      <c r="Z2594">
        <v>2</v>
      </c>
      <c r="AA2594" t="s">
        <v>1269</v>
      </c>
      <c r="AB2594" s="40" t="s">
        <v>1798</v>
      </c>
    </row>
    <row r="2595" spans="1:28" x14ac:dyDescent="0.25">
      <c r="A2595">
        <v>99912594</v>
      </c>
      <c r="B2595" t="s">
        <v>56</v>
      </c>
      <c r="C2595" t="s">
        <v>85</v>
      </c>
      <c r="D2595" t="s">
        <v>86</v>
      </c>
      <c r="G2595" t="s">
        <v>48</v>
      </c>
      <c r="H2595">
        <v>1</v>
      </c>
      <c r="K2595" t="s">
        <v>300</v>
      </c>
      <c r="L2595" t="s">
        <v>301</v>
      </c>
      <c r="M2595" t="s">
        <v>131</v>
      </c>
      <c r="N2595">
        <v>20</v>
      </c>
      <c r="P2595" t="s">
        <v>41</v>
      </c>
      <c r="Q2595" t="s">
        <v>42</v>
      </c>
      <c r="R2595" t="str">
        <f>"0580176"</f>
        <v>0580176</v>
      </c>
      <c r="S2595" t="s">
        <v>305</v>
      </c>
      <c r="T2595" t="s">
        <v>300</v>
      </c>
      <c r="U2595" t="s">
        <v>301</v>
      </c>
      <c r="V2595" t="s">
        <v>131</v>
      </c>
      <c r="W2595" t="s">
        <v>51</v>
      </c>
      <c r="X2595" t="s">
        <v>45</v>
      </c>
      <c r="Y2595" s="1">
        <v>24867</v>
      </c>
      <c r="Z2595">
        <v>2</v>
      </c>
      <c r="AA2595" t="s">
        <v>301</v>
      </c>
      <c r="AB2595" s="40" t="s">
        <v>1798</v>
      </c>
    </row>
    <row r="2596" spans="1:28" x14ac:dyDescent="0.25">
      <c r="A2596">
        <v>99912595</v>
      </c>
      <c r="B2596" t="s">
        <v>32</v>
      </c>
      <c r="C2596" t="s">
        <v>46</v>
      </c>
      <c r="D2596" t="s">
        <v>47</v>
      </c>
      <c r="G2596" t="s">
        <v>48</v>
      </c>
      <c r="H2596">
        <v>1</v>
      </c>
      <c r="K2596" t="s">
        <v>223</v>
      </c>
      <c r="L2596" t="s">
        <v>224</v>
      </c>
      <c r="M2596" t="s">
        <v>131</v>
      </c>
      <c r="N2596">
        <v>20</v>
      </c>
      <c r="P2596" t="s">
        <v>41</v>
      </c>
      <c r="Q2596" t="s">
        <v>49</v>
      </c>
      <c r="R2596" t="str">
        <f>"0581206"</f>
        <v>0581206</v>
      </c>
      <c r="S2596" t="s">
        <v>232</v>
      </c>
      <c r="T2596" t="s">
        <v>223</v>
      </c>
      <c r="U2596" t="s">
        <v>224</v>
      </c>
      <c r="V2596" t="s">
        <v>131</v>
      </c>
      <c r="W2596" t="s">
        <v>51</v>
      </c>
      <c r="X2596" t="s">
        <v>45</v>
      </c>
      <c r="Y2596" s="1">
        <v>24858</v>
      </c>
      <c r="Z2596">
        <v>2</v>
      </c>
      <c r="AA2596" t="s">
        <v>224</v>
      </c>
      <c r="AB2596" s="40" t="s">
        <v>1798</v>
      </c>
    </row>
    <row r="2597" spans="1:28" x14ac:dyDescent="0.25">
      <c r="A2597">
        <v>99912596</v>
      </c>
      <c r="B2597" t="s">
        <v>56</v>
      </c>
      <c r="C2597" t="s">
        <v>46</v>
      </c>
      <c r="D2597" t="s">
        <v>47</v>
      </c>
      <c r="G2597" t="s">
        <v>48</v>
      </c>
      <c r="H2597">
        <v>1</v>
      </c>
      <c r="K2597" t="s">
        <v>223</v>
      </c>
      <c r="L2597" t="s">
        <v>224</v>
      </c>
      <c r="M2597" t="s">
        <v>131</v>
      </c>
      <c r="N2597">
        <v>20</v>
      </c>
      <c r="P2597" t="s">
        <v>41</v>
      </c>
      <c r="Q2597" t="s">
        <v>49</v>
      </c>
      <c r="R2597" t="str">
        <f>"0581206"</f>
        <v>0581206</v>
      </c>
      <c r="S2597" t="s">
        <v>232</v>
      </c>
      <c r="T2597" t="s">
        <v>223</v>
      </c>
      <c r="U2597" t="s">
        <v>224</v>
      </c>
      <c r="V2597" t="s">
        <v>131</v>
      </c>
      <c r="W2597" t="s">
        <v>51</v>
      </c>
      <c r="X2597" t="s">
        <v>45</v>
      </c>
      <c r="Y2597" s="1">
        <v>24858</v>
      </c>
      <c r="Z2597">
        <v>2</v>
      </c>
      <c r="AA2597" t="s">
        <v>224</v>
      </c>
      <c r="AB2597" s="40" t="s">
        <v>1798</v>
      </c>
    </row>
    <row r="2598" spans="1:28" x14ac:dyDescent="0.25">
      <c r="A2598">
        <v>99912597</v>
      </c>
      <c r="B2598" t="s">
        <v>32</v>
      </c>
      <c r="C2598" t="s">
        <v>139</v>
      </c>
      <c r="D2598" t="s">
        <v>140</v>
      </c>
      <c r="G2598" t="s">
        <v>35</v>
      </c>
      <c r="H2598">
        <v>1</v>
      </c>
      <c r="K2598" t="s">
        <v>1268</v>
      </c>
      <c r="L2598" t="s">
        <v>1269</v>
      </c>
      <c r="M2598" t="s">
        <v>1270</v>
      </c>
      <c r="N2598">
        <v>20</v>
      </c>
      <c r="P2598" t="s">
        <v>41</v>
      </c>
      <c r="Q2598" t="s">
        <v>42</v>
      </c>
      <c r="R2598" t="str">
        <f>"1990914"</f>
        <v>1990914</v>
      </c>
      <c r="S2598" t="s">
        <v>1275</v>
      </c>
      <c r="T2598" t="s">
        <v>1268</v>
      </c>
      <c r="U2598" t="s">
        <v>1269</v>
      </c>
      <c r="V2598" t="s">
        <v>1270</v>
      </c>
      <c r="W2598" t="s">
        <v>51</v>
      </c>
      <c r="X2598" t="s">
        <v>45</v>
      </c>
      <c r="Y2598" s="1">
        <v>24857</v>
      </c>
      <c r="Z2598">
        <v>2</v>
      </c>
      <c r="AA2598" t="s">
        <v>1269</v>
      </c>
      <c r="AB2598" s="40" t="s">
        <v>1798</v>
      </c>
    </row>
    <row r="2599" spans="1:28" x14ac:dyDescent="0.25">
      <c r="A2599">
        <v>99912598</v>
      </c>
      <c r="B2599" t="s">
        <v>32</v>
      </c>
      <c r="C2599" t="s">
        <v>46</v>
      </c>
      <c r="D2599" t="s">
        <v>47</v>
      </c>
      <c r="G2599" t="s">
        <v>48</v>
      </c>
      <c r="H2599">
        <v>1</v>
      </c>
      <c r="K2599" t="s">
        <v>1268</v>
      </c>
      <c r="L2599" t="s">
        <v>1269</v>
      </c>
      <c r="M2599" t="s">
        <v>1270</v>
      </c>
      <c r="N2599">
        <v>20</v>
      </c>
      <c r="P2599" t="s">
        <v>41</v>
      </c>
      <c r="Q2599" t="s">
        <v>49</v>
      </c>
      <c r="R2599" t="str">
        <f>"1981912"</f>
        <v>1981912</v>
      </c>
      <c r="S2599" t="s">
        <v>1279</v>
      </c>
      <c r="T2599" t="s">
        <v>1268</v>
      </c>
      <c r="U2599" t="s">
        <v>1269</v>
      </c>
      <c r="V2599" t="s">
        <v>1270</v>
      </c>
      <c r="W2599" t="s">
        <v>51</v>
      </c>
      <c r="X2599" t="s">
        <v>45</v>
      </c>
      <c r="Y2599" s="1">
        <v>24855</v>
      </c>
      <c r="Z2599">
        <v>2</v>
      </c>
      <c r="AA2599" t="s">
        <v>1269</v>
      </c>
      <c r="AB2599" s="40" t="s">
        <v>1798</v>
      </c>
    </row>
    <row r="2600" spans="1:28" x14ac:dyDescent="0.25">
      <c r="A2600">
        <v>99912599</v>
      </c>
      <c r="B2600" t="s">
        <v>32</v>
      </c>
      <c r="C2600" t="s">
        <v>143</v>
      </c>
      <c r="D2600" t="s">
        <v>144</v>
      </c>
      <c r="G2600" t="s">
        <v>48</v>
      </c>
      <c r="H2600">
        <v>1</v>
      </c>
      <c r="K2600" t="s">
        <v>162</v>
      </c>
      <c r="L2600" t="s">
        <v>158</v>
      </c>
      <c r="M2600" t="s">
        <v>131</v>
      </c>
      <c r="N2600">
        <v>20</v>
      </c>
      <c r="P2600" t="s">
        <v>41</v>
      </c>
      <c r="Q2600" t="s">
        <v>49</v>
      </c>
      <c r="R2600" t="str">
        <f>"0581325"</f>
        <v>0581325</v>
      </c>
      <c r="S2600" t="s">
        <v>169</v>
      </c>
      <c r="T2600" t="s">
        <v>162</v>
      </c>
      <c r="U2600" t="s">
        <v>158</v>
      </c>
      <c r="V2600" t="s">
        <v>131</v>
      </c>
      <c r="W2600" t="s">
        <v>51</v>
      </c>
      <c r="X2600" t="s">
        <v>45</v>
      </c>
      <c r="Y2600" s="1">
        <v>24854</v>
      </c>
      <c r="Z2600">
        <v>2</v>
      </c>
      <c r="AA2600" t="s">
        <v>158</v>
      </c>
      <c r="AB2600" s="40" t="s">
        <v>1798</v>
      </c>
    </row>
    <row r="2601" spans="1:28" x14ac:dyDescent="0.25">
      <c r="A2601">
        <v>99912600</v>
      </c>
      <c r="B2601" t="s">
        <v>32</v>
      </c>
      <c r="C2601" t="s">
        <v>46</v>
      </c>
      <c r="D2601" t="s">
        <v>47</v>
      </c>
      <c r="G2601" t="s">
        <v>35</v>
      </c>
      <c r="H2601">
        <v>1</v>
      </c>
      <c r="K2601" t="s">
        <v>223</v>
      </c>
      <c r="L2601" t="s">
        <v>224</v>
      </c>
      <c r="M2601" t="s">
        <v>131</v>
      </c>
      <c r="N2601">
        <v>20</v>
      </c>
      <c r="P2601" t="s">
        <v>41</v>
      </c>
      <c r="Q2601" t="s">
        <v>42</v>
      </c>
      <c r="R2601" t="str">
        <f>"0580396"</f>
        <v>0580396</v>
      </c>
      <c r="S2601" t="s">
        <v>255</v>
      </c>
      <c r="T2601" t="s">
        <v>223</v>
      </c>
      <c r="U2601" t="s">
        <v>224</v>
      </c>
      <c r="V2601" t="s">
        <v>131</v>
      </c>
      <c r="W2601" t="s">
        <v>51</v>
      </c>
      <c r="X2601" t="s">
        <v>45</v>
      </c>
      <c r="Y2601" s="1">
        <v>24850</v>
      </c>
      <c r="Z2601">
        <v>2</v>
      </c>
      <c r="AA2601" t="s">
        <v>224</v>
      </c>
      <c r="AB2601" s="40" t="s">
        <v>1798</v>
      </c>
    </row>
    <row r="2602" spans="1:28" x14ac:dyDescent="0.25">
      <c r="A2602">
        <v>99912601</v>
      </c>
      <c r="B2602" t="s">
        <v>32</v>
      </c>
      <c r="C2602" t="s">
        <v>141</v>
      </c>
      <c r="D2602" t="s">
        <v>142</v>
      </c>
      <c r="G2602" t="s">
        <v>35</v>
      </c>
      <c r="H2602">
        <v>1</v>
      </c>
      <c r="K2602" t="s">
        <v>345</v>
      </c>
      <c r="L2602" t="s">
        <v>346</v>
      </c>
      <c r="M2602" t="s">
        <v>131</v>
      </c>
      <c r="N2602">
        <v>20</v>
      </c>
      <c r="P2602" t="s">
        <v>41</v>
      </c>
      <c r="Q2602" t="s">
        <v>49</v>
      </c>
      <c r="R2602" t="str">
        <f>"0560007"</f>
        <v>0560007</v>
      </c>
      <c r="S2602" t="s">
        <v>357</v>
      </c>
      <c r="T2602" t="s">
        <v>345</v>
      </c>
      <c r="U2602" t="s">
        <v>346</v>
      </c>
      <c r="V2602" t="s">
        <v>131</v>
      </c>
      <c r="W2602" t="s">
        <v>51</v>
      </c>
      <c r="X2602" t="s">
        <v>45</v>
      </c>
      <c r="Y2602" s="1">
        <v>24840</v>
      </c>
      <c r="Z2602">
        <v>2</v>
      </c>
      <c r="AA2602" t="s">
        <v>346</v>
      </c>
      <c r="AB2602" s="40" t="s">
        <v>1798</v>
      </c>
    </row>
    <row r="2603" spans="1:28" x14ac:dyDescent="0.25">
      <c r="A2603">
        <v>99912602</v>
      </c>
      <c r="B2603" t="s">
        <v>32</v>
      </c>
      <c r="C2603" t="s">
        <v>46</v>
      </c>
      <c r="D2603" t="s">
        <v>47</v>
      </c>
      <c r="G2603" t="s">
        <v>48</v>
      </c>
      <c r="H2603">
        <v>1</v>
      </c>
      <c r="K2603" t="s">
        <v>345</v>
      </c>
      <c r="L2603" t="s">
        <v>346</v>
      </c>
      <c r="M2603" t="s">
        <v>131</v>
      </c>
      <c r="N2603">
        <v>20</v>
      </c>
      <c r="P2603" t="s">
        <v>41</v>
      </c>
      <c r="Q2603" t="s">
        <v>49</v>
      </c>
      <c r="R2603" t="str">
        <f>"0561021"</f>
        <v>0561021</v>
      </c>
      <c r="S2603" t="s">
        <v>352</v>
      </c>
      <c r="T2603" t="s">
        <v>345</v>
      </c>
      <c r="U2603" t="s">
        <v>346</v>
      </c>
      <c r="V2603" t="s">
        <v>131</v>
      </c>
      <c r="W2603" t="s">
        <v>51</v>
      </c>
      <c r="X2603" t="s">
        <v>45</v>
      </c>
      <c r="Y2603" s="1">
        <v>24840</v>
      </c>
      <c r="Z2603">
        <v>2</v>
      </c>
      <c r="AA2603" t="s">
        <v>346</v>
      </c>
      <c r="AB2603" s="40" t="s">
        <v>1798</v>
      </c>
    </row>
    <row r="2604" spans="1:28" x14ac:dyDescent="0.25">
      <c r="A2604">
        <v>99912603</v>
      </c>
      <c r="B2604" t="s">
        <v>32</v>
      </c>
      <c r="C2604" t="s">
        <v>61</v>
      </c>
      <c r="D2604" t="s">
        <v>62</v>
      </c>
      <c r="G2604" t="s">
        <v>35</v>
      </c>
      <c r="H2604">
        <v>1</v>
      </c>
      <c r="I2604" t="s">
        <v>199</v>
      </c>
      <c r="J2604" s="1">
        <v>41684</v>
      </c>
      <c r="K2604" t="s">
        <v>157</v>
      </c>
      <c r="L2604" t="s">
        <v>158</v>
      </c>
      <c r="M2604" t="s">
        <v>131</v>
      </c>
      <c r="N2604">
        <v>20</v>
      </c>
      <c r="O2604" s="1">
        <v>41684</v>
      </c>
      <c r="P2604" t="s">
        <v>41</v>
      </c>
      <c r="Q2604" t="s">
        <v>42</v>
      </c>
      <c r="R2604" t="str">
        <f>"0561005"</f>
        <v>0561005</v>
      </c>
      <c r="S2604" t="s">
        <v>174</v>
      </c>
      <c r="T2604" t="s">
        <v>157</v>
      </c>
      <c r="U2604" t="s">
        <v>158</v>
      </c>
      <c r="V2604" t="s">
        <v>131</v>
      </c>
      <c r="W2604" t="s">
        <v>51</v>
      </c>
      <c r="X2604" t="s">
        <v>45</v>
      </c>
      <c r="Y2604" s="1">
        <v>24838</v>
      </c>
      <c r="Z2604">
        <v>2</v>
      </c>
      <c r="AA2604" t="s">
        <v>158</v>
      </c>
      <c r="AB2604" s="40" t="s">
        <v>1798</v>
      </c>
    </row>
    <row r="2605" spans="1:28" x14ac:dyDescent="0.25">
      <c r="A2605">
        <v>99912604</v>
      </c>
      <c r="B2605" t="s">
        <v>32</v>
      </c>
      <c r="C2605" t="s">
        <v>139</v>
      </c>
      <c r="D2605" t="s">
        <v>140</v>
      </c>
      <c r="G2605" t="s">
        <v>48</v>
      </c>
      <c r="H2605">
        <v>1</v>
      </c>
      <c r="K2605" t="s">
        <v>345</v>
      </c>
      <c r="L2605" t="s">
        <v>346</v>
      </c>
      <c r="M2605" t="s">
        <v>131</v>
      </c>
      <c r="N2605">
        <v>20</v>
      </c>
      <c r="P2605" t="s">
        <v>41</v>
      </c>
      <c r="Q2605" t="s">
        <v>49</v>
      </c>
      <c r="R2605" t="str">
        <f>"0561021"</f>
        <v>0561021</v>
      </c>
      <c r="S2605" t="s">
        <v>352</v>
      </c>
      <c r="T2605" t="s">
        <v>345</v>
      </c>
      <c r="U2605" t="s">
        <v>346</v>
      </c>
      <c r="V2605" t="s">
        <v>131</v>
      </c>
      <c r="W2605" t="s">
        <v>51</v>
      </c>
      <c r="X2605" t="s">
        <v>45</v>
      </c>
      <c r="Y2605" s="1">
        <v>24838</v>
      </c>
      <c r="Z2605">
        <v>2</v>
      </c>
      <c r="AA2605" t="s">
        <v>346</v>
      </c>
      <c r="AB2605" s="40" t="s">
        <v>1798</v>
      </c>
    </row>
    <row r="2606" spans="1:28" x14ac:dyDescent="0.25">
      <c r="A2606">
        <v>99912605</v>
      </c>
      <c r="B2606" t="s">
        <v>56</v>
      </c>
      <c r="C2606" t="s">
        <v>68</v>
      </c>
      <c r="D2606" t="s">
        <v>69</v>
      </c>
      <c r="G2606" t="s">
        <v>35</v>
      </c>
      <c r="H2606">
        <v>1</v>
      </c>
      <c r="I2606">
        <v>6844</v>
      </c>
      <c r="J2606" s="1">
        <v>43344</v>
      </c>
      <c r="K2606" t="s">
        <v>1306</v>
      </c>
      <c r="L2606" t="s">
        <v>1307</v>
      </c>
      <c r="M2606" t="s">
        <v>1270</v>
      </c>
      <c r="N2606">
        <v>20</v>
      </c>
      <c r="O2606" s="1">
        <v>43344</v>
      </c>
      <c r="P2606" t="s">
        <v>41</v>
      </c>
      <c r="Q2606" t="s">
        <v>42</v>
      </c>
      <c r="R2606" t="str">
        <f>"1990915"</f>
        <v>1990915</v>
      </c>
      <c r="S2606" t="s">
        <v>1308</v>
      </c>
      <c r="T2606" t="s">
        <v>1306</v>
      </c>
      <c r="U2606" t="s">
        <v>1307</v>
      </c>
      <c r="V2606" t="s">
        <v>1270</v>
      </c>
      <c r="W2606" t="s">
        <v>51</v>
      </c>
      <c r="X2606" t="s">
        <v>45</v>
      </c>
      <c r="Y2606" s="1">
        <v>24838</v>
      </c>
      <c r="Z2606">
        <v>2</v>
      </c>
      <c r="AA2606" t="s">
        <v>1307</v>
      </c>
      <c r="AB2606" s="40" t="s">
        <v>1798</v>
      </c>
    </row>
    <row r="2607" spans="1:28" x14ac:dyDescent="0.25">
      <c r="A2607">
        <v>99912606</v>
      </c>
      <c r="B2607" t="s">
        <v>56</v>
      </c>
      <c r="C2607" t="s">
        <v>46</v>
      </c>
      <c r="D2607" t="s">
        <v>47</v>
      </c>
      <c r="G2607" t="s">
        <v>35</v>
      </c>
      <c r="H2607">
        <v>1</v>
      </c>
      <c r="K2607" t="s">
        <v>1187</v>
      </c>
      <c r="L2607" t="s">
        <v>1188</v>
      </c>
      <c r="M2607" t="s">
        <v>1130</v>
      </c>
      <c r="N2607">
        <v>20</v>
      </c>
      <c r="P2607" t="s">
        <v>41</v>
      </c>
      <c r="Q2607" t="s">
        <v>42</v>
      </c>
      <c r="R2607" t="str">
        <f>"4580015"</f>
        <v>4580015</v>
      </c>
      <c r="S2607" t="s">
        <v>1189</v>
      </c>
      <c r="T2607" t="s">
        <v>1187</v>
      </c>
      <c r="U2607" t="s">
        <v>1188</v>
      </c>
      <c r="V2607" t="s">
        <v>1130</v>
      </c>
      <c r="W2607" t="s">
        <v>51</v>
      </c>
      <c r="X2607" t="s">
        <v>45</v>
      </c>
      <c r="Y2607" s="1">
        <v>24830</v>
      </c>
      <c r="Z2607">
        <v>2</v>
      </c>
      <c r="AA2607" t="s">
        <v>1188</v>
      </c>
      <c r="AB2607" s="40" t="s">
        <v>1798</v>
      </c>
    </row>
    <row r="2608" spans="1:28" x14ac:dyDescent="0.25">
      <c r="A2608">
        <v>99912607</v>
      </c>
      <c r="B2608" t="s">
        <v>56</v>
      </c>
      <c r="C2608" t="s">
        <v>52</v>
      </c>
      <c r="D2608" t="s">
        <v>53</v>
      </c>
      <c r="G2608" t="s">
        <v>48</v>
      </c>
      <c r="H2608">
        <v>1</v>
      </c>
      <c r="K2608" t="s">
        <v>162</v>
      </c>
      <c r="L2608" t="s">
        <v>158</v>
      </c>
      <c r="M2608" t="s">
        <v>131</v>
      </c>
      <c r="N2608">
        <v>20</v>
      </c>
      <c r="P2608" t="s">
        <v>41</v>
      </c>
      <c r="Q2608" t="s">
        <v>42</v>
      </c>
      <c r="R2608" t="str">
        <f>"0580325"</f>
        <v>0580325</v>
      </c>
      <c r="S2608" t="s">
        <v>170</v>
      </c>
      <c r="T2608" t="s">
        <v>162</v>
      </c>
      <c r="U2608" t="s">
        <v>158</v>
      </c>
      <c r="V2608" t="s">
        <v>131</v>
      </c>
      <c r="W2608" t="s">
        <v>165</v>
      </c>
      <c r="X2608" t="s">
        <v>45</v>
      </c>
      <c r="Y2608" s="1">
        <v>24822</v>
      </c>
      <c r="Z2608">
        <v>2</v>
      </c>
      <c r="AA2608" t="s">
        <v>158</v>
      </c>
      <c r="AB2608" s="40" t="s">
        <v>1798</v>
      </c>
    </row>
    <row r="2609" spans="1:28" x14ac:dyDescent="0.25">
      <c r="A2609">
        <v>99912608</v>
      </c>
      <c r="B2609" t="s">
        <v>32</v>
      </c>
      <c r="C2609" t="s">
        <v>46</v>
      </c>
      <c r="D2609" t="s">
        <v>47</v>
      </c>
      <c r="G2609" t="s">
        <v>35</v>
      </c>
      <c r="H2609">
        <v>1</v>
      </c>
      <c r="K2609" t="s">
        <v>157</v>
      </c>
      <c r="L2609" t="s">
        <v>158</v>
      </c>
      <c r="M2609" t="s">
        <v>131</v>
      </c>
      <c r="N2609">
        <v>20</v>
      </c>
      <c r="P2609" t="s">
        <v>41</v>
      </c>
      <c r="Q2609" t="s">
        <v>42</v>
      </c>
      <c r="R2609" t="str">
        <f>"0580725"</f>
        <v>0580725</v>
      </c>
      <c r="S2609" t="s">
        <v>167</v>
      </c>
      <c r="T2609" t="s">
        <v>157</v>
      </c>
      <c r="U2609" t="s">
        <v>158</v>
      </c>
      <c r="V2609" t="s">
        <v>131</v>
      </c>
      <c r="W2609" t="s">
        <v>51</v>
      </c>
      <c r="X2609" t="s">
        <v>45</v>
      </c>
      <c r="Y2609" s="1">
        <v>24817</v>
      </c>
      <c r="Z2609">
        <v>2</v>
      </c>
      <c r="AA2609" t="s">
        <v>158</v>
      </c>
      <c r="AB2609" s="40" t="s">
        <v>1798</v>
      </c>
    </row>
    <row r="2610" spans="1:28" x14ac:dyDescent="0.25">
      <c r="A2610">
        <v>99912609</v>
      </c>
      <c r="B2610" t="s">
        <v>56</v>
      </c>
      <c r="C2610" t="s">
        <v>68</v>
      </c>
      <c r="D2610" t="s">
        <v>69</v>
      </c>
      <c r="G2610" t="s">
        <v>48</v>
      </c>
      <c r="H2610">
        <v>1</v>
      </c>
      <c r="K2610" t="s">
        <v>345</v>
      </c>
      <c r="L2610" t="s">
        <v>346</v>
      </c>
      <c r="M2610" t="s">
        <v>131</v>
      </c>
      <c r="N2610">
        <v>20</v>
      </c>
      <c r="P2610" t="s">
        <v>41</v>
      </c>
      <c r="Q2610" t="s">
        <v>49</v>
      </c>
      <c r="R2610" t="str">
        <f>"0561021"</f>
        <v>0561021</v>
      </c>
      <c r="S2610" t="s">
        <v>352</v>
      </c>
      <c r="T2610" t="s">
        <v>345</v>
      </c>
      <c r="U2610" t="s">
        <v>346</v>
      </c>
      <c r="V2610" t="s">
        <v>131</v>
      </c>
      <c r="W2610" t="s">
        <v>51</v>
      </c>
      <c r="X2610" t="s">
        <v>45</v>
      </c>
      <c r="Y2610" s="1">
        <v>24815</v>
      </c>
      <c r="Z2610">
        <v>2</v>
      </c>
      <c r="AA2610" t="s">
        <v>346</v>
      </c>
      <c r="AB2610" s="40" t="s">
        <v>1798</v>
      </c>
    </row>
    <row r="2611" spans="1:28" x14ac:dyDescent="0.25">
      <c r="A2611">
        <v>99912610</v>
      </c>
      <c r="B2611" t="s">
        <v>56</v>
      </c>
      <c r="C2611" t="s">
        <v>52</v>
      </c>
      <c r="D2611" t="s">
        <v>53</v>
      </c>
      <c r="G2611" t="s">
        <v>35</v>
      </c>
      <c r="H2611">
        <v>1</v>
      </c>
      <c r="I2611">
        <v>0</v>
      </c>
      <c r="J2611" s="1">
        <v>43344</v>
      </c>
      <c r="K2611" t="s">
        <v>223</v>
      </c>
      <c r="L2611" t="s">
        <v>224</v>
      </c>
      <c r="M2611" t="s">
        <v>131</v>
      </c>
      <c r="N2611">
        <v>20</v>
      </c>
      <c r="O2611" s="1">
        <v>43344</v>
      </c>
      <c r="P2611" t="s">
        <v>41</v>
      </c>
      <c r="Q2611" t="s">
        <v>42</v>
      </c>
      <c r="R2611" t="str">
        <f>"0580206"</f>
        <v>0580206</v>
      </c>
      <c r="S2611" t="s">
        <v>237</v>
      </c>
      <c r="T2611" t="s">
        <v>223</v>
      </c>
      <c r="U2611" t="s">
        <v>224</v>
      </c>
      <c r="V2611" t="s">
        <v>131</v>
      </c>
      <c r="W2611" t="s">
        <v>51</v>
      </c>
      <c r="X2611" t="s">
        <v>45</v>
      </c>
      <c r="Y2611" s="1">
        <v>24813</v>
      </c>
      <c r="Z2611">
        <v>2</v>
      </c>
      <c r="AA2611" t="s">
        <v>224</v>
      </c>
      <c r="AB2611" s="40" t="s">
        <v>1798</v>
      </c>
    </row>
    <row r="2612" spans="1:28" x14ac:dyDescent="0.25">
      <c r="A2612">
        <v>99912611</v>
      </c>
      <c r="B2612" t="s">
        <v>56</v>
      </c>
      <c r="C2612" t="s">
        <v>52</v>
      </c>
      <c r="D2612" t="s">
        <v>53</v>
      </c>
      <c r="G2612" t="s">
        <v>35</v>
      </c>
      <c r="H2612">
        <v>1</v>
      </c>
      <c r="I2612">
        <v>0</v>
      </c>
      <c r="J2612" s="1">
        <v>43344</v>
      </c>
      <c r="K2612" t="s">
        <v>223</v>
      </c>
      <c r="L2612" t="s">
        <v>224</v>
      </c>
      <c r="M2612" t="s">
        <v>131</v>
      </c>
      <c r="N2612">
        <v>20</v>
      </c>
      <c r="O2612" s="1">
        <v>43344</v>
      </c>
      <c r="P2612" t="s">
        <v>41</v>
      </c>
      <c r="Q2612" t="s">
        <v>42</v>
      </c>
      <c r="R2612" t="str">
        <f>"0580206"</f>
        <v>0580206</v>
      </c>
      <c r="S2612" t="s">
        <v>237</v>
      </c>
      <c r="T2612" t="s">
        <v>223</v>
      </c>
      <c r="U2612" t="s">
        <v>224</v>
      </c>
      <c r="V2612" t="s">
        <v>131</v>
      </c>
      <c r="W2612" t="s">
        <v>51</v>
      </c>
      <c r="X2612" t="s">
        <v>45</v>
      </c>
      <c r="Y2612" s="1">
        <v>24789</v>
      </c>
      <c r="Z2612">
        <v>2</v>
      </c>
      <c r="AA2612" t="s">
        <v>224</v>
      </c>
      <c r="AB2612" s="40" t="s">
        <v>1798</v>
      </c>
    </row>
    <row r="2613" spans="1:28" x14ac:dyDescent="0.25">
      <c r="A2613">
        <v>99912612</v>
      </c>
      <c r="B2613" t="s">
        <v>56</v>
      </c>
      <c r="C2613" t="s">
        <v>79</v>
      </c>
      <c r="D2613" t="s">
        <v>80</v>
      </c>
      <c r="G2613" t="s">
        <v>48</v>
      </c>
      <c r="H2613">
        <v>1</v>
      </c>
      <c r="K2613" t="s">
        <v>129</v>
      </c>
      <c r="L2613" t="s">
        <v>130</v>
      </c>
      <c r="M2613" t="s">
        <v>131</v>
      </c>
      <c r="N2613">
        <v>20</v>
      </c>
      <c r="P2613" t="s">
        <v>41</v>
      </c>
      <c r="Q2613" t="s">
        <v>49</v>
      </c>
      <c r="R2613" t="str">
        <f>"0591905"</f>
        <v>0591905</v>
      </c>
      <c r="S2613" t="s">
        <v>135</v>
      </c>
      <c r="T2613" t="s">
        <v>129</v>
      </c>
      <c r="U2613" t="s">
        <v>130</v>
      </c>
      <c r="V2613" t="s">
        <v>131</v>
      </c>
      <c r="W2613" t="s">
        <v>51</v>
      </c>
      <c r="X2613" t="s">
        <v>45</v>
      </c>
      <c r="Y2613" s="1">
        <v>24766</v>
      </c>
      <c r="Z2613">
        <v>2</v>
      </c>
      <c r="AA2613" t="s">
        <v>130</v>
      </c>
      <c r="AB2613" s="40" t="s">
        <v>1798</v>
      </c>
    </row>
    <row r="2614" spans="1:28" x14ac:dyDescent="0.25">
      <c r="A2614">
        <v>99912613</v>
      </c>
      <c r="B2614" t="s">
        <v>32</v>
      </c>
      <c r="C2614" t="s">
        <v>85</v>
      </c>
      <c r="D2614" t="s">
        <v>86</v>
      </c>
      <c r="G2614" t="s">
        <v>48</v>
      </c>
      <c r="H2614">
        <v>1</v>
      </c>
      <c r="K2614" t="s">
        <v>1496</v>
      </c>
      <c r="L2614" t="s">
        <v>1497</v>
      </c>
      <c r="M2614" t="s">
        <v>670</v>
      </c>
      <c r="N2614">
        <v>20</v>
      </c>
      <c r="P2614" t="s">
        <v>41</v>
      </c>
      <c r="Q2614" t="s">
        <v>49</v>
      </c>
      <c r="R2614" t="str">
        <f>"5060001"</f>
        <v>5060001</v>
      </c>
      <c r="S2614" t="s">
        <v>1499</v>
      </c>
      <c r="T2614" t="s">
        <v>1496</v>
      </c>
      <c r="U2614" t="s">
        <v>1497</v>
      </c>
      <c r="V2614" t="s">
        <v>670</v>
      </c>
      <c r="W2614" t="s">
        <v>51</v>
      </c>
      <c r="X2614" t="s">
        <v>45</v>
      </c>
      <c r="Y2614" s="1">
        <v>24765</v>
      </c>
      <c r="Z2614">
        <v>2</v>
      </c>
      <c r="AA2614" t="s">
        <v>1497</v>
      </c>
      <c r="AB2614" s="40" t="s">
        <v>1798</v>
      </c>
    </row>
    <row r="2615" spans="1:28" x14ac:dyDescent="0.25">
      <c r="A2615">
        <v>99912614</v>
      </c>
      <c r="B2615" t="s">
        <v>32</v>
      </c>
      <c r="C2615" t="s">
        <v>46</v>
      </c>
      <c r="D2615" t="s">
        <v>47</v>
      </c>
      <c r="G2615" t="s">
        <v>48</v>
      </c>
      <c r="H2615">
        <v>1</v>
      </c>
      <c r="K2615" t="s">
        <v>223</v>
      </c>
      <c r="L2615" t="s">
        <v>224</v>
      </c>
      <c r="M2615" t="s">
        <v>131</v>
      </c>
      <c r="N2615">
        <v>20</v>
      </c>
      <c r="P2615" t="s">
        <v>41</v>
      </c>
      <c r="Q2615" t="s">
        <v>42</v>
      </c>
      <c r="R2615" t="str">
        <f>"0590910"</f>
        <v>0590910</v>
      </c>
      <c r="S2615" t="s">
        <v>227</v>
      </c>
      <c r="T2615" t="s">
        <v>223</v>
      </c>
      <c r="U2615" t="s">
        <v>224</v>
      </c>
      <c r="V2615" t="s">
        <v>131</v>
      </c>
      <c r="W2615" t="s">
        <v>51</v>
      </c>
      <c r="X2615" t="s">
        <v>45</v>
      </c>
      <c r="Y2615" s="1">
        <v>24760</v>
      </c>
      <c r="Z2615">
        <v>2</v>
      </c>
      <c r="AA2615" t="s">
        <v>224</v>
      </c>
      <c r="AB2615" s="40" t="s">
        <v>1798</v>
      </c>
    </row>
    <row r="2616" spans="1:28" x14ac:dyDescent="0.25">
      <c r="A2616">
        <v>99912615</v>
      </c>
      <c r="B2616" t="s">
        <v>32</v>
      </c>
      <c r="C2616" t="s">
        <v>33</v>
      </c>
      <c r="D2616" t="s">
        <v>34</v>
      </c>
      <c r="G2616" t="s">
        <v>48</v>
      </c>
      <c r="H2616">
        <v>1</v>
      </c>
      <c r="K2616" t="s">
        <v>223</v>
      </c>
      <c r="L2616" t="s">
        <v>224</v>
      </c>
      <c r="M2616" t="s">
        <v>131</v>
      </c>
      <c r="N2616">
        <v>20</v>
      </c>
      <c r="P2616" t="s">
        <v>41</v>
      </c>
      <c r="Q2616" t="s">
        <v>42</v>
      </c>
      <c r="R2616" t="str">
        <f>"0580204"</f>
        <v>0580204</v>
      </c>
      <c r="S2616" t="s">
        <v>235</v>
      </c>
      <c r="T2616" t="s">
        <v>223</v>
      </c>
      <c r="U2616" t="s">
        <v>224</v>
      </c>
      <c r="V2616" t="s">
        <v>131</v>
      </c>
      <c r="W2616" t="s">
        <v>165</v>
      </c>
      <c r="X2616" t="s">
        <v>45</v>
      </c>
      <c r="Y2616" s="1">
        <v>24754</v>
      </c>
      <c r="Z2616">
        <v>2</v>
      </c>
      <c r="AA2616" t="s">
        <v>224</v>
      </c>
      <c r="AB2616" s="40" t="s">
        <v>1798</v>
      </c>
    </row>
    <row r="2617" spans="1:28" x14ac:dyDescent="0.25">
      <c r="A2617">
        <v>99912616</v>
      </c>
      <c r="B2617" t="s">
        <v>56</v>
      </c>
      <c r="C2617" t="s">
        <v>52</v>
      </c>
      <c r="D2617" t="s">
        <v>53</v>
      </c>
      <c r="G2617" t="s">
        <v>35</v>
      </c>
      <c r="H2617">
        <v>1</v>
      </c>
      <c r="K2617" t="s">
        <v>157</v>
      </c>
      <c r="L2617" t="s">
        <v>158</v>
      </c>
      <c r="M2617" t="s">
        <v>131</v>
      </c>
      <c r="N2617">
        <v>20</v>
      </c>
      <c r="P2617" t="s">
        <v>41</v>
      </c>
      <c r="Q2617" t="s">
        <v>49</v>
      </c>
      <c r="R2617" t="str">
        <f>"0581725"</f>
        <v>0581725</v>
      </c>
      <c r="S2617" t="s">
        <v>161</v>
      </c>
      <c r="T2617" t="s">
        <v>157</v>
      </c>
      <c r="U2617" t="s">
        <v>158</v>
      </c>
      <c r="V2617" t="s">
        <v>131</v>
      </c>
      <c r="W2617" t="s">
        <v>51</v>
      </c>
      <c r="X2617" t="s">
        <v>45</v>
      </c>
      <c r="Y2617" s="1">
        <v>24753</v>
      </c>
      <c r="Z2617">
        <v>2</v>
      </c>
      <c r="AA2617" t="s">
        <v>158</v>
      </c>
      <c r="AB2617" s="40" t="s">
        <v>1798</v>
      </c>
    </row>
    <row r="2618" spans="1:28" x14ac:dyDescent="0.25">
      <c r="A2618">
        <v>99912617</v>
      </c>
      <c r="B2618" t="s">
        <v>32</v>
      </c>
      <c r="C2618" t="s">
        <v>139</v>
      </c>
      <c r="D2618" t="s">
        <v>140</v>
      </c>
      <c r="G2618" t="s">
        <v>48</v>
      </c>
      <c r="H2618">
        <v>1</v>
      </c>
      <c r="K2618" t="s">
        <v>380</v>
      </c>
      <c r="L2618" t="s">
        <v>381</v>
      </c>
      <c r="M2618" t="s">
        <v>131</v>
      </c>
      <c r="N2618">
        <v>20</v>
      </c>
      <c r="P2618" t="s">
        <v>41</v>
      </c>
      <c r="Q2618" t="s">
        <v>42</v>
      </c>
      <c r="R2618" t="str">
        <f>"0590908"</f>
        <v>0590908</v>
      </c>
      <c r="S2618" t="s">
        <v>382</v>
      </c>
      <c r="T2618" t="s">
        <v>380</v>
      </c>
      <c r="U2618" t="s">
        <v>381</v>
      </c>
      <c r="V2618" t="s">
        <v>131</v>
      </c>
      <c r="W2618" t="s">
        <v>51</v>
      </c>
      <c r="X2618" t="s">
        <v>45</v>
      </c>
      <c r="Y2618" s="1">
        <v>24749</v>
      </c>
      <c r="Z2618">
        <v>2</v>
      </c>
      <c r="AA2618" t="s">
        <v>381</v>
      </c>
      <c r="AB2618" s="40" t="s">
        <v>1798</v>
      </c>
    </row>
    <row r="2619" spans="1:28" x14ac:dyDescent="0.25">
      <c r="A2619">
        <v>99912618</v>
      </c>
      <c r="B2619" t="s">
        <v>56</v>
      </c>
      <c r="C2619" t="s">
        <v>46</v>
      </c>
      <c r="D2619" t="s">
        <v>47</v>
      </c>
      <c r="G2619" t="s">
        <v>48</v>
      </c>
      <c r="H2619">
        <v>1</v>
      </c>
      <c r="K2619" t="s">
        <v>162</v>
      </c>
      <c r="L2619" t="s">
        <v>158</v>
      </c>
      <c r="M2619" t="s">
        <v>131</v>
      </c>
      <c r="N2619">
        <v>20</v>
      </c>
      <c r="P2619" t="s">
        <v>41</v>
      </c>
      <c r="Q2619" t="s">
        <v>49</v>
      </c>
      <c r="R2619" t="str">
        <f>"0581325"</f>
        <v>0581325</v>
      </c>
      <c r="S2619" t="s">
        <v>169</v>
      </c>
      <c r="T2619" t="s">
        <v>162</v>
      </c>
      <c r="U2619" t="s">
        <v>158</v>
      </c>
      <c r="V2619" t="s">
        <v>131</v>
      </c>
      <c r="W2619" t="s">
        <v>51</v>
      </c>
      <c r="X2619" t="s">
        <v>45</v>
      </c>
      <c r="Y2619" s="1">
        <v>24734</v>
      </c>
      <c r="Z2619">
        <v>2</v>
      </c>
      <c r="AA2619" t="s">
        <v>158</v>
      </c>
      <c r="AB2619" s="40" t="s">
        <v>1798</v>
      </c>
    </row>
    <row r="2620" spans="1:28" x14ac:dyDescent="0.25">
      <c r="A2620">
        <v>99912619</v>
      </c>
      <c r="B2620" t="s">
        <v>56</v>
      </c>
      <c r="C2620" t="s">
        <v>46</v>
      </c>
      <c r="D2620" t="s">
        <v>47</v>
      </c>
      <c r="G2620" t="s">
        <v>35</v>
      </c>
      <c r="H2620">
        <v>1</v>
      </c>
      <c r="K2620" t="s">
        <v>1268</v>
      </c>
      <c r="L2620" t="s">
        <v>1269</v>
      </c>
      <c r="M2620" t="s">
        <v>1270</v>
      </c>
      <c r="N2620">
        <v>20</v>
      </c>
      <c r="P2620" t="s">
        <v>41</v>
      </c>
      <c r="Q2620" t="s">
        <v>42</v>
      </c>
      <c r="R2620" t="str">
        <f>"1990914"</f>
        <v>1990914</v>
      </c>
      <c r="S2620" t="s">
        <v>1275</v>
      </c>
      <c r="T2620" t="s">
        <v>1268</v>
      </c>
      <c r="U2620" t="s">
        <v>1269</v>
      </c>
      <c r="V2620" t="s">
        <v>1270</v>
      </c>
      <c r="W2620" t="s">
        <v>51</v>
      </c>
      <c r="X2620" t="s">
        <v>45</v>
      </c>
      <c r="Y2620" s="1">
        <v>24721</v>
      </c>
      <c r="Z2620">
        <v>2</v>
      </c>
      <c r="AA2620" t="s">
        <v>1269</v>
      </c>
      <c r="AB2620" s="40" t="s">
        <v>1798</v>
      </c>
    </row>
    <row r="2621" spans="1:28" x14ac:dyDescent="0.25">
      <c r="A2621">
        <v>99912620</v>
      </c>
      <c r="B2621" t="s">
        <v>56</v>
      </c>
      <c r="C2621" t="s">
        <v>33</v>
      </c>
      <c r="D2621" t="s">
        <v>34</v>
      </c>
      <c r="G2621" t="s">
        <v>48</v>
      </c>
      <c r="H2621">
        <v>1</v>
      </c>
      <c r="K2621" t="s">
        <v>1187</v>
      </c>
      <c r="L2621" t="s">
        <v>1188</v>
      </c>
      <c r="M2621" t="s">
        <v>1130</v>
      </c>
      <c r="N2621">
        <v>20</v>
      </c>
      <c r="P2621" t="s">
        <v>41</v>
      </c>
      <c r="Q2621" t="s">
        <v>49</v>
      </c>
      <c r="R2621" t="str">
        <f>"4581015"</f>
        <v>4581015</v>
      </c>
      <c r="S2621" t="s">
        <v>1190</v>
      </c>
      <c r="T2621" t="s">
        <v>1187</v>
      </c>
      <c r="U2621" t="s">
        <v>1188</v>
      </c>
      <c r="V2621" t="s">
        <v>1130</v>
      </c>
      <c r="W2621" t="s">
        <v>51</v>
      </c>
      <c r="X2621" t="s">
        <v>45</v>
      </c>
      <c r="Y2621" s="1">
        <v>24719</v>
      </c>
      <c r="Z2621">
        <v>2</v>
      </c>
      <c r="AA2621" t="s">
        <v>1188</v>
      </c>
      <c r="AB2621" s="40" t="s">
        <v>1798</v>
      </c>
    </row>
    <row r="2622" spans="1:28" x14ac:dyDescent="0.25">
      <c r="A2622">
        <v>99912621</v>
      </c>
      <c r="B2622" t="s">
        <v>56</v>
      </c>
      <c r="C2622" t="s">
        <v>68</v>
      </c>
      <c r="D2622" t="s">
        <v>69</v>
      </c>
      <c r="G2622" t="s">
        <v>35</v>
      </c>
      <c r="H2622">
        <v>6</v>
      </c>
      <c r="K2622" t="s">
        <v>345</v>
      </c>
      <c r="L2622" t="s">
        <v>346</v>
      </c>
      <c r="M2622" t="s">
        <v>131</v>
      </c>
      <c r="N2622">
        <v>20</v>
      </c>
      <c r="P2622" t="s">
        <v>41</v>
      </c>
      <c r="Q2622" t="s">
        <v>49</v>
      </c>
      <c r="R2622" t="str">
        <f>"0560007"</f>
        <v>0560007</v>
      </c>
      <c r="S2622" t="s">
        <v>357</v>
      </c>
      <c r="T2622" t="s">
        <v>345</v>
      </c>
      <c r="U2622" t="s">
        <v>346</v>
      </c>
      <c r="V2622" t="s">
        <v>131</v>
      </c>
      <c r="W2622" t="s">
        <v>51</v>
      </c>
      <c r="X2622" t="s">
        <v>45</v>
      </c>
      <c r="Y2622" s="1">
        <v>24715</v>
      </c>
      <c r="Z2622">
        <v>2</v>
      </c>
      <c r="AA2622" t="s">
        <v>346</v>
      </c>
      <c r="AB2622" s="40" t="s">
        <v>1798</v>
      </c>
    </row>
    <row r="2623" spans="1:28" x14ac:dyDescent="0.25">
      <c r="A2623">
        <v>99912622</v>
      </c>
      <c r="B2623" t="s">
        <v>32</v>
      </c>
      <c r="C2623" t="s">
        <v>61</v>
      </c>
      <c r="D2623" t="s">
        <v>62</v>
      </c>
      <c r="G2623" t="s">
        <v>48</v>
      </c>
      <c r="H2623">
        <v>1</v>
      </c>
      <c r="K2623" t="s">
        <v>223</v>
      </c>
      <c r="L2623" t="s">
        <v>224</v>
      </c>
      <c r="M2623" t="s">
        <v>131</v>
      </c>
      <c r="N2623">
        <v>20</v>
      </c>
      <c r="P2623" t="s">
        <v>41</v>
      </c>
      <c r="Q2623" t="s">
        <v>49</v>
      </c>
      <c r="R2623" t="str">
        <f>"0581202"</f>
        <v>0581202</v>
      </c>
      <c r="S2623" t="s">
        <v>248</v>
      </c>
      <c r="T2623" t="s">
        <v>223</v>
      </c>
      <c r="U2623" t="s">
        <v>224</v>
      </c>
      <c r="V2623" t="s">
        <v>131</v>
      </c>
      <c r="W2623" t="s">
        <v>51</v>
      </c>
      <c r="X2623" t="s">
        <v>45</v>
      </c>
      <c r="Y2623" s="1">
        <v>24708</v>
      </c>
      <c r="Z2623">
        <v>2</v>
      </c>
      <c r="AA2623" t="s">
        <v>224</v>
      </c>
      <c r="AB2623" s="40" t="s">
        <v>1798</v>
      </c>
    </row>
    <row r="2624" spans="1:28" x14ac:dyDescent="0.25">
      <c r="A2624">
        <v>99912623</v>
      </c>
      <c r="B2624" t="s">
        <v>32</v>
      </c>
      <c r="C2624" t="s">
        <v>46</v>
      </c>
      <c r="D2624" t="s">
        <v>47</v>
      </c>
      <c r="G2624" t="s">
        <v>35</v>
      </c>
      <c r="H2624">
        <v>1</v>
      </c>
      <c r="K2624" t="s">
        <v>300</v>
      </c>
      <c r="L2624" t="s">
        <v>301</v>
      </c>
      <c r="M2624" t="s">
        <v>131</v>
      </c>
      <c r="N2624">
        <v>20</v>
      </c>
      <c r="P2624" t="s">
        <v>41</v>
      </c>
      <c r="Q2624" t="s">
        <v>42</v>
      </c>
      <c r="R2624" t="str">
        <f>"0580023"</f>
        <v>0580023</v>
      </c>
      <c r="S2624" t="s">
        <v>313</v>
      </c>
      <c r="T2624" t="s">
        <v>300</v>
      </c>
      <c r="U2624" t="s">
        <v>301</v>
      </c>
      <c r="V2624" t="s">
        <v>131</v>
      </c>
      <c r="W2624" t="s">
        <v>165</v>
      </c>
      <c r="X2624" t="s">
        <v>45</v>
      </c>
      <c r="Y2624" s="1">
        <v>24687</v>
      </c>
      <c r="Z2624">
        <v>2</v>
      </c>
      <c r="AA2624" t="s">
        <v>301</v>
      </c>
      <c r="AB2624" s="40" t="s">
        <v>1798</v>
      </c>
    </row>
    <row r="2625" spans="1:28" x14ac:dyDescent="0.25">
      <c r="A2625">
        <v>99912624</v>
      </c>
      <c r="B2625" t="s">
        <v>56</v>
      </c>
      <c r="C2625" t="s">
        <v>79</v>
      </c>
      <c r="D2625" t="s">
        <v>80</v>
      </c>
      <c r="G2625" t="s">
        <v>35</v>
      </c>
      <c r="H2625">
        <v>1</v>
      </c>
      <c r="K2625" t="s">
        <v>223</v>
      </c>
      <c r="L2625" t="s">
        <v>224</v>
      </c>
      <c r="M2625" t="s">
        <v>131</v>
      </c>
      <c r="N2625">
        <v>20</v>
      </c>
      <c r="P2625" t="s">
        <v>41</v>
      </c>
      <c r="Q2625" t="s">
        <v>42</v>
      </c>
      <c r="R2625" t="str">
        <f>"0590903"</f>
        <v>0590903</v>
      </c>
      <c r="S2625" t="s">
        <v>226</v>
      </c>
      <c r="T2625" t="s">
        <v>223</v>
      </c>
      <c r="U2625" t="s">
        <v>224</v>
      </c>
      <c r="V2625" t="s">
        <v>131</v>
      </c>
      <c r="W2625" t="s">
        <v>51</v>
      </c>
      <c r="X2625" t="s">
        <v>45</v>
      </c>
      <c r="Y2625" s="1">
        <v>24674</v>
      </c>
      <c r="Z2625">
        <v>2</v>
      </c>
      <c r="AA2625" t="s">
        <v>224</v>
      </c>
      <c r="AB2625" s="40" t="s">
        <v>1798</v>
      </c>
    </row>
    <row r="2626" spans="1:28" x14ac:dyDescent="0.25">
      <c r="A2626">
        <v>99912625</v>
      </c>
      <c r="B2626" t="s">
        <v>56</v>
      </c>
      <c r="C2626" t="s">
        <v>52</v>
      </c>
      <c r="D2626" t="s">
        <v>53</v>
      </c>
      <c r="G2626" t="s">
        <v>48</v>
      </c>
      <c r="H2626">
        <v>1</v>
      </c>
      <c r="K2626" t="s">
        <v>223</v>
      </c>
      <c r="L2626" t="s">
        <v>224</v>
      </c>
      <c r="M2626" t="s">
        <v>131</v>
      </c>
      <c r="N2626">
        <v>20</v>
      </c>
      <c r="P2626" t="s">
        <v>41</v>
      </c>
      <c r="Q2626" t="s">
        <v>42</v>
      </c>
      <c r="R2626" t="str">
        <f>"0590910"</f>
        <v>0590910</v>
      </c>
      <c r="S2626" t="s">
        <v>227</v>
      </c>
      <c r="T2626" t="s">
        <v>223</v>
      </c>
      <c r="U2626" t="s">
        <v>224</v>
      </c>
      <c r="V2626" t="s">
        <v>131</v>
      </c>
      <c r="W2626" t="s">
        <v>51</v>
      </c>
      <c r="X2626" t="s">
        <v>45</v>
      </c>
      <c r="Y2626" s="1">
        <v>24665</v>
      </c>
      <c r="Z2626">
        <v>2</v>
      </c>
      <c r="AA2626" t="s">
        <v>224</v>
      </c>
      <c r="AB2626" s="40" t="s">
        <v>1798</v>
      </c>
    </row>
    <row r="2627" spans="1:28" x14ac:dyDescent="0.25">
      <c r="A2627">
        <v>99912626</v>
      </c>
      <c r="B2627" t="s">
        <v>32</v>
      </c>
      <c r="C2627" t="s">
        <v>46</v>
      </c>
      <c r="D2627" t="s">
        <v>47</v>
      </c>
      <c r="G2627" t="s">
        <v>35</v>
      </c>
      <c r="H2627">
        <v>1</v>
      </c>
      <c r="K2627" t="s">
        <v>947</v>
      </c>
      <c r="L2627" t="s">
        <v>948</v>
      </c>
      <c r="M2627" t="s">
        <v>938</v>
      </c>
      <c r="N2627">
        <v>20</v>
      </c>
      <c r="P2627" t="s">
        <v>41</v>
      </c>
      <c r="Q2627" t="s">
        <v>42</v>
      </c>
      <c r="R2627" t="str">
        <f>"0680030"</f>
        <v>0680030</v>
      </c>
      <c r="S2627" t="s">
        <v>951</v>
      </c>
      <c r="T2627" t="s">
        <v>947</v>
      </c>
      <c r="U2627" t="s">
        <v>948</v>
      </c>
      <c r="V2627" t="s">
        <v>938</v>
      </c>
      <c r="W2627" t="s">
        <v>165</v>
      </c>
      <c r="X2627" t="s">
        <v>45</v>
      </c>
      <c r="Y2627" s="1">
        <v>24664</v>
      </c>
      <c r="Z2627">
        <v>2</v>
      </c>
      <c r="AA2627" t="s">
        <v>948</v>
      </c>
      <c r="AB2627" s="40" t="s">
        <v>1798</v>
      </c>
    </row>
    <row r="2628" spans="1:28" x14ac:dyDescent="0.25">
      <c r="A2628">
        <v>99912627</v>
      </c>
      <c r="B2628" t="s">
        <v>56</v>
      </c>
      <c r="C2628" t="s">
        <v>52</v>
      </c>
      <c r="D2628" t="s">
        <v>53</v>
      </c>
      <c r="G2628" t="s">
        <v>48</v>
      </c>
      <c r="H2628">
        <v>9</v>
      </c>
      <c r="K2628" t="s">
        <v>1128</v>
      </c>
      <c r="L2628" t="s">
        <v>1129</v>
      </c>
      <c r="M2628" t="s">
        <v>1130</v>
      </c>
      <c r="N2628">
        <v>20</v>
      </c>
      <c r="P2628" t="s">
        <v>41</v>
      </c>
      <c r="Q2628" t="s">
        <v>42</v>
      </c>
      <c r="R2628" t="str">
        <f>"3180015"</f>
        <v>3180015</v>
      </c>
      <c r="S2628" t="s">
        <v>1139</v>
      </c>
      <c r="T2628" t="s">
        <v>1128</v>
      </c>
      <c r="U2628" t="s">
        <v>1129</v>
      </c>
      <c r="V2628" t="s">
        <v>1130</v>
      </c>
      <c r="W2628" t="s">
        <v>51</v>
      </c>
      <c r="X2628" t="s">
        <v>45</v>
      </c>
      <c r="Y2628" s="1">
        <v>24663</v>
      </c>
      <c r="Z2628">
        <v>2</v>
      </c>
      <c r="AA2628" t="s">
        <v>1129</v>
      </c>
      <c r="AB2628" s="40" t="s">
        <v>1798</v>
      </c>
    </row>
    <row r="2629" spans="1:28" x14ac:dyDescent="0.25">
      <c r="A2629">
        <v>99912628</v>
      </c>
      <c r="B2629" t="s">
        <v>56</v>
      </c>
      <c r="C2629" t="s">
        <v>52</v>
      </c>
      <c r="D2629" t="s">
        <v>53</v>
      </c>
      <c r="G2629" t="s">
        <v>48</v>
      </c>
      <c r="H2629">
        <v>1</v>
      </c>
      <c r="K2629" t="s">
        <v>223</v>
      </c>
      <c r="L2629" t="s">
        <v>224</v>
      </c>
      <c r="M2629" t="s">
        <v>131</v>
      </c>
      <c r="N2629">
        <v>20</v>
      </c>
      <c r="P2629" t="s">
        <v>41</v>
      </c>
      <c r="Q2629" t="s">
        <v>42</v>
      </c>
      <c r="R2629" t="str">
        <f>"0580202"</f>
        <v>0580202</v>
      </c>
      <c r="S2629" t="s">
        <v>240</v>
      </c>
      <c r="T2629" t="s">
        <v>223</v>
      </c>
      <c r="U2629" t="s">
        <v>224</v>
      </c>
      <c r="V2629" t="s">
        <v>131</v>
      </c>
      <c r="W2629" t="s">
        <v>51</v>
      </c>
      <c r="X2629" t="s">
        <v>45</v>
      </c>
      <c r="Y2629" s="1">
        <v>24662</v>
      </c>
      <c r="Z2629">
        <v>2</v>
      </c>
      <c r="AA2629" t="s">
        <v>224</v>
      </c>
      <c r="AB2629" s="40" t="s">
        <v>1798</v>
      </c>
    </row>
    <row r="2630" spans="1:28" x14ac:dyDescent="0.25">
      <c r="A2630">
        <v>99912629</v>
      </c>
      <c r="B2630" t="s">
        <v>56</v>
      </c>
      <c r="C2630" t="s">
        <v>145</v>
      </c>
      <c r="D2630" t="s">
        <v>146</v>
      </c>
      <c r="G2630" t="s">
        <v>48</v>
      </c>
      <c r="H2630">
        <v>1</v>
      </c>
      <c r="K2630" t="s">
        <v>345</v>
      </c>
      <c r="L2630" t="s">
        <v>346</v>
      </c>
      <c r="M2630" t="s">
        <v>131</v>
      </c>
      <c r="N2630">
        <v>20</v>
      </c>
      <c r="P2630" t="s">
        <v>41</v>
      </c>
      <c r="Q2630" t="s">
        <v>42</v>
      </c>
      <c r="R2630" t="str">
        <f>"0580605"</f>
        <v>0580605</v>
      </c>
      <c r="S2630" t="s">
        <v>362</v>
      </c>
      <c r="T2630" t="s">
        <v>345</v>
      </c>
      <c r="U2630" t="s">
        <v>346</v>
      </c>
      <c r="V2630" t="s">
        <v>131</v>
      </c>
      <c r="W2630" t="s">
        <v>51</v>
      </c>
      <c r="X2630" t="s">
        <v>45</v>
      </c>
      <c r="Y2630" s="1">
        <v>24645</v>
      </c>
      <c r="Z2630">
        <v>2</v>
      </c>
      <c r="AA2630" t="s">
        <v>346</v>
      </c>
      <c r="AB2630" s="40" t="s">
        <v>1798</v>
      </c>
    </row>
    <row r="2631" spans="1:28" x14ac:dyDescent="0.25">
      <c r="A2631">
        <v>99912630</v>
      </c>
      <c r="B2631" t="s">
        <v>32</v>
      </c>
      <c r="C2631" t="s">
        <v>46</v>
      </c>
      <c r="D2631" t="s">
        <v>47</v>
      </c>
      <c r="G2631" t="s">
        <v>48</v>
      </c>
      <c r="H2631">
        <v>1</v>
      </c>
      <c r="K2631" t="s">
        <v>1128</v>
      </c>
      <c r="L2631" t="s">
        <v>1129</v>
      </c>
      <c r="M2631" t="s">
        <v>1130</v>
      </c>
      <c r="N2631">
        <v>20</v>
      </c>
      <c r="P2631" t="s">
        <v>41</v>
      </c>
      <c r="Q2631" t="s">
        <v>49</v>
      </c>
      <c r="R2631" t="str">
        <f>"3181015"</f>
        <v>3181015</v>
      </c>
      <c r="S2631" t="s">
        <v>1131</v>
      </c>
      <c r="T2631" t="s">
        <v>1128</v>
      </c>
      <c r="U2631" t="s">
        <v>1129</v>
      </c>
      <c r="V2631" t="s">
        <v>1130</v>
      </c>
      <c r="W2631" t="s">
        <v>51</v>
      </c>
      <c r="X2631" t="s">
        <v>45</v>
      </c>
      <c r="Y2631" s="1">
        <v>24637</v>
      </c>
      <c r="Z2631">
        <v>2</v>
      </c>
      <c r="AA2631" t="s">
        <v>1129</v>
      </c>
      <c r="AB2631" s="40" t="s">
        <v>1798</v>
      </c>
    </row>
    <row r="2632" spans="1:28" x14ac:dyDescent="0.25">
      <c r="A2632">
        <v>99912631</v>
      </c>
      <c r="B2632" t="s">
        <v>56</v>
      </c>
      <c r="C2632" t="s">
        <v>64</v>
      </c>
      <c r="D2632" t="s">
        <v>65</v>
      </c>
      <c r="G2632" t="s">
        <v>48</v>
      </c>
      <c r="H2632">
        <v>1</v>
      </c>
      <c r="K2632" t="s">
        <v>1325</v>
      </c>
      <c r="L2632" t="s">
        <v>1326</v>
      </c>
      <c r="M2632" t="s">
        <v>1270</v>
      </c>
      <c r="N2632">
        <v>20</v>
      </c>
      <c r="P2632" t="s">
        <v>41</v>
      </c>
      <c r="Q2632" t="s">
        <v>49</v>
      </c>
      <c r="R2632" t="str">
        <f>"3981100"</f>
        <v>3981100</v>
      </c>
      <c r="S2632" t="s">
        <v>1327</v>
      </c>
      <c r="T2632" t="s">
        <v>1325</v>
      </c>
      <c r="U2632" t="s">
        <v>1326</v>
      </c>
      <c r="V2632" t="s">
        <v>1270</v>
      </c>
      <c r="W2632" t="s">
        <v>51</v>
      </c>
      <c r="X2632" t="s">
        <v>45</v>
      </c>
      <c r="Y2632" s="1">
        <v>24633</v>
      </c>
      <c r="Z2632">
        <v>2</v>
      </c>
      <c r="AA2632" t="s">
        <v>1326</v>
      </c>
      <c r="AB2632" s="40" t="s">
        <v>1798</v>
      </c>
    </row>
    <row r="2633" spans="1:28" x14ac:dyDescent="0.25">
      <c r="A2633">
        <v>99912632</v>
      </c>
      <c r="B2633" t="s">
        <v>56</v>
      </c>
      <c r="C2633" t="s">
        <v>46</v>
      </c>
      <c r="D2633" t="s">
        <v>47</v>
      </c>
      <c r="G2633" t="s">
        <v>48</v>
      </c>
      <c r="H2633">
        <v>1</v>
      </c>
      <c r="K2633" t="s">
        <v>1268</v>
      </c>
      <c r="L2633" t="s">
        <v>1269</v>
      </c>
      <c r="M2633" t="s">
        <v>1270</v>
      </c>
      <c r="N2633">
        <v>20</v>
      </c>
      <c r="P2633" t="s">
        <v>41</v>
      </c>
      <c r="Q2633" t="s">
        <v>42</v>
      </c>
      <c r="R2633" t="str">
        <f>"1980050"</f>
        <v>1980050</v>
      </c>
      <c r="S2633" t="s">
        <v>1278</v>
      </c>
      <c r="T2633" t="s">
        <v>1268</v>
      </c>
      <c r="U2633" t="s">
        <v>1269</v>
      </c>
      <c r="V2633" t="s">
        <v>1270</v>
      </c>
      <c r="W2633" t="s">
        <v>51</v>
      </c>
      <c r="X2633" t="s">
        <v>45</v>
      </c>
      <c r="Y2633" s="1">
        <v>24627</v>
      </c>
      <c r="Z2633">
        <v>2</v>
      </c>
      <c r="AA2633" t="s">
        <v>1269</v>
      </c>
      <c r="AB2633" s="40" t="s">
        <v>1798</v>
      </c>
    </row>
    <row r="2634" spans="1:28" x14ac:dyDescent="0.25">
      <c r="A2634">
        <v>99912633</v>
      </c>
      <c r="B2634" t="s">
        <v>56</v>
      </c>
      <c r="C2634" t="s">
        <v>52</v>
      </c>
      <c r="D2634" t="s">
        <v>53</v>
      </c>
      <c r="G2634" t="s">
        <v>48</v>
      </c>
      <c r="H2634">
        <v>1</v>
      </c>
      <c r="K2634" t="s">
        <v>1051</v>
      </c>
      <c r="L2634" t="s">
        <v>1052</v>
      </c>
      <c r="M2634" t="s">
        <v>1053</v>
      </c>
      <c r="N2634">
        <v>20</v>
      </c>
      <c r="P2634" t="s">
        <v>41</v>
      </c>
      <c r="Q2634" t="s">
        <v>42</v>
      </c>
      <c r="R2634" t="str">
        <f>"2061001"</f>
        <v>2061001</v>
      </c>
      <c r="S2634" t="s">
        <v>1058</v>
      </c>
      <c r="T2634" t="s">
        <v>1051</v>
      </c>
      <c r="U2634" t="s">
        <v>1052</v>
      </c>
      <c r="V2634" t="s">
        <v>1053</v>
      </c>
      <c r="W2634" t="s">
        <v>51</v>
      </c>
      <c r="X2634" t="s">
        <v>45</v>
      </c>
      <c r="Y2634" s="1">
        <v>24623</v>
      </c>
      <c r="Z2634">
        <v>2</v>
      </c>
      <c r="AA2634" t="s">
        <v>1052</v>
      </c>
      <c r="AB2634" s="40" t="s">
        <v>1798</v>
      </c>
    </row>
    <row r="2635" spans="1:28" x14ac:dyDescent="0.25">
      <c r="A2635">
        <v>99912634</v>
      </c>
      <c r="B2635" t="s">
        <v>56</v>
      </c>
      <c r="C2635" t="s">
        <v>85</v>
      </c>
      <c r="D2635" t="s">
        <v>86</v>
      </c>
      <c r="G2635" t="s">
        <v>48</v>
      </c>
      <c r="H2635">
        <v>1</v>
      </c>
      <c r="K2635" t="s">
        <v>162</v>
      </c>
      <c r="L2635" t="s">
        <v>158</v>
      </c>
      <c r="M2635" t="s">
        <v>131</v>
      </c>
      <c r="N2635">
        <v>20</v>
      </c>
      <c r="P2635" t="s">
        <v>41</v>
      </c>
      <c r="Q2635" t="s">
        <v>49</v>
      </c>
      <c r="R2635" t="str">
        <f>"0560003"</f>
        <v>0560003</v>
      </c>
      <c r="S2635" t="s">
        <v>181</v>
      </c>
      <c r="T2635" t="s">
        <v>162</v>
      </c>
      <c r="U2635" t="s">
        <v>158</v>
      </c>
      <c r="V2635" t="s">
        <v>131</v>
      </c>
      <c r="W2635" t="s">
        <v>51</v>
      </c>
      <c r="X2635" t="s">
        <v>45</v>
      </c>
      <c r="Y2635" s="1">
        <v>24618</v>
      </c>
      <c r="Z2635">
        <v>2</v>
      </c>
      <c r="AA2635" t="s">
        <v>158</v>
      </c>
      <c r="AB2635" s="40" t="s">
        <v>1798</v>
      </c>
    </row>
    <row r="2636" spans="1:28" x14ac:dyDescent="0.25">
      <c r="A2636">
        <v>99912635</v>
      </c>
      <c r="B2636" t="s">
        <v>32</v>
      </c>
      <c r="C2636" t="s">
        <v>139</v>
      </c>
      <c r="D2636" t="s">
        <v>140</v>
      </c>
      <c r="G2636" t="s">
        <v>48</v>
      </c>
      <c r="H2636">
        <v>1</v>
      </c>
      <c r="K2636" t="s">
        <v>1268</v>
      </c>
      <c r="L2636" t="s">
        <v>1269</v>
      </c>
      <c r="M2636" t="s">
        <v>1270</v>
      </c>
      <c r="N2636">
        <v>20</v>
      </c>
      <c r="P2636" t="s">
        <v>41</v>
      </c>
      <c r="Q2636" t="s">
        <v>49</v>
      </c>
      <c r="R2636" t="str">
        <f>"1981912"</f>
        <v>1981912</v>
      </c>
      <c r="S2636" t="s">
        <v>1279</v>
      </c>
      <c r="T2636" t="s">
        <v>1268</v>
      </c>
      <c r="U2636" t="s">
        <v>1269</v>
      </c>
      <c r="V2636" t="s">
        <v>1270</v>
      </c>
      <c r="W2636" t="s">
        <v>51</v>
      </c>
      <c r="X2636" t="s">
        <v>45</v>
      </c>
      <c r="Y2636" s="1">
        <v>24615</v>
      </c>
      <c r="Z2636">
        <v>2</v>
      </c>
      <c r="AA2636" t="s">
        <v>1269</v>
      </c>
      <c r="AB2636" s="40" t="s">
        <v>1798</v>
      </c>
    </row>
    <row r="2637" spans="1:28" x14ac:dyDescent="0.25">
      <c r="A2637">
        <v>99912636</v>
      </c>
      <c r="B2637" t="s">
        <v>32</v>
      </c>
      <c r="C2637" t="s">
        <v>82</v>
      </c>
      <c r="D2637" t="s">
        <v>83</v>
      </c>
      <c r="G2637" t="s">
        <v>35</v>
      </c>
      <c r="H2637">
        <v>1</v>
      </c>
      <c r="K2637" t="s">
        <v>1546</v>
      </c>
      <c r="L2637" t="s">
        <v>1547</v>
      </c>
      <c r="M2637" t="s">
        <v>1548</v>
      </c>
      <c r="N2637">
        <v>20</v>
      </c>
      <c r="P2637" t="s">
        <v>41</v>
      </c>
      <c r="Q2637" t="s">
        <v>42</v>
      </c>
      <c r="R2637" t="str">
        <f>"1080010"</f>
        <v>1080010</v>
      </c>
      <c r="S2637" t="s">
        <v>1549</v>
      </c>
      <c r="T2637" t="s">
        <v>1546</v>
      </c>
      <c r="U2637" t="s">
        <v>1547</v>
      </c>
      <c r="V2637" t="s">
        <v>1548</v>
      </c>
      <c r="W2637" t="s">
        <v>51</v>
      </c>
      <c r="X2637" t="s">
        <v>45</v>
      </c>
      <c r="Y2637" s="1">
        <v>24614</v>
      </c>
      <c r="Z2637">
        <v>2</v>
      </c>
      <c r="AA2637" t="s">
        <v>1547</v>
      </c>
      <c r="AB2637" s="40" t="s">
        <v>1798</v>
      </c>
    </row>
    <row r="2638" spans="1:28" x14ac:dyDescent="0.25">
      <c r="A2638">
        <v>99912637</v>
      </c>
      <c r="B2638" t="s">
        <v>32</v>
      </c>
      <c r="C2638" t="s">
        <v>79</v>
      </c>
      <c r="D2638" t="s">
        <v>80</v>
      </c>
      <c r="G2638" t="s">
        <v>35</v>
      </c>
      <c r="H2638">
        <v>1</v>
      </c>
      <c r="K2638" t="s">
        <v>223</v>
      </c>
      <c r="L2638" t="s">
        <v>224</v>
      </c>
      <c r="M2638" t="s">
        <v>131</v>
      </c>
      <c r="N2638">
        <v>20</v>
      </c>
      <c r="P2638" t="s">
        <v>41</v>
      </c>
      <c r="Q2638" t="s">
        <v>49</v>
      </c>
      <c r="R2638" t="str">
        <f>"0591907"</f>
        <v>0591907</v>
      </c>
      <c r="S2638" t="s">
        <v>243</v>
      </c>
      <c r="T2638" t="s">
        <v>223</v>
      </c>
      <c r="U2638" t="s">
        <v>224</v>
      </c>
      <c r="V2638" t="s">
        <v>131</v>
      </c>
      <c r="W2638" t="s">
        <v>51</v>
      </c>
      <c r="X2638" t="s">
        <v>45</v>
      </c>
      <c r="Y2638" s="1">
        <v>24606</v>
      </c>
      <c r="Z2638">
        <v>2</v>
      </c>
      <c r="AA2638" t="s">
        <v>224</v>
      </c>
      <c r="AB2638" s="40" t="s">
        <v>1798</v>
      </c>
    </row>
    <row r="2639" spans="1:28" x14ac:dyDescent="0.25">
      <c r="A2639">
        <v>99912638</v>
      </c>
      <c r="B2639" t="s">
        <v>32</v>
      </c>
      <c r="C2639" t="s">
        <v>85</v>
      </c>
      <c r="D2639" t="s">
        <v>86</v>
      </c>
      <c r="G2639" t="s">
        <v>35</v>
      </c>
      <c r="H2639">
        <v>1</v>
      </c>
      <c r="K2639" t="s">
        <v>223</v>
      </c>
      <c r="L2639" t="s">
        <v>224</v>
      </c>
      <c r="M2639" t="s">
        <v>131</v>
      </c>
      <c r="N2639">
        <v>20</v>
      </c>
      <c r="P2639" t="s">
        <v>41</v>
      </c>
      <c r="Q2639" t="s">
        <v>42</v>
      </c>
      <c r="R2639" t="str">
        <f>"0590901"</f>
        <v>0590901</v>
      </c>
      <c r="S2639" t="s">
        <v>242</v>
      </c>
      <c r="T2639" t="s">
        <v>223</v>
      </c>
      <c r="U2639" t="s">
        <v>224</v>
      </c>
      <c r="V2639" t="s">
        <v>131</v>
      </c>
      <c r="W2639" t="s">
        <v>165</v>
      </c>
      <c r="X2639" t="s">
        <v>45</v>
      </c>
      <c r="Y2639" s="1">
        <v>24600</v>
      </c>
      <c r="Z2639">
        <v>2</v>
      </c>
      <c r="AA2639" t="s">
        <v>224</v>
      </c>
      <c r="AB2639" s="40" t="s">
        <v>1798</v>
      </c>
    </row>
    <row r="2640" spans="1:28" x14ac:dyDescent="0.25">
      <c r="A2640">
        <v>99912639</v>
      </c>
      <c r="B2640" t="s">
        <v>56</v>
      </c>
      <c r="C2640" t="s">
        <v>85</v>
      </c>
      <c r="D2640" t="s">
        <v>86</v>
      </c>
      <c r="G2640" t="s">
        <v>35</v>
      </c>
      <c r="H2640">
        <v>1</v>
      </c>
      <c r="I2640">
        <v>0</v>
      </c>
      <c r="J2640" s="1">
        <v>43344</v>
      </c>
      <c r="K2640" t="s">
        <v>223</v>
      </c>
      <c r="L2640" t="s">
        <v>224</v>
      </c>
      <c r="M2640" t="s">
        <v>131</v>
      </c>
      <c r="N2640">
        <v>20</v>
      </c>
      <c r="O2640" s="1">
        <v>43344</v>
      </c>
      <c r="P2640" t="s">
        <v>41</v>
      </c>
      <c r="Q2640" t="s">
        <v>42</v>
      </c>
      <c r="R2640" t="str">
        <f>"0580202"</f>
        <v>0580202</v>
      </c>
      <c r="S2640" t="s">
        <v>240</v>
      </c>
      <c r="T2640" t="s">
        <v>223</v>
      </c>
      <c r="U2640" t="s">
        <v>224</v>
      </c>
      <c r="V2640" t="s">
        <v>131</v>
      </c>
      <c r="W2640" t="s">
        <v>44</v>
      </c>
      <c r="X2640" t="s">
        <v>45</v>
      </c>
      <c r="Y2640" s="1">
        <v>24597</v>
      </c>
      <c r="Z2640">
        <v>2</v>
      </c>
      <c r="AA2640" t="s">
        <v>224</v>
      </c>
      <c r="AB2640" s="40" t="s">
        <v>1798</v>
      </c>
    </row>
    <row r="2641" spans="1:28" x14ac:dyDescent="0.25">
      <c r="A2641">
        <v>99912640</v>
      </c>
      <c r="B2641" t="s">
        <v>56</v>
      </c>
      <c r="C2641" t="s">
        <v>52</v>
      </c>
      <c r="D2641" t="s">
        <v>53</v>
      </c>
      <c r="G2641" t="s">
        <v>48</v>
      </c>
      <c r="H2641">
        <v>1</v>
      </c>
      <c r="K2641" t="s">
        <v>1268</v>
      </c>
      <c r="L2641" t="s">
        <v>1269</v>
      </c>
      <c r="M2641" t="s">
        <v>1270</v>
      </c>
      <c r="N2641">
        <v>20</v>
      </c>
      <c r="P2641" t="s">
        <v>41</v>
      </c>
      <c r="Q2641" t="s">
        <v>42</v>
      </c>
      <c r="R2641" t="str">
        <f>"1990910"</f>
        <v>1990910</v>
      </c>
      <c r="S2641" t="s">
        <v>1281</v>
      </c>
      <c r="T2641" t="s">
        <v>1268</v>
      </c>
      <c r="U2641" t="s">
        <v>1269</v>
      </c>
      <c r="V2641" t="s">
        <v>1270</v>
      </c>
      <c r="W2641" t="s">
        <v>165</v>
      </c>
      <c r="X2641" t="s">
        <v>45</v>
      </c>
      <c r="Y2641" s="1">
        <v>24574</v>
      </c>
      <c r="Z2641">
        <v>2</v>
      </c>
      <c r="AA2641" t="s">
        <v>1269</v>
      </c>
      <c r="AB2641" s="40" t="s">
        <v>1798</v>
      </c>
    </row>
    <row r="2642" spans="1:28" x14ac:dyDescent="0.25">
      <c r="A2642">
        <v>99912641</v>
      </c>
      <c r="B2642" t="s">
        <v>56</v>
      </c>
      <c r="C2642" t="s">
        <v>52</v>
      </c>
      <c r="D2642" t="s">
        <v>53</v>
      </c>
      <c r="G2642" t="s">
        <v>48</v>
      </c>
      <c r="H2642">
        <v>1</v>
      </c>
      <c r="K2642" t="s">
        <v>129</v>
      </c>
      <c r="L2642" t="s">
        <v>130</v>
      </c>
      <c r="M2642" t="s">
        <v>131</v>
      </c>
      <c r="N2642">
        <v>20</v>
      </c>
      <c r="P2642" t="s">
        <v>41</v>
      </c>
      <c r="Q2642" t="s">
        <v>42</v>
      </c>
      <c r="R2642" t="str">
        <f>"0580715"</f>
        <v>0580715</v>
      </c>
      <c r="S2642" t="s">
        <v>147</v>
      </c>
      <c r="T2642" t="s">
        <v>129</v>
      </c>
      <c r="U2642" t="s">
        <v>130</v>
      </c>
      <c r="V2642" t="s">
        <v>131</v>
      </c>
      <c r="W2642" t="s">
        <v>51</v>
      </c>
      <c r="X2642" t="s">
        <v>45</v>
      </c>
      <c r="Y2642" s="1">
        <v>24528</v>
      </c>
      <c r="Z2642">
        <v>2</v>
      </c>
      <c r="AA2642" t="s">
        <v>130</v>
      </c>
      <c r="AB2642" s="40" t="s">
        <v>1798</v>
      </c>
    </row>
    <row r="2643" spans="1:28" x14ac:dyDescent="0.25">
      <c r="A2643">
        <v>99912642</v>
      </c>
      <c r="B2643" t="s">
        <v>32</v>
      </c>
      <c r="C2643" t="s">
        <v>46</v>
      </c>
      <c r="D2643" t="s">
        <v>47</v>
      </c>
      <c r="G2643" t="s">
        <v>48</v>
      </c>
      <c r="H2643">
        <v>1</v>
      </c>
      <c r="K2643" t="s">
        <v>223</v>
      </c>
      <c r="L2643" t="s">
        <v>224</v>
      </c>
      <c r="M2643" t="s">
        <v>131</v>
      </c>
      <c r="N2643">
        <v>20</v>
      </c>
      <c r="P2643" t="s">
        <v>41</v>
      </c>
      <c r="Q2643" t="s">
        <v>49</v>
      </c>
      <c r="R2643" t="str">
        <f>"0540902"</f>
        <v>0540902</v>
      </c>
      <c r="S2643" t="s">
        <v>256</v>
      </c>
      <c r="T2643" t="s">
        <v>223</v>
      </c>
      <c r="U2643" t="s">
        <v>224</v>
      </c>
      <c r="V2643" t="s">
        <v>131</v>
      </c>
      <c r="W2643" t="s">
        <v>51</v>
      </c>
      <c r="X2643" t="s">
        <v>45</v>
      </c>
      <c r="Y2643" s="1">
        <v>24525</v>
      </c>
      <c r="Z2643">
        <v>2</v>
      </c>
      <c r="AA2643" t="s">
        <v>224</v>
      </c>
      <c r="AB2643" s="40" t="s">
        <v>1798</v>
      </c>
    </row>
    <row r="2644" spans="1:28" x14ac:dyDescent="0.25">
      <c r="A2644">
        <v>99912643</v>
      </c>
      <c r="B2644" t="s">
        <v>56</v>
      </c>
      <c r="C2644" t="s">
        <v>257</v>
      </c>
      <c r="D2644" t="s">
        <v>258</v>
      </c>
      <c r="E2644" t="s">
        <v>61</v>
      </c>
      <c r="F2644" t="s">
        <v>62</v>
      </c>
      <c r="G2644" t="s">
        <v>48</v>
      </c>
      <c r="H2644">
        <v>1</v>
      </c>
      <c r="K2644" t="s">
        <v>1496</v>
      </c>
      <c r="L2644" t="s">
        <v>1497</v>
      </c>
      <c r="M2644" t="s">
        <v>670</v>
      </c>
      <c r="N2644">
        <v>20</v>
      </c>
      <c r="P2644" t="s">
        <v>41</v>
      </c>
      <c r="Q2644" t="s">
        <v>42</v>
      </c>
      <c r="R2644" t="str">
        <f>"5080015"</f>
        <v>5080015</v>
      </c>
      <c r="S2644" t="s">
        <v>1498</v>
      </c>
      <c r="T2644" t="s">
        <v>1496</v>
      </c>
      <c r="U2644" t="s">
        <v>1497</v>
      </c>
      <c r="V2644" t="s">
        <v>670</v>
      </c>
      <c r="W2644" t="s">
        <v>51</v>
      </c>
      <c r="X2644" t="s">
        <v>45</v>
      </c>
      <c r="Y2644" s="1">
        <v>24523</v>
      </c>
      <c r="Z2644">
        <v>2</v>
      </c>
      <c r="AA2644" t="s">
        <v>1497</v>
      </c>
      <c r="AB2644" s="40" t="s">
        <v>1798</v>
      </c>
    </row>
    <row r="2645" spans="1:28" x14ac:dyDescent="0.25">
      <c r="A2645">
        <v>99912644</v>
      </c>
      <c r="B2645" t="s">
        <v>56</v>
      </c>
      <c r="C2645" t="s">
        <v>68</v>
      </c>
      <c r="D2645" t="s">
        <v>69</v>
      </c>
      <c r="G2645" t="s">
        <v>48</v>
      </c>
      <c r="H2645">
        <v>1</v>
      </c>
      <c r="K2645" t="s">
        <v>1187</v>
      </c>
      <c r="L2645" t="s">
        <v>1188</v>
      </c>
      <c r="M2645" t="s">
        <v>1130</v>
      </c>
      <c r="N2645">
        <v>20</v>
      </c>
      <c r="P2645" t="s">
        <v>41</v>
      </c>
      <c r="Q2645" t="s">
        <v>42</v>
      </c>
      <c r="R2645" t="str">
        <f>"4580015"</f>
        <v>4580015</v>
      </c>
      <c r="S2645" t="s">
        <v>1189</v>
      </c>
      <c r="T2645" t="s">
        <v>1187</v>
      </c>
      <c r="U2645" t="s">
        <v>1188</v>
      </c>
      <c r="V2645" t="s">
        <v>1130</v>
      </c>
      <c r="W2645" t="s">
        <v>51</v>
      </c>
      <c r="X2645" t="s">
        <v>45</v>
      </c>
      <c r="Y2645" s="1">
        <v>24521</v>
      </c>
      <c r="Z2645">
        <v>2</v>
      </c>
      <c r="AA2645" t="s">
        <v>1188</v>
      </c>
      <c r="AB2645" s="40" t="s">
        <v>1798</v>
      </c>
    </row>
    <row r="2646" spans="1:28" x14ac:dyDescent="0.25">
      <c r="A2646">
        <v>99912645</v>
      </c>
      <c r="B2646" t="s">
        <v>32</v>
      </c>
      <c r="C2646" t="s">
        <v>90</v>
      </c>
      <c r="D2646" t="s">
        <v>91</v>
      </c>
      <c r="G2646" t="s">
        <v>48</v>
      </c>
      <c r="H2646">
        <v>1</v>
      </c>
      <c r="K2646" t="s">
        <v>154</v>
      </c>
      <c r="L2646" t="s">
        <v>155</v>
      </c>
      <c r="M2646" t="s">
        <v>131</v>
      </c>
      <c r="N2646">
        <v>20</v>
      </c>
      <c r="P2646" t="s">
        <v>41</v>
      </c>
      <c r="Q2646" t="s">
        <v>95</v>
      </c>
      <c r="R2646" t="str">
        <f>"7051049"</f>
        <v>7051049</v>
      </c>
      <c r="S2646" t="s">
        <v>418</v>
      </c>
      <c r="T2646" t="s">
        <v>154</v>
      </c>
      <c r="U2646" t="s">
        <v>155</v>
      </c>
      <c r="V2646" t="s">
        <v>131</v>
      </c>
      <c r="W2646" t="s">
        <v>51</v>
      </c>
      <c r="X2646" t="s">
        <v>45</v>
      </c>
      <c r="Y2646" s="1">
        <v>24514</v>
      </c>
      <c r="Z2646">
        <v>1</v>
      </c>
      <c r="AA2646" t="s">
        <v>155</v>
      </c>
      <c r="AB2646" s="40" t="s">
        <v>1798</v>
      </c>
    </row>
    <row r="2647" spans="1:28" x14ac:dyDescent="0.25">
      <c r="A2647">
        <v>99912646</v>
      </c>
      <c r="B2647" t="s">
        <v>32</v>
      </c>
      <c r="C2647" t="s">
        <v>82</v>
      </c>
      <c r="D2647" t="s">
        <v>83</v>
      </c>
      <c r="G2647" t="s">
        <v>48</v>
      </c>
      <c r="H2647">
        <v>1</v>
      </c>
      <c r="K2647" t="s">
        <v>223</v>
      </c>
      <c r="L2647" t="s">
        <v>224</v>
      </c>
      <c r="M2647" t="s">
        <v>131</v>
      </c>
      <c r="N2647">
        <v>20</v>
      </c>
      <c r="P2647" t="s">
        <v>41</v>
      </c>
      <c r="Q2647" t="s">
        <v>42</v>
      </c>
      <c r="R2647" t="str">
        <f>"0580200"</f>
        <v>0580200</v>
      </c>
      <c r="S2647" t="s">
        <v>245</v>
      </c>
      <c r="T2647" t="s">
        <v>223</v>
      </c>
      <c r="U2647" t="s">
        <v>224</v>
      </c>
      <c r="V2647" t="s">
        <v>131</v>
      </c>
      <c r="W2647" t="s">
        <v>51</v>
      </c>
      <c r="X2647" t="s">
        <v>45</v>
      </c>
      <c r="Y2647" s="1">
        <v>24499</v>
      </c>
      <c r="Z2647">
        <v>2</v>
      </c>
      <c r="AA2647" t="s">
        <v>224</v>
      </c>
      <c r="AB2647" s="40" t="s">
        <v>1798</v>
      </c>
    </row>
    <row r="2648" spans="1:28" x14ac:dyDescent="0.25">
      <c r="A2648">
        <v>99912647</v>
      </c>
      <c r="B2648" t="s">
        <v>32</v>
      </c>
      <c r="C2648" t="s">
        <v>90</v>
      </c>
      <c r="D2648" t="s">
        <v>91</v>
      </c>
      <c r="G2648" t="s">
        <v>35</v>
      </c>
      <c r="H2648">
        <v>1</v>
      </c>
      <c r="K2648" t="s">
        <v>985</v>
      </c>
      <c r="L2648" t="s">
        <v>986</v>
      </c>
      <c r="M2648" t="s">
        <v>938</v>
      </c>
      <c r="N2648">
        <v>20</v>
      </c>
      <c r="P2648" t="s">
        <v>41</v>
      </c>
      <c r="Q2648" t="s">
        <v>95</v>
      </c>
      <c r="R2648" t="str">
        <f>"7011011"</f>
        <v>7011011</v>
      </c>
      <c r="S2648" t="s">
        <v>997</v>
      </c>
      <c r="T2648" t="s">
        <v>985</v>
      </c>
      <c r="U2648" t="s">
        <v>986</v>
      </c>
      <c r="V2648" t="s">
        <v>938</v>
      </c>
      <c r="W2648" t="s">
        <v>165</v>
      </c>
      <c r="X2648" t="s">
        <v>45</v>
      </c>
      <c r="Y2648" s="1">
        <v>24499</v>
      </c>
      <c r="Z2648">
        <v>1</v>
      </c>
      <c r="AA2648" t="s">
        <v>986</v>
      </c>
      <c r="AB2648" s="40" t="s">
        <v>1798</v>
      </c>
    </row>
    <row r="2649" spans="1:28" x14ac:dyDescent="0.25">
      <c r="A2649">
        <v>99912648</v>
      </c>
      <c r="B2649" t="s">
        <v>32</v>
      </c>
      <c r="C2649" t="s">
        <v>46</v>
      </c>
      <c r="D2649" t="s">
        <v>47</v>
      </c>
      <c r="G2649" t="s">
        <v>48</v>
      </c>
      <c r="H2649">
        <v>1</v>
      </c>
      <c r="K2649" t="s">
        <v>300</v>
      </c>
      <c r="L2649" t="s">
        <v>301</v>
      </c>
      <c r="M2649" t="s">
        <v>131</v>
      </c>
      <c r="N2649">
        <v>20</v>
      </c>
      <c r="P2649" t="s">
        <v>41</v>
      </c>
      <c r="Q2649" t="s">
        <v>49</v>
      </c>
      <c r="R2649" t="str">
        <f>"0560020"</f>
        <v>0560020</v>
      </c>
      <c r="S2649" t="s">
        <v>302</v>
      </c>
      <c r="T2649" t="s">
        <v>300</v>
      </c>
      <c r="U2649" t="s">
        <v>301</v>
      </c>
      <c r="V2649" t="s">
        <v>131</v>
      </c>
      <c r="W2649" t="s">
        <v>51</v>
      </c>
      <c r="X2649" t="s">
        <v>45</v>
      </c>
      <c r="Y2649" s="1">
        <v>24473</v>
      </c>
      <c r="Z2649">
        <v>2</v>
      </c>
      <c r="AA2649" t="s">
        <v>301</v>
      </c>
      <c r="AB2649" s="40" t="s">
        <v>1798</v>
      </c>
    </row>
    <row r="2650" spans="1:28" x14ac:dyDescent="0.25">
      <c r="A2650">
        <v>99912649</v>
      </c>
      <c r="B2650" t="s">
        <v>56</v>
      </c>
      <c r="C2650" t="s">
        <v>68</v>
      </c>
      <c r="D2650" t="s">
        <v>69</v>
      </c>
      <c r="G2650" t="s">
        <v>35</v>
      </c>
      <c r="H2650">
        <v>1</v>
      </c>
      <c r="I2650" t="s">
        <v>348</v>
      </c>
      <c r="J2650" s="1">
        <v>43344</v>
      </c>
      <c r="K2650" t="s">
        <v>345</v>
      </c>
      <c r="L2650" t="s">
        <v>346</v>
      </c>
      <c r="M2650" t="s">
        <v>131</v>
      </c>
      <c r="N2650">
        <v>20</v>
      </c>
      <c r="O2650" s="1">
        <v>43344</v>
      </c>
      <c r="P2650" t="s">
        <v>41</v>
      </c>
      <c r="Q2650" t="s">
        <v>49</v>
      </c>
      <c r="R2650" t="str">
        <f>"0581155"</f>
        <v>0581155</v>
      </c>
      <c r="S2650" t="s">
        <v>349</v>
      </c>
      <c r="T2650" t="s">
        <v>345</v>
      </c>
      <c r="U2650" t="s">
        <v>346</v>
      </c>
      <c r="V2650" t="s">
        <v>131</v>
      </c>
      <c r="W2650" t="s">
        <v>51</v>
      </c>
      <c r="X2650" t="s">
        <v>45</v>
      </c>
      <c r="Y2650" s="1">
        <v>24473</v>
      </c>
      <c r="Z2650">
        <v>2</v>
      </c>
      <c r="AA2650" t="s">
        <v>346</v>
      </c>
      <c r="AB2650" s="40" t="s">
        <v>1798</v>
      </c>
    </row>
    <row r="2651" spans="1:28" x14ac:dyDescent="0.25">
      <c r="A2651">
        <v>99912650</v>
      </c>
      <c r="B2651" t="s">
        <v>56</v>
      </c>
      <c r="C2651" t="s">
        <v>52</v>
      </c>
      <c r="D2651" t="s">
        <v>53</v>
      </c>
      <c r="G2651" t="s">
        <v>48</v>
      </c>
      <c r="H2651">
        <v>1</v>
      </c>
      <c r="K2651" t="s">
        <v>380</v>
      </c>
      <c r="L2651" t="s">
        <v>381</v>
      </c>
      <c r="M2651" t="s">
        <v>131</v>
      </c>
      <c r="N2651">
        <v>20</v>
      </c>
      <c r="P2651" t="s">
        <v>41</v>
      </c>
      <c r="Q2651" t="s">
        <v>42</v>
      </c>
      <c r="R2651" t="str">
        <f>"0561010"</f>
        <v>0561010</v>
      </c>
      <c r="S2651" t="s">
        <v>387</v>
      </c>
      <c r="T2651" t="s">
        <v>380</v>
      </c>
      <c r="U2651" t="s">
        <v>381</v>
      </c>
      <c r="V2651" t="s">
        <v>131</v>
      </c>
      <c r="W2651" t="s">
        <v>51</v>
      </c>
      <c r="X2651" t="s">
        <v>45</v>
      </c>
      <c r="Y2651" s="1">
        <v>24473</v>
      </c>
      <c r="Z2651">
        <v>2</v>
      </c>
      <c r="AA2651" t="s">
        <v>381</v>
      </c>
      <c r="AB2651" s="40" t="s">
        <v>1798</v>
      </c>
    </row>
    <row r="2652" spans="1:28" x14ac:dyDescent="0.25">
      <c r="A2652">
        <v>99912651</v>
      </c>
      <c r="B2652" t="s">
        <v>32</v>
      </c>
      <c r="C2652" t="s">
        <v>64</v>
      </c>
      <c r="D2652" t="s">
        <v>65</v>
      </c>
      <c r="G2652" t="s">
        <v>35</v>
      </c>
      <c r="H2652">
        <v>1</v>
      </c>
      <c r="K2652" t="s">
        <v>1268</v>
      </c>
      <c r="L2652" t="s">
        <v>1269</v>
      </c>
      <c r="M2652" t="s">
        <v>1270</v>
      </c>
      <c r="N2652">
        <v>20</v>
      </c>
      <c r="P2652" t="s">
        <v>41</v>
      </c>
      <c r="Q2652" t="s">
        <v>42</v>
      </c>
      <c r="R2652" t="str">
        <f>"1990001"</f>
        <v>1990001</v>
      </c>
      <c r="S2652" t="s">
        <v>1294</v>
      </c>
      <c r="T2652" t="s">
        <v>1268</v>
      </c>
      <c r="U2652" t="s">
        <v>1269</v>
      </c>
      <c r="V2652" t="s">
        <v>1270</v>
      </c>
      <c r="W2652" t="s">
        <v>51</v>
      </c>
      <c r="X2652" t="s">
        <v>45</v>
      </c>
      <c r="Y2652" s="1">
        <v>24473</v>
      </c>
      <c r="Z2652">
        <v>2</v>
      </c>
      <c r="AA2652" t="s">
        <v>1269</v>
      </c>
      <c r="AB2652" s="40" t="s">
        <v>1798</v>
      </c>
    </row>
    <row r="2653" spans="1:28" x14ac:dyDescent="0.25">
      <c r="A2653">
        <v>99912652</v>
      </c>
      <c r="B2653" t="s">
        <v>32</v>
      </c>
      <c r="C2653" t="s">
        <v>90</v>
      </c>
      <c r="D2653" t="s">
        <v>91</v>
      </c>
      <c r="G2653" t="s">
        <v>35</v>
      </c>
      <c r="H2653">
        <v>1</v>
      </c>
      <c r="I2653">
        <v>195</v>
      </c>
      <c r="J2653" s="1">
        <v>37497</v>
      </c>
      <c r="K2653" t="s">
        <v>1341</v>
      </c>
      <c r="L2653" t="s">
        <v>1342</v>
      </c>
      <c r="M2653" t="s">
        <v>1270</v>
      </c>
      <c r="N2653">
        <v>20</v>
      </c>
      <c r="O2653" s="1">
        <v>37497</v>
      </c>
      <c r="P2653" t="s">
        <v>41</v>
      </c>
      <c r="Q2653" t="s">
        <v>95</v>
      </c>
      <c r="R2653" t="str">
        <f>"7191047"</f>
        <v>7191047</v>
      </c>
      <c r="S2653" t="s">
        <v>1396</v>
      </c>
      <c r="T2653" t="s">
        <v>1341</v>
      </c>
      <c r="U2653" t="s">
        <v>1342</v>
      </c>
      <c r="V2653" t="s">
        <v>1270</v>
      </c>
      <c r="W2653" t="s">
        <v>165</v>
      </c>
      <c r="X2653" t="s">
        <v>45</v>
      </c>
      <c r="Y2653" s="1">
        <v>24473</v>
      </c>
      <c r="Z2653">
        <v>1</v>
      </c>
      <c r="AA2653" t="s">
        <v>1342</v>
      </c>
      <c r="AB2653" s="40" t="s">
        <v>1798</v>
      </c>
    </row>
    <row r="2654" spans="1:28" x14ac:dyDescent="0.25">
      <c r="A2654">
        <v>99912653</v>
      </c>
      <c r="B2654" t="s">
        <v>32</v>
      </c>
      <c r="C2654" t="s">
        <v>52</v>
      </c>
      <c r="D2654" t="s">
        <v>53</v>
      </c>
      <c r="G2654" t="s">
        <v>48</v>
      </c>
      <c r="H2654">
        <v>1</v>
      </c>
      <c r="K2654" t="s">
        <v>223</v>
      </c>
      <c r="L2654" t="s">
        <v>224</v>
      </c>
      <c r="M2654" t="s">
        <v>131</v>
      </c>
      <c r="N2654">
        <v>20</v>
      </c>
      <c r="P2654" t="s">
        <v>41</v>
      </c>
      <c r="Q2654" t="s">
        <v>49</v>
      </c>
      <c r="R2654" t="str">
        <f>"0581204"</f>
        <v>0581204</v>
      </c>
      <c r="S2654" t="s">
        <v>249</v>
      </c>
      <c r="T2654" t="s">
        <v>223</v>
      </c>
      <c r="U2654" t="s">
        <v>224</v>
      </c>
      <c r="V2654" t="s">
        <v>131</v>
      </c>
      <c r="W2654" t="s">
        <v>51</v>
      </c>
      <c r="X2654" t="s">
        <v>45</v>
      </c>
      <c r="Y2654" s="1">
        <v>24463</v>
      </c>
      <c r="Z2654">
        <v>2</v>
      </c>
      <c r="AA2654" t="s">
        <v>224</v>
      </c>
      <c r="AB2654" s="40" t="s">
        <v>1798</v>
      </c>
    </row>
    <row r="2655" spans="1:28" x14ac:dyDescent="0.25">
      <c r="A2655">
        <v>99912654</v>
      </c>
      <c r="B2655" t="s">
        <v>32</v>
      </c>
      <c r="C2655" t="s">
        <v>46</v>
      </c>
      <c r="D2655" t="s">
        <v>47</v>
      </c>
      <c r="G2655" t="s">
        <v>35</v>
      </c>
      <c r="H2655">
        <v>1</v>
      </c>
      <c r="K2655" t="s">
        <v>223</v>
      </c>
      <c r="L2655" t="s">
        <v>224</v>
      </c>
      <c r="M2655" t="s">
        <v>131</v>
      </c>
      <c r="N2655">
        <v>20</v>
      </c>
      <c r="P2655" t="s">
        <v>41</v>
      </c>
      <c r="Q2655" t="s">
        <v>42</v>
      </c>
      <c r="R2655" t="str">
        <f>"0590903"</f>
        <v>0590903</v>
      </c>
      <c r="S2655" t="s">
        <v>226</v>
      </c>
      <c r="T2655" t="s">
        <v>223</v>
      </c>
      <c r="U2655" t="s">
        <v>224</v>
      </c>
      <c r="V2655" t="s">
        <v>131</v>
      </c>
      <c r="W2655" t="s">
        <v>51</v>
      </c>
      <c r="X2655" t="s">
        <v>45</v>
      </c>
      <c r="Y2655" s="1">
        <v>24447</v>
      </c>
      <c r="Z2655">
        <v>2</v>
      </c>
      <c r="AA2655" t="s">
        <v>224</v>
      </c>
      <c r="AB2655" s="40" t="s">
        <v>1798</v>
      </c>
    </row>
    <row r="2656" spans="1:28" x14ac:dyDescent="0.25">
      <c r="A2656">
        <v>99912655</v>
      </c>
      <c r="B2656" t="s">
        <v>32</v>
      </c>
      <c r="C2656" t="s">
        <v>143</v>
      </c>
      <c r="D2656" t="s">
        <v>144</v>
      </c>
      <c r="G2656" t="s">
        <v>48</v>
      </c>
      <c r="H2656">
        <v>1</v>
      </c>
      <c r="K2656" t="s">
        <v>223</v>
      </c>
      <c r="L2656" t="s">
        <v>224</v>
      </c>
      <c r="M2656" t="s">
        <v>131</v>
      </c>
      <c r="N2656">
        <v>20</v>
      </c>
      <c r="P2656" t="s">
        <v>41</v>
      </c>
      <c r="Q2656" t="s">
        <v>49</v>
      </c>
      <c r="R2656" t="str">
        <f>"0581202"</f>
        <v>0581202</v>
      </c>
      <c r="S2656" t="s">
        <v>248</v>
      </c>
      <c r="T2656" t="s">
        <v>223</v>
      </c>
      <c r="U2656" t="s">
        <v>224</v>
      </c>
      <c r="V2656" t="s">
        <v>131</v>
      </c>
      <c r="W2656" t="s">
        <v>165</v>
      </c>
      <c r="X2656" t="s">
        <v>45</v>
      </c>
      <c r="Y2656" s="1">
        <v>24446</v>
      </c>
      <c r="Z2656">
        <v>2</v>
      </c>
      <c r="AA2656" t="s">
        <v>224</v>
      </c>
      <c r="AB2656" s="40" t="s">
        <v>1798</v>
      </c>
    </row>
    <row r="2657" spans="1:28" x14ac:dyDescent="0.25">
      <c r="A2657">
        <v>99912656</v>
      </c>
      <c r="B2657" t="s">
        <v>32</v>
      </c>
      <c r="C2657" t="s">
        <v>33</v>
      </c>
      <c r="D2657" t="s">
        <v>34</v>
      </c>
      <c r="G2657" t="s">
        <v>48</v>
      </c>
      <c r="H2657">
        <v>1</v>
      </c>
      <c r="K2657" t="s">
        <v>223</v>
      </c>
      <c r="L2657" t="s">
        <v>224</v>
      </c>
      <c r="M2657" t="s">
        <v>131</v>
      </c>
      <c r="N2657">
        <v>20</v>
      </c>
      <c r="P2657" t="s">
        <v>41</v>
      </c>
      <c r="Q2657" t="s">
        <v>42</v>
      </c>
      <c r="R2657" t="str">
        <f>"0590902"</f>
        <v>0590902</v>
      </c>
      <c r="S2657" t="s">
        <v>241</v>
      </c>
      <c r="T2657" t="s">
        <v>223</v>
      </c>
      <c r="U2657" t="s">
        <v>224</v>
      </c>
      <c r="V2657" t="s">
        <v>131</v>
      </c>
      <c r="W2657" t="s">
        <v>51</v>
      </c>
      <c r="X2657" t="s">
        <v>45</v>
      </c>
      <c r="Y2657" s="1">
        <v>24446</v>
      </c>
      <c r="Z2657">
        <v>2</v>
      </c>
      <c r="AA2657" t="s">
        <v>224</v>
      </c>
      <c r="AB2657" s="40" t="s">
        <v>1798</v>
      </c>
    </row>
    <row r="2658" spans="1:28" x14ac:dyDescent="0.25">
      <c r="A2658">
        <v>99912657</v>
      </c>
      <c r="B2658" t="s">
        <v>32</v>
      </c>
      <c r="C2658" t="s">
        <v>68</v>
      </c>
      <c r="D2658" t="s">
        <v>69</v>
      </c>
      <c r="G2658" t="s">
        <v>35</v>
      </c>
      <c r="H2658">
        <v>1</v>
      </c>
      <c r="I2658">
        <v>5775</v>
      </c>
      <c r="J2658" s="1">
        <v>43348</v>
      </c>
      <c r="K2658" t="s">
        <v>162</v>
      </c>
      <c r="L2658" t="s">
        <v>158</v>
      </c>
      <c r="M2658" t="s">
        <v>131</v>
      </c>
      <c r="N2658">
        <v>20</v>
      </c>
      <c r="O2658" s="1">
        <v>43348</v>
      </c>
      <c r="P2658" t="s">
        <v>41</v>
      </c>
      <c r="Q2658" t="s">
        <v>49</v>
      </c>
      <c r="R2658" t="str">
        <f>"0581325"</f>
        <v>0581325</v>
      </c>
      <c r="S2658" t="s">
        <v>169</v>
      </c>
      <c r="T2658" t="s">
        <v>162</v>
      </c>
      <c r="U2658" t="s">
        <v>158</v>
      </c>
      <c r="V2658" t="s">
        <v>131</v>
      </c>
      <c r="W2658" t="s">
        <v>165</v>
      </c>
      <c r="X2658" t="s">
        <v>45</v>
      </c>
      <c r="Y2658" s="1">
        <v>24423</v>
      </c>
      <c r="Z2658">
        <v>2</v>
      </c>
      <c r="AA2658" t="s">
        <v>158</v>
      </c>
      <c r="AB2658" s="40" t="s">
        <v>1798</v>
      </c>
    </row>
    <row r="2659" spans="1:28" x14ac:dyDescent="0.25">
      <c r="A2659">
        <v>99912658</v>
      </c>
      <c r="B2659" t="s">
        <v>32</v>
      </c>
      <c r="C2659" t="s">
        <v>52</v>
      </c>
      <c r="D2659" t="s">
        <v>53</v>
      </c>
      <c r="G2659" t="s">
        <v>35</v>
      </c>
      <c r="H2659">
        <v>1</v>
      </c>
      <c r="I2659" t="s">
        <v>209</v>
      </c>
      <c r="J2659" s="1">
        <v>43344</v>
      </c>
      <c r="K2659" t="s">
        <v>162</v>
      </c>
      <c r="L2659" t="s">
        <v>158</v>
      </c>
      <c r="M2659" t="s">
        <v>131</v>
      </c>
      <c r="N2659">
        <v>20</v>
      </c>
      <c r="O2659" s="1">
        <v>43344</v>
      </c>
      <c r="P2659" t="s">
        <v>41</v>
      </c>
      <c r="Q2659" t="s">
        <v>49</v>
      </c>
      <c r="R2659" t="str">
        <f>"0505050"</f>
        <v>0505050</v>
      </c>
      <c r="S2659" t="s">
        <v>163</v>
      </c>
      <c r="T2659" t="s">
        <v>162</v>
      </c>
      <c r="U2659" t="s">
        <v>158</v>
      </c>
      <c r="V2659" t="s">
        <v>131</v>
      </c>
      <c r="W2659" t="s">
        <v>165</v>
      </c>
      <c r="X2659" t="s">
        <v>45</v>
      </c>
      <c r="Y2659" s="1">
        <v>24401</v>
      </c>
      <c r="Z2659">
        <v>2</v>
      </c>
      <c r="AA2659" t="s">
        <v>158</v>
      </c>
      <c r="AB2659" s="40" t="s">
        <v>1798</v>
      </c>
    </row>
    <row r="2660" spans="1:28" x14ac:dyDescent="0.25">
      <c r="A2660">
        <v>99912659</v>
      </c>
      <c r="B2660" t="s">
        <v>32</v>
      </c>
      <c r="C2660" t="s">
        <v>64</v>
      </c>
      <c r="D2660" t="s">
        <v>65</v>
      </c>
      <c r="G2660" t="s">
        <v>48</v>
      </c>
      <c r="H2660">
        <v>1</v>
      </c>
      <c r="K2660" t="s">
        <v>223</v>
      </c>
      <c r="L2660" t="s">
        <v>224</v>
      </c>
      <c r="M2660" t="s">
        <v>131</v>
      </c>
      <c r="N2660">
        <v>20</v>
      </c>
      <c r="P2660" t="s">
        <v>41</v>
      </c>
      <c r="Q2660" t="s">
        <v>49</v>
      </c>
      <c r="R2660" t="str">
        <f>"0581204"</f>
        <v>0581204</v>
      </c>
      <c r="S2660" t="s">
        <v>249</v>
      </c>
      <c r="T2660" t="s">
        <v>223</v>
      </c>
      <c r="U2660" t="s">
        <v>224</v>
      </c>
      <c r="V2660" t="s">
        <v>131</v>
      </c>
      <c r="W2660" t="s">
        <v>165</v>
      </c>
      <c r="X2660" t="s">
        <v>45</v>
      </c>
      <c r="Y2660" s="1">
        <v>24393</v>
      </c>
      <c r="Z2660">
        <v>2</v>
      </c>
      <c r="AA2660" t="s">
        <v>224</v>
      </c>
      <c r="AB2660" s="40" t="s">
        <v>1798</v>
      </c>
    </row>
    <row r="2661" spans="1:28" x14ac:dyDescent="0.25">
      <c r="A2661">
        <v>99912660</v>
      </c>
      <c r="B2661" t="s">
        <v>32</v>
      </c>
      <c r="C2661" t="s">
        <v>46</v>
      </c>
      <c r="D2661" t="s">
        <v>47</v>
      </c>
      <c r="G2661" t="s">
        <v>48</v>
      </c>
      <c r="H2661">
        <v>1</v>
      </c>
      <c r="K2661" t="s">
        <v>223</v>
      </c>
      <c r="L2661" t="s">
        <v>224</v>
      </c>
      <c r="M2661" t="s">
        <v>131</v>
      </c>
      <c r="N2661">
        <v>20</v>
      </c>
      <c r="P2661" t="s">
        <v>41</v>
      </c>
      <c r="Q2661" t="s">
        <v>49</v>
      </c>
      <c r="R2661" t="str">
        <f>"0581204"</f>
        <v>0581204</v>
      </c>
      <c r="S2661" t="s">
        <v>249</v>
      </c>
      <c r="T2661" t="s">
        <v>223</v>
      </c>
      <c r="U2661" t="s">
        <v>224</v>
      </c>
      <c r="V2661" t="s">
        <v>131</v>
      </c>
      <c r="W2661" t="s">
        <v>165</v>
      </c>
      <c r="X2661" t="s">
        <v>45</v>
      </c>
      <c r="Y2661" s="1">
        <v>24392</v>
      </c>
      <c r="Z2661">
        <v>2</v>
      </c>
      <c r="AA2661" t="s">
        <v>224</v>
      </c>
      <c r="AB2661" s="40" t="s">
        <v>1798</v>
      </c>
    </row>
    <row r="2662" spans="1:28" x14ac:dyDescent="0.25">
      <c r="A2662">
        <v>99912661</v>
      </c>
      <c r="B2662" t="s">
        <v>32</v>
      </c>
      <c r="C2662" t="s">
        <v>46</v>
      </c>
      <c r="D2662" t="s">
        <v>47</v>
      </c>
      <c r="G2662" t="s">
        <v>48</v>
      </c>
      <c r="H2662">
        <v>1</v>
      </c>
      <c r="K2662" t="s">
        <v>380</v>
      </c>
      <c r="L2662" t="s">
        <v>381</v>
      </c>
      <c r="M2662" t="s">
        <v>131</v>
      </c>
      <c r="N2662">
        <v>20</v>
      </c>
      <c r="P2662" t="s">
        <v>41</v>
      </c>
      <c r="Q2662" t="s">
        <v>49</v>
      </c>
      <c r="R2662" t="str">
        <f>"0591908"</f>
        <v>0591908</v>
      </c>
      <c r="S2662" t="s">
        <v>383</v>
      </c>
      <c r="T2662" t="s">
        <v>380</v>
      </c>
      <c r="U2662" t="s">
        <v>381</v>
      </c>
      <c r="V2662" t="s">
        <v>131</v>
      </c>
      <c r="W2662" t="s">
        <v>51</v>
      </c>
      <c r="X2662" t="s">
        <v>45</v>
      </c>
      <c r="Y2662" s="1">
        <v>24390</v>
      </c>
      <c r="Z2662">
        <v>2</v>
      </c>
      <c r="AA2662" t="s">
        <v>381</v>
      </c>
      <c r="AB2662" s="40" t="s">
        <v>1798</v>
      </c>
    </row>
    <row r="2663" spans="1:28" x14ac:dyDescent="0.25">
      <c r="A2663">
        <v>99912662</v>
      </c>
      <c r="B2663" t="s">
        <v>56</v>
      </c>
      <c r="C2663" t="s">
        <v>85</v>
      </c>
      <c r="D2663" t="s">
        <v>86</v>
      </c>
      <c r="G2663" t="s">
        <v>48</v>
      </c>
      <c r="H2663">
        <v>1</v>
      </c>
      <c r="K2663" t="s">
        <v>223</v>
      </c>
      <c r="L2663" t="s">
        <v>224</v>
      </c>
      <c r="M2663" t="s">
        <v>131</v>
      </c>
      <c r="N2663">
        <v>20</v>
      </c>
      <c r="P2663" t="s">
        <v>41</v>
      </c>
      <c r="Q2663" t="s">
        <v>49</v>
      </c>
      <c r="R2663" t="str">
        <f>"0581206"</f>
        <v>0581206</v>
      </c>
      <c r="S2663" t="s">
        <v>232</v>
      </c>
      <c r="T2663" t="s">
        <v>223</v>
      </c>
      <c r="U2663" t="s">
        <v>224</v>
      </c>
      <c r="V2663" t="s">
        <v>131</v>
      </c>
      <c r="W2663" t="s">
        <v>51</v>
      </c>
      <c r="X2663" t="s">
        <v>45</v>
      </c>
      <c r="Y2663" s="1">
        <v>24372</v>
      </c>
      <c r="Z2663">
        <v>2</v>
      </c>
      <c r="AA2663" t="s">
        <v>224</v>
      </c>
      <c r="AB2663" s="40" t="s">
        <v>1798</v>
      </c>
    </row>
    <row r="2664" spans="1:28" x14ac:dyDescent="0.25">
      <c r="A2664">
        <v>99912663</v>
      </c>
      <c r="B2664" t="s">
        <v>56</v>
      </c>
      <c r="C2664" t="s">
        <v>79</v>
      </c>
      <c r="D2664" t="s">
        <v>80</v>
      </c>
      <c r="G2664" t="s">
        <v>35</v>
      </c>
      <c r="H2664">
        <v>1</v>
      </c>
      <c r="K2664" t="s">
        <v>223</v>
      </c>
      <c r="L2664" t="s">
        <v>224</v>
      </c>
      <c r="M2664" t="s">
        <v>131</v>
      </c>
      <c r="N2664">
        <v>20</v>
      </c>
      <c r="P2664" t="s">
        <v>41</v>
      </c>
      <c r="Q2664" t="s">
        <v>49</v>
      </c>
      <c r="R2664" t="str">
        <f>"0591907"</f>
        <v>0591907</v>
      </c>
      <c r="S2664" t="s">
        <v>243</v>
      </c>
      <c r="T2664" t="s">
        <v>223</v>
      </c>
      <c r="U2664" t="s">
        <v>224</v>
      </c>
      <c r="V2664" t="s">
        <v>131</v>
      </c>
      <c r="W2664" t="s">
        <v>51</v>
      </c>
      <c r="X2664" t="s">
        <v>45</v>
      </c>
      <c r="Y2664" s="1">
        <v>24359</v>
      </c>
      <c r="Z2664">
        <v>2</v>
      </c>
      <c r="AA2664" t="s">
        <v>224</v>
      </c>
      <c r="AB2664" s="40" t="s">
        <v>1798</v>
      </c>
    </row>
    <row r="2665" spans="1:28" x14ac:dyDescent="0.25">
      <c r="A2665">
        <v>99912664</v>
      </c>
      <c r="B2665" t="s">
        <v>32</v>
      </c>
      <c r="C2665" t="s">
        <v>90</v>
      </c>
      <c r="D2665" t="s">
        <v>91</v>
      </c>
      <c r="G2665" t="s">
        <v>35</v>
      </c>
      <c r="H2665">
        <v>1</v>
      </c>
      <c r="I2665" t="s">
        <v>286</v>
      </c>
      <c r="J2665" s="1">
        <v>43344</v>
      </c>
      <c r="K2665" t="s">
        <v>268</v>
      </c>
      <c r="L2665" t="s">
        <v>269</v>
      </c>
      <c r="M2665" t="s">
        <v>131</v>
      </c>
      <c r="N2665">
        <v>20</v>
      </c>
      <c r="P2665" t="s">
        <v>41</v>
      </c>
      <c r="Q2665" t="s">
        <v>95</v>
      </c>
      <c r="R2665" t="str">
        <f>"7052015"</f>
        <v>7052015</v>
      </c>
      <c r="S2665" t="s">
        <v>653</v>
      </c>
      <c r="T2665" t="s">
        <v>268</v>
      </c>
      <c r="U2665" t="s">
        <v>269</v>
      </c>
      <c r="V2665" t="s">
        <v>131</v>
      </c>
      <c r="W2665" t="s">
        <v>51</v>
      </c>
      <c r="X2665" t="s">
        <v>45</v>
      </c>
      <c r="Y2665" s="1">
        <v>24355</v>
      </c>
      <c r="Z2665">
        <v>1</v>
      </c>
      <c r="AA2665" t="s">
        <v>269</v>
      </c>
      <c r="AB2665" s="40" t="s">
        <v>1798</v>
      </c>
    </row>
    <row r="2666" spans="1:28" x14ac:dyDescent="0.25">
      <c r="A2666">
        <v>99912665</v>
      </c>
      <c r="B2666" t="s">
        <v>56</v>
      </c>
      <c r="C2666" t="s">
        <v>145</v>
      </c>
      <c r="D2666" t="s">
        <v>146</v>
      </c>
      <c r="G2666" t="s">
        <v>48</v>
      </c>
      <c r="H2666">
        <v>1</v>
      </c>
      <c r="K2666" t="s">
        <v>157</v>
      </c>
      <c r="L2666" t="s">
        <v>158</v>
      </c>
      <c r="M2666" t="s">
        <v>131</v>
      </c>
      <c r="N2666">
        <v>20</v>
      </c>
      <c r="P2666" t="s">
        <v>41</v>
      </c>
      <c r="Q2666" t="s">
        <v>42</v>
      </c>
      <c r="R2666" t="str">
        <f>"0580290"</f>
        <v>0580290</v>
      </c>
      <c r="S2666" t="s">
        <v>171</v>
      </c>
      <c r="T2666" t="s">
        <v>157</v>
      </c>
      <c r="U2666" t="s">
        <v>158</v>
      </c>
      <c r="V2666" t="s">
        <v>131</v>
      </c>
      <c r="W2666" t="s">
        <v>51</v>
      </c>
      <c r="X2666" t="s">
        <v>45</v>
      </c>
      <c r="Y2666" s="1">
        <v>24353</v>
      </c>
      <c r="Z2666">
        <v>2</v>
      </c>
      <c r="AA2666" t="s">
        <v>158</v>
      </c>
      <c r="AB2666" s="40" t="s">
        <v>1798</v>
      </c>
    </row>
    <row r="2667" spans="1:28" x14ac:dyDescent="0.25">
      <c r="A2667">
        <v>99912666</v>
      </c>
      <c r="B2667" t="s">
        <v>56</v>
      </c>
      <c r="C2667" t="s">
        <v>82</v>
      </c>
      <c r="D2667" t="s">
        <v>83</v>
      </c>
      <c r="G2667" t="s">
        <v>48</v>
      </c>
      <c r="H2667">
        <v>1</v>
      </c>
      <c r="K2667" t="s">
        <v>345</v>
      </c>
      <c r="L2667" t="s">
        <v>346</v>
      </c>
      <c r="M2667" t="s">
        <v>131</v>
      </c>
      <c r="N2667">
        <v>20</v>
      </c>
      <c r="P2667" t="s">
        <v>41</v>
      </c>
      <c r="Q2667" t="s">
        <v>42</v>
      </c>
      <c r="R2667" t="str">
        <f>"0561019"</f>
        <v>0561019</v>
      </c>
      <c r="S2667" t="s">
        <v>351</v>
      </c>
      <c r="T2667" t="s">
        <v>345</v>
      </c>
      <c r="U2667" t="s">
        <v>346</v>
      </c>
      <c r="V2667" t="s">
        <v>131</v>
      </c>
      <c r="W2667" t="s">
        <v>51</v>
      </c>
      <c r="X2667" t="s">
        <v>45</v>
      </c>
      <c r="Y2667" s="1">
        <v>24353</v>
      </c>
      <c r="Z2667">
        <v>2</v>
      </c>
      <c r="AA2667" t="s">
        <v>346</v>
      </c>
      <c r="AB2667" s="40" t="s">
        <v>1798</v>
      </c>
    </row>
    <row r="2668" spans="1:28" x14ac:dyDescent="0.25">
      <c r="A2668">
        <v>99912667</v>
      </c>
      <c r="B2668" t="s">
        <v>56</v>
      </c>
      <c r="C2668" t="s">
        <v>1282</v>
      </c>
      <c r="D2668" t="s">
        <v>1283</v>
      </c>
      <c r="G2668" t="s">
        <v>35</v>
      </c>
      <c r="H2668">
        <v>1</v>
      </c>
      <c r="K2668" t="s">
        <v>1268</v>
      </c>
      <c r="L2668" t="s">
        <v>1269</v>
      </c>
      <c r="M2668" t="s">
        <v>1270</v>
      </c>
      <c r="N2668">
        <v>20</v>
      </c>
      <c r="P2668" t="s">
        <v>41</v>
      </c>
      <c r="Q2668" t="s">
        <v>922</v>
      </c>
      <c r="R2668" t="str">
        <f>"1950001"</f>
        <v>1950001</v>
      </c>
      <c r="S2668" t="s">
        <v>1284</v>
      </c>
      <c r="T2668" t="s">
        <v>1268</v>
      </c>
      <c r="U2668" t="s">
        <v>1269</v>
      </c>
      <c r="V2668" t="s">
        <v>1270</v>
      </c>
      <c r="W2668" t="s">
        <v>51</v>
      </c>
      <c r="X2668" t="s">
        <v>45</v>
      </c>
      <c r="Y2668" s="1">
        <v>24352</v>
      </c>
      <c r="Z2668">
        <v>2</v>
      </c>
      <c r="AA2668" t="s">
        <v>1269</v>
      </c>
      <c r="AB2668" s="40" t="s">
        <v>1798</v>
      </c>
    </row>
    <row r="2669" spans="1:28" x14ac:dyDescent="0.25">
      <c r="A2669">
        <v>99912668</v>
      </c>
      <c r="B2669" t="s">
        <v>56</v>
      </c>
      <c r="C2669" t="s">
        <v>58</v>
      </c>
      <c r="D2669" t="s">
        <v>59</v>
      </c>
      <c r="G2669" t="s">
        <v>35</v>
      </c>
      <c r="H2669">
        <v>1</v>
      </c>
      <c r="K2669" t="s">
        <v>1268</v>
      </c>
      <c r="L2669" t="s">
        <v>1269</v>
      </c>
      <c r="M2669" t="s">
        <v>1270</v>
      </c>
      <c r="N2669">
        <v>20</v>
      </c>
      <c r="P2669" t="s">
        <v>41</v>
      </c>
      <c r="Q2669" t="s">
        <v>42</v>
      </c>
      <c r="R2669" t="str">
        <f>"1990001"</f>
        <v>1990001</v>
      </c>
      <c r="S2669" t="s">
        <v>1294</v>
      </c>
      <c r="T2669" t="s">
        <v>1268</v>
      </c>
      <c r="U2669" t="s">
        <v>1269</v>
      </c>
      <c r="V2669" t="s">
        <v>1270</v>
      </c>
      <c r="W2669" t="s">
        <v>51</v>
      </c>
      <c r="X2669" t="s">
        <v>45</v>
      </c>
      <c r="Y2669" s="1">
        <v>24351</v>
      </c>
      <c r="Z2669">
        <v>2</v>
      </c>
      <c r="AA2669" t="s">
        <v>1269</v>
      </c>
      <c r="AB2669" s="40" t="s">
        <v>1798</v>
      </c>
    </row>
    <row r="2670" spans="1:28" x14ac:dyDescent="0.25">
      <c r="A2670">
        <v>99912669</v>
      </c>
      <c r="B2670" t="s">
        <v>56</v>
      </c>
      <c r="C2670" t="s">
        <v>85</v>
      </c>
      <c r="D2670" t="s">
        <v>86</v>
      </c>
      <c r="G2670" t="s">
        <v>35</v>
      </c>
      <c r="H2670">
        <v>1</v>
      </c>
      <c r="K2670" t="s">
        <v>162</v>
      </c>
      <c r="L2670" t="s">
        <v>158</v>
      </c>
      <c r="M2670" t="s">
        <v>131</v>
      </c>
      <c r="N2670">
        <v>20</v>
      </c>
      <c r="P2670" t="s">
        <v>41</v>
      </c>
      <c r="Q2670" t="s">
        <v>49</v>
      </c>
      <c r="R2670" t="str">
        <f>"0505050"</f>
        <v>0505050</v>
      </c>
      <c r="S2670" t="s">
        <v>163</v>
      </c>
      <c r="T2670" t="s">
        <v>162</v>
      </c>
      <c r="U2670" t="s">
        <v>158</v>
      </c>
      <c r="V2670" t="s">
        <v>131</v>
      </c>
      <c r="W2670" t="s">
        <v>165</v>
      </c>
      <c r="X2670" t="s">
        <v>45</v>
      </c>
      <c r="Y2670" s="1">
        <v>24313</v>
      </c>
      <c r="Z2670">
        <v>2</v>
      </c>
      <c r="AA2670" t="s">
        <v>158</v>
      </c>
      <c r="AB2670" s="40" t="s">
        <v>1798</v>
      </c>
    </row>
    <row r="2671" spans="1:28" x14ac:dyDescent="0.25">
      <c r="A2671">
        <v>99912670</v>
      </c>
      <c r="B2671" t="s">
        <v>56</v>
      </c>
      <c r="C2671" t="s">
        <v>33</v>
      </c>
      <c r="D2671" t="s">
        <v>34</v>
      </c>
      <c r="G2671" t="s">
        <v>35</v>
      </c>
      <c r="H2671">
        <v>1</v>
      </c>
      <c r="I2671">
        <v>0</v>
      </c>
      <c r="J2671" s="1">
        <v>43344</v>
      </c>
      <c r="K2671" t="s">
        <v>223</v>
      </c>
      <c r="L2671" t="s">
        <v>224</v>
      </c>
      <c r="M2671" t="s">
        <v>131</v>
      </c>
      <c r="N2671">
        <v>20</v>
      </c>
      <c r="O2671" s="1">
        <v>43344</v>
      </c>
      <c r="P2671" t="s">
        <v>41</v>
      </c>
      <c r="Q2671" t="s">
        <v>42</v>
      </c>
      <c r="R2671" t="str">
        <f>"0580206"</f>
        <v>0580206</v>
      </c>
      <c r="S2671" t="s">
        <v>237</v>
      </c>
      <c r="T2671" t="s">
        <v>223</v>
      </c>
      <c r="U2671" t="s">
        <v>224</v>
      </c>
      <c r="V2671" t="s">
        <v>131</v>
      </c>
      <c r="W2671" t="s">
        <v>51</v>
      </c>
      <c r="X2671" t="s">
        <v>45</v>
      </c>
      <c r="Y2671" s="1">
        <v>24312</v>
      </c>
      <c r="Z2671">
        <v>2</v>
      </c>
      <c r="AA2671" t="s">
        <v>224</v>
      </c>
      <c r="AB2671" s="40" t="s">
        <v>1798</v>
      </c>
    </row>
    <row r="2672" spans="1:28" x14ac:dyDescent="0.25">
      <c r="A2672">
        <v>99912671</v>
      </c>
      <c r="B2672" t="s">
        <v>56</v>
      </c>
      <c r="C2672" t="s">
        <v>68</v>
      </c>
      <c r="D2672" t="s">
        <v>69</v>
      </c>
      <c r="G2672" t="s">
        <v>48</v>
      </c>
      <c r="H2672">
        <v>1</v>
      </c>
      <c r="K2672" t="s">
        <v>345</v>
      </c>
      <c r="L2672" t="s">
        <v>346</v>
      </c>
      <c r="M2672" t="s">
        <v>131</v>
      </c>
      <c r="N2672">
        <v>20</v>
      </c>
      <c r="P2672" t="s">
        <v>41</v>
      </c>
      <c r="Q2672" t="s">
        <v>42</v>
      </c>
      <c r="R2672" t="str">
        <f>"0590906"</f>
        <v>0590906</v>
      </c>
      <c r="S2672" t="s">
        <v>361</v>
      </c>
      <c r="T2672" t="s">
        <v>345</v>
      </c>
      <c r="U2672" t="s">
        <v>346</v>
      </c>
      <c r="V2672" t="s">
        <v>131</v>
      </c>
      <c r="W2672" t="s">
        <v>51</v>
      </c>
      <c r="X2672" t="s">
        <v>45</v>
      </c>
      <c r="Y2672" s="1">
        <v>24308</v>
      </c>
      <c r="Z2672">
        <v>2</v>
      </c>
      <c r="AA2672" t="s">
        <v>346</v>
      </c>
      <c r="AB2672" s="40" t="s">
        <v>1798</v>
      </c>
    </row>
    <row r="2673" spans="1:28" x14ac:dyDescent="0.25">
      <c r="A2673">
        <v>99912672</v>
      </c>
      <c r="B2673" t="s">
        <v>56</v>
      </c>
      <c r="C2673" t="s">
        <v>275</v>
      </c>
      <c r="D2673" t="s">
        <v>276</v>
      </c>
      <c r="G2673" t="s">
        <v>48</v>
      </c>
      <c r="H2673">
        <v>1</v>
      </c>
      <c r="K2673" t="s">
        <v>223</v>
      </c>
      <c r="L2673" t="s">
        <v>224</v>
      </c>
      <c r="M2673" t="s">
        <v>131</v>
      </c>
      <c r="N2673">
        <v>20</v>
      </c>
      <c r="P2673" t="s">
        <v>41</v>
      </c>
      <c r="Q2673" t="s">
        <v>49</v>
      </c>
      <c r="R2673" t="str">
        <f>"0581200"</f>
        <v>0581200</v>
      </c>
      <c r="S2673" t="s">
        <v>238</v>
      </c>
      <c r="T2673" t="s">
        <v>223</v>
      </c>
      <c r="U2673" t="s">
        <v>224</v>
      </c>
      <c r="V2673" t="s">
        <v>131</v>
      </c>
      <c r="W2673" t="s">
        <v>51</v>
      </c>
      <c r="X2673" t="s">
        <v>45</v>
      </c>
      <c r="Y2673" s="1">
        <v>24307</v>
      </c>
      <c r="Z2673">
        <v>2</v>
      </c>
      <c r="AA2673" t="s">
        <v>224</v>
      </c>
      <c r="AB2673" s="40" t="s">
        <v>1798</v>
      </c>
    </row>
    <row r="2674" spans="1:28" x14ac:dyDescent="0.25">
      <c r="A2674">
        <v>99912673</v>
      </c>
      <c r="B2674" t="s">
        <v>56</v>
      </c>
      <c r="C2674" t="s">
        <v>33</v>
      </c>
      <c r="D2674" t="s">
        <v>34</v>
      </c>
      <c r="G2674" t="s">
        <v>48</v>
      </c>
      <c r="H2674">
        <v>1</v>
      </c>
      <c r="K2674" t="s">
        <v>1268</v>
      </c>
      <c r="L2674" t="s">
        <v>1269</v>
      </c>
      <c r="M2674" t="s">
        <v>1270</v>
      </c>
      <c r="N2674">
        <v>20</v>
      </c>
      <c r="P2674" t="s">
        <v>41</v>
      </c>
      <c r="Q2674" t="s">
        <v>42</v>
      </c>
      <c r="R2674" t="str">
        <f>"1980050"</f>
        <v>1980050</v>
      </c>
      <c r="S2674" t="s">
        <v>1278</v>
      </c>
      <c r="T2674" t="s">
        <v>1268</v>
      </c>
      <c r="U2674" t="s">
        <v>1269</v>
      </c>
      <c r="V2674" t="s">
        <v>1270</v>
      </c>
      <c r="W2674" t="s">
        <v>51</v>
      </c>
      <c r="X2674" t="s">
        <v>45</v>
      </c>
      <c r="Y2674" s="1">
        <v>24291</v>
      </c>
      <c r="Z2674">
        <v>2</v>
      </c>
      <c r="AA2674" t="s">
        <v>1269</v>
      </c>
      <c r="AB2674" s="40" t="s">
        <v>1798</v>
      </c>
    </row>
    <row r="2675" spans="1:28" x14ac:dyDescent="0.25">
      <c r="A2675">
        <v>99912674</v>
      </c>
      <c r="B2675" t="s">
        <v>56</v>
      </c>
      <c r="C2675" t="s">
        <v>1290</v>
      </c>
      <c r="D2675" t="s">
        <v>1291</v>
      </c>
      <c r="G2675" t="s">
        <v>35</v>
      </c>
      <c r="H2675">
        <v>1</v>
      </c>
      <c r="K2675" t="s">
        <v>1268</v>
      </c>
      <c r="L2675" t="s">
        <v>1269</v>
      </c>
      <c r="M2675" t="s">
        <v>1270</v>
      </c>
      <c r="N2675">
        <v>20</v>
      </c>
      <c r="P2675" t="s">
        <v>41</v>
      </c>
      <c r="Q2675" t="s">
        <v>922</v>
      </c>
      <c r="R2675" t="str">
        <f>"1950001"</f>
        <v>1950001</v>
      </c>
      <c r="S2675" t="s">
        <v>1284</v>
      </c>
      <c r="T2675" t="s">
        <v>1268</v>
      </c>
      <c r="U2675" t="s">
        <v>1269</v>
      </c>
      <c r="V2675" t="s">
        <v>1270</v>
      </c>
      <c r="W2675" t="s">
        <v>51</v>
      </c>
      <c r="X2675" t="s">
        <v>45</v>
      </c>
      <c r="Y2675" s="1">
        <v>24285</v>
      </c>
      <c r="Z2675">
        <v>2</v>
      </c>
      <c r="AA2675" t="s">
        <v>1269</v>
      </c>
      <c r="AB2675" s="40" t="s">
        <v>1798</v>
      </c>
    </row>
    <row r="2676" spans="1:28" x14ac:dyDescent="0.25">
      <c r="A2676">
        <v>99912675</v>
      </c>
      <c r="B2676" t="s">
        <v>56</v>
      </c>
      <c r="C2676" t="s">
        <v>52</v>
      </c>
      <c r="D2676" t="s">
        <v>53</v>
      </c>
      <c r="G2676" t="s">
        <v>35</v>
      </c>
      <c r="H2676">
        <v>1</v>
      </c>
      <c r="K2676" t="s">
        <v>223</v>
      </c>
      <c r="L2676" t="s">
        <v>224</v>
      </c>
      <c r="M2676" t="s">
        <v>131</v>
      </c>
      <c r="N2676">
        <v>20</v>
      </c>
      <c r="P2676" t="s">
        <v>41</v>
      </c>
      <c r="Q2676" t="s">
        <v>42</v>
      </c>
      <c r="R2676" t="str">
        <f>"0590903"</f>
        <v>0590903</v>
      </c>
      <c r="S2676" t="s">
        <v>226</v>
      </c>
      <c r="T2676" t="s">
        <v>223</v>
      </c>
      <c r="U2676" t="s">
        <v>224</v>
      </c>
      <c r="V2676" t="s">
        <v>131</v>
      </c>
      <c r="W2676" t="s">
        <v>51</v>
      </c>
      <c r="X2676" t="s">
        <v>45</v>
      </c>
      <c r="Y2676" s="1">
        <v>24270</v>
      </c>
      <c r="Z2676">
        <v>2</v>
      </c>
      <c r="AA2676" t="s">
        <v>224</v>
      </c>
      <c r="AB2676" s="40" t="s">
        <v>1798</v>
      </c>
    </row>
    <row r="2677" spans="1:28" x14ac:dyDescent="0.25">
      <c r="A2677">
        <v>99912676</v>
      </c>
      <c r="B2677" t="s">
        <v>56</v>
      </c>
      <c r="C2677" t="s">
        <v>61</v>
      </c>
      <c r="D2677" t="s">
        <v>62</v>
      </c>
      <c r="G2677" t="s">
        <v>48</v>
      </c>
      <c r="H2677">
        <v>1</v>
      </c>
      <c r="K2677" t="s">
        <v>223</v>
      </c>
      <c r="L2677" t="s">
        <v>224</v>
      </c>
      <c r="M2677" t="s">
        <v>131</v>
      </c>
      <c r="N2677">
        <v>20</v>
      </c>
      <c r="P2677" t="s">
        <v>41</v>
      </c>
      <c r="Q2677" t="s">
        <v>42</v>
      </c>
      <c r="R2677" t="str">
        <f>"0580203"</f>
        <v>0580203</v>
      </c>
      <c r="S2677" t="s">
        <v>239</v>
      </c>
      <c r="T2677" t="s">
        <v>223</v>
      </c>
      <c r="U2677" t="s">
        <v>224</v>
      </c>
      <c r="V2677" t="s">
        <v>131</v>
      </c>
      <c r="W2677" t="s">
        <v>51</v>
      </c>
      <c r="X2677" t="s">
        <v>45</v>
      </c>
      <c r="Y2677" s="1">
        <v>24269</v>
      </c>
      <c r="Z2677">
        <v>2</v>
      </c>
      <c r="AA2677" t="s">
        <v>224</v>
      </c>
      <c r="AB2677" s="40" t="s">
        <v>1798</v>
      </c>
    </row>
    <row r="2678" spans="1:28" x14ac:dyDescent="0.25">
      <c r="A2678">
        <v>99912677</v>
      </c>
      <c r="B2678" t="s">
        <v>32</v>
      </c>
      <c r="C2678" t="s">
        <v>71</v>
      </c>
      <c r="D2678" t="s">
        <v>72</v>
      </c>
      <c r="G2678" t="s">
        <v>35</v>
      </c>
      <c r="H2678">
        <v>1</v>
      </c>
      <c r="K2678" t="s">
        <v>223</v>
      </c>
      <c r="L2678" t="s">
        <v>224</v>
      </c>
      <c r="M2678" t="s">
        <v>131</v>
      </c>
      <c r="N2678">
        <v>20</v>
      </c>
      <c r="P2678" t="s">
        <v>41</v>
      </c>
      <c r="Q2678" t="s">
        <v>42</v>
      </c>
      <c r="R2678" t="str">
        <f>"0590903"</f>
        <v>0590903</v>
      </c>
      <c r="S2678" t="s">
        <v>226</v>
      </c>
      <c r="T2678" t="s">
        <v>223</v>
      </c>
      <c r="U2678" t="s">
        <v>224</v>
      </c>
      <c r="V2678" t="s">
        <v>131</v>
      </c>
      <c r="W2678" t="s">
        <v>51</v>
      </c>
      <c r="X2678" t="s">
        <v>45</v>
      </c>
      <c r="Y2678" s="1">
        <v>24268</v>
      </c>
      <c r="Z2678">
        <v>2</v>
      </c>
      <c r="AA2678" t="s">
        <v>224</v>
      </c>
      <c r="AB2678" s="40" t="s">
        <v>1798</v>
      </c>
    </row>
    <row r="2679" spans="1:28" x14ac:dyDescent="0.25">
      <c r="A2679">
        <v>99912678</v>
      </c>
      <c r="B2679" t="s">
        <v>56</v>
      </c>
      <c r="C2679" t="s">
        <v>68</v>
      </c>
      <c r="D2679" t="s">
        <v>69</v>
      </c>
      <c r="G2679" t="s">
        <v>35</v>
      </c>
      <c r="H2679">
        <v>1</v>
      </c>
      <c r="K2679" t="s">
        <v>1546</v>
      </c>
      <c r="L2679" t="s">
        <v>1547</v>
      </c>
      <c r="M2679" t="s">
        <v>1548</v>
      </c>
      <c r="N2679">
        <v>20</v>
      </c>
      <c r="P2679" t="s">
        <v>41</v>
      </c>
      <c r="Q2679" t="s">
        <v>42</v>
      </c>
      <c r="R2679" t="str">
        <f>"1080010"</f>
        <v>1080010</v>
      </c>
      <c r="S2679" t="s">
        <v>1549</v>
      </c>
      <c r="T2679" t="s">
        <v>1546</v>
      </c>
      <c r="U2679" t="s">
        <v>1547</v>
      </c>
      <c r="V2679" t="s">
        <v>1548</v>
      </c>
      <c r="W2679" t="s">
        <v>51</v>
      </c>
      <c r="X2679" t="s">
        <v>45</v>
      </c>
      <c r="Y2679" s="1">
        <v>24251</v>
      </c>
      <c r="Z2679">
        <v>2</v>
      </c>
      <c r="AA2679" t="s">
        <v>1547</v>
      </c>
      <c r="AB2679" s="40" t="s">
        <v>1798</v>
      </c>
    </row>
    <row r="2680" spans="1:28" x14ac:dyDescent="0.25">
      <c r="A2680">
        <v>99912679</v>
      </c>
      <c r="B2680" t="s">
        <v>56</v>
      </c>
      <c r="C2680" t="s">
        <v>85</v>
      </c>
      <c r="D2680" t="s">
        <v>86</v>
      </c>
      <c r="G2680" t="s">
        <v>48</v>
      </c>
      <c r="H2680">
        <v>8</v>
      </c>
      <c r="K2680" t="s">
        <v>345</v>
      </c>
      <c r="L2680" t="s">
        <v>346</v>
      </c>
      <c r="M2680" t="s">
        <v>131</v>
      </c>
      <c r="N2680">
        <v>20</v>
      </c>
      <c r="P2680" t="s">
        <v>41</v>
      </c>
      <c r="Q2680" t="s">
        <v>42</v>
      </c>
      <c r="R2680" t="str">
        <f>"0590906"</f>
        <v>0590906</v>
      </c>
      <c r="S2680" t="s">
        <v>361</v>
      </c>
      <c r="T2680" t="s">
        <v>345</v>
      </c>
      <c r="U2680" t="s">
        <v>346</v>
      </c>
      <c r="V2680" t="s">
        <v>131</v>
      </c>
      <c r="W2680" t="s">
        <v>51</v>
      </c>
      <c r="X2680" t="s">
        <v>45</v>
      </c>
      <c r="Y2680" s="1">
        <v>24241</v>
      </c>
      <c r="Z2680">
        <v>2</v>
      </c>
      <c r="AA2680" t="s">
        <v>346</v>
      </c>
      <c r="AB2680" s="40" t="s">
        <v>1798</v>
      </c>
    </row>
    <row r="2681" spans="1:28" x14ac:dyDescent="0.25">
      <c r="A2681">
        <v>99912680</v>
      </c>
      <c r="B2681" t="s">
        <v>56</v>
      </c>
      <c r="C2681" t="s">
        <v>79</v>
      </c>
      <c r="D2681" t="s">
        <v>80</v>
      </c>
      <c r="G2681" t="s">
        <v>48</v>
      </c>
      <c r="H2681">
        <v>1</v>
      </c>
      <c r="K2681" t="s">
        <v>1268</v>
      </c>
      <c r="L2681" t="s">
        <v>1269</v>
      </c>
      <c r="M2681" t="s">
        <v>1270</v>
      </c>
      <c r="N2681">
        <v>20</v>
      </c>
      <c r="P2681" t="s">
        <v>41</v>
      </c>
      <c r="Q2681" t="s">
        <v>42</v>
      </c>
      <c r="R2681" t="str">
        <f>"1990910"</f>
        <v>1990910</v>
      </c>
      <c r="S2681" t="s">
        <v>1281</v>
      </c>
      <c r="T2681" t="s">
        <v>1268</v>
      </c>
      <c r="U2681" t="s">
        <v>1269</v>
      </c>
      <c r="V2681" t="s">
        <v>1270</v>
      </c>
      <c r="W2681" t="s">
        <v>165</v>
      </c>
      <c r="X2681" t="s">
        <v>45</v>
      </c>
      <c r="Y2681" s="1">
        <v>24197</v>
      </c>
      <c r="Z2681">
        <v>2</v>
      </c>
      <c r="AA2681" t="s">
        <v>1269</v>
      </c>
      <c r="AB2681" s="40" t="s">
        <v>1798</v>
      </c>
    </row>
    <row r="2682" spans="1:28" x14ac:dyDescent="0.25">
      <c r="A2682">
        <v>99912681</v>
      </c>
      <c r="B2682" t="s">
        <v>32</v>
      </c>
      <c r="C2682" t="s">
        <v>61</v>
      </c>
      <c r="D2682" t="s">
        <v>62</v>
      </c>
      <c r="E2682" t="s">
        <v>68</v>
      </c>
      <c r="F2682" t="s">
        <v>69</v>
      </c>
      <c r="G2682" t="s">
        <v>48</v>
      </c>
      <c r="H2682">
        <v>1</v>
      </c>
      <c r="K2682" t="s">
        <v>162</v>
      </c>
      <c r="L2682" t="s">
        <v>158</v>
      </c>
      <c r="M2682" t="s">
        <v>131</v>
      </c>
      <c r="N2682">
        <v>20</v>
      </c>
      <c r="P2682" t="s">
        <v>41</v>
      </c>
      <c r="Q2682" t="s">
        <v>49</v>
      </c>
      <c r="R2682" t="str">
        <f>"0581325"</f>
        <v>0581325</v>
      </c>
      <c r="S2682" t="s">
        <v>169</v>
      </c>
      <c r="T2682" t="s">
        <v>162</v>
      </c>
      <c r="U2682" t="s">
        <v>158</v>
      </c>
      <c r="V2682" t="s">
        <v>131</v>
      </c>
      <c r="W2682" t="s">
        <v>51</v>
      </c>
      <c r="X2682" t="s">
        <v>45</v>
      </c>
      <c r="Y2682" s="1">
        <v>24181</v>
      </c>
      <c r="Z2682">
        <v>2</v>
      </c>
      <c r="AA2682" t="s">
        <v>158</v>
      </c>
      <c r="AB2682" s="40" t="s">
        <v>1798</v>
      </c>
    </row>
    <row r="2683" spans="1:28" x14ac:dyDescent="0.25">
      <c r="A2683">
        <v>99912682</v>
      </c>
      <c r="B2683" t="s">
        <v>32</v>
      </c>
      <c r="C2683" t="s">
        <v>52</v>
      </c>
      <c r="D2683" t="s">
        <v>53</v>
      </c>
      <c r="G2683" t="s">
        <v>35</v>
      </c>
      <c r="H2683">
        <v>1</v>
      </c>
      <c r="K2683" t="s">
        <v>1546</v>
      </c>
      <c r="L2683" t="s">
        <v>1547</v>
      </c>
      <c r="M2683" t="s">
        <v>1548</v>
      </c>
      <c r="N2683">
        <v>20</v>
      </c>
      <c r="P2683" t="s">
        <v>41</v>
      </c>
      <c r="Q2683" t="s">
        <v>42</v>
      </c>
      <c r="R2683" t="str">
        <f>"1080010"</f>
        <v>1080010</v>
      </c>
      <c r="S2683" t="s">
        <v>1549</v>
      </c>
      <c r="T2683" t="s">
        <v>1546</v>
      </c>
      <c r="U2683" t="s">
        <v>1547</v>
      </c>
      <c r="V2683" t="s">
        <v>1548</v>
      </c>
      <c r="W2683" t="s">
        <v>51</v>
      </c>
      <c r="X2683" t="s">
        <v>45</v>
      </c>
      <c r="Y2683" s="1">
        <v>24179</v>
      </c>
      <c r="Z2683">
        <v>2</v>
      </c>
      <c r="AA2683" t="s">
        <v>1547</v>
      </c>
      <c r="AB2683" s="40" t="s">
        <v>1798</v>
      </c>
    </row>
    <row r="2684" spans="1:28" x14ac:dyDescent="0.25">
      <c r="A2684">
        <v>99912683</v>
      </c>
      <c r="B2684" t="s">
        <v>56</v>
      </c>
      <c r="C2684" t="s">
        <v>68</v>
      </c>
      <c r="D2684" t="s">
        <v>69</v>
      </c>
      <c r="G2684" t="s">
        <v>48</v>
      </c>
      <c r="H2684">
        <v>1</v>
      </c>
      <c r="K2684" t="s">
        <v>223</v>
      </c>
      <c r="L2684" t="s">
        <v>224</v>
      </c>
      <c r="M2684" t="s">
        <v>131</v>
      </c>
      <c r="N2684">
        <v>20</v>
      </c>
      <c r="P2684" t="s">
        <v>41</v>
      </c>
      <c r="Q2684" t="s">
        <v>42</v>
      </c>
      <c r="R2684" t="str">
        <f>"0590902"</f>
        <v>0590902</v>
      </c>
      <c r="S2684" t="s">
        <v>241</v>
      </c>
      <c r="T2684" t="s">
        <v>223</v>
      </c>
      <c r="U2684" t="s">
        <v>224</v>
      </c>
      <c r="V2684" t="s">
        <v>131</v>
      </c>
      <c r="W2684" t="s">
        <v>51</v>
      </c>
      <c r="X2684" t="s">
        <v>45</v>
      </c>
      <c r="Y2684" s="1">
        <v>24174</v>
      </c>
      <c r="Z2684">
        <v>2</v>
      </c>
      <c r="AA2684" t="s">
        <v>224</v>
      </c>
      <c r="AB2684" s="40" t="s">
        <v>1798</v>
      </c>
    </row>
    <row r="2685" spans="1:28" x14ac:dyDescent="0.25">
      <c r="A2685">
        <v>99912684</v>
      </c>
      <c r="B2685" t="s">
        <v>56</v>
      </c>
      <c r="C2685" t="s">
        <v>52</v>
      </c>
      <c r="D2685" t="s">
        <v>53</v>
      </c>
      <c r="G2685" t="s">
        <v>35</v>
      </c>
      <c r="H2685">
        <v>1</v>
      </c>
      <c r="K2685" t="s">
        <v>300</v>
      </c>
      <c r="L2685" t="s">
        <v>301</v>
      </c>
      <c r="M2685" t="s">
        <v>131</v>
      </c>
      <c r="N2685">
        <v>20</v>
      </c>
      <c r="P2685" t="s">
        <v>41</v>
      </c>
      <c r="Q2685" t="s">
        <v>42</v>
      </c>
      <c r="R2685" t="str">
        <f>"0580023"</f>
        <v>0580023</v>
      </c>
      <c r="S2685" t="s">
        <v>313</v>
      </c>
      <c r="T2685" t="s">
        <v>300</v>
      </c>
      <c r="U2685" t="s">
        <v>301</v>
      </c>
      <c r="V2685" t="s">
        <v>131</v>
      </c>
      <c r="W2685" t="s">
        <v>165</v>
      </c>
      <c r="X2685" t="s">
        <v>45</v>
      </c>
      <c r="Y2685" s="1">
        <v>24170</v>
      </c>
      <c r="Z2685">
        <v>2</v>
      </c>
      <c r="AA2685" t="s">
        <v>301</v>
      </c>
      <c r="AB2685" s="40" t="s">
        <v>1798</v>
      </c>
    </row>
    <row r="2686" spans="1:28" x14ac:dyDescent="0.25">
      <c r="A2686">
        <v>99912685</v>
      </c>
      <c r="B2686" t="s">
        <v>32</v>
      </c>
      <c r="C2686" t="s">
        <v>52</v>
      </c>
      <c r="D2686" t="s">
        <v>53</v>
      </c>
      <c r="G2686" t="s">
        <v>48</v>
      </c>
      <c r="H2686">
        <v>2</v>
      </c>
      <c r="K2686" t="s">
        <v>129</v>
      </c>
      <c r="L2686" t="s">
        <v>130</v>
      </c>
      <c r="M2686" t="s">
        <v>131</v>
      </c>
      <c r="N2686">
        <v>20</v>
      </c>
      <c r="O2686" s="1">
        <v>40066</v>
      </c>
      <c r="P2686" t="s">
        <v>41</v>
      </c>
      <c r="Q2686" t="s">
        <v>42</v>
      </c>
      <c r="R2686" t="str">
        <f>"0561011"</f>
        <v>0561011</v>
      </c>
      <c r="S2686" t="s">
        <v>132</v>
      </c>
      <c r="T2686" t="s">
        <v>129</v>
      </c>
      <c r="U2686" t="s">
        <v>130</v>
      </c>
      <c r="V2686" t="s">
        <v>131</v>
      </c>
      <c r="W2686" t="s">
        <v>51</v>
      </c>
      <c r="X2686" t="s">
        <v>45</v>
      </c>
      <c r="Y2686" s="1">
        <v>24155</v>
      </c>
      <c r="Z2686">
        <v>2</v>
      </c>
      <c r="AA2686" t="s">
        <v>130</v>
      </c>
      <c r="AB2686" s="40" t="s">
        <v>1798</v>
      </c>
    </row>
    <row r="2687" spans="1:28" x14ac:dyDescent="0.25">
      <c r="A2687">
        <v>99912686</v>
      </c>
      <c r="B2687" t="s">
        <v>32</v>
      </c>
      <c r="C2687" t="s">
        <v>64</v>
      </c>
      <c r="D2687" t="s">
        <v>65</v>
      </c>
      <c r="G2687" t="s">
        <v>48</v>
      </c>
      <c r="H2687">
        <v>1</v>
      </c>
      <c r="K2687" t="s">
        <v>223</v>
      </c>
      <c r="L2687" t="s">
        <v>224</v>
      </c>
      <c r="M2687" t="s">
        <v>131</v>
      </c>
      <c r="N2687">
        <v>20</v>
      </c>
      <c r="P2687" t="s">
        <v>41</v>
      </c>
      <c r="Q2687" t="s">
        <v>49</v>
      </c>
      <c r="R2687" t="str">
        <f>"0581202"</f>
        <v>0581202</v>
      </c>
      <c r="S2687" t="s">
        <v>248</v>
      </c>
      <c r="T2687" t="s">
        <v>223</v>
      </c>
      <c r="U2687" t="s">
        <v>224</v>
      </c>
      <c r="V2687" t="s">
        <v>131</v>
      </c>
      <c r="W2687" t="s">
        <v>51</v>
      </c>
      <c r="X2687" t="s">
        <v>45</v>
      </c>
      <c r="Y2687" s="1">
        <v>24145</v>
      </c>
      <c r="Z2687">
        <v>2</v>
      </c>
      <c r="AA2687" t="s">
        <v>224</v>
      </c>
      <c r="AB2687" s="40" t="s">
        <v>1798</v>
      </c>
    </row>
    <row r="2688" spans="1:28" x14ac:dyDescent="0.25">
      <c r="A2688">
        <v>99912687</v>
      </c>
      <c r="B2688" t="s">
        <v>32</v>
      </c>
      <c r="C2688" t="s">
        <v>68</v>
      </c>
      <c r="D2688" t="s">
        <v>69</v>
      </c>
      <c r="G2688" t="s">
        <v>48</v>
      </c>
      <c r="H2688">
        <v>1</v>
      </c>
      <c r="K2688" t="s">
        <v>223</v>
      </c>
      <c r="L2688" t="s">
        <v>224</v>
      </c>
      <c r="M2688" t="s">
        <v>131</v>
      </c>
      <c r="N2688">
        <v>20</v>
      </c>
      <c r="P2688" t="s">
        <v>41</v>
      </c>
      <c r="Q2688" t="s">
        <v>49</v>
      </c>
      <c r="R2688" t="str">
        <f>"0581206"</f>
        <v>0581206</v>
      </c>
      <c r="S2688" t="s">
        <v>232</v>
      </c>
      <c r="T2688" t="s">
        <v>223</v>
      </c>
      <c r="U2688" t="s">
        <v>224</v>
      </c>
      <c r="V2688" t="s">
        <v>131</v>
      </c>
      <c r="W2688" t="s">
        <v>51</v>
      </c>
      <c r="X2688" t="s">
        <v>45</v>
      </c>
      <c r="Y2688" s="1">
        <v>24131</v>
      </c>
      <c r="Z2688">
        <v>2</v>
      </c>
      <c r="AA2688" t="s">
        <v>224</v>
      </c>
      <c r="AB2688" s="40" t="s">
        <v>1798</v>
      </c>
    </row>
    <row r="2689" spans="1:28" x14ac:dyDescent="0.25">
      <c r="A2689">
        <v>99912688</v>
      </c>
      <c r="B2689" t="s">
        <v>56</v>
      </c>
      <c r="C2689" t="s">
        <v>61</v>
      </c>
      <c r="D2689" t="s">
        <v>62</v>
      </c>
      <c r="G2689" t="s">
        <v>48</v>
      </c>
      <c r="H2689">
        <v>1</v>
      </c>
      <c r="K2689" t="s">
        <v>223</v>
      </c>
      <c r="L2689" t="s">
        <v>224</v>
      </c>
      <c r="M2689" t="s">
        <v>131</v>
      </c>
      <c r="N2689">
        <v>20</v>
      </c>
      <c r="P2689" t="s">
        <v>41</v>
      </c>
      <c r="Q2689" t="s">
        <v>49</v>
      </c>
      <c r="R2689" t="str">
        <f>"0581207"</f>
        <v>0581207</v>
      </c>
      <c r="S2689" t="s">
        <v>233</v>
      </c>
      <c r="T2689" t="s">
        <v>223</v>
      </c>
      <c r="U2689" t="s">
        <v>224</v>
      </c>
      <c r="V2689" t="s">
        <v>131</v>
      </c>
      <c r="W2689" t="s">
        <v>51</v>
      </c>
      <c r="X2689" t="s">
        <v>45</v>
      </c>
      <c r="Y2689" s="1">
        <v>24118</v>
      </c>
      <c r="Z2689">
        <v>2</v>
      </c>
      <c r="AA2689" t="s">
        <v>224</v>
      </c>
      <c r="AB2689" s="40" t="s">
        <v>1798</v>
      </c>
    </row>
    <row r="2690" spans="1:28" x14ac:dyDescent="0.25">
      <c r="A2690">
        <v>99912689</v>
      </c>
      <c r="B2690" t="s">
        <v>32</v>
      </c>
      <c r="C2690" t="s">
        <v>46</v>
      </c>
      <c r="D2690" t="s">
        <v>47</v>
      </c>
      <c r="G2690" t="s">
        <v>48</v>
      </c>
      <c r="H2690">
        <v>1</v>
      </c>
      <c r="K2690" t="s">
        <v>300</v>
      </c>
      <c r="L2690" t="s">
        <v>301</v>
      </c>
      <c r="M2690" t="s">
        <v>131</v>
      </c>
      <c r="N2690">
        <v>20</v>
      </c>
      <c r="P2690" t="s">
        <v>41</v>
      </c>
      <c r="Q2690" t="s">
        <v>42</v>
      </c>
      <c r="R2690" t="str">
        <f>"0580176"</f>
        <v>0580176</v>
      </c>
      <c r="S2690" t="s">
        <v>305</v>
      </c>
      <c r="T2690" t="s">
        <v>300</v>
      </c>
      <c r="U2690" t="s">
        <v>301</v>
      </c>
      <c r="V2690" t="s">
        <v>131</v>
      </c>
      <c r="W2690" t="s">
        <v>51</v>
      </c>
      <c r="X2690" t="s">
        <v>45</v>
      </c>
      <c r="Y2690" s="1">
        <v>24112</v>
      </c>
      <c r="Z2690">
        <v>2</v>
      </c>
      <c r="AA2690" t="s">
        <v>301</v>
      </c>
      <c r="AB2690" s="40" t="s">
        <v>1798</v>
      </c>
    </row>
    <row r="2691" spans="1:28" x14ac:dyDescent="0.25">
      <c r="A2691">
        <v>99912690</v>
      </c>
      <c r="B2691" t="s">
        <v>32</v>
      </c>
      <c r="C2691" t="s">
        <v>145</v>
      </c>
      <c r="D2691" t="s">
        <v>146</v>
      </c>
      <c r="G2691" t="s">
        <v>48</v>
      </c>
      <c r="H2691">
        <v>9</v>
      </c>
      <c r="K2691" t="s">
        <v>1268</v>
      </c>
      <c r="L2691" t="s">
        <v>1269</v>
      </c>
      <c r="M2691" t="s">
        <v>1270</v>
      </c>
      <c r="N2691">
        <v>20</v>
      </c>
      <c r="O2691" s="1">
        <v>43344</v>
      </c>
      <c r="P2691" t="s">
        <v>41</v>
      </c>
      <c r="Q2691" t="s">
        <v>42</v>
      </c>
      <c r="R2691" t="str">
        <f>"1980060"</f>
        <v>1980060</v>
      </c>
      <c r="S2691" t="s">
        <v>1277</v>
      </c>
      <c r="T2691" t="s">
        <v>1268</v>
      </c>
      <c r="U2691" t="s">
        <v>1269</v>
      </c>
      <c r="V2691" t="s">
        <v>1270</v>
      </c>
      <c r="W2691" t="s">
        <v>51</v>
      </c>
      <c r="X2691" t="s">
        <v>45</v>
      </c>
      <c r="Y2691" s="1">
        <v>24110</v>
      </c>
      <c r="Z2691">
        <v>2</v>
      </c>
      <c r="AA2691" t="s">
        <v>1269</v>
      </c>
      <c r="AB2691" s="40" t="s">
        <v>1798</v>
      </c>
    </row>
    <row r="2692" spans="1:28" x14ac:dyDescent="0.25">
      <c r="A2692">
        <v>99912691</v>
      </c>
      <c r="B2692" t="s">
        <v>32</v>
      </c>
      <c r="C2692" t="s">
        <v>90</v>
      </c>
      <c r="D2692" t="s">
        <v>91</v>
      </c>
      <c r="G2692" t="s">
        <v>48</v>
      </c>
      <c r="H2692">
        <v>1</v>
      </c>
      <c r="I2692">
        <v>176</v>
      </c>
      <c r="J2692" s="1">
        <v>36403</v>
      </c>
      <c r="K2692" t="s">
        <v>431</v>
      </c>
      <c r="L2692" t="s">
        <v>196</v>
      </c>
      <c r="M2692" t="s">
        <v>131</v>
      </c>
      <c r="N2692">
        <v>20</v>
      </c>
      <c r="O2692" s="1">
        <v>36403</v>
      </c>
      <c r="P2692" t="s">
        <v>41</v>
      </c>
      <c r="Q2692" t="s">
        <v>95</v>
      </c>
      <c r="R2692" t="str">
        <f>"7521049"</f>
        <v>7521049</v>
      </c>
      <c r="S2692" t="s">
        <v>517</v>
      </c>
      <c r="T2692" t="s">
        <v>431</v>
      </c>
      <c r="U2692" t="s">
        <v>196</v>
      </c>
      <c r="V2692" t="s">
        <v>131</v>
      </c>
      <c r="W2692" t="s">
        <v>51</v>
      </c>
      <c r="X2692" t="s">
        <v>45</v>
      </c>
      <c r="Y2692" s="1">
        <v>24108</v>
      </c>
      <c r="Z2692">
        <v>1</v>
      </c>
      <c r="AA2692" t="s">
        <v>196</v>
      </c>
      <c r="AB2692" s="40" t="s">
        <v>1798</v>
      </c>
    </row>
    <row r="2693" spans="1:28" x14ac:dyDescent="0.25">
      <c r="A2693">
        <v>99912692</v>
      </c>
      <c r="B2693" t="s">
        <v>56</v>
      </c>
      <c r="C2693" t="s">
        <v>46</v>
      </c>
      <c r="D2693" t="s">
        <v>47</v>
      </c>
      <c r="G2693" t="s">
        <v>35</v>
      </c>
      <c r="H2693">
        <v>1</v>
      </c>
      <c r="I2693">
        <v>6983</v>
      </c>
      <c r="J2693" s="1">
        <v>43344</v>
      </c>
      <c r="K2693" t="s">
        <v>1306</v>
      </c>
      <c r="L2693" t="s">
        <v>1307</v>
      </c>
      <c r="M2693" t="s">
        <v>1270</v>
      </c>
      <c r="N2693">
        <v>20</v>
      </c>
      <c r="O2693" s="1">
        <v>43344</v>
      </c>
      <c r="P2693" t="s">
        <v>41</v>
      </c>
      <c r="Q2693" t="s">
        <v>42</v>
      </c>
      <c r="R2693" t="str">
        <f>"1990915"</f>
        <v>1990915</v>
      </c>
      <c r="S2693" t="s">
        <v>1308</v>
      </c>
      <c r="T2693" t="s">
        <v>1306</v>
      </c>
      <c r="U2693" t="s">
        <v>1307</v>
      </c>
      <c r="V2693" t="s">
        <v>1270</v>
      </c>
      <c r="W2693" t="s">
        <v>51</v>
      </c>
      <c r="X2693" t="s">
        <v>45</v>
      </c>
      <c r="Y2693" s="1">
        <v>24108</v>
      </c>
      <c r="Z2693">
        <v>2</v>
      </c>
      <c r="AA2693" t="s">
        <v>1307</v>
      </c>
      <c r="AB2693" s="40" t="s">
        <v>1798</v>
      </c>
    </row>
    <row r="2694" spans="1:28" x14ac:dyDescent="0.25">
      <c r="A2694">
        <v>99912693</v>
      </c>
      <c r="B2694" t="s">
        <v>32</v>
      </c>
      <c r="C2694" t="s">
        <v>52</v>
      </c>
      <c r="D2694" t="s">
        <v>53</v>
      </c>
      <c r="G2694" t="s">
        <v>48</v>
      </c>
      <c r="H2694">
        <v>1</v>
      </c>
      <c r="K2694" t="s">
        <v>223</v>
      </c>
      <c r="L2694" t="s">
        <v>224</v>
      </c>
      <c r="M2694" t="s">
        <v>131</v>
      </c>
      <c r="N2694">
        <v>20</v>
      </c>
      <c r="P2694" t="s">
        <v>41</v>
      </c>
      <c r="Q2694" t="s">
        <v>49</v>
      </c>
      <c r="R2694" t="str">
        <f>"0581200"</f>
        <v>0581200</v>
      </c>
      <c r="S2694" t="s">
        <v>238</v>
      </c>
      <c r="T2694" t="s">
        <v>223</v>
      </c>
      <c r="U2694" t="s">
        <v>224</v>
      </c>
      <c r="V2694" t="s">
        <v>131</v>
      </c>
      <c r="W2694" t="s">
        <v>51</v>
      </c>
      <c r="X2694" t="s">
        <v>45</v>
      </c>
      <c r="Y2694" s="1">
        <v>24077</v>
      </c>
      <c r="Z2694">
        <v>2</v>
      </c>
      <c r="AA2694" t="s">
        <v>224</v>
      </c>
      <c r="AB2694" s="40" t="s">
        <v>1798</v>
      </c>
    </row>
    <row r="2695" spans="1:28" x14ac:dyDescent="0.25">
      <c r="A2695">
        <v>99912694</v>
      </c>
      <c r="B2695" t="s">
        <v>56</v>
      </c>
      <c r="C2695" t="s">
        <v>68</v>
      </c>
      <c r="D2695" t="s">
        <v>69</v>
      </c>
      <c r="G2695" t="s">
        <v>35</v>
      </c>
      <c r="H2695">
        <v>1</v>
      </c>
      <c r="K2695" t="s">
        <v>223</v>
      </c>
      <c r="L2695" t="s">
        <v>224</v>
      </c>
      <c r="M2695" t="s">
        <v>131</v>
      </c>
      <c r="N2695">
        <v>20</v>
      </c>
      <c r="P2695" t="s">
        <v>41</v>
      </c>
      <c r="Q2695" t="s">
        <v>42</v>
      </c>
      <c r="R2695" t="str">
        <f>"0590903"</f>
        <v>0590903</v>
      </c>
      <c r="S2695" t="s">
        <v>226</v>
      </c>
      <c r="T2695" t="s">
        <v>223</v>
      </c>
      <c r="U2695" t="s">
        <v>224</v>
      </c>
      <c r="V2695" t="s">
        <v>131</v>
      </c>
      <c r="W2695" t="s">
        <v>51</v>
      </c>
      <c r="X2695" t="s">
        <v>45</v>
      </c>
      <c r="Y2695" s="1">
        <v>24068</v>
      </c>
      <c r="Z2695">
        <v>2</v>
      </c>
      <c r="AA2695" t="s">
        <v>224</v>
      </c>
      <c r="AB2695" s="40" t="s">
        <v>1798</v>
      </c>
    </row>
    <row r="2696" spans="1:28" x14ac:dyDescent="0.25">
      <c r="A2696">
        <v>99912695</v>
      </c>
      <c r="B2696" t="s">
        <v>32</v>
      </c>
      <c r="C2696" t="s">
        <v>79</v>
      </c>
      <c r="D2696" t="s">
        <v>80</v>
      </c>
      <c r="G2696" t="s">
        <v>48</v>
      </c>
      <c r="H2696">
        <v>1</v>
      </c>
      <c r="K2696" t="s">
        <v>223</v>
      </c>
      <c r="L2696" t="s">
        <v>224</v>
      </c>
      <c r="M2696" t="s">
        <v>131</v>
      </c>
      <c r="N2696">
        <v>20</v>
      </c>
      <c r="P2696" t="s">
        <v>41</v>
      </c>
      <c r="Q2696" t="s">
        <v>49</v>
      </c>
      <c r="R2696" t="str">
        <f>"0581204"</f>
        <v>0581204</v>
      </c>
      <c r="S2696" t="s">
        <v>249</v>
      </c>
      <c r="T2696" t="s">
        <v>223</v>
      </c>
      <c r="U2696" t="s">
        <v>224</v>
      </c>
      <c r="V2696" t="s">
        <v>131</v>
      </c>
      <c r="W2696" t="s">
        <v>165</v>
      </c>
      <c r="X2696" t="s">
        <v>45</v>
      </c>
      <c r="Y2696" s="1">
        <v>24032</v>
      </c>
      <c r="Z2696">
        <v>2</v>
      </c>
      <c r="AA2696" t="s">
        <v>224</v>
      </c>
      <c r="AB2696" s="40" t="s">
        <v>1798</v>
      </c>
    </row>
    <row r="2697" spans="1:28" x14ac:dyDescent="0.25">
      <c r="A2697">
        <v>99912696</v>
      </c>
      <c r="B2697" t="s">
        <v>32</v>
      </c>
      <c r="C2697" t="s">
        <v>58</v>
      </c>
      <c r="D2697" t="s">
        <v>59</v>
      </c>
      <c r="G2697" t="s">
        <v>35</v>
      </c>
      <c r="H2697">
        <v>1</v>
      </c>
      <c r="K2697" t="s">
        <v>223</v>
      </c>
      <c r="L2697" t="s">
        <v>224</v>
      </c>
      <c r="M2697" t="s">
        <v>131</v>
      </c>
      <c r="N2697">
        <v>20</v>
      </c>
      <c r="P2697" t="s">
        <v>41</v>
      </c>
      <c r="Q2697" t="s">
        <v>49</v>
      </c>
      <c r="R2697" t="str">
        <f>"0581207"</f>
        <v>0581207</v>
      </c>
      <c r="S2697" t="s">
        <v>233</v>
      </c>
      <c r="T2697" t="s">
        <v>223</v>
      </c>
      <c r="U2697" t="s">
        <v>224</v>
      </c>
      <c r="V2697" t="s">
        <v>131</v>
      </c>
      <c r="W2697" t="s">
        <v>165</v>
      </c>
      <c r="X2697" t="s">
        <v>45</v>
      </c>
      <c r="Y2697" s="1">
        <v>24026</v>
      </c>
      <c r="Z2697">
        <v>2</v>
      </c>
      <c r="AA2697" t="s">
        <v>224</v>
      </c>
      <c r="AB2697" s="40" t="s">
        <v>1798</v>
      </c>
    </row>
    <row r="2698" spans="1:28" x14ac:dyDescent="0.25">
      <c r="A2698">
        <v>99912697</v>
      </c>
      <c r="B2698" t="s">
        <v>32</v>
      </c>
      <c r="C2698" t="s">
        <v>64</v>
      </c>
      <c r="D2698" t="s">
        <v>65</v>
      </c>
      <c r="G2698" t="s">
        <v>48</v>
      </c>
      <c r="H2698">
        <v>8</v>
      </c>
      <c r="K2698" t="s">
        <v>1268</v>
      </c>
      <c r="L2698" t="s">
        <v>1269</v>
      </c>
      <c r="M2698" t="s">
        <v>1270</v>
      </c>
      <c r="N2698">
        <v>20</v>
      </c>
      <c r="O2698" s="1">
        <v>43344</v>
      </c>
      <c r="P2698" t="s">
        <v>41</v>
      </c>
      <c r="Q2698" t="s">
        <v>49</v>
      </c>
      <c r="R2698" t="str">
        <f>"1960001"</f>
        <v>1960001</v>
      </c>
      <c r="S2698" t="s">
        <v>1272</v>
      </c>
      <c r="T2698" t="s">
        <v>1268</v>
      </c>
      <c r="U2698" t="s">
        <v>1269</v>
      </c>
      <c r="V2698" t="s">
        <v>1270</v>
      </c>
      <c r="W2698" t="s">
        <v>51</v>
      </c>
      <c r="X2698" t="s">
        <v>45</v>
      </c>
      <c r="Y2698" s="1">
        <v>23989</v>
      </c>
      <c r="Z2698">
        <v>2</v>
      </c>
      <c r="AA2698" t="s">
        <v>1269</v>
      </c>
      <c r="AB2698" s="40" t="s">
        <v>1798</v>
      </c>
    </row>
    <row r="2699" spans="1:28" x14ac:dyDescent="0.25">
      <c r="A2699">
        <v>99912698</v>
      </c>
      <c r="B2699" t="s">
        <v>56</v>
      </c>
      <c r="C2699" t="s">
        <v>52</v>
      </c>
      <c r="D2699" t="s">
        <v>53</v>
      </c>
      <c r="G2699" t="s">
        <v>35</v>
      </c>
      <c r="H2699">
        <v>1</v>
      </c>
      <c r="K2699" t="s">
        <v>1268</v>
      </c>
      <c r="L2699" t="s">
        <v>1269</v>
      </c>
      <c r="M2699" t="s">
        <v>1270</v>
      </c>
      <c r="N2699">
        <v>20</v>
      </c>
      <c r="P2699" t="s">
        <v>41</v>
      </c>
      <c r="Q2699" t="s">
        <v>42</v>
      </c>
      <c r="R2699" t="str">
        <f>"1990914"</f>
        <v>1990914</v>
      </c>
      <c r="S2699" t="s">
        <v>1275</v>
      </c>
      <c r="T2699" t="s">
        <v>1268</v>
      </c>
      <c r="U2699" t="s">
        <v>1269</v>
      </c>
      <c r="V2699" t="s">
        <v>1270</v>
      </c>
      <c r="W2699" t="s">
        <v>51</v>
      </c>
      <c r="X2699" t="s">
        <v>45</v>
      </c>
      <c r="Y2699" s="1">
        <v>23981</v>
      </c>
      <c r="Z2699">
        <v>2</v>
      </c>
      <c r="AA2699" t="s">
        <v>1269</v>
      </c>
      <c r="AB2699" s="40" t="s">
        <v>1798</v>
      </c>
    </row>
    <row r="2700" spans="1:28" x14ac:dyDescent="0.25">
      <c r="A2700">
        <v>99912699</v>
      </c>
      <c r="B2700" t="s">
        <v>56</v>
      </c>
      <c r="C2700" t="s">
        <v>52</v>
      </c>
      <c r="D2700" t="s">
        <v>53</v>
      </c>
      <c r="G2700" t="s">
        <v>48</v>
      </c>
      <c r="H2700">
        <v>1</v>
      </c>
      <c r="K2700" t="s">
        <v>223</v>
      </c>
      <c r="L2700" t="s">
        <v>224</v>
      </c>
      <c r="M2700" t="s">
        <v>131</v>
      </c>
      <c r="N2700">
        <v>20</v>
      </c>
      <c r="P2700" t="s">
        <v>41</v>
      </c>
      <c r="Q2700" t="s">
        <v>42</v>
      </c>
      <c r="R2700" t="str">
        <f>"0590910"</f>
        <v>0590910</v>
      </c>
      <c r="S2700" t="s">
        <v>227</v>
      </c>
      <c r="T2700" t="s">
        <v>223</v>
      </c>
      <c r="U2700" t="s">
        <v>224</v>
      </c>
      <c r="V2700" t="s">
        <v>131</v>
      </c>
      <c r="W2700" t="s">
        <v>51</v>
      </c>
      <c r="X2700" t="s">
        <v>45</v>
      </c>
      <c r="Y2700" s="1">
        <v>23976</v>
      </c>
      <c r="Z2700">
        <v>2</v>
      </c>
      <c r="AA2700" t="s">
        <v>224</v>
      </c>
      <c r="AB2700" s="40" t="s">
        <v>1798</v>
      </c>
    </row>
    <row r="2701" spans="1:28" x14ac:dyDescent="0.25">
      <c r="A2701">
        <v>99912700</v>
      </c>
      <c r="B2701" t="s">
        <v>32</v>
      </c>
      <c r="C2701" t="s">
        <v>46</v>
      </c>
      <c r="D2701" t="s">
        <v>47</v>
      </c>
      <c r="G2701" t="s">
        <v>48</v>
      </c>
      <c r="H2701">
        <v>1</v>
      </c>
      <c r="K2701" t="s">
        <v>345</v>
      </c>
      <c r="L2701" t="s">
        <v>346</v>
      </c>
      <c r="M2701" t="s">
        <v>131</v>
      </c>
      <c r="N2701">
        <v>20</v>
      </c>
      <c r="P2701" t="s">
        <v>41</v>
      </c>
      <c r="Q2701" t="s">
        <v>49</v>
      </c>
      <c r="R2701" t="str">
        <f>"0561021"</f>
        <v>0561021</v>
      </c>
      <c r="S2701" t="s">
        <v>352</v>
      </c>
      <c r="T2701" t="s">
        <v>345</v>
      </c>
      <c r="U2701" t="s">
        <v>346</v>
      </c>
      <c r="V2701" t="s">
        <v>131</v>
      </c>
      <c r="W2701" t="s">
        <v>51</v>
      </c>
      <c r="X2701" t="s">
        <v>45</v>
      </c>
      <c r="Y2701" s="1">
        <v>23975</v>
      </c>
      <c r="Z2701">
        <v>2</v>
      </c>
      <c r="AA2701" t="s">
        <v>346</v>
      </c>
      <c r="AB2701" s="40" t="s">
        <v>1798</v>
      </c>
    </row>
    <row r="2702" spans="1:28" x14ac:dyDescent="0.25">
      <c r="A2702">
        <v>99912701</v>
      </c>
      <c r="B2702" t="s">
        <v>32</v>
      </c>
      <c r="C2702" t="s">
        <v>64</v>
      </c>
      <c r="D2702" t="s">
        <v>65</v>
      </c>
      <c r="G2702" t="s">
        <v>35</v>
      </c>
      <c r="H2702">
        <v>1</v>
      </c>
      <c r="I2702" t="s">
        <v>182</v>
      </c>
      <c r="J2702" s="1">
        <v>43344</v>
      </c>
      <c r="K2702" t="s">
        <v>162</v>
      </c>
      <c r="L2702" t="s">
        <v>158</v>
      </c>
      <c r="M2702" t="s">
        <v>131</v>
      </c>
      <c r="N2702">
        <v>20</v>
      </c>
      <c r="O2702" s="1">
        <v>43344</v>
      </c>
      <c r="P2702" t="s">
        <v>41</v>
      </c>
      <c r="Q2702" t="s">
        <v>42</v>
      </c>
      <c r="R2702" t="str">
        <f>"0580325"</f>
        <v>0580325</v>
      </c>
      <c r="S2702" t="s">
        <v>170</v>
      </c>
      <c r="T2702" t="s">
        <v>162</v>
      </c>
      <c r="U2702" t="s">
        <v>158</v>
      </c>
      <c r="V2702" t="s">
        <v>131</v>
      </c>
      <c r="W2702" t="s">
        <v>165</v>
      </c>
      <c r="X2702" t="s">
        <v>45</v>
      </c>
      <c r="Y2702" s="1">
        <v>23955</v>
      </c>
      <c r="Z2702">
        <v>2</v>
      </c>
      <c r="AA2702" t="s">
        <v>158</v>
      </c>
      <c r="AB2702" s="40" t="s">
        <v>1798</v>
      </c>
    </row>
    <row r="2703" spans="1:28" x14ac:dyDescent="0.25">
      <c r="A2703">
        <v>99912702</v>
      </c>
      <c r="B2703" t="s">
        <v>56</v>
      </c>
      <c r="C2703" t="s">
        <v>52</v>
      </c>
      <c r="D2703" t="s">
        <v>53</v>
      </c>
      <c r="G2703" t="s">
        <v>48</v>
      </c>
      <c r="H2703">
        <v>1</v>
      </c>
      <c r="K2703" t="s">
        <v>345</v>
      </c>
      <c r="L2703" t="s">
        <v>346</v>
      </c>
      <c r="M2703" t="s">
        <v>131</v>
      </c>
      <c r="N2703">
        <v>20</v>
      </c>
      <c r="P2703" t="s">
        <v>41</v>
      </c>
      <c r="Q2703" t="s">
        <v>42</v>
      </c>
      <c r="R2703" t="str">
        <f>"0590906"</f>
        <v>0590906</v>
      </c>
      <c r="S2703" t="s">
        <v>361</v>
      </c>
      <c r="T2703" t="s">
        <v>345</v>
      </c>
      <c r="U2703" t="s">
        <v>346</v>
      </c>
      <c r="V2703" t="s">
        <v>131</v>
      </c>
      <c r="W2703" t="s">
        <v>51</v>
      </c>
      <c r="X2703" t="s">
        <v>45</v>
      </c>
      <c r="Y2703" s="1">
        <v>23920</v>
      </c>
      <c r="Z2703">
        <v>2</v>
      </c>
      <c r="AA2703" t="s">
        <v>346</v>
      </c>
      <c r="AB2703" s="40" t="s">
        <v>1798</v>
      </c>
    </row>
    <row r="2704" spans="1:28" x14ac:dyDescent="0.25">
      <c r="A2704">
        <v>99912703</v>
      </c>
      <c r="B2704" t="s">
        <v>56</v>
      </c>
      <c r="C2704" t="s">
        <v>145</v>
      </c>
      <c r="D2704" t="s">
        <v>146</v>
      </c>
      <c r="G2704" t="s">
        <v>48</v>
      </c>
      <c r="H2704">
        <v>1</v>
      </c>
      <c r="K2704" t="s">
        <v>1128</v>
      </c>
      <c r="L2704" t="s">
        <v>1129</v>
      </c>
      <c r="M2704" t="s">
        <v>1130</v>
      </c>
      <c r="N2704">
        <v>20</v>
      </c>
      <c r="P2704" t="s">
        <v>41</v>
      </c>
      <c r="Q2704" t="s">
        <v>42</v>
      </c>
      <c r="R2704" t="str">
        <f>"3180010"</f>
        <v>3180010</v>
      </c>
      <c r="S2704" t="s">
        <v>1132</v>
      </c>
      <c r="T2704" t="s">
        <v>1128</v>
      </c>
      <c r="U2704" t="s">
        <v>1129</v>
      </c>
      <c r="V2704" t="s">
        <v>1130</v>
      </c>
      <c r="W2704" t="s">
        <v>51</v>
      </c>
      <c r="X2704" t="s">
        <v>45</v>
      </c>
      <c r="Y2704" s="1">
        <v>23916</v>
      </c>
      <c r="Z2704">
        <v>2</v>
      </c>
      <c r="AA2704" t="s">
        <v>1129</v>
      </c>
      <c r="AB2704" s="40" t="s">
        <v>1798</v>
      </c>
    </row>
    <row r="2705" spans="1:28" x14ac:dyDescent="0.25">
      <c r="A2705">
        <v>99912704</v>
      </c>
      <c r="B2705" t="s">
        <v>32</v>
      </c>
      <c r="C2705" t="s">
        <v>145</v>
      </c>
      <c r="D2705" t="s">
        <v>146</v>
      </c>
      <c r="G2705" t="s">
        <v>48</v>
      </c>
      <c r="H2705">
        <v>1</v>
      </c>
      <c r="K2705" t="s">
        <v>162</v>
      </c>
      <c r="L2705" t="s">
        <v>158</v>
      </c>
      <c r="M2705" t="s">
        <v>131</v>
      </c>
      <c r="N2705">
        <v>20</v>
      </c>
      <c r="P2705" t="s">
        <v>41</v>
      </c>
      <c r="Q2705" t="s">
        <v>42</v>
      </c>
      <c r="R2705" t="str">
        <f>"0580320"</f>
        <v>0580320</v>
      </c>
      <c r="S2705" t="s">
        <v>164</v>
      </c>
      <c r="T2705" t="s">
        <v>162</v>
      </c>
      <c r="U2705" t="s">
        <v>158</v>
      </c>
      <c r="V2705" t="s">
        <v>131</v>
      </c>
      <c r="W2705" t="s">
        <v>165</v>
      </c>
      <c r="X2705" t="s">
        <v>45</v>
      </c>
      <c r="Y2705" s="1">
        <v>23909</v>
      </c>
      <c r="Z2705">
        <v>2</v>
      </c>
      <c r="AA2705" t="s">
        <v>158</v>
      </c>
      <c r="AB2705" s="40" t="s">
        <v>1798</v>
      </c>
    </row>
    <row r="2706" spans="1:28" x14ac:dyDescent="0.25">
      <c r="A2706">
        <v>99912705</v>
      </c>
      <c r="B2706" t="s">
        <v>32</v>
      </c>
      <c r="C2706" t="s">
        <v>52</v>
      </c>
      <c r="D2706" t="s">
        <v>53</v>
      </c>
      <c r="G2706" t="s">
        <v>35</v>
      </c>
      <c r="H2706">
        <v>1</v>
      </c>
      <c r="K2706" t="s">
        <v>223</v>
      </c>
      <c r="L2706" t="s">
        <v>224</v>
      </c>
      <c r="M2706" t="s">
        <v>131</v>
      </c>
      <c r="N2706">
        <v>20</v>
      </c>
      <c r="P2706" t="s">
        <v>41</v>
      </c>
      <c r="Q2706" t="s">
        <v>49</v>
      </c>
      <c r="R2706" t="str">
        <f>"0591901"</f>
        <v>0591901</v>
      </c>
      <c r="S2706" t="s">
        <v>230</v>
      </c>
      <c r="T2706" t="s">
        <v>223</v>
      </c>
      <c r="U2706" t="s">
        <v>224</v>
      </c>
      <c r="V2706" t="s">
        <v>131</v>
      </c>
      <c r="W2706" t="s">
        <v>51</v>
      </c>
      <c r="X2706" t="s">
        <v>45</v>
      </c>
      <c r="Y2706" s="1">
        <v>23892</v>
      </c>
      <c r="Z2706">
        <v>2</v>
      </c>
      <c r="AA2706" t="s">
        <v>224</v>
      </c>
      <c r="AB2706" s="40" t="s">
        <v>1798</v>
      </c>
    </row>
    <row r="2707" spans="1:28" x14ac:dyDescent="0.25">
      <c r="A2707">
        <v>99912706</v>
      </c>
      <c r="B2707" t="s">
        <v>56</v>
      </c>
      <c r="C2707" t="s">
        <v>139</v>
      </c>
      <c r="D2707" t="s">
        <v>140</v>
      </c>
      <c r="G2707" t="s">
        <v>48</v>
      </c>
      <c r="H2707">
        <v>1</v>
      </c>
      <c r="K2707" t="s">
        <v>345</v>
      </c>
      <c r="L2707" t="s">
        <v>346</v>
      </c>
      <c r="M2707" t="s">
        <v>131</v>
      </c>
      <c r="N2707">
        <v>20</v>
      </c>
      <c r="P2707" t="s">
        <v>41</v>
      </c>
      <c r="Q2707" t="s">
        <v>42</v>
      </c>
      <c r="R2707" t="str">
        <f>"0590906"</f>
        <v>0590906</v>
      </c>
      <c r="S2707" t="s">
        <v>361</v>
      </c>
      <c r="T2707" t="s">
        <v>345</v>
      </c>
      <c r="U2707" t="s">
        <v>346</v>
      </c>
      <c r="V2707" t="s">
        <v>131</v>
      </c>
      <c r="W2707" t="s">
        <v>51</v>
      </c>
      <c r="X2707" t="s">
        <v>45</v>
      </c>
      <c r="Y2707" s="1">
        <v>23891</v>
      </c>
      <c r="Z2707">
        <v>2</v>
      </c>
      <c r="AA2707" t="s">
        <v>346</v>
      </c>
      <c r="AB2707" s="40" t="s">
        <v>1798</v>
      </c>
    </row>
    <row r="2708" spans="1:28" x14ac:dyDescent="0.25">
      <c r="A2708">
        <v>99912707</v>
      </c>
      <c r="B2708" t="s">
        <v>56</v>
      </c>
      <c r="C2708" t="s">
        <v>68</v>
      </c>
      <c r="D2708" t="s">
        <v>69</v>
      </c>
      <c r="G2708" t="s">
        <v>48</v>
      </c>
      <c r="H2708">
        <v>1</v>
      </c>
      <c r="K2708" t="s">
        <v>223</v>
      </c>
      <c r="L2708" t="s">
        <v>224</v>
      </c>
      <c r="M2708" t="s">
        <v>131</v>
      </c>
      <c r="N2708">
        <v>20</v>
      </c>
      <c r="P2708" t="s">
        <v>41</v>
      </c>
      <c r="Q2708" t="s">
        <v>42</v>
      </c>
      <c r="R2708" t="str">
        <f>"0580395"</f>
        <v>0580395</v>
      </c>
      <c r="S2708" t="s">
        <v>265</v>
      </c>
      <c r="T2708" t="s">
        <v>223</v>
      </c>
      <c r="U2708" t="s">
        <v>224</v>
      </c>
      <c r="V2708" t="s">
        <v>131</v>
      </c>
      <c r="W2708" t="s">
        <v>51</v>
      </c>
      <c r="X2708" t="s">
        <v>45</v>
      </c>
      <c r="Y2708" s="1">
        <v>23882</v>
      </c>
      <c r="Z2708">
        <v>2</v>
      </c>
      <c r="AA2708" t="s">
        <v>224</v>
      </c>
      <c r="AB2708" s="40" t="s">
        <v>1798</v>
      </c>
    </row>
    <row r="2709" spans="1:28" x14ac:dyDescent="0.25">
      <c r="A2709">
        <v>99912708</v>
      </c>
      <c r="B2709" t="s">
        <v>56</v>
      </c>
      <c r="C2709" t="s">
        <v>68</v>
      </c>
      <c r="D2709" t="s">
        <v>69</v>
      </c>
      <c r="G2709" t="s">
        <v>35</v>
      </c>
      <c r="H2709">
        <v>1</v>
      </c>
      <c r="I2709" t="s">
        <v>974</v>
      </c>
      <c r="J2709" s="1">
        <v>43344</v>
      </c>
      <c r="K2709" t="s">
        <v>947</v>
      </c>
      <c r="L2709" t="s">
        <v>948</v>
      </c>
      <c r="M2709" t="s">
        <v>938</v>
      </c>
      <c r="N2709">
        <v>20</v>
      </c>
      <c r="O2709" s="1">
        <v>43344</v>
      </c>
      <c r="P2709" t="s">
        <v>41</v>
      </c>
      <c r="Q2709" t="s">
        <v>42</v>
      </c>
      <c r="R2709" t="str">
        <f>"0680030"</f>
        <v>0680030</v>
      </c>
      <c r="S2709" t="s">
        <v>951</v>
      </c>
      <c r="T2709" t="s">
        <v>947</v>
      </c>
      <c r="U2709" t="s">
        <v>948</v>
      </c>
      <c r="V2709" t="s">
        <v>938</v>
      </c>
      <c r="W2709" t="s">
        <v>51</v>
      </c>
      <c r="X2709" t="s">
        <v>45</v>
      </c>
      <c r="Y2709" s="1">
        <v>23863</v>
      </c>
      <c r="Z2709">
        <v>2</v>
      </c>
      <c r="AA2709" t="s">
        <v>948</v>
      </c>
      <c r="AB2709" s="40" t="s">
        <v>1798</v>
      </c>
    </row>
    <row r="2710" spans="1:28" x14ac:dyDescent="0.25">
      <c r="A2710">
        <v>99912709</v>
      </c>
      <c r="B2710" t="s">
        <v>32</v>
      </c>
      <c r="C2710" t="s">
        <v>79</v>
      </c>
      <c r="D2710" t="s">
        <v>80</v>
      </c>
      <c r="G2710" t="s">
        <v>48</v>
      </c>
      <c r="H2710">
        <v>1</v>
      </c>
      <c r="K2710" t="s">
        <v>223</v>
      </c>
      <c r="L2710" t="s">
        <v>224</v>
      </c>
      <c r="M2710" t="s">
        <v>131</v>
      </c>
      <c r="N2710">
        <v>20</v>
      </c>
      <c r="P2710" t="s">
        <v>41</v>
      </c>
      <c r="Q2710" t="s">
        <v>42</v>
      </c>
      <c r="R2710" t="str">
        <f>"0590910"</f>
        <v>0590910</v>
      </c>
      <c r="S2710" t="s">
        <v>227</v>
      </c>
      <c r="T2710" t="s">
        <v>223</v>
      </c>
      <c r="U2710" t="s">
        <v>224</v>
      </c>
      <c r="V2710" t="s">
        <v>131</v>
      </c>
      <c r="W2710" t="s">
        <v>51</v>
      </c>
      <c r="X2710" t="s">
        <v>45</v>
      </c>
      <c r="Y2710" s="1">
        <v>23855</v>
      </c>
      <c r="Z2710">
        <v>2</v>
      </c>
      <c r="AA2710" t="s">
        <v>224</v>
      </c>
      <c r="AB2710" s="40" t="s">
        <v>1798</v>
      </c>
    </row>
    <row r="2711" spans="1:28" x14ac:dyDescent="0.25">
      <c r="A2711">
        <v>99912710</v>
      </c>
      <c r="B2711" t="s">
        <v>32</v>
      </c>
      <c r="C2711" t="s">
        <v>33</v>
      </c>
      <c r="D2711" t="s">
        <v>34</v>
      </c>
      <c r="G2711" t="s">
        <v>48</v>
      </c>
      <c r="H2711">
        <v>9</v>
      </c>
      <c r="K2711" t="s">
        <v>1268</v>
      </c>
      <c r="L2711" t="s">
        <v>1269</v>
      </c>
      <c r="M2711" t="s">
        <v>1270</v>
      </c>
      <c r="N2711">
        <v>20</v>
      </c>
      <c r="O2711" s="1">
        <v>43344</v>
      </c>
      <c r="P2711" t="s">
        <v>41</v>
      </c>
      <c r="Q2711" t="s">
        <v>49</v>
      </c>
      <c r="R2711" t="str">
        <f>"1981055"</f>
        <v>1981055</v>
      </c>
      <c r="S2711" t="s">
        <v>1280</v>
      </c>
      <c r="T2711" t="s">
        <v>1268</v>
      </c>
      <c r="U2711" t="s">
        <v>1269</v>
      </c>
      <c r="V2711" t="s">
        <v>1270</v>
      </c>
      <c r="W2711" t="s">
        <v>51</v>
      </c>
      <c r="X2711" t="s">
        <v>45</v>
      </c>
      <c r="Y2711" s="1">
        <v>23763</v>
      </c>
      <c r="Z2711">
        <v>2</v>
      </c>
      <c r="AA2711" t="s">
        <v>1269</v>
      </c>
      <c r="AB2711" s="40" t="s">
        <v>1798</v>
      </c>
    </row>
    <row r="2712" spans="1:28" x14ac:dyDescent="0.25">
      <c r="A2712">
        <v>99912711</v>
      </c>
      <c r="B2712" t="s">
        <v>32</v>
      </c>
      <c r="C2712" t="s">
        <v>145</v>
      </c>
      <c r="D2712" t="s">
        <v>146</v>
      </c>
      <c r="G2712" t="s">
        <v>48</v>
      </c>
      <c r="H2712">
        <v>1</v>
      </c>
      <c r="K2712" t="s">
        <v>380</v>
      </c>
      <c r="L2712" t="s">
        <v>381</v>
      </c>
      <c r="M2712" t="s">
        <v>131</v>
      </c>
      <c r="N2712">
        <v>20</v>
      </c>
      <c r="P2712" t="s">
        <v>41</v>
      </c>
      <c r="Q2712" t="s">
        <v>42</v>
      </c>
      <c r="R2712" t="str">
        <f>"0590909"</f>
        <v>0590909</v>
      </c>
      <c r="S2712" t="s">
        <v>388</v>
      </c>
      <c r="T2712" t="s">
        <v>380</v>
      </c>
      <c r="U2712" t="s">
        <v>381</v>
      </c>
      <c r="V2712" t="s">
        <v>131</v>
      </c>
      <c r="W2712" t="s">
        <v>51</v>
      </c>
      <c r="X2712" t="s">
        <v>45</v>
      </c>
      <c r="Y2712" s="1">
        <v>23750</v>
      </c>
      <c r="Z2712">
        <v>2</v>
      </c>
      <c r="AA2712" t="s">
        <v>381</v>
      </c>
      <c r="AB2712" s="40" t="s">
        <v>1798</v>
      </c>
    </row>
    <row r="2713" spans="1:28" x14ac:dyDescent="0.25">
      <c r="A2713">
        <v>99912712</v>
      </c>
      <c r="B2713" t="s">
        <v>32</v>
      </c>
      <c r="C2713" t="s">
        <v>143</v>
      </c>
      <c r="D2713" t="s">
        <v>144</v>
      </c>
      <c r="G2713" t="s">
        <v>48</v>
      </c>
      <c r="H2713">
        <v>1</v>
      </c>
      <c r="K2713" t="s">
        <v>345</v>
      </c>
      <c r="L2713" t="s">
        <v>346</v>
      </c>
      <c r="M2713" t="s">
        <v>131</v>
      </c>
      <c r="N2713">
        <v>20</v>
      </c>
      <c r="P2713" t="s">
        <v>41</v>
      </c>
      <c r="Q2713" t="s">
        <v>49</v>
      </c>
      <c r="R2713" t="str">
        <f>"0561021"</f>
        <v>0561021</v>
      </c>
      <c r="S2713" t="s">
        <v>352</v>
      </c>
      <c r="T2713" t="s">
        <v>345</v>
      </c>
      <c r="U2713" t="s">
        <v>346</v>
      </c>
      <c r="V2713" t="s">
        <v>131</v>
      </c>
      <c r="W2713" t="s">
        <v>51</v>
      </c>
      <c r="X2713" t="s">
        <v>45</v>
      </c>
      <c r="Y2713" s="1">
        <v>23745</v>
      </c>
      <c r="Z2713">
        <v>2</v>
      </c>
      <c r="AA2713" t="s">
        <v>346</v>
      </c>
      <c r="AB2713" s="40" t="s">
        <v>1798</v>
      </c>
    </row>
    <row r="2714" spans="1:28" x14ac:dyDescent="0.25">
      <c r="A2714">
        <v>99912713</v>
      </c>
      <c r="B2714" t="s">
        <v>56</v>
      </c>
      <c r="C2714" t="s">
        <v>68</v>
      </c>
      <c r="D2714" t="s">
        <v>69</v>
      </c>
      <c r="G2714" t="s">
        <v>35</v>
      </c>
      <c r="H2714">
        <v>1</v>
      </c>
      <c r="K2714" t="s">
        <v>1546</v>
      </c>
      <c r="L2714" t="s">
        <v>1547</v>
      </c>
      <c r="M2714" t="s">
        <v>1548</v>
      </c>
      <c r="N2714">
        <v>20</v>
      </c>
      <c r="P2714" t="s">
        <v>41</v>
      </c>
      <c r="Q2714" t="s">
        <v>42</v>
      </c>
      <c r="R2714" t="str">
        <f>"1080010"</f>
        <v>1080010</v>
      </c>
      <c r="S2714" t="s">
        <v>1549</v>
      </c>
      <c r="T2714" t="s">
        <v>1546</v>
      </c>
      <c r="U2714" t="s">
        <v>1547</v>
      </c>
      <c r="V2714" t="s">
        <v>1548</v>
      </c>
      <c r="W2714" t="s">
        <v>51</v>
      </c>
      <c r="X2714" t="s">
        <v>45</v>
      </c>
      <c r="Y2714" s="1">
        <v>23744</v>
      </c>
      <c r="Z2714">
        <v>2</v>
      </c>
      <c r="AA2714" t="s">
        <v>1547</v>
      </c>
      <c r="AB2714" s="40" t="s">
        <v>1798</v>
      </c>
    </row>
    <row r="2715" spans="1:28" x14ac:dyDescent="0.25">
      <c r="A2715">
        <v>99912714</v>
      </c>
      <c r="B2715" t="s">
        <v>32</v>
      </c>
      <c r="C2715" t="s">
        <v>82</v>
      </c>
      <c r="D2715" t="s">
        <v>83</v>
      </c>
      <c r="G2715" t="s">
        <v>48</v>
      </c>
      <c r="H2715">
        <v>1</v>
      </c>
      <c r="K2715" t="s">
        <v>223</v>
      </c>
      <c r="L2715" t="s">
        <v>224</v>
      </c>
      <c r="M2715" t="s">
        <v>131</v>
      </c>
      <c r="N2715">
        <v>20</v>
      </c>
      <c r="P2715" t="s">
        <v>41</v>
      </c>
      <c r="Q2715" t="s">
        <v>42</v>
      </c>
      <c r="R2715" t="str">
        <f>"0580207"</f>
        <v>0580207</v>
      </c>
      <c r="S2715" t="s">
        <v>229</v>
      </c>
      <c r="T2715" t="s">
        <v>223</v>
      </c>
      <c r="U2715" t="s">
        <v>224</v>
      </c>
      <c r="V2715" t="s">
        <v>131</v>
      </c>
      <c r="W2715" t="s">
        <v>51</v>
      </c>
      <c r="X2715" t="s">
        <v>45</v>
      </c>
      <c r="Y2715" s="1">
        <v>23743</v>
      </c>
      <c r="Z2715">
        <v>2</v>
      </c>
      <c r="AA2715" t="s">
        <v>224</v>
      </c>
      <c r="AB2715" s="40" t="s">
        <v>1798</v>
      </c>
    </row>
    <row r="2716" spans="1:28" x14ac:dyDescent="0.25">
      <c r="A2716">
        <v>99912715</v>
      </c>
      <c r="B2716" t="s">
        <v>56</v>
      </c>
      <c r="C2716" t="s">
        <v>79</v>
      </c>
      <c r="D2716" t="s">
        <v>80</v>
      </c>
      <c r="G2716" t="s">
        <v>35</v>
      </c>
      <c r="H2716">
        <v>1</v>
      </c>
      <c r="I2716">
        <v>13010</v>
      </c>
      <c r="J2716" s="1">
        <v>43344</v>
      </c>
      <c r="K2716" t="s">
        <v>354</v>
      </c>
      <c r="L2716" t="s">
        <v>355</v>
      </c>
      <c r="M2716" t="s">
        <v>131</v>
      </c>
      <c r="N2716">
        <v>20</v>
      </c>
      <c r="O2716" s="1">
        <v>43344</v>
      </c>
      <c r="P2716" t="s">
        <v>41</v>
      </c>
      <c r="Q2716" t="s">
        <v>75</v>
      </c>
      <c r="R2716" t="str">
        <f>"7054024"</f>
        <v>7054024</v>
      </c>
      <c r="S2716" t="s">
        <v>793</v>
      </c>
      <c r="T2716" t="s">
        <v>354</v>
      </c>
      <c r="U2716" t="s">
        <v>355</v>
      </c>
      <c r="V2716" t="s">
        <v>131</v>
      </c>
      <c r="W2716" t="s">
        <v>51</v>
      </c>
      <c r="X2716" t="s">
        <v>45</v>
      </c>
      <c r="Y2716" s="1">
        <v>23743</v>
      </c>
      <c r="Z2716">
        <v>1</v>
      </c>
      <c r="AA2716" t="s">
        <v>355</v>
      </c>
      <c r="AB2716" s="40" t="s">
        <v>1798</v>
      </c>
    </row>
    <row r="2717" spans="1:28" x14ac:dyDescent="0.25">
      <c r="A2717">
        <v>99912716</v>
      </c>
      <c r="B2717" t="s">
        <v>56</v>
      </c>
      <c r="C2717" t="s">
        <v>46</v>
      </c>
      <c r="D2717" t="s">
        <v>47</v>
      </c>
      <c r="G2717" t="s">
        <v>48</v>
      </c>
      <c r="H2717">
        <v>1</v>
      </c>
      <c r="K2717" t="s">
        <v>300</v>
      </c>
      <c r="L2717" t="s">
        <v>301</v>
      </c>
      <c r="M2717" t="s">
        <v>131</v>
      </c>
      <c r="N2717">
        <v>20</v>
      </c>
      <c r="P2717" t="s">
        <v>41</v>
      </c>
      <c r="Q2717" t="s">
        <v>42</v>
      </c>
      <c r="R2717" t="str">
        <f>"0580176"</f>
        <v>0580176</v>
      </c>
      <c r="S2717" t="s">
        <v>305</v>
      </c>
      <c r="T2717" t="s">
        <v>300</v>
      </c>
      <c r="U2717" t="s">
        <v>301</v>
      </c>
      <c r="V2717" t="s">
        <v>131</v>
      </c>
      <c r="W2717" t="s">
        <v>51</v>
      </c>
      <c r="X2717" t="s">
        <v>45</v>
      </c>
      <c r="Y2717" s="1">
        <v>23662</v>
      </c>
      <c r="Z2717">
        <v>2</v>
      </c>
      <c r="AA2717" t="s">
        <v>301</v>
      </c>
      <c r="AB2717" s="40" t="s">
        <v>1798</v>
      </c>
    </row>
    <row r="2718" spans="1:28" x14ac:dyDescent="0.25">
      <c r="A2718">
        <v>99912717</v>
      </c>
      <c r="B2718" t="s">
        <v>32</v>
      </c>
      <c r="C2718" t="s">
        <v>71</v>
      </c>
      <c r="D2718" t="s">
        <v>72</v>
      </c>
      <c r="G2718" t="s">
        <v>48</v>
      </c>
      <c r="H2718">
        <v>1</v>
      </c>
      <c r="K2718" t="s">
        <v>223</v>
      </c>
      <c r="L2718" t="s">
        <v>224</v>
      </c>
      <c r="M2718" t="s">
        <v>131</v>
      </c>
      <c r="N2718">
        <v>20</v>
      </c>
      <c r="P2718" t="s">
        <v>41</v>
      </c>
      <c r="Q2718" t="s">
        <v>49</v>
      </c>
      <c r="R2718" t="str">
        <f>"0581207"</f>
        <v>0581207</v>
      </c>
      <c r="S2718" t="s">
        <v>233</v>
      </c>
      <c r="T2718" t="s">
        <v>223</v>
      </c>
      <c r="U2718" t="s">
        <v>224</v>
      </c>
      <c r="V2718" t="s">
        <v>131</v>
      </c>
      <c r="W2718" t="s">
        <v>51</v>
      </c>
      <c r="X2718" t="s">
        <v>45</v>
      </c>
      <c r="Y2718" s="1">
        <v>23649</v>
      </c>
      <c r="Z2718">
        <v>2</v>
      </c>
      <c r="AA2718" t="s">
        <v>224</v>
      </c>
      <c r="AB2718" s="40" t="s">
        <v>1798</v>
      </c>
    </row>
    <row r="2719" spans="1:28" x14ac:dyDescent="0.25">
      <c r="A2719">
        <v>99912718</v>
      </c>
      <c r="B2719" t="s">
        <v>56</v>
      </c>
      <c r="C2719" t="s">
        <v>68</v>
      </c>
      <c r="D2719" t="s">
        <v>69</v>
      </c>
      <c r="G2719" t="s">
        <v>35</v>
      </c>
      <c r="H2719">
        <v>1</v>
      </c>
      <c r="I2719">
        <v>0</v>
      </c>
      <c r="J2719" s="1">
        <v>43344</v>
      </c>
      <c r="K2719" t="s">
        <v>223</v>
      </c>
      <c r="L2719" t="s">
        <v>224</v>
      </c>
      <c r="M2719" t="s">
        <v>131</v>
      </c>
      <c r="N2719">
        <v>20</v>
      </c>
      <c r="O2719" s="1">
        <v>43344</v>
      </c>
      <c r="P2719" t="s">
        <v>41</v>
      </c>
      <c r="Q2719" t="s">
        <v>42</v>
      </c>
      <c r="R2719" t="str">
        <f>"0580206"</f>
        <v>0580206</v>
      </c>
      <c r="S2719" t="s">
        <v>237</v>
      </c>
      <c r="T2719" t="s">
        <v>223</v>
      </c>
      <c r="U2719" t="s">
        <v>224</v>
      </c>
      <c r="V2719" t="s">
        <v>131</v>
      </c>
      <c r="W2719" t="s">
        <v>51</v>
      </c>
      <c r="X2719" t="s">
        <v>45</v>
      </c>
      <c r="Y2719" s="1">
        <v>23646</v>
      </c>
      <c r="Z2719">
        <v>2</v>
      </c>
      <c r="AA2719" t="s">
        <v>224</v>
      </c>
      <c r="AB2719" s="40" t="s">
        <v>1798</v>
      </c>
    </row>
    <row r="2720" spans="1:28" x14ac:dyDescent="0.25">
      <c r="A2720">
        <v>99912719</v>
      </c>
      <c r="B2720" t="s">
        <v>32</v>
      </c>
      <c r="C2720" t="s">
        <v>85</v>
      </c>
      <c r="D2720" t="s">
        <v>86</v>
      </c>
      <c r="G2720" t="s">
        <v>48</v>
      </c>
      <c r="H2720">
        <v>1</v>
      </c>
      <c r="K2720" t="s">
        <v>223</v>
      </c>
      <c r="L2720" t="s">
        <v>224</v>
      </c>
      <c r="M2720" t="s">
        <v>131</v>
      </c>
      <c r="N2720">
        <v>20</v>
      </c>
      <c r="P2720" t="s">
        <v>41</v>
      </c>
      <c r="Q2720" t="s">
        <v>42</v>
      </c>
      <c r="R2720" t="str">
        <f>"0580395"</f>
        <v>0580395</v>
      </c>
      <c r="S2720" t="s">
        <v>265</v>
      </c>
      <c r="T2720" t="s">
        <v>223</v>
      </c>
      <c r="U2720" t="s">
        <v>224</v>
      </c>
      <c r="V2720" t="s">
        <v>131</v>
      </c>
      <c r="W2720" t="s">
        <v>51</v>
      </c>
      <c r="X2720" t="s">
        <v>45</v>
      </c>
      <c r="Y2720" s="1">
        <v>23629</v>
      </c>
      <c r="Z2720">
        <v>2</v>
      </c>
      <c r="AA2720" t="s">
        <v>224</v>
      </c>
      <c r="AB2720" s="40" t="s">
        <v>1798</v>
      </c>
    </row>
    <row r="2721" spans="1:28" x14ac:dyDescent="0.25">
      <c r="A2721">
        <v>99912720</v>
      </c>
      <c r="B2721" t="s">
        <v>56</v>
      </c>
      <c r="C2721" t="s">
        <v>68</v>
      </c>
      <c r="D2721" t="s">
        <v>69</v>
      </c>
      <c r="G2721" t="s">
        <v>48</v>
      </c>
      <c r="H2721">
        <v>3</v>
      </c>
      <c r="K2721" t="s">
        <v>129</v>
      </c>
      <c r="L2721" t="s">
        <v>130</v>
      </c>
      <c r="M2721" t="s">
        <v>131</v>
      </c>
      <c r="N2721">
        <v>20</v>
      </c>
      <c r="P2721" t="s">
        <v>41</v>
      </c>
      <c r="Q2721" t="s">
        <v>42</v>
      </c>
      <c r="R2721" t="str">
        <f>"0590905"</f>
        <v>0590905</v>
      </c>
      <c r="S2721" t="s">
        <v>133</v>
      </c>
      <c r="T2721" t="s">
        <v>129</v>
      </c>
      <c r="U2721" t="s">
        <v>130</v>
      </c>
      <c r="V2721" t="s">
        <v>131</v>
      </c>
      <c r="W2721" t="s">
        <v>51</v>
      </c>
      <c r="X2721" t="s">
        <v>45</v>
      </c>
      <c r="Y2721" s="1">
        <v>23625</v>
      </c>
      <c r="Z2721">
        <v>2</v>
      </c>
      <c r="AA2721" t="s">
        <v>130</v>
      </c>
      <c r="AB2721" s="40" t="s">
        <v>1798</v>
      </c>
    </row>
    <row r="2722" spans="1:28" x14ac:dyDescent="0.25">
      <c r="A2722">
        <v>99912721</v>
      </c>
      <c r="B2722" t="s">
        <v>56</v>
      </c>
      <c r="C2722" t="s">
        <v>79</v>
      </c>
      <c r="D2722" t="s">
        <v>80</v>
      </c>
      <c r="G2722" t="s">
        <v>35</v>
      </c>
      <c r="H2722">
        <v>1</v>
      </c>
      <c r="K2722" t="s">
        <v>947</v>
      </c>
      <c r="L2722" t="s">
        <v>948</v>
      </c>
      <c r="M2722" t="s">
        <v>938</v>
      </c>
      <c r="N2722">
        <v>20</v>
      </c>
      <c r="P2722" t="s">
        <v>41</v>
      </c>
      <c r="Q2722" t="s">
        <v>49</v>
      </c>
      <c r="R2722" t="str">
        <f>"0605000"</f>
        <v>0605000</v>
      </c>
      <c r="S2722" t="s">
        <v>950</v>
      </c>
      <c r="T2722" t="s">
        <v>947</v>
      </c>
      <c r="U2722" t="s">
        <v>948</v>
      </c>
      <c r="V2722" t="s">
        <v>938</v>
      </c>
      <c r="W2722" t="s">
        <v>51</v>
      </c>
      <c r="X2722" t="s">
        <v>45</v>
      </c>
      <c r="Y2722" s="1">
        <v>23612</v>
      </c>
      <c r="Z2722">
        <v>2</v>
      </c>
      <c r="AA2722" t="s">
        <v>948</v>
      </c>
      <c r="AB2722" s="40" t="s">
        <v>1798</v>
      </c>
    </row>
    <row r="2723" spans="1:28" x14ac:dyDescent="0.25">
      <c r="A2723">
        <v>99912722</v>
      </c>
      <c r="B2723" t="s">
        <v>32</v>
      </c>
      <c r="C2723" t="s">
        <v>82</v>
      </c>
      <c r="D2723" t="s">
        <v>83</v>
      </c>
      <c r="G2723" t="s">
        <v>48</v>
      </c>
      <c r="H2723">
        <v>1</v>
      </c>
      <c r="K2723" t="s">
        <v>223</v>
      </c>
      <c r="L2723" t="s">
        <v>224</v>
      </c>
      <c r="M2723" t="s">
        <v>131</v>
      </c>
      <c r="N2723">
        <v>20</v>
      </c>
      <c r="P2723" t="s">
        <v>41</v>
      </c>
      <c r="Q2723" t="s">
        <v>49</v>
      </c>
      <c r="R2723" t="str">
        <f>"0581206"</f>
        <v>0581206</v>
      </c>
      <c r="S2723" t="s">
        <v>232</v>
      </c>
      <c r="T2723" t="s">
        <v>223</v>
      </c>
      <c r="U2723" t="s">
        <v>224</v>
      </c>
      <c r="V2723" t="s">
        <v>131</v>
      </c>
      <c r="W2723" t="s">
        <v>51</v>
      </c>
      <c r="X2723" t="s">
        <v>45</v>
      </c>
      <c r="Y2723" s="1">
        <v>23608</v>
      </c>
      <c r="Z2723">
        <v>2</v>
      </c>
      <c r="AA2723" t="s">
        <v>224</v>
      </c>
      <c r="AB2723" s="40" t="s">
        <v>1798</v>
      </c>
    </row>
    <row r="2724" spans="1:28" x14ac:dyDescent="0.25">
      <c r="A2724">
        <v>99912723</v>
      </c>
      <c r="B2724" t="s">
        <v>56</v>
      </c>
      <c r="C2724" t="s">
        <v>79</v>
      </c>
      <c r="D2724" t="s">
        <v>80</v>
      </c>
      <c r="G2724" t="s">
        <v>35</v>
      </c>
      <c r="H2724">
        <v>1</v>
      </c>
      <c r="K2724" t="s">
        <v>1546</v>
      </c>
      <c r="L2724" t="s">
        <v>1547</v>
      </c>
      <c r="M2724" t="s">
        <v>1548</v>
      </c>
      <c r="N2724">
        <v>20</v>
      </c>
      <c r="P2724" t="s">
        <v>41</v>
      </c>
      <c r="Q2724" t="s">
        <v>49</v>
      </c>
      <c r="R2724" t="str">
        <f>"1081010"</f>
        <v>1081010</v>
      </c>
      <c r="S2724" t="s">
        <v>1552</v>
      </c>
      <c r="T2724" t="s">
        <v>1546</v>
      </c>
      <c r="U2724" t="s">
        <v>1547</v>
      </c>
      <c r="V2724" t="s">
        <v>1548</v>
      </c>
      <c r="W2724" t="s">
        <v>51</v>
      </c>
      <c r="X2724" t="s">
        <v>45</v>
      </c>
      <c r="Y2724" s="1">
        <v>23577</v>
      </c>
      <c r="Z2724">
        <v>2</v>
      </c>
      <c r="AA2724" t="s">
        <v>1547</v>
      </c>
      <c r="AB2724" s="40" t="s">
        <v>1798</v>
      </c>
    </row>
    <row r="2725" spans="1:28" x14ac:dyDescent="0.25">
      <c r="A2725">
        <v>99912724</v>
      </c>
      <c r="B2725" t="s">
        <v>32</v>
      </c>
      <c r="C2725" t="s">
        <v>90</v>
      </c>
      <c r="D2725" t="s">
        <v>91</v>
      </c>
      <c r="G2725" t="s">
        <v>35</v>
      </c>
      <c r="H2725">
        <v>1</v>
      </c>
      <c r="I2725" t="s">
        <v>746</v>
      </c>
      <c r="J2725" s="1">
        <v>43344</v>
      </c>
      <c r="K2725" t="s">
        <v>268</v>
      </c>
      <c r="L2725" t="s">
        <v>269</v>
      </c>
      <c r="M2725" t="s">
        <v>131</v>
      </c>
      <c r="N2725">
        <v>20</v>
      </c>
      <c r="O2725" s="1">
        <v>43344</v>
      </c>
      <c r="P2725" t="s">
        <v>41</v>
      </c>
      <c r="Q2725" t="s">
        <v>95</v>
      </c>
      <c r="R2725" t="str">
        <f>"7052043"</f>
        <v>7052043</v>
      </c>
      <c r="S2725" t="s">
        <v>651</v>
      </c>
      <c r="T2725" t="s">
        <v>268</v>
      </c>
      <c r="U2725" t="s">
        <v>269</v>
      </c>
      <c r="V2725" t="s">
        <v>131</v>
      </c>
      <c r="W2725" t="s">
        <v>51</v>
      </c>
      <c r="X2725" t="s">
        <v>45</v>
      </c>
      <c r="Y2725" s="1">
        <v>23571</v>
      </c>
      <c r="Z2725">
        <v>1</v>
      </c>
      <c r="AA2725" t="s">
        <v>269</v>
      </c>
      <c r="AB2725" s="40" t="s">
        <v>1798</v>
      </c>
    </row>
    <row r="2726" spans="1:28" x14ac:dyDescent="0.25">
      <c r="A2726">
        <v>99912725</v>
      </c>
      <c r="B2726" t="s">
        <v>32</v>
      </c>
      <c r="C2726" t="s">
        <v>64</v>
      </c>
      <c r="D2726" t="s">
        <v>65</v>
      </c>
      <c r="G2726" t="s">
        <v>35</v>
      </c>
      <c r="H2726">
        <v>1</v>
      </c>
      <c r="I2726" t="s">
        <v>748</v>
      </c>
      <c r="J2726" s="1">
        <v>43344</v>
      </c>
      <c r="K2726" t="s">
        <v>268</v>
      </c>
      <c r="L2726" t="s">
        <v>269</v>
      </c>
      <c r="M2726" t="s">
        <v>131</v>
      </c>
      <c r="N2726">
        <v>20</v>
      </c>
      <c r="O2726" s="1">
        <v>43344</v>
      </c>
      <c r="P2726" t="s">
        <v>41</v>
      </c>
      <c r="Q2726" t="s">
        <v>75</v>
      </c>
      <c r="R2726" t="str">
        <f>"7052020"</f>
        <v>7052020</v>
      </c>
      <c r="S2726" t="s">
        <v>267</v>
      </c>
      <c r="T2726" t="s">
        <v>268</v>
      </c>
      <c r="U2726" t="s">
        <v>269</v>
      </c>
      <c r="V2726" t="s">
        <v>131</v>
      </c>
      <c r="W2726" t="s">
        <v>51</v>
      </c>
      <c r="X2726" t="s">
        <v>45</v>
      </c>
      <c r="Y2726" s="1">
        <v>23569</v>
      </c>
      <c r="Z2726">
        <v>1</v>
      </c>
      <c r="AA2726" t="s">
        <v>269</v>
      </c>
      <c r="AB2726" s="40" t="s">
        <v>1798</v>
      </c>
    </row>
    <row r="2727" spans="1:28" x14ac:dyDescent="0.25">
      <c r="A2727">
        <v>99912726</v>
      </c>
      <c r="B2727" t="s">
        <v>56</v>
      </c>
      <c r="C2727" t="s">
        <v>68</v>
      </c>
      <c r="D2727" t="s">
        <v>69</v>
      </c>
      <c r="G2727" t="s">
        <v>48</v>
      </c>
      <c r="H2727">
        <v>1</v>
      </c>
      <c r="K2727" t="s">
        <v>936</v>
      </c>
      <c r="L2727" t="s">
        <v>937</v>
      </c>
      <c r="M2727" t="s">
        <v>938</v>
      </c>
      <c r="N2727">
        <v>20</v>
      </c>
      <c r="P2727" t="s">
        <v>41</v>
      </c>
      <c r="Q2727" t="s">
        <v>42</v>
      </c>
      <c r="R2727" t="str">
        <f>"0161002"</f>
        <v>0161002</v>
      </c>
      <c r="S2727" t="s">
        <v>941</v>
      </c>
      <c r="T2727" t="s">
        <v>936</v>
      </c>
      <c r="U2727" t="s">
        <v>937</v>
      </c>
      <c r="V2727" t="s">
        <v>938</v>
      </c>
      <c r="W2727" t="s">
        <v>51</v>
      </c>
      <c r="X2727" t="s">
        <v>45</v>
      </c>
      <c r="Y2727" s="1">
        <v>23524</v>
      </c>
      <c r="Z2727">
        <v>2</v>
      </c>
      <c r="AA2727" t="s">
        <v>937</v>
      </c>
      <c r="AB2727" s="40" t="s">
        <v>1798</v>
      </c>
    </row>
    <row r="2728" spans="1:28" x14ac:dyDescent="0.25">
      <c r="A2728">
        <v>99912727</v>
      </c>
      <c r="B2728" t="s">
        <v>56</v>
      </c>
      <c r="C2728" t="s">
        <v>46</v>
      </c>
      <c r="D2728" t="s">
        <v>47</v>
      </c>
      <c r="G2728" t="s">
        <v>48</v>
      </c>
      <c r="H2728">
        <v>1</v>
      </c>
      <c r="K2728" t="s">
        <v>1268</v>
      </c>
      <c r="L2728" t="s">
        <v>1269</v>
      </c>
      <c r="M2728" t="s">
        <v>1270</v>
      </c>
      <c r="N2728">
        <v>20</v>
      </c>
      <c r="P2728" t="s">
        <v>41</v>
      </c>
      <c r="Q2728" t="s">
        <v>42</v>
      </c>
      <c r="R2728" t="str">
        <f>"1990911"</f>
        <v>1990911</v>
      </c>
      <c r="S2728" t="s">
        <v>1276</v>
      </c>
      <c r="T2728" t="s">
        <v>1268</v>
      </c>
      <c r="U2728" t="s">
        <v>1269</v>
      </c>
      <c r="V2728" t="s">
        <v>1270</v>
      </c>
      <c r="W2728" t="s">
        <v>165</v>
      </c>
      <c r="X2728" t="s">
        <v>45</v>
      </c>
      <c r="Y2728" s="1">
        <v>23522</v>
      </c>
      <c r="Z2728">
        <v>2</v>
      </c>
      <c r="AA2728" t="s">
        <v>1269</v>
      </c>
      <c r="AB2728" s="40" t="s">
        <v>1798</v>
      </c>
    </row>
    <row r="2729" spans="1:28" x14ac:dyDescent="0.25">
      <c r="A2729">
        <v>99912728</v>
      </c>
      <c r="B2729" t="s">
        <v>56</v>
      </c>
      <c r="C2729" t="s">
        <v>68</v>
      </c>
      <c r="D2729" t="s">
        <v>69</v>
      </c>
      <c r="G2729" t="s">
        <v>48</v>
      </c>
      <c r="H2729">
        <v>9</v>
      </c>
      <c r="K2729" t="s">
        <v>129</v>
      </c>
      <c r="L2729" t="s">
        <v>130</v>
      </c>
      <c r="M2729" t="s">
        <v>131</v>
      </c>
      <c r="N2729">
        <v>20</v>
      </c>
      <c r="O2729" s="1">
        <v>36130</v>
      </c>
      <c r="P2729" t="s">
        <v>41</v>
      </c>
      <c r="Q2729" t="s">
        <v>42</v>
      </c>
      <c r="R2729" t="str">
        <f>"0561011"</f>
        <v>0561011</v>
      </c>
      <c r="S2729" t="s">
        <v>132</v>
      </c>
      <c r="T2729" t="s">
        <v>129</v>
      </c>
      <c r="U2729" t="s">
        <v>130</v>
      </c>
      <c r="V2729" t="s">
        <v>131</v>
      </c>
      <c r="W2729" t="s">
        <v>51</v>
      </c>
      <c r="X2729" t="s">
        <v>45</v>
      </c>
      <c r="Y2729" s="1">
        <v>23521</v>
      </c>
      <c r="Z2729">
        <v>2</v>
      </c>
      <c r="AA2729" t="s">
        <v>130</v>
      </c>
      <c r="AB2729" s="40" t="s">
        <v>1798</v>
      </c>
    </row>
    <row r="2730" spans="1:28" x14ac:dyDescent="0.25">
      <c r="A2730">
        <v>99912729</v>
      </c>
      <c r="B2730" t="s">
        <v>56</v>
      </c>
      <c r="C2730" t="s">
        <v>68</v>
      </c>
      <c r="D2730" t="s">
        <v>69</v>
      </c>
      <c r="G2730" t="s">
        <v>48</v>
      </c>
      <c r="H2730">
        <v>1</v>
      </c>
      <c r="K2730" t="s">
        <v>129</v>
      </c>
      <c r="L2730" t="s">
        <v>130</v>
      </c>
      <c r="M2730" t="s">
        <v>131</v>
      </c>
      <c r="N2730">
        <v>20</v>
      </c>
      <c r="P2730" t="s">
        <v>41</v>
      </c>
      <c r="Q2730" t="s">
        <v>42</v>
      </c>
      <c r="R2730" t="str">
        <f>"0590905"</f>
        <v>0590905</v>
      </c>
      <c r="S2730" t="s">
        <v>133</v>
      </c>
      <c r="T2730" t="s">
        <v>129</v>
      </c>
      <c r="U2730" t="s">
        <v>130</v>
      </c>
      <c r="V2730" t="s">
        <v>131</v>
      </c>
      <c r="W2730" t="s">
        <v>51</v>
      </c>
      <c r="X2730" t="s">
        <v>45</v>
      </c>
      <c r="Y2730" s="1">
        <v>23511</v>
      </c>
      <c r="Z2730">
        <v>2</v>
      </c>
      <c r="AA2730" t="s">
        <v>130</v>
      </c>
      <c r="AB2730" s="40" t="s">
        <v>1798</v>
      </c>
    </row>
    <row r="2731" spans="1:28" x14ac:dyDescent="0.25">
      <c r="A2731">
        <v>99912730</v>
      </c>
      <c r="B2731" t="s">
        <v>32</v>
      </c>
      <c r="C2731" t="s">
        <v>82</v>
      </c>
      <c r="D2731" t="s">
        <v>83</v>
      </c>
      <c r="G2731" t="s">
        <v>48</v>
      </c>
      <c r="H2731">
        <v>1</v>
      </c>
      <c r="K2731" t="s">
        <v>129</v>
      </c>
      <c r="L2731" t="s">
        <v>130</v>
      </c>
      <c r="M2731" t="s">
        <v>131</v>
      </c>
      <c r="N2731">
        <v>20</v>
      </c>
      <c r="P2731" t="s">
        <v>41</v>
      </c>
      <c r="Q2731" t="s">
        <v>42</v>
      </c>
      <c r="R2731" t="str">
        <f>"0590905"</f>
        <v>0590905</v>
      </c>
      <c r="S2731" t="s">
        <v>133</v>
      </c>
      <c r="T2731" t="s">
        <v>129</v>
      </c>
      <c r="U2731" t="s">
        <v>130</v>
      </c>
      <c r="V2731" t="s">
        <v>131</v>
      </c>
      <c r="W2731" t="s">
        <v>51</v>
      </c>
      <c r="X2731" t="s">
        <v>45</v>
      </c>
      <c r="Y2731" s="1">
        <v>23505</v>
      </c>
      <c r="Z2731">
        <v>2</v>
      </c>
      <c r="AA2731" t="s">
        <v>130</v>
      </c>
      <c r="AB2731" s="40" t="s">
        <v>1798</v>
      </c>
    </row>
    <row r="2732" spans="1:28" x14ac:dyDescent="0.25">
      <c r="A2732">
        <v>99912731</v>
      </c>
      <c r="B2732" t="s">
        <v>32</v>
      </c>
      <c r="C2732" t="s">
        <v>52</v>
      </c>
      <c r="D2732" t="s">
        <v>53</v>
      </c>
      <c r="G2732" t="s">
        <v>48</v>
      </c>
      <c r="H2732">
        <v>1</v>
      </c>
      <c r="K2732" t="s">
        <v>129</v>
      </c>
      <c r="L2732" t="s">
        <v>130</v>
      </c>
      <c r="M2732" t="s">
        <v>131</v>
      </c>
      <c r="N2732">
        <v>20</v>
      </c>
      <c r="P2732" t="s">
        <v>41</v>
      </c>
      <c r="Q2732" t="s">
        <v>49</v>
      </c>
      <c r="R2732" t="str">
        <f>"0591905"</f>
        <v>0591905</v>
      </c>
      <c r="S2732" t="s">
        <v>135</v>
      </c>
      <c r="T2732" t="s">
        <v>129</v>
      </c>
      <c r="U2732" t="s">
        <v>130</v>
      </c>
      <c r="V2732" t="s">
        <v>131</v>
      </c>
      <c r="W2732" t="s">
        <v>51</v>
      </c>
      <c r="X2732" t="s">
        <v>45</v>
      </c>
      <c r="Y2732" s="1">
        <v>23501</v>
      </c>
      <c r="Z2732">
        <v>2</v>
      </c>
      <c r="AA2732" t="s">
        <v>130</v>
      </c>
      <c r="AB2732" s="40" t="s">
        <v>1798</v>
      </c>
    </row>
    <row r="2733" spans="1:28" x14ac:dyDescent="0.25">
      <c r="A2733">
        <v>99912732</v>
      </c>
      <c r="B2733" t="s">
        <v>56</v>
      </c>
      <c r="C2733" t="s">
        <v>52</v>
      </c>
      <c r="D2733" t="s">
        <v>53</v>
      </c>
      <c r="G2733" t="s">
        <v>35</v>
      </c>
      <c r="H2733">
        <v>1</v>
      </c>
      <c r="K2733" t="s">
        <v>345</v>
      </c>
      <c r="L2733" t="s">
        <v>346</v>
      </c>
      <c r="M2733" t="s">
        <v>131</v>
      </c>
      <c r="N2733">
        <v>20</v>
      </c>
      <c r="P2733" t="s">
        <v>41</v>
      </c>
      <c r="Q2733" t="s">
        <v>42</v>
      </c>
      <c r="R2733" t="str">
        <f>"0580615"</f>
        <v>0580615</v>
      </c>
      <c r="S2733" t="s">
        <v>364</v>
      </c>
      <c r="T2733" t="s">
        <v>345</v>
      </c>
      <c r="U2733" t="s">
        <v>346</v>
      </c>
      <c r="V2733" t="s">
        <v>131</v>
      </c>
      <c r="W2733" t="s">
        <v>51</v>
      </c>
      <c r="X2733" t="s">
        <v>45</v>
      </c>
      <c r="Y2733" s="1">
        <v>23468</v>
      </c>
      <c r="Z2733">
        <v>2</v>
      </c>
      <c r="AA2733" t="s">
        <v>346</v>
      </c>
      <c r="AB2733" s="40" t="s">
        <v>1798</v>
      </c>
    </row>
    <row r="2734" spans="1:28" x14ac:dyDescent="0.25">
      <c r="A2734">
        <v>99912733</v>
      </c>
      <c r="B2734" t="s">
        <v>56</v>
      </c>
      <c r="C2734" t="s">
        <v>33</v>
      </c>
      <c r="D2734" t="s">
        <v>34</v>
      </c>
      <c r="G2734" t="s">
        <v>48</v>
      </c>
      <c r="H2734">
        <v>1</v>
      </c>
      <c r="K2734" t="s">
        <v>1187</v>
      </c>
      <c r="L2734" t="s">
        <v>1188</v>
      </c>
      <c r="M2734" t="s">
        <v>1130</v>
      </c>
      <c r="N2734">
        <v>20</v>
      </c>
      <c r="P2734" t="s">
        <v>41</v>
      </c>
      <c r="Q2734" t="s">
        <v>49</v>
      </c>
      <c r="R2734" t="str">
        <f>"4581015"</f>
        <v>4581015</v>
      </c>
      <c r="S2734" t="s">
        <v>1190</v>
      </c>
      <c r="T2734" t="s">
        <v>1187</v>
      </c>
      <c r="U2734" t="s">
        <v>1188</v>
      </c>
      <c r="V2734" t="s">
        <v>1130</v>
      </c>
      <c r="W2734" t="s">
        <v>51</v>
      </c>
      <c r="X2734" t="s">
        <v>45</v>
      </c>
      <c r="Y2734" s="1">
        <v>23462</v>
      </c>
      <c r="Z2734">
        <v>2</v>
      </c>
      <c r="AA2734" t="s">
        <v>1188</v>
      </c>
      <c r="AB2734" s="40" t="s">
        <v>1798</v>
      </c>
    </row>
    <row r="2735" spans="1:28" x14ac:dyDescent="0.25">
      <c r="A2735">
        <v>99912734</v>
      </c>
      <c r="B2735" t="s">
        <v>56</v>
      </c>
      <c r="C2735" t="s">
        <v>141</v>
      </c>
      <c r="D2735" t="s">
        <v>142</v>
      </c>
      <c r="G2735" t="s">
        <v>48</v>
      </c>
      <c r="H2735">
        <v>1</v>
      </c>
      <c r="I2735" t="s">
        <v>1455</v>
      </c>
      <c r="K2735" t="s">
        <v>1426</v>
      </c>
      <c r="L2735" t="s">
        <v>1427</v>
      </c>
      <c r="M2735" t="s">
        <v>1270</v>
      </c>
      <c r="N2735">
        <v>20</v>
      </c>
      <c r="P2735" t="s">
        <v>41</v>
      </c>
      <c r="Q2735" t="s">
        <v>75</v>
      </c>
      <c r="R2735" t="str">
        <f>"7192000"</f>
        <v>7192000</v>
      </c>
      <c r="S2735" t="s">
        <v>1429</v>
      </c>
      <c r="T2735" t="s">
        <v>1426</v>
      </c>
      <c r="U2735" t="s">
        <v>1427</v>
      </c>
      <c r="V2735" t="s">
        <v>1270</v>
      </c>
      <c r="W2735" t="s">
        <v>51</v>
      </c>
      <c r="X2735" t="s">
        <v>45</v>
      </c>
      <c r="Y2735" s="1">
        <v>23455</v>
      </c>
      <c r="Z2735">
        <v>1</v>
      </c>
      <c r="AA2735" t="s">
        <v>1427</v>
      </c>
      <c r="AB2735" s="40" t="s">
        <v>1798</v>
      </c>
    </row>
    <row r="2736" spans="1:28" x14ac:dyDescent="0.25">
      <c r="A2736">
        <v>99912735</v>
      </c>
      <c r="B2736" t="s">
        <v>56</v>
      </c>
      <c r="C2736" t="s">
        <v>1282</v>
      </c>
      <c r="D2736" t="s">
        <v>1283</v>
      </c>
      <c r="G2736" t="s">
        <v>35</v>
      </c>
      <c r="H2736">
        <v>1</v>
      </c>
      <c r="K2736" t="s">
        <v>1268</v>
      </c>
      <c r="L2736" t="s">
        <v>1269</v>
      </c>
      <c r="M2736" t="s">
        <v>1270</v>
      </c>
      <c r="N2736">
        <v>20</v>
      </c>
      <c r="P2736" t="s">
        <v>41</v>
      </c>
      <c r="Q2736" t="s">
        <v>922</v>
      </c>
      <c r="R2736" t="str">
        <f>"1950001"</f>
        <v>1950001</v>
      </c>
      <c r="S2736" t="s">
        <v>1284</v>
      </c>
      <c r="T2736" t="s">
        <v>1268</v>
      </c>
      <c r="U2736" t="s">
        <v>1269</v>
      </c>
      <c r="V2736" t="s">
        <v>1270</v>
      </c>
      <c r="W2736" t="s">
        <v>51</v>
      </c>
      <c r="X2736" t="s">
        <v>45</v>
      </c>
      <c r="Y2736" s="1">
        <v>23447</v>
      </c>
      <c r="Z2736">
        <v>2</v>
      </c>
      <c r="AA2736" t="s">
        <v>1269</v>
      </c>
      <c r="AB2736" s="40" t="s">
        <v>1798</v>
      </c>
    </row>
    <row r="2737" spans="1:28" x14ac:dyDescent="0.25">
      <c r="A2737">
        <v>99912736</v>
      </c>
      <c r="B2737" t="s">
        <v>56</v>
      </c>
      <c r="C2737" t="s">
        <v>52</v>
      </c>
      <c r="D2737" t="s">
        <v>53</v>
      </c>
      <c r="G2737" t="s">
        <v>48</v>
      </c>
      <c r="H2737">
        <v>1</v>
      </c>
      <c r="K2737" t="s">
        <v>1268</v>
      </c>
      <c r="L2737" t="s">
        <v>1269</v>
      </c>
      <c r="M2737" t="s">
        <v>1270</v>
      </c>
      <c r="N2737">
        <v>20</v>
      </c>
      <c r="P2737" t="s">
        <v>41</v>
      </c>
      <c r="Q2737" t="s">
        <v>42</v>
      </c>
      <c r="R2737" t="str">
        <f>"1990911"</f>
        <v>1990911</v>
      </c>
      <c r="S2737" t="s">
        <v>1276</v>
      </c>
      <c r="T2737" t="s">
        <v>1268</v>
      </c>
      <c r="U2737" t="s">
        <v>1269</v>
      </c>
      <c r="V2737" t="s">
        <v>1270</v>
      </c>
      <c r="W2737" t="s">
        <v>165</v>
      </c>
      <c r="X2737" t="s">
        <v>45</v>
      </c>
      <c r="Y2737" s="1">
        <v>23411</v>
      </c>
      <c r="Z2737">
        <v>2</v>
      </c>
      <c r="AA2737" t="s">
        <v>1269</v>
      </c>
      <c r="AB2737" s="40" t="s">
        <v>1798</v>
      </c>
    </row>
    <row r="2738" spans="1:28" x14ac:dyDescent="0.25">
      <c r="A2738">
        <v>99912737</v>
      </c>
      <c r="B2738" t="s">
        <v>56</v>
      </c>
      <c r="C2738" t="s">
        <v>68</v>
      </c>
      <c r="D2738" t="s">
        <v>69</v>
      </c>
      <c r="G2738" t="s">
        <v>48</v>
      </c>
      <c r="H2738">
        <v>1</v>
      </c>
      <c r="K2738" t="s">
        <v>223</v>
      </c>
      <c r="L2738" t="s">
        <v>224</v>
      </c>
      <c r="M2738" t="s">
        <v>131</v>
      </c>
      <c r="N2738">
        <v>20</v>
      </c>
      <c r="P2738" t="s">
        <v>41</v>
      </c>
      <c r="Q2738" t="s">
        <v>49</v>
      </c>
      <c r="R2738" t="str">
        <f>"0581200"</f>
        <v>0581200</v>
      </c>
      <c r="S2738" t="s">
        <v>238</v>
      </c>
      <c r="T2738" t="s">
        <v>223</v>
      </c>
      <c r="U2738" t="s">
        <v>224</v>
      </c>
      <c r="V2738" t="s">
        <v>131</v>
      </c>
      <c r="W2738" t="s">
        <v>51</v>
      </c>
      <c r="X2738" t="s">
        <v>45</v>
      </c>
      <c r="Y2738" s="1">
        <v>23394</v>
      </c>
      <c r="Z2738">
        <v>2</v>
      </c>
      <c r="AA2738" t="s">
        <v>224</v>
      </c>
      <c r="AB2738" s="40" t="s">
        <v>1798</v>
      </c>
    </row>
    <row r="2739" spans="1:28" x14ac:dyDescent="0.25">
      <c r="A2739">
        <v>99912738</v>
      </c>
      <c r="B2739" t="s">
        <v>32</v>
      </c>
      <c r="C2739" t="s">
        <v>68</v>
      </c>
      <c r="D2739" t="s">
        <v>69</v>
      </c>
      <c r="G2739" t="s">
        <v>48</v>
      </c>
      <c r="H2739">
        <v>1</v>
      </c>
      <c r="K2739" t="s">
        <v>223</v>
      </c>
      <c r="L2739" t="s">
        <v>224</v>
      </c>
      <c r="M2739" t="s">
        <v>131</v>
      </c>
      <c r="N2739">
        <v>20</v>
      </c>
      <c r="P2739" t="s">
        <v>41</v>
      </c>
      <c r="Q2739" t="s">
        <v>49</v>
      </c>
      <c r="R2739" t="str">
        <f>"0581204"</f>
        <v>0581204</v>
      </c>
      <c r="S2739" t="s">
        <v>249</v>
      </c>
      <c r="T2739" t="s">
        <v>223</v>
      </c>
      <c r="U2739" t="s">
        <v>224</v>
      </c>
      <c r="V2739" t="s">
        <v>131</v>
      </c>
      <c r="W2739" t="s">
        <v>51</v>
      </c>
      <c r="X2739" t="s">
        <v>45</v>
      </c>
      <c r="Y2739" s="1">
        <v>23375</v>
      </c>
      <c r="Z2739">
        <v>2</v>
      </c>
      <c r="AA2739" t="s">
        <v>224</v>
      </c>
      <c r="AB2739" s="40" t="s">
        <v>1798</v>
      </c>
    </row>
    <row r="2740" spans="1:28" x14ac:dyDescent="0.25">
      <c r="A2740">
        <v>99912739</v>
      </c>
      <c r="B2740" t="s">
        <v>32</v>
      </c>
      <c r="C2740" t="s">
        <v>64</v>
      </c>
      <c r="D2740" t="s">
        <v>65</v>
      </c>
      <c r="G2740" t="s">
        <v>48</v>
      </c>
      <c r="H2740">
        <v>12</v>
      </c>
      <c r="I2740" t="s">
        <v>505</v>
      </c>
      <c r="J2740" s="1">
        <v>36404</v>
      </c>
      <c r="K2740" t="s">
        <v>431</v>
      </c>
      <c r="L2740" t="s">
        <v>196</v>
      </c>
      <c r="M2740" t="s">
        <v>131</v>
      </c>
      <c r="N2740">
        <v>20</v>
      </c>
      <c r="O2740" s="1">
        <v>36404</v>
      </c>
      <c r="P2740" t="s">
        <v>41</v>
      </c>
      <c r="Q2740" t="s">
        <v>75</v>
      </c>
      <c r="R2740" t="str">
        <f>"7521022"</f>
        <v>7521022</v>
      </c>
      <c r="S2740" t="s">
        <v>445</v>
      </c>
      <c r="T2740" t="s">
        <v>431</v>
      </c>
      <c r="U2740" t="s">
        <v>196</v>
      </c>
      <c r="V2740" t="s">
        <v>131</v>
      </c>
      <c r="W2740" t="s">
        <v>51</v>
      </c>
      <c r="X2740" t="s">
        <v>45</v>
      </c>
      <c r="Y2740" s="1">
        <v>23359</v>
      </c>
      <c r="Z2740">
        <v>1</v>
      </c>
      <c r="AA2740" t="s">
        <v>196</v>
      </c>
      <c r="AB2740" s="40" t="s">
        <v>1798</v>
      </c>
    </row>
    <row r="2741" spans="1:28" x14ac:dyDescent="0.25">
      <c r="A2741">
        <v>99912740</v>
      </c>
      <c r="B2741" t="s">
        <v>56</v>
      </c>
      <c r="C2741" t="s">
        <v>52</v>
      </c>
      <c r="D2741" t="s">
        <v>53</v>
      </c>
      <c r="G2741" t="s">
        <v>35</v>
      </c>
      <c r="H2741">
        <v>1</v>
      </c>
      <c r="I2741">
        <v>0</v>
      </c>
      <c r="J2741" s="1">
        <v>43344</v>
      </c>
      <c r="K2741" t="s">
        <v>223</v>
      </c>
      <c r="L2741" t="s">
        <v>224</v>
      </c>
      <c r="M2741" t="s">
        <v>131</v>
      </c>
      <c r="N2741">
        <v>20</v>
      </c>
      <c r="O2741" s="1">
        <v>43344</v>
      </c>
      <c r="P2741" t="s">
        <v>41</v>
      </c>
      <c r="Q2741" t="s">
        <v>42</v>
      </c>
      <c r="R2741" t="str">
        <f>"0580206"</f>
        <v>0580206</v>
      </c>
      <c r="S2741" t="s">
        <v>237</v>
      </c>
      <c r="T2741" t="s">
        <v>223</v>
      </c>
      <c r="U2741" t="s">
        <v>224</v>
      </c>
      <c r="V2741" t="s">
        <v>131</v>
      </c>
      <c r="W2741" t="s">
        <v>51</v>
      </c>
      <c r="X2741" t="s">
        <v>45</v>
      </c>
      <c r="Y2741" s="1">
        <v>23352</v>
      </c>
      <c r="Z2741">
        <v>2</v>
      </c>
      <c r="AA2741" t="s">
        <v>224</v>
      </c>
      <c r="AB2741" s="40" t="s">
        <v>1798</v>
      </c>
    </row>
    <row r="2742" spans="1:28" x14ac:dyDescent="0.25">
      <c r="A2742">
        <v>99912741</v>
      </c>
      <c r="B2742" t="s">
        <v>56</v>
      </c>
      <c r="C2742" t="s">
        <v>145</v>
      </c>
      <c r="D2742" t="s">
        <v>146</v>
      </c>
      <c r="G2742" t="s">
        <v>48</v>
      </c>
      <c r="H2742">
        <v>1</v>
      </c>
      <c r="K2742" t="s">
        <v>223</v>
      </c>
      <c r="L2742" t="s">
        <v>224</v>
      </c>
      <c r="M2742" t="s">
        <v>131</v>
      </c>
      <c r="N2742">
        <v>20</v>
      </c>
      <c r="P2742" t="s">
        <v>41</v>
      </c>
      <c r="Q2742" t="s">
        <v>42</v>
      </c>
      <c r="R2742" t="str">
        <f>"0580200"</f>
        <v>0580200</v>
      </c>
      <c r="S2742" t="s">
        <v>245</v>
      </c>
      <c r="T2742" t="s">
        <v>223</v>
      </c>
      <c r="U2742" t="s">
        <v>224</v>
      </c>
      <c r="V2742" t="s">
        <v>131</v>
      </c>
      <c r="W2742" t="s">
        <v>51</v>
      </c>
      <c r="X2742" t="s">
        <v>45</v>
      </c>
      <c r="Y2742" s="1">
        <v>23347</v>
      </c>
      <c r="Z2742">
        <v>2</v>
      </c>
      <c r="AA2742" t="s">
        <v>224</v>
      </c>
      <c r="AB2742" s="40" t="s">
        <v>1798</v>
      </c>
    </row>
    <row r="2743" spans="1:28" x14ac:dyDescent="0.25">
      <c r="A2743">
        <v>99912742</v>
      </c>
      <c r="B2743" t="s">
        <v>56</v>
      </c>
      <c r="C2743" t="s">
        <v>82</v>
      </c>
      <c r="D2743" t="s">
        <v>83</v>
      </c>
      <c r="G2743" t="s">
        <v>48</v>
      </c>
      <c r="H2743">
        <v>1</v>
      </c>
      <c r="K2743" t="s">
        <v>162</v>
      </c>
      <c r="L2743" t="s">
        <v>158</v>
      </c>
      <c r="M2743" t="s">
        <v>131</v>
      </c>
      <c r="N2743">
        <v>20</v>
      </c>
      <c r="P2743" t="s">
        <v>41</v>
      </c>
      <c r="Q2743" t="s">
        <v>42</v>
      </c>
      <c r="R2743" t="str">
        <f>"0580325"</f>
        <v>0580325</v>
      </c>
      <c r="S2743" t="s">
        <v>170</v>
      </c>
      <c r="T2743" t="s">
        <v>162</v>
      </c>
      <c r="U2743" t="s">
        <v>158</v>
      </c>
      <c r="V2743" t="s">
        <v>131</v>
      </c>
      <c r="W2743" t="s">
        <v>51</v>
      </c>
      <c r="X2743" t="s">
        <v>45</v>
      </c>
      <c r="Y2743" s="1">
        <v>23297</v>
      </c>
      <c r="Z2743">
        <v>2</v>
      </c>
      <c r="AA2743" t="s">
        <v>158</v>
      </c>
      <c r="AB2743" s="40" t="s">
        <v>1798</v>
      </c>
    </row>
    <row r="2744" spans="1:28" x14ac:dyDescent="0.25">
      <c r="A2744">
        <v>99912743</v>
      </c>
      <c r="B2744" t="s">
        <v>56</v>
      </c>
      <c r="C2744" t="s">
        <v>111</v>
      </c>
      <c r="D2744" t="s">
        <v>112</v>
      </c>
      <c r="G2744" t="s">
        <v>48</v>
      </c>
      <c r="H2744">
        <v>1</v>
      </c>
      <c r="K2744" t="s">
        <v>268</v>
      </c>
      <c r="L2744" t="s">
        <v>269</v>
      </c>
      <c r="M2744" t="s">
        <v>131</v>
      </c>
      <c r="N2744">
        <v>20</v>
      </c>
      <c r="P2744" t="s">
        <v>41</v>
      </c>
      <c r="Q2744" t="s">
        <v>75</v>
      </c>
      <c r="R2744" t="str">
        <f>"7052042"</f>
        <v>7052042</v>
      </c>
      <c r="S2744" t="s">
        <v>583</v>
      </c>
      <c r="T2744" t="s">
        <v>268</v>
      </c>
      <c r="U2744" t="s">
        <v>269</v>
      </c>
      <c r="V2744" t="s">
        <v>131</v>
      </c>
      <c r="W2744" t="s">
        <v>51</v>
      </c>
      <c r="X2744" t="s">
        <v>45</v>
      </c>
      <c r="Y2744" s="1">
        <v>23286</v>
      </c>
      <c r="Z2744">
        <v>1</v>
      </c>
      <c r="AA2744" t="s">
        <v>269</v>
      </c>
      <c r="AB2744" s="40" t="s">
        <v>1798</v>
      </c>
    </row>
    <row r="2745" spans="1:28" x14ac:dyDescent="0.25">
      <c r="A2745">
        <v>99912744</v>
      </c>
      <c r="B2745" t="s">
        <v>56</v>
      </c>
      <c r="C2745" t="s">
        <v>298</v>
      </c>
      <c r="D2745" t="s">
        <v>299</v>
      </c>
      <c r="G2745" t="s">
        <v>48</v>
      </c>
      <c r="H2745">
        <v>1</v>
      </c>
      <c r="K2745" t="s">
        <v>1187</v>
      </c>
      <c r="L2745" t="s">
        <v>1188</v>
      </c>
      <c r="M2745" t="s">
        <v>1130</v>
      </c>
      <c r="N2745">
        <v>20</v>
      </c>
      <c r="P2745" t="s">
        <v>41</v>
      </c>
      <c r="Q2745" t="s">
        <v>42</v>
      </c>
      <c r="R2745" t="str">
        <f>"4580015"</f>
        <v>4580015</v>
      </c>
      <c r="S2745" t="s">
        <v>1189</v>
      </c>
      <c r="T2745" t="s">
        <v>1187</v>
      </c>
      <c r="U2745" t="s">
        <v>1188</v>
      </c>
      <c r="V2745" t="s">
        <v>1130</v>
      </c>
      <c r="W2745" t="s">
        <v>51</v>
      </c>
      <c r="X2745" t="s">
        <v>45</v>
      </c>
      <c r="Y2745" s="1">
        <v>23279</v>
      </c>
      <c r="Z2745">
        <v>2</v>
      </c>
      <c r="AA2745" t="s">
        <v>1188</v>
      </c>
      <c r="AB2745" s="40" t="s">
        <v>1798</v>
      </c>
    </row>
    <row r="2746" spans="1:28" x14ac:dyDescent="0.25">
      <c r="A2746">
        <v>99912745</v>
      </c>
      <c r="B2746" t="s">
        <v>56</v>
      </c>
      <c r="C2746" t="s">
        <v>52</v>
      </c>
      <c r="D2746" t="s">
        <v>53</v>
      </c>
      <c r="G2746" t="s">
        <v>35</v>
      </c>
      <c r="H2746">
        <v>1</v>
      </c>
      <c r="K2746" t="s">
        <v>223</v>
      </c>
      <c r="L2746" t="s">
        <v>224</v>
      </c>
      <c r="M2746" t="s">
        <v>131</v>
      </c>
      <c r="N2746">
        <v>20</v>
      </c>
      <c r="P2746" t="s">
        <v>41</v>
      </c>
      <c r="Q2746" t="s">
        <v>49</v>
      </c>
      <c r="R2746" t="str">
        <f>"0560018"</f>
        <v>0560018</v>
      </c>
      <c r="S2746" t="s">
        <v>234</v>
      </c>
      <c r="T2746" t="s">
        <v>223</v>
      </c>
      <c r="U2746" t="s">
        <v>224</v>
      </c>
      <c r="V2746" t="s">
        <v>131</v>
      </c>
      <c r="W2746" t="s">
        <v>51</v>
      </c>
      <c r="X2746" t="s">
        <v>45</v>
      </c>
      <c r="Y2746" s="1">
        <v>23251</v>
      </c>
      <c r="Z2746">
        <v>2</v>
      </c>
      <c r="AA2746" t="s">
        <v>224</v>
      </c>
      <c r="AB2746" s="40" t="s">
        <v>1798</v>
      </c>
    </row>
    <row r="2747" spans="1:28" x14ac:dyDescent="0.25">
      <c r="A2747">
        <v>99912746</v>
      </c>
      <c r="B2747" t="s">
        <v>56</v>
      </c>
      <c r="C2747" t="s">
        <v>68</v>
      </c>
      <c r="D2747" t="s">
        <v>69</v>
      </c>
      <c r="G2747" t="s">
        <v>48</v>
      </c>
      <c r="H2747">
        <v>1</v>
      </c>
      <c r="K2747" t="s">
        <v>223</v>
      </c>
      <c r="L2747" t="s">
        <v>224</v>
      </c>
      <c r="M2747" t="s">
        <v>131</v>
      </c>
      <c r="N2747">
        <v>20</v>
      </c>
      <c r="P2747" t="s">
        <v>41</v>
      </c>
      <c r="Q2747" t="s">
        <v>42</v>
      </c>
      <c r="R2747" t="str">
        <f>"0580204"</f>
        <v>0580204</v>
      </c>
      <c r="S2747" t="s">
        <v>235</v>
      </c>
      <c r="T2747" t="s">
        <v>223</v>
      </c>
      <c r="U2747" t="s">
        <v>224</v>
      </c>
      <c r="V2747" t="s">
        <v>131</v>
      </c>
      <c r="W2747" t="s">
        <v>51</v>
      </c>
      <c r="X2747" t="s">
        <v>45</v>
      </c>
      <c r="Y2747" s="1">
        <v>23248</v>
      </c>
      <c r="Z2747">
        <v>2</v>
      </c>
      <c r="AA2747" t="s">
        <v>224</v>
      </c>
      <c r="AB2747" s="40" t="s">
        <v>1798</v>
      </c>
    </row>
    <row r="2748" spans="1:28" x14ac:dyDescent="0.25">
      <c r="A2748">
        <v>99912747</v>
      </c>
      <c r="B2748" t="s">
        <v>32</v>
      </c>
      <c r="C2748" t="s">
        <v>145</v>
      </c>
      <c r="D2748" t="s">
        <v>146</v>
      </c>
      <c r="G2748" t="s">
        <v>35</v>
      </c>
      <c r="H2748">
        <v>1</v>
      </c>
      <c r="K2748" t="s">
        <v>157</v>
      </c>
      <c r="L2748" t="s">
        <v>158</v>
      </c>
      <c r="M2748" t="s">
        <v>131</v>
      </c>
      <c r="N2748">
        <v>20</v>
      </c>
      <c r="P2748" t="s">
        <v>41</v>
      </c>
      <c r="Q2748" t="s">
        <v>42</v>
      </c>
      <c r="R2748" t="str">
        <f>"0580725"</f>
        <v>0580725</v>
      </c>
      <c r="S2748" t="s">
        <v>167</v>
      </c>
      <c r="T2748" t="s">
        <v>157</v>
      </c>
      <c r="U2748" t="s">
        <v>158</v>
      </c>
      <c r="V2748" t="s">
        <v>131</v>
      </c>
      <c r="W2748" t="s">
        <v>51</v>
      </c>
      <c r="X2748" t="s">
        <v>45</v>
      </c>
      <c r="Y2748" s="1">
        <v>23186</v>
      </c>
      <c r="Z2748">
        <v>2</v>
      </c>
      <c r="AA2748" t="s">
        <v>158</v>
      </c>
      <c r="AB2748" s="40" t="s">
        <v>1798</v>
      </c>
    </row>
    <row r="2749" spans="1:28" x14ac:dyDescent="0.25">
      <c r="A2749">
        <v>99912748</v>
      </c>
      <c r="B2749" t="s">
        <v>56</v>
      </c>
      <c r="C2749" t="s">
        <v>68</v>
      </c>
      <c r="D2749" t="s">
        <v>69</v>
      </c>
      <c r="G2749" t="s">
        <v>48</v>
      </c>
      <c r="H2749">
        <v>1</v>
      </c>
      <c r="K2749" t="s">
        <v>1187</v>
      </c>
      <c r="L2749" t="s">
        <v>1188</v>
      </c>
      <c r="M2749" t="s">
        <v>1130</v>
      </c>
      <c r="N2749">
        <v>20</v>
      </c>
      <c r="P2749" t="s">
        <v>41</v>
      </c>
      <c r="Q2749" t="s">
        <v>42</v>
      </c>
      <c r="R2749" t="str">
        <f>"4580015"</f>
        <v>4580015</v>
      </c>
      <c r="S2749" t="s">
        <v>1189</v>
      </c>
      <c r="T2749" t="s">
        <v>1187</v>
      </c>
      <c r="U2749" t="s">
        <v>1188</v>
      </c>
      <c r="V2749" t="s">
        <v>1130</v>
      </c>
      <c r="W2749" t="s">
        <v>51</v>
      </c>
      <c r="X2749" t="s">
        <v>45</v>
      </c>
      <c r="Y2749" s="1">
        <v>23183</v>
      </c>
      <c r="Z2749">
        <v>2</v>
      </c>
      <c r="AA2749" t="s">
        <v>1188</v>
      </c>
      <c r="AB2749" s="40" t="s">
        <v>1798</v>
      </c>
    </row>
    <row r="2750" spans="1:28" x14ac:dyDescent="0.25">
      <c r="A2750">
        <v>99912749</v>
      </c>
      <c r="B2750" t="s">
        <v>32</v>
      </c>
      <c r="C2750" t="s">
        <v>52</v>
      </c>
      <c r="D2750" t="s">
        <v>53</v>
      </c>
      <c r="G2750" t="s">
        <v>48</v>
      </c>
      <c r="H2750">
        <v>1</v>
      </c>
      <c r="K2750" t="s">
        <v>162</v>
      </c>
      <c r="L2750" t="s">
        <v>158</v>
      </c>
      <c r="M2750" t="s">
        <v>131</v>
      </c>
      <c r="N2750">
        <v>20</v>
      </c>
      <c r="P2750" t="s">
        <v>41</v>
      </c>
      <c r="Q2750" t="s">
        <v>42</v>
      </c>
      <c r="R2750" t="str">
        <f>"0580325"</f>
        <v>0580325</v>
      </c>
      <c r="S2750" t="s">
        <v>170</v>
      </c>
      <c r="T2750" t="s">
        <v>162</v>
      </c>
      <c r="U2750" t="s">
        <v>158</v>
      </c>
      <c r="V2750" t="s">
        <v>131</v>
      </c>
      <c r="W2750" t="s">
        <v>51</v>
      </c>
      <c r="X2750" t="s">
        <v>45</v>
      </c>
      <c r="Y2750" s="1">
        <v>23175</v>
      </c>
      <c r="Z2750">
        <v>2</v>
      </c>
      <c r="AA2750" t="s">
        <v>158</v>
      </c>
      <c r="AB2750" s="40" t="s">
        <v>1798</v>
      </c>
    </row>
    <row r="2751" spans="1:28" x14ac:dyDescent="0.25">
      <c r="A2751">
        <v>99912750</v>
      </c>
      <c r="B2751" t="s">
        <v>32</v>
      </c>
      <c r="C2751" t="s">
        <v>145</v>
      </c>
      <c r="D2751" t="s">
        <v>146</v>
      </c>
      <c r="E2751" t="s">
        <v>139</v>
      </c>
      <c r="F2751" t="s">
        <v>140</v>
      </c>
      <c r="G2751" t="s">
        <v>48</v>
      </c>
      <c r="H2751">
        <v>1</v>
      </c>
      <c r="K2751" t="s">
        <v>223</v>
      </c>
      <c r="L2751" t="s">
        <v>224</v>
      </c>
      <c r="M2751" t="s">
        <v>131</v>
      </c>
      <c r="N2751">
        <v>20</v>
      </c>
      <c r="P2751" t="s">
        <v>41</v>
      </c>
      <c r="Q2751" t="s">
        <v>42</v>
      </c>
      <c r="R2751" t="str">
        <f>"0580203"</f>
        <v>0580203</v>
      </c>
      <c r="S2751" t="s">
        <v>239</v>
      </c>
      <c r="T2751" t="s">
        <v>223</v>
      </c>
      <c r="U2751" t="s">
        <v>224</v>
      </c>
      <c r="V2751" t="s">
        <v>131</v>
      </c>
      <c r="W2751" t="s">
        <v>51</v>
      </c>
      <c r="X2751" t="s">
        <v>45</v>
      </c>
      <c r="Y2751" s="1">
        <v>23145</v>
      </c>
      <c r="Z2751">
        <v>2</v>
      </c>
      <c r="AA2751" t="s">
        <v>224</v>
      </c>
      <c r="AB2751" s="40" t="s">
        <v>1798</v>
      </c>
    </row>
    <row r="2752" spans="1:28" x14ac:dyDescent="0.25">
      <c r="A2752">
        <v>99912751</v>
      </c>
      <c r="B2752" t="s">
        <v>56</v>
      </c>
      <c r="C2752" t="s">
        <v>68</v>
      </c>
      <c r="D2752" t="s">
        <v>69</v>
      </c>
      <c r="G2752" t="s">
        <v>35</v>
      </c>
      <c r="H2752">
        <v>1</v>
      </c>
      <c r="K2752" t="s">
        <v>1268</v>
      </c>
      <c r="L2752" t="s">
        <v>1269</v>
      </c>
      <c r="M2752" t="s">
        <v>1270</v>
      </c>
      <c r="N2752">
        <v>20</v>
      </c>
      <c r="P2752" t="s">
        <v>41</v>
      </c>
      <c r="Q2752" t="s">
        <v>49</v>
      </c>
      <c r="R2752" t="str">
        <f>"1981914"</f>
        <v>1981914</v>
      </c>
      <c r="S2752" t="s">
        <v>1287</v>
      </c>
      <c r="T2752" t="s">
        <v>1268</v>
      </c>
      <c r="U2752" t="s">
        <v>1269</v>
      </c>
      <c r="V2752" t="s">
        <v>1270</v>
      </c>
      <c r="W2752" t="s">
        <v>51</v>
      </c>
      <c r="X2752" t="s">
        <v>45</v>
      </c>
      <c r="Y2752" s="1">
        <v>23119</v>
      </c>
      <c r="Z2752">
        <v>2</v>
      </c>
      <c r="AA2752" t="s">
        <v>1269</v>
      </c>
      <c r="AB2752" s="40" t="s">
        <v>1798</v>
      </c>
    </row>
    <row r="2753" spans="1:28" x14ac:dyDescent="0.25">
      <c r="A2753">
        <v>99912752</v>
      </c>
      <c r="B2753" t="s">
        <v>56</v>
      </c>
      <c r="C2753" t="s">
        <v>61</v>
      </c>
      <c r="D2753" t="s">
        <v>62</v>
      </c>
      <c r="G2753" t="s">
        <v>48</v>
      </c>
      <c r="H2753">
        <v>11</v>
      </c>
      <c r="K2753" t="s">
        <v>1268</v>
      </c>
      <c r="L2753" t="s">
        <v>1269</v>
      </c>
      <c r="M2753" t="s">
        <v>1270</v>
      </c>
      <c r="N2753">
        <v>20</v>
      </c>
      <c r="P2753" t="s">
        <v>41</v>
      </c>
      <c r="Q2753" t="s">
        <v>49</v>
      </c>
      <c r="R2753" t="str">
        <f>"1981912"</f>
        <v>1981912</v>
      </c>
      <c r="S2753" t="s">
        <v>1279</v>
      </c>
      <c r="T2753" t="s">
        <v>1268</v>
      </c>
      <c r="U2753" t="s">
        <v>1269</v>
      </c>
      <c r="V2753" t="s">
        <v>1270</v>
      </c>
      <c r="W2753" t="s">
        <v>51</v>
      </c>
      <c r="X2753" t="s">
        <v>45</v>
      </c>
      <c r="Y2753" s="1">
        <v>23112</v>
      </c>
      <c r="Z2753">
        <v>2</v>
      </c>
      <c r="AA2753" t="s">
        <v>1269</v>
      </c>
      <c r="AB2753" s="40" t="s">
        <v>1798</v>
      </c>
    </row>
    <row r="2754" spans="1:28" x14ac:dyDescent="0.25">
      <c r="A2754">
        <v>99912753</v>
      </c>
      <c r="B2754" t="s">
        <v>56</v>
      </c>
      <c r="C2754" t="s">
        <v>52</v>
      </c>
      <c r="D2754" t="s">
        <v>53</v>
      </c>
      <c r="G2754" t="s">
        <v>35</v>
      </c>
      <c r="H2754">
        <v>1</v>
      </c>
      <c r="K2754" t="s">
        <v>223</v>
      </c>
      <c r="L2754" t="s">
        <v>224</v>
      </c>
      <c r="M2754" t="s">
        <v>131</v>
      </c>
      <c r="N2754">
        <v>20</v>
      </c>
      <c r="P2754" t="s">
        <v>41</v>
      </c>
      <c r="Q2754" t="s">
        <v>42</v>
      </c>
      <c r="R2754" t="str">
        <f>"0580207"</f>
        <v>0580207</v>
      </c>
      <c r="S2754" t="s">
        <v>229</v>
      </c>
      <c r="T2754" t="s">
        <v>223</v>
      </c>
      <c r="U2754" t="s">
        <v>224</v>
      </c>
      <c r="V2754" t="s">
        <v>131</v>
      </c>
      <c r="W2754" t="s">
        <v>51</v>
      </c>
      <c r="X2754" t="s">
        <v>45</v>
      </c>
      <c r="Y2754" s="1">
        <v>23096</v>
      </c>
      <c r="Z2754">
        <v>2</v>
      </c>
      <c r="AA2754" t="s">
        <v>224</v>
      </c>
      <c r="AB2754" s="40" t="s">
        <v>1798</v>
      </c>
    </row>
    <row r="2755" spans="1:28" x14ac:dyDescent="0.25">
      <c r="A2755">
        <v>99912754</v>
      </c>
      <c r="B2755" t="s">
        <v>56</v>
      </c>
      <c r="C2755" t="s">
        <v>52</v>
      </c>
      <c r="D2755" t="s">
        <v>53</v>
      </c>
      <c r="G2755" t="s">
        <v>48</v>
      </c>
      <c r="H2755">
        <v>1</v>
      </c>
      <c r="K2755" t="s">
        <v>223</v>
      </c>
      <c r="L2755" t="s">
        <v>224</v>
      </c>
      <c r="M2755" t="s">
        <v>131</v>
      </c>
      <c r="N2755">
        <v>20</v>
      </c>
      <c r="P2755" t="s">
        <v>41</v>
      </c>
      <c r="Q2755" t="s">
        <v>42</v>
      </c>
      <c r="R2755" t="str">
        <f>"0580204"</f>
        <v>0580204</v>
      </c>
      <c r="S2755" t="s">
        <v>235</v>
      </c>
      <c r="T2755" t="s">
        <v>223</v>
      </c>
      <c r="U2755" t="s">
        <v>224</v>
      </c>
      <c r="V2755" t="s">
        <v>131</v>
      </c>
      <c r="W2755" t="s">
        <v>165</v>
      </c>
      <c r="X2755" t="s">
        <v>45</v>
      </c>
      <c r="Y2755" s="1">
        <v>23076</v>
      </c>
      <c r="Z2755">
        <v>2</v>
      </c>
      <c r="AA2755" t="s">
        <v>224</v>
      </c>
      <c r="AB2755" s="40" t="s">
        <v>1798</v>
      </c>
    </row>
    <row r="2756" spans="1:28" x14ac:dyDescent="0.25">
      <c r="A2756">
        <v>99912755</v>
      </c>
      <c r="B2756" t="s">
        <v>56</v>
      </c>
      <c r="C2756" t="s">
        <v>52</v>
      </c>
      <c r="D2756" t="s">
        <v>53</v>
      </c>
      <c r="G2756" t="s">
        <v>35</v>
      </c>
      <c r="H2756">
        <v>1</v>
      </c>
      <c r="K2756" t="s">
        <v>1546</v>
      </c>
      <c r="L2756" t="s">
        <v>1547</v>
      </c>
      <c r="M2756" t="s">
        <v>1548</v>
      </c>
      <c r="N2756">
        <v>20</v>
      </c>
      <c r="P2756" t="s">
        <v>41</v>
      </c>
      <c r="Q2756" t="s">
        <v>42</v>
      </c>
      <c r="R2756" t="str">
        <f>"1061001"</f>
        <v>1061001</v>
      </c>
      <c r="S2756" t="s">
        <v>1550</v>
      </c>
      <c r="T2756" t="s">
        <v>1546</v>
      </c>
      <c r="U2756" t="s">
        <v>1547</v>
      </c>
      <c r="V2756" t="s">
        <v>1548</v>
      </c>
      <c r="W2756" t="s">
        <v>165</v>
      </c>
      <c r="X2756" t="s">
        <v>45</v>
      </c>
      <c r="Y2756" s="1">
        <v>23052</v>
      </c>
      <c r="Z2756">
        <v>2</v>
      </c>
      <c r="AA2756" t="s">
        <v>1547</v>
      </c>
      <c r="AB2756" s="40" t="s">
        <v>1798</v>
      </c>
    </row>
    <row r="2757" spans="1:28" x14ac:dyDescent="0.25">
      <c r="A2757">
        <v>99912756</v>
      </c>
      <c r="B2757" t="s">
        <v>32</v>
      </c>
      <c r="C2757" t="s">
        <v>68</v>
      </c>
      <c r="D2757" t="s">
        <v>69</v>
      </c>
      <c r="G2757" t="s">
        <v>48</v>
      </c>
      <c r="H2757">
        <v>1</v>
      </c>
      <c r="K2757" t="s">
        <v>345</v>
      </c>
      <c r="L2757" t="s">
        <v>346</v>
      </c>
      <c r="M2757" t="s">
        <v>131</v>
      </c>
      <c r="N2757">
        <v>20</v>
      </c>
      <c r="P2757" t="s">
        <v>41</v>
      </c>
      <c r="Q2757" t="s">
        <v>42</v>
      </c>
      <c r="R2757" t="str">
        <f>"0561019"</f>
        <v>0561019</v>
      </c>
      <c r="S2757" t="s">
        <v>351</v>
      </c>
      <c r="T2757" t="s">
        <v>345</v>
      </c>
      <c r="U2757" t="s">
        <v>346</v>
      </c>
      <c r="V2757" t="s">
        <v>131</v>
      </c>
      <c r="W2757" t="s">
        <v>51</v>
      </c>
      <c r="X2757" t="s">
        <v>45</v>
      </c>
      <c r="Y2757" s="1">
        <v>23012</v>
      </c>
      <c r="Z2757">
        <v>2</v>
      </c>
      <c r="AA2757" t="s">
        <v>346</v>
      </c>
      <c r="AB2757" s="40" t="s">
        <v>1798</v>
      </c>
    </row>
    <row r="2758" spans="1:28" x14ac:dyDescent="0.25">
      <c r="A2758">
        <v>99912757</v>
      </c>
      <c r="B2758" t="s">
        <v>32</v>
      </c>
      <c r="C2758" t="s">
        <v>117</v>
      </c>
      <c r="D2758" t="s">
        <v>118</v>
      </c>
      <c r="G2758" t="s">
        <v>88</v>
      </c>
      <c r="H2758">
        <v>5</v>
      </c>
      <c r="K2758" t="s">
        <v>354</v>
      </c>
      <c r="L2758" t="s">
        <v>355</v>
      </c>
      <c r="M2758" t="s">
        <v>131</v>
      </c>
      <c r="N2758">
        <v>20</v>
      </c>
      <c r="P2758" t="s">
        <v>41</v>
      </c>
      <c r="Q2758" t="s">
        <v>75</v>
      </c>
      <c r="R2758" t="str">
        <f>"7054000"</f>
        <v>7054000</v>
      </c>
      <c r="S2758" t="s">
        <v>786</v>
      </c>
      <c r="T2758" t="s">
        <v>354</v>
      </c>
      <c r="U2758" t="s">
        <v>355</v>
      </c>
      <c r="V2758" t="s">
        <v>131</v>
      </c>
      <c r="W2758" t="s">
        <v>51</v>
      </c>
      <c r="X2758" t="s">
        <v>45</v>
      </c>
      <c r="Y2758" s="1">
        <v>23012</v>
      </c>
      <c r="Z2758">
        <v>1</v>
      </c>
      <c r="AA2758" t="s">
        <v>355</v>
      </c>
      <c r="AB2758" s="40" t="s">
        <v>1798</v>
      </c>
    </row>
    <row r="2759" spans="1:28" x14ac:dyDescent="0.25">
      <c r="A2759">
        <v>99912758</v>
      </c>
      <c r="B2759" t="s">
        <v>32</v>
      </c>
      <c r="C2759" t="s">
        <v>141</v>
      </c>
      <c r="D2759" t="s">
        <v>142</v>
      </c>
      <c r="G2759" t="s">
        <v>35</v>
      </c>
      <c r="H2759">
        <v>1</v>
      </c>
      <c r="K2759" t="s">
        <v>963</v>
      </c>
      <c r="L2759" t="s">
        <v>964</v>
      </c>
      <c r="M2759" t="s">
        <v>938</v>
      </c>
      <c r="N2759">
        <v>20</v>
      </c>
      <c r="P2759" t="s">
        <v>41</v>
      </c>
      <c r="Q2759" t="s">
        <v>75</v>
      </c>
      <c r="R2759" t="str">
        <f>"7061000"</f>
        <v>7061000</v>
      </c>
      <c r="S2759" t="s">
        <v>962</v>
      </c>
      <c r="T2759" t="s">
        <v>963</v>
      </c>
      <c r="U2759" t="s">
        <v>964</v>
      </c>
      <c r="V2759" t="s">
        <v>938</v>
      </c>
      <c r="W2759" t="s">
        <v>165</v>
      </c>
      <c r="X2759" t="s">
        <v>45</v>
      </c>
      <c r="Y2759" s="1">
        <v>22979</v>
      </c>
      <c r="Z2759">
        <v>1</v>
      </c>
      <c r="AA2759" t="s">
        <v>964</v>
      </c>
      <c r="AB2759" s="40" t="s">
        <v>1798</v>
      </c>
    </row>
    <row r="2760" spans="1:28" x14ac:dyDescent="0.25">
      <c r="A2760">
        <v>99912759</v>
      </c>
      <c r="B2760" t="s">
        <v>32</v>
      </c>
      <c r="C2760" t="s">
        <v>68</v>
      </c>
      <c r="D2760" t="s">
        <v>69</v>
      </c>
      <c r="G2760" t="s">
        <v>48</v>
      </c>
      <c r="H2760">
        <v>1</v>
      </c>
      <c r="K2760" t="s">
        <v>223</v>
      </c>
      <c r="L2760" t="s">
        <v>224</v>
      </c>
      <c r="M2760" t="s">
        <v>131</v>
      </c>
      <c r="N2760">
        <v>20</v>
      </c>
      <c r="P2760" t="s">
        <v>41</v>
      </c>
      <c r="Q2760" t="s">
        <v>49</v>
      </c>
      <c r="R2760" t="str">
        <f>"0581200"</f>
        <v>0581200</v>
      </c>
      <c r="S2760" t="s">
        <v>238</v>
      </c>
      <c r="T2760" t="s">
        <v>223</v>
      </c>
      <c r="U2760" t="s">
        <v>224</v>
      </c>
      <c r="V2760" t="s">
        <v>131</v>
      </c>
      <c r="W2760" t="s">
        <v>51</v>
      </c>
      <c r="X2760" t="s">
        <v>45</v>
      </c>
      <c r="Y2760" s="1">
        <v>22943</v>
      </c>
      <c r="Z2760">
        <v>2</v>
      </c>
      <c r="AA2760" t="s">
        <v>224</v>
      </c>
      <c r="AB2760" s="40" t="s">
        <v>1798</v>
      </c>
    </row>
    <row r="2761" spans="1:28" x14ac:dyDescent="0.25">
      <c r="A2761">
        <v>99912760</v>
      </c>
      <c r="B2761" t="s">
        <v>56</v>
      </c>
      <c r="C2761" t="s">
        <v>52</v>
      </c>
      <c r="D2761" t="s">
        <v>53</v>
      </c>
      <c r="G2761" t="s">
        <v>48</v>
      </c>
      <c r="H2761">
        <v>1</v>
      </c>
      <c r="K2761" t="s">
        <v>380</v>
      </c>
      <c r="L2761" t="s">
        <v>381</v>
      </c>
      <c r="M2761" t="s">
        <v>131</v>
      </c>
      <c r="N2761">
        <v>20</v>
      </c>
      <c r="P2761" t="s">
        <v>41</v>
      </c>
      <c r="Q2761" t="s">
        <v>42</v>
      </c>
      <c r="R2761" t="str">
        <f>"0590909"</f>
        <v>0590909</v>
      </c>
      <c r="S2761" t="s">
        <v>388</v>
      </c>
      <c r="T2761" t="s">
        <v>380</v>
      </c>
      <c r="U2761" t="s">
        <v>381</v>
      </c>
      <c r="V2761" t="s">
        <v>131</v>
      </c>
      <c r="W2761" t="s">
        <v>51</v>
      </c>
      <c r="X2761" t="s">
        <v>45</v>
      </c>
      <c r="Y2761" s="1">
        <v>22936</v>
      </c>
      <c r="Z2761">
        <v>2</v>
      </c>
      <c r="AA2761" t="s">
        <v>381</v>
      </c>
      <c r="AB2761" s="40" t="s">
        <v>1798</v>
      </c>
    </row>
    <row r="2762" spans="1:28" x14ac:dyDescent="0.25">
      <c r="A2762">
        <v>99912761</v>
      </c>
      <c r="B2762" t="s">
        <v>32</v>
      </c>
      <c r="C2762" t="s">
        <v>139</v>
      </c>
      <c r="D2762" t="s">
        <v>140</v>
      </c>
      <c r="G2762" t="s">
        <v>48</v>
      </c>
      <c r="H2762">
        <v>1</v>
      </c>
      <c r="K2762" t="s">
        <v>223</v>
      </c>
      <c r="L2762" t="s">
        <v>224</v>
      </c>
      <c r="M2762" t="s">
        <v>131</v>
      </c>
      <c r="N2762">
        <v>20</v>
      </c>
      <c r="P2762" t="s">
        <v>41</v>
      </c>
      <c r="Q2762" t="s">
        <v>49</v>
      </c>
      <c r="R2762" t="str">
        <f>"0581206"</f>
        <v>0581206</v>
      </c>
      <c r="S2762" t="s">
        <v>232</v>
      </c>
      <c r="T2762" t="s">
        <v>223</v>
      </c>
      <c r="U2762" t="s">
        <v>224</v>
      </c>
      <c r="V2762" t="s">
        <v>131</v>
      </c>
      <c r="W2762" t="s">
        <v>51</v>
      </c>
      <c r="X2762" t="s">
        <v>45</v>
      </c>
      <c r="Y2762" s="1">
        <v>22930</v>
      </c>
      <c r="Z2762">
        <v>2</v>
      </c>
      <c r="AA2762" t="s">
        <v>224</v>
      </c>
      <c r="AB2762" s="40" t="s">
        <v>1798</v>
      </c>
    </row>
    <row r="2763" spans="1:28" x14ac:dyDescent="0.25">
      <c r="A2763">
        <v>99912762</v>
      </c>
      <c r="B2763" t="s">
        <v>32</v>
      </c>
      <c r="C2763" t="s">
        <v>33</v>
      </c>
      <c r="D2763" t="s">
        <v>34</v>
      </c>
      <c r="G2763" t="s">
        <v>35</v>
      </c>
      <c r="H2763">
        <v>1</v>
      </c>
      <c r="K2763" t="s">
        <v>223</v>
      </c>
      <c r="L2763" t="s">
        <v>224</v>
      </c>
      <c r="M2763" t="s">
        <v>131</v>
      </c>
      <c r="N2763">
        <v>20</v>
      </c>
      <c r="P2763" t="s">
        <v>41</v>
      </c>
      <c r="Q2763" t="s">
        <v>42</v>
      </c>
      <c r="R2763" t="str">
        <f>"0580345"</f>
        <v>0580345</v>
      </c>
      <c r="S2763" t="s">
        <v>261</v>
      </c>
      <c r="T2763" t="s">
        <v>223</v>
      </c>
      <c r="U2763" t="s">
        <v>224</v>
      </c>
      <c r="V2763" t="s">
        <v>131</v>
      </c>
      <c r="W2763" t="s">
        <v>51</v>
      </c>
      <c r="X2763" t="s">
        <v>45</v>
      </c>
      <c r="Y2763" s="1">
        <v>22885</v>
      </c>
      <c r="Z2763">
        <v>2</v>
      </c>
      <c r="AA2763" t="s">
        <v>224</v>
      </c>
      <c r="AB2763" s="40" t="s">
        <v>1798</v>
      </c>
    </row>
    <row r="2764" spans="1:28" x14ac:dyDescent="0.25">
      <c r="A2764">
        <v>99912763</v>
      </c>
      <c r="B2764" t="s">
        <v>56</v>
      </c>
      <c r="C2764" t="s">
        <v>68</v>
      </c>
      <c r="D2764" t="s">
        <v>69</v>
      </c>
      <c r="G2764" t="s">
        <v>35</v>
      </c>
      <c r="H2764">
        <v>1</v>
      </c>
      <c r="I2764">
        <v>0</v>
      </c>
      <c r="J2764" s="1">
        <v>43344</v>
      </c>
      <c r="K2764" t="s">
        <v>223</v>
      </c>
      <c r="L2764" t="s">
        <v>224</v>
      </c>
      <c r="M2764" t="s">
        <v>131</v>
      </c>
      <c r="N2764">
        <v>20</v>
      </c>
      <c r="O2764" s="1">
        <v>43344</v>
      </c>
      <c r="P2764" t="s">
        <v>41</v>
      </c>
      <c r="Q2764" t="s">
        <v>42</v>
      </c>
      <c r="R2764" t="str">
        <f>"0580206"</f>
        <v>0580206</v>
      </c>
      <c r="S2764" t="s">
        <v>237</v>
      </c>
      <c r="T2764" t="s">
        <v>223</v>
      </c>
      <c r="U2764" t="s">
        <v>224</v>
      </c>
      <c r="V2764" t="s">
        <v>131</v>
      </c>
      <c r="W2764" t="s">
        <v>51</v>
      </c>
      <c r="X2764" t="s">
        <v>45</v>
      </c>
      <c r="Y2764" s="1">
        <v>22874</v>
      </c>
      <c r="Z2764">
        <v>2</v>
      </c>
      <c r="AA2764" t="s">
        <v>224</v>
      </c>
      <c r="AB2764" s="40" t="s">
        <v>1798</v>
      </c>
    </row>
    <row r="2765" spans="1:28" x14ac:dyDescent="0.25">
      <c r="A2765">
        <v>99912764</v>
      </c>
      <c r="B2765" t="s">
        <v>32</v>
      </c>
      <c r="C2765" t="s">
        <v>139</v>
      </c>
      <c r="D2765" t="s">
        <v>140</v>
      </c>
      <c r="G2765" t="s">
        <v>48</v>
      </c>
      <c r="H2765">
        <v>1</v>
      </c>
      <c r="K2765" t="s">
        <v>223</v>
      </c>
      <c r="L2765" t="s">
        <v>224</v>
      </c>
      <c r="M2765" t="s">
        <v>131</v>
      </c>
      <c r="N2765">
        <v>20</v>
      </c>
      <c r="P2765" t="s">
        <v>41</v>
      </c>
      <c r="Q2765" t="s">
        <v>49</v>
      </c>
      <c r="R2765" t="str">
        <f>"0591910"</f>
        <v>0591910</v>
      </c>
      <c r="S2765" t="s">
        <v>228</v>
      </c>
      <c r="T2765" t="s">
        <v>223</v>
      </c>
      <c r="U2765" t="s">
        <v>224</v>
      </c>
      <c r="V2765" t="s">
        <v>131</v>
      </c>
      <c r="W2765" t="s">
        <v>51</v>
      </c>
      <c r="X2765" t="s">
        <v>45</v>
      </c>
      <c r="Y2765" s="1">
        <v>22823</v>
      </c>
      <c r="Z2765">
        <v>2</v>
      </c>
      <c r="AA2765" t="s">
        <v>224</v>
      </c>
      <c r="AB2765" s="40" t="s">
        <v>1798</v>
      </c>
    </row>
    <row r="2766" spans="1:28" x14ac:dyDescent="0.25">
      <c r="A2766">
        <v>99912765</v>
      </c>
      <c r="B2766" t="s">
        <v>32</v>
      </c>
      <c r="C2766" t="s">
        <v>139</v>
      </c>
      <c r="D2766" t="s">
        <v>140</v>
      </c>
      <c r="G2766" t="s">
        <v>48</v>
      </c>
      <c r="H2766">
        <v>1</v>
      </c>
      <c r="K2766" t="s">
        <v>1268</v>
      </c>
      <c r="L2766" t="s">
        <v>1269</v>
      </c>
      <c r="M2766" t="s">
        <v>1270</v>
      </c>
      <c r="N2766">
        <v>20</v>
      </c>
      <c r="P2766" t="s">
        <v>41</v>
      </c>
      <c r="Q2766" t="s">
        <v>49</v>
      </c>
      <c r="R2766" t="str">
        <f>"1981912"</f>
        <v>1981912</v>
      </c>
      <c r="S2766" t="s">
        <v>1279</v>
      </c>
      <c r="T2766" t="s">
        <v>1268</v>
      </c>
      <c r="U2766" t="s">
        <v>1269</v>
      </c>
      <c r="V2766" t="s">
        <v>1270</v>
      </c>
      <c r="W2766" t="s">
        <v>51</v>
      </c>
      <c r="X2766" t="s">
        <v>45</v>
      </c>
      <c r="Y2766" s="1">
        <v>22816</v>
      </c>
      <c r="Z2766">
        <v>2</v>
      </c>
      <c r="AA2766" t="s">
        <v>1269</v>
      </c>
      <c r="AB2766" s="40" t="s">
        <v>1798</v>
      </c>
    </row>
    <row r="2767" spans="1:28" x14ac:dyDescent="0.25">
      <c r="A2767">
        <v>99912766</v>
      </c>
      <c r="B2767" t="s">
        <v>56</v>
      </c>
      <c r="C2767" t="s">
        <v>52</v>
      </c>
      <c r="D2767" t="s">
        <v>53</v>
      </c>
      <c r="G2767" t="s">
        <v>35</v>
      </c>
      <c r="H2767">
        <v>1</v>
      </c>
      <c r="K2767" t="s">
        <v>157</v>
      </c>
      <c r="L2767" t="s">
        <v>158</v>
      </c>
      <c r="M2767" t="s">
        <v>131</v>
      </c>
      <c r="N2767">
        <v>20</v>
      </c>
      <c r="P2767" t="s">
        <v>41</v>
      </c>
      <c r="Q2767" t="s">
        <v>42</v>
      </c>
      <c r="R2767" t="str">
        <f>"0561005"</f>
        <v>0561005</v>
      </c>
      <c r="S2767" t="s">
        <v>174</v>
      </c>
      <c r="T2767" t="s">
        <v>157</v>
      </c>
      <c r="U2767" t="s">
        <v>158</v>
      </c>
      <c r="V2767" t="s">
        <v>131</v>
      </c>
      <c r="W2767" t="s">
        <v>51</v>
      </c>
      <c r="X2767" t="s">
        <v>45</v>
      </c>
      <c r="Y2767" s="1">
        <v>22791</v>
      </c>
      <c r="Z2767">
        <v>2</v>
      </c>
      <c r="AA2767" t="s">
        <v>158</v>
      </c>
      <c r="AB2767" s="40" t="s">
        <v>1798</v>
      </c>
    </row>
    <row r="2768" spans="1:28" x14ac:dyDescent="0.25">
      <c r="A2768">
        <v>99912767</v>
      </c>
      <c r="B2768" t="s">
        <v>56</v>
      </c>
      <c r="C2768" t="s">
        <v>68</v>
      </c>
      <c r="D2768" t="s">
        <v>69</v>
      </c>
      <c r="G2768" t="s">
        <v>48</v>
      </c>
      <c r="H2768">
        <v>1</v>
      </c>
      <c r="K2768" t="s">
        <v>129</v>
      </c>
      <c r="L2768" t="s">
        <v>130</v>
      </c>
      <c r="M2768" t="s">
        <v>131</v>
      </c>
      <c r="N2768">
        <v>20</v>
      </c>
      <c r="P2768" t="s">
        <v>41</v>
      </c>
      <c r="Q2768" t="s">
        <v>42</v>
      </c>
      <c r="R2768" t="str">
        <f>"0590905"</f>
        <v>0590905</v>
      </c>
      <c r="S2768" t="s">
        <v>133</v>
      </c>
      <c r="T2768" t="s">
        <v>129</v>
      </c>
      <c r="U2768" t="s">
        <v>130</v>
      </c>
      <c r="V2768" t="s">
        <v>131</v>
      </c>
      <c r="W2768" t="s">
        <v>51</v>
      </c>
      <c r="X2768" t="s">
        <v>45</v>
      </c>
      <c r="Y2768" s="1">
        <v>22734</v>
      </c>
      <c r="Z2768">
        <v>2</v>
      </c>
      <c r="AA2768" t="s">
        <v>130</v>
      </c>
      <c r="AB2768" s="40" t="s">
        <v>1798</v>
      </c>
    </row>
    <row r="2769" spans="1:28" x14ac:dyDescent="0.25">
      <c r="A2769">
        <v>99912768</v>
      </c>
      <c r="B2769" t="s">
        <v>32</v>
      </c>
      <c r="C2769" t="s">
        <v>52</v>
      </c>
      <c r="D2769" t="s">
        <v>53</v>
      </c>
      <c r="G2769" t="s">
        <v>48</v>
      </c>
      <c r="H2769">
        <v>1</v>
      </c>
      <c r="K2769" t="s">
        <v>223</v>
      </c>
      <c r="L2769" t="s">
        <v>224</v>
      </c>
      <c r="M2769" t="s">
        <v>131</v>
      </c>
      <c r="N2769">
        <v>20</v>
      </c>
      <c r="P2769" t="s">
        <v>41</v>
      </c>
      <c r="Q2769" t="s">
        <v>49</v>
      </c>
      <c r="R2769" t="str">
        <f>"0581200"</f>
        <v>0581200</v>
      </c>
      <c r="S2769" t="s">
        <v>238</v>
      </c>
      <c r="T2769" t="s">
        <v>223</v>
      </c>
      <c r="U2769" t="s">
        <v>224</v>
      </c>
      <c r="V2769" t="s">
        <v>131</v>
      </c>
      <c r="W2769" t="s">
        <v>51</v>
      </c>
      <c r="X2769" t="s">
        <v>45</v>
      </c>
      <c r="Y2769" s="1">
        <v>22613</v>
      </c>
      <c r="Z2769">
        <v>2</v>
      </c>
      <c r="AA2769" t="s">
        <v>224</v>
      </c>
      <c r="AB2769" s="40" t="s">
        <v>1798</v>
      </c>
    </row>
    <row r="2770" spans="1:28" x14ac:dyDescent="0.25">
      <c r="A2770">
        <v>99912769</v>
      </c>
      <c r="B2770" t="s">
        <v>56</v>
      </c>
      <c r="C2770" t="s">
        <v>33</v>
      </c>
      <c r="D2770" t="s">
        <v>34</v>
      </c>
      <c r="G2770" t="s">
        <v>48</v>
      </c>
      <c r="H2770">
        <v>1</v>
      </c>
      <c r="K2770" t="s">
        <v>157</v>
      </c>
      <c r="L2770" t="s">
        <v>158</v>
      </c>
      <c r="M2770" t="s">
        <v>131</v>
      </c>
      <c r="N2770">
        <v>20</v>
      </c>
      <c r="P2770" t="s">
        <v>41</v>
      </c>
      <c r="Q2770" t="s">
        <v>42</v>
      </c>
      <c r="R2770" t="str">
        <f>"0580735"</f>
        <v>0580735</v>
      </c>
      <c r="S2770" t="s">
        <v>180</v>
      </c>
      <c r="T2770" t="s">
        <v>157</v>
      </c>
      <c r="U2770" t="s">
        <v>158</v>
      </c>
      <c r="V2770" t="s">
        <v>131</v>
      </c>
      <c r="W2770" t="s">
        <v>51</v>
      </c>
      <c r="X2770" t="s">
        <v>45</v>
      </c>
      <c r="Y2770" s="1">
        <v>22546</v>
      </c>
      <c r="Z2770">
        <v>2</v>
      </c>
      <c r="AA2770" t="s">
        <v>158</v>
      </c>
      <c r="AB2770" s="40" t="s">
        <v>1798</v>
      </c>
    </row>
    <row r="2771" spans="1:28" x14ac:dyDescent="0.25">
      <c r="A2771">
        <v>99912770</v>
      </c>
      <c r="B2771" t="s">
        <v>56</v>
      </c>
      <c r="C2771" t="s">
        <v>52</v>
      </c>
      <c r="D2771" t="s">
        <v>53</v>
      </c>
      <c r="G2771" t="s">
        <v>48</v>
      </c>
      <c r="H2771">
        <v>1</v>
      </c>
      <c r="K2771" t="s">
        <v>157</v>
      </c>
      <c r="L2771" t="s">
        <v>158</v>
      </c>
      <c r="M2771" t="s">
        <v>131</v>
      </c>
      <c r="N2771">
        <v>20</v>
      </c>
      <c r="P2771" t="s">
        <v>41</v>
      </c>
      <c r="Q2771" t="s">
        <v>42</v>
      </c>
      <c r="R2771" t="str">
        <f>"0580735"</f>
        <v>0580735</v>
      </c>
      <c r="S2771" t="s">
        <v>180</v>
      </c>
      <c r="T2771" t="s">
        <v>157</v>
      </c>
      <c r="U2771" t="s">
        <v>158</v>
      </c>
      <c r="V2771" t="s">
        <v>131</v>
      </c>
      <c r="W2771" t="s">
        <v>51</v>
      </c>
      <c r="X2771" t="s">
        <v>45</v>
      </c>
      <c r="Y2771" s="1">
        <v>22541</v>
      </c>
      <c r="Z2771">
        <v>2</v>
      </c>
      <c r="AA2771" t="s">
        <v>158</v>
      </c>
      <c r="AB2771" s="40" t="s">
        <v>1798</v>
      </c>
    </row>
    <row r="2772" spans="1:28" x14ac:dyDescent="0.25">
      <c r="A2772">
        <v>99912771</v>
      </c>
      <c r="B2772" t="s">
        <v>56</v>
      </c>
      <c r="C2772" t="s">
        <v>52</v>
      </c>
      <c r="D2772" t="s">
        <v>53</v>
      </c>
      <c r="G2772" t="s">
        <v>35</v>
      </c>
      <c r="H2772">
        <v>1</v>
      </c>
      <c r="I2772">
        <v>0</v>
      </c>
      <c r="J2772" s="1">
        <v>43344</v>
      </c>
      <c r="K2772" t="s">
        <v>223</v>
      </c>
      <c r="L2772" t="s">
        <v>224</v>
      </c>
      <c r="M2772" t="s">
        <v>131</v>
      </c>
      <c r="N2772">
        <v>20</v>
      </c>
      <c r="O2772" s="1">
        <v>43344</v>
      </c>
      <c r="P2772" t="s">
        <v>41</v>
      </c>
      <c r="Q2772" t="s">
        <v>42</v>
      </c>
      <c r="R2772" t="str">
        <f>"0580206"</f>
        <v>0580206</v>
      </c>
      <c r="S2772" t="s">
        <v>237</v>
      </c>
      <c r="T2772" t="s">
        <v>223</v>
      </c>
      <c r="U2772" t="s">
        <v>224</v>
      </c>
      <c r="V2772" t="s">
        <v>131</v>
      </c>
      <c r="W2772" t="s">
        <v>51</v>
      </c>
      <c r="X2772" t="s">
        <v>45</v>
      </c>
      <c r="Y2772" s="1">
        <v>22475</v>
      </c>
      <c r="Z2772">
        <v>2</v>
      </c>
      <c r="AA2772" t="s">
        <v>224</v>
      </c>
      <c r="AB2772" s="40" t="s">
        <v>1798</v>
      </c>
    </row>
    <row r="2773" spans="1:28" x14ac:dyDescent="0.25">
      <c r="A2773">
        <v>99912772</v>
      </c>
      <c r="B2773" t="s">
        <v>56</v>
      </c>
      <c r="C2773" t="s">
        <v>52</v>
      </c>
      <c r="D2773" t="s">
        <v>53</v>
      </c>
      <c r="G2773" t="s">
        <v>35</v>
      </c>
      <c r="H2773">
        <v>1</v>
      </c>
      <c r="I2773">
        <v>0</v>
      </c>
      <c r="J2773" s="1">
        <v>43344</v>
      </c>
      <c r="K2773" t="s">
        <v>223</v>
      </c>
      <c r="L2773" t="s">
        <v>224</v>
      </c>
      <c r="M2773" t="s">
        <v>131</v>
      </c>
      <c r="N2773">
        <v>20</v>
      </c>
      <c r="O2773" s="1">
        <v>43344</v>
      </c>
      <c r="P2773" t="s">
        <v>41</v>
      </c>
      <c r="Q2773" t="s">
        <v>42</v>
      </c>
      <c r="R2773" t="str">
        <f>"0580206"</f>
        <v>0580206</v>
      </c>
      <c r="S2773" t="s">
        <v>237</v>
      </c>
      <c r="T2773" t="s">
        <v>223</v>
      </c>
      <c r="U2773" t="s">
        <v>224</v>
      </c>
      <c r="V2773" t="s">
        <v>131</v>
      </c>
      <c r="W2773" t="s">
        <v>51</v>
      </c>
      <c r="X2773" t="s">
        <v>45</v>
      </c>
      <c r="Y2773" s="1">
        <v>22429</v>
      </c>
      <c r="Z2773">
        <v>2</v>
      </c>
      <c r="AA2773" t="s">
        <v>224</v>
      </c>
      <c r="AB2773" s="40" t="s">
        <v>1798</v>
      </c>
    </row>
    <row r="2774" spans="1:28" x14ac:dyDescent="0.25">
      <c r="A2774">
        <v>99912773</v>
      </c>
      <c r="B2774" t="s">
        <v>32</v>
      </c>
      <c r="C2774" t="s">
        <v>90</v>
      </c>
      <c r="D2774" t="s">
        <v>91</v>
      </c>
      <c r="G2774" t="s">
        <v>35</v>
      </c>
      <c r="H2774">
        <v>1</v>
      </c>
      <c r="K2774" t="s">
        <v>154</v>
      </c>
      <c r="L2774" t="s">
        <v>155</v>
      </c>
      <c r="M2774" t="s">
        <v>131</v>
      </c>
      <c r="N2774">
        <v>20</v>
      </c>
      <c r="P2774" t="s">
        <v>41</v>
      </c>
      <c r="Q2774" t="s">
        <v>95</v>
      </c>
      <c r="R2774" t="str">
        <f>"7051109"</f>
        <v>7051109</v>
      </c>
      <c r="S2774" t="s">
        <v>414</v>
      </c>
      <c r="T2774" t="s">
        <v>154</v>
      </c>
      <c r="U2774" t="s">
        <v>155</v>
      </c>
      <c r="V2774" t="s">
        <v>131</v>
      </c>
      <c r="W2774" t="s">
        <v>51</v>
      </c>
      <c r="X2774" t="s">
        <v>45</v>
      </c>
      <c r="Y2774" s="1">
        <v>22314</v>
      </c>
      <c r="Z2774">
        <v>1</v>
      </c>
      <c r="AA2774" t="s">
        <v>155</v>
      </c>
      <c r="AB2774" s="40" t="s">
        <v>1798</v>
      </c>
    </row>
    <row r="2775" spans="1:28" x14ac:dyDescent="0.25">
      <c r="A2775">
        <v>99912774</v>
      </c>
      <c r="B2775" t="s">
        <v>56</v>
      </c>
      <c r="C2775" t="s">
        <v>141</v>
      </c>
      <c r="D2775" t="s">
        <v>142</v>
      </c>
      <c r="G2775" t="s">
        <v>48</v>
      </c>
      <c r="H2775">
        <v>1</v>
      </c>
      <c r="K2775" t="s">
        <v>877</v>
      </c>
      <c r="L2775" t="s">
        <v>878</v>
      </c>
      <c r="M2775" t="s">
        <v>131</v>
      </c>
      <c r="N2775">
        <v>20</v>
      </c>
      <c r="P2775" t="s">
        <v>41</v>
      </c>
      <c r="Q2775" t="s">
        <v>49</v>
      </c>
      <c r="R2775" t="str">
        <f>"0591908"</f>
        <v>0591908</v>
      </c>
      <c r="S2775" t="s">
        <v>383</v>
      </c>
      <c r="T2775" t="s">
        <v>380</v>
      </c>
      <c r="U2775" t="s">
        <v>381</v>
      </c>
      <c r="V2775" t="s">
        <v>131</v>
      </c>
      <c r="W2775" t="s">
        <v>51</v>
      </c>
      <c r="X2775" t="s">
        <v>45</v>
      </c>
      <c r="Y2775" s="1">
        <v>22233</v>
      </c>
      <c r="Z2775">
        <v>1</v>
      </c>
      <c r="AA2775" t="s">
        <v>878</v>
      </c>
      <c r="AB2775" s="40" t="s">
        <v>1798</v>
      </c>
    </row>
    <row r="2776" spans="1:28" x14ac:dyDescent="0.25">
      <c r="A2776">
        <v>99912775</v>
      </c>
      <c r="B2776" t="s">
        <v>32</v>
      </c>
      <c r="C2776" t="s">
        <v>33</v>
      </c>
      <c r="D2776" t="s">
        <v>34</v>
      </c>
      <c r="G2776" t="s">
        <v>48</v>
      </c>
      <c r="H2776">
        <v>1</v>
      </c>
      <c r="K2776" t="s">
        <v>223</v>
      </c>
      <c r="L2776" t="s">
        <v>224</v>
      </c>
      <c r="M2776" t="s">
        <v>131</v>
      </c>
      <c r="N2776">
        <v>20</v>
      </c>
      <c r="P2776" t="s">
        <v>41</v>
      </c>
      <c r="Q2776" t="s">
        <v>42</v>
      </c>
      <c r="R2776" t="str">
        <f>"0580202"</f>
        <v>0580202</v>
      </c>
      <c r="S2776" t="s">
        <v>240</v>
      </c>
      <c r="T2776" t="s">
        <v>223</v>
      </c>
      <c r="U2776" t="s">
        <v>224</v>
      </c>
      <c r="V2776" t="s">
        <v>131</v>
      </c>
      <c r="W2776" t="s">
        <v>165</v>
      </c>
      <c r="X2776" t="s">
        <v>45</v>
      </c>
      <c r="Y2776" s="1">
        <v>22200</v>
      </c>
      <c r="Z2776">
        <v>2</v>
      </c>
      <c r="AA2776" t="s">
        <v>224</v>
      </c>
      <c r="AB2776" s="40" t="s">
        <v>1798</v>
      </c>
    </row>
    <row r="2777" spans="1:28" x14ac:dyDescent="0.25">
      <c r="A2777">
        <v>99912776</v>
      </c>
      <c r="B2777" t="s">
        <v>56</v>
      </c>
      <c r="C2777" t="s">
        <v>52</v>
      </c>
      <c r="D2777" t="s">
        <v>53</v>
      </c>
      <c r="G2777" t="s">
        <v>35</v>
      </c>
      <c r="H2777">
        <v>1</v>
      </c>
      <c r="K2777" t="s">
        <v>1268</v>
      </c>
      <c r="L2777" t="s">
        <v>1269</v>
      </c>
      <c r="M2777" t="s">
        <v>1270</v>
      </c>
      <c r="N2777">
        <v>20</v>
      </c>
      <c r="P2777" t="s">
        <v>41</v>
      </c>
      <c r="Q2777" t="s">
        <v>49</v>
      </c>
      <c r="R2777" t="str">
        <f>"1960004"</f>
        <v>1960004</v>
      </c>
      <c r="S2777" t="s">
        <v>1305</v>
      </c>
      <c r="T2777" t="s">
        <v>1268</v>
      </c>
      <c r="U2777" t="s">
        <v>1269</v>
      </c>
      <c r="V2777" t="s">
        <v>1270</v>
      </c>
      <c r="W2777" t="s">
        <v>51</v>
      </c>
      <c r="X2777" t="s">
        <v>45</v>
      </c>
      <c r="Y2777" s="1">
        <v>22177</v>
      </c>
      <c r="Z2777">
        <v>2</v>
      </c>
      <c r="AA2777" t="s">
        <v>1269</v>
      </c>
      <c r="AB2777" s="40" t="s">
        <v>1798</v>
      </c>
    </row>
    <row r="2778" spans="1:28" x14ac:dyDescent="0.25">
      <c r="A2778">
        <v>99912777</v>
      </c>
      <c r="B2778" t="s">
        <v>32</v>
      </c>
      <c r="C2778" t="s">
        <v>58</v>
      </c>
      <c r="D2778" t="s">
        <v>59</v>
      </c>
      <c r="E2778" t="s">
        <v>188</v>
      </c>
      <c r="F2778" t="s">
        <v>189</v>
      </c>
      <c r="G2778" t="s">
        <v>48</v>
      </c>
      <c r="H2778">
        <v>1</v>
      </c>
      <c r="K2778" t="s">
        <v>223</v>
      </c>
      <c r="L2778" t="s">
        <v>224</v>
      </c>
      <c r="M2778" t="s">
        <v>131</v>
      </c>
      <c r="N2778">
        <v>20</v>
      </c>
      <c r="P2778" t="s">
        <v>41</v>
      </c>
      <c r="Q2778" t="s">
        <v>49</v>
      </c>
      <c r="R2778" t="str">
        <f>"0540902"</f>
        <v>0540902</v>
      </c>
      <c r="S2778" t="s">
        <v>256</v>
      </c>
      <c r="T2778" t="s">
        <v>223</v>
      </c>
      <c r="U2778" t="s">
        <v>224</v>
      </c>
      <c r="V2778" t="s">
        <v>131</v>
      </c>
      <c r="W2778" t="s">
        <v>51</v>
      </c>
      <c r="X2778" t="s">
        <v>45</v>
      </c>
      <c r="Y2778" s="1">
        <v>22141</v>
      </c>
      <c r="Z2778">
        <v>2</v>
      </c>
      <c r="AA2778" t="s">
        <v>224</v>
      </c>
      <c r="AB2778" s="40" t="s">
        <v>1798</v>
      </c>
    </row>
    <row r="2779" spans="1:28" x14ac:dyDescent="0.25">
      <c r="A2779">
        <v>99912778</v>
      </c>
      <c r="B2779" t="s">
        <v>32</v>
      </c>
      <c r="C2779" t="s">
        <v>64</v>
      </c>
      <c r="D2779" t="s">
        <v>65</v>
      </c>
      <c r="G2779" t="s">
        <v>48</v>
      </c>
      <c r="H2779">
        <v>1</v>
      </c>
      <c r="K2779" t="s">
        <v>1187</v>
      </c>
      <c r="L2779" t="s">
        <v>1188</v>
      </c>
      <c r="M2779" t="s">
        <v>1130</v>
      </c>
      <c r="N2779">
        <v>20</v>
      </c>
      <c r="P2779" t="s">
        <v>41</v>
      </c>
      <c r="Q2779" t="s">
        <v>42</v>
      </c>
      <c r="R2779" t="str">
        <f>"4580015"</f>
        <v>4580015</v>
      </c>
      <c r="S2779" t="s">
        <v>1189</v>
      </c>
      <c r="T2779" t="s">
        <v>1187</v>
      </c>
      <c r="U2779" t="s">
        <v>1188</v>
      </c>
      <c r="V2779" t="s">
        <v>1130</v>
      </c>
      <c r="W2779" t="s">
        <v>51</v>
      </c>
      <c r="X2779" t="s">
        <v>45</v>
      </c>
      <c r="Y2779" s="1">
        <v>22066</v>
      </c>
      <c r="Z2779">
        <v>2</v>
      </c>
      <c r="AA2779" t="s">
        <v>1188</v>
      </c>
      <c r="AB2779" s="40" t="s">
        <v>1798</v>
      </c>
    </row>
    <row r="2780" spans="1:28" x14ac:dyDescent="0.25">
      <c r="A2780">
        <v>99912779</v>
      </c>
      <c r="B2780" t="s">
        <v>56</v>
      </c>
      <c r="C2780" t="s">
        <v>52</v>
      </c>
      <c r="D2780" t="s">
        <v>53</v>
      </c>
      <c r="G2780" t="s">
        <v>48</v>
      </c>
      <c r="H2780">
        <v>1</v>
      </c>
      <c r="K2780" t="s">
        <v>223</v>
      </c>
      <c r="L2780" t="s">
        <v>224</v>
      </c>
      <c r="M2780" t="s">
        <v>131</v>
      </c>
      <c r="N2780">
        <v>20</v>
      </c>
      <c r="P2780" t="s">
        <v>41</v>
      </c>
      <c r="Q2780" t="s">
        <v>42</v>
      </c>
      <c r="R2780" t="str">
        <f>"0580206"</f>
        <v>0580206</v>
      </c>
      <c r="S2780" t="s">
        <v>237</v>
      </c>
      <c r="T2780" t="s">
        <v>223</v>
      </c>
      <c r="U2780" t="s">
        <v>224</v>
      </c>
      <c r="V2780" t="s">
        <v>131</v>
      </c>
      <c r="W2780" t="s">
        <v>51</v>
      </c>
      <c r="X2780" t="s">
        <v>45</v>
      </c>
      <c r="Y2780" s="1">
        <v>22031</v>
      </c>
      <c r="Z2780">
        <v>2</v>
      </c>
      <c r="AA2780" t="s">
        <v>224</v>
      </c>
      <c r="AB2780" s="40" t="s">
        <v>1798</v>
      </c>
    </row>
    <row r="2781" spans="1:28" x14ac:dyDescent="0.25">
      <c r="A2781">
        <v>99912780</v>
      </c>
      <c r="B2781" t="s">
        <v>56</v>
      </c>
      <c r="C2781" t="s">
        <v>52</v>
      </c>
      <c r="D2781" t="s">
        <v>53</v>
      </c>
      <c r="G2781" t="s">
        <v>48</v>
      </c>
      <c r="H2781">
        <v>1</v>
      </c>
      <c r="K2781" t="s">
        <v>129</v>
      </c>
      <c r="L2781" t="s">
        <v>130</v>
      </c>
      <c r="M2781" t="s">
        <v>131</v>
      </c>
      <c r="N2781">
        <v>20</v>
      </c>
      <c r="P2781" t="s">
        <v>41</v>
      </c>
      <c r="Q2781" t="s">
        <v>49</v>
      </c>
      <c r="R2781" t="str">
        <f>"0591905"</f>
        <v>0591905</v>
      </c>
      <c r="S2781" t="s">
        <v>135</v>
      </c>
      <c r="T2781" t="s">
        <v>129</v>
      </c>
      <c r="U2781" t="s">
        <v>130</v>
      </c>
      <c r="V2781" t="s">
        <v>131</v>
      </c>
      <c r="W2781" t="s">
        <v>51</v>
      </c>
      <c r="X2781" t="s">
        <v>45</v>
      </c>
      <c r="Y2781" s="1">
        <v>22012</v>
      </c>
      <c r="Z2781">
        <v>2</v>
      </c>
      <c r="AA2781" t="s">
        <v>130</v>
      </c>
      <c r="AB2781" s="40" t="s">
        <v>1798</v>
      </c>
    </row>
    <row r="2782" spans="1:28" x14ac:dyDescent="0.25">
      <c r="A2782">
        <v>99912781</v>
      </c>
      <c r="B2782" t="s">
        <v>56</v>
      </c>
      <c r="C2782" t="s">
        <v>52</v>
      </c>
      <c r="D2782" t="s">
        <v>53</v>
      </c>
      <c r="G2782" t="s">
        <v>35</v>
      </c>
      <c r="H2782">
        <v>1</v>
      </c>
      <c r="I2782">
        <v>6726</v>
      </c>
      <c r="J2782" s="1">
        <v>43344</v>
      </c>
      <c r="K2782" t="s">
        <v>1306</v>
      </c>
      <c r="L2782" t="s">
        <v>1307</v>
      </c>
      <c r="M2782" t="s">
        <v>1270</v>
      </c>
      <c r="N2782">
        <v>20</v>
      </c>
      <c r="O2782" s="1">
        <v>43344</v>
      </c>
      <c r="P2782" t="s">
        <v>41</v>
      </c>
      <c r="Q2782" t="s">
        <v>42</v>
      </c>
      <c r="R2782" t="str">
        <f>"1990915"</f>
        <v>1990915</v>
      </c>
      <c r="S2782" t="s">
        <v>1308</v>
      </c>
      <c r="T2782" t="s">
        <v>1306</v>
      </c>
      <c r="U2782" t="s">
        <v>1307</v>
      </c>
      <c r="V2782" t="s">
        <v>1270</v>
      </c>
      <c r="W2782" t="s">
        <v>51</v>
      </c>
      <c r="X2782" t="s">
        <v>45</v>
      </c>
      <c r="Y2782" s="1">
        <v>21916</v>
      </c>
      <c r="Z2782">
        <v>2</v>
      </c>
      <c r="AA2782" t="s">
        <v>1307</v>
      </c>
      <c r="AB2782" s="40" t="s">
        <v>1798</v>
      </c>
    </row>
    <row r="2783" spans="1:28" x14ac:dyDescent="0.25">
      <c r="A2783">
        <v>99912782</v>
      </c>
      <c r="B2783" t="s">
        <v>56</v>
      </c>
      <c r="C2783" t="s">
        <v>52</v>
      </c>
      <c r="D2783" t="s">
        <v>53</v>
      </c>
      <c r="G2783" t="s">
        <v>48</v>
      </c>
      <c r="H2783">
        <v>1</v>
      </c>
      <c r="K2783" t="s">
        <v>223</v>
      </c>
      <c r="L2783" t="s">
        <v>224</v>
      </c>
      <c r="M2783" t="s">
        <v>131</v>
      </c>
      <c r="N2783">
        <v>20</v>
      </c>
      <c r="P2783" t="s">
        <v>41</v>
      </c>
      <c r="Q2783" t="s">
        <v>49</v>
      </c>
      <c r="R2783" t="str">
        <f>"0581206"</f>
        <v>0581206</v>
      </c>
      <c r="S2783" t="s">
        <v>232</v>
      </c>
      <c r="T2783" t="s">
        <v>223</v>
      </c>
      <c r="U2783" t="s">
        <v>224</v>
      </c>
      <c r="V2783" t="s">
        <v>131</v>
      </c>
      <c r="W2783" t="s">
        <v>51</v>
      </c>
      <c r="X2783" t="s">
        <v>45</v>
      </c>
      <c r="Y2783" s="1">
        <v>21833</v>
      </c>
      <c r="Z2783">
        <v>2</v>
      </c>
      <c r="AA2783" t="s">
        <v>224</v>
      </c>
      <c r="AB2783" s="40" t="s">
        <v>1798</v>
      </c>
    </row>
    <row r="2784" spans="1:28" x14ac:dyDescent="0.25">
      <c r="A2784">
        <v>99912783</v>
      </c>
      <c r="B2784" t="s">
        <v>56</v>
      </c>
      <c r="C2784" t="s">
        <v>52</v>
      </c>
      <c r="D2784" t="s">
        <v>53</v>
      </c>
      <c r="G2784" t="s">
        <v>48</v>
      </c>
      <c r="H2784">
        <v>1</v>
      </c>
      <c r="K2784" t="s">
        <v>300</v>
      </c>
      <c r="L2784" t="s">
        <v>301</v>
      </c>
      <c r="M2784" t="s">
        <v>131</v>
      </c>
      <c r="N2784">
        <v>20</v>
      </c>
      <c r="P2784" t="s">
        <v>41</v>
      </c>
      <c r="Q2784" t="s">
        <v>42</v>
      </c>
      <c r="R2784" t="str">
        <f>"0580176"</f>
        <v>0580176</v>
      </c>
      <c r="S2784" t="s">
        <v>305</v>
      </c>
      <c r="T2784" t="s">
        <v>300</v>
      </c>
      <c r="U2784" t="s">
        <v>301</v>
      </c>
      <c r="V2784" t="s">
        <v>131</v>
      </c>
      <c r="W2784" t="s">
        <v>51</v>
      </c>
      <c r="X2784" t="s">
        <v>45</v>
      </c>
      <c r="Y2784" s="1">
        <v>21704</v>
      </c>
      <c r="Z2784">
        <v>2</v>
      </c>
      <c r="AA2784" t="s">
        <v>301</v>
      </c>
      <c r="AB2784" s="40" t="s">
        <v>1798</v>
      </c>
    </row>
    <row r="2785" spans="1:28" x14ac:dyDescent="0.25">
      <c r="A2785">
        <v>99912784</v>
      </c>
      <c r="B2785" t="s">
        <v>32</v>
      </c>
      <c r="C2785" t="s">
        <v>64</v>
      </c>
      <c r="D2785" t="s">
        <v>65</v>
      </c>
      <c r="G2785" t="s">
        <v>35</v>
      </c>
      <c r="H2785">
        <v>1</v>
      </c>
      <c r="I2785">
        <v>0</v>
      </c>
      <c r="J2785" s="1">
        <v>43344</v>
      </c>
      <c r="K2785" t="s">
        <v>223</v>
      </c>
      <c r="L2785" t="s">
        <v>224</v>
      </c>
      <c r="M2785" t="s">
        <v>131</v>
      </c>
      <c r="N2785">
        <v>20</v>
      </c>
      <c r="O2785" s="1">
        <v>43344</v>
      </c>
      <c r="P2785" t="s">
        <v>41</v>
      </c>
      <c r="Q2785" t="s">
        <v>42</v>
      </c>
      <c r="R2785" t="str">
        <f>"0580206"</f>
        <v>0580206</v>
      </c>
      <c r="S2785" t="s">
        <v>237</v>
      </c>
      <c r="T2785" t="s">
        <v>223</v>
      </c>
      <c r="U2785" t="s">
        <v>224</v>
      </c>
      <c r="V2785" t="s">
        <v>131</v>
      </c>
      <c r="W2785" t="s">
        <v>51</v>
      </c>
      <c r="X2785" t="s">
        <v>45</v>
      </c>
      <c r="Y2785" s="1">
        <v>21648</v>
      </c>
      <c r="Z2785">
        <v>2</v>
      </c>
      <c r="AA2785" t="s">
        <v>224</v>
      </c>
      <c r="AB2785" s="40" t="s">
        <v>1798</v>
      </c>
    </row>
    <row r="2786" spans="1:28" x14ac:dyDescent="0.25">
      <c r="A2786">
        <v>99912785</v>
      </c>
      <c r="B2786" t="s">
        <v>56</v>
      </c>
      <c r="C2786" t="s">
        <v>52</v>
      </c>
      <c r="D2786" t="s">
        <v>53</v>
      </c>
      <c r="G2786" t="s">
        <v>48</v>
      </c>
      <c r="H2786">
        <v>1</v>
      </c>
      <c r="K2786" t="s">
        <v>223</v>
      </c>
      <c r="L2786" t="s">
        <v>224</v>
      </c>
      <c r="M2786" t="s">
        <v>131</v>
      </c>
      <c r="N2786">
        <v>20</v>
      </c>
      <c r="P2786" t="s">
        <v>41</v>
      </c>
      <c r="Q2786" t="s">
        <v>42</v>
      </c>
      <c r="R2786" t="str">
        <f>"0580200"</f>
        <v>0580200</v>
      </c>
      <c r="S2786" t="s">
        <v>245</v>
      </c>
      <c r="T2786" t="s">
        <v>223</v>
      </c>
      <c r="U2786" t="s">
        <v>224</v>
      </c>
      <c r="V2786" t="s">
        <v>131</v>
      </c>
      <c r="W2786" t="s">
        <v>51</v>
      </c>
      <c r="X2786" t="s">
        <v>45</v>
      </c>
      <c r="Y2786" s="1">
        <v>21598</v>
      </c>
      <c r="Z2786">
        <v>2</v>
      </c>
      <c r="AA2786" t="s">
        <v>224</v>
      </c>
      <c r="AB2786" s="40" t="s">
        <v>1798</v>
      </c>
    </row>
    <row r="2787" spans="1:28" x14ac:dyDescent="0.25">
      <c r="A2787">
        <v>99912786</v>
      </c>
      <c r="B2787" t="s">
        <v>56</v>
      </c>
      <c r="C2787" t="s">
        <v>52</v>
      </c>
      <c r="D2787" t="s">
        <v>53</v>
      </c>
      <c r="G2787" t="s">
        <v>48</v>
      </c>
      <c r="H2787">
        <v>1</v>
      </c>
      <c r="K2787" t="s">
        <v>300</v>
      </c>
      <c r="L2787" t="s">
        <v>301</v>
      </c>
      <c r="M2787" t="s">
        <v>131</v>
      </c>
      <c r="N2787">
        <v>20</v>
      </c>
      <c r="P2787" t="s">
        <v>41</v>
      </c>
      <c r="Q2787" t="s">
        <v>42</v>
      </c>
      <c r="R2787" t="str">
        <f>"0580106"</f>
        <v>0580106</v>
      </c>
      <c r="S2787" t="s">
        <v>306</v>
      </c>
      <c r="T2787" t="s">
        <v>300</v>
      </c>
      <c r="U2787" t="s">
        <v>301</v>
      </c>
      <c r="V2787" t="s">
        <v>131</v>
      </c>
      <c r="W2787" t="s">
        <v>51</v>
      </c>
      <c r="X2787" t="s">
        <v>45</v>
      </c>
      <c r="Y2787" s="1">
        <v>21558</v>
      </c>
      <c r="Z2787">
        <v>2</v>
      </c>
      <c r="AA2787" t="s">
        <v>301</v>
      </c>
      <c r="AB2787" s="40" t="s">
        <v>1798</v>
      </c>
    </row>
    <row r="2788" spans="1:28" x14ac:dyDescent="0.25">
      <c r="A2788">
        <v>99912787</v>
      </c>
      <c r="B2788" t="s">
        <v>56</v>
      </c>
      <c r="C2788" t="s">
        <v>52</v>
      </c>
      <c r="D2788" t="s">
        <v>53</v>
      </c>
      <c r="G2788" t="s">
        <v>48</v>
      </c>
      <c r="H2788">
        <v>1</v>
      </c>
      <c r="K2788" t="s">
        <v>162</v>
      </c>
      <c r="L2788" t="s">
        <v>158</v>
      </c>
      <c r="M2788" t="s">
        <v>131</v>
      </c>
      <c r="N2788">
        <v>20</v>
      </c>
      <c r="P2788" t="s">
        <v>41</v>
      </c>
      <c r="Q2788" t="s">
        <v>42</v>
      </c>
      <c r="R2788" t="str">
        <f>"0580325"</f>
        <v>0580325</v>
      </c>
      <c r="S2788" t="s">
        <v>170</v>
      </c>
      <c r="T2788" t="s">
        <v>162</v>
      </c>
      <c r="U2788" t="s">
        <v>158</v>
      </c>
      <c r="V2788" t="s">
        <v>131</v>
      </c>
      <c r="W2788" t="s">
        <v>51</v>
      </c>
      <c r="X2788" t="s">
        <v>45</v>
      </c>
      <c r="Y2788" s="1">
        <v>21488</v>
      </c>
      <c r="Z2788">
        <v>2</v>
      </c>
      <c r="AA2788" t="s">
        <v>158</v>
      </c>
      <c r="AB2788" s="40" t="s">
        <v>1798</v>
      </c>
    </row>
    <row r="2789" spans="1:28" x14ac:dyDescent="0.25">
      <c r="A2789">
        <v>99912788</v>
      </c>
      <c r="B2789" t="s">
        <v>56</v>
      </c>
      <c r="C2789" t="s">
        <v>52</v>
      </c>
      <c r="D2789" t="s">
        <v>53</v>
      </c>
      <c r="G2789" t="s">
        <v>48</v>
      </c>
      <c r="H2789">
        <v>1</v>
      </c>
      <c r="K2789" t="s">
        <v>1128</v>
      </c>
      <c r="L2789" t="s">
        <v>1129</v>
      </c>
      <c r="M2789" t="s">
        <v>1130</v>
      </c>
      <c r="N2789">
        <v>20</v>
      </c>
      <c r="P2789" t="s">
        <v>41</v>
      </c>
      <c r="Q2789" t="s">
        <v>42</v>
      </c>
      <c r="R2789" t="str">
        <f>"3180010"</f>
        <v>3180010</v>
      </c>
      <c r="S2789" t="s">
        <v>1132</v>
      </c>
      <c r="T2789" t="s">
        <v>1128</v>
      </c>
      <c r="U2789" t="s">
        <v>1129</v>
      </c>
      <c r="V2789" t="s">
        <v>1130</v>
      </c>
      <c r="W2789" t="s">
        <v>165</v>
      </c>
      <c r="X2789" t="s">
        <v>45</v>
      </c>
      <c r="Y2789" s="1">
        <v>21448</v>
      </c>
      <c r="Z2789">
        <v>2</v>
      </c>
      <c r="AA2789" t="s">
        <v>1129</v>
      </c>
      <c r="AB2789" s="40" t="s">
        <v>1798</v>
      </c>
    </row>
    <row r="2790" spans="1:28" x14ac:dyDescent="0.25">
      <c r="A2790">
        <v>99912789</v>
      </c>
      <c r="B2790" t="s">
        <v>56</v>
      </c>
      <c r="C2790" t="s">
        <v>52</v>
      </c>
      <c r="D2790" t="s">
        <v>53</v>
      </c>
      <c r="G2790" t="s">
        <v>48</v>
      </c>
      <c r="H2790">
        <v>1</v>
      </c>
      <c r="K2790" t="s">
        <v>380</v>
      </c>
      <c r="L2790" t="s">
        <v>381</v>
      </c>
      <c r="M2790" t="s">
        <v>131</v>
      </c>
      <c r="N2790">
        <v>20</v>
      </c>
      <c r="P2790" t="s">
        <v>41</v>
      </c>
      <c r="Q2790" t="s">
        <v>42</v>
      </c>
      <c r="R2790" t="str">
        <f>"0590908"</f>
        <v>0590908</v>
      </c>
      <c r="S2790" t="s">
        <v>382</v>
      </c>
      <c r="T2790" t="s">
        <v>380</v>
      </c>
      <c r="U2790" t="s">
        <v>381</v>
      </c>
      <c r="V2790" t="s">
        <v>131</v>
      </c>
      <c r="W2790" t="s">
        <v>51</v>
      </c>
      <c r="X2790" t="s">
        <v>45</v>
      </c>
      <c r="Y2790" s="1">
        <v>21436</v>
      </c>
      <c r="Z2790">
        <v>2</v>
      </c>
      <c r="AA2790" t="s">
        <v>381</v>
      </c>
      <c r="AB2790" s="40" t="s">
        <v>1798</v>
      </c>
    </row>
    <row r="2791" spans="1:28" x14ac:dyDescent="0.25">
      <c r="A2791">
        <v>99912790</v>
      </c>
      <c r="B2791" t="s">
        <v>56</v>
      </c>
      <c r="C2791" t="s">
        <v>68</v>
      </c>
      <c r="D2791" t="s">
        <v>69</v>
      </c>
      <c r="G2791" t="s">
        <v>48</v>
      </c>
      <c r="H2791">
        <v>12</v>
      </c>
      <c r="K2791" t="s">
        <v>1268</v>
      </c>
      <c r="L2791" t="s">
        <v>1269</v>
      </c>
      <c r="M2791" t="s">
        <v>1270</v>
      </c>
      <c r="N2791">
        <v>20</v>
      </c>
      <c r="P2791" t="s">
        <v>41</v>
      </c>
      <c r="Q2791" t="s">
        <v>49</v>
      </c>
      <c r="R2791" t="str">
        <f>"1981912"</f>
        <v>1981912</v>
      </c>
      <c r="S2791" t="s">
        <v>1279</v>
      </c>
      <c r="T2791" t="s">
        <v>1268</v>
      </c>
      <c r="U2791" t="s">
        <v>1269</v>
      </c>
      <c r="V2791" t="s">
        <v>1270</v>
      </c>
      <c r="W2791" t="s">
        <v>51</v>
      </c>
      <c r="X2791" t="s">
        <v>45</v>
      </c>
      <c r="Y2791" s="1">
        <v>21362</v>
      </c>
      <c r="Z2791">
        <v>2</v>
      </c>
      <c r="AA2791" t="s">
        <v>1269</v>
      </c>
      <c r="AB2791" s="40" t="s">
        <v>1798</v>
      </c>
    </row>
    <row r="2792" spans="1:28" x14ac:dyDescent="0.25">
      <c r="A2792">
        <v>99912791</v>
      </c>
      <c r="B2792" t="s">
        <v>56</v>
      </c>
      <c r="C2792" t="s">
        <v>68</v>
      </c>
      <c r="D2792" t="s">
        <v>69</v>
      </c>
      <c r="G2792" t="s">
        <v>48</v>
      </c>
      <c r="H2792">
        <v>1</v>
      </c>
      <c r="K2792" t="s">
        <v>162</v>
      </c>
      <c r="L2792" t="s">
        <v>158</v>
      </c>
      <c r="M2792" t="s">
        <v>131</v>
      </c>
      <c r="N2792">
        <v>20</v>
      </c>
      <c r="P2792" t="s">
        <v>41</v>
      </c>
      <c r="Q2792" t="s">
        <v>49</v>
      </c>
      <c r="R2792" t="str">
        <f>"0560003"</f>
        <v>0560003</v>
      </c>
      <c r="S2792" t="s">
        <v>181</v>
      </c>
      <c r="T2792" t="s">
        <v>162</v>
      </c>
      <c r="U2792" t="s">
        <v>158</v>
      </c>
      <c r="V2792" t="s">
        <v>131</v>
      </c>
      <c r="W2792" t="s">
        <v>51</v>
      </c>
      <c r="X2792" t="s">
        <v>45</v>
      </c>
      <c r="Y2792" s="1">
        <v>21272</v>
      </c>
      <c r="Z2792">
        <v>2</v>
      </c>
      <c r="AA2792" t="s">
        <v>158</v>
      </c>
      <c r="AB2792" s="40" t="s">
        <v>1798</v>
      </c>
    </row>
    <row r="2793" spans="1:28" x14ac:dyDescent="0.25">
      <c r="A2793">
        <v>99912792</v>
      </c>
      <c r="B2793" t="s">
        <v>32</v>
      </c>
      <c r="C2793" t="s">
        <v>64</v>
      </c>
      <c r="D2793" t="s">
        <v>65</v>
      </c>
      <c r="G2793" t="s">
        <v>48</v>
      </c>
      <c r="H2793">
        <v>11</v>
      </c>
      <c r="I2793" t="s">
        <v>210</v>
      </c>
      <c r="J2793" s="1">
        <v>37500</v>
      </c>
      <c r="K2793" t="s">
        <v>157</v>
      </c>
      <c r="L2793" t="s">
        <v>158</v>
      </c>
      <c r="M2793" t="s">
        <v>131</v>
      </c>
      <c r="N2793">
        <v>20</v>
      </c>
      <c r="O2793" s="1">
        <v>37500</v>
      </c>
      <c r="P2793" t="s">
        <v>41</v>
      </c>
      <c r="Q2793" t="s">
        <v>49</v>
      </c>
      <c r="R2793" t="str">
        <f>"0560006"</f>
        <v>0560006</v>
      </c>
      <c r="S2793" t="s">
        <v>191</v>
      </c>
      <c r="T2793" t="s">
        <v>157</v>
      </c>
      <c r="U2793" t="s">
        <v>158</v>
      </c>
      <c r="V2793" t="s">
        <v>131</v>
      </c>
      <c r="W2793" t="s">
        <v>51</v>
      </c>
      <c r="X2793" t="s">
        <v>45</v>
      </c>
      <c r="Y2793" s="1">
        <v>21259</v>
      </c>
      <c r="Z2793">
        <v>2</v>
      </c>
      <c r="AA2793" t="s">
        <v>158</v>
      </c>
      <c r="AB2793" s="40" t="s">
        <v>1798</v>
      </c>
    </row>
    <row r="2794" spans="1:28" x14ac:dyDescent="0.25">
      <c r="A2794">
        <v>99912793</v>
      </c>
      <c r="B2794" t="s">
        <v>56</v>
      </c>
      <c r="C2794" t="s">
        <v>52</v>
      </c>
      <c r="D2794" t="s">
        <v>53</v>
      </c>
      <c r="G2794" t="s">
        <v>35</v>
      </c>
      <c r="H2794">
        <v>1</v>
      </c>
      <c r="K2794" t="s">
        <v>223</v>
      </c>
      <c r="L2794" t="s">
        <v>224</v>
      </c>
      <c r="M2794" t="s">
        <v>131</v>
      </c>
      <c r="N2794">
        <v>20</v>
      </c>
      <c r="P2794" t="s">
        <v>41</v>
      </c>
      <c r="Q2794" t="s">
        <v>42</v>
      </c>
      <c r="R2794" t="str">
        <f>"0590901"</f>
        <v>0590901</v>
      </c>
      <c r="S2794" t="s">
        <v>242</v>
      </c>
      <c r="T2794" t="s">
        <v>223</v>
      </c>
      <c r="U2794" t="s">
        <v>224</v>
      </c>
      <c r="V2794" t="s">
        <v>131</v>
      </c>
      <c r="W2794" t="s">
        <v>165</v>
      </c>
      <c r="X2794" t="s">
        <v>45</v>
      </c>
      <c r="Y2794" s="1">
        <v>21150</v>
      </c>
      <c r="Z2794">
        <v>2</v>
      </c>
      <c r="AA2794" t="s">
        <v>224</v>
      </c>
      <c r="AB2794" s="40" t="s">
        <v>1798</v>
      </c>
    </row>
    <row r="2795" spans="1:28" x14ac:dyDescent="0.25">
      <c r="A2795">
        <v>99912794</v>
      </c>
      <c r="B2795" t="s">
        <v>32</v>
      </c>
      <c r="C2795" t="s">
        <v>33</v>
      </c>
      <c r="D2795" t="s">
        <v>34</v>
      </c>
      <c r="G2795" t="s">
        <v>48</v>
      </c>
      <c r="H2795">
        <v>1</v>
      </c>
      <c r="K2795" t="s">
        <v>223</v>
      </c>
      <c r="L2795" t="s">
        <v>224</v>
      </c>
      <c r="M2795" t="s">
        <v>131</v>
      </c>
      <c r="N2795">
        <v>20</v>
      </c>
      <c r="P2795" t="s">
        <v>41</v>
      </c>
      <c r="Q2795" t="s">
        <v>49</v>
      </c>
      <c r="R2795" t="str">
        <f>"0581200"</f>
        <v>0581200</v>
      </c>
      <c r="S2795" t="s">
        <v>238</v>
      </c>
      <c r="T2795" t="s">
        <v>223</v>
      </c>
      <c r="U2795" t="s">
        <v>224</v>
      </c>
      <c r="V2795" t="s">
        <v>131</v>
      </c>
      <c r="W2795" t="s">
        <v>51</v>
      </c>
      <c r="X2795" t="s">
        <v>45</v>
      </c>
      <c r="Y2795" s="1">
        <v>21064</v>
      </c>
      <c r="Z2795">
        <v>2</v>
      </c>
      <c r="AA2795" t="s">
        <v>224</v>
      </c>
      <c r="AB2795" s="40" t="s">
        <v>1798</v>
      </c>
    </row>
    <row r="2796" spans="1:28" x14ac:dyDescent="0.25">
      <c r="A2796">
        <v>99912795</v>
      </c>
      <c r="B2796" t="s">
        <v>56</v>
      </c>
      <c r="C2796" t="s">
        <v>61</v>
      </c>
      <c r="D2796" t="s">
        <v>62</v>
      </c>
      <c r="G2796" t="s">
        <v>48</v>
      </c>
      <c r="H2796">
        <v>1</v>
      </c>
      <c r="K2796" t="s">
        <v>162</v>
      </c>
      <c r="L2796" t="s">
        <v>158</v>
      </c>
      <c r="M2796" t="s">
        <v>131</v>
      </c>
      <c r="N2796">
        <v>20</v>
      </c>
      <c r="P2796" t="s">
        <v>41</v>
      </c>
      <c r="Q2796" t="s">
        <v>49</v>
      </c>
      <c r="R2796" t="str">
        <f>"0581325"</f>
        <v>0581325</v>
      </c>
      <c r="S2796" t="s">
        <v>169</v>
      </c>
      <c r="T2796" t="s">
        <v>162</v>
      </c>
      <c r="U2796" t="s">
        <v>158</v>
      </c>
      <c r="V2796" t="s">
        <v>131</v>
      </c>
      <c r="W2796" t="s">
        <v>51</v>
      </c>
      <c r="X2796" t="s">
        <v>45</v>
      </c>
      <c r="Y2796" s="1">
        <v>21052</v>
      </c>
      <c r="Z2796">
        <v>2</v>
      </c>
      <c r="AA2796" t="s">
        <v>158</v>
      </c>
      <c r="AB2796" s="40" t="s">
        <v>1798</v>
      </c>
    </row>
    <row r="2797" spans="1:28" x14ac:dyDescent="0.25">
      <c r="A2797">
        <v>99912796</v>
      </c>
      <c r="B2797" t="s">
        <v>56</v>
      </c>
      <c r="C2797" t="s">
        <v>68</v>
      </c>
      <c r="D2797" t="s">
        <v>69</v>
      </c>
      <c r="G2797" t="s">
        <v>48</v>
      </c>
      <c r="H2797">
        <v>1</v>
      </c>
      <c r="K2797" t="s">
        <v>223</v>
      </c>
      <c r="L2797" t="s">
        <v>224</v>
      </c>
      <c r="M2797" t="s">
        <v>131</v>
      </c>
      <c r="N2797">
        <v>20</v>
      </c>
      <c r="P2797" t="s">
        <v>41</v>
      </c>
      <c r="Q2797" t="s">
        <v>42</v>
      </c>
      <c r="R2797" t="str">
        <f>"0580315"</f>
        <v>0580315</v>
      </c>
      <c r="S2797" t="s">
        <v>246</v>
      </c>
      <c r="T2797" t="s">
        <v>223</v>
      </c>
      <c r="U2797" t="s">
        <v>224</v>
      </c>
      <c r="V2797" t="s">
        <v>131</v>
      </c>
      <c r="W2797" t="s">
        <v>51</v>
      </c>
      <c r="X2797" t="s">
        <v>45</v>
      </c>
      <c r="Y2797" s="1">
        <v>21041</v>
      </c>
      <c r="Z2797">
        <v>2</v>
      </c>
      <c r="AA2797" t="s">
        <v>224</v>
      </c>
      <c r="AB2797" s="40" t="s">
        <v>1798</v>
      </c>
    </row>
    <row r="2798" spans="1:28" x14ac:dyDescent="0.25">
      <c r="A2798">
        <v>99912797</v>
      </c>
      <c r="B2798" t="s">
        <v>56</v>
      </c>
      <c r="C2798" t="s">
        <v>46</v>
      </c>
      <c r="D2798" t="s">
        <v>47</v>
      </c>
      <c r="G2798" t="s">
        <v>48</v>
      </c>
      <c r="H2798">
        <v>1</v>
      </c>
      <c r="K2798" t="s">
        <v>1187</v>
      </c>
      <c r="L2798" t="s">
        <v>1188</v>
      </c>
      <c r="M2798" t="s">
        <v>1130</v>
      </c>
      <c r="N2798">
        <v>20</v>
      </c>
      <c r="P2798" t="s">
        <v>41</v>
      </c>
      <c r="Q2798" t="s">
        <v>42</v>
      </c>
      <c r="R2798" t="str">
        <f>"4580015"</f>
        <v>4580015</v>
      </c>
      <c r="S2798" t="s">
        <v>1189</v>
      </c>
      <c r="T2798" t="s">
        <v>1187</v>
      </c>
      <c r="U2798" t="s">
        <v>1188</v>
      </c>
      <c r="V2798" t="s">
        <v>1130</v>
      </c>
      <c r="W2798" t="s">
        <v>51</v>
      </c>
      <c r="X2798" t="s">
        <v>45</v>
      </c>
      <c r="Y2798" s="1">
        <v>20821</v>
      </c>
      <c r="Z2798">
        <v>2</v>
      </c>
      <c r="AA2798" t="s">
        <v>1188</v>
      </c>
      <c r="AB2798" s="40" t="s">
        <v>1798</v>
      </c>
    </row>
    <row r="2799" spans="1:28" x14ac:dyDescent="0.25">
      <c r="A2799">
        <v>99912798</v>
      </c>
      <c r="B2799" t="s">
        <v>56</v>
      </c>
      <c r="C2799" t="s">
        <v>52</v>
      </c>
      <c r="D2799" t="s">
        <v>53</v>
      </c>
      <c r="G2799" t="s">
        <v>35</v>
      </c>
      <c r="H2799">
        <v>1</v>
      </c>
      <c r="K2799" t="s">
        <v>947</v>
      </c>
      <c r="L2799" t="s">
        <v>948</v>
      </c>
      <c r="M2799" t="s">
        <v>938</v>
      </c>
      <c r="N2799">
        <v>20</v>
      </c>
      <c r="P2799" t="s">
        <v>41</v>
      </c>
      <c r="Q2799" t="s">
        <v>49</v>
      </c>
      <c r="R2799" t="str">
        <f>"0605000"</f>
        <v>0605000</v>
      </c>
      <c r="S2799" t="s">
        <v>950</v>
      </c>
      <c r="T2799" t="s">
        <v>947</v>
      </c>
      <c r="U2799" t="s">
        <v>948</v>
      </c>
      <c r="V2799" t="s">
        <v>938</v>
      </c>
      <c r="W2799" t="s">
        <v>51</v>
      </c>
      <c r="X2799" t="s">
        <v>45</v>
      </c>
      <c r="Y2799" s="1">
        <v>20633</v>
      </c>
      <c r="Z2799">
        <v>2</v>
      </c>
      <c r="AA2799" t="s">
        <v>948</v>
      </c>
      <c r="AB2799" s="40" t="s">
        <v>1798</v>
      </c>
    </row>
    <row r="2800" spans="1:28" x14ac:dyDescent="0.25">
      <c r="A2800">
        <v>99912799</v>
      </c>
      <c r="B2800" t="s">
        <v>56</v>
      </c>
      <c r="C2800" t="s">
        <v>52</v>
      </c>
      <c r="D2800" t="s">
        <v>53</v>
      </c>
      <c r="G2800" t="s">
        <v>35</v>
      </c>
      <c r="H2800">
        <v>1</v>
      </c>
      <c r="K2800" t="s">
        <v>1187</v>
      </c>
      <c r="L2800" t="s">
        <v>1188</v>
      </c>
      <c r="M2800" t="s">
        <v>1130</v>
      </c>
      <c r="N2800">
        <v>20</v>
      </c>
      <c r="P2800" t="s">
        <v>41</v>
      </c>
      <c r="Q2800" t="s">
        <v>49</v>
      </c>
      <c r="R2800" t="str">
        <f>"4581015"</f>
        <v>4581015</v>
      </c>
      <c r="S2800" t="s">
        <v>1190</v>
      </c>
      <c r="T2800" t="s">
        <v>1187</v>
      </c>
      <c r="U2800" t="s">
        <v>1188</v>
      </c>
      <c r="V2800" t="s">
        <v>1130</v>
      </c>
      <c r="W2800" t="s">
        <v>51</v>
      </c>
      <c r="X2800" t="s">
        <v>45</v>
      </c>
      <c r="Y2800" s="1">
        <v>20561</v>
      </c>
      <c r="Z2800">
        <v>2</v>
      </c>
      <c r="AA2800" t="s">
        <v>1188</v>
      </c>
      <c r="AB2800" s="40" t="s">
        <v>1798</v>
      </c>
    </row>
    <row r="2801" spans="1:28" x14ac:dyDescent="0.25">
      <c r="A2801">
        <v>99912800</v>
      </c>
      <c r="B2801" t="s">
        <v>56</v>
      </c>
      <c r="C2801" t="s">
        <v>58</v>
      </c>
      <c r="D2801" t="s">
        <v>59</v>
      </c>
      <c r="G2801" t="s">
        <v>35</v>
      </c>
      <c r="H2801">
        <v>1</v>
      </c>
      <c r="K2801" t="s">
        <v>223</v>
      </c>
      <c r="L2801" t="s">
        <v>224</v>
      </c>
      <c r="M2801" t="s">
        <v>131</v>
      </c>
      <c r="N2801">
        <v>20</v>
      </c>
      <c r="P2801" t="s">
        <v>41</v>
      </c>
      <c r="Q2801" t="s">
        <v>42</v>
      </c>
      <c r="R2801" t="str">
        <f>"0590903"</f>
        <v>0590903</v>
      </c>
      <c r="S2801" t="s">
        <v>226</v>
      </c>
      <c r="T2801" t="s">
        <v>223</v>
      </c>
      <c r="U2801" t="s">
        <v>224</v>
      </c>
      <c r="V2801" t="s">
        <v>131</v>
      </c>
      <c r="W2801" t="s">
        <v>51</v>
      </c>
      <c r="X2801" t="s">
        <v>45</v>
      </c>
      <c r="Y2801" s="1">
        <v>20366</v>
      </c>
      <c r="Z2801">
        <v>2</v>
      </c>
      <c r="AA2801" t="s">
        <v>224</v>
      </c>
      <c r="AB2801" s="40" t="s">
        <v>1798</v>
      </c>
    </row>
    <row r="2802" spans="1:28" x14ac:dyDescent="0.25">
      <c r="A2802">
        <v>99912801</v>
      </c>
      <c r="B2802" t="s">
        <v>56</v>
      </c>
      <c r="C2802" t="s">
        <v>52</v>
      </c>
      <c r="D2802" t="s">
        <v>53</v>
      </c>
      <c r="G2802" t="s">
        <v>48</v>
      </c>
      <c r="H2802">
        <v>1</v>
      </c>
      <c r="K2802" t="s">
        <v>1051</v>
      </c>
      <c r="L2802" t="s">
        <v>1052</v>
      </c>
      <c r="M2802" t="s">
        <v>1053</v>
      </c>
      <c r="N2802">
        <v>20</v>
      </c>
      <c r="P2802" t="s">
        <v>41</v>
      </c>
      <c r="Q2802" t="s">
        <v>42</v>
      </c>
      <c r="R2802" t="str">
        <f>"2061001"</f>
        <v>2061001</v>
      </c>
      <c r="S2802" t="s">
        <v>1058</v>
      </c>
      <c r="T2802" t="s">
        <v>1051</v>
      </c>
      <c r="U2802" t="s">
        <v>1052</v>
      </c>
      <c r="V2802" t="s">
        <v>1053</v>
      </c>
      <c r="W2802" t="s">
        <v>51</v>
      </c>
      <c r="X2802" t="s">
        <v>45</v>
      </c>
      <c r="Y2802" s="1">
        <v>20124</v>
      </c>
      <c r="Z2802">
        <v>2</v>
      </c>
      <c r="AA2802" t="s">
        <v>1052</v>
      </c>
      <c r="AB2802" s="40" t="s">
        <v>1798</v>
      </c>
    </row>
    <row r="2803" spans="1:28" x14ac:dyDescent="0.25">
      <c r="A2803">
        <v>99912802</v>
      </c>
      <c r="B2803" t="s">
        <v>32</v>
      </c>
      <c r="C2803" t="s">
        <v>64</v>
      </c>
      <c r="D2803" t="s">
        <v>65</v>
      </c>
      <c r="G2803" t="s">
        <v>48</v>
      </c>
      <c r="H2803">
        <v>1</v>
      </c>
      <c r="K2803" t="s">
        <v>223</v>
      </c>
      <c r="L2803" t="s">
        <v>224</v>
      </c>
      <c r="M2803" t="s">
        <v>131</v>
      </c>
      <c r="N2803">
        <v>20</v>
      </c>
      <c r="P2803" t="s">
        <v>41</v>
      </c>
      <c r="Q2803" t="s">
        <v>49</v>
      </c>
      <c r="R2803" t="str">
        <f>"0581200"</f>
        <v>0581200</v>
      </c>
      <c r="S2803" t="s">
        <v>238</v>
      </c>
      <c r="T2803" t="s">
        <v>223</v>
      </c>
      <c r="U2803" t="s">
        <v>224</v>
      </c>
      <c r="V2803" t="s">
        <v>131</v>
      </c>
      <c r="W2803" t="s">
        <v>51</v>
      </c>
      <c r="X2803" t="s">
        <v>45</v>
      </c>
      <c r="Y2803" s="1">
        <v>20091</v>
      </c>
      <c r="Z2803">
        <v>2</v>
      </c>
      <c r="AA2803" t="s">
        <v>224</v>
      </c>
      <c r="AB2803" s="40" t="s">
        <v>1798</v>
      </c>
    </row>
    <row r="2804" spans="1:28" x14ac:dyDescent="0.25">
      <c r="A2804">
        <v>99912803</v>
      </c>
      <c r="B2804" t="s">
        <v>56</v>
      </c>
      <c r="C2804" t="s">
        <v>52</v>
      </c>
      <c r="D2804" t="s">
        <v>53</v>
      </c>
      <c r="G2804" t="s">
        <v>48</v>
      </c>
      <c r="H2804">
        <v>8</v>
      </c>
      <c r="K2804" t="s">
        <v>345</v>
      </c>
      <c r="L2804" t="s">
        <v>346</v>
      </c>
      <c r="M2804" t="s">
        <v>131</v>
      </c>
      <c r="N2804">
        <v>20</v>
      </c>
      <c r="P2804" t="s">
        <v>41</v>
      </c>
      <c r="Q2804" t="s">
        <v>49</v>
      </c>
      <c r="R2804" t="str">
        <f>"0561021"</f>
        <v>0561021</v>
      </c>
      <c r="S2804" t="s">
        <v>352</v>
      </c>
      <c r="T2804" t="s">
        <v>345</v>
      </c>
      <c r="U2804" t="s">
        <v>346</v>
      </c>
      <c r="V2804" t="s">
        <v>131</v>
      </c>
      <c r="W2804" t="s">
        <v>51</v>
      </c>
      <c r="X2804" t="s">
        <v>45</v>
      </c>
      <c r="Y2804" s="1">
        <v>20090</v>
      </c>
      <c r="Z2804">
        <v>2</v>
      </c>
      <c r="AA2804" t="s">
        <v>346</v>
      </c>
      <c r="AB2804" s="40" t="s">
        <v>1798</v>
      </c>
    </row>
    <row r="2805" spans="1:28" x14ac:dyDescent="0.25">
      <c r="A2805">
        <v>99912804</v>
      </c>
      <c r="B2805" t="s">
        <v>32</v>
      </c>
      <c r="C2805" t="s">
        <v>64</v>
      </c>
      <c r="D2805" t="s">
        <v>65</v>
      </c>
      <c r="G2805" t="s">
        <v>48</v>
      </c>
      <c r="H2805">
        <v>1</v>
      </c>
      <c r="K2805" t="s">
        <v>1268</v>
      </c>
      <c r="L2805" t="s">
        <v>1269</v>
      </c>
      <c r="M2805" t="s">
        <v>1270</v>
      </c>
      <c r="N2805">
        <v>20</v>
      </c>
      <c r="P2805" t="s">
        <v>41</v>
      </c>
      <c r="Q2805" t="s">
        <v>49</v>
      </c>
      <c r="R2805" t="str">
        <f>"1981914"</f>
        <v>1981914</v>
      </c>
      <c r="S2805" t="s">
        <v>1287</v>
      </c>
      <c r="T2805" t="s">
        <v>1268</v>
      </c>
      <c r="U2805" t="s">
        <v>1269</v>
      </c>
      <c r="V2805" t="s">
        <v>1270</v>
      </c>
      <c r="W2805" t="s">
        <v>51</v>
      </c>
      <c r="X2805" t="s">
        <v>45</v>
      </c>
      <c r="Y2805" s="1">
        <v>19899</v>
      </c>
      <c r="Z2805">
        <v>2</v>
      </c>
      <c r="AA2805" t="s">
        <v>1269</v>
      </c>
      <c r="AB2805" s="40" t="s">
        <v>1798</v>
      </c>
    </row>
    <row r="2806" spans="1:28" x14ac:dyDescent="0.25">
      <c r="A2806">
        <v>99912805</v>
      </c>
      <c r="B2806" t="s">
        <v>56</v>
      </c>
      <c r="C2806" t="s">
        <v>52</v>
      </c>
      <c r="D2806" t="s">
        <v>53</v>
      </c>
      <c r="G2806" t="s">
        <v>35</v>
      </c>
      <c r="H2806">
        <v>1</v>
      </c>
      <c r="K2806" t="s">
        <v>1187</v>
      </c>
      <c r="L2806" t="s">
        <v>1188</v>
      </c>
      <c r="M2806" t="s">
        <v>1130</v>
      </c>
      <c r="N2806">
        <v>20</v>
      </c>
      <c r="P2806" t="s">
        <v>41</v>
      </c>
      <c r="Q2806" t="s">
        <v>42</v>
      </c>
      <c r="R2806" t="str">
        <f>"4580015"</f>
        <v>4580015</v>
      </c>
      <c r="S2806" t="s">
        <v>1189</v>
      </c>
      <c r="T2806" t="s">
        <v>1187</v>
      </c>
      <c r="U2806" t="s">
        <v>1188</v>
      </c>
      <c r="V2806" t="s">
        <v>1130</v>
      </c>
      <c r="W2806" t="s">
        <v>51</v>
      </c>
      <c r="X2806" t="s">
        <v>45</v>
      </c>
      <c r="Y2806" s="1">
        <v>19480</v>
      </c>
      <c r="Z2806">
        <v>2</v>
      </c>
      <c r="AA2806" t="s">
        <v>1188</v>
      </c>
      <c r="AB2806" s="40" t="s">
        <v>1798</v>
      </c>
    </row>
    <row r="2807" spans="1:28" x14ac:dyDescent="0.25">
      <c r="A2807">
        <v>99912806</v>
      </c>
      <c r="B2807" t="s">
        <v>56</v>
      </c>
      <c r="C2807" t="s">
        <v>149</v>
      </c>
      <c r="D2807" t="s">
        <v>150</v>
      </c>
      <c r="G2807" t="s">
        <v>48</v>
      </c>
      <c r="H2807">
        <v>1</v>
      </c>
      <c r="K2807" t="s">
        <v>129</v>
      </c>
      <c r="L2807" t="s">
        <v>130</v>
      </c>
      <c r="M2807" t="s">
        <v>131</v>
      </c>
      <c r="N2807">
        <v>20</v>
      </c>
      <c r="P2807" t="s">
        <v>41</v>
      </c>
      <c r="Q2807" t="s">
        <v>49</v>
      </c>
      <c r="R2807" t="str">
        <f>"0591905"</f>
        <v>0591905</v>
      </c>
      <c r="S2807" t="s">
        <v>135</v>
      </c>
      <c r="T2807" t="s">
        <v>129</v>
      </c>
      <c r="U2807" t="s">
        <v>130</v>
      </c>
      <c r="V2807" t="s">
        <v>131</v>
      </c>
      <c r="W2807" t="s">
        <v>51</v>
      </c>
      <c r="X2807" t="s">
        <v>45</v>
      </c>
      <c r="Z2807">
        <v>2</v>
      </c>
      <c r="AA2807" t="s">
        <v>130</v>
      </c>
      <c r="AB2807" s="40" t="s">
        <v>1798</v>
      </c>
    </row>
    <row r="2808" spans="1:28" x14ac:dyDescent="0.25">
      <c r="A2808">
        <v>99912807</v>
      </c>
      <c r="B2808" t="s">
        <v>32</v>
      </c>
      <c r="C2808" t="s">
        <v>46</v>
      </c>
      <c r="D2808" t="s">
        <v>47</v>
      </c>
      <c r="G2808" t="s">
        <v>35</v>
      </c>
      <c r="H2808">
        <v>1</v>
      </c>
      <c r="K2808" t="s">
        <v>157</v>
      </c>
      <c r="L2808" t="s">
        <v>158</v>
      </c>
      <c r="M2808" t="s">
        <v>131</v>
      </c>
      <c r="N2808">
        <v>20</v>
      </c>
      <c r="P2808" t="s">
        <v>41</v>
      </c>
      <c r="Q2808" t="s">
        <v>49</v>
      </c>
      <c r="R2808" t="str">
        <f>"0580505"</f>
        <v>0580505</v>
      </c>
      <c r="S2808" t="s">
        <v>168</v>
      </c>
      <c r="T2808" t="s">
        <v>157</v>
      </c>
      <c r="U2808" t="s">
        <v>158</v>
      </c>
      <c r="V2808" t="s">
        <v>131</v>
      </c>
      <c r="W2808" t="s">
        <v>51</v>
      </c>
      <c r="X2808" t="s">
        <v>45</v>
      </c>
      <c r="Z2808">
        <v>2</v>
      </c>
      <c r="AA2808" t="s">
        <v>158</v>
      </c>
      <c r="AB2808" s="40" t="s">
        <v>1798</v>
      </c>
    </row>
    <row r="2809" spans="1:28" x14ac:dyDescent="0.25">
      <c r="A2809">
        <v>99912808</v>
      </c>
      <c r="B2809" t="s">
        <v>32</v>
      </c>
      <c r="C2809" t="s">
        <v>46</v>
      </c>
      <c r="D2809" t="s">
        <v>47</v>
      </c>
      <c r="G2809" t="s">
        <v>35</v>
      </c>
      <c r="H2809">
        <v>1</v>
      </c>
      <c r="K2809" t="s">
        <v>157</v>
      </c>
      <c r="L2809" t="s">
        <v>158</v>
      </c>
      <c r="M2809" t="s">
        <v>131</v>
      </c>
      <c r="N2809">
        <v>20</v>
      </c>
      <c r="P2809" t="s">
        <v>41</v>
      </c>
      <c r="Q2809" t="s">
        <v>49</v>
      </c>
      <c r="R2809" t="str">
        <f>"0580505"</f>
        <v>0580505</v>
      </c>
      <c r="S2809" t="s">
        <v>168</v>
      </c>
      <c r="T2809" t="s">
        <v>157</v>
      </c>
      <c r="U2809" t="s">
        <v>158</v>
      </c>
      <c r="V2809" t="s">
        <v>131</v>
      </c>
      <c r="W2809" t="s">
        <v>51</v>
      </c>
      <c r="X2809" t="s">
        <v>45</v>
      </c>
      <c r="Z2809">
        <v>2</v>
      </c>
      <c r="AA2809" t="s">
        <v>158</v>
      </c>
      <c r="AB2809" s="40" t="s">
        <v>1798</v>
      </c>
    </row>
    <row r="2810" spans="1:28" x14ac:dyDescent="0.25">
      <c r="A2810">
        <v>99912809</v>
      </c>
      <c r="B2810" t="s">
        <v>56</v>
      </c>
      <c r="C2810" t="s">
        <v>79</v>
      </c>
      <c r="D2810" t="s">
        <v>80</v>
      </c>
      <c r="G2810" t="s">
        <v>35</v>
      </c>
      <c r="H2810">
        <v>1</v>
      </c>
      <c r="K2810" t="s">
        <v>157</v>
      </c>
      <c r="L2810" t="s">
        <v>158</v>
      </c>
      <c r="M2810" t="s">
        <v>131</v>
      </c>
      <c r="N2810">
        <v>20</v>
      </c>
      <c r="P2810" t="s">
        <v>41</v>
      </c>
      <c r="Q2810" t="s">
        <v>49</v>
      </c>
      <c r="R2810" t="str">
        <f>"0580505"</f>
        <v>0580505</v>
      </c>
      <c r="S2810" t="s">
        <v>168</v>
      </c>
      <c r="T2810" t="s">
        <v>157</v>
      </c>
      <c r="U2810" t="s">
        <v>158</v>
      </c>
      <c r="V2810" t="s">
        <v>131</v>
      </c>
      <c r="W2810" t="s">
        <v>51</v>
      </c>
      <c r="X2810" t="s">
        <v>45</v>
      </c>
      <c r="Z2810">
        <v>2</v>
      </c>
      <c r="AA2810" t="s">
        <v>158</v>
      </c>
      <c r="AB2810" s="40" t="s">
        <v>1798</v>
      </c>
    </row>
    <row r="2811" spans="1:28" x14ac:dyDescent="0.25">
      <c r="A2811">
        <v>99912810</v>
      </c>
      <c r="B2811" t="s">
        <v>56</v>
      </c>
      <c r="C2811" t="s">
        <v>68</v>
      </c>
      <c r="D2811" t="s">
        <v>69</v>
      </c>
      <c r="G2811" t="s">
        <v>35</v>
      </c>
      <c r="H2811">
        <v>1</v>
      </c>
      <c r="K2811" t="s">
        <v>157</v>
      </c>
      <c r="L2811" t="s">
        <v>158</v>
      </c>
      <c r="M2811" t="s">
        <v>131</v>
      </c>
      <c r="N2811">
        <v>20</v>
      </c>
      <c r="P2811" t="s">
        <v>41</v>
      </c>
      <c r="Q2811" t="s">
        <v>42</v>
      </c>
      <c r="R2811" t="str">
        <f>"0580250"</f>
        <v>0580250</v>
      </c>
      <c r="S2811" t="s">
        <v>160</v>
      </c>
      <c r="T2811" t="s">
        <v>157</v>
      </c>
      <c r="U2811" t="s">
        <v>158</v>
      </c>
      <c r="V2811" t="s">
        <v>131</v>
      </c>
      <c r="W2811" t="s">
        <v>51</v>
      </c>
      <c r="X2811" t="s">
        <v>45</v>
      </c>
      <c r="Z2811">
        <v>2</v>
      </c>
      <c r="AA2811" t="s">
        <v>158</v>
      </c>
      <c r="AB2811" s="40" t="s">
        <v>1798</v>
      </c>
    </row>
    <row r="2812" spans="1:28" x14ac:dyDescent="0.25">
      <c r="A2812">
        <v>99912811</v>
      </c>
      <c r="B2812" t="s">
        <v>32</v>
      </c>
      <c r="C2812" t="s">
        <v>46</v>
      </c>
      <c r="D2812" t="s">
        <v>47</v>
      </c>
      <c r="G2812" t="s">
        <v>35</v>
      </c>
      <c r="H2812">
        <v>1</v>
      </c>
      <c r="K2812" t="s">
        <v>157</v>
      </c>
      <c r="L2812" t="s">
        <v>158</v>
      </c>
      <c r="M2812" t="s">
        <v>131</v>
      </c>
      <c r="N2812">
        <v>20</v>
      </c>
      <c r="P2812" t="s">
        <v>41</v>
      </c>
      <c r="Q2812" t="s">
        <v>42</v>
      </c>
      <c r="R2812" t="str">
        <f>"0561005"</f>
        <v>0561005</v>
      </c>
      <c r="S2812" t="s">
        <v>174</v>
      </c>
      <c r="T2812" t="s">
        <v>157</v>
      </c>
      <c r="U2812" t="s">
        <v>158</v>
      </c>
      <c r="V2812" t="s">
        <v>131</v>
      </c>
      <c r="W2812" t="s">
        <v>51</v>
      </c>
      <c r="X2812" t="s">
        <v>45</v>
      </c>
      <c r="Z2812">
        <v>2</v>
      </c>
      <c r="AA2812" t="s">
        <v>158</v>
      </c>
      <c r="AB2812" s="40" t="s">
        <v>1798</v>
      </c>
    </row>
    <row r="2813" spans="1:28" x14ac:dyDescent="0.25">
      <c r="A2813">
        <v>99912812</v>
      </c>
      <c r="B2813" t="s">
        <v>32</v>
      </c>
      <c r="C2813" t="s">
        <v>145</v>
      </c>
      <c r="D2813" t="s">
        <v>146</v>
      </c>
      <c r="G2813" t="s">
        <v>35</v>
      </c>
      <c r="H2813">
        <v>1</v>
      </c>
      <c r="K2813" t="s">
        <v>157</v>
      </c>
      <c r="L2813" t="s">
        <v>158</v>
      </c>
      <c r="M2813" t="s">
        <v>131</v>
      </c>
      <c r="N2813">
        <v>20</v>
      </c>
      <c r="P2813" t="s">
        <v>41</v>
      </c>
      <c r="Q2813" t="s">
        <v>42</v>
      </c>
      <c r="R2813" t="str">
        <f>"0561005"</f>
        <v>0561005</v>
      </c>
      <c r="S2813" t="s">
        <v>174</v>
      </c>
      <c r="T2813" t="s">
        <v>157</v>
      </c>
      <c r="U2813" t="s">
        <v>158</v>
      </c>
      <c r="V2813" t="s">
        <v>131</v>
      </c>
      <c r="W2813" t="s">
        <v>51</v>
      </c>
      <c r="X2813" t="s">
        <v>45</v>
      </c>
      <c r="Z2813">
        <v>2</v>
      </c>
      <c r="AA2813" t="s">
        <v>158</v>
      </c>
      <c r="AB2813" s="40" t="s">
        <v>1798</v>
      </c>
    </row>
    <row r="2814" spans="1:28" x14ac:dyDescent="0.25">
      <c r="A2814">
        <v>99912813</v>
      </c>
      <c r="B2814" t="s">
        <v>56</v>
      </c>
      <c r="C2814" t="s">
        <v>46</v>
      </c>
      <c r="D2814" t="s">
        <v>47</v>
      </c>
      <c r="G2814" t="s">
        <v>35</v>
      </c>
      <c r="H2814">
        <v>1</v>
      </c>
      <c r="K2814" t="s">
        <v>157</v>
      </c>
      <c r="L2814" t="s">
        <v>158</v>
      </c>
      <c r="M2814" t="s">
        <v>131</v>
      </c>
      <c r="N2814">
        <v>20</v>
      </c>
      <c r="P2814" t="s">
        <v>41</v>
      </c>
      <c r="Q2814" t="s">
        <v>42</v>
      </c>
      <c r="R2814" t="str">
        <f>"0561005"</f>
        <v>0561005</v>
      </c>
      <c r="S2814" t="s">
        <v>174</v>
      </c>
      <c r="T2814" t="s">
        <v>157</v>
      </c>
      <c r="U2814" t="s">
        <v>158</v>
      </c>
      <c r="V2814" t="s">
        <v>131</v>
      </c>
      <c r="W2814" t="s">
        <v>51</v>
      </c>
      <c r="X2814" t="s">
        <v>45</v>
      </c>
      <c r="Z2814">
        <v>2</v>
      </c>
      <c r="AA2814" t="s">
        <v>158</v>
      </c>
      <c r="AB2814" s="40" t="s">
        <v>1798</v>
      </c>
    </row>
    <row r="2815" spans="1:28" x14ac:dyDescent="0.25">
      <c r="A2815">
        <v>99912814</v>
      </c>
      <c r="B2815" t="s">
        <v>32</v>
      </c>
      <c r="C2815" t="s">
        <v>46</v>
      </c>
      <c r="D2815" t="s">
        <v>47</v>
      </c>
      <c r="G2815" t="s">
        <v>35</v>
      </c>
      <c r="H2815">
        <v>1</v>
      </c>
      <c r="K2815" t="s">
        <v>162</v>
      </c>
      <c r="L2815" t="s">
        <v>158</v>
      </c>
      <c r="M2815" t="s">
        <v>131</v>
      </c>
      <c r="N2815">
        <v>20</v>
      </c>
      <c r="P2815" t="s">
        <v>41</v>
      </c>
      <c r="Q2815" t="s">
        <v>49</v>
      </c>
      <c r="R2815" t="str">
        <f>"0505050"</f>
        <v>0505050</v>
      </c>
      <c r="S2815" t="s">
        <v>163</v>
      </c>
      <c r="T2815" t="s">
        <v>162</v>
      </c>
      <c r="U2815" t="s">
        <v>158</v>
      </c>
      <c r="V2815" t="s">
        <v>131</v>
      </c>
      <c r="W2815" t="s">
        <v>51</v>
      </c>
      <c r="X2815" t="s">
        <v>45</v>
      </c>
      <c r="Z2815">
        <v>2</v>
      </c>
      <c r="AA2815" t="s">
        <v>158</v>
      </c>
      <c r="AB2815" s="40" t="s">
        <v>1798</v>
      </c>
    </row>
    <row r="2816" spans="1:28" x14ac:dyDescent="0.25">
      <c r="A2816">
        <v>99912815</v>
      </c>
      <c r="B2816" t="s">
        <v>56</v>
      </c>
      <c r="C2816" t="s">
        <v>58</v>
      </c>
      <c r="D2816" t="s">
        <v>59</v>
      </c>
      <c r="G2816" t="s">
        <v>35</v>
      </c>
      <c r="H2816">
        <v>1</v>
      </c>
      <c r="K2816" t="s">
        <v>157</v>
      </c>
      <c r="L2816" t="s">
        <v>158</v>
      </c>
      <c r="M2816" t="s">
        <v>131</v>
      </c>
      <c r="N2816">
        <v>20</v>
      </c>
      <c r="P2816" t="s">
        <v>41</v>
      </c>
      <c r="Q2816" t="s">
        <v>42</v>
      </c>
      <c r="R2816" t="str">
        <f>"0580250"</f>
        <v>0580250</v>
      </c>
      <c r="S2816" t="s">
        <v>160</v>
      </c>
      <c r="T2816" t="s">
        <v>157</v>
      </c>
      <c r="U2816" t="s">
        <v>158</v>
      </c>
      <c r="V2816" t="s">
        <v>131</v>
      </c>
      <c r="W2816" t="s">
        <v>51</v>
      </c>
      <c r="X2816" t="s">
        <v>45</v>
      </c>
      <c r="Z2816">
        <v>2</v>
      </c>
      <c r="AA2816" t="s">
        <v>158</v>
      </c>
      <c r="AB2816" s="40" t="s">
        <v>1798</v>
      </c>
    </row>
    <row r="2817" spans="1:28" x14ac:dyDescent="0.25">
      <c r="A2817">
        <v>99912816</v>
      </c>
      <c r="B2817" t="s">
        <v>56</v>
      </c>
      <c r="C2817" t="s">
        <v>46</v>
      </c>
      <c r="D2817" t="s">
        <v>47</v>
      </c>
      <c r="G2817" t="s">
        <v>35</v>
      </c>
      <c r="H2817">
        <v>1</v>
      </c>
      <c r="K2817" t="s">
        <v>157</v>
      </c>
      <c r="L2817" t="s">
        <v>158</v>
      </c>
      <c r="M2817" t="s">
        <v>131</v>
      </c>
      <c r="N2817">
        <v>20</v>
      </c>
      <c r="P2817" t="s">
        <v>41</v>
      </c>
      <c r="Q2817" t="s">
        <v>42</v>
      </c>
      <c r="R2817" t="str">
        <f>"0580250"</f>
        <v>0580250</v>
      </c>
      <c r="S2817" t="s">
        <v>160</v>
      </c>
      <c r="T2817" t="s">
        <v>157</v>
      </c>
      <c r="U2817" t="s">
        <v>158</v>
      </c>
      <c r="V2817" t="s">
        <v>131</v>
      </c>
      <c r="W2817" t="s">
        <v>51</v>
      </c>
      <c r="X2817" t="s">
        <v>45</v>
      </c>
      <c r="Z2817">
        <v>2</v>
      </c>
      <c r="AA2817" t="s">
        <v>158</v>
      </c>
      <c r="AB2817" s="40" t="s">
        <v>1798</v>
      </c>
    </row>
    <row r="2818" spans="1:28" x14ac:dyDescent="0.25">
      <c r="A2818">
        <v>99912817</v>
      </c>
      <c r="B2818" t="s">
        <v>32</v>
      </c>
      <c r="C2818" t="s">
        <v>46</v>
      </c>
      <c r="D2818" t="s">
        <v>47</v>
      </c>
      <c r="G2818" t="s">
        <v>35</v>
      </c>
      <c r="H2818">
        <v>1</v>
      </c>
      <c r="K2818" t="s">
        <v>157</v>
      </c>
      <c r="L2818" t="s">
        <v>158</v>
      </c>
      <c r="M2818" t="s">
        <v>131</v>
      </c>
      <c r="N2818">
        <v>20</v>
      </c>
      <c r="P2818" t="s">
        <v>41</v>
      </c>
      <c r="Q2818" t="s">
        <v>49</v>
      </c>
      <c r="R2818" t="str">
        <f>"0580505"</f>
        <v>0580505</v>
      </c>
      <c r="S2818" t="s">
        <v>168</v>
      </c>
      <c r="T2818" t="s">
        <v>157</v>
      </c>
      <c r="U2818" t="s">
        <v>158</v>
      </c>
      <c r="V2818" t="s">
        <v>131</v>
      </c>
      <c r="W2818" t="s">
        <v>51</v>
      </c>
      <c r="X2818" t="s">
        <v>45</v>
      </c>
      <c r="Z2818">
        <v>2</v>
      </c>
      <c r="AA2818" t="s">
        <v>158</v>
      </c>
      <c r="AB2818" s="40" t="s">
        <v>1798</v>
      </c>
    </row>
    <row r="2819" spans="1:28" x14ac:dyDescent="0.25">
      <c r="A2819">
        <v>99912818</v>
      </c>
      <c r="B2819" t="s">
        <v>56</v>
      </c>
      <c r="C2819" t="s">
        <v>79</v>
      </c>
      <c r="D2819" t="s">
        <v>80</v>
      </c>
      <c r="G2819" t="s">
        <v>35</v>
      </c>
      <c r="H2819">
        <v>1</v>
      </c>
      <c r="K2819" t="s">
        <v>162</v>
      </c>
      <c r="L2819" t="s">
        <v>158</v>
      </c>
      <c r="M2819" t="s">
        <v>131</v>
      </c>
      <c r="N2819">
        <v>20</v>
      </c>
      <c r="P2819" t="s">
        <v>41</v>
      </c>
      <c r="Q2819" t="s">
        <v>49</v>
      </c>
      <c r="R2819" t="str">
        <f>"0505050"</f>
        <v>0505050</v>
      </c>
      <c r="S2819" t="s">
        <v>163</v>
      </c>
      <c r="T2819" t="s">
        <v>162</v>
      </c>
      <c r="U2819" t="s">
        <v>158</v>
      </c>
      <c r="V2819" t="s">
        <v>131</v>
      </c>
      <c r="W2819" t="s">
        <v>51</v>
      </c>
      <c r="X2819" t="s">
        <v>45</v>
      </c>
      <c r="Z2819">
        <v>2</v>
      </c>
      <c r="AA2819" t="s">
        <v>158</v>
      </c>
      <c r="AB2819" s="40" t="s">
        <v>1798</v>
      </c>
    </row>
    <row r="2820" spans="1:28" x14ac:dyDescent="0.25">
      <c r="A2820">
        <v>99912819</v>
      </c>
      <c r="B2820" t="s">
        <v>32</v>
      </c>
      <c r="C2820" t="s">
        <v>82</v>
      </c>
      <c r="D2820" t="s">
        <v>83</v>
      </c>
      <c r="G2820" t="s">
        <v>35</v>
      </c>
      <c r="H2820">
        <v>1</v>
      </c>
      <c r="K2820" t="s">
        <v>157</v>
      </c>
      <c r="L2820" t="s">
        <v>158</v>
      </c>
      <c r="M2820" t="s">
        <v>131</v>
      </c>
      <c r="N2820">
        <v>20</v>
      </c>
      <c r="P2820" t="s">
        <v>41</v>
      </c>
      <c r="Q2820" t="s">
        <v>42</v>
      </c>
      <c r="R2820" t="str">
        <f>"0580250"</f>
        <v>0580250</v>
      </c>
      <c r="S2820" t="s">
        <v>160</v>
      </c>
      <c r="T2820" t="s">
        <v>157</v>
      </c>
      <c r="U2820" t="s">
        <v>158</v>
      </c>
      <c r="V2820" t="s">
        <v>131</v>
      </c>
      <c r="W2820" t="s">
        <v>51</v>
      </c>
      <c r="X2820" t="s">
        <v>45</v>
      </c>
      <c r="Z2820">
        <v>2</v>
      </c>
      <c r="AA2820" t="s">
        <v>158</v>
      </c>
      <c r="AB2820" s="40" t="s">
        <v>1798</v>
      </c>
    </row>
    <row r="2821" spans="1:28" x14ac:dyDescent="0.25">
      <c r="A2821">
        <v>99912820</v>
      </c>
      <c r="B2821" t="s">
        <v>32</v>
      </c>
      <c r="C2821" t="s">
        <v>85</v>
      </c>
      <c r="D2821" t="s">
        <v>86</v>
      </c>
      <c r="G2821" t="s">
        <v>35</v>
      </c>
      <c r="H2821">
        <v>1</v>
      </c>
      <c r="K2821" t="s">
        <v>162</v>
      </c>
      <c r="L2821" t="s">
        <v>158</v>
      </c>
      <c r="M2821" t="s">
        <v>131</v>
      </c>
      <c r="N2821">
        <v>20</v>
      </c>
      <c r="P2821" t="s">
        <v>41</v>
      </c>
      <c r="Q2821" t="s">
        <v>49</v>
      </c>
      <c r="R2821" t="str">
        <f>"0505050"</f>
        <v>0505050</v>
      </c>
      <c r="S2821" t="s">
        <v>163</v>
      </c>
      <c r="T2821" t="s">
        <v>162</v>
      </c>
      <c r="U2821" t="s">
        <v>158</v>
      </c>
      <c r="V2821" t="s">
        <v>131</v>
      </c>
      <c r="W2821" t="s">
        <v>165</v>
      </c>
      <c r="X2821" t="s">
        <v>45</v>
      </c>
      <c r="Z2821">
        <v>2</v>
      </c>
      <c r="AA2821" t="s">
        <v>158</v>
      </c>
      <c r="AB2821" s="40" t="s">
        <v>1798</v>
      </c>
    </row>
    <row r="2822" spans="1:28" x14ac:dyDescent="0.25">
      <c r="A2822">
        <v>99912821</v>
      </c>
      <c r="B2822" t="s">
        <v>56</v>
      </c>
      <c r="C2822" t="s">
        <v>52</v>
      </c>
      <c r="D2822" t="s">
        <v>53</v>
      </c>
      <c r="G2822" t="s">
        <v>35</v>
      </c>
      <c r="H2822">
        <v>1</v>
      </c>
      <c r="K2822" t="s">
        <v>157</v>
      </c>
      <c r="L2822" t="s">
        <v>158</v>
      </c>
      <c r="M2822" t="s">
        <v>131</v>
      </c>
      <c r="N2822">
        <v>20</v>
      </c>
      <c r="P2822" t="s">
        <v>41</v>
      </c>
      <c r="Q2822" t="s">
        <v>42</v>
      </c>
      <c r="R2822" t="str">
        <f>"0561005"</f>
        <v>0561005</v>
      </c>
      <c r="S2822" t="s">
        <v>174</v>
      </c>
      <c r="T2822" t="s">
        <v>157</v>
      </c>
      <c r="U2822" t="s">
        <v>158</v>
      </c>
      <c r="V2822" t="s">
        <v>131</v>
      </c>
      <c r="W2822" t="s">
        <v>51</v>
      </c>
      <c r="X2822" t="s">
        <v>45</v>
      </c>
      <c r="Z2822">
        <v>2</v>
      </c>
      <c r="AA2822" t="s">
        <v>158</v>
      </c>
      <c r="AB2822" s="40" t="s">
        <v>1798</v>
      </c>
    </row>
    <row r="2823" spans="1:28" x14ac:dyDescent="0.25">
      <c r="A2823">
        <v>99912822</v>
      </c>
      <c r="B2823" t="s">
        <v>56</v>
      </c>
      <c r="C2823" t="s">
        <v>68</v>
      </c>
      <c r="D2823" t="s">
        <v>69</v>
      </c>
      <c r="G2823" t="s">
        <v>35</v>
      </c>
      <c r="H2823">
        <v>1</v>
      </c>
      <c r="K2823" t="s">
        <v>157</v>
      </c>
      <c r="L2823" t="s">
        <v>158</v>
      </c>
      <c r="M2823" t="s">
        <v>131</v>
      </c>
      <c r="N2823">
        <v>20</v>
      </c>
      <c r="P2823" t="s">
        <v>41</v>
      </c>
      <c r="Q2823" t="s">
        <v>42</v>
      </c>
      <c r="R2823" t="str">
        <f>"0561005"</f>
        <v>0561005</v>
      </c>
      <c r="S2823" t="s">
        <v>174</v>
      </c>
      <c r="T2823" t="s">
        <v>157</v>
      </c>
      <c r="U2823" t="s">
        <v>158</v>
      </c>
      <c r="V2823" t="s">
        <v>131</v>
      </c>
      <c r="W2823" t="s">
        <v>51</v>
      </c>
      <c r="X2823" t="s">
        <v>45</v>
      </c>
      <c r="Z2823">
        <v>2</v>
      </c>
      <c r="AA2823" t="s">
        <v>158</v>
      </c>
      <c r="AB2823" s="40" t="s">
        <v>1798</v>
      </c>
    </row>
    <row r="2824" spans="1:28" x14ac:dyDescent="0.25">
      <c r="A2824">
        <v>99912823</v>
      </c>
      <c r="B2824" t="s">
        <v>32</v>
      </c>
      <c r="C2824" t="s">
        <v>85</v>
      </c>
      <c r="D2824" t="s">
        <v>86</v>
      </c>
      <c r="G2824" t="s">
        <v>35</v>
      </c>
      <c r="H2824">
        <v>1</v>
      </c>
      <c r="I2824">
        <v>19621</v>
      </c>
      <c r="J2824" s="1">
        <v>43412</v>
      </c>
      <c r="K2824" t="s">
        <v>157</v>
      </c>
      <c r="L2824" t="s">
        <v>158</v>
      </c>
      <c r="M2824" t="s">
        <v>131</v>
      </c>
      <c r="N2824">
        <v>20</v>
      </c>
      <c r="O2824" s="1">
        <v>43412</v>
      </c>
      <c r="P2824" t="s">
        <v>41</v>
      </c>
      <c r="Q2824" t="s">
        <v>42</v>
      </c>
      <c r="R2824" t="str">
        <f>"0561031"</f>
        <v>0561031</v>
      </c>
      <c r="S2824" t="s">
        <v>177</v>
      </c>
      <c r="T2824" t="s">
        <v>157</v>
      </c>
      <c r="U2824" t="s">
        <v>158</v>
      </c>
      <c r="V2824" t="s">
        <v>131</v>
      </c>
      <c r="W2824" t="s">
        <v>51</v>
      </c>
      <c r="X2824" t="s">
        <v>45</v>
      </c>
      <c r="Z2824">
        <v>2</v>
      </c>
      <c r="AA2824" t="s">
        <v>158</v>
      </c>
      <c r="AB2824" s="40" t="s">
        <v>1798</v>
      </c>
    </row>
    <row r="2825" spans="1:28" x14ac:dyDescent="0.25">
      <c r="A2825">
        <v>99912824</v>
      </c>
      <c r="B2825" t="s">
        <v>32</v>
      </c>
      <c r="C2825" t="s">
        <v>46</v>
      </c>
      <c r="D2825" t="s">
        <v>47</v>
      </c>
      <c r="G2825" t="s">
        <v>48</v>
      </c>
      <c r="H2825">
        <v>1</v>
      </c>
      <c r="K2825" t="s">
        <v>223</v>
      </c>
      <c r="L2825" t="s">
        <v>224</v>
      </c>
      <c r="M2825" t="s">
        <v>131</v>
      </c>
      <c r="N2825">
        <v>20</v>
      </c>
      <c r="P2825" t="s">
        <v>41</v>
      </c>
      <c r="Q2825" t="s">
        <v>42</v>
      </c>
      <c r="R2825" t="str">
        <f>"0580315"</f>
        <v>0580315</v>
      </c>
      <c r="S2825" t="s">
        <v>246</v>
      </c>
      <c r="T2825" t="s">
        <v>223</v>
      </c>
      <c r="U2825" t="s">
        <v>224</v>
      </c>
      <c r="V2825" t="s">
        <v>131</v>
      </c>
      <c r="W2825" t="s">
        <v>51</v>
      </c>
      <c r="X2825" t="s">
        <v>45</v>
      </c>
      <c r="Z2825">
        <v>2</v>
      </c>
      <c r="AA2825" t="s">
        <v>224</v>
      </c>
      <c r="AB2825" s="40" t="s">
        <v>1798</v>
      </c>
    </row>
    <row r="2826" spans="1:28" x14ac:dyDescent="0.25">
      <c r="A2826">
        <v>99912825</v>
      </c>
      <c r="B2826" t="s">
        <v>56</v>
      </c>
      <c r="C2826" t="s">
        <v>52</v>
      </c>
      <c r="D2826" t="s">
        <v>53</v>
      </c>
      <c r="G2826" t="s">
        <v>48</v>
      </c>
      <c r="H2826">
        <v>1</v>
      </c>
      <c r="K2826" t="s">
        <v>223</v>
      </c>
      <c r="L2826" t="s">
        <v>224</v>
      </c>
      <c r="M2826" t="s">
        <v>131</v>
      </c>
      <c r="N2826">
        <v>20</v>
      </c>
      <c r="P2826" t="s">
        <v>41</v>
      </c>
      <c r="Q2826" t="s">
        <v>42</v>
      </c>
      <c r="R2826" t="str">
        <f>"0580315"</f>
        <v>0580315</v>
      </c>
      <c r="S2826" t="s">
        <v>246</v>
      </c>
      <c r="T2826" t="s">
        <v>223</v>
      </c>
      <c r="U2826" t="s">
        <v>224</v>
      </c>
      <c r="V2826" t="s">
        <v>131</v>
      </c>
      <c r="W2826" t="s">
        <v>51</v>
      </c>
      <c r="X2826" t="s">
        <v>45</v>
      </c>
      <c r="Z2826">
        <v>2</v>
      </c>
      <c r="AA2826" t="s">
        <v>224</v>
      </c>
      <c r="AB2826" s="40" t="s">
        <v>1798</v>
      </c>
    </row>
    <row r="2827" spans="1:28" x14ac:dyDescent="0.25">
      <c r="A2827">
        <v>99912826</v>
      </c>
      <c r="B2827" t="s">
        <v>56</v>
      </c>
      <c r="C2827" t="s">
        <v>68</v>
      </c>
      <c r="D2827" t="s">
        <v>69</v>
      </c>
      <c r="G2827" t="s">
        <v>48</v>
      </c>
      <c r="H2827">
        <v>1</v>
      </c>
      <c r="K2827" t="s">
        <v>223</v>
      </c>
      <c r="L2827" t="s">
        <v>224</v>
      </c>
      <c r="M2827" t="s">
        <v>131</v>
      </c>
      <c r="N2827">
        <v>20</v>
      </c>
      <c r="P2827" t="s">
        <v>41</v>
      </c>
      <c r="Q2827" t="s">
        <v>42</v>
      </c>
      <c r="R2827" t="str">
        <f>"0580207"</f>
        <v>0580207</v>
      </c>
      <c r="S2827" t="s">
        <v>229</v>
      </c>
      <c r="T2827" t="s">
        <v>223</v>
      </c>
      <c r="U2827" t="s">
        <v>224</v>
      </c>
      <c r="V2827" t="s">
        <v>131</v>
      </c>
      <c r="W2827" t="s">
        <v>51</v>
      </c>
      <c r="X2827" t="s">
        <v>45</v>
      </c>
      <c r="Z2827">
        <v>2</v>
      </c>
      <c r="AA2827" t="s">
        <v>224</v>
      </c>
      <c r="AB2827" s="40" t="s">
        <v>1798</v>
      </c>
    </row>
    <row r="2828" spans="1:28" x14ac:dyDescent="0.25">
      <c r="A2828">
        <v>99912827</v>
      </c>
      <c r="B2828" t="s">
        <v>56</v>
      </c>
      <c r="C2828" t="s">
        <v>68</v>
      </c>
      <c r="D2828" t="s">
        <v>69</v>
      </c>
      <c r="G2828" t="s">
        <v>48</v>
      </c>
      <c r="H2828">
        <v>1</v>
      </c>
      <c r="K2828" t="s">
        <v>223</v>
      </c>
      <c r="L2828" t="s">
        <v>224</v>
      </c>
      <c r="M2828" t="s">
        <v>131</v>
      </c>
      <c r="N2828">
        <v>20</v>
      </c>
      <c r="P2828" t="s">
        <v>41</v>
      </c>
      <c r="Q2828" t="s">
        <v>42</v>
      </c>
      <c r="R2828" t="str">
        <f>"0580315"</f>
        <v>0580315</v>
      </c>
      <c r="S2828" t="s">
        <v>246</v>
      </c>
      <c r="T2828" t="s">
        <v>223</v>
      </c>
      <c r="U2828" t="s">
        <v>224</v>
      </c>
      <c r="V2828" t="s">
        <v>131</v>
      </c>
      <c r="W2828" t="s">
        <v>51</v>
      </c>
      <c r="X2828" t="s">
        <v>45</v>
      </c>
      <c r="Z2828">
        <v>2</v>
      </c>
      <c r="AA2828" t="s">
        <v>224</v>
      </c>
      <c r="AB2828" s="40" t="s">
        <v>1798</v>
      </c>
    </row>
    <row r="2829" spans="1:28" x14ac:dyDescent="0.25">
      <c r="A2829">
        <v>99912828</v>
      </c>
      <c r="B2829" t="s">
        <v>56</v>
      </c>
      <c r="C2829" t="s">
        <v>52</v>
      </c>
      <c r="D2829" t="s">
        <v>53</v>
      </c>
      <c r="G2829" t="s">
        <v>48</v>
      </c>
      <c r="H2829">
        <v>1</v>
      </c>
      <c r="K2829" t="s">
        <v>223</v>
      </c>
      <c r="L2829" t="s">
        <v>224</v>
      </c>
      <c r="M2829" t="s">
        <v>131</v>
      </c>
      <c r="N2829">
        <v>20</v>
      </c>
      <c r="P2829" t="s">
        <v>41</v>
      </c>
      <c r="Q2829" t="s">
        <v>42</v>
      </c>
      <c r="R2829" t="str">
        <f>"0580207"</f>
        <v>0580207</v>
      </c>
      <c r="S2829" t="s">
        <v>229</v>
      </c>
      <c r="T2829" t="s">
        <v>223</v>
      </c>
      <c r="U2829" t="s">
        <v>224</v>
      </c>
      <c r="V2829" t="s">
        <v>131</v>
      </c>
      <c r="W2829" t="s">
        <v>51</v>
      </c>
      <c r="X2829" t="s">
        <v>45</v>
      </c>
      <c r="Z2829">
        <v>2</v>
      </c>
      <c r="AA2829" t="s">
        <v>224</v>
      </c>
      <c r="AB2829" s="40" t="s">
        <v>1798</v>
      </c>
    </row>
    <row r="2830" spans="1:28" x14ac:dyDescent="0.25">
      <c r="A2830">
        <v>99912829</v>
      </c>
      <c r="B2830" t="s">
        <v>56</v>
      </c>
      <c r="C2830" t="s">
        <v>46</v>
      </c>
      <c r="D2830" t="s">
        <v>47</v>
      </c>
      <c r="G2830" t="s">
        <v>48</v>
      </c>
      <c r="H2830">
        <v>1</v>
      </c>
      <c r="K2830" t="s">
        <v>223</v>
      </c>
      <c r="L2830" t="s">
        <v>224</v>
      </c>
      <c r="M2830" t="s">
        <v>131</v>
      </c>
      <c r="N2830">
        <v>20</v>
      </c>
      <c r="P2830" t="s">
        <v>41</v>
      </c>
      <c r="Q2830" t="s">
        <v>42</v>
      </c>
      <c r="R2830" t="str">
        <f>"0580207"</f>
        <v>0580207</v>
      </c>
      <c r="S2830" t="s">
        <v>229</v>
      </c>
      <c r="T2830" t="s">
        <v>223</v>
      </c>
      <c r="U2830" t="s">
        <v>224</v>
      </c>
      <c r="V2830" t="s">
        <v>131</v>
      </c>
      <c r="W2830" t="s">
        <v>51</v>
      </c>
      <c r="X2830" t="s">
        <v>45</v>
      </c>
      <c r="Z2830">
        <v>2</v>
      </c>
      <c r="AA2830" t="s">
        <v>224</v>
      </c>
      <c r="AB2830" s="40" t="s">
        <v>1798</v>
      </c>
    </row>
    <row r="2831" spans="1:28" x14ac:dyDescent="0.25">
      <c r="A2831">
        <v>99912830</v>
      </c>
      <c r="B2831" t="s">
        <v>56</v>
      </c>
      <c r="C2831" t="s">
        <v>33</v>
      </c>
      <c r="D2831" t="s">
        <v>34</v>
      </c>
      <c r="G2831" t="s">
        <v>48</v>
      </c>
      <c r="H2831">
        <v>1</v>
      </c>
      <c r="K2831" t="s">
        <v>223</v>
      </c>
      <c r="L2831" t="s">
        <v>224</v>
      </c>
      <c r="M2831" t="s">
        <v>131</v>
      </c>
      <c r="N2831">
        <v>20</v>
      </c>
      <c r="P2831" t="s">
        <v>41</v>
      </c>
      <c r="Q2831" t="s">
        <v>42</v>
      </c>
      <c r="R2831" t="str">
        <f>"0580207"</f>
        <v>0580207</v>
      </c>
      <c r="S2831" t="s">
        <v>229</v>
      </c>
      <c r="T2831" t="s">
        <v>223</v>
      </c>
      <c r="U2831" t="s">
        <v>224</v>
      </c>
      <c r="V2831" t="s">
        <v>131</v>
      </c>
      <c r="W2831" t="s">
        <v>51</v>
      </c>
      <c r="X2831" t="s">
        <v>45</v>
      </c>
      <c r="Z2831">
        <v>2</v>
      </c>
      <c r="AA2831" t="s">
        <v>224</v>
      </c>
      <c r="AB2831" s="40" t="s">
        <v>1798</v>
      </c>
    </row>
    <row r="2832" spans="1:28" x14ac:dyDescent="0.25">
      <c r="A2832">
        <v>99912831</v>
      </c>
      <c r="B2832" t="s">
        <v>56</v>
      </c>
      <c r="C2832" t="s">
        <v>143</v>
      </c>
      <c r="D2832" t="s">
        <v>144</v>
      </c>
      <c r="G2832" t="s">
        <v>48</v>
      </c>
      <c r="H2832">
        <v>1</v>
      </c>
      <c r="K2832" t="s">
        <v>223</v>
      </c>
      <c r="L2832" t="s">
        <v>224</v>
      </c>
      <c r="M2832" t="s">
        <v>131</v>
      </c>
      <c r="N2832">
        <v>20</v>
      </c>
      <c r="P2832" t="s">
        <v>41</v>
      </c>
      <c r="Q2832" t="s">
        <v>49</v>
      </c>
      <c r="R2832" t="str">
        <f>"0581206"</f>
        <v>0581206</v>
      </c>
      <c r="S2832" t="s">
        <v>232</v>
      </c>
      <c r="T2832" t="s">
        <v>223</v>
      </c>
      <c r="U2832" t="s">
        <v>224</v>
      </c>
      <c r="V2832" t="s">
        <v>131</v>
      </c>
      <c r="W2832" t="s">
        <v>51</v>
      </c>
      <c r="X2832" t="s">
        <v>45</v>
      </c>
      <c r="Z2832">
        <v>2</v>
      </c>
      <c r="AA2832" t="s">
        <v>224</v>
      </c>
      <c r="AB2832" s="40" t="s">
        <v>1798</v>
      </c>
    </row>
    <row r="2833" spans="1:29" x14ac:dyDescent="0.25">
      <c r="A2833">
        <v>99912832</v>
      </c>
      <c r="B2833" t="s">
        <v>32</v>
      </c>
      <c r="C2833" t="s">
        <v>46</v>
      </c>
      <c r="D2833" t="s">
        <v>47</v>
      </c>
      <c r="G2833" t="s">
        <v>48</v>
      </c>
      <c r="H2833">
        <v>1</v>
      </c>
      <c r="K2833" t="s">
        <v>223</v>
      </c>
      <c r="L2833" t="s">
        <v>224</v>
      </c>
      <c r="M2833" t="s">
        <v>131</v>
      </c>
      <c r="N2833">
        <v>20</v>
      </c>
      <c r="P2833" t="s">
        <v>41</v>
      </c>
      <c r="Q2833" t="s">
        <v>42</v>
      </c>
      <c r="R2833" t="str">
        <f>"0580315"</f>
        <v>0580315</v>
      </c>
      <c r="S2833" t="s">
        <v>246</v>
      </c>
      <c r="T2833" t="s">
        <v>223</v>
      </c>
      <c r="U2833" t="s">
        <v>224</v>
      </c>
      <c r="V2833" t="s">
        <v>131</v>
      </c>
      <c r="W2833" t="s">
        <v>51</v>
      </c>
      <c r="X2833" t="s">
        <v>45</v>
      </c>
      <c r="Z2833">
        <v>2</v>
      </c>
      <c r="AA2833" t="s">
        <v>224</v>
      </c>
      <c r="AB2833" s="40" t="s">
        <v>1798</v>
      </c>
    </row>
    <row r="2834" spans="1:29" x14ac:dyDescent="0.25">
      <c r="A2834">
        <v>99912833</v>
      </c>
      <c r="B2834" t="s">
        <v>32</v>
      </c>
      <c r="C2834" t="s">
        <v>46</v>
      </c>
      <c r="D2834" t="s">
        <v>47</v>
      </c>
      <c r="G2834" t="s">
        <v>48</v>
      </c>
      <c r="H2834">
        <v>1</v>
      </c>
      <c r="K2834" t="s">
        <v>223</v>
      </c>
      <c r="L2834" t="s">
        <v>224</v>
      </c>
      <c r="M2834" t="s">
        <v>131</v>
      </c>
      <c r="N2834">
        <v>20</v>
      </c>
      <c r="P2834" t="s">
        <v>41</v>
      </c>
      <c r="Q2834" t="s">
        <v>49</v>
      </c>
      <c r="R2834" t="str">
        <f>"0560016"</f>
        <v>0560016</v>
      </c>
      <c r="S2834" t="s">
        <v>254</v>
      </c>
      <c r="T2834" t="s">
        <v>223</v>
      </c>
      <c r="U2834" t="s">
        <v>224</v>
      </c>
      <c r="V2834" t="s">
        <v>131</v>
      </c>
      <c r="W2834" t="s">
        <v>51</v>
      </c>
      <c r="X2834" t="s">
        <v>45</v>
      </c>
      <c r="Z2834">
        <v>2</v>
      </c>
      <c r="AA2834" t="s">
        <v>224</v>
      </c>
      <c r="AB2834" s="40" t="s">
        <v>1798</v>
      </c>
    </row>
    <row r="2835" spans="1:29" x14ac:dyDescent="0.25">
      <c r="A2835">
        <v>99912834</v>
      </c>
      <c r="B2835" t="s">
        <v>56</v>
      </c>
      <c r="C2835" t="s">
        <v>141</v>
      </c>
      <c r="D2835" t="s">
        <v>142</v>
      </c>
      <c r="G2835" t="s">
        <v>35</v>
      </c>
      <c r="H2835">
        <v>1</v>
      </c>
      <c r="I2835">
        <v>0</v>
      </c>
      <c r="J2835" s="1">
        <v>43344</v>
      </c>
      <c r="K2835" t="s">
        <v>223</v>
      </c>
      <c r="L2835" t="s">
        <v>224</v>
      </c>
      <c r="M2835" t="s">
        <v>131</v>
      </c>
      <c r="N2835">
        <v>20</v>
      </c>
      <c r="O2835" s="1">
        <v>43344</v>
      </c>
      <c r="P2835" t="s">
        <v>41</v>
      </c>
      <c r="Q2835" t="s">
        <v>42</v>
      </c>
      <c r="R2835" t="str">
        <f>"0580206"</f>
        <v>0580206</v>
      </c>
      <c r="S2835" t="s">
        <v>237</v>
      </c>
      <c r="T2835" t="s">
        <v>223</v>
      </c>
      <c r="U2835" t="s">
        <v>224</v>
      </c>
      <c r="V2835" t="s">
        <v>131</v>
      </c>
      <c r="W2835" t="s">
        <v>51</v>
      </c>
      <c r="X2835" t="s">
        <v>45</v>
      </c>
      <c r="Z2835">
        <v>2</v>
      </c>
      <c r="AA2835" t="s">
        <v>224</v>
      </c>
      <c r="AB2835" s="40" t="s">
        <v>1798</v>
      </c>
    </row>
    <row r="2836" spans="1:29" x14ac:dyDescent="0.25">
      <c r="A2836">
        <v>99912835</v>
      </c>
      <c r="B2836" t="s">
        <v>32</v>
      </c>
      <c r="C2836" t="s">
        <v>33</v>
      </c>
      <c r="D2836" t="s">
        <v>34</v>
      </c>
      <c r="G2836" t="s">
        <v>48</v>
      </c>
      <c r="H2836">
        <v>1</v>
      </c>
      <c r="K2836" t="s">
        <v>223</v>
      </c>
      <c r="L2836" t="s">
        <v>224</v>
      </c>
      <c r="M2836" t="s">
        <v>131</v>
      </c>
      <c r="N2836">
        <v>20</v>
      </c>
      <c r="P2836" t="s">
        <v>41</v>
      </c>
      <c r="Q2836" t="s">
        <v>49</v>
      </c>
      <c r="R2836" t="str">
        <f>"0560016"</f>
        <v>0560016</v>
      </c>
      <c r="S2836" t="s">
        <v>254</v>
      </c>
      <c r="T2836" t="s">
        <v>223</v>
      </c>
      <c r="U2836" t="s">
        <v>224</v>
      </c>
      <c r="V2836" t="s">
        <v>131</v>
      </c>
      <c r="W2836" t="s">
        <v>51</v>
      </c>
      <c r="X2836" t="s">
        <v>45</v>
      </c>
      <c r="Z2836">
        <v>2</v>
      </c>
      <c r="AA2836" t="s">
        <v>224</v>
      </c>
      <c r="AB2836" s="40" t="s">
        <v>1798</v>
      </c>
    </row>
    <row r="2837" spans="1:29" x14ac:dyDescent="0.25">
      <c r="A2837">
        <v>99912836</v>
      </c>
      <c r="B2837" t="s">
        <v>56</v>
      </c>
      <c r="C2837" t="s">
        <v>85</v>
      </c>
      <c r="D2837" t="s">
        <v>86</v>
      </c>
      <c r="G2837" t="s">
        <v>48</v>
      </c>
      <c r="H2837">
        <v>1</v>
      </c>
      <c r="K2837" t="s">
        <v>223</v>
      </c>
      <c r="L2837" t="s">
        <v>224</v>
      </c>
      <c r="M2837" t="s">
        <v>131</v>
      </c>
      <c r="N2837">
        <v>20</v>
      </c>
      <c r="P2837" t="s">
        <v>41</v>
      </c>
      <c r="Q2837" t="s">
        <v>42</v>
      </c>
      <c r="R2837" t="str">
        <f>"0580315"</f>
        <v>0580315</v>
      </c>
      <c r="S2837" t="s">
        <v>246</v>
      </c>
      <c r="T2837" t="s">
        <v>223</v>
      </c>
      <c r="U2837" t="s">
        <v>224</v>
      </c>
      <c r="V2837" t="s">
        <v>131</v>
      </c>
      <c r="W2837" t="s">
        <v>51</v>
      </c>
      <c r="X2837" t="s">
        <v>45</v>
      </c>
      <c r="Z2837">
        <v>2</v>
      </c>
      <c r="AA2837" t="s">
        <v>224</v>
      </c>
      <c r="AB2837" s="40" t="s">
        <v>1798</v>
      </c>
    </row>
    <row r="2838" spans="1:29" x14ac:dyDescent="0.25">
      <c r="A2838">
        <v>99912837</v>
      </c>
      <c r="B2838" t="s">
        <v>32</v>
      </c>
      <c r="C2838" t="s">
        <v>85</v>
      </c>
      <c r="D2838" t="s">
        <v>86</v>
      </c>
      <c r="G2838" t="s">
        <v>48</v>
      </c>
      <c r="H2838">
        <v>1</v>
      </c>
      <c r="K2838" t="s">
        <v>300</v>
      </c>
      <c r="L2838" t="s">
        <v>301</v>
      </c>
      <c r="M2838" t="s">
        <v>131</v>
      </c>
      <c r="N2838">
        <v>20</v>
      </c>
      <c r="P2838" t="s">
        <v>41</v>
      </c>
      <c r="Q2838" t="s">
        <v>49</v>
      </c>
      <c r="R2838" t="str">
        <f>"0560001"</f>
        <v>0560001</v>
      </c>
      <c r="S2838" t="s">
        <v>304</v>
      </c>
      <c r="T2838" t="s">
        <v>300</v>
      </c>
      <c r="U2838" t="s">
        <v>301</v>
      </c>
      <c r="V2838" t="s">
        <v>131</v>
      </c>
      <c r="W2838" t="s">
        <v>51</v>
      </c>
      <c r="X2838" t="s">
        <v>45</v>
      </c>
      <c r="Z2838">
        <v>2</v>
      </c>
      <c r="AA2838" t="s">
        <v>301</v>
      </c>
      <c r="AB2838" s="40" t="s">
        <v>1798</v>
      </c>
    </row>
    <row r="2839" spans="1:29" x14ac:dyDescent="0.25">
      <c r="A2839">
        <v>99912838</v>
      </c>
      <c r="B2839" t="s">
        <v>56</v>
      </c>
      <c r="C2839" t="s">
        <v>46</v>
      </c>
      <c r="D2839" t="s">
        <v>47</v>
      </c>
      <c r="G2839" t="s">
        <v>48</v>
      </c>
      <c r="H2839">
        <v>1</v>
      </c>
      <c r="K2839" t="s">
        <v>300</v>
      </c>
      <c r="L2839" t="s">
        <v>301</v>
      </c>
      <c r="M2839" t="s">
        <v>131</v>
      </c>
      <c r="N2839">
        <v>20</v>
      </c>
      <c r="P2839" t="s">
        <v>41</v>
      </c>
      <c r="Q2839" t="s">
        <v>49</v>
      </c>
      <c r="R2839" t="str">
        <f>"0560001"</f>
        <v>0560001</v>
      </c>
      <c r="S2839" t="s">
        <v>304</v>
      </c>
      <c r="T2839" t="s">
        <v>300</v>
      </c>
      <c r="U2839" t="s">
        <v>301</v>
      </c>
      <c r="V2839" t="s">
        <v>131</v>
      </c>
      <c r="W2839" t="s">
        <v>51</v>
      </c>
      <c r="X2839" t="s">
        <v>45</v>
      </c>
      <c r="Z2839">
        <v>2</v>
      </c>
      <c r="AA2839" t="s">
        <v>301</v>
      </c>
      <c r="AB2839" s="40" t="s">
        <v>1798</v>
      </c>
    </row>
    <row r="2840" spans="1:29" x14ac:dyDescent="0.25">
      <c r="A2840">
        <v>99912839</v>
      </c>
      <c r="B2840" t="s">
        <v>32</v>
      </c>
      <c r="C2840" t="s">
        <v>46</v>
      </c>
      <c r="D2840" t="s">
        <v>47</v>
      </c>
      <c r="G2840" t="s">
        <v>48</v>
      </c>
      <c r="H2840">
        <v>1</v>
      </c>
      <c r="K2840" t="s">
        <v>300</v>
      </c>
      <c r="L2840" t="s">
        <v>301</v>
      </c>
      <c r="M2840" t="s">
        <v>131</v>
      </c>
      <c r="N2840">
        <v>20</v>
      </c>
      <c r="P2840" t="s">
        <v>41</v>
      </c>
      <c r="Q2840" t="s">
        <v>49</v>
      </c>
      <c r="R2840" t="str">
        <f>"0560001"</f>
        <v>0560001</v>
      </c>
      <c r="S2840" t="s">
        <v>304</v>
      </c>
      <c r="T2840" t="s">
        <v>300</v>
      </c>
      <c r="U2840" t="s">
        <v>301</v>
      </c>
      <c r="V2840" t="s">
        <v>131</v>
      </c>
      <c r="W2840" t="s">
        <v>51</v>
      </c>
      <c r="X2840" t="s">
        <v>45</v>
      </c>
      <c r="Z2840">
        <v>2</v>
      </c>
      <c r="AA2840" t="s">
        <v>301</v>
      </c>
      <c r="AB2840" s="40" t="s">
        <v>1798</v>
      </c>
    </row>
    <row r="2841" spans="1:29" x14ac:dyDescent="0.25">
      <c r="A2841">
        <v>99912840</v>
      </c>
      <c r="B2841" t="s">
        <v>32</v>
      </c>
      <c r="C2841" t="s">
        <v>46</v>
      </c>
      <c r="D2841" t="s">
        <v>47</v>
      </c>
      <c r="G2841" t="s">
        <v>48</v>
      </c>
      <c r="H2841">
        <v>1</v>
      </c>
      <c r="K2841" t="s">
        <v>300</v>
      </c>
      <c r="L2841" t="s">
        <v>301</v>
      </c>
      <c r="M2841" t="s">
        <v>131</v>
      </c>
      <c r="N2841">
        <v>20</v>
      </c>
      <c r="P2841" t="s">
        <v>41</v>
      </c>
      <c r="Q2841" t="s">
        <v>49</v>
      </c>
      <c r="R2841" t="str">
        <f>"0560001"</f>
        <v>0560001</v>
      </c>
      <c r="S2841" t="s">
        <v>304</v>
      </c>
      <c r="T2841" t="s">
        <v>300</v>
      </c>
      <c r="U2841" t="s">
        <v>301</v>
      </c>
      <c r="V2841" t="s">
        <v>131</v>
      </c>
      <c r="W2841" t="s">
        <v>51</v>
      </c>
      <c r="X2841" t="s">
        <v>45</v>
      </c>
      <c r="Z2841">
        <v>2</v>
      </c>
      <c r="AA2841" t="s">
        <v>301</v>
      </c>
      <c r="AB2841" s="40" t="s">
        <v>1798</v>
      </c>
    </row>
    <row r="2842" spans="1:29" x14ac:dyDescent="0.25">
      <c r="A2842">
        <v>99912841</v>
      </c>
      <c r="B2842" t="s">
        <v>56</v>
      </c>
      <c r="C2842" t="s">
        <v>58</v>
      </c>
      <c r="D2842" t="s">
        <v>59</v>
      </c>
      <c r="G2842" t="s">
        <v>48</v>
      </c>
      <c r="H2842">
        <v>1</v>
      </c>
      <c r="K2842" t="s">
        <v>300</v>
      </c>
      <c r="L2842" t="s">
        <v>301</v>
      </c>
      <c r="M2842" t="s">
        <v>131</v>
      </c>
      <c r="N2842">
        <v>20</v>
      </c>
      <c r="P2842" t="s">
        <v>41</v>
      </c>
      <c r="Q2842" t="s">
        <v>42</v>
      </c>
      <c r="R2842" t="str">
        <f>"0580176"</f>
        <v>0580176</v>
      </c>
      <c r="S2842" t="s">
        <v>305</v>
      </c>
      <c r="T2842" t="s">
        <v>300</v>
      </c>
      <c r="U2842" t="s">
        <v>301</v>
      </c>
      <c r="V2842" t="s">
        <v>131</v>
      </c>
      <c r="W2842" t="s">
        <v>51</v>
      </c>
      <c r="X2842" t="s">
        <v>45</v>
      </c>
      <c r="Z2842">
        <v>2</v>
      </c>
      <c r="AA2842" t="s">
        <v>301</v>
      </c>
      <c r="AB2842" s="40" t="s">
        <v>1798</v>
      </c>
      <c r="AC2842" s="36"/>
    </row>
    <row r="2843" spans="1:29" x14ac:dyDescent="0.25">
      <c r="A2843">
        <v>99912842</v>
      </c>
      <c r="B2843" t="s">
        <v>32</v>
      </c>
      <c r="C2843" t="s">
        <v>46</v>
      </c>
      <c r="D2843" t="s">
        <v>47</v>
      </c>
      <c r="G2843" t="s">
        <v>48</v>
      </c>
      <c r="H2843">
        <v>1</v>
      </c>
      <c r="K2843" t="s">
        <v>300</v>
      </c>
      <c r="L2843" t="s">
        <v>301</v>
      </c>
      <c r="M2843" t="s">
        <v>131</v>
      </c>
      <c r="N2843">
        <v>20</v>
      </c>
      <c r="P2843" t="s">
        <v>41</v>
      </c>
      <c r="Q2843" t="s">
        <v>49</v>
      </c>
      <c r="R2843" t="str">
        <f>"0560001"</f>
        <v>0560001</v>
      </c>
      <c r="S2843" t="s">
        <v>304</v>
      </c>
      <c r="T2843" t="s">
        <v>300</v>
      </c>
      <c r="U2843" t="s">
        <v>301</v>
      </c>
      <c r="V2843" t="s">
        <v>131</v>
      </c>
      <c r="W2843" t="s">
        <v>51</v>
      </c>
      <c r="X2843" t="s">
        <v>45</v>
      </c>
      <c r="Z2843">
        <v>2</v>
      </c>
      <c r="AA2843" t="s">
        <v>301</v>
      </c>
      <c r="AB2843" s="40" t="s">
        <v>1798</v>
      </c>
    </row>
    <row r="2844" spans="1:29" x14ac:dyDescent="0.25">
      <c r="A2844">
        <v>99912843</v>
      </c>
      <c r="B2844" t="s">
        <v>56</v>
      </c>
      <c r="C2844" t="s">
        <v>145</v>
      </c>
      <c r="D2844" t="s">
        <v>146</v>
      </c>
      <c r="G2844" t="s">
        <v>48</v>
      </c>
      <c r="H2844">
        <v>1</v>
      </c>
      <c r="K2844" t="s">
        <v>300</v>
      </c>
      <c r="L2844" t="s">
        <v>301</v>
      </c>
      <c r="M2844" t="s">
        <v>131</v>
      </c>
      <c r="N2844">
        <v>20</v>
      </c>
      <c r="P2844" t="s">
        <v>41</v>
      </c>
      <c r="Q2844" t="s">
        <v>42</v>
      </c>
      <c r="R2844" t="str">
        <f>"0580176"</f>
        <v>0580176</v>
      </c>
      <c r="S2844" t="s">
        <v>305</v>
      </c>
      <c r="T2844" t="s">
        <v>300</v>
      </c>
      <c r="U2844" t="s">
        <v>301</v>
      </c>
      <c r="V2844" t="s">
        <v>131</v>
      </c>
      <c r="W2844" t="s">
        <v>51</v>
      </c>
      <c r="X2844" t="s">
        <v>45</v>
      </c>
      <c r="Z2844">
        <v>2</v>
      </c>
      <c r="AA2844" t="s">
        <v>301</v>
      </c>
      <c r="AB2844" s="40" t="s">
        <v>1798</v>
      </c>
    </row>
    <row r="2845" spans="1:29" x14ac:dyDescent="0.25">
      <c r="A2845">
        <v>99912844</v>
      </c>
      <c r="B2845" t="s">
        <v>56</v>
      </c>
      <c r="C2845" t="s">
        <v>46</v>
      </c>
      <c r="D2845" t="s">
        <v>47</v>
      </c>
      <c r="G2845" t="s">
        <v>48</v>
      </c>
      <c r="H2845">
        <v>1</v>
      </c>
      <c r="K2845" t="s">
        <v>300</v>
      </c>
      <c r="L2845" t="s">
        <v>301</v>
      </c>
      <c r="M2845" t="s">
        <v>131</v>
      </c>
      <c r="N2845">
        <v>20</v>
      </c>
      <c r="P2845" t="s">
        <v>41</v>
      </c>
      <c r="Q2845" t="s">
        <v>42</v>
      </c>
      <c r="R2845" t="str">
        <f>"0580176"</f>
        <v>0580176</v>
      </c>
      <c r="S2845" t="s">
        <v>305</v>
      </c>
      <c r="T2845" t="s">
        <v>300</v>
      </c>
      <c r="U2845" t="s">
        <v>301</v>
      </c>
      <c r="V2845" t="s">
        <v>131</v>
      </c>
      <c r="W2845" t="s">
        <v>51</v>
      </c>
      <c r="X2845" t="s">
        <v>45</v>
      </c>
      <c r="Z2845">
        <v>2</v>
      </c>
      <c r="AA2845" t="s">
        <v>301</v>
      </c>
      <c r="AB2845" s="40" t="s">
        <v>1798</v>
      </c>
    </row>
    <row r="2846" spans="1:29" x14ac:dyDescent="0.25">
      <c r="A2846">
        <v>99912845</v>
      </c>
      <c r="B2846" t="s">
        <v>32</v>
      </c>
      <c r="C2846" t="s">
        <v>61</v>
      </c>
      <c r="D2846" t="s">
        <v>62</v>
      </c>
      <c r="G2846" t="s">
        <v>35</v>
      </c>
      <c r="H2846">
        <v>1</v>
      </c>
      <c r="K2846" t="s">
        <v>431</v>
      </c>
      <c r="L2846" t="s">
        <v>196</v>
      </c>
      <c r="M2846" t="s">
        <v>131</v>
      </c>
      <c r="N2846">
        <v>20</v>
      </c>
      <c r="P2846" t="s">
        <v>41</v>
      </c>
      <c r="Q2846" t="s">
        <v>75</v>
      </c>
      <c r="R2846" t="str">
        <f>"7521056"</f>
        <v>7521056</v>
      </c>
      <c r="S2846" t="s">
        <v>437</v>
      </c>
      <c r="T2846" t="s">
        <v>431</v>
      </c>
      <c r="U2846" t="s">
        <v>196</v>
      </c>
      <c r="V2846" t="s">
        <v>131</v>
      </c>
      <c r="W2846" t="s">
        <v>51</v>
      </c>
      <c r="X2846" t="s">
        <v>45</v>
      </c>
      <c r="Z2846">
        <v>1</v>
      </c>
      <c r="AA2846" t="s">
        <v>196</v>
      </c>
      <c r="AB2846" s="40" t="s">
        <v>1798</v>
      </c>
    </row>
    <row r="2847" spans="1:29" x14ac:dyDescent="0.25">
      <c r="A2847">
        <v>99912846</v>
      </c>
      <c r="B2847" t="s">
        <v>32</v>
      </c>
      <c r="C2847" t="s">
        <v>64</v>
      </c>
      <c r="D2847" t="s">
        <v>65</v>
      </c>
      <c r="G2847" t="s">
        <v>35</v>
      </c>
      <c r="H2847">
        <v>1</v>
      </c>
      <c r="K2847" t="s">
        <v>354</v>
      </c>
      <c r="L2847" t="s">
        <v>355</v>
      </c>
      <c r="M2847" t="s">
        <v>131</v>
      </c>
      <c r="N2847">
        <v>20</v>
      </c>
      <c r="P2847" t="s">
        <v>41</v>
      </c>
      <c r="Q2847" t="s">
        <v>75</v>
      </c>
      <c r="R2847" t="str">
        <f>"7054000"</f>
        <v>7054000</v>
      </c>
      <c r="S2847" t="s">
        <v>786</v>
      </c>
      <c r="T2847" t="s">
        <v>354</v>
      </c>
      <c r="U2847" t="s">
        <v>355</v>
      </c>
      <c r="V2847" t="s">
        <v>131</v>
      </c>
      <c r="W2847" t="s">
        <v>51</v>
      </c>
      <c r="X2847" t="s">
        <v>45</v>
      </c>
      <c r="Z2847">
        <v>1</v>
      </c>
      <c r="AA2847" t="s">
        <v>355</v>
      </c>
      <c r="AB2847" s="40" t="s">
        <v>1798</v>
      </c>
    </row>
    <row r="2848" spans="1:29" x14ac:dyDescent="0.25">
      <c r="A2848">
        <v>99912847</v>
      </c>
      <c r="B2848" t="s">
        <v>32</v>
      </c>
      <c r="C2848" t="s">
        <v>46</v>
      </c>
      <c r="D2848" t="s">
        <v>47</v>
      </c>
      <c r="G2848" t="s">
        <v>35</v>
      </c>
      <c r="H2848">
        <v>1</v>
      </c>
      <c r="I2848">
        <v>6965</v>
      </c>
      <c r="J2848" s="1">
        <v>43344</v>
      </c>
      <c r="K2848" t="s">
        <v>1306</v>
      </c>
      <c r="L2848" t="s">
        <v>1307</v>
      </c>
      <c r="M2848" t="s">
        <v>1270</v>
      </c>
      <c r="N2848">
        <v>20</v>
      </c>
      <c r="O2848" s="1">
        <v>43344</v>
      </c>
      <c r="P2848" t="s">
        <v>41</v>
      </c>
      <c r="Q2848" t="s">
        <v>42</v>
      </c>
      <c r="R2848" t="str">
        <f>"1990915"</f>
        <v>1990915</v>
      </c>
      <c r="S2848" t="s">
        <v>1308</v>
      </c>
      <c r="T2848" t="s">
        <v>1306</v>
      </c>
      <c r="U2848" t="s">
        <v>1307</v>
      </c>
      <c r="V2848" t="s">
        <v>1270</v>
      </c>
      <c r="W2848" t="s">
        <v>51</v>
      </c>
      <c r="X2848" t="s">
        <v>45</v>
      </c>
      <c r="Z2848">
        <v>2</v>
      </c>
      <c r="AA2848" t="s">
        <v>1307</v>
      </c>
      <c r="AB2848" s="40" t="s">
        <v>1798</v>
      </c>
    </row>
    <row r="2849" spans="1:28" x14ac:dyDescent="0.25">
      <c r="A2849">
        <v>99912848</v>
      </c>
      <c r="B2849" t="s">
        <v>32</v>
      </c>
      <c r="C2849" t="s">
        <v>111</v>
      </c>
      <c r="D2849" t="s">
        <v>112</v>
      </c>
      <c r="G2849" t="s">
        <v>35</v>
      </c>
      <c r="H2849">
        <v>1</v>
      </c>
      <c r="I2849" t="s">
        <v>1480</v>
      </c>
      <c r="J2849" s="1">
        <v>43344</v>
      </c>
      <c r="K2849" t="s">
        <v>1334</v>
      </c>
      <c r="L2849" t="s">
        <v>1335</v>
      </c>
      <c r="M2849" t="s">
        <v>1270</v>
      </c>
      <c r="N2849">
        <v>21</v>
      </c>
      <c r="O2849" s="1">
        <v>43344</v>
      </c>
      <c r="P2849" t="s">
        <v>41</v>
      </c>
      <c r="Q2849" t="s">
        <v>75</v>
      </c>
      <c r="R2849" t="str">
        <f t="shared" ref="R2849:R2854" si="1">"7391000"</f>
        <v>7391000</v>
      </c>
      <c r="S2849" t="s">
        <v>1333</v>
      </c>
      <c r="T2849" t="s">
        <v>1334</v>
      </c>
      <c r="U2849" t="s">
        <v>1335</v>
      </c>
      <c r="V2849" t="s">
        <v>1270</v>
      </c>
      <c r="W2849" t="s">
        <v>44</v>
      </c>
      <c r="X2849" t="s">
        <v>45</v>
      </c>
      <c r="Y2849" s="1">
        <v>35382</v>
      </c>
      <c r="Z2849">
        <v>1</v>
      </c>
      <c r="AA2849" t="s">
        <v>1335</v>
      </c>
      <c r="AB2849" s="40" t="s">
        <v>1799</v>
      </c>
    </row>
    <row r="2850" spans="1:28" x14ac:dyDescent="0.25">
      <c r="A2850">
        <v>99912849</v>
      </c>
      <c r="B2850" t="s">
        <v>32</v>
      </c>
      <c r="C2850" t="s">
        <v>111</v>
      </c>
      <c r="D2850" t="s">
        <v>112</v>
      </c>
      <c r="G2850" t="s">
        <v>35</v>
      </c>
      <c r="H2850">
        <v>1</v>
      </c>
      <c r="I2850" t="s">
        <v>1479</v>
      </c>
      <c r="J2850" s="1">
        <v>43344</v>
      </c>
      <c r="K2850" t="s">
        <v>1334</v>
      </c>
      <c r="L2850" t="s">
        <v>1335</v>
      </c>
      <c r="M2850" t="s">
        <v>1270</v>
      </c>
      <c r="N2850">
        <v>21</v>
      </c>
      <c r="O2850" s="1">
        <v>43344</v>
      </c>
      <c r="P2850" t="s">
        <v>41</v>
      </c>
      <c r="Q2850" t="s">
        <v>75</v>
      </c>
      <c r="R2850" t="str">
        <f t="shared" si="1"/>
        <v>7391000</v>
      </c>
      <c r="S2850" t="s">
        <v>1333</v>
      </c>
      <c r="T2850" t="s">
        <v>1334</v>
      </c>
      <c r="U2850" t="s">
        <v>1335</v>
      </c>
      <c r="V2850" t="s">
        <v>1270</v>
      </c>
      <c r="W2850" t="s">
        <v>44</v>
      </c>
      <c r="X2850" t="s">
        <v>45</v>
      </c>
      <c r="Y2850" s="1">
        <v>35164</v>
      </c>
      <c r="Z2850">
        <v>1</v>
      </c>
      <c r="AA2850" t="s">
        <v>1335</v>
      </c>
      <c r="AB2850" s="40" t="s">
        <v>1799</v>
      </c>
    </row>
    <row r="2851" spans="1:28" x14ac:dyDescent="0.25">
      <c r="A2851">
        <v>99912850</v>
      </c>
      <c r="B2851" t="s">
        <v>56</v>
      </c>
      <c r="C2851" t="s">
        <v>111</v>
      </c>
      <c r="D2851" t="s">
        <v>112</v>
      </c>
      <c r="G2851" t="s">
        <v>35</v>
      </c>
      <c r="H2851">
        <v>1</v>
      </c>
      <c r="I2851" t="s">
        <v>1482</v>
      </c>
      <c r="J2851" s="1">
        <v>43344</v>
      </c>
      <c r="K2851" t="s">
        <v>1334</v>
      </c>
      <c r="L2851" t="s">
        <v>1335</v>
      </c>
      <c r="M2851" t="s">
        <v>1270</v>
      </c>
      <c r="N2851">
        <v>21</v>
      </c>
      <c r="O2851" s="1">
        <v>43344</v>
      </c>
      <c r="P2851" t="s">
        <v>41</v>
      </c>
      <c r="Q2851" t="s">
        <v>75</v>
      </c>
      <c r="R2851" t="str">
        <f t="shared" si="1"/>
        <v>7391000</v>
      </c>
      <c r="S2851" t="s">
        <v>1333</v>
      </c>
      <c r="T2851" t="s">
        <v>1334</v>
      </c>
      <c r="U2851" t="s">
        <v>1335</v>
      </c>
      <c r="V2851" t="s">
        <v>1270</v>
      </c>
      <c r="W2851" t="s">
        <v>44</v>
      </c>
      <c r="X2851" t="s">
        <v>45</v>
      </c>
      <c r="Y2851" s="1">
        <v>34702</v>
      </c>
      <c r="Z2851">
        <v>1</v>
      </c>
      <c r="AA2851" t="s">
        <v>1335</v>
      </c>
      <c r="AB2851" s="40" t="s">
        <v>1799</v>
      </c>
    </row>
    <row r="2852" spans="1:28" x14ac:dyDescent="0.25">
      <c r="A2852">
        <v>99912851</v>
      </c>
      <c r="B2852" t="s">
        <v>32</v>
      </c>
      <c r="C2852" t="s">
        <v>111</v>
      </c>
      <c r="D2852" t="s">
        <v>112</v>
      </c>
      <c r="G2852" t="s">
        <v>35</v>
      </c>
      <c r="H2852">
        <v>1</v>
      </c>
      <c r="I2852">
        <v>320007</v>
      </c>
      <c r="J2852" s="1">
        <v>43164</v>
      </c>
      <c r="K2852" t="s">
        <v>1334</v>
      </c>
      <c r="L2852" t="s">
        <v>1335</v>
      </c>
      <c r="M2852" t="s">
        <v>1270</v>
      </c>
      <c r="N2852">
        <v>21</v>
      </c>
      <c r="O2852" s="1">
        <v>43164</v>
      </c>
      <c r="P2852" t="s">
        <v>41</v>
      </c>
      <c r="Q2852" t="s">
        <v>75</v>
      </c>
      <c r="R2852" t="str">
        <f t="shared" si="1"/>
        <v>7391000</v>
      </c>
      <c r="S2852" t="s">
        <v>1333</v>
      </c>
      <c r="T2852" t="s">
        <v>1334</v>
      </c>
      <c r="U2852" t="s">
        <v>1335</v>
      </c>
      <c r="V2852" t="s">
        <v>1270</v>
      </c>
      <c r="W2852" t="s">
        <v>44</v>
      </c>
      <c r="X2852" t="s">
        <v>45</v>
      </c>
      <c r="Y2852" s="1">
        <v>34695</v>
      </c>
      <c r="Z2852">
        <v>1</v>
      </c>
      <c r="AA2852" t="s">
        <v>1335</v>
      </c>
      <c r="AB2852" s="40" t="s">
        <v>1799</v>
      </c>
    </row>
    <row r="2853" spans="1:28" x14ac:dyDescent="0.25">
      <c r="A2853">
        <v>99912852</v>
      </c>
      <c r="B2853" t="s">
        <v>32</v>
      </c>
      <c r="C2853" t="s">
        <v>111</v>
      </c>
      <c r="D2853" t="s">
        <v>112</v>
      </c>
      <c r="G2853" t="s">
        <v>35</v>
      </c>
      <c r="H2853">
        <v>1</v>
      </c>
      <c r="I2853" t="s">
        <v>1467</v>
      </c>
      <c r="J2853" s="1">
        <v>43437</v>
      </c>
      <c r="K2853" t="s">
        <v>1334</v>
      </c>
      <c r="L2853" t="s">
        <v>1335</v>
      </c>
      <c r="M2853" t="s">
        <v>1270</v>
      </c>
      <c r="N2853">
        <v>21</v>
      </c>
      <c r="O2853" s="1">
        <v>43437</v>
      </c>
      <c r="P2853" t="s">
        <v>41</v>
      </c>
      <c r="Q2853" t="s">
        <v>75</v>
      </c>
      <c r="R2853" t="str">
        <f t="shared" si="1"/>
        <v>7391000</v>
      </c>
      <c r="S2853" t="s">
        <v>1333</v>
      </c>
      <c r="T2853" t="s">
        <v>1334</v>
      </c>
      <c r="U2853" t="s">
        <v>1335</v>
      </c>
      <c r="V2853" t="s">
        <v>1270</v>
      </c>
      <c r="W2853" t="s">
        <v>44</v>
      </c>
      <c r="X2853" t="s">
        <v>45</v>
      </c>
      <c r="Y2853" s="1">
        <v>34106</v>
      </c>
      <c r="Z2853">
        <v>1</v>
      </c>
      <c r="AA2853" t="s">
        <v>1335</v>
      </c>
      <c r="AB2853" s="40" t="s">
        <v>1799</v>
      </c>
    </row>
    <row r="2854" spans="1:28" x14ac:dyDescent="0.25">
      <c r="A2854">
        <v>99912853</v>
      </c>
      <c r="B2854" t="s">
        <v>32</v>
      </c>
      <c r="C2854" t="s">
        <v>111</v>
      </c>
      <c r="D2854" t="s">
        <v>112</v>
      </c>
      <c r="G2854" t="s">
        <v>35</v>
      </c>
      <c r="H2854">
        <v>1</v>
      </c>
      <c r="I2854" t="s">
        <v>1473</v>
      </c>
      <c r="J2854" s="1">
        <v>43344</v>
      </c>
      <c r="K2854" t="s">
        <v>1334</v>
      </c>
      <c r="L2854" t="s">
        <v>1335</v>
      </c>
      <c r="M2854" t="s">
        <v>1270</v>
      </c>
      <c r="N2854">
        <v>21</v>
      </c>
      <c r="O2854" s="1">
        <v>43344</v>
      </c>
      <c r="P2854" t="s">
        <v>41</v>
      </c>
      <c r="Q2854" t="s">
        <v>75</v>
      </c>
      <c r="R2854" t="str">
        <f t="shared" si="1"/>
        <v>7391000</v>
      </c>
      <c r="S2854" t="s">
        <v>1333</v>
      </c>
      <c r="T2854" t="s">
        <v>1334</v>
      </c>
      <c r="U2854" t="s">
        <v>1335</v>
      </c>
      <c r="V2854" t="s">
        <v>1270</v>
      </c>
      <c r="W2854" t="s">
        <v>44</v>
      </c>
      <c r="X2854" t="s">
        <v>45</v>
      </c>
      <c r="Y2854" s="1">
        <v>34001</v>
      </c>
      <c r="Z2854">
        <v>1</v>
      </c>
      <c r="AA2854" t="s">
        <v>1335</v>
      </c>
      <c r="AB2854" s="40" t="s">
        <v>1799</v>
      </c>
    </row>
    <row r="2855" spans="1:28" x14ac:dyDescent="0.25">
      <c r="A2855">
        <v>99912854</v>
      </c>
      <c r="B2855" t="s">
        <v>32</v>
      </c>
      <c r="C2855" t="s">
        <v>64</v>
      </c>
      <c r="D2855" t="s">
        <v>65</v>
      </c>
      <c r="G2855" t="s">
        <v>35</v>
      </c>
      <c r="H2855">
        <v>1</v>
      </c>
      <c r="I2855">
        <v>0</v>
      </c>
      <c r="J2855" s="1">
        <v>43344</v>
      </c>
      <c r="K2855" t="s">
        <v>223</v>
      </c>
      <c r="L2855" t="s">
        <v>224</v>
      </c>
      <c r="M2855" t="s">
        <v>131</v>
      </c>
      <c r="N2855">
        <v>21</v>
      </c>
      <c r="O2855" s="1">
        <v>43344</v>
      </c>
      <c r="P2855" t="s">
        <v>41</v>
      </c>
      <c r="Q2855" t="s">
        <v>49</v>
      </c>
      <c r="R2855" t="str">
        <f>"0581202"</f>
        <v>0581202</v>
      </c>
      <c r="S2855" t="s">
        <v>248</v>
      </c>
      <c r="T2855" t="s">
        <v>223</v>
      </c>
      <c r="U2855" t="s">
        <v>224</v>
      </c>
      <c r="V2855" t="s">
        <v>131</v>
      </c>
      <c r="W2855" t="s">
        <v>44</v>
      </c>
      <c r="X2855" t="s">
        <v>45</v>
      </c>
      <c r="Y2855" s="1">
        <v>33757</v>
      </c>
      <c r="Z2855">
        <v>2</v>
      </c>
      <c r="AA2855" t="s">
        <v>224</v>
      </c>
      <c r="AB2855" s="40" t="s">
        <v>1799</v>
      </c>
    </row>
    <row r="2856" spans="1:28" x14ac:dyDescent="0.25">
      <c r="A2856">
        <v>99912855</v>
      </c>
      <c r="B2856" t="s">
        <v>32</v>
      </c>
      <c r="C2856" t="s">
        <v>90</v>
      </c>
      <c r="D2856" t="s">
        <v>91</v>
      </c>
      <c r="G2856" t="s">
        <v>35</v>
      </c>
      <c r="H2856">
        <v>1</v>
      </c>
      <c r="I2856" t="s">
        <v>1478</v>
      </c>
      <c r="J2856" s="1">
        <v>43346</v>
      </c>
      <c r="K2856" t="s">
        <v>1334</v>
      </c>
      <c r="L2856" t="s">
        <v>1335</v>
      </c>
      <c r="M2856" t="s">
        <v>1270</v>
      </c>
      <c r="N2856">
        <v>21</v>
      </c>
      <c r="O2856" s="1">
        <v>43346</v>
      </c>
      <c r="P2856" t="s">
        <v>41</v>
      </c>
      <c r="Q2856" t="s">
        <v>95</v>
      </c>
      <c r="R2856" t="str">
        <f>"7391001"</f>
        <v>7391001</v>
      </c>
      <c r="S2856" t="s">
        <v>1468</v>
      </c>
      <c r="T2856" t="s">
        <v>1334</v>
      </c>
      <c r="U2856" t="s">
        <v>1335</v>
      </c>
      <c r="V2856" t="s">
        <v>1270</v>
      </c>
      <c r="W2856" t="s">
        <v>44</v>
      </c>
      <c r="X2856" t="s">
        <v>45</v>
      </c>
      <c r="Y2856" s="1">
        <v>33460</v>
      </c>
      <c r="Z2856">
        <v>1</v>
      </c>
      <c r="AA2856" t="s">
        <v>1335</v>
      </c>
      <c r="AB2856" s="40" t="s">
        <v>1799</v>
      </c>
    </row>
    <row r="2857" spans="1:28" x14ac:dyDescent="0.25">
      <c r="A2857">
        <v>99912856</v>
      </c>
      <c r="B2857" t="s">
        <v>32</v>
      </c>
      <c r="C2857" t="s">
        <v>61</v>
      </c>
      <c r="D2857" t="s">
        <v>62</v>
      </c>
      <c r="G2857" t="s">
        <v>35</v>
      </c>
      <c r="H2857">
        <v>1</v>
      </c>
      <c r="K2857" t="s">
        <v>354</v>
      </c>
      <c r="L2857" t="s">
        <v>355</v>
      </c>
      <c r="M2857" t="s">
        <v>131</v>
      </c>
      <c r="N2857">
        <v>21</v>
      </c>
      <c r="P2857" t="s">
        <v>41</v>
      </c>
      <c r="Q2857" t="s">
        <v>75</v>
      </c>
      <c r="R2857" t="str">
        <f>"7054038"</f>
        <v>7054038</v>
      </c>
      <c r="S2857" t="s">
        <v>377</v>
      </c>
      <c r="T2857" t="s">
        <v>354</v>
      </c>
      <c r="U2857" t="s">
        <v>355</v>
      </c>
      <c r="V2857" t="s">
        <v>131</v>
      </c>
      <c r="W2857" t="s">
        <v>51</v>
      </c>
      <c r="X2857" t="s">
        <v>45</v>
      </c>
      <c r="Y2857" s="1">
        <v>33389</v>
      </c>
      <c r="Z2857">
        <v>1</v>
      </c>
      <c r="AA2857" t="s">
        <v>355</v>
      </c>
      <c r="AB2857" s="40" t="s">
        <v>1799</v>
      </c>
    </row>
    <row r="2858" spans="1:28" x14ac:dyDescent="0.25">
      <c r="A2858">
        <v>99912857</v>
      </c>
      <c r="B2858" t="s">
        <v>32</v>
      </c>
      <c r="C2858" t="s">
        <v>143</v>
      </c>
      <c r="D2858" t="s">
        <v>144</v>
      </c>
      <c r="G2858" t="s">
        <v>35</v>
      </c>
      <c r="H2858">
        <v>1</v>
      </c>
      <c r="I2858" s="1">
        <v>42688</v>
      </c>
      <c r="J2858" s="1">
        <v>43344</v>
      </c>
      <c r="K2858" t="s">
        <v>1341</v>
      </c>
      <c r="L2858" t="s">
        <v>1342</v>
      </c>
      <c r="M2858" t="s">
        <v>1270</v>
      </c>
      <c r="N2858">
        <v>21</v>
      </c>
      <c r="O2858" s="1">
        <v>43344</v>
      </c>
      <c r="P2858" t="s">
        <v>41</v>
      </c>
      <c r="Q2858" t="s">
        <v>75</v>
      </c>
      <c r="R2858" t="str">
        <f>"7191000"</f>
        <v>7191000</v>
      </c>
      <c r="S2858" t="s">
        <v>1347</v>
      </c>
      <c r="T2858" t="s">
        <v>1341</v>
      </c>
      <c r="U2858" t="s">
        <v>1342</v>
      </c>
      <c r="V2858" t="s">
        <v>1270</v>
      </c>
      <c r="W2858" t="s">
        <v>51</v>
      </c>
      <c r="X2858" t="s">
        <v>45</v>
      </c>
      <c r="Y2858" s="1">
        <v>33194</v>
      </c>
      <c r="Z2858">
        <v>1</v>
      </c>
      <c r="AA2858" t="s">
        <v>1342</v>
      </c>
      <c r="AB2858" s="40" t="s">
        <v>1799</v>
      </c>
    </row>
    <row r="2859" spans="1:28" x14ac:dyDescent="0.25">
      <c r="A2859">
        <v>99912858</v>
      </c>
      <c r="B2859" t="s">
        <v>32</v>
      </c>
      <c r="C2859" t="s">
        <v>111</v>
      </c>
      <c r="D2859" t="s">
        <v>112</v>
      </c>
      <c r="G2859" t="s">
        <v>35</v>
      </c>
      <c r="H2859">
        <v>1</v>
      </c>
      <c r="I2859" t="s">
        <v>1481</v>
      </c>
      <c r="J2859" s="1">
        <v>43344</v>
      </c>
      <c r="K2859" t="s">
        <v>1334</v>
      </c>
      <c r="L2859" t="s">
        <v>1335</v>
      </c>
      <c r="M2859" t="s">
        <v>1270</v>
      </c>
      <c r="N2859">
        <v>21</v>
      </c>
      <c r="O2859" s="1">
        <v>43344</v>
      </c>
      <c r="P2859" t="s">
        <v>41</v>
      </c>
      <c r="Q2859" t="s">
        <v>75</v>
      </c>
      <c r="R2859" t="str">
        <f>"7391000"</f>
        <v>7391000</v>
      </c>
      <c r="S2859" t="s">
        <v>1333</v>
      </c>
      <c r="T2859" t="s">
        <v>1334</v>
      </c>
      <c r="U2859" t="s">
        <v>1335</v>
      </c>
      <c r="V2859" t="s">
        <v>1270</v>
      </c>
      <c r="W2859" t="s">
        <v>44</v>
      </c>
      <c r="X2859" t="s">
        <v>45</v>
      </c>
      <c r="Y2859" s="1">
        <v>33156</v>
      </c>
      <c r="Z2859">
        <v>1</v>
      </c>
      <c r="AA2859" t="s">
        <v>1335</v>
      </c>
      <c r="AB2859" s="40" t="s">
        <v>1799</v>
      </c>
    </row>
    <row r="2860" spans="1:28" x14ac:dyDescent="0.25">
      <c r="A2860">
        <v>99912859</v>
      </c>
      <c r="B2860" t="s">
        <v>56</v>
      </c>
      <c r="C2860" t="s">
        <v>111</v>
      </c>
      <c r="D2860" t="s">
        <v>112</v>
      </c>
      <c r="G2860" t="s">
        <v>35</v>
      </c>
      <c r="H2860">
        <v>1</v>
      </c>
      <c r="I2860" t="s">
        <v>1466</v>
      </c>
      <c r="J2860" s="1">
        <v>43344</v>
      </c>
      <c r="K2860" t="s">
        <v>1334</v>
      </c>
      <c r="L2860" t="s">
        <v>1335</v>
      </c>
      <c r="M2860" t="s">
        <v>1270</v>
      </c>
      <c r="N2860">
        <v>21</v>
      </c>
      <c r="O2860" s="1">
        <v>43344</v>
      </c>
      <c r="P2860" t="s">
        <v>41</v>
      </c>
      <c r="Q2860" t="s">
        <v>75</v>
      </c>
      <c r="R2860" t="str">
        <f>"7391000"</f>
        <v>7391000</v>
      </c>
      <c r="S2860" t="s">
        <v>1333</v>
      </c>
      <c r="T2860" t="s">
        <v>1334</v>
      </c>
      <c r="U2860" t="s">
        <v>1335</v>
      </c>
      <c r="V2860" t="s">
        <v>1270</v>
      </c>
      <c r="W2860" t="s">
        <v>44</v>
      </c>
      <c r="X2860" t="s">
        <v>45</v>
      </c>
      <c r="Y2860" s="1">
        <v>32979</v>
      </c>
      <c r="Z2860">
        <v>1</v>
      </c>
      <c r="AA2860" t="s">
        <v>1335</v>
      </c>
      <c r="AB2860" s="40" t="s">
        <v>1799</v>
      </c>
    </row>
    <row r="2861" spans="1:28" x14ac:dyDescent="0.25">
      <c r="A2861">
        <v>99912860</v>
      </c>
      <c r="B2861" t="s">
        <v>32</v>
      </c>
      <c r="C2861" t="s">
        <v>52</v>
      </c>
      <c r="D2861" t="s">
        <v>53</v>
      </c>
      <c r="G2861" t="s">
        <v>35</v>
      </c>
      <c r="H2861">
        <v>1</v>
      </c>
      <c r="I2861">
        <v>12362</v>
      </c>
      <c r="J2861" s="1">
        <v>43344</v>
      </c>
      <c r="K2861" t="s">
        <v>1325</v>
      </c>
      <c r="L2861" t="s">
        <v>1326</v>
      </c>
      <c r="M2861" t="s">
        <v>1270</v>
      </c>
      <c r="N2861">
        <v>21</v>
      </c>
      <c r="O2861" s="1">
        <v>43344</v>
      </c>
      <c r="P2861" t="s">
        <v>41</v>
      </c>
      <c r="Q2861" t="s">
        <v>49</v>
      </c>
      <c r="R2861" t="str">
        <f>"3981100"</f>
        <v>3981100</v>
      </c>
      <c r="S2861" t="s">
        <v>1327</v>
      </c>
      <c r="T2861" t="s">
        <v>1325</v>
      </c>
      <c r="U2861" t="s">
        <v>1326</v>
      </c>
      <c r="V2861" t="s">
        <v>1270</v>
      </c>
      <c r="W2861" t="s">
        <v>51</v>
      </c>
      <c r="X2861" t="s">
        <v>45</v>
      </c>
      <c r="Y2861" s="1">
        <v>32970</v>
      </c>
      <c r="Z2861">
        <v>2</v>
      </c>
      <c r="AA2861" t="s">
        <v>1326</v>
      </c>
      <c r="AB2861" s="40" t="s">
        <v>1799</v>
      </c>
    </row>
    <row r="2862" spans="1:28" x14ac:dyDescent="0.25">
      <c r="A2862">
        <v>99912861</v>
      </c>
      <c r="B2862" t="s">
        <v>56</v>
      </c>
      <c r="C2862" t="s">
        <v>85</v>
      </c>
      <c r="D2862" t="s">
        <v>86</v>
      </c>
      <c r="G2862" t="s">
        <v>35</v>
      </c>
      <c r="H2862">
        <v>1</v>
      </c>
      <c r="I2862">
        <v>4867</v>
      </c>
      <c r="J2862" s="1">
        <v>43344</v>
      </c>
      <c r="K2862" t="s">
        <v>129</v>
      </c>
      <c r="L2862" t="s">
        <v>130</v>
      </c>
      <c r="M2862" t="s">
        <v>131</v>
      </c>
      <c r="N2862">
        <v>21</v>
      </c>
      <c r="O2862" s="1">
        <v>43344</v>
      </c>
      <c r="P2862" t="s">
        <v>41</v>
      </c>
      <c r="Q2862" t="s">
        <v>49</v>
      </c>
      <c r="R2862" t="str">
        <f>"0591905"</f>
        <v>0591905</v>
      </c>
      <c r="S2862" t="s">
        <v>135</v>
      </c>
      <c r="T2862" t="s">
        <v>129</v>
      </c>
      <c r="U2862" t="s">
        <v>130</v>
      </c>
      <c r="V2862" t="s">
        <v>131</v>
      </c>
      <c r="W2862" t="s">
        <v>55</v>
      </c>
      <c r="X2862" t="s">
        <v>45</v>
      </c>
      <c r="Y2862" s="1">
        <v>32874</v>
      </c>
      <c r="Z2862">
        <v>2</v>
      </c>
      <c r="AA2862" t="s">
        <v>130</v>
      </c>
      <c r="AB2862" s="40" t="s">
        <v>1799</v>
      </c>
    </row>
    <row r="2863" spans="1:28" x14ac:dyDescent="0.25">
      <c r="A2863">
        <v>99912862</v>
      </c>
      <c r="B2863" t="s">
        <v>32</v>
      </c>
      <c r="C2863" t="s">
        <v>64</v>
      </c>
      <c r="D2863" t="s">
        <v>65</v>
      </c>
      <c r="G2863" t="s">
        <v>35</v>
      </c>
      <c r="H2863">
        <v>1</v>
      </c>
      <c r="I2863">
        <v>785</v>
      </c>
      <c r="J2863" s="1">
        <v>43344</v>
      </c>
      <c r="K2863" t="s">
        <v>345</v>
      </c>
      <c r="L2863" t="s">
        <v>346</v>
      </c>
      <c r="M2863" t="s">
        <v>131</v>
      </c>
      <c r="N2863">
        <v>21</v>
      </c>
      <c r="O2863" s="1">
        <v>43344</v>
      </c>
      <c r="P2863" t="s">
        <v>41</v>
      </c>
      <c r="Q2863" t="s">
        <v>49</v>
      </c>
      <c r="R2863" t="str">
        <f>"0591906"</f>
        <v>0591906</v>
      </c>
      <c r="S2863" t="s">
        <v>350</v>
      </c>
      <c r="T2863" t="s">
        <v>345</v>
      </c>
      <c r="U2863" t="s">
        <v>346</v>
      </c>
      <c r="V2863" t="s">
        <v>131</v>
      </c>
      <c r="W2863" t="s">
        <v>55</v>
      </c>
      <c r="X2863" t="s">
        <v>45</v>
      </c>
      <c r="Y2863" s="1">
        <v>32620</v>
      </c>
      <c r="Z2863">
        <v>2</v>
      </c>
      <c r="AA2863" t="s">
        <v>346</v>
      </c>
      <c r="AB2863" s="40" t="s">
        <v>1799</v>
      </c>
    </row>
    <row r="2864" spans="1:28" x14ac:dyDescent="0.25">
      <c r="A2864">
        <v>99912863</v>
      </c>
      <c r="B2864" t="s">
        <v>32</v>
      </c>
      <c r="C2864" t="s">
        <v>61</v>
      </c>
      <c r="D2864" t="s">
        <v>62</v>
      </c>
      <c r="G2864" t="s">
        <v>35</v>
      </c>
      <c r="H2864">
        <v>1</v>
      </c>
      <c r="I2864" t="s">
        <v>286</v>
      </c>
      <c r="J2864" s="1">
        <v>43344</v>
      </c>
      <c r="K2864" t="s">
        <v>268</v>
      </c>
      <c r="L2864" t="s">
        <v>269</v>
      </c>
      <c r="M2864" t="s">
        <v>131</v>
      </c>
      <c r="N2864">
        <v>21</v>
      </c>
      <c r="O2864" s="1">
        <v>43344</v>
      </c>
      <c r="P2864" t="s">
        <v>41</v>
      </c>
      <c r="Q2864" t="s">
        <v>75</v>
      </c>
      <c r="R2864" t="str">
        <f>"7052004"</f>
        <v>7052004</v>
      </c>
      <c r="S2864" t="s">
        <v>584</v>
      </c>
      <c r="T2864" t="s">
        <v>268</v>
      </c>
      <c r="U2864" t="s">
        <v>269</v>
      </c>
      <c r="V2864" t="s">
        <v>131</v>
      </c>
      <c r="W2864" t="s">
        <v>55</v>
      </c>
      <c r="X2864" t="s">
        <v>45</v>
      </c>
      <c r="Y2864" s="1">
        <v>32607</v>
      </c>
      <c r="Z2864">
        <v>1</v>
      </c>
      <c r="AA2864" t="s">
        <v>269</v>
      </c>
      <c r="AB2864" s="40" t="s">
        <v>1799</v>
      </c>
    </row>
    <row r="2865" spans="1:28" x14ac:dyDescent="0.25">
      <c r="A2865">
        <v>99912864</v>
      </c>
      <c r="B2865" t="s">
        <v>32</v>
      </c>
      <c r="C2865" t="s">
        <v>64</v>
      </c>
      <c r="D2865" t="s">
        <v>65</v>
      </c>
      <c r="G2865" t="s">
        <v>35</v>
      </c>
      <c r="H2865">
        <v>1</v>
      </c>
      <c r="I2865" t="s">
        <v>1329</v>
      </c>
      <c r="J2865" s="1">
        <v>43405</v>
      </c>
      <c r="K2865" t="s">
        <v>1325</v>
      </c>
      <c r="L2865" t="s">
        <v>1326</v>
      </c>
      <c r="M2865" t="s">
        <v>1270</v>
      </c>
      <c r="N2865">
        <v>21</v>
      </c>
      <c r="O2865" s="1">
        <v>43405</v>
      </c>
      <c r="R2865" t="str">
        <f>""</f>
        <v/>
      </c>
      <c r="U2865" t="s">
        <v>1326</v>
      </c>
      <c r="V2865" t="s">
        <v>1270</v>
      </c>
      <c r="W2865" t="s">
        <v>44</v>
      </c>
      <c r="X2865" t="s">
        <v>45</v>
      </c>
      <c r="Y2865" s="1">
        <v>32556</v>
      </c>
      <c r="Z2865">
        <v>2</v>
      </c>
      <c r="AA2865" t="s">
        <v>1326</v>
      </c>
      <c r="AB2865" s="40" t="s">
        <v>1799</v>
      </c>
    </row>
    <row r="2866" spans="1:28" x14ac:dyDescent="0.25">
      <c r="A2866">
        <v>99912865</v>
      </c>
      <c r="B2866" t="s">
        <v>32</v>
      </c>
      <c r="C2866" t="s">
        <v>33</v>
      </c>
      <c r="D2866" t="s">
        <v>34</v>
      </c>
      <c r="G2866" t="s">
        <v>35</v>
      </c>
      <c r="H2866">
        <v>1</v>
      </c>
      <c r="I2866">
        <v>0</v>
      </c>
      <c r="J2866" s="1">
        <v>43344</v>
      </c>
      <c r="K2866" t="s">
        <v>223</v>
      </c>
      <c r="L2866" t="s">
        <v>224</v>
      </c>
      <c r="M2866" t="s">
        <v>131</v>
      </c>
      <c r="N2866">
        <v>21</v>
      </c>
      <c r="O2866" s="1">
        <v>43344</v>
      </c>
      <c r="P2866" t="s">
        <v>41</v>
      </c>
      <c r="Q2866" t="s">
        <v>49</v>
      </c>
      <c r="R2866" t="str">
        <f>"0591901"</f>
        <v>0591901</v>
      </c>
      <c r="S2866" t="s">
        <v>230</v>
      </c>
      <c r="T2866" t="s">
        <v>223</v>
      </c>
      <c r="U2866" t="s">
        <v>224</v>
      </c>
      <c r="V2866" t="s">
        <v>131</v>
      </c>
      <c r="W2866" t="s">
        <v>44</v>
      </c>
      <c r="X2866" t="s">
        <v>45</v>
      </c>
      <c r="Y2866" s="1">
        <v>32545</v>
      </c>
      <c r="Z2866">
        <v>2</v>
      </c>
      <c r="AA2866" t="s">
        <v>224</v>
      </c>
      <c r="AB2866" s="40" t="s">
        <v>1799</v>
      </c>
    </row>
    <row r="2867" spans="1:28" x14ac:dyDescent="0.25">
      <c r="A2867">
        <v>99912866</v>
      </c>
      <c r="B2867" t="s">
        <v>32</v>
      </c>
      <c r="C2867" t="s">
        <v>61</v>
      </c>
      <c r="D2867" t="s">
        <v>62</v>
      </c>
      <c r="G2867" t="s">
        <v>35</v>
      </c>
      <c r="H2867">
        <v>1</v>
      </c>
      <c r="I2867" t="s">
        <v>682</v>
      </c>
      <c r="J2867" s="1">
        <v>43344</v>
      </c>
      <c r="K2867" t="s">
        <v>268</v>
      </c>
      <c r="L2867" t="s">
        <v>269</v>
      </c>
      <c r="M2867" t="s">
        <v>131</v>
      </c>
      <c r="N2867">
        <v>21</v>
      </c>
      <c r="O2867" s="1">
        <v>43344</v>
      </c>
      <c r="P2867" t="s">
        <v>41</v>
      </c>
      <c r="Q2867" t="s">
        <v>75</v>
      </c>
      <c r="R2867" t="str">
        <f>"7052020"</f>
        <v>7052020</v>
      </c>
      <c r="S2867" t="s">
        <v>267</v>
      </c>
      <c r="T2867" t="s">
        <v>268</v>
      </c>
      <c r="U2867" t="s">
        <v>269</v>
      </c>
      <c r="V2867" t="s">
        <v>131</v>
      </c>
      <c r="W2867" t="s">
        <v>51</v>
      </c>
      <c r="X2867" t="s">
        <v>45</v>
      </c>
      <c r="Y2867" s="1">
        <v>32105</v>
      </c>
      <c r="Z2867">
        <v>1</v>
      </c>
      <c r="AA2867" t="s">
        <v>269</v>
      </c>
      <c r="AB2867" s="40" t="s">
        <v>1799</v>
      </c>
    </row>
    <row r="2868" spans="1:28" x14ac:dyDescent="0.25">
      <c r="A2868">
        <v>99912867</v>
      </c>
      <c r="B2868" t="s">
        <v>32</v>
      </c>
      <c r="C2868" t="s">
        <v>64</v>
      </c>
      <c r="D2868" t="s">
        <v>65</v>
      </c>
      <c r="G2868" t="s">
        <v>35</v>
      </c>
      <c r="H2868">
        <v>1</v>
      </c>
      <c r="I2868">
        <v>0</v>
      </c>
      <c r="J2868" s="1">
        <v>43344</v>
      </c>
      <c r="K2868" t="s">
        <v>223</v>
      </c>
      <c r="L2868" t="s">
        <v>224</v>
      </c>
      <c r="M2868" t="s">
        <v>131</v>
      </c>
      <c r="N2868">
        <v>21</v>
      </c>
      <c r="O2868" s="1">
        <v>43344</v>
      </c>
      <c r="P2868" t="s">
        <v>41</v>
      </c>
      <c r="Q2868" t="s">
        <v>49</v>
      </c>
      <c r="R2868" t="str">
        <f>"0581207"</f>
        <v>0581207</v>
      </c>
      <c r="S2868" t="s">
        <v>233</v>
      </c>
      <c r="T2868" t="s">
        <v>223</v>
      </c>
      <c r="U2868" t="s">
        <v>224</v>
      </c>
      <c r="V2868" t="s">
        <v>131</v>
      </c>
      <c r="W2868" t="s">
        <v>165</v>
      </c>
      <c r="X2868" t="s">
        <v>45</v>
      </c>
      <c r="Y2868" s="1">
        <v>32055</v>
      </c>
      <c r="Z2868">
        <v>2</v>
      </c>
      <c r="AA2868" t="s">
        <v>224</v>
      </c>
      <c r="AB2868" s="40" t="s">
        <v>1799</v>
      </c>
    </row>
    <row r="2869" spans="1:28" x14ac:dyDescent="0.25">
      <c r="A2869">
        <v>99912868</v>
      </c>
      <c r="B2869" t="s">
        <v>32</v>
      </c>
      <c r="C2869" t="s">
        <v>58</v>
      </c>
      <c r="D2869" t="s">
        <v>59</v>
      </c>
      <c r="G2869" t="s">
        <v>35</v>
      </c>
      <c r="H2869">
        <v>1</v>
      </c>
      <c r="K2869" t="s">
        <v>223</v>
      </c>
      <c r="L2869" t="s">
        <v>224</v>
      </c>
      <c r="M2869" t="s">
        <v>131</v>
      </c>
      <c r="N2869">
        <v>21</v>
      </c>
      <c r="P2869" t="s">
        <v>41</v>
      </c>
      <c r="Q2869" t="s">
        <v>49</v>
      </c>
      <c r="R2869" t="str">
        <f>"0591901"</f>
        <v>0591901</v>
      </c>
      <c r="S2869" t="s">
        <v>230</v>
      </c>
      <c r="T2869" t="s">
        <v>223</v>
      </c>
      <c r="U2869" t="s">
        <v>224</v>
      </c>
      <c r="V2869" t="s">
        <v>131</v>
      </c>
      <c r="W2869" t="s">
        <v>51</v>
      </c>
      <c r="X2869" t="s">
        <v>45</v>
      </c>
      <c r="Y2869" s="1">
        <v>31985</v>
      </c>
      <c r="Z2869">
        <v>2</v>
      </c>
      <c r="AA2869" t="s">
        <v>224</v>
      </c>
      <c r="AB2869" s="40" t="s">
        <v>1799</v>
      </c>
    </row>
    <row r="2870" spans="1:28" x14ac:dyDescent="0.25">
      <c r="A2870">
        <v>99912869</v>
      </c>
      <c r="B2870" t="s">
        <v>32</v>
      </c>
      <c r="C2870" t="s">
        <v>52</v>
      </c>
      <c r="D2870" t="s">
        <v>53</v>
      </c>
      <c r="G2870" t="s">
        <v>35</v>
      </c>
      <c r="H2870">
        <v>1</v>
      </c>
      <c r="I2870" t="s">
        <v>1556</v>
      </c>
      <c r="J2870" s="1">
        <v>43344</v>
      </c>
      <c r="K2870" t="s">
        <v>1546</v>
      </c>
      <c r="L2870" t="s">
        <v>1547</v>
      </c>
      <c r="M2870" t="s">
        <v>1548</v>
      </c>
      <c r="N2870">
        <v>21</v>
      </c>
      <c r="O2870" s="1">
        <v>43344</v>
      </c>
      <c r="P2870" t="s">
        <v>41</v>
      </c>
      <c r="Q2870" t="s">
        <v>42</v>
      </c>
      <c r="R2870" t="str">
        <f>"1080010"</f>
        <v>1080010</v>
      </c>
      <c r="S2870" t="s">
        <v>1549</v>
      </c>
      <c r="T2870" t="s">
        <v>1546</v>
      </c>
      <c r="U2870" t="s">
        <v>1547</v>
      </c>
      <c r="V2870" t="s">
        <v>1548</v>
      </c>
      <c r="W2870" t="s">
        <v>44</v>
      </c>
      <c r="X2870" t="s">
        <v>45</v>
      </c>
      <c r="Y2870" s="1">
        <v>31880</v>
      </c>
      <c r="Z2870">
        <v>2</v>
      </c>
      <c r="AA2870" t="s">
        <v>1547</v>
      </c>
      <c r="AB2870" s="40" t="s">
        <v>1799</v>
      </c>
    </row>
    <row r="2871" spans="1:28" x14ac:dyDescent="0.25">
      <c r="A2871">
        <v>99912870</v>
      </c>
      <c r="B2871" t="s">
        <v>32</v>
      </c>
      <c r="C2871" t="s">
        <v>64</v>
      </c>
      <c r="D2871" t="s">
        <v>65</v>
      </c>
      <c r="G2871" t="s">
        <v>35</v>
      </c>
      <c r="H2871">
        <v>1</v>
      </c>
      <c r="K2871" t="s">
        <v>223</v>
      </c>
      <c r="L2871" t="s">
        <v>224</v>
      </c>
      <c r="M2871" t="s">
        <v>131</v>
      </c>
      <c r="N2871">
        <v>21</v>
      </c>
      <c r="P2871" t="s">
        <v>41</v>
      </c>
      <c r="Q2871" t="s">
        <v>49</v>
      </c>
      <c r="R2871" t="str">
        <f>"0591901"</f>
        <v>0591901</v>
      </c>
      <c r="S2871" t="s">
        <v>230</v>
      </c>
      <c r="T2871" t="s">
        <v>223</v>
      </c>
      <c r="U2871" t="s">
        <v>224</v>
      </c>
      <c r="V2871" t="s">
        <v>131</v>
      </c>
      <c r="W2871" t="s">
        <v>51</v>
      </c>
      <c r="X2871" t="s">
        <v>45</v>
      </c>
      <c r="Y2871" s="1">
        <v>31785</v>
      </c>
      <c r="Z2871">
        <v>2</v>
      </c>
      <c r="AA2871" t="s">
        <v>224</v>
      </c>
      <c r="AB2871" s="40" t="s">
        <v>1799</v>
      </c>
    </row>
    <row r="2872" spans="1:28" x14ac:dyDescent="0.25">
      <c r="A2872">
        <v>99912871</v>
      </c>
      <c r="B2872" t="s">
        <v>32</v>
      </c>
      <c r="C2872" t="s">
        <v>139</v>
      </c>
      <c r="D2872" t="s">
        <v>140</v>
      </c>
      <c r="G2872" t="s">
        <v>35</v>
      </c>
      <c r="H2872">
        <v>1</v>
      </c>
      <c r="I2872">
        <v>12096</v>
      </c>
      <c r="J2872" s="1">
        <v>43344</v>
      </c>
      <c r="K2872" t="s">
        <v>345</v>
      </c>
      <c r="L2872" t="s">
        <v>346</v>
      </c>
      <c r="M2872" t="s">
        <v>131</v>
      </c>
      <c r="N2872">
        <v>21</v>
      </c>
      <c r="O2872" s="1">
        <v>43344</v>
      </c>
      <c r="P2872" t="s">
        <v>41</v>
      </c>
      <c r="Q2872" t="s">
        <v>49</v>
      </c>
      <c r="R2872" t="str">
        <f>"0560032"</f>
        <v>0560032</v>
      </c>
      <c r="S2872" t="s">
        <v>347</v>
      </c>
      <c r="T2872" t="s">
        <v>345</v>
      </c>
      <c r="U2872" t="s">
        <v>346</v>
      </c>
      <c r="V2872" t="s">
        <v>131</v>
      </c>
      <c r="W2872" t="s">
        <v>44</v>
      </c>
      <c r="X2872" t="s">
        <v>45</v>
      </c>
      <c r="Y2872" s="1">
        <v>31737</v>
      </c>
      <c r="Z2872">
        <v>2</v>
      </c>
      <c r="AA2872" t="s">
        <v>346</v>
      </c>
      <c r="AB2872" s="40" t="s">
        <v>1799</v>
      </c>
    </row>
    <row r="2873" spans="1:28" x14ac:dyDescent="0.25">
      <c r="A2873">
        <v>99912872</v>
      </c>
      <c r="B2873" t="s">
        <v>32</v>
      </c>
      <c r="C2873" t="s">
        <v>61</v>
      </c>
      <c r="D2873" t="s">
        <v>62</v>
      </c>
      <c r="G2873" t="s">
        <v>48</v>
      </c>
      <c r="H2873">
        <v>4</v>
      </c>
      <c r="K2873" t="s">
        <v>268</v>
      </c>
      <c r="L2873" t="s">
        <v>269</v>
      </c>
      <c r="M2873" t="s">
        <v>131</v>
      </c>
      <c r="N2873">
        <v>21</v>
      </c>
      <c r="P2873" t="s">
        <v>41</v>
      </c>
      <c r="Q2873" t="s">
        <v>75</v>
      </c>
      <c r="R2873" t="str">
        <f>"7052036"</f>
        <v>7052036</v>
      </c>
      <c r="S2873" t="s">
        <v>679</v>
      </c>
      <c r="T2873" t="s">
        <v>268</v>
      </c>
      <c r="U2873" t="s">
        <v>269</v>
      </c>
      <c r="V2873" t="s">
        <v>131</v>
      </c>
      <c r="W2873" t="s">
        <v>51</v>
      </c>
      <c r="X2873" t="s">
        <v>45</v>
      </c>
      <c r="Y2873" s="1">
        <v>31736</v>
      </c>
      <c r="Z2873">
        <v>1</v>
      </c>
      <c r="AA2873" t="s">
        <v>269</v>
      </c>
      <c r="AB2873" s="40" t="s">
        <v>1799</v>
      </c>
    </row>
    <row r="2874" spans="1:28" x14ac:dyDescent="0.25">
      <c r="A2874">
        <v>99912873</v>
      </c>
      <c r="B2874" t="s">
        <v>56</v>
      </c>
      <c r="C2874" t="s">
        <v>46</v>
      </c>
      <c r="D2874" t="s">
        <v>47</v>
      </c>
      <c r="G2874" t="s">
        <v>48</v>
      </c>
      <c r="H2874">
        <v>4</v>
      </c>
      <c r="K2874" t="s">
        <v>345</v>
      </c>
      <c r="L2874" t="s">
        <v>346</v>
      </c>
      <c r="M2874" t="s">
        <v>131</v>
      </c>
      <c r="N2874">
        <v>21</v>
      </c>
      <c r="P2874" t="s">
        <v>41</v>
      </c>
      <c r="Q2874" t="s">
        <v>49</v>
      </c>
      <c r="R2874" t="str">
        <f>"0591906"</f>
        <v>0591906</v>
      </c>
      <c r="S2874" t="s">
        <v>350</v>
      </c>
      <c r="T2874" t="s">
        <v>345</v>
      </c>
      <c r="U2874" t="s">
        <v>346</v>
      </c>
      <c r="V2874" t="s">
        <v>131</v>
      </c>
      <c r="W2874" t="s">
        <v>51</v>
      </c>
      <c r="X2874" t="s">
        <v>45</v>
      </c>
      <c r="Y2874" s="1">
        <v>31693</v>
      </c>
      <c r="Z2874">
        <v>2</v>
      </c>
      <c r="AA2874" t="s">
        <v>346</v>
      </c>
      <c r="AB2874" s="40" t="s">
        <v>1799</v>
      </c>
    </row>
    <row r="2875" spans="1:28" x14ac:dyDescent="0.25">
      <c r="A2875">
        <v>99912874</v>
      </c>
      <c r="B2875" t="s">
        <v>32</v>
      </c>
      <c r="C2875" t="s">
        <v>52</v>
      </c>
      <c r="D2875" t="s">
        <v>53</v>
      </c>
      <c r="G2875" t="s">
        <v>35</v>
      </c>
      <c r="H2875">
        <v>1</v>
      </c>
      <c r="I2875" t="s">
        <v>67</v>
      </c>
      <c r="J2875" s="1">
        <v>43038</v>
      </c>
      <c r="K2875" t="s">
        <v>37</v>
      </c>
      <c r="L2875" t="s">
        <v>38</v>
      </c>
      <c r="M2875" t="s">
        <v>39</v>
      </c>
      <c r="N2875">
        <v>21</v>
      </c>
      <c r="O2875" s="1">
        <v>43038</v>
      </c>
      <c r="P2875" t="s">
        <v>41</v>
      </c>
      <c r="Q2875" t="s">
        <v>49</v>
      </c>
      <c r="R2875" t="str">
        <f>"3781010"</f>
        <v>3781010</v>
      </c>
      <c r="S2875" t="s">
        <v>50</v>
      </c>
      <c r="T2875" t="s">
        <v>37</v>
      </c>
      <c r="U2875" t="s">
        <v>38</v>
      </c>
      <c r="V2875" t="s">
        <v>39</v>
      </c>
      <c r="W2875" t="s">
        <v>44</v>
      </c>
      <c r="X2875" t="s">
        <v>45</v>
      </c>
      <c r="Y2875" s="1">
        <v>31520</v>
      </c>
      <c r="Z2875">
        <v>2</v>
      </c>
      <c r="AA2875" t="s">
        <v>38</v>
      </c>
      <c r="AB2875" s="40" t="s">
        <v>1799</v>
      </c>
    </row>
    <row r="2876" spans="1:28" x14ac:dyDescent="0.25">
      <c r="A2876">
        <v>99912875</v>
      </c>
      <c r="B2876" t="s">
        <v>32</v>
      </c>
      <c r="C2876" t="s">
        <v>61</v>
      </c>
      <c r="D2876" t="s">
        <v>62</v>
      </c>
      <c r="G2876" t="s">
        <v>35</v>
      </c>
      <c r="H2876">
        <v>1</v>
      </c>
      <c r="K2876" t="s">
        <v>1268</v>
      </c>
      <c r="L2876" t="s">
        <v>1269</v>
      </c>
      <c r="M2876" t="s">
        <v>1270</v>
      </c>
      <c r="N2876">
        <v>21</v>
      </c>
      <c r="P2876" t="s">
        <v>41</v>
      </c>
      <c r="Q2876" t="s">
        <v>42</v>
      </c>
      <c r="R2876" t="str">
        <f>"1990914"</f>
        <v>1990914</v>
      </c>
      <c r="S2876" t="s">
        <v>1275</v>
      </c>
      <c r="T2876" t="s">
        <v>1268</v>
      </c>
      <c r="U2876" t="s">
        <v>1269</v>
      </c>
      <c r="V2876" t="s">
        <v>1270</v>
      </c>
      <c r="W2876" t="s">
        <v>51</v>
      </c>
      <c r="X2876" t="s">
        <v>45</v>
      </c>
      <c r="Y2876" s="1">
        <v>31486</v>
      </c>
      <c r="Z2876">
        <v>2</v>
      </c>
      <c r="AA2876" t="s">
        <v>1269</v>
      </c>
      <c r="AB2876" s="40" t="s">
        <v>1799</v>
      </c>
    </row>
    <row r="2877" spans="1:28" x14ac:dyDescent="0.25">
      <c r="A2877">
        <v>99912876</v>
      </c>
      <c r="B2877" t="s">
        <v>56</v>
      </c>
      <c r="C2877" t="s">
        <v>61</v>
      </c>
      <c r="D2877" t="s">
        <v>62</v>
      </c>
      <c r="G2877" t="s">
        <v>48</v>
      </c>
      <c r="H2877">
        <v>1</v>
      </c>
      <c r="K2877" t="s">
        <v>223</v>
      </c>
      <c r="L2877" t="s">
        <v>224</v>
      </c>
      <c r="M2877" t="s">
        <v>131</v>
      </c>
      <c r="N2877">
        <v>21</v>
      </c>
      <c r="P2877" t="s">
        <v>41</v>
      </c>
      <c r="Q2877" t="s">
        <v>42</v>
      </c>
      <c r="R2877" t="str">
        <f>"0580200"</f>
        <v>0580200</v>
      </c>
      <c r="S2877" t="s">
        <v>245</v>
      </c>
      <c r="T2877" t="s">
        <v>223</v>
      </c>
      <c r="U2877" t="s">
        <v>224</v>
      </c>
      <c r="V2877" t="s">
        <v>131</v>
      </c>
      <c r="W2877" t="s">
        <v>51</v>
      </c>
      <c r="X2877" t="s">
        <v>45</v>
      </c>
      <c r="Y2877" s="1">
        <v>31288</v>
      </c>
      <c r="Z2877">
        <v>2</v>
      </c>
      <c r="AA2877" t="s">
        <v>224</v>
      </c>
      <c r="AB2877" s="40" t="s">
        <v>1799</v>
      </c>
    </row>
    <row r="2878" spans="1:28" x14ac:dyDescent="0.25">
      <c r="A2878">
        <v>99912877</v>
      </c>
      <c r="B2878" t="s">
        <v>56</v>
      </c>
      <c r="C2878" t="s">
        <v>68</v>
      </c>
      <c r="D2878" t="s">
        <v>69</v>
      </c>
      <c r="G2878" t="s">
        <v>35</v>
      </c>
      <c r="H2878">
        <v>1</v>
      </c>
      <c r="I2878">
        <v>15679</v>
      </c>
      <c r="J2878" s="1">
        <v>43355</v>
      </c>
      <c r="K2878" t="s">
        <v>162</v>
      </c>
      <c r="L2878" t="s">
        <v>158</v>
      </c>
      <c r="M2878" t="s">
        <v>131</v>
      </c>
      <c r="N2878">
        <v>21</v>
      </c>
      <c r="O2878" s="1">
        <v>43355</v>
      </c>
      <c r="P2878" t="s">
        <v>41</v>
      </c>
      <c r="Q2878" t="s">
        <v>49</v>
      </c>
      <c r="R2878" t="str">
        <f>"0505050"</f>
        <v>0505050</v>
      </c>
      <c r="S2878" t="s">
        <v>163</v>
      </c>
      <c r="T2878" t="s">
        <v>162</v>
      </c>
      <c r="U2878" t="s">
        <v>158</v>
      </c>
      <c r="V2878" t="s">
        <v>131</v>
      </c>
      <c r="W2878" t="s">
        <v>55</v>
      </c>
      <c r="X2878" t="s">
        <v>45</v>
      </c>
      <c r="Y2878" s="1">
        <v>31271</v>
      </c>
      <c r="Z2878">
        <v>2</v>
      </c>
      <c r="AA2878" t="s">
        <v>158</v>
      </c>
      <c r="AB2878" s="40" t="s">
        <v>1799</v>
      </c>
    </row>
    <row r="2879" spans="1:28" x14ac:dyDescent="0.25">
      <c r="A2879">
        <v>99912878</v>
      </c>
      <c r="B2879" t="s">
        <v>32</v>
      </c>
      <c r="C2879" t="s">
        <v>143</v>
      </c>
      <c r="D2879" t="s">
        <v>144</v>
      </c>
      <c r="G2879" t="s">
        <v>35</v>
      </c>
      <c r="H2879">
        <v>1</v>
      </c>
      <c r="K2879" t="s">
        <v>963</v>
      </c>
      <c r="L2879" t="s">
        <v>964</v>
      </c>
      <c r="M2879" t="s">
        <v>938</v>
      </c>
      <c r="N2879">
        <v>21</v>
      </c>
      <c r="P2879" t="s">
        <v>41</v>
      </c>
      <c r="Q2879" t="s">
        <v>75</v>
      </c>
      <c r="R2879" t="str">
        <f>"7061000"</f>
        <v>7061000</v>
      </c>
      <c r="S2879" t="s">
        <v>962</v>
      </c>
      <c r="T2879" t="s">
        <v>963</v>
      </c>
      <c r="U2879" t="s">
        <v>964</v>
      </c>
      <c r="V2879" t="s">
        <v>938</v>
      </c>
      <c r="W2879" t="s">
        <v>51</v>
      </c>
      <c r="X2879" t="s">
        <v>45</v>
      </c>
      <c r="Y2879" s="1">
        <v>31258</v>
      </c>
      <c r="Z2879">
        <v>1</v>
      </c>
      <c r="AA2879" t="s">
        <v>964</v>
      </c>
      <c r="AB2879" s="40" t="s">
        <v>1799</v>
      </c>
    </row>
    <row r="2880" spans="1:28" x14ac:dyDescent="0.25">
      <c r="A2880">
        <v>99912879</v>
      </c>
      <c r="B2880" t="s">
        <v>32</v>
      </c>
      <c r="C2880" t="s">
        <v>46</v>
      </c>
      <c r="D2880" t="s">
        <v>47</v>
      </c>
      <c r="G2880" t="s">
        <v>35</v>
      </c>
      <c r="H2880">
        <v>1</v>
      </c>
      <c r="K2880" t="s">
        <v>223</v>
      </c>
      <c r="L2880" t="s">
        <v>224</v>
      </c>
      <c r="M2880" t="s">
        <v>131</v>
      </c>
      <c r="N2880">
        <v>21</v>
      </c>
      <c r="P2880" t="s">
        <v>41</v>
      </c>
      <c r="Q2880" t="s">
        <v>42</v>
      </c>
      <c r="R2880" t="str">
        <f>"0590901"</f>
        <v>0590901</v>
      </c>
      <c r="S2880" t="s">
        <v>242</v>
      </c>
      <c r="T2880" t="s">
        <v>223</v>
      </c>
      <c r="U2880" t="s">
        <v>224</v>
      </c>
      <c r="V2880" t="s">
        <v>131</v>
      </c>
      <c r="W2880" t="s">
        <v>51</v>
      </c>
      <c r="X2880" t="s">
        <v>45</v>
      </c>
      <c r="Y2880" s="1">
        <v>31246</v>
      </c>
      <c r="Z2880">
        <v>2</v>
      </c>
      <c r="AA2880" t="s">
        <v>224</v>
      </c>
      <c r="AB2880" s="40" t="s">
        <v>1799</v>
      </c>
    </row>
    <row r="2881" spans="1:28" x14ac:dyDescent="0.25">
      <c r="A2881">
        <v>99912880</v>
      </c>
      <c r="B2881" t="s">
        <v>32</v>
      </c>
      <c r="C2881" t="s">
        <v>46</v>
      </c>
      <c r="D2881" t="s">
        <v>47</v>
      </c>
      <c r="G2881" t="s">
        <v>48</v>
      </c>
      <c r="H2881">
        <v>1</v>
      </c>
      <c r="K2881" t="s">
        <v>300</v>
      </c>
      <c r="L2881" t="s">
        <v>301</v>
      </c>
      <c r="M2881" t="s">
        <v>131</v>
      </c>
      <c r="N2881">
        <v>21</v>
      </c>
      <c r="P2881" t="s">
        <v>41</v>
      </c>
      <c r="Q2881" t="s">
        <v>42</v>
      </c>
      <c r="R2881" t="str">
        <f>"0561001"</f>
        <v>0561001</v>
      </c>
      <c r="S2881" t="s">
        <v>308</v>
      </c>
      <c r="T2881" t="s">
        <v>300</v>
      </c>
      <c r="U2881" t="s">
        <v>301</v>
      </c>
      <c r="V2881" t="s">
        <v>131</v>
      </c>
      <c r="W2881" t="s">
        <v>51</v>
      </c>
      <c r="X2881" t="s">
        <v>45</v>
      </c>
      <c r="Y2881" s="1">
        <v>31191</v>
      </c>
      <c r="Z2881">
        <v>2</v>
      </c>
      <c r="AA2881" t="s">
        <v>301</v>
      </c>
      <c r="AB2881" s="40" t="s">
        <v>1799</v>
      </c>
    </row>
    <row r="2882" spans="1:28" x14ac:dyDescent="0.25">
      <c r="A2882">
        <v>99912881</v>
      </c>
      <c r="B2882" t="s">
        <v>32</v>
      </c>
      <c r="C2882" t="s">
        <v>33</v>
      </c>
      <c r="D2882" t="s">
        <v>34</v>
      </c>
      <c r="G2882" t="s">
        <v>48</v>
      </c>
      <c r="H2882">
        <v>1</v>
      </c>
      <c r="K2882" t="s">
        <v>129</v>
      </c>
      <c r="L2882" t="s">
        <v>130</v>
      </c>
      <c r="M2882" t="s">
        <v>131</v>
      </c>
      <c r="N2882">
        <v>21</v>
      </c>
      <c r="P2882" t="s">
        <v>41</v>
      </c>
      <c r="Q2882" t="s">
        <v>42</v>
      </c>
      <c r="R2882" t="str">
        <f>"0590905"</f>
        <v>0590905</v>
      </c>
      <c r="S2882" t="s">
        <v>133</v>
      </c>
      <c r="T2882" t="s">
        <v>129</v>
      </c>
      <c r="U2882" t="s">
        <v>130</v>
      </c>
      <c r="V2882" t="s">
        <v>131</v>
      </c>
      <c r="W2882" t="s">
        <v>51</v>
      </c>
      <c r="X2882" t="s">
        <v>45</v>
      </c>
      <c r="Y2882" s="1">
        <v>31142</v>
      </c>
      <c r="Z2882">
        <v>2</v>
      </c>
      <c r="AA2882" t="s">
        <v>130</v>
      </c>
      <c r="AB2882" s="40" t="s">
        <v>1799</v>
      </c>
    </row>
    <row r="2883" spans="1:28" x14ac:dyDescent="0.25">
      <c r="A2883">
        <v>99912882</v>
      </c>
      <c r="B2883" t="s">
        <v>32</v>
      </c>
      <c r="C2883" t="s">
        <v>139</v>
      </c>
      <c r="D2883" t="s">
        <v>140</v>
      </c>
      <c r="G2883" t="s">
        <v>35</v>
      </c>
      <c r="H2883">
        <v>1</v>
      </c>
      <c r="I2883" t="s">
        <v>1558</v>
      </c>
      <c r="J2883" s="1">
        <v>43344</v>
      </c>
      <c r="K2883" t="s">
        <v>1546</v>
      </c>
      <c r="L2883" t="s">
        <v>1547</v>
      </c>
      <c r="M2883" t="s">
        <v>1548</v>
      </c>
      <c r="N2883">
        <v>21</v>
      </c>
      <c r="O2883" s="1">
        <v>43344</v>
      </c>
      <c r="P2883" t="s">
        <v>41</v>
      </c>
      <c r="Q2883" t="s">
        <v>49</v>
      </c>
      <c r="R2883" t="str">
        <f>"1081010"</f>
        <v>1081010</v>
      </c>
      <c r="S2883" t="s">
        <v>1552</v>
      </c>
      <c r="T2883" t="s">
        <v>1546</v>
      </c>
      <c r="U2883" t="s">
        <v>1547</v>
      </c>
      <c r="V2883" t="s">
        <v>1548</v>
      </c>
      <c r="W2883" t="s">
        <v>44</v>
      </c>
      <c r="X2883" t="s">
        <v>45</v>
      </c>
      <c r="Y2883" s="1">
        <v>31115</v>
      </c>
      <c r="Z2883">
        <v>2</v>
      </c>
      <c r="AA2883" t="s">
        <v>1547</v>
      </c>
      <c r="AB2883" s="40" t="s">
        <v>1799</v>
      </c>
    </row>
    <row r="2884" spans="1:28" x14ac:dyDescent="0.25">
      <c r="A2884">
        <v>99912883</v>
      </c>
      <c r="B2884" t="s">
        <v>32</v>
      </c>
      <c r="C2884" t="s">
        <v>64</v>
      </c>
      <c r="D2884" t="s">
        <v>65</v>
      </c>
      <c r="G2884" t="s">
        <v>48</v>
      </c>
      <c r="H2884">
        <v>1</v>
      </c>
      <c r="K2884" t="s">
        <v>157</v>
      </c>
      <c r="L2884" t="s">
        <v>158</v>
      </c>
      <c r="M2884" t="s">
        <v>131</v>
      </c>
      <c r="N2884">
        <v>21</v>
      </c>
      <c r="P2884" t="s">
        <v>41</v>
      </c>
      <c r="Q2884" t="s">
        <v>49</v>
      </c>
      <c r="R2884" t="str">
        <f>"0560019"</f>
        <v>0560019</v>
      </c>
      <c r="S2884" t="s">
        <v>166</v>
      </c>
      <c r="T2884" t="s">
        <v>157</v>
      </c>
      <c r="U2884" t="s">
        <v>158</v>
      </c>
      <c r="V2884" t="s">
        <v>131</v>
      </c>
      <c r="W2884" t="s">
        <v>51</v>
      </c>
      <c r="X2884" t="s">
        <v>45</v>
      </c>
      <c r="Y2884" s="1">
        <v>30897</v>
      </c>
      <c r="Z2884">
        <v>2</v>
      </c>
      <c r="AA2884" t="s">
        <v>158</v>
      </c>
      <c r="AB2884" s="40" t="s">
        <v>1799</v>
      </c>
    </row>
    <row r="2885" spans="1:28" x14ac:dyDescent="0.25">
      <c r="A2885">
        <v>99912884</v>
      </c>
      <c r="B2885" t="s">
        <v>32</v>
      </c>
      <c r="C2885" t="s">
        <v>79</v>
      </c>
      <c r="D2885" t="s">
        <v>80</v>
      </c>
      <c r="G2885" t="s">
        <v>48</v>
      </c>
      <c r="H2885">
        <v>1</v>
      </c>
      <c r="K2885" t="s">
        <v>1081</v>
      </c>
      <c r="L2885" t="s">
        <v>1082</v>
      </c>
      <c r="M2885" t="s">
        <v>1053</v>
      </c>
      <c r="N2885">
        <v>21</v>
      </c>
      <c r="P2885" t="s">
        <v>41</v>
      </c>
      <c r="Q2885" t="s">
        <v>75</v>
      </c>
      <c r="R2885" t="str">
        <f>"7201008"</f>
        <v>7201008</v>
      </c>
      <c r="S2885" t="s">
        <v>1084</v>
      </c>
      <c r="T2885" t="s">
        <v>1081</v>
      </c>
      <c r="U2885" t="s">
        <v>1082</v>
      </c>
      <c r="V2885" t="s">
        <v>1053</v>
      </c>
      <c r="W2885" t="s">
        <v>51</v>
      </c>
      <c r="X2885" t="s">
        <v>45</v>
      </c>
      <c r="Y2885" s="1">
        <v>30854</v>
      </c>
      <c r="Z2885">
        <v>1</v>
      </c>
      <c r="AA2885" t="s">
        <v>1082</v>
      </c>
      <c r="AB2885" s="40" t="s">
        <v>1799</v>
      </c>
    </row>
    <row r="2886" spans="1:28" x14ac:dyDescent="0.25">
      <c r="A2886">
        <v>99912885</v>
      </c>
      <c r="B2886" t="s">
        <v>56</v>
      </c>
      <c r="C2886" t="s">
        <v>52</v>
      </c>
      <c r="D2886" t="s">
        <v>53</v>
      </c>
      <c r="G2886" t="s">
        <v>48</v>
      </c>
      <c r="H2886">
        <v>1</v>
      </c>
      <c r="K2886" t="s">
        <v>936</v>
      </c>
      <c r="L2886" t="s">
        <v>937</v>
      </c>
      <c r="M2886" t="s">
        <v>938</v>
      </c>
      <c r="N2886">
        <v>21</v>
      </c>
      <c r="P2886" t="s">
        <v>41</v>
      </c>
      <c r="Q2886" t="s">
        <v>49</v>
      </c>
      <c r="R2886" t="str">
        <f>"0180017"</f>
        <v>0180017</v>
      </c>
      <c r="S2886" t="s">
        <v>943</v>
      </c>
      <c r="T2886" t="s">
        <v>936</v>
      </c>
      <c r="U2886" t="s">
        <v>937</v>
      </c>
      <c r="V2886" t="s">
        <v>938</v>
      </c>
      <c r="W2886" t="s">
        <v>51</v>
      </c>
      <c r="X2886" t="s">
        <v>45</v>
      </c>
      <c r="Y2886" s="1">
        <v>30767</v>
      </c>
      <c r="Z2886">
        <v>2</v>
      </c>
      <c r="AA2886" t="s">
        <v>937</v>
      </c>
      <c r="AB2886" s="40" t="s">
        <v>1799</v>
      </c>
    </row>
    <row r="2887" spans="1:28" x14ac:dyDescent="0.25">
      <c r="A2887">
        <v>99912886</v>
      </c>
      <c r="B2887" t="s">
        <v>32</v>
      </c>
      <c r="C2887" t="s">
        <v>52</v>
      </c>
      <c r="D2887" t="s">
        <v>53</v>
      </c>
      <c r="G2887" t="s">
        <v>35</v>
      </c>
      <c r="H2887">
        <v>1</v>
      </c>
      <c r="I2887" t="s">
        <v>54</v>
      </c>
      <c r="J2887" s="1">
        <v>43361</v>
      </c>
      <c r="K2887" t="s">
        <v>37</v>
      </c>
      <c r="L2887" t="s">
        <v>38</v>
      </c>
      <c r="M2887" t="s">
        <v>39</v>
      </c>
      <c r="N2887">
        <v>21</v>
      </c>
      <c r="O2887" s="1">
        <v>43361</v>
      </c>
      <c r="P2887" t="s">
        <v>41</v>
      </c>
      <c r="Q2887" t="s">
        <v>49</v>
      </c>
      <c r="R2887" t="str">
        <f>"3781010"</f>
        <v>3781010</v>
      </c>
      <c r="S2887" t="s">
        <v>50</v>
      </c>
      <c r="T2887" t="s">
        <v>37</v>
      </c>
      <c r="U2887" t="s">
        <v>38</v>
      </c>
      <c r="V2887" t="s">
        <v>39</v>
      </c>
      <c r="W2887" t="s">
        <v>55</v>
      </c>
      <c r="X2887" t="s">
        <v>45</v>
      </c>
      <c r="Y2887" s="1">
        <v>30666</v>
      </c>
      <c r="Z2887">
        <v>2</v>
      </c>
      <c r="AA2887" t="s">
        <v>38</v>
      </c>
      <c r="AB2887" s="40" t="s">
        <v>1799</v>
      </c>
    </row>
    <row r="2888" spans="1:28" x14ac:dyDescent="0.25">
      <c r="A2888">
        <v>99912887</v>
      </c>
      <c r="B2888" t="s">
        <v>32</v>
      </c>
      <c r="C2888" t="s">
        <v>61</v>
      </c>
      <c r="D2888" t="s">
        <v>62</v>
      </c>
      <c r="G2888" t="s">
        <v>48</v>
      </c>
      <c r="H2888">
        <v>1</v>
      </c>
      <c r="K2888" t="s">
        <v>345</v>
      </c>
      <c r="L2888" t="s">
        <v>346</v>
      </c>
      <c r="M2888" t="s">
        <v>131</v>
      </c>
      <c r="N2888">
        <v>21</v>
      </c>
      <c r="P2888" t="s">
        <v>41</v>
      </c>
      <c r="Q2888" t="s">
        <v>49</v>
      </c>
      <c r="R2888" t="str">
        <f>"0591906"</f>
        <v>0591906</v>
      </c>
      <c r="S2888" t="s">
        <v>350</v>
      </c>
      <c r="T2888" t="s">
        <v>345</v>
      </c>
      <c r="U2888" t="s">
        <v>346</v>
      </c>
      <c r="V2888" t="s">
        <v>131</v>
      </c>
      <c r="W2888" t="s">
        <v>51</v>
      </c>
      <c r="X2888" t="s">
        <v>45</v>
      </c>
      <c r="Y2888" s="1">
        <v>30560</v>
      </c>
      <c r="Z2888">
        <v>2</v>
      </c>
      <c r="AA2888" t="s">
        <v>346</v>
      </c>
      <c r="AB2888" s="40" t="s">
        <v>1799</v>
      </c>
    </row>
    <row r="2889" spans="1:28" x14ac:dyDescent="0.25">
      <c r="A2889">
        <v>99912888</v>
      </c>
      <c r="B2889" t="s">
        <v>56</v>
      </c>
      <c r="C2889" t="s">
        <v>46</v>
      </c>
      <c r="D2889" t="s">
        <v>47</v>
      </c>
      <c r="G2889" t="s">
        <v>48</v>
      </c>
      <c r="H2889">
        <v>9</v>
      </c>
      <c r="K2889" t="s">
        <v>1128</v>
      </c>
      <c r="L2889" t="s">
        <v>1129</v>
      </c>
      <c r="M2889" t="s">
        <v>1130</v>
      </c>
      <c r="N2889">
        <v>21</v>
      </c>
      <c r="P2889" t="s">
        <v>41</v>
      </c>
      <c r="Q2889" t="s">
        <v>42</v>
      </c>
      <c r="R2889" t="str">
        <f>"3180015"</f>
        <v>3180015</v>
      </c>
      <c r="S2889" t="s">
        <v>1139</v>
      </c>
      <c r="T2889" t="s">
        <v>1128</v>
      </c>
      <c r="U2889" t="s">
        <v>1129</v>
      </c>
      <c r="V2889" t="s">
        <v>1130</v>
      </c>
      <c r="W2889" t="s">
        <v>51</v>
      </c>
      <c r="X2889" t="s">
        <v>45</v>
      </c>
      <c r="Y2889" s="1">
        <v>30522</v>
      </c>
      <c r="Z2889">
        <v>2</v>
      </c>
      <c r="AA2889" t="s">
        <v>1129</v>
      </c>
      <c r="AB2889" s="40" t="s">
        <v>1799</v>
      </c>
    </row>
    <row r="2890" spans="1:28" x14ac:dyDescent="0.25">
      <c r="A2890">
        <v>99912889</v>
      </c>
      <c r="B2890" t="s">
        <v>32</v>
      </c>
      <c r="C2890" t="s">
        <v>79</v>
      </c>
      <c r="D2890" t="s">
        <v>80</v>
      </c>
      <c r="G2890" t="s">
        <v>48</v>
      </c>
      <c r="H2890">
        <v>1</v>
      </c>
      <c r="K2890" t="s">
        <v>354</v>
      </c>
      <c r="L2890" t="s">
        <v>355</v>
      </c>
      <c r="M2890" t="s">
        <v>131</v>
      </c>
      <c r="N2890">
        <v>21</v>
      </c>
      <c r="P2890" t="s">
        <v>41</v>
      </c>
      <c r="Q2890" t="s">
        <v>75</v>
      </c>
      <c r="R2890" t="str">
        <f>"7054002"</f>
        <v>7054002</v>
      </c>
      <c r="S2890" t="s">
        <v>376</v>
      </c>
      <c r="T2890" t="s">
        <v>354</v>
      </c>
      <c r="U2890" t="s">
        <v>355</v>
      </c>
      <c r="V2890" t="s">
        <v>131</v>
      </c>
      <c r="W2890" t="s">
        <v>51</v>
      </c>
      <c r="X2890" t="s">
        <v>45</v>
      </c>
      <c r="Y2890" s="1">
        <v>30486</v>
      </c>
      <c r="Z2890">
        <v>1</v>
      </c>
      <c r="AA2890" t="s">
        <v>355</v>
      </c>
      <c r="AB2890" s="40" t="s">
        <v>1799</v>
      </c>
    </row>
    <row r="2891" spans="1:28" x14ac:dyDescent="0.25">
      <c r="A2891">
        <v>99912890</v>
      </c>
      <c r="B2891" t="s">
        <v>56</v>
      </c>
      <c r="C2891" t="s">
        <v>85</v>
      </c>
      <c r="D2891" t="s">
        <v>86</v>
      </c>
      <c r="G2891" t="s">
        <v>48</v>
      </c>
      <c r="H2891">
        <v>1</v>
      </c>
      <c r="K2891" t="s">
        <v>1268</v>
      </c>
      <c r="L2891" t="s">
        <v>1269</v>
      </c>
      <c r="M2891" t="s">
        <v>1270</v>
      </c>
      <c r="N2891">
        <v>21</v>
      </c>
      <c r="P2891" t="s">
        <v>41</v>
      </c>
      <c r="Q2891" t="s">
        <v>42</v>
      </c>
      <c r="R2891" t="str">
        <f>"1990911"</f>
        <v>1990911</v>
      </c>
      <c r="S2891" t="s">
        <v>1276</v>
      </c>
      <c r="T2891" t="s">
        <v>1268</v>
      </c>
      <c r="U2891" t="s">
        <v>1269</v>
      </c>
      <c r="V2891" t="s">
        <v>1270</v>
      </c>
      <c r="W2891" t="s">
        <v>165</v>
      </c>
      <c r="X2891" t="s">
        <v>45</v>
      </c>
      <c r="Y2891" s="1">
        <v>30482</v>
      </c>
      <c r="Z2891">
        <v>2</v>
      </c>
      <c r="AA2891" t="s">
        <v>1269</v>
      </c>
      <c r="AB2891" s="40" t="s">
        <v>1799</v>
      </c>
    </row>
    <row r="2892" spans="1:28" x14ac:dyDescent="0.25">
      <c r="A2892">
        <v>99912891</v>
      </c>
      <c r="B2892" t="s">
        <v>56</v>
      </c>
      <c r="C2892" t="s">
        <v>61</v>
      </c>
      <c r="D2892" t="s">
        <v>62</v>
      </c>
      <c r="G2892" t="s">
        <v>48</v>
      </c>
      <c r="H2892">
        <v>1</v>
      </c>
      <c r="K2892" t="s">
        <v>1325</v>
      </c>
      <c r="L2892" t="s">
        <v>1326</v>
      </c>
      <c r="M2892" t="s">
        <v>1270</v>
      </c>
      <c r="N2892">
        <v>21</v>
      </c>
      <c r="P2892" t="s">
        <v>41</v>
      </c>
      <c r="Q2892" t="s">
        <v>75</v>
      </c>
      <c r="R2892" t="str">
        <f>"7391000"</f>
        <v>7391000</v>
      </c>
      <c r="S2892" t="s">
        <v>1333</v>
      </c>
      <c r="T2892" t="s">
        <v>1334</v>
      </c>
      <c r="U2892" t="s">
        <v>1335</v>
      </c>
      <c r="V2892" t="s">
        <v>1270</v>
      </c>
      <c r="W2892" t="s">
        <v>51</v>
      </c>
      <c r="X2892" t="s">
        <v>45</v>
      </c>
      <c r="Y2892" s="1">
        <v>30478</v>
      </c>
      <c r="Z2892">
        <v>2</v>
      </c>
      <c r="AA2892" t="s">
        <v>1326</v>
      </c>
      <c r="AB2892" s="40" t="s">
        <v>1799</v>
      </c>
    </row>
    <row r="2893" spans="1:28" x14ac:dyDescent="0.25">
      <c r="A2893">
        <v>99912892</v>
      </c>
      <c r="B2893" t="s">
        <v>32</v>
      </c>
      <c r="C2893" t="s">
        <v>58</v>
      </c>
      <c r="D2893" t="s">
        <v>59</v>
      </c>
      <c r="G2893" t="s">
        <v>48</v>
      </c>
      <c r="H2893">
        <v>1</v>
      </c>
      <c r="K2893" t="s">
        <v>223</v>
      </c>
      <c r="L2893" t="s">
        <v>224</v>
      </c>
      <c r="M2893" t="s">
        <v>131</v>
      </c>
      <c r="N2893">
        <v>21</v>
      </c>
      <c r="P2893" t="s">
        <v>41</v>
      </c>
      <c r="Q2893" t="s">
        <v>49</v>
      </c>
      <c r="R2893" t="str">
        <f>"0581206"</f>
        <v>0581206</v>
      </c>
      <c r="S2893" t="s">
        <v>232</v>
      </c>
      <c r="T2893" t="s">
        <v>223</v>
      </c>
      <c r="U2893" t="s">
        <v>224</v>
      </c>
      <c r="V2893" t="s">
        <v>131</v>
      </c>
      <c r="W2893" t="s">
        <v>51</v>
      </c>
      <c r="X2893" t="s">
        <v>45</v>
      </c>
      <c r="Y2893" s="1">
        <v>30468</v>
      </c>
      <c r="Z2893">
        <v>2</v>
      </c>
      <c r="AA2893" t="s">
        <v>224</v>
      </c>
      <c r="AB2893" s="40" t="s">
        <v>1799</v>
      </c>
    </row>
    <row r="2894" spans="1:28" x14ac:dyDescent="0.25">
      <c r="A2894">
        <v>99912893</v>
      </c>
      <c r="B2894" t="s">
        <v>32</v>
      </c>
      <c r="C2894" t="s">
        <v>46</v>
      </c>
      <c r="D2894" t="s">
        <v>47</v>
      </c>
      <c r="G2894" t="s">
        <v>35</v>
      </c>
      <c r="H2894">
        <v>1</v>
      </c>
      <c r="K2894" t="s">
        <v>1546</v>
      </c>
      <c r="L2894" t="s">
        <v>1547</v>
      </c>
      <c r="M2894" t="s">
        <v>1548</v>
      </c>
      <c r="N2894">
        <v>21</v>
      </c>
      <c r="P2894" t="s">
        <v>41</v>
      </c>
      <c r="Q2894" t="s">
        <v>42</v>
      </c>
      <c r="R2894" t="str">
        <f>"1080010"</f>
        <v>1080010</v>
      </c>
      <c r="S2894" t="s">
        <v>1549</v>
      </c>
      <c r="T2894" t="s">
        <v>1546</v>
      </c>
      <c r="U2894" t="s">
        <v>1547</v>
      </c>
      <c r="V2894" t="s">
        <v>1548</v>
      </c>
      <c r="W2894" t="s">
        <v>51</v>
      </c>
      <c r="X2894" t="s">
        <v>45</v>
      </c>
      <c r="Y2894" s="1">
        <v>30436</v>
      </c>
      <c r="Z2894">
        <v>2</v>
      </c>
      <c r="AA2894" t="s">
        <v>1547</v>
      </c>
      <c r="AB2894" s="40" t="s">
        <v>1799</v>
      </c>
    </row>
    <row r="2895" spans="1:28" x14ac:dyDescent="0.25">
      <c r="A2895">
        <v>99912894</v>
      </c>
      <c r="B2895" t="s">
        <v>32</v>
      </c>
      <c r="C2895" t="s">
        <v>46</v>
      </c>
      <c r="D2895" t="s">
        <v>47</v>
      </c>
      <c r="G2895" t="s">
        <v>48</v>
      </c>
      <c r="H2895">
        <v>1</v>
      </c>
      <c r="K2895" t="s">
        <v>223</v>
      </c>
      <c r="L2895" t="s">
        <v>224</v>
      </c>
      <c r="M2895" t="s">
        <v>131</v>
      </c>
      <c r="N2895">
        <v>21</v>
      </c>
      <c r="P2895" t="s">
        <v>41</v>
      </c>
      <c r="Q2895" t="s">
        <v>49</v>
      </c>
      <c r="R2895" t="str">
        <f>"0581265"</f>
        <v>0581265</v>
      </c>
      <c r="S2895" t="s">
        <v>236</v>
      </c>
      <c r="T2895" t="s">
        <v>223</v>
      </c>
      <c r="U2895" t="s">
        <v>224</v>
      </c>
      <c r="V2895" t="s">
        <v>131</v>
      </c>
      <c r="W2895" t="s">
        <v>51</v>
      </c>
      <c r="X2895" t="s">
        <v>45</v>
      </c>
      <c r="Y2895" s="1">
        <v>30424</v>
      </c>
      <c r="Z2895">
        <v>2</v>
      </c>
      <c r="AA2895" t="s">
        <v>224</v>
      </c>
      <c r="AB2895" s="40" t="s">
        <v>1799</v>
      </c>
    </row>
    <row r="2896" spans="1:28" x14ac:dyDescent="0.25">
      <c r="A2896">
        <v>99912895</v>
      </c>
      <c r="B2896" t="s">
        <v>32</v>
      </c>
      <c r="C2896" t="s">
        <v>46</v>
      </c>
      <c r="D2896" t="s">
        <v>47</v>
      </c>
      <c r="G2896" t="s">
        <v>35</v>
      </c>
      <c r="H2896">
        <v>1</v>
      </c>
      <c r="K2896" t="s">
        <v>162</v>
      </c>
      <c r="L2896" t="s">
        <v>158</v>
      </c>
      <c r="M2896" t="s">
        <v>131</v>
      </c>
      <c r="N2896">
        <v>21</v>
      </c>
      <c r="P2896" t="s">
        <v>41</v>
      </c>
      <c r="Q2896" t="s">
        <v>49</v>
      </c>
      <c r="R2896" t="str">
        <f>"0505050"</f>
        <v>0505050</v>
      </c>
      <c r="S2896" t="s">
        <v>163</v>
      </c>
      <c r="T2896" t="s">
        <v>162</v>
      </c>
      <c r="U2896" t="s">
        <v>158</v>
      </c>
      <c r="V2896" t="s">
        <v>131</v>
      </c>
      <c r="W2896" t="s">
        <v>51</v>
      </c>
      <c r="X2896" t="s">
        <v>45</v>
      </c>
      <c r="Y2896" s="1">
        <v>30411</v>
      </c>
      <c r="Z2896">
        <v>2</v>
      </c>
      <c r="AA2896" t="s">
        <v>158</v>
      </c>
      <c r="AB2896" s="40" t="s">
        <v>1799</v>
      </c>
    </row>
    <row r="2897" spans="1:28" x14ac:dyDescent="0.25">
      <c r="A2897">
        <v>99912896</v>
      </c>
      <c r="B2897" t="s">
        <v>32</v>
      </c>
      <c r="C2897" t="s">
        <v>257</v>
      </c>
      <c r="D2897" t="s">
        <v>258</v>
      </c>
      <c r="G2897" t="s">
        <v>35</v>
      </c>
      <c r="H2897">
        <v>1</v>
      </c>
      <c r="I2897">
        <v>17752</v>
      </c>
      <c r="J2897" s="1">
        <v>43344</v>
      </c>
      <c r="K2897" t="s">
        <v>223</v>
      </c>
      <c r="L2897" t="s">
        <v>224</v>
      </c>
      <c r="M2897" t="s">
        <v>131</v>
      </c>
      <c r="N2897">
        <v>21</v>
      </c>
      <c r="O2897" s="1">
        <v>43344</v>
      </c>
      <c r="P2897" t="s">
        <v>41</v>
      </c>
      <c r="Q2897" t="s">
        <v>49</v>
      </c>
      <c r="R2897" t="str">
        <f>"0581202"</f>
        <v>0581202</v>
      </c>
      <c r="S2897" t="s">
        <v>248</v>
      </c>
      <c r="T2897" t="s">
        <v>223</v>
      </c>
      <c r="U2897" t="s">
        <v>224</v>
      </c>
      <c r="V2897" t="s">
        <v>131</v>
      </c>
      <c r="W2897" t="s">
        <v>51</v>
      </c>
      <c r="X2897" t="s">
        <v>45</v>
      </c>
      <c r="Y2897" s="1">
        <v>30408</v>
      </c>
      <c r="Z2897">
        <v>2</v>
      </c>
      <c r="AA2897" t="s">
        <v>224</v>
      </c>
      <c r="AB2897" s="40" t="s">
        <v>1799</v>
      </c>
    </row>
    <row r="2898" spans="1:28" x14ac:dyDescent="0.25">
      <c r="A2898">
        <v>99912897</v>
      </c>
      <c r="B2898" t="s">
        <v>32</v>
      </c>
      <c r="C2898" t="s">
        <v>46</v>
      </c>
      <c r="D2898" t="s">
        <v>47</v>
      </c>
      <c r="G2898" t="s">
        <v>48</v>
      </c>
      <c r="H2898">
        <v>1</v>
      </c>
      <c r="K2898" t="s">
        <v>1268</v>
      </c>
      <c r="L2898" t="s">
        <v>1269</v>
      </c>
      <c r="M2898" t="s">
        <v>1270</v>
      </c>
      <c r="N2898">
        <v>21</v>
      </c>
      <c r="P2898" t="s">
        <v>41</v>
      </c>
      <c r="Q2898" t="s">
        <v>49</v>
      </c>
      <c r="R2898" t="str">
        <f>"1981912"</f>
        <v>1981912</v>
      </c>
      <c r="S2898" t="s">
        <v>1279</v>
      </c>
      <c r="T2898" t="s">
        <v>1268</v>
      </c>
      <c r="U2898" t="s">
        <v>1269</v>
      </c>
      <c r="V2898" t="s">
        <v>1270</v>
      </c>
      <c r="W2898" t="s">
        <v>51</v>
      </c>
      <c r="X2898" t="s">
        <v>45</v>
      </c>
      <c r="Y2898" s="1">
        <v>30399</v>
      </c>
      <c r="Z2898">
        <v>2</v>
      </c>
      <c r="AA2898" t="s">
        <v>1269</v>
      </c>
      <c r="AB2898" s="40" t="s">
        <v>1799</v>
      </c>
    </row>
    <row r="2899" spans="1:28" x14ac:dyDescent="0.25">
      <c r="A2899">
        <v>99912898</v>
      </c>
      <c r="B2899" t="s">
        <v>32</v>
      </c>
      <c r="C2899" t="s">
        <v>143</v>
      </c>
      <c r="D2899" t="s">
        <v>144</v>
      </c>
      <c r="G2899" t="s">
        <v>35</v>
      </c>
      <c r="H2899">
        <v>1</v>
      </c>
      <c r="I2899" t="s">
        <v>250</v>
      </c>
      <c r="J2899" s="1">
        <v>43344</v>
      </c>
      <c r="K2899" t="s">
        <v>223</v>
      </c>
      <c r="L2899" t="s">
        <v>224</v>
      </c>
      <c r="M2899" t="s">
        <v>131</v>
      </c>
      <c r="N2899">
        <v>21</v>
      </c>
      <c r="O2899" s="1">
        <v>43344</v>
      </c>
      <c r="P2899" t="s">
        <v>41</v>
      </c>
      <c r="Q2899" t="s">
        <v>49</v>
      </c>
      <c r="R2899" t="str">
        <f>"0581207"</f>
        <v>0581207</v>
      </c>
      <c r="S2899" t="s">
        <v>233</v>
      </c>
      <c r="T2899" t="s">
        <v>223</v>
      </c>
      <c r="U2899" t="s">
        <v>224</v>
      </c>
      <c r="V2899" t="s">
        <v>131</v>
      </c>
      <c r="W2899" t="s">
        <v>44</v>
      </c>
      <c r="X2899" t="s">
        <v>45</v>
      </c>
      <c r="Y2899" s="1">
        <v>30387</v>
      </c>
      <c r="Z2899">
        <v>2</v>
      </c>
      <c r="AA2899" t="s">
        <v>224</v>
      </c>
      <c r="AB2899" s="40" t="s">
        <v>1799</v>
      </c>
    </row>
    <row r="2900" spans="1:28" x14ac:dyDescent="0.25">
      <c r="A2900">
        <v>99912899</v>
      </c>
      <c r="B2900" t="s">
        <v>56</v>
      </c>
      <c r="C2900" t="s">
        <v>61</v>
      </c>
      <c r="D2900" t="s">
        <v>62</v>
      </c>
      <c r="G2900" t="s">
        <v>48</v>
      </c>
      <c r="H2900">
        <v>1</v>
      </c>
      <c r="K2900" t="s">
        <v>223</v>
      </c>
      <c r="L2900" t="s">
        <v>224</v>
      </c>
      <c r="M2900" t="s">
        <v>131</v>
      </c>
      <c r="N2900">
        <v>21</v>
      </c>
      <c r="P2900" t="s">
        <v>41</v>
      </c>
      <c r="Q2900" t="s">
        <v>49</v>
      </c>
      <c r="R2900" t="str">
        <f>"0581206"</f>
        <v>0581206</v>
      </c>
      <c r="S2900" t="s">
        <v>232</v>
      </c>
      <c r="T2900" t="s">
        <v>223</v>
      </c>
      <c r="U2900" t="s">
        <v>224</v>
      </c>
      <c r="V2900" t="s">
        <v>131</v>
      </c>
      <c r="W2900" t="s">
        <v>51</v>
      </c>
      <c r="X2900" t="s">
        <v>45</v>
      </c>
      <c r="Y2900" s="1">
        <v>30364</v>
      </c>
      <c r="Z2900">
        <v>2</v>
      </c>
      <c r="AA2900" t="s">
        <v>224</v>
      </c>
      <c r="AB2900" s="40" t="s">
        <v>1799</v>
      </c>
    </row>
    <row r="2901" spans="1:28" x14ac:dyDescent="0.25">
      <c r="A2901">
        <v>99912900</v>
      </c>
      <c r="B2901" t="s">
        <v>32</v>
      </c>
      <c r="C2901" t="s">
        <v>68</v>
      </c>
      <c r="D2901" t="s">
        <v>69</v>
      </c>
      <c r="G2901" t="s">
        <v>35</v>
      </c>
      <c r="H2901">
        <v>1</v>
      </c>
      <c r="I2901">
        <v>18104</v>
      </c>
      <c r="J2901" s="1">
        <v>43344</v>
      </c>
      <c r="K2901" t="s">
        <v>345</v>
      </c>
      <c r="L2901" t="s">
        <v>346</v>
      </c>
      <c r="M2901" t="s">
        <v>131</v>
      </c>
      <c r="N2901">
        <v>21</v>
      </c>
      <c r="O2901" s="1">
        <v>43344</v>
      </c>
      <c r="P2901" t="s">
        <v>41</v>
      </c>
      <c r="Q2901" t="s">
        <v>367</v>
      </c>
      <c r="R2901" t="str">
        <f>"0580655"</f>
        <v>0580655</v>
      </c>
      <c r="S2901" t="s">
        <v>368</v>
      </c>
      <c r="T2901" t="s">
        <v>345</v>
      </c>
      <c r="U2901" t="s">
        <v>346</v>
      </c>
      <c r="V2901" t="s">
        <v>131</v>
      </c>
      <c r="W2901" t="s">
        <v>51</v>
      </c>
      <c r="X2901" t="s">
        <v>45</v>
      </c>
      <c r="Y2901" s="1">
        <v>30317</v>
      </c>
      <c r="Z2901">
        <v>2</v>
      </c>
      <c r="AA2901" t="s">
        <v>346</v>
      </c>
      <c r="AB2901" s="40" t="s">
        <v>1799</v>
      </c>
    </row>
    <row r="2902" spans="1:28" x14ac:dyDescent="0.25">
      <c r="A2902">
        <v>99912901</v>
      </c>
      <c r="B2902" t="s">
        <v>32</v>
      </c>
      <c r="C2902" t="s">
        <v>61</v>
      </c>
      <c r="D2902" t="s">
        <v>62</v>
      </c>
      <c r="G2902" t="s">
        <v>48</v>
      </c>
      <c r="H2902">
        <v>1</v>
      </c>
      <c r="K2902" t="s">
        <v>268</v>
      </c>
      <c r="L2902" t="s">
        <v>269</v>
      </c>
      <c r="M2902" t="s">
        <v>131</v>
      </c>
      <c r="N2902">
        <v>21</v>
      </c>
      <c r="P2902" t="s">
        <v>41</v>
      </c>
      <c r="Q2902" t="s">
        <v>75</v>
      </c>
      <c r="R2902" t="str">
        <f>"7052016"</f>
        <v>7052016</v>
      </c>
      <c r="S2902" t="s">
        <v>588</v>
      </c>
      <c r="T2902" t="s">
        <v>268</v>
      </c>
      <c r="U2902" t="s">
        <v>269</v>
      </c>
      <c r="V2902" t="s">
        <v>131</v>
      </c>
      <c r="W2902" t="s">
        <v>51</v>
      </c>
      <c r="X2902" t="s">
        <v>45</v>
      </c>
      <c r="Y2902" s="1">
        <v>30317</v>
      </c>
      <c r="Z2902">
        <v>1</v>
      </c>
      <c r="AA2902" t="s">
        <v>269</v>
      </c>
      <c r="AB2902" s="40" t="s">
        <v>1799</v>
      </c>
    </row>
    <row r="2903" spans="1:28" x14ac:dyDescent="0.25">
      <c r="A2903">
        <v>99912902</v>
      </c>
      <c r="B2903" t="s">
        <v>32</v>
      </c>
      <c r="C2903" t="s">
        <v>64</v>
      </c>
      <c r="D2903" t="s">
        <v>65</v>
      </c>
      <c r="G2903" t="s">
        <v>35</v>
      </c>
      <c r="H2903">
        <v>1</v>
      </c>
      <c r="I2903" t="s">
        <v>1067</v>
      </c>
      <c r="J2903" s="1">
        <v>43344</v>
      </c>
      <c r="K2903" t="s">
        <v>1051</v>
      </c>
      <c r="L2903" t="s">
        <v>1052</v>
      </c>
      <c r="M2903" t="s">
        <v>1053</v>
      </c>
      <c r="N2903">
        <v>21</v>
      </c>
      <c r="O2903" s="1">
        <v>43344</v>
      </c>
      <c r="P2903" t="s">
        <v>41</v>
      </c>
      <c r="Q2903" t="s">
        <v>49</v>
      </c>
      <c r="R2903" t="str">
        <f>"2060004"</f>
        <v>2060004</v>
      </c>
      <c r="S2903" t="s">
        <v>1059</v>
      </c>
      <c r="T2903" t="s">
        <v>1051</v>
      </c>
      <c r="U2903" t="s">
        <v>1052</v>
      </c>
      <c r="V2903" t="s">
        <v>1053</v>
      </c>
      <c r="W2903" t="s">
        <v>51</v>
      </c>
      <c r="X2903" t="s">
        <v>45</v>
      </c>
      <c r="Y2903" s="1">
        <v>30317</v>
      </c>
      <c r="Z2903">
        <v>2</v>
      </c>
      <c r="AA2903" t="s">
        <v>1052</v>
      </c>
      <c r="AB2903" s="40" t="s">
        <v>1799</v>
      </c>
    </row>
    <row r="2904" spans="1:28" x14ac:dyDescent="0.25">
      <c r="A2904">
        <v>99912903</v>
      </c>
      <c r="B2904" t="s">
        <v>56</v>
      </c>
      <c r="C2904" t="s">
        <v>46</v>
      </c>
      <c r="D2904" t="s">
        <v>47</v>
      </c>
      <c r="G2904" t="s">
        <v>48</v>
      </c>
      <c r="H2904">
        <v>1</v>
      </c>
      <c r="K2904" t="s">
        <v>1128</v>
      </c>
      <c r="L2904" t="s">
        <v>1129</v>
      </c>
      <c r="M2904" t="s">
        <v>1130</v>
      </c>
      <c r="N2904">
        <v>21</v>
      </c>
      <c r="P2904" t="s">
        <v>41</v>
      </c>
      <c r="Q2904" t="s">
        <v>42</v>
      </c>
      <c r="R2904" t="str">
        <f>"3180015"</f>
        <v>3180015</v>
      </c>
      <c r="S2904" t="s">
        <v>1139</v>
      </c>
      <c r="T2904" t="s">
        <v>1128</v>
      </c>
      <c r="U2904" t="s">
        <v>1129</v>
      </c>
      <c r="V2904" t="s">
        <v>1130</v>
      </c>
      <c r="W2904" t="s">
        <v>51</v>
      </c>
      <c r="X2904" t="s">
        <v>45</v>
      </c>
      <c r="Y2904" s="1">
        <v>30314</v>
      </c>
      <c r="Z2904">
        <v>2</v>
      </c>
      <c r="AA2904" t="s">
        <v>1129</v>
      </c>
      <c r="AB2904" s="40" t="s">
        <v>1799</v>
      </c>
    </row>
    <row r="2905" spans="1:28" x14ac:dyDescent="0.25">
      <c r="A2905">
        <v>99912904</v>
      </c>
      <c r="B2905" t="s">
        <v>32</v>
      </c>
      <c r="C2905" t="s">
        <v>33</v>
      </c>
      <c r="D2905" t="s">
        <v>34</v>
      </c>
      <c r="G2905" t="s">
        <v>35</v>
      </c>
      <c r="H2905">
        <v>1</v>
      </c>
      <c r="I2905">
        <v>0</v>
      </c>
      <c r="J2905" s="1">
        <v>43344</v>
      </c>
      <c r="K2905" t="s">
        <v>223</v>
      </c>
      <c r="L2905" t="s">
        <v>224</v>
      </c>
      <c r="M2905" t="s">
        <v>131</v>
      </c>
      <c r="N2905">
        <v>21</v>
      </c>
      <c r="O2905" s="1">
        <v>43344</v>
      </c>
      <c r="P2905" t="s">
        <v>41</v>
      </c>
      <c r="Q2905" t="s">
        <v>42</v>
      </c>
      <c r="R2905" t="str">
        <f>"0580206"</f>
        <v>0580206</v>
      </c>
      <c r="S2905" t="s">
        <v>237</v>
      </c>
      <c r="T2905" t="s">
        <v>223</v>
      </c>
      <c r="U2905" t="s">
        <v>224</v>
      </c>
      <c r="V2905" t="s">
        <v>131</v>
      </c>
      <c r="W2905" t="s">
        <v>51</v>
      </c>
      <c r="X2905" t="s">
        <v>45</v>
      </c>
      <c r="Y2905" s="1">
        <v>30306</v>
      </c>
      <c r="Z2905">
        <v>2</v>
      </c>
      <c r="AA2905" t="s">
        <v>224</v>
      </c>
      <c r="AB2905" s="40" t="s">
        <v>1799</v>
      </c>
    </row>
    <row r="2906" spans="1:28" x14ac:dyDescent="0.25">
      <c r="A2906">
        <v>99912905</v>
      </c>
      <c r="B2906" t="s">
        <v>32</v>
      </c>
      <c r="C2906" t="s">
        <v>68</v>
      </c>
      <c r="D2906" t="s">
        <v>69</v>
      </c>
      <c r="G2906" t="s">
        <v>48</v>
      </c>
      <c r="H2906">
        <v>1</v>
      </c>
      <c r="K2906" t="s">
        <v>1546</v>
      </c>
      <c r="L2906" t="s">
        <v>1547</v>
      </c>
      <c r="M2906" t="s">
        <v>1548</v>
      </c>
      <c r="N2906">
        <v>21</v>
      </c>
      <c r="P2906" t="s">
        <v>41</v>
      </c>
      <c r="Q2906" t="s">
        <v>49</v>
      </c>
      <c r="R2906" t="str">
        <f>"1060001"</f>
        <v>1060001</v>
      </c>
      <c r="S2906" t="s">
        <v>1553</v>
      </c>
      <c r="T2906" t="s">
        <v>1546</v>
      </c>
      <c r="U2906" t="s">
        <v>1547</v>
      </c>
      <c r="V2906" t="s">
        <v>1548</v>
      </c>
      <c r="W2906" t="s">
        <v>51</v>
      </c>
      <c r="X2906" t="s">
        <v>45</v>
      </c>
      <c r="Y2906" s="1">
        <v>30296</v>
      </c>
      <c r="Z2906">
        <v>2</v>
      </c>
      <c r="AA2906" t="s">
        <v>1547</v>
      </c>
      <c r="AB2906" s="40" t="s">
        <v>1799</v>
      </c>
    </row>
    <row r="2907" spans="1:28" x14ac:dyDescent="0.25">
      <c r="A2907">
        <v>99912906</v>
      </c>
      <c r="B2907" t="s">
        <v>56</v>
      </c>
      <c r="C2907" t="s">
        <v>52</v>
      </c>
      <c r="D2907" t="s">
        <v>53</v>
      </c>
      <c r="G2907" t="s">
        <v>35</v>
      </c>
      <c r="H2907">
        <v>1</v>
      </c>
      <c r="I2907">
        <v>0</v>
      </c>
      <c r="J2907" s="1">
        <v>43344</v>
      </c>
      <c r="K2907" t="s">
        <v>223</v>
      </c>
      <c r="L2907" t="s">
        <v>224</v>
      </c>
      <c r="M2907" t="s">
        <v>131</v>
      </c>
      <c r="N2907">
        <v>21</v>
      </c>
      <c r="O2907" s="1">
        <v>43344</v>
      </c>
      <c r="P2907" t="s">
        <v>41</v>
      </c>
      <c r="Q2907" t="s">
        <v>49</v>
      </c>
      <c r="R2907" t="str">
        <f>"0581207"</f>
        <v>0581207</v>
      </c>
      <c r="S2907" t="s">
        <v>233</v>
      </c>
      <c r="T2907" t="s">
        <v>223</v>
      </c>
      <c r="U2907" t="s">
        <v>224</v>
      </c>
      <c r="V2907" t="s">
        <v>131</v>
      </c>
      <c r="W2907" t="s">
        <v>44</v>
      </c>
      <c r="X2907" t="s">
        <v>45</v>
      </c>
      <c r="Y2907" s="1">
        <v>30230</v>
      </c>
      <c r="Z2907">
        <v>2</v>
      </c>
      <c r="AA2907" t="s">
        <v>224</v>
      </c>
      <c r="AB2907" s="40" t="s">
        <v>1799</v>
      </c>
    </row>
    <row r="2908" spans="1:28" x14ac:dyDescent="0.25">
      <c r="A2908">
        <v>99912907</v>
      </c>
      <c r="B2908" t="s">
        <v>32</v>
      </c>
      <c r="C2908" t="s">
        <v>145</v>
      </c>
      <c r="D2908" t="s">
        <v>146</v>
      </c>
      <c r="G2908" t="s">
        <v>35</v>
      </c>
      <c r="H2908">
        <v>1</v>
      </c>
      <c r="I2908">
        <v>0</v>
      </c>
      <c r="J2908" s="1">
        <v>43344</v>
      </c>
      <c r="K2908" t="s">
        <v>223</v>
      </c>
      <c r="L2908" t="s">
        <v>224</v>
      </c>
      <c r="M2908" t="s">
        <v>131</v>
      </c>
      <c r="N2908">
        <v>21</v>
      </c>
      <c r="O2908" s="1">
        <v>43344</v>
      </c>
      <c r="P2908" t="s">
        <v>41</v>
      </c>
      <c r="Q2908" t="s">
        <v>49</v>
      </c>
      <c r="R2908" t="str">
        <f>"0581207"</f>
        <v>0581207</v>
      </c>
      <c r="S2908" t="s">
        <v>233</v>
      </c>
      <c r="T2908" t="s">
        <v>223</v>
      </c>
      <c r="U2908" t="s">
        <v>224</v>
      </c>
      <c r="V2908" t="s">
        <v>131</v>
      </c>
      <c r="W2908" t="s">
        <v>51</v>
      </c>
      <c r="X2908" t="s">
        <v>45</v>
      </c>
      <c r="Y2908" s="1">
        <v>30224</v>
      </c>
      <c r="Z2908">
        <v>2</v>
      </c>
      <c r="AA2908" t="s">
        <v>224</v>
      </c>
      <c r="AB2908" s="40" t="s">
        <v>1799</v>
      </c>
    </row>
    <row r="2909" spans="1:28" x14ac:dyDescent="0.25">
      <c r="A2909">
        <v>99912908</v>
      </c>
      <c r="B2909" t="s">
        <v>56</v>
      </c>
      <c r="C2909" t="s">
        <v>46</v>
      </c>
      <c r="D2909" t="s">
        <v>47</v>
      </c>
      <c r="G2909" t="s">
        <v>48</v>
      </c>
      <c r="H2909">
        <v>1</v>
      </c>
      <c r="K2909" t="s">
        <v>223</v>
      </c>
      <c r="L2909" t="s">
        <v>224</v>
      </c>
      <c r="M2909" t="s">
        <v>131</v>
      </c>
      <c r="N2909">
        <v>21</v>
      </c>
      <c r="P2909" t="s">
        <v>41</v>
      </c>
      <c r="Q2909" t="s">
        <v>49</v>
      </c>
      <c r="R2909" t="str">
        <f>"0581265"</f>
        <v>0581265</v>
      </c>
      <c r="S2909" t="s">
        <v>236</v>
      </c>
      <c r="T2909" t="s">
        <v>223</v>
      </c>
      <c r="U2909" t="s">
        <v>224</v>
      </c>
      <c r="V2909" t="s">
        <v>131</v>
      </c>
      <c r="W2909" t="s">
        <v>51</v>
      </c>
      <c r="X2909" t="s">
        <v>45</v>
      </c>
      <c r="Y2909" s="1">
        <v>30207</v>
      </c>
      <c r="Z2909">
        <v>2</v>
      </c>
      <c r="AA2909" t="s">
        <v>224</v>
      </c>
      <c r="AB2909" s="40" t="s">
        <v>1799</v>
      </c>
    </row>
    <row r="2910" spans="1:28" x14ac:dyDescent="0.25">
      <c r="A2910">
        <v>99912909</v>
      </c>
      <c r="B2910" t="s">
        <v>32</v>
      </c>
      <c r="C2910" t="s">
        <v>52</v>
      </c>
      <c r="D2910" t="s">
        <v>53</v>
      </c>
      <c r="G2910" t="s">
        <v>48</v>
      </c>
      <c r="H2910">
        <v>1</v>
      </c>
      <c r="K2910" t="s">
        <v>1268</v>
      </c>
      <c r="L2910" t="s">
        <v>1269</v>
      </c>
      <c r="M2910" t="s">
        <v>1270</v>
      </c>
      <c r="N2910">
        <v>21</v>
      </c>
      <c r="P2910" t="s">
        <v>41</v>
      </c>
      <c r="Q2910" t="s">
        <v>49</v>
      </c>
      <c r="R2910" t="str">
        <f>"1981914"</f>
        <v>1981914</v>
      </c>
      <c r="S2910" t="s">
        <v>1287</v>
      </c>
      <c r="T2910" t="s">
        <v>1268</v>
      </c>
      <c r="U2910" t="s">
        <v>1269</v>
      </c>
      <c r="V2910" t="s">
        <v>1270</v>
      </c>
      <c r="W2910" t="s">
        <v>51</v>
      </c>
      <c r="X2910" t="s">
        <v>45</v>
      </c>
      <c r="Y2910" s="1">
        <v>30179</v>
      </c>
      <c r="Z2910">
        <v>2</v>
      </c>
      <c r="AA2910" t="s">
        <v>1269</v>
      </c>
      <c r="AB2910" s="40" t="s">
        <v>1799</v>
      </c>
    </row>
    <row r="2911" spans="1:28" x14ac:dyDescent="0.25">
      <c r="A2911">
        <v>99912910</v>
      </c>
      <c r="B2911" t="s">
        <v>32</v>
      </c>
      <c r="C2911" t="s">
        <v>46</v>
      </c>
      <c r="D2911" t="s">
        <v>47</v>
      </c>
      <c r="G2911" t="s">
        <v>35</v>
      </c>
      <c r="H2911">
        <v>1</v>
      </c>
      <c r="K2911" t="s">
        <v>1268</v>
      </c>
      <c r="L2911" t="s">
        <v>1269</v>
      </c>
      <c r="M2911" t="s">
        <v>1270</v>
      </c>
      <c r="N2911">
        <v>21</v>
      </c>
      <c r="P2911" t="s">
        <v>41</v>
      </c>
      <c r="Q2911" t="s">
        <v>42</v>
      </c>
      <c r="R2911" t="str">
        <f>"1990001"</f>
        <v>1990001</v>
      </c>
      <c r="S2911" t="s">
        <v>1294</v>
      </c>
      <c r="T2911" t="s">
        <v>1268</v>
      </c>
      <c r="U2911" t="s">
        <v>1269</v>
      </c>
      <c r="V2911" t="s">
        <v>1270</v>
      </c>
      <c r="W2911" t="s">
        <v>51</v>
      </c>
      <c r="X2911" t="s">
        <v>45</v>
      </c>
      <c r="Y2911" s="1">
        <v>30170</v>
      </c>
      <c r="Z2911">
        <v>2</v>
      </c>
      <c r="AA2911" t="s">
        <v>1269</v>
      </c>
      <c r="AB2911" s="40" t="s">
        <v>1799</v>
      </c>
    </row>
    <row r="2912" spans="1:28" x14ac:dyDescent="0.25">
      <c r="A2912">
        <v>99912911</v>
      </c>
      <c r="B2912" t="s">
        <v>32</v>
      </c>
      <c r="C2912" t="s">
        <v>46</v>
      </c>
      <c r="D2912" t="s">
        <v>47</v>
      </c>
      <c r="G2912" t="s">
        <v>48</v>
      </c>
      <c r="H2912">
        <v>1</v>
      </c>
      <c r="K2912" t="s">
        <v>1268</v>
      </c>
      <c r="L2912" t="s">
        <v>1269</v>
      </c>
      <c r="M2912" t="s">
        <v>1270</v>
      </c>
      <c r="N2912">
        <v>21</v>
      </c>
      <c r="P2912" t="s">
        <v>41</v>
      </c>
      <c r="Q2912" t="s">
        <v>42</v>
      </c>
      <c r="R2912" t="str">
        <f>"1990911"</f>
        <v>1990911</v>
      </c>
      <c r="S2912" t="s">
        <v>1276</v>
      </c>
      <c r="T2912" t="s">
        <v>1268</v>
      </c>
      <c r="U2912" t="s">
        <v>1269</v>
      </c>
      <c r="V2912" t="s">
        <v>1270</v>
      </c>
      <c r="W2912" t="s">
        <v>51</v>
      </c>
      <c r="X2912" t="s">
        <v>45</v>
      </c>
      <c r="Y2912" s="1">
        <v>30168</v>
      </c>
      <c r="Z2912">
        <v>2</v>
      </c>
      <c r="AA2912" t="s">
        <v>1269</v>
      </c>
      <c r="AB2912" s="40" t="s">
        <v>1799</v>
      </c>
    </row>
    <row r="2913" spans="1:28" x14ac:dyDescent="0.25">
      <c r="A2913">
        <v>99912912</v>
      </c>
      <c r="B2913" t="s">
        <v>32</v>
      </c>
      <c r="C2913" t="s">
        <v>46</v>
      </c>
      <c r="D2913" t="s">
        <v>47</v>
      </c>
      <c r="G2913" t="s">
        <v>48</v>
      </c>
      <c r="H2913">
        <v>7</v>
      </c>
      <c r="K2913" t="s">
        <v>37</v>
      </c>
      <c r="L2913" t="s">
        <v>38</v>
      </c>
      <c r="M2913" t="s">
        <v>39</v>
      </c>
      <c r="N2913">
        <v>21</v>
      </c>
      <c r="P2913" t="s">
        <v>41</v>
      </c>
      <c r="Q2913" t="s">
        <v>49</v>
      </c>
      <c r="R2913" t="str">
        <f>"3781010"</f>
        <v>3781010</v>
      </c>
      <c r="S2913" t="s">
        <v>50</v>
      </c>
      <c r="T2913" t="s">
        <v>37</v>
      </c>
      <c r="U2913" t="s">
        <v>38</v>
      </c>
      <c r="V2913" t="s">
        <v>39</v>
      </c>
      <c r="W2913" t="s">
        <v>51</v>
      </c>
      <c r="X2913" t="s">
        <v>45</v>
      </c>
      <c r="Y2913" s="1">
        <v>30159</v>
      </c>
      <c r="Z2913">
        <v>2</v>
      </c>
      <c r="AA2913" t="s">
        <v>38</v>
      </c>
      <c r="AB2913" s="40" t="s">
        <v>1799</v>
      </c>
    </row>
    <row r="2914" spans="1:28" x14ac:dyDescent="0.25">
      <c r="A2914">
        <v>99912913</v>
      </c>
      <c r="B2914" t="s">
        <v>32</v>
      </c>
      <c r="C2914" t="s">
        <v>139</v>
      </c>
      <c r="D2914" t="s">
        <v>140</v>
      </c>
      <c r="G2914" t="s">
        <v>48</v>
      </c>
      <c r="H2914">
        <v>1</v>
      </c>
      <c r="K2914" t="s">
        <v>1546</v>
      </c>
      <c r="L2914" t="s">
        <v>1547</v>
      </c>
      <c r="M2914" t="s">
        <v>1548</v>
      </c>
      <c r="N2914">
        <v>21</v>
      </c>
      <c r="P2914" t="s">
        <v>41</v>
      </c>
      <c r="Q2914" t="s">
        <v>49</v>
      </c>
      <c r="R2914" t="str">
        <f>"1060001"</f>
        <v>1060001</v>
      </c>
      <c r="S2914" t="s">
        <v>1553</v>
      </c>
      <c r="T2914" t="s">
        <v>1546</v>
      </c>
      <c r="U2914" t="s">
        <v>1547</v>
      </c>
      <c r="V2914" t="s">
        <v>1548</v>
      </c>
      <c r="W2914" t="s">
        <v>51</v>
      </c>
      <c r="X2914" t="s">
        <v>45</v>
      </c>
      <c r="Y2914" s="1">
        <v>30137</v>
      </c>
      <c r="Z2914">
        <v>2</v>
      </c>
      <c r="AA2914" t="s">
        <v>1547</v>
      </c>
      <c r="AB2914" s="40" t="s">
        <v>1799</v>
      </c>
    </row>
    <row r="2915" spans="1:28" x14ac:dyDescent="0.25">
      <c r="A2915">
        <v>99912914</v>
      </c>
      <c r="B2915" t="s">
        <v>32</v>
      </c>
      <c r="C2915" t="s">
        <v>46</v>
      </c>
      <c r="D2915" t="s">
        <v>47</v>
      </c>
      <c r="G2915" t="s">
        <v>48</v>
      </c>
      <c r="H2915">
        <v>1</v>
      </c>
      <c r="K2915" t="s">
        <v>223</v>
      </c>
      <c r="L2915" t="s">
        <v>224</v>
      </c>
      <c r="M2915" t="s">
        <v>131</v>
      </c>
      <c r="N2915">
        <v>21</v>
      </c>
      <c r="P2915" t="s">
        <v>41</v>
      </c>
      <c r="Q2915" t="s">
        <v>49</v>
      </c>
      <c r="R2915" t="str">
        <f>"0581206"</f>
        <v>0581206</v>
      </c>
      <c r="S2915" t="s">
        <v>232</v>
      </c>
      <c r="T2915" t="s">
        <v>223</v>
      </c>
      <c r="U2915" t="s">
        <v>224</v>
      </c>
      <c r="V2915" t="s">
        <v>131</v>
      </c>
      <c r="W2915" t="s">
        <v>51</v>
      </c>
      <c r="X2915" t="s">
        <v>45</v>
      </c>
      <c r="Y2915" s="1">
        <v>30084</v>
      </c>
      <c r="Z2915">
        <v>2</v>
      </c>
      <c r="AA2915" t="s">
        <v>224</v>
      </c>
      <c r="AB2915" s="40" t="s">
        <v>1799</v>
      </c>
    </row>
    <row r="2916" spans="1:28" x14ac:dyDescent="0.25">
      <c r="A2916">
        <v>99912915</v>
      </c>
      <c r="B2916" t="s">
        <v>32</v>
      </c>
      <c r="C2916" t="s">
        <v>64</v>
      </c>
      <c r="D2916" t="s">
        <v>65</v>
      </c>
      <c r="G2916" t="s">
        <v>48</v>
      </c>
      <c r="H2916">
        <v>1</v>
      </c>
      <c r="K2916" t="s">
        <v>300</v>
      </c>
      <c r="L2916" t="s">
        <v>301</v>
      </c>
      <c r="M2916" t="s">
        <v>131</v>
      </c>
      <c r="N2916">
        <v>21</v>
      </c>
      <c r="P2916" t="s">
        <v>41</v>
      </c>
      <c r="Q2916" t="s">
        <v>49</v>
      </c>
      <c r="R2916" t="str">
        <f>"0560001"</f>
        <v>0560001</v>
      </c>
      <c r="S2916" t="s">
        <v>304</v>
      </c>
      <c r="T2916" t="s">
        <v>300</v>
      </c>
      <c r="U2916" t="s">
        <v>301</v>
      </c>
      <c r="V2916" t="s">
        <v>131</v>
      </c>
      <c r="W2916" t="s">
        <v>51</v>
      </c>
      <c r="X2916" t="s">
        <v>45</v>
      </c>
      <c r="Y2916" s="1">
        <v>30072</v>
      </c>
      <c r="Z2916">
        <v>2</v>
      </c>
      <c r="AA2916" t="s">
        <v>301</v>
      </c>
      <c r="AB2916" s="40" t="s">
        <v>1799</v>
      </c>
    </row>
    <row r="2917" spans="1:28" x14ac:dyDescent="0.25">
      <c r="A2917">
        <v>99912916</v>
      </c>
      <c r="B2917" t="s">
        <v>56</v>
      </c>
      <c r="C2917" t="s">
        <v>33</v>
      </c>
      <c r="D2917" t="s">
        <v>34</v>
      </c>
      <c r="G2917" t="s">
        <v>48</v>
      </c>
      <c r="H2917">
        <v>6</v>
      </c>
      <c r="K2917" t="s">
        <v>345</v>
      </c>
      <c r="L2917" t="s">
        <v>346</v>
      </c>
      <c r="M2917" t="s">
        <v>131</v>
      </c>
      <c r="N2917">
        <v>21</v>
      </c>
      <c r="P2917" t="s">
        <v>41</v>
      </c>
      <c r="Q2917" t="s">
        <v>42</v>
      </c>
      <c r="R2917" t="str">
        <f>"0590906"</f>
        <v>0590906</v>
      </c>
      <c r="S2917" t="s">
        <v>361</v>
      </c>
      <c r="T2917" t="s">
        <v>345</v>
      </c>
      <c r="U2917" t="s">
        <v>346</v>
      </c>
      <c r="V2917" t="s">
        <v>131</v>
      </c>
      <c r="W2917" t="s">
        <v>51</v>
      </c>
      <c r="X2917" t="s">
        <v>45</v>
      </c>
      <c r="Y2917" s="1">
        <v>30065</v>
      </c>
      <c r="Z2917">
        <v>2</v>
      </c>
      <c r="AA2917" t="s">
        <v>346</v>
      </c>
      <c r="AB2917" s="40" t="s">
        <v>1799</v>
      </c>
    </row>
    <row r="2918" spans="1:28" x14ac:dyDescent="0.25">
      <c r="A2918">
        <v>99912917</v>
      </c>
      <c r="B2918" t="s">
        <v>32</v>
      </c>
      <c r="C2918" t="s">
        <v>46</v>
      </c>
      <c r="D2918" t="s">
        <v>47</v>
      </c>
      <c r="G2918" t="s">
        <v>48</v>
      </c>
      <c r="H2918">
        <v>1</v>
      </c>
      <c r="K2918" t="s">
        <v>162</v>
      </c>
      <c r="L2918" t="s">
        <v>158</v>
      </c>
      <c r="M2918" t="s">
        <v>131</v>
      </c>
      <c r="N2918">
        <v>21</v>
      </c>
      <c r="P2918" t="s">
        <v>41</v>
      </c>
      <c r="Q2918" t="s">
        <v>49</v>
      </c>
      <c r="R2918" t="str">
        <f>"0560003"</f>
        <v>0560003</v>
      </c>
      <c r="S2918" t="s">
        <v>181</v>
      </c>
      <c r="T2918" t="s">
        <v>162</v>
      </c>
      <c r="U2918" t="s">
        <v>158</v>
      </c>
      <c r="V2918" t="s">
        <v>131</v>
      </c>
      <c r="W2918" t="s">
        <v>51</v>
      </c>
      <c r="X2918" t="s">
        <v>45</v>
      </c>
      <c r="Y2918" s="1">
        <v>29959</v>
      </c>
      <c r="Z2918">
        <v>2</v>
      </c>
      <c r="AA2918" t="s">
        <v>158</v>
      </c>
      <c r="AB2918" s="40" t="s">
        <v>1799</v>
      </c>
    </row>
    <row r="2919" spans="1:28" x14ac:dyDescent="0.25">
      <c r="A2919">
        <v>99912918</v>
      </c>
      <c r="B2919" t="s">
        <v>32</v>
      </c>
      <c r="C2919" t="s">
        <v>52</v>
      </c>
      <c r="D2919" t="s">
        <v>53</v>
      </c>
      <c r="G2919" t="s">
        <v>35</v>
      </c>
      <c r="H2919">
        <v>1</v>
      </c>
      <c r="I2919">
        <v>0</v>
      </c>
      <c r="J2919" s="1">
        <v>43344</v>
      </c>
      <c r="K2919" t="s">
        <v>223</v>
      </c>
      <c r="L2919" t="s">
        <v>224</v>
      </c>
      <c r="M2919" t="s">
        <v>131</v>
      </c>
      <c r="N2919">
        <v>21</v>
      </c>
      <c r="O2919" s="1">
        <v>43344</v>
      </c>
      <c r="P2919" t="s">
        <v>41</v>
      </c>
      <c r="Q2919" t="s">
        <v>42</v>
      </c>
      <c r="R2919" t="str">
        <f>"0580206"</f>
        <v>0580206</v>
      </c>
      <c r="S2919" t="s">
        <v>237</v>
      </c>
      <c r="T2919" t="s">
        <v>223</v>
      </c>
      <c r="U2919" t="s">
        <v>224</v>
      </c>
      <c r="V2919" t="s">
        <v>131</v>
      </c>
      <c r="W2919" t="s">
        <v>51</v>
      </c>
      <c r="X2919" t="s">
        <v>45</v>
      </c>
      <c r="Y2919" s="1">
        <v>29952</v>
      </c>
      <c r="Z2919">
        <v>2</v>
      </c>
      <c r="AA2919" t="s">
        <v>224</v>
      </c>
      <c r="AB2919" s="40" t="s">
        <v>1799</v>
      </c>
    </row>
    <row r="2920" spans="1:28" x14ac:dyDescent="0.25">
      <c r="A2920">
        <v>99912919</v>
      </c>
      <c r="B2920" t="s">
        <v>32</v>
      </c>
      <c r="C2920" t="s">
        <v>82</v>
      </c>
      <c r="D2920" t="s">
        <v>83</v>
      </c>
      <c r="G2920" t="s">
        <v>48</v>
      </c>
      <c r="H2920">
        <v>1</v>
      </c>
      <c r="K2920" t="s">
        <v>345</v>
      </c>
      <c r="L2920" t="s">
        <v>346</v>
      </c>
      <c r="M2920" t="s">
        <v>131</v>
      </c>
      <c r="N2920">
        <v>21</v>
      </c>
      <c r="P2920" t="s">
        <v>41</v>
      </c>
      <c r="Q2920" t="s">
        <v>42</v>
      </c>
      <c r="R2920" t="str">
        <f>"0590906"</f>
        <v>0590906</v>
      </c>
      <c r="S2920" t="s">
        <v>361</v>
      </c>
      <c r="T2920" t="s">
        <v>345</v>
      </c>
      <c r="U2920" t="s">
        <v>346</v>
      </c>
      <c r="V2920" t="s">
        <v>131</v>
      </c>
      <c r="W2920" t="s">
        <v>51</v>
      </c>
      <c r="X2920" t="s">
        <v>45</v>
      </c>
      <c r="Y2920" s="1">
        <v>29952</v>
      </c>
      <c r="Z2920">
        <v>2</v>
      </c>
      <c r="AA2920" t="s">
        <v>346</v>
      </c>
      <c r="AB2920" s="40" t="s">
        <v>1799</v>
      </c>
    </row>
    <row r="2921" spans="1:28" x14ac:dyDescent="0.25">
      <c r="A2921">
        <v>99912920</v>
      </c>
      <c r="B2921" t="s">
        <v>32</v>
      </c>
      <c r="C2921" t="s">
        <v>64</v>
      </c>
      <c r="D2921" t="s">
        <v>65</v>
      </c>
      <c r="G2921" t="s">
        <v>35</v>
      </c>
      <c r="H2921">
        <v>1</v>
      </c>
      <c r="K2921" t="s">
        <v>963</v>
      </c>
      <c r="L2921" t="s">
        <v>964</v>
      </c>
      <c r="M2921" t="s">
        <v>938</v>
      </c>
      <c r="N2921">
        <v>21</v>
      </c>
      <c r="P2921" t="s">
        <v>41</v>
      </c>
      <c r="Q2921" t="s">
        <v>75</v>
      </c>
      <c r="R2921" t="str">
        <f>"7061000"</f>
        <v>7061000</v>
      </c>
      <c r="S2921" t="s">
        <v>962</v>
      </c>
      <c r="T2921" t="s">
        <v>963</v>
      </c>
      <c r="U2921" t="s">
        <v>964</v>
      </c>
      <c r="V2921" t="s">
        <v>938</v>
      </c>
      <c r="W2921" t="s">
        <v>165</v>
      </c>
      <c r="X2921" t="s">
        <v>45</v>
      </c>
      <c r="Y2921" s="1">
        <v>29952</v>
      </c>
      <c r="Z2921">
        <v>1</v>
      </c>
      <c r="AA2921" t="s">
        <v>964</v>
      </c>
      <c r="AB2921" s="40" t="s">
        <v>1799</v>
      </c>
    </row>
    <row r="2922" spans="1:28" x14ac:dyDescent="0.25">
      <c r="A2922">
        <v>99912921</v>
      </c>
      <c r="B2922" t="s">
        <v>32</v>
      </c>
      <c r="C2922" t="s">
        <v>46</v>
      </c>
      <c r="D2922" t="s">
        <v>47</v>
      </c>
      <c r="G2922" t="s">
        <v>35</v>
      </c>
      <c r="H2922">
        <v>1</v>
      </c>
      <c r="I2922">
        <v>0</v>
      </c>
      <c r="J2922" s="1">
        <v>43344</v>
      </c>
      <c r="K2922" t="s">
        <v>223</v>
      </c>
      <c r="L2922" t="s">
        <v>224</v>
      </c>
      <c r="M2922" t="s">
        <v>131</v>
      </c>
      <c r="N2922">
        <v>21</v>
      </c>
      <c r="O2922" s="1">
        <v>43344</v>
      </c>
      <c r="P2922" t="s">
        <v>41</v>
      </c>
      <c r="Q2922" t="s">
        <v>49</v>
      </c>
      <c r="R2922" t="str">
        <f>"0581207"</f>
        <v>0581207</v>
      </c>
      <c r="S2922" t="s">
        <v>233</v>
      </c>
      <c r="T2922" t="s">
        <v>223</v>
      </c>
      <c r="U2922" t="s">
        <v>224</v>
      </c>
      <c r="V2922" t="s">
        <v>131</v>
      </c>
      <c r="W2922" t="s">
        <v>51</v>
      </c>
      <c r="X2922" t="s">
        <v>45</v>
      </c>
      <c r="Y2922" s="1">
        <v>29928</v>
      </c>
      <c r="Z2922">
        <v>2</v>
      </c>
      <c r="AA2922" t="s">
        <v>224</v>
      </c>
      <c r="AB2922" s="40" t="s">
        <v>1799</v>
      </c>
    </row>
    <row r="2923" spans="1:28" x14ac:dyDescent="0.25">
      <c r="A2923">
        <v>99912922</v>
      </c>
      <c r="B2923" t="s">
        <v>56</v>
      </c>
      <c r="C2923" t="s">
        <v>52</v>
      </c>
      <c r="D2923" t="s">
        <v>53</v>
      </c>
      <c r="G2923" t="s">
        <v>48</v>
      </c>
      <c r="H2923">
        <v>1</v>
      </c>
      <c r="K2923" t="s">
        <v>223</v>
      </c>
      <c r="L2923" t="s">
        <v>224</v>
      </c>
      <c r="M2923" t="s">
        <v>131</v>
      </c>
      <c r="N2923">
        <v>21</v>
      </c>
      <c r="P2923" t="s">
        <v>41</v>
      </c>
      <c r="Q2923" t="s">
        <v>49</v>
      </c>
      <c r="R2923" t="str">
        <f>"0581202"</f>
        <v>0581202</v>
      </c>
      <c r="S2923" t="s">
        <v>248</v>
      </c>
      <c r="T2923" t="s">
        <v>223</v>
      </c>
      <c r="U2923" t="s">
        <v>224</v>
      </c>
      <c r="V2923" t="s">
        <v>131</v>
      </c>
      <c r="W2923" t="s">
        <v>51</v>
      </c>
      <c r="X2923" t="s">
        <v>45</v>
      </c>
      <c r="Y2923" s="1">
        <v>29912</v>
      </c>
      <c r="Z2923">
        <v>2</v>
      </c>
      <c r="AA2923" t="s">
        <v>224</v>
      </c>
      <c r="AB2923" s="40" t="s">
        <v>1799</v>
      </c>
    </row>
    <row r="2924" spans="1:28" x14ac:dyDescent="0.25">
      <c r="A2924">
        <v>99912923</v>
      </c>
      <c r="B2924" t="s">
        <v>32</v>
      </c>
      <c r="C2924" t="s">
        <v>64</v>
      </c>
      <c r="D2924" t="s">
        <v>65</v>
      </c>
      <c r="G2924" t="s">
        <v>35</v>
      </c>
      <c r="H2924">
        <v>1</v>
      </c>
      <c r="I2924" t="s">
        <v>1069</v>
      </c>
      <c r="J2924" s="1">
        <v>43344</v>
      </c>
      <c r="K2924" t="s">
        <v>1051</v>
      </c>
      <c r="L2924" t="s">
        <v>1052</v>
      </c>
      <c r="M2924" t="s">
        <v>1053</v>
      </c>
      <c r="N2924">
        <v>21</v>
      </c>
      <c r="O2924" s="1">
        <v>43344</v>
      </c>
      <c r="P2924" t="s">
        <v>41</v>
      </c>
      <c r="Q2924" t="s">
        <v>49</v>
      </c>
      <c r="R2924" t="str">
        <f>"2060004"</f>
        <v>2060004</v>
      </c>
      <c r="S2924" t="s">
        <v>1059</v>
      </c>
      <c r="T2924" t="s">
        <v>1051</v>
      </c>
      <c r="U2924" t="s">
        <v>1052</v>
      </c>
      <c r="V2924" t="s">
        <v>1053</v>
      </c>
      <c r="W2924" t="s">
        <v>55</v>
      </c>
      <c r="X2924" t="s">
        <v>45</v>
      </c>
      <c r="Y2924" s="1">
        <v>29910</v>
      </c>
      <c r="Z2924">
        <v>2</v>
      </c>
      <c r="AA2924" t="s">
        <v>1052</v>
      </c>
      <c r="AB2924" s="40" t="s">
        <v>1799</v>
      </c>
    </row>
    <row r="2925" spans="1:28" x14ac:dyDescent="0.25">
      <c r="A2925">
        <v>99912924</v>
      </c>
      <c r="B2925" t="s">
        <v>32</v>
      </c>
      <c r="C2925" t="s">
        <v>52</v>
      </c>
      <c r="D2925" t="s">
        <v>53</v>
      </c>
      <c r="G2925" t="s">
        <v>48</v>
      </c>
      <c r="H2925">
        <v>1</v>
      </c>
      <c r="K2925" t="s">
        <v>223</v>
      </c>
      <c r="L2925" t="s">
        <v>224</v>
      </c>
      <c r="M2925" t="s">
        <v>131</v>
      </c>
      <c r="N2925">
        <v>21</v>
      </c>
      <c r="P2925" t="s">
        <v>41</v>
      </c>
      <c r="Q2925" t="s">
        <v>49</v>
      </c>
      <c r="R2925" t="str">
        <f>"0581200"</f>
        <v>0581200</v>
      </c>
      <c r="S2925" t="s">
        <v>238</v>
      </c>
      <c r="T2925" t="s">
        <v>223</v>
      </c>
      <c r="U2925" t="s">
        <v>224</v>
      </c>
      <c r="V2925" t="s">
        <v>131</v>
      </c>
      <c r="W2925" t="s">
        <v>51</v>
      </c>
      <c r="X2925" t="s">
        <v>45</v>
      </c>
      <c r="Y2925" s="1">
        <v>29850</v>
      </c>
      <c r="Z2925">
        <v>2</v>
      </c>
      <c r="AA2925" t="s">
        <v>224</v>
      </c>
      <c r="AB2925" s="40" t="s">
        <v>1799</v>
      </c>
    </row>
    <row r="2926" spans="1:28" x14ac:dyDescent="0.25">
      <c r="A2926">
        <v>99912925</v>
      </c>
      <c r="B2926" t="s">
        <v>32</v>
      </c>
      <c r="C2926" t="s">
        <v>58</v>
      </c>
      <c r="D2926" t="s">
        <v>59</v>
      </c>
      <c r="G2926" t="s">
        <v>48</v>
      </c>
      <c r="H2926">
        <v>7</v>
      </c>
      <c r="K2926" t="s">
        <v>1268</v>
      </c>
      <c r="L2926" t="s">
        <v>1269</v>
      </c>
      <c r="M2926" t="s">
        <v>1270</v>
      </c>
      <c r="N2926">
        <v>21</v>
      </c>
      <c r="O2926" s="1">
        <v>43344</v>
      </c>
      <c r="P2926" t="s">
        <v>41</v>
      </c>
      <c r="Q2926" t="s">
        <v>42</v>
      </c>
      <c r="R2926" t="str">
        <f>"1980055"</f>
        <v>1980055</v>
      </c>
      <c r="S2926" t="s">
        <v>1285</v>
      </c>
      <c r="T2926" t="s">
        <v>1268</v>
      </c>
      <c r="U2926" t="s">
        <v>1269</v>
      </c>
      <c r="V2926" t="s">
        <v>1270</v>
      </c>
      <c r="W2926" t="s">
        <v>51</v>
      </c>
      <c r="X2926" t="s">
        <v>45</v>
      </c>
      <c r="Y2926" s="1">
        <v>29846</v>
      </c>
      <c r="Z2926">
        <v>2</v>
      </c>
      <c r="AA2926" t="s">
        <v>1269</v>
      </c>
      <c r="AB2926" s="40" t="s">
        <v>1799</v>
      </c>
    </row>
    <row r="2927" spans="1:28" x14ac:dyDescent="0.25">
      <c r="A2927">
        <v>99912926</v>
      </c>
      <c r="B2927" t="s">
        <v>32</v>
      </c>
      <c r="C2927" t="s">
        <v>64</v>
      </c>
      <c r="D2927" t="s">
        <v>65</v>
      </c>
      <c r="G2927" t="s">
        <v>48</v>
      </c>
      <c r="H2927">
        <v>1</v>
      </c>
      <c r="K2927" t="s">
        <v>162</v>
      </c>
      <c r="L2927" t="s">
        <v>158</v>
      </c>
      <c r="M2927" t="s">
        <v>131</v>
      </c>
      <c r="N2927">
        <v>21</v>
      </c>
      <c r="P2927" t="s">
        <v>41</v>
      </c>
      <c r="Q2927" t="s">
        <v>49</v>
      </c>
      <c r="R2927" t="str">
        <f>"0581325"</f>
        <v>0581325</v>
      </c>
      <c r="S2927" t="s">
        <v>169</v>
      </c>
      <c r="T2927" t="s">
        <v>162</v>
      </c>
      <c r="U2927" t="s">
        <v>158</v>
      </c>
      <c r="V2927" t="s">
        <v>131</v>
      </c>
      <c r="W2927" t="s">
        <v>51</v>
      </c>
      <c r="X2927" t="s">
        <v>45</v>
      </c>
      <c r="Y2927" s="1">
        <v>29830</v>
      </c>
      <c r="Z2927">
        <v>2</v>
      </c>
      <c r="AA2927" t="s">
        <v>158</v>
      </c>
      <c r="AB2927" s="40" t="s">
        <v>1799</v>
      </c>
    </row>
    <row r="2928" spans="1:28" x14ac:dyDescent="0.25">
      <c r="A2928">
        <v>99912927</v>
      </c>
      <c r="B2928" t="s">
        <v>56</v>
      </c>
      <c r="C2928" t="s">
        <v>85</v>
      </c>
      <c r="D2928" t="s">
        <v>86</v>
      </c>
      <c r="G2928" t="s">
        <v>48</v>
      </c>
      <c r="H2928">
        <v>4</v>
      </c>
      <c r="K2928" t="s">
        <v>345</v>
      </c>
      <c r="L2928" t="s">
        <v>346</v>
      </c>
      <c r="M2928" t="s">
        <v>131</v>
      </c>
      <c r="N2928">
        <v>21</v>
      </c>
      <c r="P2928" t="s">
        <v>41</v>
      </c>
      <c r="Q2928" t="s">
        <v>49</v>
      </c>
      <c r="R2928" t="str">
        <f>"0591906"</f>
        <v>0591906</v>
      </c>
      <c r="S2928" t="s">
        <v>350</v>
      </c>
      <c r="T2928" t="s">
        <v>345</v>
      </c>
      <c r="U2928" t="s">
        <v>346</v>
      </c>
      <c r="V2928" t="s">
        <v>131</v>
      </c>
      <c r="W2928" t="s">
        <v>51</v>
      </c>
      <c r="X2928" t="s">
        <v>45</v>
      </c>
      <c r="Y2928" s="1">
        <v>29830</v>
      </c>
      <c r="Z2928">
        <v>2</v>
      </c>
      <c r="AA2928" t="s">
        <v>346</v>
      </c>
      <c r="AB2928" s="40" t="s">
        <v>1799</v>
      </c>
    </row>
    <row r="2929" spans="1:28" x14ac:dyDescent="0.25">
      <c r="A2929">
        <v>99912928</v>
      </c>
      <c r="B2929" t="s">
        <v>56</v>
      </c>
      <c r="C2929" t="s">
        <v>52</v>
      </c>
      <c r="D2929" t="s">
        <v>53</v>
      </c>
      <c r="G2929" t="s">
        <v>48</v>
      </c>
      <c r="H2929">
        <v>1</v>
      </c>
      <c r="K2929" t="s">
        <v>223</v>
      </c>
      <c r="L2929" t="s">
        <v>224</v>
      </c>
      <c r="M2929" t="s">
        <v>131</v>
      </c>
      <c r="N2929">
        <v>21</v>
      </c>
      <c r="P2929" t="s">
        <v>41</v>
      </c>
      <c r="Q2929" t="s">
        <v>42</v>
      </c>
      <c r="R2929" t="str">
        <f>"0580204"</f>
        <v>0580204</v>
      </c>
      <c r="S2929" t="s">
        <v>235</v>
      </c>
      <c r="T2929" t="s">
        <v>223</v>
      </c>
      <c r="U2929" t="s">
        <v>224</v>
      </c>
      <c r="V2929" t="s">
        <v>131</v>
      </c>
      <c r="W2929" t="s">
        <v>51</v>
      </c>
      <c r="X2929" t="s">
        <v>45</v>
      </c>
      <c r="Y2929" s="1">
        <v>29798</v>
      </c>
      <c r="Z2929">
        <v>2</v>
      </c>
      <c r="AA2929" t="s">
        <v>224</v>
      </c>
      <c r="AB2929" s="40" t="s">
        <v>1799</v>
      </c>
    </row>
    <row r="2930" spans="1:28" x14ac:dyDescent="0.25">
      <c r="A2930">
        <v>99912929</v>
      </c>
      <c r="B2930" t="s">
        <v>32</v>
      </c>
      <c r="C2930" t="s">
        <v>46</v>
      </c>
      <c r="D2930" t="s">
        <v>47</v>
      </c>
      <c r="G2930" t="s">
        <v>35</v>
      </c>
      <c r="H2930">
        <v>1</v>
      </c>
      <c r="I2930">
        <v>15576</v>
      </c>
      <c r="J2930" s="1">
        <v>43353</v>
      </c>
      <c r="K2930" t="s">
        <v>300</v>
      </c>
      <c r="L2930" t="s">
        <v>301</v>
      </c>
      <c r="M2930" t="s">
        <v>131</v>
      </c>
      <c r="N2930">
        <v>21</v>
      </c>
      <c r="O2930" s="1">
        <v>43353</v>
      </c>
      <c r="P2930" t="s">
        <v>41</v>
      </c>
      <c r="Q2930" t="s">
        <v>42</v>
      </c>
      <c r="R2930" t="str">
        <f>"0580106"</f>
        <v>0580106</v>
      </c>
      <c r="S2930" t="s">
        <v>306</v>
      </c>
      <c r="T2930" t="s">
        <v>300</v>
      </c>
      <c r="U2930" t="s">
        <v>301</v>
      </c>
      <c r="V2930" t="s">
        <v>131</v>
      </c>
      <c r="W2930" t="s">
        <v>55</v>
      </c>
      <c r="X2930" t="s">
        <v>45</v>
      </c>
      <c r="Y2930" s="1">
        <v>29771</v>
      </c>
      <c r="Z2930">
        <v>2</v>
      </c>
      <c r="AA2930" t="s">
        <v>301</v>
      </c>
      <c r="AB2930" s="40" t="s">
        <v>1799</v>
      </c>
    </row>
    <row r="2931" spans="1:28" x14ac:dyDescent="0.25">
      <c r="A2931">
        <v>99912930</v>
      </c>
      <c r="B2931" t="s">
        <v>56</v>
      </c>
      <c r="C2931" t="s">
        <v>79</v>
      </c>
      <c r="D2931" t="s">
        <v>80</v>
      </c>
      <c r="G2931" t="s">
        <v>35</v>
      </c>
      <c r="H2931">
        <v>1</v>
      </c>
      <c r="K2931" t="s">
        <v>223</v>
      </c>
      <c r="L2931" t="s">
        <v>224</v>
      </c>
      <c r="M2931" t="s">
        <v>131</v>
      </c>
      <c r="N2931">
        <v>21</v>
      </c>
      <c r="P2931" t="s">
        <v>41</v>
      </c>
      <c r="Q2931" t="s">
        <v>49</v>
      </c>
      <c r="R2931" t="str">
        <f>"0591901"</f>
        <v>0591901</v>
      </c>
      <c r="S2931" t="s">
        <v>230</v>
      </c>
      <c r="T2931" t="s">
        <v>223</v>
      </c>
      <c r="U2931" t="s">
        <v>224</v>
      </c>
      <c r="V2931" t="s">
        <v>131</v>
      </c>
      <c r="W2931" t="s">
        <v>51</v>
      </c>
      <c r="X2931" t="s">
        <v>45</v>
      </c>
      <c r="Y2931" s="1">
        <v>29726</v>
      </c>
      <c r="Z2931">
        <v>2</v>
      </c>
      <c r="AA2931" t="s">
        <v>224</v>
      </c>
      <c r="AB2931" s="40" t="s">
        <v>1799</v>
      </c>
    </row>
    <row r="2932" spans="1:28" x14ac:dyDescent="0.25">
      <c r="A2932">
        <v>99912931</v>
      </c>
      <c r="B2932" t="s">
        <v>32</v>
      </c>
      <c r="C2932" t="s">
        <v>85</v>
      </c>
      <c r="D2932" t="s">
        <v>86</v>
      </c>
      <c r="G2932" t="s">
        <v>35</v>
      </c>
      <c r="H2932">
        <v>1</v>
      </c>
      <c r="K2932" t="s">
        <v>1546</v>
      </c>
      <c r="L2932" t="s">
        <v>1547</v>
      </c>
      <c r="M2932" t="s">
        <v>1548</v>
      </c>
      <c r="N2932">
        <v>21</v>
      </c>
      <c r="P2932" t="s">
        <v>41</v>
      </c>
      <c r="Q2932" t="s">
        <v>42</v>
      </c>
      <c r="R2932" t="str">
        <f>"1080010"</f>
        <v>1080010</v>
      </c>
      <c r="S2932" t="s">
        <v>1549</v>
      </c>
      <c r="T2932" t="s">
        <v>1546</v>
      </c>
      <c r="U2932" t="s">
        <v>1547</v>
      </c>
      <c r="V2932" t="s">
        <v>1548</v>
      </c>
      <c r="W2932" t="s">
        <v>51</v>
      </c>
      <c r="X2932" t="s">
        <v>45</v>
      </c>
      <c r="Y2932" s="1">
        <v>29691</v>
      </c>
      <c r="Z2932">
        <v>2</v>
      </c>
      <c r="AA2932" t="s">
        <v>1547</v>
      </c>
      <c r="AB2932" s="40" t="s">
        <v>1799</v>
      </c>
    </row>
    <row r="2933" spans="1:28" x14ac:dyDescent="0.25">
      <c r="A2933">
        <v>99912932</v>
      </c>
      <c r="B2933" t="s">
        <v>56</v>
      </c>
      <c r="C2933" t="s">
        <v>46</v>
      </c>
      <c r="D2933" t="s">
        <v>47</v>
      </c>
      <c r="G2933" t="s">
        <v>48</v>
      </c>
      <c r="H2933">
        <v>1</v>
      </c>
      <c r="K2933" t="s">
        <v>345</v>
      </c>
      <c r="L2933" t="s">
        <v>346</v>
      </c>
      <c r="M2933" t="s">
        <v>131</v>
      </c>
      <c r="N2933">
        <v>21</v>
      </c>
      <c r="P2933" t="s">
        <v>41</v>
      </c>
      <c r="Q2933" t="s">
        <v>42</v>
      </c>
      <c r="R2933" t="str">
        <f>"0590906"</f>
        <v>0590906</v>
      </c>
      <c r="S2933" t="s">
        <v>361</v>
      </c>
      <c r="T2933" t="s">
        <v>345</v>
      </c>
      <c r="U2933" t="s">
        <v>346</v>
      </c>
      <c r="V2933" t="s">
        <v>131</v>
      </c>
      <c r="W2933" t="s">
        <v>51</v>
      </c>
      <c r="X2933" t="s">
        <v>45</v>
      </c>
      <c r="Y2933" s="1">
        <v>29689</v>
      </c>
      <c r="Z2933">
        <v>2</v>
      </c>
      <c r="AA2933" t="s">
        <v>346</v>
      </c>
      <c r="AB2933" s="40" t="s">
        <v>1799</v>
      </c>
    </row>
    <row r="2934" spans="1:28" x14ac:dyDescent="0.25">
      <c r="A2934">
        <v>99912933</v>
      </c>
      <c r="B2934" t="s">
        <v>32</v>
      </c>
      <c r="C2934" t="s">
        <v>52</v>
      </c>
      <c r="D2934" t="s">
        <v>53</v>
      </c>
      <c r="G2934" t="s">
        <v>35</v>
      </c>
      <c r="H2934">
        <v>1</v>
      </c>
      <c r="K2934" t="s">
        <v>162</v>
      </c>
      <c r="L2934" t="s">
        <v>158</v>
      </c>
      <c r="M2934" t="s">
        <v>131</v>
      </c>
      <c r="N2934">
        <v>21</v>
      </c>
      <c r="P2934" t="s">
        <v>41</v>
      </c>
      <c r="Q2934" t="s">
        <v>49</v>
      </c>
      <c r="R2934" t="str">
        <f>"0505050"</f>
        <v>0505050</v>
      </c>
      <c r="S2934" t="s">
        <v>163</v>
      </c>
      <c r="T2934" t="s">
        <v>162</v>
      </c>
      <c r="U2934" t="s">
        <v>158</v>
      </c>
      <c r="V2934" t="s">
        <v>131</v>
      </c>
      <c r="W2934" t="s">
        <v>51</v>
      </c>
      <c r="X2934" t="s">
        <v>45</v>
      </c>
      <c r="Y2934" s="1">
        <v>29686</v>
      </c>
      <c r="Z2934">
        <v>2</v>
      </c>
      <c r="AA2934" t="s">
        <v>158</v>
      </c>
      <c r="AB2934" s="40" t="s">
        <v>1799</v>
      </c>
    </row>
    <row r="2935" spans="1:28" x14ac:dyDescent="0.25">
      <c r="A2935">
        <v>99912934</v>
      </c>
      <c r="B2935" t="s">
        <v>32</v>
      </c>
      <c r="C2935" t="s">
        <v>46</v>
      </c>
      <c r="D2935" t="s">
        <v>47</v>
      </c>
      <c r="G2935" t="s">
        <v>35</v>
      </c>
      <c r="H2935">
        <v>1</v>
      </c>
      <c r="I2935" t="s">
        <v>1559</v>
      </c>
      <c r="J2935" s="1">
        <v>43344</v>
      </c>
      <c r="K2935" t="s">
        <v>1546</v>
      </c>
      <c r="L2935" t="s">
        <v>1547</v>
      </c>
      <c r="M2935" t="s">
        <v>1548</v>
      </c>
      <c r="N2935">
        <v>21</v>
      </c>
      <c r="O2935" s="1">
        <v>43344</v>
      </c>
      <c r="P2935" t="s">
        <v>41</v>
      </c>
      <c r="Q2935" t="s">
        <v>49</v>
      </c>
      <c r="R2935" t="str">
        <f>"1060001"</f>
        <v>1060001</v>
      </c>
      <c r="S2935" t="s">
        <v>1553</v>
      </c>
      <c r="T2935" t="s">
        <v>1546</v>
      </c>
      <c r="U2935" t="s">
        <v>1547</v>
      </c>
      <c r="V2935" t="s">
        <v>1548</v>
      </c>
      <c r="W2935" t="s">
        <v>44</v>
      </c>
      <c r="X2935" t="s">
        <v>45</v>
      </c>
      <c r="Y2935" s="1">
        <v>29683</v>
      </c>
      <c r="Z2935">
        <v>2</v>
      </c>
      <c r="AA2935" t="s">
        <v>1547</v>
      </c>
      <c r="AB2935" s="40" t="s">
        <v>1799</v>
      </c>
    </row>
    <row r="2936" spans="1:28" x14ac:dyDescent="0.25">
      <c r="A2936">
        <v>99912935</v>
      </c>
      <c r="B2936" t="s">
        <v>56</v>
      </c>
      <c r="C2936" t="s">
        <v>33</v>
      </c>
      <c r="D2936" t="s">
        <v>34</v>
      </c>
      <c r="G2936" t="s">
        <v>48</v>
      </c>
      <c r="H2936">
        <v>1</v>
      </c>
      <c r="K2936" t="s">
        <v>162</v>
      </c>
      <c r="L2936" t="s">
        <v>158</v>
      </c>
      <c r="M2936" t="s">
        <v>131</v>
      </c>
      <c r="N2936">
        <v>21</v>
      </c>
      <c r="P2936" t="s">
        <v>41</v>
      </c>
      <c r="Q2936" t="s">
        <v>42</v>
      </c>
      <c r="R2936" t="str">
        <f>"0580310"</f>
        <v>0580310</v>
      </c>
      <c r="S2936" t="s">
        <v>173</v>
      </c>
      <c r="T2936" t="s">
        <v>162</v>
      </c>
      <c r="U2936" t="s">
        <v>158</v>
      </c>
      <c r="V2936" t="s">
        <v>131</v>
      </c>
      <c r="W2936" t="s">
        <v>51</v>
      </c>
      <c r="X2936" t="s">
        <v>45</v>
      </c>
      <c r="Y2936" s="1">
        <v>29671</v>
      </c>
      <c r="Z2936">
        <v>2</v>
      </c>
      <c r="AA2936" t="s">
        <v>158</v>
      </c>
      <c r="AB2936" s="40" t="s">
        <v>1799</v>
      </c>
    </row>
    <row r="2937" spans="1:28" x14ac:dyDescent="0.25">
      <c r="A2937">
        <v>99912936</v>
      </c>
      <c r="B2937" t="s">
        <v>56</v>
      </c>
      <c r="C2937" t="s">
        <v>52</v>
      </c>
      <c r="D2937" t="s">
        <v>53</v>
      </c>
      <c r="G2937" t="s">
        <v>48</v>
      </c>
      <c r="H2937">
        <v>1</v>
      </c>
      <c r="K2937" t="s">
        <v>223</v>
      </c>
      <c r="L2937" t="s">
        <v>224</v>
      </c>
      <c r="M2937" t="s">
        <v>131</v>
      </c>
      <c r="N2937">
        <v>21</v>
      </c>
      <c r="P2937" t="s">
        <v>41</v>
      </c>
      <c r="Q2937" t="s">
        <v>49</v>
      </c>
      <c r="R2937" t="str">
        <f>"0581200"</f>
        <v>0581200</v>
      </c>
      <c r="S2937" t="s">
        <v>238</v>
      </c>
      <c r="T2937" t="s">
        <v>223</v>
      </c>
      <c r="U2937" t="s">
        <v>224</v>
      </c>
      <c r="V2937" t="s">
        <v>131</v>
      </c>
      <c r="W2937" t="s">
        <v>51</v>
      </c>
      <c r="X2937" t="s">
        <v>45</v>
      </c>
      <c r="Y2937" s="1">
        <v>29652</v>
      </c>
      <c r="Z2937">
        <v>2</v>
      </c>
      <c r="AA2937" t="s">
        <v>224</v>
      </c>
      <c r="AB2937" s="40" t="s">
        <v>1799</v>
      </c>
    </row>
    <row r="2938" spans="1:28" x14ac:dyDescent="0.25">
      <c r="A2938">
        <v>99912937</v>
      </c>
      <c r="B2938" t="s">
        <v>32</v>
      </c>
      <c r="C2938" t="s">
        <v>46</v>
      </c>
      <c r="D2938" t="s">
        <v>47</v>
      </c>
      <c r="G2938" t="s">
        <v>35</v>
      </c>
      <c r="H2938">
        <v>1</v>
      </c>
      <c r="K2938" t="s">
        <v>223</v>
      </c>
      <c r="L2938" t="s">
        <v>224</v>
      </c>
      <c r="M2938" t="s">
        <v>131</v>
      </c>
      <c r="N2938">
        <v>21</v>
      </c>
      <c r="P2938" t="s">
        <v>41</v>
      </c>
      <c r="Q2938" t="s">
        <v>42</v>
      </c>
      <c r="R2938" t="str">
        <f>"0590903"</f>
        <v>0590903</v>
      </c>
      <c r="S2938" t="s">
        <v>226</v>
      </c>
      <c r="T2938" t="s">
        <v>223</v>
      </c>
      <c r="U2938" t="s">
        <v>224</v>
      </c>
      <c r="V2938" t="s">
        <v>131</v>
      </c>
      <c r="W2938" t="s">
        <v>51</v>
      </c>
      <c r="X2938" t="s">
        <v>45</v>
      </c>
      <c r="Y2938" s="1">
        <v>29645</v>
      </c>
      <c r="Z2938">
        <v>2</v>
      </c>
      <c r="AA2938" t="s">
        <v>224</v>
      </c>
      <c r="AB2938" s="40" t="s">
        <v>1799</v>
      </c>
    </row>
    <row r="2939" spans="1:28" x14ac:dyDescent="0.25">
      <c r="A2939">
        <v>99912938</v>
      </c>
      <c r="B2939" t="s">
        <v>56</v>
      </c>
      <c r="C2939" t="s">
        <v>58</v>
      </c>
      <c r="D2939" t="s">
        <v>59</v>
      </c>
      <c r="G2939" t="s">
        <v>48</v>
      </c>
      <c r="H2939">
        <v>1</v>
      </c>
      <c r="K2939" t="s">
        <v>223</v>
      </c>
      <c r="L2939" t="s">
        <v>224</v>
      </c>
      <c r="M2939" t="s">
        <v>131</v>
      </c>
      <c r="N2939">
        <v>21</v>
      </c>
      <c r="P2939" t="s">
        <v>41</v>
      </c>
      <c r="Q2939" t="s">
        <v>42</v>
      </c>
      <c r="R2939" t="str">
        <f>"0580200"</f>
        <v>0580200</v>
      </c>
      <c r="S2939" t="s">
        <v>245</v>
      </c>
      <c r="T2939" t="s">
        <v>223</v>
      </c>
      <c r="U2939" t="s">
        <v>224</v>
      </c>
      <c r="V2939" t="s">
        <v>131</v>
      </c>
      <c r="W2939" t="s">
        <v>51</v>
      </c>
      <c r="X2939" t="s">
        <v>45</v>
      </c>
      <c r="Y2939" s="1">
        <v>29603</v>
      </c>
      <c r="Z2939">
        <v>2</v>
      </c>
      <c r="AA2939" t="s">
        <v>224</v>
      </c>
      <c r="AB2939" s="40" t="s">
        <v>1799</v>
      </c>
    </row>
    <row r="2940" spans="1:28" x14ac:dyDescent="0.25">
      <c r="A2940">
        <v>99912939</v>
      </c>
      <c r="B2940" t="s">
        <v>56</v>
      </c>
      <c r="C2940" t="s">
        <v>46</v>
      </c>
      <c r="D2940" t="s">
        <v>47</v>
      </c>
      <c r="G2940" t="s">
        <v>48</v>
      </c>
      <c r="H2940">
        <v>1</v>
      </c>
      <c r="K2940" t="s">
        <v>223</v>
      </c>
      <c r="L2940" t="s">
        <v>224</v>
      </c>
      <c r="M2940" t="s">
        <v>131</v>
      </c>
      <c r="N2940">
        <v>21</v>
      </c>
      <c r="P2940" t="s">
        <v>41</v>
      </c>
      <c r="Q2940" t="s">
        <v>49</v>
      </c>
      <c r="R2940" t="str">
        <f>"0581206"</f>
        <v>0581206</v>
      </c>
      <c r="S2940" t="s">
        <v>232</v>
      </c>
      <c r="T2940" t="s">
        <v>223</v>
      </c>
      <c r="U2940" t="s">
        <v>224</v>
      </c>
      <c r="V2940" t="s">
        <v>131</v>
      </c>
      <c r="W2940" t="s">
        <v>51</v>
      </c>
      <c r="X2940" t="s">
        <v>45</v>
      </c>
      <c r="Y2940" s="1">
        <v>29602</v>
      </c>
      <c r="Z2940">
        <v>2</v>
      </c>
      <c r="AA2940" t="s">
        <v>224</v>
      </c>
      <c r="AB2940" s="40" t="s">
        <v>1799</v>
      </c>
    </row>
    <row r="2941" spans="1:28" x14ac:dyDescent="0.25">
      <c r="A2941">
        <v>99912940</v>
      </c>
      <c r="B2941" t="s">
        <v>32</v>
      </c>
      <c r="C2941" t="s">
        <v>46</v>
      </c>
      <c r="D2941" t="s">
        <v>47</v>
      </c>
      <c r="G2941" t="s">
        <v>48</v>
      </c>
      <c r="H2941">
        <v>1</v>
      </c>
      <c r="K2941" t="s">
        <v>300</v>
      </c>
      <c r="L2941" t="s">
        <v>301</v>
      </c>
      <c r="M2941" t="s">
        <v>131</v>
      </c>
      <c r="N2941">
        <v>21</v>
      </c>
      <c r="P2941" t="s">
        <v>41</v>
      </c>
      <c r="Q2941" t="s">
        <v>49</v>
      </c>
      <c r="R2941" t="str">
        <f>"0560022"</f>
        <v>0560022</v>
      </c>
      <c r="S2941" t="s">
        <v>314</v>
      </c>
      <c r="T2941" t="s">
        <v>300</v>
      </c>
      <c r="U2941" t="s">
        <v>301</v>
      </c>
      <c r="V2941" t="s">
        <v>131</v>
      </c>
      <c r="W2941" t="s">
        <v>51</v>
      </c>
      <c r="X2941" t="s">
        <v>45</v>
      </c>
      <c r="Y2941" s="1">
        <v>29587</v>
      </c>
      <c r="Z2941">
        <v>2</v>
      </c>
      <c r="AA2941" t="s">
        <v>301</v>
      </c>
      <c r="AB2941" s="40" t="s">
        <v>1799</v>
      </c>
    </row>
    <row r="2942" spans="1:28" x14ac:dyDescent="0.25">
      <c r="A2942">
        <v>99912941</v>
      </c>
      <c r="B2942" t="s">
        <v>56</v>
      </c>
      <c r="C2942" t="s">
        <v>61</v>
      </c>
      <c r="D2942" t="s">
        <v>62</v>
      </c>
      <c r="G2942" t="s">
        <v>35</v>
      </c>
      <c r="H2942">
        <v>1</v>
      </c>
      <c r="K2942" t="s">
        <v>1128</v>
      </c>
      <c r="L2942" t="s">
        <v>1129</v>
      </c>
      <c r="M2942" t="s">
        <v>1130</v>
      </c>
      <c r="N2942">
        <v>21</v>
      </c>
      <c r="P2942" t="s">
        <v>41</v>
      </c>
      <c r="Q2942" t="s">
        <v>42</v>
      </c>
      <c r="R2942" t="str">
        <f>"3180010"</f>
        <v>3180010</v>
      </c>
      <c r="S2942" t="s">
        <v>1132</v>
      </c>
      <c r="T2942" t="s">
        <v>1128</v>
      </c>
      <c r="U2942" t="s">
        <v>1129</v>
      </c>
      <c r="V2942" t="s">
        <v>1130</v>
      </c>
      <c r="W2942" t="s">
        <v>51</v>
      </c>
      <c r="X2942" t="s">
        <v>45</v>
      </c>
      <c r="Y2942" s="1">
        <v>29587</v>
      </c>
      <c r="Z2942">
        <v>2</v>
      </c>
      <c r="AA2942" t="s">
        <v>1129</v>
      </c>
      <c r="AB2942" s="40" t="s">
        <v>1799</v>
      </c>
    </row>
    <row r="2943" spans="1:28" x14ac:dyDescent="0.25">
      <c r="A2943">
        <v>99912942</v>
      </c>
      <c r="B2943" t="s">
        <v>32</v>
      </c>
      <c r="C2943" t="s">
        <v>71</v>
      </c>
      <c r="D2943" t="s">
        <v>72</v>
      </c>
      <c r="G2943" t="s">
        <v>48</v>
      </c>
      <c r="H2943">
        <v>6</v>
      </c>
      <c r="K2943" t="s">
        <v>1268</v>
      </c>
      <c r="L2943" t="s">
        <v>1269</v>
      </c>
      <c r="M2943" t="s">
        <v>1270</v>
      </c>
      <c r="N2943">
        <v>21</v>
      </c>
      <c r="O2943" s="1">
        <v>43344</v>
      </c>
      <c r="P2943" t="s">
        <v>41</v>
      </c>
      <c r="Q2943" t="s">
        <v>49</v>
      </c>
      <c r="R2943" t="str">
        <f>"1981055"</f>
        <v>1981055</v>
      </c>
      <c r="S2943" t="s">
        <v>1280</v>
      </c>
      <c r="T2943" t="s">
        <v>1268</v>
      </c>
      <c r="U2943" t="s">
        <v>1269</v>
      </c>
      <c r="V2943" t="s">
        <v>1270</v>
      </c>
      <c r="W2943" t="s">
        <v>51</v>
      </c>
      <c r="X2943" t="s">
        <v>45</v>
      </c>
      <c r="Y2943" s="1">
        <v>29587</v>
      </c>
      <c r="Z2943">
        <v>2</v>
      </c>
      <c r="AA2943" t="s">
        <v>1269</v>
      </c>
      <c r="AB2943" s="40" t="s">
        <v>1799</v>
      </c>
    </row>
    <row r="2944" spans="1:28" x14ac:dyDescent="0.25">
      <c r="A2944">
        <v>99912943</v>
      </c>
      <c r="B2944" t="s">
        <v>32</v>
      </c>
      <c r="C2944" t="s">
        <v>46</v>
      </c>
      <c r="D2944" t="s">
        <v>47</v>
      </c>
      <c r="G2944" t="s">
        <v>35</v>
      </c>
      <c r="H2944">
        <v>1</v>
      </c>
      <c r="K2944" t="s">
        <v>1268</v>
      </c>
      <c r="L2944" t="s">
        <v>1269</v>
      </c>
      <c r="M2944" t="s">
        <v>1270</v>
      </c>
      <c r="N2944">
        <v>21</v>
      </c>
      <c r="P2944" t="s">
        <v>41</v>
      </c>
      <c r="Q2944" t="s">
        <v>49</v>
      </c>
      <c r="R2944" t="str">
        <f>"1960007"</f>
        <v>1960007</v>
      </c>
      <c r="S2944" t="s">
        <v>1303</v>
      </c>
      <c r="T2944" t="s">
        <v>1268</v>
      </c>
      <c r="U2944" t="s">
        <v>1269</v>
      </c>
      <c r="V2944" t="s">
        <v>1270</v>
      </c>
      <c r="W2944" t="s">
        <v>51</v>
      </c>
      <c r="X2944" t="s">
        <v>45</v>
      </c>
      <c r="Y2944" s="1">
        <v>29587</v>
      </c>
      <c r="Z2944">
        <v>2</v>
      </c>
      <c r="AA2944" t="s">
        <v>1269</v>
      </c>
      <c r="AB2944" s="40" t="s">
        <v>1799</v>
      </c>
    </row>
    <row r="2945" spans="1:28" x14ac:dyDescent="0.25">
      <c r="A2945">
        <v>99912944</v>
      </c>
      <c r="B2945" t="s">
        <v>56</v>
      </c>
      <c r="C2945" t="s">
        <v>82</v>
      </c>
      <c r="D2945" t="s">
        <v>83</v>
      </c>
      <c r="G2945" t="s">
        <v>35</v>
      </c>
      <c r="H2945">
        <v>1</v>
      </c>
      <c r="K2945" t="s">
        <v>223</v>
      </c>
      <c r="L2945" t="s">
        <v>224</v>
      </c>
      <c r="M2945" t="s">
        <v>131</v>
      </c>
      <c r="N2945">
        <v>21</v>
      </c>
      <c r="P2945" t="s">
        <v>41</v>
      </c>
      <c r="Q2945" t="s">
        <v>42</v>
      </c>
      <c r="R2945" t="str">
        <f>"0590901"</f>
        <v>0590901</v>
      </c>
      <c r="S2945" t="s">
        <v>242</v>
      </c>
      <c r="T2945" t="s">
        <v>223</v>
      </c>
      <c r="U2945" t="s">
        <v>224</v>
      </c>
      <c r="V2945" t="s">
        <v>131</v>
      </c>
      <c r="W2945" t="s">
        <v>51</v>
      </c>
      <c r="X2945" t="s">
        <v>45</v>
      </c>
      <c r="Y2945" s="1">
        <v>29567</v>
      </c>
      <c r="Z2945">
        <v>2</v>
      </c>
      <c r="AA2945" t="s">
        <v>224</v>
      </c>
      <c r="AB2945" s="40" t="s">
        <v>1799</v>
      </c>
    </row>
    <row r="2946" spans="1:28" x14ac:dyDescent="0.25">
      <c r="A2946">
        <v>99912945</v>
      </c>
      <c r="B2946" t="s">
        <v>32</v>
      </c>
      <c r="C2946" t="s">
        <v>64</v>
      </c>
      <c r="D2946" t="s">
        <v>65</v>
      </c>
      <c r="G2946" t="s">
        <v>35</v>
      </c>
      <c r="H2946">
        <v>1</v>
      </c>
      <c r="I2946">
        <v>0</v>
      </c>
      <c r="J2946" s="1">
        <v>43344</v>
      </c>
      <c r="K2946" t="s">
        <v>223</v>
      </c>
      <c r="L2946" t="s">
        <v>224</v>
      </c>
      <c r="M2946" t="s">
        <v>131</v>
      </c>
      <c r="N2946">
        <v>21</v>
      </c>
      <c r="O2946" s="1">
        <v>43344</v>
      </c>
      <c r="P2946" t="s">
        <v>41</v>
      </c>
      <c r="Q2946" t="s">
        <v>42</v>
      </c>
      <c r="R2946" t="str">
        <f>"0580206"</f>
        <v>0580206</v>
      </c>
      <c r="S2946" t="s">
        <v>237</v>
      </c>
      <c r="T2946" t="s">
        <v>223</v>
      </c>
      <c r="U2946" t="s">
        <v>224</v>
      </c>
      <c r="V2946" t="s">
        <v>131</v>
      </c>
      <c r="W2946" t="s">
        <v>51</v>
      </c>
      <c r="X2946" t="s">
        <v>45</v>
      </c>
      <c r="Y2946" s="1">
        <v>29566</v>
      </c>
      <c r="Z2946">
        <v>2</v>
      </c>
      <c r="AA2946" t="s">
        <v>224</v>
      </c>
      <c r="AB2946" s="40" t="s">
        <v>1799</v>
      </c>
    </row>
    <row r="2947" spans="1:28" x14ac:dyDescent="0.25">
      <c r="A2947">
        <v>99912946</v>
      </c>
      <c r="B2947" t="s">
        <v>56</v>
      </c>
      <c r="C2947" t="s">
        <v>46</v>
      </c>
      <c r="D2947" t="s">
        <v>47</v>
      </c>
      <c r="G2947" t="s">
        <v>48</v>
      </c>
      <c r="H2947">
        <v>1</v>
      </c>
      <c r="K2947" t="s">
        <v>223</v>
      </c>
      <c r="L2947" t="s">
        <v>224</v>
      </c>
      <c r="M2947" t="s">
        <v>131</v>
      </c>
      <c r="N2947">
        <v>21</v>
      </c>
      <c r="P2947" t="s">
        <v>41</v>
      </c>
      <c r="Q2947" t="s">
        <v>49</v>
      </c>
      <c r="R2947" t="str">
        <f>"0581200"</f>
        <v>0581200</v>
      </c>
      <c r="S2947" t="s">
        <v>238</v>
      </c>
      <c r="T2947" t="s">
        <v>223</v>
      </c>
      <c r="U2947" t="s">
        <v>224</v>
      </c>
      <c r="V2947" t="s">
        <v>131</v>
      </c>
      <c r="W2947" t="s">
        <v>51</v>
      </c>
      <c r="X2947" t="s">
        <v>45</v>
      </c>
      <c r="Y2947" s="1">
        <v>29478</v>
      </c>
      <c r="Z2947">
        <v>2</v>
      </c>
      <c r="AA2947" t="s">
        <v>224</v>
      </c>
      <c r="AB2947" s="40" t="s">
        <v>1799</v>
      </c>
    </row>
    <row r="2948" spans="1:28" x14ac:dyDescent="0.25">
      <c r="A2948">
        <v>99912947</v>
      </c>
      <c r="B2948" t="s">
        <v>56</v>
      </c>
      <c r="C2948" t="s">
        <v>46</v>
      </c>
      <c r="D2948" t="s">
        <v>47</v>
      </c>
      <c r="G2948" t="s">
        <v>48</v>
      </c>
      <c r="H2948">
        <v>1</v>
      </c>
      <c r="K2948" t="s">
        <v>223</v>
      </c>
      <c r="L2948" t="s">
        <v>224</v>
      </c>
      <c r="M2948" t="s">
        <v>131</v>
      </c>
      <c r="N2948">
        <v>21</v>
      </c>
      <c r="P2948" t="s">
        <v>41</v>
      </c>
      <c r="Q2948" t="s">
        <v>49</v>
      </c>
      <c r="R2948" t="str">
        <f>"0581206"</f>
        <v>0581206</v>
      </c>
      <c r="S2948" t="s">
        <v>232</v>
      </c>
      <c r="T2948" t="s">
        <v>223</v>
      </c>
      <c r="U2948" t="s">
        <v>224</v>
      </c>
      <c r="V2948" t="s">
        <v>131</v>
      </c>
      <c r="W2948" t="s">
        <v>51</v>
      </c>
      <c r="X2948" t="s">
        <v>45</v>
      </c>
      <c r="Y2948" s="1">
        <v>29459</v>
      </c>
      <c r="Z2948">
        <v>2</v>
      </c>
      <c r="AA2948" t="s">
        <v>224</v>
      </c>
      <c r="AB2948" s="40" t="s">
        <v>1799</v>
      </c>
    </row>
    <row r="2949" spans="1:28" x14ac:dyDescent="0.25">
      <c r="A2949">
        <v>99912948</v>
      </c>
      <c r="B2949" t="s">
        <v>32</v>
      </c>
      <c r="C2949" t="s">
        <v>85</v>
      </c>
      <c r="D2949" t="s">
        <v>86</v>
      </c>
      <c r="G2949" t="s">
        <v>48</v>
      </c>
      <c r="H2949">
        <v>1</v>
      </c>
      <c r="K2949" t="s">
        <v>1546</v>
      </c>
      <c r="L2949" t="s">
        <v>1547</v>
      </c>
      <c r="M2949" t="s">
        <v>1548</v>
      </c>
      <c r="N2949">
        <v>21</v>
      </c>
      <c r="P2949" t="s">
        <v>41</v>
      </c>
      <c r="Q2949" t="s">
        <v>49</v>
      </c>
      <c r="R2949" t="str">
        <f>"1060001"</f>
        <v>1060001</v>
      </c>
      <c r="S2949" t="s">
        <v>1553</v>
      </c>
      <c r="T2949" t="s">
        <v>1546</v>
      </c>
      <c r="U2949" t="s">
        <v>1547</v>
      </c>
      <c r="V2949" t="s">
        <v>1548</v>
      </c>
      <c r="W2949" t="s">
        <v>51</v>
      </c>
      <c r="X2949" t="s">
        <v>45</v>
      </c>
      <c r="Y2949" s="1">
        <v>29451</v>
      </c>
      <c r="Z2949">
        <v>2</v>
      </c>
      <c r="AA2949" t="s">
        <v>1547</v>
      </c>
      <c r="AB2949" s="40" t="s">
        <v>1799</v>
      </c>
    </row>
    <row r="2950" spans="1:28" x14ac:dyDescent="0.25">
      <c r="A2950">
        <v>99912949</v>
      </c>
      <c r="B2950" t="s">
        <v>56</v>
      </c>
      <c r="C2950" t="s">
        <v>46</v>
      </c>
      <c r="D2950" t="s">
        <v>47</v>
      </c>
      <c r="G2950" t="s">
        <v>48</v>
      </c>
      <c r="H2950">
        <v>1</v>
      </c>
      <c r="K2950" t="s">
        <v>345</v>
      </c>
      <c r="L2950" t="s">
        <v>346</v>
      </c>
      <c r="M2950" t="s">
        <v>131</v>
      </c>
      <c r="N2950">
        <v>21</v>
      </c>
      <c r="P2950" t="s">
        <v>41</v>
      </c>
      <c r="Q2950" t="s">
        <v>49</v>
      </c>
      <c r="R2950" t="str">
        <f>"0591906"</f>
        <v>0591906</v>
      </c>
      <c r="S2950" t="s">
        <v>350</v>
      </c>
      <c r="T2950" t="s">
        <v>345</v>
      </c>
      <c r="U2950" t="s">
        <v>346</v>
      </c>
      <c r="V2950" t="s">
        <v>131</v>
      </c>
      <c r="W2950" t="s">
        <v>51</v>
      </c>
      <c r="X2950" t="s">
        <v>45</v>
      </c>
      <c r="Y2950" s="1">
        <v>29432</v>
      </c>
      <c r="Z2950">
        <v>2</v>
      </c>
      <c r="AA2950" t="s">
        <v>346</v>
      </c>
      <c r="AB2950" s="40" t="s">
        <v>1799</v>
      </c>
    </row>
    <row r="2951" spans="1:28" x14ac:dyDescent="0.25">
      <c r="A2951">
        <v>99912950</v>
      </c>
      <c r="B2951" t="s">
        <v>32</v>
      </c>
      <c r="C2951" t="s">
        <v>46</v>
      </c>
      <c r="D2951" t="s">
        <v>47</v>
      </c>
      <c r="G2951" t="s">
        <v>48</v>
      </c>
      <c r="H2951">
        <v>1</v>
      </c>
      <c r="I2951" t="s">
        <v>1311</v>
      </c>
      <c r="K2951" t="s">
        <v>1306</v>
      </c>
      <c r="L2951" t="s">
        <v>1307</v>
      </c>
      <c r="M2951" t="s">
        <v>1270</v>
      </c>
      <c r="N2951">
        <v>21</v>
      </c>
      <c r="P2951" t="s">
        <v>41</v>
      </c>
      <c r="Q2951" t="s">
        <v>49</v>
      </c>
      <c r="R2951" t="str">
        <f>"1991913"</f>
        <v>1991913</v>
      </c>
      <c r="S2951" t="s">
        <v>1310</v>
      </c>
      <c r="T2951" t="s">
        <v>1306</v>
      </c>
      <c r="U2951" t="s">
        <v>1307</v>
      </c>
      <c r="V2951" t="s">
        <v>1270</v>
      </c>
      <c r="W2951" t="s">
        <v>51</v>
      </c>
      <c r="X2951" t="s">
        <v>45</v>
      </c>
      <c r="Y2951" s="1">
        <v>29407</v>
      </c>
      <c r="Z2951">
        <v>2</v>
      </c>
      <c r="AA2951" t="s">
        <v>1307</v>
      </c>
      <c r="AB2951" s="40" t="s">
        <v>1799</v>
      </c>
    </row>
    <row r="2952" spans="1:28" x14ac:dyDescent="0.25">
      <c r="A2952">
        <v>99912951</v>
      </c>
      <c r="B2952" t="s">
        <v>32</v>
      </c>
      <c r="C2952" t="s">
        <v>52</v>
      </c>
      <c r="D2952" t="s">
        <v>53</v>
      </c>
      <c r="G2952" t="s">
        <v>48</v>
      </c>
      <c r="H2952">
        <v>1</v>
      </c>
      <c r="I2952" t="s">
        <v>393</v>
      </c>
      <c r="J2952" s="1">
        <v>41981</v>
      </c>
      <c r="K2952" t="s">
        <v>380</v>
      </c>
      <c r="L2952" t="s">
        <v>381</v>
      </c>
      <c r="M2952" t="s">
        <v>131</v>
      </c>
      <c r="N2952">
        <v>21</v>
      </c>
      <c r="O2952" s="1">
        <v>41981</v>
      </c>
      <c r="P2952" t="s">
        <v>41</v>
      </c>
      <c r="Q2952" t="s">
        <v>42</v>
      </c>
      <c r="R2952" t="str">
        <f>"0590909"</f>
        <v>0590909</v>
      </c>
      <c r="S2952" t="s">
        <v>388</v>
      </c>
      <c r="T2952" t="s">
        <v>380</v>
      </c>
      <c r="U2952" t="s">
        <v>381</v>
      </c>
      <c r="V2952" t="s">
        <v>131</v>
      </c>
      <c r="W2952" t="s">
        <v>51</v>
      </c>
      <c r="X2952" t="s">
        <v>45</v>
      </c>
      <c r="Y2952" s="1">
        <v>29405</v>
      </c>
      <c r="Z2952">
        <v>2</v>
      </c>
      <c r="AA2952" t="s">
        <v>381</v>
      </c>
      <c r="AB2952" s="40" t="s">
        <v>1799</v>
      </c>
    </row>
    <row r="2953" spans="1:28" x14ac:dyDescent="0.25">
      <c r="A2953">
        <v>99912952</v>
      </c>
      <c r="B2953" t="s">
        <v>32</v>
      </c>
      <c r="C2953" t="s">
        <v>143</v>
      </c>
      <c r="D2953" t="s">
        <v>144</v>
      </c>
      <c r="G2953" t="s">
        <v>35</v>
      </c>
      <c r="H2953">
        <v>1</v>
      </c>
      <c r="I2953">
        <v>0</v>
      </c>
      <c r="J2953" s="1">
        <v>43344</v>
      </c>
      <c r="K2953" t="s">
        <v>223</v>
      </c>
      <c r="L2953" t="s">
        <v>224</v>
      </c>
      <c r="M2953" t="s">
        <v>131</v>
      </c>
      <c r="N2953">
        <v>21</v>
      </c>
      <c r="O2953" s="1">
        <v>43344</v>
      </c>
      <c r="P2953" t="s">
        <v>41</v>
      </c>
      <c r="Q2953" t="s">
        <v>42</v>
      </c>
      <c r="R2953" t="str">
        <f>"0580206"</f>
        <v>0580206</v>
      </c>
      <c r="S2953" t="s">
        <v>237</v>
      </c>
      <c r="T2953" t="s">
        <v>223</v>
      </c>
      <c r="U2953" t="s">
        <v>224</v>
      </c>
      <c r="V2953" t="s">
        <v>131</v>
      </c>
      <c r="W2953" t="s">
        <v>51</v>
      </c>
      <c r="X2953" t="s">
        <v>45</v>
      </c>
      <c r="Y2953" s="1">
        <v>29333</v>
      </c>
      <c r="Z2953">
        <v>2</v>
      </c>
      <c r="AA2953" t="s">
        <v>224</v>
      </c>
      <c r="AB2953" s="40" t="s">
        <v>1799</v>
      </c>
    </row>
    <row r="2954" spans="1:28" x14ac:dyDescent="0.25">
      <c r="A2954">
        <v>99912953</v>
      </c>
      <c r="B2954" t="s">
        <v>56</v>
      </c>
      <c r="C2954" t="s">
        <v>61</v>
      </c>
      <c r="D2954" t="s">
        <v>62</v>
      </c>
      <c r="E2954" t="s">
        <v>151</v>
      </c>
      <c r="F2954" t="s">
        <v>152</v>
      </c>
      <c r="G2954" t="s">
        <v>35</v>
      </c>
      <c r="H2954">
        <v>1</v>
      </c>
      <c r="I2954" t="s">
        <v>348</v>
      </c>
      <c r="J2954" s="1">
        <v>43344</v>
      </c>
      <c r="K2954" t="s">
        <v>345</v>
      </c>
      <c r="L2954" t="s">
        <v>346</v>
      </c>
      <c r="M2954" t="s">
        <v>131</v>
      </c>
      <c r="N2954">
        <v>21</v>
      </c>
      <c r="O2954" s="1">
        <v>43344</v>
      </c>
      <c r="P2954" t="s">
        <v>41</v>
      </c>
      <c r="Q2954" t="s">
        <v>49</v>
      </c>
      <c r="R2954" t="str">
        <f>"0581155"</f>
        <v>0581155</v>
      </c>
      <c r="S2954" t="s">
        <v>349</v>
      </c>
      <c r="T2954" t="s">
        <v>345</v>
      </c>
      <c r="U2954" t="s">
        <v>346</v>
      </c>
      <c r="V2954" t="s">
        <v>131</v>
      </c>
      <c r="W2954" t="s">
        <v>51</v>
      </c>
      <c r="X2954" t="s">
        <v>45</v>
      </c>
      <c r="Y2954" s="1">
        <v>29302</v>
      </c>
      <c r="Z2954">
        <v>2</v>
      </c>
      <c r="AA2954" t="s">
        <v>346</v>
      </c>
      <c r="AB2954" s="40" t="s">
        <v>1799</v>
      </c>
    </row>
    <row r="2955" spans="1:28" x14ac:dyDescent="0.25">
      <c r="A2955">
        <v>99912954</v>
      </c>
      <c r="B2955" t="s">
        <v>32</v>
      </c>
      <c r="C2955" t="s">
        <v>64</v>
      </c>
      <c r="D2955" t="s">
        <v>65</v>
      </c>
      <c r="G2955" t="s">
        <v>35</v>
      </c>
      <c r="H2955">
        <v>1</v>
      </c>
      <c r="K2955" t="s">
        <v>1626</v>
      </c>
      <c r="L2955" t="s">
        <v>1627</v>
      </c>
      <c r="M2955" t="s">
        <v>1592</v>
      </c>
      <c r="N2955">
        <v>21</v>
      </c>
      <c r="P2955" t="s">
        <v>41</v>
      </c>
      <c r="Q2955" t="s">
        <v>49</v>
      </c>
      <c r="R2955" t="str">
        <f>"3681015"</f>
        <v>3681015</v>
      </c>
      <c r="S2955" t="s">
        <v>1629</v>
      </c>
      <c r="T2955" t="s">
        <v>1626</v>
      </c>
      <c r="U2955" t="s">
        <v>1627</v>
      </c>
      <c r="V2955" t="s">
        <v>1592</v>
      </c>
      <c r="W2955" t="s">
        <v>51</v>
      </c>
      <c r="X2955" t="s">
        <v>45</v>
      </c>
      <c r="Y2955" s="1">
        <v>29267</v>
      </c>
      <c r="Z2955">
        <v>2</v>
      </c>
      <c r="AA2955" t="s">
        <v>1627</v>
      </c>
      <c r="AB2955" s="40" t="s">
        <v>1799</v>
      </c>
    </row>
    <row r="2956" spans="1:28" x14ac:dyDescent="0.25">
      <c r="A2956">
        <v>99912955</v>
      </c>
      <c r="B2956" t="s">
        <v>32</v>
      </c>
      <c r="C2956" t="s">
        <v>46</v>
      </c>
      <c r="D2956" t="s">
        <v>47</v>
      </c>
      <c r="G2956" t="s">
        <v>48</v>
      </c>
      <c r="H2956">
        <v>1</v>
      </c>
      <c r="K2956" t="s">
        <v>223</v>
      </c>
      <c r="L2956" t="s">
        <v>224</v>
      </c>
      <c r="M2956" t="s">
        <v>131</v>
      </c>
      <c r="N2956">
        <v>21</v>
      </c>
      <c r="P2956" t="s">
        <v>41</v>
      </c>
      <c r="Q2956" t="s">
        <v>49</v>
      </c>
      <c r="R2956" t="str">
        <f>"0581200"</f>
        <v>0581200</v>
      </c>
      <c r="S2956" t="s">
        <v>238</v>
      </c>
      <c r="T2956" t="s">
        <v>223</v>
      </c>
      <c r="U2956" t="s">
        <v>224</v>
      </c>
      <c r="V2956" t="s">
        <v>131</v>
      </c>
      <c r="W2956" t="s">
        <v>51</v>
      </c>
      <c r="X2956" t="s">
        <v>45</v>
      </c>
      <c r="Y2956" s="1">
        <v>29251</v>
      </c>
      <c r="Z2956">
        <v>2</v>
      </c>
      <c r="AA2956" t="s">
        <v>224</v>
      </c>
      <c r="AB2956" s="40" t="s">
        <v>1799</v>
      </c>
    </row>
    <row r="2957" spans="1:28" x14ac:dyDescent="0.25">
      <c r="A2957">
        <v>99912956</v>
      </c>
      <c r="B2957" t="s">
        <v>56</v>
      </c>
      <c r="C2957" t="s">
        <v>46</v>
      </c>
      <c r="D2957" t="s">
        <v>47</v>
      </c>
      <c r="G2957" t="s">
        <v>35</v>
      </c>
      <c r="H2957">
        <v>1</v>
      </c>
      <c r="I2957">
        <v>0</v>
      </c>
      <c r="J2957" s="1">
        <v>43344</v>
      </c>
      <c r="K2957" t="s">
        <v>223</v>
      </c>
      <c r="L2957" t="s">
        <v>224</v>
      </c>
      <c r="M2957" t="s">
        <v>131</v>
      </c>
      <c r="N2957">
        <v>21</v>
      </c>
      <c r="O2957" s="1">
        <v>43344</v>
      </c>
      <c r="P2957" t="s">
        <v>41</v>
      </c>
      <c r="Q2957" t="s">
        <v>42</v>
      </c>
      <c r="R2957" t="str">
        <f>"0580206"</f>
        <v>0580206</v>
      </c>
      <c r="S2957" t="s">
        <v>237</v>
      </c>
      <c r="T2957" t="s">
        <v>223</v>
      </c>
      <c r="U2957" t="s">
        <v>224</v>
      </c>
      <c r="V2957" t="s">
        <v>131</v>
      </c>
      <c r="W2957" t="s">
        <v>51</v>
      </c>
      <c r="X2957" t="s">
        <v>45</v>
      </c>
      <c r="Y2957" s="1">
        <v>29249</v>
      </c>
      <c r="Z2957">
        <v>2</v>
      </c>
      <c r="AA2957" t="s">
        <v>224</v>
      </c>
      <c r="AB2957" s="40" t="s">
        <v>1799</v>
      </c>
    </row>
    <row r="2958" spans="1:28" x14ac:dyDescent="0.25">
      <c r="A2958">
        <v>99912957</v>
      </c>
      <c r="B2958" t="s">
        <v>56</v>
      </c>
      <c r="C2958" t="s">
        <v>46</v>
      </c>
      <c r="D2958" t="s">
        <v>47</v>
      </c>
      <c r="G2958" t="s">
        <v>35</v>
      </c>
      <c r="H2958">
        <v>1</v>
      </c>
      <c r="I2958">
        <v>0</v>
      </c>
      <c r="J2958" s="1">
        <v>43344</v>
      </c>
      <c r="K2958" t="s">
        <v>223</v>
      </c>
      <c r="L2958" t="s">
        <v>224</v>
      </c>
      <c r="M2958" t="s">
        <v>131</v>
      </c>
      <c r="N2958">
        <v>21</v>
      </c>
      <c r="O2958" s="1">
        <v>43344</v>
      </c>
      <c r="P2958" t="s">
        <v>41</v>
      </c>
      <c r="Q2958" t="s">
        <v>42</v>
      </c>
      <c r="R2958" t="str">
        <f>"0580206"</f>
        <v>0580206</v>
      </c>
      <c r="S2958" t="s">
        <v>237</v>
      </c>
      <c r="T2958" t="s">
        <v>223</v>
      </c>
      <c r="U2958" t="s">
        <v>224</v>
      </c>
      <c r="V2958" t="s">
        <v>131</v>
      </c>
      <c r="W2958" t="s">
        <v>51</v>
      </c>
      <c r="X2958" t="s">
        <v>45</v>
      </c>
      <c r="Y2958" s="1">
        <v>29246</v>
      </c>
      <c r="Z2958">
        <v>2</v>
      </c>
      <c r="AA2958" t="s">
        <v>224</v>
      </c>
      <c r="AB2958" s="40" t="s">
        <v>1799</v>
      </c>
    </row>
    <row r="2959" spans="1:28" x14ac:dyDescent="0.25">
      <c r="A2959">
        <v>99912958</v>
      </c>
      <c r="B2959" t="s">
        <v>32</v>
      </c>
      <c r="C2959" t="s">
        <v>46</v>
      </c>
      <c r="D2959" t="s">
        <v>47</v>
      </c>
      <c r="G2959" t="s">
        <v>35</v>
      </c>
      <c r="H2959">
        <v>1</v>
      </c>
      <c r="I2959">
        <v>0</v>
      </c>
      <c r="J2959" s="1">
        <v>43344</v>
      </c>
      <c r="K2959" t="s">
        <v>223</v>
      </c>
      <c r="L2959" t="s">
        <v>224</v>
      </c>
      <c r="M2959" t="s">
        <v>131</v>
      </c>
      <c r="N2959">
        <v>21</v>
      </c>
      <c r="O2959" s="1">
        <v>43344</v>
      </c>
      <c r="P2959" t="s">
        <v>41</v>
      </c>
      <c r="Q2959" t="s">
        <v>42</v>
      </c>
      <c r="R2959" t="str">
        <f>"0580206"</f>
        <v>0580206</v>
      </c>
      <c r="S2959" t="s">
        <v>237</v>
      </c>
      <c r="T2959" t="s">
        <v>223</v>
      </c>
      <c r="U2959" t="s">
        <v>224</v>
      </c>
      <c r="V2959" t="s">
        <v>131</v>
      </c>
      <c r="W2959" t="s">
        <v>51</v>
      </c>
      <c r="X2959" t="s">
        <v>45</v>
      </c>
      <c r="Y2959" s="1">
        <v>29221</v>
      </c>
      <c r="Z2959">
        <v>2</v>
      </c>
      <c r="AA2959" t="s">
        <v>224</v>
      </c>
      <c r="AB2959" s="40" t="s">
        <v>1799</v>
      </c>
    </row>
    <row r="2960" spans="1:28" x14ac:dyDescent="0.25">
      <c r="A2960">
        <v>99912959</v>
      </c>
      <c r="B2960" t="s">
        <v>32</v>
      </c>
      <c r="C2960" t="s">
        <v>46</v>
      </c>
      <c r="D2960" t="s">
        <v>47</v>
      </c>
      <c r="G2960" t="s">
        <v>48</v>
      </c>
      <c r="H2960">
        <v>1</v>
      </c>
      <c r="K2960" t="s">
        <v>345</v>
      </c>
      <c r="L2960" t="s">
        <v>346</v>
      </c>
      <c r="M2960" t="s">
        <v>131</v>
      </c>
      <c r="N2960">
        <v>21</v>
      </c>
      <c r="P2960" t="s">
        <v>41</v>
      </c>
      <c r="Q2960" t="s">
        <v>49</v>
      </c>
      <c r="R2960" t="str">
        <f>"0591906"</f>
        <v>0591906</v>
      </c>
      <c r="S2960" t="s">
        <v>350</v>
      </c>
      <c r="T2960" t="s">
        <v>345</v>
      </c>
      <c r="U2960" t="s">
        <v>346</v>
      </c>
      <c r="V2960" t="s">
        <v>131</v>
      </c>
      <c r="W2960" t="s">
        <v>51</v>
      </c>
      <c r="X2960" t="s">
        <v>45</v>
      </c>
      <c r="Y2960" s="1">
        <v>29221</v>
      </c>
      <c r="Z2960">
        <v>2</v>
      </c>
      <c r="AA2960" t="s">
        <v>346</v>
      </c>
      <c r="AB2960" s="40" t="s">
        <v>1799</v>
      </c>
    </row>
    <row r="2961" spans="1:28" x14ac:dyDescent="0.25">
      <c r="A2961">
        <v>99912960</v>
      </c>
      <c r="B2961" t="s">
        <v>32</v>
      </c>
      <c r="C2961" t="s">
        <v>33</v>
      </c>
      <c r="D2961" t="s">
        <v>34</v>
      </c>
      <c r="G2961" t="s">
        <v>48</v>
      </c>
      <c r="H2961">
        <v>1</v>
      </c>
      <c r="K2961" t="s">
        <v>1268</v>
      </c>
      <c r="L2961" t="s">
        <v>1269</v>
      </c>
      <c r="M2961" t="s">
        <v>1270</v>
      </c>
      <c r="N2961">
        <v>21</v>
      </c>
      <c r="P2961" t="s">
        <v>41</v>
      </c>
      <c r="Q2961" t="s">
        <v>49</v>
      </c>
      <c r="R2961" t="str">
        <f>"1981912"</f>
        <v>1981912</v>
      </c>
      <c r="S2961" t="s">
        <v>1279</v>
      </c>
      <c r="T2961" t="s">
        <v>1268</v>
      </c>
      <c r="U2961" t="s">
        <v>1269</v>
      </c>
      <c r="V2961" t="s">
        <v>1270</v>
      </c>
      <c r="W2961" t="s">
        <v>51</v>
      </c>
      <c r="X2961" t="s">
        <v>45</v>
      </c>
      <c r="Y2961" s="1">
        <v>29221</v>
      </c>
      <c r="Z2961">
        <v>2</v>
      </c>
      <c r="AA2961" t="s">
        <v>1269</v>
      </c>
      <c r="AB2961" s="40" t="s">
        <v>1799</v>
      </c>
    </row>
    <row r="2962" spans="1:28" x14ac:dyDescent="0.25">
      <c r="A2962">
        <v>99912961</v>
      </c>
      <c r="B2962" t="s">
        <v>32</v>
      </c>
      <c r="C2962" t="s">
        <v>46</v>
      </c>
      <c r="D2962" t="s">
        <v>47</v>
      </c>
      <c r="G2962" t="s">
        <v>48</v>
      </c>
      <c r="H2962">
        <v>4</v>
      </c>
      <c r="I2962" t="s">
        <v>1299</v>
      </c>
      <c r="J2962" s="1">
        <v>43344</v>
      </c>
      <c r="K2962" t="s">
        <v>1268</v>
      </c>
      <c r="L2962" t="s">
        <v>1269</v>
      </c>
      <c r="M2962" t="s">
        <v>1270</v>
      </c>
      <c r="N2962">
        <v>21</v>
      </c>
      <c r="O2962" s="1">
        <v>43344</v>
      </c>
      <c r="P2962" t="s">
        <v>41</v>
      </c>
      <c r="Q2962" t="s">
        <v>42</v>
      </c>
      <c r="R2962" t="str">
        <f>"1980060"</f>
        <v>1980060</v>
      </c>
      <c r="S2962" t="s">
        <v>1277</v>
      </c>
      <c r="T2962" t="s">
        <v>1268</v>
      </c>
      <c r="U2962" t="s">
        <v>1269</v>
      </c>
      <c r="V2962" t="s">
        <v>1270</v>
      </c>
      <c r="W2962" t="s">
        <v>51</v>
      </c>
      <c r="X2962" t="s">
        <v>45</v>
      </c>
      <c r="Y2962" s="1">
        <v>29221</v>
      </c>
      <c r="Z2962">
        <v>2</v>
      </c>
      <c r="AA2962" t="s">
        <v>1269</v>
      </c>
      <c r="AB2962" s="40" t="s">
        <v>1799</v>
      </c>
    </row>
    <row r="2963" spans="1:28" x14ac:dyDescent="0.25">
      <c r="A2963">
        <v>99912962</v>
      </c>
      <c r="B2963" t="s">
        <v>32</v>
      </c>
      <c r="C2963" t="s">
        <v>90</v>
      </c>
      <c r="D2963" t="s">
        <v>91</v>
      </c>
      <c r="G2963" t="s">
        <v>48</v>
      </c>
      <c r="H2963">
        <v>1</v>
      </c>
      <c r="K2963" t="s">
        <v>268</v>
      </c>
      <c r="L2963" t="s">
        <v>269</v>
      </c>
      <c r="M2963" t="s">
        <v>131</v>
      </c>
      <c r="N2963">
        <v>21</v>
      </c>
      <c r="P2963" t="s">
        <v>41</v>
      </c>
      <c r="Q2963" t="s">
        <v>95</v>
      </c>
      <c r="R2963" t="str">
        <f>"7052001"</f>
        <v>7052001</v>
      </c>
      <c r="S2963" t="s">
        <v>576</v>
      </c>
      <c r="T2963" t="s">
        <v>268</v>
      </c>
      <c r="U2963" t="s">
        <v>269</v>
      </c>
      <c r="V2963" t="s">
        <v>131</v>
      </c>
      <c r="W2963" t="s">
        <v>51</v>
      </c>
      <c r="X2963" t="s">
        <v>45</v>
      </c>
      <c r="Y2963" s="1">
        <v>29174</v>
      </c>
      <c r="Z2963">
        <v>1</v>
      </c>
      <c r="AA2963" t="s">
        <v>269</v>
      </c>
      <c r="AB2963" s="40" t="s">
        <v>1799</v>
      </c>
    </row>
    <row r="2964" spans="1:28" x14ac:dyDescent="0.25">
      <c r="A2964">
        <v>99912963</v>
      </c>
      <c r="B2964" t="s">
        <v>32</v>
      </c>
      <c r="C2964" t="s">
        <v>46</v>
      </c>
      <c r="D2964" t="s">
        <v>47</v>
      </c>
      <c r="G2964" t="s">
        <v>48</v>
      </c>
      <c r="H2964">
        <v>1</v>
      </c>
      <c r="K2964" t="s">
        <v>223</v>
      </c>
      <c r="L2964" t="s">
        <v>224</v>
      </c>
      <c r="M2964" t="s">
        <v>131</v>
      </c>
      <c r="N2964">
        <v>21</v>
      </c>
      <c r="P2964" t="s">
        <v>41</v>
      </c>
      <c r="Q2964" t="s">
        <v>49</v>
      </c>
      <c r="R2964" t="str">
        <f>"0581204"</f>
        <v>0581204</v>
      </c>
      <c r="S2964" t="s">
        <v>249</v>
      </c>
      <c r="T2964" t="s">
        <v>223</v>
      </c>
      <c r="U2964" t="s">
        <v>224</v>
      </c>
      <c r="V2964" t="s">
        <v>131</v>
      </c>
      <c r="W2964" t="s">
        <v>51</v>
      </c>
      <c r="X2964" t="s">
        <v>45</v>
      </c>
      <c r="Y2964" s="1">
        <v>29152</v>
      </c>
      <c r="Z2964">
        <v>2</v>
      </c>
      <c r="AA2964" t="s">
        <v>224</v>
      </c>
      <c r="AB2964" s="40" t="s">
        <v>1799</v>
      </c>
    </row>
    <row r="2965" spans="1:28" x14ac:dyDescent="0.25">
      <c r="A2965">
        <v>99912964</v>
      </c>
      <c r="B2965" t="s">
        <v>32</v>
      </c>
      <c r="C2965" t="s">
        <v>46</v>
      </c>
      <c r="D2965" t="s">
        <v>47</v>
      </c>
      <c r="G2965" t="s">
        <v>35</v>
      </c>
      <c r="H2965">
        <v>1</v>
      </c>
      <c r="K2965" t="s">
        <v>1546</v>
      </c>
      <c r="L2965" t="s">
        <v>1547</v>
      </c>
      <c r="M2965" t="s">
        <v>1548</v>
      </c>
      <c r="N2965">
        <v>21</v>
      </c>
      <c r="P2965" t="s">
        <v>41</v>
      </c>
      <c r="Q2965" t="s">
        <v>42</v>
      </c>
      <c r="R2965" t="str">
        <f>"1080010"</f>
        <v>1080010</v>
      </c>
      <c r="S2965" t="s">
        <v>1549</v>
      </c>
      <c r="T2965" t="s">
        <v>1546</v>
      </c>
      <c r="U2965" t="s">
        <v>1547</v>
      </c>
      <c r="V2965" t="s">
        <v>1548</v>
      </c>
      <c r="W2965" t="s">
        <v>51</v>
      </c>
      <c r="X2965" t="s">
        <v>45</v>
      </c>
      <c r="Y2965" s="1">
        <v>29121</v>
      </c>
      <c r="Z2965">
        <v>2</v>
      </c>
      <c r="AA2965" t="s">
        <v>1547</v>
      </c>
      <c r="AB2965" s="40" t="s">
        <v>1799</v>
      </c>
    </row>
    <row r="2966" spans="1:28" x14ac:dyDescent="0.25">
      <c r="A2966">
        <v>99912965</v>
      </c>
      <c r="B2966" t="s">
        <v>32</v>
      </c>
      <c r="C2966" t="s">
        <v>82</v>
      </c>
      <c r="D2966" t="s">
        <v>83</v>
      </c>
      <c r="G2966" t="s">
        <v>35</v>
      </c>
      <c r="H2966">
        <v>1</v>
      </c>
      <c r="K2966" t="s">
        <v>223</v>
      </c>
      <c r="L2966" t="s">
        <v>224</v>
      </c>
      <c r="M2966" t="s">
        <v>131</v>
      </c>
      <c r="N2966">
        <v>21</v>
      </c>
      <c r="P2966" t="s">
        <v>41</v>
      </c>
      <c r="Q2966" t="s">
        <v>49</v>
      </c>
      <c r="R2966" t="str">
        <f>"0581207"</f>
        <v>0581207</v>
      </c>
      <c r="S2966" t="s">
        <v>233</v>
      </c>
      <c r="T2966" t="s">
        <v>223</v>
      </c>
      <c r="U2966" t="s">
        <v>224</v>
      </c>
      <c r="V2966" t="s">
        <v>131</v>
      </c>
      <c r="W2966" t="s">
        <v>165</v>
      </c>
      <c r="X2966" t="s">
        <v>45</v>
      </c>
      <c r="Y2966" s="1">
        <v>29116</v>
      </c>
      <c r="Z2966">
        <v>2</v>
      </c>
      <c r="AA2966" t="s">
        <v>224</v>
      </c>
      <c r="AB2966" s="40" t="s">
        <v>1799</v>
      </c>
    </row>
    <row r="2967" spans="1:28" x14ac:dyDescent="0.25">
      <c r="A2967">
        <v>99912966</v>
      </c>
      <c r="B2967" t="s">
        <v>32</v>
      </c>
      <c r="C2967" t="s">
        <v>52</v>
      </c>
      <c r="D2967" t="s">
        <v>53</v>
      </c>
      <c r="G2967" t="s">
        <v>48</v>
      </c>
      <c r="H2967">
        <v>1</v>
      </c>
      <c r="K2967" t="s">
        <v>380</v>
      </c>
      <c r="L2967" t="s">
        <v>381</v>
      </c>
      <c r="M2967" t="s">
        <v>131</v>
      </c>
      <c r="N2967">
        <v>21</v>
      </c>
      <c r="P2967" t="s">
        <v>41</v>
      </c>
      <c r="Q2967" t="s">
        <v>49</v>
      </c>
      <c r="R2967" t="str">
        <f>"0591908"</f>
        <v>0591908</v>
      </c>
      <c r="S2967" t="s">
        <v>383</v>
      </c>
      <c r="T2967" t="s">
        <v>380</v>
      </c>
      <c r="U2967" t="s">
        <v>381</v>
      </c>
      <c r="V2967" t="s">
        <v>131</v>
      </c>
      <c r="W2967" t="s">
        <v>51</v>
      </c>
      <c r="X2967" t="s">
        <v>45</v>
      </c>
      <c r="Y2967" s="1">
        <v>29078</v>
      </c>
      <c r="Z2967">
        <v>2</v>
      </c>
      <c r="AA2967" t="s">
        <v>381</v>
      </c>
      <c r="AB2967" s="40" t="s">
        <v>1799</v>
      </c>
    </row>
    <row r="2968" spans="1:28" x14ac:dyDescent="0.25">
      <c r="A2968">
        <v>99912967</v>
      </c>
      <c r="B2968" t="s">
        <v>56</v>
      </c>
      <c r="C2968" t="s">
        <v>46</v>
      </c>
      <c r="D2968" t="s">
        <v>47</v>
      </c>
      <c r="G2968" t="s">
        <v>48</v>
      </c>
      <c r="H2968">
        <v>1</v>
      </c>
      <c r="K2968" t="s">
        <v>223</v>
      </c>
      <c r="L2968" t="s">
        <v>224</v>
      </c>
      <c r="M2968" t="s">
        <v>131</v>
      </c>
      <c r="N2968">
        <v>21</v>
      </c>
      <c r="P2968" t="s">
        <v>41</v>
      </c>
      <c r="Q2968" t="s">
        <v>49</v>
      </c>
      <c r="R2968" t="str">
        <f>"0581200"</f>
        <v>0581200</v>
      </c>
      <c r="S2968" t="s">
        <v>238</v>
      </c>
      <c r="T2968" t="s">
        <v>223</v>
      </c>
      <c r="U2968" t="s">
        <v>224</v>
      </c>
      <c r="V2968" t="s">
        <v>131</v>
      </c>
      <c r="W2968" t="s">
        <v>51</v>
      </c>
      <c r="X2968" t="s">
        <v>45</v>
      </c>
      <c r="Y2968" s="1">
        <v>29075</v>
      </c>
      <c r="Z2968">
        <v>2</v>
      </c>
      <c r="AA2968" t="s">
        <v>224</v>
      </c>
      <c r="AB2968" s="40" t="s">
        <v>1799</v>
      </c>
    </row>
    <row r="2969" spans="1:28" x14ac:dyDescent="0.25">
      <c r="A2969">
        <v>99912968</v>
      </c>
      <c r="B2969" t="s">
        <v>56</v>
      </c>
      <c r="C2969" t="s">
        <v>79</v>
      </c>
      <c r="D2969" t="s">
        <v>80</v>
      </c>
      <c r="G2969" t="s">
        <v>35</v>
      </c>
      <c r="H2969">
        <v>3</v>
      </c>
      <c r="K2969" t="s">
        <v>431</v>
      </c>
      <c r="L2969" t="s">
        <v>196</v>
      </c>
      <c r="M2969" t="s">
        <v>131</v>
      </c>
      <c r="N2969">
        <v>21</v>
      </c>
      <c r="P2969" t="s">
        <v>41</v>
      </c>
      <c r="Q2969" t="s">
        <v>75</v>
      </c>
      <c r="R2969" t="str">
        <f>"7521054"</f>
        <v>7521054</v>
      </c>
      <c r="S2969" t="s">
        <v>476</v>
      </c>
      <c r="T2969" t="s">
        <v>431</v>
      </c>
      <c r="U2969" t="s">
        <v>196</v>
      </c>
      <c r="V2969" t="s">
        <v>131</v>
      </c>
      <c r="W2969" t="s">
        <v>51</v>
      </c>
      <c r="X2969" t="s">
        <v>45</v>
      </c>
      <c r="Y2969" s="1">
        <v>29073</v>
      </c>
      <c r="Z2969">
        <v>1</v>
      </c>
      <c r="AA2969" t="s">
        <v>196</v>
      </c>
      <c r="AB2969" s="40" t="s">
        <v>1799</v>
      </c>
    </row>
    <row r="2970" spans="1:28" x14ac:dyDescent="0.25">
      <c r="A2970">
        <v>99912969</v>
      </c>
      <c r="B2970" t="s">
        <v>56</v>
      </c>
      <c r="C2970" t="s">
        <v>58</v>
      </c>
      <c r="D2970" t="s">
        <v>59</v>
      </c>
      <c r="G2970" t="s">
        <v>48</v>
      </c>
      <c r="H2970">
        <v>1</v>
      </c>
      <c r="K2970" t="s">
        <v>936</v>
      </c>
      <c r="L2970" t="s">
        <v>937</v>
      </c>
      <c r="M2970" t="s">
        <v>938</v>
      </c>
      <c r="N2970">
        <v>21</v>
      </c>
      <c r="P2970" t="s">
        <v>41</v>
      </c>
      <c r="Q2970" t="s">
        <v>42</v>
      </c>
      <c r="R2970" t="str">
        <f>"0161003"</f>
        <v>0161003</v>
      </c>
      <c r="S2970" t="s">
        <v>942</v>
      </c>
      <c r="T2970" t="s">
        <v>936</v>
      </c>
      <c r="U2970" t="s">
        <v>937</v>
      </c>
      <c r="V2970" t="s">
        <v>938</v>
      </c>
      <c r="W2970" t="s">
        <v>51</v>
      </c>
      <c r="X2970" t="s">
        <v>45</v>
      </c>
      <c r="Y2970" s="1">
        <v>29069</v>
      </c>
      <c r="Z2970">
        <v>2</v>
      </c>
      <c r="AA2970" t="s">
        <v>937</v>
      </c>
      <c r="AB2970" s="40" t="s">
        <v>1799</v>
      </c>
    </row>
    <row r="2971" spans="1:28" x14ac:dyDescent="0.25">
      <c r="A2971">
        <v>99912970</v>
      </c>
      <c r="B2971" t="s">
        <v>56</v>
      </c>
      <c r="C2971" t="s">
        <v>46</v>
      </c>
      <c r="D2971" t="s">
        <v>47</v>
      </c>
      <c r="G2971" t="s">
        <v>48</v>
      </c>
      <c r="H2971">
        <v>1</v>
      </c>
      <c r="K2971" t="s">
        <v>300</v>
      </c>
      <c r="L2971" t="s">
        <v>301</v>
      </c>
      <c r="M2971" t="s">
        <v>131</v>
      </c>
      <c r="N2971">
        <v>21</v>
      </c>
      <c r="P2971" t="s">
        <v>41</v>
      </c>
      <c r="Q2971" t="s">
        <v>49</v>
      </c>
      <c r="R2971" t="str">
        <f>"0560022"</f>
        <v>0560022</v>
      </c>
      <c r="S2971" t="s">
        <v>314</v>
      </c>
      <c r="T2971" t="s">
        <v>300</v>
      </c>
      <c r="U2971" t="s">
        <v>301</v>
      </c>
      <c r="V2971" t="s">
        <v>131</v>
      </c>
      <c r="W2971" t="s">
        <v>51</v>
      </c>
      <c r="X2971" t="s">
        <v>45</v>
      </c>
      <c r="Y2971" s="1">
        <v>29063</v>
      </c>
      <c r="Z2971">
        <v>2</v>
      </c>
      <c r="AA2971" t="s">
        <v>301</v>
      </c>
      <c r="AB2971" s="40" t="s">
        <v>1799</v>
      </c>
    </row>
    <row r="2972" spans="1:28" x14ac:dyDescent="0.25">
      <c r="A2972">
        <v>99912971</v>
      </c>
      <c r="B2972" t="s">
        <v>32</v>
      </c>
      <c r="C2972" t="s">
        <v>64</v>
      </c>
      <c r="D2972" t="s">
        <v>65</v>
      </c>
      <c r="G2972" t="s">
        <v>48</v>
      </c>
      <c r="H2972">
        <v>1</v>
      </c>
      <c r="K2972" t="s">
        <v>1268</v>
      </c>
      <c r="L2972" t="s">
        <v>1269</v>
      </c>
      <c r="M2972" t="s">
        <v>1270</v>
      </c>
      <c r="N2972">
        <v>21</v>
      </c>
      <c r="P2972" t="s">
        <v>41</v>
      </c>
      <c r="Q2972" t="s">
        <v>42</v>
      </c>
      <c r="R2972" t="str">
        <f>"1990911"</f>
        <v>1990911</v>
      </c>
      <c r="S2972" t="s">
        <v>1276</v>
      </c>
      <c r="T2972" t="s">
        <v>1268</v>
      </c>
      <c r="U2972" t="s">
        <v>1269</v>
      </c>
      <c r="V2972" t="s">
        <v>1270</v>
      </c>
      <c r="W2972" t="s">
        <v>165</v>
      </c>
      <c r="X2972" t="s">
        <v>45</v>
      </c>
      <c r="Y2972" s="1">
        <v>29060</v>
      </c>
      <c r="Z2972">
        <v>2</v>
      </c>
      <c r="AA2972" t="s">
        <v>1269</v>
      </c>
      <c r="AB2972" s="40" t="s">
        <v>1799</v>
      </c>
    </row>
    <row r="2973" spans="1:28" x14ac:dyDescent="0.25">
      <c r="A2973">
        <v>99912972</v>
      </c>
      <c r="B2973" t="s">
        <v>56</v>
      </c>
      <c r="C2973" t="s">
        <v>79</v>
      </c>
      <c r="D2973" t="s">
        <v>80</v>
      </c>
      <c r="G2973" t="s">
        <v>48</v>
      </c>
      <c r="H2973">
        <v>5</v>
      </c>
      <c r="K2973" t="s">
        <v>345</v>
      </c>
      <c r="L2973" t="s">
        <v>346</v>
      </c>
      <c r="M2973" t="s">
        <v>131</v>
      </c>
      <c r="N2973">
        <v>21</v>
      </c>
      <c r="P2973" t="s">
        <v>41</v>
      </c>
      <c r="Q2973" t="s">
        <v>49</v>
      </c>
      <c r="R2973" t="str">
        <f>"0591906"</f>
        <v>0591906</v>
      </c>
      <c r="S2973" t="s">
        <v>350</v>
      </c>
      <c r="T2973" t="s">
        <v>345</v>
      </c>
      <c r="U2973" t="s">
        <v>346</v>
      </c>
      <c r="V2973" t="s">
        <v>131</v>
      </c>
      <c r="W2973" t="s">
        <v>51</v>
      </c>
      <c r="X2973" t="s">
        <v>45</v>
      </c>
      <c r="Y2973" s="1">
        <v>29032</v>
      </c>
      <c r="Z2973">
        <v>2</v>
      </c>
      <c r="AA2973" t="s">
        <v>346</v>
      </c>
      <c r="AB2973" s="40" t="s">
        <v>1799</v>
      </c>
    </row>
    <row r="2974" spans="1:28" x14ac:dyDescent="0.25">
      <c r="A2974">
        <v>99912973</v>
      </c>
      <c r="B2974" t="s">
        <v>56</v>
      </c>
      <c r="C2974" t="s">
        <v>82</v>
      </c>
      <c r="D2974" t="s">
        <v>83</v>
      </c>
      <c r="G2974" t="s">
        <v>48</v>
      </c>
      <c r="H2974">
        <v>1</v>
      </c>
      <c r="K2974" t="s">
        <v>1268</v>
      </c>
      <c r="L2974" t="s">
        <v>1269</v>
      </c>
      <c r="M2974" t="s">
        <v>1270</v>
      </c>
      <c r="N2974">
        <v>21</v>
      </c>
      <c r="P2974" t="s">
        <v>41</v>
      </c>
      <c r="Q2974" t="s">
        <v>42</v>
      </c>
      <c r="R2974" t="str">
        <f>"1980050"</f>
        <v>1980050</v>
      </c>
      <c r="S2974" t="s">
        <v>1278</v>
      </c>
      <c r="T2974" t="s">
        <v>1268</v>
      </c>
      <c r="U2974" t="s">
        <v>1269</v>
      </c>
      <c r="V2974" t="s">
        <v>1270</v>
      </c>
      <c r="W2974" t="s">
        <v>51</v>
      </c>
      <c r="X2974" t="s">
        <v>45</v>
      </c>
      <c r="Y2974" s="1">
        <v>29031</v>
      </c>
      <c r="Z2974">
        <v>2</v>
      </c>
      <c r="AA2974" t="s">
        <v>1269</v>
      </c>
      <c r="AB2974" s="40" t="s">
        <v>1799</v>
      </c>
    </row>
    <row r="2975" spans="1:28" x14ac:dyDescent="0.25">
      <c r="A2975">
        <v>99912974</v>
      </c>
      <c r="B2975" t="s">
        <v>32</v>
      </c>
      <c r="C2975" t="s">
        <v>46</v>
      </c>
      <c r="D2975" t="s">
        <v>47</v>
      </c>
      <c r="G2975" t="s">
        <v>48</v>
      </c>
      <c r="H2975">
        <v>1</v>
      </c>
      <c r="K2975" t="s">
        <v>380</v>
      </c>
      <c r="L2975" t="s">
        <v>381</v>
      </c>
      <c r="M2975" t="s">
        <v>131</v>
      </c>
      <c r="N2975">
        <v>21</v>
      </c>
      <c r="P2975" t="s">
        <v>41</v>
      </c>
      <c r="Q2975" t="s">
        <v>49</v>
      </c>
      <c r="R2975" t="str">
        <f>"0581575"</f>
        <v>0581575</v>
      </c>
      <c r="S2975" t="s">
        <v>392</v>
      </c>
      <c r="T2975" t="s">
        <v>380</v>
      </c>
      <c r="U2975" t="s">
        <v>381</v>
      </c>
      <c r="V2975" t="s">
        <v>131</v>
      </c>
      <c r="W2975" t="s">
        <v>51</v>
      </c>
      <c r="X2975" t="s">
        <v>45</v>
      </c>
      <c r="Y2975" s="1">
        <v>29026</v>
      </c>
      <c r="Z2975">
        <v>2</v>
      </c>
      <c r="AA2975" t="s">
        <v>381</v>
      </c>
      <c r="AB2975" s="40" t="s">
        <v>1799</v>
      </c>
    </row>
    <row r="2976" spans="1:28" x14ac:dyDescent="0.25">
      <c r="A2976">
        <v>99912975</v>
      </c>
      <c r="B2976" t="s">
        <v>56</v>
      </c>
      <c r="C2976" t="s">
        <v>52</v>
      </c>
      <c r="D2976" t="s">
        <v>53</v>
      </c>
      <c r="G2976" t="s">
        <v>48</v>
      </c>
      <c r="H2976">
        <v>1</v>
      </c>
      <c r="K2976" t="s">
        <v>223</v>
      </c>
      <c r="L2976" t="s">
        <v>224</v>
      </c>
      <c r="M2976" t="s">
        <v>131</v>
      </c>
      <c r="N2976">
        <v>21</v>
      </c>
      <c r="P2976" t="s">
        <v>41</v>
      </c>
      <c r="Q2976" t="s">
        <v>42</v>
      </c>
      <c r="R2976" t="str">
        <f>"0580207"</f>
        <v>0580207</v>
      </c>
      <c r="S2976" t="s">
        <v>229</v>
      </c>
      <c r="T2976" t="s">
        <v>223</v>
      </c>
      <c r="U2976" t="s">
        <v>224</v>
      </c>
      <c r="V2976" t="s">
        <v>131</v>
      </c>
      <c r="W2976" t="s">
        <v>51</v>
      </c>
      <c r="X2976" t="s">
        <v>45</v>
      </c>
      <c r="Y2976" s="1">
        <v>29025</v>
      </c>
      <c r="Z2976">
        <v>2</v>
      </c>
      <c r="AA2976" t="s">
        <v>224</v>
      </c>
      <c r="AB2976" s="40" t="s">
        <v>1799</v>
      </c>
    </row>
    <row r="2977" spans="1:28" x14ac:dyDescent="0.25">
      <c r="A2977">
        <v>99912976</v>
      </c>
      <c r="B2977" t="s">
        <v>56</v>
      </c>
      <c r="C2977" t="s">
        <v>68</v>
      </c>
      <c r="D2977" t="s">
        <v>69</v>
      </c>
      <c r="G2977" t="s">
        <v>35</v>
      </c>
      <c r="H2977">
        <v>1</v>
      </c>
      <c r="K2977" t="s">
        <v>223</v>
      </c>
      <c r="L2977" t="s">
        <v>224</v>
      </c>
      <c r="M2977" t="s">
        <v>131</v>
      </c>
      <c r="N2977">
        <v>21</v>
      </c>
      <c r="P2977" t="s">
        <v>41</v>
      </c>
      <c r="Q2977" t="s">
        <v>49</v>
      </c>
      <c r="R2977" t="str">
        <f>"0591907"</f>
        <v>0591907</v>
      </c>
      <c r="S2977" t="s">
        <v>243</v>
      </c>
      <c r="T2977" t="s">
        <v>223</v>
      </c>
      <c r="U2977" t="s">
        <v>224</v>
      </c>
      <c r="V2977" t="s">
        <v>131</v>
      </c>
      <c r="W2977" t="s">
        <v>51</v>
      </c>
      <c r="X2977" t="s">
        <v>45</v>
      </c>
      <c r="Y2977" s="1">
        <v>29022</v>
      </c>
      <c r="Z2977">
        <v>2</v>
      </c>
      <c r="AA2977" t="s">
        <v>224</v>
      </c>
      <c r="AB2977" s="40" t="s">
        <v>1799</v>
      </c>
    </row>
    <row r="2978" spans="1:28" x14ac:dyDescent="0.25">
      <c r="A2978">
        <v>99912977</v>
      </c>
      <c r="B2978" t="s">
        <v>56</v>
      </c>
      <c r="C2978" t="s">
        <v>61</v>
      </c>
      <c r="D2978" t="s">
        <v>62</v>
      </c>
      <c r="G2978" t="s">
        <v>48</v>
      </c>
      <c r="H2978">
        <v>5</v>
      </c>
      <c r="K2978" t="s">
        <v>1128</v>
      </c>
      <c r="L2978" t="s">
        <v>1129</v>
      </c>
      <c r="M2978" t="s">
        <v>1130</v>
      </c>
      <c r="N2978">
        <v>21</v>
      </c>
      <c r="P2978" t="s">
        <v>41</v>
      </c>
      <c r="Q2978" t="s">
        <v>42</v>
      </c>
      <c r="R2978" t="str">
        <f>"3180015"</f>
        <v>3180015</v>
      </c>
      <c r="S2978" t="s">
        <v>1139</v>
      </c>
      <c r="T2978" t="s">
        <v>1128</v>
      </c>
      <c r="U2978" t="s">
        <v>1129</v>
      </c>
      <c r="V2978" t="s">
        <v>1130</v>
      </c>
      <c r="W2978" t="s">
        <v>51</v>
      </c>
      <c r="X2978" t="s">
        <v>45</v>
      </c>
      <c r="Y2978" s="1">
        <v>29022</v>
      </c>
      <c r="Z2978">
        <v>2</v>
      </c>
      <c r="AA2978" t="s">
        <v>1129</v>
      </c>
      <c r="AB2978" s="40" t="s">
        <v>1799</v>
      </c>
    </row>
    <row r="2979" spans="1:28" x14ac:dyDescent="0.25">
      <c r="A2979">
        <v>99912978</v>
      </c>
      <c r="B2979" t="s">
        <v>32</v>
      </c>
      <c r="C2979" t="s">
        <v>46</v>
      </c>
      <c r="D2979" t="s">
        <v>47</v>
      </c>
      <c r="G2979" t="s">
        <v>35</v>
      </c>
      <c r="H2979">
        <v>1</v>
      </c>
      <c r="K2979" t="s">
        <v>223</v>
      </c>
      <c r="L2979" t="s">
        <v>224</v>
      </c>
      <c r="M2979" t="s">
        <v>131</v>
      </c>
      <c r="N2979">
        <v>21</v>
      </c>
      <c r="P2979" t="s">
        <v>41</v>
      </c>
      <c r="Q2979" t="s">
        <v>49</v>
      </c>
      <c r="R2979" t="str">
        <f>"0540902"</f>
        <v>0540902</v>
      </c>
      <c r="S2979" t="s">
        <v>256</v>
      </c>
      <c r="T2979" t="s">
        <v>223</v>
      </c>
      <c r="U2979" t="s">
        <v>224</v>
      </c>
      <c r="V2979" t="s">
        <v>131</v>
      </c>
      <c r="W2979" t="s">
        <v>51</v>
      </c>
      <c r="X2979" t="s">
        <v>45</v>
      </c>
      <c r="Y2979" s="1">
        <v>29010</v>
      </c>
      <c r="Z2979">
        <v>2</v>
      </c>
      <c r="AA2979" t="s">
        <v>224</v>
      </c>
      <c r="AB2979" s="40" t="s">
        <v>1799</v>
      </c>
    </row>
    <row r="2980" spans="1:28" x14ac:dyDescent="0.25">
      <c r="A2980">
        <v>99912979</v>
      </c>
      <c r="B2980" t="s">
        <v>56</v>
      </c>
      <c r="C2980" t="s">
        <v>64</v>
      </c>
      <c r="D2980" t="s">
        <v>65</v>
      </c>
      <c r="G2980" t="s">
        <v>48</v>
      </c>
      <c r="H2980">
        <v>1</v>
      </c>
      <c r="K2980" t="s">
        <v>223</v>
      </c>
      <c r="L2980" t="s">
        <v>224</v>
      </c>
      <c r="M2980" t="s">
        <v>131</v>
      </c>
      <c r="N2980">
        <v>21</v>
      </c>
      <c r="P2980" t="s">
        <v>41</v>
      </c>
      <c r="Q2980" t="s">
        <v>49</v>
      </c>
      <c r="R2980" t="str">
        <f>"0581200"</f>
        <v>0581200</v>
      </c>
      <c r="S2980" t="s">
        <v>238</v>
      </c>
      <c r="T2980" t="s">
        <v>223</v>
      </c>
      <c r="U2980" t="s">
        <v>224</v>
      </c>
      <c r="V2980" t="s">
        <v>131</v>
      </c>
      <c r="W2980" t="s">
        <v>51</v>
      </c>
      <c r="X2980" t="s">
        <v>45</v>
      </c>
      <c r="Y2980" s="1">
        <v>28989</v>
      </c>
      <c r="Z2980">
        <v>2</v>
      </c>
      <c r="AA2980" t="s">
        <v>224</v>
      </c>
      <c r="AB2980" s="40" t="s">
        <v>1799</v>
      </c>
    </row>
    <row r="2981" spans="1:28" x14ac:dyDescent="0.25">
      <c r="A2981">
        <v>99912980</v>
      </c>
      <c r="B2981" t="s">
        <v>32</v>
      </c>
      <c r="C2981" t="s">
        <v>46</v>
      </c>
      <c r="D2981" t="s">
        <v>47</v>
      </c>
      <c r="G2981" t="s">
        <v>48</v>
      </c>
      <c r="H2981">
        <v>1</v>
      </c>
      <c r="K2981" t="s">
        <v>380</v>
      </c>
      <c r="L2981" t="s">
        <v>381</v>
      </c>
      <c r="M2981" t="s">
        <v>131</v>
      </c>
      <c r="N2981">
        <v>21</v>
      </c>
      <c r="P2981" t="s">
        <v>41</v>
      </c>
      <c r="Q2981" t="s">
        <v>49</v>
      </c>
      <c r="R2981" t="str">
        <f>"0580552"</f>
        <v>0580552</v>
      </c>
      <c r="S2981" t="s">
        <v>386</v>
      </c>
      <c r="T2981" t="s">
        <v>380</v>
      </c>
      <c r="U2981" t="s">
        <v>381</v>
      </c>
      <c r="V2981" t="s">
        <v>131</v>
      </c>
      <c r="W2981" t="s">
        <v>51</v>
      </c>
      <c r="X2981" t="s">
        <v>45</v>
      </c>
      <c r="Y2981" s="1">
        <v>28941</v>
      </c>
      <c r="Z2981">
        <v>2</v>
      </c>
      <c r="AA2981" t="s">
        <v>381</v>
      </c>
      <c r="AB2981" s="40" t="s">
        <v>1799</v>
      </c>
    </row>
    <row r="2982" spans="1:28" x14ac:dyDescent="0.25">
      <c r="A2982">
        <v>99912981</v>
      </c>
      <c r="B2982" t="s">
        <v>32</v>
      </c>
      <c r="C2982" t="s">
        <v>64</v>
      </c>
      <c r="D2982" t="s">
        <v>65</v>
      </c>
      <c r="G2982" t="s">
        <v>35</v>
      </c>
      <c r="H2982">
        <v>1</v>
      </c>
      <c r="I2982">
        <v>231</v>
      </c>
      <c r="J2982" s="1">
        <v>38960</v>
      </c>
      <c r="K2982" t="s">
        <v>223</v>
      </c>
      <c r="L2982" t="s">
        <v>224</v>
      </c>
      <c r="M2982" t="s">
        <v>131</v>
      </c>
      <c r="N2982">
        <v>21</v>
      </c>
      <c r="O2982" s="1">
        <v>38960</v>
      </c>
      <c r="P2982" t="s">
        <v>41</v>
      </c>
      <c r="Q2982" t="s">
        <v>49</v>
      </c>
      <c r="R2982" t="str">
        <f>"0581207"</f>
        <v>0581207</v>
      </c>
      <c r="S2982" t="s">
        <v>233</v>
      </c>
      <c r="T2982" t="s">
        <v>223</v>
      </c>
      <c r="U2982" t="s">
        <v>224</v>
      </c>
      <c r="V2982" t="s">
        <v>131</v>
      </c>
      <c r="W2982" t="s">
        <v>165</v>
      </c>
      <c r="X2982" t="s">
        <v>45</v>
      </c>
      <c r="Y2982" s="1">
        <v>28935</v>
      </c>
      <c r="Z2982">
        <v>2</v>
      </c>
      <c r="AA2982" t="s">
        <v>224</v>
      </c>
      <c r="AB2982" s="40" t="s">
        <v>1799</v>
      </c>
    </row>
    <row r="2983" spans="1:28" x14ac:dyDescent="0.25">
      <c r="A2983">
        <v>99912982</v>
      </c>
      <c r="B2983" t="s">
        <v>32</v>
      </c>
      <c r="C2983" t="s">
        <v>64</v>
      </c>
      <c r="D2983" t="s">
        <v>65</v>
      </c>
      <c r="G2983" t="s">
        <v>48</v>
      </c>
      <c r="H2983">
        <v>7</v>
      </c>
      <c r="K2983" t="s">
        <v>345</v>
      </c>
      <c r="L2983" t="s">
        <v>346</v>
      </c>
      <c r="M2983" t="s">
        <v>131</v>
      </c>
      <c r="N2983">
        <v>21</v>
      </c>
      <c r="P2983" t="s">
        <v>41</v>
      </c>
      <c r="Q2983" t="s">
        <v>49</v>
      </c>
      <c r="R2983" t="str">
        <f>"0591906"</f>
        <v>0591906</v>
      </c>
      <c r="S2983" t="s">
        <v>350</v>
      </c>
      <c r="T2983" t="s">
        <v>345</v>
      </c>
      <c r="U2983" t="s">
        <v>346</v>
      </c>
      <c r="V2983" t="s">
        <v>131</v>
      </c>
      <c r="W2983" t="s">
        <v>51</v>
      </c>
      <c r="X2983" t="s">
        <v>45</v>
      </c>
      <c r="Y2983" s="1">
        <v>28934</v>
      </c>
      <c r="Z2983">
        <v>2</v>
      </c>
      <c r="AA2983" t="s">
        <v>346</v>
      </c>
      <c r="AB2983" s="40" t="s">
        <v>1799</v>
      </c>
    </row>
    <row r="2984" spans="1:28" x14ac:dyDescent="0.25">
      <c r="A2984">
        <v>99912983</v>
      </c>
      <c r="B2984" t="s">
        <v>32</v>
      </c>
      <c r="C2984" t="s">
        <v>79</v>
      </c>
      <c r="D2984" t="s">
        <v>80</v>
      </c>
      <c r="G2984" t="s">
        <v>48</v>
      </c>
      <c r="H2984">
        <v>6</v>
      </c>
      <c r="K2984" t="s">
        <v>1268</v>
      </c>
      <c r="L2984" t="s">
        <v>1269</v>
      </c>
      <c r="M2984" t="s">
        <v>1270</v>
      </c>
      <c r="N2984">
        <v>21</v>
      </c>
      <c r="P2984" t="s">
        <v>41</v>
      </c>
      <c r="Q2984" t="s">
        <v>42</v>
      </c>
      <c r="R2984" t="str">
        <f>"1990911"</f>
        <v>1990911</v>
      </c>
      <c r="S2984" t="s">
        <v>1276</v>
      </c>
      <c r="T2984" t="s">
        <v>1268</v>
      </c>
      <c r="U2984" t="s">
        <v>1269</v>
      </c>
      <c r="V2984" t="s">
        <v>1270</v>
      </c>
      <c r="W2984" t="s">
        <v>51</v>
      </c>
      <c r="X2984" t="s">
        <v>45</v>
      </c>
      <c r="Y2984" s="1">
        <v>28934</v>
      </c>
      <c r="Z2984">
        <v>2</v>
      </c>
      <c r="AA2984" t="s">
        <v>1269</v>
      </c>
      <c r="AB2984" s="40" t="s">
        <v>1799</v>
      </c>
    </row>
    <row r="2985" spans="1:28" x14ac:dyDescent="0.25">
      <c r="A2985">
        <v>99912984</v>
      </c>
      <c r="B2985" t="s">
        <v>32</v>
      </c>
      <c r="C2985" t="s">
        <v>46</v>
      </c>
      <c r="D2985" t="s">
        <v>47</v>
      </c>
      <c r="G2985" t="s">
        <v>48</v>
      </c>
      <c r="H2985">
        <v>1</v>
      </c>
      <c r="K2985" t="s">
        <v>1128</v>
      </c>
      <c r="L2985" t="s">
        <v>1129</v>
      </c>
      <c r="M2985" t="s">
        <v>1130</v>
      </c>
      <c r="N2985">
        <v>21</v>
      </c>
      <c r="P2985" t="s">
        <v>41</v>
      </c>
      <c r="Q2985" t="s">
        <v>49</v>
      </c>
      <c r="R2985" t="str">
        <f>"3181015"</f>
        <v>3181015</v>
      </c>
      <c r="S2985" t="s">
        <v>1131</v>
      </c>
      <c r="T2985" t="s">
        <v>1128</v>
      </c>
      <c r="U2985" t="s">
        <v>1129</v>
      </c>
      <c r="V2985" t="s">
        <v>1130</v>
      </c>
      <c r="W2985" t="s">
        <v>51</v>
      </c>
      <c r="X2985" t="s">
        <v>45</v>
      </c>
      <c r="Y2985" s="1">
        <v>28929</v>
      </c>
      <c r="Z2985">
        <v>2</v>
      </c>
      <c r="AA2985" t="s">
        <v>1129</v>
      </c>
      <c r="AB2985" s="40" t="s">
        <v>1799</v>
      </c>
    </row>
    <row r="2986" spans="1:28" x14ac:dyDescent="0.25">
      <c r="A2986">
        <v>99912985</v>
      </c>
      <c r="B2986" t="s">
        <v>32</v>
      </c>
      <c r="C2986" t="s">
        <v>46</v>
      </c>
      <c r="D2986" t="s">
        <v>47</v>
      </c>
      <c r="G2986" t="s">
        <v>35</v>
      </c>
      <c r="H2986">
        <v>1</v>
      </c>
      <c r="I2986">
        <v>0</v>
      </c>
      <c r="J2986" s="1">
        <v>43344</v>
      </c>
      <c r="K2986" t="s">
        <v>223</v>
      </c>
      <c r="L2986" t="s">
        <v>224</v>
      </c>
      <c r="M2986" t="s">
        <v>131</v>
      </c>
      <c r="N2986">
        <v>21</v>
      </c>
      <c r="O2986" s="1">
        <v>43344</v>
      </c>
      <c r="P2986" t="s">
        <v>41</v>
      </c>
      <c r="Q2986" t="s">
        <v>42</v>
      </c>
      <c r="R2986" t="str">
        <f>"0580207"</f>
        <v>0580207</v>
      </c>
      <c r="S2986" t="s">
        <v>229</v>
      </c>
      <c r="T2986" t="s">
        <v>223</v>
      </c>
      <c r="U2986" t="s">
        <v>224</v>
      </c>
      <c r="V2986" t="s">
        <v>131</v>
      </c>
      <c r="W2986" t="s">
        <v>51</v>
      </c>
      <c r="X2986" t="s">
        <v>45</v>
      </c>
      <c r="Y2986" s="1">
        <v>28925</v>
      </c>
      <c r="Z2986">
        <v>2</v>
      </c>
      <c r="AA2986" t="s">
        <v>224</v>
      </c>
      <c r="AB2986" s="40" t="s">
        <v>1799</v>
      </c>
    </row>
    <row r="2987" spans="1:28" x14ac:dyDescent="0.25">
      <c r="A2987">
        <v>99912986</v>
      </c>
      <c r="B2987" t="s">
        <v>32</v>
      </c>
      <c r="C2987" t="s">
        <v>64</v>
      </c>
      <c r="D2987" t="s">
        <v>65</v>
      </c>
      <c r="G2987" t="s">
        <v>48</v>
      </c>
      <c r="H2987">
        <v>1</v>
      </c>
      <c r="K2987" t="s">
        <v>300</v>
      </c>
      <c r="L2987" t="s">
        <v>301</v>
      </c>
      <c r="M2987" t="s">
        <v>131</v>
      </c>
      <c r="N2987">
        <v>21</v>
      </c>
      <c r="P2987" t="s">
        <v>41</v>
      </c>
      <c r="Q2987" t="s">
        <v>49</v>
      </c>
      <c r="R2987" t="str">
        <f>"0560001"</f>
        <v>0560001</v>
      </c>
      <c r="S2987" t="s">
        <v>304</v>
      </c>
      <c r="T2987" t="s">
        <v>300</v>
      </c>
      <c r="U2987" t="s">
        <v>301</v>
      </c>
      <c r="V2987" t="s">
        <v>131</v>
      </c>
      <c r="W2987" t="s">
        <v>51</v>
      </c>
      <c r="X2987" t="s">
        <v>45</v>
      </c>
      <c r="Y2987" s="1">
        <v>28921</v>
      </c>
      <c r="Z2987">
        <v>2</v>
      </c>
      <c r="AA2987" t="s">
        <v>301</v>
      </c>
      <c r="AB2987" s="40" t="s">
        <v>1799</v>
      </c>
    </row>
    <row r="2988" spans="1:28" x14ac:dyDescent="0.25">
      <c r="A2988">
        <v>99912987</v>
      </c>
      <c r="B2988" t="s">
        <v>56</v>
      </c>
      <c r="C2988" t="s">
        <v>46</v>
      </c>
      <c r="D2988" t="s">
        <v>47</v>
      </c>
      <c r="G2988" t="s">
        <v>48</v>
      </c>
      <c r="H2988">
        <v>1</v>
      </c>
      <c r="K2988" t="s">
        <v>157</v>
      </c>
      <c r="L2988" t="s">
        <v>158</v>
      </c>
      <c r="M2988" t="s">
        <v>131</v>
      </c>
      <c r="N2988">
        <v>21</v>
      </c>
      <c r="P2988" t="s">
        <v>41</v>
      </c>
      <c r="Q2988" t="s">
        <v>42</v>
      </c>
      <c r="R2988" t="str">
        <f>"0580470"</f>
        <v>0580470</v>
      </c>
      <c r="S2988" t="s">
        <v>175</v>
      </c>
      <c r="T2988" t="s">
        <v>157</v>
      </c>
      <c r="U2988" t="s">
        <v>158</v>
      </c>
      <c r="V2988" t="s">
        <v>131</v>
      </c>
      <c r="W2988" t="s">
        <v>51</v>
      </c>
      <c r="X2988" t="s">
        <v>45</v>
      </c>
      <c r="Y2988" s="1">
        <v>28856</v>
      </c>
      <c r="Z2988">
        <v>2</v>
      </c>
      <c r="AA2988" t="s">
        <v>158</v>
      </c>
      <c r="AB2988" s="40" t="s">
        <v>1799</v>
      </c>
    </row>
    <row r="2989" spans="1:28" x14ac:dyDescent="0.25">
      <c r="A2989">
        <v>99912988</v>
      </c>
      <c r="B2989" t="s">
        <v>56</v>
      </c>
      <c r="C2989" t="s">
        <v>46</v>
      </c>
      <c r="D2989" t="s">
        <v>47</v>
      </c>
      <c r="G2989" t="s">
        <v>48</v>
      </c>
      <c r="H2989">
        <v>1</v>
      </c>
      <c r="I2989">
        <v>588</v>
      </c>
      <c r="J2989" s="1">
        <v>40778</v>
      </c>
      <c r="K2989" t="s">
        <v>223</v>
      </c>
      <c r="L2989" t="s">
        <v>224</v>
      </c>
      <c r="M2989" t="s">
        <v>131</v>
      </c>
      <c r="N2989">
        <v>21</v>
      </c>
      <c r="O2989" s="1">
        <v>40778</v>
      </c>
      <c r="P2989" t="s">
        <v>41</v>
      </c>
      <c r="Q2989" t="s">
        <v>49</v>
      </c>
      <c r="R2989" t="str">
        <f>"0509999"</f>
        <v>0509999</v>
      </c>
      <c r="S2989" t="s">
        <v>247</v>
      </c>
      <c r="T2989" t="s">
        <v>223</v>
      </c>
      <c r="U2989" t="s">
        <v>224</v>
      </c>
      <c r="V2989" t="s">
        <v>131</v>
      </c>
      <c r="W2989" t="s">
        <v>51</v>
      </c>
      <c r="X2989" t="s">
        <v>45</v>
      </c>
      <c r="Y2989" s="1">
        <v>28856</v>
      </c>
      <c r="Z2989">
        <v>2</v>
      </c>
      <c r="AA2989" t="s">
        <v>224</v>
      </c>
      <c r="AB2989" s="40" t="s">
        <v>1799</v>
      </c>
    </row>
    <row r="2990" spans="1:28" x14ac:dyDescent="0.25">
      <c r="A2990">
        <v>99912989</v>
      </c>
      <c r="B2990" t="s">
        <v>56</v>
      </c>
      <c r="C2990" t="s">
        <v>143</v>
      </c>
      <c r="D2990" t="s">
        <v>144</v>
      </c>
      <c r="G2990" t="s">
        <v>48</v>
      </c>
      <c r="H2990">
        <v>1</v>
      </c>
      <c r="K2990" t="s">
        <v>1268</v>
      </c>
      <c r="L2990" t="s">
        <v>1269</v>
      </c>
      <c r="M2990" t="s">
        <v>1270</v>
      </c>
      <c r="N2990">
        <v>21</v>
      </c>
      <c r="P2990" t="s">
        <v>41</v>
      </c>
      <c r="Q2990" t="s">
        <v>49</v>
      </c>
      <c r="R2990" t="str">
        <f>"1981913"</f>
        <v>1981913</v>
      </c>
      <c r="S2990" t="s">
        <v>1295</v>
      </c>
      <c r="T2990" t="s">
        <v>1268</v>
      </c>
      <c r="U2990" t="s">
        <v>1269</v>
      </c>
      <c r="V2990" t="s">
        <v>1270</v>
      </c>
      <c r="W2990" t="s">
        <v>51</v>
      </c>
      <c r="X2990" t="s">
        <v>45</v>
      </c>
      <c r="Y2990" s="1">
        <v>28856</v>
      </c>
      <c r="Z2990">
        <v>2</v>
      </c>
      <c r="AA2990" t="s">
        <v>1269</v>
      </c>
      <c r="AB2990" s="40" t="s">
        <v>1799</v>
      </c>
    </row>
    <row r="2991" spans="1:28" x14ac:dyDescent="0.25">
      <c r="A2991">
        <v>99912990</v>
      </c>
      <c r="B2991" t="s">
        <v>56</v>
      </c>
      <c r="C2991" t="s">
        <v>46</v>
      </c>
      <c r="D2991" t="s">
        <v>47</v>
      </c>
      <c r="G2991" t="s">
        <v>48</v>
      </c>
      <c r="H2991">
        <v>1</v>
      </c>
      <c r="K2991" t="s">
        <v>223</v>
      </c>
      <c r="L2991" t="s">
        <v>224</v>
      </c>
      <c r="M2991" t="s">
        <v>131</v>
      </c>
      <c r="N2991">
        <v>21</v>
      </c>
      <c r="P2991" t="s">
        <v>41</v>
      </c>
      <c r="Q2991" t="s">
        <v>49</v>
      </c>
      <c r="R2991" t="str">
        <f>"0581265"</f>
        <v>0581265</v>
      </c>
      <c r="S2991" t="s">
        <v>236</v>
      </c>
      <c r="T2991" t="s">
        <v>223</v>
      </c>
      <c r="U2991" t="s">
        <v>224</v>
      </c>
      <c r="V2991" t="s">
        <v>131</v>
      </c>
      <c r="W2991" t="s">
        <v>51</v>
      </c>
      <c r="X2991" t="s">
        <v>45</v>
      </c>
      <c r="Y2991" s="1">
        <v>28852</v>
      </c>
      <c r="Z2991">
        <v>2</v>
      </c>
      <c r="AA2991" t="s">
        <v>224</v>
      </c>
      <c r="AB2991" s="40" t="s">
        <v>1799</v>
      </c>
    </row>
    <row r="2992" spans="1:28" x14ac:dyDescent="0.25">
      <c r="A2992">
        <v>99912991</v>
      </c>
      <c r="B2992" t="s">
        <v>56</v>
      </c>
      <c r="C2992" t="s">
        <v>61</v>
      </c>
      <c r="D2992" t="s">
        <v>62</v>
      </c>
      <c r="G2992" t="s">
        <v>48</v>
      </c>
      <c r="H2992">
        <v>1</v>
      </c>
      <c r="K2992" t="s">
        <v>223</v>
      </c>
      <c r="L2992" t="s">
        <v>224</v>
      </c>
      <c r="M2992" t="s">
        <v>131</v>
      </c>
      <c r="N2992">
        <v>21</v>
      </c>
      <c r="P2992" t="s">
        <v>41</v>
      </c>
      <c r="Q2992" t="s">
        <v>42</v>
      </c>
      <c r="R2992" t="str">
        <f>"0580200"</f>
        <v>0580200</v>
      </c>
      <c r="S2992" t="s">
        <v>245</v>
      </c>
      <c r="T2992" t="s">
        <v>223</v>
      </c>
      <c r="U2992" t="s">
        <v>224</v>
      </c>
      <c r="V2992" t="s">
        <v>131</v>
      </c>
      <c r="W2992" t="s">
        <v>51</v>
      </c>
      <c r="X2992" t="s">
        <v>45</v>
      </c>
      <c r="Y2992" s="1">
        <v>28838</v>
      </c>
      <c r="Z2992">
        <v>2</v>
      </c>
      <c r="AA2992" t="s">
        <v>224</v>
      </c>
      <c r="AB2992" s="40" t="s">
        <v>1799</v>
      </c>
    </row>
    <row r="2993" spans="1:28" x14ac:dyDescent="0.25">
      <c r="A2993">
        <v>99912992</v>
      </c>
      <c r="B2993" t="s">
        <v>56</v>
      </c>
      <c r="C2993" t="s">
        <v>143</v>
      </c>
      <c r="D2993" t="s">
        <v>144</v>
      </c>
      <c r="G2993" t="s">
        <v>48</v>
      </c>
      <c r="H2993">
        <v>3</v>
      </c>
      <c r="K2993" t="s">
        <v>1268</v>
      </c>
      <c r="L2993" t="s">
        <v>1269</v>
      </c>
      <c r="M2993" t="s">
        <v>1270</v>
      </c>
      <c r="N2993">
        <v>21</v>
      </c>
      <c r="O2993" s="1">
        <v>43344</v>
      </c>
      <c r="P2993" t="s">
        <v>41</v>
      </c>
      <c r="Q2993" t="s">
        <v>49</v>
      </c>
      <c r="R2993" t="str">
        <f>"1981055"</f>
        <v>1981055</v>
      </c>
      <c r="S2993" t="s">
        <v>1280</v>
      </c>
      <c r="T2993" t="s">
        <v>1268</v>
      </c>
      <c r="U2993" t="s">
        <v>1269</v>
      </c>
      <c r="V2993" t="s">
        <v>1270</v>
      </c>
      <c r="W2993" t="s">
        <v>51</v>
      </c>
      <c r="X2993" t="s">
        <v>45</v>
      </c>
      <c r="Y2993" s="1">
        <v>28818</v>
      </c>
      <c r="Z2993">
        <v>2</v>
      </c>
      <c r="AA2993" t="s">
        <v>1269</v>
      </c>
      <c r="AB2993" s="40" t="s">
        <v>1799</v>
      </c>
    </row>
    <row r="2994" spans="1:28" x14ac:dyDescent="0.25">
      <c r="A2994">
        <v>99912993</v>
      </c>
      <c r="B2994" t="s">
        <v>56</v>
      </c>
      <c r="C2994" t="s">
        <v>61</v>
      </c>
      <c r="D2994" t="s">
        <v>62</v>
      </c>
      <c r="G2994" t="s">
        <v>48</v>
      </c>
      <c r="H2994">
        <v>7</v>
      </c>
      <c r="I2994" t="s">
        <v>1314</v>
      </c>
      <c r="K2994" t="s">
        <v>1306</v>
      </c>
      <c r="L2994" t="s">
        <v>1307</v>
      </c>
      <c r="M2994" t="s">
        <v>1270</v>
      </c>
      <c r="N2994">
        <v>21</v>
      </c>
      <c r="P2994" t="s">
        <v>41</v>
      </c>
      <c r="Q2994" t="s">
        <v>49</v>
      </c>
      <c r="R2994" t="str">
        <f>"1991913"</f>
        <v>1991913</v>
      </c>
      <c r="S2994" t="s">
        <v>1310</v>
      </c>
      <c r="T2994" t="s">
        <v>1306</v>
      </c>
      <c r="U2994" t="s">
        <v>1307</v>
      </c>
      <c r="V2994" t="s">
        <v>1270</v>
      </c>
      <c r="W2994" t="s">
        <v>51</v>
      </c>
      <c r="X2994" t="s">
        <v>45</v>
      </c>
      <c r="Y2994" s="1">
        <v>28818</v>
      </c>
      <c r="Z2994">
        <v>2</v>
      </c>
      <c r="AA2994" t="s">
        <v>1307</v>
      </c>
      <c r="AB2994" s="40" t="s">
        <v>1799</v>
      </c>
    </row>
    <row r="2995" spans="1:28" x14ac:dyDescent="0.25">
      <c r="A2995">
        <v>99912994</v>
      </c>
      <c r="B2995" t="s">
        <v>56</v>
      </c>
      <c r="C2995" t="s">
        <v>46</v>
      </c>
      <c r="D2995" t="s">
        <v>47</v>
      </c>
      <c r="G2995" t="s">
        <v>48</v>
      </c>
      <c r="H2995">
        <v>1</v>
      </c>
      <c r="K2995" t="s">
        <v>129</v>
      </c>
      <c r="L2995" t="s">
        <v>130</v>
      </c>
      <c r="M2995" t="s">
        <v>131</v>
      </c>
      <c r="N2995">
        <v>21</v>
      </c>
      <c r="P2995" t="s">
        <v>41</v>
      </c>
      <c r="Q2995" t="s">
        <v>42</v>
      </c>
      <c r="R2995" t="str">
        <f>"0590905"</f>
        <v>0590905</v>
      </c>
      <c r="S2995" t="s">
        <v>133</v>
      </c>
      <c r="T2995" t="s">
        <v>129</v>
      </c>
      <c r="U2995" t="s">
        <v>130</v>
      </c>
      <c r="V2995" t="s">
        <v>131</v>
      </c>
      <c r="W2995" t="s">
        <v>51</v>
      </c>
      <c r="X2995" t="s">
        <v>45</v>
      </c>
      <c r="Y2995" s="1">
        <v>28812</v>
      </c>
      <c r="Z2995">
        <v>2</v>
      </c>
      <c r="AA2995" t="s">
        <v>130</v>
      </c>
      <c r="AB2995" s="40" t="s">
        <v>1799</v>
      </c>
    </row>
    <row r="2996" spans="1:28" x14ac:dyDescent="0.25">
      <c r="A2996">
        <v>99912995</v>
      </c>
      <c r="B2996" t="s">
        <v>56</v>
      </c>
      <c r="C2996" t="s">
        <v>46</v>
      </c>
      <c r="D2996" t="s">
        <v>47</v>
      </c>
      <c r="G2996" t="s">
        <v>48</v>
      </c>
      <c r="H2996">
        <v>1</v>
      </c>
      <c r="K2996" t="s">
        <v>157</v>
      </c>
      <c r="L2996" t="s">
        <v>158</v>
      </c>
      <c r="M2996" t="s">
        <v>131</v>
      </c>
      <c r="N2996">
        <v>21</v>
      </c>
      <c r="P2996" t="s">
        <v>41</v>
      </c>
      <c r="Q2996" t="s">
        <v>42</v>
      </c>
      <c r="R2996" t="str">
        <f>"0580735"</f>
        <v>0580735</v>
      </c>
      <c r="S2996" t="s">
        <v>180</v>
      </c>
      <c r="T2996" t="s">
        <v>157</v>
      </c>
      <c r="U2996" t="s">
        <v>158</v>
      </c>
      <c r="V2996" t="s">
        <v>131</v>
      </c>
      <c r="W2996" t="s">
        <v>51</v>
      </c>
      <c r="X2996" t="s">
        <v>45</v>
      </c>
      <c r="Y2996" s="1">
        <v>28805</v>
      </c>
      <c r="Z2996">
        <v>2</v>
      </c>
      <c r="AA2996" t="s">
        <v>158</v>
      </c>
      <c r="AB2996" s="40" t="s">
        <v>1799</v>
      </c>
    </row>
    <row r="2997" spans="1:28" x14ac:dyDescent="0.25">
      <c r="A2997">
        <v>99912996</v>
      </c>
      <c r="B2997" t="s">
        <v>56</v>
      </c>
      <c r="C2997" t="s">
        <v>61</v>
      </c>
      <c r="D2997" t="s">
        <v>62</v>
      </c>
      <c r="E2997" t="s">
        <v>257</v>
      </c>
      <c r="F2997" t="s">
        <v>258</v>
      </c>
      <c r="G2997" t="s">
        <v>48</v>
      </c>
      <c r="H2997">
        <v>1</v>
      </c>
      <c r="K2997" t="s">
        <v>223</v>
      </c>
      <c r="L2997" t="s">
        <v>224</v>
      </c>
      <c r="M2997" t="s">
        <v>131</v>
      </c>
      <c r="N2997">
        <v>21</v>
      </c>
      <c r="P2997" t="s">
        <v>41</v>
      </c>
      <c r="Q2997" t="s">
        <v>42</v>
      </c>
      <c r="R2997" t="str">
        <f>"0580207"</f>
        <v>0580207</v>
      </c>
      <c r="S2997" t="s">
        <v>229</v>
      </c>
      <c r="T2997" t="s">
        <v>223</v>
      </c>
      <c r="U2997" t="s">
        <v>224</v>
      </c>
      <c r="V2997" t="s">
        <v>131</v>
      </c>
      <c r="W2997" t="s">
        <v>51</v>
      </c>
      <c r="X2997" t="s">
        <v>45</v>
      </c>
      <c r="Y2997" s="1">
        <v>28777</v>
      </c>
      <c r="Z2997">
        <v>2</v>
      </c>
      <c r="AA2997" t="s">
        <v>224</v>
      </c>
      <c r="AB2997" s="40" t="s">
        <v>1799</v>
      </c>
    </row>
    <row r="2998" spans="1:28" x14ac:dyDescent="0.25">
      <c r="A2998">
        <v>99912997</v>
      </c>
      <c r="B2998" t="s">
        <v>32</v>
      </c>
      <c r="C2998" t="s">
        <v>46</v>
      </c>
      <c r="D2998" t="s">
        <v>47</v>
      </c>
      <c r="G2998" t="s">
        <v>35</v>
      </c>
      <c r="H2998">
        <v>1</v>
      </c>
      <c r="K2998" t="s">
        <v>223</v>
      </c>
      <c r="L2998" t="s">
        <v>224</v>
      </c>
      <c r="M2998" t="s">
        <v>131</v>
      </c>
      <c r="N2998">
        <v>21</v>
      </c>
      <c r="P2998" t="s">
        <v>41</v>
      </c>
      <c r="Q2998" t="s">
        <v>42</v>
      </c>
      <c r="R2998" t="str">
        <f>"0590903"</f>
        <v>0590903</v>
      </c>
      <c r="S2998" t="s">
        <v>226</v>
      </c>
      <c r="T2998" t="s">
        <v>223</v>
      </c>
      <c r="U2998" t="s">
        <v>224</v>
      </c>
      <c r="V2998" t="s">
        <v>131</v>
      </c>
      <c r="W2998" t="s">
        <v>51</v>
      </c>
      <c r="X2998" t="s">
        <v>45</v>
      </c>
      <c r="Y2998" s="1">
        <v>28758</v>
      </c>
      <c r="Z2998">
        <v>2</v>
      </c>
      <c r="AA2998" t="s">
        <v>224</v>
      </c>
      <c r="AB2998" s="40" t="s">
        <v>1799</v>
      </c>
    </row>
    <row r="2999" spans="1:28" x14ac:dyDescent="0.25">
      <c r="A2999">
        <v>99912998</v>
      </c>
      <c r="B2999" t="s">
        <v>32</v>
      </c>
      <c r="C2999" t="s">
        <v>82</v>
      </c>
      <c r="D2999" t="s">
        <v>83</v>
      </c>
      <c r="G2999" t="s">
        <v>48</v>
      </c>
      <c r="H2999">
        <v>1</v>
      </c>
      <c r="K2999" t="s">
        <v>223</v>
      </c>
      <c r="L2999" t="s">
        <v>224</v>
      </c>
      <c r="M2999" t="s">
        <v>131</v>
      </c>
      <c r="N2999">
        <v>21</v>
      </c>
      <c r="P2999" t="s">
        <v>41</v>
      </c>
      <c r="Q2999" t="s">
        <v>42</v>
      </c>
      <c r="R2999" t="str">
        <f>"0590910"</f>
        <v>0590910</v>
      </c>
      <c r="S2999" t="s">
        <v>227</v>
      </c>
      <c r="T2999" t="s">
        <v>223</v>
      </c>
      <c r="U2999" t="s">
        <v>224</v>
      </c>
      <c r="V2999" t="s">
        <v>131</v>
      </c>
      <c r="W2999" t="s">
        <v>51</v>
      </c>
      <c r="X2999" t="s">
        <v>45</v>
      </c>
      <c r="Y2999" s="1">
        <v>28726</v>
      </c>
      <c r="Z2999">
        <v>2</v>
      </c>
      <c r="AA2999" t="s">
        <v>224</v>
      </c>
      <c r="AB2999" s="40" t="s">
        <v>1799</v>
      </c>
    </row>
    <row r="3000" spans="1:28" x14ac:dyDescent="0.25">
      <c r="A3000">
        <v>99912999</v>
      </c>
      <c r="B3000" t="s">
        <v>32</v>
      </c>
      <c r="C3000" t="s">
        <v>46</v>
      </c>
      <c r="D3000" t="s">
        <v>47</v>
      </c>
      <c r="G3000" t="s">
        <v>48</v>
      </c>
      <c r="H3000">
        <v>1</v>
      </c>
      <c r="K3000" t="s">
        <v>380</v>
      </c>
      <c r="L3000" t="s">
        <v>381</v>
      </c>
      <c r="M3000" t="s">
        <v>131</v>
      </c>
      <c r="N3000">
        <v>21</v>
      </c>
      <c r="P3000" t="s">
        <v>41</v>
      </c>
      <c r="Q3000" t="s">
        <v>49</v>
      </c>
      <c r="R3000" t="str">
        <f>"0591908"</f>
        <v>0591908</v>
      </c>
      <c r="S3000" t="s">
        <v>383</v>
      </c>
      <c r="T3000" t="s">
        <v>380</v>
      </c>
      <c r="U3000" t="s">
        <v>381</v>
      </c>
      <c r="V3000" t="s">
        <v>131</v>
      </c>
      <c r="W3000" t="s">
        <v>51</v>
      </c>
      <c r="X3000" t="s">
        <v>45</v>
      </c>
      <c r="Y3000" s="1">
        <v>28688</v>
      </c>
      <c r="Z3000">
        <v>2</v>
      </c>
      <c r="AA3000" t="s">
        <v>381</v>
      </c>
      <c r="AB3000" s="40" t="s">
        <v>1799</v>
      </c>
    </row>
    <row r="3001" spans="1:28" x14ac:dyDescent="0.25">
      <c r="A3001">
        <v>99913000</v>
      </c>
      <c r="B3001" t="s">
        <v>32</v>
      </c>
      <c r="C3001" t="s">
        <v>33</v>
      </c>
      <c r="D3001" t="s">
        <v>34</v>
      </c>
      <c r="G3001" t="s">
        <v>48</v>
      </c>
      <c r="H3001">
        <v>1</v>
      </c>
      <c r="K3001" t="s">
        <v>223</v>
      </c>
      <c r="L3001" t="s">
        <v>224</v>
      </c>
      <c r="M3001" t="s">
        <v>131</v>
      </c>
      <c r="N3001">
        <v>21</v>
      </c>
      <c r="P3001" t="s">
        <v>41</v>
      </c>
      <c r="Q3001" t="s">
        <v>49</v>
      </c>
      <c r="R3001" t="str">
        <f>"0581200"</f>
        <v>0581200</v>
      </c>
      <c r="S3001" t="s">
        <v>238</v>
      </c>
      <c r="T3001" t="s">
        <v>223</v>
      </c>
      <c r="U3001" t="s">
        <v>224</v>
      </c>
      <c r="V3001" t="s">
        <v>131</v>
      </c>
      <c r="W3001" t="s">
        <v>51</v>
      </c>
      <c r="X3001" t="s">
        <v>45</v>
      </c>
      <c r="Y3001" s="1">
        <v>28685</v>
      </c>
      <c r="Z3001">
        <v>2</v>
      </c>
      <c r="AA3001" t="s">
        <v>224</v>
      </c>
      <c r="AB3001" s="40" t="s">
        <v>1799</v>
      </c>
    </row>
    <row r="3002" spans="1:28" x14ac:dyDescent="0.25">
      <c r="A3002">
        <v>99913001</v>
      </c>
      <c r="B3002" t="s">
        <v>32</v>
      </c>
      <c r="C3002" t="s">
        <v>46</v>
      </c>
      <c r="D3002" t="s">
        <v>47</v>
      </c>
      <c r="G3002" t="s">
        <v>48</v>
      </c>
      <c r="H3002">
        <v>5</v>
      </c>
      <c r="K3002" t="s">
        <v>37</v>
      </c>
      <c r="L3002" t="s">
        <v>38</v>
      </c>
      <c r="M3002" t="s">
        <v>39</v>
      </c>
      <c r="N3002">
        <v>21</v>
      </c>
      <c r="P3002" t="s">
        <v>41</v>
      </c>
      <c r="Q3002" t="s">
        <v>42</v>
      </c>
      <c r="R3002" t="str">
        <f>"3780010"</f>
        <v>3780010</v>
      </c>
      <c r="S3002" t="s">
        <v>43</v>
      </c>
      <c r="T3002" t="s">
        <v>37</v>
      </c>
      <c r="U3002" t="s">
        <v>38</v>
      </c>
      <c r="V3002" t="s">
        <v>39</v>
      </c>
      <c r="W3002" t="s">
        <v>51</v>
      </c>
      <c r="X3002" t="s">
        <v>45</v>
      </c>
      <c r="Y3002" s="1">
        <v>28677</v>
      </c>
      <c r="Z3002">
        <v>2</v>
      </c>
      <c r="AA3002" t="s">
        <v>38</v>
      </c>
      <c r="AB3002" s="40" t="s">
        <v>1799</v>
      </c>
    </row>
    <row r="3003" spans="1:28" x14ac:dyDescent="0.25">
      <c r="A3003">
        <v>99913002</v>
      </c>
      <c r="B3003" t="s">
        <v>56</v>
      </c>
      <c r="C3003" t="s">
        <v>85</v>
      </c>
      <c r="D3003" t="s">
        <v>86</v>
      </c>
      <c r="G3003" t="s">
        <v>35</v>
      </c>
      <c r="H3003">
        <v>1</v>
      </c>
      <c r="I3003">
        <v>15800</v>
      </c>
      <c r="J3003" s="1">
        <v>43344</v>
      </c>
      <c r="K3003" t="s">
        <v>345</v>
      </c>
      <c r="L3003" t="s">
        <v>346</v>
      </c>
      <c r="M3003" t="s">
        <v>131</v>
      </c>
      <c r="N3003">
        <v>21</v>
      </c>
      <c r="O3003" s="1">
        <v>43344</v>
      </c>
      <c r="P3003" t="s">
        <v>41</v>
      </c>
      <c r="Q3003" t="s">
        <v>49</v>
      </c>
      <c r="R3003" t="str">
        <f>"0591906"</f>
        <v>0591906</v>
      </c>
      <c r="S3003" t="s">
        <v>350</v>
      </c>
      <c r="T3003" t="s">
        <v>345</v>
      </c>
      <c r="U3003" t="s">
        <v>346</v>
      </c>
      <c r="V3003" t="s">
        <v>131</v>
      </c>
      <c r="W3003" t="s">
        <v>55</v>
      </c>
      <c r="X3003" t="s">
        <v>45</v>
      </c>
      <c r="Y3003" s="1">
        <v>28667</v>
      </c>
      <c r="Z3003">
        <v>2</v>
      </c>
      <c r="AA3003" t="s">
        <v>346</v>
      </c>
      <c r="AB3003" s="40" t="s">
        <v>1799</v>
      </c>
    </row>
    <row r="3004" spans="1:28" x14ac:dyDescent="0.25">
      <c r="A3004">
        <v>99913003</v>
      </c>
      <c r="B3004" t="s">
        <v>56</v>
      </c>
      <c r="C3004" t="s">
        <v>52</v>
      </c>
      <c r="D3004" t="s">
        <v>53</v>
      </c>
      <c r="G3004" t="s">
        <v>35</v>
      </c>
      <c r="H3004">
        <v>1</v>
      </c>
      <c r="I3004">
        <v>13814</v>
      </c>
      <c r="J3004" s="1">
        <v>43355</v>
      </c>
      <c r="K3004" t="s">
        <v>345</v>
      </c>
      <c r="L3004" t="s">
        <v>346</v>
      </c>
      <c r="M3004" t="s">
        <v>131</v>
      </c>
      <c r="N3004">
        <v>21</v>
      </c>
      <c r="O3004" s="1">
        <v>43355</v>
      </c>
      <c r="P3004" t="s">
        <v>41</v>
      </c>
      <c r="Q3004" t="s">
        <v>42</v>
      </c>
      <c r="R3004" t="str">
        <f>"0590906"</f>
        <v>0590906</v>
      </c>
      <c r="S3004" t="s">
        <v>361</v>
      </c>
      <c r="T3004" t="s">
        <v>345</v>
      </c>
      <c r="U3004" t="s">
        <v>346</v>
      </c>
      <c r="V3004" t="s">
        <v>131</v>
      </c>
      <c r="W3004" t="s">
        <v>51</v>
      </c>
      <c r="X3004" t="s">
        <v>45</v>
      </c>
      <c r="Y3004" s="1">
        <v>28661</v>
      </c>
      <c r="Z3004">
        <v>2</v>
      </c>
      <c r="AA3004" t="s">
        <v>346</v>
      </c>
      <c r="AB3004" s="40" t="s">
        <v>1799</v>
      </c>
    </row>
    <row r="3005" spans="1:28" x14ac:dyDescent="0.25">
      <c r="A3005">
        <v>99913004</v>
      </c>
      <c r="B3005" t="s">
        <v>56</v>
      </c>
      <c r="C3005" t="s">
        <v>46</v>
      </c>
      <c r="D3005" t="s">
        <v>47</v>
      </c>
      <c r="G3005" t="s">
        <v>48</v>
      </c>
      <c r="H3005">
        <v>1</v>
      </c>
      <c r="K3005" t="s">
        <v>300</v>
      </c>
      <c r="L3005" t="s">
        <v>301</v>
      </c>
      <c r="M3005" t="s">
        <v>131</v>
      </c>
      <c r="N3005">
        <v>21</v>
      </c>
      <c r="P3005" t="s">
        <v>41</v>
      </c>
      <c r="Q3005" t="s">
        <v>42</v>
      </c>
      <c r="R3005" t="str">
        <f>"0580106"</f>
        <v>0580106</v>
      </c>
      <c r="S3005" t="s">
        <v>306</v>
      </c>
      <c r="T3005" t="s">
        <v>300</v>
      </c>
      <c r="U3005" t="s">
        <v>301</v>
      </c>
      <c r="V3005" t="s">
        <v>131</v>
      </c>
      <c r="W3005" t="s">
        <v>51</v>
      </c>
      <c r="X3005" t="s">
        <v>45</v>
      </c>
      <c r="Y3005" s="1">
        <v>28658</v>
      </c>
      <c r="Z3005">
        <v>2</v>
      </c>
      <c r="AA3005" t="s">
        <v>301</v>
      </c>
      <c r="AB3005" s="40" t="s">
        <v>1799</v>
      </c>
    </row>
    <row r="3006" spans="1:28" x14ac:dyDescent="0.25">
      <c r="A3006">
        <v>99913005</v>
      </c>
      <c r="B3006" t="s">
        <v>32</v>
      </c>
      <c r="C3006" t="s">
        <v>141</v>
      </c>
      <c r="D3006" t="s">
        <v>142</v>
      </c>
      <c r="G3006" t="s">
        <v>88</v>
      </c>
      <c r="H3006">
        <v>2</v>
      </c>
      <c r="I3006" t="s">
        <v>564</v>
      </c>
      <c r="J3006" s="1">
        <v>42614</v>
      </c>
      <c r="K3006" t="s">
        <v>431</v>
      </c>
      <c r="L3006" t="s">
        <v>196</v>
      </c>
      <c r="M3006" t="s">
        <v>131</v>
      </c>
      <c r="N3006">
        <v>21</v>
      </c>
      <c r="O3006" s="1">
        <v>42614</v>
      </c>
      <c r="P3006" t="s">
        <v>41</v>
      </c>
      <c r="Q3006" t="s">
        <v>75</v>
      </c>
      <c r="R3006" t="str">
        <f>"7521022"</f>
        <v>7521022</v>
      </c>
      <c r="S3006" t="s">
        <v>445</v>
      </c>
      <c r="T3006" t="s">
        <v>431</v>
      </c>
      <c r="U3006" t="s">
        <v>196</v>
      </c>
      <c r="V3006" t="s">
        <v>131</v>
      </c>
      <c r="W3006" t="s">
        <v>51</v>
      </c>
      <c r="X3006" t="s">
        <v>45</v>
      </c>
      <c r="Y3006" s="1">
        <v>28651</v>
      </c>
      <c r="Z3006">
        <v>1</v>
      </c>
      <c r="AA3006" t="s">
        <v>196</v>
      </c>
      <c r="AB3006" s="40" t="s">
        <v>1799</v>
      </c>
    </row>
    <row r="3007" spans="1:28" x14ac:dyDescent="0.25">
      <c r="A3007">
        <v>99913006</v>
      </c>
      <c r="B3007" t="s">
        <v>56</v>
      </c>
      <c r="C3007" t="s">
        <v>52</v>
      </c>
      <c r="D3007" t="s">
        <v>53</v>
      </c>
      <c r="G3007" t="s">
        <v>48</v>
      </c>
      <c r="H3007">
        <v>1</v>
      </c>
      <c r="K3007" t="s">
        <v>345</v>
      </c>
      <c r="L3007" t="s">
        <v>346</v>
      </c>
      <c r="M3007" t="s">
        <v>131</v>
      </c>
      <c r="N3007">
        <v>21</v>
      </c>
      <c r="P3007" t="s">
        <v>41</v>
      </c>
      <c r="Q3007" t="s">
        <v>49</v>
      </c>
      <c r="R3007" t="str">
        <f>"0561021"</f>
        <v>0561021</v>
      </c>
      <c r="S3007" t="s">
        <v>352</v>
      </c>
      <c r="T3007" t="s">
        <v>345</v>
      </c>
      <c r="U3007" t="s">
        <v>346</v>
      </c>
      <c r="V3007" t="s">
        <v>131</v>
      </c>
      <c r="W3007" t="s">
        <v>51</v>
      </c>
      <c r="X3007" t="s">
        <v>45</v>
      </c>
      <c r="Y3007" s="1">
        <v>28637</v>
      </c>
      <c r="Z3007">
        <v>2</v>
      </c>
      <c r="AA3007" t="s">
        <v>346</v>
      </c>
      <c r="AB3007" s="40" t="s">
        <v>1799</v>
      </c>
    </row>
    <row r="3008" spans="1:28" x14ac:dyDescent="0.25">
      <c r="A3008">
        <v>99913007</v>
      </c>
      <c r="B3008" t="s">
        <v>56</v>
      </c>
      <c r="C3008" t="s">
        <v>85</v>
      </c>
      <c r="D3008" t="s">
        <v>86</v>
      </c>
      <c r="G3008" t="s">
        <v>48</v>
      </c>
      <c r="H3008">
        <v>1</v>
      </c>
      <c r="K3008" t="s">
        <v>1128</v>
      </c>
      <c r="L3008" t="s">
        <v>1129</v>
      </c>
      <c r="M3008" t="s">
        <v>1130</v>
      </c>
      <c r="N3008">
        <v>21</v>
      </c>
      <c r="P3008" t="s">
        <v>41</v>
      </c>
      <c r="Q3008" t="s">
        <v>49</v>
      </c>
      <c r="R3008" t="str">
        <f>"3181015"</f>
        <v>3181015</v>
      </c>
      <c r="S3008" t="s">
        <v>1131</v>
      </c>
      <c r="T3008" t="s">
        <v>1128</v>
      </c>
      <c r="U3008" t="s">
        <v>1129</v>
      </c>
      <c r="V3008" t="s">
        <v>1130</v>
      </c>
      <c r="W3008" t="s">
        <v>51</v>
      </c>
      <c r="X3008" t="s">
        <v>45</v>
      </c>
      <c r="Y3008" s="1">
        <v>28601</v>
      </c>
      <c r="Z3008">
        <v>2</v>
      </c>
      <c r="AA3008" t="s">
        <v>1129</v>
      </c>
      <c r="AB3008" s="40" t="s">
        <v>1799</v>
      </c>
    </row>
    <row r="3009" spans="1:28" x14ac:dyDescent="0.25">
      <c r="A3009">
        <v>99913008</v>
      </c>
      <c r="B3009" t="s">
        <v>56</v>
      </c>
      <c r="C3009" t="s">
        <v>46</v>
      </c>
      <c r="D3009" t="s">
        <v>47</v>
      </c>
      <c r="G3009" t="s">
        <v>48</v>
      </c>
      <c r="H3009">
        <v>1</v>
      </c>
      <c r="K3009" t="s">
        <v>345</v>
      </c>
      <c r="L3009" t="s">
        <v>346</v>
      </c>
      <c r="M3009" t="s">
        <v>131</v>
      </c>
      <c r="N3009">
        <v>21</v>
      </c>
      <c r="P3009" t="s">
        <v>41</v>
      </c>
      <c r="Q3009" t="s">
        <v>49</v>
      </c>
      <c r="R3009" t="str">
        <f>"0561021"</f>
        <v>0561021</v>
      </c>
      <c r="S3009" t="s">
        <v>352</v>
      </c>
      <c r="T3009" t="s">
        <v>345</v>
      </c>
      <c r="U3009" t="s">
        <v>346</v>
      </c>
      <c r="V3009" t="s">
        <v>131</v>
      </c>
      <c r="W3009" t="s">
        <v>51</v>
      </c>
      <c r="X3009" t="s">
        <v>45</v>
      </c>
      <c r="Y3009" s="1">
        <v>28600</v>
      </c>
      <c r="Z3009">
        <v>2</v>
      </c>
      <c r="AA3009" t="s">
        <v>346</v>
      </c>
      <c r="AB3009" s="40" t="s">
        <v>1799</v>
      </c>
    </row>
    <row r="3010" spans="1:28" x14ac:dyDescent="0.25">
      <c r="A3010">
        <v>99913009</v>
      </c>
      <c r="B3010" t="s">
        <v>32</v>
      </c>
      <c r="C3010" t="s">
        <v>79</v>
      </c>
      <c r="D3010" t="s">
        <v>80</v>
      </c>
      <c r="G3010" t="s">
        <v>48</v>
      </c>
      <c r="H3010">
        <v>1</v>
      </c>
      <c r="K3010" t="s">
        <v>1268</v>
      </c>
      <c r="L3010" t="s">
        <v>1269</v>
      </c>
      <c r="M3010" t="s">
        <v>1270</v>
      </c>
      <c r="N3010">
        <v>21</v>
      </c>
      <c r="P3010" t="s">
        <v>41</v>
      </c>
      <c r="Q3010" t="s">
        <v>49</v>
      </c>
      <c r="R3010" t="str">
        <f>"1981914"</f>
        <v>1981914</v>
      </c>
      <c r="S3010" t="s">
        <v>1287</v>
      </c>
      <c r="T3010" t="s">
        <v>1268</v>
      </c>
      <c r="U3010" t="s">
        <v>1269</v>
      </c>
      <c r="V3010" t="s">
        <v>1270</v>
      </c>
      <c r="W3010" t="s">
        <v>51</v>
      </c>
      <c r="X3010" t="s">
        <v>45</v>
      </c>
      <c r="Y3010" s="1">
        <v>28590</v>
      </c>
      <c r="Z3010">
        <v>2</v>
      </c>
      <c r="AA3010" t="s">
        <v>1269</v>
      </c>
      <c r="AB3010" s="40" t="s">
        <v>1799</v>
      </c>
    </row>
    <row r="3011" spans="1:28" x14ac:dyDescent="0.25">
      <c r="A3011">
        <v>99913010</v>
      </c>
      <c r="B3011" t="s">
        <v>32</v>
      </c>
      <c r="C3011" t="s">
        <v>58</v>
      </c>
      <c r="D3011" t="s">
        <v>59</v>
      </c>
      <c r="G3011" t="s">
        <v>35</v>
      </c>
      <c r="H3011">
        <v>1</v>
      </c>
      <c r="I3011">
        <v>0</v>
      </c>
      <c r="J3011" s="1">
        <v>43344</v>
      </c>
      <c r="K3011" t="s">
        <v>223</v>
      </c>
      <c r="L3011" t="s">
        <v>224</v>
      </c>
      <c r="M3011" t="s">
        <v>131</v>
      </c>
      <c r="N3011">
        <v>21</v>
      </c>
      <c r="O3011" s="1">
        <v>43344</v>
      </c>
      <c r="P3011" t="s">
        <v>41</v>
      </c>
      <c r="Q3011" t="s">
        <v>42</v>
      </c>
      <c r="R3011" t="str">
        <f>"0580206"</f>
        <v>0580206</v>
      </c>
      <c r="S3011" t="s">
        <v>237</v>
      </c>
      <c r="T3011" t="s">
        <v>223</v>
      </c>
      <c r="U3011" t="s">
        <v>224</v>
      </c>
      <c r="V3011" t="s">
        <v>131</v>
      </c>
      <c r="W3011" t="s">
        <v>51</v>
      </c>
      <c r="X3011" t="s">
        <v>45</v>
      </c>
      <c r="Y3011" s="1">
        <v>28583</v>
      </c>
      <c r="Z3011">
        <v>2</v>
      </c>
      <c r="AA3011" t="s">
        <v>224</v>
      </c>
      <c r="AB3011" s="40" t="s">
        <v>1799</v>
      </c>
    </row>
    <row r="3012" spans="1:28" x14ac:dyDescent="0.25">
      <c r="A3012">
        <v>99913011</v>
      </c>
      <c r="B3012" t="s">
        <v>56</v>
      </c>
      <c r="C3012" t="s">
        <v>145</v>
      </c>
      <c r="D3012" t="s">
        <v>146</v>
      </c>
      <c r="G3012" t="s">
        <v>35</v>
      </c>
      <c r="H3012">
        <v>1</v>
      </c>
      <c r="I3012" t="s">
        <v>271</v>
      </c>
      <c r="J3012" s="1">
        <v>43344</v>
      </c>
      <c r="K3012" t="s">
        <v>223</v>
      </c>
      <c r="L3012" t="s">
        <v>224</v>
      </c>
      <c r="M3012" t="s">
        <v>131</v>
      </c>
      <c r="N3012">
        <v>21</v>
      </c>
      <c r="O3012" s="1">
        <v>43344</v>
      </c>
      <c r="P3012" t="s">
        <v>41</v>
      </c>
      <c r="Q3012" t="s">
        <v>49</v>
      </c>
      <c r="R3012" t="str">
        <f>"0581207"</f>
        <v>0581207</v>
      </c>
      <c r="S3012" t="s">
        <v>233</v>
      </c>
      <c r="T3012" t="s">
        <v>223</v>
      </c>
      <c r="U3012" t="s">
        <v>224</v>
      </c>
      <c r="V3012" t="s">
        <v>131</v>
      </c>
      <c r="W3012" t="s">
        <v>44</v>
      </c>
      <c r="X3012" t="s">
        <v>45</v>
      </c>
      <c r="Y3012" s="1">
        <v>28569</v>
      </c>
      <c r="Z3012">
        <v>2</v>
      </c>
      <c r="AA3012" t="s">
        <v>224</v>
      </c>
      <c r="AB3012" s="40" t="s">
        <v>1799</v>
      </c>
    </row>
    <row r="3013" spans="1:28" x14ac:dyDescent="0.25">
      <c r="A3013">
        <v>99913012</v>
      </c>
      <c r="B3013" t="s">
        <v>32</v>
      </c>
      <c r="C3013" t="s">
        <v>143</v>
      </c>
      <c r="D3013" t="s">
        <v>144</v>
      </c>
      <c r="G3013" t="s">
        <v>35</v>
      </c>
      <c r="H3013">
        <v>1</v>
      </c>
      <c r="K3013" t="s">
        <v>223</v>
      </c>
      <c r="L3013" t="s">
        <v>224</v>
      </c>
      <c r="M3013" t="s">
        <v>131</v>
      </c>
      <c r="N3013">
        <v>21</v>
      </c>
      <c r="P3013" t="s">
        <v>41</v>
      </c>
      <c r="Q3013" t="s">
        <v>75</v>
      </c>
      <c r="R3013" t="str">
        <f>"7052020"</f>
        <v>7052020</v>
      </c>
      <c r="S3013" t="s">
        <v>267</v>
      </c>
      <c r="T3013" t="s">
        <v>268</v>
      </c>
      <c r="U3013" t="s">
        <v>269</v>
      </c>
      <c r="V3013" t="s">
        <v>131</v>
      </c>
      <c r="W3013" t="s">
        <v>51</v>
      </c>
      <c r="X3013" t="s">
        <v>45</v>
      </c>
      <c r="Y3013" s="1">
        <v>28541</v>
      </c>
      <c r="Z3013">
        <v>2</v>
      </c>
      <c r="AA3013" t="s">
        <v>224</v>
      </c>
      <c r="AB3013" s="40" t="s">
        <v>1799</v>
      </c>
    </row>
    <row r="3014" spans="1:28" x14ac:dyDescent="0.25">
      <c r="A3014">
        <v>99913013</v>
      </c>
      <c r="B3014" t="s">
        <v>32</v>
      </c>
      <c r="C3014" t="s">
        <v>46</v>
      </c>
      <c r="D3014" t="s">
        <v>47</v>
      </c>
      <c r="G3014" t="s">
        <v>48</v>
      </c>
      <c r="H3014">
        <v>1</v>
      </c>
      <c r="K3014" t="s">
        <v>300</v>
      </c>
      <c r="L3014" t="s">
        <v>301</v>
      </c>
      <c r="M3014" t="s">
        <v>131</v>
      </c>
      <c r="N3014">
        <v>21</v>
      </c>
      <c r="P3014" t="s">
        <v>41</v>
      </c>
      <c r="Q3014" t="s">
        <v>49</v>
      </c>
      <c r="R3014" t="str">
        <f>"0560001"</f>
        <v>0560001</v>
      </c>
      <c r="S3014" t="s">
        <v>304</v>
      </c>
      <c r="T3014" t="s">
        <v>300</v>
      </c>
      <c r="U3014" t="s">
        <v>301</v>
      </c>
      <c r="V3014" t="s">
        <v>131</v>
      </c>
      <c r="W3014" t="s">
        <v>51</v>
      </c>
      <c r="X3014" t="s">
        <v>45</v>
      </c>
      <c r="Y3014" s="1">
        <v>28541</v>
      </c>
      <c r="Z3014">
        <v>2</v>
      </c>
      <c r="AA3014" t="s">
        <v>301</v>
      </c>
      <c r="AB3014" s="40" t="s">
        <v>1799</v>
      </c>
    </row>
    <row r="3015" spans="1:28" x14ac:dyDescent="0.25">
      <c r="A3015">
        <v>99913014</v>
      </c>
      <c r="B3015" t="s">
        <v>56</v>
      </c>
      <c r="C3015" t="s">
        <v>46</v>
      </c>
      <c r="D3015" t="s">
        <v>47</v>
      </c>
      <c r="G3015" t="s">
        <v>48</v>
      </c>
      <c r="H3015">
        <v>1</v>
      </c>
      <c r="K3015" t="s">
        <v>1268</v>
      </c>
      <c r="L3015" t="s">
        <v>1269</v>
      </c>
      <c r="M3015" t="s">
        <v>1270</v>
      </c>
      <c r="N3015">
        <v>21</v>
      </c>
      <c r="P3015" t="s">
        <v>41</v>
      </c>
      <c r="Q3015" t="s">
        <v>49</v>
      </c>
      <c r="R3015" t="str">
        <f>"1981914"</f>
        <v>1981914</v>
      </c>
      <c r="S3015" t="s">
        <v>1287</v>
      </c>
      <c r="T3015" t="s">
        <v>1268</v>
      </c>
      <c r="U3015" t="s">
        <v>1269</v>
      </c>
      <c r="V3015" t="s">
        <v>1270</v>
      </c>
      <c r="W3015" t="s">
        <v>51</v>
      </c>
      <c r="X3015" t="s">
        <v>45</v>
      </c>
      <c r="Y3015" s="1">
        <v>28532</v>
      </c>
      <c r="Z3015">
        <v>2</v>
      </c>
      <c r="AA3015" t="s">
        <v>1269</v>
      </c>
      <c r="AB3015" s="40" t="s">
        <v>1799</v>
      </c>
    </row>
    <row r="3016" spans="1:28" x14ac:dyDescent="0.25">
      <c r="A3016">
        <v>99913015</v>
      </c>
      <c r="B3016" t="s">
        <v>56</v>
      </c>
      <c r="C3016" t="s">
        <v>61</v>
      </c>
      <c r="D3016" t="s">
        <v>62</v>
      </c>
      <c r="G3016" t="s">
        <v>48</v>
      </c>
      <c r="H3016">
        <v>1</v>
      </c>
      <c r="K3016" t="s">
        <v>223</v>
      </c>
      <c r="L3016" t="s">
        <v>224</v>
      </c>
      <c r="M3016" t="s">
        <v>131</v>
      </c>
      <c r="N3016">
        <v>21</v>
      </c>
      <c r="P3016" t="s">
        <v>41</v>
      </c>
      <c r="Q3016" t="s">
        <v>42</v>
      </c>
      <c r="R3016" t="str">
        <f>"0580206"</f>
        <v>0580206</v>
      </c>
      <c r="S3016" t="s">
        <v>237</v>
      </c>
      <c r="T3016" t="s">
        <v>223</v>
      </c>
      <c r="U3016" t="s">
        <v>224</v>
      </c>
      <c r="V3016" t="s">
        <v>131</v>
      </c>
      <c r="W3016" t="s">
        <v>51</v>
      </c>
      <c r="X3016" t="s">
        <v>45</v>
      </c>
      <c r="Y3016" s="1">
        <v>28527</v>
      </c>
      <c r="Z3016">
        <v>2</v>
      </c>
      <c r="AA3016" t="s">
        <v>224</v>
      </c>
      <c r="AB3016" s="40" t="s">
        <v>1799</v>
      </c>
    </row>
    <row r="3017" spans="1:28" x14ac:dyDescent="0.25">
      <c r="A3017">
        <v>99913016</v>
      </c>
      <c r="B3017" t="s">
        <v>32</v>
      </c>
      <c r="C3017" t="s">
        <v>139</v>
      </c>
      <c r="D3017" t="s">
        <v>140</v>
      </c>
      <c r="G3017" t="s">
        <v>48</v>
      </c>
      <c r="H3017">
        <v>1</v>
      </c>
      <c r="K3017" t="s">
        <v>985</v>
      </c>
      <c r="L3017" t="s">
        <v>986</v>
      </c>
      <c r="M3017" t="s">
        <v>938</v>
      </c>
      <c r="N3017">
        <v>21</v>
      </c>
      <c r="P3017" t="s">
        <v>41</v>
      </c>
      <c r="Q3017" t="s">
        <v>75</v>
      </c>
      <c r="R3017" t="str">
        <f>"7011004"</f>
        <v>7011004</v>
      </c>
      <c r="S3017" t="s">
        <v>987</v>
      </c>
      <c r="T3017" t="s">
        <v>985</v>
      </c>
      <c r="U3017" t="s">
        <v>986</v>
      </c>
      <c r="V3017" t="s">
        <v>938</v>
      </c>
      <c r="W3017" t="s">
        <v>51</v>
      </c>
      <c r="X3017" t="s">
        <v>45</v>
      </c>
      <c r="Y3017" s="1">
        <v>28509</v>
      </c>
      <c r="Z3017">
        <v>1</v>
      </c>
      <c r="AA3017" t="s">
        <v>986</v>
      </c>
      <c r="AB3017" s="40" t="s">
        <v>1799</v>
      </c>
    </row>
    <row r="3018" spans="1:28" x14ac:dyDescent="0.25">
      <c r="A3018">
        <v>99913017</v>
      </c>
      <c r="B3018" t="s">
        <v>56</v>
      </c>
      <c r="C3018" t="s">
        <v>46</v>
      </c>
      <c r="D3018" t="s">
        <v>47</v>
      </c>
      <c r="G3018" t="s">
        <v>48</v>
      </c>
      <c r="H3018">
        <v>1</v>
      </c>
      <c r="K3018" t="s">
        <v>223</v>
      </c>
      <c r="L3018" t="s">
        <v>224</v>
      </c>
      <c r="M3018" t="s">
        <v>131</v>
      </c>
      <c r="N3018">
        <v>21</v>
      </c>
      <c r="P3018" t="s">
        <v>41</v>
      </c>
      <c r="Q3018" t="s">
        <v>42</v>
      </c>
      <c r="R3018" t="str">
        <f>"0580200"</f>
        <v>0580200</v>
      </c>
      <c r="S3018" t="s">
        <v>245</v>
      </c>
      <c r="T3018" t="s">
        <v>223</v>
      </c>
      <c r="U3018" t="s">
        <v>224</v>
      </c>
      <c r="V3018" t="s">
        <v>131</v>
      </c>
      <c r="W3018" t="s">
        <v>51</v>
      </c>
      <c r="X3018" t="s">
        <v>45</v>
      </c>
      <c r="Y3018" s="1">
        <v>28499</v>
      </c>
      <c r="Z3018">
        <v>2</v>
      </c>
      <c r="AA3018" t="s">
        <v>224</v>
      </c>
      <c r="AB3018" s="40" t="s">
        <v>1799</v>
      </c>
    </row>
    <row r="3019" spans="1:28" x14ac:dyDescent="0.25">
      <c r="A3019">
        <v>99913018</v>
      </c>
      <c r="B3019" t="s">
        <v>32</v>
      </c>
      <c r="C3019" t="s">
        <v>46</v>
      </c>
      <c r="D3019" t="s">
        <v>47</v>
      </c>
      <c r="G3019" t="s">
        <v>48</v>
      </c>
      <c r="H3019">
        <v>1</v>
      </c>
      <c r="K3019" t="s">
        <v>223</v>
      </c>
      <c r="L3019" t="s">
        <v>224</v>
      </c>
      <c r="M3019" t="s">
        <v>131</v>
      </c>
      <c r="N3019">
        <v>21</v>
      </c>
      <c r="P3019" t="s">
        <v>41</v>
      </c>
      <c r="Q3019" t="s">
        <v>49</v>
      </c>
      <c r="R3019" t="str">
        <f>"0540902"</f>
        <v>0540902</v>
      </c>
      <c r="S3019" t="s">
        <v>256</v>
      </c>
      <c r="T3019" t="s">
        <v>223</v>
      </c>
      <c r="U3019" t="s">
        <v>224</v>
      </c>
      <c r="V3019" t="s">
        <v>131</v>
      </c>
      <c r="W3019" t="s">
        <v>51</v>
      </c>
      <c r="X3019" t="s">
        <v>45</v>
      </c>
      <c r="Y3019" s="1">
        <v>28491</v>
      </c>
      <c r="Z3019">
        <v>2</v>
      </c>
      <c r="AA3019" t="s">
        <v>224</v>
      </c>
      <c r="AB3019" s="40" t="s">
        <v>1799</v>
      </c>
    </row>
    <row r="3020" spans="1:28" x14ac:dyDescent="0.25">
      <c r="A3020">
        <v>99913019</v>
      </c>
      <c r="B3020" t="s">
        <v>56</v>
      </c>
      <c r="C3020" t="s">
        <v>52</v>
      </c>
      <c r="D3020" t="s">
        <v>53</v>
      </c>
      <c r="G3020" t="s">
        <v>35</v>
      </c>
      <c r="H3020">
        <v>1</v>
      </c>
      <c r="K3020" t="s">
        <v>345</v>
      </c>
      <c r="L3020" t="s">
        <v>346</v>
      </c>
      <c r="M3020" t="s">
        <v>131</v>
      </c>
      <c r="N3020">
        <v>21</v>
      </c>
      <c r="P3020" t="s">
        <v>41</v>
      </c>
      <c r="Q3020" t="s">
        <v>42</v>
      </c>
      <c r="R3020" t="str">
        <f>"0561006"</f>
        <v>0561006</v>
      </c>
      <c r="S3020" t="s">
        <v>360</v>
      </c>
      <c r="T3020" t="s">
        <v>345</v>
      </c>
      <c r="U3020" t="s">
        <v>346</v>
      </c>
      <c r="V3020" t="s">
        <v>131</v>
      </c>
      <c r="W3020" t="s">
        <v>51</v>
      </c>
      <c r="X3020" t="s">
        <v>45</v>
      </c>
      <c r="Y3020" s="1">
        <v>28491</v>
      </c>
      <c r="Z3020">
        <v>2</v>
      </c>
      <c r="AA3020" t="s">
        <v>346</v>
      </c>
      <c r="AB3020" s="40" t="s">
        <v>1799</v>
      </c>
    </row>
    <row r="3021" spans="1:28" x14ac:dyDescent="0.25">
      <c r="A3021">
        <v>99913020</v>
      </c>
      <c r="B3021" t="s">
        <v>56</v>
      </c>
      <c r="C3021" t="s">
        <v>46</v>
      </c>
      <c r="D3021" t="s">
        <v>47</v>
      </c>
      <c r="G3021" t="s">
        <v>48</v>
      </c>
      <c r="H3021">
        <v>1</v>
      </c>
      <c r="K3021" t="s">
        <v>223</v>
      </c>
      <c r="L3021" t="s">
        <v>224</v>
      </c>
      <c r="M3021" t="s">
        <v>131</v>
      </c>
      <c r="N3021">
        <v>21</v>
      </c>
      <c r="P3021" t="s">
        <v>41</v>
      </c>
      <c r="Q3021" t="s">
        <v>42</v>
      </c>
      <c r="R3021" t="str">
        <f>"0580200"</f>
        <v>0580200</v>
      </c>
      <c r="S3021" t="s">
        <v>245</v>
      </c>
      <c r="T3021" t="s">
        <v>223</v>
      </c>
      <c r="U3021" t="s">
        <v>224</v>
      </c>
      <c r="V3021" t="s">
        <v>131</v>
      </c>
      <c r="W3021" t="s">
        <v>51</v>
      </c>
      <c r="X3021" t="s">
        <v>45</v>
      </c>
      <c r="Y3021" s="1">
        <v>28468</v>
      </c>
      <c r="Z3021">
        <v>2</v>
      </c>
      <c r="AA3021" t="s">
        <v>224</v>
      </c>
      <c r="AB3021" s="40" t="s">
        <v>1799</v>
      </c>
    </row>
    <row r="3022" spans="1:28" x14ac:dyDescent="0.25">
      <c r="A3022">
        <v>99913021</v>
      </c>
      <c r="B3022" t="s">
        <v>32</v>
      </c>
      <c r="C3022" t="s">
        <v>61</v>
      </c>
      <c r="D3022" t="s">
        <v>62</v>
      </c>
      <c r="G3022" t="s">
        <v>35</v>
      </c>
      <c r="H3022">
        <v>1</v>
      </c>
      <c r="K3022" t="s">
        <v>223</v>
      </c>
      <c r="L3022" t="s">
        <v>224</v>
      </c>
      <c r="M3022" t="s">
        <v>131</v>
      </c>
      <c r="N3022">
        <v>21</v>
      </c>
      <c r="P3022" t="s">
        <v>41</v>
      </c>
      <c r="Q3022" t="s">
        <v>49</v>
      </c>
      <c r="R3022" t="str">
        <f>"0591907"</f>
        <v>0591907</v>
      </c>
      <c r="S3022" t="s">
        <v>243</v>
      </c>
      <c r="T3022" t="s">
        <v>223</v>
      </c>
      <c r="U3022" t="s">
        <v>224</v>
      </c>
      <c r="V3022" t="s">
        <v>131</v>
      </c>
      <c r="W3022" t="s">
        <v>51</v>
      </c>
      <c r="X3022" t="s">
        <v>45</v>
      </c>
      <c r="Y3022" s="1">
        <v>28462</v>
      </c>
      <c r="Z3022">
        <v>2</v>
      </c>
      <c r="AA3022" t="s">
        <v>224</v>
      </c>
      <c r="AB3022" s="40" t="s">
        <v>1799</v>
      </c>
    </row>
    <row r="3023" spans="1:28" x14ac:dyDescent="0.25">
      <c r="A3023">
        <v>99913022</v>
      </c>
      <c r="B3023" t="s">
        <v>32</v>
      </c>
      <c r="C3023" t="s">
        <v>46</v>
      </c>
      <c r="D3023" t="s">
        <v>47</v>
      </c>
      <c r="G3023" t="s">
        <v>48</v>
      </c>
      <c r="H3023">
        <v>1</v>
      </c>
      <c r="K3023" t="s">
        <v>223</v>
      </c>
      <c r="L3023" t="s">
        <v>224</v>
      </c>
      <c r="M3023" t="s">
        <v>131</v>
      </c>
      <c r="N3023">
        <v>21</v>
      </c>
      <c r="P3023" t="s">
        <v>41</v>
      </c>
      <c r="Q3023" t="s">
        <v>49</v>
      </c>
      <c r="R3023" t="str">
        <f>"0581204"</f>
        <v>0581204</v>
      </c>
      <c r="S3023" t="s">
        <v>249</v>
      </c>
      <c r="T3023" t="s">
        <v>223</v>
      </c>
      <c r="U3023" t="s">
        <v>224</v>
      </c>
      <c r="V3023" t="s">
        <v>131</v>
      </c>
      <c r="W3023" t="s">
        <v>51</v>
      </c>
      <c r="X3023" t="s">
        <v>45</v>
      </c>
      <c r="Y3023" s="1">
        <v>28433</v>
      </c>
      <c r="Z3023">
        <v>2</v>
      </c>
      <c r="AA3023" t="s">
        <v>224</v>
      </c>
      <c r="AB3023" s="40" t="s">
        <v>1799</v>
      </c>
    </row>
    <row r="3024" spans="1:28" x14ac:dyDescent="0.25">
      <c r="A3024">
        <v>99913023</v>
      </c>
      <c r="B3024" t="s">
        <v>56</v>
      </c>
      <c r="C3024" t="s">
        <v>139</v>
      </c>
      <c r="D3024" t="s">
        <v>140</v>
      </c>
      <c r="G3024" t="s">
        <v>48</v>
      </c>
      <c r="H3024">
        <v>1</v>
      </c>
      <c r="K3024" t="s">
        <v>345</v>
      </c>
      <c r="L3024" t="s">
        <v>346</v>
      </c>
      <c r="M3024" t="s">
        <v>131</v>
      </c>
      <c r="N3024">
        <v>21</v>
      </c>
      <c r="P3024" t="s">
        <v>41</v>
      </c>
      <c r="Q3024" t="s">
        <v>49</v>
      </c>
      <c r="R3024" t="str">
        <f>"0591906"</f>
        <v>0591906</v>
      </c>
      <c r="S3024" t="s">
        <v>350</v>
      </c>
      <c r="T3024" t="s">
        <v>345</v>
      </c>
      <c r="U3024" t="s">
        <v>346</v>
      </c>
      <c r="V3024" t="s">
        <v>131</v>
      </c>
      <c r="W3024" t="s">
        <v>51</v>
      </c>
      <c r="X3024" t="s">
        <v>45</v>
      </c>
      <c r="Y3024" s="1">
        <v>28408</v>
      </c>
      <c r="Z3024">
        <v>2</v>
      </c>
      <c r="AA3024" t="s">
        <v>346</v>
      </c>
      <c r="AB3024" s="40" t="s">
        <v>1799</v>
      </c>
    </row>
    <row r="3025" spans="1:28" x14ac:dyDescent="0.25">
      <c r="A3025">
        <v>99913024</v>
      </c>
      <c r="B3025" t="s">
        <v>32</v>
      </c>
      <c r="C3025" t="s">
        <v>64</v>
      </c>
      <c r="D3025" t="s">
        <v>65</v>
      </c>
      <c r="G3025" t="s">
        <v>35</v>
      </c>
      <c r="H3025">
        <v>1</v>
      </c>
      <c r="I3025" s="1">
        <v>42688</v>
      </c>
      <c r="J3025" s="1">
        <v>43344</v>
      </c>
      <c r="K3025" t="s">
        <v>1341</v>
      </c>
      <c r="L3025" t="s">
        <v>1342</v>
      </c>
      <c r="M3025" t="s">
        <v>1270</v>
      </c>
      <c r="N3025">
        <v>21</v>
      </c>
      <c r="O3025" s="1">
        <v>43344</v>
      </c>
      <c r="P3025" t="s">
        <v>41</v>
      </c>
      <c r="Q3025" t="s">
        <v>75</v>
      </c>
      <c r="R3025" t="str">
        <f>"7191000"</f>
        <v>7191000</v>
      </c>
      <c r="S3025" t="s">
        <v>1347</v>
      </c>
      <c r="T3025" t="s">
        <v>1341</v>
      </c>
      <c r="U3025" t="s">
        <v>1342</v>
      </c>
      <c r="V3025" t="s">
        <v>1270</v>
      </c>
      <c r="W3025" t="s">
        <v>51</v>
      </c>
      <c r="X3025" t="s">
        <v>45</v>
      </c>
      <c r="Y3025" s="1">
        <v>28406</v>
      </c>
      <c r="Z3025">
        <v>1</v>
      </c>
      <c r="AA3025" t="s">
        <v>1342</v>
      </c>
      <c r="AB3025" s="40" t="s">
        <v>1799</v>
      </c>
    </row>
    <row r="3026" spans="1:28" x14ac:dyDescent="0.25">
      <c r="A3026">
        <v>99913025</v>
      </c>
      <c r="B3026" t="s">
        <v>56</v>
      </c>
      <c r="C3026" t="s">
        <v>61</v>
      </c>
      <c r="D3026" t="s">
        <v>62</v>
      </c>
      <c r="G3026" t="s">
        <v>48</v>
      </c>
      <c r="H3026">
        <v>1</v>
      </c>
      <c r="K3026" t="s">
        <v>1546</v>
      </c>
      <c r="L3026" t="s">
        <v>1547</v>
      </c>
      <c r="M3026" t="s">
        <v>1548</v>
      </c>
      <c r="N3026">
        <v>21</v>
      </c>
      <c r="P3026" t="s">
        <v>41</v>
      </c>
      <c r="Q3026" t="s">
        <v>75</v>
      </c>
      <c r="R3026" t="str">
        <f>"7101002"</f>
        <v>7101002</v>
      </c>
      <c r="S3026" t="s">
        <v>1563</v>
      </c>
      <c r="T3026" t="s">
        <v>1564</v>
      </c>
      <c r="U3026" t="s">
        <v>1565</v>
      </c>
      <c r="V3026" t="s">
        <v>1548</v>
      </c>
      <c r="W3026" t="s">
        <v>51</v>
      </c>
      <c r="X3026" t="s">
        <v>45</v>
      </c>
      <c r="Y3026" s="1">
        <v>28388</v>
      </c>
      <c r="Z3026">
        <v>2</v>
      </c>
      <c r="AA3026" t="s">
        <v>1547</v>
      </c>
      <c r="AB3026" s="40" t="s">
        <v>1799</v>
      </c>
    </row>
    <row r="3027" spans="1:28" x14ac:dyDescent="0.25">
      <c r="A3027">
        <v>99913026</v>
      </c>
      <c r="B3027" t="s">
        <v>32</v>
      </c>
      <c r="C3027" t="s">
        <v>82</v>
      </c>
      <c r="D3027" t="s">
        <v>83</v>
      </c>
      <c r="G3027" t="s">
        <v>48</v>
      </c>
      <c r="H3027">
        <v>1</v>
      </c>
      <c r="K3027" t="s">
        <v>223</v>
      </c>
      <c r="L3027" t="s">
        <v>224</v>
      </c>
      <c r="M3027" t="s">
        <v>131</v>
      </c>
      <c r="N3027">
        <v>21</v>
      </c>
      <c r="P3027" t="s">
        <v>41</v>
      </c>
      <c r="Q3027" t="s">
        <v>42</v>
      </c>
      <c r="R3027" t="str">
        <f>"0580206"</f>
        <v>0580206</v>
      </c>
      <c r="S3027" t="s">
        <v>237</v>
      </c>
      <c r="T3027" t="s">
        <v>223</v>
      </c>
      <c r="U3027" t="s">
        <v>224</v>
      </c>
      <c r="V3027" t="s">
        <v>131</v>
      </c>
      <c r="W3027" t="s">
        <v>51</v>
      </c>
      <c r="X3027" t="s">
        <v>45</v>
      </c>
      <c r="Y3027" s="1">
        <v>28350</v>
      </c>
      <c r="Z3027">
        <v>2</v>
      </c>
      <c r="AA3027" t="s">
        <v>224</v>
      </c>
      <c r="AB3027" s="40" t="s">
        <v>1799</v>
      </c>
    </row>
    <row r="3028" spans="1:28" x14ac:dyDescent="0.25">
      <c r="A3028">
        <v>99913027</v>
      </c>
      <c r="B3028" t="s">
        <v>32</v>
      </c>
      <c r="C3028" t="s">
        <v>46</v>
      </c>
      <c r="D3028" t="s">
        <v>47</v>
      </c>
      <c r="G3028" t="s">
        <v>35</v>
      </c>
      <c r="H3028">
        <v>1</v>
      </c>
      <c r="K3028" t="s">
        <v>157</v>
      </c>
      <c r="L3028" t="s">
        <v>158</v>
      </c>
      <c r="M3028" t="s">
        <v>131</v>
      </c>
      <c r="N3028">
        <v>21</v>
      </c>
      <c r="P3028" t="s">
        <v>41</v>
      </c>
      <c r="Q3028" t="s">
        <v>49</v>
      </c>
      <c r="R3028" t="str">
        <f>"0580505"</f>
        <v>0580505</v>
      </c>
      <c r="S3028" t="s">
        <v>168</v>
      </c>
      <c r="T3028" t="s">
        <v>157</v>
      </c>
      <c r="U3028" t="s">
        <v>158</v>
      </c>
      <c r="V3028" t="s">
        <v>131</v>
      </c>
      <c r="W3028" t="s">
        <v>51</v>
      </c>
      <c r="X3028" t="s">
        <v>45</v>
      </c>
      <c r="Y3028" s="1">
        <v>28342</v>
      </c>
      <c r="Z3028">
        <v>2</v>
      </c>
      <c r="AA3028" t="s">
        <v>158</v>
      </c>
      <c r="AB3028" s="40" t="s">
        <v>1799</v>
      </c>
    </row>
    <row r="3029" spans="1:28" x14ac:dyDescent="0.25">
      <c r="A3029">
        <v>99913028</v>
      </c>
      <c r="B3029" t="s">
        <v>32</v>
      </c>
      <c r="C3029" t="s">
        <v>46</v>
      </c>
      <c r="D3029" t="s">
        <v>47</v>
      </c>
      <c r="G3029" t="s">
        <v>48</v>
      </c>
      <c r="H3029">
        <v>1</v>
      </c>
      <c r="K3029" t="s">
        <v>345</v>
      </c>
      <c r="L3029" t="s">
        <v>346</v>
      </c>
      <c r="M3029" t="s">
        <v>131</v>
      </c>
      <c r="N3029">
        <v>21</v>
      </c>
      <c r="P3029" t="s">
        <v>41</v>
      </c>
      <c r="Q3029" t="s">
        <v>42</v>
      </c>
      <c r="R3029" t="str">
        <f>"0590906"</f>
        <v>0590906</v>
      </c>
      <c r="S3029" t="s">
        <v>361</v>
      </c>
      <c r="T3029" t="s">
        <v>345</v>
      </c>
      <c r="U3029" t="s">
        <v>346</v>
      </c>
      <c r="V3029" t="s">
        <v>131</v>
      </c>
      <c r="W3029" t="s">
        <v>51</v>
      </c>
      <c r="X3029" t="s">
        <v>45</v>
      </c>
      <c r="Y3029" s="1">
        <v>28342</v>
      </c>
      <c r="Z3029">
        <v>2</v>
      </c>
      <c r="AA3029" t="s">
        <v>346</v>
      </c>
      <c r="AB3029" s="40" t="s">
        <v>1799</v>
      </c>
    </row>
    <row r="3030" spans="1:28" x14ac:dyDescent="0.25">
      <c r="A3030">
        <v>99913029</v>
      </c>
      <c r="B3030" t="s">
        <v>32</v>
      </c>
      <c r="C3030" t="s">
        <v>46</v>
      </c>
      <c r="D3030" t="s">
        <v>47</v>
      </c>
      <c r="G3030" t="s">
        <v>48</v>
      </c>
      <c r="H3030">
        <v>1</v>
      </c>
      <c r="K3030" t="s">
        <v>380</v>
      </c>
      <c r="L3030" t="s">
        <v>381</v>
      </c>
      <c r="M3030" t="s">
        <v>131</v>
      </c>
      <c r="N3030">
        <v>21</v>
      </c>
      <c r="P3030" t="s">
        <v>41</v>
      </c>
      <c r="Q3030" t="s">
        <v>49</v>
      </c>
      <c r="R3030" t="str">
        <f>"0591908"</f>
        <v>0591908</v>
      </c>
      <c r="S3030" t="s">
        <v>383</v>
      </c>
      <c r="T3030" t="s">
        <v>380</v>
      </c>
      <c r="U3030" t="s">
        <v>381</v>
      </c>
      <c r="V3030" t="s">
        <v>131</v>
      </c>
      <c r="W3030" t="s">
        <v>51</v>
      </c>
      <c r="X3030" t="s">
        <v>45</v>
      </c>
      <c r="Y3030" s="1">
        <v>28330</v>
      </c>
      <c r="Z3030">
        <v>2</v>
      </c>
      <c r="AA3030" t="s">
        <v>381</v>
      </c>
      <c r="AB3030" s="40" t="s">
        <v>1799</v>
      </c>
    </row>
    <row r="3031" spans="1:28" x14ac:dyDescent="0.25">
      <c r="A3031">
        <v>99913030</v>
      </c>
      <c r="B3031" t="s">
        <v>32</v>
      </c>
      <c r="C3031" t="s">
        <v>46</v>
      </c>
      <c r="D3031" t="s">
        <v>47</v>
      </c>
      <c r="G3031" t="s">
        <v>88</v>
      </c>
      <c r="H3031">
        <v>4</v>
      </c>
      <c r="K3031" t="s">
        <v>157</v>
      </c>
      <c r="L3031" t="s">
        <v>158</v>
      </c>
      <c r="M3031" t="s">
        <v>131</v>
      </c>
      <c r="N3031">
        <v>21</v>
      </c>
      <c r="P3031" t="s">
        <v>41</v>
      </c>
      <c r="Q3031" t="s">
        <v>49</v>
      </c>
      <c r="R3031" t="str">
        <f>"0560026"</f>
        <v>0560026</v>
      </c>
      <c r="S3031" t="s">
        <v>184</v>
      </c>
      <c r="T3031" t="s">
        <v>157</v>
      </c>
      <c r="U3031" t="s">
        <v>158</v>
      </c>
      <c r="V3031" t="s">
        <v>131</v>
      </c>
      <c r="W3031" t="s">
        <v>51</v>
      </c>
      <c r="X3031" t="s">
        <v>45</v>
      </c>
      <c r="Y3031" s="1">
        <v>28322</v>
      </c>
      <c r="Z3031">
        <v>2</v>
      </c>
      <c r="AA3031" t="s">
        <v>158</v>
      </c>
      <c r="AB3031" s="40" t="s">
        <v>1799</v>
      </c>
    </row>
    <row r="3032" spans="1:28" x14ac:dyDescent="0.25">
      <c r="A3032">
        <v>99913031</v>
      </c>
      <c r="B3032" t="s">
        <v>56</v>
      </c>
      <c r="C3032" t="s">
        <v>61</v>
      </c>
      <c r="D3032" t="s">
        <v>62</v>
      </c>
      <c r="G3032" t="s">
        <v>35</v>
      </c>
      <c r="H3032">
        <v>1</v>
      </c>
      <c r="I3032">
        <v>0</v>
      </c>
      <c r="J3032" s="1">
        <v>43344</v>
      </c>
      <c r="K3032" t="s">
        <v>223</v>
      </c>
      <c r="L3032" t="s">
        <v>224</v>
      </c>
      <c r="M3032" t="s">
        <v>131</v>
      </c>
      <c r="N3032">
        <v>21</v>
      </c>
      <c r="O3032" s="1">
        <v>43344</v>
      </c>
      <c r="P3032" t="s">
        <v>41</v>
      </c>
      <c r="Q3032" t="s">
        <v>49</v>
      </c>
      <c r="R3032" t="str">
        <f>"0591901"</f>
        <v>0591901</v>
      </c>
      <c r="S3032" t="s">
        <v>230</v>
      </c>
      <c r="T3032" t="s">
        <v>223</v>
      </c>
      <c r="U3032" t="s">
        <v>224</v>
      </c>
      <c r="V3032" t="s">
        <v>131</v>
      </c>
      <c r="W3032" t="s">
        <v>44</v>
      </c>
      <c r="X3032" t="s">
        <v>45</v>
      </c>
      <c r="Y3032" s="1">
        <v>28314</v>
      </c>
      <c r="Z3032">
        <v>2</v>
      </c>
      <c r="AA3032" t="s">
        <v>224</v>
      </c>
      <c r="AB3032" s="40" t="s">
        <v>1799</v>
      </c>
    </row>
    <row r="3033" spans="1:28" x14ac:dyDescent="0.25">
      <c r="A3033">
        <v>99913032</v>
      </c>
      <c r="B3033" t="s">
        <v>32</v>
      </c>
      <c r="C3033" t="s">
        <v>46</v>
      </c>
      <c r="D3033" t="s">
        <v>47</v>
      </c>
      <c r="G3033" t="s">
        <v>35</v>
      </c>
      <c r="H3033">
        <v>1</v>
      </c>
      <c r="I3033" t="s">
        <v>348</v>
      </c>
      <c r="J3033" s="1">
        <v>43344</v>
      </c>
      <c r="K3033" t="s">
        <v>345</v>
      </c>
      <c r="L3033" t="s">
        <v>346</v>
      </c>
      <c r="M3033" t="s">
        <v>131</v>
      </c>
      <c r="N3033">
        <v>21</v>
      </c>
      <c r="O3033" s="1">
        <v>43344</v>
      </c>
      <c r="P3033" t="s">
        <v>41</v>
      </c>
      <c r="Q3033" t="s">
        <v>49</v>
      </c>
      <c r="R3033" t="str">
        <f>"0581155"</f>
        <v>0581155</v>
      </c>
      <c r="S3033" t="s">
        <v>349</v>
      </c>
      <c r="T3033" t="s">
        <v>345</v>
      </c>
      <c r="U3033" t="s">
        <v>346</v>
      </c>
      <c r="V3033" t="s">
        <v>131</v>
      </c>
      <c r="W3033" t="s">
        <v>51</v>
      </c>
      <c r="X3033" t="s">
        <v>45</v>
      </c>
      <c r="Y3033" s="1">
        <v>28314</v>
      </c>
      <c r="Z3033">
        <v>2</v>
      </c>
      <c r="AA3033" t="s">
        <v>346</v>
      </c>
      <c r="AB3033" s="40" t="s">
        <v>1799</v>
      </c>
    </row>
    <row r="3034" spans="1:28" x14ac:dyDescent="0.25">
      <c r="A3034">
        <v>99913033</v>
      </c>
      <c r="B3034" t="s">
        <v>56</v>
      </c>
      <c r="C3034" t="s">
        <v>143</v>
      </c>
      <c r="D3034" t="s">
        <v>144</v>
      </c>
      <c r="G3034" t="s">
        <v>48</v>
      </c>
      <c r="H3034">
        <v>1</v>
      </c>
      <c r="K3034" t="s">
        <v>877</v>
      </c>
      <c r="L3034" t="s">
        <v>878</v>
      </c>
      <c r="M3034" t="s">
        <v>131</v>
      </c>
      <c r="N3034">
        <v>21</v>
      </c>
      <c r="P3034" t="s">
        <v>41</v>
      </c>
      <c r="Q3034" t="s">
        <v>75</v>
      </c>
      <c r="R3034" t="str">
        <f>"7700025"</f>
        <v>7700025</v>
      </c>
      <c r="S3034" t="s">
        <v>880</v>
      </c>
      <c r="T3034" t="s">
        <v>877</v>
      </c>
      <c r="U3034" t="s">
        <v>878</v>
      </c>
      <c r="V3034" t="s">
        <v>131</v>
      </c>
      <c r="W3034" t="s">
        <v>51</v>
      </c>
      <c r="X3034" t="s">
        <v>45</v>
      </c>
      <c r="Y3034" s="1">
        <v>28300</v>
      </c>
      <c r="Z3034">
        <v>1</v>
      </c>
      <c r="AA3034" t="s">
        <v>878</v>
      </c>
      <c r="AB3034" s="40" t="s">
        <v>1799</v>
      </c>
    </row>
    <row r="3035" spans="1:28" x14ac:dyDescent="0.25">
      <c r="A3035">
        <v>99913034</v>
      </c>
      <c r="B3035" t="s">
        <v>32</v>
      </c>
      <c r="C3035" t="s">
        <v>64</v>
      </c>
      <c r="D3035" t="s">
        <v>65</v>
      </c>
      <c r="G3035" t="s">
        <v>35</v>
      </c>
      <c r="H3035">
        <v>1</v>
      </c>
      <c r="I3035">
        <v>1350</v>
      </c>
      <c r="J3035" s="1">
        <v>42732</v>
      </c>
      <c r="K3035" t="s">
        <v>223</v>
      </c>
      <c r="L3035" t="s">
        <v>224</v>
      </c>
      <c r="M3035" t="s">
        <v>131</v>
      </c>
      <c r="N3035">
        <v>21</v>
      </c>
      <c r="O3035" s="1">
        <v>42734</v>
      </c>
      <c r="P3035" t="s">
        <v>41</v>
      </c>
      <c r="Q3035" t="s">
        <v>49</v>
      </c>
      <c r="R3035" t="str">
        <f>"0591901"</f>
        <v>0591901</v>
      </c>
      <c r="S3035" t="s">
        <v>230</v>
      </c>
      <c r="T3035" t="s">
        <v>223</v>
      </c>
      <c r="U3035" t="s">
        <v>224</v>
      </c>
      <c r="V3035" t="s">
        <v>131</v>
      </c>
      <c r="W3035" t="s">
        <v>51</v>
      </c>
      <c r="X3035" t="s">
        <v>45</v>
      </c>
      <c r="Y3035" s="1">
        <v>28293</v>
      </c>
      <c r="Z3035">
        <v>2</v>
      </c>
      <c r="AA3035" t="s">
        <v>224</v>
      </c>
      <c r="AB3035" s="40" t="s">
        <v>1799</v>
      </c>
    </row>
    <row r="3036" spans="1:28" x14ac:dyDescent="0.25">
      <c r="A3036">
        <v>99913035</v>
      </c>
      <c r="B3036" t="s">
        <v>56</v>
      </c>
      <c r="C3036" t="s">
        <v>46</v>
      </c>
      <c r="D3036" t="s">
        <v>47</v>
      </c>
      <c r="G3036" t="s">
        <v>35</v>
      </c>
      <c r="H3036">
        <v>1</v>
      </c>
      <c r="I3036">
        <v>0</v>
      </c>
      <c r="J3036" s="1">
        <v>43344</v>
      </c>
      <c r="K3036" t="s">
        <v>223</v>
      </c>
      <c r="L3036" t="s">
        <v>224</v>
      </c>
      <c r="M3036" t="s">
        <v>131</v>
      </c>
      <c r="N3036">
        <v>21</v>
      </c>
      <c r="O3036" s="1">
        <v>43344</v>
      </c>
      <c r="P3036" t="s">
        <v>41</v>
      </c>
      <c r="Q3036" t="s">
        <v>42</v>
      </c>
      <c r="R3036" t="str">
        <f>"0580206"</f>
        <v>0580206</v>
      </c>
      <c r="S3036" t="s">
        <v>237</v>
      </c>
      <c r="T3036" t="s">
        <v>223</v>
      </c>
      <c r="U3036" t="s">
        <v>224</v>
      </c>
      <c r="V3036" t="s">
        <v>131</v>
      </c>
      <c r="W3036" t="s">
        <v>51</v>
      </c>
      <c r="X3036" t="s">
        <v>45</v>
      </c>
      <c r="Y3036" s="1">
        <v>28293</v>
      </c>
      <c r="Z3036">
        <v>2</v>
      </c>
      <c r="AA3036" t="s">
        <v>224</v>
      </c>
      <c r="AB3036" s="40" t="s">
        <v>1799</v>
      </c>
    </row>
    <row r="3037" spans="1:28" x14ac:dyDescent="0.25">
      <c r="A3037">
        <v>99913036</v>
      </c>
      <c r="B3037" t="s">
        <v>56</v>
      </c>
      <c r="C3037" t="s">
        <v>68</v>
      </c>
      <c r="D3037" t="s">
        <v>69</v>
      </c>
      <c r="G3037" t="s">
        <v>48</v>
      </c>
      <c r="H3037">
        <v>1</v>
      </c>
      <c r="K3037" t="s">
        <v>223</v>
      </c>
      <c r="L3037" t="s">
        <v>224</v>
      </c>
      <c r="M3037" t="s">
        <v>131</v>
      </c>
      <c r="N3037">
        <v>21</v>
      </c>
      <c r="P3037" t="s">
        <v>41</v>
      </c>
      <c r="Q3037" t="s">
        <v>42</v>
      </c>
      <c r="R3037" t="str">
        <f>"0580200"</f>
        <v>0580200</v>
      </c>
      <c r="S3037" t="s">
        <v>245</v>
      </c>
      <c r="T3037" t="s">
        <v>223</v>
      </c>
      <c r="U3037" t="s">
        <v>224</v>
      </c>
      <c r="V3037" t="s">
        <v>131</v>
      </c>
      <c r="W3037" t="s">
        <v>51</v>
      </c>
      <c r="X3037" t="s">
        <v>45</v>
      </c>
      <c r="Y3037" s="1">
        <v>28273</v>
      </c>
      <c r="Z3037">
        <v>2</v>
      </c>
      <c r="AA3037" t="s">
        <v>224</v>
      </c>
      <c r="AB3037" s="40" t="s">
        <v>1799</v>
      </c>
    </row>
    <row r="3038" spans="1:28" x14ac:dyDescent="0.25">
      <c r="A3038">
        <v>99913037</v>
      </c>
      <c r="B3038" t="s">
        <v>56</v>
      </c>
      <c r="C3038" t="s">
        <v>58</v>
      </c>
      <c r="D3038" t="s">
        <v>59</v>
      </c>
      <c r="G3038" t="s">
        <v>35</v>
      </c>
      <c r="H3038">
        <v>5</v>
      </c>
      <c r="K3038" t="s">
        <v>345</v>
      </c>
      <c r="L3038" t="s">
        <v>346</v>
      </c>
      <c r="M3038" t="s">
        <v>131</v>
      </c>
      <c r="N3038">
        <v>21</v>
      </c>
      <c r="P3038" t="s">
        <v>41</v>
      </c>
      <c r="Q3038" t="s">
        <v>42</v>
      </c>
      <c r="R3038" t="str">
        <f>"0561006"</f>
        <v>0561006</v>
      </c>
      <c r="S3038" t="s">
        <v>360</v>
      </c>
      <c r="T3038" t="s">
        <v>345</v>
      </c>
      <c r="U3038" t="s">
        <v>346</v>
      </c>
      <c r="V3038" t="s">
        <v>131</v>
      </c>
      <c r="W3038" t="s">
        <v>51</v>
      </c>
      <c r="X3038" t="s">
        <v>45</v>
      </c>
      <c r="Y3038" s="1">
        <v>28250</v>
      </c>
      <c r="Z3038">
        <v>2</v>
      </c>
      <c r="AA3038" t="s">
        <v>346</v>
      </c>
      <c r="AB3038" s="40" t="s">
        <v>1799</v>
      </c>
    </row>
    <row r="3039" spans="1:28" x14ac:dyDescent="0.25">
      <c r="A3039">
        <v>99913038</v>
      </c>
      <c r="B3039" t="s">
        <v>56</v>
      </c>
      <c r="C3039" t="s">
        <v>52</v>
      </c>
      <c r="D3039" t="s">
        <v>53</v>
      </c>
      <c r="G3039" t="s">
        <v>48</v>
      </c>
      <c r="H3039">
        <v>1</v>
      </c>
      <c r="K3039" t="s">
        <v>162</v>
      </c>
      <c r="L3039" t="s">
        <v>158</v>
      </c>
      <c r="M3039" t="s">
        <v>131</v>
      </c>
      <c r="N3039">
        <v>21</v>
      </c>
      <c r="P3039" t="s">
        <v>41</v>
      </c>
      <c r="Q3039" t="s">
        <v>49</v>
      </c>
      <c r="R3039" t="str">
        <f>"0581325"</f>
        <v>0581325</v>
      </c>
      <c r="S3039" t="s">
        <v>169</v>
      </c>
      <c r="T3039" t="s">
        <v>162</v>
      </c>
      <c r="U3039" t="s">
        <v>158</v>
      </c>
      <c r="V3039" t="s">
        <v>131</v>
      </c>
      <c r="W3039" t="s">
        <v>51</v>
      </c>
      <c r="X3039" t="s">
        <v>45</v>
      </c>
      <c r="Y3039" s="1">
        <v>28206</v>
      </c>
      <c r="Z3039">
        <v>2</v>
      </c>
      <c r="AA3039" t="s">
        <v>158</v>
      </c>
      <c r="AB3039" s="40" t="s">
        <v>1799</v>
      </c>
    </row>
    <row r="3040" spans="1:28" x14ac:dyDescent="0.25">
      <c r="A3040">
        <v>99913039</v>
      </c>
      <c r="B3040" t="s">
        <v>56</v>
      </c>
      <c r="C3040" t="s">
        <v>52</v>
      </c>
      <c r="D3040" t="s">
        <v>53</v>
      </c>
      <c r="G3040" t="s">
        <v>48</v>
      </c>
      <c r="H3040">
        <v>1</v>
      </c>
      <c r="K3040" t="s">
        <v>162</v>
      </c>
      <c r="L3040" t="s">
        <v>158</v>
      </c>
      <c r="M3040" t="s">
        <v>131</v>
      </c>
      <c r="N3040">
        <v>21</v>
      </c>
      <c r="P3040" t="s">
        <v>41</v>
      </c>
      <c r="Q3040" t="s">
        <v>49</v>
      </c>
      <c r="R3040" t="str">
        <f>"0505050"</f>
        <v>0505050</v>
      </c>
      <c r="S3040" t="s">
        <v>163</v>
      </c>
      <c r="T3040" t="s">
        <v>162</v>
      </c>
      <c r="U3040" t="s">
        <v>158</v>
      </c>
      <c r="V3040" t="s">
        <v>131</v>
      </c>
      <c r="W3040" t="s">
        <v>51</v>
      </c>
      <c r="X3040" t="s">
        <v>45</v>
      </c>
      <c r="Y3040" s="1">
        <v>28197</v>
      </c>
      <c r="Z3040">
        <v>2</v>
      </c>
      <c r="AA3040" t="s">
        <v>158</v>
      </c>
      <c r="AB3040" s="40" t="s">
        <v>1799</v>
      </c>
    </row>
    <row r="3041" spans="1:28" x14ac:dyDescent="0.25">
      <c r="A3041">
        <v>99913040</v>
      </c>
      <c r="B3041" t="s">
        <v>32</v>
      </c>
      <c r="C3041" t="s">
        <v>111</v>
      </c>
      <c r="D3041" t="s">
        <v>112</v>
      </c>
      <c r="G3041" t="s">
        <v>48</v>
      </c>
      <c r="H3041">
        <v>7</v>
      </c>
      <c r="I3041" t="s">
        <v>469</v>
      </c>
      <c r="J3041" s="1">
        <v>43344</v>
      </c>
      <c r="K3041" t="s">
        <v>195</v>
      </c>
      <c r="L3041" t="s">
        <v>196</v>
      </c>
      <c r="M3041" t="s">
        <v>131</v>
      </c>
      <c r="N3041">
        <v>21</v>
      </c>
      <c r="O3041" s="1">
        <v>43344</v>
      </c>
      <c r="P3041" t="s">
        <v>41</v>
      </c>
      <c r="Q3041" t="s">
        <v>75</v>
      </c>
      <c r="R3041" t="str">
        <f>"7521046"</f>
        <v>7521046</v>
      </c>
      <c r="S3041" t="s">
        <v>436</v>
      </c>
      <c r="T3041" t="s">
        <v>195</v>
      </c>
      <c r="U3041" t="s">
        <v>196</v>
      </c>
      <c r="V3041" t="s">
        <v>131</v>
      </c>
      <c r="W3041" t="s">
        <v>165</v>
      </c>
      <c r="X3041" t="s">
        <v>45</v>
      </c>
      <c r="Y3041" s="1">
        <v>28195</v>
      </c>
      <c r="Z3041">
        <v>1</v>
      </c>
      <c r="AA3041" t="s">
        <v>196</v>
      </c>
      <c r="AB3041" s="40" t="s">
        <v>1799</v>
      </c>
    </row>
    <row r="3042" spans="1:28" x14ac:dyDescent="0.25">
      <c r="A3042">
        <v>99913041</v>
      </c>
      <c r="B3042" t="s">
        <v>32</v>
      </c>
      <c r="C3042" t="s">
        <v>64</v>
      </c>
      <c r="D3042" t="s">
        <v>65</v>
      </c>
      <c r="G3042" t="s">
        <v>35</v>
      </c>
      <c r="H3042">
        <v>1</v>
      </c>
      <c r="I3042">
        <v>0</v>
      </c>
      <c r="J3042" s="1">
        <v>43344</v>
      </c>
      <c r="K3042" t="s">
        <v>223</v>
      </c>
      <c r="L3042" t="s">
        <v>224</v>
      </c>
      <c r="M3042" t="s">
        <v>131</v>
      </c>
      <c r="N3042">
        <v>21</v>
      </c>
      <c r="O3042" s="1">
        <v>43344</v>
      </c>
      <c r="P3042" t="s">
        <v>41</v>
      </c>
      <c r="Q3042" t="s">
        <v>42</v>
      </c>
      <c r="R3042" t="str">
        <f>"0580202"</f>
        <v>0580202</v>
      </c>
      <c r="S3042" t="s">
        <v>240</v>
      </c>
      <c r="T3042" t="s">
        <v>223</v>
      </c>
      <c r="U3042" t="s">
        <v>224</v>
      </c>
      <c r="V3042" t="s">
        <v>131</v>
      </c>
      <c r="W3042" t="s">
        <v>44</v>
      </c>
      <c r="X3042" t="s">
        <v>45</v>
      </c>
      <c r="Y3042" s="1">
        <v>28174</v>
      </c>
      <c r="Z3042">
        <v>2</v>
      </c>
      <c r="AA3042" t="s">
        <v>224</v>
      </c>
      <c r="AB3042" s="40" t="s">
        <v>1799</v>
      </c>
    </row>
    <row r="3043" spans="1:28" x14ac:dyDescent="0.25">
      <c r="A3043">
        <v>99913042</v>
      </c>
      <c r="B3043" t="s">
        <v>32</v>
      </c>
      <c r="C3043" t="s">
        <v>52</v>
      </c>
      <c r="D3043" t="s">
        <v>53</v>
      </c>
      <c r="G3043" t="s">
        <v>35</v>
      </c>
      <c r="H3043">
        <v>1</v>
      </c>
      <c r="I3043" t="s">
        <v>288</v>
      </c>
      <c r="J3043" s="1">
        <v>42676</v>
      </c>
      <c r="K3043" t="s">
        <v>223</v>
      </c>
      <c r="L3043" t="s">
        <v>224</v>
      </c>
      <c r="M3043" t="s">
        <v>131</v>
      </c>
      <c r="N3043">
        <v>21</v>
      </c>
      <c r="O3043" s="1">
        <v>42676</v>
      </c>
      <c r="P3043" t="s">
        <v>41</v>
      </c>
      <c r="Q3043" t="s">
        <v>49</v>
      </c>
      <c r="R3043" t="str">
        <f>"0591907"</f>
        <v>0591907</v>
      </c>
      <c r="S3043" t="s">
        <v>243</v>
      </c>
      <c r="T3043" t="s">
        <v>223</v>
      </c>
      <c r="U3043" t="s">
        <v>224</v>
      </c>
      <c r="V3043" t="s">
        <v>131</v>
      </c>
      <c r="W3043" t="s">
        <v>165</v>
      </c>
      <c r="X3043" t="s">
        <v>45</v>
      </c>
      <c r="Y3043" s="1">
        <v>28155</v>
      </c>
      <c r="Z3043">
        <v>2</v>
      </c>
      <c r="AA3043" t="s">
        <v>224</v>
      </c>
      <c r="AB3043" s="40" t="s">
        <v>1799</v>
      </c>
    </row>
    <row r="3044" spans="1:28" x14ac:dyDescent="0.25">
      <c r="A3044">
        <v>99913043</v>
      </c>
      <c r="B3044" t="s">
        <v>32</v>
      </c>
      <c r="C3044" t="s">
        <v>139</v>
      </c>
      <c r="D3044" t="s">
        <v>140</v>
      </c>
      <c r="G3044" t="s">
        <v>48</v>
      </c>
      <c r="H3044">
        <v>1</v>
      </c>
      <c r="K3044" t="s">
        <v>345</v>
      </c>
      <c r="L3044" t="s">
        <v>346</v>
      </c>
      <c r="M3044" t="s">
        <v>131</v>
      </c>
      <c r="N3044">
        <v>21</v>
      </c>
      <c r="P3044" t="s">
        <v>41</v>
      </c>
      <c r="Q3044" t="s">
        <v>42</v>
      </c>
      <c r="R3044" t="str">
        <f>"0590906"</f>
        <v>0590906</v>
      </c>
      <c r="S3044" t="s">
        <v>361</v>
      </c>
      <c r="T3044" t="s">
        <v>345</v>
      </c>
      <c r="U3044" t="s">
        <v>346</v>
      </c>
      <c r="V3044" t="s">
        <v>131</v>
      </c>
      <c r="W3044" t="s">
        <v>51</v>
      </c>
      <c r="X3044" t="s">
        <v>45</v>
      </c>
      <c r="Y3044" s="1">
        <v>28129</v>
      </c>
      <c r="Z3044">
        <v>2</v>
      </c>
      <c r="AA3044" t="s">
        <v>346</v>
      </c>
      <c r="AB3044" s="40" t="s">
        <v>1799</v>
      </c>
    </row>
    <row r="3045" spans="1:28" x14ac:dyDescent="0.25">
      <c r="A3045">
        <v>99913044</v>
      </c>
      <c r="B3045" t="s">
        <v>56</v>
      </c>
      <c r="C3045" t="s">
        <v>52</v>
      </c>
      <c r="D3045" t="s">
        <v>53</v>
      </c>
      <c r="G3045" t="s">
        <v>48</v>
      </c>
      <c r="H3045">
        <v>1</v>
      </c>
      <c r="K3045" t="s">
        <v>223</v>
      </c>
      <c r="L3045" t="s">
        <v>224</v>
      </c>
      <c r="M3045" t="s">
        <v>131</v>
      </c>
      <c r="N3045">
        <v>21</v>
      </c>
      <c r="P3045" t="s">
        <v>41</v>
      </c>
      <c r="Q3045" t="s">
        <v>42</v>
      </c>
      <c r="R3045" t="str">
        <f>"0580395"</f>
        <v>0580395</v>
      </c>
      <c r="S3045" t="s">
        <v>265</v>
      </c>
      <c r="T3045" t="s">
        <v>223</v>
      </c>
      <c r="U3045" t="s">
        <v>224</v>
      </c>
      <c r="V3045" t="s">
        <v>131</v>
      </c>
      <c r="W3045" t="s">
        <v>51</v>
      </c>
      <c r="X3045" t="s">
        <v>45</v>
      </c>
      <c r="Y3045" s="1">
        <v>28126</v>
      </c>
      <c r="Z3045">
        <v>2</v>
      </c>
      <c r="AA3045" t="s">
        <v>224</v>
      </c>
      <c r="AB3045" s="40" t="s">
        <v>1799</v>
      </c>
    </row>
    <row r="3046" spans="1:28" x14ac:dyDescent="0.25">
      <c r="A3046">
        <v>99913045</v>
      </c>
      <c r="B3046" t="s">
        <v>32</v>
      </c>
      <c r="C3046" t="s">
        <v>68</v>
      </c>
      <c r="D3046" t="s">
        <v>69</v>
      </c>
      <c r="E3046" t="s">
        <v>151</v>
      </c>
      <c r="F3046" t="s">
        <v>152</v>
      </c>
      <c r="G3046" t="s">
        <v>48</v>
      </c>
      <c r="H3046">
        <v>1</v>
      </c>
      <c r="K3046" t="s">
        <v>223</v>
      </c>
      <c r="L3046" t="s">
        <v>224</v>
      </c>
      <c r="M3046" t="s">
        <v>131</v>
      </c>
      <c r="N3046">
        <v>21</v>
      </c>
      <c r="P3046" t="s">
        <v>41</v>
      </c>
      <c r="Q3046" t="s">
        <v>49</v>
      </c>
      <c r="R3046" t="str">
        <f>"0581265"</f>
        <v>0581265</v>
      </c>
      <c r="S3046" t="s">
        <v>236</v>
      </c>
      <c r="T3046" t="s">
        <v>223</v>
      </c>
      <c r="U3046" t="s">
        <v>224</v>
      </c>
      <c r="V3046" t="s">
        <v>131</v>
      </c>
      <c r="W3046" t="s">
        <v>51</v>
      </c>
      <c r="X3046" t="s">
        <v>45</v>
      </c>
      <c r="Y3046" s="1">
        <v>28126</v>
      </c>
      <c r="Z3046">
        <v>2</v>
      </c>
      <c r="AA3046" t="s">
        <v>224</v>
      </c>
      <c r="AB3046" s="40" t="s">
        <v>1799</v>
      </c>
    </row>
    <row r="3047" spans="1:28" x14ac:dyDescent="0.25">
      <c r="A3047">
        <v>99913046</v>
      </c>
      <c r="B3047" t="s">
        <v>32</v>
      </c>
      <c r="C3047" t="s">
        <v>46</v>
      </c>
      <c r="D3047" t="s">
        <v>47</v>
      </c>
      <c r="G3047" t="s">
        <v>48</v>
      </c>
      <c r="H3047">
        <v>6</v>
      </c>
      <c r="K3047" t="s">
        <v>345</v>
      </c>
      <c r="L3047" t="s">
        <v>346</v>
      </c>
      <c r="M3047" t="s">
        <v>131</v>
      </c>
      <c r="N3047">
        <v>21</v>
      </c>
      <c r="P3047" t="s">
        <v>41</v>
      </c>
      <c r="Q3047" t="s">
        <v>49</v>
      </c>
      <c r="R3047" t="str">
        <f>"0560004"</f>
        <v>0560004</v>
      </c>
      <c r="S3047" t="s">
        <v>371</v>
      </c>
      <c r="T3047" t="s">
        <v>345</v>
      </c>
      <c r="U3047" t="s">
        <v>346</v>
      </c>
      <c r="V3047" t="s">
        <v>131</v>
      </c>
      <c r="W3047" t="s">
        <v>51</v>
      </c>
      <c r="X3047" t="s">
        <v>45</v>
      </c>
      <c r="Y3047" s="1">
        <v>28126</v>
      </c>
      <c r="Z3047">
        <v>2</v>
      </c>
      <c r="AA3047" t="s">
        <v>346</v>
      </c>
      <c r="AB3047" s="40" t="s">
        <v>1799</v>
      </c>
    </row>
    <row r="3048" spans="1:28" x14ac:dyDescent="0.25">
      <c r="A3048">
        <v>99913047</v>
      </c>
      <c r="B3048" t="s">
        <v>56</v>
      </c>
      <c r="C3048" t="s">
        <v>52</v>
      </c>
      <c r="D3048" t="s">
        <v>53</v>
      </c>
      <c r="G3048" t="s">
        <v>48</v>
      </c>
      <c r="H3048">
        <v>1</v>
      </c>
      <c r="I3048" t="s">
        <v>1309</v>
      </c>
      <c r="K3048" t="s">
        <v>1306</v>
      </c>
      <c r="L3048" t="s">
        <v>1307</v>
      </c>
      <c r="M3048" t="s">
        <v>1270</v>
      </c>
      <c r="N3048">
        <v>21</v>
      </c>
      <c r="P3048" t="s">
        <v>41</v>
      </c>
      <c r="Q3048" t="s">
        <v>49</v>
      </c>
      <c r="R3048" t="str">
        <f>"1991913"</f>
        <v>1991913</v>
      </c>
      <c r="S3048" t="s">
        <v>1310</v>
      </c>
      <c r="T3048" t="s">
        <v>1306</v>
      </c>
      <c r="U3048" t="s">
        <v>1307</v>
      </c>
      <c r="V3048" t="s">
        <v>1270</v>
      </c>
      <c r="W3048" t="s">
        <v>51</v>
      </c>
      <c r="X3048" t="s">
        <v>45</v>
      </c>
      <c r="Y3048" s="1">
        <v>28126</v>
      </c>
      <c r="Z3048">
        <v>2</v>
      </c>
      <c r="AA3048" t="s">
        <v>1307</v>
      </c>
      <c r="AB3048" s="40" t="s">
        <v>1799</v>
      </c>
    </row>
    <row r="3049" spans="1:28" x14ac:dyDescent="0.25">
      <c r="A3049">
        <v>99913048</v>
      </c>
      <c r="B3049" t="s">
        <v>56</v>
      </c>
      <c r="C3049" t="s">
        <v>58</v>
      </c>
      <c r="D3049" t="s">
        <v>59</v>
      </c>
      <c r="G3049" t="s">
        <v>48</v>
      </c>
      <c r="H3049">
        <v>1</v>
      </c>
      <c r="K3049" t="s">
        <v>223</v>
      </c>
      <c r="L3049" t="s">
        <v>224</v>
      </c>
      <c r="M3049" t="s">
        <v>131</v>
      </c>
      <c r="N3049">
        <v>21</v>
      </c>
      <c r="P3049" t="s">
        <v>41</v>
      </c>
      <c r="Q3049" t="s">
        <v>42</v>
      </c>
      <c r="R3049" t="str">
        <f>"0580265"</f>
        <v>0580265</v>
      </c>
      <c r="S3049" t="s">
        <v>231</v>
      </c>
      <c r="T3049" t="s">
        <v>223</v>
      </c>
      <c r="U3049" t="s">
        <v>224</v>
      </c>
      <c r="V3049" t="s">
        <v>131</v>
      </c>
      <c r="W3049" t="s">
        <v>51</v>
      </c>
      <c r="X3049" t="s">
        <v>45</v>
      </c>
      <c r="Y3049" s="1">
        <v>28094</v>
      </c>
      <c r="Z3049">
        <v>2</v>
      </c>
      <c r="AA3049" t="s">
        <v>224</v>
      </c>
      <c r="AB3049" s="40" t="s">
        <v>1799</v>
      </c>
    </row>
    <row r="3050" spans="1:28" x14ac:dyDescent="0.25">
      <c r="A3050">
        <v>99913049</v>
      </c>
      <c r="B3050" t="s">
        <v>32</v>
      </c>
      <c r="C3050" t="s">
        <v>46</v>
      </c>
      <c r="D3050" t="s">
        <v>47</v>
      </c>
      <c r="G3050" t="s">
        <v>48</v>
      </c>
      <c r="H3050">
        <v>1</v>
      </c>
      <c r="K3050" t="s">
        <v>1268</v>
      </c>
      <c r="L3050" t="s">
        <v>1269</v>
      </c>
      <c r="M3050" t="s">
        <v>1270</v>
      </c>
      <c r="N3050">
        <v>21</v>
      </c>
      <c r="P3050" t="s">
        <v>41</v>
      </c>
      <c r="Q3050" t="s">
        <v>42</v>
      </c>
      <c r="R3050" t="str">
        <f>"1990911"</f>
        <v>1990911</v>
      </c>
      <c r="S3050" t="s">
        <v>1276</v>
      </c>
      <c r="T3050" t="s">
        <v>1268</v>
      </c>
      <c r="U3050" t="s">
        <v>1269</v>
      </c>
      <c r="V3050" t="s">
        <v>1270</v>
      </c>
      <c r="W3050" t="s">
        <v>165</v>
      </c>
      <c r="X3050" t="s">
        <v>45</v>
      </c>
      <c r="Y3050" s="1">
        <v>28092</v>
      </c>
      <c r="Z3050">
        <v>2</v>
      </c>
      <c r="AA3050" t="s">
        <v>1269</v>
      </c>
      <c r="AB3050" s="40" t="s">
        <v>1799</v>
      </c>
    </row>
    <row r="3051" spans="1:28" x14ac:dyDescent="0.25">
      <c r="A3051">
        <v>99913050</v>
      </c>
      <c r="B3051" t="s">
        <v>32</v>
      </c>
      <c r="C3051" t="s">
        <v>71</v>
      </c>
      <c r="D3051" t="s">
        <v>72</v>
      </c>
      <c r="G3051" t="s">
        <v>48</v>
      </c>
      <c r="H3051">
        <v>1</v>
      </c>
      <c r="I3051" t="s">
        <v>197</v>
      </c>
      <c r="J3051" s="1">
        <v>40422</v>
      </c>
      <c r="K3051" t="s">
        <v>162</v>
      </c>
      <c r="L3051" t="s">
        <v>158</v>
      </c>
      <c r="M3051" t="s">
        <v>131</v>
      </c>
      <c r="N3051">
        <v>21</v>
      </c>
      <c r="O3051" s="1">
        <v>40422</v>
      </c>
      <c r="P3051" t="s">
        <v>41</v>
      </c>
      <c r="Q3051" t="s">
        <v>49</v>
      </c>
      <c r="R3051" t="str">
        <f>"0560003"</f>
        <v>0560003</v>
      </c>
      <c r="S3051" t="s">
        <v>181</v>
      </c>
      <c r="T3051" t="s">
        <v>162</v>
      </c>
      <c r="U3051" t="s">
        <v>158</v>
      </c>
      <c r="V3051" t="s">
        <v>131</v>
      </c>
      <c r="W3051" t="s">
        <v>51</v>
      </c>
      <c r="X3051" t="s">
        <v>45</v>
      </c>
      <c r="Y3051" s="1">
        <v>28089</v>
      </c>
      <c r="Z3051">
        <v>2</v>
      </c>
      <c r="AA3051" t="s">
        <v>158</v>
      </c>
      <c r="AB3051" s="40" t="s">
        <v>1799</v>
      </c>
    </row>
    <row r="3052" spans="1:28" x14ac:dyDescent="0.25">
      <c r="A3052">
        <v>99913051</v>
      </c>
      <c r="B3052" t="s">
        <v>56</v>
      </c>
      <c r="C3052" t="s">
        <v>52</v>
      </c>
      <c r="D3052" t="s">
        <v>53</v>
      </c>
      <c r="G3052" t="s">
        <v>48</v>
      </c>
      <c r="H3052">
        <v>1</v>
      </c>
      <c r="K3052" t="s">
        <v>300</v>
      </c>
      <c r="L3052" t="s">
        <v>301</v>
      </c>
      <c r="M3052" t="s">
        <v>131</v>
      </c>
      <c r="N3052">
        <v>21</v>
      </c>
      <c r="P3052" t="s">
        <v>41</v>
      </c>
      <c r="Q3052" t="s">
        <v>42</v>
      </c>
      <c r="R3052" t="str">
        <f>"0580106"</f>
        <v>0580106</v>
      </c>
      <c r="S3052" t="s">
        <v>306</v>
      </c>
      <c r="T3052" t="s">
        <v>300</v>
      </c>
      <c r="U3052" t="s">
        <v>301</v>
      </c>
      <c r="V3052" t="s">
        <v>131</v>
      </c>
      <c r="W3052" t="s">
        <v>51</v>
      </c>
      <c r="X3052" t="s">
        <v>45</v>
      </c>
      <c r="Y3052" s="1">
        <v>28037</v>
      </c>
      <c r="Z3052">
        <v>2</v>
      </c>
      <c r="AA3052" t="s">
        <v>301</v>
      </c>
      <c r="AB3052" s="40" t="s">
        <v>1799</v>
      </c>
    </row>
    <row r="3053" spans="1:28" x14ac:dyDescent="0.25">
      <c r="A3053">
        <v>99913052</v>
      </c>
      <c r="B3053" t="s">
        <v>32</v>
      </c>
      <c r="C3053" t="s">
        <v>139</v>
      </c>
      <c r="D3053" t="s">
        <v>140</v>
      </c>
      <c r="G3053" t="s">
        <v>48</v>
      </c>
      <c r="H3053">
        <v>1</v>
      </c>
      <c r="K3053" t="s">
        <v>345</v>
      </c>
      <c r="L3053" t="s">
        <v>346</v>
      </c>
      <c r="M3053" t="s">
        <v>131</v>
      </c>
      <c r="N3053">
        <v>21</v>
      </c>
      <c r="P3053" t="s">
        <v>41</v>
      </c>
      <c r="Q3053" t="s">
        <v>49</v>
      </c>
      <c r="R3053" t="str">
        <f>"0591906"</f>
        <v>0591906</v>
      </c>
      <c r="S3053" t="s">
        <v>350</v>
      </c>
      <c r="T3053" t="s">
        <v>345</v>
      </c>
      <c r="U3053" t="s">
        <v>346</v>
      </c>
      <c r="V3053" t="s">
        <v>131</v>
      </c>
      <c r="W3053" t="s">
        <v>51</v>
      </c>
      <c r="X3053" t="s">
        <v>45</v>
      </c>
      <c r="Y3053" s="1">
        <v>28011</v>
      </c>
      <c r="Z3053">
        <v>2</v>
      </c>
      <c r="AA3053" t="s">
        <v>346</v>
      </c>
      <c r="AB3053" s="40" t="s">
        <v>1799</v>
      </c>
    </row>
    <row r="3054" spans="1:28" x14ac:dyDescent="0.25">
      <c r="A3054">
        <v>99913053</v>
      </c>
      <c r="B3054" t="s">
        <v>32</v>
      </c>
      <c r="C3054" t="s">
        <v>64</v>
      </c>
      <c r="D3054" t="s">
        <v>65</v>
      </c>
      <c r="G3054" t="s">
        <v>35</v>
      </c>
      <c r="H3054">
        <v>1</v>
      </c>
      <c r="K3054" t="s">
        <v>129</v>
      </c>
      <c r="L3054" t="s">
        <v>130</v>
      </c>
      <c r="M3054" t="s">
        <v>131</v>
      </c>
      <c r="N3054">
        <v>21</v>
      </c>
      <c r="P3054" t="s">
        <v>41</v>
      </c>
      <c r="Q3054" t="s">
        <v>49</v>
      </c>
      <c r="R3054" t="str">
        <f>"0591905"</f>
        <v>0591905</v>
      </c>
      <c r="S3054" t="s">
        <v>135</v>
      </c>
      <c r="T3054" t="s">
        <v>129</v>
      </c>
      <c r="U3054" t="s">
        <v>130</v>
      </c>
      <c r="V3054" t="s">
        <v>131</v>
      </c>
      <c r="W3054" t="s">
        <v>51</v>
      </c>
      <c r="X3054" t="s">
        <v>45</v>
      </c>
      <c r="Y3054" s="1">
        <v>27976</v>
      </c>
      <c r="Z3054">
        <v>2</v>
      </c>
      <c r="AA3054" t="s">
        <v>130</v>
      </c>
      <c r="AB3054" s="40" t="s">
        <v>1799</v>
      </c>
    </row>
    <row r="3055" spans="1:28" x14ac:dyDescent="0.25">
      <c r="A3055">
        <v>99913054</v>
      </c>
      <c r="B3055" t="s">
        <v>32</v>
      </c>
      <c r="C3055" t="s">
        <v>46</v>
      </c>
      <c r="D3055" t="s">
        <v>47</v>
      </c>
      <c r="G3055" t="s">
        <v>48</v>
      </c>
      <c r="H3055">
        <v>1</v>
      </c>
      <c r="K3055" t="s">
        <v>223</v>
      </c>
      <c r="L3055" t="s">
        <v>224</v>
      </c>
      <c r="M3055" t="s">
        <v>131</v>
      </c>
      <c r="N3055">
        <v>21</v>
      </c>
      <c r="P3055" t="s">
        <v>41</v>
      </c>
      <c r="Q3055" t="s">
        <v>49</v>
      </c>
      <c r="R3055" t="str">
        <f>"0581200"</f>
        <v>0581200</v>
      </c>
      <c r="S3055" t="s">
        <v>238</v>
      </c>
      <c r="T3055" t="s">
        <v>223</v>
      </c>
      <c r="U3055" t="s">
        <v>224</v>
      </c>
      <c r="V3055" t="s">
        <v>131</v>
      </c>
      <c r="W3055" t="s">
        <v>51</v>
      </c>
      <c r="X3055" t="s">
        <v>45</v>
      </c>
      <c r="Y3055" s="1">
        <v>27957</v>
      </c>
      <c r="Z3055">
        <v>2</v>
      </c>
      <c r="AA3055" t="s">
        <v>224</v>
      </c>
      <c r="AB3055" s="40" t="s">
        <v>1799</v>
      </c>
    </row>
    <row r="3056" spans="1:28" x14ac:dyDescent="0.25">
      <c r="A3056">
        <v>99913055</v>
      </c>
      <c r="B3056" t="s">
        <v>56</v>
      </c>
      <c r="C3056" t="s">
        <v>1297</v>
      </c>
      <c r="D3056" t="s">
        <v>1298</v>
      </c>
      <c r="G3056" t="s">
        <v>35</v>
      </c>
      <c r="H3056">
        <v>1</v>
      </c>
      <c r="K3056" t="s">
        <v>1268</v>
      </c>
      <c r="L3056" t="s">
        <v>1269</v>
      </c>
      <c r="M3056" t="s">
        <v>1270</v>
      </c>
      <c r="N3056">
        <v>21</v>
      </c>
      <c r="P3056" t="s">
        <v>41</v>
      </c>
      <c r="Q3056" t="s">
        <v>922</v>
      </c>
      <c r="R3056" t="str">
        <f>"1950001"</f>
        <v>1950001</v>
      </c>
      <c r="S3056" t="s">
        <v>1284</v>
      </c>
      <c r="T3056" t="s">
        <v>1268</v>
      </c>
      <c r="U3056" t="s">
        <v>1269</v>
      </c>
      <c r="V3056" t="s">
        <v>1270</v>
      </c>
      <c r="W3056" t="s">
        <v>51</v>
      </c>
      <c r="X3056" t="s">
        <v>45</v>
      </c>
      <c r="Y3056" s="1">
        <v>27953</v>
      </c>
      <c r="Z3056">
        <v>2</v>
      </c>
      <c r="AA3056" t="s">
        <v>1269</v>
      </c>
      <c r="AB3056" s="40" t="s">
        <v>1799</v>
      </c>
    </row>
    <row r="3057" spans="1:28" x14ac:dyDescent="0.25">
      <c r="A3057">
        <v>99913056</v>
      </c>
      <c r="B3057" t="s">
        <v>32</v>
      </c>
      <c r="C3057" t="s">
        <v>46</v>
      </c>
      <c r="D3057" t="s">
        <v>47</v>
      </c>
      <c r="G3057" t="s">
        <v>35</v>
      </c>
      <c r="H3057">
        <v>1</v>
      </c>
      <c r="K3057" t="s">
        <v>947</v>
      </c>
      <c r="L3057" t="s">
        <v>948</v>
      </c>
      <c r="M3057" t="s">
        <v>938</v>
      </c>
      <c r="N3057">
        <v>21</v>
      </c>
      <c r="P3057" t="s">
        <v>41</v>
      </c>
      <c r="Q3057" t="s">
        <v>49</v>
      </c>
      <c r="R3057" t="str">
        <f>"0645053"</f>
        <v>0645053</v>
      </c>
      <c r="S3057" t="s">
        <v>957</v>
      </c>
      <c r="T3057" t="s">
        <v>947</v>
      </c>
      <c r="U3057" t="s">
        <v>948</v>
      </c>
      <c r="V3057" t="s">
        <v>938</v>
      </c>
      <c r="W3057" t="s">
        <v>51</v>
      </c>
      <c r="X3057" t="s">
        <v>45</v>
      </c>
      <c r="Y3057" s="1">
        <v>27928</v>
      </c>
      <c r="Z3057">
        <v>2</v>
      </c>
      <c r="AA3057" t="s">
        <v>948</v>
      </c>
      <c r="AB3057" s="40" t="s">
        <v>1799</v>
      </c>
    </row>
    <row r="3058" spans="1:28" x14ac:dyDescent="0.25">
      <c r="A3058">
        <v>99913057</v>
      </c>
      <c r="B3058" t="s">
        <v>56</v>
      </c>
      <c r="C3058" t="s">
        <v>46</v>
      </c>
      <c r="D3058" t="s">
        <v>47</v>
      </c>
      <c r="G3058" t="s">
        <v>35</v>
      </c>
      <c r="H3058">
        <v>1</v>
      </c>
      <c r="K3058" t="s">
        <v>223</v>
      </c>
      <c r="L3058" t="s">
        <v>224</v>
      </c>
      <c r="M3058" t="s">
        <v>131</v>
      </c>
      <c r="N3058">
        <v>21</v>
      </c>
      <c r="P3058" t="s">
        <v>41</v>
      </c>
      <c r="Q3058" t="s">
        <v>49</v>
      </c>
      <c r="R3058" t="str">
        <f>"0560018"</f>
        <v>0560018</v>
      </c>
      <c r="S3058" t="s">
        <v>234</v>
      </c>
      <c r="T3058" t="s">
        <v>223</v>
      </c>
      <c r="U3058" t="s">
        <v>224</v>
      </c>
      <c r="V3058" t="s">
        <v>131</v>
      </c>
      <c r="W3058" t="s">
        <v>51</v>
      </c>
      <c r="X3058" t="s">
        <v>45</v>
      </c>
      <c r="Y3058" s="1">
        <v>27922</v>
      </c>
      <c r="Z3058">
        <v>2</v>
      </c>
      <c r="AA3058" t="s">
        <v>224</v>
      </c>
      <c r="AB3058" s="40" t="s">
        <v>1799</v>
      </c>
    </row>
    <row r="3059" spans="1:28" x14ac:dyDescent="0.25">
      <c r="A3059">
        <v>99913058</v>
      </c>
      <c r="B3059" t="s">
        <v>56</v>
      </c>
      <c r="C3059" t="s">
        <v>46</v>
      </c>
      <c r="D3059" t="s">
        <v>47</v>
      </c>
      <c r="G3059" t="s">
        <v>48</v>
      </c>
      <c r="H3059">
        <v>1</v>
      </c>
      <c r="K3059" t="s">
        <v>1268</v>
      </c>
      <c r="L3059" t="s">
        <v>1269</v>
      </c>
      <c r="M3059" t="s">
        <v>1270</v>
      </c>
      <c r="N3059">
        <v>21</v>
      </c>
      <c r="P3059" t="s">
        <v>41</v>
      </c>
      <c r="Q3059" t="s">
        <v>42</v>
      </c>
      <c r="R3059" t="str">
        <f>"1980050"</f>
        <v>1980050</v>
      </c>
      <c r="S3059" t="s">
        <v>1278</v>
      </c>
      <c r="T3059" t="s">
        <v>1268</v>
      </c>
      <c r="U3059" t="s">
        <v>1269</v>
      </c>
      <c r="V3059" t="s">
        <v>1270</v>
      </c>
      <c r="W3059" t="s">
        <v>51</v>
      </c>
      <c r="X3059" t="s">
        <v>45</v>
      </c>
      <c r="Y3059" s="1">
        <v>27919</v>
      </c>
      <c r="Z3059">
        <v>2</v>
      </c>
      <c r="AA3059" t="s">
        <v>1269</v>
      </c>
      <c r="AB3059" s="40" t="s">
        <v>1799</v>
      </c>
    </row>
    <row r="3060" spans="1:28" x14ac:dyDescent="0.25">
      <c r="A3060">
        <v>99913059</v>
      </c>
      <c r="B3060" t="s">
        <v>56</v>
      </c>
      <c r="C3060" t="s">
        <v>46</v>
      </c>
      <c r="D3060" t="s">
        <v>47</v>
      </c>
      <c r="G3060" t="s">
        <v>35</v>
      </c>
      <c r="H3060">
        <v>1</v>
      </c>
      <c r="K3060" t="s">
        <v>223</v>
      </c>
      <c r="L3060" t="s">
        <v>224</v>
      </c>
      <c r="M3060" t="s">
        <v>131</v>
      </c>
      <c r="N3060">
        <v>21</v>
      </c>
      <c r="P3060" t="s">
        <v>41</v>
      </c>
      <c r="Q3060" t="s">
        <v>42</v>
      </c>
      <c r="R3060" t="str">
        <f>"0580345"</f>
        <v>0580345</v>
      </c>
      <c r="S3060" t="s">
        <v>261</v>
      </c>
      <c r="T3060" t="s">
        <v>223</v>
      </c>
      <c r="U3060" t="s">
        <v>224</v>
      </c>
      <c r="V3060" t="s">
        <v>131</v>
      </c>
      <c r="W3060" t="s">
        <v>51</v>
      </c>
      <c r="X3060" t="s">
        <v>45</v>
      </c>
      <c r="Y3060" s="1">
        <v>27901</v>
      </c>
      <c r="Z3060">
        <v>2</v>
      </c>
      <c r="AA3060" t="s">
        <v>224</v>
      </c>
      <c r="AB3060" s="40" t="s">
        <v>1799</v>
      </c>
    </row>
    <row r="3061" spans="1:28" x14ac:dyDescent="0.25">
      <c r="A3061">
        <v>99913060</v>
      </c>
      <c r="B3061" t="s">
        <v>32</v>
      </c>
      <c r="C3061" t="s">
        <v>46</v>
      </c>
      <c r="D3061" t="s">
        <v>47</v>
      </c>
      <c r="G3061" t="s">
        <v>35</v>
      </c>
      <c r="H3061">
        <v>1</v>
      </c>
      <c r="K3061" t="s">
        <v>223</v>
      </c>
      <c r="L3061" t="s">
        <v>224</v>
      </c>
      <c r="M3061" t="s">
        <v>131</v>
      </c>
      <c r="N3061">
        <v>21</v>
      </c>
      <c r="P3061" t="s">
        <v>41</v>
      </c>
      <c r="Q3061" t="s">
        <v>42</v>
      </c>
      <c r="R3061" t="str">
        <f>"0580345"</f>
        <v>0580345</v>
      </c>
      <c r="S3061" t="s">
        <v>261</v>
      </c>
      <c r="T3061" t="s">
        <v>223</v>
      </c>
      <c r="U3061" t="s">
        <v>224</v>
      </c>
      <c r="V3061" t="s">
        <v>131</v>
      </c>
      <c r="W3061" t="s">
        <v>51</v>
      </c>
      <c r="X3061" t="s">
        <v>45</v>
      </c>
      <c r="Y3061" s="1">
        <v>27825</v>
      </c>
      <c r="Z3061">
        <v>2</v>
      </c>
      <c r="AA3061" t="s">
        <v>224</v>
      </c>
      <c r="AB3061" s="40" t="s">
        <v>1799</v>
      </c>
    </row>
    <row r="3062" spans="1:28" x14ac:dyDescent="0.25">
      <c r="A3062">
        <v>99913061</v>
      </c>
      <c r="B3062" t="s">
        <v>32</v>
      </c>
      <c r="C3062" t="s">
        <v>46</v>
      </c>
      <c r="D3062" t="s">
        <v>47</v>
      </c>
      <c r="G3062" t="s">
        <v>48</v>
      </c>
      <c r="H3062">
        <v>1</v>
      </c>
      <c r="K3062" t="s">
        <v>380</v>
      </c>
      <c r="L3062" t="s">
        <v>381</v>
      </c>
      <c r="M3062" t="s">
        <v>131</v>
      </c>
      <c r="N3062">
        <v>21</v>
      </c>
      <c r="P3062" t="s">
        <v>41</v>
      </c>
      <c r="Q3062" t="s">
        <v>42</v>
      </c>
      <c r="R3062" t="str">
        <f>"0590909"</f>
        <v>0590909</v>
      </c>
      <c r="S3062" t="s">
        <v>388</v>
      </c>
      <c r="T3062" t="s">
        <v>380</v>
      </c>
      <c r="U3062" t="s">
        <v>381</v>
      </c>
      <c r="V3062" t="s">
        <v>131</v>
      </c>
      <c r="W3062" t="s">
        <v>51</v>
      </c>
      <c r="X3062" t="s">
        <v>45</v>
      </c>
      <c r="Y3062" s="1">
        <v>27824</v>
      </c>
      <c r="Z3062">
        <v>2</v>
      </c>
      <c r="AA3062" t="s">
        <v>381</v>
      </c>
      <c r="AB3062" s="40" t="s">
        <v>1799</v>
      </c>
    </row>
    <row r="3063" spans="1:28" x14ac:dyDescent="0.25">
      <c r="A3063">
        <v>99913062</v>
      </c>
      <c r="B3063" t="s">
        <v>56</v>
      </c>
      <c r="C3063" t="s">
        <v>46</v>
      </c>
      <c r="D3063" t="s">
        <v>47</v>
      </c>
      <c r="G3063" t="s">
        <v>48</v>
      </c>
      <c r="H3063">
        <v>1</v>
      </c>
      <c r="K3063" t="s">
        <v>162</v>
      </c>
      <c r="L3063" t="s">
        <v>158</v>
      </c>
      <c r="M3063" t="s">
        <v>131</v>
      </c>
      <c r="N3063">
        <v>21</v>
      </c>
      <c r="P3063" t="s">
        <v>41</v>
      </c>
      <c r="Q3063" t="s">
        <v>49</v>
      </c>
      <c r="R3063" t="str">
        <f>"0505050"</f>
        <v>0505050</v>
      </c>
      <c r="S3063" t="s">
        <v>163</v>
      </c>
      <c r="T3063" t="s">
        <v>162</v>
      </c>
      <c r="U3063" t="s">
        <v>158</v>
      </c>
      <c r="V3063" t="s">
        <v>131</v>
      </c>
      <c r="W3063" t="s">
        <v>51</v>
      </c>
      <c r="X3063" t="s">
        <v>45</v>
      </c>
      <c r="Y3063" s="1">
        <v>27822</v>
      </c>
      <c r="Z3063">
        <v>2</v>
      </c>
      <c r="AA3063" t="s">
        <v>158</v>
      </c>
      <c r="AB3063" s="40" t="s">
        <v>1799</v>
      </c>
    </row>
    <row r="3064" spans="1:28" x14ac:dyDescent="0.25">
      <c r="A3064">
        <v>99913063</v>
      </c>
      <c r="B3064" t="s">
        <v>56</v>
      </c>
      <c r="C3064" t="s">
        <v>82</v>
      </c>
      <c r="D3064" t="s">
        <v>83</v>
      </c>
      <c r="G3064" t="s">
        <v>35</v>
      </c>
      <c r="H3064">
        <v>1</v>
      </c>
      <c r="K3064" t="s">
        <v>1268</v>
      </c>
      <c r="L3064" t="s">
        <v>1269</v>
      </c>
      <c r="M3064" t="s">
        <v>1270</v>
      </c>
      <c r="N3064">
        <v>21</v>
      </c>
      <c r="P3064" t="s">
        <v>41</v>
      </c>
      <c r="Q3064" t="s">
        <v>42</v>
      </c>
      <c r="R3064" t="str">
        <f>"1990914"</f>
        <v>1990914</v>
      </c>
      <c r="S3064" t="s">
        <v>1275</v>
      </c>
      <c r="T3064" t="s">
        <v>1268</v>
      </c>
      <c r="U3064" t="s">
        <v>1269</v>
      </c>
      <c r="V3064" t="s">
        <v>1270</v>
      </c>
      <c r="W3064" t="s">
        <v>51</v>
      </c>
      <c r="X3064" t="s">
        <v>45</v>
      </c>
      <c r="Y3064" s="1">
        <v>27808</v>
      </c>
      <c r="Z3064">
        <v>2</v>
      </c>
      <c r="AA3064" t="s">
        <v>1269</v>
      </c>
      <c r="AB3064" s="40" t="s">
        <v>1799</v>
      </c>
    </row>
    <row r="3065" spans="1:28" x14ac:dyDescent="0.25">
      <c r="A3065">
        <v>99913064</v>
      </c>
      <c r="B3065" t="s">
        <v>56</v>
      </c>
      <c r="C3065" t="s">
        <v>52</v>
      </c>
      <c r="D3065" t="s">
        <v>53</v>
      </c>
      <c r="G3065" t="s">
        <v>48</v>
      </c>
      <c r="H3065">
        <v>1</v>
      </c>
      <c r="K3065" t="s">
        <v>1613</v>
      </c>
      <c r="L3065" t="s">
        <v>1614</v>
      </c>
      <c r="M3065" t="s">
        <v>1592</v>
      </c>
      <c r="N3065">
        <v>21</v>
      </c>
      <c r="P3065" t="s">
        <v>41</v>
      </c>
      <c r="Q3065" t="s">
        <v>49</v>
      </c>
      <c r="R3065" t="str">
        <f>"2860001"</f>
        <v>2860001</v>
      </c>
      <c r="S3065" t="s">
        <v>1616</v>
      </c>
      <c r="T3065" t="s">
        <v>1613</v>
      </c>
      <c r="U3065" t="s">
        <v>1614</v>
      </c>
      <c r="V3065" t="s">
        <v>1592</v>
      </c>
      <c r="W3065" t="s">
        <v>51</v>
      </c>
      <c r="X3065" t="s">
        <v>45</v>
      </c>
      <c r="Y3065" s="1">
        <v>27808</v>
      </c>
      <c r="Z3065">
        <v>2</v>
      </c>
      <c r="AA3065" t="s">
        <v>1614</v>
      </c>
      <c r="AB3065" s="40" t="s">
        <v>1799</v>
      </c>
    </row>
    <row r="3066" spans="1:28" x14ac:dyDescent="0.25">
      <c r="A3066">
        <v>99913065</v>
      </c>
      <c r="B3066" t="s">
        <v>56</v>
      </c>
      <c r="C3066" t="s">
        <v>52</v>
      </c>
      <c r="D3066" t="s">
        <v>53</v>
      </c>
      <c r="G3066" t="s">
        <v>35</v>
      </c>
      <c r="H3066">
        <v>1</v>
      </c>
      <c r="K3066" t="s">
        <v>1268</v>
      </c>
      <c r="L3066" t="s">
        <v>1269</v>
      </c>
      <c r="M3066" t="s">
        <v>1270</v>
      </c>
      <c r="N3066">
        <v>21</v>
      </c>
      <c r="P3066" t="s">
        <v>41</v>
      </c>
      <c r="Q3066" t="s">
        <v>42</v>
      </c>
      <c r="R3066" t="str">
        <f>"1990001"</f>
        <v>1990001</v>
      </c>
      <c r="S3066" t="s">
        <v>1294</v>
      </c>
      <c r="T3066" t="s">
        <v>1268</v>
      </c>
      <c r="U3066" t="s">
        <v>1269</v>
      </c>
      <c r="V3066" t="s">
        <v>1270</v>
      </c>
      <c r="W3066" t="s">
        <v>51</v>
      </c>
      <c r="X3066" t="s">
        <v>45</v>
      </c>
      <c r="Y3066" s="1">
        <v>27802</v>
      </c>
      <c r="Z3066">
        <v>2</v>
      </c>
      <c r="AA3066" t="s">
        <v>1269</v>
      </c>
      <c r="AB3066" s="40" t="s">
        <v>1799</v>
      </c>
    </row>
    <row r="3067" spans="1:28" x14ac:dyDescent="0.25">
      <c r="A3067">
        <v>99913066</v>
      </c>
      <c r="B3067" t="s">
        <v>32</v>
      </c>
      <c r="C3067" t="s">
        <v>46</v>
      </c>
      <c r="D3067" t="s">
        <v>47</v>
      </c>
      <c r="G3067" t="s">
        <v>48</v>
      </c>
      <c r="H3067">
        <v>1</v>
      </c>
      <c r="K3067" t="s">
        <v>223</v>
      </c>
      <c r="L3067" t="s">
        <v>224</v>
      </c>
      <c r="M3067" t="s">
        <v>131</v>
      </c>
      <c r="N3067">
        <v>21</v>
      </c>
      <c r="P3067" t="s">
        <v>41</v>
      </c>
      <c r="Q3067" t="s">
        <v>42</v>
      </c>
      <c r="R3067" t="str">
        <f>"0580200"</f>
        <v>0580200</v>
      </c>
      <c r="S3067" t="s">
        <v>245</v>
      </c>
      <c r="T3067" t="s">
        <v>223</v>
      </c>
      <c r="U3067" t="s">
        <v>224</v>
      </c>
      <c r="V3067" t="s">
        <v>131</v>
      </c>
      <c r="W3067" t="s">
        <v>51</v>
      </c>
      <c r="X3067" t="s">
        <v>45</v>
      </c>
      <c r="Y3067" s="1">
        <v>27796</v>
      </c>
      <c r="Z3067">
        <v>2</v>
      </c>
      <c r="AA3067" t="s">
        <v>224</v>
      </c>
      <c r="AB3067" s="40" t="s">
        <v>1799</v>
      </c>
    </row>
    <row r="3068" spans="1:28" x14ac:dyDescent="0.25">
      <c r="A3068">
        <v>99913067</v>
      </c>
      <c r="B3068" t="s">
        <v>32</v>
      </c>
      <c r="C3068" t="s">
        <v>141</v>
      </c>
      <c r="D3068" t="s">
        <v>142</v>
      </c>
      <c r="G3068" t="s">
        <v>35</v>
      </c>
      <c r="H3068">
        <v>1</v>
      </c>
      <c r="K3068" t="s">
        <v>154</v>
      </c>
      <c r="L3068" t="s">
        <v>155</v>
      </c>
      <c r="M3068" t="s">
        <v>131</v>
      </c>
      <c r="N3068">
        <v>21</v>
      </c>
      <c r="P3068" t="s">
        <v>41</v>
      </c>
      <c r="Q3068" t="s">
        <v>75</v>
      </c>
      <c r="R3068" t="str">
        <f>"7700026"</f>
        <v>7700026</v>
      </c>
      <c r="S3068" t="s">
        <v>397</v>
      </c>
      <c r="T3068" t="s">
        <v>154</v>
      </c>
      <c r="U3068" t="s">
        <v>155</v>
      </c>
      <c r="V3068" t="s">
        <v>131</v>
      </c>
      <c r="W3068" t="s">
        <v>51</v>
      </c>
      <c r="X3068" t="s">
        <v>45</v>
      </c>
      <c r="Y3068" s="1">
        <v>27791</v>
      </c>
      <c r="Z3068">
        <v>1</v>
      </c>
      <c r="AA3068" t="s">
        <v>155</v>
      </c>
      <c r="AB3068" s="40" t="s">
        <v>1799</v>
      </c>
    </row>
    <row r="3069" spans="1:28" x14ac:dyDescent="0.25">
      <c r="A3069">
        <v>99913068</v>
      </c>
      <c r="B3069" t="s">
        <v>32</v>
      </c>
      <c r="C3069" t="s">
        <v>64</v>
      </c>
      <c r="D3069" t="s">
        <v>65</v>
      </c>
      <c r="G3069" t="s">
        <v>48</v>
      </c>
      <c r="H3069">
        <v>1</v>
      </c>
      <c r="K3069" t="s">
        <v>300</v>
      </c>
      <c r="L3069" t="s">
        <v>301</v>
      </c>
      <c r="M3069" t="s">
        <v>131</v>
      </c>
      <c r="N3069">
        <v>21</v>
      </c>
      <c r="P3069" t="s">
        <v>41</v>
      </c>
      <c r="Q3069" t="s">
        <v>49</v>
      </c>
      <c r="R3069" t="str">
        <f>"0560001"</f>
        <v>0560001</v>
      </c>
      <c r="S3069" t="s">
        <v>304</v>
      </c>
      <c r="T3069" t="s">
        <v>300</v>
      </c>
      <c r="U3069" t="s">
        <v>301</v>
      </c>
      <c r="V3069" t="s">
        <v>131</v>
      </c>
      <c r="W3069" t="s">
        <v>51</v>
      </c>
      <c r="X3069" t="s">
        <v>45</v>
      </c>
      <c r="Y3069" s="1">
        <v>27766</v>
      </c>
      <c r="Z3069">
        <v>2</v>
      </c>
      <c r="AA3069" t="s">
        <v>301</v>
      </c>
      <c r="AB3069" s="40" t="s">
        <v>1799</v>
      </c>
    </row>
    <row r="3070" spans="1:28" x14ac:dyDescent="0.25">
      <c r="A3070">
        <v>99913069</v>
      </c>
      <c r="B3070" t="s">
        <v>56</v>
      </c>
      <c r="C3070" t="s">
        <v>61</v>
      </c>
      <c r="D3070" t="s">
        <v>62</v>
      </c>
      <c r="G3070" t="s">
        <v>48</v>
      </c>
      <c r="H3070">
        <v>1</v>
      </c>
      <c r="K3070" t="s">
        <v>223</v>
      </c>
      <c r="L3070" t="s">
        <v>224</v>
      </c>
      <c r="M3070" t="s">
        <v>131</v>
      </c>
      <c r="N3070">
        <v>21</v>
      </c>
      <c r="P3070" t="s">
        <v>41</v>
      </c>
      <c r="Q3070" t="s">
        <v>49</v>
      </c>
      <c r="R3070" t="str">
        <f>"0581206"</f>
        <v>0581206</v>
      </c>
      <c r="S3070" t="s">
        <v>232</v>
      </c>
      <c r="T3070" t="s">
        <v>223</v>
      </c>
      <c r="U3070" t="s">
        <v>224</v>
      </c>
      <c r="V3070" t="s">
        <v>131</v>
      </c>
      <c r="W3070" t="s">
        <v>51</v>
      </c>
      <c r="X3070" t="s">
        <v>45</v>
      </c>
      <c r="Y3070" s="1">
        <v>27760</v>
      </c>
      <c r="Z3070">
        <v>2</v>
      </c>
      <c r="AA3070" t="s">
        <v>224</v>
      </c>
      <c r="AB3070" s="40" t="s">
        <v>1799</v>
      </c>
    </row>
    <row r="3071" spans="1:28" x14ac:dyDescent="0.25">
      <c r="A3071">
        <v>99913070</v>
      </c>
      <c r="B3071" t="s">
        <v>32</v>
      </c>
      <c r="C3071" t="s">
        <v>64</v>
      </c>
      <c r="D3071" t="s">
        <v>65</v>
      </c>
      <c r="G3071" t="s">
        <v>48</v>
      </c>
      <c r="H3071">
        <v>1</v>
      </c>
      <c r="K3071" t="s">
        <v>223</v>
      </c>
      <c r="L3071" t="s">
        <v>224</v>
      </c>
      <c r="M3071" t="s">
        <v>131</v>
      </c>
      <c r="N3071">
        <v>21</v>
      </c>
      <c r="P3071" t="s">
        <v>41</v>
      </c>
      <c r="Q3071" t="s">
        <v>49</v>
      </c>
      <c r="R3071" t="str">
        <f>"0581206"</f>
        <v>0581206</v>
      </c>
      <c r="S3071" t="s">
        <v>232</v>
      </c>
      <c r="T3071" t="s">
        <v>223</v>
      </c>
      <c r="U3071" t="s">
        <v>224</v>
      </c>
      <c r="V3071" t="s">
        <v>131</v>
      </c>
      <c r="W3071" t="s">
        <v>51</v>
      </c>
      <c r="X3071" t="s">
        <v>45</v>
      </c>
      <c r="Y3071" s="1">
        <v>27760</v>
      </c>
      <c r="Z3071">
        <v>2</v>
      </c>
      <c r="AA3071" t="s">
        <v>224</v>
      </c>
      <c r="AB3071" s="40" t="s">
        <v>1799</v>
      </c>
    </row>
    <row r="3072" spans="1:28" x14ac:dyDescent="0.25">
      <c r="A3072">
        <v>99913071</v>
      </c>
      <c r="B3072" t="s">
        <v>56</v>
      </c>
      <c r="C3072" t="s">
        <v>33</v>
      </c>
      <c r="D3072" t="s">
        <v>34</v>
      </c>
      <c r="G3072" t="s">
        <v>35</v>
      </c>
      <c r="H3072">
        <v>1</v>
      </c>
      <c r="K3072" t="s">
        <v>947</v>
      </c>
      <c r="L3072" t="s">
        <v>948</v>
      </c>
      <c r="M3072" t="s">
        <v>938</v>
      </c>
      <c r="N3072">
        <v>21</v>
      </c>
      <c r="P3072" t="s">
        <v>41</v>
      </c>
      <c r="Q3072" t="s">
        <v>42</v>
      </c>
      <c r="R3072" t="str">
        <f>"0680030"</f>
        <v>0680030</v>
      </c>
      <c r="S3072" t="s">
        <v>951</v>
      </c>
      <c r="T3072" t="s">
        <v>947</v>
      </c>
      <c r="U3072" t="s">
        <v>948</v>
      </c>
      <c r="V3072" t="s">
        <v>938</v>
      </c>
      <c r="W3072" t="s">
        <v>51</v>
      </c>
      <c r="X3072" t="s">
        <v>45</v>
      </c>
      <c r="Y3072" s="1">
        <v>27760</v>
      </c>
      <c r="Z3072">
        <v>2</v>
      </c>
      <c r="AA3072" t="s">
        <v>948</v>
      </c>
      <c r="AB3072" s="40" t="s">
        <v>1799</v>
      </c>
    </row>
    <row r="3073" spans="1:28" x14ac:dyDescent="0.25">
      <c r="A3073">
        <v>99913072</v>
      </c>
      <c r="B3073" t="s">
        <v>32</v>
      </c>
      <c r="C3073" t="s">
        <v>79</v>
      </c>
      <c r="D3073" t="s">
        <v>80</v>
      </c>
      <c r="G3073" t="s">
        <v>35</v>
      </c>
      <c r="H3073">
        <v>1</v>
      </c>
      <c r="K3073" t="s">
        <v>963</v>
      </c>
      <c r="L3073" t="s">
        <v>964</v>
      </c>
      <c r="M3073" t="s">
        <v>938</v>
      </c>
      <c r="N3073">
        <v>21</v>
      </c>
      <c r="P3073" t="s">
        <v>41</v>
      </c>
      <c r="Q3073" t="s">
        <v>75</v>
      </c>
      <c r="R3073" t="str">
        <f>"7061000"</f>
        <v>7061000</v>
      </c>
      <c r="S3073" t="s">
        <v>962</v>
      </c>
      <c r="T3073" t="s">
        <v>963</v>
      </c>
      <c r="U3073" t="s">
        <v>964</v>
      </c>
      <c r="V3073" t="s">
        <v>938</v>
      </c>
      <c r="W3073" t="s">
        <v>165</v>
      </c>
      <c r="X3073" t="s">
        <v>45</v>
      </c>
      <c r="Y3073" s="1">
        <v>27760</v>
      </c>
      <c r="Z3073">
        <v>1</v>
      </c>
      <c r="AA3073" t="s">
        <v>964</v>
      </c>
      <c r="AB3073" s="40" t="s">
        <v>1799</v>
      </c>
    </row>
    <row r="3074" spans="1:28" x14ac:dyDescent="0.25">
      <c r="A3074">
        <v>99913073</v>
      </c>
      <c r="B3074" t="s">
        <v>56</v>
      </c>
      <c r="C3074" t="s">
        <v>52</v>
      </c>
      <c r="D3074" t="s">
        <v>53</v>
      </c>
      <c r="G3074" t="s">
        <v>48</v>
      </c>
      <c r="H3074">
        <v>1</v>
      </c>
      <c r="K3074" t="s">
        <v>223</v>
      </c>
      <c r="L3074" t="s">
        <v>224</v>
      </c>
      <c r="M3074" t="s">
        <v>131</v>
      </c>
      <c r="N3074">
        <v>21</v>
      </c>
      <c r="P3074" t="s">
        <v>41</v>
      </c>
      <c r="Q3074" t="s">
        <v>42</v>
      </c>
      <c r="R3074" t="str">
        <f>"0580202"</f>
        <v>0580202</v>
      </c>
      <c r="S3074" t="s">
        <v>240</v>
      </c>
      <c r="T3074" t="s">
        <v>223</v>
      </c>
      <c r="U3074" t="s">
        <v>224</v>
      </c>
      <c r="V3074" t="s">
        <v>131</v>
      </c>
      <c r="W3074" t="s">
        <v>51</v>
      </c>
      <c r="X3074" t="s">
        <v>45</v>
      </c>
      <c r="Y3074" s="1">
        <v>27726</v>
      </c>
      <c r="Z3074">
        <v>2</v>
      </c>
      <c r="AA3074" t="s">
        <v>224</v>
      </c>
      <c r="AB3074" s="40" t="s">
        <v>1799</v>
      </c>
    </row>
    <row r="3075" spans="1:28" x14ac:dyDescent="0.25">
      <c r="A3075">
        <v>99913074</v>
      </c>
      <c r="B3075" t="s">
        <v>56</v>
      </c>
      <c r="C3075" t="s">
        <v>68</v>
      </c>
      <c r="D3075" t="s">
        <v>69</v>
      </c>
      <c r="G3075" t="s">
        <v>48</v>
      </c>
      <c r="H3075">
        <v>8</v>
      </c>
      <c r="K3075" t="s">
        <v>345</v>
      </c>
      <c r="L3075" t="s">
        <v>346</v>
      </c>
      <c r="M3075" t="s">
        <v>131</v>
      </c>
      <c r="N3075">
        <v>21</v>
      </c>
      <c r="P3075" t="s">
        <v>41</v>
      </c>
      <c r="Q3075" t="s">
        <v>49</v>
      </c>
      <c r="R3075" t="str">
        <f>"0591906"</f>
        <v>0591906</v>
      </c>
      <c r="S3075" t="s">
        <v>350</v>
      </c>
      <c r="T3075" t="s">
        <v>345</v>
      </c>
      <c r="U3075" t="s">
        <v>346</v>
      </c>
      <c r="V3075" t="s">
        <v>131</v>
      </c>
      <c r="W3075" t="s">
        <v>51</v>
      </c>
      <c r="X3075" t="s">
        <v>45</v>
      </c>
      <c r="Y3075" s="1">
        <v>27723</v>
      </c>
      <c r="Z3075">
        <v>2</v>
      </c>
      <c r="AA3075" t="s">
        <v>346</v>
      </c>
      <c r="AB3075" s="40" t="s">
        <v>1799</v>
      </c>
    </row>
    <row r="3076" spans="1:28" x14ac:dyDescent="0.25">
      <c r="A3076">
        <v>99913075</v>
      </c>
      <c r="B3076" t="s">
        <v>56</v>
      </c>
      <c r="C3076" t="s">
        <v>46</v>
      </c>
      <c r="D3076" t="s">
        <v>47</v>
      </c>
      <c r="G3076" t="s">
        <v>35</v>
      </c>
      <c r="H3076">
        <v>1</v>
      </c>
      <c r="I3076">
        <v>0</v>
      </c>
      <c r="J3076" s="1">
        <v>43344</v>
      </c>
      <c r="K3076" t="s">
        <v>223</v>
      </c>
      <c r="L3076" t="s">
        <v>224</v>
      </c>
      <c r="M3076" t="s">
        <v>131</v>
      </c>
      <c r="N3076">
        <v>21</v>
      </c>
      <c r="O3076" s="1">
        <v>43344</v>
      </c>
      <c r="P3076" t="s">
        <v>41</v>
      </c>
      <c r="Q3076" t="s">
        <v>42</v>
      </c>
      <c r="R3076" t="str">
        <f>"0580206"</f>
        <v>0580206</v>
      </c>
      <c r="S3076" t="s">
        <v>237</v>
      </c>
      <c r="T3076" t="s">
        <v>223</v>
      </c>
      <c r="U3076" t="s">
        <v>224</v>
      </c>
      <c r="V3076" t="s">
        <v>131</v>
      </c>
      <c r="W3076" t="s">
        <v>51</v>
      </c>
      <c r="X3076" t="s">
        <v>45</v>
      </c>
      <c r="Y3076" s="1">
        <v>27661</v>
      </c>
      <c r="Z3076">
        <v>2</v>
      </c>
      <c r="AA3076" t="s">
        <v>224</v>
      </c>
      <c r="AB3076" s="40" t="s">
        <v>1799</v>
      </c>
    </row>
    <row r="3077" spans="1:28" x14ac:dyDescent="0.25">
      <c r="A3077">
        <v>99913076</v>
      </c>
      <c r="B3077" t="s">
        <v>32</v>
      </c>
      <c r="C3077" t="s">
        <v>46</v>
      </c>
      <c r="D3077" t="s">
        <v>47</v>
      </c>
      <c r="G3077" t="s">
        <v>48</v>
      </c>
      <c r="H3077">
        <v>1</v>
      </c>
      <c r="K3077" t="s">
        <v>1128</v>
      </c>
      <c r="L3077" t="s">
        <v>1129</v>
      </c>
      <c r="M3077" t="s">
        <v>1130</v>
      </c>
      <c r="N3077">
        <v>21</v>
      </c>
      <c r="P3077" t="s">
        <v>41</v>
      </c>
      <c r="Q3077" t="s">
        <v>42</v>
      </c>
      <c r="R3077" t="str">
        <f>"3180015"</f>
        <v>3180015</v>
      </c>
      <c r="S3077" t="s">
        <v>1139</v>
      </c>
      <c r="T3077" t="s">
        <v>1128</v>
      </c>
      <c r="U3077" t="s">
        <v>1129</v>
      </c>
      <c r="V3077" t="s">
        <v>1130</v>
      </c>
      <c r="W3077" t="s">
        <v>165</v>
      </c>
      <c r="X3077" t="s">
        <v>45</v>
      </c>
      <c r="Y3077" s="1">
        <v>27651</v>
      </c>
      <c r="Z3077">
        <v>2</v>
      </c>
      <c r="AA3077" t="s">
        <v>1129</v>
      </c>
      <c r="AB3077" s="40" t="s">
        <v>1799</v>
      </c>
    </row>
    <row r="3078" spans="1:28" x14ac:dyDescent="0.25">
      <c r="A3078">
        <v>99913077</v>
      </c>
      <c r="B3078" t="s">
        <v>32</v>
      </c>
      <c r="C3078" t="s">
        <v>143</v>
      </c>
      <c r="D3078" t="s">
        <v>144</v>
      </c>
      <c r="G3078" t="s">
        <v>48</v>
      </c>
      <c r="H3078">
        <v>1</v>
      </c>
      <c r="K3078" t="s">
        <v>223</v>
      </c>
      <c r="L3078" t="s">
        <v>224</v>
      </c>
      <c r="M3078" t="s">
        <v>131</v>
      </c>
      <c r="N3078">
        <v>21</v>
      </c>
      <c r="P3078" t="s">
        <v>41</v>
      </c>
      <c r="Q3078" t="s">
        <v>49</v>
      </c>
      <c r="R3078" t="str">
        <f>"0540902"</f>
        <v>0540902</v>
      </c>
      <c r="S3078" t="s">
        <v>256</v>
      </c>
      <c r="T3078" t="s">
        <v>223</v>
      </c>
      <c r="U3078" t="s">
        <v>224</v>
      </c>
      <c r="V3078" t="s">
        <v>131</v>
      </c>
      <c r="W3078" t="s">
        <v>51</v>
      </c>
      <c r="X3078" t="s">
        <v>45</v>
      </c>
      <c r="Y3078" s="1">
        <v>27629</v>
      </c>
      <c r="Z3078">
        <v>2</v>
      </c>
      <c r="AA3078" t="s">
        <v>224</v>
      </c>
      <c r="AB3078" s="40" t="s">
        <v>1799</v>
      </c>
    </row>
    <row r="3079" spans="1:28" x14ac:dyDescent="0.25">
      <c r="A3079">
        <v>99913078</v>
      </c>
      <c r="B3079" t="s">
        <v>32</v>
      </c>
      <c r="C3079" t="s">
        <v>90</v>
      </c>
      <c r="D3079" t="s">
        <v>91</v>
      </c>
      <c r="G3079" t="s">
        <v>35</v>
      </c>
      <c r="H3079">
        <v>1</v>
      </c>
      <c r="I3079" t="s">
        <v>725</v>
      </c>
      <c r="J3079" s="1">
        <v>43344</v>
      </c>
      <c r="K3079" t="s">
        <v>268</v>
      </c>
      <c r="L3079" t="s">
        <v>269</v>
      </c>
      <c r="M3079" t="s">
        <v>131</v>
      </c>
      <c r="N3079">
        <v>21</v>
      </c>
      <c r="O3079" s="1">
        <v>43344</v>
      </c>
      <c r="P3079" t="s">
        <v>41</v>
      </c>
      <c r="Q3079" t="s">
        <v>95</v>
      </c>
      <c r="R3079" t="str">
        <f>"7052041"</f>
        <v>7052041</v>
      </c>
      <c r="S3079" t="s">
        <v>579</v>
      </c>
      <c r="T3079" t="s">
        <v>268</v>
      </c>
      <c r="U3079" t="s">
        <v>269</v>
      </c>
      <c r="V3079" t="s">
        <v>131</v>
      </c>
      <c r="W3079" t="s">
        <v>51</v>
      </c>
      <c r="X3079" t="s">
        <v>45</v>
      </c>
      <c r="Y3079" s="1">
        <v>27597</v>
      </c>
      <c r="Z3079">
        <v>1</v>
      </c>
      <c r="AA3079" t="s">
        <v>269</v>
      </c>
      <c r="AB3079" s="40" t="s">
        <v>1799</v>
      </c>
    </row>
    <row r="3080" spans="1:28" x14ac:dyDescent="0.25">
      <c r="A3080">
        <v>99913079</v>
      </c>
      <c r="B3080" t="s">
        <v>32</v>
      </c>
      <c r="C3080" t="s">
        <v>64</v>
      </c>
      <c r="D3080" t="s">
        <v>65</v>
      </c>
      <c r="G3080" t="s">
        <v>48</v>
      </c>
      <c r="H3080">
        <v>1</v>
      </c>
      <c r="K3080" t="s">
        <v>300</v>
      </c>
      <c r="L3080" t="s">
        <v>301</v>
      </c>
      <c r="M3080" t="s">
        <v>131</v>
      </c>
      <c r="N3080">
        <v>21</v>
      </c>
      <c r="P3080" t="s">
        <v>41</v>
      </c>
      <c r="Q3080" t="s">
        <v>49</v>
      </c>
      <c r="R3080" t="str">
        <f>"0560001"</f>
        <v>0560001</v>
      </c>
      <c r="S3080" t="s">
        <v>304</v>
      </c>
      <c r="T3080" t="s">
        <v>300</v>
      </c>
      <c r="U3080" t="s">
        <v>301</v>
      </c>
      <c r="V3080" t="s">
        <v>131</v>
      </c>
      <c r="W3080" t="s">
        <v>51</v>
      </c>
      <c r="X3080" t="s">
        <v>45</v>
      </c>
      <c r="Y3080" s="1">
        <v>27589</v>
      </c>
      <c r="Z3080">
        <v>2</v>
      </c>
      <c r="AA3080" t="s">
        <v>301</v>
      </c>
      <c r="AB3080" s="40" t="s">
        <v>1799</v>
      </c>
    </row>
    <row r="3081" spans="1:28" x14ac:dyDescent="0.25">
      <c r="A3081">
        <v>99913080</v>
      </c>
      <c r="B3081" t="s">
        <v>32</v>
      </c>
      <c r="C3081" t="s">
        <v>46</v>
      </c>
      <c r="D3081" t="s">
        <v>47</v>
      </c>
      <c r="G3081" t="s">
        <v>35</v>
      </c>
      <c r="H3081">
        <v>1</v>
      </c>
      <c r="K3081" t="s">
        <v>223</v>
      </c>
      <c r="L3081" t="s">
        <v>224</v>
      </c>
      <c r="M3081" t="s">
        <v>131</v>
      </c>
      <c r="N3081">
        <v>21</v>
      </c>
      <c r="P3081" t="s">
        <v>41</v>
      </c>
      <c r="Q3081" t="s">
        <v>42</v>
      </c>
      <c r="R3081" t="str">
        <f>"0590901"</f>
        <v>0590901</v>
      </c>
      <c r="S3081" t="s">
        <v>242</v>
      </c>
      <c r="T3081" t="s">
        <v>223</v>
      </c>
      <c r="U3081" t="s">
        <v>224</v>
      </c>
      <c r="V3081" t="s">
        <v>131</v>
      </c>
      <c r="W3081" t="s">
        <v>51</v>
      </c>
      <c r="X3081" t="s">
        <v>45</v>
      </c>
      <c r="Y3081" s="1">
        <v>27576</v>
      </c>
      <c r="Z3081">
        <v>2</v>
      </c>
      <c r="AA3081" t="s">
        <v>224</v>
      </c>
      <c r="AB3081" s="40" t="s">
        <v>1799</v>
      </c>
    </row>
    <row r="3082" spans="1:28" x14ac:dyDescent="0.25">
      <c r="A3082">
        <v>99913081</v>
      </c>
      <c r="B3082" t="s">
        <v>56</v>
      </c>
      <c r="C3082" t="s">
        <v>79</v>
      </c>
      <c r="D3082" t="s">
        <v>80</v>
      </c>
      <c r="G3082" t="s">
        <v>35</v>
      </c>
      <c r="H3082">
        <v>1</v>
      </c>
      <c r="I3082">
        <v>0</v>
      </c>
      <c r="J3082" s="1">
        <v>43344</v>
      </c>
      <c r="K3082" t="s">
        <v>223</v>
      </c>
      <c r="L3082" t="s">
        <v>224</v>
      </c>
      <c r="M3082" t="s">
        <v>131</v>
      </c>
      <c r="N3082">
        <v>21</v>
      </c>
      <c r="O3082" s="1">
        <v>43344</v>
      </c>
      <c r="P3082" t="s">
        <v>41</v>
      </c>
      <c r="Q3082" t="s">
        <v>42</v>
      </c>
      <c r="R3082" t="str">
        <f>"0580206"</f>
        <v>0580206</v>
      </c>
      <c r="S3082" t="s">
        <v>237</v>
      </c>
      <c r="T3082" t="s">
        <v>223</v>
      </c>
      <c r="U3082" t="s">
        <v>224</v>
      </c>
      <c r="V3082" t="s">
        <v>131</v>
      </c>
      <c r="W3082" t="s">
        <v>165</v>
      </c>
      <c r="X3082" t="s">
        <v>45</v>
      </c>
      <c r="Y3082" s="1">
        <v>27576</v>
      </c>
      <c r="Z3082">
        <v>2</v>
      </c>
      <c r="AA3082" t="s">
        <v>224</v>
      </c>
      <c r="AB3082" s="40" t="s">
        <v>1799</v>
      </c>
    </row>
    <row r="3083" spans="1:28" x14ac:dyDescent="0.25">
      <c r="A3083">
        <v>99913082</v>
      </c>
      <c r="B3083" t="s">
        <v>32</v>
      </c>
      <c r="C3083" t="s">
        <v>111</v>
      </c>
      <c r="D3083" t="s">
        <v>112</v>
      </c>
      <c r="G3083" t="s">
        <v>48</v>
      </c>
      <c r="H3083">
        <v>1</v>
      </c>
      <c r="K3083" t="s">
        <v>667</v>
      </c>
      <c r="L3083" t="s">
        <v>669</v>
      </c>
      <c r="M3083" t="s">
        <v>670</v>
      </c>
      <c r="N3083">
        <v>21</v>
      </c>
      <c r="P3083" t="s">
        <v>41</v>
      </c>
      <c r="Q3083" t="s">
        <v>75</v>
      </c>
      <c r="R3083" t="str">
        <f>"7501000"</f>
        <v>7501000</v>
      </c>
      <c r="S3083" t="s">
        <v>668</v>
      </c>
      <c r="T3083" t="s">
        <v>667</v>
      </c>
      <c r="U3083" t="s">
        <v>669</v>
      </c>
      <c r="V3083" t="s">
        <v>670</v>
      </c>
      <c r="W3083" t="s">
        <v>51</v>
      </c>
      <c r="X3083" t="s">
        <v>45</v>
      </c>
      <c r="Y3083" s="1">
        <v>27499</v>
      </c>
      <c r="Z3083">
        <v>1</v>
      </c>
      <c r="AA3083" t="s">
        <v>669</v>
      </c>
      <c r="AB3083" s="40" t="s">
        <v>1799</v>
      </c>
    </row>
    <row r="3084" spans="1:28" x14ac:dyDescent="0.25">
      <c r="A3084">
        <v>99913083</v>
      </c>
      <c r="B3084" t="s">
        <v>32</v>
      </c>
      <c r="C3084" t="s">
        <v>111</v>
      </c>
      <c r="D3084" t="s">
        <v>112</v>
      </c>
      <c r="G3084" t="s">
        <v>35</v>
      </c>
      <c r="H3084">
        <v>1</v>
      </c>
      <c r="I3084">
        <v>2750</v>
      </c>
      <c r="J3084" s="1">
        <v>43344</v>
      </c>
      <c r="K3084" t="s">
        <v>1245</v>
      </c>
      <c r="L3084" t="s">
        <v>1246</v>
      </c>
      <c r="M3084" t="s">
        <v>1130</v>
      </c>
      <c r="N3084">
        <v>21</v>
      </c>
      <c r="O3084" s="1">
        <v>43344</v>
      </c>
      <c r="P3084" t="s">
        <v>41</v>
      </c>
      <c r="Q3084" t="s">
        <v>75</v>
      </c>
      <c r="R3084" t="str">
        <f>"7451000"</f>
        <v>7451000</v>
      </c>
      <c r="S3084" t="s">
        <v>1250</v>
      </c>
      <c r="T3084" t="s">
        <v>1245</v>
      </c>
      <c r="U3084" t="s">
        <v>1246</v>
      </c>
      <c r="V3084" t="s">
        <v>1130</v>
      </c>
      <c r="W3084" t="s">
        <v>51</v>
      </c>
      <c r="X3084" t="s">
        <v>45</v>
      </c>
      <c r="Y3084" s="1">
        <v>27484</v>
      </c>
      <c r="Z3084">
        <v>1</v>
      </c>
      <c r="AA3084" t="s">
        <v>1246</v>
      </c>
      <c r="AB3084" s="40" t="s">
        <v>1799</v>
      </c>
    </row>
    <row r="3085" spans="1:28" x14ac:dyDescent="0.25">
      <c r="A3085">
        <v>99913084</v>
      </c>
      <c r="B3085" t="s">
        <v>32</v>
      </c>
      <c r="C3085" t="s">
        <v>85</v>
      </c>
      <c r="D3085" t="s">
        <v>86</v>
      </c>
      <c r="G3085" t="s">
        <v>35</v>
      </c>
      <c r="H3085">
        <v>1</v>
      </c>
      <c r="I3085">
        <v>17327</v>
      </c>
      <c r="J3085" s="1">
        <v>43346</v>
      </c>
      <c r="K3085" t="s">
        <v>345</v>
      </c>
      <c r="L3085" t="s">
        <v>346</v>
      </c>
      <c r="M3085" t="s">
        <v>131</v>
      </c>
      <c r="N3085">
        <v>21</v>
      </c>
      <c r="O3085" s="1">
        <v>43346</v>
      </c>
      <c r="P3085" t="s">
        <v>41</v>
      </c>
      <c r="Q3085" t="s">
        <v>49</v>
      </c>
      <c r="R3085" t="str">
        <f>"0561021"</f>
        <v>0561021</v>
      </c>
      <c r="S3085" t="s">
        <v>352</v>
      </c>
      <c r="T3085" t="s">
        <v>345</v>
      </c>
      <c r="U3085" t="s">
        <v>346</v>
      </c>
      <c r="V3085" t="s">
        <v>131</v>
      </c>
      <c r="W3085" t="s">
        <v>55</v>
      </c>
      <c r="X3085" t="s">
        <v>45</v>
      </c>
      <c r="Y3085" s="1">
        <v>27464</v>
      </c>
      <c r="Z3085">
        <v>2</v>
      </c>
      <c r="AA3085" t="s">
        <v>346</v>
      </c>
      <c r="AB3085" s="40" t="s">
        <v>1799</v>
      </c>
    </row>
    <row r="3086" spans="1:28" x14ac:dyDescent="0.25">
      <c r="A3086">
        <v>99913085</v>
      </c>
      <c r="B3086" t="s">
        <v>56</v>
      </c>
      <c r="C3086" t="s">
        <v>52</v>
      </c>
      <c r="D3086" t="s">
        <v>53</v>
      </c>
      <c r="G3086" t="s">
        <v>48</v>
      </c>
      <c r="H3086">
        <v>1</v>
      </c>
      <c r="K3086" t="s">
        <v>1496</v>
      </c>
      <c r="L3086" t="s">
        <v>1497</v>
      </c>
      <c r="M3086" t="s">
        <v>670</v>
      </c>
      <c r="N3086">
        <v>21</v>
      </c>
      <c r="P3086" t="s">
        <v>41</v>
      </c>
      <c r="Q3086" t="s">
        <v>42</v>
      </c>
      <c r="R3086" t="str">
        <f>"5080015"</f>
        <v>5080015</v>
      </c>
      <c r="S3086" t="s">
        <v>1498</v>
      </c>
      <c r="T3086" t="s">
        <v>1496</v>
      </c>
      <c r="U3086" t="s">
        <v>1497</v>
      </c>
      <c r="V3086" t="s">
        <v>670</v>
      </c>
      <c r="W3086" t="s">
        <v>51</v>
      </c>
      <c r="X3086" t="s">
        <v>45</v>
      </c>
      <c r="Y3086" s="1">
        <v>27452</v>
      </c>
      <c r="Z3086">
        <v>2</v>
      </c>
      <c r="AA3086" t="s">
        <v>1497</v>
      </c>
      <c r="AB3086" s="40" t="s">
        <v>1799</v>
      </c>
    </row>
    <row r="3087" spans="1:28" x14ac:dyDescent="0.25">
      <c r="A3087">
        <v>99913086</v>
      </c>
      <c r="B3087" t="s">
        <v>56</v>
      </c>
      <c r="C3087" t="s">
        <v>139</v>
      </c>
      <c r="D3087" t="s">
        <v>140</v>
      </c>
      <c r="G3087" t="s">
        <v>48</v>
      </c>
      <c r="H3087">
        <v>1</v>
      </c>
      <c r="K3087" t="s">
        <v>223</v>
      </c>
      <c r="L3087" t="s">
        <v>224</v>
      </c>
      <c r="M3087" t="s">
        <v>131</v>
      </c>
      <c r="N3087">
        <v>21</v>
      </c>
      <c r="P3087" t="s">
        <v>41</v>
      </c>
      <c r="Q3087" t="s">
        <v>49</v>
      </c>
      <c r="R3087" t="str">
        <f>"0581200"</f>
        <v>0581200</v>
      </c>
      <c r="S3087" t="s">
        <v>238</v>
      </c>
      <c r="T3087" t="s">
        <v>223</v>
      </c>
      <c r="U3087" t="s">
        <v>224</v>
      </c>
      <c r="V3087" t="s">
        <v>131</v>
      </c>
      <c r="W3087" t="s">
        <v>51</v>
      </c>
      <c r="X3087" t="s">
        <v>45</v>
      </c>
      <c r="Y3087" s="1">
        <v>27433</v>
      </c>
      <c r="Z3087">
        <v>2</v>
      </c>
      <c r="AA3087" t="s">
        <v>224</v>
      </c>
      <c r="AB3087" s="40" t="s">
        <v>1799</v>
      </c>
    </row>
    <row r="3088" spans="1:28" x14ac:dyDescent="0.25">
      <c r="A3088">
        <v>99913087</v>
      </c>
      <c r="B3088" t="s">
        <v>32</v>
      </c>
      <c r="C3088" t="s">
        <v>64</v>
      </c>
      <c r="D3088" t="s">
        <v>65</v>
      </c>
      <c r="G3088" t="s">
        <v>35</v>
      </c>
      <c r="H3088">
        <v>1</v>
      </c>
      <c r="I3088">
        <v>0</v>
      </c>
      <c r="J3088" s="1">
        <v>43344</v>
      </c>
      <c r="K3088" t="s">
        <v>223</v>
      </c>
      <c r="L3088" t="s">
        <v>224</v>
      </c>
      <c r="M3088" t="s">
        <v>131</v>
      </c>
      <c r="N3088">
        <v>21</v>
      </c>
      <c r="O3088" s="1">
        <v>43344</v>
      </c>
      <c r="P3088" t="s">
        <v>41</v>
      </c>
      <c r="Q3088" t="s">
        <v>42</v>
      </c>
      <c r="R3088" t="str">
        <f>"0580206"</f>
        <v>0580206</v>
      </c>
      <c r="S3088" t="s">
        <v>237</v>
      </c>
      <c r="T3088" t="s">
        <v>223</v>
      </c>
      <c r="U3088" t="s">
        <v>224</v>
      </c>
      <c r="V3088" t="s">
        <v>131</v>
      </c>
      <c r="W3088" t="s">
        <v>51</v>
      </c>
      <c r="X3088" t="s">
        <v>45</v>
      </c>
      <c r="Y3088" s="1">
        <v>27400</v>
      </c>
      <c r="Z3088">
        <v>2</v>
      </c>
      <c r="AA3088" t="s">
        <v>224</v>
      </c>
      <c r="AB3088" s="40" t="s">
        <v>1799</v>
      </c>
    </row>
    <row r="3089" spans="1:28" x14ac:dyDescent="0.25">
      <c r="A3089">
        <v>99913088</v>
      </c>
      <c r="B3089" t="s">
        <v>56</v>
      </c>
      <c r="C3089" t="s">
        <v>68</v>
      </c>
      <c r="D3089" t="s">
        <v>69</v>
      </c>
      <c r="G3089" t="s">
        <v>48</v>
      </c>
      <c r="H3089">
        <v>1</v>
      </c>
      <c r="K3089" t="s">
        <v>223</v>
      </c>
      <c r="L3089" t="s">
        <v>224</v>
      </c>
      <c r="M3089" t="s">
        <v>131</v>
      </c>
      <c r="N3089">
        <v>21</v>
      </c>
      <c r="P3089" t="s">
        <v>41</v>
      </c>
      <c r="Q3089" t="s">
        <v>42</v>
      </c>
      <c r="R3089" t="str">
        <f>"0580204"</f>
        <v>0580204</v>
      </c>
      <c r="S3089" t="s">
        <v>235</v>
      </c>
      <c r="T3089" t="s">
        <v>223</v>
      </c>
      <c r="U3089" t="s">
        <v>224</v>
      </c>
      <c r="V3089" t="s">
        <v>131</v>
      </c>
      <c r="W3089" t="s">
        <v>51</v>
      </c>
      <c r="X3089" t="s">
        <v>45</v>
      </c>
      <c r="Y3089" s="1">
        <v>27395</v>
      </c>
      <c r="Z3089">
        <v>2</v>
      </c>
      <c r="AA3089" t="s">
        <v>224</v>
      </c>
      <c r="AB3089" s="40" t="s">
        <v>1799</v>
      </c>
    </row>
    <row r="3090" spans="1:28" x14ac:dyDescent="0.25">
      <c r="A3090">
        <v>99913089</v>
      </c>
      <c r="B3090" t="s">
        <v>56</v>
      </c>
      <c r="C3090" t="s">
        <v>79</v>
      </c>
      <c r="D3090" t="s">
        <v>80</v>
      </c>
      <c r="G3090" t="s">
        <v>48</v>
      </c>
      <c r="H3090">
        <v>1</v>
      </c>
      <c r="K3090" t="s">
        <v>431</v>
      </c>
      <c r="L3090" t="s">
        <v>196</v>
      </c>
      <c r="M3090" t="s">
        <v>131</v>
      </c>
      <c r="N3090">
        <v>21</v>
      </c>
      <c r="P3090" t="s">
        <v>41</v>
      </c>
      <c r="Q3090" t="s">
        <v>75</v>
      </c>
      <c r="R3090" t="str">
        <f>"7521016"</f>
        <v>7521016</v>
      </c>
      <c r="S3090" t="s">
        <v>448</v>
      </c>
      <c r="T3090" t="s">
        <v>431</v>
      </c>
      <c r="U3090" t="s">
        <v>196</v>
      </c>
      <c r="V3090" t="s">
        <v>131</v>
      </c>
      <c r="W3090" t="s">
        <v>51</v>
      </c>
      <c r="X3090" t="s">
        <v>45</v>
      </c>
      <c r="Y3090" s="1">
        <v>27395</v>
      </c>
      <c r="Z3090">
        <v>1</v>
      </c>
      <c r="AA3090" t="s">
        <v>196</v>
      </c>
      <c r="AB3090" s="40" t="s">
        <v>1799</v>
      </c>
    </row>
    <row r="3091" spans="1:28" x14ac:dyDescent="0.25">
      <c r="A3091">
        <v>99913090</v>
      </c>
      <c r="B3091" t="s">
        <v>32</v>
      </c>
      <c r="C3091" t="s">
        <v>64</v>
      </c>
      <c r="D3091" t="s">
        <v>65</v>
      </c>
      <c r="G3091" t="s">
        <v>48</v>
      </c>
      <c r="H3091">
        <v>4</v>
      </c>
      <c r="K3091" t="s">
        <v>1268</v>
      </c>
      <c r="L3091" t="s">
        <v>1269</v>
      </c>
      <c r="M3091" t="s">
        <v>1270</v>
      </c>
      <c r="N3091">
        <v>21</v>
      </c>
      <c r="O3091" s="1">
        <v>43344</v>
      </c>
      <c r="P3091" t="s">
        <v>41</v>
      </c>
      <c r="Q3091" t="s">
        <v>49</v>
      </c>
      <c r="R3091" t="str">
        <f>"1981055"</f>
        <v>1981055</v>
      </c>
      <c r="S3091" t="s">
        <v>1280</v>
      </c>
      <c r="T3091" t="s">
        <v>1268</v>
      </c>
      <c r="U3091" t="s">
        <v>1269</v>
      </c>
      <c r="V3091" t="s">
        <v>1270</v>
      </c>
      <c r="W3091" t="s">
        <v>51</v>
      </c>
      <c r="X3091" t="s">
        <v>45</v>
      </c>
      <c r="Y3091" s="1">
        <v>27395</v>
      </c>
      <c r="Z3091">
        <v>2</v>
      </c>
      <c r="AA3091" t="s">
        <v>1269</v>
      </c>
      <c r="AB3091" s="40" t="s">
        <v>1799</v>
      </c>
    </row>
    <row r="3092" spans="1:28" x14ac:dyDescent="0.25">
      <c r="A3092">
        <v>99913091</v>
      </c>
      <c r="B3092" t="s">
        <v>32</v>
      </c>
      <c r="C3092" t="s">
        <v>136</v>
      </c>
      <c r="D3092" t="s">
        <v>137</v>
      </c>
      <c r="E3092" t="s">
        <v>46</v>
      </c>
      <c r="F3092" t="s">
        <v>47</v>
      </c>
      <c r="G3092" t="s">
        <v>48</v>
      </c>
      <c r="H3092">
        <v>1</v>
      </c>
      <c r="K3092" t="s">
        <v>223</v>
      </c>
      <c r="L3092" t="s">
        <v>224</v>
      </c>
      <c r="M3092" t="s">
        <v>131</v>
      </c>
      <c r="N3092">
        <v>21</v>
      </c>
      <c r="P3092" t="s">
        <v>41</v>
      </c>
      <c r="Q3092" t="s">
        <v>49</v>
      </c>
      <c r="R3092" t="str">
        <f>"0581204"</f>
        <v>0581204</v>
      </c>
      <c r="S3092" t="s">
        <v>249</v>
      </c>
      <c r="T3092" t="s">
        <v>223</v>
      </c>
      <c r="U3092" t="s">
        <v>224</v>
      </c>
      <c r="V3092" t="s">
        <v>131</v>
      </c>
      <c r="W3092" t="s">
        <v>51</v>
      </c>
      <c r="X3092" t="s">
        <v>45</v>
      </c>
      <c r="Y3092" s="1">
        <v>27363</v>
      </c>
      <c r="Z3092">
        <v>2</v>
      </c>
      <c r="AA3092" t="s">
        <v>224</v>
      </c>
      <c r="AB3092" s="40" t="s">
        <v>1799</v>
      </c>
    </row>
    <row r="3093" spans="1:28" x14ac:dyDescent="0.25">
      <c r="A3093">
        <v>99913092</v>
      </c>
      <c r="B3093" t="s">
        <v>32</v>
      </c>
      <c r="C3093" t="s">
        <v>111</v>
      </c>
      <c r="D3093" t="s">
        <v>112</v>
      </c>
      <c r="G3093" t="s">
        <v>48</v>
      </c>
      <c r="H3093">
        <v>10</v>
      </c>
      <c r="I3093" t="s">
        <v>495</v>
      </c>
      <c r="J3093" s="1">
        <v>39692</v>
      </c>
      <c r="K3093" t="s">
        <v>431</v>
      </c>
      <c r="L3093" t="s">
        <v>196</v>
      </c>
      <c r="M3093" t="s">
        <v>131</v>
      </c>
      <c r="N3093">
        <v>21</v>
      </c>
      <c r="O3093" s="1">
        <v>39692</v>
      </c>
      <c r="P3093" t="s">
        <v>41</v>
      </c>
      <c r="Q3093" t="s">
        <v>75</v>
      </c>
      <c r="R3093" t="str">
        <f>"7521012"</f>
        <v>7521012</v>
      </c>
      <c r="S3093" t="s">
        <v>432</v>
      </c>
      <c r="T3093" t="s">
        <v>431</v>
      </c>
      <c r="U3093" t="s">
        <v>196</v>
      </c>
      <c r="V3093" t="s">
        <v>131</v>
      </c>
      <c r="W3093" t="s">
        <v>165</v>
      </c>
      <c r="X3093" t="s">
        <v>45</v>
      </c>
      <c r="Y3093" s="1">
        <v>27358</v>
      </c>
      <c r="Z3093">
        <v>1</v>
      </c>
      <c r="AA3093" t="s">
        <v>196</v>
      </c>
      <c r="AB3093" s="40" t="s">
        <v>1799</v>
      </c>
    </row>
    <row r="3094" spans="1:28" x14ac:dyDescent="0.25">
      <c r="A3094">
        <v>99913093</v>
      </c>
      <c r="B3094" t="s">
        <v>56</v>
      </c>
      <c r="C3094" t="s">
        <v>143</v>
      </c>
      <c r="D3094" t="s">
        <v>144</v>
      </c>
      <c r="G3094" t="s">
        <v>35</v>
      </c>
      <c r="H3094">
        <v>1</v>
      </c>
      <c r="K3094" t="s">
        <v>223</v>
      </c>
      <c r="L3094" t="s">
        <v>224</v>
      </c>
      <c r="M3094" t="s">
        <v>131</v>
      </c>
      <c r="N3094">
        <v>21</v>
      </c>
      <c r="P3094" t="s">
        <v>41</v>
      </c>
      <c r="Q3094" t="s">
        <v>49</v>
      </c>
      <c r="R3094" t="str">
        <f>"0591901"</f>
        <v>0591901</v>
      </c>
      <c r="S3094" t="s">
        <v>230</v>
      </c>
      <c r="T3094" t="s">
        <v>223</v>
      </c>
      <c r="U3094" t="s">
        <v>224</v>
      </c>
      <c r="V3094" t="s">
        <v>131</v>
      </c>
      <c r="W3094" t="s">
        <v>51</v>
      </c>
      <c r="X3094" t="s">
        <v>45</v>
      </c>
      <c r="Y3094" s="1">
        <v>27357</v>
      </c>
      <c r="Z3094">
        <v>2</v>
      </c>
      <c r="AA3094" t="s">
        <v>224</v>
      </c>
      <c r="AB3094" s="40" t="s">
        <v>1799</v>
      </c>
    </row>
    <row r="3095" spans="1:28" x14ac:dyDescent="0.25">
      <c r="A3095">
        <v>99913094</v>
      </c>
      <c r="B3095" t="s">
        <v>32</v>
      </c>
      <c r="C3095" t="s">
        <v>111</v>
      </c>
      <c r="D3095" t="s">
        <v>112</v>
      </c>
      <c r="G3095" t="s">
        <v>48</v>
      </c>
      <c r="H3095">
        <v>10</v>
      </c>
      <c r="K3095" t="s">
        <v>195</v>
      </c>
      <c r="L3095" t="s">
        <v>196</v>
      </c>
      <c r="M3095" t="s">
        <v>131</v>
      </c>
      <c r="N3095">
        <v>21</v>
      </c>
      <c r="O3095" s="1">
        <v>39097</v>
      </c>
      <c r="P3095" t="s">
        <v>41</v>
      </c>
      <c r="Q3095" t="s">
        <v>75</v>
      </c>
      <c r="R3095" t="str">
        <f>"7521042"</f>
        <v>7521042</v>
      </c>
      <c r="S3095" t="s">
        <v>440</v>
      </c>
      <c r="T3095" t="s">
        <v>195</v>
      </c>
      <c r="U3095" t="s">
        <v>196</v>
      </c>
      <c r="V3095" t="s">
        <v>131</v>
      </c>
      <c r="W3095" t="s">
        <v>165</v>
      </c>
      <c r="X3095" t="s">
        <v>45</v>
      </c>
      <c r="Y3095" s="1">
        <v>27315</v>
      </c>
      <c r="Z3095">
        <v>1</v>
      </c>
      <c r="AA3095" t="s">
        <v>196</v>
      </c>
      <c r="AB3095" s="40" t="s">
        <v>1799</v>
      </c>
    </row>
    <row r="3096" spans="1:28" x14ac:dyDescent="0.25">
      <c r="A3096">
        <v>99913095</v>
      </c>
      <c r="B3096" t="s">
        <v>32</v>
      </c>
      <c r="C3096" t="s">
        <v>64</v>
      </c>
      <c r="D3096" t="s">
        <v>65</v>
      </c>
      <c r="G3096" t="s">
        <v>35</v>
      </c>
      <c r="H3096">
        <v>1</v>
      </c>
      <c r="K3096" t="s">
        <v>1268</v>
      </c>
      <c r="L3096" t="s">
        <v>1269</v>
      </c>
      <c r="M3096" t="s">
        <v>1270</v>
      </c>
      <c r="N3096">
        <v>21</v>
      </c>
      <c r="P3096" t="s">
        <v>41</v>
      </c>
      <c r="Q3096" t="s">
        <v>42</v>
      </c>
      <c r="R3096" t="str">
        <f>"1990001"</f>
        <v>1990001</v>
      </c>
      <c r="S3096" t="s">
        <v>1294</v>
      </c>
      <c r="T3096" t="s">
        <v>1268</v>
      </c>
      <c r="U3096" t="s">
        <v>1269</v>
      </c>
      <c r="V3096" t="s">
        <v>1270</v>
      </c>
      <c r="W3096" t="s">
        <v>51</v>
      </c>
      <c r="X3096" t="s">
        <v>45</v>
      </c>
      <c r="Y3096" s="1">
        <v>27301</v>
      </c>
      <c r="Z3096">
        <v>2</v>
      </c>
      <c r="AA3096" t="s">
        <v>1269</v>
      </c>
      <c r="AB3096" s="40" t="s">
        <v>1799</v>
      </c>
    </row>
    <row r="3097" spans="1:28" x14ac:dyDescent="0.25">
      <c r="A3097">
        <v>99913096</v>
      </c>
      <c r="B3097" t="s">
        <v>32</v>
      </c>
      <c r="C3097" t="s">
        <v>46</v>
      </c>
      <c r="D3097" t="s">
        <v>47</v>
      </c>
      <c r="G3097" t="s">
        <v>48</v>
      </c>
      <c r="H3097">
        <v>1</v>
      </c>
      <c r="K3097" t="s">
        <v>300</v>
      </c>
      <c r="L3097" t="s">
        <v>301</v>
      </c>
      <c r="M3097" t="s">
        <v>131</v>
      </c>
      <c r="N3097">
        <v>21</v>
      </c>
      <c r="P3097" t="s">
        <v>41</v>
      </c>
      <c r="Q3097" t="s">
        <v>42</v>
      </c>
      <c r="R3097" t="str">
        <f>"0580175"</f>
        <v>0580175</v>
      </c>
      <c r="S3097" t="s">
        <v>303</v>
      </c>
      <c r="T3097" t="s">
        <v>300</v>
      </c>
      <c r="U3097" t="s">
        <v>301</v>
      </c>
      <c r="V3097" t="s">
        <v>131</v>
      </c>
      <c r="W3097" t="s">
        <v>51</v>
      </c>
      <c r="X3097" t="s">
        <v>45</v>
      </c>
      <c r="Y3097" s="1">
        <v>27300</v>
      </c>
      <c r="Z3097">
        <v>2</v>
      </c>
      <c r="AA3097" t="s">
        <v>301</v>
      </c>
      <c r="AB3097" s="40" t="s">
        <v>1799</v>
      </c>
    </row>
    <row r="3098" spans="1:28" x14ac:dyDescent="0.25">
      <c r="A3098">
        <v>99913097</v>
      </c>
      <c r="B3098" t="s">
        <v>32</v>
      </c>
      <c r="C3098" t="s">
        <v>85</v>
      </c>
      <c r="D3098" t="s">
        <v>86</v>
      </c>
      <c r="G3098" t="s">
        <v>48</v>
      </c>
      <c r="H3098">
        <v>1</v>
      </c>
      <c r="I3098" t="s">
        <v>1311</v>
      </c>
      <c r="K3098" t="s">
        <v>1306</v>
      </c>
      <c r="L3098" t="s">
        <v>1307</v>
      </c>
      <c r="M3098" t="s">
        <v>1270</v>
      </c>
      <c r="N3098">
        <v>21</v>
      </c>
      <c r="P3098" t="s">
        <v>41</v>
      </c>
      <c r="Q3098" t="s">
        <v>49</v>
      </c>
      <c r="R3098" t="str">
        <f>"1991913"</f>
        <v>1991913</v>
      </c>
      <c r="S3098" t="s">
        <v>1310</v>
      </c>
      <c r="T3098" t="s">
        <v>1306</v>
      </c>
      <c r="U3098" t="s">
        <v>1307</v>
      </c>
      <c r="V3098" t="s">
        <v>1270</v>
      </c>
      <c r="W3098" t="s">
        <v>51</v>
      </c>
      <c r="X3098" t="s">
        <v>45</v>
      </c>
      <c r="Y3098" s="1">
        <v>27300</v>
      </c>
      <c r="Z3098">
        <v>2</v>
      </c>
      <c r="AA3098" t="s">
        <v>1307</v>
      </c>
      <c r="AB3098" s="40" t="s">
        <v>1799</v>
      </c>
    </row>
    <row r="3099" spans="1:28" x14ac:dyDescent="0.25">
      <c r="A3099">
        <v>99913098</v>
      </c>
      <c r="B3099" t="s">
        <v>32</v>
      </c>
      <c r="C3099" t="s">
        <v>64</v>
      </c>
      <c r="D3099" t="s">
        <v>65</v>
      </c>
      <c r="G3099" t="s">
        <v>48</v>
      </c>
      <c r="H3099">
        <v>1</v>
      </c>
      <c r="K3099" t="s">
        <v>162</v>
      </c>
      <c r="L3099" t="s">
        <v>158</v>
      </c>
      <c r="M3099" t="s">
        <v>131</v>
      </c>
      <c r="N3099">
        <v>21</v>
      </c>
      <c r="P3099" t="s">
        <v>41</v>
      </c>
      <c r="Q3099" t="s">
        <v>49</v>
      </c>
      <c r="R3099" t="str">
        <f>"0560003"</f>
        <v>0560003</v>
      </c>
      <c r="S3099" t="s">
        <v>181</v>
      </c>
      <c r="T3099" t="s">
        <v>162</v>
      </c>
      <c r="U3099" t="s">
        <v>158</v>
      </c>
      <c r="V3099" t="s">
        <v>131</v>
      </c>
      <c r="W3099" t="s">
        <v>51</v>
      </c>
      <c r="X3099" t="s">
        <v>45</v>
      </c>
      <c r="Y3099" s="1">
        <v>27277</v>
      </c>
      <c r="Z3099">
        <v>2</v>
      </c>
      <c r="AA3099" t="s">
        <v>158</v>
      </c>
      <c r="AB3099" s="40" t="s">
        <v>1799</v>
      </c>
    </row>
    <row r="3100" spans="1:28" x14ac:dyDescent="0.25">
      <c r="A3100">
        <v>99913099</v>
      </c>
      <c r="B3100" t="s">
        <v>56</v>
      </c>
      <c r="C3100" t="s">
        <v>52</v>
      </c>
      <c r="D3100" t="s">
        <v>53</v>
      </c>
      <c r="G3100" t="s">
        <v>48</v>
      </c>
      <c r="H3100">
        <v>1</v>
      </c>
      <c r="K3100" t="s">
        <v>162</v>
      </c>
      <c r="L3100" t="s">
        <v>158</v>
      </c>
      <c r="M3100" t="s">
        <v>131</v>
      </c>
      <c r="N3100">
        <v>21</v>
      </c>
      <c r="P3100" t="s">
        <v>41</v>
      </c>
      <c r="Q3100" t="s">
        <v>49</v>
      </c>
      <c r="R3100" t="str">
        <f>"0560003"</f>
        <v>0560003</v>
      </c>
      <c r="S3100" t="s">
        <v>181</v>
      </c>
      <c r="T3100" t="s">
        <v>162</v>
      </c>
      <c r="U3100" t="s">
        <v>158</v>
      </c>
      <c r="V3100" t="s">
        <v>131</v>
      </c>
      <c r="W3100" t="s">
        <v>51</v>
      </c>
      <c r="X3100" t="s">
        <v>45</v>
      </c>
      <c r="Y3100" s="1">
        <v>27246</v>
      </c>
      <c r="Z3100">
        <v>2</v>
      </c>
      <c r="AA3100" t="s">
        <v>158</v>
      </c>
      <c r="AB3100" s="40" t="s">
        <v>1799</v>
      </c>
    </row>
    <row r="3101" spans="1:28" x14ac:dyDescent="0.25">
      <c r="A3101">
        <v>99913100</v>
      </c>
      <c r="B3101" t="s">
        <v>32</v>
      </c>
      <c r="C3101" t="s">
        <v>46</v>
      </c>
      <c r="D3101" t="s">
        <v>47</v>
      </c>
      <c r="G3101" t="s">
        <v>48</v>
      </c>
      <c r="H3101">
        <v>1</v>
      </c>
      <c r="K3101" t="s">
        <v>162</v>
      </c>
      <c r="L3101" t="s">
        <v>158</v>
      </c>
      <c r="M3101" t="s">
        <v>131</v>
      </c>
      <c r="N3101">
        <v>21</v>
      </c>
      <c r="P3101" t="s">
        <v>41</v>
      </c>
      <c r="Q3101" t="s">
        <v>42</v>
      </c>
      <c r="R3101" t="str">
        <f>"0580310"</f>
        <v>0580310</v>
      </c>
      <c r="S3101" t="s">
        <v>173</v>
      </c>
      <c r="T3101" t="s">
        <v>162</v>
      </c>
      <c r="U3101" t="s">
        <v>158</v>
      </c>
      <c r="V3101" t="s">
        <v>131</v>
      </c>
      <c r="W3101" t="s">
        <v>51</v>
      </c>
      <c r="X3101" t="s">
        <v>45</v>
      </c>
      <c r="Y3101" s="1">
        <v>27209</v>
      </c>
      <c r="Z3101">
        <v>2</v>
      </c>
      <c r="AA3101" t="s">
        <v>158</v>
      </c>
      <c r="AB3101" s="40" t="s">
        <v>1799</v>
      </c>
    </row>
    <row r="3102" spans="1:28" x14ac:dyDescent="0.25">
      <c r="A3102">
        <v>99913101</v>
      </c>
      <c r="B3102" t="s">
        <v>56</v>
      </c>
      <c r="C3102" t="s">
        <v>52</v>
      </c>
      <c r="D3102" t="s">
        <v>53</v>
      </c>
      <c r="G3102" t="s">
        <v>48</v>
      </c>
      <c r="H3102">
        <v>1</v>
      </c>
      <c r="K3102" t="s">
        <v>345</v>
      </c>
      <c r="L3102" t="s">
        <v>346</v>
      </c>
      <c r="M3102" t="s">
        <v>131</v>
      </c>
      <c r="N3102">
        <v>21</v>
      </c>
      <c r="P3102" t="s">
        <v>41</v>
      </c>
      <c r="Q3102" t="s">
        <v>42</v>
      </c>
      <c r="R3102" t="str">
        <f>"0590906"</f>
        <v>0590906</v>
      </c>
      <c r="S3102" t="s">
        <v>361</v>
      </c>
      <c r="T3102" t="s">
        <v>345</v>
      </c>
      <c r="U3102" t="s">
        <v>346</v>
      </c>
      <c r="V3102" t="s">
        <v>131</v>
      </c>
      <c r="W3102" t="s">
        <v>51</v>
      </c>
      <c r="X3102" t="s">
        <v>45</v>
      </c>
      <c r="Y3102" s="1">
        <v>27191</v>
      </c>
      <c r="Z3102">
        <v>2</v>
      </c>
      <c r="AA3102" t="s">
        <v>346</v>
      </c>
      <c r="AB3102" s="40" t="s">
        <v>1799</v>
      </c>
    </row>
    <row r="3103" spans="1:28" x14ac:dyDescent="0.25">
      <c r="A3103">
        <v>99913102</v>
      </c>
      <c r="B3103" t="s">
        <v>56</v>
      </c>
      <c r="C3103" t="s">
        <v>58</v>
      </c>
      <c r="D3103" t="s">
        <v>59</v>
      </c>
      <c r="G3103" t="s">
        <v>48</v>
      </c>
      <c r="H3103">
        <v>1</v>
      </c>
      <c r="K3103" t="s">
        <v>223</v>
      </c>
      <c r="L3103" t="s">
        <v>224</v>
      </c>
      <c r="M3103" t="s">
        <v>131</v>
      </c>
      <c r="N3103">
        <v>21</v>
      </c>
      <c r="P3103" t="s">
        <v>41</v>
      </c>
      <c r="Q3103" t="s">
        <v>42</v>
      </c>
      <c r="R3103" t="str">
        <f>"0590910"</f>
        <v>0590910</v>
      </c>
      <c r="S3103" t="s">
        <v>227</v>
      </c>
      <c r="T3103" t="s">
        <v>223</v>
      </c>
      <c r="U3103" t="s">
        <v>224</v>
      </c>
      <c r="V3103" t="s">
        <v>131</v>
      </c>
      <c r="W3103" t="s">
        <v>51</v>
      </c>
      <c r="X3103" t="s">
        <v>45</v>
      </c>
      <c r="Y3103" s="1">
        <v>27189</v>
      </c>
      <c r="Z3103">
        <v>2</v>
      </c>
      <c r="AA3103" t="s">
        <v>224</v>
      </c>
      <c r="AB3103" s="40" t="s">
        <v>1799</v>
      </c>
    </row>
    <row r="3104" spans="1:28" x14ac:dyDescent="0.25">
      <c r="A3104">
        <v>99913103</v>
      </c>
      <c r="B3104" t="s">
        <v>32</v>
      </c>
      <c r="C3104" t="s">
        <v>46</v>
      </c>
      <c r="D3104" t="s">
        <v>47</v>
      </c>
      <c r="G3104" t="s">
        <v>48</v>
      </c>
      <c r="H3104">
        <v>7</v>
      </c>
      <c r="K3104" t="s">
        <v>345</v>
      </c>
      <c r="L3104" t="s">
        <v>346</v>
      </c>
      <c r="M3104" t="s">
        <v>131</v>
      </c>
      <c r="N3104">
        <v>21</v>
      </c>
      <c r="P3104" t="s">
        <v>41</v>
      </c>
      <c r="Q3104" t="s">
        <v>42</v>
      </c>
      <c r="R3104" t="str">
        <f>"0590906"</f>
        <v>0590906</v>
      </c>
      <c r="S3104" t="s">
        <v>361</v>
      </c>
      <c r="T3104" t="s">
        <v>345</v>
      </c>
      <c r="U3104" t="s">
        <v>346</v>
      </c>
      <c r="V3104" t="s">
        <v>131</v>
      </c>
      <c r="W3104" t="s">
        <v>51</v>
      </c>
      <c r="X3104" t="s">
        <v>45</v>
      </c>
      <c r="Y3104" s="1">
        <v>27171</v>
      </c>
      <c r="Z3104">
        <v>2</v>
      </c>
      <c r="AA3104" t="s">
        <v>346</v>
      </c>
      <c r="AB3104" s="40" t="s">
        <v>1799</v>
      </c>
    </row>
    <row r="3105" spans="1:28" x14ac:dyDescent="0.25">
      <c r="A3105">
        <v>99913104</v>
      </c>
      <c r="B3105" t="s">
        <v>56</v>
      </c>
      <c r="C3105" t="s">
        <v>46</v>
      </c>
      <c r="D3105" t="s">
        <v>47</v>
      </c>
      <c r="G3105" t="s">
        <v>48</v>
      </c>
      <c r="H3105">
        <v>1</v>
      </c>
      <c r="K3105" t="s">
        <v>300</v>
      </c>
      <c r="L3105" t="s">
        <v>301</v>
      </c>
      <c r="M3105" t="s">
        <v>131</v>
      </c>
      <c r="N3105">
        <v>21</v>
      </c>
      <c r="P3105" t="s">
        <v>41</v>
      </c>
      <c r="Q3105" t="s">
        <v>49</v>
      </c>
      <c r="R3105" t="str">
        <f>"0560001"</f>
        <v>0560001</v>
      </c>
      <c r="S3105" t="s">
        <v>304</v>
      </c>
      <c r="T3105" t="s">
        <v>300</v>
      </c>
      <c r="U3105" t="s">
        <v>301</v>
      </c>
      <c r="V3105" t="s">
        <v>131</v>
      </c>
      <c r="W3105" t="s">
        <v>51</v>
      </c>
      <c r="X3105" t="s">
        <v>45</v>
      </c>
      <c r="Y3105" s="1">
        <v>27161</v>
      </c>
      <c r="Z3105">
        <v>2</v>
      </c>
      <c r="AA3105" t="s">
        <v>301</v>
      </c>
      <c r="AB3105" s="40" t="s">
        <v>1799</v>
      </c>
    </row>
    <row r="3106" spans="1:28" x14ac:dyDescent="0.25">
      <c r="A3106">
        <v>99913105</v>
      </c>
      <c r="B3106" t="s">
        <v>32</v>
      </c>
      <c r="C3106" t="s">
        <v>46</v>
      </c>
      <c r="D3106" t="s">
        <v>47</v>
      </c>
      <c r="G3106" t="s">
        <v>35</v>
      </c>
      <c r="H3106">
        <v>1</v>
      </c>
      <c r="K3106" t="s">
        <v>157</v>
      </c>
      <c r="L3106" t="s">
        <v>158</v>
      </c>
      <c r="M3106" t="s">
        <v>131</v>
      </c>
      <c r="N3106">
        <v>21</v>
      </c>
      <c r="P3106" t="s">
        <v>41</v>
      </c>
      <c r="Q3106" t="s">
        <v>42</v>
      </c>
      <c r="R3106" t="str">
        <f>"0580725"</f>
        <v>0580725</v>
      </c>
      <c r="S3106" t="s">
        <v>167</v>
      </c>
      <c r="T3106" t="s">
        <v>157</v>
      </c>
      <c r="U3106" t="s">
        <v>158</v>
      </c>
      <c r="V3106" t="s">
        <v>131</v>
      </c>
      <c r="W3106" t="s">
        <v>51</v>
      </c>
      <c r="X3106" t="s">
        <v>45</v>
      </c>
      <c r="Y3106" s="1">
        <v>27082</v>
      </c>
      <c r="Z3106">
        <v>2</v>
      </c>
      <c r="AA3106" t="s">
        <v>158</v>
      </c>
      <c r="AB3106" s="40" t="s">
        <v>1799</v>
      </c>
    </row>
    <row r="3107" spans="1:28" x14ac:dyDescent="0.25">
      <c r="A3107">
        <v>99913106</v>
      </c>
      <c r="B3107" t="s">
        <v>32</v>
      </c>
      <c r="C3107" t="s">
        <v>46</v>
      </c>
      <c r="D3107" t="s">
        <v>47</v>
      </c>
      <c r="G3107" t="s">
        <v>48</v>
      </c>
      <c r="H3107">
        <v>1</v>
      </c>
      <c r="K3107" t="s">
        <v>380</v>
      </c>
      <c r="L3107" t="s">
        <v>381</v>
      </c>
      <c r="M3107" t="s">
        <v>131</v>
      </c>
      <c r="N3107">
        <v>21</v>
      </c>
      <c r="P3107" t="s">
        <v>41</v>
      </c>
      <c r="Q3107" t="s">
        <v>49</v>
      </c>
      <c r="R3107" t="str">
        <f>"0581859"</f>
        <v>0581859</v>
      </c>
      <c r="S3107" t="s">
        <v>394</v>
      </c>
      <c r="T3107" t="s">
        <v>380</v>
      </c>
      <c r="U3107" t="s">
        <v>381</v>
      </c>
      <c r="V3107" t="s">
        <v>131</v>
      </c>
      <c r="W3107" t="s">
        <v>51</v>
      </c>
      <c r="X3107" t="s">
        <v>45</v>
      </c>
      <c r="Y3107" s="1">
        <v>27073</v>
      </c>
      <c r="Z3107">
        <v>2</v>
      </c>
      <c r="AA3107" t="s">
        <v>381</v>
      </c>
      <c r="AB3107" s="40" t="s">
        <v>1799</v>
      </c>
    </row>
    <row r="3108" spans="1:28" x14ac:dyDescent="0.25">
      <c r="A3108">
        <v>99913107</v>
      </c>
      <c r="B3108" t="s">
        <v>56</v>
      </c>
      <c r="C3108" t="s">
        <v>58</v>
      </c>
      <c r="D3108" t="s">
        <v>59</v>
      </c>
      <c r="G3108" t="s">
        <v>48</v>
      </c>
      <c r="H3108">
        <v>1</v>
      </c>
      <c r="K3108" t="s">
        <v>300</v>
      </c>
      <c r="L3108" t="s">
        <v>301</v>
      </c>
      <c r="M3108" t="s">
        <v>131</v>
      </c>
      <c r="N3108">
        <v>21</v>
      </c>
      <c r="P3108" t="s">
        <v>41</v>
      </c>
      <c r="Q3108" t="s">
        <v>49</v>
      </c>
      <c r="R3108" t="str">
        <f>"0560001"</f>
        <v>0560001</v>
      </c>
      <c r="S3108" t="s">
        <v>304</v>
      </c>
      <c r="T3108" t="s">
        <v>300</v>
      </c>
      <c r="U3108" t="s">
        <v>301</v>
      </c>
      <c r="V3108" t="s">
        <v>131</v>
      </c>
      <c r="W3108" t="s">
        <v>51</v>
      </c>
      <c r="X3108" t="s">
        <v>45</v>
      </c>
      <c r="Y3108" s="1">
        <v>27030</v>
      </c>
      <c r="Z3108">
        <v>2</v>
      </c>
      <c r="AA3108" t="s">
        <v>301</v>
      </c>
      <c r="AB3108" s="40" t="s">
        <v>1799</v>
      </c>
    </row>
    <row r="3109" spans="1:28" x14ac:dyDescent="0.25">
      <c r="A3109">
        <v>99913108</v>
      </c>
      <c r="B3109" t="s">
        <v>32</v>
      </c>
      <c r="C3109" t="s">
        <v>111</v>
      </c>
      <c r="D3109" t="s">
        <v>112</v>
      </c>
      <c r="G3109" t="s">
        <v>48</v>
      </c>
      <c r="H3109">
        <v>13</v>
      </c>
      <c r="K3109" t="s">
        <v>195</v>
      </c>
      <c r="L3109" t="s">
        <v>196</v>
      </c>
      <c r="M3109" t="s">
        <v>131</v>
      </c>
      <c r="N3109">
        <v>21</v>
      </c>
      <c r="O3109" s="1">
        <v>37454</v>
      </c>
      <c r="P3109" t="s">
        <v>41</v>
      </c>
      <c r="Q3109" t="s">
        <v>75</v>
      </c>
      <c r="R3109" t="str">
        <f>"7521044"</f>
        <v>7521044</v>
      </c>
      <c r="S3109" t="s">
        <v>453</v>
      </c>
      <c r="T3109" t="s">
        <v>195</v>
      </c>
      <c r="U3109" t="s">
        <v>196</v>
      </c>
      <c r="V3109" t="s">
        <v>131</v>
      </c>
      <c r="W3109" t="s">
        <v>165</v>
      </c>
      <c r="X3109" t="s">
        <v>45</v>
      </c>
      <c r="Y3109" s="1">
        <v>27030</v>
      </c>
      <c r="Z3109">
        <v>1</v>
      </c>
      <c r="AA3109" t="s">
        <v>196</v>
      </c>
      <c r="AB3109" s="40" t="s">
        <v>1799</v>
      </c>
    </row>
    <row r="3110" spans="1:28" x14ac:dyDescent="0.25">
      <c r="A3110">
        <v>99913109</v>
      </c>
      <c r="B3110" t="s">
        <v>56</v>
      </c>
      <c r="C3110" t="s">
        <v>61</v>
      </c>
      <c r="D3110" t="s">
        <v>62</v>
      </c>
      <c r="G3110" t="s">
        <v>48</v>
      </c>
      <c r="H3110">
        <v>5</v>
      </c>
      <c r="K3110" t="s">
        <v>1268</v>
      </c>
      <c r="L3110" t="s">
        <v>1269</v>
      </c>
      <c r="M3110" t="s">
        <v>1270</v>
      </c>
      <c r="N3110">
        <v>21</v>
      </c>
      <c r="O3110" s="1">
        <v>43344</v>
      </c>
      <c r="P3110" t="s">
        <v>41</v>
      </c>
      <c r="Q3110" t="s">
        <v>49</v>
      </c>
      <c r="R3110" t="str">
        <f>"1981055"</f>
        <v>1981055</v>
      </c>
      <c r="S3110" t="s">
        <v>1280</v>
      </c>
      <c r="T3110" t="s">
        <v>1268</v>
      </c>
      <c r="U3110" t="s">
        <v>1269</v>
      </c>
      <c r="V3110" t="s">
        <v>1270</v>
      </c>
      <c r="W3110" t="s">
        <v>51</v>
      </c>
      <c r="X3110" t="s">
        <v>45</v>
      </c>
      <c r="Y3110" s="1">
        <v>27030</v>
      </c>
      <c r="Z3110">
        <v>2</v>
      </c>
      <c r="AA3110" t="s">
        <v>1269</v>
      </c>
      <c r="AB3110" s="40" t="s">
        <v>1799</v>
      </c>
    </row>
    <row r="3111" spans="1:28" x14ac:dyDescent="0.25">
      <c r="A3111">
        <v>99913110</v>
      </c>
      <c r="B3111" t="s">
        <v>32</v>
      </c>
      <c r="C3111" t="s">
        <v>111</v>
      </c>
      <c r="D3111" t="s">
        <v>112</v>
      </c>
      <c r="G3111" t="s">
        <v>48</v>
      </c>
      <c r="H3111">
        <v>12</v>
      </c>
      <c r="I3111" t="s">
        <v>494</v>
      </c>
      <c r="J3111" s="1">
        <v>38596</v>
      </c>
      <c r="K3111" t="s">
        <v>431</v>
      </c>
      <c r="L3111" t="s">
        <v>196</v>
      </c>
      <c r="M3111" t="s">
        <v>131</v>
      </c>
      <c r="N3111">
        <v>21</v>
      </c>
      <c r="O3111" s="1">
        <v>38596</v>
      </c>
      <c r="P3111" t="s">
        <v>41</v>
      </c>
      <c r="Q3111" t="s">
        <v>75</v>
      </c>
      <c r="R3111" t="str">
        <f>"7521012"</f>
        <v>7521012</v>
      </c>
      <c r="S3111" t="s">
        <v>432</v>
      </c>
      <c r="T3111" t="s">
        <v>431</v>
      </c>
      <c r="U3111" t="s">
        <v>196</v>
      </c>
      <c r="V3111" t="s">
        <v>131</v>
      </c>
      <c r="W3111" t="s">
        <v>165</v>
      </c>
      <c r="X3111" t="s">
        <v>45</v>
      </c>
      <c r="Y3111" s="1">
        <v>27013</v>
      </c>
      <c r="Z3111">
        <v>1</v>
      </c>
      <c r="AA3111" t="s">
        <v>196</v>
      </c>
      <c r="AB3111" s="40" t="s">
        <v>1799</v>
      </c>
    </row>
    <row r="3112" spans="1:28" x14ac:dyDescent="0.25">
      <c r="A3112">
        <v>99913111</v>
      </c>
      <c r="B3112" t="s">
        <v>32</v>
      </c>
      <c r="C3112" t="s">
        <v>141</v>
      </c>
      <c r="D3112" t="s">
        <v>142</v>
      </c>
      <c r="G3112" t="s">
        <v>35</v>
      </c>
      <c r="H3112">
        <v>11</v>
      </c>
      <c r="K3112" t="s">
        <v>268</v>
      </c>
      <c r="L3112" t="s">
        <v>269</v>
      </c>
      <c r="M3112" t="s">
        <v>131</v>
      </c>
      <c r="N3112">
        <v>21</v>
      </c>
      <c r="P3112" t="s">
        <v>41</v>
      </c>
      <c r="Q3112" t="s">
        <v>75</v>
      </c>
      <c r="R3112" t="str">
        <f>"7052004"</f>
        <v>7052004</v>
      </c>
      <c r="S3112" t="s">
        <v>584</v>
      </c>
      <c r="T3112" t="s">
        <v>268</v>
      </c>
      <c r="U3112" t="s">
        <v>269</v>
      </c>
      <c r="V3112" t="s">
        <v>131</v>
      </c>
      <c r="W3112" t="s">
        <v>165</v>
      </c>
      <c r="X3112" t="s">
        <v>45</v>
      </c>
      <c r="Y3112" s="1">
        <v>26999</v>
      </c>
      <c r="Z3112">
        <v>1</v>
      </c>
      <c r="AA3112" t="s">
        <v>269</v>
      </c>
      <c r="AB3112" s="40" t="s">
        <v>1799</v>
      </c>
    </row>
    <row r="3113" spans="1:28" x14ac:dyDescent="0.25">
      <c r="A3113">
        <v>99913112</v>
      </c>
      <c r="B3113" t="s">
        <v>32</v>
      </c>
      <c r="C3113" t="s">
        <v>64</v>
      </c>
      <c r="D3113" t="s">
        <v>65</v>
      </c>
      <c r="G3113" t="s">
        <v>35</v>
      </c>
      <c r="H3113">
        <v>1</v>
      </c>
      <c r="I3113">
        <v>0</v>
      </c>
      <c r="J3113" s="1">
        <v>43344</v>
      </c>
      <c r="K3113" t="s">
        <v>223</v>
      </c>
      <c r="L3113" t="s">
        <v>224</v>
      </c>
      <c r="M3113" t="s">
        <v>131</v>
      </c>
      <c r="N3113">
        <v>21</v>
      </c>
      <c r="O3113" s="1">
        <v>43344</v>
      </c>
      <c r="P3113" t="s">
        <v>41</v>
      </c>
      <c r="Q3113" t="s">
        <v>42</v>
      </c>
      <c r="R3113" t="str">
        <f>"0580206"</f>
        <v>0580206</v>
      </c>
      <c r="S3113" t="s">
        <v>237</v>
      </c>
      <c r="T3113" t="s">
        <v>223</v>
      </c>
      <c r="U3113" t="s">
        <v>224</v>
      </c>
      <c r="V3113" t="s">
        <v>131</v>
      </c>
      <c r="W3113" t="s">
        <v>51</v>
      </c>
      <c r="X3113" t="s">
        <v>45</v>
      </c>
      <c r="Y3113" s="1">
        <v>26993</v>
      </c>
      <c r="Z3113">
        <v>2</v>
      </c>
      <c r="AA3113" t="s">
        <v>224</v>
      </c>
      <c r="AB3113" s="40" t="s">
        <v>1799</v>
      </c>
    </row>
    <row r="3114" spans="1:28" x14ac:dyDescent="0.25">
      <c r="A3114">
        <v>99913113</v>
      </c>
      <c r="B3114" t="s">
        <v>32</v>
      </c>
      <c r="C3114" t="s">
        <v>139</v>
      </c>
      <c r="D3114" t="s">
        <v>140</v>
      </c>
      <c r="G3114" t="s">
        <v>48</v>
      </c>
      <c r="H3114">
        <v>1</v>
      </c>
      <c r="K3114" t="s">
        <v>129</v>
      </c>
      <c r="L3114" t="s">
        <v>130</v>
      </c>
      <c r="M3114" t="s">
        <v>131</v>
      </c>
      <c r="N3114">
        <v>21</v>
      </c>
      <c r="P3114" t="s">
        <v>41</v>
      </c>
      <c r="Q3114" t="s">
        <v>49</v>
      </c>
      <c r="R3114" t="str">
        <f>"0591905"</f>
        <v>0591905</v>
      </c>
      <c r="S3114" t="s">
        <v>135</v>
      </c>
      <c r="T3114" t="s">
        <v>129</v>
      </c>
      <c r="U3114" t="s">
        <v>130</v>
      </c>
      <c r="V3114" t="s">
        <v>131</v>
      </c>
      <c r="W3114" t="s">
        <v>51</v>
      </c>
      <c r="X3114" t="s">
        <v>45</v>
      </c>
      <c r="Y3114" s="1">
        <v>26989</v>
      </c>
      <c r="Z3114">
        <v>2</v>
      </c>
      <c r="AA3114" t="s">
        <v>130</v>
      </c>
      <c r="AB3114" s="40" t="s">
        <v>1799</v>
      </c>
    </row>
    <row r="3115" spans="1:28" x14ac:dyDescent="0.25">
      <c r="A3115">
        <v>99913114</v>
      </c>
      <c r="B3115" t="s">
        <v>32</v>
      </c>
      <c r="C3115" t="s">
        <v>111</v>
      </c>
      <c r="D3115" t="s">
        <v>112</v>
      </c>
      <c r="G3115" t="s">
        <v>35</v>
      </c>
      <c r="H3115">
        <v>10</v>
      </c>
      <c r="K3115" t="s">
        <v>268</v>
      </c>
      <c r="L3115" t="s">
        <v>269</v>
      </c>
      <c r="M3115" t="s">
        <v>131</v>
      </c>
      <c r="N3115">
        <v>21</v>
      </c>
      <c r="P3115" t="s">
        <v>41</v>
      </c>
      <c r="Q3115" t="s">
        <v>75</v>
      </c>
      <c r="R3115" t="str">
        <f>"7052004"</f>
        <v>7052004</v>
      </c>
      <c r="S3115" t="s">
        <v>584</v>
      </c>
      <c r="T3115" t="s">
        <v>268</v>
      </c>
      <c r="U3115" t="s">
        <v>269</v>
      </c>
      <c r="V3115" t="s">
        <v>131</v>
      </c>
      <c r="W3115" t="s">
        <v>165</v>
      </c>
      <c r="X3115" t="s">
        <v>45</v>
      </c>
      <c r="Y3115" s="1">
        <v>26989</v>
      </c>
      <c r="Z3115">
        <v>1</v>
      </c>
      <c r="AA3115" t="s">
        <v>269</v>
      </c>
      <c r="AB3115" s="40" t="s">
        <v>1799</v>
      </c>
    </row>
    <row r="3116" spans="1:28" x14ac:dyDescent="0.25">
      <c r="A3116">
        <v>99913115</v>
      </c>
      <c r="B3116" t="s">
        <v>32</v>
      </c>
      <c r="C3116" t="s">
        <v>90</v>
      </c>
      <c r="D3116" t="s">
        <v>91</v>
      </c>
      <c r="G3116" t="s">
        <v>35</v>
      </c>
      <c r="H3116">
        <v>1</v>
      </c>
      <c r="I3116" t="s">
        <v>578</v>
      </c>
      <c r="J3116" s="1">
        <v>43344</v>
      </c>
      <c r="K3116" t="s">
        <v>268</v>
      </c>
      <c r="L3116" t="s">
        <v>269</v>
      </c>
      <c r="M3116" t="s">
        <v>131</v>
      </c>
      <c r="N3116">
        <v>21</v>
      </c>
      <c r="O3116" s="1">
        <v>43344</v>
      </c>
      <c r="P3116" t="s">
        <v>41</v>
      </c>
      <c r="Q3116" t="s">
        <v>95</v>
      </c>
      <c r="R3116" t="str">
        <f>"7052041"</f>
        <v>7052041</v>
      </c>
      <c r="S3116" t="s">
        <v>579</v>
      </c>
      <c r="T3116" t="s">
        <v>268</v>
      </c>
      <c r="U3116" t="s">
        <v>269</v>
      </c>
      <c r="V3116" t="s">
        <v>131</v>
      </c>
      <c r="W3116" t="s">
        <v>51</v>
      </c>
      <c r="X3116" t="s">
        <v>45</v>
      </c>
      <c r="Y3116" s="1">
        <v>26932</v>
      </c>
      <c r="Z3116">
        <v>1</v>
      </c>
      <c r="AA3116" t="s">
        <v>269</v>
      </c>
      <c r="AB3116" s="40" t="s">
        <v>1799</v>
      </c>
    </row>
    <row r="3117" spans="1:28" x14ac:dyDescent="0.25">
      <c r="A3117">
        <v>99913116</v>
      </c>
      <c r="B3117" t="s">
        <v>32</v>
      </c>
      <c r="C3117" t="s">
        <v>111</v>
      </c>
      <c r="D3117" t="s">
        <v>112</v>
      </c>
      <c r="G3117" t="s">
        <v>35</v>
      </c>
      <c r="H3117">
        <v>10</v>
      </c>
      <c r="K3117" t="s">
        <v>268</v>
      </c>
      <c r="L3117" t="s">
        <v>269</v>
      </c>
      <c r="M3117" t="s">
        <v>131</v>
      </c>
      <c r="N3117">
        <v>21</v>
      </c>
      <c r="P3117" t="s">
        <v>41</v>
      </c>
      <c r="Q3117" t="s">
        <v>75</v>
      </c>
      <c r="R3117" t="str">
        <f>"7052002"</f>
        <v>7052002</v>
      </c>
      <c r="S3117" t="s">
        <v>590</v>
      </c>
      <c r="T3117" t="s">
        <v>268</v>
      </c>
      <c r="U3117" t="s">
        <v>269</v>
      </c>
      <c r="V3117" t="s">
        <v>131</v>
      </c>
      <c r="W3117" t="s">
        <v>165</v>
      </c>
      <c r="X3117" t="s">
        <v>45</v>
      </c>
      <c r="Y3117" s="1">
        <v>26913</v>
      </c>
      <c r="Z3117">
        <v>1</v>
      </c>
      <c r="AA3117" t="s">
        <v>269</v>
      </c>
      <c r="AB3117" s="40" t="s">
        <v>1799</v>
      </c>
    </row>
    <row r="3118" spans="1:28" x14ac:dyDescent="0.25">
      <c r="A3118">
        <v>99913117</v>
      </c>
      <c r="B3118" t="s">
        <v>32</v>
      </c>
      <c r="C3118" t="s">
        <v>64</v>
      </c>
      <c r="D3118" t="s">
        <v>65</v>
      </c>
      <c r="G3118" t="s">
        <v>35</v>
      </c>
      <c r="H3118">
        <v>1</v>
      </c>
      <c r="I3118" t="s">
        <v>979</v>
      </c>
      <c r="J3118" s="1">
        <v>43344</v>
      </c>
      <c r="K3118" t="s">
        <v>947</v>
      </c>
      <c r="L3118" t="s">
        <v>948</v>
      </c>
      <c r="M3118" t="s">
        <v>938</v>
      </c>
      <c r="N3118">
        <v>21</v>
      </c>
      <c r="O3118" s="1">
        <v>43344</v>
      </c>
      <c r="P3118" t="s">
        <v>41</v>
      </c>
      <c r="Q3118" t="s">
        <v>49</v>
      </c>
      <c r="R3118" t="str">
        <f>"0605000"</f>
        <v>0605000</v>
      </c>
      <c r="S3118" t="s">
        <v>950</v>
      </c>
      <c r="T3118" t="s">
        <v>947</v>
      </c>
      <c r="U3118" t="s">
        <v>948</v>
      </c>
      <c r="V3118" t="s">
        <v>938</v>
      </c>
      <c r="W3118" t="s">
        <v>51</v>
      </c>
      <c r="X3118" t="s">
        <v>45</v>
      </c>
      <c r="Y3118" s="1">
        <v>26868</v>
      </c>
      <c r="Z3118">
        <v>2</v>
      </c>
      <c r="AA3118" t="s">
        <v>948</v>
      </c>
      <c r="AB3118" s="40" t="s">
        <v>1799</v>
      </c>
    </row>
    <row r="3119" spans="1:28" x14ac:dyDescent="0.25">
      <c r="A3119">
        <v>99913118</v>
      </c>
      <c r="B3119" t="s">
        <v>32</v>
      </c>
      <c r="C3119" t="s">
        <v>111</v>
      </c>
      <c r="D3119" t="s">
        <v>112</v>
      </c>
      <c r="G3119" t="s">
        <v>48</v>
      </c>
      <c r="H3119">
        <v>11</v>
      </c>
      <c r="K3119" t="s">
        <v>1221</v>
      </c>
      <c r="L3119" t="s">
        <v>1222</v>
      </c>
      <c r="M3119" t="s">
        <v>1130</v>
      </c>
      <c r="N3119">
        <v>21</v>
      </c>
      <c r="P3119" t="s">
        <v>41</v>
      </c>
      <c r="Q3119" t="s">
        <v>75</v>
      </c>
      <c r="R3119" t="str">
        <f>"7351000"</f>
        <v>7351000</v>
      </c>
      <c r="S3119" t="s">
        <v>1223</v>
      </c>
      <c r="T3119" t="s">
        <v>1221</v>
      </c>
      <c r="U3119" t="s">
        <v>1222</v>
      </c>
      <c r="V3119" t="s">
        <v>1130</v>
      </c>
      <c r="W3119" t="s">
        <v>51</v>
      </c>
      <c r="X3119" t="s">
        <v>45</v>
      </c>
      <c r="Y3119" s="1">
        <v>26846</v>
      </c>
      <c r="Z3119">
        <v>1</v>
      </c>
      <c r="AA3119" t="s">
        <v>1222</v>
      </c>
      <c r="AB3119" s="40" t="s">
        <v>1799</v>
      </c>
    </row>
    <row r="3120" spans="1:28" x14ac:dyDescent="0.25">
      <c r="A3120">
        <v>99913119</v>
      </c>
      <c r="B3120" t="s">
        <v>32</v>
      </c>
      <c r="C3120" t="s">
        <v>61</v>
      </c>
      <c r="D3120" t="s">
        <v>62</v>
      </c>
      <c r="E3120" t="s">
        <v>52</v>
      </c>
      <c r="F3120" t="s">
        <v>53</v>
      </c>
      <c r="G3120" t="s">
        <v>48</v>
      </c>
      <c r="H3120">
        <v>1</v>
      </c>
      <c r="K3120" t="s">
        <v>157</v>
      </c>
      <c r="L3120" t="s">
        <v>158</v>
      </c>
      <c r="M3120" t="s">
        <v>131</v>
      </c>
      <c r="N3120">
        <v>21</v>
      </c>
      <c r="P3120" t="s">
        <v>41</v>
      </c>
      <c r="Q3120" t="s">
        <v>42</v>
      </c>
      <c r="R3120" t="str">
        <f>"0580290"</f>
        <v>0580290</v>
      </c>
      <c r="S3120" t="s">
        <v>171</v>
      </c>
      <c r="T3120" t="s">
        <v>157</v>
      </c>
      <c r="U3120" t="s">
        <v>158</v>
      </c>
      <c r="V3120" t="s">
        <v>131</v>
      </c>
      <c r="W3120" t="s">
        <v>51</v>
      </c>
      <c r="X3120" t="s">
        <v>45</v>
      </c>
      <c r="Y3120" s="1">
        <v>26844</v>
      </c>
      <c r="Z3120">
        <v>2</v>
      </c>
      <c r="AA3120" t="s">
        <v>158</v>
      </c>
      <c r="AB3120" s="40" t="s">
        <v>1799</v>
      </c>
    </row>
    <row r="3121" spans="1:28" x14ac:dyDescent="0.25">
      <c r="A3121">
        <v>99913120</v>
      </c>
      <c r="B3121" t="s">
        <v>56</v>
      </c>
      <c r="C3121" t="s">
        <v>82</v>
      </c>
      <c r="D3121" t="s">
        <v>83</v>
      </c>
      <c r="G3121" t="s">
        <v>48</v>
      </c>
      <c r="H3121">
        <v>1</v>
      </c>
      <c r="K3121" t="s">
        <v>162</v>
      </c>
      <c r="L3121" t="s">
        <v>158</v>
      </c>
      <c r="M3121" t="s">
        <v>131</v>
      </c>
      <c r="N3121">
        <v>21</v>
      </c>
      <c r="P3121" t="s">
        <v>41</v>
      </c>
      <c r="Q3121" t="s">
        <v>42</v>
      </c>
      <c r="R3121" t="str">
        <f>"0580310"</f>
        <v>0580310</v>
      </c>
      <c r="S3121" t="s">
        <v>173</v>
      </c>
      <c r="T3121" t="s">
        <v>162</v>
      </c>
      <c r="U3121" t="s">
        <v>158</v>
      </c>
      <c r="V3121" t="s">
        <v>131</v>
      </c>
      <c r="W3121" t="s">
        <v>51</v>
      </c>
      <c r="X3121" t="s">
        <v>45</v>
      </c>
      <c r="Y3121" s="1">
        <v>26844</v>
      </c>
      <c r="Z3121">
        <v>2</v>
      </c>
      <c r="AA3121" t="s">
        <v>158</v>
      </c>
      <c r="AB3121" s="40" t="s">
        <v>1799</v>
      </c>
    </row>
    <row r="3122" spans="1:28" x14ac:dyDescent="0.25">
      <c r="A3122">
        <v>99913121</v>
      </c>
      <c r="B3122" t="s">
        <v>56</v>
      </c>
      <c r="C3122" t="s">
        <v>46</v>
      </c>
      <c r="D3122" t="s">
        <v>47</v>
      </c>
      <c r="G3122" t="s">
        <v>48</v>
      </c>
      <c r="H3122">
        <v>5</v>
      </c>
      <c r="K3122" t="s">
        <v>345</v>
      </c>
      <c r="L3122" t="s">
        <v>346</v>
      </c>
      <c r="M3122" t="s">
        <v>131</v>
      </c>
      <c r="N3122">
        <v>21</v>
      </c>
      <c r="P3122" t="s">
        <v>41</v>
      </c>
      <c r="Q3122" t="s">
        <v>42</v>
      </c>
      <c r="R3122" t="str">
        <f>"0561019"</f>
        <v>0561019</v>
      </c>
      <c r="S3122" t="s">
        <v>351</v>
      </c>
      <c r="T3122" t="s">
        <v>345</v>
      </c>
      <c r="U3122" t="s">
        <v>346</v>
      </c>
      <c r="V3122" t="s">
        <v>131</v>
      </c>
      <c r="W3122" t="s">
        <v>51</v>
      </c>
      <c r="X3122" t="s">
        <v>45</v>
      </c>
      <c r="Y3122" s="1">
        <v>26828</v>
      </c>
      <c r="Z3122">
        <v>2</v>
      </c>
      <c r="AA3122" t="s">
        <v>346</v>
      </c>
      <c r="AB3122" s="40" t="s">
        <v>1799</v>
      </c>
    </row>
    <row r="3123" spans="1:28" x14ac:dyDescent="0.25">
      <c r="A3123">
        <v>99913122</v>
      </c>
      <c r="B3123" t="s">
        <v>56</v>
      </c>
      <c r="C3123" t="s">
        <v>52</v>
      </c>
      <c r="D3123" t="s">
        <v>53</v>
      </c>
      <c r="G3123" t="s">
        <v>35</v>
      </c>
      <c r="H3123">
        <v>1</v>
      </c>
      <c r="K3123" t="s">
        <v>1128</v>
      </c>
      <c r="L3123" t="s">
        <v>1129</v>
      </c>
      <c r="M3123" t="s">
        <v>1130</v>
      </c>
      <c r="N3123">
        <v>21</v>
      </c>
      <c r="P3123" t="s">
        <v>41</v>
      </c>
      <c r="Q3123" t="s">
        <v>42</v>
      </c>
      <c r="R3123" t="str">
        <f>"3180010"</f>
        <v>3180010</v>
      </c>
      <c r="S3123" t="s">
        <v>1132</v>
      </c>
      <c r="T3123" t="s">
        <v>1128</v>
      </c>
      <c r="U3123" t="s">
        <v>1129</v>
      </c>
      <c r="V3123" t="s">
        <v>1130</v>
      </c>
      <c r="W3123" t="s">
        <v>51</v>
      </c>
      <c r="X3123" t="s">
        <v>45</v>
      </c>
      <c r="Y3123" s="1">
        <v>26827</v>
      </c>
      <c r="Z3123">
        <v>2</v>
      </c>
      <c r="AA3123" t="s">
        <v>1129</v>
      </c>
      <c r="AB3123" s="40" t="s">
        <v>1799</v>
      </c>
    </row>
    <row r="3124" spans="1:28" x14ac:dyDescent="0.25">
      <c r="A3124">
        <v>99913123</v>
      </c>
      <c r="B3124" t="s">
        <v>56</v>
      </c>
      <c r="C3124" t="s">
        <v>68</v>
      </c>
      <c r="D3124" t="s">
        <v>69</v>
      </c>
      <c r="G3124" t="s">
        <v>48</v>
      </c>
      <c r="H3124">
        <v>1</v>
      </c>
      <c r="K3124" t="s">
        <v>1268</v>
      </c>
      <c r="L3124" t="s">
        <v>1269</v>
      </c>
      <c r="M3124" t="s">
        <v>1270</v>
      </c>
      <c r="N3124">
        <v>21</v>
      </c>
      <c r="P3124" t="s">
        <v>41</v>
      </c>
      <c r="Q3124" t="s">
        <v>42</v>
      </c>
      <c r="R3124" t="str">
        <f>"1980050"</f>
        <v>1980050</v>
      </c>
      <c r="S3124" t="s">
        <v>1278</v>
      </c>
      <c r="T3124" t="s">
        <v>1268</v>
      </c>
      <c r="U3124" t="s">
        <v>1269</v>
      </c>
      <c r="V3124" t="s">
        <v>1270</v>
      </c>
      <c r="W3124" t="s">
        <v>51</v>
      </c>
      <c r="X3124" t="s">
        <v>45</v>
      </c>
      <c r="Y3124" s="1">
        <v>26824</v>
      </c>
      <c r="Z3124">
        <v>2</v>
      </c>
      <c r="AA3124" t="s">
        <v>1269</v>
      </c>
      <c r="AB3124" s="40" t="s">
        <v>1799</v>
      </c>
    </row>
    <row r="3125" spans="1:28" x14ac:dyDescent="0.25">
      <c r="A3125">
        <v>99913124</v>
      </c>
      <c r="B3125" t="s">
        <v>32</v>
      </c>
      <c r="C3125" t="s">
        <v>82</v>
      </c>
      <c r="D3125" t="s">
        <v>83</v>
      </c>
      <c r="G3125" t="s">
        <v>48</v>
      </c>
      <c r="H3125">
        <v>1</v>
      </c>
      <c r="K3125" t="s">
        <v>223</v>
      </c>
      <c r="L3125" t="s">
        <v>224</v>
      </c>
      <c r="M3125" t="s">
        <v>131</v>
      </c>
      <c r="N3125">
        <v>21</v>
      </c>
      <c r="P3125" t="s">
        <v>41</v>
      </c>
      <c r="Q3125" t="s">
        <v>42</v>
      </c>
      <c r="R3125" t="str">
        <f>"0580200"</f>
        <v>0580200</v>
      </c>
      <c r="S3125" t="s">
        <v>245</v>
      </c>
      <c r="T3125" t="s">
        <v>223</v>
      </c>
      <c r="U3125" t="s">
        <v>224</v>
      </c>
      <c r="V3125" t="s">
        <v>131</v>
      </c>
      <c r="W3125" t="s">
        <v>51</v>
      </c>
      <c r="X3125" t="s">
        <v>45</v>
      </c>
      <c r="Y3125" s="1">
        <v>26808</v>
      </c>
      <c r="Z3125">
        <v>2</v>
      </c>
      <c r="AA3125" t="s">
        <v>224</v>
      </c>
      <c r="AB3125" s="40" t="s">
        <v>1799</v>
      </c>
    </row>
    <row r="3126" spans="1:28" x14ac:dyDescent="0.25">
      <c r="A3126">
        <v>99913125</v>
      </c>
      <c r="B3126" t="s">
        <v>32</v>
      </c>
      <c r="C3126" t="s">
        <v>139</v>
      </c>
      <c r="D3126" t="s">
        <v>140</v>
      </c>
      <c r="G3126" t="s">
        <v>48</v>
      </c>
      <c r="H3126">
        <v>1</v>
      </c>
      <c r="K3126" t="s">
        <v>154</v>
      </c>
      <c r="L3126" t="s">
        <v>155</v>
      </c>
      <c r="M3126" t="s">
        <v>131</v>
      </c>
      <c r="N3126">
        <v>21</v>
      </c>
      <c r="P3126" t="s">
        <v>41</v>
      </c>
      <c r="Q3126" t="s">
        <v>75</v>
      </c>
      <c r="R3126" t="str">
        <f>"7700026"</f>
        <v>7700026</v>
      </c>
      <c r="S3126" t="s">
        <v>397</v>
      </c>
      <c r="T3126" t="s">
        <v>154</v>
      </c>
      <c r="U3126" t="s">
        <v>155</v>
      </c>
      <c r="V3126" t="s">
        <v>131</v>
      </c>
      <c r="W3126" t="s">
        <v>51</v>
      </c>
      <c r="X3126" t="s">
        <v>45</v>
      </c>
      <c r="Y3126" s="1">
        <v>26808</v>
      </c>
      <c r="Z3126">
        <v>1</v>
      </c>
      <c r="AA3126" t="s">
        <v>155</v>
      </c>
      <c r="AB3126" s="40" t="s">
        <v>1799</v>
      </c>
    </row>
    <row r="3127" spans="1:28" x14ac:dyDescent="0.25">
      <c r="A3127">
        <v>99913126</v>
      </c>
      <c r="B3127" t="s">
        <v>32</v>
      </c>
      <c r="C3127" t="s">
        <v>111</v>
      </c>
      <c r="D3127" t="s">
        <v>112</v>
      </c>
      <c r="G3127" t="s">
        <v>48</v>
      </c>
      <c r="H3127">
        <v>10</v>
      </c>
      <c r="K3127" t="s">
        <v>1221</v>
      </c>
      <c r="L3127" t="s">
        <v>1222</v>
      </c>
      <c r="M3127" t="s">
        <v>1130</v>
      </c>
      <c r="N3127">
        <v>21</v>
      </c>
      <c r="P3127" t="s">
        <v>41</v>
      </c>
      <c r="Q3127" t="s">
        <v>75</v>
      </c>
      <c r="R3127" t="str">
        <f>"7351000"</f>
        <v>7351000</v>
      </c>
      <c r="S3127" t="s">
        <v>1223</v>
      </c>
      <c r="T3127" t="s">
        <v>1221</v>
      </c>
      <c r="U3127" t="s">
        <v>1222</v>
      </c>
      <c r="V3127" t="s">
        <v>1130</v>
      </c>
      <c r="W3127" t="s">
        <v>51</v>
      </c>
      <c r="X3127" t="s">
        <v>45</v>
      </c>
      <c r="Y3127" s="1">
        <v>26799</v>
      </c>
      <c r="Z3127">
        <v>1</v>
      </c>
      <c r="AA3127" t="s">
        <v>1222</v>
      </c>
      <c r="AB3127" s="40" t="s">
        <v>1799</v>
      </c>
    </row>
    <row r="3128" spans="1:28" x14ac:dyDescent="0.25">
      <c r="A3128">
        <v>99913127</v>
      </c>
      <c r="B3128" t="s">
        <v>56</v>
      </c>
      <c r="C3128" t="s">
        <v>68</v>
      </c>
      <c r="D3128" t="s">
        <v>69</v>
      </c>
      <c r="G3128" t="s">
        <v>35</v>
      </c>
      <c r="H3128">
        <v>1</v>
      </c>
      <c r="I3128" t="s">
        <v>277</v>
      </c>
      <c r="J3128" s="1">
        <v>42003</v>
      </c>
      <c r="K3128" t="s">
        <v>345</v>
      </c>
      <c r="L3128" t="s">
        <v>346</v>
      </c>
      <c r="M3128" t="s">
        <v>131</v>
      </c>
      <c r="N3128">
        <v>21</v>
      </c>
      <c r="O3128" s="1">
        <v>42011</v>
      </c>
      <c r="P3128" t="s">
        <v>41</v>
      </c>
      <c r="Q3128" t="s">
        <v>42</v>
      </c>
      <c r="R3128" t="str">
        <f>"0561006"</f>
        <v>0561006</v>
      </c>
      <c r="S3128" t="s">
        <v>360</v>
      </c>
      <c r="T3128" t="s">
        <v>345</v>
      </c>
      <c r="U3128" t="s">
        <v>346</v>
      </c>
      <c r="V3128" t="s">
        <v>131</v>
      </c>
      <c r="W3128" t="s">
        <v>51</v>
      </c>
      <c r="X3128" t="s">
        <v>45</v>
      </c>
      <c r="Y3128" s="1">
        <v>26776</v>
      </c>
      <c r="Z3128">
        <v>2</v>
      </c>
      <c r="AA3128" t="s">
        <v>346</v>
      </c>
      <c r="AB3128" s="40" t="s">
        <v>1799</v>
      </c>
    </row>
    <row r="3129" spans="1:28" x14ac:dyDescent="0.25">
      <c r="A3129">
        <v>99913128</v>
      </c>
      <c r="B3129" t="s">
        <v>32</v>
      </c>
      <c r="C3129" t="s">
        <v>111</v>
      </c>
      <c r="D3129" t="s">
        <v>112</v>
      </c>
      <c r="G3129" t="s">
        <v>48</v>
      </c>
      <c r="H3129">
        <v>9</v>
      </c>
      <c r="I3129">
        <v>10</v>
      </c>
      <c r="J3129" s="1">
        <v>39097</v>
      </c>
      <c r="K3129" t="s">
        <v>195</v>
      </c>
      <c r="L3129" t="s">
        <v>196</v>
      </c>
      <c r="M3129" t="s">
        <v>131</v>
      </c>
      <c r="N3129">
        <v>21</v>
      </c>
      <c r="O3129" s="1">
        <v>39097</v>
      </c>
      <c r="P3129" t="s">
        <v>41</v>
      </c>
      <c r="Q3129" t="s">
        <v>75</v>
      </c>
      <c r="R3129" t="str">
        <f>"7521042"</f>
        <v>7521042</v>
      </c>
      <c r="S3129" t="s">
        <v>440</v>
      </c>
      <c r="T3129" t="s">
        <v>195</v>
      </c>
      <c r="U3129" t="s">
        <v>196</v>
      </c>
      <c r="V3129" t="s">
        <v>131</v>
      </c>
      <c r="W3129" t="s">
        <v>165</v>
      </c>
      <c r="X3129" t="s">
        <v>45</v>
      </c>
      <c r="Y3129" s="1">
        <v>26739</v>
      </c>
      <c r="Z3129">
        <v>1</v>
      </c>
      <c r="AA3129" t="s">
        <v>196</v>
      </c>
      <c r="AB3129" s="40" t="s">
        <v>1799</v>
      </c>
    </row>
    <row r="3130" spans="1:28" x14ac:dyDescent="0.25">
      <c r="A3130">
        <v>99913129</v>
      </c>
      <c r="B3130" t="s">
        <v>32</v>
      </c>
      <c r="C3130" t="s">
        <v>52</v>
      </c>
      <c r="D3130" t="s">
        <v>53</v>
      </c>
      <c r="G3130" t="s">
        <v>48</v>
      </c>
      <c r="H3130">
        <v>1</v>
      </c>
      <c r="K3130" t="s">
        <v>129</v>
      </c>
      <c r="L3130" t="s">
        <v>130</v>
      </c>
      <c r="M3130" t="s">
        <v>131</v>
      </c>
      <c r="N3130">
        <v>21</v>
      </c>
      <c r="P3130" t="s">
        <v>41</v>
      </c>
      <c r="Q3130" t="s">
        <v>49</v>
      </c>
      <c r="R3130" t="str">
        <f>"0560024"</f>
        <v>0560024</v>
      </c>
      <c r="S3130" t="s">
        <v>138</v>
      </c>
      <c r="T3130" t="s">
        <v>129</v>
      </c>
      <c r="U3130" t="s">
        <v>130</v>
      </c>
      <c r="V3130" t="s">
        <v>131</v>
      </c>
      <c r="W3130" t="s">
        <v>51</v>
      </c>
      <c r="X3130" t="s">
        <v>45</v>
      </c>
      <c r="Y3130" s="1">
        <v>26727</v>
      </c>
      <c r="Z3130">
        <v>2</v>
      </c>
      <c r="AA3130" t="s">
        <v>130</v>
      </c>
      <c r="AB3130" s="40" t="s">
        <v>1799</v>
      </c>
    </row>
    <row r="3131" spans="1:28" x14ac:dyDescent="0.25">
      <c r="A3131">
        <v>99913130</v>
      </c>
      <c r="B3131" t="s">
        <v>32</v>
      </c>
      <c r="C3131" t="s">
        <v>111</v>
      </c>
      <c r="D3131" t="s">
        <v>112</v>
      </c>
      <c r="G3131" t="s">
        <v>35</v>
      </c>
      <c r="H3131">
        <v>1</v>
      </c>
      <c r="I3131" t="s">
        <v>1111</v>
      </c>
      <c r="J3131" s="1">
        <v>43344</v>
      </c>
      <c r="K3131" t="s">
        <v>1081</v>
      </c>
      <c r="L3131" t="s">
        <v>1082</v>
      </c>
      <c r="M3131" t="s">
        <v>1053</v>
      </c>
      <c r="N3131">
        <v>21</v>
      </c>
      <c r="O3131" s="1">
        <v>43344</v>
      </c>
      <c r="P3131" t="s">
        <v>41</v>
      </c>
      <c r="Q3131" t="s">
        <v>75</v>
      </c>
      <c r="R3131" t="str">
        <f>"7201000"</f>
        <v>7201000</v>
      </c>
      <c r="S3131" t="s">
        <v>1088</v>
      </c>
      <c r="T3131" t="s">
        <v>1081</v>
      </c>
      <c r="U3131" t="s">
        <v>1082</v>
      </c>
      <c r="V3131" t="s">
        <v>1053</v>
      </c>
      <c r="W3131" t="s">
        <v>51</v>
      </c>
      <c r="X3131" t="s">
        <v>45</v>
      </c>
      <c r="Y3131" s="1">
        <v>26711</v>
      </c>
      <c r="Z3131">
        <v>1</v>
      </c>
      <c r="AA3131" t="s">
        <v>1082</v>
      </c>
      <c r="AB3131" s="40" t="s">
        <v>1799</v>
      </c>
    </row>
    <row r="3132" spans="1:28" x14ac:dyDescent="0.25">
      <c r="A3132">
        <v>99913131</v>
      </c>
      <c r="B3132" t="s">
        <v>32</v>
      </c>
      <c r="C3132" t="s">
        <v>111</v>
      </c>
      <c r="D3132" t="s">
        <v>112</v>
      </c>
      <c r="G3132" t="s">
        <v>35</v>
      </c>
      <c r="H3132">
        <v>10</v>
      </c>
      <c r="K3132" t="s">
        <v>268</v>
      </c>
      <c r="L3132" t="s">
        <v>269</v>
      </c>
      <c r="M3132" t="s">
        <v>131</v>
      </c>
      <c r="N3132">
        <v>21</v>
      </c>
      <c r="P3132" t="s">
        <v>41</v>
      </c>
      <c r="Q3132" t="s">
        <v>75</v>
      </c>
      <c r="R3132" t="str">
        <f>"7052004"</f>
        <v>7052004</v>
      </c>
      <c r="S3132" t="s">
        <v>584</v>
      </c>
      <c r="T3132" t="s">
        <v>268</v>
      </c>
      <c r="U3132" t="s">
        <v>269</v>
      </c>
      <c r="V3132" t="s">
        <v>131</v>
      </c>
      <c r="W3132" t="s">
        <v>165</v>
      </c>
      <c r="X3132" t="s">
        <v>45</v>
      </c>
      <c r="Y3132" s="1">
        <v>26686</v>
      </c>
      <c r="Z3132">
        <v>1</v>
      </c>
      <c r="AA3132" t="s">
        <v>269</v>
      </c>
      <c r="AB3132" s="40" t="s">
        <v>1799</v>
      </c>
    </row>
    <row r="3133" spans="1:28" x14ac:dyDescent="0.25">
      <c r="A3133">
        <v>99913132</v>
      </c>
      <c r="B3133" t="s">
        <v>32</v>
      </c>
      <c r="C3133" t="s">
        <v>71</v>
      </c>
      <c r="D3133" t="s">
        <v>72</v>
      </c>
      <c r="G3133" t="s">
        <v>35</v>
      </c>
      <c r="H3133">
        <v>1</v>
      </c>
      <c r="I3133" t="s">
        <v>638</v>
      </c>
      <c r="J3133" s="1">
        <v>43344</v>
      </c>
      <c r="K3133" t="s">
        <v>268</v>
      </c>
      <c r="L3133" t="s">
        <v>269</v>
      </c>
      <c r="M3133" t="s">
        <v>131</v>
      </c>
      <c r="N3133">
        <v>21</v>
      </c>
      <c r="O3133" s="1">
        <v>43344</v>
      </c>
      <c r="P3133" t="s">
        <v>41</v>
      </c>
      <c r="Q3133" t="s">
        <v>75</v>
      </c>
      <c r="R3133" t="str">
        <f>"7052034"</f>
        <v>7052034</v>
      </c>
      <c r="S3133" t="s">
        <v>604</v>
      </c>
      <c r="T3133" t="s">
        <v>268</v>
      </c>
      <c r="U3133" t="s">
        <v>269</v>
      </c>
      <c r="V3133" t="s">
        <v>131</v>
      </c>
      <c r="W3133" t="s">
        <v>51</v>
      </c>
      <c r="X3133" t="s">
        <v>45</v>
      </c>
      <c r="Y3133" s="1">
        <v>26665</v>
      </c>
      <c r="Z3133">
        <v>1</v>
      </c>
      <c r="AA3133" t="s">
        <v>269</v>
      </c>
      <c r="AB3133" s="40" t="s">
        <v>1799</v>
      </c>
    </row>
    <row r="3134" spans="1:28" x14ac:dyDescent="0.25">
      <c r="A3134">
        <v>99913133</v>
      </c>
      <c r="B3134" t="s">
        <v>56</v>
      </c>
      <c r="C3134" t="s">
        <v>136</v>
      </c>
      <c r="D3134" t="s">
        <v>137</v>
      </c>
      <c r="G3134" t="s">
        <v>35</v>
      </c>
      <c r="H3134">
        <v>1</v>
      </c>
      <c r="K3134" t="s">
        <v>1268</v>
      </c>
      <c r="L3134" t="s">
        <v>1269</v>
      </c>
      <c r="M3134" t="s">
        <v>1270</v>
      </c>
      <c r="N3134">
        <v>21</v>
      </c>
      <c r="P3134" t="s">
        <v>41</v>
      </c>
      <c r="Q3134" t="s">
        <v>42</v>
      </c>
      <c r="R3134" t="str">
        <f>"1990911"</f>
        <v>1990911</v>
      </c>
      <c r="S3134" t="s">
        <v>1276</v>
      </c>
      <c r="T3134" t="s">
        <v>1268</v>
      </c>
      <c r="U3134" t="s">
        <v>1269</v>
      </c>
      <c r="V3134" t="s">
        <v>1270</v>
      </c>
      <c r="W3134" t="s">
        <v>51</v>
      </c>
      <c r="X3134" t="s">
        <v>45</v>
      </c>
      <c r="Y3134" s="1">
        <v>26665</v>
      </c>
      <c r="Z3134">
        <v>2</v>
      </c>
      <c r="AA3134" t="s">
        <v>1269</v>
      </c>
      <c r="AB3134" s="40" t="s">
        <v>1799</v>
      </c>
    </row>
    <row r="3135" spans="1:28" x14ac:dyDescent="0.25">
      <c r="A3135">
        <v>99913134</v>
      </c>
      <c r="B3135" t="s">
        <v>56</v>
      </c>
      <c r="C3135" t="s">
        <v>145</v>
      </c>
      <c r="D3135" t="s">
        <v>146</v>
      </c>
      <c r="G3135" t="s">
        <v>35</v>
      </c>
      <c r="H3135">
        <v>1</v>
      </c>
      <c r="I3135" t="s">
        <v>373</v>
      </c>
      <c r="J3135" s="1">
        <v>43344</v>
      </c>
      <c r="K3135" t="s">
        <v>345</v>
      </c>
      <c r="L3135" t="s">
        <v>346</v>
      </c>
      <c r="M3135" t="s">
        <v>131</v>
      </c>
      <c r="N3135">
        <v>21</v>
      </c>
      <c r="O3135" s="1">
        <v>43344</v>
      </c>
      <c r="P3135" t="s">
        <v>41</v>
      </c>
      <c r="Q3135" t="s">
        <v>42</v>
      </c>
      <c r="R3135" t="str">
        <f>"0580155"</f>
        <v>0580155</v>
      </c>
      <c r="S3135" t="s">
        <v>365</v>
      </c>
      <c r="T3135" t="s">
        <v>345</v>
      </c>
      <c r="U3135" t="s">
        <v>346</v>
      </c>
      <c r="V3135" t="s">
        <v>131</v>
      </c>
      <c r="W3135" t="s">
        <v>51</v>
      </c>
      <c r="X3135" t="s">
        <v>45</v>
      </c>
      <c r="Y3135" s="1">
        <v>26660</v>
      </c>
      <c r="Z3135">
        <v>2</v>
      </c>
      <c r="AA3135" t="s">
        <v>346</v>
      </c>
      <c r="AB3135" s="40" t="s">
        <v>1799</v>
      </c>
    </row>
    <row r="3136" spans="1:28" x14ac:dyDescent="0.25">
      <c r="A3136">
        <v>99913135</v>
      </c>
      <c r="B3136" t="s">
        <v>32</v>
      </c>
      <c r="C3136" t="s">
        <v>64</v>
      </c>
      <c r="D3136" t="s">
        <v>65</v>
      </c>
      <c r="G3136" t="s">
        <v>35</v>
      </c>
      <c r="H3136">
        <v>1</v>
      </c>
      <c r="K3136" t="s">
        <v>223</v>
      </c>
      <c r="L3136" t="s">
        <v>224</v>
      </c>
      <c r="M3136" t="s">
        <v>131</v>
      </c>
      <c r="N3136">
        <v>21</v>
      </c>
      <c r="P3136" t="s">
        <v>41</v>
      </c>
      <c r="Q3136" t="s">
        <v>49</v>
      </c>
      <c r="R3136" t="str">
        <f>"0581207"</f>
        <v>0581207</v>
      </c>
      <c r="S3136" t="s">
        <v>233</v>
      </c>
      <c r="T3136" t="s">
        <v>223</v>
      </c>
      <c r="U3136" t="s">
        <v>224</v>
      </c>
      <c r="V3136" t="s">
        <v>131</v>
      </c>
      <c r="W3136" t="s">
        <v>165</v>
      </c>
      <c r="X3136" t="s">
        <v>45</v>
      </c>
      <c r="Y3136" s="1">
        <v>26657</v>
      </c>
      <c r="Z3136">
        <v>2</v>
      </c>
      <c r="AA3136" t="s">
        <v>224</v>
      </c>
      <c r="AB3136" s="40" t="s">
        <v>1799</v>
      </c>
    </row>
    <row r="3137" spans="1:28" x14ac:dyDescent="0.25">
      <c r="A3137">
        <v>99913136</v>
      </c>
      <c r="B3137" t="s">
        <v>56</v>
      </c>
      <c r="C3137" t="s">
        <v>33</v>
      </c>
      <c r="D3137" t="s">
        <v>34</v>
      </c>
      <c r="G3137" t="s">
        <v>48</v>
      </c>
      <c r="H3137">
        <v>1</v>
      </c>
      <c r="K3137" t="s">
        <v>345</v>
      </c>
      <c r="L3137" t="s">
        <v>346</v>
      </c>
      <c r="M3137" t="s">
        <v>131</v>
      </c>
      <c r="N3137">
        <v>21</v>
      </c>
      <c r="P3137" t="s">
        <v>41</v>
      </c>
      <c r="Q3137" t="s">
        <v>42</v>
      </c>
      <c r="R3137" t="str">
        <f>"0580605"</f>
        <v>0580605</v>
      </c>
      <c r="S3137" t="s">
        <v>362</v>
      </c>
      <c r="T3137" t="s">
        <v>345</v>
      </c>
      <c r="U3137" t="s">
        <v>346</v>
      </c>
      <c r="V3137" t="s">
        <v>131</v>
      </c>
      <c r="W3137" t="s">
        <v>51</v>
      </c>
      <c r="X3137" t="s">
        <v>45</v>
      </c>
      <c r="Y3137" s="1">
        <v>26631</v>
      </c>
      <c r="Z3137">
        <v>2</v>
      </c>
      <c r="AA3137" t="s">
        <v>346</v>
      </c>
      <c r="AB3137" s="40" t="s">
        <v>1799</v>
      </c>
    </row>
    <row r="3138" spans="1:28" x14ac:dyDescent="0.25">
      <c r="A3138">
        <v>99913137</v>
      </c>
      <c r="B3138" t="s">
        <v>56</v>
      </c>
      <c r="C3138" t="s">
        <v>46</v>
      </c>
      <c r="D3138" t="s">
        <v>47</v>
      </c>
      <c r="G3138" t="s">
        <v>48</v>
      </c>
      <c r="H3138">
        <v>1</v>
      </c>
      <c r="K3138" t="s">
        <v>223</v>
      </c>
      <c r="L3138" t="s">
        <v>224</v>
      </c>
      <c r="M3138" t="s">
        <v>131</v>
      </c>
      <c r="N3138">
        <v>21</v>
      </c>
      <c r="P3138" t="s">
        <v>41</v>
      </c>
      <c r="Q3138" t="s">
        <v>49</v>
      </c>
      <c r="R3138" t="str">
        <f>"0581206"</f>
        <v>0581206</v>
      </c>
      <c r="S3138" t="s">
        <v>232</v>
      </c>
      <c r="T3138" t="s">
        <v>223</v>
      </c>
      <c r="U3138" t="s">
        <v>224</v>
      </c>
      <c r="V3138" t="s">
        <v>131</v>
      </c>
      <c r="W3138" t="s">
        <v>51</v>
      </c>
      <c r="X3138" t="s">
        <v>45</v>
      </c>
      <c r="Y3138" s="1">
        <v>26623</v>
      </c>
      <c r="Z3138">
        <v>2</v>
      </c>
      <c r="AA3138" t="s">
        <v>224</v>
      </c>
      <c r="AB3138" s="40" t="s">
        <v>1799</v>
      </c>
    </row>
    <row r="3139" spans="1:28" x14ac:dyDescent="0.25">
      <c r="A3139">
        <v>99913138</v>
      </c>
      <c r="B3139" t="s">
        <v>32</v>
      </c>
      <c r="C3139" t="s">
        <v>111</v>
      </c>
      <c r="D3139" t="s">
        <v>112</v>
      </c>
      <c r="G3139" t="s">
        <v>35</v>
      </c>
      <c r="H3139">
        <v>1</v>
      </c>
      <c r="K3139" t="s">
        <v>154</v>
      </c>
      <c r="L3139" t="s">
        <v>155</v>
      </c>
      <c r="M3139" t="s">
        <v>131</v>
      </c>
      <c r="N3139">
        <v>21</v>
      </c>
      <c r="P3139" t="s">
        <v>41</v>
      </c>
      <c r="Q3139" t="s">
        <v>75</v>
      </c>
      <c r="R3139" t="str">
        <f>"7700026"</f>
        <v>7700026</v>
      </c>
      <c r="S3139" t="s">
        <v>397</v>
      </c>
      <c r="T3139" t="s">
        <v>154</v>
      </c>
      <c r="U3139" t="s">
        <v>155</v>
      </c>
      <c r="V3139" t="s">
        <v>131</v>
      </c>
      <c r="W3139" t="s">
        <v>51</v>
      </c>
      <c r="X3139" t="s">
        <v>45</v>
      </c>
      <c r="Y3139" s="1">
        <v>26604</v>
      </c>
      <c r="Z3139">
        <v>1</v>
      </c>
      <c r="AA3139" t="s">
        <v>155</v>
      </c>
      <c r="AB3139" s="40" t="s">
        <v>1799</v>
      </c>
    </row>
    <row r="3140" spans="1:28" x14ac:dyDescent="0.25">
      <c r="A3140">
        <v>99913139</v>
      </c>
      <c r="B3140" t="s">
        <v>56</v>
      </c>
      <c r="C3140" t="s">
        <v>52</v>
      </c>
      <c r="D3140" t="s">
        <v>53</v>
      </c>
      <c r="G3140" t="s">
        <v>48</v>
      </c>
      <c r="H3140">
        <v>1</v>
      </c>
      <c r="K3140" t="s">
        <v>380</v>
      </c>
      <c r="L3140" t="s">
        <v>381</v>
      </c>
      <c r="M3140" t="s">
        <v>131</v>
      </c>
      <c r="N3140">
        <v>21</v>
      </c>
      <c r="P3140" t="s">
        <v>41</v>
      </c>
      <c r="Q3140" t="s">
        <v>49</v>
      </c>
      <c r="R3140" t="str">
        <f>"0580552"</f>
        <v>0580552</v>
      </c>
      <c r="S3140" t="s">
        <v>386</v>
      </c>
      <c r="T3140" t="s">
        <v>380</v>
      </c>
      <c r="U3140" t="s">
        <v>381</v>
      </c>
      <c r="V3140" t="s">
        <v>131</v>
      </c>
      <c r="W3140" t="s">
        <v>51</v>
      </c>
      <c r="X3140" t="s">
        <v>45</v>
      </c>
      <c r="Y3140" s="1">
        <v>26589</v>
      </c>
      <c r="Z3140">
        <v>2</v>
      </c>
      <c r="AA3140" t="s">
        <v>381</v>
      </c>
      <c r="AB3140" s="40" t="s">
        <v>1799</v>
      </c>
    </row>
    <row r="3141" spans="1:28" x14ac:dyDescent="0.25">
      <c r="A3141">
        <v>99913140</v>
      </c>
      <c r="B3141" t="s">
        <v>32</v>
      </c>
      <c r="C3141" t="s">
        <v>71</v>
      </c>
      <c r="D3141" t="s">
        <v>72</v>
      </c>
      <c r="G3141" t="s">
        <v>48</v>
      </c>
      <c r="H3141">
        <v>1</v>
      </c>
      <c r="K3141" t="s">
        <v>223</v>
      </c>
      <c r="L3141" t="s">
        <v>224</v>
      </c>
      <c r="M3141" t="s">
        <v>131</v>
      </c>
      <c r="N3141">
        <v>21</v>
      </c>
      <c r="P3141" t="s">
        <v>41</v>
      </c>
      <c r="Q3141" t="s">
        <v>49</v>
      </c>
      <c r="R3141" t="str">
        <f>"0581206"</f>
        <v>0581206</v>
      </c>
      <c r="S3141" t="s">
        <v>232</v>
      </c>
      <c r="T3141" t="s">
        <v>223</v>
      </c>
      <c r="U3141" t="s">
        <v>224</v>
      </c>
      <c r="V3141" t="s">
        <v>131</v>
      </c>
      <c r="W3141" t="s">
        <v>51</v>
      </c>
      <c r="X3141" t="s">
        <v>45</v>
      </c>
      <c r="Y3141" s="1">
        <v>26584</v>
      </c>
      <c r="Z3141">
        <v>2</v>
      </c>
      <c r="AA3141" t="s">
        <v>224</v>
      </c>
      <c r="AB3141" s="40" t="s">
        <v>1799</v>
      </c>
    </row>
    <row r="3142" spans="1:28" x14ac:dyDescent="0.25">
      <c r="A3142">
        <v>99913141</v>
      </c>
      <c r="B3142" t="s">
        <v>32</v>
      </c>
      <c r="C3142" t="s">
        <v>46</v>
      </c>
      <c r="D3142" t="s">
        <v>47</v>
      </c>
      <c r="G3142" t="s">
        <v>35</v>
      </c>
      <c r="H3142">
        <v>1</v>
      </c>
      <c r="I3142">
        <v>0</v>
      </c>
      <c r="J3142" s="1">
        <v>43344</v>
      </c>
      <c r="K3142" t="s">
        <v>223</v>
      </c>
      <c r="L3142" t="s">
        <v>224</v>
      </c>
      <c r="M3142" t="s">
        <v>131</v>
      </c>
      <c r="N3142">
        <v>21</v>
      </c>
      <c r="O3142" s="1">
        <v>43344</v>
      </c>
      <c r="P3142" t="s">
        <v>41</v>
      </c>
      <c r="Q3142" t="s">
        <v>49</v>
      </c>
      <c r="R3142" t="str">
        <f>"0591907"</f>
        <v>0591907</v>
      </c>
      <c r="S3142" t="s">
        <v>243</v>
      </c>
      <c r="T3142" t="s">
        <v>223</v>
      </c>
      <c r="U3142" t="s">
        <v>224</v>
      </c>
      <c r="V3142" t="s">
        <v>131</v>
      </c>
      <c r="W3142" t="s">
        <v>44</v>
      </c>
      <c r="X3142" t="s">
        <v>45</v>
      </c>
      <c r="Y3142" s="1">
        <v>26508</v>
      </c>
      <c r="Z3142">
        <v>2</v>
      </c>
      <c r="AA3142" t="s">
        <v>224</v>
      </c>
      <c r="AB3142" s="40" t="s">
        <v>1799</v>
      </c>
    </row>
    <row r="3143" spans="1:28" x14ac:dyDescent="0.25">
      <c r="A3143">
        <v>99913142</v>
      </c>
      <c r="B3143" t="s">
        <v>56</v>
      </c>
      <c r="C3143" t="s">
        <v>141</v>
      </c>
      <c r="D3143" t="s">
        <v>142</v>
      </c>
      <c r="G3143" t="s">
        <v>88</v>
      </c>
      <c r="H3143">
        <v>2</v>
      </c>
      <c r="I3143" t="s">
        <v>472</v>
      </c>
      <c r="J3143" s="1">
        <v>42261</v>
      </c>
      <c r="K3143" t="s">
        <v>195</v>
      </c>
      <c r="L3143" t="s">
        <v>196</v>
      </c>
      <c r="M3143" t="s">
        <v>131</v>
      </c>
      <c r="N3143">
        <v>21</v>
      </c>
      <c r="O3143" s="1">
        <v>42261</v>
      </c>
      <c r="P3143" t="s">
        <v>41</v>
      </c>
      <c r="Q3143" t="s">
        <v>75</v>
      </c>
      <c r="R3143" t="str">
        <f>"7521050"</f>
        <v>7521050</v>
      </c>
      <c r="S3143" t="s">
        <v>194</v>
      </c>
      <c r="T3143" t="s">
        <v>195</v>
      </c>
      <c r="U3143" t="s">
        <v>196</v>
      </c>
      <c r="V3143" t="s">
        <v>131</v>
      </c>
      <c r="W3143" t="s">
        <v>51</v>
      </c>
      <c r="X3143" t="s">
        <v>45</v>
      </c>
      <c r="Y3143" s="1">
        <v>26506</v>
      </c>
      <c r="Z3143">
        <v>1</v>
      </c>
      <c r="AA3143" t="s">
        <v>196</v>
      </c>
      <c r="AB3143" s="40" t="s">
        <v>1799</v>
      </c>
    </row>
    <row r="3144" spans="1:28" x14ac:dyDescent="0.25">
      <c r="A3144">
        <v>99913143</v>
      </c>
      <c r="B3144" t="s">
        <v>32</v>
      </c>
      <c r="C3144" t="s">
        <v>111</v>
      </c>
      <c r="D3144" t="s">
        <v>112</v>
      </c>
      <c r="G3144" t="s">
        <v>48</v>
      </c>
      <c r="H3144">
        <v>10</v>
      </c>
      <c r="K3144" t="s">
        <v>195</v>
      </c>
      <c r="L3144" t="s">
        <v>196</v>
      </c>
      <c r="M3144" t="s">
        <v>131</v>
      </c>
      <c r="N3144">
        <v>21</v>
      </c>
      <c r="O3144" s="1">
        <v>38664</v>
      </c>
      <c r="P3144" t="s">
        <v>41</v>
      </c>
      <c r="Q3144" t="s">
        <v>75</v>
      </c>
      <c r="R3144" t="str">
        <f>"7521046"</f>
        <v>7521046</v>
      </c>
      <c r="S3144" t="s">
        <v>436</v>
      </c>
      <c r="T3144" t="s">
        <v>195</v>
      </c>
      <c r="U3144" t="s">
        <v>196</v>
      </c>
      <c r="V3144" t="s">
        <v>131</v>
      </c>
      <c r="W3144" t="s">
        <v>165</v>
      </c>
      <c r="X3144" t="s">
        <v>45</v>
      </c>
      <c r="Y3144" s="1">
        <v>26484</v>
      </c>
      <c r="Z3144">
        <v>1</v>
      </c>
      <c r="AA3144" t="s">
        <v>196</v>
      </c>
      <c r="AB3144" s="40" t="s">
        <v>1799</v>
      </c>
    </row>
    <row r="3145" spans="1:28" x14ac:dyDescent="0.25">
      <c r="A3145">
        <v>99913144</v>
      </c>
      <c r="B3145" t="s">
        <v>32</v>
      </c>
      <c r="C3145" t="s">
        <v>85</v>
      </c>
      <c r="D3145" t="s">
        <v>86</v>
      </c>
      <c r="G3145" t="s">
        <v>48</v>
      </c>
      <c r="H3145">
        <v>1</v>
      </c>
      <c r="K3145" t="s">
        <v>300</v>
      </c>
      <c r="L3145" t="s">
        <v>301</v>
      </c>
      <c r="M3145" t="s">
        <v>131</v>
      </c>
      <c r="N3145">
        <v>21</v>
      </c>
      <c r="P3145" t="s">
        <v>41</v>
      </c>
      <c r="Q3145" t="s">
        <v>49</v>
      </c>
      <c r="R3145" t="str">
        <f>"0560020"</f>
        <v>0560020</v>
      </c>
      <c r="S3145" t="s">
        <v>302</v>
      </c>
      <c r="T3145" t="s">
        <v>300</v>
      </c>
      <c r="U3145" t="s">
        <v>301</v>
      </c>
      <c r="V3145" t="s">
        <v>131</v>
      </c>
      <c r="W3145" t="s">
        <v>51</v>
      </c>
      <c r="X3145" t="s">
        <v>45</v>
      </c>
      <c r="Y3145" s="1">
        <v>26444</v>
      </c>
      <c r="Z3145">
        <v>2</v>
      </c>
      <c r="AA3145" t="s">
        <v>301</v>
      </c>
      <c r="AB3145" s="40" t="s">
        <v>1799</v>
      </c>
    </row>
    <row r="3146" spans="1:28" x14ac:dyDescent="0.25">
      <c r="A3146">
        <v>99913145</v>
      </c>
      <c r="B3146" t="s">
        <v>32</v>
      </c>
      <c r="C3146" t="s">
        <v>71</v>
      </c>
      <c r="D3146" t="s">
        <v>72</v>
      </c>
      <c r="G3146" t="s">
        <v>48</v>
      </c>
      <c r="H3146">
        <v>6</v>
      </c>
      <c r="K3146" t="s">
        <v>1268</v>
      </c>
      <c r="L3146" t="s">
        <v>1269</v>
      </c>
      <c r="M3146" t="s">
        <v>1270</v>
      </c>
      <c r="N3146">
        <v>21</v>
      </c>
      <c r="P3146" t="s">
        <v>41</v>
      </c>
      <c r="Q3146" t="s">
        <v>49</v>
      </c>
      <c r="R3146" t="str">
        <f>"1960001"</f>
        <v>1960001</v>
      </c>
      <c r="S3146" t="s">
        <v>1272</v>
      </c>
      <c r="T3146" t="s">
        <v>1268</v>
      </c>
      <c r="U3146" t="s">
        <v>1269</v>
      </c>
      <c r="V3146" t="s">
        <v>1270</v>
      </c>
      <c r="W3146" t="s">
        <v>51</v>
      </c>
      <c r="X3146" t="s">
        <v>45</v>
      </c>
      <c r="Y3146" s="1">
        <v>26405</v>
      </c>
      <c r="Z3146">
        <v>2</v>
      </c>
      <c r="AA3146" t="s">
        <v>1269</v>
      </c>
      <c r="AB3146" s="40" t="s">
        <v>1799</v>
      </c>
    </row>
    <row r="3147" spans="1:28" x14ac:dyDescent="0.25">
      <c r="A3147">
        <v>99913146</v>
      </c>
      <c r="B3147" t="s">
        <v>32</v>
      </c>
      <c r="C3147" t="s">
        <v>46</v>
      </c>
      <c r="D3147" t="s">
        <v>47</v>
      </c>
      <c r="G3147" t="s">
        <v>35</v>
      </c>
      <c r="H3147">
        <v>1</v>
      </c>
      <c r="I3147">
        <v>18104</v>
      </c>
      <c r="J3147" s="1">
        <v>43344</v>
      </c>
      <c r="K3147" t="s">
        <v>345</v>
      </c>
      <c r="L3147" t="s">
        <v>346</v>
      </c>
      <c r="M3147" t="s">
        <v>131</v>
      </c>
      <c r="N3147">
        <v>21</v>
      </c>
      <c r="O3147" s="1">
        <v>43344</v>
      </c>
      <c r="P3147" t="s">
        <v>41</v>
      </c>
      <c r="Q3147" t="s">
        <v>367</v>
      </c>
      <c r="R3147" t="str">
        <f>"0580655"</f>
        <v>0580655</v>
      </c>
      <c r="S3147" t="s">
        <v>368</v>
      </c>
      <c r="T3147" t="s">
        <v>345</v>
      </c>
      <c r="U3147" t="s">
        <v>346</v>
      </c>
      <c r="V3147" t="s">
        <v>131</v>
      </c>
      <c r="W3147" t="s">
        <v>51</v>
      </c>
      <c r="X3147" t="s">
        <v>45</v>
      </c>
      <c r="Y3147" s="1">
        <v>26345</v>
      </c>
      <c r="Z3147">
        <v>2</v>
      </c>
      <c r="AA3147" t="s">
        <v>346</v>
      </c>
      <c r="AB3147" s="40" t="s">
        <v>1799</v>
      </c>
    </row>
    <row r="3148" spans="1:28" x14ac:dyDescent="0.25">
      <c r="A3148">
        <v>99913147</v>
      </c>
      <c r="B3148" t="s">
        <v>56</v>
      </c>
      <c r="C3148" t="s">
        <v>46</v>
      </c>
      <c r="D3148" t="s">
        <v>47</v>
      </c>
      <c r="G3148" t="s">
        <v>35</v>
      </c>
      <c r="H3148">
        <v>1</v>
      </c>
      <c r="K3148" t="s">
        <v>1626</v>
      </c>
      <c r="L3148" t="s">
        <v>1627</v>
      </c>
      <c r="M3148" t="s">
        <v>1592</v>
      </c>
      <c r="N3148">
        <v>21</v>
      </c>
      <c r="P3148" t="s">
        <v>41</v>
      </c>
      <c r="Q3148" t="s">
        <v>42</v>
      </c>
      <c r="R3148" t="str">
        <f>"3680015"</f>
        <v>3680015</v>
      </c>
      <c r="S3148" t="s">
        <v>1628</v>
      </c>
      <c r="T3148" t="s">
        <v>1626</v>
      </c>
      <c r="U3148" t="s">
        <v>1627</v>
      </c>
      <c r="V3148" t="s">
        <v>1592</v>
      </c>
      <c r="W3148" t="s">
        <v>51</v>
      </c>
      <c r="X3148" t="s">
        <v>45</v>
      </c>
      <c r="Y3148" s="1">
        <v>26340</v>
      </c>
      <c r="Z3148">
        <v>2</v>
      </c>
      <c r="AA3148" t="s">
        <v>1627</v>
      </c>
      <c r="AB3148" s="40" t="s">
        <v>1799</v>
      </c>
    </row>
    <row r="3149" spans="1:28" x14ac:dyDescent="0.25">
      <c r="A3149">
        <v>99913148</v>
      </c>
      <c r="B3149" t="s">
        <v>32</v>
      </c>
      <c r="C3149" t="s">
        <v>64</v>
      </c>
      <c r="D3149" t="s">
        <v>65</v>
      </c>
      <c r="G3149" t="s">
        <v>48</v>
      </c>
      <c r="H3149">
        <v>10</v>
      </c>
      <c r="K3149" t="s">
        <v>1426</v>
      </c>
      <c r="L3149" t="s">
        <v>1427</v>
      </c>
      <c r="M3149" t="s">
        <v>1270</v>
      </c>
      <c r="N3149">
        <v>21</v>
      </c>
      <c r="P3149" t="s">
        <v>41</v>
      </c>
      <c r="Q3149" t="s">
        <v>75</v>
      </c>
      <c r="R3149" t="str">
        <f>"7192004"</f>
        <v>7192004</v>
      </c>
      <c r="S3149" t="s">
        <v>1428</v>
      </c>
      <c r="T3149" t="s">
        <v>1426</v>
      </c>
      <c r="U3149" t="s">
        <v>1427</v>
      </c>
      <c r="V3149" t="s">
        <v>1270</v>
      </c>
      <c r="W3149" t="s">
        <v>51</v>
      </c>
      <c r="X3149" t="s">
        <v>45</v>
      </c>
      <c r="Y3149" s="1">
        <v>26320</v>
      </c>
      <c r="Z3149">
        <v>1</v>
      </c>
      <c r="AA3149" t="s">
        <v>1427</v>
      </c>
      <c r="AB3149" s="40" t="s">
        <v>1799</v>
      </c>
    </row>
    <row r="3150" spans="1:28" x14ac:dyDescent="0.25">
      <c r="A3150">
        <v>99913149</v>
      </c>
      <c r="B3150" t="s">
        <v>56</v>
      </c>
      <c r="C3150" t="s">
        <v>33</v>
      </c>
      <c r="D3150" t="s">
        <v>34</v>
      </c>
      <c r="G3150" t="s">
        <v>35</v>
      </c>
      <c r="H3150">
        <v>1</v>
      </c>
      <c r="K3150" t="s">
        <v>157</v>
      </c>
      <c r="L3150" t="s">
        <v>158</v>
      </c>
      <c r="M3150" t="s">
        <v>131</v>
      </c>
      <c r="N3150">
        <v>21</v>
      </c>
      <c r="P3150" t="s">
        <v>41</v>
      </c>
      <c r="Q3150" t="s">
        <v>42</v>
      </c>
      <c r="R3150" t="str">
        <f>"0561005"</f>
        <v>0561005</v>
      </c>
      <c r="S3150" t="s">
        <v>174</v>
      </c>
      <c r="T3150" t="s">
        <v>157</v>
      </c>
      <c r="U3150" t="s">
        <v>158</v>
      </c>
      <c r="V3150" t="s">
        <v>131</v>
      </c>
      <c r="W3150" t="s">
        <v>51</v>
      </c>
      <c r="X3150" t="s">
        <v>45</v>
      </c>
      <c r="Y3150" s="1">
        <v>26299</v>
      </c>
      <c r="Z3150">
        <v>2</v>
      </c>
      <c r="AA3150" t="s">
        <v>158</v>
      </c>
      <c r="AB3150" s="40" t="s">
        <v>1799</v>
      </c>
    </row>
    <row r="3151" spans="1:28" x14ac:dyDescent="0.25">
      <c r="A3151">
        <v>99913150</v>
      </c>
      <c r="B3151" t="s">
        <v>32</v>
      </c>
      <c r="C3151" t="s">
        <v>33</v>
      </c>
      <c r="D3151" t="s">
        <v>34</v>
      </c>
      <c r="G3151" t="s">
        <v>48</v>
      </c>
      <c r="H3151">
        <v>1</v>
      </c>
      <c r="K3151" t="s">
        <v>300</v>
      </c>
      <c r="L3151" t="s">
        <v>301</v>
      </c>
      <c r="M3151" t="s">
        <v>131</v>
      </c>
      <c r="N3151">
        <v>21</v>
      </c>
      <c r="P3151" t="s">
        <v>41</v>
      </c>
      <c r="Q3151" t="s">
        <v>42</v>
      </c>
      <c r="R3151" t="str">
        <f>"0580106"</f>
        <v>0580106</v>
      </c>
      <c r="S3151" t="s">
        <v>306</v>
      </c>
      <c r="T3151" t="s">
        <v>300</v>
      </c>
      <c r="U3151" t="s">
        <v>301</v>
      </c>
      <c r="V3151" t="s">
        <v>131</v>
      </c>
      <c r="W3151" t="s">
        <v>51</v>
      </c>
      <c r="X3151" t="s">
        <v>45</v>
      </c>
      <c r="Y3151" s="1">
        <v>26299</v>
      </c>
      <c r="Z3151">
        <v>2</v>
      </c>
      <c r="AA3151" t="s">
        <v>301</v>
      </c>
      <c r="AB3151" s="40" t="s">
        <v>1799</v>
      </c>
    </row>
    <row r="3152" spans="1:28" x14ac:dyDescent="0.25">
      <c r="A3152">
        <v>99913151</v>
      </c>
      <c r="B3152" t="s">
        <v>56</v>
      </c>
      <c r="C3152" t="s">
        <v>68</v>
      </c>
      <c r="D3152" t="s">
        <v>69</v>
      </c>
      <c r="G3152" t="s">
        <v>48</v>
      </c>
      <c r="H3152">
        <v>1</v>
      </c>
      <c r="K3152" t="s">
        <v>345</v>
      </c>
      <c r="L3152" t="s">
        <v>346</v>
      </c>
      <c r="M3152" t="s">
        <v>131</v>
      </c>
      <c r="N3152">
        <v>21</v>
      </c>
      <c r="P3152" t="s">
        <v>41</v>
      </c>
      <c r="Q3152" t="s">
        <v>42</v>
      </c>
      <c r="R3152" t="str">
        <f>"0590906"</f>
        <v>0590906</v>
      </c>
      <c r="S3152" t="s">
        <v>361</v>
      </c>
      <c r="T3152" t="s">
        <v>345</v>
      </c>
      <c r="U3152" t="s">
        <v>346</v>
      </c>
      <c r="V3152" t="s">
        <v>131</v>
      </c>
      <c r="W3152" t="s">
        <v>51</v>
      </c>
      <c r="X3152" t="s">
        <v>45</v>
      </c>
      <c r="Y3152" s="1">
        <v>26299</v>
      </c>
      <c r="Z3152">
        <v>2</v>
      </c>
      <c r="AA3152" t="s">
        <v>346</v>
      </c>
      <c r="AB3152" s="40" t="s">
        <v>1799</v>
      </c>
    </row>
    <row r="3153" spans="1:28" x14ac:dyDescent="0.25">
      <c r="A3153">
        <v>99913152</v>
      </c>
      <c r="B3153" t="s">
        <v>32</v>
      </c>
      <c r="C3153" t="s">
        <v>64</v>
      </c>
      <c r="D3153" t="s">
        <v>65</v>
      </c>
      <c r="G3153" t="s">
        <v>48</v>
      </c>
      <c r="H3153">
        <v>13</v>
      </c>
      <c r="K3153" t="s">
        <v>195</v>
      </c>
      <c r="L3153" t="s">
        <v>196</v>
      </c>
      <c r="M3153" t="s">
        <v>131</v>
      </c>
      <c r="N3153">
        <v>21</v>
      </c>
      <c r="O3153" s="1">
        <v>37135</v>
      </c>
      <c r="P3153" t="s">
        <v>41</v>
      </c>
      <c r="Q3153" t="s">
        <v>75</v>
      </c>
      <c r="R3153" t="str">
        <f>"7521042"</f>
        <v>7521042</v>
      </c>
      <c r="S3153" t="s">
        <v>440</v>
      </c>
      <c r="T3153" t="s">
        <v>195</v>
      </c>
      <c r="U3153" t="s">
        <v>196</v>
      </c>
      <c r="V3153" t="s">
        <v>131</v>
      </c>
      <c r="W3153" t="s">
        <v>51</v>
      </c>
      <c r="X3153" t="s">
        <v>45</v>
      </c>
      <c r="Y3153" s="1">
        <v>26299</v>
      </c>
      <c r="Z3153">
        <v>1</v>
      </c>
      <c r="AA3153" t="s">
        <v>196</v>
      </c>
      <c r="AB3153" s="40" t="s">
        <v>1799</v>
      </c>
    </row>
    <row r="3154" spans="1:28" x14ac:dyDescent="0.25">
      <c r="A3154">
        <v>99913153</v>
      </c>
      <c r="B3154" t="s">
        <v>32</v>
      </c>
      <c r="C3154" t="s">
        <v>71</v>
      </c>
      <c r="D3154" t="s">
        <v>72</v>
      </c>
      <c r="G3154" t="s">
        <v>48</v>
      </c>
      <c r="H3154">
        <v>1</v>
      </c>
      <c r="K3154" t="s">
        <v>985</v>
      </c>
      <c r="L3154" t="s">
        <v>986</v>
      </c>
      <c r="M3154" t="s">
        <v>938</v>
      </c>
      <c r="N3154">
        <v>21</v>
      </c>
      <c r="P3154" t="s">
        <v>41</v>
      </c>
      <c r="Q3154" t="s">
        <v>75</v>
      </c>
      <c r="R3154" t="str">
        <f>"7011004"</f>
        <v>7011004</v>
      </c>
      <c r="S3154" t="s">
        <v>987</v>
      </c>
      <c r="T3154" t="s">
        <v>985</v>
      </c>
      <c r="U3154" t="s">
        <v>986</v>
      </c>
      <c r="V3154" t="s">
        <v>938</v>
      </c>
      <c r="W3154" t="s">
        <v>51</v>
      </c>
      <c r="X3154" t="s">
        <v>45</v>
      </c>
      <c r="Y3154" s="1">
        <v>26299</v>
      </c>
      <c r="Z3154">
        <v>1</v>
      </c>
      <c r="AA3154" t="s">
        <v>986</v>
      </c>
      <c r="AB3154" s="40" t="s">
        <v>1799</v>
      </c>
    </row>
    <row r="3155" spans="1:28" x14ac:dyDescent="0.25">
      <c r="A3155">
        <v>99913154</v>
      </c>
      <c r="B3155" t="s">
        <v>32</v>
      </c>
      <c r="C3155" t="s">
        <v>111</v>
      </c>
      <c r="D3155" t="s">
        <v>112</v>
      </c>
      <c r="G3155" t="s">
        <v>35</v>
      </c>
      <c r="H3155">
        <v>1</v>
      </c>
      <c r="K3155" t="s">
        <v>1081</v>
      </c>
      <c r="L3155" t="s">
        <v>1082</v>
      </c>
      <c r="M3155" t="s">
        <v>1053</v>
      </c>
      <c r="N3155">
        <v>21</v>
      </c>
      <c r="P3155" t="s">
        <v>41</v>
      </c>
      <c r="Q3155" t="s">
        <v>75</v>
      </c>
      <c r="R3155" t="str">
        <f>"7201006"</f>
        <v>7201006</v>
      </c>
      <c r="S3155" t="s">
        <v>1083</v>
      </c>
      <c r="T3155" t="s">
        <v>1081</v>
      </c>
      <c r="U3155" t="s">
        <v>1082</v>
      </c>
      <c r="V3155" t="s">
        <v>1053</v>
      </c>
      <c r="W3155" t="s">
        <v>51</v>
      </c>
      <c r="X3155" t="s">
        <v>45</v>
      </c>
      <c r="Y3155" s="1">
        <v>26283</v>
      </c>
      <c r="Z3155">
        <v>1</v>
      </c>
      <c r="AA3155" t="s">
        <v>1082</v>
      </c>
      <c r="AB3155" s="40" t="s">
        <v>1799</v>
      </c>
    </row>
    <row r="3156" spans="1:28" x14ac:dyDescent="0.25">
      <c r="A3156">
        <v>99913155</v>
      </c>
      <c r="B3156" t="s">
        <v>32</v>
      </c>
      <c r="C3156" t="s">
        <v>111</v>
      </c>
      <c r="D3156" t="s">
        <v>112</v>
      </c>
      <c r="G3156" t="s">
        <v>48</v>
      </c>
      <c r="H3156">
        <v>1</v>
      </c>
      <c r="K3156" t="s">
        <v>1631</v>
      </c>
      <c r="L3156" t="s">
        <v>1632</v>
      </c>
      <c r="M3156" t="s">
        <v>1592</v>
      </c>
      <c r="N3156">
        <v>21</v>
      </c>
      <c r="P3156" t="s">
        <v>41</v>
      </c>
      <c r="Q3156" t="s">
        <v>75</v>
      </c>
      <c r="R3156" t="str">
        <f>"7021000"</f>
        <v>7021000</v>
      </c>
      <c r="S3156" t="s">
        <v>1633</v>
      </c>
      <c r="T3156" t="s">
        <v>1631</v>
      </c>
      <c r="U3156" t="s">
        <v>1632</v>
      </c>
      <c r="V3156" t="s">
        <v>1592</v>
      </c>
      <c r="W3156" t="s">
        <v>51</v>
      </c>
      <c r="X3156" t="s">
        <v>45</v>
      </c>
      <c r="Y3156" s="1">
        <v>26257</v>
      </c>
      <c r="Z3156">
        <v>1</v>
      </c>
      <c r="AA3156" t="s">
        <v>1632</v>
      </c>
      <c r="AB3156" s="40" t="s">
        <v>1799</v>
      </c>
    </row>
    <row r="3157" spans="1:28" x14ac:dyDescent="0.25">
      <c r="A3157">
        <v>99913156</v>
      </c>
      <c r="B3157" t="s">
        <v>56</v>
      </c>
      <c r="C3157" t="s">
        <v>79</v>
      </c>
      <c r="D3157" t="s">
        <v>80</v>
      </c>
      <c r="G3157" t="s">
        <v>48</v>
      </c>
      <c r="H3157">
        <v>1</v>
      </c>
      <c r="K3157" t="s">
        <v>162</v>
      </c>
      <c r="L3157" t="s">
        <v>158</v>
      </c>
      <c r="M3157" t="s">
        <v>131</v>
      </c>
      <c r="N3157">
        <v>21</v>
      </c>
      <c r="P3157" t="s">
        <v>41</v>
      </c>
      <c r="Q3157" t="s">
        <v>75</v>
      </c>
      <c r="R3157" t="str">
        <f>"7521050"</f>
        <v>7521050</v>
      </c>
      <c r="S3157" t="s">
        <v>194</v>
      </c>
      <c r="T3157" t="s">
        <v>195</v>
      </c>
      <c r="U3157" t="s">
        <v>196</v>
      </c>
      <c r="V3157" t="s">
        <v>131</v>
      </c>
      <c r="W3157" t="s">
        <v>51</v>
      </c>
      <c r="X3157" t="s">
        <v>45</v>
      </c>
      <c r="Y3157" s="1">
        <v>26252</v>
      </c>
      <c r="Z3157">
        <v>2</v>
      </c>
      <c r="AA3157" t="s">
        <v>158</v>
      </c>
      <c r="AB3157" s="40" t="s">
        <v>1799</v>
      </c>
    </row>
    <row r="3158" spans="1:28" x14ac:dyDescent="0.25">
      <c r="A3158">
        <v>99913157</v>
      </c>
      <c r="B3158" t="s">
        <v>56</v>
      </c>
      <c r="C3158" t="s">
        <v>46</v>
      </c>
      <c r="D3158" t="s">
        <v>47</v>
      </c>
      <c r="G3158" t="s">
        <v>48</v>
      </c>
      <c r="H3158">
        <v>1</v>
      </c>
      <c r="K3158" t="s">
        <v>300</v>
      </c>
      <c r="L3158" t="s">
        <v>301</v>
      </c>
      <c r="M3158" t="s">
        <v>131</v>
      </c>
      <c r="N3158">
        <v>21</v>
      </c>
      <c r="P3158" t="s">
        <v>41</v>
      </c>
      <c r="Q3158" t="s">
        <v>42</v>
      </c>
      <c r="R3158" t="str">
        <f>"0580176"</f>
        <v>0580176</v>
      </c>
      <c r="S3158" t="s">
        <v>305</v>
      </c>
      <c r="T3158" t="s">
        <v>300</v>
      </c>
      <c r="U3158" t="s">
        <v>301</v>
      </c>
      <c r="V3158" t="s">
        <v>131</v>
      </c>
      <c r="W3158" t="s">
        <v>51</v>
      </c>
      <c r="X3158" t="s">
        <v>45</v>
      </c>
      <c r="Y3158" s="1">
        <v>26235</v>
      </c>
      <c r="Z3158">
        <v>2</v>
      </c>
      <c r="AA3158" t="s">
        <v>301</v>
      </c>
      <c r="AB3158" s="40" t="s">
        <v>1799</v>
      </c>
    </row>
    <row r="3159" spans="1:28" x14ac:dyDescent="0.25">
      <c r="A3159">
        <v>99913158</v>
      </c>
      <c r="B3159" t="s">
        <v>32</v>
      </c>
      <c r="C3159" t="s">
        <v>46</v>
      </c>
      <c r="D3159" t="s">
        <v>47</v>
      </c>
      <c r="G3159" t="s">
        <v>48</v>
      </c>
      <c r="H3159">
        <v>1</v>
      </c>
      <c r="K3159" t="s">
        <v>300</v>
      </c>
      <c r="L3159" t="s">
        <v>301</v>
      </c>
      <c r="M3159" t="s">
        <v>131</v>
      </c>
      <c r="N3159">
        <v>21</v>
      </c>
      <c r="P3159" t="s">
        <v>41</v>
      </c>
      <c r="Q3159" t="s">
        <v>49</v>
      </c>
      <c r="R3159" t="str">
        <f>"0560001"</f>
        <v>0560001</v>
      </c>
      <c r="S3159" t="s">
        <v>304</v>
      </c>
      <c r="T3159" t="s">
        <v>300</v>
      </c>
      <c r="U3159" t="s">
        <v>301</v>
      </c>
      <c r="V3159" t="s">
        <v>131</v>
      </c>
      <c r="W3159" t="s">
        <v>51</v>
      </c>
      <c r="X3159" t="s">
        <v>45</v>
      </c>
      <c r="Y3159" s="1">
        <v>26235</v>
      </c>
      <c r="Z3159">
        <v>2</v>
      </c>
      <c r="AA3159" t="s">
        <v>301</v>
      </c>
      <c r="AB3159" s="40" t="s">
        <v>1799</v>
      </c>
    </row>
    <row r="3160" spans="1:28" x14ac:dyDescent="0.25">
      <c r="A3160">
        <v>99913159</v>
      </c>
      <c r="B3160" t="s">
        <v>32</v>
      </c>
      <c r="C3160" t="s">
        <v>46</v>
      </c>
      <c r="D3160" t="s">
        <v>47</v>
      </c>
      <c r="G3160" t="s">
        <v>48</v>
      </c>
      <c r="H3160">
        <v>1</v>
      </c>
      <c r="K3160" t="s">
        <v>223</v>
      </c>
      <c r="L3160" t="s">
        <v>224</v>
      </c>
      <c r="M3160" t="s">
        <v>131</v>
      </c>
      <c r="N3160">
        <v>21</v>
      </c>
      <c r="P3160" t="s">
        <v>41</v>
      </c>
      <c r="Q3160" t="s">
        <v>42</v>
      </c>
      <c r="R3160" t="str">
        <f>"0580206"</f>
        <v>0580206</v>
      </c>
      <c r="S3160" t="s">
        <v>237</v>
      </c>
      <c r="T3160" t="s">
        <v>223</v>
      </c>
      <c r="U3160" t="s">
        <v>224</v>
      </c>
      <c r="V3160" t="s">
        <v>131</v>
      </c>
      <c r="W3160" t="s">
        <v>51</v>
      </c>
      <c r="X3160" t="s">
        <v>45</v>
      </c>
      <c r="Y3160" s="1">
        <v>26200</v>
      </c>
      <c r="Z3160">
        <v>2</v>
      </c>
      <c r="AA3160" t="s">
        <v>224</v>
      </c>
      <c r="AB3160" s="40" t="s">
        <v>1799</v>
      </c>
    </row>
    <row r="3161" spans="1:28" x14ac:dyDescent="0.25">
      <c r="A3161">
        <v>99913160</v>
      </c>
      <c r="B3161" t="s">
        <v>32</v>
      </c>
      <c r="C3161" t="s">
        <v>111</v>
      </c>
      <c r="D3161" t="s">
        <v>112</v>
      </c>
      <c r="G3161" t="s">
        <v>48</v>
      </c>
      <c r="H3161">
        <v>10</v>
      </c>
      <c r="K3161" t="s">
        <v>195</v>
      </c>
      <c r="L3161" t="s">
        <v>196</v>
      </c>
      <c r="M3161" t="s">
        <v>131</v>
      </c>
      <c r="N3161">
        <v>21</v>
      </c>
      <c r="O3161" s="1">
        <v>38280</v>
      </c>
      <c r="P3161" t="s">
        <v>41</v>
      </c>
      <c r="Q3161" t="s">
        <v>75</v>
      </c>
      <c r="R3161" t="str">
        <f>"7521046"</f>
        <v>7521046</v>
      </c>
      <c r="S3161" t="s">
        <v>436</v>
      </c>
      <c r="T3161" t="s">
        <v>195</v>
      </c>
      <c r="U3161" t="s">
        <v>196</v>
      </c>
      <c r="V3161" t="s">
        <v>131</v>
      </c>
      <c r="W3161" t="s">
        <v>165</v>
      </c>
      <c r="X3161" t="s">
        <v>45</v>
      </c>
      <c r="Y3161" s="1">
        <v>26186</v>
      </c>
      <c r="Z3161">
        <v>1</v>
      </c>
      <c r="AA3161" t="s">
        <v>196</v>
      </c>
      <c r="AB3161" s="40" t="s">
        <v>1799</v>
      </c>
    </row>
    <row r="3162" spans="1:28" x14ac:dyDescent="0.25">
      <c r="A3162">
        <v>99913161</v>
      </c>
      <c r="B3162" t="s">
        <v>32</v>
      </c>
      <c r="C3162" t="s">
        <v>111</v>
      </c>
      <c r="D3162" t="s">
        <v>112</v>
      </c>
      <c r="G3162" t="s">
        <v>35</v>
      </c>
      <c r="H3162">
        <v>10</v>
      </c>
      <c r="K3162" t="s">
        <v>268</v>
      </c>
      <c r="L3162" t="s">
        <v>269</v>
      </c>
      <c r="M3162" t="s">
        <v>131</v>
      </c>
      <c r="N3162">
        <v>21</v>
      </c>
      <c r="P3162" t="s">
        <v>41</v>
      </c>
      <c r="Q3162" t="s">
        <v>75</v>
      </c>
      <c r="R3162" t="str">
        <f>"7052006"</f>
        <v>7052006</v>
      </c>
      <c r="S3162" t="s">
        <v>575</v>
      </c>
      <c r="T3162" t="s">
        <v>268</v>
      </c>
      <c r="U3162" t="s">
        <v>269</v>
      </c>
      <c r="V3162" t="s">
        <v>131</v>
      </c>
      <c r="W3162" t="s">
        <v>165</v>
      </c>
      <c r="X3162" t="s">
        <v>45</v>
      </c>
      <c r="Y3162" s="1">
        <v>26168</v>
      </c>
      <c r="Z3162">
        <v>1</v>
      </c>
      <c r="AA3162" t="s">
        <v>269</v>
      </c>
      <c r="AB3162" s="40" t="s">
        <v>1799</v>
      </c>
    </row>
    <row r="3163" spans="1:28" x14ac:dyDescent="0.25">
      <c r="A3163">
        <v>99913162</v>
      </c>
      <c r="B3163" t="s">
        <v>56</v>
      </c>
      <c r="C3163" t="s">
        <v>79</v>
      </c>
      <c r="D3163" t="s">
        <v>80</v>
      </c>
      <c r="G3163" t="s">
        <v>35</v>
      </c>
      <c r="H3163">
        <v>1</v>
      </c>
      <c r="K3163" t="s">
        <v>1341</v>
      </c>
      <c r="L3163" t="s">
        <v>1342</v>
      </c>
      <c r="M3163" t="s">
        <v>1270</v>
      </c>
      <c r="N3163">
        <v>21</v>
      </c>
      <c r="P3163" t="s">
        <v>41</v>
      </c>
      <c r="Q3163" t="s">
        <v>75</v>
      </c>
      <c r="R3163" t="str">
        <f>"7191006"</f>
        <v>7191006</v>
      </c>
      <c r="S3163" t="s">
        <v>1351</v>
      </c>
      <c r="T3163" t="s">
        <v>1341</v>
      </c>
      <c r="U3163" t="s">
        <v>1342</v>
      </c>
      <c r="V3163" t="s">
        <v>1270</v>
      </c>
      <c r="W3163" t="s">
        <v>51</v>
      </c>
      <c r="X3163" t="s">
        <v>45</v>
      </c>
      <c r="Y3163" s="1">
        <v>26151</v>
      </c>
      <c r="Z3163">
        <v>1</v>
      </c>
      <c r="AA3163" t="s">
        <v>1342</v>
      </c>
      <c r="AB3163" s="40" t="s">
        <v>1799</v>
      </c>
    </row>
    <row r="3164" spans="1:28" x14ac:dyDescent="0.25">
      <c r="A3164">
        <v>99913163</v>
      </c>
      <c r="B3164" t="s">
        <v>56</v>
      </c>
      <c r="C3164" t="s">
        <v>64</v>
      </c>
      <c r="D3164" t="s">
        <v>65</v>
      </c>
      <c r="G3164" t="s">
        <v>48</v>
      </c>
      <c r="H3164">
        <v>6</v>
      </c>
      <c r="K3164" t="s">
        <v>1268</v>
      </c>
      <c r="L3164" t="s">
        <v>1269</v>
      </c>
      <c r="M3164" t="s">
        <v>1270</v>
      </c>
      <c r="N3164">
        <v>21</v>
      </c>
      <c r="O3164" s="1">
        <v>43344</v>
      </c>
      <c r="P3164" t="s">
        <v>41</v>
      </c>
      <c r="Q3164" t="s">
        <v>49</v>
      </c>
      <c r="R3164" t="str">
        <f>"1960001"</f>
        <v>1960001</v>
      </c>
      <c r="S3164" t="s">
        <v>1272</v>
      </c>
      <c r="T3164" t="s">
        <v>1268</v>
      </c>
      <c r="U3164" t="s">
        <v>1269</v>
      </c>
      <c r="V3164" t="s">
        <v>1270</v>
      </c>
      <c r="W3164" t="s">
        <v>51</v>
      </c>
      <c r="X3164" t="s">
        <v>45</v>
      </c>
      <c r="Y3164" s="1">
        <v>26121</v>
      </c>
      <c r="Z3164">
        <v>2</v>
      </c>
      <c r="AA3164" t="s">
        <v>1269</v>
      </c>
      <c r="AB3164" s="40" t="s">
        <v>1799</v>
      </c>
    </row>
    <row r="3165" spans="1:28" x14ac:dyDescent="0.25">
      <c r="A3165">
        <v>99913164</v>
      </c>
      <c r="B3165" t="s">
        <v>32</v>
      </c>
      <c r="C3165" t="s">
        <v>111</v>
      </c>
      <c r="D3165" t="s">
        <v>112</v>
      </c>
      <c r="G3165" t="s">
        <v>48</v>
      </c>
      <c r="H3165">
        <v>11</v>
      </c>
      <c r="K3165" t="s">
        <v>1221</v>
      </c>
      <c r="L3165" t="s">
        <v>1222</v>
      </c>
      <c r="M3165" t="s">
        <v>1130</v>
      </c>
      <c r="N3165">
        <v>21</v>
      </c>
      <c r="P3165" t="s">
        <v>41</v>
      </c>
      <c r="Q3165" t="s">
        <v>75</v>
      </c>
      <c r="R3165" t="str">
        <f>"7351000"</f>
        <v>7351000</v>
      </c>
      <c r="S3165" t="s">
        <v>1223</v>
      </c>
      <c r="T3165" t="s">
        <v>1221</v>
      </c>
      <c r="U3165" t="s">
        <v>1222</v>
      </c>
      <c r="V3165" t="s">
        <v>1130</v>
      </c>
      <c r="W3165" t="s">
        <v>51</v>
      </c>
      <c r="X3165" t="s">
        <v>45</v>
      </c>
      <c r="Y3165" s="1">
        <v>26114</v>
      </c>
      <c r="Z3165">
        <v>1</v>
      </c>
      <c r="AA3165" t="s">
        <v>1222</v>
      </c>
      <c r="AB3165" s="40" t="s">
        <v>1799</v>
      </c>
    </row>
    <row r="3166" spans="1:28" x14ac:dyDescent="0.25">
      <c r="A3166">
        <v>99913165</v>
      </c>
      <c r="B3166" t="s">
        <v>56</v>
      </c>
      <c r="C3166" t="s">
        <v>46</v>
      </c>
      <c r="D3166" t="s">
        <v>47</v>
      </c>
      <c r="G3166" t="s">
        <v>48</v>
      </c>
      <c r="H3166">
        <v>1</v>
      </c>
      <c r="K3166" t="s">
        <v>300</v>
      </c>
      <c r="L3166" t="s">
        <v>301</v>
      </c>
      <c r="M3166" t="s">
        <v>131</v>
      </c>
      <c r="N3166">
        <v>21</v>
      </c>
      <c r="P3166" t="s">
        <v>41</v>
      </c>
      <c r="Q3166" t="s">
        <v>42</v>
      </c>
      <c r="R3166" t="str">
        <f>"0580106"</f>
        <v>0580106</v>
      </c>
      <c r="S3166" t="s">
        <v>306</v>
      </c>
      <c r="T3166" t="s">
        <v>300</v>
      </c>
      <c r="U3166" t="s">
        <v>301</v>
      </c>
      <c r="V3166" t="s">
        <v>131</v>
      </c>
      <c r="W3166" t="s">
        <v>51</v>
      </c>
      <c r="X3166" t="s">
        <v>45</v>
      </c>
      <c r="Y3166" s="1">
        <v>26096</v>
      </c>
      <c r="Z3166">
        <v>2</v>
      </c>
      <c r="AA3166" t="s">
        <v>301</v>
      </c>
      <c r="AB3166" s="40" t="s">
        <v>1799</v>
      </c>
    </row>
    <row r="3167" spans="1:28" x14ac:dyDescent="0.25">
      <c r="A3167">
        <v>99913166</v>
      </c>
      <c r="B3167" t="s">
        <v>32</v>
      </c>
      <c r="C3167" t="s">
        <v>111</v>
      </c>
      <c r="D3167" t="s">
        <v>112</v>
      </c>
      <c r="G3167" t="s">
        <v>48</v>
      </c>
      <c r="H3167">
        <v>1</v>
      </c>
      <c r="K3167" t="s">
        <v>431</v>
      </c>
      <c r="L3167" t="s">
        <v>196</v>
      </c>
      <c r="M3167" t="s">
        <v>131</v>
      </c>
      <c r="N3167">
        <v>21</v>
      </c>
      <c r="P3167" t="s">
        <v>41</v>
      </c>
      <c r="Q3167" t="s">
        <v>75</v>
      </c>
      <c r="R3167" t="str">
        <f>"7521012"</f>
        <v>7521012</v>
      </c>
      <c r="S3167" t="s">
        <v>432</v>
      </c>
      <c r="T3167" t="s">
        <v>431</v>
      </c>
      <c r="U3167" t="s">
        <v>196</v>
      </c>
      <c r="V3167" t="s">
        <v>131</v>
      </c>
      <c r="W3167" t="s">
        <v>165</v>
      </c>
      <c r="X3167" t="s">
        <v>45</v>
      </c>
      <c r="Y3167" s="1">
        <v>26093</v>
      </c>
      <c r="Z3167">
        <v>1</v>
      </c>
      <c r="AA3167" t="s">
        <v>196</v>
      </c>
      <c r="AB3167" s="40" t="s">
        <v>1799</v>
      </c>
    </row>
    <row r="3168" spans="1:28" x14ac:dyDescent="0.25">
      <c r="A3168">
        <v>99913167</v>
      </c>
      <c r="B3168" t="s">
        <v>32</v>
      </c>
      <c r="C3168" t="s">
        <v>64</v>
      </c>
      <c r="D3168" t="s">
        <v>65</v>
      </c>
      <c r="G3168" t="s">
        <v>48</v>
      </c>
      <c r="H3168">
        <v>1</v>
      </c>
      <c r="K3168" t="s">
        <v>223</v>
      </c>
      <c r="L3168" t="s">
        <v>224</v>
      </c>
      <c r="M3168" t="s">
        <v>131</v>
      </c>
      <c r="N3168">
        <v>21</v>
      </c>
      <c r="P3168" t="s">
        <v>41</v>
      </c>
      <c r="Q3168" t="s">
        <v>49</v>
      </c>
      <c r="R3168" t="str">
        <f>"0540902"</f>
        <v>0540902</v>
      </c>
      <c r="S3168" t="s">
        <v>256</v>
      </c>
      <c r="T3168" t="s">
        <v>223</v>
      </c>
      <c r="U3168" t="s">
        <v>224</v>
      </c>
      <c r="V3168" t="s">
        <v>131</v>
      </c>
      <c r="W3168" t="s">
        <v>51</v>
      </c>
      <c r="X3168" t="s">
        <v>45</v>
      </c>
      <c r="Y3168" s="1">
        <v>26091</v>
      </c>
      <c r="Z3168">
        <v>2</v>
      </c>
      <c r="AA3168" t="s">
        <v>224</v>
      </c>
      <c r="AB3168" s="40" t="s">
        <v>1799</v>
      </c>
    </row>
    <row r="3169" spans="1:28" x14ac:dyDescent="0.25">
      <c r="A3169">
        <v>99913168</v>
      </c>
      <c r="B3169" t="s">
        <v>32</v>
      </c>
      <c r="C3169" t="s">
        <v>85</v>
      </c>
      <c r="D3169" t="s">
        <v>86</v>
      </c>
      <c r="G3169" t="s">
        <v>35</v>
      </c>
      <c r="H3169">
        <v>1</v>
      </c>
      <c r="K3169" t="s">
        <v>223</v>
      </c>
      <c r="L3169" t="s">
        <v>224</v>
      </c>
      <c r="M3169" t="s">
        <v>131</v>
      </c>
      <c r="N3169">
        <v>21</v>
      </c>
      <c r="P3169" t="s">
        <v>41</v>
      </c>
      <c r="Q3169" t="s">
        <v>49</v>
      </c>
      <c r="R3169" t="str">
        <f>"0591901"</f>
        <v>0591901</v>
      </c>
      <c r="S3169" t="s">
        <v>230</v>
      </c>
      <c r="T3169" t="s">
        <v>223</v>
      </c>
      <c r="U3169" t="s">
        <v>224</v>
      </c>
      <c r="V3169" t="s">
        <v>131</v>
      </c>
      <c r="W3169" t="s">
        <v>51</v>
      </c>
      <c r="X3169" t="s">
        <v>45</v>
      </c>
      <c r="Y3169" s="1">
        <v>26087</v>
      </c>
      <c r="Z3169">
        <v>2</v>
      </c>
      <c r="AA3169" t="s">
        <v>224</v>
      </c>
      <c r="AB3169" s="40" t="s">
        <v>1799</v>
      </c>
    </row>
    <row r="3170" spans="1:28" x14ac:dyDescent="0.25">
      <c r="A3170">
        <v>99913169</v>
      </c>
      <c r="B3170" t="s">
        <v>32</v>
      </c>
      <c r="C3170" t="s">
        <v>139</v>
      </c>
      <c r="D3170" t="s">
        <v>140</v>
      </c>
      <c r="G3170" t="s">
        <v>48</v>
      </c>
      <c r="H3170">
        <v>1</v>
      </c>
      <c r="K3170" t="s">
        <v>345</v>
      </c>
      <c r="L3170" t="s">
        <v>346</v>
      </c>
      <c r="M3170" t="s">
        <v>131</v>
      </c>
      <c r="N3170">
        <v>21</v>
      </c>
      <c r="P3170" t="s">
        <v>41</v>
      </c>
      <c r="Q3170" t="s">
        <v>49</v>
      </c>
      <c r="R3170" t="str">
        <f>"0591906"</f>
        <v>0591906</v>
      </c>
      <c r="S3170" t="s">
        <v>350</v>
      </c>
      <c r="T3170" t="s">
        <v>345</v>
      </c>
      <c r="U3170" t="s">
        <v>346</v>
      </c>
      <c r="V3170" t="s">
        <v>131</v>
      </c>
      <c r="W3170" t="s">
        <v>51</v>
      </c>
      <c r="X3170" t="s">
        <v>45</v>
      </c>
      <c r="Y3170" s="1">
        <v>26076</v>
      </c>
      <c r="Z3170">
        <v>2</v>
      </c>
      <c r="AA3170" t="s">
        <v>346</v>
      </c>
      <c r="AB3170" s="40" t="s">
        <v>1799</v>
      </c>
    </row>
    <row r="3171" spans="1:28" x14ac:dyDescent="0.25">
      <c r="A3171">
        <v>99913170</v>
      </c>
      <c r="B3171" t="s">
        <v>56</v>
      </c>
      <c r="C3171" t="s">
        <v>82</v>
      </c>
      <c r="D3171" t="s">
        <v>83</v>
      </c>
      <c r="G3171" t="s">
        <v>35</v>
      </c>
      <c r="H3171">
        <v>1</v>
      </c>
      <c r="K3171" t="s">
        <v>157</v>
      </c>
      <c r="L3171" t="s">
        <v>158</v>
      </c>
      <c r="M3171" t="s">
        <v>131</v>
      </c>
      <c r="N3171">
        <v>21</v>
      </c>
      <c r="P3171" t="s">
        <v>41</v>
      </c>
      <c r="Q3171" t="s">
        <v>42</v>
      </c>
      <c r="R3171" t="str">
        <f>"0580470"</f>
        <v>0580470</v>
      </c>
      <c r="S3171" t="s">
        <v>175</v>
      </c>
      <c r="T3171" t="s">
        <v>157</v>
      </c>
      <c r="U3171" t="s">
        <v>158</v>
      </c>
      <c r="V3171" t="s">
        <v>131</v>
      </c>
      <c r="W3171" t="s">
        <v>165</v>
      </c>
      <c r="X3171" t="s">
        <v>45</v>
      </c>
      <c r="Y3171" s="1">
        <v>26067</v>
      </c>
      <c r="Z3171">
        <v>2</v>
      </c>
      <c r="AA3171" t="s">
        <v>158</v>
      </c>
      <c r="AB3171" s="40" t="s">
        <v>1799</v>
      </c>
    </row>
    <row r="3172" spans="1:28" x14ac:dyDescent="0.25">
      <c r="A3172">
        <v>99913171</v>
      </c>
      <c r="B3172" t="s">
        <v>32</v>
      </c>
      <c r="C3172" t="s">
        <v>64</v>
      </c>
      <c r="D3172" t="s">
        <v>65</v>
      </c>
      <c r="G3172" t="s">
        <v>48</v>
      </c>
      <c r="H3172">
        <v>10</v>
      </c>
      <c r="I3172" t="s">
        <v>203</v>
      </c>
      <c r="J3172" s="1">
        <v>36404</v>
      </c>
      <c r="K3172" t="s">
        <v>157</v>
      </c>
      <c r="L3172" t="s">
        <v>158</v>
      </c>
      <c r="M3172" t="s">
        <v>131</v>
      </c>
      <c r="N3172">
        <v>21</v>
      </c>
      <c r="O3172" s="1">
        <v>36404</v>
      </c>
      <c r="P3172" t="s">
        <v>41</v>
      </c>
      <c r="Q3172" t="s">
        <v>49</v>
      </c>
      <c r="R3172" t="str">
        <f>"0560010"</f>
        <v>0560010</v>
      </c>
      <c r="S3172" t="s">
        <v>179</v>
      </c>
      <c r="T3172" t="s">
        <v>157</v>
      </c>
      <c r="U3172" t="s">
        <v>158</v>
      </c>
      <c r="V3172" t="s">
        <v>131</v>
      </c>
      <c r="W3172" t="s">
        <v>51</v>
      </c>
      <c r="X3172" t="s">
        <v>45</v>
      </c>
      <c r="Y3172" s="1">
        <v>26047</v>
      </c>
      <c r="Z3172">
        <v>2</v>
      </c>
      <c r="AA3172" t="s">
        <v>158</v>
      </c>
      <c r="AB3172" s="40" t="s">
        <v>1799</v>
      </c>
    </row>
    <row r="3173" spans="1:28" x14ac:dyDescent="0.25">
      <c r="A3173">
        <v>99913172</v>
      </c>
      <c r="B3173" t="s">
        <v>32</v>
      </c>
      <c r="C3173" t="s">
        <v>64</v>
      </c>
      <c r="D3173" t="s">
        <v>65</v>
      </c>
      <c r="G3173" t="s">
        <v>48</v>
      </c>
      <c r="H3173">
        <v>1</v>
      </c>
      <c r="K3173" t="s">
        <v>300</v>
      </c>
      <c r="L3173" t="s">
        <v>301</v>
      </c>
      <c r="M3173" t="s">
        <v>131</v>
      </c>
      <c r="N3173">
        <v>21</v>
      </c>
      <c r="P3173" t="s">
        <v>41</v>
      </c>
      <c r="Q3173" t="s">
        <v>49</v>
      </c>
      <c r="R3173" t="str">
        <f>"0560001"</f>
        <v>0560001</v>
      </c>
      <c r="S3173" t="s">
        <v>304</v>
      </c>
      <c r="T3173" t="s">
        <v>300</v>
      </c>
      <c r="U3173" t="s">
        <v>301</v>
      </c>
      <c r="V3173" t="s">
        <v>131</v>
      </c>
      <c r="W3173" t="s">
        <v>51</v>
      </c>
      <c r="X3173" t="s">
        <v>45</v>
      </c>
      <c r="Y3173" s="1">
        <v>26040</v>
      </c>
      <c r="Z3173">
        <v>2</v>
      </c>
      <c r="AA3173" t="s">
        <v>301</v>
      </c>
      <c r="AB3173" s="40" t="s">
        <v>1799</v>
      </c>
    </row>
    <row r="3174" spans="1:28" x14ac:dyDescent="0.25">
      <c r="A3174">
        <v>99913173</v>
      </c>
      <c r="B3174" t="s">
        <v>32</v>
      </c>
      <c r="C3174" t="s">
        <v>46</v>
      </c>
      <c r="D3174" t="s">
        <v>47</v>
      </c>
      <c r="G3174" t="s">
        <v>48</v>
      </c>
      <c r="H3174">
        <v>1</v>
      </c>
      <c r="K3174" t="s">
        <v>300</v>
      </c>
      <c r="L3174" t="s">
        <v>301</v>
      </c>
      <c r="M3174" t="s">
        <v>131</v>
      </c>
      <c r="N3174">
        <v>21</v>
      </c>
      <c r="P3174" t="s">
        <v>41</v>
      </c>
      <c r="Q3174" t="s">
        <v>42</v>
      </c>
      <c r="R3174" t="str">
        <f>"0580176"</f>
        <v>0580176</v>
      </c>
      <c r="S3174" t="s">
        <v>305</v>
      </c>
      <c r="T3174" t="s">
        <v>300</v>
      </c>
      <c r="U3174" t="s">
        <v>301</v>
      </c>
      <c r="V3174" t="s">
        <v>131</v>
      </c>
      <c r="W3174" t="s">
        <v>51</v>
      </c>
      <c r="X3174" t="s">
        <v>45</v>
      </c>
      <c r="Y3174" s="1">
        <v>26035</v>
      </c>
      <c r="Z3174">
        <v>2</v>
      </c>
      <c r="AA3174" t="s">
        <v>301</v>
      </c>
      <c r="AB3174" s="40" t="s">
        <v>1799</v>
      </c>
    </row>
    <row r="3175" spans="1:28" x14ac:dyDescent="0.25">
      <c r="A3175">
        <v>99913174</v>
      </c>
      <c r="B3175" t="s">
        <v>32</v>
      </c>
      <c r="C3175" t="s">
        <v>111</v>
      </c>
      <c r="D3175" t="s">
        <v>112</v>
      </c>
      <c r="G3175" t="s">
        <v>35</v>
      </c>
      <c r="H3175">
        <v>1</v>
      </c>
      <c r="I3175">
        <v>15199</v>
      </c>
      <c r="J3175" s="1">
        <v>43344</v>
      </c>
      <c r="K3175" t="s">
        <v>877</v>
      </c>
      <c r="L3175" t="s">
        <v>878</v>
      </c>
      <c r="M3175" t="s">
        <v>131</v>
      </c>
      <c r="N3175">
        <v>21</v>
      </c>
      <c r="O3175" s="1">
        <v>43344</v>
      </c>
      <c r="P3175" t="s">
        <v>41</v>
      </c>
      <c r="Q3175" t="s">
        <v>75</v>
      </c>
      <c r="R3175" t="str">
        <f>"7541024"</f>
        <v>7541024</v>
      </c>
      <c r="S3175" t="s">
        <v>885</v>
      </c>
      <c r="T3175" t="s">
        <v>877</v>
      </c>
      <c r="U3175" t="s">
        <v>878</v>
      </c>
      <c r="V3175" t="s">
        <v>131</v>
      </c>
      <c r="W3175" t="s">
        <v>51</v>
      </c>
      <c r="X3175" t="s">
        <v>45</v>
      </c>
      <c r="Y3175" s="1">
        <v>25952</v>
      </c>
      <c r="Z3175">
        <v>1</v>
      </c>
      <c r="AA3175" t="s">
        <v>878</v>
      </c>
      <c r="AB3175" s="40" t="s">
        <v>1799</v>
      </c>
    </row>
    <row r="3176" spans="1:28" x14ac:dyDescent="0.25">
      <c r="A3176">
        <v>99913175</v>
      </c>
      <c r="B3176" t="s">
        <v>32</v>
      </c>
      <c r="C3176" t="s">
        <v>46</v>
      </c>
      <c r="D3176" t="s">
        <v>47</v>
      </c>
      <c r="G3176" t="s">
        <v>48</v>
      </c>
      <c r="H3176">
        <v>1</v>
      </c>
      <c r="K3176" t="s">
        <v>345</v>
      </c>
      <c r="L3176" t="s">
        <v>346</v>
      </c>
      <c r="M3176" t="s">
        <v>131</v>
      </c>
      <c r="N3176">
        <v>21</v>
      </c>
      <c r="P3176" t="s">
        <v>41</v>
      </c>
      <c r="Q3176" t="s">
        <v>42</v>
      </c>
      <c r="R3176" t="str">
        <f>"0590906"</f>
        <v>0590906</v>
      </c>
      <c r="S3176" t="s">
        <v>361</v>
      </c>
      <c r="T3176" t="s">
        <v>345</v>
      </c>
      <c r="U3176" t="s">
        <v>346</v>
      </c>
      <c r="V3176" t="s">
        <v>131</v>
      </c>
      <c r="W3176" t="s">
        <v>51</v>
      </c>
      <c r="X3176" t="s">
        <v>45</v>
      </c>
      <c r="Y3176" s="1">
        <v>25939</v>
      </c>
      <c r="Z3176">
        <v>2</v>
      </c>
      <c r="AA3176" t="s">
        <v>346</v>
      </c>
      <c r="AB3176" s="40" t="s">
        <v>1799</v>
      </c>
    </row>
    <row r="3177" spans="1:28" x14ac:dyDescent="0.25">
      <c r="A3177">
        <v>99913176</v>
      </c>
      <c r="B3177" t="s">
        <v>56</v>
      </c>
      <c r="C3177" t="s">
        <v>52</v>
      </c>
      <c r="D3177" t="s">
        <v>53</v>
      </c>
      <c r="G3177" t="s">
        <v>35</v>
      </c>
      <c r="H3177">
        <v>1</v>
      </c>
      <c r="I3177">
        <v>0</v>
      </c>
      <c r="J3177" s="1">
        <v>43344</v>
      </c>
      <c r="K3177" t="s">
        <v>223</v>
      </c>
      <c r="L3177" t="s">
        <v>224</v>
      </c>
      <c r="M3177" t="s">
        <v>131</v>
      </c>
      <c r="N3177">
        <v>21</v>
      </c>
      <c r="O3177" s="1">
        <v>43344</v>
      </c>
      <c r="P3177" t="s">
        <v>41</v>
      </c>
      <c r="Q3177" t="s">
        <v>42</v>
      </c>
      <c r="R3177" t="str">
        <f>"0580206"</f>
        <v>0580206</v>
      </c>
      <c r="S3177" t="s">
        <v>237</v>
      </c>
      <c r="T3177" t="s">
        <v>223</v>
      </c>
      <c r="U3177" t="s">
        <v>224</v>
      </c>
      <c r="V3177" t="s">
        <v>131</v>
      </c>
      <c r="W3177" t="s">
        <v>51</v>
      </c>
      <c r="X3177" t="s">
        <v>45</v>
      </c>
      <c r="Y3177" s="1">
        <v>25934</v>
      </c>
      <c r="Z3177">
        <v>2</v>
      </c>
      <c r="AA3177" t="s">
        <v>224</v>
      </c>
      <c r="AB3177" s="40" t="s">
        <v>1799</v>
      </c>
    </row>
    <row r="3178" spans="1:28" x14ac:dyDescent="0.25">
      <c r="A3178">
        <v>99913177</v>
      </c>
      <c r="B3178" t="s">
        <v>32</v>
      </c>
      <c r="C3178" t="s">
        <v>46</v>
      </c>
      <c r="D3178" t="s">
        <v>47</v>
      </c>
      <c r="G3178" t="s">
        <v>48</v>
      </c>
      <c r="H3178">
        <v>6</v>
      </c>
      <c r="K3178" t="s">
        <v>345</v>
      </c>
      <c r="L3178" t="s">
        <v>346</v>
      </c>
      <c r="M3178" t="s">
        <v>131</v>
      </c>
      <c r="N3178">
        <v>21</v>
      </c>
      <c r="P3178" t="s">
        <v>41</v>
      </c>
      <c r="Q3178" t="s">
        <v>42</v>
      </c>
      <c r="R3178" t="str">
        <f>"0590906"</f>
        <v>0590906</v>
      </c>
      <c r="S3178" t="s">
        <v>361</v>
      </c>
      <c r="T3178" t="s">
        <v>345</v>
      </c>
      <c r="U3178" t="s">
        <v>346</v>
      </c>
      <c r="V3178" t="s">
        <v>131</v>
      </c>
      <c r="W3178" t="s">
        <v>51</v>
      </c>
      <c r="X3178" t="s">
        <v>45</v>
      </c>
      <c r="Y3178" s="1">
        <v>25934</v>
      </c>
      <c r="Z3178">
        <v>2</v>
      </c>
      <c r="AA3178" t="s">
        <v>346</v>
      </c>
      <c r="AB3178" s="40" t="s">
        <v>1799</v>
      </c>
    </row>
    <row r="3179" spans="1:28" x14ac:dyDescent="0.25">
      <c r="A3179">
        <v>99913178</v>
      </c>
      <c r="B3179" t="s">
        <v>32</v>
      </c>
      <c r="C3179" t="s">
        <v>46</v>
      </c>
      <c r="D3179" t="s">
        <v>47</v>
      </c>
      <c r="G3179" t="s">
        <v>35</v>
      </c>
      <c r="H3179">
        <v>1</v>
      </c>
      <c r="I3179">
        <v>22882</v>
      </c>
      <c r="J3179" s="1">
        <v>43027</v>
      </c>
      <c r="K3179" t="s">
        <v>380</v>
      </c>
      <c r="L3179" t="s">
        <v>381</v>
      </c>
      <c r="M3179" t="s">
        <v>131</v>
      </c>
      <c r="N3179">
        <v>21</v>
      </c>
      <c r="O3179" s="1">
        <v>43027</v>
      </c>
      <c r="P3179" t="s">
        <v>41</v>
      </c>
      <c r="Q3179" t="s">
        <v>49</v>
      </c>
      <c r="R3179" t="str">
        <f>"0561020"</f>
        <v>0561020</v>
      </c>
      <c r="S3179" t="s">
        <v>390</v>
      </c>
      <c r="T3179" t="s">
        <v>380</v>
      </c>
      <c r="U3179" t="s">
        <v>381</v>
      </c>
      <c r="V3179" t="s">
        <v>131</v>
      </c>
      <c r="W3179" t="s">
        <v>44</v>
      </c>
      <c r="X3179" t="s">
        <v>45</v>
      </c>
      <c r="Y3179" s="1">
        <v>25934</v>
      </c>
      <c r="Z3179">
        <v>2</v>
      </c>
      <c r="AA3179" t="s">
        <v>381</v>
      </c>
      <c r="AB3179" s="40" t="s">
        <v>1799</v>
      </c>
    </row>
    <row r="3180" spans="1:28" x14ac:dyDescent="0.25">
      <c r="A3180">
        <v>99913179</v>
      </c>
      <c r="B3180" t="s">
        <v>32</v>
      </c>
      <c r="C3180" t="s">
        <v>46</v>
      </c>
      <c r="D3180" t="s">
        <v>47</v>
      </c>
      <c r="G3180" t="s">
        <v>48</v>
      </c>
      <c r="H3180">
        <v>1</v>
      </c>
      <c r="K3180" t="s">
        <v>1268</v>
      </c>
      <c r="L3180" t="s">
        <v>1269</v>
      </c>
      <c r="M3180" t="s">
        <v>1270</v>
      </c>
      <c r="N3180">
        <v>21</v>
      </c>
      <c r="P3180" t="s">
        <v>41</v>
      </c>
      <c r="Q3180" t="s">
        <v>42</v>
      </c>
      <c r="R3180" t="str">
        <f>"1980050"</f>
        <v>1980050</v>
      </c>
      <c r="S3180" t="s">
        <v>1278</v>
      </c>
      <c r="T3180" t="s">
        <v>1268</v>
      </c>
      <c r="U3180" t="s">
        <v>1269</v>
      </c>
      <c r="V3180" t="s">
        <v>1270</v>
      </c>
      <c r="W3180" t="s">
        <v>51</v>
      </c>
      <c r="X3180" t="s">
        <v>45</v>
      </c>
      <c r="Y3180" s="1">
        <v>25924</v>
      </c>
      <c r="Z3180">
        <v>2</v>
      </c>
      <c r="AA3180" t="s">
        <v>1269</v>
      </c>
      <c r="AB3180" s="40" t="s">
        <v>1799</v>
      </c>
    </row>
    <row r="3181" spans="1:28" x14ac:dyDescent="0.25">
      <c r="A3181">
        <v>99913180</v>
      </c>
      <c r="B3181" t="s">
        <v>56</v>
      </c>
      <c r="C3181" t="s">
        <v>68</v>
      </c>
      <c r="D3181" t="s">
        <v>69</v>
      </c>
      <c r="G3181" t="s">
        <v>48</v>
      </c>
      <c r="H3181">
        <v>1</v>
      </c>
      <c r="K3181" t="s">
        <v>1051</v>
      </c>
      <c r="L3181" t="s">
        <v>1052</v>
      </c>
      <c r="M3181" t="s">
        <v>1053</v>
      </c>
      <c r="N3181">
        <v>21</v>
      </c>
      <c r="P3181" t="s">
        <v>41</v>
      </c>
      <c r="Q3181" t="s">
        <v>49</v>
      </c>
      <c r="R3181" t="str">
        <f>"2080025"</f>
        <v>2080025</v>
      </c>
      <c r="S3181" t="s">
        <v>1057</v>
      </c>
      <c r="T3181" t="s">
        <v>1051</v>
      </c>
      <c r="U3181" t="s">
        <v>1052</v>
      </c>
      <c r="V3181" t="s">
        <v>1053</v>
      </c>
      <c r="W3181" t="s">
        <v>51</v>
      </c>
      <c r="X3181" t="s">
        <v>45</v>
      </c>
      <c r="Y3181" s="1">
        <v>25908</v>
      </c>
      <c r="Z3181">
        <v>2</v>
      </c>
      <c r="AA3181" t="s">
        <v>1052</v>
      </c>
      <c r="AB3181" s="40" t="s">
        <v>1799</v>
      </c>
    </row>
    <row r="3182" spans="1:28" x14ac:dyDescent="0.25">
      <c r="A3182">
        <v>99913181</v>
      </c>
      <c r="B3182" t="s">
        <v>32</v>
      </c>
      <c r="C3182" t="s">
        <v>111</v>
      </c>
      <c r="D3182" t="s">
        <v>112</v>
      </c>
      <c r="G3182" t="s">
        <v>48</v>
      </c>
      <c r="H3182">
        <v>10</v>
      </c>
      <c r="K3182" t="s">
        <v>195</v>
      </c>
      <c r="L3182" t="s">
        <v>196</v>
      </c>
      <c r="M3182" t="s">
        <v>131</v>
      </c>
      <c r="N3182">
        <v>21</v>
      </c>
      <c r="O3182" s="1">
        <v>38664</v>
      </c>
      <c r="P3182" t="s">
        <v>41</v>
      </c>
      <c r="Q3182" t="s">
        <v>75</v>
      </c>
      <c r="R3182" t="str">
        <f>"7521044"</f>
        <v>7521044</v>
      </c>
      <c r="S3182" t="s">
        <v>453</v>
      </c>
      <c r="T3182" t="s">
        <v>195</v>
      </c>
      <c r="U3182" t="s">
        <v>196</v>
      </c>
      <c r="V3182" t="s">
        <v>131</v>
      </c>
      <c r="W3182" t="s">
        <v>165</v>
      </c>
      <c r="X3182" t="s">
        <v>45</v>
      </c>
      <c r="Y3182" s="1">
        <v>25880</v>
      </c>
      <c r="Z3182">
        <v>1</v>
      </c>
      <c r="AA3182" t="s">
        <v>196</v>
      </c>
      <c r="AB3182" s="40" t="s">
        <v>1799</v>
      </c>
    </row>
    <row r="3183" spans="1:28" x14ac:dyDescent="0.25">
      <c r="A3183">
        <v>99913182</v>
      </c>
      <c r="B3183" t="s">
        <v>56</v>
      </c>
      <c r="C3183" t="s">
        <v>111</v>
      </c>
      <c r="D3183" t="s">
        <v>112</v>
      </c>
      <c r="G3183" t="s">
        <v>48</v>
      </c>
      <c r="H3183">
        <v>12</v>
      </c>
      <c r="J3183" s="1">
        <v>43344</v>
      </c>
      <c r="K3183" t="s">
        <v>354</v>
      </c>
      <c r="L3183" t="s">
        <v>355</v>
      </c>
      <c r="M3183" t="s">
        <v>131</v>
      </c>
      <c r="N3183">
        <v>21</v>
      </c>
      <c r="O3183" s="1">
        <v>43344</v>
      </c>
      <c r="P3183" t="s">
        <v>41</v>
      </c>
      <c r="Q3183" t="s">
        <v>75</v>
      </c>
      <c r="R3183" t="str">
        <f>"7054022"</f>
        <v>7054022</v>
      </c>
      <c r="S3183" t="s">
        <v>770</v>
      </c>
      <c r="T3183" t="s">
        <v>354</v>
      </c>
      <c r="U3183" t="s">
        <v>355</v>
      </c>
      <c r="V3183" t="s">
        <v>131</v>
      </c>
      <c r="W3183" t="s">
        <v>51</v>
      </c>
      <c r="X3183" t="s">
        <v>45</v>
      </c>
      <c r="Y3183" s="1">
        <v>25880</v>
      </c>
      <c r="Z3183">
        <v>1</v>
      </c>
      <c r="AA3183" t="s">
        <v>355</v>
      </c>
      <c r="AB3183" s="40" t="s">
        <v>1799</v>
      </c>
    </row>
    <row r="3184" spans="1:28" x14ac:dyDescent="0.25">
      <c r="A3184">
        <v>99913183</v>
      </c>
      <c r="B3184" t="s">
        <v>56</v>
      </c>
      <c r="C3184" t="s">
        <v>46</v>
      </c>
      <c r="D3184" t="s">
        <v>47</v>
      </c>
      <c r="G3184" t="s">
        <v>48</v>
      </c>
      <c r="H3184">
        <v>1</v>
      </c>
      <c r="K3184" t="s">
        <v>1051</v>
      </c>
      <c r="L3184" t="s">
        <v>1052</v>
      </c>
      <c r="M3184" t="s">
        <v>1053</v>
      </c>
      <c r="N3184">
        <v>21</v>
      </c>
      <c r="P3184" t="s">
        <v>41</v>
      </c>
      <c r="Q3184" t="s">
        <v>49</v>
      </c>
      <c r="R3184" t="str">
        <f>"2080025"</f>
        <v>2080025</v>
      </c>
      <c r="S3184" t="s">
        <v>1057</v>
      </c>
      <c r="T3184" t="s">
        <v>1051</v>
      </c>
      <c r="U3184" t="s">
        <v>1052</v>
      </c>
      <c r="V3184" t="s">
        <v>1053</v>
      </c>
      <c r="W3184" t="s">
        <v>51</v>
      </c>
      <c r="X3184" t="s">
        <v>45</v>
      </c>
      <c r="Y3184" s="1">
        <v>25879</v>
      </c>
      <c r="Z3184">
        <v>2</v>
      </c>
      <c r="AA3184" t="s">
        <v>1052</v>
      </c>
      <c r="AB3184" s="40" t="s">
        <v>1799</v>
      </c>
    </row>
    <row r="3185" spans="1:28" x14ac:dyDescent="0.25">
      <c r="A3185">
        <v>99913184</v>
      </c>
      <c r="B3185" t="s">
        <v>32</v>
      </c>
      <c r="C3185" t="s">
        <v>68</v>
      </c>
      <c r="D3185" t="s">
        <v>69</v>
      </c>
      <c r="G3185" t="s">
        <v>48</v>
      </c>
      <c r="H3185">
        <v>1</v>
      </c>
      <c r="K3185" t="s">
        <v>223</v>
      </c>
      <c r="L3185" t="s">
        <v>224</v>
      </c>
      <c r="M3185" t="s">
        <v>131</v>
      </c>
      <c r="N3185">
        <v>21</v>
      </c>
      <c r="P3185" t="s">
        <v>41</v>
      </c>
      <c r="Q3185" t="s">
        <v>49</v>
      </c>
      <c r="R3185" t="str">
        <f>"0591910"</f>
        <v>0591910</v>
      </c>
      <c r="S3185" t="s">
        <v>228</v>
      </c>
      <c r="T3185" t="s">
        <v>223</v>
      </c>
      <c r="U3185" t="s">
        <v>224</v>
      </c>
      <c r="V3185" t="s">
        <v>131</v>
      </c>
      <c r="W3185" t="s">
        <v>51</v>
      </c>
      <c r="X3185" t="s">
        <v>45</v>
      </c>
      <c r="Y3185" s="1">
        <v>25874</v>
      </c>
      <c r="Z3185">
        <v>2</v>
      </c>
      <c r="AA3185" t="s">
        <v>224</v>
      </c>
      <c r="AB3185" s="40" t="s">
        <v>1799</v>
      </c>
    </row>
    <row r="3186" spans="1:28" x14ac:dyDescent="0.25">
      <c r="A3186">
        <v>99913185</v>
      </c>
      <c r="B3186" t="s">
        <v>32</v>
      </c>
      <c r="C3186" t="s">
        <v>111</v>
      </c>
      <c r="D3186" t="s">
        <v>112</v>
      </c>
      <c r="G3186" t="s">
        <v>48</v>
      </c>
      <c r="H3186">
        <v>1</v>
      </c>
      <c r="K3186" t="s">
        <v>1341</v>
      </c>
      <c r="L3186" t="s">
        <v>1342</v>
      </c>
      <c r="M3186" t="s">
        <v>1270</v>
      </c>
      <c r="N3186">
        <v>21</v>
      </c>
      <c r="P3186" t="s">
        <v>41</v>
      </c>
      <c r="Q3186" t="s">
        <v>75</v>
      </c>
      <c r="R3186" t="str">
        <f>"7191016"</f>
        <v>7191016</v>
      </c>
      <c r="S3186" t="s">
        <v>1403</v>
      </c>
      <c r="T3186" t="s">
        <v>1341</v>
      </c>
      <c r="U3186" t="s">
        <v>1342</v>
      </c>
      <c r="V3186" t="s">
        <v>1270</v>
      </c>
      <c r="W3186" t="s">
        <v>51</v>
      </c>
      <c r="X3186" t="s">
        <v>45</v>
      </c>
      <c r="Y3186" s="1">
        <v>25872</v>
      </c>
      <c r="Z3186">
        <v>1</v>
      </c>
      <c r="AA3186" t="s">
        <v>1342</v>
      </c>
      <c r="AB3186" s="40" t="s">
        <v>1799</v>
      </c>
    </row>
    <row r="3187" spans="1:28" x14ac:dyDescent="0.25">
      <c r="A3187">
        <v>99913186</v>
      </c>
      <c r="B3187" t="s">
        <v>32</v>
      </c>
      <c r="C3187" t="s">
        <v>111</v>
      </c>
      <c r="D3187" t="s">
        <v>112</v>
      </c>
      <c r="G3187" t="s">
        <v>35</v>
      </c>
      <c r="H3187">
        <v>1</v>
      </c>
      <c r="K3187" t="s">
        <v>1581</v>
      </c>
      <c r="L3187" t="s">
        <v>1582</v>
      </c>
      <c r="M3187" t="s">
        <v>1548</v>
      </c>
      <c r="N3187">
        <v>21</v>
      </c>
      <c r="P3187" t="s">
        <v>41</v>
      </c>
      <c r="Q3187" t="s">
        <v>75</v>
      </c>
      <c r="R3187" t="str">
        <f>"7291002"</f>
        <v>7291002</v>
      </c>
      <c r="S3187" t="s">
        <v>1583</v>
      </c>
      <c r="T3187" t="s">
        <v>1581</v>
      </c>
      <c r="U3187" t="s">
        <v>1582</v>
      </c>
      <c r="V3187" t="s">
        <v>1548</v>
      </c>
      <c r="W3187" t="s">
        <v>51</v>
      </c>
      <c r="X3187" t="s">
        <v>45</v>
      </c>
      <c r="Y3187" s="1">
        <v>25871</v>
      </c>
      <c r="Z3187">
        <v>1</v>
      </c>
      <c r="AA3187" t="s">
        <v>1582</v>
      </c>
      <c r="AB3187" s="40" t="s">
        <v>1799</v>
      </c>
    </row>
    <row r="3188" spans="1:28" x14ac:dyDescent="0.25">
      <c r="A3188">
        <v>99913187</v>
      </c>
      <c r="B3188" t="s">
        <v>32</v>
      </c>
      <c r="C3188" t="s">
        <v>111</v>
      </c>
      <c r="D3188" t="s">
        <v>112</v>
      </c>
      <c r="G3188" t="s">
        <v>35</v>
      </c>
      <c r="H3188">
        <v>1</v>
      </c>
      <c r="K3188" t="s">
        <v>268</v>
      </c>
      <c r="L3188" t="s">
        <v>269</v>
      </c>
      <c r="M3188" t="s">
        <v>131</v>
      </c>
      <c r="N3188">
        <v>21</v>
      </c>
      <c r="P3188" t="s">
        <v>41</v>
      </c>
      <c r="Q3188" t="s">
        <v>75</v>
      </c>
      <c r="R3188" t="str">
        <f>"7052008"</f>
        <v>7052008</v>
      </c>
      <c r="S3188" t="s">
        <v>274</v>
      </c>
      <c r="T3188" t="s">
        <v>268</v>
      </c>
      <c r="U3188" t="s">
        <v>269</v>
      </c>
      <c r="V3188" t="s">
        <v>131</v>
      </c>
      <c r="W3188" t="s">
        <v>51</v>
      </c>
      <c r="X3188" t="s">
        <v>45</v>
      </c>
      <c r="Y3188" s="1">
        <v>25865</v>
      </c>
      <c r="Z3188">
        <v>1</v>
      </c>
      <c r="AA3188" t="s">
        <v>269</v>
      </c>
      <c r="AB3188" s="40" t="s">
        <v>1799</v>
      </c>
    </row>
    <row r="3189" spans="1:28" x14ac:dyDescent="0.25">
      <c r="A3189">
        <v>99913188</v>
      </c>
      <c r="B3189" t="s">
        <v>32</v>
      </c>
      <c r="C3189" t="s">
        <v>139</v>
      </c>
      <c r="D3189" t="s">
        <v>140</v>
      </c>
      <c r="G3189" t="s">
        <v>48</v>
      </c>
      <c r="H3189">
        <v>10</v>
      </c>
      <c r="K3189" t="s">
        <v>1221</v>
      </c>
      <c r="L3189" t="s">
        <v>1222</v>
      </c>
      <c r="M3189" t="s">
        <v>1130</v>
      </c>
      <c r="N3189">
        <v>21</v>
      </c>
      <c r="P3189" t="s">
        <v>41</v>
      </c>
      <c r="Q3189" t="s">
        <v>75</v>
      </c>
      <c r="R3189" t="str">
        <f>"7351000"</f>
        <v>7351000</v>
      </c>
      <c r="S3189" t="s">
        <v>1223</v>
      </c>
      <c r="T3189" t="s">
        <v>1221</v>
      </c>
      <c r="U3189" t="s">
        <v>1222</v>
      </c>
      <c r="V3189" t="s">
        <v>1130</v>
      </c>
      <c r="W3189" t="s">
        <v>51</v>
      </c>
      <c r="X3189" t="s">
        <v>45</v>
      </c>
      <c r="Y3189" s="1">
        <v>25863</v>
      </c>
      <c r="Z3189">
        <v>1</v>
      </c>
      <c r="AA3189" t="s">
        <v>1222</v>
      </c>
      <c r="AB3189" s="40" t="s">
        <v>1799</v>
      </c>
    </row>
    <row r="3190" spans="1:28" x14ac:dyDescent="0.25">
      <c r="A3190">
        <v>99913189</v>
      </c>
      <c r="B3190" t="s">
        <v>32</v>
      </c>
      <c r="C3190" t="s">
        <v>111</v>
      </c>
      <c r="D3190" t="s">
        <v>112</v>
      </c>
      <c r="G3190" t="s">
        <v>35</v>
      </c>
      <c r="H3190">
        <v>1</v>
      </c>
      <c r="K3190" t="s">
        <v>877</v>
      </c>
      <c r="L3190" t="s">
        <v>878</v>
      </c>
      <c r="M3190" t="s">
        <v>131</v>
      </c>
      <c r="N3190">
        <v>21</v>
      </c>
      <c r="P3190" t="s">
        <v>41</v>
      </c>
      <c r="Q3190" t="s">
        <v>75</v>
      </c>
      <c r="R3190" t="str">
        <f>"7700025"</f>
        <v>7700025</v>
      </c>
      <c r="S3190" t="s">
        <v>880</v>
      </c>
      <c r="T3190" t="s">
        <v>877</v>
      </c>
      <c r="U3190" t="s">
        <v>878</v>
      </c>
      <c r="V3190" t="s">
        <v>131</v>
      </c>
      <c r="W3190" t="s">
        <v>51</v>
      </c>
      <c r="X3190" t="s">
        <v>45</v>
      </c>
      <c r="Y3190" s="1">
        <v>25855</v>
      </c>
      <c r="Z3190">
        <v>1</v>
      </c>
      <c r="AA3190" t="s">
        <v>878</v>
      </c>
      <c r="AB3190" s="40" t="s">
        <v>1799</v>
      </c>
    </row>
    <row r="3191" spans="1:28" x14ac:dyDescent="0.25">
      <c r="A3191">
        <v>99913190</v>
      </c>
      <c r="B3191" t="s">
        <v>32</v>
      </c>
      <c r="C3191" t="s">
        <v>79</v>
      </c>
      <c r="D3191" t="s">
        <v>80</v>
      </c>
      <c r="G3191" t="s">
        <v>35</v>
      </c>
      <c r="H3191">
        <v>10</v>
      </c>
      <c r="K3191" t="s">
        <v>268</v>
      </c>
      <c r="L3191" t="s">
        <v>269</v>
      </c>
      <c r="M3191" t="s">
        <v>131</v>
      </c>
      <c r="N3191">
        <v>21</v>
      </c>
      <c r="P3191" t="s">
        <v>41</v>
      </c>
      <c r="Q3191" t="s">
        <v>75</v>
      </c>
      <c r="R3191" t="str">
        <f>"7052006"</f>
        <v>7052006</v>
      </c>
      <c r="S3191" t="s">
        <v>575</v>
      </c>
      <c r="T3191" t="s">
        <v>268</v>
      </c>
      <c r="U3191" t="s">
        <v>269</v>
      </c>
      <c r="V3191" t="s">
        <v>131</v>
      </c>
      <c r="W3191" t="s">
        <v>165</v>
      </c>
      <c r="X3191" t="s">
        <v>45</v>
      </c>
      <c r="Y3191" s="1">
        <v>25852</v>
      </c>
      <c r="Z3191">
        <v>1</v>
      </c>
      <c r="AA3191" t="s">
        <v>269</v>
      </c>
      <c r="AB3191" s="40" t="s">
        <v>1799</v>
      </c>
    </row>
    <row r="3192" spans="1:28" x14ac:dyDescent="0.25">
      <c r="A3192">
        <v>99913191</v>
      </c>
      <c r="B3192" t="s">
        <v>32</v>
      </c>
      <c r="C3192" t="s">
        <v>46</v>
      </c>
      <c r="D3192" t="s">
        <v>47</v>
      </c>
      <c r="G3192" t="s">
        <v>35</v>
      </c>
      <c r="H3192">
        <v>1</v>
      </c>
      <c r="I3192">
        <v>0</v>
      </c>
      <c r="J3192" s="1">
        <v>43344</v>
      </c>
      <c r="K3192" t="s">
        <v>223</v>
      </c>
      <c r="L3192" t="s">
        <v>224</v>
      </c>
      <c r="M3192" t="s">
        <v>131</v>
      </c>
      <c r="N3192">
        <v>21</v>
      </c>
      <c r="O3192" s="1">
        <v>43344</v>
      </c>
      <c r="P3192" t="s">
        <v>41</v>
      </c>
      <c r="Q3192" t="s">
        <v>42</v>
      </c>
      <c r="R3192" t="str">
        <f>"0580206"</f>
        <v>0580206</v>
      </c>
      <c r="S3192" t="s">
        <v>237</v>
      </c>
      <c r="T3192" t="s">
        <v>223</v>
      </c>
      <c r="U3192" t="s">
        <v>224</v>
      </c>
      <c r="V3192" t="s">
        <v>131</v>
      </c>
      <c r="W3192" t="s">
        <v>51</v>
      </c>
      <c r="X3192" t="s">
        <v>45</v>
      </c>
      <c r="Y3192" s="1">
        <v>25817</v>
      </c>
      <c r="Z3192">
        <v>2</v>
      </c>
      <c r="AA3192" t="s">
        <v>224</v>
      </c>
      <c r="AB3192" s="40" t="s">
        <v>1799</v>
      </c>
    </row>
    <row r="3193" spans="1:28" x14ac:dyDescent="0.25">
      <c r="A3193">
        <v>99913192</v>
      </c>
      <c r="B3193" t="s">
        <v>32</v>
      </c>
      <c r="C3193" t="s">
        <v>79</v>
      </c>
      <c r="D3193" t="s">
        <v>80</v>
      </c>
      <c r="G3193" t="s">
        <v>48</v>
      </c>
      <c r="H3193">
        <v>1</v>
      </c>
      <c r="K3193" t="s">
        <v>223</v>
      </c>
      <c r="L3193" t="s">
        <v>224</v>
      </c>
      <c r="M3193" t="s">
        <v>131</v>
      </c>
      <c r="N3193">
        <v>21</v>
      </c>
      <c r="P3193" t="s">
        <v>41</v>
      </c>
      <c r="Q3193" t="s">
        <v>49</v>
      </c>
      <c r="R3193" t="str">
        <f>"0581206"</f>
        <v>0581206</v>
      </c>
      <c r="S3193" t="s">
        <v>232</v>
      </c>
      <c r="T3193" t="s">
        <v>223</v>
      </c>
      <c r="U3193" t="s">
        <v>224</v>
      </c>
      <c r="V3193" t="s">
        <v>131</v>
      </c>
      <c r="W3193" t="s">
        <v>51</v>
      </c>
      <c r="X3193" t="s">
        <v>45</v>
      </c>
      <c r="Y3193" s="1">
        <v>25748</v>
      </c>
      <c r="Z3193">
        <v>2</v>
      </c>
      <c r="AA3193" t="s">
        <v>224</v>
      </c>
      <c r="AB3193" s="40" t="s">
        <v>1799</v>
      </c>
    </row>
    <row r="3194" spans="1:28" x14ac:dyDescent="0.25">
      <c r="A3194">
        <v>99913193</v>
      </c>
      <c r="B3194" t="s">
        <v>32</v>
      </c>
      <c r="C3194" t="s">
        <v>111</v>
      </c>
      <c r="D3194" t="s">
        <v>112</v>
      </c>
      <c r="G3194" t="s">
        <v>48</v>
      </c>
      <c r="H3194">
        <v>11</v>
      </c>
      <c r="K3194" t="s">
        <v>195</v>
      </c>
      <c r="L3194" t="s">
        <v>196</v>
      </c>
      <c r="M3194" t="s">
        <v>131</v>
      </c>
      <c r="N3194">
        <v>21</v>
      </c>
      <c r="O3194" s="1">
        <v>38280</v>
      </c>
      <c r="P3194" t="s">
        <v>41</v>
      </c>
      <c r="Q3194" t="s">
        <v>75</v>
      </c>
      <c r="R3194" t="str">
        <f>"7521044"</f>
        <v>7521044</v>
      </c>
      <c r="S3194" t="s">
        <v>453</v>
      </c>
      <c r="T3194" t="s">
        <v>195</v>
      </c>
      <c r="U3194" t="s">
        <v>196</v>
      </c>
      <c r="V3194" t="s">
        <v>131</v>
      </c>
      <c r="W3194" t="s">
        <v>165</v>
      </c>
      <c r="X3194" t="s">
        <v>45</v>
      </c>
      <c r="Y3194" s="1">
        <v>25747</v>
      </c>
      <c r="Z3194">
        <v>1</v>
      </c>
      <c r="AA3194" t="s">
        <v>196</v>
      </c>
      <c r="AB3194" s="40" t="s">
        <v>1799</v>
      </c>
    </row>
    <row r="3195" spans="1:28" x14ac:dyDescent="0.25">
      <c r="A3195">
        <v>99913194</v>
      </c>
      <c r="B3195" t="s">
        <v>32</v>
      </c>
      <c r="C3195" t="s">
        <v>46</v>
      </c>
      <c r="D3195" t="s">
        <v>47</v>
      </c>
      <c r="G3195" t="s">
        <v>48</v>
      </c>
      <c r="H3195">
        <v>1</v>
      </c>
      <c r="K3195" t="s">
        <v>345</v>
      </c>
      <c r="L3195" t="s">
        <v>346</v>
      </c>
      <c r="M3195" t="s">
        <v>131</v>
      </c>
      <c r="N3195">
        <v>21</v>
      </c>
      <c r="P3195" t="s">
        <v>41</v>
      </c>
      <c r="Q3195" t="s">
        <v>49</v>
      </c>
      <c r="R3195" t="str">
        <f>"0561021"</f>
        <v>0561021</v>
      </c>
      <c r="S3195" t="s">
        <v>352</v>
      </c>
      <c r="T3195" t="s">
        <v>345</v>
      </c>
      <c r="U3195" t="s">
        <v>346</v>
      </c>
      <c r="V3195" t="s">
        <v>131</v>
      </c>
      <c r="W3195" t="s">
        <v>51</v>
      </c>
      <c r="X3195" t="s">
        <v>45</v>
      </c>
      <c r="Y3195" s="1">
        <v>25737</v>
      </c>
      <c r="Z3195">
        <v>2</v>
      </c>
      <c r="AA3195" t="s">
        <v>346</v>
      </c>
      <c r="AB3195" s="40" t="s">
        <v>1799</v>
      </c>
    </row>
    <row r="3196" spans="1:28" x14ac:dyDescent="0.25">
      <c r="A3196">
        <v>99913195</v>
      </c>
      <c r="B3196" t="s">
        <v>32</v>
      </c>
      <c r="C3196" t="s">
        <v>143</v>
      </c>
      <c r="D3196" t="s">
        <v>144</v>
      </c>
      <c r="G3196" t="s">
        <v>48</v>
      </c>
      <c r="H3196">
        <v>1</v>
      </c>
      <c r="K3196" t="s">
        <v>223</v>
      </c>
      <c r="L3196" t="s">
        <v>224</v>
      </c>
      <c r="M3196" t="s">
        <v>131</v>
      </c>
      <c r="N3196">
        <v>21</v>
      </c>
      <c r="P3196" t="s">
        <v>41</v>
      </c>
      <c r="Q3196" t="s">
        <v>49</v>
      </c>
      <c r="R3196" t="str">
        <f>"0581207"</f>
        <v>0581207</v>
      </c>
      <c r="S3196" t="s">
        <v>233</v>
      </c>
      <c r="T3196" t="s">
        <v>223</v>
      </c>
      <c r="U3196" t="s">
        <v>224</v>
      </c>
      <c r="V3196" t="s">
        <v>131</v>
      </c>
      <c r="W3196" t="s">
        <v>51</v>
      </c>
      <c r="X3196" t="s">
        <v>45</v>
      </c>
      <c r="Y3196" s="1">
        <v>25735</v>
      </c>
      <c r="Z3196">
        <v>2</v>
      </c>
      <c r="AA3196" t="s">
        <v>224</v>
      </c>
      <c r="AB3196" s="40" t="s">
        <v>1799</v>
      </c>
    </row>
    <row r="3197" spans="1:28" x14ac:dyDescent="0.25">
      <c r="A3197">
        <v>99913196</v>
      </c>
      <c r="B3197" t="s">
        <v>56</v>
      </c>
      <c r="C3197" t="s">
        <v>68</v>
      </c>
      <c r="D3197" t="s">
        <v>69</v>
      </c>
      <c r="G3197" t="s">
        <v>48</v>
      </c>
      <c r="H3197">
        <v>1</v>
      </c>
      <c r="K3197" t="s">
        <v>157</v>
      </c>
      <c r="L3197" t="s">
        <v>158</v>
      </c>
      <c r="M3197" t="s">
        <v>131</v>
      </c>
      <c r="N3197">
        <v>21</v>
      </c>
      <c r="P3197" t="s">
        <v>41</v>
      </c>
      <c r="Q3197" t="s">
        <v>42</v>
      </c>
      <c r="R3197" t="str">
        <f>"0580735"</f>
        <v>0580735</v>
      </c>
      <c r="S3197" t="s">
        <v>180</v>
      </c>
      <c r="T3197" t="s">
        <v>157</v>
      </c>
      <c r="U3197" t="s">
        <v>158</v>
      </c>
      <c r="V3197" t="s">
        <v>131</v>
      </c>
      <c r="W3197" t="s">
        <v>51</v>
      </c>
      <c r="X3197" t="s">
        <v>45</v>
      </c>
      <c r="Y3197" s="1">
        <v>25725</v>
      </c>
      <c r="Z3197">
        <v>2</v>
      </c>
      <c r="AA3197" t="s">
        <v>158</v>
      </c>
      <c r="AB3197" s="40" t="s">
        <v>1799</v>
      </c>
    </row>
    <row r="3198" spans="1:28" x14ac:dyDescent="0.25">
      <c r="A3198">
        <v>99913197</v>
      </c>
      <c r="B3198" t="s">
        <v>32</v>
      </c>
      <c r="C3198" t="s">
        <v>46</v>
      </c>
      <c r="D3198" t="s">
        <v>47</v>
      </c>
      <c r="G3198" t="s">
        <v>88</v>
      </c>
      <c r="H3198">
        <v>1</v>
      </c>
      <c r="I3198" t="s">
        <v>1323</v>
      </c>
      <c r="K3198" t="s">
        <v>1306</v>
      </c>
      <c r="L3198" t="s">
        <v>1307</v>
      </c>
      <c r="M3198" t="s">
        <v>1270</v>
      </c>
      <c r="N3198">
        <v>21</v>
      </c>
      <c r="P3198" t="s">
        <v>41</v>
      </c>
      <c r="Q3198" t="s">
        <v>49</v>
      </c>
      <c r="R3198" t="str">
        <f>"1991913"</f>
        <v>1991913</v>
      </c>
      <c r="S3198" t="s">
        <v>1310</v>
      </c>
      <c r="T3198" t="s">
        <v>1306</v>
      </c>
      <c r="U3198" t="s">
        <v>1307</v>
      </c>
      <c r="V3198" t="s">
        <v>1270</v>
      </c>
      <c r="W3198" t="s">
        <v>51</v>
      </c>
      <c r="X3198" t="s">
        <v>45</v>
      </c>
      <c r="Y3198" s="1">
        <v>25720</v>
      </c>
      <c r="Z3198">
        <v>2</v>
      </c>
      <c r="AA3198" t="s">
        <v>1307</v>
      </c>
      <c r="AB3198" s="40" t="s">
        <v>1799</v>
      </c>
    </row>
    <row r="3199" spans="1:28" x14ac:dyDescent="0.25">
      <c r="A3199">
        <v>99913198</v>
      </c>
      <c r="B3199" t="s">
        <v>32</v>
      </c>
      <c r="C3199" t="s">
        <v>139</v>
      </c>
      <c r="D3199" t="s">
        <v>140</v>
      </c>
      <c r="G3199" t="s">
        <v>35</v>
      </c>
      <c r="H3199">
        <v>1</v>
      </c>
      <c r="I3199">
        <v>19020</v>
      </c>
      <c r="J3199" s="1">
        <v>43344</v>
      </c>
      <c r="K3199" t="s">
        <v>129</v>
      </c>
      <c r="L3199" t="s">
        <v>130</v>
      </c>
      <c r="M3199" t="s">
        <v>131</v>
      </c>
      <c r="N3199">
        <v>21</v>
      </c>
      <c r="O3199" s="1">
        <v>43344</v>
      </c>
      <c r="P3199" t="s">
        <v>41</v>
      </c>
      <c r="Q3199" t="s">
        <v>49</v>
      </c>
      <c r="R3199" t="str">
        <f>"0591905"</f>
        <v>0591905</v>
      </c>
      <c r="S3199" t="s">
        <v>135</v>
      </c>
      <c r="T3199" t="s">
        <v>129</v>
      </c>
      <c r="U3199" t="s">
        <v>130</v>
      </c>
      <c r="V3199" t="s">
        <v>131</v>
      </c>
      <c r="W3199" t="s">
        <v>51</v>
      </c>
      <c r="X3199" t="s">
        <v>45</v>
      </c>
      <c r="Y3199" s="1">
        <v>25712</v>
      </c>
      <c r="Z3199">
        <v>2</v>
      </c>
      <c r="AA3199" t="s">
        <v>130</v>
      </c>
      <c r="AB3199" s="40" t="s">
        <v>1799</v>
      </c>
    </row>
    <row r="3200" spans="1:28" x14ac:dyDescent="0.25">
      <c r="A3200">
        <v>99913199</v>
      </c>
      <c r="B3200" t="s">
        <v>32</v>
      </c>
      <c r="C3200" t="s">
        <v>64</v>
      </c>
      <c r="D3200" t="s">
        <v>65</v>
      </c>
      <c r="G3200" t="s">
        <v>48</v>
      </c>
      <c r="H3200">
        <v>11</v>
      </c>
      <c r="K3200" t="s">
        <v>354</v>
      </c>
      <c r="L3200" t="s">
        <v>355</v>
      </c>
      <c r="M3200" t="s">
        <v>131</v>
      </c>
      <c r="N3200">
        <v>21</v>
      </c>
      <c r="P3200" t="s">
        <v>41</v>
      </c>
      <c r="Q3200" t="s">
        <v>75</v>
      </c>
      <c r="R3200" t="str">
        <f>"7054022"</f>
        <v>7054022</v>
      </c>
      <c r="S3200" t="s">
        <v>770</v>
      </c>
      <c r="T3200" t="s">
        <v>354</v>
      </c>
      <c r="U3200" t="s">
        <v>355</v>
      </c>
      <c r="V3200" t="s">
        <v>131</v>
      </c>
      <c r="W3200" t="s">
        <v>51</v>
      </c>
      <c r="X3200" t="s">
        <v>45</v>
      </c>
      <c r="Y3200" s="1">
        <v>25708</v>
      </c>
      <c r="Z3200">
        <v>1</v>
      </c>
      <c r="AA3200" t="s">
        <v>355</v>
      </c>
      <c r="AB3200" s="40" t="s">
        <v>1799</v>
      </c>
    </row>
    <row r="3201" spans="1:28" x14ac:dyDescent="0.25">
      <c r="A3201">
        <v>99913200</v>
      </c>
      <c r="B3201" t="s">
        <v>32</v>
      </c>
      <c r="C3201" t="s">
        <v>111</v>
      </c>
      <c r="D3201" t="s">
        <v>112</v>
      </c>
      <c r="G3201" t="s">
        <v>48</v>
      </c>
      <c r="H3201">
        <v>1</v>
      </c>
      <c r="K3201" t="s">
        <v>268</v>
      </c>
      <c r="L3201" t="s">
        <v>269</v>
      </c>
      <c r="M3201" t="s">
        <v>131</v>
      </c>
      <c r="N3201">
        <v>21</v>
      </c>
      <c r="P3201" t="s">
        <v>41</v>
      </c>
      <c r="Q3201" t="s">
        <v>75</v>
      </c>
      <c r="R3201" t="str">
        <f>"7052028"</f>
        <v>7052028</v>
      </c>
      <c r="S3201" t="s">
        <v>601</v>
      </c>
      <c r="T3201" t="s">
        <v>268</v>
      </c>
      <c r="U3201" t="s">
        <v>269</v>
      </c>
      <c r="V3201" t="s">
        <v>131</v>
      </c>
      <c r="W3201" t="s">
        <v>51</v>
      </c>
      <c r="X3201" t="s">
        <v>45</v>
      </c>
      <c r="Y3201" s="1">
        <v>25706</v>
      </c>
      <c r="Z3201">
        <v>1</v>
      </c>
      <c r="AA3201" t="s">
        <v>269</v>
      </c>
      <c r="AB3201" s="40" t="s">
        <v>1799</v>
      </c>
    </row>
    <row r="3202" spans="1:28" x14ac:dyDescent="0.25">
      <c r="A3202">
        <v>99913201</v>
      </c>
      <c r="B3202" t="s">
        <v>32</v>
      </c>
      <c r="C3202" t="s">
        <v>46</v>
      </c>
      <c r="D3202" t="s">
        <v>47</v>
      </c>
      <c r="G3202" t="s">
        <v>35</v>
      </c>
      <c r="H3202">
        <v>1</v>
      </c>
      <c r="K3202" t="s">
        <v>223</v>
      </c>
      <c r="L3202" t="s">
        <v>224</v>
      </c>
      <c r="M3202" t="s">
        <v>131</v>
      </c>
      <c r="N3202">
        <v>21</v>
      </c>
      <c r="P3202" t="s">
        <v>41</v>
      </c>
      <c r="Q3202" t="s">
        <v>42</v>
      </c>
      <c r="R3202" t="str">
        <f>"0580396"</f>
        <v>0580396</v>
      </c>
      <c r="S3202" t="s">
        <v>255</v>
      </c>
      <c r="T3202" t="s">
        <v>223</v>
      </c>
      <c r="U3202" t="s">
        <v>224</v>
      </c>
      <c r="V3202" t="s">
        <v>131</v>
      </c>
      <c r="W3202" t="s">
        <v>51</v>
      </c>
      <c r="X3202" t="s">
        <v>45</v>
      </c>
      <c r="Y3202" s="1">
        <v>25703</v>
      </c>
      <c r="Z3202">
        <v>2</v>
      </c>
      <c r="AA3202" t="s">
        <v>224</v>
      </c>
      <c r="AB3202" s="40" t="s">
        <v>1799</v>
      </c>
    </row>
    <row r="3203" spans="1:28" x14ac:dyDescent="0.25">
      <c r="A3203">
        <v>99913202</v>
      </c>
      <c r="B3203" t="s">
        <v>32</v>
      </c>
      <c r="C3203" t="s">
        <v>111</v>
      </c>
      <c r="D3203" t="s">
        <v>112</v>
      </c>
      <c r="G3203" t="s">
        <v>48</v>
      </c>
      <c r="H3203">
        <v>1</v>
      </c>
      <c r="K3203" t="s">
        <v>154</v>
      </c>
      <c r="L3203" t="s">
        <v>355</v>
      </c>
      <c r="M3203" t="s">
        <v>131</v>
      </c>
      <c r="N3203">
        <v>21</v>
      </c>
      <c r="P3203" t="s">
        <v>41</v>
      </c>
      <c r="Q3203" t="s">
        <v>75</v>
      </c>
      <c r="R3203" t="str">
        <f>"7051022"</f>
        <v>7051022</v>
      </c>
      <c r="S3203" t="s">
        <v>153</v>
      </c>
      <c r="T3203" t="s">
        <v>154</v>
      </c>
      <c r="U3203" t="s">
        <v>155</v>
      </c>
      <c r="V3203" t="s">
        <v>131</v>
      </c>
      <c r="W3203" t="s">
        <v>51</v>
      </c>
      <c r="X3203" t="s">
        <v>45</v>
      </c>
      <c r="Y3203" s="1">
        <v>25703</v>
      </c>
      <c r="Z3203">
        <v>1</v>
      </c>
      <c r="AA3203" t="s">
        <v>355</v>
      </c>
      <c r="AB3203" s="40" t="s">
        <v>1799</v>
      </c>
    </row>
    <row r="3204" spans="1:28" x14ac:dyDescent="0.25">
      <c r="A3204">
        <v>99913203</v>
      </c>
      <c r="B3204" t="s">
        <v>32</v>
      </c>
      <c r="C3204" t="s">
        <v>46</v>
      </c>
      <c r="D3204" t="s">
        <v>47</v>
      </c>
      <c r="G3204" t="s">
        <v>35</v>
      </c>
      <c r="H3204">
        <v>1</v>
      </c>
      <c r="K3204" t="s">
        <v>1626</v>
      </c>
      <c r="L3204" t="s">
        <v>1627</v>
      </c>
      <c r="M3204" t="s">
        <v>1592</v>
      </c>
      <c r="N3204">
        <v>21</v>
      </c>
      <c r="P3204" t="s">
        <v>41</v>
      </c>
      <c r="Q3204" t="s">
        <v>42</v>
      </c>
      <c r="R3204" t="str">
        <f>"3680015"</f>
        <v>3680015</v>
      </c>
      <c r="S3204" t="s">
        <v>1628</v>
      </c>
      <c r="T3204" t="s">
        <v>1626</v>
      </c>
      <c r="U3204" t="s">
        <v>1627</v>
      </c>
      <c r="V3204" t="s">
        <v>1592</v>
      </c>
      <c r="W3204" t="s">
        <v>51</v>
      </c>
      <c r="X3204" t="s">
        <v>45</v>
      </c>
      <c r="Y3204" s="1">
        <v>25697</v>
      </c>
      <c r="Z3204">
        <v>2</v>
      </c>
      <c r="AA3204" t="s">
        <v>1627</v>
      </c>
      <c r="AB3204" s="40" t="s">
        <v>1799</v>
      </c>
    </row>
    <row r="3205" spans="1:28" x14ac:dyDescent="0.25">
      <c r="A3205">
        <v>99913204</v>
      </c>
      <c r="B3205" t="s">
        <v>32</v>
      </c>
      <c r="C3205" t="s">
        <v>90</v>
      </c>
      <c r="D3205" t="s">
        <v>91</v>
      </c>
      <c r="G3205" t="s">
        <v>48</v>
      </c>
      <c r="H3205">
        <v>1</v>
      </c>
      <c r="K3205" t="s">
        <v>268</v>
      </c>
      <c r="L3205" t="s">
        <v>269</v>
      </c>
      <c r="M3205" t="s">
        <v>131</v>
      </c>
      <c r="N3205">
        <v>21</v>
      </c>
      <c r="P3205" t="s">
        <v>41</v>
      </c>
      <c r="Q3205" t="s">
        <v>95</v>
      </c>
      <c r="R3205" t="str">
        <f>"7052001"</f>
        <v>7052001</v>
      </c>
      <c r="S3205" t="s">
        <v>576</v>
      </c>
      <c r="T3205" t="s">
        <v>268</v>
      </c>
      <c r="U3205" t="s">
        <v>269</v>
      </c>
      <c r="V3205" t="s">
        <v>131</v>
      </c>
      <c r="W3205" t="s">
        <v>165</v>
      </c>
      <c r="X3205" t="s">
        <v>45</v>
      </c>
      <c r="Y3205" s="1">
        <v>25655</v>
      </c>
      <c r="Z3205">
        <v>1</v>
      </c>
      <c r="AA3205" t="s">
        <v>269</v>
      </c>
      <c r="AB3205" s="40" t="s">
        <v>1799</v>
      </c>
    </row>
    <row r="3206" spans="1:28" x14ac:dyDescent="0.25">
      <c r="A3206">
        <v>99913205</v>
      </c>
      <c r="B3206" t="s">
        <v>32</v>
      </c>
      <c r="C3206" t="s">
        <v>111</v>
      </c>
      <c r="D3206" t="s">
        <v>112</v>
      </c>
      <c r="G3206" t="s">
        <v>35</v>
      </c>
      <c r="H3206">
        <v>1</v>
      </c>
      <c r="K3206" t="s">
        <v>1081</v>
      </c>
      <c r="L3206" t="s">
        <v>1082</v>
      </c>
      <c r="M3206" t="s">
        <v>1053</v>
      </c>
      <c r="N3206">
        <v>21</v>
      </c>
      <c r="P3206" t="s">
        <v>41</v>
      </c>
      <c r="Q3206" t="s">
        <v>75</v>
      </c>
      <c r="R3206" t="str">
        <f>"7201004"</f>
        <v>7201004</v>
      </c>
      <c r="S3206" t="s">
        <v>1100</v>
      </c>
      <c r="T3206" t="s">
        <v>1081</v>
      </c>
      <c r="U3206" t="s">
        <v>1082</v>
      </c>
      <c r="V3206" t="s">
        <v>1053</v>
      </c>
      <c r="W3206" t="s">
        <v>51</v>
      </c>
      <c r="X3206" t="s">
        <v>45</v>
      </c>
      <c r="Y3206" s="1">
        <v>25649</v>
      </c>
      <c r="Z3206">
        <v>1</v>
      </c>
      <c r="AA3206" t="s">
        <v>1082</v>
      </c>
      <c r="AB3206" s="40" t="s">
        <v>1799</v>
      </c>
    </row>
    <row r="3207" spans="1:28" x14ac:dyDescent="0.25">
      <c r="A3207">
        <v>99913206</v>
      </c>
      <c r="B3207" t="s">
        <v>32</v>
      </c>
      <c r="C3207" t="s">
        <v>64</v>
      </c>
      <c r="D3207" t="s">
        <v>65</v>
      </c>
      <c r="G3207" t="s">
        <v>35</v>
      </c>
      <c r="H3207">
        <v>12</v>
      </c>
      <c r="K3207" t="s">
        <v>268</v>
      </c>
      <c r="L3207" t="s">
        <v>269</v>
      </c>
      <c r="M3207" t="s">
        <v>131</v>
      </c>
      <c r="N3207">
        <v>21</v>
      </c>
      <c r="P3207" t="s">
        <v>41</v>
      </c>
      <c r="Q3207" t="s">
        <v>75</v>
      </c>
      <c r="R3207" t="str">
        <f>"7052004"</f>
        <v>7052004</v>
      </c>
      <c r="S3207" t="s">
        <v>584</v>
      </c>
      <c r="T3207" t="s">
        <v>268</v>
      </c>
      <c r="U3207" t="s">
        <v>269</v>
      </c>
      <c r="V3207" t="s">
        <v>131</v>
      </c>
      <c r="W3207" t="s">
        <v>51</v>
      </c>
      <c r="X3207" t="s">
        <v>45</v>
      </c>
      <c r="Y3207" s="1">
        <v>25648</v>
      </c>
      <c r="Z3207">
        <v>1</v>
      </c>
      <c r="AA3207" t="s">
        <v>269</v>
      </c>
      <c r="AB3207" s="40" t="s">
        <v>1799</v>
      </c>
    </row>
    <row r="3208" spans="1:28" x14ac:dyDescent="0.25">
      <c r="A3208">
        <v>99913207</v>
      </c>
      <c r="B3208" t="s">
        <v>32</v>
      </c>
      <c r="C3208" t="s">
        <v>64</v>
      </c>
      <c r="D3208" t="s">
        <v>65</v>
      </c>
      <c r="G3208" t="s">
        <v>48</v>
      </c>
      <c r="H3208">
        <v>12</v>
      </c>
      <c r="K3208" t="s">
        <v>195</v>
      </c>
      <c r="L3208" t="s">
        <v>196</v>
      </c>
      <c r="M3208" t="s">
        <v>131</v>
      </c>
      <c r="N3208">
        <v>21</v>
      </c>
      <c r="O3208" s="1">
        <v>39326</v>
      </c>
      <c r="P3208" t="s">
        <v>41</v>
      </c>
      <c r="Q3208" t="s">
        <v>75</v>
      </c>
      <c r="R3208" t="str">
        <f>"7521046"</f>
        <v>7521046</v>
      </c>
      <c r="S3208" t="s">
        <v>436</v>
      </c>
      <c r="T3208" t="s">
        <v>195</v>
      </c>
      <c r="U3208" t="s">
        <v>196</v>
      </c>
      <c r="V3208" t="s">
        <v>131</v>
      </c>
      <c r="W3208" t="s">
        <v>51</v>
      </c>
      <c r="X3208" t="s">
        <v>45</v>
      </c>
      <c r="Y3208" s="1">
        <v>25623</v>
      </c>
      <c r="Z3208">
        <v>1</v>
      </c>
      <c r="AA3208" t="s">
        <v>196</v>
      </c>
      <c r="AB3208" s="40" t="s">
        <v>1799</v>
      </c>
    </row>
    <row r="3209" spans="1:28" x14ac:dyDescent="0.25">
      <c r="A3209">
        <v>99913208</v>
      </c>
      <c r="B3209" t="s">
        <v>56</v>
      </c>
      <c r="C3209" t="s">
        <v>111</v>
      </c>
      <c r="D3209" t="s">
        <v>112</v>
      </c>
      <c r="G3209" t="s">
        <v>35</v>
      </c>
      <c r="H3209">
        <v>1</v>
      </c>
      <c r="K3209" t="s">
        <v>154</v>
      </c>
      <c r="L3209" t="s">
        <v>155</v>
      </c>
      <c r="M3209" t="s">
        <v>131</v>
      </c>
      <c r="N3209">
        <v>21</v>
      </c>
      <c r="P3209" t="s">
        <v>41</v>
      </c>
      <c r="Q3209" t="s">
        <v>75</v>
      </c>
      <c r="R3209" t="str">
        <f>"7700026"</f>
        <v>7700026</v>
      </c>
      <c r="S3209" t="s">
        <v>397</v>
      </c>
      <c r="T3209" t="s">
        <v>154</v>
      </c>
      <c r="U3209" t="s">
        <v>155</v>
      </c>
      <c r="V3209" t="s">
        <v>131</v>
      </c>
      <c r="W3209" t="s">
        <v>51</v>
      </c>
      <c r="X3209" t="s">
        <v>45</v>
      </c>
      <c r="Y3209" s="1">
        <v>25605</v>
      </c>
      <c r="Z3209">
        <v>1</v>
      </c>
      <c r="AA3209" t="s">
        <v>155</v>
      </c>
      <c r="AB3209" s="40" t="s">
        <v>1799</v>
      </c>
    </row>
    <row r="3210" spans="1:28" x14ac:dyDescent="0.25">
      <c r="A3210">
        <v>99913209</v>
      </c>
      <c r="B3210" t="s">
        <v>56</v>
      </c>
      <c r="C3210" t="s">
        <v>64</v>
      </c>
      <c r="D3210" t="s">
        <v>65</v>
      </c>
      <c r="G3210" t="s">
        <v>35</v>
      </c>
      <c r="H3210">
        <v>1</v>
      </c>
      <c r="K3210" t="s">
        <v>157</v>
      </c>
      <c r="L3210" t="s">
        <v>158</v>
      </c>
      <c r="M3210" t="s">
        <v>131</v>
      </c>
      <c r="N3210">
        <v>21</v>
      </c>
      <c r="P3210" t="s">
        <v>41</v>
      </c>
      <c r="Q3210" t="s">
        <v>49</v>
      </c>
      <c r="R3210" t="str">
        <f>"0581725"</f>
        <v>0581725</v>
      </c>
      <c r="S3210" t="s">
        <v>161</v>
      </c>
      <c r="T3210" t="s">
        <v>157</v>
      </c>
      <c r="U3210" t="s">
        <v>158</v>
      </c>
      <c r="V3210" t="s">
        <v>131</v>
      </c>
      <c r="W3210" t="s">
        <v>51</v>
      </c>
      <c r="X3210" t="s">
        <v>45</v>
      </c>
      <c r="Y3210" s="1">
        <v>25569</v>
      </c>
      <c r="Z3210">
        <v>2</v>
      </c>
      <c r="AA3210" t="s">
        <v>158</v>
      </c>
      <c r="AB3210" s="40" t="s">
        <v>1799</v>
      </c>
    </row>
    <row r="3211" spans="1:28" x14ac:dyDescent="0.25">
      <c r="A3211">
        <v>99913210</v>
      </c>
      <c r="B3211" t="s">
        <v>32</v>
      </c>
      <c r="C3211" t="s">
        <v>64</v>
      </c>
      <c r="D3211" t="s">
        <v>65</v>
      </c>
      <c r="G3211" t="s">
        <v>48</v>
      </c>
      <c r="H3211">
        <v>11</v>
      </c>
      <c r="K3211" t="s">
        <v>195</v>
      </c>
      <c r="L3211" t="s">
        <v>196</v>
      </c>
      <c r="M3211" t="s">
        <v>131</v>
      </c>
      <c r="N3211">
        <v>21</v>
      </c>
      <c r="O3211" s="1">
        <v>39326</v>
      </c>
      <c r="P3211" t="s">
        <v>41</v>
      </c>
      <c r="Q3211" t="s">
        <v>75</v>
      </c>
      <c r="R3211" t="str">
        <f>"7521042"</f>
        <v>7521042</v>
      </c>
      <c r="S3211" t="s">
        <v>440</v>
      </c>
      <c r="T3211" t="s">
        <v>195</v>
      </c>
      <c r="U3211" t="s">
        <v>196</v>
      </c>
      <c r="V3211" t="s">
        <v>131</v>
      </c>
      <c r="W3211" t="s">
        <v>51</v>
      </c>
      <c r="X3211" t="s">
        <v>45</v>
      </c>
      <c r="Y3211" s="1">
        <v>25569</v>
      </c>
      <c r="Z3211">
        <v>1</v>
      </c>
      <c r="AA3211" t="s">
        <v>196</v>
      </c>
      <c r="AB3211" s="40" t="s">
        <v>1799</v>
      </c>
    </row>
    <row r="3212" spans="1:28" x14ac:dyDescent="0.25">
      <c r="A3212">
        <v>99913211</v>
      </c>
      <c r="B3212" t="s">
        <v>32</v>
      </c>
      <c r="C3212" t="s">
        <v>64</v>
      </c>
      <c r="D3212" t="s">
        <v>65</v>
      </c>
      <c r="G3212" t="s">
        <v>48</v>
      </c>
      <c r="H3212">
        <v>12</v>
      </c>
      <c r="K3212" t="s">
        <v>195</v>
      </c>
      <c r="L3212" t="s">
        <v>196</v>
      </c>
      <c r="M3212" t="s">
        <v>131</v>
      </c>
      <c r="N3212">
        <v>21</v>
      </c>
      <c r="O3212" s="1">
        <v>37865</v>
      </c>
      <c r="P3212" t="s">
        <v>41</v>
      </c>
      <c r="Q3212" t="s">
        <v>75</v>
      </c>
      <c r="R3212" t="str">
        <f>"7521046"</f>
        <v>7521046</v>
      </c>
      <c r="S3212" t="s">
        <v>436</v>
      </c>
      <c r="T3212" t="s">
        <v>195</v>
      </c>
      <c r="U3212" t="s">
        <v>196</v>
      </c>
      <c r="V3212" t="s">
        <v>131</v>
      </c>
      <c r="W3212" t="s">
        <v>51</v>
      </c>
      <c r="X3212" t="s">
        <v>45</v>
      </c>
      <c r="Y3212" s="1">
        <v>25569</v>
      </c>
      <c r="Z3212">
        <v>1</v>
      </c>
      <c r="AA3212" t="s">
        <v>196</v>
      </c>
      <c r="AB3212" s="40" t="s">
        <v>1799</v>
      </c>
    </row>
    <row r="3213" spans="1:28" x14ac:dyDescent="0.25">
      <c r="A3213">
        <v>99913212</v>
      </c>
      <c r="B3213" t="s">
        <v>56</v>
      </c>
      <c r="C3213" t="s">
        <v>111</v>
      </c>
      <c r="D3213" t="s">
        <v>112</v>
      </c>
      <c r="G3213" t="s">
        <v>48</v>
      </c>
      <c r="H3213">
        <v>15</v>
      </c>
      <c r="K3213" t="s">
        <v>195</v>
      </c>
      <c r="L3213" t="s">
        <v>196</v>
      </c>
      <c r="M3213" t="s">
        <v>131</v>
      </c>
      <c r="N3213">
        <v>21</v>
      </c>
      <c r="O3213" s="1">
        <v>34124</v>
      </c>
      <c r="P3213" t="s">
        <v>41</v>
      </c>
      <c r="Q3213" t="s">
        <v>75</v>
      </c>
      <c r="R3213" t="str">
        <f>"7521046"</f>
        <v>7521046</v>
      </c>
      <c r="S3213" t="s">
        <v>436</v>
      </c>
      <c r="T3213" t="s">
        <v>195</v>
      </c>
      <c r="U3213" t="s">
        <v>196</v>
      </c>
      <c r="V3213" t="s">
        <v>131</v>
      </c>
      <c r="W3213" t="s">
        <v>165</v>
      </c>
      <c r="X3213" t="s">
        <v>45</v>
      </c>
      <c r="Y3213" s="1">
        <v>25569</v>
      </c>
      <c r="Z3213">
        <v>1</v>
      </c>
      <c r="AA3213" t="s">
        <v>196</v>
      </c>
      <c r="AB3213" s="40" t="s">
        <v>1799</v>
      </c>
    </row>
    <row r="3214" spans="1:28" x14ac:dyDescent="0.25">
      <c r="A3214">
        <v>99913213</v>
      </c>
      <c r="B3214" t="s">
        <v>32</v>
      </c>
      <c r="C3214" t="s">
        <v>58</v>
      </c>
      <c r="D3214" t="s">
        <v>59</v>
      </c>
      <c r="G3214" t="s">
        <v>35</v>
      </c>
      <c r="H3214">
        <v>1</v>
      </c>
      <c r="I3214">
        <v>6983</v>
      </c>
      <c r="J3214" s="1">
        <v>43344</v>
      </c>
      <c r="K3214" t="s">
        <v>1306</v>
      </c>
      <c r="L3214" t="s">
        <v>1307</v>
      </c>
      <c r="M3214" t="s">
        <v>1270</v>
      </c>
      <c r="N3214">
        <v>21</v>
      </c>
      <c r="O3214" s="1">
        <v>43344</v>
      </c>
      <c r="P3214" t="s">
        <v>41</v>
      </c>
      <c r="Q3214" t="s">
        <v>42</v>
      </c>
      <c r="R3214" t="str">
        <f>"1990915"</f>
        <v>1990915</v>
      </c>
      <c r="S3214" t="s">
        <v>1308</v>
      </c>
      <c r="T3214" t="s">
        <v>1306</v>
      </c>
      <c r="U3214" t="s">
        <v>1307</v>
      </c>
      <c r="V3214" t="s">
        <v>1270</v>
      </c>
      <c r="W3214" t="s">
        <v>51</v>
      </c>
      <c r="X3214" t="s">
        <v>45</v>
      </c>
      <c r="Y3214" s="1">
        <v>25569</v>
      </c>
      <c r="Z3214">
        <v>2</v>
      </c>
      <c r="AA3214" t="s">
        <v>1307</v>
      </c>
      <c r="AB3214" s="40" t="s">
        <v>1799</v>
      </c>
    </row>
    <row r="3215" spans="1:28" x14ac:dyDescent="0.25">
      <c r="A3215">
        <v>99913214</v>
      </c>
      <c r="B3215" t="s">
        <v>32</v>
      </c>
      <c r="C3215" t="s">
        <v>85</v>
      </c>
      <c r="D3215" t="s">
        <v>86</v>
      </c>
      <c r="G3215" t="s">
        <v>35</v>
      </c>
      <c r="H3215">
        <v>1</v>
      </c>
      <c r="K3215" t="s">
        <v>1626</v>
      </c>
      <c r="L3215" t="s">
        <v>1627</v>
      </c>
      <c r="M3215" t="s">
        <v>1592</v>
      </c>
      <c r="N3215">
        <v>21</v>
      </c>
      <c r="P3215" t="s">
        <v>41</v>
      </c>
      <c r="Q3215" t="s">
        <v>49</v>
      </c>
      <c r="R3215" t="str">
        <f>"3681015"</f>
        <v>3681015</v>
      </c>
      <c r="S3215" t="s">
        <v>1629</v>
      </c>
      <c r="T3215" t="s">
        <v>1626</v>
      </c>
      <c r="U3215" t="s">
        <v>1627</v>
      </c>
      <c r="V3215" t="s">
        <v>1592</v>
      </c>
      <c r="W3215" t="s">
        <v>51</v>
      </c>
      <c r="X3215" t="s">
        <v>45</v>
      </c>
      <c r="Y3215" s="1">
        <v>25561</v>
      </c>
      <c r="Z3215">
        <v>2</v>
      </c>
      <c r="AA3215" t="s">
        <v>1627</v>
      </c>
      <c r="AB3215" s="40" t="s">
        <v>1799</v>
      </c>
    </row>
    <row r="3216" spans="1:28" x14ac:dyDescent="0.25">
      <c r="A3216">
        <v>99913215</v>
      </c>
      <c r="B3216" t="s">
        <v>32</v>
      </c>
      <c r="C3216" t="s">
        <v>111</v>
      </c>
      <c r="D3216" t="s">
        <v>112</v>
      </c>
      <c r="G3216" t="s">
        <v>35</v>
      </c>
      <c r="H3216">
        <v>1</v>
      </c>
      <c r="K3216" t="s">
        <v>268</v>
      </c>
      <c r="L3216" t="s">
        <v>269</v>
      </c>
      <c r="M3216" t="s">
        <v>131</v>
      </c>
      <c r="N3216">
        <v>21</v>
      </c>
      <c r="P3216" t="s">
        <v>41</v>
      </c>
      <c r="Q3216" t="s">
        <v>75</v>
      </c>
      <c r="R3216" t="str">
        <f>"7052020"</f>
        <v>7052020</v>
      </c>
      <c r="S3216" t="s">
        <v>267</v>
      </c>
      <c r="T3216" t="s">
        <v>268</v>
      </c>
      <c r="U3216" t="s">
        <v>269</v>
      </c>
      <c r="V3216" t="s">
        <v>131</v>
      </c>
      <c r="W3216" t="s">
        <v>51</v>
      </c>
      <c r="X3216" t="s">
        <v>45</v>
      </c>
      <c r="Y3216" s="1">
        <v>25548</v>
      </c>
      <c r="Z3216">
        <v>1</v>
      </c>
      <c r="AA3216" t="s">
        <v>269</v>
      </c>
      <c r="AB3216" s="40" t="s">
        <v>1799</v>
      </c>
    </row>
    <row r="3217" spans="1:28" x14ac:dyDescent="0.25">
      <c r="A3217">
        <v>99913216</v>
      </c>
      <c r="B3217" t="s">
        <v>56</v>
      </c>
      <c r="C3217" t="s">
        <v>52</v>
      </c>
      <c r="D3217" t="s">
        <v>53</v>
      </c>
      <c r="G3217" t="s">
        <v>48</v>
      </c>
      <c r="H3217">
        <v>1</v>
      </c>
      <c r="K3217" t="s">
        <v>223</v>
      </c>
      <c r="L3217" t="s">
        <v>224</v>
      </c>
      <c r="M3217" t="s">
        <v>131</v>
      </c>
      <c r="N3217">
        <v>21</v>
      </c>
      <c r="P3217" t="s">
        <v>41</v>
      </c>
      <c r="Q3217" t="s">
        <v>42</v>
      </c>
      <c r="R3217" t="str">
        <f>"0590910"</f>
        <v>0590910</v>
      </c>
      <c r="S3217" t="s">
        <v>227</v>
      </c>
      <c r="T3217" t="s">
        <v>223</v>
      </c>
      <c r="U3217" t="s">
        <v>224</v>
      </c>
      <c r="V3217" t="s">
        <v>131</v>
      </c>
      <c r="W3217" t="s">
        <v>51</v>
      </c>
      <c r="X3217" t="s">
        <v>45</v>
      </c>
      <c r="Y3217" s="1">
        <v>25523</v>
      </c>
      <c r="Z3217">
        <v>2</v>
      </c>
      <c r="AA3217" t="s">
        <v>224</v>
      </c>
      <c r="AB3217" s="40" t="s">
        <v>1799</v>
      </c>
    </row>
    <row r="3218" spans="1:28" x14ac:dyDescent="0.25">
      <c r="A3218">
        <v>99913217</v>
      </c>
      <c r="B3218" t="s">
        <v>56</v>
      </c>
      <c r="C3218" t="s">
        <v>52</v>
      </c>
      <c r="D3218" t="s">
        <v>53</v>
      </c>
      <c r="G3218" t="s">
        <v>48</v>
      </c>
      <c r="H3218">
        <v>1</v>
      </c>
      <c r="K3218" t="s">
        <v>300</v>
      </c>
      <c r="L3218" t="s">
        <v>301</v>
      </c>
      <c r="M3218" t="s">
        <v>131</v>
      </c>
      <c r="N3218">
        <v>21</v>
      </c>
      <c r="P3218" t="s">
        <v>41</v>
      </c>
      <c r="Q3218" t="s">
        <v>49</v>
      </c>
      <c r="R3218" t="str">
        <f>"0560020"</f>
        <v>0560020</v>
      </c>
      <c r="S3218" t="s">
        <v>302</v>
      </c>
      <c r="T3218" t="s">
        <v>300</v>
      </c>
      <c r="U3218" t="s">
        <v>301</v>
      </c>
      <c r="V3218" t="s">
        <v>131</v>
      </c>
      <c r="W3218" t="s">
        <v>51</v>
      </c>
      <c r="X3218" t="s">
        <v>45</v>
      </c>
      <c r="Y3218" s="1">
        <v>25521</v>
      </c>
      <c r="Z3218">
        <v>2</v>
      </c>
      <c r="AA3218" t="s">
        <v>301</v>
      </c>
      <c r="AB3218" s="40" t="s">
        <v>1799</v>
      </c>
    </row>
    <row r="3219" spans="1:28" x14ac:dyDescent="0.25">
      <c r="A3219">
        <v>99913218</v>
      </c>
      <c r="B3219" t="s">
        <v>32</v>
      </c>
      <c r="C3219" t="s">
        <v>33</v>
      </c>
      <c r="D3219" t="s">
        <v>34</v>
      </c>
      <c r="G3219" t="s">
        <v>35</v>
      </c>
      <c r="H3219">
        <v>1</v>
      </c>
      <c r="K3219" t="s">
        <v>223</v>
      </c>
      <c r="L3219" t="s">
        <v>224</v>
      </c>
      <c r="M3219" t="s">
        <v>131</v>
      </c>
      <c r="N3219">
        <v>21</v>
      </c>
      <c r="P3219" t="s">
        <v>41</v>
      </c>
      <c r="Q3219" t="s">
        <v>42</v>
      </c>
      <c r="R3219" t="str">
        <f>"0580396"</f>
        <v>0580396</v>
      </c>
      <c r="S3219" t="s">
        <v>255</v>
      </c>
      <c r="T3219" t="s">
        <v>223</v>
      </c>
      <c r="U3219" t="s">
        <v>224</v>
      </c>
      <c r="V3219" t="s">
        <v>131</v>
      </c>
      <c r="W3219" t="s">
        <v>51</v>
      </c>
      <c r="X3219" t="s">
        <v>45</v>
      </c>
      <c r="Y3219" s="1">
        <v>25485</v>
      </c>
      <c r="Z3219">
        <v>2</v>
      </c>
      <c r="AA3219" t="s">
        <v>224</v>
      </c>
      <c r="AB3219" s="40" t="s">
        <v>1799</v>
      </c>
    </row>
    <row r="3220" spans="1:28" x14ac:dyDescent="0.25">
      <c r="A3220">
        <v>99913219</v>
      </c>
      <c r="B3220" t="s">
        <v>32</v>
      </c>
      <c r="C3220" t="s">
        <v>111</v>
      </c>
      <c r="D3220" t="s">
        <v>112</v>
      </c>
      <c r="G3220" t="s">
        <v>48</v>
      </c>
      <c r="H3220">
        <v>1</v>
      </c>
      <c r="K3220" t="s">
        <v>154</v>
      </c>
      <c r="L3220" t="s">
        <v>155</v>
      </c>
      <c r="M3220" t="s">
        <v>131</v>
      </c>
      <c r="N3220">
        <v>21</v>
      </c>
      <c r="P3220" t="s">
        <v>41</v>
      </c>
      <c r="Q3220" t="s">
        <v>75</v>
      </c>
      <c r="R3220" t="str">
        <f>"7051022"</f>
        <v>7051022</v>
      </c>
      <c r="S3220" t="s">
        <v>153</v>
      </c>
      <c r="T3220" t="s">
        <v>154</v>
      </c>
      <c r="U3220" t="s">
        <v>155</v>
      </c>
      <c r="V3220" t="s">
        <v>131</v>
      </c>
      <c r="W3220" t="s">
        <v>51</v>
      </c>
      <c r="X3220" t="s">
        <v>45</v>
      </c>
      <c r="Y3220" s="1">
        <v>25452</v>
      </c>
      <c r="Z3220">
        <v>1</v>
      </c>
      <c r="AA3220" t="s">
        <v>155</v>
      </c>
      <c r="AB3220" s="40" t="s">
        <v>1799</v>
      </c>
    </row>
    <row r="3221" spans="1:28" x14ac:dyDescent="0.25">
      <c r="A3221">
        <v>99913220</v>
      </c>
      <c r="B3221" t="s">
        <v>32</v>
      </c>
      <c r="C3221" t="s">
        <v>111</v>
      </c>
      <c r="D3221" t="s">
        <v>112</v>
      </c>
      <c r="G3221" t="s">
        <v>48</v>
      </c>
      <c r="H3221">
        <v>13</v>
      </c>
      <c r="K3221" t="s">
        <v>195</v>
      </c>
      <c r="L3221" t="s">
        <v>196</v>
      </c>
      <c r="M3221" t="s">
        <v>131</v>
      </c>
      <c r="N3221">
        <v>21</v>
      </c>
      <c r="O3221" s="1">
        <v>37454</v>
      </c>
      <c r="P3221" t="s">
        <v>41</v>
      </c>
      <c r="Q3221" t="s">
        <v>75</v>
      </c>
      <c r="R3221" t="str">
        <f>"7521044"</f>
        <v>7521044</v>
      </c>
      <c r="S3221" t="s">
        <v>453</v>
      </c>
      <c r="T3221" t="s">
        <v>195</v>
      </c>
      <c r="U3221" t="s">
        <v>196</v>
      </c>
      <c r="V3221" t="s">
        <v>131</v>
      </c>
      <c r="W3221" t="s">
        <v>165</v>
      </c>
      <c r="X3221" t="s">
        <v>45</v>
      </c>
      <c r="Y3221" s="1">
        <v>25445</v>
      </c>
      <c r="Z3221">
        <v>1</v>
      </c>
      <c r="AA3221" t="s">
        <v>196</v>
      </c>
      <c r="AB3221" s="40" t="s">
        <v>1799</v>
      </c>
    </row>
    <row r="3222" spans="1:28" x14ac:dyDescent="0.25">
      <c r="A3222">
        <v>99913221</v>
      </c>
      <c r="B3222" t="s">
        <v>32</v>
      </c>
      <c r="C3222" t="s">
        <v>64</v>
      </c>
      <c r="D3222" t="s">
        <v>65</v>
      </c>
      <c r="G3222" t="s">
        <v>48</v>
      </c>
      <c r="H3222">
        <v>11</v>
      </c>
      <c r="K3222" t="s">
        <v>195</v>
      </c>
      <c r="L3222" t="s">
        <v>196</v>
      </c>
      <c r="M3222" t="s">
        <v>131</v>
      </c>
      <c r="N3222">
        <v>21</v>
      </c>
      <c r="O3222" s="1">
        <v>37865</v>
      </c>
      <c r="P3222" t="s">
        <v>41</v>
      </c>
      <c r="Q3222" t="s">
        <v>75</v>
      </c>
      <c r="R3222" t="str">
        <f>"7521046"</f>
        <v>7521046</v>
      </c>
      <c r="S3222" t="s">
        <v>436</v>
      </c>
      <c r="T3222" t="s">
        <v>195</v>
      </c>
      <c r="U3222" t="s">
        <v>196</v>
      </c>
      <c r="V3222" t="s">
        <v>131</v>
      </c>
      <c r="W3222" t="s">
        <v>51</v>
      </c>
      <c r="X3222" t="s">
        <v>45</v>
      </c>
      <c r="Y3222" s="1">
        <v>25445</v>
      </c>
      <c r="Z3222">
        <v>1</v>
      </c>
      <c r="AA3222" t="s">
        <v>196</v>
      </c>
      <c r="AB3222" s="40" t="s">
        <v>1799</v>
      </c>
    </row>
    <row r="3223" spans="1:28" x14ac:dyDescent="0.25">
      <c r="A3223">
        <v>99913222</v>
      </c>
      <c r="B3223" t="s">
        <v>56</v>
      </c>
      <c r="C3223" t="s">
        <v>46</v>
      </c>
      <c r="D3223" t="s">
        <v>47</v>
      </c>
      <c r="G3223" t="s">
        <v>48</v>
      </c>
      <c r="H3223">
        <v>1</v>
      </c>
      <c r="K3223" t="s">
        <v>300</v>
      </c>
      <c r="L3223" t="s">
        <v>301</v>
      </c>
      <c r="M3223" t="s">
        <v>131</v>
      </c>
      <c r="N3223">
        <v>21</v>
      </c>
      <c r="P3223" t="s">
        <v>41</v>
      </c>
      <c r="Q3223" t="s">
        <v>42</v>
      </c>
      <c r="R3223" t="str">
        <f>"0580106"</f>
        <v>0580106</v>
      </c>
      <c r="S3223" t="s">
        <v>306</v>
      </c>
      <c r="T3223" t="s">
        <v>300</v>
      </c>
      <c r="U3223" t="s">
        <v>301</v>
      </c>
      <c r="V3223" t="s">
        <v>131</v>
      </c>
      <c r="W3223" t="s">
        <v>51</v>
      </c>
      <c r="X3223" t="s">
        <v>45</v>
      </c>
      <c r="Y3223" s="1">
        <v>25442</v>
      </c>
      <c r="Z3223">
        <v>2</v>
      </c>
      <c r="AA3223" t="s">
        <v>301</v>
      </c>
      <c r="AB3223" s="40" t="s">
        <v>1799</v>
      </c>
    </row>
    <row r="3224" spans="1:28" x14ac:dyDescent="0.25">
      <c r="A3224">
        <v>99913223</v>
      </c>
      <c r="B3224" t="s">
        <v>32</v>
      </c>
      <c r="C3224" t="s">
        <v>33</v>
      </c>
      <c r="D3224" t="s">
        <v>34</v>
      </c>
      <c r="G3224" t="s">
        <v>35</v>
      </c>
      <c r="H3224">
        <v>1</v>
      </c>
      <c r="K3224" t="s">
        <v>1626</v>
      </c>
      <c r="L3224" t="s">
        <v>1627</v>
      </c>
      <c r="M3224" t="s">
        <v>1592</v>
      </c>
      <c r="N3224">
        <v>21</v>
      </c>
      <c r="P3224" t="s">
        <v>41</v>
      </c>
      <c r="Q3224" t="s">
        <v>42</v>
      </c>
      <c r="R3224" t="str">
        <f>"3680015"</f>
        <v>3680015</v>
      </c>
      <c r="S3224" t="s">
        <v>1628</v>
      </c>
      <c r="T3224" t="s">
        <v>1626</v>
      </c>
      <c r="U3224" t="s">
        <v>1627</v>
      </c>
      <c r="V3224" t="s">
        <v>1592</v>
      </c>
      <c r="W3224" t="s">
        <v>51</v>
      </c>
      <c r="X3224" t="s">
        <v>45</v>
      </c>
      <c r="Y3224" s="1">
        <v>25432</v>
      </c>
      <c r="Z3224">
        <v>2</v>
      </c>
      <c r="AA3224" t="s">
        <v>1627</v>
      </c>
      <c r="AB3224" s="40" t="s">
        <v>1799</v>
      </c>
    </row>
    <row r="3225" spans="1:28" x14ac:dyDescent="0.25">
      <c r="A3225">
        <v>99913224</v>
      </c>
      <c r="B3225" t="s">
        <v>32</v>
      </c>
      <c r="C3225" t="s">
        <v>64</v>
      </c>
      <c r="D3225" t="s">
        <v>65</v>
      </c>
      <c r="G3225" t="s">
        <v>35</v>
      </c>
      <c r="H3225">
        <v>1</v>
      </c>
      <c r="K3225" t="s">
        <v>345</v>
      </c>
      <c r="L3225" t="s">
        <v>346</v>
      </c>
      <c r="M3225" t="s">
        <v>131</v>
      </c>
      <c r="N3225">
        <v>21</v>
      </c>
      <c r="P3225" t="s">
        <v>41</v>
      </c>
      <c r="Q3225" t="s">
        <v>75</v>
      </c>
      <c r="R3225" t="str">
        <f>"7054012"</f>
        <v>7054012</v>
      </c>
      <c r="S3225" t="s">
        <v>353</v>
      </c>
      <c r="T3225" t="s">
        <v>354</v>
      </c>
      <c r="U3225" t="s">
        <v>355</v>
      </c>
      <c r="V3225" t="s">
        <v>131</v>
      </c>
      <c r="W3225" t="s">
        <v>51</v>
      </c>
      <c r="X3225" t="s">
        <v>45</v>
      </c>
      <c r="Y3225" s="1">
        <v>25415</v>
      </c>
      <c r="Z3225">
        <v>2</v>
      </c>
      <c r="AA3225" t="s">
        <v>346</v>
      </c>
      <c r="AB3225" s="40" t="s">
        <v>1799</v>
      </c>
    </row>
    <row r="3226" spans="1:28" x14ac:dyDescent="0.25">
      <c r="A3226">
        <v>99913225</v>
      </c>
      <c r="B3226" t="s">
        <v>56</v>
      </c>
      <c r="C3226" t="s">
        <v>111</v>
      </c>
      <c r="D3226" t="s">
        <v>112</v>
      </c>
      <c r="G3226" t="s">
        <v>35</v>
      </c>
      <c r="H3226">
        <v>1</v>
      </c>
      <c r="K3226" t="s">
        <v>154</v>
      </c>
      <c r="L3226" t="s">
        <v>155</v>
      </c>
      <c r="M3226" t="s">
        <v>131</v>
      </c>
      <c r="N3226">
        <v>21</v>
      </c>
      <c r="P3226" t="s">
        <v>41</v>
      </c>
      <c r="Q3226" t="s">
        <v>75</v>
      </c>
      <c r="R3226" t="str">
        <f>"7700026"</f>
        <v>7700026</v>
      </c>
      <c r="S3226" t="s">
        <v>397</v>
      </c>
      <c r="T3226" t="s">
        <v>154</v>
      </c>
      <c r="U3226" t="s">
        <v>155</v>
      </c>
      <c r="V3226" t="s">
        <v>131</v>
      </c>
      <c r="W3226" t="s">
        <v>51</v>
      </c>
      <c r="X3226" t="s">
        <v>45</v>
      </c>
      <c r="Y3226" s="1">
        <v>25405</v>
      </c>
      <c r="Z3226">
        <v>1</v>
      </c>
      <c r="AA3226" t="s">
        <v>155</v>
      </c>
      <c r="AB3226" s="40" t="s">
        <v>1799</v>
      </c>
    </row>
    <row r="3227" spans="1:28" x14ac:dyDescent="0.25">
      <c r="A3227">
        <v>99913226</v>
      </c>
      <c r="B3227" t="s">
        <v>32</v>
      </c>
      <c r="C3227" t="s">
        <v>139</v>
      </c>
      <c r="D3227" t="s">
        <v>140</v>
      </c>
      <c r="G3227" t="s">
        <v>48</v>
      </c>
      <c r="H3227">
        <v>1</v>
      </c>
      <c r="K3227" t="s">
        <v>162</v>
      </c>
      <c r="L3227" t="s">
        <v>158</v>
      </c>
      <c r="M3227" t="s">
        <v>131</v>
      </c>
      <c r="N3227">
        <v>21</v>
      </c>
      <c r="P3227" t="s">
        <v>41</v>
      </c>
      <c r="Q3227" t="s">
        <v>49</v>
      </c>
      <c r="R3227" t="str">
        <f>"0581325"</f>
        <v>0581325</v>
      </c>
      <c r="S3227" t="s">
        <v>169</v>
      </c>
      <c r="T3227" t="s">
        <v>162</v>
      </c>
      <c r="U3227" t="s">
        <v>158</v>
      </c>
      <c r="V3227" t="s">
        <v>131</v>
      </c>
      <c r="W3227" t="s">
        <v>51</v>
      </c>
      <c r="X3227" t="s">
        <v>45</v>
      </c>
      <c r="Y3227" s="1">
        <v>25340</v>
      </c>
      <c r="Z3227">
        <v>2</v>
      </c>
      <c r="AA3227" t="s">
        <v>158</v>
      </c>
      <c r="AB3227" s="40" t="s">
        <v>1799</v>
      </c>
    </row>
    <row r="3228" spans="1:28" x14ac:dyDescent="0.25">
      <c r="A3228">
        <v>99913227</v>
      </c>
      <c r="B3228" t="s">
        <v>56</v>
      </c>
      <c r="C3228" t="s">
        <v>79</v>
      </c>
      <c r="D3228" t="s">
        <v>80</v>
      </c>
      <c r="G3228" t="s">
        <v>35</v>
      </c>
      <c r="H3228">
        <v>1</v>
      </c>
      <c r="I3228">
        <v>18253</v>
      </c>
      <c r="J3228" s="1">
        <v>43344</v>
      </c>
      <c r="K3228" t="s">
        <v>223</v>
      </c>
      <c r="L3228" t="s">
        <v>224</v>
      </c>
      <c r="M3228" t="s">
        <v>131</v>
      </c>
      <c r="N3228">
        <v>21</v>
      </c>
      <c r="O3228" s="1">
        <v>43344</v>
      </c>
      <c r="P3228" t="s">
        <v>41</v>
      </c>
      <c r="Q3228" t="s">
        <v>49</v>
      </c>
      <c r="R3228" t="str">
        <f>"0560008"</f>
        <v>0560008</v>
      </c>
      <c r="S3228" t="s">
        <v>263</v>
      </c>
      <c r="T3228" t="s">
        <v>223</v>
      </c>
      <c r="U3228" t="s">
        <v>224</v>
      </c>
      <c r="V3228" t="s">
        <v>131</v>
      </c>
      <c r="W3228" t="s">
        <v>44</v>
      </c>
      <c r="X3228" t="s">
        <v>45</v>
      </c>
      <c r="Y3228" s="1">
        <v>25338</v>
      </c>
      <c r="Z3228">
        <v>2</v>
      </c>
      <c r="AA3228" t="s">
        <v>224</v>
      </c>
      <c r="AB3228" s="40" t="s">
        <v>1799</v>
      </c>
    </row>
    <row r="3229" spans="1:28" x14ac:dyDescent="0.25">
      <c r="A3229">
        <v>99913228</v>
      </c>
      <c r="B3229" t="s">
        <v>32</v>
      </c>
      <c r="C3229" t="s">
        <v>52</v>
      </c>
      <c r="D3229" t="s">
        <v>53</v>
      </c>
      <c r="G3229" t="s">
        <v>48</v>
      </c>
      <c r="H3229">
        <v>1</v>
      </c>
      <c r="K3229" t="s">
        <v>162</v>
      </c>
      <c r="L3229" t="s">
        <v>158</v>
      </c>
      <c r="M3229" t="s">
        <v>131</v>
      </c>
      <c r="N3229">
        <v>21</v>
      </c>
      <c r="P3229" t="s">
        <v>41</v>
      </c>
      <c r="Q3229" t="s">
        <v>49</v>
      </c>
      <c r="R3229" t="str">
        <f>"0560003"</f>
        <v>0560003</v>
      </c>
      <c r="S3229" t="s">
        <v>181</v>
      </c>
      <c r="T3229" t="s">
        <v>162</v>
      </c>
      <c r="U3229" t="s">
        <v>158</v>
      </c>
      <c r="V3229" t="s">
        <v>131</v>
      </c>
      <c r="W3229" t="s">
        <v>51</v>
      </c>
      <c r="X3229" t="s">
        <v>45</v>
      </c>
      <c r="Y3229" s="1">
        <v>25335</v>
      </c>
      <c r="Z3229">
        <v>2</v>
      </c>
      <c r="AA3229" t="s">
        <v>158</v>
      </c>
      <c r="AB3229" s="40" t="s">
        <v>1799</v>
      </c>
    </row>
    <row r="3230" spans="1:28" x14ac:dyDescent="0.25">
      <c r="A3230">
        <v>99913229</v>
      </c>
      <c r="B3230" t="s">
        <v>32</v>
      </c>
      <c r="C3230" t="s">
        <v>33</v>
      </c>
      <c r="D3230" t="s">
        <v>34</v>
      </c>
      <c r="G3230" t="s">
        <v>35</v>
      </c>
      <c r="H3230">
        <v>8</v>
      </c>
      <c r="K3230" t="s">
        <v>1268</v>
      </c>
      <c r="L3230" t="s">
        <v>1269</v>
      </c>
      <c r="M3230" t="s">
        <v>1270</v>
      </c>
      <c r="N3230">
        <v>21</v>
      </c>
      <c r="P3230" t="s">
        <v>41</v>
      </c>
      <c r="Q3230" t="s">
        <v>42</v>
      </c>
      <c r="R3230" t="str">
        <f>"1990001"</f>
        <v>1990001</v>
      </c>
      <c r="S3230" t="s">
        <v>1294</v>
      </c>
      <c r="T3230" t="s">
        <v>1268</v>
      </c>
      <c r="U3230" t="s">
        <v>1269</v>
      </c>
      <c r="V3230" t="s">
        <v>1270</v>
      </c>
      <c r="W3230" t="s">
        <v>51</v>
      </c>
      <c r="X3230" t="s">
        <v>45</v>
      </c>
      <c r="Y3230" s="1">
        <v>25334</v>
      </c>
      <c r="Z3230">
        <v>2</v>
      </c>
      <c r="AA3230" t="s">
        <v>1269</v>
      </c>
      <c r="AB3230" s="40" t="s">
        <v>1799</v>
      </c>
    </row>
    <row r="3231" spans="1:28" x14ac:dyDescent="0.25">
      <c r="A3231">
        <v>99913230</v>
      </c>
      <c r="B3231" t="s">
        <v>32</v>
      </c>
      <c r="C3231" t="s">
        <v>111</v>
      </c>
      <c r="D3231" t="s">
        <v>112</v>
      </c>
      <c r="G3231" t="s">
        <v>48</v>
      </c>
      <c r="H3231">
        <v>11</v>
      </c>
      <c r="I3231" t="s">
        <v>454</v>
      </c>
      <c r="J3231" s="1">
        <v>40057</v>
      </c>
      <c r="K3231" t="s">
        <v>195</v>
      </c>
      <c r="L3231" t="s">
        <v>196</v>
      </c>
      <c r="M3231" t="s">
        <v>131</v>
      </c>
      <c r="N3231">
        <v>21</v>
      </c>
      <c r="O3231" s="1">
        <v>40057</v>
      </c>
      <c r="P3231" t="s">
        <v>41</v>
      </c>
      <c r="Q3231" t="s">
        <v>75</v>
      </c>
      <c r="R3231" t="str">
        <f>"7521050"</f>
        <v>7521050</v>
      </c>
      <c r="S3231" t="s">
        <v>194</v>
      </c>
      <c r="T3231" t="s">
        <v>195</v>
      </c>
      <c r="U3231" t="s">
        <v>196</v>
      </c>
      <c r="V3231" t="s">
        <v>131</v>
      </c>
      <c r="W3231" t="s">
        <v>51</v>
      </c>
      <c r="X3231" t="s">
        <v>45</v>
      </c>
      <c r="Y3231" s="1">
        <v>25325</v>
      </c>
      <c r="Z3231">
        <v>1</v>
      </c>
      <c r="AA3231" t="s">
        <v>196</v>
      </c>
      <c r="AB3231" s="40" t="s">
        <v>1799</v>
      </c>
    </row>
    <row r="3232" spans="1:28" x14ac:dyDescent="0.25">
      <c r="A3232">
        <v>99913231</v>
      </c>
      <c r="B3232" t="s">
        <v>56</v>
      </c>
      <c r="C3232" t="s">
        <v>111</v>
      </c>
      <c r="D3232" t="s">
        <v>112</v>
      </c>
      <c r="G3232" t="s">
        <v>48</v>
      </c>
      <c r="H3232">
        <v>11</v>
      </c>
      <c r="I3232">
        <v>164</v>
      </c>
      <c r="J3232" s="1">
        <v>37454</v>
      </c>
      <c r="K3232" t="s">
        <v>195</v>
      </c>
      <c r="L3232" t="s">
        <v>196</v>
      </c>
      <c r="M3232" t="s">
        <v>131</v>
      </c>
      <c r="N3232">
        <v>21</v>
      </c>
      <c r="O3232" s="1">
        <v>37454</v>
      </c>
      <c r="P3232" t="s">
        <v>41</v>
      </c>
      <c r="Q3232" t="s">
        <v>75</v>
      </c>
      <c r="R3232" t="str">
        <f>"7521046"</f>
        <v>7521046</v>
      </c>
      <c r="S3232" t="s">
        <v>436</v>
      </c>
      <c r="T3232" t="s">
        <v>195</v>
      </c>
      <c r="U3232" t="s">
        <v>196</v>
      </c>
      <c r="V3232" t="s">
        <v>131</v>
      </c>
      <c r="W3232" t="s">
        <v>165</v>
      </c>
      <c r="X3232" t="s">
        <v>45</v>
      </c>
      <c r="Y3232" s="1">
        <v>25325</v>
      </c>
      <c r="Z3232">
        <v>1</v>
      </c>
      <c r="AA3232" t="s">
        <v>196</v>
      </c>
      <c r="AB3232" s="40" t="s">
        <v>1799</v>
      </c>
    </row>
    <row r="3233" spans="1:28" x14ac:dyDescent="0.25">
      <c r="A3233">
        <v>99913232</v>
      </c>
      <c r="B3233" t="s">
        <v>56</v>
      </c>
      <c r="C3233" t="s">
        <v>46</v>
      </c>
      <c r="D3233" t="s">
        <v>47</v>
      </c>
      <c r="G3233" t="s">
        <v>48</v>
      </c>
      <c r="H3233">
        <v>1</v>
      </c>
      <c r="K3233" t="s">
        <v>162</v>
      </c>
      <c r="L3233" t="s">
        <v>158</v>
      </c>
      <c r="M3233" t="s">
        <v>131</v>
      </c>
      <c r="N3233">
        <v>21</v>
      </c>
      <c r="P3233" t="s">
        <v>41</v>
      </c>
      <c r="Q3233" t="s">
        <v>42</v>
      </c>
      <c r="R3233" t="str">
        <f>"0580310"</f>
        <v>0580310</v>
      </c>
      <c r="S3233" t="s">
        <v>173</v>
      </c>
      <c r="T3233" t="s">
        <v>162</v>
      </c>
      <c r="U3233" t="s">
        <v>158</v>
      </c>
      <c r="V3233" t="s">
        <v>131</v>
      </c>
      <c r="W3233" t="s">
        <v>51</v>
      </c>
      <c r="X3233" t="s">
        <v>45</v>
      </c>
      <c r="Y3233" s="1">
        <v>25290</v>
      </c>
      <c r="Z3233">
        <v>2</v>
      </c>
      <c r="AA3233" t="s">
        <v>158</v>
      </c>
      <c r="AB3233" s="40" t="s">
        <v>1799</v>
      </c>
    </row>
    <row r="3234" spans="1:28" x14ac:dyDescent="0.25">
      <c r="A3234">
        <v>99913233</v>
      </c>
      <c r="B3234" t="s">
        <v>32</v>
      </c>
      <c r="C3234" t="s">
        <v>64</v>
      </c>
      <c r="D3234" t="s">
        <v>65</v>
      </c>
      <c r="G3234" t="s">
        <v>48</v>
      </c>
      <c r="H3234">
        <v>11</v>
      </c>
      <c r="K3234" t="s">
        <v>195</v>
      </c>
      <c r="L3234" t="s">
        <v>196</v>
      </c>
      <c r="M3234" t="s">
        <v>131</v>
      </c>
      <c r="N3234">
        <v>21</v>
      </c>
      <c r="O3234" s="1">
        <v>39326</v>
      </c>
      <c r="P3234" t="s">
        <v>41</v>
      </c>
      <c r="Q3234" t="s">
        <v>75</v>
      </c>
      <c r="R3234" t="str">
        <f>"7521044"</f>
        <v>7521044</v>
      </c>
      <c r="S3234" t="s">
        <v>453</v>
      </c>
      <c r="T3234" t="s">
        <v>195</v>
      </c>
      <c r="U3234" t="s">
        <v>196</v>
      </c>
      <c r="V3234" t="s">
        <v>131</v>
      </c>
      <c r="W3234" t="s">
        <v>51</v>
      </c>
      <c r="X3234" t="s">
        <v>45</v>
      </c>
      <c r="Y3234" s="1">
        <v>25288</v>
      </c>
      <c r="Z3234">
        <v>1</v>
      </c>
      <c r="AA3234" t="s">
        <v>196</v>
      </c>
      <c r="AB3234" s="40" t="s">
        <v>1799</v>
      </c>
    </row>
    <row r="3235" spans="1:28" x14ac:dyDescent="0.25">
      <c r="A3235">
        <v>99913234</v>
      </c>
      <c r="B3235" t="s">
        <v>32</v>
      </c>
      <c r="C3235" t="s">
        <v>64</v>
      </c>
      <c r="D3235" t="s">
        <v>65</v>
      </c>
      <c r="G3235" t="s">
        <v>48</v>
      </c>
      <c r="H3235">
        <v>1</v>
      </c>
      <c r="K3235" t="s">
        <v>1268</v>
      </c>
      <c r="L3235" t="s">
        <v>1269</v>
      </c>
      <c r="M3235" t="s">
        <v>1270</v>
      </c>
      <c r="N3235">
        <v>21</v>
      </c>
      <c r="P3235" t="s">
        <v>41</v>
      </c>
      <c r="Q3235" t="s">
        <v>42</v>
      </c>
      <c r="R3235" t="str">
        <f>"1980050"</f>
        <v>1980050</v>
      </c>
      <c r="S3235" t="s">
        <v>1278</v>
      </c>
      <c r="T3235" t="s">
        <v>1268</v>
      </c>
      <c r="U3235" t="s">
        <v>1269</v>
      </c>
      <c r="V3235" t="s">
        <v>1270</v>
      </c>
      <c r="W3235" t="s">
        <v>51</v>
      </c>
      <c r="X3235" t="s">
        <v>45</v>
      </c>
      <c r="Y3235" s="1">
        <v>25272</v>
      </c>
      <c r="Z3235">
        <v>2</v>
      </c>
      <c r="AA3235" t="s">
        <v>1269</v>
      </c>
      <c r="AB3235" s="40" t="s">
        <v>1799</v>
      </c>
    </row>
    <row r="3236" spans="1:28" x14ac:dyDescent="0.25">
      <c r="A3236">
        <v>99913235</v>
      </c>
      <c r="B3236" t="s">
        <v>32</v>
      </c>
      <c r="C3236" t="s">
        <v>46</v>
      </c>
      <c r="D3236" t="s">
        <v>47</v>
      </c>
      <c r="G3236" t="s">
        <v>35</v>
      </c>
      <c r="H3236">
        <v>1</v>
      </c>
      <c r="I3236">
        <v>6983</v>
      </c>
      <c r="J3236" s="1">
        <v>43344</v>
      </c>
      <c r="K3236" t="s">
        <v>1306</v>
      </c>
      <c r="L3236" t="s">
        <v>1307</v>
      </c>
      <c r="M3236" t="s">
        <v>1270</v>
      </c>
      <c r="N3236">
        <v>21</v>
      </c>
      <c r="O3236" s="1">
        <v>43344</v>
      </c>
      <c r="P3236" t="s">
        <v>41</v>
      </c>
      <c r="Q3236" t="s">
        <v>49</v>
      </c>
      <c r="R3236" t="str">
        <f>"1991915"</f>
        <v>1991915</v>
      </c>
      <c r="S3236" t="s">
        <v>1316</v>
      </c>
      <c r="T3236" t="s">
        <v>1306</v>
      </c>
      <c r="U3236" t="s">
        <v>1307</v>
      </c>
      <c r="V3236" t="s">
        <v>1270</v>
      </c>
      <c r="W3236" t="s">
        <v>51</v>
      </c>
      <c r="X3236" t="s">
        <v>45</v>
      </c>
      <c r="Y3236" s="1">
        <v>25271</v>
      </c>
      <c r="Z3236">
        <v>2</v>
      </c>
      <c r="AA3236" t="s">
        <v>1307</v>
      </c>
      <c r="AB3236" s="40" t="s">
        <v>1799</v>
      </c>
    </row>
    <row r="3237" spans="1:28" x14ac:dyDescent="0.25">
      <c r="A3237">
        <v>99913236</v>
      </c>
      <c r="B3237" t="s">
        <v>32</v>
      </c>
      <c r="C3237" t="s">
        <v>79</v>
      </c>
      <c r="D3237" t="s">
        <v>80</v>
      </c>
      <c r="G3237" t="s">
        <v>48</v>
      </c>
      <c r="H3237">
        <v>13</v>
      </c>
      <c r="K3237" t="s">
        <v>1426</v>
      </c>
      <c r="L3237" t="s">
        <v>1427</v>
      </c>
      <c r="M3237" t="s">
        <v>1270</v>
      </c>
      <c r="N3237">
        <v>21</v>
      </c>
      <c r="P3237" t="s">
        <v>41</v>
      </c>
      <c r="Q3237" t="s">
        <v>75</v>
      </c>
      <c r="R3237" t="str">
        <f>"7192004"</f>
        <v>7192004</v>
      </c>
      <c r="S3237" t="s">
        <v>1428</v>
      </c>
      <c r="T3237" t="s">
        <v>1426</v>
      </c>
      <c r="U3237" t="s">
        <v>1427</v>
      </c>
      <c r="V3237" t="s">
        <v>1270</v>
      </c>
      <c r="W3237" t="s">
        <v>51</v>
      </c>
      <c r="X3237" t="s">
        <v>45</v>
      </c>
      <c r="Y3237" s="1">
        <v>25269</v>
      </c>
      <c r="Z3237">
        <v>1</v>
      </c>
      <c r="AA3237" t="s">
        <v>1427</v>
      </c>
      <c r="AB3237" s="40" t="s">
        <v>1799</v>
      </c>
    </row>
    <row r="3238" spans="1:28" x14ac:dyDescent="0.25">
      <c r="A3238">
        <v>99913237</v>
      </c>
      <c r="B3238" t="s">
        <v>32</v>
      </c>
      <c r="C3238" t="s">
        <v>79</v>
      </c>
      <c r="D3238" t="s">
        <v>80</v>
      </c>
      <c r="G3238" t="s">
        <v>35</v>
      </c>
      <c r="H3238">
        <v>1</v>
      </c>
      <c r="K3238" t="s">
        <v>963</v>
      </c>
      <c r="L3238" t="s">
        <v>964</v>
      </c>
      <c r="M3238" t="s">
        <v>938</v>
      </c>
      <c r="N3238">
        <v>21</v>
      </c>
      <c r="P3238" t="s">
        <v>41</v>
      </c>
      <c r="Q3238" t="s">
        <v>75</v>
      </c>
      <c r="R3238" t="str">
        <f>"7061000"</f>
        <v>7061000</v>
      </c>
      <c r="S3238" t="s">
        <v>962</v>
      </c>
      <c r="T3238" t="s">
        <v>963</v>
      </c>
      <c r="U3238" t="s">
        <v>964</v>
      </c>
      <c r="V3238" t="s">
        <v>938</v>
      </c>
      <c r="W3238" t="s">
        <v>165</v>
      </c>
      <c r="X3238" t="s">
        <v>45</v>
      </c>
      <c r="Y3238" s="1">
        <v>25266</v>
      </c>
      <c r="Z3238">
        <v>1</v>
      </c>
      <c r="AA3238" t="s">
        <v>964</v>
      </c>
      <c r="AB3238" s="40" t="s">
        <v>1799</v>
      </c>
    </row>
    <row r="3239" spans="1:28" x14ac:dyDescent="0.25">
      <c r="A3239">
        <v>99913238</v>
      </c>
      <c r="B3239" t="s">
        <v>56</v>
      </c>
      <c r="C3239" t="s">
        <v>79</v>
      </c>
      <c r="D3239" t="s">
        <v>80</v>
      </c>
      <c r="G3239" t="s">
        <v>48</v>
      </c>
      <c r="H3239">
        <v>1</v>
      </c>
      <c r="K3239" t="s">
        <v>1341</v>
      </c>
      <c r="L3239" t="s">
        <v>1342</v>
      </c>
      <c r="M3239" t="s">
        <v>1270</v>
      </c>
      <c r="N3239">
        <v>21</v>
      </c>
      <c r="P3239" t="s">
        <v>41</v>
      </c>
      <c r="Q3239" t="s">
        <v>75</v>
      </c>
      <c r="R3239" t="str">
        <f>"7191016"</f>
        <v>7191016</v>
      </c>
      <c r="S3239" t="s">
        <v>1403</v>
      </c>
      <c r="T3239" t="s">
        <v>1341</v>
      </c>
      <c r="U3239" t="s">
        <v>1342</v>
      </c>
      <c r="V3239" t="s">
        <v>1270</v>
      </c>
      <c r="W3239" t="s">
        <v>51</v>
      </c>
      <c r="X3239" t="s">
        <v>45</v>
      </c>
      <c r="Y3239" s="1">
        <v>25239</v>
      </c>
      <c r="Z3239">
        <v>1</v>
      </c>
      <c r="AA3239" t="s">
        <v>1342</v>
      </c>
      <c r="AB3239" s="40" t="s">
        <v>1799</v>
      </c>
    </row>
    <row r="3240" spans="1:28" x14ac:dyDescent="0.25">
      <c r="A3240">
        <v>99913239</v>
      </c>
      <c r="B3240" t="s">
        <v>56</v>
      </c>
      <c r="C3240" t="s">
        <v>52</v>
      </c>
      <c r="D3240" t="s">
        <v>53</v>
      </c>
      <c r="G3240" t="s">
        <v>35</v>
      </c>
      <c r="H3240">
        <v>1</v>
      </c>
      <c r="K3240" t="s">
        <v>1626</v>
      </c>
      <c r="L3240" t="s">
        <v>1627</v>
      </c>
      <c r="M3240" t="s">
        <v>1592</v>
      </c>
      <c r="N3240">
        <v>21</v>
      </c>
      <c r="P3240" t="s">
        <v>41</v>
      </c>
      <c r="Q3240" t="s">
        <v>42</v>
      </c>
      <c r="R3240" t="str">
        <f>"3680015"</f>
        <v>3680015</v>
      </c>
      <c r="S3240" t="s">
        <v>1628</v>
      </c>
      <c r="T3240" t="s">
        <v>1626</v>
      </c>
      <c r="U3240" t="s">
        <v>1627</v>
      </c>
      <c r="V3240" t="s">
        <v>1592</v>
      </c>
      <c r="W3240" t="s">
        <v>51</v>
      </c>
      <c r="X3240" t="s">
        <v>45</v>
      </c>
      <c r="Y3240" s="1">
        <v>25233</v>
      </c>
      <c r="Z3240">
        <v>2</v>
      </c>
      <c r="AA3240" t="s">
        <v>1627</v>
      </c>
      <c r="AB3240" s="40" t="s">
        <v>1799</v>
      </c>
    </row>
    <row r="3241" spans="1:28" x14ac:dyDescent="0.25">
      <c r="A3241">
        <v>99913240</v>
      </c>
      <c r="B3241" t="s">
        <v>32</v>
      </c>
      <c r="C3241" t="s">
        <v>64</v>
      </c>
      <c r="D3241" t="s">
        <v>65</v>
      </c>
      <c r="G3241" t="s">
        <v>35</v>
      </c>
      <c r="H3241">
        <v>1</v>
      </c>
      <c r="I3241" t="s">
        <v>207</v>
      </c>
      <c r="J3241" s="1">
        <v>42614</v>
      </c>
      <c r="K3241" t="s">
        <v>157</v>
      </c>
      <c r="L3241" t="s">
        <v>158</v>
      </c>
      <c r="M3241" t="s">
        <v>131</v>
      </c>
      <c r="N3241">
        <v>21</v>
      </c>
      <c r="O3241" s="1">
        <v>42614</v>
      </c>
      <c r="P3241" t="s">
        <v>41</v>
      </c>
      <c r="Q3241" t="s">
        <v>49</v>
      </c>
      <c r="R3241" t="str">
        <f>"0560006"</f>
        <v>0560006</v>
      </c>
      <c r="S3241" t="s">
        <v>191</v>
      </c>
      <c r="T3241" t="s">
        <v>157</v>
      </c>
      <c r="U3241" t="s">
        <v>158</v>
      </c>
      <c r="V3241" t="s">
        <v>131</v>
      </c>
      <c r="W3241" t="s">
        <v>44</v>
      </c>
      <c r="X3241" t="s">
        <v>45</v>
      </c>
      <c r="Y3241" s="1">
        <v>25204</v>
      </c>
      <c r="Z3241">
        <v>2</v>
      </c>
      <c r="AA3241" t="s">
        <v>158</v>
      </c>
      <c r="AB3241" s="40" t="s">
        <v>1799</v>
      </c>
    </row>
    <row r="3242" spans="1:28" x14ac:dyDescent="0.25">
      <c r="A3242">
        <v>99913241</v>
      </c>
      <c r="B3242" t="s">
        <v>56</v>
      </c>
      <c r="C3242" t="s">
        <v>111</v>
      </c>
      <c r="D3242" t="s">
        <v>112</v>
      </c>
      <c r="G3242" t="s">
        <v>35</v>
      </c>
      <c r="H3242">
        <v>1</v>
      </c>
      <c r="I3242">
        <v>207</v>
      </c>
      <c r="J3242" s="1">
        <v>37866</v>
      </c>
      <c r="K3242" t="s">
        <v>154</v>
      </c>
      <c r="L3242" t="s">
        <v>155</v>
      </c>
      <c r="M3242" t="s">
        <v>131</v>
      </c>
      <c r="N3242">
        <v>21</v>
      </c>
      <c r="O3242" s="1">
        <v>37866</v>
      </c>
      <c r="P3242" t="s">
        <v>41</v>
      </c>
      <c r="Q3242" t="s">
        <v>75</v>
      </c>
      <c r="R3242" t="str">
        <f>"7700026"</f>
        <v>7700026</v>
      </c>
      <c r="S3242" t="s">
        <v>397</v>
      </c>
      <c r="T3242" t="s">
        <v>154</v>
      </c>
      <c r="U3242" t="s">
        <v>155</v>
      </c>
      <c r="V3242" t="s">
        <v>131</v>
      </c>
      <c r="W3242" t="s">
        <v>51</v>
      </c>
      <c r="X3242" t="s">
        <v>45</v>
      </c>
      <c r="Y3242" s="1">
        <v>25204</v>
      </c>
      <c r="Z3242">
        <v>1</v>
      </c>
      <c r="AA3242" t="s">
        <v>155</v>
      </c>
      <c r="AB3242" s="40" t="s">
        <v>1799</v>
      </c>
    </row>
    <row r="3243" spans="1:28" x14ac:dyDescent="0.25">
      <c r="A3243">
        <v>99913242</v>
      </c>
      <c r="B3243" t="s">
        <v>32</v>
      </c>
      <c r="C3243" t="s">
        <v>111</v>
      </c>
      <c r="D3243" t="s">
        <v>112</v>
      </c>
      <c r="G3243" t="s">
        <v>48</v>
      </c>
      <c r="H3243">
        <v>12</v>
      </c>
      <c r="J3243" s="1">
        <v>43344</v>
      </c>
      <c r="K3243" t="s">
        <v>354</v>
      </c>
      <c r="L3243" t="s">
        <v>355</v>
      </c>
      <c r="M3243" t="s">
        <v>131</v>
      </c>
      <c r="N3243">
        <v>21</v>
      </c>
      <c r="O3243" s="1">
        <v>43344</v>
      </c>
      <c r="P3243" t="s">
        <v>41</v>
      </c>
      <c r="Q3243" t="s">
        <v>75</v>
      </c>
      <c r="R3243" t="str">
        <f>"7054022"</f>
        <v>7054022</v>
      </c>
      <c r="S3243" t="s">
        <v>770</v>
      </c>
      <c r="T3243" t="s">
        <v>354</v>
      </c>
      <c r="U3243" t="s">
        <v>355</v>
      </c>
      <c r="V3243" t="s">
        <v>131</v>
      </c>
      <c r="W3243" t="s">
        <v>51</v>
      </c>
      <c r="X3243" t="s">
        <v>45</v>
      </c>
      <c r="Y3243" s="1">
        <v>25204</v>
      </c>
      <c r="Z3243">
        <v>1</v>
      </c>
      <c r="AA3243" t="s">
        <v>355</v>
      </c>
      <c r="AB3243" s="40" t="s">
        <v>1799</v>
      </c>
    </row>
    <row r="3244" spans="1:28" x14ac:dyDescent="0.25">
      <c r="A3244">
        <v>99913243</v>
      </c>
      <c r="B3244" t="s">
        <v>56</v>
      </c>
      <c r="C3244" t="s">
        <v>52</v>
      </c>
      <c r="D3244" t="s">
        <v>53</v>
      </c>
      <c r="G3244" t="s">
        <v>48</v>
      </c>
      <c r="H3244">
        <v>1</v>
      </c>
      <c r="K3244" t="s">
        <v>157</v>
      </c>
      <c r="L3244" t="s">
        <v>158</v>
      </c>
      <c r="M3244" t="s">
        <v>131</v>
      </c>
      <c r="N3244">
        <v>21</v>
      </c>
      <c r="P3244" t="s">
        <v>41</v>
      </c>
      <c r="Q3244" t="s">
        <v>42</v>
      </c>
      <c r="R3244" t="str">
        <f>"0580290"</f>
        <v>0580290</v>
      </c>
      <c r="S3244" t="s">
        <v>171</v>
      </c>
      <c r="T3244" t="s">
        <v>157</v>
      </c>
      <c r="U3244" t="s">
        <v>158</v>
      </c>
      <c r="V3244" t="s">
        <v>131</v>
      </c>
      <c r="W3244" t="s">
        <v>51</v>
      </c>
      <c r="X3244" t="s">
        <v>45</v>
      </c>
      <c r="Y3244" s="1">
        <v>25181</v>
      </c>
      <c r="Z3244">
        <v>2</v>
      </c>
      <c r="AA3244" t="s">
        <v>158</v>
      </c>
      <c r="AB3244" s="40" t="s">
        <v>1799</v>
      </c>
    </row>
    <row r="3245" spans="1:28" x14ac:dyDescent="0.25">
      <c r="A3245">
        <v>99913244</v>
      </c>
      <c r="B3245" t="s">
        <v>56</v>
      </c>
      <c r="C3245" t="s">
        <v>52</v>
      </c>
      <c r="D3245" t="s">
        <v>53</v>
      </c>
      <c r="G3245" t="s">
        <v>48</v>
      </c>
      <c r="H3245">
        <v>1</v>
      </c>
      <c r="K3245" t="s">
        <v>162</v>
      </c>
      <c r="L3245" t="s">
        <v>158</v>
      </c>
      <c r="M3245" t="s">
        <v>131</v>
      </c>
      <c r="N3245">
        <v>21</v>
      </c>
      <c r="P3245" t="s">
        <v>41</v>
      </c>
      <c r="Q3245" t="s">
        <v>42</v>
      </c>
      <c r="R3245" t="str">
        <f>"0580310"</f>
        <v>0580310</v>
      </c>
      <c r="S3245" t="s">
        <v>173</v>
      </c>
      <c r="T3245" t="s">
        <v>162</v>
      </c>
      <c r="U3245" t="s">
        <v>158</v>
      </c>
      <c r="V3245" t="s">
        <v>131</v>
      </c>
      <c r="W3245" t="s">
        <v>51</v>
      </c>
      <c r="X3245" t="s">
        <v>45</v>
      </c>
      <c r="Y3245" s="1">
        <v>25169</v>
      </c>
      <c r="Z3245">
        <v>2</v>
      </c>
      <c r="AA3245" t="s">
        <v>158</v>
      </c>
      <c r="AB3245" s="40" t="s">
        <v>1799</v>
      </c>
    </row>
    <row r="3246" spans="1:28" x14ac:dyDescent="0.25">
      <c r="A3246">
        <v>99913245</v>
      </c>
      <c r="B3246" t="s">
        <v>32</v>
      </c>
      <c r="C3246" t="s">
        <v>64</v>
      </c>
      <c r="D3246" t="s">
        <v>65</v>
      </c>
      <c r="G3246" t="s">
        <v>35</v>
      </c>
      <c r="H3246">
        <v>1</v>
      </c>
      <c r="K3246" t="s">
        <v>268</v>
      </c>
      <c r="L3246" t="s">
        <v>269</v>
      </c>
      <c r="M3246" t="s">
        <v>131</v>
      </c>
      <c r="N3246">
        <v>21</v>
      </c>
      <c r="P3246" t="s">
        <v>41</v>
      </c>
      <c r="Q3246" t="s">
        <v>75</v>
      </c>
      <c r="R3246" t="str">
        <f>"7052002"</f>
        <v>7052002</v>
      </c>
      <c r="S3246" t="s">
        <v>590</v>
      </c>
      <c r="T3246" t="s">
        <v>268</v>
      </c>
      <c r="U3246" t="s">
        <v>269</v>
      </c>
      <c r="V3246" t="s">
        <v>131</v>
      </c>
      <c r="W3246" t="s">
        <v>51</v>
      </c>
      <c r="X3246" t="s">
        <v>45</v>
      </c>
      <c r="Y3246" s="1">
        <v>25169</v>
      </c>
      <c r="Z3246">
        <v>1</v>
      </c>
      <c r="AA3246" t="s">
        <v>269</v>
      </c>
      <c r="AB3246" s="40" t="s">
        <v>1799</v>
      </c>
    </row>
    <row r="3247" spans="1:28" x14ac:dyDescent="0.25">
      <c r="A3247">
        <v>99913246</v>
      </c>
      <c r="B3247" t="s">
        <v>56</v>
      </c>
      <c r="C3247" t="s">
        <v>46</v>
      </c>
      <c r="D3247" t="s">
        <v>47</v>
      </c>
      <c r="G3247" t="s">
        <v>48</v>
      </c>
      <c r="H3247">
        <v>1</v>
      </c>
      <c r="K3247" t="s">
        <v>223</v>
      </c>
      <c r="L3247" t="s">
        <v>224</v>
      </c>
      <c r="M3247" t="s">
        <v>131</v>
      </c>
      <c r="N3247">
        <v>21</v>
      </c>
      <c r="P3247" t="s">
        <v>41</v>
      </c>
      <c r="Q3247" t="s">
        <v>42</v>
      </c>
      <c r="R3247" t="str">
        <f>"0590910"</f>
        <v>0590910</v>
      </c>
      <c r="S3247" t="s">
        <v>227</v>
      </c>
      <c r="T3247" t="s">
        <v>223</v>
      </c>
      <c r="U3247" t="s">
        <v>224</v>
      </c>
      <c r="V3247" t="s">
        <v>131</v>
      </c>
      <c r="W3247" t="s">
        <v>51</v>
      </c>
      <c r="X3247" t="s">
        <v>45</v>
      </c>
      <c r="Y3247" s="1">
        <v>25167</v>
      </c>
      <c r="Z3247">
        <v>2</v>
      </c>
      <c r="AA3247" t="s">
        <v>224</v>
      </c>
      <c r="AB3247" s="40" t="s">
        <v>1799</v>
      </c>
    </row>
    <row r="3248" spans="1:28" x14ac:dyDescent="0.25">
      <c r="A3248">
        <v>99913247</v>
      </c>
      <c r="B3248" t="s">
        <v>56</v>
      </c>
      <c r="C3248" t="s">
        <v>111</v>
      </c>
      <c r="D3248" t="s">
        <v>112</v>
      </c>
      <c r="G3248" t="s">
        <v>35</v>
      </c>
      <c r="H3248">
        <v>1</v>
      </c>
      <c r="K3248" t="s">
        <v>154</v>
      </c>
      <c r="L3248" t="s">
        <v>155</v>
      </c>
      <c r="M3248" t="s">
        <v>131</v>
      </c>
      <c r="N3248">
        <v>21</v>
      </c>
      <c r="P3248" t="s">
        <v>41</v>
      </c>
      <c r="Q3248" t="s">
        <v>75</v>
      </c>
      <c r="R3248" t="str">
        <f>"7700026"</f>
        <v>7700026</v>
      </c>
      <c r="S3248" t="s">
        <v>397</v>
      </c>
      <c r="T3248" t="s">
        <v>154</v>
      </c>
      <c r="U3248" t="s">
        <v>155</v>
      </c>
      <c r="V3248" t="s">
        <v>131</v>
      </c>
      <c r="W3248" t="s">
        <v>51</v>
      </c>
      <c r="X3248" t="s">
        <v>45</v>
      </c>
      <c r="Y3248" s="1">
        <v>25158</v>
      </c>
      <c r="Z3248">
        <v>1</v>
      </c>
      <c r="AA3248" t="s">
        <v>155</v>
      </c>
      <c r="AB3248" s="40" t="s">
        <v>1799</v>
      </c>
    </row>
    <row r="3249" spans="1:28" x14ac:dyDescent="0.25">
      <c r="A3249">
        <v>99913248</v>
      </c>
      <c r="B3249" t="s">
        <v>32</v>
      </c>
      <c r="C3249" t="s">
        <v>111</v>
      </c>
      <c r="D3249" t="s">
        <v>112</v>
      </c>
      <c r="G3249" t="s">
        <v>35</v>
      </c>
      <c r="H3249">
        <v>1</v>
      </c>
      <c r="I3249" t="s">
        <v>1112</v>
      </c>
      <c r="J3249" s="1">
        <v>43344</v>
      </c>
      <c r="K3249" t="s">
        <v>1081</v>
      </c>
      <c r="L3249" t="s">
        <v>1082</v>
      </c>
      <c r="M3249" t="s">
        <v>1053</v>
      </c>
      <c r="N3249">
        <v>21</v>
      </c>
      <c r="O3249" s="1">
        <v>43344</v>
      </c>
      <c r="P3249" t="s">
        <v>41</v>
      </c>
      <c r="Q3249" t="s">
        <v>75</v>
      </c>
      <c r="R3249" t="str">
        <f>"7201000"</f>
        <v>7201000</v>
      </c>
      <c r="S3249" t="s">
        <v>1088</v>
      </c>
      <c r="T3249" t="s">
        <v>1081</v>
      </c>
      <c r="U3249" t="s">
        <v>1082</v>
      </c>
      <c r="V3249" t="s">
        <v>1053</v>
      </c>
      <c r="W3249" t="s">
        <v>51</v>
      </c>
      <c r="X3249" t="s">
        <v>45</v>
      </c>
      <c r="Y3249" s="1">
        <v>25132</v>
      </c>
      <c r="Z3249">
        <v>1</v>
      </c>
      <c r="AA3249" t="s">
        <v>1082</v>
      </c>
      <c r="AB3249" s="40" t="s">
        <v>1799</v>
      </c>
    </row>
    <row r="3250" spans="1:28" x14ac:dyDescent="0.25">
      <c r="A3250">
        <v>99913249</v>
      </c>
      <c r="B3250" t="s">
        <v>32</v>
      </c>
      <c r="C3250" t="s">
        <v>111</v>
      </c>
      <c r="D3250" t="s">
        <v>112</v>
      </c>
      <c r="G3250" t="s">
        <v>48</v>
      </c>
      <c r="H3250">
        <v>1</v>
      </c>
      <c r="K3250" t="s">
        <v>154</v>
      </c>
      <c r="L3250" t="s">
        <v>155</v>
      </c>
      <c r="M3250" t="s">
        <v>131</v>
      </c>
      <c r="N3250">
        <v>21</v>
      </c>
      <c r="P3250" t="s">
        <v>41</v>
      </c>
      <c r="Q3250" t="s">
        <v>75</v>
      </c>
      <c r="R3250" t="str">
        <f>"7051022"</f>
        <v>7051022</v>
      </c>
      <c r="S3250" t="s">
        <v>153</v>
      </c>
      <c r="T3250" t="s">
        <v>154</v>
      </c>
      <c r="U3250" t="s">
        <v>155</v>
      </c>
      <c r="V3250" t="s">
        <v>131</v>
      </c>
      <c r="W3250" t="s">
        <v>51</v>
      </c>
      <c r="X3250" t="s">
        <v>45</v>
      </c>
      <c r="Y3250" s="1">
        <v>25114</v>
      </c>
      <c r="Z3250">
        <v>1</v>
      </c>
      <c r="AA3250" t="s">
        <v>155</v>
      </c>
      <c r="AB3250" s="40" t="s">
        <v>1799</v>
      </c>
    </row>
    <row r="3251" spans="1:28" x14ac:dyDescent="0.25">
      <c r="A3251">
        <v>99913250</v>
      </c>
      <c r="B3251" t="s">
        <v>32</v>
      </c>
      <c r="C3251" t="s">
        <v>46</v>
      </c>
      <c r="D3251" t="s">
        <v>47</v>
      </c>
      <c r="G3251" t="s">
        <v>48</v>
      </c>
      <c r="H3251">
        <v>1</v>
      </c>
      <c r="K3251" t="s">
        <v>300</v>
      </c>
      <c r="L3251" t="s">
        <v>301</v>
      </c>
      <c r="M3251" t="s">
        <v>131</v>
      </c>
      <c r="N3251">
        <v>21</v>
      </c>
      <c r="P3251" t="s">
        <v>41</v>
      </c>
      <c r="Q3251" t="s">
        <v>42</v>
      </c>
      <c r="R3251" t="str">
        <f>"0580176"</f>
        <v>0580176</v>
      </c>
      <c r="S3251" t="s">
        <v>305</v>
      </c>
      <c r="T3251" t="s">
        <v>300</v>
      </c>
      <c r="U3251" t="s">
        <v>301</v>
      </c>
      <c r="V3251" t="s">
        <v>131</v>
      </c>
      <c r="W3251" t="s">
        <v>51</v>
      </c>
      <c r="X3251" t="s">
        <v>45</v>
      </c>
      <c r="Y3251" s="1">
        <v>25093</v>
      </c>
      <c r="Z3251">
        <v>2</v>
      </c>
      <c r="AA3251" t="s">
        <v>301</v>
      </c>
      <c r="AB3251" s="40" t="s">
        <v>1799</v>
      </c>
    </row>
    <row r="3252" spans="1:28" x14ac:dyDescent="0.25">
      <c r="A3252">
        <v>99913251</v>
      </c>
      <c r="B3252" t="s">
        <v>32</v>
      </c>
      <c r="C3252" t="s">
        <v>79</v>
      </c>
      <c r="D3252" t="s">
        <v>80</v>
      </c>
      <c r="G3252" t="s">
        <v>48</v>
      </c>
      <c r="H3252">
        <v>1</v>
      </c>
      <c r="K3252" t="s">
        <v>431</v>
      </c>
      <c r="L3252" t="s">
        <v>196</v>
      </c>
      <c r="M3252" t="s">
        <v>131</v>
      </c>
      <c r="N3252">
        <v>21</v>
      </c>
      <c r="P3252" t="s">
        <v>41</v>
      </c>
      <c r="Q3252" t="s">
        <v>75</v>
      </c>
      <c r="R3252" t="str">
        <f>"7521016"</f>
        <v>7521016</v>
      </c>
      <c r="S3252" t="s">
        <v>448</v>
      </c>
      <c r="T3252" t="s">
        <v>431</v>
      </c>
      <c r="U3252" t="s">
        <v>196</v>
      </c>
      <c r="V3252" t="s">
        <v>131</v>
      </c>
      <c r="W3252" t="s">
        <v>51</v>
      </c>
      <c r="X3252" t="s">
        <v>45</v>
      </c>
      <c r="Y3252" s="1">
        <v>25085</v>
      </c>
      <c r="Z3252">
        <v>1</v>
      </c>
      <c r="AA3252" t="s">
        <v>196</v>
      </c>
      <c r="AB3252" s="40" t="s">
        <v>1799</v>
      </c>
    </row>
    <row r="3253" spans="1:28" x14ac:dyDescent="0.25">
      <c r="A3253">
        <v>99913252</v>
      </c>
      <c r="B3253" t="s">
        <v>32</v>
      </c>
      <c r="C3253" t="s">
        <v>64</v>
      </c>
      <c r="D3253" t="s">
        <v>65</v>
      </c>
      <c r="G3253" t="s">
        <v>35</v>
      </c>
      <c r="H3253">
        <v>1</v>
      </c>
      <c r="K3253" t="s">
        <v>268</v>
      </c>
      <c r="L3253" t="s">
        <v>269</v>
      </c>
      <c r="M3253" t="s">
        <v>131</v>
      </c>
      <c r="N3253">
        <v>21</v>
      </c>
      <c r="P3253" t="s">
        <v>41</v>
      </c>
      <c r="Q3253" t="s">
        <v>75</v>
      </c>
      <c r="R3253" t="str">
        <f>"7052028"</f>
        <v>7052028</v>
      </c>
      <c r="S3253" t="s">
        <v>601</v>
      </c>
      <c r="T3253" t="s">
        <v>268</v>
      </c>
      <c r="U3253" t="s">
        <v>269</v>
      </c>
      <c r="V3253" t="s">
        <v>131</v>
      </c>
      <c r="W3253" t="s">
        <v>51</v>
      </c>
      <c r="X3253" t="s">
        <v>45</v>
      </c>
      <c r="Y3253" s="1">
        <v>25078</v>
      </c>
      <c r="Z3253">
        <v>1</v>
      </c>
      <c r="AA3253" t="s">
        <v>269</v>
      </c>
      <c r="AB3253" s="40" t="s">
        <v>1799</v>
      </c>
    </row>
    <row r="3254" spans="1:28" x14ac:dyDescent="0.25">
      <c r="A3254">
        <v>99913253</v>
      </c>
      <c r="B3254" t="s">
        <v>32</v>
      </c>
      <c r="C3254" t="s">
        <v>79</v>
      </c>
      <c r="D3254" t="s">
        <v>80</v>
      </c>
      <c r="G3254" t="s">
        <v>35</v>
      </c>
      <c r="H3254">
        <v>1</v>
      </c>
      <c r="I3254" t="s">
        <v>681</v>
      </c>
      <c r="J3254" s="1">
        <v>43344</v>
      </c>
      <c r="K3254" t="s">
        <v>268</v>
      </c>
      <c r="L3254" t="s">
        <v>269</v>
      </c>
      <c r="M3254" t="s">
        <v>131</v>
      </c>
      <c r="N3254">
        <v>21</v>
      </c>
      <c r="O3254" s="1">
        <v>43344</v>
      </c>
      <c r="P3254" t="s">
        <v>41</v>
      </c>
      <c r="Q3254" t="s">
        <v>75</v>
      </c>
      <c r="R3254" t="str">
        <f>"7052020"</f>
        <v>7052020</v>
      </c>
      <c r="S3254" t="s">
        <v>267</v>
      </c>
      <c r="T3254" t="s">
        <v>268</v>
      </c>
      <c r="U3254" t="s">
        <v>269</v>
      </c>
      <c r="V3254" t="s">
        <v>131</v>
      </c>
      <c r="W3254" t="s">
        <v>51</v>
      </c>
      <c r="X3254" t="s">
        <v>45</v>
      </c>
      <c r="Y3254" s="1">
        <v>25078</v>
      </c>
      <c r="Z3254">
        <v>1</v>
      </c>
      <c r="AA3254" t="s">
        <v>269</v>
      </c>
      <c r="AB3254" s="40" t="s">
        <v>1799</v>
      </c>
    </row>
    <row r="3255" spans="1:28" x14ac:dyDescent="0.25">
      <c r="A3255">
        <v>99913254</v>
      </c>
      <c r="B3255" t="s">
        <v>32</v>
      </c>
      <c r="C3255" t="s">
        <v>111</v>
      </c>
      <c r="D3255" t="s">
        <v>112</v>
      </c>
      <c r="G3255" t="s">
        <v>48</v>
      </c>
      <c r="H3255">
        <v>14</v>
      </c>
      <c r="K3255" t="s">
        <v>195</v>
      </c>
      <c r="L3255" t="s">
        <v>196</v>
      </c>
      <c r="M3255" t="s">
        <v>131</v>
      </c>
      <c r="N3255">
        <v>21</v>
      </c>
      <c r="O3255" s="1">
        <v>36055</v>
      </c>
      <c r="P3255" t="s">
        <v>41</v>
      </c>
      <c r="Q3255" t="s">
        <v>75</v>
      </c>
      <c r="R3255" t="str">
        <f>"7521044"</f>
        <v>7521044</v>
      </c>
      <c r="S3255" t="s">
        <v>453</v>
      </c>
      <c r="T3255" t="s">
        <v>195</v>
      </c>
      <c r="U3255" t="s">
        <v>196</v>
      </c>
      <c r="V3255" t="s">
        <v>131</v>
      </c>
      <c r="W3255" t="s">
        <v>165</v>
      </c>
      <c r="X3255" t="s">
        <v>45</v>
      </c>
      <c r="Y3255" s="1">
        <v>25065</v>
      </c>
      <c r="Z3255">
        <v>1</v>
      </c>
      <c r="AA3255" t="s">
        <v>196</v>
      </c>
      <c r="AB3255" s="40" t="s">
        <v>1799</v>
      </c>
    </row>
    <row r="3256" spans="1:28" x14ac:dyDescent="0.25">
      <c r="A3256">
        <v>99913255</v>
      </c>
      <c r="B3256" t="s">
        <v>32</v>
      </c>
      <c r="C3256" t="s">
        <v>52</v>
      </c>
      <c r="D3256" t="s">
        <v>53</v>
      </c>
      <c r="G3256" t="s">
        <v>35</v>
      </c>
      <c r="H3256">
        <v>1</v>
      </c>
      <c r="K3256" t="s">
        <v>157</v>
      </c>
      <c r="L3256" t="s">
        <v>158</v>
      </c>
      <c r="M3256" t="s">
        <v>131</v>
      </c>
      <c r="N3256">
        <v>21</v>
      </c>
      <c r="P3256" t="s">
        <v>41</v>
      </c>
      <c r="Q3256" t="s">
        <v>49</v>
      </c>
      <c r="R3256" t="str">
        <f>"0560011"</f>
        <v>0560011</v>
      </c>
      <c r="S3256" t="s">
        <v>185</v>
      </c>
      <c r="T3256" t="s">
        <v>157</v>
      </c>
      <c r="U3256" t="s">
        <v>158</v>
      </c>
      <c r="V3256" t="s">
        <v>131</v>
      </c>
      <c r="W3256" t="s">
        <v>51</v>
      </c>
      <c r="X3256" t="s">
        <v>45</v>
      </c>
      <c r="Y3256" s="1">
        <v>25017</v>
      </c>
      <c r="Z3256">
        <v>2</v>
      </c>
      <c r="AA3256" t="s">
        <v>158</v>
      </c>
      <c r="AB3256" s="40" t="s">
        <v>1799</v>
      </c>
    </row>
    <row r="3257" spans="1:28" x14ac:dyDescent="0.25">
      <c r="A3257">
        <v>99913256</v>
      </c>
      <c r="B3257" t="s">
        <v>32</v>
      </c>
      <c r="C3257" t="s">
        <v>141</v>
      </c>
      <c r="D3257" t="s">
        <v>142</v>
      </c>
      <c r="G3257" t="s">
        <v>48</v>
      </c>
      <c r="H3257">
        <v>1</v>
      </c>
      <c r="K3257" t="s">
        <v>431</v>
      </c>
      <c r="L3257" t="s">
        <v>196</v>
      </c>
      <c r="M3257" t="s">
        <v>131</v>
      </c>
      <c r="N3257">
        <v>21</v>
      </c>
      <c r="P3257" t="s">
        <v>41</v>
      </c>
      <c r="Q3257" t="s">
        <v>75</v>
      </c>
      <c r="R3257" t="str">
        <f>"7521016"</f>
        <v>7521016</v>
      </c>
      <c r="S3257" t="s">
        <v>448</v>
      </c>
      <c r="T3257" t="s">
        <v>431</v>
      </c>
      <c r="U3257" t="s">
        <v>196</v>
      </c>
      <c r="V3257" t="s">
        <v>131</v>
      </c>
      <c r="W3257" t="s">
        <v>51</v>
      </c>
      <c r="X3257" t="s">
        <v>45</v>
      </c>
      <c r="Y3257" s="1">
        <v>25006</v>
      </c>
      <c r="Z3257">
        <v>1</v>
      </c>
      <c r="AA3257" t="s">
        <v>196</v>
      </c>
      <c r="AB3257" s="40" t="s">
        <v>1799</v>
      </c>
    </row>
    <row r="3258" spans="1:28" x14ac:dyDescent="0.25">
      <c r="A3258">
        <v>99913257</v>
      </c>
      <c r="B3258" t="s">
        <v>56</v>
      </c>
      <c r="C3258" t="s">
        <v>111</v>
      </c>
      <c r="D3258" t="s">
        <v>112</v>
      </c>
      <c r="G3258" t="s">
        <v>48</v>
      </c>
      <c r="H3258">
        <v>11</v>
      </c>
      <c r="I3258" t="s">
        <v>454</v>
      </c>
      <c r="J3258" s="1">
        <v>40057</v>
      </c>
      <c r="K3258" t="s">
        <v>195</v>
      </c>
      <c r="L3258" t="s">
        <v>196</v>
      </c>
      <c r="M3258" t="s">
        <v>131</v>
      </c>
      <c r="N3258">
        <v>21</v>
      </c>
      <c r="O3258" s="1">
        <v>40057</v>
      </c>
      <c r="P3258" t="s">
        <v>41</v>
      </c>
      <c r="Q3258" t="s">
        <v>75</v>
      </c>
      <c r="R3258" t="str">
        <f>"7521050"</f>
        <v>7521050</v>
      </c>
      <c r="S3258" t="s">
        <v>194</v>
      </c>
      <c r="T3258" t="s">
        <v>195</v>
      </c>
      <c r="U3258" t="s">
        <v>196</v>
      </c>
      <c r="V3258" t="s">
        <v>131</v>
      </c>
      <c r="W3258" t="s">
        <v>51</v>
      </c>
      <c r="X3258" t="s">
        <v>45</v>
      </c>
      <c r="Y3258" s="1">
        <v>24998</v>
      </c>
      <c r="Z3258">
        <v>1</v>
      </c>
      <c r="AA3258" t="s">
        <v>196</v>
      </c>
      <c r="AB3258" s="40" t="s">
        <v>1799</v>
      </c>
    </row>
    <row r="3259" spans="1:28" x14ac:dyDescent="0.25">
      <c r="A3259">
        <v>99913258</v>
      </c>
      <c r="B3259" t="s">
        <v>56</v>
      </c>
      <c r="C3259" t="s">
        <v>46</v>
      </c>
      <c r="D3259" t="s">
        <v>47</v>
      </c>
      <c r="G3259" t="s">
        <v>48</v>
      </c>
      <c r="H3259">
        <v>1</v>
      </c>
      <c r="K3259" t="s">
        <v>223</v>
      </c>
      <c r="L3259" t="s">
        <v>224</v>
      </c>
      <c r="M3259" t="s">
        <v>131</v>
      </c>
      <c r="N3259">
        <v>21</v>
      </c>
      <c r="P3259" t="s">
        <v>41</v>
      </c>
      <c r="Q3259" t="s">
        <v>42</v>
      </c>
      <c r="R3259" t="str">
        <f>"0590902"</f>
        <v>0590902</v>
      </c>
      <c r="S3259" t="s">
        <v>241</v>
      </c>
      <c r="T3259" t="s">
        <v>223</v>
      </c>
      <c r="U3259" t="s">
        <v>224</v>
      </c>
      <c r="V3259" t="s">
        <v>131</v>
      </c>
      <c r="W3259" t="s">
        <v>51</v>
      </c>
      <c r="X3259" t="s">
        <v>45</v>
      </c>
      <c r="Y3259" s="1">
        <v>24996</v>
      </c>
      <c r="Z3259">
        <v>2</v>
      </c>
      <c r="AA3259" t="s">
        <v>224</v>
      </c>
      <c r="AB3259" s="40" t="s">
        <v>1799</v>
      </c>
    </row>
    <row r="3260" spans="1:28" x14ac:dyDescent="0.25">
      <c r="A3260">
        <v>99913259</v>
      </c>
      <c r="B3260" t="s">
        <v>56</v>
      </c>
      <c r="C3260" t="s">
        <v>79</v>
      </c>
      <c r="D3260" t="s">
        <v>80</v>
      </c>
      <c r="G3260" t="s">
        <v>48</v>
      </c>
      <c r="H3260">
        <v>1</v>
      </c>
      <c r="K3260" t="s">
        <v>1496</v>
      </c>
      <c r="L3260" t="s">
        <v>1497</v>
      </c>
      <c r="M3260" t="s">
        <v>670</v>
      </c>
      <c r="N3260">
        <v>21</v>
      </c>
      <c r="P3260" t="s">
        <v>41</v>
      </c>
      <c r="Q3260" t="s">
        <v>42</v>
      </c>
      <c r="R3260" t="str">
        <f>"5080015"</f>
        <v>5080015</v>
      </c>
      <c r="S3260" t="s">
        <v>1498</v>
      </c>
      <c r="T3260" t="s">
        <v>1496</v>
      </c>
      <c r="U3260" t="s">
        <v>1497</v>
      </c>
      <c r="V3260" t="s">
        <v>670</v>
      </c>
      <c r="W3260" t="s">
        <v>51</v>
      </c>
      <c r="X3260" t="s">
        <v>45</v>
      </c>
      <c r="Y3260" s="1">
        <v>24992</v>
      </c>
      <c r="Z3260">
        <v>2</v>
      </c>
      <c r="AA3260" t="s">
        <v>1497</v>
      </c>
      <c r="AB3260" s="40" t="s">
        <v>1799</v>
      </c>
    </row>
    <row r="3261" spans="1:28" x14ac:dyDescent="0.25">
      <c r="A3261">
        <v>99913260</v>
      </c>
      <c r="B3261" t="s">
        <v>32</v>
      </c>
      <c r="C3261" t="s">
        <v>79</v>
      </c>
      <c r="D3261" t="s">
        <v>80</v>
      </c>
      <c r="G3261" t="s">
        <v>48</v>
      </c>
      <c r="H3261">
        <v>1</v>
      </c>
      <c r="K3261" t="s">
        <v>431</v>
      </c>
      <c r="L3261" t="s">
        <v>196</v>
      </c>
      <c r="M3261" t="s">
        <v>131</v>
      </c>
      <c r="N3261">
        <v>21</v>
      </c>
      <c r="P3261" t="s">
        <v>41</v>
      </c>
      <c r="Q3261" t="s">
        <v>75</v>
      </c>
      <c r="R3261" t="str">
        <f>"7521016"</f>
        <v>7521016</v>
      </c>
      <c r="S3261" t="s">
        <v>448</v>
      </c>
      <c r="T3261" t="s">
        <v>431</v>
      </c>
      <c r="U3261" t="s">
        <v>196</v>
      </c>
      <c r="V3261" t="s">
        <v>131</v>
      </c>
      <c r="W3261" t="s">
        <v>51</v>
      </c>
      <c r="X3261" t="s">
        <v>45</v>
      </c>
      <c r="Y3261" s="1">
        <v>24963</v>
      </c>
      <c r="Z3261">
        <v>1</v>
      </c>
      <c r="AA3261" t="s">
        <v>196</v>
      </c>
      <c r="AB3261" s="40" t="s">
        <v>1799</v>
      </c>
    </row>
    <row r="3262" spans="1:28" x14ac:dyDescent="0.25">
      <c r="A3262">
        <v>99913261</v>
      </c>
      <c r="B3262" t="s">
        <v>32</v>
      </c>
      <c r="C3262" t="s">
        <v>139</v>
      </c>
      <c r="D3262" t="s">
        <v>140</v>
      </c>
      <c r="G3262" t="s">
        <v>48</v>
      </c>
      <c r="H3262">
        <v>11</v>
      </c>
      <c r="I3262" t="s">
        <v>457</v>
      </c>
      <c r="J3262" s="1">
        <v>39326</v>
      </c>
      <c r="K3262" t="s">
        <v>195</v>
      </c>
      <c r="L3262" t="s">
        <v>196</v>
      </c>
      <c r="M3262" t="s">
        <v>131</v>
      </c>
      <c r="N3262">
        <v>21</v>
      </c>
      <c r="O3262" s="1">
        <v>39326</v>
      </c>
      <c r="P3262" t="s">
        <v>41</v>
      </c>
      <c r="Q3262" t="s">
        <v>75</v>
      </c>
      <c r="R3262" t="str">
        <f>"7521042"</f>
        <v>7521042</v>
      </c>
      <c r="S3262" t="s">
        <v>440</v>
      </c>
      <c r="T3262" t="s">
        <v>195</v>
      </c>
      <c r="U3262" t="s">
        <v>196</v>
      </c>
      <c r="V3262" t="s">
        <v>131</v>
      </c>
      <c r="W3262" t="s">
        <v>165</v>
      </c>
      <c r="X3262" t="s">
        <v>45</v>
      </c>
      <c r="Y3262" s="1">
        <v>24961</v>
      </c>
      <c r="Z3262">
        <v>1</v>
      </c>
      <c r="AA3262" t="s">
        <v>196</v>
      </c>
      <c r="AB3262" s="40" t="s">
        <v>1799</v>
      </c>
    </row>
    <row r="3263" spans="1:28" x14ac:dyDescent="0.25">
      <c r="A3263">
        <v>99913262</v>
      </c>
      <c r="B3263" t="s">
        <v>32</v>
      </c>
      <c r="C3263" t="s">
        <v>64</v>
      </c>
      <c r="D3263" t="s">
        <v>65</v>
      </c>
      <c r="G3263" t="s">
        <v>35</v>
      </c>
      <c r="H3263">
        <v>1</v>
      </c>
      <c r="K3263" t="s">
        <v>154</v>
      </c>
      <c r="L3263" t="s">
        <v>155</v>
      </c>
      <c r="M3263" t="s">
        <v>131</v>
      </c>
      <c r="N3263">
        <v>21</v>
      </c>
      <c r="P3263" t="s">
        <v>41</v>
      </c>
      <c r="Q3263" t="s">
        <v>75</v>
      </c>
      <c r="R3263" t="str">
        <f>"7051014"</f>
        <v>7051014</v>
      </c>
      <c r="S3263" t="s">
        <v>398</v>
      </c>
      <c r="T3263" t="s">
        <v>154</v>
      </c>
      <c r="U3263" t="s">
        <v>155</v>
      </c>
      <c r="V3263" t="s">
        <v>131</v>
      </c>
      <c r="W3263" t="s">
        <v>165</v>
      </c>
      <c r="X3263" t="s">
        <v>45</v>
      </c>
      <c r="Y3263" s="1">
        <v>24954</v>
      </c>
      <c r="Z3263">
        <v>1</v>
      </c>
      <c r="AA3263" t="s">
        <v>155</v>
      </c>
      <c r="AB3263" s="40" t="s">
        <v>1799</v>
      </c>
    </row>
    <row r="3264" spans="1:28" x14ac:dyDescent="0.25">
      <c r="A3264">
        <v>99913263</v>
      </c>
      <c r="B3264" t="s">
        <v>32</v>
      </c>
      <c r="C3264" t="s">
        <v>64</v>
      </c>
      <c r="D3264" t="s">
        <v>65</v>
      </c>
      <c r="G3264" t="s">
        <v>48</v>
      </c>
      <c r="H3264">
        <v>1</v>
      </c>
      <c r="K3264" t="s">
        <v>223</v>
      </c>
      <c r="L3264" t="s">
        <v>224</v>
      </c>
      <c r="M3264" t="s">
        <v>131</v>
      </c>
      <c r="N3264">
        <v>21</v>
      </c>
      <c r="P3264" t="s">
        <v>41</v>
      </c>
      <c r="Q3264" t="s">
        <v>49</v>
      </c>
      <c r="R3264" t="str">
        <f>"0540902"</f>
        <v>0540902</v>
      </c>
      <c r="S3264" t="s">
        <v>256</v>
      </c>
      <c r="T3264" t="s">
        <v>223</v>
      </c>
      <c r="U3264" t="s">
        <v>224</v>
      </c>
      <c r="V3264" t="s">
        <v>131</v>
      </c>
      <c r="W3264" t="s">
        <v>51</v>
      </c>
      <c r="X3264" t="s">
        <v>45</v>
      </c>
      <c r="Y3264" s="1">
        <v>24952</v>
      </c>
      <c r="Z3264">
        <v>2</v>
      </c>
      <c r="AA3264" t="s">
        <v>224</v>
      </c>
      <c r="AB3264" s="40" t="s">
        <v>1799</v>
      </c>
    </row>
    <row r="3265" spans="1:28" x14ac:dyDescent="0.25">
      <c r="A3265">
        <v>99913264</v>
      </c>
      <c r="B3265" t="s">
        <v>56</v>
      </c>
      <c r="C3265" t="s">
        <v>111</v>
      </c>
      <c r="D3265" t="s">
        <v>112</v>
      </c>
      <c r="G3265" t="s">
        <v>48</v>
      </c>
      <c r="H3265">
        <v>1</v>
      </c>
      <c r="K3265" t="s">
        <v>354</v>
      </c>
      <c r="L3265" t="s">
        <v>355</v>
      </c>
      <c r="M3265" t="s">
        <v>131</v>
      </c>
      <c r="N3265">
        <v>21</v>
      </c>
      <c r="P3265" t="s">
        <v>41</v>
      </c>
      <c r="Q3265" t="s">
        <v>75</v>
      </c>
      <c r="R3265" t="str">
        <f>"7054022"</f>
        <v>7054022</v>
      </c>
      <c r="S3265" t="s">
        <v>770</v>
      </c>
      <c r="T3265" t="s">
        <v>354</v>
      </c>
      <c r="U3265" t="s">
        <v>355</v>
      </c>
      <c r="V3265" t="s">
        <v>131</v>
      </c>
      <c r="W3265" t="s">
        <v>51</v>
      </c>
      <c r="X3265" t="s">
        <v>45</v>
      </c>
      <c r="Y3265" s="1">
        <v>24951</v>
      </c>
      <c r="Z3265">
        <v>1</v>
      </c>
      <c r="AA3265" t="s">
        <v>355</v>
      </c>
      <c r="AB3265" s="40" t="s">
        <v>1799</v>
      </c>
    </row>
    <row r="3266" spans="1:28" x14ac:dyDescent="0.25">
      <c r="A3266">
        <v>99913265</v>
      </c>
      <c r="B3266" t="s">
        <v>56</v>
      </c>
      <c r="C3266" t="s">
        <v>52</v>
      </c>
      <c r="D3266" t="s">
        <v>53</v>
      </c>
      <c r="G3266" t="s">
        <v>48</v>
      </c>
      <c r="H3266">
        <v>1</v>
      </c>
      <c r="K3266" t="s">
        <v>223</v>
      </c>
      <c r="L3266" t="s">
        <v>224</v>
      </c>
      <c r="M3266" t="s">
        <v>131</v>
      </c>
      <c r="N3266">
        <v>21</v>
      </c>
      <c r="P3266" t="s">
        <v>41</v>
      </c>
      <c r="Q3266" t="s">
        <v>42</v>
      </c>
      <c r="R3266" t="str">
        <f>"0590910"</f>
        <v>0590910</v>
      </c>
      <c r="S3266" t="s">
        <v>227</v>
      </c>
      <c r="T3266" t="s">
        <v>223</v>
      </c>
      <c r="U3266" t="s">
        <v>224</v>
      </c>
      <c r="V3266" t="s">
        <v>131</v>
      </c>
      <c r="W3266" t="s">
        <v>51</v>
      </c>
      <c r="X3266" t="s">
        <v>45</v>
      </c>
      <c r="Y3266" s="1">
        <v>24948</v>
      </c>
      <c r="Z3266">
        <v>2</v>
      </c>
      <c r="AA3266" t="s">
        <v>224</v>
      </c>
      <c r="AB3266" s="40" t="s">
        <v>1799</v>
      </c>
    </row>
    <row r="3267" spans="1:28" x14ac:dyDescent="0.25">
      <c r="A3267">
        <v>99913266</v>
      </c>
      <c r="B3267" t="s">
        <v>32</v>
      </c>
      <c r="C3267" t="s">
        <v>52</v>
      </c>
      <c r="D3267" t="s">
        <v>53</v>
      </c>
      <c r="G3267" t="s">
        <v>48</v>
      </c>
      <c r="H3267">
        <v>1</v>
      </c>
      <c r="K3267" t="s">
        <v>300</v>
      </c>
      <c r="L3267" t="s">
        <v>301</v>
      </c>
      <c r="M3267" t="s">
        <v>131</v>
      </c>
      <c r="N3267">
        <v>21</v>
      </c>
      <c r="P3267" t="s">
        <v>41</v>
      </c>
      <c r="Q3267" t="s">
        <v>42</v>
      </c>
      <c r="R3267" t="str">
        <f>"0580176"</f>
        <v>0580176</v>
      </c>
      <c r="S3267" t="s">
        <v>305</v>
      </c>
      <c r="T3267" t="s">
        <v>300</v>
      </c>
      <c r="U3267" t="s">
        <v>301</v>
      </c>
      <c r="V3267" t="s">
        <v>131</v>
      </c>
      <c r="W3267" t="s">
        <v>51</v>
      </c>
      <c r="X3267" t="s">
        <v>45</v>
      </c>
      <c r="Y3267" s="1">
        <v>24935</v>
      </c>
      <c r="Z3267">
        <v>2</v>
      </c>
      <c r="AA3267" t="s">
        <v>301</v>
      </c>
      <c r="AB3267" s="40" t="s">
        <v>1799</v>
      </c>
    </row>
    <row r="3268" spans="1:28" x14ac:dyDescent="0.25">
      <c r="A3268">
        <v>99913267</v>
      </c>
      <c r="B3268" t="s">
        <v>32</v>
      </c>
      <c r="C3268" t="s">
        <v>79</v>
      </c>
      <c r="D3268" t="s">
        <v>80</v>
      </c>
      <c r="G3268" t="s">
        <v>48</v>
      </c>
      <c r="H3268">
        <v>1</v>
      </c>
      <c r="K3268" t="s">
        <v>223</v>
      </c>
      <c r="L3268" t="s">
        <v>224</v>
      </c>
      <c r="M3268" t="s">
        <v>131</v>
      </c>
      <c r="N3268">
        <v>21</v>
      </c>
      <c r="P3268" t="s">
        <v>41</v>
      </c>
      <c r="Q3268" t="s">
        <v>42</v>
      </c>
      <c r="R3268" t="str">
        <f>"0580207"</f>
        <v>0580207</v>
      </c>
      <c r="S3268" t="s">
        <v>229</v>
      </c>
      <c r="T3268" t="s">
        <v>223</v>
      </c>
      <c r="U3268" t="s">
        <v>224</v>
      </c>
      <c r="V3268" t="s">
        <v>131</v>
      </c>
      <c r="W3268" t="s">
        <v>51</v>
      </c>
      <c r="X3268" t="s">
        <v>45</v>
      </c>
      <c r="Y3268" s="1">
        <v>24925</v>
      </c>
      <c r="Z3268">
        <v>2</v>
      </c>
      <c r="AA3268" t="s">
        <v>224</v>
      </c>
      <c r="AB3268" s="40" t="s">
        <v>1799</v>
      </c>
    </row>
    <row r="3269" spans="1:28" x14ac:dyDescent="0.25">
      <c r="A3269">
        <v>99913268</v>
      </c>
      <c r="B3269" t="s">
        <v>32</v>
      </c>
      <c r="C3269" t="s">
        <v>139</v>
      </c>
      <c r="D3269" t="s">
        <v>140</v>
      </c>
      <c r="G3269" t="s">
        <v>48</v>
      </c>
      <c r="H3269">
        <v>9</v>
      </c>
      <c r="K3269" t="s">
        <v>1221</v>
      </c>
      <c r="L3269" t="s">
        <v>1222</v>
      </c>
      <c r="M3269" t="s">
        <v>1130</v>
      </c>
      <c r="N3269">
        <v>21</v>
      </c>
      <c r="P3269" t="s">
        <v>41</v>
      </c>
      <c r="Q3269" t="s">
        <v>75</v>
      </c>
      <c r="R3269" t="str">
        <f>"7351000"</f>
        <v>7351000</v>
      </c>
      <c r="S3269" t="s">
        <v>1223</v>
      </c>
      <c r="T3269" t="s">
        <v>1221</v>
      </c>
      <c r="U3269" t="s">
        <v>1222</v>
      </c>
      <c r="V3269" t="s">
        <v>1130</v>
      </c>
      <c r="W3269" t="s">
        <v>51</v>
      </c>
      <c r="X3269" t="s">
        <v>45</v>
      </c>
      <c r="Y3269" s="1">
        <v>24915</v>
      </c>
      <c r="Z3269">
        <v>1</v>
      </c>
      <c r="AA3269" t="s">
        <v>1222</v>
      </c>
      <c r="AB3269" s="40" t="s">
        <v>1799</v>
      </c>
    </row>
    <row r="3270" spans="1:28" x14ac:dyDescent="0.25">
      <c r="A3270">
        <v>99913269</v>
      </c>
      <c r="B3270" t="s">
        <v>32</v>
      </c>
      <c r="C3270" t="s">
        <v>111</v>
      </c>
      <c r="D3270" t="s">
        <v>112</v>
      </c>
      <c r="G3270" t="s">
        <v>35</v>
      </c>
      <c r="H3270">
        <v>14</v>
      </c>
      <c r="K3270" t="s">
        <v>268</v>
      </c>
      <c r="L3270" t="s">
        <v>269</v>
      </c>
      <c r="M3270" t="s">
        <v>131</v>
      </c>
      <c r="N3270">
        <v>21</v>
      </c>
      <c r="P3270" t="s">
        <v>41</v>
      </c>
      <c r="Q3270" t="s">
        <v>75</v>
      </c>
      <c r="R3270" t="str">
        <f>"7052002"</f>
        <v>7052002</v>
      </c>
      <c r="S3270" t="s">
        <v>590</v>
      </c>
      <c r="T3270" t="s">
        <v>268</v>
      </c>
      <c r="U3270" t="s">
        <v>269</v>
      </c>
      <c r="V3270" t="s">
        <v>131</v>
      </c>
      <c r="W3270" t="s">
        <v>165</v>
      </c>
      <c r="X3270" t="s">
        <v>45</v>
      </c>
      <c r="Y3270" s="1">
        <v>24913</v>
      </c>
      <c r="Z3270">
        <v>1</v>
      </c>
      <c r="AA3270" t="s">
        <v>269</v>
      </c>
      <c r="AB3270" s="40" t="s">
        <v>1799</v>
      </c>
    </row>
    <row r="3271" spans="1:28" x14ac:dyDescent="0.25">
      <c r="A3271">
        <v>99913270</v>
      </c>
      <c r="B3271" t="s">
        <v>32</v>
      </c>
      <c r="C3271" t="s">
        <v>64</v>
      </c>
      <c r="D3271" t="s">
        <v>65</v>
      </c>
      <c r="G3271" t="s">
        <v>48</v>
      </c>
      <c r="H3271">
        <v>1</v>
      </c>
      <c r="K3271" t="s">
        <v>380</v>
      </c>
      <c r="L3271" t="s">
        <v>381</v>
      </c>
      <c r="M3271" t="s">
        <v>131</v>
      </c>
      <c r="N3271">
        <v>21</v>
      </c>
      <c r="P3271" t="s">
        <v>41</v>
      </c>
      <c r="Q3271" t="s">
        <v>42</v>
      </c>
      <c r="R3271" t="str">
        <f>"0561010"</f>
        <v>0561010</v>
      </c>
      <c r="S3271" t="s">
        <v>387</v>
      </c>
      <c r="T3271" t="s">
        <v>380</v>
      </c>
      <c r="U3271" t="s">
        <v>381</v>
      </c>
      <c r="V3271" t="s">
        <v>131</v>
      </c>
      <c r="W3271" t="s">
        <v>51</v>
      </c>
      <c r="X3271" t="s">
        <v>45</v>
      </c>
      <c r="Y3271" s="1">
        <v>24906</v>
      </c>
      <c r="Z3271">
        <v>2</v>
      </c>
      <c r="AA3271" t="s">
        <v>381</v>
      </c>
      <c r="AB3271" s="40" t="s">
        <v>1799</v>
      </c>
    </row>
    <row r="3272" spans="1:28" x14ac:dyDescent="0.25">
      <c r="A3272">
        <v>99913271</v>
      </c>
      <c r="B3272" t="s">
        <v>32</v>
      </c>
      <c r="C3272" t="s">
        <v>111</v>
      </c>
      <c r="D3272" t="s">
        <v>112</v>
      </c>
      <c r="G3272" t="s">
        <v>48</v>
      </c>
      <c r="H3272">
        <v>13</v>
      </c>
      <c r="K3272" t="s">
        <v>195</v>
      </c>
      <c r="L3272" t="s">
        <v>196</v>
      </c>
      <c r="M3272" t="s">
        <v>131</v>
      </c>
      <c r="N3272">
        <v>21</v>
      </c>
      <c r="O3272" s="1">
        <v>34124</v>
      </c>
      <c r="P3272" t="s">
        <v>41</v>
      </c>
      <c r="Q3272" t="s">
        <v>75</v>
      </c>
      <c r="R3272" t="str">
        <f>"7521046"</f>
        <v>7521046</v>
      </c>
      <c r="S3272" t="s">
        <v>436</v>
      </c>
      <c r="T3272" t="s">
        <v>195</v>
      </c>
      <c r="U3272" t="s">
        <v>196</v>
      </c>
      <c r="V3272" t="s">
        <v>131</v>
      </c>
      <c r="W3272" t="s">
        <v>165</v>
      </c>
      <c r="X3272" t="s">
        <v>45</v>
      </c>
      <c r="Y3272" s="1">
        <v>24906</v>
      </c>
      <c r="Z3272">
        <v>1</v>
      </c>
      <c r="AA3272" t="s">
        <v>196</v>
      </c>
      <c r="AB3272" s="40" t="s">
        <v>1799</v>
      </c>
    </row>
    <row r="3273" spans="1:28" x14ac:dyDescent="0.25">
      <c r="A3273">
        <v>99913272</v>
      </c>
      <c r="B3273" t="s">
        <v>32</v>
      </c>
      <c r="C3273" t="s">
        <v>111</v>
      </c>
      <c r="D3273" t="s">
        <v>112</v>
      </c>
      <c r="G3273" t="s">
        <v>35</v>
      </c>
      <c r="H3273">
        <v>13</v>
      </c>
      <c r="K3273" t="s">
        <v>268</v>
      </c>
      <c r="L3273" t="s">
        <v>269</v>
      </c>
      <c r="M3273" t="s">
        <v>131</v>
      </c>
      <c r="N3273">
        <v>21</v>
      </c>
      <c r="P3273" t="s">
        <v>41</v>
      </c>
      <c r="Q3273" t="s">
        <v>75</v>
      </c>
      <c r="R3273" t="str">
        <f>"7052004"</f>
        <v>7052004</v>
      </c>
      <c r="S3273" t="s">
        <v>584</v>
      </c>
      <c r="T3273" t="s">
        <v>268</v>
      </c>
      <c r="U3273" t="s">
        <v>269</v>
      </c>
      <c r="V3273" t="s">
        <v>131</v>
      </c>
      <c r="W3273" t="s">
        <v>165</v>
      </c>
      <c r="X3273" t="s">
        <v>45</v>
      </c>
      <c r="Y3273" s="1">
        <v>24904</v>
      </c>
      <c r="Z3273">
        <v>1</v>
      </c>
      <c r="AA3273" t="s">
        <v>269</v>
      </c>
      <c r="AB3273" s="40" t="s">
        <v>1799</v>
      </c>
    </row>
    <row r="3274" spans="1:28" x14ac:dyDescent="0.25">
      <c r="A3274">
        <v>99913273</v>
      </c>
      <c r="B3274" t="s">
        <v>56</v>
      </c>
      <c r="C3274" t="s">
        <v>79</v>
      </c>
      <c r="D3274" t="s">
        <v>80</v>
      </c>
      <c r="G3274" t="s">
        <v>35</v>
      </c>
      <c r="H3274">
        <v>1</v>
      </c>
      <c r="I3274" t="s">
        <v>1471</v>
      </c>
      <c r="J3274" s="1">
        <v>43344</v>
      </c>
      <c r="K3274" t="s">
        <v>1334</v>
      </c>
      <c r="L3274" t="s">
        <v>1335</v>
      </c>
      <c r="M3274" t="s">
        <v>1270</v>
      </c>
      <c r="N3274">
        <v>21</v>
      </c>
      <c r="O3274" s="1">
        <v>43344</v>
      </c>
      <c r="P3274" t="s">
        <v>41</v>
      </c>
      <c r="Q3274" t="s">
        <v>75</v>
      </c>
      <c r="R3274" t="str">
        <f>"7391000"</f>
        <v>7391000</v>
      </c>
      <c r="S3274" t="s">
        <v>1333</v>
      </c>
      <c r="T3274" t="s">
        <v>1334</v>
      </c>
      <c r="U3274" t="s">
        <v>1335</v>
      </c>
      <c r="V3274" t="s">
        <v>1270</v>
      </c>
      <c r="W3274" t="s">
        <v>51</v>
      </c>
      <c r="X3274" t="s">
        <v>45</v>
      </c>
      <c r="Y3274" s="1">
        <v>24898</v>
      </c>
      <c r="Z3274">
        <v>1</v>
      </c>
      <c r="AA3274" t="s">
        <v>1335</v>
      </c>
      <c r="AB3274" s="40" t="s">
        <v>1799</v>
      </c>
    </row>
    <row r="3275" spans="1:28" x14ac:dyDescent="0.25">
      <c r="A3275">
        <v>99913274</v>
      </c>
      <c r="B3275" t="s">
        <v>56</v>
      </c>
      <c r="C3275" t="s">
        <v>46</v>
      </c>
      <c r="D3275" t="s">
        <v>47</v>
      </c>
      <c r="G3275" t="s">
        <v>48</v>
      </c>
      <c r="H3275">
        <v>1</v>
      </c>
      <c r="K3275" t="s">
        <v>223</v>
      </c>
      <c r="L3275" t="s">
        <v>224</v>
      </c>
      <c r="M3275" t="s">
        <v>131</v>
      </c>
      <c r="N3275">
        <v>21</v>
      </c>
      <c r="P3275" t="s">
        <v>41</v>
      </c>
      <c r="Q3275" t="s">
        <v>49</v>
      </c>
      <c r="R3275" t="str">
        <f>"0509999"</f>
        <v>0509999</v>
      </c>
      <c r="S3275" t="s">
        <v>247</v>
      </c>
      <c r="T3275" t="s">
        <v>223</v>
      </c>
      <c r="U3275" t="s">
        <v>224</v>
      </c>
      <c r="V3275" t="s">
        <v>131</v>
      </c>
      <c r="W3275" t="s">
        <v>51</v>
      </c>
      <c r="X3275" t="s">
        <v>45</v>
      </c>
      <c r="Y3275" s="1">
        <v>24873</v>
      </c>
      <c r="Z3275">
        <v>2</v>
      </c>
      <c r="AA3275" t="s">
        <v>224</v>
      </c>
      <c r="AB3275" s="40" t="s">
        <v>1799</v>
      </c>
    </row>
    <row r="3276" spans="1:28" x14ac:dyDescent="0.25">
      <c r="A3276">
        <v>99913275</v>
      </c>
      <c r="B3276" t="s">
        <v>56</v>
      </c>
      <c r="C3276" t="s">
        <v>46</v>
      </c>
      <c r="D3276" t="s">
        <v>47</v>
      </c>
      <c r="G3276" t="s">
        <v>48</v>
      </c>
      <c r="H3276">
        <v>1</v>
      </c>
      <c r="K3276" t="s">
        <v>300</v>
      </c>
      <c r="L3276" t="s">
        <v>301</v>
      </c>
      <c r="M3276" t="s">
        <v>131</v>
      </c>
      <c r="N3276">
        <v>21</v>
      </c>
      <c r="P3276" t="s">
        <v>41</v>
      </c>
      <c r="Q3276" t="s">
        <v>42</v>
      </c>
      <c r="R3276" t="str">
        <f>"0580176"</f>
        <v>0580176</v>
      </c>
      <c r="S3276" t="s">
        <v>305</v>
      </c>
      <c r="T3276" t="s">
        <v>300</v>
      </c>
      <c r="U3276" t="s">
        <v>301</v>
      </c>
      <c r="V3276" t="s">
        <v>131</v>
      </c>
      <c r="W3276" t="s">
        <v>51</v>
      </c>
      <c r="X3276" t="s">
        <v>45</v>
      </c>
      <c r="Y3276" s="1">
        <v>24867</v>
      </c>
      <c r="Z3276">
        <v>2</v>
      </c>
      <c r="AA3276" t="s">
        <v>301</v>
      </c>
      <c r="AB3276" s="40" t="s">
        <v>1799</v>
      </c>
    </row>
    <row r="3277" spans="1:28" x14ac:dyDescent="0.25">
      <c r="A3277">
        <v>99913276</v>
      </c>
      <c r="B3277" t="s">
        <v>32</v>
      </c>
      <c r="C3277" t="s">
        <v>64</v>
      </c>
      <c r="D3277" t="s">
        <v>65</v>
      </c>
      <c r="G3277" t="s">
        <v>35</v>
      </c>
      <c r="H3277">
        <v>10</v>
      </c>
      <c r="K3277" t="s">
        <v>268</v>
      </c>
      <c r="L3277" t="s">
        <v>269</v>
      </c>
      <c r="M3277" t="s">
        <v>131</v>
      </c>
      <c r="N3277">
        <v>21</v>
      </c>
      <c r="P3277" t="s">
        <v>41</v>
      </c>
      <c r="Q3277" t="s">
        <v>75</v>
      </c>
      <c r="R3277" t="str">
        <f>"7052004"</f>
        <v>7052004</v>
      </c>
      <c r="S3277" t="s">
        <v>584</v>
      </c>
      <c r="T3277" t="s">
        <v>268</v>
      </c>
      <c r="U3277" t="s">
        <v>269</v>
      </c>
      <c r="V3277" t="s">
        <v>131</v>
      </c>
      <c r="W3277" t="s">
        <v>51</v>
      </c>
      <c r="X3277" t="s">
        <v>45</v>
      </c>
      <c r="Y3277" s="1">
        <v>24854</v>
      </c>
      <c r="Z3277">
        <v>1</v>
      </c>
      <c r="AA3277" t="s">
        <v>269</v>
      </c>
      <c r="AB3277" s="40" t="s">
        <v>1799</v>
      </c>
    </row>
    <row r="3278" spans="1:28" x14ac:dyDescent="0.25">
      <c r="A3278">
        <v>99913277</v>
      </c>
      <c r="B3278" t="s">
        <v>32</v>
      </c>
      <c r="C3278" t="s">
        <v>64</v>
      </c>
      <c r="D3278" t="s">
        <v>65</v>
      </c>
      <c r="G3278" t="s">
        <v>48</v>
      </c>
      <c r="H3278">
        <v>11</v>
      </c>
      <c r="K3278" t="s">
        <v>195</v>
      </c>
      <c r="L3278" t="s">
        <v>196</v>
      </c>
      <c r="M3278" t="s">
        <v>131</v>
      </c>
      <c r="N3278">
        <v>21</v>
      </c>
      <c r="O3278" s="1">
        <v>37865</v>
      </c>
      <c r="P3278" t="s">
        <v>41</v>
      </c>
      <c r="Q3278" t="s">
        <v>75</v>
      </c>
      <c r="R3278" t="str">
        <f>"7521042"</f>
        <v>7521042</v>
      </c>
      <c r="S3278" t="s">
        <v>440</v>
      </c>
      <c r="T3278" t="s">
        <v>195</v>
      </c>
      <c r="U3278" t="s">
        <v>196</v>
      </c>
      <c r="V3278" t="s">
        <v>131</v>
      </c>
      <c r="W3278" t="s">
        <v>51</v>
      </c>
      <c r="X3278" t="s">
        <v>45</v>
      </c>
      <c r="Y3278" s="1">
        <v>24847</v>
      </c>
      <c r="Z3278">
        <v>1</v>
      </c>
      <c r="AA3278" t="s">
        <v>196</v>
      </c>
      <c r="AB3278" s="40" t="s">
        <v>1799</v>
      </c>
    </row>
    <row r="3279" spans="1:28" x14ac:dyDescent="0.25">
      <c r="A3279">
        <v>99913278</v>
      </c>
      <c r="B3279" t="s">
        <v>32</v>
      </c>
      <c r="C3279" t="s">
        <v>46</v>
      </c>
      <c r="D3279" t="s">
        <v>47</v>
      </c>
      <c r="G3279" t="s">
        <v>48</v>
      </c>
      <c r="H3279">
        <v>1</v>
      </c>
      <c r="K3279" t="s">
        <v>223</v>
      </c>
      <c r="L3279" t="s">
        <v>224</v>
      </c>
      <c r="M3279" t="s">
        <v>131</v>
      </c>
      <c r="N3279">
        <v>21</v>
      </c>
      <c r="P3279" t="s">
        <v>41</v>
      </c>
      <c r="Q3279" t="s">
        <v>49</v>
      </c>
      <c r="R3279" t="str">
        <f>"0581206"</f>
        <v>0581206</v>
      </c>
      <c r="S3279" t="s">
        <v>232</v>
      </c>
      <c r="T3279" t="s">
        <v>223</v>
      </c>
      <c r="U3279" t="s">
        <v>224</v>
      </c>
      <c r="V3279" t="s">
        <v>131</v>
      </c>
      <c r="W3279" t="s">
        <v>51</v>
      </c>
      <c r="X3279" t="s">
        <v>45</v>
      </c>
      <c r="Y3279" s="1">
        <v>24838</v>
      </c>
      <c r="Z3279">
        <v>2</v>
      </c>
      <c r="AA3279" t="s">
        <v>224</v>
      </c>
      <c r="AB3279" s="40" t="s">
        <v>1799</v>
      </c>
    </row>
    <row r="3280" spans="1:28" x14ac:dyDescent="0.25">
      <c r="A3280">
        <v>99913279</v>
      </c>
      <c r="B3280" t="s">
        <v>32</v>
      </c>
      <c r="C3280" t="s">
        <v>111</v>
      </c>
      <c r="D3280" t="s">
        <v>112</v>
      </c>
      <c r="G3280" t="s">
        <v>48</v>
      </c>
      <c r="H3280">
        <v>1</v>
      </c>
      <c r="K3280" t="s">
        <v>354</v>
      </c>
      <c r="L3280" t="s">
        <v>355</v>
      </c>
      <c r="M3280" t="s">
        <v>131</v>
      </c>
      <c r="N3280">
        <v>21</v>
      </c>
      <c r="P3280" t="s">
        <v>41</v>
      </c>
      <c r="Q3280" t="s">
        <v>75</v>
      </c>
      <c r="R3280" t="str">
        <f>"7054022"</f>
        <v>7054022</v>
      </c>
      <c r="S3280" t="s">
        <v>770</v>
      </c>
      <c r="T3280" t="s">
        <v>354</v>
      </c>
      <c r="U3280" t="s">
        <v>355</v>
      </c>
      <c r="V3280" t="s">
        <v>131</v>
      </c>
      <c r="W3280" t="s">
        <v>51</v>
      </c>
      <c r="X3280" t="s">
        <v>45</v>
      </c>
      <c r="Y3280" s="1">
        <v>24838</v>
      </c>
      <c r="Z3280">
        <v>1</v>
      </c>
      <c r="AA3280" t="s">
        <v>355</v>
      </c>
      <c r="AB3280" s="40" t="s">
        <v>1799</v>
      </c>
    </row>
    <row r="3281" spans="1:28" x14ac:dyDescent="0.25">
      <c r="A3281">
        <v>99913280</v>
      </c>
      <c r="B3281" t="s">
        <v>56</v>
      </c>
      <c r="C3281" t="s">
        <v>68</v>
      </c>
      <c r="D3281" t="s">
        <v>69</v>
      </c>
      <c r="G3281" t="s">
        <v>35</v>
      </c>
      <c r="H3281">
        <v>1</v>
      </c>
      <c r="K3281" t="s">
        <v>1268</v>
      </c>
      <c r="L3281" t="s">
        <v>1269</v>
      </c>
      <c r="M3281" t="s">
        <v>1270</v>
      </c>
      <c r="N3281">
        <v>21</v>
      </c>
      <c r="P3281" t="s">
        <v>41</v>
      </c>
      <c r="Q3281" t="s">
        <v>42</v>
      </c>
      <c r="R3281" t="str">
        <f>"1990001"</f>
        <v>1990001</v>
      </c>
      <c r="S3281" t="s">
        <v>1294</v>
      </c>
      <c r="T3281" t="s">
        <v>1268</v>
      </c>
      <c r="U3281" t="s">
        <v>1269</v>
      </c>
      <c r="V3281" t="s">
        <v>1270</v>
      </c>
      <c r="W3281" t="s">
        <v>51</v>
      </c>
      <c r="X3281" t="s">
        <v>45</v>
      </c>
      <c r="Y3281" s="1">
        <v>24838</v>
      </c>
      <c r="Z3281">
        <v>2</v>
      </c>
      <c r="AA3281" t="s">
        <v>1269</v>
      </c>
      <c r="AB3281" s="40" t="s">
        <v>1799</v>
      </c>
    </row>
    <row r="3282" spans="1:28" x14ac:dyDescent="0.25">
      <c r="A3282">
        <v>99913281</v>
      </c>
      <c r="B3282" t="s">
        <v>32</v>
      </c>
      <c r="C3282" t="s">
        <v>64</v>
      </c>
      <c r="D3282" t="s">
        <v>65</v>
      </c>
      <c r="G3282" t="s">
        <v>35</v>
      </c>
      <c r="H3282">
        <v>1</v>
      </c>
      <c r="K3282" t="s">
        <v>223</v>
      </c>
      <c r="L3282" t="s">
        <v>224</v>
      </c>
      <c r="M3282" t="s">
        <v>131</v>
      </c>
      <c r="N3282">
        <v>21</v>
      </c>
      <c r="P3282" t="s">
        <v>41</v>
      </c>
      <c r="Q3282" t="s">
        <v>42</v>
      </c>
      <c r="R3282" t="str">
        <f>"0580345"</f>
        <v>0580345</v>
      </c>
      <c r="S3282" t="s">
        <v>261</v>
      </c>
      <c r="T3282" t="s">
        <v>223</v>
      </c>
      <c r="U3282" t="s">
        <v>224</v>
      </c>
      <c r="V3282" t="s">
        <v>131</v>
      </c>
      <c r="W3282" t="s">
        <v>51</v>
      </c>
      <c r="X3282" t="s">
        <v>45</v>
      </c>
      <c r="Y3282" s="1">
        <v>24834</v>
      </c>
      <c r="Z3282">
        <v>2</v>
      </c>
      <c r="AA3282" t="s">
        <v>224</v>
      </c>
      <c r="AB3282" s="40" t="s">
        <v>1799</v>
      </c>
    </row>
    <row r="3283" spans="1:28" x14ac:dyDescent="0.25">
      <c r="A3283">
        <v>99913282</v>
      </c>
      <c r="B3283" t="s">
        <v>32</v>
      </c>
      <c r="C3283" t="s">
        <v>111</v>
      </c>
      <c r="D3283" t="s">
        <v>112</v>
      </c>
      <c r="G3283" t="s">
        <v>35</v>
      </c>
      <c r="H3283">
        <v>15</v>
      </c>
      <c r="K3283" t="s">
        <v>268</v>
      </c>
      <c r="L3283" t="s">
        <v>269</v>
      </c>
      <c r="M3283" t="s">
        <v>131</v>
      </c>
      <c r="N3283">
        <v>21</v>
      </c>
      <c r="P3283" t="s">
        <v>41</v>
      </c>
      <c r="Q3283" t="s">
        <v>75</v>
      </c>
      <c r="R3283" t="str">
        <f>"7052006"</f>
        <v>7052006</v>
      </c>
      <c r="S3283" t="s">
        <v>575</v>
      </c>
      <c r="T3283" t="s">
        <v>268</v>
      </c>
      <c r="U3283" t="s">
        <v>269</v>
      </c>
      <c r="V3283" t="s">
        <v>131</v>
      </c>
      <c r="W3283" t="s">
        <v>165</v>
      </c>
      <c r="X3283" t="s">
        <v>45</v>
      </c>
      <c r="Y3283" s="1">
        <v>24825</v>
      </c>
      <c r="Z3283">
        <v>1</v>
      </c>
      <c r="AA3283" t="s">
        <v>269</v>
      </c>
      <c r="AB3283" s="40" t="s">
        <v>1799</v>
      </c>
    </row>
    <row r="3284" spans="1:28" x14ac:dyDescent="0.25">
      <c r="A3284">
        <v>99913283</v>
      </c>
      <c r="B3284" t="s">
        <v>56</v>
      </c>
      <c r="C3284" t="s">
        <v>111</v>
      </c>
      <c r="D3284" t="s">
        <v>112</v>
      </c>
      <c r="G3284" t="s">
        <v>35</v>
      </c>
      <c r="H3284">
        <v>1</v>
      </c>
      <c r="K3284" t="s">
        <v>154</v>
      </c>
      <c r="L3284" t="s">
        <v>155</v>
      </c>
      <c r="M3284" t="s">
        <v>131</v>
      </c>
      <c r="N3284">
        <v>21</v>
      </c>
      <c r="P3284" t="s">
        <v>41</v>
      </c>
      <c r="Q3284" t="s">
        <v>75</v>
      </c>
      <c r="R3284" t="str">
        <f>"7051010"</f>
        <v>7051010</v>
      </c>
      <c r="S3284" t="s">
        <v>403</v>
      </c>
      <c r="T3284" t="s">
        <v>154</v>
      </c>
      <c r="U3284" t="s">
        <v>155</v>
      </c>
      <c r="V3284" t="s">
        <v>131</v>
      </c>
      <c r="W3284" t="s">
        <v>51</v>
      </c>
      <c r="X3284" t="s">
        <v>45</v>
      </c>
      <c r="Y3284" s="1">
        <v>24796</v>
      </c>
      <c r="Z3284">
        <v>1</v>
      </c>
      <c r="AA3284" t="s">
        <v>155</v>
      </c>
      <c r="AB3284" s="40" t="s">
        <v>1799</v>
      </c>
    </row>
    <row r="3285" spans="1:28" x14ac:dyDescent="0.25">
      <c r="A3285">
        <v>99913284</v>
      </c>
      <c r="B3285" t="s">
        <v>56</v>
      </c>
      <c r="C3285" t="s">
        <v>82</v>
      </c>
      <c r="D3285" t="s">
        <v>83</v>
      </c>
      <c r="G3285" t="s">
        <v>48</v>
      </c>
      <c r="H3285">
        <v>1</v>
      </c>
      <c r="K3285" t="s">
        <v>223</v>
      </c>
      <c r="L3285" t="s">
        <v>224</v>
      </c>
      <c r="M3285" t="s">
        <v>131</v>
      </c>
      <c r="N3285">
        <v>21</v>
      </c>
      <c r="P3285" t="s">
        <v>41</v>
      </c>
      <c r="Q3285" t="s">
        <v>42</v>
      </c>
      <c r="R3285" t="str">
        <f>"0580207"</f>
        <v>0580207</v>
      </c>
      <c r="S3285" t="s">
        <v>229</v>
      </c>
      <c r="T3285" t="s">
        <v>223</v>
      </c>
      <c r="U3285" t="s">
        <v>224</v>
      </c>
      <c r="V3285" t="s">
        <v>131</v>
      </c>
      <c r="W3285" t="s">
        <v>51</v>
      </c>
      <c r="X3285" t="s">
        <v>45</v>
      </c>
      <c r="Y3285" s="1">
        <v>24734</v>
      </c>
      <c r="Z3285">
        <v>2</v>
      </c>
      <c r="AA3285" t="s">
        <v>224</v>
      </c>
      <c r="AB3285" s="40" t="s">
        <v>1799</v>
      </c>
    </row>
    <row r="3286" spans="1:28" x14ac:dyDescent="0.25">
      <c r="A3286">
        <v>99913285</v>
      </c>
      <c r="B3286" t="s">
        <v>32</v>
      </c>
      <c r="C3286" t="s">
        <v>71</v>
      </c>
      <c r="D3286" t="s">
        <v>72</v>
      </c>
      <c r="G3286" t="s">
        <v>48</v>
      </c>
      <c r="H3286">
        <v>1</v>
      </c>
      <c r="K3286" t="s">
        <v>157</v>
      </c>
      <c r="L3286" t="s">
        <v>158</v>
      </c>
      <c r="M3286" t="s">
        <v>131</v>
      </c>
      <c r="N3286">
        <v>21</v>
      </c>
      <c r="P3286" t="s">
        <v>41</v>
      </c>
      <c r="Q3286" t="s">
        <v>49</v>
      </c>
      <c r="R3286" t="str">
        <f>"0560010"</f>
        <v>0560010</v>
      </c>
      <c r="S3286" t="s">
        <v>179</v>
      </c>
      <c r="T3286" t="s">
        <v>157</v>
      </c>
      <c r="U3286" t="s">
        <v>158</v>
      </c>
      <c r="V3286" t="s">
        <v>131</v>
      </c>
      <c r="W3286" t="s">
        <v>51</v>
      </c>
      <c r="X3286" t="s">
        <v>45</v>
      </c>
      <c r="Y3286" s="1">
        <v>24712</v>
      </c>
      <c r="Z3286">
        <v>2</v>
      </c>
      <c r="AA3286" t="s">
        <v>158</v>
      </c>
      <c r="AB3286" s="40" t="s">
        <v>1799</v>
      </c>
    </row>
    <row r="3287" spans="1:28" x14ac:dyDescent="0.25">
      <c r="A3287">
        <v>99913286</v>
      </c>
      <c r="B3287" t="s">
        <v>32</v>
      </c>
      <c r="C3287" t="s">
        <v>111</v>
      </c>
      <c r="D3287" t="s">
        <v>112</v>
      </c>
      <c r="G3287" t="s">
        <v>48</v>
      </c>
      <c r="H3287">
        <v>13</v>
      </c>
      <c r="K3287" t="s">
        <v>195</v>
      </c>
      <c r="L3287" t="s">
        <v>196</v>
      </c>
      <c r="M3287" t="s">
        <v>131</v>
      </c>
      <c r="N3287">
        <v>21</v>
      </c>
      <c r="O3287" s="1">
        <v>34124</v>
      </c>
      <c r="P3287" t="s">
        <v>41</v>
      </c>
      <c r="Q3287" t="s">
        <v>75</v>
      </c>
      <c r="R3287" t="str">
        <f>"7521042"</f>
        <v>7521042</v>
      </c>
      <c r="S3287" t="s">
        <v>440</v>
      </c>
      <c r="T3287" t="s">
        <v>195</v>
      </c>
      <c r="U3287" t="s">
        <v>196</v>
      </c>
      <c r="V3287" t="s">
        <v>131</v>
      </c>
      <c r="W3287" t="s">
        <v>165</v>
      </c>
      <c r="X3287" t="s">
        <v>45</v>
      </c>
      <c r="Y3287" s="1">
        <v>24709</v>
      </c>
      <c r="Z3287">
        <v>1</v>
      </c>
      <c r="AA3287" t="s">
        <v>196</v>
      </c>
      <c r="AB3287" s="40" t="s">
        <v>1799</v>
      </c>
    </row>
    <row r="3288" spans="1:28" x14ac:dyDescent="0.25">
      <c r="A3288">
        <v>99913287</v>
      </c>
      <c r="B3288" t="s">
        <v>32</v>
      </c>
      <c r="C3288" t="s">
        <v>52</v>
      </c>
      <c r="D3288" t="s">
        <v>53</v>
      </c>
      <c r="G3288" t="s">
        <v>48</v>
      </c>
      <c r="H3288">
        <v>1</v>
      </c>
      <c r="K3288" t="s">
        <v>223</v>
      </c>
      <c r="L3288" t="s">
        <v>224</v>
      </c>
      <c r="M3288" t="s">
        <v>131</v>
      </c>
      <c r="N3288">
        <v>21</v>
      </c>
      <c r="P3288" t="s">
        <v>41</v>
      </c>
      <c r="Q3288" t="s">
        <v>49</v>
      </c>
      <c r="R3288" t="str">
        <f>"0591910"</f>
        <v>0591910</v>
      </c>
      <c r="S3288" t="s">
        <v>228</v>
      </c>
      <c r="T3288" t="s">
        <v>223</v>
      </c>
      <c r="U3288" t="s">
        <v>224</v>
      </c>
      <c r="V3288" t="s">
        <v>131</v>
      </c>
      <c r="W3288" t="s">
        <v>51</v>
      </c>
      <c r="X3288" t="s">
        <v>45</v>
      </c>
      <c r="Y3288" s="1">
        <v>24704</v>
      </c>
      <c r="Z3288">
        <v>2</v>
      </c>
      <c r="AA3288" t="s">
        <v>224</v>
      </c>
      <c r="AB3288" s="40" t="s">
        <v>1799</v>
      </c>
    </row>
    <row r="3289" spans="1:28" x14ac:dyDescent="0.25">
      <c r="A3289">
        <v>99913288</v>
      </c>
      <c r="B3289" t="s">
        <v>32</v>
      </c>
      <c r="C3289" t="s">
        <v>79</v>
      </c>
      <c r="D3289" t="s">
        <v>80</v>
      </c>
      <c r="G3289" t="s">
        <v>48</v>
      </c>
      <c r="H3289">
        <v>11</v>
      </c>
      <c r="I3289">
        <v>164</v>
      </c>
      <c r="J3289" s="1">
        <v>37454</v>
      </c>
      <c r="K3289" t="s">
        <v>195</v>
      </c>
      <c r="L3289" t="s">
        <v>196</v>
      </c>
      <c r="M3289" t="s">
        <v>131</v>
      </c>
      <c r="N3289">
        <v>21</v>
      </c>
      <c r="O3289" s="1">
        <v>37454</v>
      </c>
      <c r="P3289" t="s">
        <v>41</v>
      </c>
      <c r="Q3289" t="s">
        <v>75</v>
      </c>
      <c r="R3289" t="str">
        <f>"7521046"</f>
        <v>7521046</v>
      </c>
      <c r="S3289" t="s">
        <v>436</v>
      </c>
      <c r="T3289" t="s">
        <v>195</v>
      </c>
      <c r="U3289" t="s">
        <v>196</v>
      </c>
      <c r="V3289" t="s">
        <v>131</v>
      </c>
      <c r="W3289" t="s">
        <v>165</v>
      </c>
      <c r="X3289" t="s">
        <v>45</v>
      </c>
      <c r="Y3289" s="1">
        <v>24704</v>
      </c>
      <c r="Z3289">
        <v>1</v>
      </c>
      <c r="AA3289" t="s">
        <v>196</v>
      </c>
      <c r="AB3289" s="40" t="s">
        <v>1799</v>
      </c>
    </row>
    <row r="3290" spans="1:28" x14ac:dyDescent="0.25">
      <c r="A3290">
        <v>99913289</v>
      </c>
      <c r="B3290" t="s">
        <v>32</v>
      </c>
      <c r="C3290" t="s">
        <v>139</v>
      </c>
      <c r="D3290" t="s">
        <v>140</v>
      </c>
      <c r="G3290" t="s">
        <v>35</v>
      </c>
      <c r="H3290">
        <v>1</v>
      </c>
      <c r="K3290" t="s">
        <v>1268</v>
      </c>
      <c r="L3290" t="s">
        <v>1269</v>
      </c>
      <c r="M3290" t="s">
        <v>1270</v>
      </c>
      <c r="N3290">
        <v>21</v>
      </c>
      <c r="P3290" t="s">
        <v>41</v>
      </c>
      <c r="Q3290" t="s">
        <v>42</v>
      </c>
      <c r="R3290" t="str">
        <f>"1990914"</f>
        <v>1990914</v>
      </c>
      <c r="S3290" t="s">
        <v>1275</v>
      </c>
      <c r="T3290" t="s">
        <v>1268</v>
      </c>
      <c r="U3290" t="s">
        <v>1269</v>
      </c>
      <c r="V3290" t="s">
        <v>1270</v>
      </c>
      <c r="W3290" t="s">
        <v>51</v>
      </c>
      <c r="X3290" t="s">
        <v>45</v>
      </c>
      <c r="Y3290" s="1">
        <v>24703</v>
      </c>
      <c r="Z3290">
        <v>2</v>
      </c>
      <c r="AA3290" t="s">
        <v>1269</v>
      </c>
      <c r="AB3290" s="40" t="s">
        <v>1799</v>
      </c>
    </row>
    <row r="3291" spans="1:28" x14ac:dyDescent="0.25">
      <c r="A3291">
        <v>99913290</v>
      </c>
      <c r="B3291" t="s">
        <v>32</v>
      </c>
      <c r="C3291" t="s">
        <v>139</v>
      </c>
      <c r="D3291" t="s">
        <v>140</v>
      </c>
      <c r="G3291" t="s">
        <v>48</v>
      </c>
      <c r="H3291">
        <v>1</v>
      </c>
      <c r="K3291" t="s">
        <v>345</v>
      </c>
      <c r="L3291" t="s">
        <v>346</v>
      </c>
      <c r="M3291" t="s">
        <v>131</v>
      </c>
      <c r="N3291">
        <v>21</v>
      </c>
      <c r="P3291" t="s">
        <v>41</v>
      </c>
      <c r="Q3291" t="s">
        <v>42</v>
      </c>
      <c r="R3291" t="str">
        <f>"0561019"</f>
        <v>0561019</v>
      </c>
      <c r="S3291" t="s">
        <v>351</v>
      </c>
      <c r="T3291" t="s">
        <v>345</v>
      </c>
      <c r="U3291" t="s">
        <v>346</v>
      </c>
      <c r="V3291" t="s">
        <v>131</v>
      </c>
      <c r="W3291" t="s">
        <v>51</v>
      </c>
      <c r="X3291" t="s">
        <v>45</v>
      </c>
      <c r="Y3291" s="1">
        <v>24692</v>
      </c>
      <c r="Z3291">
        <v>2</v>
      </c>
      <c r="AA3291" t="s">
        <v>346</v>
      </c>
      <c r="AB3291" s="40" t="s">
        <v>1799</v>
      </c>
    </row>
    <row r="3292" spans="1:28" x14ac:dyDescent="0.25">
      <c r="A3292">
        <v>99913291</v>
      </c>
      <c r="B3292" t="s">
        <v>32</v>
      </c>
      <c r="C3292" t="s">
        <v>46</v>
      </c>
      <c r="D3292" t="s">
        <v>47</v>
      </c>
      <c r="G3292" t="s">
        <v>48</v>
      </c>
      <c r="H3292">
        <v>1</v>
      </c>
      <c r="K3292" t="s">
        <v>380</v>
      </c>
      <c r="L3292" t="s">
        <v>381</v>
      </c>
      <c r="M3292" t="s">
        <v>131</v>
      </c>
      <c r="N3292">
        <v>21</v>
      </c>
      <c r="P3292" t="s">
        <v>41</v>
      </c>
      <c r="Q3292" t="s">
        <v>42</v>
      </c>
      <c r="R3292" t="str">
        <f>"0561010"</f>
        <v>0561010</v>
      </c>
      <c r="S3292" t="s">
        <v>387</v>
      </c>
      <c r="T3292" t="s">
        <v>380</v>
      </c>
      <c r="U3292" t="s">
        <v>381</v>
      </c>
      <c r="V3292" t="s">
        <v>131</v>
      </c>
      <c r="W3292" t="s">
        <v>51</v>
      </c>
      <c r="X3292" t="s">
        <v>45</v>
      </c>
      <c r="Y3292" s="1">
        <v>24681</v>
      </c>
      <c r="Z3292">
        <v>2</v>
      </c>
      <c r="AA3292" t="s">
        <v>381</v>
      </c>
      <c r="AB3292" s="40" t="s">
        <v>1799</v>
      </c>
    </row>
    <row r="3293" spans="1:28" x14ac:dyDescent="0.25">
      <c r="A3293">
        <v>99913292</v>
      </c>
      <c r="B3293" t="s">
        <v>32</v>
      </c>
      <c r="C3293" t="s">
        <v>111</v>
      </c>
      <c r="D3293" t="s">
        <v>112</v>
      </c>
      <c r="G3293" t="s">
        <v>48</v>
      </c>
      <c r="H3293">
        <v>13</v>
      </c>
      <c r="J3293" s="1">
        <v>43344</v>
      </c>
      <c r="K3293" t="s">
        <v>354</v>
      </c>
      <c r="L3293" t="s">
        <v>355</v>
      </c>
      <c r="M3293" t="s">
        <v>131</v>
      </c>
      <c r="N3293">
        <v>21</v>
      </c>
      <c r="O3293" s="1">
        <v>43344</v>
      </c>
      <c r="P3293" t="s">
        <v>41</v>
      </c>
      <c r="Q3293" t="s">
        <v>75</v>
      </c>
      <c r="R3293" t="str">
        <f>"7054020"</f>
        <v>7054020</v>
      </c>
      <c r="S3293" t="s">
        <v>765</v>
      </c>
      <c r="T3293" t="s">
        <v>354</v>
      </c>
      <c r="U3293" t="s">
        <v>355</v>
      </c>
      <c r="V3293" t="s">
        <v>131</v>
      </c>
      <c r="W3293" t="s">
        <v>51</v>
      </c>
      <c r="X3293" t="s">
        <v>45</v>
      </c>
      <c r="Y3293" s="1">
        <v>24643</v>
      </c>
      <c r="Z3293">
        <v>1</v>
      </c>
      <c r="AA3293" t="s">
        <v>355</v>
      </c>
      <c r="AB3293" s="40" t="s">
        <v>1799</v>
      </c>
    </row>
    <row r="3294" spans="1:28" x14ac:dyDescent="0.25">
      <c r="A3294">
        <v>99913293</v>
      </c>
      <c r="B3294" t="s">
        <v>56</v>
      </c>
      <c r="C3294" t="s">
        <v>52</v>
      </c>
      <c r="D3294" t="s">
        <v>53</v>
      </c>
      <c r="G3294" t="s">
        <v>48</v>
      </c>
      <c r="H3294">
        <v>1</v>
      </c>
      <c r="K3294" t="s">
        <v>223</v>
      </c>
      <c r="L3294" t="s">
        <v>224</v>
      </c>
      <c r="M3294" t="s">
        <v>131</v>
      </c>
      <c r="N3294">
        <v>21</v>
      </c>
      <c r="P3294" t="s">
        <v>41</v>
      </c>
      <c r="Q3294" t="s">
        <v>49</v>
      </c>
      <c r="R3294" t="str">
        <f>"0581206"</f>
        <v>0581206</v>
      </c>
      <c r="S3294" t="s">
        <v>232</v>
      </c>
      <c r="T3294" t="s">
        <v>223</v>
      </c>
      <c r="U3294" t="s">
        <v>224</v>
      </c>
      <c r="V3294" t="s">
        <v>131</v>
      </c>
      <c r="W3294" t="s">
        <v>51</v>
      </c>
      <c r="X3294" t="s">
        <v>45</v>
      </c>
      <c r="Y3294" s="1">
        <v>24630</v>
      </c>
      <c r="Z3294">
        <v>2</v>
      </c>
      <c r="AA3294" t="s">
        <v>224</v>
      </c>
      <c r="AB3294" s="40" t="s">
        <v>1799</v>
      </c>
    </row>
    <row r="3295" spans="1:28" x14ac:dyDescent="0.25">
      <c r="A3295">
        <v>99913294</v>
      </c>
      <c r="B3295" t="s">
        <v>32</v>
      </c>
      <c r="C3295" t="s">
        <v>111</v>
      </c>
      <c r="D3295" t="s">
        <v>112</v>
      </c>
      <c r="G3295" t="s">
        <v>35</v>
      </c>
      <c r="H3295">
        <v>12</v>
      </c>
      <c r="K3295" t="s">
        <v>268</v>
      </c>
      <c r="L3295" t="s">
        <v>269</v>
      </c>
      <c r="M3295" t="s">
        <v>131</v>
      </c>
      <c r="N3295">
        <v>21</v>
      </c>
      <c r="P3295" t="s">
        <v>41</v>
      </c>
      <c r="Q3295" t="s">
        <v>75</v>
      </c>
      <c r="R3295" t="str">
        <f>"7052006"</f>
        <v>7052006</v>
      </c>
      <c r="S3295" t="s">
        <v>575</v>
      </c>
      <c r="T3295" t="s">
        <v>268</v>
      </c>
      <c r="U3295" t="s">
        <v>269</v>
      </c>
      <c r="V3295" t="s">
        <v>131</v>
      </c>
      <c r="W3295" t="s">
        <v>165</v>
      </c>
      <c r="X3295" t="s">
        <v>45</v>
      </c>
      <c r="Y3295" s="1">
        <v>24607</v>
      </c>
      <c r="Z3295">
        <v>1</v>
      </c>
      <c r="AA3295" t="s">
        <v>269</v>
      </c>
      <c r="AB3295" s="40" t="s">
        <v>1799</v>
      </c>
    </row>
    <row r="3296" spans="1:28" x14ac:dyDescent="0.25">
      <c r="A3296">
        <v>99913295</v>
      </c>
      <c r="B3296" t="s">
        <v>32</v>
      </c>
      <c r="C3296" t="s">
        <v>111</v>
      </c>
      <c r="D3296" t="s">
        <v>112</v>
      </c>
      <c r="G3296" t="s">
        <v>48</v>
      </c>
      <c r="H3296">
        <v>13</v>
      </c>
      <c r="K3296" t="s">
        <v>195</v>
      </c>
      <c r="L3296" t="s">
        <v>196</v>
      </c>
      <c r="M3296" t="s">
        <v>131</v>
      </c>
      <c r="N3296">
        <v>21</v>
      </c>
      <c r="O3296" s="1">
        <v>36055</v>
      </c>
      <c r="P3296" t="s">
        <v>41</v>
      </c>
      <c r="Q3296" t="s">
        <v>75</v>
      </c>
      <c r="R3296" t="str">
        <f>"7521042"</f>
        <v>7521042</v>
      </c>
      <c r="S3296" t="s">
        <v>440</v>
      </c>
      <c r="T3296" t="s">
        <v>195</v>
      </c>
      <c r="U3296" t="s">
        <v>196</v>
      </c>
      <c r="V3296" t="s">
        <v>131</v>
      </c>
      <c r="W3296" t="s">
        <v>165</v>
      </c>
      <c r="X3296" t="s">
        <v>45</v>
      </c>
      <c r="Y3296" s="1">
        <v>24605</v>
      </c>
      <c r="Z3296">
        <v>1</v>
      </c>
      <c r="AA3296" t="s">
        <v>196</v>
      </c>
      <c r="AB3296" s="40" t="s">
        <v>1799</v>
      </c>
    </row>
    <row r="3297" spans="1:28" x14ac:dyDescent="0.25">
      <c r="A3297">
        <v>99913296</v>
      </c>
      <c r="B3297" t="s">
        <v>32</v>
      </c>
      <c r="C3297" t="s">
        <v>111</v>
      </c>
      <c r="D3297" t="s">
        <v>112</v>
      </c>
      <c r="G3297" t="s">
        <v>48</v>
      </c>
      <c r="H3297">
        <v>13</v>
      </c>
      <c r="K3297" t="s">
        <v>431</v>
      </c>
      <c r="L3297" t="s">
        <v>196</v>
      </c>
      <c r="M3297" t="s">
        <v>131</v>
      </c>
      <c r="N3297">
        <v>21</v>
      </c>
      <c r="P3297" t="s">
        <v>41</v>
      </c>
      <c r="Q3297" t="s">
        <v>75</v>
      </c>
      <c r="R3297" t="str">
        <f>"7521012"</f>
        <v>7521012</v>
      </c>
      <c r="S3297" t="s">
        <v>432</v>
      </c>
      <c r="T3297" t="s">
        <v>431</v>
      </c>
      <c r="U3297" t="s">
        <v>196</v>
      </c>
      <c r="V3297" t="s">
        <v>131</v>
      </c>
      <c r="W3297" t="s">
        <v>165</v>
      </c>
      <c r="X3297" t="s">
        <v>45</v>
      </c>
      <c r="Y3297" s="1">
        <v>24599</v>
      </c>
      <c r="Z3297">
        <v>1</v>
      </c>
      <c r="AA3297" t="s">
        <v>196</v>
      </c>
      <c r="AB3297" s="40" t="s">
        <v>1799</v>
      </c>
    </row>
    <row r="3298" spans="1:28" x14ac:dyDescent="0.25">
      <c r="A3298">
        <v>99913297</v>
      </c>
      <c r="B3298" t="s">
        <v>56</v>
      </c>
      <c r="C3298" t="s">
        <v>79</v>
      </c>
      <c r="D3298" t="s">
        <v>80</v>
      </c>
      <c r="G3298" t="s">
        <v>35</v>
      </c>
      <c r="H3298">
        <v>1</v>
      </c>
      <c r="K3298" t="s">
        <v>1581</v>
      </c>
      <c r="L3298" t="s">
        <v>1582</v>
      </c>
      <c r="M3298" t="s">
        <v>1548</v>
      </c>
      <c r="N3298">
        <v>21</v>
      </c>
      <c r="P3298" t="s">
        <v>41</v>
      </c>
      <c r="Q3298" t="s">
        <v>75</v>
      </c>
      <c r="R3298" t="str">
        <f>"7291002"</f>
        <v>7291002</v>
      </c>
      <c r="S3298" t="s">
        <v>1583</v>
      </c>
      <c r="T3298" t="s">
        <v>1581</v>
      </c>
      <c r="U3298" t="s">
        <v>1582</v>
      </c>
      <c r="V3298" t="s">
        <v>1548</v>
      </c>
      <c r="W3298" t="s">
        <v>51</v>
      </c>
      <c r="X3298" t="s">
        <v>45</v>
      </c>
      <c r="Y3298" s="1">
        <v>24595</v>
      </c>
      <c r="Z3298">
        <v>1</v>
      </c>
      <c r="AA3298" t="s">
        <v>1582</v>
      </c>
      <c r="AB3298" s="40" t="s">
        <v>1799</v>
      </c>
    </row>
    <row r="3299" spans="1:28" x14ac:dyDescent="0.25">
      <c r="A3299">
        <v>99913298</v>
      </c>
      <c r="B3299" t="s">
        <v>32</v>
      </c>
      <c r="C3299" t="s">
        <v>111</v>
      </c>
      <c r="D3299" t="s">
        <v>112</v>
      </c>
      <c r="G3299" t="s">
        <v>48</v>
      </c>
      <c r="H3299">
        <v>13</v>
      </c>
      <c r="K3299" t="s">
        <v>195</v>
      </c>
      <c r="L3299" t="s">
        <v>196</v>
      </c>
      <c r="M3299" t="s">
        <v>131</v>
      </c>
      <c r="N3299">
        <v>21</v>
      </c>
      <c r="O3299" s="1">
        <v>36055</v>
      </c>
      <c r="P3299" t="s">
        <v>41</v>
      </c>
      <c r="Q3299" t="s">
        <v>75</v>
      </c>
      <c r="R3299" t="str">
        <f>"7521046"</f>
        <v>7521046</v>
      </c>
      <c r="S3299" t="s">
        <v>436</v>
      </c>
      <c r="T3299" t="s">
        <v>195</v>
      </c>
      <c r="U3299" t="s">
        <v>196</v>
      </c>
      <c r="V3299" t="s">
        <v>131</v>
      </c>
      <c r="W3299" t="s">
        <v>165</v>
      </c>
      <c r="X3299" t="s">
        <v>45</v>
      </c>
      <c r="Y3299" s="1">
        <v>24563</v>
      </c>
      <c r="Z3299">
        <v>1</v>
      </c>
      <c r="AA3299" t="s">
        <v>196</v>
      </c>
      <c r="AB3299" s="40" t="s">
        <v>1799</v>
      </c>
    </row>
    <row r="3300" spans="1:28" x14ac:dyDescent="0.25">
      <c r="A3300">
        <v>99913299</v>
      </c>
      <c r="B3300" t="s">
        <v>32</v>
      </c>
      <c r="C3300" t="s">
        <v>111</v>
      </c>
      <c r="D3300" t="s">
        <v>112</v>
      </c>
      <c r="G3300" t="s">
        <v>35</v>
      </c>
      <c r="H3300">
        <v>1</v>
      </c>
      <c r="K3300" t="s">
        <v>268</v>
      </c>
      <c r="L3300" t="s">
        <v>269</v>
      </c>
      <c r="M3300" t="s">
        <v>131</v>
      </c>
      <c r="N3300">
        <v>21</v>
      </c>
      <c r="P3300" t="s">
        <v>41</v>
      </c>
      <c r="Q3300" t="s">
        <v>75</v>
      </c>
      <c r="R3300" t="str">
        <f>"7052008"</f>
        <v>7052008</v>
      </c>
      <c r="S3300" t="s">
        <v>274</v>
      </c>
      <c r="T3300" t="s">
        <v>268</v>
      </c>
      <c r="U3300" t="s">
        <v>269</v>
      </c>
      <c r="V3300" t="s">
        <v>131</v>
      </c>
      <c r="W3300" t="s">
        <v>51</v>
      </c>
      <c r="X3300" t="s">
        <v>45</v>
      </c>
      <c r="Y3300" s="1">
        <v>24563</v>
      </c>
      <c r="Z3300">
        <v>1</v>
      </c>
      <c r="AA3300" t="s">
        <v>269</v>
      </c>
      <c r="AB3300" s="40" t="s">
        <v>1799</v>
      </c>
    </row>
    <row r="3301" spans="1:28" x14ac:dyDescent="0.25">
      <c r="A3301">
        <v>99913300</v>
      </c>
      <c r="B3301" t="s">
        <v>32</v>
      </c>
      <c r="C3301" t="s">
        <v>111</v>
      </c>
      <c r="D3301" t="s">
        <v>112</v>
      </c>
      <c r="G3301" t="s">
        <v>35</v>
      </c>
      <c r="H3301">
        <v>15</v>
      </c>
      <c r="K3301" t="s">
        <v>268</v>
      </c>
      <c r="L3301" t="s">
        <v>269</v>
      </c>
      <c r="M3301" t="s">
        <v>131</v>
      </c>
      <c r="N3301">
        <v>21</v>
      </c>
      <c r="P3301" t="s">
        <v>41</v>
      </c>
      <c r="Q3301" t="s">
        <v>75</v>
      </c>
      <c r="R3301" t="str">
        <f>"7052006"</f>
        <v>7052006</v>
      </c>
      <c r="S3301" t="s">
        <v>575</v>
      </c>
      <c r="T3301" t="s">
        <v>268</v>
      </c>
      <c r="U3301" t="s">
        <v>269</v>
      </c>
      <c r="V3301" t="s">
        <v>131</v>
      </c>
      <c r="W3301" t="s">
        <v>165</v>
      </c>
      <c r="X3301" t="s">
        <v>45</v>
      </c>
      <c r="Y3301" s="1">
        <v>24555</v>
      </c>
      <c r="Z3301">
        <v>1</v>
      </c>
      <c r="AA3301" t="s">
        <v>269</v>
      </c>
      <c r="AB3301" s="40" t="s">
        <v>1799</v>
      </c>
    </row>
    <row r="3302" spans="1:28" x14ac:dyDescent="0.25">
      <c r="A3302">
        <v>99913301</v>
      </c>
      <c r="B3302" t="s">
        <v>32</v>
      </c>
      <c r="C3302" t="s">
        <v>64</v>
      </c>
      <c r="D3302" t="s">
        <v>65</v>
      </c>
      <c r="G3302" t="s">
        <v>35</v>
      </c>
      <c r="H3302">
        <v>1</v>
      </c>
      <c r="K3302" t="s">
        <v>157</v>
      </c>
      <c r="L3302" t="s">
        <v>158</v>
      </c>
      <c r="M3302" t="s">
        <v>131</v>
      </c>
      <c r="N3302">
        <v>21</v>
      </c>
      <c r="P3302" t="s">
        <v>41</v>
      </c>
      <c r="Q3302" t="s">
        <v>49</v>
      </c>
      <c r="R3302" t="str">
        <f>"0560019"</f>
        <v>0560019</v>
      </c>
      <c r="S3302" t="s">
        <v>166</v>
      </c>
      <c r="T3302" t="s">
        <v>157</v>
      </c>
      <c r="U3302" t="s">
        <v>158</v>
      </c>
      <c r="V3302" t="s">
        <v>131</v>
      </c>
      <c r="W3302" t="s">
        <v>51</v>
      </c>
      <c r="X3302" t="s">
        <v>45</v>
      </c>
      <c r="Y3302" s="1">
        <v>24518</v>
      </c>
      <c r="Z3302">
        <v>2</v>
      </c>
      <c r="AA3302" t="s">
        <v>158</v>
      </c>
      <c r="AB3302" s="40" t="s">
        <v>1799</v>
      </c>
    </row>
    <row r="3303" spans="1:28" x14ac:dyDescent="0.25">
      <c r="A3303">
        <v>99913302</v>
      </c>
      <c r="B3303" t="s">
        <v>32</v>
      </c>
      <c r="C3303" t="s">
        <v>111</v>
      </c>
      <c r="D3303" t="s">
        <v>112</v>
      </c>
      <c r="G3303" t="s">
        <v>35</v>
      </c>
      <c r="H3303">
        <v>1</v>
      </c>
      <c r="I3303">
        <v>179</v>
      </c>
      <c r="J3303" s="1">
        <v>35674</v>
      </c>
      <c r="K3303" t="s">
        <v>1081</v>
      </c>
      <c r="L3303" t="s">
        <v>1082</v>
      </c>
      <c r="M3303" t="s">
        <v>1053</v>
      </c>
      <c r="N3303">
        <v>21</v>
      </c>
      <c r="O3303" s="1">
        <v>35681</v>
      </c>
      <c r="P3303" t="s">
        <v>41</v>
      </c>
      <c r="Q3303" t="s">
        <v>75</v>
      </c>
      <c r="R3303" t="str">
        <f>"7201006"</f>
        <v>7201006</v>
      </c>
      <c r="S3303" t="s">
        <v>1083</v>
      </c>
      <c r="T3303" t="s">
        <v>1081</v>
      </c>
      <c r="U3303" t="s">
        <v>1082</v>
      </c>
      <c r="V3303" t="s">
        <v>1053</v>
      </c>
      <c r="W3303" t="s">
        <v>51</v>
      </c>
      <c r="X3303" t="s">
        <v>45</v>
      </c>
      <c r="Y3303" s="1">
        <v>24511</v>
      </c>
      <c r="Z3303">
        <v>1</v>
      </c>
      <c r="AA3303" t="s">
        <v>1082</v>
      </c>
      <c r="AB3303" s="40" t="s">
        <v>1799</v>
      </c>
    </row>
    <row r="3304" spans="1:28" x14ac:dyDescent="0.25">
      <c r="A3304">
        <v>99913303</v>
      </c>
      <c r="B3304" t="s">
        <v>32</v>
      </c>
      <c r="C3304" t="s">
        <v>71</v>
      </c>
      <c r="D3304" t="s">
        <v>72</v>
      </c>
      <c r="G3304" t="s">
        <v>35</v>
      </c>
      <c r="H3304">
        <v>1</v>
      </c>
      <c r="K3304" t="s">
        <v>154</v>
      </c>
      <c r="L3304" t="s">
        <v>155</v>
      </c>
      <c r="M3304" t="s">
        <v>131</v>
      </c>
      <c r="N3304">
        <v>21</v>
      </c>
      <c r="P3304" t="s">
        <v>41</v>
      </c>
      <c r="Q3304" t="s">
        <v>75</v>
      </c>
      <c r="R3304" t="str">
        <f>"7051032"</f>
        <v>7051032</v>
      </c>
      <c r="S3304" t="s">
        <v>400</v>
      </c>
      <c r="T3304" t="s">
        <v>154</v>
      </c>
      <c r="U3304" t="s">
        <v>155</v>
      </c>
      <c r="V3304" t="s">
        <v>131</v>
      </c>
      <c r="W3304" t="s">
        <v>51</v>
      </c>
      <c r="X3304" t="s">
        <v>45</v>
      </c>
      <c r="Y3304" s="1">
        <v>24496</v>
      </c>
      <c r="Z3304">
        <v>1</v>
      </c>
      <c r="AA3304" t="s">
        <v>155</v>
      </c>
      <c r="AB3304" s="40" t="s">
        <v>1799</v>
      </c>
    </row>
    <row r="3305" spans="1:28" x14ac:dyDescent="0.25">
      <c r="A3305">
        <v>99913304</v>
      </c>
      <c r="B3305" t="s">
        <v>32</v>
      </c>
      <c r="C3305" t="s">
        <v>111</v>
      </c>
      <c r="D3305" t="s">
        <v>112</v>
      </c>
      <c r="G3305" t="s">
        <v>35</v>
      </c>
      <c r="H3305">
        <v>15</v>
      </c>
      <c r="K3305" t="s">
        <v>268</v>
      </c>
      <c r="L3305" t="s">
        <v>269</v>
      </c>
      <c r="M3305" t="s">
        <v>131</v>
      </c>
      <c r="N3305">
        <v>21</v>
      </c>
      <c r="P3305" t="s">
        <v>41</v>
      </c>
      <c r="Q3305" t="s">
        <v>75</v>
      </c>
      <c r="R3305" t="str">
        <f>"7052002"</f>
        <v>7052002</v>
      </c>
      <c r="S3305" t="s">
        <v>590</v>
      </c>
      <c r="T3305" t="s">
        <v>268</v>
      </c>
      <c r="U3305" t="s">
        <v>269</v>
      </c>
      <c r="V3305" t="s">
        <v>131</v>
      </c>
      <c r="W3305" t="s">
        <v>165</v>
      </c>
      <c r="X3305" t="s">
        <v>45</v>
      </c>
      <c r="Y3305" s="1">
        <v>24484</v>
      </c>
      <c r="Z3305">
        <v>1</v>
      </c>
      <c r="AA3305" t="s">
        <v>269</v>
      </c>
      <c r="AB3305" s="40" t="s">
        <v>1799</v>
      </c>
    </row>
    <row r="3306" spans="1:28" x14ac:dyDescent="0.25">
      <c r="A3306">
        <v>99913305</v>
      </c>
      <c r="B3306" t="s">
        <v>32</v>
      </c>
      <c r="C3306" t="s">
        <v>139</v>
      </c>
      <c r="D3306" t="s">
        <v>140</v>
      </c>
      <c r="G3306" t="s">
        <v>35</v>
      </c>
      <c r="H3306">
        <v>1</v>
      </c>
      <c r="K3306" t="s">
        <v>223</v>
      </c>
      <c r="L3306" t="s">
        <v>224</v>
      </c>
      <c r="M3306" t="s">
        <v>131</v>
      </c>
      <c r="N3306">
        <v>21</v>
      </c>
      <c r="P3306" t="s">
        <v>41</v>
      </c>
      <c r="Q3306" t="s">
        <v>42</v>
      </c>
      <c r="R3306" t="str">
        <f>"0590902"</f>
        <v>0590902</v>
      </c>
      <c r="S3306" t="s">
        <v>241</v>
      </c>
      <c r="T3306" t="s">
        <v>223</v>
      </c>
      <c r="U3306" t="s">
        <v>224</v>
      </c>
      <c r="V3306" t="s">
        <v>131</v>
      </c>
      <c r="W3306" t="s">
        <v>51</v>
      </c>
      <c r="X3306" t="s">
        <v>45</v>
      </c>
      <c r="Y3306" s="1">
        <v>24483</v>
      </c>
      <c r="Z3306">
        <v>2</v>
      </c>
      <c r="AA3306" t="s">
        <v>224</v>
      </c>
      <c r="AB3306" s="40" t="s">
        <v>1799</v>
      </c>
    </row>
    <row r="3307" spans="1:28" x14ac:dyDescent="0.25">
      <c r="A3307">
        <v>99913306</v>
      </c>
      <c r="B3307" t="s">
        <v>56</v>
      </c>
      <c r="C3307" t="s">
        <v>111</v>
      </c>
      <c r="D3307" t="s">
        <v>112</v>
      </c>
      <c r="G3307" t="s">
        <v>35</v>
      </c>
      <c r="H3307">
        <v>1</v>
      </c>
      <c r="I3307" t="s">
        <v>1112</v>
      </c>
      <c r="J3307" s="1">
        <v>43344</v>
      </c>
      <c r="K3307" t="s">
        <v>1081</v>
      </c>
      <c r="L3307" t="s">
        <v>1082</v>
      </c>
      <c r="M3307" t="s">
        <v>1053</v>
      </c>
      <c r="N3307">
        <v>21</v>
      </c>
      <c r="O3307" s="1">
        <v>43344</v>
      </c>
      <c r="P3307" t="s">
        <v>41</v>
      </c>
      <c r="Q3307" t="s">
        <v>75</v>
      </c>
      <c r="R3307" t="str">
        <f>"7201000"</f>
        <v>7201000</v>
      </c>
      <c r="S3307" t="s">
        <v>1088</v>
      </c>
      <c r="T3307" t="s">
        <v>1081</v>
      </c>
      <c r="U3307" t="s">
        <v>1082</v>
      </c>
      <c r="V3307" t="s">
        <v>1053</v>
      </c>
      <c r="W3307" t="s">
        <v>51</v>
      </c>
      <c r="X3307" t="s">
        <v>45</v>
      </c>
      <c r="Y3307" s="1">
        <v>24477</v>
      </c>
      <c r="Z3307">
        <v>1</v>
      </c>
      <c r="AA3307" t="s">
        <v>1082</v>
      </c>
      <c r="AB3307" s="40" t="s">
        <v>1799</v>
      </c>
    </row>
    <row r="3308" spans="1:28" x14ac:dyDescent="0.25">
      <c r="A3308">
        <v>99913307</v>
      </c>
      <c r="B3308" t="s">
        <v>56</v>
      </c>
      <c r="C3308" t="s">
        <v>79</v>
      </c>
      <c r="D3308" t="s">
        <v>80</v>
      </c>
      <c r="G3308" t="s">
        <v>48</v>
      </c>
      <c r="H3308">
        <v>1</v>
      </c>
      <c r="K3308" t="s">
        <v>223</v>
      </c>
      <c r="L3308" t="s">
        <v>224</v>
      </c>
      <c r="M3308" t="s">
        <v>131</v>
      </c>
      <c r="N3308">
        <v>21</v>
      </c>
      <c r="P3308" t="s">
        <v>41</v>
      </c>
      <c r="Q3308" t="s">
        <v>42</v>
      </c>
      <c r="R3308" t="str">
        <f>"0580265"</f>
        <v>0580265</v>
      </c>
      <c r="S3308" t="s">
        <v>231</v>
      </c>
      <c r="T3308" t="s">
        <v>223</v>
      </c>
      <c r="U3308" t="s">
        <v>224</v>
      </c>
      <c r="V3308" t="s">
        <v>131</v>
      </c>
      <c r="W3308" t="s">
        <v>51</v>
      </c>
      <c r="X3308" t="s">
        <v>45</v>
      </c>
      <c r="Y3308" s="1">
        <v>24474</v>
      </c>
      <c r="Z3308">
        <v>2</v>
      </c>
      <c r="AA3308" t="s">
        <v>224</v>
      </c>
      <c r="AB3308" s="40" t="s">
        <v>1799</v>
      </c>
    </row>
    <row r="3309" spans="1:28" x14ac:dyDescent="0.25">
      <c r="A3309">
        <v>99913308</v>
      </c>
      <c r="B3309" t="s">
        <v>32</v>
      </c>
      <c r="C3309" t="s">
        <v>46</v>
      </c>
      <c r="D3309" t="s">
        <v>47</v>
      </c>
      <c r="G3309" t="s">
        <v>48</v>
      </c>
      <c r="H3309">
        <v>1</v>
      </c>
      <c r="K3309" t="s">
        <v>300</v>
      </c>
      <c r="L3309" t="s">
        <v>301</v>
      </c>
      <c r="M3309" t="s">
        <v>131</v>
      </c>
      <c r="N3309">
        <v>21</v>
      </c>
      <c r="P3309" t="s">
        <v>41</v>
      </c>
      <c r="Q3309" t="s">
        <v>42</v>
      </c>
      <c r="R3309" t="str">
        <f>"0580106"</f>
        <v>0580106</v>
      </c>
      <c r="S3309" t="s">
        <v>306</v>
      </c>
      <c r="T3309" t="s">
        <v>300</v>
      </c>
      <c r="U3309" t="s">
        <v>301</v>
      </c>
      <c r="V3309" t="s">
        <v>131</v>
      </c>
      <c r="W3309" t="s">
        <v>51</v>
      </c>
      <c r="X3309" t="s">
        <v>45</v>
      </c>
      <c r="Y3309" s="1">
        <v>24473</v>
      </c>
      <c r="Z3309">
        <v>2</v>
      </c>
      <c r="AA3309" t="s">
        <v>301</v>
      </c>
      <c r="AB3309" s="40" t="s">
        <v>1799</v>
      </c>
    </row>
    <row r="3310" spans="1:28" x14ac:dyDescent="0.25">
      <c r="A3310">
        <v>99913309</v>
      </c>
      <c r="B3310" t="s">
        <v>32</v>
      </c>
      <c r="C3310" t="s">
        <v>111</v>
      </c>
      <c r="D3310" t="s">
        <v>112</v>
      </c>
      <c r="G3310" t="s">
        <v>35</v>
      </c>
      <c r="H3310">
        <v>1</v>
      </c>
      <c r="I3310" t="s">
        <v>827</v>
      </c>
      <c r="J3310" s="1">
        <v>43344</v>
      </c>
      <c r="K3310" t="s">
        <v>354</v>
      </c>
      <c r="L3310" t="s">
        <v>355</v>
      </c>
      <c r="M3310" t="s">
        <v>131</v>
      </c>
      <c r="N3310">
        <v>21</v>
      </c>
      <c r="O3310" s="1">
        <v>43344</v>
      </c>
      <c r="P3310" t="s">
        <v>41</v>
      </c>
      <c r="Q3310" t="s">
        <v>75</v>
      </c>
      <c r="R3310" t="str">
        <f>"7054024"</f>
        <v>7054024</v>
      </c>
      <c r="S3310" t="s">
        <v>793</v>
      </c>
      <c r="T3310" t="s">
        <v>354</v>
      </c>
      <c r="U3310" t="s">
        <v>355</v>
      </c>
      <c r="V3310" t="s">
        <v>131</v>
      </c>
      <c r="W3310" t="s">
        <v>51</v>
      </c>
      <c r="X3310" t="s">
        <v>45</v>
      </c>
      <c r="Y3310" s="1">
        <v>24473</v>
      </c>
      <c r="Z3310">
        <v>1</v>
      </c>
      <c r="AA3310" t="s">
        <v>355</v>
      </c>
      <c r="AB3310" s="40" t="s">
        <v>1799</v>
      </c>
    </row>
    <row r="3311" spans="1:28" x14ac:dyDescent="0.25">
      <c r="A3311">
        <v>99913310</v>
      </c>
      <c r="B3311" t="s">
        <v>32</v>
      </c>
      <c r="C3311" t="s">
        <v>141</v>
      </c>
      <c r="D3311" t="s">
        <v>142</v>
      </c>
      <c r="G3311" t="s">
        <v>35</v>
      </c>
      <c r="H3311">
        <v>1</v>
      </c>
      <c r="I3311">
        <v>731</v>
      </c>
      <c r="J3311" s="1">
        <v>43344</v>
      </c>
      <c r="K3311" t="s">
        <v>354</v>
      </c>
      <c r="L3311" t="s">
        <v>355</v>
      </c>
      <c r="M3311" t="s">
        <v>131</v>
      </c>
      <c r="N3311">
        <v>21</v>
      </c>
      <c r="O3311" s="1">
        <v>43344</v>
      </c>
      <c r="P3311" t="s">
        <v>41</v>
      </c>
      <c r="Q3311" t="s">
        <v>75</v>
      </c>
      <c r="R3311" t="str">
        <f>"7054032"</f>
        <v>7054032</v>
      </c>
      <c r="S3311" t="s">
        <v>767</v>
      </c>
      <c r="T3311" t="s">
        <v>354</v>
      </c>
      <c r="U3311" t="s">
        <v>355</v>
      </c>
      <c r="V3311" t="s">
        <v>131</v>
      </c>
      <c r="W3311" t="s">
        <v>51</v>
      </c>
      <c r="X3311" t="s">
        <v>45</v>
      </c>
      <c r="Y3311" s="1">
        <v>24473</v>
      </c>
      <c r="Z3311">
        <v>1</v>
      </c>
      <c r="AA3311" t="s">
        <v>355</v>
      </c>
      <c r="AB3311" s="40" t="s">
        <v>1799</v>
      </c>
    </row>
    <row r="3312" spans="1:28" x14ac:dyDescent="0.25">
      <c r="A3312">
        <v>99913311</v>
      </c>
      <c r="B3312" t="s">
        <v>32</v>
      </c>
      <c r="C3312" t="s">
        <v>58</v>
      </c>
      <c r="D3312" t="s">
        <v>59</v>
      </c>
      <c r="G3312" t="s">
        <v>48</v>
      </c>
      <c r="H3312">
        <v>1</v>
      </c>
      <c r="K3312" t="s">
        <v>1496</v>
      </c>
      <c r="L3312" t="s">
        <v>1497</v>
      </c>
      <c r="M3312" t="s">
        <v>670</v>
      </c>
      <c r="N3312">
        <v>21</v>
      </c>
      <c r="P3312" t="s">
        <v>41</v>
      </c>
      <c r="Q3312" t="s">
        <v>42</v>
      </c>
      <c r="R3312" t="str">
        <f>"5080015"</f>
        <v>5080015</v>
      </c>
      <c r="S3312" t="s">
        <v>1498</v>
      </c>
      <c r="T3312" t="s">
        <v>1496</v>
      </c>
      <c r="U3312" t="s">
        <v>1497</v>
      </c>
      <c r="V3312" t="s">
        <v>670</v>
      </c>
      <c r="W3312" t="s">
        <v>51</v>
      </c>
      <c r="X3312" t="s">
        <v>45</v>
      </c>
      <c r="Y3312" s="1">
        <v>24473</v>
      </c>
      <c r="Z3312">
        <v>2</v>
      </c>
      <c r="AA3312" t="s">
        <v>1497</v>
      </c>
      <c r="AB3312" s="40" t="s">
        <v>1799</v>
      </c>
    </row>
    <row r="3313" spans="1:28" x14ac:dyDescent="0.25">
      <c r="A3313">
        <v>99913312</v>
      </c>
      <c r="B3313" t="s">
        <v>56</v>
      </c>
      <c r="C3313" t="s">
        <v>68</v>
      </c>
      <c r="D3313" t="s">
        <v>69</v>
      </c>
      <c r="G3313" t="s">
        <v>48</v>
      </c>
      <c r="H3313">
        <v>1</v>
      </c>
      <c r="K3313" t="s">
        <v>129</v>
      </c>
      <c r="L3313" t="s">
        <v>130</v>
      </c>
      <c r="M3313" t="s">
        <v>131</v>
      </c>
      <c r="N3313">
        <v>21</v>
      </c>
      <c r="P3313" t="s">
        <v>41</v>
      </c>
      <c r="Q3313" t="s">
        <v>42</v>
      </c>
      <c r="R3313" t="str">
        <f>"0580715"</f>
        <v>0580715</v>
      </c>
      <c r="S3313" t="s">
        <v>147</v>
      </c>
      <c r="T3313" t="s">
        <v>129</v>
      </c>
      <c r="U3313" t="s">
        <v>130</v>
      </c>
      <c r="V3313" t="s">
        <v>131</v>
      </c>
      <c r="W3313" t="s">
        <v>51</v>
      </c>
      <c r="X3313" t="s">
        <v>45</v>
      </c>
      <c r="Y3313" s="1">
        <v>24465</v>
      </c>
      <c r="Z3313">
        <v>2</v>
      </c>
      <c r="AA3313" t="s">
        <v>130</v>
      </c>
      <c r="AB3313" s="40" t="s">
        <v>1799</v>
      </c>
    </row>
    <row r="3314" spans="1:28" x14ac:dyDescent="0.25">
      <c r="A3314">
        <v>99913313</v>
      </c>
      <c r="B3314" t="s">
        <v>32</v>
      </c>
      <c r="C3314" t="s">
        <v>79</v>
      </c>
      <c r="D3314" t="s">
        <v>80</v>
      </c>
      <c r="G3314" t="s">
        <v>48</v>
      </c>
      <c r="H3314">
        <v>13</v>
      </c>
      <c r="K3314" t="s">
        <v>195</v>
      </c>
      <c r="L3314" t="s">
        <v>196</v>
      </c>
      <c r="M3314" t="s">
        <v>131</v>
      </c>
      <c r="N3314">
        <v>21</v>
      </c>
      <c r="O3314" s="1">
        <v>36055</v>
      </c>
      <c r="P3314" t="s">
        <v>41</v>
      </c>
      <c r="Q3314" t="s">
        <v>75</v>
      </c>
      <c r="R3314" t="str">
        <f>"7521042"</f>
        <v>7521042</v>
      </c>
      <c r="S3314" t="s">
        <v>440</v>
      </c>
      <c r="T3314" t="s">
        <v>195</v>
      </c>
      <c r="U3314" t="s">
        <v>196</v>
      </c>
      <c r="V3314" t="s">
        <v>131</v>
      </c>
      <c r="W3314" t="s">
        <v>165</v>
      </c>
      <c r="X3314" t="s">
        <v>45</v>
      </c>
      <c r="Y3314" s="1">
        <v>24432</v>
      </c>
      <c r="Z3314">
        <v>1</v>
      </c>
      <c r="AA3314" t="s">
        <v>196</v>
      </c>
      <c r="AB3314" s="40" t="s">
        <v>1799</v>
      </c>
    </row>
    <row r="3315" spans="1:28" x14ac:dyDescent="0.25">
      <c r="A3315">
        <v>99913314</v>
      </c>
      <c r="B3315" t="s">
        <v>56</v>
      </c>
      <c r="C3315" t="s">
        <v>111</v>
      </c>
      <c r="D3315" t="s">
        <v>112</v>
      </c>
      <c r="G3315" t="s">
        <v>48</v>
      </c>
      <c r="H3315">
        <v>13</v>
      </c>
      <c r="I3315" t="s">
        <v>521</v>
      </c>
      <c r="J3315" s="1">
        <v>40422</v>
      </c>
      <c r="K3315" t="s">
        <v>431</v>
      </c>
      <c r="L3315" t="s">
        <v>196</v>
      </c>
      <c r="M3315" t="s">
        <v>131</v>
      </c>
      <c r="N3315">
        <v>21</v>
      </c>
      <c r="O3315" s="1">
        <v>40422</v>
      </c>
      <c r="P3315" t="s">
        <v>41</v>
      </c>
      <c r="Q3315" t="s">
        <v>75</v>
      </c>
      <c r="R3315" t="str">
        <f>"7521032"</f>
        <v>7521032</v>
      </c>
      <c r="S3315" t="s">
        <v>462</v>
      </c>
      <c r="T3315" t="s">
        <v>431</v>
      </c>
      <c r="U3315" t="s">
        <v>196</v>
      </c>
      <c r="V3315" t="s">
        <v>131</v>
      </c>
      <c r="W3315" t="s">
        <v>51</v>
      </c>
      <c r="X3315" t="s">
        <v>45</v>
      </c>
      <c r="Y3315" s="1">
        <v>24414</v>
      </c>
      <c r="Z3315">
        <v>1</v>
      </c>
      <c r="AA3315" t="s">
        <v>196</v>
      </c>
      <c r="AB3315" s="40" t="s">
        <v>1799</v>
      </c>
    </row>
    <row r="3316" spans="1:28" x14ac:dyDescent="0.25">
      <c r="A3316">
        <v>99913315</v>
      </c>
      <c r="B3316" t="s">
        <v>32</v>
      </c>
      <c r="C3316" t="s">
        <v>52</v>
      </c>
      <c r="D3316" t="s">
        <v>53</v>
      </c>
      <c r="G3316" t="s">
        <v>35</v>
      </c>
      <c r="H3316">
        <v>1</v>
      </c>
      <c r="K3316" t="s">
        <v>1626</v>
      </c>
      <c r="L3316" t="s">
        <v>1627</v>
      </c>
      <c r="M3316" t="s">
        <v>1592</v>
      </c>
      <c r="N3316">
        <v>21</v>
      </c>
      <c r="P3316" t="s">
        <v>41</v>
      </c>
      <c r="Q3316" t="s">
        <v>42</v>
      </c>
      <c r="R3316" t="str">
        <f>"3680015"</f>
        <v>3680015</v>
      </c>
      <c r="S3316" t="s">
        <v>1628</v>
      </c>
      <c r="T3316" t="s">
        <v>1626</v>
      </c>
      <c r="U3316" t="s">
        <v>1627</v>
      </c>
      <c r="V3316" t="s">
        <v>1592</v>
      </c>
      <c r="W3316" t="s">
        <v>51</v>
      </c>
      <c r="X3316" t="s">
        <v>45</v>
      </c>
      <c r="Y3316" s="1">
        <v>24405</v>
      </c>
      <c r="Z3316">
        <v>2</v>
      </c>
      <c r="AA3316" t="s">
        <v>1627</v>
      </c>
      <c r="AB3316" s="40" t="s">
        <v>1799</v>
      </c>
    </row>
    <row r="3317" spans="1:28" x14ac:dyDescent="0.25">
      <c r="A3317">
        <v>99913316</v>
      </c>
      <c r="B3317" t="s">
        <v>32</v>
      </c>
      <c r="C3317" t="s">
        <v>71</v>
      </c>
      <c r="D3317" t="s">
        <v>72</v>
      </c>
      <c r="G3317" t="s">
        <v>35</v>
      </c>
      <c r="H3317">
        <v>1</v>
      </c>
      <c r="I3317" t="s">
        <v>348</v>
      </c>
      <c r="J3317" s="1">
        <v>43344</v>
      </c>
      <c r="K3317" t="s">
        <v>345</v>
      </c>
      <c r="L3317" t="s">
        <v>346</v>
      </c>
      <c r="M3317" t="s">
        <v>131</v>
      </c>
      <c r="N3317">
        <v>21</v>
      </c>
      <c r="O3317" s="1">
        <v>43344</v>
      </c>
      <c r="P3317" t="s">
        <v>41</v>
      </c>
      <c r="Q3317" t="s">
        <v>49</v>
      </c>
      <c r="R3317" t="str">
        <f>"0581155"</f>
        <v>0581155</v>
      </c>
      <c r="S3317" t="s">
        <v>349</v>
      </c>
      <c r="T3317" t="s">
        <v>345</v>
      </c>
      <c r="U3317" t="s">
        <v>346</v>
      </c>
      <c r="V3317" t="s">
        <v>131</v>
      </c>
      <c r="W3317" t="s">
        <v>51</v>
      </c>
      <c r="X3317" t="s">
        <v>45</v>
      </c>
      <c r="Y3317" s="1">
        <v>24401</v>
      </c>
      <c r="Z3317">
        <v>2</v>
      </c>
      <c r="AA3317" t="s">
        <v>346</v>
      </c>
      <c r="AB3317" s="40" t="s">
        <v>1799</v>
      </c>
    </row>
    <row r="3318" spans="1:28" x14ac:dyDescent="0.25">
      <c r="A3318">
        <v>99913317</v>
      </c>
      <c r="B3318" t="s">
        <v>32</v>
      </c>
      <c r="C3318" t="s">
        <v>64</v>
      </c>
      <c r="D3318" t="s">
        <v>65</v>
      </c>
      <c r="G3318" t="s">
        <v>48</v>
      </c>
      <c r="H3318">
        <v>13</v>
      </c>
      <c r="K3318" t="s">
        <v>195</v>
      </c>
      <c r="L3318" t="s">
        <v>196</v>
      </c>
      <c r="M3318" t="s">
        <v>131</v>
      </c>
      <c r="N3318">
        <v>21</v>
      </c>
      <c r="O3318" s="1">
        <v>39326</v>
      </c>
      <c r="P3318" t="s">
        <v>41</v>
      </c>
      <c r="Q3318" t="s">
        <v>75</v>
      </c>
      <c r="R3318" t="str">
        <f>"7521042"</f>
        <v>7521042</v>
      </c>
      <c r="S3318" t="s">
        <v>440</v>
      </c>
      <c r="T3318" t="s">
        <v>195</v>
      </c>
      <c r="U3318" t="s">
        <v>196</v>
      </c>
      <c r="V3318" t="s">
        <v>131</v>
      </c>
      <c r="W3318" t="s">
        <v>51</v>
      </c>
      <c r="X3318" t="s">
        <v>45</v>
      </c>
      <c r="Y3318" s="1">
        <v>24374</v>
      </c>
      <c r="Z3318">
        <v>1</v>
      </c>
      <c r="AA3318" t="s">
        <v>196</v>
      </c>
      <c r="AB3318" s="40" t="s">
        <v>1799</v>
      </c>
    </row>
    <row r="3319" spans="1:28" x14ac:dyDescent="0.25">
      <c r="A3319">
        <v>99913318</v>
      </c>
      <c r="B3319" t="s">
        <v>56</v>
      </c>
      <c r="C3319" t="s">
        <v>111</v>
      </c>
      <c r="D3319" t="s">
        <v>112</v>
      </c>
      <c r="G3319" t="s">
        <v>48</v>
      </c>
      <c r="H3319">
        <v>14</v>
      </c>
      <c r="K3319" t="s">
        <v>195</v>
      </c>
      <c r="L3319" t="s">
        <v>196</v>
      </c>
      <c r="M3319" t="s">
        <v>131</v>
      </c>
      <c r="N3319">
        <v>21</v>
      </c>
      <c r="O3319" s="1">
        <v>34124</v>
      </c>
      <c r="P3319" t="s">
        <v>41</v>
      </c>
      <c r="Q3319" t="s">
        <v>75</v>
      </c>
      <c r="R3319" t="str">
        <f>"7521044"</f>
        <v>7521044</v>
      </c>
      <c r="S3319" t="s">
        <v>453</v>
      </c>
      <c r="T3319" t="s">
        <v>195</v>
      </c>
      <c r="U3319" t="s">
        <v>196</v>
      </c>
      <c r="V3319" t="s">
        <v>131</v>
      </c>
      <c r="W3319" t="s">
        <v>165</v>
      </c>
      <c r="X3319" t="s">
        <v>45</v>
      </c>
      <c r="Y3319" s="1">
        <v>24329</v>
      </c>
      <c r="Z3319">
        <v>1</v>
      </c>
      <c r="AA3319" t="s">
        <v>196</v>
      </c>
      <c r="AB3319" s="40" t="s">
        <v>1799</v>
      </c>
    </row>
    <row r="3320" spans="1:28" x14ac:dyDescent="0.25">
      <c r="A3320">
        <v>99913319</v>
      </c>
      <c r="B3320" t="s">
        <v>32</v>
      </c>
      <c r="C3320" t="s">
        <v>139</v>
      </c>
      <c r="D3320" t="s">
        <v>140</v>
      </c>
      <c r="G3320" t="s">
        <v>48</v>
      </c>
      <c r="H3320">
        <v>12</v>
      </c>
      <c r="I3320" t="s">
        <v>557</v>
      </c>
      <c r="J3320" s="1">
        <v>43344</v>
      </c>
      <c r="K3320" t="s">
        <v>195</v>
      </c>
      <c r="L3320" t="s">
        <v>196</v>
      </c>
      <c r="M3320" t="s">
        <v>131</v>
      </c>
      <c r="N3320">
        <v>21</v>
      </c>
      <c r="O3320" s="1">
        <v>43344</v>
      </c>
      <c r="P3320" t="s">
        <v>41</v>
      </c>
      <c r="Q3320" t="s">
        <v>75</v>
      </c>
      <c r="R3320" t="str">
        <f>"7521044"</f>
        <v>7521044</v>
      </c>
      <c r="S3320" t="s">
        <v>453</v>
      </c>
      <c r="T3320" t="s">
        <v>195</v>
      </c>
      <c r="U3320" t="s">
        <v>196</v>
      </c>
      <c r="V3320" t="s">
        <v>131</v>
      </c>
      <c r="W3320" t="s">
        <v>165</v>
      </c>
      <c r="X3320" t="s">
        <v>45</v>
      </c>
      <c r="Y3320" s="1">
        <v>24316</v>
      </c>
      <c r="Z3320">
        <v>1</v>
      </c>
      <c r="AA3320" t="s">
        <v>196</v>
      </c>
      <c r="AB3320" s="40" t="s">
        <v>1799</v>
      </c>
    </row>
    <row r="3321" spans="1:28" x14ac:dyDescent="0.25">
      <c r="A3321">
        <v>99913320</v>
      </c>
      <c r="B3321" t="s">
        <v>32</v>
      </c>
      <c r="C3321" t="s">
        <v>46</v>
      </c>
      <c r="D3321" t="s">
        <v>47</v>
      </c>
      <c r="G3321" t="s">
        <v>48</v>
      </c>
      <c r="H3321">
        <v>1</v>
      </c>
      <c r="K3321" t="s">
        <v>1268</v>
      </c>
      <c r="L3321" t="s">
        <v>1269</v>
      </c>
      <c r="M3321" t="s">
        <v>1270</v>
      </c>
      <c r="N3321">
        <v>21</v>
      </c>
      <c r="P3321" t="s">
        <v>41</v>
      </c>
      <c r="Q3321" t="s">
        <v>49</v>
      </c>
      <c r="R3321" t="str">
        <f>"1981914"</f>
        <v>1981914</v>
      </c>
      <c r="S3321" t="s">
        <v>1287</v>
      </c>
      <c r="T3321" t="s">
        <v>1268</v>
      </c>
      <c r="U3321" t="s">
        <v>1269</v>
      </c>
      <c r="V3321" t="s">
        <v>1270</v>
      </c>
      <c r="W3321" t="s">
        <v>51</v>
      </c>
      <c r="X3321" t="s">
        <v>45</v>
      </c>
      <c r="Y3321" s="1">
        <v>24312</v>
      </c>
      <c r="Z3321">
        <v>2</v>
      </c>
      <c r="AA3321" t="s">
        <v>1269</v>
      </c>
      <c r="AB3321" s="40" t="s">
        <v>1799</v>
      </c>
    </row>
    <row r="3322" spans="1:28" x14ac:dyDescent="0.25">
      <c r="A3322">
        <v>99913321</v>
      </c>
      <c r="B3322" t="s">
        <v>32</v>
      </c>
      <c r="C3322" t="s">
        <v>111</v>
      </c>
      <c r="D3322" t="s">
        <v>112</v>
      </c>
      <c r="G3322" t="s">
        <v>48</v>
      </c>
      <c r="H3322">
        <v>12</v>
      </c>
      <c r="K3322" t="s">
        <v>195</v>
      </c>
      <c r="L3322" t="s">
        <v>196</v>
      </c>
      <c r="M3322" t="s">
        <v>131</v>
      </c>
      <c r="N3322">
        <v>21</v>
      </c>
      <c r="O3322" s="1">
        <v>36055</v>
      </c>
      <c r="P3322" t="s">
        <v>41</v>
      </c>
      <c r="Q3322" t="s">
        <v>75</v>
      </c>
      <c r="R3322" t="str">
        <f>"7521042"</f>
        <v>7521042</v>
      </c>
      <c r="S3322" t="s">
        <v>440</v>
      </c>
      <c r="T3322" t="s">
        <v>195</v>
      </c>
      <c r="U3322" t="s">
        <v>196</v>
      </c>
      <c r="V3322" t="s">
        <v>131</v>
      </c>
      <c r="W3322" t="s">
        <v>165</v>
      </c>
      <c r="X3322" t="s">
        <v>45</v>
      </c>
      <c r="Y3322" s="1">
        <v>24301</v>
      </c>
      <c r="Z3322">
        <v>1</v>
      </c>
      <c r="AA3322" t="s">
        <v>196</v>
      </c>
      <c r="AB3322" s="40" t="s">
        <v>1799</v>
      </c>
    </row>
    <row r="3323" spans="1:28" x14ac:dyDescent="0.25">
      <c r="A3323">
        <v>99913322</v>
      </c>
      <c r="B3323" t="s">
        <v>32</v>
      </c>
      <c r="C3323" t="s">
        <v>111</v>
      </c>
      <c r="D3323" t="s">
        <v>112</v>
      </c>
      <c r="G3323" t="s">
        <v>48</v>
      </c>
      <c r="H3323">
        <v>13</v>
      </c>
      <c r="K3323" t="s">
        <v>195</v>
      </c>
      <c r="L3323" t="s">
        <v>196</v>
      </c>
      <c r="M3323" t="s">
        <v>131</v>
      </c>
      <c r="N3323">
        <v>21</v>
      </c>
      <c r="O3323" s="1">
        <v>36055</v>
      </c>
      <c r="P3323" t="s">
        <v>41</v>
      </c>
      <c r="Q3323" t="s">
        <v>75</v>
      </c>
      <c r="R3323" t="str">
        <f>"7521046"</f>
        <v>7521046</v>
      </c>
      <c r="S3323" t="s">
        <v>436</v>
      </c>
      <c r="T3323" t="s">
        <v>195</v>
      </c>
      <c r="U3323" t="s">
        <v>196</v>
      </c>
      <c r="V3323" t="s">
        <v>131</v>
      </c>
      <c r="W3323" t="s">
        <v>165</v>
      </c>
      <c r="X3323" t="s">
        <v>45</v>
      </c>
      <c r="Y3323" s="1">
        <v>24286</v>
      </c>
      <c r="Z3323">
        <v>1</v>
      </c>
      <c r="AA3323" t="s">
        <v>196</v>
      </c>
      <c r="AB3323" s="40" t="s">
        <v>1799</v>
      </c>
    </row>
    <row r="3324" spans="1:28" x14ac:dyDescent="0.25">
      <c r="A3324">
        <v>99913323</v>
      </c>
      <c r="B3324" t="s">
        <v>32</v>
      </c>
      <c r="C3324" t="s">
        <v>79</v>
      </c>
      <c r="D3324" t="s">
        <v>80</v>
      </c>
      <c r="G3324" t="s">
        <v>35</v>
      </c>
      <c r="H3324">
        <v>13</v>
      </c>
      <c r="K3324" t="s">
        <v>268</v>
      </c>
      <c r="L3324" t="s">
        <v>269</v>
      </c>
      <c r="M3324" t="s">
        <v>131</v>
      </c>
      <c r="N3324">
        <v>21</v>
      </c>
      <c r="P3324" t="s">
        <v>41</v>
      </c>
      <c r="Q3324" t="s">
        <v>75</v>
      </c>
      <c r="R3324" t="str">
        <f>"7052002"</f>
        <v>7052002</v>
      </c>
      <c r="S3324" t="s">
        <v>590</v>
      </c>
      <c r="T3324" t="s">
        <v>268</v>
      </c>
      <c r="U3324" t="s">
        <v>269</v>
      </c>
      <c r="V3324" t="s">
        <v>131</v>
      </c>
      <c r="W3324" t="s">
        <v>165</v>
      </c>
      <c r="X3324" t="s">
        <v>45</v>
      </c>
      <c r="Y3324" s="1">
        <v>24284</v>
      </c>
      <c r="Z3324">
        <v>1</v>
      </c>
      <c r="AA3324" t="s">
        <v>269</v>
      </c>
      <c r="AB3324" s="40" t="s">
        <v>1799</v>
      </c>
    </row>
    <row r="3325" spans="1:28" x14ac:dyDescent="0.25">
      <c r="A3325">
        <v>99913324</v>
      </c>
      <c r="B3325" t="s">
        <v>32</v>
      </c>
      <c r="C3325" t="s">
        <v>111</v>
      </c>
      <c r="D3325" t="s">
        <v>112</v>
      </c>
      <c r="G3325" t="s">
        <v>48</v>
      </c>
      <c r="H3325">
        <v>14</v>
      </c>
      <c r="I3325" t="s">
        <v>519</v>
      </c>
      <c r="J3325" s="1">
        <v>43344</v>
      </c>
      <c r="K3325" t="s">
        <v>195</v>
      </c>
      <c r="L3325" t="s">
        <v>196</v>
      </c>
      <c r="M3325" t="s">
        <v>131</v>
      </c>
      <c r="N3325">
        <v>21</v>
      </c>
      <c r="O3325" s="1">
        <v>43344</v>
      </c>
      <c r="P3325" t="s">
        <v>41</v>
      </c>
      <c r="Q3325" t="s">
        <v>75</v>
      </c>
      <c r="R3325" t="str">
        <f>"7521046"</f>
        <v>7521046</v>
      </c>
      <c r="S3325" t="s">
        <v>436</v>
      </c>
      <c r="T3325" t="s">
        <v>195</v>
      </c>
      <c r="U3325" t="s">
        <v>196</v>
      </c>
      <c r="V3325" t="s">
        <v>131</v>
      </c>
      <c r="W3325" t="s">
        <v>165</v>
      </c>
      <c r="X3325" t="s">
        <v>45</v>
      </c>
      <c r="Y3325" s="1">
        <v>24270</v>
      </c>
      <c r="Z3325">
        <v>1</v>
      </c>
      <c r="AA3325" t="s">
        <v>196</v>
      </c>
      <c r="AB3325" s="40" t="s">
        <v>1799</v>
      </c>
    </row>
    <row r="3326" spans="1:28" x14ac:dyDescent="0.25">
      <c r="A3326">
        <v>99913325</v>
      </c>
      <c r="B3326" t="s">
        <v>32</v>
      </c>
      <c r="C3326" t="s">
        <v>64</v>
      </c>
      <c r="D3326" t="s">
        <v>65</v>
      </c>
      <c r="G3326" t="s">
        <v>48</v>
      </c>
      <c r="H3326">
        <v>1</v>
      </c>
      <c r="K3326" t="s">
        <v>1051</v>
      </c>
      <c r="L3326" t="s">
        <v>1052</v>
      </c>
      <c r="M3326" t="s">
        <v>1053</v>
      </c>
      <c r="N3326">
        <v>21</v>
      </c>
      <c r="P3326" t="s">
        <v>41</v>
      </c>
      <c r="Q3326" t="s">
        <v>49</v>
      </c>
      <c r="R3326" t="str">
        <f>"2080025"</f>
        <v>2080025</v>
      </c>
      <c r="S3326" t="s">
        <v>1057</v>
      </c>
      <c r="T3326" t="s">
        <v>1051</v>
      </c>
      <c r="U3326" t="s">
        <v>1052</v>
      </c>
      <c r="V3326" t="s">
        <v>1053</v>
      </c>
      <c r="W3326" t="s">
        <v>51</v>
      </c>
      <c r="X3326" t="s">
        <v>45</v>
      </c>
      <c r="Y3326" s="1">
        <v>24270</v>
      </c>
      <c r="Z3326">
        <v>2</v>
      </c>
      <c r="AA3326" t="s">
        <v>1052</v>
      </c>
      <c r="AB3326" s="40" t="s">
        <v>1799</v>
      </c>
    </row>
    <row r="3327" spans="1:28" x14ac:dyDescent="0.25">
      <c r="A3327">
        <v>99913326</v>
      </c>
      <c r="B3327" t="s">
        <v>32</v>
      </c>
      <c r="C3327" t="s">
        <v>111</v>
      </c>
      <c r="D3327" t="s">
        <v>112</v>
      </c>
      <c r="G3327" t="s">
        <v>48</v>
      </c>
      <c r="H3327">
        <v>15</v>
      </c>
      <c r="I3327" t="s">
        <v>547</v>
      </c>
      <c r="J3327" s="1">
        <v>43344</v>
      </c>
      <c r="K3327" t="s">
        <v>195</v>
      </c>
      <c r="L3327" t="s">
        <v>196</v>
      </c>
      <c r="M3327" t="s">
        <v>131</v>
      </c>
      <c r="N3327">
        <v>21</v>
      </c>
      <c r="O3327" s="1">
        <v>43344</v>
      </c>
      <c r="R3327" t="str">
        <f>""</f>
        <v/>
      </c>
      <c r="U3327" t="s">
        <v>196</v>
      </c>
      <c r="V3327" t="s">
        <v>131</v>
      </c>
      <c r="W3327" t="s">
        <v>165</v>
      </c>
      <c r="X3327" t="s">
        <v>45</v>
      </c>
      <c r="Y3327" s="1">
        <v>24264</v>
      </c>
      <c r="Z3327">
        <v>1</v>
      </c>
      <c r="AA3327" t="s">
        <v>196</v>
      </c>
      <c r="AB3327" s="40" t="s">
        <v>1799</v>
      </c>
    </row>
    <row r="3328" spans="1:28" x14ac:dyDescent="0.25">
      <c r="A3328">
        <v>99913327</v>
      </c>
      <c r="B3328" t="s">
        <v>32</v>
      </c>
      <c r="C3328" t="s">
        <v>111</v>
      </c>
      <c r="D3328" t="s">
        <v>112</v>
      </c>
      <c r="G3328" t="s">
        <v>48</v>
      </c>
      <c r="H3328">
        <v>11</v>
      </c>
      <c r="K3328" t="s">
        <v>195</v>
      </c>
      <c r="L3328" t="s">
        <v>196</v>
      </c>
      <c r="M3328" t="s">
        <v>131</v>
      </c>
      <c r="N3328">
        <v>21</v>
      </c>
      <c r="O3328" s="1">
        <v>38280</v>
      </c>
      <c r="P3328" t="s">
        <v>41</v>
      </c>
      <c r="Q3328" t="s">
        <v>75</v>
      </c>
      <c r="R3328" t="str">
        <f>"7521044"</f>
        <v>7521044</v>
      </c>
      <c r="S3328" t="s">
        <v>453</v>
      </c>
      <c r="T3328" t="s">
        <v>195</v>
      </c>
      <c r="U3328" t="s">
        <v>196</v>
      </c>
      <c r="V3328" t="s">
        <v>131</v>
      </c>
      <c r="W3328" t="s">
        <v>165</v>
      </c>
      <c r="X3328" t="s">
        <v>45</v>
      </c>
      <c r="Y3328" s="1">
        <v>24263</v>
      </c>
      <c r="Z3328">
        <v>1</v>
      </c>
      <c r="AA3328" t="s">
        <v>196</v>
      </c>
      <c r="AB3328" s="40" t="s">
        <v>1799</v>
      </c>
    </row>
    <row r="3329" spans="1:28" x14ac:dyDescent="0.25">
      <c r="A3329">
        <v>99913328</v>
      </c>
      <c r="B3329" t="s">
        <v>32</v>
      </c>
      <c r="C3329" t="s">
        <v>111</v>
      </c>
      <c r="D3329" t="s">
        <v>112</v>
      </c>
      <c r="G3329" t="s">
        <v>35</v>
      </c>
      <c r="H3329">
        <v>14</v>
      </c>
      <c r="K3329" t="s">
        <v>268</v>
      </c>
      <c r="L3329" t="s">
        <v>269</v>
      </c>
      <c r="M3329" t="s">
        <v>131</v>
      </c>
      <c r="N3329">
        <v>21</v>
      </c>
      <c r="P3329" t="s">
        <v>41</v>
      </c>
      <c r="Q3329" t="s">
        <v>75</v>
      </c>
      <c r="R3329" t="str">
        <f>"7052004"</f>
        <v>7052004</v>
      </c>
      <c r="S3329" t="s">
        <v>584</v>
      </c>
      <c r="T3329" t="s">
        <v>268</v>
      </c>
      <c r="U3329" t="s">
        <v>269</v>
      </c>
      <c r="V3329" t="s">
        <v>131</v>
      </c>
      <c r="W3329" t="s">
        <v>165</v>
      </c>
      <c r="X3329" t="s">
        <v>45</v>
      </c>
      <c r="Y3329" s="1">
        <v>24257</v>
      </c>
      <c r="Z3329">
        <v>1</v>
      </c>
      <c r="AA3329" t="s">
        <v>269</v>
      </c>
      <c r="AB3329" s="40" t="s">
        <v>1799</v>
      </c>
    </row>
    <row r="3330" spans="1:28" x14ac:dyDescent="0.25">
      <c r="A3330">
        <v>99913329</v>
      </c>
      <c r="B3330" t="s">
        <v>32</v>
      </c>
      <c r="C3330" t="s">
        <v>111</v>
      </c>
      <c r="D3330" t="s">
        <v>112</v>
      </c>
      <c r="G3330" t="s">
        <v>48</v>
      </c>
      <c r="H3330">
        <v>16</v>
      </c>
      <c r="K3330" t="s">
        <v>195</v>
      </c>
      <c r="L3330" t="s">
        <v>196</v>
      </c>
      <c r="M3330" t="s">
        <v>131</v>
      </c>
      <c r="N3330">
        <v>21</v>
      </c>
      <c r="O3330" s="1">
        <v>34124</v>
      </c>
      <c r="P3330" t="s">
        <v>41</v>
      </c>
      <c r="Q3330" t="s">
        <v>75</v>
      </c>
      <c r="R3330" t="str">
        <f>"7521042"</f>
        <v>7521042</v>
      </c>
      <c r="S3330" t="s">
        <v>440</v>
      </c>
      <c r="T3330" t="s">
        <v>195</v>
      </c>
      <c r="U3330" t="s">
        <v>196</v>
      </c>
      <c r="V3330" t="s">
        <v>131</v>
      </c>
      <c r="W3330" t="s">
        <v>165</v>
      </c>
      <c r="X3330" t="s">
        <v>45</v>
      </c>
      <c r="Y3330" s="1">
        <v>24254</v>
      </c>
      <c r="Z3330">
        <v>1</v>
      </c>
      <c r="AA3330" t="s">
        <v>196</v>
      </c>
      <c r="AB3330" s="40" t="s">
        <v>1799</v>
      </c>
    </row>
    <row r="3331" spans="1:28" x14ac:dyDescent="0.25">
      <c r="A3331">
        <v>99913330</v>
      </c>
      <c r="B3331" t="s">
        <v>56</v>
      </c>
      <c r="C3331" t="s">
        <v>111</v>
      </c>
      <c r="D3331" t="s">
        <v>112</v>
      </c>
      <c r="G3331" t="s">
        <v>48</v>
      </c>
      <c r="H3331">
        <v>14</v>
      </c>
      <c r="I3331" t="s">
        <v>1449</v>
      </c>
      <c r="J3331" s="1">
        <v>43344</v>
      </c>
      <c r="K3331" t="s">
        <v>1426</v>
      </c>
      <c r="L3331" t="s">
        <v>1427</v>
      </c>
      <c r="M3331" t="s">
        <v>1270</v>
      </c>
      <c r="N3331">
        <v>21</v>
      </c>
      <c r="O3331" s="1">
        <v>43344</v>
      </c>
      <c r="P3331" t="s">
        <v>41</v>
      </c>
      <c r="Q3331" t="s">
        <v>75</v>
      </c>
      <c r="R3331" t="str">
        <f>"7192002"</f>
        <v>7192002</v>
      </c>
      <c r="S3331" t="s">
        <v>1438</v>
      </c>
      <c r="T3331" t="s">
        <v>1426</v>
      </c>
      <c r="U3331" t="s">
        <v>1427</v>
      </c>
      <c r="V3331" t="s">
        <v>1270</v>
      </c>
      <c r="W3331" t="s">
        <v>51</v>
      </c>
      <c r="X3331" t="s">
        <v>45</v>
      </c>
      <c r="Y3331" s="1">
        <v>24253</v>
      </c>
      <c r="Z3331">
        <v>1</v>
      </c>
      <c r="AA3331" t="s">
        <v>1427</v>
      </c>
      <c r="AB3331" s="40" t="s">
        <v>1799</v>
      </c>
    </row>
    <row r="3332" spans="1:28" x14ac:dyDescent="0.25">
      <c r="A3332">
        <v>99913331</v>
      </c>
      <c r="B3332" t="s">
        <v>32</v>
      </c>
      <c r="C3332" t="s">
        <v>52</v>
      </c>
      <c r="D3332" t="s">
        <v>53</v>
      </c>
      <c r="G3332" t="s">
        <v>35</v>
      </c>
      <c r="H3332">
        <v>1</v>
      </c>
      <c r="K3332" t="s">
        <v>1626</v>
      </c>
      <c r="L3332" t="s">
        <v>1627</v>
      </c>
      <c r="M3332" t="s">
        <v>1592</v>
      </c>
      <c r="N3332">
        <v>21</v>
      </c>
      <c r="P3332" t="s">
        <v>41</v>
      </c>
      <c r="Q3332" t="s">
        <v>49</v>
      </c>
      <c r="R3332" t="str">
        <f>"3681015"</f>
        <v>3681015</v>
      </c>
      <c r="S3332" t="s">
        <v>1629</v>
      </c>
      <c r="T3332" t="s">
        <v>1626</v>
      </c>
      <c r="U3332" t="s">
        <v>1627</v>
      </c>
      <c r="V3332" t="s">
        <v>1592</v>
      </c>
      <c r="W3332" t="s">
        <v>51</v>
      </c>
      <c r="X3332" t="s">
        <v>45</v>
      </c>
      <c r="Y3332" s="1">
        <v>24249</v>
      </c>
      <c r="Z3332">
        <v>2</v>
      </c>
      <c r="AA3332" t="s">
        <v>1627</v>
      </c>
      <c r="AB3332" s="40" t="s">
        <v>1799</v>
      </c>
    </row>
    <row r="3333" spans="1:28" x14ac:dyDescent="0.25">
      <c r="A3333">
        <v>99913332</v>
      </c>
      <c r="B3333" t="s">
        <v>32</v>
      </c>
      <c r="C3333" t="s">
        <v>64</v>
      </c>
      <c r="D3333" t="s">
        <v>65</v>
      </c>
      <c r="G3333" t="s">
        <v>35</v>
      </c>
      <c r="H3333">
        <v>14</v>
      </c>
      <c r="K3333" t="s">
        <v>268</v>
      </c>
      <c r="L3333" t="s">
        <v>269</v>
      </c>
      <c r="M3333" t="s">
        <v>131</v>
      </c>
      <c r="N3333">
        <v>21</v>
      </c>
      <c r="P3333" t="s">
        <v>41</v>
      </c>
      <c r="Q3333" t="s">
        <v>75</v>
      </c>
      <c r="R3333" t="str">
        <f>"7052002"</f>
        <v>7052002</v>
      </c>
      <c r="S3333" t="s">
        <v>590</v>
      </c>
      <c r="T3333" t="s">
        <v>268</v>
      </c>
      <c r="U3333" t="s">
        <v>269</v>
      </c>
      <c r="V3333" t="s">
        <v>131</v>
      </c>
      <c r="W3333" t="s">
        <v>165</v>
      </c>
      <c r="X3333" t="s">
        <v>45</v>
      </c>
      <c r="Y3333" s="1">
        <v>24201</v>
      </c>
      <c r="Z3333">
        <v>1</v>
      </c>
      <c r="AA3333" t="s">
        <v>269</v>
      </c>
      <c r="AB3333" s="40" t="s">
        <v>1799</v>
      </c>
    </row>
    <row r="3334" spans="1:28" x14ac:dyDescent="0.25">
      <c r="A3334">
        <v>99913333</v>
      </c>
      <c r="B3334" t="s">
        <v>32</v>
      </c>
      <c r="C3334" t="s">
        <v>111</v>
      </c>
      <c r="D3334" t="s">
        <v>112</v>
      </c>
      <c r="G3334" t="s">
        <v>35</v>
      </c>
      <c r="H3334">
        <v>1</v>
      </c>
      <c r="K3334" t="s">
        <v>1502</v>
      </c>
      <c r="L3334" t="s">
        <v>1503</v>
      </c>
      <c r="M3334" t="s">
        <v>670</v>
      </c>
      <c r="N3334">
        <v>21</v>
      </c>
      <c r="P3334" t="s">
        <v>41</v>
      </c>
      <c r="Q3334" t="s">
        <v>75</v>
      </c>
      <c r="R3334" t="str">
        <f>"7171000"</f>
        <v>7171000</v>
      </c>
      <c r="S3334" t="s">
        <v>1506</v>
      </c>
      <c r="T3334" t="s">
        <v>1502</v>
      </c>
      <c r="U3334" t="s">
        <v>1503</v>
      </c>
      <c r="V3334" t="s">
        <v>670</v>
      </c>
      <c r="W3334" t="s">
        <v>51</v>
      </c>
      <c r="X3334" t="s">
        <v>45</v>
      </c>
      <c r="Y3334" s="1">
        <v>24200</v>
      </c>
      <c r="Z3334">
        <v>1</v>
      </c>
      <c r="AA3334" t="s">
        <v>1503</v>
      </c>
      <c r="AB3334" s="40" t="s">
        <v>1799</v>
      </c>
    </row>
    <row r="3335" spans="1:28" x14ac:dyDescent="0.25">
      <c r="A3335">
        <v>99913334</v>
      </c>
      <c r="B3335" t="s">
        <v>32</v>
      </c>
      <c r="C3335" t="s">
        <v>64</v>
      </c>
      <c r="D3335" t="s">
        <v>65</v>
      </c>
      <c r="G3335" t="s">
        <v>48</v>
      </c>
      <c r="H3335">
        <v>11</v>
      </c>
      <c r="I3335">
        <v>1894</v>
      </c>
      <c r="J3335" s="1">
        <v>43344</v>
      </c>
      <c r="K3335" t="s">
        <v>1426</v>
      </c>
      <c r="L3335" t="s">
        <v>1427</v>
      </c>
      <c r="M3335" t="s">
        <v>1270</v>
      </c>
      <c r="N3335">
        <v>21</v>
      </c>
      <c r="O3335" s="1">
        <v>43344</v>
      </c>
      <c r="P3335" t="s">
        <v>41</v>
      </c>
      <c r="Q3335" t="s">
        <v>75</v>
      </c>
      <c r="R3335" t="str">
        <f>"7192002"</f>
        <v>7192002</v>
      </c>
      <c r="S3335" t="s">
        <v>1438</v>
      </c>
      <c r="T3335" t="s">
        <v>1426</v>
      </c>
      <c r="U3335" t="s">
        <v>1427</v>
      </c>
      <c r="V3335" t="s">
        <v>1270</v>
      </c>
      <c r="W3335" t="s">
        <v>51</v>
      </c>
      <c r="X3335" t="s">
        <v>45</v>
      </c>
      <c r="Y3335" s="1">
        <v>24184</v>
      </c>
      <c r="Z3335">
        <v>1</v>
      </c>
      <c r="AA3335" t="s">
        <v>1427</v>
      </c>
      <c r="AB3335" s="40" t="s">
        <v>1799</v>
      </c>
    </row>
    <row r="3336" spans="1:28" x14ac:dyDescent="0.25">
      <c r="A3336">
        <v>99913335</v>
      </c>
      <c r="B3336" t="s">
        <v>32</v>
      </c>
      <c r="C3336" t="s">
        <v>111</v>
      </c>
      <c r="D3336" t="s">
        <v>112</v>
      </c>
      <c r="G3336" t="s">
        <v>48</v>
      </c>
      <c r="H3336">
        <v>1</v>
      </c>
      <c r="K3336" t="s">
        <v>268</v>
      </c>
      <c r="L3336" t="s">
        <v>269</v>
      </c>
      <c r="M3336" t="s">
        <v>131</v>
      </c>
      <c r="N3336">
        <v>21</v>
      </c>
      <c r="P3336" t="s">
        <v>41</v>
      </c>
      <c r="Q3336" t="s">
        <v>75</v>
      </c>
      <c r="R3336" t="str">
        <f>"7052008"</f>
        <v>7052008</v>
      </c>
      <c r="S3336" t="s">
        <v>274</v>
      </c>
      <c r="T3336" t="s">
        <v>268</v>
      </c>
      <c r="U3336" t="s">
        <v>269</v>
      </c>
      <c r="V3336" t="s">
        <v>131</v>
      </c>
      <c r="W3336" t="s">
        <v>51</v>
      </c>
      <c r="X3336" t="s">
        <v>45</v>
      </c>
      <c r="Y3336" s="1">
        <v>24171</v>
      </c>
      <c r="Z3336">
        <v>1</v>
      </c>
      <c r="AA3336" t="s">
        <v>269</v>
      </c>
      <c r="AB3336" s="40" t="s">
        <v>1799</v>
      </c>
    </row>
    <row r="3337" spans="1:28" x14ac:dyDescent="0.25">
      <c r="A3337">
        <v>99913336</v>
      </c>
      <c r="B3337" t="s">
        <v>32</v>
      </c>
      <c r="C3337" t="s">
        <v>111</v>
      </c>
      <c r="D3337" t="s">
        <v>112</v>
      </c>
      <c r="G3337" t="s">
        <v>48</v>
      </c>
      <c r="H3337">
        <v>1</v>
      </c>
      <c r="K3337" t="s">
        <v>268</v>
      </c>
      <c r="L3337" t="s">
        <v>269</v>
      </c>
      <c r="M3337" t="s">
        <v>131</v>
      </c>
      <c r="N3337">
        <v>21</v>
      </c>
      <c r="P3337" t="s">
        <v>41</v>
      </c>
      <c r="Q3337" t="s">
        <v>75</v>
      </c>
      <c r="R3337" t="str">
        <f>"7052008"</f>
        <v>7052008</v>
      </c>
      <c r="S3337" t="s">
        <v>274</v>
      </c>
      <c r="T3337" t="s">
        <v>268</v>
      </c>
      <c r="U3337" t="s">
        <v>269</v>
      </c>
      <c r="V3337" t="s">
        <v>131</v>
      </c>
      <c r="W3337" t="s">
        <v>51</v>
      </c>
      <c r="X3337" t="s">
        <v>45</v>
      </c>
      <c r="Y3337" s="1">
        <v>24169</v>
      </c>
      <c r="Z3337">
        <v>1</v>
      </c>
      <c r="AA3337" t="s">
        <v>269</v>
      </c>
      <c r="AB3337" s="40" t="s">
        <v>1799</v>
      </c>
    </row>
    <row r="3338" spans="1:28" x14ac:dyDescent="0.25">
      <c r="A3338">
        <v>99913337</v>
      </c>
      <c r="B3338" t="s">
        <v>32</v>
      </c>
      <c r="C3338" t="s">
        <v>111</v>
      </c>
      <c r="D3338" t="s">
        <v>112</v>
      </c>
      <c r="G3338" t="s">
        <v>35</v>
      </c>
      <c r="H3338">
        <v>16</v>
      </c>
      <c r="K3338" t="s">
        <v>268</v>
      </c>
      <c r="L3338" t="s">
        <v>269</v>
      </c>
      <c r="M3338" t="s">
        <v>131</v>
      </c>
      <c r="N3338">
        <v>21</v>
      </c>
      <c r="P3338" t="s">
        <v>41</v>
      </c>
      <c r="Q3338" t="s">
        <v>75</v>
      </c>
      <c r="R3338" t="str">
        <f>"7052006"</f>
        <v>7052006</v>
      </c>
      <c r="S3338" t="s">
        <v>575</v>
      </c>
      <c r="T3338" t="s">
        <v>268</v>
      </c>
      <c r="U3338" t="s">
        <v>269</v>
      </c>
      <c r="V3338" t="s">
        <v>131</v>
      </c>
      <c r="W3338" t="s">
        <v>165</v>
      </c>
      <c r="X3338" t="s">
        <v>45</v>
      </c>
      <c r="Y3338" s="1">
        <v>24158</v>
      </c>
      <c r="Z3338">
        <v>1</v>
      </c>
      <c r="AA3338" t="s">
        <v>269</v>
      </c>
      <c r="AB3338" s="40" t="s">
        <v>1799</v>
      </c>
    </row>
    <row r="3339" spans="1:28" x14ac:dyDescent="0.25">
      <c r="A3339">
        <v>99913338</v>
      </c>
      <c r="B3339" t="s">
        <v>32</v>
      </c>
      <c r="C3339" t="s">
        <v>111</v>
      </c>
      <c r="D3339" t="s">
        <v>112</v>
      </c>
      <c r="G3339" t="s">
        <v>48</v>
      </c>
      <c r="H3339">
        <v>13</v>
      </c>
      <c r="K3339" t="s">
        <v>1426</v>
      </c>
      <c r="L3339" t="s">
        <v>1427</v>
      </c>
      <c r="M3339" t="s">
        <v>1270</v>
      </c>
      <c r="N3339">
        <v>21</v>
      </c>
      <c r="P3339" t="s">
        <v>41</v>
      </c>
      <c r="Q3339" t="s">
        <v>75</v>
      </c>
      <c r="R3339" t="str">
        <f>"7192004"</f>
        <v>7192004</v>
      </c>
      <c r="S3339" t="s">
        <v>1428</v>
      </c>
      <c r="T3339" t="s">
        <v>1426</v>
      </c>
      <c r="U3339" t="s">
        <v>1427</v>
      </c>
      <c r="V3339" t="s">
        <v>1270</v>
      </c>
      <c r="W3339" t="s">
        <v>51</v>
      </c>
      <c r="X3339" t="s">
        <v>45</v>
      </c>
      <c r="Y3339" s="1">
        <v>24130</v>
      </c>
      <c r="Z3339">
        <v>1</v>
      </c>
      <c r="AA3339" t="s">
        <v>1427</v>
      </c>
      <c r="AB3339" s="40" t="s">
        <v>1799</v>
      </c>
    </row>
    <row r="3340" spans="1:28" x14ac:dyDescent="0.25">
      <c r="A3340">
        <v>99913339</v>
      </c>
      <c r="B3340" t="s">
        <v>32</v>
      </c>
      <c r="C3340" t="s">
        <v>111</v>
      </c>
      <c r="D3340" t="s">
        <v>112</v>
      </c>
      <c r="G3340" t="s">
        <v>35</v>
      </c>
      <c r="H3340">
        <v>16</v>
      </c>
      <c r="K3340" t="s">
        <v>268</v>
      </c>
      <c r="L3340" t="s">
        <v>269</v>
      </c>
      <c r="M3340" t="s">
        <v>131</v>
      </c>
      <c r="N3340">
        <v>21</v>
      </c>
      <c r="P3340" t="s">
        <v>41</v>
      </c>
      <c r="Q3340" t="s">
        <v>75</v>
      </c>
      <c r="R3340" t="str">
        <f>"7052004"</f>
        <v>7052004</v>
      </c>
      <c r="S3340" t="s">
        <v>584</v>
      </c>
      <c r="T3340" t="s">
        <v>268</v>
      </c>
      <c r="U3340" t="s">
        <v>269</v>
      </c>
      <c r="V3340" t="s">
        <v>131</v>
      </c>
      <c r="W3340" t="s">
        <v>165</v>
      </c>
      <c r="X3340" t="s">
        <v>45</v>
      </c>
      <c r="Y3340" s="1">
        <v>24115</v>
      </c>
      <c r="Z3340">
        <v>1</v>
      </c>
      <c r="AA3340" t="s">
        <v>269</v>
      </c>
      <c r="AB3340" s="40" t="s">
        <v>1799</v>
      </c>
    </row>
    <row r="3341" spans="1:28" x14ac:dyDescent="0.25">
      <c r="A3341">
        <v>99913340</v>
      </c>
      <c r="B3341" t="s">
        <v>32</v>
      </c>
      <c r="C3341" t="s">
        <v>141</v>
      </c>
      <c r="D3341" t="s">
        <v>142</v>
      </c>
      <c r="G3341" t="s">
        <v>48</v>
      </c>
      <c r="H3341">
        <v>1</v>
      </c>
      <c r="K3341" t="s">
        <v>223</v>
      </c>
      <c r="L3341" t="s">
        <v>224</v>
      </c>
      <c r="M3341" t="s">
        <v>131</v>
      </c>
      <c r="N3341">
        <v>21</v>
      </c>
      <c r="P3341" t="s">
        <v>41</v>
      </c>
      <c r="Q3341" t="s">
        <v>49</v>
      </c>
      <c r="R3341" t="str">
        <f>"0581202"</f>
        <v>0581202</v>
      </c>
      <c r="S3341" t="s">
        <v>248</v>
      </c>
      <c r="T3341" t="s">
        <v>223</v>
      </c>
      <c r="U3341" t="s">
        <v>224</v>
      </c>
      <c r="V3341" t="s">
        <v>131</v>
      </c>
      <c r="W3341" t="s">
        <v>51</v>
      </c>
      <c r="X3341" t="s">
        <v>45</v>
      </c>
      <c r="Y3341" s="1">
        <v>24108</v>
      </c>
      <c r="Z3341">
        <v>2</v>
      </c>
      <c r="AA3341" t="s">
        <v>224</v>
      </c>
      <c r="AB3341" s="40" t="s">
        <v>1799</v>
      </c>
    </row>
    <row r="3342" spans="1:28" x14ac:dyDescent="0.25">
      <c r="A3342">
        <v>99913341</v>
      </c>
      <c r="B3342" t="s">
        <v>32</v>
      </c>
      <c r="C3342" t="s">
        <v>111</v>
      </c>
      <c r="D3342" t="s">
        <v>112</v>
      </c>
      <c r="G3342" t="s">
        <v>48</v>
      </c>
      <c r="H3342">
        <v>13</v>
      </c>
      <c r="K3342" t="s">
        <v>195</v>
      </c>
      <c r="L3342" t="s">
        <v>196</v>
      </c>
      <c r="M3342" t="s">
        <v>131</v>
      </c>
      <c r="N3342">
        <v>21</v>
      </c>
      <c r="O3342" s="1">
        <v>36055</v>
      </c>
      <c r="P3342" t="s">
        <v>41</v>
      </c>
      <c r="Q3342" t="s">
        <v>75</v>
      </c>
      <c r="R3342" t="str">
        <f>"7521044"</f>
        <v>7521044</v>
      </c>
      <c r="S3342" t="s">
        <v>453</v>
      </c>
      <c r="T3342" t="s">
        <v>195</v>
      </c>
      <c r="U3342" t="s">
        <v>196</v>
      </c>
      <c r="V3342" t="s">
        <v>131</v>
      </c>
      <c r="W3342" t="s">
        <v>165</v>
      </c>
      <c r="X3342" t="s">
        <v>45</v>
      </c>
      <c r="Y3342" s="1">
        <v>24108</v>
      </c>
      <c r="Z3342">
        <v>1</v>
      </c>
      <c r="AA3342" t="s">
        <v>196</v>
      </c>
      <c r="AB3342" s="40" t="s">
        <v>1799</v>
      </c>
    </row>
    <row r="3343" spans="1:28" x14ac:dyDescent="0.25">
      <c r="A3343">
        <v>99913342</v>
      </c>
      <c r="B3343" t="s">
        <v>32</v>
      </c>
      <c r="C3343" t="s">
        <v>79</v>
      </c>
      <c r="D3343" t="s">
        <v>80</v>
      </c>
      <c r="G3343" t="s">
        <v>35</v>
      </c>
      <c r="H3343">
        <v>1</v>
      </c>
      <c r="K3343" t="s">
        <v>354</v>
      </c>
      <c r="L3343" t="s">
        <v>355</v>
      </c>
      <c r="M3343" t="s">
        <v>131</v>
      </c>
      <c r="N3343">
        <v>21</v>
      </c>
      <c r="P3343" t="s">
        <v>41</v>
      </c>
      <c r="Q3343" t="s">
        <v>75</v>
      </c>
      <c r="R3343" t="str">
        <f>"7054032"</f>
        <v>7054032</v>
      </c>
      <c r="S3343" t="s">
        <v>767</v>
      </c>
      <c r="T3343" t="s">
        <v>354</v>
      </c>
      <c r="U3343" t="s">
        <v>355</v>
      </c>
      <c r="V3343" t="s">
        <v>131</v>
      </c>
      <c r="W3343" t="s">
        <v>51</v>
      </c>
      <c r="X3343" t="s">
        <v>45</v>
      </c>
      <c r="Y3343" s="1">
        <v>24108</v>
      </c>
      <c r="Z3343">
        <v>1</v>
      </c>
      <c r="AA3343" t="s">
        <v>355</v>
      </c>
      <c r="AB3343" s="40" t="s">
        <v>1799</v>
      </c>
    </row>
    <row r="3344" spans="1:28" x14ac:dyDescent="0.25">
      <c r="A3344">
        <v>99913343</v>
      </c>
      <c r="B3344" t="s">
        <v>32</v>
      </c>
      <c r="C3344" t="s">
        <v>111</v>
      </c>
      <c r="D3344" t="s">
        <v>112</v>
      </c>
      <c r="G3344" t="s">
        <v>35</v>
      </c>
      <c r="H3344">
        <v>16</v>
      </c>
      <c r="K3344" t="s">
        <v>268</v>
      </c>
      <c r="L3344" t="s">
        <v>269</v>
      </c>
      <c r="M3344" t="s">
        <v>131</v>
      </c>
      <c r="N3344">
        <v>21</v>
      </c>
      <c r="P3344" t="s">
        <v>41</v>
      </c>
      <c r="Q3344" t="s">
        <v>75</v>
      </c>
      <c r="R3344" t="str">
        <f>"7052006"</f>
        <v>7052006</v>
      </c>
      <c r="S3344" t="s">
        <v>575</v>
      </c>
      <c r="T3344" t="s">
        <v>268</v>
      </c>
      <c r="U3344" t="s">
        <v>269</v>
      </c>
      <c r="V3344" t="s">
        <v>131</v>
      </c>
      <c r="W3344" t="s">
        <v>165</v>
      </c>
      <c r="X3344" t="s">
        <v>45</v>
      </c>
      <c r="Y3344" s="1">
        <v>24041</v>
      </c>
      <c r="Z3344">
        <v>1</v>
      </c>
      <c r="AA3344" t="s">
        <v>269</v>
      </c>
      <c r="AB3344" s="40" t="s">
        <v>1799</v>
      </c>
    </row>
    <row r="3345" spans="1:28" x14ac:dyDescent="0.25">
      <c r="A3345">
        <v>99913344</v>
      </c>
      <c r="B3345" t="s">
        <v>32</v>
      </c>
      <c r="C3345" t="s">
        <v>111</v>
      </c>
      <c r="D3345" t="s">
        <v>112</v>
      </c>
      <c r="G3345" t="s">
        <v>48</v>
      </c>
      <c r="H3345">
        <v>15</v>
      </c>
      <c r="K3345" t="s">
        <v>195</v>
      </c>
      <c r="L3345" t="s">
        <v>196</v>
      </c>
      <c r="M3345" t="s">
        <v>131</v>
      </c>
      <c r="N3345">
        <v>21</v>
      </c>
      <c r="O3345" s="1">
        <v>33238</v>
      </c>
      <c r="P3345" t="s">
        <v>41</v>
      </c>
      <c r="Q3345" t="s">
        <v>75</v>
      </c>
      <c r="R3345" t="str">
        <f>"7521042"</f>
        <v>7521042</v>
      </c>
      <c r="S3345" t="s">
        <v>440</v>
      </c>
      <c r="T3345" t="s">
        <v>195</v>
      </c>
      <c r="U3345" t="s">
        <v>196</v>
      </c>
      <c r="V3345" t="s">
        <v>131</v>
      </c>
      <c r="W3345" t="s">
        <v>165</v>
      </c>
      <c r="X3345" t="s">
        <v>45</v>
      </c>
      <c r="Y3345" s="1">
        <v>24037</v>
      </c>
      <c r="Z3345">
        <v>1</v>
      </c>
      <c r="AA3345" t="s">
        <v>196</v>
      </c>
      <c r="AB3345" s="40" t="s">
        <v>1799</v>
      </c>
    </row>
    <row r="3346" spans="1:28" x14ac:dyDescent="0.25">
      <c r="A3346">
        <v>99913345</v>
      </c>
      <c r="B3346" t="s">
        <v>32</v>
      </c>
      <c r="C3346" t="s">
        <v>46</v>
      </c>
      <c r="D3346" t="s">
        <v>47</v>
      </c>
      <c r="G3346" t="s">
        <v>35</v>
      </c>
      <c r="H3346">
        <v>1</v>
      </c>
      <c r="K3346" t="s">
        <v>223</v>
      </c>
      <c r="L3346" t="s">
        <v>224</v>
      </c>
      <c r="M3346" t="s">
        <v>131</v>
      </c>
      <c r="N3346">
        <v>21</v>
      </c>
      <c r="P3346" t="s">
        <v>41</v>
      </c>
      <c r="Q3346" t="s">
        <v>42</v>
      </c>
      <c r="R3346" t="str">
        <f>"0580345"</f>
        <v>0580345</v>
      </c>
      <c r="S3346" t="s">
        <v>261</v>
      </c>
      <c r="T3346" t="s">
        <v>223</v>
      </c>
      <c r="U3346" t="s">
        <v>224</v>
      </c>
      <c r="V3346" t="s">
        <v>131</v>
      </c>
      <c r="W3346" t="s">
        <v>51</v>
      </c>
      <c r="X3346" t="s">
        <v>45</v>
      </c>
      <c r="Y3346" s="1">
        <v>24019</v>
      </c>
      <c r="Z3346">
        <v>2</v>
      </c>
      <c r="AA3346" t="s">
        <v>224</v>
      </c>
      <c r="AB3346" s="40" t="s">
        <v>1799</v>
      </c>
    </row>
    <row r="3347" spans="1:28" x14ac:dyDescent="0.25">
      <c r="A3347">
        <v>99913346</v>
      </c>
      <c r="B3347" t="s">
        <v>56</v>
      </c>
      <c r="C3347" t="s">
        <v>68</v>
      </c>
      <c r="D3347" t="s">
        <v>69</v>
      </c>
      <c r="G3347" t="s">
        <v>48</v>
      </c>
      <c r="H3347">
        <v>1</v>
      </c>
      <c r="K3347" t="s">
        <v>223</v>
      </c>
      <c r="L3347" t="s">
        <v>224</v>
      </c>
      <c r="M3347" t="s">
        <v>131</v>
      </c>
      <c r="N3347">
        <v>21</v>
      </c>
      <c r="P3347" t="s">
        <v>41</v>
      </c>
      <c r="Q3347" t="s">
        <v>42</v>
      </c>
      <c r="R3347" t="str">
        <f>"0580200"</f>
        <v>0580200</v>
      </c>
      <c r="S3347" t="s">
        <v>245</v>
      </c>
      <c r="T3347" t="s">
        <v>223</v>
      </c>
      <c r="U3347" t="s">
        <v>224</v>
      </c>
      <c r="V3347" t="s">
        <v>131</v>
      </c>
      <c r="W3347" t="s">
        <v>51</v>
      </c>
      <c r="X3347" t="s">
        <v>45</v>
      </c>
      <c r="Y3347" s="1">
        <v>24019</v>
      </c>
      <c r="Z3347">
        <v>2</v>
      </c>
      <c r="AA3347" t="s">
        <v>224</v>
      </c>
      <c r="AB3347" s="40" t="s">
        <v>1799</v>
      </c>
    </row>
    <row r="3348" spans="1:28" x14ac:dyDescent="0.25">
      <c r="A3348">
        <v>99913347</v>
      </c>
      <c r="B3348" t="s">
        <v>56</v>
      </c>
      <c r="C3348" t="s">
        <v>145</v>
      </c>
      <c r="D3348" t="s">
        <v>146</v>
      </c>
      <c r="G3348" t="s">
        <v>48</v>
      </c>
      <c r="H3348">
        <v>1</v>
      </c>
      <c r="K3348" t="s">
        <v>380</v>
      </c>
      <c r="L3348" t="s">
        <v>381</v>
      </c>
      <c r="M3348" t="s">
        <v>131</v>
      </c>
      <c r="N3348">
        <v>21</v>
      </c>
      <c r="P3348" t="s">
        <v>41</v>
      </c>
      <c r="Q3348" t="s">
        <v>42</v>
      </c>
      <c r="R3348" t="str">
        <f>"0561010"</f>
        <v>0561010</v>
      </c>
      <c r="S3348" t="s">
        <v>387</v>
      </c>
      <c r="T3348" t="s">
        <v>380</v>
      </c>
      <c r="U3348" t="s">
        <v>381</v>
      </c>
      <c r="V3348" t="s">
        <v>131</v>
      </c>
      <c r="W3348" t="s">
        <v>51</v>
      </c>
      <c r="X3348" t="s">
        <v>45</v>
      </c>
      <c r="Y3348" s="1">
        <v>24015</v>
      </c>
      <c r="Z3348">
        <v>2</v>
      </c>
      <c r="AA3348" t="s">
        <v>381</v>
      </c>
      <c r="AB3348" s="40" t="s">
        <v>1799</v>
      </c>
    </row>
    <row r="3349" spans="1:28" x14ac:dyDescent="0.25">
      <c r="A3349">
        <v>99913348</v>
      </c>
      <c r="B3349" t="s">
        <v>32</v>
      </c>
      <c r="C3349" t="s">
        <v>111</v>
      </c>
      <c r="D3349" t="s">
        <v>112</v>
      </c>
      <c r="G3349" t="s">
        <v>35</v>
      </c>
      <c r="H3349">
        <v>1</v>
      </c>
      <c r="K3349" t="s">
        <v>963</v>
      </c>
      <c r="L3349" t="s">
        <v>964</v>
      </c>
      <c r="M3349" t="s">
        <v>938</v>
      </c>
      <c r="N3349">
        <v>21</v>
      </c>
      <c r="P3349" t="s">
        <v>41</v>
      </c>
      <c r="Q3349" t="s">
        <v>75</v>
      </c>
      <c r="R3349" t="str">
        <f>"7061000"</f>
        <v>7061000</v>
      </c>
      <c r="S3349" t="s">
        <v>962</v>
      </c>
      <c r="T3349" t="s">
        <v>963</v>
      </c>
      <c r="U3349" t="s">
        <v>964</v>
      </c>
      <c r="V3349" t="s">
        <v>938</v>
      </c>
      <c r="W3349" t="s">
        <v>165</v>
      </c>
      <c r="X3349" t="s">
        <v>45</v>
      </c>
      <c r="Y3349" s="1">
        <v>24006</v>
      </c>
      <c r="Z3349">
        <v>1</v>
      </c>
      <c r="AA3349" t="s">
        <v>964</v>
      </c>
      <c r="AB3349" s="40" t="s">
        <v>1799</v>
      </c>
    </row>
    <row r="3350" spans="1:28" x14ac:dyDescent="0.25">
      <c r="A3350">
        <v>99913349</v>
      </c>
      <c r="B3350" t="s">
        <v>32</v>
      </c>
      <c r="C3350" t="s">
        <v>111</v>
      </c>
      <c r="D3350" t="s">
        <v>112</v>
      </c>
      <c r="G3350" t="s">
        <v>48</v>
      </c>
      <c r="H3350">
        <v>19</v>
      </c>
      <c r="I3350">
        <v>213</v>
      </c>
      <c r="J3350" s="1">
        <v>33238</v>
      </c>
      <c r="K3350" t="s">
        <v>195</v>
      </c>
      <c r="L3350" t="s">
        <v>196</v>
      </c>
      <c r="M3350" t="s">
        <v>131</v>
      </c>
      <c r="N3350">
        <v>21</v>
      </c>
      <c r="O3350" s="1">
        <v>33238</v>
      </c>
      <c r="P3350" t="s">
        <v>41</v>
      </c>
      <c r="Q3350" t="s">
        <v>75</v>
      </c>
      <c r="R3350" t="str">
        <f>"7521042"</f>
        <v>7521042</v>
      </c>
      <c r="S3350" t="s">
        <v>440</v>
      </c>
      <c r="T3350" t="s">
        <v>195</v>
      </c>
      <c r="U3350" t="s">
        <v>196</v>
      </c>
      <c r="V3350" t="s">
        <v>131</v>
      </c>
      <c r="W3350" t="s">
        <v>165</v>
      </c>
      <c r="X3350" t="s">
        <v>45</v>
      </c>
      <c r="Y3350" s="1">
        <v>24003</v>
      </c>
      <c r="Z3350">
        <v>1</v>
      </c>
      <c r="AA3350" t="s">
        <v>196</v>
      </c>
      <c r="AB3350" s="40" t="s">
        <v>1799</v>
      </c>
    </row>
    <row r="3351" spans="1:28" x14ac:dyDescent="0.25">
      <c r="A3351">
        <v>99913350</v>
      </c>
      <c r="B3351" t="s">
        <v>56</v>
      </c>
      <c r="C3351" t="s">
        <v>111</v>
      </c>
      <c r="D3351" t="s">
        <v>112</v>
      </c>
      <c r="G3351" t="s">
        <v>35</v>
      </c>
      <c r="H3351">
        <v>1</v>
      </c>
      <c r="K3351" t="s">
        <v>268</v>
      </c>
      <c r="L3351" t="s">
        <v>269</v>
      </c>
      <c r="M3351" t="s">
        <v>131</v>
      </c>
      <c r="N3351">
        <v>21</v>
      </c>
      <c r="P3351" t="s">
        <v>41</v>
      </c>
      <c r="Q3351" t="s">
        <v>75</v>
      </c>
      <c r="R3351" t="str">
        <f>"7052028"</f>
        <v>7052028</v>
      </c>
      <c r="S3351" t="s">
        <v>601</v>
      </c>
      <c r="T3351" t="s">
        <v>268</v>
      </c>
      <c r="U3351" t="s">
        <v>269</v>
      </c>
      <c r="V3351" t="s">
        <v>131</v>
      </c>
      <c r="W3351" t="s">
        <v>51</v>
      </c>
      <c r="X3351" t="s">
        <v>45</v>
      </c>
      <c r="Y3351" s="1">
        <v>23962</v>
      </c>
      <c r="Z3351">
        <v>1</v>
      </c>
      <c r="AA3351" t="s">
        <v>269</v>
      </c>
      <c r="AB3351" s="40" t="s">
        <v>1799</v>
      </c>
    </row>
    <row r="3352" spans="1:28" x14ac:dyDescent="0.25">
      <c r="A3352">
        <v>99913351</v>
      </c>
      <c r="B3352" t="s">
        <v>32</v>
      </c>
      <c r="C3352" t="s">
        <v>111</v>
      </c>
      <c r="D3352" t="s">
        <v>112</v>
      </c>
      <c r="G3352" t="s">
        <v>48</v>
      </c>
      <c r="H3352">
        <v>1</v>
      </c>
      <c r="K3352" t="s">
        <v>985</v>
      </c>
      <c r="L3352" t="s">
        <v>986</v>
      </c>
      <c r="M3352" t="s">
        <v>938</v>
      </c>
      <c r="N3352">
        <v>21</v>
      </c>
      <c r="P3352" t="s">
        <v>41</v>
      </c>
      <c r="Q3352" t="s">
        <v>75</v>
      </c>
      <c r="R3352" t="str">
        <f>"7011000"</f>
        <v>7011000</v>
      </c>
      <c r="S3352" t="s">
        <v>989</v>
      </c>
      <c r="T3352" t="s">
        <v>985</v>
      </c>
      <c r="U3352" t="s">
        <v>986</v>
      </c>
      <c r="V3352" t="s">
        <v>938</v>
      </c>
      <c r="W3352" t="s">
        <v>51</v>
      </c>
      <c r="X3352" t="s">
        <v>45</v>
      </c>
      <c r="Y3352" s="1">
        <v>23961</v>
      </c>
      <c r="Z3352">
        <v>1</v>
      </c>
      <c r="AA3352" t="s">
        <v>986</v>
      </c>
      <c r="AB3352" s="40" t="s">
        <v>1799</v>
      </c>
    </row>
    <row r="3353" spans="1:28" x14ac:dyDescent="0.25">
      <c r="A3353">
        <v>99913352</v>
      </c>
      <c r="B3353" t="s">
        <v>56</v>
      </c>
      <c r="C3353" t="s">
        <v>111</v>
      </c>
      <c r="D3353" t="s">
        <v>112</v>
      </c>
      <c r="G3353" t="s">
        <v>35</v>
      </c>
      <c r="H3353">
        <v>14</v>
      </c>
      <c r="K3353" t="s">
        <v>268</v>
      </c>
      <c r="L3353" t="s">
        <v>269</v>
      </c>
      <c r="M3353" t="s">
        <v>131</v>
      </c>
      <c r="N3353">
        <v>21</v>
      </c>
      <c r="P3353" t="s">
        <v>41</v>
      </c>
      <c r="Q3353" t="s">
        <v>75</v>
      </c>
      <c r="R3353" t="str">
        <f>"7052002"</f>
        <v>7052002</v>
      </c>
      <c r="S3353" t="s">
        <v>590</v>
      </c>
      <c r="T3353" t="s">
        <v>268</v>
      </c>
      <c r="U3353" t="s">
        <v>269</v>
      </c>
      <c r="V3353" t="s">
        <v>131</v>
      </c>
      <c r="W3353" t="s">
        <v>165</v>
      </c>
      <c r="X3353" t="s">
        <v>45</v>
      </c>
      <c r="Y3353" s="1">
        <v>23957</v>
      </c>
      <c r="Z3353">
        <v>1</v>
      </c>
      <c r="AA3353" t="s">
        <v>269</v>
      </c>
      <c r="AB3353" s="40" t="s">
        <v>1799</v>
      </c>
    </row>
    <row r="3354" spans="1:28" x14ac:dyDescent="0.25">
      <c r="A3354">
        <v>99913353</v>
      </c>
      <c r="B3354" t="s">
        <v>32</v>
      </c>
      <c r="C3354" t="s">
        <v>85</v>
      </c>
      <c r="D3354" t="s">
        <v>86</v>
      </c>
      <c r="G3354" t="s">
        <v>48</v>
      </c>
      <c r="H3354">
        <v>6</v>
      </c>
      <c r="K3354" t="s">
        <v>1268</v>
      </c>
      <c r="L3354" t="s">
        <v>1269</v>
      </c>
      <c r="M3354" t="s">
        <v>1270</v>
      </c>
      <c r="N3354">
        <v>21</v>
      </c>
      <c r="P3354" t="s">
        <v>41</v>
      </c>
      <c r="Q3354" t="s">
        <v>49</v>
      </c>
      <c r="R3354" t="str">
        <f>"1960001"</f>
        <v>1960001</v>
      </c>
      <c r="S3354" t="s">
        <v>1272</v>
      </c>
      <c r="T3354" t="s">
        <v>1268</v>
      </c>
      <c r="U3354" t="s">
        <v>1269</v>
      </c>
      <c r="V3354" t="s">
        <v>1270</v>
      </c>
      <c r="W3354" t="s">
        <v>51</v>
      </c>
      <c r="X3354" t="s">
        <v>45</v>
      </c>
      <c r="Y3354" s="1">
        <v>23938</v>
      </c>
      <c r="Z3354">
        <v>2</v>
      </c>
      <c r="AA3354" t="s">
        <v>1269</v>
      </c>
      <c r="AB3354" s="40" t="s">
        <v>1799</v>
      </c>
    </row>
    <row r="3355" spans="1:28" x14ac:dyDescent="0.25">
      <c r="A3355">
        <v>99913354</v>
      </c>
      <c r="B3355" t="s">
        <v>56</v>
      </c>
      <c r="C3355" t="s">
        <v>111</v>
      </c>
      <c r="D3355" t="s">
        <v>112</v>
      </c>
      <c r="G3355" t="s">
        <v>48</v>
      </c>
      <c r="H3355">
        <v>14</v>
      </c>
      <c r="I3355" t="s">
        <v>444</v>
      </c>
      <c r="J3355" s="1">
        <v>42614</v>
      </c>
      <c r="K3355" t="s">
        <v>431</v>
      </c>
      <c r="L3355" t="s">
        <v>196</v>
      </c>
      <c r="M3355" t="s">
        <v>131</v>
      </c>
      <c r="N3355">
        <v>21</v>
      </c>
      <c r="O3355" s="1">
        <v>42614</v>
      </c>
      <c r="P3355" t="s">
        <v>41</v>
      </c>
      <c r="Q3355" t="s">
        <v>75</v>
      </c>
      <c r="R3355" t="str">
        <f>"7521022"</f>
        <v>7521022</v>
      </c>
      <c r="S3355" t="s">
        <v>445</v>
      </c>
      <c r="T3355" t="s">
        <v>431</v>
      </c>
      <c r="U3355" t="s">
        <v>196</v>
      </c>
      <c r="V3355" t="s">
        <v>131</v>
      </c>
      <c r="W3355" t="s">
        <v>51</v>
      </c>
      <c r="X3355" t="s">
        <v>45</v>
      </c>
      <c r="Y3355" s="1">
        <v>23936</v>
      </c>
      <c r="Z3355">
        <v>1</v>
      </c>
      <c r="AA3355" t="s">
        <v>196</v>
      </c>
      <c r="AB3355" s="40" t="s">
        <v>1799</v>
      </c>
    </row>
    <row r="3356" spans="1:28" x14ac:dyDescent="0.25">
      <c r="A3356">
        <v>99913355</v>
      </c>
      <c r="B3356" t="s">
        <v>32</v>
      </c>
      <c r="C3356" t="s">
        <v>52</v>
      </c>
      <c r="D3356" t="s">
        <v>53</v>
      </c>
      <c r="G3356" t="s">
        <v>35</v>
      </c>
      <c r="H3356">
        <v>1</v>
      </c>
      <c r="K3356" t="s">
        <v>345</v>
      </c>
      <c r="L3356" t="s">
        <v>346</v>
      </c>
      <c r="M3356" t="s">
        <v>131</v>
      </c>
      <c r="N3356">
        <v>21</v>
      </c>
      <c r="P3356" t="s">
        <v>41</v>
      </c>
      <c r="Q3356" t="s">
        <v>49</v>
      </c>
      <c r="R3356" t="str">
        <f>"0560007"</f>
        <v>0560007</v>
      </c>
      <c r="S3356" t="s">
        <v>357</v>
      </c>
      <c r="T3356" t="s">
        <v>345</v>
      </c>
      <c r="U3356" t="s">
        <v>346</v>
      </c>
      <c r="V3356" t="s">
        <v>131</v>
      </c>
      <c r="W3356" t="s">
        <v>51</v>
      </c>
      <c r="X3356" t="s">
        <v>45</v>
      </c>
      <c r="Y3356" s="1">
        <v>23919</v>
      </c>
      <c r="Z3356">
        <v>2</v>
      </c>
      <c r="AA3356" t="s">
        <v>346</v>
      </c>
      <c r="AB3356" s="40" t="s">
        <v>1799</v>
      </c>
    </row>
    <row r="3357" spans="1:28" x14ac:dyDescent="0.25">
      <c r="A3357">
        <v>99913356</v>
      </c>
      <c r="B3357" t="s">
        <v>32</v>
      </c>
      <c r="C3357" t="s">
        <v>111</v>
      </c>
      <c r="D3357" t="s">
        <v>112</v>
      </c>
      <c r="G3357" t="s">
        <v>35</v>
      </c>
      <c r="H3357">
        <v>15</v>
      </c>
      <c r="K3357" t="s">
        <v>268</v>
      </c>
      <c r="L3357" t="s">
        <v>269</v>
      </c>
      <c r="M3357" t="s">
        <v>131</v>
      </c>
      <c r="N3357">
        <v>21</v>
      </c>
      <c r="P3357" t="s">
        <v>41</v>
      </c>
      <c r="Q3357" t="s">
        <v>75</v>
      </c>
      <c r="R3357" t="str">
        <f>"7052004"</f>
        <v>7052004</v>
      </c>
      <c r="S3357" t="s">
        <v>584</v>
      </c>
      <c r="T3357" t="s">
        <v>268</v>
      </c>
      <c r="U3357" t="s">
        <v>269</v>
      </c>
      <c r="V3357" t="s">
        <v>131</v>
      </c>
      <c r="W3357" t="s">
        <v>165</v>
      </c>
      <c r="X3357" t="s">
        <v>45</v>
      </c>
      <c r="Y3357" s="1">
        <v>23911</v>
      </c>
      <c r="Z3357">
        <v>1</v>
      </c>
      <c r="AA3357" t="s">
        <v>269</v>
      </c>
      <c r="AB3357" s="40" t="s">
        <v>1799</v>
      </c>
    </row>
    <row r="3358" spans="1:28" x14ac:dyDescent="0.25">
      <c r="A3358">
        <v>99913357</v>
      </c>
      <c r="B3358" t="s">
        <v>32</v>
      </c>
      <c r="C3358" t="s">
        <v>64</v>
      </c>
      <c r="D3358" t="s">
        <v>65</v>
      </c>
      <c r="G3358" t="s">
        <v>35</v>
      </c>
      <c r="H3358">
        <v>13</v>
      </c>
      <c r="K3358" t="s">
        <v>268</v>
      </c>
      <c r="L3358" t="s">
        <v>269</v>
      </c>
      <c r="M3358" t="s">
        <v>131</v>
      </c>
      <c r="N3358">
        <v>21</v>
      </c>
      <c r="P3358" t="s">
        <v>41</v>
      </c>
      <c r="Q3358" t="s">
        <v>75</v>
      </c>
      <c r="R3358" t="str">
        <f>"7052004"</f>
        <v>7052004</v>
      </c>
      <c r="S3358" t="s">
        <v>584</v>
      </c>
      <c r="T3358" t="s">
        <v>268</v>
      </c>
      <c r="U3358" t="s">
        <v>269</v>
      </c>
      <c r="V3358" t="s">
        <v>131</v>
      </c>
      <c r="W3358" t="s">
        <v>51</v>
      </c>
      <c r="X3358" t="s">
        <v>45</v>
      </c>
      <c r="Y3358" s="1">
        <v>23904</v>
      </c>
      <c r="Z3358">
        <v>1</v>
      </c>
      <c r="AA3358" t="s">
        <v>269</v>
      </c>
      <c r="AB3358" s="40" t="s">
        <v>1799</v>
      </c>
    </row>
    <row r="3359" spans="1:28" x14ac:dyDescent="0.25">
      <c r="A3359">
        <v>99913358</v>
      </c>
      <c r="B3359" t="s">
        <v>32</v>
      </c>
      <c r="C3359" t="s">
        <v>111</v>
      </c>
      <c r="D3359" t="s">
        <v>112</v>
      </c>
      <c r="G3359" t="s">
        <v>48</v>
      </c>
      <c r="H3359">
        <v>15</v>
      </c>
      <c r="K3359" t="s">
        <v>354</v>
      </c>
      <c r="L3359" t="s">
        <v>355</v>
      </c>
      <c r="M3359" t="s">
        <v>131</v>
      </c>
      <c r="N3359">
        <v>21</v>
      </c>
      <c r="P3359" t="s">
        <v>41</v>
      </c>
      <c r="Q3359" t="s">
        <v>75</v>
      </c>
      <c r="R3359" t="str">
        <f>"7054002"</f>
        <v>7054002</v>
      </c>
      <c r="S3359" t="s">
        <v>376</v>
      </c>
      <c r="T3359" t="s">
        <v>354</v>
      </c>
      <c r="U3359" t="s">
        <v>355</v>
      </c>
      <c r="V3359" t="s">
        <v>131</v>
      </c>
      <c r="W3359" t="s">
        <v>51</v>
      </c>
      <c r="X3359" t="s">
        <v>45</v>
      </c>
      <c r="Y3359" s="1">
        <v>23883</v>
      </c>
      <c r="Z3359">
        <v>1</v>
      </c>
      <c r="AA3359" t="s">
        <v>355</v>
      </c>
      <c r="AB3359" s="40" t="s">
        <v>1799</v>
      </c>
    </row>
    <row r="3360" spans="1:28" x14ac:dyDescent="0.25">
      <c r="A3360">
        <v>99913359</v>
      </c>
      <c r="B3360" t="s">
        <v>56</v>
      </c>
      <c r="C3360" t="s">
        <v>68</v>
      </c>
      <c r="D3360" t="s">
        <v>69</v>
      </c>
      <c r="G3360" t="s">
        <v>48</v>
      </c>
      <c r="H3360">
        <v>1</v>
      </c>
      <c r="K3360" t="s">
        <v>157</v>
      </c>
      <c r="L3360" t="s">
        <v>158</v>
      </c>
      <c r="M3360" t="s">
        <v>131</v>
      </c>
      <c r="N3360">
        <v>21</v>
      </c>
      <c r="P3360" t="s">
        <v>41</v>
      </c>
      <c r="Q3360" t="s">
        <v>42</v>
      </c>
      <c r="R3360" t="str">
        <f>"0580735"</f>
        <v>0580735</v>
      </c>
      <c r="S3360" t="s">
        <v>180</v>
      </c>
      <c r="T3360" t="s">
        <v>157</v>
      </c>
      <c r="U3360" t="s">
        <v>158</v>
      </c>
      <c r="V3360" t="s">
        <v>131</v>
      </c>
      <c r="W3360" t="s">
        <v>51</v>
      </c>
      <c r="X3360" t="s">
        <v>45</v>
      </c>
      <c r="Y3360" s="1">
        <v>23870</v>
      </c>
      <c r="Z3360">
        <v>2</v>
      </c>
      <c r="AA3360" t="s">
        <v>158</v>
      </c>
      <c r="AB3360" s="40" t="s">
        <v>1799</v>
      </c>
    </row>
    <row r="3361" spans="1:28" x14ac:dyDescent="0.25">
      <c r="A3361">
        <v>99913360</v>
      </c>
      <c r="B3361" t="s">
        <v>32</v>
      </c>
      <c r="C3361" t="s">
        <v>111</v>
      </c>
      <c r="D3361" t="s">
        <v>112</v>
      </c>
      <c r="G3361" t="s">
        <v>48</v>
      </c>
      <c r="H3361">
        <v>1</v>
      </c>
      <c r="K3361" t="s">
        <v>268</v>
      </c>
      <c r="L3361" t="s">
        <v>269</v>
      </c>
      <c r="M3361" t="s">
        <v>131</v>
      </c>
      <c r="N3361">
        <v>21</v>
      </c>
      <c r="P3361" t="s">
        <v>41</v>
      </c>
      <c r="Q3361" t="s">
        <v>75</v>
      </c>
      <c r="R3361" t="str">
        <f>"7052008"</f>
        <v>7052008</v>
      </c>
      <c r="S3361" t="s">
        <v>274</v>
      </c>
      <c r="T3361" t="s">
        <v>268</v>
      </c>
      <c r="U3361" t="s">
        <v>269</v>
      </c>
      <c r="V3361" t="s">
        <v>131</v>
      </c>
      <c r="W3361" t="s">
        <v>51</v>
      </c>
      <c r="X3361" t="s">
        <v>45</v>
      </c>
      <c r="Y3361" s="1">
        <v>23868</v>
      </c>
      <c r="Z3361">
        <v>1</v>
      </c>
      <c r="AA3361" t="s">
        <v>269</v>
      </c>
      <c r="AB3361" s="40" t="s">
        <v>1799</v>
      </c>
    </row>
    <row r="3362" spans="1:28" x14ac:dyDescent="0.25">
      <c r="A3362">
        <v>99913361</v>
      </c>
      <c r="B3362" t="s">
        <v>32</v>
      </c>
      <c r="C3362" t="s">
        <v>64</v>
      </c>
      <c r="D3362" t="s">
        <v>65</v>
      </c>
      <c r="G3362" t="s">
        <v>48</v>
      </c>
      <c r="H3362">
        <v>13</v>
      </c>
      <c r="K3362" t="s">
        <v>195</v>
      </c>
      <c r="L3362" t="s">
        <v>196</v>
      </c>
      <c r="M3362" t="s">
        <v>131</v>
      </c>
      <c r="N3362">
        <v>21</v>
      </c>
      <c r="O3362" s="1">
        <v>36770</v>
      </c>
      <c r="P3362" t="s">
        <v>41</v>
      </c>
      <c r="Q3362" t="s">
        <v>75</v>
      </c>
      <c r="R3362" t="str">
        <f>"7521046"</f>
        <v>7521046</v>
      </c>
      <c r="S3362" t="s">
        <v>436</v>
      </c>
      <c r="T3362" t="s">
        <v>195</v>
      </c>
      <c r="U3362" t="s">
        <v>196</v>
      </c>
      <c r="V3362" t="s">
        <v>131</v>
      </c>
      <c r="W3362" t="s">
        <v>51</v>
      </c>
      <c r="X3362" t="s">
        <v>45</v>
      </c>
      <c r="Y3362" s="1">
        <v>23863</v>
      </c>
      <c r="Z3362">
        <v>1</v>
      </c>
      <c r="AA3362" t="s">
        <v>196</v>
      </c>
      <c r="AB3362" s="40" t="s">
        <v>1799</v>
      </c>
    </row>
    <row r="3363" spans="1:28" x14ac:dyDescent="0.25">
      <c r="A3363">
        <v>99913362</v>
      </c>
      <c r="B3363" t="s">
        <v>32</v>
      </c>
      <c r="C3363" t="s">
        <v>64</v>
      </c>
      <c r="D3363" t="s">
        <v>65</v>
      </c>
      <c r="G3363" t="s">
        <v>35</v>
      </c>
      <c r="H3363">
        <v>14</v>
      </c>
      <c r="K3363" t="s">
        <v>268</v>
      </c>
      <c r="L3363" t="s">
        <v>269</v>
      </c>
      <c r="M3363" t="s">
        <v>131</v>
      </c>
      <c r="N3363">
        <v>21</v>
      </c>
      <c r="P3363" t="s">
        <v>41</v>
      </c>
      <c r="Q3363" t="s">
        <v>75</v>
      </c>
      <c r="R3363" t="str">
        <f>"7052006"</f>
        <v>7052006</v>
      </c>
      <c r="S3363" t="s">
        <v>575</v>
      </c>
      <c r="T3363" t="s">
        <v>268</v>
      </c>
      <c r="U3363" t="s">
        <v>269</v>
      </c>
      <c r="V3363" t="s">
        <v>131</v>
      </c>
      <c r="W3363" t="s">
        <v>165</v>
      </c>
      <c r="X3363" t="s">
        <v>45</v>
      </c>
      <c r="Y3363" s="1">
        <v>23863</v>
      </c>
      <c r="Z3363">
        <v>1</v>
      </c>
      <c r="AA3363" t="s">
        <v>269</v>
      </c>
      <c r="AB3363" s="40" t="s">
        <v>1799</v>
      </c>
    </row>
    <row r="3364" spans="1:28" x14ac:dyDescent="0.25">
      <c r="A3364">
        <v>99913363</v>
      </c>
      <c r="B3364" t="s">
        <v>32</v>
      </c>
      <c r="C3364" t="s">
        <v>79</v>
      </c>
      <c r="D3364" t="s">
        <v>80</v>
      </c>
      <c r="G3364" t="s">
        <v>35</v>
      </c>
      <c r="H3364">
        <v>13</v>
      </c>
      <c r="K3364" t="s">
        <v>268</v>
      </c>
      <c r="L3364" t="s">
        <v>269</v>
      </c>
      <c r="M3364" t="s">
        <v>131</v>
      </c>
      <c r="N3364">
        <v>21</v>
      </c>
      <c r="P3364" t="s">
        <v>41</v>
      </c>
      <c r="Q3364" t="s">
        <v>75</v>
      </c>
      <c r="R3364" t="str">
        <f>"7052002"</f>
        <v>7052002</v>
      </c>
      <c r="S3364" t="s">
        <v>590</v>
      </c>
      <c r="T3364" t="s">
        <v>268</v>
      </c>
      <c r="U3364" t="s">
        <v>269</v>
      </c>
      <c r="V3364" t="s">
        <v>131</v>
      </c>
      <c r="W3364" t="s">
        <v>165</v>
      </c>
      <c r="X3364" t="s">
        <v>45</v>
      </c>
      <c r="Y3364" s="1">
        <v>23834</v>
      </c>
      <c r="Z3364">
        <v>1</v>
      </c>
      <c r="AA3364" t="s">
        <v>269</v>
      </c>
      <c r="AB3364" s="40" t="s">
        <v>1799</v>
      </c>
    </row>
    <row r="3365" spans="1:28" x14ac:dyDescent="0.25">
      <c r="A3365">
        <v>99913364</v>
      </c>
      <c r="B3365" t="s">
        <v>32</v>
      </c>
      <c r="C3365" t="s">
        <v>139</v>
      </c>
      <c r="D3365" t="s">
        <v>140</v>
      </c>
      <c r="G3365" t="s">
        <v>48</v>
      </c>
      <c r="H3365">
        <v>1</v>
      </c>
      <c r="K3365" t="s">
        <v>223</v>
      </c>
      <c r="L3365" t="s">
        <v>224</v>
      </c>
      <c r="M3365" t="s">
        <v>131</v>
      </c>
      <c r="N3365">
        <v>21</v>
      </c>
      <c r="P3365" t="s">
        <v>41</v>
      </c>
      <c r="Q3365" t="s">
        <v>49</v>
      </c>
      <c r="R3365" t="str">
        <f>"0591910"</f>
        <v>0591910</v>
      </c>
      <c r="S3365" t="s">
        <v>228</v>
      </c>
      <c r="T3365" t="s">
        <v>223</v>
      </c>
      <c r="U3365" t="s">
        <v>224</v>
      </c>
      <c r="V3365" t="s">
        <v>131</v>
      </c>
      <c r="W3365" t="s">
        <v>51</v>
      </c>
      <c r="X3365" t="s">
        <v>45</v>
      </c>
      <c r="Y3365" s="1">
        <v>23828</v>
      </c>
      <c r="Z3365">
        <v>2</v>
      </c>
      <c r="AA3365" t="s">
        <v>224</v>
      </c>
      <c r="AB3365" s="40" t="s">
        <v>1799</v>
      </c>
    </row>
    <row r="3366" spans="1:28" x14ac:dyDescent="0.25">
      <c r="A3366">
        <v>99913365</v>
      </c>
      <c r="B3366" t="s">
        <v>56</v>
      </c>
      <c r="C3366" t="s">
        <v>52</v>
      </c>
      <c r="D3366" t="s">
        <v>53</v>
      </c>
      <c r="G3366" t="s">
        <v>48</v>
      </c>
      <c r="H3366">
        <v>1</v>
      </c>
      <c r="K3366" t="s">
        <v>1487</v>
      </c>
      <c r="L3366" t="s">
        <v>1488</v>
      </c>
      <c r="M3366" t="s">
        <v>670</v>
      </c>
      <c r="N3366">
        <v>21</v>
      </c>
      <c r="P3366" t="s">
        <v>41</v>
      </c>
      <c r="Q3366" t="s">
        <v>42</v>
      </c>
      <c r="R3366" t="str">
        <f>"1780020"</f>
        <v>1780020</v>
      </c>
      <c r="S3366" t="s">
        <v>1490</v>
      </c>
      <c r="T3366" t="s">
        <v>1487</v>
      </c>
      <c r="U3366" t="s">
        <v>1488</v>
      </c>
      <c r="V3366" t="s">
        <v>670</v>
      </c>
      <c r="W3366" t="s">
        <v>51</v>
      </c>
      <c r="X3366" t="s">
        <v>45</v>
      </c>
      <c r="Y3366" s="1">
        <v>23801</v>
      </c>
      <c r="Z3366">
        <v>2</v>
      </c>
      <c r="AA3366" t="s">
        <v>1488</v>
      </c>
      <c r="AB3366" s="40" t="s">
        <v>1799</v>
      </c>
    </row>
    <row r="3367" spans="1:28" x14ac:dyDescent="0.25">
      <c r="A3367">
        <v>99913366</v>
      </c>
      <c r="B3367" t="s">
        <v>32</v>
      </c>
      <c r="C3367" t="s">
        <v>141</v>
      </c>
      <c r="D3367" t="s">
        <v>142</v>
      </c>
      <c r="G3367" t="s">
        <v>48</v>
      </c>
      <c r="H3367">
        <v>1</v>
      </c>
      <c r="K3367" t="s">
        <v>354</v>
      </c>
      <c r="L3367" t="s">
        <v>355</v>
      </c>
      <c r="M3367" t="s">
        <v>131</v>
      </c>
      <c r="N3367">
        <v>21</v>
      </c>
      <c r="P3367" t="s">
        <v>41</v>
      </c>
      <c r="Q3367" t="s">
        <v>75</v>
      </c>
      <c r="R3367" t="str">
        <f>"7054022"</f>
        <v>7054022</v>
      </c>
      <c r="S3367" t="s">
        <v>770</v>
      </c>
      <c r="T3367" t="s">
        <v>354</v>
      </c>
      <c r="U3367" t="s">
        <v>355</v>
      </c>
      <c r="V3367" t="s">
        <v>131</v>
      </c>
      <c r="W3367" t="s">
        <v>51</v>
      </c>
      <c r="X3367" t="s">
        <v>45</v>
      </c>
      <c r="Y3367" s="1">
        <v>23786</v>
      </c>
      <c r="Z3367">
        <v>1</v>
      </c>
      <c r="AA3367" t="s">
        <v>355</v>
      </c>
      <c r="AB3367" s="40" t="s">
        <v>1799</v>
      </c>
    </row>
    <row r="3368" spans="1:28" x14ac:dyDescent="0.25">
      <c r="A3368">
        <v>99913367</v>
      </c>
      <c r="B3368" t="s">
        <v>32</v>
      </c>
      <c r="C3368" t="s">
        <v>141</v>
      </c>
      <c r="D3368" t="s">
        <v>142</v>
      </c>
      <c r="G3368" t="s">
        <v>35</v>
      </c>
      <c r="H3368">
        <v>1</v>
      </c>
      <c r="K3368" t="s">
        <v>354</v>
      </c>
      <c r="L3368" t="s">
        <v>355</v>
      </c>
      <c r="M3368" t="s">
        <v>131</v>
      </c>
      <c r="N3368">
        <v>21</v>
      </c>
      <c r="P3368" t="s">
        <v>41</v>
      </c>
      <c r="Q3368" t="s">
        <v>75</v>
      </c>
      <c r="R3368" t="str">
        <f>"7054020"</f>
        <v>7054020</v>
      </c>
      <c r="S3368" t="s">
        <v>765</v>
      </c>
      <c r="T3368" t="s">
        <v>354</v>
      </c>
      <c r="U3368" t="s">
        <v>355</v>
      </c>
      <c r="V3368" t="s">
        <v>131</v>
      </c>
      <c r="W3368" t="s">
        <v>51</v>
      </c>
      <c r="X3368" t="s">
        <v>45</v>
      </c>
      <c r="Y3368" s="1">
        <v>23786</v>
      </c>
      <c r="Z3368">
        <v>1</v>
      </c>
      <c r="AA3368" t="s">
        <v>355</v>
      </c>
      <c r="AB3368" s="40" t="s">
        <v>1799</v>
      </c>
    </row>
    <row r="3369" spans="1:28" x14ac:dyDescent="0.25">
      <c r="A3369">
        <v>99913368</v>
      </c>
      <c r="B3369" t="s">
        <v>32</v>
      </c>
      <c r="C3369" t="s">
        <v>111</v>
      </c>
      <c r="D3369" t="s">
        <v>112</v>
      </c>
      <c r="G3369" t="s">
        <v>48</v>
      </c>
      <c r="H3369">
        <v>16</v>
      </c>
      <c r="K3369" t="s">
        <v>195</v>
      </c>
      <c r="L3369" t="s">
        <v>196</v>
      </c>
      <c r="M3369" t="s">
        <v>131</v>
      </c>
      <c r="N3369">
        <v>21</v>
      </c>
      <c r="O3369" s="1">
        <v>34124</v>
      </c>
      <c r="P3369" t="s">
        <v>41</v>
      </c>
      <c r="Q3369" t="s">
        <v>75</v>
      </c>
      <c r="R3369" t="str">
        <f>"7521046"</f>
        <v>7521046</v>
      </c>
      <c r="S3369" t="s">
        <v>436</v>
      </c>
      <c r="T3369" t="s">
        <v>195</v>
      </c>
      <c r="U3369" t="s">
        <v>196</v>
      </c>
      <c r="V3369" t="s">
        <v>131</v>
      </c>
      <c r="W3369" t="s">
        <v>165</v>
      </c>
      <c r="X3369" t="s">
        <v>45</v>
      </c>
      <c r="Y3369" s="1">
        <v>23743</v>
      </c>
      <c r="Z3369">
        <v>1</v>
      </c>
      <c r="AA3369" t="s">
        <v>196</v>
      </c>
      <c r="AB3369" s="40" t="s">
        <v>1799</v>
      </c>
    </row>
    <row r="3370" spans="1:28" x14ac:dyDescent="0.25">
      <c r="A3370">
        <v>99913369</v>
      </c>
      <c r="B3370" t="s">
        <v>32</v>
      </c>
      <c r="C3370" t="s">
        <v>85</v>
      </c>
      <c r="D3370" t="s">
        <v>86</v>
      </c>
      <c r="G3370" t="s">
        <v>35</v>
      </c>
      <c r="H3370">
        <v>1</v>
      </c>
      <c r="K3370" t="s">
        <v>1187</v>
      </c>
      <c r="L3370" t="s">
        <v>1188</v>
      </c>
      <c r="M3370" t="s">
        <v>1130</v>
      </c>
      <c r="N3370">
        <v>21</v>
      </c>
      <c r="P3370" t="s">
        <v>41</v>
      </c>
      <c r="Q3370" t="s">
        <v>49</v>
      </c>
      <c r="R3370" t="str">
        <f>"4581015"</f>
        <v>4581015</v>
      </c>
      <c r="S3370" t="s">
        <v>1190</v>
      </c>
      <c r="T3370" t="s">
        <v>1187</v>
      </c>
      <c r="U3370" t="s">
        <v>1188</v>
      </c>
      <c r="V3370" t="s">
        <v>1130</v>
      </c>
      <c r="W3370" t="s">
        <v>51</v>
      </c>
      <c r="X3370" t="s">
        <v>45</v>
      </c>
      <c r="Y3370" s="1">
        <v>23743</v>
      </c>
      <c r="Z3370">
        <v>2</v>
      </c>
      <c r="AA3370" t="s">
        <v>1188</v>
      </c>
      <c r="AB3370" s="40" t="s">
        <v>1799</v>
      </c>
    </row>
    <row r="3371" spans="1:28" x14ac:dyDescent="0.25">
      <c r="A3371">
        <v>99913370</v>
      </c>
      <c r="B3371" t="s">
        <v>32</v>
      </c>
      <c r="C3371" t="s">
        <v>64</v>
      </c>
      <c r="D3371" t="s">
        <v>65</v>
      </c>
      <c r="G3371" t="s">
        <v>48</v>
      </c>
      <c r="H3371">
        <v>1</v>
      </c>
      <c r="I3371">
        <v>177</v>
      </c>
      <c r="J3371" s="1">
        <v>36403</v>
      </c>
      <c r="K3371" t="s">
        <v>1496</v>
      </c>
      <c r="L3371" t="s">
        <v>1497</v>
      </c>
      <c r="M3371" t="s">
        <v>670</v>
      </c>
      <c r="N3371">
        <v>21</v>
      </c>
      <c r="O3371" s="1">
        <v>36403</v>
      </c>
      <c r="P3371" t="s">
        <v>41</v>
      </c>
      <c r="Q3371" t="s">
        <v>42</v>
      </c>
      <c r="R3371" t="str">
        <f>"5080015"</f>
        <v>5080015</v>
      </c>
      <c r="S3371" t="s">
        <v>1498</v>
      </c>
      <c r="T3371" t="s">
        <v>1496</v>
      </c>
      <c r="U3371" t="s">
        <v>1497</v>
      </c>
      <c r="V3371" t="s">
        <v>670</v>
      </c>
      <c r="W3371" t="s">
        <v>51</v>
      </c>
      <c r="X3371" t="s">
        <v>45</v>
      </c>
      <c r="Y3371" s="1">
        <v>23743</v>
      </c>
      <c r="Z3371">
        <v>2</v>
      </c>
      <c r="AA3371" t="s">
        <v>1497</v>
      </c>
      <c r="AB3371" s="40" t="s">
        <v>1799</v>
      </c>
    </row>
    <row r="3372" spans="1:28" x14ac:dyDescent="0.25">
      <c r="A3372">
        <v>99913371</v>
      </c>
      <c r="B3372" t="s">
        <v>56</v>
      </c>
      <c r="C3372" t="s">
        <v>68</v>
      </c>
      <c r="D3372" t="s">
        <v>69</v>
      </c>
      <c r="G3372" t="s">
        <v>48</v>
      </c>
      <c r="H3372">
        <v>1</v>
      </c>
      <c r="K3372" t="s">
        <v>380</v>
      </c>
      <c r="L3372" t="s">
        <v>381</v>
      </c>
      <c r="M3372" t="s">
        <v>131</v>
      </c>
      <c r="N3372">
        <v>21</v>
      </c>
      <c r="P3372" t="s">
        <v>41</v>
      </c>
      <c r="Q3372" t="s">
        <v>42</v>
      </c>
      <c r="R3372" t="str">
        <f>"0590908"</f>
        <v>0590908</v>
      </c>
      <c r="S3372" t="s">
        <v>382</v>
      </c>
      <c r="T3372" t="s">
        <v>380</v>
      </c>
      <c r="U3372" t="s">
        <v>381</v>
      </c>
      <c r="V3372" t="s">
        <v>131</v>
      </c>
      <c r="W3372" t="s">
        <v>51</v>
      </c>
      <c r="X3372" t="s">
        <v>45</v>
      </c>
      <c r="Y3372" s="1">
        <v>23728</v>
      </c>
      <c r="Z3372">
        <v>2</v>
      </c>
      <c r="AA3372" t="s">
        <v>381</v>
      </c>
      <c r="AB3372" s="40" t="s">
        <v>1799</v>
      </c>
    </row>
    <row r="3373" spans="1:28" x14ac:dyDescent="0.25">
      <c r="A3373">
        <v>99913372</v>
      </c>
      <c r="B3373" t="s">
        <v>32</v>
      </c>
      <c r="C3373" t="s">
        <v>111</v>
      </c>
      <c r="D3373" t="s">
        <v>112</v>
      </c>
      <c r="G3373" t="s">
        <v>35</v>
      </c>
      <c r="H3373">
        <v>1</v>
      </c>
      <c r="I3373">
        <v>135362</v>
      </c>
      <c r="J3373" s="1">
        <v>43344</v>
      </c>
      <c r="K3373" t="s">
        <v>877</v>
      </c>
      <c r="L3373" t="s">
        <v>878</v>
      </c>
      <c r="M3373" t="s">
        <v>131</v>
      </c>
      <c r="N3373">
        <v>21</v>
      </c>
      <c r="O3373" s="1">
        <v>43344</v>
      </c>
      <c r="P3373" t="s">
        <v>41</v>
      </c>
      <c r="Q3373" t="s">
        <v>75</v>
      </c>
      <c r="R3373" t="str">
        <f>"7541024"</f>
        <v>7541024</v>
      </c>
      <c r="S3373" t="s">
        <v>885</v>
      </c>
      <c r="T3373" t="s">
        <v>877</v>
      </c>
      <c r="U3373" t="s">
        <v>878</v>
      </c>
      <c r="V3373" t="s">
        <v>131</v>
      </c>
      <c r="W3373" t="s">
        <v>51</v>
      </c>
      <c r="X3373" t="s">
        <v>45</v>
      </c>
      <c r="Y3373" s="1">
        <v>23685</v>
      </c>
      <c r="Z3373">
        <v>1</v>
      </c>
      <c r="AA3373" t="s">
        <v>878</v>
      </c>
      <c r="AB3373" s="40" t="s">
        <v>1799</v>
      </c>
    </row>
    <row r="3374" spans="1:28" x14ac:dyDescent="0.25">
      <c r="A3374">
        <v>99913373</v>
      </c>
      <c r="B3374" t="s">
        <v>32</v>
      </c>
      <c r="C3374" t="s">
        <v>111</v>
      </c>
      <c r="D3374" t="s">
        <v>112</v>
      </c>
      <c r="G3374" t="s">
        <v>35</v>
      </c>
      <c r="H3374">
        <v>13</v>
      </c>
      <c r="K3374" t="s">
        <v>268</v>
      </c>
      <c r="L3374" t="s">
        <v>269</v>
      </c>
      <c r="M3374" t="s">
        <v>131</v>
      </c>
      <c r="N3374">
        <v>21</v>
      </c>
      <c r="P3374" t="s">
        <v>41</v>
      </c>
      <c r="Q3374" t="s">
        <v>75</v>
      </c>
      <c r="R3374" t="str">
        <f>"7052002"</f>
        <v>7052002</v>
      </c>
      <c r="S3374" t="s">
        <v>590</v>
      </c>
      <c r="T3374" t="s">
        <v>268</v>
      </c>
      <c r="U3374" t="s">
        <v>269</v>
      </c>
      <c r="V3374" t="s">
        <v>131</v>
      </c>
      <c r="W3374" t="s">
        <v>165</v>
      </c>
      <c r="X3374" t="s">
        <v>45</v>
      </c>
      <c r="Y3374" s="1">
        <v>23672</v>
      </c>
      <c r="Z3374">
        <v>1</v>
      </c>
      <c r="AA3374" t="s">
        <v>269</v>
      </c>
      <c r="AB3374" s="40" t="s">
        <v>1799</v>
      </c>
    </row>
    <row r="3375" spans="1:28" x14ac:dyDescent="0.25">
      <c r="A3375">
        <v>99913374</v>
      </c>
      <c r="B3375" t="s">
        <v>32</v>
      </c>
      <c r="C3375" t="s">
        <v>111</v>
      </c>
      <c r="D3375" t="s">
        <v>112</v>
      </c>
      <c r="G3375" t="s">
        <v>48</v>
      </c>
      <c r="H3375">
        <v>11</v>
      </c>
      <c r="K3375" t="s">
        <v>1221</v>
      </c>
      <c r="L3375" t="s">
        <v>1222</v>
      </c>
      <c r="M3375" t="s">
        <v>1130</v>
      </c>
      <c r="N3375">
        <v>21</v>
      </c>
      <c r="P3375" t="s">
        <v>41</v>
      </c>
      <c r="Q3375" t="s">
        <v>75</v>
      </c>
      <c r="R3375" t="str">
        <f>"7351000"</f>
        <v>7351000</v>
      </c>
      <c r="S3375" t="s">
        <v>1223</v>
      </c>
      <c r="T3375" t="s">
        <v>1221</v>
      </c>
      <c r="U3375" t="s">
        <v>1222</v>
      </c>
      <c r="V3375" t="s">
        <v>1130</v>
      </c>
      <c r="W3375" t="s">
        <v>51</v>
      </c>
      <c r="X3375" t="s">
        <v>45</v>
      </c>
      <c r="Y3375" s="1">
        <v>23664</v>
      </c>
      <c r="Z3375">
        <v>1</v>
      </c>
      <c r="AA3375" t="s">
        <v>1222</v>
      </c>
      <c r="AB3375" s="40" t="s">
        <v>1799</v>
      </c>
    </row>
    <row r="3376" spans="1:28" x14ac:dyDescent="0.25">
      <c r="A3376">
        <v>99913375</v>
      </c>
      <c r="B3376" t="s">
        <v>32</v>
      </c>
      <c r="C3376" t="s">
        <v>68</v>
      </c>
      <c r="D3376" t="s">
        <v>69</v>
      </c>
      <c r="G3376" t="s">
        <v>48</v>
      </c>
      <c r="H3376">
        <v>1</v>
      </c>
      <c r="K3376" t="s">
        <v>380</v>
      </c>
      <c r="L3376" t="s">
        <v>381</v>
      </c>
      <c r="M3376" t="s">
        <v>131</v>
      </c>
      <c r="N3376">
        <v>21</v>
      </c>
      <c r="P3376" t="s">
        <v>41</v>
      </c>
      <c r="Q3376" t="s">
        <v>42</v>
      </c>
      <c r="R3376" t="str">
        <f>"0561016"</f>
        <v>0561016</v>
      </c>
      <c r="S3376" t="s">
        <v>389</v>
      </c>
      <c r="T3376" t="s">
        <v>380</v>
      </c>
      <c r="U3376" t="s">
        <v>381</v>
      </c>
      <c r="V3376" t="s">
        <v>131</v>
      </c>
      <c r="W3376" t="s">
        <v>51</v>
      </c>
      <c r="X3376" t="s">
        <v>45</v>
      </c>
      <c r="Y3376" s="1">
        <v>23611</v>
      </c>
      <c r="Z3376">
        <v>2</v>
      </c>
      <c r="AA3376" t="s">
        <v>381</v>
      </c>
      <c r="AB3376" s="40" t="s">
        <v>1799</v>
      </c>
    </row>
    <row r="3377" spans="1:28" x14ac:dyDescent="0.25">
      <c r="A3377">
        <v>99913376</v>
      </c>
      <c r="B3377" t="s">
        <v>56</v>
      </c>
      <c r="C3377" t="s">
        <v>79</v>
      </c>
      <c r="D3377" t="s">
        <v>80</v>
      </c>
      <c r="G3377" t="s">
        <v>48</v>
      </c>
      <c r="H3377">
        <v>11</v>
      </c>
      <c r="K3377" t="s">
        <v>877</v>
      </c>
      <c r="L3377" t="s">
        <v>878</v>
      </c>
      <c r="M3377" t="s">
        <v>131</v>
      </c>
      <c r="N3377">
        <v>21</v>
      </c>
      <c r="P3377" t="s">
        <v>41</v>
      </c>
      <c r="Q3377" t="s">
        <v>75</v>
      </c>
      <c r="R3377" t="str">
        <f>"7541004"</f>
        <v>7541004</v>
      </c>
      <c r="S3377" t="s">
        <v>889</v>
      </c>
      <c r="T3377" t="s">
        <v>877</v>
      </c>
      <c r="U3377" t="s">
        <v>878</v>
      </c>
      <c r="V3377" t="s">
        <v>131</v>
      </c>
      <c r="W3377" t="s">
        <v>51</v>
      </c>
      <c r="X3377" t="s">
        <v>45</v>
      </c>
      <c r="Y3377" s="1">
        <v>23593</v>
      </c>
      <c r="Z3377">
        <v>1</v>
      </c>
      <c r="AA3377" t="s">
        <v>878</v>
      </c>
      <c r="AB3377" s="40" t="s">
        <v>1799</v>
      </c>
    </row>
    <row r="3378" spans="1:28" x14ac:dyDescent="0.25">
      <c r="A3378">
        <v>99913377</v>
      </c>
      <c r="B3378" t="s">
        <v>32</v>
      </c>
      <c r="C3378" t="s">
        <v>111</v>
      </c>
      <c r="D3378" t="s">
        <v>112</v>
      </c>
      <c r="G3378" t="s">
        <v>35</v>
      </c>
      <c r="H3378">
        <v>1</v>
      </c>
      <c r="K3378" t="s">
        <v>1502</v>
      </c>
      <c r="L3378" t="s">
        <v>1503</v>
      </c>
      <c r="M3378" t="s">
        <v>670</v>
      </c>
      <c r="N3378">
        <v>21</v>
      </c>
      <c r="P3378" t="s">
        <v>41</v>
      </c>
      <c r="Q3378" t="s">
        <v>75</v>
      </c>
      <c r="R3378" t="str">
        <f>"7171000"</f>
        <v>7171000</v>
      </c>
      <c r="S3378" t="s">
        <v>1506</v>
      </c>
      <c r="T3378" t="s">
        <v>1502</v>
      </c>
      <c r="U3378" t="s">
        <v>1503</v>
      </c>
      <c r="V3378" t="s">
        <v>670</v>
      </c>
      <c r="W3378" t="s">
        <v>51</v>
      </c>
      <c r="X3378" t="s">
        <v>45</v>
      </c>
      <c r="Y3378" s="1">
        <v>23590</v>
      </c>
      <c r="Z3378">
        <v>1</v>
      </c>
      <c r="AA3378" t="s">
        <v>1503</v>
      </c>
      <c r="AB3378" s="40" t="s">
        <v>1799</v>
      </c>
    </row>
    <row r="3379" spans="1:28" x14ac:dyDescent="0.25">
      <c r="A3379">
        <v>99913378</v>
      </c>
      <c r="B3379" t="s">
        <v>32</v>
      </c>
      <c r="C3379" t="s">
        <v>111</v>
      </c>
      <c r="D3379" t="s">
        <v>112</v>
      </c>
      <c r="G3379" t="s">
        <v>48</v>
      </c>
      <c r="H3379">
        <v>14</v>
      </c>
      <c r="K3379" t="s">
        <v>195</v>
      </c>
      <c r="L3379" t="s">
        <v>196</v>
      </c>
      <c r="M3379" t="s">
        <v>131</v>
      </c>
      <c r="N3379">
        <v>21</v>
      </c>
      <c r="O3379" s="1">
        <v>34124</v>
      </c>
      <c r="P3379" t="s">
        <v>41</v>
      </c>
      <c r="Q3379" t="s">
        <v>75</v>
      </c>
      <c r="R3379" t="str">
        <f>"7521046"</f>
        <v>7521046</v>
      </c>
      <c r="S3379" t="s">
        <v>436</v>
      </c>
      <c r="T3379" t="s">
        <v>195</v>
      </c>
      <c r="U3379" t="s">
        <v>196</v>
      </c>
      <c r="V3379" t="s">
        <v>131</v>
      </c>
      <c r="W3379" t="s">
        <v>165</v>
      </c>
      <c r="X3379" t="s">
        <v>45</v>
      </c>
      <c r="Y3379" s="1">
        <v>23580</v>
      </c>
      <c r="Z3379">
        <v>1</v>
      </c>
      <c r="AA3379" t="s">
        <v>196</v>
      </c>
      <c r="AB3379" s="40" t="s">
        <v>1799</v>
      </c>
    </row>
    <row r="3380" spans="1:28" x14ac:dyDescent="0.25">
      <c r="A3380">
        <v>99913379</v>
      </c>
      <c r="B3380" t="s">
        <v>32</v>
      </c>
      <c r="C3380" t="s">
        <v>111</v>
      </c>
      <c r="D3380" t="s">
        <v>112</v>
      </c>
      <c r="G3380" t="s">
        <v>48</v>
      </c>
      <c r="H3380">
        <v>14</v>
      </c>
      <c r="K3380" t="s">
        <v>1426</v>
      </c>
      <c r="L3380" t="s">
        <v>1427</v>
      </c>
      <c r="M3380" t="s">
        <v>1270</v>
      </c>
      <c r="N3380">
        <v>21</v>
      </c>
      <c r="P3380" t="s">
        <v>41</v>
      </c>
      <c r="Q3380" t="s">
        <v>75</v>
      </c>
      <c r="R3380" t="str">
        <f>"7192004"</f>
        <v>7192004</v>
      </c>
      <c r="S3380" t="s">
        <v>1428</v>
      </c>
      <c r="T3380" t="s">
        <v>1426</v>
      </c>
      <c r="U3380" t="s">
        <v>1427</v>
      </c>
      <c r="V3380" t="s">
        <v>1270</v>
      </c>
      <c r="W3380" t="s">
        <v>51</v>
      </c>
      <c r="X3380" t="s">
        <v>45</v>
      </c>
      <c r="Y3380" s="1">
        <v>23567</v>
      </c>
      <c r="Z3380">
        <v>1</v>
      </c>
      <c r="AA3380" t="s">
        <v>1427</v>
      </c>
      <c r="AB3380" s="40" t="s">
        <v>1799</v>
      </c>
    </row>
    <row r="3381" spans="1:28" x14ac:dyDescent="0.25">
      <c r="A3381">
        <v>99913380</v>
      </c>
      <c r="B3381" t="s">
        <v>32</v>
      </c>
      <c r="C3381" t="s">
        <v>64</v>
      </c>
      <c r="D3381" t="s">
        <v>65</v>
      </c>
      <c r="G3381" t="s">
        <v>48</v>
      </c>
      <c r="H3381">
        <v>1</v>
      </c>
      <c r="K3381" t="s">
        <v>1268</v>
      </c>
      <c r="L3381" t="s">
        <v>1269</v>
      </c>
      <c r="M3381" t="s">
        <v>1270</v>
      </c>
      <c r="N3381">
        <v>21</v>
      </c>
      <c r="P3381" t="s">
        <v>41</v>
      </c>
      <c r="Q3381" t="s">
        <v>49</v>
      </c>
      <c r="R3381" t="str">
        <f>"1981914"</f>
        <v>1981914</v>
      </c>
      <c r="S3381" t="s">
        <v>1287</v>
      </c>
      <c r="T3381" t="s">
        <v>1268</v>
      </c>
      <c r="U3381" t="s">
        <v>1269</v>
      </c>
      <c r="V3381" t="s">
        <v>1270</v>
      </c>
      <c r="W3381" t="s">
        <v>51</v>
      </c>
      <c r="X3381" t="s">
        <v>45</v>
      </c>
      <c r="Y3381" s="1">
        <v>23562</v>
      </c>
      <c r="Z3381">
        <v>2</v>
      </c>
      <c r="AA3381" t="s">
        <v>1269</v>
      </c>
      <c r="AB3381" s="40" t="s">
        <v>1799</v>
      </c>
    </row>
    <row r="3382" spans="1:28" x14ac:dyDescent="0.25">
      <c r="A3382">
        <v>99913381</v>
      </c>
      <c r="B3382" t="s">
        <v>32</v>
      </c>
      <c r="C3382" t="s">
        <v>111</v>
      </c>
      <c r="D3382" t="s">
        <v>112</v>
      </c>
      <c r="G3382" t="s">
        <v>35</v>
      </c>
      <c r="H3382">
        <v>15</v>
      </c>
      <c r="K3382" t="s">
        <v>268</v>
      </c>
      <c r="L3382" t="s">
        <v>269</v>
      </c>
      <c r="M3382" t="s">
        <v>131</v>
      </c>
      <c r="N3382">
        <v>21</v>
      </c>
      <c r="P3382" t="s">
        <v>41</v>
      </c>
      <c r="Q3382" t="s">
        <v>75</v>
      </c>
      <c r="R3382" t="str">
        <f>"7052006"</f>
        <v>7052006</v>
      </c>
      <c r="S3382" t="s">
        <v>575</v>
      </c>
      <c r="T3382" t="s">
        <v>268</v>
      </c>
      <c r="U3382" t="s">
        <v>269</v>
      </c>
      <c r="V3382" t="s">
        <v>131</v>
      </c>
      <c r="W3382" t="s">
        <v>165</v>
      </c>
      <c r="X3382" t="s">
        <v>45</v>
      </c>
      <c r="Y3382" s="1">
        <v>23502</v>
      </c>
      <c r="Z3382">
        <v>1</v>
      </c>
      <c r="AA3382" t="s">
        <v>269</v>
      </c>
      <c r="AB3382" s="40" t="s">
        <v>1799</v>
      </c>
    </row>
    <row r="3383" spans="1:28" x14ac:dyDescent="0.25">
      <c r="A3383">
        <v>99913382</v>
      </c>
      <c r="B3383" t="s">
        <v>32</v>
      </c>
      <c r="C3383" t="s">
        <v>111</v>
      </c>
      <c r="D3383" t="s">
        <v>112</v>
      </c>
      <c r="G3383" t="s">
        <v>35</v>
      </c>
      <c r="H3383">
        <v>1</v>
      </c>
      <c r="K3383" t="s">
        <v>1502</v>
      </c>
      <c r="L3383" t="s">
        <v>1503</v>
      </c>
      <c r="M3383" t="s">
        <v>670</v>
      </c>
      <c r="N3383">
        <v>21</v>
      </c>
      <c r="P3383" t="s">
        <v>41</v>
      </c>
      <c r="Q3383" t="s">
        <v>75</v>
      </c>
      <c r="R3383" t="str">
        <f>"7171000"</f>
        <v>7171000</v>
      </c>
      <c r="S3383" t="s">
        <v>1506</v>
      </c>
      <c r="T3383" t="s">
        <v>1502</v>
      </c>
      <c r="U3383" t="s">
        <v>1503</v>
      </c>
      <c r="V3383" t="s">
        <v>670</v>
      </c>
      <c r="W3383" t="s">
        <v>51</v>
      </c>
      <c r="X3383" t="s">
        <v>45</v>
      </c>
      <c r="Y3383" s="1">
        <v>23493</v>
      </c>
      <c r="Z3383">
        <v>1</v>
      </c>
      <c r="AA3383" t="s">
        <v>1503</v>
      </c>
      <c r="AB3383" s="40" t="s">
        <v>1799</v>
      </c>
    </row>
    <row r="3384" spans="1:28" x14ac:dyDescent="0.25">
      <c r="A3384">
        <v>99913383</v>
      </c>
      <c r="B3384" t="s">
        <v>32</v>
      </c>
      <c r="C3384" t="s">
        <v>141</v>
      </c>
      <c r="D3384" t="s">
        <v>142</v>
      </c>
      <c r="G3384" t="s">
        <v>48</v>
      </c>
      <c r="H3384">
        <v>1</v>
      </c>
      <c r="K3384" t="s">
        <v>345</v>
      </c>
      <c r="L3384" t="s">
        <v>346</v>
      </c>
      <c r="M3384" t="s">
        <v>131</v>
      </c>
      <c r="N3384">
        <v>21</v>
      </c>
      <c r="P3384" t="s">
        <v>41</v>
      </c>
      <c r="Q3384" t="s">
        <v>49</v>
      </c>
      <c r="R3384" t="str">
        <f>"0561021"</f>
        <v>0561021</v>
      </c>
      <c r="S3384" t="s">
        <v>352</v>
      </c>
      <c r="T3384" t="s">
        <v>345</v>
      </c>
      <c r="U3384" t="s">
        <v>346</v>
      </c>
      <c r="V3384" t="s">
        <v>131</v>
      </c>
      <c r="W3384" t="s">
        <v>51</v>
      </c>
      <c r="X3384" t="s">
        <v>45</v>
      </c>
      <c r="Y3384" s="1">
        <v>23454</v>
      </c>
      <c r="Z3384">
        <v>2</v>
      </c>
      <c r="AA3384" t="s">
        <v>346</v>
      </c>
      <c r="AB3384" s="40" t="s">
        <v>1799</v>
      </c>
    </row>
    <row r="3385" spans="1:28" x14ac:dyDescent="0.25">
      <c r="A3385">
        <v>99913384</v>
      </c>
      <c r="B3385" t="s">
        <v>32</v>
      </c>
      <c r="C3385" t="s">
        <v>143</v>
      </c>
      <c r="D3385" t="s">
        <v>144</v>
      </c>
      <c r="G3385" t="s">
        <v>48</v>
      </c>
      <c r="H3385">
        <v>12</v>
      </c>
      <c r="I3385" t="s">
        <v>496</v>
      </c>
      <c r="J3385" s="1">
        <v>37865</v>
      </c>
      <c r="K3385" t="s">
        <v>431</v>
      </c>
      <c r="L3385" t="s">
        <v>196</v>
      </c>
      <c r="M3385" t="s">
        <v>131</v>
      </c>
      <c r="N3385">
        <v>21</v>
      </c>
      <c r="O3385" s="1">
        <v>37865</v>
      </c>
      <c r="P3385" t="s">
        <v>41</v>
      </c>
      <c r="Q3385" t="s">
        <v>75</v>
      </c>
      <c r="R3385" t="str">
        <f>"7521022"</f>
        <v>7521022</v>
      </c>
      <c r="S3385" t="s">
        <v>445</v>
      </c>
      <c r="T3385" t="s">
        <v>431</v>
      </c>
      <c r="U3385" t="s">
        <v>196</v>
      </c>
      <c r="V3385" t="s">
        <v>131</v>
      </c>
      <c r="W3385" t="s">
        <v>51</v>
      </c>
      <c r="X3385" t="s">
        <v>45</v>
      </c>
      <c r="Y3385" s="1">
        <v>23453</v>
      </c>
      <c r="Z3385">
        <v>1</v>
      </c>
      <c r="AA3385" t="s">
        <v>196</v>
      </c>
      <c r="AB3385" s="40" t="s">
        <v>1799</v>
      </c>
    </row>
    <row r="3386" spans="1:28" x14ac:dyDescent="0.25">
      <c r="A3386">
        <v>99913385</v>
      </c>
      <c r="B3386" t="s">
        <v>32</v>
      </c>
      <c r="C3386" t="s">
        <v>111</v>
      </c>
      <c r="D3386" t="s">
        <v>112</v>
      </c>
      <c r="G3386" t="s">
        <v>48</v>
      </c>
      <c r="H3386">
        <v>1</v>
      </c>
      <c r="K3386" t="s">
        <v>268</v>
      </c>
      <c r="L3386" t="s">
        <v>269</v>
      </c>
      <c r="M3386" t="s">
        <v>131</v>
      </c>
      <c r="N3386">
        <v>21</v>
      </c>
      <c r="P3386" t="s">
        <v>41</v>
      </c>
      <c r="Q3386" t="s">
        <v>75</v>
      </c>
      <c r="R3386" t="str">
        <f>"7052034"</f>
        <v>7052034</v>
      </c>
      <c r="S3386" t="s">
        <v>604</v>
      </c>
      <c r="T3386" t="s">
        <v>268</v>
      </c>
      <c r="U3386" t="s">
        <v>269</v>
      </c>
      <c r="V3386" t="s">
        <v>131</v>
      </c>
      <c r="W3386" t="s">
        <v>51</v>
      </c>
      <c r="X3386" t="s">
        <v>45</v>
      </c>
      <c r="Y3386" s="1">
        <v>23426</v>
      </c>
      <c r="Z3386">
        <v>1</v>
      </c>
      <c r="AA3386" t="s">
        <v>269</v>
      </c>
      <c r="AB3386" s="40" t="s">
        <v>1799</v>
      </c>
    </row>
    <row r="3387" spans="1:28" x14ac:dyDescent="0.25">
      <c r="A3387">
        <v>99913386</v>
      </c>
      <c r="B3387" t="s">
        <v>32</v>
      </c>
      <c r="C3387" t="s">
        <v>111</v>
      </c>
      <c r="D3387" t="s">
        <v>112</v>
      </c>
      <c r="G3387" t="s">
        <v>48</v>
      </c>
      <c r="H3387">
        <v>10</v>
      </c>
      <c r="K3387" t="s">
        <v>1221</v>
      </c>
      <c r="L3387" t="s">
        <v>1222</v>
      </c>
      <c r="M3387" t="s">
        <v>1130</v>
      </c>
      <c r="N3387">
        <v>21</v>
      </c>
      <c r="P3387" t="s">
        <v>41</v>
      </c>
      <c r="Q3387" t="s">
        <v>75</v>
      </c>
      <c r="R3387" t="str">
        <f>"7351000"</f>
        <v>7351000</v>
      </c>
      <c r="S3387" t="s">
        <v>1223</v>
      </c>
      <c r="T3387" t="s">
        <v>1221</v>
      </c>
      <c r="U3387" t="s">
        <v>1222</v>
      </c>
      <c r="V3387" t="s">
        <v>1130</v>
      </c>
      <c r="W3387" t="s">
        <v>51</v>
      </c>
      <c r="X3387" t="s">
        <v>45</v>
      </c>
      <c r="Y3387" s="1">
        <v>23419</v>
      </c>
      <c r="Z3387">
        <v>1</v>
      </c>
      <c r="AA3387" t="s">
        <v>1222</v>
      </c>
      <c r="AB3387" s="40" t="s">
        <v>1799</v>
      </c>
    </row>
    <row r="3388" spans="1:28" x14ac:dyDescent="0.25">
      <c r="A3388">
        <v>99913387</v>
      </c>
      <c r="B3388" t="s">
        <v>32</v>
      </c>
      <c r="C3388" t="s">
        <v>111</v>
      </c>
      <c r="D3388" t="s">
        <v>112</v>
      </c>
      <c r="G3388" t="s">
        <v>48</v>
      </c>
      <c r="H3388">
        <v>16</v>
      </c>
      <c r="K3388" t="s">
        <v>195</v>
      </c>
      <c r="L3388" t="s">
        <v>196</v>
      </c>
      <c r="M3388" t="s">
        <v>131</v>
      </c>
      <c r="N3388">
        <v>21</v>
      </c>
      <c r="O3388" s="1">
        <v>32189</v>
      </c>
      <c r="P3388" t="s">
        <v>41</v>
      </c>
      <c r="Q3388" t="s">
        <v>75</v>
      </c>
      <c r="R3388" t="str">
        <f>"7521046"</f>
        <v>7521046</v>
      </c>
      <c r="S3388" t="s">
        <v>436</v>
      </c>
      <c r="T3388" t="s">
        <v>195</v>
      </c>
      <c r="U3388" t="s">
        <v>196</v>
      </c>
      <c r="V3388" t="s">
        <v>131</v>
      </c>
      <c r="W3388" t="s">
        <v>165</v>
      </c>
      <c r="X3388" t="s">
        <v>45</v>
      </c>
      <c r="Y3388" s="1">
        <v>23395</v>
      </c>
      <c r="Z3388">
        <v>1</v>
      </c>
      <c r="AA3388" t="s">
        <v>196</v>
      </c>
      <c r="AB3388" s="40" t="s">
        <v>1799</v>
      </c>
    </row>
    <row r="3389" spans="1:28" x14ac:dyDescent="0.25">
      <c r="A3389">
        <v>99913388</v>
      </c>
      <c r="B3389" t="s">
        <v>32</v>
      </c>
      <c r="C3389" t="s">
        <v>52</v>
      </c>
      <c r="D3389" t="s">
        <v>53</v>
      </c>
      <c r="G3389" t="s">
        <v>48</v>
      </c>
      <c r="H3389">
        <v>1</v>
      </c>
      <c r="K3389" t="s">
        <v>300</v>
      </c>
      <c r="L3389" t="s">
        <v>301</v>
      </c>
      <c r="M3389" t="s">
        <v>131</v>
      </c>
      <c r="N3389">
        <v>21</v>
      </c>
      <c r="P3389" t="s">
        <v>41</v>
      </c>
      <c r="Q3389" t="s">
        <v>49</v>
      </c>
      <c r="R3389" t="str">
        <f>"0560001"</f>
        <v>0560001</v>
      </c>
      <c r="S3389" t="s">
        <v>304</v>
      </c>
      <c r="T3389" t="s">
        <v>300</v>
      </c>
      <c r="U3389" t="s">
        <v>301</v>
      </c>
      <c r="V3389" t="s">
        <v>131</v>
      </c>
      <c r="W3389" t="s">
        <v>51</v>
      </c>
      <c r="X3389" t="s">
        <v>45</v>
      </c>
      <c r="Y3389" s="1">
        <v>23377</v>
      </c>
      <c r="Z3389">
        <v>2</v>
      </c>
      <c r="AA3389" t="s">
        <v>301</v>
      </c>
      <c r="AB3389" s="40" t="s">
        <v>1799</v>
      </c>
    </row>
    <row r="3390" spans="1:28" x14ac:dyDescent="0.25">
      <c r="A3390">
        <v>99913389</v>
      </c>
      <c r="B3390" t="s">
        <v>32</v>
      </c>
      <c r="C3390" t="s">
        <v>79</v>
      </c>
      <c r="D3390" t="s">
        <v>80</v>
      </c>
      <c r="G3390" t="s">
        <v>35</v>
      </c>
      <c r="H3390">
        <v>1</v>
      </c>
      <c r="I3390">
        <v>28878</v>
      </c>
      <c r="J3390" s="1">
        <v>43344</v>
      </c>
      <c r="K3390" t="s">
        <v>354</v>
      </c>
      <c r="L3390" t="s">
        <v>355</v>
      </c>
      <c r="M3390" t="s">
        <v>131</v>
      </c>
      <c r="N3390">
        <v>21</v>
      </c>
      <c r="O3390" s="1">
        <v>43344</v>
      </c>
      <c r="P3390" t="s">
        <v>41</v>
      </c>
      <c r="Q3390" t="s">
        <v>75</v>
      </c>
      <c r="R3390" t="str">
        <f>"7054032"</f>
        <v>7054032</v>
      </c>
      <c r="S3390" t="s">
        <v>767</v>
      </c>
      <c r="T3390" t="s">
        <v>354</v>
      </c>
      <c r="U3390" t="s">
        <v>355</v>
      </c>
      <c r="V3390" t="s">
        <v>131</v>
      </c>
      <c r="W3390" t="s">
        <v>51</v>
      </c>
      <c r="X3390" t="s">
        <v>45</v>
      </c>
      <c r="Y3390" s="1">
        <v>23377</v>
      </c>
      <c r="Z3390">
        <v>1</v>
      </c>
      <c r="AA3390" t="s">
        <v>355</v>
      </c>
      <c r="AB3390" s="40" t="s">
        <v>1799</v>
      </c>
    </row>
    <row r="3391" spans="1:28" x14ac:dyDescent="0.25">
      <c r="A3391">
        <v>99913390</v>
      </c>
      <c r="B3391" t="s">
        <v>56</v>
      </c>
      <c r="C3391" t="s">
        <v>298</v>
      </c>
      <c r="D3391" t="s">
        <v>299</v>
      </c>
      <c r="G3391" t="s">
        <v>48</v>
      </c>
      <c r="H3391">
        <v>1</v>
      </c>
      <c r="K3391" t="s">
        <v>345</v>
      </c>
      <c r="L3391" t="s">
        <v>346</v>
      </c>
      <c r="M3391" t="s">
        <v>131</v>
      </c>
      <c r="N3391">
        <v>21</v>
      </c>
      <c r="P3391" t="s">
        <v>41</v>
      </c>
      <c r="Q3391" t="s">
        <v>42</v>
      </c>
      <c r="R3391" t="str">
        <f>"0580931"</f>
        <v>0580931</v>
      </c>
      <c r="S3391" t="s">
        <v>369</v>
      </c>
      <c r="T3391" t="s">
        <v>345</v>
      </c>
      <c r="U3391" t="s">
        <v>346</v>
      </c>
      <c r="V3391" t="s">
        <v>131</v>
      </c>
      <c r="W3391" t="s">
        <v>51</v>
      </c>
      <c r="X3391" t="s">
        <v>45</v>
      </c>
      <c r="Y3391" s="1">
        <v>23375</v>
      </c>
      <c r="Z3391">
        <v>2</v>
      </c>
      <c r="AA3391" t="s">
        <v>346</v>
      </c>
      <c r="AB3391" s="40" t="s">
        <v>1799</v>
      </c>
    </row>
    <row r="3392" spans="1:28" x14ac:dyDescent="0.25">
      <c r="A3392">
        <v>99913391</v>
      </c>
      <c r="B3392" t="s">
        <v>56</v>
      </c>
      <c r="C3392" t="s">
        <v>68</v>
      </c>
      <c r="D3392" t="s">
        <v>69</v>
      </c>
      <c r="G3392" t="s">
        <v>35</v>
      </c>
      <c r="H3392">
        <v>1</v>
      </c>
      <c r="K3392" t="s">
        <v>1546</v>
      </c>
      <c r="L3392" t="s">
        <v>1547</v>
      </c>
      <c r="M3392" t="s">
        <v>1548</v>
      </c>
      <c r="N3392">
        <v>21</v>
      </c>
      <c r="P3392" t="s">
        <v>41</v>
      </c>
      <c r="Q3392" t="s">
        <v>42</v>
      </c>
      <c r="R3392" t="str">
        <f>"1061001"</f>
        <v>1061001</v>
      </c>
      <c r="S3392" t="s">
        <v>1550</v>
      </c>
      <c r="T3392" t="s">
        <v>1546</v>
      </c>
      <c r="U3392" t="s">
        <v>1547</v>
      </c>
      <c r="V3392" t="s">
        <v>1548</v>
      </c>
      <c r="W3392" t="s">
        <v>165</v>
      </c>
      <c r="X3392" t="s">
        <v>45</v>
      </c>
      <c r="Y3392" s="1">
        <v>23351</v>
      </c>
      <c r="Z3392">
        <v>2</v>
      </c>
      <c r="AA3392" t="s">
        <v>1547</v>
      </c>
      <c r="AB3392" s="40" t="s">
        <v>1799</v>
      </c>
    </row>
    <row r="3393" spans="1:28" x14ac:dyDescent="0.25">
      <c r="A3393">
        <v>99913392</v>
      </c>
      <c r="B3393" t="s">
        <v>32</v>
      </c>
      <c r="C3393" t="s">
        <v>111</v>
      </c>
      <c r="D3393" t="s">
        <v>112</v>
      </c>
      <c r="G3393" t="s">
        <v>35</v>
      </c>
      <c r="H3393">
        <v>19</v>
      </c>
      <c r="K3393" t="s">
        <v>268</v>
      </c>
      <c r="L3393" t="s">
        <v>269</v>
      </c>
      <c r="M3393" t="s">
        <v>131</v>
      </c>
      <c r="N3393">
        <v>21</v>
      </c>
      <c r="P3393" t="s">
        <v>41</v>
      </c>
      <c r="Q3393" t="s">
        <v>75</v>
      </c>
      <c r="R3393" t="str">
        <f>"7052004"</f>
        <v>7052004</v>
      </c>
      <c r="S3393" t="s">
        <v>584</v>
      </c>
      <c r="T3393" t="s">
        <v>268</v>
      </c>
      <c r="U3393" t="s">
        <v>269</v>
      </c>
      <c r="V3393" t="s">
        <v>131</v>
      </c>
      <c r="W3393" t="s">
        <v>165</v>
      </c>
      <c r="X3393" t="s">
        <v>45</v>
      </c>
      <c r="Y3393" s="1">
        <v>23337</v>
      </c>
      <c r="Z3393">
        <v>1</v>
      </c>
      <c r="AA3393" t="s">
        <v>269</v>
      </c>
      <c r="AB3393" s="40" t="s">
        <v>1799</v>
      </c>
    </row>
    <row r="3394" spans="1:28" x14ac:dyDescent="0.25">
      <c r="A3394">
        <v>99913393</v>
      </c>
      <c r="B3394" t="s">
        <v>32</v>
      </c>
      <c r="C3394" t="s">
        <v>111</v>
      </c>
      <c r="D3394" t="s">
        <v>112</v>
      </c>
      <c r="G3394" t="s">
        <v>48</v>
      </c>
      <c r="H3394">
        <v>1</v>
      </c>
      <c r="K3394" t="s">
        <v>154</v>
      </c>
      <c r="L3394" t="s">
        <v>155</v>
      </c>
      <c r="M3394" t="s">
        <v>131</v>
      </c>
      <c r="N3394">
        <v>21</v>
      </c>
      <c r="P3394" t="s">
        <v>41</v>
      </c>
      <c r="Q3394" t="s">
        <v>75</v>
      </c>
      <c r="R3394" t="str">
        <f>"7051022"</f>
        <v>7051022</v>
      </c>
      <c r="S3394" t="s">
        <v>153</v>
      </c>
      <c r="T3394" t="s">
        <v>154</v>
      </c>
      <c r="U3394" t="s">
        <v>155</v>
      </c>
      <c r="V3394" t="s">
        <v>131</v>
      </c>
      <c r="W3394" t="s">
        <v>51</v>
      </c>
      <c r="X3394" t="s">
        <v>45</v>
      </c>
      <c r="Y3394" s="1">
        <v>23323</v>
      </c>
      <c r="Z3394">
        <v>1</v>
      </c>
      <c r="AA3394" t="s">
        <v>155</v>
      </c>
      <c r="AB3394" s="40" t="s">
        <v>1799</v>
      </c>
    </row>
    <row r="3395" spans="1:28" x14ac:dyDescent="0.25">
      <c r="A3395">
        <v>99913394</v>
      </c>
      <c r="B3395" t="s">
        <v>32</v>
      </c>
      <c r="C3395" t="s">
        <v>64</v>
      </c>
      <c r="D3395" t="s">
        <v>65</v>
      </c>
      <c r="G3395" t="s">
        <v>35</v>
      </c>
      <c r="H3395">
        <v>1</v>
      </c>
      <c r="K3395" t="s">
        <v>354</v>
      </c>
      <c r="L3395" t="s">
        <v>355</v>
      </c>
      <c r="M3395" t="s">
        <v>131</v>
      </c>
      <c r="N3395">
        <v>21</v>
      </c>
      <c r="P3395" t="s">
        <v>41</v>
      </c>
      <c r="Q3395" t="s">
        <v>75</v>
      </c>
      <c r="R3395" t="str">
        <f>"7054020"</f>
        <v>7054020</v>
      </c>
      <c r="S3395" t="s">
        <v>765</v>
      </c>
      <c r="T3395" t="s">
        <v>354</v>
      </c>
      <c r="U3395" t="s">
        <v>355</v>
      </c>
      <c r="V3395" t="s">
        <v>131</v>
      </c>
      <c r="W3395" t="s">
        <v>51</v>
      </c>
      <c r="X3395" t="s">
        <v>45</v>
      </c>
      <c r="Y3395" s="1">
        <v>23305</v>
      </c>
      <c r="Z3395">
        <v>1</v>
      </c>
      <c r="AA3395" t="s">
        <v>355</v>
      </c>
      <c r="AB3395" s="40" t="s">
        <v>1799</v>
      </c>
    </row>
    <row r="3396" spans="1:28" x14ac:dyDescent="0.25">
      <c r="A3396">
        <v>99913395</v>
      </c>
      <c r="B3396" t="s">
        <v>32</v>
      </c>
      <c r="C3396" t="s">
        <v>111</v>
      </c>
      <c r="D3396" t="s">
        <v>112</v>
      </c>
      <c r="G3396" t="s">
        <v>35</v>
      </c>
      <c r="H3396">
        <v>1</v>
      </c>
      <c r="K3396" t="s">
        <v>268</v>
      </c>
      <c r="L3396" t="s">
        <v>269</v>
      </c>
      <c r="M3396" t="s">
        <v>131</v>
      </c>
      <c r="N3396">
        <v>21</v>
      </c>
      <c r="P3396" t="s">
        <v>41</v>
      </c>
      <c r="Q3396" t="s">
        <v>75</v>
      </c>
      <c r="R3396" t="str">
        <f>"7052004"</f>
        <v>7052004</v>
      </c>
      <c r="S3396" t="s">
        <v>584</v>
      </c>
      <c r="T3396" t="s">
        <v>268</v>
      </c>
      <c r="U3396" t="s">
        <v>269</v>
      </c>
      <c r="V3396" t="s">
        <v>131</v>
      </c>
      <c r="W3396" t="s">
        <v>165</v>
      </c>
      <c r="X3396" t="s">
        <v>45</v>
      </c>
      <c r="Y3396" s="1">
        <v>23289</v>
      </c>
      <c r="Z3396">
        <v>1</v>
      </c>
      <c r="AA3396" t="s">
        <v>269</v>
      </c>
      <c r="AB3396" s="40" t="s">
        <v>1799</v>
      </c>
    </row>
    <row r="3397" spans="1:28" x14ac:dyDescent="0.25">
      <c r="A3397">
        <v>99913396</v>
      </c>
      <c r="B3397" t="s">
        <v>56</v>
      </c>
      <c r="C3397" t="s">
        <v>33</v>
      </c>
      <c r="D3397" t="s">
        <v>34</v>
      </c>
      <c r="G3397" t="s">
        <v>48</v>
      </c>
      <c r="H3397">
        <v>1</v>
      </c>
      <c r="K3397" t="s">
        <v>223</v>
      </c>
      <c r="L3397" t="s">
        <v>224</v>
      </c>
      <c r="M3397" t="s">
        <v>131</v>
      </c>
      <c r="N3397">
        <v>21</v>
      </c>
      <c r="P3397" t="s">
        <v>41</v>
      </c>
      <c r="Q3397" t="s">
        <v>42</v>
      </c>
      <c r="R3397" t="str">
        <f>"0580315"</f>
        <v>0580315</v>
      </c>
      <c r="S3397" t="s">
        <v>246</v>
      </c>
      <c r="T3397" t="s">
        <v>223</v>
      </c>
      <c r="U3397" t="s">
        <v>224</v>
      </c>
      <c r="V3397" t="s">
        <v>131</v>
      </c>
      <c r="W3397" t="s">
        <v>51</v>
      </c>
      <c r="X3397" t="s">
        <v>45</v>
      </c>
      <c r="Y3397" s="1">
        <v>23280</v>
      </c>
      <c r="Z3397">
        <v>2</v>
      </c>
      <c r="AA3397" t="s">
        <v>224</v>
      </c>
      <c r="AB3397" s="40" t="s">
        <v>1799</v>
      </c>
    </row>
    <row r="3398" spans="1:28" x14ac:dyDescent="0.25">
      <c r="A3398">
        <v>99913397</v>
      </c>
      <c r="B3398" t="s">
        <v>32</v>
      </c>
      <c r="C3398" t="s">
        <v>111</v>
      </c>
      <c r="D3398" t="s">
        <v>112</v>
      </c>
      <c r="G3398" t="s">
        <v>35</v>
      </c>
      <c r="H3398">
        <v>1</v>
      </c>
      <c r="K3398" t="s">
        <v>963</v>
      </c>
      <c r="L3398" t="s">
        <v>964</v>
      </c>
      <c r="M3398" t="s">
        <v>938</v>
      </c>
      <c r="N3398">
        <v>21</v>
      </c>
      <c r="P3398" t="s">
        <v>41</v>
      </c>
      <c r="Q3398" t="s">
        <v>75</v>
      </c>
      <c r="R3398" t="str">
        <f>"7061000"</f>
        <v>7061000</v>
      </c>
      <c r="S3398" t="s">
        <v>962</v>
      </c>
      <c r="T3398" t="s">
        <v>963</v>
      </c>
      <c r="U3398" t="s">
        <v>964</v>
      </c>
      <c r="V3398" t="s">
        <v>938</v>
      </c>
      <c r="W3398" t="s">
        <v>165</v>
      </c>
      <c r="X3398" t="s">
        <v>45</v>
      </c>
      <c r="Y3398" s="1">
        <v>23277</v>
      </c>
      <c r="Z3398">
        <v>1</v>
      </c>
      <c r="AA3398" t="s">
        <v>964</v>
      </c>
      <c r="AB3398" s="40" t="s">
        <v>1799</v>
      </c>
    </row>
    <row r="3399" spans="1:28" x14ac:dyDescent="0.25">
      <c r="A3399">
        <v>99913398</v>
      </c>
      <c r="B3399" t="s">
        <v>56</v>
      </c>
      <c r="C3399" t="s">
        <v>64</v>
      </c>
      <c r="D3399" t="s">
        <v>65</v>
      </c>
      <c r="G3399" t="s">
        <v>48</v>
      </c>
      <c r="H3399">
        <v>12</v>
      </c>
      <c r="K3399" t="s">
        <v>345</v>
      </c>
      <c r="L3399" t="s">
        <v>346</v>
      </c>
      <c r="M3399" t="s">
        <v>131</v>
      </c>
      <c r="N3399">
        <v>21</v>
      </c>
      <c r="P3399" t="s">
        <v>41</v>
      </c>
      <c r="Q3399" t="s">
        <v>75</v>
      </c>
      <c r="R3399" t="str">
        <f>"7054002"</f>
        <v>7054002</v>
      </c>
      <c r="S3399" t="s">
        <v>376</v>
      </c>
      <c r="T3399" t="s">
        <v>354</v>
      </c>
      <c r="U3399" t="s">
        <v>355</v>
      </c>
      <c r="V3399" t="s">
        <v>131</v>
      </c>
      <c r="W3399" t="s">
        <v>51</v>
      </c>
      <c r="X3399" t="s">
        <v>45</v>
      </c>
      <c r="Y3399" s="1">
        <v>23257</v>
      </c>
      <c r="Z3399">
        <v>2</v>
      </c>
      <c r="AA3399" t="s">
        <v>346</v>
      </c>
      <c r="AB3399" s="40" t="s">
        <v>1799</v>
      </c>
    </row>
    <row r="3400" spans="1:28" x14ac:dyDescent="0.25">
      <c r="A3400">
        <v>99913399</v>
      </c>
      <c r="B3400" t="s">
        <v>32</v>
      </c>
      <c r="C3400" t="s">
        <v>111</v>
      </c>
      <c r="D3400" t="s">
        <v>112</v>
      </c>
      <c r="G3400" t="s">
        <v>35</v>
      </c>
      <c r="H3400">
        <v>17</v>
      </c>
      <c r="K3400" t="s">
        <v>268</v>
      </c>
      <c r="L3400" t="s">
        <v>269</v>
      </c>
      <c r="M3400" t="s">
        <v>131</v>
      </c>
      <c r="N3400">
        <v>21</v>
      </c>
      <c r="P3400" t="s">
        <v>41</v>
      </c>
      <c r="Q3400" t="s">
        <v>75</v>
      </c>
      <c r="R3400" t="str">
        <f>"7052004"</f>
        <v>7052004</v>
      </c>
      <c r="S3400" t="s">
        <v>584</v>
      </c>
      <c r="T3400" t="s">
        <v>268</v>
      </c>
      <c r="U3400" t="s">
        <v>269</v>
      </c>
      <c r="V3400" t="s">
        <v>131</v>
      </c>
      <c r="W3400" t="s">
        <v>165</v>
      </c>
      <c r="X3400" t="s">
        <v>45</v>
      </c>
      <c r="Y3400" s="1">
        <v>23232</v>
      </c>
      <c r="Z3400">
        <v>1</v>
      </c>
      <c r="AA3400" t="s">
        <v>269</v>
      </c>
      <c r="AB3400" s="40" t="s">
        <v>1799</v>
      </c>
    </row>
    <row r="3401" spans="1:28" x14ac:dyDescent="0.25">
      <c r="A3401">
        <v>99913400</v>
      </c>
      <c r="B3401" t="s">
        <v>32</v>
      </c>
      <c r="C3401" t="s">
        <v>64</v>
      </c>
      <c r="D3401" t="s">
        <v>65</v>
      </c>
      <c r="G3401" t="s">
        <v>35</v>
      </c>
      <c r="H3401">
        <v>1</v>
      </c>
      <c r="K3401" t="s">
        <v>268</v>
      </c>
      <c r="L3401" t="s">
        <v>269</v>
      </c>
      <c r="M3401" t="s">
        <v>131</v>
      </c>
      <c r="N3401">
        <v>21</v>
      </c>
      <c r="P3401" t="s">
        <v>41</v>
      </c>
      <c r="Q3401" t="s">
        <v>75</v>
      </c>
      <c r="R3401" t="str">
        <f>"7052008"</f>
        <v>7052008</v>
      </c>
      <c r="S3401" t="s">
        <v>274</v>
      </c>
      <c r="T3401" t="s">
        <v>268</v>
      </c>
      <c r="U3401" t="s">
        <v>269</v>
      </c>
      <c r="V3401" t="s">
        <v>131</v>
      </c>
      <c r="W3401" t="s">
        <v>51</v>
      </c>
      <c r="X3401" t="s">
        <v>45</v>
      </c>
      <c r="Y3401" s="1">
        <v>23186</v>
      </c>
      <c r="Z3401">
        <v>1</v>
      </c>
      <c r="AA3401" t="s">
        <v>269</v>
      </c>
      <c r="AB3401" s="40" t="s">
        <v>1799</v>
      </c>
    </row>
    <row r="3402" spans="1:28" x14ac:dyDescent="0.25">
      <c r="A3402">
        <v>99913401</v>
      </c>
      <c r="B3402" t="s">
        <v>32</v>
      </c>
      <c r="C3402" t="s">
        <v>46</v>
      </c>
      <c r="D3402" t="s">
        <v>47</v>
      </c>
      <c r="G3402" t="s">
        <v>48</v>
      </c>
      <c r="H3402">
        <v>1</v>
      </c>
      <c r="K3402" t="s">
        <v>157</v>
      </c>
      <c r="L3402" t="s">
        <v>158</v>
      </c>
      <c r="M3402" t="s">
        <v>131</v>
      </c>
      <c r="N3402">
        <v>21</v>
      </c>
      <c r="P3402" t="s">
        <v>41</v>
      </c>
      <c r="Q3402" t="s">
        <v>42</v>
      </c>
      <c r="R3402" t="str">
        <f>"0580290"</f>
        <v>0580290</v>
      </c>
      <c r="S3402" t="s">
        <v>171</v>
      </c>
      <c r="T3402" t="s">
        <v>157</v>
      </c>
      <c r="U3402" t="s">
        <v>158</v>
      </c>
      <c r="V3402" t="s">
        <v>131</v>
      </c>
      <c r="W3402" t="s">
        <v>51</v>
      </c>
      <c r="X3402" t="s">
        <v>45</v>
      </c>
      <c r="Y3402" s="1">
        <v>23136</v>
      </c>
      <c r="Z3402">
        <v>2</v>
      </c>
      <c r="AA3402" t="s">
        <v>158</v>
      </c>
      <c r="AB3402" s="40" t="s">
        <v>1799</v>
      </c>
    </row>
    <row r="3403" spans="1:28" x14ac:dyDescent="0.25">
      <c r="A3403">
        <v>99913402</v>
      </c>
      <c r="B3403" t="s">
        <v>32</v>
      </c>
      <c r="C3403" t="s">
        <v>139</v>
      </c>
      <c r="D3403" t="s">
        <v>140</v>
      </c>
      <c r="G3403" t="s">
        <v>35</v>
      </c>
      <c r="H3403">
        <v>1</v>
      </c>
      <c r="I3403">
        <v>0</v>
      </c>
      <c r="J3403" s="1">
        <v>43344</v>
      </c>
      <c r="K3403" t="s">
        <v>223</v>
      </c>
      <c r="L3403" t="s">
        <v>224</v>
      </c>
      <c r="M3403" t="s">
        <v>131</v>
      </c>
      <c r="N3403">
        <v>21</v>
      </c>
      <c r="O3403" s="1">
        <v>43344</v>
      </c>
      <c r="P3403" t="s">
        <v>41</v>
      </c>
      <c r="Q3403" t="s">
        <v>49</v>
      </c>
      <c r="R3403" t="str">
        <f>"0581202"</f>
        <v>0581202</v>
      </c>
      <c r="S3403" t="s">
        <v>248</v>
      </c>
      <c r="T3403" t="s">
        <v>223</v>
      </c>
      <c r="U3403" t="s">
        <v>224</v>
      </c>
      <c r="V3403" t="s">
        <v>131</v>
      </c>
      <c r="W3403" t="s">
        <v>44</v>
      </c>
      <c r="X3403" t="s">
        <v>45</v>
      </c>
      <c r="Y3403" s="1">
        <v>23103</v>
      </c>
      <c r="Z3403">
        <v>2</v>
      </c>
      <c r="AA3403" t="s">
        <v>224</v>
      </c>
      <c r="AB3403" s="40" t="s">
        <v>1799</v>
      </c>
    </row>
    <row r="3404" spans="1:28" x14ac:dyDescent="0.25">
      <c r="A3404">
        <v>99913403</v>
      </c>
      <c r="B3404" t="s">
        <v>32</v>
      </c>
      <c r="C3404" t="s">
        <v>64</v>
      </c>
      <c r="D3404" t="s">
        <v>65</v>
      </c>
      <c r="G3404" t="s">
        <v>48</v>
      </c>
      <c r="H3404">
        <v>1</v>
      </c>
      <c r="K3404" t="s">
        <v>1268</v>
      </c>
      <c r="L3404" t="s">
        <v>1269</v>
      </c>
      <c r="M3404" t="s">
        <v>1270</v>
      </c>
      <c r="N3404">
        <v>21</v>
      </c>
      <c r="P3404" t="s">
        <v>41</v>
      </c>
      <c r="Q3404" t="s">
        <v>49</v>
      </c>
      <c r="R3404" t="str">
        <f>"1981912"</f>
        <v>1981912</v>
      </c>
      <c r="S3404" t="s">
        <v>1279</v>
      </c>
      <c r="T3404" t="s">
        <v>1268</v>
      </c>
      <c r="U3404" t="s">
        <v>1269</v>
      </c>
      <c r="V3404" t="s">
        <v>1270</v>
      </c>
      <c r="W3404" t="s">
        <v>51</v>
      </c>
      <c r="X3404" t="s">
        <v>45</v>
      </c>
      <c r="Y3404" s="1">
        <v>23083</v>
      </c>
      <c r="Z3404">
        <v>2</v>
      </c>
      <c r="AA3404" t="s">
        <v>1269</v>
      </c>
      <c r="AB3404" s="40" t="s">
        <v>1799</v>
      </c>
    </row>
    <row r="3405" spans="1:28" x14ac:dyDescent="0.25">
      <c r="A3405">
        <v>99913404</v>
      </c>
      <c r="B3405" t="s">
        <v>32</v>
      </c>
      <c r="C3405" t="s">
        <v>139</v>
      </c>
      <c r="D3405" t="s">
        <v>140</v>
      </c>
      <c r="G3405" t="s">
        <v>35</v>
      </c>
      <c r="H3405">
        <v>14</v>
      </c>
      <c r="K3405" t="s">
        <v>268</v>
      </c>
      <c r="L3405" t="s">
        <v>269</v>
      </c>
      <c r="M3405" t="s">
        <v>131</v>
      </c>
      <c r="N3405">
        <v>21</v>
      </c>
      <c r="P3405" t="s">
        <v>41</v>
      </c>
      <c r="Q3405" t="s">
        <v>75</v>
      </c>
      <c r="R3405" t="str">
        <f>"7052004"</f>
        <v>7052004</v>
      </c>
      <c r="S3405" t="s">
        <v>584</v>
      </c>
      <c r="T3405" t="s">
        <v>268</v>
      </c>
      <c r="U3405" t="s">
        <v>269</v>
      </c>
      <c r="V3405" t="s">
        <v>131</v>
      </c>
      <c r="W3405" t="s">
        <v>51</v>
      </c>
      <c r="X3405" t="s">
        <v>45</v>
      </c>
      <c r="Y3405" s="1">
        <v>23075</v>
      </c>
      <c r="Z3405">
        <v>1</v>
      </c>
      <c r="AA3405" t="s">
        <v>269</v>
      </c>
      <c r="AB3405" s="40" t="s">
        <v>1799</v>
      </c>
    </row>
    <row r="3406" spans="1:28" x14ac:dyDescent="0.25">
      <c r="A3406">
        <v>99913405</v>
      </c>
      <c r="B3406" t="s">
        <v>32</v>
      </c>
      <c r="C3406" t="s">
        <v>64</v>
      </c>
      <c r="D3406" t="s">
        <v>65</v>
      </c>
      <c r="G3406" t="s">
        <v>48</v>
      </c>
      <c r="H3406">
        <v>1</v>
      </c>
      <c r="K3406" t="s">
        <v>431</v>
      </c>
      <c r="L3406" t="s">
        <v>196</v>
      </c>
      <c r="M3406" t="s">
        <v>131</v>
      </c>
      <c r="N3406">
        <v>21</v>
      </c>
      <c r="P3406" t="s">
        <v>41</v>
      </c>
      <c r="Q3406" t="s">
        <v>75</v>
      </c>
      <c r="R3406" t="str">
        <f>"7521012"</f>
        <v>7521012</v>
      </c>
      <c r="S3406" t="s">
        <v>432</v>
      </c>
      <c r="T3406" t="s">
        <v>431</v>
      </c>
      <c r="U3406" t="s">
        <v>196</v>
      </c>
      <c r="V3406" t="s">
        <v>131</v>
      </c>
      <c r="W3406" t="s">
        <v>51</v>
      </c>
      <c r="X3406" t="s">
        <v>45</v>
      </c>
      <c r="Y3406" s="1">
        <v>23054</v>
      </c>
      <c r="Z3406">
        <v>1</v>
      </c>
      <c r="AA3406" t="s">
        <v>196</v>
      </c>
      <c r="AB3406" s="40" t="s">
        <v>1799</v>
      </c>
    </row>
    <row r="3407" spans="1:28" x14ac:dyDescent="0.25">
      <c r="A3407">
        <v>99913406</v>
      </c>
      <c r="B3407" t="s">
        <v>32</v>
      </c>
      <c r="C3407" t="s">
        <v>111</v>
      </c>
      <c r="D3407" t="s">
        <v>112</v>
      </c>
      <c r="G3407" t="s">
        <v>48</v>
      </c>
      <c r="H3407">
        <v>1</v>
      </c>
      <c r="K3407" t="s">
        <v>268</v>
      </c>
      <c r="L3407" t="s">
        <v>269</v>
      </c>
      <c r="M3407" t="s">
        <v>131</v>
      </c>
      <c r="N3407">
        <v>21</v>
      </c>
      <c r="P3407" t="s">
        <v>41</v>
      </c>
      <c r="Q3407" t="s">
        <v>75</v>
      </c>
      <c r="R3407" t="str">
        <f>"7052008"</f>
        <v>7052008</v>
      </c>
      <c r="S3407" t="s">
        <v>274</v>
      </c>
      <c r="T3407" t="s">
        <v>268</v>
      </c>
      <c r="U3407" t="s">
        <v>269</v>
      </c>
      <c r="V3407" t="s">
        <v>131</v>
      </c>
      <c r="W3407" t="s">
        <v>51</v>
      </c>
      <c r="X3407" t="s">
        <v>45</v>
      </c>
      <c r="Y3407" s="1">
        <v>23053</v>
      </c>
      <c r="Z3407">
        <v>1</v>
      </c>
      <c r="AA3407" t="s">
        <v>269</v>
      </c>
      <c r="AB3407" s="40" t="s">
        <v>1799</v>
      </c>
    </row>
    <row r="3408" spans="1:28" x14ac:dyDescent="0.25">
      <c r="A3408">
        <v>99913407</v>
      </c>
      <c r="B3408" t="s">
        <v>56</v>
      </c>
      <c r="C3408" t="s">
        <v>111</v>
      </c>
      <c r="D3408" t="s">
        <v>112</v>
      </c>
      <c r="G3408" t="s">
        <v>35</v>
      </c>
      <c r="H3408">
        <v>1</v>
      </c>
      <c r="K3408" t="s">
        <v>354</v>
      </c>
      <c r="L3408" t="s">
        <v>355</v>
      </c>
      <c r="M3408" t="s">
        <v>131</v>
      </c>
      <c r="N3408">
        <v>21</v>
      </c>
      <c r="P3408" t="s">
        <v>41</v>
      </c>
      <c r="Q3408" t="s">
        <v>75</v>
      </c>
      <c r="R3408" t="str">
        <f>"7054020"</f>
        <v>7054020</v>
      </c>
      <c r="S3408" t="s">
        <v>765</v>
      </c>
      <c r="T3408" t="s">
        <v>354</v>
      </c>
      <c r="U3408" t="s">
        <v>355</v>
      </c>
      <c r="V3408" t="s">
        <v>131</v>
      </c>
      <c r="W3408" t="s">
        <v>51</v>
      </c>
      <c r="X3408" t="s">
        <v>45</v>
      </c>
      <c r="Y3408" s="1">
        <v>23048</v>
      </c>
      <c r="Z3408">
        <v>1</v>
      </c>
      <c r="AA3408" t="s">
        <v>355</v>
      </c>
      <c r="AB3408" s="40" t="s">
        <v>1799</v>
      </c>
    </row>
    <row r="3409" spans="1:28" x14ac:dyDescent="0.25">
      <c r="A3409">
        <v>99913408</v>
      </c>
      <c r="B3409" t="s">
        <v>32</v>
      </c>
      <c r="C3409" t="s">
        <v>79</v>
      </c>
      <c r="D3409" t="s">
        <v>80</v>
      </c>
      <c r="G3409" t="s">
        <v>35</v>
      </c>
      <c r="H3409">
        <v>16</v>
      </c>
      <c r="K3409" t="s">
        <v>268</v>
      </c>
      <c r="L3409" t="s">
        <v>269</v>
      </c>
      <c r="M3409" t="s">
        <v>131</v>
      </c>
      <c r="N3409">
        <v>21</v>
      </c>
      <c r="P3409" t="s">
        <v>41</v>
      </c>
      <c r="Q3409" t="s">
        <v>75</v>
      </c>
      <c r="R3409" t="str">
        <f>"7052004"</f>
        <v>7052004</v>
      </c>
      <c r="S3409" t="s">
        <v>584</v>
      </c>
      <c r="T3409" t="s">
        <v>268</v>
      </c>
      <c r="U3409" t="s">
        <v>269</v>
      </c>
      <c r="V3409" t="s">
        <v>131</v>
      </c>
      <c r="W3409" t="s">
        <v>165</v>
      </c>
      <c r="X3409" t="s">
        <v>45</v>
      </c>
      <c r="Y3409" s="1">
        <v>23042</v>
      </c>
      <c r="Z3409">
        <v>1</v>
      </c>
      <c r="AA3409" t="s">
        <v>269</v>
      </c>
      <c r="AB3409" s="40" t="s">
        <v>1799</v>
      </c>
    </row>
    <row r="3410" spans="1:28" x14ac:dyDescent="0.25">
      <c r="A3410">
        <v>99913409</v>
      </c>
      <c r="B3410" t="s">
        <v>56</v>
      </c>
      <c r="C3410" t="s">
        <v>111</v>
      </c>
      <c r="D3410" t="s">
        <v>112</v>
      </c>
      <c r="G3410" t="s">
        <v>48</v>
      </c>
      <c r="H3410">
        <v>14</v>
      </c>
      <c r="I3410" t="s">
        <v>498</v>
      </c>
      <c r="J3410" s="1">
        <v>38231</v>
      </c>
      <c r="K3410" t="s">
        <v>431</v>
      </c>
      <c r="L3410" t="s">
        <v>196</v>
      </c>
      <c r="M3410" t="s">
        <v>131</v>
      </c>
      <c r="N3410">
        <v>21</v>
      </c>
      <c r="O3410" s="1">
        <v>38231</v>
      </c>
      <c r="P3410" t="s">
        <v>41</v>
      </c>
      <c r="Q3410" t="s">
        <v>75</v>
      </c>
      <c r="R3410" t="str">
        <f>"7521012"</f>
        <v>7521012</v>
      </c>
      <c r="S3410" t="s">
        <v>432</v>
      </c>
      <c r="T3410" t="s">
        <v>431</v>
      </c>
      <c r="U3410" t="s">
        <v>196</v>
      </c>
      <c r="V3410" t="s">
        <v>131</v>
      </c>
      <c r="W3410" t="s">
        <v>165</v>
      </c>
      <c r="X3410" t="s">
        <v>45</v>
      </c>
      <c r="Y3410" s="1">
        <v>23041</v>
      </c>
      <c r="Z3410">
        <v>1</v>
      </c>
      <c r="AA3410" t="s">
        <v>196</v>
      </c>
      <c r="AB3410" s="40" t="s">
        <v>1799</v>
      </c>
    </row>
    <row r="3411" spans="1:28" x14ac:dyDescent="0.25">
      <c r="A3411">
        <v>99913410</v>
      </c>
      <c r="B3411" t="s">
        <v>32</v>
      </c>
      <c r="C3411" t="s">
        <v>111</v>
      </c>
      <c r="D3411" t="s">
        <v>112</v>
      </c>
      <c r="G3411" t="s">
        <v>35</v>
      </c>
      <c r="H3411">
        <v>1</v>
      </c>
      <c r="K3411" t="s">
        <v>877</v>
      </c>
      <c r="L3411" t="s">
        <v>878</v>
      </c>
      <c r="M3411" t="s">
        <v>131</v>
      </c>
      <c r="N3411">
        <v>21</v>
      </c>
      <c r="P3411" t="s">
        <v>41</v>
      </c>
      <c r="Q3411" t="s">
        <v>75</v>
      </c>
      <c r="R3411" t="str">
        <f>"7700025"</f>
        <v>7700025</v>
      </c>
      <c r="S3411" t="s">
        <v>880</v>
      </c>
      <c r="T3411" t="s">
        <v>877</v>
      </c>
      <c r="U3411" t="s">
        <v>878</v>
      </c>
      <c r="V3411" t="s">
        <v>131</v>
      </c>
      <c r="W3411" t="s">
        <v>51</v>
      </c>
      <c r="X3411" t="s">
        <v>45</v>
      </c>
      <c r="Y3411" s="1">
        <v>23038</v>
      </c>
      <c r="Z3411">
        <v>1</v>
      </c>
      <c r="AA3411" t="s">
        <v>878</v>
      </c>
      <c r="AB3411" s="40" t="s">
        <v>1799</v>
      </c>
    </row>
    <row r="3412" spans="1:28" x14ac:dyDescent="0.25">
      <c r="A3412">
        <v>99913411</v>
      </c>
      <c r="B3412" t="s">
        <v>32</v>
      </c>
      <c r="C3412" t="s">
        <v>68</v>
      </c>
      <c r="D3412" t="s">
        <v>69</v>
      </c>
      <c r="G3412" t="s">
        <v>48</v>
      </c>
      <c r="H3412">
        <v>1</v>
      </c>
      <c r="K3412" t="s">
        <v>345</v>
      </c>
      <c r="L3412" t="s">
        <v>346</v>
      </c>
      <c r="M3412" t="s">
        <v>131</v>
      </c>
      <c r="N3412">
        <v>21</v>
      </c>
      <c r="P3412" t="s">
        <v>41</v>
      </c>
      <c r="Q3412" t="s">
        <v>49</v>
      </c>
      <c r="R3412" t="str">
        <f>"0561021"</f>
        <v>0561021</v>
      </c>
      <c r="S3412" t="s">
        <v>352</v>
      </c>
      <c r="T3412" t="s">
        <v>345</v>
      </c>
      <c r="U3412" t="s">
        <v>346</v>
      </c>
      <c r="V3412" t="s">
        <v>131</v>
      </c>
      <c r="W3412" t="s">
        <v>51</v>
      </c>
      <c r="X3412" t="s">
        <v>45</v>
      </c>
      <c r="Y3412" s="1">
        <v>23012</v>
      </c>
      <c r="Z3412">
        <v>2</v>
      </c>
      <c r="AA3412" t="s">
        <v>346</v>
      </c>
      <c r="AB3412" s="40" t="s">
        <v>1799</v>
      </c>
    </row>
    <row r="3413" spans="1:28" x14ac:dyDescent="0.25">
      <c r="A3413">
        <v>99913412</v>
      </c>
      <c r="B3413" t="s">
        <v>56</v>
      </c>
      <c r="C3413" t="s">
        <v>111</v>
      </c>
      <c r="D3413" t="s">
        <v>112</v>
      </c>
      <c r="G3413" t="s">
        <v>48</v>
      </c>
      <c r="H3413">
        <v>6</v>
      </c>
      <c r="I3413" t="s">
        <v>490</v>
      </c>
      <c r="J3413" s="1">
        <v>35309</v>
      </c>
      <c r="K3413" t="s">
        <v>431</v>
      </c>
      <c r="L3413" t="s">
        <v>196</v>
      </c>
      <c r="M3413" t="s">
        <v>131</v>
      </c>
      <c r="N3413">
        <v>21</v>
      </c>
      <c r="O3413" s="1">
        <v>35309</v>
      </c>
      <c r="P3413" t="s">
        <v>41</v>
      </c>
      <c r="Q3413" t="s">
        <v>75</v>
      </c>
      <c r="R3413" t="str">
        <f>"7521012"</f>
        <v>7521012</v>
      </c>
      <c r="S3413" t="s">
        <v>432</v>
      </c>
      <c r="T3413" t="s">
        <v>431</v>
      </c>
      <c r="U3413" t="s">
        <v>196</v>
      </c>
      <c r="V3413" t="s">
        <v>131</v>
      </c>
      <c r="W3413" t="s">
        <v>165</v>
      </c>
      <c r="X3413" t="s">
        <v>45</v>
      </c>
      <c r="Y3413" s="1">
        <v>22984</v>
      </c>
      <c r="Z3413">
        <v>1</v>
      </c>
      <c r="AA3413" t="s">
        <v>196</v>
      </c>
      <c r="AB3413" s="40" t="s">
        <v>1799</v>
      </c>
    </row>
    <row r="3414" spans="1:28" x14ac:dyDescent="0.25">
      <c r="A3414">
        <v>99913413</v>
      </c>
      <c r="B3414" t="s">
        <v>32</v>
      </c>
      <c r="C3414" t="s">
        <v>111</v>
      </c>
      <c r="D3414" t="s">
        <v>112</v>
      </c>
      <c r="G3414" t="s">
        <v>35</v>
      </c>
      <c r="H3414">
        <v>1</v>
      </c>
      <c r="K3414" t="s">
        <v>154</v>
      </c>
      <c r="L3414" t="s">
        <v>155</v>
      </c>
      <c r="M3414" t="s">
        <v>131</v>
      </c>
      <c r="N3414">
        <v>21</v>
      </c>
      <c r="P3414" t="s">
        <v>41</v>
      </c>
      <c r="Q3414" t="s">
        <v>75</v>
      </c>
      <c r="R3414" t="str">
        <f>"7051014"</f>
        <v>7051014</v>
      </c>
      <c r="S3414" t="s">
        <v>398</v>
      </c>
      <c r="T3414" t="s">
        <v>154</v>
      </c>
      <c r="U3414" t="s">
        <v>155</v>
      </c>
      <c r="V3414" t="s">
        <v>131</v>
      </c>
      <c r="W3414" t="s">
        <v>165</v>
      </c>
      <c r="X3414" t="s">
        <v>45</v>
      </c>
      <c r="Y3414" s="1">
        <v>22923</v>
      </c>
      <c r="Z3414">
        <v>1</v>
      </c>
      <c r="AA3414" t="s">
        <v>155</v>
      </c>
      <c r="AB3414" s="40" t="s">
        <v>1799</v>
      </c>
    </row>
    <row r="3415" spans="1:28" x14ac:dyDescent="0.25">
      <c r="A3415">
        <v>99913414</v>
      </c>
      <c r="B3415" t="s">
        <v>32</v>
      </c>
      <c r="C3415" t="s">
        <v>111</v>
      </c>
      <c r="D3415" t="s">
        <v>112</v>
      </c>
      <c r="G3415" t="s">
        <v>35</v>
      </c>
      <c r="H3415">
        <v>17</v>
      </c>
      <c r="K3415" t="s">
        <v>268</v>
      </c>
      <c r="L3415" t="s">
        <v>269</v>
      </c>
      <c r="M3415" t="s">
        <v>131</v>
      </c>
      <c r="N3415">
        <v>21</v>
      </c>
      <c r="P3415" t="s">
        <v>41</v>
      </c>
      <c r="Q3415" t="s">
        <v>75</v>
      </c>
      <c r="R3415" t="str">
        <f>"7052002"</f>
        <v>7052002</v>
      </c>
      <c r="S3415" t="s">
        <v>590</v>
      </c>
      <c r="T3415" t="s">
        <v>268</v>
      </c>
      <c r="U3415" t="s">
        <v>269</v>
      </c>
      <c r="V3415" t="s">
        <v>131</v>
      </c>
      <c r="W3415" t="s">
        <v>165</v>
      </c>
      <c r="X3415" t="s">
        <v>45</v>
      </c>
      <c r="Y3415" s="1">
        <v>22913</v>
      </c>
      <c r="Z3415">
        <v>1</v>
      </c>
      <c r="AA3415" t="s">
        <v>269</v>
      </c>
      <c r="AB3415" s="40" t="s">
        <v>1799</v>
      </c>
    </row>
    <row r="3416" spans="1:28" x14ac:dyDescent="0.25">
      <c r="A3416">
        <v>99913415</v>
      </c>
      <c r="B3416" t="s">
        <v>56</v>
      </c>
      <c r="C3416" t="s">
        <v>111</v>
      </c>
      <c r="D3416" t="s">
        <v>112</v>
      </c>
      <c r="G3416" t="s">
        <v>48</v>
      </c>
      <c r="H3416">
        <v>1</v>
      </c>
      <c r="K3416" t="s">
        <v>354</v>
      </c>
      <c r="L3416" t="s">
        <v>355</v>
      </c>
      <c r="M3416" t="s">
        <v>131</v>
      </c>
      <c r="N3416">
        <v>21</v>
      </c>
      <c r="P3416" t="s">
        <v>41</v>
      </c>
      <c r="Q3416" t="s">
        <v>75</v>
      </c>
      <c r="R3416" t="str">
        <f>"7054022"</f>
        <v>7054022</v>
      </c>
      <c r="S3416" t="s">
        <v>770</v>
      </c>
      <c r="T3416" t="s">
        <v>354</v>
      </c>
      <c r="U3416" t="s">
        <v>355</v>
      </c>
      <c r="V3416" t="s">
        <v>131</v>
      </c>
      <c r="W3416" t="s">
        <v>51</v>
      </c>
      <c r="X3416" t="s">
        <v>45</v>
      </c>
      <c r="Y3416" s="1">
        <v>22870</v>
      </c>
      <c r="Z3416">
        <v>1</v>
      </c>
      <c r="AA3416" t="s">
        <v>355</v>
      </c>
      <c r="AB3416" s="40" t="s">
        <v>1799</v>
      </c>
    </row>
    <row r="3417" spans="1:28" x14ac:dyDescent="0.25">
      <c r="A3417">
        <v>99913416</v>
      </c>
      <c r="B3417" t="s">
        <v>32</v>
      </c>
      <c r="C3417" t="s">
        <v>111</v>
      </c>
      <c r="D3417" t="s">
        <v>112</v>
      </c>
      <c r="G3417" t="s">
        <v>48</v>
      </c>
      <c r="H3417">
        <v>1</v>
      </c>
      <c r="K3417" t="s">
        <v>268</v>
      </c>
      <c r="L3417" t="s">
        <v>269</v>
      </c>
      <c r="M3417" t="s">
        <v>131</v>
      </c>
      <c r="N3417">
        <v>21</v>
      </c>
      <c r="P3417" t="s">
        <v>41</v>
      </c>
      <c r="Q3417" t="s">
        <v>75</v>
      </c>
      <c r="R3417" t="str">
        <f>"7052040"</f>
        <v>7052040</v>
      </c>
      <c r="S3417" t="s">
        <v>591</v>
      </c>
      <c r="T3417" t="s">
        <v>268</v>
      </c>
      <c r="U3417" t="s">
        <v>269</v>
      </c>
      <c r="V3417" t="s">
        <v>131</v>
      </c>
      <c r="W3417" t="s">
        <v>51</v>
      </c>
      <c r="X3417" t="s">
        <v>45</v>
      </c>
      <c r="Y3417" s="1">
        <v>22862</v>
      </c>
      <c r="Z3417">
        <v>1</v>
      </c>
      <c r="AA3417" t="s">
        <v>269</v>
      </c>
      <c r="AB3417" s="40" t="s">
        <v>1799</v>
      </c>
    </row>
    <row r="3418" spans="1:28" x14ac:dyDescent="0.25">
      <c r="A3418">
        <v>99913417</v>
      </c>
      <c r="B3418" t="s">
        <v>56</v>
      </c>
      <c r="C3418" t="s">
        <v>111</v>
      </c>
      <c r="D3418" t="s">
        <v>112</v>
      </c>
      <c r="G3418" t="s">
        <v>35</v>
      </c>
      <c r="H3418">
        <v>1</v>
      </c>
      <c r="K3418" t="s">
        <v>154</v>
      </c>
      <c r="L3418" t="s">
        <v>155</v>
      </c>
      <c r="M3418" t="s">
        <v>131</v>
      </c>
      <c r="N3418">
        <v>21</v>
      </c>
      <c r="P3418" t="s">
        <v>41</v>
      </c>
      <c r="Q3418" t="s">
        <v>75</v>
      </c>
      <c r="R3418" t="str">
        <f>"7700026"</f>
        <v>7700026</v>
      </c>
      <c r="S3418" t="s">
        <v>397</v>
      </c>
      <c r="T3418" t="s">
        <v>154</v>
      </c>
      <c r="U3418" t="s">
        <v>155</v>
      </c>
      <c r="V3418" t="s">
        <v>131</v>
      </c>
      <c r="W3418" t="s">
        <v>51</v>
      </c>
      <c r="X3418" t="s">
        <v>45</v>
      </c>
      <c r="Y3418" s="1">
        <v>22858</v>
      </c>
      <c r="Z3418">
        <v>1</v>
      </c>
      <c r="AA3418" t="s">
        <v>155</v>
      </c>
      <c r="AB3418" s="40" t="s">
        <v>1799</v>
      </c>
    </row>
    <row r="3419" spans="1:28" x14ac:dyDescent="0.25">
      <c r="A3419">
        <v>99913418</v>
      </c>
      <c r="B3419" t="s">
        <v>56</v>
      </c>
      <c r="C3419" t="s">
        <v>52</v>
      </c>
      <c r="D3419" t="s">
        <v>53</v>
      </c>
      <c r="G3419" t="s">
        <v>48</v>
      </c>
      <c r="H3419">
        <v>1</v>
      </c>
      <c r="K3419" t="s">
        <v>345</v>
      </c>
      <c r="L3419" t="s">
        <v>346</v>
      </c>
      <c r="M3419" t="s">
        <v>131</v>
      </c>
      <c r="N3419">
        <v>21</v>
      </c>
      <c r="P3419" t="s">
        <v>41</v>
      </c>
      <c r="Q3419" t="s">
        <v>42</v>
      </c>
      <c r="R3419" t="str">
        <f>"0580605"</f>
        <v>0580605</v>
      </c>
      <c r="S3419" t="s">
        <v>362</v>
      </c>
      <c r="T3419" t="s">
        <v>345</v>
      </c>
      <c r="U3419" t="s">
        <v>346</v>
      </c>
      <c r="V3419" t="s">
        <v>131</v>
      </c>
      <c r="W3419" t="s">
        <v>51</v>
      </c>
      <c r="X3419" t="s">
        <v>45</v>
      </c>
      <c r="Y3419" s="1">
        <v>22853</v>
      </c>
      <c r="Z3419">
        <v>2</v>
      </c>
      <c r="AA3419" t="s">
        <v>346</v>
      </c>
      <c r="AB3419" s="40" t="s">
        <v>1799</v>
      </c>
    </row>
    <row r="3420" spans="1:28" x14ac:dyDescent="0.25">
      <c r="A3420">
        <v>99913419</v>
      </c>
      <c r="B3420" t="s">
        <v>32</v>
      </c>
      <c r="C3420" t="s">
        <v>90</v>
      </c>
      <c r="D3420" t="s">
        <v>91</v>
      </c>
      <c r="G3420" t="s">
        <v>48</v>
      </c>
      <c r="H3420">
        <v>1</v>
      </c>
      <c r="K3420" t="s">
        <v>431</v>
      </c>
      <c r="L3420" t="s">
        <v>196</v>
      </c>
      <c r="M3420" t="s">
        <v>131</v>
      </c>
      <c r="N3420">
        <v>21</v>
      </c>
      <c r="P3420" t="s">
        <v>41</v>
      </c>
      <c r="Q3420" t="s">
        <v>95</v>
      </c>
      <c r="R3420" t="str">
        <f>"7521011"</f>
        <v>7521011</v>
      </c>
      <c r="S3420" t="s">
        <v>506</v>
      </c>
      <c r="T3420" t="s">
        <v>431</v>
      </c>
      <c r="U3420" t="s">
        <v>196</v>
      </c>
      <c r="V3420" t="s">
        <v>131</v>
      </c>
      <c r="W3420" t="s">
        <v>51</v>
      </c>
      <c r="X3420" t="s">
        <v>45</v>
      </c>
      <c r="Y3420" s="1">
        <v>22828</v>
      </c>
      <c r="Z3420">
        <v>1</v>
      </c>
      <c r="AA3420" t="s">
        <v>196</v>
      </c>
      <c r="AB3420" s="40" t="s">
        <v>1799</v>
      </c>
    </row>
    <row r="3421" spans="1:28" x14ac:dyDescent="0.25">
      <c r="A3421">
        <v>99913420</v>
      </c>
      <c r="B3421" t="s">
        <v>56</v>
      </c>
      <c r="C3421" t="s">
        <v>52</v>
      </c>
      <c r="D3421" t="s">
        <v>53</v>
      </c>
      <c r="G3421" t="s">
        <v>48</v>
      </c>
      <c r="H3421">
        <v>1</v>
      </c>
      <c r="K3421" t="s">
        <v>223</v>
      </c>
      <c r="L3421" t="s">
        <v>224</v>
      </c>
      <c r="M3421" t="s">
        <v>131</v>
      </c>
      <c r="N3421">
        <v>21</v>
      </c>
      <c r="P3421" t="s">
        <v>41</v>
      </c>
      <c r="Q3421" t="s">
        <v>42</v>
      </c>
      <c r="R3421" t="str">
        <f>"0580200"</f>
        <v>0580200</v>
      </c>
      <c r="S3421" t="s">
        <v>245</v>
      </c>
      <c r="T3421" t="s">
        <v>223</v>
      </c>
      <c r="U3421" t="s">
        <v>224</v>
      </c>
      <c r="V3421" t="s">
        <v>131</v>
      </c>
      <c r="W3421" t="s">
        <v>51</v>
      </c>
      <c r="X3421" t="s">
        <v>45</v>
      </c>
      <c r="Y3421" s="1">
        <v>22780</v>
      </c>
      <c r="Z3421">
        <v>2</v>
      </c>
      <c r="AA3421" t="s">
        <v>224</v>
      </c>
      <c r="AB3421" s="40" t="s">
        <v>1799</v>
      </c>
    </row>
    <row r="3422" spans="1:28" x14ac:dyDescent="0.25">
      <c r="A3422">
        <v>99913421</v>
      </c>
      <c r="B3422" t="s">
        <v>32</v>
      </c>
      <c r="C3422" t="s">
        <v>111</v>
      </c>
      <c r="D3422" t="s">
        <v>112</v>
      </c>
      <c r="G3422" t="s">
        <v>35</v>
      </c>
      <c r="H3422">
        <v>1</v>
      </c>
      <c r="K3422" t="s">
        <v>154</v>
      </c>
      <c r="L3422" t="s">
        <v>155</v>
      </c>
      <c r="M3422" t="s">
        <v>131</v>
      </c>
      <c r="N3422">
        <v>21</v>
      </c>
      <c r="P3422" t="s">
        <v>41</v>
      </c>
      <c r="Q3422" t="s">
        <v>75</v>
      </c>
      <c r="R3422" t="str">
        <f>"7700026"</f>
        <v>7700026</v>
      </c>
      <c r="S3422" t="s">
        <v>397</v>
      </c>
      <c r="T3422" t="s">
        <v>154</v>
      </c>
      <c r="U3422" t="s">
        <v>155</v>
      </c>
      <c r="V3422" t="s">
        <v>131</v>
      </c>
      <c r="W3422" t="s">
        <v>51</v>
      </c>
      <c r="X3422" t="s">
        <v>45</v>
      </c>
      <c r="Y3422" s="1">
        <v>22742</v>
      </c>
      <c r="Z3422">
        <v>1</v>
      </c>
      <c r="AA3422" t="s">
        <v>155</v>
      </c>
      <c r="AB3422" s="40" t="s">
        <v>1799</v>
      </c>
    </row>
    <row r="3423" spans="1:28" x14ac:dyDescent="0.25">
      <c r="A3423">
        <v>99913422</v>
      </c>
      <c r="B3423" t="s">
        <v>32</v>
      </c>
      <c r="C3423" t="s">
        <v>139</v>
      </c>
      <c r="D3423" t="s">
        <v>140</v>
      </c>
      <c r="G3423" t="s">
        <v>48</v>
      </c>
      <c r="H3423">
        <v>11</v>
      </c>
      <c r="K3423" t="s">
        <v>354</v>
      </c>
      <c r="L3423" t="s">
        <v>355</v>
      </c>
      <c r="M3423" t="s">
        <v>131</v>
      </c>
      <c r="N3423">
        <v>21</v>
      </c>
      <c r="P3423" t="s">
        <v>41</v>
      </c>
      <c r="Q3423" t="s">
        <v>75</v>
      </c>
      <c r="R3423" t="str">
        <f>"7054022"</f>
        <v>7054022</v>
      </c>
      <c r="S3423" t="s">
        <v>770</v>
      </c>
      <c r="T3423" t="s">
        <v>354</v>
      </c>
      <c r="U3423" t="s">
        <v>355</v>
      </c>
      <c r="V3423" t="s">
        <v>131</v>
      </c>
      <c r="W3423" t="s">
        <v>51</v>
      </c>
      <c r="X3423" t="s">
        <v>45</v>
      </c>
      <c r="Y3423" s="1">
        <v>22729</v>
      </c>
      <c r="Z3423">
        <v>1</v>
      </c>
      <c r="AA3423" t="s">
        <v>355</v>
      </c>
      <c r="AB3423" s="40" t="s">
        <v>1799</v>
      </c>
    </row>
    <row r="3424" spans="1:28" x14ac:dyDescent="0.25">
      <c r="A3424">
        <v>99913423</v>
      </c>
      <c r="B3424" t="s">
        <v>32</v>
      </c>
      <c r="C3424" t="s">
        <v>111</v>
      </c>
      <c r="D3424" t="s">
        <v>112</v>
      </c>
      <c r="G3424" t="s">
        <v>48</v>
      </c>
      <c r="H3424">
        <v>1</v>
      </c>
      <c r="K3424" t="s">
        <v>354</v>
      </c>
      <c r="L3424" t="s">
        <v>355</v>
      </c>
      <c r="M3424" t="s">
        <v>131</v>
      </c>
      <c r="N3424">
        <v>21</v>
      </c>
      <c r="P3424" t="s">
        <v>41</v>
      </c>
      <c r="Q3424" t="s">
        <v>75</v>
      </c>
      <c r="R3424" t="str">
        <f>"7054038"</f>
        <v>7054038</v>
      </c>
      <c r="S3424" t="s">
        <v>377</v>
      </c>
      <c r="T3424" t="s">
        <v>354</v>
      </c>
      <c r="U3424" t="s">
        <v>355</v>
      </c>
      <c r="V3424" t="s">
        <v>131</v>
      </c>
      <c r="W3424" t="s">
        <v>51</v>
      </c>
      <c r="X3424" t="s">
        <v>45</v>
      </c>
      <c r="Y3424" s="1">
        <v>22722</v>
      </c>
      <c r="Z3424">
        <v>1</v>
      </c>
      <c r="AA3424" t="s">
        <v>355</v>
      </c>
      <c r="AB3424" s="40" t="s">
        <v>1799</v>
      </c>
    </row>
    <row r="3425" spans="1:28" x14ac:dyDescent="0.25">
      <c r="A3425">
        <v>99913424</v>
      </c>
      <c r="B3425" t="s">
        <v>32</v>
      </c>
      <c r="C3425" t="s">
        <v>90</v>
      </c>
      <c r="D3425" t="s">
        <v>91</v>
      </c>
      <c r="G3425" t="s">
        <v>35</v>
      </c>
      <c r="H3425">
        <v>1</v>
      </c>
      <c r="I3425" t="s">
        <v>750</v>
      </c>
      <c r="J3425" s="1">
        <v>43344</v>
      </c>
      <c r="K3425" t="s">
        <v>268</v>
      </c>
      <c r="L3425" t="s">
        <v>269</v>
      </c>
      <c r="M3425" t="s">
        <v>131</v>
      </c>
      <c r="N3425">
        <v>21</v>
      </c>
      <c r="P3425" t="s">
        <v>41</v>
      </c>
      <c r="Q3425" t="s">
        <v>95</v>
      </c>
      <c r="R3425" t="str">
        <f>"7052071"</f>
        <v>7052071</v>
      </c>
      <c r="S3425" t="s">
        <v>628</v>
      </c>
      <c r="T3425" t="s">
        <v>268</v>
      </c>
      <c r="U3425" t="s">
        <v>269</v>
      </c>
      <c r="V3425" t="s">
        <v>131</v>
      </c>
      <c r="W3425" t="s">
        <v>51</v>
      </c>
      <c r="X3425" t="s">
        <v>45</v>
      </c>
      <c r="Y3425" s="1">
        <v>22684</v>
      </c>
      <c r="Z3425">
        <v>1</v>
      </c>
      <c r="AA3425" t="s">
        <v>269</v>
      </c>
      <c r="AB3425" s="40" t="s">
        <v>1799</v>
      </c>
    </row>
    <row r="3426" spans="1:28" x14ac:dyDescent="0.25">
      <c r="A3426">
        <v>99913425</v>
      </c>
      <c r="B3426" t="s">
        <v>32</v>
      </c>
      <c r="C3426" t="s">
        <v>111</v>
      </c>
      <c r="D3426" t="s">
        <v>112</v>
      </c>
      <c r="G3426" t="s">
        <v>35</v>
      </c>
      <c r="H3426">
        <v>1</v>
      </c>
      <c r="K3426" t="s">
        <v>1502</v>
      </c>
      <c r="L3426" t="s">
        <v>1503</v>
      </c>
      <c r="M3426" t="s">
        <v>670</v>
      </c>
      <c r="N3426">
        <v>21</v>
      </c>
      <c r="P3426" t="s">
        <v>41</v>
      </c>
      <c r="Q3426" t="s">
        <v>75</v>
      </c>
      <c r="R3426" t="str">
        <f>"7171000"</f>
        <v>7171000</v>
      </c>
      <c r="S3426" t="s">
        <v>1506</v>
      </c>
      <c r="T3426" t="s">
        <v>1502</v>
      </c>
      <c r="U3426" t="s">
        <v>1503</v>
      </c>
      <c r="V3426" t="s">
        <v>670</v>
      </c>
      <c r="W3426" t="s">
        <v>51</v>
      </c>
      <c r="X3426" t="s">
        <v>45</v>
      </c>
      <c r="Y3426" s="1">
        <v>22652</v>
      </c>
      <c r="Z3426">
        <v>1</v>
      </c>
      <c r="AA3426" t="s">
        <v>1503</v>
      </c>
      <c r="AB3426" s="40" t="s">
        <v>1799</v>
      </c>
    </row>
    <row r="3427" spans="1:28" x14ac:dyDescent="0.25">
      <c r="A3427">
        <v>99913426</v>
      </c>
      <c r="B3427" t="s">
        <v>56</v>
      </c>
      <c r="C3427" t="s">
        <v>139</v>
      </c>
      <c r="D3427" t="s">
        <v>140</v>
      </c>
      <c r="G3427" t="s">
        <v>48</v>
      </c>
      <c r="H3427">
        <v>5</v>
      </c>
      <c r="K3427" t="s">
        <v>345</v>
      </c>
      <c r="L3427" t="s">
        <v>346</v>
      </c>
      <c r="M3427" t="s">
        <v>131</v>
      </c>
      <c r="N3427">
        <v>21</v>
      </c>
      <c r="P3427" t="s">
        <v>41</v>
      </c>
      <c r="Q3427" t="s">
        <v>49</v>
      </c>
      <c r="R3427" t="str">
        <f>"0591906"</f>
        <v>0591906</v>
      </c>
      <c r="S3427" t="s">
        <v>350</v>
      </c>
      <c r="T3427" t="s">
        <v>345</v>
      </c>
      <c r="U3427" t="s">
        <v>346</v>
      </c>
      <c r="V3427" t="s">
        <v>131</v>
      </c>
      <c r="W3427" t="s">
        <v>51</v>
      </c>
      <c r="X3427" t="s">
        <v>45</v>
      </c>
      <c r="Y3427" s="1">
        <v>22643</v>
      </c>
      <c r="Z3427">
        <v>2</v>
      </c>
      <c r="AA3427" t="s">
        <v>346</v>
      </c>
      <c r="AB3427" s="40" t="s">
        <v>1799</v>
      </c>
    </row>
    <row r="3428" spans="1:28" x14ac:dyDescent="0.25">
      <c r="A3428">
        <v>99913427</v>
      </c>
      <c r="B3428" t="s">
        <v>32</v>
      </c>
      <c r="C3428" t="s">
        <v>64</v>
      </c>
      <c r="D3428" t="s">
        <v>65</v>
      </c>
      <c r="G3428" t="s">
        <v>35</v>
      </c>
      <c r="H3428">
        <v>1</v>
      </c>
      <c r="K3428" t="s">
        <v>268</v>
      </c>
      <c r="L3428" t="s">
        <v>269</v>
      </c>
      <c r="M3428" t="s">
        <v>131</v>
      </c>
      <c r="N3428">
        <v>21</v>
      </c>
      <c r="P3428" t="s">
        <v>41</v>
      </c>
      <c r="Q3428" t="s">
        <v>75</v>
      </c>
      <c r="R3428" t="str">
        <f>"7052000"</f>
        <v>7052000</v>
      </c>
      <c r="S3428" t="s">
        <v>656</v>
      </c>
      <c r="T3428" t="s">
        <v>268</v>
      </c>
      <c r="U3428" t="s">
        <v>269</v>
      </c>
      <c r="V3428" t="s">
        <v>131</v>
      </c>
      <c r="W3428" t="s">
        <v>51</v>
      </c>
      <c r="X3428" t="s">
        <v>45</v>
      </c>
      <c r="Y3428" s="1">
        <v>22579</v>
      </c>
      <c r="Z3428">
        <v>1</v>
      </c>
      <c r="AA3428" t="s">
        <v>269</v>
      </c>
      <c r="AB3428" s="40" t="s">
        <v>1799</v>
      </c>
    </row>
    <row r="3429" spans="1:28" x14ac:dyDescent="0.25">
      <c r="A3429">
        <v>99913428</v>
      </c>
      <c r="B3429" t="s">
        <v>56</v>
      </c>
      <c r="C3429" t="s">
        <v>151</v>
      </c>
      <c r="D3429" t="s">
        <v>152</v>
      </c>
      <c r="G3429" t="s">
        <v>48</v>
      </c>
      <c r="H3429">
        <v>1</v>
      </c>
      <c r="K3429" t="s">
        <v>345</v>
      </c>
      <c r="L3429" t="s">
        <v>346</v>
      </c>
      <c r="M3429" t="s">
        <v>131</v>
      </c>
      <c r="N3429">
        <v>21</v>
      </c>
      <c r="P3429" t="s">
        <v>41</v>
      </c>
      <c r="Q3429" t="s">
        <v>49</v>
      </c>
      <c r="R3429" t="str">
        <f>"0561021"</f>
        <v>0561021</v>
      </c>
      <c r="S3429" t="s">
        <v>352</v>
      </c>
      <c r="T3429" t="s">
        <v>345</v>
      </c>
      <c r="U3429" t="s">
        <v>346</v>
      </c>
      <c r="V3429" t="s">
        <v>131</v>
      </c>
      <c r="W3429" t="s">
        <v>51</v>
      </c>
      <c r="X3429" t="s">
        <v>45</v>
      </c>
      <c r="Y3429" s="1">
        <v>22565</v>
      </c>
      <c r="Z3429">
        <v>2</v>
      </c>
      <c r="AA3429" t="s">
        <v>346</v>
      </c>
      <c r="AB3429" s="40" t="s">
        <v>1799</v>
      </c>
    </row>
    <row r="3430" spans="1:28" x14ac:dyDescent="0.25">
      <c r="A3430">
        <v>99913429</v>
      </c>
      <c r="B3430" t="s">
        <v>32</v>
      </c>
      <c r="C3430" t="s">
        <v>111</v>
      </c>
      <c r="D3430" t="s">
        <v>112</v>
      </c>
      <c r="G3430" t="s">
        <v>35</v>
      </c>
      <c r="H3430">
        <v>19</v>
      </c>
      <c r="K3430" t="s">
        <v>268</v>
      </c>
      <c r="L3430" t="s">
        <v>269</v>
      </c>
      <c r="M3430" t="s">
        <v>131</v>
      </c>
      <c r="N3430">
        <v>21</v>
      </c>
      <c r="P3430" t="s">
        <v>41</v>
      </c>
      <c r="Q3430" t="s">
        <v>75</v>
      </c>
      <c r="R3430" t="str">
        <f>"7052006"</f>
        <v>7052006</v>
      </c>
      <c r="S3430" t="s">
        <v>575</v>
      </c>
      <c r="T3430" t="s">
        <v>268</v>
      </c>
      <c r="U3430" t="s">
        <v>269</v>
      </c>
      <c r="V3430" t="s">
        <v>131</v>
      </c>
      <c r="W3430" t="s">
        <v>165</v>
      </c>
      <c r="X3430" t="s">
        <v>45</v>
      </c>
      <c r="Y3430" s="1">
        <v>22563</v>
      </c>
      <c r="Z3430">
        <v>1</v>
      </c>
      <c r="AA3430" t="s">
        <v>269</v>
      </c>
      <c r="AB3430" s="40" t="s">
        <v>1799</v>
      </c>
    </row>
    <row r="3431" spans="1:28" x14ac:dyDescent="0.25">
      <c r="A3431">
        <v>99913430</v>
      </c>
      <c r="B3431" t="s">
        <v>56</v>
      </c>
      <c r="C3431" t="s">
        <v>111</v>
      </c>
      <c r="D3431" t="s">
        <v>112</v>
      </c>
      <c r="G3431" t="s">
        <v>48</v>
      </c>
      <c r="H3431">
        <v>14</v>
      </c>
      <c r="I3431" t="s">
        <v>491</v>
      </c>
      <c r="J3431" s="1">
        <v>37865</v>
      </c>
      <c r="K3431" t="s">
        <v>431</v>
      </c>
      <c r="L3431" t="s">
        <v>196</v>
      </c>
      <c r="M3431" t="s">
        <v>131</v>
      </c>
      <c r="N3431">
        <v>21</v>
      </c>
      <c r="O3431" s="1">
        <v>37865</v>
      </c>
      <c r="P3431" t="s">
        <v>41</v>
      </c>
      <c r="Q3431" t="s">
        <v>75</v>
      </c>
      <c r="R3431" t="str">
        <f>"7521012"</f>
        <v>7521012</v>
      </c>
      <c r="S3431" t="s">
        <v>432</v>
      </c>
      <c r="T3431" t="s">
        <v>431</v>
      </c>
      <c r="U3431" t="s">
        <v>196</v>
      </c>
      <c r="V3431" t="s">
        <v>131</v>
      </c>
      <c r="W3431" t="s">
        <v>165</v>
      </c>
      <c r="X3431" t="s">
        <v>45</v>
      </c>
      <c r="Y3431" s="1">
        <v>22439</v>
      </c>
      <c r="Z3431">
        <v>1</v>
      </c>
      <c r="AA3431" t="s">
        <v>196</v>
      </c>
      <c r="AB3431" s="40" t="s">
        <v>1799</v>
      </c>
    </row>
    <row r="3432" spans="1:28" x14ac:dyDescent="0.25">
      <c r="A3432">
        <v>99913431</v>
      </c>
      <c r="B3432" t="s">
        <v>56</v>
      </c>
      <c r="C3432" t="s">
        <v>52</v>
      </c>
      <c r="D3432" t="s">
        <v>53</v>
      </c>
      <c r="G3432" t="s">
        <v>48</v>
      </c>
      <c r="H3432">
        <v>1</v>
      </c>
      <c r="K3432" t="s">
        <v>1546</v>
      </c>
      <c r="L3432" t="s">
        <v>1547</v>
      </c>
      <c r="M3432" t="s">
        <v>1548</v>
      </c>
      <c r="N3432">
        <v>21</v>
      </c>
      <c r="P3432" t="s">
        <v>41</v>
      </c>
      <c r="Q3432" t="s">
        <v>42</v>
      </c>
      <c r="R3432" t="str">
        <f>"1061001"</f>
        <v>1061001</v>
      </c>
      <c r="S3432" t="s">
        <v>1550</v>
      </c>
      <c r="T3432" t="s">
        <v>1546</v>
      </c>
      <c r="U3432" t="s">
        <v>1547</v>
      </c>
      <c r="V3432" t="s">
        <v>1548</v>
      </c>
      <c r="W3432" t="s">
        <v>51</v>
      </c>
      <c r="X3432" t="s">
        <v>45</v>
      </c>
      <c r="Y3432" s="1">
        <v>22393</v>
      </c>
      <c r="Z3432">
        <v>2</v>
      </c>
      <c r="AA3432" t="s">
        <v>1547</v>
      </c>
      <c r="AB3432" s="40" t="s">
        <v>1799</v>
      </c>
    </row>
    <row r="3433" spans="1:28" x14ac:dyDescent="0.25">
      <c r="A3433">
        <v>99913432</v>
      </c>
      <c r="B3433" t="s">
        <v>32</v>
      </c>
      <c r="C3433" t="s">
        <v>721</v>
      </c>
      <c r="D3433" t="s">
        <v>722</v>
      </c>
      <c r="G3433" t="s">
        <v>35</v>
      </c>
      <c r="H3433">
        <v>14</v>
      </c>
      <c r="K3433" t="s">
        <v>268</v>
      </c>
      <c r="L3433" t="s">
        <v>269</v>
      </c>
      <c r="M3433" t="s">
        <v>131</v>
      </c>
      <c r="N3433">
        <v>21</v>
      </c>
      <c r="P3433" t="s">
        <v>41</v>
      </c>
      <c r="Q3433" t="s">
        <v>75</v>
      </c>
      <c r="R3433" t="str">
        <f>"7052002"</f>
        <v>7052002</v>
      </c>
      <c r="S3433" t="s">
        <v>590</v>
      </c>
      <c r="T3433" t="s">
        <v>268</v>
      </c>
      <c r="U3433" t="s">
        <v>269</v>
      </c>
      <c r="V3433" t="s">
        <v>131</v>
      </c>
      <c r="W3433" t="s">
        <v>165</v>
      </c>
      <c r="X3433" t="s">
        <v>45</v>
      </c>
      <c r="Y3433" s="1">
        <v>22346</v>
      </c>
      <c r="Z3433">
        <v>1</v>
      </c>
      <c r="AA3433" t="s">
        <v>269</v>
      </c>
      <c r="AB3433" s="40" t="s">
        <v>1799</v>
      </c>
    </row>
    <row r="3434" spans="1:28" x14ac:dyDescent="0.25">
      <c r="A3434">
        <v>99913433</v>
      </c>
      <c r="B3434" t="s">
        <v>32</v>
      </c>
      <c r="C3434" t="s">
        <v>111</v>
      </c>
      <c r="D3434" t="s">
        <v>112</v>
      </c>
      <c r="G3434" t="s">
        <v>48</v>
      </c>
      <c r="H3434">
        <v>17</v>
      </c>
      <c r="K3434" t="s">
        <v>195</v>
      </c>
      <c r="L3434" t="s">
        <v>196</v>
      </c>
      <c r="M3434" t="s">
        <v>131</v>
      </c>
      <c r="N3434">
        <v>21</v>
      </c>
      <c r="O3434" s="1">
        <v>31079</v>
      </c>
      <c r="P3434" t="s">
        <v>41</v>
      </c>
      <c r="Q3434" t="s">
        <v>75</v>
      </c>
      <c r="R3434" t="str">
        <f>"7521042"</f>
        <v>7521042</v>
      </c>
      <c r="S3434" t="s">
        <v>440</v>
      </c>
      <c r="T3434" t="s">
        <v>195</v>
      </c>
      <c r="U3434" t="s">
        <v>196</v>
      </c>
      <c r="V3434" t="s">
        <v>131</v>
      </c>
      <c r="W3434" t="s">
        <v>165</v>
      </c>
      <c r="X3434" t="s">
        <v>45</v>
      </c>
      <c r="Y3434" s="1">
        <v>22315</v>
      </c>
      <c r="Z3434">
        <v>1</v>
      </c>
      <c r="AA3434" t="s">
        <v>196</v>
      </c>
      <c r="AB3434" s="40" t="s">
        <v>1799</v>
      </c>
    </row>
    <row r="3435" spans="1:28" x14ac:dyDescent="0.25">
      <c r="A3435">
        <v>99913434</v>
      </c>
      <c r="B3435" t="s">
        <v>32</v>
      </c>
      <c r="C3435" t="s">
        <v>64</v>
      </c>
      <c r="D3435" t="s">
        <v>65</v>
      </c>
      <c r="G3435" t="s">
        <v>35</v>
      </c>
      <c r="H3435">
        <v>15</v>
      </c>
      <c r="K3435" t="s">
        <v>268</v>
      </c>
      <c r="L3435" t="s">
        <v>269</v>
      </c>
      <c r="M3435" t="s">
        <v>131</v>
      </c>
      <c r="N3435">
        <v>21</v>
      </c>
      <c r="P3435" t="s">
        <v>41</v>
      </c>
      <c r="Q3435" t="s">
        <v>75</v>
      </c>
      <c r="R3435" t="str">
        <f>"7052006"</f>
        <v>7052006</v>
      </c>
      <c r="S3435" t="s">
        <v>575</v>
      </c>
      <c r="T3435" t="s">
        <v>268</v>
      </c>
      <c r="U3435" t="s">
        <v>269</v>
      </c>
      <c r="V3435" t="s">
        <v>131</v>
      </c>
      <c r="W3435" t="s">
        <v>165</v>
      </c>
      <c r="X3435" t="s">
        <v>45</v>
      </c>
      <c r="Y3435" s="1">
        <v>22313</v>
      </c>
      <c r="Z3435">
        <v>1</v>
      </c>
      <c r="AA3435" t="s">
        <v>269</v>
      </c>
      <c r="AB3435" s="40" t="s">
        <v>1799</v>
      </c>
    </row>
    <row r="3436" spans="1:28" x14ac:dyDescent="0.25">
      <c r="A3436">
        <v>99913435</v>
      </c>
      <c r="B3436" t="s">
        <v>32</v>
      </c>
      <c r="C3436" t="s">
        <v>111</v>
      </c>
      <c r="D3436" t="s">
        <v>112</v>
      </c>
      <c r="E3436" t="s">
        <v>68</v>
      </c>
      <c r="F3436" t="s">
        <v>69</v>
      </c>
      <c r="G3436" t="s">
        <v>48</v>
      </c>
      <c r="H3436">
        <v>17</v>
      </c>
      <c r="I3436">
        <v>213</v>
      </c>
      <c r="J3436" s="1">
        <v>33238</v>
      </c>
      <c r="K3436" t="s">
        <v>195</v>
      </c>
      <c r="L3436" t="s">
        <v>196</v>
      </c>
      <c r="M3436" t="s">
        <v>131</v>
      </c>
      <c r="N3436">
        <v>21</v>
      </c>
      <c r="O3436" s="1">
        <v>33238</v>
      </c>
      <c r="P3436" t="s">
        <v>41</v>
      </c>
      <c r="Q3436" t="s">
        <v>75</v>
      </c>
      <c r="R3436" t="str">
        <f>"7521044"</f>
        <v>7521044</v>
      </c>
      <c r="S3436" t="s">
        <v>453</v>
      </c>
      <c r="T3436" t="s">
        <v>195</v>
      </c>
      <c r="U3436" t="s">
        <v>196</v>
      </c>
      <c r="V3436" t="s">
        <v>131</v>
      </c>
      <c r="W3436" t="s">
        <v>165</v>
      </c>
      <c r="X3436" t="s">
        <v>45</v>
      </c>
      <c r="Y3436" s="1">
        <v>22282</v>
      </c>
      <c r="Z3436">
        <v>1</v>
      </c>
      <c r="AA3436" t="s">
        <v>196</v>
      </c>
      <c r="AB3436" s="40" t="s">
        <v>1799</v>
      </c>
    </row>
    <row r="3437" spans="1:28" x14ac:dyDescent="0.25">
      <c r="A3437">
        <v>99913436</v>
      </c>
      <c r="B3437" t="s">
        <v>32</v>
      </c>
      <c r="C3437" t="s">
        <v>141</v>
      </c>
      <c r="D3437" t="s">
        <v>142</v>
      </c>
      <c r="G3437" t="s">
        <v>48</v>
      </c>
      <c r="H3437">
        <v>11</v>
      </c>
      <c r="K3437" t="s">
        <v>195</v>
      </c>
      <c r="L3437" t="s">
        <v>196</v>
      </c>
      <c r="M3437" t="s">
        <v>131</v>
      </c>
      <c r="N3437">
        <v>21</v>
      </c>
      <c r="O3437" s="1">
        <v>37454</v>
      </c>
      <c r="P3437" t="s">
        <v>41</v>
      </c>
      <c r="Q3437" t="s">
        <v>75</v>
      </c>
      <c r="R3437" t="str">
        <f>"7521042"</f>
        <v>7521042</v>
      </c>
      <c r="S3437" t="s">
        <v>440</v>
      </c>
      <c r="T3437" t="s">
        <v>195</v>
      </c>
      <c r="U3437" t="s">
        <v>196</v>
      </c>
      <c r="V3437" t="s">
        <v>131</v>
      </c>
      <c r="W3437" t="s">
        <v>165</v>
      </c>
      <c r="X3437" t="s">
        <v>45</v>
      </c>
      <c r="Y3437" s="1">
        <v>22247</v>
      </c>
      <c r="Z3437">
        <v>1</v>
      </c>
      <c r="AA3437" t="s">
        <v>196</v>
      </c>
      <c r="AB3437" s="40" t="s">
        <v>1799</v>
      </c>
    </row>
    <row r="3438" spans="1:28" x14ac:dyDescent="0.25">
      <c r="A3438">
        <v>99913437</v>
      </c>
      <c r="B3438" t="s">
        <v>56</v>
      </c>
      <c r="C3438" t="s">
        <v>79</v>
      </c>
      <c r="D3438" t="s">
        <v>80</v>
      </c>
      <c r="G3438" t="s">
        <v>48</v>
      </c>
      <c r="H3438">
        <v>1</v>
      </c>
      <c r="K3438" t="s">
        <v>431</v>
      </c>
      <c r="L3438" t="s">
        <v>196</v>
      </c>
      <c r="M3438" t="s">
        <v>131</v>
      </c>
      <c r="N3438">
        <v>21</v>
      </c>
      <c r="P3438" t="s">
        <v>41</v>
      </c>
      <c r="Q3438" t="s">
        <v>75</v>
      </c>
      <c r="R3438" t="str">
        <f>"7521016"</f>
        <v>7521016</v>
      </c>
      <c r="S3438" t="s">
        <v>448</v>
      </c>
      <c r="T3438" t="s">
        <v>431</v>
      </c>
      <c r="U3438" t="s">
        <v>196</v>
      </c>
      <c r="V3438" t="s">
        <v>131</v>
      </c>
      <c r="W3438" t="s">
        <v>51</v>
      </c>
      <c r="X3438" t="s">
        <v>45</v>
      </c>
      <c r="Y3438" s="1">
        <v>22239</v>
      </c>
      <c r="Z3438">
        <v>1</v>
      </c>
      <c r="AA3438" t="s">
        <v>196</v>
      </c>
      <c r="AB3438" s="40" t="s">
        <v>1799</v>
      </c>
    </row>
    <row r="3439" spans="1:28" x14ac:dyDescent="0.25">
      <c r="A3439">
        <v>99913438</v>
      </c>
      <c r="B3439" t="s">
        <v>56</v>
      </c>
      <c r="C3439" t="s">
        <v>111</v>
      </c>
      <c r="D3439" t="s">
        <v>112</v>
      </c>
      <c r="G3439" t="s">
        <v>48</v>
      </c>
      <c r="H3439">
        <v>17</v>
      </c>
      <c r="J3439" s="1">
        <v>43344</v>
      </c>
      <c r="K3439" t="s">
        <v>354</v>
      </c>
      <c r="L3439" t="s">
        <v>355</v>
      </c>
      <c r="M3439" t="s">
        <v>131</v>
      </c>
      <c r="N3439">
        <v>21</v>
      </c>
      <c r="O3439" s="1">
        <v>43344</v>
      </c>
      <c r="P3439" t="s">
        <v>41</v>
      </c>
      <c r="Q3439" t="s">
        <v>75</v>
      </c>
      <c r="R3439" t="str">
        <f>"7054038"</f>
        <v>7054038</v>
      </c>
      <c r="S3439" t="s">
        <v>377</v>
      </c>
      <c r="T3439" t="s">
        <v>354</v>
      </c>
      <c r="U3439" t="s">
        <v>355</v>
      </c>
      <c r="V3439" t="s">
        <v>131</v>
      </c>
      <c r="W3439" t="s">
        <v>51</v>
      </c>
      <c r="X3439" t="s">
        <v>45</v>
      </c>
      <c r="Y3439" s="1">
        <v>22164</v>
      </c>
      <c r="Z3439">
        <v>1</v>
      </c>
      <c r="AA3439" t="s">
        <v>355</v>
      </c>
      <c r="AB3439" s="40" t="s">
        <v>1799</v>
      </c>
    </row>
    <row r="3440" spans="1:28" x14ac:dyDescent="0.25">
      <c r="A3440">
        <v>99913439</v>
      </c>
      <c r="B3440" t="s">
        <v>32</v>
      </c>
      <c r="C3440" t="s">
        <v>111</v>
      </c>
      <c r="D3440" t="s">
        <v>112</v>
      </c>
      <c r="G3440" t="s">
        <v>35</v>
      </c>
      <c r="H3440">
        <v>1</v>
      </c>
      <c r="K3440" t="s">
        <v>1502</v>
      </c>
      <c r="L3440" t="s">
        <v>1503</v>
      </c>
      <c r="M3440" t="s">
        <v>670</v>
      </c>
      <c r="N3440">
        <v>21</v>
      </c>
      <c r="P3440" t="s">
        <v>41</v>
      </c>
      <c r="Q3440" t="s">
        <v>75</v>
      </c>
      <c r="R3440" t="str">
        <f>"7171000"</f>
        <v>7171000</v>
      </c>
      <c r="S3440" t="s">
        <v>1506</v>
      </c>
      <c r="T3440" t="s">
        <v>1502</v>
      </c>
      <c r="U3440" t="s">
        <v>1503</v>
      </c>
      <c r="V3440" t="s">
        <v>670</v>
      </c>
      <c r="W3440" t="s">
        <v>51</v>
      </c>
      <c r="X3440" t="s">
        <v>45</v>
      </c>
      <c r="Y3440" s="1">
        <v>22150</v>
      </c>
      <c r="Z3440">
        <v>1</v>
      </c>
      <c r="AA3440" t="s">
        <v>1503</v>
      </c>
      <c r="AB3440" s="40" t="s">
        <v>1799</v>
      </c>
    </row>
    <row r="3441" spans="1:28" x14ac:dyDescent="0.25">
      <c r="A3441">
        <v>99913440</v>
      </c>
      <c r="B3441" t="s">
        <v>56</v>
      </c>
      <c r="C3441" t="s">
        <v>79</v>
      </c>
      <c r="D3441" t="s">
        <v>80</v>
      </c>
      <c r="G3441" t="s">
        <v>35</v>
      </c>
      <c r="H3441">
        <v>1</v>
      </c>
      <c r="K3441" t="s">
        <v>354</v>
      </c>
      <c r="L3441" t="s">
        <v>355</v>
      </c>
      <c r="M3441" t="s">
        <v>131</v>
      </c>
      <c r="N3441">
        <v>21</v>
      </c>
      <c r="P3441" t="s">
        <v>41</v>
      </c>
      <c r="Q3441" t="s">
        <v>75</v>
      </c>
      <c r="R3441" t="str">
        <f>"7054022"</f>
        <v>7054022</v>
      </c>
      <c r="S3441" t="s">
        <v>770</v>
      </c>
      <c r="T3441" t="s">
        <v>354</v>
      </c>
      <c r="U3441" t="s">
        <v>355</v>
      </c>
      <c r="V3441" t="s">
        <v>131</v>
      </c>
      <c r="W3441" t="s">
        <v>51</v>
      </c>
      <c r="X3441" t="s">
        <v>45</v>
      </c>
      <c r="Y3441" s="1">
        <v>22140</v>
      </c>
      <c r="Z3441">
        <v>1</v>
      </c>
      <c r="AA3441" t="s">
        <v>355</v>
      </c>
      <c r="AB3441" s="40" t="s">
        <v>1799</v>
      </c>
    </row>
    <row r="3442" spans="1:28" x14ac:dyDescent="0.25">
      <c r="A3442">
        <v>99913441</v>
      </c>
      <c r="B3442" t="s">
        <v>32</v>
      </c>
      <c r="C3442" t="s">
        <v>111</v>
      </c>
      <c r="D3442" t="s">
        <v>112</v>
      </c>
      <c r="G3442" t="s">
        <v>35</v>
      </c>
      <c r="H3442">
        <v>1</v>
      </c>
      <c r="I3442" t="s">
        <v>581</v>
      </c>
      <c r="J3442" s="1">
        <v>43344</v>
      </c>
      <c r="K3442" t="s">
        <v>268</v>
      </c>
      <c r="L3442" t="s">
        <v>269</v>
      </c>
      <c r="M3442" t="s">
        <v>131</v>
      </c>
      <c r="N3442">
        <v>21</v>
      </c>
      <c r="O3442" s="1">
        <v>43344</v>
      </c>
      <c r="P3442" t="s">
        <v>41</v>
      </c>
      <c r="Q3442" t="s">
        <v>75</v>
      </c>
      <c r="R3442" t="str">
        <f>"7052020"</f>
        <v>7052020</v>
      </c>
      <c r="S3442" t="s">
        <v>267</v>
      </c>
      <c r="T3442" t="s">
        <v>268</v>
      </c>
      <c r="U3442" t="s">
        <v>269</v>
      </c>
      <c r="V3442" t="s">
        <v>131</v>
      </c>
      <c r="W3442" t="s">
        <v>51</v>
      </c>
      <c r="X3442" t="s">
        <v>45</v>
      </c>
      <c r="Y3442" s="1">
        <v>22078</v>
      </c>
      <c r="Z3442">
        <v>1</v>
      </c>
      <c r="AA3442" t="s">
        <v>269</v>
      </c>
      <c r="AB3442" s="40" t="s">
        <v>1799</v>
      </c>
    </row>
    <row r="3443" spans="1:28" x14ac:dyDescent="0.25">
      <c r="A3443">
        <v>99913442</v>
      </c>
      <c r="B3443" t="s">
        <v>56</v>
      </c>
      <c r="C3443" t="s">
        <v>58</v>
      </c>
      <c r="D3443" t="s">
        <v>59</v>
      </c>
      <c r="G3443" t="s">
        <v>35</v>
      </c>
      <c r="H3443">
        <v>1</v>
      </c>
      <c r="K3443" t="s">
        <v>223</v>
      </c>
      <c r="L3443" t="s">
        <v>224</v>
      </c>
      <c r="M3443" t="s">
        <v>131</v>
      </c>
      <c r="N3443">
        <v>21</v>
      </c>
      <c r="P3443" t="s">
        <v>41</v>
      </c>
      <c r="Q3443" t="s">
        <v>42</v>
      </c>
      <c r="R3443" t="str">
        <f>"0590901"</f>
        <v>0590901</v>
      </c>
      <c r="S3443" t="s">
        <v>242</v>
      </c>
      <c r="T3443" t="s">
        <v>223</v>
      </c>
      <c r="U3443" t="s">
        <v>224</v>
      </c>
      <c r="V3443" t="s">
        <v>131</v>
      </c>
      <c r="W3443" t="s">
        <v>51</v>
      </c>
      <c r="X3443" t="s">
        <v>45</v>
      </c>
      <c r="Y3443" s="1">
        <v>22058</v>
      </c>
      <c r="Z3443">
        <v>2</v>
      </c>
      <c r="AA3443" t="s">
        <v>224</v>
      </c>
      <c r="AB3443" s="40" t="s">
        <v>1799</v>
      </c>
    </row>
    <row r="3444" spans="1:28" x14ac:dyDescent="0.25">
      <c r="A3444">
        <v>99913443</v>
      </c>
      <c r="B3444" t="s">
        <v>32</v>
      </c>
      <c r="C3444" t="s">
        <v>111</v>
      </c>
      <c r="D3444" t="s">
        <v>112</v>
      </c>
      <c r="G3444" t="s">
        <v>35</v>
      </c>
      <c r="H3444">
        <v>18</v>
      </c>
      <c r="K3444" t="s">
        <v>268</v>
      </c>
      <c r="L3444" t="s">
        <v>269</v>
      </c>
      <c r="M3444" t="s">
        <v>131</v>
      </c>
      <c r="N3444">
        <v>21</v>
      </c>
      <c r="P3444" t="s">
        <v>41</v>
      </c>
      <c r="Q3444" t="s">
        <v>75</v>
      </c>
      <c r="R3444" t="str">
        <f>"7052002"</f>
        <v>7052002</v>
      </c>
      <c r="S3444" t="s">
        <v>590</v>
      </c>
      <c r="T3444" t="s">
        <v>268</v>
      </c>
      <c r="U3444" t="s">
        <v>269</v>
      </c>
      <c r="V3444" t="s">
        <v>131</v>
      </c>
      <c r="W3444" t="s">
        <v>165</v>
      </c>
      <c r="X3444" t="s">
        <v>45</v>
      </c>
      <c r="Y3444" s="1">
        <v>22048</v>
      </c>
      <c r="Z3444">
        <v>1</v>
      </c>
      <c r="AA3444" t="s">
        <v>269</v>
      </c>
      <c r="AB3444" s="40" t="s">
        <v>1799</v>
      </c>
    </row>
    <row r="3445" spans="1:28" x14ac:dyDescent="0.25">
      <c r="A3445">
        <v>99913444</v>
      </c>
      <c r="B3445" t="s">
        <v>32</v>
      </c>
      <c r="C3445" t="s">
        <v>111</v>
      </c>
      <c r="D3445" t="s">
        <v>112</v>
      </c>
      <c r="G3445" t="s">
        <v>48</v>
      </c>
      <c r="H3445">
        <v>19</v>
      </c>
      <c r="K3445" t="s">
        <v>195</v>
      </c>
      <c r="L3445" t="s">
        <v>196</v>
      </c>
      <c r="M3445" t="s">
        <v>131</v>
      </c>
      <c r="N3445">
        <v>21</v>
      </c>
      <c r="O3445" s="1">
        <v>30722</v>
      </c>
      <c r="P3445" t="s">
        <v>41</v>
      </c>
      <c r="Q3445" t="s">
        <v>75</v>
      </c>
      <c r="R3445" t="str">
        <f>"7521044"</f>
        <v>7521044</v>
      </c>
      <c r="S3445" t="s">
        <v>453</v>
      </c>
      <c r="T3445" t="s">
        <v>195</v>
      </c>
      <c r="U3445" t="s">
        <v>196</v>
      </c>
      <c r="V3445" t="s">
        <v>131</v>
      </c>
      <c r="W3445" t="s">
        <v>165</v>
      </c>
      <c r="X3445" t="s">
        <v>45</v>
      </c>
      <c r="Y3445" s="1">
        <v>22004</v>
      </c>
      <c r="Z3445">
        <v>1</v>
      </c>
      <c r="AA3445" t="s">
        <v>196</v>
      </c>
      <c r="AB3445" s="40" t="s">
        <v>1799</v>
      </c>
    </row>
    <row r="3446" spans="1:28" x14ac:dyDescent="0.25">
      <c r="A3446">
        <v>99913445</v>
      </c>
      <c r="B3446" t="s">
        <v>32</v>
      </c>
      <c r="C3446" t="s">
        <v>143</v>
      </c>
      <c r="D3446" t="s">
        <v>144</v>
      </c>
      <c r="G3446" t="s">
        <v>48</v>
      </c>
      <c r="H3446">
        <v>1</v>
      </c>
      <c r="K3446" t="s">
        <v>1268</v>
      </c>
      <c r="L3446" t="s">
        <v>1269</v>
      </c>
      <c r="M3446" t="s">
        <v>1270</v>
      </c>
      <c r="N3446">
        <v>21</v>
      </c>
      <c r="P3446" t="s">
        <v>41</v>
      </c>
      <c r="Q3446" t="s">
        <v>49</v>
      </c>
      <c r="R3446" t="str">
        <f>"1981914"</f>
        <v>1981914</v>
      </c>
      <c r="S3446" t="s">
        <v>1287</v>
      </c>
      <c r="T3446" t="s">
        <v>1268</v>
      </c>
      <c r="U3446" t="s">
        <v>1269</v>
      </c>
      <c r="V3446" t="s">
        <v>1270</v>
      </c>
      <c r="W3446" t="s">
        <v>51</v>
      </c>
      <c r="X3446" t="s">
        <v>45</v>
      </c>
      <c r="Y3446" s="1">
        <v>21986</v>
      </c>
      <c r="Z3446">
        <v>2</v>
      </c>
      <c r="AA3446" t="s">
        <v>1269</v>
      </c>
      <c r="AB3446" s="40" t="s">
        <v>1799</v>
      </c>
    </row>
    <row r="3447" spans="1:28" x14ac:dyDescent="0.25">
      <c r="A3447">
        <v>99913446</v>
      </c>
      <c r="B3447" t="s">
        <v>32</v>
      </c>
      <c r="C3447" t="s">
        <v>111</v>
      </c>
      <c r="D3447" t="s">
        <v>112</v>
      </c>
      <c r="G3447" t="s">
        <v>35</v>
      </c>
      <c r="H3447">
        <v>1</v>
      </c>
      <c r="K3447" t="s">
        <v>268</v>
      </c>
      <c r="L3447" t="s">
        <v>269</v>
      </c>
      <c r="M3447" t="s">
        <v>131</v>
      </c>
      <c r="N3447">
        <v>21</v>
      </c>
      <c r="P3447" t="s">
        <v>41</v>
      </c>
      <c r="Q3447" t="s">
        <v>75</v>
      </c>
      <c r="R3447" t="str">
        <f>"7052008"</f>
        <v>7052008</v>
      </c>
      <c r="S3447" t="s">
        <v>274</v>
      </c>
      <c r="T3447" t="s">
        <v>268</v>
      </c>
      <c r="U3447" t="s">
        <v>269</v>
      </c>
      <c r="V3447" t="s">
        <v>131</v>
      </c>
      <c r="W3447" t="s">
        <v>51</v>
      </c>
      <c r="X3447" t="s">
        <v>45</v>
      </c>
      <c r="Y3447" s="1">
        <v>21973</v>
      </c>
      <c r="Z3447">
        <v>1</v>
      </c>
      <c r="AA3447" t="s">
        <v>269</v>
      </c>
      <c r="AB3447" s="40" t="s">
        <v>1799</v>
      </c>
    </row>
    <row r="3448" spans="1:28" x14ac:dyDescent="0.25">
      <c r="A3448">
        <v>99913447</v>
      </c>
      <c r="B3448" t="s">
        <v>56</v>
      </c>
      <c r="C3448" t="s">
        <v>111</v>
      </c>
      <c r="D3448" t="s">
        <v>112</v>
      </c>
      <c r="G3448" t="s">
        <v>48</v>
      </c>
      <c r="H3448">
        <v>12</v>
      </c>
      <c r="K3448" t="s">
        <v>354</v>
      </c>
      <c r="L3448" t="s">
        <v>355</v>
      </c>
      <c r="M3448" t="s">
        <v>131</v>
      </c>
      <c r="N3448">
        <v>21</v>
      </c>
      <c r="P3448" t="s">
        <v>41</v>
      </c>
      <c r="Q3448" t="s">
        <v>75</v>
      </c>
      <c r="R3448" t="str">
        <f>"7054004"</f>
        <v>7054004</v>
      </c>
      <c r="S3448" t="s">
        <v>798</v>
      </c>
      <c r="T3448" t="s">
        <v>354</v>
      </c>
      <c r="U3448" t="s">
        <v>355</v>
      </c>
      <c r="V3448" t="s">
        <v>131</v>
      </c>
      <c r="W3448" t="s">
        <v>51</v>
      </c>
      <c r="X3448" t="s">
        <v>45</v>
      </c>
      <c r="Y3448" s="1">
        <v>21972</v>
      </c>
      <c r="Z3448">
        <v>1</v>
      </c>
      <c r="AA3448" t="s">
        <v>355</v>
      </c>
      <c r="AB3448" s="40" t="s">
        <v>1799</v>
      </c>
    </row>
    <row r="3449" spans="1:28" x14ac:dyDescent="0.25">
      <c r="A3449">
        <v>99913448</v>
      </c>
      <c r="B3449" t="s">
        <v>32</v>
      </c>
      <c r="C3449" t="s">
        <v>111</v>
      </c>
      <c r="D3449" t="s">
        <v>112</v>
      </c>
      <c r="G3449" t="s">
        <v>35</v>
      </c>
      <c r="H3449">
        <v>1</v>
      </c>
      <c r="I3449" t="s">
        <v>646</v>
      </c>
      <c r="J3449" s="1">
        <v>43344</v>
      </c>
      <c r="K3449" t="s">
        <v>268</v>
      </c>
      <c r="L3449" t="s">
        <v>269</v>
      </c>
      <c r="M3449" t="s">
        <v>131</v>
      </c>
      <c r="N3449">
        <v>21</v>
      </c>
      <c r="O3449" s="1">
        <v>43344</v>
      </c>
      <c r="P3449" t="s">
        <v>41</v>
      </c>
      <c r="Q3449" t="s">
        <v>75</v>
      </c>
      <c r="R3449" t="str">
        <f>"7052020"</f>
        <v>7052020</v>
      </c>
      <c r="S3449" t="s">
        <v>267</v>
      </c>
      <c r="T3449" t="s">
        <v>268</v>
      </c>
      <c r="U3449" t="s">
        <v>269</v>
      </c>
      <c r="V3449" t="s">
        <v>131</v>
      </c>
      <c r="W3449" t="s">
        <v>51</v>
      </c>
      <c r="X3449" t="s">
        <v>45</v>
      </c>
      <c r="Y3449" s="1">
        <v>21964</v>
      </c>
      <c r="Z3449">
        <v>1</v>
      </c>
      <c r="AA3449" t="s">
        <v>269</v>
      </c>
      <c r="AB3449" s="40" t="s">
        <v>1799</v>
      </c>
    </row>
    <row r="3450" spans="1:28" x14ac:dyDescent="0.25">
      <c r="A3450">
        <v>99913449</v>
      </c>
      <c r="B3450" t="s">
        <v>32</v>
      </c>
      <c r="C3450" t="s">
        <v>64</v>
      </c>
      <c r="D3450" t="s">
        <v>65</v>
      </c>
      <c r="G3450" t="s">
        <v>35</v>
      </c>
      <c r="H3450">
        <v>15</v>
      </c>
      <c r="K3450" t="s">
        <v>268</v>
      </c>
      <c r="L3450" t="s">
        <v>269</v>
      </c>
      <c r="M3450" t="s">
        <v>131</v>
      </c>
      <c r="N3450">
        <v>21</v>
      </c>
      <c r="P3450" t="s">
        <v>41</v>
      </c>
      <c r="Q3450" t="s">
        <v>75</v>
      </c>
      <c r="R3450" t="str">
        <f>"7052004"</f>
        <v>7052004</v>
      </c>
      <c r="S3450" t="s">
        <v>584</v>
      </c>
      <c r="T3450" t="s">
        <v>268</v>
      </c>
      <c r="U3450" t="s">
        <v>269</v>
      </c>
      <c r="V3450" t="s">
        <v>131</v>
      </c>
      <c r="W3450" t="s">
        <v>165</v>
      </c>
      <c r="X3450" t="s">
        <v>45</v>
      </c>
      <c r="Y3450" s="1">
        <v>21916</v>
      </c>
      <c r="Z3450">
        <v>1</v>
      </c>
      <c r="AA3450" t="s">
        <v>269</v>
      </c>
      <c r="AB3450" s="40" t="s">
        <v>1799</v>
      </c>
    </row>
    <row r="3451" spans="1:28" x14ac:dyDescent="0.25">
      <c r="A3451">
        <v>99913450</v>
      </c>
      <c r="B3451" t="s">
        <v>32</v>
      </c>
      <c r="C3451" t="s">
        <v>141</v>
      </c>
      <c r="D3451" t="s">
        <v>142</v>
      </c>
      <c r="G3451" t="s">
        <v>48</v>
      </c>
      <c r="H3451">
        <v>1</v>
      </c>
      <c r="K3451" t="s">
        <v>667</v>
      </c>
      <c r="L3451" t="s">
        <v>669</v>
      </c>
      <c r="M3451" t="s">
        <v>670</v>
      </c>
      <c r="N3451">
        <v>21</v>
      </c>
      <c r="P3451" t="s">
        <v>41</v>
      </c>
      <c r="Q3451" t="s">
        <v>75</v>
      </c>
      <c r="R3451" t="str">
        <f>"7501000"</f>
        <v>7501000</v>
      </c>
      <c r="S3451" t="s">
        <v>668</v>
      </c>
      <c r="T3451" t="s">
        <v>667</v>
      </c>
      <c r="U3451" t="s">
        <v>669</v>
      </c>
      <c r="V3451" t="s">
        <v>670</v>
      </c>
      <c r="W3451" t="s">
        <v>51</v>
      </c>
      <c r="X3451" t="s">
        <v>45</v>
      </c>
      <c r="Y3451" s="1">
        <v>21916</v>
      </c>
      <c r="Z3451">
        <v>1</v>
      </c>
      <c r="AA3451" t="s">
        <v>669</v>
      </c>
      <c r="AB3451" s="40" t="s">
        <v>1799</v>
      </c>
    </row>
    <row r="3452" spans="1:28" x14ac:dyDescent="0.25">
      <c r="A3452">
        <v>99913451</v>
      </c>
      <c r="B3452" t="s">
        <v>56</v>
      </c>
      <c r="C3452" t="s">
        <v>139</v>
      </c>
      <c r="D3452" t="s">
        <v>140</v>
      </c>
      <c r="G3452" t="s">
        <v>48</v>
      </c>
      <c r="H3452">
        <v>1</v>
      </c>
      <c r="K3452" t="s">
        <v>223</v>
      </c>
      <c r="L3452" t="s">
        <v>224</v>
      </c>
      <c r="M3452" t="s">
        <v>131</v>
      </c>
      <c r="N3452">
        <v>21</v>
      </c>
      <c r="P3452" t="s">
        <v>41</v>
      </c>
      <c r="Q3452" t="s">
        <v>49</v>
      </c>
      <c r="R3452" t="str">
        <f>"0581207"</f>
        <v>0581207</v>
      </c>
      <c r="S3452" t="s">
        <v>233</v>
      </c>
      <c r="T3452" t="s">
        <v>223</v>
      </c>
      <c r="U3452" t="s">
        <v>224</v>
      </c>
      <c r="V3452" t="s">
        <v>131</v>
      </c>
      <c r="W3452" t="s">
        <v>51</v>
      </c>
      <c r="X3452" t="s">
        <v>45</v>
      </c>
      <c r="Y3452" s="1">
        <v>21915</v>
      </c>
      <c r="Z3452">
        <v>2</v>
      </c>
      <c r="AA3452" t="s">
        <v>224</v>
      </c>
      <c r="AB3452" s="40" t="s">
        <v>1799</v>
      </c>
    </row>
    <row r="3453" spans="1:28" x14ac:dyDescent="0.25">
      <c r="A3453">
        <v>99913452</v>
      </c>
      <c r="B3453" t="s">
        <v>32</v>
      </c>
      <c r="C3453" t="s">
        <v>141</v>
      </c>
      <c r="D3453" t="s">
        <v>142</v>
      </c>
      <c r="G3453" t="s">
        <v>35</v>
      </c>
      <c r="H3453">
        <v>19</v>
      </c>
      <c r="K3453" t="s">
        <v>268</v>
      </c>
      <c r="L3453" t="s">
        <v>269</v>
      </c>
      <c r="M3453" t="s">
        <v>131</v>
      </c>
      <c r="N3453">
        <v>21</v>
      </c>
      <c r="P3453" t="s">
        <v>41</v>
      </c>
      <c r="Q3453" t="s">
        <v>75</v>
      </c>
      <c r="R3453" t="str">
        <f>"7052006"</f>
        <v>7052006</v>
      </c>
      <c r="S3453" t="s">
        <v>575</v>
      </c>
      <c r="T3453" t="s">
        <v>268</v>
      </c>
      <c r="U3453" t="s">
        <v>269</v>
      </c>
      <c r="V3453" t="s">
        <v>131</v>
      </c>
      <c r="W3453" t="s">
        <v>165</v>
      </c>
      <c r="X3453" t="s">
        <v>45</v>
      </c>
      <c r="Y3453" s="1">
        <v>21911</v>
      </c>
      <c r="Z3453">
        <v>1</v>
      </c>
      <c r="AA3453" t="s">
        <v>269</v>
      </c>
      <c r="AB3453" s="40" t="s">
        <v>1799</v>
      </c>
    </row>
    <row r="3454" spans="1:28" x14ac:dyDescent="0.25">
      <c r="A3454">
        <v>99913453</v>
      </c>
      <c r="B3454" t="s">
        <v>32</v>
      </c>
      <c r="C3454" t="s">
        <v>111</v>
      </c>
      <c r="D3454" t="s">
        <v>112</v>
      </c>
      <c r="G3454" t="s">
        <v>35</v>
      </c>
      <c r="H3454">
        <v>1</v>
      </c>
      <c r="I3454" t="s">
        <v>690</v>
      </c>
      <c r="J3454" s="1">
        <v>43344</v>
      </c>
      <c r="K3454" t="s">
        <v>268</v>
      </c>
      <c r="L3454" t="s">
        <v>269</v>
      </c>
      <c r="M3454" t="s">
        <v>131</v>
      </c>
      <c r="N3454">
        <v>21</v>
      </c>
      <c r="O3454" s="1">
        <v>43344</v>
      </c>
      <c r="P3454" t="s">
        <v>41</v>
      </c>
      <c r="Q3454" t="s">
        <v>75</v>
      </c>
      <c r="R3454" t="str">
        <f>"7052020"</f>
        <v>7052020</v>
      </c>
      <c r="S3454" t="s">
        <v>267</v>
      </c>
      <c r="T3454" t="s">
        <v>268</v>
      </c>
      <c r="U3454" t="s">
        <v>269</v>
      </c>
      <c r="V3454" t="s">
        <v>131</v>
      </c>
      <c r="W3454" t="s">
        <v>51</v>
      </c>
      <c r="X3454" t="s">
        <v>45</v>
      </c>
      <c r="Y3454" s="1">
        <v>21793</v>
      </c>
      <c r="Z3454">
        <v>1</v>
      </c>
      <c r="AA3454" t="s">
        <v>269</v>
      </c>
      <c r="AB3454" s="40" t="s">
        <v>1799</v>
      </c>
    </row>
    <row r="3455" spans="1:28" x14ac:dyDescent="0.25">
      <c r="A3455">
        <v>99913454</v>
      </c>
      <c r="B3455" t="s">
        <v>32</v>
      </c>
      <c r="C3455" t="s">
        <v>111</v>
      </c>
      <c r="D3455" t="s">
        <v>112</v>
      </c>
      <c r="G3455" t="s">
        <v>35</v>
      </c>
      <c r="H3455">
        <v>1</v>
      </c>
      <c r="I3455" t="s">
        <v>800</v>
      </c>
      <c r="J3455" s="1">
        <v>43344</v>
      </c>
      <c r="K3455" t="s">
        <v>354</v>
      </c>
      <c r="L3455" t="s">
        <v>355</v>
      </c>
      <c r="M3455" t="s">
        <v>131</v>
      </c>
      <c r="N3455">
        <v>21</v>
      </c>
      <c r="O3455" s="1">
        <v>43344</v>
      </c>
      <c r="P3455" t="s">
        <v>41</v>
      </c>
      <c r="Q3455" t="s">
        <v>75</v>
      </c>
      <c r="R3455" t="str">
        <f>"7054032"</f>
        <v>7054032</v>
      </c>
      <c r="S3455" t="s">
        <v>767</v>
      </c>
      <c r="T3455" t="s">
        <v>354</v>
      </c>
      <c r="U3455" t="s">
        <v>355</v>
      </c>
      <c r="V3455" t="s">
        <v>131</v>
      </c>
      <c r="W3455" t="s">
        <v>51</v>
      </c>
      <c r="X3455" t="s">
        <v>45</v>
      </c>
      <c r="Y3455" s="1">
        <v>21781</v>
      </c>
      <c r="Z3455">
        <v>1</v>
      </c>
      <c r="AA3455" t="s">
        <v>355</v>
      </c>
      <c r="AB3455" s="40" t="s">
        <v>1799</v>
      </c>
    </row>
    <row r="3456" spans="1:28" x14ac:dyDescent="0.25">
      <c r="A3456">
        <v>99913455</v>
      </c>
      <c r="B3456" t="s">
        <v>32</v>
      </c>
      <c r="C3456" t="s">
        <v>111</v>
      </c>
      <c r="D3456" t="s">
        <v>112</v>
      </c>
      <c r="G3456" t="s">
        <v>35</v>
      </c>
      <c r="H3456">
        <v>1</v>
      </c>
      <c r="K3456" t="s">
        <v>1502</v>
      </c>
      <c r="L3456" t="s">
        <v>1503</v>
      </c>
      <c r="M3456" t="s">
        <v>670</v>
      </c>
      <c r="N3456">
        <v>21</v>
      </c>
      <c r="P3456" t="s">
        <v>41</v>
      </c>
      <c r="Q3456" t="s">
        <v>75</v>
      </c>
      <c r="R3456" t="str">
        <f>"7171000"</f>
        <v>7171000</v>
      </c>
      <c r="S3456" t="s">
        <v>1506</v>
      </c>
      <c r="T3456" t="s">
        <v>1502</v>
      </c>
      <c r="U3456" t="s">
        <v>1503</v>
      </c>
      <c r="V3456" t="s">
        <v>670</v>
      </c>
      <c r="W3456" t="s">
        <v>51</v>
      </c>
      <c r="X3456" t="s">
        <v>45</v>
      </c>
      <c r="Y3456" s="1">
        <v>21626</v>
      </c>
      <c r="Z3456">
        <v>1</v>
      </c>
      <c r="AA3456" t="s">
        <v>1503</v>
      </c>
      <c r="AB3456" s="40" t="s">
        <v>1799</v>
      </c>
    </row>
    <row r="3457" spans="1:28" x14ac:dyDescent="0.25">
      <c r="A3457">
        <v>99913456</v>
      </c>
      <c r="B3457" t="s">
        <v>32</v>
      </c>
      <c r="C3457" t="s">
        <v>71</v>
      </c>
      <c r="D3457" t="s">
        <v>72</v>
      </c>
      <c r="G3457" t="s">
        <v>35</v>
      </c>
      <c r="H3457">
        <v>1</v>
      </c>
      <c r="K3457" t="s">
        <v>1546</v>
      </c>
      <c r="L3457" t="s">
        <v>1547</v>
      </c>
      <c r="M3457" t="s">
        <v>1548</v>
      </c>
      <c r="N3457">
        <v>21</v>
      </c>
      <c r="P3457" t="s">
        <v>41</v>
      </c>
      <c r="Q3457" t="s">
        <v>49</v>
      </c>
      <c r="R3457" t="str">
        <f>"1081010"</f>
        <v>1081010</v>
      </c>
      <c r="S3457" t="s">
        <v>1552</v>
      </c>
      <c r="T3457" t="s">
        <v>1546</v>
      </c>
      <c r="U3457" t="s">
        <v>1547</v>
      </c>
      <c r="V3457" t="s">
        <v>1548</v>
      </c>
      <c r="W3457" t="s">
        <v>51</v>
      </c>
      <c r="X3457" t="s">
        <v>45</v>
      </c>
      <c r="Y3457" s="1">
        <v>21583</v>
      </c>
      <c r="Z3457">
        <v>2</v>
      </c>
      <c r="AA3457" t="s">
        <v>1547</v>
      </c>
      <c r="AB3457" s="40" t="s">
        <v>1799</v>
      </c>
    </row>
    <row r="3458" spans="1:28" x14ac:dyDescent="0.25">
      <c r="A3458">
        <v>99913457</v>
      </c>
      <c r="B3458" t="s">
        <v>56</v>
      </c>
      <c r="C3458" t="s">
        <v>111</v>
      </c>
      <c r="D3458" t="s">
        <v>112</v>
      </c>
      <c r="G3458" t="s">
        <v>35</v>
      </c>
      <c r="H3458">
        <v>1</v>
      </c>
      <c r="K3458" t="s">
        <v>1341</v>
      </c>
      <c r="L3458" t="s">
        <v>1342</v>
      </c>
      <c r="M3458" t="s">
        <v>1270</v>
      </c>
      <c r="N3458">
        <v>21</v>
      </c>
      <c r="P3458" t="s">
        <v>41</v>
      </c>
      <c r="Q3458" t="s">
        <v>75</v>
      </c>
      <c r="R3458" t="str">
        <f>"7191006"</f>
        <v>7191006</v>
      </c>
      <c r="S3458" t="s">
        <v>1351</v>
      </c>
      <c r="T3458" t="s">
        <v>1341</v>
      </c>
      <c r="U3458" t="s">
        <v>1342</v>
      </c>
      <c r="V3458" t="s">
        <v>1270</v>
      </c>
      <c r="W3458" t="s">
        <v>51</v>
      </c>
      <c r="X3458" t="s">
        <v>45</v>
      </c>
      <c r="Y3458" s="1">
        <v>21333</v>
      </c>
      <c r="Z3458">
        <v>1</v>
      </c>
      <c r="AA3458" t="s">
        <v>1342</v>
      </c>
      <c r="AB3458" s="40" t="s">
        <v>1799</v>
      </c>
    </row>
    <row r="3459" spans="1:28" x14ac:dyDescent="0.25">
      <c r="A3459">
        <v>99913458</v>
      </c>
      <c r="B3459" t="s">
        <v>32</v>
      </c>
      <c r="C3459" t="s">
        <v>64</v>
      </c>
      <c r="D3459" t="s">
        <v>65</v>
      </c>
      <c r="G3459" t="s">
        <v>48</v>
      </c>
      <c r="H3459">
        <v>1</v>
      </c>
      <c r="K3459" t="s">
        <v>157</v>
      </c>
      <c r="L3459" t="s">
        <v>158</v>
      </c>
      <c r="M3459" t="s">
        <v>131</v>
      </c>
      <c r="N3459">
        <v>21</v>
      </c>
      <c r="P3459" t="s">
        <v>41</v>
      </c>
      <c r="Q3459" t="s">
        <v>49</v>
      </c>
      <c r="R3459" t="str">
        <f>"0560019"</f>
        <v>0560019</v>
      </c>
      <c r="S3459" t="s">
        <v>166</v>
      </c>
      <c r="T3459" t="s">
        <v>157</v>
      </c>
      <c r="U3459" t="s">
        <v>158</v>
      </c>
      <c r="V3459" t="s">
        <v>131</v>
      </c>
      <c r="W3459" t="s">
        <v>51</v>
      </c>
      <c r="X3459" t="s">
        <v>45</v>
      </c>
      <c r="Y3459" s="1">
        <v>21282</v>
      </c>
      <c r="Z3459">
        <v>2</v>
      </c>
      <c r="AA3459" t="s">
        <v>158</v>
      </c>
      <c r="AB3459" s="40" t="s">
        <v>1799</v>
      </c>
    </row>
    <row r="3460" spans="1:28" x14ac:dyDescent="0.25">
      <c r="A3460">
        <v>99913459</v>
      </c>
      <c r="B3460" t="s">
        <v>56</v>
      </c>
      <c r="C3460" t="s">
        <v>52</v>
      </c>
      <c r="D3460" t="s">
        <v>53</v>
      </c>
      <c r="G3460" t="s">
        <v>35</v>
      </c>
      <c r="H3460">
        <v>1</v>
      </c>
      <c r="I3460">
        <v>6983</v>
      </c>
      <c r="J3460" s="1">
        <v>43344</v>
      </c>
      <c r="K3460" t="s">
        <v>1306</v>
      </c>
      <c r="L3460" t="s">
        <v>1307</v>
      </c>
      <c r="M3460" t="s">
        <v>1270</v>
      </c>
      <c r="N3460">
        <v>21</v>
      </c>
      <c r="O3460" s="1">
        <v>43344</v>
      </c>
      <c r="P3460" t="s">
        <v>41</v>
      </c>
      <c r="Q3460" t="s">
        <v>42</v>
      </c>
      <c r="R3460" t="str">
        <f>"1990915"</f>
        <v>1990915</v>
      </c>
      <c r="S3460" t="s">
        <v>1308</v>
      </c>
      <c r="T3460" t="s">
        <v>1306</v>
      </c>
      <c r="U3460" t="s">
        <v>1307</v>
      </c>
      <c r="V3460" t="s">
        <v>1270</v>
      </c>
      <c r="W3460" t="s">
        <v>51</v>
      </c>
      <c r="X3460" t="s">
        <v>45</v>
      </c>
      <c r="Y3460" s="1">
        <v>21264</v>
      </c>
      <c r="Z3460">
        <v>2</v>
      </c>
      <c r="AA3460" t="s">
        <v>1307</v>
      </c>
      <c r="AB3460" s="40" t="s">
        <v>1799</v>
      </c>
    </row>
    <row r="3461" spans="1:28" x14ac:dyDescent="0.25">
      <c r="A3461">
        <v>99913460</v>
      </c>
      <c r="B3461" t="s">
        <v>32</v>
      </c>
      <c r="C3461" t="s">
        <v>111</v>
      </c>
      <c r="D3461" t="s">
        <v>112</v>
      </c>
      <c r="G3461" t="s">
        <v>35</v>
      </c>
      <c r="H3461">
        <v>19</v>
      </c>
      <c r="K3461" t="s">
        <v>268</v>
      </c>
      <c r="L3461" t="s">
        <v>269</v>
      </c>
      <c r="M3461" t="s">
        <v>131</v>
      </c>
      <c r="N3461">
        <v>21</v>
      </c>
      <c r="P3461" t="s">
        <v>41</v>
      </c>
      <c r="Q3461" t="s">
        <v>75</v>
      </c>
      <c r="R3461" t="str">
        <f>"7052002"</f>
        <v>7052002</v>
      </c>
      <c r="S3461" t="s">
        <v>590</v>
      </c>
      <c r="T3461" t="s">
        <v>268</v>
      </c>
      <c r="U3461" t="s">
        <v>269</v>
      </c>
      <c r="V3461" t="s">
        <v>131</v>
      </c>
      <c r="W3461" t="s">
        <v>165</v>
      </c>
      <c r="X3461" t="s">
        <v>45</v>
      </c>
      <c r="Y3461" s="1">
        <v>20974</v>
      </c>
      <c r="Z3461">
        <v>1</v>
      </c>
      <c r="AA3461" t="s">
        <v>269</v>
      </c>
      <c r="AB3461" s="40" t="s">
        <v>1799</v>
      </c>
    </row>
    <row r="3462" spans="1:28" x14ac:dyDescent="0.25">
      <c r="A3462">
        <v>99913461</v>
      </c>
      <c r="B3462" t="s">
        <v>56</v>
      </c>
      <c r="C3462" t="s">
        <v>33</v>
      </c>
      <c r="D3462" t="s">
        <v>34</v>
      </c>
      <c r="G3462" t="s">
        <v>48</v>
      </c>
      <c r="H3462">
        <v>5</v>
      </c>
      <c r="K3462" t="s">
        <v>345</v>
      </c>
      <c r="L3462" t="s">
        <v>346</v>
      </c>
      <c r="M3462" t="s">
        <v>131</v>
      </c>
      <c r="N3462">
        <v>21</v>
      </c>
      <c r="P3462" t="s">
        <v>41</v>
      </c>
      <c r="Q3462" t="s">
        <v>42</v>
      </c>
      <c r="R3462" t="str">
        <f>"0561019"</f>
        <v>0561019</v>
      </c>
      <c r="S3462" t="s">
        <v>351</v>
      </c>
      <c r="T3462" t="s">
        <v>345</v>
      </c>
      <c r="U3462" t="s">
        <v>346</v>
      </c>
      <c r="V3462" t="s">
        <v>131</v>
      </c>
      <c r="W3462" t="s">
        <v>51</v>
      </c>
      <c r="X3462" t="s">
        <v>45</v>
      </c>
      <c r="Y3462" s="1">
        <v>20821</v>
      </c>
      <c r="Z3462">
        <v>2</v>
      </c>
      <c r="AA3462" t="s">
        <v>346</v>
      </c>
      <c r="AB3462" s="40" t="s">
        <v>1799</v>
      </c>
    </row>
    <row r="3463" spans="1:28" x14ac:dyDescent="0.25">
      <c r="A3463">
        <v>99913462</v>
      </c>
      <c r="B3463" t="s">
        <v>56</v>
      </c>
      <c r="C3463" t="s">
        <v>52</v>
      </c>
      <c r="D3463" t="s">
        <v>53</v>
      </c>
      <c r="G3463" t="s">
        <v>48</v>
      </c>
      <c r="H3463">
        <v>1</v>
      </c>
      <c r="K3463" t="s">
        <v>1051</v>
      </c>
      <c r="L3463" t="s">
        <v>1052</v>
      </c>
      <c r="M3463" t="s">
        <v>1053</v>
      </c>
      <c r="N3463">
        <v>21</v>
      </c>
      <c r="P3463" t="s">
        <v>41</v>
      </c>
      <c r="Q3463" t="s">
        <v>42</v>
      </c>
      <c r="R3463" t="str">
        <f>"2061001"</f>
        <v>2061001</v>
      </c>
      <c r="S3463" t="s">
        <v>1058</v>
      </c>
      <c r="T3463" t="s">
        <v>1051</v>
      </c>
      <c r="U3463" t="s">
        <v>1052</v>
      </c>
      <c r="V3463" t="s">
        <v>1053</v>
      </c>
      <c r="W3463" t="s">
        <v>51</v>
      </c>
      <c r="X3463" t="s">
        <v>45</v>
      </c>
      <c r="Y3463" s="1">
        <v>20774</v>
      </c>
      <c r="Z3463">
        <v>2</v>
      </c>
      <c r="AA3463" t="s">
        <v>1052</v>
      </c>
      <c r="AB3463" s="40" t="s">
        <v>1799</v>
      </c>
    </row>
    <row r="3464" spans="1:28" x14ac:dyDescent="0.25">
      <c r="A3464">
        <v>99913463</v>
      </c>
      <c r="B3464" t="s">
        <v>32</v>
      </c>
      <c r="C3464" t="s">
        <v>111</v>
      </c>
      <c r="D3464" t="s">
        <v>112</v>
      </c>
      <c r="G3464" t="s">
        <v>48</v>
      </c>
      <c r="H3464">
        <v>1</v>
      </c>
      <c r="K3464" t="s">
        <v>1502</v>
      </c>
      <c r="L3464" t="s">
        <v>1503</v>
      </c>
      <c r="M3464" t="s">
        <v>670</v>
      </c>
      <c r="N3464">
        <v>21</v>
      </c>
      <c r="P3464" t="s">
        <v>41</v>
      </c>
      <c r="Q3464" t="s">
        <v>75</v>
      </c>
      <c r="R3464" t="str">
        <f>"7171000"</f>
        <v>7171000</v>
      </c>
      <c r="S3464" t="s">
        <v>1506</v>
      </c>
      <c r="T3464" t="s">
        <v>1502</v>
      </c>
      <c r="U3464" t="s">
        <v>1503</v>
      </c>
      <c r="V3464" t="s">
        <v>670</v>
      </c>
      <c r="W3464" t="s">
        <v>51</v>
      </c>
      <c r="X3464" t="s">
        <v>45</v>
      </c>
      <c r="Y3464" s="1">
        <v>20685</v>
      </c>
      <c r="Z3464">
        <v>1</v>
      </c>
      <c r="AA3464" t="s">
        <v>1503</v>
      </c>
      <c r="AB3464" s="40" t="s">
        <v>1799</v>
      </c>
    </row>
    <row r="3465" spans="1:28" x14ac:dyDescent="0.25">
      <c r="A3465">
        <v>99913464</v>
      </c>
      <c r="B3465" t="s">
        <v>32</v>
      </c>
      <c r="C3465" t="s">
        <v>111</v>
      </c>
      <c r="D3465" t="s">
        <v>112</v>
      </c>
      <c r="G3465" t="s">
        <v>48</v>
      </c>
      <c r="H3465">
        <v>12</v>
      </c>
      <c r="J3465" s="1">
        <v>43344</v>
      </c>
      <c r="K3465" t="s">
        <v>354</v>
      </c>
      <c r="L3465" t="s">
        <v>355</v>
      </c>
      <c r="M3465" t="s">
        <v>131</v>
      </c>
      <c r="N3465">
        <v>21</v>
      </c>
      <c r="O3465" s="1">
        <v>43344</v>
      </c>
      <c r="P3465" t="s">
        <v>41</v>
      </c>
      <c r="Q3465" t="s">
        <v>75</v>
      </c>
      <c r="R3465" t="str">
        <f>"7054004"</f>
        <v>7054004</v>
      </c>
      <c r="S3465" t="s">
        <v>798</v>
      </c>
      <c r="T3465" t="s">
        <v>354</v>
      </c>
      <c r="U3465" t="s">
        <v>355</v>
      </c>
      <c r="V3465" t="s">
        <v>131</v>
      </c>
      <c r="W3465" t="s">
        <v>51</v>
      </c>
      <c r="X3465" t="s">
        <v>45</v>
      </c>
      <c r="Y3465" s="1">
        <v>20658</v>
      </c>
      <c r="Z3465">
        <v>1</v>
      </c>
      <c r="AA3465" t="s">
        <v>355</v>
      </c>
      <c r="AB3465" s="40" t="s">
        <v>1799</v>
      </c>
    </row>
    <row r="3466" spans="1:28" x14ac:dyDescent="0.25">
      <c r="A3466">
        <v>99913465</v>
      </c>
      <c r="B3466" t="s">
        <v>56</v>
      </c>
      <c r="C3466" t="s">
        <v>52</v>
      </c>
      <c r="D3466" t="s">
        <v>53</v>
      </c>
      <c r="G3466" t="s">
        <v>48</v>
      </c>
      <c r="H3466">
        <v>1</v>
      </c>
      <c r="K3466" t="s">
        <v>223</v>
      </c>
      <c r="L3466" t="s">
        <v>224</v>
      </c>
      <c r="M3466" t="s">
        <v>131</v>
      </c>
      <c r="N3466">
        <v>21</v>
      </c>
      <c r="P3466" t="s">
        <v>41</v>
      </c>
      <c r="Q3466" t="s">
        <v>49</v>
      </c>
      <c r="R3466" t="str">
        <f>"0561022"</f>
        <v>0561022</v>
      </c>
      <c r="S3466" t="s">
        <v>225</v>
      </c>
      <c r="T3466" t="s">
        <v>223</v>
      </c>
      <c r="U3466" t="s">
        <v>224</v>
      </c>
      <c r="V3466" t="s">
        <v>131</v>
      </c>
      <c r="W3466" t="s">
        <v>51</v>
      </c>
      <c r="X3466" t="s">
        <v>45</v>
      </c>
      <c r="Y3466" s="1">
        <v>20566</v>
      </c>
      <c r="Z3466">
        <v>2</v>
      </c>
      <c r="AA3466" t="s">
        <v>224</v>
      </c>
      <c r="AB3466" s="40" t="s">
        <v>1799</v>
      </c>
    </row>
    <row r="3467" spans="1:28" x14ac:dyDescent="0.25">
      <c r="A3467">
        <v>99913466</v>
      </c>
      <c r="B3467" t="s">
        <v>32</v>
      </c>
      <c r="C3467" t="s">
        <v>64</v>
      </c>
      <c r="D3467" t="s">
        <v>65</v>
      </c>
      <c r="G3467" t="s">
        <v>35</v>
      </c>
      <c r="H3467">
        <v>17</v>
      </c>
      <c r="K3467" t="s">
        <v>268</v>
      </c>
      <c r="L3467" t="s">
        <v>269</v>
      </c>
      <c r="M3467" t="s">
        <v>131</v>
      </c>
      <c r="N3467">
        <v>21</v>
      </c>
      <c r="P3467" t="s">
        <v>41</v>
      </c>
      <c r="Q3467" t="s">
        <v>75</v>
      </c>
      <c r="R3467" t="str">
        <f>"7052006"</f>
        <v>7052006</v>
      </c>
      <c r="S3467" t="s">
        <v>575</v>
      </c>
      <c r="T3467" t="s">
        <v>268</v>
      </c>
      <c r="U3467" t="s">
        <v>269</v>
      </c>
      <c r="V3467" t="s">
        <v>131</v>
      </c>
      <c r="W3467" t="s">
        <v>51</v>
      </c>
      <c r="X3467" t="s">
        <v>45</v>
      </c>
      <c r="Y3467" s="1">
        <v>20131</v>
      </c>
      <c r="Z3467">
        <v>1</v>
      </c>
      <c r="AA3467" t="s">
        <v>269</v>
      </c>
      <c r="AB3467" s="40" t="s">
        <v>1799</v>
      </c>
    </row>
    <row r="3468" spans="1:28" x14ac:dyDescent="0.25">
      <c r="A3468">
        <v>99913467</v>
      </c>
      <c r="B3468" t="s">
        <v>32</v>
      </c>
      <c r="C3468" t="s">
        <v>111</v>
      </c>
      <c r="D3468" t="s">
        <v>112</v>
      </c>
      <c r="G3468" t="s">
        <v>35</v>
      </c>
      <c r="H3468">
        <v>1</v>
      </c>
      <c r="I3468">
        <v>117602</v>
      </c>
      <c r="J3468" s="1">
        <v>43344</v>
      </c>
      <c r="K3468" t="s">
        <v>354</v>
      </c>
      <c r="L3468" t="s">
        <v>355</v>
      </c>
      <c r="M3468" t="s">
        <v>131</v>
      </c>
      <c r="N3468">
        <v>21</v>
      </c>
      <c r="O3468" s="1">
        <v>43344</v>
      </c>
      <c r="P3468" t="s">
        <v>41</v>
      </c>
      <c r="Q3468" t="s">
        <v>75</v>
      </c>
      <c r="R3468" t="str">
        <f>"7054008"</f>
        <v>7054008</v>
      </c>
      <c r="S3468" t="s">
        <v>813</v>
      </c>
      <c r="T3468" t="s">
        <v>354</v>
      </c>
      <c r="U3468" t="s">
        <v>355</v>
      </c>
      <c r="V3468" t="s">
        <v>131</v>
      </c>
      <c r="W3468" t="s">
        <v>51</v>
      </c>
      <c r="X3468" t="s">
        <v>45</v>
      </c>
      <c r="Y3468" s="1">
        <v>19725</v>
      </c>
      <c r="Z3468">
        <v>1</v>
      </c>
      <c r="AA3468" t="s">
        <v>355</v>
      </c>
      <c r="AB3468" s="40" t="s">
        <v>1799</v>
      </c>
    </row>
    <row r="3469" spans="1:28" x14ac:dyDescent="0.25">
      <c r="A3469">
        <v>99913468</v>
      </c>
      <c r="B3469" t="s">
        <v>56</v>
      </c>
      <c r="C3469" t="s">
        <v>111</v>
      </c>
      <c r="D3469" t="s">
        <v>112</v>
      </c>
      <c r="G3469" t="s">
        <v>48</v>
      </c>
      <c r="H3469">
        <v>19</v>
      </c>
      <c r="J3469" s="1">
        <v>43344</v>
      </c>
      <c r="K3469" t="s">
        <v>354</v>
      </c>
      <c r="L3469" t="s">
        <v>355</v>
      </c>
      <c r="M3469" t="s">
        <v>131</v>
      </c>
      <c r="N3469">
        <v>21</v>
      </c>
      <c r="O3469" s="1">
        <v>43344</v>
      </c>
      <c r="P3469" t="s">
        <v>41</v>
      </c>
      <c r="Q3469" t="s">
        <v>75</v>
      </c>
      <c r="R3469" t="str">
        <f>"7054022"</f>
        <v>7054022</v>
      </c>
      <c r="S3469" t="s">
        <v>770</v>
      </c>
      <c r="T3469" t="s">
        <v>354</v>
      </c>
      <c r="U3469" t="s">
        <v>355</v>
      </c>
      <c r="V3469" t="s">
        <v>131</v>
      </c>
      <c r="W3469" t="s">
        <v>51</v>
      </c>
      <c r="X3469" t="s">
        <v>45</v>
      </c>
      <c r="Y3469" s="1">
        <v>19385</v>
      </c>
      <c r="Z3469">
        <v>1</v>
      </c>
      <c r="AA3469" t="s">
        <v>355</v>
      </c>
      <c r="AB3469" s="40" t="s">
        <v>1799</v>
      </c>
    </row>
    <row r="3470" spans="1:28" x14ac:dyDescent="0.25">
      <c r="A3470">
        <v>99913469</v>
      </c>
      <c r="B3470" t="s">
        <v>56</v>
      </c>
      <c r="C3470" t="s">
        <v>111</v>
      </c>
      <c r="D3470" t="s">
        <v>112</v>
      </c>
      <c r="G3470" t="s">
        <v>35</v>
      </c>
      <c r="H3470">
        <v>1</v>
      </c>
      <c r="I3470">
        <v>136806</v>
      </c>
      <c r="J3470" s="1">
        <v>43344</v>
      </c>
      <c r="K3470" t="s">
        <v>354</v>
      </c>
      <c r="L3470" t="s">
        <v>355</v>
      </c>
      <c r="M3470" t="s">
        <v>131</v>
      </c>
      <c r="N3470">
        <v>21</v>
      </c>
      <c r="O3470" s="1">
        <v>43344</v>
      </c>
      <c r="P3470" t="s">
        <v>41</v>
      </c>
      <c r="Q3470" t="s">
        <v>75</v>
      </c>
      <c r="R3470" t="str">
        <f>"7054022"</f>
        <v>7054022</v>
      </c>
      <c r="S3470" t="s">
        <v>770</v>
      </c>
      <c r="T3470" t="s">
        <v>354</v>
      </c>
      <c r="U3470" t="s">
        <v>355</v>
      </c>
      <c r="V3470" t="s">
        <v>131</v>
      </c>
      <c r="W3470" t="s">
        <v>51</v>
      </c>
      <c r="X3470" t="s">
        <v>45</v>
      </c>
      <c r="Y3470" s="1">
        <v>19360</v>
      </c>
      <c r="Z3470">
        <v>1</v>
      </c>
      <c r="AA3470" t="s">
        <v>355</v>
      </c>
      <c r="AB3470" s="40" t="s">
        <v>1799</v>
      </c>
    </row>
    <row r="3471" spans="1:28" x14ac:dyDescent="0.25">
      <c r="A3471">
        <v>99913470</v>
      </c>
      <c r="B3471" t="s">
        <v>32</v>
      </c>
      <c r="C3471" t="s">
        <v>111</v>
      </c>
      <c r="D3471" t="s">
        <v>112</v>
      </c>
      <c r="G3471" t="s">
        <v>48</v>
      </c>
      <c r="H3471">
        <v>1</v>
      </c>
      <c r="K3471" t="s">
        <v>154</v>
      </c>
      <c r="L3471" t="s">
        <v>155</v>
      </c>
      <c r="M3471" t="s">
        <v>131</v>
      </c>
      <c r="N3471">
        <v>21</v>
      </c>
      <c r="P3471" t="s">
        <v>41</v>
      </c>
      <c r="Q3471" t="s">
        <v>75</v>
      </c>
      <c r="R3471" t="str">
        <f>"7051002"</f>
        <v>7051002</v>
      </c>
      <c r="S3471" t="s">
        <v>395</v>
      </c>
      <c r="T3471" t="s">
        <v>154</v>
      </c>
      <c r="U3471" t="s">
        <v>155</v>
      </c>
      <c r="V3471" t="s">
        <v>131</v>
      </c>
      <c r="W3471" t="s">
        <v>51</v>
      </c>
      <c r="X3471" t="s">
        <v>45</v>
      </c>
      <c r="Y3471" s="1">
        <v>19353</v>
      </c>
      <c r="Z3471">
        <v>1</v>
      </c>
      <c r="AA3471" t="s">
        <v>155</v>
      </c>
      <c r="AB3471" s="40" t="s">
        <v>1799</v>
      </c>
    </row>
    <row r="3472" spans="1:28" x14ac:dyDescent="0.25">
      <c r="A3472">
        <v>99913471</v>
      </c>
      <c r="B3472" t="s">
        <v>32</v>
      </c>
      <c r="C3472" t="s">
        <v>64</v>
      </c>
      <c r="D3472" t="s">
        <v>65</v>
      </c>
      <c r="G3472" t="s">
        <v>35</v>
      </c>
      <c r="H3472">
        <v>1</v>
      </c>
      <c r="K3472" t="s">
        <v>223</v>
      </c>
      <c r="L3472" t="s">
        <v>224</v>
      </c>
      <c r="M3472" t="s">
        <v>131</v>
      </c>
      <c r="N3472">
        <v>21</v>
      </c>
      <c r="P3472" t="s">
        <v>41</v>
      </c>
      <c r="Q3472" t="s">
        <v>49</v>
      </c>
      <c r="R3472" t="str">
        <f>"0591901"</f>
        <v>0591901</v>
      </c>
      <c r="S3472" t="s">
        <v>230</v>
      </c>
      <c r="T3472" t="s">
        <v>223</v>
      </c>
      <c r="U3472" t="s">
        <v>224</v>
      </c>
      <c r="V3472" t="s">
        <v>131</v>
      </c>
      <c r="W3472" t="s">
        <v>51</v>
      </c>
      <c r="X3472" t="s">
        <v>45</v>
      </c>
      <c r="Y3472" s="1">
        <v>19150</v>
      </c>
      <c r="Z3472">
        <v>2</v>
      </c>
      <c r="AA3472" t="s">
        <v>224</v>
      </c>
      <c r="AB3472" s="40" t="s">
        <v>1799</v>
      </c>
    </row>
    <row r="3473" spans="1:28" x14ac:dyDescent="0.25">
      <c r="A3473">
        <v>99913472</v>
      </c>
      <c r="B3473" t="s">
        <v>32</v>
      </c>
      <c r="C3473" t="s">
        <v>111</v>
      </c>
      <c r="D3473" t="s">
        <v>112</v>
      </c>
      <c r="G3473" t="s">
        <v>35</v>
      </c>
      <c r="H3473">
        <v>1</v>
      </c>
      <c r="I3473">
        <v>117773</v>
      </c>
      <c r="J3473" s="1">
        <v>43344</v>
      </c>
      <c r="K3473" t="s">
        <v>354</v>
      </c>
      <c r="L3473" t="s">
        <v>355</v>
      </c>
      <c r="M3473" t="s">
        <v>131</v>
      </c>
      <c r="N3473">
        <v>21</v>
      </c>
      <c r="O3473" s="1">
        <v>43344</v>
      </c>
      <c r="P3473" t="s">
        <v>41</v>
      </c>
      <c r="Q3473" t="s">
        <v>75</v>
      </c>
      <c r="R3473" t="str">
        <f>"7054008"</f>
        <v>7054008</v>
      </c>
      <c r="S3473" t="s">
        <v>813</v>
      </c>
      <c r="T3473" t="s">
        <v>354</v>
      </c>
      <c r="U3473" t="s">
        <v>355</v>
      </c>
      <c r="V3473" t="s">
        <v>131</v>
      </c>
      <c r="W3473" t="s">
        <v>51</v>
      </c>
      <c r="X3473" t="s">
        <v>45</v>
      </c>
      <c r="Y3473" s="1">
        <v>18500</v>
      </c>
      <c r="Z3473">
        <v>1</v>
      </c>
      <c r="AA3473" t="s">
        <v>355</v>
      </c>
      <c r="AB3473" s="40" t="s">
        <v>1799</v>
      </c>
    </row>
    <row r="3474" spans="1:28" x14ac:dyDescent="0.25">
      <c r="A3474">
        <v>99913473</v>
      </c>
      <c r="B3474" t="s">
        <v>56</v>
      </c>
      <c r="C3474" t="s">
        <v>33</v>
      </c>
      <c r="D3474" t="s">
        <v>34</v>
      </c>
      <c r="G3474" t="s">
        <v>48</v>
      </c>
      <c r="H3474">
        <v>1</v>
      </c>
      <c r="K3474" t="s">
        <v>1268</v>
      </c>
      <c r="L3474" t="s">
        <v>1269</v>
      </c>
      <c r="M3474" t="s">
        <v>1270</v>
      </c>
      <c r="N3474">
        <v>21</v>
      </c>
      <c r="P3474" t="s">
        <v>41</v>
      </c>
      <c r="Q3474" t="s">
        <v>42</v>
      </c>
      <c r="R3474" t="str">
        <f>"1990911"</f>
        <v>1990911</v>
      </c>
      <c r="S3474" t="s">
        <v>1276</v>
      </c>
      <c r="T3474" t="s">
        <v>1268</v>
      </c>
      <c r="U3474" t="s">
        <v>1269</v>
      </c>
      <c r="V3474" t="s">
        <v>1270</v>
      </c>
      <c r="W3474" t="s">
        <v>165</v>
      </c>
      <c r="X3474" t="s">
        <v>45</v>
      </c>
      <c r="Y3474" s="1">
        <v>18169</v>
      </c>
      <c r="Z3474">
        <v>2</v>
      </c>
      <c r="AA3474" t="s">
        <v>1269</v>
      </c>
      <c r="AB3474" s="40" t="s">
        <v>1799</v>
      </c>
    </row>
    <row r="3475" spans="1:28" x14ac:dyDescent="0.25">
      <c r="A3475">
        <v>99913474</v>
      </c>
      <c r="B3475" t="s">
        <v>56</v>
      </c>
      <c r="C3475" t="s">
        <v>68</v>
      </c>
      <c r="D3475" t="s">
        <v>69</v>
      </c>
      <c r="G3475" t="s">
        <v>48</v>
      </c>
      <c r="H3475">
        <v>1</v>
      </c>
      <c r="K3475" t="s">
        <v>129</v>
      </c>
      <c r="L3475" t="s">
        <v>130</v>
      </c>
      <c r="M3475" t="s">
        <v>131</v>
      </c>
      <c r="N3475">
        <v>21</v>
      </c>
      <c r="P3475" t="s">
        <v>41</v>
      </c>
      <c r="Q3475" t="s">
        <v>49</v>
      </c>
      <c r="R3475" t="str">
        <f>"0591905"</f>
        <v>0591905</v>
      </c>
      <c r="S3475" t="s">
        <v>135</v>
      </c>
      <c r="T3475" t="s">
        <v>129</v>
      </c>
      <c r="U3475" t="s">
        <v>130</v>
      </c>
      <c r="V3475" t="s">
        <v>131</v>
      </c>
      <c r="W3475" t="s">
        <v>51</v>
      </c>
      <c r="X3475" t="s">
        <v>45</v>
      </c>
      <c r="Z3475">
        <v>2</v>
      </c>
      <c r="AA3475" t="s">
        <v>130</v>
      </c>
      <c r="AB3475" s="40" t="s">
        <v>1799</v>
      </c>
    </row>
    <row r="3476" spans="1:28" x14ac:dyDescent="0.25">
      <c r="A3476">
        <v>99913475</v>
      </c>
      <c r="B3476" t="s">
        <v>32</v>
      </c>
      <c r="C3476" t="s">
        <v>46</v>
      </c>
      <c r="D3476" t="s">
        <v>47</v>
      </c>
      <c r="G3476" t="s">
        <v>48</v>
      </c>
      <c r="H3476">
        <v>1</v>
      </c>
      <c r="K3476" t="s">
        <v>129</v>
      </c>
      <c r="L3476" t="s">
        <v>130</v>
      </c>
      <c r="M3476" t="s">
        <v>131</v>
      </c>
      <c r="N3476">
        <v>21</v>
      </c>
      <c r="P3476" t="s">
        <v>41</v>
      </c>
      <c r="Q3476" t="s">
        <v>49</v>
      </c>
      <c r="R3476" t="str">
        <f>"0591905"</f>
        <v>0591905</v>
      </c>
      <c r="S3476" t="s">
        <v>135</v>
      </c>
      <c r="T3476" t="s">
        <v>129</v>
      </c>
      <c r="U3476" t="s">
        <v>130</v>
      </c>
      <c r="V3476" t="s">
        <v>131</v>
      </c>
      <c r="W3476" t="s">
        <v>51</v>
      </c>
      <c r="X3476" t="s">
        <v>45</v>
      </c>
      <c r="Z3476">
        <v>2</v>
      </c>
      <c r="AA3476" t="s">
        <v>130</v>
      </c>
      <c r="AB3476" s="40" t="s">
        <v>1799</v>
      </c>
    </row>
    <row r="3477" spans="1:28" x14ac:dyDescent="0.25">
      <c r="A3477">
        <v>99913476</v>
      </c>
      <c r="B3477" t="s">
        <v>32</v>
      </c>
      <c r="C3477" t="s">
        <v>145</v>
      </c>
      <c r="D3477" t="s">
        <v>146</v>
      </c>
      <c r="G3477" t="s">
        <v>35</v>
      </c>
      <c r="H3477">
        <v>1</v>
      </c>
      <c r="K3477" t="s">
        <v>157</v>
      </c>
      <c r="L3477" t="s">
        <v>158</v>
      </c>
      <c r="M3477" t="s">
        <v>131</v>
      </c>
      <c r="N3477">
        <v>21</v>
      </c>
      <c r="P3477" t="s">
        <v>41</v>
      </c>
      <c r="Q3477" t="s">
        <v>49</v>
      </c>
      <c r="R3477" t="str">
        <f>"0580505"</f>
        <v>0580505</v>
      </c>
      <c r="S3477" t="s">
        <v>168</v>
      </c>
      <c r="T3477" t="s">
        <v>157</v>
      </c>
      <c r="U3477" t="s">
        <v>158</v>
      </c>
      <c r="V3477" t="s">
        <v>131</v>
      </c>
      <c r="W3477" t="s">
        <v>51</v>
      </c>
      <c r="X3477" t="s">
        <v>45</v>
      </c>
      <c r="Z3477">
        <v>2</v>
      </c>
      <c r="AA3477" t="s">
        <v>158</v>
      </c>
      <c r="AB3477" s="40" t="s">
        <v>1799</v>
      </c>
    </row>
    <row r="3478" spans="1:28" x14ac:dyDescent="0.25">
      <c r="A3478">
        <v>99913477</v>
      </c>
      <c r="B3478" t="s">
        <v>32</v>
      </c>
      <c r="C3478" t="s">
        <v>52</v>
      </c>
      <c r="D3478" t="s">
        <v>53</v>
      </c>
      <c r="G3478" t="s">
        <v>35</v>
      </c>
      <c r="H3478">
        <v>1</v>
      </c>
      <c r="I3478">
        <v>19616</v>
      </c>
      <c r="J3478" s="1">
        <v>43412</v>
      </c>
      <c r="K3478" t="s">
        <v>157</v>
      </c>
      <c r="L3478" t="s">
        <v>158</v>
      </c>
      <c r="M3478" t="s">
        <v>131</v>
      </c>
      <c r="N3478">
        <v>21</v>
      </c>
      <c r="O3478" s="1">
        <v>43412</v>
      </c>
      <c r="P3478" t="s">
        <v>41</v>
      </c>
      <c r="Q3478" t="s">
        <v>42</v>
      </c>
      <c r="R3478" t="str">
        <f>"0561031"</f>
        <v>0561031</v>
      </c>
      <c r="S3478" t="s">
        <v>177</v>
      </c>
      <c r="T3478" t="s">
        <v>157</v>
      </c>
      <c r="U3478" t="s">
        <v>158</v>
      </c>
      <c r="V3478" t="s">
        <v>131</v>
      </c>
      <c r="W3478" t="s">
        <v>51</v>
      </c>
      <c r="X3478" t="s">
        <v>45</v>
      </c>
      <c r="Z3478">
        <v>2</v>
      </c>
      <c r="AA3478" t="s">
        <v>158</v>
      </c>
      <c r="AB3478" s="40" t="s">
        <v>1799</v>
      </c>
    </row>
    <row r="3479" spans="1:28" x14ac:dyDescent="0.25">
      <c r="A3479">
        <v>99913478</v>
      </c>
      <c r="B3479" t="s">
        <v>32</v>
      </c>
      <c r="C3479" t="s">
        <v>46</v>
      </c>
      <c r="D3479" t="s">
        <v>47</v>
      </c>
      <c r="G3479" t="s">
        <v>35</v>
      </c>
      <c r="H3479">
        <v>1</v>
      </c>
      <c r="K3479" t="s">
        <v>162</v>
      </c>
      <c r="L3479" t="s">
        <v>158</v>
      </c>
      <c r="M3479" t="s">
        <v>131</v>
      </c>
      <c r="N3479">
        <v>21</v>
      </c>
      <c r="P3479" t="s">
        <v>41</v>
      </c>
      <c r="Q3479" t="s">
        <v>49</v>
      </c>
      <c r="R3479" t="str">
        <f>"0560003"</f>
        <v>0560003</v>
      </c>
      <c r="S3479" t="s">
        <v>181</v>
      </c>
      <c r="T3479" t="s">
        <v>162</v>
      </c>
      <c r="U3479" t="s">
        <v>158</v>
      </c>
      <c r="V3479" t="s">
        <v>131</v>
      </c>
      <c r="W3479" t="s">
        <v>51</v>
      </c>
      <c r="X3479" t="s">
        <v>45</v>
      </c>
      <c r="Z3479">
        <v>2</v>
      </c>
      <c r="AA3479" t="s">
        <v>158</v>
      </c>
      <c r="AB3479" s="40" t="s">
        <v>1799</v>
      </c>
    </row>
    <row r="3480" spans="1:28" x14ac:dyDescent="0.25">
      <c r="A3480">
        <v>99913479</v>
      </c>
      <c r="B3480" t="s">
        <v>56</v>
      </c>
      <c r="C3480" t="s">
        <v>52</v>
      </c>
      <c r="D3480" t="s">
        <v>53</v>
      </c>
      <c r="G3480" t="s">
        <v>35</v>
      </c>
      <c r="H3480">
        <v>1</v>
      </c>
      <c r="I3480">
        <v>23138</v>
      </c>
      <c r="J3480" s="1">
        <v>43451</v>
      </c>
      <c r="K3480" t="s">
        <v>157</v>
      </c>
      <c r="L3480" t="s">
        <v>158</v>
      </c>
      <c r="M3480" t="s">
        <v>131</v>
      </c>
      <c r="N3480">
        <v>21</v>
      </c>
      <c r="O3480" s="1">
        <v>43451</v>
      </c>
      <c r="R3480" t="str">
        <f>""</f>
        <v/>
      </c>
      <c r="U3480" t="s">
        <v>158</v>
      </c>
      <c r="V3480" t="s">
        <v>131</v>
      </c>
      <c r="W3480" t="s">
        <v>51</v>
      </c>
      <c r="X3480" t="s">
        <v>45</v>
      </c>
      <c r="Z3480">
        <v>2</v>
      </c>
      <c r="AA3480" t="s">
        <v>158</v>
      </c>
      <c r="AB3480" s="40" t="s">
        <v>1799</v>
      </c>
    </row>
    <row r="3481" spans="1:28" x14ac:dyDescent="0.25">
      <c r="A3481">
        <v>99913480</v>
      </c>
      <c r="B3481" t="s">
        <v>32</v>
      </c>
      <c r="C3481" t="s">
        <v>145</v>
      </c>
      <c r="D3481" t="s">
        <v>146</v>
      </c>
      <c r="G3481" t="s">
        <v>35</v>
      </c>
      <c r="H3481">
        <v>1</v>
      </c>
      <c r="I3481">
        <v>19618</v>
      </c>
      <c r="J3481" s="1">
        <v>43412</v>
      </c>
      <c r="K3481" t="s">
        <v>157</v>
      </c>
      <c r="L3481" t="s">
        <v>158</v>
      </c>
      <c r="M3481" t="s">
        <v>131</v>
      </c>
      <c r="N3481">
        <v>21</v>
      </c>
      <c r="O3481" s="1">
        <v>43412</v>
      </c>
      <c r="P3481" t="s">
        <v>41</v>
      </c>
      <c r="Q3481" t="s">
        <v>42</v>
      </c>
      <c r="R3481" t="str">
        <f>"0561031"</f>
        <v>0561031</v>
      </c>
      <c r="S3481" t="s">
        <v>177</v>
      </c>
      <c r="T3481" t="s">
        <v>157</v>
      </c>
      <c r="U3481" t="s">
        <v>158</v>
      </c>
      <c r="V3481" t="s">
        <v>131</v>
      </c>
      <c r="W3481" t="s">
        <v>51</v>
      </c>
      <c r="X3481" t="s">
        <v>45</v>
      </c>
      <c r="Z3481">
        <v>2</v>
      </c>
      <c r="AA3481" t="s">
        <v>158</v>
      </c>
      <c r="AB3481" s="40" t="s">
        <v>1799</v>
      </c>
    </row>
    <row r="3482" spans="1:28" x14ac:dyDescent="0.25">
      <c r="A3482">
        <v>99913481</v>
      </c>
      <c r="B3482" t="s">
        <v>56</v>
      </c>
      <c r="C3482" t="s">
        <v>71</v>
      </c>
      <c r="D3482" t="s">
        <v>72</v>
      </c>
      <c r="G3482" t="s">
        <v>35</v>
      </c>
      <c r="H3482">
        <v>1</v>
      </c>
      <c r="K3482" t="s">
        <v>157</v>
      </c>
      <c r="L3482" t="s">
        <v>158</v>
      </c>
      <c r="M3482" t="s">
        <v>131</v>
      </c>
      <c r="N3482">
        <v>21</v>
      </c>
      <c r="P3482" t="s">
        <v>41</v>
      </c>
      <c r="Q3482" t="s">
        <v>49</v>
      </c>
      <c r="R3482" t="str">
        <f>"0580505"</f>
        <v>0580505</v>
      </c>
      <c r="S3482" t="s">
        <v>168</v>
      </c>
      <c r="T3482" t="s">
        <v>157</v>
      </c>
      <c r="U3482" t="s">
        <v>158</v>
      </c>
      <c r="V3482" t="s">
        <v>131</v>
      </c>
      <c r="W3482" t="s">
        <v>51</v>
      </c>
      <c r="X3482" t="s">
        <v>45</v>
      </c>
      <c r="Z3482">
        <v>2</v>
      </c>
      <c r="AA3482" t="s">
        <v>158</v>
      </c>
      <c r="AB3482" s="40" t="s">
        <v>1799</v>
      </c>
    </row>
    <row r="3483" spans="1:28" x14ac:dyDescent="0.25">
      <c r="A3483">
        <v>99913482</v>
      </c>
      <c r="B3483" t="s">
        <v>56</v>
      </c>
      <c r="C3483" t="s">
        <v>52</v>
      </c>
      <c r="D3483" t="s">
        <v>53</v>
      </c>
      <c r="G3483" t="s">
        <v>35</v>
      </c>
      <c r="H3483">
        <v>1</v>
      </c>
      <c r="K3483" t="s">
        <v>157</v>
      </c>
      <c r="L3483" t="s">
        <v>158</v>
      </c>
      <c r="M3483" t="s">
        <v>131</v>
      </c>
      <c r="N3483">
        <v>21</v>
      </c>
      <c r="P3483" t="s">
        <v>41</v>
      </c>
      <c r="Q3483" t="s">
        <v>49</v>
      </c>
      <c r="R3483" t="str">
        <f>"0580505"</f>
        <v>0580505</v>
      </c>
      <c r="S3483" t="s">
        <v>168</v>
      </c>
      <c r="T3483" t="s">
        <v>157</v>
      </c>
      <c r="U3483" t="s">
        <v>158</v>
      </c>
      <c r="V3483" t="s">
        <v>131</v>
      </c>
      <c r="W3483" t="s">
        <v>51</v>
      </c>
      <c r="X3483" t="s">
        <v>45</v>
      </c>
      <c r="Z3483">
        <v>2</v>
      </c>
      <c r="AA3483" t="s">
        <v>158</v>
      </c>
      <c r="AB3483" s="40" t="s">
        <v>1799</v>
      </c>
    </row>
    <row r="3484" spans="1:28" x14ac:dyDescent="0.25">
      <c r="A3484">
        <v>99913483</v>
      </c>
      <c r="B3484" t="s">
        <v>56</v>
      </c>
      <c r="C3484" t="s">
        <v>52</v>
      </c>
      <c r="D3484" t="s">
        <v>53</v>
      </c>
      <c r="G3484" t="s">
        <v>35</v>
      </c>
      <c r="H3484">
        <v>1</v>
      </c>
      <c r="K3484" t="s">
        <v>157</v>
      </c>
      <c r="L3484" t="s">
        <v>158</v>
      </c>
      <c r="M3484" t="s">
        <v>131</v>
      </c>
      <c r="N3484">
        <v>21</v>
      </c>
      <c r="P3484" t="s">
        <v>41</v>
      </c>
      <c r="Q3484" t="s">
        <v>49</v>
      </c>
      <c r="R3484" t="str">
        <f>"0580505"</f>
        <v>0580505</v>
      </c>
      <c r="S3484" t="s">
        <v>168</v>
      </c>
      <c r="T3484" t="s">
        <v>157</v>
      </c>
      <c r="U3484" t="s">
        <v>158</v>
      </c>
      <c r="V3484" t="s">
        <v>131</v>
      </c>
      <c r="W3484" t="s">
        <v>51</v>
      </c>
      <c r="X3484" t="s">
        <v>45</v>
      </c>
      <c r="Z3484">
        <v>2</v>
      </c>
      <c r="AA3484" t="s">
        <v>158</v>
      </c>
      <c r="AB3484" s="40" t="s">
        <v>1799</v>
      </c>
    </row>
    <row r="3485" spans="1:28" x14ac:dyDescent="0.25">
      <c r="A3485">
        <v>99913484</v>
      </c>
      <c r="B3485" t="s">
        <v>32</v>
      </c>
      <c r="C3485" t="s">
        <v>139</v>
      </c>
      <c r="D3485" t="s">
        <v>140</v>
      </c>
      <c r="G3485" t="s">
        <v>35</v>
      </c>
      <c r="H3485">
        <v>1</v>
      </c>
      <c r="K3485" t="s">
        <v>157</v>
      </c>
      <c r="L3485" t="s">
        <v>158</v>
      </c>
      <c r="M3485" t="s">
        <v>131</v>
      </c>
      <c r="N3485">
        <v>21</v>
      </c>
      <c r="P3485" t="s">
        <v>41</v>
      </c>
      <c r="Q3485" t="s">
        <v>49</v>
      </c>
      <c r="R3485" t="str">
        <f>"0581725"</f>
        <v>0581725</v>
      </c>
      <c r="S3485" t="s">
        <v>161</v>
      </c>
      <c r="T3485" t="s">
        <v>157</v>
      </c>
      <c r="U3485" t="s">
        <v>158</v>
      </c>
      <c r="V3485" t="s">
        <v>131</v>
      </c>
      <c r="W3485" t="s">
        <v>51</v>
      </c>
      <c r="X3485" t="s">
        <v>45</v>
      </c>
      <c r="Z3485">
        <v>2</v>
      </c>
      <c r="AA3485" t="s">
        <v>158</v>
      </c>
      <c r="AB3485" s="40" t="s">
        <v>1799</v>
      </c>
    </row>
    <row r="3486" spans="1:28" x14ac:dyDescent="0.25">
      <c r="A3486">
        <v>99913485</v>
      </c>
      <c r="B3486" t="s">
        <v>56</v>
      </c>
      <c r="C3486" t="s">
        <v>141</v>
      </c>
      <c r="D3486" t="s">
        <v>142</v>
      </c>
      <c r="G3486" t="s">
        <v>35</v>
      </c>
      <c r="H3486">
        <v>1</v>
      </c>
      <c r="K3486" t="s">
        <v>157</v>
      </c>
      <c r="L3486" t="s">
        <v>158</v>
      </c>
      <c r="M3486" t="s">
        <v>131</v>
      </c>
      <c r="N3486">
        <v>21</v>
      </c>
      <c r="P3486" t="s">
        <v>41</v>
      </c>
      <c r="Q3486" t="s">
        <v>49</v>
      </c>
      <c r="R3486" t="str">
        <f>"0581725"</f>
        <v>0581725</v>
      </c>
      <c r="S3486" t="s">
        <v>161</v>
      </c>
      <c r="T3486" t="s">
        <v>157</v>
      </c>
      <c r="U3486" t="s">
        <v>158</v>
      </c>
      <c r="V3486" t="s">
        <v>131</v>
      </c>
      <c r="W3486" t="s">
        <v>51</v>
      </c>
      <c r="X3486" t="s">
        <v>45</v>
      </c>
      <c r="Z3486">
        <v>2</v>
      </c>
      <c r="AA3486" t="s">
        <v>158</v>
      </c>
      <c r="AB3486" s="40" t="s">
        <v>1799</v>
      </c>
    </row>
    <row r="3487" spans="1:28" x14ac:dyDescent="0.25">
      <c r="A3487">
        <v>99913486</v>
      </c>
      <c r="B3487" t="s">
        <v>32</v>
      </c>
      <c r="C3487" t="s">
        <v>33</v>
      </c>
      <c r="D3487" t="s">
        <v>34</v>
      </c>
      <c r="G3487" t="s">
        <v>48</v>
      </c>
      <c r="H3487">
        <v>1</v>
      </c>
      <c r="K3487" t="s">
        <v>162</v>
      </c>
      <c r="L3487" t="s">
        <v>158</v>
      </c>
      <c r="M3487" t="s">
        <v>131</v>
      </c>
      <c r="N3487">
        <v>21</v>
      </c>
      <c r="P3487" t="s">
        <v>41</v>
      </c>
      <c r="Q3487" t="s">
        <v>49</v>
      </c>
      <c r="R3487" t="str">
        <f>"0505050"</f>
        <v>0505050</v>
      </c>
      <c r="S3487" t="s">
        <v>163</v>
      </c>
      <c r="T3487" t="s">
        <v>162</v>
      </c>
      <c r="U3487" t="s">
        <v>158</v>
      </c>
      <c r="V3487" t="s">
        <v>131</v>
      </c>
      <c r="W3487" t="s">
        <v>51</v>
      </c>
      <c r="X3487" t="s">
        <v>45</v>
      </c>
      <c r="Z3487">
        <v>2</v>
      </c>
      <c r="AA3487" t="s">
        <v>158</v>
      </c>
      <c r="AB3487" s="40" t="s">
        <v>1799</v>
      </c>
    </row>
    <row r="3488" spans="1:28" x14ac:dyDescent="0.25">
      <c r="A3488">
        <v>99913487</v>
      </c>
      <c r="B3488" t="s">
        <v>56</v>
      </c>
      <c r="C3488" t="s">
        <v>52</v>
      </c>
      <c r="D3488" t="s">
        <v>53</v>
      </c>
      <c r="G3488" t="s">
        <v>48</v>
      </c>
      <c r="H3488">
        <v>1</v>
      </c>
      <c r="K3488" t="s">
        <v>223</v>
      </c>
      <c r="L3488" t="s">
        <v>224</v>
      </c>
      <c r="M3488" t="s">
        <v>131</v>
      </c>
      <c r="N3488">
        <v>21</v>
      </c>
      <c r="P3488" t="s">
        <v>41</v>
      </c>
      <c r="Q3488" t="s">
        <v>42</v>
      </c>
      <c r="R3488" t="str">
        <f>"0580315"</f>
        <v>0580315</v>
      </c>
      <c r="S3488" t="s">
        <v>246</v>
      </c>
      <c r="T3488" t="s">
        <v>223</v>
      </c>
      <c r="U3488" t="s">
        <v>224</v>
      </c>
      <c r="V3488" t="s">
        <v>131</v>
      </c>
      <c r="W3488" t="s">
        <v>51</v>
      </c>
      <c r="X3488" t="s">
        <v>45</v>
      </c>
      <c r="Z3488">
        <v>2</v>
      </c>
      <c r="AA3488" t="s">
        <v>224</v>
      </c>
      <c r="AB3488" s="40" t="s">
        <v>1799</v>
      </c>
    </row>
    <row r="3489" spans="1:28" x14ac:dyDescent="0.25">
      <c r="A3489">
        <v>99913488</v>
      </c>
      <c r="B3489" t="s">
        <v>32</v>
      </c>
      <c r="C3489" t="s">
        <v>64</v>
      </c>
      <c r="D3489" t="s">
        <v>65</v>
      </c>
      <c r="G3489" t="s">
        <v>48</v>
      </c>
      <c r="H3489">
        <v>1</v>
      </c>
      <c r="K3489" t="s">
        <v>223</v>
      </c>
      <c r="L3489" t="s">
        <v>224</v>
      </c>
      <c r="M3489" t="s">
        <v>131</v>
      </c>
      <c r="N3489">
        <v>21</v>
      </c>
      <c r="P3489" t="s">
        <v>41</v>
      </c>
      <c r="Q3489" t="s">
        <v>49</v>
      </c>
      <c r="R3489" t="str">
        <f>"0560016"</f>
        <v>0560016</v>
      </c>
      <c r="S3489" t="s">
        <v>254</v>
      </c>
      <c r="T3489" t="s">
        <v>223</v>
      </c>
      <c r="U3489" t="s">
        <v>224</v>
      </c>
      <c r="V3489" t="s">
        <v>131</v>
      </c>
      <c r="W3489" t="s">
        <v>51</v>
      </c>
      <c r="X3489" t="s">
        <v>45</v>
      </c>
      <c r="Z3489">
        <v>2</v>
      </c>
      <c r="AA3489" t="s">
        <v>224</v>
      </c>
      <c r="AB3489" s="40" t="s">
        <v>1799</v>
      </c>
    </row>
    <row r="3490" spans="1:28" x14ac:dyDescent="0.25">
      <c r="A3490">
        <v>99913489</v>
      </c>
      <c r="B3490" t="s">
        <v>56</v>
      </c>
      <c r="C3490" t="s">
        <v>58</v>
      </c>
      <c r="D3490" t="s">
        <v>59</v>
      </c>
      <c r="G3490" t="s">
        <v>48</v>
      </c>
      <c r="H3490">
        <v>1</v>
      </c>
      <c r="K3490" t="s">
        <v>223</v>
      </c>
      <c r="L3490" t="s">
        <v>224</v>
      </c>
      <c r="M3490" t="s">
        <v>131</v>
      </c>
      <c r="N3490">
        <v>21</v>
      </c>
      <c r="P3490" t="s">
        <v>41</v>
      </c>
      <c r="Q3490" t="s">
        <v>42</v>
      </c>
      <c r="R3490" t="str">
        <f>"0580207"</f>
        <v>0580207</v>
      </c>
      <c r="S3490" t="s">
        <v>229</v>
      </c>
      <c r="T3490" t="s">
        <v>223</v>
      </c>
      <c r="U3490" t="s">
        <v>224</v>
      </c>
      <c r="V3490" t="s">
        <v>131</v>
      </c>
      <c r="W3490" t="s">
        <v>51</v>
      </c>
      <c r="X3490" t="s">
        <v>45</v>
      </c>
      <c r="Z3490">
        <v>2</v>
      </c>
      <c r="AA3490" t="s">
        <v>224</v>
      </c>
      <c r="AB3490" s="40" t="s">
        <v>1799</v>
      </c>
    </row>
    <row r="3491" spans="1:28" x14ac:dyDescent="0.25">
      <c r="A3491">
        <v>99913490</v>
      </c>
      <c r="B3491" t="s">
        <v>32</v>
      </c>
      <c r="C3491" t="s">
        <v>64</v>
      </c>
      <c r="D3491" t="s">
        <v>65</v>
      </c>
      <c r="G3491" t="s">
        <v>35</v>
      </c>
      <c r="H3491">
        <v>1</v>
      </c>
      <c r="I3491">
        <v>0</v>
      </c>
      <c r="J3491" s="1">
        <v>43344</v>
      </c>
      <c r="K3491" t="s">
        <v>223</v>
      </c>
      <c r="L3491" t="s">
        <v>224</v>
      </c>
      <c r="M3491" t="s">
        <v>131</v>
      </c>
      <c r="N3491">
        <v>21</v>
      </c>
      <c r="O3491" s="1">
        <v>43344</v>
      </c>
      <c r="P3491" t="s">
        <v>41</v>
      </c>
      <c r="Q3491" t="s">
        <v>49</v>
      </c>
      <c r="R3491" t="str">
        <f>"0581207"</f>
        <v>0581207</v>
      </c>
      <c r="S3491" t="s">
        <v>233</v>
      </c>
      <c r="T3491" t="s">
        <v>223</v>
      </c>
      <c r="U3491" t="s">
        <v>224</v>
      </c>
      <c r="V3491" t="s">
        <v>131</v>
      </c>
      <c r="W3491" t="s">
        <v>44</v>
      </c>
      <c r="X3491" t="s">
        <v>45</v>
      </c>
      <c r="Z3491">
        <v>2</v>
      </c>
      <c r="AA3491" t="s">
        <v>224</v>
      </c>
      <c r="AB3491" s="40" t="s">
        <v>1799</v>
      </c>
    </row>
    <row r="3492" spans="1:28" x14ac:dyDescent="0.25">
      <c r="A3492">
        <v>99913491</v>
      </c>
      <c r="B3492" t="s">
        <v>32</v>
      </c>
      <c r="C3492" t="s">
        <v>64</v>
      </c>
      <c r="D3492" t="s">
        <v>65</v>
      </c>
      <c r="G3492" t="s">
        <v>48</v>
      </c>
      <c r="H3492">
        <v>1</v>
      </c>
      <c r="K3492" t="s">
        <v>223</v>
      </c>
      <c r="L3492" t="s">
        <v>224</v>
      </c>
      <c r="M3492" t="s">
        <v>131</v>
      </c>
      <c r="N3492">
        <v>21</v>
      </c>
      <c r="P3492" t="s">
        <v>41</v>
      </c>
      <c r="Q3492" t="s">
        <v>42</v>
      </c>
      <c r="R3492" t="str">
        <f>"0580207"</f>
        <v>0580207</v>
      </c>
      <c r="S3492" t="s">
        <v>229</v>
      </c>
      <c r="T3492" t="s">
        <v>223</v>
      </c>
      <c r="U3492" t="s">
        <v>224</v>
      </c>
      <c r="V3492" t="s">
        <v>131</v>
      </c>
      <c r="W3492" t="s">
        <v>51</v>
      </c>
      <c r="X3492" t="s">
        <v>45</v>
      </c>
      <c r="Z3492">
        <v>2</v>
      </c>
      <c r="AA3492" t="s">
        <v>224</v>
      </c>
      <c r="AB3492" s="40" t="s">
        <v>1799</v>
      </c>
    </row>
    <row r="3493" spans="1:28" x14ac:dyDescent="0.25">
      <c r="A3493">
        <v>99913492</v>
      </c>
      <c r="B3493" t="s">
        <v>32</v>
      </c>
      <c r="C3493" t="s">
        <v>46</v>
      </c>
      <c r="D3493" t="s">
        <v>47</v>
      </c>
      <c r="G3493" t="s">
        <v>48</v>
      </c>
      <c r="H3493">
        <v>1</v>
      </c>
      <c r="K3493" t="s">
        <v>223</v>
      </c>
      <c r="L3493" t="s">
        <v>224</v>
      </c>
      <c r="M3493" t="s">
        <v>131</v>
      </c>
      <c r="N3493">
        <v>21</v>
      </c>
      <c r="P3493" t="s">
        <v>41</v>
      </c>
      <c r="Q3493" t="s">
        <v>42</v>
      </c>
      <c r="R3493" t="str">
        <f>"0580207"</f>
        <v>0580207</v>
      </c>
      <c r="S3493" t="s">
        <v>229</v>
      </c>
      <c r="T3493" t="s">
        <v>223</v>
      </c>
      <c r="U3493" t="s">
        <v>224</v>
      </c>
      <c r="V3493" t="s">
        <v>131</v>
      </c>
      <c r="W3493" t="s">
        <v>51</v>
      </c>
      <c r="X3493" t="s">
        <v>45</v>
      </c>
      <c r="Z3493">
        <v>2</v>
      </c>
      <c r="AA3493" t="s">
        <v>224</v>
      </c>
      <c r="AB3493" s="40" t="s">
        <v>1799</v>
      </c>
    </row>
    <row r="3494" spans="1:28" x14ac:dyDescent="0.25">
      <c r="A3494">
        <v>99913493</v>
      </c>
      <c r="B3494" t="s">
        <v>56</v>
      </c>
      <c r="C3494" t="s">
        <v>85</v>
      </c>
      <c r="D3494" t="s">
        <v>86</v>
      </c>
      <c r="G3494" t="s">
        <v>48</v>
      </c>
      <c r="H3494">
        <v>1</v>
      </c>
      <c r="K3494" t="s">
        <v>223</v>
      </c>
      <c r="L3494" t="s">
        <v>224</v>
      </c>
      <c r="M3494" t="s">
        <v>131</v>
      </c>
      <c r="N3494">
        <v>21</v>
      </c>
      <c r="P3494" t="s">
        <v>41</v>
      </c>
      <c r="Q3494" t="s">
        <v>42</v>
      </c>
      <c r="R3494" t="str">
        <f>"0580207"</f>
        <v>0580207</v>
      </c>
      <c r="S3494" t="s">
        <v>229</v>
      </c>
      <c r="T3494" t="s">
        <v>223</v>
      </c>
      <c r="U3494" t="s">
        <v>224</v>
      </c>
      <c r="V3494" t="s">
        <v>131</v>
      </c>
      <c r="W3494" t="s">
        <v>51</v>
      </c>
      <c r="X3494" t="s">
        <v>45</v>
      </c>
      <c r="Z3494">
        <v>2</v>
      </c>
      <c r="AA3494" t="s">
        <v>224</v>
      </c>
      <c r="AB3494" s="40" t="s">
        <v>1799</v>
      </c>
    </row>
    <row r="3495" spans="1:28" x14ac:dyDescent="0.25">
      <c r="A3495">
        <v>99913494</v>
      </c>
      <c r="B3495" t="s">
        <v>56</v>
      </c>
      <c r="C3495" t="s">
        <v>46</v>
      </c>
      <c r="D3495" t="s">
        <v>47</v>
      </c>
      <c r="G3495" t="s">
        <v>48</v>
      </c>
      <c r="H3495">
        <v>1</v>
      </c>
      <c r="K3495" t="s">
        <v>223</v>
      </c>
      <c r="L3495" t="s">
        <v>224</v>
      </c>
      <c r="M3495" t="s">
        <v>131</v>
      </c>
      <c r="N3495">
        <v>21</v>
      </c>
      <c r="P3495" t="s">
        <v>41</v>
      </c>
      <c r="Q3495" t="s">
        <v>42</v>
      </c>
      <c r="R3495" t="str">
        <f>"0580207"</f>
        <v>0580207</v>
      </c>
      <c r="S3495" t="s">
        <v>229</v>
      </c>
      <c r="T3495" t="s">
        <v>223</v>
      </c>
      <c r="U3495" t="s">
        <v>224</v>
      </c>
      <c r="V3495" t="s">
        <v>131</v>
      </c>
      <c r="W3495" t="s">
        <v>51</v>
      </c>
      <c r="X3495" t="s">
        <v>45</v>
      </c>
      <c r="Z3495">
        <v>2</v>
      </c>
      <c r="AA3495" t="s">
        <v>224</v>
      </c>
      <c r="AB3495" s="40" t="s">
        <v>1799</v>
      </c>
    </row>
    <row r="3496" spans="1:28" x14ac:dyDescent="0.25">
      <c r="A3496">
        <v>99913495</v>
      </c>
      <c r="B3496" t="s">
        <v>32</v>
      </c>
      <c r="C3496" t="s">
        <v>79</v>
      </c>
      <c r="D3496" t="s">
        <v>80</v>
      </c>
      <c r="G3496" t="s">
        <v>48</v>
      </c>
      <c r="H3496">
        <v>1</v>
      </c>
      <c r="K3496" t="s">
        <v>223</v>
      </c>
      <c r="L3496" t="s">
        <v>224</v>
      </c>
      <c r="M3496" t="s">
        <v>131</v>
      </c>
      <c r="N3496">
        <v>21</v>
      </c>
      <c r="P3496" t="s">
        <v>41</v>
      </c>
      <c r="Q3496" t="s">
        <v>49</v>
      </c>
      <c r="R3496" t="str">
        <f>"0560016"</f>
        <v>0560016</v>
      </c>
      <c r="S3496" t="s">
        <v>254</v>
      </c>
      <c r="T3496" t="s">
        <v>223</v>
      </c>
      <c r="U3496" t="s">
        <v>224</v>
      </c>
      <c r="V3496" t="s">
        <v>131</v>
      </c>
      <c r="W3496" t="s">
        <v>51</v>
      </c>
      <c r="X3496" t="s">
        <v>45</v>
      </c>
      <c r="Z3496">
        <v>2</v>
      </c>
      <c r="AA3496" t="s">
        <v>224</v>
      </c>
      <c r="AB3496" s="40" t="s">
        <v>1799</v>
      </c>
    </row>
    <row r="3497" spans="1:28" x14ac:dyDescent="0.25">
      <c r="A3497">
        <v>99913496</v>
      </c>
      <c r="B3497" t="s">
        <v>32</v>
      </c>
      <c r="C3497" t="s">
        <v>68</v>
      </c>
      <c r="D3497" t="s">
        <v>69</v>
      </c>
      <c r="G3497" t="s">
        <v>35</v>
      </c>
      <c r="H3497">
        <v>1</v>
      </c>
      <c r="I3497">
        <v>0</v>
      </c>
      <c r="J3497" s="1">
        <v>43344</v>
      </c>
      <c r="K3497" t="s">
        <v>223</v>
      </c>
      <c r="L3497" t="s">
        <v>224</v>
      </c>
      <c r="M3497" t="s">
        <v>131</v>
      </c>
      <c r="N3497">
        <v>21</v>
      </c>
      <c r="O3497" s="1">
        <v>43344</v>
      </c>
      <c r="P3497" t="s">
        <v>41</v>
      </c>
      <c r="Q3497" t="s">
        <v>49</v>
      </c>
      <c r="R3497" t="str">
        <f>"0591901"</f>
        <v>0591901</v>
      </c>
      <c r="S3497" t="s">
        <v>230</v>
      </c>
      <c r="T3497" t="s">
        <v>223</v>
      </c>
      <c r="U3497" t="s">
        <v>224</v>
      </c>
      <c r="V3497" t="s">
        <v>131</v>
      </c>
      <c r="W3497" t="s">
        <v>44</v>
      </c>
      <c r="X3497" t="s">
        <v>45</v>
      </c>
      <c r="Z3497">
        <v>2</v>
      </c>
      <c r="AA3497" t="s">
        <v>224</v>
      </c>
      <c r="AB3497" s="40" t="s">
        <v>1799</v>
      </c>
    </row>
    <row r="3498" spans="1:28" x14ac:dyDescent="0.25">
      <c r="A3498">
        <v>99913497</v>
      </c>
      <c r="B3498" t="s">
        <v>32</v>
      </c>
      <c r="C3498" t="s">
        <v>46</v>
      </c>
      <c r="D3498" t="s">
        <v>47</v>
      </c>
      <c r="G3498" t="s">
        <v>48</v>
      </c>
      <c r="H3498">
        <v>1</v>
      </c>
      <c r="K3498" t="s">
        <v>300</v>
      </c>
      <c r="L3498" t="s">
        <v>301</v>
      </c>
      <c r="M3498" t="s">
        <v>131</v>
      </c>
      <c r="N3498">
        <v>21</v>
      </c>
      <c r="P3498" t="s">
        <v>41</v>
      </c>
      <c r="Q3498" t="s">
        <v>42</v>
      </c>
      <c r="R3498" t="str">
        <f>"0580176"</f>
        <v>0580176</v>
      </c>
      <c r="S3498" t="s">
        <v>305</v>
      </c>
      <c r="T3498" t="s">
        <v>300</v>
      </c>
      <c r="U3498" t="s">
        <v>301</v>
      </c>
      <c r="V3498" t="s">
        <v>131</v>
      </c>
      <c r="W3498" t="s">
        <v>51</v>
      </c>
      <c r="X3498" t="s">
        <v>45</v>
      </c>
      <c r="Z3498">
        <v>2</v>
      </c>
      <c r="AA3498" t="s">
        <v>301</v>
      </c>
      <c r="AB3498" s="40" t="s">
        <v>1799</v>
      </c>
    </row>
    <row r="3499" spans="1:28" x14ac:dyDescent="0.25">
      <c r="A3499">
        <v>99913498</v>
      </c>
      <c r="B3499" t="s">
        <v>32</v>
      </c>
      <c r="C3499" t="s">
        <v>64</v>
      </c>
      <c r="D3499" t="s">
        <v>65</v>
      </c>
      <c r="G3499" t="s">
        <v>48</v>
      </c>
      <c r="H3499">
        <v>1</v>
      </c>
      <c r="K3499" t="s">
        <v>300</v>
      </c>
      <c r="L3499" t="s">
        <v>301</v>
      </c>
      <c r="M3499" t="s">
        <v>131</v>
      </c>
      <c r="N3499">
        <v>21</v>
      </c>
      <c r="P3499" t="s">
        <v>41</v>
      </c>
      <c r="Q3499" t="s">
        <v>49</v>
      </c>
      <c r="R3499" t="str">
        <f>"0560001"</f>
        <v>0560001</v>
      </c>
      <c r="S3499" t="s">
        <v>304</v>
      </c>
      <c r="T3499" t="s">
        <v>300</v>
      </c>
      <c r="U3499" t="s">
        <v>301</v>
      </c>
      <c r="V3499" t="s">
        <v>131</v>
      </c>
      <c r="W3499" t="s">
        <v>51</v>
      </c>
      <c r="X3499" t="s">
        <v>45</v>
      </c>
      <c r="Z3499">
        <v>2</v>
      </c>
      <c r="AA3499" t="s">
        <v>301</v>
      </c>
      <c r="AB3499" s="40" t="s">
        <v>1799</v>
      </c>
    </row>
    <row r="3500" spans="1:28" x14ac:dyDescent="0.25">
      <c r="A3500">
        <v>99913499</v>
      </c>
      <c r="B3500" t="s">
        <v>56</v>
      </c>
      <c r="C3500" t="s">
        <v>68</v>
      </c>
      <c r="D3500" t="s">
        <v>69</v>
      </c>
      <c r="G3500" t="s">
        <v>35</v>
      </c>
      <c r="H3500">
        <v>1</v>
      </c>
      <c r="I3500">
        <v>19694</v>
      </c>
      <c r="J3500" s="1">
        <v>43405</v>
      </c>
      <c r="K3500" t="s">
        <v>345</v>
      </c>
      <c r="L3500" t="s">
        <v>346</v>
      </c>
      <c r="M3500" t="s">
        <v>131</v>
      </c>
      <c r="N3500">
        <v>21</v>
      </c>
      <c r="O3500" s="1">
        <v>43405</v>
      </c>
      <c r="P3500" t="s">
        <v>41</v>
      </c>
      <c r="Q3500" t="s">
        <v>367</v>
      </c>
      <c r="R3500" t="str">
        <f>"0580655"</f>
        <v>0580655</v>
      </c>
      <c r="S3500" t="s">
        <v>368</v>
      </c>
      <c r="T3500" t="s">
        <v>345</v>
      </c>
      <c r="U3500" t="s">
        <v>346</v>
      </c>
      <c r="V3500" t="s">
        <v>131</v>
      </c>
      <c r="W3500" t="s">
        <v>55</v>
      </c>
      <c r="X3500" t="s">
        <v>45</v>
      </c>
      <c r="Z3500">
        <v>2</v>
      </c>
      <c r="AA3500" t="s">
        <v>346</v>
      </c>
      <c r="AB3500" s="40" t="s">
        <v>1799</v>
      </c>
    </row>
    <row r="3501" spans="1:28" x14ac:dyDescent="0.25">
      <c r="A3501">
        <v>99913500</v>
      </c>
      <c r="B3501" t="s">
        <v>56</v>
      </c>
      <c r="C3501" t="s">
        <v>46</v>
      </c>
      <c r="D3501" t="s">
        <v>47</v>
      </c>
      <c r="G3501" t="s">
        <v>35</v>
      </c>
      <c r="H3501">
        <v>1</v>
      </c>
      <c r="I3501">
        <v>15011</v>
      </c>
      <c r="J3501" s="1">
        <v>43346</v>
      </c>
      <c r="K3501" t="s">
        <v>345</v>
      </c>
      <c r="L3501" t="s">
        <v>346</v>
      </c>
      <c r="M3501" t="s">
        <v>131</v>
      </c>
      <c r="N3501">
        <v>21</v>
      </c>
      <c r="O3501" s="1">
        <v>43346</v>
      </c>
      <c r="P3501" t="s">
        <v>41</v>
      </c>
      <c r="Q3501" t="s">
        <v>49</v>
      </c>
      <c r="R3501" t="str">
        <f>"0581155"</f>
        <v>0581155</v>
      </c>
      <c r="S3501" t="s">
        <v>349</v>
      </c>
      <c r="T3501" t="s">
        <v>345</v>
      </c>
      <c r="U3501" t="s">
        <v>346</v>
      </c>
      <c r="V3501" t="s">
        <v>131</v>
      </c>
      <c r="W3501" t="s">
        <v>44</v>
      </c>
      <c r="X3501" t="s">
        <v>45</v>
      </c>
      <c r="Z3501">
        <v>2</v>
      </c>
      <c r="AA3501" t="s">
        <v>346</v>
      </c>
      <c r="AB3501" s="40" t="s">
        <v>1799</v>
      </c>
    </row>
    <row r="3502" spans="1:28" x14ac:dyDescent="0.25">
      <c r="A3502">
        <v>99913501</v>
      </c>
      <c r="B3502" t="s">
        <v>56</v>
      </c>
      <c r="C3502" t="s">
        <v>85</v>
      </c>
      <c r="D3502" t="s">
        <v>86</v>
      </c>
      <c r="G3502" t="s">
        <v>35</v>
      </c>
      <c r="H3502">
        <v>1</v>
      </c>
      <c r="I3502">
        <v>16388</v>
      </c>
      <c r="J3502" s="1">
        <v>43362</v>
      </c>
      <c r="K3502" t="s">
        <v>345</v>
      </c>
      <c r="L3502" t="s">
        <v>346</v>
      </c>
      <c r="M3502" t="s">
        <v>131</v>
      </c>
      <c r="N3502">
        <v>21</v>
      </c>
      <c r="O3502" s="1">
        <v>43362</v>
      </c>
      <c r="P3502" t="s">
        <v>41</v>
      </c>
      <c r="Q3502" t="s">
        <v>49</v>
      </c>
      <c r="R3502" t="str">
        <f>"0560007"</f>
        <v>0560007</v>
      </c>
      <c r="S3502" t="s">
        <v>357</v>
      </c>
      <c r="T3502" t="s">
        <v>345</v>
      </c>
      <c r="U3502" t="s">
        <v>346</v>
      </c>
      <c r="V3502" t="s">
        <v>131</v>
      </c>
      <c r="W3502" t="s">
        <v>44</v>
      </c>
      <c r="X3502" t="s">
        <v>45</v>
      </c>
      <c r="Z3502">
        <v>2</v>
      </c>
      <c r="AA3502" t="s">
        <v>346</v>
      </c>
      <c r="AB3502" s="40" t="s">
        <v>1799</v>
      </c>
    </row>
    <row r="3503" spans="1:28" x14ac:dyDescent="0.25">
      <c r="A3503">
        <v>99913502</v>
      </c>
      <c r="B3503" t="s">
        <v>32</v>
      </c>
      <c r="C3503" t="s">
        <v>139</v>
      </c>
      <c r="D3503" t="s">
        <v>140</v>
      </c>
      <c r="G3503" t="s">
        <v>35</v>
      </c>
      <c r="H3503">
        <v>1</v>
      </c>
      <c r="K3503" t="s">
        <v>154</v>
      </c>
      <c r="L3503" t="s">
        <v>155</v>
      </c>
      <c r="M3503" t="s">
        <v>131</v>
      </c>
      <c r="N3503">
        <v>21</v>
      </c>
      <c r="P3503" t="s">
        <v>41</v>
      </c>
      <c r="Q3503" t="s">
        <v>75</v>
      </c>
      <c r="R3503" t="str">
        <f>"7051014"</f>
        <v>7051014</v>
      </c>
      <c r="S3503" t="s">
        <v>398</v>
      </c>
      <c r="T3503" t="s">
        <v>154</v>
      </c>
      <c r="U3503" t="s">
        <v>155</v>
      </c>
      <c r="V3503" t="s">
        <v>131</v>
      </c>
      <c r="W3503" t="s">
        <v>165</v>
      </c>
      <c r="X3503" t="s">
        <v>45</v>
      </c>
      <c r="Z3503">
        <v>1</v>
      </c>
      <c r="AA3503" t="s">
        <v>155</v>
      </c>
      <c r="AB3503" s="40" t="s">
        <v>1799</v>
      </c>
    </row>
    <row r="3504" spans="1:28" x14ac:dyDescent="0.25">
      <c r="A3504">
        <v>99913503</v>
      </c>
      <c r="B3504" t="s">
        <v>32</v>
      </c>
      <c r="C3504" t="s">
        <v>79</v>
      </c>
      <c r="D3504" t="s">
        <v>80</v>
      </c>
      <c r="G3504" t="s">
        <v>35</v>
      </c>
      <c r="H3504">
        <v>1</v>
      </c>
      <c r="K3504" t="s">
        <v>154</v>
      </c>
      <c r="L3504" t="s">
        <v>155</v>
      </c>
      <c r="M3504" t="s">
        <v>131</v>
      </c>
      <c r="N3504">
        <v>21</v>
      </c>
      <c r="P3504" t="s">
        <v>41</v>
      </c>
      <c r="Q3504" t="s">
        <v>75</v>
      </c>
      <c r="R3504" t="str">
        <f>"7051014"</f>
        <v>7051014</v>
      </c>
      <c r="S3504" t="s">
        <v>398</v>
      </c>
      <c r="T3504" t="s">
        <v>154</v>
      </c>
      <c r="U3504" t="s">
        <v>155</v>
      </c>
      <c r="V3504" t="s">
        <v>131</v>
      </c>
      <c r="W3504" t="s">
        <v>165</v>
      </c>
      <c r="X3504" t="s">
        <v>45</v>
      </c>
      <c r="Z3504">
        <v>1</v>
      </c>
      <c r="AA3504" t="s">
        <v>155</v>
      </c>
      <c r="AB3504" s="40" t="s">
        <v>1799</v>
      </c>
    </row>
    <row r="3505" spans="1:28" x14ac:dyDescent="0.25">
      <c r="A3505">
        <v>99913504</v>
      </c>
      <c r="B3505" t="s">
        <v>32</v>
      </c>
      <c r="C3505" t="s">
        <v>111</v>
      </c>
      <c r="D3505" t="s">
        <v>112</v>
      </c>
      <c r="G3505" t="s">
        <v>48</v>
      </c>
      <c r="H3505">
        <v>1</v>
      </c>
      <c r="K3505" t="s">
        <v>431</v>
      </c>
      <c r="L3505" t="s">
        <v>196</v>
      </c>
      <c r="M3505" t="s">
        <v>131</v>
      </c>
      <c r="N3505">
        <v>21</v>
      </c>
      <c r="P3505" t="s">
        <v>41</v>
      </c>
      <c r="Q3505" t="s">
        <v>75</v>
      </c>
      <c r="R3505" t="str">
        <f t="shared" ref="R3505:R3518" si="2">"7521012"</f>
        <v>7521012</v>
      </c>
      <c r="S3505" t="s">
        <v>432</v>
      </c>
      <c r="T3505" t="s">
        <v>431</v>
      </c>
      <c r="U3505" t="s">
        <v>196</v>
      </c>
      <c r="V3505" t="s">
        <v>131</v>
      </c>
      <c r="W3505" t="s">
        <v>165</v>
      </c>
      <c r="X3505" t="s">
        <v>45</v>
      </c>
      <c r="Z3505">
        <v>1</v>
      </c>
      <c r="AA3505" t="s">
        <v>196</v>
      </c>
      <c r="AB3505" s="40" t="s">
        <v>1799</v>
      </c>
    </row>
    <row r="3506" spans="1:28" x14ac:dyDescent="0.25">
      <c r="A3506">
        <v>99913505</v>
      </c>
      <c r="B3506" t="s">
        <v>32</v>
      </c>
      <c r="C3506" t="s">
        <v>79</v>
      </c>
      <c r="D3506" t="s">
        <v>80</v>
      </c>
      <c r="G3506" t="s">
        <v>48</v>
      </c>
      <c r="H3506">
        <v>1</v>
      </c>
      <c r="K3506" t="s">
        <v>431</v>
      </c>
      <c r="L3506" t="s">
        <v>196</v>
      </c>
      <c r="M3506" t="s">
        <v>131</v>
      </c>
      <c r="N3506">
        <v>21</v>
      </c>
      <c r="P3506" t="s">
        <v>41</v>
      </c>
      <c r="Q3506" t="s">
        <v>75</v>
      </c>
      <c r="R3506" t="str">
        <f t="shared" si="2"/>
        <v>7521012</v>
      </c>
      <c r="S3506" t="s">
        <v>432</v>
      </c>
      <c r="T3506" t="s">
        <v>431</v>
      </c>
      <c r="U3506" t="s">
        <v>196</v>
      </c>
      <c r="V3506" t="s">
        <v>131</v>
      </c>
      <c r="W3506" t="s">
        <v>51</v>
      </c>
      <c r="X3506" t="s">
        <v>45</v>
      </c>
      <c r="Z3506">
        <v>1</v>
      </c>
      <c r="AA3506" t="s">
        <v>196</v>
      </c>
      <c r="AB3506" s="40" t="s">
        <v>1799</v>
      </c>
    </row>
    <row r="3507" spans="1:28" x14ac:dyDescent="0.25">
      <c r="A3507">
        <v>99913506</v>
      </c>
      <c r="B3507" t="s">
        <v>32</v>
      </c>
      <c r="C3507" t="s">
        <v>64</v>
      </c>
      <c r="D3507" t="s">
        <v>65</v>
      </c>
      <c r="G3507" t="s">
        <v>48</v>
      </c>
      <c r="H3507">
        <v>1</v>
      </c>
      <c r="K3507" t="s">
        <v>431</v>
      </c>
      <c r="L3507" t="s">
        <v>196</v>
      </c>
      <c r="M3507" t="s">
        <v>131</v>
      </c>
      <c r="N3507">
        <v>21</v>
      </c>
      <c r="P3507" t="s">
        <v>41</v>
      </c>
      <c r="Q3507" t="s">
        <v>75</v>
      </c>
      <c r="R3507" t="str">
        <f t="shared" si="2"/>
        <v>7521012</v>
      </c>
      <c r="S3507" t="s">
        <v>432</v>
      </c>
      <c r="T3507" t="s">
        <v>431</v>
      </c>
      <c r="U3507" t="s">
        <v>196</v>
      </c>
      <c r="V3507" t="s">
        <v>131</v>
      </c>
      <c r="W3507" t="s">
        <v>51</v>
      </c>
      <c r="X3507" t="s">
        <v>45</v>
      </c>
      <c r="Z3507">
        <v>1</v>
      </c>
      <c r="AA3507" t="s">
        <v>196</v>
      </c>
      <c r="AB3507" s="40" t="s">
        <v>1799</v>
      </c>
    </row>
    <row r="3508" spans="1:28" x14ac:dyDescent="0.25">
      <c r="A3508">
        <v>99913507</v>
      </c>
      <c r="B3508" t="s">
        <v>56</v>
      </c>
      <c r="C3508" t="s">
        <v>111</v>
      </c>
      <c r="D3508" t="s">
        <v>112</v>
      </c>
      <c r="G3508" t="s">
        <v>48</v>
      </c>
      <c r="H3508">
        <v>1</v>
      </c>
      <c r="K3508" t="s">
        <v>431</v>
      </c>
      <c r="L3508" t="s">
        <v>196</v>
      </c>
      <c r="M3508" t="s">
        <v>131</v>
      </c>
      <c r="N3508">
        <v>21</v>
      </c>
      <c r="P3508" t="s">
        <v>41</v>
      </c>
      <c r="Q3508" t="s">
        <v>75</v>
      </c>
      <c r="R3508" t="str">
        <f t="shared" si="2"/>
        <v>7521012</v>
      </c>
      <c r="S3508" t="s">
        <v>432</v>
      </c>
      <c r="T3508" t="s">
        <v>431</v>
      </c>
      <c r="U3508" t="s">
        <v>196</v>
      </c>
      <c r="V3508" t="s">
        <v>131</v>
      </c>
      <c r="W3508" t="s">
        <v>165</v>
      </c>
      <c r="X3508" t="s">
        <v>45</v>
      </c>
      <c r="Z3508">
        <v>1</v>
      </c>
      <c r="AA3508" t="s">
        <v>196</v>
      </c>
      <c r="AB3508" s="40" t="s">
        <v>1799</v>
      </c>
    </row>
    <row r="3509" spans="1:28" x14ac:dyDescent="0.25">
      <c r="A3509">
        <v>99913508</v>
      </c>
      <c r="B3509" t="s">
        <v>32</v>
      </c>
      <c r="C3509" t="s">
        <v>141</v>
      </c>
      <c r="D3509" t="s">
        <v>142</v>
      </c>
      <c r="G3509" t="s">
        <v>48</v>
      </c>
      <c r="H3509">
        <v>1</v>
      </c>
      <c r="K3509" t="s">
        <v>431</v>
      </c>
      <c r="L3509" t="s">
        <v>196</v>
      </c>
      <c r="M3509" t="s">
        <v>131</v>
      </c>
      <c r="N3509">
        <v>21</v>
      </c>
      <c r="P3509" t="s">
        <v>41</v>
      </c>
      <c r="Q3509" t="s">
        <v>75</v>
      </c>
      <c r="R3509" t="str">
        <f t="shared" si="2"/>
        <v>7521012</v>
      </c>
      <c r="S3509" t="s">
        <v>432</v>
      </c>
      <c r="T3509" t="s">
        <v>431</v>
      </c>
      <c r="U3509" t="s">
        <v>196</v>
      </c>
      <c r="V3509" t="s">
        <v>131</v>
      </c>
      <c r="W3509" t="s">
        <v>51</v>
      </c>
      <c r="X3509" t="s">
        <v>45</v>
      </c>
      <c r="Z3509">
        <v>1</v>
      </c>
      <c r="AA3509" t="s">
        <v>196</v>
      </c>
      <c r="AB3509" s="40" t="s">
        <v>1799</v>
      </c>
    </row>
    <row r="3510" spans="1:28" x14ac:dyDescent="0.25">
      <c r="A3510">
        <v>99913509</v>
      </c>
      <c r="B3510" t="s">
        <v>32</v>
      </c>
      <c r="C3510" t="s">
        <v>111</v>
      </c>
      <c r="D3510" t="s">
        <v>112</v>
      </c>
      <c r="G3510" t="s">
        <v>48</v>
      </c>
      <c r="H3510">
        <v>1</v>
      </c>
      <c r="K3510" t="s">
        <v>431</v>
      </c>
      <c r="L3510" t="s">
        <v>196</v>
      </c>
      <c r="M3510" t="s">
        <v>131</v>
      </c>
      <c r="N3510">
        <v>21</v>
      </c>
      <c r="P3510" t="s">
        <v>41</v>
      </c>
      <c r="Q3510" t="s">
        <v>75</v>
      </c>
      <c r="R3510" t="str">
        <f t="shared" si="2"/>
        <v>7521012</v>
      </c>
      <c r="S3510" t="s">
        <v>432</v>
      </c>
      <c r="T3510" t="s">
        <v>431</v>
      </c>
      <c r="U3510" t="s">
        <v>196</v>
      </c>
      <c r="V3510" t="s">
        <v>131</v>
      </c>
      <c r="W3510" t="s">
        <v>165</v>
      </c>
      <c r="X3510" t="s">
        <v>45</v>
      </c>
      <c r="Z3510">
        <v>1</v>
      </c>
      <c r="AA3510" t="s">
        <v>196</v>
      </c>
      <c r="AB3510" s="40" t="s">
        <v>1799</v>
      </c>
    </row>
    <row r="3511" spans="1:28" x14ac:dyDescent="0.25">
      <c r="A3511">
        <v>99913510</v>
      </c>
      <c r="B3511" t="s">
        <v>56</v>
      </c>
      <c r="C3511" t="s">
        <v>111</v>
      </c>
      <c r="D3511" t="s">
        <v>112</v>
      </c>
      <c r="G3511" t="s">
        <v>48</v>
      </c>
      <c r="H3511">
        <v>1</v>
      </c>
      <c r="K3511" t="s">
        <v>431</v>
      </c>
      <c r="L3511" t="s">
        <v>196</v>
      </c>
      <c r="M3511" t="s">
        <v>131</v>
      </c>
      <c r="N3511">
        <v>21</v>
      </c>
      <c r="P3511" t="s">
        <v>41</v>
      </c>
      <c r="Q3511" t="s">
        <v>75</v>
      </c>
      <c r="R3511" t="str">
        <f t="shared" si="2"/>
        <v>7521012</v>
      </c>
      <c r="S3511" t="s">
        <v>432</v>
      </c>
      <c r="T3511" t="s">
        <v>431</v>
      </c>
      <c r="U3511" t="s">
        <v>196</v>
      </c>
      <c r="V3511" t="s">
        <v>131</v>
      </c>
      <c r="W3511" t="s">
        <v>165</v>
      </c>
      <c r="X3511" t="s">
        <v>45</v>
      </c>
      <c r="Z3511">
        <v>1</v>
      </c>
      <c r="AA3511" t="s">
        <v>196</v>
      </c>
      <c r="AB3511" s="40" t="s">
        <v>1799</v>
      </c>
    </row>
    <row r="3512" spans="1:28" x14ac:dyDescent="0.25">
      <c r="A3512">
        <v>99913511</v>
      </c>
      <c r="B3512" t="s">
        <v>32</v>
      </c>
      <c r="C3512" t="s">
        <v>111</v>
      </c>
      <c r="D3512" t="s">
        <v>112</v>
      </c>
      <c r="G3512" t="s">
        <v>48</v>
      </c>
      <c r="H3512">
        <v>1</v>
      </c>
      <c r="K3512" t="s">
        <v>431</v>
      </c>
      <c r="L3512" t="s">
        <v>196</v>
      </c>
      <c r="M3512" t="s">
        <v>131</v>
      </c>
      <c r="N3512">
        <v>21</v>
      </c>
      <c r="P3512" t="s">
        <v>41</v>
      </c>
      <c r="Q3512" t="s">
        <v>75</v>
      </c>
      <c r="R3512" t="str">
        <f t="shared" si="2"/>
        <v>7521012</v>
      </c>
      <c r="S3512" t="s">
        <v>432</v>
      </c>
      <c r="T3512" t="s">
        <v>431</v>
      </c>
      <c r="U3512" t="s">
        <v>196</v>
      </c>
      <c r="V3512" t="s">
        <v>131</v>
      </c>
      <c r="W3512" t="s">
        <v>51</v>
      </c>
      <c r="X3512" t="s">
        <v>45</v>
      </c>
      <c r="Z3512">
        <v>1</v>
      </c>
      <c r="AA3512" t="s">
        <v>196</v>
      </c>
      <c r="AB3512" s="40" t="s">
        <v>1799</v>
      </c>
    </row>
    <row r="3513" spans="1:28" x14ac:dyDescent="0.25">
      <c r="A3513">
        <v>99913512</v>
      </c>
      <c r="B3513" t="s">
        <v>32</v>
      </c>
      <c r="C3513" t="s">
        <v>111</v>
      </c>
      <c r="D3513" t="s">
        <v>112</v>
      </c>
      <c r="G3513" t="s">
        <v>48</v>
      </c>
      <c r="H3513">
        <v>1</v>
      </c>
      <c r="K3513" t="s">
        <v>431</v>
      </c>
      <c r="L3513" t="s">
        <v>196</v>
      </c>
      <c r="M3513" t="s">
        <v>131</v>
      </c>
      <c r="N3513">
        <v>21</v>
      </c>
      <c r="P3513" t="s">
        <v>41</v>
      </c>
      <c r="Q3513" t="s">
        <v>75</v>
      </c>
      <c r="R3513" t="str">
        <f t="shared" si="2"/>
        <v>7521012</v>
      </c>
      <c r="S3513" t="s">
        <v>432</v>
      </c>
      <c r="T3513" t="s">
        <v>431</v>
      </c>
      <c r="U3513" t="s">
        <v>196</v>
      </c>
      <c r="V3513" t="s">
        <v>131</v>
      </c>
      <c r="W3513" t="s">
        <v>51</v>
      </c>
      <c r="X3513" t="s">
        <v>45</v>
      </c>
      <c r="Z3513">
        <v>1</v>
      </c>
      <c r="AA3513" t="s">
        <v>196</v>
      </c>
      <c r="AB3513" s="40" t="s">
        <v>1799</v>
      </c>
    </row>
    <row r="3514" spans="1:28" x14ac:dyDescent="0.25">
      <c r="A3514">
        <v>99913513</v>
      </c>
      <c r="B3514" t="s">
        <v>56</v>
      </c>
      <c r="C3514" t="s">
        <v>111</v>
      </c>
      <c r="D3514" t="s">
        <v>112</v>
      </c>
      <c r="G3514" t="s">
        <v>48</v>
      </c>
      <c r="H3514">
        <v>1</v>
      </c>
      <c r="K3514" t="s">
        <v>431</v>
      </c>
      <c r="L3514" t="s">
        <v>196</v>
      </c>
      <c r="M3514" t="s">
        <v>131</v>
      </c>
      <c r="N3514">
        <v>21</v>
      </c>
      <c r="P3514" t="s">
        <v>41</v>
      </c>
      <c r="Q3514" t="s">
        <v>75</v>
      </c>
      <c r="R3514" t="str">
        <f t="shared" si="2"/>
        <v>7521012</v>
      </c>
      <c r="S3514" t="s">
        <v>432</v>
      </c>
      <c r="T3514" t="s">
        <v>431</v>
      </c>
      <c r="U3514" t="s">
        <v>196</v>
      </c>
      <c r="V3514" t="s">
        <v>131</v>
      </c>
      <c r="W3514" t="s">
        <v>165</v>
      </c>
      <c r="X3514" t="s">
        <v>45</v>
      </c>
      <c r="Z3514">
        <v>1</v>
      </c>
      <c r="AA3514" t="s">
        <v>196</v>
      </c>
      <c r="AB3514" s="40" t="s">
        <v>1799</v>
      </c>
    </row>
    <row r="3515" spans="1:28" x14ac:dyDescent="0.25">
      <c r="A3515">
        <v>99913514</v>
      </c>
      <c r="B3515" t="s">
        <v>32</v>
      </c>
      <c r="C3515" t="s">
        <v>141</v>
      </c>
      <c r="D3515" t="s">
        <v>142</v>
      </c>
      <c r="G3515" t="s">
        <v>48</v>
      </c>
      <c r="H3515">
        <v>1</v>
      </c>
      <c r="K3515" t="s">
        <v>431</v>
      </c>
      <c r="L3515" t="s">
        <v>196</v>
      </c>
      <c r="M3515" t="s">
        <v>131</v>
      </c>
      <c r="N3515">
        <v>21</v>
      </c>
      <c r="P3515" t="s">
        <v>41</v>
      </c>
      <c r="Q3515" t="s">
        <v>75</v>
      </c>
      <c r="R3515" t="str">
        <f t="shared" si="2"/>
        <v>7521012</v>
      </c>
      <c r="S3515" t="s">
        <v>432</v>
      </c>
      <c r="T3515" t="s">
        <v>431</v>
      </c>
      <c r="U3515" t="s">
        <v>196</v>
      </c>
      <c r="V3515" t="s">
        <v>131</v>
      </c>
      <c r="W3515" t="s">
        <v>165</v>
      </c>
      <c r="X3515" t="s">
        <v>45</v>
      </c>
      <c r="Z3515">
        <v>1</v>
      </c>
      <c r="AA3515" t="s">
        <v>196</v>
      </c>
      <c r="AB3515" s="40" t="s">
        <v>1799</v>
      </c>
    </row>
    <row r="3516" spans="1:28" x14ac:dyDescent="0.25">
      <c r="A3516">
        <v>99913515</v>
      </c>
      <c r="B3516" t="s">
        <v>32</v>
      </c>
      <c r="C3516" t="s">
        <v>111</v>
      </c>
      <c r="D3516" t="s">
        <v>112</v>
      </c>
      <c r="G3516" t="s">
        <v>48</v>
      </c>
      <c r="H3516">
        <v>1</v>
      </c>
      <c r="K3516" t="s">
        <v>431</v>
      </c>
      <c r="L3516" t="s">
        <v>196</v>
      </c>
      <c r="M3516" t="s">
        <v>131</v>
      </c>
      <c r="N3516">
        <v>21</v>
      </c>
      <c r="P3516" t="s">
        <v>41</v>
      </c>
      <c r="Q3516" t="s">
        <v>75</v>
      </c>
      <c r="R3516" t="str">
        <f t="shared" si="2"/>
        <v>7521012</v>
      </c>
      <c r="S3516" t="s">
        <v>432</v>
      </c>
      <c r="T3516" t="s">
        <v>431</v>
      </c>
      <c r="U3516" t="s">
        <v>196</v>
      </c>
      <c r="V3516" t="s">
        <v>131</v>
      </c>
      <c r="W3516" t="s">
        <v>165</v>
      </c>
      <c r="X3516" t="s">
        <v>45</v>
      </c>
      <c r="Z3516">
        <v>1</v>
      </c>
      <c r="AA3516" t="s">
        <v>196</v>
      </c>
      <c r="AB3516" s="40" t="s">
        <v>1799</v>
      </c>
    </row>
    <row r="3517" spans="1:28" x14ac:dyDescent="0.25">
      <c r="A3517">
        <v>99913516</v>
      </c>
      <c r="B3517" t="s">
        <v>32</v>
      </c>
      <c r="C3517" t="s">
        <v>79</v>
      </c>
      <c r="D3517" t="s">
        <v>80</v>
      </c>
      <c r="G3517" t="s">
        <v>48</v>
      </c>
      <c r="H3517">
        <v>1</v>
      </c>
      <c r="K3517" t="s">
        <v>431</v>
      </c>
      <c r="L3517" t="s">
        <v>196</v>
      </c>
      <c r="M3517" t="s">
        <v>131</v>
      </c>
      <c r="N3517">
        <v>21</v>
      </c>
      <c r="P3517" t="s">
        <v>41</v>
      </c>
      <c r="Q3517" t="s">
        <v>75</v>
      </c>
      <c r="R3517" t="str">
        <f t="shared" si="2"/>
        <v>7521012</v>
      </c>
      <c r="S3517" t="s">
        <v>432</v>
      </c>
      <c r="T3517" t="s">
        <v>431</v>
      </c>
      <c r="U3517" t="s">
        <v>196</v>
      </c>
      <c r="V3517" t="s">
        <v>131</v>
      </c>
      <c r="W3517" t="s">
        <v>51</v>
      </c>
      <c r="X3517" t="s">
        <v>45</v>
      </c>
      <c r="Z3517">
        <v>1</v>
      </c>
      <c r="AA3517" t="s">
        <v>196</v>
      </c>
      <c r="AB3517" s="40" t="s">
        <v>1799</v>
      </c>
    </row>
    <row r="3518" spans="1:28" x14ac:dyDescent="0.25">
      <c r="A3518">
        <v>99913517</v>
      </c>
      <c r="B3518" t="s">
        <v>32</v>
      </c>
      <c r="C3518" t="s">
        <v>111</v>
      </c>
      <c r="D3518" t="s">
        <v>112</v>
      </c>
      <c r="G3518" t="s">
        <v>48</v>
      </c>
      <c r="H3518">
        <v>1</v>
      </c>
      <c r="K3518" t="s">
        <v>431</v>
      </c>
      <c r="L3518" t="s">
        <v>196</v>
      </c>
      <c r="M3518" t="s">
        <v>131</v>
      </c>
      <c r="N3518">
        <v>21</v>
      </c>
      <c r="P3518" t="s">
        <v>41</v>
      </c>
      <c r="Q3518" t="s">
        <v>75</v>
      </c>
      <c r="R3518" t="str">
        <f t="shared" si="2"/>
        <v>7521012</v>
      </c>
      <c r="S3518" t="s">
        <v>432</v>
      </c>
      <c r="T3518" t="s">
        <v>431</v>
      </c>
      <c r="U3518" t="s">
        <v>196</v>
      </c>
      <c r="V3518" t="s">
        <v>131</v>
      </c>
      <c r="W3518" t="s">
        <v>51</v>
      </c>
      <c r="X3518" t="s">
        <v>45</v>
      </c>
      <c r="Z3518">
        <v>1</v>
      </c>
      <c r="AA3518" t="s">
        <v>196</v>
      </c>
      <c r="AB3518" s="40" t="s">
        <v>1799</v>
      </c>
    </row>
    <row r="3519" spans="1:28" x14ac:dyDescent="0.25">
      <c r="A3519">
        <v>99913518</v>
      </c>
      <c r="B3519" t="s">
        <v>32</v>
      </c>
      <c r="C3519" t="s">
        <v>64</v>
      </c>
      <c r="D3519" t="s">
        <v>65</v>
      </c>
      <c r="G3519" t="s">
        <v>35</v>
      </c>
      <c r="H3519">
        <v>1</v>
      </c>
      <c r="K3519" t="s">
        <v>195</v>
      </c>
      <c r="L3519" t="s">
        <v>196</v>
      </c>
      <c r="M3519" t="s">
        <v>131</v>
      </c>
      <c r="N3519">
        <v>21</v>
      </c>
      <c r="P3519" t="s">
        <v>41</v>
      </c>
      <c r="Q3519" t="s">
        <v>75</v>
      </c>
      <c r="R3519" t="str">
        <f>"7521044"</f>
        <v>7521044</v>
      </c>
      <c r="S3519" t="s">
        <v>453</v>
      </c>
      <c r="T3519" t="s">
        <v>195</v>
      </c>
      <c r="U3519" t="s">
        <v>196</v>
      </c>
      <c r="V3519" t="s">
        <v>131</v>
      </c>
      <c r="W3519" t="s">
        <v>51</v>
      </c>
      <c r="X3519" t="s">
        <v>45</v>
      </c>
      <c r="Z3519">
        <v>1</v>
      </c>
      <c r="AA3519" t="s">
        <v>196</v>
      </c>
      <c r="AB3519" s="40" t="s">
        <v>1799</v>
      </c>
    </row>
    <row r="3520" spans="1:28" x14ac:dyDescent="0.25">
      <c r="A3520">
        <v>99913519</v>
      </c>
      <c r="B3520" t="s">
        <v>56</v>
      </c>
      <c r="C3520" t="s">
        <v>111</v>
      </c>
      <c r="D3520" t="s">
        <v>112</v>
      </c>
      <c r="G3520" t="s">
        <v>35</v>
      </c>
      <c r="H3520">
        <v>1</v>
      </c>
      <c r="K3520" t="s">
        <v>195</v>
      </c>
      <c r="L3520" t="s">
        <v>196</v>
      </c>
      <c r="M3520" t="s">
        <v>131</v>
      </c>
      <c r="N3520">
        <v>21</v>
      </c>
      <c r="P3520" t="s">
        <v>41</v>
      </c>
      <c r="Q3520" t="s">
        <v>75</v>
      </c>
      <c r="R3520" t="str">
        <f>"7521044"</f>
        <v>7521044</v>
      </c>
      <c r="S3520" t="s">
        <v>453</v>
      </c>
      <c r="T3520" t="s">
        <v>195</v>
      </c>
      <c r="U3520" t="s">
        <v>196</v>
      </c>
      <c r="V3520" t="s">
        <v>131</v>
      </c>
      <c r="W3520" t="s">
        <v>165</v>
      </c>
      <c r="X3520" t="s">
        <v>45</v>
      </c>
      <c r="Z3520">
        <v>1</v>
      </c>
      <c r="AA3520" t="s">
        <v>196</v>
      </c>
      <c r="AB3520" s="40" t="s">
        <v>1799</v>
      </c>
    </row>
    <row r="3521" spans="1:28" x14ac:dyDescent="0.25">
      <c r="A3521">
        <v>99913520</v>
      </c>
      <c r="B3521" t="s">
        <v>32</v>
      </c>
      <c r="C3521" t="s">
        <v>111</v>
      </c>
      <c r="D3521" t="s">
        <v>112</v>
      </c>
      <c r="G3521" t="s">
        <v>35</v>
      </c>
      <c r="H3521">
        <v>1</v>
      </c>
      <c r="K3521" t="s">
        <v>195</v>
      </c>
      <c r="L3521" t="s">
        <v>196</v>
      </c>
      <c r="M3521" t="s">
        <v>131</v>
      </c>
      <c r="N3521">
        <v>21</v>
      </c>
      <c r="P3521" t="s">
        <v>41</v>
      </c>
      <c r="Q3521" t="s">
        <v>75</v>
      </c>
      <c r="R3521" t="str">
        <f>"7521046"</f>
        <v>7521046</v>
      </c>
      <c r="S3521" t="s">
        <v>436</v>
      </c>
      <c r="T3521" t="s">
        <v>195</v>
      </c>
      <c r="U3521" t="s">
        <v>196</v>
      </c>
      <c r="V3521" t="s">
        <v>131</v>
      </c>
      <c r="W3521" t="s">
        <v>165</v>
      </c>
      <c r="X3521" t="s">
        <v>45</v>
      </c>
      <c r="Z3521">
        <v>1</v>
      </c>
      <c r="AA3521" t="s">
        <v>196</v>
      </c>
      <c r="AB3521" s="40" t="s">
        <v>1799</v>
      </c>
    </row>
    <row r="3522" spans="1:28" x14ac:dyDescent="0.25">
      <c r="A3522">
        <v>99913521</v>
      </c>
      <c r="B3522" t="s">
        <v>32</v>
      </c>
      <c r="C3522" t="s">
        <v>64</v>
      </c>
      <c r="D3522" t="s">
        <v>65</v>
      </c>
      <c r="G3522" t="s">
        <v>35</v>
      </c>
      <c r="H3522">
        <v>1</v>
      </c>
      <c r="K3522" t="s">
        <v>195</v>
      </c>
      <c r="L3522" t="s">
        <v>196</v>
      </c>
      <c r="M3522" t="s">
        <v>131</v>
      </c>
      <c r="N3522">
        <v>21</v>
      </c>
      <c r="P3522" t="s">
        <v>41</v>
      </c>
      <c r="Q3522" t="s">
        <v>75</v>
      </c>
      <c r="R3522" t="str">
        <f>"7521042"</f>
        <v>7521042</v>
      </c>
      <c r="S3522" t="s">
        <v>440</v>
      </c>
      <c r="T3522" t="s">
        <v>195</v>
      </c>
      <c r="U3522" t="s">
        <v>196</v>
      </c>
      <c r="V3522" t="s">
        <v>131</v>
      </c>
      <c r="W3522" t="s">
        <v>165</v>
      </c>
      <c r="X3522" t="s">
        <v>45</v>
      </c>
      <c r="Z3522">
        <v>1</v>
      </c>
      <c r="AA3522" t="s">
        <v>196</v>
      </c>
      <c r="AB3522" s="40" t="s">
        <v>1799</v>
      </c>
    </row>
    <row r="3523" spans="1:28" x14ac:dyDescent="0.25">
      <c r="A3523">
        <v>99913522</v>
      </c>
      <c r="B3523" t="s">
        <v>32</v>
      </c>
      <c r="C3523" t="s">
        <v>111</v>
      </c>
      <c r="D3523" t="s">
        <v>112</v>
      </c>
      <c r="G3523" t="s">
        <v>35</v>
      </c>
      <c r="H3523">
        <v>1</v>
      </c>
      <c r="K3523" t="s">
        <v>195</v>
      </c>
      <c r="L3523" t="s">
        <v>196</v>
      </c>
      <c r="M3523" t="s">
        <v>131</v>
      </c>
      <c r="N3523">
        <v>21</v>
      </c>
      <c r="P3523" t="s">
        <v>41</v>
      </c>
      <c r="Q3523" t="s">
        <v>75</v>
      </c>
      <c r="R3523" t="str">
        <f>"7521044"</f>
        <v>7521044</v>
      </c>
      <c r="S3523" t="s">
        <v>453</v>
      </c>
      <c r="T3523" t="s">
        <v>195</v>
      </c>
      <c r="U3523" t="s">
        <v>196</v>
      </c>
      <c r="V3523" t="s">
        <v>131</v>
      </c>
      <c r="W3523" t="s">
        <v>165</v>
      </c>
      <c r="X3523" t="s">
        <v>45</v>
      </c>
      <c r="Z3523">
        <v>1</v>
      </c>
      <c r="AA3523" t="s">
        <v>196</v>
      </c>
      <c r="AB3523" s="40" t="s">
        <v>1799</v>
      </c>
    </row>
    <row r="3524" spans="1:28" x14ac:dyDescent="0.25">
      <c r="A3524">
        <v>99913523</v>
      </c>
      <c r="B3524" t="s">
        <v>56</v>
      </c>
      <c r="C3524" t="s">
        <v>111</v>
      </c>
      <c r="D3524" t="s">
        <v>112</v>
      </c>
      <c r="G3524" t="s">
        <v>48</v>
      </c>
      <c r="H3524">
        <v>1</v>
      </c>
      <c r="K3524" t="s">
        <v>431</v>
      </c>
      <c r="L3524" t="s">
        <v>196</v>
      </c>
      <c r="M3524" t="s">
        <v>131</v>
      </c>
      <c r="N3524">
        <v>21</v>
      </c>
      <c r="P3524" t="s">
        <v>41</v>
      </c>
      <c r="Q3524" t="s">
        <v>75</v>
      </c>
      <c r="R3524" t="str">
        <f>"7521012"</f>
        <v>7521012</v>
      </c>
      <c r="S3524" t="s">
        <v>432</v>
      </c>
      <c r="T3524" t="s">
        <v>431</v>
      </c>
      <c r="U3524" t="s">
        <v>196</v>
      </c>
      <c r="V3524" t="s">
        <v>131</v>
      </c>
      <c r="W3524" t="s">
        <v>165</v>
      </c>
      <c r="X3524" t="s">
        <v>45</v>
      </c>
      <c r="Z3524">
        <v>1</v>
      </c>
      <c r="AA3524" t="s">
        <v>196</v>
      </c>
      <c r="AB3524" s="40" t="s">
        <v>1799</v>
      </c>
    </row>
    <row r="3525" spans="1:28" x14ac:dyDescent="0.25">
      <c r="A3525">
        <v>99913524</v>
      </c>
      <c r="B3525" t="s">
        <v>32</v>
      </c>
      <c r="C3525" t="s">
        <v>111</v>
      </c>
      <c r="D3525" t="s">
        <v>112</v>
      </c>
      <c r="G3525" t="s">
        <v>35</v>
      </c>
      <c r="H3525">
        <v>1</v>
      </c>
      <c r="K3525" t="s">
        <v>195</v>
      </c>
      <c r="L3525" t="s">
        <v>196</v>
      </c>
      <c r="M3525" t="s">
        <v>131</v>
      </c>
      <c r="N3525">
        <v>21</v>
      </c>
      <c r="P3525" t="s">
        <v>41</v>
      </c>
      <c r="Q3525" t="s">
        <v>75</v>
      </c>
      <c r="R3525" t="str">
        <f>"7521046"</f>
        <v>7521046</v>
      </c>
      <c r="S3525" t="s">
        <v>436</v>
      </c>
      <c r="T3525" t="s">
        <v>195</v>
      </c>
      <c r="U3525" t="s">
        <v>196</v>
      </c>
      <c r="V3525" t="s">
        <v>131</v>
      </c>
      <c r="W3525" t="s">
        <v>165</v>
      </c>
      <c r="X3525" t="s">
        <v>45</v>
      </c>
      <c r="Z3525">
        <v>1</v>
      </c>
      <c r="AA3525" t="s">
        <v>196</v>
      </c>
      <c r="AB3525" s="40" t="s">
        <v>1799</v>
      </c>
    </row>
    <row r="3526" spans="1:28" x14ac:dyDescent="0.25">
      <c r="A3526">
        <v>99913525</v>
      </c>
      <c r="B3526" t="s">
        <v>32</v>
      </c>
      <c r="C3526" t="s">
        <v>143</v>
      </c>
      <c r="D3526" t="s">
        <v>144</v>
      </c>
      <c r="G3526" t="s">
        <v>48</v>
      </c>
      <c r="H3526">
        <v>1</v>
      </c>
      <c r="K3526" t="s">
        <v>431</v>
      </c>
      <c r="L3526" t="s">
        <v>196</v>
      </c>
      <c r="M3526" t="s">
        <v>131</v>
      </c>
      <c r="N3526">
        <v>21</v>
      </c>
      <c r="P3526" t="s">
        <v>41</v>
      </c>
      <c r="Q3526" t="s">
        <v>75</v>
      </c>
      <c r="R3526" t="str">
        <f>"7521012"</f>
        <v>7521012</v>
      </c>
      <c r="S3526" t="s">
        <v>432</v>
      </c>
      <c r="T3526" t="s">
        <v>431</v>
      </c>
      <c r="U3526" t="s">
        <v>196</v>
      </c>
      <c r="V3526" t="s">
        <v>131</v>
      </c>
      <c r="W3526" t="s">
        <v>51</v>
      </c>
      <c r="X3526" t="s">
        <v>45</v>
      </c>
      <c r="Z3526">
        <v>1</v>
      </c>
      <c r="AA3526" t="s">
        <v>196</v>
      </c>
      <c r="AB3526" s="40" t="s">
        <v>1799</v>
      </c>
    </row>
    <row r="3527" spans="1:28" x14ac:dyDescent="0.25">
      <c r="A3527">
        <v>99913526</v>
      </c>
      <c r="B3527" t="s">
        <v>32</v>
      </c>
      <c r="C3527" t="s">
        <v>64</v>
      </c>
      <c r="D3527" t="s">
        <v>65</v>
      </c>
      <c r="G3527" t="s">
        <v>35</v>
      </c>
      <c r="H3527">
        <v>1</v>
      </c>
      <c r="K3527" t="s">
        <v>195</v>
      </c>
      <c r="L3527" t="s">
        <v>196</v>
      </c>
      <c r="M3527" t="s">
        <v>131</v>
      </c>
      <c r="N3527">
        <v>21</v>
      </c>
      <c r="P3527" t="s">
        <v>41</v>
      </c>
      <c r="Q3527" t="s">
        <v>75</v>
      </c>
      <c r="R3527" t="str">
        <f>"7521044"</f>
        <v>7521044</v>
      </c>
      <c r="S3527" t="s">
        <v>453</v>
      </c>
      <c r="T3527" t="s">
        <v>195</v>
      </c>
      <c r="U3527" t="s">
        <v>196</v>
      </c>
      <c r="V3527" t="s">
        <v>131</v>
      </c>
      <c r="W3527" t="s">
        <v>51</v>
      </c>
      <c r="X3527" t="s">
        <v>45</v>
      </c>
      <c r="Z3527">
        <v>1</v>
      </c>
      <c r="AA3527" t="s">
        <v>196</v>
      </c>
      <c r="AB3527" s="40" t="s">
        <v>1799</v>
      </c>
    </row>
    <row r="3528" spans="1:28" x14ac:dyDescent="0.25">
      <c r="A3528">
        <v>99913527</v>
      </c>
      <c r="B3528" t="s">
        <v>32</v>
      </c>
      <c r="C3528" t="s">
        <v>111</v>
      </c>
      <c r="D3528" t="s">
        <v>112</v>
      </c>
      <c r="G3528" t="s">
        <v>35</v>
      </c>
      <c r="H3528">
        <v>1</v>
      </c>
      <c r="K3528" t="s">
        <v>195</v>
      </c>
      <c r="L3528" t="s">
        <v>196</v>
      </c>
      <c r="M3528" t="s">
        <v>131</v>
      </c>
      <c r="N3528">
        <v>21</v>
      </c>
      <c r="P3528" t="s">
        <v>41</v>
      </c>
      <c r="Q3528" t="s">
        <v>75</v>
      </c>
      <c r="R3528" t="str">
        <f>"7521042"</f>
        <v>7521042</v>
      </c>
      <c r="S3528" t="s">
        <v>440</v>
      </c>
      <c r="T3528" t="s">
        <v>195</v>
      </c>
      <c r="U3528" t="s">
        <v>196</v>
      </c>
      <c r="V3528" t="s">
        <v>131</v>
      </c>
      <c r="W3528" t="s">
        <v>165</v>
      </c>
      <c r="X3528" t="s">
        <v>45</v>
      </c>
      <c r="Z3528">
        <v>1</v>
      </c>
      <c r="AA3528" t="s">
        <v>196</v>
      </c>
      <c r="AB3528" s="40" t="s">
        <v>1799</v>
      </c>
    </row>
    <row r="3529" spans="1:28" x14ac:dyDescent="0.25">
      <c r="A3529">
        <v>99913528</v>
      </c>
      <c r="B3529" t="s">
        <v>32</v>
      </c>
      <c r="C3529" t="s">
        <v>111</v>
      </c>
      <c r="D3529" t="s">
        <v>112</v>
      </c>
      <c r="G3529" t="s">
        <v>48</v>
      </c>
      <c r="H3529">
        <v>1</v>
      </c>
      <c r="K3529" t="s">
        <v>268</v>
      </c>
      <c r="L3529" t="s">
        <v>269</v>
      </c>
      <c r="M3529" t="s">
        <v>131</v>
      </c>
      <c r="N3529">
        <v>21</v>
      </c>
      <c r="P3529" t="s">
        <v>41</v>
      </c>
      <c r="Q3529" t="s">
        <v>75</v>
      </c>
      <c r="R3529" t="str">
        <f>"7052044"</f>
        <v>7052044</v>
      </c>
      <c r="S3529" t="s">
        <v>589</v>
      </c>
      <c r="T3529" t="s">
        <v>268</v>
      </c>
      <c r="U3529" t="s">
        <v>269</v>
      </c>
      <c r="V3529" t="s">
        <v>131</v>
      </c>
      <c r="W3529" t="s">
        <v>51</v>
      </c>
      <c r="X3529" t="s">
        <v>45</v>
      </c>
      <c r="Z3529">
        <v>1</v>
      </c>
      <c r="AA3529" t="s">
        <v>269</v>
      </c>
      <c r="AB3529" s="40" t="s">
        <v>1799</v>
      </c>
    </row>
    <row r="3530" spans="1:28" x14ac:dyDescent="0.25">
      <c r="A3530">
        <v>99913529</v>
      </c>
      <c r="B3530" t="s">
        <v>32</v>
      </c>
      <c r="C3530" t="s">
        <v>111</v>
      </c>
      <c r="D3530" t="s">
        <v>112</v>
      </c>
      <c r="G3530" t="s">
        <v>48</v>
      </c>
      <c r="H3530">
        <v>1</v>
      </c>
      <c r="K3530" t="s">
        <v>268</v>
      </c>
      <c r="L3530" t="s">
        <v>269</v>
      </c>
      <c r="M3530" t="s">
        <v>131</v>
      </c>
      <c r="N3530">
        <v>21</v>
      </c>
      <c r="P3530" t="s">
        <v>41</v>
      </c>
      <c r="Q3530" t="s">
        <v>75</v>
      </c>
      <c r="R3530" t="str">
        <f>"7052044"</f>
        <v>7052044</v>
      </c>
      <c r="S3530" t="s">
        <v>589</v>
      </c>
      <c r="T3530" t="s">
        <v>268</v>
      </c>
      <c r="U3530" t="s">
        <v>269</v>
      </c>
      <c r="V3530" t="s">
        <v>131</v>
      </c>
      <c r="W3530" t="s">
        <v>51</v>
      </c>
      <c r="X3530" t="s">
        <v>45</v>
      </c>
      <c r="Z3530">
        <v>1</v>
      </c>
      <c r="AA3530" t="s">
        <v>269</v>
      </c>
      <c r="AB3530" s="40" t="s">
        <v>1799</v>
      </c>
    </row>
    <row r="3531" spans="1:28" x14ac:dyDescent="0.25">
      <c r="A3531">
        <v>99913530</v>
      </c>
      <c r="B3531" t="s">
        <v>56</v>
      </c>
      <c r="C3531" t="s">
        <v>111</v>
      </c>
      <c r="D3531" t="s">
        <v>112</v>
      </c>
      <c r="G3531" t="s">
        <v>35</v>
      </c>
      <c r="H3531">
        <v>1</v>
      </c>
      <c r="I3531" t="s">
        <v>795</v>
      </c>
      <c r="J3531" s="1">
        <v>43344</v>
      </c>
      <c r="K3531" t="s">
        <v>354</v>
      </c>
      <c r="L3531" t="s">
        <v>355</v>
      </c>
      <c r="M3531" t="s">
        <v>131</v>
      </c>
      <c r="N3531">
        <v>21</v>
      </c>
      <c r="O3531" s="1">
        <v>43344</v>
      </c>
      <c r="P3531" t="s">
        <v>41</v>
      </c>
      <c r="Q3531" t="s">
        <v>75</v>
      </c>
      <c r="R3531" t="str">
        <f>"7054024"</f>
        <v>7054024</v>
      </c>
      <c r="S3531" t="s">
        <v>793</v>
      </c>
      <c r="T3531" t="s">
        <v>354</v>
      </c>
      <c r="U3531" t="s">
        <v>355</v>
      </c>
      <c r="V3531" t="s">
        <v>131</v>
      </c>
      <c r="W3531" t="s">
        <v>51</v>
      </c>
      <c r="X3531" t="s">
        <v>45</v>
      </c>
      <c r="Z3531">
        <v>1</v>
      </c>
      <c r="AA3531" t="s">
        <v>355</v>
      </c>
      <c r="AB3531" s="40" t="s">
        <v>1799</v>
      </c>
    </row>
    <row r="3532" spans="1:28" x14ac:dyDescent="0.25">
      <c r="A3532">
        <v>99913531</v>
      </c>
      <c r="B3532" t="s">
        <v>56</v>
      </c>
      <c r="C3532" t="s">
        <v>82</v>
      </c>
      <c r="D3532" t="s">
        <v>83</v>
      </c>
      <c r="G3532" t="s">
        <v>35</v>
      </c>
      <c r="H3532">
        <v>1</v>
      </c>
      <c r="I3532">
        <v>6983</v>
      </c>
      <c r="J3532" s="1">
        <v>43344</v>
      </c>
      <c r="K3532" t="s">
        <v>1306</v>
      </c>
      <c r="L3532" t="s">
        <v>1307</v>
      </c>
      <c r="M3532" t="s">
        <v>1270</v>
      </c>
      <c r="N3532">
        <v>21</v>
      </c>
      <c r="O3532" s="1">
        <v>43344</v>
      </c>
      <c r="P3532" t="s">
        <v>41</v>
      </c>
      <c r="Q3532" t="s">
        <v>42</v>
      </c>
      <c r="R3532" t="str">
        <f>"1990915"</f>
        <v>1990915</v>
      </c>
      <c r="S3532" t="s">
        <v>1308</v>
      </c>
      <c r="T3532" t="s">
        <v>1306</v>
      </c>
      <c r="U3532" t="s">
        <v>1307</v>
      </c>
      <c r="V3532" t="s">
        <v>1270</v>
      </c>
      <c r="W3532" t="s">
        <v>51</v>
      </c>
      <c r="X3532" t="s">
        <v>45</v>
      </c>
      <c r="Z3532">
        <v>2</v>
      </c>
      <c r="AA3532" t="s">
        <v>1307</v>
      </c>
      <c r="AB3532" s="40" t="s">
        <v>1799</v>
      </c>
    </row>
    <row r="3533" spans="1:28" x14ac:dyDescent="0.25">
      <c r="A3533">
        <v>99913532</v>
      </c>
      <c r="B3533" t="s">
        <v>32</v>
      </c>
      <c r="C3533" t="s">
        <v>90</v>
      </c>
      <c r="D3533" t="s">
        <v>91</v>
      </c>
      <c r="G3533" t="s">
        <v>35</v>
      </c>
      <c r="H3533">
        <v>1</v>
      </c>
      <c r="I3533">
        <v>15590</v>
      </c>
      <c r="J3533" s="1">
        <v>43346</v>
      </c>
      <c r="K3533" t="s">
        <v>877</v>
      </c>
      <c r="L3533" t="s">
        <v>878</v>
      </c>
      <c r="M3533" t="s">
        <v>131</v>
      </c>
      <c r="N3533">
        <v>22</v>
      </c>
      <c r="O3533" s="1">
        <v>43346</v>
      </c>
      <c r="P3533" t="s">
        <v>41</v>
      </c>
      <c r="Q3533" t="s">
        <v>95</v>
      </c>
      <c r="R3533" t="str">
        <f>"7541095"</f>
        <v>7541095</v>
      </c>
      <c r="S3533" t="s">
        <v>901</v>
      </c>
      <c r="T3533" t="s">
        <v>877</v>
      </c>
      <c r="U3533" t="s">
        <v>878</v>
      </c>
      <c r="V3533" t="s">
        <v>131</v>
      </c>
      <c r="W3533" t="s">
        <v>44</v>
      </c>
      <c r="X3533" t="s">
        <v>45</v>
      </c>
      <c r="Y3533" s="1">
        <v>34437</v>
      </c>
      <c r="Z3533">
        <v>1</v>
      </c>
      <c r="AA3533" t="s">
        <v>878</v>
      </c>
      <c r="AB3533" s="40" t="s">
        <v>1799</v>
      </c>
    </row>
    <row r="3534" spans="1:28" x14ac:dyDescent="0.25">
      <c r="A3534">
        <v>99913533</v>
      </c>
      <c r="B3534" t="s">
        <v>32</v>
      </c>
      <c r="C3534" t="s">
        <v>64</v>
      </c>
      <c r="D3534" t="s">
        <v>65</v>
      </c>
      <c r="G3534" t="s">
        <v>48</v>
      </c>
      <c r="H3534">
        <v>1</v>
      </c>
      <c r="K3534" t="s">
        <v>1496</v>
      </c>
      <c r="L3534" t="s">
        <v>1497</v>
      </c>
      <c r="M3534" t="s">
        <v>670</v>
      </c>
      <c r="N3534">
        <v>22</v>
      </c>
      <c r="P3534" t="s">
        <v>41</v>
      </c>
      <c r="Q3534" t="s">
        <v>75</v>
      </c>
      <c r="R3534" t="str">
        <f>"7501004"</f>
        <v>7501004</v>
      </c>
      <c r="S3534" t="s">
        <v>1500</v>
      </c>
      <c r="T3534" t="s">
        <v>667</v>
      </c>
      <c r="U3534" t="s">
        <v>669</v>
      </c>
      <c r="V3534" t="s">
        <v>670</v>
      </c>
      <c r="W3534" t="s">
        <v>51</v>
      </c>
      <c r="X3534" t="s">
        <v>45</v>
      </c>
      <c r="Y3534" s="1">
        <v>34243</v>
      </c>
      <c r="Z3534">
        <v>2</v>
      </c>
      <c r="AA3534" t="s">
        <v>1497</v>
      </c>
      <c r="AB3534" s="40" t="s">
        <v>1799</v>
      </c>
    </row>
    <row r="3535" spans="1:28" x14ac:dyDescent="0.25">
      <c r="A3535">
        <v>99913534</v>
      </c>
      <c r="B3535" t="s">
        <v>32</v>
      </c>
      <c r="C3535" t="s">
        <v>111</v>
      </c>
      <c r="D3535" t="s">
        <v>112</v>
      </c>
      <c r="G3535" t="s">
        <v>35</v>
      </c>
      <c r="H3535">
        <v>1</v>
      </c>
      <c r="K3535" t="s">
        <v>1341</v>
      </c>
      <c r="L3535" t="s">
        <v>1342</v>
      </c>
      <c r="M3535" t="s">
        <v>1270</v>
      </c>
      <c r="N3535">
        <v>22</v>
      </c>
      <c r="P3535" t="s">
        <v>41</v>
      </c>
      <c r="Q3535" t="s">
        <v>75</v>
      </c>
      <c r="R3535" t="str">
        <f>"7191006"</f>
        <v>7191006</v>
      </c>
      <c r="S3535" t="s">
        <v>1351</v>
      </c>
      <c r="T3535" t="s">
        <v>1341</v>
      </c>
      <c r="U3535" t="s">
        <v>1342</v>
      </c>
      <c r="V3535" t="s">
        <v>1270</v>
      </c>
      <c r="W3535" t="s">
        <v>51</v>
      </c>
      <c r="X3535" t="s">
        <v>45</v>
      </c>
      <c r="Y3535" s="1">
        <v>33056</v>
      </c>
      <c r="Z3535">
        <v>1</v>
      </c>
      <c r="AA3535" t="s">
        <v>1342</v>
      </c>
      <c r="AB3535" s="40" t="s">
        <v>1799</v>
      </c>
    </row>
    <row r="3536" spans="1:28" x14ac:dyDescent="0.25">
      <c r="A3536">
        <v>99913535</v>
      </c>
      <c r="B3536" t="s">
        <v>32</v>
      </c>
      <c r="C3536" t="s">
        <v>64</v>
      </c>
      <c r="D3536" t="s">
        <v>65</v>
      </c>
      <c r="G3536" t="s">
        <v>35</v>
      </c>
      <c r="H3536">
        <v>1</v>
      </c>
      <c r="I3536" t="s">
        <v>1080</v>
      </c>
      <c r="J3536" s="1">
        <v>43344</v>
      </c>
      <c r="K3536" t="s">
        <v>1081</v>
      </c>
      <c r="L3536" t="s">
        <v>1082</v>
      </c>
      <c r="M3536" t="s">
        <v>1053</v>
      </c>
      <c r="N3536">
        <v>22</v>
      </c>
      <c r="O3536" s="1">
        <v>43344</v>
      </c>
      <c r="P3536" t="s">
        <v>41</v>
      </c>
      <c r="Q3536" t="s">
        <v>75</v>
      </c>
      <c r="R3536" t="str">
        <f>"7201006"</f>
        <v>7201006</v>
      </c>
      <c r="S3536" t="s">
        <v>1083</v>
      </c>
      <c r="T3536" t="s">
        <v>1081</v>
      </c>
      <c r="U3536" t="s">
        <v>1082</v>
      </c>
      <c r="V3536" t="s">
        <v>1053</v>
      </c>
      <c r="W3536" t="s">
        <v>51</v>
      </c>
      <c r="X3536" t="s">
        <v>45</v>
      </c>
      <c r="Y3536" s="1">
        <v>32222</v>
      </c>
      <c r="Z3536">
        <v>1</v>
      </c>
      <c r="AA3536" t="s">
        <v>1082</v>
      </c>
      <c r="AB3536" s="40" t="s">
        <v>1799</v>
      </c>
    </row>
    <row r="3537" spans="1:28" x14ac:dyDescent="0.25">
      <c r="A3537">
        <v>99913536</v>
      </c>
      <c r="B3537" t="s">
        <v>32</v>
      </c>
      <c r="C3537" t="s">
        <v>111</v>
      </c>
      <c r="D3537" t="s">
        <v>112</v>
      </c>
      <c r="G3537" t="s">
        <v>88</v>
      </c>
      <c r="H3537">
        <v>3</v>
      </c>
      <c r="J3537" s="1">
        <v>43344</v>
      </c>
      <c r="K3537" t="s">
        <v>354</v>
      </c>
      <c r="L3537" t="s">
        <v>355</v>
      </c>
      <c r="M3537" t="s">
        <v>131</v>
      </c>
      <c r="N3537">
        <v>22</v>
      </c>
      <c r="O3537" s="1">
        <v>43344</v>
      </c>
      <c r="P3537" t="s">
        <v>41</v>
      </c>
      <c r="Q3537" t="s">
        <v>75</v>
      </c>
      <c r="R3537" t="str">
        <f>"7054006"</f>
        <v>7054006</v>
      </c>
      <c r="S3537" t="s">
        <v>774</v>
      </c>
      <c r="T3537" t="s">
        <v>354</v>
      </c>
      <c r="U3537" t="s">
        <v>355</v>
      </c>
      <c r="V3537" t="s">
        <v>131</v>
      </c>
      <c r="W3537" t="s">
        <v>51</v>
      </c>
      <c r="X3537" t="s">
        <v>45</v>
      </c>
      <c r="Y3537" s="1">
        <v>32143</v>
      </c>
      <c r="Z3537">
        <v>1</v>
      </c>
      <c r="AA3537" t="s">
        <v>355</v>
      </c>
      <c r="AB3537" s="40" t="s">
        <v>1799</v>
      </c>
    </row>
    <row r="3538" spans="1:28" x14ac:dyDescent="0.25">
      <c r="A3538">
        <v>99913537</v>
      </c>
      <c r="B3538" t="s">
        <v>32</v>
      </c>
      <c r="C3538" t="s">
        <v>64</v>
      </c>
      <c r="D3538" t="s">
        <v>65</v>
      </c>
      <c r="G3538" t="s">
        <v>35</v>
      </c>
      <c r="H3538">
        <v>1</v>
      </c>
      <c r="I3538" s="1">
        <v>43346</v>
      </c>
      <c r="J3538" s="1">
        <v>43344</v>
      </c>
      <c r="K3538" t="s">
        <v>1341</v>
      </c>
      <c r="L3538" t="s">
        <v>1342</v>
      </c>
      <c r="M3538" t="s">
        <v>1270</v>
      </c>
      <c r="N3538">
        <v>22</v>
      </c>
      <c r="O3538" s="1">
        <v>43344</v>
      </c>
      <c r="P3538" t="s">
        <v>41</v>
      </c>
      <c r="Q3538" t="s">
        <v>75</v>
      </c>
      <c r="R3538" t="str">
        <f>"7191034"</f>
        <v>7191034</v>
      </c>
      <c r="S3538" t="s">
        <v>1343</v>
      </c>
      <c r="T3538" t="s">
        <v>1341</v>
      </c>
      <c r="U3538" t="s">
        <v>1342</v>
      </c>
      <c r="V3538" t="s">
        <v>1270</v>
      </c>
      <c r="W3538" t="s">
        <v>44</v>
      </c>
      <c r="X3538" t="s">
        <v>45</v>
      </c>
      <c r="Y3538" s="1">
        <v>31176</v>
      </c>
      <c r="Z3538">
        <v>1</v>
      </c>
      <c r="AA3538" t="s">
        <v>1342</v>
      </c>
      <c r="AB3538" s="40" t="s">
        <v>1799</v>
      </c>
    </row>
    <row r="3539" spans="1:28" x14ac:dyDescent="0.25">
      <c r="A3539">
        <v>99913538</v>
      </c>
      <c r="B3539" t="s">
        <v>32</v>
      </c>
      <c r="C3539" t="s">
        <v>64</v>
      </c>
      <c r="D3539" t="s">
        <v>65</v>
      </c>
      <c r="G3539" t="s">
        <v>48</v>
      </c>
      <c r="H3539">
        <v>1</v>
      </c>
      <c r="K3539" t="s">
        <v>1631</v>
      </c>
      <c r="L3539" t="s">
        <v>1632</v>
      </c>
      <c r="M3539" t="s">
        <v>1592</v>
      </c>
      <c r="N3539">
        <v>22</v>
      </c>
      <c r="P3539" t="s">
        <v>41</v>
      </c>
      <c r="Q3539" t="s">
        <v>75</v>
      </c>
      <c r="R3539" t="str">
        <f>"7021000"</f>
        <v>7021000</v>
      </c>
      <c r="S3539" t="s">
        <v>1633</v>
      </c>
      <c r="T3539" t="s">
        <v>1631</v>
      </c>
      <c r="U3539" t="s">
        <v>1632</v>
      </c>
      <c r="V3539" t="s">
        <v>1592</v>
      </c>
      <c r="W3539" t="s">
        <v>51</v>
      </c>
      <c r="X3539" t="s">
        <v>45</v>
      </c>
      <c r="Y3539" s="1">
        <v>31048</v>
      </c>
      <c r="Z3539">
        <v>1</v>
      </c>
      <c r="AA3539" t="s">
        <v>1632</v>
      </c>
      <c r="AB3539" s="40" t="s">
        <v>1799</v>
      </c>
    </row>
    <row r="3540" spans="1:28" x14ac:dyDescent="0.25">
      <c r="A3540">
        <v>99913539</v>
      </c>
      <c r="B3540" t="s">
        <v>32</v>
      </c>
      <c r="C3540" t="s">
        <v>79</v>
      </c>
      <c r="D3540" t="s">
        <v>80</v>
      </c>
      <c r="G3540" t="s">
        <v>35</v>
      </c>
      <c r="H3540">
        <v>1</v>
      </c>
      <c r="K3540" t="s">
        <v>223</v>
      </c>
      <c r="L3540" t="s">
        <v>224</v>
      </c>
      <c r="M3540" t="s">
        <v>131</v>
      </c>
      <c r="N3540">
        <v>22</v>
      </c>
      <c r="P3540" t="s">
        <v>41</v>
      </c>
      <c r="Q3540" t="s">
        <v>49</v>
      </c>
      <c r="R3540" t="str">
        <f>"0591901"</f>
        <v>0591901</v>
      </c>
      <c r="S3540" t="s">
        <v>230</v>
      </c>
      <c r="T3540" t="s">
        <v>223</v>
      </c>
      <c r="U3540" t="s">
        <v>224</v>
      </c>
      <c r="V3540" t="s">
        <v>131</v>
      </c>
      <c r="W3540" t="s">
        <v>51</v>
      </c>
      <c r="X3540" t="s">
        <v>45</v>
      </c>
      <c r="Y3540" s="1">
        <v>31045</v>
      </c>
      <c r="Z3540">
        <v>2</v>
      </c>
      <c r="AA3540" t="s">
        <v>224</v>
      </c>
      <c r="AB3540" s="40" t="s">
        <v>1799</v>
      </c>
    </row>
    <row r="3541" spans="1:28" x14ac:dyDescent="0.25">
      <c r="A3541">
        <v>99913540</v>
      </c>
      <c r="B3541" t="s">
        <v>56</v>
      </c>
      <c r="C3541" t="s">
        <v>68</v>
      </c>
      <c r="D3541" t="s">
        <v>69</v>
      </c>
      <c r="E3541" t="s">
        <v>141</v>
      </c>
      <c r="F3541" t="s">
        <v>142</v>
      </c>
      <c r="G3541" t="s">
        <v>35</v>
      </c>
      <c r="H3541">
        <v>1</v>
      </c>
      <c r="K3541" t="s">
        <v>223</v>
      </c>
      <c r="L3541" t="s">
        <v>224</v>
      </c>
      <c r="M3541" t="s">
        <v>131</v>
      </c>
      <c r="N3541">
        <v>22</v>
      </c>
      <c r="P3541" t="s">
        <v>41</v>
      </c>
      <c r="Q3541" t="s">
        <v>49</v>
      </c>
      <c r="R3541" t="str">
        <f>"0591901"</f>
        <v>0591901</v>
      </c>
      <c r="S3541" t="s">
        <v>230</v>
      </c>
      <c r="T3541" t="s">
        <v>223</v>
      </c>
      <c r="U3541" t="s">
        <v>224</v>
      </c>
      <c r="V3541" t="s">
        <v>131</v>
      </c>
      <c r="W3541" t="s">
        <v>51</v>
      </c>
      <c r="X3541" t="s">
        <v>45</v>
      </c>
      <c r="Y3541" s="1">
        <v>31000</v>
      </c>
      <c r="Z3541">
        <v>2</v>
      </c>
      <c r="AA3541" t="s">
        <v>224</v>
      </c>
      <c r="AB3541" s="40" t="s">
        <v>1799</v>
      </c>
    </row>
    <row r="3542" spans="1:28" x14ac:dyDescent="0.25">
      <c r="A3542">
        <v>99913541</v>
      </c>
      <c r="B3542" t="s">
        <v>32</v>
      </c>
      <c r="C3542" t="s">
        <v>82</v>
      </c>
      <c r="D3542" t="s">
        <v>83</v>
      </c>
      <c r="G3542" t="s">
        <v>35</v>
      </c>
      <c r="H3542">
        <v>1</v>
      </c>
      <c r="I3542">
        <v>21384</v>
      </c>
      <c r="J3542" s="1">
        <v>43374</v>
      </c>
      <c r="K3542" t="s">
        <v>380</v>
      </c>
      <c r="L3542" t="s">
        <v>381</v>
      </c>
      <c r="M3542" t="s">
        <v>131</v>
      </c>
      <c r="N3542">
        <v>22</v>
      </c>
      <c r="O3542" s="1">
        <v>43374</v>
      </c>
      <c r="P3542" t="s">
        <v>41</v>
      </c>
      <c r="Q3542" t="s">
        <v>42</v>
      </c>
      <c r="R3542" t="str">
        <f>"0561010"</f>
        <v>0561010</v>
      </c>
      <c r="S3542" t="s">
        <v>387</v>
      </c>
      <c r="T3542" t="s">
        <v>380</v>
      </c>
      <c r="U3542" t="s">
        <v>381</v>
      </c>
      <c r="V3542" t="s">
        <v>131</v>
      </c>
      <c r="W3542" t="s">
        <v>44</v>
      </c>
      <c r="X3542" t="s">
        <v>45</v>
      </c>
      <c r="Y3542" s="1">
        <v>30682</v>
      </c>
      <c r="Z3542">
        <v>2</v>
      </c>
      <c r="AA3542" t="s">
        <v>381</v>
      </c>
      <c r="AB3542" s="40" t="s">
        <v>1799</v>
      </c>
    </row>
    <row r="3543" spans="1:28" x14ac:dyDescent="0.25">
      <c r="A3543">
        <v>99913542</v>
      </c>
      <c r="B3543" t="s">
        <v>56</v>
      </c>
      <c r="C3543" t="s">
        <v>52</v>
      </c>
      <c r="D3543" t="s">
        <v>53</v>
      </c>
      <c r="G3543" t="s">
        <v>48</v>
      </c>
      <c r="H3543">
        <v>1</v>
      </c>
      <c r="K3543" t="s">
        <v>223</v>
      </c>
      <c r="L3543" t="s">
        <v>224</v>
      </c>
      <c r="M3543" t="s">
        <v>131</v>
      </c>
      <c r="N3543">
        <v>22</v>
      </c>
      <c r="P3543" t="s">
        <v>41</v>
      </c>
      <c r="Q3543" t="s">
        <v>49</v>
      </c>
      <c r="R3543" t="str">
        <f>"0581207"</f>
        <v>0581207</v>
      </c>
      <c r="S3543" t="s">
        <v>233</v>
      </c>
      <c r="T3543" t="s">
        <v>223</v>
      </c>
      <c r="U3543" t="s">
        <v>224</v>
      </c>
      <c r="V3543" t="s">
        <v>131</v>
      </c>
      <c r="W3543" t="s">
        <v>51</v>
      </c>
      <c r="X3543" t="s">
        <v>45</v>
      </c>
      <c r="Y3543" s="1">
        <v>30580</v>
      </c>
      <c r="Z3543">
        <v>2</v>
      </c>
      <c r="AA3543" t="s">
        <v>224</v>
      </c>
      <c r="AB3543" s="40" t="s">
        <v>1799</v>
      </c>
    </row>
    <row r="3544" spans="1:28" x14ac:dyDescent="0.25">
      <c r="A3544">
        <v>99913543</v>
      </c>
      <c r="B3544" t="s">
        <v>32</v>
      </c>
      <c r="C3544" t="s">
        <v>111</v>
      </c>
      <c r="D3544" t="s">
        <v>112</v>
      </c>
      <c r="G3544" t="s">
        <v>35</v>
      </c>
      <c r="H3544">
        <v>1</v>
      </c>
      <c r="K3544" t="s">
        <v>354</v>
      </c>
      <c r="L3544" t="s">
        <v>355</v>
      </c>
      <c r="M3544" t="s">
        <v>131</v>
      </c>
      <c r="N3544">
        <v>22</v>
      </c>
      <c r="P3544" t="s">
        <v>41</v>
      </c>
      <c r="Q3544" t="s">
        <v>75</v>
      </c>
      <c r="R3544" t="str">
        <f>"7054028"</f>
        <v>7054028</v>
      </c>
      <c r="S3544" t="s">
        <v>788</v>
      </c>
      <c r="T3544" t="s">
        <v>354</v>
      </c>
      <c r="U3544" t="s">
        <v>355</v>
      </c>
      <c r="V3544" t="s">
        <v>131</v>
      </c>
      <c r="W3544" t="s">
        <v>51</v>
      </c>
      <c r="X3544" t="s">
        <v>45</v>
      </c>
      <c r="Y3544" s="1">
        <v>30540</v>
      </c>
      <c r="Z3544">
        <v>1</v>
      </c>
      <c r="AA3544" t="s">
        <v>355</v>
      </c>
      <c r="AB3544" s="40" t="s">
        <v>1799</v>
      </c>
    </row>
    <row r="3545" spans="1:28" x14ac:dyDescent="0.25">
      <c r="A3545">
        <v>99913544</v>
      </c>
      <c r="B3545" t="s">
        <v>32</v>
      </c>
      <c r="C3545" t="s">
        <v>46</v>
      </c>
      <c r="D3545" t="s">
        <v>47</v>
      </c>
      <c r="G3545" t="s">
        <v>48</v>
      </c>
      <c r="H3545">
        <v>1</v>
      </c>
      <c r="K3545" t="s">
        <v>223</v>
      </c>
      <c r="L3545" t="s">
        <v>224</v>
      </c>
      <c r="M3545" t="s">
        <v>131</v>
      </c>
      <c r="N3545">
        <v>22</v>
      </c>
      <c r="P3545" t="s">
        <v>41</v>
      </c>
      <c r="Q3545" t="s">
        <v>49</v>
      </c>
      <c r="R3545" t="str">
        <f>"0591910"</f>
        <v>0591910</v>
      </c>
      <c r="S3545" t="s">
        <v>228</v>
      </c>
      <c r="T3545" t="s">
        <v>223</v>
      </c>
      <c r="U3545" t="s">
        <v>224</v>
      </c>
      <c r="V3545" t="s">
        <v>131</v>
      </c>
      <c r="W3545" t="s">
        <v>51</v>
      </c>
      <c r="X3545" t="s">
        <v>45</v>
      </c>
      <c r="Y3545" s="1">
        <v>30385</v>
      </c>
      <c r="Z3545">
        <v>2</v>
      </c>
      <c r="AA3545" t="s">
        <v>224</v>
      </c>
      <c r="AB3545" s="40" t="s">
        <v>1799</v>
      </c>
    </row>
    <row r="3546" spans="1:28" x14ac:dyDescent="0.25">
      <c r="A3546">
        <v>99913545</v>
      </c>
      <c r="B3546" t="s">
        <v>32</v>
      </c>
      <c r="C3546" t="s">
        <v>111</v>
      </c>
      <c r="D3546" t="s">
        <v>112</v>
      </c>
      <c r="G3546" t="s">
        <v>35</v>
      </c>
      <c r="H3546">
        <v>1</v>
      </c>
      <c r="I3546" s="1">
        <v>43349</v>
      </c>
      <c r="J3546" s="1">
        <v>43349</v>
      </c>
      <c r="K3546" t="s">
        <v>1341</v>
      </c>
      <c r="L3546" t="s">
        <v>1342</v>
      </c>
      <c r="M3546" t="s">
        <v>1270</v>
      </c>
      <c r="N3546">
        <v>22</v>
      </c>
      <c r="O3546" s="1">
        <v>43349</v>
      </c>
      <c r="P3546" t="s">
        <v>41</v>
      </c>
      <c r="Q3546" t="s">
        <v>75</v>
      </c>
      <c r="R3546" t="str">
        <f>"7191002"</f>
        <v>7191002</v>
      </c>
      <c r="S3546" t="s">
        <v>1365</v>
      </c>
      <c r="T3546" t="s">
        <v>1341</v>
      </c>
      <c r="U3546" t="s">
        <v>1342</v>
      </c>
      <c r="V3546" t="s">
        <v>1270</v>
      </c>
      <c r="W3546" t="s">
        <v>44</v>
      </c>
      <c r="X3546" t="s">
        <v>45</v>
      </c>
      <c r="Y3546" s="1">
        <v>30317</v>
      </c>
      <c r="Z3546">
        <v>1</v>
      </c>
      <c r="AA3546" t="s">
        <v>1342</v>
      </c>
      <c r="AB3546" s="40" t="s">
        <v>1799</v>
      </c>
    </row>
    <row r="3547" spans="1:28" x14ac:dyDescent="0.25">
      <c r="A3547">
        <v>99913546</v>
      </c>
      <c r="B3547" t="s">
        <v>32</v>
      </c>
      <c r="C3547" t="s">
        <v>46</v>
      </c>
      <c r="D3547" t="s">
        <v>47</v>
      </c>
      <c r="G3547" t="s">
        <v>48</v>
      </c>
      <c r="H3547">
        <v>1</v>
      </c>
      <c r="K3547" t="s">
        <v>157</v>
      </c>
      <c r="L3547" t="s">
        <v>158</v>
      </c>
      <c r="M3547" t="s">
        <v>131</v>
      </c>
      <c r="N3547">
        <v>22</v>
      </c>
      <c r="P3547" t="s">
        <v>41</v>
      </c>
      <c r="Q3547" t="s">
        <v>49</v>
      </c>
      <c r="R3547" t="str">
        <f>"0560019"</f>
        <v>0560019</v>
      </c>
      <c r="S3547" t="s">
        <v>166</v>
      </c>
      <c r="T3547" t="s">
        <v>157</v>
      </c>
      <c r="U3547" t="s">
        <v>158</v>
      </c>
      <c r="V3547" t="s">
        <v>131</v>
      </c>
      <c r="W3547" t="s">
        <v>51</v>
      </c>
      <c r="X3547" t="s">
        <v>45</v>
      </c>
      <c r="Y3547" s="1">
        <v>30183</v>
      </c>
      <c r="Z3547">
        <v>2</v>
      </c>
      <c r="AA3547" t="s">
        <v>158</v>
      </c>
      <c r="AB3547" s="40" t="s">
        <v>1799</v>
      </c>
    </row>
    <row r="3548" spans="1:28" x14ac:dyDescent="0.25">
      <c r="A3548">
        <v>99913547</v>
      </c>
      <c r="B3548" t="s">
        <v>32</v>
      </c>
      <c r="C3548" t="s">
        <v>111</v>
      </c>
      <c r="D3548" t="s">
        <v>112</v>
      </c>
      <c r="G3548" t="s">
        <v>35</v>
      </c>
      <c r="H3548">
        <v>1</v>
      </c>
      <c r="I3548">
        <v>0</v>
      </c>
      <c r="J3548" s="1">
        <v>43344</v>
      </c>
      <c r="K3548" t="s">
        <v>985</v>
      </c>
      <c r="L3548" t="s">
        <v>986</v>
      </c>
      <c r="M3548" t="s">
        <v>938</v>
      </c>
      <c r="N3548">
        <v>22</v>
      </c>
      <c r="O3548" s="1">
        <v>43344</v>
      </c>
      <c r="P3548" t="s">
        <v>41</v>
      </c>
      <c r="Q3548" t="s">
        <v>75</v>
      </c>
      <c r="R3548" t="str">
        <f>"7011004"</f>
        <v>7011004</v>
      </c>
      <c r="S3548" t="s">
        <v>987</v>
      </c>
      <c r="T3548" t="s">
        <v>985</v>
      </c>
      <c r="U3548" t="s">
        <v>986</v>
      </c>
      <c r="V3548" t="s">
        <v>938</v>
      </c>
      <c r="W3548" t="s">
        <v>51</v>
      </c>
      <c r="X3548" t="s">
        <v>45</v>
      </c>
      <c r="Y3548" s="1">
        <v>30146</v>
      </c>
      <c r="Z3548">
        <v>1</v>
      </c>
      <c r="AA3548" t="s">
        <v>986</v>
      </c>
      <c r="AB3548" s="40" t="s">
        <v>1799</v>
      </c>
    </row>
    <row r="3549" spans="1:28" x14ac:dyDescent="0.25">
      <c r="A3549">
        <v>99913548</v>
      </c>
      <c r="B3549" t="s">
        <v>32</v>
      </c>
      <c r="C3549" t="s">
        <v>71</v>
      </c>
      <c r="D3549" t="s">
        <v>72</v>
      </c>
      <c r="G3549" t="s">
        <v>35</v>
      </c>
      <c r="H3549">
        <v>1</v>
      </c>
      <c r="I3549" t="s">
        <v>250</v>
      </c>
      <c r="J3549" s="1">
        <v>43344</v>
      </c>
      <c r="K3549" t="s">
        <v>223</v>
      </c>
      <c r="L3549" t="s">
        <v>224</v>
      </c>
      <c r="M3549" t="s">
        <v>131</v>
      </c>
      <c r="N3549">
        <v>22</v>
      </c>
      <c r="O3549" s="1">
        <v>43344</v>
      </c>
      <c r="P3549" t="s">
        <v>41</v>
      </c>
      <c r="Q3549" t="s">
        <v>49</v>
      </c>
      <c r="R3549" t="str">
        <f>"0560016"</f>
        <v>0560016</v>
      </c>
      <c r="S3549" t="s">
        <v>254</v>
      </c>
      <c r="T3549" t="s">
        <v>223</v>
      </c>
      <c r="U3549" t="s">
        <v>224</v>
      </c>
      <c r="V3549" t="s">
        <v>131</v>
      </c>
      <c r="W3549" t="s">
        <v>44</v>
      </c>
      <c r="X3549" t="s">
        <v>45</v>
      </c>
      <c r="Y3549" s="1">
        <v>30074</v>
      </c>
      <c r="Z3549">
        <v>2</v>
      </c>
      <c r="AA3549" t="s">
        <v>224</v>
      </c>
      <c r="AB3549" s="40" t="s">
        <v>1799</v>
      </c>
    </row>
    <row r="3550" spans="1:28" x14ac:dyDescent="0.25">
      <c r="A3550">
        <v>99913549</v>
      </c>
      <c r="B3550" t="s">
        <v>32</v>
      </c>
      <c r="C3550" t="s">
        <v>46</v>
      </c>
      <c r="D3550" t="s">
        <v>47</v>
      </c>
      <c r="G3550" t="s">
        <v>48</v>
      </c>
      <c r="H3550">
        <v>1</v>
      </c>
      <c r="K3550" t="s">
        <v>300</v>
      </c>
      <c r="L3550" t="s">
        <v>301</v>
      </c>
      <c r="M3550" t="s">
        <v>131</v>
      </c>
      <c r="N3550">
        <v>22</v>
      </c>
      <c r="P3550" t="s">
        <v>41</v>
      </c>
      <c r="Q3550" t="s">
        <v>49</v>
      </c>
      <c r="R3550" t="str">
        <f>"0560013"</f>
        <v>0560013</v>
      </c>
      <c r="S3550" t="s">
        <v>324</v>
      </c>
      <c r="T3550" t="s">
        <v>300</v>
      </c>
      <c r="U3550" t="s">
        <v>301</v>
      </c>
      <c r="V3550" t="s">
        <v>131</v>
      </c>
      <c r="W3550" t="s">
        <v>51</v>
      </c>
      <c r="X3550" t="s">
        <v>45</v>
      </c>
      <c r="Y3550" s="1">
        <v>30032</v>
      </c>
      <c r="Z3550">
        <v>2</v>
      </c>
      <c r="AA3550" t="s">
        <v>301</v>
      </c>
      <c r="AB3550" s="40" t="s">
        <v>1799</v>
      </c>
    </row>
    <row r="3551" spans="1:28" x14ac:dyDescent="0.25">
      <c r="A3551">
        <v>99913550</v>
      </c>
      <c r="B3551" t="s">
        <v>56</v>
      </c>
      <c r="C3551" t="s">
        <v>79</v>
      </c>
      <c r="D3551" t="s">
        <v>80</v>
      </c>
      <c r="G3551" t="s">
        <v>35</v>
      </c>
      <c r="H3551">
        <v>1</v>
      </c>
      <c r="K3551" t="s">
        <v>223</v>
      </c>
      <c r="L3551" t="s">
        <v>224</v>
      </c>
      <c r="M3551" t="s">
        <v>131</v>
      </c>
      <c r="N3551">
        <v>22</v>
      </c>
      <c r="P3551" t="s">
        <v>41</v>
      </c>
      <c r="Q3551" t="s">
        <v>42</v>
      </c>
      <c r="R3551" t="str">
        <f>"0590901"</f>
        <v>0590901</v>
      </c>
      <c r="S3551" t="s">
        <v>242</v>
      </c>
      <c r="T3551" t="s">
        <v>223</v>
      </c>
      <c r="U3551" t="s">
        <v>224</v>
      </c>
      <c r="V3551" t="s">
        <v>131</v>
      </c>
      <c r="W3551" t="s">
        <v>51</v>
      </c>
      <c r="X3551" t="s">
        <v>45</v>
      </c>
      <c r="Y3551" s="1">
        <v>29994</v>
      </c>
      <c r="Z3551">
        <v>2</v>
      </c>
      <c r="AA3551" t="s">
        <v>224</v>
      </c>
      <c r="AB3551" s="40" t="s">
        <v>1799</v>
      </c>
    </row>
    <row r="3552" spans="1:28" x14ac:dyDescent="0.25">
      <c r="A3552">
        <v>99913551</v>
      </c>
      <c r="B3552" t="s">
        <v>32</v>
      </c>
      <c r="C3552" t="s">
        <v>46</v>
      </c>
      <c r="D3552" t="s">
        <v>47</v>
      </c>
      <c r="G3552" t="s">
        <v>35</v>
      </c>
      <c r="H3552">
        <v>1</v>
      </c>
      <c r="I3552" t="s">
        <v>1161</v>
      </c>
      <c r="J3552" s="1">
        <v>43347</v>
      </c>
      <c r="K3552" t="s">
        <v>1128</v>
      </c>
      <c r="L3552" t="s">
        <v>1129</v>
      </c>
      <c r="M3552" t="s">
        <v>1130</v>
      </c>
      <c r="N3552">
        <v>22</v>
      </c>
      <c r="O3552" s="1">
        <v>43347</v>
      </c>
      <c r="P3552" t="s">
        <v>41</v>
      </c>
      <c r="Q3552" t="s">
        <v>49</v>
      </c>
      <c r="R3552" t="str">
        <f>"3181010"</f>
        <v>3181010</v>
      </c>
      <c r="S3552" t="s">
        <v>1134</v>
      </c>
      <c r="T3552" t="s">
        <v>1128</v>
      </c>
      <c r="U3552" t="s">
        <v>1129</v>
      </c>
      <c r="V3552" t="s">
        <v>1130</v>
      </c>
      <c r="W3552" t="s">
        <v>55</v>
      </c>
      <c r="X3552" t="s">
        <v>45</v>
      </c>
      <c r="Y3552" s="1">
        <v>29970</v>
      </c>
      <c r="Z3552">
        <v>2</v>
      </c>
      <c r="AA3552" t="s">
        <v>1129</v>
      </c>
      <c r="AB3552" s="40" t="s">
        <v>1799</v>
      </c>
    </row>
    <row r="3553" spans="1:28" x14ac:dyDescent="0.25">
      <c r="A3553">
        <v>99913552</v>
      </c>
      <c r="B3553" t="s">
        <v>56</v>
      </c>
      <c r="C3553" t="s">
        <v>79</v>
      </c>
      <c r="D3553" t="s">
        <v>80</v>
      </c>
      <c r="G3553" t="s">
        <v>48</v>
      </c>
      <c r="H3553">
        <v>1</v>
      </c>
      <c r="K3553" t="s">
        <v>157</v>
      </c>
      <c r="L3553" t="s">
        <v>158</v>
      </c>
      <c r="M3553" t="s">
        <v>131</v>
      </c>
      <c r="N3553">
        <v>22</v>
      </c>
      <c r="P3553" t="s">
        <v>41</v>
      </c>
      <c r="Q3553" t="s">
        <v>49</v>
      </c>
      <c r="R3553" t="str">
        <f>"0560019"</f>
        <v>0560019</v>
      </c>
      <c r="S3553" t="s">
        <v>166</v>
      </c>
      <c r="T3553" t="s">
        <v>157</v>
      </c>
      <c r="U3553" t="s">
        <v>158</v>
      </c>
      <c r="V3553" t="s">
        <v>131</v>
      </c>
      <c r="W3553" t="s">
        <v>51</v>
      </c>
      <c r="X3553" t="s">
        <v>45</v>
      </c>
      <c r="Y3553" s="1">
        <v>29967</v>
      </c>
      <c r="Z3553">
        <v>2</v>
      </c>
      <c r="AA3553" t="s">
        <v>158</v>
      </c>
      <c r="AB3553" s="40" t="s">
        <v>1799</v>
      </c>
    </row>
    <row r="3554" spans="1:28" x14ac:dyDescent="0.25">
      <c r="A3554">
        <v>99913553</v>
      </c>
      <c r="B3554" t="s">
        <v>32</v>
      </c>
      <c r="C3554" t="s">
        <v>111</v>
      </c>
      <c r="D3554" t="s">
        <v>112</v>
      </c>
      <c r="G3554" t="s">
        <v>48</v>
      </c>
      <c r="H3554">
        <v>7</v>
      </c>
      <c r="K3554" t="s">
        <v>1221</v>
      </c>
      <c r="L3554" t="s">
        <v>1222</v>
      </c>
      <c r="M3554" t="s">
        <v>1130</v>
      </c>
      <c r="N3554">
        <v>22</v>
      </c>
      <c r="P3554" t="s">
        <v>41</v>
      </c>
      <c r="Q3554" t="s">
        <v>75</v>
      </c>
      <c r="R3554" t="str">
        <f>"7351000"</f>
        <v>7351000</v>
      </c>
      <c r="S3554" t="s">
        <v>1223</v>
      </c>
      <c r="T3554" t="s">
        <v>1221</v>
      </c>
      <c r="U3554" t="s">
        <v>1222</v>
      </c>
      <c r="V3554" t="s">
        <v>1130</v>
      </c>
      <c r="W3554" t="s">
        <v>51</v>
      </c>
      <c r="X3554" t="s">
        <v>45</v>
      </c>
      <c r="Y3554" s="1">
        <v>29940</v>
      </c>
      <c r="Z3554">
        <v>1</v>
      </c>
      <c r="AA3554" t="s">
        <v>1222</v>
      </c>
      <c r="AB3554" s="40" t="s">
        <v>1799</v>
      </c>
    </row>
    <row r="3555" spans="1:28" x14ac:dyDescent="0.25">
      <c r="A3555">
        <v>99913554</v>
      </c>
      <c r="B3555" t="s">
        <v>32</v>
      </c>
      <c r="C3555" t="s">
        <v>46</v>
      </c>
      <c r="D3555" t="s">
        <v>47</v>
      </c>
      <c r="G3555" t="s">
        <v>35</v>
      </c>
      <c r="H3555">
        <v>1</v>
      </c>
      <c r="K3555" t="s">
        <v>1325</v>
      </c>
      <c r="L3555" t="s">
        <v>1326</v>
      </c>
      <c r="M3555" t="s">
        <v>1270</v>
      </c>
      <c r="N3555">
        <v>22</v>
      </c>
      <c r="P3555" t="s">
        <v>41</v>
      </c>
      <c r="Q3555" t="s">
        <v>49</v>
      </c>
      <c r="R3555" t="str">
        <f>"3981100"</f>
        <v>3981100</v>
      </c>
      <c r="S3555" t="s">
        <v>1327</v>
      </c>
      <c r="T3555" t="s">
        <v>1325</v>
      </c>
      <c r="U3555" t="s">
        <v>1326</v>
      </c>
      <c r="V3555" t="s">
        <v>1270</v>
      </c>
      <c r="W3555" t="s">
        <v>51</v>
      </c>
      <c r="X3555" t="s">
        <v>45</v>
      </c>
      <c r="Y3555" s="1">
        <v>29853</v>
      </c>
      <c r="Z3555">
        <v>2</v>
      </c>
      <c r="AA3555" t="s">
        <v>1326</v>
      </c>
      <c r="AB3555" s="40" t="s">
        <v>1799</v>
      </c>
    </row>
    <row r="3556" spans="1:28" x14ac:dyDescent="0.25">
      <c r="A3556">
        <v>99913555</v>
      </c>
      <c r="B3556" t="s">
        <v>32</v>
      </c>
      <c r="C3556" t="s">
        <v>46</v>
      </c>
      <c r="D3556" t="s">
        <v>47</v>
      </c>
      <c r="G3556" t="s">
        <v>48</v>
      </c>
      <c r="H3556">
        <v>1</v>
      </c>
      <c r="K3556" t="s">
        <v>300</v>
      </c>
      <c r="L3556" t="s">
        <v>301</v>
      </c>
      <c r="M3556" t="s">
        <v>131</v>
      </c>
      <c r="N3556">
        <v>22</v>
      </c>
      <c r="P3556" t="s">
        <v>41</v>
      </c>
      <c r="Q3556" t="s">
        <v>49</v>
      </c>
      <c r="R3556" t="str">
        <f>"0560020"</f>
        <v>0560020</v>
      </c>
      <c r="S3556" t="s">
        <v>302</v>
      </c>
      <c r="T3556" t="s">
        <v>300</v>
      </c>
      <c r="U3556" t="s">
        <v>301</v>
      </c>
      <c r="V3556" t="s">
        <v>131</v>
      </c>
      <c r="W3556" t="s">
        <v>51</v>
      </c>
      <c r="X3556" t="s">
        <v>45</v>
      </c>
      <c r="Y3556" s="1">
        <v>29831</v>
      </c>
      <c r="Z3556">
        <v>2</v>
      </c>
      <c r="AA3556" t="s">
        <v>301</v>
      </c>
      <c r="AB3556" s="40" t="s">
        <v>1799</v>
      </c>
    </row>
    <row r="3557" spans="1:28" x14ac:dyDescent="0.25">
      <c r="A3557">
        <v>99913556</v>
      </c>
      <c r="B3557" t="s">
        <v>32</v>
      </c>
      <c r="C3557" t="s">
        <v>64</v>
      </c>
      <c r="D3557" t="s">
        <v>65</v>
      </c>
      <c r="G3557" t="s">
        <v>35</v>
      </c>
      <c r="H3557">
        <v>1</v>
      </c>
      <c r="I3557" s="1">
        <v>40057</v>
      </c>
      <c r="J3557" s="1">
        <v>43344</v>
      </c>
      <c r="K3557" t="s">
        <v>1341</v>
      </c>
      <c r="L3557" t="s">
        <v>1342</v>
      </c>
      <c r="M3557" t="s">
        <v>1270</v>
      </c>
      <c r="N3557">
        <v>22</v>
      </c>
      <c r="O3557" s="1">
        <v>43344</v>
      </c>
      <c r="P3557" t="s">
        <v>41</v>
      </c>
      <c r="Q3557" t="s">
        <v>75</v>
      </c>
      <c r="R3557" t="str">
        <f>"7191004"</f>
        <v>7191004</v>
      </c>
      <c r="S3557" t="s">
        <v>1344</v>
      </c>
      <c r="T3557" t="s">
        <v>1341</v>
      </c>
      <c r="U3557" t="s">
        <v>1342</v>
      </c>
      <c r="V3557" t="s">
        <v>1270</v>
      </c>
      <c r="W3557" t="s">
        <v>51</v>
      </c>
      <c r="X3557" t="s">
        <v>45</v>
      </c>
      <c r="Y3557" s="1">
        <v>29797</v>
      </c>
      <c r="Z3557">
        <v>1</v>
      </c>
      <c r="AA3557" t="s">
        <v>1342</v>
      </c>
      <c r="AB3557" s="40" t="s">
        <v>1799</v>
      </c>
    </row>
    <row r="3558" spans="1:28" x14ac:dyDescent="0.25">
      <c r="A3558">
        <v>99913557</v>
      </c>
      <c r="B3558" t="s">
        <v>32</v>
      </c>
      <c r="C3558" t="s">
        <v>46</v>
      </c>
      <c r="D3558" t="s">
        <v>47</v>
      </c>
      <c r="G3558" t="s">
        <v>35</v>
      </c>
      <c r="H3558">
        <v>1</v>
      </c>
      <c r="I3558">
        <v>19725</v>
      </c>
      <c r="J3558" s="1">
        <v>43347</v>
      </c>
      <c r="K3558" t="s">
        <v>1128</v>
      </c>
      <c r="L3558" t="s">
        <v>1129</v>
      </c>
      <c r="M3558" t="s">
        <v>1130</v>
      </c>
      <c r="N3558">
        <v>22</v>
      </c>
      <c r="O3558" s="1">
        <v>43347</v>
      </c>
      <c r="P3558" t="s">
        <v>41</v>
      </c>
      <c r="Q3558" t="s">
        <v>42</v>
      </c>
      <c r="R3558" t="str">
        <f>"3180010"</f>
        <v>3180010</v>
      </c>
      <c r="S3558" t="s">
        <v>1132</v>
      </c>
      <c r="T3558" t="s">
        <v>1128</v>
      </c>
      <c r="U3558" t="s">
        <v>1129</v>
      </c>
      <c r="V3558" t="s">
        <v>1130</v>
      </c>
      <c r="W3558" t="s">
        <v>55</v>
      </c>
      <c r="X3558" t="s">
        <v>45</v>
      </c>
      <c r="Y3558" s="1">
        <v>29761</v>
      </c>
      <c r="Z3558">
        <v>2</v>
      </c>
      <c r="AA3558" t="s">
        <v>1129</v>
      </c>
      <c r="AB3558" s="40" t="s">
        <v>1799</v>
      </c>
    </row>
    <row r="3559" spans="1:28" x14ac:dyDescent="0.25">
      <c r="A3559">
        <v>99913558</v>
      </c>
      <c r="B3559" t="s">
        <v>32</v>
      </c>
      <c r="C3559" t="s">
        <v>111</v>
      </c>
      <c r="D3559" t="s">
        <v>112</v>
      </c>
      <c r="G3559" t="s">
        <v>35</v>
      </c>
      <c r="H3559">
        <v>1</v>
      </c>
      <c r="K3559" t="s">
        <v>1341</v>
      </c>
      <c r="L3559" t="s">
        <v>1342</v>
      </c>
      <c r="M3559" t="s">
        <v>1270</v>
      </c>
      <c r="N3559">
        <v>22</v>
      </c>
      <c r="P3559" t="s">
        <v>41</v>
      </c>
      <c r="Q3559" t="s">
        <v>75</v>
      </c>
      <c r="R3559" t="str">
        <f>"7191006"</f>
        <v>7191006</v>
      </c>
      <c r="S3559" t="s">
        <v>1351</v>
      </c>
      <c r="T3559" t="s">
        <v>1341</v>
      </c>
      <c r="U3559" t="s">
        <v>1342</v>
      </c>
      <c r="V3559" t="s">
        <v>1270</v>
      </c>
      <c r="W3559" t="s">
        <v>51</v>
      </c>
      <c r="X3559" t="s">
        <v>45</v>
      </c>
      <c r="Y3559" s="1">
        <v>29761</v>
      </c>
      <c r="Z3559">
        <v>1</v>
      </c>
      <c r="AA3559" t="s">
        <v>1342</v>
      </c>
      <c r="AB3559" s="40" t="s">
        <v>1799</v>
      </c>
    </row>
    <row r="3560" spans="1:28" x14ac:dyDescent="0.25">
      <c r="A3560">
        <v>99913559</v>
      </c>
      <c r="B3560" t="s">
        <v>32</v>
      </c>
      <c r="C3560" t="s">
        <v>111</v>
      </c>
      <c r="D3560" t="s">
        <v>112</v>
      </c>
      <c r="G3560" t="s">
        <v>35</v>
      </c>
      <c r="H3560">
        <v>7</v>
      </c>
      <c r="K3560" t="s">
        <v>268</v>
      </c>
      <c r="L3560" t="s">
        <v>269</v>
      </c>
      <c r="M3560" t="s">
        <v>131</v>
      </c>
      <c r="N3560">
        <v>22</v>
      </c>
      <c r="P3560" t="s">
        <v>41</v>
      </c>
      <c r="Q3560" t="s">
        <v>75</v>
      </c>
      <c r="R3560" t="str">
        <f>"7052006"</f>
        <v>7052006</v>
      </c>
      <c r="S3560" t="s">
        <v>575</v>
      </c>
      <c r="T3560" t="s">
        <v>268</v>
      </c>
      <c r="U3560" t="s">
        <v>269</v>
      </c>
      <c r="V3560" t="s">
        <v>131</v>
      </c>
      <c r="W3560" t="s">
        <v>165</v>
      </c>
      <c r="X3560" t="s">
        <v>45</v>
      </c>
      <c r="Y3560" s="1">
        <v>29705</v>
      </c>
      <c r="Z3560">
        <v>1</v>
      </c>
      <c r="AA3560" t="s">
        <v>269</v>
      </c>
      <c r="AB3560" s="40" t="s">
        <v>1799</v>
      </c>
    </row>
    <row r="3561" spans="1:28" x14ac:dyDescent="0.25">
      <c r="A3561">
        <v>99913560</v>
      </c>
      <c r="B3561" t="s">
        <v>56</v>
      </c>
      <c r="C3561" t="s">
        <v>82</v>
      </c>
      <c r="D3561" t="s">
        <v>83</v>
      </c>
      <c r="G3561" t="s">
        <v>35</v>
      </c>
      <c r="H3561">
        <v>1</v>
      </c>
      <c r="I3561" t="s">
        <v>213</v>
      </c>
      <c r="J3561" s="1">
        <v>41900</v>
      </c>
      <c r="K3561" t="s">
        <v>223</v>
      </c>
      <c r="L3561" t="s">
        <v>224</v>
      </c>
      <c r="M3561" t="s">
        <v>131</v>
      </c>
      <c r="N3561">
        <v>22</v>
      </c>
      <c r="O3561" s="1">
        <v>41900</v>
      </c>
      <c r="P3561" t="s">
        <v>41</v>
      </c>
      <c r="Q3561" t="s">
        <v>42</v>
      </c>
      <c r="R3561" t="str">
        <f>"0590901"</f>
        <v>0590901</v>
      </c>
      <c r="S3561" t="s">
        <v>242</v>
      </c>
      <c r="T3561" t="s">
        <v>223</v>
      </c>
      <c r="U3561" t="s">
        <v>224</v>
      </c>
      <c r="V3561" t="s">
        <v>131</v>
      </c>
      <c r="W3561" t="s">
        <v>51</v>
      </c>
      <c r="X3561" t="s">
        <v>45</v>
      </c>
      <c r="Y3561" s="1">
        <v>29504</v>
      </c>
      <c r="Z3561">
        <v>2</v>
      </c>
      <c r="AA3561" t="s">
        <v>224</v>
      </c>
      <c r="AB3561" s="40" t="s">
        <v>1799</v>
      </c>
    </row>
    <row r="3562" spans="1:28" x14ac:dyDescent="0.25">
      <c r="A3562">
        <v>99913561</v>
      </c>
      <c r="B3562" t="s">
        <v>32</v>
      </c>
      <c r="C3562" t="s">
        <v>64</v>
      </c>
      <c r="D3562" t="s">
        <v>65</v>
      </c>
      <c r="G3562" t="s">
        <v>35</v>
      </c>
      <c r="H3562">
        <v>1</v>
      </c>
      <c r="I3562" t="s">
        <v>740</v>
      </c>
      <c r="J3562" s="1">
        <v>43344</v>
      </c>
      <c r="K3562" t="s">
        <v>268</v>
      </c>
      <c r="L3562" t="s">
        <v>269</v>
      </c>
      <c r="M3562" t="s">
        <v>131</v>
      </c>
      <c r="N3562">
        <v>22</v>
      </c>
      <c r="O3562" s="1">
        <v>43344</v>
      </c>
      <c r="P3562" t="s">
        <v>41</v>
      </c>
      <c r="Q3562" t="s">
        <v>75</v>
      </c>
      <c r="R3562" t="str">
        <f>"7052018"</f>
        <v>7052018</v>
      </c>
      <c r="S3562" t="s">
        <v>577</v>
      </c>
      <c r="T3562" t="s">
        <v>268</v>
      </c>
      <c r="U3562" t="s">
        <v>269</v>
      </c>
      <c r="V3562" t="s">
        <v>131</v>
      </c>
      <c r="W3562" t="s">
        <v>44</v>
      </c>
      <c r="X3562" t="s">
        <v>45</v>
      </c>
      <c r="Y3562" s="1">
        <v>29460</v>
      </c>
      <c r="Z3562">
        <v>1</v>
      </c>
      <c r="AA3562" t="s">
        <v>269</v>
      </c>
      <c r="AB3562" s="40" t="s">
        <v>1799</v>
      </c>
    </row>
    <row r="3563" spans="1:28" x14ac:dyDescent="0.25">
      <c r="A3563">
        <v>99913562</v>
      </c>
      <c r="B3563" t="s">
        <v>32</v>
      </c>
      <c r="C3563" t="s">
        <v>64</v>
      </c>
      <c r="D3563" t="s">
        <v>65</v>
      </c>
      <c r="G3563" t="s">
        <v>35</v>
      </c>
      <c r="H3563">
        <v>1</v>
      </c>
      <c r="I3563" s="1">
        <v>42614</v>
      </c>
      <c r="J3563" s="1">
        <v>43344</v>
      </c>
      <c r="K3563" t="s">
        <v>1341</v>
      </c>
      <c r="L3563" t="s">
        <v>1342</v>
      </c>
      <c r="M3563" t="s">
        <v>1270</v>
      </c>
      <c r="N3563">
        <v>22</v>
      </c>
      <c r="O3563" s="1">
        <v>43344</v>
      </c>
      <c r="P3563" t="s">
        <v>41</v>
      </c>
      <c r="Q3563" t="s">
        <v>75</v>
      </c>
      <c r="R3563" t="str">
        <f>"7191034"</f>
        <v>7191034</v>
      </c>
      <c r="S3563" t="s">
        <v>1343</v>
      </c>
      <c r="T3563" t="s">
        <v>1341</v>
      </c>
      <c r="U3563" t="s">
        <v>1342</v>
      </c>
      <c r="V3563" t="s">
        <v>1270</v>
      </c>
      <c r="W3563" t="s">
        <v>44</v>
      </c>
      <c r="X3563" t="s">
        <v>45</v>
      </c>
      <c r="Y3563" s="1">
        <v>29397</v>
      </c>
      <c r="Z3563">
        <v>1</v>
      </c>
      <c r="AA3563" t="s">
        <v>1342</v>
      </c>
      <c r="AB3563" s="40" t="s">
        <v>1799</v>
      </c>
    </row>
    <row r="3564" spans="1:28" x14ac:dyDescent="0.25">
      <c r="A3564">
        <v>99913563</v>
      </c>
      <c r="B3564" t="s">
        <v>32</v>
      </c>
      <c r="C3564" t="s">
        <v>111</v>
      </c>
      <c r="D3564" t="s">
        <v>112</v>
      </c>
      <c r="G3564" t="s">
        <v>48</v>
      </c>
      <c r="H3564">
        <v>9</v>
      </c>
      <c r="K3564" t="s">
        <v>1221</v>
      </c>
      <c r="L3564" t="s">
        <v>1222</v>
      </c>
      <c r="M3564" t="s">
        <v>1130</v>
      </c>
      <c r="N3564">
        <v>22</v>
      </c>
      <c r="P3564" t="s">
        <v>41</v>
      </c>
      <c r="Q3564" t="s">
        <v>75</v>
      </c>
      <c r="R3564" t="str">
        <f>"7351000"</f>
        <v>7351000</v>
      </c>
      <c r="S3564" t="s">
        <v>1223</v>
      </c>
      <c r="T3564" t="s">
        <v>1221</v>
      </c>
      <c r="U3564" t="s">
        <v>1222</v>
      </c>
      <c r="V3564" t="s">
        <v>1130</v>
      </c>
      <c r="W3564" t="s">
        <v>51</v>
      </c>
      <c r="X3564" t="s">
        <v>45</v>
      </c>
      <c r="Y3564" s="1">
        <v>29372</v>
      </c>
      <c r="Z3564">
        <v>1</v>
      </c>
      <c r="AA3564" t="s">
        <v>1222</v>
      </c>
      <c r="AB3564" s="40" t="s">
        <v>1799</v>
      </c>
    </row>
    <row r="3565" spans="1:28" x14ac:dyDescent="0.25">
      <c r="A3565">
        <v>99913564</v>
      </c>
      <c r="B3565" t="s">
        <v>32</v>
      </c>
      <c r="C3565" t="s">
        <v>64</v>
      </c>
      <c r="D3565" t="s">
        <v>65</v>
      </c>
      <c r="G3565" t="s">
        <v>48</v>
      </c>
      <c r="H3565">
        <v>1</v>
      </c>
      <c r="K3565" t="s">
        <v>223</v>
      </c>
      <c r="L3565" t="s">
        <v>224</v>
      </c>
      <c r="M3565" t="s">
        <v>131</v>
      </c>
      <c r="N3565">
        <v>22</v>
      </c>
      <c r="P3565" t="s">
        <v>41</v>
      </c>
      <c r="Q3565" t="s">
        <v>42</v>
      </c>
      <c r="R3565" t="str">
        <f>"0580206"</f>
        <v>0580206</v>
      </c>
      <c r="S3565" t="s">
        <v>237</v>
      </c>
      <c r="T3565" t="s">
        <v>223</v>
      </c>
      <c r="U3565" t="s">
        <v>224</v>
      </c>
      <c r="V3565" t="s">
        <v>131</v>
      </c>
      <c r="W3565" t="s">
        <v>51</v>
      </c>
      <c r="X3565" t="s">
        <v>45</v>
      </c>
      <c r="Y3565" s="1">
        <v>29361</v>
      </c>
      <c r="Z3565">
        <v>2</v>
      </c>
      <c r="AA3565" t="s">
        <v>224</v>
      </c>
      <c r="AB3565" s="40" t="s">
        <v>1799</v>
      </c>
    </row>
    <row r="3566" spans="1:28" x14ac:dyDescent="0.25">
      <c r="A3566">
        <v>99913565</v>
      </c>
      <c r="B3566" t="s">
        <v>32</v>
      </c>
      <c r="C3566" t="s">
        <v>58</v>
      </c>
      <c r="D3566" t="s">
        <v>59</v>
      </c>
      <c r="G3566" t="s">
        <v>35</v>
      </c>
      <c r="H3566">
        <v>1</v>
      </c>
      <c r="K3566" t="s">
        <v>1626</v>
      </c>
      <c r="L3566" t="s">
        <v>1627</v>
      </c>
      <c r="M3566" t="s">
        <v>1592</v>
      </c>
      <c r="N3566">
        <v>22</v>
      </c>
      <c r="P3566" t="s">
        <v>41</v>
      </c>
      <c r="Q3566" t="s">
        <v>42</v>
      </c>
      <c r="R3566" t="str">
        <f>"3680015"</f>
        <v>3680015</v>
      </c>
      <c r="S3566" t="s">
        <v>1628</v>
      </c>
      <c r="T3566" t="s">
        <v>1626</v>
      </c>
      <c r="U3566" t="s">
        <v>1627</v>
      </c>
      <c r="V3566" t="s">
        <v>1592</v>
      </c>
      <c r="W3566" t="s">
        <v>51</v>
      </c>
      <c r="X3566" t="s">
        <v>45</v>
      </c>
      <c r="Y3566" s="1">
        <v>29350</v>
      </c>
      <c r="Z3566">
        <v>2</v>
      </c>
      <c r="AA3566" t="s">
        <v>1627</v>
      </c>
      <c r="AB3566" s="40" t="s">
        <v>1799</v>
      </c>
    </row>
    <row r="3567" spans="1:28" x14ac:dyDescent="0.25">
      <c r="A3567">
        <v>99913566</v>
      </c>
      <c r="B3567" t="s">
        <v>32</v>
      </c>
      <c r="C3567" t="s">
        <v>111</v>
      </c>
      <c r="D3567" t="s">
        <v>112</v>
      </c>
      <c r="G3567" t="s">
        <v>48</v>
      </c>
      <c r="H3567">
        <v>8</v>
      </c>
      <c r="J3567" s="1">
        <v>42979</v>
      </c>
      <c r="K3567" t="s">
        <v>431</v>
      </c>
      <c r="L3567" t="s">
        <v>196</v>
      </c>
      <c r="M3567" t="s">
        <v>131</v>
      </c>
      <c r="N3567">
        <v>22</v>
      </c>
      <c r="O3567" s="1">
        <v>42979</v>
      </c>
      <c r="P3567" t="s">
        <v>41</v>
      </c>
      <c r="Q3567" t="s">
        <v>75</v>
      </c>
      <c r="R3567" t="str">
        <f>"7521012"</f>
        <v>7521012</v>
      </c>
      <c r="S3567" t="s">
        <v>432</v>
      </c>
      <c r="T3567" t="s">
        <v>431</v>
      </c>
      <c r="U3567" t="s">
        <v>196</v>
      </c>
      <c r="V3567" t="s">
        <v>131</v>
      </c>
      <c r="W3567" t="s">
        <v>165</v>
      </c>
      <c r="X3567" t="s">
        <v>45</v>
      </c>
      <c r="Y3567" s="1">
        <v>29310</v>
      </c>
      <c r="Z3567">
        <v>1</v>
      </c>
      <c r="AA3567" t="s">
        <v>196</v>
      </c>
      <c r="AB3567" s="40" t="s">
        <v>1799</v>
      </c>
    </row>
    <row r="3568" spans="1:28" x14ac:dyDescent="0.25">
      <c r="A3568">
        <v>99913567</v>
      </c>
      <c r="B3568" t="s">
        <v>56</v>
      </c>
      <c r="C3568" t="s">
        <v>52</v>
      </c>
      <c r="D3568" t="s">
        <v>53</v>
      </c>
      <c r="G3568" t="s">
        <v>35</v>
      </c>
      <c r="H3568">
        <v>1</v>
      </c>
      <c r="I3568">
        <v>0</v>
      </c>
      <c r="J3568" s="1">
        <v>43344</v>
      </c>
      <c r="K3568" t="s">
        <v>223</v>
      </c>
      <c r="L3568" t="s">
        <v>224</v>
      </c>
      <c r="M3568" t="s">
        <v>131</v>
      </c>
      <c r="N3568">
        <v>22</v>
      </c>
      <c r="O3568" s="1">
        <v>43344</v>
      </c>
      <c r="P3568" t="s">
        <v>41</v>
      </c>
      <c r="Q3568" t="s">
        <v>42</v>
      </c>
      <c r="R3568" t="str">
        <f>"0580202"</f>
        <v>0580202</v>
      </c>
      <c r="S3568" t="s">
        <v>240</v>
      </c>
      <c r="T3568" t="s">
        <v>223</v>
      </c>
      <c r="U3568" t="s">
        <v>224</v>
      </c>
      <c r="V3568" t="s">
        <v>131</v>
      </c>
      <c r="W3568" t="s">
        <v>44</v>
      </c>
      <c r="X3568" t="s">
        <v>45</v>
      </c>
      <c r="Y3568" s="1">
        <v>29295</v>
      </c>
      <c r="Z3568">
        <v>2</v>
      </c>
      <c r="AA3568" t="s">
        <v>224</v>
      </c>
      <c r="AB3568" s="40" t="s">
        <v>1799</v>
      </c>
    </row>
    <row r="3569" spans="1:28" x14ac:dyDescent="0.25">
      <c r="A3569">
        <v>99913568</v>
      </c>
      <c r="B3569" t="s">
        <v>32</v>
      </c>
      <c r="C3569" t="s">
        <v>46</v>
      </c>
      <c r="D3569" t="s">
        <v>47</v>
      </c>
      <c r="G3569" t="s">
        <v>35</v>
      </c>
      <c r="H3569">
        <v>1</v>
      </c>
      <c r="K3569" t="s">
        <v>1626</v>
      </c>
      <c r="L3569" t="s">
        <v>1627</v>
      </c>
      <c r="M3569" t="s">
        <v>1592</v>
      </c>
      <c r="N3569">
        <v>22</v>
      </c>
      <c r="P3569" t="s">
        <v>41</v>
      </c>
      <c r="Q3569" t="s">
        <v>49</v>
      </c>
      <c r="R3569" t="str">
        <f>"3681015"</f>
        <v>3681015</v>
      </c>
      <c r="S3569" t="s">
        <v>1629</v>
      </c>
      <c r="T3569" t="s">
        <v>1626</v>
      </c>
      <c r="U3569" t="s">
        <v>1627</v>
      </c>
      <c r="V3569" t="s">
        <v>1592</v>
      </c>
      <c r="W3569" t="s">
        <v>51</v>
      </c>
      <c r="X3569" t="s">
        <v>45</v>
      </c>
      <c r="Y3569" s="1">
        <v>29269</v>
      </c>
      <c r="Z3569">
        <v>2</v>
      </c>
      <c r="AA3569" t="s">
        <v>1627</v>
      </c>
      <c r="AB3569" s="40" t="s">
        <v>1799</v>
      </c>
    </row>
    <row r="3570" spans="1:28" x14ac:dyDescent="0.25">
      <c r="A3570">
        <v>99913569</v>
      </c>
      <c r="B3570" t="s">
        <v>56</v>
      </c>
      <c r="C3570" t="s">
        <v>79</v>
      </c>
      <c r="D3570" t="s">
        <v>80</v>
      </c>
      <c r="G3570" t="s">
        <v>48</v>
      </c>
      <c r="H3570">
        <v>3</v>
      </c>
      <c r="K3570" t="s">
        <v>129</v>
      </c>
      <c r="L3570" t="s">
        <v>130</v>
      </c>
      <c r="M3570" t="s">
        <v>131</v>
      </c>
      <c r="N3570">
        <v>22</v>
      </c>
      <c r="O3570" s="1">
        <v>40066</v>
      </c>
      <c r="P3570" t="s">
        <v>41</v>
      </c>
      <c r="Q3570" t="s">
        <v>49</v>
      </c>
      <c r="R3570" t="str">
        <f>"0580150"</f>
        <v>0580150</v>
      </c>
      <c r="S3570" t="s">
        <v>134</v>
      </c>
      <c r="T3570" t="s">
        <v>129</v>
      </c>
      <c r="U3570" t="s">
        <v>130</v>
      </c>
      <c r="V3570" t="s">
        <v>131</v>
      </c>
      <c r="W3570" t="s">
        <v>51</v>
      </c>
      <c r="X3570" t="s">
        <v>45</v>
      </c>
      <c r="Y3570" s="1">
        <v>29248</v>
      </c>
      <c r="Z3570">
        <v>2</v>
      </c>
      <c r="AA3570" t="s">
        <v>130</v>
      </c>
      <c r="AB3570" s="40" t="s">
        <v>1799</v>
      </c>
    </row>
    <row r="3571" spans="1:28" x14ac:dyDescent="0.25">
      <c r="A3571">
        <v>99913570</v>
      </c>
      <c r="B3571" t="s">
        <v>32</v>
      </c>
      <c r="C3571" t="s">
        <v>46</v>
      </c>
      <c r="D3571" t="s">
        <v>47</v>
      </c>
      <c r="G3571" t="s">
        <v>35</v>
      </c>
      <c r="H3571">
        <v>1</v>
      </c>
      <c r="K3571" t="s">
        <v>223</v>
      </c>
      <c r="L3571" t="s">
        <v>224</v>
      </c>
      <c r="M3571" t="s">
        <v>131</v>
      </c>
      <c r="N3571">
        <v>22</v>
      </c>
      <c r="P3571" t="s">
        <v>41</v>
      </c>
      <c r="Q3571" t="s">
        <v>49</v>
      </c>
      <c r="R3571" t="str">
        <f>"0591901"</f>
        <v>0591901</v>
      </c>
      <c r="S3571" t="s">
        <v>230</v>
      </c>
      <c r="T3571" t="s">
        <v>223</v>
      </c>
      <c r="U3571" t="s">
        <v>224</v>
      </c>
      <c r="V3571" t="s">
        <v>131</v>
      </c>
      <c r="W3571" t="s">
        <v>51</v>
      </c>
      <c r="X3571" t="s">
        <v>45</v>
      </c>
      <c r="Y3571" s="1">
        <v>29229</v>
      </c>
      <c r="Z3571">
        <v>2</v>
      </c>
      <c r="AA3571" t="s">
        <v>224</v>
      </c>
      <c r="AB3571" s="40" t="s">
        <v>1799</v>
      </c>
    </row>
    <row r="3572" spans="1:28" x14ac:dyDescent="0.25">
      <c r="A3572">
        <v>99913571</v>
      </c>
      <c r="B3572" t="s">
        <v>32</v>
      </c>
      <c r="C3572" t="s">
        <v>64</v>
      </c>
      <c r="D3572" t="s">
        <v>65</v>
      </c>
      <c r="G3572" t="s">
        <v>48</v>
      </c>
      <c r="H3572">
        <v>1</v>
      </c>
      <c r="K3572" t="s">
        <v>300</v>
      </c>
      <c r="L3572" t="s">
        <v>301</v>
      </c>
      <c r="M3572" t="s">
        <v>131</v>
      </c>
      <c r="N3572">
        <v>22</v>
      </c>
      <c r="P3572" t="s">
        <v>41</v>
      </c>
      <c r="Q3572" t="s">
        <v>42</v>
      </c>
      <c r="R3572" t="str">
        <f>"0561001"</f>
        <v>0561001</v>
      </c>
      <c r="S3572" t="s">
        <v>308</v>
      </c>
      <c r="T3572" t="s">
        <v>300</v>
      </c>
      <c r="U3572" t="s">
        <v>301</v>
      </c>
      <c r="V3572" t="s">
        <v>131</v>
      </c>
      <c r="W3572" t="s">
        <v>51</v>
      </c>
      <c r="X3572" t="s">
        <v>45</v>
      </c>
      <c r="Y3572" s="1">
        <v>29221</v>
      </c>
      <c r="Z3572">
        <v>2</v>
      </c>
      <c r="AA3572" t="s">
        <v>301</v>
      </c>
      <c r="AB3572" s="40" t="s">
        <v>1799</v>
      </c>
    </row>
    <row r="3573" spans="1:28" x14ac:dyDescent="0.25">
      <c r="A3573">
        <v>99913572</v>
      </c>
      <c r="B3573" t="s">
        <v>32</v>
      </c>
      <c r="C3573" t="s">
        <v>64</v>
      </c>
      <c r="D3573" t="s">
        <v>65</v>
      </c>
      <c r="G3573" t="s">
        <v>48</v>
      </c>
      <c r="H3573">
        <v>4</v>
      </c>
      <c r="K3573" t="s">
        <v>1268</v>
      </c>
      <c r="L3573" t="s">
        <v>1269</v>
      </c>
      <c r="M3573" t="s">
        <v>1270</v>
      </c>
      <c r="N3573">
        <v>22</v>
      </c>
      <c r="P3573" t="s">
        <v>41</v>
      </c>
      <c r="Q3573" t="s">
        <v>49</v>
      </c>
      <c r="R3573" t="str">
        <f>"1981912"</f>
        <v>1981912</v>
      </c>
      <c r="S3573" t="s">
        <v>1279</v>
      </c>
      <c r="T3573" t="s">
        <v>1268</v>
      </c>
      <c r="U3573" t="s">
        <v>1269</v>
      </c>
      <c r="V3573" t="s">
        <v>1270</v>
      </c>
      <c r="W3573" t="s">
        <v>51</v>
      </c>
      <c r="X3573" t="s">
        <v>45</v>
      </c>
      <c r="Y3573" s="1">
        <v>29209</v>
      </c>
      <c r="Z3573">
        <v>2</v>
      </c>
      <c r="AA3573" t="s">
        <v>1269</v>
      </c>
      <c r="AB3573" s="40" t="s">
        <v>1799</v>
      </c>
    </row>
    <row r="3574" spans="1:28" x14ac:dyDescent="0.25">
      <c r="A3574">
        <v>99913573</v>
      </c>
      <c r="B3574" t="s">
        <v>56</v>
      </c>
      <c r="C3574" t="s">
        <v>111</v>
      </c>
      <c r="D3574" t="s">
        <v>112</v>
      </c>
      <c r="G3574" t="s">
        <v>35</v>
      </c>
      <c r="H3574">
        <v>1</v>
      </c>
      <c r="K3574" t="s">
        <v>268</v>
      </c>
      <c r="L3574" t="s">
        <v>269</v>
      </c>
      <c r="M3574" t="s">
        <v>131</v>
      </c>
      <c r="N3574">
        <v>22</v>
      </c>
      <c r="P3574" t="s">
        <v>41</v>
      </c>
      <c r="Q3574" t="s">
        <v>75</v>
      </c>
      <c r="R3574" t="str">
        <f>"7052028"</f>
        <v>7052028</v>
      </c>
      <c r="S3574" t="s">
        <v>601</v>
      </c>
      <c r="T3574" t="s">
        <v>268</v>
      </c>
      <c r="U3574" t="s">
        <v>269</v>
      </c>
      <c r="V3574" t="s">
        <v>131</v>
      </c>
      <c r="W3574" t="s">
        <v>51</v>
      </c>
      <c r="X3574" t="s">
        <v>45</v>
      </c>
      <c r="Y3574" s="1">
        <v>29105</v>
      </c>
      <c r="Z3574">
        <v>1</v>
      </c>
      <c r="AA3574" t="s">
        <v>269</v>
      </c>
      <c r="AB3574" s="40" t="s">
        <v>1799</v>
      </c>
    </row>
    <row r="3575" spans="1:28" x14ac:dyDescent="0.25">
      <c r="A3575">
        <v>99913574</v>
      </c>
      <c r="B3575" t="s">
        <v>32</v>
      </c>
      <c r="C3575" t="s">
        <v>111</v>
      </c>
      <c r="D3575" t="s">
        <v>112</v>
      </c>
      <c r="G3575" t="s">
        <v>48</v>
      </c>
      <c r="H3575">
        <v>1</v>
      </c>
      <c r="K3575" t="s">
        <v>268</v>
      </c>
      <c r="L3575" t="s">
        <v>269</v>
      </c>
      <c r="M3575" t="s">
        <v>131</v>
      </c>
      <c r="N3575">
        <v>22</v>
      </c>
      <c r="P3575" t="s">
        <v>41</v>
      </c>
      <c r="Q3575" t="s">
        <v>75</v>
      </c>
      <c r="R3575" t="str">
        <f>"7052016"</f>
        <v>7052016</v>
      </c>
      <c r="S3575" t="s">
        <v>588</v>
      </c>
      <c r="T3575" t="s">
        <v>268</v>
      </c>
      <c r="U3575" t="s">
        <v>269</v>
      </c>
      <c r="V3575" t="s">
        <v>131</v>
      </c>
      <c r="W3575" t="s">
        <v>51</v>
      </c>
      <c r="X3575" t="s">
        <v>45</v>
      </c>
      <c r="Y3575" s="1">
        <v>29025</v>
      </c>
      <c r="Z3575">
        <v>1</v>
      </c>
      <c r="AA3575" t="s">
        <v>269</v>
      </c>
      <c r="AB3575" s="40" t="s">
        <v>1799</v>
      </c>
    </row>
    <row r="3576" spans="1:28" x14ac:dyDescent="0.25">
      <c r="A3576">
        <v>99913575</v>
      </c>
      <c r="B3576" t="s">
        <v>32</v>
      </c>
      <c r="C3576" t="s">
        <v>111</v>
      </c>
      <c r="D3576" t="s">
        <v>112</v>
      </c>
      <c r="G3576" t="s">
        <v>35</v>
      </c>
      <c r="H3576">
        <v>1</v>
      </c>
      <c r="K3576" t="s">
        <v>154</v>
      </c>
      <c r="L3576" t="s">
        <v>155</v>
      </c>
      <c r="M3576" t="s">
        <v>131</v>
      </c>
      <c r="N3576">
        <v>22</v>
      </c>
      <c r="P3576" t="s">
        <v>41</v>
      </c>
      <c r="Q3576" t="s">
        <v>75</v>
      </c>
      <c r="R3576" t="str">
        <f>"7700026"</f>
        <v>7700026</v>
      </c>
      <c r="S3576" t="s">
        <v>397</v>
      </c>
      <c r="T3576" t="s">
        <v>154</v>
      </c>
      <c r="U3576" t="s">
        <v>155</v>
      </c>
      <c r="V3576" t="s">
        <v>131</v>
      </c>
      <c r="W3576" t="s">
        <v>51</v>
      </c>
      <c r="X3576" t="s">
        <v>45</v>
      </c>
      <c r="Y3576" s="1">
        <v>28902</v>
      </c>
      <c r="Z3576">
        <v>1</v>
      </c>
      <c r="AA3576" t="s">
        <v>155</v>
      </c>
      <c r="AB3576" s="40" t="s">
        <v>1799</v>
      </c>
    </row>
    <row r="3577" spans="1:28" x14ac:dyDescent="0.25">
      <c r="A3577">
        <v>99913576</v>
      </c>
      <c r="B3577" t="s">
        <v>32</v>
      </c>
      <c r="C3577" t="s">
        <v>46</v>
      </c>
      <c r="D3577" t="s">
        <v>47</v>
      </c>
      <c r="G3577" t="s">
        <v>48</v>
      </c>
      <c r="H3577">
        <v>1</v>
      </c>
      <c r="K3577" t="s">
        <v>300</v>
      </c>
      <c r="L3577" t="s">
        <v>301</v>
      </c>
      <c r="M3577" t="s">
        <v>131</v>
      </c>
      <c r="N3577">
        <v>22</v>
      </c>
      <c r="P3577" t="s">
        <v>41</v>
      </c>
      <c r="Q3577" t="s">
        <v>49</v>
      </c>
      <c r="R3577" t="str">
        <f>"0560020"</f>
        <v>0560020</v>
      </c>
      <c r="S3577" t="s">
        <v>302</v>
      </c>
      <c r="T3577" t="s">
        <v>300</v>
      </c>
      <c r="U3577" t="s">
        <v>301</v>
      </c>
      <c r="V3577" t="s">
        <v>131</v>
      </c>
      <c r="W3577" t="s">
        <v>51</v>
      </c>
      <c r="X3577" t="s">
        <v>45</v>
      </c>
      <c r="Y3577" s="1">
        <v>28824</v>
      </c>
      <c r="Z3577">
        <v>2</v>
      </c>
      <c r="AA3577" t="s">
        <v>301</v>
      </c>
      <c r="AB3577" s="40" t="s">
        <v>1799</v>
      </c>
    </row>
    <row r="3578" spans="1:28" x14ac:dyDescent="0.25">
      <c r="A3578">
        <v>99913577</v>
      </c>
      <c r="B3578" t="s">
        <v>32</v>
      </c>
      <c r="C3578" t="s">
        <v>46</v>
      </c>
      <c r="D3578" t="s">
        <v>47</v>
      </c>
      <c r="G3578" t="s">
        <v>35</v>
      </c>
      <c r="H3578">
        <v>1</v>
      </c>
      <c r="I3578">
        <v>10638</v>
      </c>
      <c r="J3578" s="1">
        <v>43371</v>
      </c>
      <c r="K3578" t="s">
        <v>1325</v>
      </c>
      <c r="L3578" t="s">
        <v>1326</v>
      </c>
      <c r="M3578" t="s">
        <v>1270</v>
      </c>
      <c r="N3578">
        <v>22</v>
      </c>
      <c r="O3578" s="1">
        <v>43371</v>
      </c>
      <c r="P3578" t="s">
        <v>41</v>
      </c>
      <c r="Q3578" t="s">
        <v>42</v>
      </c>
      <c r="R3578" t="str">
        <f>"3980100"</f>
        <v>3980100</v>
      </c>
      <c r="S3578" t="s">
        <v>1328</v>
      </c>
      <c r="T3578" t="s">
        <v>1325</v>
      </c>
      <c r="U3578" t="s">
        <v>1326</v>
      </c>
      <c r="V3578" t="s">
        <v>1270</v>
      </c>
      <c r="W3578" t="s">
        <v>44</v>
      </c>
      <c r="X3578" t="s">
        <v>45</v>
      </c>
      <c r="Y3578" s="1">
        <v>28812</v>
      </c>
      <c r="Z3578">
        <v>2</v>
      </c>
      <c r="AA3578" t="s">
        <v>1326</v>
      </c>
      <c r="AB3578" s="40" t="s">
        <v>1799</v>
      </c>
    </row>
    <row r="3579" spans="1:28" x14ac:dyDescent="0.25">
      <c r="A3579">
        <v>99913578</v>
      </c>
      <c r="B3579" t="s">
        <v>32</v>
      </c>
      <c r="C3579" t="s">
        <v>111</v>
      </c>
      <c r="D3579" t="s">
        <v>112</v>
      </c>
      <c r="G3579" t="s">
        <v>48</v>
      </c>
      <c r="H3579">
        <v>8</v>
      </c>
      <c r="J3579" s="1">
        <v>43344</v>
      </c>
      <c r="K3579" t="s">
        <v>354</v>
      </c>
      <c r="L3579" t="s">
        <v>355</v>
      </c>
      <c r="M3579" t="s">
        <v>131</v>
      </c>
      <c r="N3579">
        <v>22</v>
      </c>
      <c r="O3579" s="1">
        <v>43344</v>
      </c>
      <c r="P3579" t="s">
        <v>41</v>
      </c>
      <c r="Q3579" t="s">
        <v>75</v>
      </c>
      <c r="R3579" t="str">
        <f>"7054020"</f>
        <v>7054020</v>
      </c>
      <c r="S3579" t="s">
        <v>765</v>
      </c>
      <c r="T3579" t="s">
        <v>354</v>
      </c>
      <c r="U3579" t="s">
        <v>355</v>
      </c>
      <c r="V3579" t="s">
        <v>131</v>
      </c>
      <c r="W3579" t="s">
        <v>51</v>
      </c>
      <c r="X3579" t="s">
        <v>45</v>
      </c>
      <c r="Y3579" s="1">
        <v>28795</v>
      </c>
      <c r="Z3579">
        <v>1</v>
      </c>
      <c r="AA3579" t="s">
        <v>355</v>
      </c>
      <c r="AB3579" s="40" t="s">
        <v>1799</v>
      </c>
    </row>
    <row r="3580" spans="1:28" x14ac:dyDescent="0.25">
      <c r="A3580">
        <v>99913579</v>
      </c>
      <c r="B3580" t="s">
        <v>32</v>
      </c>
      <c r="C3580" t="s">
        <v>90</v>
      </c>
      <c r="D3580" t="s">
        <v>91</v>
      </c>
      <c r="G3580" t="s">
        <v>48</v>
      </c>
      <c r="H3580">
        <v>1</v>
      </c>
      <c r="K3580" t="s">
        <v>268</v>
      </c>
      <c r="L3580" t="s">
        <v>269</v>
      </c>
      <c r="M3580" t="s">
        <v>131</v>
      </c>
      <c r="N3580">
        <v>22</v>
      </c>
      <c r="P3580" t="s">
        <v>41</v>
      </c>
      <c r="Q3580" t="s">
        <v>95</v>
      </c>
      <c r="R3580" t="str">
        <f>"7052001"</f>
        <v>7052001</v>
      </c>
      <c r="S3580" t="s">
        <v>576</v>
      </c>
      <c r="T3580" t="s">
        <v>268</v>
      </c>
      <c r="U3580" t="s">
        <v>269</v>
      </c>
      <c r="V3580" t="s">
        <v>131</v>
      </c>
      <c r="W3580" t="s">
        <v>51</v>
      </c>
      <c r="X3580" t="s">
        <v>45</v>
      </c>
      <c r="Y3580" s="1">
        <v>28792</v>
      </c>
      <c r="Z3580">
        <v>1</v>
      </c>
      <c r="AA3580" t="s">
        <v>269</v>
      </c>
      <c r="AB3580" s="40" t="s">
        <v>1799</v>
      </c>
    </row>
    <row r="3581" spans="1:28" x14ac:dyDescent="0.25">
      <c r="A3581">
        <v>99913580</v>
      </c>
      <c r="B3581" t="s">
        <v>56</v>
      </c>
      <c r="C3581" t="s">
        <v>82</v>
      </c>
      <c r="D3581" t="s">
        <v>83</v>
      </c>
      <c r="G3581" t="s">
        <v>48</v>
      </c>
      <c r="H3581">
        <v>1</v>
      </c>
      <c r="K3581" t="s">
        <v>300</v>
      </c>
      <c r="L3581" t="s">
        <v>301</v>
      </c>
      <c r="M3581" t="s">
        <v>131</v>
      </c>
      <c r="N3581">
        <v>22</v>
      </c>
      <c r="P3581" t="s">
        <v>41</v>
      </c>
      <c r="Q3581" t="s">
        <v>42</v>
      </c>
      <c r="R3581" t="str">
        <f>"0580176"</f>
        <v>0580176</v>
      </c>
      <c r="S3581" t="s">
        <v>305</v>
      </c>
      <c r="T3581" t="s">
        <v>300</v>
      </c>
      <c r="U3581" t="s">
        <v>301</v>
      </c>
      <c r="V3581" t="s">
        <v>131</v>
      </c>
      <c r="W3581" t="s">
        <v>51</v>
      </c>
      <c r="X3581" t="s">
        <v>45</v>
      </c>
      <c r="Y3581" s="1">
        <v>28767</v>
      </c>
      <c r="Z3581">
        <v>2</v>
      </c>
      <c r="AA3581" t="s">
        <v>301</v>
      </c>
      <c r="AB3581" s="40" t="s">
        <v>1799</v>
      </c>
    </row>
    <row r="3582" spans="1:28" x14ac:dyDescent="0.25">
      <c r="A3582">
        <v>99913581</v>
      </c>
      <c r="B3582" t="s">
        <v>56</v>
      </c>
      <c r="C3582" t="s">
        <v>79</v>
      </c>
      <c r="D3582" t="s">
        <v>80</v>
      </c>
      <c r="G3582" t="s">
        <v>48</v>
      </c>
      <c r="H3582">
        <v>1</v>
      </c>
      <c r="K3582" t="s">
        <v>877</v>
      </c>
      <c r="L3582" t="s">
        <v>878</v>
      </c>
      <c r="M3582" t="s">
        <v>131</v>
      </c>
      <c r="N3582">
        <v>22</v>
      </c>
      <c r="P3582" t="s">
        <v>41</v>
      </c>
      <c r="Q3582" t="s">
        <v>75</v>
      </c>
      <c r="R3582" t="str">
        <f>"7541010"</f>
        <v>7541010</v>
      </c>
      <c r="S3582" t="s">
        <v>887</v>
      </c>
      <c r="T3582" t="s">
        <v>877</v>
      </c>
      <c r="U3582" t="s">
        <v>878</v>
      </c>
      <c r="V3582" t="s">
        <v>131</v>
      </c>
      <c r="W3582" t="s">
        <v>51</v>
      </c>
      <c r="X3582" t="s">
        <v>45</v>
      </c>
      <c r="Y3582" s="1">
        <v>28737</v>
      </c>
      <c r="Z3582">
        <v>1</v>
      </c>
      <c r="AA3582" t="s">
        <v>878</v>
      </c>
      <c r="AB3582" s="40" t="s">
        <v>1799</v>
      </c>
    </row>
    <row r="3583" spans="1:28" x14ac:dyDescent="0.25">
      <c r="A3583">
        <v>99913582</v>
      </c>
      <c r="B3583" t="s">
        <v>32</v>
      </c>
      <c r="C3583" t="s">
        <v>111</v>
      </c>
      <c r="D3583" t="s">
        <v>112</v>
      </c>
      <c r="G3583" t="s">
        <v>48</v>
      </c>
      <c r="H3583">
        <v>7</v>
      </c>
      <c r="K3583" t="s">
        <v>195</v>
      </c>
      <c r="L3583" t="s">
        <v>196</v>
      </c>
      <c r="M3583" t="s">
        <v>131</v>
      </c>
      <c r="N3583">
        <v>22</v>
      </c>
      <c r="O3583" s="1">
        <v>39780</v>
      </c>
      <c r="P3583" t="s">
        <v>41</v>
      </c>
      <c r="Q3583" t="s">
        <v>75</v>
      </c>
      <c r="R3583" t="str">
        <f>"7521046"</f>
        <v>7521046</v>
      </c>
      <c r="S3583" t="s">
        <v>436</v>
      </c>
      <c r="T3583" t="s">
        <v>195</v>
      </c>
      <c r="U3583" t="s">
        <v>196</v>
      </c>
      <c r="V3583" t="s">
        <v>131</v>
      </c>
      <c r="W3583" t="s">
        <v>165</v>
      </c>
      <c r="X3583" t="s">
        <v>45</v>
      </c>
      <c r="Y3583" s="1">
        <v>28726</v>
      </c>
      <c r="Z3583">
        <v>1</v>
      </c>
      <c r="AA3583" t="s">
        <v>196</v>
      </c>
      <c r="AB3583" s="40" t="s">
        <v>1799</v>
      </c>
    </row>
    <row r="3584" spans="1:28" x14ac:dyDescent="0.25">
      <c r="A3584">
        <v>99913583</v>
      </c>
      <c r="B3584" t="s">
        <v>32</v>
      </c>
      <c r="C3584" t="s">
        <v>64</v>
      </c>
      <c r="D3584" t="s">
        <v>65</v>
      </c>
      <c r="G3584" t="s">
        <v>35</v>
      </c>
      <c r="H3584">
        <v>1</v>
      </c>
      <c r="I3584">
        <v>4012</v>
      </c>
      <c r="J3584" s="1">
        <v>43344</v>
      </c>
      <c r="K3584" t="s">
        <v>354</v>
      </c>
      <c r="L3584" t="s">
        <v>355</v>
      </c>
      <c r="M3584" t="s">
        <v>131</v>
      </c>
      <c r="N3584">
        <v>22</v>
      </c>
      <c r="O3584" s="1">
        <v>43344</v>
      </c>
      <c r="P3584" t="s">
        <v>41</v>
      </c>
      <c r="Q3584" t="s">
        <v>75</v>
      </c>
      <c r="R3584" t="str">
        <f>"7054012"</f>
        <v>7054012</v>
      </c>
      <c r="S3584" t="s">
        <v>353</v>
      </c>
      <c r="T3584" t="s">
        <v>354</v>
      </c>
      <c r="U3584" t="s">
        <v>355</v>
      </c>
      <c r="V3584" t="s">
        <v>131</v>
      </c>
      <c r="W3584" t="s">
        <v>51</v>
      </c>
      <c r="X3584" t="s">
        <v>45</v>
      </c>
      <c r="Y3584" s="1">
        <v>28678</v>
      </c>
      <c r="Z3584">
        <v>1</v>
      </c>
      <c r="AA3584" t="s">
        <v>355</v>
      </c>
      <c r="AB3584" s="40" t="s">
        <v>1799</v>
      </c>
    </row>
    <row r="3585" spans="1:28" x14ac:dyDescent="0.25">
      <c r="A3585">
        <v>99913584</v>
      </c>
      <c r="B3585" t="s">
        <v>56</v>
      </c>
      <c r="C3585" t="s">
        <v>61</v>
      </c>
      <c r="D3585" t="s">
        <v>62</v>
      </c>
      <c r="G3585" t="s">
        <v>35</v>
      </c>
      <c r="H3585">
        <v>1</v>
      </c>
      <c r="K3585" t="s">
        <v>223</v>
      </c>
      <c r="L3585" t="s">
        <v>224</v>
      </c>
      <c r="M3585" t="s">
        <v>131</v>
      </c>
      <c r="N3585">
        <v>22</v>
      </c>
      <c r="P3585" t="s">
        <v>41</v>
      </c>
      <c r="Q3585" t="s">
        <v>49</v>
      </c>
      <c r="R3585" t="str">
        <f>"0591901"</f>
        <v>0591901</v>
      </c>
      <c r="S3585" t="s">
        <v>230</v>
      </c>
      <c r="T3585" t="s">
        <v>223</v>
      </c>
      <c r="U3585" t="s">
        <v>224</v>
      </c>
      <c r="V3585" t="s">
        <v>131</v>
      </c>
      <c r="W3585" t="s">
        <v>51</v>
      </c>
      <c r="X3585" t="s">
        <v>45</v>
      </c>
      <c r="Y3585" s="1">
        <v>28582</v>
      </c>
      <c r="Z3585">
        <v>2</v>
      </c>
      <c r="AA3585" t="s">
        <v>224</v>
      </c>
      <c r="AB3585" s="40" t="s">
        <v>1799</v>
      </c>
    </row>
    <row r="3586" spans="1:28" x14ac:dyDescent="0.25">
      <c r="A3586">
        <v>99913585</v>
      </c>
      <c r="B3586" t="s">
        <v>32</v>
      </c>
      <c r="C3586" t="s">
        <v>111</v>
      </c>
      <c r="D3586" t="s">
        <v>112</v>
      </c>
      <c r="G3586" t="s">
        <v>35</v>
      </c>
      <c r="H3586">
        <v>1</v>
      </c>
      <c r="K3586" t="s">
        <v>1502</v>
      </c>
      <c r="L3586" t="s">
        <v>1503</v>
      </c>
      <c r="M3586" t="s">
        <v>670</v>
      </c>
      <c r="N3586">
        <v>22</v>
      </c>
      <c r="P3586" t="s">
        <v>41</v>
      </c>
      <c r="Q3586" t="s">
        <v>75</v>
      </c>
      <c r="R3586" t="str">
        <f>"7171000"</f>
        <v>7171000</v>
      </c>
      <c r="S3586" t="s">
        <v>1506</v>
      </c>
      <c r="T3586" t="s">
        <v>1502</v>
      </c>
      <c r="U3586" t="s">
        <v>1503</v>
      </c>
      <c r="V3586" t="s">
        <v>670</v>
      </c>
      <c r="W3586" t="s">
        <v>51</v>
      </c>
      <c r="X3586" t="s">
        <v>45</v>
      </c>
      <c r="Y3586" s="1">
        <v>28572</v>
      </c>
      <c r="Z3586">
        <v>1</v>
      </c>
      <c r="AA3586" t="s">
        <v>1503</v>
      </c>
      <c r="AB3586" s="40" t="s">
        <v>1799</v>
      </c>
    </row>
    <row r="3587" spans="1:28" x14ac:dyDescent="0.25">
      <c r="A3587">
        <v>99913586</v>
      </c>
      <c r="B3587" t="s">
        <v>32</v>
      </c>
      <c r="C3587" t="s">
        <v>46</v>
      </c>
      <c r="D3587" t="s">
        <v>47</v>
      </c>
      <c r="G3587" t="s">
        <v>35</v>
      </c>
      <c r="H3587">
        <v>1</v>
      </c>
      <c r="K3587" t="s">
        <v>223</v>
      </c>
      <c r="L3587" t="s">
        <v>224</v>
      </c>
      <c r="M3587" t="s">
        <v>131</v>
      </c>
      <c r="N3587">
        <v>22</v>
      </c>
      <c r="P3587" t="s">
        <v>41</v>
      </c>
      <c r="Q3587" t="s">
        <v>49</v>
      </c>
      <c r="R3587" t="str">
        <f>"0591901"</f>
        <v>0591901</v>
      </c>
      <c r="S3587" t="s">
        <v>230</v>
      </c>
      <c r="T3587" t="s">
        <v>223</v>
      </c>
      <c r="U3587" t="s">
        <v>224</v>
      </c>
      <c r="V3587" t="s">
        <v>131</v>
      </c>
      <c r="W3587" t="s">
        <v>51</v>
      </c>
      <c r="X3587" t="s">
        <v>45</v>
      </c>
      <c r="Y3587" s="1">
        <v>28566</v>
      </c>
      <c r="Z3587">
        <v>2</v>
      </c>
      <c r="AA3587" t="s">
        <v>224</v>
      </c>
      <c r="AB3587" s="40" t="s">
        <v>1799</v>
      </c>
    </row>
    <row r="3588" spans="1:28" x14ac:dyDescent="0.25">
      <c r="A3588">
        <v>99913587</v>
      </c>
      <c r="B3588" t="s">
        <v>56</v>
      </c>
      <c r="C3588" t="s">
        <v>82</v>
      </c>
      <c r="D3588" t="s">
        <v>83</v>
      </c>
      <c r="G3588" t="s">
        <v>48</v>
      </c>
      <c r="H3588">
        <v>1</v>
      </c>
      <c r="K3588" t="s">
        <v>223</v>
      </c>
      <c r="L3588" t="s">
        <v>224</v>
      </c>
      <c r="M3588" t="s">
        <v>131</v>
      </c>
      <c r="N3588">
        <v>22</v>
      </c>
      <c r="P3588" t="s">
        <v>41</v>
      </c>
      <c r="Q3588" t="s">
        <v>42</v>
      </c>
      <c r="R3588" t="str">
        <f>"0580204"</f>
        <v>0580204</v>
      </c>
      <c r="S3588" t="s">
        <v>235</v>
      </c>
      <c r="T3588" t="s">
        <v>223</v>
      </c>
      <c r="U3588" t="s">
        <v>224</v>
      </c>
      <c r="V3588" t="s">
        <v>131</v>
      </c>
      <c r="W3588" t="s">
        <v>51</v>
      </c>
      <c r="X3588" t="s">
        <v>45</v>
      </c>
      <c r="Y3588" s="1">
        <v>28556</v>
      </c>
      <c r="Z3588">
        <v>2</v>
      </c>
      <c r="AA3588" t="s">
        <v>224</v>
      </c>
      <c r="AB3588" s="40" t="s">
        <v>1799</v>
      </c>
    </row>
    <row r="3589" spans="1:28" x14ac:dyDescent="0.25">
      <c r="A3589">
        <v>99913588</v>
      </c>
      <c r="B3589" t="s">
        <v>32</v>
      </c>
      <c r="C3589" t="s">
        <v>46</v>
      </c>
      <c r="D3589" t="s">
        <v>47</v>
      </c>
      <c r="G3589" t="s">
        <v>48</v>
      </c>
      <c r="H3589">
        <v>1</v>
      </c>
      <c r="K3589" t="s">
        <v>380</v>
      </c>
      <c r="L3589" t="s">
        <v>381</v>
      </c>
      <c r="M3589" t="s">
        <v>131</v>
      </c>
      <c r="N3589">
        <v>22</v>
      </c>
      <c r="P3589" t="s">
        <v>41</v>
      </c>
      <c r="Q3589" t="s">
        <v>49</v>
      </c>
      <c r="R3589" t="str">
        <f>"0580552"</f>
        <v>0580552</v>
      </c>
      <c r="S3589" t="s">
        <v>386</v>
      </c>
      <c r="T3589" t="s">
        <v>380</v>
      </c>
      <c r="U3589" t="s">
        <v>381</v>
      </c>
      <c r="V3589" t="s">
        <v>131</v>
      </c>
      <c r="W3589" t="s">
        <v>51</v>
      </c>
      <c r="X3589" t="s">
        <v>45</v>
      </c>
      <c r="Y3589" s="1">
        <v>28491</v>
      </c>
      <c r="Z3589">
        <v>2</v>
      </c>
      <c r="AA3589" t="s">
        <v>381</v>
      </c>
      <c r="AB3589" s="40" t="s">
        <v>1799</v>
      </c>
    </row>
    <row r="3590" spans="1:28" x14ac:dyDescent="0.25">
      <c r="A3590">
        <v>99913589</v>
      </c>
      <c r="B3590" t="s">
        <v>32</v>
      </c>
      <c r="C3590" t="s">
        <v>111</v>
      </c>
      <c r="D3590" t="s">
        <v>112</v>
      </c>
      <c r="G3590" t="s">
        <v>35</v>
      </c>
      <c r="H3590">
        <v>1</v>
      </c>
      <c r="I3590">
        <v>2172</v>
      </c>
      <c r="J3590" s="1">
        <v>43344</v>
      </c>
      <c r="K3590" t="s">
        <v>268</v>
      </c>
      <c r="L3590" t="s">
        <v>269</v>
      </c>
      <c r="M3590" t="s">
        <v>131</v>
      </c>
      <c r="N3590">
        <v>22</v>
      </c>
      <c r="P3590" t="s">
        <v>41</v>
      </c>
      <c r="Q3590" t="s">
        <v>75</v>
      </c>
      <c r="R3590" t="str">
        <f>"7052012"</f>
        <v>7052012</v>
      </c>
      <c r="S3590" t="s">
        <v>270</v>
      </c>
      <c r="T3590" t="s">
        <v>268</v>
      </c>
      <c r="U3590" t="s">
        <v>269</v>
      </c>
      <c r="V3590" t="s">
        <v>131</v>
      </c>
      <c r="W3590" t="s">
        <v>51</v>
      </c>
      <c r="X3590" t="s">
        <v>45</v>
      </c>
      <c r="Y3590" s="1">
        <v>28491</v>
      </c>
      <c r="Z3590">
        <v>1</v>
      </c>
      <c r="AA3590" t="s">
        <v>269</v>
      </c>
      <c r="AB3590" s="40" t="s">
        <v>1799</v>
      </c>
    </row>
    <row r="3591" spans="1:28" x14ac:dyDescent="0.25">
      <c r="A3591">
        <v>99913590</v>
      </c>
      <c r="B3591" t="s">
        <v>32</v>
      </c>
      <c r="C3591" t="s">
        <v>46</v>
      </c>
      <c r="D3591" t="s">
        <v>47</v>
      </c>
      <c r="G3591" t="s">
        <v>48</v>
      </c>
      <c r="H3591">
        <v>1</v>
      </c>
      <c r="K3591" t="s">
        <v>300</v>
      </c>
      <c r="L3591" t="s">
        <v>301</v>
      </c>
      <c r="M3591" t="s">
        <v>131</v>
      </c>
      <c r="N3591">
        <v>22</v>
      </c>
      <c r="P3591" t="s">
        <v>41</v>
      </c>
      <c r="Q3591" t="s">
        <v>49</v>
      </c>
      <c r="R3591" t="str">
        <f>"0560020"</f>
        <v>0560020</v>
      </c>
      <c r="S3591" t="s">
        <v>302</v>
      </c>
      <c r="T3591" t="s">
        <v>300</v>
      </c>
      <c r="U3591" t="s">
        <v>301</v>
      </c>
      <c r="V3591" t="s">
        <v>131</v>
      </c>
      <c r="W3591" t="s">
        <v>51</v>
      </c>
      <c r="X3591" t="s">
        <v>45</v>
      </c>
      <c r="Y3591" s="1">
        <v>28475</v>
      </c>
      <c r="Z3591">
        <v>2</v>
      </c>
      <c r="AA3591" t="s">
        <v>301</v>
      </c>
      <c r="AB3591" s="40" t="s">
        <v>1799</v>
      </c>
    </row>
    <row r="3592" spans="1:28" x14ac:dyDescent="0.25">
      <c r="A3592">
        <v>99913591</v>
      </c>
      <c r="B3592" t="s">
        <v>32</v>
      </c>
      <c r="C3592" t="s">
        <v>64</v>
      </c>
      <c r="D3592" t="s">
        <v>65</v>
      </c>
      <c r="G3592" t="s">
        <v>35</v>
      </c>
      <c r="H3592">
        <v>1</v>
      </c>
      <c r="K3592" t="s">
        <v>1341</v>
      </c>
      <c r="L3592" t="s">
        <v>1342</v>
      </c>
      <c r="M3592" t="s">
        <v>1270</v>
      </c>
      <c r="N3592">
        <v>22</v>
      </c>
      <c r="P3592" t="s">
        <v>41</v>
      </c>
      <c r="Q3592" t="s">
        <v>75</v>
      </c>
      <c r="R3592" t="str">
        <f>"7191006"</f>
        <v>7191006</v>
      </c>
      <c r="S3592" t="s">
        <v>1351</v>
      </c>
      <c r="T3592" t="s">
        <v>1341</v>
      </c>
      <c r="U3592" t="s">
        <v>1342</v>
      </c>
      <c r="V3592" t="s">
        <v>1270</v>
      </c>
      <c r="W3592" t="s">
        <v>51</v>
      </c>
      <c r="X3592" t="s">
        <v>45</v>
      </c>
      <c r="Y3592" s="1">
        <v>28452</v>
      </c>
      <c r="Z3592">
        <v>1</v>
      </c>
      <c r="AA3592" t="s">
        <v>1342</v>
      </c>
      <c r="AB3592" s="40" t="s">
        <v>1799</v>
      </c>
    </row>
    <row r="3593" spans="1:28" x14ac:dyDescent="0.25">
      <c r="A3593">
        <v>99913592</v>
      </c>
      <c r="B3593" t="s">
        <v>32</v>
      </c>
      <c r="C3593" t="s">
        <v>111</v>
      </c>
      <c r="D3593" t="s">
        <v>112</v>
      </c>
      <c r="G3593" t="s">
        <v>35</v>
      </c>
      <c r="H3593">
        <v>1</v>
      </c>
      <c r="K3593" t="s">
        <v>963</v>
      </c>
      <c r="L3593" t="s">
        <v>964</v>
      </c>
      <c r="M3593" t="s">
        <v>938</v>
      </c>
      <c r="N3593">
        <v>22</v>
      </c>
      <c r="P3593" t="s">
        <v>41</v>
      </c>
      <c r="Q3593" t="s">
        <v>75</v>
      </c>
      <c r="R3593" t="str">
        <f>"7061000"</f>
        <v>7061000</v>
      </c>
      <c r="S3593" t="s">
        <v>962</v>
      </c>
      <c r="T3593" t="s">
        <v>963</v>
      </c>
      <c r="U3593" t="s">
        <v>964</v>
      </c>
      <c r="V3593" t="s">
        <v>938</v>
      </c>
      <c r="W3593" t="s">
        <v>165</v>
      </c>
      <c r="X3593" t="s">
        <v>45</v>
      </c>
      <c r="Y3593" s="1">
        <v>28436</v>
      </c>
      <c r="Z3593">
        <v>1</v>
      </c>
      <c r="AA3593" t="s">
        <v>964</v>
      </c>
      <c r="AB3593" s="40" t="s">
        <v>1799</v>
      </c>
    </row>
    <row r="3594" spans="1:28" x14ac:dyDescent="0.25">
      <c r="A3594">
        <v>99913593</v>
      </c>
      <c r="B3594" t="s">
        <v>32</v>
      </c>
      <c r="C3594" t="s">
        <v>143</v>
      </c>
      <c r="D3594" t="s">
        <v>144</v>
      </c>
      <c r="G3594" t="s">
        <v>35</v>
      </c>
      <c r="H3594">
        <v>7</v>
      </c>
      <c r="I3594">
        <v>14975</v>
      </c>
      <c r="J3594" s="1">
        <v>43344</v>
      </c>
      <c r="K3594" t="s">
        <v>268</v>
      </c>
      <c r="L3594" t="s">
        <v>269</v>
      </c>
      <c r="M3594" t="s">
        <v>131</v>
      </c>
      <c r="N3594">
        <v>22</v>
      </c>
      <c r="O3594" s="1">
        <v>43344</v>
      </c>
      <c r="P3594" t="s">
        <v>41</v>
      </c>
      <c r="Q3594" t="s">
        <v>75</v>
      </c>
      <c r="R3594" t="str">
        <f>"7052006"</f>
        <v>7052006</v>
      </c>
      <c r="S3594" t="s">
        <v>575</v>
      </c>
      <c r="T3594" t="s">
        <v>268</v>
      </c>
      <c r="U3594" t="s">
        <v>269</v>
      </c>
      <c r="V3594" t="s">
        <v>131</v>
      </c>
      <c r="W3594" t="s">
        <v>51</v>
      </c>
      <c r="X3594" t="s">
        <v>45</v>
      </c>
      <c r="Y3594" s="1">
        <v>28369</v>
      </c>
      <c r="Z3594">
        <v>1</v>
      </c>
      <c r="AA3594" t="s">
        <v>269</v>
      </c>
      <c r="AB3594" s="40" t="s">
        <v>1799</v>
      </c>
    </row>
    <row r="3595" spans="1:28" x14ac:dyDescent="0.25">
      <c r="A3595">
        <v>99913594</v>
      </c>
      <c r="B3595" t="s">
        <v>32</v>
      </c>
      <c r="C3595" t="s">
        <v>111</v>
      </c>
      <c r="D3595" t="s">
        <v>112</v>
      </c>
      <c r="G3595" t="s">
        <v>35</v>
      </c>
      <c r="H3595">
        <v>8</v>
      </c>
      <c r="I3595" t="s">
        <v>1230</v>
      </c>
      <c r="J3595" s="1">
        <v>43344</v>
      </c>
      <c r="K3595" t="s">
        <v>1221</v>
      </c>
      <c r="L3595" t="s">
        <v>1222</v>
      </c>
      <c r="M3595" t="s">
        <v>1130</v>
      </c>
      <c r="N3595">
        <v>22</v>
      </c>
      <c r="O3595" s="1">
        <v>43344</v>
      </c>
      <c r="P3595" t="s">
        <v>41</v>
      </c>
      <c r="Q3595" t="s">
        <v>75</v>
      </c>
      <c r="R3595" t="str">
        <f>"7351000"</f>
        <v>7351000</v>
      </c>
      <c r="S3595" t="s">
        <v>1223</v>
      </c>
      <c r="T3595" t="s">
        <v>1221</v>
      </c>
      <c r="U3595" t="s">
        <v>1222</v>
      </c>
      <c r="V3595" t="s">
        <v>1130</v>
      </c>
      <c r="W3595" t="s">
        <v>51</v>
      </c>
      <c r="X3595" t="s">
        <v>45</v>
      </c>
      <c r="Y3595" s="1">
        <v>28280</v>
      </c>
      <c r="Z3595">
        <v>1</v>
      </c>
      <c r="AA3595" t="s">
        <v>1222</v>
      </c>
      <c r="AB3595" s="40" t="s">
        <v>1799</v>
      </c>
    </row>
    <row r="3596" spans="1:28" x14ac:dyDescent="0.25">
      <c r="A3596">
        <v>99913595</v>
      </c>
      <c r="B3596" t="s">
        <v>32</v>
      </c>
      <c r="C3596" t="s">
        <v>111</v>
      </c>
      <c r="D3596" t="s">
        <v>112</v>
      </c>
      <c r="G3596" t="s">
        <v>48</v>
      </c>
      <c r="H3596">
        <v>1</v>
      </c>
      <c r="K3596" t="s">
        <v>268</v>
      </c>
      <c r="L3596" t="s">
        <v>269</v>
      </c>
      <c r="M3596" t="s">
        <v>131</v>
      </c>
      <c r="N3596">
        <v>22</v>
      </c>
      <c r="P3596" t="s">
        <v>41</v>
      </c>
      <c r="Q3596" t="s">
        <v>75</v>
      </c>
      <c r="R3596" t="str">
        <f>"7052040"</f>
        <v>7052040</v>
      </c>
      <c r="S3596" t="s">
        <v>591</v>
      </c>
      <c r="T3596" t="s">
        <v>268</v>
      </c>
      <c r="U3596" t="s">
        <v>269</v>
      </c>
      <c r="V3596" t="s">
        <v>131</v>
      </c>
      <c r="W3596" t="s">
        <v>51</v>
      </c>
      <c r="X3596" t="s">
        <v>45</v>
      </c>
      <c r="Y3596" s="1">
        <v>28214</v>
      </c>
      <c r="Z3596">
        <v>1</v>
      </c>
      <c r="AA3596" t="s">
        <v>269</v>
      </c>
      <c r="AB3596" s="40" t="s">
        <v>1799</v>
      </c>
    </row>
    <row r="3597" spans="1:28" x14ac:dyDescent="0.25">
      <c r="A3597">
        <v>99913596</v>
      </c>
      <c r="B3597" t="s">
        <v>56</v>
      </c>
      <c r="C3597" t="s">
        <v>111</v>
      </c>
      <c r="D3597" t="s">
        <v>112</v>
      </c>
      <c r="G3597" t="s">
        <v>35</v>
      </c>
      <c r="H3597">
        <v>7</v>
      </c>
      <c r="K3597" t="s">
        <v>268</v>
      </c>
      <c r="L3597" t="s">
        <v>269</v>
      </c>
      <c r="M3597" t="s">
        <v>131</v>
      </c>
      <c r="N3597">
        <v>22</v>
      </c>
      <c r="P3597" t="s">
        <v>41</v>
      </c>
      <c r="Q3597" t="s">
        <v>75</v>
      </c>
      <c r="R3597" t="str">
        <f>"7052004"</f>
        <v>7052004</v>
      </c>
      <c r="S3597" t="s">
        <v>584</v>
      </c>
      <c r="T3597" t="s">
        <v>268</v>
      </c>
      <c r="U3597" t="s">
        <v>269</v>
      </c>
      <c r="V3597" t="s">
        <v>131</v>
      </c>
      <c r="W3597" t="s">
        <v>165</v>
      </c>
      <c r="X3597" t="s">
        <v>45</v>
      </c>
      <c r="Y3597" s="1">
        <v>28157</v>
      </c>
      <c r="Z3597">
        <v>1</v>
      </c>
      <c r="AA3597" t="s">
        <v>269</v>
      </c>
      <c r="AB3597" s="40" t="s">
        <v>1799</v>
      </c>
    </row>
    <row r="3598" spans="1:28" x14ac:dyDescent="0.25">
      <c r="A3598">
        <v>99913597</v>
      </c>
      <c r="B3598" t="s">
        <v>32</v>
      </c>
      <c r="C3598" t="s">
        <v>111</v>
      </c>
      <c r="D3598" t="s">
        <v>112</v>
      </c>
      <c r="G3598" t="s">
        <v>48</v>
      </c>
      <c r="H3598">
        <v>7</v>
      </c>
      <c r="K3598" t="s">
        <v>1426</v>
      </c>
      <c r="L3598" t="s">
        <v>1427</v>
      </c>
      <c r="M3598" t="s">
        <v>1270</v>
      </c>
      <c r="N3598">
        <v>22</v>
      </c>
      <c r="P3598" t="s">
        <v>41</v>
      </c>
      <c r="Q3598" t="s">
        <v>75</v>
      </c>
      <c r="R3598" t="str">
        <f>"7192000"</f>
        <v>7192000</v>
      </c>
      <c r="S3598" t="s">
        <v>1429</v>
      </c>
      <c r="T3598" t="s">
        <v>1426</v>
      </c>
      <c r="U3598" t="s">
        <v>1427</v>
      </c>
      <c r="V3598" t="s">
        <v>1270</v>
      </c>
      <c r="W3598" t="s">
        <v>51</v>
      </c>
      <c r="X3598" t="s">
        <v>45</v>
      </c>
      <c r="Y3598" s="1">
        <v>28151</v>
      </c>
      <c r="Z3598">
        <v>1</v>
      </c>
      <c r="AA3598" t="s">
        <v>1427</v>
      </c>
      <c r="AB3598" s="40" t="s">
        <v>1799</v>
      </c>
    </row>
    <row r="3599" spans="1:28" x14ac:dyDescent="0.25">
      <c r="A3599">
        <v>99913598</v>
      </c>
      <c r="B3599" t="s">
        <v>56</v>
      </c>
      <c r="C3599" t="s">
        <v>71</v>
      </c>
      <c r="D3599" t="s">
        <v>72</v>
      </c>
      <c r="G3599" t="s">
        <v>48</v>
      </c>
      <c r="H3599">
        <v>1</v>
      </c>
      <c r="I3599" t="s">
        <v>219</v>
      </c>
      <c r="J3599" s="1">
        <v>40057</v>
      </c>
      <c r="K3599" t="s">
        <v>162</v>
      </c>
      <c r="L3599" t="s">
        <v>158</v>
      </c>
      <c r="M3599" t="s">
        <v>131</v>
      </c>
      <c r="N3599">
        <v>22</v>
      </c>
      <c r="O3599" s="1">
        <v>40057</v>
      </c>
      <c r="P3599" t="s">
        <v>41</v>
      </c>
      <c r="Q3599" t="s">
        <v>75</v>
      </c>
      <c r="R3599" t="str">
        <f>"7521050"</f>
        <v>7521050</v>
      </c>
      <c r="S3599" t="s">
        <v>194</v>
      </c>
      <c r="T3599" t="s">
        <v>195</v>
      </c>
      <c r="U3599" t="s">
        <v>196</v>
      </c>
      <c r="V3599" t="s">
        <v>131</v>
      </c>
      <c r="W3599" t="s">
        <v>51</v>
      </c>
      <c r="X3599" t="s">
        <v>45</v>
      </c>
      <c r="Y3599" s="1">
        <v>28128</v>
      </c>
      <c r="Z3599">
        <v>2</v>
      </c>
      <c r="AA3599" t="s">
        <v>158</v>
      </c>
      <c r="AB3599" s="40" t="s">
        <v>1799</v>
      </c>
    </row>
    <row r="3600" spans="1:28" x14ac:dyDescent="0.25">
      <c r="A3600">
        <v>99913599</v>
      </c>
      <c r="B3600" t="s">
        <v>32</v>
      </c>
      <c r="C3600" t="s">
        <v>111</v>
      </c>
      <c r="D3600" t="s">
        <v>112</v>
      </c>
      <c r="G3600" t="s">
        <v>35</v>
      </c>
      <c r="H3600">
        <v>1</v>
      </c>
      <c r="K3600" t="s">
        <v>431</v>
      </c>
      <c r="L3600" t="s">
        <v>196</v>
      </c>
      <c r="M3600" t="s">
        <v>131</v>
      </c>
      <c r="N3600">
        <v>22</v>
      </c>
      <c r="P3600" t="s">
        <v>41</v>
      </c>
      <c r="Q3600" t="s">
        <v>75</v>
      </c>
      <c r="R3600" t="str">
        <f>"7521012"</f>
        <v>7521012</v>
      </c>
      <c r="S3600" t="s">
        <v>432</v>
      </c>
      <c r="T3600" t="s">
        <v>431</v>
      </c>
      <c r="U3600" t="s">
        <v>196</v>
      </c>
      <c r="V3600" t="s">
        <v>131</v>
      </c>
      <c r="W3600" t="s">
        <v>51</v>
      </c>
      <c r="X3600" t="s">
        <v>45</v>
      </c>
      <c r="Y3600" s="1">
        <v>28051</v>
      </c>
      <c r="Z3600">
        <v>1</v>
      </c>
      <c r="AA3600" t="s">
        <v>196</v>
      </c>
      <c r="AB3600" s="40" t="s">
        <v>1799</v>
      </c>
    </row>
    <row r="3601" spans="1:28" x14ac:dyDescent="0.25">
      <c r="A3601">
        <v>99913600</v>
      </c>
      <c r="B3601" t="s">
        <v>32</v>
      </c>
      <c r="C3601" t="s">
        <v>64</v>
      </c>
      <c r="D3601" t="s">
        <v>65</v>
      </c>
      <c r="G3601" t="s">
        <v>48</v>
      </c>
      <c r="H3601">
        <v>8</v>
      </c>
      <c r="K3601" t="s">
        <v>1426</v>
      </c>
      <c r="L3601" t="s">
        <v>1427</v>
      </c>
      <c r="M3601" t="s">
        <v>1270</v>
      </c>
      <c r="N3601">
        <v>22</v>
      </c>
      <c r="P3601" t="s">
        <v>41</v>
      </c>
      <c r="Q3601" t="s">
        <v>75</v>
      </c>
      <c r="R3601" t="str">
        <f>"7192000"</f>
        <v>7192000</v>
      </c>
      <c r="S3601" t="s">
        <v>1429</v>
      </c>
      <c r="T3601" t="s">
        <v>1426</v>
      </c>
      <c r="U3601" t="s">
        <v>1427</v>
      </c>
      <c r="V3601" t="s">
        <v>1270</v>
      </c>
      <c r="W3601" t="s">
        <v>51</v>
      </c>
      <c r="X3601" t="s">
        <v>45</v>
      </c>
      <c r="Y3601" s="1">
        <v>28015</v>
      </c>
      <c r="Z3601">
        <v>1</v>
      </c>
      <c r="AA3601" t="s">
        <v>1427</v>
      </c>
      <c r="AB3601" s="40" t="s">
        <v>1799</v>
      </c>
    </row>
    <row r="3602" spans="1:28" x14ac:dyDescent="0.25">
      <c r="A3602">
        <v>99913601</v>
      </c>
      <c r="B3602" t="s">
        <v>32</v>
      </c>
      <c r="C3602" t="s">
        <v>64</v>
      </c>
      <c r="D3602" t="s">
        <v>65</v>
      </c>
      <c r="G3602" t="s">
        <v>48</v>
      </c>
      <c r="H3602">
        <v>7</v>
      </c>
      <c r="K3602" t="s">
        <v>877</v>
      </c>
      <c r="L3602" t="s">
        <v>878</v>
      </c>
      <c r="M3602" t="s">
        <v>131</v>
      </c>
      <c r="N3602">
        <v>22</v>
      </c>
      <c r="P3602" t="s">
        <v>41</v>
      </c>
      <c r="Q3602" t="s">
        <v>75</v>
      </c>
      <c r="R3602" t="str">
        <f>"7541004"</f>
        <v>7541004</v>
      </c>
      <c r="S3602" t="s">
        <v>889</v>
      </c>
      <c r="T3602" t="s">
        <v>877</v>
      </c>
      <c r="U3602" t="s">
        <v>878</v>
      </c>
      <c r="V3602" t="s">
        <v>131</v>
      </c>
      <c r="W3602" t="s">
        <v>51</v>
      </c>
      <c r="X3602" t="s">
        <v>45</v>
      </c>
      <c r="Y3602" s="1">
        <v>27952</v>
      </c>
      <c r="Z3602">
        <v>1</v>
      </c>
      <c r="AA3602" t="s">
        <v>878</v>
      </c>
      <c r="AB3602" s="40" t="s">
        <v>1799</v>
      </c>
    </row>
    <row r="3603" spans="1:28" x14ac:dyDescent="0.25">
      <c r="A3603">
        <v>99913602</v>
      </c>
      <c r="B3603" t="s">
        <v>56</v>
      </c>
      <c r="C3603" t="s">
        <v>111</v>
      </c>
      <c r="D3603" t="s">
        <v>112</v>
      </c>
      <c r="G3603" t="s">
        <v>35</v>
      </c>
      <c r="H3603">
        <v>1</v>
      </c>
      <c r="K3603" t="s">
        <v>1341</v>
      </c>
      <c r="L3603" t="s">
        <v>1342</v>
      </c>
      <c r="M3603" t="s">
        <v>1270</v>
      </c>
      <c r="N3603">
        <v>22</v>
      </c>
      <c r="P3603" t="s">
        <v>41</v>
      </c>
      <c r="Q3603" t="s">
        <v>75</v>
      </c>
      <c r="R3603" t="str">
        <f>"7191006"</f>
        <v>7191006</v>
      </c>
      <c r="S3603" t="s">
        <v>1351</v>
      </c>
      <c r="T3603" t="s">
        <v>1341</v>
      </c>
      <c r="U3603" t="s">
        <v>1342</v>
      </c>
      <c r="V3603" t="s">
        <v>1270</v>
      </c>
      <c r="W3603" t="s">
        <v>51</v>
      </c>
      <c r="X3603" t="s">
        <v>45</v>
      </c>
      <c r="Y3603" s="1">
        <v>27846</v>
      </c>
      <c r="Z3603">
        <v>1</v>
      </c>
      <c r="AA3603" t="s">
        <v>1342</v>
      </c>
      <c r="AB3603" s="40" t="s">
        <v>1799</v>
      </c>
    </row>
    <row r="3604" spans="1:28" x14ac:dyDescent="0.25">
      <c r="A3604">
        <v>99913603</v>
      </c>
      <c r="B3604" t="s">
        <v>32</v>
      </c>
      <c r="C3604" t="s">
        <v>111</v>
      </c>
      <c r="D3604" t="s">
        <v>112</v>
      </c>
      <c r="G3604" t="s">
        <v>48</v>
      </c>
      <c r="H3604">
        <v>8</v>
      </c>
      <c r="K3604" t="s">
        <v>195</v>
      </c>
      <c r="L3604" t="s">
        <v>196</v>
      </c>
      <c r="M3604" t="s">
        <v>131</v>
      </c>
      <c r="N3604">
        <v>22</v>
      </c>
      <c r="O3604" s="1">
        <v>39780</v>
      </c>
      <c r="P3604" t="s">
        <v>41</v>
      </c>
      <c r="Q3604" t="s">
        <v>75</v>
      </c>
      <c r="R3604" t="str">
        <f>"7521042"</f>
        <v>7521042</v>
      </c>
      <c r="S3604" t="s">
        <v>440</v>
      </c>
      <c r="T3604" t="s">
        <v>195</v>
      </c>
      <c r="U3604" t="s">
        <v>196</v>
      </c>
      <c r="V3604" t="s">
        <v>131</v>
      </c>
      <c r="W3604" t="s">
        <v>165</v>
      </c>
      <c r="X3604" t="s">
        <v>45</v>
      </c>
      <c r="Y3604" s="1">
        <v>27818</v>
      </c>
      <c r="Z3604">
        <v>1</v>
      </c>
      <c r="AA3604" t="s">
        <v>196</v>
      </c>
      <c r="AB3604" s="40" t="s">
        <v>1799</v>
      </c>
    </row>
    <row r="3605" spans="1:28" x14ac:dyDescent="0.25">
      <c r="A3605">
        <v>99913604</v>
      </c>
      <c r="B3605" t="s">
        <v>56</v>
      </c>
      <c r="C3605" t="s">
        <v>61</v>
      </c>
      <c r="D3605" t="s">
        <v>62</v>
      </c>
      <c r="G3605" t="s">
        <v>35</v>
      </c>
      <c r="H3605">
        <v>1</v>
      </c>
      <c r="K3605" t="s">
        <v>157</v>
      </c>
      <c r="L3605" t="s">
        <v>158</v>
      </c>
      <c r="M3605" t="s">
        <v>131</v>
      </c>
      <c r="N3605">
        <v>22</v>
      </c>
      <c r="P3605" t="s">
        <v>41</v>
      </c>
      <c r="Q3605" t="s">
        <v>49</v>
      </c>
      <c r="R3605" t="str">
        <f>"0580505"</f>
        <v>0580505</v>
      </c>
      <c r="S3605" t="s">
        <v>168</v>
      </c>
      <c r="T3605" t="s">
        <v>157</v>
      </c>
      <c r="U3605" t="s">
        <v>158</v>
      </c>
      <c r="V3605" t="s">
        <v>131</v>
      </c>
      <c r="W3605" t="s">
        <v>51</v>
      </c>
      <c r="X3605" t="s">
        <v>45</v>
      </c>
      <c r="Y3605" s="1">
        <v>27760</v>
      </c>
      <c r="Z3605">
        <v>2</v>
      </c>
      <c r="AA3605" t="s">
        <v>158</v>
      </c>
      <c r="AB3605" s="40" t="s">
        <v>1799</v>
      </c>
    </row>
    <row r="3606" spans="1:28" x14ac:dyDescent="0.25">
      <c r="A3606">
        <v>99913605</v>
      </c>
      <c r="B3606" t="s">
        <v>32</v>
      </c>
      <c r="C3606" t="s">
        <v>90</v>
      </c>
      <c r="D3606" t="s">
        <v>91</v>
      </c>
      <c r="G3606" t="s">
        <v>35</v>
      </c>
      <c r="H3606">
        <v>1</v>
      </c>
      <c r="K3606" t="s">
        <v>154</v>
      </c>
      <c r="L3606" t="s">
        <v>155</v>
      </c>
      <c r="M3606" t="s">
        <v>131</v>
      </c>
      <c r="N3606">
        <v>22</v>
      </c>
      <c r="P3606" t="s">
        <v>41</v>
      </c>
      <c r="Q3606" t="s">
        <v>95</v>
      </c>
      <c r="R3606" t="str">
        <f>"7051021"</f>
        <v>7051021</v>
      </c>
      <c r="S3606" t="s">
        <v>404</v>
      </c>
      <c r="T3606" t="s">
        <v>154</v>
      </c>
      <c r="U3606" t="s">
        <v>155</v>
      </c>
      <c r="V3606" t="s">
        <v>131</v>
      </c>
      <c r="W3606" t="s">
        <v>165</v>
      </c>
      <c r="X3606" t="s">
        <v>45</v>
      </c>
      <c r="Y3606" s="1">
        <v>27731</v>
      </c>
      <c r="Z3606">
        <v>1</v>
      </c>
      <c r="AA3606" t="s">
        <v>155</v>
      </c>
      <c r="AB3606" s="40" t="s">
        <v>1799</v>
      </c>
    </row>
    <row r="3607" spans="1:28" x14ac:dyDescent="0.25">
      <c r="A3607">
        <v>99913606</v>
      </c>
      <c r="B3607" t="s">
        <v>32</v>
      </c>
      <c r="C3607" t="s">
        <v>111</v>
      </c>
      <c r="D3607" t="s">
        <v>112</v>
      </c>
      <c r="G3607" t="s">
        <v>35</v>
      </c>
      <c r="H3607">
        <v>1</v>
      </c>
      <c r="K3607" t="s">
        <v>154</v>
      </c>
      <c r="L3607" t="s">
        <v>155</v>
      </c>
      <c r="M3607" t="s">
        <v>131</v>
      </c>
      <c r="N3607">
        <v>22</v>
      </c>
      <c r="P3607" t="s">
        <v>41</v>
      </c>
      <c r="Q3607" t="s">
        <v>75</v>
      </c>
      <c r="R3607" t="str">
        <f>"7700026"</f>
        <v>7700026</v>
      </c>
      <c r="S3607" t="s">
        <v>397</v>
      </c>
      <c r="T3607" t="s">
        <v>154</v>
      </c>
      <c r="U3607" t="s">
        <v>155</v>
      </c>
      <c r="V3607" t="s">
        <v>131</v>
      </c>
      <c r="W3607" t="s">
        <v>51</v>
      </c>
      <c r="X3607" t="s">
        <v>45</v>
      </c>
      <c r="Y3607" s="1">
        <v>27706</v>
      </c>
      <c r="Z3607">
        <v>1</v>
      </c>
      <c r="AA3607" t="s">
        <v>155</v>
      </c>
      <c r="AB3607" s="40" t="s">
        <v>1799</v>
      </c>
    </row>
    <row r="3608" spans="1:28" x14ac:dyDescent="0.25">
      <c r="A3608">
        <v>99913607</v>
      </c>
      <c r="B3608" t="s">
        <v>32</v>
      </c>
      <c r="C3608" t="s">
        <v>71</v>
      </c>
      <c r="D3608" t="s">
        <v>72</v>
      </c>
      <c r="G3608" t="s">
        <v>35</v>
      </c>
      <c r="H3608">
        <v>1</v>
      </c>
      <c r="I3608" t="s">
        <v>1330</v>
      </c>
      <c r="J3608" s="1">
        <v>43405</v>
      </c>
      <c r="K3608" t="s">
        <v>1325</v>
      </c>
      <c r="L3608" t="s">
        <v>1326</v>
      </c>
      <c r="M3608" t="s">
        <v>1270</v>
      </c>
      <c r="N3608">
        <v>22</v>
      </c>
      <c r="O3608" s="1">
        <v>43405</v>
      </c>
      <c r="R3608" t="str">
        <f>""</f>
        <v/>
      </c>
      <c r="U3608" t="s">
        <v>1326</v>
      </c>
      <c r="V3608" t="s">
        <v>1270</v>
      </c>
      <c r="W3608" t="s">
        <v>44</v>
      </c>
      <c r="X3608" t="s">
        <v>45</v>
      </c>
      <c r="Y3608" s="1">
        <v>27691</v>
      </c>
      <c r="Z3608">
        <v>2</v>
      </c>
      <c r="AA3608" t="s">
        <v>1326</v>
      </c>
      <c r="AB3608" s="40" t="s">
        <v>1799</v>
      </c>
    </row>
    <row r="3609" spans="1:28" x14ac:dyDescent="0.25">
      <c r="A3609">
        <v>99913608</v>
      </c>
      <c r="B3609" t="s">
        <v>32</v>
      </c>
      <c r="C3609" t="s">
        <v>46</v>
      </c>
      <c r="D3609" t="s">
        <v>47</v>
      </c>
      <c r="G3609" t="s">
        <v>48</v>
      </c>
      <c r="H3609">
        <v>1</v>
      </c>
      <c r="K3609" t="s">
        <v>380</v>
      </c>
      <c r="L3609" t="s">
        <v>381</v>
      </c>
      <c r="M3609" t="s">
        <v>131</v>
      </c>
      <c r="N3609">
        <v>22</v>
      </c>
      <c r="P3609" t="s">
        <v>41</v>
      </c>
      <c r="Q3609" t="s">
        <v>49</v>
      </c>
      <c r="R3609" t="str">
        <f>"0580552"</f>
        <v>0580552</v>
      </c>
      <c r="S3609" t="s">
        <v>386</v>
      </c>
      <c r="T3609" t="s">
        <v>380</v>
      </c>
      <c r="U3609" t="s">
        <v>381</v>
      </c>
      <c r="V3609" t="s">
        <v>131</v>
      </c>
      <c r="W3609" t="s">
        <v>51</v>
      </c>
      <c r="X3609" t="s">
        <v>45</v>
      </c>
      <c r="Y3609" s="1">
        <v>27684</v>
      </c>
      <c r="Z3609">
        <v>2</v>
      </c>
      <c r="AA3609" t="s">
        <v>381</v>
      </c>
      <c r="AB3609" s="40" t="s">
        <v>1799</v>
      </c>
    </row>
    <row r="3610" spans="1:28" x14ac:dyDescent="0.25">
      <c r="A3610">
        <v>99913609</v>
      </c>
      <c r="B3610" t="s">
        <v>32</v>
      </c>
      <c r="C3610" t="s">
        <v>64</v>
      </c>
      <c r="D3610" t="s">
        <v>65</v>
      </c>
      <c r="G3610" t="s">
        <v>35</v>
      </c>
      <c r="H3610">
        <v>1</v>
      </c>
      <c r="K3610" t="s">
        <v>963</v>
      </c>
      <c r="L3610" t="s">
        <v>964</v>
      </c>
      <c r="M3610" t="s">
        <v>938</v>
      </c>
      <c r="N3610">
        <v>22</v>
      </c>
      <c r="P3610" t="s">
        <v>41</v>
      </c>
      <c r="Q3610" t="s">
        <v>75</v>
      </c>
      <c r="R3610" t="str">
        <f>"7061000"</f>
        <v>7061000</v>
      </c>
      <c r="S3610" t="s">
        <v>962</v>
      </c>
      <c r="T3610" t="s">
        <v>963</v>
      </c>
      <c r="U3610" t="s">
        <v>964</v>
      </c>
      <c r="V3610" t="s">
        <v>938</v>
      </c>
      <c r="W3610" t="s">
        <v>165</v>
      </c>
      <c r="X3610" t="s">
        <v>45</v>
      </c>
      <c r="Y3610" s="1">
        <v>27639</v>
      </c>
      <c r="Z3610">
        <v>1</v>
      </c>
      <c r="AA3610" t="s">
        <v>964</v>
      </c>
      <c r="AB3610" s="40" t="s">
        <v>1799</v>
      </c>
    </row>
    <row r="3611" spans="1:28" x14ac:dyDescent="0.25">
      <c r="A3611">
        <v>99913610</v>
      </c>
      <c r="B3611" t="s">
        <v>56</v>
      </c>
      <c r="C3611" t="s">
        <v>111</v>
      </c>
      <c r="D3611" t="s">
        <v>112</v>
      </c>
      <c r="G3611" t="s">
        <v>35</v>
      </c>
      <c r="H3611">
        <v>1</v>
      </c>
      <c r="I3611" t="s">
        <v>621</v>
      </c>
      <c r="J3611" s="1">
        <v>43344</v>
      </c>
      <c r="K3611" t="s">
        <v>268</v>
      </c>
      <c r="L3611" t="s">
        <v>269</v>
      </c>
      <c r="M3611" t="s">
        <v>131</v>
      </c>
      <c r="N3611">
        <v>22</v>
      </c>
      <c r="O3611" s="1">
        <v>43344</v>
      </c>
      <c r="P3611" t="s">
        <v>41</v>
      </c>
      <c r="Q3611" t="s">
        <v>75</v>
      </c>
      <c r="R3611" t="str">
        <f>"7052020"</f>
        <v>7052020</v>
      </c>
      <c r="S3611" t="s">
        <v>267</v>
      </c>
      <c r="T3611" t="s">
        <v>268</v>
      </c>
      <c r="U3611" t="s">
        <v>269</v>
      </c>
      <c r="V3611" t="s">
        <v>131</v>
      </c>
      <c r="W3611" t="s">
        <v>51</v>
      </c>
      <c r="X3611" t="s">
        <v>45</v>
      </c>
      <c r="Y3611" s="1">
        <v>27624</v>
      </c>
      <c r="Z3611">
        <v>1</v>
      </c>
      <c r="AA3611" t="s">
        <v>269</v>
      </c>
      <c r="AB3611" s="40" t="s">
        <v>1799</v>
      </c>
    </row>
    <row r="3612" spans="1:28" x14ac:dyDescent="0.25">
      <c r="A3612">
        <v>99913611</v>
      </c>
      <c r="B3612" t="s">
        <v>56</v>
      </c>
      <c r="C3612" t="s">
        <v>143</v>
      </c>
      <c r="D3612" t="s">
        <v>144</v>
      </c>
      <c r="G3612" t="s">
        <v>35</v>
      </c>
      <c r="H3612">
        <v>7</v>
      </c>
      <c r="K3612" t="s">
        <v>268</v>
      </c>
      <c r="L3612" t="s">
        <v>269</v>
      </c>
      <c r="M3612" t="s">
        <v>131</v>
      </c>
      <c r="N3612">
        <v>22</v>
      </c>
      <c r="P3612" t="s">
        <v>41</v>
      </c>
      <c r="Q3612" t="s">
        <v>75</v>
      </c>
      <c r="R3612" t="str">
        <f>"7052002"</f>
        <v>7052002</v>
      </c>
      <c r="S3612" t="s">
        <v>590</v>
      </c>
      <c r="T3612" t="s">
        <v>268</v>
      </c>
      <c r="U3612" t="s">
        <v>269</v>
      </c>
      <c r="V3612" t="s">
        <v>131</v>
      </c>
      <c r="W3612" t="s">
        <v>51</v>
      </c>
      <c r="X3612" t="s">
        <v>45</v>
      </c>
      <c r="Y3612" s="1">
        <v>27614</v>
      </c>
      <c r="Z3612">
        <v>1</v>
      </c>
      <c r="AA3612" t="s">
        <v>269</v>
      </c>
      <c r="AB3612" s="40" t="s">
        <v>1799</v>
      </c>
    </row>
    <row r="3613" spans="1:28" x14ac:dyDescent="0.25">
      <c r="A3613">
        <v>99913612</v>
      </c>
      <c r="B3613" t="s">
        <v>32</v>
      </c>
      <c r="C3613" t="s">
        <v>111</v>
      </c>
      <c r="D3613" t="s">
        <v>112</v>
      </c>
      <c r="G3613" t="s">
        <v>48</v>
      </c>
      <c r="H3613">
        <v>1</v>
      </c>
      <c r="K3613" t="s">
        <v>431</v>
      </c>
      <c r="L3613" t="s">
        <v>196</v>
      </c>
      <c r="M3613" t="s">
        <v>131</v>
      </c>
      <c r="N3613">
        <v>22</v>
      </c>
      <c r="P3613" t="s">
        <v>41</v>
      </c>
      <c r="Q3613" t="s">
        <v>75</v>
      </c>
      <c r="R3613" t="str">
        <f>"7521016"</f>
        <v>7521016</v>
      </c>
      <c r="S3613" t="s">
        <v>448</v>
      </c>
      <c r="T3613" t="s">
        <v>431</v>
      </c>
      <c r="U3613" t="s">
        <v>196</v>
      </c>
      <c r="V3613" t="s">
        <v>131</v>
      </c>
      <c r="W3613" t="s">
        <v>51</v>
      </c>
      <c r="X3613" t="s">
        <v>45</v>
      </c>
      <c r="Y3613" s="1">
        <v>27518</v>
      </c>
      <c r="Z3613">
        <v>1</v>
      </c>
      <c r="AA3613" t="s">
        <v>196</v>
      </c>
      <c r="AB3613" s="40" t="s">
        <v>1799</v>
      </c>
    </row>
    <row r="3614" spans="1:28" x14ac:dyDescent="0.25">
      <c r="A3614">
        <v>99913613</v>
      </c>
      <c r="B3614" t="s">
        <v>32</v>
      </c>
      <c r="C3614" t="s">
        <v>111</v>
      </c>
      <c r="D3614" t="s">
        <v>112</v>
      </c>
      <c r="G3614" t="s">
        <v>48</v>
      </c>
      <c r="H3614">
        <v>8</v>
      </c>
      <c r="K3614" t="s">
        <v>1221</v>
      </c>
      <c r="L3614" t="s">
        <v>1222</v>
      </c>
      <c r="M3614" t="s">
        <v>1130</v>
      </c>
      <c r="N3614">
        <v>22</v>
      </c>
      <c r="P3614" t="s">
        <v>41</v>
      </c>
      <c r="Q3614" t="s">
        <v>75</v>
      </c>
      <c r="R3614" t="str">
        <f>"7351000"</f>
        <v>7351000</v>
      </c>
      <c r="S3614" t="s">
        <v>1223</v>
      </c>
      <c r="T3614" t="s">
        <v>1221</v>
      </c>
      <c r="U3614" t="s">
        <v>1222</v>
      </c>
      <c r="V3614" t="s">
        <v>1130</v>
      </c>
      <c r="W3614" t="s">
        <v>51</v>
      </c>
      <c r="X3614" t="s">
        <v>45</v>
      </c>
      <c r="Y3614" s="1">
        <v>27506</v>
      </c>
      <c r="Z3614">
        <v>1</v>
      </c>
      <c r="AA3614" t="s">
        <v>1222</v>
      </c>
      <c r="AB3614" s="40" t="s">
        <v>1799</v>
      </c>
    </row>
    <row r="3615" spans="1:28" x14ac:dyDescent="0.25">
      <c r="A3615">
        <v>99913614</v>
      </c>
      <c r="B3615" t="s">
        <v>32</v>
      </c>
      <c r="C3615" t="s">
        <v>79</v>
      </c>
      <c r="D3615" t="s">
        <v>80</v>
      </c>
      <c r="G3615" t="s">
        <v>48</v>
      </c>
      <c r="H3615">
        <v>1</v>
      </c>
      <c r="I3615" t="s">
        <v>522</v>
      </c>
      <c r="J3615" s="1">
        <v>40057</v>
      </c>
      <c r="K3615" t="s">
        <v>195</v>
      </c>
      <c r="L3615" t="s">
        <v>196</v>
      </c>
      <c r="M3615" t="s">
        <v>131</v>
      </c>
      <c r="N3615">
        <v>22</v>
      </c>
      <c r="O3615" s="1">
        <v>40057</v>
      </c>
      <c r="P3615" t="s">
        <v>41</v>
      </c>
      <c r="Q3615" t="s">
        <v>75</v>
      </c>
      <c r="R3615" t="str">
        <f>"7521050"</f>
        <v>7521050</v>
      </c>
      <c r="S3615" t="s">
        <v>194</v>
      </c>
      <c r="T3615" t="s">
        <v>195</v>
      </c>
      <c r="U3615" t="s">
        <v>196</v>
      </c>
      <c r="V3615" t="s">
        <v>131</v>
      </c>
      <c r="W3615" t="s">
        <v>51</v>
      </c>
      <c r="X3615" t="s">
        <v>45</v>
      </c>
      <c r="Y3615" s="1">
        <v>27461</v>
      </c>
      <c r="Z3615">
        <v>1</v>
      </c>
      <c r="AA3615" t="s">
        <v>196</v>
      </c>
      <c r="AB3615" s="40" t="s">
        <v>1799</v>
      </c>
    </row>
    <row r="3616" spans="1:28" x14ac:dyDescent="0.25">
      <c r="A3616">
        <v>99913615</v>
      </c>
      <c r="B3616" t="s">
        <v>56</v>
      </c>
      <c r="C3616" t="s">
        <v>85</v>
      </c>
      <c r="D3616" t="s">
        <v>86</v>
      </c>
      <c r="G3616" t="s">
        <v>48</v>
      </c>
      <c r="H3616">
        <v>1</v>
      </c>
      <c r="K3616" t="s">
        <v>380</v>
      </c>
      <c r="L3616" t="s">
        <v>381</v>
      </c>
      <c r="M3616" t="s">
        <v>131</v>
      </c>
      <c r="N3616">
        <v>22</v>
      </c>
      <c r="P3616" t="s">
        <v>41</v>
      </c>
      <c r="Q3616" t="s">
        <v>49</v>
      </c>
      <c r="R3616" t="str">
        <f>"0580552"</f>
        <v>0580552</v>
      </c>
      <c r="S3616" t="s">
        <v>386</v>
      </c>
      <c r="T3616" t="s">
        <v>380</v>
      </c>
      <c r="U3616" t="s">
        <v>381</v>
      </c>
      <c r="V3616" t="s">
        <v>131</v>
      </c>
      <c r="W3616" t="s">
        <v>51</v>
      </c>
      <c r="X3616" t="s">
        <v>45</v>
      </c>
      <c r="Y3616" s="1">
        <v>27447</v>
      </c>
      <c r="Z3616">
        <v>2</v>
      </c>
      <c r="AA3616" t="s">
        <v>381</v>
      </c>
      <c r="AB3616" s="40" t="s">
        <v>1799</v>
      </c>
    </row>
    <row r="3617" spans="1:28" x14ac:dyDescent="0.25">
      <c r="A3617">
        <v>99913616</v>
      </c>
      <c r="B3617" t="s">
        <v>32</v>
      </c>
      <c r="C3617" t="s">
        <v>90</v>
      </c>
      <c r="D3617" t="s">
        <v>91</v>
      </c>
      <c r="G3617" t="s">
        <v>35</v>
      </c>
      <c r="H3617">
        <v>1</v>
      </c>
      <c r="K3617" t="s">
        <v>154</v>
      </c>
      <c r="L3617" t="s">
        <v>155</v>
      </c>
      <c r="M3617" t="s">
        <v>131</v>
      </c>
      <c r="N3617">
        <v>22</v>
      </c>
      <c r="P3617" t="s">
        <v>41</v>
      </c>
      <c r="Q3617" t="s">
        <v>95</v>
      </c>
      <c r="R3617" t="str">
        <f>"7051021"</f>
        <v>7051021</v>
      </c>
      <c r="S3617" t="s">
        <v>404</v>
      </c>
      <c r="T3617" t="s">
        <v>154</v>
      </c>
      <c r="U3617" t="s">
        <v>155</v>
      </c>
      <c r="V3617" t="s">
        <v>131</v>
      </c>
      <c r="W3617" t="s">
        <v>165</v>
      </c>
      <c r="X3617" t="s">
        <v>45</v>
      </c>
      <c r="Y3617" s="1">
        <v>27415</v>
      </c>
      <c r="Z3617">
        <v>1</v>
      </c>
      <c r="AA3617" t="s">
        <v>155</v>
      </c>
      <c r="AB3617" s="40" t="s">
        <v>1799</v>
      </c>
    </row>
    <row r="3618" spans="1:28" x14ac:dyDescent="0.25">
      <c r="A3618">
        <v>99913617</v>
      </c>
      <c r="B3618" t="s">
        <v>32</v>
      </c>
      <c r="C3618" t="s">
        <v>79</v>
      </c>
      <c r="D3618" t="s">
        <v>80</v>
      </c>
      <c r="G3618" t="s">
        <v>35</v>
      </c>
      <c r="H3618">
        <v>1</v>
      </c>
      <c r="I3618">
        <v>0</v>
      </c>
      <c r="J3618" s="1">
        <v>43344</v>
      </c>
      <c r="K3618" t="s">
        <v>223</v>
      </c>
      <c r="L3618" t="s">
        <v>224</v>
      </c>
      <c r="M3618" t="s">
        <v>131</v>
      </c>
      <c r="N3618">
        <v>22</v>
      </c>
      <c r="O3618" s="1">
        <v>43344</v>
      </c>
      <c r="P3618" t="s">
        <v>41</v>
      </c>
      <c r="Q3618" t="s">
        <v>49</v>
      </c>
      <c r="R3618" t="str">
        <f>"0591901"</f>
        <v>0591901</v>
      </c>
      <c r="S3618" t="s">
        <v>230</v>
      </c>
      <c r="T3618" t="s">
        <v>223</v>
      </c>
      <c r="U3618" t="s">
        <v>224</v>
      </c>
      <c r="V3618" t="s">
        <v>131</v>
      </c>
      <c r="W3618" t="s">
        <v>44</v>
      </c>
      <c r="X3618" t="s">
        <v>45</v>
      </c>
      <c r="Y3618" s="1">
        <v>27395</v>
      </c>
      <c r="Z3618">
        <v>2</v>
      </c>
      <c r="AA3618" t="s">
        <v>224</v>
      </c>
      <c r="AB3618" s="40" t="s">
        <v>1799</v>
      </c>
    </row>
    <row r="3619" spans="1:28" x14ac:dyDescent="0.25">
      <c r="A3619">
        <v>99913618</v>
      </c>
      <c r="B3619" t="s">
        <v>32</v>
      </c>
      <c r="C3619" t="s">
        <v>64</v>
      </c>
      <c r="D3619" t="s">
        <v>65</v>
      </c>
      <c r="G3619" t="s">
        <v>35</v>
      </c>
      <c r="H3619">
        <v>1</v>
      </c>
      <c r="K3619" t="s">
        <v>963</v>
      </c>
      <c r="L3619" t="s">
        <v>964</v>
      </c>
      <c r="M3619" t="s">
        <v>938</v>
      </c>
      <c r="N3619">
        <v>22</v>
      </c>
      <c r="P3619" t="s">
        <v>41</v>
      </c>
      <c r="Q3619" t="s">
        <v>75</v>
      </c>
      <c r="R3619" t="str">
        <f>"7061000"</f>
        <v>7061000</v>
      </c>
      <c r="S3619" t="s">
        <v>962</v>
      </c>
      <c r="T3619" t="s">
        <v>963</v>
      </c>
      <c r="U3619" t="s">
        <v>964</v>
      </c>
      <c r="V3619" t="s">
        <v>938</v>
      </c>
      <c r="W3619" t="s">
        <v>165</v>
      </c>
      <c r="X3619" t="s">
        <v>45</v>
      </c>
      <c r="Y3619" s="1">
        <v>27382</v>
      </c>
      <c r="Z3619">
        <v>1</v>
      </c>
      <c r="AA3619" t="s">
        <v>964</v>
      </c>
      <c r="AB3619" s="40" t="s">
        <v>1799</v>
      </c>
    </row>
    <row r="3620" spans="1:28" x14ac:dyDescent="0.25">
      <c r="A3620">
        <v>99913619</v>
      </c>
      <c r="B3620" t="s">
        <v>56</v>
      </c>
      <c r="C3620" t="s">
        <v>111</v>
      </c>
      <c r="D3620" t="s">
        <v>112</v>
      </c>
      <c r="G3620" t="s">
        <v>48</v>
      </c>
      <c r="H3620">
        <v>10</v>
      </c>
      <c r="I3620" t="s">
        <v>447</v>
      </c>
      <c r="J3620" s="1">
        <v>40057</v>
      </c>
      <c r="K3620" t="s">
        <v>431</v>
      </c>
      <c r="L3620" t="s">
        <v>196</v>
      </c>
      <c r="M3620" t="s">
        <v>131</v>
      </c>
      <c r="N3620">
        <v>22</v>
      </c>
      <c r="O3620" s="1">
        <v>40057</v>
      </c>
      <c r="P3620" t="s">
        <v>41</v>
      </c>
      <c r="Q3620" t="s">
        <v>75</v>
      </c>
      <c r="R3620" t="str">
        <f>"7521012"</f>
        <v>7521012</v>
      </c>
      <c r="S3620" t="s">
        <v>432</v>
      </c>
      <c r="T3620" t="s">
        <v>431</v>
      </c>
      <c r="U3620" t="s">
        <v>196</v>
      </c>
      <c r="V3620" t="s">
        <v>131</v>
      </c>
      <c r="W3620" t="s">
        <v>165</v>
      </c>
      <c r="X3620" t="s">
        <v>45</v>
      </c>
      <c r="Y3620" s="1">
        <v>27372</v>
      </c>
      <c r="Z3620">
        <v>1</v>
      </c>
      <c r="AA3620" t="s">
        <v>196</v>
      </c>
      <c r="AB3620" s="40" t="s">
        <v>1799</v>
      </c>
    </row>
    <row r="3621" spans="1:28" x14ac:dyDescent="0.25">
      <c r="A3621">
        <v>99913620</v>
      </c>
      <c r="B3621" t="s">
        <v>32</v>
      </c>
      <c r="C3621" t="s">
        <v>64</v>
      </c>
      <c r="D3621" t="s">
        <v>65</v>
      </c>
      <c r="G3621" t="s">
        <v>48</v>
      </c>
      <c r="H3621">
        <v>1</v>
      </c>
      <c r="K3621" t="s">
        <v>154</v>
      </c>
      <c r="L3621" t="s">
        <v>155</v>
      </c>
      <c r="M3621" t="s">
        <v>131</v>
      </c>
      <c r="N3621">
        <v>22</v>
      </c>
      <c r="P3621" t="s">
        <v>41</v>
      </c>
      <c r="Q3621" t="s">
        <v>75</v>
      </c>
      <c r="R3621" t="str">
        <f>"7051022"</f>
        <v>7051022</v>
      </c>
      <c r="S3621" t="s">
        <v>153</v>
      </c>
      <c r="T3621" t="s">
        <v>154</v>
      </c>
      <c r="U3621" t="s">
        <v>155</v>
      </c>
      <c r="V3621" t="s">
        <v>131</v>
      </c>
      <c r="W3621" t="s">
        <v>51</v>
      </c>
      <c r="X3621" t="s">
        <v>45</v>
      </c>
      <c r="Y3621" s="1">
        <v>27365</v>
      </c>
      <c r="Z3621">
        <v>1</v>
      </c>
      <c r="AA3621" t="s">
        <v>155</v>
      </c>
      <c r="AB3621" s="40" t="s">
        <v>1799</v>
      </c>
    </row>
    <row r="3622" spans="1:28" x14ac:dyDescent="0.25">
      <c r="A3622">
        <v>99913621</v>
      </c>
      <c r="B3622" t="s">
        <v>32</v>
      </c>
      <c r="C3622" t="s">
        <v>90</v>
      </c>
      <c r="D3622" t="s">
        <v>91</v>
      </c>
      <c r="G3622" t="s">
        <v>48</v>
      </c>
      <c r="H3622">
        <v>4</v>
      </c>
      <c r="K3622" t="s">
        <v>1426</v>
      </c>
      <c r="L3622" t="s">
        <v>1427</v>
      </c>
      <c r="M3622" t="s">
        <v>1270</v>
      </c>
      <c r="N3622">
        <v>22</v>
      </c>
      <c r="P3622" t="s">
        <v>41</v>
      </c>
      <c r="Q3622" t="s">
        <v>95</v>
      </c>
      <c r="R3622" t="str">
        <f>"7192021"</f>
        <v>7192021</v>
      </c>
      <c r="S3622" t="s">
        <v>1437</v>
      </c>
      <c r="T3622" t="s">
        <v>1426</v>
      </c>
      <c r="U3622" t="s">
        <v>1427</v>
      </c>
      <c r="V3622" t="s">
        <v>1270</v>
      </c>
      <c r="W3622" t="s">
        <v>51</v>
      </c>
      <c r="X3622" t="s">
        <v>45</v>
      </c>
      <c r="Y3622" s="1">
        <v>27353</v>
      </c>
      <c r="Z3622">
        <v>1</v>
      </c>
      <c r="AA3622" t="s">
        <v>1427</v>
      </c>
      <c r="AB3622" s="40" t="s">
        <v>1799</v>
      </c>
    </row>
    <row r="3623" spans="1:28" x14ac:dyDescent="0.25">
      <c r="A3623">
        <v>99913622</v>
      </c>
      <c r="B3623" t="s">
        <v>56</v>
      </c>
      <c r="C3623" t="s">
        <v>68</v>
      </c>
      <c r="D3623" t="s">
        <v>69</v>
      </c>
      <c r="G3623" t="s">
        <v>48</v>
      </c>
      <c r="H3623">
        <v>1</v>
      </c>
      <c r="K3623" t="s">
        <v>223</v>
      </c>
      <c r="L3623" t="s">
        <v>224</v>
      </c>
      <c r="M3623" t="s">
        <v>131</v>
      </c>
      <c r="N3623">
        <v>22</v>
      </c>
      <c r="P3623" t="s">
        <v>41</v>
      </c>
      <c r="Q3623" t="s">
        <v>42</v>
      </c>
      <c r="R3623" t="str">
        <f>"0580207"</f>
        <v>0580207</v>
      </c>
      <c r="S3623" t="s">
        <v>229</v>
      </c>
      <c r="T3623" t="s">
        <v>223</v>
      </c>
      <c r="U3623" t="s">
        <v>224</v>
      </c>
      <c r="V3623" t="s">
        <v>131</v>
      </c>
      <c r="W3623" t="s">
        <v>51</v>
      </c>
      <c r="X3623" t="s">
        <v>45</v>
      </c>
      <c r="Y3623" s="1">
        <v>27342</v>
      </c>
      <c r="Z3623">
        <v>2</v>
      </c>
      <c r="AA3623" t="s">
        <v>224</v>
      </c>
      <c r="AB3623" s="40" t="s">
        <v>1799</v>
      </c>
    </row>
    <row r="3624" spans="1:28" x14ac:dyDescent="0.25">
      <c r="A3624">
        <v>99913623</v>
      </c>
      <c r="B3624" t="s">
        <v>32</v>
      </c>
      <c r="C3624" t="s">
        <v>111</v>
      </c>
      <c r="D3624" t="s">
        <v>112</v>
      </c>
      <c r="G3624" t="s">
        <v>48</v>
      </c>
      <c r="H3624">
        <v>11</v>
      </c>
      <c r="I3624" t="s">
        <v>560</v>
      </c>
      <c r="J3624" s="1">
        <v>38596</v>
      </c>
      <c r="K3624" t="s">
        <v>431</v>
      </c>
      <c r="L3624" t="s">
        <v>196</v>
      </c>
      <c r="M3624" t="s">
        <v>131</v>
      </c>
      <c r="N3624">
        <v>22</v>
      </c>
      <c r="O3624" s="1">
        <v>38596</v>
      </c>
      <c r="P3624" t="s">
        <v>41</v>
      </c>
      <c r="Q3624" t="s">
        <v>75</v>
      </c>
      <c r="R3624" t="str">
        <f>"7521022"</f>
        <v>7521022</v>
      </c>
      <c r="S3624" t="s">
        <v>445</v>
      </c>
      <c r="T3624" t="s">
        <v>431</v>
      </c>
      <c r="U3624" t="s">
        <v>196</v>
      </c>
      <c r="V3624" t="s">
        <v>131</v>
      </c>
      <c r="W3624" t="s">
        <v>51</v>
      </c>
      <c r="X3624" t="s">
        <v>45</v>
      </c>
      <c r="Y3624" s="1">
        <v>27322</v>
      </c>
      <c r="Z3624">
        <v>1</v>
      </c>
      <c r="AA3624" t="s">
        <v>196</v>
      </c>
      <c r="AB3624" s="40" t="s">
        <v>1799</v>
      </c>
    </row>
    <row r="3625" spans="1:28" x14ac:dyDescent="0.25">
      <c r="A3625">
        <v>99913624</v>
      </c>
      <c r="B3625" t="s">
        <v>32</v>
      </c>
      <c r="C3625" t="s">
        <v>111</v>
      </c>
      <c r="D3625" t="s">
        <v>112</v>
      </c>
      <c r="G3625" t="s">
        <v>35</v>
      </c>
      <c r="H3625">
        <v>1</v>
      </c>
      <c r="K3625" t="s">
        <v>1341</v>
      </c>
      <c r="L3625" t="s">
        <v>1342</v>
      </c>
      <c r="M3625" t="s">
        <v>1270</v>
      </c>
      <c r="N3625">
        <v>22</v>
      </c>
      <c r="P3625" t="s">
        <v>41</v>
      </c>
      <c r="Q3625" t="s">
        <v>75</v>
      </c>
      <c r="R3625" t="str">
        <f>"7191006"</f>
        <v>7191006</v>
      </c>
      <c r="S3625" t="s">
        <v>1351</v>
      </c>
      <c r="T3625" t="s">
        <v>1341</v>
      </c>
      <c r="U3625" t="s">
        <v>1342</v>
      </c>
      <c r="V3625" t="s">
        <v>1270</v>
      </c>
      <c r="W3625" t="s">
        <v>51</v>
      </c>
      <c r="X3625" t="s">
        <v>45</v>
      </c>
      <c r="Y3625" s="1">
        <v>27294</v>
      </c>
      <c r="Z3625">
        <v>1</v>
      </c>
      <c r="AA3625" t="s">
        <v>1342</v>
      </c>
      <c r="AB3625" s="40" t="s">
        <v>1799</v>
      </c>
    </row>
    <row r="3626" spans="1:28" x14ac:dyDescent="0.25">
      <c r="A3626">
        <v>99913625</v>
      </c>
      <c r="B3626" t="s">
        <v>32</v>
      </c>
      <c r="C3626" t="s">
        <v>139</v>
      </c>
      <c r="D3626" t="s">
        <v>140</v>
      </c>
      <c r="G3626" t="s">
        <v>35</v>
      </c>
      <c r="H3626">
        <v>1</v>
      </c>
      <c r="K3626" t="s">
        <v>154</v>
      </c>
      <c r="L3626" t="s">
        <v>155</v>
      </c>
      <c r="M3626" t="s">
        <v>131</v>
      </c>
      <c r="N3626">
        <v>22</v>
      </c>
      <c r="P3626" t="s">
        <v>41</v>
      </c>
      <c r="Q3626" t="s">
        <v>75</v>
      </c>
      <c r="R3626" t="str">
        <f>"7700026"</f>
        <v>7700026</v>
      </c>
      <c r="S3626" t="s">
        <v>397</v>
      </c>
      <c r="T3626" t="s">
        <v>154</v>
      </c>
      <c r="U3626" t="s">
        <v>155</v>
      </c>
      <c r="V3626" t="s">
        <v>131</v>
      </c>
      <c r="W3626" t="s">
        <v>51</v>
      </c>
      <c r="X3626" t="s">
        <v>45</v>
      </c>
      <c r="Y3626" s="1">
        <v>27210</v>
      </c>
      <c r="Z3626">
        <v>1</v>
      </c>
      <c r="AA3626" t="s">
        <v>155</v>
      </c>
      <c r="AB3626" s="40" t="s">
        <v>1799</v>
      </c>
    </row>
    <row r="3627" spans="1:28" x14ac:dyDescent="0.25">
      <c r="A3627">
        <v>99913626</v>
      </c>
      <c r="B3627" t="s">
        <v>56</v>
      </c>
      <c r="C3627" t="s">
        <v>111</v>
      </c>
      <c r="D3627" t="s">
        <v>112</v>
      </c>
      <c r="G3627" t="s">
        <v>35</v>
      </c>
      <c r="H3627">
        <v>1</v>
      </c>
      <c r="K3627" t="s">
        <v>1341</v>
      </c>
      <c r="L3627" t="s">
        <v>1342</v>
      </c>
      <c r="M3627" t="s">
        <v>1270</v>
      </c>
      <c r="N3627">
        <v>22</v>
      </c>
      <c r="P3627" t="s">
        <v>41</v>
      </c>
      <c r="Q3627" t="s">
        <v>75</v>
      </c>
      <c r="R3627" t="str">
        <f>"7191006"</f>
        <v>7191006</v>
      </c>
      <c r="S3627" t="s">
        <v>1351</v>
      </c>
      <c r="T3627" t="s">
        <v>1341</v>
      </c>
      <c r="U3627" t="s">
        <v>1342</v>
      </c>
      <c r="V3627" t="s">
        <v>1270</v>
      </c>
      <c r="W3627" t="s">
        <v>51</v>
      </c>
      <c r="X3627" t="s">
        <v>45</v>
      </c>
      <c r="Y3627" s="1">
        <v>27201</v>
      </c>
      <c r="Z3627">
        <v>1</v>
      </c>
      <c r="AA3627" t="s">
        <v>1342</v>
      </c>
      <c r="AB3627" s="40" t="s">
        <v>1799</v>
      </c>
    </row>
    <row r="3628" spans="1:28" x14ac:dyDescent="0.25">
      <c r="A3628">
        <v>99913627</v>
      </c>
      <c r="B3628" t="s">
        <v>32</v>
      </c>
      <c r="C3628" t="s">
        <v>90</v>
      </c>
      <c r="D3628" t="s">
        <v>91</v>
      </c>
      <c r="G3628" t="s">
        <v>48</v>
      </c>
      <c r="H3628">
        <v>1</v>
      </c>
      <c r="K3628" t="s">
        <v>268</v>
      </c>
      <c r="L3628" t="s">
        <v>269</v>
      </c>
      <c r="M3628" t="s">
        <v>131</v>
      </c>
      <c r="N3628">
        <v>22</v>
      </c>
      <c r="P3628" t="s">
        <v>41</v>
      </c>
      <c r="Q3628" t="s">
        <v>75</v>
      </c>
      <c r="R3628" t="str">
        <f>"7052008"</f>
        <v>7052008</v>
      </c>
      <c r="S3628" t="s">
        <v>274</v>
      </c>
      <c r="T3628" t="s">
        <v>268</v>
      </c>
      <c r="U3628" t="s">
        <v>269</v>
      </c>
      <c r="V3628" t="s">
        <v>131</v>
      </c>
      <c r="W3628" t="s">
        <v>51</v>
      </c>
      <c r="X3628" t="s">
        <v>45</v>
      </c>
      <c r="Y3628" s="1">
        <v>27166</v>
      </c>
      <c r="Z3628">
        <v>1</v>
      </c>
      <c r="AA3628" t="s">
        <v>269</v>
      </c>
      <c r="AB3628" s="40" t="s">
        <v>1799</v>
      </c>
    </row>
    <row r="3629" spans="1:28" x14ac:dyDescent="0.25">
      <c r="A3629">
        <v>99913628</v>
      </c>
      <c r="B3629" t="s">
        <v>56</v>
      </c>
      <c r="C3629" t="s">
        <v>61</v>
      </c>
      <c r="D3629" t="s">
        <v>62</v>
      </c>
      <c r="E3629" t="s">
        <v>52</v>
      </c>
      <c r="F3629" t="s">
        <v>53</v>
      </c>
      <c r="G3629" t="s">
        <v>48</v>
      </c>
      <c r="H3629">
        <v>1</v>
      </c>
      <c r="K3629" t="s">
        <v>223</v>
      </c>
      <c r="L3629" t="s">
        <v>224</v>
      </c>
      <c r="M3629" t="s">
        <v>131</v>
      </c>
      <c r="N3629">
        <v>22</v>
      </c>
      <c r="P3629" t="s">
        <v>41</v>
      </c>
      <c r="Q3629" t="s">
        <v>42</v>
      </c>
      <c r="R3629" t="str">
        <f>"0580202"</f>
        <v>0580202</v>
      </c>
      <c r="S3629" t="s">
        <v>240</v>
      </c>
      <c r="T3629" t="s">
        <v>223</v>
      </c>
      <c r="U3629" t="s">
        <v>224</v>
      </c>
      <c r="V3629" t="s">
        <v>131</v>
      </c>
      <c r="W3629" t="s">
        <v>51</v>
      </c>
      <c r="X3629" t="s">
        <v>45</v>
      </c>
      <c r="Y3629" s="1">
        <v>27117</v>
      </c>
      <c r="Z3629">
        <v>2</v>
      </c>
      <c r="AA3629" t="s">
        <v>224</v>
      </c>
      <c r="AB3629" s="40" t="s">
        <v>1799</v>
      </c>
    </row>
    <row r="3630" spans="1:28" x14ac:dyDescent="0.25">
      <c r="A3630">
        <v>99913629</v>
      </c>
      <c r="B3630" t="s">
        <v>32</v>
      </c>
      <c r="C3630" t="s">
        <v>111</v>
      </c>
      <c r="D3630" t="s">
        <v>112</v>
      </c>
      <c r="G3630" t="s">
        <v>35</v>
      </c>
      <c r="H3630">
        <v>8</v>
      </c>
      <c r="K3630" t="s">
        <v>268</v>
      </c>
      <c r="L3630" t="s">
        <v>269</v>
      </c>
      <c r="M3630" t="s">
        <v>131</v>
      </c>
      <c r="N3630">
        <v>22</v>
      </c>
      <c r="P3630" t="s">
        <v>41</v>
      </c>
      <c r="Q3630" t="s">
        <v>75</v>
      </c>
      <c r="R3630" t="str">
        <f>"7052006"</f>
        <v>7052006</v>
      </c>
      <c r="S3630" t="s">
        <v>575</v>
      </c>
      <c r="T3630" t="s">
        <v>268</v>
      </c>
      <c r="U3630" t="s">
        <v>269</v>
      </c>
      <c r="V3630" t="s">
        <v>131</v>
      </c>
      <c r="W3630" t="s">
        <v>165</v>
      </c>
      <c r="X3630" t="s">
        <v>45</v>
      </c>
      <c r="Y3630" s="1">
        <v>27105</v>
      </c>
      <c r="Z3630">
        <v>1</v>
      </c>
      <c r="AA3630" t="s">
        <v>269</v>
      </c>
      <c r="AB3630" s="40" t="s">
        <v>1799</v>
      </c>
    </row>
    <row r="3631" spans="1:28" x14ac:dyDescent="0.25">
      <c r="A3631">
        <v>99913630</v>
      </c>
      <c r="B3631" t="s">
        <v>32</v>
      </c>
      <c r="C3631" t="s">
        <v>111</v>
      </c>
      <c r="D3631" t="s">
        <v>112</v>
      </c>
      <c r="G3631" t="s">
        <v>35</v>
      </c>
      <c r="H3631">
        <v>1</v>
      </c>
      <c r="K3631" t="s">
        <v>963</v>
      </c>
      <c r="L3631" t="s">
        <v>964</v>
      </c>
      <c r="M3631" t="s">
        <v>938</v>
      </c>
      <c r="N3631">
        <v>22</v>
      </c>
      <c r="P3631" t="s">
        <v>41</v>
      </c>
      <c r="Q3631" t="s">
        <v>75</v>
      </c>
      <c r="R3631" t="str">
        <f>"7061000"</f>
        <v>7061000</v>
      </c>
      <c r="S3631" t="s">
        <v>962</v>
      </c>
      <c r="T3631" t="s">
        <v>963</v>
      </c>
      <c r="U3631" t="s">
        <v>964</v>
      </c>
      <c r="V3631" t="s">
        <v>938</v>
      </c>
      <c r="W3631" t="s">
        <v>165</v>
      </c>
      <c r="X3631" t="s">
        <v>45</v>
      </c>
      <c r="Y3631" s="1">
        <v>27105</v>
      </c>
      <c r="Z3631">
        <v>1</v>
      </c>
      <c r="AA3631" t="s">
        <v>964</v>
      </c>
      <c r="AB3631" s="40" t="s">
        <v>1799</v>
      </c>
    </row>
    <row r="3632" spans="1:28" x14ac:dyDescent="0.25">
      <c r="A3632">
        <v>99913631</v>
      </c>
      <c r="B3632" t="s">
        <v>56</v>
      </c>
      <c r="C3632" t="s">
        <v>79</v>
      </c>
      <c r="D3632" t="s">
        <v>80</v>
      </c>
      <c r="G3632" t="s">
        <v>48</v>
      </c>
      <c r="H3632">
        <v>5</v>
      </c>
      <c r="I3632" t="s">
        <v>214</v>
      </c>
      <c r="J3632" s="1">
        <v>41153</v>
      </c>
      <c r="K3632" t="s">
        <v>195</v>
      </c>
      <c r="L3632" t="s">
        <v>196</v>
      </c>
      <c r="M3632" t="s">
        <v>131</v>
      </c>
      <c r="N3632">
        <v>22</v>
      </c>
      <c r="O3632" s="1">
        <v>41153</v>
      </c>
      <c r="P3632" t="s">
        <v>41</v>
      </c>
      <c r="Q3632" t="s">
        <v>75</v>
      </c>
      <c r="R3632" t="str">
        <f>"7521050"</f>
        <v>7521050</v>
      </c>
      <c r="S3632" t="s">
        <v>194</v>
      </c>
      <c r="T3632" t="s">
        <v>195</v>
      </c>
      <c r="U3632" t="s">
        <v>196</v>
      </c>
      <c r="V3632" t="s">
        <v>131</v>
      </c>
      <c r="W3632" t="s">
        <v>51</v>
      </c>
      <c r="X3632" t="s">
        <v>45</v>
      </c>
      <c r="Y3632" s="1">
        <v>27095</v>
      </c>
      <c r="Z3632">
        <v>1</v>
      </c>
      <c r="AA3632" t="s">
        <v>196</v>
      </c>
      <c r="AB3632" s="40" t="s">
        <v>1799</v>
      </c>
    </row>
    <row r="3633" spans="1:28" x14ac:dyDescent="0.25">
      <c r="A3633">
        <v>99913632</v>
      </c>
      <c r="B3633" t="s">
        <v>32</v>
      </c>
      <c r="C3633" t="s">
        <v>111</v>
      </c>
      <c r="D3633" t="s">
        <v>112</v>
      </c>
      <c r="G3633" t="s">
        <v>48</v>
      </c>
      <c r="H3633">
        <v>1</v>
      </c>
      <c r="K3633" t="s">
        <v>431</v>
      </c>
      <c r="L3633" t="s">
        <v>196</v>
      </c>
      <c r="M3633" t="s">
        <v>131</v>
      </c>
      <c r="N3633">
        <v>22</v>
      </c>
      <c r="P3633" t="s">
        <v>41</v>
      </c>
      <c r="Q3633" t="s">
        <v>75</v>
      </c>
      <c r="R3633" t="str">
        <f>"7521012"</f>
        <v>7521012</v>
      </c>
      <c r="S3633" t="s">
        <v>432</v>
      </c>
      <c r="T3633" t="s">
        <v>431</v>
      </c>
      <c r="U3633" t="s">
        <v>196</v>
      </c>
      <c r="V3633" t="s">
        <v>131</v>
      </c>
      <c r="W3633" t="s">
        <v>51</v>
      </c>
      <c r="X3633" t="s">
        <v>45</v>
      </c>
      <c r="Y3633" s="1">
        <v>27086</v>
      </c>
      <c r="Z3633">
        <v>1</v>
      </c>
      <c r="AA3633" t="s">
        <v>196</v>
      </c>
      <c r="AB3633" s="40" t="s">
        <v>1799</v>
      </c>
    </row>
    <row r="3634" spans="1:28" x14ac:dyDescent="0.25">
      <c r="A3634">
        <v>99913633</v>
      </c>
      <c r="B3634" t="s">
        <v>32</v>
      </c>
      <c r="C3634" t="s">
        <v>46</v>
      </c>
      <c r="D3634" t="s">
        <v>47</v>
      </c>
      <c r="G3634" t="s">
        <v>35</v>
      </c>
      <c r="H3634">
        <v>1</v>
      </c>
      <c r="K3634" t="s">
        <v>947</v>
      </c>
      <c r="L3634" t="s">
        <v>948</v>
      </c>
      <c r="M3634" t="s">
        <v>938</v>
      </c>
      <c r="N3634">
        <v>22</v>
      </c>
      <c r="P3634" t="s">
        <v>41</v>
      </c>
      <c r="Q3634" t="s">
        <v>42</v>
      </c>
      <c r="R3634" t="str">
        <f>"0680039"</f>
        <v>0680039</v>
      </c>
      <c r="S3634" t="s">
        <v>949</v>
      </c>
      <c r="T3634" t="s">
        <v>947</v>
      </c>
      <c r="U3634" t="s">
        <v>948</v>
      </c>
      <c r="V3634" t="s">
        <v>938</v>
      </c>
      <c r="W3634" t="s">
        <v>51</v>
      </c>
      <c r="X3634" t="s">
        <v>45</v>
      </c>
      <c r="Y3634" s="1">
        <v>27073</v>
      </c>
      <c r="Z3634">
        <v>2</v>
      </c>
      <c r="AA3634" t="s">
        <v>948</v>
      </c>
      <c r="AB3634" s="40" t="s">
        <v>1799</v>
      </c>
    </row>
    <row r="3635" spans="1:28" x14ac:dyDescent="0.25">
      <c r="A3635">
        <v>99913634</v>
      </c>
      <c r="B3635" t="s">
        <v>32</v>
      </c>
      <c r="C3635" t="s">
        <v>64</v>
      </c>
      <c r="D3635" t="s">
        <v>65</v>
      </c>
      <c r="G3635" t="s">
        <v>48</v>
      </c>
      <c r="H3635">
        <v>1</v>
      </c>
      <c r="K3635" t="s">
        <v>354</v>
      </c>
      <c r="L3635" t="s">
        <v>355</v>
      </c>
      <c r="M3635" t="s">
        <v>131</v>
      </c>
      <c r="N3635">
        <v>22</v>
      </c>
      <c r="P3635" t="s">
        <v>41</v>
      </c>
      <c r="Q3635" t="s">
        <v>75</v>
      </c>
      <c r="R3635" t="str">
        <f>"7054022"</f>
        <v>7054022</v>
      </c>
      <c r="S3635" t="s">
        <v>770</v>
      </c>
      <c r="T3635" t="s">
        <v>354</v>
      </c>
      <c r="U3635" t="s">
        <v>355</v>
      </c>
      <c r="V3635" t="s">
        <v>131</v>
      </c>
      <c r="W3635" t="s">
        <v>51</v>
      </c>
      <c r="X3635" t="s">
        <v>45</v>
      </c>
      <c r="Y3635" s="1">
        <v>27067</v>
      </c>
      <c r="Z3635">
        <v>1</v>
      </c>
      <c r="AA3635" t="s">
        <v>355</v>
      </c>
      <c r="AB3635" s="40" t="s">
        <v>1799</v>
      </c>
    </row>
    <row r="3636" spans="1:28" x14ac:dyDescent="0.25">
      <c r="A3636">
        <v>99913635</v>
      </c>
      <c r="B3636" t="s">
        <v>32</v>
      </c>
      <c r="C3636" t="s">
        <v>64</v>
      </c>
      <c r="D3636" t="s">
        <v>65</v>
      </c>
      <c r="G3636" t="s">
        <v>35</v>
      </c>
      <c r="H3636">
        <v>9</v>
      </c>
      <c r="K3636" t="s">
        <v>268</v>
      </c>
      <c r="L3636" t="s">
        <v>269</v>
      </c>
      <c r="M3636" t="s">
        <v>131</v>
      </c>
      <c r="N3636">
        <v>22</v>
      </c>
      <c r="P3636" t="s">
        <v>41</v>
      </c>
      <c r="Q3636" t="s">
        <v>75</v>
      </c>
      <c r="R3636" t="str">
        <f>"7052002"</f>
        <v>7052002</v>
      </c>
      <c r="S3636" t="s">
        <v>590</v>
      </c>
      <c r="T3636" t="s">
        <v>268</v>
      </c>
      <c r="U3636" t="s">
        <v>269</v>
      </c>
      <c r="V3636" t="s">
        <v>131</v>
      </c>
      <c r="W3636" t="s">
        <v>51</v>
      </c>
      <c r="X3636" t="s">
        <v>45</v>
      </c>
      <c r="Y3636" s="1">
        <v>27062</v>
      </c>
      <c r="Z3636">
        <v>1</v>
      </c>
      <c r="AA3636" t="s">
        <v>269</v>
      </c>
      <c r="AB3636" s="40" t="s">
        <v>1799</v>
      </c>
    </row>
    <row r="3637" spans="1:28" x14ac:dyDescent="0.25">
      <c r="A3637">
        <v>99913636</v>
      </c>
      <c r="B3637" t="s">
        <v>56</v>
      </c>
      <c r="C3637" t="s">
        <v>111</v>
      </c>
      <c r="D3637" t="s">
        <v>112</v>
      </c>
      <c r="G3637" t="s">
        <v>35</v>
      </c>
      <c r="H3637">
        <v>1</v>
      </c>
      <c r="K3637" t="s">
        <v>154</v>
      </c>
      <c r="L3637" t="s">
        <v>155</v>
      </c>
      <c r="M3637" t="s">
        <v>131</v>
      </c>
      <c r="N3637">
        <v>22</v>
      </c>
      <c r="P3637" t="s">
        <v>41</v>
      </c>
      <c r="Q3637" t="s">
        <v>75</v>
      </c>
      <c r="R3637" t="str">
        <f>"7700026"</f>
        <v>7700026</v>
      </c>
      <c r="S3637" t="s">
        <v>397</v>
      </c>
      <c r="T3637" t="s">
        <v>154</v>
      </c>
      <c r="U3637" t="s">
        <v>155</v>
      </c>
      <c r="V3637" t="s">
        <v>131</v>
      </c>
      <c r="W3637" t="s">
        <v>51</v>
      </c>
      <c r="X3637" t="s">
        <v>45</v>
      </c>
      <c r="Y3637" s="1">
        <v>27045</v>
      </c>
      <c r="Z3637">
        <v>1</v>
      </c>
      <c r="AA3637" t="s">
        <v>155</v>
      </c>
      <c r="AB3637" s="40" t="s">
        <v>1799</v>
      </c>
    </row>
    <row r="3638" spans="1:28" x14ac:dyDescent="0.25">
      <c r="A3638">
        <v>99913637</v>
      </c>
      <c r="B3638" t="s">
        <v>32</v>
      </c>
      <c r="C3638" t="s">
        <v>82</v>
      </c>
      <c r="D3638" t="s">
        <v>83</v>
      </c>
      <c r="G3638" t="s">
        <v>35</v>
      </c>
      <c r="H3638">
        <v>1</v>
      </c>
      <c r="I3638" t="s">
        <v>213</v>
      </c>
      <c r="J3638" s="1">
        <v>41900</v>
      </c>
      <c r="K3638" t="s">
        <v>157</v>
      </c>
      <c r="L3638" t="s">
        <v>158</v>
      </c>
      <c r="M3638" t="s">
        <v>131</v>
      </c>
      <c r="N3638">
        <v>22</v>
      </c>
      <c r="O3638" s="1">
        <v>41900</v>
      </c>
      <c r="P3638" t="s">
        <v>41</v>
      </c>
      <c r="Q3638" t="s">
        <v>42</v>
      </c>
      <c r="R3638" t="str">
        <f>"0561005"</f>
        <v>0561005</v>
      </c>
      <c r="S3638" t="s">
        <v>174</v>
      </c>
      <c r="T3638" t="s">
        <v>157</v>
      </c>
      <c r="U3638" t="s">
        <v>158</v>
      </c>
      <c r="V3638" t="s">
        <v>131</v>
      </c>
      <c r="W3638" t="s">
        <v>51</v>
      </c>
      <c r="X3638" t="s">
        <v>45</v>
      </c>
      <c r="Y3638" s="1">
        <v>27030</v>
      </c>
      <c r="Z3638">
        <v>2</v>
      </c>
      <c r="AA3638" t="s">
        <v>158</v>
      </c>
      <c r="AB3638" s="40" t="s">
        <v>1799</v>
      </c>
    </row>
    <row r="3639" spans="1:28" x14ac:dyDescent="0.25">
      <c r="A3639">
        <v>99913638</v>
      </c>
      <c r="B3639" t="s">
        <v>32</v>
      </c>
      <c r="C3639" t="s">
        <v>111</v>
      </c>
      <c r="D3639" t="s">
        <v>112</v>
      </c>
      <c r="G3639" t="s">
        <v>48</v>
      </c>
      <c r="H3639">
        <v>8</v>
      </c>
      <c r="J3639" s="1">
        <v>43344</v>
      </c>
      <c r="K3639" t="s">
        <v>354</v>
      </c>
      <c r="L3639" t="s">
        <v>355</v>
      </c>
      <c r="M3639" t="s">
        <v>131</v>
      </c>
      <c r="N3639">
        <v>22</v>
      </c>
      <c r="O3639" s="1">
        <v>43344</v>
      </c>
      <c r="P3639" t="s">
        <v>41</v>
      </c>
      <c r="Q3639" t="s">
        <v>75</v>
      </c>
      <c r="R3639" t="str">
        <f>"7054022"</f>
        <v>7054022</v>
      </c>
      <c r="S3639" t="s">
        <v>770</v>
      </c>
      <c r="T3639" t="s">
        <v>354</v>
      </c>
      <c r="U3639" t="s">
        <v>355</v>
      </c>
      <c r="V3639" t="s">
        <v>131</v>
      </c>
      <c r="W3639" t="s">
        <v>51</v>
      </c>
      <c r="X3639" t="s">
        <v>45</v>
      </c>
      <c r="Y3639" s="1">
        <v>27026</v>
      </c>
      <c r="Z3639">
        <v>1</v>
      </c>
      <c r="AA3639" t="s">
        <v>355</v>
      </c>
      <c r="AB3639" s="40" t="s">
        <v>1799</v>
      </c>
    </row>
    <row r="3640" spans="1:28" x14ac:dyDescent="0.25">
      <c r="A3640">
        <v>99913639</v>
      </c>
      <c r="B3640" t="s">
        <v>32</v>
      </c>
      <c r="C3640" t="s">
        <v>111</v>
      </c>
      <c r="D3640" t="s">
        <v>112</v>
      </c>
      <c r="G3640" t="s">
        <v>35</v>
      </c>
      <c r="H3640">
        <v>1</v>
      </c>
      <c r="K3640" t="s">
        <v>963</v>
      </c>
      <c r="L3640" t="s">
        <v>964</v>
      </c>
      <c r="M3640" t="s">
        <v>938</v>
      </c>
      <c r="N3640">
        <v>22</v>
      </c>
      <c r="P3640" t="s">
        <v>41</v>
      </c>
      <c r="Q3640" t="s">
        <v>75</v>
      </c>
      <c r="R3640" t="str">
        <f>"7061000"</f>
        <v>7061000</v>
      </c>
      <c r="S3640" t="s">
        <v>962</v>
      </c>
      <c r="T3640" t="s">
        <v>963</v>
      </c>
      <c r="U3640" t="s">
        <v>964</v>
      </c>
      <c r="V3640" t="s">
        <v>938</v>
      </c>
      <c r="W3640" t="s">
        <v>165</v>
      </c>
      <c r="X3640" t="s">
        <v>45</v>
      </c>
      <c r="Y3640" s="1">
        <v>27023</v>
      </c>
      <c r="Z3640">
        <v>1</v>
      </c>
      <c r="AA3640" t="s">
        <v>964</v>
      </c>
      <c r="AB3640" s="40" t="s">
        <v>1799</v>
      </c>
    </row>
    <row r="3641" spans="1:28" x14ac:dyDescent="0.25">
      <c r="A3641">
        <v>99913640</v>
      </c>
      <c r="B3641" t="s">
        <v>32</v>
      </c>
      <c r="C3641" t="s">
        <v>111</v>
      </c>
      <c r="D3641" t="s">
        <v>112</v>
      </c>
      <c r="G3641" t="s">
        <v>35</v>
      </c>
      <c r="H3641">
        <v>1</v>
      </c>
      <c r="K3641" t="s">
        <v>1341</v>
      </c>
      <c r="L3641" t="s">
        <v>1342</v>
      </c>
      <c r="M3641" t="s">
        <v>1270</v>
      </c>
      <c r="N3641">
        <v>22</v>
      </c>
      <c r="P3641" t="s">
        <v>41</v>
      </c>
      <c r="Q3641" t="s">
        <v>75</v>
      </c>
      <c r="R3641" t="str">
        <f>"7191006"</f>
        <v>7191006</v>
      </c>
      <c r="S3641" t="s">
        <v>1351</v>
      </c>
      <c r="T3641" t="s">
        <v>1341</v>
      </c>
      <c r="U3641" t="s">
        <v>1342</v>
      </c>
      <c r="V3641" t="s">
        <v>1270</v>
      </c>
      <c r="W3641" t="s">
        <v>51</v>
      </c>
      <c r="X3641" t="s">
        <v>45</v>
      </c>
      <c r="Y3641" s="1">
        <v>27022</v>
      </c>
      <c r="Z3641">
        <v>1</v>
      </c>
      <c r="AA3641" t="s">
        <v>1342</v>
      </c>
      <c r="AB3641" s="40" t="s">
        <v>1799</v>
      </c>
    </row>
    <row r="3642" spans="1:28" x14ac:dyDescent="0.25">
      <c r="A3642">
        <v>99913641</v>
      </c>
      <c r="B3642" t="s">
        <v>32</v>
      </c>
      <c r="C3642" t="s">
        <v>111</v>
      </c>
      <c r="D3642" t="s">
        <v>112</v>
      </c>
      <c r="G3642" t="s">
        <v>48</v>
      </c>
      <c r="H3642">
        <v>9</v>
      </c>
      <c r="I3642" t="s">
        <v>550</v>
      </c>
      <c r="J3642" s="1">
        <v>39326</v>
      </c>
      <c r="K3642" t="s">
        <v>431</v>
      </c>
      <c r="L3642" t="s">
        <v>196</v>
      </c>
      <c r="M3642" t="s">
        <v>131</v>
      </c>
      <c r="N3642">
        <v>22</v>
      </c>
      <c r="O3642" s="1">
        <v>39326</v>
      </c>
      <c r="P3642" t="s">
        <v>41</v>
      </c>
      <c r="Q3642" t="s">
        <v>75</v>
      </c>
      <c r="R3642" t="str">
        <f>"7521022"</f>
        <v>7521022</v>
      </c>
      <c r="S3642" t="s">
        <v>445</v>
      </c>
      <c r="T3642" t="s">
        <v>431</v>
      </c>
      <c r="U3642" t="s">
        <v>196</v>
      </c>
      <c r="V3642" t="s">
        <v>131</v>
      </c>
      <c r="W3642" t="s">
        <v>51</v>
      </c>
      <c r="X3642" t="s">
        <v>45</v>
      </c>
      <c r="Y3642" s="1">
        <v>27012</v>
      </c>
      <c r="Z3642">
        <v>1</v>
      </c>
      <c r="AA3642" t="s">
        <v>196</v>
      </c>
      <c r="AB3642" s="40" t="s">
        <v>1799</v>
      </c>
    </row>
    <row r="3643" spans="1:28" x14ac:dyDescent="0.25">
      <c r="A3643">
        <v>99913642</v>
      </c>
      <c r="B3643" t="s">
        <v>56</v>
      </c>
      <c r="C3643" t="s">
        <v>79</v>
      </c>
      <c r="D3643" t="s">
        <v>80</v>
      </c>
      <c r="G3643" t="s">
        <v>35</v>
      </c>
      <c r="H3643">
        <v>1</v>
      </c>
      <c r="K3643" t="s">
        <v>154</v>
      </c>
      <c r="L3643" t="s">
        <v>155</v>
      </c>
      <c r="M3643" t="s">
        <v>131</v>
      </c>
      <c r="N3643">
        <v>22</v>
      </c>
      <c r="P3643" t="s">
        <v>41</v>
      </c>
      <c r="Q3643" t="s">
        <v>75</v>
      </c>
      <c r="R3643" t="str">
        <f>"7700026"</f>
        <v>7700026</v>
      </c>
      <c r="S3643" t="s">
        <v>397</v>
      </c>
      <c r="T3643" t="s">
        <v>154</v>
      </c>
      <c r="U3643" t="s">
        <v>155</v>
      </c>
      <c r="V3643" t="s">
        <v>131</v>
      </c>
      <c r="W3643" t="s">
        <v>51</v>
      </c>
      <c r="X3643" t="s">
        <v>45</v>
      </c>
      <c r="Y3643" s="1">
        <v>27003</v>
      </c>
      <c r="Z3643">
        <v>1</v>
      </c>
      <c r="AA3643" t="s">
        <v>155</v>
      </c>
      <c r="AB3643" s="40" t="s">
        <v>1799</v>
      </c>
    </row>
    <row r="3644" spans="1:28" x14ac:dyDescent="0.25">
      <c r="A3644">
        <v>99913643</v>
      </c>
      <c r="B3644" t="s">
        <v>56</v>
      </c>
      <c r="C3644" t="s">
        <v>111</v>
      </c>
      <c r="D3644" t="s">
        <v>112</v>
      </c>
      <c r="G3644" t="s">
        <v>48</v>
      </c>
      <c r="H3644">
        <v>9</v>
      </c>
      <c r="K3644" t="s">
        <v>354</v>
      </c>
      <c r="L3644" t="s">
        <v>355</v>
      </c>
      <c r="M3644" t="s">
        <v>131</v>
      </c>
      <c r="N3644">
        <v>22</v>
      </c>
      <c r="P3644" t="s">
        <v>41</v>
      </c>
      <c r="Q3644" t="s">
        <v>75</v>
      </c>
      <c r="R3644" t="str">
        <f>"7054022"</f>
        <v>7054022</v>
      </c>
      <c r="S3644" t="s">
        <v>770</v>
      </c>
      <c r="T3644" t="s">
        <v>354</v>
      </c>
      <c r="U3644" t="s">
        <v>355</v>
      </c>
      <c r="V3644" t="s">
        <v>131</v>
      </c>
      <c r="W3644" t="s">
        <v>51</v>
      </c>
      <c r="X3644" t="s">
        <v>45</v>
      </c>
      <c r="Y3644" s="1">
        <v>26983</v>
      </c>
      <c r="Z3644">
        <v>1</v>
      </c>
      <c r="AA3644" t="s">
        <v>355</v>
      </c>
      <c r="AB3644" s="40" t="s">
        <v>1799</v>
      </c>
    </row>
    <row r="3645" spans="1:28" x14ac:dyDescent="0.25">
      <c r="A3645">
        <v>99913644</v>
      </c>
      <c r="B3645" t="s">
        <v>56</v>
      </c>
      <c r="C3645" t="s">
        <v>111</v>
      </c>
      <c r="D3645" t="s">
        <v>112</v>
      </c>
      <c r="G3645" t="s">
        <v>35</v>
      </c>
      <c r="H3645">
        <v>1</v>
      </c>
      <c r="K3645" t="s">
        <v>1502</v>
      </c>
      <c r="L3645" t="s">
        <v>1503</v>
      </c>
      <c r="M3645" t="s">
        <v>670</v>
      </c>
      <c r="N3645">
        <v>22</v>
      </c>
      <c r="P3645" t="s">
        <v>41</v>
      </c>
      <c r="Q3645" t="s">
        <v>75</v>
      </c>
      <c r="R3645" t="str">
        <f>"7171000"</f>
        <v>7171000</v>
      </c>
      <c r="S3645" t="s">
        <v>1506</v>
      </c>
      <c r="T3645" t="s">
        <v>1502</v>
      </c>
      <c r="U3645" t="s">
        <v>1503</v>
      </c>
      <c r="V3645" t="s">
        <v>670</v>
      </c>
      <c r="W3645" t="s">
        <v>51</v>
      </c>
      <c r="X3645" t="s">
        <v>45</v>
      </c>
      <c r="Y3645" s="1">
        <v>26972</v>
      </c>
      <c r="Z3645">
        <v>1</v>
      </c>
      <c r="AA3645" t="s">
        <v>1503</v>
      </c>
      <c r="AB3645" s="40" t="s">
        <v>1799</v>
      </c>
    </row>
    <row r="3646" spans="1:28" x14ac:dyDescent="0.25">
      <c r="A3646">
        <v>99913645</v>
      </c>
      <c r="B3646" t="s">
        <v>56</v>
      </c>
      <c r="C3646" t="s">
        <v>111</v>
      </c>
      <c r="D3646" t="s">
        <v>112</v>
      </c>
      <c r="G3646" t="s">
        <v>35</v>
      </c>
      <c r="H3646">
        <v>1</v>
      </c>
      <c r="K3646" t="s">
        <v>154</v>
      </c>
      <c r="L3646" t="s">
        <v>155</v>
      </c>
      <c r="M3646" t="s">
        <v>131</v>
      </c>
      <c r="N3646">
        <v>22</v>
      </c>
      <c r="P3646" t="s">
        <v>41</v>
      </c>
      <c r="Q3646" t="s">
        <v>75</v>
      </c>
      <c r="R3646" t="str">
        <f>"7700026"</f>
        <v>7700026</v>
      </c>
      <c r="S3646" t="s">
        <v>397</v>
      </c>
      <c r="T3646" t="s">
        <v>154</v>
      </c>
      <c r="U3646" t="s">
        <v>155</v>
      </c>
      <c r="V3646" t="s">
        <v>131</v>
      </c>
      <c r="W3646" t="s">
        <v>51</v>
      </c>
      <c r="X3646" t="s">
        <v>45</v>
      </c>
      <c r="Y3646" s="1">
        <v>26882</v>
      </c>
      <c r="Z3646">
        <v>1</v>
      </c>
      <c r="AA3646" t="s">
        <v>155</v>
      </c>
      <c r="AB3646" s="40" t="s">
        <v>1799</v>
      </c>
    </row>
    <row r="3647" spans="1:28" x14ac:dyDescent="0.25">
      <c r="A3647">
        <v>99913646</v>
      </c>
      <c r="B3647" t="s">
        <v>32</v>
      </c>
      <c r="C3647" t="s">
        <v>90</v>
      </c>
      <c r="D3647" t="s">
        <v>91</v>
      </c>
      <c r="G3647" t="s">
        <v>35</v>
      </c>
      <c r="H3647">
        <v>1</v>
      </c>
      <c r="I3647" t="s">
        <v>701</v>
      </c>
      <c r="J3647" s="1">
        <v>43344</v>
      </c>
      <c r="K3647" t="s">
        <v>268</v>
      </c>
      <c r="L3647" t="s">
        <v>269</v>
      </c>
      <c r="M3647" t="s">
        <v>131</v>
      </c>
      <c r="N3647">
        <v>22</v>
      </c>
      <c r="O3647" s="1">
        <v>43344</v>
      </c>
      <c r="P3647" t="s">
        <v>41</v>
      </c>
      <c r="Q3647" t="s">
        <v>95</v>
      </c>
      <c r="R3647" t="str">
        <f>"7052043"</f>
        <v>7052043</v>
      </c>
      <c r="S3647" t="s">
        <v>651</v>
      </c>
      <c r="T3647" t="s">
        <v>268</v>
      </c>
      <c r="U3647" t="s">
        <v>269</v>
      </c>
      <c r="V3647" t="s">
        <v>131</v>
      </c>
      <c r="W3647" t="s">
        <v>51</v>
      </c>
      <c r="X3647" t="s">
        <v>45</v>
      </c>
      <c r="Y3647" s="1">
        <v>26840</v>
      </c>
      <c r="Z3647">
        <v>1</v>
      </c>
      <c r="AA3647" t="s">
        <v>269</v>
      </c>
      <c r="AB3647" s="40" t="s">
        <v>1799</v>
      </c>
    </row>
    <row r="3648" spans="1:28" x14ac:dyDescent="0.25">
      <c r="A3648">
        <v>99913647</v>
      </c>
      <c r="B3648" t="s">
        <v>32</v>
      </c>
      <c r="C3648" t="s">
        <v>111</v>
      </c>
      <c r="D3648" t="s">
        <v>112</v>
      </c>
      <c r="G3648" t="s">
        <v>35</v>
      </c>
      <c r="H3648">
        <v>1</v>
      </c>
      <c r="K3648" t="s">
        <v>963</v>
      </c>
      <c r="L3648" t="s">
        <v>964</v>
      </c>
      <c r="M3648" t="s">
        <v>938</v>
      </c>
      <c r="N3648">
        <v>22</v>
      </c>
      <c r="P3648" t="s">
        <v>41</v>
      </c>
      <c r="Q3648" t="s">
        <v>75</v>
      </c>
      <c r="R3648" t="str">
        <f>"7061000"</f>
        <v>7061000</v>
      </c>
      <c r="S3648" t="s">
        <v>962</v>
      </c>
      <c r="T3648" t="s">
        <v>963</v>
      </c>
      <c r="U3648" t="s">
        <v>964</v>
      </c>
      <c r="V3648" t="s">
        <v>938</v>
      </c>
      <c r="W3648" t="s">
        <v>165</v>
      </c>
      <c r="X3648" t="s">
        <v>45</v>
      </c>
      <c r="Y3648" s="1">
        <v>26835</v>
      </c>
      <c r="Z3648">
        <v>1</v>
      </c>
      <c r="AA3648" t="s">
        <v>964</v>
      </c>
      <c r="AB3648" s="40" t="s">
        <v>1799</v>
      </c>
    </row>
    <row r="3649" spans="1:28" x14ac:dyDescent="0.25">
      <c r="A3649">
        <v>99913648</v>
      </c>
      <c r="B3649" t="s">
        <v>32</v>
      </c>
      <c r="C3649" t="s">
        <v>79</v>
      </c>
      <c r="D3649" t="s">
        <v>80</v>
      </c>
      <c r="G3649" t="s">
        <v>48</v>
      </c>
      <c r="H3649">
        <v>1</v>
      </c>
      <c r="K3649" t="s">
        <v>667</v>
      </c>
      <c r="L3649" t="s">
        <v>669</v>
      </c>
      <c r="M3649" t="s">
        <v>670</v>
      </c>
      <c r="N3649">
        <v>22</v>
      </c>
      <c r="P3649" t="s">
        <v>41</v>
      </c>
      <c r="Q3649" t="s">
        <v>75</v>
      </c>
      <c r="R3649" t="str">
        <f>"7501000"</f>
        <v>7501000</v>
      </c>
      <c r="S3649" t="s">
        <v>668</v>
      </c>
      <c r="T3649" t="s">
        <v>667</v>
      </c>
      <c r="U3649" t="s">
        <v>669</v>
      </c>
      <c r="V3649" t="s">
        <v>670</v>
      </c>
      <c r="W3649" t="s">
        <v>51</v>
      </c>
      <c r="X3649" t="s">
        <v>45</v>
      </c>
      <c r="Y3649" s="1">
        <v>26752</v>
      </c>
      <c r="Z3649">
        <v>1</v>
      </c>
      <c r="AA3649" t="s">
        <v>669</v>
      </c>
      <c r="AB3649" s="40" t="s">
        <v>1799</v>
      </c>
    </row>
    <row r="3650" spans="1:28" x14ac:dyDescent="0.25">
      <c r="A3650">
        <v>99913649</v>
      </c>
      <c r="B3650" t="s">
        <v>32</v>
      </c>
      <c r="C3650" t="s">
        <v>85</v>
      </c>
      <c r="D3650" t="s">
        <v>86</v>
      </c>
      <c r="G3650" t="s">
        <v>48</v>
      </c>
      <c r="H3650">
        <v>1</v>
      </c>
      <c r="K3650" t="s">
        <v>223</v>
      </c>
      <c r="L3650" t="s">
        <v>224</v>
      </c>
      <c r="M3650" t="s">
        <v>131</v>
      </c>
      <c r="N3650">
        <v>22</v>
      </c>
      <c r="P3650" t="s">
        <v>41</v>
      </c>
      <c r="Q3650" t="s">
        <v>49</v>
      </c>
      <c r="R3650" t="str">
        <f>"0581200"</f>
        <v>0581200</v>
      </c>
      <c r="S3650" t="s">
        <v>238</v>
      </c>
      <c r="T3650" t="s">
        <v>223</v>
      </c>
      <c r="U3650" t="s">
        <v>224</v>
      </c>
      <c r="V3650" t="s">
        <v>131</v>
      </c>
      <c r="W3650" t="s">
        <v>51</v>
      </c>
      <c r="X3650" t="s">
        <v>45</v>
      </c>
      <c r="Y3650" s="1">
        <v>26732</v>
      </c>
      <c r="Z3650">
        <v>2</v>
      </c>
      <c r="AA3650" t="s">
        <v>224</v>
      </c>
      <c r="AB3650" s="40" t="s">
        <v>1799</v>
      </c>
    </row>
    <row r="3651" spans="1:28" x14ac:dyDescent="0.25">
      <c r="A3651">
        <v>99913650</v>
      </c>
      <c r="B3651" t="s">
        <v>32</v>
      </c>
      <c r="C3651" t="s">
        <v>111</v>
      </c>
      <c r="D3651" t="s">
        <v>112</v>
      </c>
      <c r="G3651" t="s">
        <v>48</v>
      </c>
      <c r="H3651">
        <v>10</v>
      </c>
      <c r="J3651" s="1">
        <v>43344</v>
      </c>
      <c r="K3651" t="s">
        <v>354</v>
      </c>
      <c r="L3651" t="s">
        <v>355</v>
      </c>
      <c r="M3651" t="s">
        <v>131</v>
      </c>
      <c r="N3651">
        <v>22</v>
      </c>
      <c r="O3651" s="1">
        <v>43344</v>
      </c>
      <c r="P3651" t="s">
        <v>41</v>
      </c>
      <c r="Q3651" t="s">
        <v>75</v>
      </c>
      <c r="R3651" t="str">
        <f>"7054022"</f>
        <v>7054022</v>
      </c>
      <c r="S3651" t="s">
        <v>770</v>
      </c>
      <c r="T3651" t="s">
        <v>354</v>
      </c>
      <c r="U3651" t="s">
        <v>355</v>
      </c>
      <c r="V3651" t="s">
        <v>131</v>
      </c>
      <c r="W3651" t="s">
        <v>51</v>
      </c>
      <c r="X3651" t="s">
        <v>45</v>
      </c>
      <c r="Y3651" s="1">
        <v>26732</v>
      </c>
      <c r="Z3651">
        <v>1</v>
      </c>
      <c r="AA3651" t="s">
        <v>355</v>
      </c>
      <c r="AB3651" s="40" t="s">
        <v>1799</v>
      </c>
    </row>
    <row r="3652" spans="1:28" x14ac:dyDescent="0.25">
      <c r="A3652">
        <v>99913651</v>
      </c>
      <c r="B3652" t="s">
        <v>32</v>
      </c>
      <c r="C3652" t="s">
        <v>111</v>
      </c>
      <c r="D3652" t="s">
        <v>112</v>
      </c>
      <c r="G3652" t="s">
        <v>48</v>
      </c>
      <c r="H3652">
        <v>1</v>
      </c>
      <c r="K3652" t="s">
        <v>268</v>
      </c>
      <c r="L3652" t="s">
        <v>269</v>
      </c>
      <c r="M3652" t="s">
        <v>131</v>
      </c>
      <c r="N3652">
        <v>22</v>
      </c>
      <c r="P3652" t="s">
        <v>41</v>
      </c>
      <c r="Q3652" t="s">
        <v>75</v>
      </c>
      <c r="R3652" t="str">
        <f>"7052008"</f>
        <v>7052008</v>
      </c>
      <c r="S3652" t="s">
        <v>274</v>
      </c>
      <c r="T3652" t="s">
        <v>268</v>
      </c>
      <c r="U3652" t="s">
        <v>269</v>
      </c>
      <c r="V3652" t="s">
        <v>131</v>
      </c>
      <c r="W3652" t="s">
        <v>51</v>
      </c>
      <c r="X3652" t="s">
        <v>45</v>
      </c>
      <c r="Y3652" s="1">
        <v>26676</v>
      </c>
      <c r="Z3652">
        <v>1</v>
      </c>
      <c r="AA3652" t="s">
        <v>269</v>
      </c>
      <c r="AB3652" s="40" t="s">
        <v>1799</v>
      </c>
    </row>
    <row r="3653" spans="1:28" x14ac:dyDescent="0.25">
      <c r="A3653">
        <v>99913652</v>
      </c>
      <c r="B3653" t="s">
        <v>32</v>
      </c>
      <c r="C3653" t="s">
        <v>111</v>
      </c>
      <c r="D3653" t="s">
        <v>112</v>
      </c>
      <c r="G3653" t="s">
        <v>48</v>
      </c>
      <c r="H3653">
        <v>10</v>
      </c>
      <c r="I3653" t="s">
        <v>446</v>
      </c>
      <c r="J3653" s="1">
        <v>42248</v>
      </c>
      <c r="K3653" t="s">
        <v>431</v>
      </c>
      <c r="L3653" t="s">
        <v>196</v>
      </c>
      <c r="M3653" t="s">
        <v>131</v>
      </c>
      <c r="N3653">
        <v>22</v>
      </c>
      <c r="O3653" s="1">
        <v>42248</v>
      </c>
      <c r="P3653" t="s">
        <v>41</v>
      </c>
      <c r="Q3653" t="s">
        <v>75</v>
      </c>
      <c r="R3653" t="str">
        <f>"7521012"</f>
        <v>7521012</v>
      </c>
      <c r="S3653" t="s">
        <v>432</v>
      </c>
      <c r="T3653" t="s">
        <v>431</v>
      </c>
      <c r="U3653" t="s">
        <v>196</v>
      </c>
      <c r="V3653" t="s">
        <v>131</v>
      </c>
      <c r="W3653" t="s">
        <v>165</v>
      </c>
      <c r="X3653" t="s">
        <v>45</v>
      </c>
      <c r="Y3653" s="1">
        <v>26634</v>
      </c>
      <c r="Z3653">
        <v>1</v>
      </c>
      <c r="AA3653" t="s">
        <v>196</v>
      </c>
      <c r="AB3653" s="40" t="s">
        <v>1799</v>
      </c>
    </row>
    <row r="3654" spans="1:28" x14ac:dyDescent="0.25">
      <c r="A3654">
        <v>99913653</v>
      </c>
      <c r="B3654" t="s">
        <v>32</v>
      </c>
      <c r="C3654" t="s">
        <v>111</v>
      </c>
      <c r="D3654" t="s">
        <v>112</v>
      </c>
      <c r="G3654" t="s">
        <v>48</v>
      </c>
      <c r="H3654">
        <v>1</v>
      </c>
      <c r="K3654" t="s">
        <v>354</v>
      </c>
      <c r="L3654" t="s">
        <v>355</v>
      </c>
      <c r="M3654" t="s">
        <v>131</v>
      </c>
      <c r="N3654">
        <v>22</v>
      </c>
      <c r="P3654" t="s">
        <v>41</v>
      </c>
      <c r="Q3654" t="s">
        <v>75</v>
      </c>
      <c r="R3654" t="str">
        <f>"7054022"</f>
        <v>7054022</v>
      </c>
      <c r="S3654" t="s">
        <v>770</v>
      </c>
      <c r="T3654" t="s">
        <v>354</v>
      </c>
      <c r="U3654" t="s">
        <v>355</v>
      </c>
      <c r="V3654" t="s">
        <v>131</v>
      </c>
      <c r="W3654" t="s">
        <v>51</v>
      </c>
      <c r="X3654" t="s">
        <v>45</v>
      </c>
      <c r="Y3654" s="1">
        <v>26616</v>
      </c>
      <c r="Z3654">
        <v>1</v>
      </c>
      <c r="AA3654" t="s">
        <v>355</v>
      </c>
      <c r="AB3654" s="40" t="s">
        <v>1799</v>
      </c>
    </row>
    <row r="3655" spans="1:28" x14ac:dyDescent="0.25">
      <c r="A3655">
        <v>99913654</v>
      </c>
      <c r="B3655" t="s">
        <v>32</v>
      </c>
      <c r="C3655" t="s">
        <v>64</v>
      </c>
      <c r="D3655" t="s">
        <v>65</v>
      </c>
      <c r="G3655" t="s">
        <v>48</v>
      </c>
      <c r="H3655">
        <v>1</v>
      </c>
      <c r="K3655" t="s">
        <v>354</v>
      </c>
      <c r="L3655" t="s">
        <v>355</v>
      </c>
      <c r="M3655" t="s">
        <v>131</v>
      </c>
      <c r="N3655">
        <v>22</v>
      </c>
      <c r="P3655" t="s">
        <v>41</v>
      </c>
      <c r="Q3655" t="s">
        <v>75</v>
      </c>
      <c r="R3655" t="str">
        <f>"7054022"</f>
        <v>7054022</v>
      </c>
      <c r="S3655" t="s">
        <v>770</v>
      </c>
      <c r="T3655" t="s">
        <v>354</v>
      </c>
      <c r="U3655" t="s">
        <v>355</v>
      </c>
      <c r="V3655" t="s">
        <v>131</v>
      </c>
      <c r="W3655" t="s">
        <v>51</v>
      </c>
      <c r="X3655" t="s">
        <v>45</v>
      </c>
      <c r="Y3655" s="1">
        <v>26581</v>
      </c>
      <c r="Z3655">
        <v>1</v>
      </c>
      <c r="AA3655" t="s">
        <v>355</v>
      </c>
      <c r="AB3655" s="40" t="s">
        <v>1799</v>
      </c>
    </row>
    <row r="3656" spans="1:28" x14ac:dyDescent="0.25">
      <c r="A3656">
        <v>99913655</v>
      </c>
      <c r="B3656" t="s">
        <v>32</v>
      </c>
      <c r="C3656" t="s">
        <v>46</v>
      </c>
      <c r="D3656" t="s">
        <v>47</v>
      </c>
      <c r="G3656" t="s">
        <v>35</v>
      </c>
      <c r="H3656">
        <v>1</v>
      </c>
      <c r="K3656" t="s">
        <v>300</v>
      </c>
      <c r="L3656" t="s">
        <v>301</v>
      </c>
      <c r="M3656" t="s">
        <v>131</v>
      </c>
      <c r="N3656">
        <v>22</v>
      </c>
      <c r="P3656" t="s">
        <v>41</v>
      </c>
      <c r="Q3656" t="s">
        <v>42</v>
      </c>
      <c r="R3656" t="str">
        <f>"0580457"</f>
        <v>0580457</v>
      </c>
      <c r="S3656" t="s">
        <v>310</v>
      </c>
      <c r="T3656" t="s">
        <v>300</v>
      </c>
      <c r="U3656" t="s">
        <v>301</v>
      </c>
      <c r="V3656" t="s">
        <v>131</v>
      </c>
      <c r="W3656" t="s">
        <v>51</v>
      </c>
      <c r="X3656" t="s">
        <v>45</v>
      </c>
      <c r="Y3656" s="1">
        <v>26571</v>
      </c>
      <c r="Z3656">
        <v>2</v>
      </c>
      <c r="AA3656" t="s">
        <v>301</v>
      </c>
      <c r="AB3656" s="40" t="s">
        <v>1799</v>
      </c>
    </row>
    <row r="3657" spans="1:28" x14ac:dyDescent="0.25">
      <c r="A3657">
        <v>99913656</v>
      </c>
      <c r="B3657" t="s">
        <v>32</v>
      </c>
      <c r="C3657" t="s">
        <v>111</v>
      </c>
      <c r="D3657" t="s">
        <v>112</v>
      </c>
      <c r="G3657" t="s">
        <v>48</v>
      </c>
      <c r="H3657">
        <v>1</v>
      </c>
      <c r="K3657" t="s">
        <v>431</v>
      </c>
      <c r="L3657" t="s">
        <v>196</v>
      </c>
      <c r="M3657" t="s">
        <v>131</v>
      </c>
      <c r="N3657">
        <v>22</v>
      </c>
      <c r="P3657" t="s">
        <v>41</v>
      </c>
      <c r="Q3657" t="s">
        <v>75</v>
      </c>
      <c r="R3657" t="str">
        <f>"7521016"</f>
        <v>7521016</v>
      </c>
      <c r="S3657" t="s">
        <v>448</v>
      </c>
      <c r="T3657" t="s">
        <v>431</v>
      </c>
      <c r="U3657" t="s">
        <v>196</v>
      </c>
      <c r="V3657" t="s">
        <v>131</v>
      </c>
      <c r="W3657" t="s">
        <v>51</v>
      </c>
      <c r="X3657" t="s">
        <v>45</v>
      </c>
      <c r="Y3657" s="1">
        <v>26569</v>
      </c>
      <c r="Z3657">
        <v>1</v>
      </c>
      <c r="AA3657" t="s">
        <v>196</v>
      </c>
      <c r="AB3657" s="40" t="s">
        <v>1799</v>
      </c>
    </row>
    <row r="3658" spans="1:28" x14ac:dyDescent="0.25">
      <c r="A3658">
        <v>99913657</v>
      </c>
      <c r="B3658" t="s">
        <v>32</v>
      </c>
      <c r="C3658" t="s">
        <v>64</v>
      </c>
      <c r="D3658" t="s">
        <v>65</v>
      </c>
      <c r="G3658" t="s">
        <v>35</v>
      </c>
      <c r="H3658">
        <v>11</v>
      </c>
      <c r="K3658" t="s">
        <v>268</v>
      </c>
      <c r="L3658" t="s">
        <v>269</v>
      </c>
      <c r="M3658" t="s">
        <v>131</v>
      </c>
      <c r="N3658">
        <v>22</v>
      </c>
      <c r="P3658" t="s">
        <v>41</v>
      </c>
      <c r="Q3658" t="s">
        <v>75</v>
      </c>
      <c r="R3658" t="str">
        <f>"7052004"</f>
        <v>7052004</v>
      </c>
      <c r="S3658" t="s">
        <v>584</v>
      </c>
      <c r="T3658" t="s">
        <v>268</v>
      </c>
      <c r="U3658" t="s">
        <v>269</v>
      </c>
      <c r="V3658" t="s">
        <v>131</v>
      </c>
      <c r="W3658" t="s">
        <v>51</v>
      </c>
      <c r="X3658" t="s">
        <v>45</v>
      </c>
      <c r="Y3658" s="1">
        <v>26558</v>
      </c>
      <c r="Z3658">
        <v>1</v>
      </c>
      <c r="AA3658" t="s">
        <v>269</v>
      </c>
      <c r="AB3658" s="40" t="s">
        <v>1799</v>
      </c>
    </row>
    <row r="3659" spans="1:28" x14ac:dyDescent="0.25">
      <c r="A3659">
        <v>99913658</v>
      </c>
      <c r="B3659" t="s">
        <v>32</v>
      </c>
      <c r="C3659" t="s">
        <v>79</v>
      </c>
      <c r="D3659" t="s">
        <v>80</v>
      </c>
      <c r="G3659" t="s">
        <v>35</v>
      </c>
      <c r="H3659">
        <v>8</v>
      </c>
      <c r="K3659" t="s">
        <v>268</v>
      </c>
      <c r="L3659" t="s">
        <v>269</v>
      </c>
      <c r="M3659" t="s">
        <v>131</v>
      </c>
      <c r="N3659">
        <v>22</v>
      </c>
      <c r="P3659" t="s">
        <v>41</v>
      </c>
      <c r="Q3659" t="s">
        <v>75</v>
      </c>
      <c r="R3659" t="str">
        <f>"7052004"</f>
        <v>7052004</v>
      </c>
      <c r="S3659" t="s">
        <v>584</v>
      </c>
      <c r="T3659" t="s">
        <v>268</v>
      </c>
      <c r="U3659" t="s">
        <v>269</v>
      </c>
      <c r="V3659" t="s">
        <v>131</v>
      </c>
      <c r="W3659" t="s">
        <v>51</v>
      </c>
      <c r="X3659" t="s">
        <v>45</v>
      </c>
      <c r="Y3659" s="1">
        <v>26529</v>
      </c>
      <c r="Z3659">
        <v>1</v>
      </c>
      <c r="AA3659" t="s">
        <v>269</v>
      </c>
      <c r="AB3659" s="40" t="s">
        <v>1799</v>
      </c>
    </row>
    <row r="3660" spans="1:28" x14ac:dyDescent="0.25">
      <c r="A3660">
        <v>99913659</v>
      </c>
      <c r="B3660" t="s">
        <v>32</v>
      </c>
      <c r="C3660" t="s">
        <v>111</v>
      </c>
      <c r="D3660" t="s">
        <v>112</v>
      </c>
      <c r="G3660" t="s">
        <v>48</v>
      </c>
      <c r="H3660">
        <v>1</v>
      </c>
      <c r="K3660" t="s">
        <v>268</v>
      </c>
      <c r="L3660" t="s">
        <v>269</v>
      </c>
      <c r="M3660" t="s">
        <v>131</v>
      </c>
      <c r="N3660">
        <v>22</v>
      </c>
      <c r="P3660" t="s">
        <v>41</v>
      </c>
      <c r="Q3660" t="s">
        <v>75</v>
      </c>
      <c r="R3660" t="str">
        <f>"7052016"</f>
        <v>7052016</v>
      </c>
      <c r="S3660" t="s">
        <v>588</v>
      </c>
      <c r="T3660" t="s">
        <v>268</v>
      </c>
      <c r="U3660" t="s">
        <v>269</v>
      </c>
      <c r="V3660" t="s">
        <v>131</v>
      </c>
      <c r="W3660" t="s">
        <v>51</v>
      </c>
      <c r="X3660" t="s">
        <v>45</v>
      </c>
      <c r="Y3660" s="1">
        <v>26528</v>
      </c>
      <c r="Z3660">
        <v>1</v>
      </c>
      <c r="AA3660" t="s">
        <v>269</v>
      </c>
      <c r="AB3660" s="40" t="s">
        <v>1799</v>
      </c>
    </row>
    <row r="3661" spans="1:28" x14ac:dyDescent="0.25">
      <c r="A3661">
        <v>99913660</v>
      </c>
      <c r="B3661" t="s">
        <v>32</v>
      </c>
      <c r="C3661" t="s">
        <v>64</v>
      </c>
      <c r="D3661" t="s">
        <v>65</v>
      </c>
      <c r="G3661" t="s">
        <v>35</v>
      </c>
      <c r="H3661">
        <v>1</v>
      </c>
      <c r="K3661" t="s">
        <v>354</v>
      </c>
      <c r="L3661" t="s">
        <v>355</v>
      </c>
      <c r="M3661" t="s">
        <v>131</v>
      </c>
      <c r="N3661">
        <v>22</v>
      </c>
      <c r="P3661" t="s">
        <v>41</v>
      </c>
      <c r="Q3661" t="s">
        <v>75</v>
      </c>
      <c r="R3661" t="str">
        <f>"7054020"</f>
        <v>7054020</v>
      </c>
      <c r="S3661" t="s">
        <v>765</v>
      </c>
      <c r="T3661" t="s">
        <v>354</v>
      </c>
      <c r="U3661" t="s">
        <v>355</v>
      </c>
      <c r="V3661" t="s">
        <v>131</v>
      </c>
      <c r="W3661" t="s">
        <v>51</v>
      </c>
      <c r="X3661" t="s">
        <v>45</v>
      </c>
      <c r="Y3661" s="1">
        <v>26508</v>
      </c>
      <c r="Z3661">
        <v>1</v>
      </c>
      <c r="AA3661" t="s">
        <v>355</v>
      </c>
      <c r="AB3661" s="40" t="s">
        <v>1799</v>
      </c>
    </row>
    <row r="3662" spans="1:28" x14ac:dyDescent="0.25">
      <c r="A3662">
        <v>99913661</v>
      </c>
      <c r="B3662" t="s">
        <v>32</v>
      </c>
      <c r="C3662" t="s">
        <v>90</v>
      </c>
      <c r="D3662" t="s">
        <v>91</v>
      </c>
      <c r="G3662" t="s">
        <v>48</v>
      </c>
      <c r="H3662">
        <v>1</v>
      </c>
      <c r="K3662" t="s">
        <v>268</v>
      </c>
      <c r="L3662" t="s">
        <v>269</v>
      </c>
      <c r="M3662" t="s">
        <v>131</v>
      </c>
      <c r="N3662">
        <v>22</v>
      </c>
      <c r="P3662" t="s">
        <v>41</v>
      </c>
      <c r="Q3662" t="s">
        <v>95</v>
      </c>
      <c r="R3662" t="str">
        <f>"7052001"</f>
        <v>7052001</v>
      </c>
      <c r="S3662" t="s">
        <v>576</v>
      </c>
      <c r="T3662" t="s">
        <v>268</v>
      </c>
      <c r="U3662" t="s">
        <v>269</v>
      </c>
      <c r="V3662" t="s">
        <v>131</v>
      </c>
      <c r="W3662" t="s">
        <v>51</v>
      </c>
      <c r="X3662" t="s">
        <v>45</v>
      </c>
      <c r="Y3662" s="1">
        <v>26461</v>
      </c>
      <c r="Z3662">
        <v>1</v>
      </c>
      <c r="AA3662" t="s">
        <v>269</v>
      </c>
      <c r="AB3662" s="40" t="s">
        <v>1799</v>
      </c>
    </row>
    <row r="3663" spans="1:28" x14ac:dyDescent="0.25">
      <c r="A3663">
        <v>99913662</v>
      </c>
      <c r="B3663" t="s">
        <v>32</v>
      </c>
      <c r="C3663" t="s">
        <v>79</v>
      </c>
      <c r="D3663" t="s">
        <v>80</v>
      </c>
      <c r="G3663" t="s">
        <v>48</v>
      </c>
      <c r="H3663">
        <v>1</v>
      </c>
      <c r="K3663" t="s">
        <v>431</v>
      </c>
      <c r="L3663" t="s">
        <v>196</v>
      </c>
      <c r="M3663" t="s">
        <v>131</v>
      </c>
      <c r="N3663">
        <v>22</v>
      </c>
      <c r="P3663" t="s">
        <v>41</v>
      </c>
      <c r="Q3663" t="s">
        <v>75</v>
      </c>
      <c r="R3663" t="str">
        <f>"7521016"</f>
        <v>7521016</v>
      </c>
      <c r="S3663" t="s">
        <v>448</v>
      </c>
      <c r="T3663" t="s">
        <v>431</v>
      </c>
      <c r="U3663" t="s">
        <v>196</v>
      </c>
      <c r="V3663" t="s">
        <v>131</v>
      </c>
      <c r="W3663" t="s">
        <v>51</v>
      </c>
      <c r="X3663" t="s">
        <v>45</v>
      </c>
      <c r="Y3663" s="1">
        <v>26455</v>
      </c>
      <c r="Z3663">
        <v>1</v>
      </c>
      <c r="AA3663" t="s">
        <v>196</v>
      </c>
      <c r="AB3663" s="40" t="s">
        <v>1799</v>
      </c>
    </row>
    <row r="3664" spans="1:28" x14ac:dyDescent="0.25">
      <c r="A3664">
        <v>99913663</v>
      </c>
      <c r="B3664" t="s">
        <v>56</v>
      </c>
      <c r="C3664" t="s">
        <v>111</v>
      </c>
      <c r="D3664" t="s">
        <v>112</v>
      </c>
      <c r="G3664" t="s">
        <v>48</v>
      </c>
      <c r="H3664">
        <v>9</v>
      </c>
      <c r="J3664" s="1">
        <v>43344</v>
      </c>
      <c r="K3664" t="s">
        <v>354</v>
      </c>
      <c r="L3664" t="s">
        <v>355</v>
      </c>
      <c r="M3664" t="s">
        <v>131</v>
      </c>
      <c r="N3664">
        <v>22</v>
      </c>
      <c r="O3664" s="1">
        <v>43344</v>
      </c>
      <c r="P3664" t="s">
        <v>41</v>
      </c>
      <c r="Q3664" t="s">
        <v>75</v>
      </c>
      <c r="R3664" t="str">
        <f>"7054022"</f>
        <v>7054022</v>
      </c>
      <c r="S3664" t="s">
        <v>770</v>
      </c>
      <c r="T3664" t="s">
        <v>354</v>
      </c>
      <c r="U3664" t="s">
        <v>355</v>
      </c>
      <c r="V3664" t="s">
        <v>131</v>
      </c>
      <c r="W3664" t="s">
        <v>51</v>
      </c>
      <c r="X3664" t="s">
        <v>45</v>
      </c>
      <c r="Y3664" s="1">
        <v>26450</v>
      </c>
      <c r="Z3664">
        <v>1</v>
      </c>
      <c r="AA3664" t="s">
        <v>355</v>
      </c>
      <c r="AB3664" s="40" t="s">
        <v>1799</v>
      </c>
    </row>
    <row r="3665" spans="1:28" x14ac:dyDescent="0.25">
      <c r="A3665">
        <v>99913664</v>
      </c>
      <c r="B3665" t="s">
        <v>32</v>
      </c>
      <c r="C3665" t="s">
        <v>139</v>
      </c>
      <c r="D3665" t="s">
        <v>140</v>
      </c>
      <c r="G3665" t="s">
        <v>48</v>
      </c>
      <c r="H3665">
        <v>7</v>
      </c>
      <c r="K3665" t="s">
        <v>1426</v>
      </c>
      <c r="L3665" t="s">
        <v>1427</v>
      </c>
      <c r="M3665" t="s">
        <v>1270</v>
      </c>
      <c r="N3665">
        <v>22</v>
      </c>
      <c r="P3665" t="s">
        <v>41</v>
      </c>
      <c r="Q3665" t="s">
        <v>75</v>
      </c>
      <c r="R3665" t="str">
        <f>"7192000"</f>
        <v>7192000</v>
      </c>
      <c r="S3665" t="s">
        <v>1429</v>
      </c>
      <c r="T3665" t="s">
        <v>1426</v>
      </c>
      <c r="U3665" t="s">
        <v>1427</v>
      </c>
      <c r="V3665" t="s">
        <v>1270</v>
      </c>
      <c r="W3665" t="s">
        <v>51</v>
      </c>
      <c r="X3665" t="s">
        <v>45</v>
      </c>
      <c r="Y3665" s="1">
        <v>26448</v>
      </c>
      <c r="Z3665">
        <v>1</v>
      </c>
      <c r="AA3665" t="s">
        <v>1427</v>
      </c>
      <c r="AB3665" s="40" t="s">
        <v>1799</v>
      </c>
    </row>
    <row r="3666" spans="1:28" x14ac:dyDescent="0.25">
      <c r="A3666">
        <v>99913665</v>
      </c>
      <c r="B3666" t="s">
        <v>56</v>
      </c>
      <c r="C3666" t="s">
        <v>111</v>
      </c>
      <c r="D3666" t="s">
        <v>112</v>
      </c>
      <c r="G3666" t="s">
        <v>48</v>
      </c>
      <c r="H3666">
        <v>9</v>
      </c>
      <c r="J3666" s="1">
        <v>43344</v>
      </c>
      <c r="K3666" t="s">
        <v>354</v>
      </c>
      <c r="L3666" t="s">
        <v>355</v>
      </c>
      <c r="M3666" t="s">
        <v>131</v>
      </c>
      <c r="N3666">
        <v>22</v>
      </c>
      <c r="O3666" s="1">
        <v>43344</v>
      </c>
      <c r="P3666" t="s">
        <v>41</v>
      </c>
      <c r="Q3666" t="s">
        <v>75</v>
      </c>
      <c r="R3666" t="str">
        <f>"7054022"</f>
        <v>7054022</v>
      </c>
      <c r="S3666" t="s">
        <v>770</v>
      </c>
      <c r="T3666" t="s">
        <v>354</v>
      </c>
      <c r="U3666" t="s">
        <v>355</v>
      </c>
      <c r="V3666" t="s">
        <v>131</v>
      </c>
      <c r="W3666" t="s">
        <v>51</v>
      </c>
      <c r="X3666" t="s">
        <v>45</v>
      </c>
      <c r="Y3666" s="1">
        <v>26371</v>
      </c>
      <c r="Z3666">
        <v>1</v>
      </c>
      <c r="AA3666" t="s">
        <v>355</v>
      </c>
      <c r="AB3666" s="40" t="s">
        <v>1799</v>
      </c>
    </row>
    <row r="3667" spans="1:28" x14ac:dyDescent="0.25">
      <c r="A3667">
        <v>99913666</v>
      </c>
      <c r="B3667" t="s">
        <v>32</v>
      </c>
      <c r="C3667" t="s">
        <v>139</v>
      </c>
      <c r="D3667" t="s">
        <v>140</v>
      </c>
      <c r="G3667" t="s">
        <v>35</v>
      </c>
      <c r="H3667">
        <v>1</v>
      </c>
      <c r="K3667" t="s">
        <v>354</v>
      </c>
      <c r="L3667" t="s">
        <v>355</v>
      </c>
      <c r="M3667" t="s">
        <v>131</v>
      </c>
      <c r="N3667">
        <v>22</v>
      </c>
      <c r="P3667" t="s">
        <v>41</v>
      </c>
      <c r="Q3667" t="s">
        <v>75</v>
      </c>
      <c r="R3667" t="str">
        <f>"7054020"</f>
        <v>7054020</v>
      </c>
      <c r="S3667" t="s">
        <v>765</v>
      </c>
      <c r="T3667" t="s">
        <v>354</v>
      </c>
      <c r="U3667" t="s">
        <v>355</v>
      </c>
      <c r="V3667" t="s">
        <v>131</v>
      </c>
      <c r="W3667" t="s">
        <v>51</v>
      </c>
      <c r="X3667" t="s">
        <v>45</v>
      </c>
      <c r="Y3667" s="1">
        <v>26365</v>
      </c>
      <c r="Z3667">
        <v>1</v>
      </c>
      <c r="AA3667" t="s">
        <v>355</v>
      </c>
      <c r="AB3667" s="40" t="s">
        <v>1799</v>
      </c>
    </row>
    <row r="3668" spans="1:28" x14ac:dyDescent="0.25">
      <c r="A3668">
        <v>99913667</v>
      </c>
      <c r="B3668" t="s">
        <v>56</v>
      </c>
      <c r="C3668" t="s">
        <v>111</v>
      </c>
      <c r="D3668" t="s">
        <v>112</v>
      </c>
      <c r="G3668" t="s">
        <v>48</v>
      </c>
      <c r="H3668">
        <v>9</v>
      </c>
      <c r="K3668" t="s">
        <v>354</v>
      </c>
      <c r="L3668" t="s">
        <v>355</v>
      </c>
      <c r="M3668" t="s">
        <v>131</v>
      </c>
      <c r="N3668">
        <v>22</v>
      </c>
      <c r="P3668" t="s">
        <v>41</v>
      </c>
      <c r="Q3668" t="s">
        <v>75</v>
      </c>
      <c r="R3668" t="str">
        <f>"7054032"</f>
        <v>7054032</v>
      </c>
      <c r="S3668" t="s">
        <v>767</v>
      </c>
      <c r="T3668" t="s">
        <v>354</v>
      </c>
      <c r="U3668" t="s">
        <v>355</v>
      </c>
      <c r="V3668" t="s">
        <v>131</v>
      </c>
      <c r="W3668" t="s">
        <v>51</v>
      </c>
      <c r="X3668" t="s">
        <v>45</v>
      </c>
      <c r="Y3668" s="1">
        <v>26360</v>
      </c>
      <c r="Z3668">
        <v>1</v>
      </c>
      <c r="AA3668" t="s">
        <v>355</v>
      </c>
      <c r="AB3668" s="40" t="s">
        <v>1799</v>
      </c>
    </row>
    <row r="3669" spans="1:28" x14ac:dyDescent="0.25">
      <c r="A3669">
        <v>99913668</v>
      </c>
      <c r="B3669" t="s">
        <v>32</v>
      </c>
      <c r="C3669" t="s">
        <v>111</v>
      </c>
      <c r="D3669" t="s">
        <v>112</v>
      </c>
      <c r="G3669" t="s">
        <v>48</v>
      </c>
      <c r="H3669">
        <v>9</v>
      </c>
      <c r="I3669" t="s">
        <v>560</v>
      </c>
      <c r="J3669" s="1">
        <v>38596</v>
      </c>
      <c r="K3669" t="s">
        <v>431</v>
      </c>
      <c r="L3669" t="s">
        <v>196</v>
      </c>
      <c r="M3669" t="s">
        <v>131</v>
      </c>
      <c r="N3669">
        <v>22</v>
      </c>
      <c r="O3669" s="1">
        <v>38596</v>
      </c>
      <c r="P3669" t="s">
        <v>41</v>
      </c>
      <c r="Q3669" t="s">
        <v>75</v>
      </c>
      <c r="R3669" t="str">
        <f>"7521022"</f>
        <v>7521022</v>
      </c>
      <c r="S3669" t="s">
        <v>445</v>
      </c>
      <c r="T3669" t="s">
        <v>431</v>
      </c>
      <c r="U3669" t="s">
        <v>196</v>
      </c>
      <c r="V3669" t="s">
        <v>131</v>
      </c>
      <c r="W3669" t="s">
        <v>51</v>
      </c>
      <c r="X3669" t="s">
        <v>45</v>
      </c>
      <c r="Y3669" s="1">
        <v>26325</v>
      </c>
      <c r="Z3669">
        <v>1</v>
      </c>
      <c r="AA3669" t="s">
        <v>196</v>
      </c>
      <c r="AB3669" s="40" t="s">
        <v>1799</v>
      </c>
    </row>
    <row r="3670" spans="1:28" x14ac:dyDescent="0.25">
      <c r="A3670">
        <v>99913669</v>
      </c>
      <c r="B3670" t="s">
        <v>32</v>
      </c>
      <c r="C3670" t="s">
        <v>46</v>
      </c>
      <c r="D3670" t="s">
        <v>47</v>
      </c>
      <c r="G3670" t="s">
        <v>48</v>
      </c>
      <c r="H3670">
        <v>1</v>
      </c>
      <c r="K3670" t="s">
        <v>157</v>
      </c>
      <c r="L3670" t="s">
        <v>158</v>
      </c>
      <c r="M3670" t="s">
        <v>131</v>
      </c>
      <c r="N3670">
        <v>22</v>
      </c>
      <c r="P3670" t="s">
        <v>41</v>
      </c>
      <c r="Q3670" t="s">
        <v>49</v>
      </c>
      <c r="R3670" t="str">
        <f>"0560019"</f>
        <v>0560019</v>
      </c>
      <c r="S3670" t="s">
        <v>166</v>
      </c>
      <c r="T3670" t="s">
        <v>157</v>
      </c>
      <c r="U3670" t="s">
        <v>158</v>
      </c>
      <c r="V3670" t="s">
        <v>131</v>
      </c>
      <c r="W3670" t="s">
        <v>51</v>
      </c>
      <c r="X3670" t="s">
        <v>45</v>
      </c>
      <c r="Y3670" s="1">
        <v>26299</v>
      </c>
      <c r="Z3670">
        <v>2</v>
      </c>
      <c r="AA3670" t="s">
        <v>158</v>
      </c>
      <c r="AB3670" s="40" t="s">
        <v>1799</v>
      </c>
    </row>
    <row r="3671" spans="1:28" x14ac:dyDescent="0.25">
      <c r="A3671">
        <v>99913670</v>
      </c>
      <c r="B3671" t="s">
        <v>32</v>
      </c>
      <c r="C3671" t="s">
        <v>111</v>
      </c>
      <c r="D3671" t="s">
        <v>112</v>
      </c>
      <c r="G3671" t="s">
        <v>48</v>
      </c>
      <c r="H3671">
        <v>10</v>
      </c>
      <c r="J3671" s="1">
        <v>43344</v>
      </c>
      <c r="K3671" t="s">
        <v>354</v>
      </c>
      <c r="L3671" t="s">
        <v>355</v>
      </c>
      <c r="M3671" t="s">
        <v>131</v>
      </c>
      <c r="N3671">
        <v>22</v>
      </c>
      <c r="O3671" s="1">
        <v>43344</v>
      </c>
      <c r="P3671" t="s">
        <v>41</v>
      </c>
      <c r="Q3671" t="s">
        <v>75</v>
      </c>
      <c r="R3671" t="str">
        <f>"7054020"</f>
        <v>7054020</v>
      </c>
      <c r="S3671" t="s">
        <v>765</v>
      </c>
      <c r="T3671" t="s">
        <v>354</v>
      </c>
      <c r="U3671" t="s">
        <v>355</v>
      </c>
      <c r="V3671" t="s">
        <v>131</v>
      </c>
      <c r="W3671" t="s">
        <v>51</v>
      </c>
      <c r="X3671" t="s">
        <v>45</v>
      </c>
      <c r="Y3671" s="1">
        <v>26273</v>
      </c>
      <c r="Z3671">
        <v>1</v>
      </c>
      <c r="AA3671" t="s">
        <v>355</v>
      </c>
      <c r="AB3671" s="40" t="s">
        <v>1799</v>
      </c>
    </row>
    <row r="3672" spans="1:28" x14ac:dyDescent="0.25">
      <c r="A3672">
        <v>99913671</v>
      </c>
      <c r="B3672" t="s">
        <v>32</v>
      </c>
      <c r="C3672" t="s">
        <v>111</v>
      </c>
      <c r="D3672" t="s">
        <v>112</v>
      </c>
      <c r="G3672" t="s">
        <v>35</v>
      </c>
      <c r="H3672">
        <v>1</v>
      </c>
      <c r="K3672" t="s">
        <v>963</v>
      </c>
      <c r="L3672" t="s">
        <v>964</v>
      </c>
      <c r="M3672" t="s">
        <v>938</v>
      </c>
      <c r="N3672">
        <v>22</v>
      </c>
      <c r="P3672" t="s">
        <v>41</v>
      </c>
      <c r="Q3672" t="s">
        <v>75</v>
      </c>
      <c r="R3672" t="str">
        <f>"7061000"</f>
        <v>7061000</v>
      </c>
      <c r="S3672" t="s">
        <v>962</v>
      </c>
      <c r="T3672" t="s">
        <v>963</v>
      </c>
      <c r="U3672" t="s">
        <v>964</v>
      </c>
      <c r="V3672" t="s">
        <v>938</v>
      </c>
      <c r="W3672" t="s">
        <v>165</v>
      </c>
      <c r="X3672" t="s">
        <v>45</v>
      </c>
      <c r="Y3672" s="1">
        <v>26243</v>
      </c>
      <c r="Z3672">
        <v>1</v>
      </c>
      <c r="AA3672" t="s">
        <v>964</v>
      </c>
      <c r="AB3672" s="40" t="s">
        <v>1799</v>
      </c>
    </row>
    <row r="3673" spans="1:28" x14ac:dyDescent="0.25">
      <c r="A3673">
        <v>99913672</v>
      </c>
      <c r="B3673" t="s">
        <v>56</v>
      </c>
      <c r="C3673" t="s">
        <v>111</v>
      </c>
      <c r="D3673" t="s">
        <v>112</v>
      </c>
      <c r="G3673" t="s">
        <v>48</v>
      </c>
      <c r="H3673">
        <v>7</v>
      </c>
      <c r="I3673">
        <v>1166</v>
      </c>
      <c r="J3673" s="1">
        <v>43344</v>
      </c>
      <c r="K3673" t="s">
        <v>1426</v>
      </c>
      <c r="L3673" t="s">
        <v>1427</v>
      </c>
      <c r="M3673" t="s">
        <v>1270</v>
      </c>
      <c r="N3673">
        <v>22</v>
      </c>
      <c r="O3673" s="1">
        <v>43344</v>
      </c>
      <c r="P3673" t="s">
        <v>41</v>
      </c>
      <c r="Q3673" t="s">
        <v>75</v>
      </c>
      <c r="R3673" t="str">
        <f>"7192002"</f>
        <v>7192002</v>
      </c>
      <c r="S3673" t="s">
        <v>1438</v>
      </c>
      <c r="T3673" t="s">
        <v>1426</v>
      </c>
      <c r="U3673" t="s">
        <v>1427</v>
      </c>
      <c r="V3673" t="s">
        <v>1270</v>
      </c>
      <c r="W3673" t="s">
        <v>51</v>
      </c>
      <c r="X3673" t="s">
        <v>45</v>
      </c>
      <c r="Y3673" s="1">
        <v>26139</v>
      </c>
      <c r="Z3673">
        <v>1</v>
      </c>
      <c r="AA3673" t="s">
        <v>1427</v>
      </c>
      <c r="AB3673" s="40" t="s">
        <v>1799</v>
      </c>
    </row>
    <row r="3674" spans="1:28" x14ac:dyDescent="0.25">
      <c r="A3674">
        <v>99913673</v>
      </c>
      <c r="B3674" t="s">
        <v>32</v>
      </c>
      <c r="C3674" t="s">
        <v>111</v>
      </c>
      <c r="D3674" t="s">
        <v>112</v>
      </c>
      <c r="G3674" t="s">
        <v>48</v>
      </c>
      <c r="H3674">
        <v>7</v>
      </c>
      <c r="K3674" t="s">
        <v>1426</v>
      </c>
      <c r="L3674" t="s">
        <v>1427</v>
      </c>
      <c r="M3674" t="s">
        <v>1270</v>
      </c>
      <c r="N3674">
        <v>22</v>
      </c>
      <c r="P3674" t="s">
        <v>41</v>
      </c>
      <c r="Q3674" t="s">
        <v>75</v>
      </c>
      <c r="R3674" t="str">
        <f>"7192000"</f>
        <v>7192000</v>
      </c>
      <c r="S3674" t="s">
        <v>1429</v>
      </c>
      <c r="T3674" t="s">
        <v>1426</v>
      </c>
      <c r="U3674" t="s">
        <v>1427</v>
      </c>
      <c r="V3674" t="s">
        <v>1270</v>
      </c>
      <c r="W3674" t="s">
        <v>51</v>
      </c>
      <c r="X3674" t="s">
        <v>45</v>
      </c>
      <c r="Y3674" s="1">
        <v>26137</v>
      </c>
      <c r="Z3674">
        <v>1</v>
      </c>
      <c r="AA3674" t="s">
        <v>1427</v>
      </c>
      <c r="AB3674" s="40" t="s">
        <v>1799</v>
      </c>
    </row>
    <row r="3675" spans="1:28" x14ac:dyDescent="0.25">
      <c r="A3675">
        <v>99913674</v>
      </c>
      <c r="B3675" t="s">
        <v>32</v>
      </c>
      <c r="C3675" t="s">
        <v>111</v>
      </c>
      <c r="D3675" t="s">
        <v>112</v>
      </c>
      <c r="G3675" t="s">
        <v>48</v>
      </c>
      <c r="H3675">
        <v>1</v>
      </c>
      <c r="K3675" t="s">
        <v>268</v>
      </c>
      <c r="L3675" t="s">
        <v>269</v>
      </c>
      <c r="M3675" t="s">
        <v>131</v>
      </c>
      <c r="N3675">
        <v>22</v>
      </c>
      <c r="P3675" t="s">
        <v>41</v>
      </c>
      <c r="Q3675" t="s">
        <v>75</v>
      </c>
      <c r="R3675" t="str">
        <f>"7052008"</f>
        <v>7052008</v>
      </c>
      <c r="S3675" t="s">
        <v>274</v>
      </c>
      <c r="T3675" t="s">
        <v>268</v>
      </c>
      <c r="U3675" t="s">
        <v>269</v>
      </c>
      <c r="V3675" t="s">
        <v>131</v>
      </c>
      <c r="W3675" t="s">
        <v>51</v>
      </c>
      <c r="X3675" t="s">
        <v>45</v>
      </c>
      <c r="Y3675" s="1">
        <v>26134</v>
      </c>
      <c r="Z3675">
        <v>1</v>
      </c>
      <c r="AA3675" t="s">
        <v>269</v>
      </c>
      <c r="AB3675" s="40" t="s">
        <v>1799</v>
      </c>
    </row>
    <row r="3676" spans="1:28" x14ac:dyDescent="0.25">
      <c r="A3676">
        <v>99913675</v>
      </c>
      <c r="B3676" t="s">
        <v>32</v>
      </c>
      <c r="C3676" t="s">
        <v>46</v>
      </c>
      <c r="D3676" t="s">
        <v>47</v>
      </c>
      <c r="G3676" t="s">
        <v>48</v>
      </c>
      <c r="H3676">
        <v>1</v>
      </c>
      <c r="K3676" t="s">
        <v>300</v>
      </c>
      <c r="L3676" t="s">
        <v>301</v>
      </c>
      <c r="M3676" t="s">
        <v>131</v>
      </c>
      <c r="N3676">
        <v>22</v>
      </c>
      <c r="P3676" t="s">
        <v>41</v>
      </c>
      <c r="Q3676" t="s">
        <v>49</v>
      </c>
      <c r="R3676" t="str">
        <f>"0560020"</f>
        <v>0560020</v>
      </c>
      <c r="S3676" t="s">
        <v>302</v>
      </c>
      <c r="T3676" t="s">
        <v>300</v>
      </c>
      <c r="U3676" t="s">
        <v>301</v>
      </c>
      <c r="V3676" t="s">
        <v>131</v>
      </c>
      <c r="W3676" t="s">
        <v>51</v>
      </c>
      <c r="X3676" t="s">
        <v>45</v>
      </c>
      <c r="Y3676" s="1">
        <v>26133</v>
      </c>
      <c r="Z3676">
        <v>2</v>
      </c>
      <c r="AA3676" t="s">
        <v>301</v>
      </c>
      <c r="AB3676" s="40" t="s">
        <v>1799</v>
      </c>
    </row>
    <row r="3677" spans="1:28" x14ac:dyDescent="0.25">
      <c r="A3677">
        <v>99913676</v>
      </c>
      <c r="B3677" t="s">
        <v>32</v>
      </c>
      <c r="C3677" t="s">
        <v>79</v>
      </c>
      <c r="D3677" t="s">
        <v>80</v>
      </c>
      <c r="G3677" t="s">
        <v>48</v>
      </c>
      <c r="H3677">
        <v>1</v>
      </c>
      <c r="K3677" t="s">
        <v>354</v>
      </c>
      <c r="L3677" t="s">
        <v>355</v>
      </c>
      <c r="M3677" t="s">
        <v>131</v>
      </c>
      <c r="N3677">
        <v>22</v>
      </c>
      <c r="P3677" t="s">
        <v>41</v>
      </c>
      <c r="Q3677" t="s">
        <v>75</v>
      </c>
      <c r="R3677" t="str">
        <f>"7054038"</f>
        <v>7054038</v>
      </c>
      <c r="S3677" t="s">
        <v>377</v>
      </c>
      <c r="T3677" t="s">
        <v>354</v>
      </c>
      <c r="U3677" t="s">
        <v>355</v>
      </c>
      <c r="V3677" t="s">
        <v>131</v>
      </c>
      <c r="W3677" t="s">
        <v>51</v>
      </c>
      <c r="X3677" t="s">
        <v>45</v>
      </c>
      <c r="Y3677" s="1">
        <v>26125</v>
      </c>
      <c r="Z3677">
        <v>1</v>
      </c>
      <c r="AA3677" t="s">
        <v>355</v>
      </c>
      <c r="AB3677" s="40" t="s">
        <v>1799</v>
      </c>
    </row>
    <row r="3678" spans="1:28" x14ac:dyDescent="0.25">
      <c r="A3678">
        <v>99913677</v>
      </c>
      <c r="B3678" t="s">
        <v>56</v>
      </c>
      <c r="C3678" t="s">
        <v>79</v>
      </c>
      <c r="D3678" t="s">
        <v>80</v>
      </c>
      <c r="G3678" t="s">
        <v>35</v>
      </c>
      <c r="H3678">
        <v>1</v>
      </c>
      <c r="K3678" t="s">
        <v>1341</v>
      </c>
      <c r="L3678" t="s">
        <v>1342</v>
      </c>
      <c r="M3678" t="s">
        <v>1270</v>
      </c>
      <c r="N3678">
        <v>22</v>
      </c>
      <c r="P3678" t="s">
        <v>41</v>
      </c>
      <c r="Q3678" t="s">
        <v>75</v>
      </c>
      <c r="R3678" t="str">
        <f>"7191006"</f>
        <v>7191006</v>
      </c>
      <c r="S3678" t="s">
        <v>1351</v>
      </c>
      <c r="T3678" t="s">
        <v>1341</v>
      </c>
      <c r="U3678" t="s">
        <v>1342</v>
      </c>
      <c r="V3678" t="s">
        <v>1270</v>
      </c>
      <c r="W3678" t="s">
        <v>51</v>
      </c>
      <c r="X3678" t="s">
        <v>45</v>
      </c>
      <c r="Y3678" s="1">
        <v>26063</v>
      </c>
      <c r="Z3678">
        <v>1</v>
      </c>
      <c r="AA3678" t="s">
        <v>1342</v>
      </c>
      <c r="AB3678" s="40" t="s">
        <v>1799</v>
      </c>
    </row>
    <row r="3679" spans="1:28" x14ac:dyDescent="0.25">
      <c r="A3679">
        <v>99913678</v>
      </c>
      <c r="B3679" t="s">
        <v>32</v>
      </c>
      <c r="C3679" t="s">
        <v>111</v>
      </c>
      <c r="D3679" t="s">
        <v>112</v>
      </c>
      <c r="G3679" t="s">
        <v>48</v>
      </c>
      <c r="H3679">
        <v>1</v>
      </c>
      <c r="K3679" t="s">
        <v>354</v>
      </c>
      <c r="L3679" t="s">
        <v>355</v>
      </c>
      <c r="M3679" t="s">
        <v>131</v>
      </c>
      <c r="N3679">
        <v>22</v>
      </c>
      <c r="P3679" t="s">
        <v>41</v>
      </c>
      <c r="Q3679" t="s">
        <v>75</v>
      </c>
      <c r="R3679" t="str">
        <f>"7054022"</f>
        <v>7054022</v>
      </c>
      <c r="S3679" t="s">
        <v>770</v>
      </c>
      <c r="T3679" t="s">
        <v>354</v>
      </c>
      <c r="U3679" t="s">
        <v>355</v>
      </c>
      <c r="V3679" t="s">
        <v>131</v>
      </c>
      <c r="W3679" t="s">
        <v>51</v>
      </c>
      <c r="X3679" t="s">
        <v>45</v>
      </c>
      <c r="Y3679" s="1">
        <v>25979</v>
      </c>
      <c r="Z3679">
        <v>1</v>
      </c>
      <c r="AA3679" t="s">
        <v>355</v>
      </c>
      <c r="AB3679" s="40" t="s">
        <v>1799</v>
      </c>
    </row>
    <row r="3680" spans="1:28" x14ac:dyDescent="0.25">
      <c r="A3680">
        <v>99913679</v>
      </c>
      <c r="B3680" t="s">
        <v>56</v>
      </c>
      <c r="C3680" t="s">
        <v>111</v>
      </c>
      <c r="D3680" t="s">
        <v>112</v>
      </c>
      <c r="G3680" t="s">
        <v>48</v>
      </c>
      <c r="H3680">
        <v>1</v>
      </c>
      <c r="K3680" t="s">
        <v>268</v>
      </c>
      <c r="L3680" t="s">
        <v>269</v>
      </c>
      <c r="M3680" t="s">
        <v>131</v>
      </c>
      <c r="N3680">
        <v>22</v>
      </c>
      <c r="P3680" t="s">
        <v>41</v>
      </c>
      <c r="Q3680" t="s">
        <v>75</v>
      </c>
      <c r="R3680" t="str">
        <f>"7052008"</f>
        <v>7052008</v>
      </c>
      <c r="S3680" t="s">
        <v>274</v>
      </c>
      <c r="T3680" t="s">
        <v>268</v>
      </c>
      <c r="U3680" t="s">
        <v>269</v>
      </c>
      <c r="V3680" t="s">
        <v>131</v>
      </c>
      <c r="W3680" t="s">
        <v>51</v>
      </c>
      <c r="X3680" t="s">
        <v>45</v>
      </c>
      <c r="Y3680" s="1">
        <v>25976</v>
      </c>
      <c r="Z3680">
        <v>1</v>
      </c>
      <c r="AA3680" t="s">
        <v>269</v>
      </c>
      <c r="AB3680" s="40" t="s">
        <v>1799</v>
      </c>
    </row>
    <row r="3681" spans="1:28" x14ac:dyDescent="0.25">
      <c r="A3681">
        <v>99913680</v>
      </c>
      <c r="B3681" t="s">
        <v>32</v>
      </c>
      <c r="C3681" t="s">
        <v>64</v>
      </c>
      <c r="D3681" t="s">
        <v>65</v>
      </c>
      <c r="G3681" t="s">
        <v>48</v>
      </c>
      <c r="H3681">
        <v>1</v>
      </c>
      <c r="K3681" t="s">
        <v>354</v>
      </c>
      <c r="L3681" t="s">
        <v>355</v>
      </c>
      <c r="M3681" t="s">
        <v>131</v>
      </c>
      <c r="N3681">
        <v>22</v>
      </c>
      <c r="P3681" t="s">
        <v>41</v>
      </c>
      <c r="Q3681" t="s">
        <v>75</v>
      </c>
      <c r="R3681" t="str">
        <f>"7054022"</f>
        <v>7054022</v>
      </c>
      <c r="S3681" t="s">
        <v>770</v>
      </c>
      <c r="T3681" t="s">
        <v>354</v>
      </c>
      <c r="U3681" t="s">
        <v>355</v>
      </c>
      <c r="V3681" t="s">
        <v>131</v>
      </c>
      <c r="W3681" t="s">
        <v>51</v>
      </c>
      <c r="X3681" t="s">
        <v>45</v>
      </c>
      <c r="Y3681" s="1">
        <v>25962</v>
      </c>
      <c r="Z3681">
        <v>1</v>
      </c>
      <c r="AA3681" t="s">
        <v>355</v>
      </c>
      <c r="AB3681" s="40" t="s">
        <v>1799</v>
      </c>
    </row>
    <row r="3682" spans="1:28" x14ac:dyDescent="0.25">
      <c r="A3682">
        <v>99913681</v>
      </c>
      <c r="B3682" t="s">
        <v>32</v>
      </c>
      <c r="C3682" t="s">
        <v>139</v>
      </c>
      <c r="D3682" t="s">
        <v>140</v>
      </c>
      <c r="G3682" t="s">
        <v>48</v>
      </c>
      <c r="H3682">
        <v>1</v>
      </c>
      <c r="K3682" t="s">
        <v>195</v>
      </c>
      <c r="L3682" t="s">
        <v>196</v>
      </c>
      <c r="M3682" t="s">
        <v>131</v>
      </c>
      <c r="N3682">
        <v>22</v>
      </c>
      <c r="P3682" t="s">
        <v>41</v>
      </c>
      <c r="Q3682" t="s">
        <v>49</v>
      </c>
      <c r="R3682" t="str">
        <f>"0560003"</f>
        <v>0560003</v>
      </c>
      <c r="S3682" t="s">
        <v>181</v>
      </c>
      <c r="T3682" t="s">
        <v>162</v>
      </c>
      <c r="U3682" t="s">
        <v>158</v>
      </c>
      <c r="V3682" t="s">
        <v>131</v>
      </c>
      <c r="W3682" t="s">
        <v>51</v>
      </c>
      <c r="X3682" t="s">
        <v>45</v>
      </c>
      <c r="Y3682" s="1">
        <v>25907</v>
      </c>
      <c r="Z3682">
        <v>1</v>
      </c>
      <c r="AA3682" t="s">
        <v>196</v>
      </c>
      <c r="AB3682" s="40" t="s">
        <v>1799</v>
      </c>
    </row>
    <row r="3683" spans="1:28" x14ac:dyDescent="0.25">
      <c r="A3683">
        <v>99913682</v>
      </c>
      <c r="B3683" t="s">
        <v>32</v>
      </c>
      <c r="C3683" t="s">
        <v>111</v>
      </c>
      <c r="D3683" t="s">
        <v>112</v>
      </c>
      <c r="G3683" t="s">
        <v>48</v>
      </c>
      <c r="H3683">
        <v>9</v>
      </c>
      <c r="J3683" s="1">
        <v>43344</v>
      </c>
      <c r="K3683" t="s">
        <v>354</v>
      </c>
      <c r="L3683" t="s">
        <v>355</v>
      </c>
      <c r="M3683" t="s">
        <v>131</v>
      </c>
      <c r="N3683">
        <v>22</v>
      </c>
      <c r="O3683" s="1">
        <v>43344</v>
      </c>
      <c r="P3683" t="s">
        <v>41</v>
      </c>
      <c r="Q3683" t="s">
        <v>75</v>
      </c>
      <c r="R3683" t="str">
        <f>"7054022"</f>
        <v>7054022</v>
      </c>
      <c r="S3683" t="s">
        <v>770</v>
      </c>
      <c r="T3683" t="s">
        <v>354</v>
      </c>
      <c r="U3683" t="s">
        <v>355</v>
      </c>
      <c r="V3683" t="s">
        <v>131</v>
      </c>
      <c r="W3683" t="s">
        <v>51</v>
      </c>
      <c r="X3683" t="s">
        <v>45</v>
      </c>
      <c r="Y3683" s="1">
        <v>25887</v>
      </c>
      <c r="Z3683">
        <v>1</v>
      </c>
      <c r="AA3683" t="s">
        <v>355</v>
      </c>
      <c r="AB3683" s="40" t="s">
        <v>1799</v>
      </c>
    </row>
    <row r="3684" spans="1:28" x14ac:dyDescent="0.25">
      <c r="A3684">
        <v>99913683</v>
      </c>
      <c r="B3684" t="s">
        <v>32</v>
      </c>
      <c r="C3684" t="s">
        <v>111</v>
      </c>
      <c r="D3684" t="s">
        <v>112</v>
      </c>
      <c r="G3684" t="s">
        <v>48</v>
      </c>
      <c r="H3684">
        <v>8</v>
      </c>
      <c r="K3684" t="s">
        <v>1426</v>
      </c>
      <c r="L3684" t="s">
        <v>1427</v>
      </c>
      <c r="M3684" t="s">
        <v>1270</v>
      </c>
      <c r="N3684">
        <v>22</v>
      </c>
      <c r="P3684" t="s">
        <v>41</v>
      </c>
      <c r="Q3684" t="s">
        <v>75</v>
      </c>
      <c r="R3684" t="str">
        <f>"7192000"</f>
        <v>7192000</v>
      </c>
      <c r="S3684" t="s">
        <v>1429</v>
      </c>
      <c r="T3684" t="s">
        <v>1426</v>
      </c>
      <c r="U3684" t="s">
        <v>1427</v>
      </c>
      <c r="V3684" t="s">
        <v>1270</v>
      </c>
      <c r="W3684" t="s">
        <v>51</v>
      </c>
      <c r="X3684" t="s">
        <v>45</v>
      </c>
      <c r="Y3684" s="1">
        <v>25865</v>
      </c>
      <c r="Z3684">
        <v>1</v>
      </c>
      <c r="AA3684" t="s">
        <v>1427</v>
      </c>
      <c r="AB3684" s="40" t="s">
        <v>1799</v>
      </c>
    </row>
    <row r="3685" spans="1:28" x14ac:dyDescent="0.25">
      <c r="A3685">
        <v>99913684</v>
      </c>
      <c r="B3685" t="s">
        <v>32</v>
      </c>
      <c r="C3685" t="s">
        <v>64</v>
      </c>
      <c r="D3685" t="s">
        <v>65</v>
      </c>
      <c r="G3685" t="s">
        <v>48</v>
      </c>
      <c r="H3685">
        <v>1</v>
      </c>
      <c r="K3685" t="s">
        <v>877</v>
      </c>
      <c r="L3685" t="s">
        <v>878</v>
      </c>
      <c r="M3685" t="s">
        <v>131</v>
      </c>
      <c r="N3685">
        <v>22</v>
      </c>
      <c r="P3685" t="s">
        <v>41</v>
      </c>
      <c r="Q3685" t="s">
        <v>75</v>
      </c>
      <c r="R3685" t="str">
        <f>"7541008"</f>
        <v>7541008</v>
      </c>
      <c r="S3685" t="s">
        <v>879</v>
      </c>
      <c r="T3685" t="s">
        <v>877</v>
      </c>
      <c r="U3685" t="s">
        <v>878</v>
      </c>
      <c r="V3685" t="s">
        <v>131</v>
      </c>
      <c r="W3685" t="s">
        <v>51</v>
      </c>
      <c r="X3685" t="s">
        <v>45</v>
      </c>
      <c r="Y3685" s="1">
        <v>25848</v>
      </c>
      <c r="Z3685">
        <v>1</v>
      </c>
      <c r="AA3685" t="s">
        <v>878</v>
      </c>
      <c r="AB3685" s="40" t="s">
        <v>1799</v>
      </c>
    </row>
    <row r="3686" spans="1:28" x14ac:dyDescent="0.25">
      <c r="A3686">
        <v>99913685</v>
      </c>
      <c r="B3686" t="s">
        <v>32</v>
      </c>
      <c r="C3686" t="s">
        <v>111</v>
      </c>
      <c r="D3686" t="s">
        <v>112</v>
      </c>
      <c r="G3686" t="s">
        <v>35</v>
      </c>
      <c r="H3686">
        <v>1</v>
      </c>
      <c r="K3686" t="s">
        <v>268</v>
      </c>
      <c r="L3686" t="s">
        <v>269</v>
      </c>
      <c r="M3686" t="s">
        <v>131</v>
      </c>
      <c r="N3686">
        <v>22</v>
      </c>
      <c r="P3686" t="s">
        <v>41</v>
      </c>
      <c r="Q3686" t="s">
        <v>75</v>
      </c>
      <c r="R3686" t="str">
        <f>"7052008"</f>
        <v>7052008</v>
      </c>
      <c r="S3686" t="s">
        <v>274</v>
      </c>
      <c r="T3686" t="s">
        <v>268</v>
      </c>
      <c r="U3686" t="s">
        <v>269</v>
      </c>
      <c r="V3686" t="s">
        <v>131</v>
      </c>
      <c r="W3686" t="s">
        <v>51</v>
      </c>
      <c r="X3686" t="s">
        <v>45</v>
      </c>
      <c r="Y3686" s="1">
        <v>25784</v>
      </c>
      <c r="Z3686">
        <v>1</v>
      </c>
      <c r="AA3686" t="s">
        <v>269</v>
      </c>
      <c r="AB3686" s="40" t="s">
        <v>1799</v>
      </c>
    </row>
    <row r="3687" spans="1:28" x14ac:dyDescent="0.25">
      <c r="A3687">
        <v>99913686</v>
      </c>
      <c r="B3687" t="s">
        <v>32</v>
      </c>
      <c r="C3687" t="s">
        <v>111</v>
      </c>
      <c r="D3687" t="s">
        <v>112</v>
      </c>
      <c r="G3687" t="s">
        <v>48</v>
      </c>
      <c r="H3687">
        <v>7</v>
      </c>
      <c r="I3687" t="s">
        <v>518</v>
      </c>
      <c r="J3687" s="1">
        <v>39692</v>
      </c>
      <c r="K3687" t="s">
        <v>431</v>
      </c>
      <c r="L3687" t="s">
        <v>196</v>
      </c>
      <c r="M3687" t="s">
        <v>131</v>
      </c>
      <c r="N3687">
        <v>22</v>
      </c>
      <c r="O3687" s="1">
        <v>39692</v>
      </c>
      <c r="P3687" t="s">
        <v>41</v>
      </c>
      <c r="Q3687" t="s">
        <v>75</v>
      </c>
      <c r="R3687" t="str">
        <f>"7521022"</f>
        <v>7521022</v>
      </c>
      <c r="S3687" t="s">
        <v>445</v>
      </c>
      <c r="T3687" t="s">
        <v>431</v>
      </c>
      <c r="U3687" t="s">
        <v>196</v>
      </c>
      <c r="V3687" t="s">
        <v>131</v>
      </c>
      <c r="W3687" t="s">
        <v>51</v>
      </c>
      <c r="X3687" t="s">
        <v>45</v>
      </c>
      <c r="Y3687" s="1">
        <v>25783</v>
      </c>
      <c r="Z3687">
        <v>1</v>
      </c>
      <c r="AA3687" t="s">
        <v>196</v>
      </c>
      <c r="AB3687" s="40" t="s">
        <v>1799</v>
      </c>
    </row>
    <row r="3688" spans="1:28" x14ac:dyDescent="0.25">
      <c r="A3688">
        <v>99913687</v>
      </c>
      <c r="B3688" t="s">
        <v>32</v>
      </c>
      <c r="C3688" t="s">
        <v>111</v>
      </c>
      <c r="D3688" t="s">
        <v>112</v>
      </c>
      <c r="G3688" t="s">
        <v>48</v>
      </c>
      <c r="H3688">
        <v>11</v>
      </c>
      <c r="K3688" t="s">
        <v>354</v>
      </c>
      <c r="L3688" t="s">
        <v>355</v>
      </c>
      <c r="M3688" t="s">
        <v>131</v>
      </c>
      <c r="N3688">
        <v>22</v>
      </c>
      <c r="P3688" t="s">
        <v>41</v>
      </c>
      <c r="Q3688" t="s">
        <v>75</v>
      </c>
      <c r="R3688" t="str">
        <f>"7054020"</f>
        <v>7054020</v>
      </c>
      <c r="S3688" t="s">
        <v>765</v>
      </c>
      <c r="T3688" t="s">
        <v>354</v>
      </c>
      <c r="U3688" t="s">
        <v>355</v>
      </c>
      <c r="V3688" t="s">
        <v>131</v>
      </c>
      <c r="W3688" t="s">
        <v>51</v>
      </c>
      <c r="X3688" t="s">
        <v>45</v>
      </c>
      <c r="Y3688" s="1">
        <v>25780</v>
      </c>
      <c r="Z3688">
        <v>1</v>
      </c>
      <c r="AA3688" t="s">
        <v>355</v>
      </c>
      <c r="AB3688" s="40" t="s">
        <v>1799</v>
      </c>
    </row>
    <row r="3689" spans="1:28" x14ac:dyDescent="0.25">
      <c r="A3689">
        <v>99913688</v>
      </c>
      <c r="B3689" t="s">
        <v>32</v>
      </c>
      <c r="C3689" t="s">
        <v>79</v>
      </c>
      <c r="D3689" t="s">
        <v>80</v>
      </c>
      <c r="G3689" t="s">
        <v>48</v>
      </c>
      <c r="H3689">
        <v>7</v>
      </c>
      <c r="I3689" t="s">
        <v>452</v>
      </c>
      <c r="J3689" s="1">
        <v>40422</v>
      </c>
      <c r="K3689" t="s">
        <v>195</v>
      </c>
      <c r="L3689" t="s">
        <v>196</v>
      </c>
      <c r="M3689" t="s">
        <v>131</v>
      </c>
      <c r="N3689">
        <v>22</v>
      </c>
      <c r="O3689" s="1">
        <v>40422</v>
      </c>
      <c r="P3689" t="s">
        <v>41</v>
      </c>
      <c r="Q3689" t="s">
        <v>75</v>
      </c>
      <c r="R3689" t="str">
        <f>"7521050"</f>
        <v>7521050</v>
      </c>
      <c r="S3689" t="s">
        <v>194</v>
      </c>
      <c r="T3689" t="s">
        <v>195</v>
      </c>
      <c r="U3689" t="s">
        <v>196</v>
      </c>
      <c r="V3689" t="s">
        <v>131</v>
      </c>
      <c r="W3689" t="s">
        <v>51</v>
      </c>
      <c r="X3689" t="s">
        <v>45</v>
      </c>
      <c r="Y3689" s="1">
        <v>25745</v>
      </c>
      <c r="Z3689">
        <v>1</v>
      </c>
      <c r="AA3689" t="s">
        <v>196</v>
      </c>
      <c r="AB3689" s="40" t="s">
        <v>1799</v>
      </c>
    </row>
    <row r="3690" spans="1:28" x14ac:dyDescent="0.25">
      <c r="A3690">
        <v>99913689</v>
      </c>
      <c r="B3690" t="s">
        <v>32</v>
      </c>
      <c r="C3690" t="s">
        <v>64</v>
      </c>
      <c r="D3690" t="s">
        <v>65</v>
      </c>
      <c r="G3690" t="s">
        <v>35</v>
      </c>
      <c r="H3690">
        <v>1</v>
      </c>
      <c r="K3690" t="s">
        <v>877</v>
      </c>
      <c r="L3690" t="s">
        <v>878</v>
      </c>
      <c r="M3690" t="s">
        <v>131</v>
      </c>
      <c r="N3690">
        <v>22</v>
      </c>
      <c r="P3690" t="s">
        <v>41</v>
      </c>
      <c r="Q3690" t="s">
        <v>75</v>
      </c>
      <c r="R3690" t="str">
        <f>"7700025"</f>
        <v>7700025</v>
      </c>
      <c r="S3690" t="s">
        <v>880</v>
      </c>
      <c r="T3690" t="s">
        <v>877</v>
      </c>
      <c r="U3690" t="s">
        <v>878</v>
      </c>
      <c r="V3690" t="s">
        <v>131</v>
      </c>
      <c r="W3690" t="s">
        <v>51</v>
      </c>
      <c r="X3690" t="s">
        <v>45</v>
      </c>
      <c r="Y3690" s="1">
        <v>25737</v>
      </c>
      <c r="Z3690">
        <v>1</v>
      </c>
      <c r="AA3690" t="s">
        <v>878</v>
      </c>
      <c r="AB3690" s="40" t="s">
        <v>1799</v>
      </c>
    </row>
    <row r="3691" spans="1:28" x14ac:dyDescent="0.25">
      <c r="A3691">
        <v>99913690</v>
      </c>
      <c r="B3691" t="s">
        <v>56</v>
      </c>
      <c r="C3691" t="s">
        <v>79</v>
      </c>
      <c r="D3691" t="s">
        <v>80</v>
      </c>
      <c r="G3691" t="s">
        <v>48</v>
      </c>
      <c r="H3691">
        <v>1</v>
      </c>
      <c r="K3691" t="s">
        <v>223</v>
      </c>
      <c r="L3691" t="s">
        <v>224</v>
      </c>
      <c r="M3691" t="s">
        <v>131</v>
      </c>
      <c r="N3691">
        <v>22</v>
      </c>
      <c r="P3691" t="s">
        <v>41</v>
      </c>
      <c r="Q3691" t="s">
        <v>49</v>
      </c>
      <c r="R3691" t="str">
        <f>"0581265"</f>
        <v>0581265</v>
      </c>
      <c r="S3691" t="s">
        <v>236</v>
      </c>
      <c r="T3691" t="s">
        <v>223</v>
      </c>
      <c r="U3691" t="s">
        <v>224</v>
      </c>
      <c r="V3691" t="s">
        <v>131</v>
      </c>
      <c r="W3691" t="s">
        <v>51</v>
      </c>
      <c r="X3691" t="s">
        <v>45</v>
      </c>
      <c r="Y3691" s="1">
        <v>25715</v>
      </c>
      <c r="Z3691">
        <v>2</v>
      </c>
      <c r="AA3691" t="s">
        <v>224</v>
      </c>
      <c r="AB3691" s="40" t="s">
        <v>1799</v>
      </c>
    </row>
    <row r="3692" spans="1:28" x14ac:dyDescent="0.25">
      <c r="A3692">
        <v>99913691</v>
      </c>
      <c r="B3692" t="s">
        <v>32</v>
      </c>
      <c r="C3692" t="s">
        <v>111</v>
      </c>
      <c r="D3692" t="s">
        <v>112</v>
      </c>
      <c r="G3692" t="s">
        <v>48</v>
      </c>
      <c r="H3692">
        <v>1</v>
      </c>
      <c r="K3692" t="s">
        <v>268</v>
      </c>
      <c r="L3692" t="s">
        <v>269</v>
      </c>
      <c r="M3692" t="s">
        <v>131</v>
      </c>
      <c r="N3692">
        <v>22</v>
      </c>
      <c r="P3692" t="s">
        <v>41</v>
      </c>
      <c r="Q3692" t="s">
        <v>75</v>
      </c>
      <c r="R3692" t="str">
        <f>"7052008"</f>
        <v>7052008</v>
      </c>
      <c r="S3692" t="s">
        <v>274</v>
      </c>
      <c r="T3692" t="s">
        <v>268</v>
      </c>
      <c r="U3692" t="s">
        <v>269</v>
      </c>
      <c r="V3692" t="s">
        <v>131</v>
      </c>
      <c r="W3692" t="s">
        <v>51</v>
      </c>
      <c r="X3692" t="s">
        <v>45</v>
      </c>
      <c r="Y3692" s="1">
        <v>25714</v>
      </c>
      <c r="Z3692">
        <v>1</v>
      </c>
      <c r="AA3692" t="s">
        <v>269</v>
      </c>
      <c r="AB3692" s="40" t="s">
        <v>1799</v>
      </c>
    </row>
    <row r="3693" spans="1:28" x14ac:dyDescent="0.25">
      <c r="A3693">
        <v>99913692</v>
      </c>
      <c r="B3693" t="s">
        <v>32</v>
      </c>
      <c r="C3693" t="s">
        <v>46</v>
      </c>
      <c r="D3693" t="s">
        <v>47</v>
      </c>
      <c r="G3693" t="s">
        <v>48</v>
      </c>
      <c r="H3693">
        <v>1</v>
      </c>
      <c r="K3693" t="s">
        <v>157</v>
      </c>
      <c r="L3693" t="s">
        <v>158</v>
      </c>
      <c r="M3693" t="s">
        <v>131</v>
      </c>
      <c r="N3693">
        <v>22</v>
      </c>
      <c r="P3693" t="s">
        <v>41</v>
      </c>
      <c r="Q3693" t="s">
        <v>49</v>
      </c>
      <c r="R3693" t="str">
        <f>"0560019"</f>
        <v>0560019</v>
      </c>
      <c r="S3693" t="s">
        <v>166</v>
      </c>
      <c r="T3693" t="s">
        <v>157</v>
      </c>
      <c r="U3693" t="s">
        <v>158</v>
      </c>
      <c r="V3693" t="s">
        <v>131</v>
      </c>
      <c r="W3693" t="s">
        <v>51</v>
      </c>
      <c r="X3693" t="s">
        <v>45</v>
      </c>
      <c r="Y3693" s="1">
        <v>25690</v>
      </c>
      <c r="Z3693">
        <v>2</v>
      </c>
      <c r="AA3693" t="s">
        <v>158</v>
      </c>
      <c r="AB3693" s="40" t="s">
        <v>1799</v>
      </c>
    </row>
    <row r="3694" spans="1:28" x14ac:dyDescent="0.25">
      <c r="A3694">
        <v>99913693</v>
      </c>
      <c r="B3694" t="s">
        <v>56</v>
      </c>
      <c r="C3694" t="s">
        <v>111</v>
      </c>
      <c r="D3694" t="s">
        <v>112</v>
      </c>
      <c r="G3694" t="s">
        <v>35</v>
      </c>
      <c r="H3694">
        <v>1</v>
      </c>
      <c r="I3694" t="s">
        <v>1119</v>
      </c>
      <c r="J3694" s="1">
        <v>43344</v>
      </c>
      <c r="K3694" t="s">
        <v>1081</v>
      </c>
      <c r="L3694" t="s">
        <v>1082</v>
      </c>
      <c r="M3694" t="s">
        <v>1053</v>
      </c>
      <c r="N3694">
        <v>22</v>
      </c>
      <c r="O3694" s="1">
        <v>43344</v>
      </c>
      <c r="P3694" t="s">
        <v>41</v>
      </c>
      <c r="Q3694" t="s">
        <v>75</v>
      </c>
      <c r="R3694" t="str">
        <f>"7201000"</f>
        <v>7201000</v>
      </c>
      <c r="S3694" t="s">
        <v>1088</v>
      </c>
      <c r="T3694" t="s">
        <v>1081</v>
      </c>
      <c r="U3694" t="s">
        <v>1082</v>
      </c>
      <c r="V3694" t="s">
        <v>1053</v>
      </c>
      <c r="W3694" t="s">
        <v>51</v>
      </c>
      <c r="X3694" t="s">
        <v>45</v>
      </c>
      <c r="Y3694" s="1">
        <v>25671</v>
      </c>
      <c r="Z3694">
        <v>1</v>
      </c>
      <c r="AA3694" t="s">
        <v>1082</v>
      </c>
      <c r="AB3694" s="40" t="s">
        <v>1799</v>
      </c>
    </row>
    <row r="3695" spans="1:28" x14ac:dyDescent="0.25">
      <c r="A3695">
        <v>99913694</v>
      </c>
      <c r="B3695" t="s">
        <v>56</v>
      </c>
      <c r="C3695" t="s">
        <v>111</v>
      </c>
      <c r="D3695" t="s">
        <v>112</v>
      </c>
      <c r="G3695" t="s">
        <v>35</v>
      </c>
      <c r="H3695">
        <v>1</v>
      </c>
      <c r="K3695" t="s">
        <v>354</v>
      </c>
      <c r="L3695" t="s">
        <v>355</v>
      </c>
      <c r="M3695" t="s">
        <v>131</v>
      </c>
      <c r="N3695">
        <v>22</v>
      </c>
      <c r="P3695" t="s">
        <v>41</v>
      </c>
      <c r="Q3695" t="s">
        <v>75</v>
      </c>
      <c r="R3695" t="str">
        <f>"7054020"</f>
        <v>7054020</v>
      </c>
      <c r="S3695" t="s">
        <v>765</v>
      </c>
      <c r="T3695" t="s">
        <v>354</v>
      </c>
      <c r="U3695" t="s">
        <v>355</v>
      </c>
      <c r="V3695" t="s">
        <v>131</v>
      </c>
      <c r="W3695" t="s">
        <v>51</v>
      </c>
      <c r="X3695" t="s">
        <v>45</v>
      </c>
      <c r="Y3695" s="1">
        <v>25526</v>
      </c>
      <c r="Z3695">
        <v>1</v>
      </c>
      <c r="AA3695" t="s">
        <v>355</v>
      </c>
      <c r="AB3695" s="40" t="s">
        <v>1799</v>
      </c>
    </row>
    <row r="3696" spans="1:28" x14ac:dyDescent="0.25">
      <c r="A3696">
        <v>99913695</v>
      </c>
      <c r="B3696" t="s">
        <v>32</v>
      </c>
      <c r="C3696" t="s">
        <v>111</v>
      </c>
      <c r="D3696" t="s">
        <v>112</v>
      </c>
      <c r="G3696" t="s">
        <v>35</v>
      </c>
      <c r="H3696">
        <v>9</v>
      </c>
      <c r="K3696" t="s">
        <v>268</v>
      </c>
      <c r="L3696" t="s">
        <v>269</v>
      </c>
      <c r="M3696" t="s">
        <v>131</v>
      </c>
      <c r="N3696">
        <v>22</v>
      </c>
      <c r="P3696" t="s">
        <v>41</v>
      </c>
      <c r="Q3696" t="s">
        <v>75</v>
      </c>
      <c r="R3696" t="str">
        <f>"7052002"</f>
        <v>7052002</v>
      </c>
      <c r="S3696" t="s">
        <v>590</v>
      </c>
      <c r="T3696" t="s">
        <v>268</v>
      </c>
      <c r="U3696" t="s">
        <v>269</v>
      </c>
      <c r="V3696" t="s">
        <v>131</v>
      </c>
      <c r="W3696" t="s">
        <v>165</v>
      </c>
      <c r="X3696" t="s">
        <v>45</v>
      </c>
      <c r="Y3696" s="1">
        <v>25512</v>
      </c>
      <c r="Z3696">
        <v>1</v>
      </c>
      <c r="AA3696" t="s">
        <v>269</v>
      </c>
      <c r="AB3696" s="40" t="s">
        <v>1799</v>
      </c>
    </row>
    <row r="3697" spans="1:28" x14ac:dyDescent="0.25">
      <c r="A3697">
        <v>99913696</v>
      </c>
      <c r="B3697" t="s">
        <v>32</v>
      </c>
      <c r="C3697" t="s">
        <v>64</v>
      </c>
      <c r="D3697" t="s">
        <v>65</v>
      </c>
      <c r="G3697" t="s">
        <v>35</v>
      </c>
      <c r="H3697">
        <v>1</v>
      </c>
      <c r="I3697" t="s">
        <v>686</v>
      </c>
      <c r="J3697" s="1">
        <v>43344</v>
      </c>
      <c r="K3697" t="s">
        <v>268</v>
      </c>
      <c r="L3697" t="s">
        <v>269</v>
      </c>
      <c r="M3697" t="s">
        <v>131</v>
      </c>
      <c r="N3697">
        <v>22</v>
      </c>
      <c r="O3697" s="1">
        <v>43344</v>
      </c>
      <c r="P3697" t="s">
        <v>41</v>
      </c>
      <c r="Q3697" t="s">
        <v>75</v>
      </c>
      <c r="R3697" t="str">
        <f>"7052020"</f>
        <v>7052020</v>
      </c>
      <c r="S3697" t="s">
        <v>267</v>
      </c>
      <c r="T3697" t="s">
        <v>268</v>
      </c>
      <c r="U3697" t="s">
        <v>269</v>
      </c>
      <c r="V3697" t="s">
        <v>131</v>
      </c>
      <c r="W3697" t="s">
        <v>51</v>
      </c>
      <c r="X3697" t="s">
        <v>45</v>
      </c>
      <c r="Y3697" s="1">
        <v>25508</v>
      </c>
      <c r="Z3697">
        <v>1</v>
      </c>
      <c r="AA3697" t="s">
        <v>269</v>
      </c>
      <c r="AB3697" s="40" t="s">
        <v>1799</v>
      </c>
    </row>
    <row r="3698" spans="1:28" x14ac:dyDescent="0.25">
      <c r="A3698">
        <v>99913697</v>
      </c>
      <c r="B3698" t="s">
        <v>32</v>
      </c>
      <c r="C3698" t="s">
        <v>64</v>
      </c>
      <c r="D3698" t="s">
        <v>65</v>
      </c>
      <c r="G3698" t="s">
        <v>48</v>
      </c>
      <c r="H3698">
        <v>1</v>
      </c>
      <c r="K3698" t="s">
        <v>268</v>
      </c>
      <c r="L3698" t="s">
        <v>269</v>
      </c>
      <c r="M3698" t="s">
        <v>131</v>
      </c>
      <c r="N3698">
        <v>22</v>
      </c>
      <c r="P3698" t="s">
        <v>41</v>
      </c>
      <c r="Q3698" t="s">
        <v>75</v>
      </c>
      <c r="R3698" t="str">
        <f>"7052042"</f>
        <v>7052042</v>
      </c>
      <c r="S3698" t="s">
        <v>583</v>
      </c>
      <c r="T3698" t="s">
        <v>268</v>
      </c>
      <c r="U3698" t="s">
        <v>269</v>
      </c>
      <c r="V3698" t="s">
        <v>131</v>
      </c>
      <c r="W3698" t="s">
        <v>51</v>
      </c>
      <c r="X3698" t="s">
        <v>45</v>
      </c>
      <c r="Y3698" s="1">
        <v>25485</v>
      </c>
      <c r="Z3698">
        <v>1</v>
      </c>
      <c r="AA3698" t="s">
        <v>269</v>
      </c>
      <c r="AB3698" s="40" t="s">
        <v>1799</v>
      </c>
    </row>
    <row r="3699" spans="1:28" x14ac:dyDescent="0.25">
      <c r="A3699">
        <v>99913698</v>
      </c>
      <c r="B3699" t="s">
        <v>56</v>
      </c>
      <c r="C3699" t="s">
        <v>111</v>
      </c>
      <c r="D3699" t="s">
        <v>112</v>
      </c>
      <c r="G3699" t="s">
        <v>48</v>
      </c>
      <c r="H3699">
        <v>9</v>
      </c>
      <c r="K3699" t="s">
        <v>354</v>
      </c>
      <c r="L3699" t="s">
        <v>355</v>
      </c>
      <c r="M3699" t="s">
        <v>131</v>
      </c>
      <c r="N3699">
        <v>22</v>
      </c>
      <c r="P3699" t="s">
        <v>41</v>
      </c>
      <c r="Q3699" t="s">
        <v>75</v>
      </c>
      <c r="R3699" t="str">
        <f>"7054020"</f>
        <v>7054020</v>
      </c>
      <c r="S3699" t="s">
        <v>765</v>
      </c>
      <c r="T3699" t="s">
        <v>354</v>
      </c>
      <c r="U3699" t="s">
        <v>355</v>
      </c>
      <c r="V3699" t="s">
        <v>131</v>
      </c>
      <c r="W3699" t="s">
        <v>51</v>
      </c>
      <c r="X3699" t="s">
        <v>45</v>
      </c>
      <c r="Y3699" s="1">
        <v>25441</v>
      </c>
      <c r="Z3699">
        <v>1</v>
      </c>
      <c r="AA3699" t="s">
        <v>355</v>
      </c>
      <c r="AB3699" s="40" t="s">
        <v>1799</v>
      </c>
    </row>
    <row r="3700" spans="1:28" x14ac:dyDescent="0.25">
      <c r="A3700">
        <v>99913699</v>
      </c>
      <c r="B3700" t="s">
        <v>32</v>
      </c>
      <c r="C3700" t="s">
        <v>111</v>
      </c>
      <c r="D3700" t="s">
        <v>112</v>
      </c>
      <c r="G3700" t="s">
        <v>48</v>
      </c>
      <c r="H3700">
        <v>9</v>
      </c>
      <c r="K3700" t="s">
        <v>354</v>
      </c>
      <c r="L3700" t="s">
        <v>355</v>
      </c>
      <c r="M3700" t="s">
        <v>131</v>
      </c>
      <c r="N3700">
        <v>22</v>
      </c>
      <c r="P3700" t="s">
        <v>41</v>
      </c>
      <c r="Q3700" t="s">
        <v>75</v>
      </c>
      <c r="R3700" t="str">
        <f>"7054038"</f>
        <v>7054038</v>
      </c>
      <c r="S3700" t="s">
        <v>377</v>
      </c>
      <c r="T3700" t="s">
        <v>354</v>
      </c>
      <c r="U3700" t="s">
        <v>355</v>
      </c>
      <c r="V3700" t="s">
        <v>131</v>
      </c>
      <c r="W3700" t="s">
        <v>51</v>
      </c>
      <c r="X3700" t="s">
        <v>45</v>
      </c>
      <c r="Y3700" s="1">
        <v>25416</v>
      </c>
      <c r="Z3700">
        <v>1</v>
      </c>
      <c r="AA3700" t="s">
        <v>355</v>
      </c>
      <c r="AB3700" s="40" t="s">
        <v>1799</v>
      </c>
    </row>
    <row r="3701" spans="1:28" x14ac:dyDescent="0.25">
      <c r="A3701">
        <v>99913700</v>
      </c>
      <c r="B3701" t="s">
        <v>32</v>
      </c>
      <c r="C3701" t="s">
        <v>33</v>
      </c>
      <c r="D3701" t="s">
        <v>34</v>
      </c>
      <c r="G3701" t="s">
        <v>48</v>
      </c>
      <c r="H3701">
        <v>1</v>
      </c>
      <c r="K3701" t="s">
        <v>157</v>
      </c>
      <c r="L3701" t="s">
        <v>158</v>
      </c>
      <c r="M3701" t="s">
        <v>131</v>
      </c>
      <c r="N3701">
        <v>22</v>
      </c>
      <c r="P3701" t="s">
        <v>41</v>
      </c>
      <c r="Q3701" t="s">
        <v>49</v>
      </c>
      <c r="R3701" t="str">
        <f>"0560019"</f>
        <v>0560019</v>
      </c>
      <c r="S3701" t="s">
        <v>166</v>
      </c>
      <c r="T3701" t="s">
        <v>157</v>
      </c>
      <c r="U3701" t="s">
        <v>158</v>
      </c>
      <c r="V3701" t="s">
        <v>131</v>
      </c>
      <c r="W3701" t="s">
        <v>51</v>
      </c>
      <c r="X3701" t="s">
        <v>45</v>
      </c>
      <c r="Y3701" s="1">
        <v>25319</v>
      </c>
      <c r="Z3701">
        <v>2</v>
      </c>
      <c r="AA3701" t="s">
        <v>158</v>
      </c>
      <c r="AB3701" s="40" t="s">
        <v>1799</v>
      </c>
    </row>
    <row r="3702" spans="1:28" x14ac:dyDescent="0.25">
      <c r="A3702">
        <v>99913701</v>
      </c>
      <c r="B3702" t="s">
        <v>32</v>
      </c>
      <c r="C3702" t="s">
        <v>111</v>
      </c>
      <c r="D3702" t="s">
        <v>112</v>
      </c>
      <c r="G3702" t="s">
        <v>48</v>
      </c>
      <c r="H3702">
        <v>1</v>
      </c>
      <c r="K3702" t="s">
        <v>354</v>
      </c>
      <c r="L3702" t="s">
        <v>355</v>
      </c>
      <c r="M3702" t="s">
        <v>131</v>
      </c>
      <c r="N3702">
        <v>22</v>
      </c>
      <c r="P3702" t="s">
        <v>41</v>
      </c>
      <c r="Q3702" t="s">
        <v>75</v>
      </c>
      <c r="R3702" t="str">
        <f>"7054022"</f>
        <v>7054022</v>
      </c>
      <c r="S3702" t="s">
        <v>770</v>
      </c>
      <c r="T3702" t="s">
        <v>354</v>
      </c>
      <c r="U3702" t="s">
        <v>355</v>
      </c>
      <c r="V3702" t="s">
        <v>131</v>
      </c>
      <c r="W3702" t="s">
        <v>51</v>
      </c>
      <c r="X3702" t="s">
        <v>45</v>
      </c>
      <c r="Y3702" s="1">
        <v>25281</v>
      </c>
      <c r="Z3702">
        <v>1</v>
      </c>
      <c r="AA3702" t="s">
        <v>355</v>
      </c>
      <c r="AB3702" s="40" t="s">
        <v>1799</v>
      </c>
    </row>
    <row r="3703" spans="1:28" x14ac:dyDescent="0.25">
      <c r="A3703">
        <v>99913702</v>
      </c>
      <c r="B3703" t="s">
        <v>32</v>
      </c>
      <c r="C3703" t="s">
        <v>90</v>
      </c>
      <c r="D3703" t="s">
        <v>91</v>
      </c>
      <c r="G3703" t="s">
        <v>48</v>
      </c>
      <c r="H3703">
        <v>1</v>
      </c>
      <c r="K3703" t="s">
        <v>268</v>
      </c>
      <c r="L3703" t="s">
        <v>269</v>
      </c>
      <c r="M3703" t="s">
        <v>131</v>
      </c>
      <c r="N3703">
        <v>22</v>
      </c>
      <c r="P3703" t="s">
        <v>41</v>
      </c>
      <c r="Q3703" t="s">
        <v>95</v>
      </c>
      <c r="R3703" t="str">
        <f>"7052001"</f>
        <v>7052001</v>
      </c>
      <c r="S3703" t="s">
        <v>576</v>
      </c>
      <c r="T3703" t="s">
        <v>268</v>
      </c>
      <c r="U3703" t="s">
        <v>269</v>
      </c>
      <c r="V3703" t="s">
        <v>131</v>
      </c>
      <c r="W3703" t="s">
        <v>51</v>
      </c>
      <c r="X3703" t="s">
        <v>45</v>
      </c>
      <c r="Y3703" s="1">
        <v>25259</v>
      </c>
      <c r="Z3703">
        <v>1</v>
      </c>
      <c r="AA3703" t="s">
        <v>269</v>
      </c>
      <c r="AB3703" s="40" t="s">
        <v>1799</v>
      </c>
    </row>
    <row r="3704" spans="1:28" x14ac:dyDescent="0.25">
      <c r="A3704">
        <v>99913703</v>
      </c>
      <c r="B3704" t="s">
        <v>56</v>
      </c>
      <c r="C3704" t="s">
        <v>111</v>
      </c>
      <c r="D3704" t="s">
        <v>112</v>
      </c>
      <c r="G3704" t="s">
        <v>48</v>
      </c>
      <c r="H3704">
        <v>15</v>
      </c>
      <c r="I3704" t="s">
        <v>560</v>
      </c>
      <c r="J3704" s="1">
        <v>38596</v>
      </c>
      <c r="K3704" t="s">
        <v>431</v>
      </c>
      <c r="L3704" t="s">
        <v>196</v>
      </c>
      <c r="M3704" t="s">
        <v>131</v>
      </c>
      <c r="N3704">
        <v>22</v>
      </c>
      <c r="O3704" s="1">
        <v>38596</v>
      </c>
      <c r="P3704" t="s">
        <v>41</v>
      </c>
      <c r="Q3704" t="s">
        <v>75</v>
      </c>
      <c r="R3704" t="str">
        <f>"7521022"</f>
        <v>7521022</v>
      </c>
      <c r="S3704" t="s">
        <v>445</v>
      </c>
      <c r="T3704" t="s">
        <v>431</v>
      </c>
      <c r="U3704" t="s">
        <v>196</v>
      </c>
      <c r="V3704" t="s">
        <v>131</v>
      </c>
      <c r="W3704" t="s">
        <v>51</v>
      </c>
      <c r="X3704" t="s">
        <v>45</v>
      </c>
      <c r="Y3704" s="1">
        <v>25229</v>
      </c>
      <c r="Z3704">
        <v>1</v>
      </c>
      <c r="AA3704" t="s">
        <v>196</v>
      </c>
      <c r="AB3704" s="40" t="s">
        <v>1799</v>
      </c>
    </row>
    <row r="3705" spans="1:28" x14ac:dyDescent="0.25">
      <c r="A3705">
        <v>99913704</v>
      </c>
      <c r="B3705" t="s">
        <v>56</v>
      </c>
      <c r="C3705" t="s">
        <v>79</v>
      </c>
      <c r="D3705" t="s">
        <v>80</v>
      </c>
      <c r="G3705" t="s">
        <v>48</v>
      </c>
      <c r="H3705">
        <v>1</v>
      </c>
      <c r="I3705" t="s">
        <v>279</v>
      </c>
      <c r="J3705" s="1">
        <v>41599</v>
      </c>
      <c r="K3705" t="s">
        <v>223</v>
      </c>
      <c r="L3705" t="s">
        <v>224</v>
      </c>
      <c r="M3705" t="s">
        <v>131</v>
      </c>
      <c r="N3705">
        <v>22</v>
      </c>
      <c r="O3705" s="1">
        <v>41599</v>
      </c>
      <c r="P3705" t="s">
        <v>41</v>
      </c>
      <c r="Q3705" t="s">
        <v>49</v>
      </c>
      <c r="R3705" t="str">
        <f>"0581206"</f>
        <v>0581206</v>
      </c>
      <c r="S3705" t="s">
        <v>232</v>
      </c>
      <c r="T3705" t="s">
        <v>223</v>
      </c>
      <c r="U3705" t="s">
        <v>224</v>
      </c>
      <c r="V3705" t="s">
        <v>131</v>
      </c>
      <c r="W3705" t="s">
        <v>51</v>
      </c>
      <c r="X3705" t="s">
        <v>45</v>
      </c>
      <c r="Y3705" s="1">
        <v>25204</v>
      </c>
      <c r="Z3705">
        <v>2</v>
      </c>
      <c r="AA3705" t="s">
        <v>224</v>
      </c>
      <c r="AB3705" s="40" t="s">
        <v>1799</v>
      </c>
    </row>
    <row r="3706" spans="1:28" x14ac:dyDescent="0.25">
      <c r="A3706">
        <v>99913705</v>
      </c>
      <c r="B3706" t="s">
        <v>32</v>
      </c>
      <c r="C3706" t="s">
        <v>79</v>
      </c>
      <c r="D3706" t="s">
        <v>80</v>
      </c>
      <c r="G3706" t="s">
        <v>35</v>
      </c>
      <c r="H3706">
        <v>1</v>
      </c>
      <c r="K3706" t="s">
        <v>268</v>
      </c>
      <c r="L3706" t="s">
        <v>269</v>
      </c>
      <c r="M3706" t="s">
        <v>131</v>
      </c>
      <c r="N3706">
        <v>22</v>
      </c>
      <c r="P3706" t="s">
        <v>41</v>
      </c>
      <c r="Q3706" t="s">
        <v>75</v>
      </c>
      <c r="R3706" t="str">
        <f>"7052044"</f>
        <v>7052044</v>
      </c>
      <c r="S3706" t="s">
        <v>589</v>
      </c>
      <c r="T3706" t="s">
        <v>268</v>
      </c>
      <c r="U3706" t="s">
        <v>269</v>
      </c>
      <c r="V3706" t="s">
        <v>131</v>
      </c>
      <c r="W3706" t="s">
        <v>51</v>
      </c>
      <c r="X3706" t="s">
        <v>45</v>
      </c>
      <c r="Y3706" s="1">
        <v>25204</v>
      </c>
      <c r="Z3706">
        <v>1</v>
      </c>
      <c r="AA3706" t="s">
        <v>269</v>
      </c>
      <c r="AB3706" s="40" t="s">
        <v>1799</v>
      </c>
    </row>
    <row r="3707" spans="1:28" x14ac:dyDescent="0.25">
      <c r="A3707">
        <v>99913706</v>
      </c>
      <c r="B3707" t="s">
        <v>56</v>
      </c>
      <c r="C3707" t="s">
        <v>111</v>
      </c>
      <c r="D3707" t="s">
        <v>112</v>
      </c>
      <c r="G3707" t="s">
        <v>48</v>
      </c>
      <c r="H3707">
        <v>8</v>
      </c>
      <c r="I3707" t="s">
        <v>531</v>
      </c>
      <c r="J3707" s="1">
        <v>39326</v>
      </c>
      <c r="K3707" t="s">
        <v>431</v>
      </c>
      <c r="L3707" t="s">
        <v>196</v>
      </c>
      <c r="M3707" t="s">
        <v>131</v>
      </c>
      <c r="N3707">
        <v>22</v>
      </c>
      <c r="O3707" s="1">
        <v>39326</v>
      </c>
      <c r="P3707" t="s">
        <v>41</v>
      </c>
      <c r="Q3707" t="s">
        <v>75</v>
      </c>
      <c r="R3707" t="str">
        <f>"7521022"</f>
        <v>7521022</v>
      </c>
      <c r="S3707" t="s">
        <v>445</v>
      </c>
      <c r="T3707" t="s">
        <v>431</v>
      </c>
      <c r="U3707" t="s">
        <v>196</v>
      </c>
      <c r="V3707" t="s">
        <v>131</v>
      </c>
      <c r="W3707" t="s">
        <v>51</v>
      </c>
      <c r="X3707" t="s">
        <v>45</v>
      </c>
      <c r="Y3707" s="1">
        <v>25141</v>
      </c>
      <c r="Z3707">
        <v>1</v>
      </c>
      <c r="AA3707" t="s">
        <v>196</v>
      </c>
      <c r="AB3707" s="40" t="s">
        <v>1799</v>
      </c>
    </row>
    <row r="3708" spans="1:28" x14ac:dyDescent="0.25">
      <c r="A3708">
        <v>99913707</v>
      </c>
      <c r="B3708" t="s">
        <v>56</v>
      </c>
      <c r="C3708" t="s">
        <v>61</v>
      </c>
      <c r="D3708" t="s">
        <v>62</v>
      </c>
      <c r="G3708" t="s">
        <v>48</v>
      </c>
      <c r="H3708">
        <v>1</v>
      </c>
      <c r="K3708" t="s">
        <v>1341</v>
      </c>
      <c r="L3708" t="s">
        <v>1342</v>
      </c>
      <c r="M3708" t="s">
        <v>1270</v>
      </c>
      <c r="N3708">
        <v>22</v>
      </c>
      <c r="P3708" t="s">
        <v>41</v>
      </c>
      <c r="Q3708" t="s">
        <v>75</v>
      </c>
      <c r="R3708" t="str">
        <f>"7191028"</f>
        <v>7191028</v>
      </c>
      <c r="S3708" t="s">
        <v>1392</v>
      </c>
      <c r="T3708" t="s">
        <v>1341</v>
      </c>
      <c r="U3708" t="s">
        <v>1342</v>
      </c>
      <c r="V3708" t="s">
        <v>1270</v>
      </c>
      <c r="W3708" t="s">
        <v>51</v>
      </c>
      <c r="X3708" t="s">
        <v>45</v>
      </c>
      <c r="Y3708" s="1">
        <v>25130</v>
      </c>
      <c r="Z3708">
        <v>1</v>
      </c>
      <c r="AA3708" t="s">
        <v>1342</v>
      </c>
      <c r="AB3708" s="40" t="s">
        <v>1799</v>
      </c>
    </row>
    <row r="3709" spans="1:28" x14ac:dyDescent="0.25">
      <c r="A3709">
        <v>99913708</v>
      </c>
      <c r="B3709" t="s">
        <v>32</v>
      </c>
      <c r="C3709" t="s">
        <v>79</v>
      </c>
      <c r="D3709" t="s">
        <v>80</v>
      </c>
      <c r="G3709" t="s">
        <v>48</v>
      </c>
      <c r="H3709">
        <v>11</v>
      </c>
      <c r="K3709" t="s">
        <v>1426</v>
      </c>
      <c r="L3709" t="s">
        <v>1427</v>
      </c>
      <c r="M3709" t="s">
        <v>1270</v>
      </c>
      <c r="N3709">
        <v>22</v>
      </c>
      <c r="P3709" t="s">
        <v>41</v>
      </c>
      <c r="Q3709" t="s">
        <v>75</v>
      </c>
      <c r="R3709" t="str">
        <f>"7192000"</f>
        <v>7192000</v>
      </c>
      <c r="S3709" t="s">
        <v>1429</v>
      </c>
      <c r="T3709" t="s">
        <v>1426</v>
      </c>
      <c r="U3709" t="s">
        <v>1427</v>
      </c>
      <c r="V3709" t="s">
        <v>1270</v>
      </c>
      <c r="W3709" t="s">
        <v>51</v>
      </c>
      <c r="X3709" t="s">
        <v>45</v>
      </c>
      <c r="Y3709" s="1">
        <v>25066</v>
      </c>
      <c r="Z3709">
        <v>1</v>
      </c>
      <c r="AA3709" t="s">
        <v>1427</v>
      </c>
      <c r="AB3709" s="40" t="s">
        <v>1799</v>
      </c>
    </row>
    <row r="3710" spans="1:28" x14ac:dyDescent="0.25">
      <c r="A3710">
        <v>99913709</v>
      </c>
      <c r="B3710" t="s">
        <v>32</v>
      </c>
      <c r="C3710" t="s">
        <v>111</v>
      </c>
      <c r="D3710" t="s">
        <v>112</v>
      </c>
      <c r="G3710" t="s">
        <v>35</v>
      </c>
      <c r="H3710">
        <v>1</v>
      </c>
      <c r="K3710" t="s">
        <v>354</v>
      </c>
      <c r="L3710" t="s">
        <v>355</v>
      </c>
      <c r="M3710" t="s">
        <v>131</v>
      </c>
      <c r="N3710">
        <v>22</v>
      </c>
      <c r="P3710" t="s">
        <v>41</v>
      </c>
      <c r="Q3710" t="s">
        <v>75</v>
      </c>
      <c r="R3710" t="str">
        <f>"7054020"</f>
        <v>7054020</v>
      </c>
      <c r="S3710" t="s">
        <v>765</v>
      </c>
      <c r="T3710" t="s">
        <v>354</v>
      </c>
      <c r="U3710" t="s">
        <v>355</v>
      </c>
      <c r="V3710" t="s">
        <v>131</v>
      </c>
      <c r="W3710" t="s">
        <v>51</v>
      </c>
      <c r="X3710" t="s">
        <v>45</v>
      </c>
      <c r="Y3710" s="1">
        <v>25047</v>
      </c>
      <c r="Z3710">
        <v>1</v>
      </c>
      <c r="AA3710" t="s">
        <v>355</v>
      </c>
      <c r="AB3710" s="40" t="s">
        <v>1799</v>
      </c>
    </row>
    <row r="3711" spans="1:28" x14ac:dyDescent="0.25">
      <c r="A3711">
        <v>99913710</v>
      </c>
      <c r="B3711" t="s">
        <v>32</v>
      </c>
      <c r="C3711" t="s">
        <v>111</v>
      </c>
      <c r="D3711" t="s">
        <v>112</v>
      </c>
      <c r="G3711" t="s">
        <v>48</v>
      </c>
      <c r="H3711">
        <v>1</v>
      </c>
      <c r="K3711" t="s">
        <v>407</v>
      </c>
      <c r="L3711" t="s">
        <v>409</v>
      </c>
      <c r="M3711" t="s">
        <v>131</v>
      </c>
      <c r="N3711">
        <v>22</v>
      </c>
      <c r="P3711" t="s">
        <v>41</v>
      </c>
      <c r="Q3711" t="s">
        <v>75</v>
      </c>
      <c r="R3711" t="str">
        <f>"7053000"</f>
        <v>7053000</v>
      </c>
      <c r="S3711" t="s">
        <v>754</v>
      </c>
      <c r="T3711" t="s">
        <v>407</v>
      </c>
      <c r="U3711" t="s">
        <v>409</v>
      </c>
      <c r="V3711" t="s">
        <v>131</v>
      </c>
      <c r="W3711" t="s">
        <v>51</v>
      </c>
      <c r="X3711" t="s">
        <v>45</v>
      </c>
      <c r="Y3711" s="1">
        <v>25022</v>
      </c>
      <c r="Z3711">
        <v>1</v>
      </c>
      <c r="AA3711" t="s">
        <v>409</v>
      </c>
      <c r="AB3711" s="40" t="s">
        <v>1799</v>
      </c>
    </row>
    <row r="3712" spans="1:28" x14ac:dyDescent="0.25">
      <c r="A3712">
        <v>99913711</v>
      </c>
      <c r="B3712" t="s">
        <v>32</v>
      </c>
      <c r="C3712" t="s">
        <v>139</v>
      </c>
      <c r="D3712" t="s">
        <v>140</v>
      </c>
      <c r="G3712" t="s">
        <v>35</v>
      </c>
      <c r="H3712">
        <v>1</v>
      </c>
      <c r="K3712" t="s">
        <v>354</v>
      </c>
      <c r="L3712" t="s">
        <v>355</v>
      </c>
      <c r="M3712" t="s">
        <v>131</v>
      </c>
      <c r="N3712">
        <v>22</v>
      </c>
      <c r="P3712" t="s">
        <v>41</v>
      </c>
      <c r="Q3712" t="s">
        <v>75</v>
      </c>
      <c r="R3712" t="str">
        <f>"7054020"</f>
        <v>7054020</v>
      </c>
      <c r="S3712" t="s">
        <v>765</v>
      </c>
      <c r="T3712" t="s">
        <v>354</v>
      </c>
      <c r="U3712" t="s">
        <v>355</v>
      </c>
      <c r="V3712" t="s">
        <v>131</v>
      </c>
      <c r="W3712" t="s">
        <v>51</v>
      </c>
      <c r="X3712" t="s">
        <v>45</v>
      </c>
      <c r="Y3712" s="1">
        <v>25007</v>
      </c>
      <c r="Z3712">
        <v>1</v>
      </c>
      <c r="AA3712" t="s">
        <v>355</v>
      </c>
      <c r="AB3712" s="40" t="s">
        <v>1799</v>
      </c>
    </row>
    <row r="3713" spans="1:28" x14ac:dyDescent="0.25">
      <c r="A3713">
        <v>99913712</v>
      </c>
      <c r="B3713" t="s">
        <v>32</v>
      </c>
      <c r="C3713" t="s">
        <v>139</v>
      </c>
      <c r="D3713" t="s">
        <v>140</v>
      </c>
      <c r="G3713" t="s">
        <v>48</v>
      </c>
      <c r="H3713">
        <v>1</v>
      </c>
      <c r="K3713" t="s">
        <v>223</v>
      </c>
      <c r="L3713" t="s">
        <v>224</v>
      </c>
      <c r="M3713" t="s">
        <v>131</v>
      </c>
      <c r="N3713">
        <v>22</v>
      </c>
      <c r="P3713" t="s">
        <v>41</v>
      </c>
      <c r="Q3713" t="s">
        <v>49</v>
      </c>
      <c r="R3713" t="str">
        <f>"0581206"</f>
        <v>0581206</v>
      </c>
      <c r="S3713" t="s">
        <v>232</v>
      </c>
      <c r="T3713" t="s">
        <v>223</v>
      </c>
      <c r="U3713" t="s">
        <v>224</v>
      </c>
      <c r="V3713" t="s">
        <v>131</v>
      </c>
      <c r="W3713" t="s">
        <v>51</v>
      </c>
      <c r="X3713" t="s">
        <v>45</v>
      </c>
      <c r="Y3713" s="1">
        <v>24953</v>
      </c>
      <c r="Z3713">
        <v>2</v>
      </c>
      <c r="AA3713" t="s">
        <v>224</v>
      </c>
      <c r="AB3713" s="40" t="s">
        <v>1799</v>
      </c>
    </row>
    <row r="3714" spans="1:28" x14ac:dyDescent="0.25">
      <c r="A3714">
        <v>99913713</v>
      </c>
      <c r="B3714" t="s">
        <v>32</v>
      </c>
      <c r="C3714" t="s">
        <v>90</v>
      </c>
      <c r="D3714" t="s">
        <v>91</v>
      </c>
      <c r="G3714" t="s">
        <v>48</v>
      </c>
      <c r="H3714">
        <v>1</v>
      </c>
      <c r="K3714" t="s">
        <v>268</v>
      </c>
      <c r="L3714" t="s">
        <v>269</v>
      </c>
      <c r="M3714" t="s">
        <v>131</v>
      </c>
      <c r="N3714">
        <v>22</v>
      </c>
      <c r="P3714" t="s">
        <v>41</v>
      </c>
      <c r="Q3714" t="s">
        <v>95</v>
      </c>
      <c r="R3714" t="str">
        <f>"7052001"</f>
        <v>7052001</v>
      </c>
      <c r="S3714" t="s">
        <v>576</v>
      </c>
      <c r="T3714" t="s">
        <v>268</v>
      </c>
      <c r="U3714" t="s">
        <v>269</v>
      </c>
      <c r="V3714" t="s">
        <v>131</v>
      </c>
      <c r="W3714" t="s">
        <v>51</v>
      </c>
      <c r="X3714" t="s">
        <v>45</v>
      </c>
      <c r="Y3714" s="1">
        <v>24918</v>
      </c>
      <c r="Z3714">
        <v>1</v>
      </c>
      <c r="AA3714" t="s">
        <v>269</v>
      </c>
      <c r="AB3714" s="40" t="s">
        <v>1799</v>
      </c>
    </row>
    <row r="3715" spans="1:28" x14ac:dyDescent="0.25">
      <c r="A3715">
        <v>99913714</v>
      </c>
      <c r="B3715" t="s">
        <v>56</v>
      </c>
      <c r="C3715" t="s">
        <v>46</v>
      </c>
      <c r="D3715" t="s">
        <v>47</v>
      </c>
      <c r="G3715" t="s">
        <v>48</v>
      </c>
      <c r="H3715">
        <v>1</v>
      </c>
      <c r="K3715" t="s">
        <v>223</v>
      </c>
      <c r="L3715" t="s">
        <v>224</v>
      </c>
      <c r="M3715" t="s">
        <v>131</v>
      </c>
      <c r="N3715">
        <v>22</v>
      </c>
      <c r="P3715" t="s">
        <v>41</v>
      </c>
      <c r="Q3715" t="s">
        <v>42</v>
      </c>
      <c r="R3715" t="str">
        <f>"0590910"</f>
        <v>0590910</v>
      </c>
      <c r="S3715" t="s">
        <v>227</v>
      </c>
      <c r="T3715" t="s">
        <v>223</v>
      </c>
      <c r="U3715" t="s">
        <v>224</v>
      </c>
      <c r="V3715" t="s">
        <v>131</v>
      </c>
      <c r="W3715" t="s">
        <v>51</v>
      </c>
      <c r="X3715" t="s">
        <v>45</v>
      </c>
      <c r="Y3715" s="1">
        <v>24838</v>
      </c>
      <c r="Z3715">
        <v>2</v>
      </c>
      <c r="AA3715" t="s">
        <v>224</v>
      </c>
      <c r="AB3715" s="40" t="s">
        <v>1799</v>
      </c>
    </row>
    <row r="3716" spans="1:28" x14ac:dyDescent="0.25">
      <c r="A3716">
        <v>99913715</v>
      </c>
      <c r="B3716" t="s">
        <v>56</v>
      </c>
      <c r="C3716" t="s">
        <v>58</v>
      </c>
      <c r="D3716" t="s">
        <v>59</v>
      </c>
      <c r="G3716" t="s">
        <v>48</v>
      </c>
      <c r="H3716">
        <v>1</v>
      </c>
      <c r="K3716" t="s">
        <v>157</v>
      </c>
      <c r="L3716" t="s">
        <v>158</v>
      </c>
      <c r="M3716" t="s">
        <v>131</v>
      </c>
      <c r="N3716">
        <v>22</v>
      </c>
      <c r="P3716" t="s">
        <v>41</v>
      </c>
      <c r="Q3716" t="s">
        <v>42</v>
      </c>
      <c r="R3716" t="str">
        <f>"0580735"</f>
        <v>0580735</v>
      </c>
      <c r="S3716" t="s">
        <v>180</v>
      </c>
      <c r="T3716" t="s">
        <v>157</v>
      </c>
      <c r="U3716" t="s">
        <v>158</v>
      </c>
      <c r="V3716" t="s">
        <v>131</v>
      </c>
      <c r="W3716" t="s">
        <v>51</v>
      </c>
      <c r="X3716" t="s">
        <v>45</v>
      </c>
      <c r="Y3716" s="1">
        <v>24819</v>
      </c>
      <c r="Z3716">
        <v>2</v>
      </c>
      <c r="AA3716" t="s">
        <v>158</v>
      </c>
      <c r="AB3716" s="40" t="s">
        <v>1799</v>
      </c>
    </row>
    <row r="3717" spans="1:28" x14ac:dyDescent="0.25">
      <c r="A3717">
        <v>99913716</v>
      </c>
      <c r="B3717" t="s">
        <v>32</v>
      </c>
      <c r="C3717" t="s">
        <v>46</v>
      </c>
      <c r="D3717" t="s">
        <v>47</v>
      </c>
      <c r="G3717" t="s">
        <v>35</v>
      </c>
      <c r="H3717">
        <v>1</v>
      </c>
      <c r="I3717">
        <v>0</v>
      </c>
      <c r="J3717" s="1">
        <v>43344</v>
      </c>
      <c r="K3717" t="s">
        <v>223</v>
      </c>
      <c r="L3717" t="s">
        <v>224</v>
      </c>
      <c r="M3717" t="s">
        <v>131</v>
      </c>
      <c r="N3717">
        <v>22</v>
      </c>
      <c r="O3717" s="1">
        <v>43344</v>
      </c>
      <c r="P3717" t="s">
        <v>41</v>
      </c>
      <c r="Q3717" t="s">
        <v>49</v>
      </c>
      <c r="R3717" t="str">
        <f>"0581207"</f>
        <v>0581207</v>
      </c>
      <c r="S3717" t="s">
        <v>233</v>
      </c>
      <c r="T3717" t="s">
        <v>223</v>
      </c>
      <c r="U3717" t="s">
        <v>224</v>
      </c>
      <c r="V3717" t="s">
        <v>131</v>
      </c>
      <c r="W3717" t="s">
        <v>165</v>
      </c>
      <c r="X3717" t="s">
        <v>45</v>
      </c>
      <c r="Y3717" s="1">
        <v>24813</v>
      </c>
      <c r="Z3717">
        <v>2</v>
      </c>
      <c r="AA3717" t="s">
        <v>224</v>
      </c>
      <c r="AB3717" s="40" t="s">
        <v>1799</v>
      </c>
    </row>
    <row r="3718" spans="1:28" x14ac:dyDescent="0.25">
      <c r="A3718">
        <v>99913717</v>
      </c>
      <c r="B3718" t="s">
        <v>32</v>
      </c>
      <c r="C3718" t="s">
        <v>64</v>
      </c>
      <c r="D3718" t="s">
        <v>65</v>
      </c>
      <c r="G3718" t="s">
        <v>35</v>
      </c>
      <c r="H3718">
        <v>11</v>
      </c>
      <c r="K3718" t="s">
        <v>268</v>
      </c>
      <c r="L3718" t="s">
        <v>269</v>
      </c>
      <c r="M3718" t="s">
        <v>131</v>
      </c>
      <c r="N3718">
        <v>22</v>
      </c>
      <c r="P3718" t="s">
        <v>41</v>
      </c>
      <c r="Q3718" t="s">
        <v>75</v>
      </c>
      <c r="R3718" t="str">
        <f>"7052006"</f>
        <v>7052006</v>
      </c>
      <c r="S3718" t="s">
        <v>575</v>
      </c>
      <c r="T3718" t="s">
        <v>268</v>
      </c>
      <c r="U3718" t="s">
        <v>269</v>
      </c>
      <c r="V3718" t="s">
        <v>131</v>
      </c>
      <c r="W3718" t="s">
        <v>51</v>
      </c>
      <c r="X3718" t="s">
        <v>45</v>
      </c>
      <c r="Y3718" s="1">
        <v>24730</v>
      </c>
      <c r="Z3718">
        <v>1</v>
      </c>
      <c r="AA3718" t="s">
        <v>269</v>
      </c>
      <c r="AB3718" s="40" t="s">
        <v>1799</v>
      </c>
    </row>
    <row r="3719" spans="1:28" x14ac:dyDescent="0.25">
      <c r="A3719">
        <v>99913718</v>
      </c>
      <c r="B3719" t="s">
        <v>32</v>
      </c>
      <c r="C3719" t="s">
        <v>46</v>
      </c>
      <c r="D3719" t="s">
        <v>47</v>
      </c>
      <c r="G3719" t="s">
        <v>48</v>
      </c>
      <c r="H3719">
        <v>1</v>
      </c>
      <c r="K3719" t="s">
        <v>129</v>
      </c>
      <c r="L3719" t="s">
        <v>130</v>
      </c>
      <c r="M3719" t="s">
        <v>131</v>
      </c>
      <c r="N3719">
        <v>22</v>
      </c>
      <c r="P3719" t="s">
        <v>41</v>
      </c>
      <c r="Q3719" t="s">
        <v>49</v>
      </c>
      <c r="R3719" t="str">
        <f>"0560024"</f>
        <v>0560024</v>
      </c>
      <c r="S3719" t="s">
        <v>138</v>
      </c>
      <c r="T3719" t="s">
        <v>129</v>
      </c>
      <c r="U3719" t="s">
        <v>130</v>
      </c>
      <c r="V3719" t="s">
        <v>131</v>
      </c>
      <c r="W3719" t="s">
        <v>51</v>
      </c>
      <c r="X3719" t="s">
        <v>45</v>
      </c>
      <c r="Y3719" s="1">
        <v>24616</v>
      </c>
      <c r="Z3719">
        <v>2</v>
      </c>
      <c r="AA3719" t="s">
        <v>130</v>
      </c>
      <c r="AB3719" s="40" t="s">
        <v>1799</v>
      </c>
    </row>
    <row r="3720" spans="1:28" x14ac:dyDescent="0.25">
      <c r="A3720">
        <v>99913719</v>
      </c>
      <c r="B3720" t="s">
        <v>32</v>
      </c>
      <c r="C3720" t="s">
        <v>79</v>
      </c>
      <c r="D3720" t="s">
        <v>80</v>
      </c>
      <c r="G3720" t="s">
        <v>48</v>
      </c>
      <c r="H3720">
        <v>1</v>
      </c>
      <c r="K3720" t="s">
        <v>877</v>
      </c>
      <c r="L3720" t="s">
        <v>878</v>
      </c>
      <c r="M3720" t="s">
        <v>131</v>
      </c>
      <c r="N3720">
        <v>22</v>
      </c>
      <c r="P3720" t="s">
        <v>41</v>
      </c>
      <c r="Q3720" t="s">
        <v>75</v>
      </c>
      <c r="R3720" t="str">
        <f>"7700025"</f>
        <v>7700025</v>
      </c>
      <c r="S3720" t="s">
        <v>880</v>
      </c>
      <c r="T3720" t="s">
        <v>877</v>
      </c>
      <c r="U3720" t="s">
        <v>878</v>
      </c>
      <c r="V3720" t="s">
        <v>131</v>
      </c>
      <c r="W3720" t="s">
        <v>51</v>
      </c>
      <c r="X3720" t="s">
        <v>45</v>
      </c>
      <c r="Y3720" s="1">
        <v>24608</v>
      </c>
      <c r="Z3720">
        <v>1</v>
      </c>
      <c r="AA3720" t="s">
        <v>878</v>
      </c>
      <c r="AB3720" s="40" t="s">
        <v>1799</v>
      </c>
    </row>
    <row r="3721" spans="1:28" x14ac:dyDescent="0.25">
      <c r="A3721">
        <v>99913720</v>
      </c>
      <c r="B3721" t="s">
        <v>32</v>
      </c>
      <c r="C3721" t="s">
        <v>64</v>
      </c>
      <c r="D3721" t="s">
        <v>65</v>
      </c>
      <c r="G3721" t="s">
        <v>48</v>
      </c>
      <c r="H3721">
        <v>9</v>
      </c>
      <c r="K3721" t="s">
        <v>195</v>
      </c>
      <c r="L3721" t="s">
        <v>196</v>
      </c>
      <c r="M3721" t="s">
        <v>131</v>
      </c>
      <c r="N3721">
        <v>22</v>
      </c>
      <c r="O3721" s="1">
        <v>39692</v>
      </c>
      <c r="P3721" t="s">
        <v>41</v>
      </c>
      <c r="Q3721" t="s">
        <v>75</v>
      </c>
      <c r="R3721" t="str">
        <f>"7521044"</f>
        <v>7521044</v>
      </c>
      <c r="S3721" t="s">
        <v>453</v>
      </c>
      <c r="T3721" t="s">
        <v>195</v>
      </c>
      <c r="U3721" t="s">
        <v>196</v>
      </c>
      <c r="V3721" t="s">
        <v>131</v>
      </c>
      <c r="W3721" t="s">
        <v>51</v>
      </c>
      <c r="X3721" t="s">
        <v>45</v>
      </c>
      <c r="Y3721" s="1">
        <v>24558</v>
      </c>
      <c r="Z3721">
        <v>1</v>
      </c>
      <c r="AA3721" t="s">
        <v>196</v>
      </c>
      <c r="AB3721" s="40" t="s">
        <v>1799</v>
      </c>
    </row>
    <row r="3722" spans="1:28" x14ac:dyDescent="0.25">
      <c r="A3722">
        <v>99913721</v>
      </c>
      <c r="B3722" t="s">
        <v>56</v>
      </c>
      <c r="C3722" t="s">
        <v>111</v>
      </c>
      <c r="D3722" t="s">
        <v>112</v>
      </c>
      <c r="G3722" t="s">
        <v>48</v>
      </c>
      <c r="H3722">
        <v>11</v>
      </c>
      <c r="I3722" t="s">
        <v>447</v>
      </c>
      <c r="J3722" s="1">
        <v>40057</v>
      </c>
      <c r="K3722" t="s">
        <v>431</v>
      </c>
      <c r="L3722" t="s">
        <v>196</v>
      </c>
      <c r="M3722" t="s">
        <v>131</v>
      </c>
      <c r="N3722">
        <v>22</v>
      </c>
      <c r="O3722" s="1">
        <v>40057</v>
      </c>
      <c r="P3722" t="s">
        <v>41</v>
      </c>
      <c r="Q3722" t="s">
        <v>75</v>
      </c>
      <c r="R3722" t="str">
        <f>"7521012"</f>
        <v>7521012</v>
      </c>
      <c r="S3722" t="s">
        <v>432</v>
      </c>
      <c r="T3722" t="s">
        <v>431</v>
      </c>
      <c r="U3722" t="s">
        <v>196</v>
      </c>
      <c r="V3722" t="s">
        <v>131</v>
      </c>
      <c r="W3722" t="s">
        <v>165</v>
      </c>
      <c r="X3722" t="s">
        <v>45</v>
      </c>
      <c r="Y3722" s="1">
        <v>24480</v>
      </c>
      <c r="Z3722">
        <v>1</v>
      </c>
      <c r="AA3722" t="s">
        <v>196</v>
      </c>
      <c r="AB3722" s="40" t="s">
        <v>1799</v>
      </c>
    </row>
    <row r="3723" spans="1:28" x14ac:dyDescent="0.25">
      <c r="A3723">
        <v>99913722</v>
      </c>
      <c r="B3723" t="s">
        <v>56</v>
      </c>
      <c r="C3723" t="s">
        <v>46</v>
      </c>
      <c r="D3723" t="s">
        <v>47</v>
      </c>
      <c r="G3723" t="s">
        <v>48</v>
      </c>
      <c r="H3723">
        <v>1</v>
      </c>
      <c r="K3723" t="s">
        <v>223</v>
      </c>
      <c r="L3723" t="s">
        <v>224</v>
      </c>
      <c r="M3723" t="s">
        <v>131</v>
      </c>
      <c r="N3723">
        <v>22</v>
      </c>
      <c r="P3723" t="s">
        <v>41</v>
      </c>
      <c r="Q3723" t="s">
        <v>42</v>
      </c>
      <c r="R3723" t="str">
        <f>"0590910"</f>
        <v>0590910</v>
      </c>
      <c r="S3723" t="s">
        <v>227</v>
      </c>
      <c r="T3723" t="s">
        <v>223</v>
      </c>
      <c r="U3723" t="s">
        <v>224</v>
      </c>
      <c r="V3723" t="s">
        <v>131</v>
      </c>
      <c r="W3723" t="s">
        <v>51</v>
      </c>
      <c r="X3723" t="s">
        <v>45</v>
      </c>
      <c r="Y3723" s="1">
        <v>24418</v>
      </c>
      <c r="Z3723">
        <v>2</v>
      </c>
      <c r="AA3723" t="s">
        <v>224</v>
      </c>
      <c r="AB3723" s="40" t="s">
        <v>1799</v>
      </c>
    </row>
    <row r="3724" spans="1:28" x14ac:dyDescent="0.25">
      <c r="A3724">
        <v>99913723</v>
      </c>
      <c r="B3724" t="s">
        <v>32</v>
      </c>
      <c r="C3724" t="s">
        <v>111</v>
      </c>
      <c r="D3724" t="s">
        <v>112</v>
      </c>
      <c r="G3724" t="s">
        <v>48</v>
      </c>
      <c r="H3724">
        <v>8</v>
      </c>
      <c r="K3724" t="s">
        <v>1426</v>
      </c>
      <c r="L3724" t="s">
        <v>1427</v>
      </c>
      <c r="M3724" t="s">
        <v>1270</v>
      </c>
      <c r="N3724">
        <v>22</v>
      </c>
      <c r="P3724" t="s">
        <v>41</v>
      </c>
      <c r="Q3724" t="s">
        <v>75</v>
      </c>
      <c r="R3724" t="str">
        <f>"7192000"</f>
        <v>7192000</v>
      </c>
      <c r="S3724" t="s">
        <v>1429</v>
      </c>
      <c r="T3724" t="s">
        <v>1426</v>
      </c>
      <c r="U3724" t="s">
        <v>1427</v>
      </c>
      <c r="V3724" t="s">
        <v>1270</v>
      </c>
      <c r="W3724" t="s">
        <v>51</v>
      </c>
      <c r="X3724" t="s">
        <v>45</v>
      </c>
      <c r="Y3724" s="1">
        <v>24327</v>
      </c>
      <c r="Z3724">
        <v>1</v>
      </c>
      <c r="AA3724" t="s">
        <v>1427</v>
      </c>
      <c r="AB3724" s="40" t="s">
        <v>1799</v>
      </c>
    </row>
    <row r="3725" spans="1:28" x14ac:dyDescent="0.25">
      <c r="A3725">
        <v>99913724</v>
      </c>
      <c r="B3725" t="s">
        <v>32</v>
      </c>
      <c r="C3725" t="s">
        <v>90</v>
      </c>
      <c r="D3725" t="s">
        <v>91</v>
      </c>
      <c r="G3725" t="s">
        <v>35</v>
      </c>
      <c r="H3725">
        <v>1</v>
      </c>
      <c r="K3725" t="s">
        <v>877</v>
      </c>
      <c r="L3725" t="s">
        <v>878</v>
      </c>
      <c r="M3725" t="s">
        <v>131</v>
      </c>
      <c r="N3725">
        <v>22</v>
      </c>
      <c r="P3725" t="s">
        <v>41</v>
      </c>
      <c r="Q3725" t="s">
        <v>75</v>
      </c>
      <c r="R3725" t="str">
        <f>"7700025"</f>
        <v>7700025</v>
      </c>
      <c r="S3725" t="s">
        <v>880</v>
      </c>
      <c r="T3725" t="s">
        <v>877</v>
      </c>
      <c r="U3725" t="s">
        <v>878</v>
      </c>
      <c r="V3725" t="s">
        <v>131</v>
      </c>
      <c r="W3725" t="s">
        <v>51</v>
      </c>
      <c r="X3725" t="s">
        <v>45</v>
      </c>
      <c r="Y3725" s="1">
        <v>24280</v>
      </c>
      <c r="Z3725">
        <v>1</v>
      </c>
      <c r="AA3725" t="s">
        <v>878</v>
      </c>
      <c r="AB3725" s="40" t="s">
        <v>1799</v>
      </c>
    </row>
    <row r="3726" spans="1:28" x14ac:dyDescent="0.25">
      <c r="A3726">
        <v>99913725</v>
      </c>
      <c r="B3726" t="s">
        <v>56</v>
      </c>
      <c r="C3726" t="s">
        <v>79</v>
      </c>
      <c r="D3726" t="s">
        <v>80</v>
      </c>
      <c r="G3726" t="s">
        <v>48</v>
      </c>
      <c r="H3726">
        <v>8</v>
      </c>
      <c r="K3726" t="s">
        <v>1221</v>
      </c>
      <c r="L3726" t="s">
        <v>1222</v>
      </c>
      <c r="M3726" t="s">
        <v>1130</v>
      </c>
      <c r="N3726">
        <v>22</v>
      </c>
      <c r="P3726" t="s">
        <v>41</v>
      </c>
      <c r="Q3726" t="s">
        <v>75</v>
      </c>
      <c r="R3726" t="str">
        <f>"7351000"</f>
        <v>7351000</v>
      </c>
      <c r="S3726" t="s">
        <v>1223</v>
      </c>
      <c r="T3726" t="s">
        <v>1221</v>
      </c>
      <c r="U3726" t="s">
        <v>1222</v>
      </c>
      <c r="V3726" t="s">
        <v>1130</v>
      </c>
      <c r="W3726" t="s">
        <v>51</v>
      </c>
      <c r="X3726" t="s">
        <v>45</v>
      </c>
      <c r="Y3726" s="1">
        <v>24272</v>
      </c>
      <c r="Z3726">
        <v>1</v>
      </c>
      <c r="AA3726" t="s">
        <v>1222</v>
      </c>
      <c r="AB3726" s="40" t="s">
        <v>1799</v>
      </c>
    </row>
    <row r="3727" spans="1:28" x14ac:dyDescent="0.25">
      <c r="A3727">
        <v>99913726</v>
      </c>
      <c r="B3727" t="s">
        <v>56</v>
      </c>
      <c r="C3727" t="s">
        <v>141</v>
      </c>
      <c r="D3727" t="s">
        <v>142</v>
      </c>
      <c r="G3727" t="s">
        <v>48</v>
      </c>
      <c r="H3727">
        <v>1</v>
      </c>
      <c r="K3727" t="s">
        <v>1502</v>
      </c>
      <c r="L3727" t="s">
        <v>1503</v>
      </c>
      <c r="M3727" t="s">
        <v>670</v>
      </c>
      <c r="N3727">
        <v>22</v>
      </c>
      <c r="P3727" t="s">
        <v>41</v>
      </c>
      <c r="Q3727" t="s">
        <v>75</v>
      </c>
      <c r="R3727" t="str">
        <f>"7171000"</f>
        <v>7171000</v>
      </c>
      <c r="S3727" t="s">
        <v>1506</v>
      </c>
      <c r="T3727" t="s">
        <v>1502</v>
      </c>
      <c r="U3727" t="s">
        <v>1503</v>
      </c>
      <c r="V3727" t="s">
        <v>670</v>
      </c>
      <c r="W3727" t="s">
        <v>51</v>
      </c>
      <c r="X3727" t="s">
        <v>45</v>
      </c>
      <c r="Y3727" s="1">
        <v>24213</v>
      </c>
      <c r="Z3727">
        <v>1</v>
      </c>
      <c r="AA3727" t="s">
        <v>1503</v>
      </c>
      <c r="AB3727" s="40" t="s">
        <v>1799</v>
      </c>
    </row>
    <row r="3728" spans="1:28" x14ac:dyDescent="0.25">
      <c r="A3728">
        <v>99913727</v>
      </c>
      <c r="B3728" t="s">
        <v>56</v>
      </c>
      <c r="C3728" t="s">
        <v>295</v>
      </c>
      <c r="D3728" t="s">
        <v>296</v>
      </c>
      <c r="G3728" t="s">
        <v>48</v>
      </c>
      <c r="H3728">
        <v>7</v>
      </c>
      <c r="I3728" t="s">
        <v>522</v>
      </c>
      <c r="J3728" s="1">
        <v>40057</v>
      </c>
      <c r="K3728" t="s">
        <v>195</v>
      </c>
      <c r="L3728" t="s">
        <v>196</v>
      </c>
      <c r="M3728" t="s">
        <v>131</v>
      </c>
      <c r="N3728">
        <v>22</v>
      </c>
      <c r="O3728" s="1">
        <v>40057</v>
      </c>
      <c r="P3728" t="s">
        <v>41</v>
      </c>
      <c r="Q3728" t="s">
        <v>75</v>
      </c>
      <c r="R3728" t="str">
        <f>"7521050"</f>
        <v>7521050</v>
      </c>
      <c r="S3728" t="s">
        <v>194</v>
      </c>
      <c r="T3728" t="s">
        <v>195</v>
      </c>
      <c r="U3728" t="s">
        <v>196</v>
      </c>
      <c r="V3728" t="s">
        <v>131</v>
      </c>
      <c r="W3728" t="s">
        <v>51</v>
      </c>
      <c r="X3728" t="s">
        <v>45</v>
      </c>
      <c r="Y3728" s="1">
        <v>24031</v>
      </c>
      <c r="Z3728">
        <v>1</v>
      </c>
      <c r="AA3728" t="s">
        <v>196</v>
      </c>
      <c r="AB3728" s="40" t="s">
        <v>1799</v>
      </c>
    </row>
    <row r="3729" spans="1:28" x14ac:dyDescent="0.25">
      <c r="A3729">
        <v>99913728</v>
      </c>
      <c r="B3729" t="s">
        <v>32</v>
      </c>
      <c r="C3729" t="s">
        <v>52</v>
      </c>
      <c r="D3729" t="s">
        <v>53</v>
      </c>
      <c r="G3729" t="s">
        <v>35</v>
      </c>
      <c r="H3729">
        <v>1</v>
      </c>
      <c r="K3729" t="s">
        <v>223</v>
      </c>
      <c r="L3729" t="s">
        <v>224</v>
      </c>
      <c r="M3729" t="s">
        <v>131</v>
      </c>
      <c r="N3729">
        <v>22</v>
      </c>
      <c r="P3729" t="s">
        <v>41</v>
      </c>
      <c r="Q3729" t="s">
        <v>49</v>
      </c>
      <c r="R3729" t="str">
        <f>"0560008"</f>
        <v>0560008</v>
      </c>
      <c r="S3729" t="s">
        <v>263</v>
      </c>
      <c r="T3729" t="s">
        <v>223</v>
      </c>
      <c r="U3729" t="s">
        <v>224</v>
      </c>
      <c r="V3729" t="s">
        <v>131</v>
      </c>
      <c r="W3729" t="s">
        <v>51</v>
      </c>
      <c r="X3729" t="s">
        <v>45</v>
      </c>
      <c r="Y3729" s="1">
        <v>23807</v>
      </c>
      <c r="Z3729">
        <v>2</v>
      </c>
      <c r="AA3729" t="s">
        <v>224</v>
      </c>
      <c r="AB3729" s="40" t="s">
        <v>1799</v>
      </c>
    </row>
    <row r="3730" spans="1:28" x14ac:dyDescent="0.25">
      <c r="A3730">
        <v>99913729</v>
      </c>
      <c r="B3730" t="s">
        <v>56</v>
      </c>
      <c r="C3730" t="s">
        <v>79</v>
      </c>
      <c r="D3730" t="s">
        <v>80</v>
      </c>
      <c r="G3730" t="s">
        <v>35</v>
      </c>
      <c r="H3730">
        <v>1</v>
      </c>
      <c r="K3730" t="s">
        <v>268</v>
      </c>
      <c r="L3730" t="s">
        <v>269</v>
      </c>
      <c r="M3730" t="s">
        <v>131</v>
      </c>
      <c r="N3730">
        <v>22</v>
      </c>
      <c r="P3730" t="s">
        <v>41</v>
      </c>
      <c r="Q3730" t="s">
        <v>75</v>
      </c>
      <c r="R3730" t="str">
        <f>"7052028"</f>
        <v>7052028</v>
      </c>
      <c r="S3730" t="s">
        <v>601</v>
      </c>
      <c r="T3730" t="s">
        <v>268</v>
      </c>
      <c r="U3730" t="s">
        <v>269</v>
      </c>
      <c r="V3730" t="s">
        <v>131</v>
      </c>
      <c r="W3730" t="s">
        <v>51</v>
      </c>
      <c r="X3730" t="s">
        <v>45</v>
      </c>
      <c r="Y3730" s="1">
        <v>23709</v>
      </c>
      <c r="Z3730">
        <v>1</v>
      </c>
      <c r="AA3730" t="s">
        <v>269</v>
      </c>
      <c r="AB3730" s="40" t="s">
        <v>1799</v>
      </c>
    </row>
    <row r="3731" spans="1:28" x14ac:dyDescent="0.25">
      <c r="A3731">
        <v>99913730</v>
      </c>
      <c r="B3731" t="s">
        <v>32</v>
      </c>
      <c r="C3731" t="s">
        <v>79</v>
      </c>
      <c r="D3731" t="s">
        <v>80</v>
      </c>
      <c r="G3731" t="s">
        <v>35</v>
      </c>
      <c r="H3731">
        <v>1</v>
      </c>
      <c r="K3731" t="s">
        <v>877</v>
      </c>
      <c r="L3731" t="s">
        <v>878</v>
      </c>
      <c r="M3731" t="s">
        <v>131</v>
      </c>
      <c r="N3731">
        <v>22</v>
      </c>
      <c r="P3731" t="s">
        <v>41</v>
      </c>
      <c r="Q3731" t="s">
        <v>75</v>
      </c>
      <c r="R3731" t="str">
        <f>"7700025"</f>
        <v>7700025</v>
      </c>
      <c r="S3731" t="s">
        <v>880</v>
      </c>
      <c r="T3731" t="s">
        <v>877</v>
      </c>
      <c r="U3731" t="s">
        <v>878</v>
      </c>
      <c r="V3731" t="s">
        <v>131</v>
      </c>
      <c r="W3731" t="s">
        <v>51</v>
      </c>
      <c r="X3731" t="s">
        <v>45</v>
      </c>
      <c r="Y3731" s="1">
        <v>23658</v>
      </c>
      <c r="Z3731">
        <v>1</v>
      </c>
      <c r="AA3731" t="s">
        <v>878</v>
      </c>
      <c r="AB3731" s="40" t="s">
        <v>1799</v>
      </c>
    </row>
    <row r="3732" spans="1:28" x14ac:dyDescent="0.25">
      <c r="A3732">
        <v>99913731</v>
      </c>
      <c r="B3732" t="s">
        <v>56</v>
      </c>
      <c r="C3732" t="s">
        <v>79</v>
      </c>
      <c r="D3732" t="s">
        <v>80</v>
      </c>
      <c r="G3732" t="s">
        <v>48</v>
      </c>
      <c r="H3732">
        <v>1</v>
      </c>
      <c r="K3732" t="s">
        <v>667</v>
      </c>
      <c r="L3732" t="s">
        <v>669</v>
      </c>
      <c r="M3732" t="s">
        <v>670</v>
      </c>
      <c r="N3732">
        <v>22</v>
      </c>
      <c r="P3732" t="s">
        <v>41</v>
      </c>
      <c r="Q3732" t="s">
        <v>75</v>
      </c>
      <c r="R3732" t="str">
        <f>"7501002"</f>
        <v>7501002</v>
      </c>
      <c r="S3732" t="s">
        <v>1519</v>
      </c>
      <c r="T3732" t="s">
        <v>667</v>
      </c>
      <c r="U3732" t="s">
        <v>669</v>
      </c>
      <c r="V3732" t="s">
        <v>670</v>
      </c>
      <c r="W3732" t="s">
        <v>51</v>
      </c>
      <c r="X3732" t="s">
        <v>45</v>
      </c>
      <c r="Y3732" s="1">
        <v>23616</v>
      </c>
      <c r="Z3732">
        <v>1</v>
      </c>
      <c r="AA3732" t="s">
        <v>669</v>
      </c>
      <c r="AB3732" s="40" t="s">
        <v>1799</v>
      </c>
    </row>
    <row r="3733" spans="1:28" x14ac:dyDescent="0.25">
      <c r="A3733">
        <v>99913732</v>
      </c>
      <c r="B3733" t="s">
        <v>32</v>
      </c>
      <c r="C3733" t="s">
        <v>139</v>
      </c>
      <c r="D3733" t="s">
        <v>140</v>
      </c>
      <c r="G3733" t="s">
        <v>35</v>
      </c>
      <c r="H3733">
        <v>1</v>
      </c>
      <c r="K3733" t="s">
        <v>300</v>
      </c>
      <c r="L3733" t="s">
        <v>301</v>
      </c>
      <c r="M3733" t="s">
        <v>131</v>
      </c>
      <c r="N3733">
        <v>22</v>
      </c>
      <c r="P3733" t="s">
        <v>41</v>
      </c>
      <c r="Q3733" t="s">
        <v>49</v>
      </c>
      <c r="R3733" t="str">
        <f>"0560002"</f>
        <v>0560002</v>
      </c>
      <c r="S3733" t="s">
        <v>315</v>
      </c>
      <c r="T3733" t="s">
        <v>300</v>
      </c>
      <c r="U3733" t="s">
        <v>301</v>
      </c>
      <c r="V3733" t="s">
        <v>131</v>
      </c>
      <c r="W3733" t="s">
        <v>51</v>
      </c>
      <c r="X3733" t="s">
        <v>45</v>
      </c>
      <c r="Y3733" s="1">
        <v>23477</v>
      </c>
      <c r="Z3733">
        <v>2</v>
      </c>
      <c r="AA3733" t="s">
        <v>301</v>
      </c>
      <c r="AB3733" s="40" t="s">
        <v>1799</v>
      </c>
    </row>
    <row r="3734" spans="1:28" x14ac:dyDescent="0.25">
      <c r="A3734">
        <v>99913733</v>
      </c>
      <c r="B3734" t="s">
        <v>32</v>
      </c>
      <c r="C3734" t="s">
        <v>90</v>
      </c>
      <c r="D3734" t="s">
        <v>91</v>
      </c>
      <c r="G3734" t="s">
        <v>48</v>
      </c>
      <c r="H3734">
        <v>8</v>
      </c>
      <c r="K3734" t="s">
        <v>1426</v>
      </c>
      <c r="L3734" t="s">
        <v>1427</v>
      </c>
      <c r="M3734" t="s">
        <v>1270</v>
      </c>
      <c r="N3734">
        <v>22</v>
      </c>
      <c r="P3734" t="s">
        <v>41</v>
      </c>
      <c r="Q3734" t="s">
        <v>95</v>
      </c>
      <c r="R3734" t="str">
        <f>"7192017"</f>
        <v>7192017</v>
      </c>
      <c r="S3734" t="s">
        <v>1433</v>
      </c>
      <c r="T3734" t="s">
        <v>1426</v>
      </c>
      <c r="U3734" t="s">
        <v>1427</v>
      </c>
      <c r="V3734" t="s">
        <v>1270</v>
      </c>
      <c r="W3734" t="s">
        <v>51</v>
      </c>
      <c r="X3734" t="s">
        <v>45</v>
      </c>
      <c r="Y3734" s="1">
        <v>23224</v>
      </c>
      <c r="Z3734">
        <v>1</v>
      </c>
      <c r="AA3734" t="s">
        <v>1427</v>
      </c>
      <c r="AB3734" s="40" t="s">
        <v>1799</v>
      </c>
    </row>
    <row r="3735" spans="1:28" x14ac:dyDescent="0.25">
      <c r="A3735">
        <v>99913734</v>
      </c>
      <c r="B3735" t="s">
        <v>56</v>
      </c>
      <c r="C3735" t="s">
        <v>58</v>
      </c>
      <c r="D3735" t="s">
        <v>59</v>
      </c>
      <c r="G3735" t="s">
        <v>35</v>
      </c>
      <c r="H3735">
        <v>1</v>
      </c>
      <c r="K3735" t="s">
        <v>223</v>
      </c>
      <c r="L3735" t="s">
        <v>224</v>
      </c>
      <c r="M3735" t="s">
        <v>131</v>
      </c>
      <c r="N3735">
        <v>22</v>
      </c>
      <c r="P3735" t="s">
        <v>41</v>
      </c>
      <c r="Q3735" t="s">
        <v>42</v>
      </c>
      <c r="R3735" t="str">
        <f>"0590901"</f>
        <v>0590901</v>
      </c>
      <c r="S3735" t="s">
        <v>242</v>
      </c>
      <c r="T3735" t="s">
        <v>223</v>
      </c>
      <c r="U3735" t="s">
        <v>224</v>
      </c>
      <c r="V3735" t="s">
        <v>131</v>
      </c>
      <c r="W3735" t="s">
        <v>51</v>
      </c>
      <c r="X3735" t="s">
        <v>45</v>
      </c>
      <c r="Y3735" s="1">
        <v>23221</v>
      </c>
      <c r="Z3735">
        <v>2</v>
      </c>
      <c r="AA3735" t="s">
        <v>224</v>
      </c>
      <c r="AB3735" s="40" t="s">
        <v>1799</v>
      </c>
    </row>
    <row r="3736" spans="1:28" x14ac:dyDescent="0.25">
      <c r="A3736">
        <v>99913735</v>
      </c>
      <c r="B3736" t="s">
        <v>56</v>
      </c>
      <c r="C3736" t="s">
        <v>52</v>
      </c>
      <c r="D3736" t="s">
        <v>53</v>
      </c>
      <c r="G3736" t="s">
        <v>35</v>
      </c>
      <c r="H3736">
        <v>1</v>
      </c>
      <c r="K3736" t="s">
        <v>300</v>
      </c>
      <c r="L3736" t="s">
        <v>301</v>
      </c>
      <c r="M3736" t="s">
        <v>131</v>
      </c>
      <c r="N3736">
        <v>22</v>
      </c>
      <c r="P3736" t="s">
        <v>41</v>
      </c>
      <c r="Q3736" t="s">
        <v>42</v>
      </c>
      <c r="R3736" t="str">
        <f>"0580457"</f>
        <v>0580457</v>
      </c>
      <c r="S3736" t="s">
        <v>310</v>
      </c>
      <c r="T3736" t="s">
        <v>300</v>
      </c>
      <c r="U3736" t="s">
        <v>301</v>
      </c>
      <c r="V3736" t="s">
        <v>131</v>
      </c>
      <c r="W3736" t="s">
        <v>51</v>
      </c>
      <c r="X3736" t="s">
        <v>45</v>
      </c>
      <c r="Y3736" s="1">
        <v>23041</v>
      </c>
      <c r="Z3736">
        <v>2</v>
      </c>
      <c r="AA3736" t="s">
        <v>301</v>
      </c>
      <c r="AB3736" s="40" t="s">
        <v>1799</v>
      </c>
    </row>
    <row r="3737" spans="1:28" x14ac:dyDescent="0.25">
      <c r="A3737">
        <v>99913736</v>
      </c>
      <c r="B3737" t="s">
        <v>32</v>
      </c>
      <c r="C3737" t="s">
        <v>71</v>
      </c>
      <c r="D3737" t="s">
        <v>72</v>
      </c>
      <c r="G3737" t="s">
        <v>48</v>
      </c>
      <c r="H3737">
        <v>1</v>
      </c>
      <c r="K3737" t="s">
        <v>223</v>
      </c>
      <c r="L3737" t="s">
        <v>224</v>
      </c>
      <c r="M3737" t="s">
        <v>131</v>
      </c>
      <c r="N3737">
        <v>22</v>
      </c>
      <c r="P3737" t="s">
        <v>41</v>
      </c>
      <c r="Q3737" t="s">
        <v>49</v>
      </c>
      <c r="R3737" t="str">
        <f>"0581206"</f>
        <v>0581206</v>
      </c>
      <c r="S3737" t="s">
        <v>232</v>
      </c>
      <c r="T3737" t="s">
        <v>223</v>
      </c>
      <c r="U3737" t="s">
        <v>224</v>
      </c>
      <c r="V3737" t="s">
        <v>131</v>
      </c>
      <c r="W3737" t="s">
        <v>51</v>
      </c>
      <c r="X3737" t="s">
        <v>45</v>
      </c>
      <c r="Y3737" s="1">
        <v>22913</v>
      </c>
      <c r="Z3737">
        <v>2</v>
      </c>
      <c r="AA3737" t="s">
        <v>224</v>
      </c>
      <c r="AB3737" s="40" t="s">
        <v>1799</v>
      </c>
    </row>
    <row r="3738" spans="1:28" x14ac:dyDescent="0.25">
      <c r="A3738">
        <v>99913737</v>
      </c>
      <c r="B3738" t="s">
        <v>32</v>
      </c>
      <c r="C3738" t="s">
        <v>290</v>
      </c>
      <c r="D3738" t="s">
        <v>291</v>
      </c>
      <c r="E3738" t="s">
        <v>145</v>
      </c>
      <c r="F3738" t="s">
        <v>146</v>
      </c>
      <c r="G3738" t="s">
        <v>35</v>
      </c>
      <c r="H3738">
        <v>1</v>
      </c>
      <c r="K3738" t="s">
        <v>223</v>
      </c>
      <c r="L3738" t="s">
        <v>224</v>
      </c>
      <c r="M3738" t="s">
        <v>131</v>
      </c>
      <c r="N3738">
        <v>22</v>
      </c>
      <c r="P3738" t="s">
        <v>41</v>
      </c>
      <c r="Q3738" t="s">
        <v>49</v>
      </c>
      <c r="R3738" t="str">
        <f>"0591901"</f>
        <v>0591901</v>
      </c>
      <c r="S3738" t="s">
        <v>230</v>
      </c>
      <c r="T3738" t="s">
        <v>223</v>
      </c>
      <c r="U3738" t="s">
        <v>224</v>
      </c>
      <c r="V3738" t="s">
        <v>131</v>
      </c>
      <c r="W3738" t="s">
        <v>51</v>
      </c>
      <c r="X3738" t="s">
        <v>45</v>
      </c>
      <c r="Y3738" s="1">
        <v>22584</v>
      </c>
      <c r="Z3738">
        <v>2</v>
      </c>
      <c r="AA3738" t="s">
        <v>224</v>
      </c>
      <c r="AB3738" s="40" t="s">
        <v>1799</v>
      </c>
    </row>
    <row r="3739" spans="1:28" x14ac:dyDescent="0.25">
      <c r="A3739">
        <v>99913738</v>
      </c>
      <c r="B3739" t="s">
        <v>56</v>
      </c>
      <c r="C3739" t="s">
        <v>52</v>
      </c>
      <c r="D3739" t="s">
        <v>53</v>
      </c>
      <c r="G3739" t="s">
        <v>48</v>
      </c>
      <c r="H3739">
        <v>1</v>
      </c>
      <c r="K3739" t="s">
        <v>300</v>
      </c>
      <c r="L3739" t="s">
        <v>301</v>
      </c>
      <c r="M3739" t="s">
        <v>131</v>
      </c>
      <c r="N3739">
        <v>22</v>
      </c>
      <c r="P3739" t="s">
        <v>41</v>
      </c>
      <c r="Q3739" t="s">
        <v>49</v>
      </c>
      <c r="R3739" t="str">
        <f>"0560029"</f>
        <v>0560029</v>
      </c>
      <c r="S3739" t="s">
        <v>309</v>
      </c>
      <c r="T3739" t="s">
        <v>300</v>
      </c>
      <c r="U3739" t="s">
        <v>301</v>
      </c>
      <c r="V3739" t="s">
        <v>131</v>
      </c>
      <c r="W3739" t="s">
        <v>51</v>
      </c>
      <c r="X3739" t="s">
        <v>45</v>
      </c>
      <c r="Y3739" s="1">
        <v>22523</v>
      </c>
      <c r="Z3739">
        <v>2</v>
      </c>
      <c r="AA3739" t="s">
        <v>301</v>
      </c>
      <c r="AB3739" s="40" t="s">
        <v>1799</v>
      </c>
    </row>
    <row r="3740" spans="1:28" x14ac:dyDescent="0.25">
      <c r="A3740">
        <v>99913739</v>
      </c>
      <c r="B3740" t="s">
        <v>32</v>
      </c>
      <c r="C3740" t="s">
        <v>64</v>
      </c>
      <c r="D3740" t="s">
        <v>65</v>
      </c>
      <c r="G3740" t="s">
        <v>48</v>
      </c>
      <c r="H3740">
        <v>1</v>
      </c>
      <c r="K3740" t="s">
        <v>354</v>
      </c>
      <c r="L3740" t="s">
        <v>355</v>
      </c>
      <c r="M3740" t="s">
        <v>131</v>
      </c>
      <c r="N3740">
        <v>22</v>
      </c>
      <c r="P3740" t="s">
        <v>41</v>
      </c>
      <c r="Q3740" t="s">
        <v>75</v>
      </c>
      <c r="R3740" t="str">
        <f>"7054038"</f>
        <v>7054038</v>
      </c>
      <c r="S3740" t="s">
        <v>377</v>
      </c>
      <c r="T3740" t="s">
        <v>354</v>
      </c>
      <c r="U3740" t="s">
        <v>355</v>
      </c>
      <c r="V3740" t="s">
        <v>131</v>
      </c>
      <c r="W3740" t="s">
        <v>51</v>
      </c>
      <c r="X3740" t="s">
        <v>45</v>
      </c>
      <c r="Y3740" s="1">
        <v>21405</v>
      </c>
      <c r="Z3740">
        <v>1</v>
      </c>
      <c r="AA3740" t="s">
        <v>355</v>
      </c>
      <c r="AB3740" s="40" t="s">
        <v>1799</v>
      </c>
    </row>
    <row r="3741" spans="1:28" x14ac:dyDescent="0.25">
      <c r="A3741">
        <v>99913740</v>
      </c>
      <c r="B3741" t="s">
        <v>32</v>
      </c>
      <c r="C3741" t="s">
        <v>111</v>
      </c>
      <c r="D3741" t="s">
        <v>112</v>
      </c>
      <c r="G3741" t="s">
        <v>48</v>
      </c>
      <c r="H3741">
        <v>7</v>
      </c>
      <c r="J3741" s="1">
        <v>43344</v>
      </c>
      <c r="K3741" t="s">
        <v>354</v>
      </c>
      <c r="L3741" t="s">
        <v>355</v>
      </c>
      <c r="M3741" t="s">
        <v>131</v>
      </c>
      <c r="N3741">
        <v>22</v>
      </c>
      <c r="O3741" s="1">
        <v>43344</v>
      </c>
      <c r="P3741" t="s">
        <v>41</v>
      </c>
      <c r="Q3741" t="s">
        <v>75</v>
      </c>
      <c r="R3741" t="str">
        <f>"7054002"</f>
        <v>7054002</v>
      </c>
      <c r="S3741" t="s">
        <v>376</v>
      </c>
      <c r="T3741" t="s">
        <v>354</v>
      </c>
      <c r="U3741" t="s">
        <v>355</v>
      </c>
      <c r="V3741" t="s">
        <v>131</v>
      </c>
      <c r="W3741" t="s">
        <v>51</v>
      </c>
      <c r="X3741" t="s">
        <v>45</v>
      </c>
      <c r="Y3741" s="1">
        <v>19655</v>
      </c>
      <c r="Z3741">
        <v>1</v>
      </c>
      <c r="AA3741" t="s">
        <v>355</v>
      </c>
      <c r="AB3741" s="40" t="s">
        <v>1799</v>
      </c>
    </row>
    <row r="3742" spans="1:28" x14ac:dyDescent="0.25">
      <c r="A3742">
        <v>99913741</v>
      </c>
      <c r="B3742" t="s">
        <v>32</v>
      </c>
      <c r="C3742" t="s">
        <v>139</v>
      </c>
      <c r="D3742" t="s">
        <v>140</v>
      </c>
      <c r="G3742" t="s">
        <v>35</v>
      </c>
      <c r="H3742">
        <v>1</v>
      </c>
      <c r="K3742" t="s">
        <v>877</v>
      </c>
      <c r="L3742" t="s">
        <v>878</v>
      </c>
      <c r="M3742" t="s">
        <v>131</v>
      </c>
      <c r="N3742">
        <v>22</v>
      </c>
      <c r="P3742" t="s">
        <v>41</v>
      </c>
      <c r="Q3742" t="s">
        <v>75</v>
      </c>
      <c r="R3742" t="str">
        <f>"7700025"</f>
        <v>7700025</v>
      </c>
      <c r="S3742" t="s">
        <v>880</v>
      </c>
      <c r="T3742" t="s">
        <v>877</v>
      </c>
      <c r="U3742" t="s">
        <v>878</v>
      </c>
      <c r="V3742" t="s">
        <v>131</v>
      </c>
      <c r="W3742" t="s">
        <v>51</v>
      </c>
      <c r="X3742" t="s">
        <v>45</v>
      </c>
      <c r="Y3742" s="1">
        <v>18514</v>
      </c>
      <c r="Z3742">
        <v>1</v>
      </c>
      <c r="AA3742" t="s">
        <v>878</v>
      </c>
      <c r="AB3742" s="40" t="s">
        <v>1799</v>
      </c>
    </row>
    <row r="3743" spans="1:28" x14ac:dyDescent="0.25">
      <c r="A3743">
        <v>99913742</v>
      </c>
      <c r="B3743" t="s">
        <v>56</v>
      </c>
      <c r="C3743" t="s">
        <v>145</v>
      </c>
      <c r="D3743" t="s">
        <v>146</v>
      </c>
      <c r="G3743" t="s">
        <v>48</v>
      </c>
      <c r="H3743">
        <v>1</v>
      </c>
      <c r="K3743" t="s">
        <v>162</v>
      </c>
      <c r="L3743" t="s">
        <v>158</v>
      </c>
      <c r="M3743" t="s">
        <v>131</v>
      </c>
      <c r="N3743">
        <v>22</v>
      </c>
      <c r="P3743" t="s">
        <v>41</v>
      </c>
      <c r="Q3743" t="s">
        <v>42</v>
      </c>
      <c r="R3743" t="str">
        <f>"0580310"</f>
        <v>0580310</v>
      </c>
      <c r="S3743" t="s">
        <v>173</v>
      </c>
      <c r="T3743" t="s">
        <v>162</v>
      </c>
      <c r="U3743" t="s">
        <v>158</v>
      </c>
      <c r="V3743" t="s">
        <v>131</v>
      </c>
      <c r="W3743" t="s">
        <v>51</v>
      </c>
      <c r="X3743" t="s">
        <v>45</v>
      </c>
      <c r="Y3743" s="1">
        <v>17777</v>
      </c>
      <c r="Z3743">
        <v>2</v>
      </c>
      <c r="AA3743" t="s">
        <v>158</v>
      </c>
      <c r="AB3743" s="40" t="s">
        <v>1799</v>
      </c>
    </row>
    <row r="3744" spans="1:28" x14ac:dyDescent="0.25">
      <c r="A3744">
        <v>99913743</v>
      </c>
      <c r="B3744" t="s">
        <v>56</v>
      </c>
      <c r="C3744" t="s">
        <v>79</v>
      </c>
      <c r="D3744" t="s">
        <v>80</v>
      </c>
      <c r="G3744" t="s">
        <v>35</v>
      </c>
      <c r="H3744">
        <v>1</v>
      </c>
      <c r="K3744" t="s">
        <v>157</v>
      </c>
      <c r="L3744" t="s">
        <v>158</v>
      </c>
      <c r="M3744" t="s">
        <v>131</v>
      </c>
      <c r="N3744">
        <v>22</v>
      </c>
      <c r="P3744" t="s">
        <v>41</v>
      </c>
      <c r="Q3744" t="s">
        <v>42</v>
      </c>
      <c r="R3744" t="str">
        <f>"0561005"</f>
        <v>0561005</v>
      </c>
      <c r="S3744" t="s">
        <v>174</v>
      </c>
      <c r="T3744" t="s">
        <v>157</v>
      </c>
      <c r="U3744" t="s">
        <v>158</v>
      </c>
      <c r="V3744" t="s">
        <v>131</v>
      </c>
      <c r="W3744" t="s">
        <v>51</v>
      </c>
      <c r="X3744" t="s">
        <v>45</v>
      </c>
      <c r="Z3744">
        <v>2</v>
      </c>
      <c r="AA3744" t="s">
        <v>158</v>
      </c>
      <c r="AB3744" s="40" t="s">
        <v>1799</v>
      </c>
    </row>
    <row r="3745" spans="1:28" x14ac:dyDescent="0.25">
      <c r="A3745">
        <v>99913744</v>
      </c>
      <c r="B3745" t="s">
        <v>32</v>
      </c>
      <c r="C3745" t="s">
        <v>71</v>
      </c>
      <c r="D3745" t="s">
        <v>72</v>
      </c>
      <c r="G3745" t="s">
        <v>35</v>
      </c>
      <c r="H3745">
        <v>1</v>
      </c>
      <c r="K3745" t="s">
        <v>223</v>
      </c>
      <c r="L3745" t="s">
        <v>224</v>
      </c>
      <c r="M3745" t="s">
        <v>131</v>
      </c>
      <c r="N3745">
        <v>22</v>
      </c>
      <c r="P3745" t="s">
        <v>41</v>
      </c>
      <c r="Q3745" t="s">
        <v>42</v>
      </c>
      <c r="R3745" t="str">
        <f>"0590903"</f>
        <v>0590903</v>
      </c>
      <c r="S3745" t="s">
        <v>226</v>
      </c>
      <c r="T3745" t="s">
        <v>223</v>
      </c>
      <c r="U3745" t="s">
        <v>224</v>
      </c>
      <c r="V3745" t="s">
        <v>131</v>
      </c>
      <c r="W3745" t="s">
        <v>51</v>
      </c>
      <c r="X3745" t="s">
        <v>45</v>
      </c>
      <c r="Z3745">
        <v>2</v>
      </c>
      <c r="AA3745" t="s">
        <v>224</v>
      </c>
      <c r="AB3745" s="40" t="s">
        <v>1799</v>
      </c>
    </row>
    <row r="3746" spans="1:28" x14ac:dyDescent="0.25">
      <c r="A3746">
        <v>99913745</v>
      </c>
      <c r="B3746" t="s">
        <v>32</v>
      </c>
      <c r="C3746" t="s">
        <v>64</v>
      </c>
      <c r="D3746" t="s">
        <v>65</v>
      </c>
      <c r="G3746" t="s">
        <v>48</v>
      </c>
      <c r="H3746">
        <v>1</v>
      </c>
      <c r="K3746" t="s">
        <v>223</v>
      </c>
      <c r="L3746" t="s">
        <v>224</v>
      </c>
      <c r="M3746" t="s">
        <v>131</v>
      </c>
      <c r="N3746">
        <v>22</v>
      </c>
      <c r="P3746" t="s">
        <v>41</v>
      </c>
      <c r="Q3746" t="s">
        <v>42</v>
      </c>
      <c r="R3746" t="str">
        <f>"0580207"</f>
        <v>0580207</v>
      </c>
      <c r="S3746" t="s">
        <v>229</v>
      </c>
      <c r="T3746" t="s">
        <v>223</v>
      </c>
      <c r="U3746" t="s">
        <v>224</v>
      </c>
      <c r="V3746" t="s">
        <v>131</v>
      </c>
      <c r="W3746" t="s">
        <v>51</v>
      </c>
      <c r="X3746" t="s">
        <v>45</v>
      </c>
      <c r="Z3746">
        <v>2</v>
      </c>
      <c r="AA3746" t="s">
        <v>224</v>
      </c>
      <c r="AB3746" s="40" t="s">
        <v>1799</v>
      </c>
    </row>
    <row r="3747" spans="1:28" x14ac:dyDescent="0.25">
      <c r="A3747">
        <v>99913746</v>
      </c>
      <c r="B3747" t="s">
        <v>56</v>
      </c>
      <c r="C3747" t="s">
        <v>85</v>
      </c>
      <c r="D3747" t="s">
        <v>86</v>
      </c>
      <c r="G3747" t="s">
        <v>35</v>
      </c>
      <c r="H3747">
        <v>1</v>
      </c>
      <c r="I3747">
        <v>15011</v>
      </c>
      <c r="J3747" s="1">
        <v>43353</v>
      </c>
      <c r="K3747" t="s">
        <v>345</v>
      </c>
      <c r="L3747" t="s">
        <v>346</v>
      </c>
      <c r="M3747" t="s">
        <v>131</v>
      </c>
      <c r="N3747">
        <v>22</v>
      </c>
      <c r="O3747" s="1">
        <v>43353</v>
      </c>
      <c r="P3747" t="s">
        <v>41</v>
      </c>
      <c r="Q3747" t="s">
        <v>49</v>
      </c>
      <c r="R3747" t="str">
        <f>"0581155"</f>
        <v>0581155</v>
      </c>
      <c r="S3747" t="s">
        <v>349</v>
      </c>
      <c r="T3747" t="s">
        <v>345</v>
      </c>
      <c r="U3747" t="s">
        <v>346</v>
      </c>
      <c r="V3747" t="s">
        <v>131</v>
      </c>
      <c r="W3747" t="s">
        <v>44</v>
      </c>
      <c r="X3747" t="s">
        <v>45</v>
      </c>
      <c r="Z3747">
        <v>2</v>
      </c>
      <c r="AA3747" t="s">
        <v>346</v>
      </c>
      <c r="AB3747" s="40" t="s">
        <v>1799</v>
      </c>
    </row>
    <row r="3748" spans="1:28" x14ac:dyDescent="0.25">
      <c r="A3748">
        <v>99913747</v>
      </c>
      <c r="B3748" t="s">
        <v>32</v>
      </c>
      <c r="C3748" t="s">
        <v>64</v>
      </c>
      <c r="D3748" t="s">
        <v>65</v>
      </c>
      <c r="G3748" t="s">
        <v>48</v>
      </c>
      <c r="H3748">
        <v>1</v>
      </c>
      <c r="K3748" t="s">
        <v>431</v>
      </c>
      <c r="L3748" t="s">
        <v>196</v>
      </c>
      <c r="M3748" t="s">
        <v>131</v>
      </c>
      <c r="N3748">
        <v>22</v>
      </c>
      <c r="P3748" t="s">
        <v>41</v>
      </c>
      <c r="Q3748" t="s">
        <v>75</v>
      </c>
      <c r="R3748" t="str">
        <f>"7521012"</f>
        <v>7521012</v>
      </c>
      <c r="S3748" t="s">
        <v>432</v>
      </c>
      <c r="T3748" t="s">
        <v>431</v>
      </c>
      <c r="U3748" t="s">
        <v>196</v>
      </c>
      <c r="V3748" t="s">
        <v>131</v>
      </c>
      <c r="W3748" t="s">
        <v>51</v>
      </c>
      <c r="X3748" t="s">
        <v>45</v>
      </c>
      <c r="Z3748">
        <v>1</v>
      </c>
      <c r="AA3748" t="s">
        <v>196</v>
      </c>
      <c r="AB3748" s="40" t="s">
        <v>1799</v>
      </c>
    </row>
    <row r="3749" spans="1:28" x14ac:dyDescent="0.25">
      <c r="A3749">
        <v>99913748</v>
      </c>
      <c r="B3749" t="s">
        <v>56</v>
      </c>
      <c r="C3749" t="s">
        <v>111</v>
      </c>
      <c r="D3749" t="s">
        <v>112</v>
      </c>
      <c r="G3749" t="s">
        <v>48</v>
      </c>
      <c r="H3749">
        <v>1</v>
      </c>
      <c r="K3749" t="s">
        <v>431</v>
      </c>
      <c r="L3749" t="s">
        <v>196</v>
      </c>
      <c r="M3749" t="s">
        <v>131</v>
      </c>
      <c r="N3749">
        <v>22</v>
      </c>
      <c r="P3749" t="s">
        <v>41</v>
      </c>
      <c r="Q3749" t="s">
        <v>75</v>
      </c>
      <c r="R3749" t="str">
        <f>"7521012"</f>
        <v>7521012</v>
      </c>
      <c r="S3749" t="s">
        <v>432</v>
      </c>
      <c r="T3749" t="s">
        <v>431</v>
      </c>
      <c r="U3749" t="s">
        <v>196</v>
      </c>
      <c r="V3749" t="s">
        <v>131</v>
      </c>
      <c r="W3749" t="s">
        <v>165</v>
      </c>
      <c r="X3749" t="s">
        <v>45</v>
      </c>
      <c r="Z3749">
        <v>1</v>
      </c>
      <c r="AA3749" t="s">
        <v>196</v>
      </c>
      <c r="AB3749" s="40" t="s">
        <v>1799</v>
      </c>
    </row>
    <row r="3750" spans="1:28" x14ac:dyDescent="0.25">
      <c r="A3750">
        <v>99913749</v>
      </c>
      <c r="B3750" t="s">
        <v>32</v>
      </c>
      <c r="C3750" t="s">
        <v>111</v>
      </c>
      <c r="D3750" t="s">
        <v>112</v>
      </c>
      <c r="G3750" t="s">
        <v>48</v>
      </c>
      <c r="H3750">
        <v>1</v>
      </c>
      <c r="K3750" t="s">
        <v>431</v>
      </c>
      <c r="L3750" t="s">
        <v>196</v>
      </c>
      <c r="M3750" t="s">
        <v>131</v>
      </c>
      <c r="N3750">
        <v>22</v>
      </c>
      <c r="P3750" t="s">
        <v>41</v>
      </c>
      <c r="Q3750" t="s">
        <v>75</v>
      </c>
      <c r="R3750" t="str">
        <f>"7521012"</f>
        <v>7521012</v>
      </c>
      <c r="S3750" t="s">
        <v>432</v>
      </c>
      <c r="T3750" t="s">
        <v>431</v>
      </c>
      <c r="U3750" t="s">
        <v>196</v>
      </c>
      <c r="V3750" t="s">
        <v>131</v>
      </c>
      <c r="W3750" t="s">
        <v>51</v>
      </c>
      <c r="X3750" t="s">
        <v>45</v>
      </c>
      <c r="Z3750">
        <v>1</v>
      </c>
      <c r="AA3750" t="s">
        <v>196</v>
      </c>
      <c r="AB3750" s="40" t="s">
        <v>1799</v>
      </c>
    </row>
    <row r="3751" spans="1:28" x14ac:dyDescent="0.25">
      <c r="A3751">
        <v>99913750</v>
      </c>
      <c r="B3751" t="s">
        <v>32</v>
      </c>
      <c r="C3751" t="s">
        <v>143</v>
      </c>
      <c r="D3751" t="s">
        <v>144</v>
      </c>
      <c r="G3751" t="s">
        <v>48</v>
      </c>
      <c r="H3751">
        <v>1</v>
      </c>
      <c r="K3751" t="s">
        <v>431</v>
      </c>
      <c r="L3751" t="s">
        <v>196</v>
      </c>
      <c r="M3751" t="s">
        <v>131</v>
      </c>
      <c r="N3751">
        <v>22</v>
      </c>
      <c r="P3751" t="s">
        <v>41</v>
      </c>
      <c r="Q3751" t="s">
        <v>75</v>
      </c>
      <c r="R3751" t="str">
        <f>"7521012"</f>
        <v>7521012</v>
      </c>
      <c r="S3751" t="s">
        <v>432</v>
      </c>
      <c r="T3751" t="s">
        <v>431</v>
      </c>
      <c r="U3751" t="s">
        <v>196</v>
      </c>
      <c r="V3751" t="s">
        <v>131</v>
      </c>
      <c r="W3751" t="s">
        <v>51</v>
      </c>
      <c r="X3751" t="s">
        <v>45</v>
      </c>
      <c r="Z3751">
        <v>1</v>
      </c>
      <c r="AA3751" t="s">
        <v>196</v>
      </c>
      <c r="AB3751" s="40" t="s">
        <v>1799</v>
      </c>
    </row>
    <row r="3752" spans="1:28" x14ac:dyDescent="0.25">
      <c r="A3752">
        <v>99913751</v>
      </c>
      <c r="B3752" t="s">
        <v>32</v>
      </c>
      <c r="C3752" t="s">
        <v>111</v>
      </c>
      <c r="D3752" t="s">
        <v>112</v>
      </c>
      <c r="G3752" t="s">
        <v>35</v>
      </c>
      <c r="H3752">
        <v>1</v>
      </c>
      <c r="K3752" t="s">
        <v>195</v>
      </c>
      <c r="L3752" t="s">
        <v>196</v>
      </c>
      <c r="M3752" t="s">
        <v>131</v>
      </c>
      <c r="N3752">
        <v>22</v>
      </c>
      <c r="P3752" t="s">
        <v>41</v>
      </c>
      <c r="Q3752" t="s">
        <v>75</v>
      </c>
      <c r="R3752" t="str">
        <f>"7521042"</f>
        <v>7521042</v>
      </c>
      <c r="S3752" t="s">
        <v>440</v>
      </c>
      <c r="T3752" t="s">
        <v>195</v>
      </c>
      <c r="U3752" t="s">
        <v>196</v>
      </c>
      <c r="V3752" t="s">
        <v>131</v>
      </c>
      <c r="W3752" t="s">
        <v>51</v>
      </c>
      <c r="X3752" t="s">
        <v>45</v>
      </c>
      <c r="Z3752">
        <v>1</v>
      </c>
      <c r="AA3752" t="s">
        <v>196</v>
      </c>
      <c r="AB3752" s="40" t="s">
        <v>1799</v>
      </c>
    </row>
    <row r="3753" spans="1:28" x14ac:dyDescent="0.25">
      <c r="A3753">
        <v>99913752</v>
      </c>
      <c r="B3753" t="s">
        <v>56</v>
      </c>
      <c r="C3753" t="s">
        <v>111</v>
      </c>
      <c r="D3753" t="s">
        <v>112</v>
      </c>
      <c r="G3753" t="s">
        <v>48</v>
      </c>
      <c r="H3753">
        <v>1</v>
      </c>
      <c r="K3753" t="s">
        <v>431</v>
      </c>
      <c r="L3753" t="s">
        <v>196</v>
      </c>
      <c r="M3753" t="s">
        <v>131</v>
      </c>
      <c r="N3753">
        <v>22</v>
      </c>
      <c r="P3753" t="s">
        <v>41</v>
      </c>
      <c r="Q3753" t="s">
        <v>75</v>
      </c>
      <c r="R3753" t="str">
        <f>"7521012"</f>
        <v>7521012</v>
      </c>
      <c r="S3753" t="s">
        <v>432</v>
      </c>
      <c r="T3753" t="s">
        <v>431</v>
      </c>
      <c r="U3753" t="s">
        <v>196</v>
      </c>
      <c r="V3753" t="s">
        <v>131</v>
      </c>
      <c r="W3753" t="s">
        <v>51</v>
      </c>
      <c r="X3753" t="s">
        <v>45</v>
      </c>
      <c r="Z3753">
        <v>1</v>
      </c>
      <c r="AA3753" t="s">
        <v>196</v>
      </c>
      <c r="AB3753" s="40" t="s">
        <v>1799</v>
      </c>
    </row>
    <row r="3754" spans="1:28" x14ac:dyDescent="0.25">
      <c r="A3754">
        <v>99913753</v>
      </c>
      <c r="B3754" t="s">
        <v>32</v>
      </c>
      <c r="C3754" t="s">
        <v>111</v>
      </c>
      <c r="D3754" t="s">
        <v>112</v>
      </c>
      <c r="G3754" t="s">
        <v>48</v>
      </c>
      <c r="H3754">
        <v>1</v>
      </c>
      <c r="K3754" t="s">
        <v>431</v>
      </c>
      <c r="L3754" t="s">
        <v>196</v>
      </c>
      <c r="M3754" t="s">
        <v>131</v>
      </c>
      <c r="N3754">
        <v>22</v>
      </c>
      <c r="P3754" t="s">
        <v>41</v>
      </c>
      <c r="Q3754" t="s">
        <v>75</v>
      </c>
      <c r="R3754" t="str">
        <f>"7521012"</f>
        <v>7521012</v>
      </c>
      <c r="S3754" t="s">
        <v>432</v>
      </c>
      <c r="T3754" t="s">
        <v>431</v>
      </c>
      <c r="U3754" t="s">
        <v>196</v>
      </c>
      <c r="V3754" t="s">
        <v>131</v>
      </c>
      <c r="W3754" t="s">
        <v>165</v>
      </c>
      <c r="X3754" t="s">
        <v>45</v>
      </c>
      <c r="Z3754">
        <v>1</v>
      </c>
      <c r="AA3754" t="s">
        <v>196</v>
      </c>
      <c r="AB3754" s="40" t="s">
        <v>1799</v>
      </c>
    </row>
    <row r="3755" spans="1:28" x14ac:dyDescent="0.25">
      <c r="A3755">
        <v>99913754</v>
      </c>
      <c r="B3755" t="s">
        <v>32</v>
      </c>
      <c r="C3755" t="s">
        <v>139</v>
      </c>
      <c r="D3755" t="s">
        <v>140</v>
      </c>
      <c r="G3755" t="s">
        <v>48</v>
      </c>
      <c r="H3755">
        <v>1</v>
      </c>
      <c r="K3755" t="s">
        <v>268</v>
      </c>
      <c r="L3755" t="s">
        <v>269</v>
      </c>
      <c r="M3755" t="s">
        <v>131</v>
      </c>
      <c r="N3755">
        <v>22</v>
      </c>
      <c r="P3755" t="s">
        <v>41</v>
      </c>
      <c r="Q3755" t="s">
        <v>75</v>
      </c>
      <c r="R3755" t="str">
        <f>"7052044"</f>
        <v>7052044</v>
      </c>
      <c r="S3755" t="s">
        <v>589</v>
      </c>
      <c r="T3755" t="s">
        <v>268</v>
      </c>
      <c r="U3755" t="s">
        <v>269</v>
      </c>
      <c r="V3755" t="s">
        <v>131</v>
      </c>
      <c r="W3755" t="s">
        <v>51</v>
      </c>
      <c r="X3755" t="s">
        <v>45</v>
      </c>
      <c r="Z3755">
        <v>1</v>
      </c>
      <c r="AA3755" t="s">
        <v>269</v>
      </c>
      <c r="AB3755" s="40" t="s">
        <v>1799</v>
      </c>
    </row>
    <row r="3756" spans="1:28" x14ac:dyDescent="0.25">
      <c r="A3756">
        <v>99913755</v>
      </c>
      <c r="B3756" t="s">
        <v>32</v>
      </c>
      <c r="C3756" t="s">
        <v>79</v>
      </c>
      <c r="D3756" t="s">
        <v>80</v>
      </c>
      <c r="G3756" t="s">
        <v>35</v>
      </c>
      <c r="H3756">
        <v>1</v>
      </c>
      <c r="I3756">
        <v>9286</v>
      </c>
      <c r="J3756" s="1">
        <v>43344</v>
      </c>
      <c r="K3756" t="s">
        <v>1198</v>
      </c>
      <c r="L3756" t="s">
        <v>1199</v>
      </c>
      <c r="M3756" t="s">
        <v>1130</v>
      </c>
      <c r="N3756">
        <v>22</v>
      </c>
      <c r="O3756" s="1">
        <v>43344</v>
      </c>
      <c r="P3756" t="s">
        <v>41</v>
      </c>
      <c r="Q3756" t="s">
        <v>75</v>
      </c>
      <c r="R3756" t="str">
        <f>"7311002"</f>
        <v>7311002</v>
      </c>
      <c r="S3756" t="s">
        <v>1203</v>
      </c>
      <c r="T3756" t="s">
        <v>1198</v>
      </c>
      <c r="U3756" t="s">
        <v>1199</v>
      </c>
      <c r="V3756" t="s">
        <v>1130</v>
      </c>
      <c r="W3756" t="s">
        <v>51</v>
      </c>
      <c r="X3756" t="s">
        <v>45</v>
      </c>
      <c r="Z3756">
        <v>1</v>
      </c>
      <c r="AA3756" t="s">
        <v>1199</v>
      </c>
      <c r="AB3756" s="40" t="s">
        <v>1799</v>
      </c>
    </row>
    <row r="3757" spans="1:28" x14ac:dyDescent="0.25">
      <c r="A3757">
        <v>99913756</v>
      </c>
      <c r="B3757" t="s">
        <v>32</v>
      </c>
      <c r="C3757" t="s">
        <v>64</v>
      </c>
      <c r="D3757" t="s">
        <v>65</v>
      </c>
      <c r="G3757" t="s">
        <v>35</v>
      </c>
      <c r="H3757">
        <v>1</v>
      </c>
      <c r="I3757">
        <v>0</v>
      </c>
      <c r="J3757" s="1">
        <v>43344</v>
      </c>
      <c r="K3757" t="s">
        <v>223</v>
      </c>
      <c r="L3757" t="s">
        <v>224</v>
      </c>
      <c r="M3757" t="s">
        <v>131</v>
      </c>
      <c r="N3757">
        <v>23</v>
      </c>
      <c r="O3757" s="1">
        <v>43344</v>
      </c>
      <c r="P3757" t="s">
        <v>41</v>
      </c>
      <c r="Q3757" t="s">
        <v>49</v>
      </c>
      <c r="R3757" t="str">
        <f>"0560030"</f>
        <v>0560030</v>
      </c>
      <c r="S3757" t="s">
        <v>244</v>
      </c>
      <c r="T3757" t="s">
        <v>223</v>
      </c>
      <c r="U3757" t="s">
        <v>224</v>
      </c>
      <c r="V3757" t="s">
        <v>131</v>
      </c>
      <c r="W3757" t="s">
        <v>44</v>
      </c>
      <c r="X3757" t="s">
        <v>45</v>
      </c>
      <c r="Y3757" s="1">
        <v>43344</v>
      </c>
      <c r="Z3757">
        <v>2</v>
      </c>
      <c r="AA3757" t="s">
        <v>224</v>
      </c>
      <c r="AB3757" s="40" t="s">
        <v>1799</v>
      </c>
    </row>
    <row r="3758" spans="1:28" x14ac:dyDescent="0.25">
      <c r="A3758">
        <v>99913757</v>
      </c>
      <c r="B3758" t="s">
        <v>56</v>
      </c>
      <c r="C3758" t="s">
        <v>46</v>
      </c>
      <c r="D3758" t="s">
        <v>47</v>
      </c>
      <c r="G3758" t="s">
        <v>35</v>
      </c>
      <c r="H3758">
        <v>1</v>
      </c>
      <c r="I3758">
        <v>0</v>
      </c>
      <c r="J3758" s="1">
        <v>43344</v>
      </c>
      <c r="K3758" t="s">
        <v>223</v>
      </c>
      <c r="L3758" t="s">
        <v>224</v>
      </c>
      <c r="M3758" t="s">
        <v>131</v>
      </c>
      <c r="N3758">
        <v>23</v>
      </c>
      <c r="O3758" s="1">
        <v>43344</v>
      </c>
      <c r="P3758" t="s">
        <v>41</v>
      </c>
      <c r="Q3758" t="s">
        <v>49</v>
      </c>
      <c r="R3758" t="str">
        <f>"0561022"</f>
        <v>0561022</v>
      </c>
      <c r="S3758" t="s">
        <v>225</v>
      </c>
      <c r="T3758" t="s">
        <v>223</v>
      </c>
      <c r="U3758" t="s">
        <v>224</v>
      </c>
      <c r="V3758" t="s">
        <v>131</v>
      </c>
      <c r="W3758" t="s">
        <v>44</v>
      </c>
      <c r="X3758" t="s">
        <v>45</v>
      </c>
      <c r="Y3758" s="1">
        <v>36892</v>
      </c>
      <c r="Z3758">
        <v>2</v>
      </c>
      <c r="AA3758" t="s">
        <v>224</v>
      </c>
      <c r="AB3758" s="40" t="s">
        <v>1799</v>
      </c>
    </row>
    <row r="3759" spans="1:28" x14ac:dyDescent="0.25">
      <c r="A3759">
        <v>99913758</v>
      </c>
      <c r="B3759" t="s">
        <v>56</v>
      </c>
      <c r="C3759" t="s">
        <v>52</v>
      </c>
      <c r="D3759" t="s">
        <v>53</v>
      </c>
      <c r="G3759" t="s">
        <v>35</v>
      </c>
      <c r="H3759">
        <v>1</v>
      </c>
      <c r="I3759">
        <v>0</v>
      </c>
      <c r="J3759" s="1">
        <v>43344</v>
      </c>
      <c r="K3759" t="s">
        <v>223</v>
      </c>
      <c r="L3759" t="s">
        <v>224</v>
      </c>
      <c r="M3759" t="s">
        <v>131</v>
      </c>
      <c r="N3759">
        <v>23</v>
      </c>
      <c r="O3759" s="1">
        <v>43344</v>
      </c>
      <c r="P3759" t="s">
        <v>41</v>
      </c>
      <c r="Q3759" t="s">
        <v>49</v>
      </c>
      <c r="R3759" t="str">
        <f>"0560030"</f>
        <v>0560030</v>
      </c>
      <c r="S3759" t="s">
        <v>244</v>
      </c>
      <c r="T3759" t="s">
        <v>223</v>
      </c>
      <c r="U3759" t="s">
        <v>224</v>
      </c>
      <c r="V3759" t="s">
        <v>131</v>
      </c>
      <c r="W3759" t="s">
        <v>44</v>
      </c>
      <c r="X3759" t="s">
        <v>45</v>
      </c>
      <c r="Y3759" s="1">
        <v>36892</v>
      </c>
      <c r="Z3759">
        <v>2</v>
      </c>
      <c r="AA3759" t="s">
        <v>224</v>
      </c>
      <c r="AB3759" s="40" t="s">
        <v>1799</v>
      </c>
    </row>
    <row r="3760" spans="1:28" x14ac:dyDescent="0.25">
      <c r="A3760">
        <v>99913759</v>
      </c>
      <c r="B3760" t="s">
        <v>32</v>
      </c>
      <c r="C3760" t="s">
        <v>64</v>
      </c>
      <c r="D3760" t="s">
        <v>65</v>
      </c>
      <c r="G3760" t="s">
        <v>35</v>
      </c>
      <c r="H3760">
        <v>1</v>
      </c>
      <c r="I3760">
        <v>0</v>
      </c>
      <c r="J3760" s="1">
        <v>43344</v>
      </c>
      <c r="K3760" t="s">
        <v>223</v>
      </c>
      <c r="L3760" t="s">
        <v>224</v>
      </c>
      <c r="M3760" t="s">
        <v>131</v>
      </c>
      <c r="N3760">
        <v>23</v>
      </c>
      <c r="O3760" s="1">
        <v>43344</v>
      </c>
      <c r="P3760" t="s">
        <v>41</v>
      </c>
      <c r="Q3760" t="s">
        <v>49</v>
      </c>
      <c r="R3760" t="str">
        <f>"0561022"</f>
        <v>0561022</v>
      </c>
      <c r="S3760" t="s">
        <v>225</v>
      </c>
      <c r="T3760" t="s">
        <v>223</v>
      </c>
      <c r="U3760" t="s">
        <v>224</v>
      </c>
      <c r="V3760" t="s">
        <v>131</v>
      </c>
      <c r="W3760" t="s">
        <v>44</v>
      </c>
      <c r="X3760" t="s">
        <v>45</v>
      </c>
      <c r="Y3760" s="1">
        <v>36892</v>
      </c>
      <c r="Z3760">
        <v>2</v>
      </c>
      <c r="AA3760" t="s">
        <v>224</v>
      </c>
      <c r="AB3760" s="40" t="s">
        <v>1799</v>
      </c>
    </row>
    <row r="3761" spans="1:28" x14ac:dyDescent="0.25">
      <c r="A3761">
        <v>99913760</v>
      </c>
      <c r="B3761" t="s">
        <v>32</v>
      </c>
      <c r="C3761" t="s">
        <v>46</v>
      </c>
      <c r="D3761" t="s">
        <v>47</v>
      </c>
      <c r="G3761" t="s">
        <v>35</v>
      </c>
      <c r="H3761">
        <v>1</v>
      </c>
      <c r="I3761">
        <v>0</v>
      </c>
      <c r="J3761" s="1">
        <v>43344</v>
      </c>
      <c r="K3761" t="s">
        <v>223</v>
      </c>
      <c r="L3761" t="s">
        <v>224</v>
      </c>
      <c r="M3761" t="s">
        <v>131</v>
      </c>
      <c r="N3761">
        <v>23</v>
      </c>
      <c r="O3761" s="1">
        <v>43344</v>
      </c>
      <c r="P3761" t="s">
        <v>41</v>
      </c>
      <c r="Q3761" t="s">
        <v>49</v>
      </c>
      <c r="R3761" t="str">
        <f>"0560030"</f>
        <v>0560030</v>
      </c>
      <c r="S3761" t="s">
        <v>244</v>
      </c>
      <c r="T3761" t="s">
        <v>223</v>
      </c>
      <c r="U3761" t="s">
        <v>224</v>
      </c>
      <c r="V3761" t="s">
        <v>131</v>
      </c>
      <c r="W3761" t="s">
        <v>44</v>
      </c>
      <c r="X3761" t="s">
        <v>45</v>
      </c>
      <c r="Y3761" s="1">
        <v>36892</v>
      </c>
      <c r="Z3761">
        <v>2</v>
      </c>
      <c r="AA3761" t="s">
        <v>224</v>
      </c>
      <c r="AB3761" s="40" t="s">
        <v>1799</v>
      </c>
    </row>
    <row r="3762" spans="1:28" x14ac:dyDescent="0.25">
      <c r="A3762">
        <v>99913761</v>
      </c>
      <c r="B3762" t="s">
        <v>56</v>
      </c>
      <c r="C3762" t="s">
        <v>52</v>
      </c>
      <c r="D3762" t="s">
        <v>53</v>
      </c>
      <c r="G3762" t="s">
        <v>35</v>
      </c>
      <c r="H3762">
        <v>1</v>
      </c>
      <c r="I3762">
        <v>0</v>
      </c>
      <c r="J3762" s="1">
        <v>43344</v>
      </c>
      <c r="K3762" t="s">
        <v>223</v>
      </c>
      <c r="L3762" t="s">
        <v>224</v>
      </c>
      <c r="M3762" t="s">
        <v>131</v>
      </c>
      <c r="N3762">
        <v>23</v>
      </c>
      <c r="O3762" s="1">
        <v>43344</v>
      </c>
      <c r="P3762" t="s">
        <v>41</v>
      </c>
      <c r="Q3762" t="s">
        <v>49</v>
      </c>
      <c r="R3762" t="str">
        <f>"0560030"</f>
        <v>0560030</v>
      </c>
      <c r="S3762" t="s">
        <v>244</v>
      </c>
      <c r="T3762" t="s">
        <v>223</v>
      </c>
      <c r="U3762" t="s">
        <v>224</v>
      </c>
      <c r="V3762" t="s">
        <v>131</v>
      </c>
      <c r="W3762" t="s">
        <v>44</v>
      </c>
      <c r="X3762" t="s">
        <v>45</v>
      </c>
      <c r="Y3762" s="1">
        <v>36892</v>
      </c>
      <c r="Z3762">
        <v>2</v>
      </c>
      <c r="AA3762" t="s">
        <v>224</v>
      </c>
      <c r="AB3762" s="40" t="s">
        <v>1799</v>
      </c>
    </row>
    <row r="3763" spans="1:28" x14ac:dyDescent="0.25">
      <c r="A3763">
        <v>99913762</v>
      </c>
      <c r="B3763" t="s">
        <v>32</v>
      </c>
      <c r="C3763" t="s">
        <v>46</v>
      </c>
      <c r="D3763" t="s">
        <v>47</v>
      </c>
      <c r="G3763" t="s">
        <v>35</v>
      </c>
      <c r="H3763">
        <v>1</v>
      </c>
      <c r="I3763">
        <v>0</v>
      </c>
      <c r="J3763" s="1">
        <v>43344</v>
      </c>
      <c r="K3763" t="s">
        <v>223</v>
      </c>
      <c r="L3763" t="s">
        <v>224</v>
      </c>
      <c r="M3763" t="s">
        <v>131</v>
      </c>
      <c r="N3763">
        <v>23</v>
      </c>
      <c r="O3763" s="1">
        <v>43344</v>
      </c>
      <c r="P3763" t="s">
        <v>41</v>
      </c>
      <c r="Q3763" t="s">
        <v>49</v>
      </c>
      <c r="R3763" t="str">
        <f>"0560030"</f>
        <v>0560030</v>
      </c>
      <c r="S3763" t="s">
        <v>244</v>
      </c>
      <c r="T3763" t="s">
        <v>223</v>
      </c>
      <c r="U3763" t="s">
        <v>224</v>
      </c>
      <c r="V3763" t="s">
        <v>131</v>
      </c>
      <c r="W3763" t="s">
        <v>51</v>
      </c>
      <c r="X3763" t="s">
        <v>45</v>
      </c>
      <c r="Y3763" s="1">
        <v>36892</v>
      </c>
      <c r="Z3763">
        <v>2</v>
      </c>
      <c r="AA3763" t="s">
        <v>224</v>
      </c>
      <c r="AB3763" s="40" t="s">
        <v>1799</v>
      </c>
    </row>
    <row r="3764" spans="1:28" x14ac:dyDescent="0.25">
      <c r="A3764">
        <v>99913763</v>
      </c>
      <c r="B3764" t="s">
        <v>32</v>
      </c>
      <c r="C3764" t="s">
        <v>139</v>
      </c>
      <c r="D3764" t="s">
        <v>140</v>
      </c>
      <c r="G3764" t="s">
        <v>35</v>
      </c>
      <c r="H3764">
        <v>1</v>
      </c>
      <c r="I3764">
        <v>0</v>
      </c>
      <c r="J3764" s="1">
        <v>43344</v>
      </c>
      <c r="K3764" t="s">
        <v>223</v>
      </c>
      <c r="L3764" t="s">
        <v>224</v>
      </c>
      <c r="M3764" t="s">
        <v>131</v>
      </c>
      <c r="N3764">
        <v>23</v>
      </c>
      <c r="O3764" s="1">
        <v>43344</v>
      </c>
      <c r="P3764" t="s">
        <v>41</v>
      </c>
      <c r="Q3764" t="s">
        <v>49</v>
      </c>
      <c r="R3764" t="str">
        <f>"0560030"</f>
        <v>0560030</v>
      </c>
      <c r="S3764" t="s">
        <v>244</v>
      </c>
      <c r="T3764" t="s">
        <v>223</v>
      </c>
      <c r="U3764" t="s">
        <v>224</v>
      </c>
      <c r="V3764" t="s">
        <v>131</v>
      </c>
      <c r="W3764" t="s">
        <v>44</v>
      </c>
      <c r="X3764" t="s">
        <v>45</v>
      </c>
      <c r="Y3764" s="1">
        <v>36892</v>
      </c>
      <c r="Z3764">
        <v>2</v>
      </c>
      <c r="AA3764" t="s">
        <v>224</v>
      </c>
      <c r="AB3764" s="40" t="s">
        <v>1799</v>
      </c>
    </row>
    <row r="3765" spans="1:28" x14ac:dyDescent="0.25">
      <c r="A3765">
        <v>99913764</v>
      </c>
      <c r="B3765" t="s">
        <v>32</v>
      </c>
      <c r="C3765" t="s">
        <v>143</v>
      </c>
      <c r="D3765" t="s">
        <v>144</v>
      </c>
      <c r="G3765" t="s">
        <v>35</v>
      </c>
      <c r="H3765">
        <v>1</v>
      </c>
      <c r="I3765">
        <v>0</v>
      </c>
      <c r="J3765" s="1">
        <v>43344</v>
      </c>
      <c r="K3765" t="s">
        <v>223</v>
      </c>
      <c r="L3765" t="s">
        <v>224</v>
      </c>
      <c r="M3765" t="s">
        <v>131</v>
      </c>
      <c r="N3765">
        <v>23</v>
      </c>
      <c r="O3765" s="1">
        <v>43344</v>
      </c>
      <c r="P3765" t="s">
        <v>41</v>
      </c>
      <c r="Q3765" t="s">
        <v>42</v>
      </c>
      <c r="R3765" t="str">
        <f>"0590903"</f>
        <v>0590903</v>
      </c>
      <c r="S3765" t="s">
        <v>226</v>
      </c>
      <c r="T3765" t="s">
        <v>223</v>
      </c>
      <c r="U3765" t="s">
        <v>224</v>
      </c>
      <c r="V3765" t="s">
        <v>131</v>
      </c>
      <c r="W3765" t="s">
        <v>44</v>
      </c>
      <c r="X3765" t="s">
        <v>45</v>
      </c>
      <c r="Y3765" s="1">
        <v>36892</v>
      </c>
      <c r="Z3765">
        <v>2</v>
      </c>
      <c r="AA3765" t="s">
        <v>224</v>
      </c>
      <c r="AB3765" s="40" t="s">
        <v>1799</v>
      </c>
    </row>
    <row r="3766" spans="1:28" x14ac:dyDescent="0.25">
      <c r="A3766">
        <v>99913765</v>
      </c>
      <c r="B3766" t="s">
        <v>32</v>
      </c>
      <c r="C3766" t="s">
        <v>64</v>
      </c>
      <c r="D3766" t="s">
        <v>65</v>
      </c>
      <c r="G3766" t="s">
        <v>35</v>
      </c>
      <c r="H3766">
        <v>1</v>
      </c>
      <c r="I3766" t="s">
        <v>1580</v>
      </c>
      <c r="J3766" s="1">
        <v>43344</v>
      </c>
      <c r="K3766" t="s">
        <v>1564</v>
      </c>
      <c r="L3766" t="s">
        <v>1565</v>
      </c>
      <c r="M3766" t="s">
        <v>1548</v>
      </c>
      <c r="N3766">
        <v>23</v>
      </c>
      <c r="O3766" s="1">
        <v>43344</v>
      </c>
      <c r="P3766" t="s">
        <v>41</v>
      </c>
      <c r="Q3766" t="s">
        <v>75</v>
      </c>
      <c r="R3766" t="str">
        <f>"7101000"</f>
        <v>7101000</v>
      </c>
      <c r="S3766" t="s">
        <v>1572</v>
      </c>
      <c r="T3766" t="s">
        <v>1564</v>
      </c>
      <c r="U3766" t="s">
        <v>1565</v>
      </c>
      <c r="V3766" t="s">
        <v>1548</v>
      </c>
      <c r="W3766" t="s">
        <v>55</v>
      </c>
      <c r="X3766" t="s">
        <v>45</v>
      </c>
      <c r="Y3766" s="1">
        <v>36834</v>
      </c>
      <c r="Z3766">
        <v>1</v>
      </c>
      <c r="AA3766" t="s">
        <v>1565</v>
      </c>
      <c r="AB3766" s="40" t="s">
        <v>1799</v>
      </c>
    </row>
    <row r="3767" spans="1:28" x14ac:dyDescent="0.25">
      <c r="A3767">
        <v>99913766</v>
      </c>
      <c r="B3767" t="s">
        <v>56</v>
      </c>
      <c r="C3767" t="s">
        <v>52</v>
      </c>
      <c r="D3767" t="s">
        <v>53</v>
      </c>
      <c r="G3767" t="s">
        <v>35</v>
      </c>
      <c r="H3767">
        <v>1</v>
      </c>
      <c r="I3767">
        <v>0</v>
      </c>
      <c r="J3767" s="1">
        <v>43344</v>
      </c>
      <c r="K3767" t="s">
        <v>223</v>
      </c>
      <c r="L3767" t="s">
        <v>224</v>
      </c>
      <c r="M3767" t="s">
        <v>131</v>
      </c>
      <c r="N3767">
        <v>23</v>
      </c>
      <c r="O3767" s="1">
        <v>43344</v>
      </c>
      <c r="P3767" t="s">
        <v>41</v>
      </c>
      <c r="Q3767" t="s">
        <v>49</v>
      </c>
      <c r="R3767" t="str">
        <f>"0561022"</f>
        <v>0561022</v>
      </c>
      <c r="S3767" t="s">
        <v>225</v>
      </c>
      <c r="T3767" t="s">
        <v>223</v>
      </c>
      <c r="U3767" t="s">
        <v>224</v>
      </c>
      <c r="V3767" t="s">
        <v>131</v>
      </c>
      <c r="W3767" t="s">
        <v>44</v>
      </c>
      <c r="X3767" t="s">
        <v>45</v>
      </c>
      <c r="Y3767" s="1">
        <v>36526</v>
      </c>
      <c r="Z3767">
        <v>2</v>
      </c>
      <c r="AA3767" t="s">
        <v>224</v>
      </c>
      <c r="AB3767" s="40" t="s">
        <v>1799</v>
      </c>
    </row>
    <row r="3768" spans="1:28" x14ac:dyDescent="0.25">
      <c r="A3768">
        <v>99913767</v>
      </c>
      <c r="B3768" t="s">
        <v>32</v>
      </c>
      <c r="C3768" t="s">
        <v>79</v>
      </c>
      <c r="D3768" t="s">
        <v>80</v>
      </c>
      <c r="G3768" t="s">
        <v>35</v>
      </c>
      <c r="H3768">
        <v>1</v>
      </c>
      <c r="I3768">
        <v>0</v>
      </c>
      <c r="J3768" s="1">
        <v>43344</v>
      </c>
      <c r="K3768" t="s">
        <v>223</v>
      </c>
      <c r="L3768" t="s">
        <v>224</v>
      </c>
      <c r="M3768" t="s">
        <v>131</v>
      </c>
      <c r="N3768">
        <v>23</v>
      </c>
      <c r="O3768" s="1">
        <v>43344</v>
      </c>
      <c r="P3768" t="s">
        <v>41</v>
      </c>
      <c r="Q3768" t="s">
        <v>49</v>
      </c>
      <c r="R3768" t="str">
        <f>"0561022"</f>
        <v>0561022</v>
      </c>
      <c r="S3768" t="s">
        <v>225</v>
      </c>
      <c r="T3768" t="s">
        <v>223</v>
      </c>
      <c r="U3768" t="s">
        <v>224</v>
      </c>
      <c r="V3768" t="s">
        <v>131</v>
      </c>
      <c r="W3768" t="s">
        <v>44</v>
      </c>
      <c r="X3768" t="s">
        <v>45</v>
      </c>
      <c r="Y3768" s="1">
        <v>36526</v>
      </c>
      <c r="Z3768">
        <v>2</v>
      </c>
      <c r="AA3768" t="s">
        <v>224</v>
      </c>
      <c r="AB3768" s="40" t="s">
        <v>1799</v>
      </c>
    </row>
    <row r="3769" spans="1:28" x14ac:dyDescent="0.25">
      <c r="A3769">
        <v>99913768</v>
      </c>
      <c r="B3769" t="s">
        <v>32</v>
      </c>
      <c r="C3769" t="s">
        <v>64</v>
      </c>
      <c r="D3769" t="s">
        <v>65</v>
      </c>
      <c r="G3769" t="s">
        <v>35</v>
      </c>
      <c r="H3769">
        <v>1</v>
      </c>
      <c r="I3769">
        <v>0</v>
      </c>
      <c r="J3769" s="1">
        <v>43344</v>
      </c>
      <c r="K3769" t="s">
        <v>223</v>
      </c>
      <c r="L3769" t="s">
        <v>224</v>
      </c>
      <c r="M3769" t="s">
        <v>131</v>
      </c>
      <c r="N3769">
        <v>23</v>
      </c>
      <c r="O3769" s="1">
        <v>43344</v>
      </c>
      <c r="P3769" t="s">
        <v>41</v>
      </c>
      <c r="Q3769" t="s">
        <v>49</v>
      </c>
      <c r="R3769" t="str">
        <f>"0561022"</f>
        <v>0561022</v>
      </c>
      <c r="S3769" t="s">
        <v>225</v>
      </c>
      <c r="T3769" t="s">
        <v>223</v>
      </c>
      <c r="U3769" t="s">
        <v>224</v>
      </c>
      <c r="V3769" t="s">
        <v>131</v>
      </c>
      <c r="W3769" t="s">
        <v>44</v>
      </c>
      <c r="X3769" t="s">
        <v>45</v>
      </c>
      <c r="Y3769" s="1">
        <v>36526</v>
      </c>
      <c r="Z3769">
        <v>2</v>
      </c>
      <c r="AA3769" t="s">
        <v>224</v>
      </c>
      <c r="AB3769" s="40" t="s">
        <v>1799</v>
      </c>
    </row>
    <row r="3770" spans="1:28" x14ac:dyDescent="0.25">
      <c r="A3770">
        <v>99913769</v>
      </c>
      <c r="B3770" t="s">
        <v>32</v>
      </c>
      <c r="C3770" t="s">
        <v>71</v>
      </c>
      <c r="D3770" t="s">
        <v>72</v>
      </c>
      <c r="G3770" t="s">
        <v>35</v>
      </c>
      <c r="H3770">
        <v>1</v>
      </c>
      <c r="I3770">
        <v>0</v>
      </c>
      <c r="J3770" s="1">
        <v>43344</v>
      </c>
      <c r="K3770" t="s">
        <v>223</v>
      </c>
      <c r="L3770" t="s">
        <v>224</v>
      </c>
      <c r="M3770" t="s">
        <v>131</v>
      </c>
      <c r="N3770">
        <v>23</v>
      </c>
      <c r="O3770" s="1">
        <v>43344</v>
      </c>
      <c r="P3770" t="s">
        <v>41</v>
      </c>
      <c r="Q3770" t="s">
        <v>49</v>
      </c>
      <c r="R3770" t="str">
        <f>"0561022"</f>
        <v>0561022</v>
      </c>
      <c r="S3770" t="s">
        <v>225</v>
      </c>
      <c r="T3770" t="s">
        <v>223</v>
      </c>
      <c r="U3770" t="s">
        <v>224</v>
      </c>
      <c r="V3770" t="s">
        <v>131</v>
      </c>
      <c r="W3770" t="s">
        <v>44</v>
      </c>
      <c r="X3770" t="s">
        <v>45</v>
      </c>
      <c r="Y3770" s="1">
        <v>36526</v>
      </c>
      <c r="Z3770">
        <v>2</v>
      </c>
      <c r="AA3770" t="s">
        <v>224</v>
      </c>
      <c r="AB3770" s="40" t="s">
        <v>1799</v>
      </c>
    </row>
    <row r="3771" spans="1:28" x14ac:dyDescent="0.25">
      <c r="A3771">
        <v>99913770</v>
      </c>
      <c r="B3771" t="s">
        <v>56</v>
      </c>
      <c r="C3771" t="s">
        <v>33</v>
      </c>
      <c r="D3771" t="s">
        <v>34</v>
      </c>
      <c r="G3771" t="s">
        <v>48</v>
      </c>
      <c r="H3771">
        <v>1</v>
      </c>
      <c r="K3771" t="s">
        <v>1496</v>
      </c>
      <c r="L3771" t="s">
        <v>1497</v>
      </c>
      <c r="M3771" t="s">
        <v>670</v>
      </c>
      <c r="N3771">
        <v>23</v>
      </c>
      <c r="P3771" t="s">
        <v>41</v>
      </c>
      <c r="Q3771" t="s">
        <v>42</v>
      </c>
      <c r="R3771" t="str">
        <f>"5080015"</f>
        <v>5080015</v>
      </c>
      <c r="S3771" t="s">
        <v>1498</v>
      </c>
      <c r="T3771" t="s">
        <v>1496</v>
      </c>
      <c r="U3771" t="s">
        <v>1497</v>
      </c>
      <c r="V3771" t="s">
        <v>670</v>
      </c>
      <c r="W3771" t="s">
        <v>51</v>
      </c>
      <c r="X3771" t="s">
        <v>45</v>
      </c>
      <c r="Y3771" s="1">
        <v>36526</v>
      </c>
      <c r="Z3771">
        <v>2</v>
      </c>
      <c r="AA3771" t="s">
        <v>1497</v>
      </c>
      <c r="AB3771" s="40" t="s">
        <v>1799</v>
      </c>
    </row>
    <row r="3772" spans="1:28" x14ac:dyDescent="0.25">
      <c r="A3772">
        <v>99913771</v>
      </c>
      <c r="B3772" t="s">
        <v>56</v>
      </c>
      <c r="C3772" t="s">
        <v>52</v>
      </c>
      <c r="D3772" t="s">
        <v>53</v>
      </c>
      <c r="G3772" t="s">
        <v>35</v>
      </c>
      <c r="H3772">
        <v>1</v>
      </c>
      <c r="I3772" t="s">
        <v>1182</v>
      </c>
      <c r="J3772" s="1">
        <v>43362</v>
      </c>
      <c r="K3772" t="s">
        <v>1171</v>
      </c>
      <c r="L3772" t="s">
        <v>1172</v>
      </c>
      <c r="M3772" t="s">
        <v>1130</v>
      </c>
      <c r="N3772">
        <v>23</v>
      </c>
      <c r="O3772" s="1">
        <v>43362</v>
      </c>
      <c r="P3772" t="s">
        <v>41</v>
      </c>
      <c r="Q3772" t="s">
        <v>49</v>
      </c>
      <c r="R3772" t="str">
        <f>"3560001"</f>
        <v>3560001</v>
      </c>
      <c r="S3772" t="s">
        <v>1179</v>
      </c>
      <c r="T3772" t="s">
        <v>1171</v>
      </c>
      <c r="U3772" t="s">
        <v>1172</v>
      </c>
      <c r="V3772" t="s">
        <v>1130</v>
      </c>
      <c r="W3772" t="s">
        <v>44</v>
      </c>
      <c r="X3772" t="s">
        <v>45</v>
      </c>
      <c r="Y3772" s="1">
        <v>34967</v>
      </c>
      <c r="Z3772">
        <v>2</v>
      </c>
      <c r="AA3772" t="s">
        <v>1172</v>
      </c>
      <c r="AB3772" s="40" t="s">
        <v>1799</v>
      </c>
    </row>
    <row r="3773" spans="1:28" x14ac:dyDescent="0.25">
      <c r="A3773">
        <v>99913772</v>
      </c>
      <c r="B3773" t="s">
        <v>56</v>
      </c>
      <c r="C3773" t="s">
        <v>64</v>
      </c>
      <c r="D3773" t="s">
        <v>65</v>
      </c>
      <c r="G3773" t="s">
        <v>35</v>
      </c>
      <c r="H3773">
        <v>3</v>
      </c>
      <c r="I3773">
        <v>13104</v>
      </c>
      <c r="J3773" s="1">
        <v>43344</v>
      </c>
      <c r="K3773" t="s">
        <v>1268</v>
      </c>
      <c r="L3773" t="s">
        <v>1269</v>
      </c>
      <c r="M3773" t="s">
        <v>1270</v>
      </c>
      <c r="N3773">
        <v>23</v>
      </c>
      <c r="O3773" s="1">
        <v>43344</v>
      </c>
      <c r="P3773" t="s">
        <v>41</v>
      </c>
      <c r="Q3773" t="s">
        <v>49</v>
      </c>
      <c r="R3773" t="str">
        <f>"1981055"</f>
        <v>1981055</v>
      </c>
      <c r="S3773" t="s">
        <v>1280</v>
      </c>
      <c r="T3773" t="s">
        <v>1268</v>
      </c>
      <c r="U3773" t="s">
        <v>1269</v>
      </c>
      <c r="V3773" t="s">
        <v>1270</v>
      </c>
      <c r="W3773" t="s">
        <v>51</v>
      </c>
      <c r="X3773" t="s">
        <v>45</v>
      </c>
      <c r="Y3773" s="1">
        <v>33868</v>
      </c>
      <c r="Z3773">
        <v>2</v>
      </c>
      <c r="AA3773" t="s">
        <v>1269</v>
      </c>
      <c r="AB3773" s="40" t="s">
        <v>1799</v>
      </c>
    </row>
    <row r="3774" spans="1:28" x14ac:dyDescent="0.25">
      <c r="A3774">
        <v>99913773</v>
      </c>
      <c r="B3774" t="s">
        <v>32</v>
      </c>
      <c r="C3774" t="s">
        <v>46</v>
      </c>
      <c r="D3774" t="s">
        <v>47</v>
      </c>
      <c r="G3774" t="s">
        <v>35</v>
      </c>
      <c r="H3774">
        <v>1</v>
      </c>
      <c r="I3774">
        <v>19677</v>
      </c>
      <c r="J3774" s="1">
        <v>43346</v>
      </c>
      <c r="K3774" t="s">
        <v>380</v>
      </c>
      <c r="L3774" t="s">
        <v>381</v>
      </c>
      <c r="M3774" t="s">
        <v>131</v>
      </c>
      <c r="N3774">
        <v>23</v>
      </c>
      <c r="O3774" s="1">
        <v>43346</v>
      </c>
      <c r="P3774" t="s">
        <v>41</v>
      </c>
      <c r="Q3774" t="s">
        <v>49</v>
      </c>
      <c r="R3774" t="str">
        <f>"0591909"</f>
        <v>0591909</v>
      </c>
      <c r="S3774" t="s">
        <v>385</v>
      </c>
      <c r="T3774" t="s">
        <v>380</v>
      </c>
      <c r="U3774" t="s">
        <v>381</v>
      </c>
      <c r="V3774" t="s">
        <v>131</v>
      </c>
      <c r="W3774" t="s">
        <v>44</v>
      </c>
      <c r="X3774" t="s">
        <v>45</v>
      </c>
      <c r="Y3774" s="1">
        <v>33700</v>
      </c>
      <c r="Z3774">
        <v>2</v>
      </c>
      <c r="AA3774" t="s">
        <v>381</v>
      </c>
      <c r="AB3774" s="40" t="s">
        <v>1799</v>
      </c>
    </row>
    <row r="3775" spans="1:28" x14ac:dyDescent="0.25">
      <c r="A3775">
        <v>99913774</v>
      </c>
      <c r="B3775" t="s">
        <v>56</v>
      </c>
      <c r="C3775" t="s">
        <v>64</v>
      </c>
      <c r="D3775" t="s">
        <v>65</v>
      </c>
      <c r="G3775" t="s">
        <v>35</v>
      </c>
      <c r="H3775">
        <v>1</v>
      </c>
      <c r="I3775" t="s">
        <v>1469</v>
      </c>
      <c r="J3775" s="1">
        <v>43362</v>
      </c>
      <c r="K3775" t="s">
        <v>1334</v>
      </c>
      <c r="L3775" t="s">
        <v>1335</v>
      </c>
      <c r="M3775" t="s">
        <v>1270</v>
      </c>
      <c r="N3775">
        <v>23</v>
      </c>
      <c r="O3775" s="1">
        <v>43362</v>
      </c>
      <c r="P3775" t="s">
        <v>41</v>
      </c>
      <c r="Q3775" t="s">
        <v>75</v>
      </c>
      <c r="R3775" t="str">
        <f>"7391000"</f>
        <v>7391000</v>
      </c>
      <c r="S3775" t="s">
        <v>1333</v>
      </c>
      <c r="T3775" t="s">
        <v>1334</v>
      </c>
      <c r="U3775" t="s">
        <v>1335</v>
      </c>
      <c r="V3775" t="s">
        <v>1270</v>
      </c>
      <c r="W3775" t="s">
        <v>55</v>
      </c>
      <c r="X3775" t="s">
        <v>45</v>
      </c>
      <c r="Y3775" s="1">
        <v>33394</v>
      </c>
      <c r="Z3775">
        <v>1</v>
      </c>
      <c r="AA3775" t="s">
        <v>1335</v>
      </c>
      <c r="AB3775" s="40" t="s">
        <v>1799</v>
      </c>
    </row>
    <row r="3776" spans="1:28" x14ac:dyDescent="0.25">
      <c r="A3776">
        <v>99913775</v>
      </c>
      <c r="B3776" t="s">
        <v>32</v>
      </c>
      <c r="C3776" t="s">
        <v>111</v>
      </c>
      <c r="D3776" t="s">
        <v>112</v>
      </c>
      <c r="G3776" t="s">
        <v>35</v>
      </c>
      <c r="H3776">
        <v>1</v>
      </c>
      <c r="K3776" t="s">
        <v>877</v>
      </c>
      <c r="L3776" t="s">
        <v>878</v>
      </c>
      <c r="M3776" t="s">
        <v>131</v>
      </c>
      <c r="N3776">
        <v>23</v>
      </c>
      <c r="P3776" t="s">
        <v>41</v>
      </c>
      <c r="Q3776" t="s">
        <v>75</v>
      </c>
      <c r="R3776" t="str">
        <f>"7700025"</f>
        <v>7700025</v>
      </c>
      <c r="S3776" t="s">
        <v>880</v>
      </c>
      <c r="T3776" t="s">
        <v>877</v>
      </c>
      <c r="U3776" t="s">
        <v>878</v>
      </c>
      <c r="V3776" t="s">
        <v>131</v>
      </c>
      <c r="W3776" t="s">
        <v>51</v>
      </c>
      <c r="X3776" t="s">
        <v>45</v>
      </c>
      <c r="Y3776" s="1">
        <v>33328</v>
      </c>
      <c r="Z3776">
        <v>1</v>
      </c>
      <c r="AA3776" t="s">
        <v>878</v>
      </c>
      <c r="AB3776" s="40" t="s">
        <v>1799</v>
      </c>
    </row>
    <row r="3777" spans="1:28" x14ac:dyDescent="0.25">
      <c r="A3777">
        <v>99913776</v>
      </c>
      <c r="B3777" t="s">
        <v>32</v>
      </c>
      <c r="C3777" t="s">
        <v>111</v>
      </c>
      <c r="D3777" t="s">
        <v>112</v>
      </c>
      <c r="G3777" t="s">
        <v>48</v>
      </c>
      <c r="H3777">
        <v>1</v>
      </c>
      <c r="K3777" t="s">
        <v>1619</v>
      </c>
      <c r="L3777" t="s">
        <v>1620</v>
      </c>
      <c r="M3777" t="s">
        <v>1592</v>
      </c>
      <c r="N3777">
        <v>23</v>
      </c>
      <c r="P3777" t="s">
        <v>41</v>
      </c>
      <c r="Q3777" t="s">
        <v>75</v>
      </c>
      <c r="R3777" t="str">
        <f>"7281006"</f>
        <v>7281006</v>
      </c>
      <c r="S3777" t="s">
        <v>1618</v>
      </c>
      <c r="T3777" t="s">
        <v>1619</v>
      </c>
      <c r="U3777" t="s">
        <v>1620</v>
      </c>
      <c r="V3777" t="s">
        <v>1592</v>
      </c>
      <c r="W3777" t="s">
        <v>51</v>
      </c>
      <c r="X3777" t="s">
        <v>45</v>
      </c>
      <c r="Y3777" s="1">
        <v>33262</v>
      </c>
      <c r="Z3777">
        <v>1</v>
      </c>
      <c r="AA3777" t="s">
        <v>1620</v>
      </c>
      <c r="AB3777" s="40" t="s">
        <v>1799</v>
      </c>
    </row>
    <row r="3778" spans="1:28" x14ac:dyDescent="0.25">
      <c r="A3778">
        <v>99913777</v>
      </c>
      <c r="B3778" t="s">
        <v>32</v>
      </c>
      <c r="C3778" t="s">
        <v>71</v>
      </c>
      <c r="D3778" t="s">
        <v>72</v>
      </c>
      <c r="G3778" t="s">
        <v>35</v>
      </c>
      <c r="H3778">
        <v>1</v>
      </c>
      <c r="I3778">
        <v>14177</v>
      </c>
      <c r="J3778" s="1">
        <v>43344</v>
      </c>
      <c r="K3778" t="s">
        <v>1268</v>
      </c>
      <c r="L3778" t="s">
        <v>1269</v>
      </c>
      <c r="M3778" t="s">
        <v>1270</v>
      </c>
      <c r="N3778">
        <v>23</v>
      </c>
      <c r="O3778" s="1">
        <v>43344</v>
      </c>
      <c r="P3778" t="s">
        <v>41</v>
      </c>
      <c r="Q3778" t="s">
        <v>49</v>
      </c>
      <c r="R3778" t="str">
        <f>"1981055"</f>
        <v>1981055</v>
      </c>
      <c r="S3778" t="s">
        <v>1280</v>
      </c>
      <c r="T3778" t="s">
        <v>1268</v>
      </c>
      <c r="U3778" t="s">
        <v>1269</v>
      </c>
      <c r="V3778" t="s">
        <v>1270</v>
      </c>
      <c r="W3778" t="s">
        <v>51</v>
      </c>
      <c r="X3778" t="s">
        <v>45</v>
      </c>
      <c r="Y3778" s="1">
        <v>33228</v>
      </c>
      <c r="Z3778">
        <v>2</v>
      </c>
      <c r="AA3778" t="s">
        <v>1269</v>
      </c>
      <c r="AB3778" s="40" t="s">
        <v>1799</v>
      </c>
    </row>
    <row r="3779" spans="1:28" x14ac:dyDescent="0.25">
      <c r="A3779">
        <v>99913778</v>
      </c>
      <c r="B3779" t="s">
        <v>32</v>
      </c>
      <c r="C3779" t="s">
        <v>143</v>
      </c>
      <c r="D3779" t="s">
        <v>144</v>
      </c>
      <c r="G3779" t="s">
        <v>48</v>
      </c>
      <c r="H3779">
        <v>1</v>
      </c>
      <c r="K3779" t="s">
        <v>1198</v>
      </c>
      <c r="L3779" t="s">
        <v>1199</v>
      </c>
      <c r="M3779" t="s">
        <v>1130</v>
      </c>
      <c r="N3779">
        <v>23</v>
      </c>
      <c r="P3779" t="s">
        <v>41</v>
      </c>
      <c r="Q3779" t="s">
        <v>75</v>
      </c>
      <c r="R3779" t="str">
        <f>"7311010"</f>
        <v>7311010</v>
      </c>
      <c r="S3779" t="s">
        <v>1202</v>
      </c>
      <c r="T3779" t="s">
        <v>1198</v>
      </c>
      <c r="U3779" t="s">
        <v>1199</v>
      </c>
      <c r="V3779" t="s">
        <v>1130</v>
      </c>
      <c r="W3779" t="s">
        <v>51</v>
      </c>
      <c r="X3779" t="s">
        <v>45</v>
      </c>
      <c r="Y3779" s="1">
        <v>33194</v>
      </c>
      <c r="Z3779">
        <v>1</v>
      </c>
      <c r="AA3779" t="s">
        <v>1199</v>
      </c>
      <c r="AB3779" s="40" t="s">
        <v>1799</v>
      </c>
    </row>
    <row r="3780" spans="1:28" x14ac:dyDescent="0.25">
      <c r="A3780">
        <v>99913779</v>
      </c>
      <c r="B3780" t="s">
        <v>32</v>
      </c>
      <c r="C3780" t="s">
        <v>64</v>
      </c>
      <c r="D3780" t="s">
        <v>65</v>
      </c>
      <c r="G3780" t="s">
        <v>35</v>
      </c>
      <c r="H3780">
        <v>1</v>
      </c>
      <c r="I3780">
        <v>0</v>
      </c>
      <c r="J3780" s="1">
        <v>43344</v>
      </c>
      <c r="K3780" t="s">
        <v>223</v>
      </c>
      <c r="L3780" t="s">
        <v>224</v>
      </c>
      <c r="M3780" t="s">
        <v>131</v>
      </c>
      <c r="N3780">
        <v>23</v>
      </c>
      <c r="O3780" s="1">
        <v>43344</v>
      </c>
      <c r="P3780" t="s">
        <v>41</v>
      </c>
      <c r="Q3780" t="s">
        <v>42</v>
      </c>
      <c r="R3780" t="str">
        <f>"0580207"</f>
        <v>0580207</v>
      </c>
      <c r="S3780" t="s">
        <v>229</v>
      </c>
      <c r="T3780" t="s">
        <v>223</v>
      </c>
      <c r="U3780" t="s">
        <v>224</v>
      </c>
      <c r="V3780" t="s">
        <v>131</v>
      </c>
      <c r="W3780" t="s">
        <v>44</v>
      </c>
      <c r="X3780" t="s">
        <v>45</v>
      </c>
      <c r="Y3780" s="1">
        <v>33178</v>
      </c>
      <c r="Z3780">
        <v>2</v>
      </c>
      <c r="AA3780" t="s">
        <v>224</v>
      </c>
      <c r="AB3780" s="40" t="s">
        <v>1799</v>
      </c>
    </row>
    <row r="3781" spans="1:28" x14ac:dyDescent="0.25">
      <c r="A3781">
        <v>99913780</v>
      </c>
      <c r="B3781" t="s">
        <v>32</v>
      </c>
      <c r="C3781" t="s">
        <v>111</v>
      </c>
      <c r="D3781" t="s">
        <v>112</v>
      </c>
      <c r="G3781" t="s">
        <v>48</v>
      </c>
      <c r="H3781">
        <v>1</v>
      </c>
      <c r="K3781" t="s">
        <v>1619</v>
      </c>
      <c r="L3781" t="s">
        <v>1620</v>
      </c>
      <c r="M3781" t="s">
        <v>1592</v>
      </c>
      <c r="N3781">
        <v>23</v>
      </c>
      <c r="P3781" t="s">
        <v>41</v>
      </c>
      <c r="Q3781" t="s">
        <v>75</v>
      </c>
      <c r="R3781" t="str">
        <f>"7281006"</f>
        <v>7281006</v>
      </c>
      <c r="S3781" t="s">
        <v>1618</v>
      </c>
      <c r="T3781" t="s">
        <v>1619</v>
      </c>
      <c r="U3781" t="s">
        <v>1620</v>
      </c>
      <c r="V3781" t="s">
        <v>1592</v>
      </c>
      <c r="W3781" t="s">
        <v>51</v>
      </c>
      <c r="X3781" t="s">
        <v>45</v>
      </c>
      <c r="Y3781" s="1">
        <v>33108</v>
      </c>
      <c r="Z3781">
        <v>1</v>
      </c>
      <c r="AA3781" t="s">
        <v>1620</v>
      </c>
      <c r="AB3781" s="40" t="s">
        <v>1799</v>
      </c>
    </row>
    <row r="3782" spans="1:28" x14ac:dyDescent="0.25">
      <c r="A3782">
        <v>99913781</v>
      </c>
      <c r="B3782" t="s">
        <v>56</v>
      </c>
      <c r="C3782" t="s">
        <v>58</v>
      </c>
      <c r="D3782" t="s">
        <v>59</v>
      </c>
      <c r="G3782" t="s">
        <v>35</v>
      </c>
      <c r="H3782">
        <v>1</v>
      </c>
      <c r="K3782" t="s">
        <v>1051</v>
      </c>
      <c r="L3782" t="s">
        <v>1052</v>
      </c>
      <c r="M3782" t="s">
        <v>1053</v>
      </c>
      <c r="N3782">
        <v>23</v>
      </c>
      <c r="P3782" t="s">
        <v>41</v>
      </c>
      <c r="Q3782" t="s">
        <v>42</v>
      </c>
      <c r="R3782" t="str">
        <f>"2061003"</f>
        <v>2061003</v>
      </c>
      <c r="S3782" t="s">
        <v>1060</v>
      </c>
      <c r="T3782" t="s">
        <v>1051</v>
      </c>
      <c r="U3782" t="s">
        <v>1052</v>
      </c>
      <c r="V3782" t="s">
        <v>1053</v>
      </c>
      <c r="W3782" t="s">
        <v>51</v>
      </c>
      <c r="X3782" t="s">
        <v>45</v>
      </c>
      <c r="Y3782" s="1">
        <v>33106</v>
      </c>
      <c r="Z3782">
        <v>2</v>
      </c>
      <c r="AA3782" t="s">
        <v>1052</v>
      </c>
      <c r="AB3782" s="40" t="s">
        <v>1799</v>
      </c>
    </row>
    <row r="3783" spans="1:28" x14ac:dyDescent="0.25">
      <c r="A3783">
        <v>99913782</v>
      </c>
      <c r="B3783" t="s">
        <v>32</v>
      </c>
      <c r="C3783" t="s">
        <v>46</v>
      </c>
      <c r="D3783" t="s">
        <v>47</v>
      </c>
      <c r="G3783" t="s">
        <v>35</v>
      </c>
      <c r="H3783">
        <v>1</v>
      </c>
      <c r="I3783">
        <v>18457</v>
      </c>
      <c r="J3783" s="1">
        <v>43353</v>
      </c>
      <c r="K3783" t="s">
        <v>380</v>
      </c>
      <c r="L3783" t="s">
        <v>381</v>
      </c>
      <c r="M3783" t="s">
        <v>131</v>
      </c>
      <c r="N3783">
        <v>23</v>
      </c>
      <c r="O3783" s="1">
        <v>43353</v>
      </c>
      <c r="P3783" t="s">
        <v>41</v>
      </c>
      <c r="Q3783" t="s">
        <v>49</v>
      </c>
      <c r="R3783" t="str">
        <f>"0560028"</f>
        <v>0560028</v>
      </c>
      <c r="S3783" t="s">
        <v>384</v>
      </c>
      <c r="T3783" t="s">
        <v>380</v>
      </c>
      <c r="U3783" t="s">
        <v>381</v>
      </c>
      <c r="V3783" t="s">
        <v>131</v>
      </c>
      <c r="W3783" t="s">
        <v>55</v>
      </c>
      <c r="X3783" t="s">
        <v>45</v>
      </c>
      <c r="Y3783" s="1">
        <v>33074</v>
      </c>
      <c r="Z3783">
        <v>2</v>
      </c>
      <c r="AA3783" t="s">
        <v>381</v>
      </c>
      <c r="AB3783" s="40" t="s">
        <v>1799</v>
      </c>
    </row>
    <row r="3784" spans="1:28" x14ac:dyDescent="0.25">
      <c r="A3784">
        <v>99913783</v>
      </c>
      <c r="B3784" t="s">
        <v>56</v>
      </c>
      <c r="C3784" t="s">
        <v>52</v>
      </c>
      <c r="D3784" t="s">
        <v>53</v>
      </c>
      <c r="G3784" t="s">
        <v>48</v>
      </c>
      <c r="H3784">
        <v>1</v>
      </c>
      <c r="K3784" t="s">
        <v>1613</v>
      </c>
      <c r="L3784" t="s">
        <v>1614</v>
      </c>
      <c r="M3784" t="s">
        <v>1592</v>
      </c>
      <c r="N3784">
        <v>23</v>
      </c>
      <c r="P3784" t="s">
        <v>41</v>
      </c>
      <c r="Q3784" t="s">
        <v>49</v>
      </c>
      <c r="R3784" t="str">
        <f>"2860001"</f>
        <v>2860001</v>
      </c>
      <c r="S3784" t="s">
        <v>1616</v>
      </c>
      <c r="T3784" t="s">
        <v>1613</v>
      </c>
      <c r="U3784" t="s">
        <v>1614</v>
      </c>
      <c r="V3784" t="s">
        <v>1592</v>
      </c>
      <c r="W3784" t="s">
        <v>51</v>
      </c>
      <c r="X3784" t="s">
        <v>45</v>
      </c>
      <c r="Y3784" s="1">
        <v>33072</v>
      </c>
      <c r="Z3784">
        <v>2</v>
      </c>
      <c r="AA3784" t="s">
        <v>1614</v>
      </c>
      <c r="AB3784" s="40" t="s">
        <v>1799</v>
      </c>
    </row>
    <row r="3785" spans="1:28" x14ac:dyDescent="0.25">
      <c r="A3785">
        <v>99913784</v>
      </c>
      <c r="B3785" t="s">
        <v>32</v>
      </c>
      <c r="C3785" t="s">
        <v>58</v>
      </c>
      <c r="D3785" t="s">
        <v>59</v>
      </c>
      <c r="G3785" t="s">
        <v>35</v>
      </c>
      <c r="H3785">
        <v>1</v>
      </c>
      <c r="I3785">
        <v>14176</v>
      </c>
      <c r="J3785" s="1">
        <v>43348</v>
      </c>
      <c r="K3785" t="s">
        <v>1268</v>
      </c>
      <c r="L3785" t="s">
        <v>1269</v>
      </c>
      <c r="M3785" t="s">
        <v>1270</v>
      </c>
      <c r="N3785">
        <v>23</v>
      </c>
      <c r="O3785" s="1">
        <v>43348</v>
      </c>
      <c r="P3785" t="s">
        <v>41</v>
      </c>
      <c r="Q3785" t="s">
        <v>49</v>
      </c>
      <c r="R3785" t="str">
        <f>"1981055"</f>
        <v>1981055</v>
      </c>
      <c r="S3785" t="s">
        <v>1280</v>
      </c>
      <c r="T3785" t="s">
        <v>1268</v>
      </c>
      <c r="U3785" t="s">
        <v>1269</v>
      </c>
      <c r="V3785" t="s">
        <v>1270</v>
      </c>
      <c r="W3785" t="s">
        <v>55</v>
      </c>
      <c r="X3785" t="s">
        <v>45</v>
      </c>
      <c r="Y3785" s="1">
        <v>33002</v>
      </c>
      <c r="Z3785">
        <v>2</v>
      </c>
      <c r="AA3785" t="s">
        <v>1269</v>
      </c>
      <c r="AB3785" s="40" t="s">
        <v>1799</v>
      </c>
    </row>
    <row r="3786" spans="1:28" x14ac:dyDescent="0.25">
      <c r="A3786">
        <v>99913785</v>
      </c>
      <c r="B3786" t="s">
        <v>32</v>
      </c>
      <c r="C3786" t="s">
        <v>46</v>
      </c>
      <c r="D3786" t="s">
        <v>47</v>
      </c>
      <c r="G3786" t="s">
        <v>35</v>
      </c>
      <c r="H3786">
        <v>1</v>
      </c>
      <c r="I3786">
        <v>0</v>
      </c>
      <c r="J3786" s="1">
        <v>43344</v>
      </c>
      <c r="K3786" t="s">
        <v>223</v>
      </c>
      <c r="L3786" t="s">
        <v>224</v>
      </c>
      <c r="M3786" t="s">
        <v>131</v>
      </c>
      <c r="N3786">
        <v>23</v>
      </c>
      <c r="O3786" s="1">
        <v>43344</v>
      </c>
      <c r="P3786" t="s">
        <v>41</v>
      </c>
      <c r="Q3786" t="s">
        <v>42</v>
      </c>
      <c r="R3786" t="str">
        <f>"0580206"</f>
        <v>0580206</v>
      </c>
      <c r="S3786" t="s">
        <v>237</v>
      </c>
      <c r="T3786" t="s">
        <v>223</v>
      </c>
      <c r="U3786" t="s">
        <v>224</v>
      </c>
      <c r="V3786" t="s">
        <v>131</v>
      </c>
      <c r="W3786" t="s">
        <v>55</v>
      </c>
      <c r="X3786" t="s">
        <v>45</v>
      </c>
      <c r="Y3786" s="1">
        <v>33001</v>
      </c>
      <c r="Z3786">
        <v>2</v>
      </c>
      <c r="AA3786" t="s">
        <v>224</v>
      </c>
      <c r="AB3786" s="40" t="s">
        <v>1799</v>
      </c>
    </row>
    <row r="3787" spans="1:28" x14ac:dyDescent="0.25">
      <c r="A3787">
        <v>99913786</v>
      </c>
      <c r="B3787" t="s">
        <v>32</v>
      </c>
      <c r="C3787" t="s">
        <v>79</v>
      </c>
      <c r="D3787" t="s">
        <v>80</v>
      </c>
      <c r="G3787" t="s">
        <v>35</v>
      </c>
      <c r="H3787">
        <v>1</v>
      </c>
      <c r="I3787" t="s">
        <v>358</v>
      </c>
      <c r="J3787" s="1">
        <v>43344</v>
      </c>
      <c r="K3787" t="s">
        <v>345</v>
      </c>
      <c r="L3787" t="s">
        <v>346</v>
      </c>
      <c r="M3787" t="s">
        <v>131</v>
      </c>
      <c r="N3787">
        <v>23</v>
      </c>
      <c r="O3787" s="1">
        <v>43344</v>
      </c>
      <c r="P3787" t="s">
        <v>41</v>
      </c>
      <c r="Q3787" t="s">
        <v>49</v>
      </c>
      <c r="R3787" t="str">
        <f>"0581660"</f>
        <v>0581660</v>
      </c>
      <c r="S3787" t="s">
        <v>359</v>
      </c>
      <c r="T3787" t="s">
        <v>345</v>
      </c>
      <c r="U3787" t="s">
        <v>346</v>
      </c>
      <c r="V3787" t="s">
        <v>131</v>
      </c>
      <c r="W3787" t="s">
        <v>51</v>
      </c>
      <c r="X3787" t="s">
        <v>45</v>
      </c>
      <c r="Y3787" s="1">
        <v>32891</v>
      </c>
      <c r="Z3787">
        <v>2</v>
      </c>
      <c r="AA3787" t="s">
        <v>346</v>
      </c>
      <c r="AB3787" s="40" t="s">
        <v>1799</v>
      </c>
    </row>
    <row r="3788" spans="1:28" x14ac:dyDescent="0.25">
      <c r="A3788">
        <v>99913787</v>
      </c>
      <c r="B3788" t="s">
        <v>32</v>
      </c>
      <c r="C3788" t="s">
        <v>46</v>
      </c>
      <c r="D3788" t="s">
        <v>47</v>
      </c>
      <c r="G3788" t="s">
        <v>48</v>
      </c>
      <c r="H3788">
        <v>1</v>
      </c>
      <c r="K3788" t="s">
        <v>223</v>
      </c>
      <c r="L3788" t="s">
        <v>224</v>
      </c>
      <c r="M3788" t="s">
        <v>131</v>
      </c>
      <c r="N3788">
        <v>23</v>
      </c>
      <c r="P3788" t="s">
        <v>41</v>
      </c>
      <c r="Q3788" t="s">
        <v>49</v>
      </c>
      <c r="R3788" t="str">
        <f>"0581207"</f>
        <v>0581207</v>
      </c>
      <c r="S3788" t="s">
        <v>233</v>
      </c>
      <c r="T3788" t="s">
        <v>223</v>
      </c>
      <c r="U3788" t="s">
        <v>224</v>
      </c>
      <c r="V3788" t="s">
        <v>131</v>
      </c>
      <c r="W3788" t="s">
        <v>51</v>
      </c>
      <c r="X3788" t="s">
        <v>45</v>
      </c>
      <c r="Y3788" s="1">
        <v>32874</v>
      </c>
      <c r="Z3788">
        <v>2</v>
      </c>
      <c r="AA3788" t="s">
        <v>224</v>
      </c>
      <c r="AB3788" s="40" t="s">
        <v>1799</v>
      </c>
    </row>
    <row r="3789" spans="1:28" x14ac:dyDescent="0.25">
      <c r="A3789">
        <v>99913788</v>
      </c>
      <c r="B3789" t="s">
        <v>56</v>
      </c>
      <c r="C3789" t="s">
        <v>52</v>
      </c>
      <c r="D3789" t="s">
        <v>53</v>
      </c>
      <c r="G3789" t="s">
        <v>35</v>
      </c>
      <c r="H3789">
        <v>1</v>
      </c>
      <c r="I3789">
        <v>0</v>
      </c>
      <c r="J3789" s="1">
        <v>43344</v>
      </c>
      <c r="K3789" t="s">
        <v>223</v>
      </c>
      <c r="L3789" t="s">
        <v>224</v>
      </c>
      <c r="M3789" t="s">
        <v>131</v>
      </c>
      <c r="N3789">
        <v>23</v>
      </c>
      <c r="O3789" s="1">
        <v>43344</v>
      </c>
      <c r="P3789" t="s">
        <v>41</v>
      </c>
      <c r="Q3789" t="s">
        <v>42</v>
      </c>
      <c r="R3789" t="str">
        <f>"0580204"</f>
        <v>0580204</v>
      </c>
      <c r="S3789" t="s">
        <v>235</v>
      </c>
      <c r="T3789" t="s">
        <v>223</v>
      </c>
      <c r="U3789" t="s">
        <v>224</v>
      </c>
      <c r="V3789" t="s">
        <v>131</v>
      </c>
      <c r="W3789" t="s">
        <v>44</v>
      </c>
      <c r="X3789" t="s">
        <v>45</v>
      </c>
      <c r="Y3789" s="1">
        <v>32874</v>
      </c>
      <c r="Z3789">
        <v>2</v>
      </c>
      <c r="AA3789" t="s">
        <v>224</v>
      </c>
      <c r="AB3789" s="40" t="s">
        <v>1799</v>
      </c>
    </row>
    <row r="3790" spans="1:28" x14ac:dyDescent="0.25">
      <c r="A3790">
        <v>99913789</v>
      </c>
      <c r="B3790" t="s">
        <v>32</v>
      </c>
      <c r="C3790" t="s">
        <v>145</v>
      </c>
      <c r="D3790" t="s">
        <v>146</v>
      </c>
      <c r="G3790" t="s">
        <v>48</v>
      </c>
      <c r="H3790">
        <v>1</v>
      </c>
      <c r="K3790" t="s">
        <v>345</v>
      </c>
      <c r="L3790" t="s">
        <v>346</v>
      </c>
      <c r="M3790" t="s">
        <v>131</v>
      </c>
      <c r="N3790">
        <v>23</v>
      </c>
      <c r="P3790" t="s">
        <v>41</v>
      </c>
      <c r="Q3790" t="s">
        <v>42</v>
      </c>
      <c r="R3790" t="str">
        <f>"0580931"</f>
        <v>0580931</v>
      </c>
      <c r="S3790" t="s">
        <v>369</v>
      </c>
      <c r="T3790" t="s">
        <v>345</v>
      </c>
      <c r="U3790" t="s">
        <v>346</v>
      </c>
      <c r="V3790" t="s">
        <v>131</v>
      </c>
      <c r="W3790" t="s">
        <v>51</v>
      </c>
      <c r="X3790" t="s">
        <v>45</v>
      </c>
      <c r="Y3790" s="1">
        <v>32870</v>
      </c>
      <c r="Z3790">
        <v>2</v>
      </c>
      <c r="AA3790" t="s">
        <v>346</v>
      </c>
      <c r="AB3790" s="40" t="s">
        <v>1799</v>
      </c>
    </row>
    <row r="3791" spans="1:28" x14ac:dyDescent="0.25">
      <c r="A3791">
        <v>99913790</v>
      </c>
      <c r="B3791" t="s">
        <v>32</v>
      </c>
      <c r="C3791" t="s">
        <v>46</v>
      </c>
      <c r="D3791" t="s">
        <v>47</v>
      </c>
      <c r="G3791" t="s">
        <v>48</v>
      </c>
      <c r="H3791">
        <v>1</v>
      </c>
      <c r="K3791" t="s">
        <v>1613</v>
      </c>
      <c r="L3791" t="s">
        <v>1614</v>
      </c>
      <c r="M3791" t="s">
        <v>1592</v>
      </c>
      <c r="N3791">
        <v>23</v>
      </c>
      <c r="P3791" t="s">
        <v>41</v>
      </c>
      <c r="Q3791" t="s">
        <v>49</v>
      </c>
      <c r="R3791" t="str">
        <f>"2860001"</f>
        <v>2860001</v>
      </c>
      <c r="S3791" t="s">
        <v>1616</v>
      </c>
      <c r="T3791" t="s">
        <v>1613</v>
      </c>
      <c r="U3791" t="s">
        <v>1614</v>
      </c>
      <c r="V3791" t="s">
        <v>1592</v>
      </c>
      <c r="W3791" t="s">
        <v>51</v>
      </c>
      <c r="X3791" t="s">
        <v>45</v>
      </c>
      <c r="Y3791" s="1">
        <v>32822</v>
      </c>
      <c r="Z3791">
        <v>2</v>
      </c>
      <c r="AA3791" t="s">
        <v>1614</v>
      </c>
      <c r="AB3791" s="40" t="s">
        <v>1799</v>
      </c>
    </row>
    <row r="3792" spans="1:28" x14ac:dyDescent="0.25">
      <c r="A3792">
        <v>99913791</v>
      </c>
      <c r="B3792" t="s">
        <v>32</v>
      </c>
      <c r="C3792" t="s">
        <v>82</v>
      </c>
      <c r="D3792" t="s">
        <v>83</v>
      </c>
      <c r="G3792" t="s">
        <v>35</v>
      </c>
      <c r="H3792">
        <v>3</v>
      </c>
      <c r="I3792">
        <v>15539</v>
      </c>
      <c r="J3792" s="1">
        <v>43354</v>
      </c>
      <c r="K3792" t="s">
        <v>1268</v>
      </c>
      <c r="L3792" t="s">
        <v>1269</v>
      </c>
      <c r="M3792" t="s">
        <v>1270</v>
      </c>
      <c r="N3792">
        <v>23</v>
      </c>
      <c r="O3792" s="1">
        <v>43354</v>
      </c>
      <c r="P3792" t="s">
        <v>41</v>
      </c>
      <c r="Q3792" t="s">
        <v>49</v>
      </c>
      <c r="R3792" t="str">
        <f>"1981055"</f>
        <v>1981055</v>
      </c>
      <c r="S3792" t="s">
        <v>1280</v>
      </c>
      <c r="T3792" t="s">
        <v>1268</v>
      </c>
      <c r="U3792" t="s">
        <v>1269</v>
      </c>
      <c r="V3792" t="s">
        <v>1270</v>
      </c>
      <c r="W3792" t="s">
        <v>44</v>
      </c>
      <c r="X3792" t="s">
        <v>45</v>
      </c>
      <c r="Y3792" s="1">
        <v>32799</v>
      </c>
      <c r="Z3792">
        <v>2</v>
      </c>
      <c r="AA3792" t="s">
        <v>1269</v>
      </c>
      <c r="AB3792" s="40" t="s">
        <v>1799</v>
      </c>
    </row>
    <row r="3793" spans="1:28" x14ac:dyDescent="0.25">
      <c r="A3793">
        <v>99913792</v>
      </c>
      <c r="B3793" t="s">
        <v>56</v>
      </c>
      <c r="C3793" t="s">
        <v>52</v>
      </c>
      <c r="D3793" t="s">
        <v>53</v>
      </c>
      <c r="G3793" t="s">
        <v>35</v>
      </c>
      <c r="H3793">
        <v>1</v>
      </c>
      <c r="I3793">
        <v>17956</v>
      </c>
      <c r="J3793" s="1">
        <v>43354</v>
      </c>
      <c r="K3793" t="s">
        <v>1128</v>
      </c>
      <c r="L3793" t="s">
        <v>1129</v>
      </c>
      <c r="M3793" t="s">
        <v>1130</v>
      </c>
      <c r="N3793">
        <v>23</v>
      </c>
      <c r="O3793" s="1">
        <v>43354</v>
      </c>
      <c r="P3793" t="s">
        <v>41</v>
      </c>
      <c r="Q3793" t="s">
        <v>49</v>
      </c>
      <c r="R3793" t="str">
        <f>"3181015"</f>
        <v>3181015</v>
      </c>
      <c r="S3793" t="s">
        <v>1131</v>
      </c>
      <c r="T3793" t="s">
        <v>1128</v>
      </c>
      <c r="U3793" t="s">
        <v>1129</v>
      </c>
      <c r="V3793" t="s">
        <v>1130</v>
      </c>
      <c r="W3793" t="s">
        <v>44</v>
      </c>
      <c r="X3793" t="s">
        <v>45</v>
      </c>
      <c r="Y3793" s="1">
        <v>32776</v>
      </c>
      <c r="Z3793">
        <v>2</v>
      </c>
      <c r="AA3793" t="s">
        <v>1129</v>
      </c>
      <c r="AB3793" s="40" t="s">
        <v>1799</v>
      </c>
    </row>
    <row r="3794" spans="1:28" x14ac:dyDescent="0.25">
      <c r="A3794">
        <v>99913793</v>
      </c>
      <c r="B3794" t="s">
        <v>32</v>
      </c>
      <c r="C3794" t="s">
        <v>111</v>
      </c>
      <c r="D3794" t="s">
        <v>112</v>
      </c>
      <c r="G3794" t="s">
        <v>35</v>
      </c>
      <c r="H3794">
        <v>1</v>
      </c>
      <c r="K3794" t="s">
        <v>877</v>
      </c>
      <c r="L3794" t="s">
        <v>878</v>
      </c>
      <c r="M3794" t="s">
        <v>131</v>
      </c>
      <c r="N3794">
        <v>23</v>
      </c>
      <c r="P3794" t="s">
        <v>41</v>
      </c>
      <c r="Q3794" t="s">
        <v>75</v>
      </c>
      <c r="R3794" t="str">
        <f>"7700025"</f>
        <v>7700025</v>
      </c>
      <c r="S3794" t="s">
        <v>880</v>
      </c>
      <c r="T3794" t="s">
        <v>877</v>
      </c>
      <c r="U3794" t="s">
        <v>878</v>
      </c>
      <c r="V3794" t="s">
        <v>131</v>
      </c>
      <c r="W3794" t="s">
        <v>51</v>
      </c>
      <c r="X3794" t="s">
        <v>45</v>
      </c>
      <c r="Y3794" s="1">
        <v>32727</v>
      </c>
      <c r="Z3794">
        <v>1</v>
      </c>
      <c r="AA3794" t="s">
        <v>878</v>
      </c>
      <c r="AB3794" s="40" t="s">
        <v>1799</v>
      </c>
    </row>
    <row r="3795" spans="1:28" x14ac:dyDescent="0.25">
      <c r="A3795">
        <v>99913794</v>
      </c>
      <c r="B3795" t="s">
        <v>32</v>
      </c>
      <c r="C3795" t="s">
        <v>64</v>
      </c>
      <c r="D3795" t="s">
        <v>65</v>
      </c>
      <c r="G3795" t="s">
        <v>35</v>
      </c>
      <c r="H3795">
        <v>1</v>
      </c>
      <c r="I3795">
        <v>12817</v>
      </c>
      <c r="J3795" s="1">
        <v>43417</v>
      </c>
      <c r="K3795" t="s">
        <v>1325</v>
      </c>
      <c r="L3795" t="s">
        <v>1326</v>
      </c>
      <c r="M3795" t="s">
        <v>1270</v>
      </c>
      <c r="N3795">
        <v>23</v>
      </c>
      <c r="O3795" s="1">
        <v>43417</v>
      </c>
      <c r="R3795" t="str">
        <f>""</f>
        <v/>
      </c>
      <c r="U3795" t="s">
        <v>1326</v>
      </c>
      <c r="V3795" t="s">
        <v>1270</v>
      </c>
      <c r="W3795" t="s">
        <v>44</v>
      </c>
      <c r="X3795" t="s">
        <v>45</v>
      </c>
      <c r="Y3795" s="1">
        <v>32720</v>
      </c>
      <c r="Z3795">
        <v>2</v>
      </c>
      <c r="AA3795" t="s">
        <v>1326</v>
      </c>
      <c r="AB3795" s="40" t="s">
        <v>1799</v>
      </c>
    </row>
    <row r="3796" spans="1:28" x14ac:dyDescent="0.25">
      <c r="A3796">
        <v>99913795</v>
      </c>
      <c r="B3796" t="s">
        <v>32</v>
      </c>
      <c r="C3796" t="s">
        <v>58</v>
      </c>
      <c r="D3796" t="s">
        <v>59</v>
      </c>
      <c r="G3796" t="s">
        <v>35</v>
      </c>
      <c r="H3796">
        <v>4</v>
      </c>
      <c r="I3796">
        <v>18015</v>
      </c>
      <c r="J3796" s="1">
        <v>43344</v>
      </c>
      <c r="K3796" t="s">
        <v>1268</v>
      </c>
      <c r="L3796" t="s">
        <v>1269</v>
      </c>
      <c r="M3796" t="s">
        <v>1270</v>
      </c>
      <c r="N3796">
        <v>23</v>
      </c>
      <c r="O3796" s="1">
        <v>43344</v>
      </c>
      <c r="P3796" t="s">
        <v>41</v>
      </c>
      <c r="Q3796" t="s">
        <v>49</v>
      </c>
      <c r="R3796" t="str">
        <f>"1981055"</f>
        <v>1981055</v>
      </c>
      <c r="S3796" t="s">
        <v>1280</v>
      </c>
      <c r="T3796" t="s">
        <v>1268</v>
      </c>
      <c r="U3796" t="s">
        <v>1269</v>
      </c>
      <c r="V3796" t="s">
        <v>1270</v>
      </c>
      <c r="W3796" t="s">
        <v>44</v>
      </c>
      <c r="X3796" t="s">
        <v>45</v>
      </c>
      <c r="Y3796" s="1">
        <v>32673</v>
      </c>
      <c r="Z3796">
        <v>2</v>
      </c>
      <c r="AA3796" t="s">
        <v>1269</v>
      </c>
      <c r="AB3796" s="40" t="s">
        <v>1799</v>
      </c>
    </row>
    <row r="3797" spans="1:28" x14ac:dyDescent="0.25">
      <c r="A3797">
        <v>99913796</v>
      </c>
      <c r="B3797" t="s">
        <v>56</v>
      </c>
      <c r="C3797" t="s">
        <v>46</v>
      </c>
      <c r="D3797" t="s">
        <v>47</v>
      </c>
      <c r="G3797" t="s">
        <v>35</v>
      </c>
      <c r="H3797">
        <v>1</v>
      </c>
      <c r="I3797" t="s">
        <v>1176</v>
      </c>
      <c r="J3797" s="1">
        <v>43362</v>
      </c>
      <c r="K3797" t="s">
        <v>1171</v>
      </c>
      <c r="L3797" t="s">
        <v>1172</v>
      </c>
      <c r="M3797" t="s">
        <v>1130</v>
      </c>
      <c r="N3797">
        <v>23</v>
      </c>
      <c r="O3797" s="1">
        <v>43362</v>
      </c>
      <c r="P3797" t="s">
        <v>41</v>
      </c>
      <c r="Q3797" t="s">
        <v>42</v>
      </c>
      <c r="R3797" t="str">
        <f>"3561001"</f>
        <v>3561001</v>
      </c>
      <c r="S3797" t="s">
        <v>1173</v>
      </c>
      <c r="T3797" t="s">
        <v>1171</v>
      </c>
      <c r="U3797" t="s">
        <v>1172</v>
      </c>
      <c r="V3797" t="s">
        <v>1130</v>
      </c>
      <c r="W3797" t="s">
        <v>44</v>
      </c>
      <c r="X3797" t="s">
        <v>45</v>
      </c>
      <c r="Y3797" s="1">
        <v>32605</v>
      </c>
      <c r="Z3797">
        <v>2</v>
      </c>
      <c r="AA3797" t="s">
        <v>1172</v>
      </c>
      <c r="AB3797" s="40" t="s">
        <v>1799</v>
      </c>
    </row>
    <row r="3798" spans="1:28" x14ac:dyDescent="0.25">
      <c r="A3798">
        <v>99913797</v>
      </c>
      <c r="B3798" t="s">
        <v>32</v>
      </c>
      <c r="C3798" t="s">
        <v>141</v>
      </c>
      <c r="D3798" t="s">
        <v>142</v>
      </c>
      <c r="G3798" t="s">
        <v>35</v>
      </c>
      <c r="H3798">
        <v>1</v>
      </c>
      <c r="I3798" t="s">
        <v>358</v>
      </c>
      <c r="J3798" s="1">
        <v>43344</v>
      </c>
      <c r="K3798" t="s">
        <v>345</v>
      </c>
      <c r="L3798" t="s">
        <v>346</v>
      </c>
      <c r="M3798" t="s">
        <v>131</v>
      </c>
      <c r="N3798">
        <v>23</v>
      </c>
      <c r="O3798" s="1">
        <v>43344</v>
      </c>
      <c r="P3798" t="s">
        <v>41</v>
      </c>
      <c r="Q3798" t="s">
        <v>49</v>
      </c>
      <c r="R3798" t="str">
        <f>"0581660"</f>
        <v>0581660</v>
      </c>
      <c r="S3798" t="s">
        <v>359</v>
      </c>
      <c r="T3798" t="s">
        <v>345</v>
      </c>
      <c r="U3798" t="s">
        <v>346</v>
      </c>
      <c r="V3798" t="s">
        <v>131</v>
      </c>
      <c r="W3798" t="s">
        <v>51</v>
      </c>
      <c r="X3798" t="s">
        <v>45</v>
      </c>
      <c r="Y3798" s="1">
        <v>32583</v>
      </c>
      <c r="Z3798">
        <v>2</v>
      </c>
      <c r="AA3798" t="s">
        <v>346</v>
      </c>
      <c r="AB3798" s="40" t="s">
        <v>1799</v>
      </c>
    </row>
    <row r="3799" spans="1:28" x14ac:dyDescent="0.25">
      <c r="A3799">
        <v>99913798</v>
      </c>
      <c r="B3799" t="s">
        <v>32</v>
      </c>
      <c r="C3799" t="s">
        <v>46</v>
      </c>
      <c r="D3799" t="s">
        <v>47</v>
      </c>
      <c r="G3799" t="s">
        <v>35</v>
      </c>
      <c r="H3799">
        <v>1</v>
      </c>
      <c r="I3799">
        <v>0</v>
      </c>
      <c r="J3799" s="1">
        <v>43344</v>
      </c>
      <c r="K3799" t="s">
        <v>223</v>
      </c>
      <c r="L3799" t="s">
        <v>224</v>
      </c>
      <c r="M3799" t="s">
        <v>131</v>
      </c>
      <c r="N3799">
        <v>23</v>
      </c>
      <c r="O3799" s="1">
        <v>43344</v>
      </c>
      <c r="P3799" t="s">
        <v>41</v>
      </c>
      <c r="Q3799" t="s">
        <v>42</v>
      </c>
      <c r="R3799" t="str">
        <f>"0580206"</f>
        <v>0580206</v>
      </c>
      <c r="S3799" t="s">
        <v>237</v>
      </c>
      <c r="T3799" t="s">
        <v>223</v>
      </c>
      <c r="U3799" t="s">
        <v>224</v>
      </c>
      <c r="V3799" t="s">
        <v>131</v>
      </c>
      <c r="W3799" t="s">
        <v>55</v>
      </c>
      <c r="X3799" t="s">
        <v>45</v>
      </c>
      <c r="Y3799" s="1">
        <v>32544</v>
      </c>
      <c r="Z3799">
        <v>2</v>
      </c>
      <c r="AA3799" t="s">
        <v>224</v>
      </c>
      <c r="AB3799" s="40" t="s">
        <v>1799</v>
      </c>
    </row>
    <row r="3800" spans="1:28" x14ac:dyDescent="0.25">
      <c r="A3800">
        <v>99913799</v>
      </c>
      <c r="B3800" t="s">
        <v>32</v>
      </c>
      <c r="C3800" t="s">
        <v>58</v>
      </c>
      <c r="D3800" t="s">
        <v>59</v>
      </c>
      <c r="G3800" t="s">
        <v>35</v>
      </c>
      <c r="H3800">
        <v>1</v>
      </c>
      <c r="I3800">
        <v>0</v>
      </c>
      <c r="J3800" s="1">
        <v>43344</v>
      </c>
      <c r="K3800" t="s">
        <v>223</v>
      </c>
      <c r="L3800" t="s">
        <v>224</v>
      </c>
      <c r="M3800" t="s">
        <v>131</v>
      </c>
      <c r="N3800">
        <v>23</v>
      </c>
      <c r="O3800" s="1">
        <v>43344</v>
      </c>
      <c r="P3800" t="s">
        <v>41</v>
      </c>
      <c r="Q3800" t="s">
        <v>49</v>
      </c>
      <c r="R3800" t="str">
        <f>"0561022"</f>
        <v>0561022</v>
      </c>
      <c r="S3800" t="s">
        <v>225</v>
      </c>
      <c r="T3800" t="s">
        <v>223</v>
      </c>
      <c r="U3800" t="s">
        <v>224</v>
      </c>
      <c r="V3800" t="s">
        <v>131</v>
      </c>
      <c r="W3800" t="s">
        <v>44</v>
      </c>
      <c r="X3800" t="s">
        <v>45</v>
      </c>
      <c r="Y3800" s="1">
        <v>32524</v>
      </c>
      <c r="Z3800">
        <v>2</v>
      </c>
      <c r="AA3800" t="s">
        <v>224</v>
      </c>
      <c r="AB3800" s="40" t="s">
        <v>1799</v>
      </c>
    </row>
    <row r="3801" spans="1:28" x14ac:dyDescent="0.25">
      <c r="A3801">
        <v>99913800</v>
      </c>
      <c r="B3801" t="s">
        <v>56</v>
      </c>
      <c r="C3801" t="s">
        <v>143</v>
      </c>
      <c r="D3801" t="s">
        <v>144</v>
      </c>
      <c r="G3801" t="s">
        <v>35</v>
      </c>
      <c r="H3801">
        <v>1</v>
      </c>
      <c r="K3801" t="s">
        <v>1128</v>
      </c>
      <c r="L3801" t="s">
        <v>1129</v>
      </c>
      <c r="M3801" t="s">
        <v>1130</v>
      </c>
      <c r="N3801">
        <v>23</v>
      </c>
      <c r="P3801" t="s">
        <v>41</v>
      </c>
      <c r="Q3801" t="s">
        <v>42</v>
      </c>
      <c r="R3801" t="str">
        <f>"3180010"</f>
        <v>3180010</v>
      </c>
      <c r="S3801" t="s">
        <v>1132</v>
      </c>
      <c r="T3801" t="s">
        <v>1128</v>
      </c>
      <c r="U3801" t="s">
        <v>1129</v>
      </c>
      <c r="V3801" t="s">
        <v>1130</v>
      </c>
      <c r="W3801" t="s">
        <v>51</v>
      </c>
      <c r="X3801" t="s">
        <v>45</v>
      </c>
      <c r="Y3801" s="1">
        <v>32515</v>
      </c>
      <c r="Z3801">
        <v>2</v>
      </c>
      <c r="AA3801" t="s">
        <v>1129</v>
      </c>
      <c r="AB3801" s="40" t="s">
        <v>1799</v>
      </c>
    </row>
    <row r="3802" spans="1:28" x14ac:dyDescent="0.25">
      <c r="A3802">
        <v>99913801</v>
      </c>
      <c r="B3802" t="s">
        <v>32</v>
      </c>
      <c r="C3802" t="s">
        <v>64</v>
      </c>
      <c r="D3802" t="s">
        <v>65</v>
      </c>
      <c r="G3802" t="s">
        <v>35</v>
      </c>
      <c r="H3802">
        <v>1</v>
      </c>
      <c r="I3802" t="s">
        <v>1331</v>
      </c>
      <c r="J3802" s="1">
        <v>43405</v>
      </c>
      <c r="K3802" t="s">
        <v>1325</v>
      </c>
      <c r="L3802" t="s">
        <v>1326</v>
      </c>
      <c r="M3802" t="s">
        <v>1270</v>
      </c>
      <c r="N3802">
        <v>23</v>
      </c>
      <c r="O3802" s="1">
        <v>43405</v>
      </c>
      <c r="R3802" t="str">
        <f>""</f>
        <v/>
      </c>
      <c r="U3802" t="s">
        <v>1326</v>
      </c>
      <c r="V3802" t="s">
        <v>1270</v>
      </c>
      <c r="W3802" t="s">
        <v>44</v>
      </c>
      <c r="X3802" t="s">
        <v>45</v>
      </c>
      <c r="Y3802" s="1">
        <v>32515</v>
      </c>
      <c r="Z3802">
        <v>2</v>
      </c>
      <c r="AA3802" t="s">
        <v>1326</v>
      </c>
      <c r="AB3802" s="40" t="s">
        <v>1799</v>
      </c>
    </row>
    <row r="3803" spans="1:28" x14ac:dyDescent="0.25">
      <c r="A3803">
        <v>99913802</v>
      </c>
      <c r="B3803" t="s">
        <v>32</v>
      </c>
      <c r="C3803" t="s">
        <v>64</v>
      </c>
      <c r="D3803" t="s">
        <v>65</v>
      </c>
      <c r="G3803" t="s">
        <v>35</v>
      </c>
      <c r="H3803">
        <v>1</v>
      </c>
      <c r="I3803">
        <v>0</v>
      </c>
      <c r="J3803" s="1">
        <v>43344</v>
      </c>
      <c r="K3803" t="s">
        <v>223</v>
      </c>
      <c r="L3803" t="s">
        <v>224</v>
      </c>
      <c r="M3803" t="s">
        <v>131</v>
      </c>
      <c r="N3803">
        <v>23</v>
      </c>
      <c r="O3803" s="1">
        <v>43344</v>
      </c>
      <c r="P3803" t="s">
        <v>41</v>
      </c>
      <c r="Q3803" t="s">
        <v>49</v>
      </c>
      <c r="R3803" t="str">
        <f>"0581207"</f>
        <v>0581207</v>
      </c>
      <c r="S3803" t="s">
        <v>233</v>
      </c>
      <c r="T3803" t="s">
        <v>223</v>
      </c>
      <c r="U3803" t="s">
        <v>224</v>
      </c>
      <c r="V3803" t="s">
        <v>131</v>
      </c>
      <c r="W3803" t="s">
        <v>44</v>
      </c>
      <c r="X3803" t="s">
        <v>45</v>
      </c>
      <c r="Y3803" s="1">
        <v>32441</v>
      </c>
      <c r="Z3803">
        <v>2</v>
      </c>
      <c r="AA3803" t="s">
        <v>224</v>
      </c>
      <c r="AB3803" s="40" t="s">
        <v>1799</v>
      </c>
    </row>
    <row r="3804" spans="1:28" x14ac:dyDescent="0.25">
      <c r="A3804">
        <v>99913803</v>
      </c>
      <c r="B3804" t="s">
        <v>32</v>
      </c>
      <c r="C3804" t="s">
        <v>58</v>
      </c>
      <c r="D3804" t="s">
        <v>59</v>
      </c>
      <c r="G3804" t="s">
        <v>48</v>
      </c>
      <c r="H3804">
        <v>1</v>
      </c>
      <c r="K3804" t="s">
        <v>157</v>
      </c>
      <c r="L3804" t="s">
        <v>158</v>
      </c>
      <c r="M3804" t="s">
        <v>131</v>
      </c>
      <c r="N3804">
        <v>23</v>
      </c>
      <c r="P3804" t="s">
        <v>41</v>
      </c>
      <c r="Q3804" t="s">
        <v>49</v>
      </c>
      <c r="R3804" t="str">
        <f>"0560010"</f>
        <v>0560010</v>
      </c>
      <c r="S3804" t="s">
        <v>179</v>
      </c>
      <c r="T3804" t="s">
        <v>157</v>
      </c>
      <c r="U3804" t="s">
        <v>158</v>
      </c>
      <c r="V3804" t="s">
        <v>131</v>
      </c>
      <c r="W3804" t="s">
        <v>51</v>
      </c>
      <c r="X3804" t="s">
        <v>45</v>
      </c>
      <c r="Y3804" s="1">
        <v>32420</v>
      </c>
      <c r="Z3804">
        <v>2</v>
      </c>
      <c r="AA3804" t="s">
        <v>158</v>
      </c>
      <c r="AB3804" s="40" t="s">
        <v>1799</v>
      </c>
    </row>
    <row r="3805" spans="1:28" x14ac:dyDescent="0.25">
      <c r="A3805">
        <v>99913804</v>
      </c>
      <c r="B3805" t="s">
        <v>56</v>
      </c>
      <c r="C3805" t="s">
        <v>52</v>
      </c>
      <c r="D3805" t="s">
        <v>53</v>
      </c>
      <c r="G3805" t="s">
        <v>35</v>
      </c>
      <c r="H3805">
        <v>1</v>
      </c>
      <c r="I3805">
        <v>8701</v>
      </c>
      <c r="J3805" s="1">
        <v>42978</v>
      </c>
      <c r="K3805" t="s">
        <v>1325</v>
      </c>
      <c r="L3805" t="s">
        <v>1326</v>
      </c>
      <c r="M3805" t="s">
        <v>1270</v>
      </c>
      <c r="N3805">
        <v>23</v>
      </c>
      <c r="O3805" s="1">
        <v>42979</v>
      </c>
      <c r="P3805" t="s">
        <v>41</v>
      </c>
      <c r="Q3805" t="s">
        <v>42</v>
      </c>
      <c r="R3805" t="str">
        <f>"3980100"</f>
        <v>3980100</v>
      </c>
      <c r="S3805" t="s">
        <v>1328</v>
      </c>
      <c r="T3805" t="s">
        <v>1325</v>
      </c>
      <c r="U3805" t="s">
        <v>1326</v>
      </c>
      <c r="V3805" t="s">
        <v>1270</v>
      </c>
      <c r="W3805" t="s">
        <v>51</v>
      </c>
      <c r="X3805" t="s">
        <v>45</v>
      </c>
      <c r="Y3805" s="1">
        <v>32325</v>
      </c>
      <c r="Z3805">
        <v>2</v>
      </c>
      <c r="AA3805" t="s">
        <v>1326</v>
      </c>
      <c r="AB3805" s="40" t="s">
        <v>1799</v>
      </c>
    </row>
    <row r="3806" spans="1:28" x14ac:dyDescent="0.25">
      <c r="A3806">
        <v>99913805</v>
      </c>
      <c r="B3806" t="s">
        <v>56</v>
      </c>
      <c r="C3806" t="s">
        <v>257</v>
      </c>
      <c r="D3806" t="s">
        <v>258</v>
      </c>
      <c r="E3806" t="s">
        <v>61</v>
      </c>
      <c r="F3806" t="s">
        <v>62</v>
      </c>
      <c r="G3806" t="s">
        <v>48</v>
      </c>
      <c r="H3806">
        <v>1</v>
      </c>
      <c r="I3806" t="s">
        <v>1299</v>
      </c>
      <c r="J3806" s="1">
        <v>43417</v>
      </c>
      <c r="K3806" t="s">
        <v>1268</v>
      </c>
      <c r="L3806" t="s">
        <v>1269</v>
      </c>
      <c r="M3806" t="s">
        <v>1270</v>
      </c>
      <c r="N3806">
        <v>23</v>
      </c>
      <c r="O3806" s="1">
        <v>43417</v>
      </c>
      <c r="P3806" t="s">
        <v>41</v>
      </c>
      <c r="Q3806" t="s">
        <v>49</v>
      </c>
      <c r="R3806" t="str">
        <f>"1960001"</f>
        <v>1960001</v>
      </c>
      <c r="S3806" t="s">
        <v>1272</v>
      </c>
      <c r="T3806" t="s">
        <v>1268</v>
      </c>
      <c r="U3806" t="s">
        <v>1269</v>
      </c>
      <c r="V3806" t="s">
        <v>1270</v>
      </c>
      <c r="W3806" t="s">
        <v>44</v>
      </c>
      <c r="X3806" t="s">
        <v>45</v>
      </c>
      <c r="Y3806" s="1">
        <v>32280</v>
      </c>
      <c r="Z3806">
        <v>2</v>
      </c>
      <c r="AA3806" t="s">
        <v>1269</v>
      </c>
      <c r="AB3806" s="40" t="s">
        <v>1799</v>
      </c>
    </row>
    <row r="3807" spans="1:28" x14ac:dyDescent="0.25">
      <c r="A3807">
        <v>99913806</v>
      </c>
      <c r="B3807" t="s">
        <v>32</v>
      </c>
      <c r="C3807" t="s">
        <v>111</v>
      </c>
      <c r="D3807" t="s">
        <v>112</v>
      </c>
      <c r="G3807" t="s">
        <v>35</v>
      </c>
      <c r="H3807">
        <v>1</v>
      </c>
      <c r="K3807" t="s">
        <v>877</v>
      </c>
      <c r="L3807" t="s">
        <v>878</v>
      </c>
      <c r="M3807" t="s">
        <v>131</v>
      </c>
      <c r="N3807">
        <v>23</v>
      </c>
      <c r="P3807" t="s">
        <v>41</v>
      </c>
      <c r="Q3807" t="s">
        <v>75</v>
      </c>
      <c r="R3807" t="str">
        <f>"7700025"</f>
        <v>7700025</v>
      </c>
      <c r="S3807" t="s">
        <v>880</v>
      </c>
      <c r="T3807" t="s">
        <v>877</v>
      </c>
      <c r="U3807" t="s">
        <v>878</v>
      </c>
      <c r="V3807" t="s">
        <v>131</v>
      </c>
      <c r="W3807" t="s">
        <v>51</v>
      </c>
      <c r="X3807" t="s">
        <v>45</v>
      </c>
      <c r="Y3807" s="1">
        <v>32241</v>
      </c>
      <c r="Z3807">
        <v>1</v>
      </c>
      <c r="AA3807" t="s">
        <v>878</v>
      </c>
      <c r="AB3807" s="40" t="s">
        <v>1799</v>
      </c>
    </row>
    <row r="3808" spans="1:28" x14ac:dyDescent="0.25">
      <c r="A3808">
        <v>99913807</v>
      </c>
      <c r="B3808" t="s">
        <v>56</v>
      </c>
      <c r="C3808" t="s">
        <v>68</v>
      </c>
      <c r="D3808" t="s">
        <v>69</v>
      </c>
      <c r="G3808" t="s">
        <v>35</v>
      </c>
      <c r="H3808">
        <v>1</v>
      </c>
      <c r="I3808">
        <v>0</v>
      </c>
      <c r="J3808" s="1">
        <v>43344</v>
      </c>
      <c r="K3808" t="s">
        <v>223</v>
      </c>
      <c r="L3808" t="s">
        <v>224</v>
      </c>
      <c r="M3808" t="s">
        <v>131</v>
      </c>
      <c r="N3808">
        <v>23</v>
      </c>
      <c r="O3808" s="1">
        <v>43344</v>
      </c>
      <c r="P3808" t="s">
        <v>41</v>
      </c>
      <c r="Q3808" t="s">
        <v>49</v>
      </c>
      <c r="R3808" t="str">
        <f>"0581207"</f>
        <v>0581207</v>
      </c>
      <c r="S3808" t="s">
        <v>233</v>
      </c>
      <c r="T3808" t="s">
        <v>223</v>
      </c>
      <c r="U3808" t="s">
        <v>224</v>
      </c>
      <c r="V3808" t="s">
        <v>131</v>
      </c>
      <c r="W3808" t="s">
        <v>44</v>
      </c>
      <c r="X3808" t="s">
        <v>45</v>
      </c>
      <c r="Y3808" s="1">
        <v>32215</v>
      </c>
      <c r="Z3808">
        <v>2</v>
      </c>
      <c r="AA3808" t="s">
        <v>224</v>
      </c>
      <c r="AB3808" s="40" t="s">
        <v>1799</v>
      </c>
    </row>
    <row r="3809" spans="1:28" x14ac:dyDescent="0.25">
      <c r="A3809">
        <v>99913808</v>
      </c>
      <c r="B3809" t="s">
        <v>56</v>
      </c>
      <c r="C3809" t="s">
        <v>111</v>
      </c>
      <c r="D3809" t="s">
        <v>112</v>
      </c>
      <c r="G3809" t="s">
        <v>48</v>
      </c>
      <c r="H3809">
        <v>1</v>
      </c>
      <c r="K3809" t="s">
        <v>1619</v>
      </c>
      <c r="L3809" t="s">
        <v>1620</v>
      </c>
      <c r="M3809" t="s">
        <v>1592</v>
      </c>
      <c r="N3809">
        <v>23</v>
      </c>
      <c r="P3809" t="s">
        <v>41</v>
      </c>
      <c r="Q3809" t="s">
        <v>75</v>
      </c>
      <c r="R3809" t="str">
        <f>"7281006"</f>
        <v>7281006</v>
      </c>
      <c r="S3809" t="s">
        <v>1618</v>
      </c>
      <c r="T3809" t="s">
        <v>1619</v>
      </c>
      <c r="U3809" t="s">
        <v>1620</v>
      </c>
      <c r="V3809" t="s">
        <v>1592</v>
      </c>
      <c r="W3809" t="s">
        <v>51</v>
      </c>
      <c r="X3809" t="s">
        <v>45</v>
      </c>
      <c r="Y3809" s="1">
        <v>32146</v>
      </c>
      <c r="Z3809">
        <v>1</v>
      </c>
      <c r="AA3809" t="s">
        <v>1620</v>
      </c>
      <c r="AB3809" s="40" t="s">
        <v>1799</v>
      </c>
    </row>
    <row r="3810" spans="1:28" x14ac:dyDescent="0.25">
      <c r="A3810">
        <v>99913809</v>
      </c>
      <c r="B3810" t="s">
        <v>32</v>
      </c>
      <c r="C3810" t="s">
        <v>64</v>
      </c>
      <c r="D3810" t="s">
        <v>65</v>
      </c>
      <c r="G3810" t="s">
        <v>35</v>
      </c>
      <c r="H3810">
        <v>1</v>
      </c>
      <c r="K3810" t="s">
        <v>223</v>
      </c>
      <c r="L3810" t="s">
        <v>224</v>
      </c>
      <c r="M3810" t="s">
        <v>131</v>
      </c>
      <c r="N3810">
        <v>23</v>
      </c>
      <c r="P3810" t="s">
        <v>41</v>
      </c>
      <c r="Q3810" t="s">
        <v>49</v>
      </c>
      <c r="R3810" t="str">
        <f>"0591901"</f>
        <v>0591901</v>
      </c>
      <c r="S3810" t="s">
        <v>230</v>
      </c>
      <c r="T3810" t="s">
        <v>223</v>
      </c>
      <c r="U3810" t="s">
        <v>224</v>
      </c>
      <c r="V3810" t="s">
        <v>131</v>
      </c>
      <c r="W3810" t="s">
        <v>51</v>
      </c>
      <c r="X3810" t="s">
        <v>45</v>
      </c>
      <c r="Y3810" s="1">
        <v>32126</v>
      </c>
      <c r="Z3810">
        <v>2</v>
      </c>
      <c r="AA3810" t="s">
        <v>224</v>
      </c>
      <c r="AB3810" s="40" t="s">
        <v>1799</v>
      </c>
    </row>
    <row r="3811" spans="1:28" x14ac:dyDescent="0.25">
      <c r="A3811">
        <v>99913810</v>
      </c>
      <c r="B3811" t="s">
        <v>32</v>
      </c>
      <c r="C3811" t="s">
        <v>46</v>
      </c>
      <c r="D3811" t="s">
        <v>47</v>
      </c>
      <c r="G3811" t="s">
        <v>35</v>
      </c>
      <c r="H3811">
        <v>1</v>
      </c>
      <c r="I3811" t="s">
        <v>1560</v>
      </c>
      <c r="J3811" s="1">
        <v>43344</v>
      </c>
      <c r="K3811" t="s">
        <v>1546</v>
      </c>
      <c r="L3811" t="s">
        <v>1547</v>
      </c>
      <c r="M3811" t="s">
        <v>1548</v>
      </c>
      <c r="N3811">
        <v>23</v>
      </c>
      <c r="O3811" s="1">
        <v>43344</v>
      </c>
      <c r="P3811" t="s">
        <v>41</v>
      </c>
      <c r="Q3811" t="s">
        <v>42</v>
      </c>
      <c r="R3811" t="str">
        <f>"1061001"</f>
        <v>1061001</v>
      </c>
      <c r="S3811" t="s">
        <v>1550</v>
      </c>
      <c r="T3811" t="s">
        <v>1546</v>
      </c>
      <c r="U3811" t="s">
        <v>1547</v>
      </c>
      <c r="V3811" t="s">
        <v>1548</v>
      </c>
      <c r="W3811" t="s">
        <v>44</v>
      </c>
      <c r="X3811" t="s">
        <v>45</v>
      </c>
      <c r="Y3811" s="1">
        <v>32023</v>
      </c>
      <c r="Z3811">
        <v>2</v>
      </c>
      <c r="AA3811" t="s">
        <v>1547</v>
      </c>
      <c r="AB3811" s="40" t="s">
        <v>1799</v>
      </c>
    </row>
    <row r="3812" spans="1:28" x14ac:dyDescent="0.25">
      <c r="A3812">
        <v>99913811</v>
      </c>
      <c r="B3812" t="s">
        <v>32</v>
      </c>
      <c r="C3812" t="s">
        <v>52</v>
      </c>
      <c r="D3812" t="s">
        <v>53</v>
      </c>
      <c r="G3812" t="s">
        <v>35</v>
      </c>
      <c r="H3812">
        <v>1</v>
      </c>
      <c r="I3812">
        <v>0</v>
      </c>
      <c r="J3812" s="1">
        <v>43344</v>
      </c>
      <c r="K3812" t="s">
        <v>223</v>
      </c>
      <c r="L3812" t="s">
        <v>224</v>
      </c>
      <c r="M3812" t="s">
        <v>131</v>
      </c>
      <c r="N3812">
        <v>23</v>
      </c>
      <c r="O3812" s="1">
        <v>43344</v>
      </c>
      <c r="P3812" t="s">
        <v>41</v>
      </c>
      <c r="Q3812" t="s">
        <v>49</v>
      </c>
      <c r="R3812" t="str">
        <f>"0591901"</f>
        <v>0591901</v>
      </c>
      <c r="S3812" t="s">
        <v>230</v>
      </c>
      <c r="T3812" t="s">
        <v>223</v>
      </c>
      <c r="U3812" t="s">
        <v>224</v>
      </c>
      <c r="V3812" t="s">
        <v>131</v>
      </c>
      <c r="W3812" t="s">
        <v>44</v>
      </c>
      <c r="X3812" t="s">
        <v>45</v>
      </c>
      <c r="Y3812" s="1">
        <v>31938</v>
      </c>
      <c r="Z3812">
        <v>2</v>
      </c>
      <c r="AA3812" t="s">
        <v>224</v>
      </c>
      <c r="AB3812" s="40" t="s">
        <v>1799</v>
      </c>
    </row>
    <row r="3813" spans="1:28" x14ac:dyDescent="0.25">
      <c r="A3813">
        <v>99913812</v>
      </c>
      <c r="B3813" t="s">
        <v>32</v>
      </c>
      <c r="C3813" t="s">
        <v>64</v>
      </c>
      <c r="D3813" t="s">
        <v>65</v>
      </c>
      <c r="G3813" t="s">
        <v>35</v>
      </c>
      <c r="H3813">
        <v>1</v>
      </c>
      <c r="I3813">
        <v>0</v>
      </c>
      <c r="J3813" s="1">
        <v>43344</v>
      </c>
      <c r="K3813" t="s">
        <v>223</v>
      </c>
      <c r="L3813" t="s">
        <v>224</v>
      </c>
      <c r="M3813" t="s">
        <v>131</v>
      </c>
      <c r="N3813">
        <v>23</v>
      </c>
      <c r="O3813" s="1">
        <v>43344</v>
      </c>
      <c r="P3813" t="s">
        <v>41</v>
      </c>
      <c r="Q3813" t="s">
        <v>49</v>
      </c>
      <c r="R3813" t="str">
        <f>"0591901"</f>
        <v>0591901</v>
      </c>
      <c r="S3813" t="s">
        <v>230</v>
      </c>
      <c r="T3813" t="s">
        <v>223</v>
      </c>
      <c r="U3813" t="s">
        <v>224</v>
      </c>
      <c r="V3813" t="s">
        <v>131</v>
      </c>
      <c r="W3813" t="s">
        <v>44</v>
      </c>
      <c r="X3813" t="s">
        <v>45</v>
      </c>
      <c r="Y3813" s="1">
        <v>31914</v>
      </c>
      <c r="Z3813">
        <v>2</v>
      </c>
      <c r="AA3813" t="s">
        <v>224</v>
      </c>
      <c r="AB3813" s="40" t="s">
        <v>1799</v>
      </c>
    </row>
    <row r="3814" spans="1:28" x14ac:dyDescent="0.25">
      <c r="A3814">
        <v>99913813</v>
      </c>
      <c r="B3814" t="s">
        <v>32</v>
      </c>
      <c r="C3814" t="s">
        <v>68</v>
      </c>
      <c r="D3814" t="s">
        <v>69</v>
      </c>
      <c r="G3814" t="s">
        <v>35</v>
      </c>
      <c r="H3814">
        <v>1</v>
      </c>
      <c r="I3814">
        <v>13814</v>
      </c>
      <c r="J3814" s="1">
        <v>43355</v>
      </c>
      <c r="K3814" t="s">
        <v>345</v>
      </c>
      <c r="L3814" t="s">
        <v>346</v>
      </c>
      <c r="M3814" t="s">
        <v>131</v>
      </c>
      <c r="N3814">
        <v>23</v>
      </c>
      <c r="O3814" s="1">
        <v>43355</v>
      </c>
      <c r="P3814" t="s">
        <v>41</v>
      </c>
      <c r="Q3814" t="s">
        <v>42</v>
      </c>
      <c r="R3814" t="str">
        <f>"0590906"</f>
        <v>0590906</v>
      </c>
      <c r="S3814" t="s">
        <v>361</v>
      </c>
      <c r="T3814" t="s">
        <v>345</v>
      </c>
      <c r="U3814" t="s">
        <v>346</v>
      </c>
      <c r="V3814" t="s">
        <v>131</v>
      </c>
      <c r="W3814" t="s">
        <v>51</v>
      </c>
      <c r="X3814" t="s">
        <v>45</v>
      </c>
      <c r="Y3814" s="1">
        <v>31913</v>
      </c>
      <c r="Z3814">
        <v>2</v>
      </c>
      <c r="AA3814" t="s">
        <v>346</v>
      </c>
      <c r="AB3814" s="40" t="s">
        <v>1799</v>
      </c>
    </row>
    <row r="3815" spans="1:28" x14ac:dyDescent="0.25">
      <c r="A3815">
        <v>99913814</v>
      </c>
      <c r="B3815" t="s">
        <v>32</v>
      </c>
      <c r="C3815" t="s">
        <v>64</v>
      </c>
      <c r="D3815" t="s">
        <v>65</v>
      </c>
      <c r="G3815" t="s">
        <v>35</v>
      </c>
      <c r="H3815">
        <v>3</v>
      </c>
      <c r="I3815" t="s">
        <v>358</v>
      </c>
      <c r="J3815" s="1">
        <v>43344</v>
      </c>
      <c r="K3815" t="s">
        <v>345</v>
      </c>
      <c r="L3815" t="s">
        <v>346</v>
      </c>
      <c r="M3815" t="s">
        <v>131</v>
      </c>
      <c r="N3815">
        <v>23</v>
      </c>
      <c r="O3815" s="1">
        <v>43344</v>
      </c>
      <c r="P3815" t="s">
        <v>41</v>
      </c>
      <c r="Q3815" t="s">
        <v>49</v>
      </c>
      <c r="R3815" t="str">
        <f>"0581660"</f>
        <v>0581660</v>
      </c>
      <c r="S3815" t="s">
        <v>359</v>
      </c>
      <c r="T3815" t="s">
        <v>345</v>
      </c>
      <c r="U3815" t="s">
        <v>346</v>
      </c>
      <c r="V3815" t="s">
        <v>131</v>
      </c>
      <c r="W3815" t="s">
        <v>51</v>
      </c>
      <c r="X3815" t="s">
        <v>45</v>
      </c>
      <c r="Y3815" s="1">
        <v>31898</v>
      </c>
      <c r="Z3815">
        <v>2</v>
      </c>
      <c r="AA3815" t="s">
        <v>346</v>
      </c>
      <c r="AB3815" s="40" t="s">
        <v>1799</v>
      </c>
    </row>
    <row r="3816" spans="1:28" x14ac:dyDescent="0.25">
      <c r="A3816">
        <v>99913815</v>
      </c>
      <c r="B3816" t="s">
        <v>32</v>
      </c>
      <c r="C3816" t="s">
        <v>52</v>
      </c>
      <c r="D3816" t="s">
        <v>53</v>
      </c>
      <c r="G3816" t="s">
        <v>35</v>
      </c>
      <c r="H3816">
        <v>1</v>
      </c>
      <c r="K3816" t="s">
        <v>129</v>
      </c>
      <c r="L3816" t="s">
        <v>130</v>
      </c>
      <c r="M3816" t="s">
        <v>131</v>
      </c>
      <c r="N3816">
        <v>23</v>
      </c>
      <c r="P3816" t="s">
        <v>41</v>
      </c>
      <c r="Q3816" t="s">
        <v>49</v>
      </c>
      <c r="R3816" t="str">
        <f>"0591905"</f>
        <v>0591905</v>
      </c>
      <c r="S3816" t="s">
        <v>135</v>
      </c>
      <c r="T3816" t="s">
        <v>129</v>
      </c>
      <c r="U3816" t="s">
        <v>130</v>
      </c>
      <c r="V3816" t="s">
        <v>131</v>
      </c>
      <c r="W3816" t="s">
        <v>51</v>
      </c>
      <c r="X3816" t="s">
        <v>45</v>
      </c>
      <c r="Y3816" s="1">
        <v>31897</v>
      </c>
      <c r="Z3816">
        <v>2</v>
      </c>
      <c r="AA3816" t="s">
        <v>130</v>
      </c>
      <c r="AB3816" s="40" t="s">
        <v>1799</v>
      </c>
    </row>
    <row r="3817" spans="1:28" x14ac:dyDescent="0.25">
      <c r="A3817">
        <v>99913816</v>
      </c>
      <c r="B3817" t="s">
        <v>56</v>
      </c>
      <c r="C3817" t="s">
        <v>46</v>
      </c>
      <c r="D3817" t="s">
        <v>47</v>
      </c>
      <c r="G3817" t="s">
        <v>48</v>
      </c>
      <c r="H3817">
        <v>1</v>
      </c>
      <c r="K3817" t="s">
        <v>345</v>
      </c>
      <c r="L3817" t="s">
        <v>346</v>
      </c>
      <c r="M3817" t="s">
        <v>131</v>
      </c>
      <c r="N3817">
        <v>23</v>
      </c>
      <c r="P3817" t="s">
        <v>41</v>
      </c>
      <c r="Q3817" t="s">
        <v>42</v>
      </c>
      <c r="R3817" t="str">
        <f>"0580931"</f>
        <v>0580931</v>
      </c>
      <c r="S3817" t="s">
        <v>369</v>
      </c>
      <c r="T3817" t="s">
        <v>345</v>
      </c>
      <c r="U3817" t="s">
        <v>346</v>
      </c>
      <c r="V3817" t="s">
        <v>131</v>
      </c>
      <c r="W3817" t="s">
        <v>51</v>
      </c>
      <c r="X3817" t="s">
        <v>45</v>
      </c>
      <c r="Y3817" s="1">
        <v>31893</v>
      </c>
      <c r="Z3817">
        <v>2</v>
      </c>
      <c r="AA3817" t="s">
        <v>346</v>
      </c>
      <c r="AB3817" s="40" t="s">
        <v>1799</v>
      </c>
    </row>
    <row r="3818" spans="1:28" x14ac:dyDescent="0.25">
      <c r="A3818">
        <v>99913817</v>
      </c>
      <c r="B3818" t="s">
        <v>56</v>
      </c>
      <c r="C3818" t="s">
        <v>52</v>
      </c>
      <c r="D3818" t="s">
        <v>53</v>
      </c>
      <c r="G3818" t="s">
        <v>35</v>
      </c>
      <c r="H3818">
        <v>3</v>
      </c>
      <c r="I3818" t="s">
        <v>1304</v>
      </c>
      <c r="J3818" s="1">
        <v>43354</v>
      </c>
      <c r="K3818" t="s">
        <v>1268</v>
      </c>
      <c r="L3818" t="s">
        <v>1269</v>
      </c>
      <c r="M3818" t="s">
        <v>1270</v>
      </c>
      <c r="N3818">
        <v>23</v>
      </c>
      <c r="O3818" s="1">
        <v>43354</v>
      </c>
      <c r="P3818" t="s">
        <v>41</v>
      </c>
      <c r="Q3818" t="s">
        <v>42</v>
      </c>
      <c r="R3818" t="str">
        <f>"1980055"</f>
        <v>1980055</v>
      </c>
      <c r="S3818" t="s">
        <v>1285</v>
      </c>
      <c r="T3818" t="s">
        <v>1268</v>
      </c>
      <c r="U3818" t="s">
        <v>1269</v>
      </c>
      <c r="V3818" t="s">
        <v>1270</v>
      </c>
      <c r="W3818" t="s">
        <v>44</v>
      </c>
      <c r="X3818" t="s">
        <v>45</v>
      </c>
      <c r="Y3818" s="1">
        <v>31874</v>
      </c>
      <c r="Z3818">
        <v>2</v>
      </c>
      <c r="AA3818" t="s">
        <v>1269</v>
      </c>
      <c r="AB3818" s="40" t="s">
        <v>1799</v>
      </c>
    </row>
    <row r="3819" spans="1:28" x14ac:dyDescent="0.25">
      <c r="A3819">
        <v>99913818</v>
      </c>
      <c r="B3819" t="s">
        <v>32</v>
      </c>
      <c r="C3819" t="s">
        <v>46</v>
      </c>
      <c r="D3819" t="s">
        <v>47</v>
      </c>
      <c r="G3819" t="s">
        <v>35</v>
      </c>
      <c r="H3819">
        <v>1</v>
      </c>
      <c r="K3819" t="s">
        <v>345</v>
      </c>
      <c r="L3819" t="s">
        <v>346</v>
      </c>
      <c r="M3819" t="s">
        <v>131</v>
      </c>
      <c r="N3819">
        <v>23</v>
      </c>
      <c r="P3819" t="s">
        <v>41</v>
      </c>
      <c r="Q3819" t="s">
        <v>49</v>
      </c>
      <c r="R3819" t="str">
        <f>"0581605"</f>
        <v>0581605</v>
      </c>
      <c r="S3819" t="s">
        <v>366</v>
      </c>
      <c r="T3819" t="s">
        <v>345</v>
      </c>
      <c r="U3819" t="s">
        <v>346</v>
      </c>
      <c r="V3819" t="s">
        <v>131</v>
      </c>
      <c r="W3819" t="s">
        <v>51</v>
      </c>
      <c r="X3819" t="s">
        <v>45</v>
      </c>
      <c r="Y3819" s="1">
        <v>31867</v>
      </c>
      <c r="Z3819">
        <v>2</v>
      </c>
      <c r="AA3819" t="s">
        <v>346</v>
      </c>
      <c r="AB3819" s="40" t="s">
        <v>1799</v>
      </c>
    </row>
    <row r="3820" spans="1:28" x14ac:dyDescent="0.25">
      <c r="A3820">
        <v>99913819</v>
      </c>
      <c r="B3820" t="s">
        <v>32</v>
      </c>
      <c r="C3820" t="s">
        <v>64</v>
      </c>
      <c r="D3820" t="s">
        <v>65</v>
      </c>
      <c r="G3820" t="s">
        <v>35</v>
      </c>
      <c r="H3820">
        <v>1</v>
      </c>
      <c r="I3820">
        <v>0</v>
      </c>
      <c r="J3820" s="1">
        <v>43344</v>
      </c>
      <c r="K3820" t="s">
        <v>223</v>
      </c>
      <c r="L3820" t="s">
        <v>224</v>
      </c>
      <c r="M3820" t="s">
        <v>131</v>
      </c>
      <c r="N3820">
        <v>23</v>
      </c>
      <c r="O3820" s="1">
        <v>43344</v>
      </c>
      <c r="P3820" t="s">
        <v>41</v>
      </c>
      <c r="Q3820" t="s">
        <v>49</v>
      </c>
      <c r="R3820" t="str">
        <f>"0591901"</f>
        <v>0591901</v>
      </c>
      <c r="S3820" t="s">
        <v>230</v>
      </c>
      <c r="T3820" t="s">
        <v>223</v>
      </c>
      <c r="U3820" t="s">
        <v>224</v>
      </c>
      <c r="V3820" t="s">
        <v>131</v>
      </c>
      <c r="W3820" t="s">
        <v>44</v>
      </c>
      <c r="X3820" t="s">
        <v>45</v>
      </c>
      <c r="Y3820" s="1">
        <v>31808</v>
      </c>
      <c r="Z3820">
        <v>2</v>
      </c>
      <c r="AA3820" t="s">
        <v>224</v>
      </c>
      <c r="AB3820" s="40" t="s">
        <v>1799</v>
      </c>
    </row>
    <row r="3821" spans="1:28" x14ac:dyDescent="0.25">
      <c r="A3821">
        <v>99913820</v>
      </c>
      <c r="B3821" t="s">
        <v>32</v>
      </c>
      <c r="C3821" t="s">
        <v>141</v>
      </c>
      <c r="D3821" t="s">
        <v>142</v>
      </c>
      <c r="G3821" t="s">
        <v>48</v>
      </c>
      <c r="H3821">
        <v>1</v>
      </c>
      <c r="K3821" t="s">
        <v>223</v>
      </c>
      <c r="L3821" t="s">
        <v>224</v>
      </c>
      <c r="M3821" t="s">
        <v>131</v>
      </c>
      <c r="N3821">
        <v>23</v>
      </c>
      <c r="P3821" t="s">
        <v>41</v>
      </c>
      <c r="Q3821" t="s">
        <v>49</v>
      </c>
      <c r="R3821" t="str">
        <f>"0581207"</f>
        <v>0581207</v>
      </c>
      <c r="S3821" t="s">
        <v>233</v>
      </c>
      <c r="T3821" t="s">
        <v>223</v>
      </c>
      <c r="U3821" t="s">
        <v>224</v>
      </c>
      <c r="V3821" t="s">
        <v>131</v>
      </c>
      <c r="W3821" t="s">
        <v>51</v>
      </c>
      <c r="X3821" t="s">
        <v>45</v>
      </c>
      <c r="Y3821" s="1">
        <v>31724</v>
      </c>
      <c r="Z3821">
        <v>2</v>
      </c>
      <c r="AA3821" t="s">
        <v>224</v>
      </c>
      <c r="AB3821" s="40" t="s">
        <v>1799</v>
      </c>
    </row>
    <row r="3822" spans="1:28" x14ac:dyDescent="0.25">
      <c r="A3822">
        <v>99913821</v>
      </c>
      <c r="B3822" t="s">
        <v>56</v>
      </c>
      <c r="C3822" t="s">
        <v>46</v>
      </c>
      <c r="D3822" t="s">
        <v>47</v>
      </c>
      <c r="G3822" t="s">
        <v>35</v>
      </c>
      <c r="H3822">
        <v>1</v>
      </c>
      <c r="I3822">
        <v>0</v>
      </c>
      <c r="J3822" s="1">
        <v>43344</v>
      </c>
      <c r="K3822" t="s">
        <v>223</v>
      </c>
      <c r="L3822" t="s">
        <v>224</v>
      </c>
      <c r="M3822" t="s">
        <v>131</v>
      </c>
      <c r="N3822">
        <v>23</v>
      </c>
      <c r="O3822" s="1">
        <v>43344</v>
      </c>
      <c r="P3822" t="s">
        <v>41</v>
      </c>
      <c r="Q3822" t="s">
        <v>49</v>
      </c>
      <c r="R3822" t="str">
        <f>"0581207"</f>
        <v>0581207</v>
      </c>
      <c r="S3822" t="s">
        <v>233</v>
      </c>
      <c r="T3822" t="s">
        <v>223</v>
      </c>
      <c r="U3822" t="s">
        <v>224</v>
      </c>
      <c r="V3822" t="s">
        <v>131</v>
      </c>
      <c r="W3822" t="s">
        <v>44</v>
      </c>
      <c r="X3822" t="s">
        <v>45</v>
      </c>
      <c r="Y3822" s="1">
        <v>31660</v>
      </c>
      <c r="Z3822">
        <v>2</v>
      </c>
      <c r="AA3822" t="s">
        <v>224</v>
      </c>
      <c r="AB3822" s="40" t="s">
        <v>1799</v>
      </c>
    </row>
    <row r="3823" spans="1:28" x14ac:dyDescent="0.25">
      <c r="A3823">
        <v>99913822</v>
      </c>
      <c r="B3823" t="s">
        <v>32</v>
      </c>
      <c r="C3823" t="s">
        <v>111</v>
      </c>
      <c r="D3823" t="s">
        <v>112</v>
      </c>
      <c r="G3823" t="s">
        <v>35</v>
      </c>
      <c r="H3823">
        <v>1</v>
      </c>
      <c r="I3823" t="s">
        <v>648</v>
      </c>
      <c r="J3823" s="1">
        <v>43344</v>
      </c>
      <c r="K3823" t="s">
        <v>268</v>
      </c>
      <c r="L3823" t="s">
        <v>269</v>
      </c>
      <c r="M3823" t="s">
        <v>131</v>
      </c>
      <c r="N3823">
        <v>23</v>
      </c>
      <c r="O3823" s="1">
        <v>43344</v>
      </c>
      <c r="P3823" t="s">
        <v>41</v>
      </c>
      <c r="Q3823" t="s">
        <v>75</v>
      </c>
      <c r="R3823" t="str">
        <f>"7052028"</f>
        <v>7052028</v>
      </c>
      <c r="S3823" t="s">
        <v>601</v>
      </c>
      <c r="T3823" t="s">
        <v>268</v>
      </c>
      <c r="U3823" t="s">
        <v>269</v>
      </c>
      <c r="V3823" t="s">
        <v>131</v>
      </c>
      <c r="W3823" t="s">
        <v>51</v>
      </c>
      <c r="X3823" t="s">
        <v>45</v>
      </c>
      <c r="Y3823" s="1">
        <v>31618</v>
      </c>
      <c r="Z3823">
        <v>1</v>
      </c>
      <c r="AA3823" t="s">
        <v>269</v>
      </c>
      <c r="AB3823" s="40" t="s">
        <v>1799</v>
      </c>
    </row>
    <row r="3824" spans="1:28" x14ac:dyDescent="0.25">
      <c r="A3824">
        <v>99913823</v>
      </c>
      <c r="B3824" t="s">
        <v>56</v>
      </c>
      <c r="C3824" t="s">
        <v>79</v>
      </c>
      <c r="D3824" t="s">
        <v>80</v>
      </c>
      <c r="G3824" t="s">
        <v>48</v>
      </c>
      <c r="H3824">
        <v>1</v>
      </c>
      <c r="K3824" t="s">
        <v>1546</v>
      </c>
      <c r="L3824" t="s">
        <v>1547</v>
      </c>
      <c r="M3824" t="s">
        <v>1548</v>
      </c>
      <c r="N3824">
        <v>23</v>
      </c>
      <c r="P3824" t="s">
        <v>41</v>
      </c>
      <c r="Q3824" t="s">
        <v>49</v>
      </c>
      <c r="R3824" t="str">
        <f>"1060001"</f>
        <v>1060001</v>
      </c>
      <c r="S3824" t="s">
        <v>1553</v>
      </c>
      <c r="T3824" t="s">
        <v>1546</v>
      </c>
      <c r="U3824" t="s">
        <v>1547</v>
      </c>
      <c r="V3824" t="s">
        <v>1548</v>
      </c>
      <c r="W3824" t="s">
        <v>51</v>
      </c>
      <c r="X3824" t="s">
        <v>45</v>
      </c>
      <c r="Y3824" s="1">
        <v>31608</v>
      </c>
      <c r="Z3824">
        <v>2</v>
      </c>
      <c r="AA3824" t="s">
        <v>1547</v>
      </c>
      <c r="AB3824" s="40" t="s">
        <v>1799</v>
      </c>
    </row>
    <row r="3825" spans="1:28" x14ac:dyDescent="0.25">
      <c r="A3825">
        <v>99913824</v>
      </c>
      <c r="B3825" t="s">
        <v>56</v>
      </c>
      <c r="C3825" t="s">
        <v>111</v>
      </c>
      <c r="D3825" t="s">
        <v>112</v>
      </c>
      <c r="G3825" t="s">
        <v>48</v>
      </c>
      <c r="H3825">
        <v>1</v>
      </c>
      <c r="K3825" t="s">
        <v>1619</v>
      </c>
      <c r="L3825" t="s">
        <v>1620</v>
      </c>
      <c r="M3825" t="s">
        <v>1592</v>
      </c>
      <c r="N3825">
        <v>23</v>
      </c>
      <c r="P3825" t="s">
        <v>41</v>
      </c>
      <c r="Q3825" t="s">
        <v>75</v>
      </c>
      <c r="R3825" t="str">
        <f>"7281006"</f>
        <v>7281006</v>
      </c>
      <c r="S3825" t="s">
        <v>1618</v>
      </c>
      <c r="T3825" t="s">
        <v>1619</v>
      </c>
      <c r="U3825" t="s">
        <v>1620</v>
      </c>
      <c r="V3825" t="s">
        <v>1592</v>
      </c>
      <c r="W3825" t="s">
        <v>51</v>
      </c>
      <c r="X3825" t="s">
        <v>45</v>
      </c>
      <c r="Y3825" s="1">
        <v>31475</v>
      </c>
      <c r="Z3825">
        <v>1</v>
      </c>
      <c r="AA3825" t="s">
        <v>1620</v>
      </c>
      <c r="AB3825" s="40" t="s">
        <v>1799</v>
      </c>
    </row>
    <row r="3826" spans="1:28" x14ac:dyDescent="0.25">
      <c r="A3826">
        <v>99913825</v>
      </c>
      <c r="B3826" t="s">
        <v>32</v>
      </c>
      <c r="C3826" t="s">
        <v>46</v>
      </c>
      <c r="D3826" t="s">
        <v>47</v>
      </c>
      <c r="G3826" t="s">
        <v>35</v>
      </c>
      <c r="H3826">
        <v>1</v>
      </c>
      <c r="K3826" t="s">
        <v>223</v>
      </c>
      <c r="L3826" t="s">
        <v>224</v>
      </c>
      <c r="M3826" t="s">
        <v>131</v>
      </c>
      <c r="N3826">
        <v>23</v>
      </c>
      <c r="P3826" t="s">
        <v>41</v>
      </c>
      <c r="Q3826" t="s">
        <v>42</v>
      </c>
      <c r="R3826" t="str">
        <f>"0590903"</f>
        <v>0590903</v>
      </c>
      <c r="S3826" t="s">
        <v>226</v>
      </c>
      <c r="T3826" t="s">
        <v>223</v>
      </c>
      <c r="U3826" t="s">
        <v>224</v>
      </c>
      <c r="V3826" t="s">
        <v>131</v>
      </c>
      <c r="W3826" t="s">
        <v>51</v>
      </c>
      <c r="X3826" t="s">
        <v>45</v>
      </c>
      <c r="Y3826" s="1">
        <v>31452</v>
      </c>
      <c r="Z3826">
        <v>2</v>
      </c>
      <c r="AA3826" t="s">
        <v>224</v>
      </c>
      <c r="AB3826" s="40" t="s">
        <v>1799</v>
      </c>
    </row>
    <row r="3827" spans="1:28" x14ac:dyDescent="0.25">
      <c r="A3827">
        <v>99913826</v>
      </c>
      <c r="B3827" t="s">
        <v>32</v>
      </c>
      <c r="C3827" t="s">
        <v>61</v>
      </c>
      <c r="D3827" t="s">
        <v>62</v>
      </c>
      <c r="G3827" t="s">
        <v>35</v>
      </c>
      <c r="H3827">
        <v>1</v>
      </c>
      <c r="I3827">
        <v>0</v>
      </c>
      <c r="J3827" s="1">
        <v>43344</v>
      </c>
      <c r="K3827" t="s">
        <v>223</v>
      </c>
      <c r="L3827" t="s">
        <v>224</v>
      </c>
      <c r="M3827" t="s">
        <v>131</v>
      </c>
      <c r="N3827">
        <v>23</v>
      </c>
      <c r="O3827" s="1">
        <v>43344</v>
      </c>
      <c r="P3827" t="s">
        <v>41</v>
      </c>
      <c r="Q3827" t="s">
        <v>42</v>
      </c>
      <c r="R3827" t="str">
        <f>"0580206"</f>
        <v>0580206</v>
      </c>
      <c r="S3827" t="s">
        <v>237</v>
      </c>
      <c r="T3827" t="s">
        <v>223</v>
      </c>
      <c r="U3827" t="s">
        <v>224</v>
      </c>
      <c r="V3827" t="s">
        <v>131</v>
      </c>
      <c r="W3827" t="s">
        <v>44</v>
      </c>
      <c r="X3827" t="s">
        <v>45</v>
      </c>
      <c r="Y3827" s="1">
        <v>31433</v>
      </c>
      <c r="Z3827">
        <v>2</v>
      </c>
      <c r="AA3827" t="s">
        <v>224</v>
      </c>
      <c r="AB3827" s="40" t="s">
        <v>1799</v>
      </c>
    </row>
    <row r="3828" spans="1:28" x14ac:dyDescent="0.25">
      <c r="A3828">
        <v>99913827</v>
      </c>
      <c r="B3828" t="s">
        <v>56</v>
      </c>
      <c r="C3828" t="s">
        <v>46</v>
      </c>
      <c r="D3828" t="s">
        <v>47</v>
      </c>
      <c r="G3828" t="s">
        <v>35</v>
      </c>
      <c r="H3828">
        <v>1</v>
      </c>
      <c r="I3828">
        <v>9265</v>
      </c>
      <c r="J3828" s="1">
        <v>43344</v>
      </c>
      <c r="K3828" t="s">
        <v>1325</v>
      </c>
      <c r="L3828" t="s">
        <v>1326</v>
      </c>
      <c r="M3828" t="s">
        <v>1270</v>
      </c>
      <c r="N3828">
        <v>23</v>
      </c>
      <c r="O3828" s="1">
        <v>43344</v>
      </c>
      <c r="P3828" t="s">
        <v>41</v>
      </c>
      <c r="Q3828" t="s">
        <v>49</v>
      </c>
      <c r="R3828" t="str">
        <f>"3981100"</f>
        <v>3981100</v>
      </c>
      <c r="S3828" t="s">
        <v>1327</v>
      </c>
      <c r="T3828" t="s">
        <v>1325</v>
      </c>
      <c r="U3828" t="s">
        <v>1326</v>
      </c>
      <c r="V3828" t="s">
        <v>1270</v>
      </c>
      <c r="W3828" t="s">
        <v>44</v>
      </c>
      <c r="X3828" t="s">
        <v>45</v>
      </c>
      <c r="Y3828" s="1">
        <v>31390</v>
      </c>
      <c r="Z3828">
        <v>2</v>
      </c>
      <c r="AA3828" t="s">
        <v>1326</v>
      </c>
      <c r="AB3828" s="40" t="s">
        <v>1799</v>
      </c>
    </row>
    <row r="3829" spans="1:28" x14ac:dyDescent="0.25">
      <c r="A3829">
        <v>99913828</v>
      </c>
      <c r="B3829" t="s">
        <v>32</v>
      </c>
      <c r="C3829" t="s">
        <v>46</v>
      </c>
      <c r="D3829" t="s">
        <v>47</v>
      </c>
      <c r="G3829" t="s">
        <v>35</v>
      </c>
      <c r="H3829">
        <v>1</v>
      </c>
      <c r="I3829">
        <v>8138</v>
      </c>
      <c r="J3829" s="1">
        <v>43344</v>
      </c>
      <c r="K3829" t="s">
        <v>1051</v>
      </c>
      <c r="L3829" t="s">
        <v>1052</v>
      </c>
      <c r="M3829" t="s">
        <v>1053</v>
      </c>
      <c r="N3829">
        <v>23</v>
      </c>
      <c r="O3829" s="1">
        <v>43344</v>
      </c>
      <c r="P3829" t="s">
        <v>41</v>
      </c>
      <c r="Q3829" t="s">
        <v>49</v>
      </c>
      <c r="R3829" t="str">
        <f>"2060004"</f>
        <v>2060004</v>
      </c>
      <c r="S3829" t="s">
        <v>1059</v>
      </c>
      <c r="T3829" t="s">
        <v>1051</v>
      </c>
      <c r="U3829" t="s">
        <v>1052</v>
      </c>
      <c r="V3829" t="s">
        <v>1053</v>
      </c>
      <c r="W3829" t="s">
        <v>51</v>
      </c>
      <c r="X3829" t="s">
        <v>45</v>
      </c>
      <c r="Y3829" s="1">
        <v>31366</v>
      </c>
      <c r="Z3829">
        <v>2</v>
      </c>
      <c r="AA3829" t="s">
        <v>1052</v>
      </c>
      <c r="AB3829" s="40" t="s">
        <v>1799</v>
      </c>
    </row>
    <row r="3830" spans="1:28" x14ac:dyDescent="0.25">
      <c r="A3830">
        <v>99913829</v>
      </c>
      <c r="B3830" t="s">
        <v>32</v>
      </c>
      <c r="C3830" t="s">
        <v>52</v>
      </c>
      <c r="D3830" t="s">
        <v>53</v>
      </c>
      <c r="G3830" t="s">
        <v>48</v>
      </c>
      <c r="H3830">
        <v>1</v>
      </c>
      <c r="K3830" t="s">
        <v>1051</v>
      </c>
      <c r="L3830" t="s">
        <v>1052</v>
      </c>
      <c r="M3830" t="s">
        <v>1053</v>
      </c>
      <c r="N3830">
        <v>23</v>
      </c>
      <c r="P3830" t="s">
        <v>41</v>
      </c>
      <c r="Q3830" t="s">
        <v>49</v>
      </c>
      <c r="R3830" t="str">
        <f>"2060005"</f>
        <v>2060005</v>
      </c>
      <c r="S3830" t="s">
        <v>1054</v>
      </c>
      <c r="T3830" t="s">
        <v>1051</v>
      </c>
      <c r="U3830" t="s">
        <v>1052</v>
      </c>
      <c r="V3830" t="s">
        <v>1053</v>
      </c>
      <c r="W3830" t="s">
        <v>51</v>
      </c>
      <c r="X3830" t="s">
        <v>45</v>
      </c>
      <c r="Y3830" s="1">
        <v>31340</v>
      </c>
      <c r="Z3830">
        <v>2</v>
      </c>
      <c r="AA3830" t="s">
        <v>1052</v>
      </c>
      <c r="AB3830" s="40" t="s">
        <v>1799</v>
      </c>
    </row>
    <row r="3831" spans="1:28" x14ac:dyDescent="0.25">
      <c r="A3831">
        <v>99913830</v>
      </c>
      <c r="B3831" t="s">
        <v>32</v>
      </c>
      <c r="C3831" t="s">
        <v>111</v>
      </c>
      <c r="D3831" t="s">
        <v>112</v>
      </c>
      <c r="G3831" t="s">
        <v>48</v>
      </c>
      <c r="H3831">
        <v>1</v>
      </c>
      <c r="K3831" t="s">
        <v>268</v>
      </c>
      <c r="L3831" t="s">
        <v>269</v>
      </c>
      <c r="M3831" t="s">
        <v>131</v>
      </c>
      <c r="N3831">
        <v>23</v>
      </c>
      <c r="P3831" t="s">
        <v>41</v>
      </c>
      <c r="Q3831" t="s">
        <v>75</v>
      </c>
      <c r="R3831" t="str">
        <f>"7052042"</f>
        <v>7052042</v>
      </c>
      <c r="S3831" t="s">
        <v>583</v>
      </c>
      <c r="T3831" t="s">
        <v>268</v>
      </c>
      <c r="U3831" t="s">
        <v>269</v>
      </c>
      <c r="V3831" t="s">
        <v>131</v>
      </c>
      <c r="W3831" t="s">
        <v>51</v>
      </c>
      <c r="X3831" t="s">
        <v>45</v>
      </c>
      <c r="Y3831" s="1">
        <v>31320</v>
      </c>
      <c r="Z3831">
        <v>1</v>
      </c>
      <c r="AA3831" t="s">
        <v>269</v>
      </c>
      <c r="AB3831" s="40" t="s">
        <v>1799</v>
      </c>
    </row>
    <row r="3832" spans="1:28" x14ac:dyDescent="0.25">
      <c r="A3832">
        <v>99913831</v>
      </c>
      <c r="B3832" t="s">
        <v>32</v>
      </c>
      <c r="C3832" t="s">
        <v>111</v>
      </c>
      <c r="D3832" t="s">
        <v>112</v>
      </c>
      <c r="G3832" t="s">
        <v>35</v>
      </c>
      <c r="H3832">
        <v>1</v>
      </c>
      <c r="I3832" t="s">
        <v>616</v>
      </c>
      <c r="J3832" s="1">
        <v>43344</v>
      </c>
      <c r="K3832" t="s">
        <v>268</v>
      </c>
      <c r="L3832" t="s">
        <v>269</v>
      </c>
      <c r="M3832" t="s">
        <v>131</v>
      </c>
      <c r="N3832">
        <v>23</v>
      </c>
      <c r="O3832" s="1">
        <v>43344</v>
      </c>
      <c r="P3832" t="s">
        <v>41</v>
      </c>
      <c r="Q3832" t="s">
        <v>75</v>
      </c>
      <c r="R3832" t="str">
        <f>"7052020"</f>
        <v>7052020</v>
      </c>
      <c r="S3832" t="s">
        <v>267</v>
      </c>
      <c r="T3832" t="s">
        <v>268</v>
      </c>
      <c r="U3832" t="s">
        <v>269</v>
      </c>
      <c r="V3832" t="s">
        <v>131</v>
      </c>
      <c r="W3832" t="s">
        <v>51</v>
      </c>
      <c r="X3832" t="s">
        <v>45</v>
      </c>
      <c r="Y3832" s="1">
        <v>31300</v>
      </c>
      <c r="Z3832">
        <v>1</v>
      </c>
      <c r="AA3832" t="s">
        <v>269</v>
      </c>
      <c r="AB3832" s="40" t="s">
        <v>1799</v>
      </c>
    </row>
    <row r="3833" spans="1:28" x14ac:dyDescent="0.25">
      <c r="A3833">
        <v>99913832</v>
      </c>
      <c r="B3833" t="s">
        <v>32</v>
      </c>
      <c r="C3833" t="s">
        <v>64</v>
      </c>
      <c r="D3833" t="s">
        <v>65</v>
      </c>
      <c r="G3833" t="s">
        <v>35</v>
      </c>
      <c r="H3833">
        <v>1</v>
      </c>
      <c r="I3833">
        <v>0</v>
      </c>
      <c r="J3833" s="1">
        <v>43344</v>
      </c>
      <c r="K3833" t="s">
        <v>223</v>
      </c>
      <c r="L3833" t="s">
        <v>224</v>
      </c>
      <c r="M3833" t="s">
        <v>131</v>
      </c>
      <c r="N3833">
        <v>23</v>
      </c>
      <c r="O3833" s="1">
        <v>43344</v>
      </c>
      <c r="P3833" t="s">
        <v>41</v>
      </c>
      <c r="Q3833" t="s">
        <v>49</v>
      </c>
      <c r="R3833" t="str">
        <f>"0581265"</f>
        <v>0581265</v>
      </c>
      <c r="S3833" t="s">
        <v>236</v>
      </c>
      <c r="T3833" t="s">
        <v>223</v>
      </c>
      <c r="U3833" t="s">
        <v>224</v>
      </c>
      <c r="V3833" t="s">
        <v>131</v>
      </c>
      <c r="W3833" t="s">
        <v>51</v>
      </c>
      <c r="X3833" t="s">
        <v>45</v>
      </c>
      <c r="Y3833" s="1">
        <v>31298</v>
      </c>
      <c r="Z3833">
        <v>2</v>
      </c>
      <c r="AA3833" t="s">
        <v>224</v>
      </c>
      <c r="AB3833" s="40" t="s">
        <v>1799</v>
      </c>
    </row>
    <row r="3834" spans="1:28" x14ac:dyDescent="0.25">
      <c r="A3834">
        <v>99913833</v>
      </c>
      <c r="B3834" t="s">
        <v>56</v>
      </c>
      <c r="C3834" t="s">
        <v>52</v>
      </c>
      <c r="D3834" t="s">
        <v>53</v>
      </c>
      <c r="G3834" t="s">
        <v>35</v>
      </c>
      <c r="H3834">
        <v>1</v>
      </c>
      <c r="I3834" t="s">
        <v>1133</v>
      </c>
      <c r="J3834" s="1">
        <v>43344</v>
      </c>
      <c r="K3834" t="s">
        <v>1128</v>
      </c>
      <c r="L3834" t="s">
        <v>1129</v>
      </c>
      <c r="M3834" t="s">
        <v>1130</v>
      </c>
      <c r="N3834">
        <v>23</v>
      </c>
      <c r="O3834" s="1">
        <v>43344</v>
      </c>
      <c r="P3834" t="s">
        <v>41</v>
      </c>
      <c r="Q3834" t="s">
        <v>49</v>
      </c>
      <c r="R3834" t="str">
        <f>"3181010"</f>
        <v>3181010</v>
      </c>
      <c r="S3834" t="s">
        <v>1134</v>
      </c>
      <c r="T3834" t="s">
        <v>1128</v>
      </c>
      <c r="U3834" t="s">
        <v>1129</v>
      </c>
      <c r="V3834" t="s">
        <v>1130</v>
      </c>
      <c r="W3834" t="s">
        <v>51</v>
      </c>
      <c r="X3834" t="s">
        <v>45</v>
      </c>
      <c r="Y3834" s="1">
        <v>31293</v>
      </c>
      <c r="Z3834">
        <v>2</v>
      </c>
      <c r="AA3834" t="s">
        <v>1129</v>
      </c>
      <c r="AB3834" s="40" t="s">
        <v>1799</v>
      </c>
    </row>
    <row r="3835" spans="1:28" x14ac:dyDescent="0.25">
      <c r="A3835">
        <v>99913834</v>
      </c>
      <c r="B3835" t="s">
        <v>56</v>
      </c>
      <c r="C3835" t="s">
        <v>259</v>
      </c>
      <c r="D3835" t="s">
        <v>260</v>
      </c>
      <c r="G3835" t="s">
        <v>35</v>
      </c>
      <c r="H3835">
        <v>1</v>
      </c>
      <c r="I3835">
        <v>0</v>
      </c>
      <c r="J3835" s="1">
        <v>43344</v>
      </c>
      <c r="K3835" t="s">
        <v>223</v>
      </c>
      <c r="L3835" t="s">
        <v>224</v>
      </c>
      <c r="M3835" t="s">
        <v>131</v>
      </c>
      <c r="N3835">
        <v>23</v>
      </c>
      <c r="O3835" s="1">
        <v>43344</v>
      </c>
      <c r="P3835" t="s">
        <v>41</v>
      </c>
      <c r="Q3835" t="s">
        <v>49</v>
      </c>
      <c r="R3835" t="str">
        <f>"0509999"</f>
        <v>0509999</v>
      </c>
      <c r="S3835" t="s">
        <v>247</v>
      </c>
      <c r="T3835" t="s">
        <v>223</v>
      </c>
      <c r="U3835" t="s">
        <v>224</v>
      </c>
      <c r="V3835" t="s">
        <v>131</v>
      </c>
      <c r="W3835" t="s">
        <v>44</v>
      </c>
      <c r="X3835" t="s">
        <v>45</v>
      </c>
      <c r="Y3835" s="1">
        <v>31245</v>
      </c>
      <c r="Z3835">
        <v>2</v>
      </c>
      <c r="AA3835" t="s">
        <v>224</v>
      </c>
      <c r="AB3835" s="40" t="s">
        <v>1799</v>
      </c>
    </row>
    <row r="3836" spans="1:28" x14ac:dyDescent="0.25">
      <c r="A3836">
        <v>99913835</v>
      </c>
      <c r="B3836" t="s">
        <v>32</v>
      </c>
      <c r="C3836" t="s">
        <v>79</v>
      </c>
      <c r="D3836" t="s">
        <v>80</v>
      </c>
      <c r="G3836" t="s">
        <v>35</v>
      </c>
      <c r="H3836">
        <v>1</v>
      </c>
      <c r="I3836">
        <v>11285</v>
      </c>
      <c r="J3836" s="1">
        <v>43344</v>
      </c>
      <c r="K3836" t="s">
        <v>354</v>
      </c>
      <c r="L3836" t="s">
        <v>355</v>
      </c>
      <c r="M3836" t="s">
        <v>131</v>
      </c>
      <c r="N3836">
        <v>23</v>
      </c>
      <c r="O3836" s="1">
        <v>43344</v>
      </c>
      <c r="P3836" t="s">
        <v>41</v>
      </c>
      <c r="Q3836" t="s">
        <v>75</v>
      </c>
      <c r="R3836" t="str">
        <f>"7054006"</f>
        <v>7054006</v>
      </c>
      <c r="S3836" t="s">
        <v>774</v>
      </c>
      <c r="T3836" t="s">
        <v>354</v>
      </c>
      <c r="U3836" t="s">
        <v>355</v>
      </c>
      <c r="V3836" t="s">
        <v>131</v>
      </c>
      <c r="W3836" t="s">
        <v>44</v>
      </c>
      <c r="X3836" t="s">
        <v>45</v>
      </c>
      <c r="Y3836" s="1">
        <v>31234</v>
      </c>
      <c r="Z3836">
        <v>1</v>
      </c>
      <c r="AA3836" t="s">
        <v>355</v>
      </c>
      <c r="AB3836" s="40" t="s">
        <v>1799</v>
      </c>
    </row>
    <row r="3837" spans="1:28" x14ac:dyDescent="0.25">
      <c r="A3837">
        <v>99913836</v>
      </c>
      <c r="B3837" t="s">
        <v>32</v>
      </c>
      <c r="C3837" t="s">
        <v>46</v>
      </c>
      <c r="D3837" t="s">
        <v>47</v>
      </c>
      <c r="G3837" t="s">
        <v>35</v>
      </c>
      <c r="H3837">
        <v>1</v>
      </c>
      <c r="I3837">
        <v>8138</v>
      </c>
      <c r="J3837" s="1">
        <v>43344</v>
      </c>
      <c r="K3837" t="s">
        <v>1051</v>
      </c>
      <c r="L3837" t="s">
        <v>1052</v>
      </c>
      <c r="M3837" t="s">
        <v>1053</v>
      </c>
      <c r="N3837">
        <v>23</v>
      </c>
      <c r="O3837" s="1">
        <v>43344</v>
      </c>
      <c r="P3837" t="s">
        <v>41</v>
      </c>
      <c r="Q3837" t="s">
        <v>42</v>
      </c>
      <c r="R3837" t="str">
        <f>"2061004"</f>
        <v>2061004</v>
      </c>
      <c r="S3837" t="s">
        <v>1055</v>
      </c>
      <c r="T3837" t="s">
        <v>1051</v>
      </c>
      <c r="U3837" t="s">
        <v>1052</v>
      </c>
      <c r="V3837" t="s">
        <v>1053</v>
      </c>
      <c r="W3837" t="s">
        <v>51</v>
      </c>
      <c r="X3837" t="s">
        <v>45</v>
      </c>
      <c r="Y3837" s="1">
        <v>31212</v>
      </c>
      <c r="Z3837">
        <v>2</v>
      </c>
      <c r="AA3837" t="s">
        <v>1052</v>
      </c>
      <c r="AB3837" s="40" t="s">
        <v>1799</v>
      </c>
    </row>
    <row r="3838" spans="1:28" x14ac:dyDescent="0.25">
      <c r="A3838">
        <v>99913837</v>
      </c>
      <c r="B3838" t="s">
        <v>32</v>
      </c>
      <c r="C3838" t="s">
        <v>46</v>
      </c>
      <c r="D3838" t="s">
        <v>47</v>
      </c>
      <c r="G3838" t="s">
        <v>48</v>
      </c>
      <c r="H3838">
        <v>1</v>
      </c>
      <c r="K3838" t="s">
        <v>162</v>
      </c>
      <c r="L3838" t="s">
        <v>158</v>
      </c>
      <c r="M3838" t="s">
        <v>131</v>
      </c>
      <c r="N3838">
        <v>23</v>
      </c>
      <c r="P3838" t="s">
        <v>41</v>
      </c>
      <c r="Q3838" t="s">
        <v>42</v>
      </c>
      <c r="R3838" t="str">
        <f>"0580310"</f>
        <v>0580310</v>
      </c>
      <c r="S3838" t="s">
        <v>173</v>
      </c>
      <c r="T3838" t="s">
        <v>162</v>
      </c>
      <c r="U3838" t="s">
        <v>158</v>
      </c>
      <c r="V3838" t="s">
        <v>131</v>
      </c>
      <c r="W3838" t="s">
        <v>51</v>
      </c>
      <c r="X3838" t="s">
        <v>45</v>
      </c>
      <c r="Y3838" s="1">
        <v>31177</v>
      </c>
      <c r="Z3838">
        <v>2</v>
      </c>
      <c r="AA3838" t="s">
        <v>158</v>
      </c>
      <c r="AB3838" s="40" t="s">
        <v>1799</v>
      </c>
    </row>
    <row r="3839" spans="1:28" x14ac:dyDescent="0.25">
      <c r="A3839">
        <v>99913838</v>
      </c>
      <c r="B3839" t="s">
        <v>32</v>
      </c>
      <c r="C3839" t="s">
        <v>85</v>
      </c>
      <c r="D3839" t="s">
        <v>86</v>
      </c>
      <c r="G3839" t="s">
        <v>35</v>
      </c>
      <c r="H3839">
        <v>1</v>
      </c>
      <c r="I3839" t="s">
        <v>1554</v>
      </c>
      <c r="J3839" s="1">
        <v>43344</v>
      </c>
      <c r="K3839" t="s">
        <v>1546</v>
      </c>
      <c r="L3839" t="s">
        <v>1547</v>
      </c>
      <c r="M3839" t="s">
        <v>1548</v>
      </c>
      <c r="N3839">
        <v>23</v>
      </c>
      <c r="O3839" s="1">
        <v>43344</v>
      </c>
      <c r="P3839" t="s">
        <v>41</v>
      </c>
      <c r="Q3839" t="s">
        <v>49</v>
      </c>
      <c r="R3839" t="str">
        <f>"1081010"</f>
        <v>1081010</v>
      </c>
      <c r="S3839" t="s">
        <v>1552</v>
      </c>
      <c r="T3839" t="s">
        <v>1546</v>
      </c>
      <c r="U3839" t="s">
        <v>1547</v>
      </c>
      <c r="V3839" t="s">
        <v>1548</v>
      </c>
      <c r="W3839" t="s">
        <v>44</v>
      </c>
      <c r="X3839" t="s">
        <v>45</v>
      </c>
      <c r="Y3839" s="1">
        <v>31167</v>
      </c>
      <c r="Z3839">
        <v>2</v>
      </c>
      <c r="AA3839" t="s">
        <v>1547</v>
      </c>
      <c r="AB3839" s="40" t="s">
        <v>1799</v>
      </c>
    </row>
    <row r="3840" spans="1:28" x14ac:dyDescent="0.25">
      <c r="A3840">
        <v>99913839</v>
      </c>
      <c r="B3840" t="s">
        <v>32</v>
      </c>
      <c r="C3840" t="s">
        <v>46</v>
      </c>
      <c r="D3840" t="s">
        <v>47</v>
      </c>
      <c r="G3840" t="s">
        <v>35</v>
      </c>
      <c r="H3840">
        <v>1</v>
      </c>
      <c r="I3840" t="s">
        <v>73</v>
      </c>
      <c r="J3840" s="1">
        <v>43362</v>
      </c>
      <c r="K3840" t="s">
        <v>37</v>
      </c>
      <c r="L3840" t="s">
        <v>38</v>
      </c>
      <c r="M3840" t="s">
        <v>39</v>
      </c>
      <c r="N3840">
        <v>23</v>
      </c>
      <c r="O3840" s="1">
        <v>43362</v>
      </c>
      <c r="P3840" t="s">
        <v>41</v>
      </c>
      <c r="Q3840" t="s">
        <v>49</v>
      </c>
      <c r="R3840" t="str">
        <f>"3781010"</f>
        <v>3781010</v>
      </c>
      <c r="S3840" t="s">
        <v>50</v>
      </c>
      <c r="T3840" t="s">
        <v>37</v>
      </c>
      <c r="U3840" t="s">
        <v>38</v>
      </c>
      <c r="V3840" t="s">
        <v>39</v>
      </c>
      <c r="W3840" t="s">
        <v>44</v>
      </c>
      <c r="X3840" t="s">
        <v>45</v>
      </c>
      <c r="Y3840" s="1">
        <v>31166</v>
      </c>
      <c r="Z3840">
        <v>2</v>
      </c>
      <c r="AA3840" t="s">
        <v>38</v>
      </c>
      <c r="AB3840" s="40" t="s">
        <v>1799</v>
      </c>
    </row>
    <row r="3841" spans="1:28" x14ac:dyDescent="0.25">
      <c r="A3841">
        <v>99913840</v>
      </c>
      <c r="B3841" t="s">
        <v>56</v>
      </c>
      <c r="C3841" t="s">
        <v>61</v>
      </c>
      <c r="D3841" t="s">
        <v>62</v>
      </c>
      <c r="E3841" t="s">
        <v>257</v>
      </c>
      <c r="F3841" t="s">
        <v>258</v>
      </c>
      <c r="G3841" t="s">
        <v>35</v>
      </c>
      <c r="H3841">
        <v>1</v>
      </c>
      <c r="I3841" t="s">
        <v>1099</v>
      </c>
      <c r="J3841" s="1">
        <v>43354</v>
      </c>
      <c r="K3841" t="s">
        <v>1081</v>
      </c>
      <c r="L3841" t="s">
        <v>1082</v>
      </c>
      <c r="M3841" t="s">
        <v>1053</v>
      </c>
      <c r="N3841">
        <v>23</v>
      </c>
      <c r="O3841" s="1">
        <v>43354</v>
      </c>
      <c r="P3841" t="s">
        <v>41</v>
      </c>
      <c r="Q3841" t="s">
        <v>75</v>
      </c>
      <c r="R3841" t="str">
        <f>"7201006"</f>
        <v>7201006</v>
      </c>
      <c r="S3841" t="s">
        <v>1083</v>
      </c>
      <c r="T3841" t="s">
        <v>1081</v>
      </c>
      <c r="U3841" t="s">
        <v>1082</v>
      </c>
      <c r="V3841" t="s">
        <v>1053</v>
      </c>
      <c r="W3841" t="s">
        <v>44</v>
      </c>
      <c r="X3841" t="s">
        <v>45</v>
      </c>
      <c r="Y3841" s="1">
        <v>31158</v>
      </c>
      <c r="Z3841">
        <v>1</v>
      </c>
      <c r="AA3841" t="s">
        <v>1082</v>
      </c>
      <c r="AB3841" s="40" t="s">
        <v>1799</v>
      </c>
    </row>
    <row r="3842" spans="1:28" x14ac:dyDescent="0.25">
      <c r="A3842">
        <v>99913841</v>
      </c>
      <c r="B3842" t="s">
        <v>32</v>
      </c>
      <c r="C3842" t="s">
        <v>61</v>
      </c>
      <c r="D3842" t="s">
        <v>62</v>
      </c>
      <c r="G3842" t="s">
        <v>48</v>
      </c>
      <c r="H3842">
        <v>2</v>
      </c>
      <c r="K3842" t="s">
        <v>129</v>
      </c>
      <c r="L3842" t="s">
        <v>130</v>
      </c>
      <c r="M3842" t="s">
        <v>131</v>
      </c>
      <c r="N3842">
        <v>23</v>
      </c>
      <c r="O3842" s="1">
        <v>40071</v>
      </c>
      <c r="P3842" t="s">
        <v>41</v>
      </c>
      <c r="Q3842" t="s">
        <v>75</v>
      </c>
      <c r="R3842" t="str">
        <f>"7051022"</f>
        <v>7051022</v>
      </c>
      <c r="S3842" t="s">
        <v>153</v>
      </c>
      <c r="T3842" t="s">
        <v>154</v>
      </c>
      <c r="U3842" t="s">
        <v>155</v>
      </c>
      <c r="V3842" t="s">
        <v>131</v>
      </c>
      <c r="W3842" t="s">
        <v>51</v>
      </c>
      <c r="X3842" t="s">
        <v>45</v>
      </c>
      <c r="Y3842" s="1">
        <v>31150</v>
      </c>
      <c r="Z3842">
        <v>2</v>
      </c>
      <c r="AA3842" t="s">
        <v>130</v>
      </c>
      <c r="AB3842" s="40" t="s">
        <v>1799</v>
      </c>
    </row>
    <row r="3843" spans="1:28" x14ac:dyDescent="0.25">
      <c r="A3843">
        <v>99913842</v>
      </c>
      <c r="B3843" t="s">
        <v>32</v>
      </c>
      <c r="C3843" t="s">
        <v>111</v>
      </c>
      <c r="D3843" t="s">
        <v>112</v>
      </c>
      <c r="G3843" t="s">
        <v>35</v>
      </c>
      <c r="H3843">
        <v>5</v>
      </c>
      <c r="K3843" t="s">
        <v>268</v>
      </c>
      <c r="L3843" t="s">
        <v>269</v>
      </c>
      <c r="M3843" t="s">
        <v>131</v>
      </c>
      <c r="N3843">
        <v>23</v>
      </c>
      <c r="P3843" t="s">
        <v>41</v>
      </c>
      <c r="Q3843" t="s">
        <v>75</v>
      </c>
      <c r="R3843" t="str">
        <f>"7052002"</f>
        <v>7052002</v>
      </c>
      <c r="S3843" t="s">
        <v>590</v>
      </c>
      <c r="T3843" t="s">
        <v>268</v>
      </c>
      <c r="U3843" t="s">
        <v>269</v>
      </c>
      <c r="V3843" t="s">
        <v>131</v>
      </c>
      <c r="W3843" t="s">
        <v>51</v>
      </c>
      <c r="X3843" t="s">
        <v>45</v>
      </c>
      <c r="Y3843" s="1">
        <v>31132</v>
      </c>
      <c r="Z3843">
        <v>1</v>
      </c>
      <c r="AA3843" t="s">
        <v>269</v>
      </c>
      <c r="AB3843" s="40" t="s">
        <v>1799</v>
      </c>
    </row>
    <row r="3844" spans="1:28" x14ac:dyDescent="0.25">
      <c r="A3844">
        <v>99913843</v>
      </c>
      <c r="B3844" t="s">
        <v>32</v>
      </c>
      <c r="C3844" t="s">
        <v>90</v>
      </c>
      <c r="D3844" t="s">
        <v>91</v>
      </c>
      <c r="G3844" t="s">
        <v>35</v>
      </c>
      <c r="H3844">
        <v>1</v>
      </c>
      <c r="I3844" t="s">
        <v>650</v>
      </c>
      <c r="J3844" s="1">
        <v>43344</v>
      </c>
      <c r="K3844" t="s">
        <v>268</v>
      </c>
      <c r="L3844" t="s">
        <v>269</v>
      </c>
      <c r="M3844" t="s">
        <v>131</v>
      </c>
      <c r="N3844">
        <v>23</v>
      </c>
      <c r="O3844" s="1">
        <v>43344</v>
      </c>
      <c r="P3844" t="s">
        <v>41</v>
      </c>
      <c r="Q3844" t="s">
        <v>95</v>
      </c>
      <c r="R3844" t="str">
        <f>"7052043"</f>
        <v>7052043</v>
      </c>
      <c r="S3844" t="s">
        <v>651</v>
      </c>
      <c r="T3844" t="s">
        <v>268</v>
      </c>
      <c r="U3844" t="s">
        <v>269</v>
      </c>
      <c r="V3844" t="s">
        <v>131</v>
      </c>
      <c r="W3844" t="s">
        <v>51</v>
      </c>
      <c r="X3844" t="s">
        <v>45</v>
      </c>
      <c r="Y3844" s="1">
        <v>31077</v>
      </c>
      <c r="Z3844">
        <v>1</v>
      </c>
      <c r="AA3844" t="s">
        <v>269</v>
      </c>
      <c r="AB3844" s="40" t="s">
        <v>1799</v>
      </c>
    </row>
    <row r="3845" spans="1:28" x14ac:dyDescent="0.25">
      <c r="A3845">
        <v>99913844</v>
      </c>
      <c r="B3845" t="s">
        <v>32</v>
      </c>
      <c r="C3845" t="s">
        <v>111</v>
      </c>
      <c r="D3845" t="s">
        <v>112</v>
      </c>
      <c r="G3845" t="s">
        <v>35</v>
      </c>
      <c r="H3845">
        <v>7</v>
      </c>
      <c r="I3845" t="s">
        <v>736</v>
      </c>
      <c r="J3845" s="1">
        <v>43344</v>
      </c>
      <c r="K3845" t="s">
        <v>268</v>
      </c>
      <c r="L3845" t="s">
        <v>269</v>
      </c>
      <c r="M3845" t="s">
        <v>131</v>
      </c>
      <c r="N3845">
        <v>23</v>
      </c>
      <c r="O3845" s="1">
        <v>43344</v>
      </c>
      <c r="P3845" t="s">
        <v>41</v>
      </c>
      <c r="Q3845" t="s">
        <v>75</v>
      </c>
      <c r="R3845" t="str">
        <f>"7052006"</f>
        <v>7052006</v>
      </c>
      <c r="S3845" t="s">
        <v>575</v>
      </c>
      <c r="T3845" t="s">
        <v>268</v>
      </c>
      <c r="U3845" t="s">
        <v>269</v>
      </c>
      <c r="V3845" t="s">
        <v>131</v>
      </c>
      <c r="W3845" t="s">
        <v>51</v>
      </c>
      <c r="X3845" t="s">
        <v>45</v>
      </c>
      <c r="Y3845" s="1">
        <v>31048</v>
      </c>
      <c r="Z3845">
        <v>1</v>
      </c>
      <c r="AA3845" t="s">
        <v>269</v>
      </c>
      <c r="AB3845" s="40" t="s">
        <v>1799</v>
      </c>
    </row>
    <row r="3846" spans="1:28" x14ac:dyDescent="0.25">
      <c r="A3846">
        <v>99913845</v>
      </c>
      <c r="B3846" t="s">
        <v>32</v>
      </c>
      <c r="C3846" t="s">
        <v>597</v>
      </c>
      <c r="D3846" t="s">
        <v>598</v>
      </c>
      <c r="G3846" t="s">
        <v>48</v>
      </c>
      <c r="H3846">
        <v>5</v>
      </c>
      <c r="K3846" t="s">
        <v>1221</v>
      </c>
      <c r="L3846" t="s">
        <v>1222</v>
      </c>
      <c r="M3846" t="s">
        <v>1130</v>
      </c>
      <c r="N3846">
        <v>23</v>
      </c>
      <c r="P3846" t="s">
        <v>41</v>
      </c>
      <c r="Q3846" t="s">
        <v>75</v>
      </c>
      <c r="R3846" t="str">
        <f>"7351000"</f>
        <v>7351000</v>
      </c>
      <c r="S3846" t="s">
        <v>1223</v>
      </c>
      <c r="T3846" t="s">
        <v>1221</v>
      </c>
      <c r="U3846" t="s">
        <v>1222</v>
      </c>
      <c r="V3846" t="s">
        <v>1130</v>
      </c>
      <c r="W3846" t="s">
        <v>51</v>
      </c>
      <c r="X3846" t="s">
        <v>45</v>
      </c>
      <c r="Y3846" s="1">
        <v>31048</v>
      </c>
      <c r="Z3846">
        <v>1</v>
      </c>
      <c r="AA3846" t="s">
        <v>1222</v>
      </c>
      <c r="AB3846" s="40" t="s">
        <v>1799</v>
      </c>
    </row>
    <row r="3847" spans="1:28" x14ac:dyDescent="0.25">
      <c r="A3847">
        <v>99913846</v>
      </c>
      <c r="B3847" t="s">
        <v>32</v>
      </c>
      <c r="C3847" t="s">
        <v>61</v>
      </c>
      <c r="D3847" t="s">
        <v>62</v>
      </c>
      <c r="G3847" t="s">
        <v>48</v>
      </c>
      <c r="H3847">
        <v>3</v>
      </c>
      <c r="K3847" t="s">
        <v>1268</v>
      </c>
      <c r="L3847" t="s">
        <v>1269</v>
      </c>
      <c r="M3847" t="s">
        <v>1270</v>
      </c>
      <c r="N3847">
        <v>23</v>
      </c>
      <c r="O3847" s="1">
        <v>43344</v>
      </c>
      <c r="P3847" t="s">
        <v>41</v>
      </c>
      <c r="Q3847" t="s">
        <v>42</v>
      </c>
      <c r="R3847" t="str">
        <f>"1980060"</f>
        <v>1980060</v>
      </c>
      <c r="S3847" t="s">
        <v>1277</v>
      </c>
      <c r="T3847" t="s">
        <v>1268</v>
      </c>
      <c r="U3847" t="s">
        <v>1269</v>
      </c>
      <c r="V3847" t="s">
        <v>1270</v>
      </c>
      <c r="W3847" t="s">
        <v>51</v>
      </c>
      <c r="X3847" t="s">
        <v>45</v>
      </c>
      <c r="Y3847" s="1">
        <v>31048</v>
      </c>
      <c r="Z3847">
        <v>2</v>
      </c>
      <c r="AA3847" t="s">
        <v>1269</v>
      </c>
      <c r="AB3847" s="40" t="s">
        <v>1799</v>
      </c>
    </row>
    <row r="3848" spans="1:28" x14ac:dyDescent="0.25">
      <c r="A3848">
        <v>99913847</v>
      </c>
      <c r="B3848" t="s">
        <v>56</v>
      </c>
      <c r="C3848" t="s">
        <v>61</v>
      </c>
      <c r="D3848" t="s">
        <v>62</v>
      </c>
      <c r="G3848" t="s">
        <v>48</v>
      </c>
      <c r="H3848">
        <v>1</v>
      </c>
      <c r="K3848" t="s">
        <v>380</v>
      </c>
      <c r="L3848" t="s">
        <v>381</v>
      </c>
      <c r="M3848" t="s">
        <v>131</v>
      </c>
      <c r="N3848">
        <v>23</v>
      </c>
      <c r="P3848" t="s">
        <v>41</v>
      </c>
      <c r="Q3848" t="s">
        <v>42</v>
      </c>
      <c r="R3848" t="str">
        <f>"0590909"</f>
        <v>0590909</v>
      </c>
      <c r="S3848" t="s">
        <v>388</v>
      </c>
      <c r="T3848" t="s">
        <v>380</v>
      </c>
      <c r="U3848" t="s">
        <v>381</v>
      </c>
      <c r="V3848" t="s">
        <v>131</v>
      </c>
      <c r="W3848" t="s">
        <v>51</v>
      </c>
      <c r="X3848" t="s">
        <v>45</v>
      </c>
      <c r="Y3848" s="1">
        <v>31047</v>
      </c>
      <c r="Z3848">
        <v>2</v>
      </c>
      <c r="AA3848" t="s">
        <v>381</v>
      </c>
      <c r="AB3848" s="40" t="s">
        <v>1799</v>
      </c>
    </row>
    <row r="3849" spans="1:28" x14ac:dyDescent="0.25">
      <c r="A3849">
        <v>99913848</v>
      </c>
      <c r="B3849" t="s">
        <v>56</v>
      </c>
      <c r="C3849" t="s">
        <v>85</v>
      </c>
      <c r="D3849" t="s">
        <v>86</v>
      </c>
      <c r="G3849" t="s">
        <v>48</v>
      </c>
      <c r="H3849">
        <v>1</v>
      </c>
      <c r="K3849" t="s">
        <v>380</v>
      </c>
      <c r="L3849" t="s">
        <v>381</v>
      </c>
      <c r="M3849" t="s">
        <v>131</v>
      </c>
      <c r="N3849">
        <v>23</v>
      </c>
      <c r="P3849" t="s">
        <v>41</v>
      </c>
      <c r="Q3849" t="s">
        <v>42</v>
      </c>
      <c r="R3849" t="str">
        <f>"0561016"</f>
        <v>0561016</v>
      </c>
      <c r="S3849" t="s">
        <v>389</v>
      </c>
      <c r="T3849" t="s">
        <v>380</v>
      </c>
      <c r="U3849" t="s">
        <v>381</v>
      </c>
      <c r="V3849" t="s">
        <v>131</v>
      </c>
      <c r="W3849" t="s">
        <v>51</v>
      </c>
      <c r="X3849" t="s">
        <v>45</v>
      </c>
      <c r="Y3849" s="1">
        <v>31033</v>
      </c>
      <c r="Z3849">
        <v>2</v>
      </c>
      <c r="AA3849" t="s">
        <v>381</v>
      </c>
      <c r="AB3849" s="40" t="s">
        <v>1799</v>
      </c>
    </row>
    <row r="3850" spans="1:28" x14ac:dyDescent="0.25">
      <c r="A3850">
        <v>99913849</v>
      </c>
      <c r="B3850" t="s">
        <v>32</v>
      </c>
      <c r="C3850" t="s">
        <v>46</v>
      </c>
      <c r="D3850" t="s">
        <v>47</v>
      </c>
      <c r="G3850" t="s">
        <v>35</v>
      </c>
      <c r="H3850">
        <v>1</v>
      </c>
      <c r="I3850" t="s">
        <v>1169</v>
      </c>
      <c r="J3850" s="1">
        <v>43354</v>
      </c>
      <c r="K3850" t="s">
        <v>1128</v>
      </c>
      <c r="L3850" t="s">
        <v>1129</v>
      </c>
      <c r="M3850" t="s">
        <v>1130</v>
      </c>
      <c r="N3850">
        <v>23</v>
      </c>
      <c r="O3850" s="1">
        <v>43354</v>
      </c>
      <c r="P3850" t="s">
        <v>41</v>
      </c>
      <c r="Q3850" t="s">
        <v>49</v>
      </c>
      <c r="R3850" t="str">
        <f>"3181015"</f>
        <v>3181015</v>
      </c>
      <c r="S3850" t="s">
        <v>1131</v>
      </c>
      <c r="T3850" t="s">
        <v>1128</v>
      </c>
      <c r="U3850" t="s">
        <v>1129</v>
      </c>
      <c r="V3850" t="s">
        <v>1130</v>
      </c>
      <c r="W3850" t="s">
        <v>44</v>
      </c>
      <c r="X3850" t="s">
        <v>45</v>
      </c>
      <c r="Y3850" s="1">
        <v>31027</v>
      </c>
      <c r="Z3850">
        <v>2</v>
      </c>
      <c r="AA3850" t="s">
        <v>1129</v>
      </c>
      <c r="AB3850" s="40" t="s">
        <v>1799</v>
      </c>
    </row>
    <row r="3851" spans="1:28" x14ac:dyDescent="0.25">
      <c r="A3851">
        <v>99913850</v>
      </c>
      <c r="B3851" t="s">
        <v>32</v>
      </c>
      <c r="C3851" t="s">
        <v>90</v>
      </c>
      <c r="D3851" t="s">
        <v>91</v>
      </c>
      <c r="G3851" t="s">
        <v>35</v>
      </c>
      <c r="H3851">
        <v>1</v>
      </c>
      <c r="I3851" t="s">
        <v>683</v>
      </c>
      <c r="J3851" s="1">
        <v>43344</v>
      </c>
      <c r="K3851" t="s">
        <v>268</v>
      </c>
      <c r="L3851" t="s">
        <v>269</v>
      </c>
      <c r="M3851" t="s">
        <v>131</v>
      </c>
      <c r="N3851">
        <v>23</v>
      </c>
      <c r="O3851" s="1">
        <v>43344</v>
      </c>
      <c r="P3851" t="s">
        <v>41</v>
      </c>
      <c r="Q3851" t="s">
        <v>95</v>
      </c>
      <c r="R3851" t="str">
        <f>"7052043"</f>
        <v>7052043</v>
      </c>
      <c r="S3851" t="s">
        <v>651</v>
      </c>
      <c r="T3851" t="s">
        <v>268</v>
      </c>
      <c r="U3851" t="s">
        <v>269</v>
      </c>
      <c r="V3851" t="s">
        <v>131</v>
      </c>
      <c r="W3851" t="s">
        <v>51</v>
      </c>
      <c r="X3851" t="s">
        <v>45</v>
      </c>
      <c r="Y3851" s="1">
        <v>31016</v>
      </c>
      <c r="Z3851">
        <v>1</v>
      </c>
      <c r="AA3851" t="s">
        <v>269</v>
      </c>
      <c r="AB3851" s="40" t="s">
        <v>1799</v>
      </c>
    </row>
    <row r="3852" spans="1:28" x14ac:dyDescent="0.25">
      <c r="A3852">
        <v>99913851</v>
      </c>
      <c r="B3852" t="s">
        <v>56</v>
      </c>
      <c r="C3852" t="s">
        <v>46</v>
      </c>
      <c r="D3852" t="s">
        <v>47</v>
      </c>
      <c r="G3852" t="s">
        <v>48</v>
      </c>
      <c r="H3852">
        <v>1</v>
      </c>
      <c r="K3852" t="s">
        <v>1613</v>
      </c>
      <c r="L3852" t="s">
        <v>1614</v>
      </c>
      <c r="M3852" t="s">
        <v>1592</v>
      </c>
      <c r="N3852">
        <v>23</v>
      </c>
      <c r="P3852" t="s">
        <v>41</v>
      </c>
      <c r="Q3852" t="s">
        <v>49</v>
      </c>
      <c r="R3852" t="str">
        <f>"2860001"</f>
        <v>2860001</v>
      </c>
      <c r="S3852" t="s">
        <v>1616</v>
      </c>
      <c r="T3852" t="s">
        <v>1613</v>
      </c>
      <c r="U3852" t="s">
        <v>1614</v>
      </c>
      <c r="V3852" t="s">
        <v>1592</v>
      </c>
      <c r="W3852" t="s">
        <v>51</v>
      </c>
      <c r="X3852" t="s">
        <v>45</v>
      </c>
      <c r="Y3852" s="1">
        <v>31003</v>
      </c>
      <c r="Z3852">
        <v>2</v>
      </c>
      <c r="AA3852" t="s">
        <v>1614</v>
      </c>
      <c r="AB3852" s="40" t="s">
        <v>1799</v>
      </c>
    </row>
    <row r="3853" spans="1:28" x14ac:dyDescent="0.25">
      <c r="A3853">
        <v>99913852</v>
      </c>
      <c r="B3853" t="s">
        <v>32</v>
      </c>
      <c r="C3853" t="s">
        <v>90</v>
      </c>
      <c r="D3853" t="s">
        <v>91</v>
      </c>
      <c r="G3853" t="s">
        <v>35</v>
      </c>
      <c r="H3853">
        <v>1</v>
      </c>
      <c r="I3853">
        <v>13438</v>
      </c>
      <c r="J3853" s="1">
        <v>43433</v>
      </c>
      <c r="K3853" t="s">
        <v>877</v>
      </c>
      <c r="L3853" t="s">
        <v>878</v>
      </c>
      <c r="M3853" t="s">
        <v>131</v>
      </c>
      <c r="N3853">
        <v>23</v>
      </c>
      <c r="O3853" s="1">
        <v>43433</v>
      </c>
      <c r="P3853" t="s">
        <v>41</v>
      </c>
      <c r="Q3853" t="s">
        <v>75</v>
      </c>
      <c r="R3853" t="str">
        <f>"7541024"</f>
        <v>7541024</v>
      </c>
      <c r="S3853" t="s">
        <v>885</v>
      </c>
      <c r="T3853" t="s">
        <v>877</v>
      </c>
      <c r="U3853" t="s">
        <v>878</v>
      </c>
      <c r="V3853" t="s">
        <v>131</v>
      </c>
      <c r="W3853" t="s">
        <v>51</v>
      </c>
      <c r="X3853" t="s">
        <v>45</v>
      </c>
      <c r="Y3853" s="1">
        <v>30992</v>
      </c>
      <c r="Z3853">
        <v>1</v>
      </c>
      <c r="AA3853" t="s">
        <v>878</v>
      </c>
      <c r="AB3853" s="40" t="s">
        <v>1799</v>
      </c>
    </row>
    <row r="3854" spans="1:28" x14ac:dyDescent="0.25">
      <c r="A3854">
        <v>99913853</v>
      </c>
      <c r="B3854" t="s">
        <v>32</v>
      </c>
      <c r="C3854" t="s">
        <v>111</v>
      </c>
      <c r="D3854" t="s">
        <v>112</v>
      </c>
      <c r="G3854" t="s">
        <v>35</v>
      </c>
      <c r="H3854">
        <v>5</v>
      </c>
      <c r="K3854" t="s">
        <v>268</v>
      </c>
      <c r="L3854" t="s">
        <v>269</v>
      </c>
      <c r="M3854" t="s">
        <v>131</v>
      </c>
      <c r="N3854">
        <v>23</v>
      </c>
      <c r="P3854" t="s">
        <v>41</v>
      </c>
      <c r="Q3854" t="s">
        <v>75</v>
      </c>
      <c r="R3854" t="str">
        <f>"7052006"</f>
        <v>7052006</v>
      </c>
      <c r="S3854" t="s">
        <v>575</v>
      </c>
      <c r="T3854" t="s">
        <v>268</v>
      </c>
      <c r="U3854" t="s">
        <v>269</v>
      </c>
      <c r="V3854" t="s">
        <v>131</v>
      </c>
      <c r="W3854" t="s">
        <v>51</v>
      </c>
      <c r="X3854" t="s">
        <v>45</v>
      </c>
      <c r="Y3854" s="1">
        <v>30955</v>
      </c>
      <c r="Z3854">
        <v>1</v>
      </c>
      <c r="AA3854" t="s">
        <v>269</v>
      </c>
      <c r="AB3854" s="40" t="s">
        <v>1799</v>
      </c>
    </row>
    <row r="3855" spans="1:28" x14ac:dyDescent="0.25">
      <c r="A3855">
        <v>99913854</v>
      </c>
      <c r="B3855" t="s">
        <v>32</v>
      </c>
      <c r="C3855" t="s">
        <v>90</v>
      </c>
      <c r="D3855" t="s">
        <v>91</v>
      </c>
      <c r="G3855" t="s">
        <v>48</v>
      </c>
      <c r="H3855">
        <v>1</v>
      </c>
      <c r="K3855" t="s">
        <v>407</v>
      </c>
      <c r="L3855" t="s">
        <v>409</v>
      </c>
      <c r="M3855" t="s">
        <v>131</v>
      </c>
      <c r="N3855">
        <v>23</v>
      </c>
      <c r="P3855" t="s">
        <v>41</v>
      </c>
      <c r="Q3855" t="s">
        <v>95</v>
      </c>
      <c r="R3855" t="str">
        <f>"7053007"</f>
        <v>7053007</v>
      </c>
      <c r="S3855" t="s">
        <v>756</v>
      </c>
      <c r="T3855" t="s">
        <v>407</v>
      </c>
      <c r="U3855" t="s">
        <v>409</v>
      </c>
      <c r="V3855" t="s">
        <v>131</v>
      </c>
      <c r="W3855" t="s">
        <v>51</v>
      </c>
      <c r="X3855" t="s">
        <v>45</v>
      </c>
      <c r="Y3855" s="1">
        <v>30955</v>
      </c>
      <c r="Z3855">
        <v>1</v>
      </c>
      <c r="AA3855" t="s">
        <v>409</v>
      </c>
      <c r="AB3855" s="40" t="s">
        <v>1799</v>
      </c>
    </row>
    <row r="3856" spans="1:28" x14ac:dyDescent="0.25">
      <c r="A3856">
        <v>99913855</v>
      </c>
      <c r="B3856" t="s">
        <v>32</v>
      </c>
      <c r="C3856" t="s">
        <v>111</v>
      </c>
      <c r="D3856" t="s">
        <v>112</v>
      </c>
      <c r="G3856" t="s">
        <v>48</v>
      </c>
      <c r="H3856">
        <v>1</v>
      </c>
      <c r="K3856" t="s">
        <v>431</v>
      </c>
      <c r="L3856" t="s">
        <v>196</v>
      </c>
      <c r="M3856" t="s">
        <v>131</v>
      </c>
      <c r="N3856">
        <v>23</v>
      </c>
      <c r="P3856" t="s">
        <v>41</v>
      </c>
      <c r="Q3856" t="s">
        <v>75</v>
      </c>
      <c r="R3856" t="str">
        <f>"7521016"</f>
        <v>7521016</v>
      </c>
      <c r="S3856" t="s">
        <v>448</v>
      </c>
      <c r="T3856" t="s">
        <v>431</v>
      </c>
      <c r="U3856" t="s">
        <v>196</v>
      </c>
      <c r="V3856" t="s">
        <v>131</v>
      </c>
      <c r="W3856" t="s">
        <v>51</v>
      </c>
      <c r="X3856" t="s">
        <v>45</v>
      </c>
      <c r="Y3856" s="1">
        <v>30912</v>
      </c>
      <c r="Z3856">
        <v>1</v>
      </c>
      <c r="AA3856" t="s">
        <v>196</v>
      </c>
      <c r="AB3856" s="40" t="s">
        <v>1799</v>
      </c>
    </row>
    <row r="3857" spans="1:28" x14ac:dyDescent="0.25">
      <c r="A3857">
        <v>99913856</v>
      </c>
      <c r="B3857" t="s">
        <v>32</v>
      </c>
      <c r="C3857" t="s">
        <v>139</v>
      </c>
      <c r="D3857" t="s">
        <v>140</v>
      </c>
      <c r="G3857" t="s">
        <v>48</v>
      </c>
      <c r="H3857">
        <v>1</v>
      </c>
      <c r="K3857" t="s">
        <v>1128</v>
      </c>
      <c r="L3857" t="s">
        <v>1129</v>
      </c>
      <c r="M3857" t="s">
        <v>1130</v>
      </c>
      <c r="N3857">
        <v>23</v>
      </c>
      <c r="P3857" t="s">
        <v>41</v>
      </c>
      <c r="Q3857" t="s">
        <v>49</v>
      </c>
      <c r="R3857" t="str">
        <f>"3181010"</f>
        <v>3181010</v>
      </c>
      <c r="S3857" t="s">
        <v>1134</v>
      </c>
      <c r="T3857" t="s">
        <v>1128</v>
      </c>
      <c r="U3857" t="s">
        <v>1129</v>
      </c>
      <c r="V3857" t="s">
        <v>1130</v>
      </c>
      <c r="W3857" t="s">
        <v>165</v>
      </c>
      <c r="X3857" t="s">
        <v>45</v>
      </c>
      <c r="Y3857" s="1">
        <v>30902</v>
      </c>
      <c r="Z3857">
        <v>2</v>
      </c>
      <c r="AA3857" t="s">
        <v>1129</v>
      </c>
      <c r="AB3857" s="40" t="s">
        <v>1799</v>
      </c>
    </row>
    <row r="3858" spans="1:28" x14ac:dyDescent="0.25">
      <c r="A3858">
        <v>99913857</v>
      </c>
      <c r="B3858" t="s">
        <v>32</v>
      </c>
      <c r="C3858" t="s">
        <v>46</v>
      </c>
      <c r="D3858" t="s">
        <v>47</v>
      </c>
      <c r="G3858" t="s">
        <v>88</v>
      </c>
      <c r="H3858">
        <v>2</v>
      </c>
      <c r="K3858" t="s">
        <v>1325</v>
      </c>
      <c r="L3858" t="s">
        <v>1326</v>
      </c>
      <c r="M3858" t="s">
        <v>1270</v>
      </c>
      <c r="N3858">
        <v>23</v>
      </c>
      <c r="P3858" t="s">
        <v>41</v>
      </c>
      <c r="Q3858" t="s">
        <v>42</v>
      </c>
      <c r="R3858" t="str">
        <f>"3980100"</f>
        <v>3980100</v>
      </c>
      <c r="S3858" t="s">
        <v>1328</v>
      </c>
      <c r="T3858" t="s">
        <v>1325</v>
      </c>
      <c r="U3858" t="s">
        <v>1326</v>
      </c>
      <c r="V3858" t="s">
        <v>1270</v>
      </c>
      <c r="W3858" t="s">
        <v>51</v>
      </c>
      <c r="X3858" t="s">
        <v>45</v>
      </c>
      <c r="Y3858" s="1">
        <v>30838</v>
      </c>
      <c r="Z3858">
        <v>2</v>
      </c>
      <c r="AA3858" t="s">
        <v>1326</v>
      </c>
      <c r="AB3858" s="40" t="s">
        <v>1799</v>
      </c>
    </row>
    <row r="3859" spans="1:28" x14ac:dyDescent="0.25">
      <c r="A3859">
        <v>99913858</v>
      </c>
      <c r="B3859" t="s">
        <v>32</v>
      </c>
      <c r="C3859" t="s">
        <v>61</v>
      </c>
      <c r="D3859" t="s">
        <v>62</v>
      </c>
      <c r="G3859" t="s">
        <v>35</v>
      </c>
      <c r="H3859">
        <v>1</v>
      </c>
      <c r="K3859" t="s">
        <v>223</v>
      </c>
      <c r="L3859" t="s">
        <v>224</v>
      </c>
      <c r="M3859" t="s">
        <v>131</v>
      </c>
      <c r="N3859">
        <v>23</v>
      </c>
      <c r="P3859" t="s">
        <v>41</v>
      </c>
      <c r="Q3859" t="s">
        <v>42</v>
      </c>
      <c r="R3859" t="str">
        <f>"0590903"</f>
        <v>0590903</v>
      </c>
      <c r="S3859" t="s">
        <v>226</v>
      </c>
      <c r="T3859" t="s">
        <v>223</v>
      </c>
      <c r="U3859" t="s">
        <v>224</v>
      </c>
      <c r="V3859" t="s">
        <v>131</v>
      </c>
      <c r="W3859" t="s">
        <v>51</v>
      </c>
      <c r="X3859" t="s">
        <v>45</v>
      </c>
      <c r="Y3859" s="1">
        <v>30834</v>
      </c>
      <c r="Z3859">
        <v>2</v>
      </c>
      <c r="AA3859" t="s">
        <v>224</v>
      </c>
      <c r="AB3859" s="40" t="s">
        <v>1799</v>
      </c>
    </row>
    <row r="3860" spans="1:28" x14ac:dyDescent="0.25">
      <c r="A3860">
        <v>99913859</v>
      </c>
      <c r="B3860" t="s">
        <v>32</v>
      </c>
      <c r="C3860" t="s">
        <v>79</v>
      </c>
      <c r="D3860" t="s">
        <v>80</v>
      </c>
      <c r="G3860" t="s">
        <v>48</v>
      </c>
      <c r="H3860">
        <v>1</v>
      </c>
      <c r="K3860" t="s">
        <v>1268</v>
      </c>
      <c r="L3860" t="s">
        <v>1269</v>
      </c>
      <c r="M3860" t="s">
        <v>1270</v>
      </c>
      <c r="N3860">
        <v>23</v>
      </c>
      <c r="P3860" t="s">
        <v>41</v>
      </c>
      <c r="Q3860" t="s">
        <v>42</v>
      </c>
      <c r="R3860" t="str">
        <f>"1980050"</f>
        <v>1980050</v>
      </c>
      <c r="S3860" t="s">
        <v>1278</v>
      </c>
      <c r="T3860" t="s">
        <v>1268</v>
      </c>
      <c r="U3860" t="s">
        <v>1269</v>
      </c>
      <c r="V3860" t="s">
        <v>1270</v>
      </c>
      <c r="W3860" t="s">
        <v>51</v>
      </c>
      <c r="X3860" t="s">
        <v>45</v>
      </c>
      <c r="Y3860" s="1">
        <v>30833</v>
      </c>
      <c r="Z3860">
        <v>2</v>
      </c>
      <c r="AA3860" t="s">
        <v>1269</v>
      </c>
      <c r="AB3860" s="40" t="s">
        <v>1799</v>
      </c>
    </row>
    <row r="3861" spans="1:28" x14ac:dyDescent="0.25">
      <c r="A3861">
        <v>99913860</v>
      </c>
      <c r="B3861" t="s">
        <v>32</v>
      </c>
      <c r="C3861" t="s">
        <v>111</v>
      </c>
      <c r="D3861" t="s">
        <v>112</v>
      </c>
      <c r="G3861" t="s">
        <v>35</v>
      </c>
      <c r="H3861">
        <v>1</v>
      </c>
      <c r="K3861" t="s">
        <v>1341</v>
      </c>
      <c r="L3861" t="s">
        <v>1342</v>
      </c>
      <c r="M3861" t="s">
        <v>1270</v>
      </c>
      <c r="N3861">
        <v>23</v>
      </c>
      <c r="P3861" t="s">
        <v>41</v>
      </c>
      <c r="Q3861" t="s">
        <v>75</v>
      </c>
      <c r="R3861" t="str">
        <f>"7191006"</f>
        <v>7191006</v>
      </c>
      <c r="S3861" t="s">
        <v>1351</v>
      </c>
      <c r="T3861" t="s">
        <v>1341</v>
      </c>
      <c r="U3861" t="s">
        <v>1342</v>
      </c>
      <c r="V3861" t="s">
        <v>1270</v>
      </c>
      <c r="W3861" t="s">
        <v>51</v>
      </c>
      <c r="X3861" t="s">
        <v>45</v>
      </c>
      <c r="Y3861" s="1">
        <v>30828</v>
      </c>
      <c r="Z3861">
        <v>1</v>
      </c>
      <c r="AA3861" t="s">
        <v>1342</v>
      </c>
      <c r="AB3861" s="40" t="s">
        <v>1799</v>
      </c>
    </row>
    <row r="3862" spans="1:28" x14ac:dyDescent="0.25">
      <c r="A3862">
        <v>99913861</v>
      </c>
      <c r="B3862" t="s">
        <v>32</v>
      </c>
      <c r="C3862" t="s">
        <v>111</v>
      </c>
      <c r="D3862" t="s">
        <v>112</v>
      </c>
      <c r="G3862" t="s">
        <v>48</v>
      </c>
      <c r="H3862">
        <v>5</v>
      </c>
      <c r="K3862" t="s">
        <v>1426</v>
      </c>
      <c r="L3862" t="s">
        <v>1427</v>
      </c>
      <c r="M3862" t="s">
        <v>1270</v>
      </c>
      <c r="N3862">
        <v>23</v>
      </c>
      <c r="P3862" t="s">
        <v>41</v>
      </c>
      <c r="Q3862" t="s">
        <v>75</v>
      </c>
      <c r="R3862" t="str">
        <f>"7192000"</f>
        <v>7192000</v>
      </c>
      <c r="S3862" t="s">
        <v>1429</v>
      </c>
      <c r="T3862" t="s">
        <v>1426</v>
      </c>
      <c r="U3862" t="s">
        <v>1427</v>
      </c>
      <c r="V3862" t="s">
        <v>1270</v>
      </c>
      <c r="W3862" t="s">
        <v>51</v>
      </c>
      <c r="X3862" t="s">
        <v>45</v>
      </c>
      <c r="Y3862" s="1">
        <v>30818</v>
      </c>
      <c r="Z3862">
        <v>1</v>
      </c>
      <c r="AA3862" t="s">
        <v>1427</v>
      </c>
      <c r="AB3862" s="40" t="s">
        <v>1799</v>
      </c>
    </row>
    <row r="3863" spans="1:28" x14ac:dyDescent="0.25">
      <c r="A3863">
        <v>99913862</v>
      </c>
      <c r="B3863" t="s">
        <v>56</v>
      </c>
      <c r="C3863" t="s">
        <v>68</v>
      </c>
      <c r="D3863" t="s">
        <v>69</v>
      </c>
      <c r="G3863" t="s">
        <v>48</v>
      </c>
      <c r="H3863">
        <v>1</v>
      </c>
      <c r="K3863" t="s">
        <v>162</v>
      </c>
      <c r="L3863" t="s">
        <v>158</v>
      </c>
      <c r="M3863" t="s">
        <v>131</v>
      </c>
      <c r="N3863">
        <v>23</v>
      </c>
      <c r="P3863" t="s">
        <v>41</v>
      </c>
      <c r="Q3863" t="s">
        <v>42</v>
      </c>
      <c r="R3863" t="str">
        <f>"0580310"</f>
        <v>0580310</v>
      </c>
      <c r="S3863" t="s">
        <v>173</v>
      </c>
      <c r="T3863" t="s">
        <v>162</v>
      </c>
      <c r="U3863" t="s">
        <v>158</v>
      </c>
      <c r="V3863" t="s">
        <v>131</v>
      </c>
      <c r="W3863" t="s">
        <v>51</v>
      </c>
      <c r="X3863" t="s">
        <v>45</v>
      </c>
      <c r="Y3863" s="1">
        <v>30775</v>
      </c>
      <c r="Z3863">
        <v>2</v>
      </c>
      <c r="AA3863" t="s">
        <v>158</v>
      </c>
      <c r="AB3863" s="40" t="s">
        <v>1799</v>
      </c>
    </row>
    <row r="3864" spans="1:28" x14ac:dyDescent="0.25">
      <c r="A3864">
        <v>99913863</v>
      </c>
      <c r="B3864" t="s">
        <v>32</v>
      </c>
      <c r="C3864" t="s">
        <v>82</v>
      </c>
      <c r="D3864" t="s">
        <v>83</v>
      </c>
      <c r="G3864" t="s">
        <v>48</v>
      </c>
      <c r="H3864">
        <v>1</v>
      </c>
      <c r="K3864" t="s">
        <v>162</v>
      </c>
      <c r="L3864" t="s">
        <v>158</v>
      </c>
      <c r="M3864" t="s">
        <v>131</v>
      </c>
      <c r="N3864">
        <v>23</v>
      </c>
      <c r="P3864" t="s">
        <v>41</v>
      </c>
      <c r="Q3864" t="s">
        <v>49</v>
      </c>
      <c r="R3864" t="str">
        <f>"0560003"</f>
        <v>0560003</v>
      </c>
      <c r="S3864" t="s">
        <v>181</v>
      </c>
      <c r="T3864" t="s">
        <v>162</v>
      </c>
      <c r="U3864" t="s">
        <v>158</v>
      </c>
      <c r="V3864" t="s">
        <v>131</v>
      </c>
      <c r="W3864" t="s">
        <v>51</v>
      </c>
      <c r="X3864" t="s">
        <v>45</v>
      </c>
      <c r="Y3864" s="1">
        <v>30744</v>
      </c>
      <c r="Z3864">
        <v>2</v>
      </c>
      <c r="AA3864" t="s">
        <v>158</v>
      </c>
      <c r="AB3864" s="40" t="s">
        <v>1799</v>
      </c>
    </row>
    <row r="3865" spans="1:28" x14ac:dyDescent="0.25">
      <c r="A3865">
        <v>99913864</v>
      </c>
      <c r="B3865" t="s">
        <v>32</v>
      </c>
      <c r="C3865" t="s">
        <v>111</v>
      </c>
      <c r="D3865" t="s">
        <v>112</v>
      </c>
      <c r="G3865" t="s">
        <v>35</v>
      </c>
      <c r="H3865">
        <v>6</v>
      </c>
      <c r="K3865" t="s">
        <v>268</v>
      </c>
      <c r="L3865" t="s">
        <v>269</v>
      </c>
      <c r="M3865" t="s">
        <v>131</v>
      </c>
      <c r="N3865">
        <v>23</v>
      </c>
      <c r="P3865" t="s">
        <v>41</v>
      </c>
      <c r="Q3865" t="s">
        <v>75</v>
      </c>
      <c r="R3865" t="str">
        <f>"7052006"</f>
        <v>7052006</v>
      </c>
      <c r="S3865" t="s">
        <v>575</v>
      </c>
      <c r="T3865" t="s">
        <v>268</v>
      </c>
      <c r="U3865" t="s">
        <v>269</v>
      </c>
      <c r="V3865" t="s">
        <v>131</v>
      </c>
      <c r="W3865" t="s">
        <v>51</v>
      </c>
      <c r="X3865" t="s">
        <v>45</v>
      </c>
      <c r="Y3865" s="1">
        <v>30697</v>
      </c>
      <c r="Z3865">
        <v>1</v>
      </c>
      <c r="AA3865" t="s">
        <v>269</v>
      </c>
      <c r="AB3865" s="40" t="s">
        <v>1799</v>
      </c>
    </row>
    <row r="3866" spans="1:28" x14ac:dyDescent="0.25">
      <c r="A3866">
        <v>99913865</v>
      </c>
      <c r="B3866" t="s">
        <v>32</v>
      </c>
      <c r="C3866" t="s">
        <v>111</v>
      </c>
      <c r="D3866" t="s">
        <v>112</v>
      </c>
      <c r="G3866" t="s">
        <v>35</v>
      </c>
      <c r="H3866">
        <v>1</v>
      </c>
      <c r="K3866" t="s">
        <v>154</v>
      </c>
      <c r="L3866" t="s">
        <v>155</v>
      </c>
      <c r="M3866" t="s">
        <v>131</v>
      </c>
      <c r="N3866">
        <v>23</v>
      </c>
      <c r="P3866" t="s">
        <v>41</v>
      </c>
      <c r="Q3866" t="s">
        <v>75</v>
      </c>
      <c r="R3866" t="str">
        <f>"7700026"</f>
        <v>7700026</v>
      </c>
      <c r="S3866" t="s">
        <v>397</v>
      </c>
      <c r="T3866" t="s">
        <v>154</v>
      </c>
      <c r="U3866" t="s">
        <v>155</v>
      </c>
      <c r="V3866" t="s">
        <v>131</v>
      </c>
      <c r="W3866" t="s">
        <v>51</v>
      </c>
      <c r="X3866" t="s">
        <v>45</v>
      </c>
      <c r="Y3866" s="1">
        <v>30696</v>
      </c>
      <c r="Z3866">
        <v>1</v>
      </c>
      <c r="AA3866" t="s">
        <v>155</v>
      </c>
      <c r="AB3866" s="40" t="s">
        <v>1799</v>
      </c>
    </row>
    <row r="3867" spans="1:28" x14ac:dyDescent="0.25">
      <c r="A3867">
        <v>99913866</v>
      </c>
      <c r="B3867" t="s">
        <v>32</v>
      </c>
      <c r="C3867" t="s">
        <v>46</v>
      </c>
      <c r="D3867" t="s">
        <v>47</v>
      </c>
      <c r="G3867" t="s">
        <v>35</v>
      </c>
      <c r="H3867">
        <v>1</v>
      </c>
      <c r="K3867" t="s">
        <v>223</v>
      </c>
      <c r="L3867" t="s">
        <v>224</v>
      </c>
      <c r="M3867" t="s">
        <v>131</v>
      </c>
      <c r="N3867">
        <v>23</v>
      </c>
      <c r="P3867" t="s">
        <v>41</v>
      </c>
      <c r="Q3867" t="s">
        <v>42</v>
      </c>
      <c r="R3867" t="str">
        <f>"0580207"</f>
        <v>0580207</v>
      </c>
      <c r="S3867" t="s">
        <v>229</v>
      </c>
      <c r="T3867" t="s">
        <v>223</v>
      </c>
      <c r="U3867" t="s">
        <v>224</v>
      </c>
      <c r="V3867" t="s">
        <v>131</v>
      </c>
      <c r="W3867" t="s">
        <v>51</v>
      </c>
      <c r="X3867" t="s">
        <v>45</v>
      </c>
      <c r="Y3867" s="1">
        <v>30682</v>
      </c>
      <c r="Z3867">
        <v>2</v>
      </c>
      <c r="AA3867" t="s">
        <v>224</v>
      </c>
      <c r="AB3867" s="40" t="s">
        <v>1799</v>
      </c>
    </row>
    <row r="3868" spans="1:28" x14ac:dyDescent="0.25">
      <c r="A3868">
        <v>99913867</v>
      </c>
      <c r="B3868" t="s">
        <v>32</v>
      </c>
      <c r="C3868" t="s">
        <v>46</v>
      </c>
      <c r="D3868" t="s">
        <v>47</v>
      </c>
      <c r="G3868" t="s">
        <v>35</v>
      </c>
      <c r="H3868">
        <v>1</v>
      </c>
      <c r="K3868" t="s">
        <v>345</v>
      </c>
      <c r="L3868" t="s">
        <v>346</v>
      </c>
      <c r="M3868" t="s">
        <v>131</v>
      </c>
      <c r="N3868">
        <v>23</v>
      </c>
      <c r="P3868" t="s">
        <v>41</v>
      </c>
      <c r="Q3868" t="s">
        <v>42</v>
      </c>
      <c r="R3868" t="str">
        <f>"0580615"</f>
        <v>0580615</v>
      </c>
      <c r="S3868" t="s">
        <v>364</v>
      </c>
      <c r="T3868" t="s">
        <v>345</v>
      </c>
      <c r="U3868" t="s">
        <v>346</v>
      </c>
      <c r="V3868" t="s">
        <v>131</v>
      </c>
      <c r="W3868" t="s">
        <v>51</v>
      </c>
      <c r="X3868" t="s">
        <v>45</v>
      </c>
      <c r="Y3868" s="1">
        <v>30669</v>
      </c>
      <c r="Z3868">
        <v>2</v>
      </c>
      <c r="AA3868" t="s">
        <v>346</v>
      </c>
      <c r="AB3868" s="40" t="s">
        <v>1799</v>
      </c>
    </row>
    <row r="3869" spans="1:28" x14ac:dyDescent="0.25">
      <c r="A3869">
        <v>99913868</v>
      </c>
      <c r="B3869" t="s">
        <v>32</v>
      </c>
      <c r="C3869" t="s">
        <v>68</v>
      </c>
      <c r="D3869" t="s">
        <v>69</v>
      </c>
      <c r="G3869" t="s">
        <v>35</v>
      </c>
      <c r="H3869">
        <v>1</v>
      </c>
      <c r="I3869">
        <v>0</v>
      </c>
      <c r="J3869" s="1">
        <v>43344</v>
      </c>
      <c r="K3869" t="s">
        <v>223</v>
      </c>
      <c r="L3869" t="s">
        <v>224</v>
      </c>
      <c r="M3869" t="s">
        <v>131</v>
      </c>
      <c r="N3869">
        <v>23</v>
      </c>
      <c r="O3869" s="1">
        <v>43344</v>
      </c>
      <c r="P3869" t="s">
        <v>41</v>
      </c>
      <c r="Q3869" t="s">
        <v>42</v>
      </c>
      <c r="R3869" t="str">
        <f>"0580206"</f>
        <v>0580206</v>
      </c>
      <c r="S3869" t="s">
        <v>237</v>
      </c>
      <c r="T3869" t="s">
        <v>223</v>
      </c>
      <c r="U3869" t="s">
        <v>224</v>
      </c>
      <c r="V3869" t="s">
        <v>131</v>
      </c>
      <c r="W3869" t="s">
        <v>55</v>
      </c>
      <c r="X3869" t="s">
        <v>45</v>
      </c>
      <c r="Y3869" s="1">
        <v>30665</v>
      </c>
      <c r="Z3869">
        <v>2</v>
      </c>
      <c r="AA3869" t="s">
        <v>224</v>
      </c>
      <c r="AB3869" s="40" t="s">
        <v>1799</v>
      </c>
    </row>
    <row r="3870" spans="1:28" x14ac:dyDescent="0.25">
      <c r="A3870">
        <v>99913869</v>
      </c>
      <c r="B3870" t="s">
        <v>32</v>
      </c>
      <c r="C3870" t="s">
        <v>61</v>
      </c>
      <c r="D3870" t="s">
        <v>62</v>
      </c>
      <c r="G3870" t="s">
        <v>35</v>
      </c>
      <c r="H3870">
        <v>1</v>
      </c>
      <c r="K3870" t="s">
        <v>345</v>
      </c>
      <c r="L3870" t="s">
        <v>346</v>
      </c>
      <c r="M3870" t="s">
        <v>131</v>
      </c>
      <c r="N3870">
        <v>23</v>
      </c>
      <c r="P3870" t="s">
        <v>41</v>
      </c>
      <c r="Q3870" t="s">
        <v>42</v>
      </c>
      <c r="R3870" t="str">
        <f>"0580931"</f>
        <v>0580931</v>
      </c>
      <c r="S3870" t="s">
        <v>369</v>
      </c>
      <c r="T3870" t="s">
        <v>345</v>
      </c>
      <c r="U3870" t="s">
        <v>346</v>
      </c>
      <c r="V3870" t="s">
        <v>131</v>
      </c>
      <c r="W3870" t="s">
        <v>51</v>
      </c>
      <c r="X3870" t="s">
        <v>45</v>
      </c>
      <c r="Y3870" s="1">
        <v>30642</v>
      </c>
      <c r="Z3870">
        <v>2</v>
      </c>
      <c r="AA3870" t="s">
        <v>346</v>
      </c>
      <c r="AB3870" s="40" t="s">
        <v>1799</v>
      </c>
    </row>
    <row r="3871" spans="1:28" x14ac:dyDescent="0.25">
      <c r="A3871">
        <v>99913870</v>
      </c>
      <c r="B3871" t="s">
        <v>56</v>
      </c>
      <c r="C3871" t="s">
        <v>82</v>
      </c>
      <c r="D3871" t="s">
        <v>83</v>
      </c>
      <c r="G3871" t="s">
        <v>35</v>
      </c>
      <c r="H3871">
        <v>1</v>
      </c>
      <c r="I3871">
        <v>0</v>
      </c>
      <c r="J3871" s="1">
        <v>43344</v>
      </c>
      <c r="K3871" t="s">
        <v>223</v>
      </c>
      <c r="L3871" t="s">
        <v>224</v>
      </c>
      <c r="M3871" t="s">
        <v>131</v>
      </c>
      <c r="N3871">
        <v>23</v>
      </c>
      <c r="O3871" s="1">
        <v>43344</v>
      </c>
      <c r="P3871" t="s">
        <v>41</v>
      </c>
      <c r="Q3871" t="s">
        <v>42</v>
      </c>
      <c r="R3871" t="str">
        <f>"0580206"</f>
        <v>0580206</v>
      </c>
      <c r="S3871" t="s">
        <v>237</v>
      </c>
      <c r="T3871" t="s">
        <v>223</v>
      </c>
      <c r="U3871" t="s">
        <v>224</v>
      </c>
      <c r="V3871" t="s">
        <v>131</v>
      </c>
      <c r="W3871" t="s">
        <v>44</v>
      </c>
      <c r="X3871" t="s">
        <v>45</v>
      </c>
      <c r="Y3871" s="1">
        <v>30614</v>
      </c>
      <c r="Z3871">
        <v>2</v>
      </c>
      <c r="AA3871" t="s">
        <v>224</v>
      </c>
      <c r="AB3871" s="40" t="s">
        <v>1799</v>
      </c>
    </row>
    <row r="3872" spans="1:28" x14ac:dyDescent="0.25">
      <c r="A3872">
        <v>99913871</v>
      </c>
      <c r="B3872" t="s">
        <v>32</v>
      </c>
      <c r="C3872" t="s">
        <v>111</v>
      </c>
      <c r="D3872" t="s">
        <v>112</v>
      </c>
      <c r="G3872" t="s">
        <v>35</v>
      </c>
      <c r="H3872">
        <v>1</v>
      </c>
      <c r="K3872" t="s">
        <v>154</v>
      </c>
      <c r="L3872" t="s">
        <v>155</v>
      </c>
      <c r="M3872" t="s">
        <v>131</v>
      </c>
      <c r="N3872">
        <v>23</v>
      </c>
      <c r="P3872" t="s">
        <v>41</v>
      </c>
      <c r="Q3872" t="s">
        <v>75</v>
      </c>
      <c r="R3872" t="str">
        <f>"7700026"</f>
        <v>7700026</v>
      </c>
      <c r="S3872" t="s">
        <v>397</v>
      </c>
      <c r="T3872" t="s">
        <v>154</v>
      </c>
      <c r="U3872" t="s">
        <v>155</v>
      </c>
      <c r="V3872" t="s">
        <v>131</v>
      </c>
      <c r="W3872" t="s">
        <v>51</v>
      </c>
      <c r="X3872" t="s">
        <v>45</v>
      </c>
      <c r="Y3872" s="1">
        <v>30608</v>
      </c>
      <c r="Z3872">
        <v>1</v>
      </c>
      <c r="AA3872" t="s">
        <v>155</v>
      </c>
      <c r="AB3872" s="40" t="s">
        <v>1799</v>
      </c>
    </row>
    <row r="3873" spans="1:28" x14ac:dyDescent="0.25">
      <c r="A3873">
        <v>99913872</v>
      </c>
      <c r="B3873" t="s">
        <v>32</v>
      </c>
      <c r="C3873" t="s">
        <v>111</v>
      </c>
      <c r="D3873" t="s">
        <v>112</v>
      </c>
      <c r="G3873" t="s">
        <v>35</v>
      </c>
      <c r="H3873">
        <v>1</v>
      </c>
      <c r="I3873" t="s">
        <v>641</v>
      </c>
      <c r="J3873" s="1">
        <v>43344</v>
      </c>
      <c r="K3873" t="s">
        <v>268</v>
      </c>
      <c r="L3873" t="s">
        <v>269</v>
      </c>
      <c r="M3873" t="s">
        <v>131</v>
      </c>
      <c r="N3873">
        <v>23</v>
      </c>
      <c r="O3873" s="1">
        <v>43344</v>
      </c>
      <c r="P3873" t="s">
        <v>41</v>
      </c>
      <c r="Q3873" t="s">
        <v>75</v>
      </c>
      <c r="R3873" t="str">
        <f>"7052020"</f>
        <v>7052020</v>
      </c>
      <c r="S3873" t="s">
        <v>267</v>
      </c>
      <c r="T3873" t="s">
        <v>268</v>
      </c>
      <c r="U3873" t="s">
        <v>269</v>
      </c>
      <c r="V3873" t="s">
        <v>131</v>
      </c>
      <c r="W3873" t="s">
        <v>51</v>
      </c>
      <c r="X3873" t="s">
        <v>45</v>
      </c>
      <c r="Y3873" s="1">
        <v>30608</v>
      </c>
      <c r="Z3873">
        <v>1</v>
      </c>
      <c r="AA3873" t="s">
        <v>269</v>
      </c>
      <c r="AB3873" s="40" t="s">
        <v>1799</v>
      </c>
    </row>
    <row r="3874" spans="1:28" x14ac:dyDescent="0.25">
      <c r="A3874">
        <v>99913873</v>
      </c>
      <c r="B3874" t="s">
        <v>32</v>
      </c>
      <c r="C3874" t="s">
        <v>61</v>
      </c>
      <c r="D3874" t="s">
        <v>62</v>
      </c>
      <c r="G3874" t="s">
        <v>48</v>
      </c>
      <c r="H3874">
        <v>7</v>
      </c>
      <c r="I3874" t="s">
        <v>456</v>
      </c>
      <c r="J3874" s="1">
        <v>40422</v>
      </c>
      <c r="K3874" t="s">
        <v>195</v>
      </c>
      <c r="L3874" t="s">
        <v>196</v>
      </c>
      <c r="M3874" t="s">
        <v>131</v>
      </c>
      <c r="N3874">
        <v>23</v>
      </c>
      <c r="O3874" s="1">
        <v>40422</v>
      </c>
      <c r="P3874" t="s">
        <v>41</v>
      </c>
      <c r="Q3874" t="s">
        <v>75</v>
      </c>
      <c r="R3874" t="str">
        <f>"7521044"</f>
        <v>7521044</v>
      </c>
      <c r="S3874" t="s">
        <v>453</v>
      </c>
      <c r="T3874" t="s">
        <v>195</v>
      </c>
      <c r="U3874" t="s">
        <v>196</v>
      </c>
      <c r="V3874" t="s">
        <v>131</v>
      </c>
      <c r="W3874" t="s">
        <v>165</v>
      </c>
      <c r="X3874" t="s">
        <v>45</v>
      </c>
      <c r="Y3874" s="1">
        <v>30606</v>
      </c>
      <c r="Z3874">
        <v>1</v>
      </c>
      <c r="AA3874" t="s">
        <v>196</v>
      </c>
      <c r="AB3874" s="40" t="s">
        <v>1799</v>
      </c>
    </row>
    <row r="3875" spans="1:28" x14ac:dyDescent="0.25">
      <c r="A3875">
        <v>99913874</v>
      </c>
      <c r="B3875" t="s">
        <v>32</v>
      </c>
      <c r="C3875" t="s">
        <v>46</v>
      </c>
      <c r="D3875" t="s">
        <v>47</v>
      </c>
      <c r="G3875" t="s">
        <v>48</v>
      </c>
      <c r="H3875">
        <v>1</v>
      </c>
      <c r="K3875" t="s">
        <v>1128</v>
      </c>
      <c r="L3875" t="s">
        <v>1129</v>
      </c>
      <c r="M3875" t="s">
        <v>1130</v>
      </c>
      <c r="N3875">
        <v>23</v>
      </c>
      <c r="P3875" t="s">
        <v>41</v>
      </c>
      <c r="Q3875" t="s">
        <v>49</v>
      </c>
      <c r="R3875" t="str">
        <f>"3181010"</f>
        <v>3181010</v>
      </c>
      <c r="S3875" t="s">
        <v>1134</v>
      </c>
      <c r="T3875" t="s">
        <v>1128</v>
      </c>
      <c r="U3875" t="s">
        <v>1129</v>
      </c>
      <c r="V3875" t="s">
        <v>1130</v>
      </c>
      <c r="W3875" t="s">
        <v>165</v>
      </c>
      <c r="X3875" t="s">
        <v>45</v>
      </c>
      <c r="Y3875" s="1">
        <v>30601</v>
      </c>
      <c r="Z3875">
        <v>2</v>
      </c>
      <c r="AA3875" t="s">
        <v>1129</v>
      </c>
      <c r="AB3875" s="40" t="s">
        <v>1799</v>
      </c>
    </row>
    <row r="3876" spans="1:28" x14ac:dyDescent="0.25">
      <c r="A3876">
        <v>99913875</v>
      </c>
      <c r="B3876" t="s">
        <v>56</v>
      </c>
      <c r="C3876" t="s">
        <v>61</v>
      </c>
      <c r="D3876" t="s">
        <v>62</v>
      </c>
      <c r="G3876" t="s">
        <v>35</v>
      </c>
      <c r="H3876">
        <v>1</v>
      </c>
      <c r="I3876">
        <v>0</v>
      </c>
      <c r="J3876" s="1">
        <v>43344</v>
      </c>
      <c r="K3876" t="s">
        <v>223</v>
      </c>
      <c r="L3876" t="s">
        <v>224</v>
      </c>
      <c r="M3876" t="s">
        <v>131</v>
      </c>
      <c r="N3876">
        <v>23</v>
      </c>
      <c r="O3876" s="1">
        <v>43344</v>
      </c>
      <c r="P3876" t="s">
        <v>41</v>
      </c>
      <c r="Q3876" t="s">
        <v>42</v>
      </c>
      <c r="R3876" t="str">
        <f>"0580206"</f>
        <v>0580206</v>
      </c>
      <c r="S3876" t="s">
        <v>237</v>
      </c>
      <c r="T3876" t="s">
        <v>223</v>
      </c>
      <c r="U3876" t="s">
        <v>224</v>
      </c>
      <c r="V3876" t="s">
        <v>131</v>
      </c>
      <c r="W3876" t="s">
        <v>44</v>
      </c>
      <c r="X3876" t="s">
        <v>45</v>
      </c>
      <c r="Y3876" s="1">
        <v>30552</v>
      </c>
      <c r="Z3876">
        <v>2</v>
      </c>
      <c r="AA3876" t="s">
        <v>224</v>
      </c>
      <c r="AB3876" s="40" t="s">
        <v>1799</v>
      </c>
    </row>
    <row r="3877" spans="1:28" x14ac:dyDescent="0.25">
      <c r="A3877">
        <v>99913876</v>
      </c>
      <c r="B3877" t="s">
        <v>32</v>
      </c>
      <c r="C3877" t="s">
        <v>46</v>
      </c>
      <c r="D3877" t="s">
        <v>47</v>
      </c>
      <c r="G3877" t="s">
        <v>48</v>
      </c>
      <c r="H3877">
        <v>6</v>
      </c>
      <c r="I3877" t="s">
        <v>475</v>
      </c>
      <c r="J3877" s="1">
        <v>42248</v>
      </c>
      <c r="K3877" t="s">
        <v>431</v>
      </c>
      <c r="L3877" t="s">
        <v>196</v>
      </c>
      <c r="M3877" t="s">
        <v>131</v>
      </c>
      <c r="N3877">
        <v>23</v>
      </c>
      <c r="O3877" s="1">
        <v>42248</v>
      </c>
      <c r="P3877" t="s">
        <v>41</v>
      </c>
      <c r="Q3877" t="s">
        <v>75</v>
      </c>
      <c r="R3877" t="str">
        <f>"7521022"</f>
        <v>7521022</v>
      </c>
      <c r="S3877" t="s">
        <v>445</v>
      </c>
      <c r="T3877" t="s">
        <v>431</v>
      </c>
      <c r="U3877" t="s">
        <v>196</v>
      </c>
      <c r="V3877" t="s">
        <v>131</v>
      </c>
      <c r="W3877" t="s">
        <v>51</v>
      </c>
      <c r="X3877" t="s">
        <v>45</v>
      </c>
      <c r="Y3877" s="1">
        <v>30550</v>
      </c>
      <c r="Z3877">
        <v>1</v>
      </c>
      <c r="AA3877" t="s">
        <v>196</v>
      </c>
      <c r="AB3877" s="40" t="s">
        <v>1799</v>
      </c>
    </row>
    <row r="3878" spans="1:28" x14ac:dyDescent="0.25">
      <c r="A3878">
        <v>99913877</v>
      </c>
      <c r="B3878" t="s">
        <v>32</v>
      </c>
      <c r="C3878" t="s">
        <v>111</v>
      </c>
      <c r="D3878" t="s">
        <v>112</v>
      </c>
      <c r="G3878" t="s">
        <v>48</v>
      </c>
      <c r="H3878">
        <v>1</v>
      </c>
      <c r="K3878" t="s">
        <v>667</v>
      </c>
      <c r="L3878" t="s">
        <v>669</v>
      </c>
      <c r="M3878" t="s">
        <v>670</v>
      </c>
      <c r="N3878">
        <v>23</v>
      </c>
      <c r="P3878" t="s">
        <v>41</v>
      </c>
      <c r="Q3878" t="s">
        <v>75</v>
      </c>
      <c r="R3878" t="str">
        <f>"7501000"</f>
        <v>7501000</v>
      </c>
      <c r="S3878" t="s">
        <v>668</v>
      </c>
      <c r="T3878" t="s">
        <v>667</v>
      </c>
      <c r="U3878" t="s">
        <v>669</v>
      </c>
      <c r="V3878" t="s">
        <v>670</v>
      </c>
      <c r="W3878" t="s">
        <v>51</v>
      </c>
      <c r="X3878" t="s">
        <v>45</v>
      </c>
      <c r="Y3878" s="1">
        <v>30547</v>
      </c>
      <c r="Z3878">
        <v>1</v>
      </c>
      <c r="AA3878" t="s">
        <v>669</v>
      </c>
      <c r="AB3878" s="40" t="s">
        <v>1799</v>
      </c>
    </row>
    <row r="3879" spans="1:28" x14ac:dyDescent="0.25">
      <c r="A3879">
        <v>99913878</v>
      </c>
      <c r="B3879" t="s">
        <v>32</v>
      </c>
      <c r="C3879" t="s">
        <v>61</v>
      </c>
      <c r="D3879" t="s">
        <v>62</v>
      </c>
      <c r="G3879" t="s">
        <v>35</v>
      </c>
      <c r="H3879">
        <v>5</v>
      </c>
      <c r="K3879" t="s">
        <v>268</v>
      </c>
      <c r="L3879" t="s">
        <v>269</v>
      </c>
      <c r="M3879" t="s">
        <v>131</v>
      </c>
      <c r="N3879">
        <v>23</v>
      </c>
      <c r="P3879" t="s">
        <v>41</v>
      </c>
      <c r="Q3879" t="s">
        <v>75</v>
      </c>
      <c r="R3879" t="str">
        <f>"7052002"</f>
        <v>7052002</v>
      </c>
      <c r="S3879" t="s">
        <v>590</v>
      </c>
      <c r="T3879" t="s">
        <v>268</v>
      </c>
      <c r="U3879" t="s">
        <v>269</v>
      </c>
      <c r="V3879" t="s">
        <v>131</v>
      </c>
      <c r="W3879" t="s">
        <v>51</v>
      </c>
      <c r="X3879" t="s">
        <v>45</v>
      </c>
      <c r="Y3879" s="1">
        <v>30546</v>
      </c>
      <c r="Z3879">
        <v>1</v>
      </c>
      <c r="AA3879" t="s">
        <v>269</v>
      </c>
      <c r="AB3879" s="40" t="s">
        <v>1799</v>
      </c>
    </row>
    <row r="3880" spans="1:28" x14ac:dyDescent="0.25">
      <c r="A3880">
        <v>99913879</v>
      </c>
      <c r="B3880" t="s">
        <v>32</v>
      </c>
      <c r="C3880" t="s">
        <v>90</v>
      </c>
      <c r="D3880" t="s">
        <v>91</v>
      </c>
      <c r="G3880" t="s">
        <v>35</v>
      </c>
      <c r="H3880">
        <v>1</v>
      </c>
      <c r="I3880" t="s">
        <v>650</v>
      </c>
      <c r="J3880" s="1">
        <v>43344</v>
      </c>
      <c r="K3880" t="s">
        <v>268</v>
      </c>
      <c r="L3880" t="s">
        <v>269</v>
      </c>
      <c r="M3880" t="s">
        <v>131</v>
      </c>
      <c r="N3880">
        <v>23</v>
      </c>
      <c r="O3880" s="1">
        <v>43344</v>
      </c>
      <c r="P3880" t="s">
        <v>41</v>
      </c>
      <c r="Q3880" t="s">
        <v>95</v>
      </c>
      <c r="R3880" t="str">
        <f>"7052043"</f>
        <v>7052043</v>
      </c>
      <c r="S3880" t="s">
        <v>651</v>
      </c>
      <c r="T3880" t="s">
        <v>268</v>
      </c>
      <c r="U3880" t="s">
        <v>269</v>
      </c>
      <c r="V3880" t="s">
        <v>131</v>
      </c>
      <c r="W3880" t="s">
        <v>51</v>
      </c>
      <c r="X3880" t="s">
        <v>45</v>
      </c>
      <c r="Y3880" s="1">
        <v>30491</v>
      </c>
      <c r="Z3880">
        <v>1</v>
      </c>
      <c r="AA3880" t="s">
        <v>269</v>
      </c>
      <c r="AB3880" s="40" t="s">
        <v>1799</v>
      </c>
    </row>
    <row r="3881" spans="1:28" x14ac:dyDescent="0.25">
      <c r="A3881">
        <v>99913880</v>
      </c>
      <c r="B3881" t="s">
        <v>32</v>
      </c>
      <c r="C3881" t="s">
        <v>117</v>
      </c>
      <c r="D3881" t="s">
        <v>118</v>
      </c>
      <c r="G3881" t="s">
        <v>35</v>
      </c>
      <c r="H3881">
        <v>1</v>
      </c>
      <c r="I3881">
        <v>0</v>
      </c>
      <c r="J3881" s="1">
        <v>43344</v>
      </c>
      <c r="K3881" t="s">
        <v>223</v>
      </c>
      <c r="L3881" t="s">
        <v>224</v>
      </c>
      <c r="M3881" t="s">
        <v>131</v>
      </c>
      <c r="N3881">
        <v>23</v>
      </c>
      <c r="O3881" s="1">
        <v>43344</v>
      </c>
      <c r="P3881" t="s">
        <v>41</v>
      </c>
      <c r="Q3881" t="s">
        <v>49</v>
      </c>
      <c r="R3881" t="str">
        <f>"0509999"</f>
        <v>0509999</v>
      </c>
      <c r="S3881" t="s">
        <v>247</v>
      </c>
      <c r="T3881" t="s">
        <v>223</v>
      </c>
      <c r="U3881" t="s">
        <v>224</v>
      </c>
      <c r="V3881" t="s">
        <v>131</v>
      </c>
      <c r="W3881" t="s">
        <v>44</v>
      </c>
      <c r="X3881" t="s">
        <v>45</v>
      </c>
      <c r="Y3881" s="1">
        <v>30489</v>
      </c>
      <c r="Z3881">
        <v>2</v>
      </c>
      <c r="AA3881" t="s">
        <v>224</v>
      </c>
      <c r="AB3881" s="40" t="s">
        <v>1799</v>
      </c>
    </row>
    <row r="3882" spans="1:28" x14ac:dyDescent="0.25">
      <c r="A3882">
        <v>99913881</v>
      </c>
      <c r="B3882" t="s">
        <v>32</v>
      </c>
      <c r="C3882" t="s">
        <v>90</v>
      </c>
      <c r="D3882" t="s">
        <v>91</v>
      </c>
      <c r="G3882" t="s">
        <v>35</v>
      </c>
      <c r="H3882">
        <v>1</v>
      </c>
      <c r="I3882" t="s">
        <v>759</v>
      </c>
      <c r="J3882" s="1">
        <v>42767</v>
      </c>
      <c r="K3882" t="s">
        <v>407</v>
      </c>
      <c r="L3882" t="s">
        <v>409</v>
      </c>
      <c r="M3882" t="s">
        <v>131</v>
      </c>
      <c r="N3882">
        <v>23</v>
      </c>
      <c r="O3882" s="1">
        <v>42767</v>
      </c>
      <c r="P3882" t="s">
        <v>41</v>
      </c>
      <c r="Q3882" t="s">
        <v>95</v>
      </c>
      <c r="R3882" t="str">
        <f>"7053007"</f>
        <v>7053007</v>
      </c>
      <c r="S3882" t="s">
        <v>756</v>
      </c>
      <c r="T3882" t="s">
        <v>407</v>
      </c>
      <c r="U3882" t="s">
        <v>409</v>
      </c>
      <c r="V3882" t="s">
        <v>131</v>
      </c>
      <c r="W3882" t="s">
        <v>51</v>
      </c>
      <c r="X3882" t="s">
        <v>45</v>
      </c>
      <c r="Y3882" s="1">
        <v>30468</v>
      </c>
      <c r="Z3882">
        <v>1</v>
      </c>
      <c r="AA3882" t="s">
        <v>409</v>
      </c>
      <c r="AB3882" s="40" t="s">
        <v>1799</v>
      </c>
    </row>
    <row r="3883" spans="1:28" x14ac:dyDescent="0.25">
      <c r="A3883">
        <v>99913882</v>
      </c>
      <c r="B3883" t="s">
        <v>32</v>
      </c>
      <c r="C3883" t="s">
        <v>68</v>
      </c>
      <c r="D3883" t="s">
        <v>69</v>
      </c>
      <c r="G3883" t="s">
        <v>35</v>
      </c>
      <c r="H3883">
        <v>1</v>
      </c>
      <c r="I3883">
        <v>0</v>
      </c>
      <c r="J3883" s="1">
        <v>43344</v>
      </c>
      <c r="K3883" t="s">
        <v>223</v>
      </c>
      <c r="L3883" t="s">
        <v>224</v>
      </c>
      <c r="M3883" t="s">
        <v>131</v>
      </c>
      <c r="N3883">
        <v>23</v>
      </c>
      <c r="O3883" s="1">
        <v>43344</v>
      </c>
      <c r="P3883" t="s">
        <v>41</v>
      </c>
      <c r="Q3883" t="s">
        <v>42</v>
      </c>
      <c r="R3883" t="str">
        <f>"0580206"</f>
        <v>0580206</v>
      </c>
      <c r="S3883" t="s">
        <v>237</v>
      </c>
      <c r="T3883" t="s">
        <v>223</v>
      </c>
      <c r="U3883" t="s">
        <v>224</v>
      </c>
      <c r="V3883" t="s">
        <v>131</v>
      </c>
      <c r="W3883" t="s">
        <v>44</v>
      </c>
      <c r="X3883" t="s">
        <v>45</v>
      </c>
      <c r="Y3883" s="1">
        <v>30456</v>
      </c>
      <c r="Z3883">
        <v>2</v>
      </c>
      <c r="AA3883" t="s">
        <v>224</v>
      </c>
      <c r="AB3883" s="40" t="s">
        <v>1799</v>
      </c>
    </row>
    <row r="3884" spans="1:28" x14ac:dyDescent="0.25">
      <c r="A3884">
        <v>99913883</v>
      </c>
      <c r="B3884" t="s">
        <v>56</v>
      </c>
      <c r="C3884" t="s">
        <v>85</v>
      </c>
      <c r="D3884" t="s">
        <v>86</v>
      </c>
      <c r="G3884" t="s">
        <v>35</v>
      </c>
      <c r="H3884">
        <v>1</v>
      </c>
      <c r="I3884" t="s">
        <v>1154</v>
      </c>
      <c r="J3884" s="1">
        <v>43344</v>
      </c>
      <c r="K3884" t="s">
        <v>1128</v>
      </c>
      <c r="L3884" t="s">
        <v>1129</v>
      </c>
      <c r="M3884" t="s">
        <v>1130</v>
      </c>
      <c r="N3884">
        <v>23</v>
      </c>
      <c r="O3884" s="1">
        <v>43344</v>
      </c>
      <c r="P3884" t="s">
        <v>41</v>
      </c>
      <c r="Q3884" t="s">
        <v>49</v>
      </c>
      <c r="R3884" t="str">
        <f>"3181010"</f>
        <v>3181010</v>
      </c>
      <c r="S3884" t="s">
        <v>1134</v>
      </c>
      <c r="T3884" t="s">
        <v>1128</v>
      </c>
      <c r="U3884" t="s">
        <v>1129</v>
      </c>
      <c r="V3884" t="s">
        <v>1130</v>
      </c>
      <c r="W3884" t="s">
        <v>51</v>
      </c>
      <c r="X3884" t="s">
        <v>45</v>
      </c>
      <c r="Y3884" s="1">
        <v>30437</v>
      </c>
      <c r="Z3884">
        <v>2</v>
      </c>
      <c r="AA3884" t="s">
        <v>1129</v>
      </c>
      <c r="AB3884" s="40" t="s">
        <v>1799</v>
      </c>
    </row>
    <row r="3885" spans="1:28" x14ac:dyDescent="0.25">
      <c r="A3885">
        <v>99913884</v>
      </c>
      <c r="B3885" t="s">
        <v>32</v>
      </c>
      <c r="C3885" t="s">
        <v>139</v>
      </c>
      <c r="D3885" t="s">
        <v>140</v>
      </c>
      <c r="G3885" t="s">
        <v>35</v>
      </c>
      <c r="H3885">
        <v>1</v>
      </c>
      <c r="I3885">
        <v>22305</v>
      </c>
      <c r="J3885" s="1">
        <v>43344</v>
      </c>
      <c r="K3885" t="s">
        <v>1268</v>
      </c>
      <c r="L3885" t="s">
        <v>1269</v>
      </c>
      <c r="M3885" t="s">
        <v>1270</v>
      </c>
      <c r="N3885">
        <v>23</v>
      </c>
      <c r="O3885" s="1">
        <v>43344</v>
      </c>
      <c r="P3885" t="s">
        <v>41</v>
      </c>
      <c r="Q3885" t="s">
        <v>49</v>
      </c>
      <c r="R3885" t="str">
        <f>"1981055"</f>
        <v>1981055</v>
      </c>
      <c r="S3885" t="s">
        <v>1280</v>
      </c>
      <c r="T3885" t="s">
        <v>1268</v>
      </c>
      <c r="U3885" t="s">
        <v>1269</v>
      </c>
      <c r="V3885" t="s">
        <v>1270</v>
      </c>
      <c r="W3885" t="s">
        <v>44</v>
      </c>
      <c r="X3885" t="s">
        <v>45</v>
      </c>
      <c r="Y3885" s="1">
        <v>30435</v>
      </c>
      <c r="Z3885">
        <v>2</v>
      </c>
      <c r="AA3885" t="s">
        <v>1269</v>
      </c>
      <c r="AB3885" s="40" t="s">
        <v>1799</v>
      </c>
    </row>
    <row r="3886" spans="1:28" x14ac:dyDescent="0.25">
      <c r="A3886">
        <v>99913885</v>
      </c>
      <c r="B3886" t="s">
        <v>32</v>
      </c>
      <c r="C3886" t="s">
        <v>68</v>
      </c>
      <c r="D3886" t="s">
        <v>69</v>
      </c>
      <c r="G3886" t="s">
        <v>35</v>
      </c>
      <c r="H3886">
        <v>1</v>
      </c>
      <c r="K3886" t="s">
        <v>345</v>
      </c>
      <c r="L3886" t="s">
        <v>346</v>
      </c>
      <c r="M3886" t="s">
        <v>131</v>
      </c>
      <c r="N3886">
        <v>23</v>
      </c>
      <c r="P3886" t="s">
        <v>41</v>
      </c>
      <c r="Q3886" t="s">
        <v>42</v>
      </c>
      <c r="R3886" t="str">
        <f>"0561006"</f>
        <v>0561006</v>
      </c>
      <c r="S3886" t="s">
        <v>360</v>
      </c>
      <c r="T3886" t="s">
        <v>345</v>
      </c>
      <c r="U3886" t="s">
        <v>346</v>
      </c>
      <c r="V3886" t="s">
        <v>131</v>
      </c>
      <c r="W3886" t="s">
        <v>51</v>
      </c>
      <c r="X3886" t="s">
        <v>45</v>
      </c>
      <c r="Y3886" s="1">
        <v>30401</v>
      </c>
      <c r="Z3886">
        <v>2</v>
      </c>
      <c r="AA3886" t="s">
        <v>346</v>
      </c>
      <c r="AB3886" s="40" t="s">
        <v>1799</v>
      </c>
    </row>
    <row r="3887" spans="1:28" x14ac:dyDescent="0.25">
      <c r="A3887">
        <v>99913886</v>
      </c>
      <c r="B3887" t="s">
        <v>56</v>
      </c>
      <c r="C3887" t="s">
        <v>85</v>
      </c>
      <c r="D3887" t="s">
        <v>86</v>
      </c>
      <c r="G3887" t="s">
        <v>35</v>
      </c>
      <c r="H3887">
        <v>3</v>
      </c>
      <c r="I3887">
        <v>17125</v>
      </c>
      <c r="J3887" s="1">
        <v>43344</v>
      </c>
      <c r="K3887" t="s">
        <v>1268</v>
      </c>
      <c r="L3887" t="s">
        <v>1269</v>
      </c>
      <c r="M3887" t="s">
        <v>1270</v>
      </c>
      <c r="N3887">
        <v>23</v>
      </c>
      <c r="O3887" s="1">
        <v>43344</v>
      </c>
      <c r="P3887" t="s">
        <v>41</v>
      </c>
      <c r="Q3887" t="s">
        <v>49</v>
      </c>
      <c r="R3887" t="str">
        <f>"1981055"</f>
        <v>1981055</v>
      </c>
      <c r="S3887" t="s">
        <v>1280</v>
      </c>
      <c r="T3887" t="s">
        <v>1268</v>
      </c>
      <c r="U3887" t="s">
        <v>1269</v>
      </c>
      <c r="V3887" t="s">
        <v>1270</v>
      </c>
      <c r="W3887" t="s">
        <v>44</v>
      </c>
      <c r="X3887" t="s">
        <v>45</v>
      </c>
      <c r="Y3887" s="1">
        <v>30327</v>
      </c>
      <c r="Z3887">
        <v>2</v>
      </c>
      <c r="AA3887" t="s">
        <v>1269</v>
      </c>
      <c r="AB3887" s="40" t="s">
        <v>1799</v>
      </c>
    </row>
    <row r="3888" spans="1:28" x14ac:dyDescent="0.25">
      <c r="A3888">
        <v>99913887</v>
      </c>
      <c r="B3888" t="s">
        <v>32</v>
      </c>
      <c r="C3888" t="s">
        <v>61</v>
      </c>
      <c r="D3888" t="s">
        <v>62</v>
      </c>
      <c r="G3888" t="s">
        <v>48</v>
      </c>
      <c r="H3888">
        <v>1</v>
      </c>
      <c r="I3888" t="s">
        <v>293</v>
      </c>
      <c r="J3888" s="1">
        <v>42291</v>
      </c>
      <c r="K3888" t="s">
        <v>223</v>
      </c>
      <c r="L3888" t="s">
        <v>224</v>
      </c>
      <c r="M3888" t="s">
        <v>131</v>
      </c>
      <c r="N3888">
        <v>23</v>
      </c>
      <c r="O3888" s="1">
        <v>42292</v>
      </c>
      <c r="P3888" t="s">
        <v>41</v>
      </c>
      <c r="Q3888" t="s">
        <v>49</v>
      </c>
      <c r="R3888" t="str">
        <f>"0581206"</f>
        <v>0581206</v>
      </c>
      <c r="S3888" t="s">
        <v>232</v>
      </c>
      <c r="T3888" t="s">
        <v>223</v>
      </c>
      <c r="U3888" t="s">
        <v>224</v>
      </c>
      <c r="V3888" t="s">
        <v>131</v>
      </c>
      <c r="W3888" t="s">
        <v>51</v>
      </c>
      <c r="X3888" t="s">
        <v>45</v>
      </c>
      <c r="Y3888" s="1">
        <v>30317</v>
      </c>
      <c r="Z3888">
        <v>2</v>
      </c>
      <c r="AA3888" t="s">
        <v>224</v>
      </c>
      <c r="AB3888" s="40" t="s">
        <v>1799</v>
      </c>
    </row>
    <row r="3889" spans="1:28" x14ac:dyDescent="0.25">
      <c r="A3889">
        <v>99913888</v>
      </c>
      <c r="B3889" t="s">
        <v>32</v>
      </c>
      <c r="C3889" t="s">
        <v>68</v>
      </c>
      <c r="D3889" t="s">
        <v>69</v>
      </c>
      <c r="G3889" t="s">
        <v>35</v>
      </c>
      <c r="H3889">
        <v>1</v>
      </c>
      <c r="I3889">
        <v>13814</v>
      </c>
      <c r="J3889" s="1">
        <v>43355</v>
      </c>
      <c r="K3889" t="s">
        <v>345</v>
      </c>
      <c r="L3889" t="s">
        <v>346</v>
      </c>
      <c r="M3889" t="s">
        <v>131</v>
      </c>
      <c r="N3889">
        <v>23</v>
      </c>
      <c r="O3889" s="1">
        <v>43355</v>
      </c>
      <c r="P3889" t="s">
        <v>41</v>
      </c>
      <c r="Q3889" t="s">
        <v>49</v>
      </c>
      <c r="R3889" t="str">
        <f>"0581155"</f>
        <v>0581155</v>
      </c>
      <c r="S3889" t="s">
        <v>349</v>
      </c>
      <c r="T3889" t="s">
        <v>345</v>
      </c>
      <c r="U3889" t="s">
        <v>346</v>
      </c>
      <c r="V3889" t="s">
        <v>131</v>
      </c>
      <c r="W3889" t="s">
        <v>51</v>
      </c>
      <c r="X3889" t="s">
        <v>45</v>
      </c>
      <c r="Y3889" s="1">
        <v>30317</v>
      </c>
      <c r="Z3889">
        <v>2</v>
      </c>
      <c r="AA3889" t="s">
        <v>346</v>
      </c>
      <c r="AB3889" s="40" t="s">
        <v>1799</v>
      </c>
    </row>
    <row r="3890" spans="1:28" x14ac:dyDescent="0.25">
      <c r="A3890">
        <v>99913889</v>
      </c>
      <c r="B3890" t="s">
        <v>32</v>
      </c>
      <c r="C3890" t="s">
        <v>46</v>
      </c>
      <c r="D3890" t="s">
        <v>47</v>
      </c>
      <c r="G3890" t="s">
        <v>35</v>
      </c>
      <c r="H3890">
        <v>1</v>
      </c>
      <c r="K3890" t="s">
        <v>1128</v>
      </c>
      <c r="L3890" t="s">
        <v>1129</v>
      </c>
      <c r="M3890" t="s">
        <v>1130</v>
      </c>
      <c r="N3890">
        <v>23</v>
      </c>
      <c r="P3890" t="s">
        <v>41</v>
      </c>
      <c r="Q3890" t="s">
        <v>49</v>
      </c>
      <c r="R3890" t="str">
        <f>"3160002"</f>
        <v>3160002</v>
      </c>
      <c r="S3890" t="s">
        <v>1143</v>
      </c>
      <c r="T3890" t="s">
        <v>1128</v>
      </c>
      <c r="U3890" t="s">
        <v>1129</v>
      </c>
      <c r="V3890" t="s">
        <v>1130</v>
      </c>
      <c r="W3890" t="s">
        <v>51</v>
      </c>
      <c r="X3890" t="s">
        <v>45</v>
      </c>
      <c r="Y3890" s="1">
        <v>30317</v>
      </c>
      <c r="Z3890">
        <v>2</v>
      </c>
      <c r="AA3890" t="s">
        <v>1129</v>
      </c>
      <c r="AB3890" s="40" t="s">
        <v>1799</v>
      </c>
    </row>
    <row r="3891" spans="1:28" x14ac:dyDescent="0.25">
      <c r="A3891">
        <v>99913890</v>
      </c>
      <c r="B3891" t="s">
        <v>32</v>
      </c>
      <c r="C3891" t="s">
        <v>597</v>
      </c>
      <c r="D3891" t="s">
        <v>598</v>
      </c>
      <c r="G3891" t="s">
        <v>35</v>
      </c>
      <c r="H3891">
        <v>8</v>
      </c>
      <c r="K3891" t="s">
        <v>1221</v>
      </c>
      <c r="L3891" t="s">
        <v>1222</v>
      </c>
      <c r="M3891" t="s">
        <v>1130</v>
      </c>
      <c r="N3891">
        <v>23</v>
      </c>
      <c r="P3891" t="s">
        <v>41</v>
      </c>
      <c r="Q3891" t="s">
        <v>75</v>
      </c>
      <c r="R3891" t="str">
        <f>"7351000"</f>
        <v>7351000</v>
      </c>
      <c r="S3891" t="s">
        <v>1223</v>
      </c>
      <c r="T3891" t="s">
        <v>1221</v>
      </c>
      <c r="U3891" t="s">
        <v>1222</v>
      </c>
      <c r="V3891" t="s">
        <v>1130</v>
      </c>
      <c r="W3891" t="s">
        <v>51</v>
      </c>
      <c r="X3891" t="s">
        <v>45</v>
      </c>
      <c r="Y3891" s="1">
        <v>30317</v>
      </c>
      <c r="Z3891">
        <v>1</v>
      </c>
      <c r="AA3891" t="s">
        <v>1222</v>
      </c>
      <c r="AB3891" s="40" t="s">
        <v>1799</v>
      </c>
    </row>
    <row r="3892" spans="1:28" x14ac:dyDescent="0.25">
      <c r="A3892">
        <v>99913891</v>
      </c>
      <c r="B3892" t="s">
        <v>32</v>
      </c>
      <c r="C3892" t="s">
        <v>111</v>
      </c>
      <c r="D3892" t="s">
        <v>112</v>
      </c>
      <c r="G3892" t="s">
        <v>48</v>
      </c>
      <c r="H3892">
        <v>1</v>
      </c>
      <c r="K3892" t="s">
        <v>268</v>
      </c>
      <c r="L3892" t="s">
        <v>269</v>
      </c>
      <c r="M3892" t="s">
        <v>131</v>
      </c>
      <c r="N3892">
        <v>23</v>
      </c>
      <c r="P3892" t="s">
        <v>41</v>
      </c>
      <c r="Q3892" t="s">
        <v>75</v>
      </c>
      <c r="R3892" t="str">
        <f>"7052044"</f>
        <v>7052044</v>
      </c>
      <c r="S3892" t="s">
        <v>589</v>
      </c>
      <c r="T3892" t="s">
        <v>268</v>
      </c>
      <c r="U3892" t="s">
        <v>269</v>
      </c>
      <c r="V3892" t="s">
        <v>131</v>
      </c>
      <c r="W3892" t="s">
        <v>51</v>
      </c>
      <c r="X3892" t="s">
        <v>45</v>
      </c>
      <c r="Y3892" s="1">
        <v>30254</v>
      </c>
      <c r="Z3892">
        <v>1</v>
      </c>
      <c r="AA3892" t="s">
        <v>269</v>
      </c>
      <c r="AB3892" s="40" t="s">
        <v>1799</v>
      </c>
    </row>
    <row r="3893" spans="1:28" x14ac:dyDescent="0.25">
      <c r="A3893">
        <v>99913892</v>
      </c>
      <c r="B3893" t="s">
        <v>32</v>
      </c>
      <c r="C3893" t="s">
        <v>46</v>
      </c>
      <c r="D3893" t="s">
        <v>47</v>
      </c>
      <c r="G3893" t="s">
        <v>48</v>
      </c>
      <c r="H3893">
        <v>1</v>
      </c>
      <c r="K3893" t="s">
        <v>380</v>
      </c>
      <c r="L3893" t="s">
        <v>381</v>
      </c>
      <c r="M3893" t="s">
        <v>131</v>
      </c>
      <c r="N3893">
        <v>23</v>
      </c>
      <c r="P3893" t="s">
        <v>41</v>
      </c>
      <c r="Q3893" t="s">
        <v>49</v>
      </c>
      <c r="R3893" t="str">
        <f>"0560028"</f>
        <v>0560028</v>
      </c>
      <c r="S3893" t="s">
        <v>384</v>
      </c>
      <c r="T3893" t="s">
        <v>380</v>
      </c>
      <c r="U3893" t="s">
        <v>381</v>
      </c>
      <c r="V3893" t="s">
        <v>131</v>
      </c>
      <c r="W3893" t="s">
        <v>51</v>
      </c>
      <c r="X3893" t="s">
        <v>45</v>
      </c>
      <c r="Y3893" s="1">
        <v>30243</v>
      </c>
      <c r="Z3893">
        <v>2</v>
      </c>
      <c r="AA3893" t="s">
        <v>381</v>
      </c>
      <c r="AB3893" s="40" t="s">
        <v>1799</v>
      </c>
    </row>
    <row r="3894" spans="1:28" x14ac:dyDescent="0.25">
      <c r="A3894">
        <v>99913893</v>
      </c>
      <c r="B3894" t="s">
        <v>32</v>
      </c>
      <c r="C3894" t="s">
        <v>82</v>
      </c>
      <c r="D3894" t="s">
        <v>83</v>
      </c>
      <c r="G3894" t="s">
        <v>35</v>
      </c>
      <c r="H3894">
        <v>1</v>
      </c>
      <c r="I3894">
        <v>0</v>
      </c>
      <c r="J3894" s="1">
        <v>43344</v>
      </c>
      <c r="K3894" t="s">
        <v>223</v>
      </c>
      <c r="L3894" t="s">
        <v>224</v>
      </c>
      <c r="M3894" t="s">
        <v>131</v>
      </c>
      <c r="N3894">
        <v>23</v>
      </c>
      <c r="O3894" s="1">
        <v>43344</v>
      </c>
      <c r="P3894" t="s">
        <v>41</v>
      </c>
      <c r="Q3894" t="s">
        <v>49</v>
      </c>
      <c r="R3894" t="str">
        <f>"0561022"</f>
        <v>0561022</v>
      </c>
      <c r="S3894" t="s">
        <v>225</v>
      </c>
      <c r="T3894" t="s">
        <v>223</v>
      </c>
      <c r="U3894" t="s">
        <v>224</v>
      </c>
      <c r="V3894" t="s">
        <v>131</v>
      </c>
      <c r="W3894" t="s">
        <v>44</v>
      </c>
      <c r="X3894" t="s">
        <v>45</v>
      </c>
      <c r="Y3894" s="1">
        <v>30235</v>
      </c>
      <c r="Z3894">
        <v>2</v>
      </c>
      <c r="AA3894" t="s">
        <v>224</v>
      </c>
      <c r="AB3894" s="40" t="s">
        <v>1799</v>
      </c>
    </row>
    <row r="3895" spans="1:28" x14ac:dyDescent="0.25">
      <c r="A3895">
        <v>99913894</v>
      </c>
      <c r="B3895" t="s">
        <v>32</v>
      </c>
      <c r="C3895" t="s">
        <v>111</v>
      </c>
      <c r="D3895" t="s">
        <v>112</v>
      </c>
      <c r="G3895" t="s">
        <v>48</v>
      </c>
      <c r="H3895">
        <v>6</v>
      </c>
      <c r="I3895" t="s">
        <v>442</v>
      </c>
      <c r="J3895" s="1">
        <v>40422</v>
      </c>
      <c r="K3895" t="s">
        <v>195</v>
      </c>
      <c r="L3895" t="s">
        <v>196</v>
      </c>
      <c r="M3895" t="s">
        <v>131</v>
      </c>
      <c r="N3895">
        <v>23</v>
      </c>
      <c r="O3895" s="1">
        <v>40422</v>
      </c>
      <c r="P3895" t="s">
        <v>41</v>
      </c>
      <c r="Q3895" t="s">
        <v>75</v>
      </c>
      <c r="R3895" t="str">
        <f>"7521050"</f>
        <v>7521050</v>
      </c>
      <c r="S3895" t="s">
        <v>194</v>
      </c>
      <c r="T3895" t="s">
        <v>195</v>
      </c>
      <c r="U3895" t="s">
        <v>196</v>
      </c>
      <c r="V3895" t="s">
        <v>131</v>
      </c>
      <c r="W3895" t="s">
        <v>51</v>
      </c>
      <c r="X3895" t="s">
        <v>45</v>
      </c>
      <c r="Y3895" s="1">
        <v>30214</v>
      </c>
      <c r="Z3895">
        <v>1</v>
      </c>
      <c r="AA3895" t="s">
        <v>196</v>
      </c>
      <c r="AB3895" s="40" t="s">
        <v>1799</v>
      </c>
    </row>
    <row r="3896" spans="1:28" x14ac:dyDescent="0.25">
      <c r="A3896">
        <v>99913895</v>
      </c>
      <c r="B3896" t="s">
        <v>32</v>
      </c>
      <c r="C3896" t="s">
        <v>111</v>
      </c>
      <c r="D3896" t="s">
        <v>112</v>
      </c>
      <c r="G3896" t="s">
        <v>35</v>
      </c>
      <c r="H3896">
        <v>1</v>
      </c>
      <c r="K3896" t="s">
        <v>154</v>
      </c>
      <c r="L3896" t="s">
        <v>155</v>
      </c>
      <c r="M3896" t="s">
        <v>131</v>
      </c>
      <c r="N3896">
        <v>23</v>
      </c>
      <c r="P3896" t="s">
        <v>41</v>
      </c>
      <c r="Q3896" t="s">
        <v>75</v>
      </c>
      <c r="R3896" t="str">
        <f>"7051014"</f>
        <v>7051014</v>
      </c>
      <c r="S3896" t="s">
        <v>398</v>
      </c>
      <c r="T3896" t="s">
        <v>154</v>
      </c>
      <c r="U3896" t="s">
        <v>155</v>
      </c>
      <c r="V3896" t="s">
        <v>131</v>
      </c>
      <c r="W3896" t="s">
        <v>165</v>
      </c>
      <c r="X3896" t="s">
        <v>45</v>
      </c>
      <c r="Y3896" s="1">
        <v>30182</v>
      </c>
      <c r="Z3896">
        <v>1</v>
      </c>
      <c r="AA3896" t="s">
        <v>155</v>
      </c>
      <c r="AB3896" s="40" t="s">
        <v>1799</v>
      </c>
    </row>
    <row r="3897" spans="1:28" x14ac:dyDescent="0.25">
      <c r="A3897">
        <v>99913896</v>
      </c>
      <c r="B3897" t="s">
        <v>56</v>
      </c>
      <c r="C3897" t="s">
        <v>111</v>
      </c>
      <c r="D3897" t="s">
        <v>112</v>
      </c>
      <c r="G3897" t="s">
        <v>48</v>
      </c>
      <c r="H3897">
        <v>7</v>
      </c>
      <c r="K3897" t="s">
        <v>1426</v>
      </c>
      <c r="L3897" t="s">
        <v>1427</v>
      </c>
      <c r="M3897" t="s">
        <v>1270</v>
      </c>
      <c r="N3897">
        <v>23</v>
      </c>
      <c r="P3897" t="s">
        <v>41</v>
      </c>
      <c r="Q3897" t="s">
        <v>75</v>
      </c>
      <c r="R3897" t="str">
        <f>"7192000"</f>
        <v>7192000</v>
      </c>
      <c r="S3897" t="s">
        <v>1429</v>
      </c>
      <c r="T3897" t="s">
        <v>1426</v>
      </c>
      <c r="U3897" t="s">
        <v>1427</v>
      </c>
      <c r="V3897" t="s">
        <v>1270</v>
      </c>
      <c r="W3897" t="s">
        <v>51</v>
      </c>
      <c r="X3897" t="s">
        <v>45</v>
      </c>
      <c r="Y3897" s="1">
        <v>30100</v>
      </c>
      <c r="Z3897">
        <v>1</v>
      </c>
      <c r="AA3897" t="s">
        <v>1427</v>
      </c>
      <c r="AB3897" s="40" t="s">
        <v>1799</v>
      </c>
    </row>
    <row r="3898" spans="1:28" x14ac:dyDescent="0.25">
      <c r="A3898">
        <v>99913897</v>
      </c>
      <c r="B3898" t="s">
        <v>32</v>
      </c>
      <c r="C3898" t="s">
        <v>90</v>
      </c>
      <c r="D3898" t="s">
        <v>91</v>
      </c>
      <c r="G3898" t="s">
        <v>35</v>
      </c>
      <c r="H3898">
        <v>1</v>
      </c>
      <c r="K3898" t="s">
        <v>431</v>
      </c>
      <c r="L3898" t="s">
        <v>196</v>
      </c>
      <c r="M3898" t="s">
        <v>131</v>
      </c>
      <c r="N3898">
        <v>23</v>
      </c>
      <c r="P3898" t="s">
        <v>41</v>
      </c>
      <c r="Q3898" t="s">
        <v>75</v>
      </c>
      <c r="R3898" t="str">
        <f>"7521032"</f>
        <v>7521032</v>
      </c>
      <c r="S3898" t="s">
        <v>462</v>
      </c>
      <c r="T3898" t="s">
        <v>431</v>
      </c>
      <c r="U3898" t="s">
        <v>196</v>
      </c>
      <c r="V3898" t="s">
        <v>131</v>
      </c>
      <c r="W3898" t="s">
        <v>51</v>
      </c>
      <c r="X3898" t="s">
        <v>45</v>
      </c>
      <c r="Y3898" s="1">
        <v>30093</v>
      </c>
      <c r="Z3898">
        <v>1</v>
      </c>
      <c r="AA3898" t="s">
        <v>196</v>
      </c>
      <c r="AB3898" s="40" t="s">
        <v>1799</v>
      </c>
    </row>
    <row r="3899" spans="1:28" x14ac:dyDescent="0.25">
      <c r="A3899">
        <v>99913898</v>
      </c>
      <c r="B3899" t="s">
        <v>32</v>
      </c>
      <c r="C3899" t="s">
        <v>46</v>
      </c>
      <c r="D3899" t="s">
        <v>47</v>
      </c>
      <c r="G3899" t="s">
        <v>48</v>
      </c>
      <c r="H3899">
        <v>1</v>
      </c>
      <c r="K3899" t="s">
        <v>380</v>
      </c>
      <c r="L3899" t="s">
        <v>381</v>
      </c>
      <c r="M3899" t="s">
        <v>131</v>
      </c>
      <c r="N3899">
        <v>23</v>
      </c>
      <c r="P3899" t="s">
        <v>41</v>
      </c>
      <c r="Q3899" t="s">
        <v>49</v>
      </c>
      <c r="R3899" t="str">
        <f>"0560028"</f>
        <v>0560028</v>
      </c>
      <c r="S3899" t="s">
        <v>384</v>
      </c>
      <c r="T3899" t="s">
        <v>380</v>
      </c>
      <c r="U3899" t="s">
        <v>381</v>
      </c>
      <c r="V3899" t="s">
        <v>131</v>
      </c>
      <c r="W3899" t="s">
        <v>51</v>
      </c>
      <c r="X3899" t="s">
        <v>45</v>
      </c>
      <c r="Y3899" s="1">
        <v>30090</v>
      </c>
      <c r="Z3899">
        <v>2</v>
      </c>
      <c r="AA3899" t="s">
        <v>381</v>
      </c>
      <c r="AB3899" s="40" t="s">
        <v>1799</v>
      </c>
    </row>
    <row r="3900" spans="1:28" x14ac:dyDescent="0.25">
      <c r="A3900">
        <v>99913899</v>
      </c>
      <c r="B3900" t="s">
        <v>32</v>
      </c>
      <c r="C3900" t="s">
        <v>46</v>
      </c>
      <c r="D3900" t="s">
        <v>47</v>
      </c>
      <c r="G3900" t="s">
        <v>35</v>
      </c>
      <c r="H3900">
        <v>4</v>
      </c>
      <c r="I3900" t="s">
        <v>1300</v>
      </c>
      <c r="J3900" s="1">
        <v>43344</v>
      </c>
      <c r="K3900" t="s">
        <v>1268</v>
      </c>
      <c r="L3900" t="s">
        <v>1269</v>
      </c>
      <c r="M3900" t="s">
        <v>1270</v>
      </c>
      <c r="N3900">
        <v>23</v>
      </c>
      <c r="O3900" s="1">
        <v>43344</v>
      </c>
      <c r="P3900" t="s">
        <v>41</v>
      </c>
      <c r="Q3900" t="s">
        <v>49</v>
      </c>
      <c r="R3900" t="str">
        <f>"1981055"</f>
        <v>1981055</v>
      </c>
      <c r="S3900" t="s">
        <v>1280</v>
      </c>
      <c r="T3900" t="s">
        <v>1268</v>
      </c>
      <c r="U3900" t="s">
        <v>1269</v>
      </c>
      <c r="V3900" t="s">
        <v>1270</v>
      </c>
      <c r="W3900" t="s">
        <v>44</v>
      </c>
      <c r="X3900" t="s">
        <v>45</v>
      </c>
      <c r="Y3900" s="1">
        <v>30086</v>
      </c>
      <c r="Z3900">
        <v>2</v>
      </c>
      <c r="AA3900" t="s">
        <v>1269</v>
      </c>
      <c r="AB3900" s="40" t="s">
        <v>1799</v>
      </c>
    </row>
    <row r="3901" spans="1:28" x14ac:dyDescent="0.25">
      <c r="A3901">
        <v>99913900</v>
      </c>
      <c r="B3901" t="s">
        <v>32</v>
      </c>
      <c r="C3901" t="s">
        <v>111</v>
      </c>
      <c r="D3901" t="s">
        <v>112</v>
      </c>
      <c r="G3901" t="s">
        <v>48</v>
      </c>
      <c r="H3901">
        <v>8</v>
      </c>
      <c r="K3901" t="s">
        <v>195</v>
      </c>
      <c r="L3901" t="s">
        <v>196</v>
      </c>
      <c r="M3901" t="s">
        <v>131</v>
      </c>
      <c r="N3901">
        <v>23</v>
      </c>
      <c r="O3901" s="1">
        <v>40422</v>
      </c>
      <c r="P3901" t="s">
        <v>41</v>
      </c>
      <c r="Q3901" t="s">
        <v>75</v>
      </c>
      <c r="R3901" t="str">
        <f>"7521044"</f>
        <v>7521044</v>
      </c>
      <c r="S3901" t="s">
        <v>453</v>
      </c>
      <c r="T3901" t="s">
        <v>195</v>
      </c>
      <c r="U3901" t="s">
        <v>196</v>
      </c>
      <c r="V3901" t="s">
        <v>131</v>
      </c>
      <c r="W3901" t="s">
        <v>165</v>
      </c>
      <c r="X3901" t="s">
        <v>45</v>
      </c>
      <c r="Y3901" s="1">
        <v>30085</v>
      </c>
      <c r="Z3901">
        <v>1</v>
      </c>
      <c r="AA3901" t="s">
        <v>196</v>
      </c>
      <c r="AB3901" s="40" t="s">
        <v>1799</v>
      </c>
    </row>
    <row r="3902" spans="1:28" x14ac:dyDescent="0.25">
      <c r="A3902">
        <v>99913901</v>
      </c>
      <c r="B3902" t="s">
        <v>32</v>
      </c>
      <c r="C3902" t="s">
        <v>111</v>
      </c>
      <c r="D3902" t="s">
        <v>112</v>
      </c>
      <c r="G3902" t="s">
        <v>48</v>
      </c>
      <c r="H3902">
        <v>6</v>
      </c>
      <c r="I3902" t="s">
        <v>474</v>
      </c>
      <c r="J3902" s="1">
        <v>40422</v>
      </c>
      <c r="K3902" t="s">
        <v>431</v>
      </c>
      <c r="L3902" t="s">
        <v>196</v>
      </c>
      <c r="M3902" t="s">
        <v>131</v>
      </c>
      <c r="N3902">
        <v>23</v>
      </c>
      <c r="O3902" s="1">
        <v>40422</v>
      </c>
      <c r="P3902" t="s">
        <v>41</v>
      </c>
      <c r="Q3902" t="s">
        <v>75</v>
      </c>
      <c r="R3902" t="str">
        <f>"7521012"</f>
        <v>7521012</v>
      </c>
      <c r="S3902" t="s">
        <v>432</v>
      </c>
      <c r="T3902" t="s">
        <v>431</v>
      </c>
      <c r="U3902" t="s">
        <v>196</v>
      </c>
      <c r="V3902" t="s">
        <v>131</v>
      </c>
      <c r="W3902" t="s">
        <v>165</v>
      </c>
      <c r="X3902" t="s">
        <v>45</v>
      </c>
      <c r="Y3902" s="1">
        <v>30074</v>
      </c>
      <c r="Z3902">
        <v>1</v>
      </c>
      <c r="AA3902" t="s">
        <v>196</v>
      </c>
      <c r="AB3902" s="40" t="s">
        <v>1799</v>
      </c>
    </row>
    <row r="3903" spans="1:28" x14ac:dyDescent="0.25">
      <c r="A3903">
        <v>99913902</v>
      </c>
      <c r="B3903" t="s">
        <v>32</v>
      </c>
      <c r="C3903" t="s">
        <v>64</v>
      </c>
      <c r="D3903" t="s">
        <v>65</v>
      </c>
      <c r="G3903" t="s">
        <v>35</v>
      </c>
      <c r="H3903">
        <v>1</v>
      </c>
      <c r="K3903" t="s">
        <v>1268</v>
      </c>
      <c r="L3903" t="s">
        <v>1269</v>
      </c>
      <c r="M3903" t="s">
        <v>1270</v>
      </c>
      <c r="N3903">
        <v>23</v>
      </c>
      <c r="P3903" t="s">
        <v>41</v>
      </c>
      <c r="Q3903" t="s">
        <v>42</v>
      </c>
      <c r="R3903" t="str">
        <f>"1990910"</f>
        <v>1990910</v>
      </c>
      <c r="S3903" t="s">
        <v>1281</v>
      </c>
      <c r="T3903" t="s">
        <v>1268</v>
      </c>
      <c r="U3903" t="s">
        <v>1269</v>
      </c>
      <c r="V3903" t="s">
        <v>1270</v>
      </c>
      <c r="W3903" t="s">
        <v>165</v>
      </c>
      <c r="X3903" t="s">
        <v>45</v>
      </c>
      <c r="Y3903" s="1">
        <v>30047</v>
      </c>
      <c r="Z3903">
        <v>2</v>
      </c>
      <c r="AA3903" t="s">
        <v>1269</v>
      </c>
      <c r="AB3903" s="40" t="s">
        <v>1799</v>
      </c>
    </row>
    <row r="3904" spans="1:28" x14ac:dyDescent="0.25">
      <c r="A3904">
        <v>99913903</v>
      </c>
      <c r="B3904" t="s">
        <v>56</v>
      </c>
      <c r="C3904" t="s">
        <v>111</v>
      </c>
      <c r="D3904" t="s">
        <v>112</v>
      </c>
      <c r="G3904" t="s">
        <v>48</v>
      </c>
      <c r="H3904">
        <v>6</v>
      </c>
      <c r="I3904" t="s">
        <v>434</v>
      </c>
      <c r="J3904" s="1">
        <v>40422</v>
      </c>
      <c r="K3904" t="s">
        <v>195</v>
      </c>
      <c r="L3904" t="s">
        <v>196</v>
      </c>
      <c r="M3904" t="s">
        <v>131</v>
      </c>
      <c r="N3904">
        <v>23</v>
      </c>
      <c r="O3904" s="1">
        <v>40422</v>
      </c>
      <c r="P3904" t="s">
        <v>41</v>
      </c>
      <c r="Q3904" t="s">
        <v>75</v>
      </c>
      <c r="R3904" t="str">
        <f>"7521050"</f>
        <v>7521050</v>
      </c>
      <c r="S3904" t="s">
        <v>194</v>
      </c>
      <c r="T3904" t="s">
        <v>195</v>
      </c>
      <c r="U3904" t="s">
        <v>196</v>
      </c>
      <c r="V3904" t="s">
        <v>131</v>
      </c>
      <c r="W3904" t="s">
        <v>51</v>
      </c>
      <c r="X3904" t="s">
        <v>45</v>
      </c>
      <c r="Y3904" s="1">
        <v>30028</v>
      </c>
      <c r="Z3904">
        <v>1</v>
      </c>
      <c r="AA3904" t="s">
        <v>196</v>
      </c>
      <c r="AB3904" s="40" t="s">
        <v>1799</v>
      </c>
    </row>
    <row r="3905" spans="1:28" x14ac:dyDescent="0.25">
      <c r="A3905">
        <v>99913904</v>
      </c>
      <c r="B3905" t="s">
        <v>32</v>
      </c>
      <c r="C3905" t="s">
        <v>111</v>
      </c>
      <c r="D3905" t="s">
        <v>112</v>
      </c>
      <c r="G3905" t="s">
        <v>48</v>
      </c>
      <c r="H3905">
        <v>8</v>
      </c>
      <c r="K3905" t="s">
        <v>195</v>
      </c>
      <c r="L3905" t="s">
        <v>196</v>
      </c>
      <c r="M3905" t="s">
        <v>131</v>
      </c>
      <c r="N3905">
        <v>23</v>
      </c>
      <c r="O3905" s="1">
        <v>40529</v>
      </c>
      <c r="P3905" t="s">
        <v>41</v>
      </c>
      <c r="Q3905" t="s">
        <v>75</v>
      </c>
      <c r="R3905" t="str">
        <f>"7521044"</f>
        <v>7521044</v>
      </c>
      <c r="S3905" t="s">
        <v>453</v>
      </c>
      <c r="T3905" t="s">
        <v>195</v>
      </c>
      <c r="U3905" t="s">
        <v>196</v>
      </c>
      <c r="V3905" t="s">
        <v>131</v>
      </c>
      <c r="W3905" t="s">
        <v>165</v>
      </c>
      <c r="X3905" t="s">
        <v>45</v>
      </c>
      <c r="Y3905" s="1">
        <v>29973</v>
      </c>
      <c r="Z3905">
        <v>1</v>
      </c>
      <c r="AA3905" t="s">
        <v>196</v>
      </c>
      <c r="AB3905" s="40" t="s">
        <v>1799</v>
      </c>
    </row>
    <row r="3906" spans="1:28" x14ac:dyDescent="0.25">
      <c r="A3906">
        <v>99913905</v>
      </c>
      <c r="B3906" t="s">
        <v>32</v>
      </c>
      <c r="C3906" t="s">
        <v>68</v>
      </c>
      <c r="D3906" t="s">
        <v>69</v>
      </c>
      <c r="G3906" t="s">
        <v>35</v>
      </c>
      <c r="H3906">
        <v>1</v>
      </c>
      <c r="I3906">
        <v>0</v>
      </c>
      <c r="J3906" s="1">
        <v>43344</v>
      </c>
      <c r="K3906" t="s">
        <v>223</v>
      </c>
      <c r="L3906" t="s">
        <v>224</v>
      </c>
      <c r="M3906" t="s">
        <v>131</v>
      </c>
      <c r="N3906">
        <v>23</v>
      </c>
      <c r="O3906" s="1">
        <v>43344</v>
      </c>
      <c r="P3906" t="s">
        <v>41</v>
      </c>
      <c r="Q3906" t="s">
        <v>49</v>
      </c>
      <c r="R3906" t="str">
        <f>"0560016"</f>
        <v>0560016</v>
      </c>
      <c r="S3906" t="s">
        <v>254</v>
      </c>
      <c r="T3906" t="s">
        <v>223</v>
      </c>
      <c r="U3906" t="s">
        <v>224</v>
      </c>
      <c r="V3906" t="s">
        <v>131</v>
      </c>
      <c r="W3906" t="s">
        <v>51</v>
      </c>
      <c r="X3906" t="s">
        <v>45</v>
      </c>
      <c r="Y3906" s="1">
        <v>29952</v>
      </c>
      <c r="Z3906">
        <v>2</v>
      </c>
      <c r="AA3906" t="s">
        <v>224</v>
      </c>
      <c r="AB3906" s="40" t="s">
        <v>1799</v>
      </c>
    </row>
    <row r="3907" spans="1:28" x14ac:dyDescent="0.25">
      <c r="A3907">
        <v>99913906</v>
      </c>
      <c r="B3907" t="s">
        <v>32</v>
      </c>
      <c r="C3907" t="s">
        <v>46</v>
      </c>
      <c r="D3907" t="s">
        <v>47</v>
      </c>
      <c r="G3907" t="s">
        <v>35</v>
      </c>
      <c r="H3907">
        <v>1</v>
      </c>
      <c r="I3907">
        <v>14427</v>
      </c>
      <c r="J3907" s="1">
        <v>43368</v>
      </c>
      <c r="K3907" t="s">
        <v>345</v>
      </c>
      <c r="L3907" t="s">
        <v>346</v>
      </c>
      <c r="M3907" t="s">
        <v>131</v>
      </c>
      <c r="N3907">
        <v>23</v>
      </c>
      <c r="O3907" s="1">
        <v>43368</v>
      </c>
      <c r="P3907" t="s">
        <v>41</v>
      </c>
      <c r="Q3907" t="s">
        <v>49</v>
      </c>
      <c r="R3907" t="str">
        <f>"0591906"</f>
        <v>0591906</v>
      </c>
      <c r="S3907" t="s">
        <v>350</v>
      </c>
      <c r="T3907" t="s">
        <v>345</v>
      </c>
      <c r="U3907" t="s">
        <v>346</v>
      </c>
      <c r="V3907" t="s">
        <v>131</v>
      </c>
      <c r="W3907" t="s">
        <v>55</v>
      </c>
      <c r="X3907" t="s">
        <v>45</v>
      </c>
      <c r="Y3907" s="1">
        <v>29952</v>
      </c>
      <c r="Z3907">
        <v>2</v>
      </c>
      <c r="AA3907" t="s">
        <v>346</v>
      </c>
      <c r="AB3907" s="40" t="s">
        <v>1799</v>
      </c>
    </row>
    <row r="3908" spans="1:28" x14ac:dyDescent="0.25">
      <c r="A3908">
        <v>99913907</v>
      </c>
      <c r="B3908" t="s">
        <v>56</v>
      </c>
      <c r="C3908" t="s">
        <v>52</v>
      </c>
      <c r="D3908" t="s">
        <v>53</v>
      </c>
      <c r="G3908" t="s">
        <v>48</v>
      </c>
      <c r="H3908">
        <v>1</v>
      </c>
      <c r="K3908" t="s">
        <v>936</v>
      </c>
      <c r="L3908" t="s">
        <v>937</v>
      </c>
      <c r="M3908" t="s">
        <v>938</v>
      </c>
      <c r="N3908">
        <v>23</v>
      </c>
      <c r="P3908" t="s">
        <v>41</v>
      </c>
      <c r="Q3908" t="s">
        <v>49</v>
      </c>
      <c r="R3908" t="str">
        <f>"0160075"</f>
        <v>0160075</v>
      </c>
      <c r="S3908" t="s">
        <v>939</v>
      </c>
      <c r="T3908" t="s">
        <v>936</v>
      </c>
      <c r="U3908" t="s">
        <v>937</v>
      </c>
      <c r="V3908" t="s">
        <v>938</v>
      </c>
      <c r="W3908" t="s">
        <v>51</v>
      </c>
      <c r="X3908" t="s">
        <v>45</v>
      </c>
      <c r="Y3908" s="1">
        <v>29952</v>
      </c>
      <c r="Z3908">
        <v>2</v>
      </c>
      <c r="AA3908" t="s">
        <v>937</v>
      </c>
      <c r="AB3908" s="40" t="s">
        <v>1799</v>
      </c>
    </row>
    <row r="3909" spans="1:28" x14ac:dyDescent="0.25">
      <c r="A3909">
        <v>99913908</v>
      </c>
      <c r="B3909" t="s">
        <v>32</v>
      </c>
      <c r="C3909" t="s">
        <v>71</v>
      </c>
      <c r="D3909" t="s">
        <v>72</v>
      </c>
      <c r="G3909" t="s">
        <v>48</v>
      </c>
      <c r="H3909">
        <v>2</v>
      </c>
      <c r="K3909" t="s">
        <v>1268</v>
      </c>
      <c r="L3909" t="s">
        <v>1269</v>
      </c>
      <c r="M3909" t="s">
        <v>1270</v>
      </c>
      <c r="N3909">
        <v>23</v>
      </c>
      <c r="P3909" t="s">
        <v>41</v>
      </c>
      <c r="Q3909" t="s">
        <v>49</v>
      </c>
      <c r="R3909" t="str">
        <f>"1960001"</f>
        <v>1960001</v>
      </c>
      <c r="S3909" t="s">
        <v>1272</v>
      </c>
      <c r="T3909" t="s">
        <v>1268</v>
      </c>
      <c r="U3909" t="s">
        <v>1269</v>
      </c>
      <c r="V3909" t="s">
        <v>1270</v>
      </c>
      <c r="W3909" t="s">
        <v>51</v>
      </c>
      <c r="X3909" t="s">
        <v>45</v>
      </c>
      <c r="Y3909" s="1">
        <v>29952</v>
      </c>
      <c r="Z3909">
        <v>2</v>
      </c>
      <c r="AA3909" t="s">
        <v>1269</v>
      </c>
      <c r="AB3909" s="40" t="s">
        <v>1799</v>
      </c>
    </row>
    <row r="3910" spans="1:28" x14ac:dyDescent="0.25">
      <c r="A3910">
        <v>99913909</v>
      </c>
      <c r="B3910" t="s">
        <v>32</v>
      </c>
      <c r="C3910" t="s">
        <v>111</v>
      </c>
      <c r="D3910" t="s">
        <v>112</v>
      </c>
      <c r="G3910" t="s">
        <v>48</v>
      </c>
      <c r="H3910">
        <v>1</v>
      </c>
      <c r="K3910" t="s">
        <v>1564</v>
      </c>
      <c r="L3910" t="s">
        <v>1565</v>
      </c>
      <c r="M3910" t="s">
        <v>1548</v>
      </c>
      <c r="N3910">
        <v>23</v>
      </c>
      <c r="P3910" t="s">
        <v>41</v>
      </c>
      <c r="Q3910" t="s">
        <v>75</v>
      </c>
      <c r="R3910" t="str">
        <f>"7101002"</f>
        <v>7101002</v>
      </c>
      <c r="S3910" t="s">
        <v>1563</v>
      </c>
      <c r="T3910" t="s">
        <v>1564</v>
      </c>
      <c r="U3910" t="s">
        <v>1565</v>
      </c>
      <c r="V3910" t="s">
        <v>1548</v>
      </c>
      <c r="W3910" t="s">
        <v>51</v>
      </c>
      <c r="X3910" t="s">
        <v>45</v>
      </c>
      <c r="Y3910" s="1">
        <v>29952</v>
      </c>
      <c r="Z3910">
        <v>1</v>
      </c>
      <c r="AA3910" t="s">
        <v>1565</v>
      </c>
      <c r="AB3910" s="40" t="s">
        <v>1799</v>
      </c>
    </row>
    <row r="3911" spans="1:28" x14ac:dyDescent="0.25">
      <c r="A3911">
        <v>99913910</v>
      </c>
      <c r="B3911" t="s">
        <v>32</v>
      </c>
      <c r="C3911" t="s">
        <v>111</v>
      </c>
      <c r="D3911" t="s">
        <v>112</v>
      </c>
      <c r="G3911" t="s">
        <v>35</v>
      </c>
      <c r="H3911">
        <v>6</v>
      </c>
      <c r="K3911" t="s">
        <v>268</v>
      </c>
      <c r="L3911" t="s">
        <v>269</v>
      </c>
      <c r="M3911" t="s">
        <v>131</v>
      </c>
      <c r="N3911">
        <v>23</v>
      </c>
      <c r="P3911" t="s">
        <v>41</v>
      </c>
      <c r="Q3911" t="s">
        <v>75</v>
      </c>
      <c r="R3911" t="str">
        <f>"7052006"</f>
        <v>7052006</v>
      </c>
      <c r="S3911" t="s">
        <v>575</v>
      </c>
      <c r="T3911" t="s">
        <v>268</v>
      </c>
      <c r="U3911" t="s">
        <v>269</v>
      </c>
      <c r="V3911" t="s">
        <v>131</v>
      </c>
      <c r="W3911" t="s">
        <v>165</v>
      </c>
      <c r="X3911" t="s">
        <v>45</v>
      </c>
      <c r="Y3911" s="1">
        <v>29945</v>
      </c>
      <c r="Z3911">
        <v>1</v>
      </c>
      <c r="AA3911" t="s">
        <v>269</v>
      </c>
      <c r="AB3911" s="40" t="s">
        <v>1799</v>
      </c>
    </row>
    <row r="3912" spans="1:28" x14ac:dyDescent="0.25">
      <c r="A3912">
        <v>99913911</v>
      </c>
      <c r="B3912" t="s">
        <v>56</v>
      </c>
      <c r="C3912" t="s">
        <v>139</v>
      </c>
      <c r="D3912" t="s">
        <v>140</v>
      </c>
      <c r="G3912" t="s">
        <v>48</v>
      </c>
      <c r="H3912">
        <v>1</v>
      </c>
      <c r="J3912" s="1">
        <v>43344</v>
      </c>
      <c r="K3912" t="s">
        <v>354</v>
      </c>
      <c r="L3912" t="s">
        <v>355</v>
      </c>
      <c r="M3912" t="s">
        <v>131</v>
      </c>
      <c r="N3912">
        <v>23</v>
      </c>
      <c r="O3912" s="1">
        <v>43344</v>
      </c>
      <c r="P3912" t="s">
        <v>41</v>
      </c>
      <c r="Q3912" t="s">
        <v>75</v>
      </c>
      <c r="R3912" t="str">
        <f>"7054038"</f>
        <v>7054038</v>
      </c>
      <c r="S3912" t="s">
        <v>377</v>
      </c>
      <c r="T3912" t="s">
        <v>354</v>
      </c>
      <c r="U3912" t="s">
        <v>355</v>
      </c>
      <c r="V3912" t="s">
        <v>131</v>
      </c>
      <c r="W3912" t="s">
        <v>51</v>
      </c>
      <c r="X3912" t="s">
        <v>45</v>
      </c>
      <c r="Y3912" s="1">
        <v>29935</v>
      </c>
      <c r="Z3912">
        <v>1</v>
      </c>
      <c r="AA3912" t="s">
        <v>355</v>
      </c>
      <c r="AB3912" s="40" t="s">
        <v>1799</v>
      </c>
    </row>
    <row r="3913" spans="1:28" x14ac:dyDescent="0.25">
      <c r="A3913">
        <v>99913912</v>
      </c>
      <c r="B3913" t="s">
        <v>32</v>
      </c>
      <c r="C3913" t="s">
        <v>61</v>
      </c>
      <c r="D3913" t="s">
        <v>62</v>
      </c>
      <c r="G3913" t="s">
        <v>35</v>
      </c>
      <c r="H3913">
        <v>1</v>
      </c>
      <c r="K3913" t="s">
        <v>223</v>
      </c>
      <c r="L3913" t="s">
        <v>224</v>
      </c>
      <c r="M3913" t="s">
        <v>131</v>
      </c>
      <c r="N3913">
        <v>23</v>
      </c>
      <c r="P3913" t="s">
        <v>41</v>
      </c>
      <c r="Q3913" t="s">
        <v>49</v>
      </c>
      <c r="R3913" t="str">
        <f>"0581207"</f>
        <v>0581207</v>
      </c>
      <c r="S3913" t="s">
        <v>233</v>
      </c>
      <c r="T3913" t="s">
        <v>223</v>
      </c>
      <c r="U3913" t="s">
        <v>224</v>
      </c>
      <c r="V3913" t="s">
        <v>131</v>
      </c>
      <c r="W3913" t="s">
        <v>165</v>
      </c>
      <c r="X3913" t="s">
        <v>45</v>
      </c>
      <c r="Y3913" s="1">
        <v>29934</v>
      </c>
      <c r="Z3913">
        <v>2</v>
      </c>
      <c r="AA3913" t="s">
        <v>224</v>
      </c>
      <c r="AB3913" s="40" t="s">
        <v>1799</v>
      </c>
    </row>
    <row r="3914" spans="1:28" x14ac:dyDescent="0.25">
      <c r="A3914">
        <v>99913913</v>
      </c>
      <c r="B3914" t="s">
        <v>56</v>
      </c>
      <c r="C3914" t="s">
        <v>52</v>
      </c>
      <c r="D3914" t="s">
        <v>53</v>
      </c>
      <c r="G3914" t="s">
        <v>48</v>
      </c>
      <c r="H3914">
        <v>1</v>
      </c>
      <c r="K3914" t="s">
        <v>1496</v>
      </c>
      <c r="L3914" t="s">
        <v>1497</v>
      </c>
      <c r="M3914" t="s">
        <v>670</v>
      </c>
      <c r="N3914">
        <v>23</v>
      </c>
      <c r="P3914" t="s">
        <v>41</v>
      </c>
      <c r="Q3914" t="s">
        <v>42</v>
      </c>
      <c r="R3914" t="str">
        <f>"5080015"</f>
        <v>5080015</v>
      </c>
      <c r="S3914" t="s">
        <v>1498</v>
      </c>
      <c r="T3914" t="s">
        <v>1496</v>
      </c>
      <c r="U3914" t="s">
        <v>1497</v>
      </c>
      <c r="V3914" t="s">
        <v>670</v>
      </c>
      <c r="W3914" t="s">
        <v>51</v>
      </c>
      <c r="X3914" t="s">
        <v>45</v>
      </c>
      <c r="Y3914" s="1">
        <v>29901</v>
      </c>
      <c r="Z3914">
        <v>2</v>
      </c>
      <c r="AA3914" t="s">
        <v>1497</v>
      </c>
      <c r="AB3914" s="40" t="s">
        <v>1799</v>
      </c>
    </row>
    <row r="3915" spans="1:28" x14ac:dyDescent="0.25">
      <c r="A3915">
        <v>99913914</v>
      </c>
      <c r="B3915" t="s">
        <v>32</v>
      </c>
      <c r="C3915" t="s">
        <v>139</v>
      </c>
      <c r="D3915" t="s">
        <v>140</v>
      </c>
      <c r="G3915" t="s">
        <v>48</v>
      </c>
      <c r="H3915">
        <v>3</v>
      </c>
      <c r="K3915" t="s">
        <v>129</v>
      </c>
      <c r="L3915" t="s">
        <v>130</v>
      </c>
      <c r="M3915" t="s">
        <v>131</v>
      </c>
      <c r="N3915">
        <v>23</v>
      </c>
      <c r="O3915" s="1">
        <v>41519</v>
      </c>
      <c r="P3915" t="s">
        <v>41</v>
      </c>
      <c r="Q3915" t="s">
        <v>49</v>
      </c>
      <c r="R3915" t="str">
        <f>"0580150"</f>
        <v>0580150</v>
      </c>
      <c r="S3915" t="s">
        <v>134</v>
      </c>
      <c r="T3915" t="s">
        <v>129</v>
      </c>
      <c r="U3915" t="s">
        <v>130</v>
      </c>
      <c r="V3915" t="s">
        <v>131</v>
      </c>
      <c r="W3915" t="s">
        <v>51</v>
      </c>
      <c r="X3915" t="s">
        <v>45</v>
      </c>
      <c r="Y3915" s="1">
        <v>29897</v>
      </c>
      <c r="Z3915">
        <v>2</v>
      </c>
      <c r="AA3915" t="s">
        <v>130</v>
      </c>
      <c r="AB3915" s="40" t="s">
        <v>1799</v>
      </c>
    </row>
    <row r="3916" spans="1:28" x14ac:dyDescent="0.25">
      <c r="A3916">
        <v>99913915</v>
      </c>
      <c r="B3916" t="s">
        <v>56</v>
      </c>
      <c r="C3916" t="s">
        <v>52</v>
      </c>
      <c r="D3916" t="s">
        <v>53</v>
      </c>
      <c r="G3916" t="s">
        <v>48</v>
      </c>
      <c r="H3916">
        <v>1</v>
      </c>
      <c r="K3916" t="s">
        <v>1268</v>
      </c>
      <c r="L3916" t="s">
        <v>1269</v>
      </c>
      <c r="M3916" t="s">
        <v>1270</v>
      </c>
      <c r="N3916">
        <v>23</v>
      </c>
      <c r="P3916" t="s">
        <v>41</v>
      </c>
      <c r="Q3916" t="s">
        <v>42</v>
      </c>
      <c r="R3916" t="str">
        <f>"1980050"</f>
        <v>1980050</v>
      </c>
      <c r="S3916" t="s">
        <v>1278</v>
      </c>
      <c r="T3916" t="s">
        <v>1268</v>
      </c>
      <c r="U3916" t="s">
        <v>1269</v>
      </c>
      <c r="V3916" t="s">
        <v>1270</v>
      </c>
      <c r="W3916" t="s">
        <v>51</v>
      </c>
      <c r="X3916" t="s">
        <v>45</v>
      </c>
      <c r="Y3916" s="1">
        <v>29896</v>
      </c>
      <c r="Z3916">
        <v>2</v>
      </c>
      <c r="AA3916" t="s">
        <v>1269</v>
      </c>
      <c r="AB3916" s="40" t="s">
        <v>1799</v>
      </c>
    </row>
    <row r="3917" spans="1:28" x14ac:dyDescent="0.25">
      <c r="A3917">
        <v>99913916</v>
      </c>
      <c r="B3917" t="s">
        <v>56</v>
      </c>
      <c r="C3917" t="s">
        <v>79</v>
      </c>
      <c r="D3917" t="s">
        <v>80</v>
      </c>
      <c r="G3917" t="s">
        <v>48</v>
      </c>
      <c r="H3917">
        <v>1</v>
      </c>
      <c r="K3917" t="s">
        <v>1268</v>
      </c>
      <c r="L3917" t="s">
        <v>1269</v>
      </c>
      <c r="M3917" t="s">
        <v>1270</v>
      </c>
      <c r="N3917">
        <v>23</v>
      </c>
      <c r="P3917" t="s">
        <v>41</v>
      </c>
      <c r="Q3917" t="s">
        <v>42</v>
      </c>
      <c r="R3917" t="str">
        <f>"1980050"</f>
        <v>1980050</v>
      </c>
      <c r="S3917" t="s">
        <v>1278</v>
      </c>
      <c r="T3917" t="s">
        <v>1268</v>
      </c>
      <c r="U3917" t="s">
        <v>1269</v>
      </c>
      <c r="V3917" t="s">
        <v>1270</v>
      </c>
      <c r="W3917" t="s">
        <v>51</v>
      </c>
      <c r="X3917" t="s">
        <v>45</v>
      </c>
      <c r="Y3917" s="1">
        <v>29868</v>
      </c>
      <c r="Z3917">
        <v>2</v>
      </c>
      <c r="AA3917" t="s">
        <v>1269</v>
      </c>
      <c r="AB3917" s="40" t="s">
        <v>1799</v>
      </c>
    </row>
    <row r="3918" spans="1:28" x14ac:dyDescent="0.25">
      <c r="A3918">
        <v>99913917</v>
      </c>
      <c r="B3918" t="s">
        <v>56</v>
      </c>
      <c r="C3918" t="s">
        <v>46</v>
      </c>
      <c r="D3918" t="s">
        <v>47</v>
      </c>
      <c r="G3918" t="s">
        <v>48</v>
      </c>
      <c r="H3918">
        <v>1</v>
      </c>
      <c r="K3918" t="s">
        <v>1268</v>
      </c>
      <c r="L3918" t="s">
        <v>1269</v>
      </c>
      <c r="M3918" t="s">
        <v>1270</v>
      </c>
      <c r="N3918">
        <v>23</v>
      </c>
      <c r="P3918" t="s">
        <v>41</v>
      </c>
      <c r="Q3918" t="s">
        <v>42</v>
      </c>
      <c r="R3918" t="str">
        <f>"1980050"</f>
        <v>1980050</v>
      </c>
      <c r="S3918" t="s">
        <v>1278</v>
      </c>
      <c r="T3918" t="s">
        <v>1268</v>
      </c>
      <c r="U3918" t="s">
        <v>1269</v>
      </c>
      <c r="V3918" t="s">
        <v>1270</v>
      </c>
      <c r="W3918" t="s">
        <v>51</v>
      </c>
      <c r="X3918" t="s">
        <v>45</v>
      </c>
      <c r="Y3918" s="1">
        <v>29864</v>
      </c>
      <c r="Z3918">
        <v>2</v>
      </c>
      <c r="AA3918" t="s">
        <v>1269</v>
      </c>
      <c r="AB3918" s="40" t="s">
        <v>1799</v>
      </c>
    </row>
    <row r="3919" spans="1:28" x14ac:dyDescent="0.25">
      <c r="A3919">
        <v>99913918</v>
      </c>
      <c r="B3919" t="s">
        <v>32</v>
      </c>
      <c r="C3919" t="s">
        <v>64</v>
      </c>
      <c r="D3919" t="s">
        <v>65</v>
      </c>
      <c r="G3919" t="s">
        <v>48</v>
      </c>
      <c r="H3919">
        <v>1</v>
      </c>
      <c r="K3919" t="s">
        <v>667</v>
      </c>
      <c r="L3919" t="s">
        <v>669</v>
      </c>
      <c r="M3919" t="s">
        <v>670</v>
      </c>
      <c r="N3919">
        <v>23</v>
      </c>
      <c r="P3919" t="s">
        <v>41</v>
      </c>
      <c r="Q3919" t="s">
        <v>75</v>
      </c>
      <c r="R3919" t="str">
        <f>"7501000"</f>
        <v>7501000</v>
      </c>
      <c r="S3919" t="s">
        <v>668</v>
      </c>
      <c r="T3919" t="s">
        <v>667</v>
      </c>
      <c r="U3919" t="s">
        <v>669</v>
      </c>
      <c r="V3919" t="s">
        <v>670</v>
      </c>
      <c r="W3919" t="s">
        <v>51</v>
      </c>
      <c r="X3919" t="s">
        <v>45</v>
      </c>
      <c r="Y3919" s="1">
        <v>29860</v>
      </c>
      <c r="Z3919">
        <v>1</v>
      </c>
      <c r="AA3919" t="s">
        <v>669</v>
      </c>
      <c r="AB3919" s="40" t="s">
        <v>1799</v>
      </c>
    </row>
    <row r="3920" spans="1:28" x14ac:dyDescent="0.25">
      <c r="A3920">
        <v>99913919</v>
      </c>
      <c r="B3920" t="s">
        <v>56</v>
      </c>
      <c r="C3920" t="s">
        <v>111</v>
      </c>
      <c r="D3920" t="s">
        <v>112</v>
      </c>
      <c r="G3920" t="s">
        <v>35</v>
      </c>
      <c r="H3920">
        <v>6</v>
      </c>
      <c r="K3920" t="s">
        <v>268</v>
      </c>
      <c r="L3920" t="s">
        <v>269</v>
      </c>
      <c r="M3920" t="s">
        <v>131</v>
      </c>
      <c r="N3920">
        <v>23</v>
      </c>
      <c r="P3920" t="s">
        <v>41</v>
      </c>
      <c r="Q3920" t="s">
        <v>75</v>
      </c>
      <c r="R3920" t="str">
        <f>"7052004"</f>
        <v>7052004</v>
      </c>
      <c r="S3920" t="s">
        <v>584</v>
      </c>
      <c r="T3920" t="s">
        <v>268</v>
      </c>
      <c r="U3920" t="s">
        <v>269</v>
      </c>
      <c r="V3920" t="s">
        <v>131</v>
      </c>
      <c r="W3920" t="s">
        <v>51</v>
      </c>
      <c r="X3920" t="s">
        <v>45</v>
      </c>
      <c r="Y3920" s="1">
        <v>29855</v>
      </c>
      <c r="Z3920">
        <v>1</v>
      </c>
      <c r="AA3920" t="s">
        <v>269</v>
      </c>
      <c r="AB3920" s="40" t="s">
        <v>1799</v>
      </c>
    </row>
    <row r="3921" spans="1:28" x14ac:dyDescent="0.25">
      <c r="A3921">
        <v>99913920</v>
      </c>
      <c r="B3921" t="s">
        <v>32</v>
      </c>
      <c r="C3921" t="s">
        <v>46</v>
      </c>
      <c r="D3921" t="s">
        <v>47</v>
      </c>
      <c r="G3921" t="s">
        <v>35</v>
      </c>
      <c r="H3921">
        <v>1</v>
      </c>
      <c r="I3921">
        <v>8647</v>
      </c>
      <c r="J3921" s="1">
        <v>42978</v>
      </c>
      <c r="K3921" t="s">
        <v>1325</v>
      </c>
      <c r="L3921" t="s">
        <v>1326</v>
      </c>
      <c r="M3921" t="s">
        <v>1270</v>
      </c>
      <c r="N3921">
        <v>23</v>
      </c>
      <c r="O3921" s="1">
        <v>42979</v>
      </c>
      <c r="P3921" t="s">
        <v>41</v>
      </c>
      <c r="Q3921" t="s">
        <v>49</v>
      </c>
      <c r="R3921" t="str">
        <f>"3981100"</f>
        <v>3981100</v>
      </c>
      <c r="S3921" t="s">
        <v>1327</v>
      </c>
      <c r="T3921" t="s">
        <v>1325</v>
      </c>
      <c r="U3921" t="s">
        <v>1326</v>
      </c>
      <c r="V3921" t="s">
        <v>1270</v>
      </c>
      <c r="W3921" t="s">
        <v>51</v>
      </c>
      <c r="X3921" t="s">
        <v>45</v>
      </c>
      <c r="Y3921" s="1">
        <v>29838</v>
      </c>
      <c r="Z3921">
        <v>2</v>
      </c>
      <c r="AA3921" t="s">
        <v>1326</v>
      </c>
      <c r="AB3921" s="40" t="s">
        <v>1799</v>
      </c>
    </row>
    <row r="3922" spans="1:28" x14ac:dyDescent="0.25">
      <c r="A3922">
        <v>99913921</v>
      </c>
      <c r="B3922" t="s">
        <v>32</v>
      </c>
      <c r="C3922" t="s">
        <v>64</v>
      </c>
      <c r="D3922" t="s">
        <v>65</v>
      </c>
      <c r="G3922" t="s">
        <v>48</v>
      </c>
      <c r="H3922">
        <v>7</v>
      </c>
      <c r="I3922" t="s">
        <v>563</v>
      </c>
      <c r="J3922" s="1">
        <v>40422</v>
      </c>
      <c r="K3922" t="s">
        <v>431</v>
      </c>
      <c r="L3922" t="s">
        <v>196</v>
      </c>
      <c r="M3922" t="s">
        <v>131</v>
      </c>
      <c r="N3922">
        <v>23</v>
      </c>
      <c r="O3922" s="1">
        <v>40422</v>
      </c>
      <c r="P3922" t="s">
        <v>41</v>
      </c>
      <c r="Q3922" t="s">
        <v>75</v>
      </c>
      <c r="R3922" t="str">
        <f>"7521022"</f>
        <v>7521022</v>
      </c>
      <c r="S3922" t="s">
        <v>445</v>
      </c>
      <c r="T3922" t="s">
        <v>431</v>
      </c>
      <c r="U3922" t="s">
        <v>196</v>
      </c>
      <c r="V3922" t="s">
        <v>131</v>
      </c>
      <c r="W3922" t="s">
        <v>51</v>
      </c>
      <c r="X3922" t="s">
        <v>45</v>
      </c>
      <c r="Y3922" s="1">
        <v>29836</v>
      </c>
      <c r="Z3922">
        <v>1</v>
      </c>
      <c r="AA3922" t="s">
        <v>196</v>
      </c>
      <c r="AB3922" s="40" t="s">
        <v>1799</v>
      </c>
    </row>
    <row r="3923" spans="1:28" x14ac:dyDescent="0.25">
      <c r="A3923">
        <v>99913922</v>
      </c>
      <c r="B3923" t="s">
        <v>32</v>
      </c>
      <c r="C3923" t="s">
        <v>71</v>
      </c>
      <c r="D3923" t="s">
        <v>72</v>
      </c>
      <c r="G3923" t="s">
        <v>35</v>
      </c>
      <c r="H3923">
        <v>3</v>
      </c>
      <c r="K3923" t="s">
        <v>268</v>
      </c>
      <c r="L3923" t="s">
        <v>269</v>
      </c>
      <c r="M3923" t="s">
        <v>131</v>
      </c>
      <c r="N3923">
        <v>23</v>
      </c>
      <c r="P3923" t="s">
        <v>41</v>
      </c>
      <c r="Q3923" t="s">
        <v>75</v>
      </c>
      <c r="R3923" t="str">
        <f>"7052002"</f>
        <v>7052002</v>
      </c>
      <c r="S3923" t="s">
        <v>590</v>
      </c>
      <c r="T3923" t="s">
        <v>268</v>
      </c>
      <c r="U3923" t="s">
        <v>269</v>
      </c>
      <c r="V3923" t="s">
        <v>131</v>
      </c>
      <c r="W3923" t="s">
        <v>51</v>
      </c>
      <c r="X3923" t="s">
        <v>45</v>
      </c>
      <c r="Y3923" s="1">
        <v>29745</v>
      </c>
      <c r="Z3923">
        <v>1</v>
      </c>
      <c r="AA3923" t="s">
        <v>269</v>
      </c>
      <c r="AB3923" s="40" t="s">
        <v>1799</v>
      </c>
    </row>
    <row r="3924" spans="1:28" x14ac:dyDescent="0.25">
      <c r="A3924">
        <v>99913923</v>
      </c>
      <c r="B3924" t="s">
        <v>32</v>
      </c>
      <c r="C3924" t="s">
        <v>52</v>
      </c>
      <c r="D3924" t="s">
        <v>53</v>
      </c>
      <c r="G3924" t="s">
        <v>35</v>
      </c>
      <c r="H3924">
        <v>1</v>
      </c>
      <c r="I3924" t="s">
        <v>1150</v>
      </c>
      <c r="J3924" s="1">
        <v>43344</v>
      </c>
      <c r="K3924" t="s">
        <v>1128</v>
      </c>
      <c r="L3924" t="s">
        <v>1129</v>
      </c>
      <c r="M3924" t="s">
        <v>1130</v>
      </c>
      <c r="N3924">
        <v>23</v>
      </c>
      <c r="O3924" s="1">
        <v>43344</v>
      </c>
      <c r="P3924" t="s">
        <v>41</v>
      </c>
      <c r="Q3924" t="s">
        <v>49</v>
      </c>
      <c r="R3924" t="str">
        <f>"3181015"</f>
        <v>3181015</v>
      </c>
      <c r="S3924" t="s">
        <v>1131</v>
      </c>
      <c r="T3924" t="s">
        <v>1128</v>
      </c>
      <c r="U3924" t="s">
        <v>1129</v>
      </c>
      <c r="V3924" t="s">
        <v>1130</v>
      </c>
      <c r="W3924" t="s">
        <v>51</v>
      </c>
      <c r="X3924" t="s">
        <v>45</v>
      </c>
      <c r="Y3924" s="1">
        <v>29712</v>
      </c>
      <c r="Z3924">
        <v>2</v>
      </c>
      <c r="AA3924" t="s">
        <v>1129</v>
      </c>
      <c r="AB3924" s="40" t="s">
        <v>1799</v>
      </c>
    </row>
    <row r="3925" spans="1:28" x14ac:dyDescent="0.25">
      <c r="A3925">
        <v>99913924</v>
      </c>
      <c r="B3925" t="s">
        <v>56</v>
      </c>
      <c r="C3925" t="s">
        <v>145</v>
      </c>
      <c r="D3925" t="s">
        <v>146</v>
      </c>
      <c r="G3925" t="s">
        <v>48</v>
      </c>
      <c r="H3925">
        <v>1</v>
      </c>
      <c r="K3925" t="s">
        <v>223</v>
      </c>
      <c r="L3925" t="s">
        <v>224</v>
      </c>
      <c r="M3925" t="s">
        <v>131</v>
      </c>
      <c r="N3925">
        <v>23</v>
      </c>
      <c r="P3925" t="s">
        <v>41</v>
      </c>
      <c r="Q3925" t="s">
        <v>42</v>
      </c>
      <c r="R3925" t="str">
        <f>"0580207"</f>
        <v>0580207</v>
      </c>
      <c r="S3925" t="s">
        <v>229</v>
      </c>
      <c r="T3925" t="s">
        <v>223</v>
      </c>
      <c r="U3925" t="s">
        <v>224</v>
      </c>
      <c r="V3925" t="s">
        <v>131</v>
      </c>
      <c r="W3925" t="s">
        <v>51</v>
      </c>
      <c r="X3925" t="s">
        <v>45</v>
      </c>
      <c r="Y3925" s="1">
        <v>29711</v>
      </c>
      <c r="Z3925">
        <v>2</v>
      </c>
      <c r="AA3925" t="s">
        <v>224</v>
      </c>
      <c r="AB3925" s="40" t="s">
        <v>1799</v>
      </c>
    </row>
    <row r="3926" spans="1:28" x14ac:dyDescent="0.25">
      <c r="A3926">
        <v>99913925</v>
      </c>
      <c r="B3926" t="s">
        <v>32</v>
      </c>
      <c r="C3926" t="s">
        <v>90</v>
      </c>
      <c r="D3926" t="s">
        <v>91</v>
      </c>
      <c r="G3926" t="s">
        <v>48</v>
      </c>
      <c r="H3926">
        <v>5</v>
      </c>
      <c r="I3926" t="s">
        <v>475</v>
      </c>
      <c r="J3926" s="1">
        <v>42248</v>
      </c>
      <c r="K3926" t="s">
        <v>431</v>
      </c>
      <c r="L3926" t="s">
        <v>196</v>
      </c>
      <c r="M3926" t="s">
        <v>131</v>
      </c>
      <c r="N3926">
        <v>23</v>
      </c>
      <c r="O3926" s="1">
        <v>42248</v>
      </c>
      <c r="P3926" t="s">
        <v>41</v>
      </c>
      <c r="Q3926" t="s">
        <v>75</v>
      </c>
      <c r="R3926" t="str">
        <f>"7521022"</f>
        <v>7521022</v>
      </c>
      <c r="S3926" t="s">
        <v>445</v>
      </c>
      <c r="T3926" t="s">
        <v>431</v>
      </c>
      <c r="U3926" t="s">
        <v>196</v>
      </c>
      <c r="V3926" t="s">
        <v>131</v>
      </c>
      <c r="W3926" t="s">
        <v>51</v>
      </c>
      <c r="X3926" t="s">
        <v>45</v>
      </c>
      <c r="Y3926" s="1">
        <v>29684</v>
      </c>
      <c r="Z3926">
        <v>1</v>
      </c>
      <c r="AA3926" t="s">
        <v>196</v>
      </c>
      <c r="AB3926" s="40" t="s">
        <v>1799</v>
      </c>
    </row>
    <row r="3927" spans="1:28" x14ac:dyDescent="0.25">
      <c r="A3927">
        <v>99913926</v>
      </c>
      <c r="B3927" t="s">
        <v>32</v>
      </c>
      <c r="C3927" t="s">
        <v>64</v>
      </c>
      <c r="D3927" t="s">
        <v>65</v>
      </c>
      <c r="G3927" t="s">
        <v>35</v>
      </c>
      <c r="H3927">
        <v>1</v>
      </c>
      <c r="I3927">
        <v>0</v>
      </c>
      <c r="J3927" s="1">
        <v>43344</v>
      </c>
      <c r="K3927" t="s">
        <v>223</v>
      </c>
      <c r="L3927" t="s">
        <v>224</v>
      </c>
      <c r="M3927" t="s">
        <v>131</v>
      </c>
      <c r="N3927">
        <v>23</v>
      </c>
      <c r="O3927" s="1">
        <v>43344</v>
      </c>
      <c r="P3927" t="s">
        <v>41</v>
      </c>
      <c r="Q3927" t="s">
        <v>42</v>
      </c>
      <c r="R3927" t="str">
        <f>"0580206"</f>
        <v>0580206</v>
      </c>
      <c r="S3927" t="s">
        <v>237</v>
      </c>
      <c r="T3927" t="s">
        <v>223</v>
      </c>
      <c r="U3927" t="s">
        <v>224</v>
      </c>
      <c r="V3927" t="s">
        <v>131</v>
      </c>
      <c r="W3927" t="s">
        <v>44</v>
      </c>
      <c r="X3927" t="s">
        <v>45</v>
      </c>
      <c r="Y3927" s="1">
        <v>29667</v>
      </c>
      <c r="Z3927">
        <v>2</v>
      </c>
      <c r="AA3927" t="s">
        <v>224</v>
      </c>
      <c r="AB3927" s="40" t="s">
        <v>1799</v>
      </c>
    </row>
    <row r="3928" spans="1:28" x14ac:dyDescent="0.25">
      <c r="A3928">
        <v>99913927</v>
      </c>
      <c r="B3928" t="s">
        <v>32</v>
      </c>
      <c r="C3928" t="s">
        <v>46</v>
      </c>
      <c r="D3928" t="s">
        <v>47</v>
      </c>
      <c r="G3928" t="s">
        <v>88</v>
      </c>
      <c r="H3928">
        <v>1</v>
      </c>
      <c r="I3928" t="s">
        <v>1324</v>
      </c>
      <c r="K3928" t="s">
        <v>1306</v>
      </c>
      <c r="L3928" t="s">
        <v>1307</v>
      </c>
      <c r="M3928" t="s">
        <v>1270</v>
      </c>
      <c r="N3928">
        <v>23</v>
      </c>
      <c r="P3928" t="s">
        <v>41</v>
      </c>
      <c r="Q3928" t="s">
        <v>49</v>
      </c>
      <c r="R3928" t="str">
        <f>"1991913"</f>
        <v>1991913</v>
      </c>
      <c r="S3928" t="s">
        <v>1310</v>
      </c>
      <c r="T3928" t="s">
        <v>1306</v>
      </c>
      <c r="U3928" t="s">
        <v>1307</v>
      </c>
      <c r="V3928" t="s">
        <v>1270</v>
      </c>
      <c r="W3928" t="s">
        <v>51</v>
      </c>
      <c r="X3928" t="s">
        <v>45</v>
      </c>
      <c r="Y3928" s="1">
        <v>29646</v>
      </c>
      <c r="Z3928">
        <v>2</v>
      </c>
      <c r="AA3928" t="s">
        <v>1307</v>
      </c>
      <c r="AB3928" s="40" t="s">
        <v>1799</v>
      </c>
    </row>
    <row r="3929" spans="1:28" x14ac:dyDescent="0.25">
      <c r="A3929">
        <v>99913928</v>
      </c>
      <c r="B3929" t="s">
        <v>56</v>
      </c>
      <c r="C3929" t="s">
        <v>111</v>
      </c>
      <c r="D3929" t="s">
        <v>112</v>
      </c>
      <c r="G3929" t="s">
        <v>35</v>
      </c>
      <c r="H3929">
        <v>1</v>
      </c>
      <c r="K3929" t="s">
        <v>1341</v>
      </c>
      <c r="L3929" t="s">
        <v>1342</v>
      </c>
      <c r="M3929" t="s">
        <v>1270</v>
      </c>
      <c r="N3929">
        <v>23</v>
      </c>
      <c r="P3929" t="s">
        <v>41</v>
      </c>
      <c r="Q3929" t="s">
        <v>75</v>
      </c>
      <c r="R3929" t="str">
        <f>"7191006"</f>
        <v>7191006</v>
      </c>
      <c r="S3929" t="s">
        <v>1351</v>
      </c>
      <c r="T3929" t="s">
        <v>1341</v>
      </c>
      <c r="U3929" t="s">
        <v>1342</v>
      </c>
      <c r="V3929" t="s">
        <v>1270</v>
      </c>
      <c r="W3929" t="s">
        <v>51</v>
      </c>
      <c r="X3929" t="s">
        <v>45</v>
      </c>
      <c r="Y3929" s="1">
        <v>29636</v>
      </c>
      <c r="Z3929">
        <v>1</v>
      </c>
      <c r="AA3929" t="s">
        <v>1342</v>
      </c>
      <c r="AB3929" s="40" t="s">
        <v>1799</v>
      </c>
    </row>
    <row r="3930" spans="1:28" x14ac:dyDescent="0.25">
      <c r="A3930">
        <v>99913929</v>
      </c>
      <c r="B3930" t="s">
        <v>56</v>
      </c>
      <c r="C3930" t="s">
        <v>61</v>
      </c>
      <c r="D3930" t="s">
        <v>62</v>
      </c>
      <c r="E3930" t="s">
        <v>52</v>
      </c>
      <c r="F3930" t="s">
        <v>53</v>
      </c>
      <c r="G3930" t="s">
        <v>35</v>
      </c>
      <c r="H3930">
        <v>1</v>
      </c>
      <c r="K3930" t="s">
        <v>1268</v>
      </c>
      <c r="L3930" t="s">
        <v>1269</v>
      </c>
      <c r="M3930" t="s">
        <v>1270</v>
      </c>
      <c r="N3930">
        <v>23</v>
      </c>
      <c r="P3930" t="s">
        <v>41</v>
      </c>
      <c r="Q3930" t="s">
        <v>42</v>
      </c>
      <c r="R3930" t="str">
        <f>"1990001"</f>
        <v>1990001</v>
      </c>
      <c r="S3930" t="s">
        <v>1294</v>
      </c>
      <c r="T3930" t="s">
        <v>1268</v>
      </c>
      <c r="U3930" t="s">
        <v>1269</v>
      </c>
      <c r="V3930" t="s">
        <v>1270</v>
      </c>
      <c r="W3930" t="s">
        <v>51</v>
      </c>
      <c r="X3930" t="s">
        <v>45</v>
      </c>
      <c r="Y3930" s="1">
        <v>29607</v>
      </c>
      <c r="Z3930">
        <v>2</v>
      </c>
      <c r="AA3930" t="s">
        <v>1269</v>
      </c>
      <c r="AB3930" s="40" t="s">
        <v>1799</v>
      </c>
    </row>
    <row r="3931" spans="1:28" x14ac:dyDescent="0.25">
      <c r="A3931">
        <v>99913930</v>
      </c>
      <c r="B3931" t="s">
        <v>32</v>
      </c>
      <c r="C3931" t="s">
        <v>111</v>
      </c>
      <c r="D3931" t="s">
        <v>112</v>
      </c>
      <c r="G3931" t="s">
        <v>48</v>
      </c>
      <c r="H3931">
        <v>6</v>
      </c>
      <c r="I3931" t="s">
        <v>475</v>
      </c>
      <c r="J3931" s="1">
        <v>42248</v>
      </c>
      <c r="K3931" t="s">
        <v>431</v>
      </c>
      <c r="L3931" t="s">
        <v>196</v>
      </c>
      <c r="M3931" t="s">
        <v>131</v>
      </c>
      <c r="N3931">
        <v>23</v>
      </c>
      <c r="O3931" s="1">
        <v>42248</v>
      </c>
      <c r="P3931" t="s">
        <v>41</v>
      </c>
      <c r="Q3931" t="s">
        <v>75</v>
      </c>
      <c r="R3931" t="str">
        <f>"7521022"</f>
        <v>7521022</v>
      </c>
      <c r="S3931" t="s">
        <v>445</v>
      </c>
      <c r="T3931" t="s">
        <v>431</v>
      </c>
      <c r="U3931" t="s">
        <v>196</v>
      </c>
      <c r="V3931" t="s">
        <v>131</v>
      </c>
      <c r="W3931" t="s">
        <v>51</v>
      </c>
      <c r="X3931" t="s">
        <v>45</v>
      </c>
      <c r="Y3931" s="1">
        <v>29593</v>
      </c>
      <c r="Z3931">
        <v>1</v>
      </c>
      <c r="AA3931" t="s">
        <v>196</v>
      </c>
      <c r="AB3931" s="40" t="s">
        <v>1799</v>
      </c>
    </row>
    <row r="3932" spans="1:28" x14ac:dyDescent="0.25">
      <c r="A3932">
        <v>99913931</v>
      </c>
      <c r="B3932" t="s">
        <v>32</v>
      </c>
      <c r="C3932" t="s">
        <v>79</v>
      </c>
      <c r="D3932" t="s">
        <v>80</v>
      </c>
      <c r="G3932" t="s">
        <v>48</v>
      </c>
      <c r="H3932">
        <v>6</v>
      </c>
      <c r="I3932" t="s">
        <v>473</v>
      </c>
      <c r="J3932" s="1">
        <v>40422</v>
      </c>
      <c r="K3932" t="s">
        <v>195</v>
      </c>
      <c r="L3932" t="s">
        <v>196</v>
      </c>
      <c r="M3932" t="s">
        <v>131</v>
      </c>
      <c r="N3932">
        <v>23</v>
      </c>
      <c r="O3932" s="1">
        <v>40422</v>
      </c>
      <c r="P3932" t="s">
        <v>41</v>
      </c>
      <c r="Q3932" t="s">
        <v>75</v>
      </c>
      <c r="R3932" t="str">
        <f>"7521050"</f>
        <v>7521050</v>
      </c>
      <c r="S3932" t="s">
        <v>194</v>
      </c>
      <c r="T3932" t="s">
        <v>195</v>
      </c>
      <c r="U3932" t="s">
        <v>196</v>
      </c>
      <c r="V3932" t="s">
        <v>131</v>
      </c>
      <c r="W3932" t="s">
        <v>51</v>
      </c>
      <c r="X3932" t="s">
        <v>45</v>
      </c>
      <c r="Y3932" s="1">
        <v>29591</v>
      </c>
      <c r="Z3932">
        <v>1</v>
      </c>
      <c r="AA3932" t="s">
        <v>196</v>
      </c>
      <c r="AB3932" s="40" t="s">
        <v>1799</v>
      </c>
    </row>
    <row r="3933" spans="1:28" x14ac:dyDescent="0.25">
      <c r="A3933">
        <v>99913932</v>
      </c>
      <c r="B3933" t="s">
        <v>32</v>
      </c>
      <c r="C3933" t="s">
        <v>85</v>
      </c>
      <c r="D3933" t="s">
        <v>86</v>
      </c>
      <c r="G3933" t="s">
        <v>35</v>
      </c>
      <c r="H3933">
        <v>1</v>
      </c>
      <c r="I3933">
        <v>19020</v>
      </c>
      <c r="J3933" s="1">
        <v>43376</v>
      </c>
      <c r="K3933" t="s">
        <v>129</v>
      </c>
      <c r="L3933" t="s">
        <v>130</v>
      </c>
      <c r="M3933" t="s">
        <v>131</v>
      </c>
      <c r="N3933">
        <v>23</v>
      </c>
      <c r="O3933" s="1">
        <v>43376</v>
      </c>
      <c r="P3933" t="s">
        <v>41</v>
      </c>
      <c r="Q3933" t="s">
        <v>42</v>
      </c>
      <c r="R3933" t="str">
        <f>"0590905"</f>
        <v>0590905</v>
      </c>
      <c r="S3933" t="s">
        <v>133</v>
      </c>
      <c r="T3933" t="s">
        <v>129</v>
      </c>
      <c r="U3933" t="s">
        <v>130</v>
      </c>
      <c r="V3933" t="s">
        <v>131</v>
      </c>
      <c r="W3933" t="s">
        <v>44</v>
      </c>
      <c r="X3933" t="s">
        <v>45</v>
      </c>
      <c r="Y3933" s="1">
        <v>29587</v>
      </c>
      <c r="Z3933">
        <v>2</v>
      </c>
      <c r="AA3933" t="s">
        <v>130</v>
      </c>
      <c r="AB3933" s="40" t="s">
        <v>1799</v>
      </c>
    </row>
    <row r="3934" spans="1:28" x14ac:dyDescent="0.25">
      <c r="A3934">
        <v>99913933</v>
      </c>
      <c r="B3934" t="s">
        <v>32</v>
      </c>
      <c r="C3934" t="s">
        <v>139</v>
      </c>
      <c r="D3934" t="s">
        <v>140</v>
      </c>
      <c r="G3934" t="s">
        <v>35</v>
      </c>
      <c r="H3934">
        <v>4</v>
      </c>
      <c r="I3934">
        <v>23648</v>
      </c>
      <c r="J3934" s="1">
        <v>42716</v>
      </c>
      <c r="K3934" t="s">
        <v>345</v>
      </c>
      <c r="L3934" t="s">
        <v>346</v>
      </c>
      <c r="M3934" t="s">
        <v>131</v>
      </c>
      <c r="N3934">
        <v>23</v>
      </c>
      <c r="O3934" s="1">
        <v>42716</v>
      </c>
      <c r="P3934" t="s">
        <v>41</v>
      </c>
      <c r="Q3934" t="s">
        <v>42</v>
      </c>
      <c r="R3934" t="str">
        <f>"0590906"</f>
        <v>0590906</v>
      </c>
      <c r="S3934" t="s">
        <v>361</v>
      </c>
      <c r="T3934" t="s">
        <v>345</v>
      </c>
      <c r="U3934" t="s">
        <v>346</v>
      </c>
      <c r="V3934" t="s">
        <v>131</v>
      </c>
      <c r="W3934" t="s">
        <v>51</v>
      </c>
      <c r="X3934" t="s">
        <v>45</v>
      </c>
      <c r="Y3934" s="1">
        <v>29587</v>
      </c>
      <c r="Z3934">
        <v>2</v>
      </c>
      <c r="AA3934" t="s">
        <v>346</v>
      </c>
      <c r="AB3934" s="40" t="s">
        <v>1799</v>
      </c>
    </row>
    <row r="3935" spans="1:28" x14ac:dyDescent="0.25">
      <c r="A3935">
        <v>99913934</v>
      </c>
      <c r="B3935" t="s">
        <v>32</v>
      </c>
      <c r="C3935" t="s">
        <v>143</v>
      </c>
      <c r="D3935" t="s">
        <v>144</v>
      </c>
      <c r="G3935" t="s">
        <v>48</v>
      </c>
      <c r="H3935">
        <v>5</v>
      </c>
      <c r="K3935" t="s">
        <v>195</v>
      </c>
      <c r="L3935" t="s">
        <v>196</v>
      </c>
      <c r="M3935" t="s">
        <v>131</v>
      </c>
      <c r="N3935">
        <v>23</v>
      </c>
      <c r="O3935" s="1">
        <v>40422</v>
      </c>
      <c r="P3935" t="s">
        <v>41</v>
      </c>
      <c r="Q3935" t="s">
        <v>75</v>
      </c>
      <c r="R3935" t="str">
        <f>"7521042"</f>
        <v>7521042</v>
      </c>
      <c r="S3935" t="s">
        <v>440</v>
      </c>
      <c r="T3935" t="s">
        <v>195</v>
      </c>
      <c r="U3935" t="s">
        <v>196</v>
      </c>
      <c r="V3935" t="s">
        <v>131</v>
      </c>
      <c r="W3935" t="s">
        <v>51</v>
      </c>
      <c r="X3935" t="s">
        <v>45</v>
      </c>
      <c r="Y3935" s="1">
        <v>29587</v>
      </c>
      <c r="Z3935">
        <v>1</v>
      </c>
      <c r="AA3935" t="s">
        <v>196</v>
      </c>
      <c r="AB3935" s="40" t="s">
        <v>1799</v>
      </c>
    </row>
    <row r="3936" spans="1:28" x14ac:dyDescent="0.25">
      <c r="A3936">
        <v>99913935</v>
      </c>
      <c r="B3936" t="s">
        <v>32</v>
      </c>
      <c r="C3936" t="s">
        <v>46</v>
      </c>
      <c r="D3936" t="s">
        <v>47</v>
      </c>
      <c r="E3936" t="s">
        <v>111</v>
      </c>
      <c r="F3936" t="s">
        <v>112</v>
      </c>
      <c r="G3936" t="s">
        <v>35</v>
      </c>
      <c r="H3936">
        <v>1</v>
      </c>
      <c r="K3936" t="s">
        <v>268</v>
      </c>
      <c r="L3936" t="s">
        <v>269</v>
      </c>
      <c r="M3936" t="s">
        <v>131</v>
      </c>
      <c r="N3936">
        <v>23</v>
      </c>
      <c r="P3936" t="s">
        <v>41</v>
      </c>
      <c r="Q3936" t="s">
        <v>75</v>
      </c>
      <c r="R3936" t="str">
        <f>"7052028"</f>
        <v>7052028</v>
      </c>
      <c r="S3936" t="s">
        <v>601</v>
      </c>
      <c r="T3936" t="s">
        <v>268</v>
      </c>
      <c r="U3936" t="s">
        <v>269</v>
      </c>
      <c r="V3936" t="s">
        <v>131</v>
      </c>
      <c r="W3936" t="s">
        <v>51</v>
      </c>
      <c r="X3936" t="s">
        <v>45</v>
      </c>
      <c r="Y3936" s="1">
        <v>29587</v>
      </c>
      <c r="Z3936">
        <v>1</v>
      </c>
      <c r="AA3936" t="s">
        <v>269</v>
      </c>
      <c r="AB3936" s="40" t="s">
        <v>1799</v>
      </c>
    </row>
    <row r="3937" spans="1:28" x14ac:dyDescent="0.25">
      <c r="A3937">
        <v>99913936</v>
      </c>
      <c r="B3937" t="s">
        <v>32</v>
      </c>
      <c r="C3937" t="s">
        <v>79</v>
      </c>
      <c r="D3937" t="s">
        <v>80</v>
      </c>
      <c r="G3937" t="s">
        <v>35</v>
      </c>
      <c r="H3937">
        <v>1</v>
      </c>
      <c r="I3937" t="s">
        <v>684</v>
      </c>
      <c r="J3937" s="1">
        <v>43344</v>
      </c>
      <c r="K3937" t="s">
        <v>268</v>
      </c>
      <c r="L3937" t="s">
        <v>269</v>
      </c>
      <c r="M3937" t="s">
        <v>131</v>
      </c>
      <c r="N3937">
        <v>23</v>
      </c>
      <c r="O3937" s="1">
        <v>43344</v>
      </c>
      <c r="P3937" t="s">
        <v>41</v>
      </c>
      <c r="Q3937" t="s">
        <v>75</v>
      </c>
      <c r="R3937" t="str">
        <f>"7052020"</f>
        <v>7052020</v>
      </c>
      <c r="S3937" t="s">
        <v>267</v>
      </c>
      <c r="T3937" t="s">
        <v>268</v>
      </c>
      <c r="U3937" t="s">
        <v>269</v>
      </c>
      <c r="V3937" t="s">
        <v>131</v>
      </c>
      <c r="W3937" t="s">
        <v>51</v>
      </c>
      <c r="X3937" t="s">
        <v>45</v>
      </c>
      <c r="Y3937" s="1">
        <v>29587</v>
      </c>
      <c r="Z3937">
        <v>1</v>
      </c>
      <c r="AA3937" t="s">
        <v>269</v>
      </c>
      <c r="AB3937" s="40" t="s">
        <v>1799</v>
      </c>
    </row>
    <row r="3938" spans="1:28" x14ac:dyDescent="0.25">
      <c r="A3938">
        <v>99913937</v>
      </c>
      <c r="B3938" t="s">
        <v>32</v>
      </c>
      <c r="C3938" t="s">
        <v>64</v>
      </c>
      <c r="D3938" t="s">
        <v>65</v>
      </c>
      <c r="G3938" t="s">
        <v>35</v>
      </c>
      <c r="H3938">
        <v>1</v>
      </c>
      <c r="K3938" t="s">
        <v>354</v>
      </c>
      <c r="L3938" t="s">
        <v>355</v>
      </c>
      <c r="M3938" t="s">
        <v>131</v>
      </c>
      <c r="N3938">
        <v>23</v>
      </c>
      <c r="P3938" t="s">
        <v>41</v>
      </c>
      <c r="Q3938" t="s">
        <v>75</v>
      </c>
      <c r="R3938" t="str">
        <f>"7054020"</f>
        <v>7054020</v>
      </c>
      <c r="S3938" t="s">
        <v>765</v>
      </c>
      <c r="T3938" t="s">
        <v>354</v>
      </c>
      <c r="U3938" t="s">
        <v>355</v>
      </c>
      <c r="V3938" t="s">
        <v>131</v>
      </c>
      <c r="W3938" t="s">
        <v>51</v>
      </c>
      <c r="X3938" t="s">
        <v>45</v>
      </c>
      <c r="Y3938" s="1">
        <v>29587</v>
      </c>
      <c r="Z3938">
        <v>1</v>
      </c>
      <c r="AA3938" t="s">
        <v>355</v>
      </c>
      <c r="AB3938" s="40" t="s">
        <v>1799</v>
      </c>
    </row>
    <row r="3939" spans="1:28" x14ac:dyDescent="0.25">
      <c r="A3939">
        <v>99913938</v>
      </c>
      <c r="B3939" t="s">
        <v>32</v>
      </c>
      <c r="C3939" t="s">
        <v>61</v>
      </c>
      <c r="D3939" t="s">
        <v>62</v>
      </c>
      <c r="G3939" t="s">
        <v>48</v>
      </c>
      <c r="H3939">
        <v>7</v>
      </c>
      <c r="I3939" t="s">
        <v>433</v>
      </c>
      <c r="J3939" s="1">
        <v>40422</v>
      </c>
      <c r="K3939" t="s">
        <v>431</v>
      </c>
      <c r="L3939" t="s">
        <v>196</v>
      </c>
      <c r="M3939" t="s">
        <v>131</v>
      </c>
      <c r="N3939">
        <v>23</v>
      </c>
      <c r="O3939" s="1">
        <v>40422</v>
      </c>
      <c r="P3939" t="s">
        <v>41</v>
      </c>
      <c r="Q3939" t="s">
        <v>75</v>
      </c>
      <c r="R3939" t="str">
        <f>"7521012"</f>
        <v>7521012</v>
      </c>
      <c r="S3939" t="s">
        <v>432</v>
      </c>
      <c r="T3939" t="s">
        <v>431</v>
      </c>
      <c r="U3939" t="s">
        <v>196</v>
      </c>
      <c r="V3939" t="s">
        <v>131</v>
      </c>
      <c r="W3939" t="s">
        <v>165</v>
      </c>
      <c r="X3939" t="s">
        <v>45</v>
      </c>
      <c r="Y3939" s="1">
        <v>29568</v>
      </c>
      <c r="Z3939">
        <v>1</v>
      </c>
      <c r="AA3939" t="s">
        <v>196</v>
      </c>
      <c r="AB3939" s="40" t="s">
        <v>1799</v>
      </c>
    </row>
    <row r="3940" spans="1:28" x14ac:dyDescent="0.25">
      <c r="A3940">
        <v>99913939</v>
      </c>
      <c r="B3940" t="s">
        <v>32</v>
      </c>
      <c r="C3940" t="s">
        <v>111</v>
      </c>
      <c r="D3940" t="s">
        <v>112</v>
      </c>
      <c r="G3940" t="s">
        <v>48</v>
      </c>
      <c r="H3940">
        <v>7</v>
      </c>
      <c r="I3940" t="s">
        <v>469</v>
      </c>
      <c r="J3940" s="1">
        <v>43344</v>
      </c>
      <c r="K3940" t="s">
        <v>195</v>
      </c>
      <c r="L3940" t="s">
        <v>196</v>
      </c>
      <c r="M3940" t="s">
        <v>131</v>
      </c>
      <c r="N3940">
        <v>23</v>
      </c>
      <c r="O3940" s="1">
        <v>43344</v>
      </c>
      <c r="P3940" t="s">
        <v>41</v>
      </c>
      <c r="Q3940" t="s">
        <v>75</v>
      </c>
      <c r="R3940" t="str">
        <f>"7521042"</f>
        <v>7521042</v>
      </c>
      <c r="S3940" t="s">
        <v>440</v>
      </c>
      <c r="T3940" t="s">
        <v>195</v>
      </c>
      <c r="U3940" t="s">
        <v>196</v>
      </c>
      <c r="V3940" t="s">
        <v>131</v>
      </c>
      <c r="W3940" t="s">
        <v>165</v>
      </c>
      <c r="X3940" t="s">
        <v>45</v>
      </c>
      <c r="Y3940" s="1">
        <v>29563</v>
      </c>
      <c r="Z3940">
        <v>1</v>
      </c>
      <c r="AA3940" t="s">
        <v>196</v>
      </c>
      <c r="AB3940" s="40" t="s">
        <v>1799</v>
      </c>
    </row>
    <row r="3941" spans="1:28" x14ac:dyDescent="0.25">
      <c r="A3941">
        <v>99913940</v>
      </c>
      <c r="B3941" t="s">
        <v>32</v>
      </c>
      <c r="C3941" t="s">
        <v>111</v>
      </c>
      <c r="D3941" t="s">
        <v>112</v>
      </c>
      <c r="G3941" t="s">
        <v>35</v>
      </c>
      <c r="H3941">
        <v>6</v>
      </c>
      <c r="K3941" t="s">
        <v>268</v>
      </c>
      <c r="L3941" t="s">
        <v>269</v>
      </c>
      <c r="M3941" t="s">
        <v>131</v>
      </c>
      <c r="N3941">
        <v>23</v>
      </c>
      <c r="P3941" t="s">
        <v>41</v>
      </c>
      <c r="Q3941" t="s">
        <v>75</v>
      </c>
      <c r="R3941" t="str">
        <f>"7052004"</f>
        <v>7052004</v>
      </c>
      <c r="S3941" t="s">
        <v>584</v>
      </c>
      <c r="T3941" t="s">
        <v>268</v>
      </c>
      <c r="U3941" t="s">
        <v>269</v>
      </c>
      <c r="V3941" t="s">
        <v>131</v>
      </c>
      <c r="W3941" t="s">
        <v>165</v>
      </c>
      <c r="X3941" t="s">
        <v>45</v>
      </c>
      <c r="Y3941" s="1">
        <v>29560</v>
      </c>
      <c r="Z3941">
        <v>1</v>
      </c>
      <c r="AA3941" t="s">
        <v>269</v>
      </c>
      <c r="AB3941" s="40" t="s">
        <v>1799</v>
      </c>
    </row>
    <row r="3942" spans="1:28" x14ac:dyDescent="0.25">
      <c r="A3942">
        <v>99913941</v>
      </c>
      <c r="B3942" t="s">
        <v>56</v>
      </c>
      <c r="C3942" t="s">
        <v>52</v>
      </c>
      <c r="D3942" t="s">
        <v>53</v>
      </c>
      <c r="G3942" t="s">
        <v>35</v>
      </c>
      <c r="H3942">
        <v>1</v>
      </c>
      <c r="I3942">
        <v>13814</v>
      </c>
      <c r="J3942" s="1">
        <v>43355</v>
      </c>
      <c r="K3942" t="s">
        <v>345</v>
      </c>
      <c r="L3942" t="s">
        <v>346</v>
      </c>
      <c r="M3942" t="s">
        <v>131</v>
      </c>
      <c r="N3942">
        <v>23</v>
      </c>
      <c r="O3942" s="1">
        <v>43355</v>
      </c>
      <c r="P3942" t="s">
        <v>41</v>
      </c>
      <c r="Q3942" t="s">
        <v>42</v>
      </c>
      <c r="R3942" t="str">
        <f>"0590906"</f>
        <v>0590906</v>
      </c>
      <c r="S3942" t="s">
        <v>361</v>
      </c>
      <c r="T3942" t="s">
        <v>345</v>
      </c>
      <c r="U3942" t="s">
        <v>346</v>
      </c>
      <c r="V3942" t="s">
        <v>131</v>
      </c>
      <c r="W3942" t="s">
        <v>51</v>
      </c>
      <c r="X3942" t="s">
        <v>45</v>
      </c>
      <c r="Y3942" s="1">
        <v>29544</v>
      </c>
      <c r="Z3942">
        <v>2</v>
      </c>
      <c r="AA3942" t="s">
        <v>346</v>
      </c>
      <c r="AB3942" s="40" t="s">
        <v>1799</v>
      </c>
    </row>
    <row r="3943" spans="1:28" x14ac:dyDescent="0.25">
      <c r="A3943">
        <v>99913942</v>
      </c>
      <c r="B3943" t="s">
        <v>32</v>
      </c>
      <c r="C3943" t="s">
        <v>64</v>
      </c>
      <c r="D3943" t="s">
        <v>65</v>
      </c>
      <c r="G3943" t="s">
        <v>48</v>
      </c>
      <c r="H3943">
        <v>1</v>
      </c>
      <c r="K3943" t="s">
        <v>1546</v>
      </c>
      <c r="L3943" t="s">
        <v>1547</v>
      </c>
      <c r="M3943" t="s">
        <v>1548</v>
      </c>
      <c r="N3943">
        <v>23</v>
      </c>
      <c r="P3943" t="s">
        <v>41</v>
      </c>
      <c r="Q3943" t="s">
        <v>49</v>
      </c>
      <c r="R3943" t="str">
        <f>"1060001"</f>
        <v>1060001</v>
      </c>
      <c r="S3943" t="s">
        <v>1553</v>
      </c>
      <c r="T3943" t="s">
        <v>1546</v>
      </c>
      <c r="U3943" t="s">
        <v>1547</v>
      </c>
      <c r="V3943" t="s">
        <v>1548</v>
      </c>
      <c r="W3943" t="s">
        <v>51</v>
      </c>
      <c r="X3943" t="s">
        <v>45</v>
      </c>
      <c r="Y3943" s="1">
        <v>29540</v>
      </c>
      <c r="Z3943">
        <v>2</v>
      </c>
      <c r="AA3943" t="s">
        <v>1547</v>
      </c>
      <c r="AB3943" s="40" t="s">
        <v>1799</v>
      </c>
    </row>
    <row r="3944" spans="1:28" x14ac:dyDescent="0.25">
      <c r="A3944">
        <v>99913943</v>
      </c>
      <c r="B3944" t="s">
        <v>56</v>
      </c>
      <c r="C3944" t="s">
        <v>79</v>
      </c>
      <c r="D3944" t="s">
        <v>80</v>
      </c>
      <c r="G3944" t="s">
        <v>48</v>
      </c>
      <c r="H3944">
        <v>1</v>
      </c>
      <c r="K3944" t="s">
        <v>1198</v>
      </c>
      <c r="L3944" t="s">
        <v>1199</v>
      </c>
      <c r="M3944" t="s">
        <v>1130</v>
      </c>
      <c r="N3944">
        <v>23</v>
      </c>
      <c r="P3944" t="s">
        <v>41</v>
      </c>
      <c r="Q3944" t="s">
        <v>75</v>
      </c>
      <c r="R3944" t="str">
        <f>"7311008"</f>
        <v>7311008</v>
      </c>
      <c r="S3944" t="s">
        <v>1205</v>
      </c>
      <c r="T3944" t="s">
        <v>1198</v>
      </c>
      <c r="U3944" t="s">
        <v>1199</v>
      </c>
      <c r="V3944" t="s">
        <v>1130</v>
      </c>
      <c r="W3944" t="s">
        <v>51</v>
      </c>
      <c r="X3944" t="s">
        <v>45</v>
      </c>
      <c r="Y3944" s="1">
        <v>29460</v>
      </c>
      <c r="Z3944">
        <v>1</v>
      </c>
      <c r="AA3944" t="s">
        <v>1199</v>
      </c>
      <c r="AB3944" s="40" t="s">
        <v>1799</v>
      </c>
    </row>
    <row r="3945" spans="1:28" x14ac:dyDescent="0.25">
      <c r="A3945">
        <v>99913944</v>
      </c>
      <c r="B3945" t="s">
        <v>32</v>
      </c>
      <c r="C3945" t="s">
        <v>79</v>
      </c>
      <c r="D3945" t="s">
        <v>80</v>
      </c>
      <c r="G3945" t="s">
        <v>48</v>
      </c>
      <c r="H3945">
        <v>1</v>
      </c>
      <c r="K3945" t="s">
        <v>268</v>
      </c>
      <c r="L3945" t="s">
        <v>269</v>
      </c>
      <c r="M3945" t="s">
        <v>131</v>
      </c>
      <c r="N3945">
        <v>23</v>
      </c>
      <c r="P3945" t="s">
        <v>41</v>
      </c>
      <c r="Q3945" t="s">
        <v>75</v>
      </c>
      <c r="R3945" t="str">
        <f>"7052040"</f>
        <v>7052040</v>
      </c>
      <c r="S3945" t="s">
        <v>591</v>
      </c>
      <c r="T3945" t="s">
        <v>268</v>
      </c>
      <c r="U3945" t="s">
        <v>269</v>
      </c>
      <c r="V3945" t="s">
        <v>131</v>
      </c>
      <c r="W3945" t="s">
        <v>51</v>
      </c>
      <c r="X3945" t="s">
        <v>45</v>
      </c>
      <c r="Y3945" s="1">
        <v>29445</v>
      </c>
      <c r="Z3945">
        <v>1</v>
      </c>
      <c r="AA3945" t="s">
        <v>269</v>
      </c>
      <c r="AB3945" s="40" t="s">
        <v>1799</v>
      </c>
    </row>
    <row r="3946" spans="1:28" x14ac:dyDescent="0.25">
      <c r="A3946">
        <v>99913945</v>
      </c>
      <c r="B3946" t="s">
        <v>56</v>
      </c>
      <c r="C3946" t="s">
        <v>143</v>
      </c>
      <c r="D3946" t="s">
        <v>144</v>
      </c>
      <c r="G3946" t="s">
        <v>48</v>
      </c>
      <c r="H3946">
        <v>5</v>
      </c>
      <c r="I3946" t="s">
        <v>456</v>
      </c>
      <c r="J3946" s="1">
        <v>40422</v>
      </c>
      <c r="K3946" t="s">
        <v>195</v>
      </c>
      <c r="L3946" t="s">
        <v>196</v>
      </c>
      <c r="M3946" t="s">
        <v>131</v>
      </c>
      <c r="N3946">
        <v>23</v>
      </c>
      <c r="O3946" s="1">
        <v>40422</v>
      </c>
      <c r="P3946" t="s">
        <v>41</v>
      </c>
      <c r="Q3946" t="s">
        <v>75</v>
      </c>
      <c r="R3946" t="str">
        <f>"7521042"</f>
        <v>7521042</v>
      </c>
      <c r="S3946" t="s">
        <v>440</v>
      </c>
      <c r="T3946" t="s">
        <v>195</v>
      </c>
      <c r="U3946" t="s">
        <v>196</v>
      </c>
      <c r="V3946" t="s">
        <v>131</v>
      </c>
      <c r="W3946" t="s">
        <v>165</v>
      </c>
      <c r="X3946" t="s">
        <v>45</v>
      </c>
      <c r="Y3946" s="1">
        <v>29444</v>
      </c>
      <c r="Z3946">
        <v>1</v>
      </c>
      <c r="AA3946" t="s">
        <v>196</v>
      </c>
      <c r="AB3946" s="40" t="s">
        <v>1799</v>
      </c>
    </row>
    <row r="3947" spans="1:28" x14ac:dyDescent="0.25">
      <c r="A3947">
        <v>99913946</v>
      </c>
      <c r="B3947" t="s">
        <v>32</v>
      </c>
      <c r="C3947" t="s">
        <v>111</v>
      </c>
      <c r="D3947" t="s">
        <v>112</v>
      </c>
      <c r="G3947" t="s">
        <v>35</v>
      </c>
      <c r="H3947">
        <v>7</v>
      </c>
      <c r="K3947" t="s">
        <v>268</v>
      </c>
      <c r="L3947" t="s">
        <v>269</v>
      </c>
      <c r="M3947" t="s">
        <v>131</v>
      </c>
      <c r="N3947">
        <v>23</v>
      </c>
      <c r="P3947" t="s">
        <v>41</v>
      </c>
      <c r="Q3947" t="s">
        <v>75</v>
      </c>
      <c r="R3947" t="str">
        <f>"7052002"</f>
        <v>7052002</v>
      </c>
      <c r="S3947" t="s">
        <v>590</v>
      </c>
      <c r="T3947" t="s">
        <v>268</v>
      </c>
      <c r="U3947" t="s">
        <v>269</v>
      </c>
      <c r="V3947" t="s">
        <v>131</v>
      </c>
      <c r="W3947" t="s">
        <v>165</v>
      </c>
      <c r="X3947" t="s">
        <v>45</v>
      </c>
      <c r="Y3947" s="1">
        <v>29438</v>
      </c>
      <c r="Z3947">
        <v>1</v>
      </c>
      <c r="AA3947" t="s">
        <v>269</v>
      </c>
      <c r="AB3947" s="40" t="s">
        <v>1799</v>
      </c>
    </row>
    <row r="3948" spans="1:28" x14ac:dyDescent="0.25">
      <c r="A3948">
        <v>99913947</v>
      </c>
      <c r="B3948" t="s">
        <v>32</v>
      </c>
      <c r="C3948" t="s">
        <v>61</v>
      </c>
      <c r="D3948" t="s">
        <v>62</v>
      </c>
      <c r="G3948" t="s">
        <v>35</v>
      </c>
      <c r="H3948">
        <v>5</v>
      </c>
      <c r="K3948" t="s">
        <v>268</v>
      </c>
      <c r="L3948" t="s">
        <v>269</v>
      </c>
      <c r="M3948" t="s">
        <v>131</v>
      </c>
      <c r="N3948">
        <v>23</v>
      </c>
      <c r="P3948" t="s">
        <v>41</v>
      </c>
      <c r="Q3948" t="s">
        <v>75</v>
      </c>
      <c r="R3948" t="str">
        <f>"7052006"</f>
        <v>7052006</v>
      </c>
      <c r="S3948" t="s">
        <v>575</v>
      </c>
      <c r="T3948" t="s">
        <v>268</v>
      </c>
      <c r="U3948" t="s">
        <v>269</v>
      </c>
      <c r="V3948" t="s">
        <v>131</v>
      </c>
      <c r="W3948" t="s">
        <v>51</v>
      </c>
      <c r="X3948" t="s">
        <v>45</v>
      </c>
      <c r="Y3948" s="1">
        <v>29435</v>
      </c>
      <c r="Z3948">
        <v>1</v>
      </c>
      <c r="AA3948" t="s">
        <v>269</v>
      </c>
      <c r="AB3948" s="40" t="s">
        <v>1799</v>
      </c>
    </row>
    <row r="3949" spans="1:28" x14ac:dyDescent="0.25">
      <c r="A3949">
        <v>99913948</v>
      </c>
      <c r="B3949" t="s">
        <v>32</v>
      </c>
      <c r="C3949" t="s">
        <v>58</v>
      </c>
      <c r="D3949" t="s">
        <v>59</v>
      </c>
      <c r="G3949" t="s">
        <v>48</v>
      </c>
      <c r="H3949">
        <v>1</v>
      </c>
      <c r="K3949" t="s">
        <v>345</v>
      </c>
      <c r="L3949" t="s">
        <v>346</v>
      </c>
      <c r="M3949" t="s">
        <v>131</v>
      </c>
      <c r="N3949">
        <v>23</v>
      </c>
      <c r="P3949" t="s">
        <v>41</v>
      </c>
      <c r="Q3949" t="s">
        <v>49</v>
      </c>
      <c r="R3949" t="str">
        <f>"0560004"</f>
        <v>0560004</v>
      </c>
      <c r="S3949" t="s">
        <v>371</v>
      </c>
      <c r="T3949" t="s">
        <v>345</v>
      </c>
      <c r="U3949" t="s">
        <v>346</v>
      </c>
      <c r="V3949" t="s">
        <v>131</v>
      </c>
      <c r="W3949" t="s">
        <v>51</v>
      </c>
      <c r="X3949" t="s">
        <v>45</v>
      </c>
      <c r="Y3949" s="1">
        <v>29427</v>
      </c>
      <c r="Z3949">
        <v>2</v>
      </c>
      <c r="AA3949" t="s">
        <v>346</v>
      </c>
      <c r="AB3949" s="40" t="s">
        <v>1799</v>
      </c>
    </row>
    <row r="3950" spans="1:28" x14ac:dyDescent="0.25">
      <c r="A3950">
        <v>99913949</v>
      </c>
      <c r="B3950" t="s">
        <v>32</v>
      </c>
      <c r="C3950" t="s">
        <v>111</v>
      </c>
      <c r="D3950" t="s">
        <v>112</v>
      </c>
      <c r="G3950" t="s">
        <v>48</v>
      </c>
      <c r="H3950">
        <v>6</v>
      </c>
      <c r="I3950" t="s">
        <v>442</v>
      </c>
      <c r="J3950" s="1">
        <v>40422</v>
      </c>
      <c r="K3950" t="s">
        <v>195</v>
      </c>
      <c r="L3950" t="s">
        <v>196</v>
      </c>
      <c r="M3950" t="s">
        <v>131</v>
      </c>
      <c r="N3950">
        <v>23</v>
      </c>
      <c r="O3950" s="1">
        <v>40422</v>
      </c>
      <c r="P3950" t="s">
        <v>41</v>
      </c>
      <c r="Q3950" t="s">
        <v>75</v>
      </c>
      <c r="R3950" t="str">
        <f>"7521052"</f>
        <v>7521052</v>
      </c>
      <c r="S3950" t="s">
        <v>443</v>
      </c>
      <c r="T3950" t="s">
        <v>195</v>
      </c>
      <c r="U3950" t="s">
        <v>196</v>
      </c>
      <c r="V3950" t="s">
        <v>131</v>
      </c>
      <c r="W3950" t="s">
        <v>51</v>
      </c>
      <c r="X3950" t="s">
        <v>45</v>
      </c>
      <c r="Y3950" s="1">
        <v>29416</v>
      </c>
      <c r="Z3950">
        <v>1</v>
      </c>
      <c r="AA3950" t="s">
        <v>196</v>
      </c>
      <c r="AB3950" s="40" t="s">
        <v>1799</v>
      </c>
    </row>
    <row r="3951" spans="1:28" x14ac:dyDescent="0.25">
      <c r="A3951">
        <v>99913950</v>
      </c>
      <c r="B3951" t="s">
        <v>32</v>
      </c>
      <c r="C3951" t="s">
        <v>82</v>
      </c>
      <c r="D3951" t="s">
        <v>83</v>
      </c>
      <c r="E3951" t="s">
        <v>1301</v>
      </c>
      <c r="F3951" t="s">
        <v>1302</v>
      </c>
      <c r="G3951" t="s">
        <v>35</v>
      </c>
      <c r="H3951">
        <v>1</v>
      </c>
      <c r="K3951" t="s">
        <v>1268</v>
      </c>
      <c r="L3951" t="s">
        <v>1269</v>
      </c>
      <c r="M3951" t="s">
        <v>1270</v>
      </c>
      <c r="N3951">
        <v>23</v>
      </c>
      <c r="P3951" t="s">
        <v>41</v>
      </c>
      <c r="Q3951" t="s">
        <v>42</v>
      </c>
      <c r="R3951" t="str">
        <f>"1990001"</f>
        <v>1990001</v>
      </c>
      <c r="S3951" t="s">
        <v>1294</v>
      </c>
      <c r="T3951" t="s">
        <v>1268</v>
      </c>
      <c r="U3951" t="s">
        <v>1269</v>
      </c>
      <c r="V3951" t="s">
        <v>1270</v>
      </c>
      <c r="W3951" t="s">
        <v>51</v>
      </c>
      <c r="X3951" t="s">
        <v>45</v>
      </c>
      <c r="Y3951" s="1">
        <v>29410</v>
      </c>
      <c r="Z3951">
        <v>2</v>
      </c>
      <c r="AA3951" t="s">
        <v>1269</v>
      </c>
      <c r="AB3951" s="40" t="s">
        <v>1799</v>
      </c>
    </row>
    <row r="3952" spans="1:28" x14ac:dyDescent="0.25">
      <c r="A3952">
        <v>99913951</v>
      </c>
      <c r="B3952" t="s">
        <v>32</v>
      </c>
      <c r="C3952" t="s">
        <v>90</v>
      </c>
      <c r="D3952" t="s">
        <v>91</v>
      </c>
      <c r="G3952" t="s">
        <v>35</v>
      </c>
      <c r="H3952">
        <v>1</v>
      </c>
      <c r="I3952" t="s">
        <v>648</v>
      </c>
      <c r="J3952" s="1">
        <v>43344</v>
      </c>
      <c r="K3952" t="s">
        <v>268</v>
      </c>
      <c r="L3952" t="s">
        <v>269</v>
      </c>
      <c r="M3952" t="s">
        <v>131</v>
      </c>
      <c r="N3952">
        <v>23</v>
      </c>
      <c r="O3952" s="1">
        <v>43344</v>
      </c>
      <c r="P3952" t="s">
        <v>41</v>
      </c>
      <c r="Q3952" t="s">
        <v>95</v>
      </c>
      <c r="R3952" t="str">
        <f>"7052041"</f>
        <v>7052041</v>
      </c>
      <c r="S3952" t="s">
        <v>579</v>
      </c>
      <c r="T3952" t="s">
        <v>268</v>
      </c>
      <c r="U3952" t="s">
        <v>269</v>
      </c>
      <c r="V3952" t="s">
        <v>131</v>
      </c>
      <c r="W3952" t="s">
        <v>51</v>
      </c>
      <c r="X3952" t="s">
        <v>45</v>
      </c>
      <c r="Y3952" s="1">
        <v>29400</v>
      </c>
      <c r="Z3952">
        <v>1</v>
      </c>
      <c r="AA3952" t="s">
        <v>269</v>
      </c>
      <c r="AB3952" s="40" t="s">
        <v>1799</v>
      </c>
    </row>
    <row r="3953" spans="1:28" x14ac:dyDescent="0.25">
      <c r="A3953">
        <v>99913952</v>
      </c>
      <c r="B3953" t="s">
        <v>56</v>
      </c>
      <c r="C3953" t="s">
        <v>79</v>
      </c>
      <c r="D3953" t="s">
        <v>80</v>
      </c>
      <c r="G3953" t="s">
        <v>35</v>
      </c>
      <c r="H3953">
        <v>1</v>
      </c>
      <c r="K3953" t="s">
        <v>1268</v>
      </c>
      <c r="L3953" t="s">
        <v>1269</v>
      </c>
      <c r="M3953" t="s">
        <v>1270</v>
      </c>
      <c r="N3953">
        <v>23</v>
      </c>
      <c r="P3953" t="s">
        <v>41</v>
      </c>
      <c r="Q3953" t="s">
        <v>42</v>
      </c>
      <c r="R3953" t="str">
        <f>"1990914"</f>
        <v>1990914</v>
      </c>
      <c r="S3953" t="s">
        <v>1275</v>
      </c>
      <c r="T3953" t="s">
        <v>1268</v>
      </c>
      <c r="U3953" t="s">
        <v>1269</v>
      </c>
      <c r="V3953" t="s">
        <v>1270</v>
      </c>
      <c r="W3953" t="s">
        <v>51</v>
      </c>
      <c r="X3953" t="s">
        <v>45</v>
      </c>
      <c r="Y3953" s="1">
        <v>29397</v>
      </c>
      <c r="Z3953">
        <v>2</v>
      </c>
      <c r="AA3953" t="s">
        <v>1269</v>
      </c>
      <c r="AB3953" s="40" t="s">
        <v>1799</v>
      </c>
    </row>
    <row r="3954" spans="1:28" x14ac:dyDescent="0.25">
      <c r="A3954">
        <v>99913953</v>
      </c>
      <c r="B3954" t="s">
        <v>32</v>
      </c>
      <c r="C3954" t="s">
        <v>46</v>
      </c>
      <c r="D3954" t="s">
        <v>47</v>
      </c>
      <c r="G3954" t="s">
        <v>35</v>
      </c>
      <c r="H3954">
        <v>3</v>
      </c>
      <c r="I3954">
        <v>14176</v>
      </c>
      <c r="J3954" s="1">
        <v>43344</v>
      </c>
      <c r="K3954" t="s">
        <v>1268</v>
      </c>
      <c r="L3954" t="s">
        <v>1269</v>
      </c>
      <c r="M3954" t="s">
        <v>1270</v>
      </c>
      <c r="N3954">
        <v>23</v>
      </c>
      <c r="O3954" s="1">
        <v>43344</v>
      </c>
      <c r="P3954" t="s">
        <v>41</v>
      </c>
      <c r="Q3954" t="s">
        <v>42</v>
      </c>
      <c r="R3954" t="str">
        <f>"1980055"</f>
        <v>1980055</v>
      </c>
      <c r="S3954" t="s">
        <v>1285</v>
      </c>
      <c r="T3954" t="s">
        <v>1268</v>
      </c>
      <c r="U3954" t="s">
        <v>1269</v>
      </c>
      <c r="V3954" t="s">
        <v>1270</v>
      </c>
      <c r="W3954" t="s">
        <v>55</v>
      </c>
      <c r="X3954" t="s">
        <v>45</v>
      </c>
      <c r="Y3954" s="1">
        <v>29372</v>
      </c>
      <c r="Z3954">
        <v>2</v>
      </c>
      <c r="AA3954" t="s">
        <v>1269</v>
      </c>
      <c r="AB3954" s="40" t="s">
        <v>1799</v>
      </c>
    </row>
    <row r="3955" spans="1:28" x14ac:dyDescent="0.25">
      <c r="A3955">
        <v>99913954</v>
      </c>
      <c r="B3955" t="s">
        <v>32</v>
      </c>
      <c r="C3955" t="s">
        <v>46</v>
      </c>
      <c r="D3955" t="s">
        <v>47</v>
      </c>
      <c r="G3955" t="s">
        <v>48</v>
      </c>
      <c r="H3955">
        <v>1</v>
      </c>
      <c r="K3955" t="s">
        <v>223</v>
      </c>
      <c r="L3955" t="s">
        <v>224</v>
      </c>
      <c r="M3955" t="s">
        <v>131</v>
      </c>
      <c r="N3955">
        <v>23</v>
      </c>
      <c r="P3955" t="s">
        <v>41</v>
      </c>
      <c r="Q3955" t="s">
        <v>49</v>
      </c>
      <c r="R3955" t="str">
        <f>"0581200"</f>
        <v>0581200</v>
      </c>
      <c r="S3955" t="s">
        <v>238</v>
      </c>
      <c r="T3955" t="s">
        <v>223</v>
      </c>
      <c r="U3955" t="s">
        <v>224</v>
      </c>
      <c r="V3955" t="s">
        <v>131</v>
      </c>
      <c r="W3955" t="s">
        <v>51</v>
      </c>
      <c r="X3955" t="s">
        <v>45</v>
      </c>
      <c r="Y3955" s="1">
        <v>29352</v>
      </c>
      <c r="Z3955">
        <v>2</v>
      </c>
      <c r="AA3955" t="s">
        <v>224</v>
      </c>
      <c r="AB3955" s="40" t="s">
        <v>1799</v>
      </c>
    </row>
    <row r="3956" spans="1:28" x14ac:dyDescent="0.25">
      <c r="A3956">
        <v>99913955</v>
      </c>
      <c r="B3956" t="s">
        <v>32</v>
      </c>
      <c r="C3956" t="s">
        <v>61</v>
      </c>
      <c r="D3956" t="s">
        <v>62</v>
      </c>
      <c r="G3956" t="s">
        <v>48</v>
      </c>
      <c r="H3956">
        <v>7</v>
      </c>
      <c r="I3956" t="s">
        <v>456</v>
      </c>
      <c r="J3956" s="1">
        <v>40422</v>
      </c>
      <c r="K3956" t="s">
        <v>195</v>
      </c>
      <c r="L3956" t="s">
        <v>196</v>
      </c>
      <c r="M3956" t="s">
        <v>131</v>
      </c>
      <c r="N3956">
        <v>23</v>
      </c>
      <c r="O3956" s="1">
        <v>40422</v>
      </c>
      <c r="P3956" t="s">
        <v>41</v>
      </c>
      <c r="Q3956" t="s">
        <v>75</v>
      </c>
      <c r="R3956" t="str">
        <f>"7521042"</f>
        <v>7521042</v>
      </c>
      <c r="S3956" t="s">
        <v>440</v>
      </c>
      <c r="T3956" t="s">
        <v>195</v>
      </c>
      <c r="U3956" t="s">
        <v>196</v>
      </c>
      <c r="V3956" t="s">
        <v>131</v>
      </c>
      <c r="W3956" t="s">
        <v>165</v>
      </c>
      <c r="X3956" t="s">
        <v>45</v>
      </c>
      <c r="Y3956" s="1">
        <v>29349</v>
      </c>
      <c r="Z3956">
        <v>1</v>
      </c>
      <c r="AA3956" t="s">
        <v>196</v>
      </c>
      <c r="AB3956" s="40" t="s">
        <v>1799</v>
      </c>
    </row>
    <row r="3957" spans="1:28" x14ac:dyDescent="0.25">
      <c r="A3957">
        <v>99913956</v>
      </c>
      <c r="B3957" t="s">
        <v>32</v>
      </c>
      <c r="C3957" t="s">
        <v>46</v>
      </c>
      <c r="D3957" t="s">
        <v>47</v>
      </c>
      <c r="G3957" t="s">
        <v>35</v>
      </c>
      <c r="H3957">
        <v>1</v>
      </c>
      <c r="I3957">
        <v>13814</v>
      </c>
      <c r="J3957" s="1">
        <v>43355</v>
      </c>
      <c r="K3957" t="s">
        <v>345</v>
      </c>
      <c r="L3957" t="s">
        <v>346</v>
      </c>
      <c r="M3957" t="s">
        <v>131</v>
      </c>
      <c r="N3957">
        <v>23</v>
      </c>
      <c r="O3957" s="1">
        <v>43355</v>
      </c>
      <c r="P3957" t="s">
        <v>41</v>
      </c>
      <c r="Q3957" t="s">
        <v>49</v>
      </c>
      <c r="R3957" t="str">
        <f>"0591906"</f>
        <v>0591906</v>
      </c>
      <c r="S3957" t="s">
        <v>350</v>
      </c>
      <c r="T3957" t="s">
        <v>345</v>
      </c>
      <c r="U3957" t="s">
        <v>346</v>
      </c>
      <c r="V3957" t="s">
        <v>131</v>
      </c>
      <c r="W3957" t="s">
        <v>51</v>
      </c>
      <c r="X3957" t="s">
        <v>45</v>
      </c>
      <c r="Y3957" s="1">
        <v>29342</v>
      </c>
      <c r="Z3957">
        <v>2</v>
      </c>
      <c r="AA3957" t="s">
        <v>346</v>
      </c>
      <c r="AB3957" s="40" t="s">
        <v>1799</v>
      </c>
    </row>
    <row r="3958" spans="1:28" x14ac:dyDescent="0.25">
      <c r="A3958">
        <v>99913957</v>
      </c>
      <c r="B3958" t="s">
        <v>32</v>
      </c>
      <c r="C3958" t="s">
        <v>111</v>
      </c>
      <c r="D3958" t="s">
        <v>112</v>
      </c>
      <c r="G3958" t="s">
        <v>48</v>
      </c>
      <c r="H3958">
        <v>7</v>
      </c>
      <c r="J3958" s="1">
        <v>43344</v>
      </c>
      <c r="K3958" t="s">
        <v>354</v>
      </c>
      <c r="L3958" t="s">
        <v>355</v>
      </c>
      <c r="M3958" t="s">
        <v>131</v>
      </c>
      <c r="N3958">
        <v>23</v>
      </c>
      <c r="O3958" s="1">
        <v>43344</v>
      </c>
      <c r="P3958" t="s">
        <v>41</v>
      </c>
      <c r="Q3958" t="s">
        <v>75</v>
      </c>
      <c r="R3958" t="str">
        <f>"7054022"</f>
        <v>7054022</v>
      </c>
      <c r="S3958" t="s">
        <v>770</v>
      </c>
      <c r="T3958" t="s">
        <v>354</v>
      </c>
      <c r="U3958" t="s">
        <v>355</v>
      </c>
      <c r="V3958" t="s">
        <v>131</v>
      </c>
      <c r="W3958" t="s">
        <v>51</v>
      </c>
      <c r="X3958" t="s">
        <v>45</v>
      </c>
      <c r="Y3958" s="1">
        <v>29337</v>
      </c>
      <c r="Z3958">
        <v>1</v>
      </c>
      <c r="AA3958" t="s">
        <v>355</v>
      </c>
      <c r="AB3958" s="40" t="s">
        <v>1799</v>
      </c>
    </row>
    <row r="3959" spans="1:28" x14ac:dyDescent="0.25">
      <c r="A3959">
        <v>99913958</v>
      </c>
      <c r="B3959" t="s">
        <v>56</v>
      </c>
      <c r="C3959" t="s">
        <v>52</v>
      </c>
      <c r="D3959" t="s">
        <v>53</v>
      </c>
      <c r="G3959" t="s">
        <v>35</v>
      </c>
      <c r="H3959">
        <v>1</v>
      </c>
      <c r="I3959" t="s">
        <v>372</v>
      </c>
      <c r="J3959" s="1">
        <v>43344</v>
      </c>
      <c r="K3959" t="s">
        <v>345</v>
      </c>
      <c r="L3959" t="s">
        <v>346</v>
      </c>
      <c r="M3959" t="s">
        <v>131</v>
      </c>
      <c r="N3959">
        <v>23</v>
      </c>
      <c r="O3959" s="1">
        <v>43344</v>
      </c>
      <c r="P3959" t="s">
        <v>41</v>
      </c>
      <c r="Q3959" t="s">
        <v>42</v>
      </c>
      <c r="R3959" t="str">
        <f>"0561006"</f>
        <v>0561006</v>
      </c>
      <c r="S3959" t="s">
        <v>360</v>
      </c>
      <c r="T3959" t="s">
        <v>345</v>
      </c>
      <c r="U3959" t="s">
        <v>346</v>
      </c>
      <c r="V3959" t="s">
        <v>131</v>
      </c>
      <c r="W3959" t="s">
        <v>51</v>
      </c>
      <c r="X3959" t="s">
        <v>45</v>
      </c>
      <c r="Y3959" s="1">
        <v>29333</v>
      </c>
      <c r="Z3959">
        <v>2</v>
      </c>
      <c r="AA3959" t="s">
        <v>346</v>
      </c>
      <c r="AB3959" s="40" t="s">
        <v>1799</v>
      </c>
    </row>
    <row r="3960" spans="1:28" x14ac:dyDescent="0.25">
      <c r="A3960">
        <v>99913959</v>
      </c>
      <c r="B3960" t="s">
        <v>32</v>
      </c>
      <c r="C3960" t="s">
        <v>79</v>
      </c>
      <c r="D3960" t="s">
        <v>80</v>
      </c>
      <c r="G3960" t="s">
        <v>48</v>
      </c>
      <c r="H3960">
        <v>5</v>
      </c>
      <c r="K3960" t="s">
        <v>195</v>
      </c>
      <c r="L3960" t="s">
        <v>196</v>
      </c>
      <c r="M3960" t="s">
        <v>131</v>
      </c>
      <c r="N3960">
        <v>23</v>
      </c>
      <c r="O3960" s="1">
        <v>40422</v>
      </c>
      <c r="P3960" t="s">
        <v>41</v>
      </c>
      <c r="Q3960" t="s">
        <v>75</v>
      </c>
      <c r="R3960" t="str">
        <f>"7521046"</f>
        <v>7521046</v>
      </c>
      <c r="S3960" t="s">
        <v>436</v>
      </c>
      <c r="T3960" t="s">
        <v>195</v>
      </c>
      <c r="U3960" t="s">
        <v>196</v>
      </c>
      <c r="V3960" t="s">
        <v>131</v>
      </c>
      <c r="W3960" t="s">
        <v>51</v>
      </c>
      <c r="X3960" t="s">
        <v>45</v>
      </c>
      <c r="Y3960" s="1">
        <v>29331</v>
      </c>
      <c r="Z3960">
        <v>1</v>
      </c>
      <c r="AA3960" t="s">
        <v>196</v>
      </c>
      <c r="AB3960" s="40" t="s">
        <v>1799</v>
      </c>
    </row>
    <row r="3961" spans="1:28" x14ac:dyDescent="0.25">
      <c r="A3961">
        <v>99913960</v>
      </c>
      <c r="B3961" t="s">
        <v>32</v>
      </c>
      <c r="C3961" t="s">
        <v>64</v>
      </c>
      <c r="D3961" t="s">
        <v>65</v>
      </c>
      <c r="G3961" t="s">
        <v>48</v>
      </c>
      <c r="H3961">
        <v>5</v>
      </c>
      <c r="I3961" t="s">
        <v>433</v>
      </c>
      <c r="J3961" s="1">
        <v>40422</v>
      </c>
      <c r="K3961" t="s">
        <v>431</v>
      </c>
      <c r="L3961" t="s">
        <v>196</v>
      </c>
      <c r="M3961" t="s">
        <v>131</v>
      </c>
      <c r="N3961">
        <v>23</v>
      </c>
      <c r="O3961" s="1">
        <v>40422</v>
      </c>
      <c r="P3961" t="s">
        <v>41</v>
      </c>
      <c r="Q3961" t="s">
        <v>75</v>
      </c>
      <c r="R3961" t="str">
        <f>"7521012"</f>
        <v>7521012</v>
      </c>
      <c r="S3961" t="s">
        <v>432</v>
      </c>
      <c r="T3961" t="s">
        <v>431</v>
      </c>
      <c r="U3961" t="s">
        <v>196</v>
      </c>
      <c r="V3961" t="s">
        <v>131</v>
      </c>
      <c r="W3961" t="s">
        <v>165</v>
      </c>
      <c r="X3961" t="s">
        <v>45</v>
      </c>
      <c r="Y3961" s="1">
        <v>29276</v>
      </c>
      <c r="Z3961">
        <v>1</v>
      </c>
      <c r="AA3961" t="s">
        <v>196</v>
      </c>
      <c r="AB3961" s="40" t="s">
        <v>1799</v>
      </c>
    </row>
    <row r="3962" spans="1:28" x14ac:dyDescent="0.25">
      <c r="A3962">
        <v>99913961</v>
      </c>
      <c r="B3962" t="s">
        <v>56</v>
      </c>
      <c r="C3962" t="s">
        <v>58</v>
      </c>
      <c r="D3962" t="s">
        <v>59</v>
      </c>
      <c r="G3962" t="s">
        <v>48</v>
      </c>
      <c r="H3962">
        <v>1</v>
      </c>
      <c r="K3962" t="s">
        <v>1268</v>
      </c>
      <c r="L3962" t="s">
        <v>1269</v>
      </c>
      <c r="M3962" t="s">
        <v>1270</v>
      </c>
      <c r="N3962">
        <v>23</v>
      </c>
      <c r="P3962" t="s">
        <v>41</v>
      </c>
      <c r="Q3962" t="s">
        <v>42</v>
      </c>
      <c r="R3962" t="str">
        <f>"1980050"</f>
        <v>1980050</v>
      </c>
      <c r="S3962" t="s">
        <v>1278</v>
      </c>
      <c r="T3962" t="s">
        <v>1268</v>
      </c>
      <c r="U3962" t="s">
        <v>1269</v>
      </c>
      <c r="V3962" t="s">
        <v>1270</v>
      </c>
      <c r="W3962" t="s">
        <v>51</v>
      </c>
      <c r="X3962" t="s">
        <v>45</v>
      </c>
      <c r="Y3962" s="1">
        <v>29259</v>
      </c>
      <c r="Z3962">
        <v>2</v>
      </c>
      <c r="AA3962" t="s">
        <v>1269</v>
      </c>
      <c r="AB3962" s="40" t="s">
        <v>1799</v>
      </c>
    </row>
    <row r="3963" spans="1:28" x14ac:dyDescent="0.25">
      <c r="A3963">
        <v>99913962</v>
      </c>
      <c r="B3963" t="s">
        <v>32</v>
      </c>
      <c r="C3963" t="s">
        <v>111</v>
      </c>
      <c r="D3963" t="s">
        <v>112</v>
      </c>
      <c r="G3963" t="s">
        <v>48</v>
      </c>
      <c r="H3963">
        <v>7</v>
      </c>
      <c r="I3963" t="s">
        <v>475</v>
      </c>
      <c r="J3963" s="1">
        <v>42248</v>
      </c>
      <c r="K3963" t="s">
        <v>431</v>
      </c>
      <c r="L3963" t="s">
        <v>196</v>
      </c>
      <c r="M3963" t="s">
        <v>131</v>
      </c>
      <c r="N3963">
        <v>23</v>
      </c>
      <c r="O3963" s="1">
        <v>42248</v>
      </c>
      <c r="P3963" t="s">
        <v>41</v>
      </c>
      <c r="Q3963" t="s">
        <v>75</v>
      </c>
      <c r="R3963" t="str">
        <f>"7521022"</f>
        <v>7521022</v>
      </c>
      <c r="S3963" t="s">
        <v>445</v>
      </c>
      <c r="T3963" t="s">
        <v>431</v>
      </c>
      <c r="U3963" t="s">
        <v>196</v>
      </c>
      <c r="V3963" t="s">
        <v>131</v>
      </c>
      <c r="W3963" t="s">
        <v>51</v>
      </c>
      <c r="X3963" t="s">
        <v>45</v>
      </c>
      <c r="Y3963" s="1">
        <v>29250</v>
      </c>
      <c r="Z3963">
        <v>1</v>
      </c>
      <c r="AA3963" t="s">
        <v>196</v>
      </c>
      <c r="AB3963" s="40" t="s">
        <v>1799</v>
      </c>
    </row>
    <row r="3964" spans="1:28" x14ac:dyDescent="0.25">
      <c r="A3964">
        <v>99913963</v>
      </c>
      <c r="B3964" t="s">
        <v>32</v>
      </c>
      <c r="C3964" t="s">
        <v>90</v>
      </c>
      <c r="D3964" t="s">
        <v>91</v>
      </c>
      <c r="G3964" t="s">
        <v>48</v>
      </c>
      <c r="H3964">
        <v>1</v>
      </c>
      <c r="K3964" t="s">
        <v>431</v>
      </c>
      <c r="L3964" t="s">
        <v>196</v>
      </c>
      <c r="M3964" t="s">
        <v>131</v>
      </c>
      <c r="N3964">
        <v>23</v>
      </c>
      <c r="P3964" t="s">
        <v>41</v>
      </c>
      <c r="Q3964" t="s">
        <v>95</v>
      </c>
      <c r="R3964" t="str">
        <f>"7521011"</f>
        <v>7521011</v>
      </c>
      <c r="S3964" t="s">
        <v>506</v>
      </c>
      <c r="T3964" t="s">
        <v>431</v>
      </c>
      <c r="U3964" t="s">
        <v>196</v>
      </c>
      <c r="V3964" t="s">
        <v>131</v>
      </c>
      <c r="W3964" t="s">
        <v>51</v>
      </c>
      <c r="X3964" t="s">
        <v>45</v>
      </c>
      <c r="Y3964" s="1">
        <v>29221</v>
      </c>
      <c r="Z3964">
        <v>1</v>
      </c>
      <c r="AA3964" t="s">
        <v>196</v>
      </c>
      <c r="AB3964" s="40" t="s">
        <v>1799</v>
      </c>
    </row>
    <row r="3965" spans="1:28" x14ac:dyDescent="0.25">
      <c r="A3965">
        <v>99913964</v>
      </c>
      <c r="B3965" t="s">
        <v>32</v>
      </c>
      <c r="C3965" t="s">
        <v>139</v>
      </c>
      <c r="D3965" t="s">
        <v>140</v>
      </c>
      <c r="G3965" t="s">
        <v>35</v>
      </c>
      <c r="H3965">
        <v>1</v>
      </c>
      <c r="I3965" t="s">
        <v>966</v>
      </c>
      <c r="J3965" s="1">
        <v>43344</v>
      </c>
      <c r="K3965" t="s">
        <v>947</v>
      </c>
      <c r="L3965" t="s">
        <v>948</v>
      </c>
      <c r="M3965" t="s">
        <v>938</v>
      </c>
      <c r="N3965">
        <v>23</v>
      </c>
      <c r="O3965" s="1">
        <v>43344</v>
      </c>
      <c r="P3965" t="s">
        <v>41</v>
      </c>
      <c r="Q3965" t="s">
        <v>49</v>
      </c>
      <c r="R3965" t="str">
        <f>"0605000"</f>
        <v>0605000</v>
      </c>
      <c r="S3965" t="s">
        <v>950</v>
      </c>
      <c r="T3965" t="s">
        <v>947</v>
      </c>
      <c r="U3965" t="s">
        <v>948</v>
      </c>
      <c r="V3965" t="s">
        <v>938</v>
      </c>
      <c r="W3965" t="s">
        <v>51</v>
      </c>
      <c r="X3965" t="s">
        <v>45</v>
      </c>
      <c r="Y3965" s="1">
        <v>29221</v>
      </c>
      <c r="Z3965">
        <v>2</v>
      </c>
      <c r="AA3965" t="s">
        <v>948</v>
      </c>
      <c r="AB3965" s="40" t="s">
        <v>1799</v>
      </c>
    </row>
    <row r="3966" spans="1:28" x14ac:dyDescent="0.25">
      <c r="A3966">
        <v>99913965</v>
      </c>
      <c r="B3966" t="s">
        <v>32</v>
      </c>
      <c r="C3966" t="s">
        <v>46</v>
      </c>
      <c r="D3966" t="s">
        <v>47</v>
      </c>
      <c r="G3966" t="s">
        <v>35</v>
      </c>
      <c r="H3966">
        <v>1</v>
      </c>
      <c r="I3966" t="s">
        <v>978</v>
      </c>
      <c r="J3966" s="1">
        <v>43368</v>
      </c>
      <c r="K3966" t="s">
        <v>947</v>
      </c>
      <c r="L3966" t="s">
        <v>948</v>
      </c>
      <c r="M3966" t="s">
        <v>938</v>
      </c>
      <c r="N3966">
        <v>23</v>
      </c>
      <c r="O3966" s="1">
        <v>43368</v>
      </c>
      <c r="P3966" t="s">
        <v>41</v>
      </c>
      <c r="Q3966" t="s">
        <v>42</v>
      </c>
      <c r="R3966" t="str">
        <f>"0680030"</f>
        <v>0680030</v>
      </c>
      <c r="S3966" t="s">
        <v>951</v>
      </c>
      <c r="T3966" t="s">
        <v>947</v>
      </c>
      <c r="U3966" t="s">
        <v>948</v>
      </c>
      <c r="V3966" t="s">
        <v>938</v>
      </c>
      <c r="W3966" t="s">
        <v>51</v>
      </c>
      <c r="X3966" t="s">
        <v>45</v>
      </c>
      <c r="Y3966" s="1">
        <v>29221</v>
      </c>
      <c r="Z3966">
        <v>2</v>
      </c>
      <c r="AA3966" t="s">
        <v>948</v>
      </c>
      <c r="AB3966" s="40" t="s">
        <v>1799</v>
      </c>
    </row>
    <row r="3967" spans="1:28" x14ac:dyDescent="0.25">
      <c r="A3967">
        <v>99913966</v>
      </c>
      <c r="B3967" t="s">
        <v>56</v>
      </c>
      <c r="C3967" t="s">
        <v>68</v>
      </c>
      <c r="D3967" t="s">
        <v>69</v>
      </c>
      <c r="G3967" t="s">
        <v>35</v>
      </c>
      <c r="H3967">
        <v>1</v>
      </c>
      <c r="I3967" t="s">
        <v>984</v>
      </c>
      <c r="J3967" s="1">
        <v>43344</v>
      </c>
      <c r="K3967" t="s">
        <v>947</v>
      </c>
      <c r="L3967" t="s">
        <v>948</v>
      </c>
      <c r="M3967" t="s">
        <v>938</v>
      </c>
      <c r="N3967">
        <v>23</v>
      </c>
      <c r="O3967" s="1">
        <v>43344</v>
      </c>
      <c r="P3967" t="s">
        <v>41</v>
      </c>
      <c r="Q3967" t="s">
        <v>42</v>
      </c>
      <c r="R3967" t="str">
        <f>"0680030"</f>
        <v>0680030</v>
      </c>
      <c r="S3967" t="s">
        <v>951</v>
      </c>
      <c r="T3967" t="s">
        <v>947</v>
      </c>
      <c r="U3967" t="s">
        <v>948</v>
      </c>
      <c r="V3967" t="s">
        <v>938</v>
      </c>
      <c r="W3967" t="s">
        <v>51</v>
      </c>
      <c r="X3967" t="s">
        <v>45</v>
      </c>
      <c r="Y3967" s="1">
        <v>29221</v>
      </c>
      <c r="Z3967">
        <v>2</v>
      </c>
      <c r="AA3967" t="s">
        <v>948</v>
      </c>
      <c r="AB3967" s="40" t="s">
        <v>1799</v>
      </c>
    </row>
    <row r="3968" spans="1:28" x14ac:dyDescent="0.25">
      <c r="A3968">
        <v>99913967</v>
      </c>
      <c r="B3968" t="s">
        <v>56</v>
      </c>
      <c r="C3968" t="s">
        <v>46</v>
      </c>
      <c r="D3968" t="s">
        <v>47</v>
      </c>
      <c r="G3968" t="s">
        <v>35</v>
      </c>
      <c r="H3968">
        <v>1</v>
      </c>
      <c r="I3968">
        <v>10085</v>
      </c>
      <c r="J3968" s="1">
        <v>43344</v>
      </c>
      <c r="K3968" t="s">
        <v>1051</v>
      </c>
      <c r="L3968" t="s">
        <v>1052</v>
      </c>
      <c r="M3968" t="s">
        <v>1053</v>
      </c>
      <c r="N3968">
        <v>23</v>
      </c>
      <c r="O3968" s="1">
        <v>43344</v>
      </c>
      <c r="P3968" t="s">
        <v>41</v>
      </c>
      <c r="Q3968" t="s">
        <v>42</v>
      </c>
      <c r="R3968" t="str">
        <f>"2061004"</f>
        <v>2061004</v>
      </c>
      <c r="S3968" t="s">
        <v>1055</v>
      </c>
      <c r="T3968" t="s">
        <v>1051</v>
      </c>
      <c r="U3968" t="s">
        <v>1052</v>
      </c>
      <c r="V3968" t="s">
        <v>1053</v>
      </c>
      <c r="W3968" t="s">
        <v>44</v>
      </c>
      <c r="X3968" t="s">
        <v>45</v>
      </c>
      <c r="Y3968" s="1">
        <v>29221</v>
      </c>
      <c r="Z3968">
        <v>2</v>
      </c>
      <c r="AA3968" t="s">
        <v>1052</v>
      </c>
      <c r="AB3968" s="40" t="s">
        <v>1799</v>
      </c>
    </row>
    <row r="3969" spans="1:28" x14ac:dyDescent="0.25">
      <c r="A3969">
        <v>99913968</v>
      </c>
      <c r="B3969" t="s">
        <v>32</v>
      </c>
      <c r="C3969" t="s">
        <v>64</v>
      </c>
      <c r="D3969" t="s">
        <v>65</v>
      </c>
      <c r="G3969" t="s">
        <v>48</v>
      </c>
      <c r="H3969">
        <v>1</v>
      </c>
      <c r="K3969" t="s">
        <v>1268</v>
      </c>
      <c r="L3969" t="s">
        <v>1269</v>
      </c>
      <c r="M3969" t="s">
        <v>1270</v>
      </c>
      <c r="N3969">
        <v>23</v>
      </c>
      <c r="P3969" t="s">
        <v>41</v>
      </c>
      <c r="Q3969" t="s">
        <v>42</v>
      </c>
      <c r="R3969" t="str">
        <f>"1980050"</f>
        <v>1980050</v>
      </c>
      <c r="S3969" t="s">
        <v>1278</v>
      </c>
      <c r="T3969" t="s">
        <v>1268</v>
      </c>
      <c r="U3969" t="s">
        <v>1269</v>
      </c>
      <c r="V3969" t="s">
        <v>1270</v>
      </c>
      <c r="W3969" t="s">
        <v>51</v>
      </c>
      <c r="X3969" t="s">
        <v>45</v>
      </c>
      <c r="Y3969" s="1">
        <v>29221</v>
      </c>
      <c r="Z3969">
        <v>2</v>
      </c>
      <c r="AA3969" t="s">
        <v>1269</v>
      </c>
      <c r="AB3969" s="40" t="s">
        <v>1799</v>
      </c>
    </row>
    <row r="3970" spans="1:28" x14ac:dyDescent="0.25">
      <c r="A3970">
        <v>99913969</v>
      </c>
      <c r="B3970" t="s">
        <v>32</v>
      </c>
      <c r="C3970" t="s">
        <v>52</v>
      </c>
      <c r="D3970" t="s">
        <v>53</v>
      </c>
      <c r="G3970" t="s">
        <v>48</v>
      </c>
      <c r="H3970">
        <v>1</v>
      </c>
      <c r="K3970" t="s">
        <v>1268</v>
      </c>
      <c r="L3970" t="s">
        <v>1269</v>
      </c>
      <c r="M3970" t="s">
        <v>1270</v>
      </c>
      <c r="N3970">
        <v>23</v>
      </c>
      <c r="P3970" t="s">
        <v>41</v>
      </c>
      <c r="Q3970" t="s">
        <v>42</v>
      </c>
      <c r="R3970" t="str">
        <f>"1990912"</f>
        <v>1990912</v>
      </c>
      <c r="S3970" t="s">
        <v>1271</v>
      </c>
      <c r="T3970" t="s">
        <v>1268</v>
      </c>
      <c r="U3970" t="s">
        <v>1269</v>
      </c>
      <c r="V3970" t="s">
        <v>1270</v>
      </c>
      <c r="W3970" t="s">
        <v>51</v>
      </c>
      <c r="X3970" t="s">
        <v>45</v>
      </c>
      <c r="Y3970" s="1">
        <v>29221</v>
      </c>
      <c r="Z3970">
        <v>2</v>
      </c>
      <c r="AA3970" t="s">
        <v>1269</v>
      </c>
      <c r="AB3970" s="40" t="s">
        <v>1799</v>
      </c>
    </row>
    <row r="3971" spans="1:28" x14ac:dyDescent="0.25">
      <c r="A3971">
        <v>99913970</v>
      </c>
      <c r="B3971" t="s">
        <v>56</v>
      </c>
      <c r="C3971" t="s">
        <v>61</v>
      </c>
      <c r="D3971" t="s">
        <v>62</v>
      </c>
      <c r="G3971" t="s">
        <v>48</v>
      </c>
      <c r="H3971">
        <v>1</v>
      </c>
      <c r="K3971" t="s">
        <v>1268</v>
      </c>
      <c r="L3971" t="s">
        <v>1269</v>
      </c>
      <c r="M3971" t="s">
        <v>1270</v>
      </c>
      <c r="N3971">
        <v>23</v>
      </c>
      <c r="P3971" t="s">
        <v>41</v>
      </c>
      <c r="Q3971" t="s">
        <v>42</v>
      </c>
      <c r="R3971" t="str">
        <f>"1980050"</f>
        <v>1980050</v>
      </c>
      <c r="S3971" t="s">
        <v>1278</v>
      </c>
      <c r="T3971" t="s">
        <v>1268</v>
      </c>
      <c r="U3971" t="s">
        <v>1269</v>
      </c>
      <c r="V3971" t="s">
        <v>1270</v>
      </c>
      <c r="W3971" t="s">
        <v>51</v>
      </c>
      <c r="X3971" t="s">
        <v>45</v>
      </c>
      <c r="Y3971" s="1">
        <v>29221</v>
      </c>
      <c r="Z3971">
        <v>2</v>
      </c>
      <c r="AA3971" t="s">
        <v>1269</v>
      </c>
      <c r="AB3971" s="40" t="s">
        <v>1799</v>
      </c>
    </row>
    <row r="3972" spans="1:28" x14ac:dyDescent="0.25">
      <c r="A3972">
        <v>99913971</v>
      </c>
      <c r="B3972" t="s">
        <v>32</v>
      </c>
      <c r="C3972" t="s">
        <v>46</v>
      </c>
      <c r="D3972" t="s">
        <v>47</v>
      </c>
      <c r="G3972" t="s">
        <v>35</v>
      </c>
      <c r="H3972">
        <v>1</v>
      </c>
      <c r="I3972">
        <v>23901</v>
      </c>
      <c r="J3972" s="1">
        <v>43089</v>
      </c>
      <c r="K3972" t="s">
        <v>1306</v>
      </c>
      <c r="L3972" t="s">
        <v>1307</v>
      </c>
      <c r="M3972" t="s">
        <v>1270</v>
      </c>
      <c r="N3972">
        <v>23</v>
      </c>
      <c r="O3972" s="1">
        <v>43089</v>
      </c>
      <c r="P3972" t="s">
        <v>41</v>
      </c>
      <c r="Q3972" t="s">
        <v>42</v>
      </c>
      <c r="R3972" t="str">
        <f>"1990913"</f>
        <v>1990913</v>
      </c>
      <c r="S3972" t="s">
        <v>1312</v>
      </c>
      <c r="T3972" t="s">
        <v>1306</v>
      </c>
      <c r="U3972" t="s">
        <v>1307</v>
      </c>
      <c r="V3972" t="s">
        <v>1270</v>
      </c>
      <c r="W3972" t="s">
        <v>55</v>
      </c>
      <c r="X3972" t="s">
        <v>45</v>
      </c>
      <c r="Y3972" s="1">
        <v>29221</v>
      </c>
      <c r="Z3972">
        <v>2</v>
      </c>
      <c r="AA3972" t="s">
        <v>1307</v>
      </c>
      <c r="AB3972" s="40" t="s">
        <v>1799</v>
      </c>
    </row>
    <row r="3973" spans="1:28" x14ac:dyDescent="0.25">
      <c r="A3973">
        <v>99913972</v>
      </c>
      <c r="B3973" t="s">
        <v>32</v>
      </c>
      <c r="C3973" t="s">
        <v>111</v>
      </c>
      <c r="D3973" t="s">
        <v>112</v>
      </c>
      <c r="G3973" t="s">
        <v>48</v>
      </c>
      <c r="H3973">
        <v>1</v>
      </c>
      <c r="K3973" t="s">
        <v>154</v>
      </c>
      <c r="L3973" t="s">
        <v>155</v>
      </c>
      <c r="M3973" t="s">
        <v>131</v>
      </c>
      <c r="N3973">
        <v>23</v>
      </c>
      <c r="P3973" t="s">
        <v>41</v>
      </c>
      <c r="Q3973" t="s">
        <v>75</v>
      </c>
      <c r="R3973" t="str">
        <f>"7051022"</f>
        <v>7051022</v>
      </c>
      <c r="S3973" t="s">
        <v>153</v>
      </c>
      <c r="T3973" t="s">
        <v>154</v>
      </c>
      <c r="U3973" t="s">
        <v>155</v>
      </c>
      <c r="V3973" t="s">
        <v>131</v>
      </c>
      <c r="W3973" t="s">
        <v>51</v>
      </c>
      <c r="X3973" t="s">
        <v>45</v>
      </c>
      <c r="Y3973" s="1">
        <v>29209</v>
      </c>
      <c r="Z3973">
        <v>1</v>
      </c>
      <c r="AA3973" t="s">
        <v>155</v>
      </c>
      <c r="AB3973" s="40" t="s">
        <v>1799</v>
      </c>
    </row>
    <row r="3974" spans="1:28" x14ac:dyDescent="0.25">
      <c r="A3974">
        <v>99913973</v>
      </c>
      <c r="B3974" t="s">
        <v>32</v>
      </c>
      <c r="C3974" t="s">
        <v>85</v>
      </c>
      <c r="D3974" t="s">
        <v>86</v>
      </c>
      <c r="G3974" t="s">
        <v>48</v>
      </c>
      <c r="H3974">
        <v>1</v>
      </c>
      <c r="K3974" t="s">
        <v>345</v>
      </c>
      <c r="L3974" t="s">
        <v>346</v>
      </c>
      <c r="M3974" t="s">
        <v>131</v>
      </c>
      <c r="N3974">
        <v>23</v>
      </c>
      <c r="P3974" t="s">
        <v>41</v>
      </c>
      <c r="Q3974" t="s">
        <v>49</v>
      </c>
      <c r="R3974" t="str">
        <f>"0561021"</f>
        <v>0561021</v>
      </c>
      <c r="S3974" t="s">
        <v>352</v>
      </c>
      <c r="T3974" t="s">
        <v>345</v>
      </c>
      <c r="U3974" t="s">
        <v>346</v>
      </c>
      <c r="V3974" t="s">
        <v>131</v>
      </c>
      <c r="W3974" t="s">
        <v>51</v>
      </c>
      <c r="X3974" t="s">
        <v>45</v>
      </c>
      <c r="Y3974" s="1">
        <v>29204</v>
      </c>
      <c r="Z3974">
        <v>2</v>
      </c>
      <c r="AA3974" t="s">
        <v>346</v>
      </c>
      <c r="AB3974" s="40" t="s">
        <v>1799</v>
      </c>
    </row>
    <row r="3975" spans="1:28" x14ac:dyDescent="0.25">
      <c r="A3975">
        <v>99913974</v>
      </c>
      <c r="B3975" t="s">
        <v>32</v>
      </c>
      <c r="C3975" t="s">
        <v>46</v>
      </c>
      <c r="D3975" t="s">
        <v>47</v>
      </c>
      <c r="G3975" t="s">
        <v>35</v>
      </c>
      <c r="H3975">
        <v>1</v>
      </c>
      <c r="K3975" t="s">
        <v>936</v>
      </c>
      <c r="L3975" t="s">
        <v>937</v>
      </c>
      <c r="M3975" t="s">
        <v>938</v>
      </c>
      <c r="N3975">
        <v>23</v>
      </c>
      <c r="P3975" t="s">
        <v>41</v>
      </c>
      <c r="Q3975" t="s">
        <v>49</v>
      </c>
      <c r="R3975" t="str">
        <f>"0160075"</f>
        <v>0160075</v>
      </c>
      <c r="S3975" t="s">
        <v>939</v>
      </c>
      <c r="T3975" t="s">
        <v>936</v>
      </c>
      <c r="U3975" t="s">
        <v>937</v>
      </c>
      <c r="V3975" t="s">
        <v>938</v>
      </c>
      <c r="W3975" t="s">
        <v>51</v>
      </c>
      <c r="X3975" t="s">
        <v>45</v>
      </c>
      <c r="Y3975" s="1">
        <v>29177</v>
      </c>
      <c r="Z3975">
        <v>2</v>
      </c>
      <c r="AA3975" t="s">
        <v>937</v>
      </c>
      <c r="AB3975" s="40" t="s">
        <v>1799</v>
      </c>
    </row>
    <row r="3976" spans="1:28" x14ac:dyDescent="0.25">
      <c r="A3976">
        <v>99913975</v>
      </c>
      <c r="B3976" t="s">
        <v>56</v>
      </c>
      <c r="C3976" t="s">
        <v>85</v>
      </c>
      <c r="D3976" t="s">
        <v>86</v>
      </c>
      <c r="G3976" t="s">
        <v>48</v>
      </c>
      <c r="H3976">
        <v>6</v>
      </c>
      <c r="J3976" s="1">
        <v>40787</v>
      </c>
      <c r="K3976" t="s">
        <v>1268</v>
      </c>
      <c r="L3976" t="s">
        <v>1269</v>
      </c>
      <c r="M3976" t="s">
        <v>1270</v>
      </c>
      <c r="N3976">
        <v>23</v>
      </c>
      <c r="O3976" s="1">
        <v>40787</v>
      </c>
      <c r="P3976" t="s">
        <v>41</v>
      </c>
      <c r="Q3976" t="s">
        <v>42</v>
      </c>
      <c r="R3976" t="str">
        <f>"1980050"</f>
        <v>1980050</v>
      </c>
      <c r="S3976" t="s">
        <v>1278</v>
      </c>
      <c r="T3976" t="s">
        <v>1268</v>
      </c>
      <c r="U3976" t="s">
        <v>1269</v>
      </c>
      <c r="V3976" t="s">
        <v>1270</v>
      </c>
      <c r="W3976" t="s">
        <v>51</v>
      </c>
      <c r="X3976" t="s">
        <v>45</v>
      </c>
      <c r="Y3976" s="1">
        <v>29142</v>
      </c>
      <c r="Z3976">
        <v>2</v>
      </c>
      <c r="AA3976" t="s">
        <v>1269</v>
      </c>
      <c r="AB3976" s="40" t="s">
        <v>1799</v>
      </c>
    </row>
    <row r="3977" spans="1:28" x14ac:dyDescent="0.25">
      <c r="A3977">
        <v>99913976</v>
      </c>
      <c r="B3977" t="s">
        <v>32</v>
      </c>
      <c r="C3977" t="s">
        <v>141</v>
      </c>
      <c r="D3977" t="s">
        <v>142</v>
      </c>
      <c r="G3977" t="s">
        <v>48</v>
      </c>
      <c r="H3977">
        <v>6</v>
      </c>
      <c r="K3977" t="s">
        <v>195</v>
      </c>
      <c r="L3977" t="s">
        <v>196</v>
      </c>
      <c r="M3977" t="s">
        <v>131</v>
      </c>
      <c r="N3977">
        <v>23</v>
      </c>
      <c r="O3977" s="1">
        <v>41153</v>
      </c>
      <c r="P3977" t="s">
        <v>41</v>
      </c>
      <c r="Q3977" t="s">
        <v>75</v>
      </c>
      <c r="R3977" t="str">
        <f>"7521044"</f>
        <v>7521044</v>
      </c>
      <c r="S3977" t="s">
        <v>453</v>
      </c>
      <c r="T3977" t="s">
        <v>195</v>
      </c>
      <c r="U3977" t="s">
        <v>196</v>
      </c>
      <c r="V3977" t="s">
        <v>131</v>
      </c>
      <c r="W3977" t="s">
        <v>51</v>
      </c>
      <c r="X3977" t="s">
        <v>45</v>
      </c>
      <c r="Y3977" s="1">
        <v>29141</v>
      </c>
      <c r="Z3977">
        <v>1</v>
      </c>
      <c r="AA3977" t="s">
        <v>196</v>
      </c>
      <c r="AB3977" s="40" t="s">
        <v>1799</v>
      </c>
    </row>
    <row r="3978" spans="1:28" x14ac:dyDescent="0.25">
      <c r="A3978">
        <v>99913977</v>
      </c>
      <c r="B3978" t="s">
        <v>32</v>
      </c>
      <c r="C3978" t="s">
        <v>111</v>
      </c>
      <c r="D3978" t="s">
        <v>112</v>
      </c>
      <c r="G3978" t="s">
        <v>48</v>
      </c>
      <c r="H3978">
        <v>1</v>
      </c>
      <c r="K3978" t="s">
        <v>154</v>
      </c>
      <c r="L3978" t="s">
        <v>355</v>
      </c>
      <c r="M3978" t="s">
        <v>131</v>
      </c>
      <c r="N3978">
        <v>23</v>
      </c>
      <c r="P3978" t="s">
        <v>41</v>
      </c>
      <c r="Q3978" t="s">
        <v>75</v>
      </c>
      <c r="R3978" t="str">
        <f>"7051022"</f>
        <v>7051022</v>
      </c>
      <c r="S3978" t="s">
        <v>153</v>
      </c>
      <c r="T3978" t="s">
        <v>154</v>
      </c>
      <c r="U3978" t="s">
        <v>155</v>
      </c>
      <c r="V3978" t="s">
        <v>131</v>
      </c>
      <c r="W3978" t="s">
        <v>51</v>
      </c>
      <c r="X3978" t="s">
        <v>45</v>
      </c>
      <c r="Y3978" s="1">
        <v>29141</v>
      </c>
      <c r="Z3978">
        <v>1</v>
      </c>
      <c r="AA3978" t="s">
        <v>355</v>
      </c>
      <c r="AB3978" s="40" t="s">
        <v>1799</v>
      </c>
    </row>
    <row r="3979" spans="1:28" x14ac:dyDescent="0.25">
      <c r="A3979">
        <v>99913978</v>
      </c>
      <c r="B3979" t="s">
        <v>56</v>
      </c>
      <c r="C3979" t="s">
        <v>111</v>
      </c>
      <c r="D3979" t="s">
        <v>112</v>
      </c>
      <c r="G3979" t="s">
        <v>35</v>
      </c>
      <c r="H3979">
        <v>1</v>
      </c>
      <c r="I3979" t="s">
        <v>613</v>
      </c>
      <c r="J3979" s="1">
        <v>43344</v>
      </c>
      <c r="K3979" t="s">
        <v>268</v>
      </c>
      <c r="L3979" t="s">
        <v>269</v>
      </c>
      <c r="M3979" t="s">
        <v>131</v>
      </c>
      <c r="N3979">
        <v>23</v>
      </c>
      <c r="O3979" s="1">
        <v>43344</v>
      </c>
      <c r="P3979" t="s">
        <v>41</v>
      </c>
      <c r="Q3979" t="s">
        <v>75</v>
      </c>
      <c r="R3979" t="str">
        <f>"7052020"</f>
        <v>7052020</v>
      </c>
      <c r="S3979" t="s">
        <v>267</v>
      </c>
      <c r="T3979" t="s">
        <v>268</v>
      </c>
      <c r="U3979" t="s">
        <v>269</v>
      </c>
      <c r="V3979" t="s">
        <v>131</v>
      </c>
      <c r="W3979" t="s">
        <v>51</v>
      </c>
      <c r="X3979" t="s">
        <v>45</v>
      </c>
      <c r="Y3979" s="1">
        <v>29138</v>
      </c>
      <c r="Z3979">
        <v>1</v>
      </c>
      <c r="AA3979" t="s">
        <v>269</v>
      </c>
      <c r="AB3979" s="40" t="s">
        <v>1799</v>
      </c>
    </row>
    <row r="3980" spans="1:28" x14ac:dyDescent="0.25">
      <c r="A3980">
        <v>99913979</v>
      </c>
      <c r="B3980" t="s">
        <v>32</v>
      </c>
      <c r="C3980" t="s">
        <v>111</v>
      </c>
      <c r="D3980" t="s">
        <v>112</v>
      </c>
      <c r="G3980" t="s">
        <v>48</v>
      </c>
      <c r="H3980">
        <v>6</v>
      </c>
      <c r="K3980" t="s">
        <v>354</v>
      </c>
      <c r="L3980" t="s">
        <v>355</v>
      </c>
      <c r="M3980" t="s">
        <v>131</v>
      </c>
      <c r="N3980">
        <v>23</v>
      </c>
      <c r="P3980" t="s">
        <v>41</v>
      </c>
      <c r="Q3980" t="s">
        <v>75</v>
      </c>
      <c r="R3980" t="str">
        <f>"7054022"</f>
        <v>7054022</v>
      </c>
      <c r="S3980" t="s">
        <v>770</v>
      </c>
      <c r="T3980" t="s">
        <v>354</v>
      </c>
      <c r="U3980" t="s">
        <v>355</v>
      </c>
      <c r="V3980" t="s">
        <v>131</v>
      </c>
      <c r="W3980" t="s">
        <v>51</v>
      </c>
      <c r="X3980" t="s">
        <v>45</v>
      </c>
      <c r="Y3980" s="1">
        <v>29127</v>
      </c>
      <c r="Z3980">
        <v>1</v>
      </c>
      <c r="AA3980" t="s">
        <v>355</v>
      </c>
      <c r="AB3980" s="40" t="s">
        <v>1799</v>
      </c>
    </row>
    <row r="3981" spans="1:28" x14ac:dyDescent="0.25">
      <c r="A3981">
        <v>99913980</v>
      </c>
      <c r="B3981" t="s">
        <v>56</v>
      </c>
      <c r="C3981" t="s">
        <v>111</v>
      </c>
      <c r="D3981" t="s">
        <v>112</v>
      </c>
      <c r="G3981" t="s">
        <v>48</v>
      </c>
      <c r="H3981">
        <v>7</v>
      </c>
      <c r="K3981" t="s">
        <v>1426</v>
      </c>
      <c r="L3981" t="s">
        <v>1427</v>
      </c>
      <c r="M3981" t="s">
        <v>1270</v>
      </c>
      <c r="N3981">
        <v>23</v>
      </c>
      <c r="P3981" t="s">
        <v>41</v>
      </c>
      <c r="Q3981" t="s">
        <v>75</v>
      </c>
      <c r="R3981" t="str">
        <f>"7192000"</f>
        <v>7192000</v>
      </c>
      <c r="S3981" t="s">
        <v>1429</v>
      </c>
      <c r="T3981" t="s">
        <v>1426</v>
      </c>
      <c r="U3981" t="s">
        <v>1427</v>
      </c>
      <c r="V3981" t="s">
        <v>1270</v>
      </c>
      <c r="W3981" t="s">
        <v>51</v>
      </c>
      <c r="X3981" t="s">
        <v>45</v>
      </c>
      <c r="Y3981" s="1">
        <v>29099</v>
      </c>
      <c r="Z3981">
        <v>1</v>
      </c>
      <c r="AA3981" t="s">
        <v>1427</v>
      </c>
      <c r="AB3981" s="40" t="s">
        <v>1799</v>
      </c>
    </row>
    <row r="3982" spans="1:28" x14ac:dyDescent="0.25">
      <c r="A3982">
        <v>99913981</v>
      </c>
      <c r="B3982" t="s">
        <v>32</v>
      </c>
      <c r="C3982" t="s">
        <v>111</v>
      </c>
      <c r="D3982" t="s">
        <v>112</v>
      </c>
      <c r="G3982" t="s">
        <v>35</v>
      </c>
      <c r="H3982">
        <v>7</v>
      </c>
      <c r="K3982" t="s">
        <v>268</v>
      </c>
      <c r="L3982" t="s">
        <v>269</v>
      </c>
      <c r="M3982" t="s">
        <v>131</v>
      </c>
      <c r="N3982">
        <v>23</v>
      </c>
      <c r="P3982" t="s">
        <v>41</v>
      </c>
      <c r="Q3982" t="s">
        <v>75</v>
      </c>
      <c r="R3982" t="str">
        <f>"7052004"</f>
        <v>7052004</v>
      </c>
      <c r="S3982" t="s">
        <v>584</v>
      </c>
      <c r="T3982" t="s">
        <v>268</v>
      </c>
      <c r="U3982" t="s">
        <v>269</v>
      </c>
      <c r="V3982" t="s">
        <v>131</v>
      </c>
      <c r="W3982" t="s">
        <v>51</v>
      </c>
      <c r="X3982" t="s">
        <v>45</v>
      </c>
      <c r="Y3982" s="1">
        <v>29088</v>
      </c>
      <c r="Z3982">
        <v>1</v>
      </c>
      <c r="AA3982" t="s">
        <v>269</v>
      </c>
      <c r="AB3982" s="40" t="s">
        <v>1799</v>
      </c>
    </row>
    <row r="3983" spans="1:28" x14ac:dyDescent="0.25">
      <c r="A3983">
        <v>99913982</v>
      </c>
      <c r="B3983" t="s">
        <v>32</v>
      </c>
      <c r="C3983" t="s">
        <v>111</v>
      </c>
      <c r="D3983" t="s">
        <v>112</v>
      </c>
      <c r="G3983" t="s">
        <v>48</v>
      </c>
      <c r="H3983">
        <v>1</v>
      </c>
      <c r="K3983" t="s">
        <v>268</v>
      </c>
      <c r="L3983" t="s">
        <v>269</v>
      </c>
      <c r="M3983" t="s">
        <v>131</v>
      </c>
      <c r="N3983">
        <v>23</v>
      </c>
      <c r="P3983" t="s">
        <v>41</v>
      </c>
      <c r="Q3983" t="s">
        <v>75</v>
      </c>
      <c r="R3983" t="str">
        <f>"7052044"</f>
        <v>7052044</v>
      </c>
      <c r="S3983" t="s">
        <v>589</v>
      </c>
      <c r="T3983" t="s">
        <v>268</v>
      </c>
      <c r="U3983" t="s">
        <v>269</v>
      </c>
      <c r="V3983" t="s">
        <v>131</v>
      </c>
      <c r="W3983" t="s">
        <v>51</v>
      </c>
      <c r="X3983" t="s">
        <v>45</v>
      </c>
      <c r="Y3983" s="1">
        <v>29088</v>
      </c>
      <c r="Z3983">
        <v>1</v>
      </c>
      <c r="AA3983" t="s">
        <v>269</v>
      </c>
      <c r="AB3983" s="40" t="s">
        <v>1799</v>
      </c>
    </row>
    <row r="3984" spans="1:28" x14ac:dyDescent="0.25">
      <c r="A3984">
        <v>99913983</v>
      </c>
      <c r="B3984" t="s">
        <v>32</v>
      </c>
      <c r="C3984" t="s">
        <v>145</v>
      </c>
      <c r="D3984" t="s">
        <v>146</v>
      </c>
      <c r="G3984" t="s">
        <v>48</v>
      </c>
      <c r="H3984">
        <v>1</v>
      </c>
      <c r="K3984" t="s">
        <v>129</v>
      </c>
      <c r="L3984" t="s">
        <v>130</v>
      </c>
      <c r="M3984" t="s">
        <v>131</v>
      </c>
      <c r="N3984">
        <v>23</v>
      </c>
      <c r="P3984" t="s">
        <v>41</v>
      </c>
      <c r="Q3984" t="s">
        <v>42</v>
      </c>
      <c r="R3984" t="str">
        <f>"0580715"</f>
        <v>0580715</v>
      </c>
      <c r="S3984" t="s">
        <v>147</v>
      </c>
      <c r="T3984" t="s">
        <v>129</v>
      </c>
      <c r="U3984" t="s">
        <v>130</v>
      </c>
      <c r="V3984" t="s">
        <v>131</v>
      </c>
      <c r="W3984" t="s">
        <v>51</v>
      </c>
      <c r="X3984" t="s">
        <v>45</v>
      </c>
      <c r="Y3984" s="1">
        <v>29076</v>
      </c>
      <c r="Z3984">
        <v>2</v>
      </c>
      <c r="AA3984" t="s">
        <v>130</v>
      </c>
      <c r="AB3984" s="40" t="s">
        <v>1799</v>
      </c>
    </row>
    <row r="3985" spans="1:28" x14ac:dyDescent="0.25">
      <c r="A3985">
        <v>99913984</v>
      </c>
      <c r="B3985" t="s">
        <v>32</v>
      </c>
      <c r="C3985" t="s">
        <v>46</v>
      </c>
      <c r="D3985" t="s">
        <v>47</v>
      </c>
      <c r="G3985" t="s">
        <v>35</v>
      </c>
      <c r="H3985">
        <v>1</v>
      </c>
      <c r="I3985" t="s">
        <v>1559</v>
      </c>
      <c r="J3985" s="1">
        <v>43344</v>
      </c>
      <c r="K3985" t="s">
        <v>1546</v>
      </c>
      <c r="L3985" t="s">
        <v>1547</v>
      </c>
      <c r="M3985" t="s">
        <v>1548</v>
      </c>
      <c r="N3985">
        <v>23</v>
      </c>
      <c r="O3985" s="1">
        <v>43344</v>
      </c>
      <c r="P3985" t="s">
        <v>41</v>
      </c>
      <c r="Q3985" t="s">
        <v>42</v>
      </c>
      <c r="R3985" t="str">
        <f>"1061001"</f>
        <v>1061001</v>
      </c>
      <c r="S3985" t="s">
        <v>1550</v>
      </c>
      <c r="T3985" t="s">
        <v>1546</v>
      </c>
      <c r="U3985" t="s">
        <v>1547</v>
      </c>
      <c r="V3985" t="s">
        <v>1548</v>
      </c>
      <c r="W3985" t="s">
        <v>44</v>
      </c>
      <c r="X3985" t="s">
        <v>45</v>
      </c>
      <c r="Y3985" s="1">
        <v>29065</v>
      </c>
      <c r="Z3985">
        <v>2</v>
      </c>
      <c r="AA3985" t="s">
        <v>1547</v>
      </c>
      <c r="AB3985" s="40" t="s">
        <v>1799</v>
      </c>
    </row>
    <row r="3986" spans="1:28" x14ac:dyDescent="0.25">
      <c r="A3986">
        <v>99913985</v>
      </c>
      <c r="B3986" t="s">
        <v>32</v>
      </c>
      <c r="C3986" t="s">
        <v>111</v>
      </c>
      <c r="D3986" t="s">
        <v>112</v>
      </c>
      <c r="G3986" t="s">
        <v>48</v>
      </c>
      <c r="H3986">
        <v>1</v>
      </c>
      <c r="K3986" t="s">
        <v>268</v>
      </c>
      <c r="L3986" t="s">
        <v>269</v>
      </c>
      <c r="M3986" t="s">
        <v>131</v>
      </c>
      <c r="N3986">
        <v>23</v>
      </c>
      <c r="P3986" t="s">
        <v>41</v>
      </c>
      <c r="Q3986" t="s">
        <v>75</v>
      </c>
      <c r="R3986" t="str">
        <f>"7052034"</f>
        <v>7052034</v>
      </c>
      <c r="S3986" t="s">
        <v>604</v>
      </c>
      <c r="T3986" t="s">
        <v>268</v>
      </c>
      <c r="U3986" t="s">
        <v>269</v>
      </c>
      <c r="V3986" t="s">
        <v>131</v>
      </c>
      <c r="W3986" t="s">
        <v>51</v>
      </c>
      <c r="X3986" t="s">
        <v>45</v>
      </c>
      <c r="Y3986" s="1">
        <v>29059</v>
      </c>
      <c r="Z3986">
        <v>1</v>
      </c>
      <c r="AA3986" t="s">
        <v>269</v>
      </c>
      <c r="AB3986" s="40" t="s">
        <v>1799</v>
      </c>
    </row>
    <row r="3987" spans="1:28" x14ac:dyDescent="0.25">
      <c r="A3987">
        <v>99913986</v>
      </c>
      <c r="B3987" t="s">
        <v>56</v>
      </c>
      <c r="C3987" t="s">
        <v>61</v>
      </c>
      <c r="D3987" t="s">
        <v>62</v>
      </c>
      <c r="G3987" t="s">
        <v>35</v>
      </c>
      <c r="H3987">
        <v>1</v>
      </c>
      <c r="K3987" t="s">
        <v>223</v>
      </c>
      <c r="L3987" t="s">
        <v>224</v>
      </c>
      <c r="M3987" t="s">
        <v>131</v>
      </c>
      <c r="N3987">
        <v>23</v>
      </c>
      <c r="P3987" t="s">
        <v>41</v>
      </c>
      <c r="Q3987" t="s">
        <v>42</v>
      </c>
      <c r="R3987" t="str">
        <f>"0580345"</f>
        <v>0580345</v>
      </c>
      <c r="S3987" t="s">
        <v>261</v>
      </c>
      <c r="T3987" t="s">
        <v>223</v>
      </c>
      <c r="U3987" t="s">
        <v>224</v>
      </c>
      <c r="V3987" t="s">
        <v>131</v>
      </c>
      <c r="W3987" t="s">
        <v>51</v>
      </c>
      <c r="X3987" t="s">
        <v>45</v>
      </c>
      <c r="Y3987" s="1">
        <v>29051</v>
      </c>
      <c r="Z3987">
        <v>2</v>
      </c>
      <c r="AA3987" t="s">
        <v>224</v>
      </c>
      <c r="AB3987" s="40" t="s">
        <v>1799</v>
      </c>
    </row>
    <row r="3988" spans="1:28" x14ac:dyDescent="0.25">
      <c r="A3988">
        <v>99913987</v>
      </c>
      <c r="B3988" t="s">
        <v>32</v>
      </c>
      <c r="C3988" t="s">
        <v>46</v>
      </c>
      <c r="D3988" t="s">
        <v>47</v>
      </c>
      <c r="G3988" t="s">
        <v>35</v>
      </c>
      <c r="H3988">
        <v>1</v>
      </c>
      <c r="K3988" t="s">
        <v>223</v>
      </c>
      <c r="L3988" t="s">
        <v>224</v>
      </c>
      <c r="M3988" t="s">
        <v>131</v>
      </c>
      <c r="N3988">
        <v>23</v>
      </c>
      <c r="P3988" t="s">
        <v>41</v>
      </c>
      <c r="Q3988" t="s">
        <v>49</v>
      </c>
      <c r="R3988" t="str">
        <f>"0591901"</f>
        <v>0591901</v>
      </c>
      <c r="S3988" t="s">
        <v>230</v>
      </c>
      <c r="T3988" t="s">
        <v>223</v>
      </c>
      <c r="U3988" t="s">
        <v>224</v>
      </c>
      <c r="V3988" t="s">
        <v>131</v>
      </c>
      <c r="W3988" t="s">
        <v>51</v>
      </c>
      <c r="X3988" t="s">
        <v>45</v>
      </c>
      <c r="Y3988" s="1">
        <v>29043</v>
      </c>
      <c r="Z3988">
        <v>2</v>
      </c>
      <c r="AA3988" t="s">
        <v>224</v>
      </c>
      <c r="AB3988" s="40" t="s">
        <v>1799</v>
      </c>
    </row>
    <row r="3989" spans="1:28" x14ac:dyDescent="0.25">
      <c r="A3989">
        <v>99913988</v>
      </c>
      <c r="B3989" t="s">
        <v>32</v>
      </c>
      <c r="C3989" t="s">
        <v>71</v>
      </c>
      <c r="D3989" t="s">
        <v>72</v>
      </c>
      <c r="G3989" t="s">
        <v>35</v>
      </c>
      <c r="H3989">
        <v>1</v>
      </c>
      <c r="K3989" t="s">
        <v>345</v>
      </c>
      <c r="L3989" t="s">
        <v>346</v>
      </c>
      <c r="M3989" t="s">
        <v>131</v>
      </c>
      <c r="N3989">
        <v>23</v>
      </c>
      <c r="P3989" t="s">
        <v>41</v>
      </c>
      <c r="Q3989" t="s">
        <v>49</v>
      </c>
      <c r="R3989" t="str">
        <f>"0560007"</f>
        <v>0560007</v>
      </c>
      <c r="S3989" t="s">
        <v>357</v>
      </c>
      <c r="T3989" t="s">
        <v>345</v>
      </c>
      <c r="U3989" t="s">
        <v>346</v>
      </c>
      <c r="V3989" t="s">
        <v>131</v>
      </c>
      <c r="W3989" t="s">
        <v>51</v>
      </c>
      <c r="X3989" t="s">
        <v>45</v>
      </c>
      <c r="Y3989" s="1">
        <v>29029</v>
      </c>
      <c r="Z3989">
        <v>2</v>
      </c>
      <c r="AA3989" t="s">
        <v>346</v>
      </c>
      <c r="AB3989" s="40" t="s">
        <v>1799</v>
      </c>
    </row>
    <row r="3990" spans="1:28" x14ac:dyDescent="0.25">
      <c r="A3990">
        <v>99913989</v>
      </c>
      <c r="B3990" t="s">
        <v>56</v>
      </c>
      <c r="C3990" t="s">
        <v>46</v>
      </c>
      <c r="D3990" t="s">
        <v>47</v>
      </c>
      <c r="G3990" t="s">
        <v>35</v>
      </c>
      <c r="H3990">
        <v>1</v>
      </c>
      <c r="I3990">
        <v>0</v>
      </c>
      <c r="J3990" s="1">
        <v>43344</v>
      </c>
      <c r="K3990" t="s">
        <v>223</v>
      </c>
      <c r="L3990" t="s">
        <v>224</v>
      </c>
      <c r="M3990" t="s">
        <v>131</v>
      </c>
      <c r="N3990">
        <v>23</v>
      </c>
      <c r="O3990" s="1">
        <v>43344</v>
      </c>
      <c r="P3990" t="s">
        <v>41</v>
      </c>
      <c r="Q3990" t="s">
        <v>49</v>
      </c>
      <c r="R3990" t="str">
        <f>"0581207"</f>
        <v>0581207</v>
      </c>
      <c r="S3990" t="s">
        <v>233</v>
      </c>
      <c r="T3990" t="s">
        <v>223</v>
      </c>
      <c r="U3990" t="s">
        <v>224</v>
      </c>
      <c r="V3990" t="s">
        <v>131</v>
      </c>
      <c r="W3990" t="s">
        <v>44</v>
      </c>
      <c r="X3990" t="s">
        <v>45</v>
      </c>
      <c r="Y3990" s="1">
        <v>29007</v>
      </c>
      <c r="Z3990">
        <v>2</v>
      </c>
      <c r="AA3990" t="s">
        <v>224</v>
      </c>
      <c r="AB3990" s="40" t="s">
        <v>1799</v>
      </c>
    </row>
    <row r="3991" spans="1:28" x14ac:dyDescent="0.25">
      <c r="A3991">
        <v>99913990</v>
      </c>
      <c r="B3991" t="s">
        <v>32</v>
      </c>
      <c r="C3991" t="s">
        <v>149</v>
      </c>
      <c r="D3991" t="s">
        <v>150</v>
      </c>
      <c r="G3991" t="s">
        <v>35</v>
      </c>
      <c r="H3991">
        <v>3</v>
      </c>
      <c r="I3991">
        <v>13104</v>
      </c>
      <c r="J3991" s="1">
        <v>43344</v>
      </c>
      <c r="K3991" t="s">
        <v>1268</v>
      </c>
      <c r="L3991" t="s">
        <v>1269</v>
      </c>
      <c r="M3991" t="s">
        <v>1270</v>
      </c>
      <c r="N3991">
        <v>23</v>
      </c>
      <c r="O3991" s="1">
        <v>43344</v>
      </c>
      <c r="P3991" t="s">
        <v>41</v>
      </c>
      <c r="Q3991" t="s">
        <v>49</v>
      </c>
      <c r="R3991" t="str">
        <f>"1981055"</f>
        <v>1981055</v>
      </c>
      <c r="S3991" t="s">
        <v>1280</v>
      </c>
      <c r="T3991" t="s">
        <v>1268</v>
      </c>
      <c r="U3991" t="s">
        <v>1269</v>
      </c>
      <c r="V3991" t="s">
        <v>1270</v>
      </c>
      <c r="W3991" t="s">
        <v>51</v>
      </c>
      <c r="X3991" t="s">
        <v>45</v>
      </c>
      <c r="Y3991" s="1">
        <v>28984</v>
      </c>
      <c r="Z3991">
        <v>2</v>
      </c>
      <c r="AA3991" t="s">
        <v>1269</v>
      </c>
      <c r="AB3991" s="40" t="s">
        <v>1799</v>
      </c>
    </row>
    <row r="3992" spans="1:28" x14ac:dyDescent="0.25">
      <c r="A3992">
        <v>99913991</v>
      </c>
      <c r="B3992" t="s">
        <v>32</v>
      </c>
      <c r="C3992" t="s">
        <v>111</v>
      </c>
      <c r="D3992" t="s">
        <v>112</v>
      </c>
      <c r="G3992" t="s">
        <v>35</v>
      </c>
      <c r="H3992">
        <v>1</v>
      </c>
      <c r="I3992">
        <v>2668</v>
      </c>
      <c r="J3992" s="1">
        <v>43344</v>
      </c>
      <c r="K3992" t="s">
        <v>877</v>
      </c>
      <c r="L3992" t="s">
        <v>878</v>
      </c>
      <c r="M3992" t="s">
        <v>131</v>
      </c>
      <c r="N3992">
        <v>23</v>
      </c>
      <c r="O3992" s="1">
        <v>43344</v>
      </c>
      <c r="P3992" t="s">
        <v>41</v>
      </c>
      <c r="Q3992" t="s">
        <v>75</v>
      </c>
      <c r="R3992" t="str">
        <f>"7541024"</f>
        <v>7541024</v>
      </c>
      <c r="S3992" t="s">
        <v>885</v>
      </c>
      <c r="T3992" t="s">
        <v>877</v>
      </c>
      <c r="U3992" t="s">
        <v>878</v>
      </c>
      <c r="V3992" t="s">
        <v>131</v>
      </c>
      <c r="W3992" t="s">
        <v>51</v>
      </c>
      <c r="X3992" t="s">
        <v>45</v>
      </c>
      <c r="Y3992" s="1">
        <v>28978</v>
      </c>
      <c r="Z3992">
        <v>1</v>
      </c>
      <c r="AA3992" t="s">
        <v>878</v>
      </c>
      <c r="AB3992" s="40" t="s">
        <v>1799</v>
      </c>
    </row>
    <row r="3993" spans="1:28" x14ac:dyDescent="0.25">
      <c r="A3993">
        <v>99913992</v>
      </c>
      <c r="B3993" t="s">
        <v>32</v>
      </c>
      <c r="C3993" t="s">
        <v>64</v>
      </c>
      <c r="D3993" t="s">
        <v>65</v>
      </c>
      <c r="G3993" t="s">
        <v>48</v>
      </c>
      <c r="H3993">
        <v>1</v>
      </c>
      <c r="K3993" t="s">
        <v>1198</v>
      </c>
      <c r="L3993" t="s">
        <v>1199</v>
      </c>
      <c r="M3993" t="s">
        <v>1130</v>
      </c>
      <c r="N3993">
        <v>23</v>
      </c>
      <c r="P3993" t="s">
        <v>41</v>
      </c>
      <c r="Q3993" t="s">
        <v>75</v>
      </c>
      <c r="R3993" t="str">
        <f>"7311006"</f>
        <v>7311006</v>
      </c>
      <c r="S3993" t="s">
        <v>1200</v>
      </c>
      <c r="T3993" t="s">
        <v>1198</v>
      </c>
      <c r="U3993" t="s">
        <v>1199</v>
      </c>
      <c r="V3993" t="s">
        <v>1130</v>
      </c>
      <c r="W3993" t="s">
        <v>51</v>
      </c>
      <c r="X3993" t="s">
        <v>45</v>
      </c>
      <c r="Y3993" s="1">
        <v>28976</v>
      </c>
      <c r="Z3993">
        <v>1</v>
      </c>
      <c r="AA3993" t="s">
        <v>1199</v>
      </c>
      <c r="AB3993" s="40" t="s">
        <v>1799</v>
      </c>
    </row>
    <row r="3994" spans="1:28" x14ac:dyDescent="0.25">
      <c r="A3994">
        <v>99913993</v>
      </c>
      <c r="B3994" t="s">
        <v>32</v>
      </c>
      <c r="C3994" t="s">
        <v>111</v>
      </c>
      <c r="D3994" t="s">
        <v>112</v>
      </c>
      <c r="G3994" t="s">
        <v>48</v>
      </c>
      <c r="H3994">
        <v>1</v>
      </c>
      <c r="K3994" t="s">
        <v>268</v>
      </c>
      <c r="L3994" t="s">
        <v>269</v>
      </c>
      <c r="M3994" t="s">
        <v>131</v>
      </c>
      <c r="N3994">
        <v>23</v>
      </c>
      <c r="P3994" t="s">
        <v>41</v>
      </c>
      <c r="Q3994" t="s">
        <v>75</v>
      </c>
      <c r="R3994" t="str">
        <f>"7052044"</f>
        <v>7052044</v>
      </c>
      <c r="S3994" t="s">
        <v>589</v>
      </c>
      <c r="T3994" t="s">
        <v>268</v>
      </c>
      <c r="U3994" t="s">
        <v>269</v>
      </c>
      <c r="V3994" t="s">
        <v>131</v>
      </c>
      <c r="W3994" t="s">
        <v>51</v>
      </c>
      <c r="X3994" t="s">
        <v>45</v>
      </c>
      <c r="Y3994" s="1">
        <v>28974</v>
      </c>
      <c r="Z3994">
        <v>1</v>
      </c>
      <c r="AA3994" t="s">
        <v>269</v>
      </c>
      <c r="AB3994" s="40" t="s">
        <v>1799</v>
      </c>
    </row>
    <row r="3995" spans="1:28" x14ac:dyDescent="0.25">
      <c r="A3995">
        <v>99913994</v>
      </c>
      <c r="B3995" t="s">
        <v>32</v>
      </c>
      <c r="C3995" t="s">
        <v>111</v>
      </c>
      <c r="D3995" t="s">
        <v>112</v>
      </c>
      <c r="G3995" t="s">
        <v>48</v>
      </c>
      <c r="H3995">
        <v>1</v>
      </c>
      <c r="K3995" t="s">
        <v>667</v>
      </c>
      <c r="L3995" t="s">
        <v>669</v>
      </c>
      <c r="M3995" t="s">
        <v>670</v>
      </c>
      <c r="N3995">
        <v>23</v>
      </c>
      <c r="P3995" t="s">
        <v>41</v>
      </c>
      <c r="Q3995" t="s">
        <v>75</v>
      </c>
      <c r="R3995" t="str">
        <f>"7501000"</f>
        <v>7501000</v>
      </c>
      <c r="S3995" t="s">
        <v>668</v>
      </c>
      <c r="T3995" t="s">
        <v>667</v>
      </c>
      <c r="U3995" t="s">
        <v>669</v>
      </c>
      <c r="V3995" t="s">
        <v>670</v>
      </c>
      <c r="W3995" t="s">
        <v>51</v>
      </c>
      <c r="X3995" t="s">
        <v>45</v>
      </c>
      <c r="Y3995" s="1">
        <v>28947</v>
      </c>
      <c r="Z3995">
        <v>1</v>
      </c>
      <c r="AA3995" t="s">
        <v>669</v>
      </c>
      <c r="AB3995" s="40" t="s">
        <v>1799</v>
      </c>
    </row>
    <row r="3996" spans="1:28" x14ac:dyDescent="0.25">
      <c r="A3996">
        <v>99913995</v>
      </c>
      <c r="B3996" t="s">
        <v>32</v>
      </c>
      <c r="C3996" t="s">
        <v>139</v>
      </c>
      <c r="D3996" t="s">
        <v>140</v>
      </c>
      <c r="G3996" t="s">
        <v>48</v>
      </c>
      <c r="H3996">
        <v>1</v>
      </c>
      <c r="K3996" t="s">
        <v>354</v>
      </c>
      <c r="L3996" t="s">
        <v>355</v>
      </c>
      <c r="M3996" t="s">
        <v>131</v>
      </c>
      <c r="N3996">
        <v>23</v>
      </c>
      <c r="P3996" t="s">
        <v>41</v>
      </c>
      <c r="Q3996" t="s">
        <v>75</v>
      </c>
      <c r="R3996" t="str">
        <f>"7054022"</f>
        <v>7054022</v>
      </c>
      <c r="S3996" t="s">
        <v>770</v>
      </c>
      <c r="T3996" t="s">
        <v>354</v>
      </c>
      <c r="U3996" t="s">
        <v>355</v>
      </c>
      <c r="V3996" t="s">
        <v>131</v>
      </c>
      <c r="W3996" t="s">
        <v>51</v>
      </c>
      <c r="X3996" t="s">
        <v>45</v>
      </c>
      <c r="Y3996" s="1">
        <v>28898</v>
      </c>
      <c r="Z3996">
        <v>1</v>
      </c>
      <c r="AA3996" t="s">
        <v>355</v>
      </c>
      <c r="AB3996" s="40" t="s">
        <v>1799</v>
      </c>
    </row>
    <row r="3997" spans="1:28" x14ac:dyDescent="0.25">
      <c r="A3997">
        <v>99913996</v>
      </c>
      <c r="B3997" t="s">
        <v>32</v>
      </c>
      <c r="C3997" t="s">
        <v>46</v>
      </c>
      <c r="D3997" t="s">
        <v>47</v>
      </c>
      <c r="G3997" t="s">
        <v>35</v>
      </c>
      <c r="H3997">
        <v>1</v>
      </c>
      <c r="I3997" t="s">
        <v>1140</v>
      </c>
      <c r="J3997" s="1">
        <v>43346</v>
      </c>
      <c r="K3997" t="s">
        <v>1128</v>
      </c>
      <c r="L3997" t="s">
        <v>1129</v>
      </c>
      <c r="M3997" t="s">
        <v>1130</v>
      </c>
      <c r="N3997">
        <v>23</v>
      </c>
      <c r="O3997" s="1">
        <v>43346</v>
      </c>
      <c r="P3997" t="s">
        <v>41</v>
      </c>
      <c r="Q3997" t="s">
        <v>49</v>
      </c>
      <c r="R3997" t="str">
        <f>"3181010"</f>
        <v>3181010</v>
      </c>
      <c r="S3997" t="s">
        <v>1134</v>
      </c>
      <c r="T3997" t="s">
        <v>1128</v>
      </c>
      <c r="U3997" t="s">
        <v>1129</v>
      </c>
      <c r="V3997" t="s">
        <v>1130</v>
      </c>
      <c r="W3997" t="s">
        <v>44</v>
      </c>
      <c r="X3997" t="s">
        <v>45</v>
      </c>
      <c r="Y3997" s="1">
        <v>28887</v>
      </c>
      <c r="Z3997">
        <v>2</v>
      </c>
      <c r="AA3997" t="s">
        <v>1129</v>
      </c>
      <c r="AB3997" s="40" t="s">
        <v>1799</v>
      </c>
    </row>
    <row r="3998" spans="1:28" x14ac:dyDescent="0.25">
      <c r="A3998">
        <v>99913997</v>
      </c>
      <c r="B3998" t="s">
        <v>32</v>
      </c>
      <c r="C3998" t="s">
        <v>111</v>
      </c>
      <c r="D3998" t="s">
        <v>112</v>
      </c>
      <c r="G3998" t="s">
        <v>48</v>
      </c>
      <c r="H3998">
        <v>7</v>
      </c>
      <c r="K3998" t="s">
        <v>354</v>
      </c>
      <c r="L3998" t="s">
        <v>355</v>
      </c>
      <c r="M3998" t="s">
        <v>131</v>
      </c>
      <c r="N3998">
        <v>23</v>
      </c>
      <c r="P3998" t="s">
        <v>41</v>
      </c>
      <c r="Q3998" t="s">
        <v>75</v>
      </c>
      <c r="R3998" t="str">
        <f>"7054020"</f>
        <v>7054020</v>
      </c>
      <c r="S3998" t="s">
        <v>765</v>
      </c>
      <c r="T3998" t="s">
        <v>354</v>
      </c>
      <c r="U3998" t="s">
        <v>355</v>
      </c>
      <c r="V3998" t="s">
        <v>131</v>
      </c>
      <c r="W3998" t="s">
        <v>51</v>
      </c>
      <c r="X3998" t="s">
        <v>45</v>
      </c>
      <c r="Y3998" s="1">
        <v>28884</v>
      </c>
      <c r="Z3998">
        <v>1</v>
      </c>
      <c r="AA3998" t="s">
        <v>355</v>
      </c>
      <c r="AB3998" s="40" t="s">
        <v>1799</v>
      </c>
    </row>
    <row r="3999" spans="1:28" x14ac:dyDescent="0.25">
      <c r="A3999">
        <v>99913998</v>
      </c>
      <c r="B3999" t="s">
        <v>32</v>
      </c>
      <c r="C3999" t="s">
        <v>111</v>
      </c>
      <c r="D3999" t="s">
        <v>112</v>
      </c>
      <c r="G3999" t="s">
        <v>35</v>
      </c>
      <c r="H3999">
        <v>1</v>
      </c>
      <c r="K3999" t="s">
        <v>154</v>
      </c>
      <c r="L3999" t="s">
        <v>155</v>
      </c>
      <c r="M3999" t="s">
        <v>131</v>
      </c>
      <c r="N3999">
        <v>23</v>
      </c>
      <c r="P3999" t="s">
        <v>41</v>
      </c>
      <c r="Q3999" t="s">
        <v>75</v>
      </c>
      <c r="R3999" t="str">
        <f>"7700026"</f>
        <v>7700026</v>
      </c>
      <c r="S3999" t="s">
        <v>397</v>
      </c>
      <c r="T3999" t="s">
        <v>154</v>
      </c>
      <c r="U3999" t="s">
        <v>155</v>
      </c>
      <c r="V3999" t="s">
        <v>131</v>
      </c>
      <c r="W3999" t="s">
        <v>51</v>
      </c>
      <c r="X3999" t="s">
        <v>45</v>
      </c>
      <c r="Y3999" s="1">
        <v>28877</v>
      </c>
      <c r="Z3999">
        <v>1</v>
      </c>
      <c r="AA3999" t="s">
        <v>155</v>
      </c>
      <c r="AB3999" s="40" t="s">
        <v>1799</v>
      </c>
    </row>
    <row r="4000" spans="1:28" x14ac:dyDescent="0.25">
      <c r="A4000">
        <v>99913999</v>
      </c>
      <c r="B4000" t="s">
        <v>56</v>
      </c>
      <c r="C4000" t="s">
        <v>46</v>
      </c>
      <c r="D4000" t="s">
        <v>47</v>
      </c>
      <c r="G4000" t="s">
        <v>48</v>
      </c>
      <c r="H4000">
        <v>5</v>
      </c>
      <c r="K4000" t="s">
        <v>345</v>
      </c>
      <c r="L4000" t="s">
        <v>346</v>
      </c>
      <c r="M4000" t="s">
        <v>131</v>
      </c>
      <c r="N4000">
        <v>23</v>
      </c>
      <c r="P4000" t="s">
        <v>41</v>
      </c>
      <c r="Q4000" t="s">
        <v>42</v>
      </c>
      <c r="R4000" t="str">
        <f>"0590906"</f>
        <v>0590906</v>
      </c>
      <c r="S4000" t="s">
        <v>361</v>
      </c>
      <c r="T4000" t="s">
        <v>345</v>
      </c>
      <c r="U4000" t="s">
        <v>346</v>
      </c>
      <c r="V4000" t="s">
        <v>131</v>
      </c>
      <c r="W4000" t="s">
        <v>51</v>
      </c>
      <c r="X4000" t="s">
        <v>45</v>
      </c>
      <c r="Y4000" s="1">
        <v>28856</v>
      </c>
      <c r="Z4000">
        <v>2</v>
      </c>
      <c r="AA4000" t="s">
        <v>346</v>
      </c>
      <c r="AB4000" s="40" t="s">
        <v>1799</v>
      </c>
    </row>
    <row r="4001" spans="1:28" x14ac:dyDescent="0.25">
      <c r="A4001">
        <v>99914000</v>
      </c>
      <c r="B4001" t="s">
        <v>32</v>
      </c>
      <c r="C4001" t="s">
        <v>64</v>
      </c>
      <c r="D4001" t="s">
        <v>65</v>
      </c>
      <c r="G4001" t="s">
        <v>48</v>
      </c>
      <c r="H4001">
        <v>1</v>
      </c>
      <c r="K4001" t="s">
        <v>667</v>
      </c>
      <c r="L4001" t="s">
        <v>669</v>
      </c>
      <c r="M4001" t="s">
        <v>670</v>
      </c>
      <c r="N4001">
        <v>23</v>
      </c>
      <c r="P4001" t="s">
        <v>41</v>
      </c>
      <c r="Q4001" t="s">
        <v>75</v>
      </c>
      <c r="R4001" t="str">
        <f>"7501002"</f>
        <v>7501002</v>
      </c>
      <c r="S4001" t="s">
        <v>1519</v>
      </c>
      <c r="T4001" t="s">
        <v>667</v>
      </c>
      <c r="U4001" t="s">
        <v>669</v>
      </c>
      <c r="V4001" t="s">
        <v>670</v>
      </c>
      <c r="W4001" t="s">
        <v>51</v>
      </c>
      <c r="X4001" t="s">
        <v>45</v>
      </c>
      <c r="Y4001" s="1">
        <v>28856</v>
      </c>
      <c r="Z4001">
        <v>1</v>
      </c>
      <c r="AA4001" t="s">
        <v>669</v>
      </c>
      <c r="AB4001" s="40" t="s">
        <v>1799</v>
      </c>
    </row>
    <row r="4002" spans="1:28" x14ac:dyDescent="0.25">
      <c r="A4002">
        <v>99914001</v>
      </c>
      <c r="B4002" t="s">
        <v>32</v>
      </c>
      <c r="C4002" t="s">
        <v>111</v>
      </c>
      <c r="D4002" t="s">
        <v>112</v>
      </c>
      <c r="G4002" t="s">
        <v>35</v>
      </c>
      <c r="H4002">
        <v>1</v>
      </c>
      <c r="K4002" t="s">
        <v>1581</v>
      </c>
      <c r="L4002" t="s">
        <v>1582</v>
      </c>
      <c r="M4002" t="s">
        <v>1548</v>
      </c>
      <c r="N4002">
        <v>23</v>
      </c>
      <c r="P4002" t="s">
        <v>41</v>
      </c>
      <c r="Q4002" t="s">
        <v>75</v>
      </c>
      <c r="R4002" t="str">
        <f>"7291002"</f>
        <v>7291002</v>
      </c>
      <c r="S4002" t="s">
        <v>1583</v>
      </c>
      <c r="T4002" t="s">
        <v>1581</v>
      </c>
      <c r="U4002" t="s">
        <v>1582</v>
      </c>
      <c r="V4002" t="s">
        <v>1548</v>
      </c>
      <c r="W4002" t="s">
        <v>51</v>
      </c>
      <c r="X4002" t="s">
        <v>45</v>
      </c>
      <c r="Y4002" s="1">
        <v>28856</v>
      </c>
      <c r="Z4002">
        <v>1</v>
      </c>
      <c r="AA4002" t="s">
        <v>1582</v>
      </c>
      <c r="AB4002" s="40" t="s">
        <v>1799</v>
      </c>
    </row>
    <row r="4003" spans="1:28" x14ac:dyDescent="0.25">
      <c r="A4003">
        <v>99914002</v>
      </c>
      <c r="B4003" t="s">
        <v>56</v>
      </c>
      <c r="C4003" t="s">
        <v>141</v>
      </c>
      <c r="D4003" t="s">
        <v>142</v>
      </c>
      <c r="G4003" t="s">
        <v>35</v>
      </c>
      <c r="H4003">
        <v>1</v>
      </c>
      <c r="I4003">
        <v>0</v>
      </c>
      <c r="J4003" s="1">
        <v>43344</v>
      </c>
      <c r="K4003" t="s">
        <v>223</v>
      </c>
      <c r="L4003" t="s">
        <v>224</v>
      </c>
      <c r="M4003" t="s">
        <v>131</v>
      </c>
      <c r="N4003">
        <v>23</v>
      </c>
      <c r="O4003" s="1">
        <v>43344</v>
      </c>
      <c r="P4003" t="s">
        <v>41</v>
      </c>
      <c r="Q4003" t="s">
        <v>49</v>
      </c>
      <c r="R4003" t="str">
        <f>"0561022"</f>
        <v>0561022</v>
      </c>
      <c r="S4003" t="s">
        <v>225</v>
      </c>
      <c r="T4003" t="s">
        <v>223</v>
      </c>
      <c r="U4003" t="s">
        <v>224</v>
      </c>
      <c r="V4003" t="s">
        <v>131</v>
      </c>
      <c r="W4003" t="s">
        <v>44</v>
      </c>
      <c r="X4003" t="s">
        <v>45</v>
      </c>
      <c r="Y4003" s="1">
        <v>28837</v>
      </c>
      <c r="Z4003">
        <v>2</v>
      </c>
      <c r="AA4003" t="s">
        <v>224</v>
      </c>
      <c r="AB4003" s="40" t="s">
        <v>1799</v>
      </c>
    </row>
    <row r="4004" spans="1:28" x14ac:dyDescent="0.25">
      <c r="A4004">
        <v>99914003</v>
      </c>
      <c r="B4004" t="s">
        <v>32</v>
      </c>
      <c r="C4004" t="s">
        <v>79</v>
      </c>
      <c r="D4004" t="s">
        <v>80</v>
      </c>
      <c r="G4004" t="s">
        <v>48</v>
      </c>
      <c r="H4004">
        <v>7</v>
      </c>
      <c r="I4004" t="s">
        <v>541</v>
      </c>
      <c r="J4004" s="1">
        <v>43344</v>
      </c>
      <c r="K4004" t="s">
        <v>195</v>
      </c>
      <c r="L4004" t="s">
        <v>196</v>
      </c>
      <c r="M4004" t="s">
        <v>131</v>
      </c>
      <c r="N4004">
        <v>23</v>
      </c>
      <c r="O4004" s="1">
        <v>43344</v>
      </c>
      <c r="P4004" t="s">
        <v>41</v>
      </c>
      <c r="Q4004" t="s">
        <v>75</v>
      </c>
      <c r="R4004" t="str">
        <f>"7521042"</f>
        <v>7521042</v>
      </c>
      <c r="S4004" t="s">
        <v>440</v>
      </c>
      <c r="T4004" t="s">
        <v>195</v>
      </c>
      <c r="U4004" t="s">
        <v>196</v>
      </c>
      <c r="V4004" t="s">
        <v>131</v>
      </c>
      <c r="W4004" t="s">
        <v>165</v>
      </c>
      <c r="X4004" t="s">
        <v>45</v>
      </c>
      <c r="Y4004" s="1">
        <v>28826</v>
      </c>
      <c r="Z4004">
        <v>1</v>
      </c>
      <c r="AA4004" t="s">
        <v>196</v>
      </c>
      <c r="AB4004" s="40" t="s">
        <v>1799</v>
      </c>
    </row>
    <row r="4005" spans="1:28" x14ac:dyDescent="0.25">
      <c r="A4005">
        <v>99914004</v>
      </c>
      <c r="B4005" t="s">
        <v>32</v>
      </c>
      <c r="C4005" t="s">
        <v>111</v>
      </c>
      <c r="D4005" t="s">
        <v>112</v>
      </c>
      <c r="G4005" t="s">
        <v>48</v>
      </c>
      <c r="H4005">
        <v>1</v>
      </c>
      <c r="K4005" t="s">
        <v>1198</v>
      </c>
      <c r="L4005" t="s">
        <v>1199</v>
      </c>
      <c r="M4005" t="s">
        <v>1130</v>
      </c>
      <c r="N4005">
        <v>23</v>
      </c>
      <c r="P4005" t="s">
        <v>41</v>
      </c>
      <c r="Q4005" t="s">
        <v>75</v>
      </c>
      <c r="R4005" t="str">
        <f>"7311008"</f>
        <v>7311008</v>
      </c>
      <c r="S4005" t="s">
        <v>1205</v>
      </c>
      <c r="T4005" t="s">
        <v>1198</v>
      </c>
      <c r="U4005" t="s">
        <v>1199</v>
      </c>
      <c r="V4005" t="s">
        <v>1130</v>
      </c>
      <c r="W4005" t="s">
        <v>51</v>
      </c>
      <c r="X4005" t="s">
        <v>45</v>
      </c>
      <c r="Y4005" s="1">
        <v>28822</v>
      </c>
      <c r="Z4005">
        <v>1</v>
      </c>
      <c r="AA4005" t="s">
        <v>1199</v>
      </c>
      <c r="AB4005" s="40" t="s">
        <v>1799</v>
      </c>
    </row>
    <row r="4006" spans="1:28" x14ac:dyDescent="0.25">
      <c r="A4006">
        <v>99914005</v>
      </c>
      <c r="B4006" t="s">
        <v>56</v>
      </c>
      <c r="C4006" t="s">
        <v>46</v>
      </c>
      <c r="D4006" t="s">
        <v>47</v>
      </c>
      <c r="G4006" t="s">
        <v>48</v>
      </c>
      <c r="H4006">
        <v>1</v>
      </c>
      <c r="K4006" t="s">
        <v>1546</v>
      </c>
      <c r="L4006" t="s">
        <v>1547</v>
      </c>
      <c r="M4006" t="s">
        <v>1548</v>
      </c>
      <c r="N4006">
        <v>23</v>
      </c>
      <c r="P4006" t="s">
        <v>41</v>
      </c>
      <c r="Q4006" t="s">
        <v>42</v>
      </c>
      <c r="R4006" t="str">
        <f>"1061001"</f>
        <v>1061001</v>
      </c>
      <c r="S4006" t="s">
        <v>1550</v>
      </c>
      <c r="T4006" t="s">
        <v>1546</v>
      </c>
      <c r="U4006" t="s">
        <v>1547</v>
      </c>
      <c r="V4006" t="s">
        <v>1548</v>
      </c>
      <c r="W4006" t="s">
        <v>51</v>
      </c>
      <c r="X4006" t="s">
        <v>45</v>
      </c>
      <c r="Y4006" s="1">
        <v>28822</v>
      </c>
      <c r="Z4006">
        <v>2</v>
      </c>
      <c r="AA4006" t="s">
        <v>1547</v>
      </c>
      <c r="AB4006" s="40" t="s">
        <v>1799</v>
      </c>
    </row>
    <row r="4007" spans="1:28" x14ac:dyDescent="0.25">
      <c r="A4007">
        <v>99914006</v>
      </c>
      <c r="B4007" t="s">
        <v>56</v>
      </c>
      <c r="C4007" t="s">
        <v>46</v>
      </c>
      <c r="D4007" t="s">
        <v>47</v>
      </c>
      <c r="G4007" t="s">
        <v>48</v>
      </c>
      <c r="H4007">
        <v>1</v>
      </c>
      <c r="K4007" t="s">
        <v>1268</v>
      </c>
      <c r="L4007" t="s">
        <v>1269</v>
      </c>
      <c r="M4007" t="s">
        <v>1270</v>
      </c>
      <c r="N4007">
        <v>23</v>
      </c>
      <c r="P4007" t="s">
        <v>41</v>
      </c>
      <c r="Q4007" t="s">
        <v>42</v>
      </c>
      <c r="R4007" t="str">
        <f>"1980050"</f>
        <v>1980050</v>
      </c>
      <c r="S4007" t="s">
        <v>1278</v>
      </c>
      <c r="T4007" t="s">
        <v>1268</v>
      </c>
      <c r="U4007" t="s">
        <v>1269</v>
      </c>
      <c r="V4007" t="s">
        <v>1270</v>
      </c>
      <c r="W4007" t="s">
        <v>51</v>
      </c>
      <c r="X4007" t="s">
        <v>45</v>
      </c>
      <c r="Y4007" s="1">
        <v>28800</v>
      </c>
      <c r="Z4007">
        <v>2</v>
      </c>
      <c r="AA4007" t="s">
        <v>1269</v>
      </c>
      <c r="AB4007" s="40" t="s">
        <v>1799</v>
      </c>
    </row>
    <row r="4008" spans="1:28" x14ac:dyDescent="0.25">
      <c r="A4008">
        <v>99914007</v>
      </c>
      <c r="B4008" t="s">
        <v>32</v>
      </c>
      <c r="C4008" t="s">
        <v>111</v>
      </c>
      <c r="D4008" t="s">
        <v>112</v>
      </c>
      <c r="G4008" t="s">
        <v>48</v>
      </c>
      <c r="H4008">
        <v>1</v>
      </c>
      <c r="K4008" t="s">
        <v>354</v>
      </c>
      <c r="L4008" t="s">
        <v>355</v>
      </c>
      <c r="M4008" t="s">
        <v>131</v>
      </c>
      <c r="N4008">
        <v>23</v>
      </c>
      <c r="P4008" t="s">
        <v>41</v>
      </c>
      <c r="Q4008" t="s">
        <v>75</v>
      </c>
      <c r="R4008" t="str">
        <f>"7054022"</f>
        <v>7054022</v>
      </c>
      <c r="S4008" t="s">
        <v>770</v>
      </c>
      <c r="T4008" t="s">
        <v>354</v>
      </c>
      <c r="U4008" t="s">
        <v>355</v>
      </c>
      <c r="V4008" t="s">
        <v>131</v>
      </c>
      <c r="W4008" t="s">
        <v>51</v>
      </c>
      <c r="X4008" t="s">
        <v>45</v>
      </c>
      <c r="Y4008" s="1">
        <v>28776</v>
      </c>
      <c r="Z4008">
        <v>1</v>
      </c>
      <c r="AA4008" t="s">
        <v>355</v>
      </c>
      <c r="AB4008" s="40" t="s">
        <v>1799</v>
      </c>
    </row>
    <row r="4009" spans="1:28" x14ac:dyDescent="0.25">
      <c r="A4009">
        <v>99914008</v>
      </c>
      <c r="B4009" t="s">
        <v>56</v>
      </c>
      <c r="C4009" t="s">
        <v>46</v>
      </c>
      <c r="D4009" t="s">
        <v>47</v>
      </c>
      <c r="G4009" t="s">
        <v>35</v>
      </c>
      <c r="H4009">
        <v>1</v>
      </c>
      <c r="K4009" t="s">
        <v>223</v>
      </c>
      <c r="L4009" t="s">
        <v>224</v>
      </c>
      <c r="M4009" t="s">
        <v>131</v>
      </c>
      <c r="N4009">
        <v>23</v>
      </c>
      <c r="P4009" t="s">
        <v>41</v>
      </c>
      <c r="Q4009" t="s">
        <v>49</v>
      </c>
      <c r="R4009" t="str">
        <f>"0581207"</f>
        <v>0581207</v>
      </c>
      <c r="S4009" t="s">
        <v>233</v>
      </c>
      <c r="T4009" t="s">
        <v>223</v>
      </c>
      <c r="U4009" t="s">
        <v>224</v>
      </c>
      <c r="V4009" t="s">
        <v>131</v>
      </c>
      <c r="W4009" t="s">
        <v>51</v>
      </c>
      <c r="X4009" t="s">
        <v>45</v>
      </c>
      <c r="Y4009" s="1">
        <v>28760</v>
      </c>
      <c r="Z4009">
        <v>2</v>
      </c>
      <c r="AA4009" t="s">
        <v>224</v>
      </c>
      <c r="AB4009" s="40" t="s">
        <v>1799</v>
      </c>
    </row>
    <row r="4010" spans="1:28" x14ac:dyDescent="0.25">
      <c r="A4010">
        <v>99914009</v>
      </c>
      <c r="B4010" t="s">
        <v>32</v>
      </c>
      <c r="C4010" t="s">
        <v>64</v>
      </c>
      <c r="D4010" t="s">
        <v>65</v>
      </c>
      <c r="G4010" t="s">
        <v>48</v>
      </c>
      <c r="H4010">
        <v>7</v>
      </c>
      <c r="I4010" t="s">
        <v>525</v>
      </c>
      <c r="J4010" s="1">
        <v>42979</v>
      </c>
      <c r="K4010" t="s">
        <v>431</v>
      </c>
      <c r="L4010" t="s">
        <v>196</v>
      </c>
      <c r="M4010" t="s">
        <v>131</v>
      </c>
      <c r="N4010">
        <v>23</v>
      </c>
      <c r="O4010" s="1">
        <v>42979</v>
      </c>
      <c r="P4010" t="s">
        <v>41</v>
      </c>
      <c r="Q4010" t="s">
        <v>75</v>
      </c>
      <c r="R4010" t="str">
        <f>"7521022"</f>
        <v>7521022</v>
      </c>
      <c r="S4010" t="s">
        <v>445</v>
      </c>
      <c r="T4010" t="s">
        <v>431</v>
      </c>
      <c r="U4010" t="s">
        <v>196</v>
      </c>
      <c r="V4010" t="s">
        <v>131</v>
      </c>
      <c r="W4010" t="s">
        <v>51</v>
      </c>
      <c r="X4010" t="s">
        <v>45</v>
      </c>
      <c r="Y4010" s="1">
        <v>28756</v>
      </c>
      <c r="Z4010">
        <v>1</v>
      </c>
      <c r="AA4010" t="s">
        <v>196</v>
      </c>
      <c r="AB4010" s="40" t="s">
        <v>1799</v>
      </c>
    </row>
    <row r="4011" spans="1:28" x14ac:dyDescent="0.25">
      <c r="A4011">
        <v>99914010</v>
      </c>
      <c r="B4011" t="s">
        <v>32</v>
      </c>
      <c r="C4011" t="s">
        <v>111</v>
      </c>
      <c r="D4011" t="s">
        <v>112</v>
      </c>
      <c r="G4011" t="s">
        <v>48</v>
      </c>
      <c r="H4011">
        <v>6</v>
      </c>
      <c r="J4011" s="1">
        <v>43344</v>
      </c>
      <c r="K4011" t="s">
        <v>354</v>
      </c>
      <c r="L4011" t="s">
        <v>355</v>
      </c>
      <c r="M4011" t="s">
        <v>131</v>
      </c>
      <c r="N4011">
        <v>23</v>
      </c>
      <c r="O4011" s="1">
        <v>43344</v>
      </c>
      <c r="P4011" t="s">
        <v>41</v>
      </c>
      <c r="Q4011" t="s">
        <v>75</v>
      </c>
      <c r="R4011" t="str">
        <f>"7054020"</f>
        <v>7054020</v>
      </c>
      <c r="S4011" t="s">
        <v>765</v>
      </c>
      <c r="T4011" t="s">
        <v>354</v>
      </c>
      <c r="U4011" t="s">
        <v>355</v>
      </c>
      <c r="V4011" t="s">
        <v>131</v>
      </c>
      <c r="W4011" t="s">
        <v>51</v>
      </c>
      <c r="X4011" t="s">
        <v>45</v>
      </c>
      <c r="Y4011" s="1">
        <v>28752</v>
      </c>
      <c r="Z4011">
        <v>1</v>
      </c>
      <c r="AA4011" t="s">
        <v>355</v>
      </c>
      <c r="AB4011" s="40" t="s">
        <v>1799</v>
      </c>
    </row>
    <row r="4012" spans="1:28" x14ac:dyDescent="0.25">
      <c r="A4012">
        <v>99914011</v>
      </c>
      <c r="B4012" t="s">
        <v>56</v>
      </c>
      <c r="C4012" t="s">
        <v>111</v>
      </c>
      <c r="D4012" t="s">
        <v>112</v>
      </c>
      <c r="G4012" t="s">
        <v>35</v>
      </c>
      <c r="H4012">
        <v>1</v>
      </c>
      <c r="K4012" t="s">
        <v>1564</v>
      </c>
      <c r="L4012" t="s">
        <v>1565</v>
      </c>
      <c r="M4012" t="s">
        <v>1548</v>
      </c>
      <c r="N4012">
        <v>23</v>
      </c>
      <c r="P4012" t="s">
        <v>41</v>
      </c>
      <c r="Q4012" t="s">
        <v>75</v>
      </c>
      <c r="R4012" t="str">
        <f>"7101000"</f>
        <v>7101000</v>
      </c>
      <c r="S4012" t="s">
        <v>1572</v>
      </c>
      <c r="T4012" t="s">
        <v>1564</v>
      </c>
      <c r="U4012" t="s">
        <v>1565</v>
      </c>
      <c r="V4012" t="s">
        <v>1548</v>
      </c>
      <c r="W4012" t="s">
        <v>51</v>
      </c>
      <c r="X4012" t="s">
        <v>45</v>
      </c>
      <c r="Y4012" s="1">
        <v>28741</v>
      </c>
      <c r="Z4012">
        <v>1</v>
      </c>
      <c r="AA4012" t="s">
        <v>1565</v>
      </c>
      <c r="AB4012" s="40" t="s">
        <v>1799</v>
      </c>
    </row>
    <row r="4013" spans="1:28" x14ac:dyDescent="0.25">
      <c r="A4013">
        <v>99914012</v>
      </c>
      <c r="B4013" t="s">
        <v>56</v>
      </c>
      <c r="C4013" t="s">
        <v>82</v>
      </c>
      <c r="D4013" t="s">
        <v>83</v>
      </c>
      <c r="G4013" t="s">
        <v>48</v>
      </c>
      <c r="H4013">
        <v>1</v>
      </c>
      <c r="K4013" t="s">
        <v>300</v>
      </c>
      <c r="L4013" t="s">
        <v>301</v>
      </c>
      <c r="M4013" t="s">
        <v>131</v>
      </c>
      <c r="N4013">
        <v>23</v>
      </c>
      <c r="P4013" t="s">
        <v>41</v>
      </c>
      <c r="Q4013" t="s">
        <v>42</v>
      </c>
      <c r="R4013" t="str">
        <f>"0580176"</f>
        <v>0580176</v>
      </c>
      <c r="S4013" t="s">
        <v>305</v>
      </c>
      <c r="T4013" t="s">
        <v>300</v>
      </c>
      <c r="U4013" t="s">
        <v>301</v>
      </c>
      <c r="V4013" t="s">
        <v>131</v>
      </c>
      <c r="W4013" t="s">
        <v>51</v>
      </c>
      <c r="X4013" t="s">
        <v>45</v>
      </c>
      <c r="Y4013" s="1">
        <v>28716</v>
      </c>
      <c r="Z4013">
        <v>2</v>
      </c>
      <c r="AA4013" t="s">
        <v>301</v>
      </c>
      <c r="AB4013" s="40" t="s">
        <v>1799</v>
      </c>
    </row>
    <row r="4014" spans="1:28" x14ac:dyDescent="0.25">
      <c r="A4014">
        <v>99914013</v>
      </c>
      <c r="B4014" t="s">
        <v>56</v>
      </c>
      <c r="C4014" t="s">
        <v>111</v>
      </c>
      <c r="D4014" t="s">
        <v>112</v>
      </c>
      <c r="G4014" t="s">
        <v>48</v>
      </c>
      <c r="H4014">
        <v>6</v>
      </c>
      <c r="I4014" t="s">
        <v>551</v>
      </c>
      <c r="J4014" s="1">
        <v>40422</v>
      </c>
      <c r="K4014" t="s">
        <v>195</v>
      </c>
      <c r="L4014" t="s">
        <v>196</v>
      </c>
      <c r="M4014" t="s">
        <v>131</v>
      </c>
      <c r="N4014">
        <v>23</v>
      </c>
      <c r="O4014" s="1">
        <v>40422</v>
      </c>
      <c r="P4014" t="s">
        <v>41</v>
      </c>
      <c r="Q4014" t="s">
        <v>75</v>
      </c>
      <c r="R4014" t="str">
        <f>"7521052"</f>
        <v>7521052</v>
      </c>
      <c r="S4014" t="s">
        <v>443</v>
      </c>
      <c r="T4014" t="s">
        <v>195</v>
      </c>
      <c r="U4014" t="s">
        <v>196</v>
      </c>
      <c r="V4014" t="s">
        <v>131</v>
      </c>
      <c r="W4014" t="s">
        <v>51</v>
      </c>
      <c r="X4014" t="s">
        <v>45</v>
      </c>
      <c r="Y4014" s="1">
        <v>28706</v>
      </c>
      <c r="Z4014">
        <v>1</v>
      </c>
      <c r="AA4014" t="s">
        <v>196</v>
      </c>
      <c r="AB4014" s="40" t="s">
        <v>1799</v>
      </c>
    </row>
    <row r="4015" spans="1:28" x14ac:dyDescent="0.25">
      <c r="A4015">
        <v>99914014</v>
      </c>
      <c r="B4015" t="s">
        <v>56</v>
      </c>
      <c r="C4015" t="s">
        <v>79</v>
      </c>
      <c r="D4015" t="s">
        <v>80</v>
      </c>
      <c r="G4015" t="s">
        <v>48</v>
      </c>
      <c r="H4015">
        <v>1</v>
      </c>
      <c r="K4015" t="s">
        <v>129</v>
      </c>
      <c r="L4015" t="s">
        <v>130</v>
      </c>
      <c r="M4015" t="s">
        <v>131</v>
      </c>
      <c r="N4015">
        <v>23</v>
      </c>
      <c r="P4015" t="s">
        <v>41</v>
      </c>
      <c r="Q4015" t="s">
        <v>49</v>
      </c>
      <c r="R4015" t="str">
        <f>"0560024"</f>
        <v>0560024</v>
      </c>
      <c r="S4015" t="s">
        <v>138</v>
      </c>
      <c r="T4015" t="s">
        <v>129</v>
      </c>
      <c r="U4015" t="s">
        <v>130</v>
      </c>
      <c r="V4015" t="s">
        <v>131</v>
      </c>
      <c r="W4015" t="s">
        <v>51</v>
      </c>
      <c r="X4015" t="s">
        <v>45</v>
      </c>
      <c r="Y4015" s="1">
        <v>28689</v>
      </c>
      <c r="Z4015">
        <v>2</v>
      </c>
      <c r="AA4015" t="s">
        <v>130</v>
      </c>
      <c r="AB4015" s="40" t="s">
        <v>1799</v>
      </c>
    </row>
    <row r="4016" spans="1:28" x14ac:dyDescent="0.25">
      <c r="A4016">
        <v>99914015</v>
      </c>
      <c r="B4016" t="s">
        <v>32</v>
      </c>
      <c r="C4016" t="s">
        <v>111</v>
      </c>
      <c r="D4016" t="s">
        <v>112</v>
      </c>
      <c r="G4016" t="s">
        <v>48</v>
      </c>
      <c r="H4016">
        <v>1</v>
      </c>
      <c r="K4016" t="s">
        <v>431</v>
      </c>
      <c r="L4016" t="s">
        <v>196</v>
      </c>
      <c r="M4016" t="s">
        <v>131</v>
      </c>
      <c r="N4016">
        <v>23</v>
      </c>
      <c r="P4016" t="s">
        <v>41</v>
      </c>
      <c r="Q4016" t="s">
        <v>75</v>
      </c>
      <c r="R4016" t="str">
        <f>"7521016"</f>
        <v>7521016</v>
      </c>
      <c r="S4016" t="s">
        <v>448</v>
      </c>
      <c r="T4016" t="s">
        <v>431</v>
      </c>
      <c r="U4016" t="s">
        <v>196</v>
      </c>
      <c r="V4016" t="s">
        <v>131</v>
      </c>
      <c r="W4016" t="s">
        <v>51</v>
      </c>
      <c r="X4016" t="s">
        <v>45</v>
      </c>
      <c r="Y4016" s="1">
        <v>28675</v>
      </c>
      <c r="Z4016">
        <v>1</v>
      </c>
      <c r="AA4016" t="s">
        <v>196</v>
      </c>
      <c r="AB4016" s="40" t="s">
        <v>1799</v>
      </c>
    </row>
    <row r="4017" spans="1:28" x14ac:dyDescent="0.25">
      <c r="A4017">
        <v>99914016</v>
      </c>
      <c r="B4017" t="s">
        <v>32</v>
      </c>
      <c r="C4017" t="s">
        <v>141</v>
      </c>
      <c r="D4017" t="s">
        <v>142</v>
      </c>
      <c r="G4017" t="s">
        <v>48</v>
      </c>
      <c r="H4017">
        <v>1</v>
      </c>
      <c r="K4017" t="s">
        <v>1128</v>
      </c>
      <c r="L4017" t="s">
        <v>1129</v>
      </c>
      <c r="M4017" t="s">
        <v>1130</v>
      </c>
      <c r="N4017">
        <v>23</v>
      </c>
      <c r="P4017" t="s">
        <v>41</v>
      </c>
      <c r="Q4017" t="s">
        <v>49</v>
      </c>
      <c r="R4017" t="str">
        <f>"3181010"</f>
        <v>3181010</v>
      </c>
      <c r="S4017" t="s">
        <v>1134</v>
      </c>
      <c r="T4017" t="s">
        <v>1128</v>
      </c>
      <c r="U4017" t="s">
        <v>1129</v>
      </c>
      <c r="V4017" t="s">
        <v>1130</v>
      </c>
      <c r="W4017" t="s">
        <v>165</v>
      </c>
      <c r="X4017" t="s">
        <v>45</v>
      </c>
      <c r="Y4017" s="1">
        <v>28616</v>
      </c>
      <c r="Z4017">
        <v>2</v>
      </c>
      <c r="AA4017" t="s">
        <v>1129</v>
      </c>
      <c r="AB4017" s="40" t="s">
        <v>1799</v>
      </c>
    </row>
    <row r="4018" spans="1:28" x14ac:dyDescent="0.25">
      <c r="A4018">
        <v>99914017</v>
      </c>
      <c r="B4018" t="s">
        <v>32</v>
      </c>
      <c r="C4018" t="s">
        <v>111</v>
      </c>
      <c r="D4018" t="s">
        <v>112</v>
      </c>
      <c r="G4018" t="s">
        <v>48</v>
      </c>
      <c r="H4018">
        <v>1</v>
      </c>
      <c r="K4018" t="s">
        <v>354</v>
      </c>
      <c r="L4018" t="s">
        <v>355</v>
      </c>
      <c r="M4018" t="s">
        <v>131</v>
      </c>
      <c r="N4018">
        <v>23</v>
      </c>
      <c r="P4018" t="s">
        <v>41</v>
      </c>
      <c r="Q4018" t="s">
        <v>75</v>
      </c>
      <c r="R4018" t="str">
        <f>"7054022"</f>
        <v>7054022</v>
      </c>
      <c r="S4018" t="s">
        <v>770</v>
      </c>
      <c r="T4018" t="s">
        <v>354</v>
      </c>
      <c r="U4018" t="s">
        <v>355</v>
      </c>
      <c r="V4018" t="s">
        <v>131</v>
      </c>
      <c r="W4018" t="s">
        <v>51</v>
      </c>
      <c r="X4018" t="s">
        <v>45</v>
      </c>
      <c r="Y4018" s="1">
        <v>28595</v>
      </c>
      <c r="Z4018">
        <v>1</v>
      </c>
      <c r="AA4018" t="s">
        <v>355</v>
      </c>
      <c r="AB4018" s="40" t="s">
        <v>1799</v>
      </c>
    </row>
    <row r="4019" spans="1:28" x14ac:dyDescent="0.25">
      <c r="A4019">
        <v>99914018</v>
      </c>
      <c r="B4019" t="s">
        <v>32</v>
      </c>
      <c r="C4019" t="s">
        <v>61</v>
      </c>
      <c r="D4019" t="s">
        <v>62</v>
      </c>
      <c r="G4019" t="s">
        <v>35</v>
      </c>
      <c r="H4019">
        <v>1</v>
      </c>
      <c r="I4019">
        <v>0</v>
      </c>
      <c r="J4019" s="1">
        <v>43344</v>
      </c>
      <c r="K4019" t="s">
        <v>223</v>
      </c>
      <c r="L4019" t="s">
        <v>224</v>
      </c>
      <c r="M4019" t="s">
        <v>131</v>
      </c>
      <c r="N4019">
        <v>23</v>
      </c>
      <c r="O4019" s="1">
        <v>43344</v>
      </c>
      <c r="P4019" t="s">
        <v>41</v>
      </c>
      <c r="Q4019" t="s">
        <v>49</v>
      </c>
      <c r="R4019" t="str">
        <f>"0561022"</f>
        <v>0561022</v>
      </c>
      <c r="S4019" t="s">
        <v>225</v>
      </c>
      <c r="T4019" t="s">
        <v>223</v>
      </c>
      <c r="U4019" t="s">
        <v>224</v>
      </c>
      <c r="V4019" t="s">
        <v>131</v>
      </c>
      <c r="W4019" t="s">
        <v>44</v>
      </c>
      <c r="X4019" t="s">
        <v>45</v>
      </c>
      <c r="Y4019" s="1">
        <v>28585</v>
      </c>
      <c r="Z4019">
        <v>2</v>
      </c>
      <c r="AA4019" t="s">
        <v>224</v>
      </c>
      <c r="AB4019" s="40" t="s">
        <v>1799</v>
      </c>
    </row>
    <row r="4020" spans="1:28" x14ac:dyDescent="0.25">
      <c r="A4020">
        <v>99914019</v>
      </c>
      <c r="B4020" t="s">
        <v>56</v>
      </c>
      <c r="C4020" t="s">
        <v>111</v>
      </c>
      <c r="D4020" t="s">
        <v>112</v>
      </c>
      <c r="G4020" t="s">
        <v>48</v>
      </c>
      <c r="H4020">
        <v>7</v>
      </c>
      <c r="I4020" t="s">
        <v>484</v>
      </c>
      <c r="J4020" s="1">
        <v>42614</v>
      </c>
      <c r="K4020" t="s">
        <v>195</v>
      </c>
      <c r="L4020" t="s">
        <v>196</v>
      </c>
      <c r="M4020" t="s">
        <v>131</v>
      </c>
      <c r="N4020">
        <v>23</v>
      </c>
      <c r="O4020" s="1">
        <v>42614</v>
      </c>
      <c r="P4020" t="s">
        <v>41</v>
      </c>
      <c r="Q4020" t="s">
        <v>75</v>
      </c>
      <c r="R4020" t="str">
        <f>"7521050"</f>
        <v>7521050</v>
      </c>
      <c r="S4020" t="s">
        <v>194</v>
      </c>
      <c r="T4020" t="s">
        <v>195</v>
      </c>
      <c r="U4020" t="s">
        <v>196</v>
      </c>
      <c r="V4020" t="s">
        <v>131</v>
      </c>
      <c r="W4020" t="s">
        <v>51</v>
      </c>
      <c r="X4020" t="s">
        <v>45</v>
      </c>
      <c r="Y4020" s="1">
        <v>28567</v>
      </c>
      <c r="Z4020">
        <v>1</v>
      </c>
      <c r="AA4020" t="s">
        <v>196</v>
      </c>
      <c r="AB4020" s="40" t="s">
        <v>1799</v>
      </c>
    </row>
    <row r="4021" spans="1:28" x14ac:dyDescent="0.25">
      <c r="A4021">
        <v>99914020</v>
      </c>
      <c r="B4021" t="s">
        <v>56</v>
      </c>
      <c r="C4021" t="s">
        <v>111</v>
      </c>
      <c r="D4021" t="s">
        <v>112</v>
      </c>
      <c r="G4021" t="s">
        <v>48</v>
      </c>
      <c r="H4021">
        <v>1</v>
      </c>
      <c r="K4021" t="s">
        <v>268</v>
      </c>
      <c r="L4021" t="s">
        <v>269</v>
      </c>
      <c r="M4021" t="s">
        <v>131</v>
      </c>
      <c r="N4021">
        <v>23</v>
      </c>
      <c r="P4021" t="s">
        <v>41</v>
      </c>
      <c r="Q4021" t="s">
        <v>75</v>
      </c>
      <c r="R4021" t="str">
        <f>"7052008"</f>
        <v>7052008</v>
      </c>
      <c r="S4021" t="s">
        <v>274</v>
      </c>
      <c r="T4021" t="s">
        <v>268</v>
      </c>
      <c r="U4021" t="s">
        <v>269</v>
      </c>
      <c r="V4021" t="s">
        <v>131</v>
      </c>
      <c r="W4021" t="s">
        <v>51</v>
      </c>
      <c r="X4021" t="s">
        <v>45</v>
      </c>
      <c r="Y4021" s="1">
        <v>28536</v>
      </c>
      <c r="Z4021">
        <v>1</v>
      </c>
      <c r="AA4021" t="s">
        <v>269</v>
      </c>
      <c r="AB4021" s="40" t="s">
        <v>1799</v>
      </c>
    </row>
    <row r="4022" spans="1:28" x14ac:dyDescent="0.25">
      <c r="A4022">
        <v>99914021</v>
      </c>
      <c r="B4022" t="s">
        <v>32</v>
      </c>
      <c r="C4022" t="s">
        <v>111</v>
      </c>
      <c r="D4022" t="s">
        <v>112</v>
      </c>
      <c r="G4022" t="s">
        <v>48</v>
      </c>
      <c r="H4022">
        <v>6</v>
      </c>
      <c r="I4022">
        <v>1172</v>
      </c>
      <c r="J4022" s="1">
        <v>43344</v>
      </c>
      <c r="K4022" t="s">
        <v>1426</v>
      </c>
      <c r="L4022" t="s">
        <v>1427</v>
      </c>
      <c r="M4022" t="s">
        <v>1270</v>
      </c>
      <c r="N4022">
        <v>23</v>
      </c>
      <c r="O4022" s="1">
        <v>43344</v>
      </c>
      <c r="P4022" t="s">
        <v>41</v>
      </c>
      <c r="Q4022" t="s">
        <v>75</v>
      </c>
      <c r="R4022" t="str">
        <f>"7192002"</f>
        <v>7192002</v>
      </c>
      <c r="S4022" t="s">
        <v>1438</v>
      </c>
      <c r="T4022" t="s">
        <v>1426</v>
      </c>
      <c r="U4022" t="s">
        <v>1427</v>
      </c>
      <c r="V4022" t="s">
        <v>1270</v>
      </c>
      <c r="W4022" t="s">
        <v>51</v>
      </c>
      <c r="X4022" t="s">
        <v>45</v>
      </c>
      <c r="Y4022" s="1">
        <v>28527</v>
      </c>
      <c r="Z4022">
        <v>1</v>
      </c>
      <c r="AA4022" t="s">
        <v>1427</v>
      </c>
      <c r="AB4022" s="40" t="s">
        <v>1799</v>
      </c>
    </row>
    <row r="4023" spans="1:28" x14ac:dyDescent="0.25">
      <c r="A4023">
        <v>99914022</v>
      </c>
      <c r="B4023" t="s">
        <v>32</v>
      </c>
      <c r="C4023" t="s">
        <v>79</v>
      </c>
      <c r="D4023" t="s">
        <v>80</v>
      </c>
      <c r="G4023" t="s">
        <v>48</v>
      </c>
      <c r="H4023">
        <v>1</v>
      </c>
      <c r="K4023" t="s">
        <v>1695</v>
      </c>
      <c r="L4023" t="s">
        <v>1696</v>
      </c>
      <c r="M4023" t="s">
        <v>1592</v>
      </c>
      <c r="N4023">
        <v>23</v>
      </c>
      <c r="P4023" t="s">
        <v>41</v>
      </c>
      <c r="Q4023" t="s">
        <v>75</v>
      </c>
      <c r="R4023" t="str">
        <f>"7361000"</f>
        <v>7361000</v>
      </c>
      <c r="S4023" t="s">
        <v>1698</v>
      </c>
      <c r="T4023" t="s">
        <v>1695</v>
      </c>
      <c r="U4023" t="s">
        <v>1696</v>
      </c>
      <c r="V4023" t="s">
        <v>1592</v>
      </c>
      <c r="W4023" t="s">
        <v>51</v>
      </c>
      <c r="X4023" t="s">
        <v>45</v>
      </c>
      <c r="Y4023" s="1">
        <v>28525</v>
      </c>
      <c r="Z4023">
        <v>1</v>
      </c>
      <c r="AA4023" t="s">
        <v>1696</v>
      </c>
      <c r="AB4023" s="40" t="s">
        <v>1799</v>
      </c>
    </row>
    <row r="4024" spans="1:28" x14ac:dyDescent="0.25">
      <c r="A4024">
        <v>99914023</v>
      </c>
      <c r="B4024" t="s">
        <v>56</v>
      </c>
      <c r="C4024" t="s">
        <v>52</v>
      </c>
      <c r="D4024" t="s">
        <v>53</v>
      </c>
      <c r="G4024" t="s">
        <v>35</v>
      </c>
      <c r="H4024">
        <v>1</v>
      </c>
      <c r="K4024" t="s">
        <v>223</v>
      </c>
      <c r="L4024" t="s">
        <v>224</v>
      </c>
      <c r="M4024" t="s">
        <v>131</v>
      </c>
      <c r="N4024">
        <v>23</v>
      </c>
      <c r="P4024" t="s">
        <v>41</v>
      </c>
      <c r="Q4024" t="s">
        <v>42</v>
      </c>
      <c r="R4024" t="str">
        <f>"0590901"</f>
        <v>0590901</v>
      </c>
      <c r="S4024" t="s">
        <v>242</v>
      </c>
      <c r="T4024" t="s">
        <v>223</v>
      </c>
      <c r="U4024" t="s">
        <v>224</v>
      </c>
      <c r="V4024" t="s">
        <v>131</v>
      </c>
      <c r="W4024" t="s">
        <v>51</v>
      </c>
      <c r="X4024" t="s">
        <v>45</v>
      </c>
      <c r="Y4024" s="1">
        <v>28499</v>
      </c>
      <c r="Z4024">
        <v>2</v>
      </c>
      <c r="AA4024" t="s">
        <v>224</v>
      </c>
      <c r="AB4024" s="40" t="s">
        <v>1799</v>
      </c>
    </row>
    <row r="4025" spans="1:28" x14ac:dyDescent="0.25">
      <c r="A4025">
        <v>99914024</v>
      </c>
      <c r="B4025" t="s">
        <v>32</v>
      </c>
      <c r="C4025" t="s">
        <v>46</v>
      </c>
      <c r="D4025" t="s">
        <v>47</v>
      </c>
      <c r="G4025" t="s">
        <v>35</v>
      </c>
      <c r="H4025">
        <v>1</v>
      </c>
      <c r="K4025" t="s">
        <v>157</v>
      </c>
      <c r="L4025" t="s">
        <v>158</v>
      </c>
      <c r="M4025" t="s">
        <v>131</v>
      </c>
      <c r="N4025">
        <v>23</v>
      </c>
      <c r="P4025" t="s">
        <v>41</v>
      </c>
      <c r="Q4025" t="s">
        <v>42</v>
      </c>
      <c r="R4025" t="str">
        <f>"0580250"</f>
        <v>0580250</v>
      </c>
      <c r="S4025" t="s">
        <v>160</v>
      </c>
      <c r="T4025" t="s">
        <v>157</v>
      </c>
      <c r="U4025" t="s">
        <v>158</v>
      </c>
      <c r="V4025" t="s">
        <v>131</v>
      </c>
      <c r="W4025" t="s">
        <v>51</v>
      </c>
      <c r="X4025" t="s">
        <v>45</v>
      </c>
      <c r="Y4025" s="1">
        <v>28491</v>
      </c>
      <c r="Z4025">
        <v>2</v>
      </c>
      <c r="AA4025" t="s">
        <v>158</v>
      </c>
      <c r="AB4025" s="40" t="s">
        <v>1799</v>
      </c>
    </row>
    <row r="4026" spans="1:28" x14ac:dyDescent="0.25">
      <c r="A4026">
        <v>99914025</v>
      </c>
      <c r="B4026" t="s">
        <v>56</v>
      </c>
      <c r="C4026" t="s">
        <v>52</v>
      </c>
      <c r="D4026" t="s">
        <v>53</v>
      </c>
      <c r="G4026" t="s">
        <v>35</v>
      </c>
      <c r="H4026">
        <v>1</v>
      </c>
      <c r="I4026">
        <v>10761</v>
      </c>
      <c r="J4026" s="1">
        <v>43344</v>
      </c>
      <c r="K4026" t="s">
        <v>1051</v>
      </c>
      <c r="L4026" t="s">
        <v>1052</v>
      </c>
      <c r="M4026" t="s">
        <v>1053</v>
      </c>
      <c r="N4026">
        <v>23</v>
      </c>
      <c r="O4026" s="1">
        <v>43344</v>
      </c>
      <c r="P4026" t="s">
        <v>41</v>
      </c>
      <c r="Q4026" t="s">
        <v>42</v>
      </c>
      <c r="R4026" t="str">
        <f>"2061004"</f>
        <v>2061004</v>
      </c>
      <c r="S4026" t="s">
        <v>1055</v>
      </c>
      <c r="T4026" t="s">
        <v>1051</v>
      </c>
      <c r="U4026" t="s">
        <v>1052</v>
      </c>
      <c r="V4026" t="s">
        <v>1053</v>
      </c>
      <c r="W4026" t="s">
        <v>51</v>
      </c>
      <c r="X4026" t="s">
        <v>45</v>
      </c>
      <c r="Y4026" s="1">
        <v>28491</v>
      </c>
      <c r="Z4026">
        <v>2</v>
      </c>
      <c r="AA4026" t="s">
        <v>1052</v>
      </c>
      <c r="AB4026" s="40" t="s">
        <v>1799</v>
      </c>
    </row>
    <row r="4027" spans="1:28" x14ac:dyDescent="0.25">
      <c r="A4027">
        <v>99914026</v>
      </c>
      <c r="B4027" t="s">
        <v>32</v>
      </c>
      <c r="C4027" t="s">
        <v>46</v>
      </c>
      <c r="D4027" t="s">
        <v>47</v>
      </c>
      <c r="G4027" t="s">
        <v>48</v>
      </c>
      <c r="H4027">
        <v>1</v>
      </c>
      <c r="I4027" t="s">
        <v>1296</v>
      </c>
      <c r="J4027" s="1">
        <v>41718</v>
      </c>
      <c r="K4027" t="s">
        <v>1268</v>
      </c>
      <c r="L4027" t="s">
        <v>1269</v>
      </c>
      <c r="M4027" t="s">
        <v>1270</v>
      </c>
      <c r="N4027">
        <v>23</v>
      </c>
      <c r="O4027" s="1">
        <v>41718</v>
      </c>
      <c r="P4027" t="s">
        <v>41</v>
      </c>
      <c r="Q4027" t="s">
        <v>49</v>
      </c>
      <c r="R4027" t="str">
        <f>"1981913"</f>
        <v>1981913</v>
      </c>
      <c r="S4027" t="s">
        <v>1295</v>
      </c>
      <c r="T4027" t="s">
        <v>1268</v>
      </c>
      <c r="U4027" t="s">
        <v>1269</v>
      </c>
      <c r="V4027" t="s">
        <v>1270</v>
      </c>
      <c r="W4027" t="s">
        <v>51</v>
      </c>
      <c r="X4027" t="s">
        <v>45</v>
      </c>
      <c r="Y4027" s="1">
        <v>28491</v>
      </c>
      <c r="Z4027">
        <v>2</v>
      </c>
      <c r="AA4027" t="s">
        <v>1269</v>
      </c>
      <c r="AB4027" s="40" t="s">
        <v>1799</v>
      </c>
    </row>
    <row r="4028" spans="1:28" x14ac:dyDescent="0.25">
      <c r="A4028">
        <v>99914027</v>
      </c>
      <c r="B4028" t="s">
        <v>56</v>
      </c>
      <c r="C4028" t="s">
        <v>117</v>
      </c>
      <c r="D4028" t="s">
        <v>118</v>
      </c>
      <c r="G4028" t="s">
        <v>48</v>
      </c>
      <c r="H4028">
        <v>3</v>
      </c>
      <c r="K4028" t="s">
        <v>1268</v>
      </c>
      <c r="L4028" t="s">
        <v>1269</v>
      </c>
      <c r="M4028" t="s">
        <v>1270</v>
      </c>
      <c r="N4028">
        <v>23</v>
      </c>
      <c r="O4028" s="1">
        <v>43344</v>
      </c>
      <c r="P4028" t="s">
        <v>41</v>
      </c>
      <c r="Q4028" t="s">
        <v>49</v>
      </c>
      <c r="R4028" t="str">
        <f>"1960001"</f>
        <v>1960001</v>
      </c>
      <c r="S4028" t="s">
        <v>1272</v>
      </c>
      <c r="T4028" t="s">
        <v>1268</v>
      </c>
      <c r="U4028" t="s">
        <v>1269</v>
      </c>
      <c r="V4028" t="s">
        <v>1270</v>
      </c>
      <c r="W4028" t="s">
        <v>51</v>
      </c>
      <c r="X4028" t="s">
        <v>45</v>
      </c>
      <c r="Y4028" s="1">
        <v>28491</v>
      </c>
      <c r="Z4028">
        <v>2</v>
      </c>
      <c r="AA4028" t="s">
        <v>1269</v>
      </c>
      <c r="AB4028" s="40" t="s">
        <v>1799</v>
      </c>
    </row>
    <row r="4029" spans="1:28" x14ac:dyDescent="0.25">
      <c r="A4029">
        <v>99914028</v>
      </c>
      <c r="B4029" t="s">
        <v>32</v>
      </c>
      <c r="C4029" t="s">
        <v>111</v>
      </c>
      <c r="D4029" t="s">
        <v>112</v>
      </c>
      <c r="G4029" t="s">
        <v>35</v>
      </c>
      <c r="H4029">
        <v>1</v>
      </c>
      <c r="K4029" t="s">
        <v>1581</v>
      </c>
      <c r="L4029" t="s">
        <v>1582</v>
      </c>
      <c r="M4029" t="s">
        <v>1548</v>
      </c>
      <c r="N4029">
        <v>23</v>
      </c>
      <c r="P4029" t="s">
        <v>41</v>
      </c>
      <c r="Q4029" t="s">
        <v>75</v>
      </c>
      <c r="R4029" t="str">
        <f>"7291002"</f>
        <v>7291002</v>
      </c>
      <c r="S4029" t="s">
        <v>1583</v>
      </c>
      <c r="T4029" t="s">
        <v>1581</v>
      </c>
      <c r="U4029" t="s">
        <v>1582</v>
      </c>
      <c r="V4029" t="s">
        <v>1548</v>
      </c>
      <c r="W4029" t="s">
        <v>51</v>
      </c>
      <c r="X4029" t="s">
        <v>45</v>
      </c>
      <c r="Y4029" s="1">
        <v>28491</v>
      </c>
      <c r="Z4029">
        <v>1</v>
      </c>
      <c r="AA4029" t="s">
        <v>1582</v>
      </c>
      <c r="AB4029" s="40" t="s">
        <v>1799</v>
      </c>
    </row>
    <row r="4030" spans="1:28" x14ac:dyDescent="0.25">
      <c r="A4030">
        <v>99914029</v>
      </c>
      <c r="B4030" t="s">
        <v>56</v>
      </c>
      <c r="C4030" t="s">
        <v>111</v>
      </c>
      <c r="D4030" t="s">
        <v>112</v>
      </c>
      <c r="G4030" t="s">
        <v>35</v>
      </c>
      <c r="H4030">
        <v>1</v>
      </c>
      <c r="I4030" t="s">
        <v>613</v>
      </c>
      <c r="J4030" s="1">
        <v>43344</v>
      </c>
      <c r="K4030" t="s">
        <v>268</v>
      </c>
      <c r="L4030" t="s">
        <v>269</v>
      </c>
      <c r="M4030" t="s">
        <v>131</v>
      </c>
      <c r="N4030">
        <v>23</v>
      </c>
      <c r="O4030" s="1">
        <v>43344</v>
      </c>
      <c r="P4030" t="s">
        <v>41</v>
      </c>
      <c r="Q4030" t="s">
        <v>75</v>
      </c>
      <c r="R4030" t="str">
        <f>"7052020"</f>
        <v>7052020</v>
      </c>
      <c r="S4030" t="s">
        <v>267</v>
      </c>
      <c r="T4030" t="s">
        <v>268</v>
      </c>
      <c r="U4030" t="s">
        <v>269</v>
      </c>
      <c r="V4030" t="s">
        <v>131</v>
      </c>
      <c r="W4030" t="s">
        <v>51</v>
      </c>
      <c r="X4030" t="s">
        <v>45</v>
      </c>
      <c r="Y4030" s="1">
        <v>28486</v>
      </c>
      <c r="Z4030">
        <v>1</v>
      </c>
      <c r="AA4030" t="s">
        <v>269</v>
      </c>
      <c r="AB4030" s="40" t="s">
        <v>1799</v>
      </c>
    </row>
    <row r="4031" spans="1:28" x14ac:dyDescent="0.25">
      <c r="A4031">
        <v>99914030</v>
      </c>
      <c r="B4031" t="s">
        <v>32</v>
      </c>
      <c r="C4031" t="s">
        <v>145</v>
      </c>
      <c r="D4031" t="s">
        <v>146</v>
      </c>
      <c r="G4031" t="s">
        <v>48</v>
      </c>
      <c r="H4031">
        <v>1</v>
      </c>
      <c r="K4031" t="s">
        <v>223</v>
      </c>
      <c r="L4031" t="s">
        <v>224</v>
      </c>
      <c r="M4031" t="s">
        <v>131</v>
      </c>
      <c r="N4031">
        <v>23</v>
      </c>
      <c r="P4031" t="s">
        <v>41</v>
      </c>
      <c r="Q4031" t="s">
        <v>42</v>
      </c>
      <c r="R4031" t="str">
        <f>"0590902"</f>
        <v>0590902</v>
      </c>
      <c r="S4031" t="s">
        <v>241</v>
      </c>
      <c r="T4031" t="s">
        <v>223</v>
      </c>
      <c r="U4031" t="s">
        <v>224</v>
      </c>
      <c r="V4031" t="s">
        <v>131</v>
      </c>
      <c r="W4031" t="s">
        <v>51</v>
      </c>
      <c r="X4031" t="s">
        <v>45</v>
      </c>
      <c r="Y4031" s="1">
        <v>28484</v>
      </c>
      <c r="Z4031">
        <v>2</v>
      </c>
      <c r="AA4031" t="s">
        <v>224</v>
      </c>
      <c r="AB4031" s="40" t="s">
        <v>1799</v>
      </c>
    </row>
    <row r="4032" spans="1:28" x14ac:dyDescent="0.25">
      <c r="A4032">
        <v>99914031</v>
      </c>
      <c r="B4032" t="s">
        <v>32</v>
      </c>
      <c r="C4032" t="s">
        <v>143</v>
      </c>
      <c r="D4032" t="s">
        <v>144</v>
      </c>
      <c r="G4032" t="s">
        <v>48</v>
      </c>
      <c r="H4032">
        <v>6</v>
      </c>
      <c r="K4032" t="s">
        <v>195</v>
      </c>
      <c r="L4032" t="s">
        <v>196</v>
      </c>
      <c r="M4032" t="s">
        <v>131</v>
      </c>
      <c r="N4032">
        <v>23</v>
      </c>
      <c r="O4032" s="1">
        <v>40422</v>
      </c>
      <c r="P4032" t="s">
        <v>41</v>
      </c>
      <c r="Q4032" t="s">
        <v>75</v>
      </c>
      <c r="R4032" t="str">
        <f>"7521044"</f>
        <v>7521044</v>
      </c>
      <c r="S4032" t="s">
        <v>453</v>
      </c>
      <c r="T4032" t="s">
        <v>195</v>
      </c>
      <c r="U4032" t="s">
        <v>196</v>
      </c>
      <c r="V4032" t="s">
        <v>131</v>
      </c>
      <c r="W4032" t="s">
        <v>51</v>
      </c>
      <c r="X4032" t="s">
        <v>45</v>
      </c>
      <c r="Y4032" s="1">
        <v>28476</v>
      </c>
      <c r="Z4032">
        <v>1</v>
      </c>
      <c r="AA4032" t="s">
        <v>196</v>
      </c>
      <c r="AB4032" s="40" t="s">
        <v>1799</v>
      </c>
    </row>
    <row r="4033" spans="1:28" x14ac:dyDescent="0.25">
      <c r="A4033">
        <v>99914032</v>
      </c>
      <c r="B4033" t="s">
        <v>32</v>
      </c>
      <c r="C4033" t="s">
        <v>82</v>
      </c>
      <c r="D4033" t="s">
        <v>83</v>
      </c>
      <c r="G4033" t="s">
        <v>48</v>
      </c>
      <c r="H4033">
        <v>1</v>
      </c>
      <c r="K4033" t="s">
        <v>1051</v>
      </c>
      <c r="L4033" t="s">
        <v>1052</v>
      </c>
      <c r="M4033" t="s">
        <v>1053</v>
      </c>
      <c r="N4033">
        <v>23</v>
      </c>
      <c r="P4033" t="s">
        <v>41</v>
      </c>
      <c r="Q4033" t="s">
        <v>42</v>
      </c>
      <c r="R4033" t="str">
        <f>"2061001"</f>
        <v>2061001</v>
      </c>
      <c r="S4033" t="s">
        <v>1058</v>
      </c>
      <c r="T4033" t="s">
        <v>1051</v>
      </c>
      <c r="U4033" t="s">
        <v>1052</v>
      </c>
      <c r="V4033" t="s">
        <v>1053</v>
      </c>
      <c r="W4033" t="s">
        <v>51</v>
      </c>
      <c r="X4033" t="s">
        <v>45</v>
      </c>
      <c r="Y4033" s="1">
        <v>28469</v>
      </c>
      <c r="Z4033">
        <v>2</v>
      </c>
      <c r="AA4033" t="s">
        <v>1052</v>
      </c>
      <c r="AB4033" s="40" t="s">
        <v>1799</v>
      </c>
    </row>
    <row r="4034" spans="1:28" x14ac:dyDescent="0.25">
      <c r="A4034">
        <v>99914033</v>
      </c>
      <c r="B4034" t="s">
        <v>32</v>
      </c>
      <c r="C4034" t="s">
        <v>111</v>
      </c>
      <c r="D4034" t="s">
        <v>112</v>
      </c>
      <c r="G4034" t="s">
        <v>35</v>
      </c>
      <c r="H4034">
        <v>5</v>
      </c>
      <c r="K4034" t="s">
        <v>268</v>
      </c>
      <c r="L4034" t="s">
        <v>269</v>
      </c>
      <c r="M4034" t="s">
        <v>131</v>
      </c>
      <c r="N4034">
        <v>23</v>
      </c>
      <c r="P4034" t="s">
        <v>41</v>
      </c>
      <c r="Q4034" t="s">
        <v>75</v>
      </c>
      <c r="R4034" t="str">
        <f>"7052002"</f>
        <v>7052002</v>
      </c>
      <c r="S4034" t="s">
        <v>590</v>
      </c>
      <c r="T4034" t="s">
        <v>268</v>
      </c>
      <c r="U4034" t="s">
        <v>269</v>
      </c>
      <c r="V4034" t="s">
        <v>131</v>
      </c>
      <c r="W4034" t="s">
        <v>51</v>
      </c>
      <c r="X4034" t="s">
        <v>45</v>
      </c>
      <c r="Y4034" s="1">
        <v>28465</v>
      </c>
      <c r="Z4034">
        <v>1</v>
      </c>
      <c r="AA4034" t="s">
        <v>269</v>
      </c>
      <c r="AB4034" s="40" t="s">
        <v>1799</v>
      </c>
    </row>
    <row r="4035" spans="1:28" x14ac:dyDescent="0.25">
      <c r="A4035">
        <v>99914034</v>
      </c>
      <c r="B4035" t="s">
        <v>32</v>
      </c>
      <c r="C4035" t="s">
        <v>46</v>
      </c>
      <c r="D4035" t="s">
        <v>47</v>
      </c>
      <c r="G4035" t="s">
        <v>48</v>
      </c>
      <c r="H4035">
        <v>1</v>
      </c>
      <c r="K4035" t="s">
        <v>936</v>
      </c>
      <c r="L4035" t="s">
        <v>937</v>
      </c>
      <c r="M4035" t="s">
        <v>938</v>
      </c>
      <c r="N4035">
        <v>23</v>
      </c>
      <c r="P4035" t="s">
        <v>41</v>
      </c>
      <c r="Q4035" t="s">
        <v>42</v>
      </c>
      <c r="R4035" t="str">
        <f>"0161002"</f>
        <v>0161002</v>
      </c>
      <c r="S4035" t="s">
        <v>941</v>
      </c>
      <c r="T4035" t="s">
        <v>936</v>
      </c>
      <c r="U4035" t="s">
        <v>937</v>
      </c>
      <c r="V4035" t="s">
        <v>938</v>
      </c>
      <c r="W4035" t="s">
        <v>51</v>
      </c>
      <c r="X4035" t="s">
        <v>45</v>
      </c>
      <c r="Y4035" s="1">
        <v>28454</v>
      </c>
      <c r="Z4035">
        <v>2</v>
      </c>
      <c r="AA4035" t="s">
        <v>937</v>
      </c>
      <c r="AB4035" s="40" t="s">
        <v>1799</v>
      </c>
    </row>
    <row r="4036" spans="1:28" x14ac:dyDescent="0.25">
      <c r="A4036">
        <v>99914035</v>
      </c>
      <c r="B4036" t="s">
        <v>32</v>
      </c>
      <c r="C4036" t="s">
        <v>64</v>
      </c>
      <c r="D4036" t="s">
        <v>65</v>
      </c>
      <c r="G4036" t="s">
        <v>48</v>
      </c>
      <c r="H4036">
        <v>1</v>
      </c>
      <c r="K4036" t="s">
        <v>223</v>
      </c>
      <c r="L4036" t="s">
        <v>224</v>
      </c>
      <c r="M4036" t="s">
        <v>131</v>
      </c>
      <c r="N4036">
        <v>23</v>
      </c>
      <c r="P4036" t="s">
        <v>41</v>
      </c>
      <c r="Q4036" t="s">
        <v>49</v>
      </c>
      <c r="R4036" t="str">
        <f>"0581206"</f>
        <v>0581206</v>
      </c>
      <c r="S4036" t="s">
        <v>232</v>
      </c>
      <c r="T4036" t="s">
        <v>223</v>
      </c>
      <c r="U4036" t="s">
        <v>224</v>
      </c>
      <c r="V4036" t="s">
        <v>131</v>
      </c>
      <c r="W4036" t="s">
        <v>51</v>
      </c>
      <c r="X4036" t="s">
        <v>45</v>
      </c>
      <c r="Y4036" s="1">
        <v>28443</v>
      </c>
      <c r="Z4036">
        <v>2</v>
      </c>
      <c r="AA4036" t="s">
        <v>224</v>
      </c>
      <c r="AB4036" s="40" t="s">
        <v>1799</v>
      </c>
    </row>
    <row r="4037" spans="1:28" x14ac:dyDescent="0.25">
      <c r="A4037">
        <v>99914036</v>
      </c>
      <c r="B4037" t="s">
        <v>32</v>
      </c>
      <c r="C4037" t="s">
        <v>64</v>
      </c>
      <c r="D4037" t="s">
        <v>65</v>
      </c>
      <c r="G4037" t="s">
        <v>48</v>
      </c>
      <c r="H4037">
        <v>10</v>
      </c>
      <c r="K4037" t="s">
        <v>1221</v>
      </c>
      <c r="L4037" t="s">
        <v>1222</v>
      </c>
      <c r="M4037" t="s">
        <v>1130</v>
      </c>
      <c r="N4037">
        <v>23</v>
      </c>
      <c r="P4037" t="s">
        <v>41</v>
      </c>
      <c r="Q4037" t="s">
        <v>75</v>
      </c>
      <c r="R4037" t="str">
        <f>"7351000"</f>
        <v>7351000</v>
      </c>
      <c r="S4037" t="s">
        <v>1223</v>
      </c>
      <c r="T4037" t="s">
        <v>1221</v>
      </c>
      <c r="U4037" t="s">
        <v>1222</v>
      </c>
      <c r="V4037" t="s">
        <v>1130</v>
      </c>
      <c r="W4037" t="s">
        <v>51</v>
      </c>
      <c r="X4037" t="s">
        <v>45</v>
      </c>
      <c r="Y4037" s="1">
        <v>28423</v>
      </c>
      <c r="Z4037">
        <v>1</v>
      </c>
      <c r="AA4037" t="s">
        <v>1222</v>
      </c>
      <c r="AB4037" s="40" t="s">
        <v>1799</v>
      </c>
    </row>
    <row r="4038" spans="1:28" x14ac:dyDescent="0.25">
      <c r="A4038">
        <v>99914037</v>
      </c>
      <c r="B4038" t="s">
        <v>56</v>
      </c>
      <c r="C4038" t="s">
        <v>33</v>
      </c>
      <c r="D4038" t="s">
        <v>34</v>
      </c>
      <c r="G4038" t="s">
        <v>48</v>
      </c>
      <c r="H4038">
        <v>1</v>
      </c>
      <c r="K4038" t="s">
        <v>129</v>
      </c>
      <c r="L4038" t="s">
        <v>130</v>
      </c>
      <c r="M4038" t="s">
        <v>131</v>
      </c>
      <c r="N4038">
        <v>23</v>
      </c>
      <c r="P4038" t="s">
        <v>41</v>
      </c>
      <c r="Q4038" t="s">
        <v>49</v>
      </c>
      <c r="R4038" t="str">
        <f>"0560024"</f>
        <v>0560024</v>
      </c>
      <c r="S4038" t="s">
        <v>138</v>
      </c>
      <c r="T4038" t="s">
        <v>129</v>
      </c>
      <c r="U4038" t="s">
        <v>130</v>
      </c>
      <c r="V4038" t="s">
        <v>131</v>
      </c>
      <c r="W4038" t="s">
        <v>51</v>
      </c>
      <c r="X4038" t="s">
        <v>45</v>
      </c>
      <c r="Y4038" s="1">
        <v>28419</v>
      </c>
      <c r="Z4038">
        <v>2</v>
      </c>
      <c r="AA4038" t="s">
        <v>130</v>
      </c>
      <c r="AB4038" s="40" t="s">
        <v>1799</v>
      </c>
    </row>
    <row r="4039" spans="1:28" x14ac:dyDescent="0.25">
      <c r="A4039">
        <v>99914038</v>
      </c>
      <c r="B4039" t="s">
        <v>56</v>
      </c>
      <c r="C4039" t="s">
        <v>64</v>
      </c>
      <c r="D4039" t="s">
        <v>65</v>
      </c>
      <c r="G4039" t="s">
        <v>35</v>
      </c>
      <c r="H4039">
        <v>1</v>
      </c>
      <c r="K4039" t="s">
        <v>1502</v>
      </c>
      <c r="L4039" t="s">
        <v>1503</v>
      </c>
      <c r="M4039" t="s">
        <v>670</v>
      </c>
      <c r="N4039">
        <v>23</v>
      </c>
      <c r="P4039" t="s">
        <v>41</v>
      </c>
      <c r="Q4039" t="s">
        <v>75</v>
      </c>
      <c r="R4039" t="str">
        <f>"7171000"</f>
        <v>7171000</v>
      </c>
      <c r="S4039" t="s">
        <v>1506</v>
      </c>
      <c r="T4039" t="s">
        <v>1502</v>
      </c>
      <c r="U4039" t="s">
        <v>1503</v>
      </c>
      <c r="V4039" t="s">
        <v>670</v>
      </c>
      <c r="W4039" t="s">
        <v>51</v>
      </c>
      <c r="X4039" t="s">
        <v>45</v>
      </c>
      <c r="Y4039" s="1">
        <v>28406</v>
      </c>
      <c r="Z4039">
        <v>1</v>
      </c>
      <c r="AA4039" t="s">
        <v>1503</v>
      </c>
      <c r="AB4039" s="40" t="s">
        <v>1799</v>
      </c>
    </row>
    <row r="4040" spans="1:28" x14ac:dyDescent="0.25">
      <c r="A4040">
        <v>99914039</v>
      </c>
      <c r="B4040" t="s">
        <v>32</v>
      </c>
      <c r="C4040" t="s">
        <v>90</v>
      </c>
      <c r="D4040" t="s">
        <v>91</v>
      </c>
      <c r="G4040" t="s">
        <v>48</v>
      </c>
      <c r="H4040">
        <v>1</v>
      </c>
      <c r="K4040" t="s">
        <v>1695</v>
      </c>
      <c r="L4040" t="s">
        <v>1696</v>
      </c>
      <c r="M4040" t="s">
        <v>1592</v>
      </c>
      <c r="N4040">
        <v>23</v>
      </c>
      <c r="P4040" t="s">
        <v>41</v>
      </c>
      <c r="Q4040" t="s">
        <v>75</v>
      </c>
      <c r="R4040" t="str">
        <f>"7361000"</f>
        <v>7361000</v>
      </c>
      <c r="S4040" t="s">
        <v>1698</v>
      </c>
      <c r="T4040" t="s">
        <v>1695</v>
      </c>
      <c r="U4040" t="s">
        <v>1696</v>
      </c>
      <c r="V4040" t="s">
        <v>1592</v>
      </c>
      <c r="W4040" t="s">
        <v>51</v>
      </c>
      <c r="X4040" t="s">
        <v>45</v>
      </c>
      <c r="Y4040" s="1">
        <v>28404</v>
      </c>
      <c r="Z4040">
        <v>1</v>
      </c>
      <c r="AA4040" t="s">
        <v>1696</v>
      </c>
      <c r="AB4040" s="40" t="s">
        <v>1799</v>
      </c>
    </row>
    <row r="4041" spans="1:28" x14ac:dyDescent="0.25">
      <c r="A4041">
        <v>99914040</v>
      </c>
      <c r="B4041" t="s">
        <v>32</v>
      </c>
      <c r="C4041" t="s">
        <v>79</v>
      </c>
      <c r="D4041" t="s">
        <v>80</v>
      </c>
      <c r="G4041" t="s">
        <v>35</v>
      </c>
      <c r="H4041">
        <v>1</v>
      </c>
      <c r="K4041" t="s">
        <v>354</v>
      </c>
      <c r="L4041" t="s">
        <v>355</v>
      </c>
      <c r="M4041" t="s">
        <v>131</v>
      </c>
      <c r="N4041">
        <v>23</v>
      </c>
      <c r="P4041" t="s">
        <v>41</v>
      </c>
      <c r="Q4041" t="s">
        <v>75</v>
      </c>
      <c r="R4041" t="str">
        <f>"7054020"</f>
        <v>7054020</v>
      </c>
      <c r="S4041" t="s">
        <v>765</v>
      </c>
      <c r="T4041" t="s">
        <v>354</v>
      </c>
      <c r="U4041" t="s">
        <v>355</v>
      </c>
      <c r="V4041" t="s">
        <v>131</v>
      </c>
      <c r="W4041" t="s">
        <v>51</v>
      </c>
      <c r="X4041" t="s">
        <v>45</v>
      </c>
      <c r="Y4041" s="1">
        <v>28363</v>
      </c>
      <c r="Z4041">
        <v>1</v>
      </c>
      <c r="AA4041" t="s">
        <v>355</v>
      </c>
      <c r="AB4041" s="40" t="s">
        <v>1799</v>
      </c>
    </row>
    <row r="4042" spans="1:28" x14ac:dyDescent="0.25">
      <c r="A4042">
        <v>99914041</v>
      </c>
      <c r="B4042" t="s">
        <v>56</v>
      </c>
      <c r="C4042" t="s">
        <v>68</v>
      </c>
      <c r="D4042" t="s">
        <v>69</v>
      </c>
      <c r="G4042" t="s">
        <v>35</v>
      </c>
      <c r="H4042">
        <v>1</v>
      </c>
      <c r="K4042" t="s">
        <v>162</v>
      </c>
      <c r="L4042" t="s">
        <v>158</v>
      </c>
      <c r="M4042" t="s">
        <v>131</v>
      </c>
      <c r="N4042">
        <v>23</v>
      </c>
      <c r="P4042" t="s">
        <v>41</v>
      </c>
      <c r="Q4042" t="s">
        <v>42</v>
      </c>
      <c r="R4042" t="str">
        <f>"0580310"</f>
        <v>0580310</v>
      </c>
      <c r="S4042" t="s">
        <v>173</v>
      </c>
      <c r="T4042" t="s">
        <v>162</v>
      </c>
      <c r="U4042" t="s">
        <v>158</v>
      </c>
      <c r="V4042" t="s">
        <v>131</v>
      </c>
      <c r="W4042" t="s">
        <v>51</v>
      </c>
      <c r="X4042" t="s">
        <v>45</v>
      </c>
      <c r="Y4042" s="1">
        <v>28362</v>
      </c>
      <c r="Z4042">
        <v>2</v>
      </c>
      <c r="AA4042" t="s">
        <v>158</v>
      </c>
      <c r="AB4042" s="40" t="s">
        <v>1799</v>
      </c>
    </row>
    <row r="4043" spans="1:28" x14ac:dyDescent="0.25">
      <c r="A4043">
        <v>99914042</v>
      </c>
      <c r="B4043" t="s">
        <v>56</v>
      </c>
      <c r="C4043" t="s">
        <v>64</v>
      </c>
      <c r="D4043" t="s">
        <v>65</v>
      </c>
      <c r="G4043" t="s">
        <v>35</v>
      </c>
      <c r="H4043">
        <v>1</v>
      </c>
      <c r="K4043" t="s">
        <v>223</v>
      </c>
      <c r="L4043" t="s">
        <v>224</v>
      </c>
      <c r="M4043" t="s">
        <v>131</v>
      </c>
      <c r="N4043">
        <v>23</v>
      </c>
      <c r="P4043" t="s">
        <v>41</v>
      </c>
      <c r="Q4043" t="s">
        <v>49</v>
      </c>
      <c r="R4043" t="str">
        <f>"0581207"</f>
        <v>0581207</v>
      </c>
      <c r="S4043" t="s">
        <v>233</v>
      </c>
      <c r="T4043" t="s">
        <v>223</v>
      </c>
      <c r="U4043" t="s">
        <v>224</v>
      </c>
      <c r="V4043" t="s">
        <v>131</v>
      </c>
      <c r="W4043" t="s">
        <v>51</v>
      </c>
      <c r="X4043" t="s">
        <v>45</v>
      </c>
      <c r="Y4043" s="1">
        <v>28352</v>
      </c>
      <c r="Z4043">
        <v>2</v>
      </c>
      <c r="AA4043" t="s">
        <v>224</v>
      </c>
      <c r="AB4043" s="40" t="s">
        <v>1799</v>
      </c>
    </row>
    <row r="4044" spans="1:28" x14ac:dyDescent="0.25">
      <c r="A4044">
        <v>99914043</v>
      </c>
      <c r="B4044" t="s">
        <v>32</v>
      </c>
      <c r="C4044" t="s">
        <v>46</v>
      </c>
      <c r="D4044" t="s">
        <v>47</v>
      </c>
      <c r="G4044" t="s">
        <v>48</v>
      </c>
      <c r="H4044">
        <v>1</v>
      </c>
      <c r="K4044" t="s">
        <v>380</v>
      </c>
      <c r="L4044" t="s">
        <v>381</v>
      </c>
      <c r="M4044" t="s">
        <v>131</v>
      </c>
      <c r="N4044">
        <v>23</v>
      </c>
      <c r="P4044" t="s">
        <v>41</v>
      </c>
      <c r="Q4044" t="s">
        <v>49</v>
      </c>
      <c r="R4044" t="str">
        <f>"0560028"</f>
        <v>0560028</v>
      </c>
      <c r="S4044" t="s">
        <v>384</v>
      </c>
      <c r="T4044" t="s">
        <v>380</v>
      </c>
      <c r="U4044" t="s">
        <v>381</v>
      </c>
      <c r="V4044" t="s">
        <v>131</v>
      </c>
      <c r="W4044" t="s">
        <v>51</v>
      </c>
      <c r="X4044" t="s">
        <v>45</v>
      </c>
      <c r="Y4044" s="1">
        <v>28347</v>
      </c>
      <c r="Z4044">
        <v>2</v>
      </c>
      <c r="AA4044" t="s">
        <v>381</v>
      </c>
      <c r="AB4044" s="40" t="s">
        <v>1799</v>
      </c>
    </row>
    <row r="4045" spans="1:28" x14ac:dyDescent="0.25">
      <c r="A4045">
        <v>99914044</v>
      </c>
      <c r="B4045" t="s">
        <v>32</v>
      </c>
      <c r="C4045" t="s">
        <v>143</v>
      </c>
      <c r="D4045" t="s">
        <v>144</v>
      </c>
      <c r="G4045" t="s">
        <v>35</v>
      </c>
      <c r="H4045">
        <v>1</v>
      </c>
      <c r="K4045" t="s">
        <v>354</v>
      </c>
      <c r="L4045" t="s">
        <v>355</v>
      </c>
      <c r="M4045" t="s">
        <v>131</v>
      </c>
      <c r="N4045">
        <v>23</v>
      </c>
      <c r="P4045" t="s">
        <v>41</v>
      </c>
      <c r="Q4045" t="s">
        <v>75</v>
      </c>
      <c r="R4045" t="str">
        <f>"7054020"</f>
        <v>7054020</v>
      </c>
      <c r="S4045" t="s">
        <v>765</v>
      </c>
      <c r="T4045" t="s">
        <v>354</v>
      </c>
      <c r="U4045" t="s">
        <v>355</v>
      </c>
      <c r="V4045" t="s">
        <v>131</v>
      </c>
      <c r="W4045" t="s">
        <v>51</v>
      </c>
      <c r="X4045" t="s">
        <v>45</v>
      </c>
      <c r="Y4045" s="1">
        <v>28333</v>
      </c>
      <c r="Z4045">
        <v>1</v>
      </c>
      <c r="AA4045" t="s">
        <v>355</v>
      </c>
      <c r="AB4045" s="40" t="s">
        <v>1799</v>
      </c>
    </row>
    <row r="4046" spans="1:28" x14ac:dyDescent="0.25">
      <c r="A4046">
        <v>99914045</v>
      </c>
      <c r="B4046" t="s">
        <v>56</v>
      </c>
      <c r="C4046" t="s">
        <v>143</v>
      </c>
      <c r="D4046" t="s">
        <v>144</v>
      </c>
      <c r="G4046" t="s">
        <v>35</v>
      </c>
      <c r="H4046">
        <v>2</v>
      </c>
      <c r="I4046">
        <v>13814</v>
      </c>
      <c r="J4046" s="1">
        <v>43355</v>
      </c>
      <c r="K4046" t="s">
        <v>345</v>
      </c>
      <c r="L4046" t="s">
        <v>346</v>
      </c>
      <c r="M4046" t="s">
        <v>131</v>
      </c>
      <c r="N4046">
        <v>23</v>
      </c>
      <c r="O4046" s="1">
        <v>43355</v>
      </c>
      <c r="P4046" t="s">
        <v>41</v>
      </c>
      <c r="Q4046" t="s">
        <v>49</v>
      </c>
      <c r="R4046" t="str">
        <f>"0591906"</f>
        <v>0591906</v>
      </c>
      <c r="S4046" t="s">
        <v>350</v>
      </c>
      <c r="T4046" t="s">
        <v>345</v>
      </c>
      <c r="U4046" t="s">
        <v>346</v>
      </c>
      <c r="V4046" t="s">
        <v>131</v>
      </c>
      <c r="W4046" t="s">
        <v>51</v>
      </c>
      <c r="X4046" t="s">
        <v>45</v>
      </c>
      <c r="Y4046" s="1">
        <v>28332</v>
      </c>
      <c r="Z4046">
        <v>2</v>
      </c>
      <c r="AA4046" t="s">
        <v>346</v>
      </c>
      <c r="AB4046" s="40" t="s">
        <v>1799</v>
      </c>
    </row>
    <row r="4047" spans="1:28" x14ac:dyDescent="0.25">
      <c r="A4047">
        <v>99914046</v>
      </c>
      <c r="B4047" t="s">
        <v>32</v>
      </c>
      <c r="C4047" t="s">
        <v>58</v>
      </c>
      <c r="D4047" t="s">
        <v>59</v>
      </c>
      <c r="G4047" t="s">
        <v>48</v>
      </c>
      <c r="H4047">
        <v>1</v>
      </c>
      <c r="K4047" t="s">
        <v>223</v>
      </c>
      <c r="L4047" t="s">
        <v>224</v>
      </c>
      <c r="M4047" t="s">
        <v>131</v>
      </c>
      <c r="N4047">
        <v>23</v>
      </c>
      <c r="P4047" t="s">
        <v>41</v>
      </c>
      <c r="Q4047" t="s">
        <v>42</v>
      </c>
      <c r="R4047" t="str">
        <f>"0580395"</f>
        <v>0580395</v>
      </c>
      <c r="S4047" t="s">
        <v>265</v>
      </c>
      <c r="T4047" t="s">
        <v>223</v>
      </c>
      <c r="U4047" t="s">
        <v>224</v>
      </c>
      <c r="V4047" t="s">
        <v>131</v>
      </c>
      <c r="W4047" t="s">
        <v>51</v>
      </c>
      <c r="X4047" t="s">
        <v>45</v>
      </c>
      <c r="Y4047" s="1">
        <v>28321</v>
      </c>
      <c r="Z4047">
        <v>2</v>
      </c>
      <c r="AA4047" t="s">
        <v>224</v>
      </c>
      <c r="AB4047" s="40" t="s">
        <v>1799</v>
      </c>
    </row>
    <row r="4048" spans="1:28" x14ac:dyDescent="0.25">
      <c r="A4048">
        <v>99914047</v>
      </c>
      <c r="B4048" t="s">
        <v>32</v>
      </c>
      <c r="C4048" t="s">
        <v>46</v>
      </c>
      <c r="D4048" t="s">
        <v>47</v>
      </c>
      <c r="G4048" t="s">
        <v>48</v>
      </c>
      <c r="H4048">
        <v>1</v>
      </c>
      <c r="K4048" t="s">
        <v>345</v>
      </c>
      <c r="L4048" t="s">
        <v>346</v>
      </c>
      <c r="M4048" t="s">
        <v>131</v>
      </c>
      <c r="N4048">
        <v>23</v>
      </c>
      <c r="P4048" t="s">
        <v>41</v>
      </c>
      <c r="Q4048" t="s">
        <v>49</v>
      </c>
      <c r="R4048" t="str">
        <f>"0561021"</f>
        <v>0561021</v>
      </c>
      <c r="S4048" t="s">
        <v>352</v>
      </c>
      <c r="T4048" t="s">
        <v>345</v>
      </c>
      <c r="U4048" t="s">
        <v>346</v>
      </c>
      <c r="V4048" t="s">
        <v>131</v>
      </c>
      <c r="W4048" t="s">
        <v>51</v>
      </c>
      <c r="X4048" t="s">
        <v>45</v>
      </c>
      <c r="Y4048" s="1">
        <v>28299</v>
      </c>
      <c r="Z4048">
        <v>2</v>
      </c>
      <c r="AA4048" t="s">
        <v>346</v>
      </c>
      <c r="AB4048" s="40" t="s">
        <v>1799</v>
      </c>
    </row>
    <row r="4049" spans="1:28" x14ac:dyDescent="0.25">
      <c r="A4049">
        <v>99914048</v>
      </c>
      <c r="B4049" t="s">
        <v>56</v>
      </c>
      <c r="C4049" t="s">
        <v>52</v>
      </c>
      <c r="D4049" t="s">
        <v>53</v>
      </c>
      <c r="G4049" t="s">
        <v>35</v>
      </c>
      <c r="H4049">
        <v>1</v>
      </c>
      <c r="K4049" t="s">
        <v>223</v>
      </c>
      <c r="L4049" t="s">
        <v>224</v>
      </c>
      <c r="M4049" t="s">
        <v>131</v>
      </c>
      <c r="N4049">
        <v>23</v>
      </c>
      <c r="P4049" t="s">
        <v>41</v>
      </c>
      <c r="Q4049" t="s">
        <v>42</v>
      </c>
      <c r="R4049" t="str">
        <f>"0580345"</f>
        <v>0580345</v>
      </c>
      <c r="S4049" t="s">
        <v>261</v>
      </c>
      <c r="T4049" t="s">
        <v>223</v>
      </c>
      <c r="U4049" t="s">
        <v>224</v>
      </c>
      <c r="V4049" t="s">
        <v>131</v>
      </c>
      <c r="W4049" t="s">
        <v>51</v>
      </c>
      <c r="X4049" t="s">
        <v>45</v>
      </c>
      <c r="Y4049" s="1">
        <v>28292</v>
      </c>
      <c r="Z4049">
        <v>2</v>
      </c>
      <c r="AA4049" t="s">
        <v>224</v>
      </c>
      <c r="AB4049" s="40" t="s">
        <v>1799</v>
      </c>
    </row>
    <row r="4050" spans="1:28" x14ac:dyDescent="0.25">
      <c r="A4050">
        <v>99914049</v>
      </c>
      <c r="B4050" t="s">
        <v>32</v>
      </c>
      <c r="C4050" t="s">
        <v>46</v>
      </c>
      <c r="D4050" t="s">
        <v>47</v>
      </c>
      <c r="G4050" t="s">
        <v>35</v>
      </c>
      <c r="H4050">
        <v>1</v>
      </c>
      <c r="K4050" t="s">
        <v>1051</v>
      </c>
      <c r="L4050" t="s">
        <v>1052</v>
      </c>
      <c r="M4050" t="s">
        <v>1053</v>
      </c>
      <c r="N4050">
        <v>23</v>
      </c>
      <c r="P4050" t="s">
        <v>41</v>
      </c>
      <c r="Q4050" t="s">
        <v>42</v>
      </c>
      <c r="R4050" t="str">
        <f>"2061003"</f>
        <v>2061003</v>
      </c>
      <c r="S4050" t="s">
        <v>1060</v>
      </c>
      <c r="T4050" t="s">
        <v>1051</v>
      </c>
      <c r="U4050" t="s">
        <v>1052</v>
      </c>
      <c r="V4050" t="s">
        <v>1053</v>
      </c>
      <c r="W4050" t="s">
        <v>51</v>
      </c>
      <c r="X4050" t="s">
        <v>45</v>
      </c>
      <c r="Y4050" s="1">
        <v>28291</v>
      </c>
      <c r="Z4050">
        <v>2</v>
      </c>
      <c r="AA4050" t="s">
        <v>1052</v>
      </c>
      <c r="AB4050" s="40" t="s">
        <v>1799</v>
      </c>
    </row>
    <row r="4051" spans="1:28" x14ac:dyDescent="0.25">
      <c r="A4051">
        <v>99914050</v>
      </c>
      <c r="B4051" t="s">
        <v>32</v>
      </c>
      <c r="C4051" t="s">
        <v>61</v>
      </c>
      <c r="D4051" t="s">
        <v>62</v>
      </c>
      <c r="G4051" t="s">
        <v>48</v>
      </c>
      <c r="H4051">
        <v>1</v>
      </c>
      <c r="K4051" t="s">
        <v>223</v>
      </c>
      <c r="L4051" t="s">
        <v>224</v>
      </c>
      <c r="M4051" t="s">
        <v>131</v>
      </c>
      <c r="N4051">
        <v>23</v>
      </c>
      <c r="P4051" t="s">
        <v>41</v>
      </c>
      <c r="Q4051" t="s">
        <v>42</v>
      </c>
      <c r="R4051" t="str">
        <f>"0580395"</f>
        <v>0580395</v>
      </c>
      <c r="S4051" t="s">
        <v>265</v>
      </c>
      <c r="T4051" t="s">
        <v>223</v>
      </c>
      <c r="U4051" t="s">
        <v>224</v>
      </c>
      <c r="V4051" t="s">
        <v>131</v>
      </c>
      <c r="W4051" t="s">
        <v>51</v>
      </c>
      <c r="X4051" t="s">
        <v>45</v>
      </c>
      <c r="Y4051" s="1">
        <v>28276</v>
      </c>
      <c r="Z4051">
        <v>2</v>
      </c>
      <c r="AA4051" t="s">
        <v>224</v>
      </c>
      <c r="AB4051" s="40" t="s">
        <v>1799</v>
      </c>
    </row>
    <row r="4052" spans="1:28" x14ac:dyDescent="0.25">
      <c r="A4052">
        <v>99914051</v>
      </c>
      <c r="B4052" t="s">
        <v>56</v>
      </c>
      <c r="C4052" t="s">
        <v>68</v>
      </c>
      <c r="D4052" t="s">
        <v>69</v>
      </c>
      <c r="G4052" t="s">
        <v>35</v>
      </c>
      <c r="H4052">
        <v>3</v>
      </c>
      <c r="I4052">
        <v>15986</v>
      </c>
      <c r="J4052" s="1">
        <v>43354</v>
      </c>
      <c r="K4052" t="s">
        <v>1268</v>
      </c>
      <c r="L4052" t="s">
        <v>1269</v>
      </c>
      <c r="M4052" t="s">
        <v>1270</v>
      </c>
      <c r="N4052">
        <v>23</v>
      </c>
      <c r="O4052" s="1">
        <v>43354</v>
      </c>
      <c r="P4052" t="s">
        <v>41</v>
      </c>
      <c r="Q4052" t="s">
        <v>42</v>
      </c>
      <c r="R4052" t="str">
        <f>"1980055"</f>
        <v>1980055</v>
      </c>
      <c r="S4052" t="s">
        <v>1285</v>
      </c>
      <c r="T4052" t="s">
        <v>1268</v>
      </c>
      <c r="U4052" t="s">
        <v>1269</v>
      </c>
      <c r="V4052" t="s">
        <v>1270</v>
      </c>
      <c r="W4052" t="s">
        <v>44</v>
      </c>
      <c r="X4052" t="s">
        <v>45</v>
      </c>
      <c r="Y4052" s="1">
        <v>28274</v>
      </c>
      <c r="Z4052">
        <v>2</v>
      </c>
      <c r="AA4052" t="s">
        <v>1269</v>
      </c>
      <c r="AB4052" s="40" t="s">
        <v>1799</v>
      </c>
    </row>
    <row r="4053" spans="1:28" x14ac:dyDescent="0.25">
      <c r="A4053">
        <v>99914052</v>
      </c>
      <c r="B4053" t="s">
        <v>32</v>
      </c>
      <c r="C4053" t="s">
        <v>61</v>
      </c>
      <c r="D4053" t="s">
        <v>62</v>
      </c>
      <c r="G4053" t="s">
        <v>35</v>
      </c>
      <c r="H4053">
        <v>1</v>
      </c>
      <c r="I4053">
        <v>0</v>
      </c>
      <c r="J4053" s="1">
        <v>43344</v>
      </c>
      <c r="K4053" t="s">
        <v>223</v>
      </c>
      <c r="L4053" t="s">
        <v>224</v>
      </c>
      <c r="M4053" t="s">
        <v>131</v>
      </c>
      <c r="N4053">
        <v>23</v>
      </c>
      <c r="O4053" s="1">
        <v>43344</v>
      </c>
      <c r="P4053" t="s">
        <v>41</v>
      </c>
      <c r="Q4053" t="s">
        <v>49</v>
      </c>
      <c r="R4053" t="str">
        <f>"0591901"</f>
        <v>0591901</v>
      </c>
      <c r="S4053" t="s">
        <v>230</v>
      </c>
      <c r="T4053" t="s">
        <v>223</v>
      </c>
      <c r="U4053" t="s">
        <v>224</v>
      </c>
      <c r="V4053" t="s">
        <v>131</v>
      </c>
      <c r="W4053" t="s">
        <v>44</v>
      </c>
      <c r="X4053" t="s">
        <v>45</v>
      </c>
      <c r="Y4053" s="1">
        <v>28260</v>
      </c>
      <c r="Z4053">
        <v>2</v>
      </c>
      <c r="AA4053" t="s">
        <v>224</v>
      </c>
      <c r="AB4053" s="40" t="s">
        <v>1799</v>
      </c>
    </row>
    <row r="4054" spans="1:28" x14ac:dyDescent="0.25">
      <c r="A4054">
        <v>99914053</v>
      </c>
      <c r="B4054" t="s">
        <v>32</v>
      </c>
      <c r="C4054" t="s">
        <v>79</v>
      </c>
      <c r="D4054" t="s">
        <v>80</v>
      </c>
      <c r="G4054" t="s">
        <v>35</v>
      </c>
      <c r="H4054">
        <v>1</v>
      </c>
      <c r="K4054" t="s">
        <v>1198</v>
      </c>
      <c r="L4054" t="s">
        <v>1199</v>
      </c>
      <c r="M4054" t="s">
        <v>1130</v>
      </c>
      <c r="N4054">
        <v>23</v>
      </c>
      <c r="P4054" t="s">
        <v>41</v>
      </c>
      <c r="Q4054" t="s">
        <v>75</v>
      </c>
      <c r="R4054" t="str">
        <f>"7311002"</f>
        <v>7311002</v>
      </c>
      <c r="S4054" t="s">
        <v>1203</v>
      </c>
      <c r="T4054" t="s">
        <v>1198</v>
      </c>
      <c r="U4054" t="s">
        <v>1199</v>
      </c>
      <c r="V4054" t="s">
        <v>1130</v>
      </c>
      <c r="W4054" t="s">
        <v>51</v>
      </c>
      <c r="X4054" t="s">
        <v>45</v>
      </c>
      <c r="Y4054" s="1">
        <v>28219</v>
      </c>
      <c r="Z4054">
        <v>1</v>
      </c>
      <c r="AA4054" t="s">
        <v>1199</v>
      </c>
      <c r="AB4054" s="40" t="s">
        <v>1799</v>
      </c>
    </row>
    <row r="4055" spans="1:28" x14ac:dyDescent="0.25">
      <c r="A4055">
        <v>99914054</v>
      </c>
      <c r="B4055" t="s">
        <v>32</v>
      </c>
      <c r="C4055" t="s">
        <v>90</v>
      </c>
      <c r="D4055" t="s">
        <v>91</v>
      </c>
      <c r="G4055" t="s">
        <v>35</v>
      </c>
      <c r="H4055">
        <v>1</v>
      </c>
      <c r="I4055" t="s">
        <v>650</v>
      </c>
      <c r="J4055" s="1">
        <v>43344</v>
      </c>
      <c r="K4055" t="s">
        <v>268</v>
      </c>
      <c r="L4055" t="s">
        <v>269</v>
      </c>
      <c r="M4055" t="s">
        <v>131</v>
      </c>
      <c r="N4055">
        <v>23</v>
      </c>
      <c r="O4055" s="1">
        <v>43344</v>
      </c>
      <c r="P4055" t="s">
        <v>41</v>
      </c>
      <c r="Q4055" t="s">
        <v>95</v>
      </c>
      <c r="R4055" t="str">
        <f>"7052043"</f>
        <v>7052043</v>
      </c>
      <c r="S4055" t="s">
        <v>651</v>
      </c>
      <c r="T4055" t="s">
        <v>268</v>
      </c>
      <c r="U4055" t="s">
        <v>269</v>
      </c>
      <c r="V4055" t="s">
        <v>131</v>
      </c>
      <c r="W4055" t="s">
        <v>51</v>
      </c>
      <c r="X4055" t="s">
        <v>45</v>
      </c>
      <c r="Y4055" s="1">
        <v>28173</v>
      </c>
      <c r="Z4055">
        <v>1</v>
      </c>
      <c r="AA4055" t="s">
        <v>269</v>
      </c>
      <c r="AB4055" s="40" t="s">
        <v>1799</v>
      </c>
    </row>
    <row r="4056" spans="1:28" x14ac:dyDescent="0.25">
      <c r="A4056">
        <v>99914055</v>
      </c>
      <c r="B4056" t="s">
        <v>56</v>
      </c>
      <c r="C4056" t="s">
        <v>79</v>
      </c>
      <c r="D4056" t="s">
        <v>80</v>
      </c>
      <c r="G4056" t="s">
        <v>35</v>
      </c>
      <c r="H4056">
        <v>1</v>
      </c>
      <c r="K4056" t="s">
        <v>154</v>
      </c>
      <c r="L4056" t="s">
        <v>155</v>
      </c>
      <c r="M4056" t="s">
        <v>131</v>
      </c>
      <c r="N4056">
        <v>23</v>
      </c>
      <c r="P4056" t="s">
        <v>41</v>
      </c>
      <c r="Q4056" t="s">
        <v>75</v>
      </c>
      <c r="R4056" t="str">
        <f>"7700026"</f>
        <v>7700026</v>
      </c>
      <c r="S4056" t="s">
        <v>397</v>
      </c>
      <c r="T4056" t="s">
        <v>154</v>
      </c>
      <c r="U4056" t="s">
        <v>155</v>
      </c>
      <c r="V4056" t="s">
        <v>131</v>
      </c>
      <c r="W4056" t="s">
        <v>51</v>
      </c>
      <c r="X4056" t="s">
        <v>45</v>
      </c>
      <c r="Y4056" s="1">
        <v>28137</v>
      </c>
      <c r="Z4056">
        <v>1</v>
      </c>
      <c r="AA4056" t="s">
        <v>155</v>
      </c>
      <c r="AB4056" s="40" t="s">
        <v>1799</v>
      </c>
    </row>
    <row r="4057" spans="1:28" x14ac:dyDescent="0.25">
      <c r="A4057">
        <v>99914056</v>
      </c>
      <c r="B4057" t="s">
        <v>32</v>
      </c>
      <c r="C4057" t="s">
        <v>64</v>
      </c>
      <c r="D4057" t="s">
        <v>65</v>
      </c>
      <c r="G4057" t="s">
        <v>35</v>
      </c>
      <c r="H4057">
        <v>1</v>
      </c>
      <c r="K4057" t="s">
        <v>1341</v>
      </c>
      <c r="L4057" t="s">
        <v>1342</v>
      </c>
      <c r="M4057" t="s">
        <v>1270</v>
      </c>
      <c r="N4057">
        <v>23</v>
      </c>
      <c r="P4057" t="s">
        <v>41</v>
      </c>
      <c r="Q4057" t="s">
        <v>75</v>
      </c>
      <c r="R4057" t="str">
        <f>"7191006"</f>
        <v>7191006</v>
      </c>
      <c r="S4057" t="s">
        <v>1351</v>
      </c>
      <c r="T4057" t="s">
        <v>1341</v>
      </c>
      <c r="U4057" t="s">
        <v>1342</v>
      </c>
      <c r="V4057" t="s">
        <v>1270</v>
      </c>
      <c r="W4057" t="s">
        <v>51</v>
      </c>
      <c r="X4057" t="s">
        <v>45</v>
      </c>
      <c r="Y4057" s="1">
        <v>28137</v>
      </c>
      <c r="Z4057">
        <v>1</v>
      </c>
      <c r="AA4057" t="s">
        <v>1342</v>
      </c>
      <c r="AB4057" s="40" t="s">
        <v>1799</v>
      </c>
    </row>
    <row r="4058" spans="1:28" x14ac:dyDescent="0.25">
      <c r="A4058">
        <v>99914057</v>
      </c>
      <c r="B4058" t="s">
        <v>32</v>
      </c>
      <c r="C4058" t="s">
        <v>139</v>
      </c>
      <c r="D4058" t="s">
        <v>140</v>
      </c>
      <c r="G4058" t="s">
        <v>88</v>
      </c>
      <c r="H4058">
        <v>1</v>
      </c>
      <c r="K4058" t="s">
        <v>380</v>
      </c>
      <c r="L4058" t="s">
        <v>381</v>
      </c>
      <c r="M4058" t="s">
        <v>131</v>
      </c>
      <c r="N4058">
        <v>23</v>
      </c>
      <c r="P4058" t="s">
        <v>41</v>
      </c>
      <c r="Q4058" t="s">
        <v>49</v>
      </c>
      <c r="R4058" t="str">
        <f>"0560028"</f>
        <v>0560028</v>
      </c>
      <c r="S4058" t="s">
        <v>384</v>
      </c>
      <c r="T4058" t="s">
        <v>380</v>
      </c>
      <c r="U4058" t="s">
        <v>381</v>
      </c>
      <c r="V4058" t="s">
        <v>131</v>
      </c>
      <c r="W4058" t="s">
        <v>51</v>
      </c>
      <c r="X4058" t="s">
        <v>45</v>
      </c>
      <c r="Y4058" s="1">
        <v>28126</v>
      </c>
      <c r="Z4058">
        <v>2</v>
      </c>
      <c r="AA4058" t="s">
        <v>381</v>
      </c>
      <c r="AB4058" s="40" t="s">
        <v>1799</v>
      </c>
    </row>
    <row r="4059" spans="1:28" x14ac:dyDescent="0.25">
      <c r="A4059">
        <v>99914058</v>
      </c>
      <c r="B4059" t="s">
        <v>32</v>
      </c>
      <c r="C4059" t="s">
        <v>111</v>
      </c>
      <c r="D4059" t="s">
        <v>112</v>
      </c>
      <c r="G4059" t="s">
        <v>35</v>
      </c>
      <c r="H4059">
        <v>1</v>
      </c>
      <c r="I4059" t="s">
        <v>631</v>
      </c>
      <c r="J4059" s="1">
        <v>43344</v>
      </c>
      <c r="K4059" t="s">
        <v>268</v>
      </c>
      <c r="L4059" t="s">
        <v>269</v>
      </c>
      <c r="M4059" t="s">
        <v>131</v>
      </c>
      <c r="N4059">
        <v>23</v>
      </c>
      <c r="O4059" s="1">
        <v>43344</v>
      </c>
      <c r="P4059" t="s">
        <v>41</v>
      </c>
      <c r="Q4059" t="s">
        <v>75</v>
      </c>
      <c r="R4059" t="str">
        <f>"7052020"</f>
        <v>7052020</v>
      </c>
      <c r="S4059" t="s">
        <v>267</v>
      </c>
      <c r="T4059" t="s">
        <v>268</v>
      </c>
      <c r="U4059" t="s">
        <v>269</v>
      </c>
      <c r="V4059" t="s">
        <v>131</v>
      </c>
      <c r="W4059" t="s">
        <v>51</v>
      </c>
      <c r="X4059" t="s">
        <v>45</v>
      </c>
      <c r="Y4059" s="1">
        <v>28126</v>
      </c>
      <c r="Z4059">
        <v>1</v>
      </c>
      <c r="AA4059" t="s">
        <v>269</v>
      </c>
      <c r="AB4059" s="40" t="s">
        <v>1799</v>
      </c>
    </row>
    <row r="4060" spans="1:28" x14ac:dyDescent="0.25">
      <c r="A4060">
        <v>99914059</v>
      </c>
      <c r="B4060" t="s">
        <v>56</v>
      </c>
      <c r="C4060" t="s">
        <v>33</v>
      </c>
      <c r="D4060" t="s">
        <v>34</v>
      </c>
      <c r="G4060" t="s">
        <v>35</v>
      </c>
      <c r="H4060">
        <v>1</v>
      </c>
      <c r="K4060" t="s">
        <v>1051</v>
      </c>
      <c r="L4060" t="s">
        <v>1052</v>
      </c>
      <c r="M4060" t="s">
        <v>1053</v>
      </c>
      <c r="N4060">
        <v>23</v>
      </c>
      <c r="P4060" t="s">
        <v>41</v>
      </c>
      <c r="Q4060" t="s">
        <v>42</v>
      </c>
      <c r="R4060" t="str">
        <f>"2061003"</f>
        <v>2061003</v>
      </c>
      <c r="S4060" t="s">
        <v>1060</v>
      </c>
      <c r="T4060" t="s">
        <v>1051</v>
      </c>
      <c r="U4060" t="s">
        <v>1052</v>
      </c>
      <c r="V4060" t="s">
        <v>1053</v>
      </c>
      <c r="W4060" t="s">
        <v>51</v>
      </c>
      <c r="X4060" t="s">
        <v>45</v>
      </c>
      <c r="Y4060" s="1">
        <v>28126</v>
      </c>
      <c r="Z4060">
        <v>2</v>
      </c>
      <c r="AA4060" t="s">
        <v>1052</v>
      </c>
      <c r="AB4060" s="40" t="s">
        <v>1799</v>
      </c>
    </row>
    <row r="4061" spans="1:28" x14ac:dyDescent="0.25">
      <c r="A4061">
        <v>99914060</v>
      </c>
      <c r="B4061" t="s">
        <v>32</v>
      </c>
      <c r="C4061" t="s">
        <v>46</v>
      </c>
      <c r="D4061" t="s">
        <v>47</v>
      </c>
      <c r="G4061" t="s">
        <v>48</v>
      </c>
      <c r="H4061">
        <v>1</v>
      </c>
      <c r="K4061" t="s">
        <v>1496</v>
      </c>
      <c r="L4061" t="s">
        <v>1497</v>
      </c>
      <c r="M4061" t="s">
        <v>670</v>
      </c>
      <c r="N4061">
        <v>23</v>
      </c>
      <c r="P4061" t="s">
        <v>41</v>
      </c>
      <c r="Q4061" t="s">
        <v>49</v>
      </c>
      <c r="R4061" t="str">
        <f>"5060001"</f>
        <v>5060001</v>
      </c>
      <c r="S4061" t="s">
        <v>1499</v>
      </c>
      <c r="T4061" t="s">
        <v>1496</v>
      </c>
      <c r="U4061" t="s">
        <v>1497</v>
      </c>
      <c r="V4061" t="s">
        <v>670</v>
      </c>
      <c r="W4061" t="s">
        <v>51</v>
      </c>
      <c r="X4061" t="s">
        <v>45</v>
      </c>
      <c r="Y4061" s="1">
        <v>28126</v>
      </c>
      <c r="Z4061">
        <v>2</v>
      </c>
      <c r="AA4061" t="s">
        <v>1497</v>
      </c>
      <c r="AB4061" s="40" t="s">
        <v>1799</v>
      </c>
    </row>
    <row r="4062" spans="1:28" x14ac:dyDescent="0.25">
      <c r="A4062">
        <v>99914061</v>
      </c>
      <c r="B4062" t="s">
        <v>56</v>
      </c>
      <c r="C4062" t="s">
        <v>111</v>
      </c>
      <c r="D4062" t="s">
        <v>112</v>
      </c>
      <c r="G4062" t="s">
        <v>35</v>
      </c>
      <c r="H4062">
        <v>1</v>
      </c>
      <c r="I4062">
        <v>1034</v>
      </c>
      <c r="J4062" s="1">
        <v>43344</v>
      </c>
      <c r="K4062" t="s">
        <v>1245</v>
      </c>
      <c r="L4062" t="s">
        <v>1246</v>
      </c>
      <c r="M4062" t="s">
        <v>1130</v>
      </c>
      <c r="N4062">
        <v>23</v>
      </c>
      <c r="O4062" s="1">
        <v>43344</v>
      </c>
      <c r="P4062" t="s">
        <v>41</v>
      </c>
      <c r="Q4062" t="s">
        <v>75</v>
      </c>
      <c r="R4062" t="str">
        <f>"7451000"</f>
        <v>7451000</v>
      </c>
      <c r="S4062" t="s">
        <v>1250</v>
      </c>
      <c r="T4062" t="s">
        <v>1245</v>
      </c>
      <c r="U4062" t="s">
        <v>1246</v>
      </c>
      <c r="V4062" t="s">
        <v>1130</v>
      </c>
      <c r="W4062" t="s">
        <v>51</v>
      </c>
      <c r="X4062" t="s">
        <v>45</v>
      </c>
      <c r="Y4062" s="1">
        <v>28076</v>
      </c>
      <c r="Z4062">
        <v>1</v>
      </c>
      <c r="AA4062" t="s">
        <v>1246</v>
      </c>
      <c r="AB4062" s="40" t="s">
        <v>1799</v>
      </c>
    </row>
    <row r="4063" spans="1:28" x14ac:dyDescent="0.25">
      <c r="A4063">
        <v>99914062</v>
      </c>
      <c r="B4063" t="s">
        <v>56</v>
      </c>
      <c r="C4063" t="s">
        <v>111</v>
      </c>
      <c r="D4063" t="s">
        <v>112</v>
      </c>
      <c r="G4063" t="s">
        <v>35</v>
      </c>
      <c r="H4063">
        <v>1</v>
      </c>
      <c r="K4063" t="s">
        <v>154</v>
      </c>
      <c r="L4063" t="s">
        <v>155</v>
      </c>
      <c r="M4063" t="s">
        <v>131</v>
      </c>
      <c r="N4063">
        <v>23</v>
      </c>
      <c r="P4063" t="s">
        <v>41</v>
      </c>
      <c r="Q4063" t="s">
        <v>75</v>
      </c>
      <c r="R4063" t="str">
        <f>"7700026"</f>
        <v>7700026</v>
      </c>
      <c r="S4063" t="s">
        <v>397</v>
      </c>
      <c r="T4063" t="s">
        <v>154</v>
      </c>
      <c r="U4063" t="s">
        <v>155</v>
      </c>
      <c r="V4063" t="s">
        <v>131</v>
      </c>
      <c r="W4063" t="s">
        <v>51</v>
      </c>
      <c r="X4063" t="s">
        <v>45</v>
      </c>
      <c r="Y4063" s="1">
        <v>28070</v>
      </c>
      <c r="Z4063">
        <v>1</v>
      </c>
      <c r="AA4063" t="s">
        <v>155</v>
      </c>
      <c r="AB4063" s="40" t="s">
        <v>1799</v>
      </c>
    </row>
    <row r="4064" spans="1:28" x14ac:dyDescent="0.25">
      <c r="A4064">
        <v>99914063</v>
      </c>
      <c r="B4064" t="s">
        <v>32</v>
      </c>
      <c r="C4064" t="s">
        <v>82</v>
      </c>
      <c r="D4064" t="s">
        <v>83</v>
      </c>
      <c r="G4064" t="s">
        <v>48</v>
      </c>
      <c r="H4064">
        <v>1</v>
      </c>
      <c r="K4064" t="s">
        <v>380</v>
      </c>
      <c r="L4064" t="s">
        <v>381</v>
      </c>
      <c r="M4064" t="s">
        <v>131</v>
      </c>
      <c r="N4064">
        <v>23</v>
      </c>
      <c r="P4064" t="s">
        <v>41</v>
      </c>
      <c r="Q4064" t="s">
        <v>42</v>
      </c>
      <c r="R4064" t="str">
        <f>"0590909"</f>
        <v>0590909</v>
      </c>
      <c r="S4064" t="s">
        <v>388</v>
      </c>
      <c r="T4064" t="s">
        <v>380</v>
      </c>
      <c r="U4064" t="s">
        <v>381</v>
      </c>
      <c r="V4064" t="s">
        <v>131</v>
      </c>
      <c r="W4064" t="s">
        <v>51</v>
      </c>
      <c r="X4064" t="s">
        <v>45</v>
      </c>
      <c r="Y4064" s="1">
        <v>27983</v>
      </c>
      <c r="Z4064">
        <v>2</v>
      </c>
      <c r="AA4064" t="s">
        <v>381</v>
      </c>
      <c r="AB4064" s="40" t="s">
        <v>1799</v>
      </c>
    </row>
    <row r="4065" spans="1:28" x14ac:dyDescent="0.25">
      <c r="A4065">
        <v>99914064</v>
      </c>
      <c r="B4065" t="s">
        <v>32</v>
      </c>
      <c r="C4065" t="s">
        <v>90</v>
      </c>
      <c r="D4065" t="s">
        <v>91</v>
      </c>
      <c r="G4065" t="s">
        <v>35</v>
      </c>
      <c r="H4065">
        <v>1</v>
      </c>
      <c r="I4065" t="s">
        <v>648</v>
      </c>
      <c r="J4065" s="1">
        <v>43344</v>
      </c>
      <c r="K4065" t="s">
        <v>268</v>
      </c>
      <c r="L4065" t="s">
        <v>269</v>
      </c>
      <c r="M4065" t="s">
        <v>131</v>
      </c>
      <c r="N4065">
        <v>23</v>
      </c>
      <c r="O4065" s="1">
        <v>43344</v>
      </c>
      <c r="P4065" t="s">
        <v>41</v>
      </c>
      <c r="Q4065" t="s">
        <v>95</v>
      </c>
      <c r="R4065" t="str">
        <f>"7052041"</f>
        <v>7052041</v>
      </c>
      <c r="S4065" t="s">
        <v>579</v>
      </c>
      <c r="T4065" t="s">
        <v>268</v>
      </c>
      <c r="U4065" t="s">
        <v>269</v>
      </c>
      <c r="V4065" t="s">
        <v>131</v>
      </c>
      <c r="W4065" t="s">
        <v>51</v>
      </c>
      <c r="X4065" t="s">
        <v>45</v>
      </c>
      <c r="Y4065" s="1">
        <v>27967</v>
      </c>
      <c r="Z4065">
        <v>1</v>
      </c>
      <c r="AA4065" t="s">
        <v>269</v>
      </c>
      <c r="AB4065" s="40" t="s">
        <v>1799</v>
      </c>
    </row>
    <row r="4066" spans="1:28" x14ac:dyDescent="0.25">
      <c r="A4066">
        <v>99914065</v>
      </c>
      <c r="B4066" t="s">
        <v>56</v>
      </c>
      <c r="C4066" t="s">
        <v>111</v>
      </c>
      <c r="D4066" t="s">
        <v>112</v>
      </c>
      <c r="G4066" t="s">
        <v>35</v>
      </c>
      <c r="H4066">
        <v>1</v>
      </c>
      <c r="K4066" t="s">
        <v>431</v>
      </c>
      <c r="L4066" t="s">
        <v>196</v>
      </c>
      <c r="M4066" t="s">
        <v>131</v>
      </c>
      <c r="N4066">
        <v>23</v>
      </c>
      <c r="P4066" t="s">
        <v>41</v>
      </c>
      <c r="Q4066" t="s">
        <v>75</v>
      </c>
      <c r="R4066" t="str">
        <f>"7521032"</f>
        <v>7521032</v>
      </c>
      <c r="S4066" t="s">
        <v>462</v>
      </c>
      <c r="T4066" t="s">
        <v>431</v>
      </c>
      <c r="U4066" t="s">
        <v>196</v>
      </c>
      <c r="V4066" t="s">
        <v>131</v>
      </c>
      <c r="W4066" t="s">
        <v>51</v>
      </c>
      <c r="X4066" t="s">
        <v>45</v>
      </c>
      <c r="Y4066" s="1">
        <v>27906</v>
      </c>
      <c r="Z4066">
        <v>1</v>
      </c>
      <c r="AA4066" t="s">
        <v>196</v>
      </c>
      <c r="AB4066" s="40" t="s">
        <v>1799</v>
      </c>
    </row>
    <row r="4067" spans="1:28" x14ac:dyDescent="0.25">
      <c r="A4067">
        <v>99914066</v>
      </c>
      <c r="B4067" t="s">
        <v>32</v>
      </c>
      <c r="C4067" t="s">
        <v>68</v>
      </c>
      <c r="D4067" t="s">
        <v>69</v>
      </c>
      <c r="G4067" t="s">
        <v>48</v>
      </c>
      <c r="H4067">
        <v>1</v>
      </c>
      <c r="K4067" t="s">
        <v>1051</v>
      </c>
      <c r="L4067" t="s">
        <v>1052</v>
      </c>
      <c r="M4067" t="s">
        <v>1053</v>
      </c>
      <c r="N4067">
        <v>23</v>
      </c>
      <c r="P4067" t="s">
        <v>41</v>
      </c>
      <c r="Q4067" t="s">
        <v>42</v>
      </c>
      <c r="R4067" t="str">
        <f>"2061003"</f>
        <v>2061003</v>
      </c>
      <c r="S4067" t="s">
        <v>1060</v>
      </c>
      <c r="T4067" t="s">
        <v>1051</v>
      </c>
      <c r="U4067" t="s">
        <v>1052</v>
      </c>
      <c r="V4067" t="s">
        <v>1053</v>
      </c>
      <c r="W4067" t="s">
        <v>51</v>
      </c>
      <c r="X4067" t="s">
        <v>45</v>
      </c>
      <c r="Y4067" s="1">
        <v>27854</v>
      </c>
      <c r="Z4067">
        <v>2</v>
      </c>
      <c r="AA4067" t="s">
        <v>1052</v>
      </c>
      <c r="AB4067" s="40" t="s">
        <v>1799</v>
      </c>
    </row>
    <row r="4068" spans="1:28" x14ac:dyDescent="0.25">
      <c r="A4068">
        <v>99914067</v>
      </c>
      <c r="B4068" t="s">
        <v>32</v>
      </c>
      <c r="C4068" t="s">
        <v>33</v>
      </c>
      <c r="D4068" t="s">
        <v>34</v>
      </c>
      <c r="G4068" t="s">
        <v>48</v>
      </c>
      <c r="H4068">
        <v>1</v>
      </c>
      <c r="K4068" t="s">
        <v>223</v>
      </c>
      <c r="L4068" t="s">
        <v>224</v>
      </c>
      <c r="M4068" t="s">
        <v>131</v>
      </c>
      <c r="N4068">
        <v>23</v>
      </c>
      <c r="P4068" t="s">
        <v>41</v>
      </c>
      <c r="Q4068" t="s">
        <v>49</v>
      </c>
      <c r="R4068" t="str">
        <f>"0581206"</f>
        <v>0581206</v>
      </c>
      <c r="S4068" t="s">
        <v>232</v>
      </c>
      <c r="T4068" t="s">
        <v>223</v>
      </c>
      <c r="U4068" t="s">
        <v>224</v>
      </c>
      <c r="V4068" t="s">
        <v>131</v>
      </c>
      <c r="W4068" t="s">
        <v>51</v>
      </c>
      <c r="X4068" t="s">
        <v>45</v>
      </c>
      <c r="Y4068" s="1">
        <v>27826</v>
      </c>
      <c r="Z4068">
        <v>2</v>
      </c>
      <c r="AA4068" t="s">
        <v>224</v>
      </c>
      <c r="AB4068" s="40" t="s">
        <v>1799</v>
      </c>
    </row>
    <row r="4069" spans="1:28" x14ac:dyDescent="0.25">
      <c r="A4069">
        <v>99914068</v>
      </c>
      <c r="B4069" t="s">
        <v>32</v>
      </c>
      <c r="C4069" t="s">
        <v>64</v>
      </c>
      <c r="D4069" t="s">
        <v>65</v>
      </c>
      <c r="G4069" t="s">
        <v>48</v>
      </c>
      <c r="H4069">
        <v>9</v>
      </c>
      <c r="I4069" t="s">
        <v>468</v>
      </c>
      <c r="J4069" s="1">
        <v>40422</v>
      </c>
      <c r="K4069" t="s">
        <v>431</v>
      </c>
      <c r="L4069" t="s">
        <v>196</v>
      </c>
      <c r="M4069" t="s">
        <v>131</v>
      </c>
      <c r="N4069">
        <v>23</v>
      </c>
      <c r="O4069" s="1">
        <v>40422</v>
      </c>
      <c r="P4069" t="s">
        <v>41</v>
      </c>
      <c r="Q4069" t="s">
        <v>75</v>
      </c>
      <c r="R4069" t="str">
        <f>"7521012"</f>
        <v>7521012</v>
      </c>
      <c r="S4069" t="s">
        <v>432</v>
      </c>
      <c r="T4069" t="s">
        <v>431</v>
      </c>
      <c r="U4069" t="s">
        <v>196</v>
      </c>
      <c r="V4069" t="s">
        <v>131</v>
      </c>
      <c r="W4069" t="s">
        <v>165</v>
      </c>
      <c r="X4069" t="s">
        <v>45</v>
      </c>
      <c r="Y4069" s="1">
        <v>27825</v>
      </c>
      <c r="Z4069">
        <v>1</v>
      </c>
      <c r="AA4069" t="s">
        <v>196</v>
      </c>
      <c r="AB4069" s="40" t="s">
        <v>1799</v>
      </c>
    </row>
    <row r="4070" spans="1:28" x14ac:dyDescent="0.25">
      <c r="A4070">
        <v>99914069</v>
      </c>
      <c r="B4070" t="s">
        <v>56</v>
      </c>
      <c r="C4070" t="s">
        <v>90</v>
      </c>
      <c r="D4070" t="s">
        <v>91</v>
      </c>
      <c r="G4070" t="s">
        <v>48</v>
      </c>
      <c r="H4070">
        <v>8</v>
      </c>
      <c r="K4070" t="s">
        <v>1426</v>
      </c>
      <c r="L4070" t="s">
        <v>1427</v>
      </c>
      <c r="M4070" t="s">
        <v>1270</v>
      </c>
      <c r="N4070">
        <v>23</v>
      </c>
      <c r="P4070" t="s">
        <v>41</v>
      </c>
      <c r="Q4070" t="s">
        <v>95</v>
      </c>
      <c r="R4070" t="str">
        <f>"7192017"</f>
        <v>7192017</v>
      </c>
      <c r="S4070" t="s">
        <v>1433</v>
      </c>
      <c r="T4070" t="s">
        <v>1426</v>
      </c>
      <c r="U4070" t="s">
        <v>1427</v>
      </c>
      <c r="V4070" t="s">
        <v>1270</v>
      </c>
      <c r="W4070" t="s">
        <v>51</v>
      </c>
      <c r="X4070" t="s">
        <v>45</v>
      </c>
      <c r="Y4070" s="1">
        <v>27819</v>
      </c>
      <c r="Z4070">
        <v>1</v>
      </c>
      <c r="AA4070" t="s">
        <v>1427</v>
      </c>
      <c r="AB4070" s="40" t="s">
        <v>1799</v>
      </c>
    </row>
    <row r="4071" spans="1:28" x14ac:dyDescent="0.25">
      <c r="A4071">
        <v>99914070</v>
      </c>
      <c r="B4071" t="s">
        <v>56</v>
      </c>
      <c r="C4071" t="s">
        <v>64</v>
      </c>
      <c r="D4071" t="s">
        <v>65</v>
      </c>
      <c r="G4071" t="s">
        <v>48</v>
      </c>
      <c r="H4071">
        <v>1</v>
      </c>
      <c r="K4071" t="s">
        <v>1268</v>
      </c>
      <c r="L4071" t="s">
        <v>1269</v>
      </c>
      <c r="M4071" t="s">
        <v>1270</v>
      </c>
      <c r="N4071">
        <v>23</v>
      </c>
      <c r="P4071" t="s">
        <v>41</v>
      </c>
      <c r="Q4071" t="s">
        <v>42</v>
      </c>
      <c r="R4071" t="str">
        <f>"1990911"</f>
        <v>1990911</v>
      </c>
      <c r="S4071" t="s">
        <v>1276</v>
      </c>
      <c r="T4071" t="s">
        <v>1268</v>
      </c>
      <c r="U4071" t="s">
        <v>1269</v>
      </c>
      <c r="V4071" t="s">
        <v>1270</v>
      </c>
      <c r="W4071" t="s">
        <v>51</v>
      </c>
      <c r="X4071" t="s">
        <v>45</v>
      </c>
      <c r="Y4071" s="1">
        <v>27814</v>
      </c>
      <c r="Z4071">
        <v>2</v>
      </c>
      <c r="AA4071" t="s">
        <v>1269</v>
      </c>
      <c r="AB4071" s="40" t="s">
        <v>1799</v>
      </c>
    </row>
    <row r="4072" spans="1:28" x14ac:dyDescent="0.25">
      <c r="A4072">
        <v>99914071</v>
      </c>
      <c r="B4072" t="s">
        <v>32</v>
      </c>
      <c r="C4072" t="s">
        <v>61</v>
      </c>
      <c r="D4072" t="s">
        <v>62</v>
      </c>
      <c r="G4072" t="s">
        <v>48</v>
      </c>
      <c r="H4072">
        <v>1</v>
      </c>
      <c r="K4072" t="s">
        <v>431</v>
      </c>
      <c r="L4072" t="s">
        <v>196</v>
      </c>
      <c r="M4072" t="s">
        <v>131</v>
      </c>
      <c r="N4072">
        <v>23</v>
      </c>
      <c r="P4072" t="s">
        <v>41</v>
      </c>
      <c r="Q4072" t="s">
        <v>75</v>
      </c>
      <c r="R4072" t="str">
        <f>"7521016"</f>
        <v>7521016</v>
      </c>
      <c r="S4072" t="s">
        <v>448</v>
      </c>
      <c r="T4072" t="s">
        <v>431</v>
      </c>
      <c r="U4072" t="s">
        <v>196</v>
      </c>
      <c r="V4072" t="s">
        <v>131</v>
      </c>
      <c r="W4072" t="s">
        <v>51</v>
      </c>
      <c r="X4072" t="s">
        <v>45</v>
      </c>
      <c r="Y4072" s="1">
        <v>27760</v>
      </c>
      <c r="Z4072">
        <v>1</v>
      </c>
      <c r="AA4072" t="s">
        <v>196</v>
      </c>
      <c r="AB4072" s="40" t="s">
        <v>1799</v>
      </c>
    </row>
    <row r="4073" spans="1:28" x14ac:dyDescent="0.25">
      <c r="A4073">
        <v>99914072</v>
      </c>
      <c r="B4073" t="s">
        <v>56</v>
      </c>
      <c r="C4073" t="s">
        <v>141</v>
      </c>
      <c r="D4073" t="s">
        <v>142</v>
      </c>
      <c r="G4073" t="s">
        <v>35</v>
      </c>
      <c r="H4073">
        <v>1</v>
      </c>
      <c r="K4073" t="s">
        <v>129</v>
      </c>
      <c r="L4073" t="s">
        <v>130</v>
      </c>
      <c r="M4073" t="s">
        <v>131</v>
      </c>
      <c r="N4073">
        <v>23</v>
      </c>
      <c r="P4073" t="s">
        <v>41</v>
      </c>
      <c r="Q4073" t="s">
        <v>42</v>
      </c>
      <c r="R4073" t="str">
        <f>"0590905"</f>
        <v>0590905</v>
      </c>
      <c r="S4073" t="s">
        <v>133</v>
      </c>
      <c r="T4073" t="s">
        <v>129</v>
      </c>
      <c r="U4073" t="s">
        <v>130</v>
      </c>
      <c r="V4073" t="s">
        <v>131</v>
      </c>
      <c r="W4073" t="s">
        <v>51</v>
      </c>
      <c r="X4073" t="s">
        <v>45</v>
      </c>
      <c r="Y4073" s="1">
        <v>27759</v>
      </c>
      <c r="Z4073">
        <v>2</v>
      </c>
      <c r="AA4073" t="s">
        <v>130</v>
      </c>
      <c r="AB4073" s="40" t="s">
        <v>1799</v>
      </c>
    </row>
    <row r="4074" spans="1:28" x14ac:dyDescent="0.25">
      <c r="A4074">
        <v>99914073</v>
      </c>
      <c r="B4074" t="s">
        <v>32</v>
      </c>
      <c r="C4074" t="s">
        <v>111</v>
      </c>
      <c r="D4074" t="s">
        <v>112</v>
      </c>
      <c r="G4074" t="s">
        <v>35</v>
      </c>
      <c r="H4074">
        <v>8</v>
      </c>
      <c r="I4074">
        <v>399</v>
      </c>
      <c r="J4074" s="1">
        <v>40710</v>
      </c>
      <c r="K4074" t="s">
        <v>268</v>
      </c>
      <c r="L4074" t="s">
        <v>269</v>
      </c>
      <c r="M4074" t="s">
        <v>131</v>
      </c>
      <c r="N4074">
        <v>23</v>
      </c>
      <c r="O4074" s="1">
        <v>40710</v>
      </c>
      <c r="P4074" t="s">
        <v>41</v>
      </c>
      <c r="Q4074" t="s">
        <v>75</v>
      </c>
      <c r="R4074" t="str">
        <f>"7052006"</f>
        <v>7052006</v>
      </c>
      <c r="S4074" t="s">
        <v>575</v>
      </c>
      <c r="T4074" t="s">
        <v>268</v>
      </c>
      <c r="U4074" t="s">
        <v>269</v>
      </c>
      <c r="V4074" t="s">
        <v>131</v>
      </c>
      <c r="W4074" t="s">
        <v>165</v>
      </c>
      <c r="X4074" t="s">
        <v>45</v>
      </c>
      <c r="Y4074" s="1">
        <v>27734</v>
      </c>
      <c r="Z4074">
        <v>1</v>
      </c>
      <c r="AA4074" t="s">
        <v>269</v>
      </c>
      <c r="AB4074" s="40" t="s">
        <v>1799</v>
      </c>
    </row>
    <row r="4075" spans="1:28" x14ac:dyDescent="0.25">
      <c r="A4075">
        <v>99914074</v>
      </c>
      <c r="B4075" t="s">
        <v>56</v>
      </c>
      <c r="C4075" t="s">
        <v>68</v>
      </c>
      <c r="D4075" t="s">
        <v>69</v>
      </c>
      <c r="G4075" t="s">
        <v>35</v>
      </c>
      <c r="H4075">
        <v>1</v>
      </c>
      <c r="I4075" t="s">
        <v>363</v>
      </c>
      <c r="J4075" s="1">
        <v>43344</v>
      </c>
      <c r="K4075" t="s">
        <v>345</v>
      </c>
      <c r="L4075" t="s">
        <v>346</v>
      </c>
      <c r="M4075" t="s">
        <v>131</v>
      </c>
      <c r="N4075">
        <v>23</v>
      </c>
      <c r="O4075" s="1">
        <v>43344</v>
      </c>
      <c r="P4075" t="s">
        <v>41</v>
      </c>
      <c r="Q4075" t="s">
        <v>42</v>
      </c>
      <c r="R4075" t="str">
        <f>"0580615"</f>
        <v>0580615</v>
      </c>
      <c r="S4075" t="s">
        <v>364</v>
      </c>
      <c r="T4075" t="s">
        <v>345</v>
      </c>
      <c r="U4075" t="s">
        <v>346</v>
      </c>
      <c r="V4075" t="s">
        <v>131</v>
      </c>
      <c r="W4075" t="s">
        <v>51</v>
      </c>
      <c r="X4075" t="s">
        <v>45</v>
      </c>
      <c r="Y4075" s="1">
        <v>27729</v>
      </c>
      <c r="Z4075">
        <v>2</v>
      </c>
      <c r="AA4075" t="s">
        <v>346</v>
      </c>
      <c r="AB4075" s="40" t="s">
        <v>1799</v>
      </c>
    </row>
    <row r="4076" spans="1:28" x14ac:dyDescent="0.25">
      <c r="A4076">
        <v>99914075</v>
      </c>
      <c r="B4076" t="s">
        <v>32</v>
      </c>
      <c r="C4076" t="s">
        <v>143</v>
      </c>
      <c r="D4076" t="s">
        <v>144</v>
      </c>
      <c r="G4076" t="s">
        <v>35</v>
      </c>
      <c r="H4076">
        <v>4</v>
      </c>
      <c r="K4076" t="s">
        <v>268</v>
      </c>
      <c r="L4076" t="s">
        <v>269</v>
      </c>
      <c r="M4076" t="s">
        <v>131</v>
      </c>
      <c r="N4076">
        <v>23</v>
      </c>
      <c r="P4076" t="s">
        <v>41</v>
      </c>
      <c r="Q4076" t="s">
        <v>75</v>
      </c>
      <c r="R4076" t="str">
        <f>"7052004"</f>
        <v>7052004</v>
      </c>
      <c r="S4076" t="s">
        <v>584</v>
      </c>
      <c r="T4076" t="s">
        <v>268</v>
      </c>
      <c r="U4076" t="s">
        <v>269</v>
      </c>
      <c r="V4076" t="s">
        <v>131</v>
      </c>
      <c r="W4076" t="s">
        <v>51</v>
      </c>
      <c r="X4076" t="s">
        <v>45</v>
      </c>
      <c r="Y4076" s="1">
        <v>27689</v>
      </c>
      <c r="Z4076">
        <v>1</v>
      </c>
      <c r="AA4076" t="s">
        <v>269</v>
      </c>
      <c r="AB4076" s="40" t="s">
        <v>1799</v>
      </c>
    </row>
    <row r="4077" spans="1:28" x14ac:dyDescent="0.25">
      <c r="A4077">
        <v>99914076</v>
      </c>
      <c r="B4077" t="s">
        <v>56</v>
      </c>
      <c r="C4077" t="s">
        <v>79</v>
      </c>
      <c r="D4077" t="s">
        <v>80</v>
      </c>
      <c r="G4077" t="s">
        <v>48</v>
      </c>
      <c r="H4077">
        <v>1</v>
      </c>
      <c r="K4077" t="s">
        <v>1502</v>
      </c>
      <c r="L4077" t="s">
        <v>1503</v>
      </c>
      <c r="M4077" t="s">
        <v>670</v>
      </c>
      <c r="N4077">
        <v>23</v>
      </c>
      <c r="P4077" t="s">
        <v>41</v>
      </c>
      <c r="Q4077" t="s">
        <v>75</v>
      </c>
      <c r="R4077" t="str">
        <f>"7171002"</f>
        <v>7171002</v>
      </c>
      <c r="S4077" t="s">
        <v>1505</v>
      </c>
      <c r="T4077" t="s">
        <v>1502</v>
      </c>
      <c r="U4077" t="s">
        <v>1503</v>
      </c>
      <c r="V4077" t="s">
        <v>670</v>
      </c>
      <c r="W4077" t="s">
        <v>51</v>
      </c>
      <c r="X4077" t="s">
        <v>45</v>
      </c>
      <c r="Y4077" s="1">
        <v>27663</v>
      </c>
      <c r="Z4077">
        <v>1</v>
      </c>
      <c r="AA4077" t="s">
        <v>1503</v>
      </c>
      <c r="AB4077" s="40" t="s">
        <v>1799</v>
      </c>
    </row>
    <row r="4078" spans="1:28" x14ac:dyDescent="0.25">
      <c r="A4078">
        <v>99914077</v>
      </c>
      <c r="B4078" t="s">
        <v>32</v>
      </c>
      <c r="C4078" t="s">
        <v>141</v>
      </c>
      <c r="D4078" t="s">
        <v>142</v>
      </c>
      <c r="G4078" t="s">
        <v>48</v>
      </c>
      <c r="H4078">
        <v>1</v>
      </c>
      <c r="K4078" t="s">
        <v>154</v>
      </c>
      <c r="L4078" t="s">
        <v>155</v>
      </c>
      <c r="M4078" t="s">
        <v>131</v>
      </c>
      <c r="N4078">
        <v>23</v>
      </c>
      <c r="P4078" t="s">
        <v>41</v>
      </c>
      <c r="Q4078" t="s">
        <v>75</v>
      </c>
      <c r="R4078" t="str">
        <f>"7051022"</f>
        <v>7051022</v>
      </c>
      <c r="S4078" t="s">
        <v>153</v>
      </c>
      <c r="T4078" t="s">
        <v>154</v>
      </c>
      <c r="U4078" t="s">
        <v>155</v>
      </c>
      <c r="V4078" t="s">
        <v>131</v>
      </c>
      <c r="W4078" t="s">
        <v>51</v>
      </c>
      <c r="X4078" t="s">
        <v>45</v>
      </c>
      <c r="Y4078" s="1">
        <v>27568</v>
      </c>
      <c r="Z4078">
        <v>1</v>
      </c>
      <c r="AA4078" t="s">
        <v>155</v>
      </c>
      <c r="AB4078" s="40" t="s">
        <v>1799</v>
      </c>
    </row>
    <row r="4079" spans="1:28" x14ac:dyDescent="0.25">
      <c r="A4079">
        <v>99914078</v>
      </c>
      <c r="B4079" t="s">
        <v>56</v>
      </c>
      <c r="C4079" t="s">
        <v>295</v>
      </c>
      <c r="D4079" t="s">
        <v>296</v>
      </c>
      <c r="G4079" t="s">
        <v>35</v>
      </c>
      <c r="H4079">
        <v>1</v>
      </c>
      <c r="I4079" t="s">
        <v>297</v>
      </c>
      <c r="J4079" s="1">
        <v>43344</v>
      </c>
      <c r="K4079" t="s">
        <v>223</v>
      </c>
      <c r="L4079" t="s">
        <v>224</v>
      </c>
      <c r="M4079" t="s">
        <v>131</v>
      </c>
      <c r="N4079">
        <v>23</v>
      </c>
      <c r="O4079" s="1">
        <v>43344</v>
      </c>
      <c r="P4079" t="s">
        <v>41</v>
      </c>
      <c r="Q4079" t="s">
        <v>49</v>
      </c>
      <c r="R4079" t="str">
        <f>"0509999"</f>
        <v>0509999</v>
      </c>
      <c r="S4079" t="s">
        <v>247</v>
      </c>
      <c r="T4079" t="s">
        <v>223</v>
      </c>
      <c r="U4079" t="s">
        <v>224</v>
      </c>
      <c r="V4079" t="s">
        <v>131</v>
      </c>
      <c r="W4079" t="s">
        <v>51</v>
      </c>
      <c r="X4079" t="s">
        <v>45</v>
      </c>
      <c r="Y4079" s="1">
        <v>27558</v>
      </c>
      <c r="Z4079">
        <v>2</v>
      </c>
      <c r="AA4079" t="s">
        <v>224</v>
      </c>
      <c r="AB4079" s="40" t="s">
        <v>1799</v>
      </c>
    </row>
    <row r="4080" spans="1:28" x14ac:dyDescent="0.25">
      <c r="A4080">
        <v>99914079</v>
      </c>
      <c r="B4080" t="s">
        <v>32</v>
      </c>
      <c r="C4080" t="s">
        <v>143</v>
      </c>
      <c r="D4080" t="s">
        <v>144</v>
      </c>
      <c r="G4080" t="s">
        <v>48</v>
      </c>
      <c r="H4080">
        <v>1</v>
      </c>
      <c r="K4080" t="s">
        <v>431</v>
      </c>
      <c r="L4080" t="s">
        <v>196</v>
      </c>
      <c r="M4080" t="s">
        <v>131</v>
      </c>
      <c r="N4080">
        <v>23</v>
      </c>
      <c r="P4080" t="s">
        <v>41</v>
      </c>
      <c r="Q4080" t="s">
        <v>75</v>
      </c>
      <c r="R4080" t="str">
        <f>"7521012"</f>
        <v>7521012</v>
      </c>
      <c r="S4080" t="s">
        <v>432</v>
      </c>
      <c r="T4080" t="s">
        <v>431</v>
      </c>
      <c r="U4080" t="s">
        <v>196</v>
      </c>
      <c r="V4080" t="s">
        <v>131</v>
      </c>
      <c r="W4080" t="s">
        <v>51</v>
      </c>
      <c r="X4080" t="s">
        <v>45</v>
      </c>
      <c r="Y4080" s="1">
        <v>27486</v>
      </c>
      <c r="Z4080">
        <v>1</v>
      </c>
      <c r="AA4080" t="s">
        <v>196</v>
      </c>
      <c r="AB4080" s="40" t="s">
        <v>1799</v>
      </c>
    </row>
    <row r="4081" spans="1:28" x14ac:dyDescent="0.25">
      <c r="A4081">
        <v>99914080</v>
      </c>
      <c r="B4081" t="s">
        <v>32</v>
      </c>
      <c r="C4081" t="s">
        <v>143</v>
      </c>
      <c r="D4081" t="s">
        <v>144</v>
      </c>
      <c r="G4081" t="s">
        <v>48</v>
      </c>
      <c r="H4081">
        <v>2</v>
      </c>
      <c r="K4081" t="s">
        <v>1268</v>
      </c>
      <c r="L4081" t="s">
        <v>1269</v>
      </c>
      <c r="M4081" t="s">
        <v>1270</v>
      </c>
      <c r="N4081">
        <v>23</v>
      </c>
      <c r="O4081" s="1">
        <v>43344</v>
      </c>
      <c r="P4081" t="s">
        <v>41</v>
      </c>
      <c r="Q4081" t="s">
        <v>49</v>
      </c>
      <c r="R4081" t="str">
        <f>"1960001"</f>
        <v>1960001</v>
      </c>
      <c r="S4081" t="s">
        <v>1272</v>
      </c>
      <c r="T4081" t="s">
        <v>1268</v>
      </c>
      <c r="U4081" t="s">
        <v>1269</v>
      </c>
      <c r="V4081" t="s">
        <v>1270</v>
      </c>
      <c r="W4081" t="s">
        <v>51</v>
      </c>
      <c r="X4081" t="s">
        <v>45</v>
      </c>
      <c r="Y4081" s="1">
        <v>27454</v>
      </c>
      <c r="Z4081">
        <v>2</v>
      </c>
      <c r="AA4081" t="s">
        <v>1269</v>
      </c>
      <c r="AB4081" s="40" t="s">
        <v>1799</v>
      </c>
    </row>
    <row r="4082" spans="1:28" x14ac:dyDescent="0.25">
      <c r="A4082">
        <v>99914081</v>
      </c>
      <c r="B4082" t="s">
        <v>56</v>
      </c>
      <c r="C4082" t="s">
        <v>79</v>
      </c>
      <c r="D4082" t="s">
        <v>80</v>
      </c>
      <c r="G4082" t="s">
        <v>48</v>
      </c>
      <c r="H4082">
        <v>1</v>
      </c>
      <c r="K4082" t="s">
        <v>667</v>
      </c>
      <c r="L4082" t="s">
        <v>669</v>
      </c>
      <c r="M4082" t="s">
        <v>670</v>
      </c>
      <c r="N4082">
        <v>23</v>
      </c>
      <c r="P4082" t="s">
        <v>41</v>
      </c>
      <c r="Q4082" t="s">
        <v>75</v>
      </c>
      <c r="R4082" t="str">
        <f>"7501004"</f>
        <v>7501004</v>
      </c>
      <c r="S4082" t="s">
        <v>1500</v>
      </c>
      <c r="T4082" t="s">
        <v>667</v>
      </c>
      <c r="U4082" t="s">
        <v>669</v>
      </c>
      <c r="V4082" t="s">
        <v>670</v>
      </c>
      <c r="W4082" t="s">
        <v>51</v>
      </c>
      <c r="X4082" t="s">
        <v>45</v>
      </c>
      <c r="Y4082" s="1">
        <v>27448</v>
      </c>
      <c r="Z4082">
        <v>1</v>
      </c>
      <c r="AA4082" t="s">
        <v>669</v>
      </c>
      <c r="AB4082" s="40" t="s">
        <v>1799</v>
      </c>
    </row>
    <row r="4083" spans="1:28" x14ac:dyDescent="0.25">
      <c r="A4083">
        <v>99914082</v>
      </c>
      <c r="B4083" t="s">
        <v>32</v>
      </c>
      <c r="C4083" t="s">
        <v>143</v>
      </c>
      <c r="D4083" t="s">
        <v>144</v>
      </c>
      <c r="G4083" t="s">
        <v>35</v>
      </c>
      <c r="H4083">
        <v>1</v>
      </c>
      <c r="K4083" t="s">
        <v>157</v>
      </c>
      <c r="L4083" t="s">
        <v>158</v>
      </c>
      <c r="M4083" t="s">
        <v>131</v>
      </c>
      <c r="N4083">
        <v>23</v>
      </c>
      <c r="P4083" t="s">
        <v>41</v>
      </c>
      <c r="Q4083" t="s">
        <v>49</v>
      </c>
      <c r="R4083" t="str">
        <f>"0581725"</f>
        <v>0581725</v>
      </c>
      <c r="S4083" t="s">
        <v>161</v>
      </c>
      <c r="T4083" t="s">
        <v>157</v>
      </c>
      <c r="U4083" t="s">
        <v>158</v>
      </c>
      <c r="V4083" t="s">
        <v>131</v>
      </c>
      <c r="W4083" t="s">
        <v>51</v>
      </c>
      <c r="X4083" t="s">
        <v>45</v>
      </c>
      <c r="Y4083" s="1">
        <v>27395</v>
      </c>
      <c r="Z4083">
        <v>2</v>
      </c>
      <c r="AA4083" t="s">
        <v>158</v>
      </c>
      <c r="AB4083" s="40" t="s">
        <v>1799</v>
      </c>
    </row>
    <row r="4084" spans="1:28" x14ac:dyDescent="0.25">
      <c r="A4084">
        <v>99914083</v>
      </c>
      <c r="B4084" t="s">
        <v>32</v>
      </c>
      <c r="C4084" t="s">
        <v>79</v>
      </c>
      <c r="D4084" t="s">
        <v>80</v>
      </c>
      <c r="G4084" t="s">
        <v>35</v>
      </c>
      <c r="H4084">
        <v>1</v>
      </c>
      <c r="I4084">
        <v>0</v>
      </c>
      <c r="J4084" s="1">
        <v>43344</v>
      </c>
      <c r="K4084" t="s">
        <v>223</v>
      </c>
      <c r="L4084" t="s">
        <v>224</v>
      </c>
      <c r="M4084" t="s">
        <v>131</v>
      </c>
      <c r="N4084">
        <v>23</v>
      </c>
      <c r="O4084" s="1">
        <v>43344</v>
      </c>
      <c r="P4084" t="s">
        <v>41</v>
      </c>
      <c r="Q4084" t="s">
        <v>49</v>
      </c>
      <c r="R4084" t="str">
        <f>"0560030"</f>
        <v>0560030</v>
      </c>
      <c r="S4084" t="s">
        <v>244</v>
      </c>
      <c r="T4084" t="s">
        <v>223</v>
      </c>
      <c r="U4084" t="s">
        <v>224</v>
      </c>
      <c r="V4084" t="s">
        <v>131</v>
      </c>
      <c r="W4084" t="s">
        <v>44</v>
      </c>
      <c r="X4084" t="s">
        <v>45</v>
      </c>
      <c r="Y4084" s="1">
        <v>27395</v>
      </c>
      <c r="Z4084">
        <v>2</v>
      </c>
      <c r="AA4084" t="s">
        <v>224</v>
      </c>
      <c r="AB4084" s="40" t="s">
        <v>1799</v>
      </c>
    </row>
    <row r="4085" spans="1:28" x14ac:dyDescent="0.25">
      <c r="A4085">
        <v>99914084</v>
      </c>
      <c r="B4085" t="s">
        <v>56</v>
      </c>
      <c r="C4085" t="s">
        <v>68</v>
      </c>
      <c r="D4085" t="s">
        <v>69</v>
      </c>
      <c r="G4085" t="s">
        <v>35</v>
      </c>
      <c r="H4085">
        <v>1</v>
      </c>
      <c r="I4085" t="s">
        <v>1170</v>
      </c>
      <c r="J4085" s="1">
        <v>42985</v>
      </c>
      <c r="K4085" t="s">
        <v>1171</v>
      </c>
      <c r="L4085" t="s">
        <v>1172</v>
      </c>
      <c r="M4085" t="s">
        <v>1130</v>
      </c>
      <c r="N4085">
        <v>23</v>
      </c>
      <c r="O4085" s="1">
        <v>42985</v>
      </c>
      <c r="P4085" t="s">
        <v>41</v>
      </c>
      <c r="Q4085" t="s">
        <v>42</v>
      </c>
      <c r="R4085" t="str">
        <f>"3561001"</f>
        <v>3561001</v>
      </c>
      <c r="S4085" t="s">
        <v>1173</v>
      </c>
      <c r="T4085" t="s">
        <v>1171</v>
      </c>
      <c r="U4085" t="s">
        <v>1172</v>
      </c>
      <c r="V4085" t="s">
        <v>1130</v>
      </c>
      <c r="W4085" t="s">
        <v>44</v>
      </c>
      <c r="X4085" t="s">
        <v>45</v>
      </c>
      <c r="Y4085" s="1">
        <v>27395</v>
      </c>
      <c r="Z4085">
        <v>2</v>
      </c>
      <c r="AA4085" t="s">
        <v>1172</v>
      </c>
      <c r="AB4085" s="40" t="s">
        <v>1799</v>
      </c>
    </row>
    <row r="4086" spans="1:28" x14ac:dyDescent="0.25">
      <c r="A4086">
        <v>99914085</v>
      </c>
      <c r="B4086" t="s">
        <v>32</v>
      </c>
      <c r="C4086" t="s">
        <v>64</v>
      </c>
      <c r="D4086" t="s">
        <v>65</v>
      </c>
      <c r="G4086" t="s">
        <v>48</v>
      </c>
      <c r="H4086">
        <v>1</v>
      </c>
      <c r="K4086" t="s">
        <v>667</v>
      </c>
      <c r="L4086" t="s">
        <v>669</v>
      </c>
      <c r="M4086" t="s">
        <v>670</v>
      </c>
      <c r="N4086">
        <v>23</v>
      </c>
      <c r="P4086" t="s">
        <v>41</v>
      </c>
      <c r="Q4086" t="s">
        <v>75</v>
      </c>
      <c r="R4086" t="str">
        <f>"7501000"</f>
        <v>7501000</v>
      </c>
      <c r="S4086" t="s">
        <v>668</v>
      </c>
      <c r="T4086" t="s">
        <v>667</v>
      </c>
      <c r="U4086" t="s">
        <v>669</v>
      </c>
      <c r="V4086" t="s">
        <v>670</v>
      </c>
      <c r="W4086" t="s">
        <v>51</v>
      </c>
      <c r="X4086" t="s">
        <v>45</v>
      </c>
      <c r="Y4086" s="1">
        <v>27395</v>
      </c>
      <c r="Z4086">
        <v>1</v>
      </c>
      <c r="AA4086" t="s">
        <v>669</v>
      </c>
      <c r="AB4086" s="40" t="s">
        <v>1799</v>
      </c>
    </row>
    <row r="4087" spans="1:28" x14ac:dyDescent="0.25">
      <c r="A4087">
        <v>99914086</v>
      </c>
      <c r="B4087" t="s">
        <v>56</v>
      </c>
      <c r="C4087" t="s">
        <v>924</v>
      </c>
      <c r="D4087" t="s">
        <v>925</v>
      </c>
      <c r="G4087" t="s">
        <v>35</v>
      </c>
      <c r="H4087">
        <v>5</v>
      </c>
      <c r="I4087">
        <v>4479</v>
      </c>
      <c r="J4087" s="1">
        <v>43344</v>
      </c>
      <c r="K4087" t="s">
        <v>919</v>
      </c>
      <c r="L4087" t="s">
        <v>920</v>
      </c>
      <c r="M4087" t="s">
        <v>921</v>
      </c>
      <c r="N4087">
        <v>23</v>
      </c>
      <c r="O4087" s="1">
        <v>43344</v>
      </c>
      <c r="P4087" t="s">
        <v>41</v>
      </c>
      <c r="Q4087" t="s">
        <v>922</v>
      </c>
      <c r="R4087" t="str">
        <f>"5162001"</f>
        <v>5162001</v>
      </c>
      <c r="S4087" t="s">
        <v>923</v>
      </c>
      <c r="T4087" t="s">
        <v>919</v>
      </c>
      <c r="U4087" t="s">
        <v>920</v>
      </c>
      <c r="V4087" t="s">
        <v>921</v>
      </c>
      <c r="W4087" t="s">
        <v>44</v>
      </c>
      <c r="X4087" t="s">
        <v>45</v>
      </c>
      <c r="Y4087" s="1">
        <v>27367</v>
      </c>
      <c r="Z4087">
        <v>2</v>
      </c>
      <c r="AA4087" t="s">
        <v>920</v>
      </c>
      <c r="AB4087" s="40" t="s">
        <v>1799</v>
      </c>
    </row>
    <row r="4088" spans="1:28" x14ac:dyDescent="0.25">
      <c r="A4088">
        <v>99914087</v>
      </c>
      <c r="B4088" t="s">
        <v>32</v>
      </c>
      <c r="C4088" t="s">
        <v>151</v>
      </c>
      <c r="D4088" t="s">
        <v>152</v>
      </c>
      <c r="G4088" t="s">
        <v>48</v>
      </c>
      <c r="H4088">
        <v>1</v>
      </c>
      <c r="K4088" t="s">
        <v>345</v>
      </c>
      <c r="L4088" t="s">
        <v>346</v>
      </c>
      <c r="M4088" t="s">
        <v>131</v>
      </c>
      <c r="N4088">
        <v>23</v>
      </c>
      <c r="P4088" t="s">
        <v>41</v>
      </c>
      <c r="Q4088" t="s">
        <v>49</v>
      </c>
      <c r="R4088" t="str">
        <f>"0591906"</f>
        <v>0591906</v>
      </c>
      <c r="S4088" t="s">
        <v>350</v>
      </c>
      <c r="T4088" t="s">
        <v>345</v>
      </c>
      <c r="U4088" t="s">
        <v>346</v>
      </c>
      <c r="V4088" t="s">
        <v>131</v>
      </c>
      <c r="W4088" t="s">
        <v>51</v>
      </c>
      <c r="X4088" t="s">
        <v>45</v>
      </c>
      <c r="Y4088" s="1">
        <v>27347</v>
      </c>
      <c r="Z4088">
        <v>2</v>
      </c>
      <c r="AA4088" t="s">
        <v>346</v>
      </c>
      <c r="AB4088" s="40" t="s">
        <v>1799</v>
      </c>
    </row>
    <row r="4089" spans="1:28" x14ac:dyDescent="0.25">
      <c r="A4089">
        <v>99914088</v>
      </c>
      <c r="B4089" t="s">
        <v>32</v>
      </c>
      <c r="C4089" t="s">
        <v>64</v>
      </c>
      <c r="D4089" t="s">
        <v>65</v>
      </c>
      <c r="G4089" t="s">
        <v>48</v>
      </c>
      <c r="H4089">
        <v>1</v>
      </c>
      <c r="K4089" t="s">
        <v>268</v>
      </c>
      <c r="L4089" t="s">
        <v>269</v>
      </c>
      <c r="M4089" t="s">
        <v>131</v>
      </c>
      <c r="N4089">
        <v>23</v>
      </c>
      <c r="P4089" t="s">
        <v>41</v>
      </c>
      <c r="Q4089" t="s">
        <v>75</v>
      </c>
      <c r="R4089" t="str">
        <f>"7052040"</f>
        <v>7052040</v>
      </c>
      <c r="S4089" t="s">
        <v>591</v>
      </c>
      <c r="T4089" t="s">
        <v>268</v>
      </c>
      <c r="U4089" t="s">
        <v>269</v>
      </c>
      <c r="V4089" t="s">
        <v>131</v>
      </c>
      <c r="W4089" t="s">
        <v>51</v>
      </c>
      <c r="X4089" t="s">
        <v>45</v>
      </c>
      <c r="Y4089" s="1">
        <v>27337</v>
      </c>
      <c r="Z4089">
        <v>1</v>
      </c>
      <c r="AA4089" t="s">
        <v>269</v>
      </c>
      <c r="AB4089" s="40" t="s">
        <v>1799</v>
      </c>
    </row>
    <row r="4090" spans="1:28" x14ac:dyDescent="0.25">
      <c r="A4090">
        <v>99914089</v>
      </c>
      <c r="B4090" t="s">
        <v>32</v>
      </c>
      <c r="C4090" t="s">
        <v>46</v>
      </c>
      <c r="D4090" t="s">
        <v>47</v>
      </c>
      <c r="G4090" t="s">
        <v>35</v>
      </c>
      <c r="H4090">
        <v>1</v>
      </c>
      <c r="K4090" t="s">
        <v>1546</v>
      </c>
      <c r="L4090" t="s">
        <v>1547</v>
      </c>
      <c r="M4090" t="s">
        <v>1548</v>
      </c>
      <c r="N4090">
        <v>23</v>
      </c>
      <c r="P4090" t="s">
        <v>41</v>
      </c>
      <c r="Q4090" t="s">
        <v>42</v>
      </c>
      <c r="R4090" t="str">
        <f>"1080010"</f>
        <v>1080010</v>
      </c>
      <c r="S4090" t="s">
        <v>1549</v>
      </c>
      <c r="T4090" t="s">
        <v>1546</v>
      </c>
      <c r="U4090" t="s">
        <v>1547</v>
      </c>
      <c r="V4090" t="s">
        <v>1548</v>
      </c>
      <c r="W4090" t="s">
        <v>51</v>
      </c>
      <c r="X4090" t="s">
        <v>45</v>
      </c>
      <c r="Y4090" s="1">
        <v>27294</v>
      </c>
      <c r="Z4090">
        <v>2</v>
      </c>
      <c r="AA4090" t="s">
        <v>1547</v>
      </c>
      <c r="AB4090" s="40" t="s">
        <v>1799</v>
      </c>
    </row>
    <row r="4091" spans="1:28" x14ac:dyDescent="0.25">
      <c r="A4091">
        <v>99914090</v>
      </c>
      <c r="B4091" t="s">
        <v>32</v>
      </c>
      <c r="C4091" t="s">
        <v>141</v>
      </c>
      <c r="D4091" t="s">
        <v>142</v>
      </c>
      <c r="G4091" t="s">
        <v>35</v>
      </c>
      <c r="H4091">
        <v>9</v>
      </c>
      <c r="K4091" t="s">
        <v>268</v>
      </c>
      <c r="L4091" t="s">
        <v>269</v>
      </c>
      <c r="M4091" t="s">
        <v>131</v>
      </c>
      <c r="N4091">
        <v>23</v>
      </c>
      <c r="P4091" t="s">
        <v>41</v>
      </c>
      <c r="Q4091" t="s">
        <v>75</v>
      </c>
      <c r="R4091" t="str">
        <f>"7052006"</f>
        <v>7052006</v>
      </c>
      <c r="S4091" t="s">
        <v>575</v>
      </c>
      <c r="T4091" t="s">
        <v>268</v>
      </c>
      <c r="U4091" t="s">
        <v>269</v>
      </c>
      <c r="V4091" t="s">
        <v>131</v>
      </c>
      <c r="W4091" t="s">
        <v>51</v>
      </c>
      <c r="X4091" t="s">
        <v>45</v>
      </c>
      <c r="Y4091" s="1">
        <v>27262</v>
      </c>
      <c r="Z4091">
        <v>1</v>
      </c>
      <c r="AA4091" t="s">
        <v>269</v>
      </c>
      <c r="AB4091" s="40" t="s">
        <v>1799</v>
      </c>
    </row>
    <row r="4092" spans="1:28" x14ac:dyDescent="0.25">
      <c r="A4092">
        <v>99914091</v>
      </c>
      <c r="B4092" t="s">
        <v>56</v>
      </c>
      <c r="C4092" t="s">
        <v>46</v>
      </c>
      <c r="D4092" t="s">
        <v>47</v>
      </c>
      <c r="G4092" t="s">
        <v>88</v>
      </c>
      <c r="H4092">
        <v>1</v>
      </c>
      <c r="I4092" t="s">
        <v>1313</v>
      </c>
      <c r="K4092" t="s">
        <v>1306</v>
      </c>
      <c r="L4092" t="s">
        <v>1307</v>
      </c>
      <c r="M4092" t="s">
        <v>1270</v>
      </c>
      <c r="N4092">
        <v>23</v>
      </c>
      <c r="P4092" t="s">
        <v>41</v>
      </c>
      <c r="Q4092" t="s">
        <v>42</v>
      </c>
      <c r="R4092" t="str">
        <f>"1990913"</f>
        <v>1990913</v>
      </c>
      <c r="S4092" t="s">
        <v>1312</v>
      </c>
      <c r="T4092" t="s">
        <v>1306</v>
      </c>
      <c r="U4092" t="s">
        <v>1307</v>
      </c>
      <c r="V4092" t="s">
        <v>1270</v>
      </c>
      <c r="W4092" t="s">
        <v>51</v>
      </c>
      <c r="X4092" t="s">
        <v>45</v>
      </c>
      <c r="Y4092" s="1">
        <v>27170</v>
      </c>
      <c r="Z4092">
        <v>2</v>
      </c>
      <c r="AA4092" t="s">
        <v>1307</v>
      </c>
      <c r="AB4092" s="40" t="s">
        <v>1799</v>
      </c>
    </row>
    <row r="4093" spans="1:28" x14ac:dyDescent="0.25">
      <c r="A4093">
        <v>99914092</v>
      </c>
      <c r="B4093" t="s">
        <v>56</v>
      </c>
      <c r="C4093" t="s">
        <v>90</v>
      </c>
      <c r="D4093" t="s">
        <v>91</v>
      </c>
      <c r="G4093" t="s">
        <v>48</v>
      </c>
      <c r="H4093">
        <v>4</v>
      </c>
      <c r="I4093" t="s">
        <v>475</v>
      </c>
      <c r="J4093" s="1">
        <v>42248</v>
      </c>
      <c r="K4093" t="s">
        <v>431</v>
      </c>
      <c r="L4093" t="s">
        <v>196</v>
      </c>
      <c r="M4093" t="s">
        <v>131</v>
      </c>
      <c r="N4093">
        <v>23</v>
      </c>
      <c r="O4093" s="1">
        <v>42248</v>
      </c>
      <c r="P4093" t="s">
        <v>41</v>
      </c>
      <c r="Q4093" t="s">
        <v>75</v>
      </c>
      <c r="R4093" t="str">
        <f>"7521022"</f>
        <v>7521022</v>
      </c>
      <c r="S4093" t="s">
        <v>445</v>
      </c>
      <c r="T4093" t="s">
        <v>431</v>
      </c>
      <c r="U4093" t="s">
        <v>196</v>
      </c>
      <c r="V4093" t="s">
        <v>131</v>
      </c>
      <c r="W4093" t="s">
        <v>51</v>
      </c>
      <c r="X4093" t="s">
        <v>45</v>
      </c>
      <c r="Y4093" s="1">
        <v>27150</v>
      </c>
      <c r="Z4093">
        <v>1</v>
      </c>
      <c r="AA4093" t="s">
        <v>196</v>
      </c>
      <c r="AB4093" s="40" t="s">
        <v>1799</v>
      </c>
    </row>
    <row r="4094" spans="1:28" x14ac:dyDescent="0.25">
      <c r="A4094">
        <v>99914093</v>
      </c>
      <c r="B4094" t="s">
        <v>56</v>
      </c>
      <c r="C4094" t="s">
        <v>111</v>
      </c>
      <c r="D4094" t="s">
        <v>112</v>
      </c>
      <c r="G4094" t="s">
        <v>35</v>
      </c>
      <c r="H4094">
        <v>1</v>
      </c>
      <c r="K4094" t="s">
        <v>354</v>
      </c>
      <c r="L4094" t="s">
        <v>355</v>
      </c>
      <c r="M4094" t="s">
        <v>131</v>
      </c>
      <c r="N4094">
        <v>23</v>
      </c>
      <c r="P4094" t="s">
        <v>41</v>
      </c>
      <c r="Q4094" t="s">
        <v>75</v>
      </c>
      <c r="R4094" t="str">
        <f>"7054032"</f>
        <v>7054032</v>
      </c>
      <c r="S4094" t="s">
        <v>767</v>
      </c>
      <c r="T4094" t="s">
        <v>354</v>
      </c>
      <c r="U4094" t="s">
        <v>355</v>
      </c>
      <c r="V4094" t="s">
        <v>131</v>
      </c>
      <c r="W4094" t="s">
        <v>51</v>
      </c>
      <c r="X4094" t="s">
        <v>45</v>
      </c>
      <c r="Y4094" s="1">
        <v>27146</v>
      </c>
      <c r="Z4094">
        <v>1</v>
      </c>
      <c r="AA4094" t="s">
        <v>355</v>
      </c>
      <c r="AB4094" s="40" t="s">
        <v>1799</v>
      </c>
    </row>
    <row r="4095" spans="1:28" x14ac:dyDescent="0.25">
      <c r="A4095">
        <v>99914094</v>
      </c>
      <c r="B4095" t="s">
        <v>32</v>
      </c>
      <c r="C4095" t="s">
        <v>111</v>
      </c>
      <c r="D4095" t="s">
        <v>112</v>
      </c>
      <c r="G4095" t="s">
        <v>48</v>
      </c>
      <c r="H4095">
        <v>1</v>
      </c>
      <c r="K4095" t="s">
        <v>1198</v>
      </c>
      <c r="L4095" t="s">
        <v>1199</v>
      </c>
      <c r="M4095" t="s">
        <v>1130</v>
      </c>
      <c r="N4095">
        <v>23</v>
      </c>
      <c r="P4095" t="s">
        <v>41</v>
      </c>
      <c r="Q4095" t="s">
        <v>75</v>
      </c>
      <c r="R4095" t="str">
        <f>"7311008"</f>
        <v>7311008</v>
      </c>
      <c r="S4095" t="s">
        <v>1205</v>
      </c>
      <c r="T4095" t="s">
        <v>1198</v>
      </c>
      <c r="U4095" t="s">
        <v>1199</v>
      </c>
      <c r="V4095" t="s">
        <v>1130</v>
      </c>
      <c r="W4095" t="s">
        <v>51</v>
      </c>
      <c r="X4095" t="s">
        <v>45</v>
      </c>
      <c r="Y4095" s="1">
        <v>27140</v>
      </c>
      <c r="Z4095">
        <v>1</v>
      </c>
      <c r="AA4095" t="s">
        <v>1199</v>
      </c>
      <c r="AB4095" s="40" t="s">
        <v>1799</v>
      </c>
    </row>
    <row r="4096" spans="1:28" x14ac:dyDescent="0.25">
      <c r="A4096">
        <v>99914095</v>
      </c>
      <c r="B4096" t="s">
        <v>32</v>
      </c>
      <c r="C4096" t="s">
        <v>46</v>
      </c>
      <c r="D4096" t="s">
        <v>47</v>
      </c>
      <c r="G4096" t="s">
        <v>35</v>
      </c>
      <c r="H4096">
        <v>1</v>
      </c>
      <c r="I4096">
        <v>21559</v>
      </c>
      <c r="J4096" s="1">
        <v>43344</v>
      </c>
      <c r="K4096" t="s">
        <v>223</v>
      </c>
      <c r="L4096" t="s">
        <v>224</v>
      </c>
      <c r="M4096" t="s">
        <v>131</v>
      </c>
      <c r="N4096">
        <v>23</v>
      </c>
      <c r="O4096" s="1">
        <v>43344</v>
      </c>
      <c r="P4096" t="s">
        <v>41</v>
      </c>
      <c r="Q4096" t="s">
        <v>49</v>
      </c>
      <c r="R4096" t="str">
        <f>"0561022"</f>
        <v>0561022</v>
      </c>
      <c r="S4096" t="s">
        <v>225</v>
      </c>
      <c r="T4096" t="s">
        <v>223</v>
      </c>
      <c r="U4096" t="s">
        <v>224</v>
      </c>
      <c r="V4096" t="s">
        <v>131</v>
      </c>
      <c r="W4096" t="s">
        <v>44</v>
      </c>
      <c r="X4096" t="s">
        <v>45</v>
      </c>
      <c r="Y4096" s="1">
        <v>27124</v>
      </c>
      <c r="Z4096">
        <v>2</v>
      </c>
      <c r="AA4096" t="s">
        <v>224</v>
      </c>
      <c r="AB4096" s="40" t="s">
        <v>1799</v>
      </c>
    </row>
    <row r="4097" spans="1:28" x14ac:dyDescent="0.25">
      <c r="A4097">
        <v>99914096</v>
      </c>
      <c r="B4097" t="s">
        <v>32</v>
      </c>
      <c r="C4097" t="s">
        <v>64</v>
      </c>
      <c r="D4097" t="s">
        <v>65</v>
      </c>
      <c r="G4097" t="s">
        <v>48</v>
      </c>
      <c r="H4097">
        <v>1</v>
      </c>
      <c r="K4097" t="s">
        <v>157</v>
      </c>
      <c r="L4097" t="s">
        <v>158</v>
      </c>
      <c r="M4097" t="s">
        <v>131</v>
      </c>
      <c r="N4097">
        <v>23</v>
      </c>
      <c r="P4097" t="s">
        <v>41</v>
      </c>
      <c r="Q4097" t="s">
        <v>49</v>
      </c>
      <c r="R4097" t="str">
        <f>"0560010"</f>
        <v>0560010</v>
      </c>
      <c r="S4097" t="s">
        <v>179</v>
      </c>
      <c r="T4097" t="s">
        <v>157</v>
      </c>
      <c r="U4097" t="s">
        <v>158</v>
      </c>
      <c r="V4097" t="s">
        <v>131</v>
      </c>
      <c r="W4097" t="s">
        <v>51</v>
      </c>
      <c r="X4097" t="s">
        <v>45</v>
      </c>
      <c r="Y4097" s="1">
        <v>27118</v>
      </c>
      <c r="Z4097">
        <v>2</v>
      </c>
      <c r="AA4097" t="s">
        <v>158</v>
      </c>
      <c r="AB4097" s="40" t="s">
        <v>1799</v>
      </c>
    </row>
    <row r="4098" spans="1:28" x14ac:dyDescent="0.25">
      <c r="A4098">
        <v>99914097</v>
      </c>
      <c r="B4098" t="s">
        <v>32</v>
      </c>
      <c r="C4098" t="s">
        <v>79</v>
      </c>
      <c r="D4098" t="s">
        <v>80</v>
      </c>
      <c r="G4098" t="s">
        <v>48</v>
      </c>
      <c r="H4098">
        <v>5</v>
      </c>
      <c r="K4098" t="s">
        <v>195</v>
      </c>
      <c r="L4098" t="s">
        <v>196</v>
      </c>
      <c r="M4098" t="s">
        <v>131</v>
      </c>
      <c r="N4098">
        <v>23</v>
      </c>
      <c r="O4098" s="1">
        <v>40422</v>
      </c>
      <c r="P4098" t="s">
        <v>41</v>
      </c>
      <c r="Q4098" t="s">
        <v>75</v>
      </c>
      <c r="R4098" t="str">
        <f>"7521044"</f>
        <v>7521044</v>
      </c>
      <c r="S4098" t="s">
        <v>453</v>
      </c>
      <c r="T4098" t="s">
        <v>195</v>
      </c>
      <c r="U4098" t="s">
        <v>196</v>
      </c>
      <c r="V4098" t="s">
        <v>131</v>
      </c>
      <c r="W4098" t="s">
        <v>51</v>
      </c>
      <c r="X4098" t="s">
        <v>45</v>
      </c>
      <c r="Y4098" s="1">
        <v>27061</v>
      </c>
      <c r="Z4098">
        <v>1</v>
      </c>
      <c r="AA4098" t="s">
        <v>196</v>
      </c>
      <c r="AB4098" s="40" t="s">
        <v>1799</v>
      </c>
    </row>
    <row r="4099" spans="1:28" x14ac:dyDescent="0.25">
      <c r="A4099">
        <v>99914098</v>
      </c>
      <c r="B4099" t="s">
        <v>56</v>
      </c>
      <c r="C4099" t="s">
        <v>68</v>
      </c>
      <c r="D4099" t="s">
        <v>69</v>
      </c>
      <c r="G4099" t="s">
        <v>35</v>
      </c>
      <c r="H4099">
        <v>1</v>
      </c>
      <c r="I4099" t="s">
        <v>1625</v>
      </c>
      <c r="J4099" s="1">
        <v>43344</v>
      </c>
      <c r="K4099" t="s">
        <v>1626</v>
      </c>
      <c r="L4099" t="s">
        <v>1627</v>
      </c>
      <c r="M4099" t="s">
        <v>1592</v>
      </c>
      <c r="N4099">
        <v>23</v>
      </c>
      <c r="O4099" s="1">
        <v>43344</v>
      </c>
      <c r="P4099" t="s">
        <v>41</v>
      </c>
      <c r="Q4099" t="s">
        <v>42</v>
      </c>
      <c r="R4099" t="str">
        <f>"3680015"</f>
        <v>3680015</v>
      </c>
      <c r="S4099" t="s">
        <v>1628</v>
      </c>
      <c r="T4099" t="s">
        <v>1626</v>
      </c>
      <c r="U4099" t="s">
        <v>1627</v>
      </c>
      <c r="V4099" t="s">
        <v>1592</v>
      </c>
      <c r="W4099" t="s">
        <v>51</v>
      </c>
      <c r="X4099" t="s">
        <v>45</v>
      </c>
      <c r="Y4099" s="1">
        <v>27057</v>
      </c>
      <c r="Z4099">
        <v>2</v>
      </c>
      <c r="AA4099" t="s">
        <v>1627</v>
      </c>
      <c r="AB4099" s="40" t="s">
        <v>1799</v>
      </c>
    </row>
    <row r="4100" spans="1:28" x14ac:dyDescent="0.25">
      <c r="A4100">
        <v>99914099</v>
      </c>
      <c r="B4100" t="s">
        <v>56</v>
      </c>
      <c r="C4100" t="s">
        <v>71</v>
      </c>
      <c r="D4100" t="s">
        <v>72</v>
      </c>
      <c r="G4100" t="s">
        <v>35</v>
      </c>
      <c r="H4100">
        <v>1</v>
      </c>
      <c r="K4100" t="s">
        <v>345</v>
      </c>
      <c r="L4100" t="s">
        <v>346</v>
      </c>
      <c r="M4100" t="s">
        <v>131</v>
      </c>
      <c r="N4100">
        <v>23</v>
      </c>
      <c r="P4100" t="s">
        <v>41</v>
      </c>
      <c r="Q4100" t="s">
        <v>49</v>
      </c>
      <c r="R4100" t="str">
        <f>"0560007"</f>
        <v>0560007</v>
      </c>
      <c r="S4100" t="s">
        <v>357</v>
      </c>
      <c r="T4100" t="s">
        <v>345</v>
      </c>
      <c r="U4100" t="s">
        <v>346</v>
      </c>
      <c r="V4100" t="s">
        <v>131</v>
      </c>
      <c r="W4100" t="s">
        <v>51</v>
      </c>
      <c r="X4100" t="s">
        <v>45</v>
      </c>
      <c r="Y4100" s="1">
        <v>27030</v>
      </c>
      <c r="Z4100">
        <v>2</v>
      </c>
      <c r="AA4100" t="s">
        <v>346</v>
      </c>
      <c r="AB4100" s="40" t="s">
        <v>1799</v>
      </c>
    </row>
    <row r="4101" spans="1:28" x14ac:dyDescent="0.25">
      <c r="A4101">
        <v>99914100</v>
      </c>
      <c r="B4101" t="s">
        <v>56</v>
      </c>
      <c r="C4101" t="s">
        <v>46</v>
      </c>
      <c r="D4101" t="s">
        <v>47</v>
      </c>
      <c r="G4101" t="s">
        <v>48</v>
      </c>
      <c r="H4101">
        <v>1</v>
      </c>
      <c r="K4101" t="s">
        <v>300</v>
      </c>
      <c r="L4101" t="s">
        <v>301</v>
      </c>
      <c r="M4101" t="s">
        <v>131</v>
      </c>
      <c r="N4101">
        <v>23</v>
      </c>
      <c r="P4101" t="s">
        <v>41</v>
      </c>
      <c r="Q4101" t="s">
        <v>42</v>
      </c>
      <c r="R4101" t="str">
        <f>"0580106"</f>
        <v>0580106</v>
      </c>
      <c r="S4101" t="s">
        <v>306</v>
      </c>
      <c r="T4101" t="s">
        <v>300</v>
      </c>
      <c r="U4101" t="s">
        <v>301</v>
      </c>
      <c r="V4101" t="s">
        <v>131</v>
      </c>
      <c r="W4101" t="s">
        <v>51</v>
      </c>
      <c r="X4101" t="s">
        <v>45</v>
      </c>
      <c r="Y4101" s="1">
        <v>27018</v>
      </c>
      <c r="Z4101">
        <v>2</v>
      </c>
      <c r="AA4101" t="s">
        <v>301</v>
      </c>
      <c r="AB4101" s="40" t="s">
        <v>1799</v>
      </c>
    </row>
    <row r="4102" spans="1:28" x14ac:dyDescent="0.25">
      <c r="A4102">
        <v>99914101</v>
      </c>
      <c r="B4102" t="s">
        <v>32</v>
      </c>
      <c r="C4102" t="s">
        <v>139</v>
      </c>
      <c r="D4102" t="s">
        <v>140</v>
      </c>
      <c r="G4102" t="s">
        <v>35</v>
      </c>
      <c r="H4102">
        <v>1</v>
      </c>
      <c r="K4102" t="s">
        <v>345</v>
      </c>
      <c r="L4102" t="s">
        <v>346</v>
      </c>
      <c r="M4102" t="s">
        <v>131</v>
      </c>
      <c r="N4102">
        <v>23</v>
      </c>
      <c r="P4102" t="s">
        <v>41</v>
      </c>
      <c r="Q4102" t="s">
        <v>49</v>
      </c>
      <c r="R4102" t="str">
        <f>"0560007"</f>
        <v>0560007</v>
      </c>
      <c r="S4102" t="s">
        <v>357</v>
      </c>
      <c r="T4102" t="s">
        <v>345</v>
      </c>
      <c r="U4102" t="s">
        <v>346</v>
      </c>
      <c r="V4102" t="s">
        <v>131</v>
      </c>
      <c r="W4102" t="s">
        <v>51</v>
      </c>
      <c r="X4102" t="s">
        <v>45</v>
      </c>
      <c r="Y4102" s="1">
        <v>27001</v>
      </c>
      <c r="Z4102">
        <v>2</v>
      </c>
      <c r="AA4102" t="s">
        <v>346</v>
      </c>
      <c r="AB4102" s="40" t="s">
        <v>1799</v>
      </c>
    </row>
    <row r="4103" spans="1:28" x14ac:dyDescent="0.25">
      <c r="A4103">
        <v>99914102</v>
      </c>
      <c r="B4103" t="s">
        <v>56</v>
      </c>
      <c r="C4103" t="s">
        <v>68</v>
      </c>
      <c r="D4103" t="s">
        <v>69</v>
      </c>
      <c r="G4103" t="s">
        <v>48</v>
      </c>
      <c r="H4103">
        <v>1</v>
      </c>
      <c r="K4103" t="s">
        <v>300</v>
      </c>
      <c r="L4103" t="s">
        <v>301</v>
      </c>
      <c r="M4103" t="s">
        <v>131</v>
      </c>
      <c r="N4103">
        <v>23</v>
      </c>
      <c r="P4103" t="s">
        <v>41</v>
      </c>
      <c r="Q4103" t="s">
        <v>42</v>
      </c>
      <c r="R4103" t="str">
        <f>"0580176"</f>
        <v>0580176</v>
      </c>
      <c r="S4103" t="s">
        <v>305</v>
      </c>
      <c r="T4103" t="s">
        <v>300</v>
      </c>
      <c r="U4103" t="s">
        <v>301</v>
      </c>
      <c r="V4103" t="s">
        <v>131</v>
      </c>
      <c r="W4103" t="s">
        <v>51</v>
      </c>
      <c r="X4103" t="s">
        <v>45</v>
      </c>
      <c r="Y4103" s="1">
        <v>26991</v>
      </c>
      <c r="Z4103">
        <v>2</v>
      </c>
      <c r="AA4103" t="s">
        <v>301</v>
      </c>
      <c r="AB4103" s="40" t="s">
        <v>1799</v>
      </c>
    </row>
    <row r="4104" spans="1:28" x14ac:dyDescent="0.25">
      <c r="A4104">
        <v>99914103</v>
      </c>
      <c r="B4104" t="s">
        <v>32</v>
      </c>
      <c r="C4104" t="s">
        <v>111</v>
      </c>
      <c r="D4104" t="s">
        <v>112</v>
      </c>
      <c r="G4104" t="s">
        <v>48</v>
      </c>
      <c r="H4104">
        <v>1</v>
      </c>
      <c r="K4104" t="s">
        <v>1198</v>
      </c>
      <c r="L4104" t="s">
        <v>1199</v>
      </c>
      <c r="M4104" t="s">
        <v>1130</v>
      </c>
      <c r="N4104">
        <v>23</v>
      </c>
      <c r="P4104" t="s">
        <v>41</v>
      </c>
      <c r="Q4104" t="s">
        <v>75</v>
      </c>
      <c r="R4104" t="str">
        <f>"7311010"</f>
        <v>7311010</v>
      </c>
      <c r="S4104" t="s">
        <v>1202</v>
      </c>
      <c r="T4104" t="s">
        <v>1198</v>
      </c>
      <c r="U4104" t="s">
        <v>1199</v>
      </c>
      <c r="V4104" t="s">
        <v>1130</v>
      </c>
      <c r="W4104" t="s">
        <v>51</v>
      </c>
      <c r="X4104" t="s">
        <v>45</v>
      </c>
      <c r="Y4104" s="1">
        <v>26929</v>
      </c>
      <c r="Z4104">
        <v>1</v>
      </c>
      <c r="AA4104" t="s">
        <v>1199</v>
      </c>
      <c r="AB4104" s="40" t="s">
        <v>1799</v>
      </c>
    </row>
    <row r="4105" spans="1:28" x14ac:dyDescent="0.25">
      <c r="A4105">
        <v>99914104</v>
      </c>
      <c r="B4105" t="s">
        <v>56</v>
      </c>
      <c r="C4105" t="s">
        <v>68</v>
      </c>
      <c r="D4105" t="s">
        <v>69</v>
      </c>
      <c r="G4105" t="s">
        <v>48</v>
      </c>
      <c r="H4105">
        <v>1</v>
      </c>
      <c r="K4105" t="s">
        <v>300</v>
      </c>
      <c r="L4105" t="s">
        <v>301</v>
      </c>
      <c r="M4105" t="s">
        <v>131</v>
      </c>
      <c r="N4105">
        <v>23</v>
      </c>
      <c r="P4105" t="s">
        <v>41</v>
      </c>
      <c r="Q4105" t="s">
        <v>42</v>
      </c>
      <c r="R4105" t="str">
        <f>"0561001"</f>
        <v>0561001</v>
      </c>
      <c r="S4105" t="s">
        <v>308</v>
      </c>
      <c r="T4105" t="s">
        <v>300</v>
      </c>
      <c r="U4105" t="s">
        <v>301</v>
      </c>
      <c r="V4105" t="s">
        <v>131</v>
      </c>
      <c r="W4105" t="s">
        <v>51</v>
      </c>
      <c r="X4105" t="s">
        <v>45</v>
      </c>
      <c r="Y4105" s="1">
        <v>26907</v>
      </c>
      <c r="Z4105">
        <v>2</v>
      </c>
      <c r="AA4105" t="s">
        <v>301</v>
      </c>
      <c r="AB4105" s="40" t="s">
        <v>1799</v>
      </c>
    </row>
    <row r="4106" spans="1:28" x14ac:dyDescent="0.25">
      <c r="A4106">
        <v>99914105</v>
      </c>
      <c r="B4106" t="s">
        <v>32</v>
      </c>
      <c r="C4106" t="s">
        <v>46</v>
      </c>
      <c r="D4106" t="s">
        <v>47</v>
      </c>
      <c r="G4106" t="s">
        <v>35</v>
      </c>
      <c r="H4106">
        <v>1</v>
      </c>
      <c r="K4106" t="s">
        <v>1051</v>
      </c>
      <c r="L4106" t="s">
        <v>1052</v>
      </c>
      <c r="M4106" t="s">
        <v>1053</v>
      </c>
      <c r="N4106">
        <v>23</v>
      </c>
      <c r="P4106" t="s">
        <v>41</v>
      </c>
      <c r="Q4106" t="s">
        <v>42</v>
      </c>
      <c r="R4106" t="str">
        <f>"2061003"</f>
        <v>2061003</v>
      </c>
      <c r="S4106" t="s">
        <v>1060</v>
      </c>
      <c r="T4106" t="s">
        <v>1051</v>
      </c>
      <c r="U4106" t="s">
        <v>1052</v>
      </c>
      <c r="V4106" t="s">
        <v>1053</v>
      </c>
      <c r="W4106" t="s">
        <v>51</v>
      </c>
      <c r="X4106" t="s">
        <v>45</v>
      </c>
      <c r="Y4106" s="1">
        <v>26892</v>
      </c>
      <c r="Z4106">
        <v>2</v>
      </c>
      <c r="AA4106" t="s">
        <v>1052</v>
      </c>
      <c r="AB4106" s="40" t="s">
        <v>1799</v>
      </c>
    </row>
    <row r="4107" spans="1:28" x14ac:dyDescent="0.25">
      <c r="A4107">
        <v>99914106</v>
      </c>
      <c r="B4107" t="s">
        <v>32</v>
      </c>
      <c r="C4107" t="s">
        <v>139</v>
      </c>
      <c r="D4107" t="s">
        <v>140</v>
      </c>
      <c r="G4107" t="s">
        <v>48</v>
      </c>
      <c r="H4107">
        <v>8</v>
      </c>
      <c r="I4107">
        <v>1944</v>
      </c>
      <c r="J4107" s="1">
        <v>43344</v>
      </c>
      <c r="K4107" t="s">
        <v>1426</v>
      </c>
      <c r="L4107" t="s">
        <v>1427</v>
      </c>
      <c r="M4107" t="s">
        <v>1270</v>
      </c>
      <c r="N4107">
        <v>23</v>
      </c>
      <c r="O4107" s="1">
        <v>43344</v>
      </c>
      <c r="P4107" t="s">
        <v>41</v>
      </c>
      <c r="Q4107" t="s">
        <v>75</v>
      </c>
      <c r="R4107" t="str">
        <f>"7192000"</f>
        <v>7192000</v>
      </c>
      <c r="S4107" t="s">
        <v>1429</v>
      </c>
      <c r="T4107" t="s">
        <v>1426</v>
      </c>
      <c r="U4107" t="s">
        <v>1427</v>
      </c>
      <c r="V4107" t="s">
        <v>1270</v>
      </c>
      <c r="W4107" t="s">
        <v>51</v>
      </c>
      <c r="X4107" t="s">
        <v>45</v>
      </c>
      <c r="Y4107" s="1">
        <v>26844</v>
      </c>
      <c r="Z4107">
        <v>1</v>
      </c>
      <c r="AA4107" t="s">
        <v>1427</v>
      </c>
      <c r="AB4107" s="40" t="s">
        <v>1799</v>
      </c>
    </row>
    <row r="4108" spans="1:28" x14ac:dyDescent="0.25">
      <c r="A4108">
        <v>99914107</v>
      </c>
      <c r="B4108" t="s">
        <v>32</v>
      </c>
      <c r="C4108" t="s">
        <v>111</v>
      </c>
      <c r="D4108" t="s">
        <v>112</v>
      </c>
      <c r="G4108" t="s">
        <v>48</v>
      </c>
      <c r="H4108">
        <v>6</v>
      </c>
      <c r="K4108" t="s">
        <v>1426</v>
      </c>
      <c r="L4108" t="s">
        <v>1427</v>
      </c>
      <c r="M4108" t="s">
        <v>1270</v>
      </c>
      <c r="N4108">
        <v>23</v>
      </c>
      <c r="P4108" t="s">
        <v>41</v>
      </c>
      <c r="Q4108" t="s">
        <v>75</v>
      </c>
      <c r="R4108" t="str">
        <f>"7192000"</f>
        <v>7192000</v>
      </c>
      <c r="S4108" t="s">
        <v>1429</v>
      </c>
      <c r="T4108" t="s">
        <v>1426</v>
      </c>
      <c r="U4108" t="s">
        <v>1427</v>
      </c>
      <c r="V4108" t="s">
        <v>1270</v>
      </c>
      <c r="W4108" t="s">
        <v>51</v>
      </c>
      <c r="X4108" t="s">
        <v>45</v>
      </c>
      <c r="Y4108" s="1">
        <v>26831</v>
      </c>
      <c r="Z4108">
        <v>1</v>
      </c>
      <c r="AA4108" t="s">
        <v>1427</v>
      </c>
      <c r="AB4108" s="40" t="s">
        <v>1799</v>
      </c>
    </row>
    <row r="4109" spans="1:28" x14ac:dyDescent="0.25">
      <c r="A4109">
        <v>99914108</v>
      </c>
      <c r="B4109" t="s">
        <v>56</v>
      </c>
      <c r="C4109" t="s">
        <v>52</v>
      </c>
      <c r="D4109" t="s">
        <v>53</v>
      </c>
      <c r="G4109" t="s">
        <v>35</v>
      </c>
      <c r="H4109">
        <v>1</v>
      </c>
      <c r="I4109">
        <v>17839</v>
      </c>
      <c r="J4109" s="1">
        <v>43346</v>
      </c>
      <c r="K4109" t="s">
        <v>380</v>
      </c>
      <c r="L4109" t="s">
        <v>381</v>
      </c>
      <c r="M4109" t="s">
        <v>131</v>
      </c>
      <c r="N4109">
        <v>23</v>
      </c>
      <c r="O4109" s="1">
        <v>43346</v>
      </c>
      <c r="P4109" t="s">
        <v>41</v>
      </c>
      <c r="Q4109" t="s">
        <v>49</v>
      </c>
      <c r="R4109" t="str">
        <f>"0560028"</f>
        <v>0560028</v>
      </c>
      <c r="S4109" t="s">
        <v>384</v>
      </c>
      <c r="T4109" t="s">
        <v>380</v>
      </c>
      <c r="U4109" t="s">
        <v>381</v>
      </c>
      <c r="V4109" t="s">
        <v>131</v>
      </c>
      <c r="W4109" t="s">
        <v>44</v>
      </c>
      <c r="X4109" t="s">
        <v>45</v>
      </c>
      <c r="Y4109" s="1">
        <v>26820</v>
      </c>
      <c r="Z4109">
        <v>2</v>
      </c>
      <c r="AA4109" t="s">
        <v>381</v>
      </c>
      <c r="AB4109" s="40" t="s">
        <v>1799</v>
      </c>
    </row>
    <row r="4110" spans="1:28" x14ac:dyDescent="0.25">
      <c r="A4110">
        <v>99914109</v>
      </c>
      <c r="B4110" t="s">
        <v>56</v>
      </c>
      <c r="C4110" t="s">
        <v>111</v>
      </c>
      <c r="D4110" t="s">
        <v>112</v>
      </c>
      <c r="G4110" t="s">
        <v>48</v>
      </c>
      <c r="H4110">
        <v>7</v>
      </c>
      <c r="I4110" t="s">
        <v>515</v>
      </c>
      <c r="J4110" s="1">
        <v>40057</v>
      </c>
      <c r="K4110" t="s">
        <v>431</v>
      </c>
      <c r="L4110" t="s">
        <v>196</v>
      </c>
      <c r="M4110" t="s">
        <v>131</v>
      </c>
      <c r="N4110">
        <v>23</v>
      </c>
      <c r="O4110" s="1">
        <v>40057</v>
      </c>
      <c r="P4110" t="s">
        <v>41</v>
      </c>
      <c r="Q4110" t="s">
        <v>75</v>
      </c>
      <c r="R4110" t="str">
        <f>"7521022"</f>
        <v>7521022</v>
      </c>
      <c r="S4110" t="s">
        <v>445</v>
      </c>
      <c r="T4110" t="s">
        <v>431</v>
      </c>
      <c r="U4110" t="s">
        <v>196</v>
      </c>
      <c r="V4110" t="s">
        <v>131</v>
      </c>
      <c r="W4110" t="s">
        <v>51</v>
      </c>
      <c r="X4110" t="s">
        <v>45</v>
      </c>
      <c r="Y4110" s="1">
        <v>26794</v>
      </c>
      <c r="Z4110">
        <v>1</v>
      </c>
      <c r="AA4110" t="s">
        <v>196</v>
      </c>
      <c r="AB4110" s="40" t="s">
        <v>1799</v>
      </c>
    </row>
    <row r="4111" spans="1:28" x14ac:dyDescent="0.25">
      <c r="A4111">
        <v>99914110</v>
      </c>
      <c r="B4111" t="s">
        <v>32</v>
      </c>
      <c r="C4111" t="s">
        <v>145</v>
      </c>
      <c r="D4111" t="s">
        <v>146</v>
      </c>
      <c r="G4111" t="s">
        <v>35</v>
      </c>
      <c r="H4111">
        <v>1</v>
      </c>
      <c r="I4111">
        <v>0</v>
      </c>
      <c r="J4111" s="1">
        <v>43344</v>
      </c>
      <c r="K4111" t="s">
        <v>223</v>
      </c>
      <c r="L4111" t="s">
        <v>224</v>
      </c>
      <c r="M4111" t="s">
        <v>131</v>
      </c>
      <c r="N4111">
        <v>23</v>
      </c>
      <c r="O4111" s="1">
        <v>43344</v>
      </c>
      <c r="P4111" t="s">
        <v>41</v>
      </c>
      <c r="Q4111" t="s">
        <v>42</v>
      </c>
      <c r="R4111" t="str">
        <f>"0580206"</f>
        <v>0580206</v>
      </c>
      <c r="S4111" t="s">
        <v>237</v>
      </c>
      <c r="T4111" t="s">
        <v>223</v>
      </c>
      <c r="U4111" t="s">
        <v>224</v>
      </c>
      <c r="V4111" t="s">
        <v>131</v>
      </c>
      <c r="W4111" t="s">
        <v>51</v>
      </c>
      <c r="X4111" t="s">
        <v>45</v>
      </c>
      <c r="Y4111" s="1">
        <v>26707</v>
      </c>
      <c r="Z4111">
        <v>2</v>
      </c>
      <c r="AA4111" t="s">
        <v>224</v>
      </c>
      <c r="AB4111" s="40" t="s">
        <v>1799</v>
      </c>
    </row>
    <row r="4112" spans="1:28" x14ac:dyDescent="0.25">
      <c r="A4112">
        <v>99914111</v>
      </c>
      <c r="B4112" t="s">
        <v>56</v>
      </c>
      <c r="C4112" t="s">
        <v>52</v>
      </c>
      <c r="D4112" t="s">
        <v>53</v>
      </c>
      <c r="G4112" t="s">
        <v>48</v>
      </c>
      <c r="H4112">
        <v>1</v>
      </c>
      <c r="K4112" t="s">
        <v>380</v>
      </c>
      <c r="L4112" t="s">
        <v>381</v>
      </c>
      <c r="M4112" t="s">
        <v>131</v>
      </c>
      <c r="N4112">
        <v>23</v>
      </c>
      <c r="P4112" t="s">
        <v>41</v>
      </c>
      <c r="Q4112" t="s">
        <v>42</v>
      </c>
      <c r="R4112" t="str">
        <f>"0561010"</f>
        <v>0561010</v>
      </c>
      <c r="S4112" t="s">
        <v>387</v>
      </c>
      <c r="T4112" t="s">
        <v>380</v>
      </c>
      <c r="U4112" t="s">
        <v>381</v>
      </c>
      <c r="V4112" t="s">
        <v>131</v>
      </c>
      <c r="W4112" t="s">
        <v>51</v>
      </c>
      <c r="X4112" t="s">
        <v>45</v>
      </c>
      <c r="Y4112" s="1">
        <v>26693</v>
      </c>
      <c r="Z4112">
        <v>2</v>
      </c>
      <c r="AA4112" t="s">
        <v>381</v>
      </c>
      <c r="AB4112" s="40" t="s">
        <v>1799</v>
      </c>
    </row>
    <row r="4113" spans="1:28" x14ac:dyDescent="0.25">
      <c r="A4113">
        <v>99914112</v>
      </c>
      <c r="B4113" t="s">
        <v>56</v>
      </c>
      <c r="C4113" t="s">
        <v>58</v>
      </c>
      <c r="D4113" t="s">
        <v>59</v>
      </c>
      <c r="G4113" t="s">
        <v>48</v>
      </c>
      <c r="H4113">
        <v>1</v>
      </c>
      <c r="K4113" t="s">
        <v>345</v>
      </c>
      <c r="L4113" t="s">
        <v>346</v>
      </c>
      <c r="M4113" t="s">
        <v>131</v>
      </c>
      <c r="N4113">
        <v>23</v>
      </c>
      <c r="P4113" t="s">
        <v>41</v>
      </c>
      <c r="Q4113" t="s">
        <v>42</v>
      </c>
      <c r="R4113" t="str">
        <f>"0590906"</f>
        <v>0590906</v>
      </c>
      <c r="S4113" t="s">
        <v>361</v>
      </c>
      <c r="T4113" t="s">
        <v>345</v>
      </c>
      <c r="U4113" t="s">
        <v>346</v>
      </c>
      <c r="V4113" t="s">
        <v>131</v>
      </c>
      <c r="W4113" t="s">
        <v>51</v>
      </c>
      <c r="X4113" t="s">
        <v>45</v>
      </c>
      <c r="Y4113" s="1">
        <v>26667</v>
      </c>
      <c r="Z4113">
        <v>2</v>
      </c>
      <c r="AA4113" t="s">
        <v>346</v>
      </c>
      <c r="AB4113" s="40" t="s">
        <v>1799</v>
      </c>
    </row>
    <row r="4114" spans="1:28" x14ac:dyDescent="0.25">
      <c r="A4114">
        <v>99914113</v>
      </c>
      <c r="B4114" t="s">
        <v>32</v>
      </c>
      <c r="C4114" t="s">
        <v>46</v>
      </c>
      <c r="D4114" t="s">
        <v>47</v>
      </c>
      <c r="G4114" t="s">
        <v>35</v>
      </c>
      <c r="H4114">
        <v>1</v>
      </c>
      <c r="I4114">
        <v>0</v>
      </c>
      <c r="J4114" s="1">
        <v>43344</v>
      </c>
      <c r="K4114" t="s">
        <v>223</v>
      </c>
      <c r="L4114" t="s">
        <v>224</v>
      </c>
      <c r="M4114" t="s">
        <v>131</v>
      </c>
      <c r="N4114">
        <v>23</v>
      </c>
      <c r="O4114" s="1">
        <v>43344</v>
      </c>
      <c r="P4114" t="s">
        <v>41</v>
      </c>
      <c r="Q4114" t="s">
        <v>49</v>
      </c>
      <c r="R4114" t="str">
        <f>"0560030"</f>
        <v>0560030</v>
      </c>
      <c r="S4114" t="s">
        <v>244</v>
      </c>
      <c r="T4114" t="s">
        <v>223</v>
      </c>
      <c r="U4114" t="s">
        <v>224</v>
      </c>
      <c r="V4114" t="s">
        <v>131</v>
      </c>
      <c r="W4114" t="s">
        <v>44</v>
      </c>
      <c r="X4114" t="s">
        <v>45</v>
      </c>
      <c r="Y4114" s="1">
        <v>26665</v>
      </c>
      <c r="Z4114">
        <v>2</v>
      </c>
      <c r="AA4114" t="s">
        <v>224</v>
      </c>
      <c r="AB4114" s="40" t="s">
        <v>1799</v>
      </c>
    </row>
    <row r="4115" spans="1:28" x14ac:dyDescent="0.25">
      <c r="A4115">
        <v>99914114</v>
      </c>
      <c r="B4115" t="s">
        <v>32</v>
      </c>
      <c r="C4115" t="s">
        <v>46</v>
      </c>
      <c r="D4115" t="s">
        <v>47</v>
      </c>
      <c r="G4115" t="s">
        <v>35</v>
      </c>
      <c r="H4115">
        <v>1</v>
      </c>
      <c r="I4115">
        <v>0</v>
      </c>
      <c r="J4115" s="1">
        <v>43344</v>
      </c>
      <c r="K4115" t="s">
        <v>223</v>
      </c>
      <c r="L4115" t="s">
        <v>224</v>
      </c>
      <c r="M4115" t="s">
        <v>131</v>
      </c>
      <c r="N4115">
        <v>23</v>
      </c>
      <c r="O4115" s="1">
        <v>43344</v>
      </c>
      <c r="P4115" t="s">
        <v>41</v>
      </c>
      <c r="Q4115" t="s">
        <v>49</v>
      </c>
      <c r="R4115" t="str">
        <f>"0560030"</f>
        <v>0560030</v>
      </c>
      <c r="S4115" t="s">
        <v>244</v>
      </c>
      <c r="T4115" t="s">
        <v>223</v>
      </c>
      <c r="U4115" t="s">
        <v>224</v>
      </c>
      <c r="V4115" t="s">
        <v>131</v>
      </c>
      <c r="W4115" t="s">
        <v>51</v>
      </c>
      <c r="X4115" t="s">
        <v>45</v>
      </c>
      <c r="Y4115" s="1">
        <v>26665</v>
      </c>
      <c r="Z4115">
        <v>2</v>
      </c>
      <c r="AA4115" t="s">
        <v>224</v>
      </c>
      <c r="AB4115" s="40" t="s">
        <v>1799</v>
      </c>
    </row>
    <row r="4116" spans="1:28" x14ac:dyDescent="0.25">
      <c r="A4116">
        <v>99914115</v>
      </c>
      <c r="B4116" t="s">
        <v>32</v>
      </c>
      <c r="C4116" t="s">
        <v>111</v>
      </c>
      <c r="D4116" t="s">
        <v>112</v>
      </c>
      <c r="G4116" t="s">
        <v>48</v>
      </c>
      <c r="H4116">
        <v>1</v>
      </c>
      <c r="K4116" t="s">
        <v>431</v>
      </c>
      <c r="L4116" t="s">
        <v>196</v>
      </c>
      <c r="M4116" t="s">
        <v>131</v>
      </c>
      <c r="N4116">
        <v>23</v>
      </c>
      <c r="P4116" t="s">
        <v>41</v>
      </c>
      <c r="Q4116" t="s">
        <v>75</v>
      </c>
      <c r="R4116" t="str">
        <f>"7521012"</f>
        <v>7521012</v>
      </c>
      <c r="S4116" t="s">
        <v>432</v>
      </c>
      <c r="T4116" t="s">
        <v>431</v>
      </c>
      <c r="U4116" t="s">
        <v>196</v>
      </c>
      <c r="V4116" t="s">
        <v>131</v>
      </c>
      <c r="W4116" t="s">
        <v>51</v>
      </c>
      <c r="X4116" t="s">
        <v>45</v>
      </c>
      <c r="Y4116" s="1">
        <v>26665</v>
      </c>
      <c r="Z4116">
        <v>1</v>
      </c>
      <c r="AA4116" t="s">
        <v>196</v>
      </c>
      <c r="AB4116" s="40" t="s">
        <v>1799</v>
      </c>
    </row>
    <row r="4117" spans="1:28" x14ac:dyDescent="0.25">
      <c r="A4117">
        <v>99914116</v>
      </c>
      <c r="B4117" t="s">
        <v>56</v>
      </c>
      <c r="C4117" t="s">
        <v>46</v>
      </c>
      <c r="D4117" t="s">
        <v>47</v>
      </c>
      <c r="G4117" t="s">
        <v>35</v>
      </c>
      <c r="H4117">
        <v>1</v>
      </c>
      <c r="I4117" t="s">
        <v>1180</v>
      </c>
      <c r="J4117" s="1">
        <v>43370</v>
      </c>
      <c r="K4117" t="s">
        <v>1171</v>
      </c>
      <c r="L4117" t="s">
        <v>1172</v>
      </c>
      <c r="M4117" t="s">
        <v>1130</v>
      </c>
      <c r="N4117">
        <v>23</v>
      </c>
      <c r="O4117" s="1">
        <v>43370</v>
      </c>
      <c r="P4117" t="s">
        <v>41</v>
      </c>
      <c r="Q4117" t="s">
        <v>42</v>
      </c>
      <c r="R4117" t="str">
        <f>"3561001"</f>
        <v>3561001</v>
      </c>
      <c r="S4117" t="s">
        <v>1173</v>
      </c>
      <c r="T4117" t="s">
        <v>1171</v>
      </c>
      <c r="U4117" t="s">
        <v>1172</v>
      </c>
      <c r="V4117" t="s">
        <v>1130</v>
      </c>
      <c r="W4117" t="s">
        <v>44</v>
      </c>
      <c r="X4117" t="s">
        <v>45</v>
      </c>
      <c r="Y4117" s="1">
        <v>26665</v>
      </c>
      <c r="Z4117">
        <v>2</v>
      </c>
      <c r="AA4117" t="s">
        <v>1172</v>
      </c>
      <c r="AB4117" s="40" t="s">
        <v>1799</v>
      </c>
    </row>
    <row r="4118" spans="1:28" x14ac:dyDescent="0.25">
      <c r="A4118">
        <v>99914117</v>
      </c>
      <c r="B4118" t="s">
        <v>32</v>
      </c>
      <c r="C4118" t="s">
        <v>46</v>
      </c>
      <c r="D4118" t="s">
        <v>47</v>
      </c>
      <c r="G4118" t="s">
        <v>48</v>
      </c>
      <c r="H4118">
        <v>1</v>
      </c>
      <c r="K4118" t="s">
        <v>1268</v>
      </c>
      <c r="L4118" t="s">
        <v>1269</v>
      </c>
      <c r="M4118" t="s">
        <v>1270</v>
      </c>
      <c r="N4118">
        <v>23</v>
      </c>
      <c r="P4118" t="s">
        <v>41</v>
      </c>
      <c r="Q4118" t="s">
        <v>42</v>
      </c>
      <c r="R4118" t="str">
        <f>"1980050"</f>
        <v>1980050</v>
      </c>
      <c r="S4118" t="s">
        <v>1278</v>
      </c>
      <c r="T4118" t="s">
        <v>1268</v>
      </c>
      <c r="U4118" t="s">
        <v>1269</v>
      </c>
      <c r="V4118" t="s">
        <v>1270</v>
      </c>
      <c r="W4118" t="s">
        <v>51</v>
      </c>
      <c r="X4118" t="s">
        <v>45</v>
      </c>
      <c r="Y4118" s="1">
        <v>26665</v>
      </c>
      <c r="Z4118">
        <v>2</v>
      </c>
      <c r="AA4118" t="s">
        <v>1269</v>
      </c>
      <c r="AB4118" s="40" t="s">
        <v>1799</v>
      </c>
    </row>
    <row r="4119" spans="1:28" x14ac:dyDescent="0.25">
      <c r="A4119">
        <v>99914118</v>
      </c>
      <c r="B4119" t="s">
        <v>32</v>
      </c>
      <c r="C4119" t="s">
        <v>79</v>
      </c>
      <c r="D4119" t="s">
        <v>80</v>
      </c>
      <c r="G4119" t="s">
        <v>48</v>
      </c>
      <c r="H4119">
        <v>7</v>
      </c>
      <c r="K4119" t="s">
        <v>195</v>
      </c>
      <c r="L4119" t="s">
        <v>196</v>
      </c>
      <c r="M4119" t="s">
        <v>131</v>
      </c>
      <c r="N4119">
        <v>23</v>
      </c>
      <c r="O4119" s="1">
        <v>40057</v>
      </c>
      <c r="P4119" t="s">
        <v>41</v>
      </c>
      <c r="Q4119" t="s">
        <v>75</v>
      </c>
      <c r="R4119" t="str">
        <f>"7521044"</f>
        <v>7521044</v>
      </c>
      <c r="S4119" t="s">
        <v>453</v>
      </c>
      <c r="T4119" t="s">
        <v>195</v>
      </c>
      <c r="U4119" t="s">
        <v>196</v>
      </c>
      <c r="V4119" t="s">
        <v>131</v>
      </c>
      <c r="W4119" t="s">
        <v>51</v>
      </c>
      <c r="X4119" t="s">
        <v>45</v>
      </c>
      <c r="Y4119" s="1">
        <v>26644</v>
      </c>
      <c r="Z4119">
        <v>1</v>
      </c>
      <c r="AA4119" t="s">
        <v>196</v>
      </c>
      <c r="AB4119" s="40" t="s">
        <v>1799</v>
      </c>
    </row>
    <row r="4120" spans="1:28" x14ac:dyDescent="0.25">
      <c r="A4120">
        <v>99914119</v>
      </c>
      <c r="B4120" t="s">
        <v>32</v>
      </c>
      <c r="C4120" t="s">
        <v>111</v>
      </c>
      <c r="D4120" t="s">
        <v>112</v>
      </c>
      <c r="G4120" t="s">
        <v>35</v>
      </c>
      <c r="H4120">
        <v>1</v>
      </c>
      <c r="K4120" t="s">
        <v>1564</v>
      </c>
      <c r="L4120" t="s">
        <v>1565</v>
      </c>
      <c r="M4120" t="s">
        <v>1548</v>
      </c>
      <c r="N4120">
        <v>23</v>
      </c>
      <c r="P4120" t="s">
        <v>41</v>
      </c>
      <c r="Q4120" t="s">
        <v>75</v>
      </c>
      <c r="R4120" t="str">
        <f>"7101000"</f>
        <v>7101000</v>
      </c>
      <c r="S4120" t="s">
        <v>1572</v>
      </c>
      <c r="T4120" t="s">
        <v>1564</v>
      </c>
      <c r="U4120" t="s">
        <v>1565</v>
      </c>
      <c r="V4120" t="s">
        <v>1548</v>
      </c>
      <c r="W4120" t="s">
        <v>51</v>
      </c>
      <c r="X4120" t="s">
        <v>45</v>
      </c>
      <c r="Y4120" s="1">
        <v>26626</v>
      </c>
      <c r="Z4120">
        <v>1</v>
      </c>
      <c r="AA4120" t="s">
        <v>1565</v>
      </c>
      <c r="AB4120" s="40" t="s">
        <v>1799</v>
      </c>
    </row>
    <row r="4121" spans="1:28" x14ac:dyDescent="0.25">
      <c r="A4121">
        <v>99914120</v>
      </c>
      <c r="B4121" t="s">
        <v>32</v>
      </c>
      <c r="C4121" t="s">
        <v>90</v>
      </c>
      <c r="D4121" t="s">
        <v>91</v>
      </c>
      <c r="G4121" t="s">
        <v>48</v>
      </c>
      <c r="H4121">
        <v>1</v>
      </c>
      <c r="K4121" t="s">
        <v>1198</v>
      </c>
      <c r="L4121" t="s">
        <v>1199</v>
      </c>
      <c r="M4121" t="s">
        <v>1130</v>
      </c>
      <c r="N4121">
        <v>23</v>
      </c>
      <c r="P4121" t="s">
        <v>41</v>
      </c>
      <c r="Q4121" t="s">
        <v>95</v>
      </c>
      <c r="R4121" t="str">
        <f>"7311015"</f>
        <v>7311015</v>
      </c>
      <c r="S4121" t="s">
        <v>1217</v>
      </c>
      <c r="T4121" t="s">
        <v>1198</v>
      </c>
      <c r="U4121" t="s">
        <v>1199</v>
      </c>
      <c r="V4121" t="s">
        <v>1130</v>
      </c>
      <c r="W4121" t="s">
        <v>51</v>
      </c>
      <c r="X4121" t="s">
        <v>45</v>
      </c>
      <c r="Y4121" s="1">
        <v>26624</v>
      </c>
      <c r="Z4121">
        <v>1</v>
      </c>
      <c r="AA4121" t="s">
        <v>1199</v>
      </c>
      <c r="AB4121" s="40" t="s">
        <v>1799</v>
      </c>
    </row>
    <row r="4122" spans="1:28" x14ac:dyDescent="0.25">
      <c r="A4122">
        <v>99914121</v>
      </c>
      <c r="B4122" t="s">
        <v>56</v>
      </c>
      <c r="C4122" t="s">
        <v>58</v>
      </c>
      <c r="D4122" t="s">
        <v>59</v>
      </c>
      <c r="G4122" t="s">
        <v>35</v>
      </c>
      <c r="H4122">
        <v>1</v>
      </c>
      <c r="K4122" t="s">
        <v>1546</v>
      </c>
      <c r="L4122" t="s">
        <v>1547</v>
      </c>
      <c r="M4122" t="s">
        <v>1548</v>
      </c>
      <c r="N4122">
        <v>23</v>
      </c>
      <c r="P4122" t="s">
        <v>41</v>
      </c>
      <c r="Q4122" t="s">
        <v>42</v>
      </c>
      <c r="R4122" t="str">
        <f>"1061001"</f>
        <v>1061001</v>
      </c>
      <c r="S4122" t="s">
        <v>1550</v>
      </c>
      <c r="T4122" t="s">
        <v>1546</v>
      </c>
      <c r="U4122" t="s">
        <v>1547</v>
      </c>
      <c r="V4122" t="s">
        <v>1548</v>
      </c>
      <c r="W4122" t="s">
        <v>165</v>
      </c>
      <c r="X4122" t="s">
        <v>45</v>
      </c>
      <c r="Y4122" s="1">
        <v>26581</v>
      </c>
      <c r="Z4122">
        <v>2</v>
      </c>
      <c r="AA4122" t="s">
        <v>1547</v>
      </c>
      <c r="AB4122" s="40" t="s">
        <v>1799</v>
      </c>
    </row>
    <row r="4123" spans="1:28" x14ac:dyDescent="0.25">
      <c r="A4123">
        <v>99914122</v>
      </c>
      <c r="B4123" t="s">
        <v>56</v>
      </c>
      <c r="C4123" t="s">
        <v>52</v>
      </c>
      <c r="D4123" t="s">
        <v>53</v>
      </c>
      <c r="G4123" t="s">
        <v>35</v>
      </c>
      <c r="H4123">
        <v>1</v>
      </c>
      <c r="K4123" t="s">
        <v>223</v>
      </c>
      <c r="L4123" t="s">
        <v>224</v>
      </c>
      <c r="M4123" t="s">
        <v>131</v>
      </c>
      <c r="N4123">
        <v>23</v>
      </c>
      <c r="P4123" t="s">
        <v>41</v>
      </c>
      <c r="Q4123" t="s">
        <v>42</v>
      </c>
      <c r="R4123" t="str">
        <f>"0590901"</f>
        <v>0590901</v>
      </c>
      <c r="S4123" t="s">
        <v>242</v>
      </c>
      <c r="T4123" t="s">
        <v>223</v>
      </c>
      <c r="U4123" t="s">
        <v>224</v>
      </c>
      <c r="V4123" t="s">
        <v>131</v>
      </c>
      <c r="W4123" t="s">
        <v>51</v>
      </c>
      <c r="X4123" t="s">
        <v>45</v>
      </c>
      <c r="Y4123" s="1">
        <v>26560</v>
      </c>
      <c r="Z4123">
        <v>2</v>
      </c>
      <c r="AA4123" t="s">
        <v>224</v>
      </c>
      <c r="AB4123" s="40" t="s">
        <v>1799</v>
      </c>
    </row>
    <row r="4124" spans="1:28" x14ac:dyDescent="0.25">
      <c r="A4124">
        <v>99914123</v>
      </c>
      <c r="B4124" t="s">
        <v>32</v>
      </c>
      <c r="C4124" t="s">
        <v>111</v>
      </c>
      <c r="D4124" t="s">
        <v>112</v>
      </c>
      <c r="G4124" t="s">
        <v>35</v>
      </c>
      <c r="H4124">
        <v>1</v>
      </c>
      <c r="K4124" t="s">
        <v>268</v>
      </c>
      <c r="L4124" t="s">
        <v>269</v>
      </c>
      <c r="M4124" t="s">
        <v>131</v>
      </c>
      <c r="N4124">
        <v>23</v>
      </c>
      <c r="P4124" t="s">
        <v>41</v>
      </c>
      <c r="Q4124" t="s">
        <v>75</v>
      </c>
      <c r="R4124" t="str">
        <f>"7052008"</f>
        <v>7052008</v>
      </c>
      <c r="S4124" t="s">
        <v>274</v>
      </c>
      <c r="T4124" t="s">
        <v>268</v>
      </c>
      <c r="U4124" t="s">
        <v>269</v>
      </c>
      <c r="V4124" t="s">
        <v>131</v>
      </c>
      <c r="W4124" t="s">
        <v>51</v>
      </c>
      <c r="X4124" t="s">
        <v>45</v>
      </c>
      <c r="Y4124" s="1">
        <v>26555</v>
      </c>
      <c r="Z4124">
        <v>1</v>
      </c>
      <c r="AA4124" t="s">
        <v>269</v>
      </c>
      <c r="AB4124" s="40" t="s">
        <v>1799</v>
      </c>
    </row>
    <row r="4125" spans="1:28" x14ac:dyDescent="0.25">
      <c r="A4125">
        <v>99914124</v>
      </c>
      <c r="B4125" t="s">
        <v>32</v>
      </c>
      <c r="C4125" t="s">
        <v>149</v>
      </c>
      <c r="D4125" t="s">
        <v>150</v>
      </c>
      <c r="G4125" t="s">
        <v>48</v>
      </c>
      <c r="H4125">
        <v>1</v>
      </c>
      <c r="K4125" t="s">
        <v>157</v>
      </c>
      <c r="L4125" t="s">
        <v>158</v>
      </c>
      <c r="M4125" t="s">
        <v>131</v>
      </c>
      <c r="N4125">
        <v>23</v>
      </c>
      <c r="P4125" t="s">
        <v>41</v>
      </c>
      <c r="Q4125" t="s">
        <v>49</v>
      </c>
      <c r="R4125" t="str">
        <f>"0560010"</f>
        <v>0560010</v>
      </c>
      <c r="S4125" t="s">
        <v>179</v>
      </c>
      <c r="T4125" t="s">
        <v>157</v>
      </c>
      <c r="U4125" t="s">
        <v>158</v>
      </c>
      <c r="V4125" t="s">
        <v>131</v>
      </c>
      <c r="W4125" t="s">
        <v>51</v>
      </c>
      <c r="X4125" t="s">
        <v>45</v>
      </c>
      <c r="Y4125" s="1">
        <v>26542</v>
      </c>
      <c r="Z4125">
        <v>2</v>
      </c>
      <c r="AA4125" t="s">
        <v>158</v>
      </c>
      <c r="AB4125" s="40" t="s">
        <v>1799</v>
      </c>
    </row>
    <row r="4126" spans="1:28" x14ac:dyDescent="0.25">
      <c r="A4126">
        <v>99914125</v>
      </c>
      <c r="B4126" t="s">
        <v>32</v>
      </c>
      <c r="C4126" t="s">
        <v>90</v>
      </c>
      <c r="D4126" t="s">
        <v>91</v>
      </c>
      <c r="G4126" t="s">
        <v>48</v>
      </c>
      <c r="H4126">
        <v>1</v>
      </c>
      <c r="K4126" t="s">
        <v>268</v>
      </c>
      <c r="L4126" t="s">
        <v>269</v>
      </c>
      <c r="M4126" t="s">
        <v>131</v>
      </c>
      <c r="N4126">
        <v>23</v>
      </c>
      <c r="P4126" t="s">
        <v>41</v>
      </c>
      <c r="Q4126" t="s">
        <v>95</v>
      </c>
      <c r="R4126" t="str">
        <f>"7052001"</f>
        <v>7052001</v>
      </c>
      <c r="S4126" t="s">
        <v>576</v>
      </c>
      <c r="T4126" t="s">
        <v>268</v>
      </c>
      <c r="U4126" t="s">
        <v>269</v>
      </c>
      <c r="V4126" t="s">
        <v>131</v>
      </c>
      <c r="W4126" t="s">
        <v>51</v>
      </c>
      <c r="X4126" t="s">
        <v>45</v>
      </c>
      <c r="Y4126" s="1">
        <v>26498</v>
      </c>
      <c r="Z4126">
        <v>1</v>
      </c>
      <c r="AA4126" t="s">
        <v>269</v>
      </c>
      <c r="AB4126" s="40" t="s">
        <v>1799</v>
      </c>
    </row>
    <row r="4127" spans="1:28" x14ac:dyDescent="0.25">
      <c r="A4127">
        <v>99914126</v>
      </c>
      <c r="B4127" t="s">
        <v>32</v>
      </c>
      <c r="C4127" t="s">
        <v>46</v>
      </c>
      <c r="D4127" t="s">
        <v>47</v>
      </c>
      <c r="G4127" t="s">
        <v>35</v>
      </c>
      <c r="H4127">
        <v>1</v>
      </c>
      <c r="K4127" t="s">
        <v>1051</v>
      </c>
      <c r="L4127" t="s">
        <v>1052</v>
      </c>
      <c r="M4127" t="s">
        <v>1053</v>
      </c>
      <c r="N4127">
        <v>23</v>
      </c>
      <c r="P4127" t="s">
        <v>41</v>
      </c>
      <c r="Q4127" t="s">
        <v>42</v>
      </c>
      <c r="R4127" t="str">
        <f>"2061003"</f>
        <v>2061003</v>
      </c>
      <c r="S4127" t="s">
        <v>1060</v>
      </c>
      <c r="T4127" t="s">
        <v>1051</v>
      </c>
      <c r="U4127" t="s">
        <v>1052</v>
      </c>
      <c r="V4127" t="s">
        <v>1053</v>
      </c>
      <c r="W4127" t="s">
        <v>51</v>
      </c>
      <c r="X4127" t="s">
        <v>45</v>
      </c>
      <c r="Y4127" s="1">
        <v>26449</v>
      </c>
      <c r="Z4127">
        <v>2</v>
      </c>
      <c r="AA4127" t="s">
        <v>1052</v>
      </c>
      <c r="AB4127" s="40" t="s">
        <v>1799</v>
      </c>
    </row>
    <row r="4128" spans="1:28" x14ac:dyDescent="0.25">
      <c r="A4128">
        <v>99914127</v>
      </c>
      <c r="B4128" t="s">
        <v>32</v>
      </c>
      <c r="C4128" t="s">
        <v>139</v>
      </c>
      <c r="D4128" t="s">
        <v>140</v>
      </c>
      <c r="G4128" t="s">
        <v>48</v>
      </c>
      <c r="H4128">
        <v>3</v>
      </c>
      <c r="K4128" t="s">
        <v>1268</v>
      </c>
      <c r="L4128" t="s">
        <v>1269</v>
      </c>
      <c r="M4128" t="s">
        <v>1270</v>
      </c>
      <c r="N4128">
        <v>23</v>
      </c>
      <c r="P4128" t="s">
        <v>41</v>
      </c>
      <c r="Q4128" t="s">
        <v>49</v>
      </c>
      <c r="R4128" t="str">
        <f>"1960001"</f>
        <v>1960001</v>
      </c>
      <c r="S4128" t="s">
        <v>1272</v>
      </c>
      <c r="T4128" t="s">
        <v>1268</v>
      </c>
      <c r="U4128" t="s">
        <v>1269</v>
      </c>
      <c r="V4128" t="s">
        <v>1270</v>
      </c>
      <c r="W4128" t="s">
        <v>51</v>
      </c>
      <c r="X4128" t="s">
        <v>45</v>
      </c>
      <c r="Y4128" s="1">
        <v>26446</v>
      </c>
      <c r="Z4128">
        <v>2</v>
      </c>
      <c r="AA4128" t="s">
        <v>1269</v>
      </c>
      <c r="AB4128" s="40" t="s">
        <v>1799</v>
      </c>
    </row>
    <row r="4129" spans="1:28" x14ac:dyDescent="0.25">
      <c r="A4129">
        <v>99914128</v>
      </c>
      <c r="B4129" t="s">
        <v>32</v>
      </c>
      <c r="C4129" t="s">
        <v>111</v>
      </c>
      <c r="D4129" t="s">
        <v>112</v>
      </c>
      <c r="G4129" t="s">
        <v>35</v>
      </c>
      <c r="H4129">
        <v>1</v>
      </c>
      <c r="K4129" t="s">
        <v>268</v>
      </c>
      <c r="L4129" t="s">
        <v>269</v>
      </c>
      <c r="M4129" t="s">
        <v>131</v>
      </c>
      <c r="N4129">
        <v>23</v>
      </c>
      <c r="P4129" t="s">
        <v>41</v>
      </c>
      <c r="Q4129" t="s">
        <v>75</v>
      </c>
      <c r="R4129" t="str">
        <f>"7052008"</f>
        <v>7052008</v>
      </c>
      <c r="S4129" t="s">
        <v>274</v>
      </c>
      <c r="T4129" t="s">
        <v>268</v>
      </c>
      <c r="U4129" t="s">
        <v>269</v>
      </c>
      <c r="V4129" t="s">
        <v>131</v>
      </c>
      <c r="W4129" t="s">
        <v>51</v>
      </c>
      <c r="X4129" t="s">
        <v>45</v>
      </c>
      <c r="Y4129" s="1">
        <v>26418</v>
      </c>
      <c r="Z4129">
        <v>1</v>
      </c>
      <c r="AA4129" t="s">
        <v>269</v>
      </c>
      <c r="AB4129" s="40" t="s">
        <v>1799</v>
      </c>
    </row>
    <row r="4130" spans="1:28" x14ac:dyDescent="0.25">
      <c r="A4130">
        <v>99914129</v>
      </c>
      <c r="B4130" t="s">
        <v>56</v>
      </c>
      <c r="C4130" t="s">
        <v>141</v>
      </c>
      <c r="D4130" t="s">
        <v>142</v>
      </c>
      <c r="G4130" t="s">
        <v>48</v>
      </c>
      <c r="H4130">
        <v>1</v>
      </c>
      <c r="K4130" t="s">
        <v>1198</v>
      </c>
      <c r="L4130" t="s">
        <v>1199</v>
      </c>
      <c r="M4130" t="s">
        <v>1130</v>
      </c>
      <c r="N4130">
        <v>23</v>
      </c>
      <c r="P4130" t="s">
        <v>41</v>
      </c>
      <c r="Q4130" t="s">
        <v>75</v>
      </c>
      <c r="R4130" t="str">
        <f>"7311008"</f>
        <v>7311008</v>
      </c>
      <c r="S4130" t="s">
        <v>1205</v>
      </c>
      <c r="T4130" t="s">
        <v>1198</v>
      </c>
      <c r="U4130" t="s">
        <v>1199</v>
      </c>
      <c r="V4130" t="s">
        <v>1130</v>
      </c>
      <c r="W4130" t="s">
        <v>51</v>
      </c>
      <c r="X4130" t="s">
        <v>45</v>
      </c>
      <c r="Y4130" s="1">
        <v>26410</v>
      </c>
      <c r="Z4130">
        <v>1</v>
      </c>
      <c r="AA4130" t="s">
        <v>1199</v>
      </c>
      <c r="AB4130" s="40" t="s">
        <v>1799</v>
      </c>
    </row>
    <row r="4131" spans="1:28" x14ac:dyDescent="0.25">
      <c r="A4131">
        <v>99914130</v>
      </c>
      <c r="B4131" t="s">
        <v>32</v>
      </c>
      <c r="C4131" t="s">
        <v>111</v>
      </c>
      <c r="D4131" t="s">
        <v>112</v>
      </c>
      <c r="G4131" t="s">
        <v>48</v>
      </c>
      <c r="H4131">
        <v>5</v>
      </c>
      <c r="K4131" t="s">
        <v>1426</v>
      </c>
      <c r="L4131" t="s">
        <v>1427</v>
      </c>
      <c r="M4131" t="s">
        <v>1270</v>
      </c>
      <c r="N4131">
        <v>23</v>
      </c>
      <c r="P4131" t="s">
        <v>41</v>
      </c>
      <c r="Q4131" t="s">
        <v>75</v>
      </c>
      <c r="R4131" t="str">
        <f>"7192000"</f>
        <v>7192000</v>
      </c>
      <c r="S4131" t="s">
        <v>1429</v>
      </c>
      <c r="T4131" t="s">
        <v>1426</v>
      </c>
      <c r="U4131" t="s">
        <v>1427</v>
      </c>
      <c r="V4131" t="s">
        <v>1270</v>
      </c>
      <c r="W4131" t="s">
        <v>51</v>
      </c>
      <c r="X4131" t="s">
        <v>45</v>
      </c>
      <c r="Y4131" s="1">
        <v>26402</v>
      </c>
      <c r="Z4131">
        <v>1</v>
      </c>
      <c r="AA4131" t="s">
        <v>1427</v>
      </c>
      <c r="AB4131" s="40" t="s">
        <v>1799</v>
      </c>
    </row>
    <row r="4132" spans="1:28" x14ac:dyDescent="0.25">
      <c r="A4132">
        <v>99914131</v>
      </c>
      <c r="B4132" t="s">
        <v>32</v>
      </c>
      <c r="C4132" t="s">
        <v>79</v>
      </c>
      <c r="D4132" t="s">
        <v>80</v>
      </c>
      <c r="G4132" t="s">
        <v>35</v>
      </c>
      <c r="H4132">
        <v>1</v>
      </c>
      <c r="I4132">
        <v>283</v>
      </c>
      <c r="J4132" s="1">
        <v>43344</v>
      </c>
      <c r="K4132" t="s">
        <v>354</v>
      </c>
      <c r="L4132" t="s">
        <v>355</v>
      </c>
      <c r="M4132" t="s">
        <v>131</v>
      </c>
      <c r="N4132">
        <v>23</v>
      </c>
      <c r="O4132" s="1">
        <v>43344</v>
      </c>
      <c r="P4132" t="s">
        <v>41</v>
      </c>
      <c r="Q4132" t="s">
        <v>75</v>
      </c>
      <c r="R4132" t="str">
        <f>"7054016"</f>
        <v>7054016</v>
      </c>
      <c r="S4132" t="s">
        <v>768</v>
      </c>
      <c r="T4132" t="s">
        <v>354</v>
      </c>
      <c r="U4132" t="s">
        <v>355</v>
      </c>
      <c r="V4132" t="s">
        <v>131</v>
      </c>
      <c r="W4132" t="s">
        <v>51</v>
      </c>
      <c r="X4132" t="s">
        <v>45</v>
      </c>
      <c r="Y4132" s="1">
        <v>26376</v>
      </c>
      <c r="Z4132">
        <v>1</v>
      </c>
      <c r="AA4132" t="s">
        <v>355</v>
      </c>
      <c r="AB4132" s="40" t="s">
        <v>1799</v>
      </c>
    </row>
    <row r="4133" spans="1:28" x14ac:dyDescent="0.25">
      <c r="A4133">
        <v>99914132</v>
      </c>
      <c r="B4133" t="s">
        <v>56</v>
      </c>
      <c r="C4133" t="s">
        <v>52</v>
      </c>
      <c r="D4133" t="s">
        <v>53</v>
      </c>
      <c r="G4133" t="s">
        <v>35</v>
      </c>
      <c r="H4133">
        <v>1</v>
      </c>
      <c r="K4133" t="s">
        <v>223</v>
      </c>
      <c r="L4133" t="s">
        <v>224</v>
      </c>
      <c r="M4133" t="s">
        <v>131</v>
      </c>
      <c r="N4133">
        <v>23</v>
      </c>
      <c r="P4133" t="s">
        <v>41</v>
      </c>
      <c r="Q4133" t="s">
        <v>49</v>
      </c>
      <c r="R4133" t="str">
        <f>"0581207"</f>
        <v>0581207</v>
      </c>
      <c r="S4133" t="s">
        <v>233</v>
      </c>
      <c r="T4133" t="s">
        <v>223</v>
      </c>
      <c r="U4133" t="s">
        <v>224</v>
      </c>
      <c r="V4133" t="s">
        <v>131</v>
      </c>
      <c r="W4133" t="s">
        <v>51</v>
      </c>
      <c r="X4133" t="s">
        <v>45</v>
      </c>
      <c r="Y4133" s="1">
        <v>26343</v>
      </c>
      <c r="Z4133">
        <v>2</v>
      </c>
      <c r="AA4133" t="s">
        <v>224</v>
      </c>
      <c r="AB4133" s="40" t="s">
        <v>1799</v>
      </c>
    </row>
    <row r="4134" spans="1:28" x14ac:dyDescent="0.25">
      <c r="A4134">
        <v>99914133</v>
      </c>
      <c r="B4134" t="s">
        <v>32</v>
      </c>
      <c r="C4134" t="s">
        <v>46</v>
      </c>
      <c r="D4134" t="s">
        <v>47</v>
      </c>
      <c r="G4134" t="s">
        <v>35</v>
      </c>
      <c r="H4134">
        <v>1</v>
      </c>
      <c r="I4134">
        <v>4620</v>
      </c>
      <c r="J4134" s="1">
        <v>43344</v>
      </c>
      <c r="K4134" t="s">
        <v>1626</v>
      </c>
      <c r="L4134" t="s">
        <v>1627</v>
      </c>
      <c r="M4134" t="s">
        <v>1592</v>
      </c>
      <c r="N4134">
        <v>23</v>
      </c>
      <c r="O4134" s="1">
        <v>43344</v>
      </c>
      <c r="P4134" t="s">
        <v>41</v>
      </c>
      <c r="Q4134" t="s">
        <v>42</v>
      </c>
      <c r="R4134" t="str">
        <f>"3680015"</f>
        <v>3680015</v>
      </c>
      <c r="S4134" t="s">
        <v>1628</v>
      </c>
      <c r="T4134" t="s">
        <v>1626</v>
      </c>
      <c r="U4134" t="s">
        <v>1627</v>
      </c>
      <c r="V4134" t="s">
        <v>1592</v>
      </c>
      <c r="W4134" t="s">
        <v>44</v>
      </c>
      <c r="X4134" t="s">
        <v>45</v>
      </c>
      <c r="Y4134" s="1">
        <v>26302</v>
      </c>
      <c r="Z4134">
        <v>2</v>
      </c>
      <c r="AA4134" t="s">
        <v>1627</v>
      </c>
      <c r="AB4134" s="40" t="s">
        <v>1799</v>
      </c>
    </row>
    <row r="4135" spans="1:28" x14ac:dyDescent="0.25">
      <c r="A4135">
        <v>99914134</v>
      </c>
      <c r="B4135" t="s">
        <v>32</v>
      </c>
      <c r="C4135" t="s">
        <v>136</v>
      </c>
      <c r="D4135" t="s">
        <v>137</v>
      </c>
      <c r="G4135" t="s">
        <v>35</v>
      </c>
      <c r="H4135">
        <v>1</v>
      </c>
      <c r="K4135" t="s">
        <v>345</v>
      </c>
      <c r="L4135" t="s">
        <v>346</v>
      </c>
      <c r="M4135" t="s">
        <v>131</v>
      </c>
      <c r="N4135">
        <v>23</v>
      </c>
      <c r="P4135" t="s">
        <v>41</v>
      </c>
      <c r="Q4135" t="s">
        <v>49</v>
      </c>
      <c r="R4135" t="str">
        <f>"0560007"</f>
        <v>0560007</v>
      </c>
      <c r="S4135" t="s">
        <v>357</v>
      </c>
      <c r="T4135" t="s">
        <v>345</v>
      </c>
      <c r="U4135" t="s">
        <v>346</v>
      </c>
      <c r="V4135" t="s">
        <v>131</v>
      </c>
      <c r="W4135" t="s">
        <v>51</v>
      </c>
      <c r="X4135" t="s">
        <v>45</v>
      </c>
      <c r="Y4135" s="1">
        <v>26299</v>
      </c>
      <c r="Z4135">
        <v>2</v>
      </c>
      <c r="AA4135" t="s">
        <v>346</v>
      </c>
      <c r="AB4135" s="40" t="s">
        <v>1799</v>
      </c>
    </row>
    <row r="4136" spans="1:28" x14ac:dyDescent="0.25">
      <c r="A4136">
        <v>99914135</v>
      </c>
      <c r="B4136" t="s">
        <v>32</v>
      </c>
      <c r="C4136" t="s">
        <v>141</v>
      </c>
      <c r="D4136" t="s">
        <v>142</v>
      </c>
      <c r="G4136" t="s">
        <v>35</v>
      </c>
      <c r="H4136">
        <v>1</v>
      </c>
      <c r="K4136" t="s">
        <v>1341</v>
      </c>
      <c r="L4136" t="s">
        <v>1342</v>
      </c>
      <c r="M4136" t="s">
        <v>1270</v>
      </c>
      <c r="N4136">
        <v>23</v>
      </c>
      <c r="P4136" t="s">
        <v>41</v>
      </c>
      <c r="Q4136" t="s">
        <v>75</v>
      </c>
      <c r="R4136" t="str">
        <f>"7191006"</f>
        <v>7191006</v>
      </c>
      <c r="S4136" t="s">
        <v>1351</v>
      </c>
      <c r="T4136" t="s">
        <v>1341</v>
      </c>
      <c r="U4136" t="s">
        <v>1342</v>
      </c>
      <c r="V4136" t="s">
        <v>1270</v>
      </c>
      <c r="W4136" t="s">
        <v>51</v>
      </c>
      <c r="X4136" t="s">
        <v>45</v>
      </c>
      <c r="Y4136" s="1">
        <v>26299</v>
      </c>
      <c r="Z4136">
        <v>1</v>
      </c>
      <c r="AA4136" t="s">
        <v>1342</v>
      </c>
      <c r="AB4136" s="40" t="s">
        <v>1799</v>
      </c>
    </row>
    <row r="4137" spans="1:28" x14ac:dyDescent="0.25">
      <c r="A4137">
        <v>99914136</v>
      </c>
      <c r="B4137" t="s">
        <v>56</v>
      </c>
      <c r="C4137" t="s">
        <v>46</v>
      </c>
      <c r="D4137" t="s">
        <v>47</v>
      </c>
      <c r="G4137" t="s">
        <v>48</v>
      </c>
      <c r="H4137">
        <v>1</v>
      </c>
      <c r="K4137" t="s">
        <v>223</v>
      </c>
      <c r="L4137" t="s">
        <v>224</v>
      </c>
      <c r="M4137" t="s">
        <v>131</v>
      </c>
      <c r="N4137">
        <v>23</v>
      </c>
      <c r="P4137" t="s">
        <v>41</v>
      </c>
      <c r="Q4137" t="s">
        <v>49</v>
      </c>
      <c r="R4137" t="str">
        <f>"0560016"</f>
        <v>0560016</v>
      </c>
      <c r="S4137" t="s">
        <v>254</v>
      </c>
      <c r="T4137" t="s">
        <v>223</v>
      </c>
      <c r="U4137" t="s">
        <v>224</v>
      </c>
      <c r="V4137" t="s">
        <v>131</v>
      </c>
      <c r="W4137" t="s">
        <v>51</v>
      </c>
      <c r="X4137" t="s">
        <v>45</v>
      </c>
      <c r="Y4137" s="1">
        <v>26274</v>
      </c>
      <c r="Z4137">
        <v>2</v>
      </c>
      <c r="AA4137" t="s">
        <v>224</v>
      </c>
      <c r="AB4137" s="40" t="s">
        <v>1799</v>
      </c>
    </row>
    <row r="4138" spans="1:28" x14ac:dyDescent="0.25">
      <c r="A4138">
        <v>99914137</v>
      </c>
      <c r="B4138" t="s">
        <v>56</v>
      </c>
      <c r="C4138" t="s">
        <v>68</v>
      </c>
      <c r="D4138" t="s">
        <v>69</v>
      </c>
      <c r="G4138" t="s">
        <v>48</v>
      </c>
      <c r="H4138">
        <v>1</v>
      </c>
      <c r="I4138" t="s">
        <v>1501</v>
      </c>
      <c r="J4138" s="1">
        <v>42639</v>
      </c>
      <c r="K4138" t="s">
        <v>1496</v>
      </c>
      <c r="L4138" t="s">
        <v>1497</v>
      </c>
      <c r="M4138" t="s">
        <v>670</v>
      </c>
      <c r="N4138">
        <v>23</v>
      </c>
      <c r="O4138" s="1">
        <v>42639</v>
      </c>
      <c r="P4138" t="s">
        <v>41</v>
      </c>
      <c r="Q4138" t="s">
        <v>42</v>
      </c>
      <c r="R4138" t="str">
        <f>"5080015"</f>
        <v>5080015</v>
      </c>
      <c r="S4138" t="s">
        <v>1498</v>
      </c>
      <c r="T4138" t="s">
        <v>1496</v>
      </c>
      <c r="U4138" t="s">
        <v>1497</v>
      </c>
      <c r="V4138" t="s">
        <v>670</v>
      </c>
      <c r="W4138" t="s">
        <v>51</v>
      </c>
      <c r="X4138" t="s">
        <v>45</v>
      </c>
      <c r="Y4138" s="1">
        <v>26227</v>
      </c>
      <c r="Z4138">
        <v>2</v>
      </c>
      <c r="AA4138" t="s">
        <v>1497</v>
      </c>
      <c r="AB4138" s="40" t="s">
        <v>1799</v>
      </c>
    </row>
    <row r="4139" spans="1:28" x14ac:dyDescent="0.25">
      <c r="A4139">
        <v>99914138</v>
      </c>
      <c r="B4139" t="s">
        <v>56</v>
      </c>
      <c r="C4139" t="s">
        <v>85</v>
      </c>
      <c r="D4139" t="s">
        <v>86</v>
      </c>
      <c r="G4139" t="s">
        <v>48</v>
      </c>
      <c r="H4139">
        <v>1</v>
      </c>
      <c r="K4139" t="s">
        <v>157</v>
      </c>
      <c r="L4139" t="s">
        <v>158</v>
      </c>
      <c r="M4139" t="s">
        <v>131</v>
      </c>
      <c r="N4139">
        <v>23</v>
      </c>
      <c r="P4139" t="s">
        <v>41</v>
      </c>
      <c r="Q4139" t="s">
        <v>42</v>
      </c>
      <c r="R4139" t="str">
        <f>"0580735"</f>
        <v>0580735</v>
      </c>
      <c r="S4139" t="s">
        <v>180</v>
      </c>
      <c r="T4139" t="s">
        <v>157</v>
      </c>
      <c r="U4139" t="s">
        <v>158</v>
      </c>
      <c r="V4139" t="s">
        <v>131</v>
      </c>
      <c r="W4139" t="s">
        <v>51</v>
      </c>
      <c r="X4139" t="s">
        <v>45</v>
      </c>
      <c r="Y4139" s="1">
        <v>26195</v>
      </c>
      <c r="Z4139">
        <v>2</v>
      </c>
      <c r="AA4139" t="s">
        <v>158</v>
      </c>
      <c r="AB4139" s="40" t="s">
        <v>1799</v>
      </c>
    </row>
    <row r="4140" spans="1:28" x14ac:dyDescent="0.25">
      <c r="A4140">
        <v>99914139</v>
      </c>
      <c r="B4140" t="s">
        <v>32</v>
      </c>
      <c r="C4140" t="s">
        <v>90</v>
      </c>
      <c r="D4140" t="s">
        <v>91</v>
      </c>
      <c r="G4140" t="s">
        <v>35</v>
      </c>
      <c r="H4140">
        <v>1</v>
      </c>
      <c r="K4140" t="s">
        <v>195</v>
      </c>
      <c r="L4140" t="s">
        <v>196</v>
      </c>
      <c r="M4140" t="s">
        <v>131</v>
      </c>
      <c r="N4140">
        <v>23</v>
      </c>
      <c r="P4140" t="s">
        <v>41</v>
      </c>
      <c r="Q4140" t="s">
        <v>95</v>
      </c>
      <c r="R4140" t="str">
        <f>"7521109"</f>
        <v>7521109</v>
      </c>
      <c r="S4140" t="s">
        <v>569</v>
      </c>
      <c r="T4140" t="s">
        <v>195</v>
      </c>
      <c r="U4140" t="s">
        <v>196</v>
      </c>
      <c r="V4140" t="s">
        <v>131</v>
      </c>
      <c r="W4140" t="s">
        <v>165</v>
      </c>
      <c r="X4140" t="s">
        <v>45</v>
      </c>
      <c r="Y4140" s="1">
        <v>26134</v>
      </c>
      <c r="Z4140">
        <v>1</v>
      </c>
      <c r="AA4140" t="s">
        <v>196</v>
      </c>
      <c r="AB4140" s="40" t="s">
        <v>1799</v>
      </c>
    </row>
    <row r="4141" spans="1:28" x14ac:dyDescent="0.25">
      <c r="A4141">
        <v>99914140</v>
      </c>
      <c r="B4141" t="s">
        <v>56</v>
      </c>
      <c r="C4141" t="s">
        <v>52</v>
      </c>
      <c r="D4141" t="s">
        <v>53</v>
      </c>
      <c r="G4141" t="s">
        <v>48</v>
      </c>
      <c r="H4141">
        <v>1</v>
      </c>
      <c r="K4141" t="s">
        <v>345</v>
      </c>
      <c r="L4141" t="s">
        <v>346</v>
      </c>
      <c r="M4141" t="s">
        <v>131</v>
      </c>
      <c r="N4141">
        <v>23</v>
      </c>
      <c r="P4141" t="s">
        <v>41</v>
      </c>
      <c r="Q4141" t="s">
        <v>49</v>
      </c>
      <c r="R4141" t="str">
        <f>"0561021"</f>
        <v>0561021</v>
      </c>
      <c r="S4141" t="s">
        <v>352</v>
      </c>
      <c r="T4141" t="s">
        <v>345</v>
      </c>
      <c r="U4141" t="s">
        <v>346</v>
      </c>
      <c r="V4141" t="s">
        <v>131</v>
      </c>
      <c r="W4141" t="s">
        <v>51</v>
      </c>
      <c r="X4141" t="s">
        <v>45</v>
      </c>
      <c r="Y4141" s="1">
        <v>26127</v>
      </c>
      <c r="Z4141">
        <v>2</v>
      </c>
      <c r="AA4141" t="s">
        <v>346</v>
      </c>
      <c r="AB4141" s="40" t="s">
        <v>1799</v>
      </c>
    </row>
    <row r="4142" spans="1:28" x14ac:dyDescent="0.25">
      <c r="A4142">
        <v>99914141</v>
      </c>
      <c r="B4142" t="s">
        <v>32</v>
      </c>
      <c r="C4142" t="s">
        <v>64</v>
      </c>
      <c r="D4142" t="s">
        <v>65</v>
      </c>
      <c r="G4142" t="s">
        <v>48</v>
      </c>
      <c r="H4142">
        <v>7</v>
      </c>
      <c r="K4142" t="s">
        <v>877</v>
      </c>
      <c r="L4142" t="s">
        <v>878</v>
      </c>
      <c r="M4142" t="s">
        <v>131</v>
      </c>
      <c r="N4142">
        <v>23</v>
      </c>
      <c r="P4142" t="s">
        <v>41</v>
      </c>
      <c r="Q4142" t="s">
        <v>75</v>
      </c>
      <c r="R4142" t="str">
        <f>"7541004"</f>
        <v>7541004</v>
      </c>
      <c r="S4142" t="s">
        <v>889</v>
      </c>
      <c r="T4142" t="s">
        <v>877</v>
      </c>
      <c r="U4142" t="s">
        <v>878</v>
      </c>
      <c r="V4142" t="s">
        <v>131</v>
      </c>
      <c r="W4142" t="s">
        <v>51</v>
      </c>
      <c r="X4142" t="s">
        <v>45</v>
      </c>
      <c r="Y4142" s="1">
        <v>26108</v>
      </c>
      <c r="Z4142">
        <v>1</v>
      </c>
      <c r="AA4142" t="s">
        <v>878</v>
      </c>
      <c r="AB4142" s="40" t="s">
        <v>1799</v>
      </c>
    </row>
    <row r="4143" spans="1:28" x14ac:dyDescent="0.25">
      <c r="A4143">
        <v>99914142</v>
      </c>
      <c r="B4143" t="s">
        <v>32</v>
      </c>
      <c r="C4143" t="s">
        <v>111</v>
      </c>
      <c r="D4143" t="s">
        <v>112</v>
      </c>
      <c r="G4143" t="s">
        <v>35</v>
      </c>
      <c r="H4143">
        <v>1</v>
      </c>
      <c r="K4143" t="s">
        <v>268</v>
      </c>
      <c r="L4143" t="s">
        <v>269</v>
      </c>
      <c r="M4143" t="s">
        <v>131</v>
      </c>
      <c r="N4143">
        <v>23</v>
      </c>
      <c r="P4143" t="s">
        <v>41</v>
      </c>
      <c r="Q4143" t="s">
        <v>75</v>
      </c>
      <c r="R4143" t="str">
        <f>"7052008"</f>
        <v>7052008</v>
      </c>
      <c r="S4143" t="s">
        <v>274</v>
      </c>
      <c r="T4143" t="s">
        <v>268</v>
      </c>
      <c r="U4143" t="s">
        <v>269</v>
      </c>
      <c r="V4143" t="s">
        <v>131</v>
      </c>
      <c r="W4143" t="s">
        <v>51</v>
      </c>
      <c r="X4143" t="s">
        <v>45</v>
      </c>
      <c r="Y4143" s="1">
        <v>26085</v>
      </c>
      <c r="Z4143">
        <v>1</v>
      </c>
      <c r="AA4143" t="s">
        <v>269</v>
      </c>
      <c r="AB4143" s="40" t="s">
        <v>1799</v>
      </c>
    </row>
    <row r="4144" spans="1:28" x14ac:dyDescent="0.25">
      <c r="A4144">
        <v>99914143</v>
      </c>
      <c r="B4144" t="s">
        <v>32</v>
      </c>
      <c r="C4144" t="s">
        <v>90</v>
      </c>
      <c r="D4144" t="s">
        <v>91</v>
      </c>
      <c r="G4144" t="s">
        <v>48</v>
      </c>
      <c r="H4144">
        <v>1</v>
      </c>
      <c r="K4144" t="s">
        <v>354</v>
      </c>
      <c r="L4144" t="s">
        <v>355</v>
      </c>
      <c r="M4144" t="s">
        <v>131</v>
      </c>
      <c r="N4144">
        <v>23</v>
      </c>
      <c r="P4144" t="s">
        <v>41</v>
      </c>
      <c r="Q4144" t="s">
        <v>75</v>
      </c>
      <c r="R4144" t="str">
        <f>"7054002"</f>
        <v>7054002</v>
      </c>
      <c r="S4144" t="s">
        <v>376</v>
      </c>
      <c r="T4144" t="s">
        <v>354</v>
      </c>
      <c r="U4144" t="s">
        <v>355</v>
      </c>
      <c r="V4144" t="s">
        <v>131</v>
      </c>
      <c r="W4144" t="s">
        <v>51</v>
      </c>
      <c r="X4144" t="s">
        <v>45</v>
      </c>
      <c r="Y4144" s="1">
        <v>26076</v>
      </c>
      <c r="Z4144">
        <v>1</v>
      </c>
      <c r="AA4144" t="s">
        <v>355</v>
      </c>
      <c r="AB4144" s="40" t="s">
        <v>1799</v>
      </c>
    </row>
    <row r="4145" spans="1:28" x14ac:dyDescent="0.25">
      <c r="A4145">
        <v>99914144</v>
      </c>
      <c r="B4145" t="s">
        <v>32</v>
      </c>
      <c r="C4145" t="s">
        <v>79</v>
      </c>
      <c r="D4145" t="s">
        <v>80</v>
      </c>
      <c r="G4145" t="s">
        <v>35</v>
      </c>
      <c r="H4145">
        <v>1</v>
      </c>
      <c r="I4145">
        <v>9914</v>
      </c>
      <c r="J4145" s="1">
        <v>43432</v>
      </c>
      <c r="K4145" t="s">
        <v>877</v>
      </c>
      <c r="L4145" t="s">
        <v>878</v>
      </c>
      <c r="M4145" t="s">
        <v>131</v>
      </c>
      <c r="N4145">
        <v>23</v>
      </c>
      <c r="O4145" s="1">
        <v>43432</v>
      </c>
      <c r="P4145" t="s">
        <v>41</v>
      </c>
      <c r="Q4145" t="s">
        <v>95</v>
      </c>
      <c r="R4145" t="str">
        <f>"7541001"</f>
        <v>7541001</v>
      </c>
      <c r="S4145" t="s">
        <v>884</v>
      </c>
      <c r="T4145" t="s">
        <v>877</v>
      </c>
      <c r="U4145" t="s">
        <v>878</v>
      </c>
      <c r="V4145" t="s">
        <v>131</v>
      </c>
      <c r="W4145" t="s">
        <v>51</v>
      </c>
      <c r="X4145" t="s">
        <v>45</v>
      </c>
      <c r="Y4145" s="1">
        <v>26075</v>
      </c>
      <c r="Z4145">
        <v>1</v>
      </c>
      <c r="AA4145" t="s">
        <v>878</v>
      </c>
      <c r="AB4145" s="40" t="s">
        <v>1799</v>
      </c>
    </row>
    <row r="4146" spans="1:28" x14ac:dyDescent="0.25">
      <c r="A4146">
        <v>99914145</v>
      </c>
      <c r="B4146" t="s">
        <v>56</v>
      </c>
      <c r="C4146" t="s">
        <v>52</v>
      </c>
      <c r="D4146" t="s">
        <v>53</v>
      </c>
      <c r="G4146" t="s">
        <v>35</v>
      </c>
      <c r="H4146">
        <v>1</v>
      </c>
      <c r="K4146" t="s">
        <v>157</v>
      </c>
      <c r="L4146" t="s">
        <v>158</v>
      </c>
      <c r="M4146" t="s">
        <v>131</v>
      </c>
      <c r="N4146">
        <v>23</v>
      </c>
      <c r="P4146" t="s">
        <v>41</v>
      </c>
      <c r="Q4146" t="s">
        <v>49</v>
      </c>
      <c r="R4146" t="str">
        <f>"0581725"</f>
        <v>0581725</v>
      </c>
      <c r="S4146" t="s">
        <v>161</v>
      </c>
      <c r="T4146" t="s">
        <v>157</v>
      </c>
      <c r="U4146" t="s">
        <v>158</v>
      </c>
      <c r="V4146" t="s">
        <v>131</v>
      </c>
      <c r="W4146" t="s">
        <v>51</v>
      </c>
      <c r="X4146" t="s">
        <v>45</v>
      </c>
      <c r="Y4146" s="1">
        <v>26063</v>
      </c>
      <c r="Z4146">
        <v>2</v>
      </c>
      <c r="AA4146" t="s">
        <v>158</v>
      </c>
      <c r="AB4146" s="40" t="s">
        <v>1799</v>
      </c>
    </row>
    <row r="4147" spans="1:28" x14ac:dyDescent="0.25">
      <c r="A4147">
        <v>99914146</v>
      </c>
      <c r="B4147" t="s">
        <v>32</v>
      </c>
      <c r="C4147" t="s">
        <v>33</v>
      </c>
      <c r="D4147" t="s">
        <v>34</v>
      </c>
      <c r="G4147" t="s">
        <v>35</v>
      </c>
      <c r="H4147">
        <v>1</v>
      </c>
      <c r="I4147" t="s">
        <v>1166</v>
      </c>
      <c r="J4147" s="1">
        <v>43049</v>
      </c>
      <c r="K4147" t="s">
        <v>1128</v>
      </c>
      <c r="L4147" t="s">
        <v>1129</v>
      </c>
      <c r="M4147" t="s">
        <v>1130</v>
      </c>
      <c r="N4147">
        <v>23</v>
      </c>
      <c r="O4147" s="1">
        <v>43049</v>
      </c>
      <c r="P4147" t="s">
        <v>41</v>
      </c>
      <c r="Q4147" t="s">
        <v>42</v>
      </c>
      <c r="R4147" t="str">
        <f>"3180010"</f>
        <v>3180010</v>
      </c>
      <c r="S4147" t="s">
        <v>1132</v>
      </c>
      <c r="T4147" t="s">
        <v>1128</v>
      </c>
      <c r="U4147" t="s">
        <v>1129</v>
      </c>
      <c r="V4147" t="s">
        <v>1130</v>
      </c>
      <c r="W4147" t="s">
        <v>44</v>
      </c>
      <c r="X4147" t="s">
        <v>45</v>
      </c>
      <c r="Y4147" s="1">
        <v>26048</v>
      </c>
      <c r="Z4147">
        <v>2</v>
      </c>
      <c r="AA4147" t="s">
        <v>1129</v>
      </c>
      <c r="AB4147" s="40" t="s">
        <v>1799</v>
      </c>
    </row>
    <row r="4148" spans="1:28" x14ac:dyDescent="0.25">
      <c r="A4148">
        <v>99914147</v>
      </c>
      <c r="B4148" t="s">
        <v>32</v>
      </c>
      <c r="C4148" t="s">
        <v>90</v>
      </c>
      <c r="D4148" t="s">
        <v>91</v>
      </c>
      <c r="E4148" t="s">
        <v>111</v>
      </c>
      <c r="F4148" t="s">
        <v>112</v>
      </c>
      <c r="G4148" t="s">
        <v>35</v>
      </c>
      <c r="H4148">
        <v>1</v>
      </c>
      <c r="K4148" t="s">
        <v>268</v>
      </c>
      <c r="L4148" t="s">
        <v>269</v>
      </c>
      <c r="M4148" t="s">
        <v>131</v>
      </c>
      <c r="N4148">
        <v>23</v>
      </c>
      <c r="P4148" t="s">
        <v>41</v>
      </c>
      <c r="Q4148" t="s">
        <v>75</v>
      </c>
      <c r="R4148" t="str">
        <f>"7052028"</f>
        <v>7052028</v>
      </c>
      <c r="S4148" t="s">
        <v>601</v>
      </c>
      <c r="T4148" t="s">
        <v>268</v>
      </c>
      <c r="U4148" t="s">
        <v>269</v>
      </c>
      <c r="V4148" t="s">
        <v>131</v>
      </c>
      <c r="W4148" t="s">
        <v>51</v>
      </c>
      <c r="X4148" t="s">
        <v>45</v>
      </c>
      <c r="Y4148" s="1">
        <v>25992</v>
      </c>
      <c r="Z4148">
        <v>1</v>
      </c>
      <c r="AA4148" t="s">
        <v>269</v>
      </c>
      <c r="AB4148" s="40" t="s">
        <v>1799</v>
      </c>
    </row>
    <row r="4149" spans="1:28" x14ac:dyDescent="0.25">
      <c r="A4149">
        <v>99914148</v>
      </c>
      <c r="B4149" t="s">
        <v>56</v>
      </c>
      <c r="C4149" t="s">
        <v>52</v>
      </c>
      <c r="D4149" t="s">
        <v>53</v>
      </c>
      <c r="G4149" t="s">
        <v>48</v>
      </c>
      <c r="H4149">
        <v>1</v>
      </c>
      <c r="K4149" t="s">
        <v>162</v>
      </c>
      <c r="L4149" t="s">
        <v>158</v>
      </c>
      <c r="M4149" t="s">
        <v>131</v>
      </c>
      <c r="N4149">
        <v>23</v>
      </c>
      <c r="P4149" t="s">
        <v>41</v>
      </c>
      <c r="Q4149" t="s">
        <v>42</v>
      </c>
      <c r="R4149" t="str">
        <f>"0580310"</f>
        <v>0580310</v>
      </c>
      <c r="S4149" t="s">
        <v>173</v>
      </c>
      <c r="T4149" t="s">
        <v>162</v>
      </c>
      <c r="U4149" t="s">
        <v>158</v>
      </c>
      <c r="V4149" t="s">
        <v>131</v>
      </c>
      <c r="W4149" t="s">
        <v>51</v>
      </c>
      <c r="X4149" t="s">
        <v>45</v>
      </c>
      <c r="Y4149" s="1">
        <v>25953</v>
      </c>
      <c r="Z4149">
        <v>2</v>
      </c>
      <c r="AA4149" t="s">
        <v>158</v>
      </c>
      <c r="AB4149" s="40" t="s">
        <v>1799</v>
      </c>
    </row>
    <row r="4150" spans="1:28" x14ac:dyDescent="0.25">
      <c r="A4150">
        <v>99914149</v>
      </c>
      <c r="B4150" t="s">
        <v>32</v>
      </c>
      <c r="C4150" t="s">
        <v>90</v>
      </c>
      <c r="D4150" t="s">
        <v>91</v>
      </c>
      <c r="G4150" t="s">
        <v>48</v>
      </c>
      <c r="H4150">
        <v>1</v>
      </c>
      <c r="K4150" t="s">
        <v>1198</v>
      </c>
      <c r="L4150" t="s">
        <v>1199</v>
      </c>
      <c r="M4150" t="s">
        <v>1130</v>
      </c>
      <c r="N4150">
        <v>23</v>
      </c>
      <c r="P4150" t="s">
        <v>41</v>
      </c>
      <c r="Q4150" t="s">
        <v>75</v>
      </c>
      <c r="R4150" t="str">
        <f>"7311006"</f>
        <v>7311006</v>
      </c>
      <c r="S4150" t="s">
        <v>1200</v>
      </c>
      <c r="T4150" t="s">
        <v>1198</v>
      </c>
      <c r="U4150" t="s">
        <v>1199</v>
      </c>
      <c r="V4150" t="s">
        <v>1130</v>
      </c>
      <c r="W4150" t="s">
        <v>51</v>
      </c>
      <c r="X4150" t="s">
        <v>45</v>
      </c>
      <c r="Y4150" s="1">
        <v>25941</v>
      </c>
      <c r="Z4150">
        <v>1</v>
      </c>
      <c r="AA4150" t="s">
        <v>1199</v>
      </c>
      <c r="AB4150" s="40" t="s">
        <v>1799</v>
      </c>
    </row>
    <row r="4151" spans="1:28" x14ac:dyDescent="0.25">
      <c r="A4151">
        <v>99914150</v>
      </c>
      <c r="B4151" t="s">
        <v>32</v>
      </c>
      <c r="C4151" t="s">
        <v>141</v>
      </c>
      <c r="D4151" t="s">
        <v>142</v>
      </c>
      <c r="G4151" t="s">
        <v>48</v>
      </c>
      <c r="H4151">
        <v>8</v>
      </c>
      <c r="K4151" t="s">
        <v>877</v>
      </c>
      <c r="L4151" t="s">
        <v>878</v>
      </c>
      <c r="M4151" t="s">
        <v>131</v>
      </c>
      <c r="N4151">
        <v>23</v>
      </c>
      <c r="P4151" t="s">
        <v>41</v>
      </c>
      <c r="Q4151" t="s">
        <v>75</v>
      </c>
      <c r="R4151" t="str">
        <f>"7541004"</f>
        <v>7541004</v>
      </c>
      <c r="S4151" t="s">
        <v>889</v>
      </c>
      <c r="T4151" t="s">
        <v>877</v>
      </c>
      <c r="U4151" t="s">
        <v>878</v>
      </c>
      <c r="V4151" t="s">
        <v>131</v>
      </c>
      <c r="W4151" t="s">
        <v>51</v>
      </c>
      <c r="X4151" t="s">
        <v>45</v>
      </c>
      <c r="Y4151" s="1">
        <v>25912</v>
      </c>
      <c r="Z4151">
        <v>1</v>
      </c>
      <c r="AA4151" t="s">
        <v>878</v>
      </c>
      <c r="AB4151" s="40" t="s">
        <v>1799</v>
      </c>
    </row>
    <row r="4152" spans="1:28" x14ac:dyDescent="0.25">
      <c r="A4152">
        <v>99914151</v>
      </c>
      <c r="B4152" t="s">
        <v>56</v>
      </c>
      <c r="C4152" t="s">
        <v>79</v>
      </c>
      <c r="D4152" t="s">
        <v>80</v>
      </c>
      <c r="G4152" t="s">
        <v>48</v>
      </c>
      <c r="H4152">
        <v>1</v>
      </c>
      <c r="K4152" t="s">
        <v>667</v>
      </c>
      <c r="L4152" t="s">
        <v>669</v>
      </c>
      <c r="M4152" t="s">
        <v>670</v>
      </c>
      <c r="N4152">
        <v>23</v>
      </c>
      <c r="P4152" t="s">
        <v>41</v>
      </c>
      <c r="Q4152" t="s">
        <v>75</v>
      </c>
      <c r="R4152" t="str">
        <f>"7501000"</f>
        <v>7501000</v>
      </c>
      <c r="S4152" t="s">
        <v>668</v>
      </c>
      <c r="T4152" t="s">
        <v>667</v>
      </c>
      <c r="U4152" t="s">
        <v>669</v>
      </c>
      <c r="V4152" t="s">
        <v>670</v>
      </c>
      <c r="W4152" t="s">
        <v>51</v>
      </c>
      <c r="X4152" t="s">
        <v>45</v>
      </c>
      <c r="Y4152" s="1">
        <v>25838</v>
      </c>
      <c r="Z4152">
        <v>1</v>
      </c>
      <c r="AA4152" t="s">
        <v>669</v>
      </c>
      <c r="AB4152" s="40" t="s">
        <v>1799</v>
      </c>
    </row>
    <row r="4153" spans="1:28" x14ac:dyDescent="0.25">
      <c r="A4153">
        <v>99914152</v>
      </c>
      <c r="B4153" t="s">
        <v>32</v>
      </c>
      <c r="C4153" t="s">
        <v>46</v>
      </c>
      <c r="D4153" t="s">
        <v>47</v>
      </c>
      <c r="G4153" t="s">
        <v>48</v>
      </c>
      <c r="H4153">
        <v>1</v>
      </c>
      <c r="K4153" t="s">
        <v>162</v>
      </c>
      <c r="L4153" t="s">
        <v>158</v>
      </c>
      <c r="M4153" t="s">
        <v>131</v>
      </c>
      <c r="N4153">
        <v>23</v>
      </c>
      <c r="P4153" t="s">
        <v>41</v>
      </c>
      <c r="Q4153" t="s">
        <v>42</v>
      </c>
      <c r="R4153" t="str">
        <f>"0580310"</f>
        <v>0580310</v>
      </c>
      <c r="S4153" t="s">
        <v>173</v>
      </c>
      <c r="T4153" t="s">
        <v>162</v>
      </c>
      <c r="U4153" t="s">
        <v>158</v>
      </c>
      <c r="V4153" t="s">
        <v>131</v>
      </c>
      <c r="W4153" t="s">
        <v>51</v>
      </c>
      <c r="X4153" t="s">
        <v>45</v>
      </c>
      <c r="Y4153" s="1">
        <v>25824</v>
      </c>
      <c r="Z4153">
        <v>2</v>
      </c>
      <c r="AA4153" t="s">
        <v>158</v>
      </c>
      <c r="AB4153" s="40" t="s">
        <v>1799</v>
      </c>
    </row>
    <row r="4154" spans="1:28" x14ac:dyDescent="0.25">
      <c r="A4154">
        <v>99914153</v>
      </c>
      <c r="B4154" t="s">
        <v>32</v>
      </c>
      <c r="C4154" t="s">
        <v>85</v>
      </c>
      <c r="D4154" t="s">
        <v>86</v>
      </c>
      <c r="G4154" t="s">
        <v>35</v>
      </c>
      <c r="H4154">
        <v>1</v>
      </c>
      <c r="K4154" t="s">
        <v>1051</v>
      </c>
      <c r="L4154" t="s">
        <v>1052</v>
      </c>
      <c r="M4154" t="s">
        <v>1053</v>
      </c>
      <c r="N4154">
        <v>23</v>
      </c>
      <c r="P4154" t="s">
        <v>41</v>
      </c>
      <c r="Q4154" t="s">
        <v>49</v>
      </c>
      <c r="R4154" t="str">
        <f>"2060005"</f>
        <v>2060005</v>
      </c>
      <c r="S4154" t="s">
        <v>1054</v>
      </c>
      <c r="T4154" t="s">
        <v>1051</v>
      </c>
      <c r="U4154" t="s">
        <v>1052</v>
      </c>
      <c r="V4154" t="s">
        <v>1053</v>
      </c>
      <c r="W4154" t="s">
        <v>51</v>
      </c>
      <c r="X4154" t="s">
        <v>45</v>
      </c>
      <c r="Y4154" s="1">
        <v>25807</v>
      </c>
      <c r="Z4154">
        <v>2</v>
      </c>
      <c r="AA4154" t="s">
        <v>1052</v>
      </c>
      <c r="AB4154" s="40" t="s">
        <v>1799</v>
      </c>
    </row>
    <row r="4155" spans="1:28" x14ac:dyDescent="0.25">
      <c r="A4155">
        <v>99914154</v>
      </c>
      <c r="B4155" t="s">
        <v>56</v>
      </c>
      <c r="C4155" t="s">
        <v>90</v>
      </c>
      <c r="D4155" t="s">
        <v>91</v>
      </c>
      <c r="G4155" t="s">
        <v>35</v>
      </c>
      <c r="H4155">
        <v>1</v>
      </c>
      <c r="K4155" t="s">
        <v>431</v>
      </c>
      <c r="L4155" t="s">
        <v>196</v>
      </c>
      <c r="M4155" t="s">
        <v>131</v>
      </c>
      <c r="N4155">
        <v>23</v>
      </c>
      <c r="P4155" t="s">
        <v>41</v>
      </c>
      <c r="Q4155" t="s">
        <v>75</v>
      </c>
      <c r="R4155" t="str">
        <f>"7521032"</f>
        <v>7521032</v>
      </c>
      <c r="S4155" t="s">
        <v>462</v>
      </c>
      <c r="T4155" t="s">
        <v>431</v>
      </c>
      <c r="U4155" t="s">
        <v>196</v>
      </c>
      <c r="V4155" t="s">
        <v>131</v>
      </c>
      <c r="W4155" t="s">
        <v>51</v>
      </c>
      <c r="X4155" t="s">
        <v>45</v>
      </c>
      <c r="Y4155" s="1">
        <v>25793</v>
      </c>
      <c r="Z4155">
        <v>1</v>
      </c>
      <c r="AA4155" t="s">
        <v>196</v>
      </c>
      <c r="AB4155" s="40" t="s">
        <v>1799</v>
      </c>
    </row>
    <row r="4156" spans="1:28" x14ac:dyDescent="0.25">
      <c r="A4156">
        <v>99914155</v>
      </c>
      <c r="B4156" t="s">
        <v>32</v>
      </c>
      <c r="C4156" t="s">
        <v>139</v>
      </c>
      <c r="D4156" t="s">
        <v>140</v>
      </c>
      <c r="G4156" t="s">
        <v>48</v>
      </c>
      <c r="H4156">
        <v>1</v>
      </c>
      <c r="K4156" t="s">
        <v>223</v>
      </c>
      <c r="L4156" t="s">
        <v>224</v>
      </c>
      <c r="M4156" t="s">
        <v>131</v>
      </c>
      <c r="N4156">
        <v>23</v>
      </c>
      <c r="P4156" t="s">
        <v>41</v>
      </c>
      <c r="Q4156" t="s">
        <v>75</v>
      </c>
      <c r="R4156" t="str">
        <f>"7052012"</f>
        <v>7052012</v>
      </c>
      <c r="S4156" t="s">
        <v>270</v>
      </c>
      <c r="T4156" t="s">
        <v>268</v>
      </c>
      <c r="U4156" t="s">
        <v>269</v>
      </c>
      <c r="V4156" t="s">
        <v>131</v>
      </c>
      <c r="W4156" t="s">
        <v>51</v>
      </c>
      <c r="X4156" t="s">
        <v>45</v>
      </c>
      <c r="Y4156" s="1">
        <v>25769</v>
      </c>
      <c r="Z4156">
        <v>2</v>
      </c>
      <c r="AA4156" t="s">
        <v>224</v>
      </c>
      <c r="AB4156" s="40" t="s">
        <v>1799</v>
      </c>
    </row>
    <row r="4157" spans="1:28" x14ac:dyDescent="0.25">
      <c r="A4157">
        <v>99914156</v>
      </c>
      <c r="B4157" t="s">
        <v>56</v>
      </c>
      <c r="C4157" t="s">
        <v>79</v>
      </c>
      <c r="D4157" t="s">
        <v>80</v>
      </c>
      <c r="G4157" t="s">
        <v>48</v>
      </c>
      <c r="H4157">
        <v>1</v>
      </c>
      <c r="K4157" t="s">
        <v>268</v>
      </c>
      <c r="L4157" t="s">
        <v>269</v>
      </c>
      <c r="M4157" t="s">
        <v>131</v>
      </c>
      <c r="N4157">
        <v>23</v>
      </c>
      <c r="P4157" t="s">
        <v>41</v>
      </c>
      <c r="Q4157" t="s">
        <v>75</v>
      </c>
      <c r="R4157" t="str">
        <f>"7052016"</f>
        <v>7052016</v>
      </c>
      <c r="S4157" t="s">
        <v>588</v>
      </c>
      <c r="T4157" t="s">
        <v>268</v>
      </c>
      <c r="U4157" t="s">
        <v>269</v>
      </c>
      <c r="V4157" t="s">
        <v>131</v>
      </c>
      <c r="W4157" t="s">
        <v>51</v>
      </c>
      <c r="X4157" t="s">
        <v>45</v>
      </c>
      <c r="Y4157" s="1">
        <v>25766</v>
      </c>
      <c r="Z4157">
        <v>1</v>
      </c>
      <c r="AA4157" t="s">
        <v>269</v>
      </c>
      <c r="AB4157" s="40" t="s">
        <v>1799</v>
      </c>
    </row>
    <row r="4158" spans="1:28" x14ac:dyDescent="0.25">
      <c r="A4158">
        <v>99914157</v>
      </c>
      <c r="B4158" t="s">
        <v>32</v>
      </c>
      <c r="C4158" t="s">
        <v>64</v>
      </c>
      <c r="D4158" t="s">
        <v>65</v>
      </c>
      <c r="G4158" t="s">
        <v>35</v>
      </c>
      <c r="H4158">
        <v>1</v>
      </c>
      <c r="K4158" t="s">
        <v>268</v>
      </c>
      <c r="L4158" t="s">
        <v>269</v>
      </c>
      <c r="M4158" t="s">
        <v>131</v>
      </c>
      <c r="N4158">
        <v>23</v>
      </c>
      <c r="P4158" t="s">
        <v>41</v>
      </c>
      <c r="Q4158" t="s">
        <v>75</v>
      </c>
      <c r="R4158" t="str">
        <f>"7052010"</f>
        <v>7052010</v>
      </c>
      <c r="S4158" t="s">
        <v>615</v>
      </c>
      <c r="T4158" t="s">
        <v>268</v>
      </c>
      <c r="U4158" t="s">
        <v>269</v>
      </c>
      <c r="V4158" t="s">
        <v>131</v>
      </c>
      <c r="W4158" t="s">
        <v>51</v>
      </c>
      <c r="X4158" t="s">
        <v>45</v>
      </c>
      <c r="Y4158" s="1">
        <v>25701</v>
      </c>
      <c r="Z4158">
        <v>1</v>
      </c>
      <c r="AA4158" t="s">
        <v>269</v>
      </c>
      <c r="AB4158" s="40" t="s">
        <v>1799</v>
      </c>
    </row>
    <row r="4159" spans="1:28" x14ac:dyDescent="0.25">
      <c r="A4159">
        <v>99914158</v>
      </c>
      <c r="B4159" t="s">
        <v>32</v>
      </c>
      <c r="C4159" t="s">
        <v>46</v>
      </c>
      <c r="D4159" t="s">
        <v>47</v>
      </c>
      <c r="G4159" t="s">
        <v>35</v>
      </c>
      <c r="H4159">
        <v>3</v>
      </c>
      <c r="K4159" t="s">
        <v>345</v>
      </c>
      <c r="L4159" t="s">
        <v>346</v>
      </c>
      <c r="M4159" t="s">
        <v>131</v>
      </c>
      <c r="N4159">
        <v>23</v>
      </c>
      <c r="P4159" t="s">
        <v>41</v>
      </c>
      <c r="Q4159" t="s">
        <v>42</v>
      </c>
      <c r="R4159" t="str">
        <f>"0561006"</f>
        <v>0561006</v>
      </c>
      <c r="S4159" t="s">
        <v>360</v>
      </c>
      <c r="T4159" t="s">
        <v>345</v>
      </c>
      <c r="U4159" t="s">
        <v>346</v>
      </c>
      <c r="V4159" t="s">
        <v>131</v>
      </c>
      <c r="W4159" t="s">
        <v>51</v>
      </c>
      <c r="X4159" t="s">
        <v>45</v>
      </c>
      <c r="Y4159" s="1">
        <v>25671</v>
      </c>
      <c r="Z4159">
        <v>2</v>
      </c>
      <c r="AA4159" t="s">
        <v>346</v>
      </c>
      <c r="AB4159" s="40" t="s">
        <v>1799</v>
      </c>
    </row>
    <row r="4160" spans="1:28" x14ac:dyDescent="0.25">
      <c r="A4160">
        <v>99914159</v>
      </c>
      <c r="B4160" t="s">
        <v>56</v>
      </c>
      <c r="C4160" t="s">
        <v>139</v>
      </c>
      <c r="D4160" t="s">
        <v>140</v>
      </c>
      <c r="G4160" t="s">
        <v>35</v>
      </c>
      <c r="H4160">
        <v>1</v>
      </c>
      <c r="I4160">
        <v>0</v>
      </c>
      <c r="J4160" s="1">
        <v>43344</v>
      </c>
      <c r="K4160" t="s">
        <v>223</v>
      </c>
      <c r="L4160" t="s">
        <v>224</v>
      </c>
      <c r="M4160" t="s">
        <v>131</v>
      </c>
      <c r="N4160">
        <v>23</v>
      </c>
      <c r="O4160" s="1">
        <v>43344</v>
      </c>
      <c r="P4160" t="s">
        <v>41</v>
      </c>
      <c r="Q4160" t="s">
        <v>49</v>
      </c>
      <c r="R4160" t="str">
        <f>"0561022"</f>
        <v>0561022</v>
      </c>
      <c r="S4160" t="s">
        <v>225</v>
      </c>
      <c r="T4160" t="s">
        <v>223</v>
      </c>
      <c r="U4160" t="s">
        <v>224</v>
      </c>
      <c r="V4160" t="s">
        <v>131</v>
      </c>
      <c r="W4160" t="s">
        <v>44</v>
      </c>
      <c r="X4160" t="s">
        <v>45</v>
      </c>
      <c r="Y4160" s="1">
        <v>25669</v>
      </c>
      <c r="Z4160">
        <v>2</v>
      </c>
      <c r="AA4160" t="s">
        <v>224</v>
      </c>
      <c r="AB4160" s="40" t="s">
        <v>1799</v>
      </c>
    </row>
    <row r="4161" spans="1:28" x14ac:dyDescent="0.25">
      <c r="A4161">
        <v>99914160</v>
      </c>
      <c r="B4161" t="s">
        <v>56</v>
      </c>
      <c r="C4161" t="s">
        <v>79</v>
      </c>
      <c r="D4161" t="s">
        <v>80</v>
      </c>
      <c r="G4161" t="s">
        <v>48</v>
      </c>
      <c r="H4161">
        <v>5</v>
      </c>
      <c r="I4161" t="s">
        <v>487</v>
      </c>
      <c r="J4161" s="1">
        <v>40422</v>
      </c>
      <c r="K4161" t="s">
        <v>195</v>
      </c>
      <c r="L4161" t="s">
        <v>196</v>
      </c>
      <c r="M4161" t="s">
        <v>131</v>
      </c>
      <c r="N4161">
        <v>23</v>
      </c>
      <c r="O4161" s="1">
        <v>40422</v>
      </c>
      <c r="P4161" t="s">
        <v>41</v>
      </c>
      <c r="Q4161" t="s">
        <v>75</v>
      </c>
      <c r="R4161" t="str">
        <f>"7521050"</f>
        <v>7521050</v>
      </c>
      <c r="S4161" t="s">
        <v>194</v>
      </c>
      <c r="T4161" t="s">
        <v>195</v>
      </c>
      <c r="U4161" t="s">
        <v>196</v>
      </c>
      <c r="V4161" t="s">
        <v>131</v>
      </c>
      <c r="W4161" t="s">
        <v>51</v>
      </c>
      <c r="X4161" t="s">
        <v>45</v>
      </c>
      <c r="Y4161" s="1">
        <v>25664</v>
      </c>
      <c r="Z4161">
        <v>1</v>
      </c>
      <c r="AA4161" t="s">
        <v>196</v>
      </c>
      <c r="AB4161" s="40" t="s">
        <v>1799</v>
      </c>
    </row>
    <row r="4162" spans="1:28" x14ac:dyDescent="0.25">
      <c r="A4162">
        <v>99914161</v>
      </c>
      <c r="B4162" t="s">
        <v>32</v>
      </c>
      <c r="C4162" t="s">
        <v>139</v>
      </c>
      <c r="D4162" t="s">
        <v>140</v>
      </c>
      <c r="G4162" t="s">
        <v>35</v>
      </c>
      <c r="H4162">
        <v>10</v>
      </c>
      <c r="K4162" t="s">
        <v>268</v>
      </c>
      <c r="L4162" t="s">
        <v>269</v>
      </c>
      <c r="M4162" t="s">
        <v>131</v>
      </c>
      <c r="N4162">
        <v>23</v>
      </c>
      <c r="P4162" t="s">
        <v>41</v>
      </c>
      <c r="Q4162" t="s">
        <v>75</v>
      </c>
      <c r="R4162" t="str">
        <f>"7052006"</f>
        <v>7052006</v>
      </c>
      <c r="S4162" t="s">
        <v>575</v>
      </c>
      <c r="T4162" t="s">
        <v>268</v>
      </c>
      <c r="U4162" t="s">
        <v>269</v>
      </c>
      <c r="V4162" t="s">
        <v>131</v>
      </c>
      <c r="W4162" t="s">
        <v>51</v>
      </c>
      <c r="X4162" t="s">
        <v>45</v>
      </c>
      <c r="Y4162" s="1">
        <v>25625</v>
      </c>
      <c r="Z4162">
        <v>1</v>
      </c>
      <c r="AA4162" t="s">
        <v>269</v>
      </c>
      <c r="AB4162" s="40" t="s">
        <v>1799</v>
      </c>
    </row>
    <row r="4163" spans="1:28" x14ac:dyDescent="0.25">
      <c r="A4163">
        <v>99914162</v>
      </c>
      <c r="B4163" t="s">
        <v>32</v>
      </c>
      <c r="C4163" t="s">
        <v>64</v>
      </c>
      <c r="D4163" t="s">
        <v>65</v>
      </c>
      <c r="G4163" t="s">
        <v>48</v>
      </c>
      <c r="H4163">
        <v>2</v>
      </c>
      <c r="K4163" t="s">
        <v>345</v>
      </c>
      <c r="L4163" t="s">
        <v>346</v>
      </c>
      <c r="M4163" t="s">
        <v>131</v>
      </c>
      <c r="N4163">
        <v>23</v>
      </c>
      <c r="P4163" t="s">
        <v>41</v>
      </c>
      <c r="Q4163" t="s">
        <v>49</v>
      </c>
      <c r="R4163" t="str">
        <f>"0561021"</f>
        <v>0561021</v>
      </c>
      <c r="S4163" t="s">
        <v>352</v>
      </c>
      <c r="T4163" t="s">
        <v>345</v>
      </c>
      <c r="U4163" t="s">
        <v>346</v>
      </c>
      <c r="V4163" t="s">
        <v>131</v>
      </c>
      <c r="W4163" t="s">
        <v>51</v>
      </c>
      <c r="X4163" t="s">
        <v>45</v>
      </c>
      <c r="Y4163" s="1">
        <v>25569</v>
      </c>
      <c r="Z4163">
        <v>2</v>
      </c>
      <c r="AA4163" t="s">
        <v>346</v>
      </c>
      <c r="AB4163" s="40" t="s">
        <v>1799</v>
      </c>
    </row>
    <row r="4164" spans="1:28" x14ac:dyDescent="0.25">
      <c r="A4164">
        <v>99914163</v>
      </c>
      <c r="B4164" t="s">
        <v>32</v>
      </c>
      <c r="C4164" t="s">
        <v>111</v>
      </c>
      <c r="D4164" t="s">
        <v>112</v>
      </c>
      <c r="G4164" t="s">
        <v>48</v>
      </c>
      <c r="H4164">
        <v>6</v>
      </c>
      <c r="K4164" t="s">
        <v>195</v>
      </c>
      <c r="L4164" t="s">
        <v>196</v>
      </c>
      <c r="M4164" t="s">
        <v>131</v>
      </c>
      <c r="N4164">
        <v>23</v>
      </c>
      <c r="O4164" s="1">
        <v>40480</v>
      </c>
      <c r="P4164" t="s">
        <v>41</v>
      </c>
      <c r="Q4164" t="s">
        <v>75</v>
      </c>
      <c r="R4164" t="str">
        <f>"7521042"</f>
        <v>7521042</v>
      </c>
      <c r="S4164" t="s">
        <v>440</v>
      </c>
      <c r="T4164" t="s">
        <v>195</v>
      </c>
      <c r="U4164" t="s">
        <v>196</v>
      </c>
      <c r="V4164" t="s">
        <v>131</v>
      </c>
      <c r="W4164" t="s">
        <v>165</v>
      </c>
      <c r="X4164" t="s">
        <v>45</v>
      </c>
      <c r="Y4164" s="1">
        <v>25569</v>
      </c>
      <c r="Z4164">
        <v>1</v>
      </c>
      <c r="AA4164" t="s">
        <v>196</v>
      </c>
      <c r="AB4164" s="40" t="s">
        <v>1799</v>
      </c>
    </row>
    <row r="4165" spans="1:28" x14ac:dyDescent="0.25">
      <c r="A4165">
        <v>99914164</v>
      </c>
      <c r="B4165" t="s">
        <v>32</v>
      </c>
      <c r="C4165" t="s">
        <v>79</v>
      </c>
      <c r="D4165" t="s">
        <v>80</v>
      </c>
      <c r="G4165" t="s">
        <v>48</v>
      </c>
      <c r="H4165">
        <v>1</v>
      </c>
      <c r="K4165" t="s">
        <v>1198</v>
      </c>
      <c r="L4165" t="s">
        <v>1199</v>
      </c>
      <c r="M4165" t="s">
        <v>1130</v>
      </c>
      <c r="N4165">
        <v>23</v>
      </c>
      <c r="P4165" t="s">
        <v>41</v>
      </c>
      <c r="Q4165" t="s">
        <v>75</v>
      </c>
      <c r="R4165" t="str">
        <f>"7311010"</f>
        <v>7311010</v>
      </c>
      <c r="S4165" t="s">
        <v>1202</v>
      </c>
      <c r="T4165" t="s">
        <v>1198</v>
      </c>
      <c r="U4165" t="s">
        <v>1199</v>
      </c>
      <c r="V4165" t="s">
        <v>1130</v>
      </c>
      <c r="W4165" t="s">
        <v>51</v>
      </c>
      <c r="X4165" t="s">
        <v>45</v>
      </c>
      <c r="Y4165" s="1">
        <v>25569</v>
      </c>
      <c r="Z4165">
        <v>1</v>
      </c>
      <c r="AA4165" t="s">
        <v>1199</v>
      </c>
      <c r="AB4165" s="40" t="s">
        <v>1799</v>
      </c>
    </row>
    <row r="4166" spans="1:28" x14ac:dyDescent="0.25">
      <c r="A4166">
        <v>99914165</v>
      </c>
      <c r="B4166" t="s">
        <v>56</v>
      </c>
      <c r="C4166" t="s">
        <v>79</v>
      </c>
      <c r="D4166" t="s">
        <v>80</v>
      </c>
      <c r="G4166" t="s">
        <v>48</v>
      </c>
      <c r="H4166">
        <v>5</v>
      </c>
      <c r="I4166" t="s">
        <v>441</v>
      </c>
      <c r="J4166" s="1">
        <v>40422</v>
      </c>
      <c r="K4166" t="s">
        <v>195</v>
      </c>
      <c r="L4166" t="s">
        <v>196</v>
      </c>
      <c r="M4166" t="s">
        <v>131</v>
      </c>
      <c r="N4166">
        <v>23</v>
      </c>
      <c r="O4166" s="1">
        <v>40422</v>
      </c>
      <c r="P4166" t="s">
        <v>41</v>
      </c>
      <c r="Q4166" t="s">
        <v>75</v>
      </c>
      <c r="R4166" t="str">
        <f>"7521050"</f>
        <v>7521050</v>
      </c>
      <c r="S4166" t="s">
        <v>194</v>
      </c>
      <c r="T4166" t="s">
        <v>195</v>
      </c>
      <c r="U4166" t="s">
        <v>196</v>
      </c>
      <c r="V4166" t="s">
        <v>131</v>
      </c>
      <c r="W4166" t="s">
        <v>51</v>
      </c>
      <c r="X4166" t="s">
        <v>45</v>
      </c>
      <c r="Y4166" s="1">
        <v>25556</v>
      </c>
      <c r="Z4166">
        <v>1</v>
      </c>
      <c r="AA4166" t="s">
        <v>196</v>
      </c>
      <c r="AB4166" s="40" t="s">
        <v>1799</v>
      </c>
    </row>
    <row r="4167" spans="1:28" x14ac:dyDescent="0.25">
      <c r="A4167">
        <v>99914166</v>
      </c>
      <c r="B4167" t="s">
        <v>32</v>
      </c>
      <c r="C4167" t="s">
        <v>64</v>
      </c>
      <c r="D4167" t="s">
        <v>65</v>
      </c>
      <c r="G4167" t="s">
        <v>48</v>
      </c>
      <c r="H4167">
        <v>1</v>
      </c>
      <c r="K4167" t="s">
        <v>157</v>
      </c>
      <c r="L4167" t="s">
        <v>158</v>
      </c>
      <c r="M4167" t="s">
        <v>131</v>
      </c>
      <c r="N4167">
        <v>23</v>
      </c>
      <c r="P4167" t="s">
        <v>41</v>
      </c>
      <c r="Q4167" t="s">
        <v>49</v>
      </c>
      <c r="R4167" t="str">
        <f>"0560019"</f>
        <v>0560019</v>
      </c>
      <c r="S4167" t="s">
        <v>166</v>
      </c>
      <c r="T4167" t="s">
        <v>157</v>
      </c>
      <c r="U4167" t="s">
        <v>158</v>
      </c>
      <c r="V4167" t="s">
        <v>131</v>
      </c>
      <c r="W4167" t="s">
        <v>51</v>
      </c>
      <c r="X4167" t="s">
        <v>45</v>
      </c>
      <c r="Y4167" s="1">
        <v>25518</v>
      </c>
      <c r="Z4167">
        <v>2</v>
      </c>
      <c r="AA4167" t="s">
        <v>158</v>
      </c>
      <c r="AB4167" s="40" t="s">
        <v>1799</v>
      </c>
    </row>
    <row r="4168" spans="1:28" x14ac:dyDescent="0.25">
      <c r="A4168">
        <v>99914167</v>
      </c>
      <c r="B4168" t="s">
        <v>56</v>
      </c>
      <c r="C4168" t="s">
        <v>52</v>
      </c>
      <c r="D4168" t="s">
        <v>53</v>
      </c>
      <c r="G4168" t="s">
        <v>35</v>
      </c>
      <c r="H4168">
        <v>1</v>
      </c>
      <c r="I4168" t="s">
        <v>1164</v>
      </c>
      <c r="J4168" s="1">
        <v>43344</v>
      </c>
      <c r="K4168" t="s">
        <v>1128</v>
      </c>
      <c r="L4168" t="s">
        <v>1129</v>
      </c>
      <c r="M4168" t="s">
        <v>1130</v>
      </c>
      <c r="N4168">
        <v>23</v>
      </c>
      <c r="O4168" s="1">
        <v>43344</v>
      </c>
      <c r="P4168" t="s">
        <v>41</v>
      </c>
      <c r="Q4168" t="s">
        <v>42</v>
      </c>
      <c r="R4168" t="str">
        <f>"3180015"</f>
        <v>3180015</v>
      </c>
      <c r="S4168" t="s">
        <v>1139</v>
      </c>
      <c r="T4168" t="s">
        <v>1128</v>
      </c>
      <c r="U4168" t="s">
        <v>1129</v>
      </c>
      <c r="V4168" t="s">
        <v>1130</v>
      </c>
      <c r="W4168" t="s">
        <v>51</v>
      </c>
      <c r="X4168" t="s">
        <v>45</v>
      </c>
      <c r="Y4168" s="1">
        <v>25497</v>
      </c>
      <c r="Z4168">
        <v>2</v>
      </c>
      <c r="AA4168" t="s">
        <v>1129</v>
      </c>
      <c r="AB4168" s="40" t="s">
        <v>1799</v>
      </c>
    </row>
    <row r="4169" spans="1:28" x14ac:dyDescent="0.25">
      <c r="A4169">
        <v>99914168</v>
      </c>
      <c r="B4169" t="s">
        <v>32</v>
      </c>
      <c r="C4169" t="s">
        <v>111</v>
      </c>
      <c r="D4169" t="s">
        <v>112</v>
      </c>
      <c r="G4169" t="s">
        <v>48</v>
      </c>
      <c r="H4169">
        <v>1</v>
      </c>
      <c r="K4169" t="s">
        <v>985</v>
      </c>
      <c r="L4169" t="s">
        <v>986</v>
      </c>
      <c r="M4169" t="s">
        <v>938</v>
      </c>
      <c r="N4169">
        <v>23</v>
      </c>
      <c r="P4169" t="s">
        <v>41</v>
      </c>
      <c r="Q4169" t="s">
        <v>75</v>
      </c>
      <c r="R4169" t="str">
        <f>"7011000"</f>
        <v>7011000</v>
      </c>
      <c r="S4169" t="s">
        <v>989</v>
      </c>
      <c r="T4169" t="s">
        <v>985</v>
      </c>
      <c r="U4169" t="s">
        <v>986</v>
      </c>
      <c r="V4169" t="s">
        <v>938</v>
      </c>
      <c r="W4169" t="s">
        <v>51</v>
      </c>
      <c r="X4169" t="s">
        <v>45</v>
      </c>
      <c r="Y4169" s="1">
        <v>25472</v>
      </c>
      <c r="Z4169">
        <v>1</v>
      </c>
      <c r="AA4169" t="s">
        <v>986</v>
      </c>
      <c r="AB4169" s="40" t="s">
        <v>1799</v>
      </c>
    </row>
    <row r="4170" spans="1:28" x14ac:dyDescent="0.25">
      <c r="A4170">
        <v>99914169</v>
      </c>
      <c r="B4170" t="s">
        <v>32</v>
      </c>
      <c r="C4170" t="s">
        <v>71</v>
      </c>
      <c r="D4170" t="s">
        <v>72</v>
      </c>
      <c r="G4170" t="s">
        <v>35</v>
      </c>
      <c r="H4170">
        <v>1</v>
      </c>
      <c r="I4170" t="s">
        <v>286</v>
      </c>
      <c r="J4170" s="1">
        <v>43344</v>
      </c>
      <c r="K4170" t="s">
        <v>268</v>
      </c>
      <c r="L4170" t="s">
        <v>269</v>
      </c>
      <c r="M4170" t="s">
        <v>131</v>
      </c>
      <c r="N4170">
        <v>23</v>
      </c>
      <c r="P4170" t="s">
        <v>41</v>
      </c>
      <c r="Q4170" t="s">
        <v>75</v>
      </c>
      <c r="R4170" t="str">
        <f>"7052018"</f>
        <v>7052018</v>
      </c>
      <c r="S4170" t="s">
        <v>577</v>
      </c>
      <c r="T4170" t="s">
        <v>268</v>
      </c>
      <c r="U4170" t="s">
        <v>269</v>
      </c>
      <c r="V4170" t="s">
        <v>131</v>
      </c>
      <c r="W4170" t="s">
        <v>51</v>
      </c>
      <c r="X4170" t="s">
        <v>45</v>
      </c>
      <c r="Y4170" s="1">
        <v>25466</v>
      </c>
      <c r="Z4170">
        <v>1</v>
      </c>
      <c r="AA4170" t="s">
        <v>269</v>
      </c>
      <c r="AB4170" s="40" t="s">
        <v>1799</v>
      </c>
    </row>
    <row r="4171" spans="1:28" x14ac:dyDescent="0.25">
      <c r="A4171">
        <v>99914170</v>
      </c>
      <c r="B4171" t="s">
        <v>32</v>
      </c>
      <c r="C4171" t="s">
        <v>46</v>
      </c>
      <c r="D4171" t="s">
        <v>47</v>
      </c>
      <c r="G4171" t="s">
        <v>48</v>
      </c>
      <c r="H4171">
        <v>1</v>
      </c>
      <c r="K4171" t="s">
        <v>380</v>
      </c>
      <c r="L4171" t="s">
        <v>381</v>
      </c>
      <c r="M4171" t="s">
        <v>131</v>
      </c>
      <c r="N4171">
        <v>23</v>
      </c>
      <c r="P4171" t="s">
        <v>41</v>
      </c>
      <c r="Q4171" t="s">
        <v>42</v>
      </c>
      <c r="R4171" t="str">
        <f>"0561010"</f>
        <v>0561010</v>
      </c>
      <c r="S4171" t="s">
        <v>387</v>
      </c>
      <c r="T4171" t="s">
        <v>380</v>
      </c>
      <c r="U4171" t="s">
        <v>381</v>
      </c>
      <c r="V4171" t="s">
        <v>131</v>
      </c>
      <c r="W4171" t="s">
        <v>51</v>
      </c>
      <c r="X4171" t="s">
        <v>45</v>
      </c>
      <c r="Y4171" s="1">
        <v>25459</v>
      </c>
      <c r="Z4171">
        <v>2</v>
      </c>
      <c r="AA4171" t="s">
        <v>381</v>
      </c>
      <c r="AB4171" s="40" t="s">
        <v>1799</v>
      </c>
    </row>
    <row r="4172" spans="1:28" x14ac:dyDescent="0.25">
      <c r="A4172">
        <v>99914171</v>
      </c>
      <c r="B4172" t="s">
        <v>32</v>
      </c>
      <c r="C4172" t="s">
        <v>64</v>
      </c>
      <c r="D4172" t="s">
        <v>65</v>
      </c>
      <c r="G4172" t="s">
        <v>48</v>
      </c>
      <c r="H4172">
        <v>11</v>
      </c>
      <c r="I4172" t="s">
        <v>210</v>
      </c>
      <c r="J4172" s="1">
        <v>37500</v>
      </c>
      <c r="K4172" t="s">
        <v>431</v>
      </c>
      <c r="L4172" t="s">
        <v>196</v>
      </c>
      <c r="M4172" t="s">
        <v>131</v>
      </c>
      <c r="N4172">
        <v>23</v>
      </c>
      <c r="O4172" s="1">
        <v>37500</v>
      </c>
      <c r="P4172" t="s">
        <v>41</v>
      </c>
      <c r="Q4172" t="s">
        <v>75</v>
      </c>
      <c r="R4172" t="str">
        <f>"7521022"</f>
        <v>7521022</v>
      </c>
      <c r="S4172" t="s">
        <v>445</v>
      </c>
      <c r="T4172" t="s">
        <v>431</v>
      </c>
      <c r="U4172" t="s">
        <v>196</v>
      </c>
      <c r="V4172" t="s">
        <v>131</v>
      </c>
      <c r="W4172" t="s">
        <v>51</v>
      </c>
      <c r="X4172" t="s">
        <v>45</v>
      </c>
      <c r="Y4172" s="1">
        <v>25433</v>
      </c>
      <c r="Z4172">
        <v>1</v>
      </c>
      <c r="AA4172" t="s">
        <v>196</v>
      </c>
      <c r="AB4172" s="40" t="s">
        <v>1799</v>
      </c>
    </row>
    <row r="4173" spans="1:28" x14ac:dyDescent="0.25">
      <c r="A4173">
        <v>99914172</v>
      </c>
      <c r="B4173" t="s">
        <v>32</v>
      </c>
      <c r="C4173" t="s">
        <v>46</v>
      </c>
      <c r="D4173" t="s">
        <v>47</v>
      </c>
      <c r="G4173" t="s">
        <v>48</v>
      </c>
      <c r="H4173">
        <v>1</v>
      </c>
      <c r="K4173" t="s">
        <v>936</v>
      </c>
      <c r="L4173" t="s">
        <v>937</v>
      </c>
      <c r="M4173" t="s">
        <v>938</v>
      </c>
      <c r="N4173">
        <v>23</v>
      </c>
      <c r="P4173" t="s">
        <v>41</v>
      </c>
      <c r="Q4173" t="s">
        <v>42</v>
      </c>
      <c r="R4173" t="str">
        <f>"0161003"</f>
        <v>0161003</v>
      </c>
      <c r="S4173" t="s">
        <v>942</v>
      </c>
      <c r="T4173" t="s">
        <v>936</v>
      </c>
      <c r="U4173" t="s">
        <v>937</v>
      </c>
      <c r="V4173" t="s">
        <v>938</v>
      </c>
      <c r="W4173" t="s">
        <v>51</v>
      </c>
      <c r="X4173" t="s">
        <v>45</v>
      </c>
      <c r="Y4173" s="1">
        <v>25429</v>
      </c>
      <c r="Z4173">
        <v>2</v>
      </c>
      <c r="AA4173" t="s">
        <v>937</v>
      </c>
      <c r="AB4173" s="40" t="s">
        <v>1799</v>
      </c>
    </row>
    <row r="4174" spans="1:28" x14ac:dyDescent="0.25">
      <c r="A4174">
        <v>99914173</v>
      </c>
      <c r="B4174" t="s">
        <v>32</v>
      </c>
      <c r="C4174" t="s">
        <v>139</v>
      </c>
      <c r="D4174" t="s">
        <v>140</v>
      </c>
      <c r="G4174" t="s">
        <v>48</v>
      </c>
      <c r="H4174">
        <v>7</v>
      </c>
      <c r="I4174" t="s">
        <v>456</v>
      </c>
      <c r="J4174" s="1">
        <v>40422</v>
      </c>
      <c r="K4174" t="s">
        <v>195</v>
      </c>
      <c r="L4174" t="s">
        <v>196</v>
      </c>
      <c r="M4174" t="s">
        <v>131</v>
      </c>
      <c r="N4174">
        <v>23</v>
      </c>
      <c r="O4174" s="1">
        <v>40422</v>
      </c>
      <c r="P4174" t="s">
        <v>41</v>
      </c>
      <c r="Q4174" t="s">
        <v>75</v>
      </c>
      <c r="R4174" t="str">
        <f>"7521046"</f>
        <v>7521046</v>
      </c>
      <c r="S4174" t="s">
        <v>436</v>
      </c>
      <c r="T4174" t="s">
        <v>195</v>
      </c>
      <c r="U4174" t="s">
        <v>196</v>
      </c>
      <c r="V4174" t="s">
        <v>131</v>
      </c>
      <c r="W4174" t="s">
        <v>165</v>
      </c>
      <c r="X4174" t="s">
        <v>45</v>
      </c>
      <c r="Y4174" s="1">
        <v>25417</v>
      </c>
      <c r="Z4174">
        <v>1</v>
      </c>
      <c r="AA4174" t="s">
        <v>196</v>
      </c>
      <c r="AB4174" s="40" t="s">
        <v>1799</v>
      </c>
    </row>
    <row r="4175" spans="1:28" x14ac:dyDescent="0.25">
      <c r="A4175">
        <v>99914174</v>
      </c>
      <c r="B4175" t="s">
        <v>32</v>
      </c>
      <c r="C4175" t="s">
        <v>46</v>
      </c>
      <c r="D4175" t="s">
        <v>47</v>
      </c>
      <c r="G4175" t="s">
        <v>35</v>
      </c>
      <c r="H4175">
        <v>1</v>
      </c>
      <c r="I4175">
        <v>20348</v>
      </c>
      <c r="J4175" s="1">
        <v>43020</v>
      </c>
      <c r="K4175" t="s">
        <v>380</v>
      </c>
      <c r="L4175" t="s">
        <v>381</v>
      </c>
      <c r="M4175" t="s">
        <v>131</v>
      </c>
      <c r="N4175">
        <v>23</v>
      </c>
      <c r="O4175" s="1">
        <v>43020</v>
      </c>
      <c r="P4175" t="s">
        <v>41</v>
      </c>
      <c r="Q4175" t="s">
        <v>49</v>
      </c>
      <c r="R4175" t="str">
        <f>"0591909"</f>
        <v>0591909</v>
      </c>
      <c r="S4175" t="s">
        <v>385</v>
      </c>
      <c r="T4175" t="s">
        <v>380</v>
      </c>
      <c r="U4175" t="s">
        <v>381</v>
      </c>
      <c r="V4175" t="s">
        <v>131</v>
      </c>
      <c r="W4175" t="s">
        <v>44</v>
      </c>
      <c r="X4175" t="s">
        <v>45</v>
      </c>
      <c r="Y4175" s="1">
        <v>25406</v>
      </c>
      <c r="Z4175">
        <v>2</v>
      </c>
      <c r="AA4175" t="s">
        <v>381</v>
      </c>
      <c r="AB4175" s="40" t="s">
        <v>1799</v>
      </c>
    </row>
    <row r="4176" spans="1:28" x14ac:dyDescent="0.25">
      <c r="A4176">
        <v>99914175</v>
      </c>
      <c r="B4176" t="s">
        <v>56</v>
      </c>
      <c r="C4176" t="s">
        <v>46</v>
      </c>
      <c r="D4176" t="s">
        <v>47</v>
      </c>
      <c r="G4176" t="s">
        <v>48</v>
      </c>
      <c r="H4176">
        <v>1</v>
      </c>
      <c r="K4176" t="s">
        <v>1051</v>
      </c>
      <c r="L4176" t="s">
        <v>1052</v>
      </c>
      <c r="M4176" t="s">
        <v>1053</v>
      </c>
      <c r="N4176">
        <v>23</v>
      </c>
      <c r="P4176" t="s">
        <v>41</v>
      </c>
      <c r="Q4176" t="s">
        <v>42</v>
      </c>
      <c r="R4176" t="str">
        <f>"2061001"</f>
        <v>2061001</v>
      </c>
      <c r="S4176" t="s">
        <v>1058</v>
      </c>
      <c r="T4176" t="s">
        <v>1051</v>
      </c>
      <c r="U4176" t="s">
        <v>1052</v>
      </c>
      <c r="V4176" t="s">
        <v>1053</v>
      </c>
      <c r="W4176" t="s">
        <v>51</v>
      </c>
      <c r="X4176" t="s">
        <v>45</v>
      </c>
      <c r="Y4176" s="1">
        <v>25362</v>
      </c>
      <c r="Z4176">
        <v>2</v>
      </c>
      <c r="AA4176" t="s">
        <v>1052</v>
      </c>
      <c r="AB4176" s="40" t="s">
        <v>1799</v>
      </c>
    </row>
    <row r="4177" spans="1:28" x14ac:dyDescent="0.25">
      <c r="A4177">
        <v>99914176</v>
      </c>
      <c r="B4177" t="s">
        <v>32</v>
      </c>
      <c r="C4177" t="s">
        <v>64</v>
      </c>
      <c r="D4177" t="s">
        <v>65</v>
      </c>
      <c r="G4177" t="s">
        <v>48</v>
      </c>
      <c r="H4177">
        <v>5</v>
      </c>
      <c r="I4177" t="s">
        <v>568</v>
      </c>
      <c r="J4177" s="1">
        <v>42052</v>
      </c>
      <c r="K4177" t="s">
        <v>195</v>
      </c>
      <c r="L4177" t="s">
        <v>196</v>
      </c>
      <c r="M4177" t="s">
        <v>131</v>
      </c>
      <c r="N4177">
        <v>23</v>
      </c>
      <c r="O4177" s="1">
        <v>42052</v>
      </c>
      <c r="P4177" t="s">
        <v>41</v>
      </c>
      <c r="Q4177" t="s">
        <v>75</v>
      </c>
      <c r="R4177" t="str">
        <f>"7521050"</f>
        <v>7521050</v>
      </c>
      <c r="S4177" t="s">
        <v>194</v>
      </c>
      <c r="T4177" t="s">
        <v>195</v>
      </c>
      <c r="U4177" t="s">
        <v>196</v>
      </c>
      <c r="V4177" t="s">
        <v>131</v>
      </c>
      <c r="W4177" t="s">
        <v>51</v>
      </c>
      <c r="X4177" t="s">
        <v>45</v>
      </c>
      <c r="Y4177" s="1">
        <v>25319</v>
      </c>
      <c r="Z4177">
        <v>1</v>
      </c>
      <c r="AA4177" t="s">
        <v>196</v>
      </c>
      <c r="AB4177" s="40" t="s">
        <v>1799</v>
      </c>
    </row>
    <row r="4178" spans="1:28" x14ac:dyDescent="0.25">
      <c r="A4178">
        <v>99914177</v>
      </c>
      <c r="B4178" t="s">
        <v>56</v>
      </c>
      <c r="C4178" t="s">
        <v>79</v>
      </c>
      <c r="D4178" t="s">
        <v>80</v>
      </c>
      <c r="G4178" t="s">
        <v>35</v>
      </c>
      <c r="H4178">
        <v>1</v>
      </c>
      <c r="K4178" t="s">
        <v>431</v>
      </c>
      <c r="L4178" t="s">
        <v>196</v>
      </c>
      <c r="M4178" t="s">
        <v>131</v>
      </c>
      <c r="N4178">
        <v>23</v>
      </c>
      <c r="P4178" t="s">
        <v>41</v>
      </c>
      <c r="Q4178" t="s">
        <v>75</v>
      </c>
      <c r="R4178" t="str">
        <f>"7521012"</f>
        <v>7521012</v>
      </c>
      <c r="S4178" t="s">
        <v>432</v>
      </c>
      <c r="T4178" t="s">
        <v>431</v>
      </c>
      <c r="U4178" t="s">
        <v>196</v>
      </c>
      <c r="V4178" t="s">
        <v>131</v>
      </c>
      <c r="W4178" t="s">
        <v>51</v>
      </c>
      <c r="X4178" t="s">
        <v>45</v>
      </c>
      <c r="Y4178" s="1">
        <v>25288</v>
      </c>
      <c r="Z4178">
        <v>1</v>
      </c>
      <c r="AA4178" t="s">
        <v>196</v>
      </c>
      <c r="AB4178" s="40" t="s">
        <v>1799</v>
      </c>
    </row>
    <row r="4179" spans="1:28" x14ac:dyDescent="0.25">
      <c r="A4179">
        <v>99914178</v>
      </c>
      <c r="B4179" t="s">
        <v>32</v>
      </c>
      <c r="C4179" t="s">
        <v>82</v>
      </c>
      <c r="D4179" t="s">
        <v>83</v>
      </c>
      <c r="G4179" t="s">
        <v>48</v>
      </c>
      <c r="H4179">
        <v>1</v>
      </c>
      <c r="K4179" t="s">
        <v>157</v>
      </c>
      <c r="L4179" t="s">
        <v>158</v>
      </c>
      <c r="M4179" t="s">
        <v>131</v>
      </c>
      <c r="N4179">
        <v>23</v>
      </c>
      <c r="P4179" t="s">
        <v>41</v>
      </c>
      <c r="Q4179" t="s">
        <v>49</v>
      </c>
      <c r="R4179" t="str">
        <f>"0560019"</f>
        <v>0560019</v>
      </c>
      <c r="S4179" t="s">
        <v>166</v>
      </c>
      <c r="T4179" t="s">
        <v>157</v>
      </c>
      <c r="U4179" t="s">
        <v>158</v>
      </c>
      <c r="V4179" t="s">
        <v>131</v>
      </c>
      <c r="W4179" t="s">
        <v>51</v>
      </c>
      <c r="X4179" t="s">
        <v>45</v>
      </c>
      <c r="Y4179" s="1">
        <v>25277</v>
      </c>
      <c r="Z4179">
        <v>2</v>
      </c>
      <c r="AA4179" t="s">
        <v>158</v>
      </c>
      <c r="AB4179" s="40" t="s">
        <v>1799</v>
      </c>
    </row>
    <row r="4180" spans="1:28" x14ac:dyDescent="0.25">
      <c r="A4180">
        <v>99914179</v>
      </c>
      <c r="B4180" t="s">
        <v>32</v>
      </c>
      <c r="C4180" t="s">
        <v>90</v>
      </c>
      <c r="D4180" t="s">
        <v>91</v>
      </c>
      <c r="G4180" t="s">
        <v>35</v>
      </c>
      <c r="H4180">
        <v>1</v>
      </c>
      <c r="I4180" t="s">
        <v>627</v>
      </c>
      <c r="J4180" s="1">
        <v>43344</v>
      </c>
      <c r="K4180" t="s">
        <v>268</v>
      </c>
      <c r="L4180" t="s">
        <v>269</v>
      </c>
      <c r="M4180" t="s">
        <v>131</v>
      </c>
      <c r="N4180">
        <v>23</v>
      </c>
      <c r="O4180" s="1">
        <v>43344</v>
      </c>
      <c r="P4180" t="s">
        <v>41</v>
      </c>
      <c r="Q4180" t="s">
        <v>95</v>
      </c>
      <c r="R4180" t="str">
        <f>"7052071"</f>
        <v>7052071</v>
      </c>
      <c r="S4180" t="s">
        <v>628</v>
      </c>
      <c r="T4180" t="s">
        <v>268</v>
      </c>
      <c r="U4180" t="s">
        <v>269</v>
      </c>
      <c r="V4180" t="s">
        <v>131</v>
      </c>
      <c r="W4180" t="s">
        <v>51</v>
      </c>
      <c r="X4180" t="s">
        <v>45</v>
      </c>
      <c r="Y4180" s="1">
        <v>25230</v>
      </c>
      <c r="Z4180">
        <v>1</v>
      </c>
      <c r="AA4180" t="s">
        <v>269</v>
      </c>
      <c r="AB4180" s="40" t="s">
        <v>1799</v>
      </c>
    </row>
    <row r="4181" spans="1:28" x14ac:dyDescent="0.25">
      <c r="A4181">
        <v>99914180</v>
      </c>
      <c r="B4181" t="s">
        <v>32</v>
      </c>
      <c r="C4181" t="s">
        <v>71</v>
      </c>
      <c r="D4181" t="s">
        <v>72</v>
      </c>
      <c r="G4181" t="s">
        <v>35</v>
      </c>
      <c r="H4181">
        <v>1</v>
      </c>
      <c r="I4181" t="s">
        <v>286</v>
      </c>
      <c r="J4181" s="1">
        <v>43344</v>
      </c>
      <c r="K4181" t="s">
        <v>268</v>
      </c>
      <c r="L4181" t="s">
        <v>269</v>
      </c>
      <c r="M4181" t="s">
        <v>131</v>
      </c>
      <c r="N4181">
        <v>23</v>
      </c>
      <c r="P4181" t="s">
        <v>41</v>
      </c>
      <c r="Q4181" t="s">
        <v>75</v>
      </c>
      <c r="R4181" t="str">
        <f>"7052018"</f>
        <v>7052018</v>
      </c>
      <c r="S4181" t="s">
        <v>577</v>
      </c>
      <c r="T4181" t="s">
        <v>268</v>
      </c>
      <c r="U4181" t="s">
        <v>269</v>
      </c>
      <c r="V4181" t="s">
        <v>131</v>
      </c>
      <c r="W4181" t="s">
        <v>51</v>
      </c>
      <c r="X4181" t="s">
        <v>45</v>
      </c>
      <c r="Y4181" s="1">
        <v>25222</v>
      </c>
      <c r="Z4181">
        <v>1</v>
      </c>
      <c r="AA4181" t="s">
        <v>269</v>
      </c>
      <c r="AB4181" s="40" t="s">
        <v>1799</v>
      </c>
    </row>
    <row r="4182" spans="1:28" x14ac:dyDescent="0.25">
      <c r="A4182">
        <v>99914181</v>
      </c>
      <c r="B4182" t="s">
        <v>56</v>
      </c>
      <c r="C4182" t="s">
        <v>52</v>
      </c>
      <c r="D4182" t="s">
        <v>53</v>
      </c>
      <c r="G4182" t="s">
        <v>35</v>
      </c>
      <c r="H4182">
        <v>8</v>
      </c>
      <c r="I4182">
        <v>13814</v>
      </c>
      <c r="J4182" s="1">
        <v>43355</v>
      </c>
      <c r="K4182" t="s">
        <v>345</v>
      </c>
      <c r="L4182" t="s">
        <v>346</v>
      </c>
      <c r="M4182" t="s">
        <v>131</v>
      </c>
      <c r="N4182">
        <v>23</v>
      </c>
      <c r="O4182" s="1">
        <v>43355</v>
      </c>
      <c r="P4182" t="s">
        <v>41</v>
      </c>
      <c r="Q4182" t="s">
        <v>42</v>
      </c>
      <c r="R4182" t="str">
        <f>"0590906"</f>
        <v>0590906</v>
      </c>
      <c r="S4182" t="s">
        <v>361</v>
      </c>
      <c r="T4182" t="s">
        <v>345</v>
      </c>
      <c r="U4182" t="s">
        <v>346</v>
      </c>
      <c r="V4182" t="s">
        <v>131</v>
      </c>
      <c r="W4182" t="s">
        <v>51</v>
      </c>
      <c r="X4182" t="s">
        <v>45</v>
      </c>
      <c r="Y4182" s="1">
        <v>25212</v>
      </c>
      <c r="Z4182">
        <v>2</v>
      </c>
      <c r="AA4182" t="s">
        <v>346</v>
      </c>
      <c r="AB4182" s="40" t="s">
        <v>1799</v>
      </c>
    </row>
    <row r="4183" spans="1:28" x14ac:dyDescent="0.25">
      <c r="A4183">
        <v>99914182</v>
      </c>
      <c r="B4183" t="s">
        <v>32</v>
      </c>
      <c r="C4183" t="s">
        <v>64</v>
      </c>
      <c r="D4183" t="s">
        <v>65</v>
      </c>
      <c r="G4183" t="s">
        <v>35</v>
      </c>
      <c r="H4183">
        <v>6</v>
      </c>
      <c r="K4183" t="s">
        <v>268</v>
      </c>
      <c r="L4183" t="s">
        <v>269</v>
      </c>
      <c r="M4183" t="s">
        <v>131</v>
      </c>
      <c r="N4183">
        <v>23</v>
      </c>
      <c r="P4183" t="s">
        <v>41</v>
      </c>
      <c r="Q4183" t="s">
        <v>75</v>
      </c>
      <c r="R4183" t="str">
        <f>"7052002"</f>
        <v>7052002</v>
      </c>
      <c r="S4183" t="s">
        <v>590</v>
      </c>
      <c r="T4183" t="s">
        <v>268</v>
      </c>
      <c r="U4183" t="s">
        <v>269</v>
      </c>
      <c r="V4183" t="s">
        <v>131</v>
      </c>
      <c r="W4183" t="s">
        <v>51</v>
      </c>
      <c r="X4183" t="s">
        <v>45</v>
      </c>
      <c r="Y4183" s="1">
        <v>25139</v>
      </c>
      <c r="Z4183">
        <v>1</v>
      </c>
      <c r="AA4183" t="s">
        <v>269</v>
      </c>
      <c r="AB4183" s="40" t="s">
        <v>1799</v>
      </c>
    </row>
    <row r="4184" spans="1:28" x14ac:dyDescent="0.25">
      <c r="A4184">
        <v>99914183</v>
      </c>
      <c r="B4184" t="s">
        <v>32</v>
      </c>
      <c r="C4184" t="s">
        <v>68</v>
      </c>
      <c r="D4184" t="s">
        <v>69</v>
      </c>
      <c r="G4184" t="s">
        <v>48</v>
      </c>
      <c r="H4184">
        <v>1</v>
      </c>
      <c r="K4184" t="s">
        <v>1128</v>
      </c>
      <c r="L4184" t="s">
        <v>1129</v>
      </c>
      <c r="M4184" t="s">
        <v>1130</v>
      </c>
      <c r="N4184">
        <v>23</v>
      </c>
      <c r="P4184" t="s">
        <v>41</v>
      </c>
      <c r="Q4184" t="s">
        <v>42</v>
      </c>
      <c r="R4184" t="str">
        <f>"3180010"</f>
        <v>3180010</v>
      </c>
      <c r="S4184" t="s">
        <v>1132</v>
      </c>
      <c r="T4184" t="s">
        <v>1128</v>
      </c>
      <c r="U4184" t="s">
        <v>1129</v>
      </c>
      <c r="V4184" t="s">
        <v>1130</v>
      </c>
      <c r="W4184" t="s">
        <v>165</v>
      </c>
      <c r="X4184" t="s">
        <v>45</v>
      </c>
      <c r="Y4184" s="1">
        <v>25111</v>
      </c>
      <c r="Z4184">
        <v>2</v>
      </c>
      <c r="AA4184" t="s">
        <v>1129</v>
      </c>
      <c r="AB4184" s="40" t="s">
        <v>1799</v>
      </c>
    </row>
    <row r="4185" spans="1:28" x14ac:dyDescent="0.25">
      <c r="A4185">
        <v>99914184</v>
      </c>
      <c r="B4185" t="s">
        <v>32</v>
      </c>
      <c r="C4185" t="s">
        <v>71</v>
      </c>
      <c r="D4185" t="s">
        <v>72</v>
      </c>
      <c r="G4185" t="s">
        <v>35</v>
      </c>
      <c r="H4185">
        <v>5</v>
      </c>
      <c r="K4185" t="s">
        <v>268</v>
      </c>
      <c r="L4185" t="s">
        <v>269</v>
      </c>
      <c r="M4185" t="s">
        <v>131</v>
      </c>
      <c r="N4185">
        <v>23</v>
      </c>
      <c r="P4185" t="s">
        <v>41</v>
      </c>
      <c r="Q4185" t="s">
        <v>75</v>
      </c>
      <c r="R4185" t="str">
        <f>"7052006"</f>
        <v>7052006</v>
      </c>
      <c r="S4185" t="s">
        <v>575</v>
      </c>
      <c r="T4185" t="s">
        <v>268</v>
      </c>
      <c r="U4185" t="s">
        <v>269</v>
      </c>
      <c r="V4185" t="s">
        <v>131</v>
      </c>
      <c r="W4185" t="s">
        <v>51</v>
      </c>
      <c r="X4185" t="s">
        <v>45</v>
      </c>
      <c r="Y4185" s="1">
        <v>25054</v>
      </c>
      <c r="Z4185">
        <v>1</v>
      </c>
      <c r="AA4185" t="s">
        <v>269</v>
      </c>
      <c r="AB4185" s="40" t="s">
        <v>1799</v>
      </c>
    </row>
    <row r="4186" spans="1:28" x14ac:dyDescent="0.25">
      <c r="A4186">
        <v>99914185</v>
      </c>
      <c r="B4186" t="s">
        <v>56</v>
      </c>
      <c r="C4186" t="s">
        <v>46</v>
      </c>
      <c r="D4186" t="s">
        <v>47</v>
      </c>
      <c r="G4186" t="s">
        <v>48</v>
      </c>
      <c r="H4186">
        <v>1</v>
      </c>
      <c r="K4186" t="s">
        <v>936</v>
      </c>
      <c r="L4186" t="s">
        <v>937</v>
      </c>
      <c r="M4186" t="s">
        <v>938</v>
      </c>
      <c r="N4186">
        <v>23</v>
      </c>
      <c r="P4186" t="s">
        <v>41</v>
      </c>
      <c r="Q4186" t="s">
        <v>42</v>
      </c>
      <c r="R4186" t="str">
        <f>"0161003"</f>
        <v>0161003</v>
      </c>
      <c r="S4186" t="s">
        <v>942</v>
      </c>
      <c r="T4186" t="s">
        <v>936</v>
      </c>
      <c r="U4186" t="s">
        <v>937</v>
      </c>
      <c r="V4186" t="s">
        <v>938</v>
      </c>
      <c r="W4186" t="s">
        <v>51</v>
      </c>
      <c r="X4186" t="s">
        <v>45</v>
      </c>
      <c r="Y4186" s="1">
        <v>25029</v>
      </c>
      <c r="Z4186">
        <v>2</v>
      </c>
      <c r="AA4186" t="s">
        <v>937</v>
      </c>
      <c r="AB4186" s="40" t="s">
        <v>1799</v>
      </c>
    </row>
    <row r="4187" spans="1:28" x14ac:dyDescent="0.25">
      <c r="A4187">
        <v>99914186</v>
      </c>
      <c r="B4187" t="s">
        <v>32</v>
      </c>
      <c r="C4187" t="s">
        <v>64</v>
      </c>
      <c r="D4187" t="s">
        <v>65</v>
      </c>
      <c r="G4187" t="s">
        <v>35</v>
      </c>
      <c r="H4187">
        <v>1</v>
      </c>
      <c r="I4187">
        <v>0</v>
      </c>
      <c r="J4187" s="1">
        <v>43344</v>
      </c>
      <c r="K4187" t="s">
        <v>223</v>
      </c>
      <c r="L4187" t="s">
        <v>224</v>
      </c>
      <c r="M4187" t="s">
        <v>131</v>
      </c>
      <c r="N4187">
        <v>23</v>
      </c>
      <c r="O4187" s="1">
        <v>43344</v>
      </c>
      <c r="P4187" t="s">
        <v>41</v>
      </c>
      <c r="Q4187" t="s">
        <v>49</v>
      </c>
      <c r="R4187" t="str">
        <f>"0509999"</f>
        <v>0509999</v>
      </c>
      <c r="S4187" t="s">
        <v>247</v>
      </c>
      <c r="T4187" t="s">
        <v>223</v>
      </c>
      <c r="U4187" t="s">
        <v>224</v>
      </c>
      <c r="V4187" t="s">
        <v>131</v>
      </c>
      <c r="W4187" t="s">
        <v>44</v>
      </c>
      <c r="X4187" t="s">
        <v>45</v>
      </c>
      <c r="Y4187" s="1">
        <v>25017</v>
      </c>
      <c r="Z4187">
        <v>2</v>
      </c>
      <c r="AA4187" t="s">
        <v>224</v>
      </c>
      <c r="AB4187" s="40" t="s">
        <v>1799</v>
      </c>
    </row>
    <row r="4188" spans="1:28" x14ac:dyDescent="0.25">
      <c r="A4188">
        <v>99914187</v>
      </c>
      <c r="B4188" t="s">
        <v>32</v>
      </c>
      <c r="C4188" t="s">
        <v>46</v>
      </c>
      <c r="D4188" t="s">
        <v>47</v>
      </c>
      <c r="G4188" t="s">
        <v>35</v>
      </c>
      <c r="H4188">
        <v>1</v>
      </c>
      <c r="K4188" t="s">
        <v>300</v>
      </c>
      <c r="L4188" t="s">
        <v>301</v>
      </c>
      <c r="M4188" t="s">
        <v>131</v>
      </c>
      <c r="N4188">
        <v>23</v>
      </c>
      <c r="P4188" t="s">
        <v>41</v>
      </c>
      <c r="Q4188" t="s">
        <v>42</v>
      </c>
      <c r="R4188" t="str">
        <f>"0580457"</f>
        <v>0580457</v>
      </c>
      <c r="S4188" t="s">
        <v>310</v>
      </c>
      <c r="T4188" t="s">
        <v>300</v>
      </c>
      <c r="U4188" t="s">
        <v>301</v>
      </c>
      <c r="V4188" t="s">
        <v>131</v>
      </c>
      <c r="W4188" t="s">
        <v>51</v>
      </c>
      <c r="X4188" t="s">
        <v>45</v>
      </c>
      <c r="Y4188" s="1">
        <v>25007</v>
      </c>
      <c r="Z4188">
        <v>2</v>
      </c>
      <c r="AA4188" t="s">
        <v>301</v>
      </c>
      <c r="AB4188" s="40" t="s">
        <v>1799</v>
      </c>
    </row>
    <row r="4189" spans="1:28" x14ac:dyDescent="0.25">
      <c r="A4189">
        <v>99914188</v>
      </c>
      <c r="B4189" t="s">
        <v>32</v>
      </c>
      <c r="C4189" t="s">
        <v>64</v>
      </c>
      <c r="D4189" t="s">
        <v>65</v>
      </c>
      <c r="G4189" t="s">
        <v>48</v>
      </c>
      <c r="H4189">
        <v>1</v>
      </c>
      <c r="K4189" t="s">
        <v>1268</v>
      </c>
      <c r="L4189" t="s">
        <v>1269</v>
      </c>
      <c r="M4189" t="s">
        <v>1270</v>
      </c>
      <c r="N4189">
        <v>23</v>
      </c>
      <c r="P4189" t="s">
        <v>41</v>
      </c>
      <c r="Q4189" t="s">
        <v>42</v>
      </c>
      <c r="R4189" t="str">
        <f>"1980050"</f>
        <v>1980050</v>
      </c>
      <c r="S4189" t="s">
        <v>1278</v>
      </c>
      <c r="T4189" t="s">
        <v>1268</v>
      </c>
      <c r="U4189" t="s">
        <v>1269</v>
      </c>
      <c r="V4189" t="s">
        <v>1270</v>
      </c>
      <c r="W4189" t="s">
        <v>51</v>
      </c>
      <c r="X4189" t="s">
        <v>45</v>
      </c>
      <c r="Y4189" s="1">
        <v>25001</v>
      </c>
      <c r="Z4189">
        <v>2</v>
      </c>
      <c r="AA4189" t="s">
        <v>1269</v>
      </c>
      <c r="AB4189" s="40" t="s">
        <v>1799</v>
      </c>
    </row>
    <row r="4190" spans="1:28" x14ac:dyDescent="0.25">
      <c r="A4190">
        <v>99914189</v>
      </c>
      <c r="B4190" t="s">
        <v>32</v>
      </c>
      <c r="C4190" t="s">
        <v>46</v>
      </c>
      <c r="D4190" t="s">
        <v>47</v>
      </c>
      <c r="G4190" t="s">
        <v>35</v>
      </c>
      <c r="H4190">
        <v>1</v>
      </c>
      <c r="I4190" t="s">
        <v>358</v>
      </c>
      <c r="J4190" s="1">
        <v>43344</v>
      </c>
      <c r="K4190" t="s">
        <v>345</v>
      </c>
      <c r="L4190" t="s">
        <v>346</v>
      </c>
      <c r="M4190" t="s">
        <v>131</v>
      </c>
      <c r="N4190">
        <v>23</v>
      </c>
      <c r="O4190" s="1">
        <v>43344</v>
      </c>
      <c r="P4190" t="s">
        <v>41</v>
      </c>
      <c r="Q4190" t="s">
        <v>49</v>
      </c>
      <c r="R4190" t="str">
        <f>"0581660"</f>
        <v>0581660</v>
      </c>
      <c r="S4190" t="s">
        <v>359</v>
      </c>
      <c r="T4190" t="s">
        <v>345</v>
      </c>
      <c r="U4190" t="s">
        <v>346</v>
      </c>
      <c r="V4190" t="s">
        <v>131</v>
      </c>
      <c r="W4190" t="s">
        <v>51</v>
      </c>
      <c r="X4190" t="s">
        <v>45</v>
      </c>
      <c r="Y4190" s="1">
        <v>24963</v>
      </c>
      <c r="Z4190">
        <v>2</v>
      </c>
      <c r="AA4190" t="s">
        <v>346</v>
      </c>
      <c r="AB4190" s="40" t="s">
        <v>1799</v>
      </c>
    </row>
    <row r="4191" spans="1:28" x14ac:dyDescent="0.25">
      <c r="A4191">
        <v>99914190</v>
      </c>
      <c r="B4191" t="s">
        <v>56</v>
      </c>
      <c r="C4191" t="s">
        <v>46</v>
      </c>
      <c r="D4191" t="s">
        <v>47</v>
      </c>
      <c r="G4191" t="s">
        <v>35</v>
      </c>
      <c r="H4191">
        <v>1</v>
      </c>
      <c r="I4191" t="s">
        <v>1135</v>
      </c>
      <c r="J4191" s="1">
        <v>42979</v>
      </c>
      <c r="K4191" t="s">
        <v>1128</v>
      </c>
      <c r="L4191" t="s">
        <v>1129</v>
      </c>
      <c r="M4191" t="s">
        <v>1130</v>
      </c>
      <c r="N4191">
        <v>23</v>
      </c>
      <c r="O4191" s="1">
        <v>42979</v>
      </c>
      <c r="P4191" t="s">
        <v>41</v>
      </c>
      <c r="Q4191" t="s">
        <v>42</v>
      </c>
      <c r="R4191" t="str">
        <f>"3180010"</f>
        <v>3180010</v>
      </c>
      <c r="S4191" t="s">
        <v>1132</v>
      </c>
      <c r="T4191" t="s">
        <v>1128</v>
      </c>
      <c r="U4191" t="s">
        <v>1129</v>
      </c>
      <c r="V4191" t="s">
        <v>1130</v>
      </c>
      <c r="W4191" t="s">
        <v>51</v>
      </c>
      <c r="X4191" t="s">
        <v>45</v>
      </c>
      <c r="Y4191" s="1">
        <v>24932</v>
      </c>
      <c r="Z4191">
        <v>2</v>
      </c>
      <c r="AA4191" t="s">
        <v>1129</v>
      </c>
      <c r="AB4191" s="40" t="s">
        <v>1799</v>
      </c>
    </row>
    <row r="4192" spans="1:28" x14ac:dyDescent="0.25">
      <c r="A4192">
        <v>99914191</v>
      </c>
      <c r="B4192" t="s">
        <v>32</v>
      </c>
      <c r="C4192" t="s">
        <v>111</v>
      </c>
      <c r="D4192" t="s">
        <v>112</v>
      </c>
      <c r="G4192" t="s">
        <v>48</v>
      </c>
      <c r="H4192">
        <v>8</v>
      </c>
      <c r="I4192" t="s">
        <v>454</v>
      </c>
      <c r="J4192" s="1">
        <v>40057</v>
      </c>
      <c r="K4192" t="s">
        <v>195</v>
      </c>
      <c r="L4192" t="s">
        <v>196</v>
      </c>
      <c r="M4192" t="s">
        <v>131</v>
      </c>
      <c r="N4192">
        <v>23</v>
      </c>
      <c r="O4192" s="1">
        <v>40057</v>
      </c>
      <c r="P4192" t="s">
        <v>41</v>
      </c>
      <c r="Q4192" t="s">
        <v>75</v>
      </c>
      <c r="R4192" t="str">
        <f>"7521052"</f>
        <v>7521052</v>
      </c>
      <c r="S4192" t="s">
        <v>443</v>
      </c>
      <c r="T4192" t="s">
        <v>195</v>
      </c>
      <c r="U4192" t="s">
        <v>196</v>
      </c>
      <c r="V4192" t="s">
        <v>131</v>
      </c>
      <c r="W4192" t="s">
        <v>51</v>
      </c>
      <c r="X4192" t="s">
        <v>45</v>
      </c>
      <c r="Y4192" s="1">
        <v>24893</v>
      </c>
      <c r="Z4192">
        <v>1</v>
      </c>
      <c r="AA4192" t="s">
        <v>196</v>
      </c>
      <c r="AB4192" s="40" t="s">
        <v>1799</v>
      </c>
    </row>
    <row r="4193" spans="1:28" x14ac:dyDescent="0.25">
      <c r="A4193">
        <v>99914192</v>
      </c>
      <c r="B4193" t="s">
        <v>56</v>
      </c>
      <c r="C4193" t="s">
        <v>52</v>
      </c>
      <c r="D4193" t="s">
        <v>53</v>
      </c>
      <c r="G4193" t="s">
        <v>35</v>
      </c>
      <c r="H4193">
        <v>1</v>
      </c>
      <c r="I4193">
        <v>12870</v>
      </c>
      <c r="J4193" s="1">
        <v>43344</v>
      </c>
      <c r="K4193" t="s">
        <v>129</v>
      </c>
      <c r="L4193" t="s">
        <v>130</v>
      </c>
      <c r="M4193" t="s">
        <v>131</v>
      </c>
      <c r="N4193">
        <v>23</v>
      </c>
      <c r="O4193" s="1">
        <v>43344</v>
      </c>
      <c r="P4193" t="s">
        <v>41</v>
      </c>
      <c r="Q4193" t="s">
        <v>49</v>
      </c>
      <c r="R4193" t="str">
        <f>"0591905"</f>
        <v>0591905</v>
      </c>
      <c r="S4193" t="s">
        <v>135</v>
      </c>
      <c r="T4193" t="s">
        <v>129</v>
      </c>
      <c r="U4193" t="s">
        <v>130</v>
      </c>
      <c r="V4193" t="s">
        <v>131</v>
      </c>
      <c r="W4193" t="s">
        <v>44</v>
      </c>
      <c r="X4193" t="s">
        <v>45</v>
      </c>
      <c r="Y4193" s="1">
        <v>24838</v>
      </c>
      <c r="Z4193">
        <v>2</v>
      </c>
      <c r="AA4193" t="s">
        <v>130</v>
      </c>
      <c r="AB4193" s="40" t="s">
        <v>1799</v>
      </c>
    </row>
    <row r="4194" spans="1:28" x14ac:dyDescent="0.25">
      <c r="A4194">
        <v>99914193</v>
      </c>
      <c r="B4194" t="s">
        <v>32</v>
      </c>
      <c r="C4194" t="s">
        <v>71</v>
      </c>
      <c r="D4194" t="s">
        <v>72</v>
      </c>
      <c r="G4194" t="s">
        <v>48</v>
      </c>
      <c r="H4194">
        <v>5</v>
      </c>
      <c r="I4194" t="s">
        <v>456</v>
      </c>
      <c r="J4194" s="1">
        <v>40422</v>
      </c>
      <c r="K4194" t="s">
        <v>195</v>
      </c>
      <c r="L4194" t="s">
        <v>196</v>
      </c>
      <c r="M4194" t="s">
        <v>131</v>
      </c>
      <c r="N4194">
        <v>23</v>
      </c>
      <c r="O4194" s="1">
        <v>40422</v>
      </c>
      <c r="P4194" t="s">
        <v>41</v>
      </c>
      <c r="Q4194" t="s">
        <v>75</v>
      </c>
      <c r="R4194" t="str">
        <f>"7521044"</f>
        <v>7521044</v>
      </c>
      <c r="S4194" t="s">
        <v>453</v>
      </c>
      <c r="T4194" t="s">
        <v>195</v>
      </c>
      <c r="U4194" t="s">
        <v>196</v>
      </c>
      <c r="V4194" t="s">
        <v>131</v>
      </c>
      <c r="W4194" t="s">
        <v>165</v>
      </c>
      <c r="X4194" t="s">
        <v>45</v>
      </c>
      <c r="Y4194" s="1">
        <v>24832</v>
      </c>
      <c r="Z4194">
        <v>1</v>
      </c>
      <c r="AA4194" t="s">
        <v>196</v>
      </c>
      <c r="AB4194" s="40" t="s">
        <v>1799</v>
      </c>
    </row>
    <row r="4195" spans="1:28" x14ac:dyDescent="0.25">
      <c r="A4195">
        <v>99914194</v>
      </c>
      <c r="B4195" t="s">
        <v>32</v>
      </c>
      <c r="C4195" t="s">
        <v>90</v>
      </c>
      <c r="D4195" t="s">
        <v>91</v>
      </c>
      <c r="G4195" t="s">
        <v>35</v>
      </c>
      <c r="H4195">
        <v>1</v>
      </c>
      <c r="K4195" t="s">
        <v>1564</v>
      </c>
      <c r="L4195" t="s">
        <v>1565</v>
      </c>
      <c r="M4195" t="s">
        <v>1548</v>
      </c>
      <c r="N4195">
        <v>23</v>
      </c>
      <c r="P4195" t="s">
        <v>41</v>
      </c>
      <c r="Q4195" t="s">
        <v>95</v>
      </c>
      <c r="R4195" t="str">
        <f>"7101001"</f>
        <v>7101001</v>
      </c>
      <c r="S4195" t="s">
        <v>1577</v>
      </c>
      <c r="T4195" t="s">
        <v>1564</v>
      </c>
      <c r="U4195" t="s">
        <v>1565</v>
      </c>
      <c r="V4195" t="s">
        <v>1548</v>
      </c>
      <c r="W4195" t="s">
        <v>51</v>
      </c>
      <c r="X4195" t="s">
        <v>45</v>
      </c>
      <c r="Y4195" s="1">
        <v>24821</v>
      </c>
      <c r="Z4195">
        <v>1</v>
      </c>
      <c r="AA4195" t="s">
        <v>1565</v>
      </c>
      <c r="AB4195" s="40" t="s">
        <v>1799</v>
      </c>
    </row>
    <row r="4196" spans="1:28" x14ac:dyDescent="0.25">
      <c r="A4196">
        <v>99914195</v>
      </c>
      <c r="B4196" t="s">
        <v>32</v>
      </c>
      <c r="C4196" t="s">
        <v>111</v>
      </c>
      <c r="D4196" t="s">
        <v>112</v>
      </c>
      <c r="G4196" t="s">
        <v>48</v>
      </c>
      <c r="H4196">
        <v>1</v>
      </c>
      <c r="K4196" t="s">
        <v>1198</v>
      </c>
      <c r="L4196" t="s">
        <v>1199</v>
      </c>
      <c r="M4196" t="s">
        <v>1130</v>
      </c>
      <c r="N4196">
        <v>23</v>
      </c>
      <c r="P4196" t="s">
        <v>41</v>
      </c>
      <c r="Q4196" t="s">
        <v>75</v>
      </c>
      <c r="R4196" t="str">
        <f>"7311006"</f>
        <v>7311006</v>
      </c>
      <c r="S4196" t="s">
        <v>1200</v>
      </c>
      <c r="T4196" t="s">
        <v>1198</v>
      </c>
      <c r="U4196" t="s">
        <v>1199</v>
      </c>
      <c r="V4196" t="s">
        <v>1130</v>
      </c>
      <c r="W4196" t="s">
        <v>51</v>
      </c>
      <c r="X4196" t="s">
        <v>45</v>
      </c>
      <c r="Y4196" s="1">
        <v>24818</v>
      </c>
      <c r="Z4196">
        <v>1</v>
      </c>
      <c r="AA4196" t="s">
        <v>1199</v>
      </c>
      <c r="AB4196" s="40" t="s">
        <v>1799</v>
      </c>
    </row>
    <row r="4197" spans="1:28" x14ac:dyDescent="0.25">
      <c r="A4197">
        <v>99914196</v>
      </c>
      <c r="B4197" t="s">
        <v>32</v>
      </c>
      <c r="C4197" t="s">
        <v>64</v>
      </c>
      <c r="D4197" t="s">
        <v>65</v>
      </c>
      <c r="G4197" t="s">
        <v>48</v>
      </c>
      <c r="H4197">
        <v>1</v>
      </c>
      <c r="K4197" t="s">
        <v>223</v>
      </c>
      <c r="L4197" t="s">
        <v>224</v>
      </c>
      <c r="M4197" t="s">
        <v>131</v>
      </c>
      <c r="N4197">
        <v>23</v>
      </c>
      <c r="P4197" t="s">
        <v>41</v>
      </c>
      <c r="Q4197" t="s">
        <v>49</v>
      </c>
      <c r="R4197" t="str">
        <f>"0581206"</f>
        <v>0581206</v>
      </c>
      <c r="S4197" t="s">
        <v>232</v>
      </c>
      <c r="T4197" t="s">
        <v>223</v>
      </c>
      <c r="U4197" t="s">
        <v>224</v>
      </c>
      <c r="V4197" t="s">
        <v>131</v>
      </c>
      <c r="W4197" t="s">
        <v>51</v>
      </c>
      <c r="X4197" t="s">
        <v>45</v>
      </c>
      <c r="Y4197" s="1">
        <v>24810</v>
      </c>
      <c r="Z4197">
        <v>2</v>
      </c>
      <c r="AA4197" t="s">
        <v>224</v>
      </c>
      <c r="AB4197" s="40" t="s">
        <v>1799</v>
      </c>
    </row>
    <row r="4198" spans="1:28" x14ac:dyDescent="0.25">
      <c r="A4198">
        <v>99914197</v>
      </c>
      <c r="B4198" t="s">
        <v>32</v>
      </c>
      <c r="C4198" t="s">
        <v>46</v>
      </c>
      <c r="D4198" t="s">
        <v>47</v>
      </c>
      <c r="G4198" t="s">
        <v>35</v>
      </c>
      <c r="H4198">
        <v>1</v>
      </c>
      <c r="I4198">
        <v>21085</v>
      </c>
      <c r="J4198" s="1">
        <v>43005</v>
      </c>
      <c r="K4198" t="s">
        <v>380</v>
      </c>
      <c r="L4198" t="s">
        <v>381</v>
      </c>
      <c r="M4198" t="s">
        <v>131</v>
      </c>
      <c r="N4198">
        <v>23</v>
      </c>
      <c r="O4198" s="1">
        <v>43005</v>
      </c>
      <c r="P4198" t="s">
        <v>41</v>
      </c>
      <c r="Q4198" t="s">
        <v>42</v>
      </c>
      <c r="R4198" t="str">
        <f>"0561016"</f>
        <v>0561016</v>
      </c>
      <c r="S4198" t="s">
        <v>389</v>
      </c>
      <c r="T4198" t="s">
        <v>380</v>
      </c>
      <c r="U4198" t="s">
        <v>381</v>
      </c>
      <c r="V4198" t="s">
        <v>131</v>
      </c>
      <c r="W4198" t="s">
        <v>44</v>
      </c>
      <c r="X4198" t="s">
        <v>45</v>
      </c>
      <c r="Y4198" s="1">
        <v>24762</v>
      </c>
      <c r="Z4198">
        <v>2</v>
      </c>
      <c r="AA4198" t="s">
        <v>381</v>
      </c>
      <c r="AB4198" s="40" t="s">
        <v>1799</v>
      </c>
    </row>
    <row r="4199" spans="1:28" x14ac:dyDescent="0.25">
      <c r="A4199">
        <v>99914198</v>
      </c>
      <c r="B4199" t="s">
        <v>32</v>
      </c>
      <c r="C4199" t="s">
        <v>64</v>
      </c>
      <c r="D4199" t="s">
        <v>65</v>
      </c>
      <c r="G4199" t="s">
        <v>48</v>
      </c>
      <c r="H4199">
        <v>1</v>
      </c>
      <c r="K4199" t="s">
        <v>268</v>
      </c>
      <c r="L4199" t="s">
        <v>269</v>
      </c>
      <c r="M4199" t="s">
        <v>131</v>
      </c>
      <c r="N4199">
        <v>23</v>
      </c>
      <c r="P4199" t="s">
        <v>41</v>
      </c>
      <c r="Q4199" t="s">
        <v>75</v>
      </c>
      <c r="R4199" t="str">
        <f>"7052040"</f>
        <v>7052040</v>
      </c>
      <c r="S4199" t="s">
        <v>591</v>
      </c>
      <c r="T4199" t="s">
        <v>268</v>
      </c>
      <c r="U4199" t="s">
        <v>269</v>
      </c>
      <c r="V4199" t="s">
        <v>131</v>
      </c>
      <c r="W4199" t="s">
        <v>51</v>
      </c>
      <c r="X4199" t="s">
        <v>45</v>
      </c>
      <c r="Y4199" s="1">
        <v>24761</v>
      </c>
      <c r="Z4199">
        <v>1</v>
      </c>
      <c r="AA4199" t="s">
        <v>269</v>
      </c>
      <c r="AB4199" s="40" t="s">
        <v>1799</v>
      </c>
    </row>
    <row r="4200" spans="1:28" x14ac:dyDescent="0.25">
      <c r="A4200">
        <v>99914199</v>
      </c>
      <c r="B4200" t="s">
        <v>56</v>
      </c>
      <c r="C4200" t="s">
        <v>52</v>
      </c>
      <c r="D4200" t="s">
        <v>53</v>
      </c>
      <c r="G4200" t="s">
        <v>35</v>
      </c>
      <c r="H4200">
        <v>1</v>
      </c>
      <c r="K4200" t="s">
        <v>1051</v>
      </c>
      <c r="L4200" t="s">
        <v>1052</v>
      </c>
      <c r="M4200" t="s">
        <v>1053</v>
      </c>
      <c r="N4200">
        <v>23</v>
      </c>
      <c r="P4200" t="s">
        <v>41</v>
      </c>
      <c r="Q4200" t="s">
        <v>42</v>
      </c>
      <c r="R4200" t="str">
        <f>"2061003"</f>
        <v>2061003</v>
      </c>
      <c r="S4200" t="s">
        <v>1060</v>
      </c>
      <c r="T4200" t="s">
        <v>1051</v>
      </c>
      <c r="U4200" t="s">
        <v>1052</v>
      </c>
      <c r="V4200" t="s">
        <v>1053</v>
      </c>
      <c r="W4200" t="s">
        <v>51</v>
      </c>
      <c r="X4200" t="s">
        <v>45</v>
      </c>
      <c r="Y4200" s="1">
        <v>24623</v>
      </c>
      <c r="Z4200">
        <v>2</v>
      </c>
      <c r="AA4200" t="s">
        <v>1052</v>
      </c>
      <c r="AB4200" s="40" t="s">
        <v>1799</v>
      </c>
    </row>
    <row r="4201" spans="1:28" x14ac:dyDescent="0.25">
      <c r="A4201">
        <v>99914200</v>
      </c>
      <c r="B4201" t="s">
        <v>32</v>
      </c>
      <c r="C4201" t="s">
        <v>145</v>
      </c>
      <c r="D4201" t="s">
        <v>146</v>
      </c>
      <c r="G4201" t="s">
        <v>48</v>
      </c>
      <c r="H4201">
        <v>1</v>
      </c>
      <c r="K4201" t="s">
        <v>1051</v>
      </c>
      <c r="L4201" t="s">
        <v>1052</v>
      </c>
      <c r="M4201" t="s">
        <v>1053</v>
      </c>
      <c r="N4201">
        <v>23</v>
      </c>
      <c r="P4201" t="s">
        <v>41</v>
      </c>
      <c r="Q4201" t="s">
        <v>42</v>
      </c>
      <c r="R4201" t="str">
        <f>"2061001"</f>
        <v>2061001</v>
      </c>
      <c r="S4201" t="s">
        <v>1058</v>
      </c>
      <c r="T4201" t="s">
        <v>1051</v>
      </c>
      <c r="U4201" t="s">
        <v>1052</v>
      </c>
      <c r="V4201" t="s">
        <v>1053</v>
      </c>
      <c r="W4201" t="s">
        <v>51</v>
      </c>
      <c r="X4201" t="s">
        <v>45</v>
      </c>
      <c r="Y4201" s="1">
        <v>24508</v>
      </c>
      <c r="Z4201">
        <v>2</v>
      </c>
      <c r="AA4201" t="s">
        <v>1052</v>
      </c>
      <c r="AB4201" s="40" t="s">
        <v>1799</v>
      </c>
    </row>
    <row r="4202" spans="1:28" x14ac:dyDescent="0.25">
      <c r="A4202">
        <v>99914201</v>
      </c>
      <c r="B4202" t="s">
        <v>32</v>
      </c>
      <c r="C4202" t="s">
        <v>117</v>
      </c>
      <c r="D4202" t="s">
        <v>118</v>
      </c>
      <c r="G4202" t="s">
        <v>35</v>
      </c>
      <c r="H4202">
        <v>1</v>
      </c>
      <c r="I4202" t="s">
        <v>348</v>
      </c>
      <c r="J4202" s="1">
        <v>43344</v>
      </c>
      <c r="K4202" t="s">
        <v>345</v>
      </c>
      <c r="L4202" t="s">
        <v>346</v>
      </c>
      <c r="M4202" t="s">
        <v>131</v>
      </c>
      <c r="N4202">
        <v>23</v>
      </c>
      <c r="O4202" s="1">
        <v>43344</v>
      </c>
      <c r="P4202" t="s">
        <v>41</v>
      </c>
      <c r="Q4202" t="s">
        <v>49</v>
      </c>
      <c r="R4202" t="str">
        <f>"0581155"</f>
        <v>0581155</v>
      </c>
      <c r="S4202" t="s">
        <v>349</v>
      </c>
      <c r="T4202" t="s">
        <v>345</v>
      </c>
      <c r="U4202" t="s">
        <v>346</v>
      </c>
      <c r="V4202" t="s">
        <v>131</v>
      </c>
      <c r="W4202" t="s">
        <v>51</v>
      </c>
      <c r="X4202" t="s">
        <v>45</v>
      </c>
      <c r="Y4202" s="1">
        <v>24473</v>
      </c>
      <c r="Z4202">
        <v>2</v>
      </c>
      <c r="AA4202" t="s">
        <v>346</v>
      </c>
      <c r="AB4202" s="40" t="s">
        <v>1799</v>
      </c>
    </row>
    <row r="4203" spans="1:28" x14ac:dyDescent="0.25">
      <c r="A4203">
        <v>99914202</v>
      </c>
      <c r="B4203" t="s">
        <v>56</v>
      </c>
      <c r="C4203" t="s">
        <v>85</v>
      </c>
      <c r="D4203" t="s">
        <v>86</v>
      </c>
      <c r="G4203" t="s">
        <v>35</v>
      </c>
      <c r="H4203">
        <v>1</v>
      </c>
      <c r="K4203" t="s">
        <v>1268</v>
      </c>
      <c r="L4203" t="s">
        <v>1269</v>
      </c>
      <c r="M4203" t="s">
        <v>1270</v>
      </c>
      <c r="N4203">
        <v>23</v>
      </c>
      <c r="P4203" t="s">
        <v>41</v>
      </c>
      <c r="Q4203" t="s">
        <v>49</v>
      </c>
      <c r="R4203" t="str">
        <f>"1981914"</f>
        <v>1981914</v>
      </c>
      <c r="S4203" t="s">
        <v>1287</v>
      </c>
      <c r="T4203" t="s">
        <v>1268</v>
      </c>
      <c r="U4203" t="s">
        <v>1269</v>
      </c>
      <c r="V4203" t="s">
        <v>1270</v>
      </c>
      <c r="W4203" t="s">
        <v>51</v>
      </c>
      <c r="X4203" t="s">
        <v>45</v>
      </c>
      <c r="Y4203" s="1">
        <v>24473</v>
      </c>
      <c r="Z4203">
        <v>2</v>
      </c>
      <c r="AA4203" t="s">
        <v>1269</v>
      </c>
      <c r="AB4203" s="40" t="s">
        <v>1799</v>
      </c>
    </row>
    <row r="4204" spans="1:28" x14ac:dyDescent="0.25">
      <c r="A4204">
        <v>99914203</v>
      </c>
      <c r="B4204" t="s">
        <v>56</v>
      </c>
      <c r="C4204" t="s">
        <v>111</v>
      </c>
      <c r="D4204" t="s">
        <v>112</v>
      </c>
      <c r="G4204" t="s">
        <v>48</v>
      </c>
      <c r="H4204">
        <v>8</v>
      </c>
      <c r="K4204" t="s">
        <v>354</v>
      </c>
      <c r="L4204" t="s">
        <v>355</v>
      </c>
      <c r="M4204" t="s">
        <v>131</v>
      </c>
      <c r="N4204">
        <v>23</v>
      </c>
      <c r="P4204" t="s">
        <v>41</v>
      </c>
      <c r="Q4204" t="s">
        <v>75</v>
      </c>
      <c r="R4204" t="str">
        <f>"7054038"</f>
        <v>7054038</v>
      </c>
      <c r="S4204" t="s">
        <v>377</v>
      </c>
      <c r="T4204" t="s">
        <v>354</v>
      </c>
      <c r="U4204" t="s">
        <v>355</v>
      </c>
      <c r="V4204" t="s">
        <v>131</v>
      </c>
      <c r="W4204" t="s">
        <v>51</v>
      </c>
      <c r="X4204" t="s">
        <v>45</v>
      </c>
      <c r="Y4204" s="1">
        <v>24416</v>
      </c>
      <c r="Z4204">
        <v>1</v>
      </c>
      <c r="AA4204" t="s">
        <v>355</v>
      </c>
      <c r="AB4204" s="40" t="s">
        <v>1799</v>
      </c>
    </row>
    <row r="4205" spans="1:28" x14ac:dyDescent="0.25">
      <c r="A4205">
        <v>99914204</v>
      </c>
      <c r="B4205" t="s">
        <v>56</v>
      </c>
      <c r="C4205" t="s">
        <v>68</v>
      </c>
      <c r="D4205" t="s">
        <v>69</v>
      </c>
      <c r="G4205" t="s">
        <v>48</v>
      </c>
      <c r="H4205">
        <v>1</v>
      </c>
      <c r="K4205" t="s">
        <v>162</v>
      </c>
      <c r="L4205" t="s">
        <v>158</v>
      </c>
      <c r="M4205" t="s">
        <v>131</v>
      </c>
      <c r="N4205">
        <v>23</v>
      </c>
      <c r="P4205" t="s">
        <v>41</v>
      </c>
      <c r="Q4205" t="s">
        <v>49</v>
      </c>
      <c r="R4205" t="str">
        <f>"0560003"</f>
        <v>0560003</v>
      </c>
      <c r="S4205" t="s">
        <v>181</v>
      </c>
      <c r="T4205" t="s">
        <v>162</v>
      </c>
      <c r="U4205" t="s">
        <v>158</v>
      </c>
      <c r="V4205" t="s">
        <v>131</v>
      </c>
      <c r="W4205" t="s">
        <v>51</v>
      </c>
      <c r="X4205" t="s">
        <v>45</v>
      </c>
      <c r="Y4205" s="1">
        <v>24368</v>
      </c>
      <c r="Z4205">
        <v>2</v>
      </c>
      <c r="AA4205" t="s">
        <v>158</v>
      </c>
      <c r="AB4205" s="40" t="s">
        <v>1799</v>
      </c>
    </row>
    <row r="4206" spans="1:28" x14ac:dyDescent="0.25">
      <c r="A4206">
        <v>99914205</v>
      </c>
      <c r="B4206" t="s">
        <v>56</v>
      </c>
      <c r="C4206" t="s">
        <v>52</v>
      </c>
      <c r="D4206" t="s">
        <v>53</v>
      </c>
      <c r="G4206" t="s">
        <v>48</v>
      </c>
      <c r="H4206">
        <v>1</v>
      </c>
      <c r="K4206" t="s">
        <v>345</v>
      </c>
      <c r="L4206" t="s">
        <v>346</v>
      </c>
      <c r="M4206" t="s">
        <v>131</v>
      </c>
      <c r="N4206">
        <v>23</v>
      </c>
      <c r="P4206" t="s">
        <v>41</v>
      </c>
      <c r="Q4206" t="s">
        <v>42</v>
      </c>
      <c r="R4206" t="str">
        <f>"0580650"</f>
        <v>0580650</v>
      </c>
      <c r="S4206" t="s">
        <v>356</v>
      </c>
      <c r="T4206" t="s">
        <v>345</v>
      </c>
      <c r="U4206" t="s">
        <v>346</v>
      </c>
      <c r="V4206" t="s">
        <v>131</v>
      </c>
      <c r="W4206" t="s">
        <v>51</v>
      </c>
      <c r="X4206" t="s">
        <v>45</v>
      </c>
      <c r="Y4206" s="1">
        <v>24282</v>
      </c>
      <c r="Z4206">
        <v>2</v>
      </c>
      <c r="AA4206" t="s">
        <v>346</v>
      </c>
      <c r="AB4206" s="40" t="s">
        <v>1799</v>
      </c>
    </row>
    <row r="4207" spans="1:28" x14ac:dyDescent="0.25">
      <c r="A4207">
        <v>99914206</v>
      </c>
      <c r="B4207" t="s">
        <v>32</v>
      </c>
      <c r="C4207" t="s">
        <v>71</v>
      </c>
      <c r="D4207" t="s">
        <v>72</v>
      </c>
      <c r="G4207" t="s">
        <v>35</v>
      </c>
      <c r="H4207">
        <v>1</v>
      </c>
      <c r="I4207">
        <v>0</v>
      </c>
      <c r="J4207" s="1">
        <v>43344</v>
      </c>
      <c r="K4207" t="s">
        <v>223</v>
      </c>
      <c r="L4207" t="s">
        <v>224</v>
      </c>
      <c r="M4207" t="s">
        <v>131</v>
      </c>
      <c r="N4207">
        <v>23</v>
      </c>
      <c r="O4207" s="1">
        <v>43344</v>
      </c>
      <c r="P4207" t="s">
        <v>41</v>
      </c>
      <c r="Q4207" t="s">
        <v>49</v>
      </c>
      <c r="R4207" t="str">
        <f>"0581207"</f>
        <v>0581207</v>
      </c>
      <c r="S4207" t="s">
        <v>233</v>
      </c>
      <c r="T4207" t="s">
        <v>223</v>
      </c>
      <c r="U4207" t="s">
        <v>224</v>
      </c>
      <c r="V4207" t="s">
        <v>131</v>
      </c>
      <c r="W4207" t="s">
        <v>44</v>
      </c>
      <c r="X4207" t="s">
        <v>45</v>
      </c>
      <c r="Y4207" s="1">
        <v>24108</v>
      </c>
      <c r="Z4207">
        <v>2</v>
      </c>
      <c r="AA4207" t="s">
        <v>224</v>
      </c>
      <c r="AB4207" s="40" t="s">
        <v>1799</v>
      </c>
    </row>
    <row r="4208" spans="1:28" x14ac:dyDescent="0.25">
      <c r="A4208">
        <v>99914207</v>
      </c>
      <c r="B4208" t="s">
        <v>32</v>
      </c>
      <c r="C4208" t="s">
        <v>139</v>
      </c>
      <c r="D4208" t="s">
        <v>140</v>
      </c>
      <c r="G4208" t="s">
        <v>35</v>
      </c>
      <c r="H4208">
        <v>1</v>
      </c>
      <c r="K4208" t="s">
        <v>154</v>
      </c>
      <c r="L4208" t="s">
        <v>155</v>
      </c>
      <c r="M4208" t="s">
        <v>131</v>
      </c>
      <c r="N4208">
        <v>23</v>
      </c>
      <c r="P4208" t="s">
        <v>41</v>
      </c>
      <c r="Q4208" t="s">
        <v>75</v>
      </c>
      <c r="R4208" t="str">
        <f>"7051014"</f>
        <v>7051014</v>
      </c>
      <c r="S4208" t="s">
        <v>398</v>
      </c>
      <c r="T4208" t="s">
        <v>154</v>
      </c>
      <c r="U4208" t="s">
        <v>155</v>
      </c>
      <c r="V4208" t="s">
        <v>131</v>
      </c>
      <c r="W4208" t="s">
        <v>165</v>
      </c>
      <c r="X4208" t="s">
        <v>45</v>
      </c>
      <c r="Y4208" s="1">
        <v>24108</v>
      </c>
      <c r="Z4208">
        <v>1</v>
      </c>
      <c r="AA4208" t="s">
        <v>155</v>
      </c>
      <c r="AB4208" s="40" t="s">
        <v>1799</v>
      </c>
    </row>
    <row r="4209" spans="1:28" x14ac:dyDescent="0.25">
      <c r="A4209">
        <v>99914208</v>
      </c>
      <c r="B4209" t="s">
        <v>32</v>
      </c>
      <c r="C4209" t="s">
        <v>111</v>
      </c>
      <c r="D4209" t="s">
        <v>112</v>
      </c>
      <c r="G4209" t="s">
        <v>48</v>
      </c>
      <c r="H4209">
        <v>6</v>
      </c>
      <c r="J4209" s="1">
        <v>43344</v>
      </c>
      <c r="K4209" t="s">
        <v>354</v>
      </c>
      <c r="L4209" t="s">
        <v>355</v>
      </c>
      <c r="M4209" t="s">
        <v>131</v>
      </c>
      <c r="N4209">
        <v>23</v>
      </c>
      <c r="O4209" s="1">
        <v>43344</v>
      </c>
      <c r="P4209" t="s">
        <v>41</v>
      </c>
      <c r="Q4209" t="s">
        <v>75</v>
      </c>
      <c r="R4209" t="str">
        <f>"7054002"</f>
        <v>7054002</v>
      </c>
      <c r="S4209" t="s">
        <v>376</v>
      </c>
      <c r="T4209" t="s">
        <v>354</v>
      </c>
      <c r="U4209" t="s">
        <v>355</v>
      </c>
      <c r="V4209" t="s">
        <v>131</v>
      </c>
      <c r="W4209" t="s">
        <v>51</v>
      </c>
      <c r="X4209" t="s">
        <v>45</v>
      </c>
      <c r="Y4209" s="1">
        <v>24073</v>
      </c>
      <c r="Z4209">
        <v>1</v>
      </c>
      <c r="AA4209" t="s">
        <v>355</v>
      </c>
      <c r="AB4209" s="40" t="s">
        <v>1799</v>
      </c>
    </row>
    <row r="4210" spans="1:28" x14ac:dyDescent="0.25">
      <c r="A4210">
        <v>99914209</v>
      </c>
      <c r="B4210" t="s">
        <v>32</v>
      </c>
      <c r="C4210" t="s">
        <v>111</v>
      </c>
      <c r="D4210" t="s">
        <v>112</v>
      </c>
      <c r="G4210" t="s">
        <v>35</v>
      </c>
      <c r="H4210">
        <v>7</v>
      </c>
      <c r="K4210" t="s">
        <v>268</v>
      </c>
      <c r="L4210" t="s">
        <v>269</v>
      </c>
      <c r="M4210" t="s">
        <v>131</v>
      </c>
      <c r="N4210">
        <v>23</v>
      </c>
      <c r="P4210" t="s">
        <v>41</v>
      </c>
      <c r="Q4210" t="s">
        <v>75</v>
      </c>
      <c r="R4210" t="str">
        <f>"7052004"</f>
        <v>7052004</v>
      </c>
      <c r="S4210" t="s">
        <v>584</v>
      </c>
      <c r="T4210" t="s">
        <v>268</v>
      </c>
      <c r="U4210" t="s">
        <v>269</v>
      </c>
      <c r="V4210" t="s">
        <v>131</v>
      </c>
      <c r="W4210" t="s">
        <v>51</v>
      </c>
      <c r="X4210" t="s">
        <v>45</v>
      </c>
      <c r="Y4210" s="1">
        <v>24041</v>
      </c>
      <c r="Z4210">
        <v>1</v>
      </c>
      <c r="AA4210" t="s">
        <v>269</v>
      </c>
      <c r="AB4210" s="40" t="s">
        <v>1799</v>
      </c>
    </row>
    <row r="4211" spans="1:28" x14ac:dyDescent="0.25">
      <c r="A4211">
        <v>99914210</v>
      </c>
      <c r="B4211" t="s">
        <v>56</v>
      </c>
      <c r="C4211" t="s">
        <v>68</v>
      </c>
      <c r="D4211" t="s">
        <v>69</v>
      </c>
      <c r="G4211" t="s">
        <v>48</v>
      </c>
      <c r="H4211">
        <v>1</v>
      </c>
      <c r="K4211" t="s">
        <v>1546</v>
      </c>
      <c r="L4211" t="s">
        <v>1547</v>
      </c>
      <c r="M4211" t="s">
        <v>1548</v>
      </c>
      <c r="N4211">
        <v>23</v>
      </c>
      <c r="P4211" t="s">
        <v>41</v>
      </c>
      <c r="Q4211" t="s">
        <v>49</v>
      </c>
      <c r="R4211" t="str">
        <f>"1060001"</f>
        <v>1060001</v>
      </c>
      <c r="S4211" t="s">
        <v>1553</v>
      </c>
      <c r="T4211" t="s">
        <v>1546</v>
      </c>
      <c r="U4211" t="s">
        <v>1547</v>
      </c>
      <c r="V4211" t="s">
        <v>1548</v>
      </c>
      <c r="W4211" t="s">
        <v>51</v>
      </c>
      <c r="X4211" t="s">
        <v>45</v>
      </c>
      <c r="Y4211" s="1">
        <v>23492</v>
      </c>
      <c r="Z4211">
        <v>2</v>
      </c>
      <c r="AA4211" t="s">
        <v>1547</v>
      </c>
      <c r="AB4211" s="40" t="s">
        <v>1799</v>
      </c>
    </row>
    <row r="4212" spans="1:28" x14ac:dyDescent="0.25">
      <c r="A4212">
        <v>99914211</v>
      </c>
      <c r="B4212" t="s">
        <v>32</v>
      </c>
      <c r="C4212" t="s">
        <v>71</v>
      </c>
      <c r="D4212" t="s">
        <v>72</v>
      </c>
      <c r="G4212" t="s">
        <v>48</v>
      </c>
      <c r="H4212">
        <v>1</v>
      </c>
      <c r="K4212" t="s">
        <v>354</v>
      </c>
      <c r="L4212" t="s">
        <v>355</v>
      </c>
      <c r="M4212" t="s">
        <v>131</v>
      </c>
      <c r="N4212">
        <v>23</v>
      </c>
      <c r="P4212" t="s">
        <v>41</v>
      </c>
      <c r="Q4212" t="s">
        <v>75</v>
      </c>
      <c r="R4212" t="str">
        <f>"7054038"</f>
        <v>7054038</v>
      </c>
      <c r="S4212" t="s">
        <v>377</v>
      </c>
      <c r="T4212" t="s">
        <v>354</v>
      </c>
      <c r="U4212" t="s">
        <v>355</v>
      </c>
      <c r="V4212" t="s">
        <v>131</v>
      </c>
      <c r="W4212" t="s">
        <v>51</v>
      </c>
      <c r="X4212" t="s">
        <v>45</v>
      </c>
      <c r="Y4212" s="1">
        <v>23488</v>
      </c>
      <c r="Z4212">
        <v>1</v>
      </c>
      <c r="AA4212" t="s">
        <v>355</v>
      </c>
      <c r="AB4212" s="40" t="s">
        <v>1799</v>
      </c>
    </row>
    <row r="4213" spans="1:28" x14ac:dyDescent="0.25">
      <c r="A4213">
        <v>99914212</v>
      </c>
      <c r="B4213" t="s">
        <v>56</v>
      </c>
      <c r="C4213" t="s">
        <v>141</v>
      </c>
      <c r="D4213" t="s">
        <v>142</v>
      </c>
      <c r="G4213" t="s">
        <v>35</v>
      </c>
      <c r="H4213">
        <v>1</v>
      </c>
      <c r="K4213" t="s">
        <v>1564</v>
      </c>
      <c r="L4213" t="s">
        <v>1565</v>
      </c>
      <c r="M4213" t="s">
        <v>1548</v>
      </c>
      <c r="N4213">
        <v>23</v>
      </c>
      <c r="P4213" t="s">
        <v>41</v>
      </c>
      <c r="Q4213" t="s">
        <v>75</v>
      </c>
      <c r="R4213" t="str">
        <f>"7101000"</f>
        <v>7101000</v>
      </c>
      <c r="S4213" t="s">
        <v>1572</v>
      </c>
      <c r="T4213" t="s">
        <v>1564</v>
      </c>
      <c r="U4213" t="s">
        <v>1565</v>
      </c>
      <c r="V4213" t="s">
        <v>1548</v>
      </c>
      <c r="W4213" t="s">
        <v>51</v>
      </c>
      <c r="X4213" t="s">
        <v>45</v>
      </c>
      <c r="Y4213" s="1">
        <v>23450</v>
      </c>
      <c r="Z4213">
        <v>1</v>
      </c>
      <c r="AA4213" t="s">
        <v>1565</v>
      </c>
      <c r="AB4213" s="40" t="s">
        <v>1799</v>
      </c>
    </row>
    <row r="4214" spans="1:28" x14ac:dyDescent="0.25">
      <c r="A4214">
        <v>99914213</v>
      </c>
      <c r="B4214" t="s">
        <v>56</v>
      </c>
      <c r="C4214" t="s">
        <v>68</v>
      </c>
      <c r="D4214" t="s">
        <v>69</v>
      </c>
      <c r="G4214" t="s">
        <v>35</v>
      </c>
      <c r="H4214">
        <v>1</v>
      </c>
      <c r="I4214" t="s">
        <v>294</v>
      </c>
      <c r="J4214" s="1">
        <v>43344</v>
      </c>
      <c r="K4214" t="s">
        <v>223</v>
      </c>
      <c r="L4214" t="s">
        <v>224</v>
      </c>
      <c r="M4214" t="s">
        <v>131</v>
      </c>
      <c r="N4214">
        <v>23</v>
      </c>
      <c r="O4214" s="1">
        <v>43344</v>
      </c>
      <c r="P4214" t="s">
        <v>41</v>
      </c>
      <c r="Q4214" t="s">
        <v>42</v>
      </c>
      <c r="R4214" t="str">
        <f>"0590903"</f>
        <v>0590903</v>
      </c>
      <c r="S4214" t="s">
        <v>226</v>
      </c>
      <c r="T4214" t="s">
        <v>223</v>
      </c>
      <c r="U4214" t="s">
        <v>224</v>
      </c>
      <c r="V4214" t="s">
        <v>131</v>
      </c>
      <c r="W4214" t="s">
        <v>44</v>
      </c>
      <c r="X4214" t="s">
        <v>45</v>
      </c>
      <c r="Y4214" s="1">
        <v>22967</v>
      </c>
      <c r="Z4214">
        <v>2</v>
      </c>
      <c r="AA4214" t="s">
        <v>224</v>
      </c>
      <c r="AB4214" s="40" t="s">
        <v>1799</v>
      </c>
    </row>
    <row r="4215" spans="1:28" x14ac:dyDescent="0.25">
      <c r="A4215">
        <v>99914214</v>
      </c>
      <c r="B4215" t="s">
        <v>56</v>
      </c>
      <c r="C4215" t="s">
        <v>111</v>
      </c>
      <c r="D4215" t="s">
        <v>112</v>
      </c>
      <c r="G4215" t="s">
        <v>35</v>
      </c>
      <c r="H4215">
        <v>1</v>
      </c>
      <c r="I4215" t="s">
        <v>596</v>
      </c>
      <c r="J4215" s="1">
        <v>43344</v>
      </c>
      <c r="K4215" t="s">
        <v>268</v>
      </c>
      <c r="L4215" t="s">
        <v>269</v>
      </c>
      <c r="M4215" t="s">
        <v>131</v>
      </c>
      <c r="N4215">
        <v>23</v>
      </c>
      <c r="O4215" s="1">
        <v>43344</v>
      </c>
      <c r="P4215" t="s">
        <v>41</v>
      </c>
      <c r="Q4215" t="s">
        <v>75</v>
      </c>
      <c r="R4215" t="str">
        <f>"7052020"</f>
        <v>7052020</v>
      </c>
      <c r="S4215" t="s">
        <v>267</v>
      </c>
      <c r="T4215" t="s">
        <v>268</v>
      </c>
      <c r="U4215" t="s">
        <v>269</v>
      </c>
      <c r="V4215" t="s">
        <v>131</v>
      </c>
      <c r="W4215" t="s">
        <v>51</v>
      </c>
      <c r="X4215" t="s">
        <v>45</v>
      </c>
      <c r="Y4215" s="1">
        <v>22868</v>
      </c>
      <c r="Z4215">
        <v>1</v>
      </c>
      <c r="AA4215" t="s">
        <v>269</v>
      </c>
      <c r="AB4215" s="40" t="s">
        <v>1799</v>
      </c>
    </row>
    <row r="4216" spans="1:28" x14ac:dyDescent="0.25">
      <c r="A4216">
        <v>99914215</v>
      </c>
      <c r="B4216" t="s">
        <v>56</v>
      </c>
      <c r="C4216" t="s">
        <v>46</v>
      </c>
      <c r="D4216" t="s">
        <v>47</v>
      </c>
      <c r="G4216" t="s">
        <v>35</v>
      </c>
      <c r="H4216">
        <v>1</v>
      </c>
      <c r="I4216">
        <v>0</v>
      </c>
      <c r="J4216" s="1">
        <v>43344</v>
      </c>
      <c r="K4216" t="s">
        <v>223</v>
      </c>
      <c r="L4216" t="s">
        <v>224</v>
      </c>
      <c r="M4216" t="s">
        <v>131</v>
      </c>
      <c r="N4216">
        <v>23</v>
      </c>
      <c r="O4216" s="1">
        <v>43344</v>
      </c>
      <c r="P4216" t="s">
        <v>41</v>
      </c>
      <c r="Q4216" t="s">
        <v>49</v>
      </c>
      <c r="R4216" t="str">
        <f>"0561022"</f>
        <v>0561022</v>
      </c>
      <c r="S4216" t="s">
        <v>225</v>
      </c>
      <c r="T4216" t="s">
        <v>223</v>
      </c>
      <c r="U4216" t="s">
        <v>224</v>
      </c>
      <c r="V4216" t="s">
        <v>131</v>
      </c>
      <c r="W4216" t="s">
        <v>44</v>
      </c>
      <c r="X4216" t="s">
        <v>45</v>
      </c>
      <c r="Y4216" s="1">
        <v>21907</v>
      </c>
      <c r="Z4216">
        <v>2</v>
      </c>
      <c r="AA4216" t="s">
        <v>224</v>
      </c>
      <c r="AB4216" s="40" t="s">
        <v>1799</v>
      </c>
    </row>
    <row r="4217" spans="1:28" x14ac:dyDescent="0.25">
      <c r="A4217">
        <v>99914216</v>
      </c>
      <c r="B4217" t="s">
        <v>56</v>
      </c>
      <c r="C4217" t="s">
        <v>141</v>
      </c>
      <c r="D4217" t="s">
        <v>142</v>
      </c>
      <c r="G4217" t="s">
        <v>48</v>
      </c>
      <c r="H4217">
        <v>7</v>
      </c>
      <c r="I4217" t="s">
        <v>503</v>
      </c>
      <c r="J4217" s="1">
        <v>40422</v>
      </c>
      <c r="K4217" t="s">
        <v>195</v>
      </c>
      <c r="L4217" t="s">
        <v>196</v>
      </c>
      <c r="M4217" t="s">
        <v>131</v>
      </c>
      <c r="N4217">
        <v>23</v>
      </c>
      <c r="O4217" s="1">
        <v>40422</v>
      </c>
      <c r="P4217" t="s">
        <v>41</v>
      </c>
      <c r="Q4217" t="s">
        <v>75</v>
      </c>
      <c r="R4217" t="str">
        <f>"7521050"</f>
        <v>7521050</v>
      </c>
      <c r="S4217" t="s">
        <v>194</v>
      </c>
      <c r="T4217" t="s">
        <v>195</v>
      </c>
      <c r="U4217" t="s">
        <v>196</v>
      </c>
      <c r="V4217" t="s">
        <v>131</v>
      </c>
      <c r="W4217" t="s">
        <v>51</v>
      </c>
      <c r="X4217" t="s">
        <v>45</v>
      </c>
      <c r="Y4217" s="1">
        <v>21835</v>
      </c>
      <c r="Z4217">
        <v>1</v>
      </c>
      <c r="AA4217" t="s">
        <v>196</v>
      </c>
      <c r="AB4217" s="40" t="s">
        <v>1799</v>
      </c>
    </row>
    <row r="4218" spans="1:28" x14ac:dyDescent="0.25">
      <c r="A4218">
        <v>99914217</v>
      </c>
      <c r="B4218" t="s">
        <v>32</v>
      </c>
      <c r="C4218" t="s">
        <v>143</v>
      </c>
      <c r="D4218" t="s">
        <v>144</v>
      </c>
      <c r="G4218" t="s">
        <v>48</v>
      </c>
      <c r="H4218">
        <v>1</v>
      </c>
      <c r="K4218" t="s">
        <v>345</v>
      </c>
      <c r="L4218" t="s">
        <v>346</v>
      </c>
      <c r="M4218" t="s">
        <v>131</v>
      </c>
      <c r="N4218">
        <v>23</v>
      </c>
      <c r="P4218" t="s">
        <v>41</v>
      </c>
      <c r="Q4218" t="s">
        <v>49</v>
      </c>
      <c r="R4218" t="str">
        <f>"0560004"</f>
        <v>0560004</v>
      </c>
      <c r="S4218" t="s">
        <v>371</v>
      </c>
      <c r="T4218" t="s">
        <v>345</v>
      </c>
      <c r="U4218" t="s">
        <v>346</v>
      </c>
      <c r="V4218" t="s">
        <v>131</v>
      </c>
      <c r="W4218" t="s">
        <v>51</v>
      </c>
      <c r="X4218" t="s">
        <v>45</v>
      </c>
      <c r="Y4218" s="1">
        <v>21298</v>
      </c>
      <c r="Z4218">
        <v>2</v>
      </c>
      <c r="AA4218" t="s">
        <v>346</v>
      </c>
      <c r="AB4218" s="40" t="s">
        <v>1799</v>
      </c>
    </row>
    <row r="4219" spans="1:28" x14ac:dyDescent="0.25">
      <c r="A4219">
        <v>99914218</v>
      </c>
      <c r="B4219" t="s">
        <v>56</v>
      </c>
      <c r="C4219" t="s">
        <v>64</v>
      </c>
      <c r="D4219" t="s">
        <v>65</v>
      </c>
      <c r="G4219" t="s">
        <v>35</v>
      </c>
      <c r="H4219">
        <v>1</v>
      </c>
      <c r="K4219" t="s">
        <v>223</v>
      </c>
      <c r="L4219" t="s">
        <v>224</v>
      </c>
      <c r="M4219" t="s">
        <v>131</v>
      </c>
      <c r="N4219">
        <v>23</v>
      </c>
      <c r="P4219" t="s">
        <v>41</v>
      </c>
      <c r="Q4219" t="s">
        <v>49</v>
      </c>
      <c r="R4219" t="str">
        <f>"0581207"</f>
        <v>0581207</v>
      </c>
      <c r="S4219" t="s">
        <v>233</v>
      </c>
      <c r="T4219" t="s">
        <v>223</v>
      </c>
      <c r="U4219" t="s">
        <v>224</v>
      </c>
      <c r="V4219" t="s">
        <v>131</v>
      </c>
      <c r="W4219" t="s">
        <v>165</v>
      </c>
      <c r="X4219" t="s">
        <v>45</v>
      </c>
      <c r="Y4219" s="1">
        <v>20960</v>
      </c>
      <c r="Z4219">
        <v>2</v>
      </c>
      <c r="AA4219" t="s">
        <v>224</v>
      </c>
      <c r="AB4219" s="40" t="s">
        <v>1799</v>
      </c>
    </row>
    <row r="4220" spans="1:28" x14ac:dyDescent="0.25">
      <c r="A4220">
        <v>99914219</v>
      </c>
      <c r="B4220" t="s">
        <v>56</v>
      </c>
      <c r="C4220" t="s">
        <v>46</v>
      </c>
      <c r="D4220" t="s">
        <v>47</v>
      </c>
      <c r="G4220" t="s">
        <v>35</v>
      </c>
      <c r="H4220">
        <v>1</v>
      </c>
      <c r="I4220">
        <v>0</v>
      </c>
      <c r="J4220" s="1">
        <v>43344</v>
      </c>
      <c r="K4220" t="s">
        <v>223</v>
      </c>
      <c r="L4220" t="s">
        <v>224</v>
      </c>
      <c r="M4220" t="s">
        <v>131</v>
      </c>
      <c r="N4220">
        <v>23</v>
      </c>
      <c r="O4220" s="1">
        <v>43344</v>
      </c>
      <c r="P4220" t="s">
        <v>41</v>
      </c>
      <c r="Q4220" t="s">
        <v>49</v>
      </c>
      <c r="R4220" t="str">
        <f>"0561022"</f>
        <v>0561022</v>
      </c>
      <c r="S4220" t="s">
        <v>225</v>
      </c>
      <c r="T4220" t="s">
        <v>223</v>
      </c>
      <c r="U4220" t="s">
        <v>224</v>
      </c>
      <c r="V4220" t="s">
        <v>131</v>
      </c>
      <c r="W4220" t="s">
        <v>44</v>
      </c>
      <c r="X4220" t="s">
        <v>45</v>
      </c>
      <c r="Y4220" s="1">
        <v>1</v>
      </c>
      <c r="Z4220">
        <v>2</v>
      </c>
      <c r="AA4220" t="s">
        <v>224</v>
      </c>
      <c r="AB4220" s="40" t="s">
        <v>1799</v>
      </c>
    </row>
    <row r="4221" spans="1:28" x14ac:dyDescent="0.25">
      <c r="A4221">
        <v>99914220</v>
      </c>
      <c r="B4221" t="s">
        <v>32</v>
      </c>
      <c r="C4221" t="s">
        <v>79</v>
      </c>
      <c r="D4221" t="s">
        <v>80</v>
      </c>
      <c r="G4221" t="s">
        <v>35</v>
      </c>
      <c r="H4221">
        <v>1</v>
      </c>
      <c r="I4221" t="s">
        <v>273</v>
      </c>
      <c r="J4221" s="1">
        <v>41900</v>
      </c>
      <c r="K4221" t="s">
        <v>154</v>
      </c>
      <c r="L4221" t="s">
        <v>155</v>
      </c>
      <c r="M4221" t="s">
        <v>131</v>
      </c>
      <c r="N4221">
        <v>23</v>
      </c>
      <c r="O4221" s="1">
        <v>41900</v>
      </c>
      <c r="P4221" t="s">
        <v>41</v>
      </c>
      <c r="Q4221" t="s">
        <v>75</v>
      </c>
      <c r="R4221" t="str">
        <f>"7051032"</f>
        <v>7051032</v>
      </c>
      <c r="S4221" t="s">
        <v>400</v>
      </c>
      <c r="T4221" t="s">
        <v>154</v>
      </c>
      <c r="U4221" t="s">
        <v>155</v>
      </c>
      <c r="V4221" t="s">
        <v>131</v>
      </c>
      <c r="W4221" t="s">
        <v>51</v>
      </c>
      <c r="X4221" t="s">
        <v>45</v>
      </c>
      <c r="Y4221" s="1">
        <v>1</v>
      </c>
      <c r="Z4221">
        <v>1</v>
      </c>
      <c r="AA4221" t="s">
        <v>155</v>
      </c>
      <c r="AB4221" s="40" t="s">
        <v>1799</v>
      </c>
    </row>
    <row r="4222" spans="1:28" x14ac:dyDescent="0.25">
      <c r="A4222">
        <v>99914221</v>
      </c>
      <c r="B4222" t="s">
        <v>32</v>
      </c>
      <c r="C4222" t="s">
        <v>52</v>
      </c>
      <c r="D4222" t="s">
        <v>53</v>
      </c>
      <c r="G4222" t="s">
        <v>35</v>
      </c>
      <c r="H4222">
        <v>1</v>
      </c>
      <c r="I4222">
        <v>19614</v>
      </c>
      <c r="J4222" s="1">
        <v>43412</v>
      </c>
      <c r="K4222" t="s">
        <v>157</v>
      </c>
      <c r="L4222" t="s">
        <v>158</v>
      </c>
      <c r="M4222" t="s">
        <v>131</v>
      </c>
      <c r="N4222">
        <v>23</v>
      </c>
      <c r="O4222" s="1">
        <v>43412</v>
      </c>
      <c r="P4222" t="s">
        <v>41</v>
      </c>
      <c r="Q4222" t="s">
        <v>49</v>
      </c>
      <c r="R4222" t="str">
        <f>"0560042"</f>
        <v>0560042</v>
      </c>
      <c r="S4222" t="s">
        <v>159</v>
      </c>
      <c r="T4222" t="s">
        <v>157</v>
      </c>
      <c r="U4222" t="s">
        <v>158</v>
      </c>
      <c r="V4222" t="s">
        <v>131</v>
      </c>
      <c r="W4222" t="s">
        <v>51</v>
      </c>
      <c r="X4222" t="s">
        <v>45</v>
      </c>
      <c r="Z4222">
        <v>2</v>
      </c>
      <c r="AA4222" t="s">
        <v>158</v>
      </c>
      <c r="AB4222" s="40" t="s">
        <v>1799</v>
      </c>
    </row>
    <row r="4223" spans="1:28" x14ac:dyDescent="0.25">
      <c r="A4223">
        <v>99914222</v>
      </c>
      <c r="B4223" t="s">
        <v>56</v>
      </c>
      <c r="C4223" t="s">
        <v>68</v>
      </c>
      <c r="D4223" t="s">
        <v>69</v>
      </c>
      <c r="G4223" t="s">
        <v>35</v>
      </c>
      <c r="H4223">
        <v>1</v>
      </c>
      <c r="I4223">
        <v>18994</v>
      </c>
      <c r="J4223" s="1">
        <v>43411</v>
      </c>
      <c r="K4223" t="s">
        <v>157</v>
      </c>
      <c r="L4223" t="s">
        <v>158</v>
      </c>
      <c r="M4223" t="s">
        <v>131</v>
      </c>
      <c r="N4223">
        <v>23</v>
      </c>
      <c r="O4223" s="1">
        <v>43411</v>
      </c>
      <c r="P4223" t="s">
        <v>41</v>
      </c>
      <c r="Q4223" t="s">
        <v>49</v>
      </c>
      <c r="R4223" t="str">
        <f>"0560042"</f>
        <v>0560042</v>
      </c>
      <c r="S4223" t="s">
        <v>159</v>
      </c>
      <c r="T4223" t="s">
        <v>157</v>
      </c>
      <c r="U4223" t="s">
        <v>158</v>
      </c>
      <c r="V4223" t="s">
        <v>131</v>
      </c>
      <c r="W4223" t="s">
        <v>44</v>
      </c>
      <c r="X4223" t="s">
        <v>45</v>
      </c>
      <c r="Z4223">
        <v>2</v>
      </c>
      <c r="AA4223" t="s">
        <v>158</v>
      </c>
      <c r="AB4223" s="40" t="s">
        <v>1799</v>
      </c>
    </row>
    <row r="4224" spans="1:28" x14ac:dyDescent="0.25">
      <c r="A4224">
        <v>99914223</v>
      </c>
      <c r="B4224" t="s">
        <v>56</v>
      </c>
      <c r="C4224" t="s">
        <v>79</v>
      </c>
      <c r="D4224" t="s">
        <v>80</v>
      </c>
      <c r="G4224" t="s">
        <v>35</v>
      </c>
      <c r="H4224">
        <v>1</v>
      </c>
      <c r="K4224" t="s">
        <v>157</v>
      </c>
      <c r="L4224" t="s">
        <v>158</v>
      </c>
      <c r="M4224" t="s">
        <v>131</v>
      </c>
      <c r="N4224">
        <v>23</v>
      </c>
      <c r="P4224" t="s">
        <v>41</v>
      </c>
      <c r="Q4224" t="s">
        <v>49</v>
      </c>
      <c r="R4224" t="str">
        <f>"0580505"</f>
        <v>0580505</v>
      </c>
      <c r="S4224" t="s">
        <v>168</v>
      </c>
      <c r="T4224" t="s">
        <v>157</v>
      </c>
      <c r="U4224" t="s">
        <v>158</v>
      </c>
      <c r="V4224" t="s">
        <v>131</v>
      </c>
      <c r="W4224" t="s">
        <v>51</v>
      </c>
      <c r="X4224" t="s">
        <v>45</v>
      </c>
      <c r="Z4224">
        <v>2</v>
      </c>
      <c r="AA4224" t="s">
        <v>158</v>
      </c>
      <c r="AB4224" s="40" t="s">
        <v>1799</v>
      </c>
    </row>
    <row r="4225" spans="1:28" x14ac:dyDescent="0.25">
      <c r="A4225">
        <v>99914224</v>
      </c>
      <c r="B4225" t="s">
        <v>56</v>
      </c>
      <c r="C4225" t="s">
        <v>52</v>
      </c>
      <c r="D4225" t="s">
        <v>53</v>
      </c>
      <c r="G4225" t="s">
        <v>35</v>
      </c>
      <c r="H4225">
        <v>1</v>
      </c>
      <c r="K4225" t="s">
        <v>157</v>
      </c>
      <c r="L4225" t="s">
        <v>158</v>
      </c>
      <c r="M4225" t="s">
        <v>131</v>
      </c>
      <c r="N4225">
        <v>23</v>
      </c>
      <c r="P4225" t="s">
        <v>41</v>
      </c>
      <c r="Q4225" t="s">
        <v>42</v>
      </c>
      <c r="R4225" t="str">
        <f>"0580250"</f>
        <v>0580250</v>
      </c>
      <c r="S4225" t="s">
        <v>160</v>
      </c>
      <c r="T4225" t="s">
        <v>157</v>
      </c>
      <c r="U4225" t="s">
        <v>158</v>
      </c>
      <c r="V4225" t="s">
        <v>131</v>
      </c>
      <c r="W4225" t="s">
        <v>51</v>
      </c>
      <c r="X4225" t="s">
        <v>45</v>
      </c>
      <c r="Z4225">
        <v>2</v>
      </c>
      <c r="AA4225" t="s">
        <v>158</v>
      </c>
      <c r="AB4225" s="40" t="s">
        <v>1799</v>
      </c>
    </row>
    <row r="4226" spans="1:28" x14ac:dyDescent="0.25">
      <c r="A4226">
        <v>99914225</v>
      </c>
      <c r="B4226" t="s">
        <v>32</v>
      </c>
      <c r="C4226" t="s">
        <v>33</v>
      </c>
      <c r="D4226" t="s">
        <v>34</v>
      </c>
      <c r="G4226" t="s">
        <v>35</v>
      </c>
      <c r="H4226">
        <v>1</v>
      </c>
      <c r="K4226" t="s">
        <v>157</v>
      </c>
      <c r="L4226" t="s">
        <v>158</v>
      </c>
      <c r="M4226" t="s">
        <v>131</v>
      </c>
      <c r="N4226">
        <v>23</v>
      </c>
      <c r="P4226" t="s">
        <v>41</v>
      </c>
      <c r="Q4226" t="s">
        <v>42</v>
      </c>
      <c r="R4226" t="str">
        <f>"0561005"</f>
        <v>0561005</v>
      </c>
      <c r="S4226" t="s">
        <v>174</v>
      </c>
      <c r="T4226" t="s">
        <v>157</v>
      </c>
      <c r="U4226" t="s">
        <v>158</v>
      </c>
      <c r="V4226" t="s">
        <v>131</v>
      </c>
      <c r="W4226" t="s">
        <v>51</v>
      </c>
      <c r="X4226" t="s">
        <v>45</v>
      </c>
      <c r="Z4226">
        <v>2</v>
      </c>
      <c r="AA4226" t="s">
        <v>158</v>
      </c>
      <c r="AB4226" s="40" t="s">
        <v>1799</v>
      </c>
    </row>
    <row r="4227" spans="1:28" x14ac:dyDescent="0.25">
      <c r="A4227">
        <v>99914226</v>
      </c>
      <c r="B4227" t="s">
        <v>32</v>
      </c>
      <c r="C4227" t="s">
        <v>204</v>
      </c>
      <c r="D4227" t="s">
        <v>205</v>
      </c>
      <c r="G4227" t="s">
        <v>35</v>
      </c>
      <c r="H4227">
        <v>1</v>
      </c>
      <c r="K4227" t="s">
        <v>157</v>
      </c>
      <c r="L4227" t="s">
        <v>158</v>
      </c>
      <c r="M4227" t="s">
        <v>131</v>
      </c>
      <c r="N4227">
        <v>23</v>
      </c>
      <c r="P4227" t="s">
        <v>41</v>
      </c>
      <c r="Q4227" t="s">
        <v>49</v>
      </c>
      <c r="R4227" t="str">
        <f>"0581725"</f>
        <v>0581725</v>
      </c>
      <c r="S4227" t="s">
        <v>161</v>
      </c>
      <c r="T4227" t="s">
        <v>157</v>
      </c>
      <c r="U4227" t="s">
        <v>158</v>
      </c>
      <c r="V4227" t="s">
        <v>131</v>
      </c>
      <c r="W4227" t="s">
        <v>51</v>
      </c>
      <c r="X4227" t="s">
        <v>45</v>
      </c>
      <c r="Z4227">
        <v>2</v>
      </c>
      <c r="AA4227" t="s">
        <v>158</v>
      </c>
      <c r="AB4227" s="40" t="s">
        <v>1799</v>
      </c>
    </row>
    <row r="4228" spans="1:28" x14ac:dyDescent="0.25">
      <c r="A4228">
        <v>99914227</v>
      </c>
      <c r="B4228" t="s">
        <v>32</v>
      </c>
      <c r="C4228" t="s">
        <v>52</v>
      </c>
      <c r="D4228" t="s">
        <v>53</v>
      </c>
      <c r="G4228" t="s">
        <v>35</v>
      </c>
      <c r="H4228">
        <v>1</v>
      </c>
      <c r="I4228">
        <v>19620</v>
      </c>
      <c r="J4228" s="1">
        <v>43412</v>
      </c>
      <c r="K4228" t="s">
        <v>157</v>
      </c>
      <c r="L4228" t="s">
        <v>158</v>
      </c>
      <c r="M4228" t="s">
        <v>131</v>
      </c>
      <c r="N4228">
        <v>23</v>
      </c>
      <c r="O4228" s="1">
        <v>43412</v>
      </c>
      <c r="P4228" t="s">
        <v>41</v>
      </c>
      <c r="Q4228" t="s">
        <v>42</v>
      </c>
      <c r="R4228" t="str">
        <f>"0561031"</f>
        <v>0561031</v>
      </c>
      <c r="S4228" t="s">
        <v>177</v>
      </c>
      <c r="T4228" t="s">
        <v>157</v>
      </c>
      <c r="U4228" t="s">
        <v>158</v>
      </c>
      <c r="V4228" t="s">
        <v>131</v>
      </c>
      <c r="W4228" t="s">
        <v>51</v>
      </c>
      <c r="X4228" t="s">
        <v>45</v>
      </c>
      <c r="Z4228">
        <v>2</v>
      </c>
      <c r="AA4228" t="s">
        <v>158</v>
      </c>
      <c r="AB4228" s="40" t="s">
        <v>1799</v>
      </c>
    </row>
    <row r="4229" spans="1:28" x14ac:dyDescent="0.25">
      <c r="A4229">
        <v>99914228</v>
      </c>
      <c r="B4229" t="s">
        <v>32</v>
      </c>
      <c r="C4229" t="s">
        <v>64</v>
      </c>
      <c r="D4229" t="s">
        <v>65</v>
      </c>
      <c r="G4229" t="s">
        <v>35</v>
      </c>
      <c r="H4229">
        <v>1</v>
      </c>
      <c r="K4229" t="s">
        <v>223</v>
      </c>
      <c r="L4229" t="s">
        <v>224</v>
      </c>
      <c r="M4229" t="s">
        <v>131</v>
      </c>
      <c r="N4229">
        <v>23</v>
      </c>
      <c r="P4229" t="s">
        <v>41</v>
      </c>
      <c r="Q4229" t="s">
        <v>42</v>
      </c>
      <c r="R4229" t="str">
        <f>"0590903"</f>
        <v>0590903</v>
      </c>
      <c r="S4229" t="s">
        <v>226</v>
      </c>
      <c r="T4229" t="s">
        <v>223</v>
      </c>
      <c r="U4229" t="s">
        <v>224</v>
      </c>
      <c r="V4229" t="s">
        <v>131</v>
      </c>
      <c r="W4229" t="s">
        <v>51</v>
      </c>
      <c r="X4229" t="s">
        <v>45</v>
      </c>
      <c r="Z4229">
        <v>2</v>
      </c>
      <c r="AA4229" t="s">
        <v>224</v>
      </c>
      <c r="AB4229" s="40" t="s">
        <v>1799</v>
      </c>
    </row>
    <row r="4230" spans="1:28" x14ac:dyDescent="0.25">
      <c r="A4230">
        <v>99914229</v>
      </c>
      <c r="B4230" t="s">
        <v>56</v>
      </c>
      <c r="C4230" t="s">
        <v>149</v>
      </c>
      <c r="D4230" t="s">
        <v>150</v>
      </c>
      <c r="G4230" t="s">
        <v>35</v>
      </c>
      <c r="H4230">
        <v>1</v>
      </c>
      <c r="I4230">
        <v>0</v>
      </c>
      <c r="J4230" s="1">
        <v>43344</v>
      </c>
      <c r="K4230" t="s">
        <v>223</v>
      </c>
      <c r="L4230" t="s">
        <v>224</v>
      </c>
      <c r="M4230" t="s">
        <v>131</v>
      </c>
      <c r="N4230">
        <v>23</v>
      </c>
      <c r="O4230" s="1">
        <v>43344</v>
      </c>
      <c r="P4230" t="s">
        <v>41</v>
      </c>
      <c r="Q4230" t="s">
        <v>49</v>
      </c>
      <c r="R4230" t="str">
        <f>"0581207"</f>
        <v>0581207</v>
      </c>
      <c r="S4230" t="s">
        <v>233</v>
      </c>
      <c r="T4230" t="s">
        <v>223</v>
      </c>
      <c r="U4230" t="s">
        <v>224</v>
      </c>
      <c r="V4230" t="s">
        <v>131</v>
      </c>
      <c r="W4230" t="s">
        <v>44</v>
      </c>
      <c r="X4230" t="s">
        <v>45</v>
      </c>
      <c r="Z4230">
        <v>2</v>
      </c>
      <c r="AA4230" t="s">
        <v>224</v>
      </c>
      <c r="AB4230" s="40" t="s">
        <v>1799</v>
      </c>
    </row>
    <row r="4231" spans="1:28" x14ac:dyDescent="0.25">
      <c r="A4231">
        <v>99914230</v>
      </c>
      <c r="B4231" t="s">
        <v>32</v>
      </c>
      <c r="C4231" t="s">
        <v>143</v>
      </c>
      <c r="D4231" t="s">
        <v>144</v>
      </c>
      <c r="G4231" t="s">
        <v>35</v>
      </c>
      <c r="H4231">
        <v>1</v>
      </c>
      <c r="I4231">
        <v>0</v>
      </c>
      <c r="J4231" s="1">
        <v>43344</v>
      </c>
      <c r="K4231" t="s">
        <v>223</v>
      </c>
      <c r="L4231" t="s">
        <v>224</v>
      </c>
      <c r="M4231" t="s">
        <v>131</v>
      </c>
      <c r="N4231">
        <v>23</v>
      </c>
      <c r="O4231" s="1">
        <v>43344</v>
      </c>
      <c r="P4231" t="s">
        <v>41</v>
      </c>
      <c r="Q4231" t="s">
        <v>49</v>
      </c>
      <c r="R4231" t="str">
        <f>"0561022"</f>
        <v>0561022</v>
      </c>
      <c r="S4231" t="s">
        <v>225</v>
      </c>
      <c r="T4231" t="s">
        <v>223</v>
      </c>
      <c r="U4231" t="s">
        <v>224</v>
      </c>
      <c r="V4231" t="s">
        <v>131</v>
      </c>
      <c r="W4231" t="s">
        <v>44</v>
      </c>
      <c r="X4231" t="s">
        <v>45</v>
      </c>
      <c r="Z4231">
        <v>2</v>
      </c>
      <c r="AA4231" t="s">
        <v>224</v>
      </c>
      <c r="AB4231" s="40" t="s">
        <v>1799</v>
      </c>
    </row>
    <row r="4232" spans="1:28" x14ac:dyDescent="0.25">
      <c r="A4232">
        <v>99914231</v>
      </c>
      <c r="B4232" t="s">
        <v>56</v>
      </c>
      <c r="C4232" t="s">
        <v>46</v>
      </c>
      <c r="D4232" t="s">
        <v>47</v>
      </c>
      <c r="G4232" t="s">
        <v>35</v>
      </c>
      <c r="H4232">
        <v>1</v>
      </c>
      <c r="I4232">
        <v>0</v>
      </c>
      <c r="J4232" s="1">
        <v>43344</v>
      </c>
      <c r="K4232" t="s">
        <v>223</v>
      </c>
      <c r="L4232" t="s">
        <v>224</v>
      </c>
      <c r="M4232" t="s">
        <v>131</v>
      </c>
      <c r="N4232">
        <v>23</v>
      </c>
      <c r="O4232" s="1">
        <v>43344</v>
      </c>
      <c r="P4232" t="s">
        <v>41</v>
      </c>
      <c r="Q4232" t="s">
        <v>42</v>
      </c>
      <c r="R4232" t="str">
        <f>"0580207"</f>
        <v>0580207</v>
      </c>
      <c r="S4232" t="s">
        <v>229</v>
      </c>
      <c r="T4232" t="s">
        <v>223</v>
      </c>
      <c r="U4232" t="s">
        <v>224</v>
      </c>
      <c r="V4232" t="s">
        <v>131</v>
      </c>
      <c r="W4232" t="s">
        <v>44</v>
      </c>
      <c r="X4232" t="s">
        <v>45</v>
      </c>
      <c r="Z4232">
        <v>2</v>
      </c>
      <c r="AA4232" t="s">
        <v>224</v>
      </c>
      <c r="AB4232" s="40" t="s">
        <v>1799</v>
      </c>
    </row>
    <row r="4233" spans="1:28" x14ac:dyDescent="0.25">
      <c r="A4233">
        <v>99914232</v>
      </c>
      <c r="B4233" t="s">
        <v>56</v>
      </c>
      <c r="C4233" t="s">
        <v>68</v>
      </c>
      <c r="D4233" t="s">
        <v>69</v>
      </c>
      <c r="G4233" t="s">
        <v>35</v>
      </c>
      <c r="H4233">
        <v>1</v>
      </c>
      <c r="I4233">
        <v>0</v>
      </c>
      <c r="J4233" s="1">
        <v>43344</v>
      </c>
      <c r="K4233" t="s">
        <v>223</v>
      </c>
      <c r="L4233" t="s">
        <v>224</v>
      </c>
      <c r="M4233" t="s">
        <v>131</v>
      </c>
      <c r="N4233">
        <v>23</v>
      </c>
      <c r="O4233" s="1">
        <v>43344</v>
      </c>
      <c r="P4233" t="s">
        <v>41</v>
      </c>
      <c r="Q4233" t="s">
        <v>49</v>
      </c>
      <c r="R4233" t="str">
        <f>"0581207"</f>
        <v>0581207</v>
      </c>
      <c r="S4233" t="s">
        <v>233</v>
      </c>
      <c r="T4233" t="s">
        <v>223</v>
      </c>
      <c r="U4233" t="s">
        <v>224</v>
      </c>
      <c r="V4233" t="s">
        <v>131</v>
      </c>
      <c r="W4233" t="s">
        <v>44</v>
      </c>
      <c r="X4233" t="s">
        <v>45</v>
      </c>
      <c r="Z4233">
        <v>2</v>
      </c>
      <c r="AA4233" t="s">
        <v>224</v>
      </c>
      <c r="AB4233" s="40" t="s">
        <v>1799</v>
      </c>
    </row>
    <row r="4234" spans="1:28" x14ac:dyDescent="0.25">
      <c r="A4234">
        <v>99914233</v>
      </c>
      <c r="B4234" t="s">
        <v>32</v>
      </c>
      <c r="C4234" t="s">
        <v>46</v>
      </c>
      <c r="D4234" t="s">
        <v>47</v>
      </c>
      <c r="G4234" t="s">
        <v>35</v>
      </c>
      <c r="H4234">
        <v>1</v>
      </c>
      <c r="I4234" t="s">
        <v>284</v>
      </c>
      <c r="J4234" s="1">
        <v>43344</v>
      </c>
      <c r="K4234" t="s">
        <v>223</v>
      </c>
      <c r="L4234" t="s">
        <v>224</v>
      </c>
      <c r="M4234" t="s">
        <v>131</v>
      </c>
      <c r="N4234">
        <v>23</v>
      </c>
      <c r="O4234" s="1">
        <v>43344</v>
      </c>
      <c r="P4234" t="s">
        <v>41</v>
      </c>
      <c r="Q4234" t="s">
        <v>42</v>
      </c>
      <c r="R4234" t="str">
        <f>"0580206"</f>
        <v>0580206</v>
      </c>
      <c r="S4234" t="s">
        <v>237</v>
      </c>
      <c r="T4234" t="s">
        <v>223</v>
      </c>
      <c r="U4234" t="s">
        <v>224</v>
      </c>
      <c r="V4234" t="s">
        <v>131</v>
      </c>
      <c r="W4234" t="s">
        <v>51</v>
      </c>
      <c r="X4234" t="s">
        <v>45</v>
      </c>
      <c r="Z4234">
        <v>2</v>
      </c>
      <c r="AA4234" t="s">
        <v>224</v>
      </c>
      <c r="AB4234" s="40" t="s">
        <v>1799</v>
      </c>
    </row>
    <row r="4235" spans="1:28" x14ac:dyDescent="0.25">
      <c r="A4235">
        <v>99914234</v>
      </c>
      <c r="B4235" t="s">
        <v>56</v>
      </c>
      <c r="C4235" t="s">
        <v>143</v>
      </c>
      <c r="D4235" t="s">
        <v>144</v>
      </c>
      <c r="G4235" t="s">
        <v>35</v>
      </c>
      <c r="H4235">
        <v>1</v>
      </c>
      <c r="I4235">
        <v>0</v>
      </c>
      <c r="J4235" s="1">
        <v>43344</v>
      </c>
      <c r="K4235" t="s">
        <v>223</v>
      </c>
      <c r="L4235" t="s">
        <v>224</v>
      </c>
      <c r="M4235" t="s">
        <v>131</v>
      </c>
      <c r="N4235">
        <v>23</v>
      </c>
      <c r="O4235" s="1">
        <v>43344</v>
      </c>
      <c r="P4235" t="s">
        <v>41</v>
      </c>
      <c r="Q4235" t="s">
        <v>49</v>
      </c>
      <c r="R4235" t="str">
        <f>"0581207"</f>
        <v>0581207</v>
      </c>
      <c r="S4235" t="s">
        <v>233</v>
      </c>
      <c r="T4235" t="s">
        <v>223</v>
      </c>
      <c r="U4235" t="s">
        <v>224</v>
      </c>
      <c r="V4235" t="s">
        <v>131</v>
      </c>
      <c r="W4235" t="s">
        <v>44</v>
      </c>
      <c r="X4235" t="s">
        <v>45</v>
      </c>
      <c r="Z4235">
        <v>2</v>
      </c>
      <c r="AA4235" t="s">
        <v>224</v>
      </c>
      <c r="AB4235" s="40" t="s">
        <v>1799</v>
      </c>
    </row>
    <row r="4236" spans="1:28" x14ac:dyDescent="0.25">
      <c r="A4236">
        <v>99914235</v>
      </c>
      <c r="B4236" t="s">
        <v>56</v>
      </c>
      <c r="C4236" t="s">
        <v>52</v>
      </c>
      <c r="D4236" t="s">
        <v>53</v>
      </c>
      <c r="G4236" t="s">
        <v>35</v>
      </c>
      <c r="H4236">
        <v>1</v>
      </c>
      <c r="I4236">
        <v>0</v>
      </c>
      <c r="J4236" s="1">
        <v>43344</v>
      </c>
      <c r="K4236" t="s">
        <v>223</v>
      </c>
      <c r="L4236" t="s">
        <v>224</v>
      </c>
      <c r="M4236" t="s">
        <v>131</v>
      </c>
      <c r="N4236">
        <v>23</v>
      </c>
      <c r="O4236" s="1">
        <v>43344</v>
      </c>
      <c r="P4236" t="s">
        <v>41</v>
      </c>
      <c r="Q4236" t="s">
        <v>42</v>
      </c>
      <c r="R4236" t="str">
        <f>"0580207"</f>
        <v>0580207</v>
      </c>
      <c r="S4236" t="s">
        <v>229</v>
      </c>
      <c r="T4236" t="s">
        <v>223</v>
      </c>
      <c r="U4236" t="s">
        <v>224</v>
      </c>
      <c r="V4236" t="s">
        <v>131</v>
      </c>
      <c r="W4236" t="s">
        <v>44</v>
      </c>
      <c r="X4236" t="s">
        <v>45</v>
      </c>
      <c r="Z4236">
        <v>2</v>
      </c>
      <c r="AA4236" t="s">
        <v>224</v>
      </c>
      <c r="AB4236" s="40" t="s">
        <v>1799</v>
      </c>
    </row>
    <row r="4237" spans="1:28" x14ac:dyDescent="0.25">
      <c r="A4237">
        <v>99914236</v>
      </c>
      <c r="B4237" t="s">
        <v>56</v>
      </c>
      <c r="C4237" t="s">
        <v>68</v>
      </c>
      <c r="D4237" t="s">
        <v>69</v>
      </c>
      <c r="G4237" t="s">
        <v>35</v>
      </c>
      <c r="H4237">
        <v>1</v>
      </c>
      <c r="I4237">
        <v>0</v>
      </c>
      <c r="J4237" s="1">
        <v>43344</v>
      </c>
      <c r="K4237" t="s">
        <v>223</v>
      </c>
      <c r="L4237" t="s">
        <v>224</v>
      </c>
      <c r="M4237" t="s">
        <v>131</v>
      </c>
      <c r="N4237">
        <v>23</v>
      </c>
      <c r="O4237" s="1">
        <v>43344</v>
      </c>
      <c r="P4237" t="s">
        <v>41</v>
      </c>
      <c r="Q4237" t="s">
        <v>49</v>
      </c>
      <c r="R4237" t="str">
        <f>"0591901"</f>
        <v>0591901</v>
      </c>
      <c r="S4237" t="s">
        <v>230</v>
      </c>
      <c r="T4237" t="s">
        <v>223</v>
      </c>
      <c r="U4237" t="s">
        <v>224</v>
      </c>
      <c r="V4237" t="s">
        <v>131</v>
      </c>
      <c r="W4237" t="s">
        <v>44</v>
      </c>
      <c r="X4237" t="s">
        <v>45</v>
      </c>
      <c r="Z4237">
        <v>2</v>
      </c>
      <c r="AA4237" t="s">
        <v>224</v>
      </c>
      <c r="AB4237" s="40" t="s">
        <v>1799</v>
      </c>
    </row>
    <row r="4238" spans="1:28" x14ac:dyDescent="0.25">
      <c r="A4238">
        <v>99914237</v>
      </c>
      <c r="B4238" t="s">
        <v>32</v>
      </c>
      <c r="C4238" t="s">
        <v>64</v>
      </c>
      <c r="D4238" t="s">
        <v>65</v>
      </c>
      <c r="G4238" t="s">
        <v>48</v>
      </c>
      <c r="H4238">
        <v>1</v>
      </c>
      <c r="K4238" t="s">
        <v>223</v>
      </c>
      <c r="L4238" t="s">
        <v>224</v>
      </c>
      <c r="M4238" t="s">
        <v>131</v>
      </c>
      <c r="N4238">
        <v>23</v>
      </c>
      <c r="P4238" t="s">
        <v>41</v>
      </c>
      <c r="Q4238" t="s">
        <v>42</v>
      </c>
      <c r="R4238" t="str">
        <f>"0580207"</f>
        <v>0580207</v>
      </c>
      <c r="S4238" t="s">
        <v>229</v>
      </c>
      <c r="T4238" t="s">
        <v>223</v>
      </c>
      <c r="U4238" t="s">
        <v>224</v>
      </c>
      <c r="V4238" t="s">
        <v>131</v>
      </c>
      <c r="W4238" t="s">
        <v>51</v>
      </c>
      <c r="X4238" t="s">
        <v>45</v>
      </c>
      <c r="Z4238">
        <v>2</v>
      </c>
      <c r="AA4238" t="s">
        <v>224</v>
      </c>
      <c r="AB4238" s="40" t="s">
        <v>1799</v>
      </c>
    </row>
    <row r="4239" spans="1:28" x14ac:dyDescent="0.25">
      <c r="A4239">
        <v>99914238</v>
      </c>
      <c r="B4239" t="s">
        <v>32</v>
      </c>
      <c r="C4239" t="s">
        <v>52</v>
      </c>
      <c r="D4239" t="s">
        <v>53</v>
      </c>
      <c r="G4239" t="s">
        <v>48</v>
      </c>
      <c r="H4239">
        <v>1</v>
      </c>
      <c r="K4239" t="s">
        <v>300</v>
      </c>
      <c r="L4239" t="s">
        <v>301</v>
      </c>
      <c r="M4239" t="s">
        <v>131</v>
      </c>
      <c r="N4239">
        <v>23</v>
      </c>
      <c r="P4239" t="s">
        <v>41</v>
      </c>
      <c r="Q4239" t="s">
        <v>49</v>
      </c>
      <c r="R4239" t="str">
        <f>"0560001"</f>
        <v>0560001</v>
      </c>
      <c r="S4239" t="s">
        <v>304</v>
      </c>
      <c r="T4239" t="s">
        <v>300</v>
      </c>
      <c r="U4239" t="s">
        <v>301</v>
      </c>
      <c r="V4239" t="s">
        <v>131</v>
      </c>
      <c r="W4239" t="s">
        <v>51</v>
      </c>
      <c r="X4239" t="s">
        <v>45</v>
      </c>
      <c r="Z4239">
        <v>2</v>
      </c>
      <c r="AA4239" t="s">
        <v>301</v>
      </c>
      <c r="AB4239" s="40" t="s">
        <v>1799</v>
      </c>
    </row>
    <row r="4240" spans="1:28" x14ac:dyDescent="0.25">
      <c r="A4240">
        <v>99914239</v>
      </c>
      <c r="B4240" t="s">
        <v>32</v>
      </c>
      <c r="C4240" t="s">
        <v>46</v>
      </c>
      <c r="D4240" t="s">
        <v>47</v>
      </c>
      <c r="G4240" t="s">
        <v>35</v>
      </c>
      <c r="H4240">
        <v>1</v>
      </c>
      <c r="I4240" t="s">
        <v>322</v>
      </c>
      <c r="J4240" s="1">
        <v>43344</v>
      </c>
      <c r="K4240" t="s">
        <v>300</v>
      </c>
      <c r="L4240" t="s">
        <v>301</v>
      </c>
      <c r="M4240" t="s">
        <v>131</v>
      </c>
      <c r="N4240">
        <v>23</v>
      </c>
      <c r="O4240" s="1">
        <v>43344</v>
      </c>
      <c r="P4240" t="s">
        <v>41</v>
      </c>
      <c r="Q4240" t="s">
        <v>49</v>
      </c>
      <c r="R4240" t="str">
        <f>"0560001"</f>
        <v>0560001</v>
      </c>
      <c r="S4240" t="s">
        <v>304</v>
      </c>
      <c r="T4240" t="s">
        <v>300</v>
      </c>
      <c r="U4240" t="s">
        <v>301</v>
      </c>
      <c r="V4240" t="s">
        <v>131</v>
      </c>
      <c r="W4240" t="s">
        <v>44</v>
      </c>
      <c r="X4240" t="s">
        <v>45</v>
      </c>
      <c r="Z4240">
        <v>2</v>
      </c>
      <c r="AA4240" t="s">
        <v>301</v>
      </c>
      <c r="AB4240" s="40" t="s">
        <v>1799</v>
      </c>
    </row>
    <row r="4241" spans="1:28" x14ac:dyDescent="0.25">
      <c r="A4241">
        <v>99914240</v>
      </c>
      <c r="B4241" t="s">
        <v>56</v>
      </c>
      <c r="C4241" t="s">
        <v>68</v>
      </c>
      <c r="D4241" t="s">
        <v>69</v>
      </c>
      <c r="G4241" t="s">
        <v>35</v>
      </c>
      <c r="H4241">
        <v>1</v>
      </c>
      <c r="I4241" t="s">
        <v>332</v>
      </c>
      <c r="J4241" s="1">
        <v>43344</v>
      </c>
      <c r="K4241" t="s">
        <v>300</v>
      </c>
      <c r="L4241" t="s">
        <v>301</v>
      </c>
      <c r="M4241" t="s">
        <v>131</v>
      </c>
      <c r="N4241">
        <v>23</v>
      </c>
      <c r="O4241" s="1">
        <v>43344</v>
      </c>
      <c r="P4241" t="s">
        <v>41</v>
      </c>
      <c r="Q4241" t="s">
        <v>49</v>
      </c>
      <c r="R4241" t="str">
        <f>"0560001"</f>
        <v>0560001</v>
      </c>
      <c r="S4241" t="s">
        <v>304</v>
      </c>
      <c r="T4241" t="s">
        <v>300</v>
      </c>
      <c r="U4241" t="s">
        <v>301</v>
      </c>
      <c r="V4241" t="s">
        <v>131</v>
      </c>
      <c r="W4241" t="s">
        <v>44</v>
      </c>
      <c r="X4241" t="s">
        <v>45</v>
      </c>
      <c r="Z4241">
        <v>2</v>
      </c>
      <c r="AA4241" t="s">
        <v>301</v>
      </c>
      <c r="AB4241" s="40" t="s">
        <v>1799</v>
      </c>
    </row>
    <row r="4242" spans="1:28" x14ac:dyDescent="0.25">
      <c r="A4242">
        <v>99914241</v>
      </c>
      <c r="B4242" t="s">
        <v>56</v>
      </c>
      <c r="C4242" t="s">
        <v>52</v>
      </c>
      <c r="D4242" t="s">
        <v>53</v>
      </c>
      <c r="G4242" t="s">
        <v>35</v>
      </c>
      <c r="H4242">
        <v>1</v>
      </c>
      <c r="I4242" t="s">
        <v>344</v>
      </c>
      <c r="J4242" s="1">
        <v>43344</v>
      </c>
      <c r="K4242" t="s">
        <v>300</v>
      </c>
      <c r="L4242" t="s">
        <v>301</v>
      </c>
      <c r="M4242" t="s">
        <v>131</v>
      </c>
      <c r="N4242">
        <v>23</v>
      </c>
      <c r="O4242" s="1">
        <v>43344</v>
      </c>
      <c r="P4242" t="s">
        <v>41</v>
      </c>
      <c r="Q4242" t="s">
        <v>42</v>
      </c>
      <c r="R4242" t="str">
        <f>"0580176"</f>
        <v>0580176</v>
      </c>
      <c r="S4242" t="s">
        <v>305</v>
      </c>
      <c r="T4242" t="s">
        <v>300</v>
      </c>
      <c r="U4242" t="s">
        <v>301</v>
      </c>
      <c r="V4242" t="s">
        <v>131</v>
      </c>
      <c r="W4242" t="s">
        <v>51</v>
      </c>
      <c r="X4242" t="s">
        <v>45</v>
      </c>
      <c r="Z4242">
        <v>2</v>
      </c>
      <c r="AA4242" t="s">
        <v>301</v>
      </c>
      <c r="AB4242" s="40" t="s">
        <v>1799</v>
      </c>
    </row>
    <row r="4243" spans="1:28" x14ac:dyDescent="0.25">
      <c r="A4243">
        <v>99914242</v>
      </c>
      <c r="B4243" t="s">
        <v>56</v>
      </c>
      <c r="C4243" t="s">
        <v>68</v>
      </c>
      <c r="D4243" t="s">
        <v>69</v>
      </c>
      <c r="G4243" t="s">
        <v>35</v>
      </c>
      <c r="H4243">
        <v>1</v>
      </c>
      <c r="I4243">
        <v>15011</v>
      </c>
      <c r="J4243" s="1">
        <v>43346</v>
      </c>
      <c r="K4243" t="s">
        <v>345</v>
      </c>
      <c r="L4243" t="s">
        <v>346</v>
      </c>
      <c r="M4243" t="s">
        <v>131</v>
      </c>
      <c r="N4243">
        <v>23</v>
      </c>
      <c r="O4243" s="1">
        <v>43346</v>
      </c>
      <c r="P4243" t="s">
        <v>41</v>
      </c>
      <c r="Q4243" t="s">
        <v>42</v>
      </c>
      <c r="R4243" t="str">
        <f>"0580155"</f>
        <v>0580155</v>
      </c>
      <c r="S4243" t="s">
        <v>365</v>
      </c>
      <c r="T4243" t="s">
        <v>345</v>
      </c>
      <c r="U4243" t="s">
        <v>346</v>
      </c>
      <c r="V4243" t="s">
        <v>131</v>
      </c>
      <c r="W4243" t="s">
        <v>55</v>
      </c>
      <c r="X4243" t="s">
        <v>45</v>
      </c>
      <c r="Z4243">
        <v>2</v>
      </c>
      <c r="AA4243" t="s">
        <v>346</v>
      </c>
      <c r="AB4243" s="40" t="s">
        <v>1799</v>
      </c>
    </row>
    <row r="4244" spans="1:28" x14ac:dyDescent="0.25">
      <c r="A4244">
        <v>99914243</v>
      </c>
      <c r="B4244" t="s">
        <v>32</v>
      </c>
      <c r="C4244" t="s">
        <v>64</v>
      </c>
      <c r="D4244" t="s">
        <v>65</v>
      </c>
      <c r="G4244" t="s">
        <v>35</v>
      </c>
      <c r="H4244">
        <v>1</v>
      </c>
      <c r="K4244" t="s">
        <v>154</v>
      </c>
      <c r="L4244" t="s">
        <v>155</v>
      </c>
      <c r="M4244" t="s">
        <v>131</v>
      </c>
      <c r="N4244">
        <v>23</v>
      </c>
      <c r="P4244" t="s">
        <v>41</v>
      </c>
      <c r="Q4244" t="s">
        <v>75</v>
      </c>
      <c r="R4244" t="str">
        <f>"7051014"</f>
        <v>7051014</v>
      </c>
      <c r="S4244" t="s">
        <v>398</v>
      </c>
      <c r="T4244" t="s">
        <v>154</v>
      </c>
      <c r="U4244" t="s">
        <v>155</v>
      </c>
      <c r="V4244" t="s">
        <v>131</v>
      </c>
      <c r="W4244" t="s">
        <v>165</v>
      </c>
      <c r="X4244" t="s">
        <v>45</v>
      </c>
      <c r="Z4244">
        <v>1</v>
      </c>
      <c r="AA4244" t="s">
        <v>155</v>
      </c>
      <c r="AB4244" s="40" t="s">
        <v>1799</v>
      </c>
    </row>
    <row r="4245" spans="1:28" x14ac:dyDescent="0.25">
      <c r="A4245">
        <v>99914244</v>
      </c>
      <c r="B4245" t="s">
        <v>56</v>
      </c>
      <c r="C4245" t="s">
        <v>111</v>
      </c>
      <c r="D4245" t="s">
        <v>112</v>
      </c>
      <c r="G4245" t="s">
        <v>48</v>
      </c>
      <c r="H4245">
        <v>1</v>
      </c>
      <c r="K4245" t="s">
        <v>154</v>
      </c>
      <c r="L4245" t="s">
        <v>155</v>
      </c>
      <c r="M4245" t="s">
        <v>131</v>
      </c>
      <c r="N4245">
        <v>23</v>
      </c>
      <c r="P4245" t="s">
        <v>41</v>
      </c>
      <c r="Q4245" t="s">
        <v>75</v>
      </c>
      <c r="R4245" t="str">
        <f>"7051002"</f>
        <v>7051002</v>
      </c>
      <c r="S4245" t="s">
        <v>395</v>
      </c>
      <c r="T4245" t="s">
        <v>154</v>
      </c>
      <c r="U4245" t="s">
        <v>155</v>
      </c>
      <c r="V4245" t="s">
        <v>131</v>
      </c>
      <c r="W4245" t="s">
        <v>51</v>
      </c>
      <c r="X4245" t="s">
        <v>45</v>
      </c>
      <c r="Z4245">
        <v>1</v>
      </c>
      <c r="AA4245" t="s">
        <v>155</v>
      </c>
      <c r="AB4245" s="40" t="s">
        <v>1799</v>
      </c>
    </row>
    <row r="4246" spans="1:28" x14ac:dyDescent="0.25">
      <c r="A4246">
        <v>99914245</v>
      </c>
      <c r="B4246" t="s">
        <v>32</v>
      </c>
      <c r="C4246" t="s">
        <v>64</v>
      </c>
      <c r="D4246" t="s">
        <v>65</v>
      </c>
      <c r="G4246" t="s">
        <v>48</v>
      </c>
      <c r="H4246">
        <v>1</v>
      </c>
      <c r="K4246" t="s">
        <v>431</v>
      </c>
      <c r="L4246" t="s">
        <v>196</v>
      </c>
      <c r="M4246" t="s">
        <v>131</v>
      </c>
      <c r="N4246">
        <v>23</v>
      </c>
      <c r="P4246" t="s">
        <v>41</v>
      </c>
      <c r="Q4246" t="s">
        <v>75</v>
      </c>
      <c r="R4246" t="str">
        <f>"7521012"</f>
        <v>7521012</v>
      </c>
      <c r="S4246" t="s">
        <v>432</v>
      </c>
      <c r="T4246" t="s">
        <v>431</v>
      </c>
      <c r="U4246" t="s">
        <v>196</v>
      </c>
      <c r="V4246" t="s">
        <v>131</v>
      </c>
      <c r="W4246" t="s">
        <v>51</v>
      </c>
      <c r="X4246" t="s">
        <v>45</v>
      </c>
      <c r="Z4246">
        <v>1</v>
      </c>
      <c r="AA4246" t="s">
        <v>196</v>
      </c>
      <c r="AB4246" s="40" t="s">
        <v>1799</v>
      </c>
    </row>
    <row r="4247" spans="1:28" x14ac:dyDescent="0.25">
      <c r="A4247">
        <v>99914246</v>
      </c>
      <c r="B4247" t="s">
        <v>56</v>
      </c>
      <c r="C4247" t="s">
        <v>111</v>
      </c>
      <c r="D4247" t="s">
        <v>112</v>
      </c>
      <c r="G4247" t="s">
        <v>48</v>
      </c>
      <c r="H4247">
        <v>1</v>
      </c>
      <c r="K4247" t="s">
        <v>431</v>
      </c>
      <c r="L4247" t="s">
        <v>196</v>
      </c>
      <c r="M4247" t="s">
        <v>131</v>
      </c>
      <c r="N4247">
        <v>23</v>
      </c>
      <c r="P4247" t="s">
        <v>41</v>
      </c>
      <c r="Q4247" t="s">
        <v>75</v>
      </c>
      <c r="R4247" t="str">
        <f>"7521012"</f>
        <v>7521012</v>
      </c>
      <c r="S4247" t="s">
        <v>432</v>
      </c>
      <c r="T4247" t="s">
        <v>431</v>
      </c>
      <c r="U4247" t="s">
        <v>196</v>
      </c>
      <c r="V4247" t="s">
        <v>131</v>
      </c>
      <c r="W4247" t="s">
        <v>51</v>
      </c>
      <c r="X4247" t="s">
        <v>45</v>
      </c>
      <c r="Z4247">
        <v>1</v>
      </c>
      <c r="AA4247" t="s">
        <v>196</v>
      </c>
      <c r="AB4247" s="40" t="s">
        <v>1799</v>
      </c>
    </row>
    <row r="4248" spans="1:28" x14ac:dyDescent="0.25">
      <c r="A4248">
        <v>99914247</v>
      </c>
      <c r="B4248" t="s">
        <v>32</v>
      </c>
      <c r="C4248" t="s">
        <v>111</v>
      </c>
      <c r="D4248" t="s">
        <v>112</v>
      </c>
      <c r="G4248" t="s">
        <v>48</v>
      </c>
      <c r="H4248">
        <v>1</v>
      </c>
      <c r="K4248" t="s">
        <v>431</v>
      </c>
      <c r="L4248" t="s">
        <v>196</v>
      </c>
      <c r="M4248" t="s">
        <v>131</v>
      </c>
      <c r="N4248">
        <v>23</v>
      </c>
      <c r="P4248" t="s">
        <v>41</v>
      </c>
      <c r="Q4248" t="s">
        <v>75</v>
      </c>
      <c r="R4248" t="str">
        <f>"7521012"</f>
        <v>7521012</v>
      </c>
      <c r="S4248" t="s">
        <v>432</v>
      </c>
      <c r="T4248" t="s">
        <v>431</v>
      </c>
      <c r="U4248" t="s">
        <v>196</v>
      </c>
      <c r="V4248" t="s">
        <v>131</v>
      </c>
      <c r="W4248" t="s">
        <v>51</v>
      </c>
      <c r="X4248" t="s">
        <v>45</v>
      </c>
      <c r="Z4248">
        <v>1</v>
      </c>
      <c r="AA4248" t="s">
        <v>196</v>
      </c>
      <c r="AB4248" s="40" t="s">
        <v>1799</v>
      </c>
    </row>
    <row r="4249" spans="1:28" x14ac:dyDescent="0.25">
      <c r="A4249">
        <v>99914248</v>
      </c>
      <c r="B4249" t="s">
        <v>32</v>
      </c>
      <c r="C4249" t="s">
        <v>143</v>
      </c>
      <c r="D4249" t="s">
        <v>144</v>
      </c>
      <c r="G4249" t="s">
        <v>35</v>
      </c>
      <c r="H4249">
        <v>1</v>
      </c>
      <c r="K4249" t="s">
        <v>195</v>
      </c>
      <c r="L4249" t="s">
        <v>196</v>
      </c>
      <c r="M4249" t="s">
        <v>131</v>
      </c>
      <c r="N4249">
        <v>23</v>
      </c>
      <c r="P4249" t="s">
        <v>41</v>
      </c>
      <c r="Q4249" t="s">
        <v>75</v>
      </c>
      <c r="R4249" t="str">
        <f>"7521046"</f>
        <v>7521046</v>
      </c>
      <c r="S4249" t="s">
        <v>436</v>
      </c>
      <c r="T4249" t="s">
        <v>195</v>
      </c>
      <c r="U4249" t="s">
        <v>196</v>
      </c>
      <c r="V4249" t="s">
        <v>131</v>
      </c>
      <c r="W4249" t="s">
        <v>51</v>
      </c>
      <c r="X4249" t="s">
        <v>45</v>
      </c>
      <c r="Z4249">
        <v>1</v>
      </c>
      <c r="AA4249" t="s">
        <v>196</v>
      </c>
      <c r="AB4249" s="40" t="s">
        <v>1799</v>
      </c>
    </row>
    <row r="4250" spans="1:28" x14ac:dyDescent="0.25">
      <c r="A4250">
        <v>99914249</v>
      </c>
      <c r="B4250" t="s">
        <v>32</v>
      </c>
      <c r="C4250" t="s">
        <v>111</v>
      </c>
      <c r="D4250" t="s">
        <v>112</v>
      </c>
      <c r="G4250" t="s">
        <v>35</v>
      </c>
      <c r="H4250">
        <v>1</v>
      </c>
      <c r="K4250" t="s">
        <v>195</v>
      </c>
      <c r="L4250" t="s">
        <v>196</v>
      </c>
      <c r="M4250" t="s">
        <v>131</v>
      </c>
      <c r="N4250">
        <v>23</v>
      </c>
      <c r="P4250" t="s">
        <v>41</v>
      </c>
      <c r="Q4250" t="s">
        <v>75</v>
      </c>
      <c r="R4250" t="str">
        <f>"7521044"</f>
        <v>7521044</v>
      </c>
      <c r="S4250" t="s">
        <v>453</v>
      </c>
      <c r="T4250" t="s">
        <v>195</v>
      </c>
      <c r="U4250" t="s">
        <v>196</v>
      </c>
      <c r="V4250" t="s">
        <v>131</v>
      </c>
      <c r="W4250" t="s">
        <v>165</v>
      </c>
      <c r="X4250" t="s">
        <v>45</v>
      </c>
      <c r="Z4250">
        <v>1</v>
      </c>
      <c r="AA4250" t="s">
        <v>196</v>
      </c>
      <c r="AB4250" s="40" t="s">
        <v>1799</v>
      </c>
    </row>
    <row r="4251" spans="1:28" x14ac:dyDescent="0.25">
      <c r="A4251">
        <v>99914250</v>
      </c>
      <c r="B4251" t="s">
        <v>32</v>
      </c>
      <c r="C4251" t="s">
        <v>111</v>
      </c>
      <c r="D4251" t="s">
        <v>112</v>
      </c>
      <c r="G4251" t="s">
        <v>48</v>
      </c>
      <c r="H4251">
        <v>1</v>
      </c>
      <c r="K4251" t="s">
        <v>268</v>
      </c>
      <c r="L4251" t="s">
        <v>269</v>
      </c>
      <c r="M4251" t="s">
        <v>131</v>
      </c>
      <c r="N4251">
        <v>23</v>
      </c>
      <c r="P4251" t="s">
        <v>41</v>
      </c>
      <c r="Q4251" t="s">
        <v>75</v>
      </c>
      <c r="R4251" t="str">
        <f>"7052008"</f>
        <v>7052008</v>
      </c>
      <c r="S4251" t="s">
        <v>274</v>
      </c>
      <c r="T4251" t="s">
        <v>268</v>
      </c>
      <c r="U4251" t="s">
        <v>269</v>
      </c>
      <c r="V4251" t="s">
        <v>131</v>
      </c>
      <c r="W4251" t="s">
        <v>51</v>
      </c>
      <c r="X4251" t="s">
        <v>45</v>
      </c>
      <c r="Z4251">
        <v>1</v>
      </c>
      <c r="AA4251" t="s">
        <v>269</v>
      </c>
      <c r="AB4251" s="40" t="s">
        <v>1799</v>
      </c>
    </row>
    <row r="4252" spans="1:28" x14ac:dyDescent="0.25">
      <c r="A4252">
        <v>99914251</v>
      </c>
      <c r="B4252" t="s">
        <v>32</v>
      </c>
      <c r="C4252" t="s">
        <v>111</v>
      </c>
      <c r="D4252" t="s">
        <v>112</v>
      </c>
      <c r="G4252" t="s">
        <v>48</v>
      </c>
      <c r="H4252">
        <v>1</v>
      </c>
      <c r="K4252" t="s">
        <v>268</v>
      </c>
      <c r="L4252" t="s">
        <v>269</v>
      </c>
      <c r="M4252" t="s">
        <v>131</v>
      </c>
      <c r="N4252">
        <v>23</v>
      </c>
      <c r="P4252" t="s">
        <v>41</v>
      </c>
      <c r="Q4252" t="s">
        <v>75</v>
      </c>
      <c r="R4252" t="str">
        <f>"7052044"</f>
        <v>7052044</v>
      </c>
      <c r="S4252" t="s">
        <v>589</v>
      </c>
      <c r="T4252" t="s">
        <v>268</v>
      </c>
      <c r="U4252" t="s">
        <v>269</v>
      </c>
      <c r="V4252" t="s">
        <v>131</v>
      </c>
      <c r="W4252" t="s">
        <v>51</v>
      </c>
      <c r="X4252" t="s">
        <v>45</v>
      </c>
      <c r="Z4252">
        <v>1</v>
      </c>
      <c r="AA4252" t="s">
        <v>269</v>
      </c>
      <c r="AB4252" s="40" t="s">
        <v>1799</v>
      </c>
    </row>
    <row r="4253" spans="1:28" x14ac:dyDescent="0.25">
      <c r="A4253">
        <v>99914252</v>
      </c>
      <c r="B4253" t="s">
        <v>32</v>
      </c>
      <c r="C4253" t="s">
        <v>64</v>
      </c>
      <c r="D4253" t="s">
        <v>65</v>
      </c>
      <c r="G4253" t="s">
        <v>35</v>
      </c>
      <c r="H4253">
        <v>1</v>
      </c>
      <c r="I4253">
        <v>19684</v>
      </c>
      <c r="J4253" s="1">
        <v>42979</v>
      </c>
      <c r="K4253" t="s">
        <v>354</v>
      </c>
      <c r="L4253" t="s">
        <v>355</v>
      </c>
      <c r="M4253" t="s">
        <v>131</v>
      </c>
      <c r="N4253">
        <v>23</v>
      </c>
      <c r="O4253" s="1">
        <v>42979</v>
      </c>
      <c r="P4253" t="s">
        <v>41</v>
      </c>
      <c r="Q4253" t="s">
        <v>75</v>
      </c>
      <c r="R4253" t="str">
        <f>"7054018"</f>
        <v>7054018</v>
      </c>
      <c r="S4253" t="s">
        <v>773</v>
      </c>
      <c r="T4253" t="s">
        <v>354</v>
      </c>
      <c r="U4253" t="s">
        <v>355</v>
      </c>
      <c r="V4253" t="s">
        <v>131</v>
      </c>
      <c r="W4253" t="s">
        <v>44</v>
      </c>
      <c r="X4253" t="s">
        <v>45</v>
      </c>
      <c r="Z4253">
        <v>1</v>
      </c>
      <c r="AA4253" t="s">
        <v>355</v>
      </c>
      <c r="AB4253" s="40" t="s">
        <v>1799</v>
      </c>
    </row>
    <row r="4254" spans="1:28" x14ac:dyDescent="0.25">
      <c r="A4254">
        <v>99914253</v>
      </c>
      <c r="B4254" t="s">
        <v>56</v>
      </c>
      <c r="C4254" t="s">
        <v>79</v>
      </c>
      <c r="D4254" t="s">
        <v>80</v>
      </c>
      <c r="G4254" t="s">
        <v>35</v>
      </c>
      <c r="H4254">
        <v>1</v>
      </c>
      <c r="I4254" t="s">
        <v>1273</v>
      </c>
      <c r="J4254" s="1">
        <v>43344</v>
      </c>
      <c r="K4254" t="s">
        <v>1268</v>
      </c>
      <c r="L4254" t="s">
        <v>1269</v>
      </c>
      <c r="M4254" t="s">
        <v>1270</v>
      </c>
      <c r="N4254">
        <v>23</v>
      </c>
      <c r="O4254" s="1">
        <v>43344</v>
      </c>
      <c r="P4254" t="s">
        <v>41</v>
      </c>
      <c r="Q4254" t="s">
        <v>42</v>
      </c>
      <c r="R4254" t="str">
        <f>"1980080"</f>
        <v>1980080</v>
      </c>
      <c r="S4254" t="s">
        <v>1274</v>
      </c>
      <c r="T4254" t="s">
        <v>1268</v>
      </c>
      <c r="U4254" t="s">
        <v>1269</v>
      </c>
      <c r="V4254" t="s">
        <v>1270</v>
      </c>
      <c r="W4254" t="s">
        <v>51</v>
      </c>
      <c r="X4254" t="s">
        <v>45</v>
      </c>
      <c r="Z4254">
        <v>2</v>
      </c>
      <c r="AA4254" t="s">
        <v>1269</v>
      </c>
      <c r="AB4254" s="40" t="s">
        <v>1799</v>
      </c>
    </row>
    <row r="4255" spans="1:28" x14ac:dyDescent="0.25">
      <c r="A4255">
        <v>99914254</v>
      </c>
      <c r="B4255" t="s">
        <v>56</v>
      </c>
      <c r="C4255" t="s">
        <v>33</v>
      </c>
      <c r="D4255" t="s">
        <v>34</v>
      </c>
      <c r="G4255" t="s">
        <v>35</v>
      </c>
      <c r="H4255">
        <v>1</v>
      </c>
      <c r="I4255" t="s">
        <v>1288</v>
      </c>
      <c r="J4255" s="1">
        <v>43344</v>
      </c>
      <c r="K4255" t="s">
        <v>1268</v>
      </c>
      <c r="L4255" t="s">
        <v>1269</v>
      </c>
      <c r="M4255" t="s">
        <v>1270</v>
      </c>
      <c r="N4255">
        <v>23</v>
      </c>
      <c r="O4255" s="1">
        <v>43344</v>
      </c>
      <c r="R4255" t="str">
        <f>""</f>
        <v/>
      </c>
      <c r="U4255" t="s">
        <v>1269</v>
      </c>
      <c r="V4255" t="s">
        <v>1270</v>
      </c>
      <c r="W4255" t="s">
        <v>51</v>
      </c>
      <c r="X4255" t="s">
        <v>45</v>
      </c>
      <c r="Z4255">
        <v>2</v>
      </c>
      <c r="AA4255" t="s">
        <v>1269</v>
      </c>
      <c r="AB4255" s="40" t="s">
        <v>1799</v>
      </c>
    </row>
    <row r="4256" spans="1:28" x14ac:dyDescent="0.25">
      <c r="A4256">
        <v>99914255</v>
      </c>
      <c r="B4256" t="s">
        <v>32</v>
      </c>
      <c r="C4256" t="s">
        <v>111</v>
      </c>
      <c r="D4256" t="s">
        <v>112</v>
      </c>
      <c r="G4256" t="s">
        <v>48</v>
      </c>
      <c r="H4256">
        <v>1</v>
      </c>
      <c r="K4256" t="s">
        <v>667</v>
      </c>
      <c r="L4256" t="s">
        <v>669</v>
      </c>
      <c r="M4256" t="s">
        <v>670</v>
      </c>
      <c r="N4256">
        <v>23</v>
      </c>
      <c r="P4256" t="s">
        <v>41</v>
      </c>
      <c r="Q4256" t="s">
        <v>75</v>
      </c>
      <c r="R4256" t="str">
        <f>"7501000"</f>
        <v>7501000</v>
      </c>
      <c r="S4256" t="s">
        <v>668</v>
      </c>
      <c r="T4256" t="s">
        <v>667</v>
      </c>
      <c r="U4256" t="s">
        <v>669</v>
      </c>
      <c r="V4256" t="s">
        <v>670</v>
      </c>
      <c r="W4256" t="s">
        <v>51</v>
      </c>
      <c r="X4256" t="s">
        <v>45</v>
      </c>
      <c r="Z4256">
        <v>1</v>
      </c>
      <c r="AA4256" t="s">
        <v>669</v>
      </c>
      <c r="AB4256" s="40" t="s">
        <v>1799</v>
      </c>
    </row>
    <row r="4257" spans="1:28" x14ac:dyDescent="0.25">
      <c r="A4257">
        <v>99914256</v>
      </c>
      <c r="B4257" t="s">
        <v>32</v>
      </c>
      <c r="C4257" t="s">
        <v>111</v>
      </c>
      <c r="D4257" t="s">
        <v>112</v>
      </c>
      <c r="G4257" t="s">
        <v>48</v>
      </c>
      <c r="H4257">
        <v>1</v>
      </c>
      <c r="K4257" t="s">
        <v>667</v>
      </c>
      <c r="L4257" t="s">
        <v>669</v>
      </c>
      <c r="M4257" t="s">
        <v>670</v>
      </c>
      <c r="N4257">
        <v>23</v>
      </c>
      <c r="P4257" t="s">
        <v>41</v>
      </c>
      <c r="Q4257" t="s">
        <v>75</v>
      </c>
      <c r="R4257" t="str">
        <f>"7501000"</f>
        <v>7501000</v>
      </c>
      <c r="S4257" t="s">
        <v>668</v>
      </c>
      <c r="T4257" t="s">
        <v>667</v>
      </c>
      <c r="U4257" t="s">
        <v>669</v>
      </c>
      <c r="V4257" t="s">
        <v>670</v>
      </c>
      <c r="W4257" t="s">
        <v>51</v>
      </c>
      <c r="X4257" t="s">
        <v>45</v>
      </c>
      <c r="Z4257">
        <v>1</v>
      </c>
      <c r="AA4257" t="s">
        <v>669</v>
      </c>
      <c r="AB4257" s="40" t="s">
        <v>1799</v>
      </c>
    </row>
    <row r="4258" spans="1:28" x14ac:dyDescent="0.25">
      <c r="A4258">
        <v>99914257</v>
      </c>
      <c r="B4258" t="s">
        <v>32</v>
      </c>
      <c r="C4258" t="s">
        <v>111</v>
      </c>
      <c r="D4258" t="s">
        <v>112</v>
      </c>
      <c r="G4258" t="s">
        <v>48</v>
      </c>
      <c r="H4258">
        <v>1</v>
      </c>
      <c r="K4258" t="s">
        <v>1631</v>
      </c>
      <c r="L4258" t="s">
        <v>1632</v>
      </c>
      <c r="M4258" t="s">
        <v>1592</v>
      </c>
      <c r="N4258">
        <v>23</v>
      </c>
      <c r="P4258" t="s">
        <v>41</v>
      </c>
      <c r="Q4258" t="s">
        <v>75</v>
      </c>
      <c r="R4258" t="str">
        <f>"7021000"</f>
        <v>7021000</v>
      </c>
      <c r="S4258" t="s">
        <v>1633</v>
      </c>
      <c r="T4258" t="s">
        <v>1631</v>
      </c>
      <c r="U4258" t="s">
        <v>1632</v>
      </c>
      <c r="V4258" t="s">
        <v>1592</v>
      </c>
      <c r="W4258" t="s">
        <v>51</v>
      </c>
      <c r="X4258" t="s">
        <v>45</v>
      </c>
      <c r="Z4258">
        <v>1</v>
      </c>
      <c r="AA4258" t="s">
        <v>1632</v>
      </c>
      <c r="AB4258" s="40" t="s">
        <v>1799</v>
      </c>
    </row>
    <row r="4259" spans="1:28" x14ac:dyDescent="0.25">
      <c r="A4259">
        <v>99914258</v>
      </c>
      <c r="B4259" t="s">
        <v>32</v>
      </c>
      <c r="C4259" t="s">
        <v>111</v>
      </c>
      <c r="D4259" t="s">
        <v>112</v>
      </c>
      <c r="G4259" t="s">
        <v>88</v>
      </c>
      <c r="H4259">
        <v>2</v>
      </c>
      <c r="I4259" t="s">
        <v>834</v>
      </c>
      <c r="J4259" s="1">
        <v>43344</v>
      </c>
      <c r="K4259" t="s">
        <v>354</v>
      </c>
      <c r="L4259" t="s">
        <v>355</v>
      </c>
      <c r="M4259" t="s">
        <v>131</v>
      </c>
      <c r="N4259">
        <v>24</v>
      </c>
      <c r="O4259" s="1">
        <v>43344</v>
      </c>
      <c r="P4259" t="s">
        <v>41</v>
      </c>
      <c r="Q4259" t="s">
        <v>75</v>
      </c>
      <c r="R4259" t="str">
        <f>"7054008"</f>
        <v>7054008</v>
      </c>
      <c r="S4259" t="s">
        <v>813</v>
      </c>
      <c r="T4259" t="s">
        <v>354</v>
      </c>
      <c r="U4259" t="s">
        <v>355</v>
      </c>
      <c r="V4259" t="s">
        <v>131</v>
      </c>
      <c r="W4259" t="s">
        <v>51</v>
      </c>
      <c r="X4259" t="s">
        <v>45</v>
      </c>
      <c r="Y4259" s="1">
        <v>43344</v>
      </c>
      <c r="Z4259">
        <v>1</v>
      </c>
      <c r="AA4259" t="s">
        <v>355</v>
      </c>
      <c r="AB4259" s="40" t="s">
        <v>1799</v>
      </c>
    </row>
    <row r="4260" spans="1:28" x14ac:dyDescent="0.25">
      <c r="A4260">
        <v>99914259</v>
      </c>
      <c r="B4260" t="s">
        <v>32</v>
      </c>
      <c r="C4260" t="s">
        <v>111</v>
      </c>
      <c r="D4260" t="s">
        <v>112</v>
      </c>
      <c r="G4260" t="s">
        <v>35</v>
      </c>
      <c r="H4260">
        <v>1</v>
      </c>
      <c r="I4260">
        <v>12927</v>
      </c>
      <c r="J4260" s="1">
        <v>43344</v>
      </c>
      <c r="K4260" t="s">
        <v>354</v>
      </c>
      <c r="L4260" t="s">
        <v>355</v>
      </c>
      <c r="M4260" t="s">
        <v>131</v>
      </c>
      <c r="N4260">
        <v>24</v>
      </c>
      <c r="O4260" s="1">
        <v>43344</v>
      </c>
      <c r="P4260" t="s">
        <v>41</v>
      </c>
      <c r="Q4260" t="s">
        <v>75</v>
      </c>
      <c r="R4260" t="str">
        <f>"7054042"</f>
        <v>7054042</v>
      </c>
      <c r="S4260" t="s">
        <v>776</v>
      </c>
      <c r="T4260" t="s">
        <v>354</v>
      </c>
      <c r="U4260" t="s">
        <v>355</v>
      </c>
      <c r="V4260" t="s">
        <v>131</v>
      </c>
      <c r="W4260" t="s">
        <v>51</v>
      </c>
      <c r="X4260" t="s">
        <v>45</v>
      </c>
      <c r="Y4260" s="1">
        <v>43344</v>
      </c>
      <c r="Z4260">
        <v>1</v>
      </c>
      <c r="AA4260" t="s">
        <v>355</v>
      </c>
      <c r="AB4260" s="40" t="s">
        <v>1799</v>
      </c>
    </row>
    <row r="4261" spans="1:28" x14ac:dyDescent="0.25">
      <c r="A4261">
        <v>99914260</v>
      </c>
      <c r="B4261" t="s">
        <v>32</v>
      </c>
      <c r="C4261" t="s">
        <v>111</v>
      </c>
      <c r="D4261" t="s">
        <v>112</v>
      </c>
      <c r="G4261" t="s">
        <v>48</v>
      </c>
      <c r="H4261">
        <v>1</v>
      </c>
      <c r="K4261" t="s">
        <v>667</v>
      </c>
      <c r="L4261" t="s">
        <v>669</v>
      </c>
      <c r="M4261" t="s">
        <v>670</v>
      </c>
      <c r="N4261">
        <v>24</v>
      </c>
      <c r="P4261" t="s">
        <v>41</v>
      </c>
      <c r="Q4261" t="s">
        <v>75</v>
      </c>
      <c r="R4261" t="str">
        <f>"7501004"</f>
        <v>7501004</v>
      </c>
      <c r="S4261" t="s">
        <v>1500</v>
      </c>
      <c r="T4261" t="s">
        <v>667</v>
      </c>
      <c r="U4261" t="s">
        <v>669</v>
      </c>
      <c r="V4261" t="s">
        <v>670</v>
      </c>
      <c r="W4261" t="s">
        <v>51</v>
      </c>
      <c r="X4261" t="s">
        <v>45</v>
      </c>
      <c r="Y4261" s="1">
        <v>36082</v>
      </c>
      <c r="Z4261">
        <v>1</v>
      </c>
      <c r="AA4261" t="s">
        <v>669</v>
      </c>
      <c r="AB4261" s="40" t="s">
        <v>1799</v>
      </c>
    </row>
    <row r="4262" spans="1:28" x14ac:dyDescent="0.25">
      <c r="A4262">
        <v>99914261</v>
      </c>
      <c r="B4262" t="s">
        <v>32</v>
      </c>
      <c r="C4262" t="s">
        <v>111</v>
      </c>
      <c r="D4262" t="s">
        <v>112</v>
      </c>
      <c r="G4262" t="s">
        <v>88</v>
      </c>
      <c r="H4262">
        <v>3</v>
      </c>
      <c r="I4262" t="s">
        <v>789</v>
      </c>
      <c r="J4262" s="1">
        <v>43344</v>
      </c>
      <c r="K4262" t="s">
        <v>354</v>
      </c>
      <c r="L4262" t="s">
        <v>355</v>
      </c>
      <c r="M4262" t="s">
        <v>131</v>
      </c>
      <c r="N4262">
        <v>24</v>
      </c>
      <c r="O4262" s="1">
        <v>43344</v>
      </c>
      <c r="P4262" t="s">
        <v>41</v>
      </c>
      <c r="Q4262" t="s">
        <v>75</v>
      </c>
      <c r="R4262" t="str">
        <f>"7054042"</f>
        <v>7054042</v>
      </c>
      <c r="S4262" t="s">
        <v>776</v>
      </c>
      <c r="T4262" t="s">
        <v>354</v>
      </c>
      <c r="U4262" t="s">
        <v>355</v>
      </c>
      <c r="V4262" t="s">
        <v>131</v>
      </c>
      <c r="W4262" t="s">
        <v>51</v>
      </c>
      <c r="X4262" t="s">
        <v>45</v>
      </c>
      <c r="Y4262" s="1">
        <v>36080</v>
      </c>
      <c r="Z4262">
        <v>1</v>
      </c>
      <c r="AA4262" t="s">
        <v>355</v>
      </c>
      <c r="AB4262" s="40" t="s">
        <v>1799</v>
      </c>
    </row>
    <row r="4263" spans="1:28" x14ac:dyDescent="0.25">
      <c r="A4263">
        <v>99914262</v>
      </c>
      <c r="B4263" t="s">
        <v>32</v>
      </c>
      <c r="C4263" t="s">
        <v>90</v>
      </c>
      <c r="D4263" t="s">
        <v>91</v>
      </c>
      <c r="G4263" t="s">
        <v>35</v>
      </c>
      <c r="H4263">
        <v>1</v>
      </c>
      <c r="I4263" s="1">
        <v>42650</v>
      </c>
      <c r="J4263" s="1">
        <v>43344</v>
      </c>
      <c r="K4263" t="s">
        <v>1341</v>
      </c>
      <c r="L4263" t="s">
        <v>1342</v>
      </c>
      <c r="M4263" t="s">
        <v>1270</v>
      </c>
      <c r="N4263">
        <v>24</v>
      </c>
      <c r="O4263" s="1">
        <v>43344</v>
      </c>
      <c r="P4263" t="s">
        <v>41</v>
      </c>
      <c r="Q4263" t="s">
        <v>95</v>
      </c>
      <c r="R4263" t="str">
        <f>"7191005"</f>
        <v>7191005</v>
      </c>
      <c r="S4263" t="s">
        <v>1356</v>
      </c>
      <c r="T4263" t="s">
        <v>1341</v>
      </c>
      <c r="U4263" t="s">
        <v>1342</v>
      </c>
      <c r="V4263" t="s">
        <v>1270</v>
      </c>
      <c r="W4263" t="s">
        <v>51</v>
      </c>
      <c r="X4263" t="s">
        <v>45</v>
      </c>
      <c r="Y4263" s="1">
        <v>35686</v>
      </c>
      <c r="Z4263">
        <v>1</v>
      </c>
      <c r="AA4263" t="s">
        <v>1342</v>
      </c>
      <c r="AB4263" s="40" t="s">
        <v>1799</v>
      </c>
    </row>
    <row r="4264" spans="1:28" x14ac:dyDescent="0.25">
      <c r="A4264">
        <v>99914263</v>
      </c>
      <c r="B4264" t="s">
        <v>32</v>
      </c>
      <c r="C4264" t="s">
        <v>111</v>
      </c>
      <c r="D4264" t="s">
        <v>112</v>
      </c>
      <c r="G4264" t="s">
        <v>35</v>
      </c>
      <c r="H4264">
        <v>1</v>
      </c>
      <c r="I4264" t="s">
        <v>1585</v>
      </c>
      <c r="J4264" s="1">
        <v>43344</v>
      </c>
      <c r="K4264" t="s">
        <v>1581</v>
      </c>
      <c r="L4264" t="s">
        <v>1582</v>
      </c>
      <c r="M4264" t="s">
        <v>1548</v>
      </c>
      <c r="N4264">
        <v>24</v>
      </c>
      <c r="O4264" s="1">
        <v>43344</v>
      </c>
      <c r="P4264" t="s">
        <v>41</v>
      </c>
      <c r="Q4264" t="s">
        <v>75</v>
      </c>
      <c r="R4264" t="str">
        <f>"7291002"</f>
        <v>7291002</v>
      </c>
      <c r="S4264" t="s">
        <v>1583</v>
      </c>
      <c r="T4264" t="s">
        <v>1581</v>
      </c>
      <c r="U4264" t="s">
        <v>1582</v>
      </c>
      <c r="V4264" t="s">
        <v>1548</v>
      </c>
      <c r="W4264" t="s">
        <v>51</v>
      </c>
      <c r="X4264" t="s">
        <v>45</v>
      </c>
      <c r="Y4264" s="1">
        <v>35350</v>
      </c>
      <c r="Z4264">
        <v>1</v>
      </c>
      <c r="AA4264" t="s">
        <v>1582</v>
      </c>
      <c r="AB4264" s="40" t="s">
        <v>1799</v>
      </c>
    </row>
    <row r="4265" spans="1:28" x14ac:dyDescent="0.25">
      <c r="A4265">
        <v>99914264</v>
      </c>
      <c r="B4265" t="s">
        <v>32</v>
      </c>
      <c r="C4265" t="s">
        <v>111</v>
      </c>
      <c r="D4265" t="s">
        <v>112</v>
      </c>
      <c r="G4265" t="s">
        <v>35</v>
      </c>
      <c r="H4265">
        <v>1</v>
      </c>
      <c r="I4265" t="s">
        <v>1242</v>
      </c>
      <c r="J4265" s="1">
        <v>43354</v>
      </c>
      <c r="K4265" t="s">
        <v>1221</v>
      </c>
      <c r="L4265" t="s">
        <v>1222</v>
      </c>
      <c r="M4265" t="s">
        <v>1130</v>
      </c>
      <c r="N4265">
        <v>24</v>
      </c>
      <c r="O4265" s="1">
        <v>43354</v>
      </c>
      <c r="P4265" t="s">
        <v>41</v>
      </c>
      <c r="Q4265" t="s">
        <v>75</v>
      </c>
      <c r="R4265" t="str">
        <f>"7351004"</f>
        <v>7351004</v>
      </c>
      <c r="S4265" t="s">
        <v>1225</v>
      </c>
      <c r="T4265" t="s">
        <v>1221</v>
      </c>
      <c r="U4265" t="s">
        <v>1222</v>
      </c>
      <c r="V4265" t="s">
        <v>1130</v>
      </c>
      <c r="W4265" t="s">
        <v>44</v>
      </c>
      <c r="X4265" t="s">
        <v>45</v>
      </c>
      <c r="Y4265" s="1">
        <v>34970</v>
      </c>
      <c r="Z4265">
        <v>1</v>
      </c>
      <c r="AA4265" t="s">
        <v>1222</v>
      </c>
      <c r="AB4265" s="40" t="s">
        <v>1799</v>
      </c>
    </row>
    <row r="4266" spans="1:28" x14ac:dyDescent="0.25">
      <c r="A4266">
        <v>99914265</v>
      </c>
      <c r="B4266" t="s">
        <v>32</v>
      </c>
      <c r="C4266" t="s">
        <v>90</v>
      </c>
      <c r="D4266" t="s">
        <v>91</v>
      </c>
      <c r="G4266" t="s">
        <v>35</v>
      </c>
      <c r="H4266">
        <v>1</v>
      </c>
      <c r="I4266" t="s">
        <v>1405</v>
      </c>
      <c r="J4266" s="1">
        <v>43355</v>
      </c>
      <c r="K4266" t="s">
        <v>1341</v>
      </c>
      <c r="L4266" t="s">
        <v>1342</v>
      </c>
      <c r="M4266" t="s">
        <v>1270</v>
      </c>
      <c r="N4266">
        <v>24</v>
      </c>
      <c r="O4266" s="1">
        <v>43355</v>
      </c>
      <c r="P4266" t="s">
        <v>41</v>
      </c>
      <c r="Q4266" t="s">
        <v>95</v>
      </c>
      <c r="R4266" t="str">
        <f>"7191065"</f>
        <v>7191065</v>
      </c>
      <c r="S4266" t="s">
        <v>1421</v>
      </c>
      <c r="T4266" t="s">
        <v>1341</v>
      </c>
      <c r="U4266" t="s">
        <v>1342</v>
      </c>
      <c r="V4266" t="s">
        <v>1270</v>
      </c>
      <c r="W4266" t="s">
        <v>51</v>
      </c>
      <c r="X4266" t="s">
        <v>45</v>
      </c>
      <c r="Y4266" s="1">
        <v>34929</v>
      </c>
      <c r="Z4266">
        <v>1</v>
      </c>
      <c r="AA4266" t="s">
        <v>1342</v>
      </c>
      <c r="AB4266" s="40" t="s">
        <v>1799</v>
      </c>
    </row>
    <row r="4267" spans="1:28" x14ac:dyDescent="0.25">
      <c r="A4267">
        <v>99914266</v>
      </c>
      <c r="B4267" t="s">
        <v>32</v>
      </c>
      <c r="C4267" t="s">
        <v>111</v>
      </c>
      <c r="D4267" t="s">
        <v>112</v>
      </c>
      <c r="G4267" t="s">
        <v>35</v>
      </c>
      <c r="H4267">
        <v>1</v>
      </c>
      <c r="I4267">
        <v>23355</v>
      </c>
      <c r="J4267" s="1">
        <v>43417</v>
      </c>
      <c r="K4267" t="s">
        <v>877</v>
      </c>
      <c r="L4267" t="s">
        <v>878</v>
      </c>
      <c r="M4267" t="s">
        <v>131</v>
      </c>
      <c r="N4267">
        <v>24</v>
      </c>
      <c r="O4267" s="1">
        <v>43417</v>
      </c>
      <c r="P4267" t="s">
        <v>41</v>
      </c>
      <c r="Q4267" t="s">
        <v>75</v>
      </c>
      <c r="R4267" t="str">
        <f>"7541024"</f>
        <v>7541024</v>
      </c>
      <c r="S4267" t="s">
        <v>885</v>
      </c>
      <c r="T4267" t="s">
        <v>877</v>
      </c>
      <c r="U4267" t="s">
        <v>878</v>
      </c>
      <c r="V4267" t="s">
        <v>131</v>
      </c>
      <c r="W4267" t="s">
        <v>44</v>
      </c>
      <c r="X4267" t="s">
        <v>45</v>
      </c>
      <c r="Y4267" s="1">
        <v>34913</v>
      </c>
      <c r="Z4267">
        <v>1</v>
      </c>
      <c r="AA4267" t="s">
        <v>878</v>
      </c>
      <c r="AB4267" s="40" t="s">
        <v>1799</v>
      </c>
    </row>
    <row r="4268" spans="1:28" x14ac:dyDescent="0.25">
      <c r="A4268">
        <v>99914267</v>
      </c>
      <c r="B4268" t="s">
        <v>32</v>
      </c>
      <c r="C4268" t="s">
        <v>90</v>
      </c>
      <c r="D4268" t="s">
        <v>91</v>
      </c>
      <c r="G4268" t="s">
        <v>35</v>
      </c>
      <c r="H4268">
        <v>1</v>
      </c>
      <c r="I4268" t="s">
        <v>286</v>
      </c>
      <c r="J4268" s="1">
        <v>43344</v>
      </c>
      <c r="K4268" t="s">
        <v>268</v>
      </c>
      <c r="L4268" t="s">
        <v>269</v>
      </c>
      <c r="M4268" t="s">
        <v>131</v>
      </c>
      <c r="N4268">
        <v>24</v>
      </c>
      <c r="P4268" t="s">
        <v>41</v>
      </c>
      <c r="Q4268" t="s">
        <v>95</v>
      </c>
      <c r="R4268" t="str">
        <f>"7052025"</f>
        <v>7052025</v>
      </c>
      <c r="S4268" t="s">
        <v>697</v>
      </c>
      <c r="T4268" t="s">
        <v>268</v>
      </c>
      <c r="U4268" t="s">
        <v>269</v>
      </c>
      <c r="V4268" t="s">
        <v>131</v>
      </c>
      <c r="W4268" t="s">
        <v>44</v>
      </c>
      <c r="X4268" t="s">
        <v>45</v>
      </c>
      <c r="Y4268" s="1">
        <v>34875</v>
      </c>
      <c r="Z4268">
        <v>1</v>
      </c>
      <c r="AA4268" t="s">
        <v>269</v>
      </c>
      <c r="AB4268" s="40" t="s">
        <v>1799</v>
      </c>
    </row>
    <row r="4269" spans="1:28" x14ac:dyDescent="0.25">
      <c r="A4269">
        <v>99914268</v>
      </c>
      <c r="B4269" t="s">
        <v>32</v>
      </c>
      <c r="C4269" t="s">
        <v>111</v>
      </c>
      <c r="D4269" t="s">
        <v>112</v>
      </c>
      <c r="G4269" t="s">
        <v>35</v>
      </c>
      <c r="H4269">
        <v>1</v>
      </c>
      <c r="I4269">
        <v>19058</v>
      </c>
      <c r="J4269" s="1">
        <v>43377</v>
      </c>
      <c r="K4269" t="s">
        <v>877</v>
      </c>
      <c r="L4269" t="s">
        <v>878</v>
      </c>
      <c r="M4269" t="s">
        <v>131</v>
      </c>
      <c r="N4269">
        <v>24</v>
      </c>
      <c r="O4269" s="1">
        <v>43377</v>
      </c>
      <c r="P4269" t="s">
        <v>41</v>
      </c>
      <c r="Q4269" t="s">
        <v>75</v>
      </c>
      <c r="R4269" t="str">
        <f>"7541008"</f>
        <v>7541008</v>
      </c>
      <c r="S4269" t="s">
        <v>879</v>
      </c>
      <c r="T4269" t="s">
        <v>877</v>
      </c>
      <c r="U4269" t="s">
        <v>878</v>
      </c>
      <c r="V4269" t="s">
        <v>131</v>
      </c>
      <c r="W4269" t="s">
        <v>44</v>
      </c>
      <c r="X4269" t="s">
        <v>45</v>
      </c>
      <c r="Y4269" s="1">
        <v>34831</v>
      </c>
      <c r="Z4269">
        <v>1</v>
      </c>
      <c r="AA4269" t="s">
        <v>878</v>
      </c>
      <c r="AB4269" s="40" t="s">
        <v>1799</v>
      </c>
    </row>
    <row r="4270" spans="1:28" x14ac:dyDescent="0.25">
      <c r="A4270">
        <v>99914269</v>
      </c>
      <c r="B4270" t="s">
        <v>32</v>
      </c>
      <c r="C4270" t="s">
        <v>111</v>
      </c>
      <c r="D4270" t="s">
        <v>112</v>
      </c>
      <c r="G4270" t="s">
        <v>35</v>
      </c>
      <c r="H4270">
        <v>1</v>
      </c>
      <c r="I4270">
        <v>6808</v>
      </c>
      <c r="J4270" s="1">
        <v>43360</v>
      </c>
      <c r="K4270" t="s">
        <v>1198</v>
      </c>
      <c r="L4270" t="s">
        <v>1199</v>
      </c>
      <c r="M4270" t="s">
        <v>1130</v>
      </c>
      <c r="N4270">
        <v>24</v>
      </c>
      <c r="O4270" s="1">
        <v>43360</v>
      </c>
      <c r="P4270" t="s">
        <v>41</v>
      </c>
      <c r="Q4270" t="s">
        <v>75</v>
      </c>
      <c r="R4270" t="str">
        <f>"7311002"</f>
        <v>7311002</v>
      </c>
      <c r="S4270" t="s">
        <v>1203</v>
      </c>
      <c r="T4270" t="s">
        <v>1198</v>
      </c>
      <c r="U4270" t="s">
        <v>1199</v>
      </c>
      <c r="V4270" t="s">
        <v>1130</v>
      </c>
      <c r="W4270" t="s">
        <v>55</v>
      </c>
      <c r="X4270" t="s">
        <v>45</v>
      </c>
      <c r="Y4270" s="1">
        <v>34750</v>
      </c>
      <c r="Z4270">
        <v>1</v>
      </c>
      <c r="AA4270" t="s">
        <v>1199</v>
      </c>
      <c r="AB4270" s="40" t="s">
        <v>1799</v>
      </c>
    </row>
    <row r="4271" spans="1:28" x14ac:dyDescent="0.25">
      <c r="A4271">
        <v>99914270</v>
      </c>
      <c r="B4271" t="s">
        <v>32</v>
      </c>
      <c r="C4271" t="s">
        <v>111</v>
      </c>
      <c r="D4271" t="s">
        <v>112</v>
      </c>
      <c r="G4271" t="s">
        <v>35</v>
      </c>
      <c r="H4271">
        <v>1</v>
      </c>
      <c r="I4271">
        <v>20318</v>
      </c>
      <c r="J4271" s="1">
        <v>43344</v>
      </c>
      <c r="K4271" t="s">
        <v>877</v>
      </c>
      <c r="L4271" t="s">
        <v>878</v>
      </c>
      <c r="M4271" t="s">
        <v>131</v>
      </c>
      <c r="N4271">
        <v>24</v>
      </c>
      <c r="O4271" s="1">
        <v>43344</v>
      </c>
      <c r="P4271" t="s">
        <v>41</v>
      </c>
      <c r="Q4271" t="s">
        <v>75</v>
      </c>
      <c r="R4271" t="str">
        <f>"7541004"</f>
        <v>7541004</v>
      </c>
      <c r="S4271" t="s">
        <v>889</v>
      </c>
      <c r="T4271" t="s">
        <v>877</v>
      </c>
      <c r="U4271" t="s">
        <v>878</v>
      </c>
      <c r="V4271" t="s">
        <v>131</v>
      </c>
      <c r="W4271" t="s">
        <v>44</v>
      </c>
      <c r="X4271" t="s">
        <v>45</v>
      </c>
      <c r="Y4271" s="1">
        <v>34746</v>
      </c>
      <c r="Z4271">
        <v>1</v>
      </c>
      <c r="AA4271" t="s">
        <v>878</v>
      </c>
      <c r="AB4271" s="40" t="s">
        <v>1799</v>
      </c>
    </row>
    <row r="4272" spans="1:28" x14ac:dyDescent="0.25">
      <c r="A4272">
        <v>99914271</v>
      </c>
      <c r="B4272" t="s">
        <v>32</v>
      </c>
      <c r="C4272" t="s">
        <v>90</v>
      </c>
      <c r="D4272" t="s">
        <v>91</v>
      </c>
      <c r="G4272" t="s">
        <v>35</v>
      </c>
      <c r="H4272">
        <v>1</v>
      </c>
      <c r="I4272" t="s">
        <v>1400</v>
      </c>
      <c r="J4272" s="1">
        <v>43374</v>
      </c>
      <c r="K4272" t="s">
        <v>1341</v>
      </c>
      <c r="L4272" t="s">
        <v>1342</v>
      </c>
      <c r="M4272" t="s">
        <v>1270</v>
      </c>
      <c r="N4272">
        <v>24</v>
      </c>
      <c r="O4272" s="1">
        <v>43374</v>
      </c>
      <c r="P4272" t="s">
        <v>41</v>
      </c>
      <c r="Q4272" t="s">
        <v>95</v>
      </c>
      <c r="R4272" t="str">
        <f>"7191055"</f>
        <v>7191055</v>
      </c>
      <c r="S4272" t="s">
        <v>1401</v>
      </c>
      <c r="T4272" t="s">
        <v>1341</v>
      </c>
      <c r="U4272" t="s">
        <v>1342</v>
      </c>
      <c r="V4272" t="s">
        <v>1270</v>
      </c>
      <c r="W4272" t="s">
        <v>51</v>
      </c>
      <c r="X4272" t="s">
        <v>45</v>
      </c>
      <c r="Y4272" s="1">
        <v>34724</v>
      </c>
      <c r="Z4272">
        <v>1</v>
      </c>
      <c r="AA4272" t="s">
        <v>1342</v>
      </c>
      <c r="AB4272" s="40" t="s">
        <v>1799</v>
      </c>
    </row>
    <row r="4273" spans="1:28" x14ac:dyDescent="0.25">
      <c r="A4273">
        <v>99914272</v>
      </c>
      <c r="B4273" t="s">
        <v>32</v>
      </c>
      <c r="C4273" t="s">
        <v>111</v>
      </c>
      <c r="D4273" t="s">
        <v>112</v>
      </c>
      <c r="G4273" t="s">
        <v>35</v>
      </c>
      <c r="H4273">
        <v>1</v>
      </c>
      <c r="I4273" t="s">
        <v>113</v>
      </c>
      <c r="J4273" s="1">
        <v>43368</v>
      </c>
      <c r="K4273" t="s">
        <v>77</v>
      </c>
      <c r="L4273" t="s">
        <v>78</v>
      </c>
      <c r="M4273" t="s">
        <v>39</v>
      </c>
      <c r="N4273">
        <v>24</v>
      </c>
      <c r="O4273" s="1">
        <v>43368</v>
      </c>
      <c r="P4273" t="s">
        <v>41</v>
      </c>
      <c r="Q4273" t="s">
        <v>75</v>
      </c>
      <c r="R4273" t="str">
        <f>"7371000"</f>
        <v>7371000</v>
      </c>
      <c r="S4273" t="s">
        <v>76</v>
      </c>
      <c r="T4273" t="s">
        <v>77</v>
      </c>
      <c r="U4273" t="s">
        <v>78</v>
      </c>
      <c r="V4273" t="s">
        <v>39</v>
      </c>
      <c r="W4273" t="s">
        <v>44</v>
      </c>
      <c r="X4273" t="s">
        <v>45</v>
      </c>
      <c r="Y4273" s="1">
        <v>34705</v>
      </c>
      <c r="Z4273">
        <v>1</v>
      </c>
      <c r="AA4273" t="s">
        <v>78</v>
      </c>
      <c r="AB4273" s="40" t="s">
        <v>1799</v>
      </c>
    </row>
    <row r="4274" spans="1:28" x14ac:dyDescent="0.25">
      <c r="A4274">
        <v>99914273</v>
      </c>
      <c r="B4274" t="s">
        <v>32</v>
      </c>
      <c r="C4274" t="s">
        <v>111</v>
      </c>
      <c r="D4274" t="s">
        <v>112</v>
      </c>
      <c r="G4274" t="s">
        <v>35</v>
      </c>
      <c r="H4274">
        <v>1</v>
      </c>
      <c r="I4274" t="s">
        <v>1664</v>
      </c>
      <c r="J4274" s="1">
        <v>43344</v>
      </c>
      <c r="K4274" t="s">
        <v>1619</v>
      </c>
      <c r="L4274" t="s">
        <v>1620</v>
      </c>
      <c r="M4274" t="s">
        <v>1592</v>
      </c>
      <c r="N4274">
        <v>24</v>
      </c>
      <c r="O4274" s="1">
        <v>43344</v>
      </c>
      <c r="P4274" t="s">
        <v>41</v>
      </c>
      <c r="Q4274" t="s">
        <v>75</v>
      </c>
      <c r="R4274" t="str">
        <f>"7281004"</f>
        <v>7281004</v>
      </c>
      <c r="S4274" t="s">
        <v>1651</v>
      </c>
      <c r="T4274" t="s">
        <v>1619</v>
      </c>
      <c r="U4274" t="s">
        <v>1620</v>
      </c>
      <c r="V4274" t="s">
        <v>1592</v>
      </c>
      <c r="W4274" t="s">
        <v>44</v>
      </c>
      <c r="X4274" t="s">
        <v>45</v>
      </c>
      <c r="Y4274" s="1">
        <v>34660</v>
      </c>
      <c r="Z4274">
        <v>1</v>
      </c>
      <c r="AA4274" t="s">
        <v>1620</v>
      </c>
      <c r="AB4274" s="40" t="s">
        <v>1799</v>
      </c>
    </row>
    <row r="4275" spans="1:28" x14ac:dyDescent="0.25">
      <c r="A4275">
        <v>99914274</v>
      </c>
      <c r="B4275" t="s">
        <v>32</v>
      </c>
      <c r="C4275" t="s">
        <v>90</v>
      </c>
      <c r="D4275" t="s">
        <v>91</v>
      </c>
      <c r="G4275" t="s">
        <v>35</v>
      </c>
      <c r="H4275">
        <v>1</v>
      </c>
      <c r="I4275" t="s">
        <v>1359</v>
      </c>
      <c r="J4275" s="1">
        <v>43344</v>
      </c>
      <c r="K4275" t="s">
        <v>1341</v>
      </c>
      <c r="L4275" t="s">
        <v>1342</v>
      </c>
      <c r="M4275" t="s">
        <v>1270</v>
      </c>
      <c r="N4275">
        <v>24</v>
      </c>
      <c r="O4275" s="1">
        <v>43344</v>
      </c>
      <c r="P4275" t="s">
        <v>41</v>
      </c>
      <c r="Q4275" t="s">
        <v>95</v>
      </c>
      <c r="R4275" t="str">
        <f>"7191115"</f>
        <v>7191115</v>
      </c>
      <c r="S4275" t="s">
        <v>1360</v>
      </c>
      <c r="T4275" t="s">
        <v>1341</v>
      </c>
      <c r="U4275" t="s">
        <v>1342</v>
      </c>
      <c r="V4275" t="s">
        <v>1270</v>
      </c>
      <c r="W4275" t="s">
        <v>51</v>
      </c>
      <c r="X4275" t="s">
        <v>45</v>
      </c>
      <c r="Y4275" s="1">
        <v>34646</v>
      </c>
      <c r="Z4275">
        <v>1</v>
      </c>
      <c r="AA4275" t="s">
        <v>1342</v>
      </c>
      <c r="AB4275" s="40" t="s">
        <v>1799</v>
      </c>
    </row>
    <row r="4276" spans="1:28" x14ac:dyDescent="0.25">
      <c r="A4276">
        <v>99914275</v>
      </c>
      <c r="B4276" t="s">
        <v>32</v>
      </c>
      <c r="C4276" t="s">
        <v>79</v>
      </c>
      <c r="D4276" t="s">
        <v>80</v>
      </c>
      <c r="G4276" t="s">
        <v>35</v>
      </c>
      <c r="H4276">
        <v>1</v>
      </c>
      <c r="I4276">
        <v>28476</v>
      </c>
      <c r="J4276" s="1">
        <v>43403</v>
      </c>
      <c r="K4276" t="s">
        <v>1341</v>
      </c>
      <c r="L4276" t="s">
        <v>1342</v>
      </c>
      <c r="M4276" t="s">
        <v>1270</v>
      </c>
      <c r="N4276">
        <v>24</v>
      </c>
      <c r="O4276" s="1">
        <v>43403</v>
      </c>
      <c r="P4276" t="s">
        <v>41</v>
      </c>
      <c r="Q4276" t="s">
        <v>75</v>
      </c>
      <c r="R4276" t="str">
        <f>"7700012"</f>
        <v>7700012</v>
      </c>
      <c r="S4276" t="s">
        <v>1357</v>
      </c>
      <c r="T4276" t="s">
        <v>1341</v>
      </c>
      <c r="U4276" t="s">
        <v>1342</v>
      </c>
      <c r="V4276" t="s">
        <v>1270</v>
      </c>
      <c r="W4276" t="s">
        <v>44</v>
      </c>
      <c r="X4276" t="s">
        <v>45</v>
      </c>
      <c r="Y4276" s="1">
        <v>34591</v>
      </c>
      <c r="Z4276">
        <v>1</v>
      </c>
      <c r="AA4276" t="s">
        <v>1342</v>
      </c>
      <c r="AB4276" s="40" t="s">
        <v>1799</v>
      </c>
    </row>
    <row r="4277" spans="1:28" x14ac:dyDescent="0.25">
      <c r="A4277">
        <v>99914276</v>
      </c>
      <c r="B4277" t="s">
        <v>32</v>
      </c>
      <c r="C4277" t="s">
        <v>111</v>
      </c>
      <c r="D4277" t="s">
        <v>112</v>
      </c>
      <c r="G4277" t="s">
        <v>35</v>
      </c>
      <c r="H4277">
        <v>1</v>
      </c>
      <c r="I4277" t="s">
        <v>1647</v>
      </c>
      <c r="J4277" s="1">
        <v>43360</v>
      </c>
      <c r="K4277" t="s">
        <v>1619</v>
      </c>
      <c r="L4277" t="s">
        <v>1620</v>
      </c>
      <c r="M4277" t="s">
        <v>1592</v>
      </c>
      <c r="N4277">
        <v>24</v>
      </c>
      <c r="O4277" s="1">
        <v>43360</v>
      </c>
      <c r="P4277" t="s">
        <v>41</v>
      </c>
      <c r="Q4277" t="s">
        <v>75</v>
      </c>
      <c r="R4277" t="str">
        <f>"7281000"</f>
        <v>7281000</v>
      </c>
      <c r="S4277" t="s">
        <v>1648</v>
      </c>
      <c r="T4277" t="s">
        <v>1619</v>
      </c>
      <c r="U4277" t="s">
        <v>1620</v>
      </c>
      <c r="V4277" t="s">
        <v>1592</v>
      </c>
      <c r="W4277" t="s">
        <v>44</v>
      </c>
      <c r="X4277" t="s">
        <v>45</v>
      </c>
      <c r="Y4277" s="1">
        <v>34551</v>
      </c>
      <c r="Z4277">
        <v>1</v>
      </c>
      <c r="AA4277" t="s">
        <v>1620</v>
      </c>
      <c r="AB4277" s="40" t="s">
        <v>1799</v>
      </c>
    </row>
    <row r="4278" spans="1:28" x14ac:dyDescent="0.25">
      <c r="A4278">
        <v>99914277</v>
      </c>
      <c r="B4278" t="s">
        <v>32</v>
      </c>
      <c r="C4278" t="s">
        <v>111</v>
      </c>
      <c r="D4278" t="s">
        <v>112</v>
      </c>
      <c r="G4278" t="s">
        <v>35</v>
      </c>
      <c r="H4278">
        <v>1</v>
      </c>
      <c r="I4278" t="s">
        <v>1663</v>
      </c>
      <c r="J4278" s="1">
        <v>43344</v>
      </c>
      <c r="K4278" t="s">
        <v>1619</v>
      </c>
      <c r="L4278" t="s">
        <v>1620</v>
      </c>
      <c r="M4278" t="s">
        <v>1592</v>
      </c>
      <c r="N4278">
        <v>24</v>
      </c>
      <c r="O4278" s="1">
        <v>43344</v>
      </c>
      <c r="P4278" t="s">
        <v>41</v>
      </c>
      <c r="Q4278" t="s">
        <v>75</v>
      </c>
      <c r="R4278" t="str">
        <f>"7281004"</f>
        <v>7281004</v>
      </c>
      <c r="S4278" t="s">
        <v>1651</v>
      </c>
      <c r="T4278" t="s">
        <v>1619</v>
      </c>
      <c r="U4278" t="s">
        <v>1620</v>
      </c>
      <c r="V4278" t="s">
        <v>1592</v>
      </c>
      <c r="W4278" t="s">
        <v>44</v>
      </c>
      <c r="X4278" t="s">
        <v>45</v>
      </c>
      <c r="Y4278" s="1">
        <v>34499</v>
      </c>
      <c r="Z4278">
        <v>1</v>
      </c>
      <c r="AA4278" t="s">
        <v>1620</v>
      </c>
      <c r="AB4278" s="40" t="s">
        <v>1799</v>
      </c>
    </row>
    <row r="4279" spans="1:28" x14ac:dyDescent="0.25">
      <c r="A4279">
        <v>99914278</v>
      </c>
      <c r="B4279" t="s">
        <v>32</v>
      </c>
      <c r="C4279" t="s">
        <v>111</v>
      </c>
      <c r="D4279" t="s">
        <v>112</v>
      </c>
      <c r="G4279" t="s">
        <v>35</v>
      </c>
      <c r="H4279">
        <v>1</v>
      </c>
      <c r="I4279" t="s">
        <v>738</v>
      </c>
      <c r="J4279" s="1">
        <v>43354</v>
      </c>
      <c r="K4279" t="s">
        <v>268</v>
      </c>
      <c r="L4279" t="s">
        <v>269</v>
      </c>
      <c r="M4279" t="s">
        <v>131</v>
      </c>
      <c r="N4279">
        <v>24</v>
      </c>
      <c r="O4279" s="1">
        <v>43354</v>
      </c>
      <c r="P4279" t="s">
        <v>41</v>
      </c>
      <c r="Q4279" t="s">
        <v>75</v>
      </c>
      <c r="R4279" t="str">
        <f>"7052028"</f>
        <v>7052028</v>
      </c>
      <c r="S4279" t="s">
        <v>601</v>
      </c>
      <c r="T4279" t="s">
        <v>268</v>
      </c>
      <c r="U4279" t="s">
        <v>269</v>
      </c>
      <c r="V4279" t="s">
        <v>131</v>
      </c>
      <c r="W4279" t="s">
        <v>44</v>
      </c>
      <c r="X4279" t="s">
        <v>45</v>
      </c>
      <c r="Y4279" s="1">
        <v>34474</v>
      </c>
      <c r="Z4279">
        <v>1</v>
      </c>
      <c r="AA4279" t="s">
        <v>269</v>
      </c>
      <c r="AB4279" s="40" t="s">
        <v>1799</v>
      </c>
    </row>
    <row r="4280" spans="1:28" x14ac:dyDescent="0.25">
      <c r="A4280">
        <v>99914279</v>
      </c>
      <c r="B4280" t="s">
        <v>32</v>
      </c>
      <c r="C4280" t="s">
        <v>111</v>
      </c>
      <c r="D4280" t="s">
        <v>112</v>
      </c>
      <c r="G4280" t="s">
        <v>35</v>
      </c>
      <c r="H4280">
        <v>1</v>
      </c>
      <c r="I4280" t="s">
        <v>1239</v>
      </c>
      <c r="J4280" s="1">
        <v>43354</v>
      </c>
      <c r="K4280" t="s">
        <v>1221</v>
      </c>
      <c r="L4280" t="s">
        <v>1222</v>
      </c>
      <c r="M4280" t="s">
        <v>1130</v>
      </c>
      <c r="N4280">
        <v>24</v>
      </c>
      <c r="O4280" s="1">
        <v>43354</v>
      </c>
      <c r="P4280" t="s">
        <v>41</v>
      </c>
      <c r="Q4280" t="s">
        <v>75</v>
      </c>
      <c r="R4280" t="str">
        <f>"7351004"</f>
        <v>7351004</v>
      </c>
      <c r="S4280" t="s">
        <v>1225</v>
      </c>
      <c r="T4280" t="s">
        <v>1221</v>
      </c>
      <c r="U4280" t="s">
        <v>1222</v>
      </c>
      <c r="V4280" t="s">
        <v>1130</v>
      </c>
      <c r="W4280" t="s">
        <v>44</v>
      </c>
      <c r="X4280" t="s">
        <v>45</v>
      </c>
      <c r="Y4280" s="1">
        <v>34422</v>
      </c>
      <c r="Z4280">
        <v>1</v>
      </c>
      <c r="AA4280" t="s">
        <v>1222</v>
      </c>
      <c r="AB4280" s="40" t="s">
        <v>1799</v>
      </c>
    </row>
    <row r="4281" spans="1:28" x14ac:dyDescent="0.25">
      <c r="A4281">
        <v>99914280</v>
      </c>
      <c r="B4281" t="s">
        <v>32</v>
      </c>
      <c r="C4281" t="s">
        <v>90</v>
      </c>
      <c r="D4281" t="s">
        <v>91</v>
      </c>
      <c r="G4281" t="s">
        <v>35</v>
      </c>
      <c r="H4281">
        <v>1</v>
      </c>
      <c r="I4281">
        <v>10297</v>
      </c>
      <c r="J4281" s="1">
        <v>43344</v>
      </c>
      <c r="K4281" t="s">
        <v>1198</v>
      </c>
      <c r="L4281" t="s">
        <v>1199</v>
      </c>
      <c r="M4281" t="s">
        <v>1130</v>
      </c>
      <c r="N4281">
        <v>24</v>
      </c>
      <c r="O4281" s="1">
        <v>43344</v>
      </c>
      <c r="P4281" t="s">
        <v>41</v>
      </c>
      <c r="Q4281" t="s">
        <v>95</v>
      </c>
      <c r="R4281" t="str">
        <f>"7311025"</f>
        <v>7311025</v>
      </c>
      <c r="S4281" t="s">
        <v>1213</v>
      </c>
      <c r="T4281" t="s">
        <v>1198</v>
      </c>
      <c r="U4281" t="s">
        <v>1199</v>
      </c>
      <c r="V4281" t="s">
        <v>1130</v>
      </c>
      <c r="W4281" t="s">
        <v>44</v>
      </c>
      <c r="X4281" t="s">
        <v>45</v>
      </c>
      <c r="Y4281" s="1">
        <v>34402</v>
      </c>
      <c r="Z4281">
        <v>1</v>
      </c>
      <c r="AA4281" t="s">
        <v>1199</v>
      </c>
      <c r="AB4281" s="40" t="s">
        <v>1799</v>
      </c>
    </row>
    <row r="4282" spans="1:28" x14ac:dyDescent="0.25">
      <c r="A4282">
        <v>99914281</v>
      </c>
      <c r="B4282" t="s">
        <v>32</v>
      </c>
      <c r="C4282" t="s">
        <v>64</v>
      </c>
      <c r="D4282" t="s">
        <v>65</v>
      </c>
      <c r="G4282" t="s">
        <v>35</v>
      </c>
      <c r="H4282">
        <v>1</v>
      </c>
      <c r="I4282">
        <v>0</v>
      </c>
      <c r="J4282" s="1">
        <v>43344</v>
      </c>
      <c r="K4282" t="s">
        <v>223</v>
      </c>
      <c r="L4282" t="s">
        <v>224</v>
      </c>
      <c r="M4282" t="s">
        <v>131</v>
      </c>
      <c r="N4282">
        <v>24</v>
      </c>
      <c r="O4282" s="1">
        <v>43344</v>
      </c>
      <c r="P4282" t="s">
        <v>41</v>
      </c>
      <c r="Q4282" t="s">
        <v>49</v>
      </c>
      <c r="R4282" t="str">
        <f>"0581207"</f>
        <v>0581207</v>
      </c>
      <c r="S4282" t="s">
        <v>233</v>
      </c>
      <c r="T4282" t="s">
        <v>223</v>
      </c>
      <c r="U4282" t="s">
        <v>224</v>
      </c>
      <c r="V4282" t="s">
        <v>131</v>
      </c>
      <c r="W4282" t="s">
        <v>55</v>
      </c>
      <c r="X4282" t="s">
        <v>45</v>
      </c>
      <c r="Y4282" s="1">
        <v>34336</v>
      </c>
      <c r="Z4282">
        <v>2</v>
      </c>
      <c r="AA4282" t="s">
        <v>224</v>
      </c>
      <c r="AB4282" s="40" t="s">
        <v>1799</v>
      </c>
    </row>
    <row r="4283" spans="1:28" x14ac:dyDescent="0.25">
      <c r="A4283">
        <v>99914282</v>
      </c>
      <c r="B4283" t="s">
        <v>32</v>
      </c>
      <c r="C4283" t="s">
        <v>111</v>
      </c>
      <c r="D4283" t="s">
        <v>112</v>
      </c>
      <c r="G4283" t="s">
        <v>35</v>
      </c>
      <c r="H4283">
        <v>1</v>
      </c>
      <c r="I4283" t="s">
        <v>286</v>
      </c>
      <c r="J4283" s="1">
        <v>43344</v>
      </c>
      <c r="K4283" t="s">
        <v>268</v>
      </c>
      <c r="L4283" t="s">
        <v>269</v>
      </c>
      <c r="M4283" t="s">
        <v>131</v>
      </c>
      <c r="N4283">
        <v>24</v>
      </c>
      <c r="P4283" t="s">
        <v>41</v>
      </c>
      <c r="Q4283" t="s">
        <v>75</v>
      </c>
      <c r="R4283" t="str">
        <f>"7052018"</f>
        <v>7052018</v>
      </c>
      <c r="S4283" t="s">
        <v>577</v>
      </c>
      <c r="T4283" t="s">
        <v>268</v>
      </c>
      <c r="U4283" t="s">
        <v>269</v>
      </c>
      <c r="V4283" t="s">
        <v>131</v>
      </c>
      <c r="W4283" t="s">
        <v>55</v>
      </c>
      <c r="X4283" t="s">
        <v>45</v>
      </c>
      <c r="Y4283" s="1">
        <v>34310</v>
      </c>
      <c r="Z4283">
        <v>1</v>
      </c>
      <c r="AA4283" t="s">
        <v>269</v>
      </c>
      <c r="AB4283" s="40" t="s">
        <v>1799</v>
      </c>
    </row>
    <row r="4284" spans="1:28" x14ac:dyDescent="0.25">
      <c r="A4284">
        <v>99914283</v>
      </c>
      <c r="B4284" t="s">
        <v>32</v>
      </c>
      <c r="C4284" t="s">
        <v>90</v>
      </c>
      <c r="D4284" t="s">
        <v>91</v>
      </c>
      <c r="G4284" t="s">
        <v>35</v>
      </c>
      <c r="H4284">
        <v>1</v>
      </c>
      <c r="I4284" t="s">
        <v>1374</v>
      </c>
      <c r="J4284" s="1">
        <v>43344</v>
      </c>
      <c r="K4284" t="s">
        <v>1341</v>
      </c>
      <c r="L4284" t="s">
        <v>1342</v>
      </c>
      <c r="M4284" t="s">
        <v>1270</v>
      </c>
      <c r="N4284">
        <v>24</v>
      </c>
      <c r="O4284" s="1">
        <v>43344</v>
      </c>
      <c r="P4284" t="s">
        <v>41</v>
      </c>
      <c r="Q4284" t="s">
        <v>95</v>
      </c>
      <c r="R4284" t="str">
        <f>"7191043"</f>
        <v>7191043</v>
      </c>
      <c r="S4284" t="s">
        <v>1375</v>
      </c>
      <c r="T4284" t="s">
        <v>1341</v>
      </c>
      <c r="U4284" t="s">
        <v>1342</v>
      </c>
      <c r="V4284" t="s">
        <v>1270</v>
      </c>
      <c r="W4284" t="s">
        <v>44</v>
      </c>
      <c r="X4284" t="s">
        <v>45</v>
      </c>
      <c r="Y4284" s="1">
        <v>34277</v>
      </c>
      <c r="Z4284">
        <v>1</v>
      </c>
      <c r="AA4284" t="s">
        <v>1342</v>
      </c>
      <c r="AB4284" s="40" t="s">
        <v>1799</v>
      </c>
    </row>
    <row r="4285" spans="1:28" x14ac:dyDescent="0.25">
      <c r="A4285">
        <v>99914284</v>
      </c>
      <c r="B4285" t="s">
        <v>32</v>
      </c>
      <c r="C4285" t="s">
        <v>111</v>
      </c>
      <c r="D4285" t="s">
        <v>112</v>
      </c>
      <c r="G4285" t="s">
        <v>35</v>
      </c>
      <c r="H4285">
        <v>1</v>
      </c>
      <c r="K4285" t="s">
        <v>431</v>
      </c>
      <c r="L4285" t="s">
        <v>196</v>
      </c>
      <c r="M4285" t="s">
        <v>131</v>
      </c>
      <c r="N4285">
        <v>24</v>
      </c>
      <c r="P4285" t="s">
        <v>41</v>
      </c>
      <c r="Q4285" t="s">
        <v>75</v>
      </c>
      <c r="R4285" t="str">
        <f>"7521060"</f>
        <v>7521060</v>
      </c>
      <c r="S4285" t="s">
        <v>501</v>
      </c>
      <c r="T4285" t="s">
        <v>431</v>
      </c>
      <c r="U4285" t="s">
        <v>196</v>
      </c>
      <c r="V4285" t="s">
        <v>131</v>
      </c>
      <c r="W4285" t="s">
        <v>44</v>
      </c>
      <c r="X4285" t="s">
        <v>45</v>
      </c>
      <c r="Y4285" s="1">
        <v>34276</v>
      </c>
      <c r="Z4285">
        <v>1</v>
      </c>
      <c r="AA4285" t="s">
        <v>196</v>
      </c>
      <c r="AB4285" s="40" t="s">
        <v>1799</v>
      </c>
    </row>
    <row r="4286" spans="1:28" x14ac:dyDescent="0.25">
      <c r="A4286">
        <v>99914285</v>
      </c>
      <c r="B4286" t="s">
        <v>32</v>
      </c>
      <c r="C4286" t="s">
        <v>90</v>
      </c>
      <c r="D4286" t="s">
        <v>91</v>
      </c>
      <c r="G4286" t="s">
        <v>35</v>
      </c>
      <c r="H4286">
        <v>1</v>
      </c>
      <c r="I4286" t="s">
        <v>286</v>
      </c>
      <c r="J4286" s="1">
        <v>43344</v>
      </c>
      <c r="K4286" t="s">
        <v>268</v>
      </c>
      <c r="L4286" t="s">
        <v>269</v>
      </c>
      <c r="M4286" t="s">
        <v>131</v>
      </c>
      <c r="N4286">
        <v>24</v>
      </c>
      <c r="O4286" s="1">
        <v>43344</v>
      </c>
      <c r="P4286" t="s">
        <v>41</v>
      </c>
      <c r="Q4286" t="s">
        <v>95</v>
      </c>
      <c r="R4286" t="str">
        <f>"7052071"</f>
        <v>7052071</v>
      </c>
      <c r="S4286" t="s">
        <v>628</v>
      </c>
      <c r="T4286" t="s">
        <v>268</v>
      </c>
      <c r="U4286" t="s">
        <v>269</v>
      </c>
      <c r="V4286" t="s">
        <v>131</v>
      </c>
      <c r="W4286" t="s">
        <v>55</v>
      </c>
      <c r="X4286" t="s">
        <v>45</v>
      </c>
      <c r="Y4286" s="1">
        <v>34275</v>
      </c>
      <c r="Z4286">
        <v>1</v>
      </c>
      <c r="AA4286" t="s">
        <v>269</v>
      </c>
      <c r="AB4286" s="40" t="s">
        <v>1799</v>
      </c>
    </row>
    <row r="4287" spans="1:28" x14ac:dyDescent="0.25">
      <c r="A4287">
        <v>99914286</v>
      </c>
      <c r="B4287" t="s">
        <v>56</v>
      </c>
      <c r="C4287" t="s">
        <v>111</v>
      </c>
      <c r="D4287" t="s">
        <v>112</v>
      </c>
      <c r="G4287" t="s">
        <v>35</v>
      </c>
      <c r="H4287">
        <v>1</v>
      </c>
      <c r="I4287">
        <v>0</v>
      </c>
      <c r="J4287" s="1">
        <v>43344</v>
      </c>
      <c r="K4287" t="s">
        <v>985</v>
      </c>
      <c r="L4287" t="s">
        <v>986</v>
      </c>
      <c r="M4287" t="s">
        <v>938</v>
      </c>
      <c r="N4287">
        <v>24</v>
      </c>
      <c r="O4287" s="1">
        <v>43344</v>
      </c>
      <c r="P4287" t="s">
        <v>41</v>
      </c>
      <c r="Q4287" t="s">
        <v>75</v>
      </c>
      <c r="R4287" t="str">
        <f>"7011004"</f>
        <v>7011004</v>
      </c>
      <c r="S4287" t="s">
        <v>987</v>
      </c>
      <c r="T4287" t="s">
        <v>985</v>
      </c>
      <c r="U4287" t="s">
        <v>986</v>
      </c>
      <c r="V4287" t="s">
        <v>938</v>
      </c>
      <c r="W4287" t="s">
        <v>44</v>
      </c>
      <c r="X4287" t="s">
        <v>45</v>
      </c>
      <c r="Y4287" s="1">
        <v>34272</v>
      </c>
      <c r="Z4287">
        <v>1</v>
      </c>
      <c r="AA4287" t="s">
        <v>986</v>
      </c>
      <c r="AB4287" s="40" t="s">
        <v>1799</v>
      </c>
    </row>
    <row r="4288" spans="1:28" x14ac:dyDescent="0.25">
      <c r="A4288">
        <v>99914287</v>
      </c>
      <c r="B4288" t="s">
        <v>32</v>
      </c>
      <c r="C4288" t="s">
        <v>111</v>
      </c>
      <c r="D4288" t="s">
        <v>112</v>
      </c>
      <c r="G4288" t="s">
        <v>35</v>
      </c>
      <c r="H4288">
        <v>1</v>
      </c>
      <c r="I4288">
        <v>10849</v>
      </c>
      <c r="J4288" s="1">
        <v>43349</v>
      </c>
      <c r="K4288" t="s">
        <v>1426</v>
      </c>
      <c r="L4288" t="s">
        <v>1427</v>
      </c>
      <c r="M4288" t="s">
        <v>1270</v>
      </c>
      <c r="N4288">
        <v>24</v>
      </c>
      <c r="O4288" s="1">
        <v>43349</v>
      </c>
      <c r="P4288" t="s">
        <v>41</v>
      </c>
      <c r="Q4288" t="s">
        <v>75</v>
      </c>
      <c r="R4288" t="str">
        <f>"7192004"</f>
        <v>7192004</v>
      </c>
      <c r="S4288" t="s">
        <v>1428</v>
      </c>
      <c r="T4288" t="s">
        <v>1426</v>
      </c>
      <c r="U4288" t="s">
        <v>1427</v>
      </c>
      <c r="V4288" t="s">
        <v>1270</v>
      </c>
      <c r="W4288" t="s">
        <v>44</v>
      </c>
      <c r="X4288" t="s">
        <v>45</v>
      </c>
      <c r="Y4288" s="1">
        <v>34262</v>
      </c>
      <c r="Z4288">
        <v>1</v>
      </c>
      <c r="AA4288" t="s">
        <v>1427</v>
      </c>
      <c r="AB4288" s="40" t="s">
        <v>1799</v>
      </c>
    </row>
    <row r="4289" spans="1:28" x14ac:dyDescent="0.25">
      <c r="A4289">
        <v>99914288</v>
      </c>
      <c r="B4289" t="s">
        <v>32</v>
      </c>
      <c r="C4289" t="s">
        <v>111</v>
      </c>
      <c r="D4289" t="s">
        <v>112</v>
      </c>
      <c r="G4289" t="s">
        <v>35</v>
      </c>
      <c r="H4289">
        <v>1</v>
      </c>
      <c r="I4289">
        <v>1311</v>
      </c>
      <c r="J4289" s="1">
        <v>43368</v>
      </c>
      <c r="K4289" t="s">
        <v>77</v>
      </c>
      <c r="L4289" t="s">
        <v>78</v>
      </c>
      <c r="M4289" t="s">
        <v>39</v>
      </c>
      <c r="N4289">
        <v>24</v>
      </c>
      <c r="O4289" s="1">
        <v>43368</v>
      </c>
      <c r="P4289" t="s">
        <v>41</v>
      </c>
      <c r="Q4289" t="s">
        <v>75</v>
      </c>
      <c r="R4289" t="str">
        <f>"7371000"</f>
        <v>7371000</v>
      </c>
      <c r="S4289" t="s">
        <v>76</v>
      </c>
      <c r="T4289" t="s">
        <v>77</v>
      </c>
      <c r="U4289" t="s">
        <v>78</v>
      </c>
      <c r="V4289" t="s">
        <v>39</v>
      </c>
      <c r="W4289" t="s">
        <v>44</v>
      </c>
      <c r="X4289" t="s">
        <v>45</v>
      </c>
      <c r="Y4289" s="1">
        <v>34256</v>
      </c>
      <c r="Z4289">
        <v>1</v>
      </c>
      <c r="AA4289" t="s">
        <v>78</v>
      </c>
      <c r="AB4289" s="40" t="s">
        <v>1799</v>
      </c>
    </row>
    <row r="4290" spans="1:28" x14ac:dyDescent="0.25">
      <c r="A4290">
        <v>99914289</v>
      </c>
      <c r="B4290" t="s">
        <v>56</v>
      </c>
      <c r="C4290" t="s">
        <v>111</v>
      </c>
      <c r="D4290" t="s">
        <v>112</v>
      </c>
      <c r="G4290" t="s">
        <v>35</v>
      </c>
      <c r="H4290">
        <v>1</v>
      </c>
      <c r="I4290" t="s">
        <v>286</v>
      </c>
      <c r="J4290" s="1">
        <v>43344</v>
      </c>
      <c r="K4290" t="s">
        <v>268</v>
      </c>
      <c r="L4290" t="s">
        <v>269</v>
      </c>
      <c r="M4290" t="s">
        <v>131</v>
      </c>
      <c r="N4290">
        <v>24</v>
      </c>
      <c r="O4290" s="1">
        <v>43344</v>
      </c>
      <c r="P4290" t="s">
        <v>41</v>
      </c>
      <c r="Q4290" t="s">
        <v>75</v>
      </c>
      <c r="R4290" t="str">
        <f>"7052040"</f>
        <v>7052040</v>
      </c>
      <c r="S4290" t="s">
        <v>591</v>
      </c>
      <c r="T4290" t="s">
        <v>268</v>
      </c>
      <c r="U4290" t="s">
        <v>269</v>
      </c>
      <c r="V4290" t="s">
        <v>131</v>
      </c>
      <c r="W4290" t="s">
        <v>44</v>
      </c>
      <c r="X4290" t="s">
        <v>45</v>
      </c>
      <c r="Y4290" s="1">
        <v>34256</v>
      </c>
      <c r="Z4290">
        <v>1</v>
      </c>
      <c r="AA4290" t="s">
        <v>269</v>
      </c>
      <c r="AB4290" s="40" t="s">
        <v>1799</v>
      </c>
    </row>
    <row r="4291" spans="1:28" x14ac:dyDescent="0.25">
      <c r="A4291">
        <v>99914290</v>
      </c>
      <c r="B4291" t="s">
        <v>32</v>
      </c>
      <c r="C4291" t="s">
        <v>111</v>
      </c>
      <c r="D4291" t="s">
        <v>112</v>
      </c>
      <c r="G4291" t="s">
        <v>35</v>
      </c>
      <c r="H4291">
        <v>1</v>
      </c>
      <c r="I4291" t="s">
        <v>1540</v>
      </c>
      <c r="J4291" s="1">
        <v>43344</v>
      </c>
      <c r="K4291" t="s">
        <v>667</v>
      </c>
      <c r="L4291" t="s">
        <v>669</v>
      </c>
      <c r="M4291" t="s">
        <v>670</v>
      </c>
      <c r="N4291">
        <v>24</v>
      </c>
      <c r="O4291" s="1">
        <v>43344</v>
      </c>
      <c r="P4291" t="s">
        <v>41</v>
      </c>
      <c r="Q4291" t="s">
        <v>75</v>
      </c>
      <c r="R4291" t="str">
        <f>"7501002"</f>
        <v>7501002</v>
      </c>
      <c r="S4291" t="s">
        <v>1519</v>
      </c>
      <c r="T4291" t="s">
        <v>667</v>
      </c>
      <c r="U4291" t="s">
        <v>669</v>
      </c>
      <c r="V4291" t="s">
        <v>670</v>
      </c>
      <c r="W4291" t="s">
        <v>51</v>
      </c>
      <c r="X4291" t="s">
        <v>45</v>
      </c>
      <c r="Y4291" s="1">
        <v>34255</v>
      </c>
      <c r="Z4291">
        <v>1</v>
      </c>
      <c r="AA4291" t="s">
        <v>669</v>
      </c>
      <c r="AB4291" s="40" t="s">
        <v>1799</v>
      </c>
    </row>
    <row r="4292" spans="1:28" x14ac:dyDescent="0.25">
      <c r="A4292">
        <v>99914291</v>
      </c>
      <c r="B4292" t="s">
        <v>32</v>
      </c>
      <c r="C4292" t="s">
        <v>111</v>
      </c>
      <c r="D4292" t="s">
        <v>112</v>
      </c>
      <c r="G4292" t="s">
        <v>35</v>
      </c>
      <c r="H4292">
        <v>1</v>
      </c>
      <c r="I4292">
        <v>6771</v>
      </c>
      <c r="J4292" s="1">
        <v>43344</v>
      </c>
      <c r="K4292" t="s">
        <v>1198</v>
      </c>
      <c r="L4292" t="s">
        <v>1199</v>
      </c>
      <c r="M4292" t="s">
        <v>1130</v>
      </c>
      <c r="N4292">
        <v>24</v>
      </c>
      <c r="O4292" s="1">
        <v>43344</v>
      </c>
      <c r="P4292" t="s">
        <v>41</v>
      </c>
      <c r="Q4292" t="s">
        <v>75</v>
      </c>
      <c r="R4292" t="str">
        <f>"7311002"</f>
        <v>7311002</v>
      </c>
      <c r="S4292" t="s">
        <v>1203</v>
      </c>
      <c r="T4292" t="s">
        <v>1198</v>
      </c>
      <c r="U4292" t="s">
        <v>1199</v>
      </c>
      <c r="V4292" t="s">
        <v>1130</v>
      </c>
      <c r="W4292" t="s">
        <v>51</v>
      </c>
      <c r="X4292" t="s">
        <v>45</v>
      </c>
      <c r="Y4292" s="1">
        <v>34252</v>
      </c>
      <c r="Z4292">
        <v>1</v>
      </c>
      <c r="AA4292" t="s">
        <v>1199</v>
      </c>
      <c r="AB4292" s="40" t="s">
        <v>1799</v>
      </c>
    </row>
    <row r="4293" spans="1:28" x14ac:dyDescent="0.25">
      <c r="A4293">
        <v>99914292</v>
      </c>
      <c r="B4293" t="s">
        <v>32</v>
      </c>
      <c r="C4293" t="s">
        <v>90</v>
      </c>
      <c r="D4293" t="s">
        <v>91</v>
      </c>
      <c r="G4293" t="s">
        <v>35</v>
      </c>
      <c r="H4293">
        <v>1</v>
      </c>
      <c r="I4293" t="s">
        <v>1405</v>
      </c>
      <c r="J4293" s="1">
        <v>43353</v>
      </c>
      <c r="K4293" t="s">
        <v>1341</v>
      </c>
      <c r="L4293" t="s">
        <v>1342</v>
      </c>
      <c r="M4293" t="s">
        <v>1270</v>
      </c>
      <c r="N4293">
        <v>24</v>
      </c>
      <c r="O4293" s="1">
        <v>43353</v>
      </c>
      <c r="P4293" t="s">
        <v>41</v>
      </c>
      <c r="Q4293" t="s">
        <v>95</v>
      </c>
      <c r="R4293" t="str">
        <f>"7191023"</f>
        <v>7191023</v>
      </c>
      <c r="S4293" t="s">
        <v>1412</v>
      </c>
      <c r="T4293" t="s">
        <v>1341</v>
      </c>
      <c r="U4293" t="s">
        <v>1342</v>
      </c>
      <c r="V4293" t="s">
        <v>1270</v>
      </c>
      <c r="W4293" t="s">
        <v>44</v>
      </c>
      <c r="X4293" t="s">
        <v>45</v>
      </c>
      <c r="Y4293" s="1">
        <v>34246</v>
      </c>
      <c r="Z4293">
        <v>1</v>
      </c>
      <c r="AA4293" t="s">
        <v>1342</v>
      </c>
      <c r="AB4293" s="40" t="s">
        <v>1799</v>
      </c>
    </row>
    <row r="4294" spans="1:28" x14ac:dyDescent="0.25">
      <c r="A4294">
        <v>99914293</v>
      </c>
      <c r="B4294" t="s">
        <v>32</v>
      </c>
      <c r="C4294" t="s">
        <v>111</v>
      </c>
      <c r="D4294" t="s">
        <v>112</v>
      </c>
      <c r="G4294" t="s">
        <v>35</v>
      </c>
      <c r="H4294">
        <v>1</v>
      </c>
      <c r="I4294" s="1">
        <v>43349</v>
      </c>
      <c r="J4294" s="1">
        <v>43349</v>
      </c>
      <c r="K4294" t="s">
        <v>1341</v>
      </c>
      <c r="L4294" t="s">
        <v>1342</v>
      </c>
      <c r="M4294" t="s">
        <v>1270</v>
      </c>
      <c r="N4294">
        <v>24</v>
      </c>
      <c r="O4294" s="1">
        <v>43349</v>
      </c>
      <c r="P4294" t="s">
        <v>41</v>
      </c>
      <c r="Q4294" t="s">
        <v>75</v>
      </c>
      <c r="R4294" t="str">
        <f>"7191000"</f>
        <v>7191000</v>
      </c>
      <c r="S4294" t="s">
        <v>1347</v>
      </c>
      <c r="T4294" t="s">
        <v>1341</v>
      </c>
      <c r="U4294" t="s">
        <v>1342</v>
      </c>
      <c r="V4294" t="s">
        <v>1270</v>
      </c>
      <c r="W4294" t="s">
        <v>44</v>
      </c>
      <c r="X4294" t="s">
        <v>45</v>
      </c>
      <c r="Y4294" s="1">
        <v>34245</v>
      </c>
      <c r="Z4294">
        <v>1</v>
      </c>
      <c r="AA4294" t="s">
        <v>1342</v>
      </c>
      <c r="AB4294" s="40" t="s">
        <v>1799</v>
      </c>
    </row>
    <row r="4295" spans="1:28" x14ac:dyDescent="0.25">
      <c r="A4295">
        <v>99914294</v>
      </c>
      <c r="B4295" t="s">
        <v>32</v>
      </c>
      <c r="C4295" t="s">
        <v>111</v>
      </c>
      <c r="D4295" t="s">
        <v>112</v>
      </c>
      <c r="G4295" t="s">
        <v>35</v>
      </c>
      <c r="H4295">
        <v>1</v>
      </c>
      <c r="I4295">
        <v>7464</v>
      </c>
      <c r="J4295" s="1">
        <v>43344</v>
      </c>
      <c r="K4295" t="s">
        <v>1198</v>
      </c>
      <c r="L4295" t="s">
        <v>1199</v>
      </c>
      <c r="M4295" t="s">
        <v>1130</v>
      </c>
      <c r="N4295">
        <v>24</v>
      </c>
      <c r="O4295" s="1">
        <v>43344</v>
      </c>
      <c r="P4295" t="s">
        <v>41</v>
      </c>
      <c r="Q4295" t="s">
        <v>75</v>
      </c>
      <c r="R4295" t="str">
        <f>"7311006"</f>
        <v>7311006</v>
      </c>
      <c r="S4295" t="s">
        <v>1200</v>
      </c>
      <c r="T4295" t="s">
        <v>1198</v>
      </c>
      <c r="U4295" t="s">
        <v>1199</v>
      </c>
      <c r="V4295" t="s">
        <v>1130</v>
      </c>
      <c r="W4295" t="s">
        <v>44</v>
      </c>
      <c r="X4295" t="s">
        <v>45</v>
      </c>
      <c r="Y4295" s="1">
        <v>34206</v>
      </c>
      <c r="Z4295">
        <v>1</v>
      </c>
      <c r="AA4295" t="s">
        <v>1199</v>
      </c>
      <c r="AB4295" s="40" t="s">
        <v>1799</v>
      </c>
    </row>
    <row r="4296" spans="1:28" x14ac:dyDescent="0.25">
      <c r="A4296">
        <v>99914295</v>
      </c>
      <c r="B4296" t="s">
        <v>32</v>
      </c>
      <c r="C4296" t="s">
        <v>111</v>
      </c>
      <c r="D4296" t="s">
        <v>112</v>
      </c>
      <c r="G4296" t="s">
        <v>35</v>
      </c>
      <c r="H4296">
        <v>1</v>
      </c>
      <c r="I4296" t="s">
        <v>125</v>
      </c>
      <c r="J4296" s="1">
        <v>43368</v>
      </c>
      <c r="K4296" t="s">
        <v>77</v>
      </c>
      <c r="L4296" t="s">
        <v>78</v>
      </c>
      <c r="M4296" t="s">
        <v>39</v>
      </c>
      <c r="N4296">
        <v>24</v>
      </c>
      <c r="O4296" s="1">
        <v>43368</v>
      </c>
      <c r="P4296" t="s">
        <v>41</v>
      </c>
      <c r="Q4296" t="s">
        <v>75</v>
      </c>
      <c r="R4296" t="str">
        <f>"7371000"</f>
        <v>7371000</v>
      </c>
      <c r="S4296" t="s">
        <v>76</v>
      </c>
      <c r="T4296" t="s">
        <v>77</v>
      </c>
      <c r="U4296" t="s">
        <v>78</v>
      </c>
      <c r="V4296" t="s">
        <v>39</v>
      </c>
      <c r="W4296" t="s">
        <v>44</v>
      </c>
      <c r="X4296" t="s">
        <v>45</v>
      </c>
      <c r="Y4296" s="1">
        <v>34158</v>
      </c>
      <c r="Z4296">
        <v>1</v>
      </c>
      <c r="AA4296" t="s">
        <v>78</v>
      </c>
      <c r="AB4296" s="40" t="s">
        <v>1799</v>
      </c>
    </row>
    <row r="4297" spans="1:28" x14ac:dyDescent="0.25">
      <c r="A4297">
        <v>99914296</v>
      </c>
      <c r="B4297" t="s">
        <v>32</v>
      </c>
      <c r="C4297" t="s">
        <v>111</v>
      </c>
      <c r="D4297" t="s">
        <v>112</v>
      </c>
      <c r="G4297" t="s">
        <v>35</v>
      </c>
      <c r="H4297">
        <v>1</v>
      </c>
      <c r="I4297">
        <v>11256</v>
      </c>
      <c r="J4297" s="1">
        <v>43344</v>
      </c>
      <c r="K4297" t="s">
        <v>354</v>
      </c>
      <c r="L4297" t="s">
        <v>355</v>
      </c>
      <c r="M4297" t="s">
        <v>131</v>
      </c>
      <c r="N4297">
        <v>24</v>
      </c>
      <c r="O4297" s="1">
        <v>43344</v>
      </c>
      <c r="P4297" t="s">
        <v>41</v>
      </c>
      <c r="Q4297" t="s">
        <v>75</v>
      </c>
      <c r="R4297" t="str">
        <f>"7054018"</f>
        <v>7054018</v>
      </c>
      <c r="S4297" t="s">
        <v>773</v>
      </c>
      <c r="T4297" t="s">
        <v>354</v>
      </c>
      <c r="U4297" t="s">
        <v>355</v>
      </c>
      <c r="V4297" t="s">
        <v>131</v>
      </c>
      <c r="W4297" t="s">
        <v>44</v>
      </c>
      <c r="X4297" t="s">
        <v>45</v>
      </c>
      <c r="Y4297" s="1">
        <v>34142</v>
      </c>
      <c r="Z4297">
        <v>1</v>
      </c>
      <c r="AA4297" t="s">
        <v>355</v>
      </c>
      <c r="AB4297" s="40" t="s">
        <v>1799</v>
      </c>
    </row>
    <row r="4298" spans="1:28" x14ac:dyDescent="0.25">
      <c r="A4298">
        <v>99914297</v>
      </c>
      <c r="B4298" t="s">
        <v>32</v>
      </c>
      <c r="C4298" t="s">
        <v>111</v>
      </c>
      <c r="D4298" t="s">
        <v>112</v>
      </c>
      <c r="G4298" t="s">
        <v>35</v>
      </c>
      <c r="H4298">
        <v>1</v>
      </c>
      <c r="I4298">
        <v>4093</v>
      </c>
      <c r="J4298" s="1">
        <v>43344</v>
      </c>
      <c r="K4298" t="s">
        <v>877</v>
      </c>
      <c r="L4298" t="s">
        <v>878</v>
      </c>
      <c r="M4298" t="s">
        <v>131</v>
      </c>
      <c r="N4298">
        <v>24</v>
      </c>
      <c r="O4298" s="1">
        <v>43344</v>
      </c>
      <c r="P4298" t="s">
        <v>41</v>
      </c>
      <c r="Q4298" t="s">
        <v>75</v>
      </c>
      <c r="R4298" t="str">
        <f>"7541020"</f>
        <v>7541020</v>
      </c>
      <c r="S4298" t="s">
        <v>882</v>
      </c>
      <c r="T4298" t="s">
        <v>877</v>
      </c>
      <c r="U4298" t="s">
        <v>878</v>
      </c>
      <c r="V4298" t="s">
        <v>131</v>
      </c>
      <c r="W4298" t="s">
        <v>51</v>
      </c>
      <c r="X4298" t="s">
        <v>45</v>
      </c>
      <c r="Y4298" s="1">
        <v>34139</v>
      </c>
      <c r="Z4298">
        <v>1</v>
      </c>
      <c r="AA4298" t="s">
        <v>878</v>
      </c>
      <c r="AB4298" s="40" t="s">
        <v>1799</v>
      </c>
    </row>
    <row r="4299" spans="1:28" x14ac:dyDescent="0.25">
      <c r="A4299">
        <v>99914298</v>
      </c>
      <c r="B4299" t="s">
        <v>56</v>
      </c>
      <c r="C4299" t="s">
        <v>111</v>
      </c>
      <c r="D4299" t="s">
        <v>112</v>
      </c>
      <c r="G4299" t="s">
        <v>35</v>
      </c>
      <c r="H4299">
        <v>1</v>
      </c>
      <c r="I4299" s="1">
        <v>43344</v>
      </c>
      <c r="J4299" s="1">
        <v>43344</v>
      </c>
      <c r="K4299" t="s">
        <v>1341</v>
      </c>
      <c r="L4299" t="s">
        <v>1342</v>
      </c>
      <c r="M4299" t="s">
        <v>1270</v>
      </c>
      <c r="N4299">
        <v>24</v>
      </c>
      <c r="O4299" s="1">
        <v>43344</v>
      </c>
      <c r="P4299" t="s">
        <v>41</v>
      </c>
      <c r="Q4299" t="s">
        <v>75</v>
      </c>
      <c r="R4299" t="str">
        <f>"7191002"</f>
        <v>7191002</v>
      </c>
      <c r="S4299" t="s">
        <v>1365</v>
      </c>
      <c r="T4299" t="s">
        <v>1341</v>
      </c>
      <c r="U4299" t="s">
        <v>1342</v>
      </c>
      <c r="V4299" t="s">
        <v>1270</v>
      </c>
      <c r="W4299" t="s">
        <v>51</v>
      </c>
      <c r="X4299" t="s">
        <v>45</v>
      </c>
      <c r="Y4299" s="1">
        <v>34126</v>
      </c>
      <c r="Z4299">
        <v>1</v>
      </c>
      <c r="AA4299" t="s">
        <v>1342</v>
      </c>
      <c r="AB4299" s="40" t="s">
        <v>1799</v>
      </c>
    </row>
    <row r="4300" spans="1:28" x14ac:dyDescent="0.25">
      <c r="A4300">
        <v>99914299</v>
      </c>
      <c r="B4300" t="s">
        <v>32</v>
      </c>
      <c r="C4300" t="s">
        <v>111</v>
      </c>
      <c r="D4300" t="s">
        <v>112</v>
      </c>
      <c r="G4300" t="s">
        <v>35</v>
      </c>
      <c r="H4300">
        <v>1</v>
      </c>
      <c r="I4300" t="s">
        <v>1527</v>
      </c>
      <c r="J4300" s="1">
        <v>43344</v>
      </c>
      <c r="K4300" t="s">
        <v>667</v>
      </c>
      <c r="L4300" t="s">
        <v>669</v>
      </c>
      <c r="M4300" t="s">
        <v>670</v>
      </c>
      <c r="N4300">
        <v>24</v>
      </c>
      <c r="O4300" s="1">
        <v>43344</v>
      </c>
      <c r="P4300" t="s">
        <v>41</v>
      </c>
      <c r="Q4300" t="s">
        <v>75</v>
      </c>
      <c r="R4300" t="str">
        <f>"7501002"</f>
        <v>7501002</v>
      </c>
      <c r="S4300" t="s">
        <v>1519</v>
      </c>
      <c r="T4300" t="s">
        <v>667</v>
      </c>
      <c r="U4300" t="s">
        <v>669</v>
      </c>
      <c r="V4300" t="s">
        <v>670</v>
      </c>
      <c r="W4300" t="s">
        <v>51</v>
      </c>
      <c r="X4300" t="s">
        <v>45</v>
      </c>
      <c r="Y4300" s="1">
        <v>34125</v>
      </c>
      <c r="Z4300">
        <v>1</v>
      </c>
      <c r="AA4300" t="s">
        <v>669</v>
      </c>
      <c r="AB4300" s="40" t="s">
        <v>1799</v>
      </c>
    </row>
    <row r="4301" spans="1:28" x14ac:dyDescent="0.25">
      <c r="A4301">
        <v>99914300</v>
      </c>
      <c r="B4301" t="s">
        <v>32</v>
      </c>
      <c r="C4301" t="s">
        <v>111</v>
      </c>
      <c r="D4301" t="s">
        <v>112</v>
      </c>
      <c r="G4301" t="s">
        <v>35</v>
      </c>
      <c r="H4301">
        <v>1</v>
      </c>
      <c r="I4301">
        <v>15050</v>
      </c>
      <c r="J4301" s="1">
        <v>43344</v>
      </c>
      <c r="K4301" t="s">
        <v>354</v>
      </c>
      <c r="L4301" t="s">
        <v>355</v>
      </c>
      <c r="M4301" t="s">
        <v>131</v>
      </c>
      <c r="N4301">
        <v>24</v>
      </c>
      <c r="O4301" s="1">
        <v>43344</v>
      </c>
      <c r="P4301" t="s">
        <v>41</v>
      </c>
      <c r="Q4301" t="s">
        <v>75</v>
      </c>
      <c r="R4301" t="str">
        <f>"7054012"</f>
        <v>7054012</v>
      </c>
      <c r="S4301" t="s">
        <v>353</v>
      </c>
      <c r="T4301" t="s">
        <v>354</v>
      </c>
      <c r="U4301" t="s">
        <v>355</v>
      </c>
      <c r="V4301" t="s">
        <v>131</v>
      </c>
      <c r="W4301" t="s">
        <v>55</v>
      </c>
      <c r="X4301" t="s">
        <v>45</v>
      </c>
      <c r="Y4301" s="1">
        <v>34108</v>
      </c>
      <c r="Z4301">
        <v>1</v>
      </c>
      <c r="AA4301" t="s">
        <v>355</v>
      </c>
      <c r="AB4301" s="40" t="s">
        <v>1799</v>
      </c>
    </row>
    <row r="4302" spans="1:28" x14ac:dyDescent="0.25">
      <c r="A4302">
        <v>99914301</v>
      </c>
      <c r="B4302" t="s">
        <v>32</v>
      </c>
      <c r="C4302" t="s">
        <v>111</v>
      </c>
      <c r="D4302" t="s">
        <v>112</v>
      </c>
      <c r="G4302" t="s">
        <v>35</v>
      </c>
      <c r="H4302">
        <v>1</v>
      </c>
      <c r="I4302">
        <v>10611</v>
      </c>
      <c r="J4302" s="1">
        <v>43344</v>
      </c>
      <c r="K4302" t="s">
        <v>354</v>
      </c>
      <c r="L4302" t="s">
        <v>355</v>
      </c>
      <c r="M4302" t="s">
        <v>131</v>
      </c>
      <c r="N4302">
        <v>24</v>
      </c>
      <c r="O4302" s="1">
        <v>43344</v>
      </c>
      <c r="P4302" t="s">
        <v>41</v>
      </c>
      <c r="Q4302" t="s">
        <v>75</v>
      </c>
      <c r="R4302" t="str">
        <f>"7054042"</f>
        <v>7054042</v>
      </c>
      <c r="S4302" t="s">
        <v>776</v>
      </c>
      <c r="T4302" t="s">
        <v>354</v>
      </c>
      <c r="U4302" t="s">
        <v>355</v>
      </c>
      <c r="V4302" t="s">
        <v>131</v>
      </c>
      <c r="W4302" t="s">
        <v>51</v>
      </c>
      <c r="X4302" t="s">
        <v>45</v>
      </c>
      <c r="Y4302" s="1">
        <v>34103</v>
      </c>
      <c r="Z4302">
        <v>1</v>
      </c>
      <c r="AA4302" t="s">
        <v>355</v>
      </c>
      <c r="AB4302" s="40" t="s">
        <v>1799</v>
      </c>
    </row>
    <row r="4303" spans="1:28" x14ac:dyDescent="0.25">
      <c r="A4303">
        <v>99914302</v>
      </c>
      <c r="B4303" t="s">
        <v>32</v>
      </c>
      <c r="C4303" t="s">
        <v>111</v>
      </c>
      <c r="D4303" t="s">
        <v>112</v>
      </c>
      <c r="G4303" t="s">
        <v>35</v>
      </c>
      <c r="H4303">
        <v>1</v>
      </c>
      <c r="I4303">
        <v>10016</v>
      </c>
      <c r="J4303" s="1">
        <v>43361</v>
      </c>
      <c r="K4303" t="s">
        <v>354</v>
      </c>
      <c r="L4303" t="s">
        <v>355</v>
      </c>
      <c r="M4303" t="s">
        <v>131</v>
      </c>
      <c r="N4303">
        <v>24</v>
      </c>
      <c r="O4303" s="1">
        <v>43361</v>
      </c>
      <c r="P4303" t="s">
        <v>41</v>
      </c>
      <c r="Q4303" t="s">
        <v>75</v>
      </c>
      <c r="R4303" t="str">
        <f>"7054032"</f>
        <v>7054032</v>
      </c>
      <c r="S4303" t="s">
        <v>767</v>
      </c>
      <c r="T4303" t="s">
        <v>354</v>
      </c>
      <c r="U4303" t="s">
        <v>355</v>
      </c>
      <c r="V4303" t="s">
        <v>131</v>
      </c>
      <c r="W4303" t="s">
        <v>55</v>
      </c>
      <c r="X4303" t="s">
        <v>45</v>
      </c>
      <c r="Y4303" s="1">
        <v>34102</v>
      </c>
      <c r="Z4303">
        <v>1</v>
      </c>
      <c r="AA4303" t="s">
        <v>355</v>
      </c>
      <c r="AB4303" s="40" t="s">
        <v>1799</v>
      </c>
    </row>
    <row r="4304" spans="1:28" x14ac:dyDescent="0.25">
      <c r="A4304">
        <v>99914303</v>
      </c>
      <c r="B4304" t="s">
        <v>32</v>
      </c>
      <c r="C4304" t="s">
        <v>111</v>
      </c>
      <c r="D4304" t="s">
        <v>112</v>
      </c>
      <c r="G4304" t="s">
        <v>35</v>
      </c>
      <c r="H4304">
        <v>1</v>
      </c>
      <c r="I4304" t="s">
        <v>286</v>
      </c>
      <c r="J4304" s="1">
        <v>43344</v>
      </c>
      <c r="K4304" t="s">
        <v>268</v>
      </c>
      <c r="L4304" t="s">
        <v>269</v>
      </c>
      <c r="M4304" t="s">
        <v>131</v>
      </c>
      <c r="N4304">
        <v>24</v>
      </c>
      <c r="P4304" t="s">
        <v>41</v>
      </c>
      <c r="Q4304" t="s">
        <v>75</v>
      </c>
      <c r="R4304" t="str">
        <f>"7052034"</f>
        <v>7052034</v>
      </c>
      <c r="S4304" t="s">
        <v>604</v>
      </c>
      <c r="T4304" t="s">
        <v>268</v>
      </c>
      <c r="U4304" t="s">
        <v>269</v>
      </c>
      <c r="V4304" t="s">
        <v>131</v>
      </c>
      <c r="W4304" t="s">
        <v>44</v>
      </c>
      <c r="X4304" t="s">
        <v>45</v>
      </c>
      <c r="Y4304" s="1">
        <v>34079</v>
      </c>
      <c r="Z4304">
        <v>1</v>
      </c>
      <c r="AA4304" t="s">
        <v>269</v>
      </c>
      <c r="AB4304" s="40" t="s">
        <v>1799</v>
      </c>
    </row>
    <row r="4305" spans="1:28" x14ac:dyDescent="0.25">
      <c r="A4305">
        <v>99914304</v>
      </c>
      <c r="B4305" t="s">
        <v>32</v>
      </c>
      <c r="C4305" t="s">
        <v>111</v>
      </c>
      <c r="D4305" t="s">
        <v>112</v>
      </c>
      <c r="G4305" t="s">
        <v>35</v>
      </c>
      <c r="H4305">
        <v>1</v>
      </c>
      <c r="I4305" t="s">
        <v>1646</v>
      </c>
      <c r="J4305" s="1">
        <v>43344</v>
      </c>
      <c r="K4305" t="s">
        <v>1631</v>
      </c>
      <c r="L4305" t="s">
        <v>1632</v>
      </c>
      <c r="M4305" t="s">
        <v>1592</v>
      </c>
      <c r="N4305">
        <v>24</v>
      </c>
      <c r="O4305" s="1">
        <v>43344</v>
      </c>
      <c r="P4305" t="s">
        <v>41</v>
      </c>
      <c r="Q4305" t="s">
        <v>75</v>
      </c>
      <c r="R4305" t="str">
        <f>"7021002"</f>
        <v>7021002</v>
      </c>
      <c r="S4305" t="s">
        <v>1639</v>
      </c>
      <c r="T4305" t="s">
        <v>1631</v>
      </c>
      <c r="U4305" t="s">
        <v>1632</v>
      </c>
      <c r="V4305" t="s">
        <v>1592</v>
      </c>
      <c r="W4305" t="s">
        <v>44</v>
      </c>
      <c r="X4305" t="s">
        <v>45</v>
      </c>
      <c r="Y4305" s="1">
        <v>34071</v>
      </c>
      <c r="Z4305">
        <v>1</v>
      </c>
      <c r="AA4305" t="s">
        <v>1632</v>
      </c>
      <c r="AB4305" s="40" t="s">
        <v>1799</v>
      </c>
    </row>
    <row r="4306" spans="1:28" x14ac:dyDescent="0.25">
      <c r="A4306">
        <v>99914305</v>
      </c>
      <c r="B4306" t="s">
        <v>32</v>
      </c>
      <c r="C4306" t="s">
        <v>111</v>
      </c>
      <c r="D4306" t="s">
        <v>112</v>
      </c>
      <c r="G4306" t="s">
        <v>35</v>
      </c>
      <c r="H4306">
        <v>1</v>
      </c>
      <c r="K4306" t="s">
        <v>154</v>
      </c>
      <c r="L4306" t="s">
        <v>155</v>
      </c>
      <c r="M4306" t="s">
        <v>131</v>
      </c>
      <c r="N4306">
        <v>24</v>
      </c>
      <c r="P4306" t="s">
        <v>41</v>
      </c>
      <c r="Q4306" t="s">
        <v>75</v>
      </c>
      <c r="R4306" t="str">
        <f>"7051018"</f>
        <v>7051018</v>
      </c>
      <c r="S4306" t="s">
        <v>401</v>
      </c>
      <c r="T4306" t="s">
        <v>154</v>
      </c>
      <c r="U4306" t="s">
        <v>155</v>
      </c>
      <c r="V4306" t="s">
        <v>131</v>
      </c>
      <c r="W4306" t="s">
        <v>165</v>
      </c>
      <c r="X4306" t="s">
        <v>45</v>
      </c>
      <c r="Y4306" s="1">
        <v>34062</v>
      </c>
      <c r="Z4306">
        <v>1</v>
      </c>
      <c r="AA4306" t="s">
        <v>155</v>
      </c>
      <c r="AB4306" s="40" t="s">
        <v>1799</v>
      </c>
    </row>
    <row r="4307" spans="1:28" x14ac:dyDescent="0.25">
      <c r="A4307">
        <v>99914306</v>
      </c>
      <c r="B4307" t="s">
        <v>32</v>
      </c>
      <c r="C4307" t="s">
        <v>111</v>
      </c>
      <c r="D4307" t="s">
        <v>112</v>
      </c>
      <c r="G4307" t="s">
        <v>35</v>
      </c>
      <c r="H4307">
        <v>1</v>
      </c>
      <c r="I4307" t="s">
        <v>1093</v>
      </c>
      <c r="J4307" s="1">
        <v>43356</v>
      </c>
      <c r="K4307" t="s">
        <v>1081</v>
      </c>
      <c r="L4307" t="s">
        <v>1082</v>
      </c>
      <c r="M4307" t="s">
        <v>1053</v>
      </c>
      <c r="N4307">
        <v>24</v>
      </c>
      <c r="O4307" s="1">
        <v>43356</v>
      </c>
      <c r="P4307" t="s">
        <v>41</v>
      </c>
      <c r="Q4307" t="s">
        <v>75</v>
      </c>
      <c r="R4307" t="str">
        <f>"7201006"</f>
        <v>7201006</v>
      </c>
      <c r="S4307" t="s">
        <v>1083</v>
      </c>
      <c r="T4307" t="s">
        <v>1081</v>
      </c>
      <c r="U4307" t="s">
        <v>1082</v>
      </c>
      <c r="V4307" t="s">
        <v>1053</v>
      </c>
      <c r="W4307" t="s">
        <v>44</v>
      </c>
      <c r="X4307" t="s">
        <v>45</v>
      </c>
      <c r="Y4307" s="1">
        <v>34058</v>
      </c>
      <c r="Z4307">
        <v>1</v>
      </c>
      <c r="AA4307" t="s">
        <v>1082</v>
      </c>
      <c r="AB4307" s="40" t="s">
        <v>1799</v>
      </c>
    </row>
    <row r="4308" spans="1:28" x14ac:dyDescent="0.25">
      <c r="A4308">
        <v>99914307</v>
      </c>
      <c r="B4308" t="s">
        <v>32</v>
      </c>
      <c r="C4308" t="s">
        <v>111</v>
      </c>
      <c r="D4308" t="s">
        <v>112</v>
      </c>
      <c r="G4308" t="s">
        <v>35</v>
      </c>
      <c r="H4308">
        <v>1</v>
      </c>
      <c r="I4308">
        <v>10616</v>
      </c>
      <c r="J4308" s="1">
        <v>43344</v>
      </c>
      <c r="K4308" t="s">
        <v>354</v>
      </c>
      <c r="L4308" t="s">
        <v>355</v>
      </c>
      <c r="M4308" t="s">
        <v>131</v>
      </c>
      <c r="N4308">
        <v>24</v>
      </c>
      <c r="O4308" s="1">
        <v>43344</v>
      </c>
      <c r="P4308" t="s">
        <v>41</v>
      </c>
      <c r="Q4308" t="s">
        <v>75</v>
      </c>
      <c r="R4308" t="str">
        <f>"7054000"</f>
        <v>7054000</v>
      </c>
      <c r="S4308" t="s">
        <v>786</v>
      </c>
      <c r="T4308" t="s">
        <v>354</v>
      </c>
      <c r="U4308" t="s">
        <v>355</v>
      </c>
      <c r="V4308" t="s">
        <v>131</v>
      </c>
      <c r="W4308" t="s">
        <v>44</v>
      </c>
      <c r="X4308" t="s">
        <v>45</v>
      </c>
      <c r="Y4308" s="1">
        <v>34047</v>
      </c>
      <c r="Z4308">
        <v>1</v>
      </c>
      <c r="AA4308" t="s">
        <v>355</v>
      </c>
      <c r="AB4308" s="40" t="s">
        <v>1799</v>
      </c>
    </row>
    <row r="4309" spans="1:28" x14ac:dyDescent="0.25">
      <c r="A4309">
        <v>99914308</v>
      </c>
      <c r="B4309" t="s">
        <v>32</v>
      </c>
      <c r="C4309" t="s">
        <v>111</v>
      </c>
      <c r="D4309" t="s">
        <v>112</v>
      </c>
      <c r="G4309" t="s">
        <v>35</v>
      </c>
      <c r="H4309">
        <v>1</v>
      </c>
      <c r="I4309">
        <v>9638</v>
      </c>
      <c r="J4309" s="1">
        <v>43353</v>
      </c>
      <c r="K4309" t="s">
        <v>354</v>
      </c>
      <c r="L4309" t="s">
        <v>355</v>
      </c>
      <c r="M4309" t="s">
        <v>131</v>
      </c>
      <c r="N4309">
        <v>24</v>
      </c>
      <c r="O4309" s="1">
        <v>43353</v>
      </c>
      <c r="P4309" t="s">
        <v>41</v>
      </c>
      <c r="Q4309" t="s">
        <v>75</v>
      </c>
      <c r="R4309" t="str">
        <f>"7054024"</f>
        <v>7054024</v>
      </c>
      <c r="S4309" t="s">
        <v>793</v>
      </c>
      <c r="T4309" t="s">
        <v>354</v>
      </c>
      <c r="U4309" t="s">
        <v>355</v>
      </c>
      <c r="V4309" t="s">
        <v>131</v>
      </c>
      <c r="W4309" t="s">
        <v>55</v>
      </c>
      <c r="X4309" t="s">
        <v>45</v>
      </c>
      <c r="Y4309" s="1">
        <v>34035</v>
      </c>
      <c r="Z4309">
        <v>1</v>
      </c>
      <c r="AA4309" t="s">
        <v>355</v>
      </c>
      <c r="AB4309" s="40" t="s">
        <v>1799</v>
      </c>
    </row>
    <row r="4310" spans="1:28" x14ac:dyDescent="0.25">
      <c r="A4310">
        <v>99914309</v>
      </c>
      <c r="B4310" t="s">
        <v>32</v>
      </c>
      <c r="C4310" t="s">
        <v>111</v>
      </c>
      <c r="D4310" t="s">
        <v>112</v>
      </c>
      <c r="G4310" t="s">
        <v>35</v>
      </c>
      <c r="H4310">
        <v>1</v>
      </c>
      <c r="I4310">
        <v>6573</v>
      </c>
      <c r="J4310" s="1">
        <v>43344</v>
      </c>
      <c r="K4310" t="s">
        <v>1198</v>
      </c>
      <c r="L4310" t="s">
        <v>1199</v>
      </c>
      <c r="M4310" t="s">
        <v>1130</v>
      </c>
      <c r="N4310">
        <v>24</v>
      </c>
      <c r="O4310" s="1">
        <v>43344</v>
      </c>
      <c r="P4310" t="s">
        <v>41</v>
      </c>
      <c r="Q4310" t="s">
        <v>75</v>
      </c>
      <c r="R4310" t="str">
        <f>"7311006"</f>
        <v>7311006</v>
      </c>
      <c r="S4310" t="s">
        <v>1200</v>
      </c>
      <c r="T4310" t="s">
        <v>1198</v>
      </c>
      <c r="U4310" t="s">
        <v>1199</v>
      </c>
      <c r="V4310" t="s">
        <v>1130</v>
      </c>
      <c r="W4310" t="s">
        <v>44</v>
      </c>
      <c r="X4310" t="s">
        <v>45</v>
      </c>
      <c r="Y4310" s="1">
        <v>34033</v>
      </c>
      <c r="Z4310">
        <v>1</v>
      </c>
      <c r="AA4310" t="s">
        <v>1199</v>
      </c>
      <c r="AB4310" s="40" t="s">
        <v>1799</v>
      </c>
    </row>
    <row r="4311" spans="1:28" x14ac:dyDescent="0.25">
      <c r="A4311">
        <v>99914310</v>
      </c>
      <c r="B4311" t="s">
        <v>32</v>
      </c>
      <c r="C4311" t="s">
        <v>111</v>
      </c>
      <c r="D4311" t="s">
        <v>112</v>
      </c>
      <c r="G4311" t="s">
        <v>35</v>
      </c>
      <c r="H4311">
        <v>1</v>
      </c>
      <c r="I4311">
        <v>4250</v>
      </c>
      <c r="J4311" s="1">
        <v>43378</v>
      </c>
      <c r="K4311" t="s">
        <v>1631</v>
      </c>
      <c r="L4311" t="s">
        <v>1632</v>
      </c>
      <c r="M4311" t="s">
        <v>1592</v>
      </c>
      <c r="N4311">
        <v>24</v>
      </c>
      <c r="O4311" s="1">
        <v>43378</v>
      </c>
      <c r="P4311" t="s">
        <v>41</v>
      </c>
      <c r="Q4311" t="s">
        <v>75</v>
      </c>
      <c r="R4311" t="str">
        <f>"7021002"</f>
        <v>7021002</v>
      </c>
      <c r="S4311" t="s">
        <v>1639</v>
      </c>
      <c r="T4311" t="s">
        <v>1631</v>
      </c>
      <c r="U4311" t="s">
        <v>1632</v>
      </c>
      <c r="V4311" t="s">
        <v>1592</v>
      </c>
      <c r="W4311" t="s">
        <v>44</v>
      </c>
      <c r="X4311" t="s">
        <v>45</v>
      </c>
      <c r="Y4311" s="1">
        <v>34021</v>
      </c>
      <c r="Z4311">
        <v>1</v>
      </c>
      <c r="AA4311" t="s">
        <v>1632</v>
      </c>
      <c r="AB4311" s="40" t="s">
        <v>1799</v>
      </c>
    </row>
    <row r="4312" spans="1:28" x14ac:dyDescent="0.25">
      <c r="A4312">
        <v>99914311</v>
      </c>
      <c r="B4312" t="s">
        <v>32</v>
      </c>
      <c r="C4312" t="s">
        <v>111</v>
      </c>
      <c r="D4312" t="s">
        <v>112</v>
      </c>
      <c r="G4312" t="s">
        <v>35</v>
      </c>
      <c r="H4312">
        <v>1</v>
      </c>
      <c r="I4312">
        <v>4550</v>
      </c>
      <c r="J4312" s="1">
        <v>43362</v>
      </c>
      <c r="K4312" t="s">
        <v>1631</v>
      </c>
      <c r="L4312" t="s">
        <v>1632</v>
      </c>
      <c r="M4312" t="s">
        <v>1592</v>
      </c>
      <c r="N4312">
        <v>24</v>
      </c>
      <c r="O4312" s="1">
        <v>43362</v>
      </c>
      <c r="P4312" t="s">
        <v>41</v>
      </c>
      <c r="Q4312" t="s">
        <v>75</v>
      </c>
      <c r="R4312" t="str">
        <f>"7021000"</f>
        <v>7021000</v>
      </c>
      <c r="S4312" t="s">
        <v>1633</v>
      </c>
      <c r="T4312" t="s">
        <v>1631</v>
      </c>
      <c r="U4312" t="s">
        <v>1632</v>
      </c>
      <c r="V4312" t="s">
        <v>1592</v>
      </c>
      <c r="W4312" t="s">
        <v>44</v>
      </c>
      <c r="X4312" t="s">
        <v>45</v>
      </c>
      <c r="Y4312" s="1">
        <v>34020</v>
      </c>
      <c r="Z4312">
        <v>1</v>
      </c>
      <c r="AA4312" t="s">
        <v>1632</v>
      </c>
      <c r="AB4312" s="40" t="s">
        <v>1799</v>
      </c>
    </row>
    <row r="4313" spans="1:28" x14ac:dyDescent="0.25">
      <c r="A4313">
        <v>99914312</v>
      </c>
      <c r="B4313" t="s">
        <v>32</v>
      </c>
      <c r="C4313" t="s">
        <v>111</v>
      </c>
      <c r="D4313" t="s">
        <v>112</v>
      </c>
      <c r="G4313" t="s">
        <v>35</v>
      </c>
      <c r="H4313">
        <v>1</v>
      </c>
      <c r="I4313" t="s">
        <v>1012</v>
      </c>
      <c r="J4313" s="1">
        <v>43344</v>
      </c>
      <c r="K4313" t="s">
        <v>963</v>
      </c>
      <c r="L4313" t="s">
        <v>964</v>
      </c>
      <c r="M4313" t="s">
        <v>938</v>
      </c>
      <c r="N4313">
        <v>24</v>
      </c>
      <c r="O4313" s="1">
        <v>43344</v>
      </c>
      <c r="P4313" t="s">
        <v>41</v>
      </c>
      <c r="Q4313" t="s">
        <v>75</v>
      </c>
      <c r="R4313" t="str">
        <f>"7061000"</f>
        <v>7061000</v>
      </c>
      <c r="S4313" t="s">
        <v>962</v>
      </c>
      <c r="T4313" t="s">
        <v>963</v>
      </c>
      <c r="U4313" t="s">
        <v>964</v>
      </c>
      <c r="V4313" t="s">
        <v>938</v>
      </c>
      <c r="W4313" t="s">
        <v>55</v>
      </c>
      <c r="X4313" t="s">
        <v>45</v>
      </c>
      <c r="Y4313" s="1">
        <v>34012</v>
      </c>
      <c r="Z4313">
        <v>1</v>
      </c>
      <c r="AA4313" t="s">
        <v>964</v>
      </c>
      <c r="AB4313" s="40" t="s">
        <v>1799</v>
      </c>
    </row>
    <row r="4314" spans="1:28" x14ac:dyDescent="0.25">
      <c r="A4314">
        <v>99914313</v>
      </c>
      <c r="B4314" t="s">
        <v>32</v>
      </c>
      <c r="C4314" t="s">
        <v>111</v>
      </c>
      <c r="D4314" t="s">
        <v>112</v>
      </c>
      <c r="G4314" t="s">
        <v>35</v>
      </c>
      <c r="H4314">
        <v>1</v>
      </c>
      <c r="I4314">
        <v>6928</v>
      </c>
      <c r="J4314" s="1">
        <v>43344</v>
      </c>
      <c r="K4314" t="s">
        <v>1198</v>
      </c>
      <c r="L4314" t="s">
        <v>1199</v>
      </c>
      <c r="M4314" t="s">
        <v>1130</v>
      </c>
      <c r="N4314">
        <v>24</v>
      </c>
      <c r="O4314" s="1">
        <v>43344</v>
      </c>
      <c r="P4314" t="s">
        <v>41</v>
      </c>
      <c r="Q4314" t="s">
        <v>75</v>
      </c>
      <c r="R4314" t="str">
        <f>"7311006"</f>
        <v>7311006</v>
      </c>
      <c r="S4314" t="s">
        <v>1200</v>
      </c>
      <c r="T4314" t="s">
        <v>1198</v>
      </c>
      <c r="U4314" t="s">
        <v>1199</v>
      </c>
      <c r="V4314" t="s">
        <v>1130</v>
      </c>
      <c r="W4314" t="s">
        <v>44</v>
      </c>
      <c r="X4314" t="s">
        <v>45</v>
      </c>
      <c r="Y4314" s="1">
        <v>34000</v>
      </c>
      <c r="Z4314">
        <v>1</v>
      </c>
      <c r="AA4314" t="s">
        <v>1199</v>
      </c>
      <c r="AB4314" s="40" t="s">
        <v>1799</v>
      </c>
    </row>
    <row r="4315" spans="1:28" x14ac:dyDescent="0.25">
      <c r="A4315">
        <v>99914314</v>
      </c>
      <c r="B4315" t="s">
        <v>32</v>
      </c>
      <c r="C4315" t="s">
        <v>111</v>
      </c>
      <c r="D4315" t="s">
        <v>112</v>
      </c>
      <c r="G4315" t="s">
        <v>35</v>
      </c>
      <c r="H4315">
        <v>1</v>
      </c>
      <c r="K4315" t="s">
        <v>154</v>
      </c>
      <c r="L4315" t="s">
        <v>155</v>
      </c>
      <c r="M4315" t="s">
        <v>131</v>
      </c>
      <c r="N4315">
        <v>24</v>
      </c>
      <c r="P4315" t="s">
        <v>41</v>
      </c>
      <c r="Q4315" t="s">
        <v>75</v>
      </c>
      <c r="R4315" t="str">
        <f>"7051018"</f>
        <v>7051018</v>
      </c>
      <c r="S4315" t="s">
        <v>401</v>
      </c>
      <c r="T4315" t="s">
        <v>154</v>
      </c>
      <c r="U4315" t="s">
        <v>155</v>
      </c>
      <c r="V4315" t="s">
        <v>131</v>
      </c>
      <c r="W4315" t="s">
        <v>44</v>
      </c>
      <c r="X4315" t="s">
        <v>45</v>
      </c>
      <c r="Y4315" s="1">
        <v>33954</v>
      </c>
      <c r="Z4315">
        <v>1</v>
      </c>
      <c r="AA4315" t="s">
        <v>155</v>
      </c>
      <c r="AB4315" s="40" t="s">
        <v>1799</v>
      </c>
    </row>
    <row r="4316" spans="1:28" x14ac:dyDescent="0.25">
      <c r="A4316">
        <v>99914315</v>
      </c>
      <c r="B4316" t="s">
        <v>32</v>
      </c>
      <c r="C4316" t="s">
        <v>111</v>
      </c>
      <c r="D4316" t="s">
        <v>112</v>
      </c>
      <c r="G4316" t="s">
        <v>35</v>
      </c>
      <c r="H4316">
        <v>1</v>
      </c>
      <c r="I4316" t="s">
        <v>618</v>
      </c>
      <c r="J4316" s="1">
        <v>43344</v>
      </c>
      <c r="K4316" t="s">
        <v>268</v>
      </c>
      <c r="L4316" t="s">
        <v>269</v>
      </c>
      <c r="M4316" t="s">
        <v>131</v>
      </c>
      <c r="N4316">
        <v>24</v>
      </c>
      <c r="O4316" s="1">
        <v>43344</v>
      </c>
      <c r="P4316" t="s">
        <v>41</v>
      </c>
      <c r="Q4316" t="s">
        <v>75</v>
      </c>
      <c r="R4316" t="str">
        <f>"7052006"</f>
        <v>7052006</v>
      </c>
      <c r="S4316" t="s">
        <v>575</v>
      </c>
      <c r="T4316" t="s">
        <v>268</v>
      </c>
      <c r="U4316" t="s">
        <v>269</v>
      </c>
      <c r="V4316" t="s">
        <v>131</v>
      </c>
      <c r="W4316" t="s">
        <v>55</v>
      </c>
      <c r="X4316" t="s">
        <v>45</v>
      </c>
      <c r="Y4316" s="1">
        <v>33952</v>
      </c>
      <c r="Z4316">
        <v>1</v>
      </c>
      <c r="AA4316" t="s">
        <v>269</v>
      </c>
      <c r="AB4316" s="40" t="s">
        <v>1799</v>
      </c>
    </row>
    <row r="4317" spans="1:28" x14ac:dyDescent="0.25">
      <c r="A4317">
        <v>99914316</v>
      </c>
      <c r="B4317" t="s">
        <v>56</v>
      </c>
      <c r="C4317" t="s">
        <v>111</v>
      </c>
      <c r="D4317" t="s">
        <v>112</v>
      </c>
      <c r="G4317" t="s">
        <v>35</v>
      </c>
      <c r="H4317">
        <v>1</v>
      </c>
      <c r="I4317" s="1">
        <v>42614</v>
      </c>
      <c r="J4317" s="1">
        <v>43344</v>
      </c>
      <c r="K4317" t="s">
        <v>1341</v>
      </c>
      <c r="L4317" t="s">
        <v>1342</v>
      </c>
      <c r="M4317" t="s">
        <v>1270</v>
      </c>
      <c r="N4317">
        <v>24</v>
      </c>
      <c r="O4317" s="1">
        <v>43344</v>
      </c>
      <c r="P4317" t="s">
        <v>41</v>
      </c>
      <c r="Q4317" t="s">
        <v>75</v>
      </c>
      <c r="R4317" t="str">
        <f>"7191002"</f>
        <v>7191002</v>
      </c>
      <c r="S4317" t="s">
        <v>1365</v>
      </c>
      <c r="T4317" t="s">
        <v>1341</v>
      </c>
      <c r="U4317" t="s">
        <v>1342</v>
      </c>
      <c r="V4317" t="s">
        <v>1270</v>
      </c>
      <c r="W4317" t="s">
        <v>51</v>
      </c>
      <c r="X4317" t="s">
        <v>45</v>
      </c>
      <c r="Y4317" s="1">
        <v>33952</v>
      </c>
      <c r="Z4317">
        <v>1</v>
      </c>
      <c r="AA4317" t="s">
        <v>1342</v>
      </c>
      <c r="AB4317" s="40" t="s">
        <v>1799</v>
      </c>
    </row>
    <row r="4318" spans="1:28" x14ac:dyDescent="0.25">
      <c r="A4318">
        <v>99914317</v>
      </c>
      <c r="B4318" t="s">
        <v>32</v>
      </c>
      <c r="C4318" t="s">
        <v>111</v>
      </c>
      <c r="D4318" t="s">
        <v>112</v>
      </c>
      <c r="G4318" t="s">
        <v>48</v>
      </c>
      <c r="H4318">
        <v>1</v>
      </c>
      <c r="K4318" t="s">
        <v>1502</v>
      </c>
      <c r="L4318" t="s">
        <v>1503</v>
      </c>
      <c r="M4318" t="s">
        <v>670</v>
      </c>
      <c r="N4318">
        <v>24</v>
      </c>
      <c r="P4318" t="s">
        <v>41</v>
      </c>
      <c r="Q4318" t="s">
        <v>75</v>
      </c>
      <c r="R4318" t="str">
        <f>"7171002"</f>
        <v>7171002</v>
      </c>
      <c r="S4318" t="s">
        <v>1505</v>
      </c>
      <c r="T4318" t="s">
        <v>1502</v>
      </c>
      <c r="U4318" t="s">
        <v>1503</v>
      </c>
      <c r="V4318" t="s">
        <v>670</v>
      </c>
      <c r="W4318" t="s">
        <v>51</v>
      </c>
      <c r="X4318" t="s">
        <v>45</v>
      </c>
      <c r="Y4318" s="1">
        <v>33951</v>
      </c>
      <c r="Z4318">
        <v>1</v>
      </c>
      <c r="AA4318" t="s">
        <v>1503</v>
      </c>
      <c r="AB4318" s="40" t="s">
        <v>1799</v>
      </c>
    </row>
    <row r="4319" spans="1:28" x14ac:dyDescent="0.25">
      <c r="A4319">
        <v>99914318</v>
      </c>
      <c r="B4319" t="s">
        <v>32</v>
      </c>
      <c r="C4319" t="s">
        <v>111</v>
      </c>
      <c r="D4319" t="s">
        <v>112</v>
      </c>
      <c r="G4319" t="s">
        <v>35</v>
      </c>
      <c r="H4319">
        <v>1</v>
      </c>
      <c r="I4319">
        <v>14963</v>
      </c>
      <c r="J4319" s="1">
        <v>43344</v>
      </c>
      <c r="K4319" t="s">
        <v>354</v>
      </c>
      <c r="L4319" t="s">
        <v>355</v>
      </c>
      <c r="M4319" t="s">
        <v>131</v>
      </c>
      <c r="N4319">
        <v>24</v>
      </c>
      <c r="O4319" s="1">
        <v>43344</v>
      </c>
      <c r="P4319" t="s">
        <v>41</v>
      </c>
      <c r="Q4319" t="s">
        <v>75</v>
      </c>
      <c r="R4319" t="str">
        <f>"7054028"</f>
        <v>7054028</v>
      </c>
      <c r="S4319" t="s">
        <v>788</v>
      </c>
      <c r="T4319" t="s">
        <v>354</v>
      </c>
      <c r="U4319" t="s">
        <v>355</v>
      </c>
      <c r="V4319" t="s">
        <v>131</v>
      </c>
      <c r="W4319" t="s">
        <v>55</v>
      </c>
      <c r="X4319" t="s">
        <v>45</v>
      </c>
      <c r="Y4319" s="1">
        <v>33938</v>
      </c>
      <c r="Z4319">
        <v>1</v>
      </c>
      <c r="AA4319" t="s">
        <v>355</v>
      </c>
      <c r="AB4319" s="40" t="s">
        <v>1799</v>
      </c>
    </row>
    <row r="4320" spans="1:28" x14ac:dyDescent="0.25">
      <c r="A4320">
        <v>99914319</v>
      </c>
      <c r="B4320" t="s">
        <v>32</v>
      </c>
      <c r="C4320" t="s">
        <v>111</v>
      </c>
      <c r="D4320" t="s">
        <v>112</v>
      </c>
      <c r="G4320" t="s">
        <v>35</v>
      </c>
      <c r="H4320">
        <v>1</v>
      </c>
      <c r="I4320">
        <v>1</v>
      </c>
      <c r="J4320" s="1">
        <v>43344</v>
      </c>
      <c r="K4320" t="s">
        <v>1198</v>
      </c>
      <c r="L4320" t="s">
        <v>1199</v>
      </c>
      <c r="M4320" t="s">
        <v>1130</v>
      </c>
      <c r="N4320">
        <v>24</v>
      </c>
      <c r="O4320" s="1">
        <v>43344</v>
      </c>
      <c r="P4320" t="s">
        <v>41</v>
      </c>
      <c r="Q4320" t="s">
        <v>75</v>
      </c>
      <c r="R4320" t="str">
        <f>"7311010"</f>
        <v>7311010</v>
      </c>
      <c r="S4320" t="s">
        <v>1202</v>
      </c>
      <c r="T4320" t="s">
        <v>1198</v>
      </c>
      <c r="U4320" t="s">
        <v>1199</v>
      </c>
      <c r="V4320" t="s">
        <v>1130</v>
      </c>
      <c r="W4320" t="s">
        <v>51</v>
      </c>
      <c r="X4320" t="s">
        <v>45</v>
      </c>
      <c r="Y4320" s="1">
        <v>33938</v>
      </c>
      <c r="Z4320">
        <v>1</v>
      </c>
      <c r="AA4320" t="s">
        <v>1199</v>
      </c>
      <c r="AB4320" s="40" t="s">
        <v>1799</v>
      </c>
    </row>
    <row r="4321" spans="1:28" x14ac:dyDescent="0.25">
      <c r="A4321">
        <v>99914320</v>
      </c>
      <c r="B4321" t="s">
        <v>32</v>
      </c>
      <c r="C4321" t="s">
        <v>90</v>
      </c>
      <c r="D4321" t="s">
        <v>91</v>
      </c>
      <c r="G4321" t="s">
        <v>35</v>
      </c>
      <c r="H4321">
        <v>1</v>
      </c>
      <c r="K4321" t="s">
        <v>268</v>
      </c>
      <c r="L4321" t="s">
        <v>269</v>
      </c>
      <c r="M4321" t="s">
        <v>131</v>
      </c>
      <c r="N4321">
        <v>24</v>
      </c>
      <c r="P4321" t="s">
        <v>41</v>
      </c>
      <c r="Q4321" t="s">
        <v>95</v>
      </c>
      <c r="R4321" t="str">
        <f>"7052225"</f>
        <v>7052225</v>
      </c>
      <c r="S4321" t="s">
        <v>702</v>
      </c>
      <c r="T4321" t="s">
        <v>268</v>
      </c>
      <c r="U4321" t="s">
        <v>269</v>
      </c>
      <c r="V4321" t="s">
        <v>131</v>
      </c>
      <c r="W4321" t="s">
        <v>51</v>
      </c>
      <c r="X4321" t="s">
        <v>45</v>
      </c>
      <c r="Y4321" s="1">
        <v>33927</v>
      </c>
      <c r="Z4321">
        <v>1</v>
      </c>
      <c r="AA4321" t="s">
        <v>269</v>
      </c>
      <c r="AB4321" s="40" t="s">
        <v>1799</v>
      </c>
    </row>
    <row r="4322" spans="1:28" x14ac:dyDescent="0.25">
      <c r="A4322">
        <v>99914321</v>
      </c>
      <c r="B4322" t="s">
        <v>32</v>
      </c>
      <c r="C4322" t="s">
        <v>64</v>
      </c>
      <c r="D4322" t="s">
        <v>65</v>
      </c>
      <c r="G4322" t="s">
        <v>35</v>
      </c>
      <c r="H4322">
        <v>1</v>
      </c>
      <c r="I4322" t="s">
        <v>472</v>
      </c>
      <c r="J4322" s="1">
        <v>42262</v>
      </c>
      <c r="K4322" t="s">
        <v>195</v>
      </c>
      <c r="L4322" t="s">
        <v>196</v>
      </c>
      <c r="M4322" t="s">
        <v>131</v>
      </c>
      <c r="N4322">
        <v>24</v>
      </c>
      <c r="O4322" s="1">
        <v>42262</v>
      </c>
      <c r="P4322" t="s">
        <v>41</v>
      </c>
      <c r="Q4322" t="s">
        <v>75</v>
      </c>
      <c r="R4322" t="str">
        <f>"7521050"</f>
        <v>7521050</v>
      </c>
      <c r="S4322" t="s">
        <v>194</v>
      </c>
      <c r="T4322" t="s">
        <v>195</v>
      </c>
      <c r="U4322" t="s">
        <v>196</v>
      </c>
      <c r="V4322" t="s">
        <v>131</v>
      </c>
      <c r="W4322" t="s">
        <v>51</v>
      </c>
      <c r="X4322" t="s">
        <v>45</v>
      </c>
      <c r="Y4322" s="1">
        <v>33911</v>
      </c>
      <c r="Z4322">
        <v>1</v>
      </c>
      <c r="AA4322" t="s">
        <v>196</v>
      </c>
      <c r="AB4322" s="40" t="s">
        <v>1799</v>
      </c>
    </row>
    <row r="4323" spans="1:28" x14ac:dyDescent="0.25">
      <c r="A4323">
        <v>99914322</v>
      </c>
      <c r="B4323" t="s">
        <v>32</v>
      </c>
      <c r="C4323" t="s">
        <v>111</v>
      </c>
      <c r="D4323" t="s">
        <v>112</v>
      </c>
      <c r="G4323" t="s">
        <v>48</v>
      </c>
      <c r="H4323">
        <v>1</v>
      </c>
      <c r="K4323" t="s">
        <v>877</v>
      </c>
      <c r="L4323" t="s">
        <v>878</v>
      </c>
      <c r="M4323" t="s">
        <v>131</v>
      </c>
      <c r="N4323">
        <v>24</v>
      </c>
      <c r="P4323" t="s">
        <v>41</v>
      </c>
      <c r="Q4323" t="s">
        <v>75</v>
      </c>
      <c r="R4323" t="str">
        <f>"7541008"</f>
        <v>7541008</v>
      </c>
      <c r="S4323" t="s">
        <v>879</v>
      </c>
      <c r="T4323" t="s">
        <v>877</v>
      </c>
      <c r="U4323" t="s">
        <v>878</v>
      </c>
      <c r="V4323" t="s">
        <v>131</v>
      </c>
      <c r="W4323" t="s">
        <v>51</v>
      </c>
      <c r="X4323" t="s">
        <v>45</v>
      </c>
      <c r="Y4323" s="1">
        <v>33906</v>
      </c>
      <c r="Z4323">
        <v>1</v>
      </c>
      <c r="AA4323" t="s">
        <v>878</v>
      </c>
      <c r="AB4323" s="40" t="s">
        <v>1799</v>
      </c>
    </row>
    <row r="4324" spans="1:28" x14ac:dyDescent="0.25">
      <c r="A4324">
        <v>99914323</v>
      </c>
      <c r="B4324" t="s">
        <v>32</v>
      </c>
      <c r="C4324" t="s">
        <v>111</v>
      </c>
      <c r="D4324" t="s">
        <v>112</v>
      </c>
      <c r="G4324" t="s">
        <v>35</v>
      </c>
      <c r="H4324">
        <v>1</v>
      </c>
      <c r="I4324" t="s">
        <v>1658</v>
      </c>
      <c r="J4324" s="1">
        <v>43344</v>
      </c>
      <c r="K4324" t="s">
        <v>1619</v>
      </c>
      <c r="L4324" t="s">
        <v>1620</v>
      </c>
      <c r="M4324" t="s">
        <v>1592</v>
      </c>
      <c r="N4324">
        <v>24</v>
      </c>
      <c r="O4324" s="1">
        <v>43344</v>
      </c>
      <c r="P4324" t="s">
        <v>41</v>
      </c>
      <c r="Q4324" t="s">
        <v>75</v>
      </c>
      <c r="R4324" t="str">
        <f>"7281004"</f>
        <v>7281004</v>
      </c>
      <c r="S4324" t="s">
        <v>1651</v>
      </c>
      <c r="T4324" t="s">
        <v>1619</v>
      </c>
      <c r="U4324" t="s">
        <v>1620</v>
      </c>
      <c r="V4324" t="s">
        <v>1592</v>
      </c>
      <c r="W4324" t="s">
        <v>44</v>
      </c>
      <c r="X4324" t="s">
        <v>45</v>
      </c>
      <c r="Y4324" s="1">
        <v>33890</v>
      </c>
      <c r="Z4324">
        <v>1</v>
      </c>
      <c r="AA4324" t="s">
        <v>1620</v>
      </c>
      <c r="AB4324" s="40" t="s">
        <v>1799</v>
      </c>
    </row>
    <row r="4325" spans="1:28" x14ac:dyDescent="0.25">
      <c r="A4325">
        <v>99914324</v>
      </c>
      <c r="B4325" t="s">
        <v>32</v>
      </c>
      <c r="C4325" t="s">
        <v>111</v>
      </c>
      <c r="D4325" t="s">
        <v>112</v>
      </c>
      <c r="G4325" t="s">
        <v>35</v>
      </c>
      <c r="H4325">
        <v>1</v>
      </c>
      <c r="I4325" t="s">
        <v>124</v>
      </c>
      <c r="J4325" s="1">
        <v>43344</v>
      </c>
      <c r="K4325" t="s">
        <v>77</v>
      </c>
      <c r="L4325" t="s">
        <v>78</v>
      </c>
      <c r="M4325" t="s">
        <v>39</v>
      </c>
      <c r="N4325">
        <v>24</v>
      </c>
      <c r="O4325" s="1">
        <v>43344</v>
      </c>
      <c r="P4325" t="s">
        <v>41</v>
      </c>
      <c r="Q4325" t="s">
        <v>75</v>
      </c>
      <c r="R4325" t="str">
        <f>"7371000"</f>
        <v>7371000</v>
      </c>
      <c r="S4325" t="s">
        <v>76</v>
      </c>
      <c r="T4325" t="s">
        <v>77</v>
      </c>
      <c r="U4325" t="s">
        <v>78</v>
      </c>
      <c r="V4325" t="s">
        <v>39</v>
      </c>
      <c r="W4325" t="s">
        <v>44</v>
      </c>
      <c r="X4325" t="s">
        <v>45</v>
      </c>
      <c r="Y4325" s="1">
        <v>33886</v>
      </c>
      <c r="Z4325">
        <v>1</v>
      </c>
      <c r="AA4325" t="s">
        <v>78</v>
      </c>
      <c r="AB4325" s="40" t="s">
        <v>1799</v>
      </c>
    </row>
    <row r="4326" spans="1:28" x14ac:dyDescent="0.25">
      <c r="A4326">
        <v>99914325</v>
      </c>
      <c r="B4326" t="s">
        <v>32</v>
      </c>
      <c r="C4326" t="s">
        <v>111</v>
      </c>
      <c r="D4326" t="s">
        <v>112</v>
      </c>
      <c r="G4326" t="s">
        <v>35</v>
      </c>
      <c r="H4326">
        <v>1</v>
      </c>
      <c r="I4326">
        <v>4954</v>
      </c>
      <c r="J4326" s="1">
        <v>43344</v>
      </c>
      <c r="K4326" t="s">
        <v>1695</v>
      </c>
      <c r="L4326" t="s">
        <v>1696</v>
      </c>
      <c r="M4326" t="s">
        <v>1592</v>
      </c>
      <c r="N4326">
        <v>24</v>
      </c>
      <c r="O4326" s="1">
        <v>43344</v>
      </c>
      <c r="P4326" t="s">
        <v>41</v>
      </c>
      <c r="Q4326" t="s">
        <v>75</v>
      </c>
      <c r="R4326" t="str">
        <f>"7361000"</f>
        <v>7361000</v>
      </c>
      <c r="S4326" t="s">
        <v>1698</v>
      </c>
      <c r="T4326" t="s">
        <v>1695</v>
      </c>
      <c r="U4326" t="s">
        <v>1696</v>
      </c>
      <c r="V4326" t="s">
        <v>1592</v>
      </c>
      <c r="W4326" t="s">
        <v>51</v>
      </c>
      <c r="X4326" t="s">
        <v>45</v>
      </c>
      <c r="Y4326" s="1">
        <v>33877</v>
      </c>
      <c r="Z4326">
        <v>1</v>
      </c>
      <c r="AA4326" t="s">
        <v>1696</v>
      </c>
      <c r="AB4326" s="40" t="s">
        <v>1799</v>
      </c>
    </row>
    <row r="4327" spans="1:28" x14ac:dyDescent="0.25">
      <c r="A4327">
        <v>99914326</v>
      </c>
      <c r="B4327" t="s">
        <v>56</v>
      </c>
      <c r="C4327" t="s">
        <v>111</v>
      </c>
      <c r="D4327" t="s">
        <v>112</v>
      </c>
      <c r="G4327" t="s">
        <v>35</v>
      </c>
      <c r="H4327">
        <v>1</v>
      </c>
      <c r="I4327" t="s">
        <v>1232</v>
      </c>
      <c r="J4327" s="1">
        <v>43344</v>
      </c>
      <c r="K4327" t="s">
        <v>1221</v>
      </c>
      <c r="L4327" t="s">
        <v>1222</v>
      </c>
      <c r="M4327" t="s">
        <v>1130</v>
      </c>
      <c r="N4327">
        <v>24</v>
      </c>
      <c r="O4327" s="1">
        <v>43344</v>
      </c>
      <c r="P4327" t="s">
        <v>41</v>
      </c>
      <c r="Q4327" t="s">
        <v>75</v>
      </c>
      <c r="R4327" t="str">
        <f>"7351004"</f>
        <v>7351004</v>
      </c>
      <c r="S4327" t="s">
        <v>1225</v>
      </c>
      <c r="T4327" t="s">
        <v>1221</v>
      </c>
      <c r="U4327" t="s">
        <v>1222</v>
      </c>
      <c r="V4327" t="s">
        <v>1130</v>
      </c>
      <c r="W4327" t="s">
        <v>51</v>
      </c>
      <c r="X4327" t="s">
        <v>45</v>
      </c>
      <c r="Y4327" s="1">
        <v>33869</v>
      </c>
      <c r="Z4327">
        <v>1</v>
      </c>
      <c r="AA4327" t="s">
        <v>1222</v>
      </c>
      <c r="AB4327" s="40" t="s">
        <v>1799</v>
      </c>
    </row>
    <row r="4328" spans="1:28" x14ac:dyDescent="0.25">
      <c r="A4328">
        <v>99914327</v>
      </c>
      <c r="B4328" t="s">
        <v>32</v>
      </c>
      <c r="C4328" t="s">
        <v>111</v>
      </c>
      <c r="D4328" t="s">
        <v>112</v>
      </c>
      <c r="G4328" t="s">
        <v>35</v>
      </c>
      <c r="H4328">
        <v>1</v>
      </c>
      <c r="I4328">
        <v>19175</v>
      </c>
      <c r="J4328" s="1">
        <v>43344</v>
      </c>
      <c r="K4328" t="s">
        <v>877</v>
      </c>
      <c r="L4328" t="s">
        <v>878</v>
      </c>
      <c r="M4328" t="s">
        <v>131</v>
      </c>
      <c r="N4328">
        <v>24</v>
      </c>
      <c r="O4328" s="1">
        <v>43344</v>
      </c>
      <c r="P4328" t="s">
        <v>41</v>
      </c>
      <c r="Q4328" t="s">
        <v>75</v>
      </c>
      <c r="R4328" t="str">
        <f>"7541020"</f>
        <v>7541020</v>
      </c>
      <c r="S4328" t="s">
        <v>882</v>
      </c>
      <c r="T4328" t="s">
        <v>877</v>
      </c>
      <c r="U4328" t="s">
        <v>878</v>
      </c>
      <c r="V4328" t="s">
        <v>131</v>
      </c>
      <c r="W4328" t="s">
        <v>44</v>
      </c>
      <c r="X4328" t="s">
        <v>45</v>
      </c>
      <c r="Y4328" s="1">
        <v>33863</v>
      </c>
      <c r="Z4328">
        <v>1</v>
      </c>
      <c r="AA4328" t="s">
        <v>878</v>
      </c>
      <c r="AB4328" s="40" t="s">
        <v>1799</v>
      </c>
    </row>
    <row r="4329" spans="1:28" x14ac:dyDescent="0.25">
      <c r="A4329">
        <v>99914328</v>
      </c>
      <c r="B4329" t="s">
        <v>32</v>
      </c>
      <c r="C4329" t="s">
        <v>111</v>
      </c>
      <c r="D4329" t="s">
        <v>112</v>
      </c>
      <c r="G4329" t="s">
        <v>35</v>
      </c>
      <c r="H4329">
        <v>1</v>
      </c>
      <c r="I4329">
        <v>1</v>
      </c>
      <c r="J4329" s="1">
        <v>43344</v>
      </c>
      <c r="K4329" t="s">
        <v>1198</v>
      </c>
      <c r="L4329" t="s">
        <v>1199</v>
      </c>
      <c r="M4329" t="s">
        <v>1130</v>
      </c>
      <c r="N4329">
        <v>24</v>
      </c>
      <c r="O4329" s="1">
        <v>43344</v>
      </c>
      <c r="P4329" t="s">
        <v>41</v>
      </c>
      <c r="Q4329" t="s">
        <v>75</v>
      </c>
      <c r="R4329" t="str">
        <f>"7311010"</f>
        <v>7311010</v>
      </c>
      <c r="S4329" t="s">
        <v>1202</v>
      </c>
      <c r="T4329" t="s">
        <v>1198</v>
      </c>
      <c r="U4329" t="s">
        <v>1199</v>
      </c>
      <c r="V4329" t="s">
        <v>1130</v>
      </c>
      <c r="W4329" t="s">
        <v>51</v>
      </c>
      <c r="X4329" t="s">
        <v>45</v>
      </c>
      <c r="Y4329" s="1">
        <v>33861</v>
      </c>
      <c r="Z4329">
        <v>1</v>
      </c>
      <c r="AA4329" t="s">
        <v>1199</v>
      </c>
      <c r="AB4329" s="40" t="s">
        <v>1799</v>
      </c>
    </row>
    <row r="4330" spans="1:28" x14ac:dyDescent="0.25">
      <c r="A4330">
        <v>99914329</v>
      </c>
      <c r="B4330" t="s">
        <v>32</v>
      </c>
      <c r="C4330" t="s">
        <v>111</v>
      </c>
      <c r="D4330" t="s">
        <v>112</v>
      </c>
      <c r="G4330" t="s">
        <v>48</v>
      </c>
      <c r="H4330">
        <v>1</v>
      </c>
      <c r="K4330" t="s">
        <v>1619</v>
      </c>
      <c r="L4330" t="s">
        <v>1620</v>
      </c>
      <c r="M4330" t="s">
        <v>1592</v>
      </c>
      <c r="N4330">
        <v>24</v>
      </c>
      <c r="P4330" t="s">
        <v>41</v>
      </c>
      <c r="Q4330" t="s">
        <v>75</v>
      </c>
      <c r="R4330" t="str">
        <f>"7281006"</f>
        <v>7281006</v>
      </c>
      <c r="S4330" t="s">
        <v>1618</v>
      </c>
      <c r="T4330" t="s">
        <v>1619</v>
      </c>
      <c r="U4330" t="s">
        <v>1620</v>
      </c>
      <c r="V4330" t="s">
        <v>1592</v>
      </c>
      <c r="W4330" t="s">
        <v>51</v>
      </c>
      <c r="X4330" t="s">
        <v>45</v>
      </c>
      <c r="Y4330" s="1">
        <v>33860</v>
      </c>
      <c r="Z4330">
        <v>1</v>
      </c>
      <c r="AA4330" t="s">
        <v>1620</v>
      </c>
      <c r="AB4330" s="40" t="s">
        <v>1799</v>
      </c>
    </row>
    <row r="4331" spans="1:28" x14ac:dyDescent="0.25">
      <c r="A4331">
        <v>99914330</v>
      </c>
      <c r="B4331" t="s">
        <v>32</v>
      </c>
      <c r="C4331" t="s">
        <v>111</v>
      </c>
      <c r="D4331" t="s">
        <v>112</v>
      </c>
      <c r="G4331" t="s">
        <v>35</v>
      </c>
      <c r="H4331">
        <v>1</v>
      </c>
      <c r="I4331">
        <v>0</v>
      </c>
      <c r="J4331" s="1">
        <v>43344</v>
      </c>
      <c r="K4331" t="s">
        <v>985</v>
      </c>
      <c r="L4331" t="s">
        <v>986</v>
      </c>
      <c r="M4331" t="s">
        <v>938</v>
      </c>
      <c r="N4331">
        <v>24</v>
      </c>
      <c r="O4331" s="1">
        <v>43344</v>
      </c>
      <c r="P4331" t="s">
        <v>41</v>
      </c>
      <c r="Q4331" t="s">
        <v>75</v>
      </c>
      <c r="R4331" t="str">
        <f>"7011004"</f>
        <v>7011004</v>
      </c>
      <c r="S4331" t="s">
        <v>987</v>
      </c>
      <c r="T4331" t="s">
        <v>985</v>
      </c>
      <c r="U4331" t="s">
        <v>986</v>
      </c>
      <c r="V4331" t="s">
        <v>938</v>
      </c>
      <c r="W4331" t="s">
        <v>51</v>
      </c>
      <c r="X4331" t="s">
        <v>45</v>
      </c>
      <c r="Y4331" s="1">
        <v>33855</v>
      </c>
      <c r="Z4331">
        <v>1</v>
      </c>
      <c r="AA4331" t="s">
        <v>986</v>
      </c>
      <c r="AB4331" s="40" t="s">
        <v>1799</v>
      </c>
    </row>
    <row r="4332" spans="1:28" x14ac:dyDescent="0.25">
      <c r="A4332">
        <v>99914331</v>
      </c>
      <c r="B4332" t="s">
        <v>32</v>
      </c>
      <c r="C4332" t="s">
        <v>111</v>
      </c>
      <c r="D4332" t="s">
        <v>112</v>
      </c>
      <c r="G4332" t="s">
        <v>35</v>
      </c>
      <c r="H4332">
        <v>1</v>
      </c>
      <c r="K4332" t="s">
        <v>154</v>
      </c>
      <c r="L4332" t="s">
        <v>155</v>
      </c>
      <c r="M4332" t="s">
        <v>131</v>
      </c>
      <c r="N4332">
        <v>24</v>
      </c>
      <c r="P4332" t="s">
        <v>41</v>
      </c>
      <c r="Q4332" t="s">
        <v>75</v>
      </c>
      <c r="R4332" t="str">
        <f>"7051014"</f>
        <v>7051014</v>
      </c>
      <c r="S4332" t="s">
        <v>398</v>
      </c>
      <c r="T4332" t="s">
        <v>154</v>
      </c>
      <c r="U4332" t="s">
        <v>155</v>
      </c>
      <c r="V4332" t="s">
        <v>131</v>
      </c>
      <c r="W4332" t="s">
        <v>165</v>
      </c>
      <c r="X4332" t="s">
        <v>45</v>
      </c>
      <c r="Y4332" s="1">
        <v>33848</v>
      </c>
      <c r="Z4332">
        <v>1</v>
      </c>
      <c r="AA4332" t="s">
        <v>155</v>
      </c>
      <c r="AB4332" s="40" t="s">
        <v>1799</v>
      </c>
    </row>
    <row r="4333" spans="1:28" x14ac:dyDescent="0.25">
      <c r="A4333">
        <v>99914332</v>
      </c>
      <c r="B4333" t="s">
        <v>32</v>
      </c>
      <c r="C4333" t="s">
        <v>90</v>
      </c>
      <c r="D4333" t="s">
        <v>91</v>
      </c>
      <c r="G4333" t="s">
        <v>35</v>
      </c>
      <c r="H4333">
        <v>1</v>
      </c>
      <c r="I4333" t="s">
        <v>1378</v>
      </c>
      <c r="J4333" s="1">
        <v>43344</v>
      </c>
      <c r="K4333" t="s">
        <v>1341</v>
      </c>
      <c r="L4333" t="s">
        <v>1342</v>
      </c>
      <c r="M4333" t="s">
        <v>1270</v>
      </c>
      <c r="N4333">
        <v>24</v>
      </c>
      <c r="O4333" s="1">
        <v>43344</v>
      </c>
      <c r="P4333" t="s">
        <v>41</v>
      </c>
      <c r="Q4333" t="s">
        <v>95</v>
      </c>
      <c r="R4333" t="str">
        <f>"7191019"</f>
        <v>7191019</v>
      </c>
      <c r="S4333" t="s">
        <v>1379</v>
      </c>
      <c r="T4333" t="s">
        <v>1341</v>
      </c>
      <c r="U4333" t="s">
        <v>1342</v>
      </c>
      <c r="V4333" t="s">
        <v>1270</v>
      </c>
      <c r="W4333" t="s">
        <v>44</v>
      </c>
      <c r="X4333" t="s">
        <v>45</v>
      </c>
      <c r="Y4333" s="1">
        <v>33840</v>
      </c>
      <c r="Z4333">
        <v>1</v>
      </c>
      <c r="AA4333" t="s">
        <v>1342</v>
      </c>
      <c r="AB4333" s="40" t="s">
        <v>1799</v>
      </c>
    </row>
    <row r="4334" spans="1:28" x14ac:dyDescent="0.25">
      <c r="A4334">
        <v>99914333</v>
      </c>
      <c r="B4334" t="s">
        <v>32</v>
      </c>
      <c r="C4334" t="s">
        <v>111</v>
      </c>
      <c r="D4334" t="s">
        <v>112</v>
      </c>
      <c r="G4334" t="s">
        <v>35</v>
      </c>
      <c r="H4334">
        <v>1</v>
      </c>
      <c r="K4334" t="s">
        <v>1619</v>
      </c>
      <c r="L4334" t="s">
        <v>1620</v>
      </c>
      <c r="M4334" t="s">
        <v>1592</v>
      </c>
      <c r="N4334">
        <v>24</v>
      </c>
      <c r="P4334" t="s">
        <v>41</v>
      </c>
      <c r="Q4334" t="s">
        <v>75</v>
      </c>
      <c r="R4334" t="str">
        <f>"7281000"</f>
        <v>7281000</v>
      </c>
      <c r="S4334" t="s">
        <v>1648</v>
      </c>
      <c r="T4334" t="s">
        <v>1619</v>
      </c>
      <c r="U4334" t="s">
        <v>1620</v>
      </c>
      <c r="V4334" t="s">
        <v>1592</v>
      </c>
      <c r="W4334" t="s">
        <v>51</v>
      </c>
      <c r="X4334" t="s">
        <v>45</v>
      </c>
      <c r="Y4334" s="1">
        <v>33834</v>
      </c>
      <c r="Z4334">
        <v>1</v>
      </c>
      <c r="AA4334" t="s">
        <v>1620</v>
      </c>
      <c r="AB4334" s="40" t="s">
        <v>1799</v>
      </c>
    </row>
    <row r="4335" spans="1:28" x14ac:dyDescent="0.25">
      <c r="A4335">
        <v>99914334</v>
      </c>
      <c r="B4335" t="s">
        <v>32</v>
      </c>
      <c r="C4335" t="s">
        <v>111</v>
      </c>
      <c r="D4335" t="s">
        <v>112</v>
      </c>
      <c r="G4335" t="s">
        <v>48</v>
      </c>
      <c r="H4335">
        <v>1</v>
      </c>
      <c r="K4335" t="s">
        <v>1564</v>
      </c>
      <c r="L4335" t="s">
        <v>1565</v>
      </c>
      <c r="M4335" t="s">
        <v>1548</v>
      </c>
      <c r="N4335">
        <v>24</v>
      </c>
      <c r="P4335" t="s">
        <v>41</v>
      </c>
      <c r="Q4335" t="s">
        <v>75</v>
      </c>
      <c r="R4335" t="str">
        <f>"7101002"</f>
        <v>7101002</v>
      </c>
      <c r="S4335" t="s">
        <v>1563</v>
      </c>
      <c r="T4335" t="s">
        <v>1564</v>
      </c>
      <c r="U4335" t="s">
        <v>1565</v>
      </c>
      <c r="V4335" t="s">
        <v>1548</v>
      </c>
      <c r="W4335" t="s">
        <v>51</v>
      </c>
      <c r="X4335" t="s">
        <v>45</v>
      </c>
      <c r="Y4335" s="1">
        <v>33824</v>
      </c>
      <c r="Z4335">
        <v>1</v>
      </c>
      <c r="AA4335" t="s">
        <v>1565</v>
      </c>
      <c r="AB4335" s="40" t="s">
        <v>1799</v>
      </c>
    </row>
    <row r="4336" spans="1:28" x14ac:dyDescent="0.25">
      <c r="A4336">
        <v>99914335</v>
      </c>
      <c r="B4336" t="s">
        <v>32</v>
      </c>
      <c r="C4336" t="s">
        <v>111</v>
      </c>
      <c r="D4336" t="s">
        <v>112</v>
      </c>
      <c r="G4336" t="s">
        <v>35</v>
      </c>
      <c r="H4336">
        <v>1</v>
      </c>
      <c r="I4336" s="1">
        <v>43011</v>
      </c>
      <c r="J4336" s="1">
        <v>43344</v>
      </c>
      <c r="K4336" t="s">
        <v>1341</v>
      </c>
      <c r="L4336" t="s">
        <v>1342</v>
      </c>
      <c r="M4336" t="s">
        <v>1270</v>
      </c>
      <c r="N4336">
        <v>24</v>
      </c>
      <c r="O4336" s="1">
        <v>43344</v>
      </c>
      <c r="P4336" t="s">
        <v>41</v>
      </c>
      <c r="Q4336" t="s">
        <v>75</v>
      </c>
      <c r="R4336" t="str">
        <f>"7191000"</f>
        <v>7191000</v>
      </c>
      <c r="S4336" t="s">
        <v>1347</v>
      </c>
      <c r="T4336" t="s">
        <v>1341</v>
      </c>
      <c r="U4336" t="s">
        <v>1342</v>
      </c>
      <c r="V4336" t="s">
        <v>1270</v>
      </c>
      <c r="W4336" t="s">
        <v>44</v>
      </c>
      <c r="X4336" t="s">
        <v>45</v>
      </c>
      <c r="Y4336" s="1">
        <v>33820</v>
      </c>
      <c r="Z4336">
        <v>1</v>
      </c>
      <c r="AA4336" t="s">
        <v>1342</v>
      </c>
      <c r="AB4336" s="40" t="s">
        <v>1799</v>
      </c>
    </row>
    <row r="4337" spans="1:28" x14ac:dyDescent="0.25">
      <c r="A4337">
        <v>99914336</v>
      </c>
      <c r="B4337" t="s">
        <v>32</v>
      </c>
      <c r="C4337" t="s">
        <v>111</v>
      </c>
      <c r="D4337" t="s">
        <v>112</v>
      </c>
      <c r="G4337" t="s">
        <v>35</v>
      </c>
      <c r="H4337">
        <v>1</v>
      </c>
      <c r="I4337">
        <v>7769</v>
      </c>
      <c r="J4337" s="1">
        <v>43374</v>
      </c>
      <c r="K4337" t="s">
        <v>1198</v>
      </c>
      <c r="L4337" t="s">
        <v>1199</v>
      </c>
      <c r="M4337" t="s">
        <v>1130</v>
      </c>
      <c r="N4337">
        <v>24</v>
      </c>
      <c r="O4337" s="1">
        <v>43374</v>
      </c>
      <c r="P4337" t="s">
        <v>41</v>
      </c>
      <c r="Q4337" t="s">
        <v>75</v>
      </c>
      <c r="R4337" t="str">
        <f>"7311000"</f>
        <v>7311000</v>
      </c>
      <c r="S4337" t="s">
        <v>1208</v>
      </c>
      <c r="T4337" t="s">
        <v>1198</v>
      </c>
      <c r="U4337" t="s">
        <v>1199</v>
      </c>
      <c r="V4337" t="s">
        <v>1130</v>
      </c>
      <c r="W4337" t="s">
        <v>55</v>
      </c>
      <c r="X4337" t="s">
        <v>45</v>
      </c>
      <c r="Y4337" s="1">
        <v>33818</v>
      </c>
      <c r="Z4337">
        <v>1</v>
      </c>
      <c r="AA4337" t="s">
        <v>1199</v>
      </c>
      <c r="AB4337" s="40" t="s">
        <v>1799</v>
      </c>
    </row>
    <row r="4338" spans="1:28" x14ac:dyDescent="0.25">
      <c r="A4338">
        <v>99914337</v>
      </c>
      <c r="B4338" t="s">
        <v>32</v>
      </c>
      <c r="C4338" t="s">
        <v>111</v>
      </c>
      <c r="D4338" t="s">
        <v>112</v>
      </c>
      <c r="G4338" t="s">
        <v>35</v>
      </c>
      <c r="H4338">
        <v>1</v>
      </c>
      <c r="I4338" t="s">
        <v>1530</v>
      </c>
      <c r="J4338" s="1">
        <v>43434</v>
      </c>
      <c r="K4338" t="s">
        <v>667</v>
      </c>
      <c r="L4338" t="s">
        <v>669</v>
      </c>
      <c r="M4338" t="s">
        <v>670</v>
      </c>
      <c r="N4338">
        <v>24</v>
      </c>
      <c r="O4338" s="1">
        <v>43434</v>
      </c>
      <c r="P4338" t="s">
        <v>41</v>
      </c>
      <c r="Q4338" t="s">
        <v>75</v>
      </c>
      <c r="R4338" t="str">
        <f>"7501004"</f>
        <v>7501004</v>
      </c>
      <c r="S4338" t="s">
        <v>1500</v>
      </c>
      <c r="T4338" t="s">
        <v>667</v>
      </c>
      <c r="U4338" t="s">
        <v>669</v>
      </c>
      <c r="V4338" t="s">
        <v>670</v>
      </c>
      <c r="W4338" t="s">
        <v>44</v>
      </c>
      <c r="X4338" t="s">
        <v>45</v>
      </c>
      <c r="Y4338" s="1">
        <v>33814</v>
      </c>
      <c r="Z4338">
        <v>1</v>
      </c>
      <c r="AA4338" t="s">
        <v>669</v>
      </c>
      <c r="AB4338" s="40" t="s">
        <v>1799</v>
      </c>
    </row>
    <row r="4339" spans="1:28" x14ac:dyDescent="0.25">
      <c r="A4339">
        <v>99914338</v>
      </c>
      <c r="B4339" t="s">
        <v>56</v>
      </c>
      <c r="C4339" t="s">
        <v>111</v>
      </c>
      <c r="D4339" t="s">
        <v>112</v>
      </c>
      <c r="G4339" t="s">
        <v>35</v>
      </c>
      <c r="H4339">
        <v>3</v>
      </c>
      <c r="I4339" t="s">
        <v>1650</v>
      </c>
      <c r="J4339" s="1">
        <v>43344</v>
      </c>
      <c r="K4339" t="s">
        <v>1619</v>
      </c>
      <c r="L4339" t="s">
        <v>1620</v>
      </c>
      <c r="M4339" t="s">
        <v>1592</v>
      </c>
      <c r="N4339">
        <v>24</v>
      </c>
      <c r="O4339" s="1">
        <v>43344</v>
      </c>
      <c r="P4339" t="s">
        <v>41</v>
      </c>
      <c r="Q4339" t="s">
        <v>75</v>
      </c>
      <c r="R4339" t="str">
        <f>"7281004"</f>
        <v>7281004</v>
      </c>
      <c r="S4339" t="s">
        <v>1651</v>
      </c>
      <c r="T4339" t="s">
        <v>1619</v>
      </c>
      <c r="U4339" t="s">
        <v>1620</v>
      </c>
      <c r="V4339" t="s">
        <v>1592</v>
      </c>
      <c r="W4339" t="s">
        <v>44</v>
      </c>
      <c r="X4339" t="s">
        <v>45</v>
      </c>
      <c r="Y4339" s="1">
        <v>33814</v>
      </c>
      <c r="Z4339">
        <v>1</v>
      </c>
      <c r="AA4339" t="s">
        <v>1620</v>
      </c>
      <c r="AB4339" s="40" t="s">
        <v>1799</v>
      </c>
    </row>
    <row r="4340" spans="1:28" x14ac:dyDescent="0.25">
      <c r="A4340">
        <v>99914339</v>
      </c>
      <c r="B4340" t="s">
        <v>32</v>
      </c>
      <c r="C4340" t="s">
        <v>111</v>
      </c>
      <c r="D4340" t="s">
        <v>112</v>
      </c>
      <c r="G4340" t="s">
        <v>35</v>
      </c>
      <c r="H4340">
        <v>1</v>
      </c>
      <c r="I4340" t="s">
        <v>1640</v>
      </c>
      <c r="J4340" s="1">
        <v>43344</v>
      </c>
      <c r="K4340" t="s">
        <v>1631</v>
      </c>
      <c r="L4340" t="s">
        <v>1632</v>
      </c>
      <c r="M4340" t="s">
        <v>1592</v>
      </c>
      <c r="N4340">
        <v>24</v>
      </c>
      <c r="O4340" s="1">
        <v>43344</v>
      </c>
      <c r="P4340" t="s">
        <v>41</v>
      </c>
      <c r="Q4340" t="s">
        <v>75</v>
      </c>
      <c r="R4340" t="str">
        <f>"7021002"</f>
        <v>7021002</v>
      </c>
      <c r="S4340" t="s">
        <v>1639</v>
      </c>
      <c r="T4340" t="s">
        <v>1631</v>
      </c>
      <c r="U4340" t="s">
        <v>1632</v>
      </c>
      <c r="V4340" t="s">
        <v>1592</v>
      </c>
      <c r="W4340" t="s">
        <v>44</v>
      </c>
      <c r="X4340" t="s">
        <v>45</v>
      </c>
      <c r="Y4340" s="1">
        <v>33800</v>
      </c>
      <c r="Z4340">
        <v>1</v>
      </c>
      <c r="AA4340" t="s">
        <v>1632</v>
      </c>
      <c r="AB4340" s="40" t="s">
        <v>1799</v>
      </c>
    </row>
    <row r="4341" spans="1:28" x14ac:dyDescent="0.25">
      <c r="A4341">
        <v>99914340</v>
      </c>
      <c r="B4341" t="s">
        <v>32</v>
      </c>
      <c r="C4341" t="s">
        <v>111</v>
      </c>
      <c r="D4341" t="s">
        <v>112</v>
      </c>
      <c r="G4341" t="s">
        <v>35</v>
      </c>
      <c r="H4341">
        <v>1</v>
      </c>
      <c r="I4341" t="s">
        <v>1537</v>
      </c>
      <c r="J4341" s="1">
        <v>43405</v>
      </c>
      <c r="K4341" t="s">
        <v>667</v>
      </c>
      <c r="L4341" t="s">
        <v>669</v>
      </c>
      <c r="M4341" t="s">
        <v>670</v>
      </c>
      <c r="N4341">
        <v>24</v>
      </c>
      <c r="O4341" s="1">
        <v>43405</v>
      </c>
      <c r="P4341" t="s">
        <v>41</v>
      </c>
      <c r="Q4341" t="s">
        <v>75</v>
      </c>
      <c r="R4341" t="str">
        <f>"7501004"</f>
        <v>7501004</v>
      </c>
      <c r="S4341" t="s">
        <v>1500</v>
      </c>
      <c r="T4341" t="s">
        <v>667</v>
      </c>
      <c r="U4341" t="s">
        <v>669</v>
      </c>
      <c r="V4341" t="s">
        <v>670</v>
      </c>
      <c r="W4341" t="s">
        <v>44</v>
      </c>
      <c r="X4341" t="s">
        <v>45</v>
      </c>
      <c r="Y4341" s="1">
        <v>33795</v>
      </c>
      <c r="Z4341">
        <v>1</v>
      </c>
      <c r="AA4341" t="s">
        <v>669</v>
      </c>
      <c r="AB4341" s="40" t="s">
        <v>1799</v>
      </c>
    </row>
    <row r="4342" spans="1:28" x14ac:dyDescent="0.25">
      <c r="A4342">
        <v>99914341</v>
      </c>
      <c r="B4342" t="s">
        <v>32</v>
      </c>
      <c r="C4342" t="s">
        <v>90</v>
      </c>
      <c r="D4342" t="s">
        <v>91</v>
      </c>
      <c r="G4342" t="s">
        <v>35</v>
      </c>
      <c r="H4342">
        <v>1</v>
      </c>
      <c r="I4342" t="s">
        <v>1353</v>
      </c>
      <c r="J4342" s="1">
        <v>43344</v>
      </c>
      <c r="K4342" t="s">
        <v>1341</v>
      </c>
      <c r="L4342" t="s">
        <v>1342</v>
      </c>
      <c r="M4342" t="s">
        <v>1270</v>
      </c>
      <c r="N4342">
        <v>24</v>
      </c>
      <c r="O4342" s="1">
        <v>43344</v>
      </c>
      <c r="P4342" t="s">
        <v>41</v>
      </c>
      <c r="Q4342" t="s">
        <v>95</v>
      </c>
      <c r="R4342" t="str">
        <f>"7191081"</f>
        <v>7191081</v>
      </c>
      <c r="S4342" t="s">
        <v>1402</v>
      </c>
      <c r="T4342" t="s">
        <v>1341</v>
      </c>
      <c r="U4342" t="s">
        <v>1342</v>
      </c>
      <c r="V4342" t="s">
        <v>1270</v>
      </c>
      <c r="W4342" t="s">
        <v>44</v>
      </c>
      <c r="X4342" t="s">
        <v>45</v>
      </c>
      <c r="Y4342" s="1">
        <v>33789</v>
      </c>
      <c r="Z4342">
        <v>1</v>
      </c>
      <c r="AA4342" t="s">
        <v>1342</v>
      </c>
      <c r="AB4342" s="40" t="s">
        <v>1799</v>
      </c>
    </row>
    <row r="4343" spans="1:28" x14ac:dyDescent="0.25">
      <c r="A4343">
        <v>99914342</v>
      </c>
      <c r="B4343" t="s">
        <v>32</v>
      </c>
      <c r="C4343" t="s">
        <v>111</v>
      </c>
      <c r="D4343" t="s">
        <v>112</v>
      </c>
      <c r="G4343" t="s">
        <v>35</v>
      </c>
      <c r="H4343">
        <v>1</v>
      </c>
      <c r="I4343">
        <v>0</v>
      </c>
      <c r="J4343" s="1">
        <v>43344</v>
      </c>
      <c r="K4343" t="s">
        <v>985</v>
      </c>
      <c r="L4343" t="s">
        <v>986</v>
      </c>
      <c r="M4343" t="s">
        <v>938</v>
      </c>
      <c r="N4343">
        <v>24</v>
      </c>
      <c r="O4343" s="1">
        <v>43344</v>
      </c>
      <c r="P4343" t="s">
        <v>41</v>
      </c>
      <c r="Q4343" t="s">
        <v>75</v>
      </c>
      <c r="R4343" t="str">
        <f>"7011000"</f>
        <v>7011000</v>
      </c>
      <c r="S4343" t="s">
        <v>989</v>
      </c>
      <c r="T4343" t="s">
        <v>985</v>
      </c>
      <c r="U4343" t="s">
        <v>986</v>
      </c>
      <c r="V4343" t="s">
        <v>938</v>
      </c>
      <c r="W4343" t="s">
        <v>44</v>
      </c>
      <c r="X4343" t="s">
        <v>45</v>
      </c>
      <c r="Y4343" s="1">
        <v>33785</v>
      </c>
      <c r="Z4343">
        <v>1</v>
      </c>
      <c r="AA4343" t="s">
        <v>986</v>
      </c>
      <c r="AB4343" s="40" t="s">
        <v>1799</v>
      </c>
    </row>
    <row r="4344" spans="1:28" x14ac:dyDescent="0.25">
      <c r="A4344">
        <v>99914343</v>
      </c>
      <c r="B4344" t="s">
        <v>32</v>
      </c>
      <c r="C4344" t="s">
        <v>111</v>
      </c>
      <c r="D4344" t="s">
        <v>112</v>
      </c>
      <c r="G4344" t="s">
        <v>35</v>
      </c>
      <c r="H4344">
        <v>1</v>
      </c>
      <c r="I4344" t="s">
        <v>881</v>
      </c>
      <c r="J4344" s="1">
        <v>43390</v>
      </c>
      <c r="K4344" t="s">
        <v>877</v>
      </c>
      <c r="L4344" t="s">
        <v>878</v>
      </c>
      <c r="M4344" t="s">
        <v>131</v>
      </c>
      <c r="N4344">
        <v>24</v>
      </c>
      <c r="O4344" s="1">
        <v>43390</v>
      </c>
      <c r="P4344" t="s">
        <v>41</v>
      </c>
      <c r="Q4344" t="s">
        <v>75</v>
      </c>
      <c r="R4344" t="str">
        <f>"7541020"</f>
        <v>7541020</v>
      </c>
      <c r="S4344" t="s">
        <v>882</v>
      </c>
      <c r="T4344" t="s">
        <v>877</v>
      </c>
      <c r="U4344" t="s">
        <v>878</v>
      </c>
      <c r="V4344" t="s">
        <v>131</v>
      </c>
      <c r="W4344" t="s">
        <v>51</v>
      </c>
      <c r="X4344" t="s">
        <v>45</v>
      </c>
      <c r="Y4344" s="1">
        <v>33777</v>
      </c>
      <c r="Z4344">
        <v>1</v>
      </c>
      <c r="AA4344" t="s">
        <v>878</v>
      </c>
      <c r="AB4344" s="40" t="s">
        <v>1799</v>
      </c>
    </row>
    <row r="4345" spans="1:28" x14ac:dyDescent="0.25">
      <c r="A4345">
        <v>99914344</v>
      </c>
      <c r="B4345" t="s">
        <v>56</v>
      </c>
      <c r="C4345" t="s">
        <v>111</v>
      </c>
      <c r="D4345" t="s">
        <v>112</v>
      </c>
      <c r="G4345" t="s">
        <v>35</v>
      </c>
      <c r="H4345">
        <v>1</v>
      </c>
      <c r="I4345">
        <v>8594</v>
      </c>
      <c r="J4345" s="1">
        <v>43398</v>
      </c>
      <c r="K4345" t="s">
        <v>1198</v>
      </c>
      <c r="L4345" t="s">
        <v>1199</v>
      </c>
      <c r="M4345" t="s">
        <v>1130</v>
      </c>
      <c r="N4345">
        <v>24</v>
      </c>
      <c r="O4345" s="1">
        <v>43398</v>
      </c>
      <c r="P4345" t="s">
        <v>41</v>
      </c>
      <c r="Q4345" t="s">
        <v>75</v>
      </c>
      <c r="R4345" t="str">
        <f>"7311008"</f>
        <v>7311008</v>
      </c>
      <c r="S4345" t="s">
        <v>1205</v>
      </c>
      <c r="T4345" t="s">
        <v>1198</v>
      </c>
      <c r="U4345" t="s">
        <v>1199</v>
      </c>
      <c r="V4345" t="s">
        <v>1130</v>
      </c>
      <c r="W4345" t="s">
        <v>55</v>
      </c>
      <c r="X4345" t="s">
        <v>45</v>
      </c>
      <c r="Y4345" s="1">
        <v>33776</v>
      </c>
      <c r="Z4345">
        <v>1</v>
      </c>
      <c r="AA4345" t="s">
        <v>1199</v>
      </c>
      <c r="AB4345" s="40" t="s">
        <v>1799</v>
      </c>
    </row>
    <row r="4346" spans="1:28" x14ac:dyDescent="0.25">
      <c r="A4346">
        <v>99914345</v>
      </c>
      <c r="B4346" t="s">
        <v>32</v>
      </c>
      <c r="C4346" t="s">
        <v>111</v>
      </c>
      <c r="D4346" t="s">
        <v>112</v>
      </c>
      <c r="G4346" t="s">
        <v>35</v>
      </c>
      <c r="H4346">
        <v>1</v>
      </c>
      <c r="I4346" t="s">
        <v>735</v>
      </c>
      <c r="J4346" s="1">
        <v>43354</v>
      </c>
      <c r="K4346" t="s">
        <v>268</v>
      </c>
      <c r="L4346" t="s">
        <v>269</v>
      </c>
      <c r="M4346" t="s">
        <v>131</v>
      </c>
      <c r="N4346">
        <v>24</v>
      </c>
      <c r="O4346" s="1">
        <v>43354</v>
      </c>
      <c r="P4346" t="s">
        <v>41</v>
      </c>
      <c r="Q4346" t="s">
        <v>75</v>
      </c>
      <c r="R4346" t="str">
        <f>"7052040"</f>
        <v>7052040</v>
      </c>
      <c r="S4346" t="s">
        <v>591</v>
      </c>
      <c r="T4346" t="s">
        <v>268</v>
      </c>
      <c r="U4346" t="s">
        <v>269</v>
      </c>
      <c r="V4346" t="s">
        <v>131</v>
      </c>
      <c r="W4346" t="s">
        <v>55</v>
      </c>
      <c r="X4346" t="s">
        <v>45</v>
      </c>
      <c r="Y4346" s="1">
        <v>33763</v>
      </c>
      <c r="Z4346">
        <v>1</v>
      </c>
      <c r="AA4346" t="s">
        <v>269</v>
      </c>
      <c r="AB4346" s="40" t="s">
        <v>1799</v>
      </c>
    </row>
    <row r="4347" spans="1:28" x14ac:dyDescent="0.25">
      <c r="A4347">
        <v>99914346</v>
      </c>
      <c r="B4347" t="s">
        <v>56</v>
      </c>
      <c r="C4347" t="s">
        <v>111</v>
      </c>
      <c r="D4347" t="s">
        <v>112</v>
      </c>
      <c r="G4347" t="s">
        <v>48</v>
      </c>
      <c r="H4347">
        <v>1</v>
      </c>
      <c r="K4347" t="s">
        <v>1081</v>
      </c>
      <c r="L4347" t="s">
        <v>1082</v>
      </c>
      <c r="M4347" t="s">
        <v>1053</v>
      </c>
      <c r="N4347">
        <v>24</v>
      </c>
      <c r="P4347" t="s">
        <v>41</v>
      </c>
      <c r="Q4347" t="s">
        <v>75</v>
      </c>
      <c r="R4347" t="str">
        <f>"7201008"</f>
        <v>7201008</v>
      </c>
      <c r="S4347" t="s">
        <v>1084</v>
      </c>
      <c r="T4347" t="s">
        <v>1081</v>
      </c>
      <c r="U4347" t="s">
        <v>1082</v>
      </c>
      <c r="V4347" t="s">
        <v>1053</v>
      </c>
      <c r="W4347" t="s">
        <v>51</v>
      </c>
      <c r="X4347" t="s">
        <v>45</v>
      </c>
      <c r="Y4347" s="1">
        <v>33761</v>
      </c>
      <c r="Z4347">
        <v>1</v>
      </c>
      <c r="AA4347" t="s">
        <v>1082</v>
      </c>
      <c r="AB4347" s="40" t="s">
        <v>1799</v>
      </c>
    </row>
    <row r="4348" spans="1:28" x14ac:dyDescent="0.25">
      <c r="A4348">
        <v>99914347</v>
      </c>
      <c r="B4348" t="s">
        <v>32</v>
      </c>
      <c r="C4348" t="s">
        <v>111</v>
      </c>
      <c r="D4348" t="s">
        <v>112</v>
      </c>
      <c r="G4348" t="s">
        <v>48</v>
      </c>
      <c r="H4348">
        <v>1</v>
      </c>
      <c r="K4348" t="s">
        <v>1502</v>
      </c>
      <c r="L4348" t="s">
        <v>1503</v>
      </c>
      <c r="M4348" t="s">
        <v>670</v>
      </c>
      <c r="N4348">
        <v>24</v>
      </c>
      <c r="P4348" t="s">
        <v>41</v>
      </c>
      <c r="Q4348" t="s">
        <v>75</v>
      </c>
      <c r="R4348" t="str">
        <f>"7171002"</f>
        <v>7171002</v>
      </c>
      <c r="S4348" t="s">
        <v>1505</v>
      </c>
      <c r="T4348" t="s">
        <v>1502</v>
      </c>
      <c r="U4348" t="s">
        <v>1503</v>
      </c>
      <c r="V4348" t="s">
        <v>670</v>
      </c>
      <c r="W4348" t="s">
        <v>51</v>
      </c>
      <c r="X4348" t="s">
        <v>45</v>
      </c>
      <c r="Y4348" s="1">
        <v>33758</v>
      </c>
      <c r="Z4348">
        <v>1</v>
      </c>
      <c r="AA4348" t="s">
        <v>1503</v>
      </c>
      <c r="AB4348" s="40" t="s">
        <v>1799</v>
      </c>
    </row>
    <row r="4349" spans="1:28" x14ac:dyDescent="0.25">
      <c r="A4349">
        <v>99914348</v>
      </c>
      <c r="B4349" t="s">
        <v>32</v>
      </c>
      <c r="C4349" t="s">
        <v>111</v>
      </c>
      <c r="D4349" t="s">
        <v>112</v>
      </c>
      <c r="G4349" t="s">
        <v>88</v>
      </c>
      <c r="H4349">
        <v>1</v>
      </c>
      <c r="I4349">
        <v>11927</v>
      </c>
      <c r="J4349" s="1">
        <v>43344</v>
      </c>
      <c r="K4349" t="s">
        <v>1426</v>
      </c>
      <c r="L4349" t="s">
        <v>1427</v>
      </c>
      <c r="M4349" t="s">
        <v>1270</v>
      </c>
      <c r="N4349">
        <v>24</v>
      </c>
      <c r="O4349" s="1">
        <v>43344</v>
      </c>
      <c r="P4349" t="s">
        <v>41</v>
      </c>
      <c r="Q4349" t="s">
        <v>75</v>
      </c>
      <c r="R4349" t="str">
        <f>"7192002"</f>
        <v>7192002</v>
      </c>
      <c r="S4349" t="s">
        <v>1438</v>
      </c>
      <c r="T4349" t="s">
        <v>1426</v>
      </c>
      <c r="U4349" t="s">
        <v>1427</v>
      </c>
      <c r="V4349" t="s">
        <v>1270</v>
      </c>
      <c r="W4349" t="s">
        <v>51</v>
      </c>
      <c r="X4349" t="s">
        <v>45</v>
      </c>
      <c r="Y4349" s="1">
        <v>33734</v>
      </c>
      <c r="Z4349">
        <v>1</v>
      </c>
      <c r="AA4349" t="s">
        <v>1427</v>
      </c>
      <c r="AB4349" s="40" t="s">
        <v>1799</v>
      </c>
    </row>
    <row r="4350" spans="1:28" x14ac:dyDescent="0.25">
      <c r="A4350">
        <v>99914349</v>
      </c>
      <c r="B4350" t="s">
        <v>56</v>
      </c>
      <c r="C4350" t="s">
        <v>111</v>
      </c>
      <c r="D4350" t="s">
        <v>112</v>
      </c>
      <c r="G4350" t="s">
        <v>35</v>
      </c>
      <c r="H4350">
        <v>1</v>
      </c>
      <c r="I4350">
        <v>1607</v>
      </c>
      <c r="J4350" s="1">
        <v>43368</v>
      </c>
      <c r="K4350" t="s">
        <v>77</v>
      </c>
      <c r="L4350" t="s">
        <v>78</v>
      </c>
      <c r="M4350" t="s">
        <v>39</v>
      </c>
      <c r="N4350">
        <v>24</v>
      </c>
      <c r="O4350" s="1">
        <v>43368</v>
      </c>
      <c r="P4350" t="s">
        <v>41</v>
      </c>
      <c r="Q4350" t="s">
        <v>75</v>
      </c>
      <c r="R4350" t="str">
        <f>"7371000"</f>
        <v>7371000</v>
      </c>
      <c r="S4350" t="s">
        <v>76</v>
      </c>
      <c r="T4350" t="s">
        <v>77</v>
      </c>
      <c r="U4350" t="s">
        <v>78</v>
      </c>
      <c r="V4350" t="s">
        <v>39</v>
      </c>
      <c r="W4350" t="s">
        <v>44</v>
      </c>
      <c r="X4350" t="s">
        <v>45</v>
      </c>
      <c r="Y4350" s="1">
        <v>33708</v>
      </c>
      <c r="Z4350">
        <v>1</v>
      </c>
      <c r="AA4350" t="s">
        <v>78</v>
      </c>
      <c r="AB4350" s="40" t="s">
        <v>1799</v>
      </c>
    </row>
    <row r="4351" spans="1:28" x14ac:dyDescent="0.25">
      <c r="A4351">
        <v>99914350</v>
      </c>
      <c r="B4351" t="s">
        <v>32</v>
      </c>
      <c r="C4351" t="s">
        <v>111</v>
      </c>
      <c r="D4351" t="s">
        <v>112</v>
      </c>
      <c r="G4351" t="s">
        <v>35</v>
      </c>
      <c r="H4351">
        <v>1</v>
      </c>
      <c r="I4351" t="s">
        <v>1675</v>
      </c>
      <c r="J4351" s="1">
        <v>43344</v>
      </c>
      <c r="K4351" t="s">
        <v>1619</v>
      </c>
      <c r="L4351" t="s">
        <v>1620</v>
      </c>
      <c r="M4351" t="s">
        <v>1592</v>
      </c>
      <c r="N4351">
        <v>24</v>
      </c>
      <c r="O4351" s="1">
        <v>43344</v>
      </c>
      <c r="P4351" t="s">
        <v>41</v>
      </c>
      <c r="Q4351" t="s">
        <v>75</v>
      </c>
      <c r="R4351" t="str">
        <f>"7281000"</f>
        <v>7281000</v>
      </c>
      <c r="S4351" t="s">
        <v>1648</v>
      </c>
      <c r="T4351" t="s">
        <v>1619</v>
      </c>
      <c r="U4351" t="s">
        <v>1620</v>
      </c>
      <c r="V4351" t="s">
        <v>1592</v>
      </c>
      <c r="W4351" t="s">
        <v>44</v>
      </c>
      <c r="X4351" t="s">
        <v>45</v>
      </c>
      <c r="Y4351" s="1">
        <v>33700</v>
      </c>
      <c r="Z4351">
        <v>1</v>
      </c>
      <c r="AA4351" t="s">
        <v>1620</v>
      </c>
      <c r="AB4351" s="40" t="s">
        <v>1799</v>
      </c>
    </row>
    <row r="4352" spans="1:28" x14ac:dyDescent="0.25">
      <c r="A4352">
        <v>99914351</v>
      </c>
      <c r="B4352" t="s">
        <v>32</v>
      </c>
      <c r="C4352" t="s">
        <v>111</v>
      </c>
      <c r="D4352" t="s">
        <v>112</v>
      </c>
      <c r="G4352" t="s">
        <v>88</v>
      </c>
      <c r="H4352">
        <v>3</v>
      </c>
      <c r="I4352" t="s">
        <v>493</v>
      </c>
      <c r="J4352" s="1">
        <v>43344</v>
      </c>
      <c r="K4352" t="s">
        <v>431</v>
      </c>
      <c r="L4352" t="s">
        <v>196</v>
      </c>
      <c r="M4352" t="s">
        <v>131</v>
      </c>
      <c r="N4352">
        <v>24</v>
      </c>
      <c r="O4352" s="1">
        <v>43344</v>
      </c>
      <c r="P4352" t="s">
        <v>41</v>
      </c>
      <c r="Q4352" t="s">
        <v>75</v>
      </c>
      <c r="R4352" t="str">
        <f>"7521022"</f>
        <v>7521022</v>
      </c>
      <c r="S4352" t="s">
        <v>445</v>
      </c>
      <c r="T4352" t="s">
        <v>431</v>
      </c>
      <c r="U4352" t="s">
        <v>196</v>
      </c>
      <c r="V4352" t="s">
        <v>131</v>
      </c>
      <c r="W4352" t="s">
        <v>55</v>
      </c>
      <c r="X4352" t="s">
        <v>45</v>
      </c>
      <c r="Y4352" s="1">
        <v>33687</v>
      </c>
      <c r="Z4352">
        <v>1</v>
      </c>
      <c r="AA4352" t="s">
        <v>196</v>
      </c>
      <c r="AB4352" s="40" t="s">
        <v>1799</v>
      </c>
    </row>
    <row r="4353" spans="1:28" x14ac:dyDescent="0.25">
      <c r="A4353">
        <v>99914352</v>
      </c>
      <c r="B4353" t="s">
        <v>32</v>
      </c>
      <c r="C4353" t="s">
        <v>111</v>
      </c>
      <c r="D4353" t="s">
        <v>112</v>
      </c>
      <c r="G4353" t="s">
        <v>35</v>
      </c>
      <c r="H4353">
        <v>1</v>
      </c>
      <c r="I4353">
        <v>0</v>
      </c>
      <c r="J4353" s="1">
        <v>43344</v>
      </c>
      <c r="K4353" t="s">
        <v>985</v>
      </c>
      <c r="L4353" t="s">
        <v>986</v>
      </c>
      <c r="M4353" t="s">
        <v>938</v>
      </c>
      <c r="N4353">
        <v>24</v>
      </c>
      <c r="O4353" s="1">
        <v>43344</v>
      </c>
      <c r="P4353" t="s">
        <v>41</v>
      </c>
      <c r="Q4353" t="s">
        <v>75</v>
      </c>
      <c r="R4353" t="str">
        <f>"7011004"</f>
        <v>7011004</v>
      </c>
      <c r="S4353" t="s">
        <v>987</v>
      </c>
      <c r="T4353" t="s">
        <v>985</v>
      </c>
      <c r="U4353" t="s">
        <v>986</v>
      </c>
      <c r="V4353" t="s">
        <v>938</v>
      </c>
      <c r="W4353" t="s">
        <v>51</v>
      </c>
      <c r="X4353" t="s">
        <v>45</v>
      </c>
      <c r="Y4353" s="1">
        <v>33685</v>
      </c>
      <c r="Z4353">
        <v>1</v>
      </c>
      <c r="AA4353" t="s">
        <v>986</v>
      </c>
      <c r="AB4353" s="40" t="s">
        <v>1799</v>
      </c>
    </row>
    <row r="4354" spans="1:28" x14ac:dyDescent="0.25">
      <c r="A4354">
        <v>99914353</v>
      </c>
      <c r="B4354" t="s">
        <v>32</v>
      </c>
      <c r="C4354" t="s">
        <v>111</v>
      </c>
      <c r="D4354" t="s">
        <v>112</v>
      </c>
      <c r="G4354" t="s">
        <v>35</v>
      </c>
      <c r="H4354">
        <v>1</v>
      </c>
      <c r="I4354">
        <v>14589</v>
      </c>
      <c r="J4354" s="1">
        <v>43344</v>
      </c>
      <c r="K4354" t="s">
        <v>354</v>
      </c>
      <c r="L4354" t="s">
        <v>355</v>
      </c>
      <c r="M4354" t="s">
        <v>131</v>
      </c>
      <c r="N4354">
        <v>24</v>
      </c>
      <c r="O4354" s="1">
        <v>43344</v>
      </c>
      <c r="P4354" t="s">
        <v>41</v>
      </c>
      <c r="Q4354" t="s">
        <v>75</v>
      </c>
      <c r="R4354" t="str">
        <f>"7054006"</f>
        <v>7054006</v>
      </c>
      <c r="S4354" t="s">
        <v>774</v>
      </c>
      <c r="T4354" t="s">
        <v>354</v>
      </c>
      <c r="U4354" t="s">
        <v>355</v>
      </c>
      <c r="V4354" t="s">
        <v>131</v>
      </c>
      <c r="W4354" t="s">
        <v>51</v>
      </c>
      <c r="X4354" t="s">
        <v>45</v>
      </c>
      <c r="Y4354" s="1">
        <v>33669</v>
      </c>
      <c r="Z4354">
        <v>1</v>
      </c>
      <c r="AA4354" t="s">
        <v>355</v>
      </c>
      <c r="AB4354" s="40" t="s">
        <v>1799</v>
      </c>
    </row>
    <row r="4355" spans="1:28" x14ac:dyDescent="0.25">
      <c r="A4355">
        <v>99914354</v>
      </c>
      <c r="B4355" t="s">
        <v>32</v>
      </c>
      <c r="C4355" t="s">
        <v>111</v>
      </c>
      <c r="D4355" t="s">
        <v>112</v>
      </c>
      <c r="G4355" t="s">
        <v>35</v>
      </c>
      <c r="H4355">
        <v>1</v>
      </c>
      <c r="I4355" t="s">
        <v>286</v>
      </c>
      <c r="J4355" s="1">
        <v>43344</v>
      </c>
      <c r="K4355" t="s">
        <v>268</v>
      </c>
      <c r="L4355" t="s">
        <v>269</v>
      </c>
      <c r="M4355" t="s">
        <v>131</v>
      </c>
      <c r="N4355">
        <v>24</v>
      </c>
      <c r="P4355" t="s">
        <v>41</v>
      </c>
      <c r="Q4355" t="s">
        <v>75</v>
      </c>
      <c r="R4355" t="str">
        <f>"7052018"</f>
        <v>7052018</v>
      </c>
      <c r="S4355" t="s">
        <v>577</v>
      </c>
      <c r="T4355" t="s">
        <v>268</v>
      </c>
      <c r="U4355" t="s">
        <v>269</v>
      </c>
      <c r="V4355" t="s">
        <v>131</v>
      </c>
      <c r="W4355" t="s">
        <v>51</v>
      </c>
      <c r="X4355" t="s">
        <v>45</v>
      </c>
      <c r="Y4355" s="1">
        <v>33664</v>
      </c>
      <c r="Z4355">
        <v>1</v>
      </c>
      <c r="AA4355" t="s">
        <v>269</v>
      </c>
      <c r="AB4355" s="40" t="s">
        <v>1799</v>
      </c>
    </row>
    <row r="4356" spans="1:28" x14ac:dyDescent="0.25">
      <c r="A4356">
        <v>99914355</v>
      </c>
      <c r="B4356" t="s">
        <v>32</v>
      </c>
      <c r="C4356" t="s">
        <v>111</v>
      </c>
      <c r="D4356" t="s">
        <v>112</v>
      </c>
      <c r="G4356" t="s">
        <v>35</v>
      </c>
      <c r="H4356">
        <v>3</v>
      </c>
      <c r="I4356" t="s">
        <v>1224</v>
      </c>
      <c r="J4356" s="1">
        <v>43344</v>
      </c>
      <c r="K4356" t="s">
        <v>1221</v>
      </c>
      <c r="L4356" t="s">
        <v>1222</v>
      </c>
      <c r="M4356" t="s">
        <v>1130</v>
      </c>
      <c r="N4356">
        <v>24</v>
      </c>
      <c r="O4356" s="1">
        <v>43344</v>
      </c>
      <c r="P4356" t="s">
        <v>41</v>
      </c>
      <c r="Q4356" t="s">
        <v>75</v>
      </c>
      <c r="R4356" t="str">
        <f>"7351004"</f>
        <v>7351004</v>
      </c>
      <c r="S4356" t="s">
        <v>1225</v>
      </c>
      <c r="T4356" t="s">
        <v>1221</v>
      </c>
      <c r="U4356" t="s">
        <v>1222</v>
      </c>
      <c r="V4356" t="s">
        <v>1130</v>
      </c>
      <c r="W4356" t="s">
        <v>51</v>
      </c>
      <c r="X4356" t="s">
        <v>45</v>
      </c>
      <c r="Y4356" s="1">
        <v>33656</v>
      </c>
      <c r="Z4356">
        <v>1</v>
      </c>
      <c r="AA4356" t="s">
        <v>1222</v>
      </c>
      <c r="AB4356" s="40" t="s">
        <v>1799</v>
      </c>
    </row>
    <row r="4357" spans="1:28" x14ac:dyDescent="0.25">
      <c r="A4357">
        <v>99914356</v>
      </c>
      <c r="B4357" t="s">
        <v>56</v>
      </c>
      <c r="C4357" t="s">
        <v>111</v>
      </c>
      <c r="D4357" t="s">
        <v>112</v>
      </c>
      <c r="G4357" t="s">
        <v>35</v>
      </c>
      <c r="H4357">
        <v>1</v>
      </c>
      <c r="I4357">
        <v>11616</v>
      </c>
      <c r="J4357" s="1">
        <v>43344</v>
      </c>
      <c r="K4357" t="s">
        <v>354</v>
      </c>
      <c r="L4357" t="s">
        <v>355</v>
      </c>
      <c r="M4357" t="s">
        <v>131</v>
      </c>
      <c r="N4357">
        <v>24</v>
      </c>
      <c r="O4357" s="1">
        <v>43344</v>
      </c>
      <c r="P4357" t="s">
        <v>41</v>
      </c>
      <c r="Q4357" t="s">
        <v>75</v>
      </c>
      <c r="R4357" t="str">
        <f>"7054016"</f>
        <v>7054016</v>
      </c>
      <c r="S4357" t="s">
        <v>768</v>
      </c>
      <c r="T4357" t="s">
        <v>354</v>
      </c>
      <c r="U4357" t="s">
        <v>355</v>
      </c>
      <c r="V4357" t="s">
        <v>131</v>
      </c>
      <c r="W4357" t="s">
        <v>44</v>
      </c>
      <c r="X4357" t="s">
        <v>45</v>
      </c>
      <c r="Y4357" s="1">
        <v>33634</v>
      </c>
      <c r="Z4357">
        <v>1</v>
      </c>
      <c r="AA4357" t="s">
        <v>355</v>
      </c>
      <c r="AB4357" s="40" t="s">
        <v>1799</v>
      </c>
    </row>
    <row r="4358" spans="1:28" x14ac:dyDescent="0.25">
      <c r="A4358">
        <v>99914357</v>
      </c>
      <c r="B4358" t="s">
        <v>32</v>
      </c>
      <c r="C4358" t="s">
        <v>111</v>
      </c>
      <c r="D4358" t="s">
        <v>112</v>
      </c>
      <c r="G4358" t="s">
        <v>35</v>
      </c>
      <c r="H4358">
        <v>1</v>
      </c>
      <c r="I4358">
        <v>4551</v>
      </c>
      <c r="J4358" s="1">
        <v>43362</v>
      </c>
      <c r="K4358" t="s">
        <v>1631</v>
      </c>
      <c r="L4358" t="s">
        <v>1632</v>
      </c>
      <c r="M4358" t="s">
        <v>1592</v>
      </c>
      <c r="N4358">
        <v>24</v>
      </c>
      <c r="O4358" s="1">
        <v>43362</v>
      </c>
      <c r="P4358" t="s">
        <v>41</v>
      </c>
      <c r="Q4358" t="s">
        <v>75</v>
      </c>
      <c r="R4358" t="str">
        <f>"7021000"</f>
        <v>7021000</v>
      </c>
      <c r="S4358" t="s">
        <v>1633</v>
      </c>
      <c r="T4358" t="s">
        <v>1631</v>
      </c>
      <c r="U4358" t="s">
        <v>1632</v>
      </c>
      <c r="V4358" t="s">
        <v>1592</v>
      </c>
      <c r="W4358" t="s">
        <v>44</v>
      </c>
      <c r="X4358" t="s">
        <v>45</v>
      </c>
      <c r="Y4358" s="1">
        <v>33630</v>
      </c>
      <c r="Z4358">
        <v>1</v>
      </c>
      <c r="AA4358" t="s">
        <v>1632</v>
      </c>
      <c r="AB4358" s="40" t="s">
        <v>1799</v>
      </c>
    </row>
    <row r="4359" spans="1:28" x14ac:dyDescent="0.25">
      <c r="A4359">
        <v>99914358</v>
      </c>
      <c r="B4359" t="s">
        <v>32</v>
      </c>
      <c r="C4359" t="s">
        <v>111</v>
      </c>
      <c r="D4359" t="s">
        <v>112</v>
      </c>
      <c r="G4359" t="s">
        <v>48</v>
      </c>
      <c r="H4359">
        <v>1</v>
      </c>
      <c r="K4359" t="s">
        <v>1341</v>
      </c>
      <c r="L4359" t="s">
        <v>1342</v>
      </c>
      <c r="M4359" t="s">
        <v>1270</v>
      </c>
      <c r="N4359">
        <v>24</v>
      </c>
      <c r="P4359" t="s">
        <v>41</v>
      </c>
      <c r="Q4359" t="s">
        <v>75</v>
      </c>
      <c r="R4359" t="str">
        <f>"7191036"</f>
        <v>7191036</v>
      </c>
      <c r="S4359" t="s">
        <v>1348</v>
      </c>
      <c r="T4359" t="s">
        <v>1341</v>
      </c>
      <c r="U4359" t="s">
        <v>1342</v>
      </c>
      <c r="V4359" t="s">
        <v>1270</v>
      </c>
      <c r="W4359" t="s">
        <v>165</v>
      </c>
      <c r="X4359" t="s">
        <v>45</v>
      </c>
      <c r="Y4359" s="1">
        <v>33628</v>
      </c>
      <c r="Z4359">
        <v>1</v>
      </c>
      <c r="AA4359" t="s">
        <v>1342</v>
      </c>
      <c r="AB4359" s="40" t="s">
        <v>1799</v>
      </c>
    </row>
    <row r="4360" spans="1:28" x14ac:dyDescent="0.25">
      <c r="A4360">
        <v>99914359</v>
      </c>
      <c r="B4360" t="s">
        <v>32</v>
      </c>
      <c r="C4360" t="s">
        <v>111</v>
      </c>
      <c r="D4360" t="s">
        <v>112</v>
      </c>
      <c r="G4360" t="s">
        <v>48</v>
      </c>
      <c r="H4360">
        <v>1</v>
      </c>
      <c r="K4360" t="s">
        <v>1564</v>
      </c>
      <c r="L4360" t="s">
        <v>1565</v>
      </c>
      <c r="M4360" t="s">
        <v>1548</v>
      </c>
      <c r="N4360">
        <v>24</v>
      </c>
      <c r="P4360" t="s">
        <v>41</v>
      </c>
      <c r="Q4360" t="s">
        <v>75</v>
      </c>
      <c r="R4360" t="str">
        <f>"7101002"</f>
        <v>7101002</v>
      </c>
      <c r="S4360" t="s">
        <v>1563</v>
      </c>
      <c r="T4360" t="s">
        <v>1564</v>
      </c>
      <c r="U4360" t="s">
        <v>1565</v>
      </c>
      <c r="V4360" t="s">
        <v>1548</v>
      </c>
      <c r="W4360" t="s">
        <v>51</v>
      </c>
      <c r="X4360" t="s">
        <v>45</v>
      </c>
      <c r="Y4360" s="1">
        <v>33625</v>
      </c>
      <c r="Z4360">
        <v>1</v>
      </c>
      <c r="AA4360" t="s">
        <v>1565</v>
      </c>
      <c r="AB4360" s="40" t="s">
        <v>1799</v>
      </c>
    </row>
    <row r="4361" spans="1:28" x14ac:dyDescent="0.25">
      <c r="A4361">
        <v>99914360</v>
      </c>
      <c r="B4361" t="s">
        <v>32</v>
      </c>
      <c r="C4361" t="s">
        <v>111</v>
      </c>
      <c r="D4361" t="s">
        <v>112</v>
      </c>
      <c r="G4361" t="s">
        <v>48</v>
      </c>
      <c r="H4361">
        <v>1</v>
      </c>
      <c r="K4361" t="s">
        <v>1619</v>
      </c>
      <c r="L4361" t="s">
        <v>1620</v>
      </c>
      <c r="M4361" t="s">
        <v>1592</v>
      </c>
      <c r="N4361">
        <v>24</v>
      </c>
      <c r="P4361" t="s">
        <v>41</v>
      </c>
      <c r="Q4361" t="s">
        <v>75</v>
      </c>
      <c r="R4361" t="str">
        <f>"7281006"</f>
        <v>7281006</v>
      </c>
      <c r="S4361" t="s">
        <v>1618</v>
      </c>
      <c r="T4361" t="s">
        <v>1619</v>
      </c>
      <c r="U4361" t="s">
        <v>1620</v>
      </c>
      <c r="V4361" t="s">
        <v>1592</v>
      </c>
      <c r="W4361" t="s">
        <v>51</v>
      </c>
      <c r="X4361" t="s">
        <v>45</v>
      </c>
      <c r="Y4361" s="1">
        <v>33623</v>
      </c>
      <c r="Z4361">
        <v>1</v>
      </c>
      <c r="AA4361" t="s">
        <v>1620</v>
      </c>
      <c r="AB4361" s="40" t="s">
        <v>1799</v>
      </c>
    </row>
    <row r="4362" spans="1:28" x14ac:dyDescent="0.25">
      <c r="A4362">
        <v>99914361</v>
      </c>
      <c r="B4362" t="s">
        <v>56</v>
      </c>
      <c r="C4362" t="s">
        <v>111</v>
      </c>
      <c r="D4362" t="s">
        <v>112</v>
      </c>
      <c r="G4362" t="s">
        <v>35</v>
      </c>
      <c r="H4362">
        <v>1</v>
      </c>
      <c r="I4362" t="s">
        <v>286</v>
      </c>
      <c r="J4362" s="1">
        <v>43344</v>
      </c>
      <c r="K4362" t="s">
        <v>268</v>
      </c>
      <c r="L4362" t="s">
        <v>269</v>
      </c>
      <c r="M4362" t="s">
        <v>131</v>
      </c>
      <c r="N4362">
        <v>24</v>
      </c>
      <c r="O4362" s="1">
        <v>43344</v>
      </c>
      <c r="P4362" t="s">
        <v>41</v>
      </c>
      <c r="Q4362" t="s">
        <v>75</v>
      </c>
      <c r="R4362" t="str">
        <f>"7052028"</f>
        <v>7052028</v>
      </c>
      <c r="S4362" t="s">
        <v>601</v>
      </c>
      <c r="T4362" t="s">
        <v>268</v>
      </c>
      <c r="U4362" t="s">
        <v>269</v>
      </c>
      <c r="V4362" t="s">
        <v>131</v>
      </c>
      <c r="W4362" t="s">
        <v>44</v>
      </c>
      <c r="X4362" t="s">
        <v>45</v>
      </c>
      <c r="Y4362" s="1">
        <v>33612</v>
      </c>
      <c r="Z4362">
        <v>1</v>
      </c>
      <c r="AA4362" t="s">
        <v>269</v>
      </c>
      <c r="AB4362" s="40" t="s">
        <v>1799</v>
      </c>
    </row>
    <row r="4363" spans="1:28" x14ac:dyDescent="0.25">
      <c r="A4363">
        <v>99914362</v>
      </c>
      <c r="B4363" t="s">
        <v>56</v>
      </c>
      <c r="C4363" t="s">
        <v>111</v>
      </c>
      <c r="D4363" t="s">
        <v>112</v>
      </c>
      <c r="G4363" t="s">
        <v>35</v>
      </c>
      <c r="H4363">
        <v>1</v>
      </c>
      <c r="I4363" t="s">
        <v>659</v>
      </c>
      <c r="J4363" s="1">
        <v>43344</v>
      </c>
      <c r="K4363" t="s">
        <v>268</v>
      </c>
      <c r="L4363" t="s">
        <v>269</v>
      </c>
      <c r="M4363" t="s">
        <v>131</v>
      </c>
      <c r="N4363">
        <v>24</v>
      </c>
      <c r="O4363" s="1">
        <v>43344</v>
      </c>
      <c r="P4363" t="s">
        <v>41</v>
      </c>
      <c r="Q4363" t="s">
        <v>75</v>
      </c>
      <c r="R4363" t="str">
        <f>"7052040"</f>
        <v>7052040</v>
      </c>
      <c r="S4363" t="s">
        <v>591</v>
      </c>
      <c r="T4363" t="s">
        <v>268</v>
      </c>
      <c r="U4363" t="s">
        <v>269</v>
      </c>
      <c r="V4363" t="s">
        <v>131</v>
      </c>
      <c r="W4363" t="s">
        <v>55</v>
      </c>
      <c r="X4363" t="s">
        <v>45</v>
      </c>
      <c r="Y4363" s="1">
        <v>33610</v>
      </c>
      <c r="Z4363">
        <v>1</v>
      </c>
      <c r="AA4363" t="s">
        <v>269</v>
      </c>
      <c r="AB4363" s="40" t="s">
        <v>1799</v>
      </c>
    </row>
    <row r="4364" spans="1:28" x14ac:dyDescent="0.25">
      <c r="A4364">
        <v>99914363</v>
      </c>
      <c r="B4364" t="s">
        <v>32</v>
      </c>
      <c r="C4364" t="s">
        <v>111</v>
      </c>
      <c r="D4364" t="s">
        <v>112</v>
      </c>
      <c r="G4364" t="s">
        <v>35</v>
      </c>
      <c r="H4364">
        <v>1</v>
      </c>
      <c r="I4364">
        <v>10608</v>
      </c>
      <c r="J4364" s="1">
        <v>43344</v>
      </c>
      <c r="K4364" t="s">
        <v>354</v>
      </c>
      <c r="L4364" t="s">
        <v>355</v>
      </c>
      <c r="M4364" t="s">
        <v>131</v>
      </c>
      <c r="N4364">
        <v>24</v>
      </c>
      <c r="O4364" s="1">
        <v>43344</v>
      </c>
      <c r="P4364" t="s">
        <v>41</v>
      </c>
      <c r="Q4364" t="s">
        <v>75</v>
      </c>
      <c r="R4364" t="str">
        <f>"7054028"</f>
        <v>7054028</v>
      </c>
      <c r="S4364" t="s">
        <v>788</v>
      </c>
      <c r="T4364" t="s">
        <v>354</v>
      </c>
      <c r="U4364" t="s">
        <v>355</v>
      </c>
      <c r="V4364" t="s">
        <v>131</v>
      </c>
      <c r="W4364" t="s">
        <v>51</v>
      </c>
      <c r="X4364" t="s">
        <v>45</v>
      </c>
      <c r="Y4364" s="1">
        <v>33599</v>
      </c>
      <c r="Z4364">
        <v>1</v>
      </c>
      <c r="AA4364" t="s">
        <v>355</v>
      </c>
      <c r="AB4364" s="40" t="s">
        <v>1799</v>
      </c>
    </row>
    <row r="4365" spans="1:28" x14ac:dyDescent="0.25">
      <c r="A4365">
        <v>99914364</v>
      </c>
      <c r="B4365" t="s">
        <v>32</v>
      </c>
      <c r="C4365" t="s">
        <v>111</v>
      </c>
      <c r="D4365" t="s">
        <v>112</v>
      </c>
      <c r="G4365" t="s">
        <v>48</v>
      </c>
      <c r="H4365">
        <v>1</v>
      </c>
      <c r="K4365" t="s">
        <v>354</v>
      </c>
      <c r="L4365" t="s">
        <v>355</v>
      </c>
      <c r="M4365" t="s">
        <v>131</v>
      </c>
      <c r="N4365">
        <v>24</v>
      </c>
      <c r="P4365" t="s">
        <v>41</v>
      </c>
      <c r="Q4365" t="s">
        <v>75</v>
      </c>
      <c r="R4365" t="str">
        <f>"7054002"</f>
        <v>7054002</v>
      </c>
      <c r="S4365" t="s">
        <v>376</v>
      </c>
      <c r="T4365" t="s">
        <v>354</v>
      </c>
      <c r="U4365" t="s">
        <v>355</v>
      </c>
      <c r="V4365" t="s">
        <v>131</v>
      </c>
      <c r="W4365" t="s">
        <v>51</v>
      </c>
      <c r="X4365" t="s">
        <v>45</v>
      </c>
      <c r="Y4365" s="1">
        <v>33594</v>
      </c>
      <c r="Z4365">
        <v>1</v>
      </c>
      <c r="AA4365" t="s">
        <v>355</v>
      </c>
      <c r="AB4365" s="40" t="s">
        <v>1799</v>
      </c>
    </row>
    <row r="4366" spans="1:28" x14ac:dyDescent="0.25">
      <c r="A4366">
        <v>99914365</v>
      </c>
      <c r="B4366" t="s">
        <v>32</v>
      </c>
      <c r="C4366" t="s">
        <v>111</v>
      </c>
      <c r="D4366" t="s">
        <v>112</v>
      </c>
      <c r="G4366" t="s">
        <v>35</v>
      </c>
      <c r="H4366">
        <v>1</v>
      </c>
      <c r="I4366">
        <v>16035</v>
      </c>
      <c r="J4366" s="1">
        <v>43348</v>
      </c>
      <c r="K4366" t="s">
        <v>877</v>
      </c>
      <c r="L4366" t="s">
        <v>878</v>
      </c>
      <c r="M4366" t="s">
        <v>131</v>
      </c>
      <c r="N4366">
        <v>24</v>
      </c>
      <c r="O4366" s="1">
        <v>43348</v>
      </c>
      <c r="P4366" t="s">
        <v>41</v>
      </c>
      <c r="Q4366" t="s">
        <v>75</v>
      </c>
      <c r="R4366" t="str">
        <f>"7541018"</f>
        <v>7541018</v>
      </c>
      <c r="S4366" t="s">
        <v>907</v>
      </c>
      <c r="T4366" t="s">
        <v>877</v>
      </c>
      <c r="U4366" t="s">
        <v>878</v>
      </c>
      <c r="V4366" t="s">
        <v>131</v>
      </c>
      <c r="W4366" t="s">
        <v>44</v>
      </c>
      <c r="X4366" t="s">
        <v>45</v>
      </c>
      <c r="Y4366" s="1">
        <v>33592</v>
      </c>
      <c r="Z4366">
        <v>1</v>
      </c>
      <c r="AA4366" t="s">
        <v>878</v>
      </c>
      <c r="AB4366" s="40" t="s">
        <v>1799</v>
      </c>
    </row>
    <row r="4367" spans="1:28" x14ac:dyDescent="0.25">
      <c r="A4367">
        <v>99914366</v>
      </c>
      <c r="B4367" t="s">
        <v>32</v>
      </c>
      <c r="C4367" t="s">
        <v>111</v>
      </c>
      <c r="D4367" t="s">
        <v>112</v>
      </c>
      <c r="G4367" t="s">
        <v>35</v>
      </c>
      <c r="H4367">
        <v>1</v>
      </c>
      <c r="I4367" t="s">
        <v>536</v>
      </c>
      <c r="J4367" s="1">
        <v>43349</v>
      </c>
      <c r="K4367" t="s">
        <v>431</v>
      </c>
      <c r="L4367" t="s">
        <v>196</v>
      </c>
      <c r="M4367" t="s">
        <v>131</v>
      </c>
      <c r="N4367">
        <v>24</v>
      </c>
      <c r="O4367" s="1">
        <v>43349</v>
      </c>
      <c r="P4367" t="s">
        <v>41</v>
      </c>
      <c r="Q4367" t="s">
        <v>75</v>
      </c>
      <c r="R4367" t="str">
        <f>"7521022"</f>
        <v>7521022</v>
      </c>
      <c r="S4367" t="s">
        <v>445</v>
      </c>
      <c r="T4367" t="s">
        <v>431</v>
      </c>
      <c r="U4367" t="s">
        <v>196</v>
      </c>
      <c r="V4367" t="s">
        <v>131</v>
      </c>
      <c r="W4367" t="s">
        <v>55</v>
      </c>
      <c r="X4367" t="s">
        <v>45</v>
      </c>
      <c r="Y4367" s="1">
        <v>33577</v>
      </c>
      <c r="Z4367">
        <v>1</v>
      </c>
      <c r="AA4367" t="s">
        <v>196</v>
      </c>
      <c r="AB4367" s="40" t="s">
        <v>1799</v>
      </c>
    </row>
    <row r="4368" spans="1:28" x14ac:dyDescent="0.25">
      <c r="A4368">
        <v>99914367</v>
      </c>
      <c r="B4368" t="s">
        <v>32</v>
      </c>
      <c r="C4368" t="s">
        <v>111</v>
      </c>
      <c r="D4368" t="s">
        <v>112</v>
      </c>
      <c r="G4368" t="s">
        <v>35</v>
      </c>
      <c r="H4368">
        <v>1</v>
      </c>
      <c r="I4368" t="s">
        <v>772</v>
      </c>
      <c r="J4368" s="1">
        <v>43344</v>
      </c>
      <c r="K4368" t="s">
        <v>354</v>
      </c>
      <c r="L4368" t="s">
        <v>355</v>
      </c>
      <c r="M4368" t="s">
        <v>131</v>
      </c>
      <c r="N4368">
        <v>24</v>
      </c>
      <c r="O4368" s="1">
        <v>43344</v>
      </c>
      <c r="P4368" t="s">
        <v>41</v>
      </c>
      <c r="Q4368" t="s">
        <v>75</v>
      </c>
      <c r="R4368" t="str">
        <f>"7054018"</f>
        <v>7054018</v>
      </c>
      <c r="S4368" t="s">
        <v>773</v>
      </c>
      <c r="T4368" t="s">
        <v>354</v>
      </c>
      <c r="U4368" t="s">
        <v>355</v>
      </c>
      <c r="V4368" t="s">
        <v>131</v>
      </c>
      <c r="W4368" t="s">
        <v>44</v>
      </c>
      <c r="X4368" t="s">
        <v>45</v>
      </c>
      <c r="Y4368" s="1">
        <v>33571</v>
      </c>
      <c r="Z4368">
        <v>1</v>
      </c>
      <c r="AA4368" t="s">
        <v>355</v>
      </c>
      <c r="AB4368" s="40" t="s">
        <v>1799</v>
      </c>
    </row>
    <row r="4369" spans="1:28" x14ac:dyDescent="0.25">
      <c r="A4369">
        <v>99914368</v>
      </c>
      <c r="B4369" t="s">
        <v>32</v>
      </c>
      <c r="C4369" t="s">
        <v>111</v>
      </c>
      <c r="D4369" t="s">
        <v>112</v>
      </c>
      <c r="G4369" t="s">
        <v>35</v>
      </c>
      <c r="H4369">
        <v>1</v>
      </c>
      <c r="I4369">
        <v>0</v>
      </c>
      <c r="J4369" s="1">
        <v>43344</v>
      </c>
      <c r="K4369" t="s">
        <v>985</v>
      </c>
      <c r="L4369" t="s">
        <v>986</v>
      </c>
      <c r="M4369" t="s">
        <v>938</v>
      </c>
      <c r="N4369">
        <v>24</v>
      </c>
      <c r="O4369" s="1">
        <v>43344</v>
      </c>
      <c r="P4369" t="s">
        <v>41</v>
      </c>
      <c r="Q4369" t="s">
        <v>75</v>
      </c>
      <c r="R4369" t="str">
        <f>"7011004"</f>
        <v>7011004</v>
      </c>
      <c r="S4369" t="s">
        <v>987</v>
      </c>
      <c r="T4369" t="s">
        <v>985</v>
      </c>
      <c r="U4369" t="s">
        <v>986</v>
      </c>
      <c r="V4369" t="s">
        <v>938</v>
      </c>
      <c r="W4369" t="s">
        <v>51</v>
      </c>
      <c r="X4369" t="s">
        <v>45</v>
      </c>
      <c r="Y4369" s="1">
        <v>33571</v>
      </c>
      <c r="Z4369">
        <v>1</v>
      </c>
      <c r="AA4369" t="s">
        <v>986</v>
      </c>
      <c r="AB4369" s="40" t="s">
        <v>1799</v>
      </c>
    </row>
    <row r="4370" spans="1:28" x14ac:dyDescent="0.25">
      <c r="A4370">
        <v>99914369</v>
      </c>
      <c r="B4370" t="s">
        <v>56</v>
      </c>
      <c r="C4370" t="s">
        <v>111</v>
      </c>
      <c r="D4370" t="s">
        <v>112</v>
      </c>
      <c r="G4370" t="s">
        <v>35</v>
      </c>
      <c r="H4370">
        <v>1</v>
      </c>
      <c r="I4370">
        <v>17055</v>
      </c>
      <c r="J4370" s="1">
        <v>43344</v>
      </c>
      <c r="K4370" t="s">
        <v>877</v>
      </c>
      <c r="L4370" t="s">
        <v>878</v>
      </c>
      <c r="M4370" t="s">
        <v>131</v>
      </c>
      <c r="N4370">
        <v>24</v>
      </c>
      <c r="O4370" s="1">
        <v>43344</v>
      </c>
      <c r="P4370" t="s">
        <v>41</v>
      </c>
      <c r="Q4370" t="s">
        <v>75</v>
      </c>
      <c r="R4370" t="str">
        <f>"7541004"</f>
        <v>7541004</v>
      </c>
      <c r="S4370" t="s">
        <v>889</v>
      </c>
      <c r="T4370" t="s">
        <v>877</v>
      </c>
      <c r="U4370" t="s">
        <v>878</v>
      </c>
      <c r="V4370" t="s">
        <v>131</v>
      </c>
      <c r="W4370" t="s">
        <v>44</v>
      </c>
      <c r="X4370" t="s">
        <v>45</v>
      </c>
      <c r="Y4370" s="1">
        <v>33569</v>
      </c>
      <c r="Z4370">
        <v>1</v>
      </c>
      <c r="AA4370" t="s">
        <v>878</v>
      </c>
      <c r="AB4370" s="40" t="s">
        <v>1799</v>
      </c>
    </row>
    <row r="4371" spans="1:28" x14ac:dyDescent="0.25">
      <c r="A4371">
        <v>99914370</v>
      </c>
      <c r="B4371" t="s">
        <v>32</v>
      </c>
      <c r="C4371" t="s">
        <v>111</v>
      </c>
      <c r="D4371" t="s">
        <v>112</v>
      </c>
      <c r="G4371" t="s">
        <v>35</v>
      </c>
      <c r="H4371">
        <v>1</v>
      </c>
      <c r="I4371">
        <v>11251</v>
      </c>
      <c r="J4371" s="1">
        <v>43349</v>
      </c>
      <c r="K4371" t="s">
        <v>354</v>
      </c>
      <c r="L4371" t="s">
        <v>355</v>
      </c>
      <c r="M4371" t="s">
        <v>131</v>
      </c>
      <c r="N4371">
        <v>24</v>
      </c>
      <c r="O4371" s="1">
        <v>43349</v>
      </c>
      <c r="P4371" t="s">
        <v>41</v>
      </c>
      <c r="Q4371" t="s">
        <v>75</v>
      </c>
      <c r="R4371" t="str">
        <f>"7054012"</f>
        <v>7054012</v>
      </c>
      <c r="S4371" t="s">
        <v>353</v>
      </c>
      <c r="T4371" t="s">
        <v>354</v>
      </c>
      <c r="U4371" t="s">
        <v>355</v>
      </c>
      <c r="V4371" t="s">
        <v>131</v>
      </c>
      <c r="W4371" t="s">
        <v>44</v>
      </c>
      <c r="X4371" t="s">
        <v>45</v>
      </c>
      <c r="Y4371" s="1">
        <v>33557</v>
      </c>
      <c r="Z4371">
        <v>1</v>
      </c>
      <c r="AA4371" t="s">
        <v>355</v>
      </c>
      <c r="AB4371" s="40" t="s">
        <v>1799</v>
      </c>
    </row>
    <row r="4372" spans="1:28" x14ac:dyDescent="0.25">
      <c r="A4372">
        <v>99914371</v>
      </c>
      <c r="B4372" t="s">
        <v>32</v>
      </c>
      <c r="C4372" t="s">
        <v>111</v>
      </c>
      <c r="D4372" t="s">
        <v>112</v>
      </c>
      <c r="G4372" t="s">
        <v>35</v>
      </c>
      <c r="H4372">
        <v>1</v>
      </c>
      <c r="I4372" t="s">
        <v>678</v>
      </c>
      <c r="J4372" s="1">
        <v>43344</v>
      </c>
      <c r="K4372" t="s">
        <v>268</v>
      </c>
      <c r="L4372" t="s">
        <v>269</v>
      </c>
      <c r="M4372" t="s">
        <v>131</v>
      </c>
      <c r="N4372">
        <v>24</v>
      </c>
      <c r="O4372" s="1">
        <v>43344</v>
      </c>
      <c r="P4372" t="s">
        <v>41</v>
      </c>
      <c r="Q4372" t="s">
        <v>75</v>
      </c>
      <c r="R4372" t="str">
        <f>"7052034"</f>
        <v>7052034</v>
      </c>
      <c r="S4372" t="s">
        <v>604</v>
      </c>
      <c r="T4372" t="s">
        <v>268</v>
      </c>
      <c r="U4372" t="s">
        <v>269</v>
      </c>
      <c r="V4372" t="s">
        <v>131</v>
      </c>
      <c r="W4372" t="s">
        <v>55</v>
      </c>
      <c r="X4372" t="s">
        <v>45</v>
      </c>
      <c r="Y4372" s="1">
        <v>33555</v>
      </c>
      <c r="Z4372">
        <v>1</v>
      </c>
      <c r="AA4372" t="s">
        <v>269</v>
      </c>
      <c r="AB4372" s="40" t="s">
        <v>1799</v>
      </c>
    </row>
    <row r="4373" spans="1:28" x14ac:dyDescent="0.25">
      <c r="A4373">
        <v>99914372</v>
      </c>
      <c r="B4373" t="s">
        <v>32</v>
      </c>
      <c r="C4373" t="s">
        <v>111</v>
      </c>
      <c r="D4373" t="s">
        <v>112</v>
      </c>
      <c r="G4373" t="s">
        <v>35</v>
      </c>
      <c r="H4373">
        <v>1</v>
      </c>
      <c r="I4373" t="s">
        <v>1087</v>
      </c>
      <c r="J4373" s="1">
        <v>43375</v>
      </c>
      <c r="K4373" t="s">
        <v>1081</v>
      </c>
      <c r="L4373" t="s">
        <v>1082</v>
      </c>
      <c r="M4373" t="s">
        <v>1053</v>
      </c>
      <c r="N4373">
        <v>24</v>
      </c>
      <c r="O4373" s="1">
        <v>43375</v>
      </c>
      <c r="P4373" t="s">
        <v>41</v>
      </c>
      <c r="Q4373" t="s">
        <v>75</v>
      </c>
      <c r="R4373" t="str">
        <f>"7201000"</f>
        <v>7201000</v>
      </c>
      <c r="S4373" t="s">
        <v>1088</v>
      </c>
      <c r="T4373" t="s">
        <v>1081</v>
      </c>
      <c r="U4373" t="s">
        <v>1082</v>
      </c>
      <c r="V4373" t="s">
        <v>1053</v>
      </c>
      <c r="W4373" t="s">
        <v>44</v>
      </c>
      <c r="X4373" t="s">
        <v>45</v>
      </c>
      <c r="Y4373" s="1">
        <v>33549</v>
      </c>
      <c r="Z4373">
        <v>1</v>
      </c>
      <c r="AA4373" t="s">
        <v>1082</v>
      </c>
      <c r="AB4373" s="40" t="s">
        <v>1799</v>
      </c>
    </row>
    <row r="4374" spans="1:28" x14ac:dyDescent="0.25">
      <c r="A4374">
        <v>99914373</v>
      </c>
      <c r="B4374" t="s">
        <v>56</v>
      </c>
      <c r="C4374" t="s">
        <v>111</v>
      </c>
      <c r="D4374" t="s">
        <v>112</v>
      </c>
      <c r="G4374" t="s">
        <v>88</v>
      </c>
      <c r="H4374">
        <v>2</v>
      </c>
      <c r="K4374" t="s">
        <v>195</v>
      </c>
      <c r="L4374" t="s">
        <v>196</v>
      </c>
      <c r="M4374" t="s">
        <v>131</v>
      </c>
      <c r="N4374">
        <v>24</v>
      </c>
      <c r="P4374" t="s">
        <v>41</v>
      </c>
      <c r="Q4374" t="s">
        <v>75</v>
      </c>
      <c r="R4374" t="str">
        <f>"7521050"</f>
        <v>7521050</v>
      </c>
      <c r="S4374" t="s">
        <v>194</v>
      </c>
      <c r="T4374" t="s">
        <v>195</v>
      </c>
      <c r="U4374" t="s">
        <v>196</v>
      </c>
      <c r="V4374" t="s">
        <v>131</v>
      </c>
      <c r="W4374" t="s">
        <v>51</v>
      </c>
      <c r="X4374" t="s">
        <v>45</v>
      </c>
      <c r="Y4374" s="1">
        <v>33542</v>
      </c>
      <c r="Z4374">
        <v>1</v>
      </c>
      <c r="AA4374" t="s">
        <v>196</v>
      </c>
      <c r="AB4374" s="40" t="s">
        <v>1799</v>
      </c>
    </row>
    <row r="4375" spans="1:28" x14ac:dyDescent="0.25">
      <c r="A4375">
        <v>99914374</v>
      </c>
      <c r="B4375" t="s">
        <v>32</v>
      </c>
      <c r="C4375" t="s">
        <v>111</v>
      </c>
      <c r="D4375" t="s">
        <v>112</v>
      </c>
      <c r="G4375" t="s">
        <v>35</v>
      </c>
      <c r="H4375">
        <v>1</v>
      </c>
      <c r="I4375" t="s">
        <v>488</v>
      </c>
      <c r="J4375" s="1">
        <v>41883</v>
      </c>
      <c r="K4375" t="s">
        <v>195</v>
      </c>
      <c r="L4375" t="s">
        <v>196</v>
      </c>
      <c r="M4375" t="s">
        <v>131</v>
      </c>
      <c r="N4375">
        <v>24</v>
      </c>
      <c r="O4375" s="1">
        <v>41883</v>
      </c>
      <c r="P4375" t="s">
        <v>41</v>
      </c>
      <c r="Q4375" t="s">
        <v>75</v>
      </c>
      <c r="R4375" t="str">
        <f>"7521050"</f>
        <v>7521050</v>
      </c>
      <c r="S4375" t="s">
        <v>194</v>
      </c>
      <c r="T4375" t="s">
        <v>195</v>
      </c>
      <c r="U4375" t="s">
        <v>196</v>
      </c>
      <c r="V4375" t="s">
        <v>131</v>
      </c>
      <c r="W4375" t="s">
        <v>51</v>
      </c>
      <c r="X4375" t="s">
        <v>45</v>
      </c>
      <c r="Y4375" s="1">
        <v>33542</v>
      </c>
      <c r="Z4375">
        <v>1</v>
      </c>
      <c r="AA4375" t="s">
        <v>196</v>
      </c>
      <c r="AB4375" s="40" t="s">
        <v>1799</v>
      </c>
    </row>
    <row r="4376" spans="1:28" x14ac:dyDescent="0.25">
      <c r="A4376">
        <v>99914375</v>
      </c>
      <c r="B4376" t="s">
        <v>56</v>
      </c>
      <c r="C4376" t="s">
        <v>111</v>
      </c>
      <c r="D4376" t="s">
        <v>112</v>
      </c>
      <c r="G4376" t="s">
        <v>35</v>
      </c>
      <c r="H4376">
        <v>1</v>
      </c>
      <c r="I4376">
        <v>4954</v>
      </c>
      <c r="J4376" s="1">
        <v>43344</v>
      </c>
      <c r="K4376" t="s">
        <v>1695</v>
      </c>
      <c r="L4376" t="s">
        <v>1696</v>
      </c>
      <c r="M4376" t="s">
        <v>1592</v>
      </c>
      <c r="N4376">
        <v>24</v>
      </c>
      <c r="O4376" s="1">
        <v>43344</v>
      </c>
      <c r="P4376" t="s">
        <v>41</v>
      </c>
      <c r="Q4376" t="s">
        <v>75</v>
      </c>
      <c r="R4376" t="str">
        <f>"7361000"</f>
        <v>7361000</v>
      </c>
      <c r="S4376" t="s">
        <v>1698</v>
      </c>
      <c r="T4376" t="s">
        <v>1695</v>
      </c>
      <c r="U4376" t="s">
        <v>1696</v>
      </c>
      <c r="V4376" t="s">
        <v>1592</v>
      </c>
      <c r="W4376" t="s">
        <v>51</v>
      </c>
      <c r="X4376" t="s">
        <v>45</v>
      </c>
      <c r="Y4376" s="1">
        <v>33536</v>
      </c>
      <c r="Z4376">
        <v>1</v>
      </c>
      <c r="AA4376" t="s">
        <v>1696</v>
      </c>
      <c r="AB4376" s="40" t="s">
        <v>1799</v>
      </c>
    </row>
    <row r="4377" spans="1:28" x14ac:dyDescent="0.25">
      <c r="A4377">
        <v>99914376</v>
      </c>
      <c r="B4377" t="s">
        <v>32</v>
      </c>
      <c r="C4377" t="s">
        <v>111</v>
      </c>
      <c r="D4377" t="s">
        <v>112</v>
      </c>
      <c r="G4377" t="s">
        <v>35</v>
      </c>
      <c r="H4377">
        <v>1</v>
      </c>
      <c r="I4377">
        <v>10607</v>
      </c>
      <c r="J4377" s="1">
        <v>43344</v>
      </c>
      <c r="K4377" t="s">
        <v>354</v>
      </c>
      <c r="L4377" t="s">
        <v>355</v>
      </c>
      <c r="M4377" t="s">
        <v>131</v>
      </c>
      <c r="N4377">
        <v>24</v>
      </c>
      <c r="O4377" s="1">
        <v>43344</v>
      </c>
      <c r="P4377" t="s">
        <v>41</v>
      </c>
      <c r="Q4377" t="s">
        <v>75</v>
      </c>
      <c r="R4377" t="str">
        <f>"7054038"</f>
        <v>7054038</v>
      </c>
      <c r="S4377" t="s">
        <v>377</v>
      </c>
      <c r="T4377" t="s">
        <v>354</v>
      </c>
      <c r="U4377" t="s">
        <v>355</v>
      </c>
      <c r="V4377" t="s">
        <v>131</v>
      </c>
      <c r="W4377" t="s">
        <v>51</v>
      </c>
      <c r="X4377" t="s">
        <v>45</v>
      </c>
      <c r="Y4377" s="1">
        <v>33535</v>
      </c>
      <c r="Z4377">
        <v>1</v>
      </c>
      <c r="AA4377" t="s">
        <v>355</v>
      </c>
      <c r="AB4377" s="40" t="s">
        <v>1799</v>
      </c>
    </row>
    <row r="4378" spans="1:28" x14ac:dyDescent="0.25">
      <c r="A4378">
        <v>99914377</v>
      </c>
      <c r="B4378" t="s">
        <v>32</v>
      </c>
      <c r="C4378" t="s">
        <v>111</v>
      </c>
      <c r="D4378" t="s">
        <v>112</v>
      </c>
      <c r="G4378" t="s">
        <v>88</v>
      </c>
      <c r="H4378">
        <v>2</v>
      </c>
      <c r="K4378" t="s">
        <v>195</v>
      </c>
      <c r="L4378" t="s">
        <v>196</v>
      </c>
      <c r="M4378" t="s">
        <v>131</v>
      </c>
      <c r="N4378">
        <v>24</v>
      </c>
      <c r="P4378" t="s">
        <v>41</v>
      </c>
      <c r="Q4378" t="s">
        <v>75</v>
      </c>
      <c r="R4378" t="str">
        <f>"7521052"</f>
        <v>7521052</v>
      </c>
      <c r="S4378" t="s">
        <v>443</v>
      </c>
      <c r="T4378" t="s">
        <v>195</v>
      </c>
      <c r="U4378" t="s">
        <v>196</v>
      </c>
      <c r="V4378" t="s">
        <v>131</v>
      </c>
      <c r="W4378" t="s">
        <v>51</v>
      </c>
      <c r="X4378" t="s">
        <v>45</v>
      </c>
      <c r="Y4378" s="1">
        <v>33526</v>
      </c>
      <c r="Z4378">
        <v>1</v>
      </c>
      <c r="AA4378" t="s">
        <v>196</v>
      </c>
      <c r="AB4378" s="40" t="s">
        <v>1799</v>
      </c>
    </row>
    <row r="4379" spans="1:28" x14ac:dyDescent="0.25">
      <c r="A4379">
        <v>99914378</v>
      </c>
      <c r="B4379" t="s">
        <v>32</v>
      </c>
      <c r="C4379" t="s">
        <v>111</v>
      </c>
      <c r="D4379" t="s">
        <v>112</v>
      </c>
      <c r="G4379" t="s">
        <v>35</v>
      </c>
      <c r="H4379">
        <v>1</v>
      </c>
      <c r="K4379" t="s">
        <v>268</v>
      </c>
      <c r="L4379" t="s">
        <v>269</v>
      </c>
      <c r="M4379" t="s">
        <v>131</v>
      </c>
      <c r="N4379">
        <v>24</v>
      </c>
      <c r="P4379" t="s">
        <v>41</v>
      </c>
      <c r="Q4379" t="s">
        <v>75</v>
      </c>
      <c r="R4379" t="str">
        <f>"7052000"</f>
        <v>7052000</v>
      </c>
      <c r="S4379" t="s">
        <v>656</v>
      </c>
      <c r="T4379" t="s">
        <v>268</v>
      </c>
      <c r="U4379" t="s">
        <v>269</v>
      </c>
      <c r="V4379" t="s">
        <v>131</v>
      </c>
      <c r="W4379" t="s">
        <v>51</v>
      </c>
      <c r="X4379" t="s">
        <v>45</v>
      </c>
      <c r="Y4379" s="1">
        <v>33522</v>
      </c>
      <c r="Z4379">
        <v>1</v>
      </c>
      <c r="AA4379" t="s">
        <v>269</v>
      </c>
      <c r="AB4379" s="40" t="s">
        <v>1799</v>
      </c>
    </row>
    <row r="4380" spans="1:28" x14ac:dyDescent="0.25">
      <c r="A4380">
        <v>99914379</v>
      </c>
      <c r="B4380" t="s">
        <v>32</v>
      </c>
      <c r="C4380" t="s">
        <v>111</v>
      </c>
      <c r="D4380" t="s">
        <v>112</v>
      </c>
      <c r="G4380" t="s">
        <v>48</v>
      </c>
      <c r="H4380">
        <v>1</v>
      </c>
      <c r="I4380" t="s">
        <v>1508</v>
      </c>
      <c r="J4380" s="1">
        <v>42289</v>
      </c>
      <c r="K4380" t="s">
        <v>1502</v>
      </c>
      <c r="L4380" t="s">
        <v>1503</v>
      </c>
      <c r="M4380" t="s">
        <v>670</v>
      </c>
      <c r="N4380">
        <v>24</v>
      </c>
      <c r="O4380" s="1">
        <v>42289</v>
      </c>
      <c r="P4380" t="s">
        <v>41</v>
      </c>
      <c r="Q4380" t="s">
        <v>75</v>
      </c>
      <c r="R4380" t="str">
        <f>"7171002"</f>
        <v>7171002</v>
      </c>
      <c r="S4380" t="s">
        <v>1505</v>
      </c>
      <c r="T4380" t="s">
        <v>1502</v>
      </c>
      <c r="U4380" t="s">
        <v>1503</v>
      </c>
      <c r="V4380" t="s">
        <v>670</v>
      </c>
      <c r="W4380" t="s">
        <v>51</v>
      </c>
      <c r="X4380" t="s">
        <v>45</v>
      </c>
      <c r="Y4380" s="1">
        <v>33518</v>
      </c>
      <c r="Z4380">
        <v>1</v>
      </c>
      <c r="AA4380" t="s">
        <v>1503</v>
      </c>
      <c r="AB4380" s="40" t="s">
        <v>1799</v>
      </c>
    </row>
    <row r="4381" spans="1:28" x14ac:dyDescent="0.25">
      <c r="A4381">
        <v>99914380</v>
      </c>
      <c r="B4381" t="s">
        <v>32</v>
      </c>
      <c r="C4381" t="s">
        <v>61</v>
      </c>
      <c r="D4381" t="s">
        <v>62</v>
      </c>
      <c r="G4381" t="s">
        <v>35</v>
      </c>
      <c r="H4381">
        <v>1</v>
      </c>
      <c r="I4381">
        <v>1</v>
      </c>
      <c r="J4381" s="1">
        <v>43344</v>
      </c>
      <c r="K4381" t="s">
        <v>1581</v>
      </c>
      <c r="L4381" t="s">
        <v>1582</v>
      </c>
      <c r="M4381" t="s">
        <v>1548</v>
      </c>
      <c r="N4381">
        <v>24</v>
      </c>
      <c r="O4381" s="1">
        <v>43344</v>
      </c>
      <c r="P4381" t="s">
        <v>41</v>
      </c>
      <c r="Q4381" t="s">
        <v>75</v>
      </c>
      <c r="R4381" t="str">
        <f>"7291002"</f>
        <v>7291002</v>
      </c>
      <c r="S4381" t="s">
        <v>1583</v>
      </c>
      <c r="T4381" t="s">
        <v>1581</v>
      </c>
      <c r="U4381" t="s">
        <v>1582</v>
      </c>
      <c r="V4381" t="s">
        <v>1548</v>
      </c>
      <c r="W4381" t="s">
        <v>44</v>
      </c>
      <c r="X4381" t="s">
        <v>45</v>
      </c>
      <c r="Y4381" s="1">
        <v>33517</v>
      </c>
      <c r="Z4381">
        <v>1</v>
      </c>
      <c r="AA4381" t="s">
        <v>1582</v>
      </c>
      <c r="AB4381" s="40" t="s">
        <v>1799</v>
      </c>
    </row>
    <row r="4382" spans="1:28" x14ac:dyDescent="0.25">
      <c r="A4382">
        <v>99914381</v>
      </c>
      <c r="B4382" t="s">
        <v>32</v>
      </c>
      <c r="C4382" t="s">
        <v>111</v>
      </c>
      <c r="D4382" t="s">
        <v>112</v>
      </c>
      <c r="G4382" t="s">
        <v>35</v>
      </c>
      <c r="H4382">
        <v>1</v>
      </c>
      <c r="I4382" t="s">
        <v>718</v>
      </c>
      <c r="J4382" s="1">
        <v>43344</v>
      </c>
      <c r="K4382" t="s">
        <v>268</v>
      </c>
      <c r="L4382" t="s">
        <v>269</v>
      </c>
      <c r="M4382" t="s">
        <v>131</v>
      </c>
      <c r="N4382">
        <v>24</v>
      </c>
      <c r="O4382" s="1">
        <v>43344</v>
      </c>
      <c r="P4382" t="s">
        <v>41</v>
      </c>
      <c r="Q4382" t="s">
        <v>75</v>
      </c>
      <c r="R4382" t="str">
        <f>"7052002"</f>
        <v>7052002</v>
      </c>
      <c r="S4382" t="s">
        <v>590</v>
      </c>
      <c r="T4382" t="s">
        <v>268</v>
      </c>
      <c r="U4382" t="s">
        <v>269</v>
      </c>
      <c r="V4382" t="s">
        <v>131</v>
      </c>
      <c r="W4382" t="s">
        <v>44</v>
      </c>
      <c r="X4382" t="s">
        <v>45</v>
      </c>
      <c r="Y4382" s="1">
        <v>33516</v>
      </c>
      <c r="Z4382">
        <v>1</v>
      </c>
      <c r="AA4382" t="s">
        <v>269</v>
      </c>
      <c r="AB4382" s="40" t="s">
        <v>1799</v>
      </c>
    </row>
    <row r="4383" spans="1:28" x14ac:dyDescent="0.25">
      <c r="A4383">
        <v>99914382</v>
      </c>
      <c r="B4383" t="s">
        <v>32</v>
      </c>
      <c r="C4383" t="s">
        <v>111</v>
      </c>
      <c r="D4383" t="s">
        <v>112</v>
      </c>
      <c r="G4383" t="s">
        <v>35</v>
      </c>
      <c r="H4383">
        <v>1</v>
      </c>
      <c r="I4383">
        <v>946</v>
      </c>
      <c r="J4383" s="1">
        <v>43344</v>
      </c>
      <c r="K4383" t="s">
        <v>1198</v>
      </c>
      <c r="L4383" t="s">
        <v>1199</v>
      </c>
      <c r="M4383" t="s">
        <v>1130</v>
      </c>
      <c r="N4383">
        <v>24</v>
      </c>
      <c r="O4383" s="1">
        <v>43344</v>
      </c>
      <c r="P4383" t="s">
        <v>41</v>
      </c>
      <c r="Q4383" t="s">
        <v>75</v>
      </c>
      <c r="R4383" t="str">
        <f>"7311002"</f>
        <v>7311002</v>
      </c>
      <c r="S4383" t="s">
        <v>1203</v>
      </c>
      <c r="T4383" t="s">
        <v>1198</v>
      </c>
      <c r="U4383" t="s">
        <v>1199</v>
      </c>
      <c r="V4383" t="s">
        <v>1130</v>
      </c>
      <c r="W4383" t="s">
        <v>51</v>
      </c>
      <c r="X4383" t="s">
        <v>45</v>
      </c>
      <c r="Y4383" s="1">
        <v>33509</v>
      </c>
      <c r="Z4383">
        <v>1</v>
      </c>
      <c r="AA4383" t="s">
        <v>1199</v>
      </c>
      <c r="AB4383" s="40" t="s">
        <v>1799</v>
      </c>
    </row>
    <row r="4384" spans="1:28" x14ac:dyDescent="0.25">
      <c r="A4384">
        <v>99914383</v>
      </c>
      <c r="B4384" t="s">
        <v>32</v>
      </c>
      <c r="C4384" t="s">
        <v>111</v>
      </c>
      <c r="D4384" t="s">
        <v>112</v>
      </c>
      <c r="G4384" t="s">
        <v>35</v>
      </c>
      <c r="H4384">
        <v>1</v>
      </c>
      <c r="I4384">
        <v>5009</v>
      </c>
      <c r="J4384" s="1">
        <v>43344</v>
      </c>
      <c r="K4384" t="s">
        <v>1245</v>
      </c>
      <c r="L4384" t="s">
        <v>1246</v>
      </c>
      <c r="M4384" t="s">
        <v>1130</v>
      </c>
      <c r="N4384">
        <v>24</v>
      </c>
      <c r="O4384" s="1">
        <v>43344</v>
      </c>
      <c r="P4384" t="s">
        <v>41</v>
      </c>
      <c r="Q4384" t="s">
        <v>75</v>
      </c>
      <c r="R4384" t="str">
        <f>"7451000"</f>
        <v>7451000</v>
      </c>
      <c r="S4384" t="s">
        <v>1250</v>
      </c>
      <c r="T4384" t="s">
        <v>1245</v>
      </c>
      <c r="U4384" t="s">
        <v>1246</v>
      </c>
      <c r="V4384" t="s">
        <v>1130</v>
      </c>
      <c r="W4384" t="s">
        <v>51</v>
      </c>
      <c r="X4384" t="s">
        <v>45</v>
      </c>
      <c r="Y4384" s="1">
        <v>33473</v>
      </c>
      <c r="Z4384">
        <v>1</v>
      </c>
      <c r="AA4384" t="s">
        <v>1246</v>
      </c>
      <c r="AB4384" s="40" t="s">
        <v>1799</v>
      </c>
    </row>
    <row r="4385" spans="1:28" x14ac:dyDescent="0.25">
      <c r="A4385">
        <v>99914384</v>
      </c>
      <c r="B4385" t="s">
        <v>32</v>
      </c>
      <c r="C4385" t="s">
        <v>111</v>
      </c>
      <c r="D4385" t="s">
        <v>112</v>
      </c>
      <c r="G4385" t="s">
        <v>35</v>
      </c>
      <c r="H4385">
        <v>1</v>
      </c>
      <c r="I4385" s="1">
        <v>42979</v>
      </c>
      <c r="J4385" s="1">
        <v>43344</v>
      </c>
      <c r="K4385" t="s">
        <v>1341</v>
      </c>
      <c r="L4385" t="s">
        <v>1342</v>
      </c>
      <c r="M4385" t="s">
        <v>1270</v>
      </c>
      <c r="N4385">
        <v>24</v>
      </c>
      <c r="O4385" s="1">
        <v>43344</v>
      </c>
      <c r="P4385" t="s">
        <v>41</v>
      </c>
      <c r="Q4385" t="s">
        <v>75</v>
      </c>
      <c r="R4385" t="str">
        <f>"7191034"</f>
        <v>7191034</v>
      </c>
      <c r="S4385" t="s">
        <v>1343</v>
      </c>
      <c r="T4385" t="s">
        <v>1341</v>
      </c>
      <c r="U4385" t="s">
        <v>1342</v>
      </c>
      <c r="V4385" t="s">
        <v>1270</v>
      </c>
      <c r="W4385" t="s">
        <v>44</v>
      </c>
      <c r="X4385" t="s">
        <v>45</v>
      </c>
      <c r="Y4385" s="1">
        <v>33457</v>
      </c>
      <c r="Z4385">
        <v>1</v>
      </c>
      <c r="AA4385" t="s">
        <v>1342</v>
      </c>
      <c r="AB4385" s="40" t="s">
        <v>1799</v>
      </c>
    </row>
    <row r="4386" spans="1:28" x14ac:dyDescent="0.25">
      <c r="A4386">
        <v>99914385</v>
      </c>
      <c r="B4386" t="s">
        <v>32</v>
      </c>
      <c r="C4386" t="s">
        <v>111</v>
      </c>
      <c r="D4386" t="s">
        <v>112</v>
      </c>
      <c r="G4386" t="s">
        <v>35</v>
      </c>
      <c r="H4386">
        <v>3</v>
      </c>
      <c r="I4386" t="s">
        <v>599</v>
      </c>
      <c r="J4386" s="1">
        <v>43344</v>
      </c>
      <c r="K4386" t="s">
        <v>268</v>
      </c>
      <c r="L4386" t="s">
        <v>269</v>
      </c>
      <c r="M4386" t="s">
        <v>131</v>
      </c>
      <c r="N4386">
        <v>24</v>
      </c>
      <c r="O4386" s="1">
        <v>43344</v>
      </c>
      <c r="P4386" t="s">
        <v>41</v>
      </c>
      <c r="Q4386" t="s">
        <v>75</v>
      </c>
      <c r="R4386" t="str">
        <f>"7052018"</f>
        <v>7052018</v>
      </c>
      <c r="S4386" t="s">
        <v>577</v>
      </c>
      <c r="T4386" t="s">
        <v>268</v>
      </c>
      <c r="U4386" t="s">
        <v>269</v>
      </c>
      <c r="V4386" t="s">
        <v>131</v>
      </c>
      <c r="W4386" t="s">
        <v>44</v>
      </c>
      <c r="X4386" t="s">
        <v>45</v>
      </c>
      <c r="Y4386" s="1">
        <v>33456</v>
      </c>
      <c r="Z4386">
        <v>1</v>
      </c>
      <c r="AA4386" t="s">
        <v>269</v>
      </c>
      <c r="AB4386" s="40" t="s">
        <v>1799</v>
      </c>
    </row>
    <row r="4387" spans="1:28" x14ac:dyDescent="0.25">
      <c r="A4387">
        <v>99914386</v>
      </c>
      <c r="B4387" t="s">
        <v>32</v>
      </c>
      <c r="C4387" t="s">
        <v>46</v>
      </c>
      <c r="D4387" t="s">
        <v>47</v>
      </c>
      <c r="G4387" t="s">
        <v>35</v>
      </c>
      <c r="H4387">
        <v>1</v>
      </c>
      <c r="I4387">
        <v>0</v>
      </c>
      <c r="J4387" s="1">
        <v>43344</v>
      </c>
      <c r="K4387" t="s">
        <v>223</v>
      </c>
      <c r="L4387" t="s">
        <v>224</v>
      </c>
      <c r="M4387" t="s">
        <v>131</v>
      </c>
      <c r="N4387">
        <v>24</v>
      </c>
      <c r="O4387" s="1">
        <v>43344</v>
      </c>
      <c r="P4387" t="s">
        <v>41</v>
      </c>
      <c r="Q4387" t="s">
        <v>49</v>
      </c>
      <c r="R4387" t="str">
        <f>"0591901"</f>
        <v>0591901</v>
      </c>
      <c r="S4387" t="s">
        <v>230</v>
      </c>
      <c r="T4387" t="s">
        <v>223</v>
      </c>
      <c r="U4387" t="s">
        <v>224</v>
      </c>
      <c r="V4387" t="s">
        <v>131</v>
      </c>
      <c r="W4387" t="s">
        <v>44</v>
      </c>
      <c r="X4387" t="s">
        <v>45</v>
      </c>
      <c r="Y4387" s="1">
        <v>33451</v>
      </c>
      <c r="Z4387">
        <v>2</v>
      </c>
      <c r="AA4387" t="s">
        <v>224</v>
      </c>
      <c r="AB4387" s="40" t="s">
        <v>1799</v>
      </c>
    </row>
    <row r="4388" spans="1:28" x14ac:dyDescent="0.25">
      <c r="A4388">
        <v>99914387</v>
      </c>
      <c r="B4388" t="s">
        <v>56</v>
      </c>
      <c r="C4388" t="s">
        <v>111</v>
      </c>
      <c r="D4388" t="s">
        <v>112</v>
      </c>
      <c r="G4388" t="s">
        <v>88</v>
      </c>
      <c r="H4388">
        <v>1</v>
      </c>
      <c r="I4388" t="s">
        <v>1020</v>
      </c>
      <c r="J4388" s="1">
        <v>43344</v>
      </c>
      <c r="K4388" t="s">
        <v>963</v>
      </c>
      <c r="L4388" t="s">
        <v>964</v>
      </c>
      <c r="M4388" t="s">
        <v>938</v>
      </c>
      <c r="N4388">
        <v>24</v>
      </c>
      <c r="O4388" s="1">
        <v>43344</v>
      </c>
      <c r="P4388" t="s">
        <v>41</v>
      </c>
      <c r="Q4388" t="s">
        <v>75</v>
      </c>
      <c r="R4388" t="str">
        <f>"7061004"</f>
        <v>7061004</v>
      </c>
      <c r="S4388" t="s">
        <v>1002</v>
      </c>
      <c r="T4388" t="s">
        <v>963</v>
      </c>
      <c r="U4388" t="s">
        <v>964</v>
      </c>
      <c r="V4388" t="s">
        <v>938</v>
      </c>
      <c r="W4388" t="s">
        <v>51</v>
      </c>
      <c r="X4388" t="s">
        <v>45</v>
      </c>
      <c r="Y4388" s="1">
        <v>33450</v>
      </c>
      <c r="Z4388">
        <v>1</v>
      </c>
      <c r="AA4388" t="s">
        <v>964</v>
      </c>
      <c r="AB4388" s="40" t="s">
        <v>1799</v>
      </c>
    </row>
    <row r="4389" spans="1:28" x14ac:dyDescent="0.25">
      <c r="A4389">
        <v>99914388</v>
      </c>
      <c r="B4389" t="s">
        <v>32</v>
      </c>
      <c r="C4389" t="s">
        <v>111</v>
      </c>
      <c r="D4389" t="s">
        <v>112</v>
      </c>
      <c r="G4389" t="s">
        <v>35</v>
      </c>
      <c r="H4389">
        <v>3</v>
      </c>
      <c r="I4389" t="s">
        <v>645</v>
      </c>
      <c r="J4389" s="1">
        <v>43344</v>
      </c>
      <c r="K4389" t="s">
        <v>268</v>
      </c>
      <c r="L4389" t="s">
        <v>269</v>
      </c>
      <c r="M4389" t="s">
        <v>131</v>
      </c>
      <c r="N4389">
        <v>24</v>
      </c>
      <c r="O4389" s="1">
        <v>43344</v>
      </c>
      <c r="P4389" t="s">
        <v>41</v>
      </c>
      <c r="Q4389" t="s">
        <v>75</v>
      </c>
      <c r="R4389" t="str">
        <f>"7052006"</f>
        <v>7052006</v>
      </c>
      <c r="S4389" t="s">
        <v>575</v>
      </c>
      <c r="T4389" t="s">
        <v>268</v>
      </c>
      <c r="U4389" t="s">
        <v>269</v>
      </c>
      <c r="V4389" t="s">
        <v>131</v>
      </c>
      <c r="W4389" t="s">
        <v>44</v>
      </c>
      <c r="X4389" t="s">
        <v>45</v>
      </c>
      <c r="Y4389" s="1">
        <v>33427</v>
      </c>
      <c r="Z4389">
        <v>1</v>
      </c>
      <c r="AA4389" t="s">
        <v>269</v>
      </c>
      <c r="AB4389" s="40" t="s">
        <v>1799</v>
      </c>
    </row>
    <row r="4390" spans="1:28" x14ac:dyDescent="0.25">
      <c r="A4390">
        <v>99914389</v>
      </c>
      <c r="B4390" t="s">
        <v>32</v>
      </c>
      <c r="C4390" t="s">
        <v>111</v>
      </c>
      <c r="D4390" t="s">
        <v>112</v>
      </c>
      <c r="G4390" t="s">
        <v>35</v>
      </c>
      <c r="H4390">
        <v>1</v>
      </c>
      <c r="I4390" t="s">
        <v>1634</v>
      </c>
      <c r="J4390" s="1">
        <v>43344</v>
      </c>
      <c r="K4390" t="s">
        <v>1631</v>
      </c>
      <c r="L4390" t="s">
        <v>1632</v>
      </c>
      <c r="M4390" t="s">
        <v>1592</v>
      </c>
      <c r="N4390">
        <v>24</v>
      </c>
      <c r="O4390" s="1">
        <v>43344</v>
      </c>
      <c r="P4390" t="s">
        <v>1635</v>
      </c>
      <c r="Q4390" t="s">
        <v>1636</v>
      </c>
      <c r="R4390" t="str">
        <f>"9020029"</f>
        <v>9020029</v>
      </c>
      <c r="S4390" t="s">
        <v>1637</v>
      </c>
      <c r="T4390" t="s">
        <v>1631</v>
      </c>
      <c r="U4390" t="s">
        <v>1632</v>
      </c>
      <c r="V4390" t="s">
        <v>1592</v>
      </c>
      <c r="W4390" t="s">
        <v>44</v>
      </c>
      <c r="X4390" t="s">
        <v>45</v>
      </c>
      <c r="Y4390" s="1">
        <v>33400</v>
      </c>
      <c r="Z4390">
        <v>1</v>
      </c>
      <c r="AA4390" t="s">
        <v>1632</v>
      </c>
      <c r="AB4390" s="40" t="s">
        <v>1799</v>
      </c>
    </row>
    <row r="4391" spans="1:28" x14ac:dyDescent="0.25">
      <c r="A4391">
        <v>99914390</v>
      </c>
      <c r="B4391" t="s">
        <v>56</v>
      </c>
      <c r="C4391" t="s">
        <v>111</v>
      </c>
      <c r="D4391" t="s">
        <v>112</v>
      </c>
      <c r="G4391" t="s">
        <v>48</v>
      </c>
      <c r="H4391">
        <v>1</v>
      </c>
      <c r="K4391" t="s">
        <v>1502</v>
      </c>
      <c r="L4391" t="s">
        <v>1503</v>
      </c>
      <c r="M4391" t="s">
        <v>670</v>
      </c>
      <c r="N4391">
        <v>24</v>
      </c>
      <c r="P4391" t="s">
        <v>41</v>
      </c>
      <c r="Q4391" t="s">
        <v>75</v>
      </c>
      <c r="R4391" t="str">
        <f>"7171002"</f>
        <v>7171002</v>
      </c>
      <c r="S4391" t="s">
        <v>1505</v>
      </c>
      <c r="T4391" t="s">
        <v>1502</v>
      </c>
      <c r="U4391" t="s">
        <v>1503</v>
      </c>
      <c r="V4391" t="s">
        <v>670</v>
      </c>
      <c r="W4391" t="s">
        <v>51</v>
      </c>
      <c r="X4391" t="s">
        <v>45</v>
      </c>
      <c r="Y4391" s="1">
        <v>33392</v>
      </c>
      <c r="Z4391">
        <v>1</v>
      </c>
      <c r="AA4391" t="s">
        <v>1503</v>
      </c>
      <c r="AB4391" s="40" t="s">
        <v>1799</v>
      </c>
    </row>
    <row r="4392" spans="1:28" x14ac:dyDescent="0.25">
      <c r="A4392">
        <v>99914391</v>
      </c>
      <c r="B4392" t="s">
        <v>32</v>
      </c>
      <c r="C4392" t="s">
        <v>111</v>
      </c>
      <c r="D4392" t="s">
        <v>112</v>
      </c>
      <c r="G4392" t="s">
        <v>35</v>
      </c>
      <c r="H4392">
        <v>3</v>
      </c>
      <c r="K4392" t="s">
        <v>1619</v>
      </c>
      <c r="L4392" t="s">
        <v>1620</v>
      </c>
      <c r="M4392" t="s">
        <v>1592</v>
      </c>
      <c r="N4392">
        <v>24</v>
      </c>
      <c r="P4392" t="s">
        <v>41</v>
      </c>
      <c r="Q4392" t="s">
        <v>75</v>
      </c>
      <c r="R4392" t="str">
        <f>"7281000"</f>
        <v>7281000</v>
      </c>
      <c r="S4392" t="s">
        <v>1648</v>
      </c>
      <c r="T4392" t="s">
        <v>1619</v>
      </c>
      <c r="U4392" t="s">
        <v>1620</v>
      </c>
      <c r="V4392" t="s">
        <v>1592</v>
      </c>
      <c r="W4392" t="s">
        <v>51</v>
      </c>
      <c r="X4392" t="s">
        <v>45</v>
      </c>
      <c r="Y4392" s="1">
        <v>33378</v>
      </c>
      <c r="Z4392">
        <v>1</v>
      </c>
      <c r="AA4392" t="s">
        <v>1620</v>
      </c>
      <c r="AB4392" s="40" t="s">
        <v>1799</v>
      </c>
    </row>
    <row r="4393" spans="1:28" x14ac:dyDescent="0.25">
      <c r="A4393">
        <v>99914392</v>
      </c>
      <c r="B4393" t="s">
        <v>32</v>
      </c>
      <c r="C4393" t="s">
        <v>111</v>
      </c>
      <c r="D4393" t="s">
        <v>112</v>
      </c>
      <c r="G4393" t="s">
        <v>35</v>
      </c>
      <c r="H4393">
        <v>1</v>
      </c>
      <c r="I4393">
        <v>10612</v>
      </c>
      <c r="J4393" s="1">
        <v>43344</v>
      </c>
      <c r="K4393" t="s">
        <v>354</v>
      </c>
      <c r="L4393" t="s">
        <v>355</v>
      </c>
      <c r="M4393" t="s">
        <v>131</v>
      </c>
      <c r="N4393">
        <v>24</v>
      </c>
      <c r="O4393" s="1">
        <v>43344</v>
      </c>
      <c r="P4393" t="s">
        <v>41</v>
      </c>
      <c r="Q4393" t="s">
        <v>75</v>
      </c>
      <c r="R4393" t="str">
        <f>"7054042"</f>
        <v>7054042</v>
      </c>
      <c r="S4393" t="s">
        <v>776</v>
      </c>
      <c r="T4393" t="s">
        <v>354</v>
      </c>
      <c r="U4393" t="s">
        <v>355</v>
      </c>
      <c r="V4393" t="s">
        <v>131</v>
      </c>
      <c r="W4393" t="s">
        <v>51</v>
      </c>
      <c r="X4393" t="s">
        <v>45</v>
      </c>
      <c r="Y4393" s="1">
        <v>33368</v>
      </c>
      <c r="Z4393">
        <v>1</v>
      </c>
      <c r="AA4393" t="s">
        <v>355</v>
      </c>
      <c r="AB4393" s="40" t="s">
        <v>1799</v>
      </c>
    </row>
    <row r="4394" spans="1:28" x14ac:dyDescent="0.25">
      <c r="A4394">
        <v>99914393</v>
      </c>
      <c r="B4394" t="s">
        <v>32</v>
      </c>
      <c r="C4394" t="s">
        <v>111</v>
      </c>
      <c r="D4394" t="s">
        <v>112</v>
      </c>
      <c r="G4394" t="s">
        <v>35</v>
      </c>
      <c r="H4394">
        <v>1</v>
      </c>
      <c r="K4394" t="s">
        <v>431</v>
      </c>
      <c r="L4394" t="s">
        <v>196</v>
      </c>
      <c r="M4394" t="s">
        <v>131</v>
      </c>
      <c r="N4394">
        <v>24</v>
      </c>
      <c r="P4394" t="s">
        <v>41</v>
      </c>
      <c r="Q4394" t="s">
        <v>75</v>
      </c>
      <c r="R4394" t="str">
        <f>"7521032"</f>
        <v>7521032</v>
      </c>
      <c r="S4394" t="s">
        <v>462</v>
      </c>
      <c r="T4394" t="s">
        <v>431</v>
      </c>
      <c r="U4394" t="s">
        <v>196</v>
      </c>
      <c r="V4394" t="s">
        <v>131</v>
      </c>
      <c r="W4394" t="s">
        <v>51</v>
      </c>
      <c r="X4394" t="s">
        <v>45</v>
      </c>
      <c r="Y4394" s="1">
        <v>33361</v>
      </c>
      <c r="Z4394">
        <v>1</v>
      </c>
      <c r="AA4394" t="s">
        <v>196</v>
      </c>
      <c r="AB4394" s="40" t="s">
        <v>1799</v>
      </c>
    </row>
    <row r="4395" spans="1:28" x14ac:dyDescent="0.25">
      <c r="A4395">
        <v>99914394</v>
      </c>
      <c r="B4395" t="s">
        <v>56</v>
      </c>
      <c r="C4395" t="s">
        <v>111</v>
      </c>
      <c r="D4395" t="s">
        <v>112</v>
      </c>
      <c r="G4395" t="s">
        <v>35</v>
      </c>
      <c r="H4395">
        <v>1</v>
      </c>
      <c r="I4395">
        <v>1</v>
      </c>
      <c r="J4395" s="1">
        <v>43344</v>
      </c>
      <c r="K4395" t="s">
        <v>1198</v>
      </c>
      <c r="L4395" t="s">
        <v>1199</v>
      </c>
      <c r="M4395" t="s">
        <v>1130</v>
      </c>
      <c r="N4395">
        <v>24</v>
      </c>
      <c r="O4395" s="1">
        <v>43344</v>
      </c>
      <c r="P4395" t="s">
        <v>41</v>
      </c>
      <c r="Q4395" t="s">
        <v>75</v>
      </c>
      <c r="R4395" t="str">
        <f>"7311010"</f>
        <v>7311010</v>
      </c>
      <c r="S4395" t="s">
        <v>1202</v>
      </c>
      <c r="T4395" t="s">
        <v>1198</v>
      </c>
      <c r="U4395" t="s">
        <v>1199</v>
      </c>
      <c r="V4395" t="s">
        <v>1130</v>
      </c>
      <c r="W4395" t="s">
        <v>44</v>
      </c>
      <c r="X4395" t="s">
        <v>45</v>
      </c>
      <c r="Y4395" s="1">
        <v>33348</v>
      </c>
      <c r="Z4395">
        <v>1</v>
      </c>
      <c r="AA4395" t="s">
        <v>1199</v>
      </c>
      <c r="AB4395" s="40" t="s">
        <v>1799</v>
      </c>
    </row>
    <row r="4396" spans="1:28" x14ac:dyDescent="0.25">
      <c r="A4396">
        <v>99914395</v>
      </c>
      <c r="B4396" t="s">
        <v>32</v>
      </c>
      <c r="C4396" t="s">
        <v>111</v>
      </c>
      <c r="D4396" t="s">
        <v>112</v>
      </c>
      <c r="G4396" t="s">
        <v>35</v>
      </c>
      <c r="H4396">
        <v>1</v>
      </c>
      <c r="I4396" s="1">
        <v>43353</v>
      </c>
      <c r="J4396" s="1">
        <v>43353</v>
      </c>
      <c r="K4396" t="s">
        <v>1341</v>
      </c>
      <c r="L4396" t="s">
        <v>1342</v>
      </c>
      <c r="M4396" t="s">
        <v>1270</v>
      </c>
      <c r="N4396">
        <v>24</v>
      </c>
      <c r="O4396" s="1">
        <v>43353</v>
      </c>
      <c r="P4396" t="s">
        <v>41</v>
      </c>
      <c r="Q4396" t="s">
        <v>75</v>
      </c>
      <c r="R4396" t="str">
        <f>"7191002"</f>
        <v>7191002</v>
      </c>
      <c r="S4396" t="s">
        <v>1365</v>
      </c>
      <c r="T4396" t="s">
        <v>1341</v>
      </c>
      <c r="U4396" t="s">
        <v>1342</v>
      </c>
      <c r="V4396" t="s">
        <v>1270</v>
      </c>
      <c r="W4396" t="s">
        <v>55</v>
      </c>
      <c r="X4396" t="s">
        <v>45</v>
      </c>
      <c r="Y4396" s="1">
        <v>33344</v>
      </c>
      <c r="Z4396">
        <v>1</v>
      </c>
      <c r="AA4396" t="s">
        <v>1342</v>
      </c>
      <c r="AB4396" s="40" t="s">
        <v>1799</v>
      </c>
    </row>
    <row r="4397" spans="1:28" x14ac:dyDescent="0.25">
      <c r="A4397">
        <v>99914396</v>
      </c>
      <c r="B4397" t="s">
        <v>32</v>
      </c>
      <c r="C4397" t="s">
        <v>111</v>
      </c>
      <c r="D4397" t="s">
        <v>112</v>
      </c>
      <c r="G4397" t="s">
        <v>35</v>
      </c>
      <c r="H4397">
        <v>1</v>
      </c>
      <c r="I4397" t="s">
        <v>635</v>
      </c>
      <c r="J4397" s="1">
        <v>43344</v>
      </c>
      <c r="K4397" t="s">
        <v>268</v>
      </c>
      <c r="L4397" t="s">
        <v>269</v>
      </c>
      <c r="M4397" t="s">
        <v>131</v>
      </c>
      <c r="N4397">
        <v>24</v>
      </c>
      <c r="O4397" s="1">
        <v>43344</v>
      </c>
      <c r="P4397" t="s">
        <v>41</v>
      </c>
      <c r="Q4397" t="s">
        <v>75</v>
      </c>
      <c r="R4397" t="str">
        <f>"7052002"</f>
        <v>7052002</v>
      </c>
      <c r="S4397" t="s">
        <v>590</v>
      </c>
      <c r="T4397" t="s">
        <v>268</v>
      </c>
      <c r="U4397" t="s">
        <v>269</v>
      </c>
      <c r="V4397" t="s">
        <v>131</v>
      </c>
      <c r="W4397" t="s">
        <v>44</v>
      </c>
      <c r="X4397" t="s">
        <v>45</v>
      </c>
      <c r="Y4397" s="1">
        <v>33335</v>
      </c>
      <c r="Z4397">
        <v>1</v>
      </c>
      <c r="AA4397" t="s">
        <v>269</v>
      </c>
      <c r="AB4397" s="40" t="s">
        <v>1799</v>
      </c>
    </row>
    <row r="4398" spans="1:28" x14ac:dyDescent="0.25">
      <c r="A4398">
        <v>99914397</v>
      </c>
      <c r="B4398" t="s">
        <v>32</v>
      </c>
      <c r="C4398" t="s">
        <v>111</v>
      </c>
      <c r="D4398" t="s">
        <v>112</v>
      </c>
      <c r="G4398" t="s">
        <v>35</v>
      </c>
      <c r="H4398">
        <v>1</v>
      </c>
      <c r="I4398" t="s">
        <v>731</v>
      </c>
      <c r="J4398" s="1">
        <v>43344</v>
      </c>
      <c r="K4398" t="s">
        <v>268</v>
      </c>
      <c r="L4398" t="s">
        <v>269</v>
      </c>
      <c r="M4398" t="s">
        <v>131</v>
      </c>
      <c r="N4398">
        <v>24</v>
      </c>
      <c r="O4398" s="1">
        <v>43344</v>
      </c>
      <c r="P4398" t="s">
        <v>41</v>
      </c>
      <c r="Q4398" t="s">
        <v>75</v>
      </c>
      <c r="R4398" t="str">
        <f>"7052002"</f>
        <v>7052002</v>
      </c>
      <c r="S4398" t="s">
        <v>590</v>
      </c>
      <c r="T4398" t="s">
        <v>268</v>
      </c>
      <c r="U4398" t="s">
        <v>269</v>
      </c>
      <c r="V4398" t="s">
        <v>131</v>
      </c>
      <c r="W4398" t="s">
        <v>44</v>
      </c>
      <c r="X4398" t="s">
        <v>45</v>
      </c>
      <c r="Y4398" s="1">
        <v>33330</v>
      </c>
      <c r="Z4398">
        <v>1</v>
      </c>
      <c r="AA4398" t="s">
        <v>269</v>
      </c>
      <c r="AB4398" s="40" t="s">
        <v>1799</v>
      </c>
    </row>
    <row r="4399" spans="1:28" x14ac:dyDescent="0.25">
      <c r="A4399">
        <v>99914398</v>
      </c>
      <c r="B4399" t="s">
        <v>56</v>
      </c>
      <c r="C4399" t="s">
        <v>111</v>
      </c>
      <c r="D4399" t="s">
        <v>112</v>
      </c>
      <c r="G4399" t="s">
        <v>35</v>
      </c>
      <c r="H4399">
        <v>1</v>
      </c>
      <c r="I4399">
        <v>9067</v>
      </c>
      <c r="J4399" s="1">
        <v>43344</v>
      </c>
      <c r="K4399" t="s">
        <v>1198</v>
      </c>
      <c r="L4399" t="s">
        <v>1199</v>
      </c>
      <c r="M4399" t="s">
        <v>1130</v>
      </c>
      <c r="N4399">
        <v>24</v>
      </c>
      <c r="O4399" s="1">
        <v>43344</v>
      </c>
      <c r="P4399" t="s">
        <v>41</v>
      </c>
      <c r="Q4399" t="s">
        <v>75</v>
      </c>
      <c r="R4399" t="str">
        <f>"7311002"</f>
        <v>7311002</v>
      </c>
      <c r="S4399" t="s">
        <v>1203</v>
      </c>
      <c r="T4399" t="s">
        <v>1198</v>
      </c>
      <c r="U4399" t="s">
        <v>1199</v>
      </c>
      <c r="V4399" t="s">
        <v>1130</v>
      </c>
      <c r="W4399" t="s">
        <v>44</v>
      </c>
      <c r="X4399" t="s">
        <v>45</v>
      </c>
      <c r="Y4399" s="1">
        <v>33325</v>
      </c>
      <c r="Z4399">
        <v>1</v>
      </c>
      <c r="AA4399" t="s">
        <v>1199</v>
      </c>
      <c r="AB4399" s="40" t="s">
        <v>1799</v>
      </c>
    </row>
    <row r="4400" spans="1:28" x14ac:dyDescent="0.25">
      <c r="A4400">
        <v>99914399</v>
      </c>
      <c r="B4400" t="s">
        <v>32</v>
      </c>
      <c r="C4400" t="s">
        <v>111</v>
      </c>
      <c r="D4400" t="s">
        <v>112</v>
      </c>
      <c r="G4400" t="s">
        <v>35</v>
      </c>
      <c r="H4400">
        <v>1</v>
      </c>
      <c r="I4400" t="s">
        <v>286</v>
      </c>
      <c r="J4400" s="1">
        <v>43346</v>
      </c>
      <c r="K4400" t="s">
        <v>268</v>
      </c>
      <c r="L4400" t="s">
        <v>269</v>
      </c>
      <c r="M4400" t="s">
        <v>131</v>
      </c>
      <c r="N4400">
        <v>24</v>
      </c>
      <c r="O4400" s="1">
        <v>43346</v>
      </c>
      <c r="P4400" t="s">
        <v>41</v>
      </c>
      <c r="Q4400" t="s">
        <v>75</v>
      </c>
      <c r="R4400" t="str">
        <f>"7052012"</f>
        <v>7052012</v>
      </c>
      <c r="S4400" t="s">
        <v>270</v>
      </c>
      <c r="T4400" t="s">
        <v>268</v>
      </c>
      <c r="U4400" t="s">
        <v>269</v>
      </c>
      <c r="V4400" t="s">
        <v>131</v>
      </c>
      <c r="W4400" t="s">
        <v>55</v>
      </c>
      <c r="X4400" t="s">
        <v>45</v>
      </c>
      <c r="Y4400" s="1">
        <v>33320</v>
      </c>
      <c r="Z4400">
        <v>1</v>
      </c>
      <c r="AA4400" t="s">
        <v>269</v>
      </c>
      <c r="AB4400" s="40" t="s">
        <v>1799</v>
      </c>
    </row>
    <row r="4401" spans="1:28" x14ac:dyDescent="0.25">
      <c r="A4401">
        <v>99914400</v>
      </c>
      <c r="B4401" t="s">
        <v>32</v>
      </c>
      <c r="C4401" t="s">
        <v>111</v>
      </c>
      <c r="D4401" t="s">
        <v>112</v>
      </c>
      <c r="G4401" t="s">
        <v>35</v>
      </c>
      <c r="H4401">
        <v>1</v>
      </c>
      <c r="I4401">
        <v>7970</v>
      </c>
      <c r="J4401" s="1">
        <v>43389</v>
      </c>
      <c r="K4401" t="s">
        <v>1198</v>
      </c>
      <c r="L4401" t="s">
        <v>1199</v>
      </c>
      <c r="M4401" t="s">
        <v>1130</v>
      </c>
      <c r="N4401">
        <v>24</v>
      </c>
      <c r="O4401" s="1">
        <v>43389</v>
      </c>
      <c r="P4401" t="s">
        <v>41</v>
      </c>
      <c r="Q4401" t="s">
        <v>75</v>
      </c>
      <c r="R4401" t="str">
        <f>"7311002"</f>
        <v>7311002</v>
      </c>
      <c r="S4401" t="s">
        <v>1203</v>
      </c>
      <c r="T4401" t="s">
        <v>1198</v>
      </c>
      <c r="U4401" t="s">
        <v>1199</v>
      </c>
      <c r="V4401" t="s">
        <v>1130</v>
      </c>
      <c r="W4401" t="s">
        <v>55</v>
      </c>
      <c r="X4401" t="s">
        <v>45</v>
      </c>
      <c r="Y4401" s="1">
        <v>33320</v>
      </c>
      <c r="Z4401">
        <v>1</v>
      </c>
      <c r="AA4401" t="s">
        <v>1199</v>
      </c>
      <c r="AB4401" s="40" t="s">
        <v>1799</v>
      </c>
    </row>
    <row r="4402" spans="1:28" x14ac:dyDescent="0.25">
      <c r="A4402">
        <v>99914401</v>
      </c>
      <c r="B4402" t="s">
        <v>32</v>
      </c>
      <c r="C4402" t="s">
        <v>111</v>
      </c>
      <c r="D4402" t="s">
        <v>112</v>
      </c>
      <c r="G4402" t="s">
        <v>35</v>
      </c>
      <c r="H4402">
        <v>1</v>
      </c>
      <c r="I4402" t="s">
        <v>886</v>
      </c>
      <c r="J4402" s="1">
        <v>43433</v>
      </c>
      <c r="K4402" t="s">
        <v>877</v>
      </c>
      <c r="L4402" t="s">
        <v>878</v>
      </c>
      <c r="M4402" t="s">
        <v>131</v>
      </c>
      <c r="N4402">
        <v>24</v>
      </c>
      <c r="O4402" s="1">
        <v>43433</v>
      </c>
      <c r="P4402" t="s">
        <v>41</v>
      </c>
      <c r="Q4402" t="s">
        <v>75</v>
      </c>
      <c r="R4402" t="str">
        <f>"7541024"</f>
        <v>7541024</v>
      </c>
      <c r="S4402" t="s">
        <v>885</v>
      </c>
      <c r="T4402" t="s">
        <v>877</v>
      </c>
      <c r="U4402" t="s">
        <v>878</v>
      </c>
      <c r="V4402" t="s">
        <v>131</v>
      </c>
      <c r="W4402" t="s">
        <v>44</v>
      </c>
      <c r="X4402" t="s">
        <v>45</v>
      </c>
      <c r="Y4402" s="1">
        <v>33312</v>
      </c>
      <c r="Z4402">
        <v>1</v>
      </c>
      <c r="AA4402" t="s">
        <v>878</v>
      </c>
      <c r="AB4402" s="40" t="s">
        <v>1799</v>
      </c>
    </row>
    <row r="4403" spans="1:28" x14ac:dyDescent="0.25">
      <c r="A4403">
        <v>99914402</v>
      </c>
      <c r="B4403" t="s">
        <v>56</v>
      </c>
      <c r="C4403" t="s">
        <v>111</v>
      </c>
      <c r="D4403" t="s">
        <v>112</v>
      </c>
      <c r="G4403" t="s">
        <v>48</v>
      </c>
      <c r="H4403">
        <v>1</v>
      </c>
      <c r="K4403" t="s">
        <v>877</v>
      </c>
      <c r="L4403" t="s">
        <v>878</v>
      </c>
      <c r="M4403" t="s">
        <v>131</v>
      </c>
      <c r="N4403">
        <v>24</v>
      </c>
      <c r="P4403" t="s">
        <v>41</v>
      </c>
      <c r="Q4403" t="s">
        <v>75</v>
      </c>
      <c r="R4403" t="str">
        <f>"7541004"</f>
        <v>7541004</v>
      </c>
      <c r="S4403" t="s">
        <v>889</v>
      </c>
      <c r="T4403" t="s">
        <v>877</v>
      </c>
      <c r="U4403" t="s">
        <v>878</v>
      </c>
      <c r="V4403" t="s">
        <v>131</v>
      </c>
      <c r="W4403" t="s">
        <v>51</v>
      </c>
      <c r="X4403" t="s">
        <v>45</v>
      </c>
      <c r="Y4403" s="1">
        <v>33296</v>
      </c>
      <c r="Z4403">
        <v>1</v>
      </c>
      <c r="AA4403" t="s">
        <v>878</v>
      </c>
      <c r="AB4403" s="40" t="s">
        <v>1799</v>
      </c>
    </row>
    <row r="4404" spans="1:28" x14ac:dyDescent="0.25">
      <c r="A4404">
        <v>99914403</v>
      </c>
      <c r="B4404" t="s">
        <v>32</v>
      </c>
      <c r="C4404" t="s">
        <v>111</v>
      </c>
      <c r="D4404" t="s">
        <v>112</v>
      </c>
      <c r="G4404" t="s">
        <v>35</v>
      </c>
      <c r="H4404">
        <v>1</v>
      </c>
      <c r="I4404">
        <v>6072</v>
      </c>
      <c r="J4404" s="1">
        <v>43354</v>
      </c>
      <c r="K4404" t="s">
        <v>1695</v>
      </c>
      <c r="L4404" t="s">
        <v>1696</v>
      </c>
      <c r="M4404" t="s">
        <v>1592</v>
      </c>
      <c r="N4404">
        <v>24</v>
      </c>
      <c r="O4404" s="1">
        <v>43354</v>
      </c>
      <c r="P4404" t="s">
        <v>41</v>
      </c>
      <c r="Q4404" t="s">
        <v>75</v>
      </c>
      <c r="R4404" t="str">
        <f>"7361000"</f>
        <v>7361000</v>
      </c>
      <c r="S4404" t="s">
        <v>1698</v>
      </c>
      <c r="T4404" t="s">
        <v>1695</v>
      </c>
      <c r="U4404" t="s">
        <v>1696</v>
      </c>
      <c r="V4404" t="s">
        <v>1592</v>
      </c>
      <c r="W4404" t="s">
        <v>44</v>
      </c>
      <c r="X4404" t="s">
        <v>45</v>
      </c>
      <c r="Y4404" s="1">
        <v>33277</v>
      </c>
      <c r="Z4404">
        <v>1</v>
      </c>
      <c r="AA4404" t="s">
        <v>1696</v>
      </c>
      <c r="AB4404" s="40" t="s">
        <v>1799</v>
      </c>
    </row>
    <row r="4405" spans="1:28" x14ac:dyDescent="0.25">
      <c r="A4405">
        <v>99914404</v>
      </c>
      <c r="B4405" t="s">
        <v>32</v>
      </c>
      <c r="C4405" t="s">
        <v>111</v>
      </c>
      <c r="D4405" t="s">
        <v>112</v>
      </c>
      <c r="G4405" t="s">
        <v>35</v>
      </c>
      <c r="H4405">
        <v>1</v>
      </c>
      <c r="I4405" t="s">
        <v>699</v>
      </c>
      <c r="J4405" s="1">
        <v>43344</v>
      </c>
      <c r="K4405" t="s">
        <v>268</v>
      </c>
      <c r="L4405" t="s">
        <v>269</v>
      </c>
      <c r="M4405" t="s">
        <v>131</v>
      </c>
      <c r="N4405">
        <v>24</v>
      </c>
      <c r="O4405" s="1">
        <v>43344</v>
      </c>
      <c r="P4405" t="s">
        <v>41</v>
      </c>
      <c r="Q4405" t="s">
        <v>75</v>
      </c>
      <c r="R4405" t="str">
        <f>"7052020"</f>
        <v>7052020</v>
      </c>
      <c r="S4405" t="s">
        <v>267</v>
      </c>
      <c r="T4405" t="s">
        <v>268</v>
      </c>
      <c r="U4405" t="s">
        <v>269</v>
      </c>
      <c r="V4405" t="s">
        <v>131</v>
      </c>
      <c r="W4405" t="s">
        <v>51</v>
      </c>
      <c r="X4405" t="s">
        <v>45</v>
      </c>
      <c r="Y4405" s="1">
        <v>33276</v>
      </c>
      <c r="Z4405">
        <v>1</v>
      </c>
      <c r="AA4405" t="s">
        <v>269</v>
      </c>
      <c r="AB4405" s="40" t="s">
        <v>1799</v>
      </c>
    </row>
    <row r="4406" spans="1:28" x14ac:dyDescent="0.25">
      <c r="A4406">
        <v>99914405</v>
      </c>
      <c r="B4406" t="s">
        <v>32</v>
      </c>
      <c r="C4406" t="s">
        <v>111</v>
      </c>
      <c r="D4406" t="s">
        <v>112</v>
      </c>
      <c r="G4406" t="s">
        <v>35</v>
      </c>
      <c r="H4406">
        <v>1</v>
      </c>
      <c r="I4406" t="s">
        <v>647</v>
      </c>
      <c r="J4406" s="1">
        <v>43344</v>
      </c>
      <c r="K4406" t="s">
        <v>268</v>
      </c>
      <c r="L4406" t="s">
        <v>269</v>
      </c>
      <c r="M4406" t="s">
        <v>131</v>
      </c>
      <c r="N4406">
        <v>24</v>
      </c>
      <c r="O4406" s="1">
        <v>43344</v>
      </c>
      <c r="P4406" t="s">
        <v>41</v>
      </c>
      <c r="Q4406" t="s">
        <v>75</v>
      </c>
      <c r="R4406" t="str">
        <f>"7052020"</f>
        <v>7052020</v>
      </c>
      <c r="S4406" t="s">
        <v>267</v>
      </c>
      <c r="T4406" t="s">
        <v>268</v>
      </c>
      <c r="U4406" t="s">
        <v>269</v>
      </c>
      <c r="V4406" t="s">
        <v>131</v>
      </c>
      <c r="W4406" t="s">
        <v>55</v>
      </c>
      <c r="X4406" t="s">
        <v>45</v>
      </c>
      <c r="Y4406" s="1">
        <v>33273</v>
      </c>
      <c r="Z4406">
        <v>1</v>
      </c>
      <c r="AA4406" t="s">
        <v>269</v>
      </c>
      <c r="AB4406" s="40" t="s">
        <v>1799</v>
      </c>
    </row>
    <row r="4407" spans="1:28" x14ac:dyDescent="0.25">
      <c r="A4407">
        <v>99914406</v>
      </c>
      <c r="B4407" t="s">
        <v>32</v>
      </c>
      <c r="C4407" t="s">
        <v>111</v>
      </c>
      <c r="D4407" t="s">
        <v>112</v>
      </c>
      <c r="G4407" t="s">
        <v>35</v>
      </c>
      <c r="H4407">
        <v>1</v>
      </c>
      <c r="I4407">
        <v>9406</v>
      </c>
      <c r="J4407" s="1">
        <v>43344</v>
      </c>
      <c r="K4407" t="s">
        <v>1198</v>
      </c>
      <c r="L4407" t="s">
        <v>1199</v>
      </c>
      <c r="M4407" t="s">
        <v>1130</v>
      </c>
      <c r="N4407">
        <v>24</v>
      </c>
      <c r="O4407" s="1">
        <v>43344</v>
      </c>
      <c r="P4407" t="s">
        <v>41</v>
      </c>
      <c r="Q4407" t="s">
        <v>75</v>
      </c>
      <c r="R4407" t="str">
        <f>"7311002"</f>
        <v>7311002</v>
      </c>
      <c r="S4407" t="s">
        <v>1203</v>
      </c>
      <c r="T4407" t="s">
        <v>1198</v>
      </c>
      <c r="U4407" t="s">
        <v>1199</v>
      </c>
      <c r="V4407" t="s">
        <v>1130</v>
      </c>
      <c r="W4407" t="s">
        <v>44</v>
      </c>
      <c r="X4407" t="s">
        <v>45</v>
      </c>
      <c r="Y4407" s="1">
        <v>33268</v>
      </c>
      <c r="Z4407">
        <v>1</v>
      </c>
      <c r="AA4407" t="s">
        <v>1199</v>
      </c>
      <c r="AB4407" s="40" t="s">
        <v>1799</v>
      </c>
    </row>
    <row r="4408" spans="1:28" x14ac:dyDescent="0.25">
      <c r="A4408">
        <v>99914407</v>
      </c>
      <c r="B4408" t="s">
        <v>32</v>
      </c>
      <c r="C4408" t="s">
        <v>111</v>
      </c>
      <c r="D4408" t="s">
        <v>112</v>
      </c>
      <c r="G4408" t="s">
        <v>48</v>
      </c>
      <c r="H4408">
        <v>1</v>
      </c>
      <c r="K4408" t="s">
        <v>154</v>
      </c>
      <c r="L4408" t="s">
        <v>155</v>
      </c>
      <c r="M4408" t="s">
        <v>131</v>
      </c>
      <c r="N4408">
        <v>24</v>
      </c>
      <c r="P4408" t="s">
        <v>41</v>
      </c>
      <c r="Q4408" t="s">
        <v>75</v>
      </c>
      <c r="R4408" t="str">
        <f>"7051022"</f>
        <v>7051022</v>
      </c>
      <c r="S4408" t="s">
        <v>153</v>
      </c>
      <c r="T4408" t="s">
        <v>154</v>
      </c>
      <c r="U4408" t="s">
        <v>155</v>
      </c>
      <c r="V4408" t="s">
        <v>131</v>
      </c>
      <c r="W4408" t="s">
        <v>51</v>
      </c>
      <c r="X4408" t="s">
        <v>45</v>
      </c>
      <c r="Y4408" s="1">
        <v>33266</v>
      </c>
      <c r="Z4408">
        <v>1</v>
      </c>
      <c r="AA4408" t="s">
        <v>155</v>
      </c>
      <c r="AB4408" s="40" t="s">
        <v>1799</v>
      </c>
    </row>
    <row r="4409" spans="1:28" x14ac:dyDescent="0.25">
      <c r="A4409">
        <v>99914408</v>
      </c>
      <c r="B4409" t="s">
        <v>32</v>
      </c>
      <c r="C4409" t="s">
        <v>111</v>
      </c>
      <c r="D4409" t="s">
        <v>112</v>
      </c>
      <c r="G4409" t="s">
        <v>35</v>
      </c>
      <c r="H4409">
        <v>1</v>
      </c>
      <c r="I4409">
        <v>10606</v>
      </c>
      <c r="J4409" s="1">
        <v>43344</v>
      </c>
      <c r="K4409" t="s">
        <v>354</v>
      </c>
      <c r="L4409" t="s">
        <v>355</v>
      </c>
      <c r="M4409" t="s">
        <v>131</v>
      </c>
      <c r="N4409">
        <v>24</v>
      </c>
      <c r="O4409" s="1">
        <v>43344</v>
      </c>
      <c r="P4409" t="s">
        <v>41</v>
      </c>
      <c r="Q4409" t="s">
        <v>75</v>
      </c>
      <c r="R4409" t="str">
        <f>"7054038"</f>
        <v>7054038</v>
      </c>
      <c r="S4409" t="s">
        <v>377</v>
      </c>
      <c r="T4409" t="s">
        <v>354</v>
      </c>
      <c r="U4409" t="s">
        <v>355</v>
      </c>
      <c r="V4409" t="s">
        <v>131</v>
      </c>
      <c r="W4409" t="s">
        <v>51</v>
      </c>
      <c r="X4409" t="s">
        <v>45</v>
      </c>
      <c r="Y4409" s="1">
        <v>33262</v>
      </c>
      <c r="Z4409">
        <v>1</v>
      </c>
      <c r="AA4409" t="s">
        <v>355</v>
      </c>
      <c r="AB4409" s="40" t="s">
        <v>1799</v>
      </c>
    </row>
    <row r="4410" spans="1:28" x14ac:dyDescent="0.25">
      <c r="A4410">
        <v>99914409</v>
      </c>
      <c r="B4410" t="s">
        <v>32</v>
      </c>
      <c r="C4410" t="s">
        <v>111</v>
      </c>
      <c r="D4410" t="s">
        <v>112</v>
      </c>
      <c r="G4410" t="s">
        <v>48</v>
      </c>
      <c r="H4410">
        <v>1</v>
      </c>
      <c r="I4410" t="s">
        <v>114</v>
      </c>
      <c r="J4410" s="1">
        <v>42419</v>
      </c>
      <c r="K4410" t="s">
        <v>268</v>
      </c>
      <c r="L4410" t="s">
        <v>269</v>
      </c>
      <c r="M4410" t="s">
        <v>131</v>
      </c>
      <c r="N4410">
        <v>24</v>
      </c>
      <c r="O4410" s="1">
        <v>42422</v>
      </c>
      <c r="P4410" t="s">
        <v>41</v>
      </c>
      <c r="Q4410" t="s">
        <v>75</v>
      </c>
      <c r="R4410" t="str">
        <f>"7052042"</f>
        <v>7052042</v>
      </c>
      <c r="S4410" t="s">
        <v>583</v>
      </c>
      <c r="T4410" t="s">
        <v>268</v>
      </c>
      <c r="U4410" t="s">
        <v>269</v>
      </c>
      <c r="V4410" t="s">
        <v>131</v>
      </c>
      <c r="W4410" t="s">
        <v>51</v>
      </c>
      <c r="X4410" t="s">
        <v>45</v>
      </c>
      <c r="Y4410" s="1">
        <v>33239</v>
      </c>
      <c r="Z4410">
        <v>1</v>
      </c>
      <c r="AA4410" t="s">
        <v>269</v>
      </c>
      <c r="AB4410" s="40" t="s">
        <v>1799</v>
      </c>
    </row>
    <row r="4411" spans="1:28" x14ac:dyDescent="0.25">
      <c r="A4411">
        <v>99914410</v>
      </c>
      <c r="B4411" t="s">
        <v>32</v>
      </c>
      <c r="C4411" t="s">
        <v>111</v>
      </c>
      <c r="D4411" t="s">
        <v>112</v>
      </c>
      <c r="G4411" t="s">
        <v>35</v>
      </c>
      <c r="H4411">
        <v>1</v>
      </c>
      <c r="I4411" t="s">
        <v>286</v>
      </c>
      <c r="J4411" s="1">
        <v>43346</v>
      </c>
      <c r="K4411" t="s">
        <v>268</v>
      </c>
      <c r="L4411" t="s">
        <v>269</v>
      </c>
      <c r="M4411" t="s">
        <v>131</v>
      </c>
      <c r="N4411">
        <v>24</v>
      </c>
      <c r="P4411" t="s">
        <v>41</v>
      </c>
      <c r="Q4411" t="s">
        <v>75</v>
      </c>
      <c r="R4411" t="str">
        <f>"7052012"</f>
        <v>7052012</v>
      </c>
      <c r="S4411" t="s">
        <v>270</v>
      </c>
      <c r="T4411" t="s">
        <v>268</v>
      </c>
      <c r="U4411" t="s">
        <v>269</v>
      </c>
      <c r="V4411" t="s">
        <v>131</v>
      </c>
      <c r="W4411" t="s">
        <v>55</v>
      </c>
      <c r="X4411" t="s">
        <v>45</v>
      </c>
      <c r="Y4411" s="1">
        <v>33239</v>
      </c>
      <c r="Z4411">
        <v>1</v>
      </c>
      <c r="AA4411" t="s">
        <v>269</v>
      </c>
      <c r="AB4411" s="40" t="s">
        <v>1799</v>
      </c>
    </row>
    <row r="4412" spans="1:28" x14ac:dyDescent="0.25">
      <c r="A4412">
        <v>99914411</v>
      </c>
      <c r="B4412" t="s">
        <v>32</v>
      </c>
      <c r="C4412" t="s">
        <v>111</v>
      </c>
      <c r="D4412" t="s">
        <v>112</v>
      </c>
      <c r="G4412" t="s">
        <v>48</v>
      </c>
      <c r="H4412">
        <v>1</v>
      </c>
      <c r="I4412" t="s">
        <v>911</v>
      </c>
      <c r="J4412" s="1">
        <v>42436</v>
      </c>
      <c r="K4412" t="s">
        <v>877</v>
      </c>
      <c r="L4412" t="s">
        <v>878</v>
      </c>
      <c r="M4412" t="s">
        <v>131</v>
      </c>
      <c r="N4412">
        <v>24</v>
      </c>
      <c r="O4412" s="1">
        <v>42436</v>
      </c>
      <c r="P4412" t="s">
        <v>41</v>
      </c>
      <c r="Q4412" t="s">
        <v>75</v>
      </c>
      <c r="R4412" t="str">
        <f>"7541026"</f>
        <v>7541026</v>
      </c>
      <c r="S4412" t="s">
        <v>894</v>
      </c>
      <c r="T4412" t="s">
        <v>877</v>
      </c>
      <c r="U4412" t="s">
        <v>878</v>
      </c>
      <c r="V4412" t="s">
        <v>131</v>
      </c>
      <c r="W4412" t="s">
        <v>51</v>
      </c>
      <c r="X4412" t="s">
        <v>45</v>
      </c>
      <c r="Y4412" s="1">
        <v>33239</v>
      </c>
      <c r="Z4412">
        <v>1</v>
      </c>
      <c r="AA4412" t="s">
        <v>878</v>
      </c>
      <c r="AB4412" s="40" t="s">
        <v>1799</v>
      </c>
    </row>
    <row r="4413" spans="1:28" x14ac:dyDescent="0.25">
      <c r="A4413">
        <v>99914412</v>
      </c>
      <c r="B4413" t="s">
        <v>32</v>
      </c>
      <c r="C4413" t="s">
        <v>141</v>
      </c>
      <c r="D4413" t="s">
        <v>142</v>
      </c>
      <c r="G4413" t="s">
        <v>48</v>
      </c>
      <c r="H4413">
        <v>1</v>
      </c>
      <c r="K4413" t="s">
        <v>345</v>
      </c>
      <c r="L4413" t="s">
        <v>346</v>
      </c>
      <c r="M4413" t="s">
        <v>131</v>
      </c>
      <c r="N4413">
        <v>24</v>
      </c>
      <c r="P4413" t="s">
        <v>41</v>
      </c>
      <c r="Q4413" t="s">
        <v>49</v>
      </c>
      <c r="R4413" t="str">
        <f>"0560004"</f>
        <v>0560004</v>
      </c>
      <c r="S4413" t="s">
        <v>371</v>
      </c>
      <c r="T4413" t="s">
        <v>345</v>
      </c>
      <c r="U4413" t="s">
        <v>346</v>
      </c>
      <c r="V4413" t="s">
        <v>131</v>
      </c>
      <c r="W4413" t="s">
        <v>51</v>
      </c>
      <c r="X4413" t="s">
        <v>45</v>
      </c>
      <c r="Y4413" s="1">
        <v>33229</v>
      </c>
      <c r="Z4413">
        <v>2</v>
      </c>
      <c r="AA4413" t="s">
        <v>346</v>
      </c>
      <c r="AB4413" s="40" t="s">
        <v>1799</v>
      </c>
    </row>
    <row r="4414" spans="1:28" x14ac:dyDescent="0.25">
      <c r="A4414">
        <v>99914413</v>
      </c>
      <c r="B4414" t="s">
        <v>32</v>
      </c>
      <c r="C4414" t="s">
        <v>111</v>
      </c>
      <c r="D4414" t="s">
        <v>112</v>
      </c>
      <c r="G4414" t="s">
        <v>35</v>
      </c>
      <c r="H4414">
        <v>1</v>
      </c>
      <c r="K4414" t="s">
        <v>1081</v>
      </c>
      <c r="L4414" t="s">
        <v>1082</v>
      </c>
      <c r="M4414" t="s">
        <v>1053</v>
      </c>
      <c r="N4414">
        <v>24</v>
      </c>
      <c r="P4414" t="s">
        <v>41</v>
      </c>
      <c r="Q4414" t="s">
        <v>75</v>
      </c>
      <c r="R4414" t="str">
        <f>"7201008"</f>
        <v>7201008</v>
      </c>
      <c r="S4414" t="s">
        <v>1084</v>
      </c>
      <c r="T4414" t="s">
        <v>1081</v>
      </c>
      <c r="U4414" t="s">
        <v>1082</v>
      </c>
      <c r="V4414" t="s">
        <v>1053</v>
      </c>
      <c r="W4414" t="s">
        <v>51</v>
      </c>
      <c r="X4414" t="s">
        <v>45</v>
      </c>
      <c r="Y4414" s="1">
        <v>33226</v>
      </c>
      <c r="Z4414">
        <v>1</v>
      </c>
      <c r="AA4414" t="s">
        <v>1082</v>
      </c>
      <c r="AB4414" s="40" t="s">
        <v>1799</v>
      </c>
    </row>
    <row r="4415" spans="1:28" x14ac:dyDescent="0.25">
      <c r="A4415">
        <v>99914414</v>
      </c>
      <c r="B4415" t="s">
        <v>32</v>
      </c>
      <c r="C4415" t="s">
        <v>111</v>
      </c>
      <c r="D4415" t="s">
        <v>112</v>
      </c>
      <c r="G4415" t="s">
        <v>48</v>
      </c>
      <c r="H4415">
        <v>1</v>
      </c>
      <c r="K4415" t="s">
        <v>154</v>
      </c>
      <c r="L4415" t="s">
        <v>155</v>
      </c>
      <c r="M4415" t="s">
        <v>131</v>
      </c>
      <c r="N4415">
        <v>24</v>
      </c>
      <c r="P4415" t="s">
        <v>41</v>
      </c>
      <c r="Q4415" t="s">
        <v>75</v>
      </c>
      <c r="R4415" t="str">
        <f>"7051022"</f>
        <v>7051022</v>
      </c>
      <c r="S4415" t="s">
        <v>153</v>
      </c>
      <c r="T4415" t="s">
        <v>154</v>
      </c>
      <c r="U4415" t="s">
        <v>155</v>
      </c>
      <c r="V4415" t="s">
        <v>131</v>
      </c>
      <c r="W4415" t="s">
        <v>51</v>
      </c>
      <c r="X4415" t="s">
        <v>45</v>
      </c>
      <c r="Y4415" s="1">
        <v>33225</v>
      </c>
      <c r="Z4415">
        <v>1</v>
      </c>
      <c r="AA4415" t="s">
        <v>155</v>
      </c>
      <c r="AB4415" s="40" t="s">
        <v>1799</v>
      </c>
    </row>
    <row r="4416" spans="1:28" x14ac:dyDescent="0.25">
      <c r="A4416">
        <v>99914415</v>
      </c>
      <c r="B4416" t="s">
        <v>32</v>
      </c>
      <c r="C4416" t="s">
        <v>111</v>
      </c>
      <c r="D4416" t="s">
        <v>112</v>
      </c>
      <c r="G4416" t="s">
        <v>48</v>
      </c>
      <c r="H4416">
        <v>1</v>
      </c>
      <c r="K4416" t="s">
        <v>667</v>
      </c>
      <c r="L4416" t="s">
        <v>669</v>
      </c>
      <c r="M4416" t="s">
        <v>670</v>
      </c>
      <c r="N4416">
        <v>24</v>
      </c>
      <c r="P4416" t="s">
        <v>41</v>
      </c>
      <c r="Q4416" t="s">
        <v>75</v>
      </c>
      <c r="R4416" t="str">
        <f>"7501004"</f>
        <v>7501004</v>
      </c>
      <c r="S4416" t="s">
        <v>1500</v>
      </c>
      <c r="T4416" t="s">
        <v>667</v>
      </c>
      <c r="U4416" t="s">
        <v>669</v>
      </c>
      <c r="V4416" t="s">
        <v>670</v>
      </c>
      <c r="W4416" t="s">
        <v>51</v>
      </c>
      <c r="X4416" t="s">
        <v>45</v>
      </c>
      <c r="Y4416" s="1">
        <v>33221</v>
      </c>
      <c r="Z4416">
        <v>1</v>
      </c>
      <c r="AA4416" t="s">
        <v>669</v>
      </c>
      <c r="AB4416" s="40" t="s">
        <v>1799</v>
      </c>
    </row>
    <row r="4417" spans="1:28" x14ac:dyDescent="0.25">
      <c r="A4417">
        <v>99914416</v>
      </c>
      <c r="B4417" t="s">
        <v>56</v>
      </c>
      <c r="C4417" t="s">
        <v>111</v>
      </c>
      <c r="D4417" t="s">
        <v>112</v>
      </c>
      <c r="G4417" t="s">
        <v>35</v>
      </c>
      <c r="H4417">
        <v>1</v>
      </c>
      <c r="I4417" t="s">
        <v>1080</v>
      </c>
      <c r="J4417" s="1">
        <v>43344</v>
      </c>
      <c r="K4417" t="s">
        <v>1081</v>
      </c>
      <c r="L4417" t="s">
        <v>1082</v>
      </c>
      <c r="M4417" t="s">
        <v>1053</v>
      </c>
      <c r="N4417">
        <v>24</v>
      </c>
      <c r="O4417" s="1">
        <v>43344</v>
      </c>
      <c r="P4417" t="s">
        <v>41</v>
      </c>
      <c r="Q4417" t="s">
        <v>75</v>
      </c>
      <c r="R4417" t="str">
        <f>"7201006"</f>
        <v>7201006</v>
      </c>
      <c r="S4417" t="s">
        <v>1083</v>
      </c>
      <c r="T4417" t="s">
        <v>1081</v>
      </c>
      <c r="U4417" t="s">
        <v>1082</v>
      </c>
      <c r="V4417" t="s">
        <v>1053</v>
      </c>
      <c r="W4417" t="s">
        <v>51</v>
      </c>
      <c r="X4417" t="s">
        <v>45</v>
      </c>
      <c r="Y4417" s="1">
        <v>33220</v>
      </c>
      <c r="Z4417">
        <v>1</v>
      </c>
      <c r="AA4417" t="s">
        <v>1082</v>
      </c>
      <c r="AB4417" s="40" t="s">
        <v>1799</v>
      </c>
    </row>
    <row r="4418" spans="1:28" x14ac:dyDescent="0.25">
      <c r="A4418">
        <v>99914417</v>
      </c>
      <c r="B4418" t="s">
        <v>32</v>
      </c>
      <c r="C4418" t="s">
        <v>111</v>
      </c>
      <c r="D4418" t="s">
        <v>112</v>
      </c>
      <c r="G4418" t="s">
        <v>35</v>
      </c>
      <c r="H4418">
        <v>1</v>
      </c>
      <c r="I4418" s="1">
        <v>42636</v>
      </c>
      <c r="J4418" s="1">
        <v>43344</v>
      </c>
      <c r="K4418" t="s">
        <v>1341</v>
      </c>
      <c r="L4418" t="s">
        <v>1342</v>
      </c>
      <c r="M4418" t="s">
        <v>1270</v>
      </c>
      <c r="N4418">
        <v>24</v>
      </c>
      <c r="O4418" s="1">
        <v>43344</v>
      </c>
      <c r="P4418" t="s">
        <v>41</v>
      </c>
      <c r="Q4418" t="s">
        <v>75</v>
      </c>
      <c r="R4418" t="str">
        <f>"7191004"</f>
        <v>7191004</v>
      </c>
      <c r="S4418" t="s">
        <v>1344</v>
      </c>
      <c r="T4418" t="s">
        <v>1341</v>
      </c>
      <c r="U4418" t="s">
        <v>1342</v>
      </c>
      <c r="V4418" t="s">
        <v>1270</v>
      </c>
      <c r="W4418" t="s">
        <v>51</v>
      </c>
      <c r="X4418" t="s">
        <v>45</v>
      </c>
      <c r="Y4418" s="1">
        <v>33218</v>
      </c>
      <c r="Z4418">
        <v>1</v>
      </c>
      <c r="AA4418" t="s">
        <v>1342</v>
      </c>
      <c r="AB4418" s="40" t="s">
        <v>1799</v>
      </c>
    </row>
    <row r="4419" spans="1:28" x14ac:dyDescent="0.25">
      <c r="A4419">
        <v>99914418</v>
      </c>
      <c r="B4419" t="s">
        <v>32</v>
      </c>
      <c r="C4419" t="s">
        <v>111</v>
      </c>
      <c r="D4419" t="s">
        <v>112</v>
      </c>
      <c r="G4419" t="s">
        <v>35</v>
      </c>
      <c r="H4419">
        <v>1</v>
      </c>
      <c r="K4419" t="s">
        <v>354</v>
      </c>
      <c r="L4419" t="s">
        <v>355</v>
      </c>
      <c r="M4419" t="s">
        <v>131</v>
      </c>
      <c r="N4419">
        <v>24</v>
      </c>
      <c r="P4419" t="s">
        <v>41</v>
      </c>
      <c r="Q4419" t="s">
        <v>75</v>
      </c>
      <c r="R4419" t="str">
        <f>"7054038"</f>
        <v>7054038</v>
      </c>
      <c r="S4419" t="s">
        <v>377</v>
      </c>
      <c r="T4419" t="s">
        <v>354</v>
      </c>
      <c r="U4419" t="s">
        <v>355</v>
      </c>
      <c r="V4419" t="s">
        <v>131</v>
      </c>
      <c r="W4419" t="s">
        <v>44</v>
      </c>
      <c r="X4419" t="s">
        <v>45</v>
      </c>
      <c r="Y4419" s="1">
        <v>33213</v>
      </c>
      <c r="Z4419">
        <v>1</v>
      </c>
      <c r="AA4419" t="s">
        <v>355</v>
      </c>
      <c r="AB4419" s="40" t="s">
        <v>1799</v>
      </c>
    </row>
    <row r="4420" spans="1:28" x14ac:dyDescent="0.25">
      <c r="A4420">
        <v>99914419</v>
      </c>
      <c r="B4420" t="s">
        <v>32</v>
      </c>
      <c r="C4420" t="s">
        <v>111</v>
      </c>
      <c r="D4420" t="s">
        <v>112</v>
      </c>
      <c r="G4420" t="s">
        <v>35</v>
      </c>
      <c r="H4420">
        <v>1</v>
      </c>
      <c r="I4420">
        <v>10614</v>
      </c>
      <c r="J4420" s="1">
        <v>43344</v>
      </c>
      <c r="K4420" t="s">
        <v>354</v>
      </c>
      <c r="L4420" t="s">
        <v>355</v>
      </c>
      <c r="M4420" t="s">
        <v>131</v>
      </c>
      <c r="N4420">
        <v>24</v>
      </c>
      <c r="O4420" s="1">
        <v>43344</v>
      </c>
      <c r="P4420" t="s">
        <v>41</v>
      </c>
      <c r="Q4420" t="s">
        <v>75</v>
      </c>
      <c r="R4420" t="str">
        <f>"7054000"</f>
        <v>7054000</v>
      </c>
      <c r="S4420" t="s">
        <v>786</v>
      </c>
      <c r="T4420" t="s">
        <v>354</v>
      </c>
      <c r="U4420" t="s">
        <v>355</v>
      </c>
      <c r="V4420" t="s">
        <v>131</v>
      </c>
      <c r="W4420" t="s">
        <v>44</v>
      </c>
      <c r="X4420" t="s">
        <v>45</v>
      </c>
      <c r="Y4420" s="1">
        <v>33208</v>
      </c>
      <c r="Z4420">
        <v>1</v>
      </c>
      <c r="AA4420" t="s">
        <v>355</v>
      </c>
      <c r="AB4420" s="40" t="s">
        <v>1799</v>
      </c>
    </row>
    <row r="4421" spans="1:28" x14ac:dyDescent="0.25">
      <c r="A4421">
        <v>99914420</v>
      </c>
      <c r="B4421" t="s">
        <v>32</v>
      </c>
      <c r="C4421" t="s">
        <v>111</v>
      </c>
      <c r="D4421" t="s">
        <v>112</v>
      </c>
      <c r="G4421" t="s">
        <v>48</v>
      </c>
      <c r="H4421">
        <v>1</v>
      </c>
      <c r="K4421" t="s">
        <v>667</v>
      </c>
      <c r="L4421" t="s">
        <v>669</v>
      </c>
      <c r="M4421" t="s">
        <v>670</v>
      </c>
      <c r="N4421">
        <v>24</v>
      </c>
      <c r="P4421" t="s">
        <v>41</v>
      </c>
      <c r="Q4421" t="s">
        <v>75</v>
      </c>
      <c r="R4421" t="str">
        <f>"7501004"</f>
        <v>7501004</v>
      </c>
      <c r="S4421" t="s">
        <v>1500</v>
      </c>
      <c r="T4421" t="s">
        <v>667</v>
      </c>
      <c r="U4421" t="s">
        <v>669</v>
      </c>
      <c r="V4421" t="s">
        <v>670</v>
      </c>
      <c r="W4421" t="s">
        <v>51</v>
      </c>
      <c r="X4421" t="s">
        <v>45</v>
      </c>
      <c r="Y4421" s="1">
        <v>33186</v>
      </c>
      <c r="Z4421">
        <v>1</v>
      </c>
      <c r="AA4421" t="s">
        <v>669</v>
      </c>
      <c r="AB4421" s="40" t="s">
        <v>1799</v>
      </c>
    </row>
    <row r="4422" spans="1:28" x14ac:dyDescent="0.25">
      <c r="A4422">
        <v>99914421</v>
      </c>
      <c r="B4422" t="s">
        <v>32</v>
      </c>
      <c r="C4422" t="s">
        <v>111</v>
      </c>
      <c r="D4422" t="s">
        <v>112</v>
      </c>
      <c r="G4422" t="s">
        <v>88</v>
      </c>
      <c r="H4422">
        <v>2</v>
      </c>
      <c r="J4422" s="1">
        <v>41883</v>
      </c>
      <c r="K4422" t="s">
        <v>195</v>
      </c>
      <c r="L4422" t="s">
        <v>196</v>
      </c>
      <c r="M4422" t="s">
        <v>131</v>
      </c>
      <c r="N4422">
        <v>24</v>
      </c>
      <c r="O4422" s="1">
        <v>41883</v>
      </c>
      <c r="P4422" t="s">
        <v>41</v>
      </c>
      <c r="Q4422" t="s">
        <v>75</v>
      </c>
      <c r="R4422" t="str">
        <f>"7521052"</f>
        <v>7521052</v>
      </c>
      <c r="S4422" t="s">
        <v>443</v>
      </c>
      <c r="T4422" t="s">
        <v>195</v>
      </c>
      <c r="U4422" t="s">
        <v>196</v>
      </c>
      <c r="V4422" t="s">
        <v>131</v>
      </c>
      <c r="W4422" t="s">
        <v>51</v>
      </c>
      <c r="X4422" t="s">
        <v>45</v>
      </c>
      <c r="Y4422" s="1">
        <v>33173</v>
      </c>
      <c r="Z4422">
        <v>1</v>
      </c>
      <c r="AA4422" t="s">
        <v>196</v>
      </c>
      <c r="AB4422" s="40" t="s">
        <v>1799</v>
      </c>
    </row>
    <row r="4423" spans="1:28" x14ac:dyDescent="0.25">
      <c r="A4423">
        <v>99914422</v>
      </c>
      <c r="B4423" t="s">
        <v>32</v>
      </c>
      <c r="C4423" t="s">
        <v>111</v>
      </c>
      <c r="D4423" t="s">
        <v>112</v>
      </c>
      <c r="G4423" t="s">
        <v>35</v>
      </c>
      <c r="H4423">
        <v>1</v>
      </c>
      <c r="K4423" t="s">
        <v>354</v>
      </c>
      <c r="L4423" t="s">
        <v>355</v>
      </c>
      <c r="M4423" t="s">
        <v>131</v>
      </c>
      <c r="N4423">
        <v>24</v>
      </c>
      <c r="P4423" t="s">
        <v>41</v>
      </c>
      <c r="Q4423" t="s">
        <v>75</v>
      </c>
      <c r="R4423" t="str">
        <f>"7054038"</f>
        <v>7054038</v>
      </c>
      <c r="S4423" t="s">
        <v>377</v>
      </c>
      <c r="T4423" t="s">
        <v>354</v>
      </c>
      <c r="U4423" t="s">
        <v>355</v>
      </c>
      <c r="V4423" t="s">
        <v>131</v>
      </c>
      <c r="W4423" t="s">
        <v>51</v>
      </c>
      <c r="X4423" t="s">
        <v>45</v>
      </c>
      <c r="Y4423" s="1">
        <v>33169</v>
      </c>
      <c r="Z4423">
        <v>1</v>
      </c>
      <c r="AA4423" t="s">
        <v>355</v>
      </c>
      <c r="AB4423" s="40" t="s">
        <v>1799</v>
      </c>
    </row>
    <row r="4424" spans="1:28" x14ac:dyDescent="0.25">
      <c r="A4424">
        <v>99914423</v>
      </c>
      <c r="B4424" t="s">
        <v>32</v>
      </c>
      <c r="C4424" t="s">
        <v>111</v>
      </c>
      <c r="D4424" t="s">
        <v>112</v>
      </c>
      <c r="G4424" t="s">
        <v>35</v>
      </c>
      <c r="H4424">
        <v>1</v>
      </c>
      <c r="I4424">
        <v>11596</v>
      </c>
      <c r="J4424" s="1">
        <v>43344</v>
      </c>
      <c r="K4424" t="s">
        <v>354</v>
      </c>
      <c r="L4424" t="s">
        <v>355</v>
      </c>
      <c r="M4424" t="s">
        <v>131</v>
      </c>
      <c r="N4424">
        <v>24</v>
      </c>
      <c r="O4424" s="1">
        <v>43344</v>
      </c>
      <c r="P4424" t="s">
        <v>41</v>
      </c>
      <c r="Q4424" t="s">
        <v>75</v>
      </c>
      <c r="R4424" t="str">
        <f>"7054018"</f>
        <v>7054018</v>
      </c>
      <c r="S4424" t="s">
        <v>773</v>
      </c>
      <c r="T4424" t="s">
        <v>354</v>
      </c>
      <c r="U4424" t="s">
        <v>355</v>
      </c>
      <c r="V4424" t="s">
        <v>131</v>
      </c>
      <c r="W4424" t="s">
        <v>44</v>
      </c>
      <c r="X4424" t="s">
        <v>45</v>
      </c>
      <c r="Y4424" s="1">
        <v>33165</v>
      </c>
      <c r="Z4424">
        <v>1</v>
      </c>
      <c r="AA4424" t="s">
        <v>355</v>
      </c>
      <c r="AB4424" s="40" t="s">
        <v>1799</v>
      </c>
    </row>
    <row r="4425" spans="1:28" x14ac:dyDescent="0.25">
      <c r="A4425">
        <v>99914424</v>
      </c>
      <c r="B4425" t="s">
        <v>32</v>
      </c>
      <c r="C4425" t="s">
        <v>111</v>
      </c>
      <c r="D4425" t="s">
        <v>112</v>
      </c>
      <c r="G4425" t="s">
        <v>35</v>
      </c>
      <c r="H4425">
        <v>1</v>
      </c>
      <c r="I4425">
        <v>12914</v>
      </c>
      <c r="J4425" s="1">
        <v>43344</v>
      </c>
      <c r="K4425" t="s">
        <v>354</v>
      </c>
      <c r="L4425" t="s">
        <v>355</v>
      </c>
      <c r="M4425" t="s">
        <v>131</v>
      </c>
      <c r="N4425">
        <v>24</v>
      </c>
      <c r="O4425" s="1">
        <v>43344</v>
      </c>
      <c r="P4425" t="s">
        <v>41</v>
      </c>
      <c r="Q4425" t="s">
        <v>75</v>
      </c>
      <c r="R4425" t="str">
        <f>"7054022"</f>
        <v>7054022</v>
      </c>
      <c r="S4425" t="s">
        <v>770</v>
      </c>
      <c r="T4425" t="s">
        <v>354</v>
      </c>
      <c r="U4425" t="s">
        <v>355</v>
      </c>
      <c r="V4425" t="s">
        <v>131</v>
      </c>
      <c r="W4425" t="s">
        <v>55</v>
      </c>
      <c r="X4425" t="s">
        <v>45</v>
      </c>
      <c r="Y4425" s="1">
        <v>33164</v>
      </c>
      <c r="Z4425">
        <v>1</v>
      </c>
      <c r="AA4425" t="s">
        <v>355</v>
      </c>
      <c r="AB4425" s="40" t="s">
        <v>1799</v>
      </c>
    </row>
    <row r="4426" spans="1:28" x14ac:dyDescent="0.25">
      <c r="A4426">
        <v>99914425</v>
      </c>
      <c r="B4426" t="s">
        <v>32</v>
      </c>
      <c r="C4426" t="s">
        <v>111</v>
      </c>
      <c r="D4426" t="s">
        <v>112</v>
      </c>
      <c r="G4426" t="s">
        <v>35</v>
      </c>
      <c r="H4426">
        <v>1</v>
      </c>
      <c r="K4426" t="s">
        <v>154</v>
      </c>
      <c r="L4426" t="s">
        <v>155</v>
      </c>
      <c r="M4426" t="s">
        <v>131</v>
      </c>
      <c r="N4426">
        <v>24</v>
      </c>
      <c r="P4426" t="s">
        <v>41</v>
      </c>
      <c r="Q4426" t="s">
        <v>75</v>
      </c>
      <c r="R4426" t="str">
        <f>"7051032"</f>
        <v>7051032</v>
      </c>
      <c r="S4426" t="s">
        <v>400</v>
      </c>
      <c r="T4426" t="s">
        <v>154</v>
      </c>
      <c r="U4426" t="s">
        <v>155</v>
      </c>
      <c r="V4426" t="s">
        <v>131</v>
      </c>
      <c r="W4426" t="s">
        <v>51</v>
      </c>
      <c r="X4426" t="s">
        <v>45</v>
      </c>
      <c r="Y4426" s="1">
        <v>33160</v>
      </c>
      <c r="Z4426">
        <v>1</v>
      </c>
      <c r="AA4426" t="s">
        <v>155</v>
      </c>
      <c r="AB4426" s="40" t="s">
        <v>1799</v>
      </c>
    </row>
    <row r="4427" spans="1:28" x14ac:dyDescent="0.25">
      <c r="A4427">
        <v>99914426</v>
      </c>
      <c r="B4427" t="s">
        <v>32</v>
      </c>
      <c r="C4427" t="s">
        <v>111</v>
      </c>
      <c r="D4427" t="s">
        <v>112</v>
      </c>
      <c r="G4427" t="s">
        <v>35</v>
      </c>
      <c r="H4427">
        <v>1</v>
      </c>
      <c r="I4427">
        <v>1077</v>
      </c>
      <c r="J4427" s="1">
        <v>43344</v>
      </c>
      <c r="K4427" t="s">
        <v>1198</v>
      </c>
      <c r="L4427" t="s">
        <v>1199</v>
      </c>
      <c r="M4427" t="s">
        <v>1130</v>
      </c>
      <c r="N4427">
        <v>24</v>
      </c>
      <c r="O4427" s="1">
        <v>43344</v>
      </c>
      <c r="P4427" t="s">
        <v>41</v>
      </c>
      <c r="Q4427" t="s">
        <v>75</v>
      </c>
      <c r="R4427" t="str">
        <f>"7311000"</f>
        <v>7311000</v>
      </c>
      <c r="S4427" t="s">
        <v>1208</v>
      </c>
      <c r="T4427" t="s">
        <v>1198</v>
      </c>
      <c r="U4427" t="s">
        <v>1199</v>
      </c>
      <c r="V4427" t="s">
        <v>1130</v>
      </c>
      <c r="W4427" t="s">
        <v>51</v>
      </c>
      <c r="X4427" t="s">
        <v>45</v>
      </c>
      <c r="Y4427" s="1">
        <v>33155</v>
      </c>
      <c r="Z4427">
        <v>1</v>
      </c>
      <c r="AA4427" t="s">
        <v>1199</v>
      </c>
      <c r="AB4427" s="40" t="s">
        <v>1799</v>
      </c>
    </row>
    <row r="4428" spans="1:28" x14ac:dyDescent="0.25">
      <c r="A4428">
        <v>99914427</v>
      </c>
      <c r="B4428" t="s">
        <v>32</v>
      </c>
      <c r="C4428" t="s">
        <v>111</v>
      </c>
      <c r="D4428" t="s">
        <v>112</v>
      </c>
      <c r="G4428" t="s">
        <v>35</v>
      </c>
      <c r="H4428">
        <v>1</v>
      </c>
      <c r="I4428" t="s">
        <v>664</v>
      </c>
      <c r="J4428" s="1">
        <v>43344</v>
      </c>
      <c r="K4428" t="s">
        <v>354</v>
      </c>
      <c r="L4428" t="s">
        <v>355</v>
      </c>
      <c r="M4428" t="s">
        <v>131</v>
      </c>
      <c r="N4428">
        <v>24</v>
      </c>
      <c r="O4428" s="1">
        <v>43344</v>
      </c>
      <c r="P4428" t="s">
        <v>41</v>
      </c>
      <c r="Q4428" t="s">
        <v>75</v>
      </c>
      <c r="R4428" t="str">
        <f>"7054000"</f>
        <v>7054000</v>
      </c>
      <c r="S4428" t="s">
        <v>786</v>
      </c>
      <c r="T4428" t="s">
        <v>354</v>
      </c>
      <c r="U4428" t="s">
        <v>355</v>
      </c>
      <c r="V4428" t="s">
        <v>131</v>
      </c>
      <c r="W4428" t="s">
        <v>51</v>
      </c>
      <c r="X4428" t="s">
        <v>45</v>
      </c>
      <c r="Y4428" s="1">
        <v>33154</v>
      </c>
      <c r="Z4428">
        <v>1</v>
      </c>
      <c r="AA4428" t="s">
        <v>355</v>
      </c>
      <c r="AB4428" s="40" t="s">
        <v>1799</v>
      </c>
    </row>
    <row r="4429" spans="1:28" x14ac:dyDescent="0.25">
      <c r="A4429">
        <v>99914428</v>
      </c>
      <c r="B4429" t="s">
        <v>32</v>
      </c>
      <c r="C4429" t="s">
        <v>111</v>
      </c>
      <c r="D4429" t="s">
        <v>112</v>
      </c>
      <c r="G4429" t="s">
        <v>35</v>
      </c>
      <c r="H4429">
        <v>1</v>
      </c>
      <c r="I4429">
        <v>5009</v>
      </c>
      <c r="J4429" s="1">
        <v>43344</v>
      </c>
      <c r="K4429" t="s">
        <v>1245</v>
      </c>
      <c r="L4429" t="s">
        <v>1246</v>
      </c>
      <c r="M4429" t="s">
        <v>1130</v>
      </c>
      <c r="N4429">
        <v>24</v>
      </c>
      <c r="O4429" s="1">
        <v>43344</v>
      </c>
      <c r="P4429" t="s">
        <v>41</v>
      </c>
      <c r="Q4429" t="s">
        <v>75</v>
      </c>
      <c r="R4429" t="str">
        <f>"7451000"</f>
        <v>7451000</v>
      </c>
      <c r="S4429" t="s">
        <v>1250</v>
      </c>
      <c r="T4429" t="s">
        <v>1245</v>
      </c>
      <c r="U4429" t="s">
        <v>1246</v>
      </c>
      <c r="V4429" t="s">
        <v>1130</v>
      </c>
      <c r="W4429" t="s">
        <v>51</v>
      </c>
      <c r="X4429" t="s">
        <v>45</v>
      </c>
      <c r="Y4429" s="1">
        <v>33154</v>
      </c>
      <c r="Z4429">
        <v>1</v>
      </c>
      <c r="AA4429" t="s">
        <v>1246</v>
      </c>
      <c r="AB4429" s="40" t="s">
        <v>1799</v>
      </c>
    </row>
    <row r="4430" spans="1:28" x14ac:dyDescent="0.25">
      <c r="A4430">
        <v>99914429</v>
      </c>
      <c r="B4430" t="s">
        <v>32</v>
      </c>
      <c r="C4430" t="s">
        <v>111</v>
      </c>
      <c r="D4430" t="s">
        <v>112</v>
      </c>
      <c r="G4430" t="s">
        <v>48</v>
      </c>
      <c r="H4430">
        <v>1</v>
      </c>
      <c r="K4430" t="s">
        <v>268</v>
      </c>
      <c r="L4430" t="s">
        <v>269</v>
      </c>
      <c r="M4430" t="s">
        <v>131</v>
      </c>
      <c r="N4430">
        <v>24</v>
      </c>
      <c r="P4430" t="s">
        <v>41</v>
      </c>
      <c r="Q4430" t="s">
        <v>75</v>
      </c>
      <c r="R4430" t="str">
        <f>"7052042"</f>
        <v>7052042</v>
      </c>
      <c r="S4430" t="s">
        <v>583</v>
      </c>
      <c r="T4430" t="s">
        <v>268</v>
      </c>
      <c r="U4430" t="s">
        <v>269</v>
      </c>
      <c r="V4430" t="s">
        <v>131</v>
      </c>
      <c r="W4430" t="s">
        <v>51</v>
      </c>
      <c r="X4430" t="s">
        <v>45</v>
      </c>
      <c r="Y4430" s="1">
        <v>33148</v>
      </c>
      <c r="Z4430">
        <v>1</v>
      </c>
      <c r="AA4430" t="s">
        <v>269</v>
      </c>
      <c r="AB4430" s="40" t="s">
        <v>1799</v>
      </c>
    </row>
    <row r="4431" spans="1:28" x14ac:dyDescent="0.25">
      <c r="A4431">
        <v>99914430</v>
      </c>
      <c r="B4431" t="s">
        <v>32</v>
      </c>
      <c r="C4431" t="s">
        <v>111</v>
      </c>
      <c r="D4431" t="s">
        <v>112</v>
      </c>
      <c r="G4431" t="s">
        <v>35</v>
      </c>
      <c r="H4431">
        <v>1</v>
      </c>
      <c r="K4431" t="s">
        <v>268</v>
      </c>
      <c r="L4431" t="s">
        <v>269</v>
      </c>
      <c r="M4431" t="s">
        <v>131</v>
      </c>
      <c r="N4431">
        <v>24</v>
      </c>
      <c r="P4431" t="s">
        <v>41</v>
      </c>
      <c r="Q4431" t="s">
        <v>75</v>
      </c>
      <c r="R4431" t="str">
        <f>"7052000"</f>
        <v>7052000</v>
      </c>
      <c r="S4431" t="s">
        <v>656</v>
      </c>
      <c r="T4431" t="s">
        <v>268</v>
      </c>
      <c r="U4431" t="s">
        <v>269</v>
      </c>
      <c r="V4431" t="s">
        <v>131</v>
      </c>
      <c r="W4431" t="s">
        <v>51</v>
      </c>
      <c r="X4431" t="s">
        <v>45</v>
      </c>
      <c r="Y4431" s="1">
        <v>33148</v>
      </c>
      <c r="Z4431">
        <v>1</v>
      </c>
      <c r="AA4431" t="s">
        <v>269</v>
      </c>
      <c r="AB4431" s="40" t="s">
        <v>1799</v>
      </c>
    </row>
    <row r="4432" spans="1:28" x14ac:dyDescent="0.25">
      <c r="A4432">
        <v>99914431</v>
      </c>
      <c r="B4432" t="s">
        <v>56</v>
      </c>
      <c r="C4432" t="s">
        <v>111</v>
      </c>
      <c r="D4432" t="s">
        <v>112</v>
      </c>
      <c r="G4432" t="s">
        <v>48</v>
      </c>
      <c r="H4432">
        <v>1</v>
      </c>
      <c r="K4432" t="s">
        <v>154</v>
      </c>
      <c r="L4432" t="s">
        <v>155</v>
      </c>
      <c r="M4432" t="s">
        <v>131</v>
      </c>
      <c r="N4432">
        <v>24</v>
      </c>
      <c r="P4432" t="s">
        <v>41</v>
      </c>
      <c r="Q4432" t="s">
        <v>75</v>
      </c>
      <c r="R4432" t="str">
        <f>"7051022"</f>
        <v>7051022</v>
      </c>
      <c r="S4432" t="s">
        <v>153</v>
      </c>
      <c r="T4432" t="s">
        <v>154</v>
      </c>
      <c r="U4432" t="s">
        <v>155</v>
      </c>
      <c r="V4432" t="s">
        <v>131</v>
      </c>
      <c r="W4432" t="s">
        <v>51</v>
      </c>
      <c r="X4432" t="s">
        <v>45</v>
      </c>
      <c r="Y4432" s="1">
        <v>33137</v>
      </c>
      <c r="Z4432">
        <v>1</v>
      </c>
      <c r="AA4432" t="s">
        <v>155</v>
      </c>
      <c r="AB4432" s="40" t="s">
        <v>1799</v>
      </c>
    </row>
    <row r="4433" spans="1:28" x14ac:dyDescent="0.25">
      <c r="A4433">
        <v>99914432</v>
      </c>
      <c r="B4433" t="s">
        <v>56</v>
      </c>
      <c r="C4433" t="s">
        <v>111</v>
      </c>
      <c r="D4433" t="s">
        <v>112</v>
      </c>
      <c r="G4433" t="s">
        <v>35</v>
      </c>
      <c r="H4433">
        <v>1</v>
      </c>
      <c r="I4433" t="s">
        <v>286</v>
      </c>
      <c r="J4433" s="1">
        <v>43344</v>
      </c>
      <c r="K4433" t="s">
        <v>268</v>
      </c>
      <c r="L4433" t="s">
        <v>269</v>
      </c>
      <c r="M4433" t="s">
        <v>131</v>
      </c>
      <c r="N4433">
        <v>24</v>
      </c>
      <c r="O4433" s="1">
        <v>43344</v>
      </c>
      <c r="P4433" t="s">
        <v>41</v>
      </c>
      <c r="Q4433" t="s">
        <v>75</v>
      </c>
      <c r="R4433" t="str">
        <f>"7052018"</f>
        <v>7052018</v>
      </c>
      <c r="S4433" t="s">
        <v>577</v>
      </c>
      <c r="T4433" t="s">
        <v>268</v>
      </c>
      <c r="U4433" t="s">
        <v>269</v>
      </c>
      <c r="V4433" t="s">
        <v>131</v>
      </c>
      <c r="W4433" t="s">
        <v>44</v>
      </c>
      <c r="X4433" t="s">
        <v>45</v>
      </c>
      <c r="Y4433" s="1">
        <v>33126</v>
      </c>
      <c r="Z4433">
        <v>1</v>
      </c>
      <c r="AA4433" t="s">
        <v>269</v>
      </c>
      <c r="AB4433" s="40" t="s">
        <v>1799</v>
      </c>
    </row>
    <row r="4434" spans="1:28" x14ac:dyDescent="0.25">
      <c r="A4434">
        <v>99914433</v>
      </c>
      <c r="B4434" t="s">
        <v>32</v>
      </c>
      <c r="C4434" t="s">
        <v>111</v>
      </c>
      <c r="D4434" t="s">
        <v>112</v>
      </c>
      <c r="G4434" t="s">
        <v>48</v>
      </c>
      <c r="H4434">
        <v>1</v>
      </c>
      <c r="K4434" t="s">
        <v>268</v>
      </c>
      <c r="L4434" t="s">
        <v>269</v>
      </c>
      <c r="M4434" t="s">
        <v>131</v>
      </c>
      <c r="N4434">
        <v>24</v>
      </c>
      <c r="P4434" t="s">
        <v>41</v>
      </c>
      <c r="Q4434" t="s">
        <v>75</v>
      </c>
      <c r="R4434" t="str">
        <f>"7052016"</f>
        <v>7052016</v>
      </c>
      <c r="S4434" t="s">
        <v>588</v>
      </c>
      <c r="T4434" t="s">
        <v>268</v>
      </c>
      <c r="U4434" t="s">
        <v>269</v>
      </c>
      <c r="V4434" t="s">
        <v>131</v>
      </c>
      <c r="W4434" t="s">
        <v>51</v>
      </c>
      <c r="X4434" t="s">
        <v>45</v>
      </c>
      <c r="Y4434" s="1">
        <v>33122</v>
      </c>
      <c r="Z4434">
        <v>1</v>
      </c>
      <c r="AA4434" t="s">
        <v>269</v>
      </c>
      <c r="AB4434" s="40" t="s">
        <v>1799</v>
      </c>
    </row>
    <row r="4435" spans="1:28" x14ac:dyDescent="0.25">
      <c r="A4435">
        <v>99914434</v>
      </c>
      <c r="B4435" t="s">
        <v>32</v>
      </c>
      <c r="C4435" t="s">
        <v>90</v>
      </c>
      <c r="D4435" t="s">
        <v>91</v>
      </c>
      <c r="G4435" t="s">
        <v>35</v>
      </c>
      <c r="H4435">
        <v>1</v>
      </c>
      <c r="I4435" t="s">
        <v>1405</v>
      </c>
      <c r="J4435" s="1">
        <v>43355</v>
      </c>
      <c r="K4435" t="s">
        <v>1341</v>
      </c>
      <c r="L4435" t="s">
        <v>1342</v>
      </c>
      <c r="M4435" t="s">
        <v>1270</v>
      </c>
      <c r="N4435">
        <v>24</v>
      </c>
      <c r="O4435" s="1">
        <v>43355</v>
      </c>
      <c r="P4435" t="s">
        <v>41</v>
      </c>
      <c r="Q4435" t="s">
        <v>95</v>
      </c>
      <c r="R4435" t="str">
        <f>"7191041"</f>
        <v>7191041</v>
      </c>
      <c r="S4435" t="s">
        <v>1423</v>
      </c>
      <c r="T4435" t="s">
        <v>1341</v>
      </c>
      <c r="U4435" t="s">
        <v>1342</v>
      </c>
      <c r="V4435" t="s">
        <v>1270</v>
      </c>
      <c r="W4435" t="s">
        <v>44</v>
      </c>
      <c r="X4435" t="s">
        <v>45</v>
      </c>
      <c r="Y4435" s="1">
        <v>33120</v>
      </c>
      <c r="Z4435">
        <v>1</v>
      </c>
      <c r="AA4435" t="s">
        <v>1342</v>
      </c>
      <c r="AB4435" s="40" t="s">
        <v>1799</v>
      </c>
    </row>
    <row r="4436" spans="1:28" x14ac:dyDescent="0.25">
      <c r="A4436">
        <v>99914435</v>
      </c>
      <c r="B4436" t="s">
        <v>32</v>
      </c>
      <c r="C4436" t="s">
        <v>111</v>
      </c>
      <c r="D4436" t="s">
        <v>112</v>
      </c>
      <c r="G4436" t="s">
        <v>35</v>
      </c>
      <c r="H4436">
        <v>1</v>
      </c>
      <c r="I4436">
        <v>20319</v>
      </c>
      <c r="J4436" s="1">
        <v>43344</v>
      </c>
      <c r="K4436" t="s">
        <v>354</v>
      </c>
      <c r="L4436" t="s">
        <v>355</v>
      </c>
      <c r="M4436" t="s">
        <v>131</v>
      </c>
      <c r="N4436">
        <v>24</v>
      </c>
      <c r="O4436" s="1">
        <v>43344</v>
      </c>
      <c r="P4436" t="s">
        <v>41</v>
      </c>
      <c r="Q4436" t="s">
        <v>75</v>
      </c>
      <c r="R4436" t="str">
        <f>"7054008"</f>
        <v>7054008</v>
      </c>
      <c r="S4436" t="s">
        <v>813</v>
      </c>
      <c r="T4436" t="s">
        <v>354</v>
      </c>
      <c r="U4436" t="s">
        <v>355</v>
      </c>
      <c r="V4436" t="s">
        <v>131</v>
      </c>
      <c r="W4436" t="s">
        <v>51</v>
      </c>
      <c r="X4436" t="s">
        <v>45</v>
      </c>
      <c r="Y4436" s="1">
        <v>33111</v>
      </c>
      <c r="Z4436">
        <v>1</v>
      </c>
      <c r="AA4436" t="s">
        <v>355</v>
      </c>
      <c r="AB4436" s="40" t="s">
        <v>1799</v>
      </c>
    </row>
    <row r="4437" spans="1:28" x14ac:dyDescent="0.25">
      <c r="A4437">
        <v>99914436</v>
      </c>
      <c r="B4437" t="s">
        <v>32</v>
      </c>
      <c r="C4437" t="s">
        <v>90</v>
      </c>
      <c r="D4437" t="s">
        <v>91</v>
      </c>
      <c r="G4437" t="s">
        <v>35</v>
      </c>
      <c r="H4437">
        <v>1</v>
      </c>
      <c r="I4437" t="s">
        <v>1405</v>
      </c>
      <c r="J4437" s="1">
        <v>43344</v>
      </c>
      <c r="K4437" t="s">
        <v>1341</v>
      </c>
      <c r="L4437" t="s">
        <v>1342</v>
      </c>
      <c r="M4437" t="s">
        <v>1270</v>
      </c>
      <c r="N4437">
        <v>24</v>
      </c>
      <c r="O4437" s="1">
        <v>43344</v>
      </c>
      <c r="P4437" t="s">
        <v>41</v>
      </c>
      <c r="Q4437" t="s">
        <v>95</v>
      </c>
      <c r="R4437" t="str">
        <f>"7191119"</f>
        <v>7191119</v>
      </c>
      <c r="S4437" t="s">
        <v>1381</v>
      </c>
      <c r="T4437" t="s">
        <v>1341</v>
      </c>
      <c r="U4437" t="s">
        <v>1342</v>
      </c>
      <c r="V4437" t="s">
        <v>1270</v>
      </c>
      <c r="W4437" t="s">
        <v>44</v>
      </c>
      <c r="X4437" t="s">
        <v>45</v>
      </c>
      <c r="Y4437" s="1">
        <v>33094</v>
      </c>
      <c r="Z4437">
        <v>1</v>
      </c>
      <c r="AA4437" t="s">
        <v>1342</v>
      </c>
      <c r="AB4437" s="40" t="s">
        <v>1799</v>
      </c>
    </row>
    <row r="4438" spans="1:28" x14ac:dyDescent="0.25">
      <c r="A4438">
        <v>99914437</v>
      </c>
      <c r="B4438" t="s">
        <v>32</v>
      </c>
      <c r="C4438" t="s">
        <v>111</v>
      </c>
      <c r="D4438" t="s">
        <v>112</v>
      </c>
      <c r="G4438" t="s">
        <v>35</v>
      </c>
      <c r="H4438">
        <v>1</v>
      </c>
      <c r="I4438" t="s">
        <v>286</v>
      </c>
      <c r="J4438" s="1">
        <v>43344</v>
      </c>
      <c r="K4438" t="s">
        <v>268</v>
      </c>
      <c r="L4438" t="s">
        <v>269</v>
      </c>
      <c r="M4438" t="s">
        <v>131</v>
      </c>
      <c r="N4438">
        <v>24</v>
      </c>
      <c r="P4438" t="s">
        <v>41</v>
      </c>
      <c r="Q4438" t="s">
        <v>75</v>
      </c>
      <c r="R4438" t="str">
        <f>"7052018"</f>
        <v>7052018</v>
      </c>
      <c r="S4438" t="s">
        <v>577</v>
      </c>
      <c r="T4438" t="s">
        <v>268</v>
      </c>
      <c r="U4438" t="s">
        <v>269</v>
      </c>
      <c r="V4438" t="s">
        <v>131</v>
      </c>
      <c r="W4438" t="s">
        <v>51</v>
      </c>
      <c r="X4438" t="s">
        <v>45</v>
      </c>
      <c r="Y4438" s="1">
        <v>33082</v>
      </c>
      <c r="Z4438">
        <v>1</v>
      </c>
      <c r="AA4438" t="s">
        <v>269</v>
      </c>
      <c r="AB4438" s="40" t="s">
        <v>1799</v>
      </c>
    </row>
    <row r="4439" spans="1:28" x14ac:dyDescent="0.25">
      <c r="A4439">
        <v>99914438</v>
      </c>
      <c r="B4439" t="s">
        <v>32</v>
      </c>
      <c r="C4439" t="s">
        <v>111</v>
      </c>
      <c r="D4439" t="s">
        <v>112</v>
      </c>
      <c r="G4439" t="s">
        <v>35</v>
      </c>
      <c r="H4439">
        <v>1</v>
      </c>
      <c r="I4439">
        <v>943</v>
      </c>
      <c r="J4439" s="1">
        <v>43344</v>
      </c>
      <c r="K4439" t="s">
        <v>1198</v>
      </c>
      <c r="L4439" t="s">
        <v>1199</v>
      </c>
      <c r="M4439" t="s">
        <v>1130</v>
      </c>
      <c r="N4439">
        <v>24</v>
      </c>
      <c r="O4439" s="1">
        <v>43344</v>
      </c>
      <c r="P4439" t="s">
        <v>41</v>
      </c>
      <c r="Q4439" t="s">
        <v>75</v>
      </c>
      <c r="R4439" t="str">
        <f>"7311002"</f>
        <v>7311002</v>
      </c>
      <c r="S4439" t="s">
        <v>1203</v>
      </c>
      <c r="T4439" t="s">
        <v>1198</v>
      </c>
      <c r="U4439" t="s">
        <v>1199</v>
      </c>
      <c r="V4439" t="s">
        <v>1130</v>
      </c>
      <c r="W4439" t="s">
        <v>51</v>
      </c>
      <c r="X4439" t="s">
        <v>45</v>
      </c>
      <c r="Y4439" s="1">
        <v>33075</v>
      </c>
      <c r="Z4439">
        <v>1</v>
      </c>
      <c r="AA4439" t="s">
        <v>1199</v>
      </c>
      <c r="AB4439" s="40" t="s">
        <v>1799</v>
      </c>
    </row>
    <row r="4440" spans="1:28" x14ac:dyDescent="0.25">
      <c r="A4440">
        <v>99914439</v>
      </c>
      <c r="B4440" t="s">
        <v>32</v>
      </c>
      <c r="C4440" t="s">
        <v>111</v>
      </c>
      <c r="D4440" t="s">
        <v>112</v>
      </c>
      <c r="G4440" t="s">
        <v>35</v>
      </c>
      <c r="H4440">
        <v>1</v>
      </c>
      <c r="I4440" t="s">
        <v>1080</v>
      </c>
      <c r="J4440" s="1">
        <v>43344</v>
      </c>
      <c r="K4440" t="s">
        <v>1081</v>
      </c>
      <c r="L4440" t="s">
        <v>1082</v>
      </c>
      <c r="M4440" t="s">
        <v>1053</v>
      </c>
      <c r="N4440">
        <v>24</v>
      </c>
      <c r="O4440" s="1">
        <v>43344</v>
      </c>
      <c r="P4440" t="s">
        <v>41</v>
      </c>
      <c r="Q4440" t="s">
        <v>75</v>
      </c>
      <c r="R4440" t="str">
        <f>"7201006"</f>
        <v>7201006</v>
      </c>
      <c r="S4440" t="s">
        <v>1083</v>
      </c>
      <c r="T4440" t="s">
        <v>1081</v>
      </c>
      <c r="U4440" t="s">
        <v>1082</v>
      </c>
      <c r="V4440" t="s">
        <v>1053</v>
      </c>
      <c r="W4440" t="s">
        <v>51</v>
      </c>
      <c r="X4440" t="s">
        <v>45</v>
      </c>
      <c r="Y4440" s="1">
        <v>33060</v>
      </c>
      <c r="Z4440">
        <v>1</v>
      </c>
      <c r="AA4440" t="s">
        <v>1082</v>
      </c>
      <c r="AB4440" s="40" t="s">
        <v>1799</v>
      </c>
    </row>
    <row r="4441" spans="1:28" x14ac:dyDescent="0.25">
      <c r="A4441">
        <v>99914440</v>
      </c>
      <c r="B4441" t="s">
        <v>32</v>
      </c>
      <c r="C4441" t="s">
        <v>111</v>
      </c>
      <c r="D4441" t="s">
        <v>112</v>
      </c>
      <c r="G4441" t="s">
        <v>35</v>
      </c>
      <c r="H4441">
        <v>1</v>
      </c>
      <c r="I4441" t="s">
        <v>764</v>
      </c>
      <c r="J4441" s="1">
        <v>42396</v>
      </c>
      <c r="K4441" t="s">
        <v>354</v>
      </c>
      <c r="L4441" t="s">
        <v>355</v>
      </c>
      <c r="M4441" t="s">
        <v>131</v>
      </c>
      <c r="N4441">
        <v>24</v>
      </c>
      <c r="O4441" s="1">
        <v>42397</v>
      </c>
      <c r="P4441" t="s">
        <v>41</v>
      </c>
      <c r="Q4441" t="s">
        <v>75</v>
      </c>
      <c r="R4441" t="str">
        <f>"7054038"</f>
        <v>7054038</v>
      </c>
      <c r="S4441" t="s">
        <v>377</v>
      </c>
      <c r="T4441" t="s">
        <v>354</v>
      </c>
      <c r="U4441" t="s">
        <v>355</v>
      </c>
      <c r="V4441" t="s">
        <v>131</v>
      </c>
      <c r="W4441" t="s">
        <v>51</v>
      </c>
      <c r="X4441" t="s">
        <v>45</v>
      </c>
      <c r="Y4441" s="1">
        <v>33056</v>
      </c>
      <c r="Z4441">
        <v>1</v>
      </c>
      <c r="AA4441" t="s">
        <v>355</v>
      </c>
      <c r="AB4441" s="40" t="s">
        <v>1799</v>
      </c>
    </row>
    <row r="4442" spans="1:28" x14ac:dyDescent="0.25">
      <c r="A4442">
        <v>99914441</v>
      </c>
      <c r="B4442" t="s">
        <v>32</v>
      </c>
      <c r="C4442" t="s">
        <v>111</v>
      </c>
      <c r="D4442" t="s">
        <v>112</v>
      </c>
      <c r="G4442" t="s">
        <v>35</v>
      </c>
      <c r="H4442">
        <v>1</v>
      </c>
      <c r="K4442" t="s">
        <v>1341</v>
      </c>
      <c r="L4442" t="s">
        <v>1342</v>
      </c>
      <c r="M4442" t="s">
        <v>1270</v>
      </c>
      <c r="N4442">
        <v>24</v>
      </c>
      <c r="P4442" t="s">
        <v>41</v>
      </c>
      <c r="Q4442" t="s">
        <v>75</v>
      </c>
      <c r="R4442" t="str">
        <f>"7191006"</f>
        <v>7191006</v>
      </c>
      <c r="S4442" t="s">
        <v>1351</v>
      </c>
      <c r="T4442" t="s">
        <v>1341</v>
      </c>
      <c r="U4442" t="s">
        <v>1342</v>
      </c>
      <c r="V4442" t="s">
        <v>1270</v>
      </c>
      <c r="W4442" t="s">
        <v>51</v>
      </c>
      <c r="X4442" t="s">
        <v>45</v>
      </c>
      <c r="Y4442" s="1">
        <v>33053</v>
      </c>
      <c r="Z4442">
        <v>1</v>
      </c>
      <c r="AA4442" t="s">
        <v>1342</v>
      </c>
      <c r="AB4442" s="40" t="s">
        <v>1799</v>
      </c>
    </row>
    <row r="4443" spans="1:28" x14ac:dyDescent="0.25">
      <c r="A4443">
        <v>99914442</v>
      </c>
      <c r="B4443" t="s">
        <v>32</v>
      </c>
      <c r="C4443" t="s">
        <v>111</v>
      </c>
      <c r="D4443" t="s">
        <v>112</v>
      </c>
      <c r="G4443" t="s">
        <v>35</v>
      </c>
      <c r="H4443">
        <v>1</v>
      </c>
      <c r="I4443" t="s">
        <v>286</v>
      </c>
      <c r="J4443" s="1">
        <v>43344</v>
      </c>
      <c r="K4443" t="s">
        <v>268</v>
      </c>
      <c r="L4443" t="s">
        <v>269</v>
      </c>
      <c r="M4443" t="s">
        <v>131</v>
      </c>
      <c r="N4443">
        <v>24</v>
      </c>
      <c r="O4443" s="1">
        <v>43344</v>
      </c>
      <c r="P4443" t="s">
        <v>41</v>
      </c>
      <c r="Q4443" t="s">
        <v>75</v>
      </c>
      <c r="R4443" t="str">
        <f>"7052004"</f>
        <v>7052004</v>
      </c>
      <c r="S4443" t="s">
        <v>584</v>
      </c>
      <c r="T4443" t="s">
        <v>268</v>
      </c>
      <c r="U4443" t="s">
        <v>269</v>
      </c>
      <c r="V4443" t="s">
        <v>131</v>
      </c>
      <c r="W4443" t="s">
        <v>55</v>
      </c>
      <c r="X4443" t="s">
        <v>45</v>
      </c>
      <c r="Y4443" s="1">
        <v>33044</v>
      </c>
      <c r="Z4443">
        <v>1</v>
      </c>
      <c r="AA4443" t="s">
        <v>269</v>
      </c>
      <c r="AB4443" s="40" t="s">
        <v>1799</v>
      </c>
    </row>
    <row r="4444" spans="1:28" x14ac:dyDescent="0.25">
      <c r="A4444">
        <v>99914443</v>
      </c>
      <c r="B4444" t="s">
        <v>32</v>
      </c>
      <c r="C4444" t="s">
        <v>111</v>
      </c>
      <c r="D4444" t="s">
        <v>112</v>
      </c>
      <c r="G4444" t="s">
        <v>88</v>
      </c>
      <c r="H4444">
        <v>2</v>
      </c>
      <c r="J4444" s="1">
        <v>43344</v>
      </c>
      <c r="K4444" t="s">
        <v>354</v>
      </c>
      <c r="L4444" t="s">
        <v>355</v>
      </c>
      <c r="M4444" t="s">
        <v>131</v>
      </c>
      <c r="N4444">
        <v>24</v>
      </c>
      <c r="O4444" s="1">
        <v>43344</v>
      </c>
      <c r="P4444" t="s">
        <v>41</v>
      </c>
      <c r="Q4444" t="s">
        <v>75</v>
      </c>
      <c r="R4444" t="str">
        <f>"7054000"</f>
        <v>7054000</v>
      </c>
      <c r="S4444" t="s">
        <v>786</v>
      </c>
      <c r="T4444" t="s">
        <v>354</v>
      </c>
      <c r="U4444" t="s">
        <v>355</v>
      </c>
      <c r="V4444" t="s">
        <v>131</v>
      </c>
      <c r="W4444" t="s">
        <v>51</v>
      </c>
      <c r="X4444" t="s">
        <v>45</v>
      </c>
      <c r="Y4444" s="1">
        <v>33039</v>
      </c>
      <c r="Z4444">
        <v>1</v>
      </c>
      <c r="AA4444" t="s">
        <v>355</v>
      </c>
      <c r="AB4444" s="40" t="s">
        <v>1799</v>
      </c>
    </row>
    <row r="4445" spans="1:28" x14ac:dyDescent="0.25">
      <c r="A4445">
        <v>99914444</v>
      </c>
      <c r="B4445" t="s">
        <v>32</v>
      </c>
      <c r="C4445" t="s">
        <v>111</v>
      </c>
      <c r="D4445" t="s">
        <v>112</v>
      </c>
      <c r="G4445" t="s">
        <v>35</v>
      </c>
      <c r="H4445">
        <v>1</v>
      </c>
      <c r="I4445">
        <v>9345</v>
      </c>
      <c r="J4445" s="1">
        <v>43344</v>
      </c>
      <c r="K4445" t="s">
        <v>1198</v>
      </c>
      <c r="L4445" t="s">
        <v>1199</v>
      </c>
      <c r="M4445" t="s">
        <v>1130</v>
      </c>
      <c r="N4445">
        <v>24</v>
      </c>
      <c r="O4445" s="1">
        <v>43344</v>
      </c>
      <c r="P4445" t="s">
        <v>41</v>
      </c>
      <c r="Q4445" t="s">
        <v>75</v>
      </c>
      <c r="R4445" t="str">
        <f>"7311002"</f>
        <v>7311002</v>
      </c>
      <c r="S4445" t="s">
        <v>1203</v>
      </c>
      <c r="T4445" t="s">
        <v>1198</v>
      </c>
      <c r="U4445" t="s">
        <v>1199</v>
      </c>
      <c r="V4445" t="s">
        <v>1130</v>
      </c>
      <c r="W4445" t="s">
        <v>51</v>
      </c>
      <c r="X4445" t="s">
        <v>45</v>
      </c>
      <c r="Y4445" s="1">
        <v>33036</v>
      </c>
      <c r="Z4445">
        <v>1</v>
      </c>
      <c r="AA4445" t="s">
        <v>1199</v>
      </c>
      <c r="AB4445" s="40" t="s">
        <v>1799</v>
      </c>
    </row>
    <row r="4446" spans="1:28" x14ac:dyDescent="0.25">
      <c r="A4446">
        <v>99914445</v>
      </c>
      <c r="B4446" t="s">
        <v>32</v>
      </c>
      <c r="C4446" t="s">
        <v>111</v>
      </c>
      <c r="D4446" t="s">
        <v>112</v>
      </c>
      <c r="G4446" t="s">
        <v>48</v>
      </c>
      <c r="H4446">
        <v>1</v>
      </c>
      <c r="K4446" t="s">
        <v>1695</v>
      </c>
      <c r="L4446" t="s">
        <v>1696</v>
      </c>
      <c r="M4446" t="s">
        <v>1592</v>
      </c>
      <c r="N4446">
        <v>24</v>
      </c>
      <c r="P4446" t="s">
        <v>41</v>
      </c>
      <c r="Q4446" t="s">
        <v>75</v>
      </c>
      <c r="R4446" t="str">
        <f>"7361000"</f>
        <v>7361000</v>
      </c>
      <c r="S4446" t="s">
        <v>1698</v>
      </c>
      <c r="T4446" t="s">
        <v>1695</v>
      </c>
      <c r="U4446" t="s">
        <v>1696</v>
      </c>
      <c r="V4446" t="s">
        <v>1592</v>
      </c>
      <c r="W4446" t="s">
        <v>51</v>
      </c>
      <c r="X4446" t="s">
        <v>45</v>
      </c>
      <c r="Y4446" s="1">
        <v>33024</v>
      </c>
      <c r="Z4446">
        <v>1</v>
      </c>
      <c r="AA4446" t="s">
        <v>1696</v>
      </c>
      <c r="AB4446" s="40" t="s">
        <v>1799</v>
      </c>
    </row>
    <row r="4447" spans="1:28" x14ac:dyDescent="0.25">
      <c r="A4447">
        <v>99914446</v>
      </c>
      <c r="B4447" t="s">
        <v>32</v>
      </c>
      <c r="C4447" t="s">
        <v>111</v>
      </c>
      <c r="D4447" t="s">
        <v>112</v>
      </c>
      <c r="G4447" t="s">
        <v>35</v>
      </c>
      <c r="H4447">
        <v>1</v>
      </c>
      <c r="K4447" t="s">
        <v>877</v>
      </c>
      <c r="L4447" t="s">
        <v>878</v>
      </c>
      <c r="M4447" t="s">
        <v>131</v>
      </c>
      <c r="N4447">
        <v>24</v>
      </c>
      <c r="P4447" t="s">
        <v>41</v>
      </c>
      <c r="Q4447" t="s">
        <v>75</v>
      </c>
      <c r="R4447" t="str">
        <f>"7700025"</f>
        <v>7700025</v>
      </c>
      <c r="S4447" t="s">
        <v>880</v>
      </c>
      <c r="T4447" t="s">
        <v>877</v>
      </c>
      <c r="U4447" t="s">
        <v>878</v>
      </c>
      <c r="V4447" t="s">
        <v>131</v>
      </c>
      <c r="W4447" t="s">
        <v>51</v>
      </c>
      <c r="X4447" t="s">
        <v>45</v>
      </c>
      <c r="Y4447" s="1">
        <v>33021</v>
      </c>
      <c r="Z4447">
        <v>1</v>
      </c>
      <c r="AA4447" t="s">
        <v>878</v>
      </c>
      <c r="AB4447" s="40" t="s">
        <v>1799</v>
      </c>
    </row>
    <row r="4448" spans="1:28" x14ac:dyDescent="0.25">
      <c r="A4448">
        <v>99914447</v>
      </c>
      <c r="B4448" t="s">
        <v>32</v>
      </c>
      <c r="C4448" t="s">
        <v>90</v>
      </c>
      <c r="D4448" t="s">
        <v>91</v>
      </c>
      <c r="G4448" t="s">
        <v>35</v>
      </c>
      <c r="H4448">
        <v>1</v>
      </c>
      <c r="I4448" t="s">
        <v>1405</v>
      </c>
      <c r="J4448" s="1">
        <v>43344</v>
      </c>
      <c r="K4448" t="s">
        <v>1341</v>
      </c>
      <c r="L4448" t="s">
        <v>1342</v>
      </c>
      <c r="M4448" t="s">
        <v>1270</v>
      </c>
      <c r="N4448">
        <v>24</v>
      </c>
      <c r="O4448" s="1">
        <v>43344</v>
      </c>
      <c r="P4448" t="s">
        <v>41</v>
      </c>
      <c r="Q4448" t="s">
        <v>95</v>
      </c>
      <c r="R4448" t="str">
        <f>"7191113"</f>
        <v>7191113</v>
      </c>
      <c r="S4448" t="s">
        <v>1420</v>
      </c>
      <c r="T4448" t="s">
        <v>1341</v>
      </c>
      <c r="U4448" t="s">
        <v>1342</v>
      </c>
      <c r="V4448" t="s">
        <v>1270</v>
      </c>
      <c r="W4448" t="s">
        <v>44</v>
      </c>
      <c r="X4448" t="s">
        <v>45</v>
      </c>
      <c r="Y4448" s="1">
        <v>33021</v>
      </c>
      <c r="Z4448">
        <v>1</v>
      </c>
      <c r="AA4448" t="s">
        <v>1342</v>
      </c>
      <c r="AB4448" s="40" t="s">
        <v>1799</v>
      </c>
    </row>
    <row r="4449" spans="1:28" x14ac:dyDescent="0.25">
      <c r="A4449">
        <v>99914448</v>
      </c>
      <c r="B4449" t="s">
        <v>32</v>
      </c>
      <c r="C4449" t="s">
        <v>111</v>
      </c>
      <c r="D4449" t="s">
        <v>112</v>
      </c>
      <c r="G4449" t="s">
        <v>35</v>
      </c>
      <c r="H4449">
        <v>1</v>
      </c>
      <c r="K4449" t="s">
        <v>154</v>
      </c>
      <c r="L4449" t="s">
        <v>155</v>
      </c>
      <c r="M4449" t="s">
        <v>131</v>
      </c>
      <c r="N4449">
        <v>24</v>
      </c>
      <c r="P4449" t="s">
        <v>41</v>
      </c>
      <c r="Q4449" t="s">
        <v>75</v>
      </c>
      <c r="R4449" t="str">
        <f>"7051014"</f>
        <v>7051014</v>
      </c>
      <c r="S4449" t="s">
        <v>398</v>
      </c>
      <c r="T4449" t="s">
        <v>154</v>
      </c>
      <c r="U4449" t="s">
        <v>155</v>
      </c>
      <c r="V4449" t="s">
        <v>131</v>
      </c>
      <c r="W4449" t="s">
        <v>165</v>
      </c>
      <c r="X4449" t="s">
        <v>45</v>
      </c>
      <c r="Y4449" s="1">
        <v>33015</v>
      </c>
      <c r="Z4449">
        <v>1</v>
      </c>
      <c r="AA4449" t="s">
        <v>155</v>
      </c>
      <c r="AB4449" s="40" t="s">
        <v>1799</v>
      </c>
    </row>
    <row r="4450" spans="1:28" x14ac:dyDescent="0.25">
      <c r="A4450">
        <v>99914449</v>
      </c>
      <c r="B4450" t="s">
        <v>56</v>
      </c>
      <c r="C4450" t="s">
        <v>111</v>
      </c>
      <c r="D4450" t="s">
        <v>112</v>
      </c>
      <c r="G4450" t="s">
        <v>35</v>
      </c>
      <c r="H4450">
        <v>1</v>
      </c>
      <c r="I4450">
        <v>10354</v>
      </c>
      <c r="J4450" s="1">
        <v>43344</v>
      </c>
      <c r="K4450" t="s">
        <v>1426</v>
      </c>
      <c r="L4450" t="s">
        <v>1427</v>
      </c>
      <c r="M4450" t="s">
        <v>1270</v>
      </c>
      <c r="N4450">
        <v>24</v>
      </c>
      <c r="O4450" s="1">
        <v>43344</v>
      </c>
      <c r="P4450" t="s">
        <v>41</v>
      </c>
      <c r="Q4450" t="s">
        <v>75</v>
      </c>
      <c r="R4450" t="str">
        <f>"7192000"</f>
        <v>7192000</v>
      </c>
      <c r="S4450" t="s">
        <v>1429</v>
      </c>
      <c r="T4450" t="s">
        <v>1426</v>
      </c>
      <c r="U4450" t="s">
        <v>1427</v>
      </c>
      <c r="V4450" t="s">
        <v>1270</v>
      </c>
      <c r="W4450" t="s">
        <v>44</v>
      </c>
      <c r="X4450" t="s">
        <v>45</v>
      </c>
      <c r="Y4450" s="1">
        <v>33003</v>
      </c>
      <c r="Z4450">
        <v>1</v>
      </c>
      <c r="AA4450" t="s">
        <v>1427</v>
      </c>
      <c r="AB4450" s="40" t="s">
        <v>1799</v>
      </c>
    </row>
    <row r="4451" spans="1:28" x14ac:dyDescent="0.25">
      <c r="A4451">
        <v>99914450</v>
      </c>
      <c r="B4451" t="s">
        <v>32</v>
      </c>
      <c r="C4451" t="s">
        <v>111</v>
      </c>
      <c r="D4451" t="s">
        <v>112</v>
      </c>
      <c r="G4451" t="s">
        <v>88</v>
      </c>
      <c r="H4451">
        <v>2</v>
      </c>
      <c r="K4451" t="s">
        <v>354</v>
      </c>
      <c r="L4451" t="s">
        <v>355</v>
      </c>
      <c r="M4451" t="s">
        <v>131</v>
      </c>
      <c r="N4451">
        <v>24</v>
      </c>
      <c r="P4451" t="s">
        <v>41</v>
      </c>
      <c r="Q4451" t="s">
        <v>75</v>
      </c>
      <c r="R4451" t="str">
        <f>"7054038"</f>
        <v>7054038</v>
      </c>
      <c r="S4451" t="s">
        <v>377</v>
      </c>
      <c r="T4451" t="s">
        <v>354</v>
      </c>
      <c r="U4451" t="s">
        <v>355</v>
      </c>
      <c r="V4451" t="s">
        <v>131</v>
      </c>
      <c r="W4451" t="s">
        <v>51</v>
      </c>
      <c r="X4451" t="s">
        <v>45</v>
      </c>
      <c r="Y4451" s="1">
        <v>32998</v>
      </c>
      <c r="Z4451">
        <v>1</v>
      </c>
      <c r="AA4451" t="s">
        <v>355</v>
      </c>
      <c r="AB4451" s="40" t="s">
        <v>1799</v>
      </c>
    </row>
    <row r="4452" spans="1:28" x14ac:dyDescent="0.25">
      <c r="A4452">
        <v>99914451</v>
      </c>
      <c r="B4452" t="s">
        <v>32</v>
      </c>
      <c r="C4452" t="s">
        <v>111</v>
      </c>
      <c r="D4452" t="s">
        <v>112</v>
      </c>
      <c r="G4452" t="s">
        <v>35</v>
      </c>
      <c r="H4452">
        <v>3</v>
      </c>
      <c r="J4452" s="1">
        <v>43344</v>
      </c>
      <c r="K4452" t="s">
        <v>354</v>
      </c>
      <c r="L4452" t="s">
        <v>355</v>
      </c>
      <c r="M4452" t="s">
        <v>131</v>
      </c>
      <c r="N4452">
        <v>24</v>
      </c>
      <c r="O4452" s="1">
        <v>43344</v>
      </c>
      <c r="P4452" t="s">
        <v>41</v>
      </c>
      <c r="Q4452" t="s">
        <v>75</v>
      </c>
      <c r="R4452" t="str">
        <f>"7054030"</f>
        <v>7054030</v>
      </c>
      <c r="S4452" t="s">
        <v>841</v>
      </c>
      <c r="T4452" t="s">
        <v>354</v>
      </c>
      <c r="U4452" t="s">
        <v>355</v>
      </c>
      <c r="V4452" t="s">
        <v>131</v>
      </c>
      <c r="W4452" t="s">
        <v>51</v>
      </c>
      <c r="X4452" t="s">
        <v>45</v>
      </c>
      <c r="Y4452" s="1">
        <v>32994</v>
      </c>
      <c r="Z4452">
        <v>1</v>
      </c>
      <c r="AA4452" t="s">
        <v>355</v>
      </c>
      <c r="AB4452" s="40" t="s">
        <v>1799</v>
      </c>
    </row>
    <row r="4453" spans="1:28" x14ac:dyDescent="0.25">
      <c r="A4453">
        <v>99914452</v>
      </c>
      <c r="B4453" t="s">
        <v>32</v>
      </c>
      <c r="C4453" t="s">
        <v>90</v>
      </c>
      <c r="D4453" t="s">
        <v>91</v>
      </c>
      <c r="G4453" t="s">
        <v>35</v>
      </c>
      <c r="H4453">
        <v>1</v>
      </c>
      <c r="I4453" t="s">
        <v>1349</v>
      </c>
      <c r="J4453" s="1">
        <v>43344</v>
      </c>
      <c r="K4453" t="s">
        <v>1341</v>
      </c>
      <c r="L4453" t="s">
        <v>1342</v>
      </c>
      <c r="M4453" t="s">
        <v>1270</v>
      </c>
      <c r="N4453">
        <v>24</v>
      </c>
      <c r="O4453" s="1">
        <v>43344</v>
      </c>
      <c r="P4453" t="s">
        <v>41</v>
      </c>
      <c r="Q4453" t="s">
        <v>95</v>
      </c>
      <c r="R4453" t="str">
        <f>"7191125"</f>
        <v>7191125</v>
      </c>
      <c r="S4453" t="s">
        <v>1350</v>
      </c>
      <c r="T4453" t="s">
        <v>1341</v>
      </c>
      <c r="U4453" t="s">
        <v>1342</v>
      </c>
      <c r="V4453" t="s">
        <v>1270</v>
      </c>
      <c r="W4453" t="s">
        <v>51</v>
      </c>
      <c r="X4453" t="s">
        <v>45</v>
      </c>
      <c r="Y4453" s="1">
        <v>32990</v>
      </c>
      <c r="Z4453">
        <v>1</v>
      </c>
      <c r="AA4453" t="s">
        <v>1342</v>
      </c>
      <c r="AB4453" s="40" t="s">
        <v>1799</v>
      </c>
    </row>
    <row r="4454" spans="1:28" x14ac:dyDescent="0.25">
      <c r="A4454">
        <v>99914453</v>
      </c>
      <c r="B4454" t="s">
        <v>32</v>
      </c>
      <c r="C4454" t="s">
        <v>111</v>
      </c>
      <c r="D4454" t="s">
        <v>112</v>
      </c>
      <c r="G4454" t="s">
        <v>35</v>
      </c>
      <c r="H4454">
        <v>1</v>
      </c>
      <c r="I4454">
        <v>7170</v>
      </c>
      <c r="J4454" s="1">
        <v>43369</v>
      </c>
      <c r="K4454" t="s">
        <v>1198</v>
      </c>
      <c r="L4454" t="s">
        <v>1199</v>
      </c>
      <c r="M4454" t="s">
        <v>1130</v>
      </c>
      <c r="N4454">
        <v>24</v>
      </c>
      <c r="O4454" s="1">
        <v>43369</v>
      </c>
      <c r="P4454" t="s">
        <v>41</v>
      </c>
      <c r="Q4454" t="s">
        <v>75</v>
      </c>
      <c r="R4454" t="str">
        <f>"7311002"</f>
        <v>7311002</v>
      </c>
      <c r="S4454" t="s">
        <v>1203</v>
      </c>
      <c r="T4454" t="s">
        <v>1198</v>
      </c>
      <c r="U4454" t="s">
        <v>1199</v>
      </c>
      <c r="V4454" t="s">
        <v>1130</v>
      </c>
      <c r="W4454" t="s">
        <v>44</v>
      </c>
      <c r="X4454" t="s">
        <v>45</v>
      </c>
      <c r="Y4454" s="1">
        <v>32980</v>
      </c>
      <c r="Z4454">
        <v>1</v>
      </c>
      <c r="AA4454" t="s">
        <v>1199</v>
      </c>
      <c r="AB4454" s="40" t="s">
        <v>1799</v>
      </c>
    </row>
    <row r="4455" spans="1:28" x14ac:dyDescent="0.25">
      <c r="A4455">
        <v>99914454</v>
      </c>
      <c r="B4455" t="s">
        <v>32</v>
      </c>
      <c r="C4455" t="s">
        <v>111</v>
      </c>
      <c r="D4455" t="s">
        <v>112</v>
      </c>
      <c r="G4455" t="s">
        <v>35</v>
      </c>
      <c r="H4455">
        <v>1</v>
      </c>
      <c r="I4455">
        <v>5076</v>
      </c>
      <c r="J4455" s="1">
        <v>43346</v>
      </c>
      <c r="K4455" t="s">
        <v>1695</v>
      </c>
      <c r="L4455" t="s">
        <v>1696</v>
      </c>
      <c r="M4455" t="s">
        <v>1592</v>
      </c>
      <c r="N4455">
        <v>24</v>
      </c>
      <c r="O4455" s="1">
        <v>43346</v>
      </c>
      <c r="P4455" t="s">
        <v>41</v>
      </c>
      <c r="Q4455" t="s">
        <v>75</v>
      </c>
      <c r="R4455" t="str">
        <f>"7361000"</f>
        <v>7361000</v>
      </c>
      <c r="S4455" t="s">
        <v>1698</v>
      </c>
      <c r="T4455" t="s">
        <v>1695</v>
      </c>
      <c r="U4455" t="s">
        <v>1696</v>
      </c>
      <c r="V4455" t="s">
        <v>1592</v>
      </c>
      <c r="W4455" t="s">
        <v>44</v>
      </c>
      <c r="X4455" t="s">
        <v>45</v>
      </c>
      <c r="Y4455" s="1">
        <v>32975</v>
      </c>
      <c r="Z4455">
        <v>1</v>
      </c>
      <c r="AA4455" t="s">
        <v>1696</v>
      </c>
      <c r="AB4455" s="40" t="s">
        <v>1799</v>
      </c>
    </row>
    <row r="4456" spans="1:28" x14ac:dyDescent="0.25">
      <c r="A4456">
        <v>99914455</v>
      </c>
      <c r="B4456" t="s">
        <v>32</v>
      </c>
      <c r="C4456" t="s">
        <v>111</v>
      </c>
      <c r="D4456" t="s">
        <v>112</v>
      </c>
      <c r="G4456" t="s">
        <v>35</v>
      </c>
      <c r="H4456">
        <v>1</v>
      </c>
      <c r="I4456" t="s">
        <v>502</v>
      </c>
      <c r="J4456" s="1">
        <v>42979</v>
      </c>
      <c r="K4456" t="s">
        <v>431</v>
      </c>
      <c r="L4456" t="s">
        <v>196</v>
      </c>
      <c r="M4456" t="s">
        <v>131</v>
      </c>
      <c r="N4456">
        <v>24</v>
      </c>
      <c r="O4456" s="1">
        <v>42979</v>
      </c>
      <c r="P4456" t="s">
        <v>41</v>
      </c>
      <c r="Q4456" t="s">
        <v>75</v>
      </c>
      <c r="R4456" t="str">
        <f>"7521022"</f>
        <v>7521022</v>
      </c>
      <c r="S4456" t="s">
        <v>445</v>
      </c>
      <c r="T4456" t="s">
        <v>431</v>
      </c>
      <c r="U4456" t="s">
        <v>196</v>
      </c>
      <c r="V4456" t="s">
        <v>131</v>
      </c>
      <c r="W4456" t="s">
        <v>44</v>
      </c>
      <c r="X4456" t="s">
        <v>45</v>
      </c>
      <c r="Y4456" s="1">
        <v>32963</v>
      </c>
      <c r="Z4456">
        <v>1</v>
      </c>
      <c r="AA4456" t="s">
        <v>196</v>
      </c>
      <c r="AB4456" s="40" t="s">
        <v>1799</v>
      </c>
    </row>
    <row r="4457" spans="1:28" x14ac:dyDescent="0.25">
      <c r="A4457">
        <v>99914456</v>
      </c>
      <c r="B4457" t="s">
        <v>32</v>
      </c>
      <c r="C4457" t="s">
        <v>111</v>
      </c>
      <c r="D4457" t="s">
        <v>112</v>
      </c>
      <c r="G4457" t="s">
        <v>35</v>
      </c>
      <c r="H4457">
        <v>1</v>
      </c>
      <c r="I4457">
        <v>6767</v>
      </c>
      <c r="J4457" s="1">
        <v>43344</v>
      </c>
      <c r="K4457" t="s">
        <v>1198</v>
      </c>
      <c r="L4457" t="s">
        <v>1199</v>
      </c>
      <c r="M4457" t="s">
        <v>1130</v>
      </c>
      <c r="N4457">
        <v>24</v>
      </c>
      <c r="O4457" s="1">
        <v>43344</v>
      </c>
      <c r="P4457" t="s">
        <v>41</v>
      </c>
      <c r="Q4457" t="s">
        <v>75</v>
      </c>
      <c r="R4457" t="str">
        <f>"7311002"</f>
        <v>7311002</v>
      </c>
      <c r="S4457" t="s">
        <v>1203</v>
      </c>
      <c r="T4457" t="s">
        <v>1198</v>
      </c>
      <c r="U4457" t="s">
        <v>1199</v>
      </c>
      <c r="V4457" t="s">
        <v>1130</v>
      </c>
      <c r="W4457" t="s">
        <v>51</v>
      </c>
      <c r="X4457" t="s">
        <v>45</v>
      </c>
      <c r="Y4457" s="1">
        <v>32960</v>
      </c>
      <c r="Z4457">
        <v>1</v>
      </c>
      <c r="AA4457" t="s">
        <v>1199</v>
      </c>
      <c r="AB4457" s="40" t="s">
        <v>1799</v>
      </c>
    </row>
    <row r="4458" spans="1:28" x14ac:dyDescent="0.25">
      <c r="A4458">
        <v>99914457</v>
      </c>
      <c r="B4458" t="s">
        <v>32</v>
      </c>
      <c r="C4458" t="s">
        <v>111</v>
      </c>
      <c r="D4458" t="s">
        <v>112</v>
      </c>
      <c r="G4458" t="s">
        <v>35</v>
      </c>
      <c r="H4458">
        <v>1</v>
      </c>
      <c r="I4458">
        <v>1</v>
      </c>
      <c r="J4458" s="1">
        <v>43344</v>
      </c>
      <c r="K4458" t="s">
        <v>1198</v>
      </c>
      <c r="L4458" t="s">
        <v>1199</v>
      </c>
      <c r="M4458" t="s">
        <v>1130</v>
      </c>
      <c r="N4458">
        <v>24</v>
      </c>
      <c r="O4458" s="1">
        <v>43344</v>
      </c>
      <c r="P4458" t="s">
        <v>41</v>
      </c>
      <c r="Q4458" t="s">
        <v>75</v>
      </c>
      <c r="R4458" t="str">
        <f>"7311010"</f>
        <v>7311010</v>
      </c>
      <c r="S4458" t="s">
        <v>1202</v>
      </c>
      <c r="T4458" t="s">
        <v>1198</v>
      </c>
      <c r="U4458" t="s">
        <v>1199</v>
      </c>
      <c r="V4458" t="s">
        <v>1130</v>
      </c>
      <c r="W4458" t="s">
        <v>44</v>
      </c>
      <c r="X4458" t="s">
        <v>45</v>
      </c>
      <c r="Y4458" s="1">
        <v>32957</v>
      </c>
      <c r="Z4458">
        <v>1</v>
      </c>
      <c r="AA4458" t="s">
        <v>1199</v>
      </c>
      <c r="AB4458" s="40" t="s">
        <v>1799</v>
      </c>
    </row>
    <row r="4459" spans="1:28" x14ac:dyDescent="0.25">
      <c r="A4459">
        <v>99914458</v>
      </c>
      <c r="B4459" t="s">
        <v>32</v>
      </c>
      <c r="C4459" t="s">
        <v>90</v>
      </c>
      <c r="D4459" t="s">
        <v>91</v>
      </c>
      <c r="G4459" t="s">
        <v>35</v>
      </c>
      <c r="H4459">
        <v>1</v>
      </c>
      <c r="I4459">
        <v>10359</v>
      </c>
      <c r="J4459" s="1">
        <v>43349</v>
      </c>
      <c r="K4459" t="s">
        <v>1426</v>
      </c>
      <c r="L4459" t="s">
        <v>1427</v>
      </c>
      <c r="M4459" t="s">
        <v>1270</v>
      </c>
      <c r="N4459">
        <v>24</v>
      </c>
      <c r="O4459" s="1">
        <v>43349</v>
      </c>
      <c r="P4459" t="s">
        <v>41</v>
      </c>
      <c r="Q4459" t="s">
        <v>95</v>
      </c>
      <c r="R4459" t="str">
        <f>"7192017"</f>
        <v>7192017</v>
      </c>
      <c r="S4459" t="s">
        <v>1433</v>
      </c>
      <c r="T4459" t="s">
        <v>1426</v>
      </c>
      <c r="U4459" t="s">
        <v>1427</v>
      </c>
      <c r="V4459" t="s">
        <v>1270</v>
      </c>
      <c r="W4459" t="s">
        <v>44</v>
      </c>
      <c r="X4459" t="s">
        <v>45</v>
      </c>
      <c r="Y4459" s="1">
        <v>32956</v>
      </c>
      <c r="Z4459">
        <v>1</v>
      </c>
      <c r="AA4459" t="s">
        <v>1427</v>
      </c>
      <c r="AB4459" s="40" t="s">
        <v>1799</v>
      </c>
    </row>
    <row r="4460" spans="1:28" x14ac:dyDescent="0.25">
      <c r="A4460">
        <v>99914459</v>
      </c>
      <c r="B4460" t="s">
        <v>32</v>
      </c>
      <c r="C4460" t="s">
        <v>111</v>
      </c>
      <c r="D4460" t="s">
        <v>112</v>
      </c>
      <c r="G4460" t="s">
        <v>35</v>
      </c>
      <c r="H4460">
        <v>1</v>
      </c>
      <c r="I4460" t="s">
        <v>994</v>
      </c>
      <c r="J4460" s="1">
        <v>43344</v>
      </c>
      <c r="K4460" t="s">
        <v>985</v>
      </c>
      <c r="L4460" t="s">
        <v>986</v>
      </c>
      <c r="M4460" t="s">
        <v>938</v>
      </c>
      <c r="N4460">
        <v>24</v>
      </c>
      <c r="O4460" s="1">
        <v>43344</v>
      </c>
      <c r="P4460" t="s">
        <v>41</v>
      </c>
      <c r="Q4460" t="s">
        <v>75</v>
      </c>
      <c r="R4460" t="str">
        <f>"7011004"</f>
        <v>7011004</v>
      </c>
      <c r="S4460" t="s">
        <v>987</v>
      </c>
      <c r="T4460" t="s">
        <v>985</v>
      </c>
      <c r="U4460" t="s">
        <v>986</v>
      </c>
      <c r="V4460" t="s">
        <v>938</v>
      </c>
      <c r="W4460" t="s">
        <v>51</v>
      </c>
      <c r="X4460" t="s">
        <v>45</v>
      </c>
      <c r="Y4460" s="1">
        <v>32952</v>
      </c>
      <c r="Z4460">
        <v>1</v>
      </c>
      <c r="AA4460" t="s">
        <v>986</v>
      </c>
      <c r="AB4460" s="40" t="s">
        <v>1799</v>
      </c>
    </row>
    <row r="4461" spans="1:28" x14ac:dyDescent="0.25">
      <c r="A4461">
        <v>99914460</v>
      </c>
      <c r="B4461" t="s">
        <v>32</v>
      </c>
      <c r="C4461" t="s">
        <v>111</v>
      </c>
      <c r="D4461" t="s">
        <v>112</v>
      </c>
      <c r="G4461" t="s">
        <v>35</v>
      </c>
      <c r="H4461">
        <v>1</v>
      </c>
      <c r="I4461">
        <v>17565</v>
      </c>
      <c r="J4461" s="1">
        <v>43344</v>
      </c>
      <c r="K4461" t="s">
        <v>877</v>
      </c>
      <c r="L4461" t="s">
        <v>878</v>
      </c>
      <c r="M4461" t="s">
        <v>131</v>
      </c>
      <c r="N4461">
        <v>24</v>
      </c>
      <c r="O4461" s="1">
        <v>43344</v>
      </c>
      <c r="P4461" t="s">
        <v>41</v>
      </c>
      <c r="Q4461" t="s">
        <v>75</v>
      </c>
      <c r="R4461" t="str">
        <f>"7541004"</f>
        <v>7541004</v>
      </c>
      <c r="S4461" t="s">
        <v>889</v>
      </c>
      <c r="T4461" t="s">
        <v>877</v>
      </c>
      <c r="U4461" t="s">
        <v>878</v>
      </c>
      <c r="V4461" t="s">
        <v>131</v>
      </c>
      <c r="W4461" t="s">
        <v>44</v>
      </c>
      <c r="X4461" t="s">
        <v>45</v>
      </c>
      <c r="Y4461" s="1">
        <v>32950</v>
      </c>
      <c r="Z4461">
        <v>1</v>
      </c>
      <c r="AA4461" t="s">
        <v>878</v>
      </c>
      <c r="AB4461" s="40" t="s">
        <v>1799</v>
      </c>
    </row>
    <row r="4462" spans="1:28" x14ac:dyDescent="0.25">
      <c r="A4462">
        <v>99914461</v>
      </c>
      <c r="B4462" t="s">
        <v>32</v>
      </c>
      <c r="C4462" t="s">
        <v>111</v>
      </c>
      <c r="D4462" t="s">
        <v>112</v>
      </c>
      <c r="G4462" t="s">
        <v>35</v>
      </c>
      <c r="H4462">
        <v>1</v>
      </c>
      <c r="I4462" t="s">
        <v>286</v>
      </c>
      <c r="J4462" s="1">
        <v>43344</v>
      </c>
      <c r="K4462" t="s">
        <v>268</v>
      </c>
      <c r="L4462" t="s">
        <v>269</v>
      </c>
      <c r="M4462" t="s">
        <v>131</v>
      </c>
      <c r="N4462">
        <v>24</v>
      </c>
      <c r="P4462" t="s">
        <v>41</v>
      </c>
      <c r="Q4462" t="s">
        <v>75</v>
      </c>
      <c r="R4462" t="str">
        <f>"7052018"</f>
        <v>7052018</v>
      </c>
      <c r="S4462" t="s">
        <v>577</v>
      </c>
      <c r="T4462" t="s">
        <v>268</v>
      </c>
      <c r="U4462" t="s">
        <v>269</v>
      </c>
      <c r="V4462" t="s">
        <v>131</v>
      </c>
      <c r="W4462" t="s">
        <v>51</v>
      </c>
      <c r="X4462" t="s">
        <v>45</v>
      </c>
      <c r="Y4462" s="1">
        <v>32942</v>
      </c>
      <c r="Z4462">
        <v>1</v>
      </c>
      <c r="AA4462" t="s">
        <v>269</v>
      </c>
      <c r="AB4462" s="40" t="s">
        <v>1799</v>
      </c>
    </row>
    <row r="4463" spans="1:28" x14ac:dyDescent="0.25">
      <c r="A4463">
        <v>99914462</v>
      </c>
      <c r="B4463" t="s">
        <v>32</v>
      </c>
      <c r="C4463" t="s">
        <v>111</v>
      </c>
      <c r="D4463" t="s">
        <v>112</v>
      </c>
      <c r="G4463" t="s">
        <v>35</v>
      </c>
      <c r="H4463">
        <v>1</v>
      </c>
      <c r="I4463">
        <v>931</v>
      </c>
      <c r="J4463" s="1">
        <v>43344</v>
      </c>
      <c r="K4463" t="s">
        <v>1198</v>
      </c>
      <c r="L4463" t="s">
        <v>1199</v>
      </c>
      <c r="M4463" t="s">
        <v>1130</v>
      </c>
      <c r="N4463">
        <v>24</v>
      </c>
      <c r="O4463" s="1">
        <v>43344</v>
      </c>
      <c r="P4463" t="s">
        <v>41</v>
      </c>
      <c r="Q4463" t="s">
        <v>75</v>
      </c>
      <c r="R4463" t="str">
        <f>"7311002"</f>
        <v>7311002</v>
      </c>
      <c r="S4463" t="s">
        <v>1203</v>
      </c>
      <c r="T4463" t="s">
        <v>1198</v>
      </c>
      <c r="U4463" t="s">
        <v>1199</v>
      </c>
      <c r="V4463" t="s">
        <v>1130</v>
      </c>
      <c r="W4463" t="s">
        <v>51</v>
      </c>
      <c r="X4463" t="s">
        <v>45</v>
      </c>
      <c r="Y4463" s="1">
        <v>32939</v>
      </c>
      <c r="Z4463">
        <v>1</v>
      </c>
      <c r="AA4463" t="s">
        <v>1199</v>
      </c>
      <c r="AB4463" s="40" t="s">
        <v>1799</v>
      </c>
    </row>
    <row r="4464" spans="1:28" x14ac:dyDescent="0.25">
      <c r="A4464">
        <v>99914463</v>
      </c>
      <c r="B4464" t="s">
        <v>32</v>
      </c>
      <c r="C4464" t="s">
        <v>111</v>
      </c>
      <c r="D4464" t="s">
        <v>112</v>
      </c>
      <c r="G4464" t="s">
        <v>35</v>
      </c>
      <c r="H4464">
        <v>1</v>
      </c>
      <c r="I4464" t="s">
        <v>599</v>
      </c>
      <c r="J4464" s="1">
        <v>43346</v>
      </c>
      <c r="K4464" t="s">
        <v>1426</v>
      </c>
      <c r="L4464" t="s">
        <v>1427</v>
      </c>
      <c r="M4464" t="s">
        <v>1270</v>
      </c>
      <c r="N4464">
        <v>24</v>
      </c>
      <c r="O4464" s="1">
        <v>43346</v>
      </c>
      <c r="P4464" t="s">
        <v>41</v>
      </c>
      <c r="Q4464" t="s">
        <v>75</v>
      </c>
      <c r="R4464" t="str">
        <f>"7192004"</f>
        <v>7192004</v>
      </c>
      <c r="S4464" t="s">
        <v>1428</v>
      </c>
      <c r="T4464" t="s">
        <v>1426</v>
      </c>
      <c r="U4464" t="s">
        <v>1427</v>
      </c>
      <c r="V4464" t="s">
        <v>1270</v>
      </c>
      <c r="W4464" t="s">
        <v>44</v>
      </c>
      <c r="X4464" t="s">
        <v>45</v>
      </c>
      <c r="Y4464" s="1">
        <v>32932</v>
      </c>
      <c r="Z4464">
        <v>1</v>
      </c>
      <c r="AA4464" t="s">
        <v>1427</v>
      </c>
      <c r="AB4464" s="40" t="s">
        <v>1799</v>
      </c>
    </row>
    <row r="4465" spans="1:28" x14ac:dyDescent="0.25">
      <c r="A4465">
        <v>99914464</v>
      </c>
      <c r="B4465" t="s">
        <v>32</v>
      </c>
      <c r="C4465" t="s">
        <v>111</v>
      </c>
      <c r="D4465" t="s">
        <v>112</v>
      </c>
      <c r="G4465" t="s">
        <v>48</v>
      </c>
      <c r="H4465">
        <v>1</v>
      </c>
      <c r="K4465" t="s">
        <v>1581</v>
      </c>
      <c r="L4465" t="s">
        <v>1582</v>
      </c>
      <c r="M4465" t="s">
        <v>1548</v>
      </c>
      <c r="N4465">
        <v>24</v>
      </c>
      <c r="P4465" t="s">
        <v>41</v>
      </c>
      <c r="Q4465" t="s">
        <v>75</v>
      </c>
      <c r="R4465" t="str">
        <f>"7291000"</f>
        <v>7291000</v>
      </c>
      <c r="S4465" t="s">
        <v>1584</v>
      </c>
      <c r="T4465" t="s">
        <v>1581</v>
      </c>
      <c r="U4465" t="s">
        <v>1582</v>
      </c>
      <c r="V4465" t="s">
        <v>1548</v>
      </c>
      <c r="W4465" t="s">
        <v>51</v>
      </c>
      <c r="X4465" t="s">
        <v>45</v>
      </c>
      <c r="Y4465" s="1">
        <v>32922</v>
      </c>
      <c r="Z4465">
        <v>1</v>
      </c>
      <c r="AA4465" t="s">
        <v>1582</v>
      </c>
      <c r="AB4465" s="40" t="s">
        <v>1799</v>
      </c>
    </row>
    <row r="4466" spans="1:28" x14ac:dyDescent="0.25">
      <c r="A4466">
        <v>99914465</v>
      </c>
      <c r="B4466" t="s">
        <v>56</v>
      </c>
      <c r="C4466" t="s">
        <v>111</v>
      </c>
      <c r="D4466" t="s">
        <v>112</v>
      </c>
      <c r="G4466" t="s">
        <v>48</v>
      </c>
      <c r="H4466">
        <v>1</v>
      </c>
      <c r="K4466" t="s">
        <v>1502</v>
      </c>
      <c r="L4466" t="s">
        <v>1503</v>
      </c>
      <c r="M4466" t="s">
        <v>670</v>
      </c>
      <c r="N4466">
        <v>24</v>
      </c>
      <c r="P4466" t="s">
        <v>41</v>
      </c>
      <c r="Q4466" t="s">
        <v>75</v>
      </c>
      <c r="R4466" t="str">
        <f>"7171002"</f>
        <v>7171002</v>
      </c>
      <c r="S4466" t="s">
        <v>1505</v>
      </c>
      <c r="T4466" t="s">
        <v>1502</v>
      </c>
      <c r="U4466" t="s">
        <v>1503</v>
      </c>
      <c r="V4466" t="s">
        <v>670</v>
      </c>
      <c r="W4466" t="s">
        <v>51</v>
      </c>
      <c r="X4466" t="s">
        <v>45</v>
      </c>
      <c r="Y4466" s="1">
        <v>32899</v>
      </c>
      <c r="Z4466">
        <v>1</v>
      </c>
      <c r="AA4466" t="s">
        <v>1503</v>
      </c>
      <c r="AB4466" s="40" t="s">
        <v>1799</v>
      </c>
    </row>
    <row r="4467" spans="1:28" x14ac:dyDescent="0.25">
      <c r="A4467">
        <v>99914466</v>
      </c>
      <c r="B4467" t="s">
        <v>32</v>
      </c>
      <c r="C4467" t="s">
        <v>111</v>
      </c>
      <c r="D4467" t="s">
        <v>112</v>
      </c>
      <c r="G4467" t="s">
        <v>48</v>
      </c>
      <c r="H4467">
        <v>1</v>
      </c>
      <c r="K4467" t="s">
        <v>268</v>
      </c>
      <c r="L4467" t="s">
        <v>269</v>
      </c>
      <c r="M4467" t="s">
        <v>131</v>
      </c>
      <c r="N4467">
        <v>24</v>
      </c>
      <c r="P4467" t="s">
        <v>41</v>
      </c>
      <c r="Q4467" t="s">
        <v>75</v>
      </c>
      <c r="R4467" t="str">
        <f>"7052034"</f>
        <v>7052034</v>
      </c>
      <c r="S4467" t="s">
        <v>604</v>
      </c>
      <c r="T4467" t="s">
        <v>268</v>
      </c>
      <c r="U4467" t="s">
        <v>269</v>
      </c>
      <c r="V4467" t="s">
        <v>131</v>
      </c>
      <c r="W4467" t="s">
        <v>51</v>
      </c>
      <c r="X4467" t="s">
        <v>45</v>
      </c>
      <c r="Y4467" s="1">
        <v>32892</v>
      </c>
      <c r="Z4467">
        <v>1</v>
      </c>
      <c r="AA4467" t="s">
        <v>269</v>
      </c>
      <c r="AB4467" s="40" t="s">
        <v>1799</v>
      </c>
    </row>
    <row r="4468" spans="1:28" x14ac:dyDescent="0.25">
      <c r="A4468">
        <v>99914467</v>
      </c>
      <c r="B4468" t="s">
        <v>32</v>
      </c>
      <c r="C4468" t="s">
        <v>111</v>
      </c>
      <c r="D4468" t="s">
        <v>112</v>
      </c>
      <c r="G4468" t="s">
        <v>48</v>
      </c>
      <c r="H4468">
        <v>1</v>
      </c>
      <c r="K4468" t="s">
        <v>1198</v>
      </c>
      <c r="L4468" t="s">
        <v>1199</v>
      </c>
      <c r="M4468" t="s">
        <v>1130</v>
      </c>
      <c r="N4468">
        <v>24</v>
      </c>
      <c r="P4468" t="s">
        <v>41</v>
      </c>
      <c r="Q4468" t="s">
        <v>75</v>
      </c>
      <c r="R4468" t="str">
        <f>"7311010"</f>
        <v>7311010</v>
      </c>
      <c r="S4468" t="s">
        <v>1202</v>
      </c>
      <c r="T4468" t="s">
        <v>1198</v>
      </c>
      <c r="U4468" t="s">
        <v>1199</v>
      </c>
      <c r="V4468" t="s">
        <v>1130</v>
      </c>
      <c r="W4468" t="s">
        <v>51</v>
      </c>
      <c r="X4468" t="s">
        <v>45</v>
      </c>
      <c r="Y4468" s="1">
        <v>32887</v>
      </c>
      <c r="Z4468">
        <v>1</v>
      </c>
      <c r="AA4468" t="s">
        <v>1199</v>
      </c>
      <c r="AB4468" s="40" t="s">
        <v>1799</v>
      </c>
    </row>
    <row r="4469" spans="1:28" x14ac:dyDescent="0.25">
      <c r="A4469">
        <v>99914468</v>
      </c>
      <c r="B4469" t="s">
        <v>56</v>
      </c>
      <c r="C4469" t="s">
        <v>111</v>
      </c>
      <c r="D4469" t="s">
        <v>112</v>
      </c>
      <c r="G4469" t="s">
        <v>35</v>
      </c>
      <c r="H4469">
        <v>1</v>
      </c>
      <c r="I4469" t="s">
        <v>114</v>
      </c>
      <c r="J4469" s="1">
        <v>43369</v>
      </c>
      <c r="K4469" t="s">
        <v>77</v>
      </c>
      <c r="L4469" t="s">
        <v>78</v>
      </c>
      <c r="M4469" t="s">
        <v>39</v>
      </c>
      <c r="N4469">
        <v>24</v>
      </c>
      <c r="O4469" s="1">
        <v>43369</v>
      </c>
      <c r="P4469" t="s">
        <v>41</v>
      </c>
      <c r="Q4469" t="s">
        <v>75</v>
      </c>
      <c r="R4469" t="str">
        <f>"7371000"</f>
        <v>7371000</v>
      </c>
      <c r="S4469" t="s">
        <v>76</v>
      </c>
      <c r="T4469" t="s">
        <v>77</v>
      </c>
      <c r="U4469" t="s">
        <v>78</v>
      </c>
      <c r="V4469" t="s">
        <v>39</v>
      </c>
      <c r="W4469" t="s">
        <v>44</v>
      </c>
      <c r="X4469" t="s">
        <v>45</v>
      </c>
      <c r="Y4469" s="1">
        <v>32874</v>
      </c>
      <c r="Z4469">
        <v>1</v>
      </c>
      <c r="AA4469" t="s">
        <v>78</v>
      </c>
      <c r="AB4469" s="40" t="s">
        <v>1799</v>
      </c>
    </row>
    <row r="4470" spans="1:28" x14ac:dyDescent="0.25">
      <c r="A4470">
        <v>99914469</v>
      </c>
      <c r="B4470" t="s">
        <v>32</v>
      </c>
      <c r="C4470" t="s">
        <v>111</v>
      </c>
      <c r="D4470" t="s">
        <v>112</v>
      </c>
      <c r="G4470" t="s">
        <v>48</v>
      </c>
      <c r="H4470">
        <v>1</v>
      </c>
      <c r="I4470" t="s">
        <v>529</v>
      </c>
      <c r="J4470" s="1">
        <v>42027</v>
      </c>
      <c r="K4470" t="s">
        <v>431</v>
      </c>
      <c r="L4470" t="s">
        <v>196</v>
      </c>
      <c r="M4470" t="s">
        <v>131</v>
      </c>
      <c r="N4470">
        <v>24</v>
      </c>
      <c r="O4470" s="1">
        <v>42031</v>
      </c>
      <c r="P4470" t="s">
        <v>41</v>
      </c>
      <c r="Q4470" t="s">
        <v>75</v>
      </c>
      <c r="R4470" t="str">
        <f>"7521056"</f>
        <v>7521056</v>
      </c>
      <c r="S4470" t="s">
        <v>437</v>
      </c>
      <c r="T4470" t="s">
        <v>431</v>
      </c>
      <c r="U4470" t="s">
        <v>196</v>
      </c>
      <c r="V4470" t="s">
        <v>131</v>
      </c>
      <c r="W4470" t="s">
        <v>51</v>
      </c>
      <c r="X4470" t="s">
        <v>45</v>
      </c>
      <c r="Y4470" s="1">
        <v>32874</v>
      </c>
      <c r="Z4470">
        <v>1</v>
      </c>
      <c r="AA4470" t="s">
        <v>196</v>
      </c>
      <c r="AB4470" s="40" t="s">
        <v>1799</v>
      </c>
    </row>
    <row r="4471" spans="1:28" x14ac:dyDescent="0.25">
      <c r="A4471">
        <v>99914470</v>
      </c>
      <c r="B4471" t="s">
        <v>32</v>
      </c>
      <c r="C4471" t="s">
        <v>111</v>
      </c>
      <c r="D4471" t="s">
        <v>112</v>
      </c>
      <c r="G4471" t="s">
        <v>35</v>
      </c>
      <c r="H4471">
        <v>1</v>
      </c>
      <c r="I4471" t="s">
        <v>553</v>
      </c>
      <c r="J4471" s="1">
        <v>42396</v>
      </c>
      <c r="K4471" t="s">
        <v>431</v>
      </c>
      <c r="L4471" t="s">
        <v>196</v>
      </c>
      <c r="M4471" t="s">
        <v>131</v>
      </c>
      <c r="N4471">
        <v>24</v>
      </c>
      <c r="O4471" s="1">
        <v>42397</v>
      </c>
      <c r="P4471" t="s">
        <v>41</v>
      </c>
      <c r="Q4471" t="s">
        <v>75</v>
      </c>
      <c r="R4471" t="str">
        <f>"7521056"</f>
        <v>7521056</v>
      </c>
      <c r="S4471" t="s">
        <v>437</v>
      </c>
      <c r="T4471" t="s">
        <v>431</v>
      </c>
      <c r="U4471" t="s">
        <v>196</v>
      </c>
      <c r="V4471" t="s">
        <v>131</v>
      </c>
      <c r="W4471" t="s">
        <v>51</v>
      </c>
      <c r="X4471" t="s">
        <v>45</v>
      </c>
      <c r="Y4471" s="1">
        <v>32874</v>
      </c>
      <c r="Z4471">
        <v>1</v>
      </c>
      <c r="AA4471" t="s">
        <v>196</v>
      </c>
      <c r="AB4471" s="40" t="s">
        <v>1799</v>
      </c>
    </row>
    <row r="4472" spans="1:28" x14ac:dyDescent="0.25">
      <c r="A4472">
        <v>99914471</v>
      </c>
      <c r="B4472" t="s">
        <v>32</v>
      </c>
      <c r="C4472" t="s">
        <v>111</v>
      </c>
      <c r="D4472" t="s">
        <v>112</v>
      </c>
      <c r="G4472" t="s">
        <v>35</v>
      </c>
      <c r="H4472">
        <v>1</v>
      </c>
      <c r="I4472" t="s">
        <v>286</v>
      </c>
      <c r="J4472" s="1">
        <v>43344</v>
      </c>
      <c r="K4472" t="s">
        <v>268</v>
      </c>
      <c r="L4472" t="s">
        <v>269</v>
      </c>
      <c r="M4472" t="s">
        <v>131</v>
      </c>
      <c r="N4472">
        <v>24</v>
      </c>
      <c r="O4472" s="1">
        <v>43344</v>
      </c>
      <c r="P4472" t="s">
        <v>41</v>
      </c>
      <c r="Q4472" t="s">
        <v>75</v>
      </c>
      <c r="R4472" t="str">
        <f>"7052012"</f>
        <v>7052012</v>
      </c>
      <c r="S4472" t="s">
        <v>270</v>
      </c>
      <c r="T4472" t="s">
        <v>268</v>
      </c>
      <c r="U4472" t="s">
        <v>269</v>
      </c>
      <c r="V4472" t="s">
        <v>131</v>
      </c>
      <c r="W4472" t="s">
        <v>51</v>
      </c>
      <c r="X4472" t="s">
        <v>45</v>
      </c>
      <c r="Y4472" s="1">
        <v>32874</v>
      </c>
      <c r="Z4472">
        <v>1</v>
      </c>
      <c r="AA4472" t="s">
        <v>269</v>
      </c>
      <c r="AB4472" s="40" t="s">
        <v>1799</v>
      </c>
    </row>
    <row r="4473" spans="1:28" x14ac:dyDescent="0.25">
      <c r="A4473">
        <v>99914472</v>
      </c>
      <c r="B4473" t="s">
        <v>32</v>
      </c>
      <c r="C4473" t="s">
        <v>111</v>
      </c>
      <c r="D4473" t="s">
        <v>112</v>
      </c>
      <c r="G4473" t="s">
        <v>48</v>
      </c>
      <c r="H4473">
        <v>1</v>
      </c>
      <c r="I4473" t="s">
        <v>680</v>
      </c>
      <c r="J4473" s="1">
        <v>42027</v>
      </c>
      <c r="K4473" t="s">
        <v>268</v>
      </c>
      <c r="L4473" t="s">
        <v>269</v>
      </c>
      <c r="M4473" t="s">
        <v>131</v>
      </c>
      <c r="N4473">
        <v>24</v>
      </c>
      <c r="O4473" s="1">
        <v>42031</v>
      </c>
      <c r="P4473" t="s">
        <v>41</v>
      </c>
      <c r="Q4473" t="s">
        <v>75</v>
      </c>
      <c r="R4473" t="str">
        <f>"7052044"</f>
        <v>7052044</v>
      </c>
      <c r="S4473" t="s">
        <v>589</v>
      </c>
      <c r="T4473" t="s">
        <v>268</v>
      </c>
      <c r="U4473" t="s">
        <v>269</v>
      </c>
      <c r="V4473" t="s">
        <v>131</v>
      </c>
      <c r="W4473" t="s">
        <v>51</v>
      </c>
      <c r="X4473" t="s">
        <v>45</v>
      </c>
      <c r="Y4473" s="1">
        <v>32874</v>
      </c>
      <c r="Z4473">
        <v>1</v>
      </c>
      <c r="AA4473" t="s">
        <v>269</v>
      </c>
      <c r="AB4473" s="40" t="s">
        <v>1799</v>
      </c>
    </row>
    <row r="4474" spans="1:28" x14ac:dyDescent="0.25">
      <c r="A4474">
        <v>99914473</v>
      </c>
      <c r="B4474" t="s">
        <v>32</v>
      </c>
      <c r="C4474" t="s">
        <v>111</v>
      </c>
      <c r="D4474" t="s">
        <v>112</v>
      </c>
      <c r="G4474" t="s">
        <v>35</v>
      </c>
      <c r="H4474">
        <v>1</v>
      </c>
      <c r="I4474">
        <v>1120</v>
      </c>
      <c r="J4474" s="1">
        <v>43344</v>
      </c>
      <c r="K4474" t="s">
        <v>354</v>
      </c>
      <c r="L4474" t="s">
        <v>355</v>
      </c>
      <c r="M4474" t="s">
        <v>131</v>
      </c>
      <c r="N4474">
        <v>24</v>
      </c>
      <c r="O4474" s="1">
        <v>43344</v>
      </c>
      <c r="P4474" t="s">
        <v>41</v>
      </c>
      <c r="Q4474" t="s">
        <v>75</v>
      </c>
      <c r="R4474" t="str">
        <f>"7054024"</f>
        <v>7054024</v>
      </c>
      <c r="S4474" t="s">
        <v>793</v>
      </c>
      <c r="T4474" t="s">
        <v>354</v>
      </c>
      <c r="U4474" t="s">
        <v>355</v>
      </c>
      <c r="V4474" t="s">
        <v>131</v>
      </c>
      <c r="W4474" t="s">
        <v>55</v>
      </c>
      <c r="X4474" t="s">
        <v>45</v>
      </c>
      <c r="Y4474" s="1">
        <v>32874</v>
      </c>
      <c r="Z4474">
        <v>1</v>
      </c>
      <c r="AA4474" t="s">
        <v>355</v>
      </c>
      <c r="AB4474" s="40" t="s">
        <v>1799</v>
      </c>
    </row>
    <row r="4475" spans="1:28" x14ac:dyDescent="0.25">
      <c r="A4475">
        <v>99914474</v>
      </c>
      <c r="B4475" t="s">
        <v>32</v>
      </c>
      <c r="C4475" t="s">
        <v>111</v>
      </c>
      <c r="D4475" t="s">
        <v>112</v>
      </c>
      <c r="G4475" t="s">
        <v>35</v>
      </c>
      <c r="H4475">
        <v>1</v>
      </c>
      <c r="I4475" t="s">
        <v>850</v>
      </c>
      <c r="J4475" s="1">
        <v>43344</v>
      </c>
      <c r="K4475" t="s">
        <v>354</v>
      </c>
      <c r="L4475" t="s">
        <v>355</v>
      </c>
      <c r="M4475" t="s">
        <v>131</v>
      </c>
      <c r="N4475">
        <v>24</v>
      </c>
      <c r="O4475" s="1">
        <v>43344</v>
      </c>
      <c r="P4475" t="s">
        <v>41</v>
      </c>
      <c r="Q4475" t="s">
        <v>75</v>
      </c>
      <c r="R4475" t="str">
        <f>"7054012"</f>
        <v>7054012</v>
      </c>
      <c r="S4475" t="s">
        <v>353</v>
      </c>
      <c r="T4475" t="s">
        <v>354</v>
      </c>
      <c r="U4475" t="s">
        <v>355</v>
      </c>
      <c r="V4475" t="s">
        <v>131</v>
      </c>
      <c r="W4475" t="s">
        <v>44</v>
      </c>
      <c r="X4475" t="s">
        <v>45</v>
      </c>
      <c r="Y4475" s="1">
        <v>32874</v>
      </c>
      <c r="Z4475">
        <v>1</v>
      </c>
      <c r="AA4475" t="s">
        <v>355</v>
      </c>
      <c r="AB4475" s="40" t="s">
        <v>1799</v>
      </c>
    </row>
    <row r="4476" spans="1:28" x14ac:dyDescent="0.25">
      <c r="A4476">
        <v>99914475</v>
      </c>
      <c r="B4476" t="s">
        <v>32</v>
      </c>
      <c r="C4476" t="s">
        <v>111</v>
      </c>
      <c r="D4476" t="s">
        <v>112</v>
      </c>
      <c r="G4476" t="s">
        <v>48</v>
      </c>
      <c r="H4476">
        <v>1</v>
      </c>
      <c r="I4476" t="s">
        <v>906</v>
      </c>
      <c r="J4476" s="1">
        <v>42471</v>
      </c>
      <c r="K4476" t="s">
        <v>877</v>
      </c>
      <c r="L4476" t="s">
        <v>878</v>
      </c>
      <c r="M4476" t="s">
        <v>131</v>
      </c>
      <c r="N4476">
        <v>24</v>
      </c>
      <c r="O4476" s="1">
        <v>42471</v>
      </c>
      <c r="P4476" t="s">
        <v>41</v>
      </c>
      <c r="Q4476" t="s">
        <v>75</v>
      </c>
      <c r="R4476" t="str">
        <f>"7541026"</f>
        <v>7541026</v>
      </c>
      <c r="S4476" t="s">
        <v>894</v>
      </c>
      <c r="T4476" t="s">
        <v>877</v>
      </c>
      <c r="U4476" t="s">
        <v>878</v>
      </c>
      <c r="V4476" t="s">
        <v>131</v>
      </c>
      <c r="W4476" t="s">
        <v>51</v>
      </c>
      <c r="X4476" t="s">
        <v>45</v>
      </c>
      <c r="Y4476" s="1">
        <v>32874</v>
      </c>
      <c r="Z4476">
        <v>1</v>
      </c>
      <c r="AA4476" t="s">
        <v>878</v>
      </c>
      <c r="AB4476" s="40" t="s">
        <v>1799</v>
      </c>
    </row>
    <row r="4477" spans="1:28" x14ac:dyDescent="0.25">
      <c r="A4477">
        <v>99914476</v>
      </c>
      <c r="B4477" t="s">
        <v>32</v>
      </c>
      <c r="C4477" t="s">
        <v>111</v>
      </c>
      <c r="D4477" t="s">
        <v>112</v>
      </c>
      <c r="G4477" t="s">
        <v>35</v>
      </c>
      <c r="H4477">
        <v>1</v>
      </c>
      <c r="I4477" t="s">
        <v>1023</v>
      </c>
      <c r="J4477" s="1">
        <v>43344</v>
      </c>
      <c r="K4477" t="s">
        <v>963</v>
      </c>
      <c r="L4477" t="s">
        <v>964</v>
      </c>
      <c r="M4477" t="s">
        <v>938</v>
      </c>
      <c r="N4477">
        <v>24</v>
      </c>
      <c r="O4477" s="1">
        <v>43344</v>
      </c>
      <c r="P4477" t="s">
        <v>41</v>
      </c>
      <c r="Q4477" t="s">
        <v>75</v>
      </c>
      <c r="R4477" t="str">
        <f>"7061000"</f>
        <v>7061000</v>
      </c>
      <c r="S4477" t="s">
        <v>962</v>
      </c>
      <c r="T4477" t="s">
        <v>963</v>
      </c>
      <c r="U4477" t="s">
        <v>964</v>
      </c>
      <c r="V4477" t="s">
        <v>938</v>
      </c>
      <c r="W4477" t="s">
        <v>44</v>
      </c>
      <c r="X4477" t="s">
        <v>45</v>
      </c>
      <c r="Y4477" s="1">
        <v>32874</v>
      </c>
      <c r="Z4477">
        <v>1</v>
      </c>
      <c r="AA4477" t="s">
        <v>964</v>
      </c>
      <c r="AB4477" s="40" t="s">
        <v>1799</v>
      </c>
    </row>
    <row r="4478" spans="1:28" x14ac:dyDescent="0.25">
      <c r="A4478">
        <v>99914477</v>
      </c>
      <c r="B4478" t="s">
        <v>32</v>
      </c>
      <c r="C4478" t="s">
        <v>111</v>
      </c>
      <c r="D4478" t="s">
        <v>112</v>
      </c>
      <c r="G4478" t="s">
        <v>35</v>
      </c>
      <c r="H4478">
        <v>1</v>
      </c>
      <c r="I4478" t="s">
        <v>1207</v>
      </c>
      <c r="J4478" s="1">
        <v>43344</v>
      </c>
      <c r="K4478" t="s">
        <v>1198</v>
      </c>
      <c r="L4478" t="s">
        <v>1199</v>
      </c>
      <c r="M4478" t="s">
        <v>1130</v>
      </c>
      <c r="N4478">
        <v>24</v>
      </c>
      <c r="O4478" s="1">
        <v>43344</v>
      </c>
      <c r="P4478" t="s">
        <v>41</v>
      </c>
      <c r="Q4478" t="s">
        <v>75</v>
      </c>
      <c r="R4478" t="str">
        <f>"7311006"</f>
        <v>7311006</v>
      </c>
      <c r="S4478" t="s">
        <v>1200</v>
      </c>
      <c r="T4478" t="s">
        <v>1198</v>
      </c>
      <c r="U4478" t="s">
        <v>1199</v>
      </c>
      <c r="V4478" t="s">
        <v>1130</v>
      </c>
      <c r="W4478" t="s">
        <v>44</v>
      </c>
      <c r="X4478" t="s">
        <v>45</v>
      </c>
      <c r="Y4478" s="1">
        <v>32874</v>
      </c>
      <c r="Z4478">
        <v>1</v>
      </c>
      <c r="AA4478" t="s">
        <v>1199</v>
      </c>
      <c r="AB4478" s="40" t="s">
        <v>1799</v>
      </c>
    </row>
    <row r="4479" spans="1:28" x14ac:dyDescent="0.25">
      <c r="A4479">
        <v>99914478</v>
      </c>
      <c r="B4479" t="s">
        <v>32</v>
      </c>
      <c r="C4479" t="s">
        <v>111</v>
      </c>
      <c r="D4479" t="s">
        <v>112</v>
      </c>
      <c r="G4479" t="s">
        <v>35</v>
      </c>
      <c r="H4479">
        <v>1</v>
      </c>
      <c r="I4479" t="s">
        <v>1218</v>
      </c>
      <c r="J4479" s="1">
        <v>43344</v>
      </c>
      <c r="K4479" t="s">
        <v>1198</v>
      </c>
      <c r="L4479" t="s">
        <v>1199</v>
      </c>
      <c r="M4479" t="s">
        <v>1130</v>
      </c>
      <c r="N4479">
        <v>24</v>
      </c>
      <c r="O4479" s="1">
        <v>43344</v>
      </c>
      <c r="P4479" t="s">
        <v>41</v>
      </c>
      <c r="Q4479" t="s">
        <v>75</v>
      </c>
      <c r="R4479" t="str">
        <f>"7311006"</f>
        <v>7311006</v>
      </c>
      <c r="S4479" t="s">
        <v>1200</v>
      </c>
      <c r="T4479" t="s">
        <v>1198</v>
      </c>
      <c r="U4479" t="s">
        <v>1199</v>
      </c>
      <c r="V4479" t="s">
        <v>1130</v>
      </c>
      <c r="W4479" t="s">
        <v>51</v>
      </c>
      <c r="X4479" t="s">
        <v>45</v>
      </c>
      <c r="Y4479" s="1">
        <v>32874</v>
      </c>
      <c r="Z4479">
        <v>1</v>
      </c>
      <c r="AA4479" t="s">
        <v>1199</v>
      </c>
      <c r="AB4479" s="40" t="s">
        <v>1799</v>
      </c>
    </row>
    <row r="4480" spans="1:28" x14ac:dyDescent="0.25">
      <c r="A4480">
        <v>99914479</v>
      </c>
      <c r="B4480" t="s">
        <v>32</v>
      </c>
      <c r="C4480" t="s">
        <v>111</v>
      </c>
      <c r="D4480" t="s">
        <v>112</v>
      </c>
      <c r="G4480" t="s">
        <v>35</v>
      </c>
      <c r="H4480">
        <v>1</v>
      </c>
      <c r="I4480">
        <v>1</v>
      </c>
      <c r="J4480" s="1">
        <v>43344</v>
      </c>
      <c r="K4480" t="s">
        <v>1198</v>
      </c>
      <c r="L4480" t="s">
        <v>1199</v>
      </c>
      <c r="M4480" t="s">
        <v>1130</v>
      </c>
      <c r="N4480">
        <v>24</v>
      </c>
      <c r="O4480" s="1">
        <v>43344</v>
      </c>
      <c r="P4480" t="s">
        <v>41</v>
      </c>
      <c r="Q4480" t="s">
        <v>75</v>
      </c>
      <c r="R4480" t="str">
        <f>"7311010"</f>
        <v>7311010</v>
      </c>
      <c r="S4480" t="s">
        <v>1202</v>
      </c>
      <c r="T4480" t="s">
        <v>1198</v>
      </c>
      <c r="U4480" t="s">
        <v>1199</v>
      </c>
      <c r="V4480" t="s">
        <v>1130</v>
      </c>
      <c r="W4480" t="s">
        <v>44</v>
      </c>
      <c r="X4480" t="s">
        <v>45</v>
      </c>
      <c r="Y4480" s="1">
        <v>32874</v>
      </c>
      <c r="Z4480">
        <v>1</v>
      </c>
      <c r="AA4480" t="s">
        <v>1199</v>
      </c>
      <c r="AB4480" s="40" t="s">
        <v>1799</v>
      </c>
    </row>
    <row r="4481" spans="1:28" x14ac:dyDescent="0.25">
      <c r="A4481">
        <v>99914480</v>
      </c>
      <c r="B4481" t="s">
        <v>32</v>
      </c>
      <c r="C4481" t="s">
        <v>111</v>
      </c>
      <c r="D4481" t="s">
        <v>112</v>
      </c>
      <c r="G4481" t="s">
        <v>35</v>
      </c>
      <c r="H4481">
        <v>1</v>
      </c>
      <c r="I4481" s="1">
        <v>42655</v>
      </c>
      <c r="J4481" s="1">
        <v>43344</v>
      </c>
      <c r="K4481" t="s">
        <v>1341</v>
      </c>
      <c r="L4481" t="s">
        <v>1342</v>
      </c>
      <c r="M4481" t="s">
        <v>1270</v>
      </c>
      <c r="N4481">
        <v>24</v>
      </c>
      <c r="O4481" s="1">
        <v>43344</v>
      </c>
      <c r="P4481" t="s">
        <v>41</v>
      </c>
      <c r="Q4481" t="s">
        <v>75</v>
      </c>
      <c r="R4481" t="str">
        <f>"7191034"</f>
        <v>7191034</v>
      </c>
      <c r="S4481" t="s">
        <v>1343</v>
      </c>
      <c r="T4481" t="s">
        <v>1341</v>
      </c>
      <c r="U4481" t="s">
        <v>1342</v>
      </c>
      <c r="V4481" t="s">
        <v>1270</v>
      </c>
      <c r="W4481" t="s">
        <v>51</v>
      </c>
      <c r="X4481" t="s">
        <v>45</v>
      </c>
      <c r="Y4481" s="1">
        <v>32874</v>
      </c>
      <c r="Z4481">
        <v>1</v>
      </c>
      <c r="AA4481" t="s">
        <v>1342</v>
      </c>
      <c r="AB4481" s="40" t="s">
        <v>1799</v>
      </c>
    </row>
    <row r="4482" spans="1:28" x14ac:dyDescent="0.25">
      <c r="A4482">
        <v>99914481</v>
      </c>
      <c r="B4482" t="s">
        <v>32</v>
      </c>
      <c r="C4482" t="s">
        <v>111</v>
      </c>
      <c r="D4482" t="s">
        <v>112</v>
      </c>
      <c r="G4482" t="s">
        <v>35</v>
      </c>
      <c r="H4482">
        <v>1</v>
      </c>
      <c r="I4482" s="1">
        <v>43344</v>
      </c>
      <c r="J4482" s="1">
        <v>43344</v>
      </c>
      <c r="K4482" t="s">
        <v>1341</v>
      </c>
      <c r="L4482" t="s">
        <v>1342</v>
      </c>
      <c r="M4482" t="s">
        <v>1270</v>
      </c>
      <c r="N4482">
        <v>24</v>
      </c>
      <c r="O4482" s="1">
        <v>43344</v>
      </c>
      <c r="P4482" t="s">
        <v>41</v>
      </c>
      <c r="Q4482" t="s">
        <v>75</v>
      </c>
      <c r="R4482" t="str">
        <f>"7191004"</f>
        <v>7191004</v>
      </c>
      <c r="S4482" t="s">
        <v>1344</v>
      </c>
      <c r="T4482" t="s">
        <v>1341</v>
      </c>
      <c r="U4482" t="s">
        <v>1342</v>
      </c>
      <c r="V4482" t="s">
        <v>1270</v>
      </c>
      <c r="W4482" t="s">
        <v>44</v>
      </c>
      <c r="X4482" t="s">
        <v>45</v>
      </c>
      <c r="Y4482" s="1">
        <v>32874</v>
      </c>
      <c r="Z4482">
        <v>1</v>
      </c>
      <c r="AA4482" t="s">
        <v>1342</v>
      </c>
      <c r="AB4482" s="40" t="s">
        <v>1799</v>
      </c>
    </row>
    <row r="4483" spans="1:28" x14ac:dyDescent="0.25">
      <c r="A4483">
        <v>99914482</v>
      </c>
      <c r="B4483" t="s">
        <v>32</v>
      </c>
      <c r="C4483" t="s">
        <v>111</v>
      </c>
      <c r="D4483" t="s">
        <v>112</v>
      </c>
      <c r="G4483" t="s">
        <v>48</v>
      </c>
      <c r="H4483">
        <v>1</v>
      </c>
      <c r="I4483" t="s">
        <v>1023</v>
      </c>
      <c r="J4483" s="1">
        <v>42387</v>
      </c>
      <c r="K4483" t="s">
        <v>667</v>
      </c>
      <c r="L4483" t="s">
        <v>669</v>
      </c>
      <c r="M4483" t="s">
        <v>670</v>
      </c>
      <c r="N4483">
        <v>24</v>
      </c>
      <c r="O4483" s="1">
        <v>42387</v>
      </c>
      <c r="P4483" t="s">
        <v>41</v>
      </c>
      <c r="Q4483" t="s">
        <v>75</v>
      </c>
      <c r="R4483" t="str">
        <f>"7501002"</f>
        <v>7501002</v>
      </c>
      <c r="S4483" t="s">
        <v>1519</v>
      </c>
      <c r="T4483" t="s">
        <v>667</v>
      </c>
      <c r="U4483" t="s">
        <v>669</v>
      </c>
      <c r="V4483" t="s">
        <v>670</v>
      </c>
      <c r="W4483" t="s">
        <v>51</v>
      </c>
      <c r="X4483" t="s">
        <v>45</v>
      </c>
      <c r="Y4483" s="1">
        <v>32874</v>
      </c>
      <c r="Z4483">
        <v>1</v>
      </c>
      <c r="AA4483" t="s">
        <v>669</v>
      </c>
      <c r="AB4483" s="40" t="s">
        <v>1799</v>
      </c>
    </row>
    <row r="4484" spans="1:28" x14ac:dyDescent="0.25">
      <c r="A4484">
        <v>99914483</v>
      </c>
      <c r="B4484" t="s">
        <v>32</v>
      </c>
      <c r="C4484" t="s">
        <v>111</v>
      </c>
      <c r="D4484" t="s">
        <v>112</v>
      </c>
      <c r="G4484" t="s">
        <v>48</v>
      </c>
      <c r="H4484">
        <v>1</v>
      </c>
      <c r="K4484" t="s">
        <v>1341</v>
      </c>
      <c r="L4484" t="s">
        <v>1342</v>
      </c>
      <c r="M4484" t="s">
        <v>1270</v>
      </c>
      <c r="N4484">
        <v>24</v>
      </c>
      <c r="P4484" t="s">
        <v>41</v>
      </c>
      <c r="Q4484" t="s">
        <v>75</v>
      </c>
      <c r="R4484" t="str">
        <f>"7191036"</f>
        <v>7191036</v>
      </c>
      <c r="S4484" t="s">
        <v>1348</v>
      </c>
      <c r="T4484" t="s">
        <v>1341</v>
      </c>
      <c r="U4484" t="s">
        <v>1342</v>
      </c>
      <c r="V4484" t="s">
        <v>1270</v>
      </c>
      <c r="W4484" t="s">
        <v>165</v>
      </c>
      <c r="X4484" t="s">
        <v>45</v>
      </c>
      <c r="Y4484" s="1">
        <v>32870</v>
      </c>
      <c r="Z4484">
        <v>1</v>
      </c>
      <c r="AA4484" t="s">
        <v>1342</v>
      </c>
      <c r="AB4484" s="40" t="s">
        <v>1799</v>
      </c>
    </row>
    <row r="4485" spans="1:28" x14ac:dyDescent="0.25">
      <c r="A4485">
        <v>99914484</v>
      </c>
      <c r="B4485" t="s">
        <v>32</v>
      </c>
      <c r="C4485" t="s">
        <v>111</v>
      </c>
      <c r="D4485" t="s">
        <v>112</v>
      </c>
      <c r="G4485" t="s">
        <v>35</v>
      </c>
      <c r="H4485">
        <v>1</v>
      </c>
      <c r="I4485">
        <v>17054</v>
      </c>
      <c r="J4485" s="1">
        <v>43344</v>
      </c>
      <c r="K4485" t="s">
        <v>877</v>
      </c>
      <c r="L4485" t="s">
        <v>878</v>
      </c>
      <c r="M4485" t="s">
        <v>131</v>
      </c>
      <c r="N4485">
        <v>24</v>
      </c>
      <c r="O4485" s="1">
        <v>43344</v>
      </c>
      <c r="P4485" t="s">
        <v>41</v>
      </c>
      <c r="Q4485" t="s">
        <v>75</v>
      </c>
      <c r="R4485" t="str">
        <f>"7541004"</f>
        <v>7541004</v>
      </c>
      <c r="S4485" t="s">
        <v>889</v>
      </c>
      <c r="T4485" t="s">
        <v>877</v>
      </c>
      <c r="U4485" t="s">
        <v>878</v>
      </c>
      <c r="V4485" t="s">
        <v>131</v>
      </c>
      <c r="W4485" t="s">
        <v>44</v>
      </c>
      <c r="X4485" t="s">
        <v>45</v>
      </c>
      <c r="Y4485" s="1">
        <v>32868</v>
      </c>
      <c r="Z4485">
        <v>1</v>
      </c>
      <c r="AA4485" t="s">
        <v>878</v>
      </c>
      <c r="AB4485" s="40" t="s">
        <v>1799</v>
      </c>
    </row>
    <row r="4486" spans="1:28" x14ac:dyDescent="0.25">
      <c r="A4486">
        <v>99914485</v>
      </c>
      <c r="B4486" t="s">
        <v>32</v>
      </c>
      <c r="C4486" t="s">
        <v>111</v>
      </c>
      <c r="D4486" t="s">
        <v>112</v>
      </c>
      <c r="G4486" t="s">
        <v>35</v>
      </c>
      <c r="H4486">
        <v>5</v>
      </c>
      <c r="I4486">
        <v>937</v>
      </c>
      <c r="J4486" s="1">
        <v>43344</v>
      </c>
      <c r="K4486" t="s">
        <v>1198</v>
      </c>
      <c r="L4486" t="s">
        <v>1199</v>
      </c>
      <c r="M4486" t="s">
        <v>1130</v>
      </c>
      <c r="N4486">
        <v>24</v>
      </c>
      <c r="O4486" s="1">
        <v>43344</v>
      </c>
      <c r="P4486" t="s">
        <v>41</v>
      </c>
      <c r="Q4486" t="s">
        <v>75</v>
      </c>
      <c r="R4486" t="str">
        <f>"7311002"</f>
        <v>7311002</v>
      </c>
      <c r="S4486" t="s">
        <v>1203</v>
      </c>
      <c r="T4486" t="s">
        <v>1198</v>
      </c>
      <c r="U4486" t="s">
        <v>1199</v>
      </c>
      <c r="V4486" t="s">
        <v>1130</v>
      </c>
      <c r="W4486" t="s">
        <v>51</v>
      </c>
      <c r="X4486" t="s">
        <v>45</v>
      </c>
      <c r="Y4486" s="1">
        <v>32865</v>
      </c>
      <c r="Z4486">
        <v>1</v>
      </c>
      <c r="AA4486" t="s">
        <v>1199</v>
      </c>
      <c r="AB4486" s="40" t="s">
        <v>1799</v>
      </c>
    </row>
    <row r="4487" spans="1:28" x14ac:dyDescent="0.25">
      <c r="A4487">
        <v>99914486</v>
      </c>
      <c r="B4487" t="s">
        <v>32</v>
      </c>
      <c r="C4487" t="s">
        <v>111</v>
      </c>
      <c r="D4487" t="s">
        <v>112</v>
      </c>
      <c r="G4487" t="s">
        <v>88</v>
      </c>
      <c r="H4487">
        <v>2</v>
      </c>
      <c r="I4487" t="s">
        <v>826</v>
      </c>
      <c r="J4487" s="1">
        <v>42829</v>
      </c>
      <c r="K4487" t="s">
        <v>354</v>
      </c>
      <c r="L4487" t="s">
        <v>355</v>
      </c>
      <c r="M4487" t="s">
        <v>131</v>
      </c>
      <c r="N4487">
        <v>24</v>
      </c>
      <c r="O4487" s="1">
        <v>42829</v>
      </c>
      <c r="P4487" t="s">
        <v>41</v>
      </c>
      <c r="Q4487" t="s">
        <v>75</v>
      </c>
      <c r="R4487" t="str">
        <f>"7054000"</f>
        <v>7054000</v>
      </c>
      <c r="S4487" t="s">
        <v>786</v>
      </c>
      <c r="T4487" t="s">
        <v>354</v>
      </c>
      <c r="U4487" t="s">
        <v>355</v>
      </c>
      <c r="V4487" t="s">
        <v>131</v>
      </c>
      <c r="W4487" t="s">
        <v>51</v>
      </c>
      <c r="X4487" t="s">
        <v>45</v>
      </c>
      <c r="Y4487" s="1">
        <v>32864</v>
      </c>
      <c r="Z4487">
        <v>1</v>
      </c>
      <c r="AA4487" t="s">
        <v>355</v>
      </c>
      <c r="AB4487" s="40" t="s">
        <v>1799</v>
      </c>
    </row>
    <row r="4488" spans="1:28" x14ac:dyDescent="0.25">
      <c r="A4488">
        <v>99914487</v>
      </c>
      <c r="B4488" t="s">
        <v>56</v>
      </c>
      <c r="C4488" t="s">
        <v>111</v>
      </c>
      <c r="D4488" t="s">
        <v>112</v>
      </c>
      <c r="G4488" t="s">
        <v>35</v>
      </c>
      <c r="H4488">
        <v>1</v>
      </c>
      <c r="K4488" t="s">
        <v>877</v>
      </c>
      <c r="L4488" t="s">
        <v>878</v>
      </c>
      <c r="M4488" t="s">
        <v>131</v>
      </c>
      <c r="N4488">
        <v>24</v>
      </c>
      <c r="P4488" t="s">
        <v>41</v>
      </c>
      <c r="Q4488" t="s">
        <v>75</v>
      </c>
      <c r="R4488" t="str">
        <f>"7700025"</f>
        <v>7700025</v>
      </c>
      <c r="S4488" t="s">
        <v>880</v>
      </c>
      <c r="T4488" t="s">
        <v>877</v>
      </c>
      <c r="U4488" t="s">
        <v>878</v>
      </c>
      <c r="V4488" t="s">
        <v>131</v>
      </c>
      <c r="W4488" t="s">
        <v>51</v>
      </c>
      <c r="X4488" t="s">
        <v>45</v>
      </c>
      <c r="Y4488" s="1">
        <v>32861</v>
      </c>
      <c r="Z4488">
        <v>1</v>
      </c>
      <c r="AA4488" t="s">
        <v>878</v>
      </c>
      <c r="AB4488" s="40" t="s">
        <v>1799</v>
      </c>
    </row>
    <row r="4489" spans="1:28" x14ac:dyDescent="0.25">
      <c r="A4489">
        <v>99914488</v>
      </c>
      <c r="B4489" t="s">
        <v>32</v>
      </c>
      <c r="C4489" t="s">
        <v>111</v>
      </c>
      <c r="D4489" t="s">
        <v>112</v>
      </c>
      <c r="G4489" t="s">
        <v>35</v>
      </c>
      <c r="H4489">
        <v>1</v>
      </c>
      <c r="I4489">
        <v>14594</v>
      </c>
      <c r="J4489" s="1">
        <v>43344</v>
      </c>
      <c r="K4489" t="s">
        <v>354</v>
      </c>
      <c r="L4489" t="s">
        <v>355</v>
      </c>
      <c r="M4489" t="s">
        <v>131</v>
      </c>
      <c r="N4489">
        <v>24</v>
      </c>
      <c r="O4489" s="1">
        <v>43344</v>
      </c>
      <c r="P4489" t="s">
        <v>41</v>
      </c>
      <c r="Q4489" t="s">
        <v>75</v>
      </c>
      <c r="R4489" t="str">
        <f>"7054006"</f>
        <v>7054006</v>
      </c>
      <c r="S4489" t="s">
        <v>774</v>
      </c>
      <c r="T4489" t="s">
        <v>354</v>
      </c>
      <c r="U4489" t="s">
        <v>355</v>
      </c>
      <c r="V4489" t="s">
        <v>131</v>
      </c>
      <c r="W4489" t="s">
        <v>51</v>
      </c>
      <c r="X4489" t="s">
        <v>45</v>
      </c>
      <c r="Y4489" s="1">
        <v>32854</v>
      </c>
      <c r="Z4489">
        <v>1</v>
      </c>
      <c r="AA4489" t="s">
        <v>355</v>
      </c>
      <c r="AB4489" s="40" t="s">
        <v>1799</v>
      </c>
    </row>
    <row r="4490" spans="1:28" x14ac:dyDescent="0.25">
      <c r="A4490">
        <v>99914489</v>
      </c>
      <c r="B4490" t="s">
        <v>32</v>
      </c>
      <c r="C4490" t="s">
        <v>111</v>
      </c>
      <c r="D4490" t="s">
        <v>112</v>
      </c>
      <c r="G4490" t="s">
        <v>35</v>
      </c>
      <c r="H4490">
        <v>3</v>
      </c>
      <c r="I4490" t="s">
        <v>655</v>
      </c>
      <c r="J4490" s="1">
        <v>43388</v>
      </c>
      <c r="K4490" t="s">
        <v>268</v>
      </c>
      <c r="L4490" t="s">
        <v>269</v>
      </c>
      <c r="M4490" t="s">
        <v>131</v>
      </c>
      <c r="N4490">
        <v>24</v>
      </c>
      <c r="O4490" s="1">
        <v>43388</v>
      </c>
      <c r="P4490" t="s">
        <v>41</v>
      </c>
      <c r="Q4490" t="s">
        <v>75</v>
      </c>
      <c r="R4490" t="str">
        <f>"7052006"</f>
        <v>7052006</v>
      </c>
      <c r="S4490" t="s">
        <v>575</v>
      </c>
      <c r="T4490" t="s">
        <v>268</v>
      </c>
      <c r="U4490" t="s">
        <v>269</v>
      </c>
      <c r="V4490" t="s">
        <v>131</v>
      </c>
      <c r="W4490" t="s">
        <v>44</v>
      </c>
      <c r="X4490" t="s">
        <v>45</v>
      </c>
      <c r="Y4490" s="1">
        <v>32848</v>
      </c>
      <c r="Z4490">
        <v>1</v>
      </c>
      <c r="AA4490" t="s">
        <v>269</v>
      </c>
      <c r="AB4490" s="40" t="s">
        <v>1799</v>
      </c>
    </row>
    <row r="4491" spans="1:28" x14ac:dyDescent="0.25">
      <c r="A4491">
        <v>99914490</v>
      </c>
      <c r="B4491" t="s">
        <v>32</v>
      </c>
      <c r="C4491" t="s">
        <v>111</v>
      </c>
      <c r="D4491" t="s">
        <v>112</v>
      </c>
      <c r="G4491" t="s">
        <v>48</v>
      </c>
      <c r="H4491">
        <v>1</v>
      </c>
      <c r="K4491" t="s">
        <v>1695</v>
      </c>
      <c r="L4491" t="s">
        <v>1696</v>
      </c>
      <c r="M4491" t="s">
        <v>1592</v>
      </c>
      <c r="N4491">
        <v>24</v>
      </c>
      <c r="P4491" t="s">
        <v>41</v>
      </c>
      <c r="Q4491" t="s">
        <v>75</v>
      </c>
      <c r="R4491" t="str">
        <f>"7361000"</f>
        <v>7361000</v>
      </c>
      <c r="S4491" t="s">
        <v>1698</v>
      </c>
      <c r="T4491" t="s">
        <v>1695</v>
      </c>
      <c r="U4491" t="s">
        <v>1696</v>
      </c>
      <c r="V4491" t="s">
        <v>1592</v>
      </c>
      <c r="W4491" t="s">
        <v>51</v>
      </c>
      <c r="X4491" t="s">
        <v>45</v>
      </c>
      <c r="Y4491" s="1">
        <v>32847</v>
      </c>
      <c r="Z4491">
        <v>1</v>
      </c>
      <c r="AA4491" t="s">
        <v>1696</v>
      </c>
      <c r="AB4491" s="40" t="s">
        <v>1799</v>
      </c>
    </row>
    <row r="4492" spans="1:28" x14ac:dyDescent="0.25">
      <c r="A4492">
        <v>99914491</v>
      </c>
      <c r="B4492" t="s">
        <v>56</v>
      </c>
      <c r="C4492" t="s">
        <v>1364</v>
      </c>
      <c r="D4492" t="s">
        <v>598</v>
      </c>
      <c r="G4492" t="s">
        <v>35</v>
      </c>
      <c r="H4492">
        <v>1</v>
      </c>
      <c r="I4492" s="1">
        <v>42614</v>
      </c>
      <c r="J4492" s="1">
        <v>43344</v>
      </c>
      <c r="K4492" t="s">
        <v>1341</v>
      </c>
      <c r="L4492" t="s">
        <v>1342</v>
      </c>
      <c r="M4492" t="s">
        <v>1270</v>
      </c>
      <c r="N4492">
        <v>24</v>
      </c>
      <c r="O4492" s="1">
        <v>43344</v>
      </c>
      <c r="P4492" t="s">
        <v>41</v>
      </c>
      <c r="Q4492" t="s">
        <v>75</v>
      </c>
      <c r="R4492" t="str">
        <f>"7191000"</f>
        <v>7191000</v>
      </c>
      <c r="S4492" t="s">
        <v>1347</v>
      </c>
      <c r="T4492" t="s">
        <v>1341</v>
      </c>
      <c r="U4492" t="s">
        <v>1342</v>
      </c>
      <c r="V4492" t="s">
        <v>1270</v>
      </c>
      <c r="W4492" t="s">
        <v>51</v>
      </c>
      <c r="X4492" t="s">
        <v>45</v>
      </c>
      <c r="Y4492" s="1">
        <v>32845</v>
      </c>
      <c r="Z4492">
        <v>1</v>
      </c>
      <c r="AA4492" t="s">
        <v>1342</v>
      </c>
      <c r="AB4492" s="40" t="s">
        <v>1799</v>
      </c>
    </row>
    <row r="4493" spans="1:28" x14ac:dyDescent="0.25">
      <c r="A4493">
        <v>99914492</v>
      </c>
      <c r="B4493" t="s">
        <v>32</v>
      </c>
      <c r="C4493" t="s">
        <v>111</v>
      </c>
      <c r="D4493" t="s">
        <v>112</v>
      </c>
      <c r="G4493" t="s">
        <v>35</v>
      </c>
      <c r="H4493">
        <v>1</v>
      </c>
      <c r="I4493">
        <v>10610</v>
      </c>
      <c r="J4493" s="1">
        <v>43344</v>
      </c>
      <c r="K4493" t="s">
        <v>354</v>
      </c>
      <c r="L4493" t="s">
        <v>355</v>
      </c>
      <c r="M4493" t="s">
        <v>131</v>
      </c>
      <c r="N4493">
        <v>24</v>
      </c>
      <c r="O4493" s="1">
        <v>43344</v>
      </c>
      <c r="P4493" t="s">
        <v>41</v>
      </c>
      <c r="Q4493" t="s">
        <v>75</v>
      </c>
      <c r="R4493" t="str">
        <f>"7054042"</f>
        <v>7054042</v>
      </c>
      <c r="S4493" t="s">
        <v>776</v>
      </c>
      <c r="T4493" t="s">
        <v>354</v>
      </c>
      <c r="U4493" t="s">
        <v>355</v>
      </c>
      <c r="V4493" t="s">
        <v>131</v>
      </c>
      <c r="W4493" t="s">
        <v>51</v>
      </c>
      <c r="X4493" t="s">
        <v>45</v>
      </c>
      <c r="Y4493" s="1">
        <v>32840</v>
      </c>
      <c r="Z4493">
        <v>1</v>
      </c>
      <c r="AA4493" t="s">
        <v>355</v>
      </c>
      <c r="AB4493" s="40" t="s">
        <v>1799</v>
      </c>
    </row>
    <row r="4494" spans="1:28" x14ac:dyDescent="0.25">
      <c r="A4494">
        <v>99914493</v>
      </c>
      <c r="B4494" t="s">
        <v>32</v>
      </c>
      <c r="C4494" t="s">
        <v>90</v>
      </c>
      <c r="D4494" t="s">
        <v>91</v>
      </c>
      <c r="G4494" t="s">
        <v>35</v>
      </c>
      <c r="H4494">
        <v>1</v>
      </c>
      <c r="I4494" s="1">
        <v>43346</v>
      </c>
      <c r="J4494" s="1">
        <v>43344</v>
      </c>
      <c r="K4494" t="s">
        <v>1341</v>
      </c>
      <c r="L4494" t="s">
        <v>1342</v>
      </c>
      <c r="M4494" t="s">
        <v>1270</v>
      </c>
      <c r="N4494">
        <v>24</v>
      </c>
      <c r="O4494" s="1">
        <v>43344</v>
      </c>
      <c r="P4494" t="s">
        <v>41</v>
      </c>
      <c r="Q4494" t="s">
        <v>75</v>
      </c>
      <c r="R4494" t="str">
        <f>"7191034"</f>
        <v>7191034</v>
      </c>
      <c r="S4494" t="s">
        <v>1343</v>
      </c>
      <c r="T4494" t="s">
        <v>1341</v>
      </c>
      <c r="U4494" t="s">
        <v>1342</v>
      </c>
      <c r="V4494" t="s">
        <v>1270</v>
      </c>
      <c r="W4494" t="s">
        <v>44</v>
      </c>
      <c r="X4494" t="s">
        <v>45</v>
      </c>
      <c r="Y4494" s="1">
        <v>32837</v>
      </c>
      <c r="Z4494">
        <v>1</v>
      </c>
      <c r="AA4494" t="s">
        <v>1342</v>
      </c>
      <c r="AB4494" s="40" t="s">
        <v>1799</v>
      </c>
    </row>
    <row r="4495" spans="1:28" x14ac:dyDescent="0.25">
      <c r="A4495">
        <v>99914494</v>
      </c>
      <c r="B4495" t="s">
        <v>32</v>
      </c>
      <c r="C4495" t="s">
        <v>111</v>
      </c>
      <c r="D4495" t="s">
        <v>112</v>
      </c>
      <c r="G4495" t="s">
        <v>35</v>
      </c>
      <c r="H4495">
        <v>1</v>
      </c>
      <c r="I4495" s="1">
        <v>42614</v>
      </c>
      <c r="J4495" s="1">
        <v>43344</v>
      </c>
      <c r="K4495" t="s">
        <v>1341</v>
      </c>
      <c r="L4495" t="s">
        <v>1342</v>
      </c>
      <c r="M4495" t="s">
        <v>1270</v>
      </c>
      <c r="N4495">
        <v>24</v>
      </c>
      <c r="O4495" s="1">
        <v>43344</v>
      </c>
      <c r="P4495" t="s">
        <v>41</v>
      </c>
      <c r="Q4495" t="s">
        <v>75</v>
      </c>
      <c r="R4495" t="str">
        <f>"7191034"</f>
        <v>7191034</v>
      </c>
      <c r="S4495" t="s">
        <v>1343</v>
      </c>
      <c r="T4495" t="s">
        <v>1341</v>
      </c>
      <c r="U4495" t="s">
        <v>1342</v>
      </c>
      <c r="V4495" t="s">
        <v>1270</v>
      </c>
      <c r="W4495" t="s">
        <v>51</v>
      </c>
      <c r="X4495" t="s">
        <v>45</v>
      </c>
      <c r="Y4495" s="1">
        <v>32836</v>
      </c>
      <c r="Z4495">
        <v>1</v>
      </c>
      <c r="AA4495" t="s">
        <v>1342</v>
      </c>
      <c r="AB4495" s="40" t="s">
        <v>1799</v>
      </c>
    </row>
    <row r="4496" spans="1:28" x14ac:dyDescent="0.25">
      <c r="A4496">
        <v>99914495</v>
      </c>
      <c r="B4496" t="s">
        <v>32</v>
      </c>
      <c r="C4496" t="s">
        <v>111</v>
      </c>
      <c r="D4496" t="s">
        <v>112</v>
      </c>
      <c r="G4496" t="s">
        <v>35</v>
      </c>
      <c r="H4496">
        <v>1</v>
      </c>
      <c r="I4496" t="s">
        <v>1440</v>
      </c>
      <c r="J4496" s="1">
        <v>43346</v>
      </c>
      <c r="K4496" t="s">
        <v>1426</v>
      </c>
      <c r="L4496" t="s">
        <v>1427</v>
      </c>
      <c r="M4496" t="s">
        <v>1270</v>
      </c>
      <c r="N4496">
        <v>24</v>
      </c>
      <c r="O4496" s="1">
        <v>43346</v>
      </c>
      <c r="P4496" t="s">
        <v>41</v>
      </c>
      <c r="Q4496" t="s">
        <v>75</v>
      </c>
      <c r="R4496" t="str">
        <f>"7192004"</f>
        <v>7192004</v>
      </c>
      <c r="S4496" t="s">
        <v>1428</v>
      </c>
      <c r="T4496" t="s">
        <v>1426</v>
      </c>
      <c r="U4496" t="s">
        <v>1427</v>
      </c>
      <c r="V4496" t="s">
        <v>1270</v>
      </c>
      <c r="W4496" t="s">
        <v>44</v>
      </c>
      <c r="X4496" t="s">
        <v>45</v>
      </c>
      <c r="Y4496" s="1">
        <v>32825</v>
      </c>
      <c r="Z4496">
        <v>1</v>
      </c>
      <c r="AA4496" t="s">
        <v>1427</v>
      </c>
      <c r="AB4496" s="40" t="s">
        <v>1799</v>
      </c>
    </row>
    <row r="4497" spans="1:28" x14ac:dyDescent="0.25">
      <c r="A4497">
        <v>99914496</v>
      </c>
      <c r="B4497" t="s">
        <v>32</v>
      </c>
      <c r="C4497" t="s">
        <v>111</v>
      </c>
      <c r="D4497" t="s">
        <v>112</v>
      </c>
      <c r="G4497" t="s">
        <v>48</v>
      </c>
      <c r="H4497">
        <v>1</v>
      </c>
      <c r="K4497" t="s">
        <v>154</v>
      </c>
      <c r="L4497" t="s">
        <v>155</v>
      </c>
      <c r="M4497" t="s">
        <v>131</v>
      </c>
      <c r="N4497">
        <v>24</v>
      </c>
      <c r="P4497" t="s">
        <v>41</v>
      </c>
      <c r="Q4497" t="s">
        <v>75</v>
      </c>
      <c r="R4497" t="str">
        <f>"7051018"</f>
        <v>7051018</v>
      </c>
      <c r="S4497" t="s">
        <v>401</v>
      </c>
      <c r="T4497" t="s">
        <v>154</v>
      </c>
      <c r="U4497" t="s">
        <v>155</v>
      </c>
      <c r="V4497" t="s">
        <v>131</v>
      </c>
      <c r="W4497" t="s">
        <v>51</v>
      </c>
      <c r="X4497" t="s">
        <v>45</v>
      </c>
      <c r="Y4497" s="1">
        <v>32822</v>
      </c>
      <c r="Z4497">
        <v>1</v>
      </c>
      <c r="AA4497" t="s">
        <v>155</v>
      </c>
      <c r="AB4497" s="40" t="s">
        <v>1799</v>
      </c>
    </row>
    <row r="4498" spans="1:28" x14ac:dyDescent="0.25">
      <c r="A4498">
        <v>99914497</v>
      </c>
      <c r="B4498" t="s">
        <v>32</v>
      </c>
      <c r="C4498" t="s">
        <v>111</v>
      </c>
      <c r="D4498" t="s">
        <v>112</v>
      </c>
      <c r="G4498" t="s">
        <v>35</v>
      </c>
      <c r="H4498">
        <v>1</v>
      </c>
      <c r="I4498" t="s">
        <v>809</v>
      </c>
      <c r="J4498" s="1">
        <v>43344</v>
      </c>
      <c r="K4498" t="s">
        <v>354</v>
      </c>
      <c r="L4498" t="s">
        <v>355</v>
      </c>
      <c r="M4498" t="s">
        <v>131</v>
      </c>
      <c r="N4498">
        <v>24</v>
      </c>
      <c r="O4498" s="1">
        <v>43344</v>
      </c>
      <c r="P4498" t="s">
        <v>41</v>
      </c>
      <c r="Q4498" t="s">
        <v>75</v>
      </c>
      <c r="R4498" t="str">
        <f>"7054010"</f>
        <v>7054010</v>
      </c>
      <c r="S4498" t="s">
        <v>810</v>
      </c>
      <c r="T4498" t="s">
        <v>354</v>
      </c>
      <c r="U4498" t="s">
        <v>355</v>
      </c>
      <c r="V4498" t="s">
        <v>131</v>
      </c>
      <c r="W4498" t="s">
        <v>51</v>
      </c>
      <c r="X4498" t="s">
        <v>45</v>
      </c>
      <c r="Y4498" s="1">
        <v>32822</v>
      </c>
      <c r="Z4498">
        <v>1</v>
      </c>
      <c r="AA4498" t="s">
        <v>355</v>
      </c>
      <c r="AB4498" s="40" t="s">
        <v>1799</v>
      </c>
    </row>
    <row r="4499" spans="1:28" x14ac:dyDescent="0.25">
      <c r="A4499">
        <v>99914498</v>
      </c>
      <c r="B4499" t="s">
        <v>56</v>
      </c>
      <c r="C4499" t="s">
        <v>111</v>
      </c>
      <c r="D4499" t="s">
        <v>112</v>
      </c>
      <c r="G4499" t="s">
        <v>35</v>
      </c>
      <c r="H4499">
        <v>1</v>
      </c>
      <c r="K4499" t="s">
        <v>431</v>
      </c>
      <c r="L4499" t="s">
        <v>196</v>
      </c>
      <c r="M4499" t="s">
        <v>131</v>
      </c>
      <c r="N4499">
        <v>24</v>
      </c>
      <c r="P4499" t="s">
        <v>41</v>
      </c>
      <c r="Q4499" t="s">
        <v>75</v>
      </c>
      <c r="R4499" t="str">
        <f>"7521032"</f>
        <v>7521032</v>
      </c>
      <c r="S4499" t="s">
        <v>462</v>
      </c>
      <c r="T4499" t="s">
        <v>431</v>
      </c>
      <c r="U4499" t="s">
        <v>196</v>
      </c>
      <c r="V4499" t="s">
        <v>131</v>
      </c>
      <c r="W4499" t="s">
        <v>51</v>
      </c>
      <c r="X4499" t="s">
        <v>45</v>
      </c>
      <c r="Y4499" s="1">
        <v>32819</v>
      </c>
      <c r="Z4499">
        <v>1</v>
      </c>
      <c r="AA4499" t="s">
        <v>196</v>
      </c>
      <c r="AB4499" s="40" t="s">
        <v>1799</v>
      </c>
    </row>
    <row r="4500" spans="1:28" x14ac:dyDescent="0.25">
      <c r="A4500">
        <v>99914499</v>
      </c>
      <c r="B4500" t="s">
        <v>32</v>
      </c>
      <c r="C4500" t="s">
        <v>111</v>
      </c>
      <c r="D4500" t="s">
        <v>112</v>
      </c>
      <c r="G4500" t="s">
        <v>48</v>
      </c>
      <c r="H4500">
        <v>1</v>
      </c>
      <c r="K4500" t="s">
        <v>1198</v>
      </c>
      <c r="L4500" t="s">
        <v>1199</v>
      </c>
      <c r="M4500" t="s">
        <v>1130</v>
      </c>
      <c r="N4500">
        <v>24</v>
      </c>
      <c r="P4500" t="s">
        <v>41</v>
      </c>
      <c r="Q4500" t="s">
        <v>75</v>
      </c>
      <c r="R4500" t="str">
        <f>"7311006"</f>
        <v>7311006</v>
      </c>
      <c r="S4500" t="s">
        <v>1200</v>
      </c>
      <c r="T4500" t="s">
        <v>1198</v>
      </c>
      <c r="U4500" t="s">
        <v>1199</v>
      </c>
      <c r="V4500" t="s">
        <v>1130</v>
      </c>
      <c r="W4500" t="s">
        <v>51</v>
      </c>
      <c r="X4500" t="s">
        <v>45</v>
      </c>
      <c r="Y4500" s="1">
        <v>32812</v>
      </c>
      <c r="Z4500">
        <v>1</v>
      </c>
      <c r="AA4500" t="s">
        <v>1199</v>
      </c>
      <c r="AB4500" s="40" t="s">
        <v>1799</v>
      </c>
    </row>
    <row r="4501" spans="1:28" x14ac:dyDescent="0.25">
      <c r="A4501">
        <v>99914500</v>
      </c>
      <c r="B4501" t="s">
        <v>32</v>
      </c>
      <c r="C4501" t="s">
        <v>111</v>
      </c>
      <c r="D4501" t="s">
        <v>112</v>
      </c>
      <c r="G4501" t="s">
        <v>35</v>
      </c>
      <c r="H4501">
        <v>1</v>
      </c>
      <c r="K4501" t="s">
        <v>1198</v>
      </c>
      <c r="L4501" t="s">
        <v>1199</v>
      </c>
      <c r="M4501" t="s">
        <v>1130</v>
      </c>
      <c r="N4501">
        <v>24</v>
      </c>
      <c r="P4501" t="s">
        <v>41</v>
      </c>
      <c r="Q4501" t="s">
        <v>75</v>
      </c>
      <c r="R4501" t="str">
        <f>"7311008"</f>
        <v>7311008</v>
      </c>
      <c r="S4501" t="s">
        <v>1205</v>
      </c>
      <c r="T4501" t="s">
        <v>1198</v>
      </c>
      <c r="U4501" t="s">
        <v>1199</v>
      </c>
      <c r="V4501" t="s">
        <v>1130</v>
      </c>
      <c r="W4501" t="s">
        <v>51</v>
      </c>
      <c r="X4501" t="s">
        <v>45</v>
      </c>
      <c r="Y4501" s="1">
        <v>32800</v>
      </c>
      <c r="Z4501">
        <v>1</v>
      </c>
      <c r="AA4501" t="s">
        <v>1199</v>
      </c>
      <c r="AB4501" s="40" t="s">
        <v>1799</v>
      </c>
    </row>
    <row r="4502" spans="1:28" x14ac:dyDescent="0.25">
      <c r="A4502">
        <v>99914501</v>
      </c>
      <c r="B4502" t="s">
        <v>32</v>
      </c>
      <c r="C4502" t="s">
        <v>111</v>
      </c>
      <c r="D4502" t="s">
        <v>112</v>
      </c>
      <c r="G4502" t="s">
        <v>35</v>
      </c>
      <c r="H4502">
        <v>1</v>
      </c>
      <c r="K4502" t="s">
        <v>877</v>
      </c>
      <c r="L4502" t="s">
        <v>878</v>
      </c>
      <c r="M4502" t="s">
        <v>131</v>
      </c>
      <c r="N4502">
        <v>24</v>
      </c>
      <c r="P4502" t="s">
        <v>41</v>
      </c>
      <c r="Q4502" t="s">
        <v>75</v>
      </c>
      <c r="R4502" t="str">
        <f>"7700025"</f>
        <v>7700025</v>
      </c>
      <c r="S4502" t="s">
        <v>880</v>
      </c>
      <c r="T4502" t="s">
        <v>877</v>
      </c>
      <c r="U4502" t="s">
        <v>878</v>
      </c>
      <c r="V4502" t="s">
        <v>131</v>
      </c>
      <c r="W4502" t="s">
        <v>51</v>
      </c>
      <c r="X4502" t="s">
        <v>45</v>
      </c>
      <c r="Y4502" s="1">
        <v>32794</v>
      </c>
      <c r="Z4502">
        <v>1</v>
      </c>
      <c r="AA4502" t="s">
        <v>878</v>
      </c>
      <c r="AB4502" s="40" t="s">
        <v>1799</v>
      </c>
    </row>
    <row r="4503" spans="1:28" x14ac:dyDescent="0.25">
      <c r="A4503">
        <v>99914502</v>
      </c>
      <c r="B4503" t="s">
        <v>56</v>
      </c>
      <c r="C4503" t="s">
        <v>111</v>
      </c>
      <c r="D4503" t="s">
        <v>112</v>
      </c>
      <c r="G4503" t="s">
        <v>88</v>
      </c>
      <c r="H4503">
        <v>5</v>
      </c>
      <c r="K4503" t="s">
        <v>1426</v>
      </c>
      <c r="L4503" t="s">
        <v>1427</v>
      </c>
      <c r="M4503" t="s">
        <v>1270</v>
      </c>
      <c r="N4503">
        <v>24</v>
      </c>
      <c r="P4503" t="s">
        <v>41</v>
      </c>
      <c r="Q4503" t="s">
        <v>75</v>
      </c>
      <c r="R4503" t="str">
        <f>"7192000"</f>
        <v>7192000</v>
      </c>
      <c r="S4503" t="s">
        <v>1429</v>
      </c>
      <c r="T4503" t="s">
        <v>1426</v>
      </c>
      <c r="U4503" t="s">
        <v>1427</v>
      </c>
      <c r="V4503" t="s">
        <v>1270</v>
      </c>
      <c r="W4503" t="s">
        <v>51</v>
      </c>
      <c r="X4503" t="s">
        <v>45</v>
      </c>
      <c r="Y4503" s="1">
        <v>32794</v>
      </c>
      <c r="Z4503">
        <v>1</v>
      </c>
      <c r="AA4503" t="s">
        <v>1427</v>
      </c>
      <c r="AB4503" s="40" t="s">
        <v>1799</v>
      </c>
    </row>
    <row r="4504" spans="1:28" x14ac:dyDescent="0.25">
      <c r="A4504">
        <v>99914503</v>
      </c>
      <c r="B4504" t="s">
        <v>32</v>
      </c>
      <c r="C4504" t="s">
        <v>111</v>
      </c>
      <c r="D4504" t="s">
        <v>112</v>
      </c>
      <c r="G4504" t="s">
        <v>88</v>
      </c>
      <c r="H4504">
        <v>3</v>
      </c>
      <c r="I4504" t="s">
        <v>463</v>
      </c>
      <c r="J4504" s="1">
        <v>41518</v>
      </c>
      <c r="K4504" t="s">
        <v>195</v>
      </c>
      <c r="L4504" t="s">
        <v>196</v>
      </c>
      <c r="M4504" t="s">
        <v>131</v>
      </c>
      <c r="N4504">
        <v>24</v>
      </c>
      <c r="O4504" s="1">
        <v>41518</v>
      </c>
      <c r="P4504" t="s">
        <v>41</v>
      </c>
      <c r="Q4504" t="s">
        <v>75</v>
      </c>
      <c r="R4504" t="str">
        <f>"7521050"</f>
        <v>7521050</v>
      </c>
      <c r="S4504" t="s">
        <v>194</v>
      </c>
      <c r="T4504" t="s">
        <v>195</v>
      </c>
      <c r="U4504" t="s">
        <v>196</v>
      </c>
      <c r="V4504" t="s">
        <v>131</v>
      </c>
      <c r="W4504" t="s">
        <v>51</v>
      </c>
      <c r="X4504" t="s">
        <v>45</v>
      </c>
      <c r="Y4504" s="1">
        <v>32784</v>
      </c>
      <c r="Z4504">
        <v>1</v>
      </c>
      <c r="AA4504" t="s">
        <v>196</v>
      </c>
      <c r="AB4504" s="40" t="s">
        <v>1799</v>
      </c>
    </row>
    <row r="4505" spans="1:28" x14ac:dyDescent="0.25">
      <c r="A4505">
        <v>99914504</v>
      </c>
      <c r="B4505" t="s">
        <v>32</v>
      </c>
      <c r="C4505" t="s">
        <v>111</v>
      </c>
      <c r="D4505" t="s">
        <v>112</v>
      </c>
      <c r="G4505" t="s">
        <v>88</v>
      </c>
      <c r="H4505">
        <v>3</v>
      </c>
      <c r="I4505" t="s">
        <v>492</v>
      </c>
      <c r="J4505" s="1">
        <v>41518</v>
      </c>
      <c r="K4505" t="s">
        <v>195</v>
      </c>
      <c r="L4505" t="s">
        <v>196</v>
      </c>
      <c r="M4505" t="s">
        <v>131</v>
      </c>
      <c r="N4505">
        <v>24</v>
      </c>
      <c r="O4505" s="1">
        <v>41518</v>
      </c>
      <c r="P4505" t="s">
        <v>41</v>
      </c>
      <c r="Q4505" t="s">
        <v>75</v>
      </c>
      <c r="R4505" t="str">
        <f>"7521050"</f>
        <v>7521050</v>
      </c>
      <c r="S4505" t="s">
        <v>194</v>
      </c>
      <c r="T4505" t="s">
        <v>195</v>
      </c>
      <c r="U4505" t="s">
        <v>196</v>
      </c>
      <c r="V4505" t="s">
        <v>131</v>
      </c>
      <c r="W4505" t="s">
        <v>51</v>
      </c>
      <c r="X4505" t="s">
        <v>45</v>
      </c>
      <c r="Y4505" s="1">
        <v>32778</v>
      </c>
      <c r="Z4505">
        <v>1</v>
      </c>
      <c r="AA4505" t="s">
        <v>196</v>
      </c>
      <c r="AB4505" s="40" t="s">
        <v>1799</v>
      </c>
    </row>
    <row r="4506" spans="1:28" x14ac:dyDescent="0.25">
      <c r="A4506">
        <v>99914505</v>
      </c>
      <c r="B4506" t="s">
        <v>32</v>
      </c>
      <c r="C4506" t="s">
        <v>111</v>
      </c>
      <c r="D4506" t="s">
        <v>112</v>
      </c>
      <c r="G4506" t="s">
        <v>35</v>
      </c>
      <c r="H4506">
        <v>1</v>
      </c>
      <c r="K4506" t="s">
        <v>1198</v>
      </c>
      <c r="L4506" t="s">
        <v>1199</v>
      </c>
      <c r="M4506" t="s">
        <v>1130</v>
      </c>
      <c r="N4506">
        <v>24</v>
      </c>
      <c r="P4506" t="s">
        <v>41</v>
      </c>
      <c r="Q4506" t="s">
        <v>75</v>
      </c>
      <c r="R4506" t="str">
        <f>"7311008"</f>
        <v>7311008</v>
      </c>
      <c r="S4506" t="s">
        <v>1205</v>
      </c>
      <c r="T4506" t="s">
        <v>1198</v>
      </c>
      <c r="U4506" t="s">
        <v>1199</v>
      </c>
      <c r="V4506" t="s">
        <v>1130</v>
      </c>
      <c r="W4506" t="s">
        <v>51</v>
      </c>
      <c r="X4506" t="s">
        <v>45</v>
      </c>
      <c r="Y4506" s="1">
        <v>32774</v>
      </c>
      <c r="Z4506">
        <v>1</v>
      </c>
      <c r="AA4506" t="s">
        <v>1199</v>
      </c>
      <c r="AB4506" s="40" t="s">
        <v>1799</v>
      </c>
    </row>
    <row r="4507" spans="1:28" x14ac:dyDescent="0.25">
      <c r="A4507">
        <v>99914506</v>
      </c>
      <c r="B4507" t="s">
        <v>56</v>
      </c>
      <c r="C4507" t="s">
        <v>111</v>
      </c>
      <c r="D4507" t="s">
        <v>112</v>
      </c>
      <c r="G4507" t="s">
        <v>35</v>
      </c>
      <c r="H4507">
        <v>1</v>
      </c>
      <c r="K4507" t="s">
        <v>877</v>
      </c>
      <c r="L4507" t="s">
        <v>878</v>
      </c>
      <c r="M4507" t="s">
        <v>131</v>
      </c>
      <c r="N4507">
        <v>24</v>
      </c>
      <c r="P4507" t="s">
        <v>41</v>
      </c>
      <c r="Q4507" t="s">
        <v>75</v>
      </c>
      <c r="R4507" t="str">
        <f>"7700025"</f>
        <v>7700025</v>
      </c>
      <c r="S4507" t="s">
        <v>880</v>
      </c>
      <c r="T4507" t="s">
        <v>877</v>
      </c>
      <c r="U4507" t="s">
        <v>878</v>
      </c>
      <c r="V4507" t="s">
        <v>131</v>
      </c>
      <c r="W4507" t="s">
        <v>51</v>
      </c>
      <c r="X4507" t="s">
        <v>45</v>
      </c>
      <c r="Y4507" s="1">
        <v>32766</v>
      </c>
      <c r="Z4507">
        <v>1</v>
      </c>
      <c r="AA4507" t="s">
        <v>878</v>
      </c>
      <c r="AB4507" s="40" t="s">
        <v>1799</v>
      </c>
    </row>
    <row r="4508" spans="1:28" x14ac:dyDescent="0.25">
      <c r="A4508">
        <v>99914507</v>
      </c>
      <c r="B4508" t="s">
        <v>32</v>
      </c>
      <c r="C4508" t="s">
        <v>90</v>
      </c>
      <c r="D4508" t="s">
        <v>91</v>
      </c>
      <c r="G4508" t="s">
        <v>35</v>
      </c>
      <c r="H4508">
        <v>1</v>
      </c>
      <c r="I4508">
        <v>191</v>
      </c>
      <c r="J4508" s="1">
        <v>43344</v>
      </c>
      <c r="K4508" t="s">
        <v>268</v>
      </c>
      <c r="L4508" t="s">
        <v>269</v>
      </c>
      <c r="M4508" t="s">
        <v>131</v>
      </c>
      <c r="N4508">
        <v>24</v>
      </c>
      <c r="O4508" s="1">
        <v>43344</v>
      </c>
      <c r="P4508" t="s">
        <v>41</v>
      </c>
      <c r="Q4508" t="s">
        <v>95</v>
      </c>
      <c r="R4508" t="str">
        <f>"7052001"</f>
        <v>7052001</v>
      </c>
      <c r="S4508" t="s">
        <v>576</v>
      </c>
      <c r="T4508" t="s">
        <v>268</v>
      </c>
      <c r="U4508" t="s">
        <v>269</v>
      </c>
      <c r="V4508" t="s">
        <v>131</v>
      </c>
      <c r="W4508" t="s">
        <v>44</v>
      </c>
      <c r="X4508" t="s">
        <v>45</v>
      </c>
      <c r="Y4508" s="1">
        <v>32762</v>
      </c>
      <c r="Z4508">
        <v>1</v>
      </c>
      <c r="AA4508" t="s">
        <v>269</v>
      </c>
      <c r="AB4508" s="40" t="s">
        <v>1799</v>
      </c>
    </row>
    <row r="4509" spans="1:28" x14ac:dyDescent="0.25">
      <c r="A4509">
        <v>99914508</v>
      </c>
      <c r="B4509" t="s">
        <v>32</v>
      </c>
      <c r="C4509" t="s">
        <v>111</v>
      </c>
      <c r="D4509" t="s">
        <v>112</v>
      </c>
      <c r="G4509" t="s">
        <v>35</v>
      </c>
      <c r="H4509">
        <v>1</v>
      </c>
      <c r="I4509" s="1">
        <v>42614</v>
      </c>
      <c r="J4509" s="1">
        <v>43344</v>
      </c>
      <c r="K4509" t="s">
        <v>1341</v>
      </c>
      <c r="L4509" t="s">
        <v>1342</v>
      </c>
      <c r="M4509" t="s">
        <v>1270</v>
      </c>
      <c r="N4509">
        <v>24</v>
      </c>
      <c r="O4509" s="1">
        <v>43344</v>
      </c>
      <c r="P4509" t="s">
        <v>41</v>
      </c>
      <c r="Q4509" t="s">
        <v>75</v>
      </c>
      <c r="R4509" t="str">
        <f>"7191000"</f>
        <v>7191000</v>
      </c>
      <c r="S4509" t="s">
        <v>1347</v>
      </c>
      <c r="T4509" t="s">
        <v>1341</v>
      </c>
      <c r="U4509" t="s">
        <v>1342</v>
      </c>
      <c r="V4509" t="s">
        <v>1270</v>
      </c>
      <c r="W4509" t="s">
        <v>51</v>
      </c>
      <c r="X4509" t="s">
        <v>45</v>
      </c>
      <c r="Y4509" s="1">
        <v>32762</v>
      </c>
      <c r="Z4509">
        <v>1</v>
      </c>
      <c r="AA4509" t="s">
        <v>1342</v>
      </c>
      <c r="AB4509" s="40" t="s">
        <v>1799</v>
      </c>
    </row>
    <row r="4510" spans="1:28" x14ac:dyDescent="0.25">
      <c r="A4510">
        <v>99914509</v>
      </c>
      <c r="B4510" t="s">
        <v>32</v>
      </c>
      <c r="C4510" t="s">
        <v>111</v>
      </c>
      <c r="D4510" t="s">
        <v>112</v>
      </c>
      <c r="G4510" t="s">
        <v>35</v>
      </c>
      <c r="H4510">
        <v>1</v>
      </c>
      <c r="I4510" s="1">
        <v>42979</v>
      </c>
      <c r="J4510" s="1">
        <v>43344</v>
      </c>
      <c r="K4510" t="s">
        <v>1341</v>
      </c>
      <c r="L4510" t="s">
        <v>1342</v>
      </c>
      <c r="M4510" t="s">
        <v>1270</v>
      </c>
      <c r="N4510">
        <v>24</v>
      </c>
      <c r="O4510" s="1">
        <v>43344</v>
      </c>
      <c r="P4510" t="s">
        <v>41</v>
      </c>
      <c r="Q4510" t="s">
        <v>75</v>
      </c>
      <c r="R4510" t="str">
        <f>"7191002"</f>
        <v>7191002</v>
      </c>
      <c r="S4510" t="s">
        <v>1365</v>
      </c>
      <c r="T4510" t="s">
        <v>1341</v>
      </c>
      <c r="U4510" t="s">
        <v>1342</v>
      </c>
      <c r="V4510" t="s">
        <v>1270</v>
      </c>
      <c r="W4510" t="s">
        <v>44</v>
      </c>
      <c r="X4510" t="s">
        <v>45</v>
      </c>
      <c r="Y4510" s="1">
        <v>32723</v>
      </c>
      <c r="Z4510">
        <v>1</v>
      </c>
      <c r="AA4510" t="s">
        <v>1342</v>
      </c>
      <c r="AB4510" s="40" t="s">
        <v>1799</v>
      </c>
    </row>
    <row r="4511" spans="1:28" x14ac:dyDescent="0.25">
      <c r="A4511">
        <v>99914510</v>
      </c>
      <c r="B4511" t="s">
        <v>32</v>
      </c>
      <c r="C4511" t="s">
        <v>111</v>
      </c>
      <c r="D4511" t="s">
        <v>112</v>
      </c>
      <c r="G4511" t="s">
        <v>35</v>
      </c>
      <c r="H4511">
        <v>1</v>
      </c>
      <c r="I4511">
        <v>933</v>
      </c>
      <c r="J4511" s="1">
        <v>43344</v>
      </c>
      <c r="K4511" t="s">
        <v>1198</v>
      </c>
      <c r="L4511" t="s">
        <v>1199</v>
      </c>
      <c r="M4511" t="s">
        <v>1130</v>
      </c>
      <c r="N4511">
        <v>24</v>
      </c>
      <c r="O4511" s="1">
        <v>43344</v>
      </c>
      <c r="P4511" t="s">
        <v>41</v>
      </c>
      <c r="Q4511" t="s">
        <v>75</v>
      </c>
      <c r="R4511" t="str">
        <f>"7311002"</f>
        <v>7311002</v>
      </c>
      <c r="S4511" t="s">
        <v>1203</v>
      </c>
      <c r="T4511" t="s">
        <v>1198</v>
      </c>
      <c r="U4511" t="s">
        <v>1199</v>
      </c>
      <c r="V4511" t="s">
        <v>1130</v>
      </c>
      <c r="W4511" t="s">
        <v>51</v>
      </c>
      <c r="X4511" t="s">
        <v>45</v>
      </c>
      <c r="Y4511" s="1">
        <v>32722</v>
      </c>
      <c r="Z4511">
        <v>1</v>
      </c>
      <c r="AA4511" t="s">
        <v>1199</v>
      </c>
      <c r="AB4511" s="40" t="s">
        <v>1799</v>
      </c>
    </row>
    <row r="4512" spans="1:28" x14ac:dyDescent="0.25">
      <c r="A4512">
        <v>99914511</v>
      </c>
      <c r="B4512" t="s">
        <v>32</v>
      </c>
      <c r="C4512" t="s">
        <v>111</v>
      </c>
      <c r="D4512" t="s">
        <v>112</v>
      </c>
      <c r="G4512" t="s">
        <v>35</v>
      </c>
      <c r="H4512">
        <v>1</v>
      </c>
      <c r="I4512" s="1">
        <v>42614</v>
      </c>
      <c r="J4512" s="1">
        <v>43344</v>
      </c>
      <c r="K4512" t="s">
        <v>1341</v>
      </c>
      <c r="L4512" t="s">
        <v>1342</v>
      </c>
      <c r="M4512" t="s">
        <v>1270</v>
      </c>
      <c r="N4512">
        <v>24</v>
      </c>
      <c r="O4512" s="1">
        <v>43344</v>
      </c>
      <c r="P4512" t="s">
        <v>41</v>
      </c>
      <c r="Q4512" t="s">
        <v>75</v>
      </c>
      <c r="R4512" t="str">
        <f>"7191000"</f>
        <v>7191000</v>
      </c>
      <c r="S4512" t="s">
        <v>1347</v>
      </c>
      <c r="T4512" t="s">
        <v>1341</v>
      </c>
      <c r="U4512" t="s">
        <v>1342</v>
      </c>
      <c r="V4512" t="s">
        <v>1270</v>
      </c>
      <c r="W4512" t="s">
        <v>51</v>
      </c>
      <c r="X4512" t="s">
        <v>45</v>
      </c>
      <c r="Y4512" s="1">
        <v>32719</v>
      </c>
      <c r="Z4512">
        <v>1</v>
      </c>
      <c r="AA4512" t="s">
        <v>1342</v>
      </c>
      <c r="AB4512" s="40" t="s">
        <v>1799</v>
      </c>
    </row>
    <row r="4513" spans="1:28" x14ac:dyDescent="0.25">
      <c r="A4513">
        <v>99914512</v>
      </c>
      <c r="B4513" t="s">
        <v>32</v>
      </c>
      <c r="C4513" t="s">
        <v>90</v>
      </c>
      <c r="D4513" t="s">
        <v>91</v>
      </c>
      <c r="G4513" t="s">
        <v>35</v>
      </c>
      <c r="H4513">
        <v>1</v>
      </c>
      <c r="I4513" t="s">
        <v>286</v>
      </c>
      <c r="J4513" s="1">
        <v>43344</v>
      </c>
      <c r="K4513" t="s">
        <v>268</v>
      </c>
      <c r="L4513" t="s">
        <v>269</v>
      </c>
      <c r="M4513" t="s">
        <v>131</v>
      </c>
      <c r="N4513">
        <v>24</v>
      </c>
      <c r="O4513" s="1">
        <v>43344</v>
      </c>
      <c r="P4513" t="s">
        <v>41</v>
      </c>
      <c r="Q4513" t="s">
        <v>95</v>
      </c>
      <c r="R4513" t="str">
        <f>"7052043"</f>
        <v>7052043</v>
      </c>
      <c r="S4513" t="s">
        <v>651</v>
      </c>
      <c r="T4513" t="s">
        <v>268</v>
      </c>
      <c r="U4513" t="s">
        <v>269</v>
      </c>
      <c r="V4513" t="s">
        <v>131</v>
      </c>
      <c r="W4513" t="s">
        <v>55</v>
      </c>
      <c r="X4513" t="s">
        <v>45</v>
      </c>
      <c r="Y4513" s="1">
        <v>32717</v>
      </c>
      <c r="Z4513">
        <v>1</v>
      </c>
      <c r="AA4513" t="s">
        <v>269</v>
      </c>
      <c r="AB4513" s="40" t="s">
        <v>1799</v>
      </c>
    </row>
    <row r="4514" spans="1:28" x14ac:dyDescent="0.25">
      <c r="A4514">
        <v>99914513</v>
      </c>
      <c r="B4514" t="s">
        <v>56</v>
      </c>
      <c r="C4514" t="s">
        <v>111</v>
      </c>
      <c r="D4514" t="s">
        <v>112</v>
      </c>
      <c r="G4514" t="s">
        <v>48</v>
      </c>
      <c r="H4514">
        <v>1</v>
      </c>
      <c r="K4514" t="s">
        <v>1081</v>
      </c>
      <c r="L4514" t="s">
        <v>1082</v>
      </c>
      <c r="M4514" t="s">
        <v>1053</v>
      </c>
      <c r="N4514">
        <v>24</v>
      </c>
      <c r="P4514" t="s">
        <v>41</v>
      </c>
      <c r="Q4514" t="s">
        <v>75</v>
      </c>
      <c r="R4514" t="str">
        <f>"7201008"</f>
        <v>7201008</v>
      </c>
      <c r="S4514" t="s">
        <v>1084</v>
      </c>
      <c r="T4514" t="s">
        <v>1081</v>
      </c>
      <c r="U4514" t="s">
        <v>1082</v>
      </c>
      <c r="V4514" t="s">
        <v>1053</v>
      </c>
      <c r="W4514" t="s">
        <v>51</v>
      </c>
      <c r="X4514" t="s">
        <v>45</v>
      </c>
      <c r="Y4514" s="1">
        <v>32715</v>
      </c>
      <c r="Z4514">
        <v>1</v>
      </c>
      <c r="AA4514" t="s">
        <v>1082</v>
      </c>
      <c r="AB4514" s="40" t="s">
        <v>1799</v>
      </c>
    </row>
    <row r="4515" spans="1:28" x14ac:dyDescent="0.25">
      <c r="A4515">
        <v>99914514</v>
      </c>
      <c r="B4515" t="s">
        <v>32</v>
      </c>
      <c r="C4515" t="s">
        <v>111</v>
      </c>
      <c r="D4515" t="s">
        <v>112</v>
      </c>
      <c r="G4515" t="s">
        <v>35</v>
      </c>
      <c r="H4515">
        <v>1</v>
      </c>
      <c r="K4515" t="s">
        <v>1221</v>
      </c>
      <c r="L4515" t="s">
        <v>1222</v>
      </c>
      <c r="M4515" t="s">
        <v>1130</v>
      </c>
      <c r="N4515">
        <v>24</v>
      </c>
      <c r="P4515" t="s">
        <v>41</v>
      </c>
      <c r="Q4515" t="s">
        <v>75</v>
      </c>
      <c r="R4515" t="str">
        <f>"7351004"</f>
        <v>7351004</v>
      </c>
      <c r="S4515" t="s">
        <v>1225</v>
      </c>
      <c r="T4515" t="s">
        <v>1221</v>
      </c>
      <c r="U4515" t="s">
        <v>1222</v>
      </c>
      <c r="V4515" t="s">
        <v>1130</v>
      </c>
      <c r="W4515" t="s">
        <v>44</v>
      </c>
      <c r="X4515" t="s">
        <v>45</v>
      </c>
      <c r="Y4515" s="1">
        <v>32707</v>
      </c>
      <c r="Z4515">
        <v>1</v>
      </c>
      <c r="AA4515" t="s">
        <v>1222</v>
      </c>
      <c r="AB4515" s="40" t="s">
        <v>1799</v>
      </c>
    </row>
    <row r="4516" spans="1:28" x14ac:dyDescent="0.25">
      <c r="A4516">
        <v>99914515</v>
      </c>
      <c r="B4516" t="s">
        <v>32</v>
      </c>
      <c r="C4516" t="s">
        <v>61</v>
      </c>
      <c r="D4516" t="s">
        <v>62</v>
      </c>
      <c r="G4516" t="s">
        <v>88</v>
      </c>
      <c r="H4516">
        <v>2</v>
      </c>
      <c r="I4516" t="s">
        <v>558</v>
      </c>
      <c r="J4516" s="1">
        <v>41883</v>
      </c>
      <c r="K4516" t="s">
        <v>195</v>
      </c>
      <c r="L4516" t="s">
        <v>196</v>
      </c>
      <c r="M4516" t="s">
        <v>131</v>
      </c>
      <c r="N4516">
        <v>24</v>
      </c>
      <c r="O4516" s="1">
        <v>41883</v>
      </c>
      <c r="P4516" t="s">
        <v>41</v>
      </c>
      <c r="Q4516" t="s">
        <v>75</v>
      </c>
      <c r="R4516" t="str">
        <f>"7521050"</f>
        <v>7521050</v>
      </c>
      <c r="S4516" t="s">
        <v>194</v>
      </c>
      <c r="T4516" t="s">
        <v>195</v>
      </c>
      <c r="U4516" t="s">
        <v>196</v>
      </c>
      <c r="V4516" t="s">
        <v>131</v>
      </c>
      <c r="W4516" t="s">
        <v>51</v>
      </c>
      <c r="X4516" t="s">
        <v>45</v>
      </c>
      <c r="Y4516" s="1">
        <v>32705</v>
      </c>
      <c r="Z4516">
        <v>1</v>
      </c>
      <c r="AA4516" t="s">
        <v>196</v>
      </c>
      <c r="AB4516" s="40" t="s">
        <v>1799</v>
      </c>
    </row>
    <row r="4517" spans="1:28" x14ac:dyDescent="0.25">
      <c r="A4517">
        <v>99914516</v>
      </c>
      <c r="B4517" t="s">
        <v>32</v>
      </c>
      <c r="C4517" t="s">
        <v>111</v>
      </c>
      <c r="D4517" t="s">
        <v>112</v>
      </c>
      <c r="G4517" t="s">
        <v>48</v>
      </c>
      <c r="H4517">
        <v>1</v>
      </c>
      <c r="K4517" t="s">
        <v>154</v>
      </c>
      <c r="L4517" t="s">
        <v>155</v>
      </c>
      <c r="M4517" t="s">
        <v>131</v>
      </c>
      <c r="N4517">
        <v>24</v>
      </c>
      <c r="P4517" t="s">
        <v>41</v>
      </c>
      <c r="Q4517" t="s">
        <v>75</v>
      </c>
      <c r="R4517" t="str">
        <f>"7051018"</f>
        <v>7051018</v>
      </c>
      <c r="S4517" t="s">
        <v>401</v>
      </c>
      <c r="T4517" t="s">
        <v>154</v>
      </c>
      <c r="U4517" t="s">
        <v>155</v>
      </c>
      <c r="V4517" t="s">
        <v>131</v>
      </c>
      <c r="W4517" t="s">
        <v>51</v>
      </c>
      <c r="X4517" t="s">
        <v>45</v>
      </c>
      <c r="Y4517" s="1">
        <v>32704</v>
      </c>
      <c r="Z4517">
        <v>1</v>
      </c>
      <c r="AA4517" t="s">
        <v>155</v>
      </c>
      <c r="AB4517" s="40" t="s">
        <v>1799</v>
      </c>
    </row>
    <row r="4518" spans="1:28" x14ac:dyDescent="0.25">
      <c r="A4518">
        <v>99914517</v>
      </c>
      <c r="B4518" t="s">
        <v>56</v>
      </c>
      <c r="C4518" t="s">
        <v>111</v>
      </c>
      <c r="D4518" t="s">
        <v>112</v>
      </c>
      <c r="G4518" t="s">
        <v>35</v>
      </c>
      <c r="H4518">
        <v>1</v>
      </c>
      <c r="I4518" s="1">
        <v>42614</v>
      </c>
      <c r="J4518" s="1">
        <v>43344</v>
      </c>
      <c r="K4518" t="s">
        <v>1341</v>
      </c>
      <c r="L4518" t="s">
        <v>1342</v>
      </c>
      <c r="M4518" t="s">
        <v>1270</v>
      </c>
      <c r="N4518">
        <v>24</v>
      </c>
      <c r="O4518" s="1">
        <v>43344</v>
      </c>
      <c r="P4518" t="s">
        <v>41</v>
      </c>
      <c r="Q4518" t="s">
        <v>75</v>
      </c>
      <c r="R4518" t="str">
        <f>"7191000"</f>
        <v>7191000</v>
      </c>
      <c r="S4518" t="s">
        <v>1347</v>
      </c>
      <c r="T4518" t="s">
        <v>1341</v>
      </c>
      <c r="U4518" t="s">
        <v>1342</v>
      </c>
      <c r="V4518" t="s">
        <v>1270</v>
      </c>
      <c r="W4518" t="s">
        <v>51</v>
      </c>
      <c r="X4518" t="s">
        <v>45</v>
      </c>
      <c r="Y4518" s="1">
        <v>32704</v>
      </c>
      <c r="Z4518">
        <v>1</v>
      </c>
      <c r="AA4518" t="s">
        <v>1342</v>
      </c>
      <c r="AB4518" s="40" t="s">
        <v>1799</v>
      </c>
    </row>
    <row r="4519" spans="1:28" x14ac:dyDescent="0.25">
      <c r="A4519">
        <v>99914518</v>
      </c>
      <c r="B4519" t="s">
        <v>32</v>
      </c>
      <c r="C4519" t="s">
        <v>111</v>
      </c>
      <c r="D4519" t="s">
        <v>112</v>
      </c>
      <c r="G4519" t="s">
        <v>88</v>
      </c>
      <c r="H4519">
        <v>3</v>
      </c>
      <c r="I4519" t="s">
        <v>567</v>
      </c>
      <c r="J4519" s="1">
        <v>41518</v>
      </c>
      <c r="K4519" t="s">
        <v>195</v>
      </c>
      <c r="L4519" t="s">
        <v>196</v>
      </c>
      <c r="M4519" t="s">
        <v>131</v>
      </c>
      <c r="N4519">
        <v>24</v>
      </c>
      <c r="O4519" s="1">
        <v>41518</v>
      </c>
      <c r="P4519" t="s">
        <v>41</v>
      </c>
      <c r="Q4519" t="s">
        <v>75</v>
      </c>
      <c r="R4519" t="str">
        <f>"7521050"</f>
        <v>7521050</v>
      </c>
      <c r="S4519" t="s">
        <v>194</v>
      </c>
      <c r="T4519" t="s">
        <v>195</v>
      </c>
      <c r="U4519" t="s">
        <v>196</v>
      </c>
      <c r="V4519" t="s">
        <v>131</v>
      </c>
      <c r="W4519" t="s">
        <v>51</v>
      </c>
      <c r="X4519" t="s">
        <v>45</v>
      </c>
      <c r="Y4519" s="1">
        <v>32701</v>
      </c>
      <c r="Z4519">
        <v>1</v>
      </c>
      <c r="AA4519" t="s">
        <v>196</v>
      </c>
      <c r="AB4519" s="40" t="s">
        <v>1799</v>
      </c>
    </row>
    <row r="4520" spans="1:28" x14ac:dyDescent="0.25">
      <c r="A4520">
        <v>99914519</v>
      </c>
      <c r="B4520" t="s">
        <v>32</v>
      </c>
      <c r="C4520" t="s">
        <v>111</v>
      </c>
      <c r="D4520" t="s">
        <v>112</v>
      </c>
      <c r="G4520" t="s">
        <v>35</v>
      </c>
      <c r="H4520">
        <v>4</v>
      </c>
      <c r="I4520" t="s">
        <v>1677</v>
      </c>
      <c r="J4520" s="1">
        <v>43356</v>
      </c>
      <c r="K4520" t="s">
        <v>1619</v>
      </c>
      <c r="L4520" t="s">
        <v>1620</v>
      </c>
      <c r="M4520" t="s">
        <v>1592</v>
      </c>
      <c r="N4520">
        <v>24</v>
      </c>
      <c r="O4520" s="1">
        <v>43356</v>
      </c>
      <c r="P4520" t="s">
        <v>41</v>
      </c>
      <c r="Q4520" t="s">
        <v>75</v>
      </c>
      <c r="R4520" t="str">
        <f>"7281002"</f>
        <v>7281002</v>
      </c>
      <c r="S4520" t="s">
        <v>1660</v>
      </c>
      <c r="T4520" t="s">
        <v>1619</v>
      </c>
      <c r="U4520" t="s">
        <v>1620</v>
      </c>
      <c r="V4520" t="s">
        <v>1592</v>
      </c>
      <c r="W4520" t="s">
        <v>51</v>
      </c>
      <c r="X4520" t="s">
        <v>45</v>
      </c>
      <c r="Y4520" s="1">
        <v>32688</v>
      </c>
      <c r="Z4520">
        <v>1</v>
      </c>
      <c r="AA4520" t="s">
        <v>1620</v>
      </c>
      <c r="AB4520" s="40" t="s">
        <v>1799</v>
      </c>
    </row>
    <row r="4521" spans="1:28" x14ac:dyDescent="0.25">
      <c r="A4521">
        <v>99914520</v>
      </c>
      <c r="B4521" t="s">
        <v>32</v>
      </c>
      <c r="C4521" t="s">
        <v>111</v>
      </c>
      <c r="D4521" t="s">
        <v>112</v>
      </c>
      <c r="G4521" t="s">
        <v>35</v>
      </c>
      <c r="H4521">
        <v>1</v>
      </c>
      <c r="I4521" t="s">
        <v>1682</v>
      </c>
      <c r="J4521" s="1">
        <v>43344</v>
      </c>
      <c r="K4521" t="s">
        <v>1619</v>
      </c>
      <c r="L4521" t="s">
        <v>1620</v>
      </c>
      <c r="M4521" t="s">
        <v>1592</v>
      </c>
      <c r="N4521">
        <v>24</v>
      </c>
      <c r="O4521" s="1">
        <v>43344</v>
      </c>
      <c r="P4521" t="s">
        <v>41</v>
      </c>
      <c r="Q4521" t="s">
        <v>75</v>
      </c>
      <c r="R4521" t="str">
        <f>"7281002"</f>
        <v>7281002</v>
      </c>
      <c r="S4521" t="s">
        <v>1660</v>
      </c>
      <c r="T4521" t="s">
        <v>1619</v>
      </c>
      <c r="U4521" t="s">
        <v>1620</v>
      </c>
      <c r="V4521" t="s">
        <v>1592</v>
      </c>
      <c r="W4521" t="s">
        <v>51</v>
      </c>
      <c r="X4521" t="s">
        <v>45</v>
      </c>
      <c r="Y4521" s="1">
        <v>32680</v>
      </c>
      <c r="Z4521">
        <v>1</v>
      </c>
      <c r="AA4521" t="s">
        <v>1620</v>
      </c>
      <c r="AB4521" s="40" t="s">
        <v>1799</v>
      </c>
    </row>
    <row r="4522" spans="1:28" x14ac:dyDescent="0.25">
      <c r="A4522">
        <v>99914521</v>
      </c>
      <c r="B4522" t="s">
        <v>32</v>
      </c>
      <c r="C4522" t="s">
        <v>111</v>
      </c>
      <c r="D4522" t="s">
        <v>112</v>
      </c>
      <c r="G4522" t="s">
        <v>35</v>
      </c>
      <c r="H4522">
        <v>1</v>
      </c>
      <c r="I4522">
        <v>14527</v>
      </c>
      <c r="J4522" s="1">
        <v>43344</v>
      </c>
      <c r="K4522" t="s">
        <v>354</v>
      </c>
      <c r="L4522" t="s">
        <v>355</v>
      </c>
      <c r="M4522" t="s">
        <v>131</v>
      </c>
      <c r="N4522">
        <v>24</v>
      </c>
      <c r="O4522" s="1">
        <v>43344</v>
      </c>
      <c r="P4522" t="s">
        <v>41</v>
      </c>
      <c r="Q4522" t="s">
        <v>75</v>
      </c>
      <c r="R4522" t="str">
        <f>"7054022"</f>
        <v>7054022</v>
      </c>
      <c r="S4522" t="s">
        <v>770</v>
      </c>
      <c r="T4522" t="s">
        <v>354</v>
      </c>
      <c r="U4522" t="s">
        <v>355</v>
      </c>
      <c r="V4522" t="s">
        <v>131</v>
      </c>
      <c r="W4522" t="s">
        <v>55</v>
      </c>
      <c r="X4522" t="s">
        <v>45</v>
      </c>
      <c r="Y4522" s="1">
        <v>32675</v>
      </c>
      <c r="Z4522">
        <v>1</v>
      </c>
      <c r="AA4522" t="s">
        <v>355</v>
      </c>
      <c r="AB4522" s="40" t="s">
        <v>1799</v>
      </c>
    </row>
    <row r="4523" spans="1:28" x14ac:dyDescent="0.25">
      <c r="A4523">
        <v>99914522</v>
      </c>
      <c r="B4523" t="s">
        <v>32</v>
      </c>
      <c r="C4523" t="s">
        <v>111</v>
      </c>
      <c r="D4523" t="s">
        <v>112</v>
      </c>
      <c r="G4523" t="s">
        <v>35</v>
      </c>
      <c r="H4523">
        <v>1</v>
      </c>
      <c r="I4523" t="s">
        <v>680</v>
      </c>
      <c r="J4523" s="1">
        <v>43344</v>
      </c>
      <c r="K4523" t="s">
        <v>268</v>
      </c>
      <c r="L4523" t="s">
        <v>269</v>
      </c>
      <c r="M4523" t="s">
        <v>131</v>
      </c>
      <c r="N4523">
        <v>24</v>
      </c>
      <c r="O4523" s="1">
        <v>43344</v>
      </c>
      <c r="P4523" t="s">
        <v>41</v>
      </c>
      <c r="Q4523" t="s">
        <v>75</v>
      </c>
      <c r="R4523" t="str">
        <f>"7052018"</f>
        <v>7052018</v>
      </c>
      <c r="S4523" t="s">
        <v>577</v>
      </c>
      <c r="T4523" t="s">
        <v>268</v>
      </c>
      <c r="U4523" t="s">
        <v>269</v>
      </c>
      <c r="V4523" t="s">
        <v>131</v>
      </c>
      <c r="W4523" t="s">
        <v>51</v>
      </c>
      <c r="X4523" t="s">
        <v>45</v>
      </c>
      <c r="Y4523" s="1">
        <v>32674</v>
      </c>
      <c r="Z4523">
        <v>1</v>
      </c>
      <c r="AA4523" t="s">
        <v>269</v>
      </c>
      <c r="AB4523" s="40" t="s">
        <v>1799</v>
      </c>
    </row>
    <row r="4524" spans="1:28" x14ac:dyDescent="0.25">
      <c r="A4524">
        <v>99914523</v>
      </c>
      <c r="B4524" t="s">
        <v>32</v>
      </c>
      <c r="C4524" t="s">
        <v>111</v>
      </c>
      <c r="D4524" t="s">
        <v>112</v>
      </c>
      <c r="G4524" t="s">
        <v>35</v>
      </c>
      <c r="H4524">
        <v>1</v>
      </c>
      <c r="I4524">
        <v>14593</v>
      </c>
      <c r="J4524" s="1">
        <v>43344</v>
      </c>
      <c r="K4524" t="s">
        <v>354</v>
      </c>
      <c r="L4524" t="s">
        <v>355</v>
      </c>
      <c r="M4524" t="s">
        <v>131</v>
      </c>
      <c r="N4524">
        <v>24</v>
      </c>
      <c r="O4524" s="1">
        <v>43344</v>
      </c>
      <c r="P4524" t="s">
        <v>41</v>
      </c>
      <c r="Q4524" t="s">
        <v>75</v>
      </c>
      <c r="R4524" t="str">
        <f>"7054006"</f>
        <v>7054006</v>
      </c>
      <c r="S4524" t="s">
        <v>774</v>
      </c>
      <c r="T4524" t="s">
        <v>354</v>
      </c>
      <c r="U4524" t="s">
        <v>355</v>
      </c>
      <c r="V4524" t="s">
        <v>131</v>
      </c>
      <c r="W4524" t="s">
        <v>51</v>
      </c>
      <c r="X4524" t="s">
        <v>45</v>
      </c>
      <c r="Y4524" s="1">
        <v>32673</v>
      </c>
      <c r="Z4524">
        <v>1</v>
      </c>
      <c r="AA4524" t="s">
        <v>355</v>
      </c>
      <c r="AB4524" s="40" t="s">
        <v>1799</v>
      </c>
    </row>
    <row r="4525" spans="1:28" x14ac:dyDescent="0.25">
      <c r="A4525">
        <v>99914524</v>
      </c>
      <c r="B4525" t="s">
        <v>32</v>
      </c>
      <c r="C4525" t="s">
        <v>111</v>
      </c>
      <c r="D4525" t="s">
        <v>112</v>
      </c>
      <c r="G4525" t="s">
        <v>48</v>
      </c>
      <c r="H4525">
        <v>1</v>
      </c>
      <c r="K4525" t="s">
        <v>1708</v>
      </c>
      <c r="L4525" t="s">
        <v>1709</v>
      </c>
      <c r="M4525" t="s">
        <v>1705</v>
      </c>
      <c r="N4525">
        <v>24</v>
      </c>
      <c r="P4525" t="s">
        <v>41</v>
      </c>
      <c r="Q4525" t="s">
        <v>75</v>
      </c>
      <c r="R4525" t="str">
        <f>"7121000"</f>
        <v>7121000</v>
      </c>
      <c r="S4525" t="s">
        <v>1713</v>
      </c>
      <c r="T4525" t="s">
        <v>1708</v>
      </c>
      <c r="U4525" t="s">
        <v>1709</v>
      </c>
      <c r="V4525" t="s">
        <v>1705</v>
      </c>
      <c r="W4525" t="s">
        <v>51</v>
      </c>
      <c r="X4525" t="s">
        <v>45</v>
      </c>
      <c r="Y4525" s="1">
        <v>32673</v>
      </c>
      <c r="Z4525">
        <v>1</v>
      </c>
      <c r="AA4525" t="s">
        <v>1709</v>
      </c>
      <c r="AB4525" s="40" t="s">
        <v>1799</v>
      </c>
    </row>
    <row r="4526" spans="1:28" x14ac:dyDescent="0.25">
      <c r="A4526">
        <v>99914525</v>
      </c>
      <c r="B4526" t="s">
        <v>32</v>
      </c>
      <c r="C4526" t="s">
        <v>111</v>
      </c>
      <c r="D4526" t="s">
        <v>112</v>
      </c>
      <c r="G4526" t="s">
        <v>35</v>
      </c>
      <c r="H4526">
        <v>1</v>
      </c>
      <c r="K4526" t="s">
        <v>877</v>
      </c>
      <c r="L4526" t="s">
        <v>878</v>
      </c>
      <c r="M4526" t="s">
        <v>131</v>
      </c>
      <c r="N4526">
        <v>24</v>
      </c>
      <c r="P4526" t="s">
        <v>41</v>
      </c>
      <c r="Q4526" t="s">
        <v>75</v>
      </c>
      <c r="R4526" t="str">
        <f>"7700025"</f>
        <v>7700025</v>
      </c>
      <c r="S4526" t="s">
        <v>880</v>
      </c>
      <c r="T4526" t="s">
        <v>877</v>
      </c>
      <c r="U4526" t="s">
        <v>878</v>
      </c>
      <c r="V4526" t="s">
        <v>131</v>
      </c>
      <c r="W4526" t="s">
        <v>51</v>
      </c>
      <c r="X4526" t="s">
        <v>45</v>
      </c>
      <c r="Y4526" s="1">
        <v>32671</v>
      </c>
      <c r="Z4526">
        <v>1</v>
      </c>
      <c r="AA4526" t="s">
        <v>878</v>
      </c>
      <c r="AB4526" s="40" t="s">
        <v>1799</v>
      </c>
    </row>
    <row r="4527" spans="1:28" x14ac:dyDescent="0.25">
      <c r="A4527">
        <v>99914526</v>
      </c>
      <c r="B4527" t="s">
        <v>32</v>
      </c>
      <c r="C4527" t="s">
        <v>111</v>
      </c>
      <c r="D4527" t="s">
        <v>112</v>
      </c>
      <c r="G4527" t="s">
        <v>88</v>
      </c>
      <c r="H4527">
        <v>4</v>
      </c>
      <c r="I4527" t="s">
        <v>488</v>
      </c>
      <c r="J4527" s="1">
        <v>41153</v>
      </c>
      <c r="K4527" t="s">
        <v>195</v>
      </c>
      <c r="L4527" t="s">
        <v>196</v>
      </c>
      <c r="M4527" t="s">
        <v>131</v>
      </c>
      <c r="N4527">
        <v>24</v>
      </c>
      <c r="O4527" s="1">
        <v>41153</v>
      </c>
      <c r="P4527" t="s">
        <v>41</v>
      </c>
      <c r="Q4527" t="s">
        <v>75</v>
      </c>
      <c r="R4527" t="str">
        <f>"7521052"</f>
        <v>7521052</v>
      </c>
      <c r="S4527" t="s">
        <v>443</v>
      </c>
      <c r="T4527" t="s">
        <v>195</v>
      </c>
      <c r="U4527" t="s">
        <v>196</v>
      </c>
      <c r="V4527" t="s">
        <v>131</v>
      </c>
      <c r="W4527" t="s">
        <v>51</v>
      </c>
      <c r="X4527" t="s">
        <v>45</v>
      </c>
      <c r="Y4527" s="1">
        <v>32670</v>
      </c>
      <c r="Z4527">
        <v>1</v>
      </c>
      <c r="AA4527" t="s">
        <v>196</v>
      </c>
      <c r="AB4527" s="40" t="s">
        <v>1799</v>
      </c>
    </row>
    <row r="4528" spans="1:28" x14ac:dyDescent="0.25">
      <c r="A4528">
        <v>99914527</v>
      </c>
      <c r="B4528" t="s">
        <v>56</v>
      </c>
      <c r="C4528" t="s">
        <v>111</v>
      </c>
      <c r="D4528" t="s">
        <v>112</v>
      </c>
      <c r="G4528" t="s">
        <v>88</v>
      </c>
      <c r="H4528">
        <v>2</v>
      </c>
      <c r="I4528" t="s">
        <v>782</v>
      </c>
      <c r="J4528" s="1">
        <v>43344</v>
      </c>
      <c r="K4528" t="s">
        <v>354</v>
      </c>
      <c r="L4528" t="s">
        <v>355</v>
      </c>
      <c r="M4528" t="s">
        <v>131</v>
      </c>
      <c r="N4528">
        <v>24</v>
      </c>
      <c r="O4528" s="1">
        <v>43344</v>
      </c>
      <c r="P4528" t="s">
        <v>41</v>
      </c>
      <c r="Q4528" t="s">
        <v>75</v>
      </c>
      <c r="R4528" t="str">
        <f>"7054022"</f>
        <v>7054022</v>
      </c>
      <c r="S4528" t="s">
        <v>770</v>
      </c>
      <c r="T4528" t="s">
        <v>354</v>
      </c>
      <c r="U4528" t="s">
        <v>355</v>
      </c>
      <c r="V4528" t="s">
        <v>131</v>
      </c>
      <c r="W4528" t="s">
        <v>51</v>
      </c>
      <c r="X4528" t="s">
        <v>45</v>
      </c>
      <c r="Y4528" s="1">
        <v>32646</v>
      </c>
      <c r="Z4528">
        <v>1</v>
      </c>
      <c r="AA4528" t="s">
        <v>355</v>
      </c>
      <c r="AB4528" s="40" t="s">
        <v>1799</v>
      </c>
    </row>
    <row r="4529" spans="1:28" x14ac:dyDescent="0.25">
      <c r="A4529">
        <v>99914528</v>
      </c>
      <c r="B4529" t="s">
        <v>32</v>
      </c>
      <c r="C4529" t="s">
        <v>111</v>
      </c>
      <c r="D4529" t="s">
        <v>112</v>
      </c>
      <c r="G4529" t="s">
        <v>88</v>
      </c>
      <c r="H4529">
        <v>3</v>
      </c>
      <c r="I4529" t="s">
        <v>539</v>
      </c>
      <c r="J4529" s="1">
        <v>41518</v>
      </c>
      <c r="K4529" t="s">
        <v>195</v>
      </c>
      <c r="L4529" t="s">
        <v>196</v>
      </c>
      <c r="M4529" t="s">
        <v>131</v>
      </c>
      <c r="N4529">
        <v>24</v>
      </c>
      <c r="O4529" s="1">
        <v>41518</v>
      </c>
      <c r="P4529" t="s">
        <v>41</v>
      </c>
      <c r="Q4529" t="s">
        <v>75</v>
      </c>
      <c r="R4529" t="str">
        <f>"7521050"</f>
        <v>7521050</v>
      </c>
      <c r="S4529" t="s">
        <v>194</v>
      </c>
      <c r="T4529" t="s">
        <v>195</v>
      </c>
      <c r="U4529" t="s">
        <v>196</v>
      </c>
      <c r="V4529" t="s">
        <v>131</v>
      </c>
      <c r="W4529" t="s">
        <v>51</v>
      </c>
      <c r="X4529" t="s">
        <v>45</v>
      </c>
      <c r="Y4529" s="1">
        <v>32641</v>
      </c>
      <c r="Z4529">
        <v>1</v>
      </c>
      <c r="AA4529" t="s">
        <v>196</v>
      </c>
      <c r="AB4529" s="40" t="s">
        <v>1799</v>
      </c>
    </row>
    <row r="4530" spans="1:28" x14ac:dyDescent="0.25">
      <c r="A4530">
        <v>99914529</v>
      </c>
      <c r="B4530" t="s">
        <v>56</v>
      </c>
      <c r="C4530" t="s">
        <v>111</v>
      </c>
      <c r="D4530" t="s">
        <v>112</v>
      </c>
      <c r="G4530" t="s">
        <v>48</v>
      </c>
      <c r="H4530">
        <v>1</v>
      </c>
      <c r="K4530" t="s">
        <v>1581</v>
      </c>
      <c r="L4530" t="s">
        <v>1582</v>
      </c>
      <c r="M4530" t="s">
        <v>1548</v>
      </c>
      <c r="N4530">
        <v>24</v>
      </c>
      <c r="P4530" t="s">
        <v>41</v>
      </c>
      <c r="Q4530" t="s">
        <v>75</v>
      </c>
      <c r="R4530" t="str">
        <f>"7291000"</f>
        <v>7291000</v>
      </c>
      <c r="S4530" t="s">
        <v>1584</v>
      </c>
      <c r="T4530" t="s">
        <v>1581</v>
      </c>
      <c r="U4530" t="s">
        <v>1582</v>
      </c>
      <c r="V4530" t="s">
        <v>1548</v>
      </c>
      <c r="W4530" t="s">
        <v>51</v>
      </c>
      <c r="X4530" t="s">
        <v>45</v>
      </c>
      <c r="Y4530" s="1">
        <v>32639</v>
      </c>
      <c r="Z4530">
        <v>1</v>
      </c>
      <c r="AA4530" t="s">
        <v>1582</v>
      </c>
      <c r="AB4530" s="40" t="s">
        <v>1799</v>
      </c>
    </row>
    <row r="4531" spans="1:28" x14ac:dyDescent="0.25">
      <c r="A4531">
        <v>99914530</v>
      </c>
      <c r="B4531" t="s">
        <v>32</v>
      </c>
      <c r="C4531" t="s">
        <v>111</v>
      </c>
      <c r="D4531" t="s">
        <v>112</v>
      </c>
      <c r="G4531" t="s">
        <v>35</v>
      </c>
      <c r="H4531">
        <v>1</v>
      </c>
      <c r="I4531" t="s">
        <v>856</v>
      </c>
      <c r="J4531" s="1">
        <v>42786</v>
      </c>
      <c r="K4531" t="s">
        <v>354</v>
      </c>
      <c r="L4531" t="s">
        <v>355</v>
      </c>
      <c r="M4531" t="s">
        <v>131</v>
      </c>
      <c r="N4531">
        <v>24</v>
      </c>
      <c r="O4531" s="1">
        <v>42786</v>
      </c>
      <c r="P4531" t="s">
        <v>41</v>
      </c>
      <c r="Q4531" t="s">
        <v>75</v>
      </c>
      <c r="R4531" t="str">
        <f>"7054038"</f>
        <v>7054038</v>
      </c>
      <c r="S4531" t="s">
        <v>377</v>
      </c>
      <c r="T4531" t="s">
        <v>354</v>
      </c>
      <c r="U4531" t="s">
        <v>355</v>
      </c>
      <c r="V4531" t="s">
        <v>131</v>
      </c>
      <c r="W4531" t="s">
        <v>44</v>
      </c>
      <c r="X4531" t="s">
        <v>45</v>
      </c>
      <c r="Y4531" s="1">
        <v>32636</v>
      </c>
      <c r="Z4531">
        <v>1</v>
      </c>
      <c r="AA4531" t="s">
        <v>355</v>
      </c>
      <c r="AB4531" s="40" t="s">
        <v>1799</v>
      </c>
    </row>
    <row r="4532" spans="1:28" x14ac:dyDescent="0.25">
      <c r="A4532">
        <v>99914531</v>
      </c>
      <c r="B4532" t="s">
        <v>32</v>
      </c>
      <c r="C4532" t="s">
        <v>90</v>
      </c>
      <c r="D4532" t="s">
        <v>91</v>
      </c>
      <c r="G4532" t="s">
        <v>35</v>
      </c>
      <c r="H4532">
        <v>1</v>
      </c>
      <c r="I4532" t="s">
        <v>1353</v>
      </c>
      <c r="J4532" s="1">
        <v>43344</v>
      </c>
      <c r="K4532" t="s">
        <v>1341</v>
      </c>
      <c r="L4532" t="s">
        <v>1342</v>
      </c>
      <c r="M4532" t="s">
        <v>1270</v>
      </c>
      <c r="N4532">
        <v>24</v>
      </c>
      <c r="O4532" s="1">
        <v>43344</v>
      </c>
      <c r="P4532" t="s">
        <v>41</v>
      </c>
      <c r="Q4532" t="s">
        <v>95</v>
      </c>
      <c r="R4532" t="str">
        <f>"7191061"</f>
        <v>7191061</v>
      </c>
      <c r="S4532" t="s">
        <v>1354</v>
      </c>
      <c r="T4532" t="s">
        <v>1341</v>
      </c>
      <c r="U4532" t="s">
        <v>1342</v>
      </c>
      <c r="V4532" t="s">
        <v>1270</v>
      </c>
      <c r="W4532" t="s">
        <v>44</v>
      </c>
      <c r="X4532" t="s">
        <v>45</v>
      </c>
      <c r="Y4532" s="1">
        <v>32636</v>
      </c>
      <c r="Z4532">
        <v>1</v>
      </c>
      <c r="AA4532" t="s">
        <v>1342</v>
      </c>
      <c r="AB4532" s="40" t="s">
        <v>1799</v>
      </c>
    </row>
    <row r="4533" spans="1:28" x14ac:dyDescent="0.25">
      <c r="A4533">
        <v>99914532</v>
      </c>
      <c r="B4533" t="s">
        <v>32</v>
      </c>
      <c r="C4533" t="s">
        <v>111</v>
      </c>
      <c r="D4533" t="s">
        <v>112</v>
      </c>
      <c r="G4533" t="s">
        <v>35</v>
      </c>
      <c r="H4533">
        <v>4</v>
      </c>
      <c r="I4533" t="s">
        <v>640</v>
      </c>
      <c r="J4533" s="1">
        <v>42121</v>
      </c>
      <c r="K4533" t="s">
        <v>268</v>
      </c>
      <c r="L4533" t="s">
        <v>269</v>
      </c>
      <c r="M4533" t="s">
        <v>131</v>
      </c>
      <c r="N4533">
        <v>24</v>
      </c>
      <c r="O4533" s="1">
        <v>42121</v>
      </c>
      <c r="P4533" t="s">
        <v>41</v>
      </c>
      <c r="Q4533" t="s">
        <v>75</v>
      </c>
      <c r="R4533" t="str">
        <f>"7052004"</f>
        <v>7052004</v>
      </c>
      <c r="S4533" t="s">
        <v>584</v>
      </c>
      <c r="T4533" t="s">
        <v>268</v>
      </c>
      <c r="U4533" t="s">
        <v>269</v>
      </c>
      <c r="V4533" t="s">
        <v>131</v>
      </c>
      <c r="W4533" t="s">
        <v>51</v>
      </c>
      <c r="X4533" t="s">
        <v>45</v>
      </c>
      <c r="Y4533" s="1">
        <v>32629</v>
      </c>
      <c r="Z4533">
        <v>1</v>
      </c>
      <c r="AA4533" t="s">
        <v>269</v>
      </c>
      <c r="AB4533" s="40" t="s">
        <v>1799</v>
      </c>
    </row>
    <row r="4534" spans="1:28" x14ac:dyDescent="0.25">
      <c r="A4534">
        <v>99914533</v>
      </c>
      <c r="B4534" t="s">
        <v>32</v>
      </c>
      <c r="C4534" t="s">
        <v>111</v>
      </c>
      <c r="D4534" t="s">
        <v>112</v>
      </c>
      <c r="G4534" t="s">
        <v>35</v>
      </c>
      <c r="H4534">
        <v>1</v>
      </c>
      <c r="I4534" t="s">
        <v>789</v>
      </c>
      <c r="J4534" s="1">
        <v>43344</v>
      </c>
      <c r="K4534" t="s">
        <v>354</v>
      </c>
      <c r="L4534" t="s">
        <v>355</v>
      </c>
      <c r="M4534" t="s">
        <v>131</v>
      </c>
      <c r="N4534">
        <v>24</v>
      </c>
      <c r="O4534" s="1">
        <v>43344</v>
      </c>
      <c r="P4534" t="s">
        <v>41</v>
      </c>
      <c r="Q4534" t="s">
        <v>75</v>
      </c>
      <c r="R4534" t="str">
        <f>"7054042"</f>
        <v>7054042</v>
      </c>
      <c r="S4534" t="s">
        <v>776</v>
      </c>
      <c r="T4534" t="s">
        <v>354</v>
      </c>
      <c r="U4534" t="s">
        <v>355</v>
      </c>
      <c r="V4534" t="s">
        <v>131</v>
      </c>
      <c r="W4534" t="s">
        <v>51</v>
      </c>
      <c r="X4534" t="s">
        <v>45</v>
      </c>
      <c r="Y4534" s="1">
        <v>32627</v>
      </c>
      <c r="Z4534">
        <v>1</v>
      </c>
      <c r="AA4534" t="s">
        <v>355</v>
      </c>
      <c r="AB4534" s="40" t="s">
        <v>1799</v>
      </c>
    </row>
    <row r="4535" spans="1:28" x14ac:dyDescent="0.25">
      <c r="A4535">
        <v>99914534</v>
      </c>
      <c r="B4535" t="s">
        <v>56</v>
      </c>
      <c r="C4535" t="s">
        <v>111</v>
      </c>
      <c r="D4535" t="s">
        <v>112</v>
      </c>
      <c r="G4535" t="s">
        <v>48</v>
      </c>
      <c r="H4535">
        <v>1</v>
      </c>
      <c r="I4535" t="s">
        <v>574</v>
      </c>
      <c r="J4535" s="1">
        <v>42324</v>
      </c>
      <c r="K4535" t="s">
        <v>1081</v>
      </c>
      <c r="L4535" t="s">
        <v>1082</v>
      </c>
      <c r="M4535" t="s">
        <v>1053</v>
      </c>
      <c r="N4535">
        <v>24</v>
      </c>
      <c r="O4535" s="1">
        <v>42324</v>
      </c>
      <c r="P4535" t="s">
        <v>41</v>
      </c>
      <c r="Q4535" t="s">
        <v>75</v>
      </c>
      <c r="R4535" t="str">
        <f>"7201006"</f>
        <v>7201006</v>
      </c>
      <c r="S4535" t="s">
        <v>1083</v>
      </c>
      <c r="T4535" t="s">
        <v>1081</v>
      </c>
      <c r="U4535" t="s">
        <v>1082</v>
      </c>
      <c r="V4535" t="s">
        <v>1053</v>
      </c>
      <c r="W4535" t="s">
        <v>51</v>
      </c>
      <c r="X4535" t="s">
        <v>45</v>
      </c>
      <c r="Y4535" s="1">
        <v>32627</v>
      </c>
      <c r="Z4535">
        <v>1</v>
      </c>
      <c r="AA4535" t="s">
        <v>1082</v>
      </c>
      <c r="AB4535" s="40" t="s">
        <v>1799</v>
      </c>
    </row>
    <row r="4536" spans="1:28" x14ac:dyDescent="0.25">
      <c r="A4536">
        <v>99914535</v>
      </c>
      <c r="B4536" t="s">
        <v>32</v>
      </c>
      <c r="C4536" t="s">
        <v>111</v>
      </c>
      <c r="D4536" t="s">
        <v>112</v>
      </c>
      <c r="G4536" t="s">
        <v>48</v>
      </c>
      <c r="H4536">
        <v>1</v>
      </c>
      <c r="K4536" t="s">
        <v>877</v>
      </c>
      <c r="L4536" t="s">
        <v>878</v>
      </c>
      <c r="M4536" t="s">
        <v>131</v>
      </c>
      <c r="N4536">
        <v>24</v>
      </c>
      <c r="P4536" t="s">
        <v>41</v>
      </c>
      <c r="Q4536" t="s">
        <v>75</v>
      </c>
      <c r="R4536" t="str">
        <f>"7541008"</f>
        <v>7541008</v>
      </c>
      <c r="S4536" t="s">
        <v>879</v>
      </c>
      <c r="T4536" t="s">
        <v>877</v>
      </c>
      <c r="U4536" t="s">
        <v>878</v>
      </c>
      <c r="V4536" t="s">
        <v>131</v>
      </c>
      <c r="W4536" t="s">
        <v>51</v>
      </c>
      <c r="X4536" t="s">
        <v>45</v>
      </c>
      <c r="Y4536" s="1">
        <v>32610</v>
      </c>
      <c r="Z4536">
        <v>1</v>
      </c>
      <c r="AA4536" t="s">
        <v>878</v>
      </c>
      <c r="AB4536" s="40" t="s">
        <v>1799</v>
      </c>
    </row>
    <row r="4537" spans="1:28" x14ac:dyDescent="0.25">
      <c r="A4537">
        <v>99914536</v>
      </c>
      <c r="B4537" t="s">
        <v>32</v>
      </c>
      <c r="C4537" t="s">
        <v>111</v>
      </c>
      <c r="D4537" t="s">
        <v>112</v>
      </c>
      <c r="G4537" t="s">
        <v>35</v>
      </c>
      <c r="H4537">
        <v>1</v>
      </c>
      <c r="I4537" t="s">
        <v>599</v>
      </c>
      <c r="J4537" s="1">
        <v>43344</v>
      </c>
      <c r="K4537" t="s">
        <v>354</v>
      </c>
      <c r="L4537" t="s">
        <v>355</v>
      </c>
      <c r="M4537" t="s">
        <v>131</v>
      </c>
      <c r="N4537">
        <v>24</v>
      </c>
      <c r="O4537" s="1">
        <v>43344</v>
      </c>
      <c r="P4537" t="s">
        <v>41</v>
      </c>
      <c r="Q4537" t="s">
        <v>75</v>
      </c>
      <c r="R4537" t="str">
        <f>"7054010"</f>
        <v>7054010</v>
      </c>
      <c r="S4537" t="s">
        <v>810</v>
      </c>
      <c r="T4537" t="s">
        <v>354</v>
      </c>
      <c r="U4537" t="s">
        <v>355</v>
      </c>
      <c r="V4537" t="s">
        <v>131</v>
      </c>
      <c r="W4537" t="s">
        <v>51</v>
      </c>
      <c r="X4537" t="s">
        <v>45</v>
      </c>
      <c r="Y4537" s="1">
        <v>32605</v>
      </c>
      <c r="Z4537">
        <v>1</v>
      </c>
      <c r="AA4537" t="s">
        <v>355</v>
      </c>
      <c r="AB4537" s="40" t="s">
        <v>1799</v>
      </c>
    </row>
    <row r="4538" spans="1:28" x14ac:dyDescent="0.25">
      <c r="A4538">
        <v>99914537</v>
      </c>
      <c r="B4538" t="s">
        <v>32</v>
      </c>
      <c r="C4538" t="s">
        <v>111</v>
      </c>
      <c r="D4538" t="s">
        <v>112</v>
      </c>
      <c r="G4538" t="s">
        <v>48</v>
      </c>
      <c r="H4538">
        <v>1</v>
      </c>
      <c r="K4538" t="s">
        <v>1695</v>
      </c>
      <c r="L4538" t="s">
        <v>1696</v>
      </c>
      <c r="M4538" t="s">
        <v>1592</v>
      </c>
      <c r="N4538">
        <v>24</v>
      </c>
      <c r="P4538" t="s">
        <v>41</v>
      </c>
      <c r="Q4538" t="s">
        <v>75</v>
      </c>
      <c r="R4538" t="str">
        <f>"7361000"</f>
        <v>7361000</v>
      </c>
      <c r="S4538" t="s">
        <v>1698</v>
      </c>
      <c r="T4538" t="s">
        <v>1695</v>
      </c>
      <c r="U4538" t="s">
        <v>1696</v>
      </c>
      <c r="V4538" t="s">
        <v>1592</v>
      </c>
      <c r="W4538" t="s">
        <v>51</v>
      </c>
      <c r="X4538" t="s">
        <v>45</v>
      </c>
      <c r="Y4538" s="1">
        <v>32605</v>
      </c>
      <c r="Z4538">
        <v>1</v>
      </c>
      <c r="AA4538" t="s">
        <v>1696</v>
      </c>
      <c r="AB4538" s="40" t="s">
        <v>1799</v>
      </c>
    </row>
    <row r="4539" spans="1:28" x14ac:dyDescent="0.25">
      <c r="A4539">
        <v>99914538</v>
      </c>
      <c r="B4539" t="s">
        <v>32</v>
      </c>
      <c r="C4539" t="s">
        <v>111</v>
      </c>
      <c r="D4539" t="s">
        <v>112</v>
      </c>
      <c r="G4539" t="s">
        <v>35</v>
      </c>
      <c r="H4539">
        <v>1</v>
      </c>
      <c r="I4539">
        <v>9062</v>
      </c>
      <c r="J4539" s="1">
        <v>43344</v>
      </c>
      <c r="K4539" t="s">
        <v>1198</v>
      </c>
      <c r="L4539" t="s">
        <v>1199</v>
      </c>
      <c r="M4539" t="s">
        <v>1130</v>
      </c>
      <c r="N4539">
        <v>24</v>
      </c>
      <c r="O4539" s="1">
        <v>43344</v>
      </c>
      <c r="P4539" t="s">
        <v>41</v>
      </c>
      <c r="Q4539" t="s">
        <v>75</v>
      </c>
      <c r="R4539" t="str">
        <f>"7311002"</f>
        <v>7311002</v>
      </c>
      <c r="S4539" t="s">
        <v>1203</v>
      </c>
      <c r="T4539" t="s">
        <v>1198</v>
      </c>
      <c r="U4539" t="s">
        <v>1199</v>
      </c>
      <c r="V4539" t="s">
        <v>1130</v>
      </c>
      <c r="W4539" t="s">
        <v>44</v>
      </c>
      <c r="X4539" t="s">
        <v>45</v>
      </c>
      <c r="Y4539" s="1">
        <v>32602</v>
      </c>
      <c r="Z4539">
        <v>1</v>
      </c>
      <c r="AA4539" t="s">
        <v>1199</v>
      </c>
      <c r="AB4539" s="40" t="s">
        <v>1799</v>
      </c>
    </row>
    <row r="4540" spans="1:28" x14ac:dyDescent="0.25">
      <c r="A4540">
        <v>99914539</v>
      </c>
      <c r="B4540" t="s">
        <v>32</v>
      </c>
      <c r="C4540" t="s">
        <v>111</v>
      </c>
      <c r="D4540" t="s">
        <v>112</v>
      </c>
      <c r="G4540" t="s">
        <v>35</v>
      </c>
      <c r="H4540">
        <v>1</v>
      </c>
      <c r="I4540" s="1">
        <v>42979</v>
      </c>
      <c r="J4540" s="1">
        <v>43344</v>
      </c>
      <c r="K4540" t="s">
        <v>1341</v>
      </c>
      <c r="L4540" t="s">
        <v>1342</v>
      </c>
      <c r="M4540" t="s">
        <v>1270</v>
      </c>
      <c r="N4540">
        <v>24</v>
      </c>
      <c r="O4540" s="1">
        <v>43344</v>
      </c>
      <c r="P4540" t="s">
        <v>41</v>
      </c>
      <c r="Q4540" t="s">
        <v>75</v>
      </c>
      <c r="R4540" t="str">
        <f>"7191034"</f>
        <v>7191034</v>
      </c>
      <c r="S4540" t="s">
        <v>1343</v>
      </c>
      <c r="T4540" t="s">
        <v>1341</v>
      </c>
      <c r="U4540" t="s">
        <v>1342</v>
      </c>
      <c r="V4540" t="s">
        <v>1270</v>
      </c>
      <c r="W4540" t="s">
        <v>44</v>
      </c>
      <c r="X4540" t="s">
        <v>45</v>
      </c>
      <c r="Y4540" s="1">
        <v>32591</v>
      </c>
      <c r="Z4540">
        <v>1</v>
      </c>
      <c r="AA4540" t="s">
        <v>1342</v>
      </c>
      <c r="AB4540" s="40" t="s">
        <v>1799</v>
      </c>
    </row>
    <row r="4541" spans="1:28" x14ac:dyDescent="0.25">
      <c r="A4541">
        <v>99914540</v>
      </c>
      <c r="B4541" t="s">
        <v>56</v>
      </c>
      <c r="C4541" t="s">
        <v>111</v>
      </c>
      <c r="D4541" t="s">
        <v>112</v>
      </c>
      <c r="G4541" t="s">
        <v>48</v>
      </c>
      <c r="H4541">
        <v>1</v>
      </c>
      <c r="K4541" t="s">
        <v>1581</v>
      </c>
      <c r="L4541" t="s">
        <v>1582</v>
      </c>
      <c r="M4541" t="s">
        <v>1548</v>
      </c>
      <c r="N4541">
        <v>24</v>
      </c>
      <c r="P4541" t="s">
        <v>41</v>
      </c>
      <c r="Q4541" t="s">
        <v>75</v>
      </c>
      <c r="R4541" t="str">
        <f>"7291000"</f>
        <v>7291000</v>
      </c>
      <c r="S4541" t="s">
        <v>1584</v>
      </c>
      <c r="T4541" t="s">
        <v>1581</v>
      </c>
      <c r="U4541" t="s">
        <v>1582</v>
      </c>
      <c r="V4541" t="s">
        <v>1548</v>
      </c>
      <c r="W4541" t="s">
        <v>51</v>
      </c>
      <c r="X4541" t="s">
        <v>45</v>
      </c>
      <c r="Y4541" s="1">
        <v>32587</v>
      </c>
      <c r="Z4541">
        <v>1</v>
      </c>
      <c r="AA4541" t="s">
        <v>1582</v>
      </c>
      <c r="AB4541" s="40" t="s">
        <v>1799</v>
      </c>
    </row>
    <row r="4542" spans="1:28" x14ac:dyDescent="0.25">
      <c r="A4542">
        <v>99914541</v>
      </c>
      <c r="B4542" t="s">
        <v>32</v>
      </c>
      <c r="C4542" t="s">
        <v>111</v>
      </c>
      <c r="D4542" t="s">
        <v>112</v>
      </c>
      <c r="G4542" t="s">
        <v>35</v>
      </c>
      <c r="H4542">
        <v>1</v>
      </c>
      <c r="I4542" t="s">
        <v>250</v>
      </c>
      <c r="J4542" s="1">
        <v>43344</v>
      </c>
      <c r="K4542" t="s">
        <v>985</v>
      </c>
      <c r="L4542" t="s">
        <v>986</v>
      </c>
      <c r="M4542" t="s">
        <v>938</v>
      </c>
      <c r="N4542">
        <v>24</v>
      </c>
      <c r="O4542" s="1">
        <v>43344</v>
      </c>
      <c r="P4542" t="s">
        <v>41</v>
      </c>
      <c r="Q4542" t="s">
        <v>75</v>
      </c>
      <c r="R4542" t="str">
        <f>"7011004"</f>
        <v>7011004</v>
      </c>
      <c r="S4542" t="s">
        <v>987</v>
      </c>
      <c r="T4542" t="s">
        <v>985</v>
      </c>
      <c r="U4542" t="s">
        <v>986</v>
      </c>
      <c r="V4542" t="s">
        <v>938</v>
      </c>
      <c r="W4542" t="s">
        <v>51</v>
      </c>
      <c r="X4542" t="s">
        <v>45</v>
      </c>
      <c r="Y4542" s="1">
        <v>32584</v>
      </c>
      <c r="Z4542">
        <v>1</v>
      </c>
      <c r="AA4542" t="s">
        <v>986</v>
      </c>
      <c r="AB4542" s="40" t="s">
        <v>1799</v>
      </c>
    </row>
    <row r="4543" spans="1:28" x14ac:dyDescent="0.25">
      <c r="A4543">
        <v>99914542</v>
      </c>
      <c r="B4543" t="s">
        <v>32</v>
      </c>
      <c r="C4543" t="s">
        <v>111</v>
      </c>
      <c r="D4543" t="s">
        <v>112</v>
      </c>
      <c r="G4543" t="s">
        <v>48</v>
      </c>
      <c r="H4543">
        <v>1</v>
      </c>
      <c r="I4543" t="s">
        <v>489</v>
      </c>
      <c r="J4543" s="1">
        <v>42317</v>
      </c>
      <c r="K4543" t="s">
        <v>431</v>
      </c>
      <c r="L4543" t="s">
        <v>196</v>
      </c>
      <c r="M4543" t="s">
        <v>131</v>
      </c>
      <c r="N4543">
        <v>24</v>
      </c>
      <c r="O4543" s="1">
        <v>42317</v>
      </c>
      <c r="P4543" t="s">
        <v>41</v>
      </c>
      <c r="Q4543" t="s">
        <v>75</v>
      </c>
      <c r="R4543" t="str">
        <f>"7521016"</f>
        <v>7521016</v>
      </c>
      <c r="S4543" t="s">
        <v>448</v>
      </c>
      <c r="T4543" t="s">
        <v>431</v>
      </c>
      <c r="U4543" t="s">
        <v>196</v>
      </c>
      <c r="V4543" t="s">
        <v>131</v>
      </c>
      <c r="W4543" t="s">
        <v>51</v>
      </c>
      <c r="X4543" t="s">
        <v>45</v>
      </c>
      <c r="Y4543" s="1">
        <v>32579</v>
      </c>
      <c r="Z4543">
        <v>1</v>
      </c>
      <c r="AA4543" t="s">
        <v>196</v>
      </c>
      <c r="AB4543" s="40" t="s">
        <v>1799</v>
      </c>
    </row>
    <row r="4544" spans="1:28" x14ac:dyDescent="0.25">
      <c r="A4544">
        <v>99914543</v>
      </c>
      <c r="B4544" t="s">
        <v>32</v>
      </c>
      <c r="C4544" t="s">
        <v>111</v>
      </c>
      <c r="D4544" t="s">
        <v>112</v>
      </c>
      <c r="G4544" t="s">
        <v>35</v>
      </c>
      <c r="H4544">
        <v>1</v>
      </c>
      <c r="K4544" t="s">
        <v>877</v>
      </c>
      <c r="L4544" t="s">
        <v>878</v>
      </c>
      <c r="M4544" t="s">
        <v>131</v>
      </c>
      <c r="N4544">
        <v>24</v>
      </c>
      <c r="P4544" t="s">
        <v>41</v>
      </c>
      <c r="Q4544" t="s">
        <v>75</v>
      </c>
      <c r="R4544" t="str">
        <f>"7700025"</f>
        <v>7700025</v>
      </c>
      <c r="S4544" t="s">
        <v>880</v>
      </c>
      <c r="T4544" t="s">
        <v>877</v>
      </c>
      <c r="U4544" t="s">
        <v>878</v>
      </c>
      <c r="V4544" t="s">
        <v>131</v>
      </c>
      <c r="W4544" t="s">
        <v>51</v>
      </c>
      <c r="X4544" t="s">
        <v>45</v>
      </c>
      <c r="Y4544" s="1">
        <v>32562</v>
      </c>
      <c r="Z4544">
        <v>1</v>
      </c>
      <c r="AA4544" t="s">
        <v>878</v>
      </c>
      <c r="AB4544" s="40" t="s">
        <v>1799</v>
      </c>
    </row>
    <row r="4545" spans="1:28" x14ac:dyDescent="0.25">
      <c r="A4545">
        <v>99914544</v>
      </c>
      <c r="B4545" t="s">
        <v>32</v>
      </c>
      <c r="C4545" t="s">
        <v>111</v>
      </c>
      <c r="D4545" t="s">
        <v>112</v>
      </c>
      <c r="G4545" t="s">
        <v>48</v>
      </c>
      <c r="H4545">
        <v>1</v>
      </c>
      <c r="K4545" t="s">
        <v>268</v>
      </c>
      <c r="L4545" t="s">
        <v>269</v>
      </c>
      <c r="M4545" t="s">
        <v>131</v>
      </c>
      <c r="N4545">
        <v>24</v>
      </c>
      <c r="P4545" t="s">
        <v>41</v>
      </c>
      <c r="Q4545" t="s">
        <v>75</v>
      </c>
      <c r="R4545" t="str">
        <f>"7052040"</f>
        <v>7052040</v>
      </c>
      <c r="S4545" t="s">
        <v>591</v>
      </c>
      <c r="T4545" t="s">
        <v>268</v>
      </c>
      <c r="U4545" t="s">
        <v>269</v>
      </c>
      <c r="V4545" t="s">
        <v>131</v>
      </c>
      <c r="W4545" t="s">
        <v>51</v>
      </c>
      <c r="X4545" t="s">
        <v>45</v>
      </c>
      <c r="Y4545" s="1">
        <v>32554</v>
      </c>
      <c r="Z4545">
        <v>1</v>
      </c>
      <c r="AA4545" t="s">
        <v>269</v>
      </c>
      <c r="AB4545" s="40" t="s">
        <v>1799</v>
      </c>
    </row>
    <row r="4546" spans="1:28" x14ac:dyDescent="0.25">
      <c r="A4546">
        <v>99914545</v>
      </c>
      <c r="B4546" t="s">
        <v>32</v>
      </c>
      <c r="C4546" t="s">
        <v>64</v>
      </c>
      <c r="D4546" t="s">
        <v>65</v>
      </c>
      <c r="G4546" t="s">
        <v>35</v>
      </c>
      <c r="H4546">
        <v>1</v>
      </c>
      <c r="I4546">
        <v>14597</v>
      </c>
      <c r="J4546" s="1">
        <v>43344</v>
      </c>
      <c r="K4546" t="s">
        <v>354</v>
      </c>
      <c r="L4546" t="s">
        <v>355</v>
      </c>
      <c r="M4546" t="s">
        <v>131</v>
      </c>
      <c r="N4546">
        <v>24</v>
      </c>
      <c r="O4546" s="1">
        <v>43344</v>
      </c>
      <c r="P4546" t="s">
        <v>41</v>
      </c>
      <c r="Q4546" t="s">
        <v>75</v>
      </c>
      <c r="R4546" t="str">
        <f>"7054006"</f>
        <v>7054006</v>
      </c>
      <c r="S4546" t="s">
        <v>774</v>
      </c>
      <c r="T4546" t="s">
        <v>354</v>
      </c>
      <c r="U4546" t="s">
        <v>355</v>
      </c>
      <c r="V4546" t="s">
        <v>131</v>
      </c>
      <c r="W4546" t="s">
        <v>51</v>
      </c>
      <c r="X4546" t="s">
        <v>45</v>
      </c>
      <c r="Y4546" s="1">
        <v>32551</v>
      </c>
      <c r="Z4546">
        <v>1</v>
      </c>
      <c r="AA4546" t="s">
        <v>355</v>
      </c>
      <c r="AB4546" s="40" t="s">
        <v>1799</v>
      </c>
    </row>
    <row r="4547" spans="1:28" x14ac:dyDescent="0.25">
      <c r="A4547">
        <v>99914546</v>
      </c>
      <c r="B4547" t="s">
        <v>32</v>
      </c>
      <c r="C4547" t="s">
        <v>111</v>
      </c>
      <c r="D4547" t="s">
        <v>112</v>
      </c>
      <c r="G4547" t="s">
        <v>48</v>
      </c>
      <c r="H4547">
        <v>5</v>
      </c>
      <c r="I4547" t="s">
        <v>451</v>
      </c>
      <c r="J4547" s="1">
        <v>43344</v>
      </c>
      <c r="K4547" t="s">
        <v>195</v>
      </c>
      <c r="L4547" t="s">
        <v>196</v>
      </c>
      <c r="M4547" t="s">
        <v>131</v>
      </c>
      <c r="N4547">
        <v>24</v>
      </c>
      <c r="O4547" s="1">
        <v>43344</v>
      </c>
      <c r="P4547" t="s">
        <v>41</v>
      </c>
      <c r="Q4547" t="s">
        <v>75</v>
      </c>
      <c r="R4547" t="str">
        <f>"7521046"</f>
        <v>7521046</v>
      </c>
      <c r="S4547" t="s">
        <v>436</v>
      </c>
      <c r="T4547" t="s">
        <v>195</v>
      </c>
      <c r="U4547" t="s">
        <v>196</v>
      </c>
      <c r="V4547" t="s">
        <v>131</v>
      </c>
      <c r="W4547" t="s">
        <v>165</v>
      </c>
      <c r="X4547" t="s">
        <v>45</v>
      </c>
      <c r="Y4547" s="1">
        <v>32548</v>
      </c>
      <c r="Z4547">
        <v>1</v>
      </c>
      <c r="AA4547" t="s">
        <v>196</v>
      </c>
      <c r="AB4547" s="40" t="s">
        <v>1799</v>
      </c>
    </row>
    <row r="4548" spans="1:28" x14ac:dyDescent="0.25">
      <c r="A4548">
        <v>99914547</v>
      </c>
      <c r="B4548" t="s">
        <v>56</v>
      </c>
      <c r="C4548" t="s">
        <v>111</v>
      </c>
      <c r="D4548" t="s">
        <v>112</v>
      </c>
      <c r="G4548" t="s">
        <v>48</v>
      </c>
      <c r="H4548">
        <v>1</v>
      </c>
      <c r="K4548" t="s">
        <v>667</v>
      </c>
      <c r="L4548" t="s">
        <v>669</v>
      </c>
      <c r="M4548" t="s">
        <v>670</v>
      </c>
      <c r="N4548">
        <v>24</v>
      </c>
      <c r="P4548" t="s">
        <v>41</v>
      </c>
      <c r="Q4548" t="s">
        <v>75</v>
      </c>
      <c r="R4548" t="str">
        <f>"7501004"</f>
        <v>7501004</v>
      </c>
      <c r="S4548" t="s">
        <v>1500</v>
      </c>
      <c r="T4548" t="s">
        <v>667</v>
      </c>
      <c r="U4548" t="s">
        <v>669</v>
      </c>
      <c r="V4548" t="s">
        <v>670</v>
      </c>
      <c r="W4548" t="s">
        <v>51</v>
      </c>
      <c r="X4548" t="s">
        <v>45</v>
      </c>
      <c r="Y4548" s="1">
        <v>32530</v>
      </c>
      <c r="Z4548">
        <v>1</v>
      </c>
      <c r="AA4548" t="s">
        <v>669</v>
      </c>
      <c r="AB4548" s="40" t="s">
        <v>1799</v>
      </c>
    </row>
    <row r="4549" spans="1:28" x14ac:dyDescent="0.25">
      <c r="A4549">
        <v>99914548</v>
      </c>
      <c r="B4549" t="s">
        <v>32</v>
      </c>
      <c r="C4549" t="s">
        <v>111</v>
      </c>
      <c r="D4549" t="s">
        <v>112</v>
      </c>
      <c r="G4549" t="s">
        <v>48</v>
      </c>
      <c r="H4549">
        <v>1</v>
      </c>
      <c r="K4549" t="s">
        <v>1708</v>
      </c>
      <c r="L4549" t="s">
        <v>1709</v>
      </c>
      <c r="M4549" t="s">
        <v>1705</v>
      </c>
      <c r="N4549">
        <v>24</v>
      </c>
      <c r="P4549" t="s">
        <v>41</v>
      </c>
      <c r="Q4549" t="s">
        <v>75</v>
      </c>
      <c r="R4549" t="str">
        <f>"7121000"</f>
        <v>7121000</v>
      </c>
      <c r="S4549" t="s">
        <v>1713</v>
      </c>
      <c r="T4549" t="s">
        <v>1708</v>
      </c>
      <c r="U4549" t="s">
        <v>1709</v>
      </c>
      <c r="V4549" t="s">
        <v>1705</v>
      </c>
      <c r="W4549" t="s">
        <v>51</v>
      </c>
      <c r="X4549" t="s">
        <v>45</v>
      </c>
      <c r="Y4549" s="1">
        <v>32513</v>
      </c>
      <c r="Z4549">
        <v>1</v>
      </c>
      <c r="AA4549" t="s">
        <v>1709</v>
      </c>
      <c r="AB4549" s="40" t="s">
        <v>1799</v>
      </c>
    </row>
    <row r="4550" spans="1:28" x14ac:dyDescent="0.25">
      <c r="A4550">
        <v>99914549</v>
      </c>
      <c r="B4550" t="s">
        <v>32</v>
      </c>
      <c r="C4550" t="s">
        <v>111</v>
      </c>
      <c r="D4550" t="s">
        <v>112</v>
      </c>
      <c r="G4550" t="s">
        <v>35</v>
      </c>
      <c r="H4550">
        <v>1</v>
      </c>
      <c r="K4550" t="s">
        <v>154</v>
      </c>
      <c r="L4550" t="s">
        <v>155</v>
      </c>
      <c r="M4550" t="s">
        <v>131</v>
      </c>
      <c r="N4550">
        <v>24</v>
      </c>
      <c r="P4550" t="s">
        <v>41</v>
      </c>
      <c r="Q4550" t="s">
        <v>75</v>
      </c>
      <c r="R4550" t="str">
        <f>"7700026"</f>
        <v>7700026</v>
      </c>
      <c r="S4550" t="s">
        <v>397</v>
      </c>
      <c r="T4550" t="s">
        <v>154</v>
      </c>
      <c r="U4550" t="s">
        <v>155</v>
      </c>
      <c r="V4550" t="s">
        <v>131</v>
      </c>
      <c r="W4550" t="s">
        <v>51</v>
      </c>
      <c r="X4550" t="s">
        <v>45</v>
      </c>
      <c r="Y4550" s="1">
        <v>32511</v>
      </c>
      <c r="Z4550">
        <v>1</v>
      </c>
      <c r="AA4550" t="s">
        <v>155</v>
      </c>
      <c r="AB4550" s="40" t="s">
        <v>1799</v>
      </c>
    </row>
    <row r="4551" spans="1:28" x14ac:dyDescent="0.25">
      <c r="A4551">
        <v>99914550</v>
      </c>
      <c r="B4551" t="s">
        <v>32</v>
      </c>
      <c r="C4551" t="s">
        <v>111</v>
      </c>
      <c r="D4551" t="s">
        <v>112</v>
      </c>
      <c r="G4551" t="s">
        <v>35</v>
      </c>
      <c r="H4551">
        <v>1</v>
      </c>
      <c r="K4551" t="s">
        <v>154</v>
      </c>
      <c r="L4551" t="s">
        <v>155</v>
      </c>
      <c r="M4551" t="s">
        <v>131</v>
      </c>
      <c r="N4551">
        <v>24</v>
      </c>
      <c r="P4551" t="s">
        <v>41</v>
      </c>
      <c r="Q4551" t="s">
        <v>75</v>
      </c>
      <c r="R4551" t="str">
        <f>"7700026"</f>
        <v>7700026</v>
      </c>
      <c r="S4551" t="s">
        <v>397</v>
      </c>
      <c r="T4551" t="s">
        <v>154</v>
      </c>
      <c r="U4551" t="s">
        <v>155</v>
      </c>
      <c r="V4551" t="s">
        <v>131</v>
      </c>
      <c r="W4551" t="s">
        <v>51</v>
      </c>
      <c r="X4551" t="s">
        <v>45</v>
      </c>
      <c r="Y4551" s="1">
        <v>32509</v>
      </c>
      <c r="Z4551">
        <v>1</v>
      </c>
      <c r="AA4551" t="s">
        <v>155</v>
      </c>
      <c r="AB4551" s="40" t="s">
        <v>1799</v>
      </c>
    </row>
    <row r="4552" spans="1:28" x14ac:dyDescent="0.25">
      <c r="A4552">
        <v>99914551</v>
      </c>
      <c r="B4552" t="s">
        <v>32</v>
      </c>
      <c r="C4552" t="s">
        <v>111</v>
      </c>
      <c r="D4552" t="s">
        <v>112</v>
      </c>
      <c r="G4552" t="s">
        <v>48</v>
      </c>
      <c r="H4552">
        <v>1</v>
      </c>
      <c r="I4552" t="s">
        <v>429</v>
      </c>
      <c r="J4552" s="1">
        <v>42059</v>
      </c>
      <c r="K4552" t="s">
        <v>154</v>
      </c>
      <c r="L4552" t="s">
        <v>155</v>
      </c>
      <c r="M4552" t="s">
        <v>131</v>
      </c>
      <c r="N4552">
        <v>24</v>
      </c>
      <c r="O4552" s="1">
        <v>42059</v>
      </c>
      <c r="P4552" t="s">
        <v>41</v>
      </c>
      <c r="Q4552" t="s">
        <v>75</v>
      </c>
      <c r="R4552" t="str">
        <f>"7051018"</f>
        <v>7051018</v>
      </c>
      <c r="S4552" t="s">
        <v>401</v>
      </c>
      <c r="T4552" t="s">
        <v>154</v>
      </c>
      <c r="U4552" t="s">
        <v>155</v>
      </c>
      <c r="V4552" t="s">
        <v>131</v>
      </c>
      <c r="W4552" t="s">
        <v>51</v>
      </c>
      <c r="X4552" t="s">
        <v>45</v>
      </c>
      <c r="Y4552" s="1">
        <v>32509</v>
      </c>
      <c r="Z4552">
        <v>1</v>
      </c>
      <c r="AA4552" t="s">
        <v>155</v>
      </c>
      <c r="AB4552" s="40" t="s">
        <v>1799</v>
      </c>
    </row>
    <row r="4553" spans="1:28" x14ac:dyDescent="0.25">
      <c r="A4553">
        <v>99914552</v>
      </c>
      <c r="B4553" t="s">
        <v>32</v>
      </c>
      <c r="C4553" t="s">
        <v>111</v>
      </c>
      <c r="D4553" t="s">
        <v>112</v>
      </c>
      <c r="G4553" t="s">
        <v>35</v>
      </c>
      <c r="H4553">
        <v>1</v>
      </c>
      <c r="K4553" t="s">
        <v>154</v>
      </c>
      <c r="L4553" t="s">
        <v>155</v>
      </c>
      <c r="M4553" t="s">
        <v>131</v>
      </c>
      <c r="N4553">
        <v>24</v>
      </c>
      <c r="P4553" t="s">
        <v>41</v>
      </c>
      <c r="Q4553" t="s">
        <v>75</v>
      </c>
      <c r="R4553" t="str">
        <f>"7700026"</f>
        <v>7700026</v>
      </c>
      <c r="S4553" t="s">
        <v>397</v>
      </c>
      <c r="T4553" t="s">
        <v>154</v>
      </c>
      <c r="U4553" t="s">
        <v>155</v>
      </c>
      <c r="V4553" t="s">
        <v>131</v>
      </c>
      <c r="W4553" t="s">
        <v>51</v>
      </c>
      <c r="X4553" t="s">
        <v>45</v>
      </c>
      <c r="Y4553" s="1">
        <v>32509</v>
      </c>
      <c r="Z4553">
        <v>1</v>
      </c>
      <c r="AA4553" t="s">
        <v>155</v>
      </c>
      <c r="AB4553" s="40" t="s">
        <v>1799</v>
      </c>
    </row>
    <row r="4554" spans="1:28" x14ac:dyDescent="0.25">
      <c r="A4554">
        <v>99914553</v>
      </c>
      <c r="B4554" t="s">
        <v>56</v>
      </c>
      <c r="C4554" t="s">
        <v>111</v>
      </c>
      <c r="D4554" t="s">
        <v>112</v>
      </c>
      <c r="G4554" t="s">
        <v>35</v>
      </c>
      <c r="H4554">
        <v>1</v>
      </c>
      <c r="I4554" t="s">
        <v>630</v>
      </c>
      <c r="J4554" s="1">
        <v>43344</v>
      </c>
      <c r="K4554" t="s">
        <v>268</v>
      </c>
      <c r="L4554" t="s">
        <v>269</v>
      </c>
      <c r="M4554" t="s">
        <v>131</v>
      </c>
      <c r="N4554">
        <v>24</v>
      </c>
      <c r="O4554" s="1">
        <v>43344</v>
      </c>
      <c r="P4554" t="s">
        <v>41</v>
      </c>
      <c r="Q4554" t="s">
        <v>75</v>
      </c>
      <c r="R4554" t="str">
        <f>"7052020"</f>
        <v>7052020</v>
      </c>
      <c r="S4554" t="s">
        <v>267</v>
      </c>
      <c r="T4554" t="s">
        <v>268</v>
      </c>
      <c r="U4554" t="s">
        <v>269</v>
      </c>
      <c r="V4554" t="s">
        <v>131</v>
      </c>
      <c r="W4554" t="s">
        <v>51</v>
      </c>
      <c r="X4554" t="s">
        <v>45</v>
      </c>
      <c r="Y4554" s="1">
        <v>32509</v>
      </c>
      <c r="Z4554">
        <v>1</v>
      </c>
      <c r="AA4554" t="s">
        <v>269</v>
      </c>
      <c r="AB4554" s="40" t="s">
        <v>1799</v>
      </c>
    </row>
    <row r="4555" spans="1:28" x14ac:dyDescent="0.25">
      <c r="A4555">
        <v>99914554</v>
      </c>
      <c r="B4555" t="s">
        <v>32</v>
      </c>
      <c r="C4555" t="s">
        <v>111</v>
      </c>
      <c r="D4555" t="s">
        <v>112</v>
      </c>
      <c r="G4555" t="s">
        <v>35</v>
      </c>
      <c r="H4555">
        <v>1</v>
      </c>
      <c r="I4555" t="s">
        <v>489</v>
      </c>
      <c r="J4555" s="1">
        <v>43344</v>
      </c>
      <c r="K4555" t="s">
        <v>268</v>
      </c>
      <c r="L4555" t="s">
        <v>269</v>
      </c>
      <c r="M4555" t="s">
        <v>131</v>
      </c>
      <c r="N4555">
        <v>24</v>
      </c>
      <c r="O4555" s="1">
        <v>43344</v>
      </c>
      <c r="P4555" t="s">
        <v>41</v>
      </c>
      <c r="Q4555" t="s">
        <v>75</v>
      </c>
      <c r="R4555" t="str">
        <f>"7052040"</f>
        <v>7052040</v>
      </c>
      <c r="S4555" t="s">
        <v>591</v>
      </c>
      <c r="T4555" t="s">
        <v>268</v>
      </c>
      <c r="U4555" t="s">
        <v>269</v>
      </c>
      <c r="V4555" t="s">
        <v>131</v>
      </c>
      <c r="W4555" t="s">
        <v>44</v>
      </c>
      <c r="X4555" t="s">
        <v>45</v>
      </c>
      <c r="Y4555" s="1">
        <v>32509</v>
      </c>
      <c r="Z4555">
        <v>1</v>
      </c>
      <c r="AA4555" t="s">
        <v>269</v>
      </c>
      <c r="AB4555" s="40" t="s">
        <v>1799</v>
      </c>
    </row>
    <row r="4556" spans="1:28" x14ac:dyDescent="0.25">
      <c r="A4556">
        <v>99914555</v>
      </c>
      <c r="B4556" t="s">
        <v>32</v>
      </c>
      <c r="C4556" t="s">
        <v>111</v>
      </c>
      <c r="D4556" t="s">
        <v>112</v>
      </c>
      <c r="G4556" t="s">
        <v>35</v>
      </c>
      <c r="H4556">
        <v>1</v>
      </c>
      <c r="I4556" t="s">
        <v>529</v>
      </c>
      <c r="J4556" s="1">
        <v>43344</v>
      </c>
      <c r="K4556" t="s">
        <v>268</v>
      </c>
      <c r="L4556" t="s">
        <v>269</v>
      </c>
      <c r="M4556" t="s">
        <v>131</v>
      </c>
      <c r="N4556">
        <v>24</v>
      </c>
      <c r="O4556" s="1">
        <v>43344</v>
      </c>
      <c r="P4556" t="s">
        <v>41</v>
      </c>
      <c r="Q4556" t="s">
        <v>75</v>
      </c>
      <c r="R4556" t="str">
        <f>"7052040"</f>
        <v>7052040</v>
      </c>
      <c r="S4556" t="s">
        <v>591</v>
      </c>
      <c r="T4556" t="s">
        <v>268</v>
      </c>
      <c r="U4556" t="s">
        <v>269</v>
      </c>
      <c r="V4556" t="s">
        <v>131</v>
      </c>
      <c r="W4556" t="s">
        <v>51</v>
      </c>
      <c r="X4556" t="s">
        <v>45</v>
      </c>
      <c r="Y4556" s="1">
        <v>32509</v>
      </c>
      <c r="Z4556">
        <v>1</v>
      </c>
      <c r="AA4556" t="s">
        <v>269</v>
      </c>
      <c r="AB4556" s="40" t="s">
        <v>1799</v>
      </c>
    </row>
    <row r="4557" spans="1:28" x14ac:dyDescent="0.25">
      <c r="A4557">
        <v>99914556</v>
      </c>
      <c r="B4557" t="s">
        <v>32</v>
      </c>
      <c r="C4557" t="s">
        <v>111</v>
      </c>
      <c r="D4557" t="s">
        <v>112</v>
      </c>
      <c r="G4557" t="s">
        <v>35</v>
      </c>
      <c r="H4557">
        <v>1</v>
      </c>
      <c r="I4557" t="s">
        <v>574</v>
      </c>
      <c r="J4557" s="1">
        <v>43344</v>
      </c>
      <c r="K4557" t="s">
        <v>268</v>
      </c>
      <c r="L4557" t="s">
        <v>269</v>
      </c>
      <c r="M4557" t="s">
        <v>131</v>
      </c>
      <c r="N4557">
        <v>24</v>
      </c>
      <c r="O4557" s="1">
        <v>43344</v>
      </c>
      <c r="P4557" t="s">
        <v>41</v>
      </c>
      <c r="Q4557" t="s">
        <v>75</v>
      </c>
      <c r="R4557" t="str">
        <f>"7052040"</f>
        <v>7052040</v>
      </c>
      <c r="S4557" t="s">
        <v>591</v>
      </c>
      <c r="T4557" t="s">
        <v>268</v>
      </c>
      <c r="U4557" t="s">
        <v>269</v>
      </c>
      <c r="V4557" t="s">
        <v>131</v>
      </c>
      <c r="W4557" t="s">
        <v>44</v>
      </c>
      <c r="X4557" t="s">
        <v>45</v>
      </c>
      <c r="Y4557" s="1">
        <v>32509</v>
      </c>
      <c r="Z4557">
        <v>1</v>
      </c>
      <c r="AA4557" t="s">
        <v>269</v>
      </c>
      <c r="AB4557" s="40" t="s">
        <v>1799</v>
      </c>
    </row>
    <row r="4558" spans="1:28" x14ac:dyDescent="0.25">
      <c r="A4558">
        <v>99914557</v>
      </c>
      <c r="B4558" t="s">
        <v>32</v>
      </c>
      <c r="C4558" t="s">
        <v>111</v>
      </c>
      <c r="D4558" t="s">
        <v>112</v>
      </c>
      <c r="G4558" t="s">
        <v>48</v>
      </c>
      <c r="H4558">
        <v>1</v>
      </c>
      <c r="K4558" t="s">
        <v>268</v>
      </c>
      <c r="L4558" t="s">
        <v>269</v>
      </c>
      <c r="M4558" t="s">
        <v>131</v>
      </c>
      <c r="N4558">
        <v>24</v>
      </c>
      <c r="P4558" t="s">
        <v>41</v>
      </c>
      <c r="Q4558" t="s">
        <v>75</v>
      </c>
      <c r="R4558" t="str">
        <f>"7052044"</f>
        <v>7052044</v>
      </c>
      <c r="S4558" t="s">
        <v>589</v>
      </c>
      <c r="T4558" t="s">
        <v>268</v>
      </c>
      <c r="U4558" t="s">
        <v>269</v>
      </c>
      <c r="V4558" t="s">
        <v>131</v>
      </c>
      <c r="W4558" t="s">
        <v>51</v>
      </c>
      <c r="X4558" t="s">
        <v>45</v>
      </c>
      <c r="Y4558" s="1">
        <v>32509</v>
      </c>
      <c r="Z4558">
        <v>1</v>
      </c>
      <c r="AA4558" t="s">
        <v>269</v>
      </c>
      <c r="AB4558" s="40" t="s">
        <v>1799</v>
      </c>
    </row>
    <row r="4559" spans="1:28" x14ac:dyDescent="0.25">
      <c r="A4559">
        <v>99914558</v>
      </c>
      <c r="B4559" t="s">
        <v>32</v>
      </c>
      <c r="C4559" t="s">
        <v>111</v>
      </c>
      <c r="D4559" t="s">
        <v>112</v>
      </c>
      <c r="G4559" t="s">
        <v>35</v>
      </c>
      <c r="H4559">
        <v>1</v>
      </c>
      <c r="I4559" t="s">
        <v>805</v>
      </c>
      <c r="J4559" s="1">
        <v>43344</v>
      </c>
      <c r="K4559" t="s">
        <v>354</v>
      </c>
      <c r="L4559" t="s">
        <v>355</v>
      </c>
      <c r="M4559" t="s">
        <v>131</v>
      </c>
      <c r="N4559">
        <v>24</v>
      </c>
      <c r="O4559" s="1">
        <v>43344</v>
      </c>
      <c r="P4559" t="s">
        <v>41</v>
      </c>
      <c r="Q4559" t="s">
        <v>75</v>
      </c>
      <c r="R4559" t="str">
        <f>"7054016"</f>
        <v>7054016</v>
      </c>
      <c r="S4559" t="s">
        <v>768</v>
      </c>
      <c r="T4559" t="s">
        <v>354</v>
      </c>
      <c r="U4559" t="s">
        <v>355</v>
      </c>
      <c r="V4559" t="s">
        <v>131</v>
      </c>
      <c r="W4559" t="s">
        <v>51</v>
      </c>
      <c r="X4559" t="s">
        <v>45</v>
      </c>
      <c r="Y4559" s="1">
        <v>32509</v>
      </c>
      <c r="Z4559">
        <v>1</v>
      </c>
      <c r="AA4559" t="s">
        <v>355</v>
      </c>
      <c r="AB4559" s="40" t="s">
        <v>1799</v>
      </c>
    </row>
    <row r="4560" spans="1:28" x14ac:dyDescent="0.25">
      <c r="A4560">
        <v>99914559</v>
      </c>
      <c r="B4560" t="s">
        <v>32</v>
      </c>
      <c r="C4560" t="s">
        <v>111</v>
      </c>
      <c r="D4560" t="s">
        <v>112</v>
      </c>
      <c r="G4560" t="s">
        <v>35</v>
      </c>
      <c r="H4560">
        <v>1</v>
      </c>
      <c r="I4560" t="s">
        <v>814</v>
      </c>
      <c r="J4560" s="1">
        <v>43344</v>
      </c>
      <c r="K4560" t="s">
        <v>354</v>
      </c>
      <c r="L4560" t="s">
        <v>355</v>
      </c>
      <c r="M4560" t="s">
        <v>131</v>
      </c>
      <c r="N4560">
        <v>24</v>
      </c>
      <c r="O4560" s="1">
        <v>43344</v>
      </c>
      <c r="P4560" t="s">
        <v>41</v>
      </c>
      <c r="Q4560" t="s">
        <v>75</v>
      </c>
      <c r="R4560" t="str">
        <f>"7054032"</f>
        <v>7054032</v>
      </c>
      <c r="S4560" t="s">
        <v>767</v>
      </c>
      <c r="T4560" t="s">
        <v>354</v>
      </c>
      <c r="U4560" t="s">
        <v>355</v>
      </c>
      <c r="V4560" t="s">
        <v>131</v>
      </c>
      <c r="W4560" t="s">
        <v>51</v>
      </c>
      <c r="X4560" t="s">
        <v>45</v>
      </c>
      <c r="Y4560" s="1">
        <v>32509</v>
      </c>
      <c r="Z4560">
        <v>1</v>
      </c>
      <c r="AA4560" t="s">
        <v>355</v>
      </c>
      <c r="AB4560" s="40" t="s">
        <v>1799</v>
      </c>
    </row>
    <row r="4561" spans="1:28" x14ac:dyDescent="0.25">
      <c r="A4561">
        <v>99914560</v>
      </c>
      <c r="B4561" t="s">
        <v>32</v>
      </c>
      <c r="C4561" t="s">
        <v>111</v>
      </c>
      <c r="D4561" t="s">
        <v>112</v>
      </c>
      <c r="G4561" t="s">
        <v>35</v>
      </c>
      <c r="H4561">
        <v>1</v>
      </c>
      <c r="I4561" t="s">
        <v>779</v>
      </c>
      <c r="J4561" s="1">
        <v>43344</v>
      </c>
      <c r="K4561" t="s">
        <v>354</v>
      </c>
      <c r="L4561" t="s">
        <v>355</v>
      </c>
      <c r="M4561" t="s">
        <v>131</v>
      </c>
      <c r="N4561">
        <v>24</v>
      </c>
      <c r="O4561" s="1">
        <v>43344</v>
      </c>
      <c r="P4561" t="s">
        <v>41</v>
      </c>
      <c r="Q4561" t="s">
        <v>75</v>
      </c>
      <c r="R4561" t="str">
        <f>"7054024"</f>
        <v>7054024</v>
      </c>
      <c r="S4561" t="s">
        <v>793</v>
      </c>
      <c r="T4561" t="s">
        <v>354</v>
      </c>
      <c r="U4561" t="s">
        <v>355</v>
      </c>
      <c r="V4561" t="s">
        <v>131</v>
      </c>
      <c r="W4561" t="s">
        <v>51</v>
      </c>
      <c r="X4561" t="s">
        <v>45</v>
      </c>
      <c r="Y4561" s="1">
        <v>32509</v>
      </c>
      <c r="Z4561">
        <v>1</v>
      </c>
      <c r="AA4561" t="s">
        <v>355</v>
      </c>
      <c r="AB4561" s="40" t="s">
        <v>1799</v>
      </c>
    </row>
    <row r="4562" spans="1:28" x14ac:dyDescent="0.25">
      <c r="A4562">
        <v>99914561</v>
      </c>
      <c r="B4562" t="s">
        <v>32</v>
      </c>
      <c r="C4562" t="s">
        <v>111</v>
      </c>
      <c r="D4562" t="s">
        <v>112</v>
      </c>
      <c r="G4562" t="s">
        <v>88</v>
      </c>
      <c r="H4562">
        <v>3</v>
      </c>
      <c r="I4562" t="s">
        <v>542</v>
      </c>
      <c r="J4562" s="1">
        <v>42352</v>
      </c>
      <c r="K4562" t="s">
        <v>354</v>
      </c>
      <c r="L4562" t="s">
        <v>355</v>
      </c>
      <c r="M4562" t="s">
        <v>131</v>
      </c>
      <c r="N4562">
        <v>24</v>
      </c>
      <c r="O4562" s="1">
        <v>42352</v>
      </c>
      <c r="P4562" t="s">
        <v>41</v>
      </c>
      <c r="Q4562" t="s">
        <v>75</v>
      </c>
      <c r="R4562" t="str">
        <f>"7054000"</f>
        <v>7054000</v>
      </c>
      <c r="S4562" t="s">
        <v>786</v>
      </c>
      <c r="T4562" t="s">
        <v>354</v>
      </c>
      <c r="U4562" t="s">
        <v>355</v>
      </c>
      <c r="V4562" t="s">
        <v>131</v>
      </c>
      <c r="W4562" t="s">
        <v>51</v>
      </c>
      <c r="X4562" t="s">
        <v>45</v>
      </c>
      <c r="Y4562" s="1">
        <v>32509</v>
      </c>
      <c r="Z4562">
        <v>1</v>
      </c>
      <c r="AA4562" t="s">
        <v>355</v>
      </c>
      <c r="AB4562" s="40" t="s">
        <v>1799</v>
      </c>
    </row>
    <row r="4563" spans="1:28" x14ac:dyDescent="0.25">
      <c r="A4563">
        <v>99914562</v>
      </c>
      <c r="B4563" t="s">
        <v>32</v>
      </c>
      <c r="C4563" t="s">
        <v>111</v>
      </c>
      <c r="D4563" t="s">
        <v>112</v>
      </c>
      <c r="G4563" t="s">
        <v>48</v>
      </c>
      <c r="H4563">
        <v>3</v>
      </c>
      <c r="I4563" t="s">
        <v>574</v>
      </c>
      <c r="J4563" s="1">
        <v>42324</v>
      </c>
      <c r="K4563" t="s">
        <v>877</v>
      </c>
      <c r="L4563" t="s">
        <v>878</v>
      </c>
      <c r="M4563" t="s">
        <v>131</v>
      </c>
      <c r="N4563">
        <v>24</v>
      </c>
      <c r="O4563" s="1">
        <v>42324</v>
      </c>
      <c r="P4563" t="s">
        <v>41</v>
      </c>
      <c r="Q4563" t="s">
        <v>75</v>
      </c>
      <c r="R4563" t="str">
        <f>"7541004"</f>
        <v>7541004</v>
      </c>
      <c r="S4563" t="s">
        <v>889</v>
      </c>
      <c r="T4563" t="s">
        <v>877</v>
      </c>
      <c r="U4563" t="s">
        <v>878</v>
      </c>
      <c r="V4563" t="s">
        <v>131</v>
      </c>
      <c r="W4563" t="s">
        <v>51</v>
      </c>
      <c r="X4563" t="s">
        <v>45</v>
      </c>
      <c r="Y4563" s="1">
        <v>32509</v>
      </c>
      <c r="Z4563">
        <v>1</v>
      </c>
      <c r="AA4563" t="s">
        <v>878</v>
      </c>
      <c r="AB4563" s="40" t="s">
        <v>1799</v>
      </c>
    </row>
    <row r="4564" spans="1:28" x14ac:dyDescent="0.25">
      <c r="A4564">
        <v>99914563</v>
      </c>
      <c r="B4564" t="s">
        <v>32</v>
      </c>
      <c r="C4564" t="s">
        <v>111</v>
      </c>
      <c r="D4564" t="s">
        <v>112</v>
      </c>
      <c r="G4564" t="s">
        <v>48</v>
      </c>
      <c r="H4564">
        <v>1</v>
      </c>
      <c r="I4564" t="s">
        <v>905</v>
      </c>
      <c r="J4564" s="1">
        <v>42003</v>
      </c>
      <c r="K4564" t="s">
        <v>877</v>
      </c>
      <c r="L4564" t="s">
        <v>878</v>
      </c>
      <c r="M4564" t="s">
        <v>131</v>
      </c>
      <c r="N4564">
        <v>24</v>
      </c>
      <c r="O4564" s="1">
        <v>42011</v>
      </c>
      <c r="P4564" t="s">
        <v>41</v>
      </c>
      <c r="Q4564" t="s">
        <v>75</v>
      </c>
      <c r="R4564" t="str">
        <f>"7541026"</f>
        <v>7541026</v>
      </c>
      <c r="S4564" t="s">
        <v>894</v>
      </c>
      <c r="T4564" t="s">
        <v>877</v>
      </c>
      <c r="U4564" t="s">
        <v>878</v>
      </c>
      <c r="V4564" t="s">
        <v>131</v>
      </c>
      <c r="W4564" t="s">
        <v>51</v>
      </c>
      <c r="X4564" t="s">
        <v>45</v>
      </c>
      <c r="Y4564" s="1">
        <v>32509</v>
      </c>
      <c r="Z4564">
        <v>1</v>
      </c>
      <c r="AA4564" t="s">
        <v>878</v>
      </c>
      <c r="AB4564" s="40" t="s">
        <v>1799</v>
      </c>
    </row>
    <row r="4565" spans="1:28" x14ac:dyDescent="0.25">
      <c r="A4565">
        <v>99914564</v>
      </c>
      <c r="B4565" t="s">
        <v>32</v>
      </c>
      <c r="C4565" t="s">
        <v>111</v>
      </c>
      <c r="D4565" t="s">
        <v>112</v>
      </c>
      <c r="G4565" t="s">
        <v>48</v>
      </c>
      <c r="H4565">
        <v>1</v>
      </c>
      <c r="K4565" t="s">
        <v>877</v>
      </c>
      <c r="L4565" t="s">
        <v>878</v>
      </c>
      <c r="M4565" t="s">
        <v>131</v>
      </c>
      <c r="N4565">
        <v>24</v>
      </c>
      <c r="P4565" t="s">
        <v>41</v>
      </c>
      <c r="Q4565" t="s">
        <v>75</v>
      </c>
      <c r="R4565" t="str">
        <f>"7541008"</f>
        <v>7541008</v>
      </c>
      <c r="S4565" t="s">
        <v>879</v>
      </c>
      <c r="T4565" t="s">
        <v>877</v>
      </c>
      <c r="U4565" t="s">
        <v>878</v>
      </c>
      <c r="V4565" t="s">
        <v>131</v>
      </c>
      <c r="W4565" t="s">
        <v>51</v>
      </c>
      <c r="X4565" t="s">
        <v>45</v>
      </c>
      <c r="Y4565" s="1">
        <v>32509</v>
      </c>
      <c r="Z4565">
        <v>1</v>
      </c>
      <c r="AA4565" t="s">
        <v>878</v>
      </c>
      <c r="AB4565" s="40" t="s">
        <v>1799</v>
      </c>
    </row>
    <row r="4566" spans="1:28" x14ac:dyDescent="0.25">
      <c r="A4566">
        <v>99914565</v>
      </c>
      <c r="B4566" t="s">
        <v>32</v>
      </c>
      <c r="C4566" t="s">
        <v>111</v>
      </c>
      <c r="D4566" t="s">
        <v>112</v>
      </c>
      <c r="G4566" t="s">
        <v>35</v>
      </c>
      <c r="H4566">
        <v>1</v>
      </c>
      <c r="I4566" t="s">
        <v>574</v>
      </c>
      <c r="J4566" s="1">
        <v>43344</v>
      </c>
      <c r="K4566" t="s">
        <v>985</v>
      </c>
      <c r="L4566" t="s">
        <v>986</v>
      </c>
      <c r="M4566" t="s">
        <v>938</v>
      </c>
      <c r="N4566">
        <v>24</v>
      </c>
      <c r="O4566" s="1">
        <v>43344</v>
      </c>
      <c r="P4566" t="s">
        <v>41</v>
      </c>
      <c r="Q4566" t="s">
        <v>75</v>
      </c>
      <c r="R4566" t="str">
        <f>"7011004"</f>
        <v>7011004</v>
      </c>
      <c r="S4566" t="s">
        <v>987</v>
      </c>
      <c r="T4566" t="s">
        <v>985</v>
      </c>
      <c r="U4566" t="s">
        <v>986</v>
      </c>
      <c r="V4566" t="s">
        <v>938</v>
      </c>
      <c r="W4566" t="s">
        <v>51</v>
      </c>
      <c r="X4566" t="s">
        <v>45</v>
      </c>
      <c r="Y4566" s="1">
        <v>32509</v>
      </c>
      <c r="Z4566">
        <v>1</v>
      </c>
      <c r="AA4566" t="s">
        <v>986</v>
      </c>
      <c r="AB4566" s="40" t="s">
        <v>1799</v>
      </c>
    </row>
    <row r="4567" spans="1:28" x14ac:dyDescent="0.25">
      <c r="A4567">
        <v>99914566</v>
      </c>
      <c r="B4567" t="s">
        <v>32</v>
      </c>
      <c r="C4567" t="s">
        <v>111</v>
      </c>
      <c r="D4567" t="s">
        <v>112</v>
      </c>
      <c r="G4567" t="s">
        <v>35</v>
      </c>
      <c r="H4567">
        <v>1</v>
      </c>
      <c r="I4567" t="s">
        <v>1011</v>
      </c>
      <c r="J4567" s="1">
        <v>43344</v>
      </c>
      <c r="K4567" t="s">
        <v>963</v>
      </c>
      <c r="L4567" t="s">
        <v>964</v>
      </c>
      <c r="M4567" t="s">
        <v>938</v>
      </c>
      <c r="N4567">
        <v>24</v>
      </c>
      <c r="O4567" s="1">
        <v>43344</v>
      </c>
      <c r="R4567" t="str">
        <f>""</f>
        <v/>
      </c>
      <c r="U4567" t="s">
        <v>964</v>
      </c>
      <c r="V4567" t="s">
        <v>938</v>
      </c>
      <c r="W4567" t="s">
        <v>51</v>
      </c>
      <c r="X4567" t="s">
        <v>45</v>
      </c>
      <c r="Y4567" s="1">
        <v>32509</v>
      </c>
      <c r="Z4567">
        <v>1</v>
      </c>
      <c r="AA4567" t="s">
        <v>964</v>
      </c>
      <c r="AB4567" s="40" t="s">
        <v>1799</v>
      </c>
    </row>
    <row r="4568" spans="1:28" x14ac:dyDescent="0.25">
      <c r="A4568">
        <v>99914567</v>
      </c>
      <c r="B4568" t="s">
        <v>56</v>
      </c>
      <c r="C4568" t="s">
        <v>111</v>
      </c>
      <c r="D4568" t="s">
        <v>112</v>
      </c>
      <c r="G4568" t="s">
        <v>35</v>
      </c>
      <c r="H4568">
        <v>1</v>
      </c>
      <c r="I4568" t="s">
        <v>1110</v>
      </c>
      <c r="J4568" s="1">
        <v>42324</v>
      </c>
      <c r="K4568" t="s">
        <v>1081</v>
      </c>
      <c r="L4568" t="s">
        <v>1082</v>
      </c>
      <c r="M4568" t="s">
        <v>1053</v>
      </c>
      <c r="N4568">
        <v>24</v>
      </c>
      <c r="O4568" s="1">
        <v>42324</v>
      </c>
      <c r="P4568" t="s">
        <v>41</v>
      </c>
      <c r="Q4568" t="s">
        <v>75</v>
      </c>
      <c r="R4568" t="str">
        <f>"7201006"</f>
        <v>7201006</v>
      </c>
      <c r="S4568" t="s">
        <v>1083</v>
      </c>
      <c r="T4568" t="s">
        <v>1081</v>
      </c>
      <c r="U4568" t="s">
        <v>1082</v>
      </c>
      <c r="V4568" t="s">
        <v>1053</v>
      </c>
      <c r="W4568" t="s">
        <v>51</v>
      </c>
      <c r="X4568" t="s">
        <v>45</v>
      </c>
      <c r="Y4568" s="1">
        <v>32509</v>
      </c>
      <c r="Z4568">
        <v>1</v>
      </c>
      <c r="AA4568" t="s">
        <v>1082</v>
      </c>
      <c r="AB4568" s="40" t="s">
        <v>1799</v>
      </c>
    </row>
    <row r="4569" spans="1:28" x14ac:dyDescent="0.25">
      <c r="A4569">
        <v>99914568</v>
      </c>
      <c r="B4569" t="s">
        <v>32</v>
      </c>
      <c r="C4569" t="s">
        <v>111</v>
      </c>
      <c r="D4569" t="s">
        <v>112</v>
      </c>
      <c r="G4569" t="s">
        <v>35</v>
      </c>
      <c r="H4569">
        <v>1</v>
      </c>
      <c r="I4569">
        <v>6719</v>
      </c>
      <c r="J4569" s="1">
        <v>43344</v>
      </c>
      <c r="K4569" t="s">
        <v>1198</v>
      </c>
      <c r="L4569" t="s">
        <v>1199</v>
      </c>
      <c r="M4569" t="s">
        <v>1130</v>
      </c>
      <c r="N4569">
        <v>24</v>
      </c>
      <c r="O4569" s="1">
        <v>43344</v>
      </c>
      <c r="P4569" t="s">
        <v>41</v>
      </c>
      <c r="Q4569" t="s">
        <v>75</v>
      </c>
      <c r="R4569" t="str">
        <f>"7311000"</f>
        <v>7311000</v>
      </c>
      <c r="S4569" t="s">
        <v>1208</v>
      </c>
      <c r="T4569" t="s">
        <v>1198</v>
      </c>
      <c r="U4569" t="s">
        <v>1199</v>
      </c>
      <c r="V4569" t="s">
        <v>1130</v>
      </c>
      <c r="W4569" t="s">
        <v>44</v>
      </c>
      <c r="X4569" t="s">
        <v>45</v>
      </c>
      <c r="Y4569" s="1">
        <v>32509</v>
      </c>
      <c r="Z4569">
        <v>1</v>
      </c>
      <c r="AA4569" t="s">
        <v>1199</v>
      </c>
      <c r="AB4569" s="40" t="s">
        <v>1799</v>
      </c>
    </row>
    <row r="4570" spans="1:28" x14ac:dyDescent="0.25">
      <c r="A4570">
        <v>99914569</v>
      </c>
      <c r="B4570" t="s">
        <v>32</v>
      </c>
      <c r="C4570" t="s">
        <v>111</v>
      </c>
      <c r="D4570" t="s">
        <v>112</v>
      </c>
      <c r="G4570" t="s">
        <v>35</v>
      </c>
      <c r="H4570">
        <v>1</v>
      </c>
      <c r="I4570" s="1">
        <v>41535</v>
      </c>
      <c r="J4570" s="1">
        <v>43344</v>
      </c>
      <c r="K4570" t="s">
        <v>1341</v>
      </c>
      <c r="L4570" t="s">
        <v>1342</v>
      </c>
      <c r="M4570" t="s">
        <v>1270</v>
      </c>
      <c r="N4570">
        <v>24</v>
      </c>
      <c r="O4570" s="1">
        <v>43344</v>
      </c>
      <c r="P4570" t="s">
        <v>41</v>
      </c>
      <c r="Q4570" t="s">
        <v>75</v>
      </c>
      <c r="R4570" t="str">
        <f>"7191034"</f>
        <v>7191034</v>
      </c>
      <c r="S4570" t="s">
        <v>1343</v>
      </c>
      <c r="T4570" t="s">
        <v>1341</v>
      </c>
      <c r="U4570" t="s">
        <v>1342</v>
      </c>
      <c r="V4570" t="s">
        <v>1270</v>
      </c>
      <c r="W4570" t="s">
        <v>51</v>
      </c>
      <c r="X4570" t="s">
        <v>45</v>
      </c>
      <c r="Y4570" s="1">
        <v>32509</v>
      </c>
      <c r="Z4570">
        <v>1</v>
      </c>
      <c r="AA4570" t="s">
        <v>1342</v>
      </c>
      <c r="AB4570" s="40" t="s">
        <v>1799</v>
      </c>
    </row>
    <row r="4571" spans="1:28" x14ac:dyDescent="0.25">
      <c r="A4571">
        <v>99914570</v>
      </c>
      <c r="B4571" t="s">
        <v>32</v>
      </c>
      <c r="C4571" t="s">
        <v>111</v>
      </c>
      <c r="D4571" t="s">
        <v>112</v>
      </c>
      <c r="G4571" t="s">
        <v>35</v>
      </c>
      <c r="H4571">
        <v>1</v>
      </c>
      <c r="I4571" s="1">
        <v>43346</v>
      </c>
      <c r="J4571" s="1">
        <v>43344</v>
      </c>
      <c r="K4571" t="s">
        <v>1341</v>
      </c>
      <c r="L4571" t="s">
        <v>1342</v>
      </c>
      <c r="M4571" t="s">
        <v>1270</v>
      </c>
      <c r="N4571">
        <v>24</v>
      </c>
      <c r="O4571" s="1">
        <v>43344</v>
      </c>
      <c r="P4571" t="s">
        <v>41</v>
      </c>
      <c r="Q4571" t="s">
        <v>75</v>
      </c>
      <c r="R4571" t="str">
        <f>"7191034"</f>
        <v>7191034</v>
      </c>
      <c r="S4571" t="s">
        <v>1343</v>
      </c>
      <c r="T4571" t="s">
        <v>1341</v>
      </c>
      <c r="U4571" t="s">
        <v>1342</v>
      </c>
      <c r="V4571" t="s">
        <v>1270</v>
      </c>
      <c r="W4571" t="s">
        <v>44</v>
      </c>
      <c r="X4571" t="s">
        <v>45</v>
      </c>
      <c r="Y4571" s="1">
        <v>32509</v>
      </c>
      <c r="Z4571">
        <v>1</v>
      </c>
      <c r="AA4571" t="s">
        <v>1342</v>
      </c>
      <c r="AB4571" s="40" t="s">
        <v>1799</v>
      </c>
    </row>
    <row r="4572" spans="1:28" x14ac:dyDescent="0.25">
      <c r="A4572">
        <v>99914571</v>
      </c>
      <c r="B4572" t="s">
        <v>32</v>
      </c>
      <c r="C4572" t="s">
        <v>111</v>
      </c>
      <c r="D4572" t="s">
        <v>112</v>
      </c>
      <c r="G4572" t="s">
        <v>35</v>
      </c>
      <c r="H4572">
        <v>1</v>
      </c>
      <c r="I4572" t="s">
        <v>856</v>
      </c>
      <c r="J4572" s="1">
        <v>42786</v>
      </c>
      <c r="K4572" t="s">
        <v>1341</v>
      </c>
      <c r="L4572" t="s">
        <v>1342</v>
      </c>
      <c r="M4572" t="s">
        <v>1270</v>
      </c>
      <c r="N4572">
        <v>24</v>
      </c>
      <c r="O4572" s="1">
        <v>42786</v>
      </c>
      <c r="P4572" t="s">
        <v>41</v>
      </c>
      <c r="Q4572" t="s">
        <v>75</v>
      </c>
      <c r="R4572" t="str">
        <f>"7191036"</f>
        <v>7191036</v>
      </c>
      <c r="S4572" t="s">
        <v>1348</v>
      </c>
      <c r="T4572" t="s">
        <v>1341</v>
      </c>
      <c r="U4572" t="s">
        <v>1342</v>
      </c>
      <c r="V4572" t="s">
        <v>1270</v>
      </c>
      <c r="W4572" t="s">
        <v>51</v>
      </c>
      <c r="X4572" t="s">
        <v>45</v>
      </c>
      <c r="Y4572" s="1">
        <v>32509</v>
      </c>
      <c r="Z4572">
        <v>1</v>
      </c>
      <c r="AA4572" t="s">
        <v>1342</v>
      </c>
      <c r="AB4572" s="40" t="s">
        <v>1799</v>
      </c>
    </row>
    <row r="4573" spans="1:28" x14ac:dyDescent="0.25">
      <c r="A4573">
        <v>99914572</v>
      </c>
      <c r="B4573" t="s">
        <v>32</v>
      </c>
      <c r="C4573" t="s">
        <v>111</v>
      </c>
      <c r="D4573" t="s">
        <v>112</v>
      </c>
      <c r="G4573" t="s">
        <v>48</v>
      </c>
      <c r="H4573">
        <v>1</v>
      </c>
      <c r="I4573" t="s">
        <v>1522</v>
      </c>
      <c r="J4573" s="1">
        <v>41981</v>
      </c>
      <c r="K4573" t="s">
        <v>667</v>
      </c>
      <c r="L4573" t="s">
        <v>669</v>
      </c>
      <c r="M4573" t="s">
        <v>670</v>
      </c>
      <c r="N4573">
        <v>24</v>
      </c>
      <c r="O4573" s="1">
        <v>41981</v>
      </c>
      <c r="P4573" t="s">
        <v>41</v>
      </c>
      <c r="Q4573" t="s">
        <v>75</v>
      </c>
      <c r="R4573" t="str">
        <f>"7501002"</f>
        <v>7501002</v>
      </c>
      <c r="S4573" t="s">
        <v>1519</v>
      </c>
      <c r="T4573" t="s">
        <v>667</v>
      </c>
      <c r="U4573" t="s">
        <v>669</v>
      </c>
      <c r="V4573" t="s">
        <v>670</v>
      </c>
      <c r="W4573" t="s">
        <v>51</v>
      </c>
      <c r="X4573" t="s">
        <v>45</v>
      </c>
      <c r="Y4573" s="1">
        <v>32509</v>
      </c>
      <c r="Z4573">
        <v>1</v>
      </c>
      <c r="AA4573" t="s">
        <v>669</v>
      </c>
      <c r="AB4573" s="40" t="s">
        <v>1799</v>
      </c>
    </row>
    <row r="4574" spans="1:28" x14ac:dyDescent="0.25">
      <c r="A4574">
        <v>99914573</v>
      </c>
      <c r="B4574" t="s">
        <v>32</v>
      </c>
      <c r="C4574" t="s">
        <v>111</v>
      </c>
      <c r="D4574" t="s">
        <v>112</v>
      </c>
      <c r="G4574" t="s">
        <v>48</v>
      </c>
      <c r="H4574">
        <v>1</v>
      </c>
      <c r="I4574" t="s">
        <v>1538</v>
      </c>
      <c r="J4574" s="1">
        <v>42334</v>
      </c>
      <c r="K4574" t="s">
        <v>667</v>
      </c>
      <c r="L4574" t="s">
        <v>669</v>
      </c>
      <c r="M4574" t="s">
        <v>670</v>
      </c>
      <c r="N4574">
        <v>24</v>
      </c>
      <c r="O4574" s="1">
        <v>42334</v>
      </c>
      <c r="P4574" t="s">
        <v>41</v>
      </c>
      <c r="Q4574" t="s">
        <v>75</v>
      </c>
      <c r="R4574" t="str">
        <f>"7501004"</f>
        <v>7501004</v>
      </c>
      <c r="S4574" t="s">
        <v>1500</v>
      </c>
      <c r="T4574" t="s">
        <v>667</v>
      </c>
      <c r="U4574" t="s">
        <v>669</v>
      </c>
      <c r="V4574" t="s">
        <v>670</v>
      </c>
      <c r="W4574" t="s">
        <v>51</v>
      </c>
      <c r="X4574" t="s">
        <v>45</v>
      </c>
      <c r="Y4574" s="1">
        <v>32509</v>
      </c>
      <c r="Z4574">
        <v>1</v>
      </c>
      <c r="AA4574" t="s">
        <v>669</v>
      </c>
      <c r="AB4574" s="40" t="s">
        <v>1799</v>
      </c>
    </row>
    <row r="4575" spans="1:28" x14ac:dyDescent="0.25">
      <c r="A4575">
        <v>99914574</v>
      </c>
      <c r="B4575" t="s">
        <v>32</v>
      </c>
      <c r="C4575" t="s">
        <v>111</v>
      </c>
      <c r="D4575" t="s">
        <v>112</v>
      </c>
      <c r="G4575" t="s">
        <v>48</v>
      </c>
      <c r="H4575">
        <v>1</v>
      </c>
      <c r="I4575" t="s">
        <v>680</v>
      </c>
      <c r="J4575" s="1">
        <v>42027</v>
      </c>
      <c r="K4575" t="s">
        <v>1564</v>
      </c>
      <c r="L4575" t="s">
        <v>1565</v>
      </c>
      <c r="M4575" t="s">
        <v>1548</v>
      </c>
      <c r="N4575">
        <v>24</v>
      </c>
      <c r="O4575" s="1">
        <v>42031</v>
      </c>
      <c r="P4575" t="s">
        <v>41</v>
      </c>
      <c r="Q4575" t="s">
        <v>75</v>
      </c>
      <c r="R4575" t="str">
        <f>"7101002"</f>
        <v>7101002</v>
      </c>
      <c r="S4575" t="s">
        <v>1563</v>
      </c>
      <c r="T4575" t="s">
        <v>1564</v>
      </c>
      <c r="U4575" t="s">
        <v>1565</v>
      </c>
      <c r="V4575" t="s">
        <v>1548</v>
      </c>
      <c r="W4575" t="s">
        <v>51</v>
      </c>
      <c r="X4575" t="s">
        <v>45</v>
      </c>
      <c r="Y4575" s="1">
        <v>32509</v>
      </c>
      <c r="Z4575">
        <v>1</v>
      </c>
      <c r="AA4575" t="s">
        <v>1565</v>
      </c>
      <c r="AB4575" s="40" t="s">
        <v>1799</v>
      </c>
    </row>
    <row r="4576" spans="1:28" x14ac:dyDescent="0.25">
      <c r="A4576">
        <v>99914575</v>
      </c>
      <c r="B4576" t="s">
        <v>56</v>
      </c>
      <c r="C4576" t="s">
        <v>111</v>
      </c>
      <c r="D4576" t="s">
        <v>112</v>
      </c>
      <c r="G4576" t="s">
        <v>48</v>
      </c>
      <c r="H4576">
        <v>1</v>
      </c>
      <c r="I4576" t="s">
        <v>1023</v>
      </c>
      <c r="J4576" s="1">
        <v>42387</v>
      </c>
      <c r="K4576" t="s">
        <v>1581</v>
      </c>
      <c r="L4576" t="s">
        <v>1582</v>
      </c>
      <c r="M4576" t="s">
        <v>1548</v>
      </c>
      <c r="N4576">
        <v>24</v>
      </c>
      <c r="O4576" s="1">
        <v>42387</v>
      </c>
      <c r="P4576" t="s">
        <v>41</v>
      </c>
      <c r="Q4576" t="s">
        <v>75</v>
      </c>
      <c r="R4576" t="str">
        <f>"7291000"</f>
        <v>7291000</v>
      </c>
      <c r="S4576" t="s">
        <v>1584</v>
      </c>
      <c r="T4576" t="s">
        <v>1581</v>
      </c>
      <c r="U4576" t="s">
        <v>1582</v>
      </c>
      <c r="V4576" t="s">
        <v>1548</v>
      </c>
      <c r="W4576" t="s">
        <v>51</v>
      </c>
      <c r="X4576" t="s">
        <v>45</v>
      </c>
      <c r="Y4576" s="1">
        <v>32509</v>
      </c>
      <c r="Z4576">
        <v>1</v>
      </c>
      <c r="AA4576" t="s">
        <v>1582</v>
      </c>
      <c r="AB4576" s="40" t="s">
        <v>1799</v>
      </c>
    </row>
    <row r="4577" spans="1:28" x14ac:dyDescent="0.25">
      <c r="A4577">
        <v>99914576</v>
      </c>
      <c r="B4577" t="s">
        <v>32</v>
      </c>
      <c r="C4577" t="s">
        <v>111</v>
      </c>
      <c r="D4577" t="s">
        <v>112</v>
      </c>
      <c r="G4577" t="s">
        <v>48</v>
      </c>
      <c r="H4577">
        <v>1</v>
      </c>
      <c r="I4577" t="s">
        <v>905</v>
      </c>
      <c r="J4577" s="1">
        <v>42003</v>
      </c>
      <c r="K4577" t="s">
        <v>1631</v>
      </c>
      <c r="L4577" t="s">
        <v>1632</v>
      </c>
      <c r="M4577" t="s">
        <v>1592</v>
      </c>
      <c r="N4577">
        <v>24</v>
      </c>
      <c r="O4577" s="1">
        <v>42011</v>
      </c>
      <c r="P4577" t="s">
        <v>41</v>
      </c>
      <c r="Q4577" t="s">
        <v>75</v>
      </c>
      <c r="R4577" t="str">
        <f>"7021000"</f>
        <v>7021000</v>
      </c>
      <c r="S4577" t="s">
        <v>1633</v>
      </c>
      <c r="T4577" t="s">
        <v>1631</v>
      </c>
      <c r="U4577" t="s">
        <v>1632</v>
      </c>
      <c r="V4577" t="s">
        <v>1592</v>
      </c>
      <c r="W4577" t="s">
        <v>51</v>
      </c>
      <c r="X4577" t="s">
        <v>45</v>
      </c>
      <c r="Y4577" s="1">
        <v>32509</v>
      </c>
      <c r="Z4577">
        <v>1</v>
      </c>
      <c r="AA4577" t="s">
        <v>1632</v>
      </c>
      <c r="AB4577" s="40" t="s">
        <v>1799</v>
      </c>
    </row>
    <row r="4578" spans="1:28" x14ac:dyDescent="0.25">
      <c r="A4578">
        <v>99914577</v>
      </c>
      <c r="B4578" t="s">
        <v>32</v>
      </c>
      <c r="C4578" t="s">
        <v>111</v>
      </c>
      <c r="D4578" t="s">
        <v>112</v>
      </c>
      <c r="G4578" t="s">
        <v>35</v>
      </c>
      <c r="H4578">
        <v>5</v>
      </c>
      <c r="I4578" t="s">
        <v>1654</v>
      </c>
      <c r="J4578" s="1">
        <v>42051</v>
      </c>
      <c r="K4578" t="s">
        <v>1619</v>
      </c>
      <c r="L4578" t="s">
        <v>1620</v>
      </c>
      <c r="M4578" t="s">
        <v>1592</v>
      </c>
      <c r="N4578">
        <v>24</v>
      </c>
      <c r="O4578" s="1">
        <v>42051</v>
      </c>
      <c r="P4578" t="s">
        <v>41</v>
      </c>
      <c r="Q4578" t="s">
        <v>75</v>
      </c>
      <c r="R4578" t="str">
        <f>"7281000"</f>
        <v>7281000</v>
      </c>
      <c r="S4578" t="s">
        <v>1648</v>
      </c>
      <c r="T4578" t="s">
        <v>1619</v>
      </c>
      <c r="U4578" t="s">
        <v>1620</v>
      </c>
      <c r="V4578" t="s">
        <v>1592</v>
      </c>
      <c r="W4578" t="s">
        <v>51</v>
      </c>
      <c r="X4578" t="s">
        <v>45</v>
      </c>
      <c r="Y4578" s="1">
        <v>32509</v>
      </c>
      <c r="Z4578">
        <v>1</v>
      </c>
      <c r="AA4578" t="s">
        <v>1620</v>
      </c>
      <c r="AB4578" s="40" t="s">
        <v>1799</v>
      </c>
    </row>
    <row r="4579" spans="1:28" x14ac:dyDescent="0.25">
      <c r="A4579">
        <v>99914578</v>
      </c>
      <c r="B4579" t="s">
        <v>32</v>
      </c>
      <c r="C4579" t="s">
        <v>111</v>
      </c>
      <c r="D4579" t="s">
        <v>112</v>
      </c>
      <c r="G4579" t="s">
        <v>48</v>
      </c>
      <c r="H4579">
        <v>1</v>
      </c>
      <c r="I4579" t="s">
        <v>905</v>
      </c>
      <c r="J4579" s="1">
        <v>42003</v>
      </c>
      <c r="K4579" t="s">
        <v>1695</v>
      </c>
      <c r="L4579" t="s">
        <v>1696</v>
      </c>
      <c r="M4579" t="s">
        <v>1592</v>
      </c>
      <c r="N4579">
        <v>24</v>
      </c>
      <c r="O4579" s="1">
        <v>42011</v>
      </c>
      <c r="P4579" t="s">
        <v>41</v>
      </c>
      <c r="Q4579" t="s">
        <v>75</v>
      </c>
      <c r="R4579" t="str">
        <f>"7361000"</f>
        <v>7361000</v>
      </c>
      <c r="S4579" t="s">
        <v>1698</v>
      </c>
      <c r="T4579" t="s">
        <v>1695</v>
      </c>
      <c r="U4579" t="s">
        <v>1696</v>
      </c>
      <c r="V4579" t="s">
        <v>1592</v>
      </c>
      <c r="W4579" t="s">
        <v>51</v>
      </c>
      <c r="X4579" t="s">
        <v>45</v>
      </c>
      <c r="Y4579" s="1">
        <v>32509</v>
      </c>
      <c r="Z4579">
        <v>1</v>
      </c>
      <c r="AA4579" t="s">
        <v>1696</v>
      </c>
      <c r="AB4579" s="40" t="s">
        <v>1799</v>
      </c>
    </row>
    <row r="4580" spans="1:28" x14ac:dyDescent="0.25">
      <c r="A4580">
        <v>99914579</v>
      </c>
      <c r="B4580" t="s">
        <v>32</v>
      </c>
      <c r="C4580" t="s">
        <v>111</v>
      </c>
      <c r="D4580" t="s">
        <v>112</v>
      </c>
      <c r="G4580" t="s">
        <v>48</v>
      </c>
      <c r="H4580">
        <v>1</v>
      </c>
      <c r="I4580" t="s">
        <v>489</v>
      </c>
      <c r="J4580" s="1">
        <v>42317</v>
      </c>
      <c r="K4580" t="s">
        <v>1695</v>
      </c>
      <c r="L4580" t="s">
        <v>1696</v>
      </c>
      <c r="M4580" t="s">
        <v>1592</v>
      </c>
      <c r="N4580">
        <v>24</v>
      </c>
      <c r="O4580" s="1">
        <v>42317</v>
      </c>
      <c r="P4580" t="s">
        <v>41</v>
      </c>
      <c r="Q4580" t="s">
        <v>75</v>
      </c>
      <c r="R4580" t="str">
        <f>"7361000"</f>
        <v>7361000</v>
      </c>
      <c r="S4580" t="s">
        <v>1698</v>
      </c>
      <c r="T4580" t="s">
        <v>1695</v>
      </c>
      <c r="U4580" t="s">
        <v>1696</v>
      </c>
      <c r="V4580" t="s">
        <v>1592</v>
      </c>
      <c r="W4580" t="s">
        <v>51</v>
      </c>
      <c r="X4580" t="s">
        <v>45</v>
      </c>
      <c r="Y4580" s="1">
        <v>32509</v>
      </c>
      <c r="Z4580">
        <v>1</v>
      </c>
      <c r="AA4580" t="s">
        <v>1696</v>
      </c>
      <c r="AB4580" s="40" t="s">
        <v>1799</v>
      </c>
    </row>
    <row r="4581" spans="1:28" x14ac:dyDescent="0.25">
      <c r="A4581">
        <v>99914580</v>
      </c>
      <c r="B4581" t="s">
        <v>32</v>
      </c>
      <c r="C4581" t="s">
        <v>111</v>
      </c>
      <c r="D4581" t="s">
        <v>112</v>
      </c>
      <c r="G4581" t="s">
        <v>35</v>
      </c>
      <c r="H4581">
        <v>1</v>
      </c>
      <c r="I4581" t="s">
        <v>286</v>
      </c>
      <c r="J4581" s="1">
        <v>43344</v>
      </c>
      <c r="K4581" t="s">
        <v>268</v>
      </c>
      <c r="L4581" t="s">
        <v>269</v>
      </c>
      <c r="M4581" t="s">
        <v>131</v>
      </c>
      <c r="N4581">
        <v>24</v>
      </c>
      <c r="O4581" s="1">
        <v>43344</v>
      </c>
      <c r="P4581" t="s">
        <v>41</v>
      </c>
      <c r="Q4581" t="s">
        <v>75</v>
      </c>
      <c r="R4581" t="str">
        <f>"7052018"</f>
        <v>7052018</v>
      </c>
      <c r="S4581" t="s">
        <v>577</v>
      </c>
      <c r="T4581" t="s">
        <v>268</v>
      </c>
      <c r="U4581" t="s">
        <v>269</v>
      </c>
      <c r="V4581" t="s">
        <v>131</v>
      </c>
      <c r="W4581" t="s">
        <v>51</v>
      </c>
      <c r="X4581" t="s">
        <v>45</v>
      </c>
      <c r="Y4581" s="1">
        <v>32498</v>
      </c>
      <c r="Z4581">
        <v>1</v>
      </c>
      <c r="AA4581" t="s">
        <v>269</v>
      </c>
      <c r="AB4581" s="40" t="s">
        <v>1799</v>
      </c>
    </row>
    <row r="4582" spans="1:28" x14ac:dyDescent="0.25">
      <c r="A4582">
        <v>99914581</v>
      </c>
      <c r="B4582" t="s">
        <v>32</v>
      </c>
      <c r="C4582" t="s">
        <v>111</v>
      </c>
      <c r="D4582" t="s">
        <v>112</v>
      </c>
      <c r="G4582" t="s">
        <v>35</v>
      </c>
      <c r="H4582">
        <v>1</v>
      </c>
      <c r="I4582" t="s">
        <v>799</v>
      </c>
      <c r="J4582" s="1">
        <v>43344</v>
      </c>
      <c r="K4582" t="s">
        <v>354</v>
      </c>
      <c r="L4582" t="s">
        <v>355</v>
      </c>
      <c r="M4582" t="s">
        <v>131</v>
      </c>
      <c r="N4582">
        <v>24</v>
      </c>
      <c r="O4582" s="1">
        <v>43344</v>
      </c>
      <c r="P4582" t="s">
        <v>41</v>
      </c>
      <c r="Q4582" t="s">
        <v>75</v>
      </c>
      <c r="R4582" t="str">
        <f>"7054012"</f>
        <v>7054012</v>
      </c>
      <c r="S4582" t="s">
        <v>353</v>
      </c>
      <c r="T4582" t="s">
        <v>354</v>
      </c>
      <c r="U4582" t="s">
        <v>355</v>
      </c>
      <c r="V4582" t="s">
        <v>131</v>
      </c>
      <c r="W4582" t="s">
        <v>51</v>
      </c>
      <c r="X4582" t="s">
        <v>45</v>
      </c>
      <c r="Y4582" s="1">
        <v>32492</v>
      </c>
      <c r="Z4582">
        <v>1</v>
      </c>
      <c r="AA4582" t="s">
        <v>355</v>
      </c>
      <c r="AB4582" s="40" t="s">
        <v>1799</v>
      </c>
    </row>
    <row r="4583" spans="1:28" x14ac:dyDescent="0.25">
      <c r="A4583">
        <v>99914582</v>
      </c>
      <c r="B4583" t="s">
        <v>32</v>
      </c>
      <c r="C4583" t="s">
        <v>111</v>
      </c>
      <c r="D4583" t="s">
        <v>112</v>
      </c>
      <c r="G4583" t="s">
        <v>88</v>
      </c>
      <c r="H4583">
        <v>3</v>
      </c>
      <c r="I4583" t="s">
        <v>480</v>
      </c>
      <c r="J4583" s="1">
        <v>41153</v>
      </c>
      <c r="K4583" t="s">
        <v>195</v>
      </c>
      <c r="L4583" t="s">
        <v>196</v>
      </c>
      <c r="M4583" t="s">
        <v>131</v>
      </c>
      <c r="N4583">
        <v>24</v>
      </c>
      <c r="O4583" s="1">
        <v>41153</v>
      </c>
      <c r="P4583" t="s">
        <v>41</v>
      </c>
      <c r="Q4583" t="s">
        <v>75</v>
      </c>
      <c r="R4583" t="str">
        <f>"7521052"</f>
        <v>7521052</v>
      </c>
      <c r="S4583" t="s">
        <v>443</v>
      </c>
      <c r="T4583" t="s">
        <v>195</v>
      </c>
      <c r="U4583" t="s">
        <v>196</v>
      </c>
      <c r="V4583" t="s">
        <v>131</v>
      </c>
      <c r="W4583" t="s">
        <v>51</v>
      </c>
      <c r="X4583" t="s">
        <v>45</v>
      </c>
      <c r="Y4583" s="1">
        <v>32485</v>
      </c>
      <c r="Z4583">
        <v>1</v>
      </c>
      <c r="AA4583" t="s">
        <v>196</v>
      </c>
      <c r="AB4583" s="40" t="s">
        <v>1799</v>
      </c>
    </row>
    <row r="4584" spans="1:28" x14ac:dyDescent="0.25">
      <c r="A4584">
        <v>99914583</v>
      </c>
      <c r="B4584" t="s">
        <v>32</v>
      </c>
      <c r="C4584" t="s">
        <v>111</v>
      </c>
      <c r="D4584" t="s">
        <v>112</v>
      </c>
      <c r="G4584" t="s">
        <v>35</v>
      </c>
      <c r="H4584">
        <v>1</v>
      </c>
      <c r="I4584">
        <v>14429</v>
      </c>
      <c r="J4584" s="1">
        <v>43344</v>
      </c>
      <c r="K4584" t="s">
        <v>354</v>
      </c>
      <c r="L4584" t="s">
        <v>355</v>
      </c>
      <c r="M4584" t="s">
        <v>131</v>
      </c>
      <c r="N4584">
        <v>24</v>
      </c>
      <c r="O4584" s="1">
        <v>43344</v>
      </c>
      <c r="P4584" t="s">
        <v>41</v>
      </c>
      <c r="Q4584" t="s">
        <v>75</v>
      </c>
      <c r="R4584" t="str">
        <f>"7054042"</f>
        <v>7054042</v>
      </c>
      <c r="S4584" t="s">
        <v>776</v>
      </c>
      <c r="T4584" t="s">
        <v>354</v>
      </c>
      <c r="U4584" t="s">
        <v>355</v>
      </c>
      <c r="V4584" t="s">
        <v>131</v>
      </c>
      <c r="W4584" t="s">
        <v>51</v>
      </c>
      <c r="X4584" t="s">
        <v>45</v>
      </c>
      <c r="Y4584" s="1">
        <v>32461</v>
      </c>
      <c r="Z4584">
        <v>1</v>
      </c>
      <c r="AA4584" t="s">
        <v>355</v>
      </c>
      <c r="AB4584" s="40" t="s">
        <v>1799</v>
      </c>
    </row>
    <row r="4585" spans="1:28" x14ac:dyDescent="0.25">
      <c r="A4585">
        <v>99914584</v>
      </c>
      <c r="B4585" t="s">
        <v>32</v>
      </c>
      <c r="C4585" t="s">
        <v>111</v>
      </c>
      <c r="D4585" t="s">
        <v>112</v>
      </c>
      <c r="G4585" t="s">
        <v>35</v>
      </c>
      <c r="H4585">
        <v>1</v>
      </c>
      <c r="K4585" t="s">
        <v>154</v>
      </c>
      <c r="L4585" t="s">
        <v>155</v>
      </c>
      <c r="M4585" t="s">
        <v>131</v>
      </c>
      <c r="N4585">
        <v>24</v>
      </c>
      <c r="P4585" t="s">
        <v>41</v>
      </c>
      <c r="Q4585" t="s">
        <v>75</v>
      </c>
      <c r="R4585" t="str">
        <f>"7051014"</f>
        <v>7051014</v>
      </c>
      <c r="S4585" t="s">
        <v>398</v>
      </c>
      <c r="T4585" t="s">
        <v>154</v>
      </c>
      <c r="U4585" t="s">
        <v>155</v>
      </c>
      <c r="V4585" t="s">
        <v>131</v>
      </c>
      <c r="W4585" t="s">
        <v>165</v>
      </c>
      <c r="X4585" t="s">
        <v>45</v>
      </c>
      <c r="Y4585" s="1">
        <v>32460</v>
      </c>
      <c r="Z4585">
        <v>1</v>
      </c>
      <c r="AA4585" t="s">
        <v>155</v>
      </c>
      <c r="AB4585" s="40" t="s">
        <v>1799</v>
      </c>
    </row>
    <row r="4586" spans="1:28" x14ac:dyDescent="0.25">
      <c r="A4586">
        <v>99914585</v>
      </c>
      <c r="B4586" t="s">
        <v>32</v>
      </c>
      <c r="C4586" t="s">
        <v>111</v>
      </c>
      <c r="D4586" t="s">
        <v>112</v>
      </c>
      <c r="G4586" t="s">
        <v>35</v>
      </c>
      <c r="H4586">
        <v>1</v>
      </c>
      <c r="K4586" t="s">
        <v>1564</v>
      </c>
      <c r="L4586" t="s">
        <v>1565</v>
      </c>
      <c r="M4586" t="s">
        <v>1548</v>
      </c>
      <c r="N4586">
        <v>24</v>
      </c>
      <c r="P4586" t="s">
        <v>41</v>
      </c>
      <c r="Q4586" t="s">
        <v>75</v>
      </c>
      <c r="R4586" t="str">
        <f>"7101000"</f>
        <v>7101000</v>
      </c>
      <c r="S4586" t="s">
        <v>1572</v>
      </c>
      <c r="T4586" t="s">
        <v>1564</v>
      </c>
      <c r="U4586" t="s">
        <v>1565</v>
      </c>
      <c r="V4586" t="s">
        <v>1548</v>
      </c>
      <c r="W4586" t="s">
        <v>51</v>
      </c>
      <c r="X4586" t="s">
        <v>45</v>
      </c>
      <c r="Y4586" s="1">
        <v>32458</v>
      </c>
      <c r="Z4586">
        <v>1</v>
      </c>
      <c r="AA4586" t="s">
        <v>1565</v>
      </c>
      <c r="AB4586" s="40" t="s">
        <v>1799</v>
      </c>
    </row>
    <row r="4587" spans="1:28" x14ac:dyDescent="0.25">
      <c r="A4587">
        <v>99914586</v>
      </c>
      <c r="B4587" t="s">
        <v>32</v>
      </c>
      <c r="C4587" t="s">
        <v>111</v>
      </c>
      <c r="D4587" t="s">
        <v>112</v>
      </c>
      <c r="G4587" t="s">
        <v>35</v>
      </c>
      <c r="H4587">
        <v>1</v>
      </c>
      <c r="I4587">
        <v>7163</v>
      </c>
      <c r="J4587" s="1">
        <v>43344</v>
      </c>
      <c r="K4587" t="s">
        <v>354</v>
      </c>
      <c r="L4587" t="s">
        <v>355</v>
      </c>
      <c r="M4587" t="s">
        <v>131</v>
      </c>
      <c r="N4587">
        <v>24</v>
      </c>
      <c r="O4587" s="1">
        <v>43344</v>
      </c>
      <c r="P4587" t="s">
        <v>41</v>
      </c>
      <c r="Q4587" t="s">
        <v>75</v>
      </c>
      <c r="R4587" t="str">
        <f>"7054006"</f>
        <v>7054006</v>
      </c>
      <c r="S4587" t="s">
        <v>774</v>
      </c>
      <c r="T4587" t="s">
        <v>354</v>
      </c>
      <c r="U4587" t="s">
        <v>355</v>
      </c>
      <c r="V4587" t="s">
        <v>131</v>
      </c>
      <c r="W4587" t="s">
        <v>44</v>
      </c>
      <c r="X4587" t="s">
        <v>45</v>
      </c>
      <c r="Y4587" s="1">
        <v>32430</v>
      </c>
      <c r="Z4587">
        <v>1</v>
      </c>
      <c r="AA4587" t="s">
        <v>355</v>
      </c>
      <c r="AB4587" s="40" t="s">
        <v>1799</v>
      </c>
    </row>
    <row r="4588" spans="1:28" x14ac:dyDescent="0.25">
      <c r="A4588">
        <v>99914587</v>
      </c>
      <c r="B4588" t="s">
        <v>32</v>
      </c>
      <c r="C4588" t="s">
        <v>111</v>
      </c>
      <c r="D4588" t="s">
        <v>112</v>
      </c>
      <c r="G4588" t="s">
        <v>35</v>
      </c>
      <c r="H4588">
        <v>2</v>
      </c>
      <c r="I4588" t="s">
        <v>489</v>
      </c>
      <c r="J4588" s="1">
        <v>42317</v>
      </c>
      <c r="K4588" t="s">
        <v>354</v>
      </c>
      <c r="L4588" t="s">
        <v>355</v>
      </c>
      <c r="M4588" t="s">
        <v>131</v>
      </c>
      <c r="N4588">
        <v>24</v>
      </c>
      <c r="O4588" s="1">
        <v>42317</v>
      </c>
      <c r="P4588" t="s">
        <v>41</v>
      </c>
      <c r="Q4588" t="s">
        <v>75</v>
      </c>
      <c r="R4588" t="str">
        <f>"7054038"</f>
        <v>7054038</v>
      </c>
      <c r="S4588" t="s">
        <v>377</v>
      </c>
      <c r="T4588" t="s">
        <v>354</v>
      </c>
      <c r="U4588" t="s">
        <v>355</v>
      </c>
      <c r="V4588" t="s">
        <v>131</v>
      </c>
      <c r="W4588" t="s">
        <v>51</v>
      </c>
      <c r="X4588" t="s">
        <v>45</v>
      </c>
      <c r="Y4588" s="1">
        <v>32417</v>
      </c>
      <c r="Z4588">
        <v>1</v>
      </c>
      <c r="AA4588" t="s">
        <v>355</v>
      </c>
      <c r="AB4588" s="40" t="s">
        <v>1799</v>
      </c>
    </row>
    <row r="4589" spans="1:28" x14ac:dyDescent="0.25">
      <c r="A4589">
        <v>99914588</v>
      </c>
      <c r="B4589" t="s">
        <v>32</v>
      </c>
      <c r="C4589" t="s">
        <v>111</v>
      </c>
      <c r="D4589" t="s">
        <v>112</v>
      </c>
      <c r="G4589" t="s">
        <v>35</v>
      </c>
      <c r="H4589">
        <v>1</v>
      </c>
      <c r="I4589" t="s">
        <v>286</v>
      </c>
      <c r="J4589" s="1">
        <v>43344</v>
      </c>
      <c r="K4589" t="s">
        <v>268</v>
      </c>
      <c r="L4589" t="s">
        <v>269</v>
      </c>
      <c r="M4589" t="s">
        <v>131</v>
      </c>
      <c r="N4589">
        <v>24</v>
      </c>
      <c r="O4589" s="1">
        <v>43344</v>
      </c>
      <c r="P4589" t="s">
        <v>41</v>
      </c>
      <c r="Q4589" t="s">
        <v>75</v>
      </c>
      <c r="R4589" t="str">
        <f>"7052004"</f>
        <v>7052004</v>
      </c>
      <c r="S4589" t="s">
        <v>584</v>
      </c>
      <c r="T4589" t="s">
        <v>268</v>
      </c>
      <c r="U4589" t="s">
        <v>269</v>
      </c>
      <c r="V4589" t="s">
        <v>131</v>
      </c>
      <c r="W4589" t="s">
        <v>55</v>
      </c>
      <c r="X4589" t="s">
        <v>45</v>
      </c>
      <c r="Y4589" s="1">
        <v>32379</v>
      </c>
      <c r="Z4589">
        <v>1</v>
      </c>
      <c r="AA4589" t="s">
        <v>269</v>
      </c>
      <c r="AB4589" s="40" t="s">
        <v>1799</v>
      </c>
    </row>
    <row r="4590" spans="1:28" x14ac:dyDescent="0.25">
      <c r="A4590">
        <v>99914589</v>
      </c>
      <c r="B4590" t="s">
        <v>32</v>
      </c>
      <c r="C4590" t="s">
        <v>111</v>
      </c>
      <c r="D4590" t="s">
        <v>112</v>
      </c>
      <c r="G4590" t="s">
        <v>88</v>
      </c>
      <c r="H4590">
        <v>3</v>
      </c>
      <c r="K4590" t="s">
        <v>354</v>
      </c>
      <c r="L4590" t="s">
        <v>355</v>
      </c>
      <c r="M4590" t="s">
        <v>131</v>
      </c>
      <c r="N4590">
        <v>24</v>
      </c>
      <c r="P4590" t="s">
        <v>41</v>
      </c>
      <c r="Q4590" t="s">
        <v>75</v>
      </c>
      <c r="R4590" t="str">
        <f>"7054020"</f>
        <v>7054020</v>
      </c>
      <c r="S4590" t="s">
        <v>765</v>
      </c>
      <c r="T4590" t="s">
        <v>354</v>
      </c>
      <c r="U4590" t="s">
        <v>355</v>
      </c>
      <c r="V4590" t="s">
        <v>131</v>
      </c>
      <c r="W4590" t="s">
        <v>51</v>
      </c>
      <c r="X4590" t="s">
        <v>45</v>
      </c>
      <c r="Y4590" s="1">
        <v>32378</v>
      </c>
      <c r="Z4590">
        <v>1</v>
      </c>
      <c r="AA4590" t="s">
        <v>355</v>
      </c>
      <c r="AB4590" s="40" t="s">
        <v>1799</v>
      </c>
    </row>
    <row r="4591" spans="1:28" x14ac:dyDescent="0.25">
      <c r="A4591">
        <v>99914590</v>
      </c>
      <c r="B4591" t="s">
        <v>32</v>
      </c>
      <c r="C4591" t="s">
        <v>111</v>
      </c>
      <c r="D4591" t="s">
        <v>112</v>
      </c>
      <c r="G4591" t="s">
        <v>35</v>
      </c>
      <c r="H4591">
        <v>3</v>
      </c>
      <c r="K4591" t="s">
        <v>1619</v>
      </c>
      <c r="L4591" t="s">
        <v>1620</v>
      </c>
      <c r="M4591" t="s">
        <v>1592</v>
      </c>
      <c r="N4591">
        <v>24</v>
      </c>
      <c r="P4591" t="s">
        <v>41</v>
      </c>
      <c r="Q4591" t="s">
        <v>75</v>
      </c>
      <c r="R4591" t="str">
        <f>"7281000"</f>
        <v>7281000</v>
      </c>
      <c r="S4591" t="s">
        <v>1648</v>
      </c>
      <c r="T4591" t="s">
        <v>1619</v>
      </c>
      <c r="U4591" t="s">
        <v>1620</v>
      </c>
      <c r="V4591" t="s">
        <v>1592</v>
      </c>
      <c r="W4591" t="s">
        <v>51</v>
      </c>
      <c r="X4591" t="s">
        <v>45</v>
      </c>
      <c r="Y4591" s="1">
        <v>32378</v>
      </c>
      <c r="Z4591">
        <v>1</v>
      </c>
      <c r="AA4591" t="s">
        <v>1620</v>
      </c>
      <c r="AB4591" s="40" t="s">
        <v>1799</v>
      </c>
    </row>
    <row r="4592" spans="1:28" x14ac:dyDescent="0.25">
      <c r="A4592">
        <v>99914591</v>
      </c>
      <c r="B4592" t="s">
        <v>56</v>
      </c>
      <c r="C4592" t="s">
        <v>111</v>
      </c>
      <c r="D4592" t="s">
        <v>112</v>
      </c>
      <c r="G4592" t="s">
        <v>35</v>
      </c>
      <c r="H4592">
        <v>1</v>
      </c>
      <c r="I4592" t="s">
        <v>803</v>
      </c>
      <c r="J4592" s="1">
        <v>43344</v>
      </c>
      <c r="K4592" t="s">
        <v>354</v>
      </c>
      <c r="L4592" t="s">
        <v>355</v>
      </c>
      <c r="M4592" t="s">
        <v>131</v>
      </c>
      <c r="N4592">
        <v>24</v>
      </c>
      <c r="O4592" s="1">
        <v>43344</v>
      </c>
      <c r="P4592" t="s">
        <v>41</v>
      </c>
      <c r="Q4592" t="s">
        <v>75</v>
      </c>
      <c r="R4592" t="str">
        <f>"7054016"</f>
        <v>7054016</v>
      </c>
      <c r="S4592" t="s">
        <v>768</v>
      </c>
      <c r="T4592" t="s">
        <v>354</v>
      </c>
      <c r="U4592" t="s">
        <v>355</v>
      </c>
      <c r="V4592" t="s">
        <v>131</v>
      </c>
      <c r="W4592" t="s">
        <v>44</v>
      </c>
      <c r="X4592" t="s">
        <v>45</v>
      </c>
      <c r="Y4592" s="1">
        <v>32371</v>
      </c>
      <c r="Z4592">
        <v>1</v>
      </c>
      <c r="AA4592" t="s">
        <v>355</v>
      </c>
      <c r="AB4592" s="40" t="s">
        <v>1799</v>
      </c>
    </row>
    <row r="4593" spans="1:28" x14ac:dyDescent="0.25">
      <c r="A4593">
        <v>99914592</v>
      </c>
      <c r="B4593" t="s">
        <v>32</v>
      </c>
      <c r="C4593" t="s">
        <v>111</v>
      </c>
      <c r="D4593" t="s">
        <v>112</v>
      </c>
      <c r="G4593" t="s">
        <v>35</v>
      </c>
      <c r="H4593">
        <v>1</v>
      </c>
      <c r="I4593" t="s">
        <v>1670</v>
      </c>
      <c r="J4593" s="1">
        <v>43344</v>
      </c>
      <c r="K4593" t="s">
        <v>1619</v>
      </c>
      <c r="L4593" t="s">
        <v>1620</v>
      </c>
      <c r="M4593" t="s">
        <v>1592</v>
      </c>
      <c r="N4593">
        <v>24</v>
      </c>
      <c r="O4593" s="1">
        <v>43344</v>
      </c>
      <c r="P4593" t="s">
        <v>41</v>
      </c>
      <c r="Q4593" t="s">
        <v>75</v>
      </c>
      <c r="R4593" t="str">
        <f>"7281002"</f>
        <v>7281002</v>
      </c>
      <c r="S4593" t="s">
        <v>1660</v>
      </c>
      <c r="T4593" t="s">
        <v>1619</v>
      </c>
      <c r="U4593" t="s">
        <v>1620</v>
      </c>
      <c r="V4593" t="s">
        <v>1592</v>
      </c>
      <c r="W4593" t="s">
        <v>44</v>
      </c>
      <c r="X4593" t="s">
        <v>45</v>
      </c>
      <c r="Y4593" s="1">
        <v>32361</v>
      </c>
      <c r="Z4593">
        <v>1</v>
      </c>
      <c r="AA4593" t="s">
        <v>1620</v>
      </c>
      <c r="AB4593" s="40" t="s">
        <v>1799</v>
      </c>
    </row>
    <row r="4594" spans="1:28" x14ac:dyDescent="0.25">
      <c r="A4594">
        <v>99914593</v>
      </c>
      <c r="B4594" t="s">
        <v>32</v>
      </c>
      <c r="C4594" t="s">
        <v>111</v>
      </c>
      <c r="D4594" t="s">
        <v>112</v>
      </c>
      <c r="G4594" t="s">
        <v>35</v>
      </c>
      <c r="H4594">
        <v>1</v>
      </c>
      <c r="I4594" t="s">
        <v>286</v>
      </c>
      <c r="J4594" s="1">
        <v>43344</v>
      </c>
      <c r="K4594" t="s">
        <v>268</v>
      </c>
      <c r="L4594" t="s">
        <v>269</v>
      </c>
      <c r="M4594" t="s">
        <v>131</v>
      </c>
      <c r="N4594">
        <v>24</v>
      </c>
      <c r="P4594" t="s">
        <v>41</v>
      </c>
      <c r="Q4594" t="s">
        <v>75</v>
      </c>
      <c r="R4594" t="str">
        <f>"7052018"</f>
        <v>7052018</v>
      </c>
      <c r="S4594" t="s">
        <v>577</v>
      </c>
      <c r="T4594" t="s">
        <v>268</v>
      </c>
      <c r="U4594" t="s">
        <v>269</v>
      </c>
      <c r="V4594" t="s">
        <v>131</v>
      </c>
      <c r="W4594" t="s">
        <v>51</v>
      </c>
      <c r="X4594" t="s">
        <v>45</v>
      </c>
      <c r="Y4594" s="1">
        <v>32349</v>
      </c>
      <c r="Z4594">
        <v>1</v>
      </c>
      <c r="AA4594" t="s">
        <v>269</v>
      </c>
      <c r="AB4594" s="40" t="s">
        <v>1799</v>
      </c>
    </row>
    <row r="4595" spans="1:28" x14ac:dyDescent="0.25">
      <c r="A4595">
        <v>99914594</v>
      </c>
      <c r="B4595" t="s">
        <v>56</v>
      </c>
      <c r="C4595" t="s">
        <v>111</v>
      </c>
      <c r="D4595" t="s">
        <v>112</v>
      </c>
      <c r="G4595" t="s">
        <v>35</v>
      </c>
      <c r="H4595">
        <v>1</v>
      </c>
      <c r="I4595" t="s">
        <v>1197</v>
      </c>
      <c r="J4595" s="1">
        <v>43344</v>
      </c>
      <c r="K4595" t="s">
        <v>1198</v>
      </c>
      <c r="L4595" t="s">
        <v>1199</v>
      </c>
      <c r="M4595" t="s">
        <v>1130</v>
      </c>
      <c r="N4595">
        <v>24</v>
      </c>
      <c r="O4595" s="1">
        <v>43344</v>
      </c>
      <c r="P4595" t="s">
        <v>41</v>
      </c>
      <c r="Q4595" t="s">
        <v>75</v>
      </c>
      <c r="R4595" t="str">
        <f>"7311006"</f>
        <v>7311006</v>
      </c>
      <c r="S4595" t="s">
        <v>1200</v>
      </c>
      <c r="T4595" t="s">
        <v>1198</v>
      </c>
      <c r="U4595" t="s">
        <v>1199</v>
      </c>
      <c r="V4595" t="s">
        <v>1130</v>
      </c>
      <c r="W4595" t="s">
        <v>44</v>
      </c>
      <c r="X4595" t="s">
        <v>45</v>
      </c>
      <c r="Y4595" s="1">
        <v>32336</v>
      </c>
      <c r="Z4595">
        <v>1</v>
      </c>
      <c r="AA4595" t="s">
        <v>1199</v>
      </c>
      <c r="AB4595" s="40" t="s">
        <v>1799</v>
      </c>
    </row>
    <row r="4596" spans="1:28" x14ac:dyDescent="0.25">
      <c r="A4596">
        <v>99914595</v>
      </c>
      <c r="B4596" t="s">
        <v>32</v>
      </c>
      <c r="C4596" t="s">
        <v>111</v>
      </c>
      <c r="D4596" t="s">
        <v>112</v>
      </c>
      <c r="G4596" t="s">
        <v>35</v>
      </c>
      <c r="H4596">
        <v>1</v>
      </c>
      <c r="I4596" s="1">
        <v>42619</v>
      </c>
      <c r="J4596" s="1">
        <v>43344</v>
      </c>
      <c r="K4596" t="s">
        <v>1341</v>
      </c>
      <c r="L4596" t="s">
        <v>1342</v>
      </c>
      <c r="M4596" t="s">
        <v>1270</v>
      </c>
      <c r="N4596">
        <v>24</v>
      </c>
      <c r="O4596" s="1">
        <v>43344</v>
      </c>
      <c r="P4596" t="s">
        <v>41</v>
      </c>
      <c r="Q4596" t="s">
        <v>75</v>
      </c>
      <c r="R4596" t="str">
        <f>"7191004"</f>
        <v>7191004</v>
      </c>
      <c r="S4596" t="s">
        <v>1344</v>
      </c>
      <c r="T4596" t="s">
        <v>1341</v>
      </c>
      <c r="U4596" t="s">
        <v>1342</v>
      </c>
      <c r="V4596" t="s">
        <v>1270</v>
      </c>
      <c r="W4596" t="s">
        <v>51</v>
      </c>
      <c r="X4596" t="s">
        <v>45</v>
      </c>
      <c r="Y4596" s="1">
        <v>32331</v>
      </c>
      <c r="Z4596">
        <v>1</v>
      </c>
      <c r="AA4596" t="s">
        <v>1342</v>
      </c>
      <c r="AB4596" s="40" t="s">
        <v>1799</v>
      </c>
    </row>
    <row r="4597" spans="1:28" x14ac:dyDescent="0.25">
      <c r="A4597">
        <v>99914596</v>
      </c>
      <c r="B4597" t="s">
        <v>32</v>
      </c>
      <c r="C4597" t="s">
        <v>111</v>
      </c>
      <c r="D4597" t="s">
        <v>112</v>
      </c>
      <c r="G4597" t="s">
        <v>48</v>
      </c>
      <c r="H4597">
        <v>1</v>
      </c>
      <c r="K4597" t="s">
        <v>268</v>
      </c>
      <c r="L4597" t="s">
        <v>269</v>
      </c>
      <c r="M4597" t="s">
        <v>131</v>
      </c>
      <c r="N4597">
        <v>24</v>
      </c>
      <c r="P4597" t="s">
        <v>41</v>
      </c>
      <c r="Q4597" t="s">
        <v>75</v>
      </c>
      <c r="R4597" t="str">
        <f>"7052016"</f>
        <v>7052016</v>
      </c>
      <c r="S4597" t="s">
        <v>588</v>
      </c>
      <c r="T4597" t="s">
        <v>268</v>
      </c>
      <c r="U4597" t="s">
        <v>269</v>
      </c>
      <c r="V4597" t="s">
        <v>131</v>
      </c>
      <c r="W4597" t="s">
        <v>51</v>
      </c>
      <c r="X4597" t="s">
        <v>45</v>
      </c>
      <c r="Y4597" s="1">
        <v>32308</v>
      </c>
      <c r="Z4597">
        <v>1</v>
      </c>
      <c r="AA4597" t="s">
        <v>269</v>
      </c>
      <c r="AB4597" s="40" t="s">
        <v>1799</v>
      </c>
    </row>
    <row r="4598" spans="1:28" x14ac:dyDescent="0.25">
      <c r="A4598">
        <v>99914597</v>
      </c>
      <c r="B4598" t="s">
        <v>32</v>
      </c>
      <c r="C4598" t="s">
        <v>111</v>
      </c>
      <c r="D4598" t="s">
        <v>112</v>
      </c>
      <c r="G4598" t="s">
        <v>35</v>
      </c>
      <c r="H4598">
        <v>1</v>
      </c>
      <c r="I4598" t="s">
        <v>831</v>
      </c>
      <c r="J4598" s="1">
        <v>43344</v>
      </c>
      <c r="K4598" t="s">
        <v>354</v>
      </c>
      <c r="L4598" t="s">
        <v>355</v>
      </c>
      <c r="M4598" t="s">
        <v>131</v>
      </c>
      <c r="N4598">
        <v>24</v>
      </c>
      <c r="O4598" s="1">
        <v>43344</v>
      </c>
      <c r="P4598" t="s">
        <v>41</v>
      </c>
      <c r="Q4598" t="s">
        <v>75</v>
      </c>
      <c r="R4598" t="str">
        <f>"7054032"</f>
        <v>7054032</v>
      </c>
      <c r="S4598" t="s">
        <v>767</v>
      </c>
      <c r="T4598" t="s">
        <v>354</v>
      </c>
      <c r="U4598" t="s">
        <v>355</v>
      </c>
      <c r="V4598" t="s">
        <v>131</v>
      </c>
      <c r="W4598" t="s">
        <v>51</v>
      </c>
      <c r="X4598" t="s">
        <v>45</v>
      </c>
      <c r="Y4598" s="1">
        <v>32308</v>
      </c>
      <c r="Z4598">
        <v>1</v>
      </c>
      <c r="AA4598" t="s">
        <v>355</v>
      </c>
      <c r="AB4598" s="40" t="s">
        <v>1799</v>
      </c>
    </row>
    <row r="4599" spans="1:28" x14ac:dyDescent="0.25">
      <c r="A4599">
        <v>99914598</v>
      </c>
      <c r="B4599" t="s">
        <v>32</v>
      </c>
      <c r="C4599" t="s">
        <v>111</v>
      </c>
      <c r="D4599" t="s">
        <v>112</v>
      </c>
      <c r="G4599" t="s">
        <v>48</v>
      </c>
      <c r="H4599">
        <v>5</v>
      </c>
      <c r="I4599" t="s">
        <v>214</v>
      </c>
      <c r="J4599" s="1">
        <v>41153</v>
      </c>
      <c r="K4599" t="s">
        <v>431</v>
      </c>
      <c r="L4599" t="s">
        <v>196</v>
      </c>
      <c r="M4599" t="s">
        <v>131</v>
      </c>
      <c r="N4599">
        <v>24</v>
      </c>
      <c r="O4599" s="1">
        <v>41153</v>
      </c>
      <c r="P4599" t="s">
        <v>41</v>
      </c>
      <c r="Q4599" t="s">
        <v>75</v>
      </c>
      <c r="R4599" t="str">
        <f>"7521022"</f>
        <v>7521022</v>
      </c>
      <c r="S4599" t="s">
        <v>445</v>
      </c>
      <c r="T4599" t="s">
        <v>431</v>
      </c>
      <c r="U4599" t="s">
        <v>196</v>
      </c>
      <c r="V4599" t="s">
        <v>131</v>
      </c>
      <c r="W4599" t="s">
        <v>51</v>
      </c>
      <c r="X4599" t="s">
        <v>45</v>
      </c>
      <c r="Y4599" s="1">
        <v>32295</v>
      </c>
      <c r="Z4599">
        <v>1</v>
      </c>
      <c r="AA4599" t="s">
        <v>196</v>
      </c>
      <c r="AB4599" s="40" t="s">
        <v>1799</v>
      </c>
    </row>
    <row r="4600" spans="1:28" x14ac:dyDescent="0.25">
      <c r="A4600">
        <v>99914599</v>
      </c>
      <c r="B4600" t="s">
        <v>32</v>
      </c>
      <c r="C4600" t="s">
        <v>143</v>
      </c>
      <c r="D4600" t="s">
        <v>144</v>
      </c>
      <c r="G4600" t="s">
        <v>35</v>
      </c>
      <c r="H4600">
        <v>1</v>
      </c>
      <c r="I4600" t="s">
        <v>715</v>
      </c>
      <c r="J4600" s="1">
        <v>43344</v>
      </c>
      <c r="K4600" t="s">
        <v>268</v>
      </c>
      <c r="L4600" t="s">
        <v>269</v>
      </c>
      <c r="M4600" t="s">
        <v>131</v>
      </c>
      <c r="N4600">
        <v>24</v>
      </c>
      <c r="O4600" s="1">
        <v>43344</v>
      </c>
      <c r="P4600" t="s">
        <v>41</v>
      </c>
      <c r="Q4600" t="s">
        <v>75</v>
      </c>
      <c r="R4600" t="str">
        <f>"7052006"</f>
        <v>7052006</v>
      </c>
      <c r="S4600" t="s">
        <v>575</v>
      </c>
      <c r="T4600" t="s">
        <v>268</v>
      </c>
      <c r="U4600" t="s">
        <v>269</v>
      </c>
      <c r="V4600" t="s">
        <v>131</v>
      </c>
      <c r="W4600" t="s">
        <v>55</v>
      </c>
      <c r="X4600" t="s">
        <v>45</v>
      </c>
      <c r="Y4600" s="1">
        <v>32295</v>
      </c>
      <c r="Z4600">
        <v>1</v>
      </c>
      <c r="AA4600" t="s">
        <v>269</v>
      </c>
      <c r="AB4600" s="40" t="s">
        <v>1799</v>
      </c>
    </row>
    <row r="4601" spans="1:28" x14ac:dyDescent="0.25">
      <c r="A4601">
        <v>99914600</v>
      </c>
      <c r="B4601" t="s">
        <v>32</v>
      </c>
      <c r="C4601" t="s">
        <v>111</v>
      </c>
      <c r="D4601" t="s">
        <v>112</v>
      </c>
      <c r="G4601" t="s">
        <v>35</v>
      </c>
      <c r="H4601">
        <v>1</v>
      </c>
      <c r="I4601" t="s">
        <v>1355</v>
      </c>
      <c r="J4601" s="1">
        <v>42620</v>
      </c>
      <c r="K4601" t="s">
        <v>1341</v>
      </c>
      <c r="L4601" t="s">
        <v>1342</v>
      </c>
      <c r="M4601" t="s">
        <v>1270</v>
      </c>
      <c r="N4601">
        <v>24</v>
      </c>
      <c r="O4601" s="1">
        <v>42620</v>
      </c>
      <c r="P4601" t="s">
        <v>41</v>
      </c>
      <c r="Q4601" t="s">
        <v>75</v>
      </c>
      <c r="R4601" t="str">
        <f>"7191006"</f>
        <v>7191006</v>
      </c>
      <c r="S4601" t="s">
        <v>1351</v>
      </c>
      <c r="T4601" t="s">
        <v>1341</v>
      </c>
      <c r="U4601" t="s">
        <v>1342</v>
      </c>
      <c r="V4601" t="s">
        <v>1270</v>
      </c>
      <c r="W4601" t="s">
        <v>51</v>
      </c>
      <c r="X4601" t="s">
        <v>45</v>
      </c>
      <c r="Y4601" s="1">
        <v>32293</v>
      </c>
      <c r="Z4601">
        <v>1</v>
      </c>
      <c r="AA4601" t="s">
        <v>1342</v>
      </c>
      <c r="AB4601" s="40" t="s">
        <v>1799</v>
      </c>
    </row>
    <row r="4602" spans="1:28" x14ac:dyDescent="0.25">
      <c r="A4602">
        <v>99914601</v>
      </c>
      <c r="B4602" t="s">
        <v>32</v>
      </c>
      <c r="C4602" t="s">
        <v>111</v>
      </c>
      <c r="D4602" t="s">
        <v>112</v>
      </c>
      <c r="G4602" t="s">
        <v>35</v>
      </c>
      <c r="H4602">
        <v>1</v>
      </c>
      <c r="I4602">
        <v>8797</v>
      </c>
      <c r="J4602" s="1">
        <v>43344</v>
      </c>
      <c r="K4602" t="s">
        <v>354</v>
      </c>
      <c r="L4602" t="s">
        <v>355</v>
      </c>
      <c r="M4602" t="s">
        <v>131</v>
      </c>
      <c r="N4602">
        <v>24</v>
      </c>
      <c r="O4602" s="1">
        <v>43344</v>
      </c>
      <c r="P4602" t="s">
        <v>41</v>
      </c>
      <c r="Q4602" t="s">
        <v>75</v>
      </c>
      <c r="R4602" t="str">
        <f>"7054042"</f>
        <v>7054042</v>
      </c>
      <c r="S4602" t="s">
        <v>776</v>
      </c>
      <c r="T4602" t="s">
        <v>354</v>
      </c>
      <c r="U4602" t="s">
        <v>355</v>
      </c>
      <c r="V4602" t="s">
        <v>131</v>
      </c>
      <c r="W4602" t="s">
        <v>44</v>
      </c>
      <c r="X4602" t="s">
        <v>45</v>
      </c>
      <c r="Y4602" s="1">
        <v>32285</v>
      </c>
      <c r="Z4602">
        <v>1</v>
      </c>
      <c r="AA4602" t="s">
        <v>355</v>
      </c>
      <c r="AB4602" s="40" t="s">
        <v>1799</v>
      </c>
    </row>
    <row r="4603" spans="1:28" x14ac:dyDescent="0.25">
      <c r="A4603">
        <v>99914602</v>
      </c>
      <c r="B4603" t="s">
        <v>32</v>
      </c>
      <c r="C4603" t="s">
        <v>111</v>
      </c>
      <c r="D4603" t="s">
        <v>112</v>
      </c>
      <c r="G4603" t="s">
        <v>35</v>
      </c>
      <c r="H4603">
        <v>1</v>
      </c>
      <c r="K4603" t="s">
        <v>268</v>
      </c>
      <c r="L4603" t="s">
        <v>269</v>
      </c>
      <c r="M4603" t="s">
        <v>131</v>
      </c>
      <c r="N4603">
        <v>24</v>
      </c>
      <c r="P4603" t="s">
        <v>41</v>
      </c>
      <c r="Q4603" t="s">
        <v>75</v>
      </c>
      <c r="R4603" t="str">
        <f>"7052000"</f>
        <v>7052000</v>
      </c>
      <c r="S4603" t="s">
        <v>656</v>
      </c>
      <c r="T4603" t="s">
        <v>268</v>
      </c>
      <c r="U4603" t="s">
        <v>269</v>
      </c>
      <c r="V4603" t="s">
        <v>131</v>
      </c>
      <c r="W4603" t="s">
        <v>51</v>
      </c>
      <c r="X4603" t="s">
        <v>45</v>
      </c>
      <c r="Y4603" s="1">
        <v>32280</v>
      </c>
      <c r="Z4603">
        <v>1</v>
      </c>
      <c r="AA4603" t="s">
        <v>269</v>
      </c>
      <c r="AB4603" s="40" t="s">
        <v>1799</v>
      </c>
    </row>
    <row r="4604" spans="1:28" x14ac:dyDescent="0.25">
      <c r="A4604">
        <v>99914603</v>
      </c>
      <c r="B4604" t="s">
        <v>32</v>
      </c>
      <c r="C4604" t="s">
        <v>111</v>
      </c>
      <c r="D4604" t="s">
        <v>112</v>
      </c>
      <c r="G4604" t="s">
        <v>88</v>
      </c>
      <c r="H4604">
        <v>4</v>
      </c>
      <c r="K4604" t="s">
        <v>1426</v>
      </c>
      <c r="L4604" t="s">
        <v>1427</v>
      </c>
      <c r="M4604" t="s">
        <v>1270</v>
      </c>
      <c r="N4604">
        <v>24</v>
      </c>
      <c r="P4604" t="s">
        <v>41</v>
      </c>
      <c r="Q4604" t="s">
        <v>75</v>
      </c>
      <c r="R4604" t="str">
        <f>"7192000"</f>
        <v>7192000</v>
      </c>
      <c r="S4604" t="s">
        <v>1429</v>
      </c>
      <c r="T4604" t="s">
        <v>1426</v>
      </c>
      <c r="U4604" t="s">
        <v>1427</v>
      </c>
      <c r="V4604" t="s">
        <v>1270</v>
      </c>
      <c r="W4604" t="s">
        <v>51</v>
      </c>
      <c r="X4604" t="s">
        <v>45</v>
      </c>
      <c r="Y4604" s="1">
        <v>32273</v>
      </c>
      <c r="Z4604">
        <v>1</v>
      </c>
      <c r="AA4604" t="s">
        <v>1427</v>
      </c>
      <c r="AB4604" s="40" t="s">
        <v>1799</v>
      </c>
    </row>
    <row r="4605" spans="1:28" x14ac:dyDescent="0.25">
      <c r="A4605">
        <v>99914604</v>
      </c>
      <c r="B4605" t="s">
        <v>56</v>
      </c>
      <c r="C4605" t="s">
        <v>111</v>
      </c>
      <c r="D4605" t="s">
        <v>112</v>
      </c>
      <c r="G4605" t="s">
        <v>48</v>
      </c>
      <c r="H4605">
        <v>1</v>
      </c>
      <c r="K4605" t="s">
        <v>268</v>
      </c>
      <c r="L4605" t="s">
        <v>269</v>
      </c>
      <c r="M4605" t="s">
        <v>131</v>
      </c>
      <c r="N4605">
        <v>24</v>
      </c>
      <c r="P4605" t="s">
        <v>41</v>
      </c>
      <c r="Q4605" t="s">
        <v>75</v>
      </c>
      <c r="R4605" t="str">
        <f>"7052008"</f>
        <v>7052008</v>
      </c>
      <c r="S4605" t="s">
        <v>274</v>
      </c>
      <c r="T4605" t="s">
        <v>268</v>
      </c>
      <c r="U4605" t="s">
        <v>269</v>
      </c>
      <c r="V4605" t="s">
        <v>131</v>
      </c>
      <c r="W4605" t="s">
        <v>51</v>
      </c>
      <c r="X4605" t="s">
        <v>45</v>
      </c>
      <c r="Y4605" s="1">
        <v>32269</v>
      </c>
      <c r="Z4605">
        <v>1</v>
      </c>
      <c r="AA4605" t="s">
        <v>269</v>
      </c>
      <c r="AB4605" s="40" t="s">
        <v>1799</v>
      </c>
    </row>
    <row r="4606" spans="1:28" x14ac:dyDescent="0.25">
      <c r="A4606">
        <v>99914605</v>
      </c>
      <c r="B4606" t="s">
        <v>32</v>
      </c>
      <c r="C4606" t="s">
        <v>111</v>
      </c>
      <c r="D4606" t="s">
        <v>112</v>
      </c>
      <c r="G4606" t="s">
        <v>35</v>
      </c>
      <c r="H4606">
        <v>1</v>
      </c>
      <c r="I4606">
        <v>9727</v>
      </c>
      <c r="J4606" s="1">
        <v>43344</v>
      </c>
      <c r="K4606" t="s">
        <v>1198</v>
      </c>
      <c r="L4606" t="s">
        <v>1199</v>
      </c>
      <c r="M4606" t="s">
        <v>1130</v>
      </c>
      <c r="N4606">
        <v>24</v>
      </c>
      <c r="O4606" s="1">
        <v>43344</v>
      </c>
      <c r="P4606" t="s">
        <v>41</v>
      </c>
      <c r="Q4606" t="s">
        <v>75</v>
      </c>
      <c r="R4606" t="str">
        <f>"7311002"</f>
        <v>7311002</v>
      </c>
      <c r="S4606" t="s">
        <v>1203</v>
      </c>
      <c r="T4606" t="s">
        <v>1198</v>
      </c>
      <c r="U4606" t="s">
        <v>1199</v>
      </c>
      <c r="V4606" t="s">
        <v>1130</v>
      </c>
      <c r="W4606" t="s">
        <v>51</v>
      </c>
      <c r="X4606" t="s">
        <v>45</v>
      </c>
      <c r="Y4606" s="1">
        <v>32266</v>
      </c>
      <c r="Z4606">
        <v>1</v>
      </c>
      <c r="AA4606" t="s">
        <v>1199</v>
      </c>
      <c r="AB4606" s="40" t="s">
        <v>1799</v>
      </c>
    </row>
    <row r="4607" spans="1:28" x14ac:dyDescent="0.25">
      <c r="A4607">
        <v>99914606</v>
      </c>
      <c r="B4607" t="s">
        <v>32</v>
      </c>
      <c r="C4607" t="s">
        <v>111</v>
      </c>
      <c r="D4607" t="s">
        <v>112</v>
      </c>
      <c r="G4607" t="s">
        <v>88</v>
      </c>
      <c r="H4607">
        <v>3</v>
      </c>
      <c r="I4607" t="s">
        <v>513</v>
      </c>
      <c r="J4607" s="1">
        <v>41153</v>
      </c>
      <c r="K4607" t="s">
        <v>195</v>
      </c>
      <c r="L4607" t="s">
        <v>196</v>
      </c>
      <c r="M4607" t="s">
        <v>131</v>
      </c>
      <c r="N4607">
        <v>24</v>
      </c>
      <c r="O4607" s="1">
        <v>41153</v>
      </c>
      <c r="P4607" t="s">
        <v>41</v>
      </c>
      <c r="Q4607" t="s">
        <v>75</v>
      </c>
      <c r="R4607" t="str">
        <f>"7521052"</f>
        <v>7521052</v>
      </c>
      <c r="S4607" t="s">
        <v>443</v>
      </c>
      <c r="T4607" t="s">
        <v>195</v>
      </c>
      <c r="U4607" t="s">
        <v>196</v>
      </c>
      <c r="V4607" t="s">
        <v>131</v>
      </c>
      <c r="W4607" t="s">
        <v>51</v>
      </c>
      <c r="X4607" t="s">
        <v>45</v>
      </c>
      <c r="Y4607" s="1">
        <v>32265</v>
      </c>
      <c r="Z4607">
        <v>1</v>
      </c>
      <c r="AA4607" t="s">
        <v>196</v>
      </c>
      <c r="AB4607" s="40" t="s">
        <v>1799</v>
      </c>
    </row>
    <row r="4608" spans="1:28" x14ac:dyDescent="0.25">
      <c r="A4608">
        <v>99914607</v>
      </c>
      <c r="B4608" t="s">
        <v>32</v>
      </c>
      <c r="C4608" t="s">
        <v>111</v>
      </c>
      <c r="D4608" t="s">
        <v>112</v>
      </c>
      <c r="G4608" t="s">
        <v>35</v>
      </c>
      <c r="H4608">
        <v>3</v>
      </c>
      <c r="I4608" t="s">
        <v>619</v>
      </c>
      <c r="J4608" s="1">
        <v>43344</v>
      </c>
      <c r="K4608" t="s">
        <v>268</v>
      </c>
      <c r="L4608" t="s">
        <v>269</v>
      </c>
      <c r="M4608" t="s">
        <v>131</v>
      </c>
      <c r="N4608">
        <v>24</v>
      </c>
      <c r="O4608" s="1">
        <v>43344</v>
      </c>
      <c r="P4608" t="s">
        <v>41</v>
      </c>
      <c r="Q4608" t="s">
        <v>75</v>
      </c>
      <c r="R4608" t="str">
        <f>"7052004"</f>
        <v>7052004</v>
      </c>
      <c r="S4608" t="s">
        <v>584</v>
      </c>
      <c r="T4608" t="s">
        <v>268</v>
      </c>
      <c r="U4608" t="s">
        <v>269</v>
      </c>
      <c r="V4608" t="s">
        <v>131</v>
      </c>
      <c r="W4608" t="s">
        <v>44</v>
      </c>
      <c r="X4608" t="s">
        <v>45</v>
      </c>
      <c r="Y4608" s="1">
        <v>32254</v>
      </c>
      <c r="Z4608">
        <v>1</v>
      </c>
      <c r="AA4608" t="s">
        <v>269</v>
      </c>
      <c r="AB4608" s="40" t="s">
        <v>1799</v>
      </c>
    </row>
    <row r="4609" spans="1:28" x14ac:dyDescent="0.25">
      <c r="A4609">
        <v>99914608</v>
      </c>
      <c r="B4609" t="s">
        <v>32</v>
      </c>
      <c r="C4609" t="s">
        <v>111</v>
      </c>
      <c r="D4609" t="s">
        <v>112</v>
      </c>
      <c r="G4609" t="s">
        <v>35</v>
      </c>
      <c r="H4609">
        <v>1</v>
      </c>
      <c r="K4609" t="s">
        <v>1581</v>
      </c>
      <c r="L4609" t="s">
        <v>1582</v>
      </c>
      <c r="M4609" t="s">
        <v>1548</v>
      </c>
      <c r="N4609">
        <v>24</v>
      </c>
      <c r="P4609" t="s">
        <v>41</v>
      </c>
      <c r="Q4609" t="s">
        <v>75</v>
      </c>
      <c r="R4609" t="str">
        <f>"7291002"</f>
        <v>7291002</v>
      </c>
      <c r="S4609" t="s">
        <v>1583</v>
      </c>
      <c r="T4609" t="s">
        <v>1581</v>
      </c>
      <c r="U4609" t="s">
        <v>1582</v>
      </c>
      <c r="V4609" t="s">
        <v>1548</v>
      </c>
      <c r="W4609" t="s">
        <v>51</v>
      </c>
      <c r="X4609" t="s">
        <v>45</v>
      </c>
      <c r="Y4609" s="1">
        <v>32247</v>
      </c>
      <c r="Z4609">
        <v>1</v>
      </c>
      <c r="AA4609" t="s">
        <v>1582</v>
      </c>
      <c r="AB4609" s="40" t="s">
        <v>1799</v>
      </c>
    </row>
    <row r="4610" spans="1:28" x14ac:dyDescent="0.25">
      <c r="A4610">
        <v>99914609</v>
      </c>
      <c r="B4610" t="s">
        <v>32</v>
      </c>
      <c r="C4610" t="s">
        <v>111</v>
      </c>
      <c r="D4610" t="s">
        <v>112</v>
      </c>
      <c r="G4610" t="s">
        <v>35</v>
      </c>
      <c r="H4610">
        <v>3</v>
      </c>
      <c r="I4610" t="s">
        <v>489</v>
      </c>
      <c r="J4610" s="1">
        <v>42317</v>
      </c>
      <c r="K4610" t="s">
        <v>1619</v>
      </c>
      <c r="L4610" t="s">
        <v>1620</v>
      </c>
      <c r="M4610" t="s">
        <v>1592</v>
      </c>
      <c r="N4610">
        <v>24</v>
      </c>
      <c r="O4610" s="1">
        <v>42317</v>
      </c>
      <c r="P4610" t="s">
        <v>41</v>
      </c>
      <c r="Q4610" t="s">
        <v>75</v>
      </c>
      <c r="R4610" t="str">
        <f>"7281000"</f>
        <v>7281000</v>
      </c>
      <c r="S4610" t="s">
        <v>1648</v>
      </c>
      <c r="T4610" t="s">
        <v>1619</v>
      </c>
      <c r="U4610" t="s">
        <v>1620</v>
      </c>
      <c r="V4610" t="s">
        <v>1592</v>
      </c>
      <c r="W4610" t="s">
        <v>51</v>
      </c>
      <c r="X4610" t="s">
        <v>45</v>
      </c>
      <c r="Y4610" s="1">
        <v>32247</v>
      </c>
      <c r="Z4610">
        <v>1</v>
      </c>
      <c r="AA4610" t="s">
        <v>1620</v>
      </c>
      <c r="AB4610" s="40" t="s">
        <v>1799</v>
      </c>
    </row>
    <row r="4611" spans="1:28" x14ac:dyDescent="0.25">
      <c r="A4611">
        <v>99914610</v>
      </c>
      <c r="B4611" t="s">
        <v>32</v>
      </c>
      <c r="C4611" t="s">
        <v>111</v>
      </c>
      <c r="D4611" t="s">
        <v>112</v>
      </c>
      <c r="G4611" t="s">
        <v>35</v>
      </c>
      <c r="H4611">
        <v>1</v>
      </c>
      <c r="K4611" t="s">
        <v>268</v>
      </c>
      <c r="L4611" t="s">
        <v>269</v>
      </c>
      <c r="M4611" t="s">
        <v>131</v>
      </c>
      <c r="N4611">
        <v>24</v>
      </c>
      <c r="P4611" t="s">
        <v>41</v>
      </c>
      <c r="Q4611" t="s">
        <v>75</v>
      </c>
      <c r="R4611" t="str">
        <f>"7052000"</f>
        <v>7052000</v>
      </c>
      <c r="S4611" t="s">
        <v>656</v>
      </c>
      <c r="T4611" t="s">
        <v>268</v>
      </c>
      <c r="U4611" t="s">
        <v>269</v>
      </c>
      <c r="V4611" t="s">
        <v>131</v>
      </c>
      <c r="W4611" t="s">
        <v>51</v>
      </c>
      <c r="X4611" t="s">
        <v>45</v>
      </c>
      <c r="Y4611" s="1">
        <v>32236</v>
      </c>
      <c r="Z4611">
        <v>1</v>
      </c>
      <c r="AA4611" t="s">
        <v>269</v>
      </c>
      <c r="AB4611" s="40" t="s">
        <v>1799</v>
      </c>
    </row>
    <row r="4612" spans="1:28" x14ac:dyDescent="0.25">
      <c r="A4612">
        <v>99914611</v>
      </c>
      <c r="B4612" t="s">
        <v>32</v>
      </c>
      <c r="C4612" t="s">
        <v>64</v>
      </c>
      <c r="D4612" t="s">
        <v>65</v>
      </c>
      <c r="G4612" t="s">
        <v>35</v>
      </c>
      <c r="H4612">
        <v>1</v>
      </c>
      <c r="K4612" t="s">
        <v>1081</v>
      </c>
      <c r="L4612" t="s">
        <v>1082</v>
      </c>
      <c r="M4612" t="s">
        <v>1053</v>
      </c>
      <c r="N4612">
        <v>24</v>
      </c>
      <c r="P4612" t="s">
        <v>41</v>
      </c>
      <c r="Q4612" t="s">
        <v>75</v>
      </c>
      <c r="R4612" t="str">
        <f>"7201006"</f>
        <v>7201006</v>
      </c>
      <c r="S4612" t="s">
        <v>1083</v>
      </c>
      <c r="T4612" t="s">
        <v>1081</v>
      </c>
      <c r="U4612" t="s">
        <v>1082</v>
      </c>
      <c r="V4612" t="s">
        <v>1053</v>
      </c>
      <c r="W4612" t="s">
        <v>51</v>
      </c>
      <c r="X4612" t="s">
        <v>45</v>
      </c>
      <c r="Y4612" s="1">
        <v>32225</v>
      </c>
      <c r="Z4612">
        <v>1</v>
      </c>
      <c r="AA4612" t="s">
        <v>1082</v>
      </c>
      <c r="AB4612" s="40" t="s">
        <v>1799</v>
      </c>
    </row>
    <row r="4613" spans="1:28" x14ac:dyDescent="0.25">
      <c r="A4613">
        <v>99914612</v>
      </c>
      <c r="B4613" t="s">
        <v>32</v>
      </c>
      <c r="C4613" t="s">
        <v>111</v>
      </c>
      <c r="D4613" t="s">
        <v>112</v>
      </c>
      <c r="G4613" t="s">
        <v>48</v>
      </c>
      <c r="H4613">
        <v>1</v>
      </c>
      <c r="I4613" t="s">
        <v>574</v>
      </c>
      <c r="J4613" s="1">
        <v>42324</v>
      </c>
      <c r="K4613" t="s">
        <v>431</v>
      </c>
      <c r="L4613" t="s">
        <v>196</v>
      </c>
      <c r="M4613" t="s">
        <v>131</v>
      </c>
      <c r="N4613">
        <v>24</v>
      </c>
      <c r="O4613" s="1">
        <v>42324</v>
      </c>
      <c r="P4613" t="s">
        <v>41</v>
      </c>
      <c r="Q4613" t="s">
        <v>75</v>
      </c>
      <c r="R4613" t="str">
        <f>"7521016"</f>
        <v>7521016</v>
      </c>
      <c r="S4613" t="s">
        <v>448</v>
      </c>
      <c r="T4613" t="s">
        <v>431</v>
      </c>
      <c r="U4613" t="s">
        <v>196</v>
      </c>
      <c r="V4613" t="s">
        <v>131</v>
      </c>
      <c r="W4613" t="s">
        <v>51</v>
      </c>
      <c r="X4613" t="s">
        <v>45</v>
      </c>
      <c r="Y4613" s="1">
        <v>32224</v>
      </c>
      <c r="Z4613">
        <v>1</v>
      </c>
      <c r="AA4613" t="s">
        <v>196</v>
      </c>
      <c r="AB4613" s="40" t="s">
        <v>1799</v>
      </c>
    </row>
    <row r="4614" spans="1:28" x14ac:dyDescent="0.25">
      <c r="A4614">
        <v>99914613</v>
      </c>
      <c r="B4614" t="s">
        <v>32</v>
      </c>
      <c r="C4614" t="s">
        <v>111</v>
      </c>
      <c r="D4614" t="s">
        <v>112</v>
      </c>
      <c r="G4614" t="s">
        <v>48</v>
      </c>
      <c r="H4614">
        <v>1</v>
      </c>
      <c r="K4614" t="s">
        <v>667</v>
      </c>
      <c r="L4614" t="s">
        <v>1511</v>
      </c>
      <c r="M4614" t="s">
        <v>670</v>
      </c>
      <c r="N4614">
        <v>24</v>
      </c>
      <c r="P4614" t="s">
        <v>41</v>
      </c>
      <c r="Q4614" t="s">
        <v>75</v>
      </c>
      <c r="R4614" t="str">
        <f>"7501000"</f>
        <v>7501000</v>
      </c>
      <c r="S4614" t="s">
        <v>668</v>
      </c>
      <c r="T4614" t="s">
        <v>667</v>
      </c>
      <c r="U4614" t="s">
        <v>669</v>
      </c>
      <c r="V4614" t="s">
        <v>670</v>
      </c>
      <c r="W4614" t="s">
        <v>51</v>
      </c>
      <c r="X4614" t="s">
        <v>45</v>
      </c>
      <c r="Y4614" s="1">
        <v>32223</v>
      </c>
      <c r="Z4614">
        <v>1</v>
      </c>
      <c r="AA4614" t="s">
        <v>1511</v>
      </c>
      <c r="AB4614" s="40" t="s">
        <v>1799</v>
      </c>
    </row>
    <row r="4615" spans="1:28" x14ac:dyDescent="0.25">
      <c r="A4615">
        <v>99914614</v>
      </c>
      <c r="B4615" t="s">
        <v>32</v>
      </c>
      <c r="C4615" t="s">
        <v>111</v>
      </c>
      <c r="D4615" t="s">
        <v>112</v>
      </c>
      <c r="G4615" t="s">
        <v>35</v>
      </c>
      <c r="H4615">
        <v>1</v>
      </c>
      <c r="K4615" t="s">
        <v>431</v>
      </c>
      <c r="L4615" t="s">
        <v>196</v>
      </c>
      <c r="M4615" t="s">
        <v>131</v>
      </c>
      <c r="N4615">
        <v>24</v>
      </c>
      <c r="P4615" t="s">
        <v>41</v>
      </c>
      <c r="Q4615" t="s">
        <v>75</v>
      </c>
      <c r="R4615" t="str">
        <f>"7521032"</f>
        <v>7521032</v>
      </c>
      <c r="S4615" t="s">
        <v>462</v>
      </c>
      <c r="T4615" t="s">
        <v>431</v>
      </c>
      <c r="U4615" t="s">
        <v>196</v>
      </c>
      <c r="V4615" t="s">
        <v>131</v>
      </c>
      <c r="W4615" t="s">
        <v>51</v>
      </c>
      <c r="X4615" t="s">
        <v>45</v>
      </c>
      <c r="Y4615" s="1">
        <v>32222</v>
      </c>
      <c r="Z4615">
        <v>1</v>
      </c>
      <c r="AA4615" t="s">
        <v>196</v>
      </c>
      <c r="AB4615" s="40" t="s">
        <v>1799</v>
      </c>
    </row>
    <row r="4616" spans="1:28" x14ac:dyDescent="0.25">
      <c r="A4616">
        <v>99914615</v>
      </c>
      <c r="B4616" t="s">
        <v>32</v>
      </c>
      <c r="C4616" t="s">
        <v>90</v>
      </c>
      <c r="D4616" t="s">
        <v>91</v>
      </c>
      <c r="G4616" t="s">
        <v>35</v>
      </c>
      <c r="H4616">
        <v>1</v>
      </c>
      <c r="I4616" t="s">
        <v>1405</v>
      </c>
      <c r="J4616" s="1">
        <v>43344</v>
      </c>
      <c r="K4616" t="s">
        <v>1341</v>
      </c>
      <c r="L4616" t="s">
        <v>1342</v>
      </c>
      <c r="M4616" t="s">
        <v>1270</v>
      </c>
      <c r="N4616">
        <v>24</v>
      </c>
      <c r="O4616" s="1">
        <v>43344</v>
      </c>
      <c r="P4616" t="s">
        <v>41</v>
      </c>
      <c r="Q4616" t="s">
        <v>95</v>
      </c>
      <c r="R4616" t="str">
        <f>"7191123"</f>
        <v>7191123</v>
      </c>
      <c r="S4616" t="s">
        <v>1411</v>
      </c>
      <c r="T4616" t="s">
        <v>1341</v>
      </c>
      <c r="U4616" t="s">
        <v>1342</v>
      </c>
      <c r="V4616" t="s">
        <v>1270</v>
      </c>
      <c r="W4616" t="s">
        <v>44</v>
      </c>
      <c r="X4616" t="s">
        <v>45</v>
      </c>
      <c r="Y4616" s="1">
        <v>32222</v>
      </c>
      <c r="Z4616">
        <v>1</v>
      </c>
      <c r="AA4616" t="s">
        <v>1342</v>
      </c>
      <c r="AB4616" s="40" t="s">
        <v>1799</v>
      </c>
    </row>
    <row r="4617" spans="1:28" x14ac:dyDescent="0.25">
      <c r="A4617">
        <v>99914616</v>
      </c>
      <c r="B4617" t="s">
        <v>32</v>
      </c>
      <c r="C4617" t="s">
        <v>90</v>
      </c>
      <c r="D4617" t="s">
        <v>91</v>
      </c>
      <c r="G4617" t="s">
        <v>35</v>
      </c>
      <c r="H4617">
        <v>1</v>
      </c>
      <c r="I4617">
        <v>20321</v>
      </c>
      <c r="J4617" s="1">
        <v>43344</v>
      </c>
      <c r="K4617" t="s">
        <v>354</v>
      </c>
      <c r="L4617" t="s">
        <v>355</v>
      </c>
      <c r="M4617" t="s">
        <v>131</v>
      </c>
      <c r="N4617">
        <v>24</v>
      </c>
      <c r="O4617" s="1">
        <v>43344</v>
      </c>
      <c r="P4617" t="s">
        <v>41</v>
      </c>
      <c r="Q4617" t="s">
        <v>75</v>
      </c>
      <c r="R4617" t="str">
        <f>"7054008"</f>
        <v>7054008</v>
      </c>
      <c r="S4617" t="s">
        <v>813</v>
      </c>
      <c r="T4617" t="s">
        <v>354</v>
      </c>
      <c r="U4617" t="s">
        <v>355</v>
      </c>
      <c r="V4617" t="s">
        <v>131</v>
      </c>
      <c r="W4617" t="s">
        <v>51</v>
      </c>
      <c r="X4617" t="s">
        <v>45</v>
      </c>
      <c r="Y4617" s="1">
        <v>32220</v>
      </c>
      <c r="Z4617">
        <v>1</v>
      </c>
      <c r="AA4617" t="s">
        <v>355</v>
      </c>
      <c r="AB4617" s="40" t="s">
        <v>1799</v>
      </c>
    </row>
    <row r="4618" spans="1:28" x14ac:dyDescent="0.25">
      <c r="A4618">
        <v>99914617</v>
      </c>
      <c r="B4618" t="s">
        <v>32</v>
      </c>
      <c r="C4618" t="s">
        <v>90</v>
      </c>
      <c r="D4618" t="s">
        <v>91</v>
      </c>
      <c r="G4618" t="s">
        <v>48</v>
      </c>
      <c r="H4618">
        <v>1</v>
      </c>
      <c r="K4618" t="s">
        <v>431</v>
      </c>
      <c r="L4618" t="s">
        <v>196</v>
      </c>
      <c r="M4618" t="s">
        <v>131</v>
      </c>
      <c r="N4618">
        <v>24</v>
      </c>
      <c r="P4618" t="s">
        <v>41</v>
      </c>
      <c r="Q4618" t="s">
        <v>95</v>
      </c>
      <c r="R4618" t="str">
        <f>"7521015"</f>
        <v>7521015</v>
      </c>
      <c r="S4618" t="s">
        <v>527</v>
      </c>
      <c r="T4618" t="s">
        <v>431</v>
      </c>
      <c r="U4618" t="s">
        <v>196</v>
      </c>
      <c r="V4618" t="s">
        <v>131</v>
      </c>
      <c r="W4618" t="s">
        <v>51</v>
      </c>
      <c r="X4618" t="s">
        <v>45</v>
      </c>
      <c r="Y4618" s="1">
        <v>32212</v>
      </c>
      <c r="Z4618">
        <v>1</v>
      </c>
      <c r="AA4618" t="s">
        <v>196</v>
      </c>
      <c r="AB4618" s="40" t="s">
        <v>1799</v>
      </c>
    </row>
    <row r="4619" spans="1:28" x14ac:dyDescent="0.25">
      <c r="A4619">
        <v>99914618</v>
      </c>
      <c r="B4619" t="s">
        <v>32</v>
      </c>
      <c r="C4619" t="s">
        <v>90</v>
      </c>
      <c r="D4619" t="s">
        <v>91</v>
      </c>
      <c r="G4619" t="s">
        <v>35</v>
      </c>
      <c r="H4619">
        <v>1</v>
      </c>
      <c r="K4619" t="s">
        <v>154</v>
      </c>
      <c r="L4619" t="s">
        <v>155</v>
      </c>
      <c r="M4619" t="s">
        <v>131</v>
      </c>
      <c r="N4619">
        <v>24</v>
      </c>
      <c r="P4619" t="s">
        <v>41</v>
      </c>
      <c r="Q4619" t="s">
        <v>95</v>
      </c>
      <c r="R4619" t="str">
        <f>"7051109"</f>
        <v>7051109</v>
      </c>
      <c r="S4619" t="s">
        <v>414</v>
      </c>
      <c r="T4619" t="s">
        <v>154</v>
      </c>
      <c r="U4619" t="s">
        <v>155</v>
      </c>
      <c r="V4619" t="s">
        <v>131</v>
      </c>
      <c r="W4619" t="s">
        <v>51</v>
      </c>
      <c r="X4619" t="s">
        <v>45</v>
      </c>
      <c r="Y4619" s="1">
        <v>32206</v>
      </c>
      <c r="Z4619">
        <v>1</v>
      </c>
      <c r="AA4619" t="s">
        <v>155</v>
      </c>
      <c r="AB4619" s="40" t="s">
        <v>1799</v>
      </c>
    </row>
    <row r="4620" spans="1:28" x14ac:dyDescent="0.25">
      <c r="A4620">
        <v>99914619</v>
      </c>
      <c r="B4620" t="s">
        <v>32</v>
      </c>
      <c r="C4620" t="s">
        <v>111</v>
      </c>
      <c r="D4620" t="s">
        <v>112</v>
      </c>
      <c r="G4620" t="s">
        <v>88</v>
      </c>
      <c r="H4620">
        <v>6</v>
      </c>
      <c r="K4620" t="s">
        <v>354</v>
      </c>
      <c r="L4620" t="s">
        <v>355</v>
      </c>
      <c r="M4620" t="s">
        <v>131</v>
      </c>
      <c r="N4620">
        <v>24</v>
      </c>
      <c r="P4620" t="s">
        <v>41</v>
      </c>
      <c r="Q4620" t="s">
        <v>75</v>
      </c>
      <c r="R4620" t="str">
        <f>"7054022"</f>
        <v>7054022</v>
      </c>
      <c r="S4620" t="s">
        <v>770</v>
      </c>
      <c r="T4620" t="s">
        <v>354</v>
      </c>
      <c r="U4620" t="s">
        <v>355</v>
      </c>
      <c r="V4620" t="s">
        <v>131</v>
      </c>
      <c r="W4620" t="s">
        <v>51</v>
      </c>
      <c r="X4620" t="s">
        <v>45</v>
      </c>
      <c r="Y4620" s="1">
        <v>32196</v>
      </c>
      <c r="Z4620">
        <v>1</v>
      </c>
      <c r="AA4620" t="s">
        <v>355</v>
      </c>
      <c r="AB4620" s="40" t="s">
        <v>1799</v>
      </c>
    </row>
    <row r="4621" spans="1:28" x14ac:dyDescent="0.25">
      <c r="A4621">
        <v>99914620</v>
      </c>
      <c r="B4621" t="s">
        <v>32</v>
      </c>
      <c r="C4621" t="s">
        <v>90</v>
      </c>
      <c r="D4621" t="s">
        <v>91</v>
      </c>
      <c r="G4621" t="s">
        <v>35</v>
      </c>
      <c r="H4621">
        <v>1</v>
      </c>
      <c r="I4621" t="s">
        <v>637</v>
      </c>
      <c r="J4621" s="1">
        <v>43344</v>
      </c>
      <c r="K4621" t="s">
        <v>268</v>
      </c>
      <c r="L4621" t="s">
        <v>269</v>
      </c>
      <c r="M4621" t="s">
        <v>131</v>
      </c>
      <c r="N4621">
        <v>24</v>
      </c>
      <c r="P4621" t="s">
        <v>41</v>
      </c>
      <c r="Q4621" t="s">
        <v>95</v>
      </c>
      <c r="R4621" t="str">
        <f>"7052071"</f>
        <v>7052071</v>
      </c>
      <c r="S4621" t="s">
        <v>628</v>
      </c>
      <c r="T4621" t="s">
        <v>268</v>
      </c>
      <c r="U4621" t="s">
        <v>269</v>
      </c>
      <c r="V4621" t="s">
        <v>131</v>
      </c>
      <c r="W4621" t="s">
        <v>51</v>
      </c>
      <c r="X4621" t="s">
        <v>45</v>
      </c>
      <c r="Y4621" s="1">
        <v>32190</v>
      </c>
      <c r="Z4621">
        <v>1</v>
      </c>
      <c r="AA4621" t="s">
        <v>269</v>
      </c>
      <c r="AB4621" s="40" t="s">
        <v>1799</v>
      </c>
    </row>
    <row r="4622" spans="1:28" x14ac:dyDescent="0.25">
      <c r="A4622">
        <v>99914621</v>
      </c>
      <c r="B4622" t="s">
        <v>32</v>
      </c>
      <c r="C4622" t="s">
        <v>1364</v>
      </c>
      <c r="D4622" t="s">
        <v>598</v>
      </c>
      <c r="G4622" t="s">
        <v>35</v>
      </c>
      <c r="H4622">
        <v>1</v>
      </c>
      <c r="I4622" s="1">
        <v>42979</v>
      </c>
      <c r="J4622" s="1">
        <v>43344</v>
      </c>
      <c r="K4622" t="s">
        <v>1341</v>
      </c>
      <c r="L4622" t="s">
        <v>1342</v>
      </c>
      <c r="M4622" t="s">
        <v>1270</v>
      </c>
      <c r="N4622">
        <v>24</v>
      </c>
      <c r="O4622" s="1">
        <v>43344</v>
      </c>
      <c r="P4622" t="s">
        <v>41</v>
      </c>
      <c r="Q4622" t="s">
        <v>75</v>
      </c>
      <c r="R4622" t="str">
        <f>"7191034"</f>
        <v>7191034</v>
      </c>
      <c r="S4622" t="s">
        <v>1343</v>
      </c>
      <c r="T4622" t="s">
        <v>1341</v>
      </c>
      <c r="U4622" t="s">
        <v>1342</v>
      </c>
      <c r="V4622" t="s">
        <v>1270</v>
      </c>
      <c r="W4622" t="s">
        <v>44</v>
      </c>
      <c r="X4622" t="s">
        <v>45</v>
      </c>
      <c r="Y4622" s="1">
        <v>32188</v>
      </c>
      <c r="Z4622">
        <v>1</v>
      </c>
      <c r="AA4622" t="s">
        <v>1342</v>
      </c>
      <c r="AB4622" s="40" t="s">
        <v>1799</v>
      </c>
    </row>
    <row r="4623" spans="1:28" x14ac:dyDescent="0.25">
      <c r="A4623">
        <v>99914622</v>
      </c>
      <c r="B4623" t="s">
        <v>32</v>
      </c>
      <c r="C4623" t="s">
        <v>111</v>
      </c>
      <c r="D4623" t="s">
        <v>112</v>
      </c>
      <c r="G4623" t="s">
        <v>88</v>
      </c>
      <c r="H4623">
        <v>4</v>
      </c>
      <c r="I4623" t="s">
        <v>459</v>
      </c>
      <c r="J4623" s="1">
        <v>40787</v>
      </c>
      <c r="K4623" t="s">
        <v>195</v>
      </c>
      <c r="L4623" t="s">
        <v>196</v>
      </c>
      <c r="M4623" t="s">
        <v>131</v>
      </c>
      <c r="N4623">
        <v>24</v>
      </c>
      <c r="O4623" s="1">
        <v>40787</v>
      </c>
      <c r="P4623" t="s">
        <v>41</v>
      </c>
      <c r="Q4623" t="s">
        <v>75</v>
      </c>
      <c r="R4623" t="str">
        <f>"7521050"</f>
        <v>7521050</v>
      </c>
      <c r="S4623" t="s">
        <v>194</v>
      </c>
      <c r="T4623" t="s">
        <v>195</v>
      </c>
      <c r="U4623" t="s">
        <v>196</v>
      </c>
      <c r="V4623" t="s">
        <v>131</v>
      </c>
      <c r="W4623" t="s">
        <v>51</v>
      </c>
      <c r="X4623" t="s">
        <v>45</v>
      </c>
      <c r="Y4623" s="1">
        <v>32163</v>
      </c>
      <c r="Z4623">
        <v>1</v>
      </c>
      <c r="AA4623" t="s">
        <v>196</v>
      </c>
      <c r="AB4623" s="40" t="s">
        <v>1799</v>
      </c>
    </row>
    <row r="4624" spans="1:28" x14ac:dyDescent="0.25">
      <c r="A4624">
        <v>99914623</v>
      </c>
      <c r="B4624" t="s">
        <v>32</v>
      </c>
      <c r="C4624" t="s">
        <v>111</v>
      </c>
      <c r="D4624" t="s">
        <v>112</v>
      </c>
      <c r="G4624" t="s">
        <v>88</v>
      </c>
      <c r="H4624">
        <v>3</v>
      </c>
      <c r="I4624" t="s">
        <v>214</v>
      </c>
      <c r="J4624" s="1">
        <v>41153</v>
      </c>
      <c r="K4624" t="s">
        <v>431</v>
      </c>
      <c r="L4624" t="s">
        <v>196</v>
      </c>
      <c r="M4624" t="s">
        <v>131</v>
      </c>
      <c r="N4624">
        <v>24</v>
      </c>
      <c r="O4624" s="1">
        <v>41153</v>
      </c>
      <c r="P4624" t="s">
        <v>41</v>
      </c>
      <c r="Q4624" t="s">
        <v>75</v>
      </c>
      <c r="R4624" t="str">
        <f>"7521022"</f>
        <v>7521022</v>
      </c>
      <c r="S4624" t="s">
        <v>445</v>
      </c>
      <c r="T4624" t="s">
        <v>431</v>
      </c>
      <c r="U4624" t="s">
        <v>196</v>
      </c>
      <c r="V4624" t="s">
        <v>131</v>
      </c>
      <c r="W4624" t="s">
        <v>51</v>
      </c>
      <c r="X4624" t="s">
        <v>45</v>
      </c>
      <c r="Y4624" s="1">
        <v>32158</v>
      </c>
      <c r="Z4624">
        <v>1</v>
      </c>
      <c r="AA4624" t="s">
        <v>196</v>
      </c>
      <c r="AB4624" s="40" t="s">
        <v>1799</v>
      </c>
    </row>
    <row r="4625" spans="1:28" x14ac:dyDescent="0.25">
      <c r="A4625">
        <v>99914624</v>
      </c>
      <c r="B4625" t="s">
        <v>32</v>
      </c>
      <c r="C4625" t="s">
        <v>111</v>
      </c>
      <c r="D4625" t="s">
        <v>112</v>
      </c>
      <c r="G4625" t="s">
        <v>35</v>
      </c>
      <c r="H4625">
        <v>1</v>
      </c>
      <c r="I4625" t="s">
        <v>417</v>
      </c>
      <c r="J4625" s="1">
        <v>41729</v>
      </c>
      <c r="K4625" t="s">
        <v>154</v>
      </c>
      <c r="L4625" t="s">
        <v>155</v>
      </c>
      <c r="M4625" t="s">
        <v>131</v>
      </c>
      <c r="N4625">
        <v>24</v>
      </c>
      <c r="O4625" s="1">
        <v>41729</v>
      </c>
      <c r="P4625" t="s">
        <v>41</v>
      </c>
      <c r="Q4625" t="s">
        <v>75</v>
      </c>
      <c r="R4625" t="str">
        <f>"7051014"</f>
        <v>7051014</v>
      </c>
      <c r="S4625" t="s">
        <v>398</v>
      </c>
      <c r="T4625" t="s">
        <v>154</v>
      </c>
      <c r="U4625" t="s">
        <v>155</v>
      </c>
      <c r="V4625" t="s">
        <v>131</v>
      </c>
      <c r="W4625" t="s">
        <v>165</v>
      </c>
      <c r="X4625" t="s">
        <v>45</v>
      </c>
      <c r="Y4625" s="1">
        <v>32143</v>
      </c>
      <c r="Z4625">
        <v>1</v>
      </c>
      <c r="AA4625" t="s">
        <v>155</v>
      </c>
      <c r="AB4625" s="40" t="s">
        <v>1799</v>
      </c>
    </row>
    <row r="4626" spans="1:28" x14ac:dyDescent="0.25">
      <c r="A4626">
        <v>99914625</v>
      </c>
      <c r="B4626" t="s">
        <v>32</v>
      </c>
      <c r="C4626" t="s">
        <v>111</v>
      </c>
      <c r="D4626" t="s">
        <v>112</v>
      </c>
      <c r="G4626" t="s">
        <v>35</v>
      </c>
      <c r="H4626">
        <v>1</v>
      </c>
      <c r="K4626" t="s">
        <v>154</v>
      </c>
      <c r="L4626" t="s">
        <v>155</v>
      </c>
      <c r="M4626" t="s">
        <v>131</v>
      </c>
      <c r="N4626">
        <v>24</v>
      </c>
      <c r="P4626" t="s">
        <v>41</v>
      </c>
      <c r="Q4626" t="s">
        <v>75</v>
      </c>
      <c r="R4626" t="str">
        <f>"7051014"</f>
        <v>7051014</v>
      </c>
      <c r="S4626" t="s">
        <v>398</v>
      </c>
      <c r="T4626" t="s">
        <v>154</v>
      </c>
      <c r="U4626" t="s">
        <v>155</v>
      </c>
      <c r="V4626" t="s">
        <v>131</v>
      </c>
      <c r="W4626" t="s">
        <v>165</v>
      </c>
      <c r="X4626" t="s">
        <v>45</v>
      </c>
      <c r="Y4626" s="1">
        <v>32143</v>
      </c>
      <c r="Z4626">
        <v>1</v>
      </c>
      <c r="AA4626" t="s">
        <v>155</v>
      </c>
      <c r="AB4626" s="40" t="s">
        <v>1799</v>
      </c>
    </row>
    <row r="4627" spans="1:28" x14ac:dyDescent="0.25">
      <c r="A4627">
        <v>99914626</v>
      </c>
      <c r="B4627" t="s">
        <v>32</v>
      </c>
      <c r="C4627" t="s">
        <v>111</v>
      </c>
      <c r="D4627" t="s">
        <v>112</v>
      </c>
      <c r="G4627" t="s">
        <v>48</v>
      </c>
      <c r="H4627">
        <v>1</v>
      </c>
      <c r="K4627" t="s">
        <v>431</v>
      </c>
      <c r="L4627" t="s">
        <v>196</v>
      </c>
      <c r="M4627" t="s">
        <v>131</v>
      </c>
      <c r="N4627">
        <v>24</v>
      </c>
      <c r="P4627" t="s">
        <v>41</v>
      </c>
      <c r="Q4627" t="s">
        <v>75</v>
      </c>
      <c r="R4627" t="str">
        <f>"7521016"</f>
        <v>7521016</v>
      </c>
      <c r="S4627" t="s">
        <v>448</v>
      </c>
      <c r="T4627" t="s">
        <v>431</v>
      </c>
      <c r="U4627" t="s">
        <v>196</v>
      </c>
      <c r="V4627" t="s">
        <v>131</v>
      </c>
      <c r="W4627" t="s">
        <v>51</v>
      </c>
      <c r="X4627" t="s">
        <v>45</v>
      </c>
      <c r="Y4627" s="1">
        <v>32143</v>
      </c>
      <c r="Z4627">
        <v>1</v>
      </c>
      <c r="AA4627" t="s">
        <v>196</v>
      </c>
      <c r="AB4627" s="40" t="s">
        <v>1799</v>
      </c>
    </row>
    <row r="4628" spans="1:28" x14ac:dyDescent="0.25">
      <c r="A4628">
        <v>99914627</v>
      </c>
      <c r="B4628" t="s">
        <v>56</v>
      </c>
      <c r="C4628" t="s">
        <v>111</v>
      </c>
      <c r="D4628" t="s">
        <v>112</v>
      </c>
      <c r="G4628" t="s">
        <v>48</v>
      </c>
      <c r="H4628">
        <v>1</v>
      </c>
      <c r="I4628" t="s">
        <v>532</v>
      </c>
      <c r="J4628" s="1">
        <v>41961</v>
      </c>
      <c r="K4628" t="s">
        <v>431</v>
      </c>
      <c r="L4628" t="s">
        <v>196</v>
      </c>
      <c r="M4628" t="s">
        <v>131</v>
      </c>
      <c r="N4628">
        <v>24</v>
      </c>
      <c r="O4628" s="1">
        <v>41961</v>
      </c>
      <c r="P4628" t="s">
        <v>41</v>
      </c>
      <c r="Q4628" t="s">
        <v>75</v>
      </c>
      <c r="R4628" t="str">
        <f>"7521012"</f>
        <v>7521012</v>
      </c>
      <c r="S4628" t="s">
        <v>432</v>
      </c>
      <c r="T4628" t="s">
        <v>431</v>
      </c>
      <c r="U4628" t="s">
        <v>196</v>
      </c>
      <c r="V4628" t="s">
        <v>131</v>
      </c>
      <c r="W4628" t="s">
        <v>51</v>
      </c>
      <c r="X4628" t="s">
        <v>45</v>
      </c>
      <c r="Y4628" s="1">
        <v>32143</v>
      </c>
      <c r="Z4628">
        <v>1</v>
      </c>
      <c r="AA4628" t="s">
        <v>196</v>
      </c>
      <c r="AB4628" s="40" t="s">
        <v>1799</v>
      </c>
    </row>
    <row r="4629" spans="1:28" x14ac:dyDescent="0.25">
      <c r="A4629">
        <v>99914628</v>
      </c>
      <c r="B4629" t="s">
        <v>32</v>
      </c>
      <c r="C4629" t="s">
        <v>111</v>
      </c>
      <c r="D4629" t="s">
        <v>112</v>
      </c>
      <c r="G4629" t="s">
        <v>35</v>
      </c>
      <c r="H4629">
        <v>1</v>
      </c>
      <c r="K4629" t="s">
        <v>431</v>
      </c>
      <c r="L4629" t="s">
        <v>196</v>
      </c>
      <c r="M4629" t="s">
        <v>131</v>
      </c>
      <c r="N4629">
        <v>24</v>
      </c>
      <c r="P4629" t="s">
        <v>41</v>
      </c>
      <c r="Q4629" t="s">
        <v>75</v>
      </c>
      <c r="R4629" t="str">
        <f>"7521056"</f>
        <v>7521056</v>
      </c>
      <c r="S4629" t="s">
        <v>437</v>
      </c>
      <c r="T4629" t="s">
        <v>431</v>
      </c>
      <c r="U4629" t="s">
        <v>196</v>
      </c>
      <c r="V4629" t="s">
        <v>131</v>
      </c>
      <c r="W4629" t="s">
        <v>51</v>
      </c>
      <c r="X4629" t="s">
        <v>45</v>
      </c>
      <c r="Y4629" s="1">
        <v>32143</v>
      </c>
      <c r="Z4629">
        <v>1</v>
      </c>
      <c r="AA4629" t="s">
        <v>196</v>
      </c>
      <c r="AB4629" s="40" t="s">
        <v>1799</v>
      </c>
    </row>
    <row r="4630" spans="1:28" x14ac:dyDescent="0.25">
      <c r="A4630">
        <v>99914629</v>
      </c>
      <c r="B4630" t="s">
        <v>32</v>
      </c>
      <c r="C4630" t="s">
        <v>111</v>
      </c>
      <c r="D4630" t="s">
        <v>112</v>
      </c>
      <c r="G4630" t="s">
        <v>48</v>
      </c>
      <c r="H4630">
        <v>1</v>
      </c>
      <c r="K4630" t="s">
        <v>431</v>
      </c>
      <c r="L4630" t="s">
        <v>196</v>
      </c>
      <c r="M4630" t="s">
        <v>131</v>
      </c>
      <c r="N4630">
        <v>24</v>
      </c>
      <c r="P4630" t="s">
        <v>41</v>
      </c>
      <c r="Q4630" t="s">
        <v>75</v>
      </c>
      <c r="R4630" t="str">
        <f>"7521056"</f>
        <v>7521056</v>
      </c>
      <c r="S4630" t="s">
        <v>437</v>
      </c>
      <c r="T4630" t="s">
        <v>431</v>
      </c>
      <c r="U4630" t="s">
        <v>196</v>
      </c>
      <c r="V4630" t="s">
        <v>131</v>
      </c>
      <c r="W4630" t="s">
        <v>51</v>
      </c>
      <c r="X4630" t="s">
        <v>45</v>
      </c>
      <c r="Y4630" s="1">
        <v>32143</v>
      </c>
      <c r="Z4630">
        <v>1</v>
      </c>
      <c r="AA4630" t="s">
        <v>196</v>
      </c>
      <c r="AB4630" s="40" t="s">
        <v>1799</v>
      </c>
    </row>
    <row r="4631" spans="1:28" x14ac:dyDescent="0.25">
      <c r="A4631">
        <v>99914630</v>
      </c>
      <c r="B4631" t="s">
        <v>32</v>
      </c>
      <c r="C4631" t="s">
        <v>111</v>
      </c>
      <c r="D4631" t="s">
        <v>112</v>
      </c>
      <c r="G4631" t="s">
        <v>48</v>
      </c>
      <c r="H4631">
        <v>1</v>
      </c>
      <c r="K4631" t="s">
        <v>268</v>
      </c>
      <c r="L4631" t="s">
        <v>269</v>
      </c>
      <c r="M4631" t="s">
        <v>131</v>
      </c>
      <c r="N4631">
        <v>24</v>
      </c>
      <c r="P4631" t="s">
        <v>41</v>
      </c>
      <c r="Q4631" t="s">
        <v>75</v>
      </c>
      <c r="R4631" t="str">
        <f>"7052042"</f>
        <v>7052042</v>
      </c>
      <c r="S4631" t="s">
        <v>583</v>
      </c>
      <c r="T4631" t="s">
        <v>268</v>
      </c>
      <c r="U4631" t="s">
        <v>269</v>
      </c>
      <c r="V4631" t="s">
        <v>131</v>
      </c>
      <c r="W4631" t="s">
        <v>51</v>
      </c>
      <c r="X4631" t="s">
        <v>45</v>
      </c>
      <c r="Y4631" s="1">
        <v>32143</v>
      </c>
      <c r="Z4631">
        <v>1</v>
      </c>
      <c r="AA4631" t="s">
        <v>269</v>
      </c>
      <c r="AB4631" s="40" t="s">
        <v>1799</v>
      </c>
    </row>
    <row r="4632" spans="1:28" x14ac:dyDescent="0.25">
      <c r="A4632">
        <v>99914631</v>
      </c>
      <c r="B4632" t="s">
        <v>32</v>
      </c>
      <c r="C4632" t="s">
        <v>111</v>
      </c>
      <c r="D4632" t="s">
        <v>112</v>
      </c>
      <c r="G4632" t="s">
        <v>48</v>
      </c>
      <c r="H4632">
        <v>1</v>
      </c>
      <c r="K4632" t="s">
        <v>268</v>
      </c>
      <c r="L4632" t="s">
        <v>269</v>
      </c>
      <c r="M4632" t="s">
        <v>131</v>
      </c>
      <c r="N4632">
        <v>24</v>
      </c>
      <c r="P4632" t="s">
        <v>41</v>
      </c>
      <c r="Q4632" t="s">
        <v>75</v>
      </c>
      <c r="R4632" t="str">
        <f>"7052016"</f>
        <v>7052016</v>
      </c>
      <c r="S4632" t="s">
        <v>588</v>
      </c>
      <c r="T4632" t="s">
        <v>268</v>
      </c>
      <c r="U4632" t="s">
        <v>269</v>
      </c>
      <c r="V4632" t="s">
        <v>131</v>
      </c>
      <c r="W4632" t="s">
        <v>51</v>
      </c>
      <c r="X4632" t="s">
        <v>45</v>
      </c>
      <c r="Y4632" s="1">
        <v>32143</v>
      </c>
      <c r="Z4632">
        <v>1</v>
      </c>
      <c r="AA4632" t="s">
        <v>269</v>
      </c>
      <c r="AB4632" s="40" t="s">
        <v>1799</v>
      </c>
    </row>
    <row r="4633" spans="1:28" x14ac:dyDescent="0.25">
      <c r="A4633">
        <v>99914632</v>
      </c>
      <c r="B4633" t="s">
        <v>32</v>
      </c>
      <c r="C4633" t="s">
        <v>111</v>
      </c>
      <c r="D4633" t="s">
        <v>112</v>
      </c>
      <c r="G4633" t="s">
        <v>48</v>
      </c>
      <c r="H4633">
        <v>1</v>
      </c>
      <c r="K4633" t="s">
        <v>268</v>
      </c>
      <c r="L4633" t="s">
        <v>269</v>
      </c>
      <c r="M4633" t="s">
        <v>131</v>
      </c>
      <c r="N4633">
        <v>24</v>
      </c>
      <c r="P4633" t="s">
        <v>41</v>
      </c>
      <c r="Q4633" t="s">
        <v>75</v>
      </c>
      <c r="R4633" t="str">
        <f>"7052044"</f>
        <v>7052044</v>
      </c>
      <c r="S4633" t="s">
        <v>589</v>
      </c>
      <c r="T4633" t="s">
        <v>268</v>
      </c>
      <c r="U4633" t="s">
        <v>269</v>
      </c>
      <c r="V4633" t="s">
        <v>131</v>
      </c>
      <c r="W4633" t="s">
        <v>51</v>
      </c>
      <c r="X4633" t="s">
        <v>45</v>
      </c>
      <c r="Y4633" s="1">
        <v>32143</v>
      </c>
      <c r="Z4633">
        <v>1</v>
      </c>
      <c r="AA4633" t="s">
        <v>269</v>
      </c>
      <c r="AB4633" s="40" t="s">
        <v>1799</v>
      </c>
    </row>
    <row r="4634" spans="1:28" x14ac:dyDescent="0.25">
      <c r="A4634">
        <v>99914633</v>
      </c>
      <c r="B4634" t="s">
        <v>32</v>
      </c>
      <c r="C4634" t="s">
        <v>111</v>
      </c>
      <c r="D4634" t="s">
        <v>112</v>
      </c>
      <c r="G4634" t="s">
        <v>35</v>
      </c>
      <c r="H4634">
        <v>1</v>
      </c>
      <c r="I4634" t="s">
        <v>691</v>
      </c>
      <c r="J4634" s="1">
        <v>43344</v>
      </c>
      <c r="K4634" t="s">
        <v>268</v>
      </c>
      <c r="L4634" t="s">
        <v>269</v>
      </c>
      <c r="M4634" t="s">
        <v>131</v>
      </c>
      <c r="N4634">
        <v>24</v>
      </c>
      <c r="O4634" s="1">
        <v>43344</v>
      </c>
      <c r="P4634" t="s">
        <v>41</v>
      </c>
      <c r="Q4634" t="s">
        <v>75</v>
      </c>
      <c r="R4634" t="str">
        <f>"7052020"</f>
        <v>7052020</v>
      </c>
      <c r="S4634" t="s">
        <v>267</v>
      </c>
      <c r="T4634" t="s">
        <v>268</v>
      </c>
      <c r="U4634" t="s">
        <v>269</v>
      </c>
      <c r="V4634" t="s">
        <v>131</v>
      </c>
      <c r="W4634" t="s">
        <v>51</v>
      </c>
      <c r="X4634" t="s">
        <v>45</v>
      </c>
      <c r="Y4634" s="1">
        <v>32143</v>
      </c>
      <c r="Z4634">
        <v>1</v>
      </c>
      <c r="AA4634" t="s">
        <v>269</v>
      </c>
      <c r="AB4634" s="40" t="s">
        <v>1799</v>
      </c>
    </row>
    <row r="4635" spans="1:28" x14ac:dyDescent="0.25">
      <c r="A4635">
        <v>99914634</v>
      </c>
      <c r="B4635" t="s">
        <v>32</v>
      </c>
      <c r="C4635" t="s">
        <v>111</v>
      </c>
      <c r="D4635" t="s">
        <v>112</v>
      </c>
      <c r="G4635" t="s">
        <v>48</v>
      </c>
      <c r="H4635">
        <v>1</v>
      </c>
      <c r="K4635" t="s">
        <v>268</v>
      </c>
      <c r="L4635" t="s">
        <v>269</v>
      </c>
      <c r="M4635" t="s">
        <v>131</v>
      </c>
      <c r="N4635">
        <v>24</v>
      </c>
      <c r="P4635" t="s">
        <v>41</v>
      </c>
      <c r="Q4635" t="s">
        <v>75</v>
      </c>
      <c r="R4635" t="str">
        <f>"7052044"</f>
        <v>7052044</v>
      </c>
      <c r="S4635" t="s">
        <v>589</v>
      </c>
      <c r="T4635" t="s">
        <v>268</v>
      </c>
      <c r="U4635" t="s">
        <v>269</v>
      </c>
      <c r="V4635" t="s">
        <v>131</v>
      </c>
      <c r="W4635" t="s">
        <v>51</v>
      </c>
      <c r="X4635" t="s">
        <v>45</v>
      </c>
      <c r="Y4635" s="1">
        <v>32143</v>
      </c>
      <c r="Z4635">
        <v>1</v>
      </c>
      <c r="AA4635" t="s">
        <v>269</v>
      </c>
      <c r="AB4635" s="40" t="s">
        <v>1799</v>
      </c>
    </row>
    <row r="4636" spans="1:28" x14ac:dyDescent="0.25">
      <c r="A4636">
        <v>99914635</v>
      </c>
      <c r="B4636" t="s">
        <v>32</v>
      </c>
      <c r="C4636" t="s">
        <v>111</v>
      </c>
      <c r="D4636" t="s">
        <v>112</v>
      </c>
      <c r="G4636" t="s">
        <v>48</v>
      </c>
      <c r="H4636">
        <v>1</v>
      </c>
      <c r="K4636" t="s">
        <v>268</v>
      </c>
      <c r="L4636" t="s">
        <v>269</v>
      </c>
      <c r="M4636" t="s">
        <v>131</v>
      </c>
      <c r="N4636">
        <v>24</v>
      </c>
      <c r="P4636" t="s">
        <v>41</v>
      </c>
      <c r="Q4636" t="s">
        <v>75</v>
      </c>
      <c r="R4636" t="str">
        <f>"7052040"</f>
        <v>7052040</v>
      </c>
      <c r="S4636" t="s">
        <v>591</v>
      </c>
      <c r="T4636" t="s">
        <v>268</v>
      </c>
      <c r="U4636" t="s">
        <v>269</v>
      </c>
      <c r="V4636" t="s">
        <v>131</v>
      </c>
      <c r="W4636" t="s">
        <v>51</v>
      </c>
      <c r="X4636" t="s">
        <v>45</v>
      </c>
      <c r="Y4636" s="1">
        <v>32143</v>
      </c>
      <c r="Z4636">
        <v>1</v>
      </c>
      <c r="AA4636" t="s">
        <v>269</v>
      </c>
      <c r="AB4636" s="40" t="s">
        <v>1799</v>
      </c>
    </row>
    <row r="4637" spans="1:28" x14ac:dyDescent="0.25">
      <c r="A4637">
        <v>99914636</v>
      </c>
      <c r="B4637" t="s">
        <v>32</v>
      </c>
      <c r="C4637" t="s">
        <v>111</v>
      </c>
      <c r="D4637" t="s">
        <v>112</v>
      </c>
      <c r="G4637" t="s">
        <v>35</v>
      </c>
      <c r="H4637">
        <v>1</v>
      </c>
      <c r="I4637" t="s">
        <v>286</v>
      </c>
      <c r="J4637" s="1">
        <v>43344</v>
      </c>
      <c r="K4637" t="s">
        <v>268</v>
      </c>
      <c r="L4637" t="s">
        <v>269</v>
      </c>
      <c r="M4637" t="s">
        <v>131</v>
      </c>
      <c r="N4637">
        <v>24</v>
      </c>
      <c r="O4637" s="1">
        <v>43344</v>
      </c>
      <c r="P4637" t="s">
        <v>41</v>
      </c>
      <c r="Q4637" t="s">
        <v>75</v>
      </c>
      <c r="R4637" t="str">
        <f>"7052012"</f>
        <v>7052012</v>
      </c>
      <c r="S4637" t="s">
        <v>270</v>
      </c>
      <c r="T4637" t="s">
        <v>268</v>
      </c>
      <c r="U4637" t="s">
        <v>269</v>
      </c>
      <c r="V4637" t="s">
        <v>131</v>
      </c>
      <c r="W4637" t="s">
        <v>51</v>
      </c>
      <c r="X4637" t="s">
        <v>45</v>
      </c>
      <c r="Y4637" s="1">
        <v>32143</v>
      </c>
      <c r="Z4637">
        <v>1</v>
      </c>
      <c r="AA4637" t="s">
        <v>269</v>
      </c>
      <c r="AB4637" s="40" t="s">
        <v>1799</v>
      </c>
    </row>
    <row r="4638" spans="1:28" x14ac:dyDescent="0.25">
      <c r="A4638">
        <v>99914637</v>
      </c>
      <c r="B4638" t="s">
        <v>32</v>
      </c>
      <c r="C4638" t="s">
        <v>111</v>
      </c>
      <c r="D4638" t="s">
        <v>112</v>
      </c>
      <c r="G4638" t="s">
        <v>48</v>
      </c>
      <c r="H4638">
        <v>1</v>
      </c>
      <c r="K4638" t="s">
        <v>407</v>
      </c>
      <c r="L4638" t="s">
        <v>409</v>
      </c>
      <c r="M4638" t="s">
        <v>131</v>
      </c>
      <c r="N4638">
        <v>24</v>
      </c>
      <c r="P4638" t="s">
        <v>41</v>
      </c>
      <c r="Q4638" t="s">
        <v>75</v>
      </c>
      <c r="R4638" t="str">
        <f>"7053000"</f>
        <v>7053000</v>
      </c>
      <c r="S4638" t="s">
        <v>754</v>
      </c>
      <c r="T4638" t="s">
        <v>407</v>
      </c>
      <c r="U4638" t="s">
        <v>409</v>
      </c>
      <c r="V4638" t="s">
        <v>131</v>
      </c>
      <c r="W4638" t="s">
        <v>51</v>
      </c>
      <c r="X4638" t="s">
        <v>45</v>
      </c>
      <c r="Y4638" s="1">
        <v>32143</v>
      </c>
      <c r="Z4638">
        <v>1</v>
      </c>
      <c r="AA4638" t="s">
        <v>409</v>
      </c>
      <c r="AB4638" s="40" t="s">
        <v>1799</v>
      </c>
    </row>
    <row r="4639" spans="1:28" x14ac:dyDescent="0.25">
      <c r="A4639">
        <v>99914638</v>
      </c>
      <c r="B4639" t="s">
        <v>32</v>
      </c>
      <c r="C4639" t="s">
        <v>111</v>
      </c>
      <c r="D4639" t="s">
        <v>112</v>
      </c>
      <c r="G4639" t="s">
        <v>48</v>
      </c>
      <c r="H4639">
        <v>1</v>
      </c>
      <c r="K4639" t="s">
        <v>407</v>
      </c>
      <c r="L4639" t="s">
        <v>409</v>
      </c>
      <c r="M4639" t="s">
        <v>131</v>
      </c>
      <c r="N4639">
        <v>24</v>
      </c>
      <c r="P4639" t="s">
        <v>41</v>
      </c>
      <c r="Q4639" t="s">
        <v>75</v>
      </c>
      <c r="R4639" t="str">
        <f>"7053000"</f>
        <v>7053000</v>
      </c>
      <c r="S4639" t="s">
        <v>754</v>
      </c>
      <c r="T4639" t="s">
        <v>407</v>
      </c>
      <c r="U4639" t="s">
        <v>409</v>
      </c>
      <c r="V4639" t="s">
        <v>131</v>
      </c>
      <c r="W4639" t="s">
        <v>51</v>
      </c>
      <c r="X4639" t="s">
        <v>45</v>
      </c>
      <c r="Y4639" s="1">
        <v>32143</v>
      </c>
      <c r="Z4639">
        <v>1</v>
      </c>
      <c r="AA4639" t="s">
        <v>409</v>
      </c>
      <c r="AB4639" s="40" t="s">
        <v>1799</v>
      </c>
    </row>
    <row r="4640" spans="1:28" x14ac:dyDescent="0.25">
      <c r="A4640">
        <v>99914639</v>
      </c>
      <c r="B4640" t="s">
        <v>32</v>
      </c>
      <c r="C4640" t="s">
        <v>111</v>
      </c>
      <c r="D4640" t="s">
        <v>112</v>
      </c>
      <c r="G4640" t="s">
        <v>88</v>
      </c>
      <c r="H4640">
        <v>3</v>
      </c>
      <c r="I4640" t="s">
        <v>779</v>
      </c>
      <c r="J4640" s="1">
        <v>43344</v>
      </c>
      <c r="K4640" t="s">
        <v>354</v>
      </c>
      <c r="L4640" t="s">
        <v>355</v>
      </c>
      <c r="M4640" t="s">
        <v>131</v>
      </c>
      <c r="N4640">
        <v>24</v>
      </c>
      <c r="O4640" s="1">
        <v>43344</v>
      </c>
      <c r="P4640" t="s">
        <v>41</v>
      </c>
      <c r="Q4640" t="s">
        <v>75</v>
      </c>
      <c r="R4640" t="str">
        <f>"7054012"</f>
        <v>7054012</v>
      </c>
      <c r="S4640" t="s">
        <v>353</v>
      </c>
      <c r="T4640" t="s">
        <v>354</v>
      </c>
      <c r="U4640" t="s">
        <v>355</v>
      </c>
      <c r="V4640" t="s">
        <v>131</v>
      </c>
      <c r="W4640" t="s">
        <v>51</v>
      </c>
      <c r="X4640" t="s">
        <v>45</v>
      </c>
      <c r="Y4640" s="1">
        <v>32143</v>
      </c>
      <c r="Z4640">
        <v>1</v>
      </c>
      <c r="AA4640" t="s">
        <v>355</v>
      </c>
      <c r="AB4640" s="40" t="s">
        <v>1799</v>
      </c>
    </row>
    <row r="4641" spans="1:28" x14ac:dyDescent="0.25">
      <c r="A4641">
        <v>99914640</v>
      </c>
      <c r="B4641" t="s">
        <v>32</v>
      </c>
      <c r="C4641" t="s">
        <v>111</v>
      </c>
      <c r="D4641" t="s">
        <v>112</v>
      </c>
      <c r="G4641" t="s">
        <v>35</v>
      </c>
      <c r="H4641">
        <v>1</v>
      </c>
      <c r="I4641" t="s">
        <v>779</v>
      </c>
      <c r="J4641" s="1">
        <v>43344</v>
      </c>
      <c r="K4641" t="s">
        <v>354</v>
      </c>
      <c r="L4641" t="s">
        <v>355</v>
      </c>
      <c r="M4641" t="s">
        <v>131</v>
      </c>
      <c r="N4641">
        <v>24</v>
      </c>
      <c r="O4641" s="1">
        <v>43344</v>
      </c>
      <c r="P4641" t="s">
        <v>41</v>
      </c>
      <c r="Q4641" t="s">
        <v>75</v>
      </c>
      <c r="R4641" t="str">
        <f>"7054042"</f>
        <v>7054042</v>
      </c>
      <c r="S4641" t="s">
        <v>776</v>
      </c>
      <c r="T4641" t="s">
        <v>354</v>
      </c>
      <c r="U4641" t="s">
        <v>355</v>
      </c>
      <c r="V4641" t="s">
        <v>131</v>
      </c>
      <c r="W4641" t="s">
        <v>51</v>
      </c>
      <c r="X4641" t="s">
        <v>45</v>
      </c>
      <c r="Y4641" s="1">
        <v>32143</v>
      </c>
      <c r="Z4641">
        <v>1</v>
      </c>
      <c r="AA4641" t="s">
        <v>355</v>
      </c>
      <c r="AB4641" s="40" t="s">
        <v>1799</v>
      </c>
    </row>
    <row r="4642" spans="1:28" x14ac:dyDescent="0.25">
      <c r="A4642">
        <v>99914641</v>
      </c>
      <c r="B4642" t="s">
        <v>32</v>
      </c>
      <c r="C4642" t="s">
        <v>111</v>
      </c>
      <c r="D4642" t="s">
        <v>112</v>
      </c>
      <c r="G4642" t="s">
        <v>35</v>
      </c>
      <c r="H4642">
        <v>1</v>
      </c>
      <c r="I4642" t="s">
        <v>815</v>
      </c>
      <c r="J4642" s="1">
        <v>43344</v>
      </c>
      <c r="K4642" t="s">
        <v>354</v>
      </c>
      <c r="L4642" t="s">
        <v>355</v>
      </c>
      <c r="M4642" t="s">
        <v>131</v>
      </c>
      <c r="N4642">
        <v>24</v>
      </c>
      <c r="O4642" s="1">
        <v>43344</v>
      </c>
      <c r="P4642" t="s">
        <v>41</v>
      </c>
      <c r="Q4642" t="s">
        <v>75</v>
      </c>
      <c r="R4642" t="str">
        <f>"7054024"</f>
        <v>7054024</v>
      </c>
      <c r="S4642" t="s">
        <v>793</v>
      </c>
      <c r="T4642" t="s">
        <v>354</v>
      </c>
      <c r="U4642" t="s">
        <v>355</v>
      </c>
      <c r="V4642" t="s">
        <v>131</v>
      </c>
      <c r="W4642" t="s">
        <v>51</v>
      </c>
      <c r="X4642" t="s">
        <v>45</v>
      </c>
      <c r="Y4642" s="1">
        <v>32143</v>
      </c>
      <c r="Z4642">
        <v>1</v>
      </c>
      <c r="AA4642" t="s">
        <v>355</v>
      </c>
      <c r="AB4642" s="40" t="s">
        <v>1799</v>
      </c>
    </row>
    <row r="4643" spans="1:28" x14ac:dyDescent="0.25">
      <c r="A4643">
        <v>99914642</v>
      </c>
      <c r="B4643" t="s">
        <v>32</v>
      </c>
      <c r="C4643" t="s">
        <v>111</v>
      </c>
      <c r="D4643" t="s">
        <v>112</v>
      </c>
      <c r="G4643" t="s">
        <v>35</v>
      </c>
      <c r="H4643">
        <v>1</v>
      </c>
      <c r="I4643" t="s">
        <v>829</v>
      </c>
      <c r="J4643" s="1">
        <v>43344</v>
      </c>
      <c r="K4643" t="s">
        <v>354</v>
      </c>
      <c r="L4643" t="s">
        <v>355</v>
      </c>
      <c r="M4643" t="s">
        <v>131</v>
      </c>
      <c r="N4643">
        <v>24</v>
      </c>
      <c r="O4643" s="1">
        <v>43344</v>
      </c>
      <c r="P4643" t="s">
        <v>41</v>
      </c>
      <c r="Q4643" t="s">
        <v>75</v>
      </c>
      <c r="R4643" t="str">
        <f>"7054012"</f>
        <v>7054012</v>
      </c>
      <c r="S4643" t="s">
        <v>353</v>
      </c>
      <c r="T4643" t="s">
        <v>354</v>
      </c>
      <c r="U4643" t="s">
        <v>355</v>
      </c>
      <c r="V4643" t="s">
        <v>131</v>
      </c>
      <c r="W4643" t="s">
        <v>51</v>
      </c>
      <c r="X4643" t="s">
        <v>45</v>
      </c>
      <c r="Y4643" s="1">
        <v>32143</v>
      </c>
      <c r="Z4643">
        <v>1</v>
      </c>
      <c r="AA4643" t="s">
        <v>355</v>
      </c>
      <c r="AB4643" s="40" t="s">
        <v>1799</v>
      </c>
    </row>
    <row r="4644" spans="1:28" x14ac:dyDescent="0.25">
      <c r="A4644">
        <v>99914643</v>
      </c>
      <c r="B4644" t="s">
        <v>32</v>
      </c>
      <c r="C4644" t="s">
        <v>111</v>
      </c>
      <c r="D4644" t="s">
        <v>112</v>
      </c>
      <c r="G4644" t="s">
        <v>88</v>
      </c>
      <c r="H4644">
        <v>3</v>
      </c>
      <c r="J4644" s="1">
        <v>43344</v>
      </c>
      <c r="K4644" t="s">
        <v>354</v>
      </c>
      <c r="L4644" t="s">
        <v>355</v>
      </c>
      <c r="M4644" t="s">
        <v>131</v>
      </c>
      <c r="N4644">
        <v>24</v>
      </c>
      <c r="O4644" s="1">
        <v>43344</v>
      </c>
      <c r="P4644" t="s">
        <v>41</v>
      </c>
      <c r="Q4644" t="s">
        <v>75</v>
      </c>
      <c r="R4644" t="str">
        <f>"7054000"</f>
        <v>7054000</v>
      </c>
      <c r="S4644" t="s">
        <v>786</v>
      </c>
      <c r="T4644" t="s">
        <v>354</v>
      </c>
      <c r="U4644" t="s">
        <v>355</v>
      </c>
      <c r="V4644" t="s">
        <v>131</v>
      </c>
      <c r="W4644" t="s">
        <v>51</v>
      </c>
      <c r="X4644" t="s">
        <v>45</v>
      </c>
      <c r="Y4644" s="1">
        <v>32143</v>
      </c>
      <c r="Z4644">
        <v>1</v>
      </c>
      <c r="AA4644" t="s">
        <v>355</v>
      </c>
      <c r="AB4644" s="40" t="s">
        <v>1799</v>
      </c>
    </row>
    <row r="4645" spans="1:28" x14ac:dyDescent="0.25">
      <c r="A4645">
        <v>99914644</v>
      </c>
      <c r="B4645" t="s">
        <v>32</v>
      </c>
      <c r="C4645" t="s">
        <v>111</v>
      </c>
      <c r="D4645" t="s">
        <v>112</v>
      </c>
      <c r="G4645" t="s">
        <v>88</v>
      </c>
      <c r="H4645">
        <v>3</v>
      </c>
      <c r="I4645">
        <v>10934</v>
      </c>
      <c r="J4645" s="1">
        <v>43344</v>
      </c>
      <c r="K4645" t="s">
        <v>354</v>
      </c>
      <c r="L4645" t="s">
        <v>355</v>
      </c>
      <c r="M4645" t="s">
        <v>131</v>
      </c>
      <c r="N4645">
        <v>24</v>
      </c>
      <c r="O4645" s="1">
        <v>43344</v>
      </c>
      <c r="P4645" t="s">
        <v>41</v>
      </c>
      <c r="Q4645" t="s">
        <v>75</v>
      </c>
      <c r="R4645" t="str">
        <f>"7054012"</f>
        <v>7054012</v>
      </c>
      <c r="S4645" t="s">
        <v>353</v>
      </c>
      <c r="T4645" t="s">
        <v>354</v>
      </c>
      <c r="U4645" t="s">
        <v>355</v>
      </c>
      <c r="V4645" t="s">
        <v>131</v>
      </c>
      <c r="W4645" t="s">
        <v>51</v>
      </c>
      <c r="X4645" t="s">
        <v>45</v>
      </c>
      <c r="Y4645" s="1">
        <v>32143</v>
      </c>
      <c r="Z4645">
        <v>1</v>
      </c>
      <c r="AA4645" t="s">
        <v>355</v>
      </c>
      <c r="AB4645" s="40" t="s">
        <v>1799</v>
      </c>
    </row>
    <row r="4646" spans="1:28" x14ac:dyDescent="0.25">
      <c r="A4646">
        <v>99914645</v>
      </c>
      <c r="B4646" t="s">
        <v>32</v>
      </c>
      <c r="C4646" t="s">
        <v>111</v>
      </c>
      <c r="D4646" t="s">
        <v>112</v>
      </c>
      <c r="G4646" t="s">
        <v>88</v>
      </c>
      <c r="H4646">
        <v>3</v>
      </c>
      <c r="J4646" s="1">
        <v>43344</v>
      </c>
      <c r="K4646" t="s">
        <v>354</v>
      </c>
      <c r="L4646" t="s">
        <v>355</v>
      </c>
      <c r="M4646" t="s">
        <v>131</v>
      </c>
      <c r="N4646">
        <v>24</v>
      </c>
      <c r="O4646" s="1">
        <v>43344</v>
      </c>
      <c r="P4646" t="s">
        <v>41</v>
      </c>
      <c r="Q4646" t="s">
        <v>75</v>
      </c>
      <c r="R4646" t="str">
        <f>"7054000"</f>
        <v>7054000</v>
      </c>
      <c r="S4646" t="s">
        <v>786</v>
      </c>
      <c r="T4646" t="s">
        <v>354</v>
      </c>
      <c r="U4646" t="s">
        <v>355</v>
      </c>
      <c r="V4646" t="s">
        <v>131</v>
      </c>
      <c r="W4646" t="s">
        <v>51</v>
      </c>
      <c r="X4646" t="s">
        <v>45</v>
      </c>
      <c r="Y4646" s="1">
        <v>32143</v>
      </c>
      <c r="Z4646">
        <v>1</v>
      </c>
      <c r="AA4646" t="s">
        <v>355</v>
      </c>
      <c r="AB4646" s="40" t="s">
        <v>1799</v>
      </c>
    </row>
    <row r="4647" spans="1:28" x14ac:dyDescent="0.25">
      <c r="A4647">
        <v>99914646</v>
      </c>
      <c r="B4647" t="s">
        <v>32</v>
      </c>
      <c r="C4647" t="s">
        <v>111</v>
      </c>
      <c r="D4647" t="s">
        <v>112</v>
      </c>
      <c r="G4647" t="s">
        <v>35</v>
      </c>
      <c r="H4647">
        <v>1</v>
      </c>
      <c r="I4647">
        <v>10934</v>
      </c>
      <c r="J4647" s="1">
        <v>43344</v>
      </c>
      <c r="K4647" t="s">
        <v>354</v>
      </c>
      <c r="L4647" t="s">
        <v>355</v>
      </c>
      <c r="M4647" t="s">
        <v>131</v>
      </c>
      <c r="N4647">
        <v>24</v>
      </c>
      <c r="O4647" s="1">
        <v>43344</v>
      </c>
      <c r="P4647" t="s">
        <v>41</v>
      </c>
      <c r="Q4647" t="s">
        <v>75</v>
      </c>
      <c r="R4647" t="str">
        <f>"7054024"</f>
        <v>7054024</v>
      </c>
      <c r="S4647" t="s">
        <v>793</v>
      </c>
      <c r="T4647" t="s">
        <v>354</v>
      </c>
      <c r="U4647" t="s">
        <v>355</v>
      </c>
      <c r="V4647" t="s">
        <v>131</v>
      </c>
      <c r="W4647" t="s">
        <v>51</v>
      </c>
      <c r="X4647" t="s">
        <v>45</v>
      </c>
      <c r="Y4647" s="1">
        <v>32143</v>
      </c>
      <c r="Z4647">
        <v>1</v>
      </c>
      <c r="AA4647" t="s">
        <v>355</v>
      </c>
      <c r="AB4647" s="40" t="s">
        <v>1799</v>
      </c>
    </row>
    <row r="4648" spans="1:28" x14ac:dyDescent="0.25">
      <c r="A4648">
        <v>99914647</v>
      </c>
      <c r="B4648" t="s">
        <v>32</v>
      </c>
      <c r="C4648" t="s">
        <v>111</v>
      </c>
      <c r="D4648" t="s">
        <v>112</v>
      </c>
      <c r="G4648" t="s">
        <v>88</v>
      </c>
      <c r="H4648">
        <v>5</v>
      </c>
      <c r="K4648" t="s">
        <v>354</v>
      </c>
      <c r="L4648" t="s">
        <v>355</v>
      </c>
      <c r="M4648" t="s">
        <v>131</v>
      </c>
      <c r="N4648">
        <v>24</v>
      </c>
      <c r="P4648" t="s">
        <v>41</v>
      </c>
      <c r="Q4648" t="s">
        <v>75</v>
      </c>
      <c r="R4648" t="str">
        <f>"7054002"</f>
        <v>7054002</v>
      </c>
      <c r="S4648" t="s">
        <v>376</v>
      </c>
      <c r="T4648" t="s">
        <v>354</v>
      </c>
      <c r="U4648" t="s">
        <v>355</v>
      </c>
      <c r="V4648" t="s">
        <v>131</v>
      </c>
      <c r="W4648" t="s">
        <v>51</v>
      </c>
      <c r="X4648" t="s">
        <v>45</v>
      </c>
      <c r="Y4648" s="1">
        <v>32143</v>
      </c>
      <c r="Z4648">
        <v>1</v>
      </c>
      <c r="AA4648" t="s">
        <v>355</v>
      </c>
      <c r="AB4648" s="40" t="s">
        <v>1799</v>
      </c>
    </row>
    <row r="4649" spans="1:28" x14ac:dyDescent="0.25">
      <c r="A4649">
        <v>99914648</v>
      </c>
      <c r="B4649" t="s">
        <v>32</v>
      </c>
      <c r="C4649" t="s">
        <v>111</v>
      </c>
      <c r="D4649" t="s">
        <v>112</v>
      </c>
      <c r="G4649" t="s">
        <v>35</v>
      </c>
      <c r="H4649">
        <v>1</v>
      </c>
      <c r="K4649" t="s">
        <v>877</v>
      </c>
      <c r="L4649" t="s">
        <v>878</v>
      </c>
      <c r="M4649" t="s">
        <v>131</v>
      </c>
      <c r="N4649">
        <v>24</v>
      </c>
      <c r="P4649" t="s">
        <v>41</v>
      </c>
      <c r="Q4649" t="s">
        <v>75</v>
      </c>
      <c r="R4649" t="str">
        <f>"7700025"</f>
        <v>7700025</v>
      </c>
      <c r="S4649" t="s">
        <v>880</v>
      </c>
      <c r="T4649" t="s">
        <v>877</v>
      </c>
      <c r="U4649" t="s">
        <v>878</v>
      </c>
      <c r="V4649" t="s">
        <v>131</v>
      </c>
      <c r="W4649" t="s">
        <v>51</v>
      </c>
      <c r="X4649" t="s">
        <v>45</v>
      </c>
      <c r="Y4649" s="1">
        <v>32143</v>
      </c>
      <c r="Z4649">
        <v>1</v>
      </c>
      <c r="AA4649" t="s">
        <v>878</v>
      </c>
      <c r="AB4649" s="40" t="s">
        <v>1799</v>
      </c>
    </row>
    <row r="4650" spans="1:28" x14ac:dyDescent="0.25">
      <c r="A4650">
        <v>99914649</v>
      </c>
      <c r="B4650" t="s">
        <v>32</v>
      </c>
      <c r="C4650" t="s">
        <v>111</v>
      </c>
      <c r="D4650" t="s">
        <v>112</v>
      </c>
      <c r="G4650" t="s">
        <v>35</v>
      </c>
      <c r="H4650">
        <v>1</v>
      </c>
      <c r="K4650" t="s">
        <v>877</v>
      </c>
      <c r="L4650" t="s">
        <v>878</v>
      </c>
      <c r="M4650" t="s">
        <v>131</v>
      </c>
      <c r="N4650">
        <v>24</v>
      </c>
      <c r="P4650" t="s">
        <v>41</v>
      </c>
      <c r="Q4650" t="s">
        <v>75</v>
      </c>
      <c r="R4650" t="str">
        <f>"7541008"</f>
        <v>7541008</v>
      </c>
      <c r="S4650" t="s">
        <v>879</v>
      </c>
      <c r="T4650" t="s">
        <v>877</v>
      </c>
      <c r="U4650" t="s">
        <v>878</v>
      </c>
      <c r="V4650" t="s">
        <v>131</v>
      </c>
      <c r="W4650" t="s">
        <v>51</v>
      </c>
      <c r="X4650" t="s">
        <v>45</v>
      </c>
      <c r="Y4650" s="1">
        <v>32143</v>
      </c>
      <c r="Z4650">
        <v>1</v>
      </c>
      <c r="AA4650" t="s">
        <v>878</v>
      </c>
      <c r="AB4650" s="40" t="s">
        <v>1799</v>
      </c>
    </row>
    <row r="4651" spans="1:28" x14ac:dyDescent="0.25">
      <c r="A4651">
        <v>99914650</v>
      </c>
      <c r="B4651" t="s">
        <v>32</v>
      </c>
      <c r="C4651" t="s">
        <v>111</v>
      </c>
      <c r="D4651" t="s">
        <v>112</v>
      </c>
      <c r="G4651" t="s">
        <v>48</v>
      </c>
      <c r="H4651">
        <v>3</v>
      </c>
      <c r="K4651" t="s">
        <v>877</v>
      </c>
      <c r="L4651" t="s">
        <v>878</v>
      </c>
      <c r="M4651" t="s">
        <v>131</v>
      </c>
      <c r="N4651">
        <v>24</v>
      </c>
      <c r="P4651" t="s">
        <v>41</v>
      </c>
      <c r="Q4651" t="s">
        <v>75</v>
      </c>
      <c r="R4651" t="str">
        <f>"7541004"</f>
        <v>7541004</v>
      </c>
      <c r="S4651" t="s">
        <v>889</v>
      </c>
      <c r="T4651" t="s">
        <v>877</v>
      </c>
      <c r="U4651" t="s">
        <v>878</v>
      </c>
      <c r="V4651" t="s">
        <v>131</v>
      </c>
      <c r="W4651" t="s">
        <v>51</v>
      </c>
      <c r="X4651" t="s">
        <v>45</v>
      </c>
      <c r="Y4651" s="1">
        <v>32143</v>
      </c>
      <c r="Z4651">
        <v>1</v>
      </c>
      <c r="AA4651" t="s">
        <v>878</v>
      </c>
      <c r="AB4651" s="40" t="s">
        <v>1799</v>
      </c>
    </row>
    <row r="4652" spans="1:28" x14ac:dyDescent="0.25">
      <c r="A4652">
        <v>99914651</v>
      </c>
      <c r="B4652" t="s">
        <v>32</v>
      </c>
      <c r="C4652" t="s">
        <v>111</v>
      </c>
      <c r="D4652" t="s">
        <v>112</v>
      </c>
      <c r="G4652" t="s">
        <v>48</v>
      </c>
      <c r="H4652">
        <v>1</v>
      </c>
      <c r="K4652" t="s">
        <v>877</v>
      </c>
      <c r="L4652" t="s">
        <v>878</v>
      </c>
      <c r="M4652" t="s">
        <v>131</v>
      </c>
      <c r="N4652">
        <v>24</v>
      </c>
      <c r="P4652" t="s">
        <v>41</v>
      </c>
      <c r="Q4652" t="s">
        <v>75</v>
      </c>
      <c r="R4652" t="str">
        <f>"7541008"</f>
        <v>7541008</v>
      </c>
      <c r="S4652" t="s">
        <v>879</v>
      </c>
      <c r="T4652" t="s">
        <v>877</v>
      </c>
      <c r="U4652" t="s">
        <v>878</v>
      </c>
      <c r="V4652" t="s">
        <v>131</v>
      </c>
      <c r="W4652" t="s">
        <v>51</v>
      </c>
      <c r="X4652" t="s">
        <v>45</v>
      </c>
      <c r="Y4652" s="1">
        <v>32143</v>
      </c>
      <c r="Z4652">
        <v>1</v>
      </c>
      <c r="AA4652" t="s">
        <v>878</v>
      </c>
      <c r="AB4652" s="40" t="s">
        <v>1799</v>
      </c>
    </row>
    <row r="4653" spans="1:28" x14ac:dyDescent="0.25">
      <c r="A4653">
        <v>99914652</v>
      </c>
      <c r="B4653" t="s">
        <v>32</v>
      </c>
      <c r="C4653" t="s">
        <v>111</v>
      </c>
      <c r="D4653" t="s">
        <v>112</v>
      </c>
      <c r="G4653" t="s">
        <v>48</v>
      </c>
      <c r="H4653">
        <v>1</v>
      </c>
      <c r="K4653" t="s">
        <v>877</v>
      </c>
      <c r="L4653" t="s">
        <v>878</v>
      </c>
      <c r="M4653" t="s">
        <v>131</v>
      </c>
      <c r="N4653">
        <v>24</v>
      </c>
      <c r="P4653" t="s">
        <v>41</v>
      </c>
      <c r="Q4653" t="s">
        <v>75</v>
      </c>
      <c r="R4653" t="str">
        <f>"7541010"</f>
        <v>7541010</v>
      </c>
      <c r="S4653" t="s">
        <v>887</v>
      </c>
      <c r="T4653" t="s">
        <v>877</v>
      </c>
      <c r="U4653" t="s">
        <v>878</v>
      </c>
      <c r="V4653" t="s">
        <v>131</v>
      </c>
      <c r="W4653" t="s">
        <v>51</v>
      </c>
      <c r="X4653" t="s">
        <v>45</v>
      </c>
      <c r="Y4653" s="1">
        <v>32143</v>
      </c>
      <c r="Z4653">
        <v>1</v>
      </c>
      <c r="AA4653" t="s">
        <v>878</v>
      </c>
      <c r="AB4653" s="40" t="s">
        <v>1799</v>
      </c>
    </row>
    <row r="4654" spans="1:28" x14ac:dyDescent="0.25">
      <c r="A4654">
        <v>99914653</v>
      </c>
      <c r="B4654" t="s">
        <v>32</v>
      </c>
      <c r="C4654" t="s">
        <v>111</v>
      </c>
      <c r="D4654" t="s">
        <v>112</v>
      </c>
      <c r="G4654" t="s">
        <v>35</v>
      </c>
      <c r="H4654">
        <v>1</v>
      </c>
      <c r="I4654">
        <v>0</v>
      </c>
      <c r="J4654" s="1">
        <v>43344</v>
      </c>
      <c r="K4654" t="s">
        <v>985</v>
      </c>
      <c r="L4654" t="s">
        <v>986</v>
      </c>
      <c r="M4654" t="s">
        <v>938</v>
      </c>
      <c r="N4654">
        <v>24</v>
      </c>
      <c r="O4654" s="1">
        <v>43344</v>
      </c>
      <c r="P4654" t="s">
        <v>41</v>
      </c>
      <c r="Q4654" t="s">
        <v>75</v>
      </c>
      <c r="R4654" t="str">
        <f>"7011004"</f>
        <v>7011004</v>
      </c>
      <c r="S4654" t="s">
        <v>987</v>
      </c>
      <c r="T4654" t="s">
        <v>985</v>
      </c>
      <c r="U4654" t="s">
        <v>986</v>
      </c>
      <c r="V4654" t="s">
        <v>938</v>
      </c>
      <c r="W4654" t="s">
        <v>51</v>
      </c>
      <c r="X4654" t="s">
        <v>45</v>
      </c>
      <c r="Y4654" s="1">
        <v>32143</v>
      </c>
      <c r="Z4654">
        <v>1</v>
      </c>
      <c r="AA4654" t="s">
        <v>986</v>
      </c>
      <c r="AB4654" s="40" t="s">
        <v>1799</v>
      </c>
    </row>
    <row r="4655" spans="1:28" x14ac:dyDescent="0.25">
      <c r="A4655">
        <v>99914654</v>
      </c>
      <c r="B4655" t="s">
        <v>32</v>
      </c>
      <c r="C4655" t="s">
        <v>111</v>
      </c>
      <c r="D4655" t="s">
        <v>112</v>
      </c>
      <c r="G4655" t="s">
        <v>35</v>
      </c>
      <c r="H4655">
        <v>1</v>
      </c>
      <c r="I4655">
        <v>0</v>
      </c>
      <c r="J4655" s="1">
        <v>43344</v>
      </c>
      <c r="K4655" t="s">
        <v>985</v>
      </c>
      <c r="L4655" t="s">
        <v>986</v>
      </c>
      <c r="M4655" t="s">
        <v>938</v>
      </c>
      <c r="N4655">
        <v>24</v>
      </c>
      <c r="O4655" s="1">
        <v>43344</v>
      </c>
      <c r="P4655" t="s">
        <v>41</v>
      </c>
      <c r="Q4655" t="s">
        <v>75</v>
      </c>
      <c r="R4655" t="str">
        <f>"7011004"</f>
        <v>7011004</v>
      </c>
      <c r="S4655" t="s">
        <v>987</v>
      </c>
      <c r="T4655" t="s">
        <v>985</v>
      </c>
      <c r="U4655" t="s">
        <v>986</v>
      </c>
      <c r="V4655" t="s">
        <v>938</v>
      </c>
      <c r="W4655" t="s">
        <v>51</v>
      </c>
      <c r="X4655" t="s">
        <v>45</v>
      </c>
      <c r="Y4655" s="1">
        <v>32143</v>
      </c>
      <c r="Z4655">
        <v>1</v>
      </c>
      <c r="AA4655" t="s">
        <v>986</v>
      </c>
      <c r="AB4655" s="40" t="s">
        <v>1799</v>
      </c>
    </row>
    <row r="4656" spans="1:28" x14ac:dyDescent="0.25">
      <c r="A4656">
        <v>99914655</v>
      </c>
      <c r="B4656" t="s">
        <v>32</v>
      </c>
      <c r="C4656" t="s">
        <v>111</v>
      </c>
      <c r="D4656" t="s">
        <v>112</v>
      </c>
      <c r="G4656" t="s">
        <v>35</v>
      </c>
      <c r="H4656">
        <v>1</v>
      </c>
      <c r="I4656" t="s">
        <v>1108</v>
      </c>
      <c r="J4656" s="1">
        <v>43344</v>
      </c>
      <c r="K4656" t="s">
        <v>1081</v>
      </c>
      <c r="L4656" t="s">
        <v>1082</v>
      </c>
      <c r="M4656" t="s">
        <v>1053</v>
      </c>
      <c r="N4656">
        <v>24</v>
      </c>
      <c r="O4656" s="1">
        <v>43344</v>
      </c>
      <c r="P4656" t="s">
        <v>41</v>
      </c>
      <c r="Q4656" t="s">
        <v>75</v>
      </c>
      <c r="R4656" t="str">
        <f>"7201006"</f>
        <v>7201006</v>
      </c>
      <c r="S4656" t="s">
        <v>1083</v>
      </c>
      <c r="T4656" t="s">
        <v>1081</v>
      </c>
      <c r="U4656" t="s">
        <v>1082</v>
      </c>
      <c r="V4656" t="s">
        <v>1053</v>
      </c>
      <c r="W4656" t="s">
        <v>51</v>
      </c>
      <c r="X4656" t="s">
        <v>45</v>
      </c>
      <c r="Y4656" s="1">
        <v>32143</v>
      </c>
      <c r="Z4656">
        <v>1</v>
      </c>
      <c r="AA4656" t="s">
        <v>1082</v>
      </c>
      <c r="AB4656" s="40" t="s">
        <v>1799</v>
      </c>
    </row>
    <row r="4657" spans="1:28" x14ac:dyDescent="0.25">
      <c r="A4657">
        <v>99914656</v>
      </c>
      <c r="B4657" t="s">
        <v>32</v>
      </c>
      <c r="C4657" t="s">
        <v>111</v>
      </c>
      <c r="D4657" t="s">
        <v>112</v>
      </c>
      <c r="G4657" t="s">
        <v>35</v>
      </c>
      <c r="H4657">
        <v>1</v>
      </c>
      <c r="I4657" t="s">
        <v>1120</v>
      </c>
      <c r="J4657" s="1">
        <v>43344</v>
      </c>
      <c r="K4657" t="s">
        <v>1081</v>
      </c>
      <c r="L4657" t="s">
        <v>1082</v>
      </c>
      <c r="M4657" t="s">
        <v>1053</v>
      </c>
      <c r="N4657">
        <v>24</v>
      </c>
      <c r="O4657" s="1">
        <v>43344</v>
      </c>
      <c r="P4657" t="s">
        <v>41</v>
      </c>
      <c r="Q4657" t="s">
        <v>75</v>
      </c>
      <c r="R4657" t="str">
        <f>"7201006"</f>
        <v>7201006</v>
      </c>
      <c r="S4657" t="s">
        <v>1083</v>
      </c>
      <c r="T4657" t="s">
        <v>1081</v>
      </c>
      <c r="U4657" t="s">
        <v>1082</v>
      </c>
      <c r="V4657" t="s">
        <v>1053</v>
      </c>
      <c r="W4657" t="s">
        <v>51</v>
      </c>
      <c r="X4657" t="s">
        <v>45</v>
      </c>
      <c r="Y4657" s="1">
        <v>32143</v>
      </c>
      <c r="Z4657">
        <v>1</v>
      </c>
      <c r="AA4657" t="s">
        <v>1082</v>
      </c>
      <c r="AB4657" s="40" t="s">
        <v>1799</v>
      </c>
    </row>
    <row r="4658" spans="1:28" x14ac:dyDescent="0.25">
      <c r="A4658">
        <v>99914657</v>
      </c>
      <c r="B4658" t="s">
        <v>32</v>
      </c>
      <c r="C4658" t="s">
        <v>111</v>
      </c>
      <c r="D4658" t="s">
        <v>112</v>
      </c>
      <c r="G4658" t="s">
        <v>35</v>
      </c>
      <c r="H4658">
        <v>1</v>
      </c>
      <c r="I4658">
        <v>942</v>
      </c>
      <c r="J4658" s="1">
        <v>43344</v>
      </c>
      <c r="K4658" t="s">
        <v>1198</v>
      </c>
      <c r="L4658" t="s">
        <v>1199</v>
      </c>
      <c r="M4658" t="s">
        <v>1130</v>
      </c>
      <c r="N4658">
        <v>24</v>
      </c>
      <c r="O4658" s="1">
        <v>43344</v>
      </c>
      <c r="P4658" t="s">
        <v>41</v>
      </c>
      <c r="Q4658" t="s">
        <v>75</v>
      </c>
      <c r="R4658" t="str">
        <f>"7311002"</f>
        <v>7311002</v>
      </c>
      <c r="S4658" t="s">
        <v>1203</v>
      </c>
      <c r="T4658" t="s">
        <v>1198</v>
      </c>
      <c r="U4658" t="s">
        <v>1199</v>
      </c>
      <c r="V4658" t="s">
        <v>1130</v>
      </c>
      <c r="W4658" t="s">
        <v>51</v>
      </c>
      <c r="X4658" t="s">
        <v>45</v>
      </c>
      <c r="Y4658" s="1">
        <v>32143</v>
      </c>
      <c r="Z4658">
        <v>1</v>
      </c>
      <c r="AA4658" t="s">
        <v>1199</v>
      </c>
      <c r="AB4658" s="40" t="s">
        <v>1799</v>
      </c>
    </row>
    <row r="4659" spans="1:28" x14ac:dyDescent="0.25">
      <c r="A4659">
        <v>99914658</v>
      </c>
      <c r="B4659" t="s">
        <v>32</v>
      </c>
      <c r="C4659" t="s">
        <v>111</v>
      </c>
      <c r="D4659" t="s">
        <v>112</v>
      </c>
      <c r="G4659" t="s">
        <v>35</v>
      </c>
      <c r="H4659">
        <v>1</v>
      </c>
      <c r="I4659" s="1">
        <v>43346</v>
      </c>
      <c r="J4659" s="1">
        <v>43344</v>
      </c>
      <c r="K4659" t="s">
        <v>1341</v>
      </c>
      <c r="L4659" t="s">
        <v>1342</v>
      </c>
      <c r="M4659" t="s">
        <v>1270</v>
      </c>
      <c r="N4659">
        <v>24</v>
      </c>
      <c r="O4659" s="1">
        <v>43344</v>
      </c>
      <c r="P4659" t="s">
        <v>41</v>
      </c>
      <c r="Q4659" t="s">
        <v>75</v>
      </c>
      <c r="R4659" t="str">
        <f>"7191034"</f>
        <v>7191034</v>
      </c>
      <c r="S4659" t="s">
        <v>1343</v>
      </c>
      <c r="T4659" t="s">
        <v>1341</v>
      </c>
      <c r="U4659" t="s">
        <v>1342</v>
      </c>
      <c r="V4659" t="s">
        <v>1270</v>
      </c>
      <c r="W4659" t="s">
        <v>44</v>
      </c>
      <c r="X4659" t="s">
        <v>45</v>
      </c>
      <c r="Y4659" s="1">
        <v>32143</v>
      </c>
      <c r="Z4659">
        <v>1</v>
      </c>
      <c r="AA4659" t="s">
        <v>1342</v>
      </c>
      <c r="AB4659" s="40" t="s">
        <v>1799</v>
      </c>
    </row>
    <row r="4660" spans="1:28" x14ac:dyDescent="0.25">
      <c r="A4660">
        <v>99914659</v>
      </c>
      <c r="B4660" t="s">
        <v>56</v>
      </c>
      <c r="C4660" t="s">
        <v>111</v>
      </c>
      <c r="D4660" t="s">
        <v>112</v>
      </c>
      <c r="G4660" t="s">
        <v>35</v>
      </c>
      <c r="H4660">
        <v>1</v>
      </c>
      <c r="I4660" s="1">
        <v>42979</v>
      </c>
      <c r="J4660" s="1">
        <v>43344</v>
      </c>
      <c r="K4660" t="s">
        <v>1341</v>
      </c>
      <c r="L4660" t="s">
        <v>1342</v>
      </c>
      <c r="M4660" t="s">
        <v>1270</v>
      </c>
      <c r="N4660">
        <v>24</v>
      </c>
      <c r="O4660" s="1">
        <v>43344</v>
      </c>
      <c r="P4660" t="s">
        <v>41</v>
      </c>
      <c r="Q4660" t="s">
        <v>75</v>
      </c>
      <c r="R4660" t="str">
        <f>"7191036"</f>
        <v>7191036</v>
      </c>
      <c r="S4660" t="s">
        <v>1348</v>
      </c>
      <c r="T4660" t="s">
        <v>1341</v>
      </c>
      <c r="U4660" t="s">
        <v>1342</v>
      </c>
      <c r="V4660" t="s">
        <v>1270</v>
      </c>
      <c r="W4660" t="s">
        <v>44</v>
      </c>
      <c r="X4660" t="s">
        <v>45</v>
      </c>
      <c r="Y4660" s="1">
        <v>32143</v>
      </c>
      <c r="Z4660">
        <v>1</v>
      </c>
      <c r="AA4660" t="s">
        <v>1342</v>
      </c>
      <c r="AB4660" s="40" t="s">
        <v>1799</v>
      </c>
    </row>
    <row r="4661" spans="1:28" x14ac:dyDescent="0.25">
      <c r="A4661">
        <v>99914660</v>
      </c>
      <c r="B4661" t="s">
        <v>32</v>
      </c>
      <c r="C4661" t="s">
        <v>111</v>
      </c>
      <c r="D4661" t="s">
        <v>112</v>
      </c>
      <c r="G4661" t="s">
        <v>35</v>
      </c>
      <c r="H4661">
        <v>1</v>
      </c>
      <c r="I4661" s="1">
        <v>42614</v>
      </c>
      <c r="J4661" s="1">
        <v>43344</v>
      </c>
      <c r="K4661" t="s">
        <v>1341</v>
      </c>
      <c r="L4661" t="s">
        <v>1342</v>
      </c>
      <c r="M4661" t="s">
        <v>1270</v>
      </c>
      <c r="N4661">
        <v>24</v>
      </c>
      <c r="O4661" s="1">
        <v>43344</v>
      </c>
      <c r="P4661" t="s">
        <v>41</v>
      </c>
      <c r="Q4661" t="s">
        <v>75</v>
      </c>
      <c r="R4661" t="str">
        <f>"7191000"</f>
        <v>7191000</v>
      </c>
      <c r="S4661" t="s">
        <v>1347</v>
      </c>
      <c r="T4661" t="s">
        <v>1341</v>
      </c>
      <c r="U4661" t="s">
        <v>1342</v>
      </c>
      <c r="V4661" t="s">
        <v>1270</v>
      </c>
      <c r="W4661" t="s">
        <v>51</v>
      </c>
      <c r="X4661" t="s">
        <v>45</v>
      </c>
      <c r="Y4661" s="1">
        <v>32143</v>
      </c>
      <c r="Z4661">
        <v>1</v>
      </c>
      <c r="AA4661" t="s">
        <v>1342</v>
      </c>
      <c r="AB4661" s="40" t="s">
        <v>1799</v>
      </c>
    </row>
    <row r="4662" spans="1:28" x14ac:dyDescent="0.25">
      <c r="A4662">
        <v>99914661</v>
      </c>
      <c r="B4662" t="s">
        <v>56</v>
      </c>
      <c r="C4662" t="s">
        <v>1364</v>
      </c>
      <c r="D4662" t="s">
        <v>598</v>
      </c>
      <c r="E4662" t="s">
        <v>111</v>
      </c>
      <c r="F4662" t="s">
        <v>112</v>
      </c>
      <c r="G4662" t="s">
        <v>35</v>
      </c>
      <c r="H4662">
        <v>1</v>
      </c>
      <c r="I4662" s="1">
        <v>42614</v>
      </c>
      <c r="J4662" s="1">
        <v>43344</v>
      </c>
      <c r="K4662" t="s">
        <v>1341</v>
      </c>
      <c r="L4662" t="s">
        <v>1342</v>
      </c>
      <c r="M4662" t="s">
        <v>1270</v>
      </c>
      <c r="N4662">
        <v>24</v>
      </c>
      <c r="O4662" s="1">
        <v>43344</v>
      </c>
      <c r="P4662" t="s">
        <v>41</v>
      </c>
      <c r="Q4662" t="s">
        <v>75</v>
      </c>
      <c r="R4662" t="str">
        <f>"7191036"</f>
        <v>7191036</v>
      </c>
      <c r="S4662" t="s">
        <v>1348</v>
      </c>
      <c r="T4662" t="s">
        <v>1341</v>
      </c>
      <c r="U4662" t="s">
        <v>1342</v>
      </c>
      <c r="V4662" t="s">
        <v>1270</v>
      </c>
      <c r="W4662" t="s">
        <v>44</v>
      </c>
      <c r="X4662" t="s">
        <v>45</v>
      </c>
      <c r="Y4662" s="1">
        <v>32143</v>
      </c>
      <c r="Z4662">
        <v>1</v>
      </c>
      <c r="AA4662" t="s">
        <v>1342</v>
      </c>
      <c r="AB4662" s="40" t="s">
        <v>1799</v>
      </c>
    </row>
    <row r="4663" spans="1:28" x14ac:dyDescent="0.25">
      <c r="A4663">
        <v>99914662</v>
      </c>
      <c r="B4663" t="s">
        <v>32</v>
      </c>
      <c r="C4663" t="s">
        <v>111</v>
      </c>
      <c r="D4663" t="s">
        <v>112</v>
      </c>
      <c r="G4663" t="s">
        <v>35</v>
      </c>
      <c r="H4663">
        <v>1</v>
      </c>
      <c r="I4663" s="1">
        <v>40787</v>
      </c>
      <c r="J4663" s="1">
        <v>43344</v>
      </c>
      <c r="K4663" t="s">
        <v>1341</v>
      </c>
      <c r="L4663" t="s">
        <v>1342</v>
      </c>
      <c r="M4663" t="s">
        <v>1270</v>
      </c>
      <c r="N4663">
        <v>24</v>
      </c>
      <c r="O4663" s="1">
        <v>43344</v>
      </c>
      <c r="P4663" t="s">
        <v>41</v>
      </c>
      <c r="Q4663" t="s">
        <v>75</v>
      </c>
      <c r="R4663" t="str">
        <f>"7191032"</f>
        <v>7191032</v>
      </c>
      <c r="S4663" t="s">
        <v>1399</v>
      </c>
      <c r="T4663" t="s">
        <v>1341</v>
      </c>
      <c r="U4663" t="s">
        <v>1342</v>
      </c>
      <c r="V4663" t="s">
        <v>1270</v>
      </c>
      <c r="W4663" t="s">
        <v>51</v>
      </c>
      <c r="X4663" t="s">
        <v>45</v>
      </c>
      <c r="Y4663" s="1">
        <v>32143</v>
      </c>
      <c r="Z4663">
        <v>1</v>
      </c>
      <c r="AA4663" t="s">
        <v>1342</v>
      </c>
      <c r="AB4663" s="40" t="s">
        <v>1799</v>
      </c>
    </row>
    <row r="4664" spans="1:28" x14ac:dyDescent="0.25">
      <c r="A4664">
        <v>99914663</v>
      </c>
      <c r="B4664" t="s">
        <v>32</v>
      </c>
      <c r="C4664" t="s">
        <v>111</v>
      </c>
      <c r="D4664" t="s">
        <v>112</v>
      </c>
      <c r="G4664" t="s">
        <v>48</v>
      </c>
      <c r="H4664">
        <v>1</v>
      </c>
      <c r="K4664" t="s">
        <v>667</v>
      </c>
      <c r="L4664" t="s">
        <v>1503</v>
      </c>
      <c r="M4664" t="s">
        <v>670</v>
      </c>
      <c r="N4664">
        <v>24</v>
      </c>
      <c r="P4664" t="s">
        <v>41</v>
      </c>
      <c r="Q4664" t="s">
        <v>75</v>
      </c>
      <c r="R4664" t="str">
        <f>"7501000"</f>
        <v>7501000</v>
      </c>
      <c r="S4664" t="s">
        <v>668</v>
      </c>
      <c r="T4664" t="s">
        <v>667</v>
      </c>
      <c r="U4664" t="s">
        <v>669</v>
      </c>
      <c r="V4664" t="s">
        <v>670</v>
      </c>
      <c r="W4664" t="s">
        <v>51</v>
      </c>
      <c r="X4664" t="s">
        <v>45</v>
      </c>
      <c r="Y4664" s="1">
        <v>32143</v>
      </c>
      <c r="Z4664">
        <v>1</v>
      </c>
      <c r="AA4664" t="s">
        <v>1503</v>
      </c>
      <c r="AB4664" s="40" t="s">
        <v>1799</v>
      </c>
    </row>
    <row r="4665" spans="1:28" x14ac:dyDescent="0.25">
      <c r="A4665">
        <v>99914664</v>
      </c>
      <c r="B4665" t="s">
        <v>32</v>
      </c>
      <c r="C4665" t="s">
        <v>111</v>
      </c>
      <c r="D4665" t="s">
        <v>112</v>
      </c>
      <c r="G4665" t="s">
        <v>48</v>
      </c>
      <c r="H4665">
        <v>1</v>
      </c>
      <c r="K4665" t="s">
        <v>667</v>
      </c>
      <c r="L4665" t="s">
        <v>1503</v>
      </c>
      <c r="M4665" t="s">
        <v>670</v>
      </c>
      <c r="N4665">
        <v>24</v>
      </c>
      <c r="P4665" t="s">
        <v>41</v>
      </c>
      <c r="Q4665" t="s">
        <v>75</v>
      </c>
      <c r="R4665" t="str">
        <f>"7501000"</f>
        <v>7501000</v>
      </c>
      <c r="S4665" t="s">
        <v>668</v>
      </c>
      <c r="T4665" t="s">
        <v>667</v>
      </c>
      <c r="U4665" t="s">
        <v>669</v>
      </c>
      <c r="V4665" t="s">
        <v>670</v>
      </c>
      <c r="W4665" t="s">
        <v>51</v>
      </c>
      <c r="X4665" t="s">
        <v>45</v>
      </c>
      <c r="Y4665" s="1">
        <v>32143</v>
      </c>
      <c r="Z4665">
        <v>1</v>
      </c>
      <c r="AA4665" t="s">
        <v>1503</v>
      </c>
      <c r="AB4665" s="40" t="s">
        <v>1799</v>
      </c>
    </row>
    <row r="4666" spans="1:28" x14ac:dyDescent="0.25">
      <c r="A4666">
        <v>99914665</v>
      </c>
      <c r="B4666" t="s">
        <v>32</v>
      </c>
      <c r="C4666" t="s">
        <v>111</v>
      </c>
      <c r="D4666" t="s">
        <v>112</v>
      </c>
      <c r="G4666" t="s">
        <v>35</v>
      </c>
      <c r="H4666">
        <v>1</v>
      </c>
      <c r="I4666" t="s">
        <v>674</v>
      </c>
      <c r="J4666" s="1">
        <v>43377</v>
      </c>
      <c r="K4666" t="s">
        <v>667</v>
      </c>
      <c r="L4666" t="s">
        <v>669</v>
      </c>
      <c r="M4666" t="s">
        <v>670</v>
      </c>
      <c r="N4666">
        <v>24</v>
      </c>
      <c r="O4666" s="1">
        <v>43377</v>
      </c>
      <c r="P4666" t="s">
        <v>41</v>
      </c>
      <c r="Q4666" t="s">
        <v>75</v>
      </c>
      <c r="R4666" t="str">
        <f>"7501004"</f>
        <v>7501004</v>
      </c>
      <c r="S4666" t="s">
        <v>1500</v>
      </c>
      <c r="T4666" t="s">
        <v>667</v>
      </c>
      <c r="U4666" t="s">
        <v>669</v>
      </c>
      <c r="V4666" t="s">
        <v>670</v>
      </c>
      <c r="W4666" t="s">
        <v>51</v>
      </c>
      <c r="X4666" t="s">
        <v>45</v>
      </c>
      <c r="Y4666" s="1">
        <v>32143</v>
      </c>
      <c r="Z4666">
        <v>1</v>
      </c>
      <c r="AA4666" t="s">
        <v>669</v>
      </c>
      <c r="AB4666" s="40" t="s">
        <v>1799</v>
      </c>
    </row>
    <row r="4667" spans="1:28" x14ac:dyDescent="0.25">
      <c r="A4667">
        <v>99914666</v>
      </c>
      <c r="B4667" t="s">
        <v>32</v>
      </c>
      <c r="C4667" t="s">
        <v>111</v>
      </c>
      <c r="D4667" t="s">
        <v>112</v>
      </c>
      <c r="G4667" t="s">
        <v>48</v>
      </c>
      <c r="H4667">
        <v>1</v>
      </c>
      <c r="I4667" t="s">
        <v>1531</v>
      </c>
      <c r="J4667" s="1">
        <v>41767</v>
      </c>
      <c r="K4667" t="s">
        <v>667</v>
      </c>
      <c r="L4667" t="s">
        <v>669</v>
      </c>
      <c r="M4667" t="s">
        <v>670</v>
      </c>
      <c r="N4667">
        <v>24</v>
      </c>
      <c r="O4667" s="1">
        <v>41767</v>
      </c>
      <c r="P4667" t="s">
        <v>41</v>
      </c>
      <c r="Q4667" t="s">
        <v>75</v>
      </c>
      <c r="R4667" t="str">
        <f>"7501000"</f>
        <v>7501000</v>
      </c>
      <c r="S4667" t="s">
        <v>668</v>
      </c>
      <c r="T4667" t="s">
        <v>667</v>
      </c>
      <c r="U4667" t="s">
        <v>669</v>
      </c>
      <c r="V4667" t="s">
        <v>670</v>
      </c>
      <c r="W4667" t="s">
        <v>51</v>
      </c>
      <c r="X4667" t="s">
        <v>45</v>
      </c>
      <c r="Y4667" s="1">
        <v>32143</v>
      </c>
      <c r="Z4667">
        <v>1</v>
      </c>
      <c r="AA4667" t="s">
        <v>669</v>
      </c>
      <c r="AB4667" s="40" t="s">
        <v>1799</v>
      </c>
    </row>
    <row r="4668" spans="1:28" x14ac:dyDescent="0.25">
      <c r="A4668">
        <v>99914667</v>
      </c>
      <c r="B4668" t="s">
        <v>32</v>
      </c>
      <c r="C4668" t="s">
        <v>111</v>
      </c>
      <c r="D4668" t="s">
        <v>112</v>
      </c>
      <c r="G4668" t="s">
        <v>48</v>
      </c>
      <c r="H4668">
        <v>1</v>
      </c>
      <c r="I4668" t="s">
        <v>1534</v>
      </c>
      <c r="J4668" s="1">
        <v>41548</v>
      </c>
      <c r="K4668" t="s">
        <v>667</v>
      </c>
      <c r="L4668" t="s">
        <v>669</v>
      </c>
      <c r="M4668" t="s">
        <v>670</v>
      </c>
      <c r="N4668">
        <v>24</v>
      </c>
      <c r="O4668" s="1">
        <v>41548</v>
      </c>
      <c r="P4668" t="s">
        <v>41</v>
      </c>
      <c r="Q4668" t="s">
        <v>75</v>
      </c>
      <c r="R4668" t="str">
        <f>"7501000"</f>
        <v>7501000</v>
      </c>
      <c r="S4668" t="s">
        <v>668</v>
      </c>
      <c r="T4668" t="s">
        <v>667</v>
      </c>
      <c r="U4668" t="s">
        <v>669</v>
      </c>
      <c r="V4668" t="s">
        <v>670</v>
      </c>
      <c r="W4668" t="s">
        <v>51</v>
      </c>
      <c r="X4668" t="s">
        <v>45</v>
      </c>
      <c r="Y4668" s="1">
        <v>32143</v>
      </c>
      <c r="Z4668">
        <v>1</v>
      </c>
      <c r="AA4668" t="s">
        <v>669</v>
      </c>
      <c r="AB4668" s="40" t="s">
        <v>1799</v>
      </c>
    </row>
    <row r="4669" spans="1:28" x14ac:dyDescent="0.25">
      <c r="A4669">
        <v>99914668</v>
      </c>
      <c r="B4669" t="s">
        <v>32</v>
      </c>
      <c r="C4669" t="s">
        <v>111</v>
      </c>
      <c r="D4669" t="s">
        <v>112</v>
      </c>
      <c r="G4669" t="s">
        <v>48</v>
      </c>
      <c r="H4669">
        <v>1</v>
      </c>
      <c r="K4669" t="s">
        <v>667</v>
      </c>
      <c r="L4669" t="s">
        <v>669</v>
      </c>
      <c r="M4669" t="s">
        <v>670</v>
      </c>
      <c r="N4669">
        <v>24</v>
      </c>
      <c r="P4669" t="s">
        <v>41</v>
      </c>
      <c r="Q4669" t="s">
        <v>75</v>
      </c>
      <c r="R4669" t="str">
        <f>"7501002"</f>
        <v>7501002</v>
      </c>
      <c r="S4669" t="s">
        <v>1519</v>
      </c>
      <c r="T4669" t="s">
        <v>667</v>
      </c>
      <c r="U4669" t="s">
        <v>669</v>
      </c>
      <c r="V4669" t="s">
        <v>670</v>
      </c>
      <c r="W4669" t="s">
        <v>51</v>
      </c>
      <c r="X4669" t="s">
        <v>45</v>
      </c>
      <c r="Y4669" s="1">
        <v>32143</v>
      </c>
      <c r="Z4669">
        <v>1</v>
      </c>
      <c r="AA4669" t="s">
        <v>669</v>
      </c>
      <c r="AB4669" s="40" t="s">
        <v>1799</v>
      </c>
    </row>
    <row r="4670" spans="1:28" x14ac:dyDescent="0.25">
      <c r="A4670">
        <v>99914669</v>
      </c>
      <c r="B4670" t="s">
        <v>32</v>
      </c>
      <c r="C4670" t="s">
        <v>111</v>
      </c>
      <c r="D4670" t="s">
        <v>112</v>
      </c>
      <c r="G4670" t="s">
        <v>35</v>
      </c>
      <c r="H4670">
        <v>1</v>
      </c>
      <c r="K4670" t="s">
        <v>1564</v>
      </c>
      <c r="L4670" t="s">
        <v>1565</v>
      </c>
      <c r="M4670" t="s">
        <v>1548</v>
      </c>
      <c r="N4670">
        <v>24</v>
      </c>
      <c r="P4670" t="s">
        <v>41</v>
      </c>
      <c r="Q4670" t="s">
        <v>75</v>
      </c>
      <c r="R4670" t="str">
        <f>"7101000"</f>
        <v>7101000</v>
      </c>
      <c r="S4670" t="s">
        <v>1572</v>
      </c>
      <c r="T4670" t="s">
        <v>1564</v>
      </c>
      <c r="U4670" t="s">
        <v>1565</v>
      </c>
      <c r="V4670" t="s">
        <v>1548</v>
      </c>
      <c r="W4670" t="s">
        <v>51</v>
      </c>
      <c r="X4670" t="s">
        <v>45</v>
      </c>
      <c r="Y4670" s="1">
        <v>32143</v>
      </c>
      <c r="Z4670">
        <v>1</v>
      </c>
      <c r="AA4670" t="s">
        <v>1565</v>
      </c>
      <c r="AB4670" s="40" t="s">
        <v>1799</v>
      </c>
    </row>
    <row r="4671" spans="1:28" x14ac:dyDescent="0.25">
      <c r="A4671">
        <v>99914670</v>
      </c>
      <c r="B4671" t="s">
        <v>32</v>
      </c>
      <c r="C4671" t="s">
        <v>111</v>
      </c>
      <c r="D4671" t="s">
        <v>112</v>
      </c>
      <c r="G4671" t="s">
        <v>48</v>
      </c>
      <c r="H4671">
        <v>1</v>
      </c>
      <c r="K4671" t="s">
        <v>1631</v>
      </c>
      <c r="L4671" t="s">
        <v>1632</v>
      </c>
      <c r="M4671" t="s">
        <v>1592</v>
      </c>
      <c r="N4671">
        <v>24</v>
      </c>
      <c r="P4671" t="s">
        <v>41</v>
      </c>
      <c r="Q4671" t="s">
        <v>75</v>
      </c>
      <c r="R4671" t="str">
        <f>"7021000"</f>
        <v>7021000</v>
      </c>
      <c r="S4671" t="s">
        <v>1633</v>
      </c>
      <c r="T4671" t="s">
        <v>1631</v>
      </c>
      <c r="U4671" t="s">
        <v>1632</v>
      </c>
      <c r="V4671" t="s">
        <v>1592</v>
      </c>
      <c r="W4671" t="s">
        <v>51</v>
      </c>
      <c r="X4671" t="s">
        <v>45</v>
      </c>
      <c r="Y4671" s="1">
        <v>32143</v>
      </c>
      <c r="Z4671">
        <v>1</v>
      </c>
      <c r="AA4671" t="s">
        <v>1632</v>
      </c>
      <c r="AB4671" s="40" t="s">
        <v>1799</v>
      </c>
    </row>
    <row r="4672" spans="1:28" x14ac:dyDescent="0.25">
      <c r="A4672">
        <v>99914671</v>
      </c>
      <c r="B4672" t="s">
        <v>32</v>
      </c>
      <c r="C4672" t="s">
        <v>64</v>
      </c>
      <c r="D4672" t="s">
        <v>65</v>
      </c>
      <c r="G4672" t="s">
        <v>35</v>
      </c>
      <c r="H4672">
        <v>1</v>
      </c>
      <c r="K4672" t="s">
        <v>877</v>
      </c>
      <c r="L4672" t="s">
        <v>878</v>
      </c>
      <c r="M4672" t="s">
        <v>131</v>
      </c>
      <c r="N4672">
        <v>24</v>
      </c>
      <c r="P4672" t="s">
        <v>41</v>
      </c>
      <c r="Q4672" t="s">
        <v>75</v>
      </c>
      <c r="R4672" t="str">
        <f>"7541008"</f>
        <v>7541008</v>
      </c>
      <c r="S4672" t="s">
        <v>879</v>
      </c>
      <c r="T4672" t="s">
        <v>877</v>
      </c>
      <c r="U4672" t="s">
        <v>878</v>
      </c>
      <c r="V4672" t="s">
        <v>131</v>
      </c>
      <c r="W4672" t="s">
        <v>51</v>
      </c>
      <c r="X4672" t="s">
        <v>45</v>
      </c>
      <c r="Y4672" s="1">
        <v>32119</v>
      </c>
      <c r="Z4672">
        <v>1</v>
      </c>
      <c r="AA4672" t="s">
        <v>878</v>
      </c>
      <c r="AB4672" s="40" t="s">
        <v>1799</v>
      </c>
    </row>
    <row r="4673" spans="1:28" x14ac:dyDescent="0.25">
      <c r="A4673">
        <v>99914672</v>
      </c>
      <c r="B4673" t="s">
        <v>32</v>
      </c>
      <c r="C4673" t="s">
        <v>111</v>
      </c>
      <c r="D4673" t="s">
        <v>112</v>
      </c>
      <c r="G4673" t="s">
        <v>35</v>
      </c>
      <c r="H4673">
        <v>4</v>
      </c>
      <c r="K4673" t="s">
        <v>268</v>
      </c>
      <c r="L4673" t="s">
        <v>269</v>
      </c>
      <c r="M4673" t="s">
        <v>131</v>
      </c>
      <c r="N4673">
        <v>24</v>
      </c>
      <c r="P4673" t="s">
        <v>41</v>
      </c>
      <c r="Q4673" t="s">
        <v>75</v>
      </c>
      <c r="R4673" t="str">
        <f>"7052006"</f>
        <v>7052006</v>
      </c>
      <c r="S4673" t="s">
        <v>575</v>
      </c>
      <c r="T4673" t="s">
        <v>268</v>
      </c>
      <c r="U4673" t="s">
        <v>269</v>
      </c>
      <c r="V4673" t="s">
        <v>131</v>
      </c>
      <c r="W4673" t="s">
        <v>51</v>
      </c>
      <c r="X4673" t="s">
        <v>45</v>
      </c>
      <c r="Y4673" s="1">
        <v>32118</v>
      </c>
      <c r="Z4673">
        <v>1</v>
      </c>
      <c r="AA4673" t="s">
        <v>269</v>
      </c>
      <c r="AB4673" s="40" t="s">
        <v>1799</v>
      </c>
    </row>
    <row r="4674" spans="1:28" x14ac:dyDescent="0.25">
      <c r="A4674">
        <v>99914673</v>
      </c>
      <c r="B4674" t="s">
        <v>32</v>
      </c>
      <c r="C4674" t="s">
        <v>111</v>
      </c>
      <c r="D4674" t="s">
        <v>112</v>
      </c>
      <c r="G4674" t="s">
        <v>88</v>
      </c>
      <c r="H4674">
        <v>3</v>
      </c>
      <c r="I4674" t="s">
        <v>499</v>
      </c>
      <c r="J4674" s="1">
        <v>41883</v>
      </c>
      <c r="K4674" t="s">
        <v>431</v>
      </c>
      <c r="L4674" t="s">
        <v>196</v>
      </c>
      <c r="M4674" t="s">
        <v>131</v>
      </c>
      <c r="N4674">
        <v>24</v>
      </c>
      <c r="O4674" s="1">
        <v>41883</v>
      </c>
      <c r="P4674" t="s">
        <v>41</v>
      </c>
      <c r="Q4674" t="s">
        <v>75</v>
      </c>
      <c r="R4674" t="str">
        <f>"7521012"</f>
        <v>7521012</v>
      </c>
      <c r="S4674" t="s">
        <v>432</v>
      </c>
      <c r="T4674" t="s">
        <v>431</v>
      </c>
      <c r="U4674" t="s">
        <v>196</v>
      </c>
      <c r="V4674" t="s">
        <v>131</v>
      </c>
      <c r="W4674" t="s">
        <v>165</v>
      </c>
      <c r="X4674" t="s">
        <v>45</v>
      </c>
      <c r="Y4674" s="1">
        <v>32116</v>
      </c>
      <c r="Z4674">
        <v>1</v>
      </c>
      <c r="AA4674" t="s">
        <v>196</v>
      </c>
      <c r="AB4674" s="40" t="s">
        <v>1799</v>
      </c>
    </row>
    <row r="4675" spans="1:28" x14ac:dyDescent="0.25">
      <c r="A4675">
        <v>99914674</v>
      </c>
      <c r="B4675" t="s">
        <v>56</v>
      </c>
      <c r="C4675" t="s">
        <v>111</v>
      </c>
      <c r="D4675" t="s">
        <v>112</v>
      </c>
      <c r="G4675" t="s">
        <v>35</v>
      </c>
      <c r="H4675">
        <v>1</v>
      </c>
      <c r="I4675" t="s">
        <v>1373</v>
      </c>
      <c r="J4675" s="1">
        <v>43344</v>
      </c>
      <c r="K4675" t="s">
        <v>1341</v>
      </c>
      <c r="L4675" t="s">
        <v>1342</v>
      </c>
      <c r="M4675" t="s">
        <v>1270</v>
      </c>
      <c r="N4675">
        <v>24</v>
      </c>
      <c r="O4675" s="1">
        <v>43344</v>
      </c>
      <c r="P4675" t="s">
        <v>41</v>
      </c>
      <c r="Q4675" t="s">
        <v>75</v>
      </c>
      <c r="R4675" t="str">
        <f>"7191006"</f>
        <v>7191006</v>
      </c>
      <c r="S4675" t="s">
        <v>1351</v>
      </c>
      <c r="T4675" t="s">
        <v>1341</v>
      </c>
      <c r="U4675" t="s">
        <v>1342</v>
      </c>
      <c r="V4675" t="s">
        <v>1270</v>
      </c>
      <c r="W4675" t="s">
        <v>44</v>
      </c>
      <c r="X4675" t="s">
        <v>45</v>
      </c>
      <c r="Y4675" s="1">
        <v>32115</v>
      </c>
      <c r="Z4675">
        <v>1</v>
      </c>
      <c r="AA4675" t="s">
        <v>1342</v>
      </c>
      <c r="AB4675" s="40" t="s">
        <v>1799</v>
      </c>
    </row>
    <row r="4676" spans="1:28" x14ac:dyDescent="0.25">
      <c r="A4676">
        <v>99914675</v>
      </c>
      <c r="B4676" t="s">
        <v>32</v>
      </c>
      <c r="C4676" t="s">
        <v>111</v>
      </c>
      <c r="D4676" t="s">
        <v>112</v>
      </c>
      <c r="G4676" t="s">
        <v>35</v>
      </c>
      <c r="H4676">
        <v>1</v>
      </c>
      <c r="I4676" t="s">
        <v>1406</v>
      </c>
      <c r="J4676" s="1">
        <v>43344</v>
      </c>
      <c r="K4676" t="s">
        <v>1341</v>
      </c>
      <c r="L4676" t="s">
        <v>1342</v>
      </c>
      <c r="M4676" t="s">
        <v>1270</v>
      </c>
      <c r="N4676">
        <v>24</v>
      </c>
      <c r="O4676" s="1">
        <v>43344</v>
      </c>
      <c r="P4676" t="s">
        <v>41</v>
      </c>
      <c r="Q4676" t="s">
        <v>75</v>
      </c>
      <c r="R4676" t="str">
        <f>"7191006"</f>
        <v>7191006</v>
      </c>
      <c r="S4676" t="s">
        <v>1351</v>
      </c>
      <c r="T4676" t="s">
        <v>1341</v>
      </c>
      <c r="U4676" t="s">
        <v>1342</v>
      </c>
      <c r="V4676" t="s">
        <v>1270</v>
      </c>
      <c r="W4676" t="s">
        <v>44</v>
      </c>
      <c r="X4676" t="s">
        <v>45</v>
      </c>
      <c r="Y4676" s="1">
        <v>32112</v>
      </c>
      <c r="Z4676">
        <v>1</v>
      </c>
      <c r="AA4676" t="s">
        <v>1342</v>
      </c>
      <c r="AB4676" s="40" t="s">
        <v>1799</v>
      </c>
    </row>
    <row r="4677" spans="1:28" x14ac:dyDescent="0.25">
      <c r="A4677">
        <v>99914676</v>
      </c>
      <c r="B4677" t="s">
        <v>32</v>
      </c>
      <c r="C4677" t="s">
        <v>111</v>
      </c>
      <c r="D4677" t="s">
        <v>112</v>
      </c>
      <c r="G4677" t="s">
        <v>35</v>
      </c>
      <c r="H4677">
        <v>4</v>
      </c>
      <c r="K4677" t="s">
        <v>268</v>
      </c>
      <c r="L4677" t="s">
        <v>269</v>
      </c>
      <c r="M4677" t="s">
        <v>131</v>
      </c>
      <c r="N4677">
        <v>24</v>
      </c>
      <c r="P4677" t="s">
        <v>41</v>
      </c>
      <c r="Q4677" t="s">
        <v>75</v>
      </c>
      <c r="R4677" t="str">
        <f>"7052006"</f>
        <v>7052006</v>
      </c>
      <c r="S4677" t="s">
        <v>575</v>
      </c>
      <c r="T4677" t="s">
        <v>268</v>
      </c>
      <c r="U4677" t="s">
        <v>269</v>
      </c>
      <c r="V4677" t="s">
        <v>131</v>
      </c>
      <c r="W4677" t="s">
        <v>51</v>
      </c>
      <c r="X4677" t="s">
        <v>45</v>
      </c>
      <c r="Y4677" s="1">
        <v>32069</v>
      </c>
      <c r="Z4677">
        <v>1</v>
      </c>
      <c r="AA4677" t="s">
        <v>269</v>
      </c>
      <c r="AB4677" s="40" t="s">
        <v>1799</v>
      </c>
    </row>
    <row r="4678" spans="1:28" x14ac:dyDescent="0.25">
      <c r="A4678">
        <v>99914677</v>
      </c>
      <c r="B4678" t="s">
        <v>32</v>
      </c>
      <c r="C4678" t="s">
        <v>111</v>
      </c>
      <c r="D4678" t="s">
        <v>112</v>
      </c>
      <c r="G4678" t="s">
        <v>48</v>
      </c>
      <c r="H4678">
        <v>1</v>
      </c>
      <c r="K4678" t="s">
        <v>1631</v>
      </c>
      <c r="L4678" t="s">
        <v>1632</v>
      </c>
      <c r="M4678" t="s">
        <v>1592</v>
      </c>
      <c r="N4678">
        <v>24</v>
      </c>
      <c r="P4678" t="s">
        <v>41</v>
      </c>
      <c r="Q4678" t="s">
        <v>75</v>
      </c>
      <c r="R4678" t="str">
        <f>"7021000"</f>
        <v>7021000</v>
      </c>
      <c r="S4678" t="s">
        <v>1633</v>
      </c>
      <c r="T4678" t="s">
        <v>1631</v>
      </c>
      <c r="U4678" t="s">
        <v>1632</v>
      </c>
      <c r="V4678" t="s">
        <v>1592</v>
      </c>
      <c r="W4678" t="s">
        <v>51</v>
      </c>
      <c r="X4678" t="s">
        <v>45</v>
      </c>
      <c r="Y4678" s="1">
        <v>32067</v>
      </c>
      <c r="Z4678">
        <v>1</v>
      </c>
      <c r="AA4678" t="s">
        <v>1632</v>
      </c>
      <c r="AB4678" s="40" t="s">
        <v>1799</v>
      </c>
    </row>
    <row r="4679" spans="1:28" x14ac:dyDescent="0.25">
      <c r="A4679">
        <v>99914678</v>
      </c>
      <c r="B4679" t="s">
        <v>32</v>
      </c>
      <c r="C4679" t="s">
        <v>111</v>
      </c>
      <c r="D4679" t="s">
        <v>112</v>
      </c>
      <c r="G4679" t="s">
        <v>35</v>
      </c>
      <c r="H4679">
        <v>1</v>
      </c>
      <c r="I4679">
        <v>1989</v>
      </c>
      <c r="J4679" s="1">
        <v>43344</v>
      </c>
      <c r="K4679" t="s">
        <v>354</v>
      </c>
      <c r="L4679" t="s">
        <v>355</v>
      </c>
      <c r="M4679" t="s">
        <v>131</v>
      </c>
      <c r="N4679">
        <v>24</v>
      </c>
      <c r="O4679" s="1">
        <v>43344</v>
      </c>
      <c r="P4679" t="s">
        <v>41</v>
      </c>
      <c r="Q4679" t="s">
        <v>75</v>
      </c>
      <c r="R4679" t="str">
        <f>"7054024"</f>
        <v>7054024</v>
      </c>
      <c r="S4679" t="s">
        <v>793</v>
      </c>
      <c r="T4679" t="s">
        <v>354</v>
      </c>
      <c r="U4679" t="s">
        <v>355</v>
      </c>
      <c r="V4679" t="s">
        <v>131</v>
      </c>
      <c r="W4679" t="s">
        <v>51</v>
      </c>
      <c r="X4679" t="s">
        <v>45</v>
      </c>
      <c r="Y4679" s="1">
        <v>32060</v>
      </c>
      <c r="Z4679">
        <v>1</v>
      </c>
      <c r="AA4679" t="s">
        <v>355</v>
      </c>
      <c r="AB4679" s="40" t="s">
        <v>1799</v>
      </c>
    </row>
    <row r="4680" spans="1:28" x14ac:dyDescent="0.25">
      <c r="A4680">
        <v>99914679</v>
      </c>
      <c r="B4680" t="s">
        <v>32</v>
      </c>
      <c r="C4680" t="s">
        <v>111</v>
      </c>
      <c r="D4680" t="s">
        <v>112</v>
      </c>
      <c r="G4680" t="s">
        <v>35</v>
      </c>
      <c r="H4680">
        <v>1</v>
      </c>
      <c r="K4680" t="s">
        <v>154</v>
      </c>
      <c r="L4680" t="s">
        <v>155</v>
      </c>
      <c r="M4680" t="s">
        <v>131</v>
      </c>
      <c r="N4680">
        <v>24</v>
      </c>
      <c r="P4680" t="s">
        <v>41</v>
      </c>
      <c r="Q4680" t="s">
        <v>75</v>
      </c>
      <c r="R4680" t="str">
        <f>"7051026"</f>
        <v>7051026</v>
      </c>
      <c r="S4680" t="s">
        <v>396</v>
      </c>
      <c r="T4680" t="s">
        <v>154</v>
      </c>
      <c r="U4680" t="s">
        <v>155</v>
      </c>
      <c r="V4680" t="s">
        <v>131</v>
      </c>
      <c r="W4680" t="s">
        <v>51</v>
      </c>
      <c r="X4680" t="s">
        <v>45</v>
      </c>
      <c r="Y4680" s="1">
        <v>32051</v>
      </c>
      <c r="Z4680">
        <v>1</v>
      </c>
      <c r="AA4680" t="s">
        <v>155</v>
      </c>
      <c r="AB4680" s="40" t="s">
        <v>1799</v>
      </c>
    </row>
    <row r="4681" spans="1:28" x14ac:dyDescent="0.25">
      <c r="A4681">
        <v>99914680</v>
      </c>
      <c r="B4681" t="s">
        <v>32</v>
      </c>
      <c r="C4681" t="s">
        <v>90</v>
      </c>
      <c r="D4681" t="s">
        <v>91</v>
      </c>
      <c r="G4681" t="s">
        <v>35</v>
      </c>
      <c r="H4681">
        <v>1</v>
      </c>
      <c r="I4681" t="s">
        <v>916</v>
      </c>
      <c r="J4681" s="1">
        <v>43344</v>
      </c>
      <c r="K4681" t="s">
        <v>877</v>
      </c>
      <c r="L4681" t="s">
        <v>878</v>
      </c>
      <c r="M4681" t="s">
        <v>131</v>
      </c>
      <c r="N4681">
        <v>24</v>
      </c>
      <c r="O4681" s="1">
        <v>43344</v>
      </c>
      <c r="P4681" t="s">
        <v>41</v>
      </c>
      <c r="Q4681" t="s">
        <v>95</v>
      </c>
      <c r="R4681" t="str">
        <f>"7541101"</f>
        <v>7541101</v>
      </c>
      <c r="S4681" t="s">
        <v>917</v>
      </c>
      <c r="T4681" t="s">
        <v>877</v>
      </c>
      <c r="U4681" t="s">
        <v>878</v>
      </c>
      <c r="V4681" t="s">
        <v>131</v>
      </c>
      <c r="W4681" t="s">
        <v>44</v>
      </c>
      <c r="X4681" t="s">
        <v>45</v>
      </c>
      <c r="Y4681" s="1">
        <v>32027</v>
      </c>
      <c r="Z4681">
        <v>1</v>
      </c>
      <c r="AA4681" t="s">
        <v>878</v>
      </c>
      <c r="AB4681" s="40" t="s">
        <v>1799</v>
      </c>
    </row>
    <row r="4682" spans="1:28" x14ac:dyDescent="0.25">
      <c r="A4682">
        <v>99914681</v>
      </c>
      <c r="B4682" t="s">
        <v>32</v>
      </c>
      <c r="C4682" t="s">
        <v>64</v>
      </c>
      <c r="D4682" t="s">
        <v>65</v>
      </c>
      <c r="G4682" t="s">
        <v>48</v>
      </c>
      <c r="H4682">
        <v>1</v>
      </c>
      <c r="K4682" t="s">
        <v>667</v>
      </c>
      <c r="L4682" t="s">
        <v>669</v>
      </c>
      <c r="M4682" t="s">
        <v>670</v>
      </c>
      <c r="N4682">
        <v>24</v>
      </c>
      <c r="P4682" t="s">
        <v>41</v>
      </c>
      <c r="Q4682" t="s">
        <v>75</v>
      </c>
      <c r="R4682" t="str">
        <f>"7501004"</f>
        <v>7501004</v>
      </c>
      <c r="S4682" t="s">
        <v>1500</v>
      </c>
      <c r="T4682" t="s">
        <v>667</v>
      </c>
      <c r="U4682" t="s">
        <v>669</v>
      </c>
      <c r="V4682" t="s">
        <v>670</v>
      </c>
      <c r="W4682" t="s">
        <v>51</v>
      </c>
      <c r="X4682" t="s">
        <v>45</v>
      </c>
      <c r="Y4682" s="1">
        <v>32002</v>
      </c>
      <c r="Z4682">
        <v>1</v>
      </c>
      <c r="AA4682" t="s">
        <v>669</v>
      </c>
      <c r="AB4682" s="40" t="s">
        <v>1799</v>
      </c>
    </row>
    <row r="4683" spans="1:28" x14ac:dyDescent="0.25">
      <c r="A4683">
        <v>99914682</v>
      </c>
      <c r="B4683" t="s">
        <v>32</v>
      </c>
      <c r="C4683" t="s">
        <v>111</v>
      </c>
      <c r="D4683" t="s">
        <v>112</v>
      </c>
      <c r="G4683" t="s">
        <v>35</v>
      </c>
      <c r="H4683">
        <v>1</v>
      </c>
      <c r="I4683" s="1">
        <v>43344</v>
      </c>
      <c r="J4683" s="1">
        <v>43344</v>
      </c>
      <c r="K4683" t="s">
        <v>1341</v>
      </c>
      <c r="L4683" t="s">
        <v>1342</v>
      </c>
      <c r="M4683" t="s">
        <v>1270</v>
      </c>
      <c r="N4683">
        <v>24</v>
      </c>
      <c r="O4683" s="1">
        <v>43344</v>
      </c>
      <c r="P4683" t="s">
        <v>41</v>
      </c>
      <c r="Q4683" t="s">
        <v>75</v>
      </c>
      <c r="R4683" t="str">
        <f>"7191004"</f>
        <v>7191004</v>
      </c>
      <c r="S4683" t="s">
        <v>1344</v>
      </c>
      <c r="T4683" t="s">
        <v>1341</v>
      </c>
      <c r="U4683" t="s">
        <v>1342</v>
      </c>
      <c r="V4683" t="s">
        <v>1270</v>
      </c>
      <c r="W4683" t="s">
        <v>44</v>
      </c>
      <c r="X4683" t="s">
        <v>45</v>
      </c>
      <c r="Y4683" s="1">
        <v>31997</v>
      </c>
      <c r="Z4683">
        <v>1</v>
      </c>
      <c r="AA4683" t="s">
        <v>1342</v>
      </c>
      <c r="AB4683" s="40" t="s">
        <v>1799</v>
      </c>
    </row>
    <row r="4684" spans="1:28" x14ac:dyDescent="0.25">
      <c r="A4684">
        <v>99914683</v>
      </c>
      <c r="B4684" t="s">
        <v>32</v>
      </c>
      <c r="C4684" t="s">
        <v>90</v>
      </c>
      <c r="D4684" t="s">
        <v>91</v>
      </c>
      <c r="G4684" t="s">
        <v>35</v>
      </c>
      <c r="H4684">
        <v>1</v>
      </c>
      <c r="I4684" t="s">
        <v>1345</v>
      </c>
      <c r="J4684" s="1">
        <v>43344</v>
      </c>
      <c r="K4684" t="s">
        <v>1341</v>
      </c>
      <c r="L4684" t="s">
        <v>1342</v>
      </c>
      <c r="M4684" t="s">
        <v>1270</v>
      </c>
      <c r="N4684">
        <v>24</v>
      </c>
      <c r="O4684" s="1">
        <v>43344</v>
      </c>
      <c r="P4684" t="s">
        <v>41</v>
      </c>
      <c r="Q4684" t="s">
        <v>95</v>
      </c>
      <c r="R4684" t="str">
        <f>"7191059"</f>
        <v>7191059</v>
      </c>
      <c r="S4684" t="s">
        <v>1346</v>
      </c>
      <c r="T4684" t="s">
        <v>1341</v>
      </c>
      <c r="U4684" t="s">
        <v>1342</v>
      </c>
      <c r="V4684" t="s">
        <v>1270</v>
      </c>
      <c r="W4684" t="s">
        <v>44</v>
      </c>
      <c r="X4684" t="s">
        <v>45</v>
      </c>
      <c r="Y4684" s="1">
        <v>31994</v>
      </c>
      <c r="Z4684">
        <v>1</v>
      </c>
      <c r="AA4684" t="s">
        <v>1342</v>
      </c>
      <c r="AB4684" s="40" t="s">
        <v>1799</v>
      </c>
    </row>
    <row r="4685" spans="1:28" x14ac:dyDescent="0.25">
      <c r="A4685">
        <v>99914684</v>
      </c>
      <c r="B4685" t="s">
        <v>32</v>
      </c>
      <c r="C4685" t="s">
        <v>111</v>
      </c>
      <c r="D4685" t="s">
        <v>112</v>
      </c>
      <c r="G4685" t="s">
        <v>35</v>
      </c>
      <c r="H4685">
        <v>1</v>
      </c>
      <c r="I4685" t="s">
        <v>856</v>
      </c>
      <c r="J4685" s="1">
        <v>42786</v>
      </c>
      <c r="K4685" t="s">
        <v>1081</v>
      </c>
      <c r="L4685" t="s">
        <v>1082</v>
      </c>
      <c r="M4685" t="s">
        <v>1053</v>
      </c>
      <c r="N4685">
        <v>24</v>
      </c>
      <c r="O4685" s="1">
        <v>42786</v>
      </c>
      <c r="P4685" t="s">
        <v>41</v>
      </c>
      <c r="Q4685" t="s">
        <v>75</v>
      </c>
      <c r="R4685" t="str">
        <f>"7201006"</f>
        <v>7201006</v>
      </c>
      <c r="S4685" t="s">
        <v>1083</v>
      </c>
      <c r="T4685" t="s">
        <v>1081</v>
      </c>
      <c r="U4685" t="s">
        <v>1082</v>
      </c>
      <c r="V4685" t="s">
        <v>1053</v>
      </c>
      <c r="W4685" t="s">
        <v>51</v>
      </c>
      <c r="X4685" t="s">
        <v>45</v>
      </c>
      <c r="Y4685" s="1">
        <v>31993</v>
      </c>
      <c r="Z4685">
        <v>1</v>
      </c>
      <c r="AA4685" t="s">
        <v>1082</v>
      </c>
      <c r="AB4685" s="40" t="s">
        <v>1799</v>
      </c>
    </row>
    <row r="4686" spans="1:28" x14ac:dyDescent="0.25">
      <c r="A4686">
        <v>99914685</v>
      </c>
      <c r="B4686" t="s">
        <v>32</v>
      </c>
      <c r="C4686" t="s">
        <v>90</v>
      </c>
      <c r="D4686" t="s">
        <v>91</v>
      </c>
      <c r="G4686" t="s">
        <v>35</v>
      </c>
      <c r="H4686">
        <v>1</v>
      </c>
      <c r="I4686">
        <v>248</v>
      </c>
      <c r="J4686" s="1">
        <v>43344</v>
      </c>
      <c r="K4686" t="s">
        <v>268</v>
      </c>
      <c r="L4686" t="s">
        <v>269</v>
      </c>
      <c r="M4686" t="s">
        <v>131</v>
      </c>
      <c r="N4686">
        <v>24</v>
      </c>
      <c r="O4686" s="1">
        <v>43344</v>
      </c>
      <c r="P4686" t="s">
        <v>41</v>
      </c>
      <c r="Q4686" t="s">
        <v>95</v>
      </c>
      <c r="R4686" t="str">
        <f>"7052001"</f>
        <v>7052001</v>
      </c>
      <c r="S4686" t="s">
        <v>576</v>
      </c>
      <c r="T4686" t="s">
        <v>268</v>
      </c>
      <c r="U4686" t="s">
        <v>269</v>
      </c>
      <c r="V4686" t="s">
        <v>131</v>
      </c>
      <c r="W4686" t="s">
        <v>55</v>
      </c>
      <c r="X4686" t="s">
        <v>45</v>
      </c>
      <c r="Y4686" s="1">
        <v>31991</v>
      </c>
      <c r="Z4686">
        <v>1</v>
      </c>
      <c r="AA4686" t="s">
        <v>269</v>
      </c>
      <c r="AB4686" s="40" t="s">
        <v>1799</v>
      </c>
    </row>
    <row r="4687" spans="1:28" x14ac:dyDescent="0.25">
      <c r="A4687">
        <v>99914686</v>
      </c>
      <c r="B4687" t="s">
        <v>56</v>
      </c>
      <c r="C4687" t="s">
        <v>111</v>
      </c>
      <c r="D4687" t="s">
        <v>112</v>
      </c>
      <c r="G4687" t="s">
        <v>35</v>
      </c>
      <c r="H4687">
        <v>1</v>
      </c>
      <c r="I4687" s="1">
        <v>40422</v>
      </c>
      <c r="J4687" s="1">
        <v>43344</v>
      </c>
      <c r="K4687" t="s">
        <v>1341</v>
      </c>
      <c r="L4687" t="s">
        <v>1342</v>
      </c>
      <c r="M4687" t="s">
        <v>1270</v>
      </c>
      <c r="N4687">
        <v>24</v>
      </c>
      <c r="O4687" s="1">
        <v>43344</v>
      </c>
      <c r="P4687" t="s">
        <v>41</v>
      </c>
      <c r="Q4687" t="s">
        <v>75</v>
      </c>
      <c r="R4687" t="str">
        <f>"7191000"</f>
        <v>7191000</v>
      </c>
      <c r="S4687" t="s">
        <v>1347</v>
      </c>
      <c r="T4687" t="s">
        <v>1341</v>
      </c>
      <c r="U4687" t="s">
        <v>1342</v>
      </c>
      <c r="V4687" t="s">
        <v>1270</v>
      </c>
      <c r="W4687" t="s">
        <v>51</v>
      </c>
      <c r="X4687" t="s">
        <v>45</v>
      </c>
      <c r="Y4687" s="1">
        <v>31990</v>
      </c>
      <c r="Z4687">
        <v>1</v>
      </c>
      <c r="AA4687" t="s">
        <v>1342</v>
      </c>
      <c r="AB4687" s="40" t="s">
        <v>1799</v>
      </c>
    </row>
    <row r="4688" spans="1:28" x14ac:dyDescent="0.25">
      <c r="A4688">
        <v>99914687</v>
      </c>
      <c r="B4688" t="s">
        <v>56</v>
      </c>
      <c r="C4688" t="s">
        <v>111</v>
      </c>
      <c r="D4688" t="s">
        <v>112</v>
      </c>
      <c r="G4688" t="s">
        <v>48</v>
      </c>
      <c r="H4688">
        <v>1</v>
      </c>
      <c r="K4688" t="s">
        <v>268</v>
      </c>
      <c r="L4688" t="s">
        <v>269</v>
      </c>
      <c r="M4688" t="s">
        <v>131</v>
      </c>
      <c r="N4688">
        <v>24</v>
      </c>
      <c r="P4688" t="s">
        <v>41</v>
      </c>
      <c r="Q4688" t="s">
        <v>75</v>
      </c>
      <c r="R4688" t="str">
        <f>"7052040"</f>
        <v>7052040</v>
      </c>
      <c r="S4688" t="s">
        <v>591</v>
      </c>
      <c r="T4688" t="s">
        <v>268</v>
      </c>
      <c r="U4688" t="s">
        <v>269</v>
      </c>
      <c r="V4688" t="s">
        <v>131</v>
      </c>
      <c r="W4688" t="s">
        <v>51</v>
      </c>
      <c r="X4688" t="s">
        <v>45</v>
      </c>
      <c r="Y4688" s="1">
        <v>31977</v>
      </c>
      <c r="Z4688">
        <v>1</v>
      </c>
      <c r="AA4688" t="s">
        <v>269</v>
      </c>
      <c r="AB4688" s="40" t="s">
        <v>1799</v>
      </c>
    </row>
    <row r="4689" spans="1:28" x14ac:dyDescent="0.25">
      <c r="A4689">
        <v>99914688</v>
      </c>
      <c r="B4689" t="s">
        <v>32</v>
      </c>
      <c r="C4689" t="s">
        <v>111</v>
      </c>
      <c r="D4689" t="s">
        <v>112</v>
      </c>
      <c r="G4689" t="s">
        <v>48</v>
      </c>
      <c r="H4689">
        <v>1</v>
      </c>
      <c r="K4689" t="s">
        <v>268</v>
      </c>
      <c r="L4689" t="s">
        <v>269</v>
      </c>
      <c r="M4689" t="s">
        <v>131</v>
      </c>
      <c r="N4689">
        <v>24</v>
      </c>
      <c r="P4689" t="s">
        <v>41</v>
      </c>
      <c r="Q4689" t="s">
        <v>75</v>
      </c>
      <c r="R4689" t="str">
        <f>"7052040"</f>
        <v>7052040</v>
      </c>
      <c r="S4689" t="s">
        <v>591</v>
      </c>
      <c r="T4689" t="s">
        <v>268</v>
      </c>
      <c r="U4689" t="s">
        <v>269</v>
      </c>
      <c r="V4689" t="s">
        <v>131</v>
      </c>
      <c r="W4689" t="s">
        <v>51</v>
      </c>
      <c r="X4689" t="s">
        <v>45</v>
      </c>
      <c r="Y4689" s="1">
        <v>31969</v>
      </c>
      <c r="Z4689">
        <v>1</v>
      </c>
      <c r="AA4689" t="s">
        <v>269</v>
      </c>
      <c r="AB4689" s="40" t="s">
        <v>1799</v>
      </c>
    </row>
    <row r="4690" spans="1:28" x14ac:dyDescent="0.25">
      <c r="A4690">
        <v>99914689</v>
      </c>
      <c r="B4690" t="s">
        <v>32</v>
      </c>
      <c r="C4690" t="s">
        <v>111</v>
      </c>
      <c r="D4690" t="s">
        <v>112</v>
      </c>
      <c r="G4690" t="s">
        <v>88</v>
      </c>
      <c r="H4690">
        <v>6</v>
      </c>
      <c r="I4690" t="s">
        <v>828</v>
      </c>
      <c r="J4690" s="1">
        <v>42677</v>
      </c>
      <c r="K4690" t="s">
        <v>354</v>
      </c>
      <c r="L4690" t="s">
        <v>355</v>
      </c>
      <c r="M4690" t="s">
        <v>131</v>
      </c>
      <c r="N4690">
        <v>24</v>
      </c>
      <c r="O4690" s="1">
        <v>42677</v>
      </c>
      <c r="P4690" t="s">
        <v>41</v>
      </c>
      <c r="Q4690" t="s">
        <v>75</v>
      </c>
      <c r="R4690" t="str">
        <f>"7054022"</f>
        <v>7054022</v>
      </c>
      <c r="S4690" t="s">
        <v>770</v>
      </c>
      <c r="T4690" t="s">
        <v>354</v>
      </c>
      <c r="U4690" t="s">
        <v>355</v>
      </c>
      <c r="V4690" t="s">
        <v>131</v>
      </c>
      <c r="W4690" t="s">
        <v>51</v>
      </c>
      <c r="X4690" t="s">
        <v>45</v>
      </c>
      <c r="Y4690" s="1">
        <v>31922</v>
      </c>
      <c r="Z4690">
        <v>1</v>
      </c>
      <c r="AA4690" t="s">
        <v>355</v>
      </c>
      <c r="AB4690" s="40" t="s">
        <v>1799</v>
      </c>
    </row>
    <row r="4691" spans="1:28" x14ac:dyDescent="0.25">
      <c r="A4691">
        <v>99914690</v>
      </c>
      <c r="B4691" t="s">
        <v>32</v>
      </c>
      <c r="C4691" t="s">
        <v>90</v>
      </c>
      <c r="D4691" t="s">
        <v>91</v>
      </c>
      <c r="G4691" t="s">
        <v>35</v>
      </c>
      <c r="H4691">
        <v>1</v>
      </c>
      <c r="I4691" t="s">
        <v>729</v>
      </c>
      <c r="J4691" s="1">
        <v>43344</v>
      </c>
      <c r="K4691" t="s">
        <v>268</v>
      </c>
      <c r="L4691" t="s">
        <v>269</v>
      </c>
      <c r="M4691" t="s">
        <v>131</v>
      </c>
      <c r="N4691">
        <v>24</v>
      </c>
      <c r="P4691" t="s">
        <v>41</v>
      </c>
      <c r="Q4691" t="s">
        <v>95</v>
      </c>
      <c r="R4691" t="str">
        <f>"7052071"</f>
        <v>7052071</v>
      </c>
      <c r="S4691" t="s">
        <v>628</v>
      </c>
      <c r="T4691" t="s">
        <v>268</v>
      </c>
      <c r="U4691" t="s">
        <v>269</v>
      </c>
      <c r="V4691" t="s">
        <v>131</v>
      </c>
      <c r="W4691" t="s">
        <v>51</v>
      </c>
      <c r="X4691" t="s">
        <v>45</v>
      </c>
      <c r="Y4691" s="1">
        <v>31918</v>
      </c>
      <c r="Z4691">
        <v>1</v>
      </c>
      <c r="AA4691" t="s">
        <v>269</v>
      </c>
      <c r="AB4691" s="40" t="s">
        <v>1799</v>
      </c>
    </row>
    <row r="4692" spans="1:28" x14ac:dyDescent="0.25">
      <c r="A4692">
        <v>99914691</v>
      </c>
      <c r="B4692" t="s">
        <v>32</v>
      </c>
      <c r="C4692" t="s">
        <v>111</v>
      </c>
      <c r="D4692" t="s">
        <v>112</v>
      </c>
      <c r="G4692" t="s">
        <v>35</v>
      </c>
      <c r="H4692">
        <v>1</v>
      </c>
      <c r="I4692" t="s">
        <v>818</v>
      </c>
      <c r="J4692" s="1">
        <v>43344</v>
      </c>
      <c r="K4692" t="s">
        <v>354</v>
      </c>
      <c r="L4692" t="s">
        <v>355</v>
      </c>
      <c r="M4692" t="s">
        <v>131</v>
      </c>
      <c r="N4692">
        <v>24</v>
      </c>
      <c r="O4692" s="1">
        <v>43344</v>
      </c>
      <c r="P4692" t="s">
        <v>41</v>
      </c>
      <c r="Q4692" t="s">
        <v>75</v>
      </c>
      <c r="R4692" t="str">
        <f>"7054042"</f>
        <v>7054042</v>
      </c>
      <c r="S4692" t="s">
        <v>776</v>
      </c>
      <c r="T4692" t="s">
        <v>354</v>
      </c>
      <c r="U4692" t="s">
        <v>355</v>
      </c>
      <c r="V4692" t="s">
        <v>131</v>
      </c>
      <c r="W4692" t="s">
        <v>51</v>
      </c>
      <c r="X4692" t="s">
        <v>45</v>
      </c>
      <c r="Y4692" s="1">
        <v>31905</v>
      </c>
      <c r="Z4692">
        <v>1</v>
      </c>
      <c r="AA4692" t="s">
        <v>355</v>
      </c>
      <c r="AB4692" s="40" t="s">
        <v>1799</v>
      </c>
    </row>
    <row r="4693" spans="1:28" x14ac:dyDescent="0.25">
      <c r="A4693">
        <v>99914692</v>
      </c>
      <c r="B4693" t="s">
        <v>32</v>
      </c>
      <c r="C4693" t="s">
        <v>111</v>
      </c>
      <c r="D4693" t="s">
        <v>112</v>
      </c>
      <c r="G4693" t="s">
        <v>88</v>
      </c>
      <c r="H4693">
        <v>4</v>
      </c>
      <c r="J4693" s="1">
        <v>43344</v>
      </c>
      <c r="K4693" t="s">
        <v>354</v>
      </c>
      <c r="L4693" t="s">
        <v>355</v>
      </c>
      <c r="M4693" t="s">
        <v>131</v>
      </c>
      <c r="N4693">
        <v>24</v>
      </c>
      <c r="O4693" s="1">
        <v>43344</v>
      </c>
      <c r="P4693" t="s">
        <v>41</v>
      </c>
      <c r="Q4693" t="s">
        <v>75</v>
      </c>
      <c r="R4693" t="str">
        <f>"7054020"</f>
        <v>7054020</v>
      </c>
      <c r="S4693" t="s">
        <v>765</v>
      </c>
      <c r="T4693" t="s">
        <v>354</v>
      </c>
      <c r="U4693" t="s">
        <v>355</v>
      </c>
      <c r="V4693" t="s">
        <v>131</v>
      </c>
      <c r="W4693" t="s">
        <v>51</v>
      </c>
      <c r="X4693" t="s">
        <v>45</v>
      </c>
      <c r="Y4693" s="1">
        <v>31904</v>
      </c>
      <c r="Z4693">
        <v>1</v>
      </c>
      <c r="AA4693" t="s">
        <v>355</v>
      </c>
      <c r="AB4693" s="40" t="s">
        <v>1799</v>
      </c>
    </row>
    <row r="4694" spans="1:28" x14ac:dyDescent="0.25">
      <c r="A4694">
        <v>99914693</v>
      </c>
      <c r="B4694" t="s">
        <v>32</v>
      </c>
      <c r="C4694" t="s">
        <v>111</v>
      </c>
      <c r="D4694" t="s">
        <v>112</v>
      </c>
      <c r="G4694" t="s">
        <v>35</v>
      </c>
      <c r="H4694">
        <v>1</v>
      </c>
      <c r="I4694">
        <v>4978</v>
      </c>
      <c r="J4694" s="1">
        <v>43344</v>
      </c>
      <c r="K4694" t="s">
        <v>354</v>
      </c>
      <c r="L4694" t="s">
        <v>355</v>
      </c>
      <c r="M4694" t="s">
        <v>131</v>
      </c>
      <c r="N4694">
        <v>24</v>
      </c>
      <c r="O4694" s="1">
        <v>43344</v>
      </c>
      <c r="P4694" t="s">
        <v>41</v>
      </c>
      <c r="Q4694" t="s">
        <v>75</v>
      </c>
      <c r="R4694" t="str">
        <f>"7054008"</f>
        <v>7054008</v>
      </c>
      <c r="S4694" t="s">
        <v>813</v>
      </c>
      <c r="T4694" t="s">
        <v>354</v>
      </c>
      <c r="U4694" t="s">
        <v>355</v>
      </c>
      <c r="V4694" t="s">
        <v>131</v>
      </c>
      <c r="W4694" t="s">
        <v>51</v>
      </c>
      <c r="X4694" t="s">
        <v>45</v>
      </c>
      <c r="Y4694" s="1">
        <v>31881</v>
      </c>
      <c r="Z4694">
        <v>1</v>
      </c>
      <c r="AA4694" t="s">
        <v>355</v>
      </c>
      <c r="AB4694" s="40" t="s">
        <v>1799</v>
      </c>
    </row>
    <row r="4695" spans="1:28" x14ac:dyDescent="0.25">
      <c r="A4695">
        <v>99914694</v>
      </c>
      <c r="B4695" t="s">
        <v>32</v>
      </c>
      <c r="C4695" t="s">
        <v>64</v>
      </c>
      <c r="D4695" t="s">
        <v>65</v>
      </c>
      <c r="G4695" t="s">
        <v>88</v>
      </c>
      <c r="H4695">
        <v>4</v>
      </c>
      <c r="K4695" t="s">
        <v>195</v>
      </c>
      <c r="L4695" t="s">
        <v>196</v>
      </c>
      <c r="M4695" t="s">
        <v>131</v>
      </c>
      <c r="N4695">
        <v>24</v>
      </c>
      <c r="O4695" s="1">
        <v>42248</v>
      </c>
      <c r="P4695" t="s">
        <v>41</v>
      </c>
      <c r="Q4695" t="s">
        <v>75</v>
      </c>
      <c r="R4695" t="str">
        <f>"7521050"</f>
        <v>7521050</v>
      </c>
      <c r="S4695" t="s">
        <v>194</v>
      </c>
      <c r="T4695" t="s">
        <v>195</v>
      </c>
      <c r="U4695" t="s">
        <v>196</v>
      </c>
      <c r="V4695" t="s">
        <v>131</v>
      </c>
      <c r="W4695" t="s">
        <v>51</v>
      </c>
      <c r="X4695" t="s">
        <v>45</v>
      </c>
      <c r="Y4695" s="1">
        <v>31866</v>
      </c>
      <c r="Z4695">
        <v>1</v>
      </c>
      <c r="AA4695" t="s">
        <v>196</v>
      </c>
      <c r="AB4695" s="40" t="s">
        <v>1799</v>
      </c>
    </row>
    <row r="4696" spans="1:28" x14ac:dyDescent="0.25">
      <c r="A4696">
        <v>99914695</v>
      </c>
      <c r="B4696" t="s">
        <v>32</v>
      </c>
      <c r="C4696" t="s">
        <v>61</v>
      </c>
      <c r="D4696" t="s">
        <v>62</v>
      </c>
      <c r="G4696" t="s">
        <v>35</v>
      </c>
      <c r="H4696">
        <v>1</v>
      </c>
      <c r="K4696" t="s">
        <v>1341</v>
      </c>
      <c r="L4696" t="s">
        <v>1342</v>
      </c>
      <c r="M4696" t="s">
        <v>1270</v>
      </c>
      <c r="N4696">
        <v>24</v>
      </c>
      <c r="P4696" t="s">
        <v>41</v>
      </c>
      <c r="Q4696" t="s">
        <v>75</v>
      </c>
      <c r="R4696" t="str">
        <f>"7191006"</f>
        <v>7191006</v>
      </c>
      <c r="S4696" t="s">
        <v>1351</v>
      </c>
      <c r="T4696" t="s">
        <v>1341</v>
      </c>
      <c r="U4696" t="s">
        <v>1342</v>
      </c>
      <c r="V4696" t="s">
        <v>1270</v>
      </c>
      <c r="W4696" t="s">
        <v>51</v>
      </c>
      <c r="X4696" t="s">
        <v>45</v>
      </c>
      <c r="Y4696" s="1">
        <v>31832</v>
      </c>
      <c r="Z4696">
        <v>1</v>
      </c>
      <c r="AA4696" t="s">
        <v>1342</v>
      </c>
      <c r="AB4696" s="40" t="s">
        <v>1799</v>
      </c>
    </row>
    <row r="4697" spans="1:28" x14ac:dyDescent="0.25">
      <c r="A4697">
        <v>99914696</v>
      </c>
      <c r="B4697" t="s">
        <v>32</v>
      </c>
      <c r="C4697" t="s">
        <v>111</v>
      </c>
      <c r="D4697" t="s">
        <v>112</v>
      </c>
      <c r="G4697" t="s">
        <v>35</v>
      </c>
      <c r="H4697">
        <v>1</v>
      </c>
      <c r="I4697" t="s">
        <v>1091</v>
      </c>
      <c r="J4697" s="1">
        <v>43344</v>
      </c>
      <c r="K4697" t="s">
        <v>1081</v>
      </c>
      <c r="L4697" t="s">
        <v>1082</v>
      </c>
      <c r="M4697" t="s">
        <v>1053</v>
      </c>
      <c r="N4697">
        <v>24</v>
      </c>
      <c r="O4697" s="1">
        <v>43344</v>
      </c>
      <c r="P4697" t="s">
        <v>41</v>
      </c>
      <c r="Q4697" t="s">
        <v>75</v>
      </c>
      <c r="R4697" t="str">
        <f>"7201008"</f>
        <v>7201008</v>
      </c>
      <c r="S4697" t="s">
        <v>1084</v>
      </c>
      <c r="T4697" t="s">
        <v>1081</v>
      </c>
      <c r="U4697" t="s">
        <v>1082</v>
      </c>
      <c r="V4697" t="s">
        <v>1053</v>
      </c>
      <c r="W4697" t="s">
        <v>51</v>
      </c>
      <c r="X4697" t="s">
        <v>45</v>
      </c>
      <c r="Y4697" s="1">
        <v>31790</v>
      </c>
      <c r="Z4697">
        <v>1</v>
      </c>
      <c r="AA4697" t="s">
        <v>1082</v>
      </c>
      <c r="AB4697" s="40" t="s">
        <v>1799</v>
      </c>
    </row>
    <row r="4698" spans="1:28" x14ac:dyDescent="0.25">
      <c r="A4698">
        <v>99914697</v>
      </c>
      <c r="B4698" t="s">
        <v>32</v>
      </c>
      <c r="C4698" t="s">
        <v>90</v>
      </c>
      <c r="D4698" t="s">
        <v>91</v>
      </c>
      <c r="G4698" t="s">
        <v>35</v>
      </c>
      <c r="H4698">
        <v>1</v>
      </c>
      <c r="I4698" t="s">
        <v>744</v>
      </c>
      <c r="J4698" s="1">
        <v>43344</v>
      </c>
      <c r="K4698" t="s">
        <v>268</v>
      </c>
      <c r="L4698" t="s">
        <v>269</v>
      </c>
      <c r="M4698" t="s">
        <v>131</v>
      </c>
      <c r="N4698">
        <v>24</v>
      </c>
      <c r="O4698" s="1">
        <v>43344</v>
      </c>
      <c r="P4698" t="s">
        <v>41</v>
      </c>
      <c r="Q4698" t="s">
        <v>95</v>
      </c>
      <c r="R4698" t="str">
        <f>"7052001"</f>
        <v>7052001</v>
      </c>
      <c r="S4698" t="s">
        <v>576</v>
      </c>
      <c r="T4698" t="s">
        <v>268</v>
      </c>
      <c r="U4698" t="s">
        <v>269</v>
      </c>
      <c r="V4698" t="s">
        <v>131</v>
      </c>
      <c r="W4698" t="s">
        <v>51</v>
      </c>
      <c r="X4698" t="s">
        <v>45</v>
      </c>
      <c r="Y4698" s="1">
        <v>31785</v>
      </c>
      <c r="Z4698">
        <v>1</v>
      </c>
      <c r="AA4698" t="s">
        <v>269</v>
      </c>
      <c r="AB4698" s="40" t="s">
        <v>1799</v>
      </c>
    </row>
    <row r="4699" spans="1:28" x14ac:dyDescent="0.25">
      <c r="A4699">
        <v>99914698</v>
      </c>
      <c r="B4699" t="s">
        <v>32</v>
      </c>
      <c r="C4699" t="s">
        <v>90</v>
      </c>
      <c r="D4699" t="s">
        <v>91</v>
      </c>
      <c r="G4699" t="s">
        <v>48</v>
      </c>
      <c r="H4699">
        <v>1</v>
      </c>
      <c r="K4699" t="s">
        <v>877</v>
      </c>
      <c r="L4699" t="s">
        <v>878</v>
      </c>
      <c r="M4699" t="s">
        <v>131</v>
      </c>
      <c r="N4699">
        <v>24</v>
      </c>
      <c r="P4699" t="s">
        <v>41</v>
      </c>
      <c r="Q4699" t="s">
        <v>75</v>
      </c>
      <c r="R4699" t="str">
        <f>"7541008"</f>
        <v>7541008</v>
      </c>
      <c r="S4699" t="s">
        <v>879</v>
      </c>
      <c r="T4699" t="s">
        <v>877</v>
      </c>
      <c r="U4699" t="s">
        <v>878</v>
      </c>
      <c r="V4699" t="s">
        <v>131</v>
      </c>
      <c r="W4699" t="s">
        <v>51</v>
      </c>
      <c r="X4699" t="s">
        <v>45</v>
      </c>
      <c r="Y4699" s="1">
        <v>31784</v>
      </c>
      <c r="Z4699">
        <v>1</v>
      </c>
      <c r="AA4699" t="s">
        <v>878</v>
      </c>
      <c r="AB4699" s="40" t="s">
        <v>1799</v>
      </c>
    </row>
    <row r="4700" spans="1:28" x14ac:dyDescent="0.25">
      <c r="A4700">
        <v>99914699</v>
      </c>
      <c r="B4700" t="s">
        <v>32</v>
      </c>
      <c r="C4700" t="s">
        <v>90</v>
      </c>
      <c r="D4700" t="s">
        <v>91</v>
      </c>
      <c r="G4700" t="s">
        <v>35</v>
      </c>
      <c r="H4700">
        <v>1</v>
      </c>
      <c r="I4700" s="1">
        <v>41153</v>
      </c>
      <c r="J4700" s="1">
        <v>43344</v>
      </c>
      <c r="K4700" t="s">
        <v>1341</v>
      </c>
      <c r="L4700" t="s">
        <v>1342</v>
      </c>
      <c r="M4700" t="s">
        <v>1270</v>
      </c>
      <c r="N4700">
        <v>24</v>
      </c>
      <c r="O4700" s="1">
        <v>43344</v>
      </c>
      <c r="P4700" t="s">
        <v>41</v>
      </c>
      <c r="Q4700" t="s">
        <v>75</v>
      </c>
      <c r="R4700" t="str">
        <f>"7191034"</f>
        <v>7191034</v>
      </c>
      <c r="S4700" t="s">
        <v>1343</v>
      </c>
      <c r="T4700" t="s">
        <v>1341</v>
      </c>
      <c r="U4700" t="s">
        <v>1342</v>
      </c>
      <c r="V4700" t="s">
        <v>1270</v>
      </c>
      <c r="W4700" t="s">
        <v>51</v>
      </c>
      <c r="X4700" t="s">
        <v>45</v>
      </c>
      <c r="Y4700" s="1">
        <v>31782</v>
      </c>
      <c r="Z4700">
        <v>1</v>
      </c>
      <c r="AA4700" t="s">
        <v>1342</v>
      </c>
      <c r="AB4700" s="40" t="s">
        <v>1799</v>
      </c>
    </row>
    <row r="4701" spans="1:28" x14ac:dyDescent="0.25">
      <c r="A4701">
        <v>99914700</v>
      </c>
      <c r="B4701" t="s">
        <v>32</v>
      </c>
      <c r="C4701" t="s">
        <v>111</v>
      </c>
      <c r="D4701" t="s">
        <v>112</v>
      </c>
      <c r="G4701" t="s">
        <v>35</v>
      </c>
      <c r="H4701">
        <v>1</v>
      </c>
      <c r="K4701" t="s">
        <v>154</v>
      </c>
      <c r="L4701" t="s">
        <v>155</v>
      </c>
      <c r="M4701" t="s">
        <v>131</v>
      </c>
      <c r="N4701">
        <v>24</v>
      </c>
      <c r="P4701" t="s">
        <v>41</v>
      </c>
      <c r="Q4701" t="s">
        <v>75</v>
      </c>
      <c r="R4701" t="str">
        <f>"7700026"</f>
        <v>7700026</v>
      </c>
      <c r="S4701" t="s">
        <v>397</v>
      </c>
      <c r="T4701" t="s">
        <v>154</v>
      </c>
      <c r="U4701" t="s">
        <v>155</v>
      </c>
      <c r="V4701" t="s">
        <v>131</v>
      </c>
      <c r="W4701" t="s">
        <v>51</v>
      </c>
      <c r="X4701" t="s">
        <v>45</v>
      </c>
      <c r="Y4701" s="1">
        <v>31778</v>
      </c>
      <c r="Z4701">
        <v>1</v>
      </c>
      <c r="AA4701" t="s">
        <v>155</v>
      </c>
      <c r="AB4701" s="40" t="s">
        <v>1799</v>
      </c>
    </row>
    <row r="4702" spans="1:28" x14ac:dyDescent="0.25">
      <c r="A4702">
        <v>99914701</v>
      </c>
      <c r="B4702" t="s">
        <v>32</v>
      </c>
      <c r="C4702" t="s">
        <v>111</v>
      </c>
      <c r="D4702" t="s">
        <v>112</v>
      </c>
      <c r="G4702" t="s">
        <v>35</v>
      </c>
      <c r="H4702">
        <v>1</v>
      </c>
      <c r="I4702" t="s">
        <v>410</v>
      </c>
      <c r="J4702" s="1">
        <v>42292</v>
      </c>
      <c r="K4702" t="s">
        <v>154</v>
      </c>
      <c r="L4702" t="s">
        <v>155</v>
      </c>
      <c r="M4702" t="s">
        <v>131</v>
      </c>
      <c r="N4702">
        <v>24</v>
      </c>
      <c r="O4702" s="1">
        <v>42292</v>
      </c>
      <c r="P4702" t="s">
        <v>41</v>
      </c>
      <c r="Q4702" t="s">
        <v>75</v>
      </c>
      <c r="R4702" t="str">
        <f>"7051032"</f>
        <v>7051032</v>
      </c>
      <c r="S4702" t="s">
        <v>400</v>
      </c>
      <c r="T4702" t="s">
        <v>154</v>
      </c>
      <c r="U4702" t="s">
        <v>155</v>
      </c>
      <c r="V4702" t="s">
        <v>131</v>
      </c>
      <c r="W4702" t="s">
        <v>51</v>
      </c>
      <c r="X4702" t="s">
        <v>45</v>
      </c>
      <c r="Y4702" s="1">
        <v>31778</v>
      </c>
      <c r="Z4702">
        <v>1</v>
      </c>
      <c r="AA4702" t="s">
        <v>155</v>
      </c>
      <c r="AB4702" s="40" t="s">
        <v>1799</v>
      </c>
    </row>
    <row r="4703" spans="1:28" x14ac:dyDescent="0.25">
      <c r="A4703">
        <v>99914702</v>
      </c>
      <c r="B4703" t="s">
        <v>56</v>
      </c>
      <c r="C4703" t="s">
        <v>111</v>
      </c>
      <c r="D4703" t="s">
        <v>112</v>
      </c>
      <c r="G4703" t="s">
        <v>48</v>
      </c>
      <c r="H4703">
        <v>1</v>
      </c>
      <c r="K4703" t="s">
        <v>431</v>
      </c>
      <c r="L4703" t="s">
        <v>196</v>
      </c>
      <c r="M4703" t="s">
        <v>131</v>
      </c>
      <c r="N4703">
        <v>24</v>
      </c>
      <c r="P4703" t="s">
        <v>41</v>
      </c>
      <c r="Q4703" t="s">
        <v>75</v>
      </c>
      <c r="R4703" t="str">
        <f>"7521012"</f>
        <v>7521012</v>
      </c>
      <c r="S4703" t="s">
        <v>432</v>
      </c>
      <c r="T4703" t="s">
        <v>431</v>
      </c>
      <c r="U4703" t="s">
        <v>196</v>
      </c>
      <c r="V4703" t="s">
        <v>131</v>
      </c>
      <c r="W4703" t="s">
        <v>51</v>
      </c>
      <c r="X4703" t="s">
        <v>45</v>
      </c>
      <c r="Y4703" s="1">
        <v>31778</v>
      </c>
      <c r="Z4703">
        <v>1</v>
      </c>
      <c r="AA4703" t="s">
        <v>196</v>
      </c>
      <c r="AB4703" s="40" t="s">
        <v>1799</v>
      </c>
    </row>
    <row r="4704" spans="1:28" x14ac:dyDescent="0.25">
      <c r="A4704">
        <v>99914703</v>
      </c>
      <c r="B4704" t="s">
        <v>56</v>
      </c>
      <c r="C4704" t="s">
        <v>111</v>
      </c>
      <c r="D4704" t="s">
        <v>112</v>
      </c>
      <c r="G4704" t="s">
        <v>35</v>
      </c>
      <c r="H4704">
        <v>1</v>
      </c>
      <c r="K4704" t="s">
        <v>431</v>
      </c>
      <c r="L4704" t="s">
        <v>196</v>
      </c>
      <c r="M4704" t="s">
        <v>131</v>
      </c>
      <c r="N4704">
        <v>24</v>
      </c>
      <c r="P4704" t="s">
        <v>41</v>
      </c>
      <c r="Q4704" t="s">
        <v>75</v>
      </c>
      <c r="R4704" t="str">
        <f>"7521032"</f>
        <v>7521032</v>
      </c>
      <c r="S4704" t="s">
        <v>462</v>
      </c>
      <c r="T4704" t="s">
        <v>431</v>
      </c>
      <c r="U4704" t="s">
        <v>196</v>
      </c>
      <c r="V4704" t="s">
        <v>131</v>
      </c>
      <c r="W4704" t="s">
        <v>51</v>
      </c>
      <c r="X4704" t="s">
        <v>45</v>
      </c>
      <c r="Y4704" s="1">
        <v>31778</v>
      </c>
      <c r="Z4704">
        <v>1</v>
      </c>
      <c r="AA4704" t="s">
        <v>196</v>
      </c>
      <c r="AB4704" s="40" t="s">
        <v>1799</v>
      </c>
    </row>
    <row r="4705" spans="1:28" x14ac:dyDescent="0.25">
      <c r="A4705">
        <v>99914704</v>
      </c>
      <c r="B4705" t="s">
        <v>56</v>
      </c>
      <c r="C4705" t="s">
        <v>597</v>
      </c>
      <c r="D4705" t="s">
        <v>598</v>
      </c>
      <c r="G4705" t="s">
        <v>48</v>
      </c>
      <c r="H4705">
        <v>1</v>
      </c>
      <c r="K4705" t="s">
        <v>268</v>
      </c>
      <c r="L4705" t="s">
        <v>269</v>
      </c>
      <c r="M4705" t="s">
        <v>131</v>
      </c>
      <c r="N4705">
        <v>24</v>
      </c>
      <c r="P4705" t="s">
        <v>41</v>
      </c>
      <c r="Q4705" t="s">
        <v>75</v>
      </c>
      <c r="R4705" t="str">
        <f>"7052042"</f>
        <v>7052042</v>
      </c>
      <c r="S4705" t="s">
        <v>583</v>
      </c>
      <c r="T4705" t="s">
        <v>268</v>
      </c>
      <c r="U4705" t="s">
        <v>269</v>
      </c>
      <c r="V4705" t="s">
        <v>131</v>
      </c>
      <c r="W4705" t="s">
        <v>51</v>
      </c>
      <c r="X4705" t="s">
        <v>45</v>
      </c>
      <c r="Y4705" s="1">
        <v>31778</v>
      </c>
      <c r="Z4705">
        <v>1</v>
      </c>
      <c r="AA4705" t="s">
        <v>269</v>
      </c>
      <c r="AB4705" s="40" t="s">
        <v>1799</v>
      </c>
    </row>
    <row r="4706" spans="1:28" x14ac:dyDescent="0.25">
      <c r="A4706">
        <v>99914705</v>
      </c>
      <c r="B4706" t="s">
        <v>32</v>
      </c>
      <c r="C4706" t="s">
        <v>111</v>
      </c>
      <c r="D4706" t="s">
        <v>112</v>
      </c>
      <c r="G4706" t="s">
        <v>48</v>
      </c>
      <c r="H4706">
        <v>1</v>
      </c>
      <c r="K4706" t="s">
        <v>268</v>
      </c>
      <c r="L4706" t="s">
        <v>269</v>
      </c>
      <c r="M4706" t="s">
        <v>131</v>
      </c>
      <c r="N4706">
        <v>24</v>
      </c>
      <c r="P4706" t="s">
        <v>41</v>
      </c>
      <c r="Q4706" t="s">
        <v>75</v>
      </c>
      <c r="R4706" t="str">
        <f>"7052040"</f>
        <v>7052040</v>
      </c>
      <c r="S4706" t="s">
        <v>591</v>
      </c>
      <c r="T4706" t="s">
        <v>268</v>
      </c>
      <c r="U4706" t="s">
        <v>269</v>
      </c>
      <c r="V4706" t="s">
        <v>131</v>
      </c>
      <c r="W4706" t="s">
        <v>51</v>
      </c>
      <c r="X4706" t="s">
        <v>45</v>
      </c>
      <c r="Y4706" s="1">
        <v>31778</v>
      </c>
      <c r="Z4706">
        <v>1</v>
      </c>
      <c r="AA4706" t="s">
        <v>269</v>
      </c>
      <c r="AB4706" s="40" t="s">
        <v>1799</v>
      </c>
    </row>
    <row r="4707" spans="1:28" x14ac:dyDescent="0.25">
      <c r="A4707">
        <v>99914706</v>
      </c>
      <c r="B4707" t="s">
        <v>56</v>
      </c>
      <c r="C4707" t="s">
        <v>111</v>
      </c>
      <c r="D4707" t="s">
        <v>112</v>
      </c>
      <c r="G4707" t="s">
        <v>48</v>
      </c>
      <c r="H4707">
        <v>1</v>
      </c>
      <c r="I4707" t="s">
        <v>1454</v>
      </c>
      <c r="J4707" s="1">
        <v>41621</v>
      </c>
      <c r="K4707" t="s">
        <v>1426</v>
      </c>
      <c r="L4707" t="s">
        <v>1427</v>
      </c>
      <c r="M4707" t="s">
        <v>1270</v>
      </c>
      <c r="N4707">
        <v>24</v>
      </c>
      <c r="O4707" s="1">
        <v>41621</v>
      </c>
      <c r="P4707" t="s">
        <v>41</v>
      </c>
      <c r="Q4707" t="s">
        <v>75</v>
      </c>
      <c r="R4707" t="str">
        <f>"7192000"</f>
        <v>7192000</v>
      </c>
      <c r="S4707" t="s">
        <v>1429</v>
      </c>
      <c r="T4707" t="s">
        <v>1426</v>
      </c>
      <c r="U4707" t="s">
        <v>1427</v>
      </c>
      <c r="V4707" t="s">
        <v>1270</v>
      </c>
      <c r="W4707" t="s">
        <v>51</v>
      </c>
      <c r="X4707" t="s">
        <v>45</v>
      </c>
      <c r="Y4707" s="1">
        <v>31778</v>
      </c>
      <c r="Z4707">
        <v>1</v>
      </c>
      <c r="AA4707" t="s">
        <v>1427</v>
      </c>
      <c r="AB4707" s="40" t="s">
        <v>1799</v>
      </c>
    </row>
    <row r="4708" spans="1:28" x14ac:dyDescent="0.25">
      <c r="A4708">
        <v>99914707</v>
      </c>
      <c r="B4708" t="s">
        <v>56</v>
      </c>
      <c r="C4708" t="s">
        <v>111</v>
      </c>
      <c r="D4708" t="s">
        <v>112</v>
      </c>
      <c r="G4708" t="s">
        <v>48</v>
      </c>
      <c r="H4708">
        <v>1</v>
      </c>
      <c r="K4708" t="s">
        <v>1631</v>
      </c>
      <c r="L4708" t="s">
        <v>1632</v>
      </c>
      <c r="M4708" t="s">
        <v>1592</v>
      </c>
      <c r="N4708">
        <v>24</v>
      </c>
      <c r="P4708" t="s">
        <v>41</v>
      </c>
      <c r="Q4708" t="s">
        <v>75</v>
      </c>
      <c r="R4708" t="str">
        <f>"7021000"</f>
        <v>7021000</v>
      </c>
      <c r="S4708" t="s">
        <v>1633</v>
      </c>
      <c r="T4708" t="s">
        <v>1631</v>
      </c>
      <c r="U4708" t="s">
        <v>1632</v>
      </c>
      <c r="V4708" t="s">
        <v>1592</v>
      </c>
      <c r="W4708" t="s">
        <v>51</v>
      </c>
      <c r="X4708" t="s">
        <v>45</v>
      </c>
      <c r="Y4708" s="1">
        <v>31778</v>
      </c>
      <c r="Z4708">
        <v>1</v>
      </c>
      <c r="AA4708" t="s">
        <v>1632</v>
      </c>
      <c r="AB4708" s="40" t="s">
        <v>1799</v>
      </c>
    </row>
    <row r="4709" spans="1:28" x14ac:dyDescent="0.25">
      <c r="A4709">
        <v>99914708</v>
      </c>
      <c r="B4709" t="s">
        <v>32</v>
      </c>
      <c r="C4709" t="s">
        <v>111</v>
      </c>
      <c r="D4709" t="s">
        <v>112</v>
      </c>
      <c r="G4709" t="s">
        <v>35</v>
      </c>
      <c r="H4709">
        <v>1</v>
      </c>
      <c r="I4709">
        <v>4954</v>
      </c>
      <c r="J4709" s="1">
        <v>43344</v>
      </c>
      <c r="K4709" t="s">
        <v>1695</v>
      </c>
      <c r="L4709" t="s">
        <v>1696</v>
      </c>
      <c r="M4709" t="s">
        <v>1592</v>
      </c>
      <c r="N4709">
        <v>24</v>
      </c>
      <c r="O4709" s="1">
        <v>43344</v>
      </c>
      <c r="P4709" t="s">
        <v>41</v>
      </c>
      <c r="Q4709" t="s">
        <v>75</v>
      </c>
      <c r="R4709" t="str">
        <f>"7361000"</f>
        <v>7361000</v>
      </c>
      <c r="S4709" t="s">
        <v>1698</v>
      </c>
      <c r="T4709" t="s">
        <v>1695</v>
      </c>
      <c r="U4709" t="s">
        <v>1696</v>
      </c>
      <c r="V4709" t="s">
        <v>1592</v>
      </c>
      <c r="W4709" t="s">
        <v>51</v>
      </c>
      <c r="X4709" t="s">
        <v>45</v>
      </c>
      <c r="Y4709" s="1">
        <v>31778</v>
      </c>
      <c r="Z4709">
        <v>1</v>
      </c>
      <c r="AA4709" t="s">
        <v>1696</v>
      </c>
      <c r="AB4709" s="40" t="s">
        <v>1799</v>
      </c>
    </row>
    <row r="4710" spans="1:28" x14ac:dyDescent="0.25">
      <c r="A4710">
        <v>99914709</v>
      </c>
      <c r="B4710" t="s">
        <v>32</v>
      </c>
      <c r="C4710" t="s">
        <v>111</v>
      </c>
      <c r="D4710" t="s">
        <v>112</v>
      </c>
      <c r="G4710" t="s">
        <v>35</v>
      </c>
      <c r="H4710">
        <v>1</v>
      </c>
      <c r="K4710" t="s">
        <v>1564</v>
      </c>
      <c r="L4710" t="s">
        <v>1565</v>
      </c>
      <c r="M4710" t="s">
        <v>1548</v>
      </c>
      <c r="N4710">
        <v>24</v>
      </c>
      <c r="P4710" t="s">
        <v>41</v>
      </c>
      <c r="Q4710" t="s">
        <v>75</v>
      </c>
      <c r="R4710" t="str">
        <f>"7101000"</f>
        <v>7101000</v>
      </c>
      <c r="S4710" t="s">
        <v>1572</v>
      </c>
      <c r="T4710" t="s">
        <v>1564</v>
      </c>
      <c r="U4710" t="s">
        <v>1565</v>
      </c>
      <c r="V4710" t="s">
        <v>1548</v>
      </c>
      <c r="W4710" t="s">
        <v>51</v>
      </c>
      <c r="X4710" t="s">
        <v>45</v>
      </c>
      <c r="Y4710" s="1">
        <v>31771</v>
      </c>
      <c r="Z4710">
        <v>1</v>
      </c>
      <c r="AA4710" t="s">
        <v>1565</v>
      </c>
      <c r="AB4710" s="40" t="s">
        <v>1799</v>
      </c>
    </row>
    <row r="4711" spans="1:28" x14ac:dyDescent="0.25">
      <c r="A4711">
        <v>99914710</v>
      </c>
      <c r="B4711" t="s">
        <v>32</v>
      </c>
      <c r="C4711" t="s">
        <v>90</v>
      </c>
      <c r="D4711" t="s">
        <v>91</v>
      </c>
      <c r="G4711" t="s">
        <v>48</v>
      </c>
      <c r="H4711">
        <v>1</v>
      </c>
      <c r="K4711" t="s">
        <v>1581</v>
      </c>
      <c r="L4711" t="s">
        <v>1582</v>
      </c>
      <c r="M4711" t="s">
        <v>1548</v>
      </c>
      <c r="N4711">
        <v>24</v>
      </c>
      <c r="P4711" t="s">
        <v>41</v>
      </c>
      <c r="Q4711" t="s">
        <v>75</v>
      </c>
      <c r="R4711" t="str">
        <f>"7291000"</f>
        <v>7291000</v>
      </c>
      <c r="S4711" t="s">
        <v>1584</v>
      </c>
      <c r="T4711" t="s">
        <v>1581</v>
      </c>
      <c r="U4711" t="s">
        <v>1582</v>
      </c>
      <c r="V4711" t="s">
        <v>1548</v>
      </c>
      <c r="W4711" t="s">
        <v>51</v>
      </c>
      <c r="X4711" t="s">
        <v>45</v>
      </c>
      <c r="Y4711" s="1">
        <v>31749</v>
      </c>
      <c r="Z4711">
        <v>1</v>
      </c>
      <c r="AA4711" t="s">
        <v>1582</v>
      </c>
      <c r="AB4711" s="40" t="s">
        <v>1799</v>
      </c>
    </row>
    <row r="4712" spans="1:28" x14ac:dyDescent="0.25">
      <c r="A4712">
        <v>99914711</v>
      </c>
      <c r="B4712" t="s">
        <v>32</v>
      </c>
      <c r="C4712" t="s">
        <v>111</v>
      </c>
      <c r="D4712" t="s">
        <v>112</v>
      </c>
      <c r="G4712" t="s">
        <v>48</v>
      </c>
      <c r="H4712">
        <v>1</v>
      </c>
      <c r="K4712" t="s">
        <v>877</v>
      </c>
      <c r="L4712" t="s">
        <v>878</v>
      </c>
      <c r="M4712" t="s">
        <v>131</v>
      </c>
      <c r="N4712">
        <v>24</v>
      </c>
      <c r="P4712" t="s">
        <v>41</v>
      </c>
      <c r="Q4712" t="s">
        <v>75</v>
      </c>
      <c r="R4712" t="str">
        <f>"7541008"</f>
        <v>7541008</v>
      </c>
      <c r="S4712" t="s">
        <v>879</v>
      </c>
      <c r="T4712" t="s">
        <v>877</v>
      </c>
      <c r="U4712" t="s">
        <v>878</v>
      </c>
      <c r="V4712" t="s">
        <v>131</v>
      </c>
      <c r="W4712" t="s">
        <v>51</v>
      </c>
      <c r="X4712" t="s">
        <v>45</v>
      </c>
      <c r="Y4712" s="1">
        <v>31717</v>
      </c>
      <c r="Z4712">
        <v>1</v>
      </c>
      <c r="AA4712" t="s">
        <v>878</v>
      </c>
      <c r="AB4712" s="40" t="s">
        <v>1799</v>
      </c>
    </row>
    <row r="4713" spans="1:28" x14ac:dyDescent="0.25">
      <c r="A4713">
        <v>99914712</v>
      </c>
      <c r="B4713" t="s">
        <v>32</v>
      </c>
      <c r="C4713" t="s">
        <v>111</v>
      </c>
      <c r="D4713" t="s">
        <v>112</v>
      </c>
      <c r="G4713" t="s">
        <v>35</v>
      </c>
      <c r="H4713">
        <v>1</v>
      </c>
      <c r="I4713">
        <v>7164</v>
      </c>
      <c r="J4713" s="1">
        <v>43369</v>
      </c>
      <c r="K4713" t="s">
        <v>1198</v>
      </c>
      <c r="L4713" t="s">
        <v>1199</v>
      </c>
      <c r="M4713" t="s">
        <v>1130</v>
      </c>
      <c r="N4713">
        <v>24</v>
      </c>
      <c r="O4713" s="1">
        <v>43369</v>
      </c>
      <c r="P4713" t="s">
        <v>41</v>
      </c>
      <c r="Q4713" t="s">
        <v>75</v>
      </c>
      <c r="R4713" t="str">
        <f>"7311002"</f>
        <v>7311002</v>
      </c>
      <c r="S4713" t="s">
        <v>1203</v>
      </c>
      <c r="T4713" t="s">
        <v>1198</v>
      </c>
      <c r="U4713" t="s">
        <v>1199</v>
      </c>
      <c r="V4713" t="s">
        <v>1130</v>
      </c>
      <c r="W4713" t="s">
        <v>55</v>
      </c>
      <c r="X4713" t="s">
        <v>45</v>
      </c>
      <c r="Y4713" s="1">
        <v>31696</v>
      </c>
      <c r="Z4713">
        <v>1</v>
      </c>
      <c r="AA4713" t="s">
        <v>1199</v>
      </c>
      <c r="AB4713" s="40" t="s">
        <v>1799</v>
      </c>
    </row>
    <row r="4714" spans="1:28" x14ac:dyDescent="0.25">
      <c r="A4714">
        <v>99914713</v>
      </c>
      <c r="B4714" t="s">
        <v>32</v>
      </c>
      <c r="C4714" t="s">
        <v>90</v>
      </c>
      <c r="D4714" t="s">
        <v>91</v>
      </c>
      <c r="G4714" t="s">
        <v>35</v>
      </c>
      <c r="H4714">
        <v>1</v>
      </c>
      <c r="I4714">
        <v>941</v>
      </c>
      <c r="J4714" s="1">
        <v>43344</v>
      </c>
      <c r="K4714" t="s">
        <v>1198</v>
      </c>
      <c r="L4714" t="s">
        <v>1199</v>
      </c>
      <c r="M4714" t="s">
        <v>1130</v>
      </c>
      <c r="N4714">
        <v>24</v>
      </c>
      <c r="O4714" s="1">
        <v>43344</v>
      </c>
      <c r="P4714" t="s">
        <v>41</v>
      </c>
      <c r="Q4714" t="s">
        <v>75</v>
      </c>
      <c r="R4714" t="str">
        <f>"7311002"</f>
        <v>7311002</v>
      </c>
      <c r="S4714" t="s">
        <v>1203</v>
      </c>
      <c r="T4714" t="s">
        <v>1198</v>
      </c>
      <c r="U4714" t="s">
        <v>1199</v>
      </c>
      <c r="V4714" t="s">
        <v>1130</v>
      </c>
      <c r="W4714" t="s">
        <v>51</v>
      </c>
      <c r="X4714" t="s">
        <v>45</v>
      </c>
      <c r="Y4714" s="1">
        <v>31693</v>
      </c>
      <c r="Z4714">
        <v>1</v>
      </c>
      <c r="AA4714" t="s">
        <v>1199</v>
      </c>
      <c r="AB4714" s="40" t="s">
        <v>1799</v>
      </c>
    </row>
    <row r="4715" spans="1:28" x14ac:dyDescent="0.25">
      <c r="A4715">
        <v>99914714</v>
      </c>
      <c r="B4715" t="s">
        <v>32</v>
      </c>
      <c r="C4715" t="s">
        <v>111</v>
      </c>
      <c r="D4715" t="s">
        <v>112</v>
      </c>
      <c r="G4715" t="s">
        <v>35</v>
      </c>
      <c r="H4715">
        <v>1</v>
      </c>
      <c r="K4715" t="s">
        <v>963</v>
      </c>
      <c r="L4715" t="s">
        <v>964</v>
      </c>
      <c r="M4715" t="s">
        <v>938</v>
      </c>
      <c r="N4715">
        <v>24</v>
      </c>
      <c r="P4715" t="s">
        <v>41</v>
      </c>
      <c r="Q4715" t="s">
        <v>75</v>
      </c>
      <c r="R4715" t="str">
        <f>"7061000"</f>
        <v>7061000</v>
      </c>
      <c r="S4715" t="s">
        <v>962</v>
      </c>
      <c r="T4715" t="s">
        <v>963</v>
      </c>
      <c r="U4715" t="s">
        <v>964</v>
      </c>
      <c r="V4715" t="s">
        <v>938</v>
      </c>
      <c r="W4715" t="s">
        <v>165</v>
      </c>
      <c r="X4715" t="s">
        <v>45</v>
      </c>
      <c r="Y4715" s="1">
        <v>31692</v>
      </c>
      <c r="Z4715">
        <v>1</v>
      </c>
      <c r="AA4715" t="s">
        <v>964</v>
      </c>
      <c r="AB4715" s="40" t="s">
        <v>1799</v>
      </c>
    </row>
    <row r="4716" spans="1:28" x14ac:dyDescent="0.25">
      <c r="A4716">
        <v>99914715</v>
      </c>
      <c r="B4716" t="s">
        <v>32</v>
      </c>
      <c r="C4716" t="s">
        <v>111</v>
      </c>
      <c r="D4716" t="s">
        <v>112</v>
      </c>
      <c r="G4716" t="s">
        <v>48</v>
      </c>
      <c r="H4716">
        <v>1</v>
      </c>
      <c r="K4716" t="s">
        <v>268</v>
      </c>
      <c r="L4716" t="s">
        <v>269</v>
      </c>
      <c r="M4716" t="s">
        <v>131</v>
      </c>
      <c r="N4716">
        <v>24</v>
      </c>
      <c r="P4716" t="s">
        <v>41</v>
      </c>
      <c r="Q4716" t="s">
        <v>75</v>
      </c>
      <c r="R4716" t="str">
        <f>"7052042"</f>
        <v>7052042</v>
      </c>
      <c r="S4716" t="s">
        <v>583</v>
      </c>
      <c r="T4716" t="s">
        <v>268</v>
      </c>
      <c r="U4716" t="s">
        <v>269</v>
      </c>
      <c r="V4716" t="s">
        <v>131</v>
      </c>
      <c r="W4716" t="s">
        <v>51</v>
      </c>
      <c r="X4716" t="s">
        <v>45</v>
      </c>
      <c r="Y4716" s="1">
        <v>31686</v>
      </c>
      <c r="Z4716">
        <v>1</v>
      </c>
      <c r="AA4716" t="s">
        <v>269</v>
      </c>
      <c r="AB4716" s="40" t="s">
        <v>1799</v>
      </c>
    </row>
    <row r="4717" spans="1:28" x14ac:dyDescent="0.25">
      <c r="A4717">
        <v>99914716</v>
      </c>
      <c r="B4717" t="s">
        <v>32</v>
      </c>
      <c r="C4717" t="s">
        <v>64</v>
      </c>
      <c r="D4717" t="s">
        <v>65</v>
      </c>
      <c r="G4717" t="s">
        <v>48</v>
      </c>
      <c r="H4717">
        <v>1</v>
      </c>
      <c r="K4717" t="s">
        <v>154</v>
      </c>
      <c r="L4717" t="s">
        <v>155</v>
      </c>
      <c r="M4717" t="s">
        <v>131</v>
      </c>
      <c r="N4717">
        <v>24</v>
      </c>
      <c r="P4717" t="s">
        <v>41</v>
      </c>
      <c r="Q4717" t="s">
        <v>75</v>
      </c>
      <c r="R4717" t="str">
        <f>"7051018"</f>
        <v>7051018</v>
      </c>
      <c r="S4717" t="s">
        <v>401</v>
      </c>
      <c r="T4717" t="s">
        <v>154</v>
      </c>
      <c r="U4717" t="s">
        <v>155</v>
      </c>
      <c r="V4717" t="s">
        <v>131</v>
      </c>
      <c r="W4717" t="s">
        <v>51</v>
      </c>
      <c r="X4717" t="s">
        <v>45</v>
      </c>
      <c r="Y4717" s="1">
        <v>31663</v>
      </c>
      <c r="Z4717">
        <v>1</v>
      </c>
      <c r="AA4717" t="s">
        <v>155</v>
      </c>
      <c r="AB4717" s="40" t="s">
        <v>1799</v>
      </c>
    </row>
    <row r="4718" spans="1:28" x14ac:dyDescent="0.25">
      <c r="A4718">
        <v>99914717</v>
      </c>
      <c r="B4718" t="s">
        <v>32</v>
      </c>
      <c r="C4718" t="s">
        <v>111</v>
      </c>
      <c r="D4718" t="s">
        <v>112</v>
      </c>
      <c r="G4718" t="s">
        <v>35</v>
      </c>
      <c r="H4718">
        <v>1</v>
      </c>
      <c r="I4718" t="s">
        <v>1441</v>
      </c>
      <c r="J4718" s="1">
        <v>43346</v>
      </c>
      <c r="K4718" t="s">
        <v>1426</v>
      </c>
      <c r="L4718" t="s">
        <v>1427</v>
      </c>
      <c r="M4718" t="s">
        <v>1270</v>
      </c>
      <c r="N4718">
        <v>24</v>
      </c>
      <c r="O4718" s="1">
        <v>43346</v>
      </c>
      <c r="P4718" t="s">
        <v>41</v>
      </c>
      <c r="Q4718" t="s">
        <v>75</v>
      </c>
      <c r="R4718" t="str">
        <f>"7192004"</f>
        <v>7192004</v>
      </c>
      <c r="S4718" t="s">
        <v>1428</v>
      </c>
      <c r="T4718" t="s">
        <v>1426</v>
      </c>
      <c r="U4718" t="s">
        <v>1427</v>
      </c>
      <c r="V4718" t="s">
        <v>1270</v>
      </c>
      <c r="W4718" t="s">
        <v>44</v>
      </c>
      <c r="X4718" t="s">
        <v>45</v>
      </c>
      <c r="Y4718" s="1">
        <v>31657</v>
      </c>
      <c r="Z4718">
        <v>1</v>
      </c>
      <c r="AA4718" t="s">
        <v>1427</v>
      </c>
      <c r="AB4718" s="40" t="s">
        <v>1799</v>
      </c>
    </row>
    <row r="4719" spans="1:28" x14ac:dyDescent="0.25">
      <c r="A4719">
        <v>99914718</v>
      </c>
      <c r="B4719" t="s">
        <v>32</v>
      </c>
      <c r="C4719" t="s">
        <v>111</v>
      </c>
      <c r="D4719" t="s">
        <v>112</v>
      </c>
      <c r="G4719" t="s">
        <v>35</v>
      </c>
      <c r="H4719">
        <v>1</v>
      </c>
      <c r="K4719" t="s">
        <v>154</v>
      </c>
      <c r="L4719" t="s">
        <v>155</v>
      </c>
      <c r="M4719" t="s">
        <v>131</v>
      </c>
      <c r="N4719">
        <v>24</v>
      </c>
      <c r="P4719" t="s">
        <v>41</v>
      </c>
      <c r="Q4719" t="s">
        <v>75</v>
      </c>
      <c r="R4719" t="str">
        <f>"7700026"</f>
        <v>7700026</v>
      </c>
      <c r="S4719" t="s">
        <v>397</v>
      </c>
      <c r="T4719" t="s">
        <v>154</v>
      </c>
      <c r="U4719" t="s">
        <v>155</v>
      </c>
      <c r="V4719" t="s">
        <v>131</v>
      </c>
      <c r="W4719" t="s">
        <v>51</v>
      </c>
      <c r="X4719" t="s">
        <v>45</v>
      </c>
      <c r="Y4719" s="1">
        <v>31650</v>
      </c>
      <c r="Z4719">
        <v>1</v>
      </c>
      <c r="AA4719" t="s">
        <v>155</v>
      </c>
      <c r="AB4719" s="40" t="s">
        <v>1799</v>
      </c>
    </row>
    <row r="4720" spans="1:28" x14ac:dyDescent="0.25">
      <c r="A4720">
        <v>99914719</v>
      </c>
      <c r="B4720" t="s">
        <v>32</v>
      </c>
      <c r="C4720" t="s">
        <v>90</v>
      </c>
      <c r="D4720" t="s">
        <v>91</v>
      </c>
      <c r="G4720" t="s">
        <v>48</v>
      </c>
      <c r="H4720">
        <v>1</v>
      </c>
      <c r="K4720" t="s">
        <v>1245</v>
      </c>
      <c r="L4720" t="s">
        <v>1246</v>
      </c>
      <c r="M4720" t="s">
        <v>1130</v>
      </c>
      <c r="N4720">
        <v>24</v>
      </c>
      <c r="P4720" t="s">
        <v>41</v>
      </c>
      <c r="Q4720" t="s">
        <v>95</v>
      </c>
      <c r="R4720" t="str">
        <f>"7451003"</f>
        <v>7451003</v>
      </c>
      <c r="S4720" t="s">
        <v>1257</v>
      </c>
      <c r="T4720" t="s">
        <v>1245</v>
      </c>
      <c r="U4720" t="s">
        <v>1246</v>
      </c>
      <c r="V4720" t="s">
        <v>1130</v>
      </c>
      <c r="W4720" t="s">
        <v>51</v>
      </c>
      <c r="X4720" t="s">
        <v>45</v>
      </c>
      <c r="Y4720" s="1">
        <v>31640</v>
      </c>
      <c r="Z4720">
        <v>1</v>
      </c>
      <c r="AA4720" t="s">
        <v>1246</v>
      </c>
      <c r="AB4720" s="40" t="s">
        <v>1799</v>
      </c>
    </row>
    <row r="4721" spans="1:28" x14ac:dyDescent="0.25">
      <c r="A4721">
        <v>99914720</v>
      </c>
      <c r="B4721" t="s">
        <v>32</v>
      </c>
      <c r="C4721" t="s">
        <v>90</v>
      </c>
      <c r="D4721" t="s">
        <v>91</v>
      </c>
      <c r="G4721" t="s">
        <v>35</v>
      </c>
      <c r="H4721">
        <v>1</v>
      </c>
      <c r="K4721" t="s">
        <v>268</v>
      </c>
      <c r="L4721" t="s">
        <v>269</v>
      </c>
      <c r="M4721" t="s">
        <v>131</v>
      </c>
      <c r="N4721">
        <v>24</v>
      </c>
      <c r="P4721" t="s">
        <v>41</v>
      </c>
      <c r="Q4721" t="s">
        <v>95</v>
      </c>
      <c r="R4721" t="str">
        <f>"7052225"</f>
        <v>7052225</v>
      </c>
      <c r="S4721" t="s">
        <v>702</v>
      </c>
      <c r="T4721" t="s">
        <v>268</v>
      </c>
      <c r="U4721" t="s">
        <v>269</v>
      </c>
      <c r="V4721" t="s">
        <v>131</v>
      </c>
      <c r="W4721" t="s">
        <v>51</v>
      </c>
      <c r="X4721" t="s">
        <v>45</v>
      </c>
      <c r="Y4721" s="1">
        <v>31637</v>
      </c>
      <c r="Z4721">
        <v>1</v>
      </c>
      <c r="AA4721" t="s">
        <v>269</v>
      </c>
      <c r="AB4721" s="40" t="s">
        <v>1799</v>
      </c>
    </row>
    <row r="4722" spans="1:28" x14ac:dyDescent="0.25">
      <c r="A4722">
        <v>99914721</v>
      </c>
      <c r="B4722" t="s">
        <v>32</v>
      </c>
      <c r="C4722" t="s">
        <v>111</v>
      </c>
      <c r="D4722" t="s">
        <v>112</v>
      </c>
      <c r="G4722" t="s">
        <v>48</v>
      </c>
      <c r="H4722">
        <v>1</v>
      </c>
      <c r="I4722">
        <v>653</v>
      </c>
      <c r="J4722" s="1">
        <v>40043</v>
      </c>
      <c r="K4722" t="s">
        <v>1341</v>
      </c>
      <c r="L4722" t="s">
        <v>1342</v>
      </c>
      <c r="M4722" t="s">
        <v>1270</v>
      </c>
      <c r="N4722">
        <v>24</v>
      </c>
      <c r="O4722" s="1">
        <v>40057</v>
      </c>
      <c r="P4722" t="s">
        <v>41</v>
      </c>
      <c r="Q4722" t="s">
        <v>75</v>
      </c>
      <c r="R4722" t="str">
        <f>"7191036"</f>
        <v>7191036</v>
      </c>
      <c r="S4722" t="s">
        <v>1348</v>
      </c>
      <c r="T4722" t="s">
        <v>1341</v>
      </c>
      <c r="U4722" t="s">
        <v>1342</v>
      </c>
      <c r="V4722" t="s">
        <v>1270</v>
      </c>
      <c r="W4722" t="s">
        <v>165</v>
      </c>
      <c r="X4722" t="s">
        <v>45</v>
      </c>
      <c r="Y4722" s="1">
        <v>31633</v>
      </c>
      <c r="Z4722">
        <v>1</v>
      </c>
      <c r="AA4722" t="s">
        <v>1342</v>
      </c>
      <c r="AB4722" s="40" t="s">
        <v>1799</v>
      </c>
    </row>
    <row r="4723" spans="1:28" x14ac:dyDescent="0.25">
      <c r="A4723">
        <v>99914722</v>
      </c>
      <c r="B4723" t="s">
        <v>32</v>
      </c>
      <c r="C4723" t="s">
        <v>111</v>
      </c>
      <c r="D4723" t="s">
        <v>112</v>
      </c>
      <c r="G4723" t="s">
        <v>35</v>
      </c>
      <c r="H4723">
        <v>1</v>
      </c>
      <c r="I4723">
        <v>9416</v>
      </c>
      <c r="J4723" s="1">
        <v>43344</v>
      </c>
      <c r="K4723" t="s">
        <v>1198</v>
      </c>
      <c r="L4723" t="s">
        <v>1199</v>
      </c>
      <c r="M4723" t="s">
        <v>1130</v>
      </c>
      <c r="N4723">
        <v>24</v>
      </c>
      <c r="O4723" s="1">
        <v>43344</v>
      </c>
      <c r="P4723" t="s">
        <v>41</v>
      </c>
      <c r="Q4723" t="s">
        <v>75</v>
      </c>
      <c r="R4723" t="str">
        <f>"7311006"</f>
        <v>7311006</v>
      </c>
      <c r="S4723" t="s">
        <v>1200</v>
      </c>
      <c r="T4723" t="s">
        <v>1198</v>
      </c>
      <c r="U4723" t="s">
        <v>1199</v>
      </c>
      <c r="V4723" t="s">
        <v>1130</v>
      </c>
      <c r="W4723" t="s">
        <v>44</v>
      </c>
      <c r="X4723" t="s">
        <v>45</v>
      </c>
      <c r="Y4723" s="1">
        <v>31631</v>
      </c>
      <c r="Z4723">
        <v>1</v>
      </c>
      <c r="AA4723" t="s">
        <v>1199</v>
      </c>
      <c r="AB4723" s="40" t="s">
        <v>1799</v>
      </c>
    </row>
    <row r="4724" spans="1:28" x14ac:dyDescent="0.25">
      <c r="A4724">
        <v>99914723</v>
      </c>
      <c r="B4724" t="s">
        <v>32</v>
      </c>
      <c r="C4724" t="s">
        <v>111</v>
      </c>
      <c r="D4724" t="s">
        <v>112</v>
      </c>
      <c r="G4724" t="s">
        <v>35</v>
      </c>
      <c r="H4724">
        <v>1</v>
      </c>
      <c r="I4724" t="s">
        <v>696</v>
      </c>
      <c r="J4724" s="1">
        <v>43344</v>
      </c>
      <c r="K4724" t="s">
        <v>268</v>
      </c>
      <c r="L4724" t="s">
        <v>269</v>
      </c>
      <c r="M4724" t="s">
        <v>131</v>
      </c>
      <c r="N4724">
        <v>24</v>
      </c>
      <c r="O4724" s="1">
        <v>43344</v>
      </c>
      <c r="P4724" t="s">
        <v>41</v>
      </c>
      <c r="Q4724" t="s">
        <v>75</v>
      </c>
      <c r="R4724" t="str">
        <f>"7052028"</f>
        <v>7052028</v>
      </c>
      <c r="S4724" t="s">
        <v>601</v>
      </c>
      <c r="T4724" t="s">
        <v>268</v>
      </c>
      <c r="U4724" t="s">
        <v>269</v>
      </c>
      <c r="V4724" t="s">
        <v>131</v>
      </c>
      <c r="W4724" t="s">
        <v>51</v>
      </c>
      <c r="X4724" t="s">
        <v>45</v>
      </c>
      <c r="Y4724" s="1">
        <v>31622</v>
      </c>
      <c r="Z4724">
        <v>1</v>
      </c>
      <c r="AA4724" t="s">
        <v>269</v>
      </c>
      <c r="AB4724" s="40" t="s">
        <v>1799</v>
      </c>
    </row>
    <row r="4725" spans="1:28" x14ac:dyDescent="0.25">
      <c r="A4725">
        <v>99914724</v>
      </c>
      <c r="B4725" t="s">
        <v>32</v>
      </c>
      <c r="C4725" t="s">
        <v>90</v>
      </c>
      <c r="D4725" t="s">
        <v>91</v>
      </c>
      <c r="G4725" t="s">
        <v>48</v>
      </c>
      <c r="H4725">
        <v>1</v>
      </c>
      <c r="K4725" t="s">
        <v>268</v>
      </c>
      <c r="L4725" t="s">
        <v>269</v>
      </c>
      <c r="M4725" t="s">
        <v>131</v>
      </c>
      <c r="N4725">
        <v>24</v>
      </c>
      <c r="P4725" t="s">
        <v>41</v>
      </c>
      <c r="Q4725" t="s">
        <v>95</v>
      </c>
      <c r="R4725" t="str">
        <f>"7052001"</f>
        <v>7052001</v>
      </c>
      <c r="S4725" t="s">
        <v>576</v>
      </c>
      <c r="T4725" t="s">
        <v>268</v>
      </c>
      <c r="U4725" t="s">
        <v>269</v>
      </c>
      <c r="V4725" t="s">
        <v>131</v>
      </c>
      <c r="W4725" t="s">
        <v>51</v>
      </c>
      <c r="X4725" t="s">
        <v>45</v>
      </c>
      <c r="Y4725" s="1">
        <v>31607</v>
      </c>
      <c r="Z4725">
        <v>1</v>
      </c>
      <c r="AA4725" t="s">
        <v>269</v>
      </c>
      <c r="AB4725" s="40" t="s">
        <v>1799</v>
      </c>
    </row>
    <row r="4726" spans="1:28" x14ac:dyDescent="0.25">
      <c r="A4726">
        <v>99914725</v>
      </c>
      <c r="B4726" t="s">
        <v>32</v>
      </c>
      <c r="C4726" t="s">
        <v>111</v>
      </c>
      <c r="D4726" t="s">
        <v>112</v>
      </c>
      <c r="G4726" t="s">
        <v>35</v>
      </c>
      <c r="H4726">
        <v>1</v>
      </c>
      <c r="I4726" t="s">
        <v>286</v>
      </c>
      <c r="J4726" s="1">
        <v>43344</v>
      </c>
      <c r="K4726" t="s">
        <v>268</v>
      </c>
      <c r="L4726" t="s">
        <v>269</v>
      </c>
      <c r="M4726" t="s">
        <v>131</v>
      </c>
      <c r="N4726">
        <v>24</v>
      </c>
      <c r="P4726" t="s">
        <v>41</v>
      </c>
      <c r="Q4726" t="s">
        <v>75</v>
      </c>
      <c r="R4726" t="str">
        <f>"7052018"</f>
        <v>7052018</v>
      </c>
      <c r="S4726" t="s">
        <v>577</v>
      </c>
      <c r="T4726" t="s">
        <v>268</v>
      </c>
      <c r="U4726" t="s">
        <v>269</v>
      </c>
      <c r="V4726" t="s">
        <v>131</v>
      </c>
      <c r="W4726" t="s">
        <v>51</v>
      </c>
      <c r="X4726" t="s">
        <v>45</v>
      </c>
      <c r="Y4726" s="1">
        <v>31590</v>
      </c>
      <c r="Z4726">
        <v>1</v>
      </c>
      <c r="AA4726" t="s">
        <v>269</v>
      </c>
      <c r="AB4726" s="40" t="s">
        <v>1799</v>
      </c>
    </row>
    <row r="4727" spans="1:28" x14ac:dyDescent="0.25">
      <c r="A4727">
        <v>99914726</v>
      </c>
      <c r="B4727" t="s">
        <v>32</v>
      </c>
      <c r="C4727" t="s">
        <v>111</v>
      </c>
      <c r="D4727" t="s">
        <v>112</v>
      </c>
      <c r="G4727" t="s">
        <v>35</v>
      </c>
      <c r="H4727">
        <v>1</v>
      </c>
      <c r="K4727" t="s">
        <v>154</v>
      </c>
      <c r="L4727" t="s">
        <v>155</v>
      </c>
      <c r="M4727" t="s">
        <v>131</v>
      </c>
      <c r="N4727">
        <v>24</v>
      </c>
      <c r="P4727" t="s">
        <v>41</v>
      </c>
      <c r="Q4727" t="s">
        <v>75</v>
      </c>
      <c r="R4727" t="str">
        <f>"7051026"</f>
        <v>7051026</v>
      </c>
      <c r="S4727" t="s">
        <v>396</v>
      </c>
      <c r="T4727" t="s">
        <v>154</v>
      </c>
      <c r="U4727" t="s">
        <v>155</v>
      </c>
      <c r="V4727" t="s">
        <v>131</v>
      </c>
      <c r="W4727" t="s">
        <v>51</v>
      </c>
      <c r="X4727" t="s">
        <v>45</v>
      </c>
      <c r="Y4727" s="1">
        <v>31583</v>
      </c>
      <c r="Z4727">
        <v>1</v>
      </c>
      <c r="AA4727" t="s">
        <v>155</v>
      </c>
      <c r="AB4727" s="40" t="s">
        <v>1799</v>
      </c>
    </row>
    <row r="4728" spans="1:28" x14ac:dyDescent="0.25">
      <c r="A4728">
        <v>99914727</v>
      </c>
      <c r="B4728" t="s">
        <v>32</v>
      </c>
      <c r="C4728" t="s">
        <v>79</v>
      </c>
      <c r="D4728" t="s">
        <v>80</v>
      </c>
      <c r="G4728" t="s">
        <v>35</v>
      </c>
      <c r="H4728">
        <v>1</v>
      </c>
      <c r="K4728" t="s">
        <v>1564</v>
      </c>
      <c r="L4728" t="s">
        <v>1565</v>
      </c>
      <c r="M4728" t="s">
        <v>1548</v>
      </c>
      <c r="N4728">
        <v>24</v>
      </c>
      <c r="P4728" t="s">
        <v>41</v>
      </c>
      <c r="Q4728" t="s">
        <v>75</v>
      </c>
      <c r="R4728" t="str">
        <f>"7101000"</f>
        <v>7101000</v>
      </c>
      <c r="S4728" t="s">
        <v>1572</v>
      </c>
      <c r="T4728" t="s">
        <v>1564</v>
      </c>
      <c r="U4728" t="s">
        <v>1565</v>
      </c>
      <c r="V4728" t="s">
        <v>1548</v>
      </c>
      <c r="W4728" t="s">
        <v>51</v>
      </c>
      <c r="X4728" t="s">
        <v>45</v>
      </c>
      <c r="Y4728" s="1">
        <v>31563</v>
      </c>
      <c r="Z4728">
        <v>1</v>
      </c>
      <c r="AA4728" t="s">
        <v>1565</v>
      </c>
      <c r="AB4728" s="40" t="s">
        <v>1799</v>
      </c>
    </row>
    <row r="4729" spans="1:28" x14ac:dyDescent="0.25">
      <c r="A4729">
        <v>99914728</v>
      </c>
      <c r="B4729" t="s">
        <v>32</v>
      </c>
      <c r="C4729" t="s">
        <v>90</v>
      </c>
      <c r="D4729" t="s">
        <v>91</v>
      </c>
      <c r="G4729" t="s">
        <v>35</v>
      </c>
      <c r="H4729">
        <v>1</v>
      </c>
      <c r="I4729" t="s">
        <v>1382</v>
      </c>
      <c r="J4729" s="1">
        <v>43344</v>
      </c>
      <c r="K4729" t="s">
        <v>1341</v>
      </c>
      <c r="L4729" t="s">
        <v>1342</v>
      </c>
      <c r="M4729" t="s">
        <v>1270</v>
      </c>
      <c r="N4729">
        <v>24</v>
      </c>
      <c r="O4729" s="1">
        <v>43344</v>
      </c>
      <c r="P4729" t="s">
        <v>41</v>
      </c>
      <c r="Q4729" t="s">
        <v>95</v>
      </c>
      <c r="R4729" t="str">
        <f>"7191091"</f>
        <v>7191091</v>
      </c>
      <c r="S4729" t="s">
        <v>1383</v>
      </c>
      <c r="T4729" t="s">
        <v>1341</v>
      </c>
      <c r="U4729" t="s">
        <v>1342</v>
      </c>
      <c r="V4729" t="s">
        <v>1270</v>
      </c>
      <c r="W4729" t="s">
        <v>51</v>
      </c>
      <c r="X4729" t="s">
        <v>45</v>
      </c>
      <c r="Y4729" s="1">
        <v>31527</v>
      </c>
      <c r="Z4729">
        <v>1</v>
      </c>
      <c r="AA4729" t="s">
        <v>1342</v>
      </c>
      <c r="AB4729" s="40" t="s">
        <v>1799</v>
      </c>
    </row>
    <row r="4730" spans="1:28" x14ac:dyDescent="0.25">
      <c r="A4730">
        <v>99914729</v>
      </c>
      <c r="B4730" t="s">
        <v>32</v>
      </c>
      <c r="C4730" t="s">
        <v>111</v>
      </c>
      <c r="D4730" t="s">
        <v>112</v>
      </c>
      <c r="G4730" t="s">
        <v>35</v>
      </c>
      <c r="H4730">
        <v>1</v>
      </c>
      <c r="K4730" t="s">
        <v>268</v>
      </c>
      <c r="L4730" t="s">
        <v>269</v>
      </c>
      <c r="M4730" t="s">
        <v>131</v>
      </c>
      <c r="N4730">
        <v>24</v>
      </c>
      <c r="P4730" t="s">
        <v>41</v>
      </c>
      <c r="Q4730" t="s">
        <v>75</v>
      </c>
      <c r="R4730" t="str">
        <f>"7052028"</f>
        <v>7052028</v>
      </c>
      <c r="S4730" t="s">
        <v>601</v>
      </c>
      <c r="T4730" t="s">
        <v>268</v>
      </c>
      <c r="U4730" t="s">
        <v>269</v>
      </c>
      <c r="V4730" t="s">
        <v>131</v>
      </c>
      <c r="W4730" t="s">
        <v>51</v>
      </c>
      <c r="X4730" t="s">
        <v>45</v>
      </c>
      <c r="Y4730" s="1">
        <v>31433</v>
      </c>
      <c r="Z4730">
        <v>1</v>
      </c>
      <c r="AA4730" t="s">
        <v>269</v>
      </c>
      <c r="AB4730" s="40" t="s">
        <v>1799</v>
      </c>
    </row>
    <row r="4731" spans="1:28" x14ac:dyDescent="0.25">
      <c r="A4731">
        <v>99914730</v>
      </c>
      <c r="B4731" t="s">
        <v>32</v>
      </c>
      <c r="C4731" t="s">
        <v>111</v>
      </c>
      <c r="D4731" t="s">
        <v>112</v>
      </c>
      <c r="G4731" t="s">
        <v>48</v>
      </c>
      <c r="H4731">
        <v>1</v>
      </c>
      <c r="K4731" t="s">
        <v>354</v>
      </c>
      <c r="L4731" t="s">
        <v>155</v>
      </c>
      <c r="M4731" t="s">
        <v>131</v>
      </c>
      <c r="N4731">
        <v>24</v>
      </c>
      <c r="P4731" t="s">
        <v>41</v>
      </c>
      <c r="Q4731" t="s">
        <v>75</v>
      </c>
      <c r="R4731" t="str">
        <f>"7054038"</f>
        <v>7054038</v>
      </c>
      <c r="S4731" t="s">
        <v>377</v>
      </c>
      <c r="T4731" t="s">
        <v>354</v>
      </c>
      <c r="U4731" t="s">
        <v>355</v>
      </c>
      <c r="V4731" t="s">
        <v>131</v>
      </c>
      <c r="W4731" t="s">
        <v>51</v>
      </c>
      <c r="X4731" t="s">
        <v>45</v>
      </c>
      <c r="Y4731" s="1">
        <v>31413</v>
      </c>
      <c r="Z4731">
        <v>1</v>
      </c>
      <c r="AA4731" t="s">
        <v>155</v>
      </c>
      <c r="AB4731" s="40" t="s">
        <v>1799</v>
      </c>
    </row>
    <row r="4732" spans="1:28" x14ac:dyDescent="0.25">
      <c r="A4732">
        <v>99914731</v>
      </c>
      <c r="B4732" t="s">
        <v>32</v>
      </c>
      <c r="C4732" t="s">
        <v>111</v>
      </c>
      <c r="D4732" t="s">
        <v>112</v>
      </c>
      <c r="G4732" t="s">
        <v>35</v>
      </c>
      <c r="H4732">
        <v>4</v>
      </c>
      <c r="K4732" t="s">
        <v>268</v>
      </c>
      <c r="L4732" t="s">
        <v>269</v>
      </c>
      <c r="M4732" t="s">
        <v>131</v>
      </c>
      <c r="N4732">
        <v>24</v>
      </c>
      <c r="P4732" t="s">
        <v>41</v>
      </c>
      <c r="Q4732" t="s">
        <v>75</v>
      </c>
      <c r="R4732" t="str">
        <f>"7052002"</f>
        <v>7052002</v>
      </c>
      <c r="S4732" t="s">
        <v>590</v>
      </c>
      <c r="T4732" t="s">
        <v>268</v>
      </c>
      <c r="U4732" t="s">
        <v>269</v>
      </c>
      <c r="V4732" t="s">
        <v>131</v>
      </c>
      <c r="W4732" t="s">
        <v>51</v>
      </c>
      <c r="X4732" t="s">
        <v>45</v>
      </c>
      <c r="Y4732" s="1">
        <v>31413</v>
      </c>
      <c r="Z4732">
        <v>1</v>
      </c>
      <c r="AA4732" t="s">
        <v>269</v>
      </c>
      <c r="AB4732" s="40" t="s">
        <v>1799</v>
      </c>
    </row>
    <row r="4733" spans="1:28" x14ac:dyDescent="0.25">
      <c r="A4733">
        <v>99914732</v>
      </c>
      <c r="B4733" t="s">
        <v>32</v>
      </c>
      <c r="C4733" t="s">
        <v>111</v>
      </c>
      <c r="D4733" t="s">
        <v>112</v>
      </c>
      <c r="G4733" t="s">
        <v>48</v>
      </c>
      <c r="H4733">
        <v>1</v>
      </c>
      <c r="I4733" t="s">
        <v>532</v>
      </c>
      <c r="J4733" s="1">
        <v>41961</v>
      </c>
      <c r="K4733" t="s">
        <v>407</v>
      </c>
      <c r="L4733" t="s">
        <v>409</v>
      </c>
      <c r="M4733" t="s">
        <v>131</v>
      </c>
      <c r="N4733">
        <v>24</v>
      </c>
      <c r="O4733" s="1">
        <v>41961</v>
      </c>
      <c r="P4733" t="s">
        <v>41</v>
      </c>
      <c r="Q4733" t="s">
        <v>75</v>
      </c>
      <c r="R4733" t="str">
        <f>"7053000"</f>
        <v>7053000</v>
      </c>
      <c r="S4733" t="s">
        <v>754</v>
      </c>
      <c r="T4733" t="s">
        <v>407</v>
      </c>
      <c r="U4733" t="s">
        <v>409</v>
      </c>
      <c r="V4733" t="s">
        <v>131</v>
      </c>
      <c r="W4733" t="s">
        <v>51</v>
      </c>
      <c r="X4733" t="s">
        <v>45</v>
      </c>
      <c r="Y4733" s="1">
        <v>31413</v>
      </c>
      <c r="Z4733">
        <v>1</v>
      </c>
      <c r="AA4733" t="s">
        <v>409</v>
      </c>
      <c r="AB4733" s="40" t="s">
        <v>1799</v>
      </c>
    </row>
    <row r="4734" spans="1:28" x14ac:dyDescent="0.25">
      <c r="A4734">
        <v>99914733</v>
      </c>
      <c r="B4734" t="s">
        <v>32</v>
      </c>
      <c r="C4734" t="s">
        <v>90</v>
      </c>
      <c r="D4734" t="s">
        <v>91</v>
      </c>
      <c r="G4734" t="s">
        <v>35</v>
      </c>
      <c r="H4734">
        <v>1</v>
      </c>
      <c r="I4734" s="1">
        <v>41520</v>
      </c>
      <c r="J4734" s="1">
        <v>43344</v>
      </c>
      <c r="K4734" t="s">
        <v>1341</v>
      </c>
      <c r="L4734" t="s">
        <v>1342</v>
      </c>
      <c r="M4734" t="s">
        <v>1270</v>
      </c>
      <c r="N4734">
        <v>24</v>
      </c>
      <c r="O4734" s="1">
        <v>43344</v>
      </c>
      <c r="P4734" t="s">
        <v>41</v>
      </c>
      <c r="Q4734" t="s">
        <v>75</v>
      </c>
      <c r="R4734" t="str">
        <f>"7191034"</f>
        <v>7191034</v>
      </c>
      <c r="S4734" t="s">
        <v>1343</v>
      </c>
      <c r="T4734" t="s">
        <v>1341</v>
      </c>
      <c r="U4734" t="s">
        <v>1342</v>
      </c>
      <c r="V4734" t="s">
        <v>1270</v>
      </c>
      <c r="W4734" t="s">
        <v>51</v>
      </c>
      <c r="X4734" t="s">
        <v>45</v>
      </c>
      <c r="Y4734" s="1">
        <v>31413</v>
      </c>
      <c r="Z4734">
        <v>1</v>
      </c>
      <c r="AA4734" t="s">
        <v>1342</v>
      </c>
      <c r="AB4734" s="40" t="s">
        <v>1799</v>
      </c>
    </row>
    <row r="4735" spans="1:28" x14ac:dyDescent="0.25">
      <c r="A4735">
        <v>99914734</v>
      </c>
      <c r="B4735" t="s">
        <v>32</v>
      </c>
      <c r="C4735" t="s">
        <v>90</v>
      </c>
      <c r="D4735" t="s">
        <v>91</v>
      </c>
      <c r="G4735" t="s">
        <v>48</v>
      </c>
      <c r="H4735">
        <v>1</v>
      </c>
      <c r="K4735" t="s">
        <v>1581</v>
      </c>
      <c r="L4735" t="s">
        <v>1582</v>
      </c>
      <c r="M4735" t="s">
        <v>1548</v>
      </c>
      <c r="N4735">
        <v>24</v>
      </c>
      <c r="P4735" t="s">
        <v>41</v>
      </c>
      <c r="Q4735" t="s">
        <v>75</v>
      </c>
      <c r="R4735" t="str">
        <f>"7291000"</f>
        <v>7291000</v>
      </c>
      <c r="S4735" t="s">
        <v>1584</v>
      </c>
      <c r="T4735" t="s">
        <v>1581</v>
      </c>
      <c r="U4735" t="s">
        <v>1582</v>
      </c>
      <c r="V4735" t="s">
        <v>1548</v>
      </c>
      <c r="W4735" t="s">
        <v>51</v>
      </c>
      <c r="X4735" t="s">
        <v>45</v>
      </c>
      <c r="Y4735" s="1">
        <v>31413</v>
      </c>
      <c r="Z4735">
        <v>1</v>
      </c>
      <c r="AA4735" t="s">
        <v>1582</v>
      </c>
      <c r="AB4735" s="40" t="s">
        <v>1799</v>
      </c>
    </row>
    <row r="4736" spans="1:28" x14ac:dyDescent="0.25">
      <c r="A4736">
        <v>99914735</v>
      </c>
      <c r="B4736" t="s">
        <v>32</v>
      </c>
      <c r="C4736" t="s">
        <v>111</v>
      </c>
      <c r="D4736" t="s">
        <v>112</v>
      </c>
      <c r="G4736" t="s">
        <v>35</v>
      </c>
      <c r="H4736">
        <v>1</v>
      </c>
      <c r="I4736" t="s">
        <v>1585</v>
      </c>
      <c r="J4736" s="1">
        <v>43344</v>
      </c>
      <c r="K4736" t="s">
        <v>1581</v>
      </c>
      <c r="L4736" t="s">
        <v>1582</v>
      </c>
      <c r="M4736" t="s">
        <v>1548</v>
      </c>
      <c r="N4736">
        <v>24</v>
      </c>
      <c r="O4736" s="1">
        <v>43344</v>
      </c>
      <c r="P4736" t="s">
        <v>41</v>
      </c>
      <c r="Q4736" t="s">
        <v>75</v>
      </c>
      <c r="R4736" t="str">
        <f>"7291002"</f>
        <v>7291002</v>
      </c>
      <c r="S4736" t="s">
        <v>1583</v>
      </c>
      <c r="T4736" t="s">
        <v>1581</v>
      </c>
      <c r="U4736" t="s">
        <v>1582</v>
      </c>
      <c r="V4736" t="s">
        <v>1548</v>
      </c>
      <c r="W4736" t="s">
        <v>51</v>
      </c>
      <c r="X4736" t="s">
        <v>45</v>
      </c>
      <c r="Y4736" s="1">
        <v>31409</v>
      </c>
      <c r="Z4736">
        <v>1</v>
      </c>
      <c r="AA4736" t="s">
        <v>1582</v>
      </c>
      <c r="AB4736" s="40" t="s">
        <v>1799</v>
      </c>
    </row>
    <row r="4737" spans="1:28" x14ac:dyDescent="0.25">
      <c r="A4737">
        <v>99914736</v>
      </c>
      <c r="B4737" t="s">
        <v>32</v>
      </c>
      <c r="C4737" t="s">
        <v>597</v>
      </c>
      <c r="D4737" t="s">
        <v>598</v>
      </c>
      <c r="G4737" t="s">
        <v>35</v>
      </c>
      <c r="H4737">
        <v>1</v>
      </c>
      <c r="I4737">
        <v>1</v>
      </c>
      <c r="J4737" s="1">
        <v>43406</v>
      </c>
      <c r="K4737" t="s">
        <v>1341</v>
      </c>
      <c r="L4737" t="s">
        <v>1342</v>
      </c>
      <c r="M4737" t="s">
        <v>1270</v>
      </c>
      <c r="N4737">
        <v>24</v>
      </c>
      <c r="O4737" s="1">
        <v>43406</v>
      </c>
      <c r="P4737" t="s">
        <v>41</v>
      </c>
      <c r="Q4737" t="s">
        <v>75</v>
      </c>
      <c r="R4737" t="str">
        <f>"7700012"</f>
        <v>7700012</v>
      </c>
      <c r="S4737" t="s">
        <v>1357</v>
      </c>
      <c r="T4737" t="s">
        <v>1341</v>
      </c>
      <c r="U4737" t="s">
        <v>1342</v>
      </c>
      <c r="V4737" t="s">
        <v>1270</v>
      </c>
      <c r="W4737" t="s">
        <v>44</v>
      </c>
      <c r="X4737" t="s">
        <v>45</v>
      </c>
      <c r="Y4737" s="1">
        <v>31400</v>
      </c>
      <c r="Z4737">
        <v>1</v>
      </c>
      <c r="AA4737" t="s">
        <v>1342</v>
      </c>
      <c r="AB4737" s="40" t="s">
        <v>1799</v>
      </c>
    </row>
    <row r="4738" spans="1:28" x14ac:dyDescent="0.25">
      <c r="A4738">
        <v>99914737</v>
      </c>
      <c r="B4738" t="s">
        <v>32</v>
      </c>
      <c r="C4738" t="s">
        <v>111</v>
      </c>
      <c r="D4738" t="s">
        <v>112</v>
      </c>
      <c r="G4738" t="s">
        <v>48</v>
      </c>
      <c r="H4738">
        <v>5</v>
      </c>
      <c r="I4738" t="s">
        <v>438</v>
      </c>
      <c r="J4738" s="1">
        <v>40422</v>
      </c>
      <c r="K4738" t="s">
        <v>431</v>
      </c>
      <c r="L4738" t="s">
        <v>196</v>
      </c>
      <c r="M4738" t="s">
        <v>131</v>
      </c>
      <c r="N4738">
        <v>24</v>
      </c>
      <c r="O4738" s="1">
        <v>40422</v>
      </c>
      <c r="P4738" t="s">
        <v>41</v>
      </c>
      <c r="Q4738" t="s">
        <v>75</v>
      </c>
      <c r="R4738" t="str">
        <f>"7521012"</f>
        <v>7521012</v>
      </c>
      <c r="S4738" t="s">
        <v>432</v>
      </c>
      <c r="T4738" t="s">
        <v>431</v>
      </c>
      <c r="U4738" t="s">
        <v>196</v>
      </c>
      <c r="V4738" t="s">
        <v>131</v>
      </c>
      <c r="W4738" t="s">
        <v>165</v>
      </c>
      <c r="X4738" t="s">
        <v>45</v>
      </c>
      <c r="Y4738" s="1">
        <v>31399</v>
      </c>
      <c r="Z4738">
        <v>1</v>
      </c>
      <c r="AA4738" t="s">
        <v>196</v>
      </c>
      <c r="AB4738" s="40" t="s">
        <v>1799</v>
      </c>
    </row>
    <row r="4739" spans="1:28" x14ac:dyDescent="0.25">
      <c r="A4739">
        <v>99914738</v>
      </c>
      <c r="B4739" t="s">
        <v>32</v>
      </c>
      <c r="C4739" t="s">
        <v>90</v>
      </c>
      <c r="D4739" t="s">
        <v>91</v>
      </c>
      <c r="G4739" t="s">
        <v>35</v>
      </c>
      <c r="H4739">
        <v>1</v>
      </c>
      <c r="I4739" t="s">
        <v>1393</v>
      </c>
      <c r="J4739" s="1">
        <v>43344</v>
      </c>
      <c r="K4739" t="s">
        <v>1341</v>
      </c>
      <c r="L4739" t="s">
        <v>1342</v>
      </c>
      <c r="M4739" t="s">
        <v>1270</v>
      </c>
      <c r="N4739">
        <v>24</v>
      </c>
      <c r="O4739" s="1">
        <v>43344</v>
      </c>
      <c r="P4739" t="s">
        <v>41</v>
      </c>
      <c r="Q4739" t="s">
        <v>95</v>
      </c>
      <c r="R4739" t="str">
        <f>"7191059"</f>
        <v>7191059</v>
      </c>
      <c r="S4739" t="s">
        <v>1346</v>
      </c>
      <c r="T4739" t="s">
        <v>1341</v>
      </c>
      <c r="U4739" t="s">
        <v>1342</v>
      </c>
      <c r="V4739" t="s">
        <v>1270</v>
      </c>
      <c r="W4739" t="s">
        <v>51</v>
      </c>
      <c r="X4739" t="s">
        <v>45</v>
      </c>
      <c r="Y4739" s="1">
        <v>31399</v>
      </c>
      <c r="Z4739">
        <v>1</v>
      </c>
      <c r="AA4739" t="s">
        <v>1342</v>
      </c>
      <c r="AB4739" s="40" t="s">
        <v>1799</v>
      </c>
    </row>
    <row r="4740" spans="1:28" x14ac:dyDescent="0.25">
      <c r="A4740">
        <v>99914739</v>
      </c>
      <c r="B4740" t="s">
        <v>32</v>
      </c>
      <c r="C4740" t="s">
        <v>90</v>
      </c>
      <c r="D4740" t="s">
        <v>91</v>
      </c>
      <c r="G4740" t="s">
        <v>48</v>
      </c>
      <c r="H4740">
        <v>1</v>
      </c>
      <c r="K4740" t="s">
        <v>1695</v>
      </c>
      <c r="L4740" t="s">
        <v>1696</v>
      </c>
      <c r="M4740" t="s">
        <v>1592</v>
      </c>
      <c r="N4740">
        <v>24</v>
      </c>
      <c r="P4740" t="s">
        <v>41</v>
      </c>
      <c r="Q4740" t="s">
        <v>75</v>
      </c>
      <c r="R4740" t="str">
        <f>"7361000"</f>
        <v>7361000</v>
      </c>
      <c r="S4740" t="s">
        <v>1698</v>
      </c>
      <c r="T4740" t="s">
        <v>1695</v>
      </c>
      <c r="U4740" t="s">
        <v>1696</v>
      </c>
      <c r="V4740" t="s">
        <v>1592</v>
      </c>
      <c r="W4740" t="s">
        <v>51</v>
      </c>
      <c r="X4740" t="s">
        <v>45</v>
      </c>
      <c r="Y4740" s="1">
        <v>31398</v>
      </c>
      <c r="Z4740">
        <v>1</v>
      </c>
      <c r="AA4740" t="s">
        <v>1696</v>
      </c>
      <c r="AB4740" s="40" t="s">
        <v>1799</v>
      </c>
    </row>
    <row r="4741" spans="1:28" x14ac:dyDescent="0.25">
      <c r="A4741">
        <v>99914740</v>
      </c>
      <c r="B4741" t="s">
        <v>32</v>
      </c>
      <c r="C4741" t="s">
        <v>90</v>
      </c>
      <c r="D4741" t="s">
        <v>91</v>
      </c>
      <c r="G4741" t="s">
        <v>35</v>
      </c>
      <c r="H4741">
        <v>1</v>
      </c>
      <c r="K4741" t="s">
        <v>1564</v>
      </c>
      <c r="L4741" t="s">
        <v>1565</v>
      </c>
      <c r="M4741" t="s">
        <v>1548</v>
      </c>
      <c r="N4741">
        <v>24</v>
      </c>
      <c r="P4741" t="s">
        <v>41</v>
      </c>
      <c r="Q4741" t="s">
        <v>95</v>
      </c>
      <c r="R4741" t="str">
        <f>"7101001"</f>
        <v>7101001</v>
      </c>
      <c r="S4741" t="s">
        <v>1577</v>
      </c>
      <c r="T4741" t="s">
        <v>1564</v>
      </c>
      <c r="U4741" t="s">
        <v>1565</v>
      </c>
      <c r="V4741" t="s">
        <v>1548</v>
      </c>
      <c r="W4741" t="s">
        <v>51</v>
      </c>
      <c r="X4741" t="s">
        <v>45</v>
      </c>
      <c r="Y4741" s="1">
        <v>31392</v>
      </c>
      <c r="Z4741">
        <v>1</v>
      </c>
      <c r="AA4741" t="s">
        <v>1565</v>
      </c>
      <c r="AB4741" s="40" t="s">
        <v>1799</v>
      </c>
    </row>
    <row r="4742" spans="1:28" x14ac:dyDescent="0.25">
      <c r="A4742">
        <v>99914741</v>
      </c>
      <c r="B4742" t="s">
        <v>32</v>
      </c>
      <c r="C4742" t="s">
        <v>61</v>
      </c>
      <c r="D4742" t="s">
        <v>62</v>
      </c>
      <c r="G4742" t="s">
        <v>48</v>
      </c>
      <c r="H4742">
        <v>1</v>
      </c>
      <c r="K4742" t="s">
        <v>1341</v>
      </c>
      <c r="L4742" t="s">
        <v>1342</v>
      </c>
      <c r="M4742" t="s">
        <v>1270</v>
      </c>
      <c r="N4742">
        <v>24</v>
      </c>
      <c r="P4742" t="s">
        <v>41</v>
      </c>
      <c r="Q4742" t="s">
        <v>75</v>
      </c>
      <c r="R4742" t="str">
        <f>"7191036"</f>
        <v>7191036</v>
      </c>
      <c r="S4742" t="s">
        <v>1348</v>
      </c>
      <c r="T4742" t="s">
        <v>1341</v>
      </c>
      <c r="U4742" t="s">
        <v>1342</v>
      </c>
      <c r="V4742" t="s">
        <v>1270</v>
      </c>
      <c r="W4742" t="s">
        <v>165</v>
      </c>
      <c r="X4742" t="s">
        <v>45</v>
      </c>
      <c r="Y4742" s="1">
        <v>31381</v>
      </c>
      <c r="Z4742">
        <v>1</v>
      </c>
      <c r="AA4742" t="s">
        <v>1342</v>
      </c>
      <c r="AB4742" s="40" t="s">
        <v>1799</v>
      </c>
    </row>
    <row r="4743" spans="1:28" x14ac:dyDescent="0.25">
      <c r="A4743">
        <v>99914742</v>
      </c>
      <c r="B4743" t="s">
        <v>56</v>
      </c>
      <c r="C4743" t="s">
        <v>111</v>
      </c>
      <c r="D4743" t="s">
        <v>112</v>
      </c>
      <c r="G4743" t="s">
        <v>35</v>
      </c>
      <c r="H4743">
        <v>1</v>
      </c>
      <c r="I4743" s="1">
        <v>42614</v>
      </c>
      <c r="J4743" s="1">
        <v>43344</v>
      </c>
      <c r="K4743" t="s">
        <v>1341</v>
      </c>
      <c r="L4743" t="s">
        <v>1342</v>
      </c>
      <c r="M4743" t="s">
        <v>1270</v>
      </c>
      <c r="N4743">
        <v>24</v>
      </c>
      <c r="O4743" s="1">
        <v>43344</v>
      </c>
      <c r="P4743" t="s">
        <v>41</v>
      </c>
      <c r="Q4743" t="s">
        <v>75</v>
      </c>
      <c r="R4743" t="str">
        <f>"7191000"</f>
        <v>7191000</v>
      </c>
      <c r="S4743" t="s">
        <v>1347</v>
      </c>
      <c r="T4743" t="s">
        <v>1341</v>
      </c>
      <c r="U4743" t="s">
        <v>1342</v>
      </c>
      <c r="V4743" t="s">
        <v>1270</v>
      </c>
      <c r="W4743" t="s">
        <v>51</v>
      </c>
      <c r="X4743" t="s">
        <v>45</v>
      </c>
      <c r="Y4743" s="1">
        <v>31353</v>
      </c>
      <c r="Z4743">
        <v>1</v>
      </c>
      <c r="AA4743" t="s">
        <v>1342</v>
      </c>
      <c r="AB4743" s="40" t="s">
        <v>1799</v>
      </c>
    </row>
    <row r="4744" spans="1:28" x14ac:dyDescent="0.25">
      <c r="A4744">
        <v>99914743</v>
      </c>
      <c r="B4744" t="s">
        <v>32</v>
      </c>
      <c r="C4744" t="s">
        <v>90</v>
      </c>
      <c r="D4744" t="s">
        <v>91</v>
      </c>
      <c r="G4744" t="s">
        <v>48</v>
      </c>
      <c r="H4744">
        <v>1</v>
      </c>
      <c r="K4744" t="s">
        <v>1708</v>
      </c>
      <c r="L4744" t="s">
        <v>1709</v>
      </c>
      <c r="M4744" t="s">
        <v>1705</v>
      </c>
      <c r="N4744">
        <v>24</v>
      </c>
      <c r="P4744" t="s">
        <v>41</v>
      </c>
      <c r="Q4744" t="s">
        <v>75</v>
      </c>
      <c r="R4744" t="str">
        <f>"7121000"</f>
        <v>7121000</v>
      </c>
      <c r="S4744" t="s">
        <v>1713</v>
      </c>
      <c r="T4744" t="s">
        <v>1708</v>
      </c>
      <c r="U4744" t="s">
        <v>1709</v>
      </c>
      <c r="V4744" t="s">
        <v>1705</v>
      </c>
      <c r="W4744" t="s">
        <v>51</v>
      </c>
      <c r="X4744" t="s">
        <v>45</v>
      </c>
      <c r="Y4744" s="1">
        <v>31344</v>
      </c>
      <c r="Z4744">
        <v>1</v>
      </c>
      <c r="AA4744" t="s">
        <v>1709</v>
      </c>
      <c r="AB4744" s="40" t="s">
        <v>1799</v>
      </c>
    </row>
    <row r="4745" spans="1:28" x14ac:dyDescent="0.25">
      <c r="A4745">
        <v>99914744</v>
      </c>
      <c r="B4745" t="s">
        <v>32</v>
      </c>
      <c r="C4745" t="s">
        <v>111</v>
      </c>
      <c r="D4745" t="s">
        <v>112</v>
      </c>
      <c r="G4745" t="s">
        <v>35</v>
      </c>
      <c r="H4745">
        <v>1</v>
      </c>
      <c r="I4745" t="s">
        <v>1716</v>
      </c>
      <c r="J4745" s="1">
        <v>43344</v>
      </c>
      <c r="K4745" t="s">
        <v>1708</v>
      </c>
      <c r="L4745" t="s">
        <v>1709</v>
      </c>
      <c r="M4745" t="s">
        <v>1705</v>
      </c>
      <c r="N4745">
        <v>24</v>
      </c>
      <c r="O4745" s="1">
        <v>43344</v>
      </c>
      <c r="P4745" t="s">
        <v>41</v>
      </c>
      <c r="Q4745" t="s">
        <v>75</v>
      </c>
      <c r="R4745" t="str">
        <f>"7121000"</f>
        <v>7121000</v>
      </c>
      <c r="S4745" t="s">
        <v>1713</v>
      </c>
      <c r="T4745" t="s">
        <v>1708</v>
      </c>
      <c r="U4745" t="s">
        <v>1709</v>
      </c>
      <c r="V4745" t="s">
        <v>1705</v>
      </c>
      <c r="W4745" t="s">
        <v>44</v>
      </c>
      <c r="X4745" t="s">
        <v>45</v>
      </c>
      <c r="Y4745" s="1">
        <v>31318</v>
      </c>
      <c r="Z4745">
        <v>1</v>
      </c>
      <c r="AA4745" t="s">
        <v>1709</v>
      </c>
      <c r="AB4745" s="40" t="s">
        <v>1799</v>
      </c>
    </row>
    <row r="4746" spans="1:28" x14ac:dyDescent="0.25">
      <c r="A4746">
        <v>99914745</v>
      </c>
      <c r="B4746" t="s">
        <v>32</v>
      </c>
      <c r="C4746" t="s">
        <v>90</v>
      </c>
      <c r="D4746" t="s">
        <v>91</v>
      </c>
      <c r="G4746" t="s">
        <v>35</v>
      </c>
      <c r="H4746">
        <v>1</v>
      </c>
      <c r="I4746" t="s">
        <v>1405</v>
      </c>
      <c r="J4746" s="1">
        <v>43344</v>
      </c>
      <c r="K4746" t="s">
        <v>1341</v>
      </c>
      <c r="L4746" t="s">
        <v>1342</v>
      </c>
      <c r="M4746" t="s">
        <v>1270</v>
      </c>
      <c r="N4746">
        <v>24</v>
      </c>
      <c r="O4746" s="1">
        <v>43344</v>
      </c>
      <c r="P4746" t="s">
        <v>41</v>
      </c>
      <c r="Q4746" t="s">
        <v>95</v>
      </c>
      <c r="R4746" t="str">
        <f>"7191127"</f>
        <v>7191127</v>
      </c>
      <c r="S4746" t="s">
        <v>1422</v>
      </c>
      <c r="T4746" t="s">
        <v>1341</v>
      </c>
      <c r="U4746" t="s">
        <v>1342</v>
      </c>
      <c r="V4746" t="s">
        <v>1270</v>
      </c>
      <c r="W4746" t="s">
        <v>44</v>
      </c>
      <c r="X4746" t="s">
        <v>45</v>
      </c>
      <c r="Y4746" s="1">
        <v>31314</v>
      </c>
      <c r="Z4746">
        <v>1</v>
      </c>
      <c r="AA4746" t="s">
        <v>1342</v>
      </c>
      <c r="AB4746" s="40" t="s">
        <v>1799</v>
      </c>
    </row>
    <row r="4747" spans="1:28" x14ac:dyDescent="0.25">
      <c r="A4747">
        <v>99914746</v>
      </c>
      <c r="B4747" t="s">
        <v>56</v>
      </c>
      <c r="C4747" t="s">
        <v>61</v>
      </c>
      <c r="D4747" t="s">
        <v>62</v>
      </c>
      <c r="E4747" t="s">
        <v>257</v>
      </c>
      <c r="F4747" t="s">
        <v>258</v>
      </c>
      <c r="G4747" t="s">
        <v>35</v>
      </c>
      <c r="H4747">
        <v>1</v>
      </c>
      <c r="I4747">
        <v>0</v>
      </c>
      <c r="J4747" s="1">
        <v>43344</v>
      </c>
      <c r="K4747" t="s">
        <v>223</v>
      </c>
      <c r="L4747" t="s">
        <v>224</v>
      </c>
      <c r="M4747" t="s">
        <v>131</v>
      </c>
      <c r="N4747">
        <v>24</v>
      </c>
      <c r="O4747" s="1">
        <v>43344</v>
      </c>
      <c r="P4747" t="s">
        <v>41</v>
      </c>
      <c r="Q4747" t="s">
        <v>49</v>
      </c>
      <c r="R4747" t="str">
        <f>"0581207"</f>
        <v>0581207</v>
      </c>
      <c r="S4747" t="s">
        <v>233</v>
      </c>
      <c r="T4747" t="s">
        <v>223</v>
      </c>
      <c r="U4747" t="s">
        <v>224</v>
      </c>
      <c r="V4747" t="s">
        <v>131</v>
      </c>
      <c r="W4747" t="s">
        <v>51</v>
      </c>
      <c r="X4747" t="s">
        <v>45</v>
      </c>
      <c r="Y4747" s="1">
        <v>31292</v>
      </c>
      <c r="Z4747">
        <v>2</v>
      </c>
      <c r="AA4747" t="s">
        <v>224</v>
      </c>
      <c r="AB4747" s="40" t="s">
        <v>1799</v>
      </c>
    </row>
    <row r="4748" spans="1:28" x14ac:dyDescent="0.25">
      <c r="A4748">
        <v>99914747</v>
      </c>
      <c r="B4748" t="s">
        <v>32</v>
      </c>
      <c r="C4748" t="s">
        <v>90</v>
      </c>
      <c r="D4748" t="s">
        <v>91</v>
      </c>
      <c r="G4748" t="s">
        <v>48</v>
      </c>
      <c r="H4748">
        <v>1</v>
      </c>
      <c r="K4748" t="s">
        <v>431</v>
      </c>
      <c r="L4748" t="s">
        <v>196</v>
      </c>
      <c r="M4748" t="s">
        <v>131</v>
      </c>
      <c r="N4748">
        <v>24</v>
      </c>
      <c r="P4748" t="s">
        <v>41</v>
      </c>
      <c r="Q4748" t="s">
        <v>75</v>
      </c>
      <c r="R4748" t="str">
        <f>"7521016"</f>
        <v>7521016</v>
      </c>
      <c r="S4748" t="s">
        <v>448</v>
      </c>
      <c r="T4748" t="s">
        <v>431</v>
      </c>
      <c r="U4748" t="s">
        <v>196</v>
      </c>
      <c r="V4748" t="s">
        <v>131</v>
      </c>
      <c r="W4748" t="s">
        <v>51</v>
      </c>
      <c r="X4748" t="s">
        <v>45</v>
      </c>
      <c r="Y4748" s="1">
        <v>31279</v>
      </c>
      <c r="Z4748">
        <v>1</v>
      </c>
      <c r="AA4748" t="s">
        <v>196</v>
      </c>
      <c r="AB4748" s="40" t="s">
        <v>1799</v>
      </c>
    </row>
    <row r="4749" spans="1:28" x14ac:dyDescent="0.25">
      <c r="A4749">
        <v>99914748</v>
      </c>
      <c r="B4749" t="s">
        <v>32</v>
      </c>
      <c r="C4749" t="s">
        <v>85</v>
      </c>
      <c r="D4749" t="s">
        <v>86</v>
      </c>
      <c r="G4749" t="s">
        <v>35</v>
      </c>
      <c r="H4749">
        <v>1</v>
      </c>
      <c r="K4749" t="s">
        <v>223</v>
      </c>
      <c r="L4749" t="s">
        <v>224</v>
      </c>
      <c r="M4749" t="s">
        <v>131</v>
      </c>
      <c r="N4749">
        <v>24</v>
      </c>
      <c r="P4749" t="s">
        <v>41</v>
      </c>
      <c r="Q4749" t="s">
        <v>49</v>
      </c>
      <c r="R4749" t="str">
        <f>"0591901"</f>
        <v>0591901</v>
      </c>
      <c r="S4749" t="s">
        <v>230</v>
      </c>
      <c r="T4749" t="s">
        <v>223</v>
      </c>
      <c r="U4749" t="s">
        <v>224</v>
      </c>
      <c r="V4749" t="s">
        <v>131</v>
      </c>
      <c r="W4749" t="s">
        <v>51</v>
      </c>
      <c r="X4749" t="s">
        <v>45</v>
      </c>
      <c r="Y4749" s="1">
        <v>31239</v>
      </c>
      <c r="Z4749">
        <v>2</v>
      </c>
      <c r="AA4749" t="s">
        <v>224</v>
      </c>
      <c r="AB4749" s="40" t="s">
        <v>1799</v>
      </c>
    </row>
    <row r="4750" spans="1:28" x14ac:dyDescent="0.25">
      <c r="A4750">
        <v>99914749</v>
      </c>
      <c r="B4750" t="s">
        <v>32</v>
      </c>
      <c r="C4750" t="s">
        <v>90</v>
      </c>
      <c r="D4750" t="s">
        <v>91</v>
      </c>
      <c r="G4750" t="s">
        <v>35</v>
      </c>
      <c r="H4750">
        <v>1</v>
      </c>
      <c r="K4750" t="s">
        <v>268</v>
      </c>
      <c r="L4750" t="s">
        <v>269</v>
      </c>
      <c r="M4750" t="s">
        <v>131</v>
      </c>
      <c r="N4750">
        <v>24</v>
      </c>
      <c r="P4750" t="s">
        <v>41</v>
      </c>
      <c r="Q4750" t="s">
        <v>75</v>
      </c>
      <c r="R4750" t="str">
        <f>"7052000"</f>
        <v>7052000</v>
      </c>
      <c r="S4750" t="s">
        <v>656</v>
      </c>
      <c r="T4750" t="s">
        <v>268</v>
      </c>
      <c r="U4750" t="s">
        <v>269</v>
      </c>
      <c r="V4750" t="s">
        <v>131</v>
      </c>
      <c r="W4750" t="s">
        <v>51</v>
      </c>
      <c r="X4750" t="s">
        <v>45</v>
      </c>
      <c r="Y4750" s="1">
        <v>31235</v>
      </c>
      <c r="Z4750">
        <v>1</v>
      </c>
      <c r="AA4750" t="s">
        <v>269</v>
      </c>
      <c r="AB4750" s="40" t="s">
        <v>1799</v>
      </c>
    </row>
    <row r="4751" spans="1:28" x14ac:dyDescent="0.25">
      <c r="A4751">
        <v>99914750</v>
      </c>
      <c r="B4751" t="s">
        <v>32</v>
      </c>
      <c r="C4751" t="s">
        <v>64</v>
      </c>
      <c r="D4751" t="s">
        <v>65</v>
      </c>
      <c r="G4751" t="s">
        <v>35</v>
      </c>
      <c r="H4751">
        <v>1</v>
      </c>
      <c r="I4751" t="s">
        <v>1561</v>
      </c>
      <c r="J4751" s="1">
        <v>43344</v>
      </c>
      <c r="K4751" t="s">
        <v>1546</v>
      </c>
      <c r="L4751" t="s">
        <v>1547</v>
      </c>
      <c r="M4751" t="s">
        <v>1548</v>
      </c>
      <c r="N4751">
        <v>24</v>
      </c>
      <c r="O4751" s="1">
        <v>43344</v>
      </c>
      <c r="P4751" t="s">
        <v>41</v>
      </c>
      <c r="Q4751" t="s">
        <v>42</v>
      </c>
      <c r="R4751" t="str">
        <f>"1080010"</f>
        <v>1080010</v>
      </c>
      <c r="S4751" t="s">
        <v>1549</v>
      </c>
      <c r="T4751" t="s">
        <v>1546</v>
      </c>
      <c r="U4751" t="s">
        <v>1547</v>
      </c>
      <c r="V4751" t="s">
        <v>1548</v>
      </c>
      <c r="W4751" t="s">
        <v>44</v>
      </c>
      <c r="X4751" t="s">
        <v>45</v>
      </c>
      <c r="Y4751" s="1">
        <v>31226</v>
      </c>
      <c r="Z4751">
        <v>2</v>
      </c>
      <c r="AA4751" t="s">
        <v>1547</v>
      </c>
      <c r="AB4751" s="40" t="s">
        <v>1799</v>
      </c>
    </row>
    <row r="4752" spans="1:28" x14ac:dyDescent="0.25">
      <c r="A4752">
        <v>99914751</v>
      </c>
      <c r="B4752" t="s">
        <v>56</v>
      </c>
      <c r="C4752" t="s">
        <v>64</v>
      </c>
      <c r="D4752" t="s">
        <v>65</v>
      </c>
      <c r="G4752" t="s">
        <v>35</v>
      </c>
      <c r="H4752">
        <v>1</v>
      </c>
      <c r="I4752">
        <v>4954</v>
      </c>
      <c r="J4752" s="1">
        <v>43344</v>
      </c>
      <c r="K4752" t="s">
        <v>1695</v>
      </c>
      <c r="L4752" t="s">
        <v>1696</v>
      </c>
      <c r="M4752" t="s">
        <v>1592</v>
      </c>
      <c r="N4752">
        <v>24</v>
      </c>
      <c r="O4752" s="1">
        <v>43344</v>
      </c>
      <c r="P4752" t="s">
        <v>41</v>
      </c>
      <c r="Q4752" t="s">
        <v>75</v>
      </c>
      <c r="R4752" t="str">
        <f>"7361000"</f>
        <v>7361000</v>
      </c>
      <c r="S4752" t="s">
        <v>1698</v>
      </c>
      <c r="T4752" t="s">
        <v>1695</v>
      </c>
      <c r="U4752" t="s">
        <v>1696</v>
      </c>
      <c r="V4752" t="s">
        <v>1592</v>
      </c>
      <c r="W4752" t="s">
        <v>51</v>
      </c>
      <c r="X4752" t="s">
        <v>45</v>
      </c>
      <c r="Y4752" s="1">
        <v>31225</v>
      </c>
      <c r="Z4752">
        <v>1</v>
      </c>
      <c r="AA4752" t="s">
        <v>1696</v>
      </c>
      <c r="AB4752" s="40" t="s">
        <v>1799</v>
      </c>
    </row>
    <row r="4753" spans="1:28" x14ac:dyDescent="0.25">
      <c r="A4753">
        <v>99914752</v>
      </c>
      <c r="B4753" t="s">
        <v>32</v>
      </c>
      <c r="C4753" t="s">
        <v>61</v>
      </c>
      <c r="D4753" t="s">
        <v>62</v>
      </c>
      <c r="G4753" t="s">
        <v>35</v>
      </c>
      <c r="H4753">
        <v>1</v>
      </c>
      <c r="K4753" t="s">
        <v>354</v>
      </c>
      <c r="L4753" t="s">
        <v>355</v>
      </c>
      <c r="M4753" t="s">
        <v>131</v>
      </c>
      <c r="N4753">
        <v>24</v>
      </c>
      <c r="P4753" t="s">
        <v>41</v>
      </c>
      <c r="Q4753" t="s">
        <v>75</v>
      </c>
      <c r="R4753" t="str">
        <f>"7054022"</f>
        <v>7054022</v>
      </c>
      <c r="S4753" t="s">
        <v>770</v>
      </c>
      <c r="T4753" t="s">
        <v>354</v>
      </c>
      <c r="U4753" t="s">
        <v>355</v>
      </c>
      <c r="V4753" t="s">
        <v>131</v>
      </c>
      <c r="W4753" t="s">
        <v>51</v>
      </c>
      <c r="X4753" t="s">
        <v>45</v>
      </c>
      <c r="Y4753" s="1">
        <v>31223</v>
      </c>
      <c r="Z4753">
        <v>1</v>
      </c>
      <c r="AA4753" t="s">
        <v>355</v>
      </c>
      <c r="AB4753" s="40" t="s">
        <v>1799</v>
      </c>
    </row>
    <row r="4754" spans="1:28" x14ac:dyDescent="0.25">
      <c r="A4754">
        <v>99914753</v>
      </c>
      <c r="B4754" t="s">
        <v>32</v>
      </c>
      <c r="C4754" t="s">
        <v>90</v>
      </c>
      <c r="D4754" t="s">
        <v>91</v>
      </c>
      <c r="G4754" t="s">
        <v>35</v>
      </c>
      <c r="H4754">
        <v>1</v>
      </c>
      <c r="I4754" t="s">
        <v>1397</v>
      </c>
      <c r="J4754" s="1">
        <v>43344</v>
      </c>
      <c r="K4754" t="s">
        <v>1341</v>
      </c>
      <c r="L4754" t="s">
        <v>1342</v>
      </c>
      <c r="M4754" t="s">
        <v>1270</v>
      </c>
      <c r="N4754">
        <v>24</v>
      </c>
      <c r="O4754" s="1">
        <v>43344</v>
      </c>
      <c r="P4754" t="s">
        <v>41</v>
      </c>
      <c r="Q4754" t="s">
        <v>95</v>
      </c>
      <c r="R4754" t="str">
        <f>"7191071"</f>
        <v>7191071</v>
      </c>
      <c r="S4754" t="s">
        <v>1398</v>
      </c>
      <c r="T4754" t="s">
        <v>1341</v>
      </c>
      <c r="U4754" t="s">
        <v>1342</v>
      </c>
      <c r="V4754" t="s">
        <v>1270</v>
      </c>
      <c r="W4754" t="s">
        <v>51</v>
      </c>
      <c r="X4754" t="s">
        <v>45</v>
      </c>
      <c r="Y4754" s="1">
        <v>31208</v>
      </c>
      <c r="Z4754">
        <v>1</v>
      </c>
      <c r="AA4754" t="s">
        <v>1342</v>
      </c>
      <c r="AB4754" s="40" t="s">
        <v>1799</v>
      </c>
    </row>
    <row r="4755" spans="1:28" x14ac:dyDescent="0.25">
      <c r="A4755">
        <v>99914754</v>
      </c>
      <c r="B4755" t="s">
        <v>32</v>
      </c>
      <c r="C4755" t="s">
        <v>111</v>
      </c>
      <c r="D4755" t="s">
        <v>112</v>
      </c>
      <c r="G4755" t="s">
        <v>48</v>
      </c>
      <c r="H4755">
        <v>1</v>
      </c>
      <c r="K4755" t="s">
        <v>268</v>
      </c>
      <c r="L4755" t="s">
        <v>269</v>
      </c>
      <c r="M4755" t="s">
        <v>131</v>
      </c>
      <c r="N4755">
        <v>24</v>
      </c>
      <c r="P4755" t="s">
        <v>41</v>
      </c>
      <c r="Q4755" t="s">
        <v>75</v>
      </c>
      <c r="R4755" t="str">
        <f>"7052008"</f>
        <v>7052008</v>
      </c>
      <c r="S4755" t="s">
        <v>274</v>
      </c>
      <c r="T4755" t="s">
        <v>268</v>
      </c>
      <c r="U4755" t="s">
        <v>269</v>
      </c>
      <c r="V4755" t="s">
        <v>131</v>
      </c>
      <c r="W4755" t="s">
        <v>51</v>
      </c>
      <c r="X4755" t="s">
        <v>45</v>
      </c>
      <c r="Y4755" s="1">
        <v>31203</v>
      </c>
      <c r="Z4755">
        <v>1</v>
      </c>
      <c r="AA4755" t="s">
        <v>269</v>
      </c>
      <c r="AB4755" s="40" t="s">
        <v>1799</v>
      </c>
    </row>
    <row r="4756" spans="1:28" x14ac:dyDescent="0.25">
      <c r="A4756">
        <v>99914755</v>
      </c>
      <c r="B4756" t="s">
        <v>32</v>
      </c>
      <c r="C4756" t="s">
        <v>90</v>
      </c>
      <c r="D4756" t="s">
        <v>91</v>
      </c>
      <c r="G4756" t="s">
        <v>35</v>
      </c>
      <c r="H4756">
        <v>1</v>
      </c>
      <c r="I4756" t="s">
        <v>1004</v>
      </c>
      <c r="J4756" s="1">
        <v>43344</v>
      </c>
      <c r="K4756" t="s">
        <v>963</v>
      </c>
      <c r="L4756" t="s">
        <v>964</v>
      </c>
      <c r="M4756" t="s">
        <v>938</v>
      </c>
      <c r="N4756">
        <v>24</v>
      </c>
      <c r="O4756" s="1">
        <v>43344</v>
      </c>
      <c r="R4756" t="str">
        <f>""</f>
        <v/>
      </c>
      <c r="U4756" t="s">
        <v>964</v>
      </c>
      <c r="V4756" t="s">
        <v>938</v>
      </c>
      <c r="W4756" t="s">
        <v>51</v>
      </c>
      <c r="X4756" t="s">
        <v>45</v>
      </c>
      <c r="Y4756" s="1">
        <v>31203</v>
      </c>
      <c r="Z4756">
        <v>1</v>
      </c>
      <c r="AA4756" t="s">
        <v>964</v>
      </c>
      <c r="AB4756" s="40" t="s">
        <v>1799</v>
      </c>
    </row>
    <row r="4757" spans="1:28" x14ac:dyDescent="0.25">
      <c r="A4757">
        <v>99914756</v>
      </c>
      <c r="B4757" t="s">
        <v>32</v>
      </c>
      <c r="C4757" t="s">
        <v>90</v>
      </c>
      <c r="D4757" t="s">
        <v>91</v>
      </c>
      <c r="G4757" t="s">
        <v>35</v>
      </c>
      <c r="H4757">
        <v>1</v>
      </c>
      <c r="I4757" t="s">
        <v>1370</v>
      </c>
      <c r="J4757" s="1">
        <v>43344</v>
      </c>
      <c r="K4757" t="s">
        <v>1341</v>
      </c>
      <c r="L4757" t="s">
        <v>1342</v>
      </c>
      <c r="M4757" t="s">
        <v>1270</v>
      </c>
      <c r="N4757">
        <v>24</v>
      </c>
      <c r="O4757" s="1">
        <v>43344</v>
      </c>
      <c r="P4757" t="s">
        <v>41</v>
      </c>
      <c r="Q4757" t="s">
        <v>95</v>
      </c>
      <c r="R4757" t="str">
        <f>"7191129"</f>
        <v>7191129</v>
      </c>
      <c r="S4757" t="s">
        <v>1371</v>
      </c>
      <c r="T4757" t="s">
        <v>1341</v>
      </c>
      <c r="U4757" t="s">
        <v>1342</v>
      </c>
      <c r="V4757" t="s">
        <v>1270</v>
      </c>
      <c r="W4757" t="s">
        <v>44</v>
      </c>
      <c r="X4757" t="s">
        <v>45</v>
      </c>
      <c r="Y4757" s="1">
        <v>31201</v>
      </c>
      <c r="Z4757">
        <v>1</v>
      </c>
      <c r="AA4757" t="s">
        <v>1342</v>
      </c>
      <c r="AB4757" s="40" t="s">
        <v>1799</v>
      </c>
    </row>
    <row r="4758" spans="1:28" x14ac:dyDescent="0.25">
      <c r="A4758">
        <v>99914757</v>
      </c>
      <c r="B4758" t="s">
        <v>32</v>
      </c>
      <c r="C4758" t="s">
        <v>111</v>
      </c>
      <c r="D4758" t="s">
        <v>112</v>
      </c>
      <c r="G4758" t="s">
        <v>35</v>
      </c>
      <c r="H4758">
        <v>1</v>
      </c>
      <c r="K4758" t="s">
        <v>877</v>
      </c>
      <c r="L4758" t="s">
        <v>878</v>
      </c>
      <c r="M4758" t="s">
        <v>131</v>
      </c>
      <c r="N4758">
        <v>24</v>
      </c>
      <c r="P4758" t="s">
        <v>41</v>
      </c>
      <c r="Q4758" t="s">
        <v>75</v>
      </c>
      <c r="R4758" t="str">
        <f>"7700025"</f>
        <v>7700025</v>
      </c>
      <c r="S4758" t="s">
        <v>880</v>
      </c>
      <c r="T4758" t="s">
        <v>877</v>
      </c>
      <c r="U4758" t="s">
        <v>878</v>
      </c>
      <c r="V4758" t="s">
        <v>131</v>
      </c>
      <c r="W4758" t="s">
        <v>51</v>
      </c>
      <c r="X4758" t="s">
        <v>45</v>
      </c>
      <c r="Y4758" s="1">
        <v>31174</v>
      </c>
      <c r="Z4758">
        <v>1</v>
      </c>
      <c r="AA4758" t="s">
        <v>878</v>
      </c>
      <c r="AB4758" s="40" t="s">
        <v>1799</v>
      </c>
    </row>
    <row r="4759" spans="1:28" x14ac:dyDescent="0.25">
      <c r="A4759">
        <v>99914758</v>
      </c>
      <c r="B4759" t="s">
        <v>32</v>
      </c>
      <c r="C4759" t="s">
        <v>64</v>
      </c>
      <c r="D4759" t="s">
        <v>65</v>
      </c>
      <c r="G4759" t="s">
        <v>35</v>
      </c>
      <c r="H4759">
        <v>1</v>
      </c>
      <c r="I4759" s="1">
        <v>42614</v>
      </c>
      <c r="J4759" s="1">
        <v>43344</v>
      </c>
      <c r="K4759" t="s">
        <v>1341</v>
      </c>
      <c r="L4759" t="s">
        <v>1342</v>
      </c>
      <c r="M4759" t="s">
        <v>1270</v>
      </c>
      <c r="N4759">
        <v>24</v>
      </c>
      <c r="O4759" s="1">
        <v>43344</v>
      </c>
      <c r="P4759" t="s">
        <v>41</v>
      </c>
      <c r="Q4759" t="s">
        <v>75</v>
      </c>
      <c r="R4759" t="str">
        <f>"7191004"</f>
        <v>7191004</v>
      </c>
      <c r="S4759" t="s">
        <v>1344</v>
      </c>
      <c r="T4759" t="s">
        <v>1341</v>
      </c>
      <c r="U4759" t="s">
        <v>1342</v>
      </c>
      <c r="V4759" t="s">
        <v>1270</v>
      </c>
      <c r="W4759" t="s">
        <v>51</v>
      </c>
      <c r="X4759" t="s">
        <v>45</v>
      </c>
      <c r="Y4759" s="1">
        <v>31171</v>
      </c>
      <c r="Z4759">
        <v>1</v>
      </c>
      <c r="AA4759" t="s">
        <v>1342</v>
      </c>
      <c r="AB4759" s="40" t="s">
        <v>1799</v>
      </c>
    </row>
    <row r="4760" spans="1:28" x14ac:dyDescent="0.25">
      <c r="A4760">
        <v>99914759</v>
      </c>
      <c r="B4760" t="s">
        <v>32</v>
      </c>
      <c r="C4760" t="s">
        <v>111</v>
      </c>
      <c r="D4760" t="s">
        <v>112</v>
      </c>
      <c r="G4760" t="s">
        <v>35</v>
      </c>
      <c r="H4760">
        <v>1</v>
      </c>
      <c r="I4760" s="1">
        <v>40422</v>
      </c>
      <c r="J4760" s="1">
        <v>43344</v>
      </c>
      <c r="K4760" t="s">
        <v>1341</v>
      </c>
      <c r="L4760" t="s">
        <v>1342</v>
      </c>
      <c r="M4760" t="s">
        <v>1270</v>
      </c>
      <c r="N4760">
        <v>24</v>
      </c>
      <c r="O4760" s="1">
        <v>43344</v>
      </c>
      <c r="P4760" t="s">
        <v>41</v>
      </c>
      <c r="Q4760" t="s">
        <v>75</v>
      </c>
      <c r="R4760" t="str">
        <f>"7191002"</f>
        <v>7191002</v>
      </c>
      <c r="S4760" t="s">
        <v>1365</v>
      </c>
      <c r="T4760" t="s">
        <v>1341</v>
      </c>
      <c r="U4760" t="s">
        <v>1342</v>
      </c>
      <c r="V4760" t="s">
        <v>1270</v>
      </c>
      <c r="W4760" t="s">
        <v>51</v>
      </c>
      <c r="X4760" t="s">
        <v>45</v>
      </c>
      <c r="Y4760" s="1">
        <v>31160</v>
      </c>
      <c r="Z4760">
        <v>1</v>
      </c>
      <c r="AA4760" t="s">
        <v>1342</v>
      </c>
      <c r="AB4760" s="40" t="s">
        <v>1799</v>
      </c>
    </row>
    <row r="4761" spans="1:28" x14ac:dyDescent="0.25">
      <c r="A4761">
        <v>99914760</v>
      </c>
      <c r="B4761" t="s">
        <v>32</v>
      </c>
      <c r="C4761" t="s">
        <v>111</v>
      </c>
      <c r="D4761" t="s">
        <v>112</v>
      </c>
      <c r="G4761" t="s">
        <v>35</v>
      </c>
      <c r="H4761">
        <v>1</v>
      </c>
      <c r="I4761">
        <v>653</v>
      </c>
      <c r="J4761" s="1">
        <v>43344</v>
      </c>
      <c r="K4761" t="s">
        <v>1341</v>
      </c>
      <c r="L4761" t="s">
        <v>1342</v>
      </c>
      <c r="M4761" t="s">
        <v>1270</v>
      </c>
      <c r="N4761">
        <v>24</v>
      </c>
      <c r="O4761" s="1">
        <v>43344</v>
      </c>
      <c r="P4761" t="s">
        <v>41</v>
      </c>
      <c r="Q4761" t="s">
        <v>75</v>
      </c>
      <c r="R4761" t="str">
        <f>"7191036"</f>
        <v>7191036</v>
      </c>
      <c r="S4761" t="s">
        <v>1348</v>
      </c>
      <c r="T4761" t="s">
        <v>1341</v>
      </c>
      <c r="U4761" t="s">
        <v>1342</v>
      </c>
      <c r="V4761" t="s">
        <v>1270</v>
      </c>
      <c r="W4761" t="s">
        <v>44</v>
      </c>
      <c r="X4761" t="s">
        <v>45</v>
      </c>
      <c r="Y4761" s="1">
        <v>31156</v>
      </c>
      <c r="Z4761">
        <v>1</v>
      </c>
      <c r="AA4761" t="s">
        <v>1342</v>
      </c>
      <c r="AB4761" s="40" t="s">
        <v>1799</v>
      </c>
    </row>
    <row r="4762" spans="1:28" x14ac:dyDescent="0.25">
      <c r="A4762">
        <v>99914761</v>
      </c>
      <c r="B4762" t="s">
        <v>32</v>
      </c>
      <c r="C4762" t="s">
        <v>90</v>
      </c>
      <c r="D4762" t="s">
        <v>91</v>
      </c>
      <c r="G4762" t="s">
        <v>35</v>
      </c>
      <c r="H4762">
        <v>1</v>
      </c>
      <c r="I4762" t="s">
        <v>1123</v>
      </c>
      <c r="J4762" s="1">
        <v>43344</v>
      </c>
      <c r="K4762" t="s">
        <v>1081</v>
      </c>
      <c r="L4762" t="s">
        <v>1082</v>
      </c>
      <c r="M4762" t="s">
        <v>1053</v>
      </c>
      <c r="N4762">
        <v>24</v>
      </c>
      <c r="O4762" s="1">
        <v>43344</v>
      </c>
      <c r="P4762" t="s">
        <v>41</v>
      </c>
      <c r="Q4762" t="s">
        <v>75</v>
      </c>
      <c r="R4762" t="str">
        <f>"7201000"</f>
        <v>7201000</v>
      </c>
      <c r="S4762" t="s">
        <v>1088</v>
      </c>
      <c r="T4762" t="s">
        <v>1081</v>
      </c>
      <c r="U4762" t="s">
        <v>1082</v>
      </c>
      <c r="V4762" t="s">
        <v>1053</v>
      </c>
      <c r="W4762" t="s">
        <v>44</v>
      </c>
      <c r="X4762" t="s">
        <v>45</v>
      </c>
      <c r="Y4762" s="1">
        <v>31113</v>
      </c>
      <c r="Z4762">
        <v>1</v>
      </c>
      <c r="AA4762" t="s">
        <v>1082</v>
      </c>
      <c r="AB4762" s="40" t="s">
        <v>1799</v>
      </c>
    </row>
    <row r="4763" spans="1:28" x14ac:dyDescent="0.25">
      <c r="A4763">
        <v>99914762</v>
      </c>
      <c r="B4763" t="s">
        <v>32</v>
      </c>
      <c r="C4763" t="s">
        <v>111</v>
      </c>
      <c r="D4763" t="s">
        <v>112</v>
      </c>
      <c r="G4763" t="s">
        <v>48</v>
      </c>
      <c r="H4763">
        <v>1</v>
      </c>
      <c r="K4763" t="s">
        <v>1619</v>
      </c>
      <c r="L4763" t="s">
        <v>1620</v>
      </c>
      <c r="M4763" t="s">
        <v>1592</v>
      </c>
      <c r="N4763">
        <v>24</v>
      </c>
      <c r="P4763" t="s">
        <v>41</v>
      </c>
      <c r="Q4763" t="s">
        <v>75</v>
      </c>
      <c r="R4763" t="str">
        <f>"7281004"</f>
        <v>7281004</v>
      </c>
      <c r="S4763" t="s">
        <v>1651</v>
      </c>
      <c r="T4763" t="s">
        <v>1619</v>
      </c>
      <c r="U4763" t="s">
        <v>1620</v>
      </c>
      <c r="V4763" t="s">
        <v>1592</v>
      </c>
      <c r="W4763" t="s">
        <v>51</v>
      </c>
      <c r="X4763" t="s">
        <v>45</v>
      </c>
      <c r="Y4763" s="1">
        <v>31092</v>
      </c>
      <c r="Z4763">
        <v>1</v>
      </c>
      <c r="AA4763" t="s">
        <v>1620</v>
      </c>
      <c r="AB4763" s="40" t="s">
        <v>1799</v>
      </c>
    </row>
    <row r="4764" spans="1:28" x14ac:dyDescent="0.25">
      <c r="A4764">
        <v>99914763</v>
      </c>
      <c r="B4764" t="s">
        <v>32</v>
      </c>
      <c r="C4764" t="s">
        <v>111</v>
      </c>
      <c r="D4764" t="s">
        <v>112</v>
      </c>
      <c r="G4764" t="s">
        <v>48</v>
      </c>
      <c r="H4764">
        <v>1</v>
      </c>
      <c r="K4764" t="s">
        <v>1708</v>
      </c>
      <c r="L4764" t="s">
        <v>1709</v>
      </c>
      <c r="M4764" t="s">
        <v>1705</v>
      </c>
      <c r="N4764">
        <v>24</v>
      </c>
      <c r="P4764" t="s">
        <v>41</v>
      </c>
      <c r="Q4764" t="s">
        <v>75</v>
      </c>
      <c r="R4764" t="str">
        <f>"7121000"</f>
        <v>7121000</v>
      </c>
      <c r="S4764" t="s">
        <v>1713</v>
      </c>
      <c r="T4764" t="s">
        <v>1708</v>
      </c>
      <c r="U4764" t="s">
        <v>1709</v>
      </c>
      <c r="V4764" t="s">
        <v>1705</v>
      </c>
      <c r="W4764" t="s">
        <v>51</v>
      </c>
      <c r="X4764" t="s">
        <v>45</v>
      </c>
      <c r="Y4764" s="1">
        <v>31078</v>
      </c>
      <c r="Z4764">
        <v>1</v>
      </c>
      <c r="AA4764" t="s">
        <v>1709</v>
      </c>
      <c r="AB4764" s="40" t="s">
        <v>1799</v>
      </c>
    </row>
    <row r="4765" spans="1:28" x14ac:dyDescent="0.25">
      <c r="A4765">
        <v>99914764</v>
      </c>
      <c r="B4765" t="s">
        <v>32</v>
      </c>
      <c r="C4765" t="s">
        <v>46</v>
      </c>
      <c r="D4765" t="s">
        <v>47</v>
      </c>
      <c r="G4765" t="s">
        <v>35</v>
      </c>
      <c r="H4765">
        <v>1</v>
      </c>
      <c r="K4765" t="s">
        <v>223</v>
      </c>
      <c r="L4765" t="s">
        <v>224</v>
      </c>
      <c r="M4765" t="s">
        <v>131</v>
      </c>
      <c r="N4765">
        <v>24</v>
      </c>
      <c r="P4765" t="s">
        <v>41</v>
      </c>
      <c r="Q4765" t="s">
        <v>49</v>
      </c>
      <c r="R4765" t="str">
        <f>"0591901"</f>
        <v>0591901</v>
      </c>
      <c r="S4765" t="s">
        <v>230</v>
      </c>
      <c r="T4765" t="s">
        <v>223</v>
      </c>
      <c r="U4765" t="s">
        <v>224</v>
      </c>
      <c r="V4765" t="s">
        <v>131</v>
      </c>
      <c r="W4765" t="s">
        <v>51</v>
      </c>
      <c r="X4765" t="s">
        <v>45</v>
      </c>
      <c r="Y4765" s="1">
        <v>31077</v>
      </c>
      <c r="Z4765">
        <v>2</v>
      </c>
      <c r="AA4765" t="s">
        <v>224</v>
      </c>
      <c r="AB4765" s="40" t="s">
        <v>1799</v>
      </c>
    </row>
    <row r="4766" spans="1:28" x14ac:dyDescent="0.25">
      <c r="A4766">
        <v>99914765</v>
      </c>
      <c r="B4766" t="s">
        <v>32</v>
      </c>
      <c r="C4766" t="s">
        <v>90</v>
      </c>
      <c r="D4766" t="s">
        <v>91</v>
      </c>
      <c r="G4766" t="s">
        <v>35</v>
      </c>
      <c r="H4766">
        <v>1</v>
      </c>
      <c r="I4766">
        <v>28</v>
      </c>
      <c r="J4766" s="1">
        <v>43344</v>
      </c>
      <c r="K4766" t="s">
        <v>268</v>
      </c>
      <c r="L4766" t="s">
        <v>269</v>
      </c>
      <c r="M4766" t="s">
        <v>131</v>
      </c>
      <c r="N4766">
        <v>24</v>
      </c>
      <c r="P4766" t="s">
        <v>41</v>
      </c>
      <c r="Q4766" t="s">
        <v>95</v>
      </c>
      <c r="R4766" t="str">
        <f>"7052035"</f>
        <v>7052035</v>
      </c>
      <c r="S4766" t="s">
        <v>661</v>
      </c>
      <c r="T4766" t="s">
        <v>268</v>
      </c>
      <c r="U4766" t="s">
        <v>269</v>
      </c>
      <c r="V4766" t="s">
        <v>131</v>
      </c>
      <c r="W4766" t="s">
        <v>51</v>
      </c>
      <c r="X4766" t="s">
        <v>45</v>
      </c>
      <c r="Y4766" s="1">
        <v>31076</v>
      </c>
      <c r="Z4766">
        <v>1</v>
      </c>
      <c r="AA4766" t="s">
        <v>269</v>
      </c>
      <c r="AB4766" s="40" t="s">
        <v>1799</v>
      </c>
    </row>
    <row r="4767" spans="1:28" x14ac:dyDescent="0.25">
      <c r="A4767">
        <v>99914766</v>
      </c>
      <c r="B4767" t="s">
        <v>32</v>
      </c>
      <c r="C4767" t="s">
        <v>111</v>
      </c>
      <c r="D4767" t="s">
        <v>112</v>
      </c>
      <c r="G4767" t="s">
        <v>48</v>
      </c>
      <c r="H4767">
        <v>1</v>
      </c>
      <c r="K4767" t="s">
        <v>268</v>
      </c>
      <c r="L4767" t="s">
        <v>269</v>
      </c>
      <c r="M4767" t="s">
        <v>131</v>
      </c>
      <c r="N4767">
        <v>24</v>
      </c>
      <c r="P4767" t="s">
        <v>41</v>
      </c>
      <c r="Q4767" t="s">
        <v>75</v>
      </c>
      <c r="R4767" t="str">
        <f>"7052040"</f>
        <v>7052040</v>
      </c>
      <c r="S4767" t="s">
        <v>591</v>
      </c>
      <c r="T4767" t="s">
        <v>268</v>
      </c>
      <c r="U4767" t="s">
        <v>269</v>
      </c>
      <c r="V4767" t="s">
        <v>131</v>
      </c>
      <c r="W4767" t="s">
        <v>51</v>
      </c>
      <c r="X4767" t="s">
        <v>45</v>
      </c>
      <c r="Y4767" s="1">
        <v>31075</v>
      </c>
      <c r="Z4767">
        <v>1</v>
      </c>
      <c r="AA4767" t="s">
        <v>269</v>
      </c>
      <c r="AB4767" s="40" t="s">
        <v>1799</v>
      </c>
    </row>
    <row r="4768" spans="1:28" x14ac:dyDescent="0.25">
      <c r="A4768">
        <v>99914767</v>
      </c>
      <c r="B4768" t="s">
        <v>32</v>
      </c>
      <c r="C4768" t="s">
        <v>111</v>
      </c>
      <c r="D4768" t="s">
        <v>112</v>
      </c>
      <c r="G4768" t="s">
        <v>35</v>
      </c>
      <c r="H4768">
        <v>1</v>
      </c>
      <c r="K4768" t="s">
        <v>154</v>
      </c>
      <c r="L4768" t="s">
        <v>155</v>
      </c>
      <c r="M4768" t="s">
        <v>131</v>
      </c>
      <c r="N4768">
        <v>24</v>
      </c>
      <c r="P4768" t="s">
        <v>41</v>
      </c>
      <c r="Q4768" t="s">
        <v>75</v>
      </c>
      <c r="R4768" t="str">
        <f>"7700026"</f>
        <v>7700026</v>
      </c>
      <c r="S4768" t="s">
        <v>397</v>
      </c>
      <c r="T4768" t="s">
        <v>154</v>
      </c>
      <c r="U4768" t="s">
        <v>155</v>
      </c>
      <c r="V4768" t="s">
        <v>131</v>
      </c>
      <c r="W4768" t="s">
        <v>51</v>
      </c>
      <c r="X4768" t="s">
        <v>45</v>
      </c>
      <c r="Y4768" s="1">
        <v>31069</v>
      </c>
      <c r="Z4768">
        <v>1</v>
      </c>
      <c r="AA4768" t="s">
        <v>155</v>
      </c>
      <c r="AB4768" s="40" t="s">
        <v>1799</v>
      </c>
    </row>
    <row r="4769" spans="1:28" x14ac:dyDescent="0.25">
      <c r="A4769">
        <v>99914768</v>
      </c>
      <c r="B4769" t="s">
        <v>32</v>
      </c>
      <c r="C4769" t="s">
        <v>90</v>
      </c>
      <c r="D4769" t="s">
        <v>91</v>
      </c>
      <c r="G4769" t="s">
        <v>35</v>
      </c>
      <c r="H4769">
        <v>1</v>
      </c>
      <c r="K4769" t="s">
        <v>268</v>
      </c>
      <c r="L4769" t="s">
        <v>269</v>
      </c>
      <c r="M4769" t="s">
        <v>131</v>
      </c>
      <c r="N4769">
        <v>24</v>
      </c>
      <c r="P4769" t="s">
        <v>41</v>
      </c>
      <c r="Q4769" t="s">
        <v>95</v>
      </c>
      <c r="R4769" t="str">
        <f>"7052051"</f>
        <v>7052051</v>
      </c>
      <c r="S4769" t="s">
        <v>632</v>
      </c>
      <c r="T4769" t="s">
        <v>268</v>
      </c>
      <c r="U4769" t="s">
        <v>269</v>
      </c>
      <c r="V4769" t="s">
        <v>131</v>
      </c>
      <c r="W4769" t="s">
        <v>51</v>
      </c>
      <c r="X4769" t="s">
        <v>45</v>
      </c>
      <c r="Y4769" s="1">
        <v>31068</v>
      </c>
      <c r="Z4769">
        <v>1</v>
      </c>
      <c r="AA4769" t="s">
        <v>269</v>
      </c>
      <c r="AB4769" s="40" t="s">
        <v>1799</v>
      </c>
    </row>
    <row r="4770" spans="1:28" x14ac:dyDescent="0.25">
      <c r="A4770">
        <v>99914769</v>
      </c>
      <c r="B4770" t="s">
        <v>32</v>
      </c>
      <c r="C4770" t="s">
        <v>111</v>
      </c>
      <c r="D4770" t="s">
        <v>112</v>
      </c>
      <c r="G4770" t="s">
        <v>35</v>
      </c>
      <c r="H4770">
        <v>1</v>
      </c>
      <c r="K4770" t="s">
        <v>877</v>
      </c>
      <c r="L4770" t="s">
        <v>878</v>
      </c>
      <c r="M4770" t="s">
        <v>131</v>
      </c>
      <c r="N4770">
        <v>24</v>
      </c>
      <c r="P4770" t="s">
        <v>41</v>
      </c>
      <c r="Q4770" t="s">
        <v>75</v>
      </c>
      <c r="R4770" t="str">
        <f>"7700025"</f>
        <v>7700025</v>
      </c>
      <c r="S4770" t="s">
        <v>880</v>
      </c>
      <c r="T4770" t="s">
        <v>877</v>
      </c>
      <c r="U4770" t="s">
        <v>878</v>
      </c>
      <c r="V4770" t="s">
        <v>131</v>
      </c>
      <c r="W4770" t="s">
        <v>51</v>
      </c>
      <c r="X4770" t="s">
        <v>45</v>
      </c>
      <c r="Y4770" s="1">
        <v>31063</v>
      </c>
      <c r="Z4770">
        <v>1</v>
      </c>
      <c r="AA4770" t="s">
        <v>878</v>
      </c>
      <c r="AB4770" s="40" t="s">
        <v>1799</v>
      </c>
    </row>
    <row r="4771" spans="1:28" x14ac:dyDescent="0.25">
      <c r="A4771">
        <v>99914770</v>
      </c>
      <c r="B4771" t="s">
        <v>32</v>
      </c>
      <c r="C4771" t="s">
        <v>90</v>
      </c>
      <c r="D4771" t="s">
        <v>91</v>
      </c>
      <c r="G4771" t="s">
        <v>48</v>
      </c>
      <c r="H4771">
        <v>1</v>
      </c>
      <c r="K4771" t="s">
        <v>431</v>
      </c>
      <c r="L4771" t="s">
        <v>196</v>
      </c>
      <c r="M4771" t="s">
        <v>131</v>
      </c>
      <c r="N4771">
        <v>24</v>
      </c>
      <c r="P4771" t="s">
        <v>41</v>
      </c>
      <c r="Q4771" t="s">
        <v>95</v>
      </c>
      <c r="R4771" t="str">
        <f>"7521015"</f>
        <v>7521015</v>
      </c>
      <c r="S4771" t="s">
        <v>527</v>
      </c>
      <c r="T4771" t="s">
        <v>431</v>
      </c>
      <c r="U4771" t="s">
        <v>196</v>
      </c>
      <c r="V4771" t="s">
        <v>131</v>
      </c>
      <c r="W4771" t="s">
        <v>51</v>
      </c>
      <c r="X4771" t="s">
        <v>45</v>
      </c>
      <c r="Y4771" s="1">
        <v>31060</v>
      </c>
      <c r="Z4771">
        <v>1</v>
      </c>
      <c r="AA4771" t="s">
        <v>196</v>
      </c>
      <c r="AB4771" s="40" t="s">
        <v>1799</v>
      </c>
    </row>
    <row r="4772" spans="1:28" x14ac:dyDescent="0.25">
      <c r="A4772">
        <v>99914771</v>
      </c>
      <c r="B4772" t="s">
        <v>56</v>
      </c>
      <c r="C4772" t="s">
        <v>111</v>
      </c>
      <c r="D4772" t="s">
        <v>112</v>
      </c>
      <c r="G4772" t="s">
        <v>48</v>
      </c>
      <c r="H4772">
        <v>1</v>
      </c>
      <c r="K4772" t="s">
        <v>1564</v>
      </c>
      <c r="L4772" t="s">
        <v>1565</v>
      </c>
      <c r="M4772" t="s">
        <v>1548</v>
      </c>
      <c r="N4772">
        <v>24</v>
      </c>
      <c r="P4772" t="s">
        <v>41</v>
      </c>
      <c r="Q4772" t="s">
        <v>75</v>
      </c>
      <c r="R4772" t="str">
        <f>"7101002"</f>
        <v>7101002</v>
      </c>
      <c r="S4772" t="s">
        <v>1563</v>
      </c>
      <c r="T4772" t="s">
        <v>1564</v>
      </c>
      <c r="U4772" t="s">
        <v>1565</v>
      </c>
      <c r="V4772" t="s">
        <v>1548</v>
      </c>
      <c r="W4772" t="s">
        <v>51</v>
      </c>
      <c r="X4772" t="s">
        <v>45</v>
      </c>
      <c r="Y4772" s="1">
        <v>31050</v>
      </c>
      <c r="Z4772">
        <v>1</v>
      </c>
      <c r="AA4772" t="s">
        <v>1565</v>
      </c>
      <c r="AB4772" s="40" t="s">
        <v>1799</v>
      </c>
    </row>
    <row r="4773" spans="1:28" x14ac:dyDescent="0.25">
      <c r="A4773">
        <v>99914772</v>
      </c>
      <c r="B4773" t="s">
        <v>32</v>
      </c>
      <c r="C4773" t="s">
        <v>111</v>
      </c>
      <c r="D4773" t="s">
        <v>112</v>
      </c>
      <c r="G4773" t="s">
        <v>35</v>
      </c>
      <c r="H4773">
        <v>1</v>
      </c>
      <c r="I4773" t="s">
        <v>807</v>
      </c>
      <c r="J4773" s="1">
        <v>43344</v>
      </c>
      <c r="K4773" t="s">
        <v>354</v>
      </c>
      <c r="L4773" t="s">
        <v>355</v>
      </c>
      <c r="M4773" t="s">
        <v>131</v>
      </c>
      <c r="N4773">
        <v>24</v>
      </c>
      <c r="O4773" s="1">
        <v>43344</v>
      </c>
      <c r="P4773" t="s">
        <v>41</v>
      </c>
      <c r="Q4773" t="s">
        <v>75</v>
      </c>
      <c r="R4773" t="str">
        <f>"7054042"</f>
        <v>7054042</v>
      </c>
      <c r="S4773" t="s">
        <v>776</v>
      </c>
      <c r="T4773" t="s">
        <v>354</v>
      </c>
      <c r="U4773" t="s">
        <v>355</v>
      </c>
      <c r="V4773" t="s">
        <v>131</v>
      </c>
      <c r="W4773" t="s">
        <v>51</v>
      </c>
      <c r="X4773" t="s">
        <v>45</v>
      </c>
      <c r="Y4773" s="1">
        <v>31048</v>
      </c>
      <c r="Z4773">
        <v>1</v>
      </c>
      <c r="AA4773" t="s">
        <v>355</v>
      </c>
      <c r="AB4773" s="40" t="s">
        <v>1799</v>
      </c>
    </row>
    <row r="4774" spans="1:28" x14ac:dyDescent="0.25">
      <c r="A4774">
        <v>99914773</v>
      </c>
      <c r="B4774" t="s">
        <v>32</v>
      </c>
      <c r="C4774" t="s">
        <v>111</v>
      </c>
      <c r="D4774" t="s">
        <v>112</v>
      </c>
      <c r="G4774" t="s">
        <v>48</v>
      </c>
      <c r="H4774">
        <v>5</v>
      </c>
      <c r="J4774" s="1">
        <v>43344</v>
      </c>
      <c r="K4774" t="s">
        <v>354</v>
      </c>
      <c r="L4774" t="s">
        <v>355</v>
      </c>
      <c r="M4774" t="s">
        <v>131</v>
      </c>
      <c r="N4774">
        <v>24</v>
      </c>
      <c r="O4774" s="1">
        <v>43344</v>
      </c>
      <c r="P4774" t="s">
        <v>41</v>
      </c>
      <c r="Q4774" t="s">
        <v>75</v>
      </c>
      <c r="R4774" t="str">
        <f>"7054022"</f>
        <v>7054022</v>
      </c>
      <c r="S4774" t="s">
        <v>770</v>
      </c>
      <c r="T4774" t="s">
        <v>354</v>
      </c>
      <c r="U4774" t="s">
        <v>355</v>
      </c>
      <c r="V4774" t="s">
        <v>131</v>
      </c>
      <c r="W4774" t="s">
        <v>51</v>
      </c>
      <c r="X4774" t="s">
        <v>45</v>
      </c>
      <c r="Y4774" s="1">
        <v>31048</v>
      </c>
      <c r="Z4774">
        <v>1</v>
      </c>
      <c r="AA4774" t="s">
        <v>355</v>
      </c>
      <c r="AB4774" s="40" t="s">
        <v>1799</v>
      </c>
    </row>
    <row r="4775" spans="1:28" x14ac:dyDescent="0.25">
      <c r="A4775">
        <v>99914774</v>
      </c>
      <c r="B4775" t="s">
        <v>32</v>
      </c>
      <c r="C4775" t="s">
        <v>64</v>
      </c>
      <c r="D4775" t="s">
        <v>65</v>
      </c>
      <c r="G4775" t="s">
        <v>35</v>
      </c>
      <c r="H4775">
        <v>3</v>
      </c>
      <c r="K4775" t="s">
        <v>985</v>
      </c>
      <c r="L4775" t="s">
        <v>986</v>
      </c>
      <c r="M4775" t="s">
        <v>938</v>
      </c>
      <c r="N4775">
        <v>24</v>
      </c>
      <c r="P4775" t="s">
        <v>41</v>
      </c>
      <c r="Q4775" t="s">
        <v>75</v>
      </c>
      <c r="R4775" t="str">
        <f>"7011004"</f>
        <v>7011004</v>
      </c>
      <c r="S4775" t="s">
        <v>987</v>
      </c>
      <c r="T4775" t="s">
        <v>985</v>
      </c>
      <c r="U4775" t="s">
        <v>986</v>
      </c>
      <c r="V4775" t="s">
        <v>938</v>
      </c>
      <c r="W4775" t="s">
        <v>51</v>
      </c>
      <c r="X4775" t="s">
        <v>45</v>
      </c>
      <c r="Y4775" s="1">
        <v>31048</v>
      </c>
      <c r="Z4775">
        <v>1</v>
      </c>
      <c r="AA4775" t="s">
        <v>986</v>
      </c>
      <c r="AB4775" s="40" t="s">
        <v>1799</v>
      </c>
    </row>
    <row r="4776" spans="1:28" x14ac:dyDescent="0.25">
      <c r="A4776">
        <v>99914775</v>
      </c>
      <c r="B4776" t="s">
        <v>32</v>
      </c>
      <c r="C4776" t="s">
        <v>111</v>
      </c>
      <c r="D4776" t="s">
        <v>112</v>
      </c>
      <c r="G4776" t="s">
        <v>35</v>
      </c>
      <c r="H4776">
        <v>1</v>
      </c>
      <c r="I4776">
        <v>1</v>
      </c>
      <c r="J4776" s="1">
        <v>43344</v>
      </c>
      <c r="K4776" t="s">
        <v>1198</v>
      </c>
      <c r="L4776" t="s">
        <v>1199</v>
      </c>
      <c r="M4776" t="s">
        <v>1130</v>
      </c>
      <c r="N4776">
        <v>24</v>
      </c>
      <c r="O4776" s="1">
        <v>43344</v>
      </c>
      <c r="P4776" t="s">
        <v>41</v>
      </c>
      <c r="Q4776" t="s">
        <v>75</v>
      </c>
      <c r="R4776" t="str">
        <f>"7311010"</f>
        <v>7311010</v>
      </c>
      <c r="S4776" t="s">
        <v>1202</v>
      </c>
      <c r="T4776" t="s">
        <v>1198</v>
      </c>
      <c r="U4776" t="s">
        <v>1199</v>
      </c>
      <c r="V4776" t="s">
        <v>1130</v>
      </c>
      <c r="W4776" t="s">
        <v>51</v>
      </c>
      <c r="X4776" t="s">
        <v>45</v>
      </c>
      <c r="Y4776" s="1">
        <v>31048</v>
      </c>
      <c r="Z4776">
        <v>1</v>
      </c>
      <c r="AA4776" t="s">
        <v>1199</v>
      </c>
      <c r="AB4776" s="40" t="s">
        <v>1799</v>
      </c>
    </row>
    <row r="4777" spans="1:28" x14ac:dyDescent="0.25">
      <c r="A4777">
        <v>99914776</v>
      </c>
      <c r="B4777" t="s">
        <v>56</v>
      </c>
      <c r="C4777" t="s">
        <v>111</v>
      </c>
      <c r="D4777" t="s">
        <v>112</v>
      </c>
      <c r="G4777" t="s">
        <v>48</v>
      </c>
      <c r="H4777">
        <v>1</v>
      </c>
      <c r="K4777" t="s">
        <v>1198</v>
      </c>
      <c r="L4777" t="s">
        <v>1199</v>
      </c>
      <c r="M4777" t="s">
        <v>1130</v>
      </c>
      <c r="N4777">
        <v>24</v>
      </c>
      <c r="P4777" t="s">
        <v>41</v>
      </c>
      <c r="Q4777" t="s">
        <v>75</v>
      </c>
      <c r="R4777" t="str">
        <f>"7311002"</f>
        <v>7311002</v>
      </c>
      <c r="S4777" t="s">
        <v>1203</v>
      </c>
      <c r="T4777" t="s">
        <v>1198</v>
      </c>
      <c r="U4777" t="s">
        <v>1199</v>
      </c>
      <c r="V4777" t="s">
        <v>1130</v>
      </c>
      <c r="W4777" t="s">
        <v>51</v>
      </c>
      <c r="X4777" t="s">
        <v>45</v>
      </c>
      <c r="Y4777" s="1">
        <v>31043</v>
      </c>
      <c r="Z4777">
        <v>1</v>
      </c>
      <c r="AA4777" t="s">
        <v>1199</v>
      </c>
      <c r="AB4777" s="40" t="s">
        <v>1799</v>
      </c>
    </row>
    <row r="4778" spans="1:28" x14ac:dyDescent="0.25">
      <c r="A4778">
        <v>99914777</v>
      </c>
      <c r="B4778" t="s">
        <v>32</v>
      </c>
      <c r="C4778" t="s">
        <v>46</v>
      </c>
      <c r="D4778" t="s">
        <v>47</v>
      </c>
      <c r="G4778" t="s">
        <v>48</v>
      </c>
      <c r="H4778">
        <v>1</v>
      </c>
      <c r="K4778" t="s">
        <v>129</v>
      </c>
      <c r="L4778" t="s">
        <v>130</v>
      </c>
      <c r="M4778" t="s">
        <v>131</v>
      </c>
      <c r="N4778">
        <v>24</v>
      </c>
      <c r="P4778" t="s">
        <v>41</v>
      </c>
      <c r="Q4778" t="s">
        <v>49</v>
      </c>
      <c r="R4778" t="str">
        <f>"0560024"</f>
        <v>0560024</v>
      </c>
      <c r="S4778" t="s">
        <v>138</v>
      </c>
      <c r="T4778" t="s">
        <v>129</v>
      </c>
      <c r="U4778" t="s">
        <v>130</v>
      </c>
      <c r="V4778" t="s">
        <v>131</v>
      </c>
      <c r="W4778" t="s">
        <v>51</v>
      </c>
      <c r="X4778" t="s">
        <v>45</v>
      </c>
      <c r="Y4778" s="1">
        <v>30983</v>
      </c>
      <c r="Z4778">
        <v>2</v>
      </c>
      <c r="AA4778" t="s">
        <v>130</v>
      </c>
      <c r="AB4778" s="40" t="s">
        <v>1799</v>
      </c>
    </row>
    <row r="4779" spans="1:28" x14ac:dyDescent="0.25">
      <c r="A4779">
        <v>99914778</v>
      </c>
      <c r="B4779" t="s">
        <v>32</v>
      </c>
      <c r="C4779" t="s">
        <v>111</v>
      </c>
      <c r="D4779" t="s">
        <v>112</v>
      </c>
      <c r="G4779" t="s">
        <v>88</v>
      </c>
      <c r="H4779">
        <v>2</v>
      </c>
      <c r="J4779" s="1">
        <v>43344</v>
      </c>
      <c r="K4779" t="s">
        <v>354</v>
      </c>
      <c r="L4779" t="s">
        <v>355</v>
      </c>
      <c r="M4779" t="s">
        <v>131</v>
      </c>
      <c r="N4779">
        <v>24</v>
      </c>
      <c r="O4779" s="1">
        <v>43344</v>
      </c>
      <c r="P4779" t="s">
        <v>41</v>
      </c>
      <c r="Q4779" t="s">
        <v>75</v>
      </c>
      <c r="R4779" t="str">
        <f>"7054000"</f>
        <v>7054000</v>
      </c>
      <c r="S4779" t="s">
        <v>786</v>
      </c>
      <c r="T4779" t="s">
        <v>354</v>
      </c>
      <c r="U4779" t="s">
        <v>355</v>
      </c>
      <c r="V4779" t="s">
        <v>131</v>
      </c>
      <c r="W4779" t="s">
        <v>51</v>
      </c>
      <c r="X4779" t="s">
        <v>45</v>
      </c>
      <c r="Y4779" s="1">
        <v>30958</v>
      </c>
      <c r="Z4779">
        <v>1</v>
      </c>
      <c r="AA4779" t="s">
        <v>355</v>
      </c>
      <c r="AB4779" s="40" t="s">
        <v>1799</v>
      </c>
    </row>
    <row r="4780" spans="1:28" x14ac:dyDescent="0.25">
      <c r="A4780">
        <v>99914779</v>
      </c>
      <c r="B4780" t="s">
        <v>32</v>
      </c>
      <c r="C4780" t="s">
        <v>111</v>
      </c>
      <c r="D4780" t="s">
        <v>112</v>
      </c>
      <c r="G4780" t="s">
        <v>48</v>
      </c>
      <c r="H4780">
        <v>5</v>
      </c>
      <c r="J4780" s="1">
        <v>43344</v>
      </c>
      <c r="K4780" t="s">
        <v>354</v>
      </c>
      <c r="L4780" t="s">
        <v>355</v>
      </c>
      <c r="M4780" t="s">
        <v>131</v>
      </c>
      <c r="N4780">
        <v>24</v>
      </c>
      <c r="O4780" s="1">
        <v>43344</v>
      </c>
      <c r="P4780" t="s">
        <v>41</v>
      </c>
      <c r="Q4780" t="s">
        <v>75</v>
      </c>
      <c r="R4780" t="str">
        <f>"7054022"</f>
        <v>7054022</v>
      </c>
      <c r="S4780" t="s">
        <v>770</v>
      </c>
      <c r="T4780" t="s">
        <v>354</v>
      </c>
      <c r="U4780" t="s">
        <v>355</v>
      </c>
      <c r="V4780" t="s">
        <v>131</v>
      </c>
      <c r="W4780" t="s">
        <v>51</v>
      </c>
      <c r="X4780" t="s">
        <v>45</v>
      </c>
      <c r="Y4780" s="1">
        <v>30950</v>
      </c>
      <c r="Z4780">
        <v>1</v>
      </c>
      <c r="AA4780" t="s">
        <v>355</v>
      </c>
      <c r="AB4780" s="40" t="s">
        <v>1799</v>
      </c>
    </row>
    <row r="4781" spans="1:28" x14ac:dyDescent="0.25">
      <c r="A4781">
        <v>99914780</v>
      </c>
      <c r="B4781" t="s">
        <v>56</v>
      </c>
      <c r="C4781" t="s">
        <v>111</v>
      </c>
      <c r="D4781" t="s">
        <v>112</v>
      </c>
      <c r="G4781" t="s">
        <v>48</v>
      </c>
      <c r="H4781">
        <v>1</v>
      </c>
      <c r="K4781" t="s">
        <v>268</v>
      </c>
      <c r="L4781" t="s">
        <v>269</v>
      </c>
      <c r="M4781" t="s">
        <v>131</v>
      </c>
      <c r="N4781">
        <v>24</v>
      </c>
      <c r="P4781" t="s">
        <v>41</v>
      </c>
      <c r="Q4781" t="s">
        <v>75</v>
      </c>
      <c r="R4781" t="str">
        <f>"7052008"</f>
        <v>7052008</v>
      </c>
      <c r="S4781" t="s">
        <v>274</v>
      </c>
      <c r="T4781" t="s">
        <v>268</v>
      </c>
      <c r="U4781" t="s">
        <v>269</v>
      </c>
      <c r="V4781" t="s">
        <v>131</v>
      </c>
      <c r="W4781" t="s">
        <v>51</v>
      </c>
      <c r="X4781" t="s">
        <v>45</v>
      </c>
      <c r="Y4781" s="1">
        <v>30949</v>
      </c>
      <c r="Z4781">
        <v>1</v>
      </c>
      <c r="AA4781" t="s">
        <v>269</v>
      </c>
      <c r="AB4781" s="40" t="s">
        <v>1799</v>
      </c>
    </row>
    <row r="4782" spans="1:28" x14ac:dyDescent="0.25">
      <c r="A4782">
        <v>99914781</v>
      </c>
      <c r="B4782" t="s">
        <v>32</v>
      </c>
      <c r="C4782" t="s">
        <v>111</v>
      </c>
      <c r="D4782" t="s">
        <v>112</v>
      </c>
      <c r="G4782" t="s">
        <v>48</v>
      </c>
      <c r="H4782">
        <v>5</v>
      </c>
      <c r="K4782" t="s">
        <v>354</v>
      </c>
      <c r="L4782" t="s">
        <v>355</v>
      </c>
      <c r="M4782" t="s">
        <v>131</v>
      </c>
      <c r="N4782">
        <v>24</v>
      </c>
      <c r="P4782" t="s">
        <v>41</v>
      </c>
      <c r="Q4782" t="s">
        <v>75</v>
      </c>
      <c r="R4782" t="str">
        <f>"7054022"</f>
        <v>7054022</v>
      </c>
      <c r="S4782" t="s">
        <v>770</v>
      </c>
      <c r="T4782" t="s">
        <v>354</v>
      </c>
      <c r="U4782" t="s">
        <v>355</v>
      </c>
      <c r="V4782" t="s">
        <v>131</v>
      </c>
      <c r="W4782" t="s">
        <v>51</v>
      </c>
      <c r="X4782" t="s">
        <v>45</v>
      </c>
      <c r="Y4782" s="1">
        <v>30936</v>
      </c>
      <c r="Z4782">
        <v>1</v>
      </c>
      <c r="AA4782" t="s">
        <v>355</v>
      </c>
      <c r="AB4782" s="40" t="s">
        <v>1799</v>
      </c>
    </row>
    <row r="4783" spans="1:28" x14ac:dyDescent="0.25">
      <c r="A4783">
        <v>99914782</v>
      </c>
      <c r="B4783" t="s">
        <v>32</v>
      </c>
      <c r="C4783" t="s">
        <v>90</v>
      </c>
      <c r="D4783" t="s">
        <v>91</v>
      </c>
      <c r="G4783" t="s">
        <v>35</v>
      </c>
      <c r="H4783">
        <v>1</v>
      </c>
      <c r="I4783" t="s">
        <v>904</v>
      </c>
      <c r="J4783" s="1">
        <v>43390</v>
      </c>
      <c r="K4783" t="s">
        <v>877</v>
      </c>
      <c r="L4783" t="s">
        <v>878</v>
      </c>
      <c r="M4783" t="s">
        <v>131</v>
      </c>
      <c r="N4783">
        <v>24</v>
      </c>
      <c r="O4783" s="1">
        <v>43390</v>
      </c>
      <c r="P4783" t="s">
        <v>41</v>
      </c>
      <c r="Q4783" t="s">
        <v>75</v>
      </c>
      <c r="R4783" t="str">
        <f>"7541020"</f>
        <v>7541020</v>
      </c>
      <c r="S4783" t="s">
        <v>882</v>
      </c>
      <c r="T4783" t="s">
        <v>877</v>
      </c>
      <c r="U4783" t="s">
        <v>878</v>
      </c>
      <c r="V4783" t="s">
        <v>131</v>
      </c>
      <c r="W4783" t="s">
        <v>44</v>
      </c>
      <c r="X4783" t="s">
        <v>45</v>
      </c>
      <c r="Y4783" s="1">
        <v>30931</v>
      </c>
      <c r="Z4783">
        <v>1</v>
      </c>
      <c r="AA4783" t="s">
        <v>878</v>
      </c>
      <c r="AB4783" s="40" t="s">
        <v>1799</v>
      </c>
    </row>
    <row r="4784" spans="1:28" x14ac:dyDescent="0.25">
      <c r="A4784">
        <v>99914783</v>
      </c>
      <c r="B4784" t="s">
        <v>32</v>
      </c>
      <c r="C4784" t="s">
        <v>90</v>
      </c>
      <c r="D4784" t="s">
        <v>91</v>
      </c>
      <c r="G4784" t="s">
        <v>35</v>
      </c>
      <c r="H4784">
        <v>1</v>
      </c>
      <c r="I4784">
        <v>20393</v>
      </c>
      <c r="J4784" s="1">
        <v>43344</v>
      </c>
      <c r="K4784" t="s">
        <v>354</v>
      </c>
      <c r="L4784" t="s">
        <v>355</v>
      </c>
      <c r="M4784" t="s">
        <v>131</v>
      </c>
      <c r="N4784">
        <v>24</v>
      </c>
      <c r="O4784" s="1">
        <v>43344</v>
      </c>
      <c r="P4784" t="s">
        <v>41</v>
      </c>
      <c r="Q4784" t="s">
        <v>75</v>
      </c>
      <c r="R4784" t="str">
        <f>"7054042"</f>
        <v>7054042</v>
      </c>
      <c r="S4784" t="s">
        <v>776</v>
      </c>
      <c r="T4784" t="s">
        <v>354</v>
      </c>
      <c r="U4784" t="s">
        <v>355</v>
      </c>
      <c r="V4784" t="s">
        <v>131</v>
      </c>
      <c r="W4784" t="s">
        <v>51</v>
      </c>
      <c r="X4784" t="s">
        <v>45</v>
      </c>
      <c r="Y4784" s="1">
        <v>30929</v>
      </c>
      <c r="Z4784">
        <v>1</v>
      </c>
      <c r="AA4784" t="s">
        <v>355</v>
      </c>
      <c r="AB4784" s="40" t="s">
        <v>1799</v>
      </c>
    </row>
    <row r="4785" spans="1:28" x14ac:dyDescent="0.25">
      <c r="A4785">
        <v>99914784</v>
      </c>
      <c r="B4785" t="s">
        <v>32</v>
      </c>
      <c r="C4785" t="s">
        <v>33</v>
      </c>
      <c r="D4785" t="s">
        <v>34</v>
      </c>
      <c r="G4785" t="s">
        <v>48</v>
      </c>
      <c r="H4785">
        <v>1</v>
      </c>
      <c r="K4785" t="s">
        <v>223</v>
      </c>
      <c r="L4785" t="s">
        <v>224</v>
      </c>
      <c r="M4785" t="s">
        <v>131</v>
      </c>
      <c r="N4785">
        <v>24</v>
      </c>
      <c r="P4785" t="s">
        <v>41</v>
      </c>
      <c r="Q4785" t="s">
        <v>49</v>
      </c>
      <c r="R4785" t="str">
        <f>"0591910"</f>
        <v>0591910</v>
      </c>
      <c r="S4785" t="s">
        <v>228</v>
      </c>
      <c r="T4785" t="s">
        <v>223</v>
      </c>
      <c r="U4785" t="s">
        <v>224</v>
      </c>
      <c r="V4785" t="s">
        <v>131</v>
      </c>
      <c r="W4785" t="s">
        <v>51</v>
      </c>
      <c r="X4785" t="s">
        <v>45</v>
      </c>
      <c r="Y4785" s="1">
        <v>30927</v>
      </c>
      <c r="Z4785">
        <v>2</v>
      </c>
      <c r="AA4785" t="s">
        <v>224</v>
      </c>
      <c r="AB4785" s="40" t="s">
        <v>1799</v>
      </c>
    </row>
    <row r="4786" spans="1:28" x14ac:dyDescent="0.25">
      <c r="A4786">
        <v>99914785</v>
      </c>
      <c r="B4786" t="s">
        <v>32</v>
      </c>
      <c r="C4786" t="s">
        <v>111</v>
      </c>
      <c r="D4786" t="s">
        <v>112</v>
      </c>
      <c r="G4786" t="s">
        <v>35</v>
      </c>
      <c r="H4786">
        <v>1</v>
      </c>
      <c r="K4786" t="s">
        <v>1081</v>
      </c>
      <c r="L4786" t="s">
        <v>1082</v>
      </c>
      <c r="M4786" t="s">
        <v>1053</v>
      </c>
      <c r="N4786">
        <v>24</v>
      </c>
      <c r="P4786" t="s">
        <v>41</v>
      </c>
      <c r="Q4786" t="s">
        <v>75</v>
      </c>
      <c r="R4786" t="str">
        <f>"7201006"</f>
        <v>7201006</v>
      </c>
      <c r="S4786" t="s">
        <v>1083</v>
      </c>
      <c r="T4786" t="s">
        <v>1081</v>
      </c>
      <c r="U4786" t="s">
        <v>1082</v>
      </c>
      <c r="V4786" t="s">
        <v>1053</v>
      </c>
      <c r="W4786" t="s">
        <v>51</v>
      </c>
      <c r="X4786" t="s">
        <v>45</v>
      </c>
      <c r="Y4786" s="1">
        <v>30905</v>
      </c>
      <c r="Z4786">
        <v>1</v>
      </c>
      <c r="AA4786" t="s">
        <v>1082</v>
      </c>
      <c r="AB4786" s="40" t="s">
        <v>1799</v>
      </c>
    </row>
    <row r="4787" spans="1:28" x14ac:dyDescent="0.25">
      <c r="A4787">
        <v>99914786</v>
      </c>
      <c r="B4787" t="s">
        <v>32</v>
      </c>
      <c r="C4787" t="s">
        <v>64</v>
      </c>
      <c r="D4787" t="s">
        <v>65</v>
      </c>
      <c r="G4787" t="s">
        <v>35</v>
      </c>
      <c r="H4787">
        <v>1</v>
      </c>
      <c r="I4787" t="s">
        <v>535</v>
      </c>
      <c r="J4787" s="1">
        <v>43344</v>
      </c>
      <c r="K4787" t="s">
        <v>431</v>
      </c>
      <c r="L4787" t="s">
        <v>196</v>
      </c>
      <c r="M4787" t="s">
        <v>131</v>
      </c>
      <c r="N4787">
        <v>24</v>
      </c>
      <c r="O4787" s="1">
        <v>43344</v>
      </c>
      <c r="P4787" t="s">
        <v>41</v>
      </c>
      <c r="Q4787" t="s">
        <v>75</v>
      </c>
      <c r="R4787" t="str">
        <f>"7521022"</f>
        <v>7521022</v>
      </c>
      <c r="S4787" t="s">
        <v>445</v>
      </c>
      <c r="T4787" t="s">
        <v>431</v>
      </c>
      <c r="U4787" t="s">
        <v>196</v>
      </c>
      <c r="V4787" t="s">
        <v>131</v>
      </c>
      <c r="W4787" t="s">
        <v>55</v>
      </c>
      <c r="X4787" t="s">
        <v>45</v>
      </c>
      <c r="Y4787" s="1">
        <v>30896</v>
      </c>
      <c r="Z4787">
        <v>1</v>
      </c>
      <c r="AA4787" t="s">
        <v>196</v>
      </c>
      <c r="AB4787" s="40" t="s">
        <v>1799</v>
      </c>
    </row>
    <row r="4788" spans="1:28" x14ac:dyDescent="0.25">
      <c r="A4788">
        <v>99914787</v>
      </c>
      <c r="B4788" t="s">
        <v>32</v>
      </c>
      <c r="C4788" t="s">
        <v>64</v>
      </c>
      <c r="D4788" t="s">
        <v>65</v>
      </c>
      <c r="G4788" t="s">
        <v>35</v>
      </c>
      <c r="H4788">
        <v>3</v>
      </c>
      <c r="I4788" t="s">
        <v>663</v>
      </c>
      <c r="J4788" s="1">
        <v>43344</v>
      </c>
      <c r="K4788" t="s">
        <v>268</v>
      </c>
      <c r="L4788" t="s">
        <v>269</v>
      </c>
      <c r="M4788" t="s">
        <v>131</v>
      </c>
      <c r="N4788">
        <v>24</v>
      </c>
      <c r="O4788" s="1">
        <v>43344</v>
      </c>
      <c r="P4788" t="s">
        <v>41</v>
      </c>
      <c r="Q4788" t="s">
        <v>75</v>
      </c>
      <c r="R4788" t="str">
        <f>"7052004"</f>
        <v>7052004</v>
      </c>
      <c r="S4788" t="s">
        <v>584</v>
      </c>
      <c r="T4788" t="s">
        <v>268</v>
      </c>
      <c r="U4788" t="s">
        <v>269</v>
      </c>
      <c r="V4788" t="s">
        <v>131</v>
      </c>
      <c r="W4788" t="s">
        <v>51</v>
      </c>
      <c r="X4788" t="s">
        <v>45</v>
      </c>
      <c r="Y4788" s="1">
        <v>30890</v>
      </c>
      <c r="Z4788">
        <v>1</v>
      </c>
      <c r="AA4788" t="s">
        <v>269</v>
      </c>
      <c r="AB4788" s="40" t="s">
        <v>1799</v>
      </c>
    </row>
    <row r="4789" spans="1:28" x14ac:dyDescent="0.25">
      <c r="A4789">
        <v>99914788</v>
      </c>
      <c r="B4789" t="s">
        <v>32</v>
      </c>
      <c r="C4789" t="s">
        <v>90</v>
      </c>
      <c r="D4789" t="s">
        <v>91</v>
      </c>
      <c r="G4789" t="s">
        <v>35</v>
      </c>
      <c r="H4789">
        <v>1</v>
      </c>
      <c r="I4789" t="s">
        <v>671</v>
      </c>
      <c r="J4789" s="1">
        <v>43344</v>
      </c>
      <c r="K4789" t="s">
        <v>268</v>
      </c>
      <c r="L4789" t="s">
        <v>269</v>
      </c>
      <c r="M4789" t="s">
        <v>131</v>
      </c>
      <c r="N4789">
        <v>24</v>
      </c>
      <c r="P4789" t="s">
        <v>41</v>
      </c>
      <c r="Q4789" t="s">
        <v>95</v>
      </c>
      <c r="R4789" t="str">
        <f>"7052199"</f>
        <v>7052199</v>
      </c>
      <c r="S4789" t="s">
        <v>672</v>
      </c>
      <c r="T4789" t="s">
        <v>268</v>
      </c>
      <c r="U4789" t="s">
        <v>269</v>
      </c>
      <c r="V4789" t="s">
        <v>131</v>
      </c>
      <c r="W4789" t="s">
        <v>51</v>
      </c>
      <c r="X4789" t="s">
        <v>45</v>
      </c>
      <c r="Y4789" s="1">
        <v>30839</v>
      </c>
      <c r="Z4789">
        <v>1</v>
      </c>
      <c r="AA4789" t="s">
        <v>269</v>
      </c>
      <c r="AB4789" s="40" t="s">
        <v>1799</v>
      </c>
    </row>
    <row r="4790" spans="1:28" x14ac:dyDescent="0.25">
      <c r="A4790">
        <v>99914789</v>
      </c>
      <c r="B4790" t="s">
        <v>32</v>
      </c>
      <c r="C4790" t="s">
        <v>64</v>
      </c>
      <c r="D4790" t="s">
        <v>65</v>
      </c>
      <c r="G4790" t="s">
        <v>35</v>
      </c>
      <c r="H4790">
        <v>1</v>
      </c>
      <c r="I4790">
        <v>1728</v>
      </c>
      <c r="J4790" s="1">
        <v>43344</v>
      </c>
      <c r="K4790" t="s">
        <v>268</v>
      </c>
      <c r="L4790" t="s">
        <v>269</v>
      </c>
      <c r="M4790" t="s">
        <v>131</v>
      </c>
      <c r="N4790">
        <v>24</v>
      </c>
      <c r="O4790" s="1">
        <v>43344</v>
      </c>
      <c r="P4790" t="s">
        <v>41</v>
      </c>
      <c r="Q4790" t="s">
        <v>75</v>
      </c>
      <c r="R4790" t="str">
        <f>"7052004"</f>
        <v>7052004</v>
      </c>
      <c r="S4790" t="s">
        <v>584</v>
      </c>
      <c r="T4790" t="s">
        <v>268</v>
      </c>
      <c r="U4790" t="s">
        <v>269</v>
      </c>
      <c r="V4790" t="s">
        <v>131</v>
      </c>
      <c r="W4790" t="s">
        <v>55</v>
      </c>
      <c r="X4790" t="s">
        <v>45</v>
      </c>
      <c r="Y4790" s="1">
        <v>30831</v>
      </c>
      <c r="Z4790">
        <v>1</v>
      </c>
      <c r="AA4790" t="s">
        <v>269</v>
      </c>
      <c r="AB4790" s="40" t="s">
        <v>1799</v>
      </c>
    </row>
    <row r="4791" spans="1:28" x14ac:dyDescent="0.25">
      <c r="A4791">
        <v>99914790</v>
      </c>
      <c r="B4791" t="s">
        <v>32</v>
      </c>
      <c r="C4791" t="s">
        <v>139</v>
      </c>
      <c r="D4791" t="s">
        <v>140</v>
      </c>
      <c r="G4791" t="s">
        <v>48</v>
      </c>
      <c r="H4791">
        <v>1</v>
      </c>
      <c r="K4791" t="s">
        <v>154</v>
      </c>
      <c r="L4791" t="s">
        <v>155</v>
      </c>
      <c r="M4791" t="s">
        <v>131</v>
      </c>
      <c r="N4791">
        <v>24</v>
      </c>
      <c r="P4791" t="s">
        <v>41</v>
      </c>
      <c r="Q4791" t="s">
        <v>75</v>
      </c>
      <c r="R4791" t="str">
        <f>"7051018"</f>
        <v>7051018</v>
      </c>
      <c r="S4791" t="s">
        <v>401</v>
      </c>
      <c r="T4791" t="s">
        <v>154</v>
      </c>
      <c r="U4791" t="s">
        <v>155</v>
      </c>
      <c r="V4791" t="s">
        <v>131</v>
      </c>
      <c r="W4791" t="s">
        <v>51</v>
      </c>
      <c r="X4791" t="s">
        <v>45</v>
      </c>
      <c r="Y4791" s="1">
        <v>30823</v>
      </c>
      <c r="Z4791">
        <v>1</v>
      </c>
      <c r="AA4791" t="s">
        <v>155</v>
      </c>
      <c r="AB4791" s="40" t="s">
        <v>1799</v>
      </c>
    </row>
    <row r="4792" spans="1:28" x14ac:dyDescent="0.25">
      <c r="A4792">
        <v>99914791</v>
      </c>
      <c r="B4792" t="s">
        <v>32</v>
      </c>
      <c r="C4792" t="s">
        <v>111</v>
      </c>
      <c r="D4792" t="s">
        <v>112</v>
      </c>
      <c r="G4792" t="s">
        <v>35</v>
      </c>
      <c r="H4792">
        <v>1</v>
      </c>
      <c r="K4792" t="s">
        <v>431</v>
      </c>
      <c r="L4792" t="s">
        <v>196</v>
      </c>
      <c r="M4792" t="s">
        <v>131</v>
      </c>
      <c r="N4792">
        <v>24</v>
      </c>
      <c r="P4792" t="s">
        <v>41</v>
      </c>
      <c r="Q4792" t="s">
        <v>75</v>
      </c>
      <c r="R4792" t="str">
        <f>"7521032"</f>
        <v>7521032</v>
      </c>
      <c r="S4792" t="s">
        <v>462</v>
      </c>
      <c r="T4792" t="s">
        <v>431</v>
      </c>
      <c r="U4792" t="s">
        <v>196</v>
      </c>
      <c r="V4792" t="s">
        <v>131</v>
      </c>
      <c r="W4792" t="s">
        <v>51</v>
      </c>
      <c r="X4792" t="s">
        <v>45</v>
      </c>
      <c r="Y4792" s="1">
        <v>30823</v>
      </c>
      <c r="Z4792">
        <v>1</v>
      </c>
      <c r="AA4792" t="s">
        <v>196</v>
      </c>
      <c r="AB4792" s="40" t="s">
        <v>1799</v>
      </c>
    </row>
    <row r="4793" spans="1:28" x14ac:dyDescent="0.25">
      <c r="A4793">
        <v>99914792</v>
      </c>
      <c r="B4793" t="s">
        <v>32</v>
      </c>
      <c r="C4793" t="s">
        <v>90</v>
      </c>
      <c r="D4793" t="s">
        <v>91</v>
      </c>
      <c r="G4793" t="s">
        <v>35</v>
      </c>
      <c r="H4793">
        <v>1</v>
      </c>
      <c r="I4793">
        <v>20468</v>
      </c>
      <c r="J4793" s="1">
        <v>43344</v>
      </c>
      <c r="K4793" t="s">
        <v>354</v>
      </c>
      <c r="L4793" t="s">
        <v>355</v>
      </c>
      <c r="M4793" t="s">
        <v>131</v>
      </c>
      <c r="N4793">
        <v>24</v>
      </c>
      <c r="O4793" s="1">
        <v>43344</v>
      </c>
      <c r="P4793" t="s">
        <v>41</v>
      </c>
      <c r="Q4793" t="s">
        <v>75</v>
      </c>
      <c r="R4793" t="str">
        <f>"7054016"</f>
        <v>7054016</v>
      </c>
      <c r="S4793" t="s">
        <v>768</v>
      </c>
      <c r="T4793" t="s">
        <v>354</v>
      </c>
      <c r="U4793" t="s">
        <v>355</v>
      </c>
      <c r="V4793" t="s">
        <v>131</v>
      </c>
      <c r="W4793" t="s">
        <v>51</v>
      </c>
      <c r="X4793" t="s">
        <v>45</v>
      </c>
      <c r="Y4793" s="1">
        <v>30806</v>
      </c>
      <c r="Z4793">
        <v>1</v>
      </c>
      <c r="AA4793" t="s">
        <v>355</v>
      </c>
      <c r="AB4793" s="40" t="s">
        <v>1799</v>
      </c>
    </row>
    <row r="4794" spans="1:28" x14ac:dyDescent="0.25">
      <c r="A4794">
        <v>99914793</v>
      </c>
      <c r="B4794" t="s">
        <v>56</v>
      </c>
      <c r="C4794" t="s">
        <v>79</v>
      </c>
      <c r="D4794" t="s">
        <v>80</v>
      </c>
      <c r="G4794" t="s">
        <v>48</v>
      </c>
      <c r="H4794">
        <v>1</v>
      </c>
      <c r="K4794" t="s">
        <v>354</v>
      </c>
      <c r="L4794" t="s">
        <v>355</v>
      </c>
      <c r="M4794" t="s">
        <v>131</v>
      </c>
      <c r="N4794">
        <v>24</v>
      </c>
      <c r="P4794" t="s">
        <v>41</v>
      </c>
      <c r="Q4794" t="s">
        <v>75</v>
      </c>
      <c r="R4794" t="str">
        <f>"7054038"</f>
        <v>7054038</v>
      </c>
      <c r="S4794" t="s">
        <v>377</v>
      </c>
      <c r="T4794" t="s">
        <v>354</v>
      </c>
      <c r="U4794" t="s">
        <v>355</v>
      </c>
      <c r="V4794" t="s">
        <v>131</v>
      </c>
      <c r="W4794" t="s">
        <v>51</v>
      </c>
      <c r="X4794" t="s">
        <v>45</v>
      </c>
      <c r="Y4794" s="1">
        <v>30772</v>
      </c>
      <c r="Z4794">
        <v>1</v>
      </c>
      <c r="AA4794" t="s">
        <v>355</v>
      </c>
      <c r="AB4794" s="40" t="s">
        <v>1799</v>
      </c>
    </row>
    <row r="4795" spans="1:28" x14ac:dyDescent="0.25">
      <c r="A4795">
        <v>99914794</v>
      </c>
      <c r="B4795" t="s">
        <v>32</v>
      </c>
      <c r="C4795" t="s">
        <v>111</v>
      </c>
      <c r="D4795" t="s">
        <v>112</v>
      </c>
      <c r="G4795" t="s">
        <v>35</v>
      </c>
      <c r="H4795">
        <v>1</v>
      </c>
      <c r="I4795">
        <v>19057</v>
      </c>
      <c r="J4795" s="1">
        <v>43390</v>
      </c>
      <c r="K4795" t="s">
        <v>877</v>
      </c>
      <c r="L4795" t="s">
        <v>878</v>
      </c>
      <c r="M4795" t="s">
        <v>131</v>
      </c>
      <c r="N4795">
        <v>24</v>
      </c>
      <c r="O4795" s="1">
        <v>43390</v>
      </c>
      <c r="P4795" t="s">
        <v>41</v>
      </c>
      <c r="Q4795" t="s">
        <v>75</v>
      </c>
      <c r="R4795" t="str">
        <f>"7541008"</f>
        <v>7541008</v>
      </c>
      <c r="S4795" t="s">
        <v>879</v>
      </c>
      <c r="T4795" t="s">
        <v>877</v>
      </c>
      <c r="U4795" t="s">
        <v>878</v>
      </c>
      <c r="V4795" t="s">
        <v>131</v>
      </c>
      <c r="W4795" t="s">
        <v>44</v>
      </c>
      <c r="X4795" t="s">
        <v>45</v>
      </c>
      <c r="Y4795" s="1">
        <v>30772</v>
      </c>
      <c r="Z4795">
        <v>1</v>
      </c>
      <c r="AA4795" t="s">
        <v>878</v>
      </c>
      <c r="AB4795" s="40" t="s">
        <v>1799</v>
      </c>
    </row>
    <row r="4796" spans="1:28" x14ac:dyDescent="0.25">
      <c r="A4796">
        <v>99914795</v>
      </c>
      <c r="B4796" t="s">
        <v>32</v>
      </c>
      <c r="C4796" t="s">
        <v>90</v>
      </c>
      <c r="D4796" t="s">
        <v>91</v>
      </c>
      <c r="G4796" t="s">
        <v>35</v>
      </c>
      <c r="H4796">
        <v>1</v>
      </c>
      <c r="I4796" t="s">
        <v>1425</v>
      </c>
      <c r="J4796" s="1">
        <v>43344</v>
      </c>
      <c r="K4796" t="s">
        <v>1341</v>
      </c>
      <c r="L4796" t="s">
        <v>1342</v>
      </c>
      <c r="M4796" t="s">
        <v>1270</v>
      </c>
      <c r="N4796">
        <v>24</v>
      </c>
      <c r="O4796" s="1">
        <v>43344</v>
      </c>
      <c r="P4796" t="s">
        <v>41</v>
      </c>
      <c r="Q4796" t="s">
        <v>95</v>
      </c>
      <c r="R4796" t="str">
        <f>"7191101"</f>
        <v>7191101</v>
      </c>
      <c r="S4796" t="s">
        <v>1377</v>
      </c>
      <c r="T4796" t="s">
        <v>1341</v>
      </c>
      <c r="U4796" t="s">
        <v>1342</v>
      </c>
      <c r="V4796" t="s">
        <v>1270</v>
      </c>
      <c r="W4796" t="s">
        <v>51</v>
      </c>
      <c r="X4796" t="s">
        <v>45</v>
      </c>
      <c r="Y4796" s="1">
        <v>30769</v>
      </c>
      <c r="Z4796">
        <v>1</v>
      </c>
      <c r="AA4796" t="s">
        <v>1342</v>
      </c>
      <c r="AB4796" s="40" t="s">
        <v>1799</v>
      </c>
    </row>
    <row r="4797" spans="1:28" x14ac:dyDescent="0.25">
      <c r="A4797">
        <v>99914796</v>
      </c>
      <c r="B4797" t="s">
        <v>56</v>
      </c>
      <c r="C4797" t="s">
        <v>46</v>
      </c>
      <c r="D4797" t="s">
        <v>47</v>
      </c>
      <c r="G4797" t="s">
        <v>88</v>
      </c>
      <c r="H4797">
        <v>4</v>
      </c>
      <c r="K4797" t="s">
        <v>354</v>
      </c>
      <c r="L4797" t="s">
        <v>355</v>
      </c>
      <c r="M4797" t="s">
        <v>131</v>
      </c>
      <c r="N4797">
        <v>24</v>
      </c>
      <c r="P4797" t="s">
        <v>41</v>
      </c>
      <c r="Q4797" t="s">
        <v>75</v>
      </c>
      <c r="R4797" t="str">
        <f>"7054028"</f>
        <v>7054028</v>
      </c>
      <c r="S4797" t="s">
        <v>788</v>
      </c>
      <c r="T4797" t="s">
        <v>354</v>
      </c>
      <c r="U4797" t="s">
        <v>355</v>
      </c>
      <c r="V4797" t="s">
        <v>131</v>
      </c>
      <c r="W4797" t="s">
        <v>51</v>
      </c>
      <c r="X4797" t="s">
        <v>45</v>
      </c>
      <c r="Y4797" s="1">
        <v>30766</v>
      </c>
      <c r="Z4797">
        <v>1</v>
      </c>
      <c r="AA4797" t="s">
        <v>355</v>
      </c>
      <c r="AB4797" s="40" t="s">
        <v>1799</v>
      </c>
    </row>
    <row r="4798" spans="1:28" x14ac:dyDescent="0.25">
      <c r="A4798">
        <v>99914797</v>
      </c>
      <c r="B4798" t="s">
        <v>32</v>
      </c>
      <c r="C4798" t="s">
        <v>79</v>
      </c>
      <c r="D4798" t="s">
        <v>80</v>
      </c>
      <c r="G4798" t="s">
        <v>35</v>
      </c>
      <c r="H4798">
        <v>1</v>
      </c>
      <c r="K4798" t="s">
        <v>154</v>
      </c>
      <c r="L4798" t="s">
        <v>155</v>
      </c>
      <c r="M4798" t="s">
        <v>131</v>
      </c>
      <c r="N4798">
        <v>24</v>
      </c>
      <c r="P4798" t="s">
        <v>41</v>
      </c>
      <c r="Q4798" t="s">
        <v>75</v>
      </c>
      <c r="R4798" t="str">
        <f>"7700026"</f>
        <v>7700026</v>
      </c>
      <c r="S4798" t="s">
        <v>397</v>
      </c>
      <c r="T4798" t="s">
        <v>154</v>
      </c>
      <c r="U4798" t="s">
        <v>155</v>
      </c>
      <c r="V4798" t="s">
        <v>131</v>
      </c>
      <c r="W4798" t="s">
        <v>51</v>
      </c>
      <c r="X4798" t="s">
        <v>45</v>
      </c>
      <c r="Y4798" s="1">
        <v>30709</v>
      </c>
      <c r="Z4798">
        <v>1</v>
      </c>
      <c r="AA4798" t="s">
        <v>155</v>
      </c>
      <c r="AB4798" s="40" t="s">
        <v>1799</v>
      </c>
    </row>
    <row r="4799" spans="1:28" x14ac:dyDescent="0.25">
      <c r="A4799">
        <v>99914798</v>
      </c>
      <c r="B4799" t="s">
        <v>32</v>
      </c>
      <c r="C4799" t="s">
        <v>111</v>
      </c>
      <c r="D4799" t="s">
        <v>112</v>
      </c>
      <c r="G4799" t="s">
        <v>48</v>
      </c>
      <c r="H4799">
        <v>1</v>
      </c>
      <c r="K4799" t="s">
        <v>268</v>
      </c>
      <c r="L4799" t="s">
        <v>269</v>
      </c>
      <c r="M4799" t="s">
        <v>131</v>
      </c>
      <c r="N4799">
        <v>24</v>
      </c>
      <c r="P4799" t="s">
        <v>41</v>
      </c>
      <c r="Q4799" t="s">
        <v>75</v>
      </c>
      <c r="R4799" t="str">
        <f>"7052008"</f>
        <v>7052008</v>
      </c>
      <c r="S4799" t="s">
        <v>274</v>
      </c>
      <c r="T4799" t="s">
        <v>268</v>
      </c>
      <c r="U4799" t="s">
        <v>269</v>
      </c>
      <c r="V4799" t="s">
        <v>131</v>
      </c>
      <c r="W4799" t="s">
        <v>51</v>
      </c>
      <c r="X4799" t="s">
        <v>45</v>
      </c>
      <c r="Y4799" s="1">
        <v>30709</v>
      </c>
      <c r="Z4799">
        <v>1</v>
      </c>
      <c r="AA4799" t="s">
        <v>269</v>
      </c>
      <c r="AB4799" s="40" t="s">
        <v>1799</v>
      </c>
    </row>
    <row r="4800" spans="1:28" x14ac:dyDescent="0.25">
      <c r="A4800">
        <v>99914799</v>
      </c>
      <c r="B4800" t="s">
        <v>56</v>
      </c>
      <c r="C4800" t="s">
        <v>111</v>
      </c>
      <c r="D4800" t="s">
        <v>112</v>
      </c>
      <c r="G4800" t="s">
        <v>35</v>
      </c>
      <c r="H4800">
        <v>1</v>
      </c>
      <c r="K4800" t="s">
        <v>431</v>
      </c>
      <c r="L4800" t="s">
        <v>196</v>
      </c>
      <c r="M4800" t="s">
        <v>131</v>
      </c>
      <c r="N4800">
        <v>24</v>
      </c>
      <c r="P4800" t="s">
        <v>41</v>
      </c>
      <c r="Q4800" t="s">
        <v>75</v>
      </c>
      <c r="R4800" t="str">
        <f>"7521054"</f>
        <v>7521054</v>
      </c>
      <c r="S4800" t="s">
        <v>476</v>
      </c>
      <c r="T4800" t="s">
        <v>431</v>
      </c>
      <c r="U4800" t="s">
        <v>196</v>
      </c>
      <c r="V4800" t="s">
        <v>131</v>
      </c>
      <c r="W4800" t="s">
        <v>51</v>
      </c>
      <c r="X4800" t="s">
        <v>45</v>
      </c>
      <c r="Y4800" s="1">
        <v>30698</v>
      </c>
      <c r="Z4800">
        <v>1</v>
      </c>
      <c r="AA4800" t="s">
        <v>196</v>
      </c>
      <c r="AB4800" s="40" t="s">
        <v>1799</v>
      </c>
    </row>
    <row r="4801" spans="1:28" x14ac:dyDescent="0.25">
      <c r="A4801">
        <v>99914800</v>
      </c>
      <c r="B4801" t="s">
        <v>32</v>
      </c>
      <c r="C4801" t="s">
        <v>64</v>
      </c>
      <c r="D4801" t="s">
        <v>65</v>
      </c>
      <c r="G4801" t="s">
        <v>88</v>
      </c>
      <c r="H4801">
        <v>3</v>
      </c>
      <c r="I4801" t="s">
        <v>477</v>
      </c>
      <c r="J4801" s="1">
        <v>41518</v>
      </c>
      <c r="K4801" t="s">
        <v>431</v>
      </c>
      <c r="L4801" t="s">
        <v>196</v>
      </c>
      <c r="M4801" t="s">
        <v>131</v>
      </c>
      <c r="N4801">
        <v>24</v>
      </c>
      <c r="O4801" s="1">
        <v>41518</v>
      </c>
      <c r="P4801" t="s">
        <v>41</v>
      </c>
      <c r="Q4801" t="s">
        <v>75</v>
      </c>
      <c r="R4801" t="str">
        <f>"7521012"</f>
        <v>7521012</v>
      </c>
      <c r="S4801" t="s">
        <v>432</v>
      </c>
      <c r="T4801" t="s">
        <v>431</v>
      </c>
      <c r="U4801" t="s">
        <v>196</v>
      </c>
      <c r="V4801" t="s">
        <v>131</v>
      </c>
      <c r="W4801" t="s">
        <v>165</v>
      </c>
      <c r="X4801" t="s">
        <v>45</v>
      </c>
      <c r="Y4801" s="1">
        <v>30694</v>
      </c>
      <c r="Z4801">
        <v>1</v>
      </c>
      <c r="AA4801" t="s">
        <v>196</v>
      </c>
      <c r="AB4801" s="40" t="s">
        <v>1799</v>
      </c>
    </row>
    <row r="4802" spans="1:28" x14ac:dyDescent="0.25">
      <c r="A4802">
        <v>99914801</v>
      </c>
      <c r="B4802" t="s">
        <v>32</v>
      </c>
      <c r="C4802" t="s">
        <v>111</v>
      </c>
      <c r="D4802" t="s">
        <v>112</v>
      </c>
      <c r="G4802" t="s">
        <v>48</v>
      </c>
      <c r="H4802">
        <v>1</v>
      </c>
      <c r="K4802" t="s">
        <v>431</v>
      </c>
      <c r="L4802" t="s">
        <v>196</v>
      </c>
      <c r="M4802" t="s">
        <v>131</v>
      </c>
      <c r="N4802">
        <v>24</v>
      </c>
      <c r="P4802" t="s">
        <v>41</v>
      </c>
      <c r="Q4802" t="s">
        <v>75</v>
      </c>
      <c r="R4802" t="str">
        <f>"7521016"</f>
        <v>7521016</v>
      </c>
      <c r="S4802" t="s">
        <v>448</v>
      </c>
      <c r="T4802" t="s">
        <v>431</v>
      </c>
      <c r="U4802" t="s">
        <v>196</v>
      </c>
      <c r="V4802" t="s">
        <v>131</v>
      </c>
      <c r="W4802" t="s">
        <v>51</v>
      </c>
      <c r="X4802" t="s">
        <v>45</v>
      </c>
      <c r="Y4802" s="1">
        <v>30682</v>
      </c>
      <c r="Z4802">
        <v>1</v>
      </c>
      <c r="AA4802" t="s">
        <v>196</v>
      </c>
      <c r="AB4802" s="40" t="s">
        <v>1799</v>
      </c>
    </row>
    <row r="4803" spans="1:28" x14ac:dyDescent="0.25">
      <c r="A4803">
        <v>99914802</v>
      </c>
      <c r="B4803" t="s">
        <v>56</v>
      </c>
      <c r="C4803" t="s">
        <v>111</v>
      </c>
      <c r="D4803" t="s">
        <v>112</v>
      </c>
      <c r="G4803" t="s">
        <v>88</v>
      </c>
      <c r="H4803">
        <v>4</v>
      </c>
      <c r="I4803" t="s">
        <v>840</v>
      </c>
      <c r="J4803" s="1">
        <v>43344</v>
      </c>
      <c r="K4803" t="s">
        <v>354</v>
      </c>
      <c r="L4803" t="s">
        <v>355</v>
      </c>
      <c r="M4803" t="s">
        <v>131</v>
      </c>
      <c r="N4803">
        <v>24</v>
      </c>
      <c r="O4803" s="1">
        <v>43344</v>
      </c>
      <c r="P4803" t="s">
        <v>41</v>
      </c>
      <c r="Q4803" t="s">
        <v>75</v>
      </c>
      <c r="R4803" t="str">
        <f>"7054012"</f>
        <v>7054012</v>
      </c>
      <c r="S4803" t="s">
        <v>353</v>
      </c>
      <c r="T4803" t="s">
        <v>354</v>
      </c>
      <c r="U4803" t="s">
        <v>355</v>
      </c>
      <c r="V4803" t="s">
        <v>131</v>
      </c>
      <c r="W4803" t="s">
        <v>51</v>
      </c>
      <c r="X4803" t="s">
        <v>45</v>
      </c>
      <c r="Y4803" s="1">
        <v>30682</v>
      </c>
      <c r="Z4803">
        <v>1</v>
      </c>
      <c r="AA4803" t="s">
        <v>355</v>
      </c>
      <c r="AB4803" s="40" t="s">
        <v>1799</v>
      </c>
    </row>
    <row r="4804" spans="1:28" x14ac:dyDescent="0.25">
      <c r="A4804">
        <v>99914803</v>
      </c>
      <c r="B4804" t="s">
        <v>32</v>
      </c>
      <c r="C4804" t="s">
        <v>71</v>
      </c>
      <c r="D4804" t="s">
        <v>72</v>
      </c>
      <c r="G4804" t="s">
        <v>35</v>
      </c>
      <c r="H4804">
        <v>1</v>
      </c>
      <c r="K4804" t="s">
        <v>1051</v>
      </c>
      <c r="L4804" t="s">
        <v>1052</v>
      </c>
      <c r="M4804" t="s">
        <v>1053</v>
      </c>
      <c r="N4804">
        <v>24</v>
      </c>
      <c r="P4804" t="s">
        <v>41</v>
      </c>
      <c r="Q4804" t="s">
        <v>49</v>
      </c>
      <c r="R4804" t="str">
        <f>"2060004"</f>
        <v>2060004</v>
      </c>
      <c r="S4804" t="s">
        <v>1059</v>
      </c>
      <c r="T4804" t="s">
        <v>1051</v>
      </c>
      <c r="U4804" t="s">
        <v>1052</v>
      </c>
      <c r="V4804" t="s">
        <v>1053</v>
      </c>
      <c r="W4804" t="s">
        <v>51</v>
      </c>
      <c r="X4804" t="s">
        <v>45</v>
      </c>
      <c r="Y4804" s="1">
        <v>30682</v>
      </c>
      <c r="Z4804">
        <v>2</v>
      </c>
      <c r="AA4804" t="s">
        <v>1052</v>
      </c>
      <c r="AB4804" s="40" t="s">
        <v>1799</v>
      </c>
    </row>
    <row r="4805" spans="1:28" x14ac:dyDescent="0.25">
      <c r="A4805">
        <v>99914804</v>
      </c>
      <c r="B4805" t="s">
        <v>32</v>
      </c>
      <c r="C4805" t="s">
        <v>111</v>
      </c>
      <c r="D4805" t="s">
        <v>112</v>
      </c>
      <c r="G4805" t="s">
        <v>48</v>
      </c>
      <c r="H4805">
        <v>1</v>
      </c>
      <c r="K4805" t="s">
        <v>1341</v>
      </c>
      <c r="L4805" t="s">
        <v>1342</v>
      </c>
      <c r="M4805" t="s">
        <v>1270</v>
      </c>
      <c r="N4805">
        <v>24</v>
      </c>
      <c r="P4805" t="s">
        <v>41</v>
      </c>
      <c r="Q4805" t="s">
        <v>75</v>
      </c>
      <c r="R4805" t="str">
        <f>"7191036"</f>
        <v>7191036</v>
      </c>
      <c r="S4805" t="s">
        <v>1348</v>
      </c>
      <c r="T4805" t="s">
        <v>1341</v>
      </c>
      <c r="U4805" t="s">
        <v>1342</v>
      </c>
      <c r="V4805" t="s">
        <v>1270</v>
      </c>
      <c r="W4805" t="s">
        <v>165</v>
      </c>
      <c r="X4805" t="s">
        <v>45</v>
      </c>
      <c r="Y4805" s="1">
        <v>30682</v>
      </c>
      <c r="Z4805">
        <v>1</v>
      </c>
      <c r="AA4805" t="s">
        <v>1342</v>
      </c>
      <c r="AB4805" s="40" t="s">
        <v>1799</v>
      </c>
    </row>
    <row r="4806" spans="1:28" x14ac:dyDescent="0.25">
      <c r="A4806">
        <v>99914805</v>
      </c>
      <c r="B4806" t="s">
        <v>32</v>
      </c>
      <c r="C4806" t="s">
        <v>64</v>
      </c>
      <c r="D4806" t="s">
        <v>65</v>
      </c>
      <c r="G4806" t="s">
        <v>35</v>
      </c>
      <c r="H4806">
        <v>1</v>
      </c>
      <c r="I4806" t="s">
        <v>1539</v>
      </c>
      <c r="J4806" s="1">
        <v>43371</v>
      </c>
      <c r="K4806" t="s">
        <v>667</v>
      </c>
      <c r="L4806" t="s">
        <v>669</v>
      </c>
      <c r="M4806" t="s">
        <v>670</v>
      </c>
      <c r="N4806">
        <v>24</v>
      </c>
      <c r="O4806" s="1">
        <v>43371</v>
      </c>
      <c r="P4806" t="s">
        <v>41</v>
      </c>
      <c r="Q4806" t="s">
        <v>75</v>
      </c>
      <c r="R4806" t="str">
        <f>"7501000"</f>
        <v>7501000</v>
      </c>
      <c r="S4806" t="s">
        <v>668</v>
      </c>
      <c r="T4806" t="s">
        <v>667</v>
      </c>
      <c r="U4806" t="s">
        <v>669</v>
      </c>
      <c r="V4806" t="s">
        <v>670</v>
      </c>
      <c r="W4806" t="s">
        <v>44</v>
      </c>
      <c r="X4806" t="s">
        <v>45</v>
      </c>
      <c r="Y4806" s="1">
        <v>30682</v>
      </c>
      <c r="Z4806">
        <v>1</v>
      </c>
      <c r="AA4806" t="s">
        <v>669</v>
      </c>
      <c r="AB4806" s="40" t="s">
        <v>1799</v>
      </c>
    </row>
    <row r="4807" spans="1:28" x14ac:dyDescent="0.25">
      <c r="A4807">
        <v>99914806</v>
      </c>
      <c r="B4807" t="s">
        <v>32</v>
      </c>
      <c r="C4807" t="s">
        <v>90</v>
      </c>
      <c r="D4807" t="s">
        <v>91</v>
      </c>
      <c r="G4807" t="s">
        <v>35</v>
      </c>
      <c r="H4807">
        <v>1</v>
      </c>
      <c r="K4807" t="s">
        <v>354</v>
      </c>
      <c r="L4807" t="s">
        <v>355</v>
      </c>
      <c r="M4807" t="s">
        <v>131</v>
      </c>
      <c r="N4807">
        <v>24</v>
      </c>
      <c r="P4807" t="s">
        <v>41</v>
      </c>
      <c r="Q4807" t="s">
        <v>75</v>
      </c>
      <c r="R4807" t="str">
        <f>"7054028"</f>
        <v>7054028</v>
      </c>
      <c r="S4807" t="s">
        <v>788</v>
      </c>
      <c r="T4807" t="s">
        <v>354</v>
      </c>
      <c r="U4807" t="s">
        <v>355</v>
      </c>
      <c r="V4807" t="s">
        <v>131</v>
      </c>
      <c r="W4807" t="s">
        <v>51</v>
      </c>
      <c r="X4807" t="s">
        <v>45</v>
      </c>
      <c r="Y4807" s="1">
        <v>30679</v>
      </c>
      <c r="Z4807">
        <v>1</v>
      </c>
      <c r="AA4807" t="s">
        <v>355</v>
      </c>
      <c r="AB4807" s="40" t="s">
        <v>1799</v>
      </c>
    </row>
    <row r="4808" spans="1:28" x14ac:dyDescent="0.25">
      <c r="A4808">
        <v>99914807</v>
      </c>
      <c r="B4808" t="s">
        <v>56</v>
      </c>
      <c r="C4808" t="s">
        <v>111</v>
      </c>
      <c r="D4808" t="s">
        <v>112</v>
      </c>
      <c r="G4808" t="s">
        <v>35</v>
      </c>
      <c r="H4808">
        <v>1</v>
      </c>
      <c r="I4808">
        <v>20324</v>
      </c>
      <c r="J4808" s="1">
        <v>43344</v>
      </c>
      <c r="K4808" t="s">
        <v>354</v>
      </c>
      <c r="L4808" t="s">
        <v>355</v>
      </c>
      <c r="M4808" t="s">
        <v>131</v>
      </c>
      <c r="N4808">
        <v>24</v>
      </c>
      <c r="O4808" s="1">
        <v>43344</v>
      </c>
      <c r="P4808" t="s">
        <v>41</v>
      </c>
      <c r="Q4808" t="s">
        <v>75</v>
      </c>
      <c r="R4808" t="str">
        <f>"7054042"</f>
        <v>7054042</v>
      </c>
      <c r="S4808" t="s">
        <v>776</v>
      </c>
      <c r="T4808" t="s">
        <v>354</v>
      </c>
      <c r="U4808" t="s">
        <v>355</v>
      </c>
      <c r="V4808" t="s">
        <v>131</v>
      </c>
      <c r="W4808" t="s">
        <v>51</v>
      </c>
      <c r="X4808" t="s">
        <v>45</v>
      </c>
      <c r="Y4808" s="1">
        <v>30665</v>
      </c>
      <c r="Z4808">
        <v>1</v>
      </c>
      <c r="AA4808" t="s">
        <v>355</v>
      </c>
      <c r="AB4808" s="40" t="s">
        <v>1799</v>
      </c>
    </row>
    <row r="4809" spans="1:28" x14ac:dyDescent="0.25">
      <c r="A4809">
        <v>99914808</v>
      </c>
      <c r="B4809" t="s">
        <v>32</v>
      </c>
      <c r="C4809" t="s">
        <v>111</v>
      </c>
      <c r="D4809" t="s">
        <v>112</v>
      </c>
      <c r="G4809" t="s">
        <v>35</v>
      </c>
      <c r="H4809">
        <v>1</v>
      </c>
      <c r="I4809" t="s">
        <v>830</v>
      </c>
      <c r="J4809" s="1">
        <v>43344</v>
      </c>
      <c r="K4809" t="s">
        <v>354</v>
      </c>
      <c r="L4809" t="s">
        <v>355</v>
      </c>
      <c r="M4809" t="s">
        <v>131</v>
      </c>
      <c r="N4809">
        <v>24</v>
      </c>
      <c r="O4809" s="1">
        <v>43344</v>
      </c>
      <c r="P4809" t="s">
        <v>41</v>
      </c>
      <c r="Q4809" t="s">
        <v>75</v>
      </c>
      <c r="R4809" t="str">
        <f>"7054016"</f>
        <v>7054016</v>
      </c>
      <c r="S4809" t="s">
        <v>768</v>
      </c>
      <c r="T4809" t="s">
        <v>354</v>
      </c>
      <c r="U4809" t="s">
        <v>355</v>
      </c>
      <c r="V4809" t="s">
        <v>131</v>
      </c>
      <c r="W4809" t="s">
        <v>51</v>
      </c>
      <c r="X4809" t="s">
        <v>45</v>
      </c>
      <c r="Y4809" s="1">
        <v>30644</v>
      </c>
      <c r="Z4809">
        <v>1</v>
      </c>
      <c r="AA4809" t="s">
        <v>355</v>
      </c>
      <c r="AB4809" s="40" t="s">
        <v>1799</v>
      </c>
    </row>
    <row r="4810" spans="1:28" x14ac:dyDescent="0.25">
      <c r="A4810">
        <v>99914809</v>
      </c>
      <c r="B4810" t="s">
        <v>56</v>
      </c>
      <c r="C4810" t="s">
        <v>52</v>
      </c>
      <c r="D4810" t="s">
        <v>53</v>
      </c>
      <c r="G4810" t="s">
        <v>35</v>
      </c>
      <c r="H4810">
        <v>1</v>
      </c>
      <c r="K4810" t="s">
        <v>223</v>
      </c>
      <c r="L4810" t="s">
        <v>224</v>
      </c>
      <c r="M4810" t="s">
        <v>131</v>
      </c>
      <c r="N4810">
        <v>24</v>
      </c>
      <c r="P4810" t="s">
        <v>41</v>
      </c>
      <c r="Q4810" t="s">
        <v>42</v>
      </c>
      <c r="R4810" t="str">
        <f>"0590901"</f>
        <v>0590901</v>
      </c>
      <c r="S4810" t="s">
        <v>242</v>
      </c>
      <c r="T4810" t="s">
        <v>223</v>
      </c>
      <c r="U4810" t="s">
        <v>224</v>
      </c>
      <c r="V4810" t="s">
        <v>131</v>
      </c>
      <c r="W4810" t="s">
        <v>51</v>
      </c>
      <c r="X4810" t="s">
        <v>45</v>
      </c>
      <c r="Y4810" s="1">
        <v>30633</v>
      </c>
      <c r="Z4810">
        <v>2</v>
      </c>
      <c r="AA4810" t="s">
        <v>224</v>
      </c>
      <c r="AB4810" s="40" t="s">
        <v>1799</v>
      </c>
    </row>
    <row r="4811" spans="1:28" x14ac:dyDescent="0.25">
      <c r="A4811">
        <v>99914810</v>
      </c>
      <c r="B4811" t="s">
        <v>32</v>
      </c>
      <c r="C4811" t="s">
        <v>90</v>
      </c>
      <c r="D4811" t="s">
        <v>91</v>
      </c>
      <c r="G4811" t="s">
        <v>35</v>
      </c>
      <c r="H4811">
        <v>1</v>
      </c>
      <c r="J4811" s="1">
        <v>43344</v>
      </c>
      <c r="K4811" t="s">
        <v>985</v>
      </c>
      <c r="L4811" t="s">
        <v>986</v>
      </c>
      <c r="M4811" t="s">
        <v>938</v>
      </c>
      <c r="N4811">
        <v>24</v>
      </c>
      <c r="O4811" s="1">
        <v>43344</v>
      </c>
      <c r="P4811" t="s">
        <v>41</v>
      </c>
      <c r="Q4811" t="s">
        <v>75</v>
      </c>
      <c r="R4811" t="str">
        <f>"7011000"</f>
        <v>7011000</v>
      </c>
      <c r="S4811" t="s">
        <v>989</v>
      </c>
      <c r="T4811" t="s">
        <v>985</v>
      </c>
      <c r="U4811" t="s">
        <v>986</v>
      </c>
      <c r="V4811" t="s">
        <v>938</v>
      </c>
      <c r="W4811" t="s">
        <v>51</v>
      </c>
      <c r="X4811" t="s">
        <v>45</v>
      </c>
      <c r="Y4811" s="1">
        <v>30610</v>
      </c>
      <c r="Z4811">
        <v>1</v>
      </c>
      <c r="AA4811" t="s">
        <v>986</v>
      </c>
      <c r="AB4811" s="40" t="s">
        <v>1799</v>
      </c>
    </row>
    <row r="4812" spans="1:28" x14ac:dyDescent="0.25">
      <c r="A4812">
        <v>99914811</v>
      </c>
      <c r="B4812" t="s">
        <v>32</v>
      </c>
      <c r="C4812" t="s">
        <v>46</v>
      </c>
      <c r="D4812" t="s">
        <v>47</v>
      </c>
      <c r="G4812" t="s">
        <v>35</v>
      </c>
      <c r="H4812">
        <v>1</v>
      </c>
      <c r="I4812">
        <v>0</v>
      </c>
      <c r="J4812" s="1">
        <v>43344</v>
      </c>
      <c r="K4812" t="s">
        <v>223</v>
      </c>
      <c r="L4812" t="s">
        <v>224</v>
      </c>
      <c r="M4812" t="s">
        <v>131</v>
      </c>
      <c r="N4812">
        <v>24</v>
      </c>
      <c r="O4812" s="1">
        <v>43344</v>
      </c>
      <c r="P4812" t="s">
        <v>41</v>
      </c>
      <c r="Q4812" t="s">
        <v>49</v>
      </c>
      <c r="R4812" t="str">
        <f>"0591901"</f>
        <v>0591901</v>
      </c>
      <c r="S4812" t="s">
        <v>230</v>
      </c>
      <c r="T4812" t="s">
        <v>223</v>
      </c>
      <c r="U4812" t="s">
        <v>224</v>
      </c>
      <c r="V4812" t="s">
        <v>131</v>
      </c>
      <c r="W4812" t="s">
        <v>44</v>
      </c>
      <c r="X4812" t="s">
        <v>45</v>
      </c>
      <c r="Y4812" s="1">
        <v>30603</v>
      </c>
      <c r="Z4812">
        <v>2</v>
      </c>
      <c r="AA4812" t="s">
        <v>224</v>
      </c>
      <c r="AB4812" s="40" t="s">
        <v>1799</v>
      </c>
    </row>
    <row r="4813" spans="1:28" x14ac:dyDescent="0.25">
      <c r="A4813">
        <v>99914812</v>
      </c>
      <c r="B4813" t="s">
        <v>32</v>
      </c>
      <c r="C4813" t="s">
        <v>90</v>
      </c>
      <c r="D4813" t="s">
        <v>91</v>
      </c>
      <c r="G4813" t="s">
        <v>48</v>
      </c>
      <c r="H4813">
        <v>1</v>
      </c>
      <c r="K4813" t="s">
        <v>431</v>
      </c>
      <c r="L4813" t="s">
        <v>196</v>
      </c>
      <c r="M4813" t="s">
        <v>131</v>
      </c>
      <c r="N4813">
        <v>24</v>
      </c>
      <c r="P4813" t="s">
        <v>41</v>
      </c>
      <c r="Q4813" t="s">
        <v>75</v>
      </c>
      <c r="R4813" t="str">
        <f>"7521016"</f>
        <v>7521016</v>
      </c>
      <c r="S4813" t="s">
        <v>448</v>
      </c>
      <c r="T4813" t="s">
        <v>431</v>
      </c>
      <c r="U4813" t="s">
        <v>196</v>
      </c>
      <c r="V4813" t="s">
        <v>131</v>
      </c>
      <c r="W4813" t="s">
        <v>51</v>
      </c>
      <c r="X4813" t="s">
        <v>45</v>
      </c>
      <c r="Y4813" s="1">
        <v>30600</v>
      </c>
      <c r="Z4813">
        <v>1</v>
      </c>
      <c r="AA4813" t="s">
        <v>196</v>
      </c>
      <c r="AB4813" s="40" t="s">
        <v>1799</v>
      </c>
    </row>
    <row r="4814" spans="1:28" x14ac:dyDescent="0.25">
      <c r="A4814">
        <v>99914813</v>
      </c>
      <c r="B4814" t="s">
        <v>32</v>
      </c>
      <c r="C4814" t="s">
        <v>61</v>
      </c>
      <c r="D4814" t="s">
        <v>62</v>
      </c>
      <c r="G4814" t="s">
        <v>35</v>
      </c>
      <c r="H4814">
        <v>1</v>
      </c>
      <c r="I4814" t="s">
        <v>286</v>
      </c>
      <c r="J4814" s="1">
        <v>43344</v>
      </c>
      <c r="K4814" t="s">
        <v>268</v>
      </c>
      <c r="L4814" t="s">
        <v>269</v>
      </c>
      <c r="M4814" t="s">
        <v>131</v>
      </c>
      <c r="N4814">
        <v>24</v>
      </c>
      <c r="O4814" s="1">
        <v>43344</v>
      </c>
      <c r="P4814" t="s">
        <v>41</v>
      </c>
      <c r="Q4814" t="s">
        <v>75</v>
      </c>
      <c r="R4814" t="str">
        <f>"7052004"</f>
        <v>7052004</v>
      </c>
      <c r="S4814" t="s">
        <v>584</v>
      </c>
      <c r="T4814" t="s">
        <v>268</v>
      </c>
      <c r="U4814" t="s">
        <v>269</v>
      </c>
      <c r="V4814" t="s">
        <v>131</v>
      </c>
      <c r="W4814" t="s">
        <v>55</v>
      </c>
      <c r="X4814" t="s">
        <v>45</v>
      </c>
      <c r="Y4814" s="1">
        <v>30582</v>
      </c>
      <c r="Z4814">
        <v>1</v>
      </c>
      <c r="AA4814" t="s">
        <v>269</v>
      </c>
      <c r="AB4814" s="40" t="s">
        <v>1799</v>
      </c>
    </row>
    <row r="4815" spans="1:28" x14ac:dyDescent="0.25">
      <c r="A4815">
        <v>99914814</v>
      </c>
      <c r="B4815" t="s">
        <v>32</v>
      </c>
      <c r="C4815" t="s">
        <v>143</v>
      </c>
      <c r="D4815" t="s">
        <v>144</v>
      </c>
      <c r="G4815" t="s">
        <v>35</v>
      </c>
      <c r="H4815">
        <v>1</v>
      </c>
      <c r="K4815" t="s">
        <v>154</v>
      </c>
      <c r="L4815" t="s">
        <v>155</v>
      </c>
      <c r="M4815" t="s">
        <v>131</v>
      </c>
      <c r="N4815">
        <v>24</v>
      </c>
      <c r="P4815" t="s">
        <v>41</v>
      </c>
      <c r="Q4815" t="s">
        <v>75</v>
      </c>
      <c r="R4815" t="str">
        <f>"7700026"</f>
        <v>7700026</v>
      </c>
      <c r="S4815" t="s">
        <v>397</v>
      </c>
      <c r="T4815" t="s">
        <v>154</v>
      </c>
      <c r="U4815" t="s">
        <v>155</v>
      </c>
      <c r="V4815" t="s">
        <v>131</v>
      </c>
      <c r="W4815" t="s">
        <v>51</v>
      </c>
      <c r="X4815" t="s">
        <v>45</v>
      </c>
      <c r="Y4815" s="1">
        <v>30554</v>
      </c>
      <c r="Z4815">
        <v>1</v>
      </c>
      <c r="AA4815" t="s">
        <v>155</v>
      </c>
      <c r="AB4815" s="40" t="s">
        <v>1799</v>
      </c>
    </row>
    <row r="4816" spans="1:28" x14ac:dyDescent="0.25">
      <c r="A4816">
        <v>99914815</v>
      </c>
      <c r="B4816" t="s">
        <v>32</v>
      </c>
      <c r="C4816" t="s">
        <v>111</v>
      </c>
      <c r="D4816" t="s">
        <v>112</v>
      </c>
      <c r="G4816" t="s">
        <v>35</v>
      </c>
      <c r="H4816">
        <v>1</v>
      </c>
      <c r="I4816" s="1">
        <v>43013</v>
      </c>
      <c r="J4816" s="1">
        <v>43344</v>
      </c>
      <c r="K4816" t="s">
        <v>1341</v>
      </c>
      <c r="L4816" t="s">
        <v>1342</v>
      </c>
      <c r="M4816" t="s">
        <v>1270</v>
      </c>
      <c r="N4816">
        <v>24</v>
      </c>
      <c r="O4816" s="1">
        <v>43344</v>
      </c>
      <c r="P4816" t="s">
        <v>41</v>
      </c>
      <c r="Q4816" t="s">
        <v>75</v>
      </c>
      <c r="R4816" t="str">
        <f>"7191034"</f>
        <v>7191034</v>
      </c>
      <c r="S4816" t="s">
        <v>1343</v>
      </c>
      <c r="T4816" t="s">
        <v>1341</v>
      </c>
      <c r="U4816" t="s">
        <v>1342</v>
      </c>
      <c r="V4816" t="s">
        <v>1270</v>
      </c>
      <c r="W4816" t="s">
        <v>44</v>
      </c>
      <c r="X4816" t="s">
        <v>45</v>
      </c>
      <c r="Y4816" s="1">
        <v>30536</v>
      </c>
      <c r="Z4816">
        <v>1</v>
      </c>
      <c r="AA4816" t="s">
        <v>1342</v>
      </c>
      <c r="AB4816" s="40" t="s">
        <v>1799</v>
      </c>
    </row>
    <row r="4817" spans="1:28" x14ac:dyDescent="0.25">
      <c r="A4817">
        <v>99914816</v>
      </c>
      <c r="B4817" t="s">
        <v>32</v>
      </c>
      <c r="C4817" t="s">
        <v>111</v>
      </c>
      <c r="D4817" t="s">
        <v>112</v>
      </c>
      <c r="G4817" t="s">
        <v>88</v>
      </c>
      <c r="H4817">
        <v>5</v>
      </c>
      <c r="J4817" s="1">
        <v>43344</v>
      </c>
      <c r="K4817" t="s">
        <v>354</v>
      </c>
      <c r="L4817" t="s">
        <v>355</v>
      </c>
      <c r="M4817" t="s">
        <v>131</v>
      </c>
      <c r="N4817">
        <v>24</v>
      </c>
      <c r="O4817" s="1">
        <v>43344</v>
      </c>
      <c r="P4817" t="s">
        <v>41</v>
      </c>
      <c r="Q4817" t="s">
        <v>75</v>
      </c>
      <c r="R4817" t="str">
        <f>"7054022"</f>
        <v>7054022</v>
      </c>
      <c r="S4817" t="s">
        <v>770</v>
      </c>
      <c r="T4817" t="s">
        <v>354</v>
      </c>
      <c r="U4817" t="s">
        <v>355</v>
      </c>
      <c r="V4817" t="s">
        <v>131</v>
      </c>
      <c r="W4817" t="s">
        <v>51</v>
      </c>
      <c r="X4817" t="s">
        <v>45</v>
      </c>
      <c r="Y4817" s="1">
        <v>30524</v>
      </c>
      <c r="Z4817">
        <v>1</v>
      </c>
      <c r="AA4817" t="s">
        <v>355</v>
      </c>
      <c r="AB4817" s="40" t="s">
        <v>1799</v>
      </c>
    </row>
    <row r="4818" spans="1:28" x14ac:dyDescent="0.25">
      <c r="A4818">
        <v>99914817</v>
      </c>
      <c r="B4818" t="s">
        <v>32</v>
      </c>
      <c r="C4818" t="s">
        <v>111</v>
      </c>
      <c r="D4818" t="s">
        <v>112</v>
      </c>
      <c r="G4818" t="s">
        <v>35</v>
      </c>
      <c r="H4818">
        <v>1</v>
      </c>
      <c r="I4818" t="s">
        <v>1090</v>
      </c>
      <c r="J4818" s="1">
        <v>43344</v>
      </c>
      <c r="K4818" t="s">
        <v>1081</v>
      </c>
      <c r="L4818" t="s">
        <v>1082</v>
      </c>
      <c r="M4818" t="s">
        <v>1053</v>
      </c>
      <c r="N4818">
        <v>24</v>
      </c>
      <c r="O4818" s="1">
        <v>43344</v>
      </c>
      <c r="P4818" t="s">
        <v>41</v>
      </c>
      <c r="Q4818" t="s">
        <v>75</v>
      </c>
      <c r="R4818" t="str">
        <f>"7201006"</f>
        <v>7201006</v>
      </c>
      <c r="S4818" t="s">
        <v>1083</v>
      </c>
      <c r="T4818" t="s">
        <v>1081</v>
      </c>
      <c r="U4818" t="s">
        <v>1082</v>
      </c>
      <c r="V4818" t="s">
        <v>1053</v>
      </c>
      <c r="W4818" t="s">
        <v>51</v>
      </c>
      <c r="X4818" t="s">
        <v>45</v>
      </c>
      <c r="Y4818" s="1">
        <v>30501</v>
      </c>
      <c r="Z4818">
        <v>1</v>
      </c>
      <c r="AA4818" t="s">
        <v>1082</v>
      </c>
      <c r="AB4818" s="40" t="s">
        <v>1799</v>
      </c>
    </row>
    <row r="4819" spans="1:28" x14ac:dyDescent="0.25">
      <c r="A4819">
        <v>99914818</v>
      </c>
      <c r="B4819" t="s">
        <v>32</v>
      </c>
      <c r="C4819" t="s">
        <v>64</v>
      </c>
      <c r="D4819" t="s">
        <v>65</v>
      </c>
      <c r="G4819" t="s">
        <v>35</v>
      </c>
      <c r="H4819">
        <v>1</v>
      </c>
      <c r="K4819" t="s">
        <v>1341</v>
      </c>
      <c r="L4819" t="s">
        <v>1342</v>
      </c>
      <c r="M4819" t="s">
        <v>1270</v>
      </c>
      <c r="N4819">
        <v>24</v>
      </c>
      <c r="P4819" t="s">
        <v>41</v>
      </c>
      <c r="Q4819" t="s">
        <v>75</v>
      </c>
      <c r="R4819" t="str">
        <f>"7191006"</f>
        <v>7191006</v>
      </c>
      <c r="S4819" t="s">
        <v>1351</v>
      </c>
      <c r="T4819" t="s">
        <v>1341</v>
      </c>
      <c r="U4819" t="s">
        <v>1342</v>
      </c>
      <c r="V4819" t="s">
        <v>1270</v>
      </c>
      <c r="W4819" t="s">
        <v>51</v>
      </c>
      <c r="X4819" t="s">
        <v>45</v>
      </c>
      <c r="Y4819" s="1">
        <v>30486</v>
      </c>
      <c r="Z4819">
        <v>1</v>
      </c>
      <c r="AA4819" t="s">
        <v>1342</v>
      </c>
      <c r="AB4819" s="40" t="s">
        <v>1799</v>
      </c>
    </row>
    <row r="4820" spans="1:28" x14ac:dyDescent="0.25">
      <c r="A4820">
        <v>99914819</v>
      </c>
      <c r="B4820" t="s">
        <v>32</v>
      </c>
      <c r="C4820" t="s">
        <v>90</v>
      </c>
      <c r="D4820" t="s">
        <v>91</v>
      </c>
      <c r="G4820" t="s">
        <v>35</v>
      </c>
      <c r="H4820">
        <v>1</v>
      </c>
      <c r="I4820" s="1">
        <v>41883</v>
      </c>
      <c r="J4820" s="1">
        <v>43344</v>
      </c>
      <c r="K4820" t="s">
        <v>1341</v>
      </c>
      <c r="L4820" t="s">
        <v>1342</v>
      </c>
      <c r="M4820" t="s">
        <v>1270</v>
      </c>
      <c r="N4820">
        <v>24</v>
      </c>
      <c r="O4820" s="1">
        <v>43344</v>
      </c>
      <c r="P4820" t="s">
        <v>41</v>
      </c>
      <c r="Q4820" t="s">
        <v>75</v>
      </c>
      <c r="R4820" t="str">
        <f>"7191034"</f>
        <v>7191034</v>
      </c>
      <c r="S4820" t="s">
        <v>1343</v>
      </c>
      <c r="T4820" t="s">
        <v>1341</v>
      </c>
      <c r="U4820" t="s">
        <v>1342</v>
      </c>
      <c r="V4820" t="s">
        <v>1270</v>
      </c>
      <c r="W4820" t="s">
        <v>51</v>
      </c>
      <c r="X4820" t="s">
        <v>45</v>
      </c>
      <c r="Y4820" s="1">
        <v>30482</v>
      </c>
      <c r="Z4820">
        <v>1</v>
      </c>
      <c r="AA4820" t="s">
        <v>1342</v>
      </c>
      <c r="AB4820" s="40" t="s">
        <v>1799</v>
      </c>
    </row>
    <row r="4821" spans="1:28" x14ac:dyDescent="0.25">
      <c r="A4821">
        <v>99914820</v>
      </c>
      <c r="B4821" t="s">
        <v>32</v>
      </c>
      <c r="C4821" t="s">
        <v>79</v>
      </c>
      <c r="D4821" t="s">
        <v>80</v>
      </c>
      <c r="G4821" t="s">
        <v>35</v>
      </c>
      <c r="H4821">
        <v>1</v>
      </c>
      <c r="I4821" s="1">
        <v>42614</v>
      </c>
      <c r="J4821" s="1">
        <v>43344</v>
      </c>
      <c r="K4821" t="s">
        <v>1341</v>
      </c>
      <c r="L4821" t="s">
        <v>1342</v>
      </c>
      <c r="M4821" t="s">
        <v>1270</v>
      </c>
      <c r="N4821">
        <v>24</v>
      </c>
      <c r="O4821" s="1">
        <v>43344</v>
      </c>
      <c r="P4821" t="s">
        <v>41</v>
      </c>
      <c r="Q4821" t="s">
        <v>75</v>
      </c>
      <c r="R4821" t="str">
        <f>"7191034"</f>
        <v>7191034</v>
      </c>
      <c r="S4821" t="s">
        <v>1343</v>
      </c>
      <c r="T4821" t="s">
        <v>1341</v>
      </c>
      <c r="U4821" t="s">
        <v>1342</v>
      </c>
      <c r="V4821" t="s">
        <v>1270</v>
      </c>
      <c r="W4821" t="s">
        <v>51</v>
      </c>
      <c r="X4821" t="s">
        <v>45</v>
      </c>
      <c r="Y4821" s="1">
        <v>30469</v>
      </c>
      <c r="Z4821">
        <v>1</v>
      </c>
      <c r="AA4821" t="s">
        <v>1342</v>
      </c>
      <c r="AB4821" s="40" t="s">
        <v>1799</v>
      </c>
    </row>
    <row r="4822" spans="1:28" x14ac:dyDescent="0.25">
      <c r="A4822">
        <v>99914821</v>
      </c>
      <c r="B4822" t="s">
        <v>56</v>
      </c>
      <c r="C4822" t="s">
        <v>111</v>
      </c>
      <c r="D4822" t="s">
        <v>112</v>
      </c>
      <c r="G4822" t="s">
        <v>35</v>
      </c>
      <c r="H4822">
        <v>1</v>
      </c>
      <c r="I4822" t="s">
        <v>766</v>
      </c>
      <c r="J4822" s="1">
        <v>43344</v>
      </c>
      <c r="K4822" t="s">
        <v>354</v>
      </c>
      <c r="L4822" t="s">
        <v>355</v>
      </c>
      <c r="M4822" t="s">
        <v>131</v>
      </c>
      <c r="N4822">
        <v>24</v>
      </c>
      <c r="O4822" s="1">
        <v>43344</v>
      </c>
      <c r="P4822" t="s">
        <v>41</v>
      </c>
      <c r="Q4822" t="s">
        <v>75</v>
      </c>
      <c r="R4822" t="str">
        <f>"7054032"</f>
        <v>7054032</v>
      </c>
      <c r="S4822" t="s">
        <v>767</v>
      </c>
      <c r="T4822" t="s">
        <v>354</v>
      </c>
      <c r="U4822" t="s">
        <v>355</v>
      </c>
      <c r="V4822" t="s">
        <v>131</v>
      </c>
      <c r="W4822" t="s">
        <v>51</v>
      </c>
      <c r="X4822" t="s">
        <v>45</v>
      </c>
      <c r="Y4822" s="1">
        <v>30447</v>
      </c>
      <c r="Z4822">
        <v>1</v>
      </c>
      <c r="AA4822" t="s">
        <v>355</v>
      </c>
      <c r="AB4822" s="40" t="s">
        <v>1799</v>
      </c>
    </row>
    <row r="4823" spans="1:28" x14ac:dyDescent="0.25">
      <c r="A4823">
        <v>99914822</v>
      </c>
      <c r="B4823" t="s">
        <v>56</v>
      </c>
      <c r="C4823" t="s">
        <v>61</v>
      </c>
      <c r="D4823" t="s">
        <v>62</v>
      </c>
      <c r="G4823" t="s">
        <v>48</v>
      </c>
      <c r="H4823">
        <v>1</v>
      </c>
      <c r="K4823" t="s">
        <v>1695</v>
      </c>
      <c r="L4823" t="s">
        <v>1696</v>
      </c>
      <c r="M4823" t="s">
        <v>1592</v>
      </c>
      <c r="N4823">
        <v>24</v>
      </c>
      <c r="P4823" t="s">
        <v>41</v>
      </c>
      <c r="Q4823" t="s">
        <v>75</v>
      </c>
      <c r="R4823" t="str">
        <f>"7361000"</f>
        <v>7361000</v>
      </c>
      <c r="S4823" t="s">
        <v>1698</v>
      </c>
      <c r="T4823" t="s">
        <v>1695</v>
      </c>
      <c r="U4823" t="s">
        <v>1696</v>
      </c>
      <c r="V4823" t="s">
        <v>1592</v>
      </c>
      <c r="W4823" t="s">
        <v>51</v>
      </c>
      <c r="X4823" t="s">
        <v>45</v>
      </c>
      <c r="Y4823" s="1">
        <v>30428</v>
      </c>
      <c r="Z4823">
        <v>1</v>
      </c>
      <c r="AA4823" t="s">
        <v>1696</v>
      </c>
      <c r="AB4823" s="40" t="s">
        <v>1799</v>
      </c>
    </row>
    <row r="4824" spans="1:28" x14ac:dyDescent="0.25">
      <c r="A4824">
        <v>99914823</v>
      </c>
      <c r="B4824" t="s">
        <v>32</v>
      </c>
      <c r="C4824" t="s">
        <v>90</v>
      </c>
      <c r="D4824" t="s">
        <v>91</v>
      </c>
      <c r="G4824" t="s">
        <v>48</v>
      </c>
      <c r="H4824">
        <v>1</v>
      </c>
      <c r="K4824" t="s">
        <v>407</v>
      </c>
      <c r="L4824" t="s">
        <v>409</v>
      </c>
      <c r="M4824" t="s">
        <v>131</v>
      </c>
      <c r="N4824">
        <v>24</v>
      </c>
      <c r="P4824" t="s">
        <v>41</v>
      </c>
      <c r="Q4824" t="s">
        <v>95</v>
      </c>
      <c r="R4824" t="str">
        <f>"7053001"</f>
        <v>7053001</v>
      </c>
      <c r="S4824" t="s">
        <v>762</v>
      </c>
      <c r="T4824" t="s">
        <v>407</v>
      </c>
      <c r="U4824" t="s">
        <v>409</v>
      </c>
      <c r="V4824" t="s">
        <v>131</v>
      </c>
      <c r="W4824" t="s">
        <v>51</v>
      </c>
      <c r="X4824" t="s">
        <v>45</v>
      </c>
      <c r="Y4824" s="1">
        <v>30413</v>
      </c>
      <c r="Z4824">
        <v>1</v>
      </c>
      <c r="AA4824" t="s">
        <v>409</v>
      </c>
      <c r="AB4824" s="40" t="s">
        <v>1799</v>
      </c>
    </row>
    <row r="4825" spans="1:28" x14ac:dyDescent="0.25">
      <c r="A4825">
        <v>99914824</v>
      </c>
      <c r="B4825" t="s">
        <v>32</v>
      </c>
      <c r="C4825" t="s">
        <v>90</v>
      </c>
      <c r="D4825" t="s">
        <v>91</v>
      </c>
      <c r="G4825" t="s">
        <v>35</v>
      </c>
      <c r="H4825">
        <v>1</v>
      </c>
      <c r="I4825">
        <v>9383</v>
      </c>
      <c r="J4825" s="1">
        <v>43344</v>
      </c>
      <c r="K4825" t="s">
        <v>268</v>
      </c>
      <c r="L4825" t="s">
        <v>269</v>
      </c>
      <c r="M4825" t="s">
        <v>131</v>
      </c>
      <c r="N4825">
        <v>24</v>
      </c>
      <c r="P4825" t="s">
        <v>41</v>
      </c>
      <c r="Q4825" t="s">
        <v>95</v>
      </c>
      <c r="R4825" t="str">
        <f>"7052029"</f>
        <v>7052029</v>
      </c>
      <c r="S4825" t="s">
        <v>629</v>
      </c>
      <c r="T4825" t="s">
        <v>268</v>
      </c>
      <c r="U4825" t="s">
        <v>269</v>
      </c>
      <c r="V4825" t="s">
        <v>131</v>
      </c>
      <c r="W4825" t="s">
        <v>55</v>
      </c>
      <c r="X4825" t="s">
        <v>45</v>
      </c>
      <c r="Y4825" s="1">
        <v>30373</v>
      </c>
      <c r="Z4825">
        <v>1</v>
      </c>
      <c r="AA4825" t="s">
        <v>269</v>
      </c>
      <c r="AB4825" s="40" t="s">
        <v>1799</v>
      </c>
    </row>
    <row r="4826" spans="1:28" x14ac:dyDescent="0.25">
      <c r="A4826">
        <v>99914825</v>
      </c>
      <c r="B4826" t="s">
        <v>32</v>
      </c>
      <c r="C4826" t="s">
        <v>79</v>
      </c>
      <c r="D4826" t="s">
        <v>80</v>
      </c>
      <c r="G4826" t="s">
        <v>48</v>
      </c>
      <c r="H4826">
        <v>1</v>
      </c>
      <c r="K4826" t="s">
        <v>1619</v>
      </c>
      <c r="L4826" t="s">
        <v>1620</v>
      </c>
      <c r="M4826" t="s">
        <v>1592</v>
      </c>
      <c r="N4826">
        <v>24</v>
      </c>
      <c r="P4826" t="s">
        <v>41</v>
      </c>
      <c r="Q4826" t="s">
        <v>75</v>
      </c>
      <c r="R4826" t="str">
        <f>"7281006"</f>
        <v>7281006</v>
      </c>
      <c r="S4826" t="s">
        <v>1618</v>
      </c>
      <c r="T4826" t="s">
        <v>1619</v>
      </c>
      <c r="U4826" t="s">
        <v>1620</v>
      </c>
      <c r="V4826" t="s">
        <v>1592</v>
      </c>
      <c r="W4826" t="s">
        <v>51</v>
      </c>
      <c r="X4826" t="s">
        <v>45</v>
      </c>
      <c r="Y4826" s="1">
        <v>30373</v>
      </c>
      <c r="Z4826">
        <v>1</v>
      </c>
      <c r="AA4826" t="s">
        <v>1620</v>
      </c>
      <c r="AB4826" s="40" t="s">
        <v>1799</v>
      </c>
    </row>
    <row r="4827" spans="1:28" x14ac:dyDescent="0.25">
      <c r="A4827">
        <v>99914826</v>
      </c>
      <c r="B4827" t="s">
        <v>56</v>
      </c>
      <c r="C4827" t="s">
        <v>111</v>
      </c>
      <c r="D4827" t="s">
        <v>112</v>
      </c>
      <c r="G4827" t="s">
        <v>35</v>
      </c>
      <c r="H4827">
        <v>1</v>
      </c>
      <c r="I4827" t="s">
        <v>402</v>
      </c>
      <c r="J4827" s="1">
        <v>43344</v>
      </c>
      <c r="K4827" t="s">
        <v>154</v>
      </c>
      <c r="L4827" t="s">
        <v>155</v>
      </c>
      <c r="M4827" t="s">
        <v>131</v>
      </c>
      <c r="N4827">
        <v>24</v>
      </c>
      <c r="O4827" s="1">
        <v>43344</v>
      </c>
      <c r="P4827" t="s">
        <v>41</v>
      </c>
      <c r="Q4827" t="s">
        <v>75</v>
      </c>
      <c r="R4827" t="str">
        <f>"7051010"</f>
        <v>7051010</v>
      </c>
      <c r="S4827" t="s">
        <v>403</v>
      </c>
      <c r="T4827" t="s">
        <v>154</v>
      </c>
      <c r="U4827" t="s">
        <v>155</v>
      </c>
      <c r="V4827" t="s">
        <v>131</v>
      </c>
      <c r="W4827" t="s">
        <v>55</v>
      </c>
      <c r="X4827" t="s">
        <v>45</v>
      </c>
      <c r="Y4827" s="1">
        <v>30355</v>
      </c>
      <c r="Z4827">
        <v>1</v>
      </c>
      <c r="AA4827" t="s">
        <v>155</v>
      </c>
      <c r="AB4827" s="40" t="s">
        <v>1799</v>
      </c>
    </row>
    <row r="4828" spans="1:28" x14ac:dyDescent="0.25">
      <c r="A4828">
        <v>99914827</v>
      </c>
      <c r="B4828" t="s">
        <v>32</v>
      </c>
      <c r="C4828" t="s">
        <v>46</v>
      </c>
      <c r="D4828" t="s">
        <v>47</v>
      </c>
      <c r="G4828" t="s">
        <v>88</v>
      </c>
      <c r="H4828">
        <v>3</v>
      </c>
      <c r="I4828" t="s">
        <v>470</v>
      </c>
      <c r="J4828" s="1">
        <v>42248</v>
      </c>
      <c r="K4828" t="s">
        <v>431</v>
      </c>
      <c r="L4828" t="s">
        <v>196</v>
      </c>
      <c r="M4828" t="s">
        <v>131</v>
      </c>
      <c r="N4828">
        <v>24</v>
      </c>
      <c r="O4828" s="1">
        <v>42248</v>
      </c>
      <c r="P4828" t="s">
        <v>41</v>
      </c>
      <c r="Q4828" t="s">
        <v>75</v>
      </c>
      <c r="R4828" t="str">
        <f>"7521016"</f>
        <v>7521016</v>
      </c>
      <c r="S4828" t="s">
        <v>448</v>
      </c>
      <c r="T4828" t="s">
        <v>431</v>
      </c>
      <c r="U4828" t="s">
        <v>196</v>
      </c>
      <c r="V4828" t="s">
        <v>131</v>
      </c>
      <c r="W4828" t="s">
        <v>51</v>
      </c>
      <c r="X4828" t="s">
        <v>45</v>
      </c>
      <c r="Y4828" s="1">
        <v>30351</v>
      </c>
      <c r="Z4828">
        <v>1</v>
      </c>
      <c r="AA4828" t="s">
        <v>196</v>
      </c>
      <c r="AB4828" s="40" t="s">
        <v>1799</v>
      </c>
    </row>
    <row r="4829" spans="1:28" x14ac:dyDescent="0.25">
      <c r="A4829">
        <v>99914828</v>
      </c>
      <c r="B4829" t="s">
        <v>56</v>
      </c>
      <c r="C4829" t="s">
        <v>111</v>
      </c>
      <c r="D4829" t="s">
        <v>112</v>
      </c>
      <c r="G4829" t="s">
        <v>35</v>
      </c>
      <c r="H4829">
        <v>1</v>
      </c>
      <c r="I4829" t="s">
        <v>797</v>
      </c>
      <c r="J4829" s="1">
        <v>43344</v>
      </c>
      <c r="K4829" t="s">
        <v>354</v>
      </c>
      <c r="L4829" t="s">
        <v>355</v>
      </c>
      <c r="M4829" t="s">
        <v>131</v>
      </c>
      <c r="N4829">
        <v>24</v>
      </c>
      <c r="O4829" s="1">
        <v>43344</v>
      </c>
      <c r="P4829" t="s">
        <v>41</v>
      </c>
      <c r="Q4829" t="s">
        <v>75</v>
      </c>
      <c r="R4829" t="str">
        <f>"7054016"</f>
        <v>7054016</v>
      </c>
      <c r="S4829" t="s">
        <v>768</v>
      </c>
      <c r="T4829" t="s">
        <v>354</v>
      </c>
      <c r="U4829" t="s">
        <v>355</v>
      </c>
      <c r="V4829" t="s">
        <v>131</v>
      </c>
      <c r="W4829" t="s">
        <v>51</v>
      </c>
      <c r="X4829" t="s">
        <v>45</v>
      </c>
      <c r="Y4829" s="1">
        <v>30341</v>
      </c>
      <c r="Z4829">
        <v>1</v>
      </c>
      <c r="AA4829" t="s">
        <v>355</v>
      </c>
      <c r="AB4829" s="40" t="s">
        <v>1799</v>
      </c>
    </row>
    <row r="4830" spans="1:28" x14ac:dyDescent="0.25">
      <c r="A4830">
        <v>99914829</v>
      </c>
      <c r="B4830" t="s">
        <v>32</v>
      </c>
      <c r="C4830" t="s">
        <v>139</v>
      </c>
      <c r="D4830" t="s">
        <v>140</v>
      </c>
      <c r="G4830" t="s">
        <v>35</v>
      </c>
      <c r="H4830">
        <v>1</v>
      </c>
      <c r="I4830">
        <v>13030</v>
      </c>
      <c r="J4830" s="1">
        <v>43344</v>
      </c>
      <c r="K4830" t="s">
        <v>354</v>
      </c>
      <c r="L4830" t="s">
        <v>355</v>
      </c>
      <c r="M4830" t="s">
        <v>131</v>
      </c>
      <c r="N4830">
        <v>24</v>
      </c>
      <c r="O4830" s="1">
        <v>43344</v>
      </c>
      <c r="P4830" t="s">
        <v>41</v>
      </c>
      <c r="Q4830" t="s">
        <v>75</v>
      </c>
      <c r="R4830" t="str">
        <f>"7054042"</f>
        <v>7054042</v>
      </c>
      <c r="S4830" t="s">
        <v>776</v>
      </c>
      <c r="T4830" t="s">
        <v>354</v>
      </c>
      <c r="U4830" t="s">
        <v>355</v>
      </c>
      <c r="V4830" t="s">
        <v>131</v>
      </c>
      <c r="W4830" t="s">
        <v>51</v>
      </c>
      <c r="X4830" t="s">
        <v>45</v>
      </c>
      <c r="Y4830" s="1">
        <v>30332</v>
      </c>
      <c r="Z4830">
        <v>1</v>
      </c>
      <c r="AA4830" t="s">
        <v>355</v>
      </c>
      <c r="AB4830" s="40" t="s">
        <v>1799</v>
      </c>
    </row>
    <row r="4831" spans="1:28" x14ac:dyDescent="0.25">
      <c r="A4831">
        <v>99914830</v>
      </c>
      <c r="B4831" t="s">
        <v>32</v>
      </c>
      <c r="C4831" t="s">
        <v>46</v>
      </c>
      <c r="D4831" t="s">
        <v>47</v>
      </c>
      <c r="G4831" t="s">
        <v>35</v>
      </c>
      <c r="H4831">
        <v>1</v>
      </c>
      <c r="I4831">
        <v>1</v>
      </c>
      <c r="J4831" s="1">
        <v>43406</v>
      </c>
      <c r="K4831" t="s">
        <v>1341</v>
      </c>
      <c r="L4831" t="s">
        <v>1342</v>
      </c>
      <c r="M4831" t="s">
        <v>1270</v>
      </c>
      <c r="N4831">
        <v>24</v>
      </c>
      <c r="O4831" s="1">
        <v>43406</v>
      </c>
      <c r="P4831" t="s">
        <v>41</v>
      </c>
      <c r="Q4831" t="s">
        <v>75</v>
      </c>
      <c r="R4831" t="str">
        <f>"7700012"</f>
        <v>7700012</v>
      </c>
      <c r="S4831" t="s">
        <v>1357</v>
      </c>
      <c r="T4831" t="s">
        <v>1341</v>
      </c>
      <c r="U4831" t="s">
        <v>1342</v>
      </c>
      <c r="V4831" t="s">
        <v>1270</v>
      </c>
      <c r="W4831" t="s">
        <v>51</v>
      </c>
      <c r="X4831" t="s">
        <v>45</v>
      </c>
      <c r="Y4831" s="1">
        <v>30325</v>
      </c>
      <c r="Z4831">
        <v>1</v>
      </c>
      <c r="AA4831" t="s">
        <v>1342</v>
      </c>
      <c r="AB4831" s="40" t="s">
        <v>1799</v>
      </c>
    </row>
    <row r="4832" spans="1:28" x14ac:dyDescent="0.25">
      <c r="A4832">
        <v>99914831</v>
      </c>
      <c r="B4832" t="s">
        <v>32</v>
      </c>
      <c r="C4832" t="s">
        <v>111</v>
      </c>
      <c r="D4832" t="s">
        <v>112</v>
      </c>
      <c r="G4832" t="s">
        <v>48</v>
      </c>
      <c r="H4832">
        <v>1</v>
      </c>
      <c r="K4832" t="s">
        <v>268</v>
      </c>
      <c r="L4832" t="s">
        <v>269</v>
      </c>
      <c r="M4832" t="s">
        <v>131</v>
      </c>
      <c r="N4832">
        <v>24</v>
      </c>
      <c r="P4832" t="s">
        <v>41</v>
      </c>
      <c r="Q4832" t="s">
        <v>75</v>
      </c>
      <c r="R4832" t="str">
        <f>"7052040"</f>
        <v>7052040</v>
      </c>
      <c r="S4832" t="s">
        <v>591</v>
      </c>
      <c r="T4832" t="s">
        <v>268</v>
      </c>
      <c r="U4832" t="s">
        <v>269</v>
      </c>
      <c r="V4832" t="s">
        <v>131</v>
      </c>
      <c r="W4832" t="s">
        <v>51</v>
      </c>
      <c r="X4832" t="s">
        <v>45</v>
      </c>
      <c r="Y4832" s="1">
        <v>30317</v>
      </c>
      <c r="Z4832">
        <v>1</v>
      </c>
      <c r="AA4832" t="s">
        <v>269</v>
      </c>
      <c r="AB4832" s="40" t="s">
        <v>1799</v>
      </c>
    </row>
    <row r="4833" spans="1:28" x14ac:dyDescent="0.25">
      <c r="A4833">
        <v>99914832</v>
      </c>
      <c r="B4833" t="s">
        <v>56</v>
      </c>
      <c r="C4833" t="s">
        <v>111</v>
      </c>
      <c r="D4833" t="s">
        <v>112</v>
      </c>
      <c r="G4833" t="s">
        <v>35</v>
      </c>
      <c r="H4833">
        <v>1</v>
      </c>
      <c r="I4833">
        <v>10934</v>
      </c>
      <c r="J4833" s="1">
        <v>43344</v>
      </c>
      <c r="K4833" t="s">
        <v>354</v>
      </c>
      <c r="L4833" t="s">
        <v>355</v>
      </c>
      <c r="M4833" t="s">
        <v>131</v>
      </c>
      <c r="N4833">
        <v>24</v>
      </c>
      <c r="O4833" s="1">
        <v>43344</v>
      </c>
      <c r="P4833" t="s">
        <v>41</v>
      </c>
      <c r="Q4833" t="s">
        <v>75</v>
      </c>
      <c r="R4833" t="str">
        <f>"7054042"</f>
        <v>7054042</v>
      </c>
      <c r="S4833" t="s">
        <v>776</v>
      </c>
      <c r="T4833" t="s">
        <v>354</v>
      </c>
      <c r="U4833" t="s">
        <v>355</v>
      </c>
      <c r="V4833" t="s">
        <v>131</v>
      </c>
      <c r="W4833" t="s">
        <v>51</v>
      </c>
      <c r="X4833" t="s">
        <v>45</v>
      </c>
      <c r="Y4833" s="1">
        <v>30317</v>
      </c>
      <c r="Z4833">
        <v>1</v>
      </c>
      <c r="AA4833" t="s">
        <v>355</v>
      </c>
      <c r="AB4833" s="40" t="s">
        <v>1799</v>
      </c>
    </row>
    <row r="4834" spans="1:28" x14ac:dyDescent="0.25">
      <c r="A4834">
        <v>99914833</v>
      </c>
      <c r="B4834" t="s">
        <v>56</v>
      </c>
      <c r="C4834" t="s">
        <v>111</v>
      </c>
      <c r="D4834" t="s">
        <v>112</v>
      </c>
      <c r="E4834" t="s">
        <v>61</v>
      </c>
      <c r="F4834" t="s">
        <v>62</v>
      </c>
      <c r="G4834" t="s">
        <v>48</v>
      </c>
      <c r="H4834">
        <v>1</v>
      </c>
      <c r="I4834" t="s">
        <v>911</v>
      </c>
      <c r="J4834" s="1">
        <v>42436</v>
      </c>
      <c r="K4834" t="s">
        <v>1081</v>
      </c>
      <c r="L4834" t="s">
        <v>1082</v>
      </c>
      <c r="M4834" t="s">
        <v>1053</v>
      </c>
      <c r="N4834">
        <v>24</v>
      </c>
      <c r="O4834" s="1">
        <v>42436</v>
      </c>
      <c r="P4834" t="s">
        <v>41</v>
      </c>
      <c r="Q4834" t="s">
        <v>75</v>
      </c>
      <c r="R4834" t="str">
        <f>"7201008"</f>
        <v>7201008</v>
      </c>
      <c r="S4834" t="s">
        <v>1084</v>
      </c>
      <c r="T4834" t="s">
        <v>1081</v>
      </c>
      <c r="U4834" t="s">
        <v>1082</v>
      </c>
      <c r="V4834" t="s">
        <v>1053</v>
      </c>
      <c r="W4834" t="s">
        <v>51</v>
      </c>
      <c r="X4834" t="s">
        <v>45</v>
      </c>
      <c r="Y4834" s="1">
        <v>30317</v>
      </c>
      <c r="Z4834">
        <v>1</v>
      </c>
      <c r="AA4834" t="s">
        <v>1082</v>
      </c>
      <c r="AB4834" s="40" t="s">
        <v>1799</v>
      </c>
    </row>
    <row r="4835" spans="1:28" x14ac:dyDescent="0.25">
      <c r="A4835">
        <v>99914834</v>
      </c>
      <c r="B4835" t="s">
        <v>32</v>
      </c>
      <c r="C4835" t="s">
        <v>111</v>
      </c>
      <c r="D4835" t="s">
        <v>112</v>
      </c>
      <c r="G4835" t="s">
        <v>35</v>
      </c>
      <c r="H4835">
        <v>1</v>
      </c>
      <c r="I4835" s="1">
        <v>43344</v>
      </c>
      <c r="J4835" s="1">
        <v>43344</v>
      </c>
      <c r="K4835" t="s">
        <v>1341</v>
      </c>
      <c r="L4835" t="s">
        <v>1342</v>
      </c>
      <c r="M4835" t="s">
        <v>1270</v>
      </c>
      <c r="N4835">
        <v>24</v>
      </c>
      <c r="O4835" s="1">
        <v>43344</v>
      </c>
      <c r="P4835" t="s">
        <v>41</v>
      </c>
      <c r="Q4835" t="s">
        <v>75</v>
      </c>
      <c r="R4835" t="str">
        <f>"7191004"</f>
        <v>7191004</v>
      </c>
      <c r="S4835" t="s">
        <v>1344</v>
      </c>
      <c r="T4835" t="s">
        <v>1341</v>
      </c>
      <c r="U4835" t="s">
        <v>1342</v>
      </c>
      <c r="V4835" t="s">
        <v>1270</v>
      </c>
      <c r="W4835" t="s">
        <v>44</v>
      </c>
      <c r="X4835" t="s">
        <v>45</v>
      </c>
      <c r="Y4835" s="1">
        <v>30317</v>
      </c>
      <c r="Z4835">
        <v>1</v>
      </c>
      <c r="AA4835" t="s">
        <v>1342</v>
      </c>
      <c r="AB4835" s="40" t="s">
        <v>1799</v>
      </c>
    </row>
    <row r="4836" spans="1:28" x14ac:dyDescent="0.25">
      <c r="A4836">
        <v>99914835</v>
      </c>
      <c r="B4836" t="s">
        <v>32</v>
      </c>
      <c r="C4836" t="s">
        <v>90</v>
      </c>
      <c r="D4836" t="s">
        <v>91</v>
      </c>
      <c r="G4836" t="s">
        <v>35</v>
      </c>
      <c r="H4836">
        <v>1</v>
      </c>
      <c r="I4836">
        <v>20315</v>
      </c>
      <c r="J4836" s="1">
        <v>43344</v>
      </c>
      <c r="K4836" t="s">
        <v>354</v>
      </c>
      <c r="L4836" t="s">
        <v>355</v>
      </c>
      <c r="M4836" t="s">
        <v>131</v>
      </c>
      <c r="N4836">
        <v>24</v>
      </c>
      <c r="O4836" s="1">
        <v>43344</v>
      </c>
      <c r="P4836" t="s">
        <v>41</v>
      </c>
      <c r="Q4836" t="s">
        <v>75</v>
      </c>
      <c r="R4836" t="str">
        <f>"7054038"</f>
        <v>7054038</v>
      </c>
      <c r="S4836" t="s">
        <v>377</v>
      </c>
      <c r="T4836" t="s">
        <v>354</v>
      </c>
      <c r="U4836" t="s">
        <v>355</v>
      </c>
      <c r="V4836" t="s">
        <v>131</v>
      </c>
      <c r="W4836" t="s">
        <v>51</v>
      </c>
      <c r="X4836" t="s">
        <v>45</v>
      </c>
      <c r="Y4836" s="1">
        <v>30314</v>
      </c>
      <c r="Z4836">
        <v>1</v>
      </c>
      <c r="AA4836" t="s">
        <v>355</v>
      </c>
      <c r="AB4836" s="40" t="s">
        <v>1799</v>
      </c>
    </row>
    <row r="4837" spans="1:28" x14ac:dyDescent="0.25">
      <c r="A4837">
        <v>99914836</v>
      </c>
      <c r="B4837" t="s">
        <v>32</v>
      </c>
      <c r="C4837" t="s">
        <v>111</v>
      </c>
      <c r="D4837" t="s">
        <v>112</v>
      </c>
      <c r="G4837" t="s">
        <v>35</v>
      </c>
      <c r="H4837">
        <v>1</v>
      </c>
      <c r="K4837" t="s">
        <v>154</v>
      </c>
      <c r="L4837" t="s">
        <v>155</v>
      </c>
      <c r="M4837" t="s">
        <v>131</v>
      </c>
      <c r="N4837">
        <v>24</v>
      </c>
      <c r="P4837" t="s">
        <v>41</v>
      </c>
      <c r="Q4837" t="s">
        <v>75</v>
      </c>
      <c r="R4837" t="str">
        <f>"7700026"</f>
        <v>7700026</v>
      </c>
      <c r="S4837" t="s">
        <v>397</v>
      </c>
      <c r="T4837" t="s">
        <v>154</v>
      </c>
      <c r="U4837" t="s">
        <v>155</v>
      </c>
      <c r="V4837" t="s">
        <v>131</v>
      </c>
      <c r="W4837" t="s">
        <v>51</v>
      </c>
      <c r="X4837" t="s">
        <v>45</v>
      </c>
      <c r="Y4837" s="1">
        <v>30269</v>
      </c>
      <c r="Z4837">
        <v>1</v>
      </c>
      <c r="AA4837" t="s">
        <v>155</v>
      </c>
      <c r="AB4837" s="40" t="s">
        <v>1799</v>
      </c>
    </row>
    <row r="4838" spans="1:28" x14ac:dyDescent="0.25">
      <c r="A4838">
        <v>99914837</v>
      </c>
      <c r="B4838" t="s">
        <v>32</v>
      </c>
      <c r="C4838" t="s">
        <v>111</v>
      </c>
      <c r="D4838" t="s">
        <v>112</v>
      </c>
      <c r="G4838" t="s">
        <v>48</v>
      </c>
      <c r="H4838">
        <v>1</v>
      </c>
      <c r="K4838" t="s">
        <v>877</v>
      </c>
      <c r="L4838" t="s">
        <v>878</v>
      </c>
      <c r="M4838" t="s">
        <v>131</v>
      </c>
      <c r="N4838">
        <v>24</v>
      </c>
      <c r="P4838" t="s">
        <v>41</v>
      </c>
      <c r="Q4838" t="s">
        <v>75</v>
      </c>
      <c r="R4838" t="str">
        <f>"7541004"</f>
        <v>7541004</v>
      </c>
      <c r="S4838" t="s">
        <v>889</v>
      </c>
      <c r="T4838" t="s">
        <v>877</v>
      </c>
      <c r="U4838" t="s">
        <v>878</v>
      </c>
      <c r="V4838" t="s">
        <v>131</v>
      </c>
      <c r="W4838" t="s">
        <v>51</v>
      </c>
      <c r="X4838" t="s">
        <v>45</v>
      </c>
      <c r="Y4838" s="1">
        <v>30231</v>
      </c>
      <c r="Z4838">
        <v>1</v>
      </c>
      <c r="AA4838" t="s">
        <v>878</v>
      </c>
      <c r="AB4838" s="40" t="s">
        <v>1799</v>
      </c>
    </row>
    <row r="4839" spans="1:28" x14ac:dyDescent="0.25">
      <c r="A4839">
        <v>99914838</v>
      </c>
      <c r="B4839" t="s">
        <v>32</v>
      </c>
      <c r="C4839" t="s">
        <v>79</v>
      </c>
      <c r="D4839" t="s">
        <v>80</v>
      </c>
      <c r="G4839" t="s">
        <v>35</v>
      </c>
      <c r="H4839">
        <v>1</v>
      </c>
      <c r="K4839" t="s">
        <v>431</v>
      </c>
      <c r="L4839" t="s">
        <v>196</v>
      </c>
      <c r="M4839" t="s">
        <v>131</v>
      </c>
      <c r="N4839">
        <v>24</v>
      </c>
      <c r="P4839" t="s">
        <v>41</v>
      </c>
      <c r="Q4839" t="s">
        <v>75</v>
      </c>
      <c r="R4839" t="str">
        <f>"7521032"</f>
        <v>7521032</v>
      </c>
      <c r="S4839" t="s">
        <v>462</v>
      </c>
      <c r="T4839" t="s">
        <v>431</v>
      </c>
      <c r="U4839" t="s">
        <v>196</v>
      </c>
      <c r="V4839" t="s">
        <v>131</v>
      </c>
      <c r="W4839" t="s">
        <v>51</v>
      </c>
      <c r="X4839" t="s">
        <v>45</v>
      </c>
      <c r="Y4839" s="1">
        <v>30227</v>
      </c>
      <c r="Z4839">
        <v>1</v>
      </c>
      <c r="AA4839" t="s">
        <v>196</v>
      </c>
      <c r="AB4839" s="40" t="s">
        <v>1799</v>
      </c>
    </row>
    <row r="4840" spans="1:28" x14ac:dyDescent="0.25">
      <c r="A4840">
        <v>99914839</v>
      </c>
      <c r="B4840" t="s">
        <v>32</v>
      </c>
      <c r="C4840" t="s">
        <v>90</v>
      </c>
      <c r="D4840" t="s">
        <v>91</v>
      </c>
      <c r="G4840" t="s">
        <v>48</v>
      </c>
      <c r="H4840">
        <v>3</v>
      </c>
      <c r="I4840" t="s">
        <v>1432</v>
      </c>
      <c r="J4840" s="1">
        <v>42051</v>
      </c>
      <c r="K4840" t="s">
        <v>1426</v>
      </c>
      <c r="L4840" t="s">
        <v>1427</v>
      </c>
      <c r="M4840" t="s">
        <v>1270</v>
      </c>
      <c r="N4840">
        <v>24</v>
      </c>
      <c r="O4840" s="1">
        <v>42051</v>
      </c>
      <c r="P4840" t="s">
        <v>41</v>
      </c>
      <c r="Q4840" t="s">
        <v>95</v>
      </c>
      <c r="R4840" t="str">
        <f>"7192017"</f>
        <v>7192017</v>
      </c>
      <c r="S4840" t="s">
        <v>1433</v>
      </c>
      <c r="T4840" t="s">
        <v>1426</v>
      </c>
      <c r="U4840" t="s">
        <v>1427</v>
      </c>
      <c r="V4840" t="s">
        <v>1270</v>
      </c>
      <c r="W4840" t="s">
        <v>51</v>
      </c>
      <c r="X4840" t="s">
        <v>45</v>
      </c>
      <c r="Y4840" s="1">
        <v>30225</v>
      </c>
      <c r="Z4840">
        <v>1</v>
      </c>
      <c r="AA4840" t="s">
        <v>1427</v>
      </c>
      <c r="AB4840" s="40" t="s">
        <v>1799</v>
      </c>
    </row>
    <row r="4841" spans="1:28" x14ac:dyDescent="0.25">
      <c r="A4841">
        <v>99914840</v>
      </c>
      <c r="B4841" t="s">
        <v>32</v>
      </c>
      <c r="C4841" t="s">
        <v>111</v>
      </c>
      <c r="D4841" t="s">
        <v>112</v>
      </c>
      <c r="G4841" t="s">
        <v>35</v>
      </c>
      <c r="H4841">
        <v>1</v>
      </c>
      <c r="I4841" s="1">
        <v>40422</v>
      </c>
      <c r="J4841" s="1">
        <v>43344</v>
      </c>
      <c r="K4841" t="s">
        <v>1341</v>
      </c>
      <c r="L4841" t="s">
        <v>1342</v>
      </c>
      <c r="M4841" t="s">
        <v>1270</v>
      </c>
      <c r="N4841">
        <v>24</v>
      </c>
      <c r="O4841" s="1">
        <v>43344</v>
      </c>
      <c r="P4841" t="s">
        <v>41</v>
      </c>
      <c r="Q4841" t="s">
        <v>75</v>
      </c>
      <c r="R4841" t="str">
        <f>"7191002"</f>
        <v>7191002</v>
      </c>
      <c r="S4841" t="s">
        <v>1365</v>
      </c>
      <c r="T4841" t="s">
        <v>1341</v>
      </c>
      <c r="U4841" t="s">
        <v>1342</v>
      </c>
      <c r="V4841" t="s">
        <v>1270</v>
      </c>
      <c r="W4841" t="s">
        <v>51</v>
      </c>
      <c r="X4841" t="s">
        <v>45</v>
      </c>
      <c r="Y4841" s="1">
        <v>30195</v>
      </c>
      <c r="Z4841">
        <v>1</v>
      </c>
      <c r="AA4841" t="s">
        <v>1342</v>
      </c>
      <c r="AB4841" s="40" t="s">
        <v>1799</v>
      </c>
    </row>
    <row r="4842" spans="1:28" x14ac:dyDescent="0.25">
      <c r="A4842">
        <v>99914841</v>
      </c>
      <c r="B4842" t="s">
        <v>32</v>
      </c>
      <c r="C4842" t="s">
        <v>64</v>
      </c>
      <c r="D4842" t="s">
        <v>65</v>
      </c>
      <c r="G4842" t="s">
        <v>48</v>
      </c>
      <c r="H4842">
        <v>1</v>
      </c>
      <c r="K4842" t="s">
        <v>431</v>
      </c>
      <c r="L4842" t="s">
        <v>196</v>
      </c>
      <c r="M4842" t="s">
        <v>131</v>
      </c>
      <c r="N4842">
        <v>24</v>
      </c>
      <c r="P4842" t="s">
        <v>41</v>
      </c>
      <c r="Q4842" t="s">
        <v>75</v>
      </c>
      <c r="R4842" t="str">
        <f>"7521016"</f>
        <v>7521016</v>
      </c>
      <c r="S4842" t="s">
        <v>448</v>
      </c>
      <c r="T4842" t="s">
        <v>431</v>
      </c>
      <c r="U4842" t="s">
        <v>196</v>
      </c>
      <c r="V4842" t="s">
        <v>131</v>
      </c>
      <c r="W4842" t="s">
        <v>51</v>
      </c>
      <c r="X4842" t="s">
        <v>45</v>
      </c>
      <c r="Y4842" s="1">
        <v>30193</v>
      </c>
      <c r="Z4842">
        <v>1</v>
      </c>
      <c r="AA4842" t="s">
        <v>196</v>
      </c>
      <c r="AB4842" s="40" t="s">
        <v>1799</v>
      </c>
    </row>
    <row r="4843" spans="1:28" x14ac:dyDescent="0.25">
      <c r="A4843">
        <v>99914842</v>
      </c>
      <c r="B4843" t="s">
        <v>32</v>
      </c>
      <c r="C4843" t="s">
        <v>111</v>
      </c>
      <c r="D4843" t="s">
        <v>112</v>
      </c>
      <c r="G4843" t="s">
        <v>48</v>
      </c>
      <c r="H4843">
        <v>1</v>
      </c>
      <c r="I4843" t="s">
        <v>565</v>
      </c>
      <c r="J4843" s="1">
        <v>42081</v>
      </c>
      <c r="K4843" t="s">
        <v>431</v>
      </c>
      <c r="L4843" t="s">
        <v>196</v>
      </c>
      <c r="M4843" t="s">
        <v>131</v>
      </c>
      <c r="N4843">
        <v>24</v>
      </c>
      <c r="O4843" s="1">
        <v>42081</v>
      </c>
      <c r="P4843" t="s">
        <v>41</v>
      </c>
      <c r="Q4843" t="s">
        <v>75</v>
      </c>
      <c r="R4843" t="str">
        <f>"7521016"</f>
        <v>7521016</v>
      </c>
      <c r="S4843" t="s">
        <v>448</v>
      </c>
      <c r="T4843" t="s">
        <v>431</v>
      </c>
      <c r="U4843" t="s">
        <v>196</v>
      </c>
      <c r="V4843" t="s">
        <v>131</v>
      </c>
      <c r="W4843" t="s">
        <v>51</v>
      </c>
      <c r="X4843" t="s">
        <v>45</v>
      </c>
      <c r="Y4843" s="1">
        <v>30191</v>
      </c>
      <c r="Z4843">
        <v>1</v>
      </c>
      <c r="AA4843" t="s">
        <v>196</v>
      </c>
      <c r="AB4843" s="40" t="s">
        <v>1799</v>
      </c>
    </row>
    <row r="4844" spans="1:28" x14ac:dyDescent="0.25">
      <c r="A4844">
        <v>99914843</v>
      </c>
      <c r="B4844" t="s">
        <v>32</v>
      </c>
      <c r="C4844" t="s">
        <v>111</v>
      </c>
      <c r="D4844" t="s">
        <v>112</v>
      </c>
      <c r="G4844" t="s">
        <v>35</v>
      </c>
      <c r="H4844">
        <v>1</v>
      </c>
      <c r="I4844" t="s">
        <v>664</v>
      </c>
      <c r="J4844" s="1">
        <v>43344</v>
      </c>
      <c r="K4844" t="s">
        <v>268</v>
      </c>
      <c r="L4844" t="s">
        <v>269</v>
      </c>
      <c r="M4844" t="s">
        <v>131</v>
      </c>
      <c r="N4844">
        <v>24</v>
      </c>
      <c r="O4844" s="1">
        <v>43344</v>
      </c>
      <c r="P4844" t="s">
        <v>41</v>
      </c>
      <c r="Q4844" t="s">
        <v>75</v>
      </c>
      <c r="R4844" t="str">
        <f>"7052018"</f>
        <v>7052018</v>
      </c>
      <c r="S4844" t="s">
        <v>577</v>
      </c>
      <c r="T4844" t="s">
        <v>268</v>
      </c>
      <c r="U4844" t="s">
        <v>269</v>
      </c>
      <c r="V4844" t="s">
        <v>131</v>
      </c>
      <c r="W4844" t="s">
        <v>44</v>
      </c>
      <c r="X4844" t="s">
        <v>45</v>
      </c>
      <c r="Y4844" s="1">
        <v>30179</v>
      </c>
      <c r="Z4844">
        <v>1</v>
      </c>
      <c r="AA4844" t="s">
        <v>269</v>
      </c>
      <c r="AB4844" s="40" t="s">
        <v>1799</v>
      </c>
    </row>
    <row r="4845" spans="1:28" x14ac:dyDescent="0.25">
      <c r="A4845">
        <v>99914844</v>
      </c>
      <c r="B4845" t="s">
        <v>32</v>
      </c>
      <c r="C4845" t="s">
        <v>64</v>
      </c>
      <c r="D4845" t="s">
        <v>65</v>
      </c>
      <c r="G4845" t="s">
        <v>35</v>
      </c>
      <c r="H4845">
        <v>6</v>
      </c>
      <c r="I4845" t="s">
        <v>706</v>
      </c>
      <c r="J4845" s="1">
        <v>43388</v>
      </c>
      <c r="K4845" t="s">
        <v>268</v>
      </c>
      <c r="L4845" t="s">
        <v>269</v>
      </c>
      <c r="M4845" t="s">
        <v>131</v>
      </c>
      <c r="N4845">
        <v>24</v>
      </c>
      <c r="O4845" s="1">
        <v>43388</v>
      </c>
      <c r="P4845" t="s">
        <v>41</v>
      </c>
      <c r="Q4845" t="s">
        <v>75</v>
      </c>
      <c r="R4845" t="str">
        <f>"7052004"</f>
        <v>7052004</v>
      </c>
      <c r="S4845" t="s">
        <v>584</v>
      </c>
      <c r="T4845" t="s">
        <v>268</v>
      </c>
      <c r="U4845" t="s">
        <v>269</v>
      </c>
      <c r="V4845" t="s">
        <v>131</v>
      </c>
      <c r="W4845" t="s">
        <v>51</v>
      </c>
      <c r="X4845" t="s">
        <v>45</v>
      </c>
      <c r="Y4845" s="1">
        <v>30175</v>
      </c>
      <c r="Z4845">
        <v>1</v>
      </c>
      <c r="AA4845" t="s">
        <v>269</v>
      </c>
      <c r="AB4845" s="40" t="s">
        <v>1799</v>
      </c>
    </row>
    <row r="4846" spans="1:28" x14ac:dyDescent="0.25">
      <c r="A4846">
        <v>99914845</v>
      </c>
      <c r="B4846" t="s">
        <v>32</v>
      </c>
      <c r="C4846" t="s">
        <v>136</v>
      </c>
      <c r="D4846" t="s">
        <v>137</v>
      </c>
      <c r="G4846" t="s">
        <v>35</v>
      </c>
      <c r="H4846">
        <v>2</v>
      </c>
      <c r="K4846" t="s">
        <v>268</v>
      </c>
      <c r="L4846" t="s">
        <v>269</v>
      </c>
      <c r="M4846" t="s">
        <v>131</v>
      </c>
      <c r="N4846">
        <v>24</v>
      </c>
      <c r="P4846" t="s">
        <v>41</v>
      </c>
      <c r="Q4846" t="s">
        <v>75</v>
      </c>
      <c r="R4846" t="str">
        <f>"7052002"</f>
        <v>7052002</v>
      </c>
      <c r="S4846" t="s">
        <v>590</v>
      </c>
      <c r="T4846" t="s">
        <v>268</v>
      </c>
      <c r="U4846" t="s">
        <v>269</v>
      </c>
      <c r="V4846" t="s">
        <v>131</v>
      </c>
      <c r="W4846" t="s">
        <v>51</v>
      </c>
      <c r="X4846" t="s">
        <v>45</v>
      </c>
      <c r="Y4846" s="1">
        <v>30172</v>
      </c>
      <c r="Z4846">
        <v>1</v>
      </c>
      <c r="AA4846" t="s">
        <v>269</v>
      </c>
      <c r="AB4846" s="40" t="s">
        <v>1799</v>
      </c>
    </row>
    <row r="4847" spans="1:28" x14ac:dyDescent="0.25">
      <c r="A4847">
        <v>99914846</v>
      </c>
      <c r="B4847" t="s">
        <v>56</v>
      </c>
      <c r="C4847" t="s">
        <v>111</v>
      </c>
      <c r="D4847" t="s">
        <v>112</v>
      </c>
      <c r="G4847" t="s">
        <v>35</v>
      </c>
      <c r="H4847">
        <v>1</v>
      </c>
      <c r="I4847" s="1">
        <v>42979</v>
      </c>
      <c r="J4847" s="1">
        <v>43344</v>
      </c>
      <c r="K4847" t="s">
        <v>1341</v>
      </c>
      <c r="L4847" t="s">
        <v>1342</v>
      </c>
      <c r="M4847" t="s">
        <v>1270</v>
      </c>
      <c r="N4847">
        <v>24</v>
      </c>
      <c r="O4847" s="1">
        <v>43344</v>
      </c>
      <c r="P4847" t="s">
        <v>41</v>
      </c>
      <c r="Q4847" t="s">
        <v>75</v>
      </c>
      <c r="R4847" t="str">
        <f>"7191034"</f>
        <v>7191034</v>
      </c>
      <c r="S4847" t="s">
        <v>1343</v>
      </c>
      <c r="T4847" t="s">
        <v>1341</v>
      </c>
      <c r="U4847" t="s">
        <v>1342</v>
      </c>
      <c r="V4847" t="s">
        <v>1270</v>
      </c>
      <c r="W4847" t="s">
        <v>44</v>
      </c>
      <c r="X4847" t="s">
        <v>45</v>
      </c>
      <c r="Y4847" s="1">
        <v>30146</v>
      </c>
      <c r="Z4847">
        <v>1</v>
      </c>
      <c r="AA4847" t="s">
        <v>1342</v>
      </c>
      <c r="AB4847" s="40" t="s">
        <v>1799</v>
      </c>
    </row>
    <row r="4848" spans="1:28" x14ac:dyDescent="0.25">
      <c r="A4848">
        <v>99914847</v>
      </c>
      <c r="B4848" t="s">
        <v>32</v>
      </c>
      <c r="C4848" t="s">
        <v>61</v>
      </c>
      <c r="D4848" t="s">
        <v>62</v>
      </c>
      <c r="G4848" t="s">
        <v>35</v>
      </c>
      <c r="H4848">
        <v>6</v>
      </c>
      <c r="I4848" t="s">
        <v>734</v>
      </c>
      <c r="J4848" s="1">
        <v>43344</v>
      </c>
      <c r="K4848" t="s">
        <v>268</v>
      </c>
      <c r="L4848" t="s">
        <v>269</v>
      </c>
      <c r="M4848" t="s">
        <v>131</v>
      </c>
      <c r="N4848">
        <v>24</v>
      </c>
      <c r="O4848" s="1">
        <v>43344</v>
      </c>
      <c r="P4848" t="s">
        <v>41</v>
      </c>
      <c r="Q4848" t="s">
        <v>75</v>
      </c>
      <c r="R4848" t="str">
        <f>"7052002"</f>
        <v>7052002</v>
      </c>
      <c r="S4848" t="s">
        <v>590</v>
      </c>
      <c r="T4848" t="s">
        <v>268</v>
      </c>
      <c r="U4848" t="s">
        <v>269</v>
      </c>
      <c r="V4848" t="s">
        <v>131</v>
      </c>
      <c r="W4848" t="s">
        <v>51</v>
      </c>
      <c r="X4848" t="s">
        <v>45</v>
      </c>
      <c r="Y4848" s="1">
        <v>30141</v>
      </c>
      <c r="Z4848">
        <v>1</v>
      </c>
      <c r="AA4848" t="s">
        <v>269</v>
      </c>
      <c r="AB4848" s="40" t="s">
        <v>1799</v>
      </c>
    </row>
    <row r="4849" spans="1:28" x14ac:dyDescent="0.25">
      <c r="A4849">
        <v>99914848</v>
      </c>
      <c r="B4849" t="s">
        <v>56</v>
      </c>
      <c r="C4849" t="s">
        <v>111</v>
      </c>
      <c r="D4849" t="s">
        <v>112</v>
      </c>
      <c r="G4849" t="s">
        <v>35</v>
      </c>
      <c r="H4849">
        <v>1</v>
      </c>
      <c r="I4849" t="s">
        <v>1025</v>
      </c>
      <c r="J4849" s="1">
        <v>43344</v>
      </c>
      <c r="K4849" t="s">
        <v>963</v>
      </c>
      <c r="L4849" t="s">
        <v>964</v>
      </c>
      <c r="M4849" t="s">
        <v>938</v>
      </c>
      <c r="N4849">
        <v>24</v>
      </c>
      <c r="O4849" s="1">
        <v>43344</v>
      </c>
      <c r="P4849" t="s">
        <v>41</v>
      </c>
      <c r="Q4849" t="s">
        <v>75</v>
      </c>
      <c r="R4849" t="str">
        <f>"7061004"</f>
        <v>7061004</v>
      </c>
      <c r="S4849" t="s">
        <v>1002</v>
      </c>
      <c r="T4849" t="s">
        <v>963</v>
      </c>
      <c r="U4849" t="s">
        <v>964</v>
      </c>
      <c r="V4849" t="s">
        <v>938</v>
      </c>
      <c r="W4849" t="s">
        <v>44</v>
      </c>
      <c r="X4849" t="s">
        <v>45</v>
      </c>
      <c r="Y4849" s="1">
        <v>30135</v>
      </c>
      <c r="Z4849">
        <v>1</v>
      </c>
      <c r="AA4849" t="s">
        <v>964</v>
      </c>
      <c r="AB4849" s="40" t="s">
        <v>1799</v>
      </c>
    </row>
    <row r="4850" spans="1:28" x14ac:dyDescent="0.25">
      <c r="A4850">
        <v>99914849</v>
      </c>
      <c r="B4850" t="s">
        <v>32</v>
      </c>
      <c r="C4850" t="s">
        <v>111</v>
      </c>
      <c r="D4850" t="s">
        <v>112</v>
      </c>
      <c r="G4850" t="s">
        <v>48</v>
      </c>
      <c r="H4850">
        <v>1</v>
      </c>
      <c r="K4850" t="s">
        <v>1198</v>
      </c>
      <c r="L4850" t="s">
        <v>1199</v>
      </c>
      <c r="M4850" t="s">
        <v>1130</v>
      </c>
      <c r="N4850">
        <v>24</v>
      </c>
      <c r="P4850" t="s">
        <v>41</v>
      </c>
      <c r="Q4850" t="s">
        <v>75</v>
      </c>
      <c r="R4850" t="str">
        <f>"7311008"</f>
        <v>7311008</v>
      </c>
      <c r="S4850" t="s">
        <v>1205</v>
      </c>
      <c r="T4850" t="s">
        <v>1198</v>
      </c>
      <c r="U4850" t="s">
        <v>1199</v>
      </c>
      <c r="V4850" t="s">
        <v>1130</v>
      </c>
      <c r="W4850" t="s">
        <v>51</v>
      </c>
      <c r="X4850" t="s">
        <v>45</v>
      </c>
      <c r="Y4850" s="1">
        <v>30092</v>
      </c>
      <c r="Z4850">
        <v>1</v>
      </c>
      <c r="AA4850" t="s">
        <v>1199</v>
      </c>
      <c r="AB4850" s="40" t="s">
        <v>1799</v>
      </c>
    </row>
    <row r="4851" spans="1:28" x14ac:dyDescent="0.25">
      <c r="A4851">
        <v>99914850</v>
      </c>
      <c r="B4851" t="s">
        <v>32</v>
      </c>
      <c r="C4851" t="s">
        <v>71</v>
      </c>
      <c r="D4851" t="s">
        <v>72</v>
      </c>
      <c r="G4851" t="s">
        <v>35</v>
      </c>
      <c r="H4851">
        <v>1</v>
      </c>
      <c r="I4851" t="s">
        <v>500</v>
      </c>
      <c r="J4851" s="1">
        <v>42828</v>
      </c>
      <c r="K4851" t="s">
        <v>431</v>
      </c>
      <c r="L4851" t="s">
        <v>196</v>
      </c>
      <c r="M4851" t="s">
        <v>131</v>
      </c>
      <c r="N4851">
        <v>24</v>
      </c>
      <c r="O4851" s="1">
        <v>42829</v>
      </c>
      <c r="P4851" t="s">
        <v>41</v>
      </c>
      <c r="Q4851" t="s">
        <v>75</v>
      </c>
      <c r="R4851" t="str">
        <f>"7521060"</f>
        <v>7521060</v>
      </c>
      <c r="S4851" t="s">
        <v>501</v>
      </c>
      <c r="T4851" t="s">
        <v>431</v>
      </c>
      <c r="U4851" t="s">
        <v>196</v>
      </c>
      <c r="V4851" t="s">
        <v>131</v>
      </c>
      <c r="W4851" t="s">
        <v>44</v>
      </c>
      <c r="X4851" t="s">
        <v>45</v>
      </c>
      <c r="Y4851" s="1">
        <v>30088</v>
      </c>
      <c r="Z4851">
        <v>1</v>
      </c>
      <c r="AA4851" t="s">
        <v>196</v>
      </c>
      <c r="AB4851" s="40" t="s">
        <v>1799</v>
      </c>
    </row>
    <row r="4852" spans="1:28" x14ac:dyDescent="0.25">
      <c r="A4852">
        <v>99914851</v>
      </c>
      <c r="B4852" t="s">
        <v>32</v>
      </c>
      <c r="C4852" t="s">
        <v>46</v>
      </c>
      <c r="D4852" t="s">
        <v>47</v>
      </c>
      <c r="G4852" t="s">
        <v>35</v>
      </c>
      <c r="H4852">
        <v>1</v>
      </c>
      <c r="K4852" t="s">
        <v>1626</v>
      </c>
      <c r="L4852" t="s">
        <v>1627</v>
      </c>
      <c r="M4852" t="s">
        <v>1592</v>
      </c>
      <c r="N4852">
        <v>24</v>
      </c>
      <c r="P4852" t="s">
        <v>41</v>
      </c>
      <c r="Q4852" t="s">
        <v>49</v>
      </c>
      <c r="R4852" t="str">
        <f>"3681015"</f>
        <v>3681015</v>
      </c>
      <c r="S4852" t="s">
        <v>1629</v>
      </c>
      <c r="T4852" t="s">
        <v>1626</v>
      </c>
      <c r="U4852" t="s">
        <v>1627</v>
      </c>
      <c r="V4852" t="s">
        <v>1592</v>
      </c>
      <c r="W4852" t="s">
        <v>51</v>
      </c>
      <c r="X4852" t="s">
        <v>45</v>
      </c>
      <c r="Y4852" s="1">
        <v>30080</v>
      </c>
      <c r="Z4852">
        <v>2</v>
      </c>
      <c r="AA4852" t="s">
        <v>1627</v>
      </c>
      <c r="AB4852" s="40" t="s">
        <v>1799</v>
      </c>
    </row>
    <row r="4853" spans="1:28" x14ac:dyDescent="0.25">
      <c r="A4853">
        <v>99914852</v>
      </c>
      <c r="B4853" t="s">
        <v>32</v>
      </c>
      <c r="C4853" t="s">
        <v>111</v>
      </c>
      <c r="D4853" t="s">
        <v>112</v>
      </c>
      <c r="G4853" t="s">
        <v>35</v>
      </c>
      <c r="H4853">
        <v>1</v>
      </c>
      <c r="I4853" t="s">
        <v>828</v>
      </c>
      <c r="J4853" s="1">
        <v>43344</v>
      </c>
      <c r="K4853" t="s">
        <v>354</v>
      </c>
      <c r="L4853" t="s">
        <v>355</v>
      </c>
      <c r="M4853" t="s">
        <v>131</v>
      </c>
      <c r="N4853">
        <v>24</v>
      </c>
      <c r="O4853" s="1">
        <v>43344</v>
      </c>
      <c r="P4853" t="s">
        <v>41</v>
      </c>
      <c r="Q4853" t="s">
        <v>75</v>
      </c>
      <c r="R4853" t="str">
        <f>"7054028"</f>
        <v>7054028</v>
      </c>
      <c r="S4853" t="s">
        <v>788</v>
      </c>
      <c r="T4853" t="s">
        <v>354</v>
      </c>
      <c r="U4853" t="s">
        <v>355</v>
      </c>
      <c r="V4853" t="s">
        <v>131</v>
      </c>
      <c r="W4853" t="s">
        <v>51</v>
      </c>
      <c r="X4853" t="s">
        <v>45</v>
      </c>
      <c r="Y4853" s="1">
        <v>30070</v>
      </c>
      <c r="Z4853">
        <v>1</v>
      </c>
      <c r="AA4853" t="s">
        <v>355</v>
      </c>
      <c r="AB4853" s="40" t="s">
        <v>1799</v>
      </c>
    </row>
    <row r="4854" spans="1:28" x14ac:dyDescent="0.25">
      <c r="A4854">
        <v>99914853</v>
      </c>
      <c r="B4854" t="s">
        <v>56</v>
      </c>
      <c r="C4854" t="s">
        <v>90</v>
      </c>
      <c r="D4854" t="s">
        <v>91</v>
      </c>
      <c r="G4854" t="s">
        <v>48</v>
      </c>
      <c r="H4854">
        <v>4</v>
      </c>
      <c r="K4854" t="s">
        <v>877</v>
      </c>
      <c r="L4854" t="s">
        <v>878</v>
      </c>
      <c r="M4854" t="s">
        <v>131</v>
      </c>
      <c r="N4854">
        <v>24</v>
      </c>
      <c r="P4854" t="s">
        <v>41</v>
      </c>
      <c r="Q4854" t="s">
        <v>75</v>
      </c>
      <c r="R4854" t="str">
        <f>"7541004"</f>
        <v>7541004</v>
      </c>
      <c r="S4854" t="s">
        <v>889</v>
      </c>
      <c r="T4854" t="s">
        <v>877</v>
      </c>
      <c r="U4854" t="s">
        <v>878</v>
      </c>
      <c r="V4854" t="s">
        <v>131</v>
      </c>
      <c r="W4854" t="s">
        <v>51</v>
      </c>
      <c r="X4854" t="s">
        <v>45</v>
      </c>
      <c r="Y4854" s="1">
        <v>30061</v>
      </c>
      <c r="Z4854">
        <v>1</v>
      </c>
      <c r="AA4854" t="s">
        <v>878</v>
      </c>
      <c r="AB4854" s="40" t="s">
        <v>1799</v>
      </c>
    </row>
    <row r="4855" spans="1:28" x14ac:dyDescent="0.25">
      <c r="A4855">
        <v>99914854</v>
      </c>
      <c r="B4855" t="s">
        <v>32</v>
      </c>
      <c r="C4855" t="s">
        <v>90</v>
      </c>
      <c r="D4855" t="s">
        <v>91</v>
      </c>
      <c r="G4855" t="s">
        <v>35</v>
      </c>
      <c r="H4855">
        <v>1</v>
      </c>
      <c r="I4855" t="s">
        <v>1349</v>
      </c>
      <c r="J4855" s="1">
        <v>43344</v>
      </c>
      <c r="K4855" t="s">
        <v>1341</v>
      </c>
      <c r="L4855" t="s">
        <v>1342</v>
      </c>
      <c r="M4855" t="s">
        <v>1270</v>
      </c>
      <c r="N4855">
        <v>24</v>
      </c>
      <c r="O4855" s="1">
        <v>43344</v>
      </c>
      <c r="P4855" t="s">
        <v>41</v>
      </c>
      <c r="Q4855" t="s">
        <v>95</v>
      </c>
      <c r="R4855" t="str">
        <f>"7191071"</f>
        <v>7191071</v>
      </c>
      <c r="S4855" t="s">
        <v>1398</v>
      </c>
      <c r="T4855" t="s">
        <v>1341</v>
      </c>
      <c r="U4855" t="s">
        <v>1342</v>
      </c>
      <c r="V4855" t="s">
        <v>1270</v>
      </c>
      <c r="W4855" t="s">
        <v>165</v>
      </c>
      <c r="X4855" t="s">
        <v>45</v>
      </c>
      <c r="Y4855" s="1">
        <v>29957</v>
      </c>
      <c r="Z4855">
        <v>1</v>
      </c>
      <c r="AA4855" t="s">
        <v>1342</v>
      </c>
      <c r="AB4855" s="40" t="s">
        <v>1799</v>
      </c>
    </row>
    <row r="4856" spans="1:28" x14ac:dyDescent="0.25">
      <c r="A4856">
        <v>99914855</v>
      </c>
      <c r="B4856" t="s">
        <v>32</v>
      </c>
      <c r="C4856" t="s">
        <v>111</v>
      </c>
      <c r="D4856" t="s">
        <v>112</v>
      </c>
      <c r="G4856" t="s">
        <v>48</v>
      </c>
      <c r="H4856">
        <v>1</v>
      </c>
      <c r="K4856" t="s">
        <v>431</v>
      </c>
      <c r="L4856" t="s">
        <v>196</v>
      </c>
      <c r="M4856" t="s">
        <v>131</v>
      </c>
      <c r="N4856">
        <v>24</v>
      </c>
      <c r="P4856" t="s">
        <v>41</v>
      </c>
      <c r="Q4856" t="s">
        <v>75</v>
      </c>
      <c r="R4856" t="str">
        <f>"7521016"</f>
        <v>7521016</v>
      </c>
      <c r="S4856" t="s">
        <v>448</v>
      </c>
      <c r="T4856" t="s">
        <v>431</v>
      </c>
      <c r="U4856" t="s">
        <v>196</v>
      </c>
      <c r="V4856" t="s">
        <v>131</v>
      </c>
      <c r="W4856" t="s">
        <v>51</v>
      </c>
      <c r="X4856" t="s">
        <v>45</v>
      </c>
      <c r="Y4856" s="1">
        <v>29952</v>
      </c>
      <c r="Z4856">
        <v>1</v>
      </c>
      <c r="AA4856" t="s">
        <v>196</v>
      </c>
      <c r="AB4856" s="40" t="s">
        <v>1799</v>
      </c>
    </row>
    <row r="4857" spans="1:28" x14ac:dyDescent="0.25">
      <c r="A4857">
        <v>99914856</v>
      </c>
      <c r="B4857" t="s">
        <v>32</v>
      </c>
      <c r="C4857" t="s">
        <v>64</v>
      </c>
      <c r="D4857" t="s">
        <v>65</v>
      </c>
      <c r="G4857" t="s">
        <v>48</v>
      </c>
      <c r="H4857">
        <v>1</v>
      </c>
      <c r="K4857" t="s">
        <v>431</v>
      </c>
      <c r="L4857" t="s">
        <v>196</v>
      </c>
      <c r="M4857" t="s">
        <v>131</v>
      </c>
      <c r="N4857">
        <v>24</v>
      </c>
      <c r="P4857" t="s">
        <v>41</v>
      </c>
      <c r="Q4857" t="s">
        <v>75</v>
      </c>
      <c r="R4857" t="str">
        <f>"7521012"</f>
        <v>7521012</v>
      </c>
      <c r="S4857" t="s">
        <v>432</v>
      </c>
      <c r="T4857" t="s">
        <v>431</v>
      </c>
      <c r="U4857" t="s">
        <v>196</v>
      </c>
      <c r="V4857" t="s">
        <v>131</v>
      </c>
      <c r="W4857" t="s">
        <v>51</v>
      </c>
      <c r="X4857" t="s">
        <v>45</v>
      </c>
      <c r="Y4857" s="1">
        <v>29952</v>
      </c>
      <c r="Z4857">
        <v>1</v>
      </c>
      <c r="AA4857" t="s">
        <v>196</v>
      </c>
      <c r="AB4857" s="40" t="s">
        <v>1799</v>
      </c>
    </row>
    <row r="4858" spans="1:28" x14ac:dyDescent="0.25">
      <c r="A4858">
        <v>99914857</v>
      </c>
      <c r="B4858" t="s">
        <v>56</v>
      </c>
      <c r="C4858" t="s">
        <v>61</v>
      </c>
      <c r="D4858" t="s">
        <v>62</v>
      </c>
      <c r="G4858" t="s">
        <v>35</v>
      </c>
      <c r="H4858">
        <v>1</v>
      </c>
      <c r="I4858" t="s">
        <v>691</v>
      </c>
      <c r="J4858" s="1">
        <v>43344</v>
      </c>
      <c r="K4858" t="s">
        <v>268</v>
      </c>
      <c r="L4858" t="s">
        <v>269</v>
      </c>
      <c r="M4858" t="s">
        <v>131</v>
      </c>
      <c r="N4858">
        <v>24</v>
      </c>
      <c r="O4858" s="1">
        <v>43344</v>
      </c>
      <c r="P4858" t="s">
        <v>41</v>
      </c>
      <c r="Q4858" t="s">
        <v>75</v>
      </c>
      <c r="R4858" t="str">
        <f>"7052020"</f>
        <v>7052020</v>
      </c>
      <c r="S4858" t="s">
        <v>267</v>
      </c>
      <c r="T4858" t="s">
        <v>268</v>
      </c>
      <c r="U4858" t="s">
        <v>269</v>
      </c>
      <c r="V4858" t="s">
        <v>131</v>
      </c>
      <c r="W4858" t="s">
        <v>51</v>
      </c>
      <c r="X4858" t="s">
        <v>45</v>
      </c>
      <c r="Y4858" s="1">
        <v>29952</v>
      </c>
      <c r="Z4858">
        <v>1</v>
      </c>
      <c r="AA4858" t="s">
        <v>269</v>
      </c>
      <c r="AB4858" s="40" t="s">
        <v>1799</v>
      </c>
    </row>
    <row r="4859" spans="1:28" x14ac:dyDescent="0.25">
      <c r="A4859">
        <v>99914858</v>
      </c>
      <c r="B4859" t="s">
        <v>32</v>
      </c>
      <c r="C4859" t="s">
        <v>46</v>
      </c>
      <c r="D4859" t="s">
        <v>47</v>
      </c>
      <c r="G4859" t="s">
        <v>35</v>
      </c>
      <c r="H4859">
        <v>1</v>
      </c>
      <c r="I4859" t="s">
        <v>717</v>
      </c>
      <c r="J4859" s="1">
        <v>43344</v>
      </c>
      <c r="K4859" t="s">
        <v>268</v>
      </c>
      <c r="L4859" t="s">
        <v>269</v>
      </c>
      <c r="M4859" t="s">
        <v>131</v>
      </c>
      <c r="N4859">
        <v>24</v>
      </c>
      <c r="P4859" t="s">
        <v>41</v>
      </c>
      <c r="Q4859" t="s">
        <v>75</v>
      </c>
      <c r="R4859" t="str">
        <f>"7052012"</f>
        <v>7052012</v>
      </c>
      <c r="S4859" t="s">
        <v>270</v>
      </c>
      <c r="T4859" t="s">
        <v>268</v>
      </c>
      <c r="U4859" t="s">
        <v>269</v>
      </c>
      <c r="V4859" t="s">
        <v>131</v>
      </c>
      <c r="W4859" t="s">
        <v>51</v>
      </c>
      <c r="X4859" t="s">
        <v>45</v>
      </c>
      <c r="Y4859" s="1">
        <v>29952</v>
      </c>
      <c r="Z4859">
        <v>1</v>
      </c>
      <c r="AA4859" t="s">
        <v>269</v>
      </c>
      <c r="AB4859" s="40" t="s">
        <v>1799</v>
      </c>
    </row>
    <row r="4860" spans="1:28" x14ac:dyDescent="0.25">
      <c r="A4860">
        <v>99914859</v>
      </c>
      <c r="B4860" t="s">
        <v>32</v>
      </c>
      <c r="C4860" t="s">
        <v>111</v>
      </c>
      <c r="D4860" t="s">
        <v>112</v>
      </c>
      <c r="G4860" t="s">
        <v>35</v>
      </c>
      <c r="H4860">
        <v>1</v>
      </c>
      <c r="I4860">
        <v>0</v>
      </c>
      <c r="J4860" s="1">
        <v>43344</v>
      </c>
      <c r="K4860" t="s">
        <v>985</v>
      </c>
      <c r="L4860" t="s">
        <v>986</v>
      </c>
      <c r="M4860" t="s">
        <v>938</v>
      </c>
      <c r="N4860">
        <v>24</v>
      </c>
      <c r="O4860" s="1">
        <v>43344</v>
      </c>
      <c r="P4860" t="s">
        <v>41</v>
      </c>
      <c r="Q4860" t="s">
        <v>75</v>
      </c>
      <c r="R4860" t="str">
        <f>"7011004"</f>
        <v>7011004</v>
      </c>
      <c r="S4860" t="s">
        <v>987</v>
      </c>
      <c r="T4860" t="s">
        <v>985</v>
      </c>
      <c r="U4860" t="s">
        <v>986</v>
      </c>
      <c r="V4860" t="s">
        <v>938</v>
      </c>
      <c r="W4860" t="s">
        <v>51</v>
      </c>
      <c r="X4860" t="s">
        <v>45</v>
      </c>
      <c r="Y4860" s="1">
        <v>29952</v>
      </c>
      <c r="Z4860">
        <v>1</v>
      </c>
      <c r="AA4860" t="s">
        <v>986</v>
      </c>
      <c r="AB4860" s="40" t="s">
        <v>1799</v>
      </c>
    </row>
    <row r="4861" spans="1:28" x14ac:dyDescent="0.25">
      <c r="A4861">
        <v>99914860</v>
      </c>
      <c r="B4861" t="s">
        <v>32</v>
      </c>
      <c r="C4861" t="s">
        <v>111</v>
      </c>
      <c r="D4861" t="s">
        <v>112</v>
      </c>
      <c r="G4861" t="s">
        <v>35</v>
      </c>
      <c r="H4861">
        <v>1</v>
      </c>
      <c r="I4861" t="s">
        <v>1092</v>
      </c>
      <c r="J4861" s="1">
        <v>42334</v>
      </c>
      <c r="K4861" t="s">
        <v>1081</v>
      </c>
      <c r="L4861" t="s">
        <v>1082</v>
      </c>
      <c r="M4861" t="s">
        <v>1053</v>
      </c>
      <c r="N4861">
        <v>24</v>
      </c>
      <c r="O4861" s="1">
        <v>42334</v>
      </c>
      <c r="P4861" t="s">
        <v>41</v>
      </c>
      <c r="Q4861" t="s">
        <v>75</v>
      </c>
      <c r="R4861" t="str">
        <f>"7201006"</f>
        <v>7201006</v>
      </c>
      <c r="S4861" t="s">
        <v>1083</v>
      </c>
      <c r="T4861" t="s">
        <v>1081</v>
      </c>
      <c r="U4861" t="s">
        <v>1082</v>
      </c>
      <c r="V4861" t="s">
        <v>1053</v>
      </c>
      <c r="W4861" t="s">
        <v>44</v>
      </c>
      <c r="X4861" t="s">
        <v>45</v>
      </c>
      <c r="Y4861" s="1">
        <v>29952</v>
      </c>
      <c r="Z4861">
        <v>1</v>
      </c>
      <c r="AA4861" t="s">
        <v>1082</v>
      </c>
      <c r="AB4861" s="40" t="s">
        <v>1799</v>
      </c>
    </row>
    <row r="4862" spans="1:28" x14ac:dyDescent="0.25">
      <c r="A4862">
        <v>99914861</v>
      </c>
      <c r="B4862" t="s">
        <v>32</v>
      </c>
      <c r="C4862" t="s">
        <v>46</v>
      </c>
      <c r="D4862" t="s">
        <v>47</v>
      </c>
      <c r="G4862" t="s">
        <v>35</v>
      </c>
      <c r="H4862">
        <v>1</v>
      </c>
      <c r="K4862" t="s">
        <v>1198</v>
      </c>
      <c r="L4862" t="s">
        <v>1199</v>
      </c>
      <c r="M4862" t="s">
        <v>1130</v>
      </c>
      <c r="N4862">
        <v>24</v>
      </c>
      <c r="P4862" t="s">
        <v>41</v>
      </c>
      <c r="Q4862" t="s">
        <v>75</v>
      </c>
      <c r="R4862" t="str">
        <f>"7311006"</f>
        <v>7311006</v>
      </c>
      <c r="S4862" t="s">
        <v>1200</v>
      </c>
      <c r="T4862" t="s">
        <v>1198</v>
      </c>
      <c r="U4862" t="s">
        <v>1199</v>
      </c>
      <c r="V4862" t="s">
        <v>1130</v>
      </c>
      <c r="W4862" t="s">
        <v>51</v>
      </c>
      <c r="X4862" t="s">
        <v>45</v>
      </c>
      <c r="Y4862" s="1">
        <v>29952</v>
      </c>
      <c r="Z4862">
        <v>1</v>
      </c>
      <c r="AA4862" t="s">
        <v>1199</v>
      </c>
      <c r="AB4862" s="40" t="s">
        <v>1799</v>
      </c>
    </row>
    <row r="4863" spans="1:28" x14ac:dyDescent="0.25">
      <c r="A4863">
        <v>99914862</v>
      </c>
      <c r="B4863" t="s">
        <v>32</v>
      </c>
      <c r="C4863" t="s">
        <v>111</v>
      </c>
      <c r="D4863" t="s">
        <v>112</v>
      </c>
      <c r="G4863" t="s">
        <v>48</v>
      </c>
      <c r="H4863">
        <v>1</v>
      </c>
      <c r="I4863" t="s">
        <v>1212</v>
      </c>
      <c r="J4863" s="1">
        <v>41941</v>
      </c>
      <c r="K4863" t="s">
        <v>1198</v>
      </c>
      <c r="L4863" t="s">
        <v>1199</v>
      </c>
      <c r="M4863" t="s">
        <v>1130</v>
      </c>
      <c r="N4863">
        <v>24</v>
      </c>
      <c r="O4863" s="1">
        <v>41941</v>
      </c>
      <c r="P4863" t="s">
        <v>41</v>
      </c>
      <c r="Q4863" t="s">
        <v>75</v>
      </c>
      <c r="R4863" t="str">
        <f>"7311008"</f>
        <v>7311008</v>
      </c>
      <c r="S4863" t="s">
        <v>1205</v>
      </c>
      <c r="T4863" t="s">
        <v>1198</v>
      </c>
      <c r="U4863" t="s">
        <v>1199</v>
      </c>
      <c r="V4863" t="s">
        <v>1130</v>
      </c>
      <c r="W4863" t="s">
        <v>51</v>
      </c>
      <c r="X4863" t="s">
        <v>45</v>
      </c>
      <c r="Y4863" s="1">
        <v>29952</v>
      </c>
      <c r="Z4863">
        <v>1</v>
      </c>
      <c r="AA4863" t="s">
        <v>1199</v>
      </c>
      <c r="AB4863" s="40" t="s">
        <v>1799</v>
      </c>
    </row>
    <row r="4864" spans="1:28" x14ac:dyDescent="0.25">
      <c r="A4864">
        <v>99914863</v>
      </c>
      <c r="B4864" t="s">
        <v>32</v>
      </c>
      <c r="C4864" t="s">
        <v>64</v>
      </c>
      <c r="D4864" t="s">
        <v>65</v>
      </c>
      <c r="G4864" t="s">
        <v>35</v>
      </c>
      <c r="H4864">
        <v>1</v>
      </c>
      <c r="I4864" s="1">
        <v>42614</v>
      </c>
      <c r="J4864" s="1">
        <v>43344</v>
      </c>
      <c r="K4864" t="s">
        <v>1341</v>
      </c>
      <c r="L4864" t="s">
        <v>1342</v>
      </c>
      <c r="M4864" t="s">
        <v>1270</v>
      </c>
      <c r="N4864">
        <v>24</v>
      </c>
      <c r="O4864" s="1">
        <v>43344</v>
      </c>
      <c r="P4864" t="s">
        <v>41</v>
      </c>
      <c r="Q4864" t="s">
        <v>75</v>
      </c>
      <c r="R4864" t="str">
        <f>"7191004"</f>
        <v>7191004</v>
      </c>
      <c r="S4864" t="s">
        <v>1344</v>
      </c>
      <c r="T4864" t="s">
        <v>1341</v>
      </c>
      <c r="U4864" t="s">
        <v>1342</v>
      </c>
      <c r="V4864" t="s">
        <v>1270</v>
      </c>
      <c r="W4864" t="s">
        <v>51</v>
      </c>
      <c r="X4864" t="s">
        <v>45</v>
      </c>
      <c r="Y4864" s="1">
        <v>29952</v>
      </c>
      <c r="Z4864">
        <v>1</v>
      </c>
      <c r="AA4864" t="s">
        <v>1342</v>
      </c>
      <c r="AB4864" s="40" t="s">
        <v>1799</v>
      </c>
    </row>
    <row r="4865" spans="1:28" x14ac:dyDescent="0.25">
      <c r="A4865">
        <v>99914864</v>
      </c>
      <c r="B4865" t="s">
        <v>32</v>
      </c>
      <c r="C4865" t="s">
        <v>90</v>
      </c>
      <c r="D4865" t="s">
        <v>91</v>
      </c>
      <c r="G4865" t="s">
        <v>35</v>
      </c>
      <c r="H4865">
        <v>1</v>
      </c>
      <c r="I4865" s="1">
        <v>42614</v>
      </c>
      <c r="J4865" s="1">
        <v>43344</v>
      </c>
      <c r="K4865" t="s">
        <v>1341</v>
      </c>
      <c r="L4865" t="s">
        <v>1342</v>
      </c>
      <c r="M4865" t="s">
        <v>1270</v>
      </c>
      <c r="N4865">
        <v>24</v>
      </c>
      <c r="O4865" s="1">
        <v>43344</v>
      </c>
      <c r="P4865" t="s">
        <v>41</v>
      </c>
      <c r="Q4865" t="s">
        <v>95</v>
      </c>
      <c r="R4865" t="str">
        <f>"7191005"</f>
        <v>7191005</v>
      </c>
      <c r="S4865" t="s">
        <v>1356</v>
      </c>
      <c r="T4865" t="s">
        <v>1341</v>
      </c>
      <c r="U4865" t="s">
        <v>1342</v>
      </c>
      <c r="V4865" t="s">
        <v>1270</v>
      </c>
      <c r="W4865" t="s">
        <v>51</v>
      </c>
      <c r="X4865" t="s">
        <v>45</v>
      </c>
      <c r="Y4865" s="1">
        <v>29952</v>
      </c>
      <c r="Z4865">
        <v>1</v>
      </c>
      <c r="AA4865" t="s">
        <v>1342</v>
      </c>
      <c r="AB4865" s="40" t="s">
        <v>1799</v>
      </c>
    </row>
    <row r="4866" spans="1:28" x14ac:dyDescent="0.25">
      <c r="A4866">
        <v>99914865</v>
      </c>
      <c r="B4866" t="s">
        <v>32</v>
      </c>
      <c r="C4866" t="s">
        <v>139</v>
      </c>
      <c r="D4866" t="s">
        <v>140</v>
      </c>
      <c r="G4866" t="s">
        <v>35</v>
      </c>
      <c r="H4866">
        <v>1</v>
      </c>
      <c r="I4866" s="1">
        <v>42688</v>
      </c>
      <c r="J4866" s="1">
        <v>43344</v>
      </c>
      <c r="K4866" t="s">
        <v>1341</v>
      </c>
      <c r="L4866" t="s">
        <v>1342</v>
      </c>
      <c r="M4866" t="s">
        <v>1270</v>
      </c>
      <c r="N4866">
        <v>24</v>
      </c>
      <c r="O4866" s="1">
        <v>43344</v>
      </c>
      <c r="P4866" t="s">
        <v>41</v>
      </c>
      <c r="Q4866" t="s">
        <v>75</v>
      </c>
      <c r="R4866" t="str">
        <f>"7191000"</f>
        <v>7191000</v>
      </c>
      <c r="S4866" t="s">
        <v>1347</v>
      </c>
      <c r="T4866" t="s">
        <v>1341</v>
      </c>
      <c r="U4866" t="s">
        <v>1342</v>
      </c>
      <c r="V4866" t="s">
        <v>1270</v>
      </c>
      <c r="W4866" t="s">
        <v>51</v>
      </c>
      <c r="X4866" t="s">
        <v>45</v>
      </c>
      <c r="Y4866" s="1">
        <v>29952</v>
      </c>
      <c r="Z4866">
        <v>1</v>
      </c>
      <c r="AA4866" t="s">
        <v>1342</v>
      </c>
      <c r="AB4866" s="40" t="s">
        <v>1799</v>
      </c>
    </row>
    <row r="4867" spans="1:28" x14ac:dyDescent="0.25">
      <c r="A4867">
        <v>99914866</v>
      </c>
      <c r="B4867" t="s">
        <v>32</v>
      </c>
      <c r="C4867" t="s">
        <v>71</v>
      </c>
      <c r="D4867" t="s">
        <v>72</v>
      </c>
      <c r="G4867" t="s">
        <v>35</v>
      </c>
      <c r="H4867">
        <v>1</v>
      </c>
      <c r="I4867" s="1">
        <v>42688</v>
      </c>
      <c r="J4867" s="1">
        <v>43344</v>
      </c>
      <c r="K4867" t="s">
        <v>1341</v>
      </c>
      <c r="L4867" t="s">
        <v>1342</v>
      </c>
      <c r="M4867" t="s">
        <v>1270</v>
      </c>
      <c r="N4867">
        <v>24</v>
      </c>
      <c r="O4867" s="1">
        <v>43344</v>
      </c>
      <c r="P4867" t="s">
        <v>41</v>
      </c>
      <c r="Q4867" t="s">
        <v>75</v>
      </c>
      <c r="R4867" t="str">
        <f>"7191000"</f>
        <v>7191000</v>
      </c>
      <c r="S4867" t="s">
        <v>1347</v>
      </c>
      <c r="T4867" t="s">
        <v>1341</v>
      </c>
      <c r="U4867" t="s">
        <v>1342</v>
      </c>
      <c r="V4867" t="s">
        <v>1270</v>
      </c>
      <c r="W4867" t="s">
        <v>51</v>
      </c>
      <c r="X4867" t="s">
        <v>45</v>
      </c>
      <c r="Y4867" s="1">
        <v>29952</v>
      </c>
      <c r="Z4867">
        <v>1</v>
      </c>
      <c r="AA4867" t="s">
        <v>1342</v>
      </c>
      <c r="AB4867" s="40" t="s">
        <v>1799</v>
      </c>
    </row>
    <row r="4868" spans="1:28" x14ac:dyDescent="0.25">
      <c r="A4868">
        <v>99914867</v>
      </c>
      <c r="B4868" t="s">
        <v>32</v>
      </c>
      <c r="C4868" t="s">
        <v>139</v>
      </c>
      <c r="D4868" t="s">
        <v>140</v>
      </c>
      <c r="G4868" t="s">
        <v>48</v>
      </c>
      <c r="H4868">
        <v>5</v>
      </c>
      <c r="I4868" t="s">
        <v>552</v>
      </c>
      <c r="J4868" s="1">
        <v>42248</v>
      </c>
      <c r="K4868" t="s">
        <v>431</v>
      </c>
      <c r="L4868" t="s">
        <v>196</v>
      </c>
      <c r="M4868" t="s">
        <v>131</v>
      </c>
      <c r="N4868">
        <v>24</v>
      </c>
      <c r="O4868" s="1">
        <v>42248</v>
      </c>
      <c r="P4868" t="s">
        <v>41</v>
      </c>
      <c r="Q4868" t="s">
        <v>75</v>
      </c>
      <c r="R4868" t="str">
        <f>"7521022"</f>
        <v>7521022</v>
      </c>
      <c r="S4868" t="s">
        <v>445</v>
      </c>
      <c r="T4868" t="s">
        <v>431</v>
      </c>
      <c r="U4868" t="s">
        <v>196</v>
      </c>
      <c r="V4868" t="s">
        <v>131</v>
      </c>
      <c r="W4868" t="s">
        <v>51</v>
      </c>
      <c r="X4868" t="s">
        <v>45</v>
      </c>
      <c r="Y4868" s="1">
        <v>29872</v>
      </c>
      <c r="Z4868">
        <v>1</v>
      </c>
      <c r="AA4868" t="s">
        <v>196</v>
      </c>
      <c r="AB4868" s="40" t="s">
        <v>1799</v>
      </c>
    </row>
    <row r="4869" spans="1:28" x14ac:dyDescent="0.25">
      <c r="A4869">
        <v>99914868</v>
      </c>
      <c r="B4869" t="s">
        <v>32</v>
      </c>
      <c r="C4869" t="s">
        <v>46</v>
      </c>
      <c r="D4869" t="s">
        <v>47</v>
      </c>
      <c r="G4869" t="s">
        <v>35</v>
      </c>
      <c r="H4869">
        <v>1</v>
      </c>
      <c r="I4869">
        <v>15901</v>
      </c>
      <c r="J4869" s="1">
        <v>43344</v>
      </c>
      <c r="K4869" t="s">
        <v>354</v>
      </c>
      <c r="L4869" t="s">
        <v>355</v>
      </c>
      <c r="M4869" t="s">
        <v>131</v>
      </c>
      <c r="N4869">
        <v>24</v>
      </c>
      <c r="O4869" s="1">
        <v>43344</v>
      </c>
      <c r="P4869" t="s">
        <v>41</v>
      </c>
      <c r="Q4869" t="s">
        <v>75</v>
      </c>
      <c r="R4869" t="str">
        <f>"7054006"</f>
        <v>7054006</v>
      </c>
      <c r="S4869" t="s">
        <v>774</v>
      </c>
      <c r="T4869" t="s">
        <v>354</v>
      </c>
      <c r="U4869" t="s">
        <v>355</v>
      </c>
      <c r="V4869" t="s">
        <v>131</v>
      </c>
      <c r="W4869" t="s">
        <v>51</v>
      </c>
      <c r="X4869" t="s">
        <v>45</v>
      </c>
      <c r="Y4869" s="1">
        <v>29866</v>
      </c>
      <c r="Z4869">
        <v>1</v>
      </c>
      <c r="AA4869" t="s">
        <v>355</v>
      </c>
      <c r="AB4869" s="40" t="s">
        <v>1799</v>
      </c>
    </row>
    <row r="4870" spans="1:28" x14ac:dyDescent="0.25">
      <c r="A4870">
        <v>99914869</v>
      </c>
      <c r="B4870" t="s">
        <v>32</v>
      </c>
      <c r="C4870" t="s">
        <v>111</v>
      </c>
      <c r="D4870" t="s">
        <v>112</v>
      </c>
      <c r="G4870" t="s">
        <v>48</v>
      </c>
      <c r="H4870">
        <v>1</v>
      </c>
      <c r="K4870" t="s">
        <v>268</v>
      </c>
      <c r="L4870" t="s">
        <v>269</v>
      </c>
      <c r="M4870" t="s">
        <v>131</v>
      </c>
      <c r="N4870">
        <v>24</v>
      </c>
      <c r="P4870" t="s">
        <v>41</v>
      </c>
      <c r="Q4870" t="s">
        <v>75</v>
      </c>
      <c r="R4870" t="str">
        <f>"7052042"</f>
        <v>7052042</v>
      </c>
      <c r="S4870" t="s">
        <v>583</v>
      </c>
      <c r="T4870" t="s">
        <v>268</v>
      </c>
      <c r="U4870" t="s">
        <v>269</v>
      </c>
      <c r="V4870" t="s">
        <v>131</v>
      </c>
      <c r="W4870" t="s">
        <v>51</v>
      </c>
      <c r="X4870" t="s">
        <v>45</v>
      </c>
      <c r="Y4870" s="1">
        <v>29860</v>
      </c>
      <c r="Z4870">
        <v>1</v>
      </c>
      <c r="AA4870" t="s">
        <v>269</v>
      </c>
      <c r="AB4870" s="40" t="s">
        <v>1799</v>
      </c>
    </row>
    <row r="4871" spans="1:28" x14ac:dyDescent="0.25">
      <c r="A4871">
        <v>99914870</v>
      </c>
      <c r="B4871" t="s">
        <v>32</v>
      </c>
      <c r="C4871" t="s">
        <v>90</v>
      </c>
      <c r="D4871" t="s">
        <v>91</v>
      </c>
      <c r="G4871" t="s">
        <v>35</v>
      </c>
      <c r="H4871">
        <v>1</v>
      </c>
      <c r="I4871" s="1">
        <v>42614</v>
      </c>
      <c r="J4871" s="1">
        <v>43344</v>
      </c>
      <c r="K4871" t="s">
        <v>1341</v>
      </c>
      <c r="L4871" t="s">
        <v>1342</v>
      </c>
      <c r="M4871" t="s">
        <v>1270</v>
      </c>
      <c r="N4871">
        <v>24</v>
      </c>
      <c r="O4871" s="1">
        <v>43344</v>
      </c>
      <c r="P4871" t="s">
        <v>41</v>
      </c>
      <c r="Q4871" t="s">
        <v>95</v>
      </c>
      <c r="R4871" t="str">
        <f>"7191121"</f>
        <v>7191121</v>
      </c>
      <c r="S4871" t="s">
        <v>1369</v>
      </c>
      <c r="T4871" t="s">
        <v>1341</v>
      </c>
      <c r="U4871" t="s">
        <v>1342</v>
      </c>
      <c r="V4871" t="s">
        <v>1270</v>
      </c>
      <c r="W4871" t="s">
        <v>51</v>
      </c>
      <c r="X4871" t="s">
        <v>45</v>
      </c>
      <c r="Y4871" s="1">
        <v>29850</v>
      </c>
      <c r="Z4871">
        <v>1</v>
      </c>
      <c r="AA4871" t="s">
        <v>1342</v>
      </c>
      <c r="AB4871" s="40" t="s">
        <v>1799</v>
      </c>
    </row>
    <row r="4872" spans="1:28" x14ac:dyDescent="0.25">
      <c r="A4872">
        <v>99914871</v>
      </c>
      <c r="B4872" t="s">
        <v>32</v>
      </c>
      <c r="C4872" t="s">
        <v>141</v>
      </c>
      <c r="D4872" t="s">
        <v>142</v>
      </c>
      <c r="G4872" t="s">
        <v>88</v>
      </c>
      <c r="H4872">
        <v>3</v>
      </c>
      <c r="I4872" t="s">
        <v>435</v>
      </c>
      <c r="J4872" s="1">
        <v>41518</v>
      </c>
      <c r="K4872" t="s">
        <v>195</v>
      </c>
      <c r="L4872" t="s">
        <v>196</v>
      </c>
      <c r="M4872" t="s">
        <v>131</v>
      </c>
      <c r="N4872">
        <v>24</v>
      </c>
      <c r="O4872" s="1">
        <v>41518</v>
      </c>
      <c r="P4872" t="s">
        <v>41</v>
      </c>
      <c r="Q4872" t="s">
        <v>75</v>
      </c>
      <c r="R4872" t="str">
        <f>"7521046"</f>
        <v>7521046</v>
      </c>
      <c r="S4872" t="s">
        <v>436</v>
      </c>
      <c r="T4872" t="s">
        <v>195</v>
      </c>
      <c r="U4872" t="s">
        <v>196</v>
      </c>
      <c r="V4872" t="s">
        <v>131</v>
      </c>
      <c r="W4872" t="s">
        <v>165</v>
      </c>
      <c r="X4872" t="s">
        <v>45</v>
      </c>
      <c r="Y4872" s="1">
        <v>29827</v>
      </c>
      <c r="Z4872">
        <v>1</v>
      </c>
      <c r="AA4872" t="s">
        <v>196</v>
      </c>
      <c r="AB4872" s="40" t="s">
        <v>1799</v>
      </c>
    </row>
    <row r="4873" spans="1:28" x14ac:dyDescent="0.25">
      <c r="A4873">
        <v>99914872</v>
      </c>
      <c r="B4873" t="s">
        <v>56</v>
      </c>
      <c r="C4873" t="s">
        <v>64</v>
      </c>
      <c r="D4873" t="s">
        <v>65</v>
      </c>
      <c r="G4873" t="s">
        <v>48</v>
      </c>
      <c r="H4873">
        <v>6</v>
      </c>
      <c r="I4873" t="s">
        <v>497</v>
      </c>
      <c r="J4873" s="1">
        <v>42331</v>
      </c>
      <c r="K4873" t="s">
        <v>431</v>
      </c>
      <c r="L4873" t="s">
        <v>196</v>
      </c>
      <c r="M4873" t="s">
        <v>131</v>
      </c>
      <c r="N4873">
        <v>24</v>
      </c>
      <c r="O4873" s="1">
        <v>42331</v>
      </c>
      <c r="P4873" t="s">
        <v>41</v>
      </c>
      <c r="Q4873" t="s">
        <v>75</v>
      </c>
      <c r="R4873" t="str">
        <f>"7521012"</f>
        <v>7521012</v>
      </c>
      <c r="S4873" t="s">
        <v>432</v>
      </c>
      <c r="T4873" t="s">
        <v>431</v>
      </c>
      <c r="U4873" t="s">
        <v>196</v>
      </c>
      <c r="V4873" t="s">
        <v>131</v>
      </c>
      <c r="W4873" t="s">
        <v>165</v>
      </c>
      <c r="X4873" t="s">
        <v>45</v>
      </c>
      <c r="Y4873" s="1">
        <v>29824</v>
      </c>
      <c r="Z4873">
        <v>1</v>
      </c>
      <c r="AA4873" t="s">
        <v>196</v>
      </c>
      <c r="AB4873" s="40" t="s">
        <v>1799</v>
      </c>
    </row>
    <row r="4874" spans="1:28" x14ac:dyDescent="0.25">
      <c r="A4874">
        <v>99914873</v>
      </c>
      <c r="B4874" t="s">
        <v>32</v>
      </c>
      <c r="C4874" t="s">
        <v>46</v>
      </c>
      <c r="D4874" t="s">
        <v>47</v>
      </c>
      <c r="G4874" t="s">
        <v>35</v>
      </c>
      <c r="H4874">
        <v>1</v>
      </c>
      <c r="I4874" t="s">
        <v>1004</v>
      </c>
      <c r="J4874" s="1">
        <v>43344</v>
      </c>
      <c r="K4874" t="s">
        <v>963</v>
      </c>
      <c r="L4874" t="s">
        <v>964</v>
      </c>
      <c r="M4874" t="s">
        <v>938</v>
      </c>
      <c r="N4874">
        <v>24</v>
      </c>
      <c r="O4874" s="1">
        <v>43344</v>
      </c>
      <c r="R4874" t="str">
        <f>""</f>
        <v/>
      </c>
      <c r="U4874" t="s">
        <v>964</v>
      </c>
      <c r="V4874" t="s">
        <v>938</v>
      </c>
      <c r="W4874" t="s">
        <v>51</v>
      </c>
      <c r="X4874" t="s">
        <v>45</v>
      </c>
      <c r="Y4874" s="1">
        <v>29816</v>
      </c>
      <c r="Z4874">
        <v>1</v>
      </c>
      <c r="AA4874" t="s">
        <v>964</v>
      </c>
      <c r="AB4874" s="40" t="s">
        <v>1799</v>
      </c>
    </row>
    <row r="4875" spans="1:28" x14ac:dyDescent="0.25">
      <c r="A4875">
        <v>99914874</v>
      </c>
      <c r="B4875" t="s">
        <v>32</v>
      </c>
      <c r="C4875" t="s">
        <v>90</v>
      </c>
      <c r="D4875" t="s">
        <v>91</v>
      </c>
      <c r="G4875" t="s">
        <v>35</v>
      </c>
      <c r="H4875">
        <v>1</v>
      </c>
      <c r="I4875">
        <v>0</v>
      </c>
      <c r="J4875" s="1">
        <v>43344</v>
      </c>
      <c r="K4875" t="s">
        <v>985</v>
      </c>
      <c r="L4875" t="s">
        <v>986</v>
      </c>
      <c r="M4875" t="s">
        <v>938</v>
      </c>
      <c r="N4875">
        <v>24</v>
      </c>
      <c r="O4875" s="1">
        <v>43344</v>
      </c>
      <c r="P4875" t="s">
        <v>41</v>
      </c>
      <c r="Q4875" t="s">
        <v>95</v>
      </c>
      <c r="R4875" t="str">
        <f>"7011009"</f>
        <v>7011009</v>
      </c>
      <c r="S4875" t="s">
        <v>988</v>
      </c>
      <c r="T4875" t="s">
        <v>985</v>
      </c>
      <c r="U4875" t="s">
        <v>986</v>
      </c>
      <c r="V4875" t="s">
        <v>938</v>
      </c>
      <c r="W4875" t="s">
        <v>44</v>
      </c>
      <c r="X4875" t="s">
        <v>45</v>
      </c>
      <c r="Y4875" s="1">
        <v>29814</v>
      </c>
      <c r="Z4875">
        <v>1</v>
      </c>
      <c r="AA4875" t="s">
        <v>986</v>
      </c>
      <c r="AB4875" s="40" t="s">
        <v>1799</v>
      </c>
    </row>
    <row r="4876" spans="1:28" x14ac:dyDescent="0.25">
      <c r="A4876">
        <v>99914875</v>
      </c>
      <c r="B4876" t="s">
        <v>32</v>
      </c>
      <c r="C4876" t="s">
        <v>111</v>
      </c>
      <c r="D4876" t="s">
        <v>112</v>
      </c>
      <c r="G4876" t="s">
        <v>35</v>
      </c>
      <c r="H4876">
        <v>1</v>
      </c>
      <c r="I4876" s="1">
        <v>37909</v>
      </c>
      <c r="J4876" s="1">
        <v>43344</v>
      </c>
      <c r="K4876" t="s">
        <v>1341</v>
      </c>
      <c r="L4876" t="s">
        <v>1342</v>
      </c>
      <c r="M4876" t="s">
        <v>1270</v>
      </c>
      <c r="N4876">
        <v>24</v>
      </c>
      <c r="O4876" s="1">
        <v>43344</v>
      </c>
      <c r="P4876" t="s">
        <v>41</v>
      </c>
      <c r="Q4876" t="s">
        <v>75</v>
      </c>
      <c r="R4876" t="str">
        <f>"7191004"</f>
        <v>7191004</v>
      </c>
      <c r="S4876" t="s">
        <v>1344</v>
      </c>
      <c r="T4876" t="s">
        <v>1341</v>
      </c>
      <c r="U4876" t="s">
        <v>1342</v>
      </c>
      <c r="V4876" t="s">
        <v>1270</v>
      </c>
      <c r="W4876" t="s">
        <v>51</v>
      </c>
      <c r="X4876" t="s">
        <v>45</v>
      </c>
      <c r="Y4876" s="1">
        <v>29741</v>
      </c>
      <c r="Z4876">
        <v>1</v>
      </c>
      <c r="AA4876" t="s">
        <v>1342</v>
      </c>
      <c r="AB4876" s="40" t="s">
        <v>1799</v>
      </c>
    </row>
    <row r="4877" spans="1:28" x14ac:dyDescent="0.25">
      <c r="A4877">
        <v>99914876</v>
      </c>
      <c r="B4877" t="s">
        <v>32</v>
      </c>
      <c r="C4877" t="s">
        <v>71</v>
      </c>
      <c r="D4877" t="s">
        <v>72</v>
      </c>
      <c r="G4877" t="s">
        <v>35</v>
      </c>
      <c r="H4877">
        <v>1</v>
      </c>
      <c r="I4877" t="s">
        <v>286</v>
      </c>
      <c r="J4877" s="1">
        <v>43344</v>
      </c>
      <c r="K4877" t="s">
        <v>268</v>
      </c>
      <c r="L4877" t="s">
        <v>269</v>
      </c>
      <c r="M4877" t="s">
        <v>131</v>
      </c>
      <c r="N4877">
        <v>24</v>
      </c>
      <c r="P4877" t="s">
        <v>41</v>
      </c>
      <c r="Q4877" t="s">
        <v>75</v>
      </c>
      <c r="R4877" t="str">
        <f>"7052018"</f>
        <v>7052018</v>
      </c>
      <c r="S4877" t="s">
        <v>577</v>
      </c>
      <c r="T4877" t="s">
        <v>268</v>
      </c>
      <c r="U4877" t="s">
        <v>269</v>
      </c>
      <c r="V4877" t="s">
        <v>131</v>
      </c>
      <c r="W4877" t="s">
        <v>51</v>
      </c>
      <c r="X4877" t="s">
        <v>45</v>
      </c>
      <c r="Y4877" s="1">
        <v>29692</v>
      </c>
      <c r="Z4877">
        <v>1</v>
      </c>
      <c r="AA4877" t="s">
        <v>269</v>
      </c>
      <c r="AB4877" s="40" t="s">
        <v>1799</v>
      </c>
    </row>
    <row r="4878" spans="1:28" x14ac:dyDescent="0.25">
      <c r="A4878">
        <v>99914877</v>
      </c>
      <c r="B4878" t="s">
        <v>32</v>
      </c>
      <c r="C4878" t="s">
        <v>141</v>
      </c>
      <c r="D4878" t="s">
        <v>142</v>
      </c>
      <c r="G4878" t="s">
        <v>35</v>
      </c>
      <c r="H4878">
        <v>1</v>
      </c>
      <c r="I4878" t="s">
        <v>1103</v>
      </c>
      <c r="J4878" s="1">
        <v>42984</v>
      </c>
      <c r="K4878" t="s">
        <v>1081</v>
      </c>
      <c r="L4878" t="s">
        <v>1082</v>
      </c>
      <c r="M4878" t="s">
        <v>1053</v>
      </c>
      <c r="N4878">
        <v>24</v>
      </c>
      <c r="O4878" s="1">
        <v>42984</v>
      </c>
      <c r="P4878" t="s">
        <v>41</v>
      </c>
      <c r="Q4878" t="s">
        <v>75</v>
      </c>
      <c r="R4878" t="str">
        <f>"7201006"</f>
        <v>7201006</v>
      </c>
      <c r="S4878" t="s">
        <v>1083</v>
      </c>
      <c r="T4878" t="s">
        <v>1081</v>
      </c>
      <c r="U4878" t="s">
        <v>1082</v>
      </c>
      <c r="V4878" t="s">
        <v>1053</v>
      </c>
      <c r="W4878" t="s">
        <v>51</v>
      </c>
      <c r="X4878" t="s">
        <v>45</v>
      </c>
      <c r="Y4878" s="1">
        <v>29657</v>
      </c>
      <c r="Z4878">
        <v>1</v>
      </c>
      <c r="AA4878" t="s">
        <v>1082</v>
      </c>
      <c r="AB4878" s="40" t="s">
        <v>1799</v>
      </c>
    </row>
    <row r="4879" spans="1:28" x14ac:dyDescent="0.25">
      <c r="A4879">
        <v>99914878</v>
      </c>
      <c r="B4879" t="s">
        <v>32</v>
      </c>
      <c r="C4879" t="s">
        <v>64</v>
      </c>
      <c r="D4879" t="s">
        <v>65</v>
      </c>
      <c r="G4879" t="s">
        <v>35</v>
      </c>
      <c r="H4879">
        <v>1</v>
      </c>
      <c r="I4879">
        <v>282</v>
      </c>
      <c r="J4879" s="1">
        <v>43344</v>
      </c>
      <c r="K4879" t="s">
        <v>354</v>
      </c>
      <c r="L4879" t="s">
        <v>355</v>
      </c>
      <c r="M4879" t="s">
        <v>131</v>
      </c>
      <c r="N4879">
        <v>24</v>
      </c>
      <c r="O4879" s="1">
        <v>43344</v>
      </c>
      <c r="P4879" t="s">
        <v>41</v>
      </c>
      <c r="Q4879" t="s">
        <v>75</v>
      </c>
      <c r="R4879" t="str">
        <f>"7054016"</f>
        <v>7054016</v>
      </c>
      <c r="S4879" t="s">
        <v>768</v>
      </c>
      <c r="T4879" t="s">
        <v>354</v>
      </c>
      <c r="U4879" t="s">
        <v>355</v>
      </c>
      <c r="V4879" t="s">
        <v>131</v>
      </c>
      <c r="W4879" t="s">
        <v>51</v>
      </c>
      <c r="X4879" t="s">
        <v>45</v>
      </c>
      <c r="Y4879" s="1">
        <v>29630</v>
      </c>
      <c r="Z4879">
        <v>1</v>
      </c>
      <c r="AA4879" t="s">
        <v>355</v>
      </c>
      <c r="AB4879" s="40" t="s">
        <v>1799</v>
      </c>
    </row>
    <row r="4880" spans="1:28" x14ac:dyDescent="0.25">
      <c r="A4880">
        <v>99914879</v>
      </c>
      <c r="B4880" t="s">
        <v>32</v>
      </c>
      <c r="C4880" t="s">
        <v>111</v>
      </c>
      <c r="D4880" t="s">
        <v>112</v>
      </c>
      <c r="G4880" t="s">
        <v>35</v>
      </c>
      <c r="H4880">
        <v>1</v>
      </c>
      <c r="I4880" s="1">
        <v>42614</v>
      </c>
      <c r="J4880" s="1">
        <v>43344</v>
      </c>
      <c r="K4880" t="s">
        <v>1341</v>
      </c>
      <c r="L4880" t="s">
        <v>1342</v>
      </c>
      <c r="M4880" t="s">
        <v>1270</v>
      </c>
      <c r="N4880">
        <v>24</v>
      </c>
      <c r="O4880" s="1">
        <v>43344</v>
      </c>
      <c r="P4880" t="s">
        <v>41</v>
      </c>
      <c r="Q4880" t="s">
        <v>75</v>
      </c>
      <c r="R4880" t="str">
        <f>"7191000"</f>
        <v>7191000</v>
      </c>
      <c r="S4880" t="s">
        <v>1347</v>
      </c>
      <c r="T4880" t="s">
        <v>1341</v>
      </c>
      <c r="U4880" t="s">
        <v>1342</v>
      </c>
      <c r="V4880" t="s">
        <v>1270</v>
      </c>
      <c r="W4880" t="s">
        <v>51</v>
      </c>
      <c r="X4880" t="s">
        <v>45</v>
      </c>
      <c r="Y4880" s="1">
        <v>29629</v>
      </c>
      <c r="Z4880">
        <v>1</v>
      </c>
      <c r="AA4880" t="s">
        <v>1342</v>
      </c>
      <c r="AB4880" s="40" t="s">
        <v>1799</v>
      </c>
    </row>
    <row r="4881" spans="1:28" x14ac:dyDescent="0.25">
      <c r="A4881">
        <v>99914880</v>
      </c>
      <c r="B4881" t="s">
        <v>32</v>
      </c>
      <c r="C4881" t="s">
        <v>46</v>
      </c>
      <c r="D4881" t="s">
        <v>47</v>
      </c>
      <c r="G4881" t="s">
        <v>35</v>
      </c>
      <c r="H4881">
        <v>1</v>
      </c>
      <c r="I4881">
        <v>20392</v>
      </c>
      <c r="J4881" s="1">
        <v>43344</v>
      </c>
      <c r="K4881" t="s">
        <v>354</v>
      </c>
      <c r="L4881" t="s">
        <v>355</v>
      </c>
      <c r="M4881" t="s">
        <v>131</v>
      </c>
      <c r="N4881">
        <v>24</v>
      </c>
      <c r="O4881" s="1">
        <v>43344</v>
      </c>
      <c r="P4881" t="s">
        <v>41</v>
      </c>
      <c r="Q4881" t="s">
        <v>75</v>
      </c>
      <c r="R4881" t="str">
        <f>"7054042"</f>
        <v>7054042</v>
      </c>
      <c r="S4881" t="s">
        <v>776</v>
      </c>
      <c r="T4881" t="s">
        <v>354</v>
      </c>
      <c r="U4881" t="s">
        <v>355</v>
      </c>
      <c r="V4881" t="s">
        <v>131</v>
      </c>
      <c r="W4881" t="s">
        <v>51</v>
      </c>
      <c r="X4881" t="s">
        <v>45</v>
      </c>
      <c r="Y4881" s="1">
        <v>29609</v>
      </c>
      <c r="Z4881">
        <v>1</v>
      </c>
      <c r="AA4881" t="s">
        <v>355</v>
      </c>
      <c r="AB4881" s="40" t="s">
        <v>1799</v>
      </c>
    </row>
    <row r="4882" spans="1:28" x14ac:dyDescent="0.25">
      <c r="A4882">
        <v>99914881</v>
      </c>
      <c r="B4882" t="s">
        <v>32</v>
      </c>
      <c r="C4882" t="s">
        <v>61</v>
      </c>
      <c r="D4882" t="s">
        <v>62</v>
      </c>
      <c r="G4882" t="s">
        <v>35</v>
      </c>
      <c r="H4882">
        <v>1</v>
      </c>
      <c r="I4882" t="s">
        <v>497</v>
      </c>
      <c r="J4882" s="1">
        <v>42331</v>
      </c>
      <c r="K4882" t="s">
        <v>354</v>
      </c>
      <c r="L4882" t="s">
        <v>355</v>
      </c>
      <c r="M4882" t="s">
        <v>131</v>
      </c>
      <c r="N4882">
        <v>24</v>
      </c>
      <c r="O4882" s="1">
        <v>42331</v>
      </c>
      <c r="P4882" t="s">
        <v>41</v>
      </c>
      <c r="Q4882" t="s">
        <v>75</v>
      </c>
      <c r="R4882" t="str">
        <f>"7054020"</f>
        <v>7054020</v>
      </c>
      <c r="S4882" t="s">
        <v>765</v>
      </c>
      <c r="T4882" t="s">
        <v>354</v>
      </c>
      <c r="U4882" t="s">
        <v>355</v>
      </c>
      <c r="V4882" t="s">
        <v>131</v>
      </c>
      <c r="W4882" t="s">
        <v>51</v>
      </c>
      <c r="X4882" t="s">
        <v>45</v>
      </c>
      <c r="Y4882" s="1">
        <v>29587</v>
      </c>
      <c r="Z4882">
        <v>1</v>
      </c>
      <c r="AA4882" t="s">
        <v>355</v>
      </c>
      <c r="AB4882" s="40" t="s">
        <v>1799</v>
      </c>
    </row>
    <row r="4883" spans="1:28" x14ac:dyDescent="0.25">
      <c r="A4883">
        <v>99914882</v>
      </c>
      <c r="B4883" t="s">
        <v>32</v>
      </c>
      <c r="C4883" t="s">
        <v>64</v>
      </c>
      <c r="D4883" t="s">
        <v>65</v>
      </c>
      <c r="G4883" t="s">
        <v>35</v>
      </c>
      <c r="H4883">
        <v>1</v>
      </c>
      <c r="I4883">
        <v>10934</v>
      </c>
      <c r="J4883" s="1">
        <v>43344</v>
      </c>
      <c r="K4883" t="s">
        <v>354</v>
      </c>
      <c r="L4883" t="s">
        <v>355</v>
      </c>
      <c r="M4883" t="s">
        <v>131</v>
      </c>
      <c r="N4883">
        <v>24</v>
      </c>
      <c r="O4883" s="1">
        <v>43344</v>
      </c>
      <c r="P4883" t="s">
        <v>41</v>
      </c>
      <c r="Q4883" t="s">
        <v>75</v>
      </c>
      <c r="R4883" t="str">
        <f>"7054032"</f>
        <v>7054032</v>
      </c>
      <c r="S4883" t="s">
        <v>767</v>
      </c>
      <c r="T4883" t="s">
        <v>354</v>
      </c>
      <c r="U4883" t="s">
        <v>355</v>
      </c>
      <c r="V4883" t="s">
        <v>131</v>
      </c>
      <c r="W4883" t="s">
        <v>51</v>
      </c>
      <c r="X4883" t="s">
        <v>45</v>
      </c>
      <c r="Y4883" s="1">
        <v>29587</v>
      </c>
      <c r="Z4883">
        <v>1</v>
      </c>
      <c r="AA4883" t="s">
        <v>355</v>
      </c>
      <c r="AB4883" s="40" t="s">
        <v>1799</v>
      </c>
    </row>
    <row r="4884" spans="1:28" x14ac:dyDescent="0.25">
      <c r="A4884">
        <v>99914883</v>
      </c>
      <c r="B4884" t="s">
        <v>32</v>
      </c>
      <c r="C4884" t="s">
        <v>90</v>
      </c>
      <c r="D4884" t="s">
        <v>91</v>
      </c>
      <c r="G4884" t="s">
        <v>35</v>
      </c>
      <c r="H4884">
        <v>1</v>
      </c>
      <c r="I4884" t="s">
        <v>893</v>
      </c>
      <c r="J4884" s="1">
        <v>43390</v>
      </c>
      <c r="K4884" t="s">
        <v>877</v>
      </c>
      <c r="L4884" t="s">
        <v>878</v>
      </c>
      <c r="M4884" t="s">
        <v>131</v>
      </c>
      <c r="N4884">
        <v>24</v>
      </c>
      <c r="O4884" s="1">
        <v>43390</v>
      </c>
      <c r="P4884" t="s">
        <v>41</v>
      </c>
      <c r="Q4884" t="s">
        <v>75</v>
      </c>
      <c r="R4884" t="str">
        <f>"7541020"</f>
        <v>7541020</v>
      </c>
      <c r="S4884" t="s">
        <v>882</v>
      </c>
      <c r="T4884" t="s">
        <v>877</v>
      </c>
      <c r="U4884" t="s">
        <v>878</v>
      </c>
      <c r="V4884" t="s">
        <v>131</v>
      </c>
      <c r="W4884" t="s">
        <v>44</v>
      </c>
      <c r="X4884" t="s">
        <v>45</v>
      </c>
      <c r="Y4884" s="1">
        <v>29587</v>
      </c>
      <c r="Z4884">
        <v>1</v>
      </c>
      <c r="AA4884" t="s">
        <v>878</v>
      </c>
      <c r="AB4884" s="40" t="s">
        <v>1799</v>
      </c>
    </row>
    <row r="4885" spans="1:28" x14ac:dyDescent="0.25">
      <c r="A4885">
        <v>99914884</v>
      </c>
      <c r="B4885" t="s">
        <v>32</v>
      </c>
      <c r="G4885" t="s">
        <v>35</v>
      </c>
      <c r="H4885">
        <v>1</v>
      </c>
      <c r="I4885" t="s">
        <v>1004</v>
      </c>
      <c r="J4885" s="1">
        <v>43344</v>
      </c>
      <c r="K4885" t="s">
        <v>963</v>
      </c>
      <c r="L4885" t="s">
        <v>964</v>
      </c>
      <c r="M4885" t="s">
        <v>938</v>
      </c>
      <c r="N4885">
        <v>24</v>
      </c>
      <c r="O4885" s="1">
        <v>43344</v>
      </c>
      <c r="R4885" t="str">
        <f>""</f>
        <v/>
      </c>
      <c r="U4885" t="s">
        <v>964</v>
      </c>
      <c r="V4885" t="s">
        <v>938</v>
      </c>
      <c r="W4885" t="s">
        <v>51</v>
      </c>
      <c r="X4885" t="s">
        <v>45</v>
      </c>
      <c r="Y4885" s="1">
        <v>29587</v>
      </c>
      <c r="Z4885">
        <v>1</v>
      </c>
      <c r="AA4885" t="s">
        <v>964</v>
      </c>
      <c r="AB4885" s="40" t="s">
        <v>1799</v>
      </c>
    </row>
    <row r="4886" spans="1:28" x14ac:dyDescent="0.25">
      <c r="A4886">
        <v>99914885</v>
      </c>
      <c r="B4886" t="s">
        <v>32</v>
      </c>
      <c r="C4886" t="s">
        <v>64</v>
      </c>
      <c r="D4886" t="s">
        <v>65</v>
      </c>
      <c r="G4886" t="s">
        <v>35</v>
      </c>
      <c r="H4886">
        <v>1</v>
      </c>
      <c r="I4886">
        <v>5009</v>
      </c>
      <c r="J4886" s="1">
        <v>43344</v>
      </c>
      <c r="K4886" t="s">
        <v>1245</v>
      </c>
      <c r="L4886" t="s">
        <v>1246</v>
      </c>
      <c r="M4886" t="s">
        <v>1130</v>
      </c>
      <c r="N4886">
        <v>24</v>
      </c>
      <c r="O4886" s="1">
        <v>43344</v>
      </c>
      <c r="P4886" t="s">
        <v>41</v>
      </c>
      <c r="Q4886" t="s">
        <v>75</v>
      </c>
      <c r="R4886" t="str">
        <f>"7451000"</f>
        <v>7451000</v>
      </c>
      <c r="S4886" t="s">
        <v>1250</v>
      </c>
      <c r="T4886" t="s">
        <v>1245</v>
      </c>
      <c r="U4886" t="s">
        <v>1246</v>
      </c>
      <c r="V4886" t="s">
        <v>1130</v>
      </c>
      <c r="W4886" t="s">
        <v>51</v>
      </c>
      <c r="X4886" t="s">
        <v>45</v>
      </c>
      <c r="Y4886" s="1">
        <v>29587</v>
      </c>
      <c r="Z4886">
        <v>1</v>
      </c>
      <c r="AA4886" t="s">
        <v>1246</v>
      </c>
      <c r="AB4886" s="40" t="s">
        <v>1799</v>
      </c>
    </row>
    <row r="4887" spans="1:28" x14ac:dyDescent="0.25">
      <c r="A4887">
        <v>99914886</v>
      </c>
      <c r="B4887" t="s">
        <v>32</v>
      </c>
      <c r="C4887" t="s">
        <v>90</v>
      </c>
      <c r="D4887" t="s">
        <v>91</v>
      </c>
      <c r="G4887" t="s">
        <v>35</v>
      </c>
      <c r="H4887">
        <v>1</v>
      </c>
      <c r="I4887" s="1">
        <v>42614</v>
      </c>
      <c r="J4887" s="1">
        <v>43344</v>
      </c>
      <c r="K4887" t="s">
        <v>1341</v>
      </c>
      <c r="L4887" t="s">
        <v>1342</v>
      </c>
      <c r="M4887" t="s">
        <v>1270</v>
      </c>
      <c r="N4887">
        <v>24</v>
      </c>
      <c r="O4887" s="1">
        <v>43344</v>
      </c>
      <c r="P4887" t="s">
        <v>41</v>
      </c>
      <c r="Q4887" t="s">
        <v>75</v>
      </c>
      <c r="R4887" t="str">
        <f>"7191002"</f>
        <v>7191002</v>
      </c>
      <c r="S4887" t="s">
        <v>1365</v>
      </c>
      <c r="T4887" t="s">
        <v>1341</v>
      </c>
      <c r="U4887" t="s">
        <v>1342</v>
      </c>
      <c r="V4887" t="s">
        <v>1270</v>
      </c>
      <c r="W4887" t="s">
        <v>51</v>
      </c>
      <c r="X4887" t="s">
        <v>45</v>
      </c>
      <c r="Y4887" s="1">
        <v>29579</v>
      </c>
      <c r="Z4887">
        <v>1</v>
      </c>
      <c r="AA4887" t="s">
        <v>1342</v>
      </c>
      <c r="AB4887" s="40" t="s">
        <v>1799</v>
      </c>
    </row>
    <row r="4888" spans="1:28" x14ac:dyDescent="0.25">
      <c r="A4888">
        <v>99914887</v>
      </c>
      <c r="B4888" t="s">
        <v>56</v>
      </c>
      <c r="C4888" t="s">
        <v>111</v>
      </c>
      <c r="D4888" t="s">
        <v>112</v>
      </c>
      <c r="G4888" t="s">
        <v>35</v>
      </c>
      <c r="H4888">
        <v>1</v>
      </c>
      <c r="K4888" t="s">
        <v>431</v>
      </c>
      <c r="L4888" t="s">
        <v>196</v>
      </c>
      <c r="M4888" t="s">
        <v>131</v>
      </c>
      <c r="N4888">
        <v>24</v>
      </c>
      <c r="P4888" t="s">
        <v>41</v>
      </c>
      <c r="Q4888" t="s">
        <v>75</v>
      </c>
      <c r="R4888" t="str">
        <f>"7521060"</f>
        <v>7521060</v>
      </c>
      <c r="S4888" t="s">
        <v>501</v>
      </c>
      <c r="T4888" t="s">
        <v>431</v>
      </c>
      <c r="U4888" t="s">
        <v>196</v>
      </c>
      <c r="V4888" t="s">
        <v>131</v>
      </c>
      <c r="W4888" t="s">
        <v>44</v>
      </c>
      <c r="X4888" t="s">
        <v>45</v>
      </c>
      <c r="Y4888" s="1">
        <v>29569</v>
      </c>
      <c r="Z4888">
        <v>1</v>
      </c>
      <c r="AA4888" t="s">
        <v>196</v>
      </c>
      <c r="AB4888" s="40" t="s">
        <v>1799</v>
      </c>
    </row>
    <row r="4889" spans="1:28" x14ac:dyDescent="0.25">
      <c r="A4889">
        <v>99914888</v>
      </c>
      <c r="B4889" t="s">
        <v>32</v>
      </c>
      <c r="C4889" t="s">
        <v>143</v>
      </c>
      <c r="D4889" t="s">
        <v>144</v>
      </c>
      <c r="G4889" t="s">
        <v>48</v>
      </c>
      <c r="H4889">
        <v>1</v>
      </c>
      <c r="K4889" t="s">
        <v>354</v>
      </c>
      <c r="L4889" t="s">
        <v>355</v>
      </c>
      <c r="M4889" t="s">
        <v>131</v>
      </c>
      <c r="N4889">
        <v>24</v>
      </c>
      <c r="P4889" t="s">
        <v>41</v>
      </c>
      <c r="Q4889" t="s">
        <v>75</v>
      </c>
      <c r="R4889" t="str">
        <f>"7054022"</f>
        <v>7054022</v>
      </c>
      <c r="S4889" t="s">
        <v>770</v>
      </c>
      <c r="T4889" t="s">
        <v>354</v>
      </c>
      <c r="U4889" t="s">
        <v>355</v>
      </c>
      <c r="V4889" t="s">
        <v>131</v>
      </c>
      <c r="W4889" t="s">
        <v>51</v>
      </c>
      <c r="X4889" t="s">
        <v>45</v>
      </c>
      <c r="Y4889" s="1">
        <v>29551</v>
      </c>
      <c r="Z4889">
        <v>1</v>
      </c>
      <c r="AA4889" t="s">
        <v>355</v>
      </c>
      <c r="AB4889" s="40" t="s">
        <v>1799</v>
      </c>
    </row>
    <row r="4890" spans="1:28" x14ac:dyDescent="0.25">
      <c r="A4890">
        <v>99914889</v>
      </c>
      <c r="B4890" t="s">
        <v>32</v>
      </c>
      <c r="C4890" t="s">
        <v>111</v>
      </c>
      <c r="D4890" t="s">
        <v>112</v>
      </c>
      <c r="G4890" t="s">
        <v>35</v>
      </c>
      <c r="H4890">
        <v>1</v>
      </c>
      <c r="I4890" s="1">
        <v>37909</v>
      </c>
      <c r="J4890" s="1">
        <v>43344</v>
      </c>
      <c r="K4890" t="s">
        <v>1341</v>
      </c>
      <c r="L4890" t="s">
        <v>1342</v>
      </c>
      <c r="M4890" t="s">
        <v>1270</v>
      </c>
      <c r="N4890">
        <v>24</v>
      </c>
      <c r="O4890" s="1">
        <v>43344</v>
      </c>
      <c r="P4890" t="s">
        <v>41</v>
      </c>
      <c r="Q4890" t="s">
        <v>75</v>
      </c>
      <c r="R4890" t="str">
        <f>"7191004"</f>
        <v>7191004</v>
      </c>
      <c r="S4890" t="s">
        <v>1344</v>
      </c>
      <c r="T4890" t="s">
        <v>1341</v>
      </c>
      <c r="U4890" t="s">
        <v>1342</v>
      </c>
      <c r="V4890" t="s">
        <v>1270</v>
      </c>
      <c r="W4890" t="s">
        <v>51</v>
      </c>
      <c r="X4890" t="s">
        <v>45</v>
      </c>
      <c r="Y4890" s="1">
        <v>29506</v>
      </c>
      <c r="Z4890">
        <v>1</v>
      </c>
      <c r="AA4890" t="s">
        <v>1342</v>
      </c>
      <c r="AB4890" s="40" t="s">
        <v>1799</v>
      </c>
    </row>
    <row r="4891" spans="1:28" x14ac:dyDescent="0.25">
      <c r="A4891">
        <v>99914890</v>
      </c>
      <c r="B4891" t="s">
        <v>56</v>
      </c>
      <c r="C4891" t="s">
        <v>111</v>
      </c>
      <c r="D4891" t="s">
        <v>112</v>
      </c>
      <c r="G4891" t="s">
        <v>35</v>
      </c>
      <c r="H4891">
        <v>1</v>
      </c>
      <c r="I4891">
        <v>19056</v>
      </c>
      <c r="J4891" s="1">
        <v>43374</v>
      </c>
      <c r="K4891" t="s">
        <v>877</v>
      </c>
      <c r="L4891" t="s">
        <v>878</v>
      </c>
      <c r="M4891" t="s">
        <v>131</v>
      </c>
      <c r="N4891">
        <v>24</v>
      </c>
      <c r="O4891" s="1">
        <v>43374</v>
      </c>
      <c r="P4891" t="s">
        <v>41</v>
      </c>
      <c r="Q4891" t="s">
        <v>75</v>
      </c>
      <c r="R4891" t="str">
        <f>"7541008"</f>
        <v>7541008</v>
      </c>
      <c r="S4891" t="s">
        <v>879</v>
      </c>
      <c r="T4891" t="s">
        <v>877</v>
      </c>
      <c r="U4891" t="s">
        <v>878</v>
      </c>
      <c r="V4891" t="s">
        <v>131</v>
      </c>
      <c r="W4891" t="s">
        <v>44</v>
      </c>
      <c r="X4891" t="s">
        <v>45</v>
      </c>
      <c r="Y4891" s="1">
        <v>29502</v>
      </c>
      <c r="Z4891">
        <v>1</v>
      </c>
      <c r="AA4891" t="s">
        <v>878</v>
      </c>
      <c r="AB4891" s="40" t="s">
        <v>1799</v>
      </c>
    </row>
    <row r="4892" spans="1:28" x14ac:dyDescent="0.25">
      <c r="A4892">
        <v>99914891</v>
      </c>
      <c r="B4892" t="s">
        <v>32</v>
      </c>
      <c r="C4892" t="s">
        <v>64</v>
      </c>
      <c r="D4892" t="s">
        <v>65</v>
      </c>
      <c r="G4892" t="s">
        <v>48</v>
      </c>
      <c r="H4892">
        <v>7</v>
      </c>
      <c r="I4892" t="s">
        <v>449</v>
      </c>
      <c r="J4892" s="1">
        <v>40787</v>
      </c>
      <c r="K4892" t="s">
        <v>431</v>
      </c>
      <c r="L4892" t="s">
        <v>196</v>
      </c>
      <c r="M4892" t="s">
        <v>131</v>
      </c>
      <c r="N4892">
        <v>24</v>
      </c>
      <c r="O4892" s="1">
        <v>40787</v>
      </c>
      <c r="P4892" t="s">
        <v>41</v>
      </c>
      <c r="Q4892" t="s">
        <v>75</v>
      </c>
      <c r="R4892" t="str">
        <f>"7521012"</f>
        <v>7521012</v>
      </c>
      <c r="S4892" t="s">
        <v>432</v>
      </c>
      <c r="T4892" t="s">
        <v>431</v>
      </c>
      <c r="U4892" t="s">
        <v>196</v>
      </c>
      <c r="V4892" t="s">
        <v>131</v>
      </c>
      <c r="W4892" t="s">
        <v>165</v>
      </c>
      <c r="X4892" t="s">
        <v>45</v>
      </c>
      <c r="Y4892" s="1">
        <v>29477</v>
      </c>
      <c r="Z4892">
        <v>1</v>
      </c>
      <c r="AA4892" t="s">
        <v>196</v>
      </c>
      <c r="AB4892" s="40" t="s">
        <v>1799</v>
      </c>
    </row>
    <row r="4893" spans="1:28" x14ac:dyDescent="0.25">
      <c r="A4893">
        <v>99914892</v>
      </c>
      <c r="B4893" t="s">
        <v>32</v>
      </c>
      <c r="C4893" t="s">
        <v>52</v>
      </c>
      <c r="D4893" t="s">
        <v>53</v>
      </c>
      <c r="G4893" t="s">
        <v>35</v>
      </c>
      <c r="H4893">
        <v>1</v>
      </c>
      <c r="K4893" t="s">
        <v>1502</v>
      </c>
      <c r="L4893" t="s">
        <v>1503</v>
      </c>
      <c r="M4893" t="s">
        <v>670</v>
      </c>
      <c r="N4893">
        <v>24</v>
      </c>
      <c r="P4893" t="s">
        <v>41</v>
      </c>
      <c r="Q4893" t="s">
        <v>75</v>
      </c>
      <c r="R4893" t="str">
        <f>"7171000"</f>
        <v>7171000</v>
      </c>
      <c r="S4893" t="s">
        <v>1506</v>
      </c>
      <c r="T4893" t="s">
        <v>1502</v>
      </c>
      <c r="U4893" t="s">
        <v>1503</v>
      </c>
      <c r="V4893" t="s">
        <v>670</v>
      </c>
      <c r="W4893" t="s">
        <v>51</v>
      </c>
      <c r="X4893" t="s">
        <v>45</v>
      </c>
      <c r="Y4893" s="1">
        <v>29471</v>
      </c>
      <c r="Z4893">
        <v>1</v>
      </c>
      <c r="AA4893" t="s">
        <v>1503</v>
      </c>
      <c r="AB4893" s="40" t="s">
        <v>1799</v>
      </c>
    </row>
    <row r="4894" spans="1:28" x14ac:dyDescent="0.25">
      <c r="A4894">
        <v>99914893</v>
      </c>
      <c r="B4894" t="s">
        <v>32</v>
      </c>
      <c r="C4894" t="s">
        <v>64</v>
      </c>
      <c r="D4894" t="s">
        <v>65</v>
      </c>
      <c r="G4894" t="s">
        <v>35</v>
      </c>
      <c r="H4894">
        <v>1</v>
      </c>
      <c r="I4894" s="1">
        <v>39728</v>
      </c>
      <c r="J4894" s="1">
        <v>43344</v>
      </c>
      <c r="K4894" t="s">
        <v>1341</v>
      </c>
      <c r="L4894" t="s">
        <v>1342</v>
      </c>
      <c r="M4894" t="s">
        <v>1270</v>
      </c>
      <c r="N4894">
        <v>24</v>
      </c>
      <c r="O4894" s="1">
        <v>43344</v>
      </c>
      <c r="P4894" t="s">
        <v>41</v>
      </c>
      <c r="Q4894" t="s">
        <v>75</v>
      </c>
      <c r="R4894" t="str">
        <f>"7191004"</f>
        <v>7191004</v>
      </c>
      <c r="S4894" t="s">
        <v>1344</v>
      </c>
      <c r="T4894" t="s">
        <v>1341</v>
      </c>
      <c r="U4894" t="s">
        <v>1342</v>
      </c>
      <c r="V4894" t="s">
        <v>1270</v>
      </c>
      <c r="W4894" t="s">
        <v>51</v>
      </c>
      <c r="X4894" t="s">
        <v>45</v>
      </c>
      <c r="Y4894" s="1">
        <v>29449</v>
      </c>
      <c r="Z4894">
        <v>1</v>
      </c>
      <c r="AA4894" t="s">
        <v>1342</v>
      </c>
      <c r="AB4894" s="40" t="s">
        <v>1799</v>
      </c>
    </row>
    <row r="4895" spans="1:28" x14ac:dyDescent="0.25">
      <c r="A4895">
        <v>99914894</v>
      </c>
      <c r="B4895" t="s">
        <v>32</v>
      </c>
      <c r="C4895" t="s">
        <v>136</v>
      </c>
      <c r="D4895" t="s">
        <v>137</v>
      </c>
      <c r="G4895" t="s">
        <v>35</v>
      </c>
      <c r="H4895">
        <v>4</v>
      </c>
      <c r="K4895" t="s">
        <v>268</v>
      </c>
      <c r="L4895" t="s">
        <v>269</v>
      </c>
      <c r="M4895" t="s">
        <v>131</v>
      </c>
      <c r="N4895">
        <v>24</v>
      </c>
      <c r="P4895" t="s">
        <v>41</v>
      </c>
      <c r="Q4895" t="s">
        <v>75</v>
      </c>
      <c r="R4895" t="str">
        <f>"7052004"</f>
        <v>7052004</v>
      </c>
      <c r="S4895" t="s">
        <v>584</v>
      </c>
      <c r="T4895" t="s">
        <v>268</v>
      </c>
      <c r="U4895" t="s">
        <v>269</v>
      </c>
      <c r="V4895" t="s">
        <v>131</v>
      </c>
      <c r="W4895" t="s">
        <v>51</v>
      </c>
      <c r="X4895" t="s">
        <v>45</v>
      </c>
      <c r="Y4895" s="1">
        <v>29446</v>
      </c>
      <c r="Z4895">
        <v>1</v>
      </c>
      <c r="AA4895" t="s">
        <v>269</v>
      </c>
      <c r="AB4895" s="40" t="s">
        <v>1799</v>
      </c>
    </row>
    <row r="4896" spans="1:28" x14ac:dyDescent="0.25">
      <c r="A4896">
        <v>99914895</v>
      </c>
      <c r="B4896" t="s">
        <v>32</v>
      </c>
      <c r="C4896" t="s">
        <v>64</v>
      </c>
      <c r="D4896" t="s">
        <v>65</v>
      </c>
      <c r="G4896" t="s">
        <v>35</v>
      </c>
      <c r="H4896">
        <v>1</v>
      </c>
      <c r="I4896" t="s">
        <v>1121</v>
      </c>
      <c r="J4896" s="1">
        <v>43344</v>
      </c>
      <c r="K4896" t="s">
        <v>1081</v>
      </c>
      <c r="L4896" t="s">
        <v>1082</v>
      </c>
      <c r="M4896" t="s">
        <v>1053</v>
      </c>
      <c r="N4896">
        <v>24</v>
      </c>
      <c r="O4896" s="1">
        <v>43344</v>
      </c>
      <c r="P4896" t="s">
        <v>41</v>
      </c>
      <c r="Q4896" t="s">
        <v>75</v>
      </c>
      <c r="R4896" t="str">
        <f>"7201008"</f>
        <v>7201008</v>
      </c>
      <c r="S4896" t="s">
        <v>1084</v>
      </c>
      <c r="T4896" t="s">
        <v>1081</v>
      </c>
      <c r="U4896" t="s">
        <v>1082</v>
      </c>
      <c r="V4896" t="s">
        <v>1053</v>
      </c>
      <c r="W4896" t="s">
        <v>51</v>
      </c>
      <c r="X4896" t="s">
        <v>45</v>
      </c>
      <c r="Y4896" s="1">
        <v>29445</v>
      </c>
      <c r="Z4896">
        <v>1</v>
      </c>
      <c r="AA4896" t="s">
        <v>1082</v>
      </c>
      <c r="AB4896" s="40" t="s">
        <v>1799</v>
      </c>
    </row>
    <row r="4897" spans="1:28" x14ac:dyDescent="0.25">
      <c r="A4897">
        <v>99914896</v>
      </c>
      <c r="B4897" t="s">
        <v>32</v>
      </c>
      <c r="C4897" t="s">
        <v>90</v>
      </c>
      <c r="D4897" t="s">
        <v>91</v>
      </c>
      <c r="G4897" t="s">
        <v>35</v>
      </c>
      <c r="H4897">
        <v>1</v>
      </c>
      <c r="I4897" t="s">
        <v>1362</v>
      </c>
      <c r="J4897" s="1">
        <v>43344</v>
      </c>
      <c r="K4897" t="s">
        <v>1341</v>
      </c>
      <c r="L4897" t="s">
        <v>1342</v>
      </c>
      <c r="M4897" t="s">
        <v>1270</v>
      </c>
      <c r="N4897">
        <v>24</v>
      </c>
      <c r="O4897" s="1">
        <v>43344</v>
      </c>
      <c r="P4897" t="s">
        <v>41</v>
      </c>
      <c r="Q4897" t="s">
        <v>95</v>
      </c>
      <c r="R4897" t="str">
        <f>"7191015"</f>
        <v>7191015</v>
      </c>
      <c r="S4897" t="s">
        <v>1368</v>
      </c>
      <c r="T4897" t="s">
        <v>1341</v>
      </c>
      <c r="U4897" t="s">
        <v>1342</v>
      </c>
      <c r="V4897" t="s">
        <v>1270</v>
      </c>
      <c r="W4897" t="s">
        <v>51</v>
      </c>
      <c r="X4897" t="s">
        <v>45</v>
      </c>
      <c r="Y4897" s="1">
        <v>29427</v>
      </c>
      <c r="Z4897">
        <v>1</v>
      </c>
      <c r="AA4897" t="s">
        <v>1342</v>
      </c>
      <c r="AB4897" s="40" t="s">
        <v>1799</v>
      </c>
    </row>
    <row r="4898" spans="1:28" x14ac:dyDescent="0.25">
      <c r="A4898">
        <v>99914897</v>
      </c>
      <c r="B4898" t="s">
        <v>32</v>
      </c>
      <c r="C4898" t="s">
        <v>111</v>
      </c>
      <c r="D4898" t="s">
        <v>112</v>
      </c>
      <c r="G4898" t="s">
        <v>35</v>
      </c>
      <c r="H4898">
        <v>1</v>
      </c>
      <c r="K4898" t="s">
        <v>195</v>
      </c>
      <c r="L4898" t="s">
        <v>196</v>
      </c>
      <c r="M4898" t="s">
        <v>131</v>
      </c>
      <c r="N4898">
        <v>24</v>
      </c>
      <c r="P4898" t="s">
        <v>41</v>
      </c>
      <c r="Q4898" t="s">
        <v>75</v>
      </c>
      <c r="R4898" t="str">
        <f>"7521000"</f>
        <v>7521000</v>
      </c>
      <c r="S4898" t="s">
        <v>450</v>
      </c>
      <c r="T4898" t="s">
        <v>195</v>
      </c>
      <c r="U4898" t="s">
        <v>196</v>
      </c>
      <c r="V4898" t="s">
        <v>131</v>
      </c>
      <c r="W4898" t="s">
        <v>51</v>
      </c>
      <c r="X4898" t="s">
        <v>45</v>
      </c>
      <c r="Y4898" s="1">
        <v>29423</v>
      </c>
      <c r="Z4898">
        <v>1</v>
      </c>
      <c r="AA4898" t="s">
        <v>196</v>
      </c>
      <c r="AB4898" s="40" t="s">
        <v>1799</v>
      </c>
    </row>
    <row r="4899" spans="1:28" x14ac:dyDescent="0.25">
      <c r="A4899">
        <v>99914898</v>
      </c>
      <c r="B4899" t="s">
        <v>32</v>
      </c>
      <c r="C4899" t="s">
        <v>79</v>
      </c>
      <c r="D4899" t="s">
        <v>80</v>
      </c>
      <c r="G4899" t="s">
        <v>48</v>
      </c>
      <c r="H4899">
        <v>1</v>
      </c>
      <c r="K4899" t="s">
        <v>354</v>
      </c>
      <c r="L4899" t="s">
        <v>355</v>
      </c>
      <c r="M4899" t="s">
        <v>131</v>
      </c>
      <c r="N4899">
        <v>24</v>
      </c>
      <c r="P4899" t="s">
        <v>41</v>
      </c>
      <c r="Q4899" t="s">
        <v>75</v>
      </c>
      <c r="R4899" t="str">
        <f>"7054022"</f>
        <v>7054022</v>
      </c>
      <c r="S4899" t="s">
        <v>770</v>
      </c>
      <c r="T4899" t="s">
        <v>354</v>
      </c>
      <c r="U4899" t="s">
        <v>355</v>
      </c>
      <c r="V4899" t="s">
        <v>131</v>
      </c>
      <c r="W4899" t="s">
        <v>51</v>
      </c>
      <c r="X4899" t="s">
        <v>45</v>
      </c>
      <c r="Y4899" s="1">
        <v>29360</v>
      </c>
      <c r="Z4899">
        <v>1</v>
      </c>
      <c r="AA4899" t="s">
        <v>355</v>
      </c>
      <c r="AB4899" s="40" t="s">
        <v>1799</v>
      </c>
    </row>
    <row r="4900" spans="1:28" x14ac:dyDescent="0.25">
      <c r="A4900">
        <v>99914899</v>
      </c>
      <c r="B4900" t="s">
        <v>32</v>
      </c>
      <c r="C4900" t="s">
        <v>111</v>
      </c>
      <c r="D4900" t="s">
        <v>112</v>
      </c>
      <c r="G4900" t="s">
        <v>35</v>
      </c>
      <c r="H4900">
        <v>1</v>
      </c>
      <c r="I4900" t="s">
        <v>1118</v>
      </c>
      <c r="J4900" s="1">
        <v>42857</v>
      </c>
      <c r="K4900" t="s">
        <v>1081</v>
      </c>
      <c r="L4900" t="s">
        <v>1082</v>
      </c>
      <c r="M4900" t="s">
        <v>1053</v>
      </c>
      <c r="N4900">
        <v>24</v>
      </c>
      <c r="O4900" s="1">
        <v>42857</v>
      </c>
      <c r="P4900" t="s">
        <v>41</v>
      </c>
      <c r="Q4900" t="s">
        <v>75</v>
      </c>
      <c r="R4900" t="str">
        <f>"7201008"</f>
        <v>7201008</v>
      </c>
      <c r="S4900" t="s">
        <v>1084</v>
      </c>
      <c r="T4900" t="s">
        <v>1081</v>
      </c>
      <c r="U4900" t="s">
        <v>1082</v>
      </c>
      <c r="V4900" t="s">
        <v>1053</v>
      </c>
      <c r="W4900" t="s">
        <v>51</v>
      </c>
      <c r="X4900" t="s">
        <v>45</v>
      </c>
      <c r="Y4900" s="1">
        <v>29342</v>
      </c>
      <c r="Z4900">
        <v>1</v>
      </c>
      <c r="AA4900" t="s">
        <v>1082</v>
      </c>
      <c r="AB4900" s="40" t="s">
        <v>1799</v>
      </c>
    </row>
    <row r="4901" spans="1:28" x14ac:dyDescent="0.25">
      <c r="A4901">
        <v>99914900</v>
      </c>
      <c r="B4901" t="s">
        <v>32</v>
      </c>
      <c r="C4901" t="s">
        <v>64</v>
      </c>
      <c r="D4901" t="s">
        <v>65</v>
      </c>
      <c r="G4901" t="s">
        <v>35</v>
      </c>
      <c r="H4901">
        <v>1</v>
      </c>
      <c r="I4901" s="1">
        <v>42688</v>
      </c>
      <c r="J4901" s="1">
        <v>43344</v>
      </c>
      <c r="K4901" t="s">
        <v>1341</v>
      </c>
      <c r="L4901" t="s">
        <v>1342</v>
      </c>
      <c r="M4901" t="s">
        <v>1270</v>
      </c>
      <c r="N4901">
        <v>24</v>
      </c>
      <c r="O4901" s="1">
        <v>43344</v>
      </c>
      <c r="P4901" t="s">
        <v>41</v>
      </c>
      <c r="Q4901" t="s">
        <v>75</v>
      </c>
      <c r="R4901" t="str">
        <f>"7191000"</f>
        <v>7191000</v>
      </c>
      <c r="S4901" t="s">
        <v>1347</v>
      </c>
      <c r="T4901" t="s">
        <v>1341</v>
      </c>
      <c r="U4901" t="s">
        <v>1342</v>
      </c>
      <c r="V4901" t="s">
        <v>1270</v>
      </c>
      <c r="W4901" t="s">
        <v>51</v>
      </c>
      <c r="X4901" t="s">
        <v>45</v>
      </c>
      <c r="Y4901" s="1">
        <v>29342</v>
      </c>
      <c r="Z4901">
        <v>1</v>
      </c>
      <c r="AA4901" t="s">
        <v>1342</v>
      </c>
      <c r="AB4901" s="40" t="s">
        <v>1799</v>
      </c>
    </row>
    <row r="4902" spans="1:28" x14ac:dyDescent="0.25">
      <c r="A4902">
        <v>99914901</v>
      </c>
      <c r="B4902" t="s">
        <v>56</v>
      </c>
      <c r="C4902" t="s">
        <v>79</v>
      </c>
      <c r="D4902" t="s">
        <v>80</v>
      </c>
      <c r="G4902" t="s">
        <v>48</v>
      </c>
      <c r="H4902">
        <v>1</v>
      </c>
      <c r="K4902" t="s">
        <v>985</v>
      </c>
      <c r="L4902" t="s">
        <v>986</v>
      </c>
      <c r="M4902" t="s">
        <v>938</v>
      </c>
      <c r="N4902">
        <v>24</v>
      </c>
      <c r="P4902" t="s">
        <v>41</v>
      </c>
      <c r="Q4902" t="s">
        <v>75</v>
      </c>
      <c r="R4902" t="str">
        <f>"7011004"</f>
        <v>7011004</v>
      </c>
      <c r="S4902" t="s">
        <v>987</v>
      </c>
      <c r="T4902" t="s">
        <v>985</v>
      </c>
      <c r="U4902" t="s">
        <v>986</v>
      </c>
      <c r="V4902" t="s">
        <v>938</v>
      </c>
      <c r="W4902" t="s">
        <v>51</v>
      </c>
      <c r="X4902" t="s">
        <v>45</v>
      </c>
      <c r="Y4902" s="1">
        <v>29335</v>
      </c>
      <c r="Z4902">
        <v>1</v>
      </c>
      <c r="AA4902" t="s">
        <v>986</v>
      </c>
      <c r="AB4902" s="40" t="s">
        <v>1799</v>
      </c>
    </row>
    <row r="4903" spans="1:28" x14ac:dyDescent="0.25">
      <c r="A4903">
        <v>99914902</v>
      </c>
      <c r="B4903" t="s">
        <v>32</v>
      </c>
      <c r="C4903" t="s">
        <v>64</v>
      </c>
      <c r="D4903" t="s">
        <v>65</v>
      </c>
      <c r="G4903" t="s">
        <v>48</v>
      </c>
      <c r="H4903">
        <v>1</v>
      </c>
      <c r="K4903" t="s">
        <v>877</v>
      </c>
      <c r="L4903" t="s">
        <v>878</v>
      </c>
      <c r="M4903" t="s">
        <v>131</v>
      </c>
      <c r="N4903">
        <v>24</v>
      </c>
      <c r="P4903" t="s">
        <v>41</v>
      </c>
      <c r="Q4903" t="s">
        <v>75</v>
      </c>
      <c r="R4903" t="str">
        <f>"7541008"</f>
        <v>7541008</v>
      </c>
      <c r="S4903" t="s">
        <v>879</v>
      </c>
      <c r="T4903" t="s">
        <v>877</v>
      </c>
      <c r="U4903" t="s">
        <v>878</v>
      </c>
      <c r="V4903" t="s">
        <v>131</v>
      </c>
      <c r="W4903" t="s">
        <v>51</v>
      </c>
      <c r="X4903" t="s">
        <v>45</v>
      </c>
      <c r="Y4903" s="1">
        <v>29309</v>
      </c>
      <c r="Z4903">
        <v>1</v>
      </c>
      <c r="AA4903" t="s">
        <v>878</v>
      </c>
      <c r="AB4903" s="40" t="s">
        <v>1799</v>
      </c>
    </row>
    <row r="4904" spans="1:28" x14ac:dyDescent="0.25">
      <c r="A4904">
        <v>99914903</v>
      </c>
      <c r="B4904" t="s">
        <v>32</v>
      </c>
      <c r="C4904" t="s">
        <v>90</v>
      </c>
      <c r="D4904" t="s">
        <v>91</v>
      </c>
      <c r="G4904" t="s">
        <v>48</v>
      </c>
      <c r="H4904">
        <v>1</v>
      </c>
      <c r="K4904" t="s">
        <v>1695</v>
      </c>
      <c r="L4904" t="s">
        <v>1696</v>
      </c>
      <c r="M4904" t="s">
        <v>1592</v>
      </c>
      <c r="N4904">
        <v>24</v>
      </c>
      <c r="P4904" t="s">
        <v>41</v>
      </c>
      <c r="Q4904" t="s">
        <v>75</v>
      </c>
      <c r="R4904" t="str">
        <f>"7361000"</f>
        <v>7361000</v>
      </c>
      <c r="S4904" t="s">
        <v>1698</v>
      </c>
      <c r="T4904" t="s">
        <v>1695</v>
      </c>
      <c r="U4904" t="s">
        <v>1696</v>
      </c>
      <c r="V4904" t="s">
        <v>1592</v>
      </c>
      <c r="W4904" t="s">
        <v>51</v>
      </c>
      <c r="X4904" t="s">
        <v>45</v>
      </c>
      <c r="Y4904" s="1">
        <v>29304</v>
      </c>
      <c r="Z4904">
        <v>1</v>
      </c>
      <c r="AA4904" t="s">
        <v>1696</v>
      </c>
      <c r="AB4904" s="40" t="s">
        <v>1799</v>
      </c>
    </row>
    <row r="4905" spans="1:28" x14ac:dyDescent="0.25">
      <c r="A4905">
        <v>99914904</v>
      </c>
      <c r="B4905" t="s">
        <v>32</v>
      </c>
      <c r="C4905" t="s">
        <v>111</v>
      </c>
      <c r="D4905" t="s">
        <v>112</v>
      </c>
      <c r="G4905" t="s">
        <v>35</v>
      </c>
      <c r="H4905">
        <v>1</v>
      </c>
      <c r="I4905">
        <v>0</v>
      </c>
      <c r="J4905" s="1">
        <v>43344</v>
      </c>
      <c r="K4905" t="s">
        <v>985</v>
      </c>
      <c r="L4905" t="s">
        <v>986</v>
      </c>
      <c r="M4905" t="s">
        <v>938</v>
      </c>
      <c r="N4905">
        <v>24</v>
      </c>
      <c r="O4905" s="1">
        <v>43344</v>
      </c>
      <c r="P4905" t="s">
        <v>41</v>
      </c>
      <c r="Q4905" t="s">
        <v>75</v>
      </c>
      <c r="R4905" t="str">
        <f>"7011004"</f>
        <v>7011004</v>
      </c>
      <c r="S4905" t="s">
        <v>987</v>
      </c>
      <c r="T4905" t="s">
        <v>985</v>
      </c>
      <c r="U4905" t="s">
        <v>986</v>
      </c>
      <c r="V4905" t="s">
        <v>938</v>
      </c>
      <c r="W4905" t="s">
        <v>44</v>
      </c>
      <c r="X4905" t="s">
        <v>45</v>
      </c>
      <c r="Y4905" s="1">
        <v>29292</v>
      </c>
      <c r="Z4905">
        <v>1</v>
      </c>
      <c r="AA4905" t="s">
        <v>986</v>
      </c>
      <c r="AB4905" s="40" t="s">
        <v>1799</v>
      </c>
    </row>
    <row r="4906" spans="1:28" x14ac:dyDescent="0.25">
      <c r="A4906">
        <v>99914905</v>
      </c>
      <c r="B4906" t="s">
        <v>32</v>
      </c>
      <c r="C4906" t="s">
        <v>111</v>
      </c>
      <c r="D4906" t="s">
        <v>112</v>
      </c>
      <c r="G4906" t="s">
        <v>35</v>
      </c>
      <c r="H4906">
        <v>10</v>
      </c>
      <c r="K4906" t="s">
        <v>268</v>
      </c>
      <c r="L4906" t="s">
        <v>269</v>
      </c>
      <c r="M4906" t="s">
        <v>131</v>
      </c>
      <c r="N4906">
        <v>24</v>
      </c>
      <c r="P4906" t="s">
        <v>41</v>
      </c>
      <c r="Q4906" t="s">
        <v>75</v>
      </c>
      <c r="R4906" t="str">
        <f>"7052004"</f>
        <v>7052004</v>
      </c>
      <c r="S4906" t="s">
        <v>584</v>
      </c>
      <c r="T4906" t="s">
        <v>268</v>
      </c>
      <c r="U4906" t="s">
        <v>269</v>
      </c>
      <c r="V4906" t="s">
        <v>131</v>
      </c>
      <c r="W4906" t="s">
        <v>51</v>
      </c>
      <c r="X4906" t="s">
        <v>45</v>
      </c>
      <c r="Y4906" s="1">
        <v>29286</v>
      </c>
      <c r="Z4906">
        <v>1</v>
      </c>
      <c r="AA4906" t="s">
        <v>269</v>
      </c>
      <c r="AB4906" s="40" t="s">
        <v>1799</v>
      </c>
    </row>
    <row r="4907" spans="1:28" x14ac:dyDescent="0.25">
      <c r="A4907">
        <v>99914906</v>
      </c>
      <c r="B4907" t="s">
        <v>56</v>
      </c>
      <c r="C4907" t="s">
        <v>90</v>
      </c>
      <c r="D4907" t="s">
        <v>91</v>
      </c>
      <c r="G4907" t="s">
        <v>48</v>
      </c>
      <c r="H4907">
        <v>1</v>
      </c>
      <c r="K4907" t="s">
        <v>1502</v>
      </c>
      <c r="L4907" t="s">
        <v>1503</v>
      </c>
      <c r="M4907" t="s">
        <v>670</v>
      </c>
      <c r="N4907">
        <v>24</v>
      </c>
      <c r="P4907" t="s">
        <v>41</v>
      </c>
      <c r="Q4907" t="s">
        <v>75</v>
      </c>
      <c r="R4907" t="str">
        <f>"7171002"</f>
        <v>7171002</v>
      </c>
      <c r="S4907" t="s">
        <v>1505</v>
      </c>
      <c r="T4907" t="s">
        <v>1502</v>
      </c>
      <c r="U4907" t="s">
        <v>1503</v>
      </c>
      <c r="V4907" t="s">
        <v>670</v>
      </c>
      <c r="W4907" t="s">
        <v>51</v>
      </c>
      <c r="X4907" t="s">
        <v>45</v>
      </c>
      <c r="Y4907" s="1">
        <v>29278</v>
      </c>
      <c r="Z4907">
        <v>1</v>
      </c>
      <c r="AA4907" t="s">
        <v>1503</v>
      </c>
      <c r="AB4907" s="40" t="s">
        <v>1799</v>
      </c>
    </row>
    <row r="4908" spans="1:28" x14ac:dyDescent="0.25">
      <c r="A4908">
        <v>99914907</v>
      </c>
      <c r="B4908" t="s">
        <v>32</v>
      </c>
      <c r="C4908" t="s">
        <v>52</v>
      </c>
      <c r="D4908" t="s">
        <v>53</v>
      </c>
      <c r="G4908" t="s">
        <v>35</v>
      </c>
      <c r="H4908">
        <v>1</v>
      </c>
      <c r="I4908" t="s">
        <v>960</v>
      </c>
      <c r="J4908" s="1">
        <v>43344</v>
      </c>
      <c r="K4908" t="s">
        <v>947</v>
      </c>
      <c r="L4908" t="s">
        <v>948</v>
      </c>
      <c r="M4908" t="s">
        <v>938</v>
      </c>
      <c r="N4908">
        <v>24</v>
      </c>
      <c r="O4908" s="1">
        <v>43344</v>
      </c>
      <c r="P4908" t="s">
        <v>41</v>
      </c>
      <c r="Q4908" t="s">
        <v>42</v>
      </c>
      <c r="R4908" t="str">
        <f>"0680039"</f>
        <v>0680039</v>
      </c>
      <c r="S4908" t="s">
        <v>949</v>
      </c>
      <c r="T4908" t="s">
        <v>947</v>
      </c>
      <c r="U4908" t="s">
        <v>948</v>
      </c>
      <c r="V4908" t="s">
        <v>938</v>
      </c>
      <c r="W4908" t="s">
        <v>51</v>
      </c>
      <c r="X4908" t="s">
        <v>45</v>
      </c>
      <c r="Y4908" s="1">
        <v>29267</v>
      </c>
      <c r="Z4908">
        <v>2</v>
      </c>
      <c r="AA4908" t="s">
        <v>948</v>
      </c>
      <c r="AB4908" s="40" t="s">
        <v>1799</v>
      </c>
    </row>
    <row r="4909" spans="1:28" x14ac:dyDescent="0.25">
      <c r="A4909">
        <v>99914908</v>
      </c>
      <c r="B4909" t="s">
        <v>56</v>
      </c>
      <c r="C4909" t="s">
        <v>111</v>
      </c>
      <c r="D4909" t="s">
        <v>112</v>
      </c>
      <c r="G4909" t="s">
        <v>88</v>
      </c>
      <c r="H4909">
        <v>4</v>
      </c>
      <c r="I4909" t="s">
        <v>514</v>
      </c>
      <c r="J4909" s="1">
        <v>41518</v>
      </c>
      <c r="K4909" t="s">
        <v>195</v>
      </c>
      <c r="L4909" t="s">
        <v>196</v>
      </c>
      <c r="M4909" t="s">
        <v>131</v>
      </c>
      <c r="N4909">
        <v>24</v>
      </c>
      <c r="O4909" s="1">
        <v>41518</v>
      </c>
      <c r="P4909" t="s">
        <v>41</v>
      </c>
      <c r="Q4909" t="s">
        <v>75</v>
      </c>
      <c r="R4909" t="str">
        <f>"7521050"</f>
        <v>7521050</v>
      </c>
      <c r="S4909" t="s">
        <v>194</v>
      </c>
      <c r="T4909" t="s">
        <v>195</v>
      </c>
      <c r="U4909" t="s">
        <v>196</v>
      </c>
      <c r="V4909" t="s">
        <v>131</v>
      </c>
      <c r="W4909" t="s">
        <v>51</v>
      </c>
      <c r="X4909" t="s">
        <v>45</v>
      </c>
      <c r="Y4909" s="1">
        <v>29224</v>
      </c>
      <c r="Z4909">
        <v>1</v>
      </c>
      <c r="AA4909" t="s">
        <v>196</v>
      </c>
      <c r="AB4909" s="40" t="s">
        <v>1799</v>
      </c>
    </row>
    <row r="4910" spans="1:28" x14ac:dyDescent="0.25">
      <c r="A4910">
        <v>99914909</v>
      </c>
      <c r="B4910" t="s">
        <v>32</v>
      </c>
      <c r="C4910" t="s">
        <v>64</v>
      </c>
      <c r="D4910" t="s">
        <v>65</v>
      </c>
      <c r="G4910" t="s">
        <v>35</v>
      </c>
      <c r="H4910">
        <v>1</v>
      </c>
      <c r="K4910" t="s">
        <v>1564</v>
      </c>
      <c r="L4910" t="s">
        <v>1565</v>
      </c>
      <c r="M4910" t="s">
        <v>1548</v>
      </c>
      <c r="N4910">
        <v>24</v>
      </c>
      <c r="P4910" t="s">
        <v>41</v>
      </c>
      <c r="Q4910" t="s">
        <v>75</v>
      </c>
      <c r="R4910" t="str">
        <f>"7101000"</f>
        <v>7101000</v>
      </c>
      <c r="S4910" t="s">
        <v>1572</v>
      </c>
      <c r="T4910" t="s">
        <v>1564</v>
      </c>
      <c r="U4910" t="s">
        <v>1565</v>
      </c>
      <c r="V4910" t="s">
        <v>1548</v>
      </c>
      <c r="W4910" t="s">
        <v>51</v>
      </c>
      <c r="X4910" t="s">
        <v>45</v>
      </c>
      <c r="Y4910" s="1">
        <v>29223</v>
      </c>
      <c r="Z4910">
        <v>1</v>
      </c>
      <c r="AA4910" t="s">
        <v>1565</v>
      </c>
      <c r="AB4910" s="40" t="s">
        <v>1799</v>
      </c>
    </row>
    <row r="4911" spans="1:28" x14ac:dyDescent="0.25">
      <c r="A4911">
        <v>99914910</v>
      </c>
      <c r="B4911" t="s">
        <v>32</v>
      </c>
      <c r="C4911" t="s">
        <v>64</v>
      </c>
      <c r="D4911" t="s">
        <v>65</v>
      </c>
      <c r="G4911" t="s">
        <v>48</v>
      </c>
      <c r="H4911">
        <v>1</v>
      </c>
      <c r="K4911" t="s">
        <v>877</v>
      </c>
      <c r="L4911" t="s">
        <v>878</v>
      </c>
      <c r="M4911" t="s">
        <v>131</v>
      </c>
      <c r="N4911">
        <v>24</v>
      </c>
      <c r="P4911" t="s">
        <v>41</v>
      </c>
      <c r="Q4911" t="s">
        <v>75</v>
      </c>
      <c r="R4911" t="str">
        <f>"7700025"</f>
        <v>7700025</v>
      </c>
      <c r="S4911" t="s">
        <v>880</v>
      </c>
      <c r="T4911" t="s">
        <v>877</v>
      </c>
      <c r="U4911" t="s">
        <v>878</v>
      </c>
      <c r="V4911" t="s">
        <v>131</v>
      </c>
      <c r="W4911" t="s">
        <v>51</v>
      </c>
      <c r="X4911" t="s">
        <v>45</v>
      </c>
      <c r="Y4911" s="1">
        <v>29222</v>
      </c>
      <c r="Z4911">
        <v>1</v>
      </c>
      <c r="AA4911" t="s">
        <v>878</v>
      </c>
      <c r="AB4911" s="40" t="s">
        <v>1799</v>
      </c>
    </row>
    <row r="4912" spans="1:28" x14ac:dyDescent="0.25">
      <c r="A4912">
        <v>99914911</v>
      </c>
      <c r="B4912" t="s">
        <v>56</v>
      </c>
      <c r="C4912" t="s">
        <v>68</v>
      </c>
      <c r="D4912" t="s">
        <v>69</v>
      </c>
      <c r="G4912" t="s">
        <v>48</v>
      </c>
      <c r="H4912">
        <v>1</v>
      </c>
      <c r="K4912" t="s">
        <v>300</v>
      </c>
      <c r="L4912" t="s">
        <v>301</v>
      </c>
      <c r="M4912" t="s">
        <v>131</v>
      </c>
      <c r="N4912">
        <v>24</v>
      </c>
      <c r="P4912" t="s">
        <v>41</v>
      </c>
      <c r="Q4912" t="s">
        <v>42</v>
      </c>
      <c r="R4912" t="str">
        <f>"0580176"</f>
        <v>0580176</v>
      </c>
      <c r="S4912" t="s">
        <v>305</v>
      </c>
      <c r="T4912" t="s">
        <v>300</v>
      </c>
      <c r="U4912" t="s">
        <v>301</v>
      </c>
      <c r="V4912" t="s">
        <v>131</v>
      </c>
      <c r="W4912" t="s">
        <v>51</v>
      </c>
      <c r="X4912" t="s">
        <v>45</v>
      </c>
      <c r="Y4912" s="1">
        <v>29221</v>
      </c>
      <c r="Z4912">
        <v>2</v>
      </c>
      <c r="AA4912" t="s">
        <v>301</v>
      </c>
      <c r="AB4912" s="40" t="s">
        <v>1799</v>
      </c>
    </row>
    <row r="4913" spans="1:28" x14ac:dyDescent="0.25">
      <c r="A4913">
        <v>99914912</v>
      </c>
      <c r="B4913" t="s">
        <v>56</v>
      </c>
      <c r="C4913" t="s">
        <v>111</v>
      </c>
      <c r="D4913" t="s">
        <v>112</v>
      </c>
      <c r="G4913" t="s">
        <v>48</v>
      </c>
      <c r="H4913">
        <v>3</v>
      </c>
      <c r="K4913" t="s">
        <v>877</v>
      </c>
      <c r="L4913" t="s">
        <v>878</v>
      </c>
      <c r="M4913" t="s">
        <v>131</v>
      </c>
      <c r="N4913">
        <v>24</v>
      </c>
      <c r="P4913" t="s">
        <v>41</v>
      </c>
      <c r="Q4913" t="s">
        <v>75</v>
      </c>
      <c r="R4913" t="str">
        <f>"7541004"</f>
        <v>7541004</v>
      </c>
      <c r="S4913" t="s">
        <v>889</v>
      </c>
      <c r="T4913" t="s">
        <v>877</v>
      </c>
      <c r="U4913" t="s">
        <v>878</v>
      </c>
      <c r="V4913" t="s">
        <v>131</v>
      </c>
      <c r="W4913" t="s">
        <v>51</v>
      </c>
      <c r="X4913" t="s">
        <v>45</v>
      </c>
      <c r="Y4913" s="1">
        <v>29221</v>
      </c>
      <c r="Z4913">
        <v>1</v>
      </c>
      <c r="AA4913" t="s">
        <v>878</v>
      </c>
      <c r="AB4913" s="40" t="s">
        <v>1799</v>
      </c>
    </row>
    <row r="4914" spans="1:28" x14ac:dyDescent="0.25">
      <c r="A4914">
        <v>99914913</v>
      </c>
      <c r="B4914" t="s">
        <v>32</v>
      </c>
      <c r="C4914" t="s">
        <v>111</v>
      </c>
      <c r="D4914" t="s">
        <v>112</v>
      </c>
      <c r="G4914" t="s">
        <v>35</v>
      </c>
      <c r="H4914">
        <v>1</v>
      </c>
      <c r="I4914" s="1">
        <v>37928</v>
      </c>
      <c r="J4914" s="1">
        <v>43344</v>
      </c>
      <c r="K4914" t="s">
        <v>1341</v>
      </c>
      <c r="L4914" t="s">
        <v>1342</v>
      </c>
      <c r="M4914" t="s">
        <v>1270</v>
      </c>
      <c r="N4914">
        <v>24</v>
      </c>
      <c r="O4914" s="1">
        <v>43344</v>
      </c>
      <c r="P4914" t="s">
        <v>41</v>
      </c>
      <c r="Q4914" t="s">
        <v>75</v>
      </c>
      <c r="R4914" t="str">
        <f>"7191004"</f>
        <v>7191004</v>
      </c>
      <c r="S4914" t="s">
        <v>1344</v>
      </c>
      <c r="T4914" t="s">
        <v>1341</v>
      </c>
      <c r="U4914" t="s">
        <v>1342</v>
      </c>
      <c r="V4914" t="s">
        <v>1270</v>
      </c>
      <c r="W4914" t="s">
        <v>51</v>
      </c>
      <c r="X4914" t="s">
        <v>45</v>
      </c>
      <c r="Y4914" s="1">
        <v>29095</v>
      </c>
      <c r="Z4914">
        <v>1</v>
      </c>
      <c r="AA4914" t="s">
        <v>1342</v>
      </c>
      <c r="AB4914" s="40" t="s">
        <v>1799</v>
      </c>
    </row>
    <row r="4915" spans="1:28" x14ac:dyDescent="0.25">
      <c r="A4915">
        <v>99914914</v>
      </c>
      <c r="B4915" t="s">
        <v>56</v>
      </c>
      <c r="C4915" t="s">
        <v>111</v>
      </c>
      <c r="D4915" t="s">
        <v>112</v>
      </c>
      <c r="G4915" t="s">
        <v>48</v>
      </c>
      <c r="H4915">
        <v>6</v>
      </c>
      <c r="K4915" t="s">
        <v>354</v>
      </c>
      <c r="L4915" t="s">
        <v>355</v>
      </c>
      <c r="M4915" t="s">
        <v>131</v>
      </c>
      <c r="N4915">
        <v>24</v>
      </c>
      <c r="P4915" t="s">
        <v>41</v>
      </c>
      <c r="Q4915" t="s">
        <v>75</v>
      </c>
      <c r="R4915" t="str">
        <f>"7054006"</f>
        <v>7054006</v>
      </c>
      <c r="S4915" t="s">
        <v>774</v>
      </c>
      <c r="T4915" t="s">
        <v>354</v>
      </c>
      <c r="U4915" t="s">
        <v>355</v>
      </c>
      <c r="V4915" t="s">
        <v>131</v>
      </c>
      <c r="W4915" t="s">
        <v>51</v>
      </c>
      <c r="X4915" t="s">
        <v>45</v>
      </c>
      <c r="Y4915" s="1">
        <v>29082</v>
      </c>
      <c r="Z4915">
        <v>1</v>
      </c>
      <c r="AA4915" t="s">
        <v>355</v>
      </c>
      <c r="AB4915" s="40" t="s">
        <v>1799</v>
      </c>
    </row>
    <row r="4916" spans="1:28" x14ac:dyDescent="0.25">
      <c r="A4916">
        <v>99914915</v>
      </c>
      <c r="B4916" t="s">
        <v>32</v>
      </c>
      <c r="C4916" t="s">
        <v>64</v>
      </c>
      <c r="D4916" t="s">
        <v>65</v>
      </c>
      <c r="G4916" t="s">
        <v>35</v>
      </c>
      <c r="H4916">
        <v>1</v>
      </c>
      <c r="I4916" s="1">
        <v>42614</v>
      </c>
      <c r="J4916" s="1">
        <v>43344</v>
      </c>
      <c r="K4916" t="s">
        <v>1341</v>
      </c>
      <c r="L4916" t="s">
        <v>1342</v>
      </c>
      <c r="M4916" t="s">
        <v>1270</v>
      </c>
      <c r="N4916">
        <v>24</v>
      </c>
      <c r="O4916" s="1">
        <v>43344</v>
      </c>
      <c r="P4916" t="s">
        <v>41</v>
      </c>
      <c r="Q4916" t="s">
        <v>75</v>
      </c>
      <c r="R4916" t="str">
        <f>"7191004"</f>
        <v>7191004</v>
      </c>
      <c r="S4916" t="s">
        <v>1344</v>
      </c>
      <c r="T4916" t="s">
        <v>1341</v>
      </c>
      <c r="U4916" t="s">
        <v>1342</v>
      </c>
      <c r="V4916" t="s">
        <v>1270</v>
      </c>
      <c r="W4916" t="s">
        <v>51</v>
      </c>
      <c r="X4916" t="s">
        <v>45</v>
      </c>
      <c r="Y4916" s="1">
        <v>29065</v>
      </c>
      <c r="Z4916">
        <v>1</v>
      </c>
      <c r="AA4916" t="s">
        <v>1342</v>
      </c>
      <c r="AB4916" s="40" t="s">
        <v>1799</v>
      </c>
    </row>
    <row r="4917" spans="1:28" x14ac:dyDescent="0.25">
      <c r="A4917">
        <v>99914916</v>
      </c>
      <c r="B4917" t="s">
        <v>56</v>
      </c>
      <c r="C4917" t="s">
        <v>79</v>
      </c>
      <c r="D4917" t="s">
        <v>80</v>
      </c>
      <c r="G4917" t="s">
        <v>48</v>
      </c>
      <c r="H4917">
        <v>1</v>
      </c>
      <c r="K4917" t="s">
        <v>1341</v>
      </c>
      <c r="L4917" t="s">
        <v>1342</v>
      </c>
      <c r="M4917" t="s">
        <v>1270</v>
      </c>
      <c r="N4917">
        <v>24</v>
      </c>
      <c r="P4917" t="s">
        <v>41</v>
      </c>
      <c r="Q4917" t="s">
        <v>75</v>
      </c>
      <c r="R4917" t="str">
        <f>"7191036"</f>
        <v>7191036</v>
      </c>
      <c r="S4917" t="s">
        <v>1348</v>
      </c>
      <c r="T4917" t="s">
        <v>1341</v>
      </c>
      <c r="U4917" t="s">
        <v>1342</v>
      </c>
      <c r="V4917" t="s">
        <v>1270</v>
      </c>
      <c r="W4917" t="s">
        <v>165</v>
      </c>
      <c r="X4917" t="s">
        <v>45</v>
      </c>
      <c r="Y4917" s="1">
        <v>29063</v>
      </c>
      <c r="Z4917">
        <v>1</v>
      </c>
      <c r="AA4917" t="s">
        <v>1342</v>
      </c>
      <c r="AB4917" s="40" t="s">
        <v>1799</v>
      </c>
    </row>
    <row r="4918" spans="1:28" x14ac:dyDescent="0.25">
      <c r="A4918">
        <v>99914917</v>
      </c>
      <c r="B4918" t="s">
        <v>32</v>
      </c>
      <c r="C4918" t="s">
        <v>82</v>
      </c>
      <c r="D4918" t="s">
        <v>83</v>
      </c>
      <c r="G4918" t="s">
        <v>35</v>
      </c>
      <c r="H4918">
        <v>1</v>
      </c>
      <c r="K4918" t="s">
        <v>300</v>
      </c>
      <c r="L4918" t="s">
        <v>301</v>
      </c>
      <c r="M4918" t="s">
        <v>131</v>
      </c>
      <c r="N4918">
        <v>24</v>
      </c>
      <c r="P4918" t="s">
        <v>41</v>
      </c>
      <c r="Q4918" t="s">
        <v>42</v>
      </c>
      <c r="R4918" t="str">
        <f>"0580457"</f>
        <v>0580457</v>
      </c>
      <c r="S4918" t="s">
        <v>310</v>
      </c>
      <c r="T4918" t="s">
        <v>300</v>
      </c>
      <c r="U4918" t="s">
        <v>301</v>
      </c>
      <c r="V4918" t="s">
        <v>131</v>
      </c>
      <c r="W4918" t="s">
        <v>51</v>
      </c>
      <c r="X4918" t="s">
        <v>45</v>
      </c>
      <c r="Y4918" s="1">
        <v>29051</v>
      </c>
      <c r="Z4918">
        <v>2</v>
      </c>
      <c r="AA4918" t="s">
        <v>301</v>
      </c>
      <c r="AB4918" s="40" t="s">
        <v>1799</v>
      </c>
    </row>
    <row r="4919" spans="1:28" x14ac:dyDescent="0.25">
      <c r="A4919">
        <v>99914918</v>
      </c>
      <c r="B4919" t="s">
        <v>32</v>
      </c>
      <c r="C4919" t="s">
        <v>90</v>
      </c>
      <c r="D4919" t="s">
        <v>91</v>
      </c>
      <c r="G4919" t="s">
        <v>35</v>
      </c>
      <c r="H4919">
        <v>1</v>
      </c>
      <c r="I4919">
        <v>14596</v>
      </c>
      <c r="J4919" s="1">
        <v>43344</v>
      </c>
      <c r="K4919" t="s">
        <v>354</v>
      </c>
      <c r="L4919" t="s">
        <v>355</v>
      </c>
      <c r="M4919" t="s">
        <v>131</v>
      </c>
      <c r="N4919">
        <v>24</v>
      </c>
      <c r="O4919" s="1">
        <v>43344</v>
      </c>
      <c r="P4919" t="s">
        <v>41</v>
      </c>
      <c r="Q4919" t="s">
        <v>75</v>
      </c>
      <c r="R4919" t="str">
        <f>"7054006"</f>
        <v>7054006</v>
      </c>
      <c r="S4919" t="s">
        <v>774</v>
      </c>
      <c r="T4919" t="s">
        <v>354</v>
      </c>
      <c r="U4919" t="s">
        <v>355</v>
      </c>
      <c r="V4919" t="s">
        <v>131</v>
      </c>
      <c r="W4919" t="s">
        <v>51</v>
      </c>
      <c r="X4919" t="s">
        <v>45</v>
      </c>
      <c r="Y4919" s="1">
        <v>29047</v>
      </c>
      <c r="Z4919">
        <v>1</v>
      </c>
      <c r="AA4919" t="s">
        <v>355</v>
      </c>
      <c r="AB4919" s="40" t="s">
        <v>1799</v>
      </c>
    </row>
    <row r="4920" spans="1:28" x14ac:dyDescent="0.25">
      <c r="A4920">
        <v>99914919</v>
      </c>
      <c r="B4920" t="s">
        <v>32</v>
      </c>
      <c r="C4920" t="s">
        <v>90</v>
      </c>
      <c r="D4920" t="s">
        <v>91</v>
      </c>
      <c r="G4920" t="s">
        <v>35</v>
      </c>
      <c r="H4920">
        <v>1</v>
      </c>
      <c r="I4920" t="s">
        <v>1349</v>
      </c>
      <c r="J4920" s="1">
        <v>43344</v>
      </c>
      <c r="K4920" t="s">
        <v>1341</v>
      </c>
      <c r="L4920" t="s">
        <v>1342</v>
      </c>
      <c r="M4920" t="s">
        <v>1270</v>
      </c>
      <c r="N4920">
        <v>24</v>
      </c>
      <c r="O4920" s="1">
        <v>43344</v>
      </c>
      <c r="P4920" t="s">
        <v>41</v>
      </c>
      <c r="Q4920" t="s">
        <v>95</v>
      </c>
      <c r="R4920" t="str">
        <f>"7191057"</f>
        <v>7191057</v>
      </c>
      <c r="S4920" t="s">
        <v>1409</v>
      </c>
      <c r="T4920" t="s">
        <v>1341</v>
      </c>
      <c r="U4920" t="s">
        <v>1342</v>
      </c>
      <c r="V4920" t="s">
        <v>1270</v>
      </c>
      <c r="W4920" t="s">
        <v>51</v>
      </c>
      <c r="X4920" t="s">
        <v>45</v>
      </c>
      <c r="Y4920" s="1">
        <v>29027</v>
      </c>
      <c r="Z4920">
        <v>1</v>
      </c>
      <c r="AA4920" t="s">
        <v>1342</v>
      </c>
      <c r="AB4920" s="40" t="s">
        <v>1799</v>
      </c>
    </row>
    <row r="4921" spans="1:28" x14ac:dyDescent="0.25">
      <c r="A4921">
        <v>99914920</v>
      </c>
      <c r="B4921" t="s">
        <v>32</v>
      </c>
      <c r="C4921" t="s">
        <v>111</v>
      </c>
      <c r="D4921" t="s">
        <v>112</v>
      </c>
      <c r="G4921" t="s">
        <v>48</v>
      </c>
      <c r="H4921">
        <v>1</v>
      </c>
      <c r="K4921" t="s">
        <v>154</v>
      </c>
      <c r="L4921" t="s">
        <v>155</v>
      </c>
      <c r="M4921" t="s">
        <v>131</v>
      </c>
      <c r="N4921">
        <v>24</v>
      </c>
      <c r="P4921" t="s">
        <v>41</v>
      </c>
      <c r="Q4921" t="s">
        <v>75</v>
      </c>
      <c r="R4921" t="str">
        <f>"7051012"</f>
        <v>7051012</v>
      </c>
      <c r="S4921" t="s">
        <v>405</v>
      </c>
      <c r="T4921" t="s">
        <v>154</v>
      </c>
      <c r="U4921" t="s">
        <v>155</v>
      </c>
      <c r="V4921" t="s">
        <v>131</v>
      </c>
      <c r="W4921" t="s">
        <v>51</v>
      </c>
      <c r="X4921" t="s">
        <v>45</v>
      </c>
      <c r="Y4921" s="1">
        <v>29004</v>
      </c>
      <c r="Z4921">
        <v>1</v>
      </c>
      <c r="AA4921" t="s">
        <v>155</v>
      </c>
      <c r="AB4921" s="40" t="s">
        <v>1799</v>
      </c>
    </row>
    <row r="4922" spans="1:28" x14ac:dyDescent="0.25">
      <c r="A4922">
        <v>99914921</v>
      </c>
      <c r="B4922" t="s">
        <v>32</v>
      </c>
      <c r="C4922" t="s">
        <v>111</v>
      </c>
      <c r="D4922" t="s">
        <v>112</v>
      </c>
      <c r="G4922" t="s">
        <v>35</v>
      </c>
      <c r="H4922">
        <v>1</v>
      </c>
      <c r="I4922" t="s">
        <v>824</v>
      </c>
      <c r="J4922" s="1">
        <v>42761</v>
      </c>
      <c r="K4922" t="s">
        <v>354</v>
      </c>
      <c r="L4922" t="s">
        <v>355</v>
      </c>
      <c r="M4922" t="s">
        <v>131</v>
      </c>
      <c r="N4922">
        <v>24</v>
      </c>
      <c r="O4922" s="1">
        <v>42761</v>
      </c>
      <c r="P4922" t="s">
        <v>41</v>
      </c>
      <c r="Q4922" t="s">
        <v>75</v>
      </c>
      <c r="R4922" t="str">
        <f>"7054004"</f>
        <v>7054004</v>
      </c>
      <c r="S4922" t="s">
        <v>798</v>
      </c>
      <c r="T4922" t="s">
        <v>354</v>
      </c>
      <c r="U4922" t="s">
        <v>355</v>
      </c>
      <c r="V4922" t="s">
        <v>131</v>
      </c>
      <c r="W4922" t="s">
        <v>44</v>
      </c>
      <c r="X4922" t="s">
        <v>45</v>
      </c>
      <c r="Y4922" s="1">
        <v>28979</v>
      </c>
      <c r="Z4922">
        <v>1</v>
      </c>
      <c r="AA4922" t="s">
        <v>355</v>
      </c>
      <c r="AB4922" s="40" t="s">
        <v>1799</v>
      </c>
    </row>
    <row r="4923" spans="1:28" x14ac:dyDescent="0.25">
      <c r="A4923">
        <v>99914922</v>
      </c>
      <c r="B4923" t="s">
        <v>32</v>
      </c>
      <c r="C4923" t="s">
        <v>90</v>
      </c>
      <c r="D4923" t="s">
        <v>91</v>
      </c>
      <c r="G4923" t="s">
        <v>48</v>
      </c>
      <c r="H4923">
        <v>5</v>
      </c>
      <c r="I4923" t="s">
        <v>483</v>
      </c>
      <c r="J4923" s="1">
        <v>42248</v>
      </c>
      <c r="K4923" t="s">
        <v>195</v>
      </c>
      <c r="L4923" t="s">
        <v>196</v>
      </c>
      <c r="M4923" t="s">
        <v>131</v>
      </c>
      <c r="N4923">
        <v>24</v>
      </c>
      <c r="O4923" s="1">
        <v>42248</v>
      </c>
      <c r="P4923" t="s">
        <v>41</v>
      </c>
      <c r="Q4923" t="s">
        <v>75</v>
      </c>
      <c r="R4923" t="str">
        <f>"7521052"</f>
        <v>7521052</v>
      </c>
      <c r="S4923" t="s">
        <v>443</v>
      </c>
      <c r="T4923" t="s">
        <v>195</v>
      </c>
      <c r="U4923" t="s">
        <v>196</v>
      </c>
      <c r="V4923" t="s">
        <v>131</v>
      </c>
      <c r="W4923" t="s">
        <v>51</v>
      </c>
      <c r="X4923" t="s">
        <v>45</v>
      </c>
      <c r="Y4923" s="1">
        <v>28973</v>
      </c>
      <c r="Z4923">
        <v>1</v>
      </c>
      <c r="AA4923" t="s">
        <v>196</v>
      </c>
      <c r="AB4923" s="40" t="s">
        <v>1799</v>
      </c>
    </row>
    <row r="4924" spans="1:28" x14ac:dyDescent="0.25">
      <c r="A4924">
        <v>99914923</v>
      </c>
      <c r="B4924" t="s">
        <v>32</v>
      </c>
      <c r="C4924" t="s">
        <v>139</v>
      </c>
      <c r="D4924" t="s">
        <v>140</v>
      </c>
      <c r="G4924" t="s">
        <v>48</v>
      </c>
      <c r="H4924">
        <v>1</v>
      </c>
      <c r="K4924" t="s">
        <v>354</v>
      </c>
      <c r="L4924" t="s">
        <v>355</v>
      </c>
      <c r="M4924" t="s">
        <v>131</v>
      </c>
      <c r="N4924">
        <v>24</v>
      </c>
      <c r="P4924" t="s">
        <v>41</v>
      </c>
      <c r="Q4924" t="s">
        <v>75</v>
      </c>
      <c r="R4924" t="str">
        <f>"7054022"</f>
        <v>7054022</v>
      </c>
      <c r="S4924" t="s">
        <v>770</v>
      </c>
      <c r="T4924" t="s">
        <v>354</v>
      </c>
      <c r="U4924" t="s">
        <v>355</v>
      </c>
      <c r="V4924" t="s">
        <v>131</v>
      </c>
      <c r="W4924" t="s">
        <v>51</v>
      </c>
      <c r="X4924" t="s">
        <v>45</v>
      </c>
      <c r="Y4924" s="1">
        <v>28895</v>
      </c>
      <c r="Z4924">
        <v>1</v>
      </c>
      <c r="AA4924" t="s">
        <v>355</v>
      </c>
      <c r="AB4924" s="40" t="s">
        <v>1799</v>
      </c>
    </row>
    <row r="4925" spans="1:28" x14ac:dyDescent="0.25">
      <c r="A4925">
        <v>99914924</v>
      </c>
      <c r="B4925" t="s">
        <v>32</v>
      </c>
      <c r="C4925" t="s">
        <v>139</v>
      </c>
      <c r="D4925" t="s">
        <v>140</v>
      </c>
      <c r="G4925" t="s">
        <v>35</v>
      </c>
      <c r="H4925">
        <v>1</v>
      </c>
      <c r="I4925" s="1">
        <v>42625</v>
      </c>
      <c r="J4925" s="1">
        <v>43344</v>
      </c>
      <c r="K4925" t="s">
        <v>1341</v>
      </c>
      <c r="L4925" t="s">
        <v>1342</v>
      </c>
      <c r="M4925" t="s">
        <v>1270</v>
      </c>
      <c r="N4925">
        <v>24</v>
      </c>
      <c r="O4925" s="1">
        <v>43344</v>
      </c>
      <c r="P4925" t="s">
        <v>41</v>
      </c>
      <c r="Q4925" t="s">
        <v>75</v>
      </c>
      <c r="R4925" t="str">
        <f>"7191000"</f>
        <v>7191000</v>
      </c>
      <c r="S4925" t="s">
        <v>1347</v>
      </c>
      <c r="T4925" t="s">
        <v>1341</v>
      </c>
      <c r="U4925" t="s">
        <v>1342</v>
      </c>
      <c r="V4925" t="s">
        <v>1270</v>
      </c>
      <c r="W4925" t="s">
        <v>51</v>
      </c>
      <c r="X4925" t="s">
        <v>45</v>
      </c>
      <c r="Y4925" s="1">
        <v>28882</v>
      </c>
      <c r="Z4925">
        <v>1</v>
      </c>
      <c r="AA4925" t="s">
        <v>1342</v>
      </c>
      <c r="AB4925" s="40" t="s">
        <v>1799</v>
      </c>
    </row>
    <row r="4926" spans="1:28" x14ac:dyDescent="0.25">
      <c r="A4926">
        <v>99914925</v>
      </c>
      <c r="B4926" t="s">
        <v>32</v>
      </c>
      <c r="C4926" t="s">
        <v>90</v>
      </c>
      <c r="D4926" t="s">
        <v>91</v>
      </c>
      <c r="G4926" t="s">
        <v>35</v>
      </c>
      <c r="H4926">
        <v>1</v>
      </c>
      <c r="I4926" s="1">
        <v>37642</v>
      </c>
      <c r="J4926" s="1">
        <v>43344</v>
      </c>
      <c r="K4926" t="s">
        <v>1341</v>
      </c>
      <c r="L4926" t="s">
        <v>1342</v>
      </c>
      <c r="M4926" t="s">
        <v>1270</v>
      </c>
      <c r="N4926">
        <v>24</v>
      </c>
      <c r="O4926" s="1">
        <v>43344</v>
      </c>
      <c r="P4926" t="s">
        <v>41</v>
      </c>
      <c r="Q4926" t="s">
        <v>95</v>
      </c>
      <c r="R4926" t="str">
        <f>"7191121"</f>
        <v>7191121</v>
      </c>
      <c r="S4926" t="s">
        <v>1369</v>
      </c>
      <c r="T4926" t="s">
        <v>1341</v>
      </c>
      <c r="U4926" t="s">
        <v>1342</v>
      </c>
      <c r="V4926" t="s">
        <v>1270</v>
      </c>
      <c r="W4926" t="s">
        <v>51</v>
      </c>
      <c r="X4926" t="s">
        <v>45</v>
      </c>
      <c r="Y4926" s="1">
        <v>28860</v>
      </c>
      <c r="Z4926">
        <v>1</v>
      </c>
      <c r="AA4926" t="s">
        <v>1342</v>
      </c>
      <c r="AB4926" s="40" t="s">
        <v>1799</v>
      </c>
    </row>
    <row r="4927" spans="1:28" x14ac:dyDescent="0.25">
      <c r="A4927">
        <v>99914926</v>
      </c>
      <c r="B4927" t="s">
        <v>32</v>
      </c>
      <c r="C4927" t="s">
        <v>111</v>
      </c>
      <c r="D4927" t="s">
        <v>112</v>
      </c>
      <c r="G4927" t="s">
        <v>35</v>
      </c>
      <c r="H4927">
        <v>1</v>
      </c>
      <c r="I4927">
        <v>935</v>
      </c>
      <c r="J4927" s="1">
        <v>43344</v>
      </c>
      <c r="K4927" t="s">
        <v>1198</v>
      </c>
      <c r="L4927" t="s">
        <v>1199</v>
      </c>
      <c r="M4927" t="s">
        <v>1130</v>
      </c>
      <c r="N4927">
        <v>24</v>
      </c>
      <c r="O4927" s="1">
        <v>43344</v>
      </c>
      <c r="P4927" t="s">
        <v>41</v>
      </c>
      <c r="Q4927" t="s">
        <v>75</v>
      </c>
      <c r="R4927" t="str">
        <f>"7311002"</f>
        <v>7311002</v>
      </c>
      <c r="S4927" t="s">
        <v>1203</v>
      </c>
      <c r="T4927" t="s">
        <v>1198</v>
      </c>
      <c r="U4927" t="s">
        <v>1199</v>
      </c>
      <c r="V4927" t="s">
        <v>1130</v>
      </c>
      <c r="W4927" t="s">
        <v>51</v>
      </c>
      <c r="X4927" t="s">
        <v>45</v>
      </c>
      <c r="Y4927" s="1">
        <v>28856</v>
      </c>
      <c r="Z4927">
        <v>1</v>
      </c>
      <c r="AA4927" t="s">
        <v>1199</v>
      </c>
      <c r="AB4927" s="40" t="s">
        <v>1799</v>
      </c>
    </row>
    <row r="4928" spans="1:28" x14ac:dyDescent="0.25">
      <c r="A4928">
        <v>99914927</v>
      </c>
      <c r="B4928" t="s">
        <v>56</v>
      </c>
      <c r="C4928" t="s">
        <v>111</v>
      </c>
      <c r="D4928" t="s">
        <v>112</v>
      </c>
      <c r="G4928" t="s">
        <v>35</v>
      </c>
      <c r="H4928">
        <v>1</v>
      </c>
      <c r="I4928" s="1">
        <v>40787</v>
      </c>
      <c r="J4928" s="1">
        <v>43344</v>
      </c>
      <c r="K4928" t="s">
        <v>1341</v>
      </c>
      <c r="L4928" t="s">
        <v>1342</v>
      </c>
      <c r="M4928" t="s">
        <v>1270</v>
      </c>
      <c r="N4928">
        <v>24</v>
      </c>
      <c r="O4928" s="1">
        <v>43344</v>
      </c>
      <c r="P4928" t="s">
        <v>41</v>
      </c>
      <c r="Q4928" t="s">
        <v>75</v>
      </c>
      <c r="R4928" t="str">
        <f>"7191000"</f>
        <v>7191000</v>
      </c>
      <c r="S4928" t="s">
        <v>1347</v>
      </c>
      <c r="T4928" t="s">
        <v>1341</v>
      </c>
      <c r="U4928" t="s">
        <v>1342</v>
      </c>
      <c r="V4928" t="s">
        <v>1270</v>
      </c>
      <c r="W4928" t="s">
        <v>51</v>
      </c>
      <c r="X4928" t="s">
        <v>45</v>
      </c>
      <c r="Y4928" s="1">
        <v>28856</v>
      </c>
      <c r="Z4928">
        <v>1</v>
      </c>
      <c r="AA4928" t="s">
        <v>1342</v>
      </c>
      <c r="AB4928" s="40" t="s">
        <v>1799</v>
      </c>
    </row>
    <row r="4929" spans="1:28" x14ac:dyDescent="0.25">
      <c r="A4929">
        <v>99914928</v>
      </c>
      <c r="B4929" t="s">
        <v>56</v>
      </c>
      <c r="C4929" t="s">
        <v>111</v>
      </c>
      <c r="D4929" t="s">
        <v>112</v>
      </c>
      <c r="G4929" t="s">
        <v>48</v>
      </c>
      <c r="H4929">
        <v>1</v>
      </c>
      <c r="K4929" t="s">
        <v>667</v>
      </c>
      <c r="L4929" t="s">
        <v>1511</v>
      </c>
      <c r="M4929" t="s">
        <v>670</v>
      </c>
      <c r="N4929">
        <v>24</v>
      </c>
      <c r="P4929" t="s">
        <v>41</v>
      </c>
      <c r="Q4929" t="s">
        <v>75</v>
      </c>
      <c r="R4929" t="str">
        <f>"7501000"</f>
        <v>7501000</v>
      </c>
      <c r="S4929" t="s">
        <v>668</v>
      </c>
      <c r="T4929" t="s">
        <v>667</v>
      </c>
      <c r="U4929" t="s">
        <v>669</v>
      </c>
      <c r="V4929" t="s">
        <v>670</v>
      </c>
      <c r="W4929" t="s">
        <v>51</v>
      </c>
      <c r="X4929" t="s">
        <v>45</v>
      </c>
      <c r="Y4929" s="1">
        <v>28856</v>
      </c>
      <c r="Z4929">
        <v>1</v>
      </c>
      <c r="AA4929" t="s">
        <v>1511</v>
      </c>
      <c r="AB4929" s="40" t="s">
        <v>1799</v>
      </c>
    </row>
    <row r="4930" spans="1:28" x14ac:dyDescent="0.25">
      <c r="A4930">
        <v>99914929</v>
      </c>
      <c r="B4930" t="s">
        <v>56</v>
      </c>
      <c r="C4930" t="s">
        <v>111</v>
      </c>
      <c r="D4930" t="s">
        <v>112</v>
      </c>
      <c r="G4930" t="s">
        <v>35</v>
      </c>
      <c r="H4930">
        <v>1</v>
      </c>
      <c r="I4930" t="s">
        <v>662</v>
      </c>
      <c r="J4930" s="1">
        <v>43344</v>
      </c>
      <c r="K4930" t="s">
        <v>268</v>
      </c>
      <c r="L4930" t="s">
        <v>269</v>
      </c>
      <c r="M4930" t="s">
        <v>131</v>
      </c>
      <c r="N4930">
        <v>24</v>
      </c>
      <c r="O4930" s="1">
        <v>43344</v>
      </c>
      <c r="P4930" t="s">
        <v>41</v>
      </c>
      <c r="Q4930" t="s">
        <v>75</v>
      </c>
      <c r="R4930" t="str">
        <f>"7052020"</f>
        <v>7052020</v>
      </c>
      <c r="S4930" t="s">
        <v>267</v>
      </c>
      <c r="T4930" t="s">
        <v>268</v>
      </c>
      <c r="U4930" t="s">
        <v>269</v>
      </c>
      <c r="V4930" t="s">
        <v>131</v>
      </c>
      <c r="W4930" t="s">
        <v>51</v>
      </c>
      <c r="X4930" t="s">
        <v>45</v>
      </c>
      <c r="Y4930" s="1">
        <v>28854</v>
      </c>
      <c r="Z4930">
        <v>1</v>
      </c>
      <c r="AA4930" t="s">
        <v>269</v>
      </c>
      <c r="AB4930" s="40" t="s">
        <v>1799</v>
      </c>
    </row>
    <row r="4931" spans="1:28" x14ac:dyDescent="0.25">
      <c r="A4931">
        <v>99914930</v>
      </c>
      <c r="B4931" t="s">
        <v>32</v>
      </c>
      <c r="C4931" t="s">
        <v>111</v>
      </c>
      <c r="D4931" t="s">
        <v>112</v>
      </c>
      <c r="G4931" t="s">
        <v>35</v>
      </c>
      <c r="H4931">
        <v>1</v>
      </c>
      <c r="I4931">
        <v>10939</v>
      </c>
      <c r="J4931" s="1">
        <v>43344</v>
      </c>
      <c r="K4931" t="s">
        <v>354</v>
      </c>
      <c r="L4931" t="s">
        <v>355</v>
      </c>
      <c r="M4931" t="s">
        <v>131</v>
      </c>
      <c r="N4931">
        <v>24</v>
      </c>
      <c r="O4931" s="1">
        <v>43344</v>
      </c>
      <c r="P4931" t="s">
        <v>41</v>
      </c>
      <c r="Q4931" t="s">
        <v>75</v>
      </c>
      <c r="R4931" t="str">
        <f>"7054042"</f>
        <v>7054042</v>
      </c>
      <c r="S4931" t="s">
        <v>776</v>
      </c>
      <c r="T4931" t="s">
        <v>354</v>
      </c>
      <c r="U4931" t="s">
        <v>355</v>
      </c>
      <c r="V4931" t="s">
        <v>131</v>
      </c>
      <c r="W4931" t="s">
        <v>51</v>
      </c>
      <c r="X4931" t="s">
        <v>45</v>
      </c>
      <c r="Y4931" s="1">
        <v>28850</v>
      </c>
      <c r="Z4931">
        <v>1</v>
      </c>
      <c r="AA4931" t="s">
        <v>355</v>
      </c>
      <c r="AB4931" s="40" t="s">
        <v>1799</v>
      </c>
    </row>
    <row r="4932" spans="1:28" x14ac:dyDescent="0.25">
      <c r="A4932">
        <v>99914931</v>
      </c>
      <c r="B4932" t="s">
        <v>32</v>
      </c>
      <c r="C4932" t="s">
        <v>139</v>
      </c>
      <c r="D4932" t="s">
        <v>140</v>
      </c>
      <c r="G4932" t="s">
        <v>35</v>
      </c>
      <c r="H4932">
        <v>1</v>
      </c>
      <c r="I4932" s="1">
        <v>42625</v>
      </c>
      <c r="J4932" s="1">
        <v>43344</v>
      </c>
      <c r="K4932" t="s">
        <v>1341</v>
      </c>
      <c r="L4932" t="s">
        <v>1342</v>
      </c>
      <c r="M4932" t="s">
        <v>1270</v>
      </c>
      <c r="N4932">
        <v>24</v>
      </c>
      <c r="O4932" s="1">
        <v>43344</v>
      </c>
      <c r="P4932" t="s">
        <v>41</v>
      </c>
      <c r="Q4932" t="s">
        <v>75</v>
      </c>
      <c r="R4932" t="str">
        <f>"7191000"</f>
        <v>7191000</v>
      </c>
      <c r="S4932" t="s">
        <v>1347</v>
      </c>
      <c r="T4932" t="s">
        <v>1341</v>
      </c>
      <c r="U4932" t="s">
        <v>1342</v>
      </c>
      <c r="V4932" t="s">
        <v>1270</v>
      </c>
      <c r="W4932" t="s">
        <v>51</v>
      </c>
      <c r="X4932" t="s">
        <v>45</v>
      </c>
      <c r="Y4932" s="1">
        <v>28796</v>
      </c>
      <c r="Z4932">
        <v>1</v>
      </c>
      <c r="AA4932" t="s">
        <v>1342</v>
      </c>
      <c r="AB4932" s="40" t="s">
        <v>1799</v>
      </c>
    </row>
    <row r="4933" spans="1:28" x14ac:dyDescent="0.25">
      <c r="A4933">
        <v>99914932</v>
      </c>
      <c r="B4933" t="s">
        <v>56</v>
      </c>
      <c r="C4933" t="s">
        <v>79</v>
      </c>
      <c r="D4933" t="s">
        <v>80</v>
      </c>
      <c r="G4933" t="s">
        <v>35</v>
      </c>
      <c r="H4933">
        <v>1</v>
      </c>
      <c r="K4933" t="s">
        <v>154</v>
      </c>
      <c r="L4933" t="s">
        <v>155</v>
      </c>
      <c r="M4933" t="s">
        <v>131</v>
      </c>
      <c r="N4933">
        <v>24</v>
      </c>
      <c r="P4933" t="s">
        <v>41</v>
      </c>
      <c r="Q4933" t="s">
        <v>75</v>
      </c>
      <c r="R4933" t="str">
        <f>"7700026"</f>
        <v>7700026</v>
      </c>
      <c r="S4933" t="s">
        <v>397</v>
      </c>
      <c r="T4933" t="s">
        <v>154</v>
      </c>
      <c r="U4933" t="s">
        <v>155</v>
      </c>
      <c r="V4933" t="s">
        <v>131</v>
      </c>
      <c r="W4933" t="s">
        <v>51</v>
      </c>
      <c r="X4933" t="s">
        <v>45</v>
      </c>
      <c r="Y4933" s="1">
        <v>28706</v>
      </c>
      <c r="Z4933">
        <v>1</v>
      </c>
      <c r="AA4933" t="s">
        <v>155</v>
      </c>
      <c r="AB4933" s="40" t="s">
        <v>1799</v>
      </c>
    </row>
    <row r="4934" spans="1:28" x14ac:dyDescent="0.25">
      <c r="A4934">
        <v>99914933</v>
      </c>
      <c r="B4934" t="s">
        <v>32</v>
      </c>
      <c r="C4934" t="s">
        <v>111</v>
      </c>
      <c r="D4934" t="s">
        <v>112</v>
      </c>
      <c r="G4934" t="s">
        <v>35</v>
      </c>
      <c r="H4934">
        <v>1</v>
      </c>
      <c r="I4934" s="1">
        <v>37865</v>
      </c>
      <c r="J4934" s="1">
        <v>43344</v>
      </c>
      <c r="K4934" t="s">
        <v>1341</v>
      </c>
      <c r="L4934" t="s">
        <v>1342</v>
      </c>
      <c r="M4934" t="s">
        <v>1270</v>
      </c>
      <c r="N4934">
        <v>24</v>
      </c>
      <c r="O4934" s="1">
        <v>43344</v>
      </c>
      <c r="P4934" t="s">
        <v>41</v>
      </c>
      <c r="Q4934" t="s">
        <v>75</v>
      </c>
      <c r="R4934" t="str">
        <f>"7191004"</f>
        <v>7191004</v>
      </c>
      <c r="S4934" t="s">
        <v>1344</v>
      </c>
      <c r="T4934" t="s">
        <v>1341</v>
      </c>
      <c r="U4934" t="s">
        <v>1342</v>
      </c>
      <c r="V4934" t="s">
        <v>1270</v>
      </c>
      <c r="W4934" t="s">
        <v>51</v>
      </c>
      <c r="X4934" t="s">
        <v>45</v>
      </c>
      <c r="Y4934" s="1">
        <v>28702</v>
      </c>
      <c r="Z4934">
        <v>1</v>
      </c>
      <c r="AA4934" t="s">
        <v>1342</v>
      </c>
      <c r="AB4934" s="40" t="s">
        <v>1799</v>
      </c>
    </row>
    <row r="4935" spans="1:28" x14ac:dyDescent="0.25">
      <c r="A4935">
        <v>99914934</v>
      </c>
      <c r="B4935" t="s">
        <v>56</v>
      </c>
      <c r="C4935" t="s">
        <v>111</v>
      </c>
      <c r="D4935" t="s">
        <v>112</v>
      </c>
      <c r="G4935" t="s">
        <v>35</v>
      </c>
      <c r="H4935">
        <v>1</v>
      </c>
      <c r="I4935" s="1">
        <v>38596</v>
      </c>
      <c r="J4935" s="1">
        <v>43344</v>
      </c>
      <c r="K4935" t="s">
        <v>1341</v>
      </c>
      <c r="L4935" t="s">
        <v>1342</v>
      </c>
      <c r="M4935" t="s">
        <v>1270</v>
      </c>
      <c r="N4935">
        <v>24</v>
      </c>
      <c r="O4935" s="1">
        <v>43344</v>
      </c>
      <c r="P4935" t="s">
        <v>41</v>
      </c>
      <c r="Q4935" t="s">
        <v>75</v>
      </c>
      <c r="R4935" t="str">
        <f>"7191004"</f>
        <v>7191004</v>
      </c>
      <c r="S4935" t="s">
        <v>1344</v>
      </c>
      <c r="T4935" t="s">
        <v>1341</v>
      </c>
      <c r="U4935" t="s">
        <v>1342</v>
      </c>
      <c r="V4935" t="s">
        <v>1270</v>
      </c>
      <c r="W4935" t="s">
        <v>51</v>
      </c>
      <c r="X4935" t="s">
        <v>45</v>
      </c>
      <c r="Y4935" s="1">
        <v>28679</v>
      </c>
      <c r="Z4935">
        <v>1</v>
      </c>
      <c r="AA4935" t="s">
        <v>1342</v>
      </c>
      <c r="AB4935" s="40" t="s">
        <v>1799</v>
      </c>
    </row>
    <row r="4936" spans="1:28" x14ac:dyDescent="0.25">
      <c r="A4936">
        <v>99914935</v>
      </c>
      <c r="B4936" t="s">
        <v>32</v>
      </c>
      <c r="C4936" t="s">
        <v>111</v>
      </c>
      <c r="D4936" t="s">
        <v>112</v>
      </c>
      <c r="G4936" t="s">
        <v>35</v>
      </c>
      <c r="H4936">
        <v>1</v>
      </c>
      <c r="I4936" t="s">
        <v>893</v>
      </c>
      <c r="J4936" s="1">
        <v>43390</v>
      </c>
      <c r="K4936" t="s">
        <v>877</v>
      </c>
      <c r="L4936" t="s">
        <v>878</v>
      </c>
      <c r="M4936" t="s">
        <v>131</v>
      </c>
      <c r="N4936">
        <v>24</v>
      </c>
      <c r="O4936" s="1">
        <v>43390</v>
      </c>
      <c r="P4936" t="s">
        <v>41</v>
      </c>
      <c r="Q4936" t="s">
        <v>75</v>
      </c>
      <c r="R4936" t="str">
        <f>"7541020"</f>
        <v>7541020</v>
      </c>
      <c r="S4936" t="s">
        <v>882</v>
      </c>
      <c r="T4936" t="s">
        <v>877</v>
      </c>
      <c r="U4936" t="s">
        <v>878</v>
      </c>
      <c r="V4936" t="s">
        <v>131</v>
      </c>
      <c r="W4936" t="s">
        <v>44</v>
      </c>
      <c r="X4936" t="s">
        <v>45</v>
      </c>
      <c r="Y4936" s="1">
        <v>28678</v>
      </c>
      <c r="Z4936">
        <v>1</v>
      </c>
      <c r="AA4936" t="s">
        <v>878</v>
      </c>
      <c r="AB4936" s="40" t="s">
        <v>1799</v>
      </c>
    </row>
    <row r="4937" spans="1:28" x14ac:dyDescent="0.25">
      <c r="A4937">
        <v>99914936</v>
      </c>
      <c r="B4937" t="s">
        <v>56</v>
      </c>
      <c r="C4937" t="s">
        <v>79</v>
      </c>
      <c r="D4937" t="s">
        <v>80</v>
      </c>
      <c r="G4937" t="s">
        <v>35</v>
      </c>
      <c r="H4937">
        <v>1</v>
      </c>
      <c r="I4937">
        <v>13036</v>
      </c>
      <c r="J4937" s="1">
        <v>43344</v>
      </c>
      <c r="K4937" t="s">
        <v>354</v>
      </c>
      <c r="L4937" t="s">
        <v>355</v>
      </c>
      <c r="M4937" t="s">
        <v>131</v>
      </c>
      <c r="N4937">
        <v>24</v>
      </c>
      <c r="O4937" s="1">
        <v>43344</v>
      </c>
      <c r="P4937" t="s">
        <v>41</v>
      </c>
      <c r="Q4937" t="s">
        <v>75</v>
      </c>
      <c r="R4937" t="str">
        <f>"7054042"</f>
        <v>7054042</v>
      </c>
      <c r="S4937" t="s">
        <v>776</v>
      </c>
      <c r="T4937" t="s">
        <v>354</v>
      </c>
      <c r="U4937" t="s">
        <v>355</v>
      </c>
      <c r="V4937" t="s">
        <v>131</v>
      </c>
      <c r="W4937" t="s">
        <v>51</v>
      </c>
      <c r="X4937" t="s">
        <v>45</v>
      </c>
      <c r="Y4937" s="1">
        <v>28661</v>
      </c>
      <c r="Z4937">
        <v>1</v>
      </c>
      <c r="AA4937" t="s">
        <v>355</v>
      </c>
      <c r="AB4937" s="40" t="s">
        <v>1799</v>
      </c>
    </row>
    <row r="4938" spans="1:28" x14ac:dyDescent="0.25">
      <c r="A4938">
        <v>99914937</v>
      </c>
      <c r="B4938" t="s">
        <v>32</v>
      </c>
      <c r="C4938" t="s">
        <v>111</v>
      </c>
      <c r="D4938" t="s">
        <v>112</v>
      </c>
      <c r="G4938" t="s">
        <v>35</v>
      </c>
      <c r="H4938">
        <v>1</v>
      </c>
      <c r="I4938" t="s">
        <v>888</v>
      </c>
      <c r="J4938" s="1">
        <v>43390</v>
      </c>
      <c r="K4938" t="s">
        <v>877</v>
      </c>
      <c r="L4938" t="s">
        <v>878</v>
      </c>
      <c r="M4938" t="s">
        <v>131</v>
      </c>
      <c r="N4938">
        <v>24</v>
      </c>
      <c r="O4938" s="1">
        <v>43390</v>
      </c>
      <c r="P4938" t="s">
        <v>41</v>
      </c>
      <c r="Q4938" t="s">
        <v>75</v>
      </c>
      <c r="R4938" t="str">
        <f>"7541020"</f>
        <v>7541020</v>
      </c>
      <c r="S4938" t="s">
        <v>882</v>
      </c>
      <c r="T4938" t="s">
        <v>877</v>
      </c>
      <c r="U4938" t="s">
        <v>878</v>
      </c>
      <c r="V4938" t="s">
        <v>131</v>
      </c>
      <c r="W4938" t="s">
        <v>44</v>
      </c>
      <c r="X4938" t="s">
        <v>45</v>
      </c>
      <c r="Y4938" s="1">
        <v>28654</v>
      </c>
      <c r="Z4938">
        <v>1</v>
      </c>
      <c r="AA4938" t="s">
        <v>878</v>
      </c>
      <c r="AB4938" s="40" t="s">
        <v>1799</v>
      </c>
    </row>
    <row r="4939" spans="1:28" x14ac:dyDescent="0.25">
      <c r="A4939">
        <v>99914938</v>
      </c>
      <c r="B4939" t="s">
        <v>56</v>
      </c>
      <c r="C4939" t="s">
        <v>79</v>
      </c>
      <c r="D4939" t="s">
        <v>80</v>
      </c>
      <c r="G4939" t="s">
        <v>48</v>
      </c>
      <c r="H4939">
        <v>1</v>
      </c>
      <c r="K4939" t="s">
        <v>157</v>
      </c>
      <c r="L4939" t="s">
        <v>158</v>
      </c>
      <c r="M4939" t="s">
        <v>131</v>
      </c>
      <c r="N4939">
        <v>24</v>
      </c>
      <c r="P4939" t="s">
        <v>41</v>
      </c>
      <c r="Q4939" t="s">
        <v>49</v>
      </c>
      <c r="R4939" t="str">
        <f>"0560010"</f>
        <v>0560010</v>
      </c>
      <c r="S4939" t="s">
        <v>179</v>
      </c>
      <c r="T4939" t="s">
        <v>157</v>
      </c>
      <c r="U4939" t="s">
        <v>158</v>
      </c>
      <c r="V4939" t="s">
        <v>131</v>
      </c>
      <c r="W4939" t="s">
        <v>51</v>
      </c>
      <c r="X4939" t="s">
        <v>45</v>
      </c>
      <c r="Y4939" s="1">
        <v>28633</v>
      </c>
      <c r="Z4939">
        <v>2</v>
      </c>
      <c r="AA4939" t="s">
        <v>158</v>
      </c>
      <c r="AB4939" s="40" t="s">
        <v>1799</v>
      </c>
    </row>
    <row r="4940" spans="1:28" x14ac:dyDescent="0.25">
      <c r="A4940">
        <v>99914939</v>
      </c>
      <c r="B4940" t="s">
        <v>32</v>
      </c>
      <c r="C4940" t="s">
        <v>90</v>
      </c>
      <c r="D4940" t="s">
        <v>91</v>
      </c>
      <c r="G4940" t="s">
        <v>35</v>
      </c>
      <c r="H4940">
        <v>1</v>
      </c>
      <c r="I4940">
        <v>20411</v>
      </c>
      <c r="J4940" s="1">
        <v>43344</v>
      </c>
      <c r="K4940" t="s">
        <v>354</v>
      </c>
      <c r="L4940" t="s">
        <v>355</v>
      </c>
      <c r="M4940" t="s">
        <v>131</v>
      </c>
      <c r="N4940">
        <v>24</v>
      </c>
      <c r="O4940" s="1">
        <v>43344</v>
      </c>
      <c r="P4940" t="s">
        <v>41</v>
      </c>
      <c r="Q4940" t="s">
        <v>75</v>
      </c>
      <c r="R4940" t="str">
        <f>"7054016"</f>
        <v>7054016</v>
      </c>
      <c r="S4940" t="s">
        <v>768</v>
      </c>
      <c r="T4940" t="s">
        <v>354</v>
      </c>
      <c r="U4940" t="s">
        <v>355</v>
      </c>
      <c r="V4940" t="s">
        <v>131</v>
      </c>
      <c r="W4940" t="s">
        <v>51</v>
      </c>
      <c r="X4940" t="s">
        <v>45</v>
      </c>
      <c r="Y4940" s="1">
        <v>28609</v>
      </c>
      <c r="Z4940">
        <v>1</v>
      </c>
      <c r="AA4940" t="s">
        <v>355</v>
      </c>
      <c r="AB4940" s="40" t="s">
        <v>1799</v>
      </c>
    </row>
    <row r="4941" spans="1:28" x14ac:dyDescent="0.25">
      <c r="A4941">
        <v>99914940</v>
      </c>
      <c r="B4941" t="s">
        <v>32</v>
      </c>
      <c r="C4941" t="s">
        <v>111</v>
      </c>
      <c r="D4941" t="s">
        <v>112</v>
      </c>
      <c r="G4941" t="s">
        <v>48</v>
      </c>
      <c r="H4941">
        <v>1</v>
      </c>
      <c r="K4941" t="s">
        <v>268</v>
      </c>
      <c r="L4941" t="s">
        <v>269</v>
      </c>
      <c r="M4941" t="s">
        <v>131</v>
      </c>
      <c r="N4941">
        <v>24</v>
      </c>
      <c r="P4941" t="s">
        <v>41</v>
      </c>
      <c r="Q4941" t="s">
        <v>75</v>
      </c>
      <c r="R4941" t="str">
        <f>"7052008"</f>
        <v>7052008</v>
      </c>
      <c r="S4941" t="s">
        <v>274</v>
      </c>
      <c r="T4941" t="s">
        <v>268</v>
      </c>
      <c r="U4941" t="s">
        <v>269</v>
      </c>
      <c r="V4941" t="s">
        <v>131</v>
      </c>
      <c r="W4941" t="s">
        <v>51</v>
      </c>
      <c r="X4941" t="s">
        <v>45</v>
      </c>
      <c r="Y4941" s="1">
        <v>28559</v>
      </c>
      <c r="Z4941">
        <v>1</v>
      </c>
      <c r="AA4941" t="s">
        <v>269</v>
      </c>
      <c r="AB4941" s="40" t="s">
        <v>1799</v>
      </c>
    </row>
    <row r="4942" spans="1:28" x14ac:dyDescent="0.25">
      <c r="A4942">
        <v>99914941</v>
      </c>
      <c r="B4942" t="s">
        <v>56</v>
      </c>
      <c r="C4942" t="s">
        <v>68</v>
      </c>
      <c r="D4942" t="s">
        <v>69</v>
      </c>
      <c r="G4942" t="s">
        <v>48</v>
      </c>
      <c r="H4942">
        <v>1</v>
      </c>
      <c r="K4942" t="s">
        <v>154</v>
      </c>
      <c r="L4942" t="s">
        <v>155</v>
      </c>
      <c r="M4942" t="s">
        <v>131</v>
      </c>
      <c r="N4942">
        <v>24</v>
      </c>
      <c r="P4942" t="s">
        <v>41</v>
      </c>
      <c r="Q4942" t="s">
        <v>75</v>
      </c>
      <c r="R4942" t="str">
        <f>"7051012"</f>
        <v>7051012</v>
      </c>
      <c r="S4942" t="s">
        <v>405</v>
      </c>
      <c r="T4942" t="s">
        <v>154</v>
      </c>
      <c r="U4942" t="s">
        <v>155</v>
      </c>
      <c r="V4942" t="s">
        <v>131</v>
      </c>
      <c r="W4942" t="s">
        <v>51</v>
      </c>
      <c r="X4942" t="s">
        <v>45</v>
      </c>
      <c r="Y4942" s="1">
        <v>28520</v>
      </c>
      <c r="Z4942">
        <v>1</v>
      </c>
      <c r="AA4942" t="s">
        <v>155</v>
      </c>
      <c r="AB4942" s="40" t="s">
        <v>1799</v>
      </c>
    </row>
    <row r="4943" spans="1:28" x14ac:dyDescent="0.25">
      <c r="A4943">
        <v>99914942</v>
      </c>
      <c r="B4943" t="s">
        <v>32</v>
      </c>
      <c r="C4943" t="s">
        <v>46</v>
      </c>
      <c r="D4943" t="s">
        <v>47</v>
      </c>
      <c r="G4943" t="s">
        <v>48</v>
      </c>
      <c r="H4943">
        <v>1</v>
      </c>
      <c r="K4943" t="s">
        <v>77</v>
      </c>
      <c r="L4943" t="s">
        <v>78</v>
      </c>
      <c r="M4943" t="s">
        <v>39</v>
      </c>
      <c r="N4943">
        <v>24</v>
      </c>
      <c r="P4943" t="s">
        <v>41</v>
      </c>
      <c r="Q4943" t="s">
        <v>75</v>
      </c>
      <c r="R4943" t="str">
        <f>"7371000"</f>
        <v>7371000</v>
      </c>
      <c r="S4943" t="s">
        <v>76</v>
      </c>
      <c r="T4943" t="s">
        <v>77</v>
      </c>
      <c r="U4943" t="s">
        <v>78</v>
      </c>
      <c r="V4943" t="s">
        <v>39</v>
      </c>
      <c r="W4943" t="s">
        <v>51</v>
      </c>
      <c r="X4943" t="s">
        <v>45</v>
      </c>
      <c r="Y4943" s="1">
        <v>28491</v>
      </c>
      <c r="Z4943">
        <v>1</v>
      </c>
      <c r="AA4943" t="s">
        <v>78</v>
      </c>
      <c r="AB4943" s="40" t="s">
        <v>1799</v>
      </c>
    </row>
    <row r="4944" spans="1:28" x14ac:dyDescent="0.25">
      <c r="A4944">
        <v>99914943</v>
      </c>
      <c r="B4944" t="s">
        <v>32</v>
      </c>
      <c r="C4944" t="s">
        <v>64</v>
      </c>
      <c r="D4944" t="s">
        <v>65</v>
      </c>
      <c r="G4944" t="s">
        <v>35</v>
      </c>
      <c r="H4944">
        <v>1</v>
      </c>
      <c r="I4944">
        <v>13224</v>
      </c>
      <c r="J4944" s="1">
        <v>43344</v>
      </c>
      <c r="K4944" t="s">
        <v>354</v>
      </c>
      <c r="L4944" t="s">
        <v>355</v>
      </c>
      <c r="M4944" t="s">
        <v>131</v>
      </c>
      <c r="N4944">
        <v>24</v>
      </c>
      <c r="O4944" s="1">
        <v>43344</v>
      </c>
      <c r="P4944" t="s">
        <v>41</v>
      </c>
      <c r="Q4944" t="s">
        <v>75</v>
      </c>
      <c r="R4944" t="str">
        <f>"7054042"</f>
        <v>7054042</v>
      </c>
      <c r="S4944" t="s">
        <v>776</v>
      </c>
      <c r="T4944" t="s">
        <v>354</v>
      </c>
      <c r="U4944" t="s">
        <v>355</v>
      </c>
      <c r="V4944" t="s">
        <v>131</v>
      </c>
      <c r="W4944" t="s">
        <v>55</v>
      </c>
      <c r="X4944" t="s">
        <v>45</v>
      </c>
      <c r="Y4944" s="1">
        <v>28491</v>
      </c>
      <c r="Z4944">
        <v>1</v>
      </c>
      <c r="AA4944" t="s">
        <v>355</v>
      </c>
      <c r="AB4944" s="40" t="s">
        <v>1799</v>
      </c>
    </row>
    <row r="4945" spans="1:28" x14ac:dyDescent="0.25">
      <c r="A4945">
        <v>99914944</v>
      </c>
      <c r="B4945" t="s">
        <v>32</v>
      </c>
      <c r="C4945" t="s">
        <v>64</v>
      </c>
      <c r="D4945" t="s">
        <v>65</v>
      </c>
      <c r="G4945" t="s">
        <v>35</v>
      </c>
      <c r="H4945">
        <v>1</v>
      </c>
      <c r="I4945">
        <v>13024</v>
      </c>
      <c r="J4945" s="1">
        <v>43344</v>
      </c>
      <c r="K4945" t="s">
        <v>354</v>
      </c>
      <c r="L4945" t="s">
        <v>355</v>
      </c>
      <c r="M4945" t="s">
        <v>131</v>
      </c>
      <c r="N4945">
        <v>24</v>
      </c>
      <c r="O4945" s="1">
        <v>43344</v>
      </c>
      <c r="P4945" t="s">
        <v>41</v>
      </c>
      <c r="Q4945" t="s">
        <v>75</v>
      </c>
      <c r="R4945" t="str">
        <f>"7054042"</f>
        <v>7054042</v>
      </c>
      <c r="S4945" t="s">
        <v>776</v>
      </c>
      <c r="T4945" t="s">
        <v>354</v>
      </c>
      <c r="U4945" t="s">
        <v>355</v>
      </c>
      <c r="V4945" t="s">
        <v>131</v>
      </c>
      <c r="W4945" t="s">
        <v>51</v>
      </c>
      <c r="X4945" t="s">
        <v>45</v>
      </c>
      <c r="Y4945" s="1">
        <v>28491</v>
      </c>
      <c r="Z4945">
        <v>1</v>
      </c>
      <c r="AA4945" t="s">
        <v>355</v>
      </c>
      <c r="AB4945" s="40" t="s">
        <v>1799</v>
      </c>
    </row>
    <row r="4946" spans="1:28" x14ac:dyDescent="0.25">
      <c r="A4946">
        <v>99914945</v>
      </c>
      <c r="B4946" t="s">
        <v>32</v>
      </c>
      <c r="C4946" t="s">
        <v>141</v>
      </c>
      <c r="D4946" t="s">
        <v>142</v>
      </c>
      <c r="G4946" t="s">
        <v>35</v>
      </c>
      <c r="H4946">
        <v>1</v>
      </c>
      <c r="I4946">
        <v>2688</v>
      </c>
      <c r="J4946" s="1">
        <v>43344</v>
      </c>
      <c r="K4946" t="s">
        <v>354</v>
      </c>
      <c r="L4946" t="s">
        <v>355</v>
      </c>
      <c r="M4946" t="s">
        <v>131</v>
      </c>
      <c r="N4946">
        <v>24</v>
      </c>
      <c r="O4946" s="1">
        <v>43344</v>
      </c>
      <c r="P4946" t="s">
        <v>41</v>
      </c>
      <c r="Q4946" t="s">
        <v>75</v>
      </c>
      <c r="R4946" t="str">
        <f>"7054024"</f>
        <v>7054024</v>
      </c>
      <c r="S4946" t="s">
        <v>793</v>
      </c>
      <c r="T4946" t="s">
        <v>354</v>
      </c>
      <c r="U4946" t="s">
        <v>355</v>
      </c>
      <c r="V4946" t="s">
        <v>131</v>
      </c>
      <c r="W4946" t="s">
        <v>51</v>
      </c>
      <c r="X4946" t="s">
        <v>45</v>
      </c>
      <c r="Y4946" s="1">
        <v>28491</v>
      </c>
      <c r="Z4946">
        <v>1</v>
      </c>
      <c r="AA4946" t="s">
        <v>355</v>
      </c>
      <c r="AB4946" s="40" t="s">
        <v>1799</v>
      </c>
    </row>
    <row r="4947" spans="1:28" x14ac:dyDescent="0.25">
      <c r="A4947">
        <v>99914946</v>
      </c>
      <c r="B4947" t="s">
        <v>32</v>
      </c>
      <c r="C4947" t="s">
        <v>64</v>
      </c>
      <c r="D4947" t="s">
        <v>65</v>
      </c>
      <c r="G4947" t="s">
        <v>35</v>
      </c>
      <c r="H4947">
        <v>1</v>
      </c>
      <c r="I4947">
        <v>991</v>
      </c>
      <c r="J4947" s="1">
        <v>43344</v>
      </c>
      <c r="K4947" t="s">
        <v>354</v>
      </c>
      <c r="L4947" t="s">
        <v>355</v>
      </c>
      <c r="M4947" t="s">
        <v>131</v>
      </c>
      <c r="N4947">
        <v>24</v>
      </c>
      <c r="O4947" s="1">
        <v>43344</v>
      </c>
      <c r="P4947" t="s">
        <v>41</v>
      </c>
      <c r="Q4947" t="s">
        <v>75</v>
      </c>
      <c r="R4947" t="str">
        <f>"7054024"</f>
        <v>7054024</v>
      </c>
      <c r="S4947" t="s">
        <v>793</v>
      </c>
      <c r="T4947" t="s">
        <v>354</v>
      </c>
      <c r="U4947" t="s">
        <v>355</v>
      </c>
      <c r="V4947" t="s">
        <v>131</v>
      </c>
      <c r="W4947" t="s">
        <v>51</v>
      </c>
      <c r="X4947" t="s">
        <v>45</v>
      </c>
      <c r="Y4947" s="1">
        <v>28491</v>
      </c>
      <c r="Z4947">
        <v>1</v>
      </c>
      <c r="AA4947" t="s">
        <v>355</v>
      </c>
      <c r="AB4947" s="40" t="s">
        <v>1799</v>
      </c>
    </row>
    <row r="4948" spans="1:28" x14ac:dyDescent="0.25">
      <c r="A4948">
        <v>99914947</v>
      </c>
      <c r="B4948" t="s">
        <v>32</v>
      </c>
      <c r="C4948" t="s">
        <v>90</v>
      </c>
      <c r="D4948" t="s">
        <v>91</v>
      </c>
      <c r="G4948" t="s">
        <v>35</v>
      </c>
      <c r="H4948">
        <v>1</v>
      </c>
      <c r="I4948">
        <v>0</v>
      </c>
      <c r="J4948" s="1">
        <v>43344</v>
      </c>
      <c r="K4948" t="s">
        <v>985</v>
      </c>
      <c r="L4948" t="s">
        <v>986</v>
      </c>
      <c r="M4948" t="s">
        <v>938</v>
      </c>
      <c r="N4948">
        <v>24</v>
      </c>
      <c r="O4948" s="1">
        <v>43344</v>
      </c>
      <c r="P4948" t="s">
        <v>41</v>
      </c>
      <c r="Q4948" t="s">
        <v>95</v>
      </c>
      <c r="R4948" t="str">
        <f>"7011009"</f>
        <v>7011009</v>
      </c>
      <c r="S4948" t="s">
        <v>988</v>
      </c>
      <c r="T4948" t="s">
        <v>985</v>
      </c>
      <c r="U4948" t="s">
        <v>986</v>
      </c>
      <c r="V4948" t="s">
        <v>938</v>
      </c>
      <c r="W4948" t="s">
        <v>51</v>
      </c>
      <c r="X4948" t="s">
        <v>45</v>
      </c>
      <c r="Y4948" s="1">
        <v>28491</v>
      </c>
      <c r="Z4948">
        <v>1</v>
      </c>
      <c r="AA4948" t="s">
        <v>986</v>
      </c>
      <c r="AB4948" s="40" t="s">
        <v>1799</v>
      </c>
    </row>
    <row r="4949" spans="1:28" x14ac:dyDescent="0.25">
      <c r="A4949">
        <v>99914948</v>
      </c>
      <c r="B4949" t="s">
        <v>32</v>
      </c>
      <c r="C4949" t="s">
        <v>71</v>
      </c>
      <c r="D4949" t="s">
        <v>72</v>
      </c>
      <c r="G4949" t="s">
        <v>35</v>
      </c>
      <c r="H4949">
        <v>1</v>
      </c>
      <c r="I4949" t="s">
        <v>674</v>
      </c>
      <c r="J4949" s="1">
        <v>43377</v>
      </c>
      <c r="K4949" t="s">
        <v>1051</v>
      </c>
      <c r="L4949" t="s">
        <v>1052</v>
      </c>
      <c r="M4949" t="s">
        <v>1053</v>
      </c>
      <c r="N4949">
        <v>24</v>
      </c>
      <c r="O4949" s="1">
        <v>43377</v>
      </c>
      <c r="P4949" t="s">
        <v>41</v>
      </c>
      <c r="Q4949" t="s">
        <v>49</v>
      </c>
      <c r="R4949" t="str">
        <f>"2060004"</f>
        <v>2060004</v>
      </c>
      <c r="S4949" t="s">
        <v>1059</v>
      </c>
      <c r="T4949" t="s">
        <v>1051</v>
      </c>
      <c r="U4949" t="s">
        <v>1052</v>
      </c>
      <c r="V4949" t="s">
        <v>1053</v>
      </c>
      <c r="W4949" t="s">
        <v>55</v>
      </c>
      <c r="X4949" t="s">
        <v>45</v>
      </c>
      <c r="Y4949" s="1">
        <v>28491</v>
      </c>
      <c r="Z4949">
        <v>2</v>
      </c>
      <c r="AA4949" t="s">
        <v>1052</v>
      </c>
      <c r="AB4949" s="40" t="s">
        <v>1799</v>
      </c>
    </row>
    <row r="4950" spans="1:28" x14ac:dyDescent="0.25">
      <c r="A4950">
        <v>99914949</v>
      </c>
      <c r="B4950" t="s">
        <v>32</v>
      </c>
      <c r="C4950" t="s">
        <v>64</v>
      </c>
      <c r="D4950" t="s">
        <v>65</v>
      </c>
      <c r="G4950" t="s">
        <v>35</v>
      </c>
      <c r="H4950">
        <v>1</v>
      </c>
      <c r="I4950" t="s">
        <v>1214</v>
      </c>
      <c r="J4950" s="1">
        <v>43344</v>
      </c>
      <c r="K4950" t="s">
        <v>1198</v>
      </c>
      <c r="L4950" t="s">
        <v>1199</v>
      </c>
      <c r="M4950" t="s">
        <v>1130</v>
      </c>
      <c r="N4950">
        <v>24</v>
      </c>
      <c r="O4950" s="1">
        <v>43344</v>
      </c>
      <c r="P4950" t="s">
        <v>41</v>
      </c>
      <c r="Q4950" t="s">
        <v>75</v>
      </c>
      <c r="R4950" t="str">
        <f>"7311002"</f>
        <v>7311002</v>
      </c>
      <c r="S4950" t="s">
        <v>1203</v>
      </c>
      <c r="T4950" t="s">
        <v>1198</v>
      </c>
      <c r="U4950" t="s">
        <v>1199</v>
      </c>
      <c r="V4950" t="s">
        <v>1130</v>
      </c>
      <c r="W4950" t="s">
        <v>51</v>
      </c>
      <c r="X4950" t="s">
        <v>45</v>
      </c>
      <c r="Y4950" s="1">
        <v>28491</v>
      </c>
      <c r="Z4950">
        <v>1</v>
      </c>
      <c r="AA4950" t="s">
        <v>1199</v>
      </c>
      <c r="AB4950" s="40" t="s">
        <v>1799</v>
      </c>
    </row>
    <row r="4951" spans="1:28" x14ac:dyDescent="0.25">
      <c r="A4951">
        <v>99914950</v>
      </c>
      <c r="B4951" t="s">
        <v>56</v>
      </c>
      <c r="C4951" t="s">
        <v>111</v>
      </c>
      <c r="D4951" t="s">
        <v>112</v>
      </c>
      <c r="G4951" t="s">
        <v>35</v>
      </c>
      <c r="H4951">
        <v>1</v>
      </c>
      <c r="I4951" t="s">
        <v>532</v>
      </c>
      <c r="J4951" s="1">
        <v>41961</v>
      </c>
      <c r="K4951" t="s">
        <v>1564</v>
      </c>
      <c r="L4951" t="s">
        <v>1565</v>
      </c>
      <c r="M4951" t="s">
        <v>1548</v>
      </c>
      <c r="N4951">
        <v>24</v>
      </c>
      <c r="O4951" s="1">
        <v>41961</v>
      </c>
      <c r="P4951" t="s">
        <v>41</v>
      </c>
      <c r="Q4951" t="s">
        <v>75</v>
      </c>
      <c r="R4951" t="str">
        <f>"7101000"</f>
        <v>7101000</v>
      </c>
      <c r="S4951" t="s">
        <v>1572</v>
      </c>
      <c r="T4951" t="s">
        <v>1564</v>
      </c>
      <c r="U4951" t="s">
        <v>1565</v>
      </c>
      <c r="V4951" t="s">
        <v>1548</v>
      </c>
      <c r="W4951" t="s">
        <v>51</v>
      </c>
      <c r="X4951" t="s">
        <v>45</v>
      </c>
      <c r="Y4951" s="1">
        <v>28434</v>
      </c>
      <c r="Z4951">
        <v>1</v>
      </c>
      <c r="AA4951" t="s">
        <v>1565</v>
      </c>
      <c r="AB4951" s="40" t="s">
        <v>1799</v>
      </c>
    </row>
    <row r="4952" spans="1:28" x14ac:dyDescent="0.25">
      <c r="A4952">
        <v>99914951</v>
      </c>
      <c r="B4952" t="s">
        <v>32</v>
      </c>
      <c r="C4952" t="s">
        <v>79</v>
      </c>
      <c r="D4952" t="s">
        <v>80</v>
      </c>
      <c r="G4952" t="s">
        <v>48</v>
      </c>
      <c r="H4952">
        <v>5</v>
      </c>
      <c r="K4952" t="s">
        <v>195</v>
      </c>
      <c r="L4952" t="s">
        <v>196</v>
      </c>
      <c r="M4952" t="s">
        <v>131</v>
      </c>
      <c r="N4952">
        <v>24</v>
      </c>
      <c r="O4952" s="1">
        <v>40422</v>
      </c>
      <c r="P4952" t="s">
        <v>41</v>
      </c>
      <c r="Q4952" t="s">
        <v>75</v>
      </c>
      <c r="R4952" t="str">
        <f>"7521044"</f>
        <v>7521044</v>
      </c>
      <c r="S4952" t="s">
        <v>453</v>
      </c>
      <c r="T4952" t="s">
        <v>195</v>
      </c>
      <c r="U4952" t="s">
        <v>196</v>
      </c>
      <c r="V4952" t="s">
        <v>131</v>
      </c>
      <c r="W4952" t="s">
        <v>51</v>
      </c>
      <c r="X4952" t="s">
        <v>45</v>
      </c>
      <c r="Y4952" s="1">
        <v>28412</v>
      </c>
      <c r="Z4952">
        <v>1</v>
      </c>
      <c r="AA4952" t="s">
        <v>196</v>
      </c>
      <c r="AB4952" s="40" t="s">
        <v>1799</v>
      </c>
    </row>
    <row r="4953" spans="1:28" x14ac:dyDescent="0.25">
      <c r="A4953">
        <v>99914952</v>
      </c>
      <c r="B4953" t="s">
        <v>32</v>
      </c>
      <c r="C4953" t="s">
        <v>111</v>
      </c>
      <c r="D4953" t="s">
        <v>112</v>
      </c>
      <c r="G4953" t="s">
        <v>35</v>
      </c>
      <c r="H4953">
        <v>1</v>
      </c>
      <c r="K4953" t="s">
        <v>354</v>
      </c>
      <c r="L4953" t="s">
        <v>355</v>
      </c>
      <c r="M4953" t="s">
        <v>131</v>
      </c>
      <c r="N4953">
        <v>24</v>
      </c>
      <c r="P4953" t="s">
        <v>41</v>
      </c>
      <c r="Q4953" t="s">
        <v>75</v>
      </c>
      <c r="R4953" t="str">
        <f>"7054022"</f>
        <v>7054022</v>
      </c>
      <c r="S4953" t="s">
        <v>770</v>
      </c>
      <c r="T4953" t="s">
        <v>354</v>
      </c>
      <c r="U4953" t="s">
        <v>355</v>
      </c>
      <c r="V4953" t="s">
        <v>131</v>
      </c>
      <c r="W4953" t="s">
        <v>51</v>
      </c>
      <c r="X4953" t="s">
        <v>45</v>
      </c>
      <c r="Y4953" s="1">
        <v>28410</v>
      </c>
      <c r="Z4953">
        <v>1</v>
      </c>
      <c r="AA4953" t="s">
        <v>355</v>
      </c>
      <c r="AB4953" s="40" t="s">
        <v>1799</v>
      </c>
    </row>
    <row r="4954" spans="1:28" x14ac:dyDescent="0.25">
      <c r="A4954">
        <v>99914953</v>
      </c>
      <c r="B4954" t="s">
        <v>32</v>
      </c>
      <c r="C4954" t="s">
        <v>111</v>
      </c>
      <c r="D4954" t="s">
        <v>112</v>
      </c>
      <c r="G4954" t="s">
        <v>35</v>
      </c>
      <c r="H4954">
        <v>1</v>
      </c>
      <c r="I4954" s="1">
        <v>37137</v>
      </c>
      <c r="J4954" s="1">
        <v>43344</v>
      </c>
      <c r="K4954" t="s">
        <v>1341</v>
      </c>
      <c r="L4954" t="s">
        <v>1342</v>
      </c>
      <c r="M4954" t="s">
        <v>1270</v>
      </c>
      <c r="N4954">
        <v>24</v>
      </c>
      <c r="O4954" s="1">
        <v>43344</v>
      </c>
      <c r="P4954" t="s">
        <v>41</v>
      </c>
      <c r="Q4954" t="s">
        <v>75</v>
      </c>
      <c r="R4954" t="str">
        <f>"7191004"</f>
        <v>7191004</v>
      </c>
      <c r="S4954" t="s">
        <v>1344</v>
      </c>
      <c r="T4954" t="s">
        <v>1341</v>
      </c>
      <c r="U4954" t="s">
        <v>1342</v>
      </c>
      <c r="V4954" t="s">
        <v>1270</v>
      </c>
      <c r="W4954" t="s">
        <v>51</v>
      </c>
      <c r="X4954" t="s">
        <v>45</v>
      </c>
      <c r="Y4954" s="1">
        <v>28360</v>
      </c>
      <c r="Z4954">
        <v>1</v>
      </c>
      <c r="AA4954" t="s">
        <v>1342</v>
      </c>
      <c r="AB4954" s="40" t="s">
        <v>1799</v>
      </c>
    </row>
    <row r="4955" spans="1:28" x14ac:dyDescent="0.25">
      <c r="A4955">
        <v>99914954</v>
      </c>
      <c r="B4955" t="s">
        <v>32</v>
      </c>
      <c r="C4955" t="s">
        <v>111</v>
      </c>
      <c r="D4955" t="s">
        <v>112</v>
      </c>
      <c r="G4955" t="s">
        <v>35</v>
      </c>
      <c r="H4955">
        <v>1</v>
      </c>
      <c r="K4955" t="s">
        <v>1564</v>
      </c>
      <c r="L4955" t="s">
        <v>1565</v>
      </c>
      <c r="M4955" t="s">
        <v>1548</v>
      </c>
      <c r="N4955">
        <v>24</v>
      </c>
      <c r="P4955" t="s">
        <v>41</v>
      </c>
      <c r="Q4955" t="s">
        <v>75</v>
      </c>
      <c r="R4955" t="str">
        <f>"7101000"</f>
        <v>7101000</v>
      </c>
      <c r="S4955" t="s">
        <v>1572</v>
      </c>
      <c r="T4955" t="s">
        <v>1564</v>
      </c>
      <c r="U4955" t="s">
        <v>1565</v>
      </c>
      <c r="V4955" t="s">
        <v>1548</v>
      </c>
      <c r="W4955" t="s">
        <v>51</v>
      </c>
      <c r="X4955" t="s">
        <v>45</v>
      </c>
      <c r="Y4955" s="1">
        <v>28356</v>
      </c>
      <c r="Z4955">
        <v>1</v>
      </c>
      <c r="AA4955" t="s">
        <v>1565</v>
      </c>
      <c r="AB4955" s="40" t="s">
        <v>1799</v>
      </c>
    </row>
    <row r="4956" spans="1:28" x14ac:dyDescent="0.25">
      <c r="A4956">
        <v>99914955</v>
      </c>
      <c r="B4956" t="s">
        <v>56</v>
      </c>
      <c r="C4956" t="s">
        <v>46</v>
      </c>
      <c r="D4956" t="s">
        <v>47</v>
      </c>
      <c r="G4956" t="s">
        <v>48</v>
      </c>
      <c r="H4956">
        <v>1</v>
      </c>
      <c r="K4956" t="s">
        <v>877</v>
      </c>
      <c r="L4956" t="s">
        <v>878</v>
      </c>
      <c r="M4956" t="s">
        <v>131</v>
      </c>
      <c r="N4956">
        <v>24</v>
      </c>
      <c r="P4956" t="s">
        <v>41</v>
      </c>
      <c r="Q4956" t="s">
        <v>75</v>
      </c>
      <c r="R4956" t="str">
        <f>"7541008"</f>
        <v>7541008</v>
      </c>
      <c r="S4956" t="s">
        <v>879</v>
      </c>
      <c r="T4956" t="s">
        <v>877</v>
      </c>
      <c r="U4956" t="s">
        <v>878</v>
      </c>
      <c r="V4956" t="s">
        <v>131</v>
      </c>
      <c r="W4956" t="s">
        <v>51</v>
      </c>
      <c r="X4956" t="s">
        <v>45</v>
      </c>
      <c r="Y4956" s="1">
        <v>28352</v>
      </c>
      <c r="Z4956">
        <v>1</v>
      </c>
      <c r="AA4956" t="s">
        <v>878</v>
      </c>
      <c r="AB4956" s="40" t="s">
        <v>1799</v>
      </c>
    </row>
    <row r="4957" spans="1:28" x14ac:dyDescent="0.25">
      <c r="A4957">
        <v>99914956</v>
      </c>
      <c r="B4957" t="s">
        <v>56</v>
      </c>
      <c r="C4957" t="s">
        <v>79</v>
      </c>
      <c r="D4957" t="s">
        <v>80</v>
      </c>
      <c r="G4957" t="s">
        <v>48</v>
      </c>
      <c r="H4957">
        <v>1</v>
      </c>
      <c r="K4957" t="s">
        <v>431</v>
      </c>
      <c r="L4957" t="s">
        <v>196</v>
      </c>
      <c r="M4957" t="s">
        <v>131</v>
      </c>
      <c r="N4957">
        <v>24</v>
      </c>
      <c r="P4957" t="s">
        <v>41</v>
      </c>
      <c r="Q4957" t="s">
        <v>75</v>
      </c>
      <c r="R4957" t="str">
        <f>"7521012"</f>
        <v>7521012</v>
      </c>
      <c r="S4957" t="s">
        <v>432</v>
      </c>
      <c r="T4957" t="s">
        <v>431</v>
      </c>
      <c r="U4957" t="s">
        <v>196</v>
      </c>
      <c r="V4957" t="s">
        <v>131</v>
      </c>
      <c r="W4957" t="s">
        <v>51</v>
      </c>
      <c r="X4957" t="s">
        <v>45</v>
      </c>
      <c r="Y4957" s="1">
        <v>28337</v>
      </c>
      <c r="Z4957">
        <v>1</v>
      </c>
      <c r="AA4957" t="s">
        <v>196</v>
      </c>
      <c r="AB4957" s="40" t="s">
        <v>1799</v>
      </c>
    </row>
    <row r="4958" spans="1:28" x14ac:dyDescent="0.25">
      <c r="A4958">
        <v>99914957</v>
      </c>
      <c r="B4958" t="s">
        <v>56</v>
      </c>
      <c r="C4958" t="s">
        <v>141</v>
      </c>
      <c r="D4958" t="s">
        <v>142</v>
      </c>
      <c r="G4958" t="s">
        <v>35</v>
      </c>
      <c r="H4958">
        <v>1</v>
      </c>
      <c r="K4958" t="s">
        <v>1502</v>
      </c>
      <c r="L4958" t="s">
        <v>1503</v>
      </c>
      <c r="M4958" t="s">
        <v>670</v>
      </c>
      <c r="N4958">
        <v>24</v>
      </c>
      <c r="P4958" t="s">
        <v>41</v>
      </c>
      <c r="Q4958" t="s">
        <v>75</v>
      </c>
      <c r="R4958" t="str">
        <f>"7171000"</f>
        <v>7171000</v>
      </c>
      <c r="S4958" t="s">
        <v>1506</v>
      </c>
      <c r="T4958" t="s">
        <v>1502</v>
      </c>
      <c r="U4958" t="s">
        <v>1503</v>
      </c>
      <c r="V4958" t="s">
        <v>670</v>
      </c>
      <c r="W4958" t="s">
        <v>51</v>
      </c>
      <c r="X4958" t="s">
        <v>45</v>
      </c>
      <c r="Y4958" s="1">
        <v>28336</v>
      </c>
      <c r="Z4958">
        <v>1</v>
      </c>
      <c r="AA4958" t="s">
        <v>1503</v>
      </c>
      <c r="AB4958" s="40" t="s">
        <v>1799</v>
      </c>
    </row>
    <row r="4959" spans="1:28" x14ac:dyDescent="0.25">
      <c r="A4959">
        <v>99914958</v>
      </c>
      <c r="B4959" t="s">
        <v>56</v>
      </c>
      <c r="C4959" t="s">
        <v>64</v>
      </c>
      <c r="D4959" t="s">
        <v>65</v>
      </c>
      <c r="G4959" t="s">
        <v>48</v>
      </c>
      <c r="H4959">
        <v>1</v>
      </c>
      <c r="K4959" t="s">
        <v>354</v>
      </c>
      <c r="L4959" t="s">
        <v>355</v>
      </c>
      <c r="M4959" t="s">
        <v>131</v>
      </c>
      <c r="N4959">
        <v>24</v>
      </c>
      <c r="P4959" t="s">
        <v>41</v>
      </c>
      <c r="Q4959" t="s">
        <v>75</v>
      </c>
      <c r="R4959" t="str">
        <f>"7054038"</f>
        <v>7054038</v>
      </c>
      <c r="S4959" t="s">
        <v>377</v>
      </c>
      <c r="T4959" t="s">
        <v>354</v>
      </c>
      <c r="U4959" t="s">
        <v>355</v>
      </c>
      <c r="V4959" t="s">
        <v>131</v>
      </c>
      <c r="W4959" t="s">
        <v>51</v>
      </c>
      <c r="X4959" t="s">
        <v>45</v>
      </c>
      <c r="Y4959" s="1">
        <v>28329</v>
      </c>
      <c r="Z4959">
        <v>1</v>
      </c>
      <c r="AA4959" t="s">
        <v>355</v>
      </c>
      <c r="AB4959" s="40" t="s">
        <v>1799</v>
      </c>
    </row>
    <row r="4960" spans="1:28" x14ac:dyDescent="0.25">
      <c r="A4960">
        <v>99914959</v>
      </c>
      <c r="B4960" t="s">
        <v>32</v>
      </c>
      <c r="C4960" t="s">
        <v>111</v>
      </c>
      <c r="D4960" t="s">
        <v>112</v>
      </c>
      <c r="G4960" t="s">
        <v>35</v>
      </c>
      <c r="H4960">
        <v>1</v>
      </c>
      <c r="I4960" s="1">
        <v>43080</v>
      </c>
      <c r="J4960" s="1">
        <v>43344</v>
      </c>
      <c r="K4960" t="s">
        <v>1341</v>
      </c>
      <c r="L4960" t="s">
        <v>1342</v>
      </c>
      <c r="M4960" t="s">
        <v>1270</v>
      </c>
      <c r="N4960">
        <v>24</v>
      </c>
      <c r="O4960" s="1">
        <v>43344</v>
      </c>
      <c r="P4960" t="s">
        <v>41</v>
      </c>
      <c r="Q4960" t="s">
        <v>75</v>
      </c>
      <c r="R4960" t="str">
        <f>"7191034"</f>
        <v>7191034</v>
      </c>
      <c r="S4960" t="s">
        <v>1343</v>
      </c>
      <c r="T4960" t="s">
        <v>1341</v>
      </c>
      <c r="U4960" t="s">
        <v>1342</v>
      </c>
      <c r="V4960" t="s">
        <v>1270</v>
      </c>
      <c r="W4960" t="s">
        <v>44</v>
      </c>
      <c r="X4960" t="s">
        <v>45</v>
      </c>
      <c r="Y4960" s="1">
        <v>28323</v>
      </c>
      <c r="Z4960">
        <v>1</v>
      </c>
      <c r="AA4960" t="s">
        <v>1342</v>
      </c>
      <c r="AB4960" s="40" t="s">
        <v>1799</v>
      </c>
    </row>
    <row r="4961" spans="1:28" x14ac:dyDescent="0.25">
      <c r="A4961">
        <v>99914960</v>
      </c>
      <c r="B4961" t="s">
        <v>32</v>
      </c>
      <c r="C4961" t="s">
        <v>111</v>
      </c>
      <c r="D4961" t="s">
        <v>112</v>
      </c>
      <c r="G4961" t="s">
        <v>35</v>
      </c>
      <c r="H4961">
        <v>1</v>
      </c>
      <c r="I4961" s="1">
        <v>38961</v>
      </c>
      <c r="J4961" s="1">
        <v>43344</v>
      </c>
      <c r="K4961" t="s">
        <v>1341</v>
      </c>
      <c r="L4961" t="s">
        <v>1342</v>
      </c>
      <c r="M4961" t="s">
        <v>1270</v>
      </c>
      <c r="N4961">
        <v>24</v>
      </c>
      <c r="O4961" s="1">
        <v>43344</v>
      </c>
      <c r="P4961" t="s">
        <v>41</v>
      </c>
      <c r="Q4961" t="s">
        <v>75</v>
      </c>
      <c r="R4961" t="str">
        <f>"7191004"</f>
        <v>7191004</v>
      </c>
      <c r="S4961" t="s">
        <v>1344</v>
      </c>
      <c r="T4961" t="s">
        <v>1341</v>
      </c>
      <c r="U4961" t="s">
        <v>1342</v>
      </c>
      <c r="V4961" t="s">
        <v>1270</v>
      </c>
      <c r="W4961" t="s">
        <v>51</v>
      </c>
      <c r="X4961" t="s">
        <v>45</v>
      </c>
      <c r="Y4961" s="1">
        <v>28318</v>
      </c>
      <c r="Z4961">
        <v>1</v>
      </c>
      <c r="AA4961" t="s">
        <v>1342</v>
      </c>
      <c r="AB4961" s="40" t="s">
        <v>1799</v>
      </c>
    </row>
    <row r="4962" spans="1:28" x14ac:dyDescent="0.25">
      <c r="A4962">
        <v>99914961</v>
      </c>
      <c r="B4962" t="s">
        <v>32</v>
      </c>
      <c r="C4962" t="s">
        <v>90</v>
      </c>
      <c r="D4962" t="s">
        <v>91</v>
      </c>
      <c r="G4962" t="s">
        <v>35</v>
      </c>
      <c r="H4962">
        <v>1</v>
      </c>
      <c r="I4962" t="s">
        <v>1394</v>
      </c>
      <c r="J4962" s="1">
        <v>43344</v>
      </c>
      <c r="K4962" t="s">
        <v>1341</v>
      </c>
      <c r="L4962" t="s">
        <v>1342</v>
      </c>
      <c r="M4962" t="s">
        <v>1270</v>
      </c>
      <c r="N4962">
        <v>24</v>
      </c>
      <c r="O4962" s="1">
        <v>43344</v>
      </c>
      <c r="P4962" t="s">
        <v>41</v>
      </c>
      <c r="Q4962" t="s">
        <v>95</v>
      </c>
      <c r="R4962" t="str">
        <f>"7191075"</f>
        <v>7191075</v>
      </c>
      <c r="S4962" t="s">
        <v>1395</v>
      </c>
      <c r="T4962" t="s">
        <v>1341</v>
      </c>
      <c r="U4962" t="s">
        <v>1342</v>
      </c>
      <c r="V4962" t="s">
        <v>1270</v>
      </c>
      <c r="W4962" t="s">
        <v>51</v>
      </c>
      <c r="X4962" t="s">
        <v>45</v>
      </c>
      <c r="Y4962" s="1">
        <v>28306</v>
      </c>
      <c r="Z4962">
        <v>1</v>
      </c>
      <c r="AA4962" t="s">
        <v>1342</v>
      </c>
      <c r="AB4962" s="40" t="s">
        <v>1799</v>
      </c>
    </row>
    <row r="4963" spans="1:28" x14ac:dyDescent="0.25">
      <c r="A4963">
        <v>99914962</v>
      </c>
      <c r="B4963" t="s">
        <v>32</v>
      </c>
      <c r="C4963" t="s">
        <v>111</v>
      </c>
      <c r="D4963" t="s">
        <v>112</v>
      </c>
      <c r="G4963" t="s">
        <v>35</v>
      </c>
      <c r="H4963">
        <v>1</v>
      </c>
      <c r="I4963">
        <v>14591</v>
      </c>
      <c r="J4963" s="1">
        <v>43344</v>
      </c>
      <c r="K4963" t="s">
        <v>354</v>
      </c>
      <c r="L4963" t="s">
        <v>355</v>
      </c>
      <c r="M4963" t="s">
        <v>131</v>
      </c>
      <c r="N4963">
        <v>24</v>
      </c>
      <c r="O4963" s="1">
        <v>43344</v>
      </c>
      <c r="P4963" t="s">
        <v>41</v>
      </c>
      <c r="Q4963" t="s">
        <v>75</v>
      </c>
      <c r="R4963" t="str">
        <f>"7054006"</f>
        <v>7054006</v>
      </c>
      <c r="S4963" t="s">
        <v>774</v>
      </c>
      <c r="T4963" t="s">
        <v>354</v>
      </c>
      <c r="U4963" t="s">
        <v>355</v>
      </c>
      <c r="V4963" t="s">
        <v>131</v>
      </c>
      <c r="W4963" t="s">
        <v>51</v>
      </c>
      <c r="X4963" t="s">
        <v>45</v>
      </c>
      <c r="Y4963" s="1">
        <v>28262</v>
      </c>
      <c r="Z4963">
        <v>1</v>
      </c>
      <c r="AA4963" t="s">
        <v>355</v>
      </c>
      <c r="AB4963" s="40" t="s">
        <v>1799</v>
      </c>
    </row>
    <row r="4964" spans="1:28" x14ac:dyDescent="0.25">
      <c r="A4964">
        <v>99914963</v>
      </c>
      <c r="B4964" t="s">
        <v>32</v>
      </c>
      <c r="C4964" t="s">
        <v>71</v>
      </c>
      <c r="D4964" t="s">
        <v>72</v>
      </c>
      <c r="G4964" t="s">
        <v>35</v>
      </c>
      <c r="H4964">
        <v>1</v>
      </c>
      <c r="I4964" s="1">
        <v>42688</v>
      </c>
      <c r="J4964" s="1">
        <v>43344</v>
      </c>
      <c r="K4964" t="s">
        <v>1341</v>
      </c>
      <c r="L4964" t="s">
        <v>1342</v>
      </c>
      <c r="M4964" t="s">
        <v>1270</v>
      </c>
      <c r="N4964">
        <v>24</v>
      </c>
      <c r="O4964" s="1">
        <v>43344</v>
      </c>
      <c r="P4964" t="s">
        <v>41</v>
      </c>
      <c r="Q4964" t="s">
        <v>75</v>
      </c>
      <c r="R4964" t="str">
        <f>"7191000"</f>
        <v>7191000</v>
      </c>
      <c r="S4964" t="s">
        <v>1347</v>
      </c>
      <c r="T4964" t="s">
        <v>1341</v>
      </c>
      <c r="U4964" t="s">
        <v>1342</v>
      </c>
      <c r="V4964" t="s">
        <v>1270</v>
      </c>
      <c r="W4964" t="s">
        <v>51</v>
      </c>
      <c r="X4964" t="s">
        <v>45</v>
      </c>
      <c r="Y4964" s="1">
        <v>28249</v>
      </c>
      <c r="Z4964">
        <v>1</v>
      </c>
      <c r="AA4964" t="s">
        <v>1342</v>
      </c>
      <c r="AB4964" s="40" t="s">
        <v>1799</v>
      </c>
    </row>
    <row r="4965" spans="1:28" x14ac:dyDescent="0.25">
      <c r="A4965">
        <v>99914964</v>
      </c>
      <c r="B4965" t="s">
        <v>56</v>
      </c>
      <c r="C4965" t="s">
        <v>141</v>
      </c>
      <c r="D4965" t="s">
        <v>142</v>
      </c>
      <c r="G4965" t="s">
        <v>88</v>
      </c>
      <c r="H4965">
        <v>4</v>
      </c>
      <c r="I4965" t="s">
        <v>507</v>
      </c>
      <c r="J4965" s="1">
        <v>40422</v>
      </c>
      <c r="K4965" t="s">
        <v>195</v>
      </c>
      <c r="L4965" t="s">
        <v>196</v>
      </c>
      <c r="M4965" t="s">
        <v>131</v>
      </c>
      <c r="N4965">
        <v>24</v>
      </c>
      <c r="O4965" s="1">
        <v>40422</v>
      </c>
      <c r="P4965" t="s">
        <v>41</v>
      </c>
      <c r="Q4965" t="s">
        <v>75</v>
      </c>
      <c r="R4965" t="str">
        <f>"7521050"</f>
        <v>7521050</v>
      </c>
      <c r="S4965" t="s">
        <v>194</v>
      </c>
      <c r="T4965" t="s">
        <v>195</v>
      </c>
      <c r="U4965" t="s">
        <v>196</v>
      </c>
      <c r="V4965" t="s">
        <v>131</v>
      </c>
      <c r="W4965" t="s">
        <v>51</v>
      </c>
      <c r="X4965" t="s">
        <v>45</v>
      </c>
      <c r="Y4965" s="1">
        <v>28208</v>
      </c>
      <c r="Z4965">
        <v>1</v>
      </c>
      <c r="AA4965" t="s">
        <v>196</v>
      </c>
      <c r="AB4965" s="40" t="s">
        <v>1799</v>
      </c>
    </row>
    <row r="4966" spans="1:28" x14ac:dyDescent="0.25">
      <c r="A4966">
        <v>99914965</v>
      </c>
      <c r="B4966" t="s">
        <v>32</v>
      </c>
      <c r="C4966" t="s">
        <v>143</v>
      </c>
      <c r="D4966" t="s">
        <v>144</v>
      </c>
      <c r="G4966" t="s">
        <v>48</v>
      </c>
      <c r="H4966">
        <v>1</v>
      </c>
      <c r="I4966" t="s">
        <v>421</v>
      </c>
      <c r="J4966" s="1">
        <v>42625</v>
      </c>
      <c r="K4966" t="s">
        <v>154</v>
      </c>
      <c r="L4966" t="s">
        <v>155</v>
      </c>
      <c r="M4966" t="s">
        <v>131</v>
      </c>
      <c r="N4966">
        <v>24</v>
      </c>
      <c r="O4966" s="1">
        <v>42625</v>
      </c>
      <c r="P4966" t="s">
        <v>41</v>
      </c>
      <c r="Q4966" t="s">
        <v>75</v>
      </c>
      <c r="R4966" t="str">
        <f>"7051018"</f>
        <v>7051018</v>
      </c>
      <c r="S4966" t="s">
        <v>401</v>
      </c>
      <c r="T4966" t="s">
        <v>154</v>
      </c>
      <c r="U4966" t="s">
        <v>155</v>
      </c>
      <c r="V4966" t="s">
        <v>131</v>
      </c>
      <c r="W4966" t="s">
        <v>51</v>
      </c>
      <c r="X4966" t="s">
        <v>45</v>
      </c>
      <c r="Y4966" s="1">
        <v>28126</v>
      </c>
      <c r="Z4966">
        <v>1</v>
      </c>
      <c r="AA4966" t="s">
        <v>155</v>
      </c>
      <c r="AB4966" s="40" t="s">
        <v>1799</v>
      </c>
    </row>
    <row r="4967" spans="1:28" x14ac:dyDescent="0.25">
      <c r="A4967">
        <v>99914966</v>
      </c>
      <c r="B4967" t="s">
        <v>32</v>
      </c>
      <c r="C4967" t="s">
        <v>111</v>
      </c>
      <c r="D4967" t="s">
        <v>112</v>
      </c>
      <c r="G4967" t="s">
        <v>35</v>
      </c>
      <c r="H4967">
        <v>1</v>
      </c>
      <c r="I4967" t="s">
        <v>713</v>
      </c>
      <c r="J4967" s="1">
        <v>43344</v>
      </c>
      <c r="K4967" t="s">
        <v>268</v>
      </c>
      <c r="L4967" t="s">
        <v>269</v>
      </c>
      <c r="M4967" t="s">
        <v>131</v>
      </c>
      <c r="N4967">
        <v>24</v>
      </c>
      <c r="O4967" s="1">
        <v>43344</v>
      </c>
      <c r="P4967" t="s">
        <v>41</v>
      </c>
      <c r="Q4967" t="s">
        <v>75</v>
      </c>
      <c r="R4967" t="str">
        <f>"7052020"</f>
        <v>7052020</v>
      </c>
      <c r="S4967" t="s">
        <v>267</v>
      </c>
      <c r="T4967" t="s">
        <v>268</v>
      </c>
      <c r="U4967" t="s">
        <v>269</v>
      </c>
      <c r="V4967" t="s">
        <v>131</v>
      </c>
      <c r="W4967" t="s">
        <v>51</v>
      </c>
      <c r="X4967" t="s">
        <v>45</v>
      </c>
      <c r="Y4967" s="1">
        <v>28126</v>
      </c>
      <c r="Z4967">
        <v>1</v>
      </c>
      <c r="AA4967" t="s">
        <v>269</v>
      </c>
      <c r="AB4967" s="40" t="s">
        <v>1799</v>
      </c>
    </row>
    <row r="4968" spans="1:28" x14ac:dyDescent="0.25">
      <c r="A4968">
        <v>99914967</v>
      </c>
      <c r="B4968" t="s">
        <v>56</v>
      </c>
      <c r="C4968" t="s">
        <v>111</v>
      </c>
      <c r="D4968" t="s">
        <v>112</v>
      </c>
      <c r="G4968" t="s">
        <v>48</v>
      </c>
      <c r="H4968">
        <v>4</v>
      </c>
      <c r="K4968" t="s">
        <v>877</v>
      </c>
      <c r="L4968" t="s">
        <v>878</v>
      </c>
      <c r="M4968" t="s">
        <v>131</v>
      </c>
      <c r="N4968">
        <v>24</v>
      </c>
      <c r="P4968" t="s">
        <v>41</v>
      </c>
      <c r="Q4968" t="s">
        <v>75</v>
      </c>
      <c r="R4968" t="str">
        <f>"7541004"</f>
        <v>7541004</v>
      </c>
      <c r="S4968" t="s">
        <v>889</v>
      </c>
      <c r="T4968" t="s">
        <v>877</v>
      </c>
      <c r="U4968" t="s">
        <v>878</v>
      </c>
      <c r="V4968" t="s">
        <v>131</v>
      </c>
      <c r="W4968" t="s">
        <v>51</v>
      </c>
      <c r="X4968" t="s">
        <v>45</v>
      </c>
      <c r="Y4968" s="1">
        <v>28126</v>
      </c>
      <c r="Z4968">
        <v>1</v>
      </c>
      <c r="AA4968" t="s">
        <v>878</v>
      </c>
      <c r="AB4968" s="40" t="s">
        <v>1799</v>
      </c>
    </row>
    <row r="4969" spans="1:28" x14ac:dyDescent="0.25">
      <c r="A4969">
        <v>99914968</v>
      </c>
      <c r="B4969" t="s">
        <v>32</v>
      </c>
      <c r="C4969" t="s">
        <v>111</v>
      </c>
      <c r="D4969" t="s">
        <v>112</v>
      </c>
      <c r="G4969" t="s">
        <v>88</v>
      </c>
      <c r="H4969">
        <v>4</v>
      </c>
      <c r="I4969" t="s">
        <v>533</v>
      </c>
      <c r="J4969" s="1">
        <v>42248</v>
      </c>
      <c r="K4969" t="s">
        <v>195</v>
      </c>
      <c r="L4969" t="s">
        <v>196</v>
      </c>
      <c r="M4969" t="s">
        <v>131</v>
      </c>
      <c r="N4969">
        <v>24</v>
      </c>
      <c r="O4969" s="1">
        <v>42248</v>
      </c>
      <c r="P4969" t="s">
        <v>41</v>
      </c>
      <c r="Q4969" t="s">
        <v>75</v>
      </c>
      <c r="R4969" t="str">
        <f>"7521050"</f>
        <v>7521050</v>
      </c>
      <c r="S4969" t="s">
        <v>194</v>
      </c>
      <c r="T4969" t="s">
        <v>195</v>
      </c>
      <c r="U4969" t="s">
        <v>196</v>
      </c>
      <c r="V4969" t="s">
        <v>131</v>
      </c>
      <c r="W4969" t="s">
        <v>51</v>
      </c>
      <c r="X4969" t="s">
        <v>45</v>
      </c>
      <c r="Y4969" s="1">
        <v>28108</v>
      </c>
      <c r="Z4969">
        <v>1</v>
      </c>
      <c r="AA4969" t="s">
        <v>196</v>
      </c>
      <c r="AB4969" s="40" t="s">
        <v>1799</v>
      </c>
    </row>
    <row r="4970" spans="1:28" x14ac:dyDescent="0.25">
      <c r="A4970">
        <v>99914969</v>
      </c>
      <c r="B4970" t="s">
        <v>32</v>
      </c>
      <c r="C4970" t="s">
        <v>64</v>
      </c>
      <c r="D4970" t="s">
        <v>65</v>
      </c>
      <c r="G4970" t="s">
        <v>35</v>
      </c>
      <c r="H4970">
        <v>1</v>
      </c>
      <c r="I4970" s="1">
        <v>43344</v>
      </c>
      <c r="J4970" s="1">
        <v>43344</v>
      </c>
      <c r="K4970" t="s">
        <v>1341</v>
      </c>
      <c r="L4970" t="s">
        <v>1342</v>
      </c>
      <c r="M4970" t="s">
        <v>1270</v>
      </c>
      <c r="N4970">
        <v>24</v>
      </c>
      <c r="O4970" s="1">
        <v>43344</v>
      </c>
      <c r="P4970" t="s">
        <v>41</v>
      </c>
      <c r="Q4970" t="s">
        <v>75</v>
      </c>
      <c r="R4970" t="str">
        <f>"7191004"</f>
        <v>7191004</v>
      </c>
      <c r="S4970" t="s">
        <v>1344</v>
      </c>
      <c r="T4970" t="s">
        <v>1341</v>
      </c>
      <c r="U4970" t="s">
        <v>1342</v>
      </c>
      <c r="V4970" t="s">
        <v>1270</v>
      </c>
      <c r="W4970" t="s">
        <v>55</v>
      </c>
      <c r="X4970" t="s">
        <v>45</v>
      </c>
      <c r="Y4970" s="1">
        <v>28097</v>
      </c>
      <c r="Z4970">
        <v>1</v>
      </c>
      <c r="AA4970" t="s">
        <v>1342</v>
      </c>
      <c r="AB4970" s="40" t="s">
        <v>1799</v>
      </c>
    </row>
    <row r="4971" spans="1:28" x14ac:dyDescent="0.25">
      <c r="A4971">
        <v>99914970</v>
      </c>
      <c r="B4971" t="s">
        <v>32</v>
      </c>
      <c r="C4971" t="s">
        <v>79</v>
      </c>
      <c r="D4971" t="s">
        <v>80</v>
      </c>
      <c r="G4971" t="s">
        <v>48</v>
      </c>
      <c r="H4971">
        <v>1</v>
      </c>
      <c r="K4971" t="s">
        <v>154</v>
      </c>
      <c r="L4971" t="s">
        <v>155</v>
      </c>
      <c r="M4971" t="s">
        <v>131</v>
      </c>
      <c r="N4971">
        <v>24</v>
      </c>
      <c r="P4971" t="s">
        <v>41</v>
      </c>
      <c r="Q4971" t="s">
        <v>75</v>
      </c>
      <c r="R4971" t="str">
        <f>"7051018"</f>
        <v>7051018</v>
      </c>
      <c r="S4971" t="s">
        <v>401</v>
      </c>
      <c r="T4971" t="s">
        <v>154</v>
      </c>
      <c r="U4971" t="s">
        <v>155</v>
      </c>
      <c r="V4971" t="s">
        <v>131</v>
      </c>
      <c r="W4971" t="s">
        <v>51</v>
      </c>
      <c r="X4971" t="s">
        <v>45</v>
      </c>
      <c r="Y4971" s="1">
        <v>28061</v>
      </c>
      <c r="Z4971">
        <v>1</v>
      </c>
      <c r="AA4971" t="s">
        <v>155</v>
      </c>
      <c r="AB4971" s="40" t="s">
        <v>1799</v>
      </c>
    </row>
    <row r="4972" spans="1:28" x14ac:dyDescent="0.25">
      <c r="A4972">
        <v>99914971</v>
      </c>
      <c r="B4972" t="s">
        <v>32</v>
      </c>
      <c r="C4972" t="s">
        <v>143</v>
      </c>
      <c r="D4972" t="s">
        <v>144</v>
      </c>
      <c r="G4972" t="s">
        <v>48</v>
      </c>
      <c r="H4972">
        <v>10</v>
      </c>
      <c r="I4972" t="s">
        <v>464</v>
      </c>
      <c r="J4972" s="1">
        <v>41153</v>
      </c>
      <c r="K4972" t="s">
        <v>431</v>
      </c>
      <c r="L4972" t="s">
        <v>196</v>
      </c>
      <c r="M4972" t="s">
        <v>131</v>
      </c>
      <c r="N4972">
        <v>24</v>
      </c>
      <c r="O4972" s="1">
        <v>41153</v>
      </c>
      <c r="P4972" t="s">
        <v>41</v>
      </c>
      <c r="Q4972" t="s">
        <v>75</v>
      </c>
      <c r="R4972" t="str">
        <f>"7521012"</f>
        <v>7521012</v>
      </c>
      <c r="S4972" t="s">
        <v>432</v>
      </c>
      <c r="T4972" t="s">
        <v>431</v>
      </c>
      <c r="U4972" t="s">
        <v>196</v>
      </c>
      <c r="V4972" t="s">
        <v>131</v>
      </c>
      <c r="W4972" t="s">
        <v>165</v>
      </c>
      <c r="X4972" t="s">
        <v>45</v>
      </c>
      <c r="Y4972" s="1">
        <v>28053</v>
      </c>
      <c r="Z4972">
        <v>1</v>
      </c>
      <c r="AA4972" t="s">
        <v>196</v>
      </c>
      <c r="AB4972" s="40" t="s">
        <v>1799</v>
      </c>
    </row>
    <row r="4973" spans="1:28" x14ac:dyDescent="0.25">
      <c r="A4973">
        <v>99914972</v>
      </c>
      <c r="B4973" t="s">
        <v>32</v>
      </c>
      <c r="C4973" t="s">
        <v>111</v>
      </c>
      <c r="D4973" t="s">
        <v>112</v>
      </c>
      <c r="G4973" t="s">
        <v>35</v>
      </c>
      <c r="H4973">
        <v>1</v>
      </c>
      <c r="I4973" t="s">
        <v>751</v>
      </c>
      <c r="J4973" s="1">
        <v>43344</v>
      </c>
      <c r="K4973" t="s">
        <v>268</v>
      </c>
      <c r="L4973" t="s">
        <v>269</v>
      </c>
      <c r="M4973" t="s">
        <v>131</v>
      </c>
      <c r="N4973">
        <v>24</v>
      </c>
      <c r="O4973" s="1">
        <v>43344</v>
      </c>
      <c r="P4973" t="s">
        <v>41</v>
      </c>
      <c r="Q4973" t="s">
        <v>75</v>
      </c>
      <c r="R4973" t="str">
        <f>"7052020"</f>
        <v>7052020</v>
      </c>
      <c r="S4973" t="s">
        <v>267</v>
      </c>
      <c r="T4973" t="s">
        <v>268</v>
      </c>
      <c r="U4973" t="s">
        <v>269</v>
      </c>
      <c r="V4973" t="s">
        <v>131</v>
      </c>
      <c r="W4973" t="s">
        <v>51</v>
      </c>
      <c r="X4973" t="s">
        <v>45</v>
      </c>
      <c r="Y4973" s="1">
        <v>28013</v>
      </c>
      <c r="Z4973">
        <v>1</v>
      </c>
      <c r="AA4973" t="s">
        <v>269</v>
      </c>
      <c r="AB4973" s="40" t="s">
        <v>1799</v>
      </c>
    </row>
    <row r="4974" spans="1:28" x14ac:dyDescent="0.25">
      <c r="A4974">
        <v>99914973</v>
      </c>
      <c r="B4974" t="s">
        <v>32</v>
      </c>
      <c r="C4974" t="s">
        <v>90</v>
      </c>
      <c r="D4974" t="s">
        <v>91</v>
      </c>
      <c r="G4974" t="s">
        <v>35</v>
      </c>
      <c r="H4974">
        <v>1</v>
      </c>
      <c r="I4974" s="1">
        <v>39694</v>
      </c>
      <c r="J4974" s="1">
        <v>43344</v>
      </c>
      <c r="K4974" t="s">
        <v>1341</v>
      </c>
      <c r="L4974" t="s">
        <v>1342</v>
      </c>
      <c r="M4974" t="s">
        <v>1270</v>
      </c>
      <c r="N4974">
        <v>24</v>
      </c>
      <c r="O4974" s="1">
        <v>43344</v>
      </c>
      <c r="P4974" t="s">
        <v>41</v>
      </c>
      <c r="Q4974" t="s">
        <v>75</v>
      </c>
      <c r="R4974" t="str">
        <f>"7191006"</f>
        <v>7191006</v>
      </c>
      <c r="S4974" t="s">
        <v>1351</v>
      </c>
      <c r="T4974" t="s">
        <v>1341</v>
      </c>
      <c r="U4974" t="s">
        <v>1342</v>
      </c>
      <c r="V4974" t="s">
        <v>1270</v>
      </c>
      <c r="W4974" t="s">
        <v>51</v>
      </c>
      <c r="X4974" t="s">
        <v>45</v>
      </c>
      <c r="Y4974" s="1">
        <v>27945</v>
      </c>
      <c r="Z4974">
        <v>1</v>
      </c>
      <c r="AA4974" t="s">
        <v>1342</v>
      </c>
      <c r="AB4974" s="40" t="s">
        <v>1799</v>
      </c>
    </row>
    <row r="4975" spans="1:28" x14ac:dyDescent="0.25">
      <c r="A4975">
        <v>99914974</v>
      </c>
      <c r="B4975" t="s">
        <v>32</v>
      </c>
      <c r="C4975" t="s">
        <v>111</v>
      </c>
      <c r="D4975" t="s">
        <v>112</v>
      </c>
      <c r="G4975" t="s">
        <v>35</v>
      </c>
      <c r="H4975">
        <v>1</v>
      </c>
      <c r="K4975" t="s">
        <v>354</v>
      </c>
      <c r="L4975" t="s">
        <v>355</v>
      </c>
      <c r="M4975" t="s">
        <v>131</v>
      </c>
      <c r="N4975">
        <v>24</v>
      </c>
      <c r="P4975" t="s">
        <v>41</v>
      </c>
      <c r="Q4975" t="s">
        <v>75</v>
      </c>
      <c r="R4975" t="str">
        <f>"7054020"</f>
        <v>7054020</v>
      </c>
      <c r="S4975" t="s">
        <v>765</v>
      </c>
      <c r="T4975" t="s">
        <v>354</v>
      </c>
      <c r="U4975" t="s">
        <v>355</v>
      </c>
      <c r="V4975" t="s">
        <v>131</v>
      </c>
      <c r="W4975" t="s">
        <v>51</v>
      </c>
      <c r="X4975" t="s">
        <v>45</v>
      </c>
      <c r="Y4975" s="1">
        <v>27939</v>
      </c>
      <c r="Z4975">
        <v>1</v>
      </c>
      <c r="AA4975" t="s">
        <v>355</v>
      </c>
      <c r="AB4975" s="40" t="s">
        <v>1799</v>
      </c>
    </row>
    <row r="4976" spans="1:28" x14ac:dyDescent="0.25">
      <c r="A4976">
        <v>99914975</v>
      </c>
      <c r="B4976" t="s">
        <v>32</v>
      </c>
      <c r="C4976" t="s">
        <v>143</v>
      </c>
      <c r="D4976" t="s">
        <v>144</v>
      </c>
      <c r="G4976" t="s">
        <v>35</v>
      </c>
      <c r="H4976">
        <v>1</v>
      </c>
      <c r="I4976">
        <v>2326</v>
      </c>
      <c r="J4976" s="1">
        <v>43344</v>
      </c>
      <c r="K4976" t="s">
        <v>354</v>
      </c>
      <c r="L4976" t="s">
        <v>355</v>
      </c>
      <c r="M4976" t="s">
        <v>131</v>
      </c>
      <c r="N4976">
        <v>24</v>
      </c>
      <c r="O4976" s="1">
        <v>43344</v>
      </c>
      <c r="P4976" t="s">
        <v>41</v>
      </c>
      <c r="Q4976" t="s">
        <v>75</v>
      </c>
      <c r="R4976" t="str">
        <f>"7054042"</f>
        <v>7054042</v>
      </c>
      <c r="S4976" t="s">
        <v>776</v>
      </c>
      <c r="T4976" t="s">
        <v>354</v>
      </c>
      <c r="U4976" t="s">
        <v>355</v>
      </c>
      <c r="V4976" t="s">
        <v>131</v>
      </c>
      <c r="W4976" t="s">
        <v>51</v>
      </c>
      <c r="X4976" t="s">
        <v>45</v>
      </c>
      <c r="Y4976" s="1">
        <v>27914</v>
      </c>
      <c r="Z4976">
        <v>1</v>
      </c>
      <c r="AA4976" t="s">
        <v>355</v>
      </c>
      <c r="AB4976" s="40" t="s">
        <v>1799</v>
      </c>
    </row>
    <row r="4977" spans="1:28" x14ac:dyDescent="0.25">
      <c r="A4977">
        <v>99914976</v>
      </c>
      <c r="B4977" t="s">
        <v>32</v>
      </c>
      <c r="C4977" t="s">
        <v>79</v>
      </c>
      <c r="D4977" t="s">
        <v>80</v>
      </c>
      <c r="G4977" t="s">
        <v>88</v>
      </c>
      <c r="H4977">
        <v>4</v>
      </c>
      <c r="I4977" t="s">
        <v>504</v>
      </c>
      <c r="J4977" s="1">
        <v>40422</v>
      </c>
      <c r="K4977" t="s">
        <v>195</v>
      </c>
      <c r="L4977" t="s">
        <v>196</v>
      </c>
      <c r="M4977" t="s">
        <v>131</v>
      </c>
      <c r="N4977">
        <v>24</v>
      </c>
      <c r="O4977" s="1">
        <v>40422</v>
      </c>
      <c r="P4977" t="s">
        <v>41</v>
      </c>
      <c r="Q4977" t="s">
        <v>75</v>
      </c>
      <c r="R4977" t="str">
        <f>"7521050"</f>
        <v>7521050</v>
      </c>
      <c r="S4977" t="s">
        <v>194</v>
      </c>
      <c r="T4977" t="s">
        <v>195</v>
      </c>
      <c r="U4977" t="s">
        <v>196</v>
      </c>
      <c r="V4977" t="s">
        <v>131</v>
      </c>
      <c r="W4977" t="s">
        <v>51</v>
      </c>
      <c r="X4977" t="s">
        <v>45</v>
      </c>
      <c r="Y4977" s="1">
        <v>27893</v>
      </c>
      <c r="Z4977">
        <v>1</v>
      </c>
      <c r="AA4977" t="s">
        <v>196</v>
      </c>
      <c r="AB4977" s="40" t="s">
        <v>1799</v>
      </c>
    </row>
    <row r="4978" spans="1:28" x14ac:dyDescent="0.25">
      <c r="A4978">
        <v>99914977</v>
      </c>
      <c r="B4978" t="s">
        <v>32</v>
      </c>
      <c r="C4978" t="s">
        <v>111</v>
      </c>
      <c r="D4978" t="s">
        <v>112</v>
      </c>
      <c r="G4978" t="s">
        <v>48</v>
      </c>
      <c r="H4978">
        <v>1</v>
      </c>
      <c r="K4978" t="s">
        <v>431</v>
      </c>
      <c r="L4978" t="s">
        <v>196</v>
      </c>
      <c r="M4978" t="s">
        <v>131</v>
      </c>
      <c r="N4978">
        <v>24</v>
      </c>
      <c r="P4978" t="s">
        <v>41</v>
      </c>
      <c r="Q4978" t="s">
        <v>75</v>
      </c>
      <c r="R4978" t="str">
        <f>"7521016"</f>
        <v>7521016</v>
      </c>
      <c r="S4978" t="s">
        <v>448</v>
      </c>
      <c r="T4978" t="s">
        <v>431</v>
      </c>
      <c r="U4978" t="s">
        <v>196</v>
      </c>
      <c r="V4978" t="s">
        <v>131</v>
      </c>
      <c r="W4978" t="s">
        <v>51</v>
      </c>
      <c r="X4978" t="s">
        <v>45</v>
      </c>
      <c r="Y4978" s="1">
        <v>27875</v>
      </c>
      <c r="Z4978">
        <v>1</v>
      </c>
      <c r="AA4978" t="s">
        <v>196</v>
      </c>
      <c r="AB4978" s="40" t="s">
        <v>1799</v>
      </c>
    </row>
    <row r="4979" spans="1:28" x14ac:dyDescent="0.25">
      <c r="A4979">
        <v>99914978</v>
      </c>
      <c r="B4979" t="s">
        <v>32</v>
      </c>
      <c r="C4979" t="s">
        <v>90</v>
      </c>
      <c r="D4979" t="s">
        <v>91</v>
      </c>
      <c r="G4979" t="s">
        <v>35</v>
      </c>
      <c r="H4979">
        <v>1</v>
      </c>
      <c r="K4979" t="s">
        <v>195</v>
      </c>
      <c r="L4979" t="s">
        <v>196</v>
      </c>
      <c r="M4979" t="s">
        <v>131</v>
      </c>
      <c r="N4979">
        <v>24</v>
      </c>
      <c r="P4979" t="s">
        <v>41</v>
      </c>
      <c r="Q4979" t="s">
        <v>75</v>
      </c>
      <c r="R4979" t="str">
        <f>"7521000"</f>
        <v>7521000</v>
      </c>
      <c r="S4979" t="s">
        <v>450</v>
      </c>
      <c r="T4979" t="s">
        <v>195</v>
      </c>
      <c r="U4979" t="s">
        <v>196</v>
      </c>
      <c r="V4979" t="s">
        <v>131</v>
      </c>
      <c r="W4979" t="s">
        <v>44</v>
      </c>
      <c r="X4979" t="s">
        <v>45</v>
      </c>
      <c r="Y4979" s="1">
        <v>27857</v>
      </c>
      <c r="Z4979">
        <v>1</v>
      </c>
      <c r="AA4979" t="s">
        <v>196</v>
      </c>
      <c r="AB4979" s="40" t="s">
        <v>1799</v>
      </c>
    </row>
    <row r="4980" spans="1:28" x14ac:dyDescent="0.25">
      <c r="A4980">
        <v>99914979</v>
      </c>
      <c r="B4980" t="s">
        <v>56</v>
      </c>
      <c r="C4980" t="s">
        <v>111</v>
      </c>
      <c r="D4980" t="s">
        <v>112</v>
      </c>
      <c r="G4980" t="s">
        <v>88</v>
      </c>
      <c r="H4980">
        <v>6</v>
      </c>
      <c r="K4980" t="s">
        <v>354</v>
      </c>
      <c r="L4980" t="s">
        <v>355</v>
      </c>
      <c r="M4980" t="s">
        <v>131</v>
      </c>
      <c r="N4980">
        <v>24</v>
      </c>
      <c r="P4980" t="s">
        <v>41</v>
      </c>
      <c r="Q4980" t="s">
        <v>75</v>
      </c>
      <c r="R4980" t="str">
        <f>"7054022"</f>
        <v>7054022</v>
      </c>
      <c r="S4980" t="s">
        <v>770</v>
      </c>
      <c r="T4980" t="s">
        <v>354</v>
      </c>
      <c r="U4980" t="s">
        <v>355</v>
      </c>
      <c r="V4980" t="s">
        <v>131</v>
      </c>
      <c r="W4980" t="s">
        <v>51</v>
      </c>
      <c r="X4980" t="s">
        <v>45</v>
      </c>
      <c r="Y4980" s="1">
        <v>27854</v>
      </c>
      <c r="Z4980">
        <v>1</v>
      </c>
      <c r="AA4980" t="s">
        <v>355</v>
      </c>
      <c r="AB4980" s="40" t="s">
        <v>1799</v>
      </c>
    </row>
    <row r="4981" spans="1:28" x14ac:dyDescent="0.25">
      <c r="A4981">
        <v>99914980</v>
      </c>
      <c r="B4981" t="s">
        <v>32</v>
      </c>
      <c r="C4981" t="s">
        <v>64</v>
      </c>
      <c r="D4981" t="s">
        <v>65</v>
      </c>
      <c r="G4981" t="s">
        <v>35</v>
      </c>
      <c r="H4981">
        <v>1</v>
      </c>
      <c r="I4981">
        <v>0</v>
      </c>
      <c r="J4981" s="1">
        <v>43344</v>
      </c>
      <c r="K4981" t="s">
        <v>223</v>
      </c>
      <c r="L4981" t="s">
        <v>224</v>
      </c>
      <c r="M4981" t="s">
        <v>131</v>
      </c>
      <c r="N4981">
        <v>24</v>
      </c>
      <c r="O4981" s="1">
        <v>43344</v>
      </c>
      <c r="P4981" t="s">
        <v>41</v>
      </c>
      <c r="Q4981" t="s">
        <v>49</v>
      </c>
      <c r="R4981" t="str">
        <f>"0591901"</f>
        <v>0591901</v>
      </c>
      <c r="S4981" t="s">
        <v>230</v>
      </c>
      <c r="T4981" t="s">
        <v>223</v>
      </c>
      <c r="U4981" t="s">
        <v>224</v>
      </c>
      <c r="V4981" t="s">
        <v>131</v>
      </c>
      <c r="W4981" t="s">
        <v>44</v>
      </c>
      <c r="X4981" t="s">
        <v>45</v>
      </c>
      <c r="Y4981" s="1">
        <v>27850</v>
      </c>
      <c r="Z4981">
        <v>2</v>
      </c>
      <c r="AA4981" t="s">
        <v>224</v>
      </c>
      <c r="AB4981" s="40" t="s">
        <v>1799</v>
      </c>
    </row>
    <row r="4982" spans="1:28" x14ac:dyDescent="0.25">
      <c r="A4982">
        <v>99914981</v>
      </c>
      <c r="B4982" t="s">
        <v>32</v>
      </c>
      <c r="C4982" t="s">
        <v>64</v>
      </c>
      <c r="D4982" t="s">
        <v>65</v>
      </c>
      <c r="G4982" t="s">
        <v>35</v>
      </c>
      <c r="H4982">
        <v>1</v>
      </c>
      <c r="K4982" t="s">
        <v>154</v>
      </c>
      <c r="L4982" t="s">
        <v>155</v>
      </c>
      <c r="M4982" t="s">
        <v>131</v>
      </c>
      <c r="N4982">
        <v>24</v>
      </c>
      <c r="P4982" t="s">
        <v>41</v>
      </c>
      <c r="Q4982" t="s">
        <v>75</v>
      </c>
      <c r="R4982" t="str">
        <f>"7051026"</f>
        <v>7051026</v>
      </c>
      <c r="S4982" t="s">
        <v>396</v>
      </c>
      <c r="T4982" t="s">
        <v>154</v>
      </c>
      <c r="U4982" t="s">
        <v>155</v>
      </c>
      <c r="V4982" t="s">
        <v>131</v>
      </c>
      <c r="W4982" t="s">
        <v>51</v>
      </c>
      <c r="X4982" t="s">
        <v>45</v>
      </c>
      <c r="Y4982" s="1">
        <v>27846</v>
      </c>
      <c r="Z4982">
        <v>1</v>
      </c>
      <c r="AA4982" t="s">
        <v>155</v>
      </c>
      <c r="AB4982" s="40" t="s">
        <v>1799</v>
      </c>
    </row>
    <row r="4983" spans="1:28" x14ac:dyDescent="0.25">
      <c r="A4983">
        <v>99914982</v>
      </c>
      <c r="B4983" t="s">
        <v>32</v>
      </c>
      <c r="C4983" t="s">
        <v>64</v>
      </c>
      <c r="D4983" t="s">
        <v>65</v>
      </c>
      <c r="G4983" t="s">
        <v>35</v>
      </c>
      <c r="H4983">
        <v>1</v>
      </c>
      <c r="I4983" t="s">
        <v>570</v>
      </c>
      <c r="J4983" s="1">
        <v>43344</v>
      </c>
      <c r="K4983" t="s">
        <v>431</v>
      </c>
      <c r="L4983" t="s">
        <v>196</v>
      </c>
      <c r="M4983" t="s">
        <v>131</v>
      </c>
      <c r="N4983">
        <v>24</v>
      </c>
      <c r="O4983" s="1">
        <v>43344</v>
      </c>
      <c r="P4983" t="s">
        <v>41</v>
      </c>
      <c r="Q4983" t="s">
        <v>75</v>
      </c>
      <c r="R4983" t="str">
        <f>"7521030"</f>
        <v>7521030</v>
      </c>
      <c r="S4983" t="s">
        <v>571</v>
      </c>
      <c r="T4983" t="s">
        <v>431</v>
      </c>
      <c r="U4983" t="s">
        <v>196</v>
      </c>
      <c r="V4983" t="s">
        <v>131</v>
      </c>
      <c r="W4983" t="s">
        <v>51</v>
      </c>
      <c r="X4983" t="s">
        <v>45</v>
      </c>
      <c r="Y4983" s="1">
        <v>27803</v>
      </c>
      <c r="Z4983">
        <v>1</v>
      </c>
      <c r="AA4983" t="s">
        <v>196</v>
      </c>
      <c r="AB4983" s="40" t="s">
        <v>1799</v>
      </c>
    </row>
    <row r="4984" spans="1:28" x14ac:dyDescent="0.25">
      <c r="A4984">
        <v>99914983</v>
      </c>
      <c r="B4984" t="s">
        <v>56</v>
      </c>
      <c r="C4984" t="s">
        <v>79</v>
      </c>
      <c r="D4984" t="s">
        <v>80</v>
      </c>
      <c r="G4984" t="s">
        <v>35</v>
      </c>
      <c r="H4984">
        <v>1</v>
      </c>
      <c r="K4984" t="s">
        <v>431</v>
      </c>
      <c r="L4984" t="s">
        <v>196</v>
      </c>
      <c r="M4984" t="s">
        <v>131</v>
      </c>
      <c r="N4984">
        <v>24</v>
      </c>
      <c r="P4984" t="s">
        <v>41</v>
      </c>
      <c r="Q4984" t="s">
        <v>75</v>
      </c>
      <c r="R4984" t="str">
        <f>"7521032"</f>
        <v>7521032</v>
      </c>
      <c r="S4984" t="s">
        <v>462</v>
      </c>
      <c r="T4984" t="s">
        <v>431</v>
      </c>
      <c r="U4984" t="s">
        <v>196</v>
      </c>
      <c r="V4984" t="s">
        <v>131</v>
      </c>
      <c r="W4984" t="s">
        <v>51</v>
      </c>
      <c r="X4984" t="s">
        <v>45</v>
      </c>
      <c r="Y4984" s="1">
        <v>27760</v>
      </c>
      <c r="Z4984">
        <v>1</v>
      </c>
      <c r="AA4984" t="s">
        <v>196</v>
      </c>
      <c r="AB4984" s="40" t="s">
        <v>1799</v>
      </c>
    </row>
    <row r="4985" spans="1:28" x14ac:dyDescent="0.25">
      <c r="A4985">
        <v>99914984</v>
      </c>
      <c r="B4985" t="s">
        <v>32</v>
      </c>
      <c r="C4985" t="s">
        <v>139</v>
      </c>
      <c r="D4985" t="s">
        <v>140</v>
      </c>
      <c r="G4985" t="s">
        <v>35</v>
      </c>
      <c r="H4985">
        <v>1</v>
      </c>
      <c r="I4985">
        <v>13026</v>
      </c>
      <c r="J4985" s="1">
        <v>43344</v>
      </c>
      <c r="K4985" t="s">
        <v>354</v>
      </c>
      <c r="L4985" t="s">
        <v>355</v>
      </c>
      <c r="M4985" t="s">
        <v>131</v>
      </c>
      <c r="N4985">
        <v>24</v>
      </c>
      <c r="O4985" s="1">
        <v>43344</v>
      </c>
      <c r="P4985" t="s">
        <v>41</v>
      </c>
      <c r="Q4985" t="s">
        <v>75</v>
      </c>
      <c r="R4985" t="str">
        <f>"7054042"</f>
        <v>7054042</v>
      </c>
      <c r="S4985" t="s">
        <v>776</v>
      </c>
      <c r="T4985" t="s">
        <v>354</v>
      </c>
      <c r="U4985" t="s">
        <v>355</v>
      </c>
      <c r="V4985" t="s">
        <v>131</v>
      </c>
      <c r="W4985" t="s">
        <v>51</v>
      </c>
      <c r="X4985" t="s">
        <v>45</v>
      </c>
      <c r="Y4985" s="1">
        <v>27760</v>
      </c>
      <c r="Z4985">
        <v>1</v>
      </c>
      <c r="AA4985" t="s">
        <v>355</v>
      </c>
      <c r="AB4985" s="40" t="s">
        <v>1799</v>
      </c>
    </row>
    <row r="4986" spans="1:28" x14ac:dyDescent="0.25">
      <c r="A4986">
        <v>99914985</v>
      </c>
      <c r="B4986" t="s">
        <v>32</v>
      </c>
      <c r="C4986" t="s">
        <v>117</v>
      </c>
      <c r="D4986" t="s">
        <v>118</v>
      </c>
      <c r="G4986" t="s">
        <v>35</v>
      </c>
      <c r="H4986">
        <v>1</v>
      </c>
      <c r="K4986" t="s">
        <v>1198</v>
      </c>
      <c r="L4986" t="s">
        <v>1199</v>
      </c>
      <c r="M4986" t="s">
        <v>1130</v>
      </c>
      <c r="N4986">
        <v>24</v>
      </c>
      <c r="P4986" t="s">
        <v>41</v>
      </c>
      <c r="Q4986" t="s">
        <v>75</v>
      </c>
      <c r="R4986" t="str">
        <f>"7311006"</f>
        <v>7311006</v>
      </c>
      <c r="S4986" t="s">
        <v>1200</v>
      </c>
      <c r="T4986" t="s">
        <v>1198</v>
      </c>
      <c r="U4986" t="s">
        <v>1199</v>
      </c>
      <c r="V4986" t="s">
        <v>1130</v>
      </c>
      <c r="W4986" t="s">
        <v>51</v>
      </c>
      <c r="X4986" t="s">
        <v>45</v>
      </c>
      <c r="Y4986" s="1">
        <v>27760</v>
      </c>
      <c r="Z4986">
        <v>1</v>
      </c>
      <c r="AA4986" t="s">
        <v>1199</v>
      </c>
      <c r="AB4986" s="40" t="s">
        <v>1799</v>
      </c>
    </row>
    <row r="4987" spans="1:28" x14ac:dyDescent="0.25">
      <c r="A4987">
        <v>99914986</v>
      </c>
      <c r="B4987" t="s">
        <v>32</v>
      </c>
      <c r="C4987" t="s">
        <v>64</v>
      </c>
      <c r="D4987" t="s">
        <v>65</v>
      </c>
      <c r="G4987" t="s">
        <v>35</v>
      </c>
      <c r="H4987">
        <v>1</v>
      </c>
      <c r="I4987">
        <v>13658</v>
      </c>
      <c r="J4987" s="1">
        <v>43344</v>
      </c>
      <c r="K4987" t="s">
        <v>1198</v>
      </c>
      <c r="L4987" t="s">
        <v>1199</v>
      </c>
      <c r="M4987" t="s">
        <v>1130</v>
      </c>
      <c r="N4987">
        <v>24</v>
      </c>
      <c r="O4987" s="1">
        <v>43344</v>
      </c>
      <c r="P4987" t="s">
        <v>41</v>
      </c>
      <c r="Q4987" t="s">
        <v>75</v>
      </c>
      <c r="R4987" t="str">
        <f>"7311002"</f>
        <v>7311002</v>
      </c>
      <c r="S4987" t="s">
        <v>1203</v>
      </c>
      <c r="T4987" t="s">
        <v>1198</v>
      </c>
      <c r="U4987" t="s">
        <v>1199</v>
      </c>
      <c r="V4987" t="s">
        <v>1130</v>
      </c>
      <c r="W4987" t="s">
        <v>51</v>
      </c>
      <c r="X4987" t="s">
        <v>45</v>
      </c>
      <c r="Y4987" s="1">
        <v>27760</v>
      </c>
      <c r="Z4987">
        <v>1</v>
      </c>
      <c r="AA4987" t="s">
        <v>1199</v>
      </c>
      <c r="AB4987" s="40" t="s">
        <v>1799</v>
      </c>
    </row>
    <row r="4988" spans="1:28" x14ac:dyDescent="0.25">
      <c r="A4988">
        <v>99914987</v>
      </c>
      <c r="B4988" t="s">
        <v>32</v>
      </c>
      <c r="C4988" t="s">
        <v>64</v>
      </c>
      <c r="D4988" t="s">
        <v>65</v>
      </c>
      <c r="G4988" t="s">
        <v>35</v>
      </c>
      <c r="H4988">
        <v>1</v>
      </c>
      <c r="I4988" s="1">
        <v>42688</v>
      </c>
      <c r="J4988" s="1">
        <v>43344</v>
      </c>
      <c r="K4988" t="s">
        <v>1341</v>
      </c>
      <c r="L4988" t="s">
        <v>1342</v>
      </c>
      <c r="M4988" t="s">
        <v>1270</v>
      </c>
      <c r="N4988">
        <v>24</v>
      </c>
      <c r="O4988" s="1">
        <v>43344</v>
      </c>
      <c r="P4988" t="s">
        <v>41</v>
      </c>
      <c r="Q4988" t="s">
        <v>75</v>
      </c>
      <c r="R4988" t="str">
        <f>"7191000"</f>
        <v>7191000</v>
      </c>
      <c r="S4988" t="s">
        <v>1347</v>
      </c>
      <c r="T4988" t="s">
        <v>1341</v>
      </c>
      <c r="U4988" t="s">
        <v>1342</v>
      </c>
      <c r="V4988" t="s">
        <v>1270</v>
      </c>
      <c r="W4988" t="s">
        <v>51</v>
      </c>
      <c r="X4988" t="s">
        <v>45</v>
      </c>
      <c r="Y4988" s="1">
        <v>27760</v>
      </c>
      <c r="Z4988">
        <v>1</v>
      </c>
      <c r="AA4988" t="s">
        <v>1342</v>
      </c>
      <c r="AB4988" s="40" t="s">
        <v>1799</v>
      </c>
    </row>
    <row r="4989" spans="1:28" x14ac:dyDescent="0.25">
      <c r="A4989">
        <v>99914988</v>
      </c>
      <c r="B4989" t="s">
        <v>32</v>
      </c>
      <c r="C4989" t="s">
        <v>111</v>
      </c>
      <c r="D4989" t="s">
        <v>112</v>
      </c>
      <c r="G4989" t="s">
        <v>48</v>
      </c>
      <c r="H4989">
        <v>1</v>
      </c>
      <c r="I4989" t="s">
        <v>1450</v>
      </c>
      <c r="J4989" s="1">
        <v>41652</v>
      </c>
      <c r="K4989" t="s">
        <v>1426</v>
      </c>
      <c r="L4989" t="s">
        <v>1427</v>
      </c>
      <c r="M4989" t="s">
        <v>1270</v>
      </c>
      <c r="N4989">
        <v>24</v>
      </c>
      <c r="O4989" s="1">
        <v>41652</v>
      </c>
      <c r="P4989" t="s">
        <v>41</v>
      </c>
      <c r="Q4989" t="s">
        <v>75</v>
      </c>
      <c r="R4989" t="str">
        <f>"7192000"</f>
        <v>7192000</v>
      </c>
      <c r="S4989" t="s">
        <v>1429</v>
      </c>
      <c r="T4989" t="s">
        <v>1426</v>
      </c>
      <c r="U4989" t="s">
        <v>1427</v>
      </c>
      <c r="V4989" t="s">
        <v>1270</v>
      </c>
      <c r="W4989" t="s">
        <v>51</v>
      </c>
      <c r="X4989" t="s">
        <v>45</v>
      </c>
      <c r="Y4989" s="1">
        <v>27760</v>
      </c>
      <c r="Z4989">
        <v>1</v>
      </c>
      <c r="AA4989" t="s">
        <v>1427</v>
      </c>
      <c r="AB4989" s="40" t="s">
        <v>1799</v>
      </c>
    </row>
    <row r="4990" spans="1:28" x14ac:dyDescent="0.25">
      <c r="A4990">
        <v>99914989</v>
      </c>
      <c r="B4990" t="s">
        <v>32</v>
      </c>
      <c r="C4990" t="s">
        <v>111</v>
      </c>
      <c r="D4990" t="s">
        <v>112</v>
      </c>
      <c r="G4990" t="s">
        <v>35</v>
      </c>
      <c r="H4990">
        <v>1</v>
      </c>
      <c r="K4990" t="s">
        <v>431</v>
      </c>
      <c r="L4990" t="s">
        <v>196</v>
      </c>
      <c r="M4990" t="s">
        <v>131</v>
      </c>
      <c r="N4990">
        <v>24</v>
      </c>
      <c r="P4990" t="s">
        <v>41</v>
      </c>
      <c r="Q4990" t="s">
        <v>75</v>
      </c>
      <c r="R4990" t="str">
        <f>"7521032"</f>
        <v>7521032</v>
      </c>
      <c r="S4990" t="s">
        <v>462</v>
      </c>
      <c r="T4990" t="s">
        <v>431</v>
      </c>
      <c r="U4990" t="s">
        <v>196</v>
      </c>
      <c r="V4990" t="s">
        <v>131</v>
      </c>
      <c r="W4990" t="s">
        <v>51</v>
      </c>
      <c r="X4990" t="s">
        <v>45</v>
      </c>
      <c r="Y4990" s="1">
        <v>27728</v>
      </c>
      <c r="Z4990">
        <v>1</v>
      </c>
      <c r="AA4990" t="s">
        <v>196</v>
      </c>
      <c r="AB4990" s="40" t="s">
        <v>1799</v>
      </c>
    </row>
    <row r="4991" spans="1:28" x14ac:dyDescent="0.25">
      <c r="A4991">
        <v>99914990</v>
      </c>
      <c r="B4991" t="s">
        <v>32</v>
      </c>
      <c r="C4991" t="s">
        <v>64</v>
      </c>
      <c r="D4991" t="s">
        <v>65</v>
      </c>
      <c r="G4991" t="s">
        <v>35</v>
      </c>
      <c r="H4991">
        <v>3</v>
      </c>
      <c r="I4991" t="s">
        <v>726</v>
      </c>
      <c r="J4991" s="1">
        <v>43388</v>
      </c>
      <c r="K4991" t="s">
        <v>268</v>
      </c>
      <c r="L4991" t="s">
        <v>269</v>
      </c>
      <c r="M4991" t="s">
        <v>131</v>
      </c>
      <c r="N4991">
        <v>24</v>
      </c>
      <c r="O4991" s="1">
        <v>43388</v>
      </c>
      <c r="P4991" t="s">
        <v>41</v>
      </c>
      <c r="Q4991" t="s">
        <v>75</v>
      </c>
      <c r="R4991" t="str">
        <f>"7052006"</f>
        <v>7052006</v>
      </c>
      <c r="S4991" t="s">
        <v>575</v>
      </c>
      <c r="T4991" t="s">
        <v>268</v>
      </c>
      <c r="U4991" t="s">
        <v>269</v>
      </c>
      <c r="V4991" t="s">
        <v>131</v>
      </c>
      <c r="W4991" t="s">
        <v>51</v>
      </c>
      <c r="X4991" t="s">
        <v>45</v>
      </c>
      <c r="Y4991" s="1">
        <v>27652</v>
      </c>
      <c r="Z4991">
        <v>1</v>
      </c>
      <c r="AA4991" t="s">
        <v>269</v>
      </c>
      <c r="AB4991" s="40" t="s">
        <v>1799</v>
      </c>
    </row>
    <row r="4992" spans="1:28" x14ac:dyDescent="0.25">
      <c r="A4992">
        <v>99914991</v>
      </c>
      <c r="B4992" t="s">
        <v>56</v>
      </c>
      <c r="C4992" t="s">
        <v>68</v>
      </c>
      <c r="D4992" t="s">
        <v>69</v>
      </c>
      <c r="G4992" t="s">
        <v>48</v>
      </c>
      <c r="H4992">
        <v>1</v>
      </c>
      <c r="K4992" t="s">
        <v>300</v>
      </c>
      <c r="L4992" t="s">
        <v>301</v>
      </c>
      <c r="M4992" t="s">
        <v>131</v>
      </c>
      <c r="N4992">
        <v>24</v>
      </c>
      <c r="P4992" t="s">
        <v>41</v>
      </c>
      <c r="Q4992" t="s">
        <v>49</v>
      </c>
      <c r="R4992" t="str">
        <f>"0560022"</f>
        <v>0560022</v>
      </c>
      <c r="S4992" t="s">
        <v>314</v>
      </c>
      <c r="T4992" t="s">
        <v>300</v>
      </c>
      <c r="U4992" t="s">
        <v>301</v>
      </c>
      <c r="V4992" t="s">
        <v>131</v>
      </c>
      <c r="W4992" t="s">
        <v>51</v>
      </c>
      <c r="X4992" t="s">
        <v>45</v>
      </c>
      <c r="Y4992" s="1">
        <v>27633</v>
      </c>
      <c r="Z4992">
        <v>2</v>
      </c>
      <c r="AA4992" t="s">
        <v>301</v>
      </c>
      <c r="AB4992" s="40" t="s">
        <v>1799</v>
      </c>
    </row>
    <row r="4993" spans="1:28" x14ac:dyDescent="0.25">
      <c r="A4993">
        <v>99914992</v>
      </c>
      <c r="B4993" t="s">
        <v>56</v>
      </c>
      <c r="C4993" t="s">
        <v>64</v>
      </c>
      <c r="D4993" t="s">
        <v>65</v>
      </c>
      <c r="G4993" t="s">
        <v>48</v>
      </c>
      <c r="H4993">
        <v>1</v>
      </c>
      <c r="K4993" t="s">
        <v>1695</v>
      </c>
      <c r="L4993" t="s">
        <v>1696</v>
      </c>
      <c r="M4993" t="s">
        <v>1592</v>
      </c>
      <c r="N4993">
        <v>24</v>
      </c>
      <c r="P4993" t="s">
        <v>41</v>
      </c>
      <c r="Q4993" t="s">
        <v>75</v>
      </c>
      <c r="R4993" t="str">
        <f>"7361000"</f>
        <v>7361000</v>
      </c>
      <c r="S4993" t="s">
        <v>1698</v>
      </c>
      <c r="T4993" t="s">
        <v>1695</v>
      </c>
      <c r="U4993" t="s">
        <v>1696</v>
      </c>
      <c r="V4993" t="s">
        <v>1592</v>
      </c>
      <c r="W4993" t="s">
        <v>51</v>
      </c>
      <c r="X4993" t="s">
        <v>45</v>
      </c>
      <c r="Y4993" s="1">
        <v>27628</v>
      </c>
      <c r="Z4993">
        <v>1</v>
      </c>
      <c r="AA4993" t="s">
        <v>1696</v>
      </c>
      <c r="AB4993" s="40" t="s">
        <v>1799</v>
      </c>
    </row>
    <row r="4994" spans="1:28" x14ac:dyDescent="0.25">
      <c r="A4994">
        <v>99914993</v>
      </c>
      <c r="B4994" t="s">
        <v>32</v>
      </c>
      <c r="C4994" t="s">
        <v>64</v>
      </c>
      <c r="D4994" t="s">
        <v>65</v>
      </c>
      <c r="G4994" t="s">
        <v>35</v>
      </c>
      <c r="H4994">
        <v>1</v>
      </c>
      <c r="I4994" s="1">
        <v>42614</v>
      </c>
      <c r="J4994" s="1">
        <v>43344</v>
      </c>
      <c r="K4994" t="s">
        <v>1341</v>
      </c>
      <c r="L4994" t="s">
        <v>1342</v>
      </c>
      <c r="M4994" t="s">
        <v>1270</v>
      </c>
      <c r="N4994">
        <v>24</v>
      </c>
      <c r="O4994" s="1">
        <v>43344</v>
      </c>
      <c r="P4994" t="s">
        <v>41</v>
      </c>
      <c r="Q4994" t="s">
        <v>75</v>
      </c>
      <c r="R4994" t="str">
        <f>"7191004"</f>
        <v>7191004</v>
      </c>
      <c r="S4994" t="s">
        <v>1344</v>
      </c>
      <c r="T4994" t="s">
        <v>1341</v>
      </c>
      <c r="U4994" t="s">
        <v>1342</v>
      </c>
      <c r="V4994" t="s">
        <v>1270</v>
      </c>
      <c r="W4994" t="s">
        <v>51</v>
      </c>
      <c r="X4994" t="s">
        <v>45</v>
      </c>
      <c r="Y4994" s="1">
        <v>27626</v>
      </c>
      <c r="Z4994">
        <v>1</v>
      </c>
      <c r="AA4994" t="s">
        <v>1342</v>
      </c>
      <c r="AB4994" s="40" t="s">
        <v>1799</v>
      </c>
    </row>
    <row r="4995" spans="1:28" x14ac:dyDescent="0.25">
      <c r="A4995">
        <v>99914994</v>
      </c>
      <c r="B4995" t="s">
        <v>32</v>
      </c>
      <c r="C4995" t="s">
        <v>46</v>
      </c>
      <c r="D4995" t="s">
        <v>47</v>
      </c>
      <c r="G4995" t="s">
        <v>48</v>
      </c>
      <c r="H4995">
        <v>1</v>
      </c>
      <c r="K4995" t="s">
        <v>223</v>
      </c>
      <c r="L4995" t="s">
        <v>224</v>
      </c>
      <c r="M4995" t="s">
        <v>131</v>
      </c>
      <c r="N4995">
        <v>24</v>
      </c>
      <c r="P4995" t="s">
        <v>41</v>
      </c>
      <c r="Q4995" t="s">
        <v>42</v>
      </c>
      <c r="R4995" t="str">
        <f>"0590910"</f>
        <v>0590910</v>
      </c>
      <c r="S4995" t="s">
        <v>227</v>
      </c>
      <c r="T4995" t="s">
        <v>223</v>
      </c>
      <c r="U4995" t="s">
        <v>224</v>
      </c>
      <c r="V4995" t="s">
        <v>131</v>
      </c>
      <c r="W4995" t="s">
        <v>51</v>
      </c>
      <c r="X4995" t="s">
        <v>45</v>
      </c>
      <c r="Y4995" s="1">
        <v>27619</v>
      </c>
      <c r="Z4995">
        <v>2</v>
      </c>
      <c r="AA4995" t="s">
        <v>224</v>
      </c>
      <c r="AB4995" s="40" t="s">
        <v>1799</v>
      </c>
    </row>
    <row r="4996" spans="1:28" x14ac:dyDescent="0.25">
      <c r="A4996">
        <v>99914995</v>
      </c>
      <c r="B4996" t="s">
        <v>32</v>
      </c>
      <c r="C4996" t="s">
        <v>64</v>
      </c>
      <c r="D4996" t="s">
        <v>65</v>
      </c>
      <c r="G4996" t="s">
        <v>88</v>
      </c>
      <c r="H4996">
        <v>3</v>
      </c>
      <c r="I4996" t="s">
        <v>554</v>
      </c>
      <c r="J4996" s="1">
        <v>40422</v>
      </c>
      <c r="K4996" t="s">
        <v>431</v>
      </c>
      <c r="L4996" t="s">
        <v>196</v>
      </c>
      <c r="M4996" t="s">
        <v>131</v>
      </c>
      <c r="N4996">
        <v>24</v>
      </c>
      <c r="O4996" s="1">
        <v>40422</v>
      </c>
      <c r="P4996" t="s">
        <v>41</v>
      </c>
      <c r="Q4996" t="s">
        <v>75</v>
      </c>
      <c r="R4996" t="str">
        <f>"7521022"</f>
        <v>7521022</v>
      </c>
      <c r="S4996" t="s">
        <v>445</v>
      </c>
      <c r="T4996" t="s">
        <v>431</v>
      </c>
      <c r="U4996" t="s">
        <v>196</v>
      </c>
      <c r="V4996" t="s">
        <v>131</v>
      </c>
      <c r="W4996" t="s">
        <v>51</v>
      </c>
      <c r="X4996" t="s">
        <v>45</v>
      </c>
      <c r="Y4996" s="1">
        <v>27559</v>
      </c>
      <c r="Z4996">
        <v>1</v>
      </c>
      <c r="AA4996" t="s">
        <v>196</v>
      </c>
      <c r="AB4996" s="40" t="s">
        <v>1799</v>
      </c>
    </row>
    <row r="4997" spans="1:28" x14ac:dyDescent="0.25">
      <c r="A4997">
        <v>99914996</v>
      </c>
      <c r="B4997" t="s">
        <v>32</v>
      </c>
      <c r="C4997" t="s">
        <v>90</v>
      </c>
      <c r="D4997" t="s">
        <v>91</v>
      </c>
      <c r="G4997" t="s">
        <v>35</v>
      </c>
      <c r="H4997">
        <v>1</v>
      </c>
      <c r="I4997" t="s">
        <v>1400</v>
      </c>
      <c r="J4997" s="1">
        <v>43344</v>
      </c>
      <c r="K4997" t="s">
        <v>1341</v>
      </c>
      <c r="L4997" t="s">
        <v>1342</v>
      </c>
      <c r="M4997" t="s">
        <v>1270</v>
      </c>
      <c r="N4997">
        <v>24</v>
      </c>
      <c r="O4997" s="1">
        <v>43344</v>
      </c>
      <c r="P4997" t="s">
        <v>41</v>
      </c>
      <c r="Q4997" t="s">
        <v>95</v>
      </c>
      <c r="R4997" t="str">
        <f>"7191103"</f>
        <v>7191103</v>
      </c>
      <c r="S4997" t="s">
        <v>1419</v>
      </c>
      <c r="T4997" t="s">
        <v>1341</v>
      </c>
      <c r="U4997" t="s">
        <v>1342</v>
      </c>
      <c r="V4997" t="s">
        <v>1270</v>
      </c>
      <c r="W4997" t="s">
        <v>44</v>
      </c>
      <c r="X4997" t="s">
        <v>45</v>
      </c>
      <c r="Y4997" s="1">
        <v>27550</v>
      </c>
      <c r="Z4997">
        <v>1</v>
      </c>
      <c r="AA4997" t="s">
        <v>1342</v>
      </c>
      <c r="AB4997" s="40" t="s">
        <v>1799</v>
      </c>
    </row>
    <row r="4998" spans="1:28" x14ac:dyDescent="0.25">
      <c r="A4998">
        <v>99914997</v>
      </c>
      <c r="B4998" t="s">
        <v>32</v>
      </c>
      <c r="C4998" t="s">
        <v>90</v>
      </c>
      <c r="D4998" t="s">
        <v>91</v>
      </c>
      <c r="G4998" t="s">
        <v>35</v>
      </c>
      <c r="H4998">
        <v>1</v>
      </c>
      <c r="K4998" t="s">
        <v>877</v>
      </c>
      <c r="L4998" t="s">
        <v>878</v>
      </c>
      <c r="M4998" t="s">
        <v>131</v>
      </c>
      <c r="N4998">
        <v>24</v>
      </c>
      <c r="P4998" t="s">
        <v>41</v>
      </c>
      <c r="Q4998" t="s">
        <v>75</v>
      </c>
      <c r="R4998" t="str">
        <f>"7700025"</f>
        <v>7700025</v>
      </c>
      <c r="S4998" t="s">
        <v>880</v>
      </c>
      <c r="T4998" t="s">
        <v>877</v>
      </c>
      <c r="U4998" t="s">
        <v>878</v>
      </c>
      <c r="V4998" t="s">
        <v>131</v>
      </c>
      <c r="W4998" t="s">
        <v>51</v>
      </c>
      <c r="X4998" t="s">
        <v>45</v>
      </c>
      <c r="Y4998" s="1">
        <v>27498</v>
      </c>
      <c r="Z4998">
        <v>1</v>
      </c>
      <c r="AA4998" t="s">
        <v>878</v>
      </c>
      <c r="AB4998" s="40" t="s">
        <v>1799</v>
      </c>
    </row>
    <row r="4999" spans="1:28" x14ac:dyDescent="0.25">
      <c r="A4999">
        <v>99914998</v>
      </c>
      <c r="B4999" t="s">
        <v>32</v>
      </c>
      <c r="C4999" t="s">
        <v>64</v>
      </c>
      <c r="D4999" t="s">
        <v>65</v>
      </c>
      <c r="G4999" t="s">
        <v>48</v>
      </c>
      <c r="H4999">
        <v>5</v>
      </c>
      <c r="I4999" t="s">
        <v>464</v>
      </c>
      <c r="J4999" s="1">
        <v>41153</v>
      </c>
      <c r="K4999" t="s">
        <v>431</v>
      </c>
      <c r="L4999" t="s">
        <v>196</v>
      </c>
      <c r="M4999" t="s">
        <v>131</v>
      </c>
      <c r="N4999">
        <v>24</v>
      </c>
      <c r="O4999" s="1">
        <v>41153</v>
      </c>
      <c r="P4999" t="s">
        <v>41</v>
      </c>
      <c r="Q4999" t="s">
        <v>75</v>
      </c>
      <c r="R4999" t="str">
        <f>"7521012"</f>
        <v>7521012</v>
      </c>
      <c r="S4999" t="s">
        <v>432</v>
      </c>
      <c r="T4999" t="s">
        <v>431</v>
      </c>
      <c r="U4999" t="s">
        <v>196</v>
      </c>
      <c r="V4999" t="s">
        <v>131</v>
      </c>
      <c r="W4999" t="s">
        <v>165</v>
      </c>
      <c r="X4999" t="s">
        <v>45</v>
      </c>
      <c r="Y4999" s="1">
        <v>27475</v>
      </c>
      <c r="Z4999">
        <v>1</v>
      </c>
      <c r="AA4999" t="s">
        <v>196</v>
      </c>
      <c r="AB4999" s="40" t="s">
        <v>1799</v>
      </c>
    </row>
    <row r="5000" spans="1:28" x14ac:dyDescent="0.25">
      <c r="A5000">
        <v>99914999</v>
      </c>
      <c r="B5000" t="s">
        <v>32</v>
      </c>
      <c r="C5000" t="s">
        <v>90</v>
      </c>
      <c r="D5000" t="s">
        <v>91</v>
      </c>
      <c r="G5000" t="s">
        <v>48</v>
      </c>
      <c r="H5000">
        <v>1</v>
      </c>
      <c r="K5000" t="s">
        <v>154</v>
      </c>
      <c r="L5000" t="s">
        <v>155</v>
      </c>
      <c r="M5000" t="s">
        <v>131</v>
      </c>
      <c r="N5000">
        <v>24</v>
      </c>
      <c r="P5000" t="s">
        <v>41</v>
      </c>
      <c r="Q5000" t="s">
        <v>95</v>
      </c>
      <c r="R5000" t="str">
        <f>"7051025"</f>
        <v>7051025</v>
      </c>
      <c r="S5000" t="s">
        <v>406</v>
      </c>
      <c r="T5000" t="s">
        <v>154</v>
      </c>
      <c r="U5000" t="s">
        <v>155</v>
      </c>
      <c r="V5000" t="s">
        <v>131</v>
      </c>
      <c r="W5000" t="s">
        <v>51</v>
      </c>
      <c r="X5000" t="s">
        <v>45</v>
      </c>
      <c r="Y5000" s="1">
        <v>27467</v>
      </c>
      <c r="Z5000">
        <v>1</v>
      </c>
      <c r="AA5000" t="s">
        <v>155</v>
      </c>
      <c r="AB5000" s="40" t="s">
        <v>1799</v>
      </c>
    </row>
    <row r="5001" spans="1:28" x14ac:dyDescent="0.25">
      <c r="A5001">
        <v>99915000</v>
      </c>
      <c r="B5001" t="s">
        <v>56</v>
      </c>
      <c r="C5001" t="s">
        <v>79</v>
      </c>
      <c r="D5001" t="s">
        <v>80</v>
      </c>
      <c r="E5001" t="s">
        <v>85</v>
      </c>
      <c r="F5001" t="s">
        <v>86</v>
      </c>
      <c r="G5001" t="s">
        <v>48</v>
      </c>
      <c r="H5001">
        <v>4</v>
      </c>
      <c r="K5001" t="s">
        <v>431</v>
      </c>
      <c r="L5001" t="s">
        <v>196</v>
      </c>
      <c r="M5001" t="s">
        <v>131</v>
      </c>
      <c r="N5001">
        <v>24</v>
      </c>
      <c r="P5001" t="s">
        <v>41</v>
      </c>
      <c r="Q5001" t="s">
        <v>75</v>
      </c>
      <c r="R5001" t="str">
        <f>"7521054"</f>
        <v>7521054</v>
      </c>
      <c r="S5001" t="s">
        <v>476</v>
      </c>
      <c r="T5001" t="s">
        <v>431</v>
      </c>
      <c r="U5001" t="s">
        <v>196</v>
      </c>
      <c r="V5001" t="s">
        <v>131</v>
      </c>
      <c r="W5001" t="s">
        <v>51</v>
      </c>
      <c r="X5001" t="s">
        <v>45</v>
      </c>
      <c r="Y5001" s="1">
        <v>27442</v>
      </c>
      <c r="Z5001">
        <v>1</v>
      </c>
      <c r="AA5001" t="s">
        <v>196</v>
      </c>
      <c r="AB5001" s="40" t="s">
        <v>1799</v>
      </c>
    </row>
    <row r="5002" spans="1:28" x14ac:dyDescent="0.25">
      <c r="A5002">
        <v>99915001</v>
      </c>
      <c r="B5002" t="s">
        <v>32</v>
      </c>
      <c r="C5002" t="s">
        <v>90</v>
      </c>
      <c r="D5002" t="s">
        <v>91</v>
      </c>
      <c r="G5002" t="s">
        <v>35</v>
      </c>
      <c r="H5002">
        <v>1</v>
      </c>
      <c r="I5002" t="s">
        <v>1376</v>
      </c>
      <c r="J5002" s="1">
        <v>43344</v>
      </c>
      <c r="K5002" t="s">
        <v>1341</v>
      </c>
      <c r="L5002" t="s">
        <v>1342</v>
      </c>
      <c r="M5002" t="s">
        <v>1270</v>
      </c>
      <c r="N5002">
        <v>24</v>
      </c>
      <c r="O5002" s="1">
        <v>43344</v>
      </c>
      <c r="P5002" t="s">
        <v>41</v>
      </c>
      <c r="Q5002" t="s">
        <v>95</v>
      </c>
      <c r="R5002" t="str">
        <f>"7191101"</f>
        <v>7191101</v>
      </c>
      <c r="S5002" t="s">
        <v>1377</v>
      </c>
      <c r="T5002" t="s">
        <v>1341</v>
      </c>
      <c r="U5002" t="s">
        <v>1342</v>
      </c>
      <c r="V5002" t="s">
        <v>1270</v>
      </c>
      <c r="W5002" t="s">
        <v>165</v>
      </c>
      <c r="X5002" t="s">
        <v>45</v>
      </c>
      <c r="Y5002" s="1">
        <v>27411</v>
      </c>
      <c r="Z5002">
        <v>1</v>
      </c>
      <c r="AA5002" t="s">
        <v>1342</v>
      </c>
      <c r="AB5002" s="40" t="s">
        <v>1799</v>
      </c>
    </row>
    <row r="5003" spans="1:28" x14ac:dyDescent="0.25">
      <c r="A5003">
        <v>99915002</v>
      </c>
      <c r="B5003" t="s">
        <v>32</v>
      </c>
      <c r="C5003" t="s">
        <v>111</v>
      </c>
      <c r="D5003" t="s">
        <v>112</v>
      </c>
      <c r="G5003" t="s">
        <v>88</v>
      </c>
      <c r="H5003">
        <v>3</v>
      </c>
      <c r="K5003" t="s">
        <v>354</v>
      </c>
      <c r="L5003" t="s">
        <v>355</v>
      </c>
      <c r="M5003" t="s">
        <v>131</v>
      </c>
      <c r="N5003">
        <v>24</v>
      </c>
      <c r="P5003" t="s">
        <v>41</v>
      </c>
      <c r="Q5003" t="s">
        <v>75</v>
      </c>
      <c r="R5003" t="str">
        <f>"7054022"</f>
        <v>7054022</v>
      </c>
      <c r="S5003" t="s">
        <v>770</v>
      </c>
      <c r="T5003" t="s">
        <v>354</v>
      </c>
      <c r="U5003" t="s">
        <v>355</v>
      </c>
      <c r="V5003" t="s">
        <v>131</v>
      </c>
      <c r="W5003" t="s">
        <v>51</v>
      </c>
      <c r="X5003" t="s">
        <v>45</v>
      </c>
      <c r="Y5003" s="1">
        <v>27403</v>
      </c>
      <c r="Z5003">
        <v>1</v>
      </c>
      <c r="AA5003" t="s">
        <v>355</v>
      </c>
      <c r="AB5003" s="40" t="s">
        <v>1799</v>
      </c>
    </row>
    <row r="5004" spans="1:28" x14ac:dyDescent="0.25">
      <c r="A5004">
        <v>99915003</v>
      </c>
      <c r="B5004" t="s">
        <v>32</v>
      </c>
      <c r="C5004" t="s">
        <v>64</v>
      </c>
      <c r="D5004" t="s">
        <v>65</v>
      </c>
      <c r="G5004" t="s">
        <v>35</v>
      </c>
      <c r="H5004">
        <v>1</v>
      </c>
      <c r="I5004" s="1">
        <v>42625</v>
      </c>
      <c r="J5004" s="1">
        <v>43344</v>
      </c>
      <c r="K5004" t="s">
        <v>1341</v>
      </c>
      <c r="L5004" t="s">
        <v>1342</v>
      </c>
      <c r="M5004" t="s">
        <v>1270</v>
      </c>
      <c r="N5004">
        <v>24</v>
      </c>
      <c r="O5004" s="1">
        <v>43344</v>
      </c>
      <c r="P5004" t="s">
        <v>41</v>
      </c>
      <c r="Q5004" t="s">
        <v>75</v>
      </c>
      <c r="R5004" t="str">
        <f>"7191000"</f>
        <v>7191000</v>
      </c>
      <c r="S5004" t="s">
        <v>1347</v>
      </c>
      <c r="T5004" t="s">
        <v>1341</v>
      </c>
      <c r="U5004" t="s">
        <v>1342</v>
      </c>
      <c r="V5004" t="s">
        <v>1270</v>
      </c>
      <c r="W5004" t="s">
        <v>51</v>
      </c>
      <c r="X5004" t="s">
        <v>45</v>
      </c>
      <c r="Y5004" s="1">
        <v>27372</v>
      </c>
      <c r="Z5004">
        <v>1</v>
      </c>
      <c r="AA5004" t="s">
        <v>1342</v>
      </c>
      <c r="AB5004" s="40" t="s">
        <v>1799</v>
      </c>
    </row>
    <row r="5005" spans="1:28" x14ac:dyDescent="0.25">
      <c r="A5005">
        <v>99915004</v>
      </c>
      <c r="B5005" t="s">
        <v>32</v>
      </c>
      <c r="C5005" t="s">
        <v>111</v>
      </c>
      <c r="D5005" t="s">
        <v>112</v>
      </c>
      <c r="G5005" t="s">
        <v>48</v>
      </c>
      <c r="H5005">
        <v>1</v>
      </c>
      <c r="K5005" t="s">
        <v>1708</v>
      </c>
      <c r="L5005" t="s">
        <v>1709</v>
      </c>
      <c r="M5005" t="s">
        <v>1705</v>
      </c>
      <c r="N5005">
        <v>24</v>
      </c>
      <c r="P5005" t="s">
        <v>41</v>
      </c>
      <c r="Q5005" t="s">
        <v>75</v>
      </c>
      <c r="R5005" t="str">
        <f>"7121000"</f>
        <v>7121000</v>
      </c>
      <c r="S5005" t="s">
        <v>1713</v>
      </c>
      <c r="T5005" t="s">
        <v>1708</v>
      </c>
      <c r="U5005" t="s">
        <v>1709</v>
      </c>
      <c r="V5005" t="s">
        <v>1705</v>
      </c>
      <c r="W5005" t="s">
        <v>51</v>
      </c>
      <c r="X5005" t="s">
        <v>45</v>
      </c>
      <c r="Y5005" s="1">
        <v>27357</v>
      </c>
      <c r="Z5005">
        <v>1</v>
      </c>
      <c r="AA5005" t="s">
        <v>1709</v>
      </c>
      <c r="AB5005" s="40" t="s">
        <v>1799</v>
      </c>
    </row>
    <row r="5006" spans="1:28" x14ac:dyDescent="0.25">
      <c r="A5006">
        <v>99915005</v>
      </c>
      <c r="B5006" t="s">
        <v>32</v>
      </c>
      <c r="C5006" t="s">
        <v>90</v>
      </c>
      <c r="D5006" t="s">
        <v>91</v>
      </c>
      <c r="G5006" t="s">
        <v>48</v>
      </c>
      <c r="H5006">
        <v>1</v>
      </c>
      <c r="K5006" t="s">
        <v>877</v>
      </c>
      <c r="L5006" t="s">
        <v>878</v>
      </c>
      <c r="M5006" t="s">
        <v>131</v>
      </c>
      <c r="N5006">
        <v>24</v>
      </c>
      <c r="P5006" t="s">
        <v>41</v>
      </c>
      <c r="Q5006" t="s">
        <v>75</v>
      </c>
      <c r="R5006" t="str">
        <f>"7541008"</f>
        <v>7541008</v>
      </c>
      <c r="S5006" t="s">
        <v>879</v>
      </c>
      <c r="T5006" t="s">
        <v>877</v>
      </c>
      <c r="U5006" t="s">
        <v>878</v>
      </c>
      <c r="V5006" t="s">
        <v>131</v>
      </c>
      <c r="W5006" t="s">
        <v>51</v>
      </c>
      <c r="X5006" t="s">
        <v>45</v>
      </c>
      <c r="Y5006" s="1">
        <v>27347</v>
      </c>
      <c r="Z5006">
        <v>1</v>
      </c>
      <c r="AA5006" t="s">
        <v>878</v>
      </c>
      <c r="AB5006" s="40" t="s">
        <v>1799</v>
      </c>
    </row>
    <row r="5007" spans="1:28" x14ac:dyDescent="0.25">
      <c r="A5007">
        <v>99915006</v>
      </c>
      <c r="B5007" t="s">
        <v>32</v>
      </c>
      <c r="C5007" t="s">
        <v>61</v>
      </c>
      <c r="D5007" t="s">
        <v>62</v>
      </c>
      <c r="G5007" t="s">
        <v>35</v>
      </c>
      <c r="H5007">
        <v>1</v>
      </c>
      <c r="I5007" t="s">
        <v>559</v>
      </c>
      <c r="J5007" s="1">
        <v>42614</v>
      </c>
      <c r="K5007" t="s">
        <v>431</v>
      </c>
      <c r="L5007" t="s">
        <v>196</v>
      </c>
      <c r="M5007" t="s">
        <v>131</v>
      </c>
      <c r="N5007">
        <v>24</v>
      </c>
      <c r="O5007" s="1">
        <v>42614</v>
      </c>
      <c r="P5007" t="s">
        <v>41</v>
      </c>
      <c r="Q5007" t="s">
        <v>75</v>
      </c>
      <c r="R5007" t="str">
        <f>"7521022"</f>
        <v>7521022</v>
      </c>
      <c r="S5007" t="s">
        <v>445</v>
      </c>
      <c r="T5007" t="s">
        <v>431</v>
      </c>
      <c r="U5007" t="s">
        <v>196</v>
      </c>
      <c r="V5007" t="s">
        <v>131</v>
      </c>
      <c r="W5007" t="s">
        <v>44</v>
      </c>
      <c r="X5007" t="s">
        <v>45</v>
      </c>
      <c r="Y5007" s="1">
        <v>27345</v>
      </c>
      <c r="Z5007">
        <v>1</v>
      </c>
      <c r="AA5007" t="s">
        <v>196</v>
      </c>
      <c r="AB5007" s="40" t="s">
        <v>1799</v>
      </c>
    </row>
    <row r="5008" spans="1:28" x14ac:dyDescent="0.25">
      <c r="A5008">
        <v>99915007</v>
      </c>
      <c r="B5008" t="s">
        <v>32</v>
      </c>
      <c r="C5008" t="s">
        <v>90</v>
      </c>
      <c r="D5008" t="s">
        <v>91</v>
      </c>
      <c r="G5008" t="s">
        <v>35</v>
      </c>
      <c r="H5008">
        <v>1</v>
      </c>
      <c r="I5008">
        <v>14595</v>
      </c>
      <c r="J5008" s="1">
        <v>43344</v>
      </c>
      <c r="K5008" t="s">
        <v>354</v>
      </c>
      <c r="L5008" t="s">
        <v>355</v>
      </c>
      <c r="M5008" t="s">
        <v>131</v>
      </c>
      <c r="N5008">
        <v>24</v>
      </c>
      <c r="O5008" s="1">
        <v>43344</v>
      </c>
      <c r="P5008" t="s">
        <v>41</v>
      </c>
      <c r="Q5008" t="s">
        <v>75</v>
      </c>
      <c r="R5008" t="str">
        <f>"7054004"</f>
        <v>7054004</v>
      </c>
      <c r="S5008" t="s">
        <v>798</v>
      </c>
      <c r="T5008" t="s">
        <v>354</v>
      </c>
      <c r="U5008" t="s">
        <v>355</v>
      </c>
      <c r="V5008" t="s">
        <v>131</v>
      </c>
      <c r="W5008" t="s">
        <v>51</v>
      </c>
      <c r="X5008" t="s">
        <v>45</v>
      </c>
      <c r="Y5008" s="1">
        <v>27312</v>
      </c>
      <c r="Z5008">
        <v>1</v>
      </c>
      <c r="AA5008" t="s">
        <v>355</v>
      </c>
      <c r="AB5008" s="40" t="s">
        <v>1799</v>
      </c>
    </row>
    <row r="5009" spans="1:28" x14ac:dyDescent="0.25">
      <c r="A5009">
        <v>99915008</v>
      </c>
      <c r="B5009" t="s">
        <v>32</v>
      </c>
      <c r="C5009" t="s">
        <v>64</v>
      </c>
      <c r="D5009" t="s">
        <v>65</v>
      </c>
      <c r="G5009" t="s">
        <v>48</v>
      </c>
      <c r="H5009">
        <v>1</v>
      </c>
      <c r="K5009" t="s">
        <v>407</v>
      </c>
      <c r="L5009" t="s">
        <v>409</v>
      </c>
      <c r="M5009" t="s">
        <v>131</v>
      </c>
      <c r="N5009">
        <v>24</v>
      </c>
      <c r="P5009" t="s">
        <v>41</v>
      </c>
      <c r="Q5009" t="s">
        <v>75</v>
      </c>
      <c r="R5009" t="str">
        <f>"7053000"</f>
        <v>7053000</v>
      </c>
      <c r="S5009" t="s">
        <v>754</v>
      </c>
      <c r="T5009" t="s">
        <v>407</v>
      </c>
      <c r="U5009" t="s">
        <v>409</v>
      </c>
      <c r="V5009" t="s">
        <v>131</v>
      </c>
      <c r="W5009" t="s">
        <v>51</v>
      </c>
      <c r="X5009" t="s">
        <v>45</v>
      </c>
      <c r="Y5009" s="1">
        <v>27290</v>
      </c>
      <c r="Z5009">
        <v>1</v>
      </c>
      <c r="AA5009" t="s">
        <v>409</v>
      </c>
      <c r="AB5009" s="40" t="s">
        <v>1799</v>
      </c>
    </row>
    <row r="5010" spans="1:28" x14ac:dyDescent="0.25">
      <c r="A5010">
        <v>99915009</v>
      </c>
      <c r="B5010" t="s">
        <v>32</v>
      </c>
      <c r="C5010" t="s">
        <v>71</v>
      </c>
      <c r="D5010" t="s">
        <v>72</v>
      </c>
      <c r="G5010" t="s">
        <v>35</v>
      </c>
      <c r="H5010">
        <v>1</v>
      </c>
      <c r="I5010" t="s">
        <v>1517</v>
      </c>
      <c r="J5010" s="1">
        <v>43362</v>
      </c>
      <c r="K5010" t="s">
        <v>667</v>
      </c>
      <c r="L5010" t="s">
        <v>669</v>
      </c>
      <c r="M5010" t="s">
        <v>670</v>
      </c>
      <c r="N5010">
        <v>24</v>
      </c>
      <c r="O5010" s="1">
        <v>43362</v>
      </c>
      <c r="P5010" t="s">
        <v>41</v>
      </c>
      <c r="Q5010" t="s">
        <v>75</v>
      </c>
      <c r="R5010" t="str">
        <f>"7501000"</f>
        <v>7501000</v>
      </c>
      <c r="S5010" t="s">
        <v>668</v>
      </c>
      <c r="T5010" t="s">
        <v>667</v>
      </c>
      <c r="U5010" t="s">
        <v>669</v>
      </c>
      <c r="V5010" t="s">
        <v>670</v>
      </c>
      <c r="W5010" t="s">
        <v>55</v>
      </c>
      <c r="X5010" t="s">
        <v>45</v>
      </c>
      <c r="Y5010" s="1">
        <v>27245</v>
      </c>
      <c r="Z5010">
        <v>1</v>
      </c>
      <c r="AA5010" t="s">
        <v>669</v>
      </c>
      <c r="AB5010" s="40" t="s">
        <v>1799</v>
      </c>
    </row>
    <row r="5011" spans="1:28" x14ac:dyDescent="0.25">
      <c r="A5011">
        <v>99915010</v>
      </c>
      <c r="B5011" t="s">
        <v>32</v>
      </c>
      <c r="C5011" t="s">
        <v>111</v>
      </c>
      <c r="D5011" t="s">
        <v>112</v>
      </c>
      <c r="G5011" t="s">
        <v>35</v>
      </c>
      <c r="H5011">
        <v>1</v>
      </c>
      <c r="I5011" s="1">
        <v>40057</v>
      </c>
      <c r="J5011" s="1">
        <v>43344</v>
      </c>
      <c r="K5011" t="s">
        <v>1341</v>
      </c>
      <c r="L5011" t="s">
        <v>1342</v>
      </c>
      <c r="M5011" t="s">
        <v>1270</v>
      </c>
      <c r="N5011">
        <v>24</v>
      </c>
      <c r="O5011" s="1">
        <v>43344</v>
      </c>
      <c r="P5011" t="s">
        <v>41</v>
      </c>
      <c r="Q5011" t="s">
        <v>75</v>
      </c>
      <c r="R5011" t="str">
        <f>"7191032"</f>
        <v>7191032</v>
      </c>
      <c r="S5011" t="s">
        <v>1399</v>
      </c>
      <c r="T5011" t="s">
        <v>1341</v>
      </c>
      <c r="U5011" t="s">
        <v>1342</v>
      </c>
      <c r="V5011" t="s">
        <v>1270</v>
      </c>
      <c r="W5011" t="s">
        <v>51</v>
      </c>
      <c r="X5011" t="s">
        <v>45</v>
      </c>
      <c r="Y5011" s="1">
        <v>27214</v>
      </c>
      <c r="Z5011">
        <v>1</v>
      </c>
      <c r="AA5011" t="s">
        <v>1342</v>
      </c>
      <c r="AB5011" s="40" t="s">
        <v>1799</v>
      </c>
    </row>
    <row r="5012" spans="1:28" x14ac:dyDescent="0.25">
      <c r="A5012">
        <v>99915011</v>
      </c>
      <c r="B5012" t="s">
        <v>32</v>
      </c>
      <c r="C5012" t="s">
        <v>90</v>
      </c>
      <c r="D5012" t="s">
        <v>91</v>
      </c>
      <c r="G5012" t="s">
        <v>35</v>
      </c>
      <c r="H5012">
        <v>1</v>
      </c>
      <c r="I5012" s="1">
        <v>42685</v>
      </c>
      <c r="J5012" s="1">
        <v>43344</v>
      </c>
      <c r="K5012" t="s">
        <v>1341</v>
      </c>
      <c r="L5012" t="s">
        <v>1342</v>
      </c>
      <c r="M5012" t="s">
        <v>1270</v>
      </c>
      <c r="N5012">
        <v>24</v>
      </c>
      <c r="O5012" s="1">
        <v>43344</v>
      </c>
      <c r="P5012" t="s">
        <v>41</v>
      </c>
      <c r="Q5012" t="s">
        <v>95</v>
      </c>
      <c r="R5012" t="str">
        <f>"7191003"</f>
        <v>7191003</v>
      </c>
      <c r="S5012" t="s">
        <v>1361</v>
      </c>
      <c r="T5012" t="s">
        <v>1341</v>
      </c>
      <c r="U5012" t="s">
        <v>1342</v>
      </c>
      <c r="V5012" t="s">
        <v>1270</v>
      </c>
      <c r="W5012" t="s">
        <v>51</v>
      </c>
      <c r="X5012" t="s">
        <v>45</v>
      </c>
      <c r="Y5012" s="1">
        <v>27210</v>
      </c>
      <c r="Z5012">
        <v>1</v>
      </c>
      <c r="AA5012" t="s">
        <v>1342</v>
      </c>
      <c r="AB5012" s="40" t="s">
        <v>1799</v>
      </c>
    </row>
    <row r="5013" spans="1:28" x14ac:dyDescent="0.25">
      <c r="A5013">
        <v>99915012</v>
      </c>
      <c r="B5013" t="s">
        <v>56</v>
      </c>
      <c r="C5013" t="s">
        <v>136</v>
      </c>
      <c r="D5013" t="s">
        <v>137</v>
      </c>
      <c r="G5013" t="s">
        <v>48</v>
      </c>
      <c r="H5013">
        <v>7</v>
      </c>
      <c r="I5013" t="s">
        <v>549</v>
      </c>
      <c r="J5013" s="1">
        <v>40422</v>
      </c>
      <c r="K5013" t="s">
        <v>195</v>
      </c>
      <c r="L5013" t="s">
        <v>196</v>
      </c>
      <c r="M5013" t="s">
        <v>131</v>
      </c>
      <c r="N5013">
        <v>24</v>
      </c>
      <c r="O5013" s="1">
        <v>40422</v>
      </c>
      <c r="P5013" t="s">
        <v>41</v>
      </c>
      <c r="Q5013" t="s">
        <v>75</v>
      </c>
      <c r="R5013" t="str">
        <f>"7521050"</f>
        <v>7521050</v>
      </c>
      <c r="S5013" t="s">
        <v>194</v>
      </c>
      <c r="T5013" t="s">
        <v>195</v>
      </c>
      <c r="U5013" t="s">
        <v>196</v>
      </c>
      <c r="V5013" t="s">
        <v>131</v>
      </c>
      <c r="W5013" t="s">
        <v>51</v>
      </c>
      <c r="X5013" t="s">
        <v>45</v>
      </c>
      <c r="Y5013" s="1">
        <v>27192</v>
      </c>
      <c r="Z5013">
        <v>1</v>
      </c>
      <c r="AA5013" t="s">
        <v>196</v>
      </c>
      <c r="AB5013" s="40" t="s">
        <v>1799</v>
      </c>
    </row>
    <row r="5014" spans="1:28" x14ac:dyDescent="0.25">
      <c r="A5014">
        <v>99915013</v>
      </c>
      <c r="B5014" t="s">
        <v>32</v>
      </c>
      <c r="C5014" t="s">
        <v>111</v>
      </c>
      <c r="D5014" t="s">
        <v>112</v>
      </c>
      <c r="G5014" t="s">
        <v>35</v>
      </c>
      <c r="H5014">
        <v>1</v>
      </c>
      <c r="I5014" s="1">
        <v>39326</v>
      </c>
      <c r="J5014" s="1">
        <v>43344</v>
      </c>
      <c r="K5014" t="s">
        <v>1341</v>
      </c>
      <c r="L5014" t="s">
        <v>1342</v>
      </c>
      <c r="M5014" t="s">
        <v>1270</v>
      </c>
      <c r="N5014">
        <v>24</v>
      </c>
      <c r="O5014" s="1">
        <v>43344</v>
      </c>
      <c r="P5014" t="s">
        <v>41</v>
      </c>
      <c r="Q5014" t="s">
        <v>75</v>
      </c>
      <c r="R5014" t="str">
        <f>"7191004"</f>
        <v>7191004</v>
      </c>
      <c r="S5014" t="s">
        <v>1344</v>
      </c>
      <c r="T5014" t="s">
        <v>1341</v>
      </c>
      <c r="U5014" t="s">
        <v>1342</v>
      </c>
      <c r="V5014" t="s">
        <v>1270</v>
      </c>
      <c r="W5014" t="s">
        <v>51</v>
      </c>
      <c r="X5014" t="s">
        <v>45</v>
      </c>
      <c r="Y5014" s="1">
        <v>27160</v>
      </c>
      <c r="Z5014">
        <v>1</v>
      </c>
      <c r="AA5014" t="s">
        <v>1342</v>
      </c>
      <c r="AB5014" s="40" t="s">
        <v>1799</v>
      </c>
    </row>
    <row r="5015" spans="1:28" x14ac:dyDescent="0.25">
      <c r="A5015">
        <v>99915014</v>
      </c>
      <c r="B5015" t="s">
        <v>56</v>
      </c>
      <c r="C5015" t="s">
        <v>111</v>
      </c>
      <c r="D5015" t="s">
        <v>112</v>
      </c>
      <c r="G5015" t="s">
        <v>35</v>
      </c>
      <c r="H5015">
        <v>1</v>
      </c>
      <c r="K5015" t="s">
        <v>154</v>
      </c>
      <c r="L5015" t="s">
        <v>155</v>
      </c>
      <c r="M5015" t="s">
        <v>131</v>
      </c>
      <c r="N5015">
        <v>24</v>
      </c>
      <c r="P5015" t="s">
        <v>41</v>
      </c>
      <c r="Q5015" t="s">
        <v>75</v>
      </c>
      <c r="R5015" t="str">
        <f>"7051026"</f>
        <v>7051026</v>
      </c>
      <c r="S5015" t="s">
        <v>396</v>
      </c>
      <c r="T5015" t="s">
        <v>154</v>
      </c>
      <c r="U5015" t="s">
        <v>155</v>
      </c>
      <c r="V5015" t="s">
        <v>131</v>
      </c>
      <c r="W5015" t="s">
        <v>51</v>
      </c>
      <c r="X5015" t="s">
        <v>45</v>
      </c>
      <c r="Y5015" s="1">
        <v>27120</v>
      </c>
      <c r="Z5015">
        <v>1</v>
      </c>
      <c r="AA5015" t="s">
        <v>155</v>
      </c>
      <c r="AB5015" s="40" t="s">
        <v>1799</v>
      </c>
    </row>
    <row r="5016" spans="1:28" x14ac:dyDescent="0.25">
      <c r="A5016">
        <v>99915015</v>
      </c>
      <c r="B5016" t="s">
        <v>32</v>
      </c>
      <c r="C5016" t="s">
        <v>33</v>
      </c>
      <c r="D5016" t="s">
        <v>34</v>
      </c>
      <c r="G5016" t="s">
        <v>48</v>
      </c>
      <c r="H5016">
        <v>1</v>
      </c>
      <c r="K5016" t="s">
        <v>300</v>
      </c>
      <c r="L5016" t="s">
        <v>301</v>
      </c>
      <c r="M5016" t="s">
        <v>131</v>
      </c>
      <c r="N5016">
        <v>24</v>
      </c>
      <c r="P5016" t="s">
        <v>41</v>
      </c>
      <c r="Q5016" t="s">
        <v>42</v>
      </c>
      <c r="R5016" t="str">
        <f>"0580176"</f>
        <v>0580176</v>
      </c>
      <c r="S5016" t="s">
        <v>305</v>
      </c>
      <c r="T5016" t="s">
        <v>300</v>
      </c>
      <c r="U5016" t="s">
        <v>301</v>
      </c>
      <c r="V5016" t="s">
        <v>131</v>
      </c>
      <c r="W5016" t="s">
        <v>51</v>
      </c>
      <c r="X5016" t="s">
        <v>45</v>
      </c>
      <c r="Y5016" s="1">
        <v>27081</v>
      </c>
      <c r="Z5016">
        <v>2</v>
      </c>
      <c r="AA5016" t="s">
        <v>301</v>
      </c>
      <c r="AB5016" s="40" t="s">
        <v>1799</v>
      </c>
    </row>
    <row r="5017" spans="1:28" x14ac:dyDescent="0.25">
      <c r="A5017">
        <v>99915016</v>
      </c>
      <c r="B5017" t="s">
        <v>32</v>
      </c>
      <c r="C5017" t="s">
        <v>90</v>
      </c>
      <c r="D5017" t="s">
        <v>91</v>
      </c>
      <c r="G5017" t="s">
        <v>35</v>
      </c>
      <c r="H5017">
        <v>1</v>
      </c>
      <c r="I5017">
        <v>20396</v>
      </c>
      <c r="J5017" s="1">
        <v>43344</v>
      </c>
      <c r="K5017" t="s">
        <v>354</v>
      </c>
      <c r="L5017" t="s">
        <v>355</v>
      </c>
      <c r="M5017" t="s">
        <v>131</v>
      </c>
      <c r="N5017">
        <v>24</v>
      </c>
      <c r="O5017" s="1">
        <v>43344</v>
      </c>
      <c r="P5017" t="s">
        <v>41</v>
      </c>
      <c r="Q5017" t="s">
        <v>75</v>
      </c>
      <c r="R5017" t="str">
        <f>"7054016"</f>
        <v>7054016</v>
      </c>
      <c r="S5017" t="s">
        <v>768</v>
      </c>
      <c r="T5017" t="s">
        <v>354</v>
      </c>
      <c r="U5017" t="s">
        <v>355</v>
      </c>
      <c r="V5017" t="s">
        <v>131</v>
      </c>
      <c r="W5017" t="s">
        <v>51</v>
      </c>
      <c r="X5017" t="s">
        <v>45</v>
      </c>
      <c r="Y5017" s="1">
        <v>27069</v>
      </c>
      <c r="Z5017">
        <v>1</v>
      </c>
      <c r="AA5017" t="s">
        <v>355</v>
      </c>
      <c r="AB5017" s="40" t="s">
        <v>1799</v>
      </c>
    </row>
    <row r="5018" spans="1:28" x14ac:dyDescent="0.25">
      <c r="A5018">
        <v>99915017</v>
      </c>
      <c r="B5018" t="s">
        <v>32</v>
      </c>
      <c r="C5018" t="s">
        <v>68</v>
      </c>
      <c r="D5018" t="s">
        <v>69</v>
      </c>
      <c r="G5018" t="s">
        <v>35</v>
      </c>
      <c r="H5018">
        <v>1</v>
      </c>
      <c r="K5018" t="s">
        <v>223</v>
      </c>
      <c r="L5018" t="s">
        <v>224</v>
      </c>
      <c r="M5018" t="s">
        <v>131</v>
      </c>
      <c r="N5018">
        <v>24</v>
      </c>
      <c r="P5018" t="s">
        <v>41</v>
      </c>
      <c r="Q5018" t="s">
        <v>42</v>
      </c>
      <c r="R5018" t="str">
        <f>"0580345"</f>
        <v>0580345</v>
      </c>
      <c r="S5018" t="s">
        <v>261</v>
      </c>
      <c r="T5018" t="s">
        <v>223</v>
      </c>
      <c r="U5018" t="s">
        <v>224</v>
      </c>
      <c r="V5018" t="s">
        <v>131</v>
      </c>
      <c r="W5018" t="s">
        <v>51</v>
      </c>
      <c r="X5018" t="s">
        <v>45</v>
      </c>
      <c r="Y5018" s="1">
        <v>27064</v>
      </c>
      <c r="Z5018">
        <v>2</v>
      </c>
      <c r="AA5018" t="s">
        <v>224</v>
      </c>
      <c r="AB5018" s="40" t="s">
        <v>1799</v>
      </c>
    </row>
    <row r="5019" spans="1:28" x14ac:dyDescent="0.25">
      <c r="A5019">
        <v>99915018</v>
      </c>
      <c r="B5019" t="s">
        <v>56</v>
      </c>
      <c r="C5019" t="s">
        <v>79</v>
      </c>
      <c r="D5019" t="s">
        <v>80</v>
      </c>
      <c r="G5019" t="s">
        <v>35</v>
      </c>
      <c r="H5019">
        <v>1</v>
      </c>
      <c r="I5019" t="s">
        <v>286</v>
      </c>
      <c r="J5019" s="1">
        <v>43344</v>
      </c>
      <c r="K5019" t="s">
        <v>268</v>
      </c>
      <c r="L5019" t="s">
        <v>269</v>
      </c>
      <c r="M5019" t="s">
        <v>131</v>
      </c>
      <c r="N5019">
        <v>24</v>
      </c>
      <c r="P5019" t="s">
        <v>41</v>
      </c>
      <c r="Q5019" t="s">
        <v>75</v>
      </c>
      <c r="R5019" t="str">
        <f>"7052018"</f>
        <v>7052018</v>
      </c>
      <c r="S5019" t="s">
        <v>577</v>
      </c>
      <c r="T5019" t="s">
        <v>268</v>
      </c>
      <c r="U5019" t="s">
        <v>269</v>
      </c>
      <c r="V5019" t="s">
        <v>131</v>
      </c>
      <c r="W5019" t="s">
        <v>51</v>
      </c>
      <c r="X5019" t="s">
        <v>45</v>
      </c>
      <c r="Y5019" s="1">
        <v>27044</v>
      </c>
      <c r="Z5019">
        <v>1</v>
      </c>
      <c r="AA5019" t="s">
        <v>269</v>
      </c>
      <c r="AB5019" s="40" t="s">
        <v>1799</v>
      </c>
    </row>
    <row r="5020" spans="1:28" x14ac:dyDescent="0.25">
      <c r="A5020">
        <v>99915019</v>
      </c>
      <c r="B5020" t="s">
        <v>32</v>
      </c>
      <c r="C5020" t="s">
        <v>79</v>
      </c>
      <c r="D5020" t="s">
        <v>80</v>
      </c>
      <c r="G5020" t="s">
        <v>35</v>
      </c>
      <c r="H5020">
        <v>1</v>
      </c>
      <c r="K5020" t="s">
        <v>268</v>
      </c>
      <c r="L5020" t="s">
        <v>269</v>
      </c>
      <c r="M5020" t="s">
        <v>131</v>
      </c>
      <c r="N5020">
        <v>24</v>
      </c>
      <c r="P5020" t="s">
        <v>41</v>
      </c>
      <c r="Q5020" t="s">
        <v>75</v>
      </c>
      <c r="R5020" t="str">
        <f>"7052042"</f>
        <v>7052042</v>
      </c>
      <c r="S5020" t="s">
        <v>583</v>
      </c>
      <c r="T5020" t="s">
        <v>268</v>
      </c>
      <c r="U5020" t="s">
        <v>269</v>
      </c>
      <c r="V5020" t="s">
        <v>131</v>
      </c>
      <c r="W5020" t="s">
        <v>51</v>
      </c>
      <c r="X5020" t="s">
        <v>45</v>
      </c>
      <c r="Y5020" s="1">
        <v>27030</v>
      </c>
      <c r="Z5020">
        <v>1</v>
      </c>
      <c r="AA5020" t="s">
        <v>269</v>
      </c>
      <c r="AB5020" s="40" t="s">
        <v>1799</v>
      </c>
    </row>
    <row r="5021" spans="1:28" x14ac:dyDescent="0.25">
      <c r="A5021">
        <v>99915020</v>
      </c>
      <c r="B5021" t="s">
        <v>32</v>
      </c>
      <c r="C5021" t="s">
        <v>90</v>
      </c>
      <c r="D5021" t="s">
        <v>91</v>
      </c>
      <c r="G5021" t="s">
        <v>48</v>
      </c>
      <c r="H5021">
        <v>1</v>
      </c>
      <c r="K5021" t="s">
        <v>268</v>
      </c>
      <c r="L5021" t="s">
        <v>269</v>
      </c>
      <c r="M5021" t="s">
        <v>131</v>
      </c>
      <c r="N5021">
        <v>24</v>
      </c>
      <c r="P5021" t="s">
        <v>41</v>
      </c>
      <c r="Q5021" t="s">
        <v>75</v>
      </c>
      <c r="R5021" t="str">
        <f>"7052034"</f>
        <v>7052034</v>
      </c>
      <c r="S5021" t="s">
        <v>604</v>
      </c>
      <c r="T5021" t="s">
        <v>268</v>
      </c>
      <c r="U5021" t="s">
        <v>269</v>
      </c>
      <c r="V5021" t="s">
        <v>131</v>
      </c>
      <c r="W5021" t="s">
        <v>51</v>
      </c>
      <c r="X5021" t="s">
        <v>45</v>
      </c>
      <c r="Y5021" s="1">
        <v>27030</v>
      </c>
      <c r="Z5021">
        <v>1</v>
      </c>
      <c r="AA5021" t="s">
        <v>269</v>
      </c>
      <c r="AB5021" s="40" t="s">
        <v>1799</v>
      </c>
    </row>
    <row r="5022" spans="1:28" x14ac:dyDescent="0.25">
      <c r="A5022">
        <v>99915021</v>
      </c>
      <c r="B5022" t="s">
        <v>32</v>
      </c>
      <c r="C5022" t="s">
        <v>111</v>
      </c>
      <c r="D5022" t="s">
        <v>112</v>
      </c>
      <c r="G5022" t="s">
        <v>48</v>
      </c>
      <c r="H5022">
        <v>9</v>
      </c>
      <c r="I5022">
        <v>1936</v>
      </c>
      <c r="J5022" s="1">
        <v>43344</v>
      </c>
      <c r="K5022" t="s">
        <v>354</v>
      </c>
      <c r="L5022" t="s">
        <v>355</v>
      </c>
      <c r="M5022" t="s">
        <v>131</v>
      </c>
      <c r="N5022">
        <v>24</v>
      </c>
      <c r="O5022" s="1">
        <v>43344</v>
      </c>
      <c r="P5022" t="s">
        <v>41</v>
      </c>
      <c r="Q5022" t="s">
        <v>75</v>
      </c>
      <c r="R5022" t="str">
        <f>"7054032"</f>
        <v>7054032</v>
      </c>
      <c r="S5022" t="s">
        <v>767</v>
      </c>
      <c r="T5022" t="s">
        <v>354</v>
      </c>
      <c r="U5022" t="s">
        <v>355</v>
      </c>
      <c r="V5022" t="s">
        <v>131</v>
      </c>
      <c r="W5022" t="s">
        <v>51</v>
      </c>
      <c r="X5022" t="s">
        <v>45</v>
      </c>
      <c r="Y5022" s="1">
        <v>27011</v>
      </c>
      <c r="Z5022">
        <v>1</v>
      </c>
      <c r="AA5022" t="s">
        <v>355</v>
      </c>
      <c r="AB5022" s="40" t="s">
        <v>1799</v>
      </c>
    </row>
    <row r="5023" spans="1:28" x14ac:dyDescent="0.25">
      <c r="A5023">
        <v>99915022</v>
      </c>
      <c r="B5023" t="s">
        <v>32</v>
      </c>
      <c r="C5023" t="s">
        <v>139</v>
      </c>
      <c r="D5023" t="s">
        <v>140</v>
      </c>
      <c r="G5023" t="s">
        <v>35</v>
      </c>
      <c r="H5023">
        <v>6</v>
      </c>
      <c r="K5023" t="s">
        <v>268</v>
      </c>
      <c r="L5023" t="s">
        <v>269</v>
      </c>
      <c r="M5023" t="s">
        <v>131</v>
      </c>
      <c r="N5023">
        <v>24</v>
      </c>
      <c r="P5023" t="s">
        <v>41</v>
      </c>
      <c r="Q5023" t="s">
        <v>75</v>
      </c>
      <c r="R5023" t="str">
        <f>"7052004"</f>
        <v>7052004</v>
      </c>
      <c r="S5023" t="s">
        <v>584</v>
      </c>
      <c r="T5023" t="s">
        <v>268</v>
      </c>
      <c r="U5023" t="s">
        <v>269</v>
      </c>
      <c r="V5023" t="s">
        <v>131</v>
      </c>
      <c r="W5023" t="s">
        <v>51</v>
      </c>
      <c r="X5023" t="s">
        <v>45</v>
      </c>
      <c r="Y5023" s="1">
        <v>27001</v>
      </c>
      <c r="Z5023">
        <v>1</v>
      </c>
      <c r="AA5023" t="s">
        <v>269</v>
      </c>
      <c r="AB5023" s="40" t="s">
        <v>1799</v>
      </c>
    </row>
    <row r="5024" spans="1:28" x14ac:dyDescent="0.25">
      <c r="A5024">
        <v>99915023</v>
      </c>
      <c r="B5024" t="s">
        <v>56</v>
      </c>
      <c r="C5024" t="s">
        <v>79</v>
      </c>
      <c r="D5024" t="s">
        <v>80</v>
      </c>
      <c r="G5024" t="s">
        <v>35</v>
      </c>
      <c r="H5024">
        <v>4</v>
      </c>
      <c r="K5024" t="s">
        <v>268</v>
      </c>
      <c r="L5024" t="s">
        <v>269</v>
      </c>
      <c r="M5024" t="s">
        <v>131</v>
      </c>
      <c r="N5024">
        <v>24</v>
      </c>
      <c r="P5024" t="s">
        <v>41</v>
      </c>
      <c r="Q5024" t="s">
        <v>75</v>
      </c>
      <c r="R5024" t="str">
        <f>"7052002"</f>
        <v>7052002</v>
      </c>
      <c r="S5024" t="s">
        <v>590</v>
      </c>
      <c r="T5024" t="s">
        <v>268</v>
      </c>
      <c r="U5024" t="s">
        <v>269</v>
      </c>
      <c r="V5024" t="s">
        <v>131</v>
      </c>
      <c r="W5024" t="s">
        <v>51</v>
      </c>
      <c r="X5024" t="s">
        <v>45</v>
      </c>
      <c r="Y5024" s="1">
        <v>26983</v>
      </c>
      <c r="Z5024">
        <v>1</v>
      </c>
      <c r="AA5024" t="s">
        <v>269</v>
      </c>
      <c r="AB5024" s="40" t="s">
        <v>1799</v>
      </c>
    </row>
    <row r="5025" spans="1:28" x14ac:dyDescent="0.25">
      <c r="A5025">
        <v>99915024</v>
      </c>
      <c r="B5025" t="s">
        <v>32</v>
      </c>
      <c r="C5025" t="s">
        <v>90</v>
      </c>
      <c r="D5025" t="s">
        <v>91</v>
      </c>
      <c r="G5025" t="s">
        <v>35</v>
      </c>
      <c r="H5025">
        <v>1</v>
      </c>
      <c r="I5025" s="1">
        <v>37501</v>
      </c>
      <c r="J5025" s="1">
        <v>43344</v>
      </c>
      <c r="K5025" t="s">
        <v>1341</v>
      </c>
      <c r="L5025" t="s">
        <v>1342</v>
      </c>
      <c r="M5025" t="s">
        <v>1270</v>
      </c>
      <c r="N5025">
        <v>24</v>
      </c>
      <c r="O5025" s="1">
        <v>43344</v>
      </c>
      <c r="P5025" t="s">
        <v>41</v>
      </c>
      <c r="Q5025" t="s">
        <v>75</v>
      </c>
      <c r="R5025" t="str">
        <f>"7191006"</f>
        <v>7191006</v>
      </c>
      <c r="S5025" t="s">
        <v>1351</v>
      </c>
      <c r="T5025" t="s">
        <v>1341</v>
      </c>
      <c r="U5025" t="s">
        <v>1342</v>
      </c>
      <c r="V5025" t="s">
        <v>1270</v>
      </c>
      <c r="W5025" t="s">
        <v>51</v>
      </c>
      <c r="X5025" t="s">
        <v>45</v>
      </c>
      <c r="Y5025" s="1">
        <v>26967</v>
      </c>
      <c r="Z5025">
        <v>1</v>
      </c>
      <c r="AA5025" t="s">
        <v>1342</v>
      </c>
      <c r="AB5025" s="40" t="s">
        <v>1799</v>
      </c>
    </row>
    <row r="5026" spans="1:28" x14ac:dyDescent="0.25">
      <c r="A5026">
        <v>99915025</v>
      </c>
      <c r="B5026" t="s">
        <v>32</v>
      </c>
      <c r="C5026" t="s">
        <v>79</v>
      </c>
      <c r="D5026" t="s">
        <v>80</v>
      </c>
      <c r="G5026" t="s">
        <v>35</v>
      </c>
      <c r="H5026">
        <v>1</v>
      </c>
      <c r="I5026">
        <v>2433</v>
      </c>
      <c r="J5026" s="1">
        <v>43344</v>
      </c>
      <c r="K5026" t="s">
        <v>354</v>
      </c>
      <c r="L5026" t="s">
        <v>355</v>
      </c>
      <c r="M5026" t="s">
        <v>131</v>
      </c>
      <c r="N5026">
        <v>24</v>
      </c>
      <c r="O5026" s="1">
        <v>43344</v>
      </c>
      <c r="P5026" t="s">
        <v>41</v>
      </c>
      <c r="Q5026" t="s">
        <v>75</v>
      </c>
      <c r="R5026" t="str">
        <f>"7054042"</f>
        <v>7054042</v>
      </c>
      <c r="S5026" t="s">
        <v>776</v>
      </c>
      <c r="T5026" t="s">
        <v>354</v>
      </c>
      <c r="U5026" t="s">
        <v>355</v>
      </c>
      <c r="V5026" t="s">
        <v>131</v>
      </c>
      <c r="W5026" t="s">
        <v>51</v>
      </c>
      <c r="X5026" t="s">
        <v>45</v>
      </c>
      <c r="Y5026" s="1">
        <v>26883</v>
      </c>
      <c r="Z5026">
        <v>1</v>
      </c>
      <c r="AA5026" t="s">
        <v>355</v>
      </c>
      <c r="AB5026" s="40" t="s">
        <v>1799</v>
      </c>
    </row>
    <row r="5027" spans="1:28" x14ac:dyDescent="0.25">
      <c r="A5027">
        <v>99915026</v>
      </c>
      <c r="B5027" t="s">
        <v>32</v>
      </c>
      <c r="C5027" t="s">
        <v>64</v>
      </c>
      <c r="D5027" t="s">
        <v>65</v>
      </c>
      <c r="G5027" t="s">
        <v>48</v>
      </c>
      <c r="H5027">
        <v>1</v>
      </c>
      <c r="K5027" t="s">
        <v>431</v>
      </c>
      <c r="L5027" t="s">
        <v>196</v>
      </c>
      <c r="M5027" t="s">
        <v>131</v>
      </c>
      <c r="N5027">
        <v>24</v>
      </c>
      <c r="P5027" t="s">
        <v>41</v>
      </c>
      <c r="Q5027" t="s">
        <v>75</v>
      </c>
      <c r="R5027" t="str">
        <f>"7521012"</f>
        <v>7521012</v>
      </c>
      <c r="S5027" t="s">
        <v>432</v>
      </c>
      <c r="T5027" t="s">
        <v>431</v>
      </c>
      <c r="U5027" t="s">
        <v>196</v>
      </c>
      <c r="V5027" t="s">
        <v>131</v>
      </c>
      <c r="W5027" t="s">
        <v>51</v>
      </c>
      <c r="X5027" t="s">
        <v>45</v>
      </c>
      <c r="Y5027" s="1">
        <v>26866</v>
      </c>
      <c r="Z5027">
        <v>1</v>
      </c>
      <c r="AA5027" t="s">
        <v>196</v>
      </c>
      <c r="AB5027" s="40" t="s">
        <v>1799</v>
      </c>
    </row>
    <row r="5028" spans="1:28" x14ac:dyDescent="0.25">
      <c r="A5028">
        <v>99915027</v>
      </c>
      <c r="B5028" t="s">
        <v>32</v>
      </c>
      <c r="C5028" t="s">
        <v>111</v>
      </c>
      <c r="D5028" t="s">
        <v>112</v>
      </c>
      <c r="G5028" t="s">
        <v>35</v>
      </c>
      <c r="H5028">
        <v>1</v>
      </c>
      <c r="I5028">
        <v>0</v>
      </c>
      <c r="J5028" s="1">
        <v>43344</v>
      </c>
      <c r="K5028" t="s">
        <v>985</v>
      </c>
      <c r="L5028" t="s">
        <v>986</v>
      </c>
      <c r="M5028" t="s">
        <v>938</v>
      </c>
      <c r="N5028">
        <v>24</v>
      </c>
      <c r="O5028" s="1">
        <v>43344</v>
      </c>
      <c r="P5028" t="s">
        <v>41</v>
      </c>
      <c r="Q5028" t="s">
        <v>75</v>
      </c>
      <c r="R5028" t="str">
        <f>"7011000"</f>
        <v>7011000</v>
      </c>
      <c r="S5028" t="s">
        <v>989</v>
      </c>
      <c r="T5028" t="s">
        <v>985</v>
      </c>
      <c r="U5028" t="s">
        <v>986</v>
      </c>
      <c r="V5028" t="s">
        <v>938</v>
      </c>
      <c r="W5028" t="s">
        <v>51</v>
      </c>
      <c r="X5028" t="s">
        <v>45</v>
      </c>
      <c r="Y5028" s="1">
        <v>26853</v>
      </c>
      <c r="Z5028">
        <v>1</v>
      </c>
      <c r="AA5028" t="s">
        <v>986</v>
      </c>
      <c r="AB5028" s="40" t="s">
        <v>1799</v>
      </c>
    </row>
    <row r="5029" spans="1:28" x14ac:dyDescent="0.25">
      <c r="A5029">
        <v>99915028</v>
      </c>
      <c r="B5029" t="s">
        <v>56</v>
      </c>
      <c r="C5029" t="s">
        <v>79</v>
      </c>
      <c r="D5029" t="s">
        <v>80</v>
      </c>
      <c r="G5029" t="s">
        <v>48</v>
      </c>
      <c r="H5029">
        <v>8</v>
      </c>
      <c r="I5029" t="s">
        <v>1001</v>
      </c>
      <c r="J5029" s="1">
        <v>43344</v>
      </c>
      <c r="K5029" t="s">
        <v>963</v>
      </c>
      <c r="L5029" t="s">
        <v>964</v>
      </c>
      <c r="M5029" t="s">
        <v>938</v>
      </c>
      <c r="N5029">
        <v>24</v>
      </c>
      <c r="O5029" s="1">
        <v>43344</v>
      </c>
      <c r="P5029" t="s">
        <v>41</v>
      </c>
      <c r="Q5029" t="s">
        <v>75</v>
      </c>
      <c r="R5029" t="str">
        <f>"7061004"</f>
        <v>7061004</v>
      </c>
      <c r="S5029" t="s">
        <v>1002</v>
      </c>
      <c r="T5029" t="s">
        <v>963</v>
      </c>
      <c r="U5029" t="s">
        <v>964</v>
      </c>
      <c r="V5029" t="s">
        <v>938</v>
      </c>
      <c r="W5029" t="s">
        <v>44</v>
      </c>
      <c r="X5029" t="s">
        <v>45</v>
      </c>
      <c r="Y5029" s="1">
        <v>26836</v>
      </c>
      <c r="Z5029">
        <v>1</v>
      </c>
      <c r="AA5029" t="s">
        <v>964</v>
      </c>
      <c r="AB5029" s="40" t="s">
        <v>1799</v>
      </c>
    </row>
    <row r="5030" spans="1:28" x14ac:dyDescent="0.25">
      <c r="A5030">
        <v>99915029</v>
      </c>
      <c r="B5030" t="s">
        <v>32</v>
      </c>
      <c r="C5030" t="s">
        <v>90</v>
      </c>
      <c r="D5030" t="s">
        <v>91</v>
      </c>
      <c r="G5030" t="s">
        <v>35</v>
      </c>
      <c r="H5030">
        <v>1</v>
      </c>
      <c r="K5030" t="s">
        <v>431</v>
      </c>
      <c r="L5030" t="s">
        <v>196</v>
      </c>
      <c r="M5030" t="s">
        <v>131</v>
      </c>
      <c r="N5030">
        <v>24</v>
      </c>
      <c r="P5030" t="s">
        <v>41</v>
      </c>
      <c r="Q5030" t="s">
        <v>75</v>
      </c>
      <c r="R5030" t="str">
        <f>"7521032"</f>
        <v>7521032</v>
      </c>
      <c r="S5030" t="s">
        <v>462</v>
      </c>
      <c r="T5030" t="s">
        <v>431</v>
      </c>
      <c r="U5030" t="s">
        <v>196</v>
      </c>
      <c r="V5030" t="s">
        <v>131</v>
      </c>
      <c r="W5030" t="s">
        <v>51</v>
      </c>
      <c r="X5030" t="s">
        <v>45</v>
      </c>
      <c r="Y5030" s="1">
        <v>26817</v>
      </c>
      <c r="Z5030">
        <v>1</v>
      </c>
      <c r="AA5030" t="s">
        <v>196</v>
      </c>
      <c r="AB5030" s="40" t="s">
        <v>1799</v>
      </c>
    </row>
    <row r="5031" spans="1:28" x14ac:dyDescent="0.25">
      <c r="A5031">
        <v>99915030</v>
      </c>
      <c r="B5031" t="s">
        <v>32</v>
      </c>
      <c r="C5031" t="s">
        <v>111</v>
      </c>
      <c r="D5031" t="s">
        <v>112</v>
      </c>
      <c r="G5031" t="s">
        <v>35</v>
      </c>
      <c r="H5031">
        <v>1</v>
      </c>
      <c r="K5031" t="s">
        <v>154</v>
      </c>
      <c r="L5031" t="s">
        <v>155</v>
      </c>
      <c r="M5031" t="s">
        <v>131</v>
      </c>
      <c r="N5031">
        <v>24</v>
      </c>
      <c r="P5031" t="s">
        <v>41</v>
      </c>
      <c r="Q5031" t="s">
        <v>75</v>
      </c>
      <c r="R5031" t="str">
        <f>"7051026"</f>
        <v>7051026</v>
      </c>
      <c r="S5031" t="s">
        <v>396</v>
      </c>
      <c r="T5031" t="s">
        <v>154</v>
      </c>
      <c r="U5031" t="s">
        <v>155</v>
      </c>
      <c r="V5031" t="s">
        <v>131</v>
      </c>
      <c r="W5031" t="s">
        <v>51</v>
      </c>
      <c r="X5031" t="s">
        <v>45</v>
      </c>
      <c r="Y5031" s="1">
        <v>26809</v>
      </c>
      <c r="Z5031">
        <v>1</v>
      </c>
      <c r="AA5031" t="s">
        <v>155</v>
      </c>
      <c r="AB5031" s="40" t="s">
        <v>1799</v>
      </c>
    </row>
    <row r="5032" spans="1:28" x14ac:dyDescent="0.25">
      <c r="A5032">
        <v>99915031</v>
      </c>
      <c r="B5032" t="s">
        <v>32</v>
      </c>
      <c r="C5032" t="s">
        <v>90</v>
      </c>
      <c r="D5032" t="s">
        <v>91</v>
      </c>
      <c r="G5032" t="s">
        <v>35</v>
      </c>
      <c r="H5032">
        <v>1</v>
      </c>
      <c r="I5032" s="1">
        <v>43346</v>
      </c>
      <c r="J5032" s="1">
        <v>43344</v>
      </c>
      <c r="K5032" t="s">
        <v>1341</v>
      </c>
      <c r="L5032" t="s">
        <v>1342</v>
      </c>
      <c r="M5032" t="s">
        <v>1270</v>
      </c>
      <c r="N5032">
        <v>24</v>
      </c>
      <c r="O5032" s="1">
        <v>43344</v>
      </c>
      <c r="P5032" t="s">
        <v>41</v>
      </c>
      <c r="Q5032" t="s">
        <v>75</v>
      </c>
      <c r="R5032" t="str">
        <f>"7191034"</f>
        <v>7191034</v>
      </c>
      <c r="S5032" t="s">
        <v>1343</v>
      </c>
      <c r="T5032" t="s">
        <v>1341</v>
      </c>
      <c r="U5032" t="s">
        <v>1342</v>
      </c>
      <c r="V5032" t="s">
        <v>1270</v>
      </c>
      <c r="W5032" t="s">
        <v>44</v>
      </c>
      <c r="X5032" t="s">
        <v>45</v>
      </c>
      <c r="Y5032" s="1">
        <v>26795</v>
      </c>
      <c r="Z5032">
        <v>1</v>
      </c>
      <c r="AA5032" t="s">
        <v>1342</v>
      </c>
      <c r="AB5032" s="40" t="s">
        <v>1799</v>
      </c>
    </row>
    <row r="5033" spans="1:28" x14ac:dyDescent="0.25">
      <c r="A5033">
        <v>99915032</v>
      </c>
      <c r="B5033" t="s">
        <v>32</v>
      </c>
      <c r="C5033" t="s">
        <v>79</v>
      </c>
      <c r="D5033" t="s">
        <v>80</v>
      </c>
      <c r="G5033" t="s">
        <v>35</v>
      </c>
      <c r="H5033">
        <v>1</v>
      </c>
      <c r="K5033" t="s">
        <v>300</v>
      </c>
      <c r="L5033" t="s">
        <v>301</v>
      </c>
      <c r="M5033" t="s">
        <v>131</v>
      </c>
      <c r="N5033">
        <v>24</v>
      </c>
      <c r="P5033" t="s">
        <v>41</v>
      </c>
      <c r="Q5033" t="s">
        <v>42</v>
      </c>
      <c r="R5033" t="str">
        <f>"0580457"</f>
        <v>0580457</v>
      </c>
      <c r="S5033" t="s">
        <v>310</v>
      </c>
      <c r="T5033" t="s">
        <v>300</v>
      </c>
      <c r="U5033" t="s">
        <v>301</v>
      </c>
      <c r="V5033" t="s">
        <v>131</v>
      </c>
      <c r="W5033" t="s">
        <v>51</v>
      </c>
      <c r="X5033" t="s">
        <v>45</v>
      </c>
      <c r="Y5033" s="1">
        <v>26772</v>
      </c>
      <c r="Z5033">
        <v>2</v>
      </c>
      <c r="AA5033" t="s">
        <v>301</v>
      </c>
      <c r="AB5033" s="40" t="s">
        <v>1799</v>
      </c>
    </row>
    <row r="5034" spans="1:28" x14ac:dyDescent="0.25">
      <c r="A5034">
        <v>99915033</v>
      </c>
      <c r="B5034" t="s">
        <v>32</v>
      </c>
      <c r="C5034" t="s">
        <v>90</v>
      </c>
      <c r="D5034" t="s">
        <v>91</v>
      </c>
      <c r="G5034" t="s">
        <v>35</v>
      </c>
      <c r="H5034">
        <v>1</v>
      </c>
      <c r="K5034" t="s">
        <v>154</v>
      </c>
      <c r="L5034" t="s">
        <v>155</v>
      </c>
      <c r="M5034" t="s">
        <v>131</v>
      </c>
      <c r="N5034">
        <v>24</v>
      </c>
      <c r="P5034" t="s">
        <v>41</v>
      </c>
      <c r="Q5034" t="s">
        <v>95</v>
      </c>
      <c r="R5034" t="str">
        <f>"7051031"</f>
        <v>7051031</v>
      </c>
      <c r="S5034" t="s">
        <v>427</v>
      </c>
      <c r="T5034" t="s">
        <v>154</v>
      </c>
      <c r="U5034" t="s">
        <v>155</v>
      </c>
      <c r="V5034" t="s">
        <v>131</v>
      </c>
      <c r="W5034" t="s">
        <v>51</v>
      </c>
      <c r="X5034" t="s">
        <v>45</v>
      </c>
      <c r="Y5034" s="1">
        <v>26757</v>
      </c>
      <c r="Z5034">
        <v>1</v>
      </c>
      <c r="AA5034" t="s">
        <v>155</v>
      </c>
      <c r="AB5034" s="40" t="s">
        <v>1799</v>
      </c>
    </row>
    <row r="5035" spans="1:28" x14ac:dyDescent="0.25">
      <c r="A5035">
        <v>99915034</v>
      </c>
      <c r="B5035" t="s">
        <v>32</v>
      </c>
      <c r="C5035" t="s">
        <v>79</v>
      </c>
      <c r="D5035" t="s">
        <v>80</v>
      </c>
      <c r="G5035" t="s">
        <v>35</v>
      </c>
      <c r="H5035">
        <v>1</v>
      </c>
      <c r="I5035" t="s">
        <v>472</v>
      </c>
      <c r="J5035" s="1">
        <v>42248</v>
      </c>
      <c r="K5035" t="s">
        <v>195</v>
      </c>
      <c r="L5035" t="s">
        <v>196</v>
      </c>
      <c r="M5035" t="s">
        <v>131</v>
      </c>
      <c r="N5035">
        <v>24</v>
      </c>
      <c r="O5035" s="1">
        <v>42248</v>
      </c>
      <c r="P5035" t="s">
        <v>41</v>
      </c>
      <c r="Q5035" t="s">
        <v>75</v>
      </c>
      <c r="R5035" t="str">
        <f>"7521050"</f>
        <v>7521050</v>
      </c>
      <c r="S5035" t="s">
        <v>194</v>
      </c>
      <c r="T5035" t="s">
        <v>195</v>
      </c>
      <c r="U5035" t="s">
        <v>196</v>
      </c>
      <c r="V5035" t="s">
        <v>131</v>
      </c>
      <c r="W5035" t="s">
        <v>51</v>
      </c>
      <c r="X5035" t="s">
        <v>45</v>
      </c>
      <c r="Y5035" s="1">
        <v>26742</v>
      </c>
      <c r="Z5035">
        <v>1</v>
      </c>
      <c r="AA5035" t="s">
        <v>196</v>
      </c>
      <c r="AB5035" s="40" t="s">
        <v>1799</v>
      </c>
    </row>
    <row r="5036" spans="1:28" x14ac:dyDescent="0.25">
      <c r="A5036">
        <v>99915035</v>
      </c>
      <c r="B5036" t="s">
        <v>32</v>
      </c>
      <c r="C5036" t="s">
        <v>111</v>
      </c>
      <c r="D5036" t="s">
        <v>112</v>
      </c>
      <c r="G5036" t="s">
        <v>88</v>
      </c>
      <c r="H5036">
        <v>4</v>
      </c>
      <c r="J5036" s="1">
        <v>43344</v>
      </c>
      <c r="K5036" t="s">
        <v>354</v>
      </c>
      <c r="L5036" t="s">
        <v>355</v>
      </c>
      <c r="M5036" t="s">
        <v>131</v>
      </c>
      <c r="N5036">
        <v>24</v>
      </c>
      <c r="O5036" s="1">
        <v>43344</v>
      </c>
      <c r="P5036" t="s">
        <v>41</v>
      </c>
      <c r="Q5036" t="s">
        <v>75</v>
      </c>
      <c r="R5036" t="str">
        <f>"7054020"</f>
        <v>7054020</v>
      </c>
      <c r="S5036" t="s">
        <v>765</v>
      </c>
      <c r="T5036" t="s">
        <v>354</v>
      </c>
      <c r="U5036" t="s">
        <v>355</v>
      </c>
      <c r="V5036" t="s">
        <v>131</v>
      </c>
      <c r="W5036" t="s">
        <v>51</v>
      </c>
      <c r="X5036" t="s">
        <v>45</v>
      </c>
      <c r="Y5036" s="1">
        <v>26692</v>
      </c>
      <c r="Z5036">
        <v>1</v>
      </c>
      <c r="AA5036" t="s">
        <v>355</v>
      </c>
      <c r="AB5036" s="40" t="s">
        <v>1799</v>
      </c>
    </row>
    <row r="5037" spans="1:28" x14ac:dyDescent="0.25">
      <c r="A5037">
        <v>99915036</v>
      </c>
      <c r="B5037" t="s">
        <v>56</v>
      </c>
      <c r="C5037" t="s">
        <v>79</v>
      </c>
      <c r="D5037" t="s">
        <v>80</v>
      </c>
      <c r="G5037" t="s">
        <v>35</v>
      </c>
      <c r="H5037">
        <v>1</v>
      </c>
      <c r="K5037" t="s">
        <v>195</v>
      </c>
      <c r="L5037" t="s">
        <v>196</v>
      </c>
      <c r="M5037" t="s">
        <v>131</v>
      </c>
      <c r="N5037">
        <v>24</v>
      </c>
      <c r="P5037" t="s">
        <v>41</v>
      </c>
      <c r="Q5037" t="s">
        <v>75</v>
      </c>
      <c r="R5037" t="str">
        <f>"7521044"</f>
        <v>7521044</v>
      </c>
      <c r="S5037" t="s">
        <v>453</v>
      </c>
      <c r="T5037" t="s">
        <v>195</v>
      </c>
      <c r="U5037" t="s">
        <v>196</v>
      </c>
      <c r="V5037" t="s">
        <v>131</v>
      </c>
      <c r="W5037" t="s">
        <v>51</v>
      </c>
      <c r="X5037" t="s">
        <v>45</v>
      </c>
      <c r="Y5037" s="1">
        <v>26665</v>
      </c>
      <c r="Z5037">
        <v>1</v>
      </c>
      <c r="AA5037" t="s">
        <v>196</v>
      </c>
      <c r="AB5037" s="40" t="s">
        <v>1799</v>
      </c>
    </row>
    <row r="5038" spans="1:28" x14ac:dyDescent="0.25">
      <c r="A5038">
        <v>99915037</v>
      </c>
      <c r="B5038" t="s">
        <v>56</v>
      </c>
      <c r="C5038" t="s">
        <v>79</v>
      </c>
      <c r="D5038" t="s">
        <v>80</v>
      </c>
      <c r="G5038" t="s">
        <v>35</v>
      </c>
      <c r="H5038">
        <v>1</v>
      </c>
      <c r="I5038">
        <v>16995</v>
      </c>
      <c r="J5038" s="1">
        <v>43344</v>
      </c>
      <c r="K5038" t="s">
        <v>354</v>
      </c>
      <c r="L5038" t="s">
        <v>355</v>
      </c>
      <c r="M5038" t="s">
        <v>131</v>
      </c>
      <c r="N5038">
        <v>24</v>
      </c>
      <c r="O5038" s="1">
        <v>43344</v>
      </c>
      <c r="P5038" t="s">
        <v>41</v>
      </c>
      <c r="Q5038" t="s">
        <v>75</v>
      </c>
      <c r="R5038" t="str">
        <f>"7054012"</f>
        <v>7054012</v>
      </c>
      <c r="S5038" t="s">
        <v>353</v>
      </c>
      <c r="T5038" t="s">
        <v>354</v>
      </c>
      <c r="U5038" t="s">
        <v>355</v>
      </c>
      <c r="V5038" t="s">
        <v>131</v>
      </c>
      <c r="W5038" t="s">
        <v>51</v>
      </c>
      <c r="X5038" t="s">
        <v>45</v>
      </c>
      <c r="Y5038" s="1">
        <v>26665</v>
      </c>
      <c r="Z5038">
        <v>1</v>
      </c>
      <c r="AA5038" t="s">
        <v>355</v>
      </c>
      <c r="AB5038" s="40" t="s">
        <v>1799</v>
      </c>
    </row>
    <row r="5039" spans="1:28" x14ac:dyDescent="0.25">
      <c r="A5039">
        <v>99915038</v>
      </c>
      <c r="B5039" t="s">
        <v>32</v>
      </c>
      <c r="C5039" t="s">
        <v>64</v>
      </c>
      <c r="D5039" t="s">
        <v>65</v>
      </c>
      <c r="G5039" t="s">
        <v>48</v>
      </c>
      <c r="H5039">
        <v>1</v>
      </c>
      <c r="K5039" t="s">
        <v>985</v>
      </c>
      <c r="L5039" t="s">
        <v>986</v>
      </c>
      <c r="M5039" t="s">
        <v>938</v>
      </c>
      <c r="N5039">
        <v>24</v>
      </c>
      <c r="P5039" t="s">
        <v>41</v>
      </c>
      <c r="Q5039" t="s">
        <v>75</v>
      </c>
      <c r="R5039" t="str">
        <f>"7011004"</f>
        <v>7011004</v>
      </c>
      <c r="S5039" t="s">
        <v>987</v>
      </c>
      <c r="T5039" t="s">
        <v>985</v>
      </c>
      <c r="U5039" t="s">
        <v>986</v>
      </c>
      <c r="V5039" t="s">
        <v>938</v>
      </c>
      <c r="W5039" t="s">
        <v>51</v>
      </c>
      <c r="X5039" t="s">
        <v>45</v>
      </c>
      <c r="Y5039" s="1">
        <v>26665</v>
      </c>
      <c r="Z5039">
        <v>1</v>
      </c>
      <c r="AA5039" t="s">
        <v>986</v>
      </c>
      <c r="AB5039" s="40" t="s">
        <v>1799</v>
      </c>
    </row>
    <row r="5040" spans="1:28" x14ac:dyDescent="0.25">
      <c r="A5040">
        <v>99915039</v>
      </c>
      <c r="B5040" t="s">
        <v>32</v>
      </c>
      <c r="C5040" t="s">
        <v>64</v>
      </c>
      <c r="D5040" t="s">
        <v>65</v>
      </c>
      <c r="G5040" t="s">
        <v>35</v>
      </c>
      <c r="H5040">
        <v>1</v>
      </c>
      <c r="I5040" s="1">
        <v>42614</v>
      </c>
      <c r="J5040" s="1">
        <v>43344</v>
      </c>
      <c r="K5040" t="s">
        <v>1341</v>
      </c>
      <c r="L5040" t="s">
        <v>1342</v>
      </c>
      <c r="M5040" t="s">
        <v>1270</v>
      </c>
      <c r="N5040">
        <v>24</v>
      </c>
      <c r="O5040" s="1">
        <v>43344</v>
      </c>
      <c r="P5040" t="s">
        <v>41</v>
      </c>
      <c r="Q5040" t="s">
        <v>75</v>
      </c>
      <c r="R5040" t="str">
        <f>"7191000"</f>
        <v>7191000</v>
      </c>
      <c r="S5040" t="s">
        <v>1347</v>
      </c>
      <c r="T5040" t="s">
        <v>1341</v>
      </c>
      <c r="U5040" t="s">
        <v>1342</v>
      </c>
      <c r="V5040" t="s">
        <v>1270</v>
      </c>
      <c r="W5040" t="s">
        <v>51</v>
      </c>
      <c r="X5040" t="s">
        <v>45</v>
      </c>
      <c r="Y5040" s="1">
        <v>26630</v>
      </c>
      <c r="Z5040">
        <v>1</v>
      </c>
      <c r="AA5040" t="s">
        <v>1342</v>
      </c>
      <c r="AB5040" s="40" t="s">
        <v>1799</v>
      </c>
    </row>
    <row r="5041" spans="1:28" x14ac:dyDescent="0.25">
      <c r="A5041">
        <v>99915040</v>
      </c>
      <c r="B5041" t="s">
        <v>32</v>
      </c>
      <c r="C5041" t="s">
        <v>111</v>
      </c>
      <c r="D5041" t="s">
        <v>112</v>
      </c>
      <c r="G5041" t="s">
        <v>48</v>
      </c>
      <c r="H5041">
        <v>1</v>
      </c>
      <c r="I5041">
        <v>218</v>
      </c>
      <c r="J5041" s="1">
        <v>37134</v>
      </c>
      <c r="K5041" t="s">
        <v>1341</v>
      </c>
      <c r="L5041" t="s">
        <v>1342</v>
      </c>
      <c r="M5041" t="s">
        <v>1270</v>
      </c>
      <c r="N5041">
        <v>24</v>
      </c>
      <c r="O5041" s="1">
        <v>37138</v>
      </c>
      <c r="P5041" t="s">
        <v>41</v>
      </c>
      <c r="Q5041" t="s">
        <v>75</v>
      </c>
      <c r="R5041" t="str">
        <f>"7191036"</f>
        <v>7191036</v>
      </c>
      <c r="S5041" t="s">
        <v>1348</v>
      </c>
      <c r="T5041" t="s">
        <v>1341</v>
      </c>
      <c r="U5041" t="s">
        <v>1342</v>
      </c>
      <c r="V5041" t="s">
        <v>1270</v>
      </c>
      <c r="W5041" t="s">
        <v>165</v>
      </c>
      <c r="X5041" t="s">
        <v>45</v>
      </c>
      <c r="Y5041" s="1">
        <v>26606</v>
      </c>
      <c r="Z5041">
        <v>1</v>
      </c>
      <c r="AA5041" t="s">
        <v>1342</v>
      </c>
      <c r="AB5041" s="40" t="s">
        <v>1799</v>
      </c>
    </row>
    <row r="5042" spans="1:28" x14ac:dyDescent="0.25">
      <c r="A5042">
        <v>99915041</v>
      </c>
      <c r="B5042" t="s">
        <v>56</v>
      </c>
      <c r="C5042" t="s">
        <v>68</v>
      </c>
      <c r="D5042" t="s">
        <v>69</v>
      </c>
      <c r="G5042" t="s">
        <v>35</v>
      </c>
      <c r="H5042">
        <v>1</v>
      </c>
      <c r="K5042" t="s">
        <v>300</v>
      </c>
      <c r="L5042" t="s">
        <v>301</v>
      </c>
      <c r="M5042" t="s">
        <v>131</v>
      </c>
      <c r="N5042">
        <v>24</v>
      </c>
      <c r="P5042" t="s">
        <v>41</v>
      </c>
      <c r="Q5042" t="s">
        <v>42</v>
      </c>
      <c r="R5042" t="str">
        <f>"0580457"</f>
        <v>0580457</v>
      </c>
      <c r="S5042" t="s">
        <v>310</v>
      </c>
      <c r="T5042" t="s">
        <v>300</v>
      </c>
      <c r="U5042" t="s">
        <v>301</v>
      </c>
      <c r="V5042" t="s">
        <v>131</v>
      </c>
      <c r="W5042" t="s">
        <v>51</v>
      </c>
      <c r="X5042" t="s">
        <v>45</v>
      </c>
      <c r="Y5042" s="1">
        <v>26601</v>
      </c>
      <c r="Z5042">
        <v>2</v>
      </c>
      <c r="AA5042" t="s">
        <v>301</v>
      </c>
      <c r="AB5042" s="40" t="s">
        <v>1799</v>
      </c>
    </row>
    <row r="5043" spans="1:28" x14ac:dyDescent="0.25">
      <c r="A5043">
        <v>99915042</v>
      </c>
      <c r="B5043" t="s">
        <v>32</v>
      </c>
      <c r="C5043" t="s">
        <v>90</v>
      </c>
      <c r="D5043" t="s">
        <v>91</v>
      </c>
      <c r="G5043" t="s">
        <v>35</v>
      </c>
      <c r="H5043">
        <v>1</v>
      </c>
      <c r="I5043" s="1">
        <v>40066</v>
      </c>
      <c r="J5043" s="1">
        <v>43344</v>
      </c>
      <c r="K5043" t="s">
        <v>1341</v>
      </c>
      <c r="L5043" t="s">
        <v>1342</v>
      </c>
      <c r="M5043" t="s">
        <v>1270</v>
      </c>
      <c r="N5043">
        <v>24</v>
      </c>
      <c r="O5043" s="1">
        <v>43344</v>
      </c>
      <c r="P5043" t="s">
        <v>41</v>
      </c>
      <c r="Q5043" t="s">
        <v>75</v>
      </c>
      <c r="R5043" t="str">
        <f>"7191036"</f>
        <v>7191036</v>
      </c>
      <c r="S5043" t="s">
        <v>1348</v>
      </c>
      <c r="T5043" t="s">
        <v>1341</v>
      </c>
      <c r="U5043" t="s">
        <v>1342</v>
      </c>
      <c r="V5043" t="s">
        <v>1270</v>
      </c>
      <c r="W5043" t="s">
        <v>51</v>
      </c>
      <c r="X5043" t="s">
        <v>45</v>
      </c>
      <c r="Y5043" s="1">
        <v>26466</v>
      </c>
      <c r="Z5043">
        <v>1</v>
      </c>
      <c r="AA5043" t="s">
        <v>1342</v>
      </c>
      <c r="AB5043" s="40" t="s">
        <v>1799</v>
      </c>
    </row>
    <row r="5044" spans="1:28" x14ac:dyDescent="0.25">
      <c r="A5044">
        <v>99915043</v>
      </c>
      <c r="B5044" t="s">
        <v>32</v>
      </c>
      <c r="C5044" t="s">
        <v>111</v>
      </c>
      <c r="D5044" t="s">
        <v>112</v>
      </c>
      <c r="G5044" t="s">
        <v>35</v>
      </c>
      <c r="H5044">
        <v>1</v>
      </c>
      <c r="K5044" t="s">
        <v>154</v>
      </c>
      <c r="L5044" t="s">
        <v>155</v>
      </c>
      <c r="M5044" t="s">
        <v>131</v>
      </c>
      <c r="N5044">
        <v>24</v>
      </c>
      <c r="P5044" t="s">
        <v>41</v>
      </c>
      <c r="Q5044" t="s">
        <v>75</v>
      </c>
      <c r="R5044" t="str">
        <f>"7051026"</f>
        <v>7051026</v>
      </c>
      <c r="S5044" t="s">
        <v>396</v>
      </c>
      <c r="T5044" t="s">
        <v>154</v>
      </c>
      <c r="U5044" t="s">
        <v>155</v>
      </c>
      <c r="V5044" t="s">
        <v>131</v>
      </c>
      <c r="W5044" t="s">
        <v>51</v>
      </c>
      <c r="X5044" t="s">
        <v>45</v>
      </c>
      <c r="Y5044" s="1">
        <v>26438</v>
      </c>
      <c r="Z5044">
        <v>1</v>
      </c>
      <c r="AA5044" t="s">
        <v>155</v>
      </c>
      <c r="AB5044" s="40" t="s">
        <v>1799</v>
      </c>
    </row>
    <row r="5045" spans="1:28" x14ac:dyDescent="0.25">
      <c r="A5045">
        <v>99915044</v>
      </c>
      <c r="B5045" t="s">
        <v>56</v>
      </c>
      <c r="C5045" t="s">
        <v>90</v>
      </c>
      <c r="D5045" t="s">
        <v>91</v>
      </c>
      <c r="G5045" t="s">
        <v>48</v>
      </c>
      <c r="H5045">
        <v>1</v>
      </c>
      <c r="K5045" t="s">
        <v>877</v>
      </c>
      <c r="L5045" t="s">
        <v>878</v>
      </c>
      <c r="M5045" t="s">
        <v>131</v>
      </c>
      <c r="N5045">
        <v>24</v>
      </c>
      <c r="P5045" t="s">
        <v>41</v>
      </c>
      <c r="Q5045" t="s">
        <v>75</v>
      </c>
      <c r="R5045" t="str">
        <f>"7541008"</f>
        <v>7541008</v>
      </c>
      <c r="S5045" t="s">
        <v>879</v>
      </c>
      <c r="T5045" t="s">
        <v>877</v>
      </c>
      <c r="U5045" t="s">
        <v>878</v>
      </c>
      <c r="V5045" t="s">
        <v>131</v>
      </c>
      <c r="W5045" t="s">
        <v>51</v>
      </c>
      <c r="X5045" t="s">
        <v>45</v>
      </c>
      <c r="Y5045" s="1">
        <v>26417</v>
      </c>
      <c r="Z5045">
        <v>1</v>
      </c>
      <c r="AA5045" t="s">
        <v>878</v>
      </c>
      <c r="AB5045" s="40" t="s">
        <v>1799</v>
      </c>
    </row>
    <row r="5046" spans="1:28" x14ac:dyDescent="0.25">
      <c r="A5046">
        <v>99915045</v>
      </c>
      <c r="B5046" t="s">
        <v>56</v>
      </c>
      <c r="C5046" t="s">
        <v>68</v>
      </c>
      <c r="D5046" t="s">
        <v>69</v>
      </c>
      <c r="G5046" t="s">
        <v>48</v>
      </c>
      <c r="H5046">
        <v>1</v>
      </c>
      <c r="K5046" t="s">
        <v>223</v>
      </c>
      <c r="L5046" t="s">
        <v>224</v>
      </c>
      <c r="M5046" t="s">
        <v>131</v>
      </c>
      <c r="N5046">
        <v>24</v>
      </c>
      <c r="P5046" t="s">
        <v>41</v>
      </c>
      <c r="Q5046" t="s">
        <v>49</v>
      </c>
      <c r="R5046" t="str">
        <f>"0581207"</f>
        <v>0581207</v>
      </c>
      <c r="S5046" t="s">
        <v>233</v>
      </c>
      <c r="T5046" t="s">
        <v>223</v>
      </c>
      <c r="U5046" t="s">
        <v>224</v>
      </c>
      <c r="V5046" t="s">
        <v>131</v>
      </c>
      <c r="W5046" t="s">
        <v>51</v>
      </c>
      <c r="X5046" t="s">
        <v>45</v>
      </c>
      <c r="Y5046" s="1">
        <v>26390</v>
      </c>
      <c r="Z5046">
        <v>2</v>
      </c>
      <c r="AA5046" t="s">
        <v>224</v>
      </c>
      <c r="AB5046" s="40" t="s">
        <v>1799</v>
      </c>
    </row>
    <row r="5047" spans="1:28" x14ac:dyDescent="0.25">
      <c r="A5047">
        <v>99915046</v>
      </c>
      <c r="B5047" t="s">
        <v>32</v>
      </c>
      <c r="C5047" t="s">
        <v>90</v>
      </c>
      <c r="D5047" t="s">
        <v>91</v>
      </c>
      <c r="G5047" t="s">
        <v>35</v>
      </c>
      <c r="H5047">
        <v>1</v>
      </c>
      <c r="I5047" t="s">
        <v>1362</v>
      </c>
      <c r="J5047" s="1">
        <v>43344</v>
      </c>
      <c r="K5047" t="s">
        <v>1341</v>
      </c>
      <c r="L5047" t="s">
        <v>1342</v>
      </c>
      <c r="M5047" t="s">
        <v>1270</v>
      </c>
      <c r="N5047">
        <v>24</v>
      </c>
      <c r="O5047" s="1">
        <v>43344</v>
      </c>
      <c r="P5047" t="s">
        <v>41</v>
      </c>
      <c r="Q5047" t="s">
        <v>95</v>
      </c>
      <c r="R5047" t="str">
        <f>"7191045"</f>
        <v>7191045</v>
      </c>
      <c r="S5047" t="s">
        <v>1424</v>
      </c>
      <c r="T5047" t="s">
        <v>1341</v>
      </c>
      <c r="U5047" t="s">
        <v>1342</v>
      </c>
      <c r="V5047" t="s">
        <v>1270</v>
      </c>
      <c r="W5047" t="s">
        <v>51</v>
      </c>
      <c r="X5047" t="s">
        <v>45</v>
      </c>
      <c r="Y5047" s="1">
        <v>26390</v>
      </c>
      <c r="Z5047">
        <v>1</v>
      </c>
      <c r="AA5047" t="s">
        <v>1342</v>
      </c>
      <c r="AB5047" s="40" t="s">
        <v>1799</v>
      </c>
    </row>
    <row r="5048" spans="1:28" x14ac:dyDescent="0.25">
      <c r="A5048">
        <v>99915047</v>
      </c>
      <c r="B5048" t="s">
        <v>32</v>
      </c>
      <c r="C5048" t="s">
        <v>90</v>
      </c>
      <c r="D5048" t="s">
        <v>91</v>
      </c>
      <c r="G5048" t="s">
        <v>35</v>
      </c>
      <c r="H5048">
        <v>1</v>
      </c>
      <c r="I5048" t="s">
        <v>1416</v>
      </c>
      <c r="J5048" s="1">
        <v>43344</v>
      </c>
      <c r="K5048" t="s">
        <v>1341</v>
      </c>
      <c r="L5048" t="s">
        <v>1342</v>
      </c>
      <c r="M5048" t="s">
        <v>1270</v>
      </c>
      <c r="N5048">
        <v>24</v>
      </c>
      <c r="O5048" s="1">
        <v>43344</v>
      </c>
      <c r="P5048" t="s">
        <v>41</v>
      </c>
      <c r="Q5048" t="s">
        <v>95</v>
      </c>
      <c r="R5048" t="str">
        <f>"7191093"</f>
        <v>7191093</v>
      </c>
      <c r="S5048" t="s">
        <v>1417</v>
      </c>
      <c r="T5048" t="s">
        <v>1341</v>
      </c>
      <c r="U5048" t="s">
        <v>1342</v>
      </c>
      <c r="V5048" t="s">
        <v>1270</v>
      </c>
      <c r="W5048" t="s">
        <v>165</v>
      </c>
      <c r="X5048" t="s">
        <v>45</v>
      </c>
      <c r="Y5048" s="1">
        <v>26389</v>
      </c>
      <c r="Z5048">
        <v>1</v>
      </c>
      <c r="AA5048" t="s">
        <v>1342</v>
      </c>
      <c r="AB5048" s="40" t="s">
        <v>1799</v>
      </c>
    </row>
    <row r="5049" spans="1:28" x14ac:dyDescent="0.25">
      <c r="A5049">
        <v>99915048</v>
      </c>
      <c r="B5049" t="s">
        <v>32</v>
      </c>
      <c r="C5049" t="s">
        <v>111</v>
      </c>
      <c r="D5049" t="s">
        <v>112</v>
      </c>
      <c r="G5049" t="s">
        <v>48</v>
      </c>
      <c r="H5049">
        <v>1</v>
      </c>
      <c r="K5049" t="s">
        <v>667</v>
      </c>
      <c r="L5049" t="s">
        <v>269</v>
      </c>
      <c r="M5049" t="s">
        <v>131</v>
      </c>
      <c r="N5049">
        <v>24</v>
      </c>
      <c r="P5049" t="s">
        <v>41</v>
      </c>
      <c r="Q5049" t="s">
        <v>75</v>
      </c>
      <c r="R5049" t="str">
        <f>"7501000"</f>
        <v>7501000</v>
      </c>
      <c r="S5049" t="s">
        <v>668</v>
      </c>
      <c r="T5049" t="s">
        <v>667</v>
      </c>
      <c r="U5049" t="s">
        <v>669</v>
      </c>
      <c r="V5049" t="s">
        <v>670</v>
      </c>
      <c r="W5049" t="s">
        <v>51</v>
      </c>
      <c r="X5049" t="s">
        <v>45</v>
      </c>
      <c r="Y5049" s="1">
        <v>26299</v>
      </c>
      <c r="Z5049">
        <v>1</v>
      </c>
      <c r="AA5049" t="s">
        <v>269</v>
      </c>
      <c r="AB5049" s="40" t="s">
        <v>1799</v>
      </c>
    </row>
    <row r="5050" spans="1:28" x14ac:dyDescent="0.25">
      <c r="A5050">
        <v>99915049</v>
      </c>
      <c r="B5050" t="s">
        <v>32</v>
      </c>
      <c r="C5050" t="s">
        <v>71</v>
      </c>
      <c r="D5050" t="s">
        <v>72</v>
      </c>
      <c r="G5050" t="s">
        <v>35</v>
      </c>
      <c r="H5050">
        <v>1</v>
      </c>
      <c r="K5050" t="s">
        <v>1341</v>
      </c>
      <c r="L5050" t="s">
        <v>1342</v>
      </c>
      <c r="M5050" t="s">
        <v>1270</v>
      </c>
      <c r="N5050">
        <v>24</v>
      </c>
      <c r="P5050" t="s">
        <v>41</v>
      </c>
      <c r="Q5050" t="s">
        <v>75</v>
      </c>
      <c r="R5050" t="str">
        <f>"7191006"</f>
        <v>7191006</v>
      </c>
      <c r="S5050" t="s">
        <v>1351</v>
      </c>
      <c r="T5050" t="s">
        <v>1341</v>
      </c>
      <c r="U5050" t="s">
        <v>1342</v>
      </c>
      <c r="V5050" t="s">
        <v>1270</v>
      </c>
      <c r="W5050" t="s">
        <v>51</v>
      </c>
      <c r="X5050" t="s">
        <v>45</v>
      </c>
      <c r="Y5050" s="1">
        <v>26299</v>
      </c>
      <c r="Z5050">
        <v>1</v>
      </c>
      <c r="AA5050" t="s">
        <v>1342</v>
      </c>
      <c r="AB5050" s="40" t="s">
        <v>1799</v>
      </c>
    </row>
    <row r="5051" spans="1:28" x14ac:dyDescent="0.25">
      <c r="A5051">
        <v>99915050</v>
      </c>
      <c r="B5051" t="s">
        <v>56</v>
      </c>
      <c r="C5051" t="s">
        <v>111</v>
      </c>
      <c r="D5051" t="s">
        <v>112</v>
      </c>
      <c r="G5051" t="s">
        <v>88</v>
      </c>
      <c r="H5051">
        <v>3</v>
      </c>
      <c r="J5051" s="1">
        <v>43344</v>
      </c>
      <c r="K5051" t="s">
        <v>354</v>
      </c>
      <c r="L5051" t="s">
        <v>355</v>
      </c>
      <c r="M5051" t="s">
        <v>131</v>
      </c>
      <c r="N5051">
        <v>24</v>
      </c>
      <c r="O5051" s="1">
        <v>43344</v>
      </c>
      <c r="P5051" t="s">
        <v>41</v>
      </c>
      <c r="Q5051" t="s">
        <v>75</v>
      </c>
      <c r="R5051" t="str">
        <f>"7054022"</f>
        <v>7054022</v>
      </c>
      <c r="S5051" t="s">
        <v>770</v>
      </c>
      <c r="T5051" t="s">
        <v>354</v>
      </c>
      <c r="U5051" t="s">
        <v>355</v>
      </c>
      <c r="V5051" t="s">
        <v>131</v>
      </c>
      <c r="W5051" t="s">
        <v>51</v>
      </c>
      <c r="X5051" t="s">
        <v>45</v>
      </c>
      <c r="Y5051" s="1">
        <v>26288</v>
      </c>
      <c r="Z5051">
        <v>1</v>
      </c>
      <c r="AA5051" t="s">
        <v>355</v>
      </c>
      <c r="AB5051" s="40" t="s">
        <v>1799</v>
      </c>
    </row>
    <row r="5052" spans="1:28" x14ac:dyDescent="0.25">
      <c r="A5052">
        <v>99915051</v>
      </c>
      <c r="B5052" t="s">
        <v>32</v>
      </c>
      <c r="C5052" t="s">
        <v>90</v>
      </c>
      <c r="D5052" t="s">
        <v>91</v>
      </c>
      <c r="G5052" t="s">
        <v>35</v>
      </c>
      <c r="H5052">
        <v>1</v>
      </c>
      <c r="I5052" t="s">
        <v>1353</v>
      </c>
      <c r="J5052" s="1">
        <v>43344</v>
      </c>
      <c r="K5052" t="s">
        <v>1341</v>
      </c>
      <c r="L5052" t="s">
        <v>1342</v>
      </c>
      <c r="M5052" t="s">
        <v>1270</v>
      </c>
      <c r="N5052">
        <v>24</v>
      </c>
      <c r="O5052" s="1">
        <v>43344</v>
      </c>
      <c r="P5052" t="s">
        <v>41</v>
      </c>
      <c r="Q5052" t="s">
        <v>95</v>
      </c>
      <c r="R5052" t="str">
        <f>"7191097"</f>
        <v>7191097</v>
      </c>
      <c r="S5052" t="s">
        <v>1404</v>
      </c>
      <c r="T5052" t="s">
        <v>1341</v>
      </c>
      <c r="U5052" t="s">
        <v>1342</v>
      </c>
      <c r="V5052" t="s">
        <v>1270</v>
      </c>
      <c r="W5052" t="s">
        <v>44</v>
      </c>
      <c r="X5052" t="s">
        <v>45</v>
      </c>
      <c r="Y5052" s="1">
        <v>26246</v>
      </c>
      <c r="Z5052">
        <v>1</v>
      </c>
      <c r="AA5052" t="s">
        <v>1342</v>
      </c>
      <c r="AB5052" s="40" t="s">
        <v>1799</v>
      </c>
    </row>
    <row r="5053" spans="1:28" x14ac:dyDescent="0.25">
      <c r="A5053">
        <v>99915052</v>
      </c>
      <c r="B5053" t="s">
        <v>32</v>
      </c>
      <c r="C5053" t="s">
        <v>111</v>
      </c>
      <c r="D5053" t="s">
        <v>112</v>
      </c>
      <c r="G5053" t="s">
        <v>35</v>
      </c>
      <c r="H5053">
        <v>1</v>
      </c>
      <c r="I5053">
        <v>1838</v>
      </c>
      <c r="J5053" s="1">
        <v>43344</v>
      </c>
      <c r="K5053" t="s">
        <v>354</v>
      </c>
      <c r="L5053" t="s">
        <v>355</v>
      </c>
      <c r="M5053" t="s">
        <v>131</v>
      </c>
      <c r="N5053">
        <v>24</v>
      </c>
      <c r="O5053" s="1">
        <v>43344</v>
      </c>
      <c r="P5053" t="s">
        <v>41</v>
      </c>
      <c r="Q5053" t="s">
        <v>75</v>
      </c>
      <c r="R5053" t="str">
        <f>"7054012"</f>
        <v>7054012</v>
      </c>
      <c r="S5053" t="s">
        <v>353</v>
      </c>
      <c r="T5053" t="s">
        <v>354</v>
      </c>
      <c r="U5053" t="s">
        <v>355</v>
      </c>
      <c r="V5053" t="s">
        <v>131</v>
      </c>
      <c r="W5053" t="s">
        <v>51</v>
      </c>
      <c r="X5053" t="s">
        <v>45</v>
      </c>
      <c r="Y5053" s="1">
        <v>26221</v>
      </c>
      <c r="Z5053">
        <v>1</v>
      </c>
      <c r="AA5053" t="s">
        <v>355</v>
      </c>
      <c r="AB5053" s="40" t="s">
        <v>1799</v>
      </c>
    </row>
    <row r="5054" spans="1:28" x14ac:dyDescent="0.25">
      <c r="A5054">
        <v>99915053</v>
      </c>
      <c r="B5054" t="s">
        <v>56</v>
      </c>
      <c r="C5054" t="s">
        <v>111</v>
      </c>
      <c r="D5054" t="s">
        <v>112</v>
      </c>
      <c r="G5054" t="s">
        <v>35</v>
      </c>
      <c r="H5054">
        <v>1</v>
      </c>
      <c r="I5054" s="1">
        <v>40057</v>
      </c>
      <c r="J5054" s="1">
        <v>43344</v>
      </c>
      <c r="K5054" t="s">
        <v>1341</v>
      </c>
      <c r="L5054" t="s">
        <v>1342</v>
      </c>
      <c r="M5054" t="s">
        <v>1270</v>
      </c>
      <c r="N5054">
        <v>24</v>
      </c>
      <c r="O5054" s="1">
        <v>43344</v>
      </c>
      <c r="P5054" t="s">
        <v>41</v>
      </c>
      <c r="Q5054" t="s">
        <v>75</v>
      </c>
      <c r="R5054" t="str">
        <f>"7191004"</f>
        <v>7191004</v>
      </c>
      <c r="S5054" t="s">
        <v>1344</v>
      </c>
      <c r="T5054" t="s">
        <v>1341</v>
      </c>
      <c r="U5054" t="s">
        <v>1342</v>
      </c>
      <c r="V5054" t="s">
        <v>1270</v>
      </c>
      <c r="W5054" t="s">
        <v>51</v>
      </c>
      <c r="X5054" t="s">
        <v>45</v>
      </c>
      <c r="Y5054" s="1">
        <v>26164</v>
      </c>
      <c r="Z5054">
        <v>1</v>
      </c>
      <c r="AA5054" t="s">
        <v>1342</v>
      </c>
      <c r="AB5054" s="40" t="s">
        <v>1799</v>
      </c>
    </row>
    <row r="5055" spans="1:28" x14ac:dyDescent="0.25">
      <c r="A5055">
        <v>99915054</v>
      </c>
      <c r="B5055" t="s">
        <v>32</v>
      </c>
      <c r="C5055" t="s">
        <v>111</v>
      </c>
      <c r="D5055" t="s">
        <v>112</v>
      </c>
      <c r="G5055" t="s">
        <v>35</v>
      </c>
      <c r="H5055">
        <v>1</v>
      </c>
      <c r="I5055" t="s">
        <v>399</v>
      </c>
      <c r="J5055" s="1">
        <v>41967</v>
      </c>
      <c r="K5055" t="s">
        <v>154</v>
      </c>
      <c r="L5055" t="s">
        <v>155</v>
      </c>
      <c r="M5055" t="s">
        <v>131</v>
      </c>
      <c r="N5055">
        <v>24</v>
      </c>
      <c r="O5055" s="1">
        <v>41967</v>
      </c>
      <c r="P5055" t="s">
        <v>41</v>
      </c>
      <c r="Q5055" t="s">
        <v>75</v>
      </c>
      <c r="R5055" t="str">
        <f>"7051032"</f>
        <v>7051032</v>
      </c>
      <c r="S5055" t="s">
        <v>400</v>
      </c>
      <c r="T5055" t="s">
        <v>154</v>
      </c>
      <c r="U5055" t="s">
        <v>155</v>
      </c>
      <c r="V5055" t="s">
        <v>131</v>
      </c>
      <c r="W5055" t="s">
        <v>51</v>
      </c>
      <c r="X5055" t="s">
        <v>45</v>
      </c>
      <c r="Y5055" s="1">
        <v>26131</v>
      </c>
      <c r="Z5055">
        <v>1</v>
      </c>
      <c r="AA5055" t="s">
        <v>155</v>
      </c>
      <c r="AB5055" s="40" t="s">
        <v>1799</v>
      </c>
    </row>
    <row r="5056" spans="1:28" x14ac:dyDescent="0.25">
      <c r="A5056">
        <v>99915055</v>
      </c>
      <c r="B5056" t="s">
        <v>32</v>
      </c>
      <c r="C5056" t="s">
        <v>64</v>
      </c>
      <c r="D5056" t="s">
        <v>65</v>
      </c>
      <c r="G5056" t="s">
        <v>35</v>
      </c>
      <c r="H5056">
        <v>1</v>
      </c>
      <c r="I5056" s="1">
        <v>42979</v>
      </c>
      <c r="J5056" s="1">
        <v>43344</v>
      </c>
      <c r="K5056" t="s">
        <v>1341</v>
      </c>
      <c r="L5056" t="s">
        <v>1342</v>
      </c>
      <c r="M5056" t="s">
        <v>1270</v>
      </c>
      <c r="N5056">
        <v>24</v>
      </c>
      <c r="O5056" s="1">
        <v>43344</v>
      </c>
      <c r="P5056" t="s">
        <v>41</v>
      </c>
      <c r="Q5056" t="s">
        <v>75</v>
      </c>
      <c r="R5056" t="str">
        <f>"7191004"</f>
        <v>7191004</v>
      </c>
      <c r="S5056" t="s">
        <v>1344</v>
      </c>
      <c r="T5056" t="s">
        <v>1341</v>
      </c>
      <c r="U5056" t="s">
        <v>1342</v>
      </c>
      <c r="V5056" t="s">
        <v>1270</v>
      </c>
      <c r="W5056" t="s">
        <v>44</v>
      </c>
      <c r="X5056" t="s">
        <v>45</v>
      </c>
      <c r="Y5056" s="1">
        <v>26083</v>
      </c>
      <c r="Z5056">
        <v>1</v>
      </c>
      <c r="AA5056" t="s">
        <v>1342</v>
      </c>
      <c r="AB5056" s="40" t="s">
        <v>1799</v>
      </c>
    </row>
    <row r="5057" spans="1:28" x14ac:dyDescent="0.25">
      <c r="A5057">
        <v>99915056</v>
      </c>
      <c r="B5057" t="s">
        <v>56</v>
      </c>
      <c r="C5057" t="s">
        <v>52</v>
      </c>
      <c r="D5057" t="s">
        <v>53</v>
      </c>
      <c r="G5057" t="s">
        <v>48</v>
      </c>
      <c r="H5057">
        <v>1</v>
      </c>
      <c r="K5057" t="s">
        <v>223</v>
      </c>
      <c r="L5057" t="s">
        <v>224</v>
      </c>
      <c r="M5057" t="s">
        <v>131</v>
      </c>
      <c r="N5057">
        <v>24</v>
      </c>
      <c r="P5057" t="s">
        <v>41</v>
      </c>
      <c r="Q5057" t="s">
        <v>49</v>
      </c>
      <c r="R5057" t="str">
        <f>"0509999"</f>
        <v>0509999</v>
      </c>
      <c r="S5057" t="s">
        <v>247</v>
      </c>
      <c r="T5057" t="s">
        <v>223</v>
      </c>
      <c r="U5057" t="s">
        <v>224</v>
      </c>
      <c r="V5057" t="s">
        <v>131</v>
      </c>
      <c r="W5057" t="s">
        <v>51</v>
      </c>
      <c r="X5057" t="s">
        <v>45</v>
      </c>
      <c r="Y5057" s="1">
        <v>26029</v>
      </c>
      <c r="Z5057">
        <v>2</v>
      </c>
      <c r="AA5057" t="s">
        <v>224</v>
      </c>
      <c r="AB5057" s="40" t="s">
        <v>1799</v>
      </c>
    </row>
    <row r="5058" spans="1:28" x14ac:dyDescent="0.25">
      <c r="A5058">
        <v>99915057</v>
      </c>
      <c r="B5058" t="s">
        <v>32</v>
      </c>
      <c r="C5058" t="s">
        <v>111</v>
      </c>
      <c r="D5058" t="s">
        <v>112</v>
      </c>
      <c r="G5058" t="s">
        <v>48</v>
      </c>
      <c r="H5058">
        <v>1</v>
      </c>
      <c r="K5058" t="s">
        <v>407</v>
      </c>
      <c r="L5058" t="s">
        <v>409</v>
      </c>
      <c r="M5058" t="s">
        <v>131</v>
      </c>
      <c r="N5058">
        <v>24</v>
      </c>
      <c r="P5058" t="s">
        <v>41</v>
      </c>
      <c r="Q5058" t="s">
        <v>75</v>
      </c>
      <c r="R5058" t="str">
        <f>"7053000"</f>
        <v>7053000</v>
      </c>
      <c r="S5058" t="s">
        <v>754</v>
      </c>
      <c r="T5058" t="s">
        <v>407</v>
      </c>
      <c r="U5058" t="s">
        <v>409</v>
      </c>
      <c r="V5058" t="s">
        <v>131</v>
      </c>
      <c r="W5058" t="s">
        <v>51</v>
      </c>
      <c r="X5058" t="s">
        <v>45</v>
      </c>
      <c r="Y5058" s="1">
        <v>26020</v>
      </c>
      <c r="Z5058">
        <v>1</v>
      </c>
      <c r="AA5058" t="s">
        <v>409</v>
      </c>
      <c r="AB5058" s="40" t="s">
        <v>1799</v>
      </c>
    </row>
    <row r="5059" spans="1:28" x14ac:dyDescent="0.25">
      <c r="A5059">
        <v>99915058</v>
      </c>
      <c r="B5059" t="s">
        <v>32</v>
      </c>
      <c r="C5059" t="s">
        <v>111</v>
      </c>
      <c r="D5059" t="s">
        <v>112</v>
      </c>
      <c r="G5059" t="s">
        <v>48</v>
      </c>
      <c r="H5059">
        <v>1</v>
      </c>
      <c r="K5059" t="s">
        <v>154</v>
      </c>
      <c r="L5059" t="s">
        <v>155</v>
      </c>
      <c r="M5059" t="s">
        <v>131</v>
      </c>
      <c r="N5059">
        <v>24</v>
      </c>
      <c r="P5059" t="s">
        <v>41</v>
      </c>
      <c r="Q5059" t="s">
        <v>75</v>
      </c>
      <c r="R5059" t="str">
        <f>"7051026"</f>
        <v>7051026</v>
      </c>
      <c r="S5059" t="s">
        <v>396</v>
      </c>
      <c r="T5059" t="s">
        <v>154</v>
      </c>
      <c r="U5059" t="s">
        <v>155</v>
      </c>
      <c r="V5059" t="s">
        <v>131</v>
      </c>
      <c r="W5059" t="s">
        <v>51</v>
      </c>
      <c r="X5059" t="s">
        <v>45</v>
      </c>
      <c r="Y5059" s="1">
        <v>25966</v>
      </c>
      <c r="Z5059">
        <v>1</v>
      </c>
      <c r="AA5059" t="s">
        <v>155</v>
      </c>
      <c r="AB5059" s="40" t="s">
        <v>1799</v>
      </c>
    </row>
    <row r="5060" spans="1:28" x14ac:dyDescent="0.25">
      <c r="A5060">
        <v>99915059</v>
      </c>
      <c r="B5060" t="s">
        <v>32</v>
      </c>
      <c r="C5060" t="s">
        <v>111</v>
      </c>
      <c r="D5060" t="s">
        <v>112</v>
      </c>
      <c r="G5060" t="s">
        <v>35</v>
      </c>
      <c r="H5060">
        <v>1</v>
      </c>
      <c r="I5060">
        <v>92</v>
      </c>
      <c r="J5060" s="1">
        <v>43344</v>
      </c>
      <c r="K5060" t="s">
        <v>354</v>
      </c>
      <c r="L5060" t="s">
        <v>355</v>
      </c>
      <c r="M5060" t="s">
        <v>131</v>
      </c>
      <c r="N5060">
        <v>24</v>
      </c>
      <c r="O5060" s="1">
        <v>43344</v>
      </c>
      <c r="P5060" t="s">
        <v>41</v>
      </c>
      <c r="Q5060" t="s">
        <v>75</v>
      </c>
      <c r="R5060" t="str">
        <f>"7054032"</f>
        <v>7054032</v>
      </c>
      <c r="S5060" t="s">
        <v>767</v>
      </c>
      <c r="T5060" t="s">
        <v>354</v>
      </c>
      <c r="U5060" t="s">
        <v>355</v>
      </c>
      <c r="V5060" t="s">
        <v>131</v>
      </c>
      <c r="W5060" t="s">
        <v>44</v>
      </c>
      <c r="X5060" t="s">
        <v>45</v>
      </c>
      <c r="Y5060" s="1">
        <v>25963</v>
      </c>
      <c r="Z5060">
        <v>1</v>
      </c>
      <c r="AA5060" t="s">
        <v>355</v>
      </c>
      <c r="AB5060" s="40" t="s">
        <v>1799</v>
      </c>
    </row>
    <row r="5061" spans="1:28" x14ac:dyDescent="0.25">
      <c r="A5061">
        <v>99915060</v>
      </c>
      <c r="B5061" t="s">
        <v>32</v>
      </c>
      <c r="C5061" t="s">
        <v>141</v>
      </c>
      <c r="D5061" t="s">
        <v>142</v>
      </c>
      <c r="G5061" t="s">
        <v>35</v>
      </c>
      <c r="H5061">
        <v>1</v>
      </c>
      <c r="I5061">
        <v>3600</v>
      </c>
      <c r="J5061" s="1">
        <v>43344</v>
      </c>
      <c r="K5061" t="s">
        <v>354</v>
      </c>
      <c r="L5061" t="s">
        <v>355</v>
      </c>
      <c r="M5061" t="s">
        <v>131</v>
      </c>
      <c r="N5061">
        <v>24</v>
      </c>
      <c r="O5061" s="1">
        <v>43344</v>
      </c>
      <c r="P5061" t="s">
        <v>41</v>
      </c>
      <c r="Q5061" t="s">
        <v>75</v>
      </c>
      <c r="R5061" t="str">
        <f>"7054008"</f>
        <v>7054008</v>
      </c>
      <c r="S5061" t="s">
        <v>813</v>
      </c>
      <c r="T5061" t="s">
        <v>354</v>
      </c>
      <c r="U5061" t="s">
        <v>355</v>
      </c>
      <c r="V5061" t="s">
        <v>131</v>
      </c>
      <c r="W5061" t="s">
        <v>51</v>
      </c>
      <c r="X5061" t="s">
        <v>45</v>
      </c>
      <c r="Y5061" s="1">
        <v>25934</v>
      </c>
      <c r="Z5061">
        <v>1</v>
      </c>
      <c r="AA5061" t="s">
        <v>355</v>
      </c>
      <c r="AB5061" s="40" t="s">
        <v>1799</v>
      </c>
    </row>
    <row r="5062" spans="1:28" x14ac:dyDescent="0.25">
      <c r="A5062">
        <v>99915061</v>
      </c>
      <c r="B5062" t="s">
        <v>32</v>
      </c>
      <c r="C5062" t="s">
        <v>79</v>
      </c>
      <c r="D5062" t="s">
        <v>80</v>
      </c>
      <c r="G5062" t="s">
        <v>35</v>
      </c>
      <c r="H5062">
        <v>1</v>
      </c>
      <c r="K5062" t="s">
        <v>195</v>
      </c>
      <c r="L5062" t="s">
        <v>196</v>
      </c>
      <c r="M5062" t="s">
        <v>131</v>
      </c>
      <c r="N5062">
        <v>24</v>
      </c>
      <c r="P5062" t="s">
        <v>41</v>
      </c>
      <c r="Q5062" t="s">
        <v>75</v>
      </c>
      <c r="R5062" t="str">
        <f>"7521000"</f>
        <v>7521000</v>
      </c>
      <c r="S5062" t="s">
        <v>450</v>
      </c>
      <c r="T5062" t="s">
        <v>195</v>
      </c>
      <c r="U5062" t="s">
        <v>196</v>
      </c>
      <c r="V5062" t="s">
        <v>131</v>
      </c>
      <c r="W5062" t="s">
        <v>51</v>
      </c>
      <c r="X5062" t="s">
        <v>45</v>
      </c>
      <c r="Y5062" s="1">
        <v>25932</v>
      </c>
      <c r="Z5062">
        <v>1</v>
      </c>
      <c r="AA5062" t="s">
        <v>196</v>
      </c>
      <c r="AB5062" s="40" t="s">
        <v>1799</v>
      </c>
    </row>
    <row r="5063" spans="1:28" x14ac:dyDescent="0.25">
      <c r="A5063">
        <v>99915062</v>
      </c>
      <c r="B5063" t="s">
        <v>32</v>
      </c>
      <c r="C5063" t="s">
        <v>79</v>
      </c>
      <c r="D5063" t="s">
        <v>80</v>
      </c>
      <c r="G5063" t="s">
        <v>35</v>
      </c>
      <c r="H5063">
        <v>1</v>
      </c>
      <c r="I5063" s="1">
        <v>38231</v>
      </c>
      <c r="J5063" s="1">
        <v>43344</v>
      </c>
      <c r="K5063" t="s">
        <v>1341</v>
      </c>
      <c r="L5063" t="s">
        <v>1342</v>
      </c>
      <c r="M5063" t="s">
        <v>1270</v>
      </c>
      <c r="N5063">
        <v>24</v>
      </c>
      <c r="O5063" s="1">
        <v>43344</v>
      </c>
      <c r="P5063" t="s">
        <v>41</v>
      </c>
      <c r="Q5063" t="s">
        <v>75</v>
      </c>
      <c r="R5063" t="str">
        <f>"7191004"</f>
        <v>7191004</v>
      </c>
      <c r="S5063" t="s">
        <v>1344</v>
      </c>
      <c r="T5063" t="s">
        <v>1341</v>
      </c>
      <c r="U5063" t="s">
        <v>1342</v>
      </c>
      <c r="V5063" t="s">
        <v>1270</v>
      </c>
      <c r="W5063" t="s">
        <v>51</v>
      </c>
      <c r="X5063" t="s">
        <v>45</v>
      </c>
      <c r="Y5063" s="1">
        <v>25874</v>
      </c>
      <c r="Z5063">
        <v>1</v>
      </c>
      <c r="AA5063" t="s">
        <v>1342</v>
      </c>
      <c r="AB5063" s="40" t="s">
        <v>1799</v>
      </c>
    </row>
    <row r="5064" spans="1:28" x14ac:dyDescent="0.25">
      <c r="A5064">
        <v>99915063</v>
      </c>
      <c r="B5064" t="s">
        <v>56</v>
      </c>
      <c r="C5064" t="s">
        <v>61</v>
      </c>
      <c r="D5064" t="s">
        <v>62</v>
      </c>
      <c r="G5064" t="s">
        <v>48</v>
      </c>
      <c r="H5064">
        <v>3</v>
      </c>
      <c r="K5064" t="s">
        <v>877</v>
      </c>
      <c r="L5064" t="s">
        <v>878</v>
      </c>
      <c r="M5064" t="s">
        <v>131</v>
      </c>
      <c r="N5064">
        <v>24</v>
      </c>
      <c r="P5064" t="s">
        <v>41</v>
      </c>
      <c r="Q5064" t="s">
        <v>75</v>
      </c>
      <c r="R5064" t="str">
        <f>"7541004"</f>
        <v>7541004</v>
      </c>
      <c r="S5064" t="s">
        <v>889</v>
      </c>
      <c r="T5064" t="s">
        <v>877</v>
      </c>
      <c r="U5064" t="s">
        <v>878</v>
      </c>
      <c r="V5064" t="s">
        <v>131</v>
      </c>
      <c r="W5064" t="s">
        <v>51</v>
      </c>
      <c r="X5064" t="s">
        <v>45</v>
      </c>
      <c r="Y5064" s="1">
        <v>25844</v>
      </c>
      <c r="Z5064">
        <v>1</v>
      </c>
      <c r="AA5064" t="s">
        <v>878</v>
      </c>
      <c r="AB5064" s="40" t="s">
        <v>1799</v>
      </c>
    </row>
    <row r="5065" spans="1:28" x14ac:dyDescent="0.25">
      <c r="A5065">
        <v>99915064</v>
      </c>
      <c r="B5065" t="s">
        <v>56</v>
      </c>
      <c r="C5065" t="s">
        <v>111</v>
      </c>
      <c r="D5065" t="s">
        <v>112</v>
      </c>
      <c r="G5065" t="s">
        <v>48</v>
      </c>
      <c r="H5065">
        <v>1</v>
      </c>
      <c r="K5065" t="s">
        <v>1198</v>
      </c>
      <c r="L5065" t="s">
        <v>1199</v>
      </c>
      <c r="M5065" t="s">
        <v>1130</v>
      </c>
      <c r="N5065">
        <v>24</v>
      </c>
      <c r="P5065" t="s">
        <v>41</v>
      </c>
      <c r="Q5065" t="s">
        <v>75</v>
      </c>
      <c r="R5065" t="str">
        <f>"7311010"</f>
        <v>7311010</v>
      </c>
      <c r="S5065" t="s">
        <v>1202</v>
      </c>
      <c r="T5065" t="s">
        <v>1198</v>
      </c>
      <c r="U5065" t="s">
        <v>1199</v>
      </c>
      <c r="V5065" t="s">
        <v>1130</v>
      </c>
      <c r="W5065" t="s">
        <v>51</v>
      </c>
      <c r="X5065" t="s">
        <v>45</v>
      </c>
      <c r="Y5065" s="1">
        <v>25838</v>
      </c>
      <c r="Z5065">
        <v>1</v>
      </c>
      <c r="AA5065" t="s">
        <v>1199</v>
      </c>
      <c r="AB5065" s="40" t="s">
        <v>1799</v>
      </c>
    </row>
    <row r="5066" spans="1:28" x14ac:dyDescent="0.25">
      <c r="A5066">
        <v>99915065</v>
      </c>
      <c r="B5066" t="s">
        <v>32</v>
      </c>
      <c r="C5066" t="s">
        <v>139</v>
      </c>
      <c r="D5066" t="s">
        <v>140</v>
      </c>
      <c r="G5066" t="s">
        <v>35</v>
      </c>
      <c r="H5066">
        <v>1</v>
      </c>
      <c r="I5066" s="1">
        <v>42614</v>
      </c>
      <c r="J5066" s="1">
        <v>43344</v>
      </c>
      <c r="K5066" t="s">
        <v>1341</v>
      </c>
      <c r="L5066" t="s">
        <v>1342</v>
      </c>
      <c r="M5066" t="s">
        <v>1270</v>
      </c>
      <c r="N5066">
        <v>24</v>
      </c>
      <c r="O5066" s="1">
        <v>43344</v>
      </c>
      <c r="P5066" t="s">
        <v>41</v>
      </c>
      <c r="Q5066" t="s">
        <v>75</v>
      </c>
      <c r="R5066" t="str">
        <f>"7191000"</f>
        <v>7191000</v>
      </c>
      <c r="S5066" t="s">
        <v>1347</v>
      </c>
      <c r="T5066" t="s">
        <v>1341</v>
      </c>
      <c r="U5066" t="s">
        <v>1342</v>
      </c>
      <c r="V5066" t="s">
        <v>1270</v>
      </c>
      <c r="W5066" t="s">
        <v>51</v>
      </c>
      <c r="X5066" t="s">
        <v>45</v>
      </c>
      <c r="Y5066" s="1">
        <v>25630</v>
      </c>
      <c r="Z5066">
        <v>1</v>
      </c>
      <c r="AA5066" t="s">
        <v>1342</v>
      </c>
      <c r="AB5066" s="40" t="s">
        <v>1799</v>
      </c>
    </row>
    <row r="5067" spans="1:28" x14ac:dyDescent="0.25">
      <c r="A5067">
        <v>99915066</v>
      </c>
      <c r="B5067" t="s">
        <v>32</v>
      </c>
      <c r="C5067" t="s">
        <v>79</v>
      </c>
      <c r="D5067" t="s">
        <v>80</v>
      </c>
      <c r="G5067" t="s">
        <v>48</v>
      </c>
      <c r="H5067">
        <v>5</v>
      </c>
      <c r="I5067" t="s">
        <v>456</v>
      </c>
      <c r="J5067" s="1">
        <v>40422</v>
      </c>
      <c r="K5067" t="s">
        <v>195</v>
      </c>
      <c r="L5067" t="s">
        <v>196</v>
      </c>
      <c r="M5067" t="s">
        <v>131</v>
      </c>
      <c r="N5067">
        <v>24</v>
      </c>
      <c r="O5067" s="1">
        <v>40422</v>
      </c>
      <c r="P5067" t="s">
        <v>41</v>
      </c>
      <c r="Q5067" t="s">
        <v>75</v>
      </c>
      <c r="R5067" t="str">
        <f>"7521046"</f>
        <v>7521046</v>
      </c>
      <c r="S5067" t="s">
        <v>436</v>
      </c>
      <c r="T5067" t="s">
        <v>195</v>
      </c>
      <c r="U5067" t="s">
        <v>196</v>
      </c>
      <c r="V5067" t="s">
        <v>131</v>
      </c>
      <c r="W5067" t="s">
        <v>165</v>
      </c>
      <c r="X5067" t="s">
        <v>45</v>
      </c>
      <c r="Y5067" s="1">
        <v>25584</v>
      </c>
      <c r="Z5067">
        <v>1</v>
      </c>
      <c r="AA5067" t="s">
        <v>196</v>
      </c>
      <c r="AB5067" s="40" t="s">
        <v>1799</v>
      </c>
    </row>
    <row r="5068" spans="1:28" x14ac:dyDescent="0.25">
      <c r="A5068">
        <v>99915067</v>
      </c>
      <c r="B5068" t="s">
        <v>32</v>
      </c>
      <c r="C5068" t="s">
        <v>64</v>
      </c>
      <c r="D5068" t="s">
        <v>65</v>
      </c>
      <c r="G5068" t="s">
        <v>35</v>
      </c>
      <c r="H5068">
        <v>1</v>
      </c>
      <c r="K5068" t="s">
        <v>1081</v>
      </c>
      <c r="L5068" t="s">
        <v>1082</v>
      </c>
      <c r="M5068" t="s">
        <v>1053</v>
      </c>
      <c r="N5068">
        <v>24</v>
      </c>
      <c r="P5068" t="s">
        <v>41</v>
      </c>
      <c r="Q5068" t="s">
        <v>75</v>
      </c>
      <c r="R5068" t="str">
        <f>"7201006"</f>
        <v>7201006</v>
      </c>
      <c r="S5068" t="s">
        <v>1083</v>
      </c>
      <c r="T5068" t="s">
        <v>1081</v>
      </c>
      <c r="U5068" t="s">
        <v>1082</v>
      </c>
      <c r="V5068" t="s">
        <v>1053</v>
      </c>
      <c r="W5068" t="s">
        <v>51</v>
      </c>
      <c r="X5068" t="s">
        <v>45</v>
      </c>
      <c r="Y5068" s="1">
        <v>25501</v>
      </c>
      <c r="Z5068">
        <v>1</v>
      </c>
      <c r="AA5068" t="s">
        <v>1082</v>
      </c>
      <c r="AB5068" s="40" t="s">
        <v>1799</v>
      </c>
    </row>
    <row r="5069" spans="1:28" x14ac:dyDescent="0.25">
      <c r="A5069">
        <v>99915068</v>
      </c>
      <c r="B5069" t="s">
        <v>56</v>
      </c>
      <c r="C5069" t="s">
        <v>46</v>
      </c>
      <c r="D5069" t="s">
        <v>47</v>
      </c>
      <c r="G5069" t="s">
        <v>48</v>
      </c>
      <c r="H5069">
        <v>1</v>
      </c>
      <c r="K5069" t="s">
        <v>1051</v>
      </c>
      <c r="L5069" t="s">
        <v>1052</v>
      </c>
      <c r="M5069" t="s">
        <v>1053</v>
      </c>
      <c r="N5069">
        <v>24</v>
      </c>
      <c r="P5069" t="s">
        <v>41</v>
      </c>
      <c r="Q5069" t="s">
        <v>42</v>
      </c>
      <c r="R5069" t="str">
        <f>"2061001"</f>
        <v>2061001</v>
      </c>
      <c r="S5069" t="s">
        <v>1058</v>
      </c>
      <c r="T5069" t="s">
        <v>1051</v>
      </c>
      <c r="U5069" t="s">
        <v>1052</v>
      </c>
      <c r="V5069" t="s">
        <v>1053</v>
      </c>
      <c r="W5069" t="s">
        <v>51</v>
      </c>
      <c r="X5069" t="s">
        <v>45</v>
      </c>
      <c r="Y5069" s="1">
        <v>25449</v>
      </c>
      <c r="Z5069">
        <v>2</v>
      </c>
      <c r="AA5069" t="s">
        <v>1052</v>
      </c>
      <c r="AB5069" s="40" t="s">
        <v>1799</v>
      </c>
    </row>
    <row r="5070" spans="1:28" x14ac:dyDescent="0.25">
      <c r="A5070">
        <v>99915069</v>
      </c>
      <c r="B5070" t="s">
        <v>32</v>
      </c>
      <c r="C5070" t="s">
        <v>64</v>
      </c>
      <c r="D5070" t="s">
        <v>65</v>
      </c>
      <c r="G5070" t="s">
        <v>35</v>
      </c>
      <c r="H5070">
        <v>1</v>
      </c>
      <c r="I5070" s="1">
        <v>42614</v>
      </c>
      <c r="J5070" s="1">
        <v>43344</v>
      </c>
      <c r="K5070" t="s">
        <v>1341</v>
      </c>
      <c r="L5070" t="s">
        <v>1342</v>
      </c>
      <c r="M5070" t="s">
        <v>1270</v>
      </c>
      <c r="N5070">
        <v>24</v>
      </c>
      <c r="O5070" s="1">
        <v>43344</v>
      </c>
      <c r="P5070" t="s">
        <v>41</v>
      </c>
      <c r="Q5070" t="s">
        <v>75</v>
      </c>
      <c r="R5070" t="str">
        <f>"7191034"</f>
        <v>7191034</v>
      </c>
      <c r="S5070" t="s">
        <v>1343</v>
      </c>
      <c r="T5070" t="s">
        <v>1341</v>
      </c>
      <c r="U5070" t="s">
        <v>1342</v>
      </c>
      <c r="V5070" t="s">
        <v>1270</v>
      </c>
      <c r="W5070" t="s">
        <v>51</v>
      </c>
      <c r="X5070" t="s">
        <v>45</v>
      </c>
      <c r="Y5070" s="1">
        <v>25440</v>
      </c>
      <c r="Z5070">
        <v>1</v>
      </c>
      <c r="AA5070" t="s">
        <v>1342</v>
      </c>
      <c r="AB5070" s="40" t="s">
        <v>1799</v>
      </c>
    </row>
    <row r="5071" spans="1:28" x14ac:dyDescent="0.25">
      <c r="A5071">
        <v>99915070</v>
      </c>
      <c r="B5071" t="s">
        <v>32</v>
      </c>
      <c r="C5071" t="s">
        <v>111</v>
      </c>
      <c r="D5071" t="s">
        <v>112</v>
      </c>
      <c r="G5071" t="s">
        <v>48</v>
      </c>
      <c r="H5071">
        <v>1</v>
      </c>
      <c r="K5071" t="s">
        <v>154</v>
      </c>
      <c r="L5071" t="s">
        <v>155</v>
      </c>
      <c r="M5071" t="s">
        <v>131</v>
      </c>
      <c r="N5071">
        <v>24</v>
      </c>
      <c r="P5071" t="s">
        <v>41</v>
      </c>
      <c r="Q5071" t="s">
        <v>75</v>
      </c>
      <c r="R5071" t="str">
        <f>"7051012"</f>
        <v>7051012</v>
      </c>
      <c r="S5071" t="s">
        <v>405</v>
      </c>
      <c r="T5071" t="s">
        <v>154</v>
      </c>
      <c r="U5071" t="s">
        <v>155</v>
      </c>
      <c r="V5071" t="s">
        <v>131</v>
      </c>
      <c r="W5071" t="s">
        <v>51</v>
      </c>
      <c r="X5071" t="s">
        <v>45</v>
      </c>
      <c r="Y5071" s="1">
        <v>25331</v>
      </c>
      <c r="Z5071">
        <v>1</v>
      </c>
      <c r="AA5071" t="s">
        <v>155</v>
      </c>
      <c r="AB5071" s="40" t="s">
        <v>1799</v>
      </c>
    </row>
    <row r="5072" spans="1:28" x14ac:dyDescent="0.25">
      <c r="A5072">
        <v>99915071</v>
      </c>
      <c r="B5072" t="s">
        <v>32</v>
      </c>
      <c r="C5072" t="s">
        <v>64</v>
      </c>
      <c r="D5072" t="s">
        <v>65</v>
      </c>
      <c r="G5072" t="s">
        <v>88</v>
      </c>
      <c r="H5072">
        <v>4</v>
      </c>
      <c r="I5072" t="s">
        <v>479</v>
      </c>
      <c r="J5072" s="1">
        <v>41883</v>
      </c>
      <c r="K5072" t="s">
        <v>195</v>
      </c>
      <c r="L5072" t="s">
        <v>196</v>
      </c>
      <c r="M5072" t="s">
        <v>131</v>
      </c>
      <c r="N5072">
        <v>24</v>
      </c>
      <c r="O5072" s="1">
        <v>41883</v>
      </c>
      <c r="P5072" t="s">
        <v>41</v>
      </c>
      <c r="Q5072" t="s">
        <v>75</v>
      </c>
      <c r="R5072" t="str">
        <f>"7521050"</f>
        <v>7521050</v>
      </c>
      <c r="S5072" t="s">
        <v>194</v>
      </c>
      <c r="T5072" t="s">
        <v>195</v>
      </c>
      <c r="U5072" t="s">
        <v>196</v>
      </c>
      <c r="V5072" t="s">
        <v>131</v>
      </c>
      <c r="W5072" t="s">
        <v>51</v>
      </c>
      <c r="X5072" t="s">
        <v>45</v>
      </c>
      <c r="Y5072" s="1">
        <v>25329</v>
      </c>
      <c r="Z5072">
        <v>1</v>
      </c>
      <c r="AA5072" t="s">
        <v>196</v>
      </c>
      <c r="AB5072" s="40" t="s">
        <v>1799</v>
      </c>
    </row>
    <row r="5073" spans="1:28" x14ac:dyDescent="0.25">
      <c r="A5073">
        <v>99915072</v>
      </c>
      <c r="B5073" t="s">
        <v>56</v>
      </c>
      <c r="C5073" t="s">
        <v>33</v>
      </c>
      <c r="D5073" t="s">
        <v>34</v>
      </c>
      <c r="G5073" t="s">
        <v>48</v>
      </c>
      <c r="H5073">
        <v>1</v>
      </c>
      <c r="K5073" t="s">
        <v>300</v>
      </c>
      <c r="L5073" t="s">
        <v>301</v>
      </c>
      <c r="M5073" t="s">
        <v>131</v>
      </c>
      <c r="N5073">
        <v>24</v>
      </c>
      <c r="P5073" t="s">
        <v>41</v>
      </c>
      <c r="Q5073" t="s">
        <v>49</v>
      </c>
      <c r="R5073" t="str">
        <f>"0560001"</f>
        <v>0560001</v>
      </c>
      <c r="S5073" t="s">
        <v>304</v>
      </c>
      <c r="T5073" t="s">
        <v>300</v>
      </c>
      <c r="U5073" t="s">
        <v>301</v>
      </c>
      <c r="V5073" t="s">
        <v>131</v>
      </c>
      <c r="W5073" t="s">
        <v>51</v>
      </c>
      <c r="X5073" t="s">
        <v>45</v>
      </c>
      <c r="Y5073" s="1">
        <v>25286</v>
      </c>
      <c r="Z5073">
        <v>2</v>
      </c>
      <c r="AA5073" t="s">
        <v>301</v>
      </c>
      <c r="AB5073" s="40" t="s">
        <v>1799</v>
      </c>
    </row>
    <row r="5074" spans="1:28" x14ac:dyDescent="0.25">
      <c r="A5074">
        <v>99915073</v>
      </c>
      <c r="B5074" t="s">
        <v>32</v>
      </c>
      <c r="C5074" t="s">
        <v>90</v>
      </c>
      <c r="D5074" t="s">
        <v>91</v>
      </c>
      <c r="G5074" t="s">
        <v>35</v>
      </c>
      <c r="H5074">
        <v>1</v>
      </c>
      <c r="I5074" t="s">
        <v>1414</v>
      </c>
      <c r="J5074" s="1">
        <v>43344</v>
      </c>
      <c r="K5074" t="s">
        <v>1341</v>
      </c>
      <c r="L5074" t="s">
        <v>1342</v>
      </c>
      <c r="M5074" t="s">
        <v>1270</v>
      </c>
      <c r="N5074">
        <v>24</v>
      </c>
      <c r="O5074" s="1">
        <v>43344</v>
      </c>
      <c r="P5074" t="s">
        <v>41</v>
      </c>
      <c r="Q5074" t="s">
        <v>95</v>
      </c>
      <c r="R5074" t="str">
        <f>"7191037"</f>
        <v>7191037</v>
      </c>
      <c r="S5074" t="s">
        <v>1415</v>
      </c>
      <c r="T5074" t="s">
        <v>1341</v>
      </c>
      <c r="U5074" t="s">
        <v>1342</v>
      </c>
      <c r="V5074" t="s">
        <v>1270</v>
      </c>
      <c r="W5074" t="s">
        <v>51</v>
      </c>
      <c r="X5074" t="s">
        <v>45</v>
      </c>
      <c r="Y5074" s="1">
        <v>25279</v>
      </c>
      <c r="Z5074">
        <v>1</v>
      </c>
      <c r="AA5074" t="s">
        <v>1342</v>
      </c>
      <c r="AB5074" s="40" t="s">
        <v>1799</v>
      </c>
    </row>
    <row r="5075" spans="1:28" x14ac:dyDescent="0.25">
      <c r="A5075">
        <v>99915074</v>
      </c>
      <c r="B5075" t="s">
        <v>32</v>
      </c>
      <c r="C5075" t="s">
        <v>64</v>
      </c>
      <c r="D5075" t="s">
        <v>65</v>
      </c>
      <c r="G5075" t="s">
        <v>48</v>
      </c>
      <c r="H5075">
        <v>1</v>
      </c>
      <c r="K5075" t="s">
        <v>1198</v>
      </c>
      <c r="L5075" t="s">
        <v>1199</v>
      </c>
      <c r="M5075" t="s">
        <v>1130</v>
      </c>
      <c r="N5075">
        <v>24</v>
      </c>
      <c r="P5075" t="s">
        <v>41</v>
      </c>
      <c r="Q5075" t="s">
        <v>75</v>
      </c>
      <c r="R5075" t="str">
        <f>"7311010"</f>
        <v>7311010</v>
      </c>
      <c r="S5075" t="s">
        <v>1202</v>
      </c>
      <c r="T5075" t="s">
        <v>1198</v>
      </c>
      <c r="U5075" t="s">
        <v>1199</v>
      </c>
      <c r="V5075" t="s">
        <v>1130</v>
      </c>
      <c r="W5075" t="s">
        <v>51</v>
      </c>
      <c r="X5075" t="s">
        <v>45</v>
      </c>
      <c r="Y5075" s="1">
        <v>25229</v>
      </c>
      <c r="Z5075">
        <v>1</v>
      </c>
      <c r="AA5075" t="s">
        <v>1199</v>
      </c>
      <c r="AB5075" s="40" t="s">
        <v>1799</v>
      </c>
    </row>
    <row r="5076" spans="1:28" x14ac:dyDescent="0.25">
      <c r="A5076">
        <v>99915075</v>
      </c>
      <c r="B5076" t="s">
        <v>32</v>
      </c>
      <c r="C5076" t="s">
        <v>90</v>
      </c>
      <c r="D5076" t="s">
        <v>91</v>
      </c>
      <c r="G5076" t="s">
        <v>35</v>
      </c>
      <c r="H5076">
        <v>1</v>
      </c>
      <c r="I5076" s="1">
        <v>33868</v>
      </c>
      <c r="J5076" s="1">
        <v>43344</v>
      </c>
      <c r="K5076" t="s">
        <v>1341</v>
      </c>
      <c r="L5076" t="s">
        <v>1342</v>
      </c>
      <c r="M5076" t="s">
        <v>1270</v>
      </c>
      <c r="N5076">
        <v>24</v>
      </c>
      <c r="O5076" s="1">
        <v>43344</v>
      </c>
      <c r="P5076" t="s">
        <v>41</v>
      </c>
      <c r="Q5076" t="s">
        <v>95</v>
      </c>
      <c r="R5076" t="str">
        <f>"7191003"</f>
        <v>7191003</v>
      </c>
      <c r="S5076" t="s">
        <v>1361</v>
      </c>
      <c r="T5076" t="s">
        <v>1341</v>
      </c>
      <c r="U5076" t="s">
        <v>1342</v>
      </c>
      <c r="V5076" t="s">
        <v>1270</v>
      </c>
      <c r="W5076" t="s">
        <v>51</v>
      </c>
      <c r="X5076" t="s">
        <v>45</v>
      </c>
      <c r="Y5076" s="1">
        <v>25199</v>
      </c>
      <c r="Z5076">
        <v>1</v>
      </c>
      <c r="AA5076" t="s">
        <v>1342</v>
      </c>
      <c r="AB5076" s="40" t="s">
        <v>1799</v>
      </c>
    </row>
    <row r="5077" spans="1:28" x14ac:dyDescent="0.25">
      <c r="A5077">
        <v>99915076</v>
      </c>
      <c r="B5077" t="s">
        <v>32</v>
      </c>
      <c r="C5077" t="s">
        <v>90</v>
      </c>
      <c r="D5077" t="s">
        <v>91</v>
      </c>
      <c r="G5077" t="s">
        <v>35</v>
      </c>
      <c r="H5077">
        <v>1</v>
      </c>
      <c r="I5077" t="s">
        <v>1407</v>
      </c>
      <c r="J5077" s="1">
        <v>43344</v>
      </c>
      <c r="K5077" t="s">
        <v>1341</v>
      </c>
      <c r="L5077" t="s">
        <v>1342</v>
      </c>
      <c r="M5077" t="s">
        <v>1270</v>
      </c>
      <c r="N5077">
        <v>24</v>
      </c>
      <c r="O5077" s="1">
        <v>43344</v>
      </c>
      <c r="P5077" t="s">
        <v>41</v>
      </c>
      <c r="Q5077" t="s">
        <v>95</v>
      </c>
      <c r="R5077" t="str">
        <f>"7191067"</f>
        <v>7191067</v>
      </c>
      <c r="S5077" t="s">
        <v>1408</v>
      </c>
      <c r="T5077" t="s">
        <v>1341</v>
      </c>
      <c r="U5077" t="s">
        <v>1342</v>
      </c>
      <c r="V5077" t="s">
        <v>1270</v>
      </c>
      <c r="W5077" t="s">
        <v>51</v>
      </c>
      <c r="X5077" t="s">
        <v>45</v>
      </c>
      <c r="Y5077" s="1">
        <v>25180</v>
      </c>
      <c r="Z5077">
        <v>1</v>
      </c>
      <c r="AA5077" t="s">
        <v>1342</v>
      </c>
      <c r="AB5077" s="40" t="s">
        <v>1799</v>
      </c>
    </row>
    <row r="5078" spans="1:28" x14ac:dyDescent="0.25">
      <c r="A5078">
        <v>99915077</v>
      </c>
      <c r="B5078" t="s">
        <v>32</v>
      </c>
      <c r="C5078" t="s">
        <v>79</v>
      </c>
      <c r="D5078" t="s">
        <v>80</v>
      </c>
      <c r="G5078" t="s">
        <v>35</v>
      </c>
      <c r="H5078">
        <v>1</v>
      </c>
      <c r="I5078">
        <v>0</v>
      </c>
      <c r="J5078" s="1">
        <v>43344</v>
      </c>
      <c r="K5078" t="s">
        <v>985</v>
      </c>
      <c r="L5078" t="s">
        <v>986</v>
      </c>
      <c r="M5078" t="s">
        <v>938</v>
      </c>
      <c r="N5078">
        <v>24</v>
      </c>
      <c r="O5078" s="1">
        <v>43344</v>
      </c>
      <c r="P5078" t="s">
        <v>41</v>
      </c>
      <c r="Q5078" t="s">
        <v>75</v>
      </c>
      <c r="R5078" t="str">
        <f>"7011004"</f>
        <v>7011004</v>
      </c>
      <c r="S5078" t="s">
        <v>987</v>
      </c>
      <c r="T5078" t="s">
        <v>985</v>
      </c>
      <c r="U5078" t="s">
        <v>986</v>
      </c>
      <c r="V5078" t="s">
        <v>938</v>
      </c>
      <c r="W5078" t="s">
        <v>51</v>
      </c>
      <c r="X5078" t="s">
        <v>45</v>
      </c>
      <c r="Y5078" s="1">
        <v>25153</v>
      </c>
      <c r="Z5078">
        <v>1</v>
      </c>
      <c r="AA5078" t="s">
        <v>986</v>
      </c>
      <c r="AB5078" s="40" t="s">
        <v>1799</v>
      </c>
    </row>
    <row r="5079" spans="1:28" x14ac:dyDescent="0.25">
      <c r="A5079">
        <v>99915078</v>
      </c>
      <c r="B5079" t="s">
        <v>32</v>
      </c>
      <c r="C5079" t="s">
        <v>85</v>
      </c>
      <c r="D5079" t="s">
        <v>86</v>
      </c>
      <c r="G5079" t="s">
        <v>35</v>
      </c>
      <c r="H5079">
        <v>1</v>
      </c>
      <c r="K5079" t="s">
        <v>223</v>
      </c>
      <c r="L5079" t="s">
        <v>224</v>
      </c>
      <c r="M5079" t="s">
        <v>131</v>
      </c>
      <c r="N5079">
        <v>24</v>
      </c>
      <c r="P5079" t="s">
        <v>41</v>
      </c>
      <c r="Q5079" t="s">
        <v>49</v>
      </c>
      <c r="R5079" t="str">
        <f>"0591901"</f>
        <v>0591901</v>
      </c>
      <c r="S5079" t="s">
        <v>230</v>
      </c>
      <c r="T5079" t="s">
        <v>223</v>
      </c>
      <c r="U5079" t="s">
        <v>224</v>
      </c>
      <c r="V5079" t="s">
        <v>131</v>
      </c>
      <c r="W5079" t="s">
        <v>51</v>
      </c>
      <c r="X5079" t="s">
        <v>45</v>
      </c>
      <c r="Y5079" s="1">
        <v>25028</v>
      </c>
      <c r="Z5079">
        <v>2</v>
      </c>
      <c r="AA5079" t="s">
        <v>224</v>
      </c>
      <c r="AB5079" s="40" t="s">
        <v>1799</v>
      </c>
    </row>
    <row r="5080" spans="1:28" x14ac:dyDescent="0.25">
      <c r="A5080">
        <v>99915079</v>
      </c>
      <c r="B5080" t="s">
        <v>32</v>
      </c>
      <c r="C5080" t="s">
        <v>90</v>
      </c>
      <c r="D5080" t="s">
        <v>91</v>
      </c>
      <c r="G5080" t="s">
        <v>35</v>
      </c>
      <c r="H5080">
        <v>1</v>
      </c>
      <c r="I5080" t="s">
        <v>1387</v>
      </c>
      <c r="J5080" s="1">
        <v>43344</v>
      </c>
      <c r="K5080" t="s">
        <v>1341</v>
      </c>
      <c r="L5080" t="s">
        <v>1342</v>
      </c>
      <c r="M5080" t="s">
        <v>1270</v>
      </c>
      <c r="N5080">
        <v>24</v>
      </c>
      <c r="O5080" s="1">
        <v>43344</v>
      </c>
      <c r="P5080" t="s">
        <v>41</v>
      </c>
      <c r="Q5080" t="s">
        <v>95</v>
      </c>
      <c r="R5080" t="str">
        <f>"7191095"</f>
        <v>7191095</v>
      </c>
      <c r="S5080" t="s">
        <v>1388</v>
      </c>
      <c r="T5080" t="s">
        <v>1341</v>
      </c>
      <c r="U5080" t="s">
        <v>1342</v>
      </c>
      <c r="V5080" t="s">
        <v>1270</v>
      </c>
      <c r="W5080" t="s">
        <v>51</v>
      </c>
      <c r="X5080" t="s">
        <v>45</v>
      </c>
      <c r="Y5080" s="1">
        <v>25016</v>
      </c>
      <c r="Z5080">
        <v>1</v>
      </c>
      <c r="AA5080" t="s">
        <v>1342</v>
      </c>
      <c r="AB5080" s="40" t="s">
        <v>1799</v>
      </c>
    </row>
    <row r="5081" spans="1:28" x14ac:dyDescent="0.25">
      <c r="A5081">
        <v>99915080</v>
      </c>
      <c r="B5081" t="s">
        <v>32</v>
      </c>
      <c r="C5081" t="s">
        <v>111</v>
      </c>
      <c r="D5081" t="s">
        <v>112</v>
      </c>
      <c r="G5081" t="s">
        <v>35</v>
      </c>
      <c r="H5081">
        <v>1</v>
      </c>
      <c r="I5081" s="1">
        <v>40057</v>
      </c>
      <c r="J5081" s="1">
        <v>43344</v>
      </c>
      <c r="K5081" t="s">
        <v>1341</v>
      </c>
      <c r="L5081" t="s">
        <v>1342</v>
      </c>
      <c r="M5081" t="s">
        <v>1270</v>
      </c>
      <c r="N5081">
        <v>24</v>
      </c>
      <c r="O5081" s="1">
        <v>43344</v>
      </c>
      <c r="P5081" t="s">
        <v>41</v>
      </c>
      <c r="Q5081" t="s">
        <v>75</v>
      </c>
      <c r="R5081" t="str">
        <f>"7191032"</f>
        <v>7191032</v>
      </c>
      <c r="S5081" t="s">
        <v>1399</v>
      </c>
      <c r="T5081" t="s">
        <v>1341</v>
      </c>
      <c r="U5081" t="s">
        <v>1342</v>
      </c>
      <c r="V5081" t="s">
        <v>1270</v>
      </c>
      <c r="W5081" t="s">
        <v>51</v>
      </c>
      <c r="X5081" t="s">
        <v>45</v>
      </c>
      <c r="Y5081" s="1">
        <v>24913</v>
      </c>
      <c r="Z5081">
        <v>1</v>
      </c>
      <c r="AA5081" t="s">
        <v>1342</v>
      </c>
      <c r="AB5081" s="40" t="s">
        <v>1799</v>
      </c>
    </row>
    <row r="5082" spans="1:28" x14ac:dyDescent="0.25">
      <c r="A5082">
        <v>99915081</v>
      </c>
      <c r="B5082" t="s">
        <v>56</v>
      </c>
      <c r="C5082" t="s">
        <v>79</v>
      </c>
      <c r="D5082" t="s">
        <v>80</v>
      </c>
      <c r="G5082" t="s">
        <v>35</v>
      </c>
      <c r="H5082">
        <v>1</v>
      </c>
      <c r="I5082" s="1">
        <v>34583</v>
      </c>
      <c r="J5082" s="1">
        <v>43344</v>
      </c>
      <c r="K5082" t="s">
        <v>1341</v>
      </c>
      <c r="L5082" t="s">
        <v>1342</v>
      </c>
      <c r="M5082" t="s">
        <v>1270</v>
      </c>
      <c r="N5082">
        <v>24</v>
      </c>
      <c r="O5082" s="1">
        <v>43344</v>
      </c>
      <c r="P5082" t="s">
        <v>41</v>
      </c>
      <c r="Q5082" t="s">
        <v>75</v>
      </c>
      <c r="R5082" t="str">
        <f>"7191004"</f>
        <v>7191004</v>
      </c>
      <c r="S5082" t="s">
        <v>1344</v>
      </c>
      <c r="T5082" t="s">
        <v>1341</v>
      </c>
      <c r="U5082" t="s">
        <v>1342</v>
      </c>
      <c r="V5082" t="s">
        <v>1270</v>
      </c>
      <c r="W5082" t="s">
        <v>51</v>
      </c>
      <c r="X5082" t="s">
        <v>45</v>
      </c>
      <c r="Y5082" s="1">
        <v>24839</v>
      </c>
      <c r="Z5082">
        <v>1</v>
      </c>
      <c r="AA5082" t="s">
        <v>1342</v>
      </c>
      <c r="AB5082" s="40" t="s">
        <v>1799</v>
      </c>
    </row>
    <row r="5083" spans="1:28" x14ac:dyDescent="0.25">
      <c r="A5083">
        <v>99915082</v>
      </c>
      <c r="B5083" t="s">
        <v>56</v>
      </c>
      <c r="C5083" t="s">
        <v>143</v>
      </c>
      <c r="D5083" t="s">
        <v>144</v>
      </c>
      <c r="G5083" t="s">
        <v>48</v>
      </c>
      <c r="H5083">
        <v>1</v>
      </c>
      <c r="K5083" t="s">
        <v>431</v>
      </c>
      <c r="L5083" t="s">
        <v>196</v>
      </c>
      <c r="M5083" t="s">
        <v>131</v>
      </c>
      <c r="N5083">
        <v>24</v>
      </c>
      <c r="P5083" t="s">
        <v>41</v>
      </c>
      <c r="Q5083" t="s">
        <v>75</v>
      </c>
      <c r="R5083" t="str">
        <f>"7521012"</f>
        <v>7521012</v>
      </c>
      <c r="S5083" t="s">
        <v>432</v>
      </c>
      <c r="T5083" t="s">
        <v>431</v>
      </c>
      <c r="U5083" t="s">
        <v>196</v>
      </c>
      <c r="V5083" t="s">
        <v>131</v>
      </c>
      <c r="W5083" t="s">
        <v>51</v>
      </c>
      <c r="X5083" t="s">
        <v>45</v>
      </c>
      <c r="Y5083" s="1">
        <v>24838</v>
      </c>
      <c r="Z5083">
        <v>1</v>
      </c>
      <c r="AA5083" t="s">
        <v>196</v>
      </c>
      <c r="AB5083" s="40" t="s">
        <v>1799</v>
      </c>
    </row>
    <row r="5084" spans="1:28" x14ac:dyDescent="0.25">
      <c r="A5084">
        <v>99915083</v>
      </c>
      <c r="B5084" t="s">
        <v>32</v>
      </c>
      <c r="C5084" t="s">
        <v>111</v>
      </c>
      <c r="D5084" t="s">
        <v>112</v>
      </c>
      <c r="G5084" t="s">
        <v>35</v>
      </c>
      <c r="H5084">
        <v>1</v>
      </c>
      <c r="I5084">
        <v>14590</v>
      </c>
      <c r="J5084" s="1">
        <v>43344</v>
      </c>
      <c r="K5084" t="s">
        <v>354</v>
      </c>
      <c r="L5084" t="s">
        <v>355</v>
      </c>
      <c r="M5084" t="s">
        <v>131</v>
      </c>
      <c r="N5084">
        <v>24</v>
      </c>
      <c r="O5084" s="1">
        <v>43344</v>
      </c>
      <c r="P5084" t="s">
        <v>41</v>
      </c>
      <c r="Q5084" t="s">
        <v>75</v>
      </c>
      <c r="R5084" t="str">
        <f>"7054006"</f>
        <v>7054006</v>
      </c>
      <c r="S5084" t="s">
        <v>774</v>
      </c>
      <c r="T5084" t="s">
        <v>354</v>
      </c>
      <c r="U5084" t="s">
        <v>355</v>
      </c>
      <c r="V5084" t="s">
        <v>131</v>
      </c>
      <c r="W5084" t="s">
        <v>51</v>
      </c>
      <c r="X5084" t="s">
        <v>45</v>
      </c>
      <c r="Y5084" s="1">
        <v>24838</v>
      </c>
      <c r="Z5084">
        <v>1</v>
      </c>
      <c r="AA5084" t="s">
        <v>355</v>
      </c>
      <c r="AB5084" s="40" t="s">
        <v>1799</v>
      </c>
    </row>
    <row r="5085" spans="1:28" x14ac:dyDescent="0.25">
      <c r="A5085">
        <v>99915084</v>
      </c>
      <c r="B5085" t="s">
        <v>32</v>
      </c>
      <c r="C5085" t="s">
        <v>79</v>
      </c>
      <c r="D5085" t="s">
        <v>80</v>
      </c>
      <c r="G5085" t="s">
        <v>35</v>
      </c>
      <c r="H5085">
        <v>1</v>
      </c>
      <c r="I5085" s="1">
        <v>39406</v>
      </c>
      <c r="J5085" s="1">
        <v>43344</v>
      </c>
      <c r="K5085" t="s">
        <v>1341</v>
      </c>
      <c r="L5085" t="s">
        <v>1342</v>
      </c>
      <c r="M5085" t="s">
        <v>1270</v>
      </c>
      <c r="N5085">
        <v>24</v>
      </c>
      <c r="O5085" s="1">
        <v>43344</v>
      </c>
      <c r="P5085" t="s">
        <v>41</v>
      </c>
      <c r="Q5085" t="s">
        <v>75</v>
      </c>
      <c r="R5085" t="str">
        <f>"7191004"</f>
        <v>7191004</v>
      </c>
      <c r="S5085" t="s">
        <v>1344</v>
      </c>
      <c r="T5085" t="s">
        <v>1341</v>
      </c>
      <c r="U5085" t="s">
        <v>1342</v>
      </c>
      <c r="V5085" t="s">
        <v>1270</v>
      </c>
      <c r="W5085" t="s">
        <v>51</v>
      </c>
      <c r="X5085" t="s">
        <v>45</v>
      </c>
      <c r="Y5085" s="1">
        <v>24838</v>
      </c>
      <c r="Z5085">
        <v>1</v>
      </c>
      <c r="AA5085" t="s">
        <v>1342</v>
      </c>
      <c r="AB5085" s="40" t="s">
        <v>1799</v>
      </c>
    </row>
    <row r="5086" spans="1:28" x14ac:dyDescent="0.25">
      <c r="A5086">
        <v>99915085</v>
      </c>
      <c r="B5086" t="s">
        <v>56</v>
      </c>
      <c r="C5086" t="s">
        <v>111</v>
      </c>
      <c r="D5086" t="s">
        <v>112</v>
      </c>
      <c r="G5086" t="s">
        <v>35</v>
      </c>
      <c r="H5086">
        <v>1</v>
      </c>
      <c r="I5086" s="1">
        <v>40057</v>
      </c>
      <c r="J5086" s="1">
        <v>43344</v>
      </c>
      <c r="K5086" t="s">
        <v>1341</v>
      </c>
      <c r="L5086" t="s">
        <v>1342</v>
      </c>
      <c r="M5086" t="s">
        <v>1270</v>
      </c>
      <c r="N5086">
        <v>24</v>
      </c>
      <c r="O5086" s="1">
        <v>43344</v>
      </c>
      <c r="P5086" t="s">
        <v>41</v>
      </c>
      <c r="Q5086" t="s">
        <v>75</v>
      </c>
      <c r="R5086" t="str">
        <f>"7191004"</f>
        <v>7191004</v>
      </c>
      <c r="S5086" t="s">
        <v>1344</v>
      </c>
      <c r="T5086" t="s">
        <v>1341</v>
      </c>
      <c r="U5086" t="s">
        <v>1342</v>
      </c>
      <c r="V5086" t="s">
        <v>1270</v>
      </c>
      <c r="W5086" t="s">
        <v>51</v>
      </c>
      <c r="X5086" t="s">
        <v>45</v>
      </c>
      <c r="Y5086" s="1">
        <v>24762</v>
      </c>
      <c r="Z5086">
        <v>1</v>
      </c>
      <c r="AA5086" t="s">
        <v>1342</v>
      </c>
      <c r="AB5086" s="40" t="s">
        <v>1799</v>
      </c>
    </row>
    <row r="5087" spans="1:28" x14ac:dyDescent="0.25">
      <c r="A5087">
        <v>99915086</v>
      </c>
      <c r="B5087" t="s">
        <v>32</v>
      </c>
      <c r="C5087" t="s">
        <v>90</v>
      </c>
      <c r="D5087" t="s">
        <v>91</v>
      </c>
      <c r="G5087" t="s">
        <v>35</v>
      </c>
      <c r="H5087">
        <v>1</v>
      </c>
      <c r="I5087" t="s">
        <v>1372</v>
      </c>
      <c r="J5087" s="1">
        <v>43344</v>
      </c>
      <c r="K5087" t="s">
        <v>1341</v>
      </c>
      <c r="L5087" t="s">
        <v>1342</v>
      </c>
      <c r="M5087" t="s">
        <v>1270</v>
      </c>
      <c r="N5087">
        <v>24</v>
      </c>
      <c r="O5087" s="1">
        <v>43344</v>
      </c>
      <c r="P5087" t="s">
        <v>41</v>
      </c>
      <c r="Q5087" t="s">
        <v>95</v>
      </c>
      <c r="R5087" t="str">
        <f>"7191059"</f>
        <v>7191059</v>
      </c>
      <c r="S5087" t="s">
        <v>1346</v>
      </c>
      <c r="T5087" t="s">
        <v>1341</v>
      </c>
      <c r="U5087" t="s">
        <v>1342</v>
      </c>
      <c r="V5087" t="s">
        <v>1270</v>
      </c>
      <c r="W5087" t="s">
        <v>51</v>
      </c>
      <c r="X5087" t="s">
        <v>45</v>
      </c>
      <c r="Y5087" s="1">
        <v>24736</v>
      </c>
      <c r="Z5087">
        <v>1</v>
      </c>
      <c r="AA5087" t="s">
        <v>1342</v>
      </c>
      <c r="AB5087" s="40" t="s">
        <v>1799</v>
      </c>
    </row>
    <row r="5088" spans="1:28" x14ac:dyDescent="0.25">
      <c r="A5088">
        <v>99915087</v>
      </c>
      <c r="B5088" t="s">
        <v>32</v>
      </c>
      <c r="C5088" t="s">
        <v>90</v>
      </c>
      <c r="D5088" t="s">
        <v>91</v>
      </c>
      <c r="G5088" t="s">
        <v>35</v>
      </c>
      <c r="H5088">
        <v>1</v>
      </c>
      <c r="I5088" s="1">
        <v>36770</v>
      </c>
      <c r="J5088" s="1">
        <v>43344</v>
      </c>
      <c r="K5088" t="s">
        <v>1341</v>
      </c>
      <c r="L5088" t="s">
        <v>1342</v>
      </c>
      <c r="M5088" t="s">
        <v>1270</v>
      </c>
      <c r="N5088">
        <v>24</v>
      </c>
      <c r="O5088" s="1">
        <v>43344</v>
      </c>
      <c r="P5088" t="s">
        <v>41</v>
      </c>
      <c r="Q5088" t="s">
        <v>75</v>
      </c>
      <c r="R5088" t="str">
        <f>"7191006"</f>
        <v>7191006</v>
      </c>
      <c r="S5088" t="s">
        <v>1351</v>
      </c>
      <c r="T5088" t="s">
        <v>1341</v>
      </c>
      <c r="U5088" t="s">
        <v>1342</v>
      </c>
      <c r="V5088" t="s">
        <v>1270</v>
      </c>
      <c r="W5088" t="s">
        <v>51</v>
      </c>
      <c r="X5088" t="s">
        <v>45</v>
      </c>
      <c r="Y5088" s="1">
        <v>24667</v>
      </c>
      <c r="Z5088">
        <v>1</v>
      </c>
      <c r="AA5088" t="s">
        <v>1342</v>
      </c>
      <c r="AB5088" s="40" t="s">
        <v>1799</v>
      </c>
    </row>
    <row r="5089" spans="1:28" x14ac:dyDescent="0.25">
      <c r="A5089">
        <v>99915088</v>
      </c>
      <c r="B5089" t="s">
        <v>32</v>
      </c>
      <c r="C5089" t="s">
        <v>111</v>
      </c>
      <c r="D5089" t="s">
        <v>112</v>
      </c>
      <c r="G5089" t="s">
        <v>35</v>
      </c>
      <c r="H5089">
        <v>1</v>
      </c>
      <c r="I5089">
        <v>359</v>
      </c>
      <c r="J5089" s="1">
        <v>43344</v>
      </c>
      <c r="K5089" t="s">
        <v>1341</v>
      </c>
      <c r="L5089" t="s">
        <v>1342</v>
      </c>
      <c r="M5089" t="s">
        <v>1270</v>
      </c>
      <c r="N5089">
        <v>24</v>
      </c>
      <c r="O5089" s="1">
        <v>43344</v>
      </c>
      <c r="P5089" t="s">
        <v>41</v>
      </c>
      <c r="Q5089" t="s">
        <v>75</v>
      </c>
      <c r="R5089" t="str">
        <f>"7191036"</f>
        <v>7191036</v>
      </c>
      <c r="S5089" t="s">
        <v>1348</v>
      </c>
      <c r="T5089" t="s">
        <v>1341</v>
      </c>
      <c r="U5089" t="s">
        <v>1342</v>
      </c>
      <c r="V5089" t="s">
        <v>1270</v>
      </c>
      <c r="W5089" t="s">
        <v>44</v>
      </c>
      <c r="X5089" t="s">
        <v>45</v>
      </c>
      <c r="Y5089" s="1">
        <v>24635</v>
      </c>
      <c r="Z5089">
        <v>1</v>
      </c>
      <c r="AA5089" t="s">
        <v>1342</v>
      </c>
      <c r="AB5089" s="40" t="s">
        <v>1799</v>
      </c>
    </row>
    <row r="5090" spans="1:28" x14ac:dyDescent="0.25">
      <c r="A5090">
        <v>99915089</v>
      </c>
      <c r="B5090" t="s">
        <v>32</v>
      </c>
      <c r="C5090" t="s">
        <v>139</v>
      </c>
      <c r="D5090" t="s">
        <v>140</v>
      </c>
      <c r="G5090" t="s">
        <v>48</v>
      </c>
      <c r="H5090">
        <v>3</v>
      </c>
      <c r="K5090" t="s">
        <v>268</v>
      </c>
      <c r="L5090" t="s">
        <v>269</v>
      </c>
      <c r="M5090" t="s">
        <v>131</v>
      </c>
      <c r="N5090">
        <v>24</v>
      </c>
      <c r="P5090" t="s">
        <v>41</v>
      </c>
      <c r="Q5090" t="s">
        <v>75</v>
      </c>
      <c r="R5090" t="str">
        <f>"7052002"</f>
        <v>7052002</v>
      </c>
      <c r="S5090" t="s">
        <v>590</v>
      </c>
      <c r="T5090" t="s">
        <v>268</v>
      </c>
      <c r="U5090" t="s">
        <v>269</v>
      </c>
      <c r="V5090" t="s">
        <v>131</v>
      </c>
      <c r="W5090" t="s">
        <v>51</v>
      </c>
      <c r="X5090" t="s">
        <v>45</v>
      </c>
      <c r="Y5090" s="1">
        <v>24633</v>
      </c>
      <c r="Z5090">
        <v>1</v>
      </c>
      <c r="AA5090" t="s">
        <v>269</v>
      </c>
      <c r="AB5090" s="40" t="s">
        <v>1799</v>
      </c>
    </row>
    <row r="5091" spans="1:28" x14ac:dyDescent="0.25">
      <c r="A5091">
        <v>99915090</v>
      </c>
      <c r="B5091" t="s">
        <v>32</v>
      </c>
      <c r="C5091" t="s">
        <v>139</v>
      </c>
      <c r="D5091" t="s">
        <v>140</v>
      </c>
      <c r="G5091" t="s">
        <v>48</v>
      </c>
      <c r="H5091">
        <v>1</v>
      </c>
      <c r="K5091" t="s">
        <v>157</v>
      </c>
      <c r="L5091" t="s">
        <v>158</v>
      </c>
      <c r="M5091" t="s">
        <v>131</v>
      </c>
      <c r="N5091">
        <v>24</v>
      </c>
      <c r="P5091" t="s">
        <v>41</v>
      </c>
      <c r="Q5091" t="s">
        <v>49</v>
      </c>
      <c r="R5091" t="str">
        <f>"0560010"</f>
        <v>0560010</v>
      </c>
      <c r="S5091" t="s">
        <v>179</v>
      </c>
      <c r="T5091" t="s">
        <v>157</v>
      </c>
      <c r="U5091" t="s">
        <v>158</v>
      </c>
      <c r="V5091" t="s">
        <v>131</v>
      </c>
      <c r="W5091" t="s">
        <v>51</v>
      </c>
      <c r="X5091" t="s">
        <v>45</v>
      </c>
      <c r="Y5091" s="1">
        <v>24555</v>
      </c>
      <c r="Z5091">
        <v>2</v>
      </c>
      <c r="AA5091" t="s">
        <v>158</v>
      </c>
      <c r="AB5091" s="40" t="s">
        <v>1799</v>
      </c>
    </row>
    <row r="5092" spans="1:28" x14ac:dyDescent="0.25">
      <c r="A5092">
        <v>99915091</v>
      </c>
      <c r="B5092" t="s">
        <v>32</v>
      </c>
      <c r="C5092" t="s">
        <v>64</v>
      </c>
      <c r="D5092" t="s">
        <v>65</v>
      </c>
      <c r="G5092" t="s">
        <v>35</v>
      </c>
      <c r="H5092">
        <v>1</v>
      </c>
      <c r="I5092" s="1">
        <v>34293</v>
      </c>
      <c r="J5092" s="1">
        <v>43344</v>
      </c>
      <c r="K5092" t="s">
        <v>1341</v>
      </c>
      <c r="L5092" t="s">
        <v>1342</v>
      </c>
      <c r="M5092" t="s">
        <v>1270</v>
      </c>
      <c r="N5092">
        <v>24</v>
      </c>
      <c r="O5092" s="1">
        <v>43344</v>
      </c>
      <c r="P5092" t="s">
        <v>41</v>
      </c>
      <c r="Q5092" t="s">
        <v>75</v>
      </c>
      <c r="R5092" t="str">
        <f>"7191004"</f>
        <v>7191004</v>
      </c>
      <c r="S5092" t="s">
        <v>1344</v>
      </c>
      <c r="T5092" t="s">
        <v>1341</v>
      </c>
      <c r="U5092" t="s">
        <v>1342</v>
      </c>
      <c r="V5092" t="s">
        <v>1270</v>
      </c>
      <c r="W5092" t="s">
        <v>51</v>
      </c>
      <c r="X5092" t="s">
        <v>45</v>
      </c>
      <c r="Y5092" s="1">
        <v>24510</v>
      </c>
      <c r="Z5092">
        <v>1</v>
      </c>
      <c r="AA5092" t="s">
        <v>1342</v>
      </c>
      <c r="AB5092" s="40" t="s">
        <v>1799</v>
      </c>
    </row>
    <row r="5093" spans="1:28" x14ac:dyDescent="0.25">
      <c r="A5093">
        <v>99915092</v>
      </c>
      <c r="B5093" t="s">
        <v>32</v>
      </c>
      <c r="C5093" t="s">
        <v>117</v>
      </c>
      <c r="D5093" t="s">
        <v>118</v>
      </c>
      <c r="G5093" t="s">
        <v>35</v>
      </c>
      <c r="H5093">
        <v>1</v>
      </c>
      <c r="I5093" s="1">
        <v>40057</v>
      </c>
      <c r="J5093" s="1">
        <v>43344</v>
      </c>
      <c r="K5093" t="s">
        <v>1341</v>
      </c>
      <c r="L5093" t="s">
        <v>1342</v>
      </c>
      <c r="M5093" t="s">
        <v>1270</v>
      </c>
      <c r="N5093">
        <v>24</v>
      </c>
      <c r="O5093" s="1">
        <v>43344</v>
      </c>
      <c r="P5093" t="s">
        <v>41</v>
      </c>
      <c r="Q5093" t="s">
        <v>75</v>
      </c>
      <c r="R5093" t="str">
        <f>"7191000"</f>
        <v>7191000</v>
      </c>
      <c r="S5093" t="s">
        <v>1347</v>
      </c>
      <c r="T5093" t="s">
        <v>1341</v>
      </c>
      <c r="U5093" t="s">
        <v>1342</v>
      </c>
      <c r="V5093" t="s">
        <v>1270</v>
      </c>
      <c r="W5093" t="s">
        <v>51</v>
      </c>
      <c r="X5093" t="s">
        <v>45</v>
      </c>
      <c r="Y5093" s="1">
        <v>24473</v>
      </c>
      <c r="Z5093">
        <v>1</v>
      </c>
      <c r="AA5093" t="s">
        <v>1342</v>
      </c>
      <c r="AB5093" s="40" t="s">
        <v>1799</v>
      </c>
    </row>
    <row r="5094" spans="1:28" x14ac:dyDescent="0.25">
      <c r="A5094">
        <v>99915093</v>
      </c>
      <c r="B5094" t="s">
        <v>56</v>
      </c>
      <c r="C5094" t="s">
        <v>52</v>
      </c>
      <c r="D5094" t="s">
        <v>53</v>
      </c>
      <c r="G5094" t="s">
        <v>35</v>
      </c>
      <c r="H5094">
        <v>1</v>
      </c>
      <c r="I5094" t="s">
        <v>333</v>
      </c>
      <c r="J5094" s="1">
        <v>43344</v>
      </c>
      <c r="K5094" t="s">
        <v>300</v>
      </c>
      <c r="L5094" t="s">
        <v>301</v>
      </c>
      <c r="M5094" t="s">
        <v>131</v>
      </c>
      <c r="N5094">
        <v>24</v>
      </c>
      <c r="O5094" s="1">
        <v>43344</v>
      </c>
      <c r="P5094" t="s">
        <v>41</v>
      </c>
      <c r="Q5094" t="s">
        <v>42</v>
      </c>
      <c r="R5094" t="str">
        <f>"0580176"</f>
        <v>0580176</v>
      </c>
      <c r="S5094" t="s">
        <v>305</v>
      </c>
      <c r="T5094" t="s">
        <v>300</v>
      </c>
      <c r="U5094" t="s">
        <v>301</v>
      </c>
      <c r="V5094" t="s">
        <v>131</v>
      </c>
      <c r="W5094" t="s">
        <v>51</v>
      </c>
      <c r="X5094" t="s">
        <v>45</v>
      </c>
      <c r="Y5094" s="1">
        <v>24429</v>
      </c>
      <c r="Z5094">
        <v>2</v>
      </c>
      <c r="AA5094" t="s">
        <v>301</v>
      </c>
      <c r="AB5094" s="40" t="s">
        <v>1799</v>
      </c>
    </row>
    <row r="5095" spans="1:28" x14ac:dyDescent="0.25">
      <c r="A5095">
        <v>99915094</v>
      </c>
      <c r="B5095" t="s">
        <v>32</v>
      </c>
      <c r="C5095" t="s">
        <v>111</v>
      </c>
      <c r="D5095" t="s">
        <v>112</v>
      </c>
      <c r="G5095" t="s">
        <v>48</v>
      </c>
      <c r="H5095">
        <v>1</v>
      </c>
      <c r="K5095" t="s">
        <v>1341</v>
      </c>
      <c r="L5095" t="s">
        <v>1342</v>
      </c>
      <c r="M5095" t="s">
        <v>1270</v>
      </c>
      <c r="N5095">
        <v>24</v>
      </c>
      <c r="P5095" t="s">
        <v>41</v>
      </c>
      <c r="Q5095" t="s">
        <v>75</v>
      </c>
      <c r="R5095" t="str">
        <f>"7191036"</f>
        <v>7191036</v>
      </c>
      <c r="S5095" t="s">
        <v>1348</v>
      </c>
      <c r="T5095" t="s">
        <v>1341</v>
      </c>
      <c r="U5095" t="s">
        <v>1342</v>
      </c>
      <c r="V5095" t="s">
        <v>1270</v>
      </c>
      <c r="W5095" t="s">
        <v>165</v>
      </c>
      <c r="X5095" t="s">
        <v>45</v>
      </c>
      <c r="Y5095" s="1">
        <v>24410</v>
      </c>
      <c r="Z5095">
        <v>1</v>
      </c>
      <c r="AA5095" t="s">
        <v>1342</v>
      </c>
      <c r="AB5095" s="40" t="s">
        <v>1799</v>
      </c>
    </row>
    <row r="5096" spans="1:28" x14ac:dyDescent="0.25">
      <c r="A5096">
        <v>99915095</v>
      </c>
      <c r="B5096" t="s">
        <v>32</v>
      </c>
      <c r="C5096" t="s">
        <v>111</v>
      </c>
      <c r="D5096" t="s">
        <v>112</v>
      </c>
      <c r="G5096" t="s">
        <v>35</v>
      </c>
      <c r="H5096">
        <v>1</v>
      </c>
      <c r="I5096">
        <v>1</v>
      </c>
      <c r="J5096" s="1">
        <v>43406</v>
      </c>
      <c r="K5096" t="s">
        <v>1341</v>
      </c>
      <c r="L5096" t="s">
        <v>1342</v>
      </c>
      <c r="M5096" t="s">
        <v>1270</v>
      </c>
      <c r="N5096">
        <v>24</v>
      </c>
      <c r="O5096" s="1">
        <v>43406</v>
      </c>
      <c r="P5096" t="s">
        <v>41</v>
      </c>
      <c r="Q5096" t="s">
        <v>75</v>
      </c>
      <c r="R5096" t="str">
        <f>"7700012"</f>
        <v>7700012</v>
      </c>
      <c r="S5096" t="s">
        <v>1357</v>
      </c>
      <c r="T5096" t="s">
        <v>1341</v>
      </c>
      <c r="U5096" t="s">
        <v>1342</v>
      </c>
      <c r="V5096" t="s">
        <v>1270</v>
      </c>
      <c r="W5096" t="s">
        <v>51</v>
      </c>
      <c r="X5096" t="s">
        <v>45</v>
      </c>
      <c r="Y5096" s="1">
        <v>24238</v>
      </c>
      <c r="Z5096">
        <v>1</v>
      </c>
      <c r="AA5096" t="s">
        <v>1342</v>
      </c>
      <c r="AB5096" s="40" t="s">
        <v>1799</v>
      </c>
    </row>
    <row r="5097" spans="1:28" x14ac:dyDescent="0.25">
      <c r="A5097">
        <v>99915096</v>
      </c>
      <c r="B5097" t="s">
        <v>56</v>
      </c>
      <c r="C5097" t="s">
        <v>111</v>
      </c>
      <c r="D5097" t="s">
        <v>112</v>
      </c>
      <c r="G5097" t="s">
        <v>35</v>
      </c>
      <c r="H5097">
        <v>1</v>
      </c>
      <c r="I5097">
        <v>7768</v>
      </c>
      <c r="J5097" s="1">
        <v>43383</v>
      </c>
      <c r="K5097" t="s">
        <v>1198</v>
      </c>
      <c r="L5097" t="s">
        <v>1199</v>
      </c>
      <c r="M5097" t="s">
        <v>1130</v>
      </c>
      <c r="N5097">
        <v>24</v>
      </c>
      <c r="O5097" s="1">
        <v>43383</v>
      </c>
      <c r="P5097" t="s">
        <v>41</v>
      </c>
      <c r="Q5097" t="s">
        <v>75</v>
      </c>
      <c r="R5097" t="str">
        <f>"7311002"</f>
        <v>7311002</v>
      </c>
      <c r="S5097" t="s">
        <v>1203</v>
      </c>
      <c r="T5097" t="s">
        <v>1198</v>
      </c>
      <c r="U5097" t="s">
        <v>1199</v>
      </c>
      <c r="V5097" t="s">
        <v>1130</v>
      </c>
      <c r="W5097" t="s">
        <v>55</v>
      </c>
      <c r="X5097" t="s">
        <v>45</v>
      </c>
      <c r="Y5097" s="1">
        <v>24229</v>
      </c>
      <c r="Z5097">
        <v>1</v>
      </c>
      <c r="AA5097" t="s">
        <v>1199</v>
      </c>
      <c r="AB5097" s="40" t="s">
        <v>1799</v>
      </c>
    </row>
    <row r="5098" spans="1:28" x14ac:dyDescent="0.25">
      <c r="A5098">
        <v>99915097</v>
      </c>
      <c r="B5098" t="s">
        <v>32</v>
      </c>
      <c r="C5098" t="s">
        <v>90</v>
      </c>
      <c r="D5098" t="s">
        <v>91</v>
      </c>
      <c r="G5098" t="s">
        <v>35</v>
      </c>
      <c r="H5098">
        <v>1</v>
      </c>
      <c r="K5098" t="s">
        <v>195</v>
      </c>
      <c r="L5098" t="s">
        <v>196</v>
      </c>
      <c r="M5098" t="s">
        <v>131</v>
      </c>
      <c r="N5098">
        <v>24</v>
      </c>
      <c r="P5098" t="s">
        <v>41</v>
      </c>
      <c r="Q5098" t="s">
        <v>75</v>
      </c>
      <c r="R5098" t="str">
        <f>"7521000"</f>
        <v>7521000</v>
      </c>
      <c r="S5098" t="s">
        <v>450</v>
      </c>
      <c r="T5098" t="s">
        <v>195</v>
      </c>
      <c r="U5098" t="s">
        <v>196</v>
      </c>
      <c r="V5098" t="s">
        <v>131</v>
      </c>
      <c r="W5098" t="s">
        <v>51</v>
      </c>
      <c r="X5098" t="s">
        <v>45</v>
      </c>
      <c r="Y5098" s="1">
        <v>24213</v>
      </c>
      <c r="Z5098">
        <v>1</v>
      </c>
      <c r="AA5098" t="s">
        <v>196</v>
      </c>
      <c r="AB5098" s="40" t="s">
        <v>1799</v>
      </c>
    </row>
    <row r="5099" spans="1:28" x14ac:dyDescent="0.25">
      <c r="A5099">
        <v>99915098</v>
      </c>
      <c r="B5099" t="s">
        <v>32</v>
      </c>
      <c r="C5099" t="s">
        <v>90</v>
      </c>
      <c r="D5099" t="s">
        <v>91</v>
      </c>
      <c r="E5099" t="s">
        <v>85</v>
      </c>
      <c r="F5099" t="s">
        <v>86</v>
      </c>
      <c r="G5099" t="s">
        <v>35</v>
      </c>
      <c r="H5099">
        <v>1</v>
      </c>
      <c r="I5099">
        <v>160</v>
      </c>
      <c r="J5099" s="1">
        <v>43344</v>
      </c>
      <c r="K5099" t="s">
        <v>1341</v>
      </c>
      <c r="L5099" t="s">
        <v>1342</v>
      </c>
      <c r="M5099" t="s">
        <v>1270</v>
      </c>
      <c r="N5099">
        <v>24</v>
      </c>
      <c r="O5099" s="1">
        <v>43344</v>
      </c>
      <c r="P5099" t="s">
        <v>41</v>
      </c>
      <c r="Q5099" t="s">
        <v>75</v>
      </c>
      <c r="R5099" t="str">
        <f>"7191036"</f>
        <v>7191036</v>
      </c>
      <c r="S5099" t="s">
        <v>1348</v>
      </c>
      <c r="T5099" t="s">
        <v>1341</v>
      </c>
      <c r="U5099" t="s">
        <v>1342</v>
      </c>
      <c r="V5099" t="s">
        <v>1270</v>
      </c>
      <c r="W5099" t="s">
        <v>51</v>
      </c>
      <c r="X5099" t="s">
        <v>45</v>
      </c>
      <c r="Y5099" s="1">
        <v>24134</v>
      </c>
      <c r="Z5099">
        <v>1</v>
      </c>
      <c r="AA5099" t="s">
        <v>1342</v>
      </c>
      <c r="AB5099" s="40" t="s">
        <v>1799</v>
      </c>
    </row>
    <row r="5100" spans="1:28" x14ac:dyDescent="0.25">
      <c r="A5100">
        <v>99915099</v>
      </c>
      <c r="B5100" t="s">
        <v>32</v>
      </c>
      <c r="C5100" t="s">
        <v>90</v>
      </c>
      <c r="D5100" t="s">
        <v>91</v>
      </c>
      <c r="G5100" t="s">
        <v>35</v>
      </c>
      <c r="H5100">
        <v>1</v>
      </c>
      <c r="I5100" t="s">
        <v>286</v>
      </c>
      <c r="J5100" s="1">
        <v>43344</v>
      </c>
      <c r="K5100" t="s">
        <v>268</v>
      </c>
      <c r="L5100" t="s">
        <v>269</v>
      </c>
      <c r="M5100" t="s">
        <v>131</v>
      </c>
      <c r="N5100">
        <v>24</v>
      </c>
      <c r="O5100" s="1">
        <v>43344</v>
      </c>
      <c r="P5100" t="s">
        <v>41</v>
      </c>
      <c r="Q5100" t="s">
        <v>95</v>
      </c>
      <c r="R5100" t="str">
        <f>"7052071"</f>
        <v>7052071</v>
      </c>
      <c r="S5100" t="s">
        <v>628</v>
      </c>
      <c r="T5100" t="s">
        <v>268</v>
      </c>
      <c r="U5100" t="s">
        <v>269</v>
      </c>
      <c r="V5100" t="s">
        <v>131</v>
      </c>
      <c r="W5100" t="s">
        <v>51</v>
      </c>
      <c r="X5100" t="s">
        <v>45</v>
      </c>
      <c r="Y5100" s="1">
        <v>24108</v>
      </c>
      <c r="Z5100">
        <v>1</v>
      </c>
      <c r="AA5100" t="s">
        <v>269</v>
      </c>
      <c r="AB5100" s="40" t="s">
        <v>1799</v>
      </c>
    </row>
    <row r="5101" spans="1:28" x14ac:dyDescent="0.25">
      <c r="A5101">
        <v>99915100</v>
      </c>
      <c r="B5101" t="s">
        <v>32</v>
      </c>
      <c r="C5101" t="s">
        <v>111</v>
      </c>
      <c r="D5101" t="s">
        <v>112</v>
      </c>
      <c r="G5101" t="s">
        <v>35</v>
      </c>
      <c r="H5101">
        <v>1</v>
      </c>
      <c r="I5101" s="1">
        <v>31307</v>
      </c>
      <c r="J5101" s="1">
        <v>43344</v>
      </c>
      <c r="K5101" t="s">
        <v>1341</v>
      </c>
      <c r="L5101" t="s">
        <v>1342</v>
      </c>
      <c r="M5101" t="s">
        <v>1270</v>
      </c>
      <c r="N5101">
        <v>24</v>
      </c>
      <c r="O5101" s="1">
        <v>43344</v>
      </c>
      <c r="P5101" t="s">
        <v>41</v>
      </c>
      <c r="Q5101" t="s">
        <v>75</v>
      </c>
      <c r="R5101" t="str">
        <f>"7191000"</f>
        <v>7191000</v>
      </c>
      <c r="S5101" t="s">
        <v>1347</v>
      </c>
      <c r="T5101" t="s">
        <v>1341</v>
      </c>
      <c r="U5101" t="s">
        <v>1342</v>
      </c>
      <c r="V5101" t="s">
        <v>1270</v>
      </c>
      <c r="W5101" t="s">
        <v>51</v>
      </c>
      <c r="X5101" t="s">
        <v>45</v>
      </c>
      <c r="Y5101" s="1">
        <v>23888</v>
      </c>
      <c r="Z5101">
        <v>1</v>
      </c>
      <c r="AA5101" t="s">
        <v>1342</v>
      </c>
      <c r="AB5101" s="40" t="s">
        <v>1799</v>
      </c>
    </row>
    <row r="5102" spans="1:28" x14ac:dyDescent="0.25">
      <c r="A5102">
        <v>99915101</v>
      </c>
      <c r="B5102" t="s">
        <v>32</v>
      </c>
      <c r="C5102" t="s">
        <v>90</v>
      </c>
      <c r="D5102" t="s">
        <v>91</v>
      </c>
      <c r="G5102" t="s">
        <v>35</v>
      </c>
      <c r="H5102">
        <v>1</v>
      </c>
      <c r="I5102" t="s">
        <v>1366</v>
      </c>
      <c r="J5102" s="1">
        <v>43344</v>
      </c>
      <c r="K5102" t="s">
        <v>1341</v>
      </c>
      <c r="L5102" t="s">
        <v>1342</v>
      </c>
      <c r="M5102" t="s">
        <v>1270</v>
      </c>
      <c r="N5102">
        <v>24</v>
      </c>
      <c r="O5102" s="1">
        <v>43344</v>
      </c>
      <c r="P5102" t="s">
        <v>41</v>
      </c>
      <c r="Q5102" t="s">
        <v>95</v>
      </c>
      <c r="R5102" t="str">
        <f>"7191079"</f>
        <v>7191079</v>
      </c>
      <c r="S5102" t="s">
        <v>1367</v>
      </c>
      <c r="T5102" t="s">
        <v>1341</v>
      </c>
      <c r="U5102" t="s">
        <v>1342</v>
      </c>
      <c r="V5102" t="s">
        <v>1270</v>
      </c>
      <c r="W5102" t="s">
        <v>51</v>
      </c>
      <c r="X5102" t="s">
        <v>45</v>
      </c>
      <c r="Y5102" s="1">
        <v>23863</v>
      </c>
      <c r="Z5102">
        <v>1</v>
      </c>
      <c r="AA5102" t="s">
        <v>1342</v>
      </c>
      <c r="AB5102" s="40" t="s">
        <v>1799</v>
      </c>
    </row>
    <row r="5103" spans="1:28" x14ac:dyDescent="0.25">
      <c r="A5103">
        <v>99915102</v>
      </c>
      <c r="B5103" t="s">
        <v>32</v>
      </c>
      <c r="C5103" t="s">
        <v>111</v>
      </c>
      <c r="D5103" t="s">
        <v>112</v>
      </c>
      <c r="G5103" t="s">
        <v>48</v>
      </c>
      <c r="H5103">
        <v>1</v>
      </c>
      <c r="I5103">
        <v>179</v>
      </c>
      <c r="J5103" s="1">
        <v>35674</v>
      </c>
      <c r="K5103" t="s">
        <v>1341</v>
      </c>
      <c r="L5103" t="s">
        <v>1342</v>
      </c>
      <c r="M5103" t="s">
        <v>1270</v>
      </c>
      <c r="N5103">
        <v>24</v>
      </c>
      <c r="O5103" s="1">
        <v>35681</v>
      </c>
      <c r="P5103" t="s">
        <v>41</v>
      </c>
      <c r="Q5103" t="s">
        <v>75</v>
      </c>
      <c r="R5103" t="str">
        <f>"7191036"</f>
        <v>7191036</v>
      </c>
      <c r="S5103" t="s">
        <v>1348</v>
      </c>
      <c r="T5103" t="s">
        <v>1341</v>
      </c>
      <c r="U5103" t="s">
        <v>1342</v>
      </c>
      <c r="V5103" t="s">
        <v>1270</v>
      </c>
      <c r="W5103" t="s">
        <v>165</v>
      </c>
      <c r="X5103" t="s">
        <v>45</v>
      </c>
      <c r="Y5103" s="1">
        <v>23743</v>
      </c>
      <c r="Z5103">
        <v>1</v>
      </c>
      <c r="AA5103" t="s">
        <v>1342</v>
      </c>
      <c r="AB5103" s="40" t="s">
        <v>1799</v>
      </c>
    </row>
    <row r="5104" spans="1:28" x14ac:dyDescent="0.25">
      <c r="A5104">
        <v>99915103</v>
      </c>
      <c r="B5104" t="s">
        <v>56</v>
      </c>
      <c r="C5104" t="s">
        <v>111</v>
      </c>
      <c r="D5104" t="s">
        <v>112</v>
      </c>
      <c r="G5104" t="s">
        <v>35</v>
      </c>
      <c r="H5104">
        <v>1</v>
      </c>
      <c r="I5104" s="1">
        <v>43344</v>
      </c>
      <c r="J5104" s="1">
        <v>43344</v>
      </c>
      <c r="K5104" t="s">
        <v>1341</v>
      </c>
      <c r="L5104" t="s">
        <v>1342</v>
      </c>
      <c r="M5104" t="s">
        <v>1270</v>
      </c>
      <c r="N5104">
        <v>24</v>
      </c>
      <c r="O5104" s="1">
        <v>43344</v>
      </c>
      <c r="P5104" t="s">
        <v>41</v>
      </c>
      <c r="Q5104" t="s">
        <v>75</v>
      </c>
      <c r="R5104" t="str">
        <f>"7191034"</f>
        <v>7191034</v>
      </c>
      <c r="S5104" t="s">
        <v>1343</v>
      </c>
      <c r="T5104" t="s">
        <v>1341</v>
      </c>
      <c r="U5104" t="s">
        <v>1342</v>
      </c>
      <c r="V5104" t="s">
        <v>1270</v>
      </c>
      <c r="W5104" t="s">
        <v>51</v>
      </c>
      <c r="X5104" t="s">
        <v>45</v>
      </c>
      <c r="Y5104" s="1">
        <v>23603</v>
      </c>
      <c r="Z5104">
        <v>1</v>
      </c>
      <c r="AA5104" t="s">
        <v>1342</v>
      </c>
      <c r="AB5104" s="40" t="s">
        <v>1799</v>
      </c>
    </row>
    <row r="5105" spans="1:28" x14ac:dyDescent="0.25">
      <c r="A5105">
        <v>99915104</v>
      </c>
      <c r="B5105" t="s">
        <v>32</v>
      </c>
      <c r="C5105" t="s">
        <v>111</v>
      </c>
      <c r="D5105" t="s">
        <v>112</v>
      </c>
      <c r="G5105" t="s">
        <v>35</v>
      </c>
      <c r="H5105">
        <v>1</v>
      </c>
      <c r="I5105">
        <v>2289</v>
      </c>
      <c r="J5105" s="1">
        <v>43344</v>
      </c>
      <c r="K5105" t="s">
        <v>1198</v>
      </c>
      <c r="L5105" t="s">
        <v>1199</v>
      </c>
      <c r="M5105" t="s">
        <v>1130</v>
      </c>
      <c r="N5105">
        <v>24</v>
      </c>
      <c r="O5105" s="1">
        <v>43344</v>
      </c>
      <c r="P5105" t="s">
        <v>41</v>
      </c>
      <c r="Q5105" t="s">
        <v>75</v>
      </c>
      <c r="R5105" t="str">
        <f>"7311000"</f>
        <v>7311000</v>
      </c>
      <c r="S5105" t="s">
        <v>1208</v>
      </c>
      <c r="T5105" t="s">
        <v>1198</v>
      </c>
      <c r="U5105" t="s">
        <v>1199</v>
      </c>
      <c r="V5105" t="s">
        <v>1130</v>
      </c>
      <c r="W5105" t="s">
        <v>51</v>
      </c>
      <c r="X5105" t="s">
        <v>45</v>
      </c>
      <c r="Y5105" s="1">
        <v>23543</v>
      </c>
      <c r="Z5105">
        <v>1</v>
      </c>
      <c r="AA5105" t="s">
        <v>1199</v>
      </c>
      <c r="AB5105" s="40" t="s">
        <v>1799</v>
      </c>
    </row>
    <row r="5106" spans="1:28" x14ac:dyDescent="0.25">
      <c r="A5106">
        <v>99915105</v>
      </c>
      <c r="B5106" t="s">
        <v>32</v>
      </c>
      <c r="C5106" t="s">
        <v>139</v>
      </c>
      <c r="D5106" t="s">
        <v>140</v>
      </c>
      <c r="G5106" t="s">
        <v>48</v>
      </c>
      <c r="H5106">
        <v>1</v>
      </c>
      <c r="K5106" t="s">
        <v>431</v>
      </c>
      <c r="L5106" t="s">
        <v>196</v>
      </c>
      <c r="M5106" t="s">
        <v>131</v>
      </c>
      <c r="N5106">
        <v>24</v>
      </c>
      <c r="P5106" t="s">
        <v>41</v>
      </c>
      <c r="Q5106" t="s">
        <v>75</v>
      </c>
      <c r="R5106" t="str">
        <f>"7521016"</f>
        <v>7521016</v>
      </c>
      <c r="S5106" t="s">
        <v>448</v>
      </c>
      <c r="T5106" t="s">
        <v>431</v>
      </c>
      <c r="U5106" t="s">
        <v>196</v>
      </c>
      <c r="V5106" t="s">
        <v>131</v>
      </c>
      <c r="W5106" t="s">
        <v>51</v>
      </c>
      <c r="X5106" t="s">
        <v>45</v>
      </c>
      <c r="Y5106" s="1">
        <v>23472</v>
      </c>
      <c r="Z5106">
        <v>1</v>
      </c>
      <c r="AA5106" t="s">
        <v>196</v>
      </c>
      <c r="AB5106" s="40" t="s">
        <v>1799</v>
      </c>
    </row>
    <row r="5107" spans="1:28" x14ac:dyDescent="0.25">
      <c r="A5107">
        <v>99915106</v>
      </c>
      <c r="B5107" t="s">
        <v>56</v>
      </c>
      <c r="C5107" t="s">
        <v>79</v>
      </c>
      <c r="D5107" t="s">
        <v>80</v>
      </c>
      <c r="G5107" t="s">
        <v>35</v>
      </c>
      <c r="H5107">
        <v>1</v>
      </c>
      <c r="I5107" s="1">
        <v>36404</v>
      </c>
      <c r="J5107" s="1">
        <v>43344</v>
      </c>
      <c r="K5107" t="s">
        <v>1341</v>
      </c>
      <c r="L5107" t="s">
        <v>1342</v>
      </c>
      <c r="M5107" t="s">
        <v>1270</v>
      </c>
      <c r="N5107">
        <v>24</v>
      </c>
      <c r="O5107" s="1">
        <v>43344</v>
      </c>
      <c r="P5107" t="s">
        <v>41</v>
      </c>
      <c r="Q5107" t="s">
        <v>75</v>
      </c>
      <c r="R5107" t="str">
        <f>"7191000"</f>
        <v>7191000</v>
      </c>
      <c r="S5107" t="s">
        <v>1347</v>
      </c>
      <c r="T5107" t="s">
        <v>1341</v>
      </c>
      <c r="U5107" t="s">
        <v>1342</v>
      </c>
      <c r="V5107" t="s">
        <v>1270</v>
      </c>
      <c r="W5107" t="s">
        <v>51</v>
      </c>
      <c r="X5107" t="s">
        <v>45</v>
      </c>
      <c r="Y5107" s="1">
        <v>23375</v>
      </c>
      <c r="Z5107">
        <v>1</v>
      </c>
      <c r="AA5107" t="s">
        <v>1342</v>
      </c>
      <c r="AB5107" s="40" t="s">
        <v>1799</v>
      </c>
    </row>
    <row r="5108" spans="1:28" x14ac:dyDescent="0.25">
      <c r="A5108">
        <v>99915107</v>
      </c>
      <c r="B5108" t="s">
        <v>56</v>
      </c>
      <c r="C5108" t="s">
        <v>117</v>
      </c>
      <c r="D5108" t="s">
        <v>118</v>
      </c>
      <c r="G5108" t="s">
        <v>88</v>
      </c>
      <c r="H5108">
        <v>1</v>
      </c>
      <c r="K5108" t="s">
        <v>877</v>
      </c>
      <c r="L5108" t="s">
        <v>878</v>
      </c>
      <c r="M5108" t="s">
        <v>131</v>
      </c>
      <c r="N5108">
        <v>24</v>
      </c>
      <c r="P5108" t="s">
        <v>41</v>
      </c>
      <c r="Q5108" t="s">
        <v>75</v>
      </c>
      <c r="R5108" t="str">
        <f>"7541008"</f>
        <v>7541008</v>
      </c>
      <c r="S5108" t="s">
        <v>879</v>
      </c>
      <c r="T5108" t="s">
        <v>877</v>
      </c>
      <c r="U5108" t="s">
        <v>878</v>
      </c>
      <c r="V5108" t="s">
        <v>131</v>
      </c>
      <c r="W5108" t="s">
        <v>51</v>
      </c>
      <c r="X5108" t="s">
        <v>45</v>
      </c>
      <c r="Y5108" s="1">
        <v>23325</v>
      </c>
      <c r="Z5108">
        <v>1</v>
      </c>
      <c r="AA5108" t="s">
        <v>878</v>
      </c>
      <c r="AB5108" s="40" t="s">
        <v>1799</v>
      </c>
    </row>
    <row r="5109" spans="1:28" x14ac:dyDescent="0.25">
      <c r="A5109">
        <v>99915108</v>
      </c>
      <c r="B5109" t="s">
        <v>32</v>
      </c>
      <c r="C5109" t="s">
        <v>143</v>
      </c>
      <c r="D5109" t="s">
        <v>144</v>
      </c>
      <c r="G5109" t="s">
        <v>35</v>
      </c>
      <c r="H5109">
        <v>1</v>
      </c>
      <c r="I5109" s="1">
        <v>40787</v>
      </c>
      <c r="J5109" s="1">
        <v>43344</v>
      </c>
      <c r="K5109" t="s">
        <v>1341</v>
      </c>
      <c r="L5109" t="s">
        <v>1342</v>
      </c>
      <c r="M5109" t="s">
        <v>1270</v>
      </c>
      <c r="N5109">
        <v>24</v>
      </c>
      <c r="O5109" s="1">
        <v>43344</v>
      </c>
      <c r="P5109" t="s">
        <v>41</v>
      </c>
      <c r="Q5109" t="s">
        <v>75</v>
      </c>
      <c r="R5109" t="str">
        <f>"7191004"</f>
        <v>7191004</v>
      </c>
      <c r="S5109" t="s">
        <v>1344</v>
      </c>
      <c r="T5109" t="s">
        <v>1341</v>
      </c>
      <c r="U5109" t="s">
        <v>1342</v>
      </c>
      <c r="V5109" t="s">
        <v>1270</v>
      </c>
      <c r="W5109" t="s">
        <v>51</v>
      </c>
      <c r="X5109" t="s">
        <v>45</v>
      </c>
      <c r="Y5109" s="1">
        <v>23175</v>
      </c>
      <c r="Z5109">
        <v>1</v>
      </c>
      <c r="AA5109" t="s">
        <v>1342</v>
      </c>
      <c r="AB5109" s="40" t="s">
        <v>1799</v>
      </c>
    </row>
    <row r="5110" spans="1:28" x14ac:dyDescent="0.25">
      <c r="A5110">
        <v>99915109</v>
      </c>
      <c r="B5110" t="s">
        <v>32</v>
      </c>
      <c r="C5110" t="s">
        <v>90</v>
      </c>
      <c r="D5110" t="s">
        <v>91</v>
      </c>
      <c r="G5110" t="s">
        <v>35</v>
      </c>
      <c r="H5110">
        <v>1</v>
      </c>
      <c r="I5110" s="1">
        <v>31677</v>
      </c>
      <c r="J5110" s="1">
        <v>43344</v>
      </c>
      <c r="K5110" t="s">
        <v>1341</v>
      </c>
      <c r="L5110" t="s">
        <v>1342</v>
      </c>
      <c r="M5110" t="s">
        <v>1270</v>
      </c>
      <c r="N5110">
        <v>24</v>
      </c>
      <c r="O5110" s="1">
        <v>43344</v>
      </c>
      <c r="P5110" t="s">
        <v>41</v>
      </c>
      <c r="Q5110" t="s">
        <v>95</v>
      </c>
      <c r="R5110" t="str">
        <f>"7191121"</f>
        <v>7191121</v>
      </c>
      <c r="S5110" t="s">
        <v>1369</v>
      </c>
      <c r="T5110" t="s">
        <v>1341</v>
      </c>
      <c r="U5110" t="s">
        <v>1342</v>
      </c>
      <c r="V5110" t="s">
        <v>1270</v>
      </c>
      <c r="W5110" t="s">
        <v>51</v>
      </c>
      <c r="X5110" t="s">
        <v>45</v>
      </c>
      <c r="Y5110" s="1">
        <v>23094</v>
      </c>
      <c r="Z5110">
        <v>1</v>
      </c>
      <c r="AA5110" t="s">
        <v>1342</v>
      </c>
      <c r="AB5110" s="40" t="s">
        <v>1799</v>
      </c>
    </row>
    <row r="5111" spans="1:28" x14ac:dyDescent="0.25">
      <c r="A5111">
        <v>99915110</v>
      </c>
      <c r="B5111" t="s">
        <v>56</v>
      </c>
      <c r="C5111" t="s">
        <v>79</v>
      </c>
      <c r="D5111" t="s">
        <v>80</v>
      </c>
      <c r="G5111" t="s">
        <v>35</v>
      </c>
      <c r="H5111">
        <v>1</v>
      </c>
      <c r="K5111" t="s">
        <v>1081</v>
      </c>
      <c r="L5111" t="s">
        <v>1082</v>
      </c>
      <c r="M5111" t="s">
        <v>1053</v>
      </c>
      <c r="N5111">
        <v>24</v>
      </c>
      <c r="P5111" t="s">
        <v>41</v>
      </c>
      <c r="Q5111" t="s">
        <v>75</v>
      </c>
      <c r="R5111" t="str">
        <f>"7201006"</f>
        <v>7201006</v>
      </c>
      <c r="S5111" t="s">
        <v>1083</v>
      </c>
      <c r="T5111" t="s">
        <v>1081</v>
      </c>
      <c r="U5111" t="s">
        <v>1082</v>
      </c>
      <c r="V5111" t="s">
        <v>1053</v>
      </c>
      <c r="W5111" t="s">
        <v>51</v>
      </c>
      <c r="X5111" t="s">
        <v>45</v>
      </c>
      <c r="Y5111" s="1">
        <v>23012</v>
      </c>
      <c r="Z5111">
        <v>1</v>
      </c>
      <c r="AA5111" t="s">
        <v>1082</v>
      </c>
      <c r="AB5111" s="40" t="s">
        <v>1799</v>
      </c>
    </row>
    <row r="5112" spans="1:28" x14ac:dyDescent="0.25">
      <c r="A5112">
        <v>99915111</v>
      </c>
      <c r="B5112" t="s">
        <v>32</v>
      </c>
      <c r="C5112" t="s">
        <v>64</v>
      </c>
      <c r="D5112" t="s">
        <v>65</v>
      </c>
      <c r="G5112" t="s">
        <v>35</v>
      </c>
      <c r="H5112">
        <v>1</v>
      </c>
      <c r="K5112" t="s">
        <v>223</v>
      </c>
      <c r="L5112" t="s">
        <v>224</v>
      </c>
      <c r="M5112" t="s">
        <v>131</v>
      </c>
      <c r="N5112">
        <v>24</v>
      </c>
      <c r="P5112" t="s">
        <v>41</v>
      </c>
      <c r="Q5112" t="s">
        <v>42</v>
      </c>
      <c r="R5112" t="str">
        <f>"0590901"</f>
        <v>0590901</v>
      </c>
      <c r="S5112" t="s">
        <v>242</v>
      </c>
      <c r="T5112" t="s">
        <v>223</v>
      </c>
      <c r="U5112" t="s">
        <v>224</v>
      </c>
      <c r="V5112" t="s">
        <v>131</v>
      </c>
      <c r="W5112" t="s">
        <v>51</v>
      </c>
      <c r="X5112" t="s">
        <v>45</v>
      </c>
      <c r="Y5112" s="1">
        <v>22992</v>
      </c>
      <c r="Z5112">
        <v>2</v>
      </c>
      <c r="AA5112" t="s">
        <v>224</v>
      </c>
      <c r="AB5112" s="40" t="s">
        <v>1799</v>
      </c>
    </row>
    <row r="5113" spans="1:28" x14ac:dyDescent="0.25">
      <c r="A5113">
        <v>99915112</v>
      </c>
      <c r="B5113" t="s">
        <v>32</v>
      </c>
      <c r="C5113" t="s">
        <v>64</v>
      </c>
      <c r="D5113" t="s">
        <v>65</v>
      </c>
      <c r="G5113" t="s">
        <v>35</v>
      </c>
      <c r="H5113">
        <v>1</v>
      </c>
      <c r="I5113" s="1">
        <v>33504</v>
      </c>
      <c r="J5113" s="1">
        <v>43344</v>
      </c>
      <c r="K5113" t="s">
        <v>1341</v>
      </c>
      <c r="L5113" t="s">
        <v>1342</v>
      </c>
      <c r="M5113" t="s">
        <v>1270</v>
      </c>
      <c r="N5113">
        <v>24</v>
      </c>
      <c r="O5113" s="1">
        <v>43344</v>
      </c>
      <c r="P5113" t="s">
        <v>41</v>
      </c>
      <c r="Q5113" t="s">
        <v>75</v>
      </c>
      <c r="R5113" t="str">
        <f>"7191004"</f>
        <v>7191004</v>
      </c>
      <c r="S5113" t="s">
        <v>1344</v>
      </c>
      <c r="T5113" t="s">
        <v>1341</v>
      </c>
      <c r="U5113" t="s">
        <v>1342</v>
      </c>
      <c r="V5113" t="s">
        <v>1270</v>
      </c>
      <c r="W5113" t="s">
        <v>51</v>
      </c>
      <c r="X5113" t="s">
        <v>45</v>
      </c>
      <c r="Y5113" s="1">
        <v>22970</v>
      </c>
      <c r="Z5113">
        <v>1</v>
      </c>
      <c r="AA5113" t="s">
        <v>1342</v>
      </c>
      <c r="AB5113" s="40" t="s">
        <v>1799</v>
      </c>
    </row>
    <row r="5114" spans="1:28" x14ac:dyDescent="0.25">
      <c r="A5114">
        <v>99915113</v>
      </c>
      <c r="B5114" t="s">
        <v>32</v>
      </c>
      <c r="C5114" t="s">
        <v>136</v>
      </c>
      <c r="D5114" t="s">
        <v>137</v>
      </c>
      <c r="G5114" t="s">
        <v>48</v>
      </c>
      <c r="H5114">
        <v>6</v>
      </c>
      <c r="I5114" t="s">
        <v>467</v>
      </c>
      <c r="J5114" s="1">
        <v>43344</v>
      </c>
      <c r="K5114" t="s">
        <v>431</v>
      </c>
      <c r="L5114" t="s">
        <v>196</v>
      </c>
      <c r="M5114" t="s">
        <v>131</v>
      </c>
      <c r="N5114">
        <v>24</v>
      </c>
      <c r="O5114" s="1">
        <v>43344</v>
      </c>
      <c r="P5114" t="s">
        <v>41</v>
      </c>
      <c r="Q5114" t="s">
        <v>75</v>
      </c>
      <c r="R5114" t="str">
        <f>"7521012"</f>
        <v>7521012</v>
      </c>
      <c r="S5114" t="s">
        <v>432</v>
      </c>
      <c r="T5114" t="s">
        <v>431</v>
      </c>
      <c r="U5114" t="s">
        <v>196</v>
      </c>
      <c r="V5114" t="s">
        <v>131</v>
      </c>
      <c r="W5114" t="s">
        <v>44</v>
      </c>
      <c r="X5114" t="s">
        <v>45</v>
      </c>
      <c r="Y5114" s="1">
        <v>22908</v>
      </c>
      <c r="Z5114">
        <v>1</v>
      </c>
      <c r="AA5114" t="s">
        <v>196</v>
      </c>
      <c r="AB5114" s="40" t="s">
        <v>1799</v>
      </c>
    </row>
    <row r="5115" spans="1:28" x14ac:dyDescent="0.25">
      <c r="A5115">
        <v>99915114</v>
      </c>
      <c r="B5115" t="s">
        <v>56</v>
      </c>
      <c r="C5115" t="s">
        <v>111</v>
      </c>
      <c r="D5115" t="s">
        <v>112</v>
      </c>
      <c r="G5115" t="s">
        <v>35</v>
      </c>
      <c r="H5115">
        <v>1</v>
      </c>
      <c r="I5115" s="1">
        <v>40057</v>
      </c>
      <c r="J5115" s="1">
        <v>43344</v>
      </c>
      <c r="K5115" t="s">
        <v>1341</v>
      </c>
      <c r="L5115" t="s">
        <v>1342</v>
      </c>
      <c r="M5115" t="s">
        <v>1270</v>
      </c>
      <c r="N5115">
        <v>24</v>
      </c>
      <c r="O5115" s="1">
        <v>43344</v>
      </c>
      <c r="P5115" t="s">
        <v>41</v>
      </c>
      <c r="Q5115" t="s">
        <v>75</v>
      </c>
      <c r="R5115" t="str">
        <f>"7191004"</f>
        <v>7191004</v>
      </c>
      <c r="S5115" t="s">
        <v>1344</v>
      </c>
      <c r="T5115" t="s">
        <v>1341</v>
      </c>
      <c r="U5115" t="s">
        <v>1342</v>
      </c>
      <c r="V5115" t="s">
        <v>1270</v>
      </c>
      <c r="W5115" t="s">
        <v>51</v>
      </c>
      <c r="X5115" t="s">
        <v>45</v>
      </c>
      <c r="Y5115" s="1">
        <v>22543</v>
      </c>
      <c r="Z5115">
        <v>1</v>
      </c>
      <c r="AA5115" t="s">
        <v>1342</v>
      </c>
      <c r="AB5115" s="40" t="s">
        <v>1799</v>
      </c>
    </row>
    <row r="5116" spans="1:28" x14ac:dyDescent="0.25">
      <c r="A5116">
        <v>99915115</v>
      </c>
      <c r="B5116" t="s">
        <v>32</v>
      </c>
      <c r="C5116" t="s">
        <v>64</v>
      </c>
      <c r="D5116" t="s">
        <v>65</v>
      </c>
      <c r="G5116" t="s">
        <v>35</v>
      </c>
      <c r="H5116">
        <v>1</v>
      </c>
      <c r="I5116">
        <v>1</v>
      </c>
      <c r="J5116" s="1">
        <v>43406</v>
      </c>
      <c r="K5116" t="s">
        <v>1341</v>
      </c>
      <c r="L5116" t="s">
        <v>1342</v>
      </c>
      <c r="M5116" t="s">
        <v>1270</v>
      </c>
      <c r="N5116">
        <v>24</v>
      </c>
      <c r="O5116" s="1">
        <v>43406</v>
      </c>
      <c r="P5116" t="s">
        <v>41</v>
      </c>
      <c r="Q5116" t="s">
        <v>75</v>
      </c>
      <c r="R5116" t="str">
        <f>"7700012"</f>
        <v>7700012</v>
      </c>
      <c r="S5116" t="s">
        <v>1357</v>
      </c>
      <c r="T5116" t="s">
        <v>1341</v>
      </c>
      <c r="U5116" t="s">
        <v>1342</v>
      </c>
      <c r="V5116" t="s">
        <v>1270</v>
      </c>
      <c r="W5116" t="s">
        <v>51</v>
      </c>
      <c r="X5116" t="s">
        <v>45</v>
      </c>
      <c r="Y5116" s="1">
        <v>22476</v>
      </c>
      <c r="Z5116">
        <v>1</v>
      </c>
      <c r="AA5116" t="s">
        <v>1342</v>
      </c>
      <c r="AB5116" s="40" t="s">
        <v>1799</v>
      </c>
    </row>
    <row r="5117" spans="1:28" x14ac:dyDescent="0.25">
      <c r="A5117">
        <v>99915116</v>
      </c>
      <c r="B5117" t="s">
        <v>32</v>
      </c>
      <c r="C5117" t="s">
        <v>64</v>
      </c>
      <c r="D5117" t="s">
        <v>65</v>
      </c>
      <c r="G5117" t="s">
        <v>35</v>
      </c>
      <c r="H5117">
        <v>1</v>
      </c>
      <c r="I5117">
        <v>188</v>
      </c>
      <c r="J5117" s="1">
        <v>43344</v>
      </c>
      <c r="K5117" t="s">
        <v>1341</v>
      </c>
      <c r="L5117" t="s">
        <v>1342</v>
      </c>
      <c r="M5117" t="s">
        <v>1270</v>
      </c>
      <c r="N5117">
        <v>24</v>
      </c>
      <c r="O5117" s="1">
        <v>43344</v>
      </c>
      <c r="P5117" t="s">
        <v>41</v>
      </c>
      <c r="Q5117" t="s">
        <v>75</v>
      </c>
      <c r="R5117" t="str">
        <f>"7191036"</f>
        <v>7191036</v>
      </c>
      <c r="S5117" t="s">
        <v>1348</v>
      </c>
      <c r="T5117" t="s">
        <v>1341</v>
      </c>
      <c r="U5117" t="s">
        <v>1342</v>
      </c>
      <c r="V5117" t="s">
        <v>1270</v>
      </c>
      <c r="W5117" t="s">
        <v>44</v>
      </c>
      <c r="X5117" t="s">
        <v>45</v>
      </c>
      <c r="Y5117" s="1">
        <v>21860</v>
      </c>
      <c r="Z5117">
        <v>1</v>
      </c>
      <c r="AA5117" t="s">
        <v>1342</v>
      </c>
      <c r="AB5117" s="40" t="s">
        <v>1799</v>
      </c>
    </row>
    <row r="5118" spans="1:28" x14ac:dyDescent="0.25">
      <c r="A5118">
        <v>99915117</v>
      </c>
      <c r="B5118" t="s">
        <v>32</v>
      </c>
      <c r="C5118" t="s">
        <v>111</v>
      </c>
      <c r="D5118" t="s">
        <v>112</v>
      </c>
      <c r="G5118" t="s">
        <v>35</v>
      </c>
      <c r="H5118">
        <v>1</v>
      </c>
      <c r="I5118" s="1">
        <v>30560</v>
      </c>
      <c r="J5118" s="1">
        <v>43344</v>
      </c>
      <c r="K5118" t="s">
        <v>1341</v>
      </c>
      <c r="L5118" t="s">
        <v>1342</v>
      </c>
      <c r="M5118" t="s">
        <v>1270</v>
      </c>
      <c r="N5118">
        <v>24</v>
      </c>
      <c r="O5118" s="1">
        <v>43344</v>
      </c>
      <c r="P5118" t="s">
        <v>41</v>
      </c>
      <c r="Q5118" t="s">
        <v>75</v>
      </c>
      <c r="R5118" t="str">
        <f>"7191000"</f>
        <v>7191000</v>
      </c>
      <c r="S5118" t="s">
        <v>1347</v>
      </c>
      <c r="T5118" t="s">
        <v>1341</v>
      </c>
      <c r="U5118" t="s">
        <v>1342</v>
      </c>
      <c r="V5118" t="s">
        <v>1270</v>
      </c>
      <c r="W5118" t="s">
        <v>51</v>
      </c>
      <c r="X5118" t="s">
        <v>45</v>
      </c>
      <c r="Y5118" s="1">
        <v>20862</v>
      </c>
      <c r="Z5118">
        <v>1</v>
      </c>
      <c r="AA5118" t="s">
        <v>1342</v>
      </c>
      <c r="AB5118" s="40" t="s">
        <v>1799</v>
      </c>
    </row>
    <row r="5119" spans="1:28" x14ac:dyDescent="0.25">
      <c r="A5119">
        <v>99915118</v>
      </c>
      <c r="B5119" t="s">
        <v>56</v>
      </c>
      <c r="C5119" t="s">
        <v>143</v>
      </c>
      <c r="D5119" t="s">
        <v>144</v>
      </c>
      <c r="G5119" t="s">
        <v>48</v>
      </c>
      <c r="H5119">
        <v>1</v>
      </c>
      <c r="K5119" t="s">
        <v>1268</v>
      </c>
      <c r="L5119" t="s">
        <v>1269</v>
      </c>
      <c r="M5119" t="s">
        <v>1270</v>
      </c>
      <c r="N5119">
        <v>24</v>
      </c>
      <c r="P5119" t="s">
        <v>41</v>
      </c>
      <c r="Q5119" t="s">
        <v>42</v>
      </c>
      <c r="R5119" t="str">
        <f>"1990911"</f>
        <v>1990911</v>
      </c>
      <c r="S5119" t="s">
        <v>1276</v>
      </c>
      <c r="T5119" t="s">
        <v>1268</v>
      </c>
      <c r="U5119" t="s">
        <v>1269</v>
      </c>
      <c r="V5119" t="s">
        <v>1270</v>
      </c>
      <c r="W5119" t="s">
        <v>51</v>
      </c>
      <c r="X5119" t="s">
        <v>45</v>
      </c>
      <c r="Y5119" s="1">
        <v>19517</v>
      </c>
      <c r="Z5119">
        <v>2</v>
      </c>
      <c r="AA5119" t="s">
        <v>1269</v>
      </c>
      <c r="AB5119" s="40" t="s">
        <v>1799</v>
      </c>
    </row>
    <row r="5120" spans="1:28" x14ac:dyDescent="0.25">
      <c r="A5120">
        <v>99915119</v>
      </c>
      <c r="B5120" t="s">
        <v>56</v>
      </c>
      <c r="C5120" t="s">
        <v>111</v>
      </c>
      <c r="D5120" t="s">
        <v>112</v>
      </c>
      <c r="G5120" t="s">
        <v>35</v>
      </c>
      <c r="H5120">
        <v>1</v>
      </c>
      <c r="K5120" t="s">
        <v>431</v>
      </c>
      <c r="L5120" t="s">
        <v>196</v>
      </c>
      <c r="M5120" t="s">
        <v>131</v>
      </c>
      <c r="N5120">
        <v>24</v>
      </c>
      <c r="P5120" t="s">
        <v>41</v>
      </c>
      <c r="Q5120" t="s">
        <v>75</v>
      </c>
      <c r="R5120" t="str">
        <f>"7521010"</f>
        <v>7521010</v>
      </c>
      <c r="S5120" t="s">
        <v>573</v>
      </c>
      <c r="T5120" t="s">
        <v>431</v>
      </c>
      <c r="U5120" t="s">
        <v>196</v>
      </c>
      <c r="V5120" t="s">
        <v>131</v>
      </c>
      <c r="W5120" t="s">
        <v>165</v>
      </c>
      <c r="X5120" t="s">
        <v>45</v>
      </c>
      <c r="Y5120" s="1">
        <v>17870</v>
      </c>
      <c r="Z5120">
        <v>1</v>
      </c>
      <c r="AA5120" t="s">
        <v>196</v>
      </c>
      <c r="AB5120" s="40" t="s">
        <v>1799</v>
      </c>
    </row>
    <row r="5121" spans="1:28" x14ac:dyDescent="0.25">
      <c r="A5121">
        <v>99915120</v>
      </c>
      <c r="B5121" t="s">
        <v>56</v>
      </c>
      <c r="C5121" t="s">
        <v>111</v>
      </c>
      <c r="D5121" t="s">
        <v>112</v>
      </c>
      <c r="G5121" t="s">
        <v>35</v>
      </c>
      <c r="H5121">
        <v>1</v>
      </c>
      <c r="I5121">
        <v>945</v>
      </c>
      <c r="J5121" s="1">
        <v>43344</v>
      </c>
      <c r="K5121" t="s">
        <v>1198</v>
      </c>
      <c r="L5121" t="s">
        <v>1199</v>
      </c>
      <c r="M5121" t="s">
        <v>1130</v>
      </c>
      <c r="N5121">
        <v>24</v>
      </c>
      <c r="O5121" s="1">
        <v>43344</v>
      </c>
      <c r="P5121" t="s">
        <v>41</v>
      </c>
      <c r="Q5121" t="s">
        <v>75</v>
      </c>
      <c r="R5121" t="str">
        <f>"7311002"</f>
        <v>7311002</v>
      </c>
      <c r="S5121" t="s">
        <v>1203</v>
      </c>
      <c r="T5121" t="s">
        <v>1198</v>
      </c>
      <c r="U5121" t="s">
        <v>1199</v>
      </c>
      <c r="V5121" t="s">
        <v>1130</v>
      </c>
      <c r="W5121" t="s">
        <v>51</v>
      </c>
      <c r="X5121" t="s">
        <v>45</v>
      </c>
      <c r="Y5121" s="1">
        <v>1</v>
      </c>
      <c r="Z5121">
        <v>1</v>
      </c>
      <c r="AA5121" t="s">
        <v>1199</v>
      </c>
      <c r="AB5121" s="40" t="s">
        <v>1799</v>
      </c>
    </row>
    <row r="5122" spans="1:28" x14ac:dyDescent="0.25">
      <c r="A5122">
        <v>99915121</v>
      </c>
      <c r="B5122" t="s">
        <v>32</v>
      </c>
      <c r="C5122" t="s">
        <v>64</v>
      </c>
      <c r="D5122" t="s">
        <v>65</v>
      </c>
      <c r="G5122" t="s">
        <v>35</v>
      </c>
      <c r="H5122">
        <v>1</v>
      </c>
      <c r="K5122" t="s">
        <v>157</v>
      </c>
      <c r="L5122" t="s">
        <v>158</v>
      </c>
      <c r="M5122" t="s">
        <v>131</v>
      </c>
      <c r="N5122">
        <v>24</v>
      </c>
      <c r="P5122" t="s">
        <v>41</v>
      </c>
      <c r="Q5122" t="s">
        <v>49</v>
      </c>
      <c r="R5122" t="str">
        <f>"0581725"</f>
        <v>0581725</v>
      </c>
      <c r="S5122" t="s">
        <v>161</v>
      </c>
      <c r="T5122" t="s">
        <v>157</v>
      </c>
      <c r="U5122" t="s">
        <v>158</v>
      </c>
      <c r="V5122" t="s">
        <v>131</v>
      </c>
      <c r="W5122" t="s">
        <v>51</v>
      </c>
      <c r="X5122" t="s">
        <v>45</v>
      </c>
      <c r="Z5122">
        <v>2</v>
      </c>
      <c r="AA5122" t="s">
        <v>158</v>
      </c>
      <c r="AB5122" s="40" t="s">
        <v>1799</v>
      </c>
    </row>
    <row r="5123" spans="1:28" x14ac:dyDescent="0.25">
      <c r="A5123">
        <v>99915122</v>
      </c>
      <c r="B5123" t="s">
        <v>32</v>
      </c>
      <c r="C5123" t="s">
        <v>79</v>
      </c>
      <c r="D5123" t="s">
        <v>80</v>
      </c>
      <c r="G5123" t="s">
        <v>35</v>
      </c>
      <c r="H5123">
        <v>1</v>
      </c>
      <c r="K5123" t="s">
        <v>157</v>
      </c>
      <c r="L5123" t="s">
        <v>158</v>
      </c>
      <c r="M5123" t="s">
        <v>131</v>
      </c>
      <c r="N5123">
        <v>24</v>
      </c>
      <c r="P5123" t="s">
        <v>41</v>
      </c>
      <c r="Q5123" t="s">
        <v>49</v>
      </c>
      <c r="R5123" t="str">
        <f>"0580505"</f>
        <v>0580505</v>
      </c>
      <c r="S5123" t="s">
        <v>168</v>
      </c>
      <c r="T5123" t="s">
        <v>157</v>
      </c>
      <c r="U5123" t="s">
        <v>158</v>
      </c>
      <c r="V5123" t="s">
        <v>131</v>
      </c>
      <c r="W5123" t="s">
        <v>51</v>
      </c>
      <c r="X5123" t="s">
        <v>45</v>
      </c>
      <c r="Z5123">
        <v>2</v>
      </c>
      <c r="AA5123" t="s">
        <v>158</v>
      </c>
      <c r="AB5123" s="40" t="s">
        <v>1799</v>
      </c>
    </row>
    <row r="5124" spans="1:28" x14ac:dyDescent="0.25">
      <c r="A5124">
        <v>99915123</v>
      </c>
      <c r="B5124" t="s">
        <v>56</v>
      </c>
      <c r="C5124" t="s">
        <v>79</v>
      </c>
      <c r="D5124" t="s">
        <v>80</v>
      </c>
      <c r="G5124" t="s">
        <v>35</v>
      </c>
      <c r="H5124">
        <v>1</v>
      </c>
      <c r="K5124" t="s">
        <v>157</v>
      </c>
      <c r="L5124" t="s">
        <v>158</v>
      </c>
      <c r="M5124" t="s">
        <v>131</v>
      </c>
      <c r="N5124">
        <v>24</v>
      </c>
      <c r="P5124" t="s">
        <v>41</v>
      </c>
      <c r="Q5124" t="s">
        <v>49</v>
      </c>
      <c r="R5124" t="str">
        <f>"0580505"</f>
        <v>0580505</v>
      </c>
      <c r="S5124" t="s">
        <v>168</v>
      </c>
      <c r="T5124" t="s">
        <v>157</v>
      </c>
      <c r="U5124" t="s">
        <v>158</v>
      </c>
      <c r="V5124" t="s">
        <v>131</v>
      </c>
      <c r="W5124" t="s">
        <v>51</v>
      </c>
      <c r="X5124" t="s">
        <v>45</v>
      </c>
      <c r="Z5124">
        <v>2</v>
      </c>
      <c r="AA5124" t="s">
        <v>158</v>
      </c>
      <c r="AB5124" s="40" t="s">
        <v>1799</v>
      </c>
    </row>
    <row r="5125" spans="1:28" x14ac:dyDescent="0.25">
      <c r="A5125">
        <v>99915124</v>
      </c>
      <c r="B5125" t="s">
        <v>32</v>
      </c>
      <c r="C5125" t="s">
        <v>68</v>
      </c>
      <c r="D5125" t="s">
        <v>69</v>
      </c>
      <c r="G5125" t="s">
        <v>35</v>
      </c>
      <c r="H5125">
        <v>1</v>
      </c>
      <c r="K5125" t="s">
        <v>157</v>
      </c>
      <c r="L5125" t="s">
        <v>158</v>
      </c>
      <c r="M5125" t="s">
        <v>131</v>
      </c>
      <c r="N5125">
        <v>24</v>
      </c>
      <c r="P5125" t="s">
        <v>41</v>
      </c>
      <c r="Q5125" t="s">
        <v>49</v>
      </c>
      <c r="R5125" t="str">
        <f>"0580505"</f>
        <v>0580505</v>
      </c>
      <c r="S5125" t="s">
        <v>168</v>
      </c>
      <c r="T5125" t="s">
        <v>157</v>
      </c>
      <c r="U5125" t="s">
        <v>158</v>
      </c>
      <c r="V5125" t="s">
        <v>131</v>
      </c>
      <c r="W5125" t="s">
        <v>51</v>
      </c>
      <c r="X5125" t="s">
        <v>45</v>
      </c>
      <c r="Z5125">
        <v>2</v>
      </c>
      <c r="AA5125" t="s">
        <v>158</v>
      </c>
      <c r="AB5125" s="40" t="s">
        <v>1799</v>
      </c>
    </row>
    <row r="5126" spans="1:28" x14ac:dyDescent="0.25">
      <c r="A5126">
        <v>99915125</v>
      </c>
      <c r="B5126" t="s">
        <v>56</v>
      </c>
      <c r="C5126" t="s">
        <v>79</v>
      </c>
      <c r="D5126" t="s">
        <v>80</v>
      </c>
      <c r="G5126" t="s">
        <v>35</v>
      </c>
      <c r="H5126">
        <v>1</v>
      </c>
      <c r="K5126" t="s">
        <v>157</v>
      </c>
      <c r="L5126" t="s">
        <v>158</v>
      </c>
      <c r="M5126" t="s">
        <v>131</v>
      </c>
      <c r="N5126">
        <v>24</v>
      </c>
      <c r="P5126" t="s">
        <v>41</v>
      </c>
      <c r="Q5126" t="s">
        <v>49</v>
      </c>
      <c r="R5126" t="str">
        <f>"0580505"</f>
        <v>0580505</v>
      </c>
      <c r="S5126" t="s">
        <v>168</v>
      </c>
      <c r="T5126" t="s">
        <v>157</v>
      </c>
      <c r="U5126" t="s">
        <v>158</v>
      </c>
      <c r="V5126" t="s">
        <v>131</v>
      </c>
      <c r="W5126" t="s">
        <v>51</v>
      </c>
      <c r="X5126" t="s">
        <v>45</v>
      </c>
      <c r="Z5126">
        <v>2</v>
      </c>
      <c r="AA5126" t="s">
        <v>158</v>
      </c>
      <c r="AB5126" s="40" t="s">
        <v>1799</v>
      </c>
    </row>
    <row r="5127" spans="1:28" x14ac:dyDescent="0.25">
      <c r="A5127">
        <v>99915126</v>
      </c>
      <c r="B5127" t="s">
        <v>32</v>
      </c>
      <c r="C5127" t="s">
        <v>46</v>
      </c>
      <c r="D5127" t="s">
        <v>47</v>
      </c>
      <c r="G5127" t="s">
        <v>35</v>
      </c>
      <c r="H5127">
        <v>1</v>
      </c>
      <c r="I5127">
        <v>0</v>
      </c>
      <c r="J5127" s="1">
        <v>43344</v>
      </c>
      <c r="K5127" t="s">
        <v>223</v>
      </c>
      <c r="L5127" t="s">
        <v>224</v>
      </c>
      <c r="M5127" t="s">
        <v>131</v>
      </c>
      <c r="N5127">
        <v>24</v>
      </c>
      <c r="O5127" s="1">
        <v>43344</v>
      </c>
      <c r="P5127" t="s">
        <v>41</v>
      </c>
      <c r="Q5127" t="s">
        <v>49</v>
      </c>
      <c r="R5127" t="str">
        <f>"0591901"</f>
        <v>0591901</v>
      </c>
      <c r="S5127" t="s">
        <v>230</v>
      </c>
      <c r="T5127" t="s">
        <v>223</v>
      </c>
      <c r="U5127" t="s">
        <v>224</v>
      </c>
      <c r="V5127" t="s">
        <v>131</v>
      </c>
      <c r="W5127" t="s">
        <v>44</v>
      </c>
      <c r="X5127" t="s">
        <v>45</v>
      </c>
      <c r="Z5127">
        <v>2</v>
      </c>
      <c r="AA5127" t="s">
        <v>224</v>
      </c>
      <c r="AB5127" s="40" t="s">
        <v>1799</v>
      </c>
    </row>
    <row r="5128" spans="1:28" x14ac:dyDescent="0.25">
      <c r="A5128">
        <v>99915127</v>
      </c>
      <c r="B5128" t="s">
        <v>32</v>
      </c>
      <c r="C5128" t="s">
        <v>90</v>
      </c>
      <c r="D5128" t="s">
        <v>91</v>
      </c>
      <c r="G5128" t="s">
        <v>35</v>
      </c>
      <c r="H5128">
        <v>1</v>
      </c>
      <c r="K5128" t="s">
        <v>154</v>
      </c>
      <c r="L5128" t="s">
        <v>155</v>
      </c>
      <c r="M5128" t="s">
        <v>131</v>
      </c>
      <c r="N5128">
        <v>24</v>
      </c>
      <c r="P5128" t="s">
        <v>41</v>
      </c>
      <c r="Q5128" t="s">
        <v>75</v>
      </c>
      <c r="R5128" t="str">
        <f>"7051014"</f>
        <v>7051014</v>
      </c>
      <c r="S5128" t="s">
        <v>398</v>
      </c>
      <c r="T5128" t="s">
        <v>154</v>
      </c>
      <c r="U5128" t="s">
        <v>155</v>
      </c>
      <c r="V5128" t="s">
        <v>131</v>
      </c>
      <c r="W5128" t="s">
        <v>165</v>
      </c>
      <c r="X5128" t="s">
        <v>45</v>
      </c>
      <c r="Z5128">
        <v>1</v>
      </c>
      <c r="AA5128" t="s">
        <v>155</v>
      </c>
      <c r="AB5128" s="40" t="s">
        <v>1799</v>
      </c>
    </row>
    <row r="5129" spans="1:28" x14ac:dyDescent="0.25">
      <c r="A5129">
        <v>99915128</v>
      </c>
      <c r="B5129" t="s">
        <v>32</v>
      </c>
      <c r="C5129" t="s">
        <v>90</v>
      </c>
      <c r="D5129" t="s">
        <v>91</v>
      </c>
      <c r="G5129" t="s">
        <v>35</v>
      </c>
      <c r="H5129">
        <v>1</v>
      </c>
      <c r="K5129" t="s">
        <v>431</v>
      </c>
      <c r="L5129" t="s">
        <v>196</v>
      </c>
      <c r="M5129" t="s">
        <v>131</v>
      </c>
      <c r="N5129">
        <v>24</v>
      </c>
      <c r="P5129" t="s">
        <v>41</v>
      </c>
      <c r="Q5129" t="s">
        <v>75</v>
      </c>
      <c r="R5129" t="str">
        <f>"7521056"</f>
        <v>7521056</v>
      </c>
      <c r="S5129" t="s">
        <v>437</v>
      </c>
      <c r="T5129" t="s">
        <v>431</v>
      </c>
      <c r="U5129" t="s">
        <v>196</v>
      </c>
      <c r="V5129" t="s">
        <v>131</v>
      </c>
      <c r="W5129" t="s">
        <v>51</v>
      </c>
      <c r="X5129" t="s">
        <v>45</v>
      </c>
      <c r="Z5129">
        <v>1</v>
      </c>
      <c r="AA5129" t="s">
        <v>196</v>
      </c>
      <c r="AB5129" s="40" t="s">
        <v>1799</v>
      </c>
    </row>
    <row r="5130" spans="1:28" x14ac:dyDescent="0.25">
      <c r="A5130">
        <v>99915129</v>
      </c>
      <c r="B5130" t="s">
        <v>32</v>
      </c>
      <c r="C5130" t="s">
        <v>111</v>
      </c>
      <c r="D5130" t="s">
        <v>112</v>
      </c>
      <c r="G5130" t="s">
        <v>35</v>
      </c>
      <c r="H5130">
        <v>1</v>
      </c>
      <c r="K5130" t="s">
        <v>431</v>
      </c>
      <c r="L5130" t="s">
        <v>196</v>
      </c>
      <c r="M5130" t="s">
        <v>131</v>
      </c>
      <c r="N5130">
        <v>24</v>
      </c>
      <c r="P5130" t="s">
        <v>41</v>
      </c>
      <c r="Q5130" t="s">
        <v>75</v>
      </c>
      <c r="R5130" t="str">
        <f>"7521056"</f>
        <v>7521056</v>
      </c>
      <c r="S5130" t="s">
        <v>437</v>
      </c>
      <c r="T5130" t="s">
        <v>431</v>
      </c>
      <c r="U5130" t="s">
        <v>196</v>
      </c>
      <c r="V5130" t="s">
        <v>131</v>
      </c>
      <c r="W5130" t="s">
        <v>51</v>
      </c>
      <c r="X5130" t="s">
        <v>45</v>
      </c>
      <c r="Z5130">
        <v>1</v>
      </c>
      <c r="AA5130" t="s">
        <v>196</v>
      </c>
      <c r="AB5130" s="40" t="s">
        <v>1799</v>
      </c>
    </row>
    <row r="5131" spans="1:28" x14ac:dyDescent="0.25">
      <c r="A5131">
        <v>99915130</v>
      </c>
      <c r="B5131" t="s">
        <v>32</v>
      </c>
      <c r="C5131" t="s">
        <v>111</v>
      </c>
      <c r="D5131" t="s">
        <v>112</v>
      </c>
      <c r="G5131" t="s">
        <v>35</v>
      </c>
      <c r="H5131">
        <v>1</v>
      </c>
      <c r="K5131" t="s">
        <v>431</v>
      </c>
      <c r="L5131" t="s">
        <v>196</v>
      </c>
      <c r="M5131" t="s">
        <v>131</v>
      </c>
      <c r="N5131">
        <v>24</v>
      </c>
      <c r="P5131" t="s">
        <v>41</v>
      </c>
      <c r="Q5131" t="s">
        <v>75</v>
      </c>
      <c r="R5131" t="str">
        <f>"7521056"</f>
        <v>7521056</v>
      </c>
      <c r="S5131" t="s">
        <v>437</v>
      </c>
      <c r="T5131" t="s">
        <v>431</v>
      </c>
      <c r="U5131" t="s">
        <v>196</v>
      </c>
      <c r="V5131" t="s">
        <v>131</v>
      </c>
      <c r="W5131" t="s">
        <v>51</v>
      </c>
      <c r="X5131" t="s">
        <v>45</v>
      </c>
      <c r="Z5131">
        <v>1</v>
      </c>
      <c r="AA5131" t="s">
        <v>196</v>
      </c>
      <c r="AB5131" s="40" t="s">
        <v>1799</v>
      </c>
    </row>
    <row r="5132" spans="1:28" x14ac:dyDescent="0.25">
      <c r="A5132">
        <v>99915131</v>
      </c>
      <c r="B5132" t="s">
        <v>32</v>
      </c>
      <c r="C5132" t="s">
        <v>111</v>
      </c>
      <c r="D5132" t="s">
        <v>112</v>
      </c>
      <c r="G5132" t="s">
        <v>48</v>
      </c>
      <c r="H5132">
        <v>1</v>
      </c>
      <c r="K5132" t="s">
        <v>431</v>
      </c>
      <c r="L5132" t="s">
        <v>196</v>
      </c>
      <c r="M5132" t="s">
        <v>131</v>
      </c>
      <c r="N5132">
        <v>24</v>
      </c>
      <c r="P5132" t="s">
        <v>41</v>
      </c>
      <c r="Q5132" t="s">
        <v>75</v>
      </c>
      <c r="R5132" t="str">
        <f>"7521056"</f>
        <v>7521056</v>
      </c>
      <c r="S5132" t="s">
        <v>437</v>
      </c>
      <c r="T5132" t="s">
        <v>431</v>
      </c>
      <c r="U5132" t="s">
        <v>196</v>
      </c>
      <c r="V5132" t="s">
        <v>131</v>
      </c>
      <c r="W5132" t="s">
        <v>51</v>
      </c>
      <c r="X5132" t="s">
        <v>45</v>
      </c>
      <c r="Z5132">
        <v>1</v>
      </c>
      <c r="AA5132" t="s">
        <v>196</v>
      </c>
      <c r="AB5132" s="40" t="s">
        <v>1799</v>
      </c>
    </row>
    <row r="5133" spans="1:28" x14ac:dyDescent="0.25">
      <c r="A5133">
        <v>99915132</v>
      </c>
      <c r="B5133" t="s">
        <v>32</v>
      </c>
      <c r="C5133" t="s">
        <v>64</v>
      </c>
      <c r="D5133" t="s">
        <v>65</v>
      </c>
      <c r="G5133" t="s">
        <v>48</v>
      </c>
      <c r="H5133">
        <v>1</v>
      </c>
      <c r="K5133" t="s">
        <v>431</v>
      </c>
      <c r="L5133" t="s">
        <v>196</v>
      </c>
      <c r="M5133" t="s">
        <v>131</v>
      </c>
      <c r="N5133">
        <v>24</v>
      </c>
      <c r="P5133" t="s">
        <v>41</v>
      </c>
      <c r="Q5133" t="s">
        <v>75</v>
      </c>
      <c r="R5133" t="str">
        <f>"7521012"</f>
        <v>7521012</v>
      </c>
      <c r="S5133" t="s">
        <v>432</v>
      </c>
      <c r="T5133" t="s">
        <v>431</v>
      </c>
      <c r="U5133" t="s">
        <v>196</v>
      </c>
      <c r="V5133" t="s">
        <v>131</v>
      </c>
      <c r="W5133" t="s">
        <v>51</v>
      </c>
      <c r="X5133" t="s">
        <v>45</v>
      </c>
      <c r="Z5133">
        <v>1</v>
      </c>
      <c r="AA5133" t="s">
        <v>196</v>
      </c>
      <c r="AB5133" s="40" t="s">
        <v>1799</v>
      </c>
    </row>
    <row r="5134" spans="1:28" x14ac:dyDescent="0.25">
      <c r="A5134">
        <v>99915133</v>
      </c>
      <c r="B5134" t="s">
        <v>56</v>
      </c>
      <c r="C5134" t="s">
        <v>111</v>
      </c>
      <c r="D5134" t="s">
        <v>112</v>
      </c>
      <c r="G5134" t="s">
        <v>35</v>
      </c>
      <c r="H5134">
        <v>1</v>
      </c>
      <c r="K5134" t="s">
        <v>195</v>
      </c>
      <c r="L5134" t="s">
        <v>196</v>
      </c>
      <c r="M5134" t="s">
        <v>131</v>
      </c>
      <c r="N5134">
        <v>24</v>
      </c>
      <c r="P5134" t="s">
        <v>41</v>
      </c>
      <c r="Q5134" t="s">
        <v>75</v>
      </c>
      <c r="R5134" t="str">
        <f>"7521046"</f>
        <v>7521046</v>
      </c>
      <c r="S5134" t="s">
        <v>436</v>
      </c>
      <c r="T5134" t="s">
        <v>195</v>
      </c>
      <c r="U5134" t="s">
        <v>196</v>
      </c>
      <c r="V5134" t="s">
        <v>131</v>
      </c>
      <c r="W5134" t="s">
        <v>51</v>
      </c>
      <c r="X5134" t="s">
        <v>45</v>
      </c>
      <c r="Z5134">
        <v>1</v>
      </c>
      <c r="AA5134" t="s">
        <v>196</v>
      </c>
      <c r="AB5134" s="40" t="s">
        <v>1799</v>
      </c>
    </row>
    <row r="5135" spans="1:28" x14ac:dyDescent="0.25">
      <c r="A5135">
        <v>99915134</v>
      </c>
      <c r="B5135" t="s">
        <v>32</v>
      </c>
      <c r="C5135" t="s">
        <v>111</v>
      </c>
      <c r="D5135" t="s">
        <v>112</v>
      </c>
      <c r="G5135" t="s">
        <v>48</v>
      </c>
      <c r="H5135">
        <v>1</v>
      </c>
      <c r="K5135" t="s">
        <v>431</v>
      </c>
      <c r="L5135" t="s">
        <v>196</v>
      </c>
      <c r="M5135" t="s">
        <v>131</v>
      </c>
      <c r="N5135">
        <v>24</v>
      </c>
      <c r="P5135" t="s">
        <v>41</v>
      </c>
      <c r="Q5135" t="s">
        <v>75</v>
      </c>
      <c r="R5135" t="str">
        <f>"7521012"</f>
        <v>7521012</v>
      </c>
      <c r="S5135" t="s">
        <v>432</v>
      </c>
      <c r="T5135" t="s">
        <v>431</v>
      </c>
      <c r="U5135" t="s">
        <v>196</v>
      </c>
      <c r="V5135" t="s">
        <v>131</v>
      </c>
      <c r="W5135" t="s">
        <v>51</v>
      </c>
      <c r="X5135" t="s">
        <v>45</v>
      </c>
      <c r="Z5135">
        <v>1</v>
      </c>
      <c r="AA5135" t="s">
        <v>196</v>
      </c>
      <c r="AB5135" s="40" t="s">
        <v>1799</v>
      </c>
    </row>
    <row r="5136" spans="1:28" x14ac:dyDescent="0.25">
      <c r="A5136">
        <v>99915135</v>
      </c>
      <c r="B5136" t="s">
        <v>32</v>
      </c>
      <c r="C5136" t="s">
        <v>64</v>
      </c>
      <c r="D5136" t="s">
        <v>65</v>
      </c>
      <c r="G5136" t="s">
        <v>48</v>
      </c>
      <c r="H5136">
        <v>1</v>
      </c>
      <c r="K5136" t="s">
        <v>431</v>
      </c>
      <c r="L5136" t="s">
        <v>196</v>
      </c>
      <c r="M5136" t="s">
        <v>131</v>
      </c>
      <c r="N5136">
        <v>24</v>
      </c>
      <c r="P5136" t="s">
        <v>41</v>
      </c>
      <c r="Q5136" t="s">
        <v>75</v>
      </c>
      <c r="R5136" t="str">
        <f>"7521012"</f>
        <v>7521012</v>
      </c>
      <c r="S5136" t="s">
        <v>432</v>
      </c>
      <c r="T5136" t="s">
        <v>431</v>
      </c>
      <c r="U5136" t="s">
        <v>196</v>
      </c>
      <c r="V5136" t="s">
        <v>131</v>
      </c>
      <c r="W5136" t="s">
        <v>51</v>
      </c>
      <c r="X5136" t="s">
        <v>45</v>
      </c>
      <c r="Z5136">
        <v>1</v>
      </c>
      <c r="AA5136" t="s">
        <v>196</v>
      </c>
      <c r="AB5136" s="40" t="s">
        <v>1799</v>
      </c>
    </row>
    <row r="5137" spans="1:28" x14ac:dyDescent="0.25">
      <c r="A5137">
        <v>99915136</v>
      </c>
      <c r="B5137" t="s">
        <v>32</v>
      </c>
      <c r="C5137" t="s">
        <v>111</v>
      </c>
      <c r="D5137" t="s">
        <v>112</v>
      </c>
      <c r="G5137" t="s">
        <v>35</v>
      </c>
      <c r="H5137">
        <v>1</v>
      </c>
      <c r="K5137" t="s">
        <v>431</v>
      </c>
      <c r="L5137" t="s">
        <v>196</v>
      </c>
      <c r="M5137" t="s">
        <v>131</v>
      </c>
      <c r="N5137">
        <v>24</v>
      </c>
      <c r="P5137" t="s">
        <v>41</v>
      </c>
      <c r="Q5137" t="s">
        <v>75</v>
      </c>
      <c r="R5137" t="str">
        <f>"7521056"</f>
        <v>7521056</v>
      </c>
      <c r="S5137" t="s">
        <v>437</v>
      </c>
      <c r="T5137" t="s">
        <v>431</v>
      </c>
      <c r="U5137" t="s">
        <v>196</v>
      </c>
      <c r="V5137" t="s">
        <v>131</v>
      </c>
      <c r="W5137" t="s">
        <v>51</v>
      </c>
      <c r="X5137" t="s">
        <v>45</v>
      </c>
      <c r="Z5137">
        <v>1</v>
      </c>
      <c r="AA5137" t="s">
        <v>196</v>
      </c>
      <c r="AB5137" s="40" t="s">
        <v>1799</v>
      </c>
    </row>
    <row r="5138" spans="1:28" x14ac:dyDescent="0.25">
      <c r="A5138">
        <v>99915137</v>
      </c>
      <c r="B5138" t="s">
        <v>32</v>
      </c>
      <c r="C5138" t="s">
        <v>111</v>
      </c>
      <c r="D5138" t="s">
        <v>112</v>
      </c>
      <c r="G5138" t="s">
        <v>35</v>
      </c>
      <c r="H5138">
        <v>1</v>
      </c>
      <c r="K5138" t="s">
        <v>431</v>
      </c>
      <c r="L5138" t="s">
        <v>196</v>
      </c>
      <c r="M5138" t="s">
        <v>131</v>
      </c>
      <c r="N5138">
        <v>24</v>
      </c>
      <c r="P5138" t="s">
        <v>41</v>
      </c>
      <c r="Q5138" t="s">
        <v>75</v>
      </c>
      <c r="R5138" t="str">
        <f>"7521056"</f>
        <v>7521056</v>
      </c>
      <c r="S5138" t="s">
        <v>437</v>
      </c>
      <c r="T5138" t="s">
        <v>431</v>
      </c>
      <c r="U5138" t="s">
        <v>196</v>
      </c>
      <c r="V5138" t="s">
        <v>131</v>
      </c>
      <c r="W5138" t="s">
        <v>51</v>
      </c>
      <c r="X5138" t="s">
        <v>45</v>
      </c>
      <c r="Z5138">
        <v>1</v>
      </c>
      <c r="AA5138" t="s">
        <v>196</v>
      </c>
      <c r="AB5138" s="40" t="s">
        <v>1799</v>
      </c>
    </row>
    <row r="5139" spans="1:28" x14ac:dyDescent="0.25">
      <c r="A5139">
        <v>99915138</v>
      </c>
      <c r="B5139" t="s">
        <v>32</v>
      </c>
      <c r="C5139" t="s">
        <v>111</v>
      </c>
      <c r="D5139" t="s">
        <v>112</v>
      </c>
      <c r="G5139" t="s">
        <v>35</v>
      </c>
      <c r="H5139">
        <v>1</v>
      </c>
      <c r="K5139" t="s">
        <v>431</v>
      </c>
      <c r="L5139" t="s">
        <v>196</v>
      </c>
      <c r="M5139" t="s">
        <v>131</v>
      </c>
      <c r="N5139">
        <v>24</v>
      </c>
      <c r="P5139" t="s">
        <v>41</v>
      </c>
      <c r="Q5139" t="s">
        <v>75</v>
      </c>
      <c r="R5139" t="str">
        <f>"7521056"</f>
        <v>7521056</v>
      </c>
      <c r="S5139" t="s">
        <v>437</v>
      </c>
      <c r="T5139" t="s">
        <v>431</v>
      </c>
      <c r="U5139" t="s">
        <v>196</v>
      </c>
      <c r="V5139" t="s">
        <v>131</v>
      </c>
      <c r="W5139" t="s">
        <v>51</v>
      </c>
      <c r="X5139" t="s">
        <v>45</v>
      </c>
      <c r="Z5139">
        <v>1</v>
      </c>
      <c r="AA5139" t="s">
        <v>196</v>
      </c>
      <c r="AB5139" s="40" t="s">
        <v>1799</v>
      </c>
    </row>
    <row r="5140" spans="1:28" x14ac:dyDescent="0.25">
      <c r="A5140">
        <v>99915139</v>
      </c>
      <c r="B5140" t="s">
        <v>32</v>
      </c>
      <c r="C5140" t="s">
        <v>111</v>
      </c>
      <c r="D5140" t="s">
        <v>112</v>
      </c>
      <c r="G5140" t="s">
        <v>35</v>
      </c>
      <c r="H5140">
        <v>1</v>
      </c>
      <c r="K5140" t="s">
        <v>268</v>
      </c>
      <c r="L5140" t="s">
        <v>269</v>
      </c>
      <c r="M5140" t="s">
        <v>131</v>
      </c>
      <c r="N5140">
        <v>24</v>
      </c>
      <c r="P5140" t="s">
        <v>41</v>
      </c>
      <c r="Q5140" t="s">
        <v>75</v>
      </c>
      <c r="R5140" t="str">
        <f>"7052002"</f>
        <v>7052002</v>
      </c>
      <c r="S5140" t="s">
        <v>590</v>
      </c>
      <c r="T5140" t="s">
        <v>268</v>
      </c>
      <c r="U5140" t="s">
        <v>269</v>
      </c>
      <c r="V5140" t="s">
        <v>131</v>
      </c>
      <c r="W5140" t="s">
        <v>55</v>
      </c>
      <c r="X5140" t="s">
        <v>45</v>
      </c>
      <c r="Z5140">
        <v>1</v>
      </c>
      <c r="AA5140" t="s">
        <v>269</v>
      </c>
      <c r="AB5140" s="40" t="s">
        <v>1799</v>
      </c>
    </row>
    <row r="5141" spans="1:28" x14ac:dyDescent="0.25">
      <c r="A5141">
        <v>99915140</v>
      </c>
      <c r="B5141" t="s">
        <v>56</v>
      </c>
      <c r="C5141" t="s">
        <v>111</v>
      </c>
      <c r="D5141" t="s">
        <v>112</v>
      </c>
      <c r="G5141" t="s">
        <v>48</v>
      </c>
      <c r="H5141">
        <v>1</v>
      </c>
      <c r="K5141" t="s">
        <v>268</v>
      </c>
      <c r="L5141" t="s">
        <v>269</v>
      </c>
      <c r="M5141" t="s">
        <v>131</v>
      </c>
      <c r="N5141">
        <v>24</v>
      </c>
      <c r="P5141" t="s">
        <v>41</v>
      </c>
      <c r="Q5141" t="s">
        <v>75</v>
      </c>
      <c r="R5141" t="str">
        <f>"7052044"</f>
        <v>7052044</v>
      </c>
      <c r="S5141" t="s">
        <v>589</v>
      </c>
      <c r="T5141" t="s">
        <v>268</v>
      </c>
      <c r="U5141" t="s">
        <v>269</v>
      </c>
      <c r="V5141" t="s">
        <v>131</v>
      </c>
      <c r="W5141" t="s">
        <v>51</v>
      </c>
      <c r="X5141" t="s">
        <v>45</v>
      </c>
      <c r="Z5141">
        <v>1</v>
      </c>
      <c r="AA5141" t="s">
        <v>269</v>
      </c>
      <c r="AB5141" s="40" t="s">
        <v>1799</v>
      </c>
    </row>
    <row r="5142" spans="1:28" x14ac:dyDescent="0.25">
      <c r="A5142">
        <v>99915141</v>
      </c>
      <c r="B5142" t="s">
        <v>32</v>
      </c>
      <c r="C5142" t="s">
        <v>111</v>
      </c>
      <c r="D5142" t="s">
        <v>112</v>
      </c>
      <c r="G5142" t="s">
        <v>35</v>
      </c>
      <c r="H5142">
        <v>1</v>
      </c>
      <c r="I5142">
        <v>3226</v>
      </c>
      <c r="J5142" s="1">
        <v>43344</v>
      </c>
      <c r="K5142" t="s">
        <v>268</v>
      </c>
      <c r="L5142" t="s">
        <v>269</v>
      </c>
      <c r="M5142" t="s">
        <v>131</v>
      </c>
      <c r="N5142">
        <v>24</v>
      </c>
      <c r="O5142" s="1">
        <v>43344</v>
      </c>
      <c r="P5142" t="s">
        <v>41</v>
      </c>
      <c r="Q5142" t="s">
        <v>75</v>
      </c>
      <c r="R5142" t="str">
        <f>"7052002"</f>
        <v>7052002</v>
      </c>
      <c r="S5142" t="s">
        <v>590</v>
      </c>
      <c r="T5142" t="s">
        <v>268</v>
      </c>
      <c r="U5142" t="s">
        <v>269</v>
      </c>
      <c r="V5142" t="s">
        <v>131</v>
      </c>
      <c r="W5142" t="s">
        <v>44</v>
      </c>
      <c r="X5142" t="s">
        <v>45</v>
      </c>
      <c r="Z5142">
        <v>1</v>
      </c>
      <c r="AA5142" t="s">
        <v>269</v>
      </c>
      <c r="AB5142" s="40" t="s">
        <v>1799</v>
      </c>
    </row>
    <row r="5143" spans="1:28" x14ac:dyDescent="0.25">
      <c r="A5143">
        <v>99915142</v>
      </c>
      <c r="B5143" t="s">
        <v>56</v>
      </c>
      <c r="C5143" t="s">
        <v>111</v>
      </c>
      <c r="D5143" t="s">
        <v>112</v>
      </c>
      <c r="G5143" t="s">
        <v>48</v>
      </c>
      <c r="H5143">
        <v>1</v>
      </c>
      <c r="K5143" t="s">
        <v>268</v>
      </c>
      <c r="L5143" t="s">
        <v>269</v>
      </c>
      <c r="M5143" t="s">
        <v>131</v>
      </c>
      <c r="N5143">
        <v>24</v>
      </c>
      <c r="P5143" t="s">
        <v>41</v>
      </c>
      <c r="Q5143" t="s">
        <v>75</v>
      </c>
      <c r="R5143" t="str">
        <f>"7052044"</f>
        <v>7052044</v>
      </c>
      <c r="S5143" t="s">
        <v>589</v>
      </c>
      <c r="T5143" t="s">
        <v>268</v>
      </c>
      <c r="U5143" t="s">
        <v>269</v>
      </c>
      <c r="V5143" t="s">
        <v>131</v>
      </c>
      <c r="W5143" t="s">
        <v>51</v>
      </c>
      <c r="X5143" t="s">
        <v>45</v>
      </c>
      <c r="Z5143">
        <v>1</v>
      </c>
      <c r="AA5143" t="s">
        <v>269</v>
      </c>
      <c r="AB5143" s="40" t="s">
        <v>1799</v>
      </c>
    </row>
    <row r="5144" spans="1:28" x14ac:dyDescent="0.25">
      <c r="A5144">
        <v>99915143</v>
      </c>
      <c r="B5144" t="s">
        <v>32</v>
      </c>
      <c r="C5144" t="s">
        <v>111</v>
      </c>
      <c r="D5144" t="s">
        <v>112</v>
      </c>
      <c r="G5144" t="s">
        <v>48</v>
      </c>
      <c r="H5144">
        <v>1</v>
      </c>
      <c r="K5144" t="s">
        <v>268</v>
      </c>
      <c r="L5144" t="s">
        <v>269</v>
      </c>
      <c r="M5144" t="s">
        <v>131</v>
      </c>
      <c r="N5144">
        <v>24</v>
      </c>
      <c r="P5144" t="s">
        <v>41</v>
      </c>
      <c r="Q5144" t="s">
        <v>75</v>
      </c>
      <c r="R5144" t="str">
        <f>"7052044"</f>
        <v>7052044</v>
      </c>
      <c r="S5144" t="s">
        <v>589</v>
      </c>
      <c r="T5144" t="s">
        <v>268</v>
      </c>
      <c r="U5144" t="s">
        <v>269</v>
      </c>
      <c r="V5144" t="s">
        <v>131</v>
      </c>
      <c r="W5144" t="s">
        <v>51</v>
      </c>
      <c r="X5144" t="s">
        <v>45</v>
      </c>
      <c r="Z5144">
        <v>1</v>
      </c>
      <c r="AA5144" t="s">
        <v>269</v>
      </c>
      <c r="AB5144" s="40" t="s">
        <v>1799</v>
      </c>
    </row>
    <row r="5145" spans="1:28" x14ac:dyDescent="0.25">
      <c r="A5145">
        <v>99915144</v>
      </c>
      <c r="B5145" t="s">
        <v>32</v>
      </c>
      <c r="C5145" t="s">
        <v>111</v>
      </c>
      <c r="D5145" t="s">
        <v>112</v>
      </c>
      <c r="G5145" t="s">
        <v>35</v>
      </c>
      <c r="H5145">
        <v>1</v>
      </c>
      <c r="K5145" t="s">
        <v>354</v>
      </c>
      <c r="L5145" t="s">
        <v>355</v>
      </c>
      <c r="M5145" t="s">
        <v>131</v>
      </c>
      <c r="N5145">
        <v>24</v>
      </c>
      <c r="P5145" t="s">
        <v>41</v>
      </c>
      <c r="Q5145" t="s">
        <v>75</v>
      </c>
      <c r="R5145" t="str">
        <f>"7054000"</f>
        <v>7054000</v>
      </c>
      <c r="S5145" t="s">
        <v>786</v>
      </c>
      <c r="T5145" t="s">
        <v>354</v>
      </c>
      <c r="U5145" t="s">
        <v>355</v>
      </c>
      <c r="V5145" t="s">
        <v>131</v>
      </c>
      <c r="W5145" t="s">
        <v>51</v>
      </c>
      <c r="X5145" t="s">
        <v>45</v>
      </c>
      <c r="Z5145">
        <v>1</v>
      </c>
      <c r="AA5145" t="s">
        <v>355</v>
      </c>
      <c r="AB5145" s="40" t="s">
        <v>1799</v>
      </c>
    </row>
    <row r="5146" spans="1:28" x14ac:dyDescent="0.25">
      <c r="A5146">
        <v>99915145</v>
      </c>
      <c r="B5146" t="s">
        <v>32</v>
      </c>
      <c r="C5146" t="s">
        <v>111</v>
      </c>
      <c r="D5146" t="s">
        <v>112</v>
      </c>
      <c r="G5146" t="s">
        <v>35</v>
      </c>
      <c r="H5146">
        <v>1</v>
      </c>
      <c r="K5146" t="s">
        <v>354</v>
      </c>
      <c r="L5146" t="s">
        <v>355</v>
      </c>
      <c r="M5146" t="s">
        <v>131</v>
      </c>
      <c r="N5146">
        <v>24</v>
      </c>
      <c r="P5146" t="s">
        <v>41</v>
      </c>
      <c r="Q5146" t="s">
        <v>75</v>
      </c>
      <c r="R5146" t="str">
        <f>"7054000"</f>
        <v>7054000</v>
      </c>
      <c r="S5146" t="s">
        <v>786</v>
      </c>
      <c r="T5146" t="s">
        <v>354</v>
      </c>
      <c r="U5146" t="s">
        <v>355</v>
      </c>
      <c r="V5146" t="s">
        <v>131</v>
      </c>
      <c r="W5146" t="s">
        <v>51</v>
      </c>
      <c r="X5146" t="s">
        <v>45</v>
      </c>
      <c r="Z5146">
        <v>1</v>
      </c>
      <c r="AA5146" t="s">
        <v>355</v>
      </c>
      <c r="AB5146" s="40" t="s">
        <v>1799</v>
      </c>
    </row>
    <row r="5147" spans="1:28" x14ac:dyDescent="0.25">
      <c r="A5147">
        <v>99915146</v>
      </c>
      <c r="B5147" t="s">
        <v>32</v>
      </c>
      <c r="C5147" t="s">
        <v>111</v>
      </c>
      <c r="D5147" t="s">
        <v>112</v>
      </c>
      <c r="G5147" t="s">
        <v>35</v>
      </c>
      <c r="H5147">
        <v>1</v>
      </c>
      <c r="K5147" t="s">
        <v>354</v>
      </c>
      <c r="L5147" t="s">
        <v>355</v>
      </c>
      <c r="M5147" t="s">
        <v>131</v>
      </c>
      <c r="N5147">
        <v>24</v>
      </c>
      <c r="P5147" t="s">
        <v>41</v>
      </c>
      <c r="Q5147" t="s">
        <v>75</v>
      </c>
      <c r="R5147" t="str">
        <f>"7054000"</f>
        <v>7054000</v>
      </c>
      <c r="S5147" t="s">
        <v>786</v>
      </c>
      <c r="T5147" t="s">
        <v>354</v>
      </c>
      <c r="U5147" t="s">
        <v>355</v>
      </c>
      <c r="V5147" t="s">
        <v>131</v>
      </c>
      <c r="W5147" t="s">
        <v>51</v>
      </c>
      <c r="X5147" t="s">
        <v>45</v>
      </c>
      <c r="Z5147">
        <v>1</v>
      </c>
      <c r="AA5147" t="s">
        <v>355</v>
      </c>
      <c r="AB5147" s="40" t="s">
        <v>1799</v>
      </c>
    </row>
    <row r="5148" spans="1:28" x14ac:dyDescent="0.25">
      <c r="A5148">
        <v>99915147</v>
      </c>
      <c r="B5148" t="s">
        <v>32</v>
      </c>
      <c r="C5148" t="s">
        <v>90</v>
      </c>
      <c r="D5148" t="s">
        <v>91</v>
      </c>
      <c r="G5148" t="s">
        <v>48</v>
      </c>
      <c r="H5148">
        <v>1</v>
      </c>
      <c r="K5148" t="s">
        <v>877</v>
      </c>
      <c r="L5148" t="s">
        <v>878</v>
      </c>
      <c r="M5148" t="s">
        <v>131</v>
      </c>
      <c r="N5148">
        <v>24</v>
      </c>
      <c r="P5148" t="s">
        <v>41</v>
      </c>
      <c r="Q5148" t="s">
        <v>75</v>
      </c>
      <c r="R5148" t="str">
        <f>"7541010"</f>
        <v>7541010</v>
      </c>
      <c r="S5148" t="s">
        <v>887</v>
      </c>
      <c r="T5148" t="s">
        <v>877</v>
      </c>
      <c r="U5148" t="s">
        <v>878</v>
      </c>
      <c r="V5148" t="s">
        <v>131</v>
      </c>
      <c r="W5148" t="s">
        <v>51</v>
      </c>
      <c r="X5148" t="s">
        <v>45</v>
      </c>
      <c r="Z5148">
        <v>1</v>
      </c>
      <c r="AA5148" t="s">
        <v>878</v>
      </c>
      <c r="AB5148" s="40" t="s">
        <v>1799</v>
      </c>
    </row>
    <row r="5149" spans="1:28" x14ac:dyDescent="0.25">
      <c r="A5149">
        <v>99915148</v>
      </c>
      <c r="B5149" t="s">
        <v>32</v>
      </c>
      <c r="C5149" t="s">
        <v>111</v>
      </c>
      <c r="D5149" t="s">
        <v>112</v>
      </c>
      <c r="G5149" t="s">
        <v>48</v>
      </c>
      <c r="H5149">
        <v>1</v>
      </c>
      <c r="K5149" t="s">
        <v>877</v>
      </c>
      <c r="L5149" t="s">
        <v>878</v>
      </c>
      <c r="M5149" t="s">
        <v>131</v>
      </c>
      <c r="N5149">
        <v>24</v>
      </c>
      <c r="P5149" t="s">
        <v>41</v>
      </c>
      <c r="Q5149" t="s">
        <v>75</v>
      </c>
      <c r="R5149" t="str">
        <f>"7541010"</f>
        <v>7541010</v>
      </c>
      <c r="S5149" t="s">
        <v>887</v>
      </c>
      <c r="T5149" t="s">
        <v>877</v>
      </c>
      <c r="U5149" t="s">
        <v>878</v>
      </c>
      <c r="V5149" t="s">
        <v>131</v>
      </c>
      <c r="W5149" t="s">
        <v>51</v>
      </c>
      <c r="X5149" t="s">
        <v>45</v>
      </c>
      <c r="Z5149">
        <v>1</v>
      </c>
      <c r="AA5149" t="s">
        <v>878</v>
      </c>
      <c r="AB5149" s="40" t="s">
        <v>1799</v>
      </c>
    </row>
    <row r="5150" spans="1:28" x14ac:dyDescent="0.25">
      <c r="A5150">
        <v>99915149</v>
      </c>
      <c r="B5150" t="s">
        <v>32</v>
      </c>
      <c r="C5150" t="s">
        <v>90</v>
      </c>
      <c r="D5150" t="s">
        <v>91</v>
      </c>
      <c r="G5150" t="s">
        <v>48</v>
      </c>
      <c r="H5150">
        <v>1</v>
      </c>
      <c r="K5150" t="s">
        <v>877</v>
      </c>
      <c r="L5150" t="s">
        <v>878</v>
      </c>
      <c r="M5150" t="s">
        <v>131</v>
      </c>
      <c r="N5150">
        <v>24</v>
      </c>
      <c r="P5150" t="s">
        <v>41</v>
      </c>
      <c r="Q5150" t="s">
        <v>75</v>
      </c>
      <c r="R5150" t="str">
        <f>"7541010"</f>
        <v>7541010</v>
      </c>
      <c r="S5150" t="s">
        <v>887</v>
      </c>
      <c r="T5150" t="s">
        <v>877</v>
      </c>
      <c r="U5150" t="s">
        <v>878</v>
      </c>
      <c r="V5150" t="s">
        <v>131</v>
      </c>
      <c r="W5150" t="s">
        <v>51</v>
      </c>
      <c r="X5150" t="s">
        <v>45</v>
      </c>
      <c r="Z5150">
        <v>1</v>
      </c>
      <c r="AA5150" t="s">
        <v>878</v>
      </c>
      <c r="AB5150" s="40" t="s">
        <v>1799</v>
      </c>
    </row>
    <row r="5151" spans="1:28" x14ac:dyDescent="0.25">
      <c r="A5151">
        <v>99915150</v>
      </c>
      <c r="B5151" t="s">
        <v>32</v>
      </c>
      <c r="C5151" t="s">
        <v>111</v>
      </c>
      <c r="D5151" t="s">
        <v>112</v>
      </c>
      <c r="G5151" t="s">
        <v>35</v>
      </c>
      <c r="H5151">
        <v>1</v>
      </c>
      <c r="I5151">
        <v>9417</v>
      </c>
      <c r="J5151" s="1">
        <v>43344</v>
      </c>
      <c r="K5151" t="s">
        <v>1198</v>
      </c>
      <c r="L5151" t="s">
        <v>1199</v>
      </c>
      <c r="M5151" t="s">
        <v>1130</v>
      </c>
      <c r="N5151">
        <v>24</v>
      </c>
      <c r="O5151" s="1">
        <v>43344</v>
      </c>
      <c r="P5151" t="s">
        <v>41</v>
      </c>
      <c r="Q5151" t="s">
        <v>75</v>
      </c>
      <c r="R5151" t="str">
        <f>"7311006"</f>
        <v>7311006</v>
      </c>
      <c r="S5151" t="s">
        <v>1200</v>
      </c>
      <c r="T5151" t="s">
        <v>1198</v>
      </c>
      <c r="U5151" t="s">
        <v>1199</v>
      </c>
      <c r="V5151" t="s">
        <v>1130</v>
      </c>
      <c r="W5151" t="s">
        <v>44</v>
      </c>
      <c r="X5151" t="s">
        <v>45</v>
      </c>
      <c r="Z5151">
        <v>1</v>
      </c>
      <c r="AA5151" t="s">
        <v>1199</v>
      </c>
      <c r="AB5151" s="40" t="s">
        <v>1799</v>
      </c>
    </row>
    <row r="5152" spans="1:28" x14ac:dyDescent="0.25">
      <c r="A5152">
        <v>99915151</v>
      </c>
      <c r="B5152" t="s">
        <v>32</v>
      </c>
      <c r="C5152" t="s">
        <v>90</v>
      </c>
      <c r="D5152" t="s">
        <v>91</v>
      </c>
      <c r="G5152" t="s">
        <v>35</v>
      </c>
      <c r="H5152">
        <v>1</v>
      </c>
      <c r="I5152" t="s">
        <v>1380</v>
      </c>
      <c r="J5152" s="1">
        <v>43344</v>
      </c>
      <c r="K5152" t="s">
        <v>1341</v>
      </c>
      <c r="L5152" t="s">
        <v>1342</v>
      </c>
      <c r="M5152" t="s">
        <v>1270</v>
      </c>
      <c r="N5152">
        <v>24</v>
      </c>
      <c r="O5152" s="1">
        <v>43344</v>
      </c>
      <c r="P5152" t="s">
        <v>41</v>
      </c>
      <c r="Q5152" t="s">
        <v>95</v>
      </c>
      <c r="R5152" t="str">
        <f>"7191119"</f>
        <v>7191119</v>
      </c>
      <c r="S5152" t="s">
        <v>1381</v>
      </c>
      <c r="T5152" t="s">
        <v>1341</v>
      </c>
      <c r="U5152" t="s">
        <v>1342</v>
      </c>
      <c r="V5152" t="s">
        <v>1270</v>
      </c>
      <c r="W5152" t="s">
        <v>44</v>
      </c>
      <c r="X5152" t="s">
        <v>45</v>
      </c>
      <c r="Z5152">
        <v>1</v>
      </c>
      <c r="AA5152" t="s">
        <v>1342</v>
      </c>
      <c r="AB5152" s="40" t="s">
        <v>1799</v>
      </c>
    </row>
    <row r="5153" spans="1:28" x14ac:dyDescent="0.25">
      <c r="A5153">
        <v>99915152</v>
      </c>
      <c r="B5153" t="s">
        <v>32</v>
      </c>
      <c r="C5153" t="s">
        <v>111</v>
      </c>
      <c r="D5153" t="s">
        <v>112</v>
      </c>
      <c r="G5153" t="s">
        <v>35</v>
      </c>
      <c r="H5153">
        <v>1</v>
      </c>
      <c r="I5153" s="1">
        <v>42614</v>
      </c>
      <c r="J5153" s="1">
        <v>43344</v>
      </c>
      <c r="K5153" t="s">
        <v>1341</v>
      </c>
      <c r="L5153" t="s">
        <v>1342</v>
      </c>
      <c r="M5153" t="s">
        <v>1270</v>
      </c>
      <c r="N5153">
        <v>24</v>
      </c>
      <c r="O5153" s="1">
        <v>43344</v>
      </c>
      <c r="P5153" t="s">
        <v>41</v>
      </c>
      <c r="Q5153" t="s">
        <v>75</v>
      </c>
      <c r="R5153" t="str">
        <f>"7191000"</f>
        <v>7191000</v>
      </c>
      <c r="S5153" t="s">
        <v>1347</v>
      </c>
      <c r="T5153" t="s">
        <v>1341</v>
      </c>
      <c r="U5153" t="s">
        <v>1342</v>
      </c>
      <c r="V5153" t="s">
        <v>1270</v>
      </c>
      <c r="W5153" t="s">
        <v>51</v>
      </c>
      <c r="X5153" t="s">
        <v>45</v>
      </c>
      <c r="Z5153">
        <v>1</v>
      </c>
      <c r="AA5153" t="s">
        <v>1342</v>
      </c>
      <c r="AB5153" s="40" t="s">
        <v>1799</v>
      </c>
    </row>
    <row r="5154" spans="1:28" x14ac:dyDescent="0.25">
      <c r="A5154">
        <v>99915153</v>
      </c>
      <c r="B5154" t="s">
        <v>32</v>
      </c>
      <c r="C5154" t="s">
        <v>111</v>
      </c>
      <c r="D5154" t="s">
        <v>112</v>
      </c>
      <c r="G5154" t="s">
        <v>35</v>
      </c>
      <c r="H5154">
        <v>1</v>
      </c>
      <c r="I5154" t="s">
        <v>1526</v>
      </c>
      <c r="J5154" s="1">
        <v>43355</v>
      </c>
      <c r="K5154" t="s">
        <v>667</v>
      </c>
      <c r="L5154" t="s">
        <v>669</v>
      </c>
      <c r="M5154" t="s">
        <v>670</v>
      </c>
      <c r="N5154">
        <v>24</v>
      </c>
      <c r="O5154" s="1">
        <v>43355</v>
      </c>
      <c r="P5154" t="s">
        <v>41</v>
      </c>
      <c r="Q5154" t="s">
        <v>75</v>
      </c>
      <c r="R5154" t="str">
        <f>"7501000"</f>
        <v>7501000</v>
      </c>
      <c r="S5154" t="s">
        <v>668</v>
      </c>
      <c r="T5154" t="s">
        <v>667</v>
      </c>
      <c r="U5154" t="s">
        <v>669</v>
      </c>
      <c r="V5154" t="s">
        <v>670</v>
      </c>
      <c r="W5154" t="s">
        <v>55</v>
      </c>
      <c r="X5154" t="s">
        <v>45</v>
      </c>
      <c r="Z5154">
        <v>1</v>
      </c>
      <c r="AA5154" t="s">
        <v>669</v>
      </c>
      <c r="AB5154" s="40" t="s">
        <v>1799</v>
      </c>
    </row>
    <row r="5155" spans="1:28" x14ac:dyDescent="0.25">
      <c r="A5155">
        <v>99915154</v>
      </c>
      <c r="B5155" t="s">
        <v>32</v>
      </c>
      <c r="C5155" t="s">
        <v>111</v>
      </c>
      <c r="D5155" t="s">
        <v>112</v>
      </c>
      <c r="G5155" t="s">
        <v>48</v>
      </c>
      <c r="H5155">
        <v>1</v>
      </c>
      <c r="K5155" t="s">
        <v>667</v>
      </c>
      <c r="L5155" t="s">
        <v>669</v>
      </c>
      <c r="M5155" t="s">
        <v>670</v>
      </c>
      <c r="N5155">
        <v>24</v>
      </c>
      <c r="P5155" t="s">
        <v>41</v>
      </c>
      <c r="Q5155" t="s">
        <v>75</v>
      </c>
      <c r="R5155" t="str">
        <f>"7501000"</f>
        <v>7501000</v>
      </c>
      <c r="S5155" t="s">
        <v>668</v>
      </c>
      <c r="T5155" t="s">
        <v>667</v>
      </c>
      <c r="U5155" t="s">
        <v>669</v>
      </c>
      <c r="V5155" t="s">
        <v>670</v>
      </c>
      <c r="W5155" t="s">
        <v>51</v>
      </c>
      <c r="X5155" t="s">
        <v>45</v>
      </c>
      <c r="Z5155">
        <v>1</v>
      </c>
      <c r="AA5155" t="s">
        <v>669</v>
      </c>
      <c r="AB5155" s="40" t="s">
        <v>1799</v>
      </c>
    </row>
    <row r="5156" spans="1:28" x14ac:dyDescent="0.25">
      <c r="A5156">
        <v>99915155</v>
      </c>
      <c r="B5156" t="s">
        <v>32</v>
      </c>
      <c r="C5156" t="s">
        <v>90</v>
      </c>
      <c r="D5156" t="s">
        <v>91</v>
      </c>
      <c r="G5156" t="s">
        <v>35</v>
      </c>
      <c r="H5156">
        <v>1</v>
      </c>
      <c r="I5156" t="s">
        <v>1573</v>
      </c>
      <c r="J5156" s="1">
        <v>43344</v>
      </c>
      <c r="K5156" t="s">
        <v>1564</v>
      </c>
      <c r="L5156" t="s">
        <v>1565</v>
      </c>
      <c r="M5156" t="s">
        <v>1548</v>
      </c>
      <c r="N5156">
        <v>24</v>
      </c>
      <c r="O5156" s="1">
        <v>43344</v>
      </c>
      <c r="P5156" t="s">
        <v>41</v>
      </c>
      <c r="Q5156" t="s">
        <v>95</v>
      </c>
      <c r="R5156" t="str">
        <f>"7101011"</f>
        <v>7101011</v>
      </c>
      <c r="S5156" t="s">
        <v>1574</v>
      </c>
      <c r="T5156" t="s">
        <v>1564</v>
      </c>
      <c r="U5156" t="s">
        <v>1565</v>
      </c>
      <c r="V5156" t="s">
        <v>1548</v>
      </c>
      <c r="W5156" t="s">
        <v>51</v>
      </c>
      <c r="X5156" t="s">
        <v>45</v>
      </c>
      <c r="Z5156">
        <v>1</v>
      </c>
      <c r="AA5156" t="s">
        <v>1565</v>
      </c>
      <c r="AB5156" s="40" t="s">
        <v>1799</v>
      </c>
    </row>
    <row r="5157" spans="1:28" x14ac:dyDescent="0.25">
      <c r="A5157">
        <v>99915156</v>
      </c>
      <c r="B5157" t="s">
        <v>32</v>
      </c>
      <c r="C5157" t="s">
        <v>111</v>
      </c>
      <c r="D5157" t="s">
        <v>112</v>
      </c>
      <c r="G5157" t="s">
        <v>48</v>
      </c>
      <c r="H5157">
        <v>1</v>
      </c>
      <c r="K5157" t="s">
        <v>1564</v>
      </c>
      <c r="L5157" t="s">
        <v>1565</v>
      </c>
      <c r="M5157" t="s">
        <v>1548</v>
      </c>
      <c r="N5157">
        <v>24</v>
      </c>
      <c r="P5157" t="s">
        <v>41</v>
      </c>
      <c r="Q5157" t="s">
        <v>75</v>
      </c>
      <c r="R5157" t="str">
        <f>"7101002"</f>
        <v>7101002</v>
      </c>
      <c r="S5157" t="s">
        <v>1563</v>
      </c>
      <c r="T5157" t="s">
        <v>1564</v>
      </c>
      <c r="U5157" t="s">
        <v>1565</v>
      </c>
      <c r="V5157" t="s">
        <v>1548</v>
      </c>
      <c r="W5157" t="s">
        <v>51</v>
      </c>
      <c r="X5157" t="s">
        <v>45</v>
      </c>
      <c r="Z5157">
        <v>1</v>
      </c>
      <c r="AA5157" t="s">
        <v>1565</v>
      </c>
      <c r="AB5157" s="40" t="s">
        <v>1799</v>
      </c>
    </row>
    <row r="5158" spans="1:28" x14ac:dyDescent="0.25">
      <c r="A5158">
        <v>99915157</v>
      </c>
      <c r="B5158" t="s">
        <v>32</v>
      </c>
      <c r="C5158" t="s">
        <v>111</v>
      </c>
      <c r="D5158" t="s">
        <v>112</v>
      </c>
      <c r="G5158" t="s">
        <v>48</v>
      </c>
      <c r="H5158">
        <v>1</v>
      </c>
      <c r="K5158" t="s">
        <v>1631</v>
      </c>
      <c r="L5158" t="s">
        <v>1632</v>
      </c>
      <c r="M5158" t="s">
        <v>1592</v>
      </c>
      <c r="N5158">
        <v>24</v>
      </c>
      <c r="P5158" t="s">
        <v>41</v>
      </c>
      <c r="Q5158" t="s">
        <v>75</v>
      </c>
      <c r="R5158" t="str">
        <f>"7021000"</f>
        <v>7021000</v>
      </c>
      <c r="S5158" t="s">
        <v>1633</v>
      </c>
      <c r="T5158" t="s">
        <v>1631</v>
      </c>
      <c r="U5158" t="s">
        <v>1632</v>
      </c>
      <c r="V5158" t="s">
        <v>1592</v>
      </c>
      <c r="W5158" t="s">
        <v>51</v>
      </c>
      <c r="X5158" t="s">
        <v>45</v>
      </c>
      <c r="Z5158">
        <v>1</v>
      </c>
      <c r="AA5158" t="s">
        <v>1632</v>
      </c>
      <c r="AB5158" s="40" t="s">
        <v>1799</v>
      </c>
    </row>
    <row r="5159" spans="1:28" x14ac:dyDescent="0.25">
      <c r="A5159">
        <v>99915158</v>
      </c>
      <c r="B5159" t="s">
        <v>32</v>
      </c>
      <c r="C5159" t="s">
        <v>111</v>
      </c>
      <c r="D5159" t="s">
        <v>112</v>
      </c>
      <c r="G5159" t="s">
        <v>35</v>
      </c>
      <c r="H5159">
        <v>1</v>
      </c>
      <c r="I5159" t="s">
        <v>1659</v>
      </c>
      <c r="J5159" s="1">
        <v>43354</v>
      </c>
      <c r="K5159" t="s">
        <v>1619</v>
      </c>
      <c r="L5159" t="s">
        <v>1620</v>
      </c>
      <c r="M5159" t="s">
        <v>1592</v>
      </c>
      <c r="N5159">
        <v>24</v>
      </c>
      <c r="O5159" s="1">
        <v>43354</v>
      </c>
      <c r="P5159" t="s">
        <v>41</v>
      </c>
      <c r="Q5159" t="s">
        <v>75</v>
      </c>
      <c r="R5159" t="str">
        <f>"7281004"</f>
        <v>7281004</v>
      </c>
      <c r="S5159" t="s">
        <v>1651</v>
      </c>
      <c r="T5159" t="s">
        <v>1619</v>
      </c>
      <c r="U5159" t="s">
        <v>1620</v>
      </c>
      <c r="V5159" t="s">
        <v>1592</v>
      </c>
      <c r="W5159" t="s">
        <v>44</v>
      </c>
      <c r="X5159" t="s">
        <v>45</v>
      </c>
      <c r="Z5159">
        <v>1</v>
      </c>
      <c r="AA5159" t="s">
        <v>1620</v>
      </c>
      <c r="AB5159" s="40" t="s">
        <v>1799</v>
      </c>
    </row>
    <row r="5160" spans="1:28" x14ac:dyDescent="0.25">
      <c r="A5160">
        <v>99915159</v>
      </c>
      <c r="B5160" t="s">
        <v>32</v>
      </c>
      <c r="C5160" t="s">
        <v>111</v>
      </c>
      <c r="D5160" t="s">
        <v>112</v>
      </c>
      <c r="G5160" t="s">
        <v>35</v>
      </c>
      <c r="H5160">
        <v>1</v>
      </c>
      <c r="I5160">
        <v>5150</v>
      </c>
      <c r="J5160" s="1">
        <v>43360</v>
      </c>
      <c r="K5160" t="s">
        <v>1689</v>
      </c>
      <c r="L5160" t="s">
        <v>1690</v>
      </c>
      <c r="M5160" t="s">
        <v>1592</v>
      </c>
      <c r="N5160">
        <v>24</v>
      </c>
      <c r="O5160" s="1">
        <v>43360</v>
      </c>
      <c r="P5160" t="s">
        <v>41</v>
      </c>
      <c r="Q5160" t="s">
        <v>75</v>
      </c>
      <c r="R5160" t="str">
        <f>"7301000"</f>
        <v>7301000</v>
      </c>
      <c r="S5160" t="s">
        <v>1691</v>
      </c>
      <c r="T5160" t="s">
        <v>1689</v>
      </c>
      <c r="U5160" t="s">
        <v>1690</v>
      </c>
      <c r="V5160" t="s">
        <v>1592</v>
      </c>
      <c r="W5160" t="s">
        <v>44</v>
      </c>
      <c r="X5160" t="s">
        <v>45</v>
      </c>
      <c r="Z5160">
        <v>1</v>
      </c>
      <c r="AA5160" t="s">
        <v>1690</v>
      </c>
      <c r="AB5160" s="40" t="s">
        <v>1799</v>
      </c>
    </row>
    <row r="5161" spans="1:28" x14ac:dyDescent="0.25">
      <c r="A5161">
        <v>99915160</v>
      </c>
      <c r="B5161" t="s">
        <v>32</v>
      </c>
      <c r="C5161" t="s">
        <v>90</v>
      </c>
      <c r="D5161" t="s">
        <v>91</v>
      </c>
      <c r="G5161" t="s">
        <v>35</v>
      </c>
      <c r="H5161">
        <v>1</v>
      </c>
      <c r="I5161" t="s">
        <v>1585</v>
      </c>
      <c r="J5161" s="1">
        <v>43344</v>
      </c>
      <c r="K5161" t="s">
        <v>1581</v>
      </c>
      <c r="L5161" t="s">
        <v>1582</v>
      </c>
      <c r="M5161" t="s">
        <v>1548</v>
      </c>
      <c r="N5161">
        <v>25</v>
      </c>
      <c r="O5161" s="1">
        <v>43344</v>
      </c>
      <c r="P5161" t="s">
        <v>41</v>
      </c>
      <c r="Q5161" t="s">
        <v>95</v>
      </c>
      <c r="R5161" t="str">
        <f>"7291003"</f>
        <v>7291003</v>
      </c>
      <c r="S5161" t="s">
        <v>1586</v>
      </c>
      <c r="T5161" t="s">
        <v>1581</v>
      </c>
      <c r="U5161" t="s">
        <v>1582</v>
      </c>
      <c r="V5161" t="s">
        <v>1548</v>
      </c>
      <c r="W5161" t="s">
        <v>51</v>
      </c>
      <c r="X5161" t="s">
        <v>45</v>
      </c>
      <c r="Y5161" s="1">
        <v>43344</v>
      </c>
      <c r="Z5161">
        <v>1</v>
      </c>
      <c r="AA5161" t="s">
        <v>1582</v>
      </c>
      <c r="AB5161" s="40" t="s">
        <v>1799</v>
      </c>
    </row>
    <row r="5162" spans="1:28" x14ac:dyDescent="0.25">
      <c r="A5162">
        <v>99915161</v>
      </c>
      <c r="B5162" t="s">
        <v>32</v>
      </c>
      <c r="C5162" t="s">
        <v>90</v>
      </c>
      <c r="D5162" t="s">
        <v>91</v>
      </c>
      <c r="G5162" t="s">
        <v>35</v>
      </c>
      <c r="H5162">
        <v>1</v>
      </c>
      <c r="K5162" t="s">
        <v>667</v>
      </c>
      <c r="L5162" t="s">
        <v>669</v>
      </c>
      <c r="M5162" t="s">
        <v>670</v>
      </c>
      <c r="N5162">
        <v>25</v>
      </c>
      <c r="P5162" t="s">
        <v>41</v>
      </c>
      <c r="Q5162" t="s">
        <v>95</v>
      </c>
      <c r="R5162" t="str">
        <f>"7501001"</f>
        <v>7501001</v>
      </c>
      <c r="S5162" t="s">
        <v>1525</v>
      </c>
      <c r="T5162" t="s">
        <v>667</v>
      </c>
      <c r="U5162" t="s">
        <v>669</v>
      </c>
      <c r="V5162" t="s">
        <v>670</v>
      </c>
      <c r="W5162" t="s">
        <v>51</v>
      </c>
      <c r="X5162" t="s">
        <v>45</v>
      </c>
      <c r="Y5162" s="1">
        <v>36524</v>
      </c>
      <c r="Z5162">
        <v>1</v>
      </c>
      <c r="AA5162" t="s">
        <v>669</v>
      </c>
      <c r="AB5162" s="40" t="s">
        <v>1799</v>
      </c>
    </row>
    <row r="5163" spans="1:28" x14ac:dyDescent="0.25">
      <c r="A5163">
        <v>99915162</v>
      </c>
      <c r="B5163" t="s">
        <v>32</v>
      </c>
      <c r="C5163" t="s">
        <v>90</v>
      </c>
      <c r="D5163" t="s">
        <v>91</v>
      </c>
      <c r="G5163" t="s">
        <v>35</v>
      </c>
      <c r="H5163">
        <v>1</v>
      </c>
      <c r="I5163">
        <v>4926</v>
      </c>
      <c r="J5163" s="1">
        <v>43360</v>
      </c>
      <c r="K5163" t="s">
        <v>1245</v>
      </c>
      <c r="L5163" t="s">
        <v>1246</v>
      </c>
      <c r="M5163" t="s">
        <v>1130</v>
      </c>
      <c r="N5163">
        <v>25</v>
      </c>
      <c r="O5163" s="1">
        <v>43360</v>
      </c>
      <c r="P5163" t="s">
        <v>41</v>
      </c>
      <c r="Q5163" t="s">
        <v>95</v>
      </c>
      <c r="R5163" t="str">
        <f>"7451001"</f>
        <v>7451001</v>
      </c>
      <c r="S5163" t="s">
        <v>1249</v>
      </c>
      <c r="T5163" t="s">
        <v>1245</v>
      </c>
      <c r="U5163" t="s">
        <v>1246</v>
      </c>
      <c r="V5163" t="s">
        <v>1130</v>
      </c>
      <c r="W5163" t="s">
        <v>44</v>
      </c>
      <c r="X5163" t="s">
        <v>45</v>
      </c>
      <c r="Y5163" s="1">
        <v>36083</v>
      </c>
      <c r="Z5163">
        <v>1</v>
      </c>
      <c r="AA5163" t="s">
        <v>1246</v>
      </c>
      <c r="AB5163" s="40" t="s">
        <v>1799</v>
      </c>
    </row>
    <row r="5164" spans="1:28" x14ac:dyDescent="0.25">
      <c r="A5164">
        <v>99915163</v>
      </c>
      <c r="B5164" t="s">
        <v>32</v>
      </c>
      <c r="C5164" t="s">
        <v>90</v>
      </c>
      <c r="D5164" t="s">
        <v>91</v>
      </c>
      <c r="G5164" t="s">
        <v>35</v>
      </c>
      <c r="H5164">
        <v>1</v>
      </c>
      <c r="I5164" s="2">
        <v>1879936</v>
      </c>
      <c r="J5164" s="1">
        <v>43344</v>
      </c>
      <c r="K5164" t="s">
        <v>268</v>
      </c>
      <c r="L5164" t="s">
        <v>269</v>
      </c>
      <c r="M5164" t="s">
        <v>131</v>
      </c>
      <c r="N5164">
        <v>25</v>
      </c>
      <c r="P5164" t="s">
        <v>41</v>
      </c>
      <c r="Q5164" t="s">
        <v>95</v>
      </c>
      <c r="R5164" t="str">
        <f>"7052241"</f>
        <v>7052241</v>
      </c>
      <c r="S5164" t="s">
        <v>649</v>
      </c>
      <c r="T5164" t="s">
        <v>268</v>
      </c>
      <c r="U5164" t="s">
        <v>269</v>
      </c>
      <c r="V5164" t="s">
        <v>131</v>
      </c>
      <c r="W5164" t="s">
        <v>51</v>
      </c>
      <c r="X5164" t="s">
        <v>45</v>
      </c>
      <c r="Y5164" s="1">
        <v>35328</v>
      </c>
      <c r="Z5164">
        <v>1</v>
      </c>
      <c r="AA5164" t="s">
        <v>269</v>
      </c>
      <c r="AB5164" s="40" t="s">
        <v>1799</v>
      </c>
    </row>
    <row r="5165" spans="1:28" x14ac:dyDescent="0.25">
      <c r="A5165">
        <v>99915164</v>
      </c>
      <c r="B5165" t="s">
        <v>32</v>
      </c>
      <c r="C5165" t="s">
        <v>90</v>
      </c>
      <c r="D5165" t="s">
        <v>91</v>
      </c>
      <c r="G5165" t="s">
        <v>35</v>
      </c>
      <c r="H5165">
        <v>1</v>
      </c>
      <c r="I5165">
        <v>2638</v>
      </c>
      <c r="J5165" s="1">
        <v>43374</v>
      </c>
      <c r="K5165" t="s">
        <v>932</v>
      </c>
      <c r="L5165" t="s">
        <v>933</v>
      </c>
      <c r="M5165" t="s">
        <v>921</v>
      </c>
      <c r="N5165">
        <v>25</v>
      </c>
      <c r="O5165" s="1">
        <v>43374</v>
      </c>
      <c r="P5165" t="s">
        <v>41</v>
      </c>
      <c r="Q5165" t="s">
        <v>95</v>
      </c>
      <c r="R5165" t="str">
        <f>"7511003"</f>
        <v>7511003</v>
      </c>
      <c r="S5165" t="s">
        <v>935</v>
      </c>
      <c r="T5165" t="s">
        <v>932</v>
      </c>
      <c r="U5165" t="s">
        <v>933</v>
      </c>
      <c r="V5165" t="s">
        <v>921</v>
      </c>
      <c r="W5165" t="s">
        <v>44</v>
      </c>
      <c r="X5165" t="s">
        <v>45</v>
      </c>
      <c r="Y5165" s="1">
        <v>35289</v>
      </c>
      <c r="Z5165">
        <v>1</v>
      </c>
      <c r="AA5165" t="s">
        <v>933</v>
      </c>
      <c r="AB5165" s="40" t="s">
        <v>1799</v>
      </c>
    </row>
    <row r="5166" spans="1:28" x14ac:dyDescent="0.25">
      <c r="A5166">
        <v>99915165</v>
      </c>
      <c r="B5166" t="s">
        <v>32</v>
      </c>
      <c r="C5166" t="s">
        <v>90</v>
      </c>
      <c r="D5166" t="s">
        <v>91</v>
      </c>
      <c r="G5166" t="s">
        <v>35</v>
      </c>
      <c r="H5166">
        <v>1</v>
      </c>
      <c r="I5166">
        <v>11605</v>
      </c>
      <c r="J5166" s="1">
        <v>43344</v>
      </c>
      <c r="K5166" t="s">
        <v>354</v>
      </c>
      <c r="L5166" t="s">
        <v>355</v>
      </c>
      <c r="M5166" t="s">
        <v>131</v>
      </c>
      <c r="N5166">
        <v>25</v>
      </c>
      <c r="O5166" s="1">
        <v>43344</v>
      </c>
      <c r="P5166" t="s">
        <v>41</v>
      </c>
      <c r="Q5166" t="s">
        <v>95</v>
      </c>
      <c r="R5166" t="str">
        <f>"7054097"</f>
        <v>7054097</v>
      </c>
      <c r="S5166" t="s">
        <v>778</v>
      </c>
      <c r="T5166" t="s">
        <v>354</v>
      </c>
      <c r="U5166" t="s">
        <v>355</v>
      </c>
      <c r="V5166" t="s">
        <v>131</v>
      </c>
      <c r="W5166" t="s">
        <v>44</v>
      </c>
      <c r="X5166" t="s">
        <v>45</v>
      </c>
      <c r="Y5166" s="1">
        <v>35045</v>
      </c>
      <c r="Z5166">
        <v>1</v>
      </c>
      <c r="AA5166" t="s">
        <v>355</v>
      </c>
      <c r="AB5166" s="40" t="s">
        <v>1799</v>
      </c>
    </row>
    <row r="5167" spans="1:28" x14ac:dyDescent="0.25">
      <c r="A5167">
        <v>99915166</v>
      </c>
      <c r="B5167" t="s">
        <v>32</v>
      </c>
      <c r="C5167" t="s">
        <v>90</v>
      </c>
      <c r="D5167" t="s">
        <v>91</v>
      </c>
      <c r="G5167" t="s">
        <v>35</v>
      </c>
      <c r="H5167">
        <v>1</v>
      </c>
      <c r="I5167">
        <v>1959387</v>
      </c>
      <c r="J5167" s="1">
        <v>43361</v>
      </c>
      <c r="K5167" t="s">
        <v>126</v>
      </c>
      <c r="L5167" t="s">
        <v>127</v>
      </c>
      <c r="M5167" t="s">
        <v>39</v>
      </c>
      <c r="N5167">
        <v>25</v>
      </c>
      <c r="O5167" s="1">
        <v>43361</v>
      </c>
      <c r="P5167" t="s">
        <v>41</v>
      </c>
      <c r="Q5167" t="s">
        <v>95</v>
      </c>
      <c r="R5167" t="str">
        <f>"7421001"</f>
        <v>7421001</v>
      </c>
      <c r="S5167" t="s">
        <v>128</v>
      </c>
      <c r="T5167" t="s">
        <v>126</v>
      </c>
      <c r="U5167" t="s">
        <v>127</v>
      </c>
      <c r="V5167" t="s">
        <v>39</v>
      </c>
      <c r="W5167" t="s">
        <v>44</v>
      </c>
      <c r="X5167" t="s">
        <v>45</v>
      </c>
      <c r="Y5167" s="1">
        <v>34739</v>
      </c>
      <c r="Z5167">
        <v>1</v>
      </c>
      <c r="AA5167" t="s">
        <v>127</v>
      </c>
      <c r="AB5167" s="40" t="s">
        <v>1799</v>
      </c>
    </row>
    <row r="5168" spans="1:28" x14ac:dyDescent="0.25">
      <c r="A5168">
        <v>99915167</v>
      </c>
      <c r="B5168" t="s">
        <v>32</v>
      </c>
      <c r="C5168" t="s">
        <v>90</v>
      </c>
      <c r="D5168" t="s">
        <v>91</v>
      </c>
      <c r="G5168" t="s">
        <v>35</v>
      </c>
      <c r="H5168">
        <v>1</v>
      </c>
      <c r="I5168">
        <v>10433</v>
      </c>
      <c r="J5168" s="1">
        <v>43344</v>
      </c>
      <c r="K5168" t="s">
        <v>354</v>
      </c>
      <c r="L5168" t="s">
        <v>355</v>
      </c>
      <c r="M5168" t="s">
        <v>131</v>
      </c>
      <c r="N5168">
        <v>25</v>
      </c>
      <c r="O5168" s="1">
        <v>43344</v>
      </c>
      <c r="P5168" t="s">
        <v>41</v>
      </c>
      <c r="Q5168" t="s">
        <v>95</v>
      </c>
      <c r="R5168" t="str">
        <f>"7054083"</f>
        <v>7054083</v>
      </c>
      <c r="S5168" t="s">
        <v>801</v>
      </c>
      <c r="T5168" t="s">
        <v>354</v>
      </c>
      <c r="U5168" t="s">
        <v>355</v>
      </c>
      <c r="V5168" t="s">
        <v>131</v>
      </c>
      <c r="W5168" t="s">
        <v>55</v>
      </c>
      <c r="X5168" t="s">
        <v>45</v>
      </c>
      <c r="Y5168" s="1">
        <v>34678</v>
      </c>
      <c r="Z5168">
        <v>1</v>
      </c>
      <c r="AA5168" t="s">
        <v>355</v>
      </c>
      <c r="AB5168" s="40" t="s">
        <v>1799</v>
      </c>
    </row>
    <row r="5169" spans="1:28" x14ac:dyDescent="0.25">
      <c r="A5169">
        <v>99915168</v>
      </c>
      <c r="B5169" t="s">
        <v>32</v>
      </c>
      <c r="C5169" t="s">
        <v>90</v>
      </c>
      <c r="D5169" t="s">
        <v>91</v>
      </c>
      <c r="G5169" t="s">
        <v>35</v>
      </c>
      <c r="H5169">
        <v>1</v>
      </c>
      <c r="I5169">
        <v>4727</v>
      </c>
      <c r="J5169" s="1">
        <v>43354</v>
      </c>
      <c r="K5169" t="s">
        <v>1245</v>
      </c>
      <c r="L5169" t="s">
        <v>1246</v>
      </c>
      <c r="M5169" t="s">
        <v>1130</v>
      </c>
      <c r="N5169">
        <v>25</v>
      </c>
      <c r="O5169" s="1">
        <v>43354</v>
      </c>
      <c r="P5169" t="s">
        <v>41</v>
      </c>
      <c r="Q5169" t="s">
        <v>95</v>
      </c>
      <c r="R5169" t="str">
        <f>"7451019"</f>
        <v>7451019</v>
      </c>
      <c r="S5169" t="s">
        <v>1251</v>
      </c>
      <c r="T5169" t="s">
        <v>1245</v>
      </c>
      <c r="U5169" t="s">
        <v>1246</v>
      </c>
      <c r="V5169" t="s">
        <v>1130</v>
      </c>
      <c r="W5169" t="s">
        <v>44</v>
      </c>
      <c r="X5169" t="s">
        <v>45</v>
      </c>
      <c r="Y5169" s="1">
        <v>34676</v>
      </c>
      <c r="Z5169">
        <v>1</v>
      </c>
      <c r="AA5169" t="s">
        <v>1246</v>
      </c>
      <c r="AB5169" s="40" t="s">
        <v>1799</v>
      </c>
    </row>
    <row r="5170" spans="1:28" x14ac:dyDescent="0.25">
      <c r="A5170">
        <v>99915169</v>
      </c>
      <c r="B5170" t="s">
        <v>32</v>
      </c>
      <c r="C5170" t="s">
        <v>90</v>
      </c>
      <c r="D5170" t="s">
        <v>91</v>
      </c>
      <c r="G5170" t="s">
        <v>35</v>
      </c>
      <c r="H5170">
        <v>1</v>
      </c>
      <c r="I5170">
        <v>10602</v>
      </c>
      <c r="J5170" s="1">
        <v>43344</v>
      </c>
      <c r="K5170" t="s">
        <v>354</v>
      </c>
      <c r="L5170" t="s">
        <v>355</v>
      </c>
      <c r="M5170" t="s">
        <v>131</v>
      </c>
      <c r="N5170">
        <v>25</v>
      </c>
      <c r="O5170" s="1">
        <v>43344</v>
      </c>
      <c r="P5170" t="s">
        <v>41</v>
      </c>
      <c r="Q5170" t="s">
        <v>95</v>
      </c>
      <c r="R5170" t="str">
        <f>"7054161"</f>
        <v>7054161</v>
      </c>
      <c r="S5170" t="s">
        <v>861</v>
      </c>
      <c r="T5170" t="s">
        <v>354</v>
      </c>
      <c r="U5170" t="s">
        <v>355</v>
      </c>
      <c r="V5170" t="s">
        <v>131</v>
      </c>
      <c r="W5170" t="s">
        <v>44</v>
      </c>
      <c r="X5170" t="s">
        <v>45</v>
      </c>
      <c r="Y5170" s="1">
        <v>34524</v>
      </c>
      <c r="Z5170">
        <v>1</v>
      </c>
      <c r="AA5170" t="s">
        <v>355</v>
      </c>
      <c r="AB5170" s="40" t="s">
        <v>1799</v>
      </c>
    </row>
    <row r="5171" spans="1:28" x14ac:dyDescent="0.25">
      <c r="A5171">
        <v>99915170</v>
      </c>
      <c r="B5171" t="s">
        <v>32</v>
      </c>
      <c r="C5171" t="s">
        <v>90</v>
      </c>
      <c r="D5171" t="s">
        <v>91</v>
      </c>
      <c r="G5171" t="s">
        <v>35</v>
      </c>
      <c r="H5171">
        <v>1</v>
      </c>
      <c r="I5171">
        <v>13331</v>
      </c>
      <c r="J5171" s="1">
        <v>43344</v>
      </c>
      <c r="K5171" t="s">
        <v>354</v>
      </c>
      <c r="L5171" t="s">
        <v>355</v>
      </c>
      <c r="M5171" t="s">
        <v>131</v>
      </c>
      <c r="N5171">
        <v>25</v>
      </c>
      <c r="O5171" s="1">
        <v>43344</v>
      </c>
      <c r="P5171" t="s">
        <v>41</v>
      </c>
      <c r="Q5171" t="s">
        <v>95</v>
      </c>
      <c r="R5171" t="str">
        <f>"7054113"</f>
        <v>7054113</v>
      </c>
      <c r="S5171" t="s">
        <v>817</v>
      </c>
      <c r="T5171" t="s">
        <v>354</v>
      </c>
      <c r="U5171" t="s">
        <v>355</v>
      </c>
      <c r="V5171" t="s">
        <v>131</v>
      </c>
      <c r="W5171" t="s">
        <v>44</v>
      </c>
      <c r="X5171" t="s">
        <v>45</v>
      </c>
      <c r="Y5171" s="1">
        <v>34444</v>
      </c>
      <c r="Z5171">
        <v>1</v>
      </c>
      <c r="AA5171" t="s">
        <v>355</v>
      </c>
      <c r="AB5171" s="40" t="s">
        <v>1799</v>
      </c>
    </row>
    <row r="5172" spans="1:28" x14ac:dyDescent="0.25">
      <c r="A5172">
        <v>99915171</v>
      </c>
      <c r="B5172" t="s">
        <v>32</v>
      </c>
      <c r="C5172" t="s">
        <v>90</v>
      </c>
      <c r="D5172" t="s">
        <v>91</v>
      </c>
      <c r="G5172" t="s">
        <v>35</v>
      </c>
      <c r="H5172">
        <v>1</v>
      </c>
      <c r="K5172" t="s">
        <v>1043</v>
      </c>
      <c r="L5172" t="s">
        <v>1044</v>
      </c>
      <c r="M5172" t="s">
        <v>1041</v>
      </c>
      <c r="N5172">
        <v>25</v>
      </c>
      <c r="P5172" t="s">
        <v>41</v>
      </c>
      <c r="Q5172" t="s">
        <v>95</v>
      </c>
      <c r="R5172" t="str">
        <f>"7271009"</f>
        <v>7271009</v>
      </c>
      <c r="S5172" t="s">
        <v>1047</v>
      </c>
      <c r="T5172" t="s">
        <v>1043</v>
      </c>
      <c r="U5172" t="s">
        <v>1044</v>
      </c>
      <c r="V5172" t="s">
        <v>1041</v>
      </c>
      <c r="W5172" t="s">
        <v>44</v>
      </c>
      <c r="X5172" t="s">
        <v>45</v>
      </c>
      <c r="Y5172" s="1">
        <v>34365</v>
      </c>
      <c r="Z5172">
        <v>1</v>
      </c>
      <c r="AA5172" t="s">
        <v>1044</v>
      </c>
      <c r="AB5172" s="40" t="s">
        <v>1799</v>
      </c>
    </row>
    <row r="5173" spans="1:28" x14ac:dyDescent="0.25">
      <c r="A5173">
        <v>99915172</v>
      </c>
      <c r="B5173" t="s">
        <v>32</v>
      </c>
      <c r="C5173" t="s">
        <v>90</v>
      </c>
      <c r="D5173" t="s">
        <v>91</v>
      </c>
      <c r="G5173" t="s">
        <v>35</v>
      </c>
      <c r="H5173">
        <v>1</v>
      </c>
      <c r="I5173">
        <v>21600</v>
      </c>
      <c r="J5173" s="1">
        <v>43344</v>
      </c>
      <c r="K5173" t="s">
        <v>1483</v>
      </c>
      <c r="L5173" t="s">
        <v>1484</v>
      </c>
      <c r="M5173" t="s">
        <v>1270</v>
      </c>
      <c r="N5173">
        <v>25</v>
      </c>
      <c r="O5173" s="1">
        <v>43344</v>
      </c>
      <c r="P5173" t="s">
        <v>41</v>
      </c>
      <c r="Q5173" t="s">
        <v>95</v>
      </c>
      <c r="R5173" t="str">
        <f>"7441001"</f>
        <v>7441001</v>
      </c>
      <c r="S5173" t="s">
        <v>1485</v>
      </c>
      <c r="T5173" t="s">
        <v>1483</v>
      </c>
      <c r="U5173" t="s">
        <v>1484</v>
      </c>
      <c r="V5173" t="s">
        <v>1270</v>
      </c>
      <c r="W5173" t="s">
        <v>51</v>
      </c>
      <c r="X5173" t="s">
        <v>45</v>
      </c>
      <c r="Y5173" s="1">
        <v>34344</v>
      </c>
      <c r="Z5173">
        <v>1</v>
      </c>
      <c r="AA5173" t="s">
        <v>1484</v>
      </c>
      <c r="AB5173" s="40" t="s">
        <v>1799</v>
      </c>
    </row>
    <row r="5174" spans="1:28" x14ac:dyDescent="0.25">
      <c r="A5174">
        <v>99915173</v>
      </c>
      <c r="B5174" t="s">
        <v>32</v>
      </c>
      <c r="C5174" t="s">
        <v>90</v>
      </c>
      <c r="D5174" t="s">
        <v>91</v>
      </c>
      <c r="G5174" t="s">
        <v>35</v>
      </c>
      <c r="H5174">
        <v>1</v>
      </c>
      <c r="I5174" t="s">
        <v>874</v>
      </c>
      <c r="J5174" s="1">
        <v>43344</v>
      </c>
      <c r="K5174" t="s">
        <v>865</v>
      </c>
      <c r="L5174" t="s">
        <v>866</v>
      </c>
      <c r="M5174" t="s">
        <v>131</v>
      </c>
      <c r="N5174">
        <v>25</v>
      </c>
      <c r="O5174" s="1">
        <v>43344</v>
      </c>
      <c r="P5174" t="s">
        <v>41</v>
      </c>
      <c r="Q5174" t="s">
        <v>95</v>
      </c>
      <c r="R5174" t="str">
        <f>"7531011"</f>
        <v>7531011</v>
      </c>
      <c r="S5174" t="s">
        <v>875</v>
      </c>
      <c r="T5174" t="s">
        <v>865</v>
      </c>
      <c r="U5174" t="s">
        <v>866</v>
      </c>
      <c r="V5174" t="s">
        <v>131</v>
      </c>
      <c r="W5174" t="s">
        <v>44</v>
      </c>
      <c r="X5174" t="s">
        <v>45</v>
      </c>
      <c r="Y5174" s="1">
        <v>34335</v>
      </c>
      <c r="Z5174">
        <v>1</v>
      </c>
      <c r="AA5174" t="s">
        <v>866</v>
      </c>
      <c r="AB5174" s="40" t="s">
        <v>1799</v>
      </c>
    </row>
    <row r="5175" spans="1:28" x14ac:dyDescent="0.25">
      <c r="A5175">
        <v>99915174</v>
      </c>
      <c r="B5175" t="s">
        <v>32</v>
      </c>
      <c r="C5175" t="s">
        <v>90</v>
      </c>
      <c r="D5175" t="s">
        <v>91</v>
      </c>
      <c r="G5175" t="s">
        <v>35</v>
      </c>
      <c r="H5175">
        <v>1</v>
      </c>
      <c r="I5175" t="s">
        <v>895</v>
      </c>
      <c r="J5175" s="1">
        <v>43350</v>
      </c>
      <c r="K5175" t="s">
        <v>877</v>
      </c>
      <c r="L5175" t="s">
        <v>878</v>
      </c>
      <c r="M5175" t="s">
        <v>131</v>
      </c>
      <c r="N5175">
        <v>25</v>
      </c>
      <c r="O5175" s="1">
        <v>43350</v>
      </c>
      <c r="P5175" t="s">
        <v>41</v>
      </c>
      <c r="Q5175" t="s">
        <v>95</v>
      </c>
      <c r="R5175" t="str">
        <f>"7541031"</f>
        <v>7541031</v>
      </c>
      <c r="S5175" t="s">
        <v>896</v>
      </c>
      <c r="T5175" t="s">
        <v>877</v>
      </c>
      <c r="U5175" t="s">
        <v>878</v>
      </c>
      <c r="V5175" t="s">
        <v>131</v>
      </c>
      <c r="W5175" t="s">
        <v>44</v>
      </c>
      <c r="X5175" t="s">
        <v>45</v>
      </c>
      <c r="Y5175" s="1">
        <v>34270</v>
      </c>
      <c r="Z5175">
        <v>1</v>
      </c>
      <c r="AA5175" t="s">
        <v>878</v>
      </c>
      <c r="AB5175" s="40" t="s">
        <v>1799</v>
      </c>
    </row>
    <row r="5176" spans="1:28" x14ac:dyDescent="0.25">
      <c r="A5176">
        <v>99915175</v>
      </c>
      <c r="B5176" t="s">
        <v>32</v>
      </c>
      <c r="C5176" t="s">
        <v>90</v>
      </c>
      <c r="D5176" t="s">
        <v>91</v>
      </c>
      <c r="G5176" t="s">
        <v>35</v>
      </c>
      <c r="H5176">
        <v>1</v>
      </c>
      <c r="I5176">
        <v>16175</v>
      </c>
      <c r="J5176" s="1">
        <v>43353</v>
      </c>
      <c r="K5176" t="s">
        <v>877</v>
      </c>
      <c r="L5176" t="s">
        <v>878</v>
      </c>
      <c r="M5176" t="s">
        <v>131</v>
      </c>
      <c r="N5176">
        <v>25</v>
      </c>
      <c r="O5176" s="1">
        <v>43353</v>
      </c>
      <c r="P5176" t="s">
        <v>41</v>
      </c>
      <c r="Q5176" t="s">
        <v>95</v>
      </c>
      <c r="R5176" t="str">
        <f>"7541009"</f>
        <v>7541009</v>
      </c>
      <c r="S5176" t="s">
        <v>910</v>
      </c>
      <c r="T5176" t="s">
        <v>877</v>
      </c>
      <c r="U5176" t="s">
        <v>878</v>
      </c>
      <c r="V5176" t="s">
        <v>131</v>
      </c>
      <c r="W5176" t="s">
        <v>44</v>
      </c>
      <c r="X5176" t="s">
        <v>45</v>
      </c>
      <c r="Y5176" s="1">
        <v>34260</v>
      </c>
      <c r="Z5176">
        <v>1</v>
      </c>
      <c r="AA5176" t="s">
        <v>878</v>
      </c>
      <c r="AB5176" s="40" t="s">
        <v>1799</v>
      </c>
    </row>
    <row r="5177" spans="1:28" x14ac:dyDescent="0.25">
      <c r="A5177">
        <v>99915176</v>
      </c>
      <c r="B5177" t="s">
        <v>32</v>
      </c>
      <c r="C5177" t="s">
        <v>90</v>
      </c>
      <c r="D5177" t="s">
        <v>91</v>
      </c>
      <c r="G5177" t="s">
        <v>35</v>
      </c>
      <c r="H5177">
        <v>1</v>
      </c>
      <c r="K5177" t="s">
        <v>1708</v>
      </c>
      <c r="L5177" t="s">
        <v>1709</v>
      </c>
      <c r="M5177" t="s">
        <v>1705</v>
      </c>
      <c r="N5177">
        <v>25</v>
      </c>
      <c r="P5177" t="s">
        <v>41</v>
      </c>
      <c r="Q5177" t="s">
        <v>95</v>
      </c>
      <c r="R5177" t="str">
        <f>"7121023"</f>
        <v>7121023</v>
      </c>
      <c r="S5177" t="s">
        <v>1721</v>
      </c>
      <c r="T5177" t="s">
        <v>1708</v>
      </c>
      <c r="U5177" t="s">
        <v>1709</v>
      </c>
      <c r="V5177" t="s">
        <v>1705</v>
      </c>
      <c r="W5177" t="s">
        <v>44</v>
      </c>
      <c r="X5177" t="s">
        <v>45</v>
      </c>
      <c r="Y5177" s="1">
        <v>34111</v>
      </c>
      <c r="Z5177">
        <v>1</v>
      </c>
      <c r="AA5177" t="s">
        <v>1709</v>
      </c>
      <c r="AB5177" s="40" t="s">
        <v>1799</v>
      </c>
    </row>
    <row r="5178" spans="1:28" x14ac:dyDescent="0.25">
      <c r="A5178">
        <v>99915177</v>
      </c>
      <c r="B5178" t="s">
        <v>32</v>
      </c>
      <c r="C5178" t="s">
        <v>90</v>
      </c>
      <c r="D5178" t="s">
        <v>91</v>
      </c>
      <c r="G5178" t="s">
        <v>35</v>
      </c>
      <c r="H5178">
        <v>1</v>
      </c>
      <c r="I5178">
        <v>273</v>
      </c>
      <c r="J5178" s="1">
        <v>43344</v>
      </c>
      <c r="K5178" t="s">
        <v>268</v>
      </c>
      <c r="L5178" t="s">
        <v>269</v>
      </c>
      <c r="M5178" t="s">
        <v>131</v>
      </c>
      <c r="N5178">
        <v>25</v>
      </c>
      <c r="P5178" t="s">
        <v>41</v>
      </c>
      <c r="Q5178" t="s">
        <v>95</v>
      </c>
      <c r="R5178" t="str">
        <f>"7052147"</f>
        <v>7052147</v>
      </c>
      <c r="S5178" t="s">
        <v>710</v>
      </c>
      <c r="T5178" t="s">
        <v>268</v>
      </c>
      <c r="U5178" t="s">
        <v>269</v>
      </c>
      <c r="V5178" t="s">
        <v>131</v>
      </c>
      <c r="W5178" t="s">
        <v>44</v>
      </c>
      <c r="X5178" t="s">
        <v>45</v>
      </c>
      <c r="Y5178" s="1">
        <v>34025</v>
      </c>
      <c r="Z5178">
        <v>1</v>
      </c>
      <c r="AA5178" t="s">
        <v>269</v>
      </c>
      <c r="AB5178" s="40" t="s">
        <v>1799</v>
      </c>
    </row>
    <row r="5179" spans="1:28" x14ac:dyDescent="0.25">
      <c r="A5179">
        <v>99915178</v>
      </c>
      <c r="B5179" t="s">
        <v>32</v>
      </c>
      <c r="C5179" t="s">
        <v>90</v>
      </c>
      <c r="D5179" t="s">
        <v>91</v>
      </c>
      <c r="G5179" t="s">
        <v>35</v>
      </c>
      <c r="H5179">
        <v>1</v>
      </c>
      <c r="I5179">
        <v>4343</v>
      </c>
      <c r="J5179" s="1">
        <v>43346</v>
      </c>
      <c r="K5179" t="s">
        <v>1245</v>
      </c>
      <c r="L5179" t="s">
        <v>1246</v>
      </c>
      <c r="M5179" t="s">
        <v>1130</v>
      </c>
      <c r="N5179">
        <v>25</v>
      </c>
      <c r="O5179" s="1">
        <v>43346</v>
      </c>
      <c r="P5179" t="s">
        <v>41</v>
      </c>
      <c r="Q5179" t="s">
        <v>95</v>
      </c>
      <c r="R5179" t="str">
        <f>"7451005"</f>
        <v>7451005</v>
      </c>
      <c r="S5179" t="s">
        <v>1254</v>
      </c>
      <c r="T5179" t="s">
        <v>1245</v>
      </c>
      <c r="U5179" t="s">
        <v>1246</v>
      </c>
      <c r="V5179" t="s">
        <v>1130</v>
      </c>
      <c r="W5179" t="s">
        <v>44</v>
      </c>
      <c r="X5179" t="s">
        <v>45</v>
      </c>
      <c r="Y5179" s="1">
        <v>34022</v>
      </c>
      <c r="Z5179">
        <v>1</v>
      </c>
      <c r="AA5179" t="s">
        <v>1246</v>
      </c>
      <c r="AB5179" s="40" t="s">
        <v>1799</v>
      </c>
    </row>
    <row r="5180" spans="1:28" x14ac:dyDescent="0.25">
      <c r="A5180">
        <v>99915179</v>
      </c>
      <c r="B5180" t="s">
        <v>32</v>
      </c>
      <c r="C5180" t="s">
        <v>90</v>
      </c>
      <c r="D5180" t="s">
        <v>91</v>
      </c>
      <c r="G5180" t="s">
        <v>35</v>
      </c>
      <c r="H5180">
        <v>1</v>
      </c>
      <c r="I5180" t="s">
        <v>1520</v>
      </c>
      <c r="J5180" s="1">
        <v>43385</v>
      </c>
      <c r="K5180" t="s">
        <v>667</v>
      </c>
      <c r="L5180" t="s">
        <v>669</v>
      </c>
      <c r="M5180" t="s">
        <v>670</v>
      </c>
      <c r="N5180">
        <v>25</v>
      </c>
      <c r="O5180" s="1">
        <v>43385</v>
      </c>
      <c r="P5180" t="s">
        <v>41</v>
      </c>
      <c r="Q5180" t="s">
        <v>95</v>
      </c>
      <c r="R5180" t="str">
        <f>"7501017"</f>
        <v>7501017</v>
      </c>
      <c r="S5180" t="s">
        <v>1521</v>
      </c>
      <c r="T5180" t="s">
        <v>667</v>
      </c>
      <c r="U5180" t="s">
        <v>669</v>
      </c>
      <c r="V5180" t="s">
        <v>670</v>
      </c>
      <c r="W5180" t="s">
        <v>44</v>
      </c>
      <c r="X5180" t="s">
        <v>45</v>
      </c>
      <c r="Y5180" s="1">
        <v>33946</v>
      </c>
      <c r="Z5180">
        <v>1</v>
      </c>
      <c r="AA5180" t="s">
        <v>669</v>
      </c>
      <c r="AB5180" s="40" t="s">
        <v>1799</v>
      </c>
    </row>
    <row r="5181" spans="1:28" x14ac:dyDescent="0.25">
      <c r="A5181">
        <v>99915180</v>
      </c>
      <c r="B5181" t="s">
        <v>32</v>
      </c>
      <c r="C5181" t="s">
        <v>90</v>
      </c>
      <c r="D5181" t="s">
        <v>91</v>
      </c>
      <c r="G5181" t="s">
        <v>48</v>
      </c>
      <c r="H5181">
        <v>1</v>
      </c>
      <c r="K5181" t="s">
        <v>268</v>
      </c>
      <c r="L5181" t="s">
        <v>269</v>
      </c>
      <c r="M5181" t="s">
        <v>131</v>
      </c>
      <c r="N5181">
        <v>25</v>
      </c>
      <c r="P5181" t="s">
        <v>41</v>
      </c>
      <c r="Q5181" t="s">
        <v>95</v>
      </c>
      <c r="R5181" t="str">
        <f>"7052011"</f>
        <v>7052011</v>
      </c>
      <c r="S5181" t="s">
        <v>666</v>
      </c>
      <c r="T5181" t="s">
        <v>268</v>
      </c>
      <c r="U5181" t="s">
        <v>269</v>
      </c>
      <c r="V5181" t="s">
        <v>131</v>
      </c>
      <c r="W5181" t="s">
        <v>51</v>
      </c>
      <c r="X5181" t="s">
        <v>45</v>
      </c>
      <c r="Y5181" s="1">
        <v>33931</v>
      </c>
      <c r="Z5181">
        <v>1</v>
      </c>
      <c r="AA5181" t="s">
        <v>269</v>
      </c>
      <c r="AB5181" s="40" t="s">
        <v>1799</v>
      </c>
    </row>
    <row r="5182" spans="1:28" x14ac:dyDescent="0.25">
      <c r="A5182">
        <v>99915181</v>
      </c>
      <c r="B5182" t="s">
        <v>32</v>
      </c>
      <c r="C5182" t="s">
        <v>90</v>
      </c>
      <c r="D5182" t="s">
        <v>91</v>
      </c>
      <c r="G5182" t="s">
        <v>35</v>
      </c>
      <c r="H5182">
        <v>1</v>
      </c>
      <c r="I5182" t="s">
        <v>609</v>
      </c>
      <c r="J5182" s="1">
        <v>43344</v>
      </c>
      <c r="K5182" t="s">
        <v>268</v>
      </c>
      <c r="L5182" t="s">
        <v>269</v>
      </c>
      <c r="M5182" t="s">
        <v>131</v>
      </c>
      <c r="N5182">
        <v>25</v>
      </c>
      <c r="O5182" s="1">
        <v>43344</v>
      </c>
      <c r="P5182" t="s">
        <v>41</v>
      </c>
      <c r="Q5182" t="s">
        <v>95</v>
      </c>
      <c r="R5182" t="str">
        <f>"7052049"</f>
        <v>7052049</v>
      </c>
      <c r="S5182" t="s">
        <v>610</v>
      </c>
      <c r="T5182" t="s">
        <v>268</v>
      </c>
      <c r="U5182" t="s">
        <v>269</v>
      </c>
      <c r="V5182" t="s">
        <v>131</v>
      </c>
      <c r="W5182" t="s">
        <v>44</v>
      </c>
      <c r="X5182" t="s">
        <v>45</v>
      </c>
      <c r="Y5182" s="1">
        <v>33900</v>
      </c>
      <c r="Z5182">
        <v>1</v>
      </c>
      <c r="AA5182" t="s">
        <v>269</v>
      </c>
      <c r="AB5182" s="40" t="s">
        <v>1799</v>
      </c>
    </row>
    <row r="5183" spans="1:28" x14ac:dyDescent="0.25">
      <c r="A5183">
        <v>99915182</v>
      </c>
      <c r="B5183" t="s">
        <v>32</v>
      </c>
      <c r="C5183" t="s">
        <v>90</v>
      </c>
      <c r="D5183" t="s">
        <v>91</v>
      </c>
      <c r="G5183" t="s">
        <v>35</v>
      </c>
      <c r="H5183">
        <v>1</v>
      </c>
      <c r="I5183">
        <v>5529</v>
      </c>
      <c r="J5183" s="1">
        <v>43344</v>
      </c>
      <c r="K5183" t="s">
        <v>1631</v>
      </c>
      <c r="L5183" t="s">
        <v>1632</v>
      </c>
      <c r="M5183" t="s">
        <v>1592</v>
      </c>
      <c r="N5183">
        <v>25</v>
      </c>
      <c r="O5183" s="1">
        <v>43344</v>
      </c>
      <c r="P5183" t="s">
        <v>41</v>
      </c>
      <c r="Q5183" t="s">
        <v>95</v>
      </c>
      <c r="R5183" t="str">
        <f>"7021017"</f>
        <v>7021017</v>
      </c>
      <c r="S5183" t="s">
        <v>1642</v>
      </c>
      <c r="T5183" t="s">
        <v>1631</v>
      </c>
      <c r="U5183" t="s">
        <v>1632</v>
      </c>
      <c r="V5183" t="s">
        <v>1592</v>
      </c>
      <c r="W5183" t="s">
        <v>51</v>
      </c>
      <c r="X5183" t="s">
        <v>45</v>
      </c>
      <c r="Y5183" s="1">
        <v>33829</v>
      </c>
      <c r="Z5183">
        <v>1</v>
      </c>
      <c r="AA5183" t="s">
        <v>1632</v>
      </c>
      <c r="AB5183" s="40" t="s">
        <v>1799</v>
      </c>
    </row>
    <row r="5184" spans="1:28" x14ac:dyDescent="0.25">
      <c r="A5184">
        <v>99915183</v>
      </c>
      <c r="B5184" t="s">
        <v>32</v>
      </c>
      <c r="C5184" t="s">
        <v>90</v>
      </c>
      <c r="D5184" t="s">
        <v>91</v>
      </c>
      <c r="G5184" t="s">
        <v>35</v>
      </c>
      <c r="H5184">
        <v>1</v>
      </c>
      <c r="K5184" t="s">
        <v>1221</v>
      </c>
      <c r="L5184" t="s">
        <v>1222</v>
      </c>
      <c r="M5184" t="s">
        <v>1130</v>
      </c>
      <c r="N5184">
        <v>25</v>
      </c>
      <c r="P5184" t="s">
        <v>41</v>
      </c>
      <c r="Q5184" t="s">
        <v>95</v>
      </c>
      <c r="R5184" t="str">
        <f>"7351019"</f>
        <v>7351019</v>
      </c>
      <c r="S5184" t="s">
        <v>1236</v>
      </c>
      <c r="T5184" t="s">
        <v>1221</v>
      </c>
      <c r="U5184" t="s">
        <v>1222</v>
      </c>
      <c r="V5184" t="s">
        <v>1130</v>
      </c>
      <c r="W5184" t="s">
        <v>51</v>
      </c>
      <c r="X5184" t="s">
        <v>45</v>
      </c>
      <c r="Y5184" s="1">
        <v>33800</v>
      </c>
      <c r="Z5184">
        <v>1</v>
      </c>
      <c r="AA5184" t="s">
        <v>1222</v>
      </c>
      <c r="AB5184" s="40" t="s">
        <v>1799</v>
      </c>
    </row>
    <row r="5185" spans="1:28" x14ac:dyDescent="0.25">
      <c r="A5185">
        <v>99915184</v>
      </c>
      <c r="B5185" t="s">
        <v>32</v>
      </c>
      <c r="C5185" t="s">
        <v>90</v>
      </c>
      <c r="D5185" t="s">
        <v>91</v>
      </c>
      <c r="G5185" t="s">
        <v>35</v>
      </c>
      <c r="H5185">
        <v>1</v>
      </c>
      <c r="J5185" s="1">
        <v>43344</v>
      </c>
      <c r="K5185" t="s">
        <v>354</v>
      </c>
      <c r="L5185" t="s">
        <v>355</v>
      </c>
      <c r="M5185" t="s">
        <v>131</v>
      </c>
      <c r="N5185">
        <v>25</v>
      </c>
      <c r="O5185" s="1">
        <v>43344</v>
      </c>
      <c r="P5185" t="s">
        <v>41</v>
      </c>
      <c r="Q5185" t="s">
        <v>95</v>
      </c>
      <c r="R5185" t="str">
        <f>"7054129"</f>
        <v>7054129</v>
      </c>
      <c r="S5185" t="s">
        <v>784</v>
      </c>
      <c r="T5185" t="s">
        <v>354</v>
      </c>
      <c r="U5185" t="s">
        <v>355</v>
      </c>
      <c r="V5185" t="s">
        <v>131</v>
      </c>
      <c r="W5185" t="s">
        <v>51</v>
      </c>
      <c r="X5185" t="s">
        <v>45</v>
      </c>
      <c r="Y5185" s="1">
        <v>33787</v>
      </c>
      <c r="Z5185">
        <v>1</v>
      </c>
      <c r="AA5185" t="s">
        <v>355</v>
      </c>
      <c r="AB5185" s="40" t="s">
        <v>1799</v>
      </c>
    </row>
    <row r="5186" spans="1:28" x14ac:dyDescent="0.25">
      <c r="A5186">
        <v>99915185</v>
      </c>
      <c r="B5186" t="s">
        <v>32</v>
      </c>
      <c r="C5186" t="s">
        <v>90</v>
      </c>
      <c r="D5186" t="s">
        <v>91</v>
      </c>
      <c r="G5186" t="s">
        <v>35</v>
      </c>
      <c r="H5186">
        <v>1</v>
      </c>
      <c r="K5186" t="s">
        <v>107</v>
      </c>
      <c r="L5186" t="s">
        <v>108</v>
      </c>
      <c r="M5186" t="s">
        <v>39</v>
      </c>
      <c r="N5186">
        <v>25</v>
      </c>
      <c r="P5186" t="s">
        <v>41</v>
      </c>
      <c r="Q5186" t="s">
        <v>95</v>
      </c>
      <c r="R5186" t="str">
        <f>"7211005"</f>
        <v>7211005</v>
      </c>
      <c r="S5186" t="s">
        <v>109</v>
      </c>
      <c r="T5186" t="s">
        <v>107</v>
      </c>
      <c r="U5186" t="s">
        <v>108</v>
      </c>
      <c r="V5186" t="s">
        <v>39</v>
      </c>
      <c r="W5186" t="s">
        <v>51</v>
      </c>
      <c r="X5186" t="s">
        <v>45</v>
      </c>
      <c r="Y5186" s="1">
        <v>33773</v>
      </c>
      <c r="Z5186">
        <v>1</v>
      </c>
      <c r="AA5186" t="s">
        <v>108</v>
      </c>
      <c r="AB5186" s="40" t="s">
        <v>1799</v>
      </c>
    </row>
    <row r="5187" spans="1:28" x14ac:dyDescent="0.25">
      <c r="A5187">
        <v>99915186</v>
      </c>
      <c r="B5187" t="s">
        <v>32</v>
      </c>
      <c r="C5187" t="s">
        <v>90</v>
      </c>
      <c r="D5187" t="s">
        <v>91</v>
      </c>
      <c r="G5187" t="s">
        <v>35</v>
      </c>
      <c r="H5187">
        <v>1</v>
      </c>
      <c r="I5187" t="s">
        <v>1094</v>
      </c>
      <c r="J5187" s="1">
        <v>43344</v>
      </c>
      <c r="K5187" t="s">
        <v>1081</v>
      </c>
      <c r="L5187" t="s">
        <v>1082</v>
      </c>
      <c r="M5187" t="s">
        <v>1053</v>
      </c>
      <c r="N5187">
        <v>25</v>
      </c>
      <c r="O5187" s="1">
        <v>43344</v>
      </c>
      <c r="P5187" t="s">
        <v>41</v>
      </c>
      <c r="Q5187" t="s">
        <v>95</v>
      </c>
      <c r="R5187" t="str">
        <f>"7201007"</f>
        <v>7201007</v>
      </c>
      <c r="S5187" t="s">
        <v>1095</v>
      </c>
      <c r="T5187" t="s">
        <v>1081</v>
      </c>
      <c r="U5187" t="s">
        <v>1082</v>
      </c>
      <c r="V5187" t="s">
        <v>1053</v>
      </c>
      <c r="W5187" t="s">
        <v>51</v>
      </c>
      <c r="X5187" t="s">
        <v>45</v>
      </c>
      <c r="Y5187" s="1">
        <v>33753</v>
      </c>
      <c r="Z5187">
        <v>1</v>
      </c>
      <c r="AA5187" t="s">
        <v>1082</v>
      </c>
      <c r="AB5187" s="40" t="s">
        <v>1799</v>
      </c>
    </row>
    <row r="5188" spans="1:28" x14ac:dyDescent="0.25">
      <c r="A5188">
        <v>99915187</v>
      </c>
      <c r="B5188" t="s">
        <v>32</v>
      </c>
      <c r="C5188" t="s">
        <v>90</v>
      </c>
      <c r="D5188" t="s">
        <v>91</v>
      </c>
      <c r="G5188" t="s">
        <v>35</v>
      </c>
      <c r="H5188">
        <v>1</v>
      </c>
      <c r="I5188" t="s">
        <v>1105</v>
      </c>
      <c r="J5188" s="1">
        <v>43344</v>
      </c>
      <c r="K5188" t="s">
        <v>1081</v>
      </c>
      <c r="L5188" t="s">
        <v>1082</v>
      </c>
      <c r="M5188" t="s">
        <v>1053</v>
      </c>
      <c r="N5188">
        <v>25</v>
      </c>
      <c r="O5188" s="1">
        <v>43344</v>
      </c>
      <c r="P5188" t="s">
        <v>41</v>
      </c>
      <c r="Q5188" t="s">
        <v>95</v>
      </c>
      <c r="R5188" t="str">
        <f>"7201005"</f>
        <v>7201005</v>
      </c>
      <c r="S5188" t="s">
        <v>1106</v>
      </c>
      <c r="T5188" t="s">
        <v>1081</v>
      </c>
      <c r="U5188" t="s">
        <v>1082</v>
      </c>
      <c r="V5188" t="s">
        <v>1053</v>
      </c>
      <c r="W5188" t="s">
        <v>44</v>
      </c>
      <c r="X5188" t="s">
        <v>45</v>
      </c>
      <c r="Y5188" s="1">
        <v>33706</v>
      </c>
      <c r="Z5188">
        <v>1</v>
      </c>
      <c r="AA5188" t="s">
        <v>1082</v>
      </c>
      <c r="AB5188" s="40" t="s">
        <v>1799</v>
      </c>
    </row>
    <row r="5189" spans="1:28" x14ac:dyDescent="0.25">
      <c r="A5189">
        <v>99915188</v>
      </c>
      <c r="B5189" t="s">
        <v>32</v>
      </c>
      <c r="C5189" t="s">
        <v>90</v>
      </c>
      <c r="D5189" t="s">
        <v>91</v>
      </c>
      <c r="G5189" t="s">
        <v>35</v>
      </c>
      <c r="H5189">
        <v>1</v>
      </c>
      <c r="I5189">
        <v>10769</v>
      </c>
      <c r="J5189" s="1">
        <v>43344</v>
      </c>
      <c r="K5189" t="s">
        <v>1461</v>
      </c>
      <c r="L5189" t="s">
        <v>1462</v>
      </c>
      <c r="M5189" t="s">
        <v>1270</v>
      </c>
      <c r="N5189">
        <v>25</v>
      </c>
      <c r="O5189" s="1">
        <v>43344</v>
      </c>
      <c r="P5189" t="s">
        <v>41</v>
      </c>
      <c r="Q5189" t="s">
        <v>95</v>
      </c>
      <c r="R5189" t="str">
        <f>"7381001"</f>
        <v>7381001</v>
      </c>
      <c r="S5189" t="s">
        <v>1464</v>
      </c>
      <c r="T5189" t="s">
        <v>1461</v>
      </c>
      <c r="U5189" t="s">
        <v>1462</v>
      </c>
      <c r="V5189" t="s">
        <v>1270</v>
      </c>
      <c r="W5189" t="s">
        <v>51</v>
      </c>
      <c r="X5189" t="s">
        <v>45</v>
      </c>
      <c r="Y5189" s="1">
        <v>33690</v>
      </c>
      <c r="Z5189">
        <v>1</v>
      </c>
      <c r="AA5189" t="s">
        <v>1462</v>
      </c>
      <c r="AB5189" s="40" t="s">
        <v>1799</v>
      </c>
    </row>
    <row r="5190" spans="1:28" x14ac:dyDescent="0.25">
      <c r="A5190">
        <v>99915189</v>
      </c>
      <c r="B5190" t="s">
        <v>32</v>
      </c>
      <c r="C5190" t="s">
        <v>90</v>
      </c>
      <c r="D5190" t="s">
        <v>91</v>
      </c>
      <c r="G5190" t="s">
        <v>35</v>
      </c>
      <c r="H5190">
        <v>1</v>
      </c>
      <c r="I5190">
        <v>8878</v>
      </c>
      <c r="J5190" s="1">
        <v>43344</v>
      </c>
      <c r="K5190" t="s">
        <v>354</v>
      </c>
      <c r="L5190" t="s">
        <v>355</v>
      </c>
      <c r="M5190" t="s">
        <v>131</v>
      </c>
      <c r="N5190">
        <v>25</v>
      </c>
      <c r="O5190" s="1">
        <v>43344</v>
      </c>
      <c r="P5190" t="s">
        <v>41</v>
      </c>
      <c r="Q5190" t="s">
        <v>95</v>
      </c>
      <c r="R5190" t="str">
        <f>"7054069"</f>
        <v>7054069</v>
      </c>
      <c r="S5190" t="s">
        <v>822</v>
      </c>
      <c r="T5190" t="s">
        <v>354</v>
      </c>
      <c r="U5190" t="s">
        <v>355</v>
      </c>
      <c r="V5190" t="s">
        <v>131</v>
      </c>
      <c r="W5190" t="s">
        <v>55</v>
      </c>
      <c r="X5190" t="s">
        <v>45</v>
      </c>
      <c r="Y5190" s="1">
        <v>33560</v>
      </c>
      <c r="Z5190">
        <v>1</v>
      </c>
      <c r="AA5190" t="s">
        <v>355</v>
      </c>
      <c r="AB5190" s="40" t="s">
        <v>1799</v>
      </c>
    </row>
    <row r="5191" spans="1:28" x14ac:dyDescent="0.25">
      <c r="A5191">
        <v>99915190</v>
      </c>
      <c r="B5191" t="s">
        <v>32</v>
      </c>
      <c r="C5191" t="s">
        <v>90</v>
      </c>
      <c r="D5191" t="s">
        <v>91</v>
      </c>
      <c r="G5191" t="s">
        <v>35</v>
      </c>
      <c r="H5191">
        <v>1</v>
      </c>
      <c r="I5191" t="s">
        <v>1107</v>
      </c>
      <c r="J5191" s="1">
        <v>43369</v>
      </c>
      <c r="K5191" t="s">
        <v>1081</v>
      </c>
      <c r="L5191" t="s">
        <v>1082</v>
      </c>
      <c r="M5191" t="s">
        <v>1053</v>
      </c>
      <c r="N5191">
        <v>25</v>
      </c>
      <c r="O5191" s="1">
        <v>43369</v>
      </c>
      <c r="P5191" t="s">
        <v>41</v>
      </c>
      <c r="Q5191" t="s">
        <v>95</v>
      </c>
      <c r="R5191" t="str">
        <f>"7201023"</f>
        <v>7201023</v>
      </c>
      <c r="S5191" t="s">
        <v>1097</v>
      </c>
      <c r="T5191" t="s">
        <v>1081</v>
      </c>
      <c r="U5191" t="s">
        <v>1082</v>
      </c>
      <c r="V5191" t="s">
        <v>1053</v>
      </c>
      <c r="W5191" t="s">
        <v>44</v>
      </c>
      <c r="X5191" t="s">
        <v>45</v>
      </c>
      <c r="Y5191" s="1">
        <v>33559</v>
      </c>
      <c r="Z5191">
        <v>1</v>
      </c>
      <c r="AA5191" t="s">
        <v>1082</v>
      </c>
      <c r="AB5191" s="40" t="s">
        <v>1799</v>
      </c>
    </row>
    <row r="5192" spans="1:28" x14ac:dyDescent="0.25">
      <c r="A5192">
        <v>99915191</v>
      </c>
      <c r="B5192" t="s">
        <v>32</v>
      </c>
      <c r="C5192" t="s">
        <v>90</v>
      </c>
      <c r="D5192" t="s">
        <v>91</v>
      </c>
      <c r="G5192" t="s">
        <v>35</v>
      </c>
      <c r="H5192">
        <v>1</v>
      </c>
      <c r="I5192">
        <v>11270</v>
      </c>
      <c r="J5192" s="1">
        <v>43392</v>
      </c>
      <c r="K5192" t="s">
        <v>354</v>
      </c>
      <c r="L5192" t="s">
        <v>355</v>
      </c>
      <c r="M5192" t="s">
        <v>131</v>
      </c>
      <c r="N5192">
        <v>25</v>
      </c>
      <c r="O5192" s="1">
        <v>43392</v>
      </c>
      <c r="P5192" t="s">
        <v>41</v>
      </c>
      <c r="Q5192" t="s">
        <v>95</v>
      </c>
      <c r="R5192" t="str">
        <f>"7054147"</f>
        <v>7054147</v>
      </c>
      <c r="S5192" t="s">
        <v>821</v>
      </c>
      <c r="T5192" t="s">
        <v>354</v>
      </c>
      <c r="U5192" t="s">
        <v>355</v>
      </c>
      <c r="V5192" t="s">
        <v>131</v>
      </c>
      <c r="W5192" t="s">
        <v>51</v>
      </c>
      <c r="X5192" t="s">
        <v>45</v>
      </c>
      <c r="Y5192" s="1">
        <v>33556</v>
      </c>
      <c r="Z5192">
        <v>1</v>
      </c>
      <c r="AA5192" t="s">
        <v>355</v>
      </c>
      <c r="AB5192" s="40" t="s">
        <v>1799</v>
      </c>
    </row>
    <row r="5193" spans="1:28" x14ac:dyDescent="0.25">
      <c r="A5193">
        <v>99915192</v>
      </c>
      <c r="B5193" t="s">
        <v>32</v>
      </c>
      <c r="C5193" t="s">
        <v>90</v>
      </c>
      <c r="D5193" t="s">
        <v>91</v>
      </c>
      <c r="G5193" t="s">
        <v>35</v>
      </c>
      <c r="H5193">
        <v>1</v>
      </c>
      <c r="I5193">
        <v>6121</v>
      </c>
      <c r="J5193" s="1">
        <v>43398</v>
      </c>
      <c r="K5193" t="s">
        <v>1245</v>
      </c>
      <c r="L5193" t="s">
        <v>1246</v>
      </c>
      <c r="M5193" t="s">
        <v>1130</v>
      </c>
      <c r="N5193">
        <v>25</v>
      </c>
      <c r="O5193" s="1">
        <v>43398</v>
      </c>
      <c r="P5193" t="s">
        <v>41</v>
      </c>
      <c r="Q5193" t="s">
        <v>95</v>
      </c>
      <c r="R5193" t="str">
        <f>"7451023"</f>
        <v>7451023</v>
      </c>
      <c r="S5193" t="s">
        <v>1255</v>
      </c>
      <c r="T5193" t="s">
        <v>1245</v>
      </c>
      <c r="U5193" t="s">
        <v>1246</v>
      </c>
      <c r="V5193" t="s">
        <v>1130</v>
      </c>
      <c r="W5193" t="s">
        <v>44</v>
      </c>
      <c r="X5193" t="s">
        <v>45</v>
      </c>
      <c r="Y5193" s="1">
        <v>33546</v>
      </c>
      <c r="Z5193">
        <v>1</v>
      </c>
      <c r="AA5193" t="s">
        <v>1246</v>
      </c>
      <c r="AB5193" s="40" t="s">
        <v>1799</v>
      </c>
    </row>
    <row r="5194" spans="1:28" x14ac:dyDescent="0.25">
      <c r="A5194">
        <v>99915193</v>
      </c>
      <c r="B5194" t="s">
        <v>32</v>
      </c>
      <c r="C5194" t="s">
        <v>90</v>
      </c>
      <c r="D5194" t="s">
        <v>91</v>
      </c>
      <c r="G5194" t="s">
        <v>35</v>
      </c>
      <c r="H5194">
        <v>1</v>
      </c>
      <c r="I5194">
        <v>57</v>
      </c>
      <c r="J5194" s="1">
        <v>43347</v>
      </c>
      <c r="K5194" t="s">
        <v>963</v>
      </c>
      <c r="L5194" t="s">
        <v>964</v>
      </c>
      <c r="M5194" t="s">
        <v>938</v>
      </c>
      <c r="N5194">
        <v>25</v>
      </c>
      <c r="O5194" s="1">
        <v>43347</v>
      </c>
      <c r="P5194" t="s">
        <v>41</v>
      </c>
      <c r="Q5194" t="s">
        <v>95</v>
      </c>
      <c r="R5194" t="str">
        <f>"7061013"</f>
        <v>7061013</v>
      </c>
      <c r="S5194" t="s">
        <v>998</v>
      </c>
      <c r="T5194" t="s">
        <v>963</v>
      </c>
      <c r="U5194" t="s">
        <v>964</v>
      </c>
      <c r="V5194" t="s">
        <v>938</v>
      </c>
      <c r="W5194" t="s">
        <v>44</v>
      </c>
      <c r="X5194" t="s">
        <v>45</v>
      </c>
      <c r="Y5194" s="1">
        <v>33485</v>
      </c>
      <c r="Z5194">
        <v>1</v>
      </c>
      <c r="AA5194" t="s">
        <v>964</v>
      </c>
      <c r="AB5194" s="40" t="s">
        <v>1799</v>
      </c>
    </row>
    <row r="5195" spans="1:28" x14ac:dyDescent="0.25">
      <c r="A5195">
        <v>99915194</v>
      </c>
      <c r="B5195" t="s">
        <v>32</v>
      </c>
      <c r="C5195" t="s">
        <v>90</v>
      </c>
      <c r="D5195" t="s">
        <v>91</v>
      </c>
      <c r="G5195" t="s">
        <v>35</v>
      </c>
      <c r="H5195">
        <v>1</v>
      </c>
      <c r="I5195" t="s">
        <v>870</v>
      </c>
      <c r="J5195" s="1">
        <v>43344</v>
      </c>
      <c r="K5195" t="s">
        <v>865</v>
      </c>
      <c r="L5195" t="s">
        <v>866</v>
      </c>
      <c r="M5195" t="s">
        <v>131</v>
      </c>
      <c r="N5195">
        <v>25</v>
      </c>
      <c r="O5195" s="1">
        <v>43344</v>
      </c>
      <c r="P5195" t="s">
        <v>41</v>
      </c>
      <c r="Q5195" t="s">
        <v>95</v>
      </c>
      <c r="R5195" t="str">
        <f>"7531015"</f>
        <v>7531015</v>
      </c>
      <c r="S5195" t="s">
        <v>871</v>
      </c>
      <c r="T5195" t="s">
        <v>865</v>
      </c>
      <c r="U5195" t="s">
        <v>866</v>
      </c>
      <c r="V5195" t="s">
        <v>131</v>
      </c>
      <c r="W5195" t="s">
        <v>44</v>
      </c>
      <c r="X5195" t="s">
        <v>45</v>
      </c>
      <c r="Y5195" s="1">
        <v>33474</v>
      </c>
      <c r="Z5195">
        <v>1</v>
      </c>
      <c r="AA5195" t="s">
        <v>866</v>
      </c>
      <c r="AB5195" s="40" t="s">
        <v>1799</v>
      </c>
    </row>
    <row r="5196" spans="1:28" x14ac:dyDescent="0.25">
      <c r="A5196">
        <v>99915195</v>
      </c>
      <c r="B5196" t="s">
        <v>32</v>
      </c>
      <c r="C5196" t="s">
        <v>90</v>
      </c>
      <c r="D5196" t="s">
        <v>91</v>
      </c>
      <c r="G5196" t="s">
        <v>35</v>
      </c>
      <c r="H5196">
        <v>1</v>
      </c>
      <c r="I5196">
        <v>20492</v>
      </c>
      <c r="J5196" s="1">
        <v>43344</v>
      </c>
      <c r="K5196" t="s">
        <v>354</v>
      </c>
      <c r="L5196" t="s">
        <v>355</v>
      </c>
      <c r="M5196" t="s">
        <v>131</v>
      </c>
      <c r="N5196">
        <v>25</v>
      </c>
      <c r="O5196" s="1">
        <v>43344</v>
      </c>
      <c r="P5196" t="s">
        <v>41</v>
      </c>
      <c r="Q5196" t="s">
        <v>95</v>
      </c>
      <c r="R5196" t="str">
        <f>"7054085"</f>
        <v>7054085</v>
      </c>
      <c r="S5196" t="s">
        <v>845</v>
      </c>
      <c r="T5196" t="s">
        <v>354</v>
      </c>
      <c r="U5196" t="s">
        <v>355</v>
      </c>
      <c r="V5196" t="s">
        <v>131</v>
      </c>
      <c r="W5196" t="s">
        <v>51</v>
      </c>
      <c r="X5196" t="s">
        <v>45</v>
      </c>
      <c r="Y5196" s="1">
        <v>33462</v>
      </c>
      <c r="Z5196">
        <v>1</v>
      </c>
      <c r="AA5196" t="s">
        <v>355</v>
      </c>
      <c r="AB5196" s="40" t="s">
        <v>1799</v>
      </c>
    </row>
    <row r="5197" spans="1:28" x14ac:dyDescent="0.25">
      <c r="A5197">
        <v>99915196</v>
      </c>
      <c r="B5197" t="s">
        <v>32</v>
      </c>
      <c r="C5197" t="s">
        <v>90</v>
      </c>
      <c r="D5197" t="s">
        <v>91</v>
      </c>
      <c r="G5197" t="s">
        <v>35</v>
      </c>
      <c r="H5197">
        <v>1</v>
      </c>
      <c r="I5197" t="s">
        <v>1033</v>
      </c>
      <c r="J5197" s="1">
        <v>43354</v>
      </c>
      <c r="K5197" t="s">
        <v>1029</v>
      </c>
      <c r="L5197" t="s">
        <v>1030</v>
      </c>
      <c r="M5197" t="s">
        <v>938</v>
      </c>
      <c r="N5197">
        <v>25</v>
      </c>
      <c r="O5197" s="1">
        <v>43354</v>
      </c>
      <c r="P5197" t="s">
        <v>41</v>
      </c>
      <c r="Q5197" t="s">
        <v>95</v>
      </c>
      <c r="R5197" t="str">
        <f>"7151003"</f>
        <v>7151003</v>
      </c>
      <c r="S5197" t="s">
        <v>1034</v>
      </c>
      <c r="T5197" t="s">
        <v>1029</v>
      </c>
      <c r="U5197" t="s">
        <v>1030</v>
      </c>
      <c r="V5197" t="s">
        <v>938</v>
      </c>
      <c r="W5197" t="s">
        <v>44</v>
      </c>
      <c r="X5197" t="s">
        <v>45</v>
      </c>
      <c r="Y5197" s="1">
        <v>33448</v>
      </c>
      <c r="Z5197">
        <v>1</v>
      </c>
      <c r="AA5197" t="s">
        <v>1030</v>
      </c>
      <c r="AB5197" s="40" t="s">
        <v>1799</v>
      </c>
    </row>
    <row r="5198" spans="1:28" x14ac:dyDescent="0.25">
      <c r="A5198">
        <v>99915197</v>
      </c>
      <c r="B5198" t="s">
        <v>32</v>
      </c>
      <c r="C5198" t="s">
        <v>90</v>
      </c>
      <c r="D5198" t="s">
        <v>91</v>
      </c>
      <c r="G5198" t="s">
        <v>35</v>
      </c>
      <c r="H5198">
        <v>1</v>
      </c>
      <c r="I5198" t="s">
        <v>1452</v>
      </c>
      <c r="J5198" s="1">
        <v>43362</v>
      </c>
      <c r="K5198" t="s">
        <v>1426</v>
      </c>
      <c r="L5198" t="s">
        <v>1427</v>
      </c>
      <c r="M5198" t="s">
        <v>1270</v>
      </c>
      <c r="N5198">
        <v>25</v>
      </c>
      <c r="O5198" s="1">
        <v>43362</v>
      </c>
      <c r="P5198" t="s">
        <v>41</v>
      </c>
      <c r="Q5198" t="s">
        <v>95</v>
      </c>
      <c r="R5198" t="str">
        <f>"7192057"</f>
        <v>7192057</v>
      </c>
      <c r="S5198" t="s">
        <v>1453</v>
      </c>
      <c r="T5198" t="s">
        <v>1426</v>
      </c>
      <c r="U5198" t="s">
        <v>1427</v>
      </c>
      <c r="V5198" t="s">
        <v>1270</v>
      </c>
      <c r="W5198" t="s">
        <v>44</v>
      </c>
      <c r="X5198" t="s">
        <v>45</v>
      </c>
      <c r="Y5198" s="1">
        <v>33417</v>
      </c>
      <c r="Z5198">
        <v>1</v>
      </c>
      <c r="AA5198" t="s">
        <v>1427</v>
      </c>
      <c r="AB5198" s="40" t="s">
        <v>1799</v>
      </c>
    </row>
    <row r="5199" spans="1:28" x14ac:dyDescent="0.25">
      <c r="A5199">
        <v>99915198</v>
      </c>
      <c r="B5199" t="s">
        <v>32</v>
      </c>
      <c r="C5199" t="s">
        <v>90</v>
      </c>
      <c r="D5199" t="s">
        <v>91</v>
      </c>
      <c r="G5199" t="s">
        <v>35</v>
      </c>
      <c r="H5199">
        <v>1</v>
      </c>
      <c r="I5199">
        <v>1</v>
      </c>
      <c r="J5199" s="1">
        <v>43344</v>
      </c>
      <c r="K5199" t="s">
        <v>268</v>
      </c>
      <c r="L5199" t="s">
        <v>269</v>
      </c>
      <c r="M5199" t="s">
        <v>131</v>
      </c>
      <c r="N5199">
        <v>25</v>
      </c>
      <c r="P5199" t="s">
        <v>41</v>
      </c>
      <c r="Q5199" t="s">
        <v>95</v>
      </c>
      <c r="R5199" t="str">
        <f>"7052147"</f>
        <v>7052147</v>
      </c>
      <c r="S5199" t="s">
        <v>710</v>
      </c>
      <c r="T5199" t="s">
        <v>268</v>
      </c>
      <c r="U5199" t="s">
        <v>269</v>
      </c>
      <c r="V5199" t="s">
        <v>131</v>
      </c>
      <c r="W5199" t="s">
        <v>51</v>
      </c>
      <c r="X5199" t="s">
        <v>45</v>
      </c>
      <c r="Y5199" s="1">
        <v>33415</v>
      </c>
      <c r="Z5199">
        <v>1</v>
      </c>
      <c r="AA5199" t="s">
        <v>269</v>
      </c>
      <c r="AB5199" s="40" t="s">
        <v>1799</v>
      </c>
    </row>
    <row r="5200" spans="1:28" x14ac:dyDescent="0.25">
      <c r="A5200">
        <v>99915199</v>
      </c>
      <c r="B5200" t="s">
        <v>32</v>
      </c>
      <c r="C5200" t="s">
        <v>90</v>
      </c>
      <c r="D5200" t="s">
        <v>91</v>
      </c>
      <c r="G5200" t="s">
        <v>35</v>
      </c>
      <c r="H5200">
        <v>1</v>
      </c>
      <c r="K5200" t="s">
        <v>1029</v>
      </c>
      <c r="L5200" t="s">
        <v>1030</v>
      </c>
      <c r="M5200" t="s">
        <v>938</v>
      </c>
      <c r="N5200">
        <v>25</v>
      </c>
      <c r="P5200" t="s">
        <v>41</v>
      </c>
      <c r="Q5200" t="s">
        <v>95</v>
      </c>
      <c r="R5200" t="str">
        <f>"7151005"</f>
        <v>7151005</v>
      </c>
      <c r="S5200" t="s">
        <v>1032</v>
      </c>
      <c r="T5200" t="s">
        <v>1029</v>
      </c>
      <c r="U5200" t="s">
        <v>1030</v>
      </c>
      <c r="V5200" t="s">
        <v>938</v>
      </c>
      <c r="W5200" t="s">
        <v>44</v>
      </c>
      <c r="X5200" t="s">
        <v>45</v>
      </c>
      <c r="Y5200" s="1">
        <v>33413</v>
      </c>
      <c r="Z5200">
        <v>1</v>
      </c>
      <c r="AA5200" t="s">
        <v>1030</v>
      </c>
      <c r="AB5200" s="40" t="s">
        <v>1799</v>
      </c>
    </row>
    <row r="5201" spans="1:28" x14ac:dyDescent="0.25">
      <c r="A5201">
        <v>99915200</v>
      </c>
      <c r="B5201" t="s">
        <v>32</v>
      </c>
      <c r="C5201" t="s">
        <v>90</v>
      </c>
      <c r="D5201" t="s">
        <v>91</v>
      </c>
      <c r="G5201" t="s">
        <v>35</v>
      </c>
      <c r="H5201">
        <v>1</v>
      </c>
      <c r="I5201" t="s">
        <v>523</v>
      </c>
      <c r="J5201" s="1">
        <v>43354</v>
      </c>
      <c r="K5201" t="s">
        <v>195</v>
      </c>
      <c r="L5201" t="s">
        <v>196</v>
      </c>
      <c r="M5201" t="s">
        <v>131</v>
      </c>
      <c r="N5201">
        <v>25</v>
      </c>
      <c r="O5201" s="1">
        <v>43354</v>
      </c>
      <c r="P5201" t="s">
        <v>41</v>
      </c>
      <c r="Q5201" t="s">
        <v>95</v>
      </c>
      <c r="R5201" t="str">
        <f>"7521143"</f>
        <v>7521143</v>
      </c>
      <c r="S5201" t="s">
        <v>524</v>
      </c>
      <c r="T5201" t="s">
        <v>195</v>
      </c>
      <c r="U5201" t="s">
        <v>196</v>
      </c>
      <c r="V5201" t="s">
        <v>131</v>
      </c>
      <c r="W5201" t="s">
        <v>51</v>
      </c>
      <c r="X5201" t="s">
        <v>45</v>
      </c>
      <c r="Y5201" s="1">
        <v>33392</v>
      </c>
      <c r="Z5201">
        <v>1</v>
      </c>
      <c r="AA5201" t="s">
        <v>196</v>
      </c>
      <c r="AB5201" s="40" t="s">
        <v>1799</v>
      </c>
    </row>
    <row r="5202" spans="1:28" x14ac:dyDescent="0.25">
      <c r="A5202">
        <v>99915201</v>
      </c>
      <c r="B5202" t="s">
        <v>32</v>
      </c>
      <c r="C5202" t="s">
        <v>90</v>
      </c>
      <c r="D5202" t="s">
        <v>91</v>
      </c>
      <c r="G5202" t="s">
        <v>35</v>
      </c>
      <c r="H5202">
        <v>1</v>
      </c>
      <c r="I5202" t="s">
        <v>548</v>
      </c>
      <c r="J5202" s="1">
        <v>42259</v>
      </c>
      <c r="K5202" t="s">
        <v>195</v>
      </c>
      <c r="L5202" t="s">
        <v>196</v>
      </c>
      <c r="M5202" t="s">
        <v>131</v>
      </c>
      <c r="N5202">
        <v>25</v>
      </c>
      <c r="O5202" s="1">
        <v>42259</v>
      </c>
      <c r="P5202" t="s">
        <v>41</v>
      </c>
      <c r="Q5202" t="s">
        <v>95</v>
      </c>
      <c r="R5202" t="str">
        <f>"7521143"</f>
        <v>7521143</v>
      </c>
      <c r="S5202" t="s">
        <v>524</v>
      </c>
      <c r="T5202" t="s">
        <v>195</v>
      </c>
      <c r="U5202" t="s">
        <v>196</v>
      </c>
      <c r="V5202" t="s">
        <v>131</v>
      </c>
      <c r="W5202" t="s">
        <v>51</v>
      </c>
      <c r="X5202" t="s">
        <v>45</v>
      </c>
      <c r="Y5202" s="1">
        <v>33381</v>
      </c>
      <c r="Z5202">
        <v>1</v>
      </c>
      <c r="AA5202" t="s">
        <v>196</v>
      </c>
      <c r="AB5202" s="40" t="s">
        <v>1799</v>
      </c>
    </row>
    <row r="5203" spans="1:28" x14ac:dyDescent="0.25">
      <c r="A5203">
        <v>99915202</v>
      </c>
      <c r="B5203" t="s">
        <v>32</v>
      </c>
      <c r="C5203" t="s">
        <v>90</v>
      </c>
      <c r="D5203" t="s">
        <v>91</v>
      </c>
      <c r="G5203" t="s">
        <v>35</v>
      </c>
      <c r="H5203">
        <v>1</v>
      </c>
      <c r="K5203" t="s">
        <v>1725</v>
      </c>
      <c r="L5203" t="s">
        <v>1726</v>
      </c>
      <c r="M5203" t="s">
        <v>1705</v>
      </c>
      <c r="N5203">
        <v>25</v>
      </c>
      <c r="P5203" t="s">
        <v>41</v>
      </c>
      <c r="Q5203" t="s">
        <v>95</v>
      </c>
      <c r="R5203" t="str">
        <f>"7461019"</f>
        <v>7461019</v>
      </c>
      <c r="S5203" t="s">
        <v>1737</v>
      </c>
      <c r="T5203" t="s">
        <v>1725</v>
      </c>
      <c r="U5203" t="s">
        <v>1726</v>
      </c>
      <c r="V5203" t="s">
        <v>1705</v>
      </c>
      <c r="W5203" t="s">
        <v>51</v>
      </c>
      <c r="X5203" t="s">
        <v>45</v>
      </c>
      <c r="Y5203" s="1">
        <v>33373</v>
      </c>
      <c r="Z5203">
        <v>1</v>
      </c>
      <c r="AA5203" t="s">
        <v>1726</v>
      </c>
      <c r="AB5203" s="40" t="s">
        <v>1799</v>
      </c>
    </row>
    <row r="5204" spans="1:28" x14ac:dyDescent="0.25">
      <c r="A5204">
        <v>99915203</v>
      </c>
      <c r="B5204" t="s">
        <v>32</v>
      </c>
      <c r="C5204" t="s">
        <v>90</v>
      </c>
      <c r="D5204" t="s">
        <v>91</v>
      </c>
      <c r="G5204" t="s">
        <v>35</v>
      </c>
      <c r="H5204">
        <v>1</v>
      </c>
      <c r="I5204">
        <v>13228</v>
      </c>
      <c r="J5204" s="1">
        <v>43344</v>
      </c>
      <c r="K5204" t="s">
        <v>354</v>
      </c>
      <c r="L5204" t="s">
        <v>355</v>
      </c>
      <c r="M5204" t="s">
        <v>131</v>
      </c>
      <c r="N5204">
        <v>25</v>
      </c>
      <c r="O5204" s="1">
        <v>43344</v>
      </c>
      <c r="P5204" t="s">
        <v>41</v>
      </c>
      <c r="Q5204" t="s">
        <v>95</v>
      </c>
      <c r="R5204" t="str">
        <f>"7054165"</f>
        <v>7054165</v>
      </c>
      <c r="S5204" t="s">
        <v>812</v>
      </c>
      <c r="T5204" t="s">
        <v>354</v>
      </c>
      <c r="U5204" t="s">
        <v>355</v>
      </c>
      <c r="V5204" t="s">
        <v>131</v>
      </c>
      <c r="W5204" t="s">
        <v>51</v>
      </c>
      <c r="X5204" t="s">
        <v>45</v>
      </c>
      <c r="Y5204" s="1">
        <v>33372</v>
      </c>
      <c r="Z5204">
        <v>1</v>
      </c>
      <c r="AA5204" t="s">
        <v>355</v>
      </c>
      <c r="AB5204" s="40" t="s">
        <v>1799</v>
      </c>
    </row>
    <row r="5205" spans="1:28" x14ac:dyDescent="0.25">
      <c r="A5205">
        <v>99915204</v>
      </c>
      <c r="B5205" t="s">
        <v>32</v>
      </c>
      <c r="C5205" t="s">
        <v>90</v>
      </c>
      <c r="D5205" t="s">
        <v>91</v>
      </c>
      <c r="G5205" t="s">
        <v>35</v>
      </c>
      <c r="H5205">
        <v>1</v>
      </c>
      <c r="K5205" t="s">
        <v>865</v>
      </c>
      <c r="L5205" t="s">
        <v>866</v>
      </c>
      <c r="M5205" t="s">
        <v>131</v>
      </c>
      <c r="N5205">
        <v>25</v>
      </c>
      <c r="P5205" t="s">
        <v>41</v>
      </c>
      <c r="Q5205" t="s">
        <v>95</v>
      </c>
      <c r="R5205" t="str">
        <f>"7531013"</f>
        <v>7531013</v>
      </c>
      <c r="S5205" t="s">
        <v>869</v>
      </c>
      <c r="T5205" t="s">
        <v>865</v>
      </c>
      <c r="U5205" t="s">
        <v>866</v>
      </c>
      <c r="V5205" t="s">
        <v>131</v>
      </c>
      <c r="W5205" t="s">
        <v>51</v>
      </c>
      <c r="X5205" t="s">
        <v>45</v>
      </c>
      <c r="Y5205" s="1">
        <v>33348</v>
      </c>
      <c r="Z5205">
        <v>1</v>
      </c>
      <c r="AA5205" t="s">
        <v>866</v>
      </c>
      <c r="AB5205" s="40" t="s">
        <v>1799</v>
      </c>
    </row>
    <row r="5206" spans="1:28" x14ac:dyDescent="0.25">
      <c r="A5206">
        <v>99915205</v>
      </c>
      <c r="B5206" t="s">
        <v>32</v>
      </c>
      <c r="C5206" t="s">
        <v>90</v>
      </c>
      <c r="D5206" t="s">
        <v>91</v>
      </c>
      <c r="G5206" t="s">
        <v>35</v>
      </c>
      <c r="H5206">
        <v>1</v>
      </c>
      <c r="K5206" t="s">
        <v>1341</v>
      </c>
      <c r="L5206" t="s">
        <v>1342</v>
      </c>
      <c r="M5206" t="s">
        <v>1270</v>
      </c>
      <c r="N5206">
        <v>25</v>
      </c>
      <c r="P5206" t="s">
        <v>41</v>
      </c>
      <c r="Q5206" t="s">
        <v>95</v>
      </c>
      <c r="R5206" t="str">
        <f>"7191085"</f>
        <v>7191085</v>
      </c>
      <c r="S5206" t="s">
        <v>1389</v>
      </c>
      <c r="T5206" t="s">
        <v>1341</v>
      </c>
      <c r="U5206" t="s">
        <v>1342</v>
      </c>
      <c r="V5206" t="s">
        <v>1270</v>
      </c>
      <c r="W5206" t="s">
        <v>51</v>
      </c>
      <c r="X5206" t="s">
        <v>45</v>
      </c>
      <c r="Y5206" s="1">
        <v>33300</v>
      </c>
      <c r="Z5206">
        <v>1</v>
      </c>
      <c r="AA5206" t="s">
        <v>1342</v>
      </c>
      <c r="AB5206" s="40" t="s">
        <v>1799</v>
      </c>
    </row>
    <row r="5207" spans="1:28" x14ac:dyDescent="0.25">
      <c r="A5207">
        <v>99915206</v>
      </c>
      <c r="B5207" t="s">
        <v>32</v>
      </c>
      <c r="C5207" t="s">
        <v>90</v>
      </c>
      <c r="D5207" t="s">
        <v>91</v>
      </c>
      <c r="G5207" t="s">
        <v>35</v>
      </c>
      <c r="H5207">
        <v>1</v>
      </c>
      <c r="I5207">
        <v>12932</v>
      </c>
      <c r="J5207" s="1">
        <v>43344</v>
      </c>
      <c r="K5207" t="s">
        <v>354</v>
      </c>
      <c r="L5207" t="s">
        <v>355</v>
      </c>
      <c r="M5207" t="s">
        <v>131</v>
      </c>
      <c r="N5207">
        <v>25</v>
      </c>
      <c r="O5207" s="1">
        <v>43344</v>
      </c>
      <c r="P5207" t="s">
        <v>41</v>
      </c>
      <c r="Q5207" t="s">
        <v>95</v>
      </c>
      <c r="R5207" t="str">
        <f>"7054165"</f>
        <v>7054165</v>
      </c>
      <c r="S5207" t="s">
        <v>812</v>
      </c>
      <c r="T5207" t="s">
        <v>354</v>
      </c>
      <c r="U5207" t="s">
        <v>355</v>
      </c>
      <c r="V5207" t="s">
        <v>131</v>
      </c>
      <c r="W5207" t="s">
        <v>51</v>
      </c>
      <c r="X5207" t="s">
        <v>45</v>
      </c>
      <c r="Y5207" s="1">
        <v>33285</v>
      </c>
      <c r="Z5207">
        <v>1</v>
      </c>
      <c r="AA5207" t="s">
        <v>355</v>
      </c>
      <c r="AB5207" s="40" t="s">
        <v>1799</v>
      </c>
    </row>
    <row r="5208" spans="1:28" x14ac:dyDescent="0.25">
      <c r="A5208">
        <v>99915207</v>
      </c>
      <c r="B5208" t="s">
        <v>32</v>
      </c>
      <c r="C5208" t="s">
        <v>90</v>
      </c>
      <c r="D5208" t="s">
        <v>91</v>
      </c>
      <c r="G5208" t="s">
        <v>35</v>
      </c>
      <c r="H5208">
        <v>1</v>
      </c>
      <c r="I5208" t="s">
        <v>121</v>
      </c>
      <c r="J5208" s="1">
        <v>43344</v>
      </c>
      <c r="K5208" t="s">
        <v>77</v>
      </c>
      <c r="L5208" t="s">
        <v>78</v>
      </c>
      <c r="M5208" t="s">
        <v>39</v>
      </c>
      <c r="N5208">
        <v>25</v>
      </c>
      <c r="O5208" s="1">
        <v>43344</v>
      </c>
      <c r="P5208" t="s">
        <v>41</v>
      </c>
      <c r="Q5208" t="s">
        <v>95</v>
      </c>
      <c r="R5208" t="str">
        <f>"7371003"</f>
        <v>7371003</v>
      </c>
      <c r="S5208" t="s">
        <v>122</v>
      </c>
      <c r="T5208" t="s">
        <v>77</v>
      </c>
      <c r="U5208" t="s">
        <v>78</v>
      </c>
      <c r="V5208" t="s">
        <v>39</v>
      </c>
      <c r="W5208" t="s">
        <v>51</v>
      </c>
      <c r="X5208" t="s">
        <v>45</v>
      </c>
      <c r="Y5208" s="1">
        <v>33280</v>
      </c>
      <c r="Z5208">
        <v>1</v>
      </c>
      <c r="AA5208" t="s">
        <v>78</v>
      </c>
      <c r="AB5208" s="40" t="s">
        <v>1799</v>
      </c>
    </row>
    <row r="5209" spans="1:28" x14ac:dyDescent="0.25">
      <c r="A5209">
        <v>99915208</v>
      </c>
      <c r="B5209" t="s">
        <v>32</v>
      </c>
      <c r="C5209" t="s">
        <v>90</v>
      </c>
      <c r="D5209" t="s">
        <v>91</v>
      </c>
      <c r="G5209" t="s">
        <v>35</v>
      </c>
      <c r="H5209">
        <v>1</v>
      </c>
      <c r="I5209">
        <v>5014</v>
      </c>
      <c r="J5209" s="1">
        <v>42983</v>
      </c>
      <c r="K5209" t="s">
        <v>1043</v>
      </c>
      <c r="L5209" t="s">
        <v>1044</v>
      </c>
      <c r="M5209" t="s">
        <v>1041</v>
      </c>
      <c r="N5209">
        <v>25</v>
      </c>
      <c r="O5209" s="1">
        <v>42983</v>
      </c>
      <c r="P5209" t="s">
        <v>41</v>
      </c>
      <c r="Q5209" t="s">
        <v>95</v>
      </c>
      <c r="R5209" t="str">
        <f>"7271015"</f>
        <v>7271015</v>
      </c>
      <c r="S5209" t="s">
        <v>1045</v>
      </c>
      <c r="T5209" t="s">
        <v>1043</v>
      </c>
      <c r="U5209" t="s">
        <v>1044</v>
      </c>
      <c r="V5209" t="s">
        <v>1041</v>
      </c>
      <c r="W5209" t="s">
        <v>44</v>
      </c>
      <c r="X5209" t="s">
        <v>45</v>
      </c>
      <c r="Y5209" s="1">
        <v>33208</v>
      </c>
      <c r="Z5209">
        <v>1</v>
      </c>
      <c r="AA5209" t="s">
        <v>1044</v>
      </c>
      <c r="AB5209" s="40" t="s">
        <v>1799</v>
      </c>
    </row>
    <row r="5210" spans="1:28" x14ac:dyDescent="0.25">
      <c r="A5210">
        <v>99915209</v>
      </c>
      <c r="B5210" t="s">
        <v>32</v>
      </c>
      <c r="C5210" t="s">
        <v>90</v>
      </c>
      <c r="D5210" t="s">
        <v>91</v>
      </c>
      <c r="G5210" t="s">
        <v>35</v>
      </c>
      <c r="H5210">
        <v>1</v>
      </c>
      <c r="I5210" t="s">
        <v>1038</v>
      </c>
      <c r="J5210" s="1">
        <v>43346</v>
      </c>
      <c r="K5210" t="s">
        <v>1039</v>
      </c>
      <c r="L5210" t="s">
        <v>1040</v>
      </c>
      <c r="M5210" t="s">
        <v>1041</v>
      </c>
      <c r="N5210">
        <v>25</v>
      </c>
      <c r="O5210" s="1">
        <v>43346</v>
      </c>
      <c r="P5210" t="s">
        <v>41</v>
      </c>
      <c r="Q5210" t="s">
        <v>95</v>
      </c>
      <c r="R5210" t="str">
        <f>"7231001"</f>
        <v>7231001</v>
      </c>
      <c r="S5210" t="s">
        <v>1042</v>
      </c>
      <c r="T5210" t="s">
        <v>1039</v>
      </c>
      <c r="U5210" t="s">
        <v>1040</v>
      </c>
      <c r="V5210" t="s">
        <v>1041</v>
      </c>
      <c r="W5210" t="s">
        <v>44</v>
      </c>
      <c r="X5210" t="s">
        <v>45</v>
      </c>
      <c r="Y5210" s="1">
        <v>33187</v>
      </c>
      <c r="Z5210">
        <v>1</v>
      </c>
      <c r="AA5210" t="s">
        <v>1040</v>
      </c>
      <c r="AB5210" s="40" t="s">
        <v>1799</v>
      </c>
    </row>
    <row r="5211" spans="1:28" x14ac:dyDescent="0.25">
      <c r="A5211">
        <v>99915210</v>
      </c>
      <c r="B5211" t="s">
        <v>32</v>
      </c>
      <c r="C5211" t="s">
        <v>90</v>
      </c>
      <c r="D5211" t="s">
        <v>91</v>
      </c>
      <c r="G5211" t="s">
        <v>35</v>
      </c>
      <c r="H5211">
        <v>1</v>
      </c>
      <c r="I5211">
        <v>11613</v>
      </c>
      <c r="J5211" s="1">
        <v>43344</v>
      </c>
      <c r="K5211" t="s">
        <v>354</v>
      </c>
      <c r="L5211" t="s">
        <v>355</v>
      </c>
      <c r="M5211" t="s">
        <v>131</v>
      </c>
      <c r="N5211">
        <v>25</v>
      </c>
      <c r="O5211" s="1">
        <v>43344</v>
      </c>
      <c r="P5211" t="s">
        <v>41</v>
      </c>
      <c r="Q5211" t="s">
        <v>95</v>
      </c>
      <c r="R5211" t="str">
        <f>"7054049"</f>
        <v>7054049</v>
      </c>
      <c r="S5211" t="s">
        <v>823</v>
      </c>
      <c r="T5211" t="s">
        <v>354</v>
      </c>
      <c r="U5211" t="s">
        <v>355</v>
      </c>
      <c r="V5211" t="s">
        <v>131</v>
      </c>
      <c r="W5211" t="s">
        <v>44</v>
      </c>
      <c r="X5211" t="s">
        <v>45</v>
      </c>
      <c r="Y5211" s="1">
        <v>33186</v>
      </c>
      <c r="Z5211">
        <v>1</v>
      </c>
      <c r="AA5211" t="s">
        <v>355</v>
      </c>
      <c r="AB5211" s="40" t="s">
        <v>1799</v>
      </c>
    </row>
    <row r="5212" spans="1:28" x14ac:dyDescent="0.25">
      <c r="A5212">
        <v>99915211</v>
      </c>
      <c r="B5212" t="s">
        <v>32</v>
      </c>
      <c r="C5212" t="s">
        <v>90</v>
      </c>
      <c r="D5212" t="s">
        <v>91</v>
      </c>
      <c r="G5212" t="s">
        <v>35</v>
      </c>
      <c r="H5212">
        <v>1</v>
      </c>
      <c r="I5212">
        <v>57</v>
      </c>
      <c r="J5212" s="1">
        <v>43347</v>
      </c>
      <c r="K5212" t="s">
        <v>963</v>
      </c>
      <c r="L5212" t="s">
        <v>964</v>
      </c>
      <c r="M5212" t="s">
        <v>938</v>
      </c>
      <c r="N5212">
        <v>25</v>
      </c>
      <c r="O5212" s="1">
        <v>43347</v>
      </c>
      <c r="P5212" t="s">
        <v>41</v>
      </c>
      <c r="Q5212" t="s">
        <v>95</v>
      </c>
      <c r="R5212" t="str">
        <f>"7061013"</f>
        <v>7061013</v>
      </c>
      <c r="S5212" t="s">
        <v>998</v>
      </c>
      <c r="T5212" t="s">
        <v>963</v>
      </c>
      <c r="U5212" t="s">
        <v>964</v>
      </c>
      <c r="V5212" t="s">
        <v>938</v>
      </c>
      <c r="W5212" t="s">
        <v>44</v>
      </c>
      <c r="X5212" t="s">
        <v>45</v>
      </c>
      <c r="Y5212" s="1">
        <v>33175</v>
      </c>
      <c r="Z5212">
        <v>1</v>
      </c>
      <c r="AA5212" t="s">
        <v>964</v>
      </c>
      <c r="AB5212" s="40" t="s">
        <v>1799</v>
      </c>
    </row>
    <row r="5213" spans="1:28" x14ac:dyDescent="0.25">
      <c r="A5213">
        <v>99915212</v>
      </c>
      <c r="B5213" t="s">
        <v>32</v>
      </c>
      <c r="C5213" t="s">
        <v>90</v>
      </c>
      <c r="D5213" t="s">
        <v>91</v>
      </c>
      <c r="G5213" t="s">
        <v>35</v>
      </c>
      <c r="H5213">
        <v>1</v>
      </c>
      <c r="I5213">
        <v>13180</v>
      </c>
      <c r="J5213" s="1">
        <v>43344</v>
      </c>
      <c r="K5213" t="s">
        <v>354</v>
      </c>
      <c r="L5213" t="s">
        <v>355</v>
      </c>
      <c r="M5213" t="s">
        <v>131</v>
      </c>
      <c r="N5213">
        <v>25</v>
      </c>
      <c r="O5213" s="1">
        <v>43344</v>
      </c>
      <c r="P5213" t="s">
        <v>41</v>
      </c>
      <c r="Q5213" t="s">
        <v>95</v>
      </c>
      <c r="R5213" t="str">
        <f>"7054185"</f>
        <v>7054185</v>
      </c>
      <c r="S5213" t="s">
        <v>825</v>
      </c>
      <c r="T5213" t="s">
        <v>354</v>
      </c>
      <c r="U5213" t="s">
        <v>355</v>
      </c>
      <c r="V5213" t="s">
        <v>131</v>
      </c>
      <c r="W5213" t="s">
        <v>44</v>
      </c>
      <c r="X5213" t="s">
        <v>45</v>
      </c>
      <c r="Y5213" s="1">
        <v>33159</v>
      </c>
      <c r="Z5213">
        <v>1</v>
      </c>
      <c r="AA5213" t="s">
        <v>355</v>
      </c>
      <c r="AB5213" s="40" t="s">
        <v>1799</v>
      </c>
    </row>
    <row r="5214" spans="1:28" x14ac:dyDescent="0.25">
      <c r="A5214">
        <v>99915213</v>
      </c>
      <c r="B5214" t="s">
        <v>32</v>
      </c>
      <c r="C5214" t="s">
        <v>90</v>
      </c>
      <c r="D5214" t="s">
        <v>91</v>
      </c>
      <c r="G5214" t="s">
        <v>35</v>
      </c>
      <c r="H5214">
        <v>1</v>
      </c>
      <c r="I5214" t="s">
        <v>592</v>
      </c>
      <c r="J5214" s="1">
        <v>43344</v>
      </c>
      <c r="K5214" t="s">
        <v>268</v>
      </c>
      <c r="L5214" t="s">
        <v>269</v>
      </c>
      <c r="M5214" t="s">
        <v>131</v>
      </c>
      <c r="N5214">
        <v>25</v>
      </c>
      <c r="O5214" s="1">
        <v>43344</v>
      </c>
      <c r="P5214" t="s">
        <v>41</v>
      </c>
      <c r="Q5214" t="s">
        <v>95</v>
      </c>
      <c r="R5214" t="str">
        <f>"7052219"</f>
        <v>7052219</v>
      </c>
      <c r="S5214" t="s">
        <v>593</v>
      </c>
      <c r="T5214" t="s">
        <v>268</v>
      </c>
      <c r="U5214" t="s">
        <v>269</v>
      </c>
      <c r="V5214" t="s">
        <v>131</v>
      </c>
      <c r="W5214" t="s">
        <v>51</v>
      </c>
      <c r="X5214" t="s">
        <v>45</v>
      </c>
      <c r="Y5214" s="1">
        <v>33151</v>
      </c>
      <c r="Z5214">
        <v>1</v>
      </c>
      <c r="AA5214" t="s">
        <v>269</v>
      </c>
      <c r="AB5214" s="40" t="s">
        <v>1799</v>
      </c>
    </row>
    <row r="5215" spans="1:28" x14ac:dyDescent="0.25">
      <c r="A5215">
        <v>99915214</v>
      </c>
      <c r="B5215" t="s">
        <v>32</v>
      </c>
      <c r="C5215" t="s">
        <v>90</v>
      </c>
      <c r="D5215" t="s">
        <v>91</v>
      </c>
      <c r="G5215" t="s">
        <v>48</v>
      </c>
      <c r="H5215">
        <v>1</v>
      </c>
      <c r="K5215" t="s">
        <v>1689</v>
      </c>
      <c r="L5215" t="s">
        <v>1690</v>
      </c>
      <c r="M5215" t="s">
        <v>1592</v>
      </c>
      <c r="N5215">
        <v>25</v>
      </c>
      <c r="P5215" t="s">
        <v>41</v>
      </c>
      <c r="Q5215" t="s">
        <v>95</v>
      </c>
      <c r="R5215" t="str">
        <f>"7301003"</f>
        <v>7301003</v>
      </c>
      <c r="S5215" t="s">
        <v>1693</v>
      </c>
      <c r="T5215" t="s">
        <v>1689</v>
      </c>
      <c r="U5215" t="s">
        <v>1690</v>
      </c>
      <c r="V5215" t="s">
        <v>1592</v>
      </c>
      <c r="W5215" t="s">
        <v>51</v>
      </c>
      <c r="X5215" t="s">
        <v>45</v>
      </c>
      <c r="Y5215" s="1">
        <v>33126</v>
      </c>
      <c r="Z5215">
        <v>1</v>
      </c>
      <c r="AA5215" t="s">
        <v>1690</v>
      </c>
      <c r="AB5215" s="40" t="s">
        <v>1799</v>
      </c>
    </row>
    <row r="5216" spans="1:28" x14ac:dyDescent="0.25">
      <c r="A5216">
        <v>99915215</v>
      </c>
      <c r="B5216" t="s">
        <v>32</v>
      </c>
      <c r="C5216" t="s">
        <v>90</v>
      </c>
      <c r="D5216" t="s">
        <v>91</v>
      </c>
      <c r="G5216" t="s">
        <v>48</v>
      </c>
      <c r="H5216">
        <v>1</v>
      </c>
      <c r="K5216" t="s">
        <v>877</v>
      </c>
      <c r="L5216" t="s">
        <v>878</v>
      </c>
      <c r="M5216" t="s">
        <v>131</v>
      </c>
      <c r="N5216">
        <v>25</v>
      </c>
      <c r="P5216" t="s">
        <v>41</v>
      </c>
      <c r="Q5216" t="s">
        <v>95</v>
      </c>
      <c r="R5216" t="str">
        <f>"7541083"</f>
        <v>7541083</v>
      </c>
      <c r="S5216" t="s">
        <v>912</v>
      </c>
      <c r="T5216" t="s">
        <v>877</v>
      </c>
      <c r="U5216" t="s">
        <v>878</v>
      </c>
      <c r="V5216" t="s">
        <v>131</v>
      </c>
      <c r="W5216" t="s">
        <v>51</v>
      </c>
      <c r="X5216" t="s">
        <v>45</v>
      </c>
      <c r="Y5216" s="1">
        <v>33105</v>
      </c>
      <c r="Z5216">
        <v>1</v>
      </c>
      <c r="AA5216" t="s">
        <v>878</v>
      </c>
      <c r="AB5216" s="40" t="s">
        <v>1799</v>
      </c>
    </row>
    <row r="5217" spans="1:28" x14ac:dyDescent="0.25">
      <c r="A5217">
        <v>99915216</v>
      </c>
      <c r="B5217" t="s">
        <v>32</v>
      </c>
      <c r="C5217" t="s">
        <v>90</v>
      </c>
      <c r="D5217" t="s">
        <v>91</v>
      </c>
      <c r="G5217" t="s">
        <v>35</v>
      </c>
      <c r="H5217">
        <v>1</v>
      </c>
      <c r="I5217">
        <v>10848</v>
      </c>
      <c r="J5217" s="1">
        <v>43349</v>
      </c>
      <c r="K5217" t="s">
        <v>1426</v>
      </c>
      <c r="L5217" t="s">
        <v>1427</v>
      </c>
      <c r="M5217" t="s">
        <v>1270</v>
      </c>
      <c r="N5217">
        <v>25</v>
      </c>
      <c r="O5217" s="1">
        <v>43349</v>
      </c>
      <c r="P5217" t="s">
        <v>41</v>
      </c>
      <c r="Q5217" t="s">
        <v>95</v>
      </c>
      <c r="R5217" t="str">
        <f>"7192021"</f>
        <v>7192021</v>
      </c>
      <c r="S5217" t="s">
        <v>1437</v>
      </c>
      <c r="T5217" t="s">
        <v>1426</v>
      </c>
      <c r="U5217" t="s">
        <v>1427</v>
      </c>
      <c r="V5217" t="s">
        <v>1270</v>
      </c>
      <c r="W5217" t="s">
        <v>44</v>
      </c>
      <c r="X5217" t="s">
        <v>45</v>
      </c>
      <c r="Y5217" s="1">
        <v>33095</v>
      </c>
      <c r="Z5217">
        <v>1</v>
      </c>
      <c r="AA5217" t="s">
        <v>1427</v>
      </c>
      <c r="AB5217" s="40" t="s">
        <v>1799</v>
      </c>
    </row>
    <row r="5218" spans="1:28" x14ac:dyDescent="0.25">
      <c r="A5218">
        <v>99915217</v>
      </c>
      <c r="B5218" t="s">
        <v>32</v>
      </c>
      <c r="C5218" t="s">
        <v>90</v>
      </c>
      <c r="D5218" t="s">
        <v>91</v>
      </c>
      <c r="G5218" t="s">
        <v>35</v>
      </c>
      <c r="H5218">
        <v>1</v>
      </c>
      <c r="I5218">
        <v>6539</v>
      </c>
      <c r="J5218" s="1">
        <v>43346</v>
      </c>
      <c r="K5218" t="s">
        <v>667</v>
      </c>
      <c r="L5218" t="s">
        <v>669</v>
      </c>
      <c r="M5218" t="s">
        <v>670</v>
      </c>
      <c r="N5218">
        <v>25</v>
      </c>
      <c r="O5218" s="1">
        <v>43346</v>
      </c>
      <c r="P5218" t="s">
        <v>41</v>
      </c>
      <c r="Q5218" t="s">
        <v>95</v>
      </c>
      <c r="R5218" t="str">
        <f>"7501009"</f>
        <v>7501009</v>
      </c>
      <c r="S5218" t="s">
        <v>1523</v>
      </c>
      <c r="T5218" t="s">
        <v>667</v>
      </c>
      <c r="U5218" t="s">
        <v>669</v>
      </c>
      <c r="V5218" t="s">
        <v>670</v>
      </c>
      <c r="W5218" t="s">
        <v>44</v>
      </c>
      <c r="X5218" t="s">
        <v>45</v>
      </c>
      <c r="Y5218" s="1">
        <v>33038</v>
      </c>
      <c r="Z5218">
        <v>1</v>
      </c>
      <c r="AA5218" t="s">
        <v>669</v>
      </c>
      <c r="AB5218" s="40" t="s">
        <v>1799</v>
      </c>
    </row>
    <row r="5219" spans="1:28" x14ac:dyDescent="0.25">
      <c r="A5219">
        <v>99915218</v>
      </c>
      <c r="B5219" t="s">
        <v>32</v>
      </c>
      <c r="C5219" t="s">
        <v>90</v>
      </c>
      <c r="D5219" t="s">
        <v>91</v>
      </c>
      <c r="G5219" t="s">
        <v>48</v>
      </c>
      <c r="H5219">
        <v>1</v>
      </c>
      <c r="K5219" t="s">
        <v>1619</v>
      </c>
      <c r="L5219" t="s">
        <v>1620</v>
      </c>
      <c r="M5219" t="s">
        <v>1592</v>
      </c>
      <c r="N5219">
        <v>25</v>
      </c>
      <c r="P5219" t="s">
        <v>41</v>
      </c>
      <c r="Q5219" t="s">
        <v>95</v>
      </c>
      <c r="R5219" t="str">
        <f>"7281015"</f>
        <v>7281015</v>
      </c>
      <c r="S5219" t="s">
        <v>1681</v>
      </c>
      <c r="T5219" t="s">
        <v>1619</v>
      </c>
      <c r="U5219" t="s">
        <v>1620</v>
      </c>
      <c r="V5219" t="s">
        <v>1592</v>
      </c>
      <c r="W5219" t="s">
        <v>51</v>
      </c>
      <c r="X5219" t="s">
        <v>45</v>
      </c>
      <c r="Y5219" s="1">
        <v>33005</v>
      </c>
      <c r="Z5219">
        <v>1</v>
      </c>
      <c r="AA5219" t="s">
        <v>1620</v>
      </c>
      <c r="AB5219" s="40" t="s">
        <v>1799</v>
      </c>
    </row>
    <row r="5220" spans="1:28" x14ac:dyDescent="0.25">
      <c r="A5220">
        <v>99915219</v>
      </c>
      <c r="B5220" t="s">
        <v>32</v>
      </c>
      <c r="C5220" t="s">
        <v>90</v>
      </c>
      <c r="D5220" t="s">
        <v>91</v>
      </c>
      <c r="G5220" t="s">
        <v>35</v>
      </c>
      <c r="H5220">
        <v>1</v>
      </c>
      <c r="I5220" t="s">
        <v>1676</v>
      </c>
      <c r="J5220" s="1">
        <v>43313</v>
      </c>
      <c r="K5220" t="s">
        <v>1619</v>
      </c>
      <c r="L5220" t="s">
        <v>1620</v>
      </c>
      <c r="M5220" t="s">
        <v>1592</v>
      </c>
      <c r="N5220">
        <v>25</v>
      </c>
      <c r="O5220" s="1">
        <v>43313</v>
      </c>
      <c r="P5220" t="s">
        <v>41</v>
      </c>
      <c r="Q5220" t="s">
        <v>95</v>
      </c>
      <c r="R5220" t="str">
        <f>"7281001"</f>
        <v>7281001</v>
      </c>
      <c r="S5220" t="s">
        <v>1672</v>
      </c>
      <c r="T5220" t="s">
        <v>1619</v>
      </c>
      <c r="U5220" t="s">
        <v>1620</v>
      </c>
      <c r="V5220" t="s">
        <v>1592</v>
      </c>
      <c r="W5220" t="s">
        <v>51</v>
      </c>
      <c r="X5220" t="s">
        <v>45</v>
      </c>
      <c r="Y5220" s="1">
        <v>33001</v>
      </c>
      <c r="Z5220">
        <v>1</v>
      </c>
      <c r="AA5220" t="s">
        <v>1620</v>
      </c>
      <c r="AB5220" s="40" t="s">
        <v>1799</v>
      </c>
    </row>
    <row r="5221" spans="1:28" x14ac:dyDescent="0.25">
      <c r="A5221">
        <v>99915220</v>
      </c>
      <c r="B5221" t="s">
        <v>32</v>
      </c>
      <c r="C5221" t="s">
        <v>90</v>
      </c>
      <c r="D5221" t="s">
        <v>91</v>
      </c>
      <c r="G5221" t="s">
        <v>35</v>
      </c>
      <c r="H5221">
        <v>1</v>
      </c>
      <c r="K5221" t="s">
        <v>1081</v>
      </c>
      <c r="L5221" t="s">
        <v>1082</v>
      </c>
      <c r="M5221" t="s">
        <v>1053</v>
      </c>
      <c r="N5221">
        <v>25</v>
      </c>
      <c r="P5221" t="s">
        <v>41</v>
      </c>
      <c r="Q5221" t="s">
        <v>95</v>
      </c>
      <c r="R5221" t="str">
        <f>"7201017"</f>
        <v>7201017</v>
      </c>
      <c r="S5221" t="s">
        <v>1101</v>
      </c>
      <c r="T5221" t="s">
        <v>1081</v>
      </c>
      <c r="U5221" t="s">
        <v>1082</v>
      </c>
      <c r="V5221" t="s">
        <v>1053</v>
      </c>
      <c r="W5221" t="s">
        <v>44</v>
      </c>
      <c r="X5221" t="s">
        <v>45</v>
      </c>
      <c r="Y5221" s="1">
        <v>32961</v>
      </c>
      <c r="Z5221">
        <v>1</v>
      </c>
      <c r="AA5221" t="s">
        <v>1082</v>
      </c>
      <c r="AB5221" s="40" t="s">
        <v>1799</v>
      </c>
    </row>
    <row r="5222" spans="1:28" x14ac:dyDescent="0.25">
      <c r="A5222">
        <v>99915221</v>
      </c>
      <c r="B5222" t="s">
        <v>32</v>
      </c>
      <c r="C5222" t="s">
        <v>90</v>
      </c>
      <c r="D5222" t="s">
        <v>91</v>
      </c>
      <c r="G5222" t="s">
        <v>35</v>
      </c>
      <c r="H5222">
        <v>1</v>
      </c>
      <c r="I5222" t="s">
        <v>1533</v>
      </c>
      <c r="J5222" s="1">
        <v>43344</v>
      </c>
      <c r="K5222" t="s">
        <v>667</v>
      </c>
      <c r="L5222" t="s">
        <v>669</v>
      </c>
      <c r="M5222" t="s">
        <v>670</v>
      </c>
      <c r="N5222">
        <v>25</v>
      </c>
      <c r="O5222" s="1">
        <v>43344</v>
      </c>
      <c r="P5222" t="s">
        <v>41</v>
      </c>
      <c r="Q5222" t="s">
        <v>95</v>
      </c>
      <c r="R5222" t="str">
        <f>"7501007"</f>
        <v>7501007</v>
      </c>
      <c r="S5222" t="s">
        <v>1524</v>
      </c>
      <c r="T5222" t="s">
        <v>667</v>
      </c>
      <c r="U5222" t="s">
        <v>669</v>
      </c>
      <c r="V5222" t="s">
        <v>670</v>
      </c>
      <c r="W5222" t="s">
        <v>165</v>
      </c>
      <c r="X5222" t="s">
        <v>45</v>
      </c>
      <c r="Y5222" s="1">
        <v>32959</v>
      </c>
      <c r="Z5222">
        <v>1</v>
      </c>
      <c r="AA5222" t="s">
        <v>669</v>
      </c>
      <c r="AB5222" s="40" t="s">
        <v>1799</v>
      </c>
    </row>
    <row r="5223" spans="1:28" x14ac:dyDescent="0.25">
      <c r="A5223">
        <v>99915222</v>
      </c>
      <c r="B5223" t="s">
        <v>32</v>
      </c>
      <c r="C5223" t="s">
        <v>90</v>
      </c>
      <c r="D5223" t="s">
        <v>91</v>
      </c>
      <c r="G5223" t="s">
        <v>35</v>
      </c>
      <c r="H5223">
        <v>1</v>
      </c>
      <c r="I5223">
        <v>15926</v>
      </c>
      <c r="J5223" s="1">
        <v>43344</v>
      </c>
      <c r="K5223" t="s">
        <v>877</v>
      </c>
      <c r="L5223" t="s">
        <v>878</v>
      </c>
      <c r="M5223" t="s">
        <v>131</v>
      </c>
      <c r="N5223">
        <v>25</v>
      </c>
      <c r="O5223" s="1">
        <v>43344</v>
      </c>
      <c r="P5223" t="s">
        <v>41</v>
      </c>
      <c r="Q5223" t="s">
        <v>95</v>
      </c>
      <c r="R5223" t="str">
        <f>"7541035"</f>
        <v>7541035</v>
      </c>
      <c r="S5223" t="s">
        <v>899</v>
      </c>
      <c r="T5223" t="s">
        <v>877</v>
      </c>
      <c r="U5223" t="s">
        <v>878</v>
      </c>
      <c r="V5223" t="s">
        <v>131</v>
      </c>
      <c r="W5223" t="s">
        <v>51</v>
      </c>
      <c r="X5223" t="s">
        <v>45</v>
      </c>
      <c r="Y5223" s="1">
        <v>32933</v>
      </c>
      <c r="Z5223">
        <v>1</v>
      </c>
      <c r="AA5223" t="s">
        <v>878</v>
      </c>
      <c r="AB5223" s="40" t="s">
        <v>1799</v>
      </c>
    </row>
    <row r="5224" spans="1:28" x14ac:dyDescent="0.25">
      <c r="A5224">
        <v>99915223</v>
      </c>
      <c r="B5224" t="s">
        <v>32</v>
      </c>
      <c r="C5224" t="s">
        <v>90</v>
      </c>
      <c r="D5224" t="s">
        <v>91</v>
      </c>
      <c r="G5224" t="s">
        <v>35</v>
      </c>
      <c r="H5224">
        <v>1</v>
      </c>
      <c r="I5224">
        <v>13110</v>
      </c>
      <c r="J5224" s="1">
        <v>43344</v>
      </c>
      <c r="K5224" t="s">
        <v>354</v>
      </c>
      <c r="L5224" t="s">
        <v>355</v>
      </c>
      <c r="M5224" t="s">
        <v>131</v>
      </c>
      <c r="N5224">
        <v>25</v>
      </c>
      <c r="O5224" s="1">
        <v>43344</v>
      </c>
      <c r="P5224" t="s">
        <v>41</v>
      </c>
      <c r="Q5224" t="s">
        <v>95</v>
      </c>
      <c r="R5224" t="str">
        <f>"7054057"</f>
        <v>7054057</v>
      </c>
      <c r="S5224" t="s">
        <v>838</v>
      </c>
      <c r="T5224" t="s">
        <v>354</v>
      </c>
      <c r="U5224" t="s">
        <v>355</v>
      </c>
      <c r="V5224" t="s">
        <v>131</v>
      </c>
      <c r="W5224" t="s">
        <v>51</v>
      </c>
      <c r="X5224" t="s">
        <v>45</v>
      </c>
      <c r="Y5224" s="1">
        <v>32923</v>
      </c>
      <c r="Z5224">
        <v>1</v>
      </c>
      <c r="AA5224" t="s">
        <v>355</v>
      </c>
      <c r="AB5224" s="40" t="s">
        <v>1799</v>
      </c>
    </row>
    <row r="5225" spans="1:28" x14ac:dyDescent="0.25">
      <c r="A5225">
        <v>99915224</v>
      </c>
      <c r="B5225" t="s">
        <v>32</v>
      </c>
      <c r="C5225" t="s">
        <v>90</v>
      </c>
      <c r="D5225" t="s">
        <v>91</v>
      </c>
      <c r="G5225" t="s">
        <v>35</v>
      </c>
      <c r="H5225">
        <v>1</v>
      </c>
      <c r="I5225">
        <v>11281</v>
      </c>
      <c r="J5225" s="1">
        <v>43344</v>
      </c>
      <c r="K5225" t="s">
        <v>354</v>
      </c>
      <c r="L5225" t="s">
        <v>355</v>
      </c>
      <c r="M5225" t="s">
        <v>131</v>
      </c>
      <c r="N5225">
        <v>25</v>
      </c>
      <c r="O5225" s="1">
        <v>43344</v>
      </c>
      <c r="P5225" t="s">
        <v>41</v>
      </c>
      <c r="Q5225" t="s">
        <v>95</v>
      </c>
      <c r="R5225" t="str">
        <f>"7054075"</f>
        <v>7054075</v>
      </c>
      <c r="S5225" t="s">
        <v>858</v>
      </c>
      <c r="T5225" t="s">
        <v>354</v>
      </c>
      <c r="U5225" t="s">
        <v>355</v>
      </c>
      <c r="V5225" t="s">
        <v>131</v>
      </c>
      <c r="W5225" t="s">
        <v>51</v>
      </c>
      <c r="X5225" t="s">
        <v>45</v>
      </c>
      <c r="Y5225" s="1">
        <v>32885</v>
      </c>
      <c r="Z5225">
        <v>1</v>
      </c>
      <c r="AA5225" t="s">
        <v>355</v>
      </c>
      <c r="AB5225" s="40" t="s">
        <v>1799</v>
      </c>
    </row>
    <row r="5226" spans="1:28" x14ac:dyDescent="0.25">
      <c r="A5226">
        <v>99915225</v>
      </c>
      <c r="B5226" t="s">
        <v>32</v>
      </c>
      <c r="C5226" t="s">
        <v>90</v>
      </c>
      <c r="D5226" t="s">
        <v>91</v>
      </c>
      <c r="G5226" t="s">
        <v>35</v>
      </c>
      <c r="H5226">
        <v>2</v>
      </c>
      <c r="J5226" s="1">
        <v>43344</v>
      </c>
      <c r="K5226" t="s">
        <v>354</v>
      </c>
      <c r="L5226" t="s">
        <v>355</v>
      </c>
      <c r="M5226" t="s">
        <v>131</v>
      </c>
      <c r="N5226">
        <v>25</v>
      </c>
      <c r="O5226" s="1">
        <v>43344</v>
      </c>
      <c r="P5226" t="s">
        <v>41</v>
      </c>
      <c r="Q5226" t="s">
        <v>95</v>
      </c>
      <c r="R5226" t="str">
        <f>"7054017"</f>
        <v>7054017</v>
      </c>
      <c r="S5226" t="s">
        <v>781</v>
      </c>
      <c r="T5226" t="s">
        <v>354</v>
      </c>
      <c r="U5226" t="s">
        <v>355</v>
      </c>
      <c r="V5226" t="s">
        <v>131</v>
      </c>
      <c r="W5226" t="s">
        <v>51</v>
      </c>
      <c r="X5226" t="s">
        <v>45</v>
      </c>
      <c r="Y5226" s="1">
        <v>32851</v>
      </c>
      <c r="Z5226">
        <v>1</v>
      </c>
      <c r="AA5226" t="s">
        <v>355</v>
      </c>
      <c r="AB5226" s="40" t="s">
        <v>1799</v>
      </c>
    </row>
    <row r="5227" spans="1:28" x14ac:dyDescent="0.25">
      <c r="A5227">
        <v>99915226</v>
      </c>
      <c r="B5227" t="s">
        <v>32</v>
      </c>
      <c r="C5227" t="s">
        <v>90</v>
      </c>
      <c r="D5227" t="s">
        <v>91</v>
      </c>
      <c r="G5227" t="s">
        <v>35</v>
      </c>
      <c r="H5227">
        <v>1</v>
      </c>
      <c r="I5227" t="s">
        <v>1037</v>
      </c>
      <c r="J5227" s="1">
        <v>43354</v>
      </c>
      <c r="K5227" t="s">
        <v>1029</v>
      </c>
      <c r="L5227" t="s">
        <v>1030</v>
      </c>
      <c r="M5227" t="s">
        <v>938</v>
      </c>
      <c r="N5227">
        <v>25</v>
      </c>
      <c r="O5227" s="1">
        <v>43354</v>
      </c>
      <c r="P5227" t="s">
        <v>41</v>
      </c>
      <c r="Q5227" t="s">
        <v>95</v>
      </c>
      <c r="R5227" t="str">
        <f>"7151003"</f>
        <v>7151003</v>
      </c>
      <c r="S5227" t="s">
        <v>1034</v>
      </c>
      <c r="T5227" t="s">
        <v>1029</v>
      </c>
      <c r="U5227" t="s">
        <v>1030</v>
      </c>
      <c r="V5227" t="s">
        <v>938</v>
      </c>
      <c r="W5227" t="s">
        <v>44</v>
      </c>
      <c r="X5227" t="s">
        <v>45</v>
      </c>
      <c r="Y5227" s="1">
        <v>32847</v>
      </c>
      <c r="Z5227">
        <v>1</v>
      </c>
      <c r="AA5227" t="s">
        <v>1030</v>
      </c>
      <c r="AB5227" s="40" t="s">
        <v>1799</v>
      </c>
    </row>
    <row r="5228" spans="1:28" x14ac:dyDescent="0.25">
      <c r="A5228">
        <v>99915227</v>
      </c>
      <c r="B5228" t="s">
        <v>32</v>
      </c>
      <c r="C5228" t="s">
        <v>90</v>
      </c>
      <c r="D5228" t="s">
        <v>91</v>
      </c>
      <c r="G5228" t="s">
        <v>35</v>
      </c>
      <c r="H5228">
        <v>1</v>
      </c>
      <c r="I5228">
        <v>11606</v>
      </c>
      <c r="J5228" s="1">
        <v>43344</v>
      </c>
      <c r="K5228" t="s">
        <v>354</v>
      </c>
      <c r="L5228" t="s">
        <v>355</v>
      </c>
      <c r="M5228" t="s">
        <v>131</v>
      </c>
      <c r="N5228">
        <v>25</v>
      </c>
      <c r="O5228" s="1">
        <v>43344</v>
      </c>
      <c r="P5228" t="s">
        <v>41</v>
      </c>
      <c r="Q5228" t="s">
        <v>95</v>
      </c>
      <c r="R5228" t="str">
        <f>"7054117"</f>
        <v>7054117</v>
      </c>
      <c r="S5228" t="s">
        <v>792</v>
      </c>
      <c r="T5228" t="s">
        <v>354</v>
      </c>
      <c r="U5228" t="s">
        <v>355</v>
      </c>
      <c r="V5228" t="s">
        <v>131</v>
      </c>
      <c r="W5228" t="s">
        <v>44</v>
      </c>
      <c r="X5228" t="s">
        <v>45</v>
      </c>
      <c r="Y5228" s="1">
        <v>32835</v>
      </c>
      <c r="Z5228">
        <v>1</v>
      </c>
      <c r="AA5228" t="s">
        <v>355</v>
      </c>
      <c r="AB5228" s="40" t="s">
        <v>1799</v>
      </c>
    </row>
    <row r="5229" spans="1:28" x14ac:dyDescent="0.25">
      <c r="A5229">
        <v>99915228</v>
      </c>
      <c r="B5229" t="s">
        <v>32</v>
      </c>
      <c r="C5229" t="s">
        <v>90</v>
      </c>
      <c r="D5229" t="s">
        <v>91</v>
      </c>
      <c r="G5229" t="s">
        <v>35</v>
      </c>
      <c r="H5229">
        <v>1</v>
      </c>
      <c r="J5229" s="1">
        <v>43014</v>
      </c>
      <c r="K5229" t="s">
        <v>101</v>
      </c>
      <c r="L5229" t="s">
        <v>102</v>
      </c>
      <c r="M5229" t="s">
        <v>39</v>
      </c>
      <c r="N5229">
        <v>25</v>
      </c>
      <c r="O5229" s="1">
        <v>43014</v>
      </c>
      <c r="P5229" t="s">
        <v>41</v>
      </c>
      <c r="Q5229" t="s">
        <v>95</v>
      </c>
      <c r="R5229" t="str">
        <f>"7111007"</f>
        <v>7111007</v>
      </c>
      <c r="S5229" t="s">
        <v>104</v>
      </c>
      <c r="T5229" t="s">
        <v>101</v>
      </c>
      <c r="U5229" t="s">
        <v>102</v>
      </c>
      <c r="V5229" t="s">
        <v>39</v>
      </c>
      <c r="W5229" t="s">
        <v>44</v>
      </c>
      <c r="X5229" t="s">
        <v>45</v>
      </c>
      <c r="Y5229" s="1">
        <v>32804</v>
      </c>
      <c r="Z5229">
        <v>1</v>
      </c>
      <c r="AA5229" t="s">
        <v>102</v>
      </c>
      <c r="AB5229" s="40" t="s">
        <v>1799</v>
      </c>
    </row>
    <row r="5230" spans="1:28" x14ac:dyDescent="0.25">
      <c r="A5230">
        <v>99915229</v>
      </c>
      <c r="B5230" t="s">
        <v>32</v>
      </c>
      <c r="C5230" t="s">
        <v>90</v>
      </c>
      <c r="D5230" t="s">
        <v>91</v>
      </c>
      <c r="G5230" t="s">
        <v>48</v>
      </c>
      <c r="H5230">
        <v>1</v>
      </c>
      <c r="K5230" t="s">
        <v>1341</v>
      </c>
      <c r="L5230" t="s">
        <v>1342</v>
      </c>
      <c r="M5230" t="s">
        <v>1270</v>
      </c>
      <c r="N5230">
        <v>25</v>
      </c>
      <c r="P5230" t="s">
        <v>41</v>
      </c>
      <c r="Q5230" t="s">
        <v>95</v>
      </c>
      <c r="R5230" t="str">
        <f>"7191025"</f>
        <v>7191025</v>
      </c>
      <c r="S5230" t="s">
        <v>1386</v>
      </c>
      <c r="T5230" t="s">
        <v>1341</v>
      </c>
      <c r="U5230" t="s">
        <v>1342</v>
      </c>
      <c r="V5230" t="s">
        <v>1270</v>
      </c>
      <c r="W5230" t="s">
        <v>51</v>
      </c>
      <c r="X5230" t="s">
        <v>45</v>
      </c>
      <c r="Y5230" s="1">
        <v>32796</v>
      </c>
      <c r="Z5230">
        <v>1</v>
      </c>
      <c r="AA5230" t="s">
        <v>1342</v>
      </c>
      <c r="AB5230" s="40" t="s">
        <v>1799</v>
      </c>
    </row>
    <row r="5231" spans="1:28" x14ac:dyDescent="0.25">
      <c r="A5231">
        <v>99915230</v>
      </c>
      <c r="B5231" t="s">
        <v>32</v>
      </c>
      <c r="C5231" t="s">
        <v>90</v>
      </c>
      <c r="D5231" t="s">
        <v>91</v>
      </c>
      <c r="G5231" t="s">
        <v>48</v>
      </c>
      <c r="H5231">
        <v>1</v>
      </c>
      <c r="K5231" t="s">
        <v>1725</v>
      </c>
      <c r="L5231" t="s">
        <v>1726</v>
      </c>
      <c r="M5231" t="s">
        <v>1705</v>
      </c>
      <c r="N5231">
        <v>25</v>
      </c>
      <c r="P5231" t="s">
        <v>41</v>
      </c>
      <c r="Q5231" t="s">
        <v>95</v>
      </c>
      <c r="R5231" t="str">
        <f>"7461023"</f>
        <v>7461023</v>
      </c>
      <c r="S5231" t="s">
        <v>1727</v>
      </c>
      <c r="T5231" t="s">
        <v>1725</v>
      </c>
      <c r="U5231" t="s">
        <v>1726</v>
      </c>
      <c r="V5231" t="s">
        <v>1705</v>
      </c>
      <c r="W5231" t="s">
        <v>51</v>
      </c>
      <c r="X5231" t="s">
        <v>45</v>
      </c>
      <c r="Y5231" s="1">
        <v>32757</v>
      </c>
      <c r="Z5231">
        <v>1</v>
      </c>
      <c r="AA5231" t="s">
        <v>1726</v>
      </c>
      <c r="AB5231" s="40" t="s">
        <v>1799</v>
      </c>
    </row>
    <row r="5232" spans="1:28" x14ac:dyDescent="0.25">
      <c r="A5232">
        <v>99915231</v>
      </c>
      <c r="B5232" t="s">
        <v>32</v>
      </c>
      <c r="C5232" t="s">
        <v>90</v>
      </c>
      <c r="D5232" t="s">
        <v>91</v>
      </c>
      <c r="G5232" t="s">
        <v>35</v>
      </c>
      <c r="H5232">
        <v>1</v>
      </c>
      <c r="I5232">
        <v>20317</v>
      </c>
      <c r="J5232" s="1">
        <v>43344</v>
      </c>
      <c r="K5232" t="s">
        <v>354</v>
      </c>
      <c r="L5232" t="s">
        <v>355</v>
      </c>
      <c r="M5232" t="s">
        <v>131</v>
      </c>
      <c r="N5232">
        <v>25</v>
      </c>
      <c r="O5232" s="1">
        <v>43344</v>
      </c>
      <c r="P5232" t="s">
        <v>41</v>
      </c>
      <c r="Q5232" t="s">
        <v>95</v>
      </c>
      <c r="R5232" t="str">
        <f>"7054049"</f>
        <v>7054049</v>
      </c>
      <c r="S5232" t="s">
        <v>823</v>
      </c>
      <c r="T5232" t="s">
        <v>354</v>
      </c>
      <c r="U5232" t="s">
        <v>355</v>
      </c>
      <c r="V5232" t="s">
        <v>131</v>
      </c>
      <c r="W5232" t="s">
        <v>51</v>
      </c>
      <c r="X5232" t="s">
        <v>45</v>
      </c>
      <c r="Y5232" s="1">
        <v>32739</v>
      </c>
      <c r="Z5232">
        <v>1</v>
      </c>
      <c r="AA5232" t="s">
        <v>355</v>
      </c>
      <c r="AB5232" s="40" t="s">
        <v>1799</v>
      </c>
    </row>
    <row r="5233" spans="1:28" x14ac:dyDescent="0.25">
      <c r="A5233">
        <v>99915232</v>
      </c>
      <c r="B5233" t="s">
        <v>32</v>
      </c>
      <c r="C5233" t="s">
        <v>90</v>
      </c>
      <c r="D5233" t="s">
        <v>91</v>
      </c>
      <c r="G5233" t="s">
        <v>35</v>
      </c>
      <c r="H5233">
        <v>1</v>
      </c>
      <c r="I5233">
        <v>4</v>
      </c>
      <c r="J5233" s="1">
        <v>43346</v>
      </c>
      <c r="K5233" t="s">
        <v>101</v>
      </c>
      <c r="L5233" t="s">
        <v>102</v>
      </c>
      <c r="M5233" t="s">
        <v>39</v>
      </c>
      <c r="N5233">
        <v>25</v>
      </c>
      <c r="O5233" s="1">
        <v>43346</v>
      </c>
      <c r="P5233" t="s">
        <v>41</v>
      </c>
      <c r="Q5233" t="s">
        <v>95</v>
      </c>
      <c r="R5233" t="str">
        <f>"7111005"</f>
        <v>7111005</v>
      </c>
      <c r="S5233" t="s">
        <v>103</v>
      </c>
      <c r="T5233" t="s">
        <v>101</v>
      </c>
      <c r="U5233" t="s">
        <v>102</v>
      </c>
      <c r="V5233" t="s">
        <v>39</v>
      </c>
      <c r="W5233" t="s">
        <v>44</v>
      </c>
      <c r="X5233" t="s">
        <v>45</v>
      </c>
      <c r="Y5233" s="1">
        <v>32713</v>
      </c>
      <c r="Z5233">
        <v>1</v>
      </c>
      <c r="AA5233" t="s">
        <v>102</v>
      </c>
      <c r="AB5233" s="40" t="s">
        <v>1799</v>
      </c>
    </row>
    <row r="5234" spans="1:28" x14ac:dyDescent="0.25">
      <c r="A5234">
        <v>99915233</v>
      </c>
      <c r="B5234" t="s">
        <v>32</v>
      </c>
      <c r="C5234" t="s">
        <v>90</v>
      </c>
      <c r="D5234" t="s">
        <v>91</v>
      </c>
      <c r="G5234" t="s">
        <v>35</v>
      </c>
      <c r="H5234">
        <v>1</v>
      </c>
      <c r="I5234">
        <v>12591</v>
      </c>
      <c r="J5234" s="1">
        <v>43344</v>
      </c>
      <c r="K5234" t="s">
        <v>667</v>
      </c>
      <c r="L5234" t="s">
        <v>669</v>
      </c>
      <c r="M5234" t="s">
        <v>670</v>
      </c>
      <c r="N5234">
        <v>25</v>
      </c>
      <c r="O5234" s="1">
        <v>43344</v>
      </c>
      <c r="P5234" t="s">
        <v>41</v>
      </c>
      <c r="Q5234" t="s">
        <v>95</v>
      </c>
      <c r="R5234" t="str">
        <f>"7501017"</f>
        <v>7501017</v>
      </c>
      <c r="S5234" t="s">
        <v>1521</v>
      </c>
      <c r="T5234" t="s">
        <v>667</v>
      </c>
      <c r="U5234" t="s">
        <v>669</v>
      </c>
      <c r="V5234" t="s">
        <v>670</v>
      </c>
      <c r="W5234" t="s">
        <v>44</v>
      </c>
      <c r="X5234" t="s">
        <v>45</v>
      </c>
      <c r="Y5234" s="1">
        <v>32683</v>
      </c>
      <c r="Z5234">
        <v>1</v>
      </c>
      <c r="AA5234" t="s">
        <v>669</v>
      </c>
      <c r="AB5234" s="40" t="s">
        <v>1799</v>
      </c>
    </row>
    <row r="5235" spans="1:28" x14ac:dyDescent="0.25">
      <c r="A5235">
        <v>99915234</v>
      </c>
      <c r="B5235" t="s">
        <v>32</v>
      </c>
      <c r="C5235" t="s">
        <v>90</v>
      </c>
      <c r="D5235" t="s">
        <v>91</v>
      </c>
      <c r="G5235" t="s">
        <v>48</v>
      </c>
      <c r="H5235">
        <v>1</v>
      </c>
      <c r="K5235" t="s">
        <v>1341</v>
      </c>
      <c r="L5235" t="s">
        <v>1342</v>
      </c>
      <c r="M5235" t="s">
        <v>1270</v>
      </c>
      <c r="N5235">
        <v>25</v>
      </c>
      <c r="P5235" t="s">
        <v>41</v>
      </c>
      <c r="Q5235" t="s">
        <v>95</v>
      </c>
      <c r="R5235" t="str">
        <f>"7191027"</f>
        <v>7191027</v>
      </c>
      <c r="S5235" t="s">
        <v>1363</v>
      </c>
      <c r="T5235" t="s">
        <v>1341</v>
      </c>
      <c r="U5235" t="s">
        <v>1342</v>
      </c>
      <c r="V5235" t="s">
        <v>1270</v>
      </c>
      <c r="W5235" t="s">
        <v>51</v>
      </c>
      <c r="X5235" t="s">
        <v>45</v>
      </c>
      <c r="Y5235" s="1">
        <v>32673</v>
      </c>
      <c r="Z5235">
        <v>1</v>
      </c>
      <c r="AA5235" t="s">
        <v>1342</v>
      </c>
      <c r="AB5235" s="40" t="s">
        <v>1799</v>
      </c>
    </row>
    <row r="5236" spans="1:28" x14ac:dyDescent="0.25">
      <c r="A5236">
        <v>99915235</v>
      </c>
      <c r="B5236" t="s">
        <v>32</v>
      </c>
      <c r="C5236" t="s">
        <v>90</v>
      </c>
      <c r="D5236" t="s">
        <v>91</v>
      </c>
      <c r="G5236" t="s">
        <v>35</v>
      </c>
      <c r="H5236">
        <v>1</v>
      </c>
      <c r="J5236" s="1">
        <v>43344</v>
      </c>
      <c r="K5236" t="s">
        <v>354</v>
      </c>
      <c r="L5236" t="s">
        <v>355</v>
      </c>
      <c r="M5236" t="s">
        <v>131</v>
      </c>
      <c r="N5236">
        <v>25</v>
      </c>
      <c r="O5236" s="1">
        <v>43344</v>
      </c>
      <c r="P5236" t="s">
        <v>41</v>
      </c>
      <c r="Q5236" t="s">
        <v>95</v>
      </c>
      <c r="R5236" t="str">
        <f>"7054177"</f>
        <v>7054177</v>
      </c>
      <c r="S5236" t="s">
        <v>777</v>
      </c>
      <c r="T5236" t="s">
        <v>354</v>
      </c>
      <c r="U5236" t="s">
        <v>355</v>
      </c>
      <c r="V5236" t="s">
        <v>131</v>
      </c>
      <c r="W5236" t="s">
        <v>51</v>
      </c>
      <c r="X5236" t="s">
        <v>45</v>
      </c>
      <c r="Y5236" s="1">
        <v>32671</v>
      </c>
      <c r="Z5236">
        <v>1</v>
      </c>
      <c r="AA5236" t="s">
        <v>355</v>
      </c>
      <c r="AB5236" s="40" t="s">
        <v>1799</v>
      </c>
    </row>
    <row r="5237" spans="1:28" x14ac:dyDescent="0.25">
      <c r="A5237">
        <v>99915236</v>
      </c>
      <c r="B5237" t="s">
        <v>32</v>
      </c>
      <c r="C5237" t="s">
        <v>90</v>
      </c>
      <c r="D5237" t="s">
        <v>91</v>
      </c>
      <c r="G5237" t="s">
        <v>48</v>
      </c>
      <c r="H5237">
        <v>1</v>
      </c>
      <c r="K5237" t="s">
        <v>1725</v>
      </c>
      <c r="L5237" t="s">
        <v>1726</v>
      </c>
      <c r="M5237" t="s">
        <v>1705</v>
      </c>
      <c r="N5237">
        <v>25</v>
      </c>
      <c r="P5237" t="s">
        <v>41</v>
      </c>
      <c r="Q5237" t="s">
        <v>95</v>
      </c>
      <c r="R5237" t="str">
        <f>"7461009"</f>
        <v>7461009</v>
      </c>
      <c r="S5237" t="s">
        <v>1734</v>
      </c>
      <c r="T5237" t="s">
        <v>1725</v>
      </c>
      <c r="U5237" t="s">
        <v>1726</v>
      </c>
      <c r="V5237" t="s">
        <v>1705</v>
      </c>
      <c r="W5237" t="s">
        <v>51</v>
      </c>
      <c r="X5237" t="s">
        <v>45</v>
      </c>
      <c r="Y5237" s="1">
        <v>32624</v>
      </c>
      <c r="Z5237">
        <v>1</v>
      </c>
      <c r="AA5237" t="s">
        <v>1726</v>
      </c>
      <c r="AB5237" s="40" t="s">
        <v>1799</v>
      </c>
    </row>
    <row r="5238" spans="1:28" x14ac:dyDescent="0.25">
      <c r="A5238">
        <v>99915237</v>
      </c>
      <c r="B5238" t="s">
        <v>32</v>
      </c>
      <c r="C5238" t="s">
        <v>90</v>
      </c>
      <c r="D5238" t="s">
        <v>91</v>
      </c>
      <c r="G5238" t="s">
        <v>48</v>
      </c>
      <c r="H5238">
        <v>1</v>
      </c>
      <c r="K5238" t="s">
        <v>354</v>
      </c>
      <c r="L5238" t="s">
        <v>355</v>
      </c>
      <c r="M5238" t="s">
        <v>131</v>
      </c>
      <c r="N5238">
        <v>25</v>
      </c>
      <c r="P5238" t="s">
        <v>41</v>
      </c>
      <c r="Q5238" t="s">
        <v>95</v>
      </c>
      <c r="R5238" t="str">
        <f>"7054175"</f>
        <v>7054175</v>
      </c>
      <c r="S5238" t="s">
        <v>859</v>
      </c>
      <c r="T5238" t="s">
        <v>354</v>
      </c>
      <c r="U5238" t="s">
        <v>355</v>
      </c>
      <c r="V5238" t="s">
        <v>131</v>
      </c>
      <c r="W5238" t="s">
        <v>51</v>
      </c>
      <c r="X5238" t="s">
        <v>45</v>
      </c>
      <c r="Y5238" s="1">
        <v>32614</v>
      </c>
      <c r="Z5238">
        <v>1</v>
      </c>
      <c r="AA5238" t="s">
        <v>355</v>
      </c>
      <c r="AB5238" s="40" t="s">
        <v>1799</v>
      </c>
    </row>
    <row r="5239" spans="1:28" x14ac:dyDescent="0.25">
      <c r="A5239">
        <v>99915238</v>
      </c>
      <c r="B5239" t="s">
        <v>32</v>
      </c>
      <c r="C5239" t="s">
        <v>90</v>
      </c>
      <c r="D5239" t="s">
        <v>91</v>
      </c>
      <c r="G5239" t="s">
        <v>35</v>
      </c>
      <c r="H5239">
        <v>1</v>
      </c>
      <c r="I5239" t="s">
        <v>1666</v>
      </c>
      <c r="J5239" s="1">
        <v>43354</v>
      </c>
      <c r="K5239" t="s">
        <v>1619</v>
      </c>
      <c r="L5239" t="s">
        <v>1620</v>
      </c>
      <c r="M5239" t="s">
        <v>1592</v>
      </c>
      <c r="N5239">
        <v>25</v>
      </c>
      <c r="O5239" s="1">
        <v>43354</v>
      </c>
      <c r="P5239" t="s">
        <v>41</v>
      </c>
      <c r="Q5239" t="s">
        <v>95</v>
      </c>
      <c r="R5239" t="str">
        <f>"7281011"</f>
        <v>7281011</v>
      </c>
      <c r="S5239" t="s">
        <v>1653</v>
      </c>
      <c r="T5239" t="s">
        <v>1619</v>
      </c>
      <c r="U5239" t="s">
        <v>1620</v>
      </c>
      <c r="V5239" t="s">
        <v>1592</v>
      </c>
      <c r="W5239" t="s">
        <v>44</v>
      </c>
      <c r="X5239" t="s">
        <v>45</v>
      </c>
      <c r="Y5239" s="1">
        <v>32576</v>
      </c>
      <c r="Z5239">
        <v>1</v>
      </c>
      <c r="AA5239" t="s">
        <v>1620</v>
      </c>
      <c r="AB5239" s="40" t="s">
        <v>1799</v>
      </c>
    </row>
    <row r="5240" spans="1:28" x14ac:dyDescent="0.25">
      <c r="A5240">
        <v>99915239</v>
      </c>
      <c r="B5240" t="s">
        <v>32</v>
      </c>
      <c r="C5240" t="s">
        <v>90</v>
      </c>
      <c r="D5240" t="s">
        <v>91</v>
      </c>
      <c r="G5240" t="s">
        <v>48</v>
      </c>
      <c r="H5240">
        <v>1</v>
      </c>
      <c r="K5240" t="s">
        <v>1341</v>
      </c>
      <c r="L5240" t="s">
        <v>1342</v>
      </c>
      <c r="M5240" t="s">
        <v>1270</v>
      </c>
      <c r="N5240">
        <v>25</v>
      </c>
      <c r="P5240" t="s">
        <v>41</v>
      </c>
      <c r="Q5240" t="s">
        <v>95</v>
      </c>
      <c r="R5240" t="str">
        <f>"7191027"</f>
        <v>7191027</v>
      </c>
      <c r="S5240" t="s">
        <v>1363</v>
      </c>
      <c r="T5240" t="s">
        <v>1341</v>
      </c>
      <c r="U5240" t="s">
        <v>1342</v>
      </c>
      <c r="V5240" t="s">
        <v>1270</v>
      </c>
      <c r="W5240" t="s">
        <v>51</v>
      </c>
      <c r="X5240" t="s">
        <v>45</v>
      </c>
      <c r="Y5240" s="1">
        <v>32560</v>
      </c>
      <c r="Z5240">
        <v>1</v>
      </c>
      <c r="AA5240" t="s">
        <v>1342</v>
      </c>
      <c r="AB5240" s="40" t="s">
        <v>1799</v>
      </c>
    </row>
    <row r="5241" spans="1:28" x14ac:dyDescent="0.25">
      <c r="A5241">
        <v>99915240</v>
      </c>
      <c r="B5241" t="s">
        <v>32</v>
      </c>
      <c r="C5241" t="s">
        <v>90</v>
      </c>
      <c r="D5241" t="s">
        <v>91</v>
      </c>
      <c r="G5241" t="s">
        <v>35</v>
      </c>
      <c r="H5241">
        <v>1</v>
      </c>
      <c r="I5241" t="s">
        <v>1674</v>
      </c>
      <c r="J5241" s="1">
        <v>43344</v>
      </c>
      <c r="K5241" t="s">
        <v>1619</v>
      </c>
      <c r="L5241" t="s">
        <v>1620</v>
      </c>
      <c r="M5241" t="s">
        <v>1592</v>
      </c>
      <c r="N5241">
        <v>25</v>
      </c>
      <c r="O5241" s="1">
        <v>43344</v>
      </c>
      <c r="P5241" t="s">
        <v>41</v>
      </c>
      <c r="Q5241" t="s">
        <v>95</v>
      </c>
      <c r="R5241" t="str">
        <f>"7281007"</f>
        <v>7281007</v>
      </c>
      <c r="S5241" t="s">
        <v>1655</v>
      </c>
      <c r="T5241" t="s">
        <v>1619</v>
      </c>
      <c r="U5241" t="s">
        <v>1620</v>
      </c>
      <c r="V5241" t="s">
        <v>1592</v>
      </c>
      <c r="W5241" t="s">
        <v>44</v>
      </c>
      <c r="X5241" t="s">
        <v>45</v>
      </c>
      <c r="Y5241" s="1">
        <v>32554</v>
      </c>
      <c r="Z5241">
        <v>1</v>
      </c>
      <c r="AA5241" t="s">
        <v>1620</v>
      </c>
      <c r="AB5241" s="40" t="s">
        <v>1799</v>
      </c>
    </row>
    <row r="5242" spans="1:28" x14ac:dyDescent="0.25">
      <c r="A5242">
        <v>99915241</v>
      </c>
      <c r="B5242" t="s">
        <v>32</v>
      </c>
      <c r="C5242" t="s">
        <v>90</v>
      </c>
      <c r="D5242" t="s">
        <v>91</v>
      </c>
      <c r="G5242" t="s">
        <v>48</v>
      </c>
      <c r="H5242">
        <v>1</v>
      </c>
      <c r="K5242" t="s">
        <v>195</v>
      </c>
      <c r="L5242" t="s">
        <v>196</v>
      </c>
      <c r="M5242" t="s">
        <v>131</v>
      </c>
      <c r="N5242">
        <v>25</v>
      </c>
      <c r="P5242" t="s">
        <v>41</v>
      </c>
      <c r="Q5242" t="s">
        <v>95</v>
      </c>
      <c r="R5242" t="str">
        <f>"7521023"</f>
        <v>7521023</v>
      </c>
      <c r="S5242" t="s">
        <v>466</v>
      </c>
      <c r="T5242" t="s">
        <v>195</v>
      </c>
      <c r="U5242" t="s">
        <v>196</v>
      </c>
      <c r="V5242" t="s">
        <v>131</v>
      </c>
      <c r="W5242" t="s">
        <v>51</v>
      </c>
      <c r="X5242" t="s">
        <v>45</v>
      </c>
      <c r="Y5242" s="1">
        <v>32551</v>
      </c>
      <c r="Z5242">
        <v>1</v>
      </c>
      <c r="AA5242" t="s">
        <v>196</v>
      </c>
      <c r="AB5242" s="40" t="s">
        <v>1799</v>
      </c>
    </row>
    <row r="5243" spans="1:28" x14ac:dyDescent="0.25">
      <c r="A5243">
        <v>99915242</v>
      </c>
      <c r="B5243" t="s">
        <v>32</v>
      </c>
      <c r="C5243" t="s">
        <v>90</v>
      </c>
      <c r="D5243" t="s">
        <v>91</v>
      </c>
      <c r="G5243" t="s">
        <v>35</v>
      </c>
      <c r="H5243">
        <v>1</v>
      </c>
      <c r="I5243" t="s">
        <v>97</v>
      </c>
      <c r="J5243" s="1">
        <v>43344</v>
      </c>
      <c r="K5243" t="s">
        <v>93</v>
      </c>
      <c r="L5243" t="s">
        <v>94</v>
      </c>
      <c r="M5243" t="s">
        <v>39</v>
      </c>
      <c r="N5243">
        <v>25</v>
      </c>
      <c r="O5243" s="1">
        <v>43344</v>
      </c>
      <c r="P5243" t="s">
        <v>41</v>
      </c>
      <c r="Q5243" t="s">
        <v>95</v>
      </c>
      <c r="R5243" t="str">
        <f>"7091003"</f>
        <v>7091003</v>
      </c>
      <c r="S5243" t="s">
        <v>96</v>
      </c>
      <c r="T5243" t="s">
        <v>93</v>
      </c>
      <c r="U5243" t="s">
        <v>94</v>
      </c>
      <c r="V5243" t="s">
        <v>39</v>
      </c>
      <c r="W5243" t="s">
        <v>55</v>
      </c>
      <c r="X5243" t="s">
        <v>45</v>
      </c>
      <c r="Y5243" s="1">
        <v>32510</v>
      </c>
      <c r="Z5243">
        <v>1</v>
      </c>
      <c r="AA5243" t="s">
        <v>94</v>
      </c>
      <c r="AB5243" s="40" t="s">
        <v>1799</v>
      </c>
    </row>
    <row r="5244" spans="1:28" x14ac:dyDescent="0.25">
      <c r="A5244">
        <v>99915243</v>
      </c>
      <c r="B5244" t="s">
        <v>32</v>
      </c>
      <c r="C5244" t="s">
        <v>90</v>
      </c>
      <c r="D5244" t="s">
        <v>91</v>
      </c>
      <c r="G5244" t="s">
        <v>35</v>
      </c>
      <c r="H5244">
        <v>1</v>
      </c>
      <c r="I5244">
        <v>10938</v>
      </c>
      <c r="J5244" s="1">
        <v>43344</v>
      </c>
      <c r="K5244" t="s">
        <v>354</v>
      </c>
      <c r="L5244" t="s">
        <v>355</v>
      </c>
      <c r="M5244" t="s">
        <v>131</v>
      </c>
      <c r="N5244">
        <v>25</v>
      </c>
      <c r="O5244" s="1">
        <v>43344</v>
      </c>
      <c r="P5244" t="s">
        <v>41</v>
      </c>
      <c r="Q5244" t="s">
        <v>95</v>
      </c>
      <c r="R5244" t="str">
        <f>"7054121"</f>
        <v>7054121</v>
      </c>
      <c r="S5244" t="s">
        <v>844</v>
      </c>
      <c r="T5244" t="s">
        <v>354</v>
      </c>
      <c r="U5244" t="s">
        <v>355</v>
      </c>
      <c r="V5244" t="s">
        <v>131</v>
      </c>
      <c r="W5244" t="s">
        <v>51</v>
      </c>
      <c r="X5244" t="s">
        <v>45</v>
      </c>
      <c r="Y5244" s="1">
        <v>32469</v>
      </c>
      <c r="Z5244">
        <v>1</v>
      </c>
      <c r="AA5244" t="s">
        <v>355</v>
      </c>
      <c r="AB5244" s="40" t="s">
        <v>1799</v>
      </c>
    </row>
    <row r="5245" spans="1:28" x14ac:dyDescent="0.25">
      <c r="A5245">
        <v>99915244</v>
      </c>
      <c r="B5245" t="s">
        <v>32</v>
      </c>
      <c r="C5245" t="s">
        <v>90</v>
      </c>
      <c r="D5245" t="s">
        <v>91</v>
      </c>
      <c r="G5245" t="s">
        <v>35</v>
      </c>
      <c r="H5245">
        <v>1</v>
      </c>
      <c r="I5245" t="s">
        <v>1443</v>
      </c>
      <c r="J5245" s="1">
        <v>43344</v>
      </c>
      <c r="K5245" t="s">
        <v>1426</v>
      </c>
      <c r="L5245" t="s">
        <v>1427</v>
      </c>
      <c r="M5245" t="s">
        <v>1270</v>
      </c>
      <c r="N5245">
        <v>25</v>
      </c>
      <c r="O5245" s="1">
        <v>43344</v>
      </c>
      <c r="P5245" t="s">
        <v>41</v>
      </c>
      <c r="Q5245" t="s">
        <v>95</v>
      </c>
      <c r="R5245" t="str">
        <f>"7192035"</f>
        <v>7192035</v>
      </c>
      <c r="S5245" t="s">
        <v>1444</v>
      </c>
      <c r="T5245" t="s">
        <v>1426</v>
      </c>
      <c r="U5245" t="s">
        <v>1427</v>
      </c>
      <c r="V5245" t="s">
        <v>1270</v>
      </c>
      <c r="W5245" t="s">
        <v>51</v>
      </c>
      <c r="X5245" t="s">
        <v>45</v>
      </c>
      <c r="Y5245" s="1">
        <v>32466</v>
      </c>
      <c r="Z5245">
        <v>1</v>
      </c>
      <c r="AA5245" t="s">
        <v>1427</v>
      </c>
      <c r="AB5245" s="40" t="s">
        <v>1799</v>
      </c>
    </row>
    <row r="5246" spans="1:28" x14ac:dyDescent="0.25">
      <c r="A5246">
        <v>99915245</v>
      </c>
      <c r="B5246" t="s">
        <v>32</v>
      </c>
      <c r="C5246" t="s">
        <v>90</v>
      </c>
      <c r="D5246" t="s">
        <v>91</v>
      </c>
      <c r="G5246" t="s">
        <v>35</v>
      </c>
      <c r="H5246">
        <v>1</v>
      </c>
      <c r="I5246" t="s">
        <v>1728</v>
      </c>
      <c r="J5246" s="1">
        <v>43003</v>
      </c>
      <c r="K5246" t="s">
        <v>1725</v>
      </c>
      <c r="L5246" t="s">
        <v>1726</v>
      </c>
      <c r="M5246" t="s">
        <v>1705</v>
      </c>
      <c r="N5246">
        <v>25</v>
      </c>
      <c r="O5246" s="1">
        <v>43003</v>
      </c>
      <c r="P5246" t="s">
        <v>41</v>
      </c>
      <c r="Q5246" t="s">
        <v>95</v>
      </c>
      <c r="R5246" t="str">
        <f>"7461013"</f>
        <v>7461013</v>
      </c>
      <c r="S5246" t="s">
        <v>1729</v>
      </c>
      <c r="T5246" t="s">
        <v>1725</v>
      </c>
      <c r="U5246" t="s">
        <v>1726</v>
      </c>
      <c r="V5246" t="s">
        <v>1705</v>
      </c>
      <c r="W5246" t="s">
        <v>44</v>
      </c>
      <c r="X5246" t="s">
        <v>45</v>
      </c>
      <c r="Y5246" s="1">
        <v>32447</v>
      </c>
      <c r="Z5246">
        <v>1</v>
      </c>
      <c r="AA5246" t="s">
        <v>1726</v>
      </c>
      <c r="AB5246" s="40" t="s">
        <v>1799</v>
      </c>
    </row>
    <row r="5247" spans="1:28" x14ac:dyDescent="0.25">
      <c r="A5247">
        <v>99915246</v>
      </c>
      <c r="B5247" t="s">
        <v>32</v>
      </c>
      <c r="C5247" t="s">
        <v>90</v>
      </c>
      <c r="D5247" t="s">
        <v>91</v>
      </c>
      <c r="G5247" t="s">
        <v>35</v>
      </c>
      <c r="H5247">
        <v>1</v>
      </c>
      <c r="I5247">
        <v>1962592</v>
      </c>
      <c r="J5247" s="1">
        <v>43362</v>
      </c>
      <c r="K5247" t="s">
        <v>1483</v>
      </c>
      <c r="L5247" t="s">
        <v>1484</v>
      </c>
      <c r="M5247" t="s">
        <v>1270</v>
      </c>
      <c r="N5247">
        <v>25</v>
      </c>
      <c r="O5247" s="1">
        <v>43362</v>
      </c>
      <c r="P5247" t="s">
        <v>41</v>
      </c>
      <c r="Q5247" t="s">
        <v>95</v>
      </c>
      <c r="R5247" t="str">
        <f>"7441003"</f>
        <v>7441003</v>
      </c>
      <c r="S5247" t="s">
        <v>1486</v>
      </c>
      <c r="T5247" t="s">
        <v>1483</v>
      </c>
      <c r="U5247" t="s">
        <v>1484</v>
      </c>
      <c r="V5247" t="s">
        <v>1270</v>
      </c>
      <c r="W5247" t="s">
        <v>44</v>
      </c>
      <c r="X5247" t="s">
        <v>45</v>
      </c>
      <c r="Y5247" s="1">
        <v>32409</v>
      </c>
      <c r="Z5247">
        <v>1</v>
      </c>
      <c r="AA5247" t="s">
        <v>1484</v>
      </c>
      <c r="AB5247" s="40" t="s">
        <v>1799</v>
      </c>
    </row>
    <row r="5248" spans="1:28" x14ac:dyDescent="0.25">
      <c r="A5248">
        <v>99915247</v>
      </c>
      <c r="B5248" t="s">
        <v>32</v>
      </c>
      <c r="C5248" t="s">
        <v>90</v>
      </c>
      <c r="D5248" t="s">
        <v>91</v>
      </c>
      <c r="G5248" t="s">
        <v>35</v>
      </c>
      <c r="H5248">
        <v>2</v>
      </c>
      <c r="K5248" t="s">
        <v>431</v>
      </c>
      <c r="L5248" t="s">
        <v>196</v>
      </c>
      <c r="M5248" t="s">
        <v>131</v>
      </c>
      <c r="N5248">
        <v>25</v>
      </c>
      <c r="P5248" t="s">
        <v>41</v>
      </c>
      <c r="Q5248" t="s">
        <v>95</v>
      </c>
      <c r="R5248" t="str">
        <f>"7521047"</f>
        <v>7521047</v>
      </c>
      <c r="S5248" t="s">
        <v>555</v>
      </c>
      <c r="T5248" t="s">
        <v>431</v>
      </c>
      <c r="U5248" t="s">
        <v>196</v>
      </c>
      <c r="V5248" t="s">
        <v>131</v>
      </c>
      <c r="W5248" t="s">
        <v>51</v>
      </c>
      <c r="X5248" t="s">
        <v>45</v>
      </c>
      <c r="Y5248" s="1">
        <v>32405</v>
      </c>
      <c r="Z5248">
        <v>1</v>
      </c>
      <c r="AA5248" t="s">
        <v>196</v>
      </c>
      <c r="AB5248" s="40" t="s">
        <v>1799</v>
      </c>
    </row>
    <row r="5249" spans="1:28" x14ac:dyDescent="0.25">
      <c r="A5249">
        <v>99915248</v>
      </c>
      <c r="B5249" t="s">
        <v>32</v>
      </c>
      <c r="C5249" t="s">
        <v>90</v>
      </c>
      <c r="D5249" t="s">
        <v>91</v>
      </c>
      <c r="G5249" t="s">
        <v>35</v>
      </c>
      <c r="H5249">
        <v>1</v>
      </c>
      <c r="I5249">
        <v>11279</v>
      </c>
      <c r="J5249" s="1">
        <v>43344</v>
      </c>
      <c r="K5249" t="s">
        <v>354</v>
      </c>
      <c r="L5249" t="s">
        <v>355</v>
      </c>
      <c r="M5249" t="s">
        <v>131</v>
      </c>
      <c r="N5249">
        <v>25</v>
      </c>
      <c r="O5249" s="1">
        <v>43344</v>
      </c>
      <c r="P5249" t="s">
        <v>41</v>
      </c>
      <c r="Q5249" t="s">
        <v>95</v>
      </c>
      <c r="R5249" t="str">
        <f>"7054115"</f>
        <v>7054115</v>
      </c>
      <c r="S5249" t="s">
        <v>860</v>
      </c>
      <c r="T5249" t="s">
        <v>354</v>
      </c>
      <c r="U5249" t="s">
        <v>355</v>
      </c>
      <c r="V5249" t="s">
        <v>131</v>
      </c>
      <c r="W5249" t="s">
        <v>51</v>
      </c>
      <c r="X5249" t="s">
        <v>45</v>
      </c>
      <c r="Y5249" s="1">
        <v>32403</v>
      </c>
      <c r="Z5249">
        <v>1</v>
      </c>
      <c r="AA5249" t="s">
        <v>355</v>
      </c>
      <c r="AB5249" s="40" t="s">
        <v>1799</v>
      </c>
    </row>
    <row r="5250" spans="1:28" x14ac:dyDescent="0.25">
      <c r="A5250">
        <v>99915249</v>
      </c>
      <c r="B5250" t="s">
        <v>32</v>
      </c>
      <c r="C5250" t="s">
        <v>90</v>
      </c>
      <c r="D5250" t="s">
        <v>91</v>
      </c>
      <c r="G5250" t="s">
        <v>35</v>
      </c>
      <c r="H5250">
        <v>1</v>
      </c>
      <c r="I5250" t="s">
        <v>692</v>
      </c>
      <c r="J5250" s="1">
        <v>43344</v>
      </c>
      <c r="K5250" t="s">
        <v>268</v>
      </c>
      <c r="L5250" t="s">
        <v>269</v>
      </c>
      <c r="M5250" t="s">
        <v>131</v>
      </c>
      <c r="N5250">
        <v>25</v>
      </c>
      <c r="O5250" s="1">
        <v>43344</v>
      </c>
      <c r="P5250" t="s">
        <v>41</v>
      </c>
      <c r="Q5250" t="s">
        <v>95</v>
      </c>
      <c r="R5250" t="str">
        <f>"7052095"</f>
        <v>7052095</v>
      </c>
      <c r="S5250" t="s">
        <v>693</v>
      </c>
      <c r="T5250" t="s">
        <v>268</v>
      </c>
      <c r="U5250" t="s">
        <v>269</v>
      </c>
      <c r="V5250" t="s">
        <v>131</v>
      </c>
      <c r="W5250" t="s">
        <v>51</v>
      </c>
      <c r="X5250" t="s">
        <v>45</v>
      </c>
      <c r="Y5250" s="1">
        <v>32374</v>
      </c>
      <c r="Z5250">
        <v>1</v>
      </c>
      <c r="AA5250" t="s">
        <v>269</v>
      </c>
      <c r="AB5250" s="40" t="s">
        <v>1799</v>
      </c>
    </row>
    <row r="5251" spans="1:28" x14ac:dyDescent="0.25">
      <c r="A5251">
        <v>99915250</v>
      </c>
      <c r="B5251" t="s">
        <v>32</v>
      </c>
      <c r="C5251" t="s">
        <v>90</v>
      </c>
      <c r="D5251" t="s">
        <v>91</v>
      </c>
      <c r="G5251" t="s">
        <v>35</v>
      </c>
      <c r="H5251">
        <v>1</v>
      </c>
      <c r="I5251">
        <v>9538</v>
      </c>
      <c r="J5251" s="1">
        <v>43346</v>
      </c>
      <c r="K5251" t="s">
        <v>354</v>
      </c>
      <c r="L5251" t="s">
        <v>355</v>
      </c>
      <c r="M5251" t="s">
        <v>131</v>
      </c>
      <c r="N5251">
        <v>25</v>
      </c>
      <c r="O5251" s="1">
        <v>43346</v>
      </c>
      <c r="P5251" t="s">
        <v>41</v>
      </c>
      <c r="Q5251" t="s">
        <v>95</v>
      </c>
      <c r="R5251" t="str">
        <f>"7054029"</f>
        <v>7054029</v>
      </c>
      <c r="S5251" t="s">
        <v>849</v>
      </c>
      <c r="T5251" t="s">
        <v>354</v>
      </c>
      <c r="U5251" t="s">
        <v>355</v>
      </c>
      <c r="V5251" t="s">
        <v>131</v>
      </c>
      <c r="W5251" t="s">
        <v>55</v>
      </c>
      <c r="X5251" t="s">
        <v>45</v>
      </c>
      <c r="Y5251" s="1">
        <v>32325</v>
      </c>
      <c r="Z5251">
        <v>1</v>
      </c>
      <c r="AA5251" t="s">
        <v>355</v>
      </c>
      <c r="AB5251" s="40" t="s">
        <v>1799</v>
      </c>
    </row>
    <row r="5252" spans="1:28" x14ac:dyDescent="0.25">
      <c r="A5252">
        <v>99915251</v>
      </c>
      <c r="B5252" t="s">
        <v>32</v>
      </c>
      <c r="C5252" t="s">
        <v>90</v>
      </c>
      <c r="D5252" t="s">
        <v>91</v>
      </c>
      <c r="G5252" t="s">
        <v>35</v>
      </c>
      <c r="H5252">
        <v>1</v>
      </c>
      <c r="I5252">
        <v>5</v>
      </c>
      <c r="J5252" s="1">
        <v>43355</v>
      </c>
      <c r="K5252" t="s">
        <v>101</v>
      </c>
      <c r="L5252" t="s">
        <v>102</v>
      </c>
      <c r="M5252" t="s">
        <v>39</v>
      </c>
      <c r="N5252">
        <v>25</v>
      </c>
      <c r="O5252" s="1">
        <v>43355</v>
      </c>
      <c r="P5252" t="s">
        <v>41</v>
      </c>
      <c r="Q5252" t="s">
        <v>95</v>
      </c>
      <c r="R5252" t="str">
        <f>"7111007"</f>
        <v>7111007</v>
      </c>
      <c r="S5252" t="s">
        <v>104</v>
      </c>
      <c r="T5252" t="s">
        <v>101</v>
      </c>
      <c r="U5252" t="s">
        <v>102</v>
      </c>
      <c r="V5252" t="s">
        <v>39</v>
      </c>
      <c r="W5252" t="s">
        <v>44</v>
      </c>
      <c r="X5252" t="s">
        <v>45</v>
      </c>
      <c r="Y5252" s="1">
        <v>32260</v>
      </c>
      <c r="Z5252">
        <v>1</v>
      </c>
      <c r="AA5252" t="s">
        <v>102</v>
      </c>
      <c r="AB5252" s="40" t="s">
        <v>1799</v>
      </c>
    </row>
    <row r="5253" spans="1:28" x14ac:dyDescent="0.25">
      <c r="A5253">
        <v>99915252</v>
      </c>
      <c r="B5253" t="s">
        <v>32</v>
      </c>
      <c r="C5253" t="s">
        <v>90</v>
      </c>
      <c r="D5253" t="s">
        <v>91</v>
      </c>
      <c r="G5253" t="s">
        <v>35</v>
      </c>
      <c r="H5253">
        <v>1</v>
      </c>
      <c r="I5253" t="s">
        <v>99</v>
      </c>
      <c r="J5253" s="1">
        <v>43413</v>
      </c>
      <c r="K5253" t="s">
        <v>93</v>
      </c>
      <c r="L5253" t="s">
        <v>94</v>
      </c>
      <c r="M5253" t="s">
        <v>39</v>
      </c>
      <c r="N5253">
        <v>25</v>
      </c>
      <c r="O5253" s="1">
        <v>43413</v>
      </c>
      <c r="P5253" t="s">
        <v>41</v>
      </c>
      <c r="Q5253" t="s">
        <v>95</v>
      </c>
      <c r="R5253" t="str">
        <f>"7091003"</f>
        <v>7091003</v>
      </c>
      <c r="S5253" t="s">
        <v>96</v>
      </c>
      <c r="T5253" t="s">
        <v>93</v>
      </c>
      <c r="U5253" t="s">
        <v>94</v>
      </c>
      <c r="V5253" t="s">
        <v>39</v>
      </c>
      <c r="W5253" t="s">
        <v>44</v>
      </c>
      <c r="X5253" t="s">
        <v>45</v>
      </c>
      <c r="Y5253" s="1">
        <v>32249</v>
      </c>
      <c r="Z5253">
        <v>1</v>
      </c>
      <c r="AA5253" t="s">
        <v>94</v>
      </c>
      <c r="AB5253" s="40" t="s">
        <v>1799</v>
      </c>
    </row>
    <row r="5254" spans="1:28" x14ac:dyDescent="0.25">
      <c r="A5254">
        <v>99915253</v>
      </c>
      <c r="B5254" t="s">
        <v>32</v>
      </c>
      <c r="C5254" t="s">
        <v>90</v>
      </c>
      <c r="D5254" t="s">
        <v>91</v>
      </c>
      <c r="G5254" t="s">
        <v>35</v>
      </c>
      <c r="H5254">
        <v>1</v>
      </c>
      <c r="I5254">
        <v>4797</v>
      </c>
      <c r="J5254" s="1">
        <v>43355</v>
      </c>
      <c r="K5254" t="s">
        <v>1245</v>
      </c>
      <c r="L5254" t="s">
        <v>1246</v>
      </c>
      <c r="M5254" t="s">
        <v>1130</v>
      </c>
      <c r="N5254">
        <v>25</v>
      </c>
      <c r="O5254" s="1">
        <v>43355</v>
      </c>
      <c r="P5254" t="s">
        <v>41</v>
      </c>
      <c r="Q5254" t="s">
        <v>95</v>
      </c>
      <c r="R5254" t="str">
        <f>"7451013"</f>
        <v>7451013</v>
      </c>
      <c r="S5254" t="s">
        <v>1248</v>
      </c>
      <c r="T5254" t="s">
        <v>1245</v>
      </c>
      <c r="U5254" t="s">
        <v>1246</v>
      </c>
      <c r="V5254" t="s">
        <v>1130</v>
      </c>
      <c r="W5254" t="s">
        <v>44</v>
      </c>
      <c r="X5254" t="s">
        <v>45</v>
      </c>
      <c r="Y5254" s="1">
        <v>32233</v>
      </c>
      <c r="Z5254">
        <v>1</v>
      </c>
      <c r="AA5254" t="s">
        <v>1246</v>
      </c>
      <c r="AB5254" s="40" t="s">
        <v>1799</v>
      </c>
    </row>
    <row r="5255" spans="1:28" x14ac:dyDescent="0.25">
      <c r="A5255">
        <v>99915254</v>
      </c>
      <c r="B5255" t="s">
        <v>32</v>
      </c>
      <c r="C5255" t="s">
        <v>90</v>
      </c>
      <c r="D5255" t="s">
        <v>91</v>
      </c>
      <c r="G5255" t="s">
        <v>35</v>
      </c>
      <c r="H5255">
        <v>1</v>
      </c>
      <c r="K5255" t="s">
        <v>354</v>
      </c>
      <c r="L5255" t="s">
        <v>355</v>
      </c>
      <c r="M5255" t="s">
        <v>131</v>
      </c>
      <c r="N5255">
        <v>25</v>
      </c>
      <c r="P5255" t="s">
        <v>41</v>
      </c>
      <c r="Q5255" t="s">
        <v>95</v>
      </c>
      <c r="R5255" t="str">
        <f>"7054077"</f>
        <v>7054077</v>
      </c>
      <c r="S5255" t="s">
        <v>846</v>
      </c>
      <c r="T5255" t="s">
        <v>354</v>
      </c>
      <c r="U5255" t="s">
        <v>355</v>
      </c>
      <c r="V5255" t="s">
        <v>131</v>
      </c>
      <c r="W5255" t="s">
        <v>51</v>
      </c>
      <c r="X5255" t="s">
        <v>45</v>
      </c>
      <c r="Y5255" s="1">
        <v>32231</v>
      </c>
      <c r="Z5255">
        <v>1</v>
      </c>
      <c r="AA5255" t="s">
        <v>355</v>
      </c>
      <c r="AB5255" s="40" t="s">
        <v>1799</v>
      </c>
    </row>
    <row r="5256" spans="1:28" x14ac:dyDescent="0.25">
      <c r="A5256">
        <v>99915255</v>
      </c>
      <c r="B5256" t="s">
        <v>32</v>
      </c>
      <c r="C5256" t="s">
        <v>90</v>
      </c>
      <c r="D5256" t="s">
        <v>91</v>
      </c>
      <c r="G5256" t="s">
        <v>48</v>
      </c>
      <c r="H5256">
        <v>2</v>
      </c>
      <c r="K5256" t="s">
        <v>354</v>
      </c>
      <c r="L5256" t="s">
        <v>355</v>
      </c>
      <c r="M5256" t="s">
        <v>131</v>
      </c>
      <c r="N5256">
        <v>25</v>
      </c>
      <c r="P5256" t="s">
        <v>41</v>
      </c>
      <c r="Q5256" t="s">
        <v>95</v>
      </c>
      <c r="R5256" t="str">
        <f>"7054141"</f>
        <v>7054141</v>
      </c>
      <c r="S5256" t="s">
        <v>842</v>
      </c>
      <c r="T5256" t="s">
        <v>354</v>
      </c>
      <c r="U5256" t="s">
        <v>355</v>
      </c>
      <c r="V5256" t="s">
        <v>131</v>
      </c>
      <c r="W5256" t="s">
        <v>51</v>
      </c>
      <c r="X5256" t="s">
        <v>45</v>
      </c>
      <c r="Y5256" s="1">
        <v>32213</v>
      </c>
      <c r="Z5256">
        <v>1</v>
      </c>
      <c r="AA5256" t="s">
        <v>355</v>
      </c>
      <c r="AB5256" s="40" t="s">
        <v>1799</v>
      </c>
    </row>
    <row r="5257" spans="1:28" x14ac:dyDescent="0.25">
      <c r="A5257">
        <v>99915256</v>
      </c>
      <c r="B5257" t="s">
        <v>32</v>
      </c>
      <c r="C5257" t="s">
        <v>90</v>
      </c>
      <c r="D5257" t="s">
        <v>91</v>
      </c>
      <c r="G5257" t="s">
        <v>35</v>
      </c>
      <c r="H5257">
        <v>1</v>
      </c>
      <c r="I5257">
        <v>1799622</v>
      </c>
      <c r="J5257" s="1">
        <v>43344</v>
      </c>
      <c r="K5257" t="s">
        <v>268</v>
      </c>
      <c r="L5257" t="s">
        <v>269</v>
      </c>
      <c r="M5257" t="s">
        <v>131</v>
      </c>
      <c r="N5257">
        <v>25</v>
      </c>
      <c r="P5257" t="s">
        <v>41</v>
      </c>
      <c r="Q5257" t="s">
        <v>95</v>
      </c>
      <c r="R5257" t="str">
        <f>"7052037"</f>
        <v>7052037</v>
      </c>
      <c r="S5257" t="s">
        <v>652</v>
      </c>
      <c r="T5257" t="s">
        <v>268</v>
      </c>
      <c r="U5257" t="s">
        <v>269</v>
      </c>
      <c r="V5257" t="s">
        <v>131</v>
      </c>
      <c r="W5257" t="s">
        <v>51</v>
      </c>
      <c r="X5257" t="s">
        <v>45</v>
      </c>
      <c r="Y5257" s="1">
        <v>32189</v>
      </c>
      <c r="Z5257">
        <v>1</v>
      </c>
      <c r="AA5257" t="s">
        <v>269</v>
      </c>
      <c r="AB5257" s="40" t="s">
        <v>1799</v>
      </c>
    </row>
    <row r="5258" spans="1:28" x14ac:dyDescent="0.25">
      <c r="A5258">
        <v>99915257</v>
      </c>
      <c r="B5258" t="s">
        <v>32</v>
      </c>
      <c r="C5258" t="s">
        <v>90</v>
      </c>
      <c r="D5258" t="s">
        <v>91</v>
      </c>
      <c r="G5258" t="s">
        <v>48</v>
      </c>
      <c r="H5258">
        <v>1</v>
      </c>
      <c r="K5258" t="s">
        <v>1619</v>
      </c>
      <c r="L5258" t="s">
        <v>1620</v>
      </c>
      <c r="M5258" t="s">
        <v>1592</v>
      </c>
      <c r="N5258">
        <v>25</v>
      </c>
      <c r="P5258" t="s">
        <v>41</v>
      </c>
      <c r="Q5258" t="s">
        <v>95</v>
      </c>
      <c r="R5258" t="str">
        <f>"7281017"</f>
        <v>7281017</v>
      </c>
      <c r="S5258" t="s">
        <v>1656</v>
      </c>
      <c r="T5258" t="s">
        <v>1619</v>
      </c>
      <c r="U5258" t="s">
        <v>1620</v>
      </c>
      <c r="V5258" t="s">
        <v>1592</v>
      </c>
      <c r="W5258" t="s">
        <v>51</v>
      </c>
      <c r="X5258" t="s">
        <v>45</v>
      </c>
      <c r="Y5258" s="1">
        <v>32119</v>
      </c>
      <c r="Z5258">
        <v>1</v>
      </c>
      <c r="AA5258" t="s">
        <v>1620</v>
      </c>
      <c r="AB5258" s="40" t="s">
        <v>1799</v>
      </c>
    </row>
    <row r="5259" spans="1:28" x14ac:dyDescent="0.25">
      <c r="A5259">
        <v>99915258</v>
      </c>
      <c r="B5259" t="s">
        <v>32</v>
      </c>
      <c r="C5259" t="s">
        <v>90</v>
      </c>
      <c r="D5259" t="s">
        <v>91</v>
      </c>
      <c r="G5259" t="s">
        <v>48</v>
      </c>
      <c r="H5259">
        <v>1</v>
      </c>
      <c r="K5259" t="s">
        <v>1725</v>
      </c>
      <c r="L5259" t="s">
        <v>1726</v>
      </c>
      <c r="M5259" t="s">
        <v>1705</v>
      </c>
      <c r="N5259">
        <v>25</v>
      </c>
      <c r="P5259" t="s">
        <v>41</v>
      </c>
      <c r="Q5259" t="s">
        <v>95</v>
      </c>
      <c r="R5259" t="str">
        <f>"7461025"</f>
        <v>7461025</v>
      </c>
      <c r="S5259" t="s">
        <v>1740</v>
      </c>
      <c r="T5259" t="s">
        <v>1725</v>
      </c>
      <c r="U5259" t="s">
        <v>1726</v>
      </c>
      <c r="V5259" t="s">
        <v>1705</v>
      </c>
      <c r="W5259" t="s">
        <v>51</v>
      </c>
      <c r="X5259" t="s">
        <v>45</v>
      </c>
      <c r="Y5259" s="1">
        <v>32115</v>
      </c>
      <c r="Z5259">
        <v>1</v>
      </c>
      <c r="AA5259" t="s">
        <v>1726</v>
      </c>
      <c r="AB5259" s="40" t="s">
        <v>1799</v>
      </c>
    </row>
    <row r="5260" spans="1:28" x14ac:dyDescent="0.25">
      <c r="A5260">
        <v>99915259</v>
      </c>
      <c r="B5260" t="s">
        <v>32</v>
      </c>
      <c r="C5260" t="s">
        <v>90</v>
      </c>
      <c r="D5260" t="s">
        <v>91</v>
      </c>
      <c r="G5260" t="s">
        <v>35</v>
      </c>
      <c r="H5260">
        <v>1</v>
      </c>
      <c r="K5260" t="s">
        <v>877</v>
      </c>
      <c r="L5260" t="s">
        <v>878</v>
      </c>
      <c r="M5260" t="s">
        <v>131</v>
      </c>
      <c r="N5260">
        <v>25</v>
      </c>
      <c r="P5260" t="s">
        <v>41</v>
      </c>
      <c r="Q5260" t="s">
        <v>95</v>
      </c>
      <c r="R5260" t="str">
        <f>"7541043"</f>
        <v>7541043</v>
      </c>
      <c r="S5260" t="s">
        <v>900</v>
      </c>
      <c r="T5260" t="s">
        <v>877</v>
      </c>
      <c r="U5260" t="s">
        <v>878</v>
      </c>
      <c r="V5260" t="s">
        <v>131</v>
      </c>
      <c r="W5260" t="s">
        <v>51</v>
      </c>
      <c r="X5260" t="s">
        <v>45</v>
      </c>
      <c r="Y5260" s="1">
        <v>32089</v>
      </c>
      <c r="Z5260">
        <v>1</v>
      </c>
      <c r="AA5260" t="s">
        <v>878</v>
      </c>
      <c r="AB5260" s="40" t="s">
        <v>1799</v>
      </c>
    </row>
    <row r="5261" spans="1:28" x14ac:dyDescent="0.25">
      <c r="A5261">
        <v>99915260</v>
      </c>
      <c r="B5261" t="s">
        <v>32</v>
      </c>
      <c r="C5261" t="s">
        <v>90</v>
      </c>
      <c r="D5261" t="s">
        <v>91</v>
      </c>
      <c r="G5261" t="s">
        <v>35</v>
      </c>
      <c r="H5261">
        <v>1</v>
      </c>
      <c r="I5261" t="s">
        <v>1035</v>
      </c>
      <c r="J5261" s="1">
        <v>43354</v>
      </c>
      <c r="K5261" t="s">
        <v>1029</v>
      </c>
      <c r="L5261" t="s">
        <v>1030</v>
      </c>
      <c r="M5261" t="s">
        <v>938</v>
      </c>
      <c r="N5261">
        <v>25</v>
      </c>
      <c r="O5261" s="1">
        <v>43354</v>
      </c>
      <c r="P5261" t="s">
        <v>41</v>
      </c>
      <c r="Q5261" t="s">
        <v>95</v>
      </c>
      <c r="R5261" t="str">
        <f>"7151003"</f>
        <v>7151003</v>
      </c>
      <c r="S5261" t="s">
        <v>1034</v>
      </c>
      <c r="T5261" t="s">
        <v>1029</v>
      </c>
      <c r="U5261" t="s">
        <v>1030</v>
      </c>
      <c r="V5261" t="s">
        <v>938</v>
      </c>
      <c r="W5261" t="s">
        <v>44</v>
      </c>
      <c r="X5261" t="s">
        <v>45</v>
      </c>
      <c r="Y5261" s="1">
        <v>32089</v>
      </c>
      <c r="Z5261">
        <v>1</v>
      </c>
      <c r="AA5261" t="s">
        <v>1030</v>
      </c>
      <c r="AB5261" s="40" t="s">
        <v>1799</v>
      </c>
    </row>
    <row r="5262" spans="1:28" x14ac:dyDescent="0.25">
      <c r="A5262">
        <v>99915261</v>
      </c>
      <c r="B5262" t="s">
        <v>32</v>
      </c>
      <c r="C5262" t="s">
        <v>90</v>
      </c>
      <c r="D5262" t="s">
        <v>91</v>
      </c>
      <c r="G5262" t="s">
        <v>35</v>
      </c>
      <c r="H5262">
        <v>1</v>
      </c>
      <c r="I5262">
        <v>3424</v>
      </c>
      <c r="J5262" s="1">
        <v>43344</v>
      </c>
      <c r="K5262" t="s">
        <v>1245</v>
      </c>
      <c r="L5262" t="s">
        <v>1246</v>
      </c>
      <c r="M5262" t="s">
        <v>1130</v>
      </c>
      <c r="N5262">
        <v>25</v>
      </c>
      <c r="O5262" s="1">
        <v>43344</v>
      </c>
      <c r="P5262" t="s">
        <v>41</v>
      </c>
      <c r="Q5262" t="s">
        <v>95</v>
      </c>
      <c r="R5262" t="str">
        <f>"7451013"</f>
        <v>7451013</v>
      </c>
      <c r="S5262" t="s">
        <v>1248</v>
      </c>
      <c r="T5262" t="s">
        <v>1245</v>
      </c>
      <c r="U5262" t="s">
        <v>1246</v>
      </c>
      <c r="V5262" t="s">
        <v>1130</v>
      </c>
      <c r="W5262" t="s">
        <v>51</v>
      </c>
      <c r="X5262" t="s">
        <v>45</v>
      </c>
      <c r="Y5262" s="1">
        <v>32072</v>
      </c>
      <c r="Z5262">
        <v>1</v>
      </c>
      <c r="AA5262" t="s">
        <v>1246</v>
      </c>
      <c r="AB5262" s="40" t="s">
        <v>1799</v>
      </c>
    </row>
    <row r="5263" spans="1:28" x14ac:dyDescent="0.25">
      <c r="A5263">
        <v>99915262</v>
      </c>
      <c r="B5263" t="s">
        <v>32</v>
      </c>
      <c r="C5263" t="s">
        <v>90</v>
      </c>
      <c r="D5263" t="s">
        <v>91</v>
      </c>
      <c r="G5263" t="s">
        <v>35</v>
      </c>
      <c r="H5263">
        <v>1</v>
      </c>
      <c r="I5263">
        <v>6594</v>
      </c>
      <c r="J5263" s="1">
        <v>43347</v>
      </c>
      <c r="K5263" t="s">
        <v>667</v>
      </c>
      <c r="L5263" t="s">
        <v>669</v>
      </c>
      <c r="M5263" t="s">
        <v>670</v>
      </c>
      <c r="N5263">
        <v>25</v>
      </c>
      <c r="O5263" s="1">
        <v>43347</v>
      </c>
      <c r="P5263" t="s">
        <v>41</v>
      </c>
      <c r="Q5263" t="s">
        <v>95</v>
      </c>
      <c r="R5263" t="str">
        <f>"7501011"</f>
        <v>7501011</v>
      </c>
      <c r="S5263" t="s">
        <v>1542</v>
      </c>
      <c r="T5263" t="s">
        <v>667</v>
      </c>
      <c r="U5263" t="s">
        <v>669</v>
      </c>
      <c r="V5263" t="s">
        <v>670</v>
      </c>
      <c r="W5263" t="s">
        <v>44</v>
      </c>
      <c r="X5263" t="s">
        <v>45</v>
      </c>
      <c r="Y5263" s="1">
        <v>32062</v>
      </c>
      <c r="Z5263">
        <v>1</v>
      </c>
      <c r="AA5263" t="s">
        <v>669</v>
      </c>
      <c r="AB5263" s="40" t="s">
        <v>1799</v>
      </c>
    </row>
    <row r="5264" spans="1:28" x14ac:dyDescent="0.25">
      <c r="A5264">
        <v>99915263</v>
      </c>
      <c r="B5264" t="s">
        <v>32</v>
      </c>
      <c r="C5264" t="s">
        <v>90</v>
      </c>
      <c r="D5264" t="s">
        <v>91</v>
      </c>
      <c r="G5264" t="s">
        <v>48</v>
      </c>
      <c r="H5264">
        <v>1</v>
      </c>
      <c r="K5264" t="s">
        <v>195</v>
      </c>
      <c r="L5264" t="s">
        <v>196</v>
      </c>
      <c r="M5264" t="s">
        <v>131</v>
      </c>
      <c r="N5264">
        <v>25</v>
      </c>
      <c r="P5264" t="s">
        <v>41</v>
      </c>
      <c r="Q5264" t="s">
        <v>95</v>
      </c>
      <c r="R5264" t="str">
        <f>"7521021"</f>
        <v>7521021</v>
      </c>
      <c r="S5264" t="s">
        <v>458</v>
      </c>
      <c r="T5264" t="s">
        <v>195</v>
      </c>
      <c r="U5264" t="s">
        <v>196</v>
      </c>
      <c r="V5264" t="s">
        <v>131</v>
      </c>
      <c r="W5264" t="s">
        <v>51</v>
      </c>
      <c r="X5264" t="s">
        <v>45</v>
      </c>
      <c r="Y5264" s="1">
        <v>32036</v>
      </c>
      <c r="Z5264">
        <v>1</v>
      </c>
      <c r="AA5264" t="s">
        <v>196</v>
      </c>
      <c r="AB5264" s="40" t="s">
        <v>1799</v>
      </c>
    </row>
    <row r="5265" spans="1:28" x14ac:dyDescent="0.25">
      <c r="A5265">
        <v>99915264</v>
      </c>
      <c r="B5265" t="s">
        <v>32</v>
      </c>
      <c r="C5265" t="s">
        <v>90</v>
      </c>
      <c r="D5265" t="s">
        <v>91</v>
      </c>
      <c r="G5265" t="s">
        <v>88</v>
      </c>
      <c r="H5265">
        <v>2</v>
      </c>
      <c r="I5265" t="s">
        <v>485</v>
      </c>
      <c r="J5265" s="1">
        <v>42248</v>
      </c>
      <c r="K5265" t="s">
        <v>195</v>
      </c>
      <c r="L5265" t="s">
        <v>196</v>
      </c>
      <c r="M5265" t="s">
        <v>131</v>
      </c>
      <c r="N5265">
        <v>25</v>
      </c>
      <c r="O5265" s="1">
        <v>42248</v>
      </c>
      <c r="P5265" t="s">
        <v>41</v>
      </c>
      <c r="Q5265" t="s">
        <v>95</v>
      </c>
      <c r="R5265" t="str">
        <f>"7521101"</f>
        <v>7521101</v>
      </c>
      <c r="S5265" t="s">
        <v>486</v>
      </c>
      <c r="T5265" t="s">
        <v>195</v>
      </c>
      <c r="U5265" t="s">
        <v>196</v>
      </c>
      <c r="V5265" t="s">
        <v>131</v>
      </c>
      <c r="W5265" t="s">
        <v>51</v>
      </c>
      <c r="X5265" t="s">
        <v>45</v>
      </c>
      <c r="Y5265" s="1">
        <v>32032</v>
      </c>
      <c r="Z5265">
        <v>1</v>
      </c>
      <c r="AA5265" t="s">
        <v>196</v>
      </c>
      <c r="AB5265" s="40" t="s">
        <v>1799</v>
      </c>
    </row>
    <row r="5266" spans="1:28" x14ac:dyDescent="0.25">
      <c r="A5266">
        <v>99915265</v>
      </c>
      <c r="B5266" t="s">
        <v>32</v>
      </c>
      <c r="C5266" t="s">
        <v>90</v>
      </c>
      <c r="D5266" t="s">
        <v>91</v>
      </c>
      <c r="G5266" t="s">
        <v>48</v>
      </c>
      <c r="H5266">
        <v>1</v>
      </c>
      <c r="K5266" t="s">
        <v>1708</v>
      </c>
      <c r="L5266" t="s">
        <v>1709</v>
      </c>
      <c r="M5266" t="s">
        <v>1705</v>
      </c>
      <c r="N5266">
        <v>25</v>
      </c>
      <c r="P5266" t="s">
        <v>41</v>
      </c>
      <c r="Q5266" t="s">
        <v>95</v>
      </c>
      <c r="R5266" t="str">
        <f>"7121015"</f>
        <v>7121015</v>
      </c>
      <c r="S5266" t="s">
        <v>1722</v>
      </c>
      <c r="T5266" t="s">
        <v>1708</v>
      </c>
      <c r="U5266" t="s">
        <v>1709</v>
      </c>
      <c r="V5266" t="s">
        <v>1705</v>
      </c>
      <c r="W5266" t="s">
        <v>51</v>
      </c>
      <c r="X5266" t="s">
        <v>45</v>
      </c>
      <c r="Y5266" s="1">
        <v>32031</v>
      </c>
      <c r="Z5266">
        <v>1</v>
      </c>
      <c r="AA5266" t="s">
        <v>1709</v>
      </c>
      <c r="AB5266" s="40" t="s">
        <v>1799</v>
      </c>
    </row>
    <row r="5267" spans="1:28" x14ac:dyDescent="0.25">
      <c r="A5267">
        <v>99915266</v>
      </c>
      <c r="B5267" t="s">
        <v>32</v>
      </c>
      <c r="C5267" t="s">
        <v>90</v>
      </c>
      <c r="D5267" t="s">
        <v>91</v>
      </c>
      <c r="G5267" t="s">
        <v>35</v>
      </c>
      <c r="H5267">
        <v>1</v>
      </c>
      <c r="J5267" s="1">
        <v>43344</v>
      </c>
      <c r="K5267" t="s">
        <v>354</v>
      </c>
      <c r="L5267" t="s">
        <v>355</v>
      </c>
      <c r="M5267" t="s">
        <v>131</v>
      </c>
      <c r="N5267">
        <v>25</v>
      </c>
      <c r="O5267" s="1">
        <v>43344</v>
      </c>
      <c r="P5267" t="s">
        <v>41</v>
      </c>
      <c r="Q5267" t="s">
        <v>95</v>
      </c>
      <c r="R5267" t="str">
        <f>"7054055"</f>
        <v>7054055</v>
      </c>
      <c r="S5267" t="s">
        <v>771</v>
      </c>
      <c r="T5267" t="s">
        <v>354</v>
      </c>
      <c r="U5267" t="s">
        <v>355</v>
      </c>
      <c r="V5267" t="s">
        <v>131</v>
      </c>
      <c r="W5267" t="s">
        <v>51</v>
      </c>
      <c r="X5267" t="s">
        <v>45</v>
      </c>
      <c r="Y5267" s="1">
        <v>32018</v>
      </c>
      <c r="Z5267">
        <v>1</v>
      </c>
      <c r="AA5267" t="s">
        <v>355</v>
      </c>
      <c r="AB5267" s="40" t="s">
        <v>1799</v>
      </c>
    </row>
    <row r="5268" spans="1:28" x14ac:dyDescent="0.25">
      <c r="A5268">
        <v>99915267</v>
      </c>
      <c r="B5268" t="s">
        <v>32</v>
      </c>
      <c r="C5268" t="s">
        <v>90</v>
      </c>
      <c r="D5268" t="s">
        <v>91</v>
      </c>
      <c r="G5268" t="s">
        <v>35</v>
      </c>
      <c r="H5268">
        <v>1</v>
      </c>
      <c r="I5268">
        <v>228</v>
      </c>
      <c r="J5268" s="1">
        <v>43344</v>
      </c>
      <c r="K5268" t="s">
        <v>1245</v>
      </c>
      <c r="L5268" t="s">
        <v>1246</v>
      </c>
      <c r="M5268" t="s">
        <v>1130</v>
      </c>
      <c r="N5268">
        <v>25</v>
      </c>
      <c r="O5268" s="1">
        <v>43344</v>
      </c>
      <c r="P5268" t="s">
        <v>41</v>
      </c>
      <c r="Q5268" t="s">
        <v>95</v>
      </c>
      <c r="R5268" t="str">
        <f>"7451017"</f>
        <v>7451017</v>
      </c>
      <c r="S5268" t="s">
        <v>1252</v>
      </c>
      <c r="T5268" t="s">
        <v>1245</v>
      </c>
      <c r="U5268" t="s">
        <v>1246</v>
      </c>
      <c r="V5268" t="s">
        <v>1130</v>
      </c>
      <c r="W5268" t="s">
        <v>51</v>
      </c>
      <c r="X5268" t="s">
        <v>45</v>
      </c>
      <c r="Y5268" s="1">
        <v>31957</v>
      </c>
      <c r="Z5268">
        <v>1</v>
      </c>
      <c r="AA5268" t="s">
        <v>1246</v>
      </c>
      <c r="AB5268" s="40" t="s">
        <v>1799</v>
      </c>
    </row>
    <row r="5269" spans="1:28" x14ac:dyDescent="0.25">
      <c r="A5269">
        <v>99915268</v>
      </c>
      <c r="B5269" t="s">
        <v>32</v>
      </c>
      <c r="C5269" t="s">
        <v>90</v>
      </c>
      <c r="D5269" t="s">
        <v>91</v>
      </c>
      <c r="G5269" t="s">
        <v>35</v>
      </c>
      <c r="H5269">
        <v>1</v>
      </c>
      <c r="I5269" t="s">
        <v>286</v>
      </c>
      <c r="J5269" s="1">
        <v>43344</v>
      </c>
      <c r="K5269" t="s">
        <v>268</v>
      </c>
      <c r="L5269" t="s">
        <v>269</v>
      </c>
      <c r="M5269" t="s">
        <v>131</v>
      </c>
      <c r="N5269">
        <v>25</v>
      </c>
      <c r="O5269" s="1">
        <v>43344</v>
      </c>
      <c r="P5269" t="s">
        <v>41</v>
      </c>
      <c r="Q5269" t="s">
        <v>95</v>
      </c>
      <c r="R5269" t="str">
        <f>"7052075"</f>
        <v>7052075</v>
      </c>
      <c r="S5269" t="s">
        <v>586</v>
      </c>
      <c r="T5269" t="s">
        <v>268</v>
      </c>
      <c r="U5269" t="s">
        <v>269</v>
      </c>
      <c r="V5269" t="s">
        <v>131</v>
      </c>
      <c r="W5269" t="s">
        <v>44</v>
      </c>
      <c r="X5269" t="s">
        <v>45</v>
      </c>
      <c r="Y5269" s="1">
        <v>31946</v>
      </c>
      <c r="Z5269">
        <v>1</v>
      </c>
      <c r="AA5269" t="s">
        <v>269</v>
      </c>
      <c r="AB5269" s="40" t="s">
        <v>1799</v>
      </c>
    </row>
    <row r="5270" spans="1:28" x14ac:dyDescent="0.25">
      <c r="A5270">
        <v>99915269</v>
      </c>
      <c r="B5270" t="s">
        <v>32</v>
      </c>
      <c r="C5270" t="s">
        <v>90</v>
      </c>
      <c r="D5270" t="s">
        <v>91</v>
      </c>
      <c r="G5270" t="s">
        <v>48</v>
      </c>
      <c r="H5270">
        <v>4</v>
      </c>
      <c r="K5270" t="s">
        <v>1725</v>
      </c>
      <c r="L5270" t="s">
        <v>1726</v>
      </c>
      <c r="M5270" t="s">
        <v>1705</v>
      </c>
      <c r="N5270">
        <v>25</v>
      </c>
      <c r="P5270" t="s">
        <v>41</v>
      </c>
      <c r="Q5270" t="s">
        <v>95</v>
      </c>
      <c r="R5270" t="str">
        <f>"7461021"</f>
        <v>7461021</v>
      </c>
      <c r="S5270" t="s">
        <v>1730</v>
      </c>
      <c r="T5270" t="s">
        <v>1725</v>
      </c>
      <c r="U5270" t="s">
        <v>1726</v>
      </c>
      <c r="V5270" t="s">
        <v>1705</v>
      </c>
      <c r="W5270" t="s">
        <v>51</v>
      </c>
      <c r="X5270" t="s">
        <v>45</v>
      </c>
      <c r="Y5270" s="1">
        <v>31940</v>
      </c>
      <c r="Z5270">
        <v>1</v>
      </c>
      <c r="AA5270" t="s">
        <v>1726</v>
      </c>
      <c r="AB5270" s="40" t="s">
        <v>1799</v>
      </c>
    </row>
    <row r="5271" spans="1:28" x14ac:dyDescent="0.25">
      <c r="A5271">
        <v>99915270</v>
      </c>
      <c r="B5271" t="s">
        <v>32</v>
      </c>
      <c r="C5271" t="s">
        <v>90</v>
      </c>
      <c r="D5271" t="s">
        <v>91</v>
      </c>
      <c r="G5271" t="s">
        <v>48</v>
      </c>
      <c r="H5271">
        <v>2</v>
      </c>
      <c r="K5271" t="s">
        <v>1221</v>
      </c>
      <c r="L5271" t="s">
        <v>1222</v>
      </c>
      <c r="M5271" t="s">
        <v>1130</v>
      </c>
      <c r="N5271">
        <v>25</v>
      </c>
      <c r="P5271" t="s">
        <v>41</v>
      </c>
      <c r="Q5271" t="s">
        <v>95</v>
      </c>
      <c r="R5271" t="str">
        <f>"7351013"</f>
        <v>7351013</v>
      </c>
      <c r="S5271" t="s">
        <v>1233</v>
      </c>
      <c r="T5271" t="s">
        <v>1221</v>
      </c>
      <c r="U5271" t="s">
        <v>1222</v>
      </c>
      <c r="V5271" t="s">
        <v>1130</v>
      </c>
      <c r="W5271" t="s">
        <v>51</v>
      </c>
      <c r="X5271" t="s">
        <v>45</v>
      </c>
      <c r="Y5271" s="1">
        <v>31908</v>
      </c>
      <c r="Z5271">
        <v>1</v>
      </c>
      <c r="AA5271" t="s">
        <v>1222</v>
      </c>
      <c r="AB5271" s="40" t="s">
        <v>1799</v>
      </c>
    </row>
    <row r="5272" spans="1:28" x14ac:dyDescent="0.25">
      <c r="A5272">
        <v>99915271</v>
      </c>
      <c r="B5272" t="s">
        <v>32</v>
      </c>
      <c r="C5272" t="s">
        <v>90</v>
      </c>
      <c r="D5272" t="s">
        <v>91</v>
      </c>
      <c r="G5272" t="s">
        <v>35</v>
      </c>
      <c r="H5272">
        <v>2</v>
      </c>
      <c r="K5272" t="s">
        <v>1426</v>
      </c>
      <c r="L5272" t="s">
        <v>1427</v>
      </c>
      <c r="M5272" t="s">
        <v>1270</v>
      </c>
      <c r="N5272">
        <v>25</v>
      </c>
      <c r="P5272" t="s">
        <v>41</v>
      </c>
      <c r="Q5272" t="s">
        <v>95</v>
      </c>
      <c r="R5272" t="str">
        <f>"7192051"</f>
        <v>7192051</v>
      </c>
      <c r="S5272" t="s">
        <v>1456</v>
      </c>
      <c r="T5272" t="s">
        <v>1426</v>
      </c>
      <c r="U5272" t="s">
        <v>1427</v>
      </c>
      <c r="V5272" t="s">
        <v>1270</v>
      </c>
      <c r="W5272" t="s">
        <v>51</v>
      </c>
      <c r="X5272" t="s">
        <v>45</v>
      </c>
      <c r="Y5272" s="1">
        <v>31908</v>
      </c>
      <c r="Z5272">
        <v>1</v>
      </c>
      <c r="AA5272" t="s">
        <v>1427</v>
      </c>
      <c r="AB5272" s="40" t="s">
        <v>1799</v>
      </c>
    </row>
    <row r="5273" spans="1:28" x14ac:dyDescent="0.25">
      <c r="A5273">
        <v>99915272</v>
      </c>
      <c r="B5273" t="s">
        <v>32</v>
      </c>
      <c r="C5273" t="s">
        <v>90</v>
      </c>
      <c r="D5273" t="s">
        <v>91</v>
      </c>
      <c r="G5273" t="s">
        <v>35</v>
      </c>
      <c r="H5273">
        <v>1</v>
      </c>
      <c r="I5273">
        <v>10144</v>
      </c>
      <c r="J5273" s="1">
        <v>43374</v>
      </c>
      <c r="K5273" t="s">
        <v>354</v>
      </c>
      <c r="L5273" t="s">
        <v>355</v>
      </c>
      <c r="M5273" t="s">
        <v>131</v>
      </c>
      <c r="N5273">
        <v>25</v>
      </c>
      <c r="O5273" s="1">
        <v>43374</v>
      </c>
      <c r="P5273" t="s">
        <v>41</v>
      </c>
      <c r="Q5273" t="s">
        <v>95</v>
      </c>
      <c r="R5273" t="str">
        <f>"7054047"</f>
        <v>7054047</v>
      </c>
      <c r="S5273" t="s">
        <v>806</v>
      </c>
      <c r="T5273" t="s">
        <v>354</v>
      </c>
      <c r="U5273" t="s">
        <v>355</v>
      </c>
      <c r="V5273" t="s">
        <v>131</v>
      </c>
      <c r="W5273" t="s">
        <v>55</v>
      </c>
      <c r="X5273" t="s">
        <v>45</v>
      </c>
      <c r="Y5273" s="1">
        <v>31897</v>
      </c>
      <c r="Z5273">
        <v>1</v>
      </c>
      <c r="AA5273" t="s">
        <v>355</v>
      </c>
      <c r="AB5273" s="40" t="s">
        <v>1799</v>
      </c>
    </row>
    <row r="5274" spans="1:28" x14ac:dyDescent="0.25">
      <c r="A5274">
        <v>99915273</v>
      </c>
      <c r="B5274" t="s">
        <v>32</v>
      </c>
      <c r="C5274" t="s">
        <v>90</v>
      </c>
      <c r="D5274" t="s">
        <v>91</v>
      </c>
      <c r="G5274" t="s">
        <v>48</v>
      </c>
      <c r="H5274">
        <v>1</v>
      </c>
      <c r="K5274" t="s">
        <v>667</v>
      </c>
      <c r="L5274" t="s">
        <v>669</v>
      </c>
      <c r="M5274" t="s">
        <v>670</v>
      </c>
      <c r="N5274">
        <v>25</v>
      </c>
      <c r="P5274" t="s">
        <v>41</v>
      </c>
      <c r="Q5274" t="s">
        <v>95</v>
      </c>
      <c r="R5274" t="str">
        <f>"7501005"</f>
        <v>7501005</v>
      </c>
      <c r="S5274" t="s">
        <v>1529</v>
      </c>
      <c r="T5274" t="s">
        <v>667</v>
      </c>
      <c r="U5274" t="s">
        <v>669</v>
      </c>
      <c r="V5274" t="s">
        <v>670</v>
      </c>
      <c r="W5274" t="s">
        <v>51</v>
      </c>
      <c r="X5274" t="s">
        <v>45</v>
      </c>
      <c r="Y5274" s="1">
        <v>31860</v>
      </c>
      <c r="Z5274">
        <v>1</v>
      </c>
      <c r="AA5274" t="s">
        <v>669</v>
      </c>
      <c r="AB5274" s="40" t="s">
        <v>1799</v>
      </c>
    </row>
    <row r="5275" spans="1:28" x14ac:dyDescent="0.25">
      <c r="A5275">
        <v>99915274</v>
      </c>
      <c r="B5275" t="s">
        <v>32</v>
      </c>
      <c r="C5275" t="s">
        <v>90</v>
      </c>
      <c r="D5275" t="s">
        <v>91</v>
      </c>
      <c r="G5275" t="s">
        <v>35</v>
      </c>
      <c r="H5275">
        <v>3</v>
      </c>
      <c r="I5275" t="s">
        <v>931</v>
      </c>
      <c r="J5275" s="1">
        <v>43344</v>
      </c>
      <c r="K5275" t="s">
        <v>932</v>
      </c>
      <c r="L5275" t="s">
        <v>933</v>
      </c>
      <c r="M5275" t="s">
        <v>921</v>
      </c>
      <c r="N5275">
        <v>25</v>
      </c>
      <c r="O5275" s="1">
        <v>43344</v>
      </c>
      <c r="P5275" t="s">
        <v>41</v>
      </c>
      <c r="Q5275" t="s">
        <v>95</v>
      </c>
      <c r="R5275" t="str">
        <f>"7511001"</f>
        <v>7511001</v>
      </c>
      <c r="S5275" t="s">
        <v>934</v>
      </c>
      <c r="T5275" t="s">
        <v>932</v>
      </c>
      <c r="U5275" t="s">
        <v>933</v>
      </c>
      <c r="V5275" t="s">
        <v>921</v>
      </c>
      <c r="W5275" t="s">
        <v>51</v>
      </c>
      <c r="X5275" t="s">
        <v>45</v>
      </c>
      <c r="Y5275" s="1">
        <v>31829</v>
      </c>
      <c r="Z5275">
        <v>1</v>
      </c>
      <c r="AA5275" t="s">
        <v>933</v>
      </c>
      <c r="AB5275" s="40" t="s">
        <v>1799</v>
      </c>
    </row>
    <row r="5276" spans="1:28" x14ac:dyDescent="0.25">
      <c r="A5276">
        <v>99915275</v>
      </c>
      <c r="B5276" t="s">
        <v>32</v>
      </c>
      <c r="C5276" t="s">
        <v>90</v>
      </c>
      <c r="D5276" t="s">
        <v>91</v>
      </c>
      <c r="G5276" t="s">
        <v>48</v>
      </c>
      <c r="H5276">
        <v>1</v>
      </c>
      <c r="K5276" t="s">
        <v>1513</v>
      </c>
      <c r="L5276" t="s">
        <v>1511</v>
      </c>
      <c r="M5276" t="s">
        <v>670</v>
      </c>
      <c r="N5276">
        <v>25</v>
      </c>
      <c r="P5276" t="s">
        <v>41</v>
      </c>
      <c r="Q5276" t="s">
        <v>95</v>
      </c>
      <c r="R5276" t="str">
        <f>"7411005"</f>
        <v>7411005</v>
      </c>
      <c r="S5276" t="s">
        <v>1515</v>
      </c>
      <c r="T5276" t="s">
        <v>1513</v>
      </c>
      <c r="U5276" t="s">
        <v>1511</v>
      </c>
      <c r="V5276" t="s">
        <v>670</v>
      </c>
      <c r="W5276" t="s">
        <v>51</v>
      </c>
      <c r="X5276" t="s">
        <v>45</v>
      </c>
      <c r="Y5276" s="1">
        <v>31822</v>
      </c>
      <c r="Z5276">
        <v>1</v>
      </c>
      <c r="AA5276" t="s">
        <v>1511</v>
      </c>
      <c r="AB5276" s="40" t="s">
        <v>1799</v>
      </c>
    </row>
    <row r="5277" spans="1:28" x14ac:dyDescent="0.25">
      <c r="A5277">
        <v>99915276</v>
      </c>
      <c r="B5277" t="s">
        <v>32</v>
      </c>
      <c r="C5277" t="s">
        <v>90</v>
      </c>
      <c r="D5277" t="s">
        <v>91</v>
      </c>
      <c r="G5277" t="s">
        <v>35</v>
      </c>
      <c r="H5277">
        <v>1</v>
      </c>
      <c r="I5277" t="s">
        <v>1578</v>
      </c>
      <c r="J5277" s="1">
        <v>43346</v>
      </c>
      <c r="K5277" t="s">
        <v>1564</v>
      </c>
      <c r="L5277" t="s">
        <v>1565</v>
      </c>
      <c r="M5277" t="s">
        <v>1548</v>
      </c>
      <c r="N5277">
        <v>25</v>
      </c>
      <c r="O5277" s="1">
        <v>43346</v>
      </c>
      <c r="P5277" t="s">
        <v>41</v>
      </c>
      <c r="Q5277" t="s">
        <v>95</v>
      </c>
      <c r="R5277" t="str">
        <f>"7101007"</f>
        <v>7101007</v>
      </c>
      <c r="S5277" t="s">
        <v>1576</v>
      </c>
      <c r="T5277" t="s">
        <v>1564</v>
      </c>
      <c r="U5277" t="s">
        <v>1565</v>
      </c>
      <c r="V5277" t="s">
        <v>1548</v>
      </c>
      <c r="W5277" t="s">
        <v>44</v>
      </c>
      <c r="X5277" t="s">
        <v>45</v>
      </c>
      <c r="Y5277" s="1">
        <v>31818</v>
      </c>
      <c r="Z5277">
        <v>1</v>
      </c>
      <c r="AA5277" t="s">
        <v>1565</v>
      </c>
      <c r="AB5277" s="40" t="s">
        <v>1799</v>
      </c>
    </row>
    <row r="5278" spans="1:28" x14ac:dyDescent="0.25">
      <c r="A5278">
        <v>99915277</v>
      </c>
      <c r="B5278" t="s">
        <v>32</v>
      </c>
      <c r="C5278" t="s">
        <v>111</v>
      </c>
      <c r="D5278" t="s">
        <v>112</v>
      </c>
      <c r="G5278" t="s">
        <v>48</v>
      </c>
      <c r="H5278">
        <v>1</v>
      </c>
      <c r="K5278" t="s">
        <v>407</v>
      </c>
      <c r="L5278" t="s">
        <v>409</v>
      </c>
      <c r="M5278" t="s">
        <v>131</v>
      </c>
      <c r="N5278">
        <v>25</v>
      </c>
      <c r="P5278" t="s">
        <v>41</v>
      </c>
      <c r="Q5278" t="s">
        <v>75</v>
      </c>
      <c r="R5278" t="str">
        <f>"7053018"</f>
        <v>7053018</v>
      </c>
      <c r="S5278" t="s">
        <v>408</v>
      </c>
      <c r="T5278" t="s">
        <v>407</v>
      </c>
      <c r="U5278" t="s">
        <v>409</v>
      </c>
      <c r="V5278" t="s">
        <v>131</v>
      </c>
      <c r="W5278" t="s">
        <v>51</v>
      </c>
      <c r="X5278" t="s">
        <v>45</v>
      </c>
      <c r="Y5278" s="1">
        <v>31793</v>
      </c>
      <c r="Z5278">
        <v>1</v>
      </c>
      <c r="AA5278" t="s">
        <v>409</v>
      </c>
      <c r="AB5278" s="40" t="s">
        <v>1799</v>
      </c>
    </row>
    <row r="5279" spans="1:28" x14ac:dyDescent="0.25">
      <c r="A5279">
        <v>99915278</v>
      </c>
      <c r="B5279" t="s">
        <v>32</v>
      </c>
      <c r="C5279" t="s">
        <v>90</v>
      </c>
      <c r="D5279" t="s">
        <v>91</v>
      </c>
      <c r="G5279" t="s">
        <v>35</v>
      </c>
      <c r="H5279">
        <v>1</v>
      </c>
      <c r="I5279" t="s">
        <v>1512</v>
      </c>
      <c r="J5279" s="1">
        <v>42979</v>
      </c>
      <c r="K5279" t="s">
        <v>1513</v>
      </c>
      <c r="L5279" t="s">
        <v>1511</v>
      </c>
      <c r="M5279" t="s">
        <v>670</v>
      </c>
      <c r="N5279">
        <v>25</v>
      </c>
      <c r="O5279" s="1">
        <v>42979</v>
      </c>
      <c r="P5279" t="s">
        <v>41</v>
      </c>
      <c r="Q5279" t="s">
        <v>95</v>
      </c>
      <c r="R5279" t="str">
        <f>"7411007"</f>
        <v>7411007</v>
      </c>
      <c r="S5279" t="s">
        <v>1514</v>
      </c>
      <c r="T5279" t="s">
        <v>1513</v>
      </c>
      <c r="U5279" t="s">
        <v>1511</v>
      </c>
      <c r="V5279" t="s">
        <v>670</v>
      </c>
      <c r="W5279" t="s">
        <v>51</v>
      </c>
      <c r="X5279" t="s">
        <v>45</v>
      </c>
      <c r="Y5279" s="1">
        <v>31734</v>
      </c>
      <c r="Z5279">
        <v>1</v>
      </c>
      <c r="AA5279" t="s">
        <v>1511</v>
      </c>
      <c r="AB5279" s="40" t="s">
        <v>1799</v>
      </c>
    </row>
    <row r="5280" spans="1:28" x14ac:dyDescent="0.25">
      <c r="A5280">
        <v>99915279</v>
      </c>
      <c r="B5280" t="s">
        <v>32</v>
      </c>
      <c r="C5280" t="s">
        <v>90</v>
      </c>
      <c r="D5280" t="s">
        <v>91</v>
      </c>
      <c r="G5280" t="s">
        <v>35</v>
      </c>
      <c r="H5280">
        <v>1</v>
      </c>
      <c r="I5280" t="s">
        <v>1096</v>
      </c>
      <c r="J5280" s="1">
        <v>43344</v>
      </c>
      <c r="K5280" t="s">
        <v>1081</v>
      </c>
      <c r="L5280" t="s">
        <v>1082</v>
      </c>
      <c r="M5280" t="s">
        <v>1053</v>
      </c>
      <c r="N5280">
        <v>25</v>
      </c>
      <c r="O5280" s="1">
        <v>43344</v>
      </c>
      <c r="P5280" t="s">
        <v>41</v>
      </c>
      <c r="Q5280" t="s">
        <v>95</v>
      </c>
      <c r="R5280" t="str">
        <f>"7201023"</f>
        <v>7201023</v>
      </c>
      <c r="S5280" t="s">
        <v>1097</v>
      </c>
      <c r="T5280" t="s">
        <v>1081</v>
      </c>
      <c r="U5280" t="s">
        <v>1082</v>
      </c>
      <c r="V5280" t="s">
        <v>1053</v>
      </c>
      <c r="W5280" t="s">
        <v>44</v>
      </c>
      <c r="X5280" t="s">
        <v>45</v>
      </c>
      <c r="Y5280" s="1">
        <v>31733</v>
      </c>
      <c r="Z5280">
        <v>1</v>
      </c>
      <c r="AA5280" t="s">
        <v>1082</v>
      </c>
      <c r="AB5280" s="40" t="s">
        <v>1799</v>
      </c>
    </row>
    <row r="5281" spans="1:28" x14ac:dyDescent="0.25">
      <c r="A5281">
        <v>99915280</v>
      </c>
      <c r="B5281" t="s">
        <v>32</v>
      </c>
      <c r="C5281" t="s">
        <v>90</v>
      </c>
      <c r="D5281" t="s">
        <v>91</v>
      </c>
      <c r="G5281" t="s">
        <v>35</v>
      </c>
      <c r="H5281">
        <v>1</v>
      </c>
      <c r="I5281" t="s">
        <v>286</v>
      </c>
      <c r="J5281" s="1">
        <v>43344</v>
      </c>
      <c r="K5281" t="s">
        <v>268</v>
      </c>
      <c r="L5281" t="s">
        <v>269</v>
      </c>
      <c r="M5281" t="s">
        <v>131</v>
      </c>
      <c r="N5281">
        <v>25</v>
      </c>
      <c r="P5281" t="s">
        <v>41</v>
      </c>
      <c r="Q5281" t="s">
        <v>95</v>
      </c>
      <c r="R5281" t="str">
        <f>"7052063"</f>
        <v>7052063</v>
      </c>
      <c r="S5281" t="s">
        <v>642</v>
      </c>
      <c r="T5281" t="s">
        <v>268</v>
      </c>
      <c r="U5281" t="s">
        <v>269</v>
      </c>
      <c r="V5281" t="s">
        <v>131</v>
      </c>
      <c r="W5281" t="s">
        <v>44</v>
      </c>
      <c r="X5281" t="s">
        <v>45</v>
      </c>
      <c r="Y5281" s="1">
        <v>31728</v>
      </c>
      <c r="Z5281">
        <v>1</v>
      </c>
      <c r="AA5281" t="s">
        <v>269</v>
      </c>
      <c r="AB5281" s="40" t="s">
        <v>1799</v>
      </c>
    </row>
    <row r="5282" spans="1:28" x14ac:dyDescent="0.25">
      <c r="A5282">
        <v>99915281</v>
      </c>
      <c r="B5282" t="s">
        <v>32</v>
      </c>
      <c r="C5282" t="s">
        <v>90</v>
      </c>
      <c r="D5282" t="s">
        <v>91</v>
      </c>
      <c r="G5282" t="s">
        <v>88</v>
      </c>
      <c r="H5282">
        <v>2</v>
      </c>
      <c r="I5282" t="s">
        <v>544</v>
      </c>
      <c r="J5282" s="1">
        <v>43026</v>
      </c>
      <c r="K5282" t="s">
        <v>195</v>
      </c>
      <c r="L5282" t="s">
        <v>196</v>
      </c>
      <c r="M5282" t="s">
        <v>131</v>
      </c>
      <c r="N5282">
        <v>25</v>
      </c>
      <c r="O5282" s="1">
        <v>43026</v>
      </c>
      <c r="P5282" t="s">
        <v>41</v>
      </c>
      <c r="Q5282" t="s">
        <v>95</v>
      </c>
      <c r="R5282" t="str">
        <f>"7521157"</f>
        <v>7521157</v>
      </c>
      <c r="S5282" t="s">
        <v>545</v>
      </c>
      <c r="T5282" t="s">
        <v>195</v>
      </c>
      <c r="U5282" t="s">
        <v>196</v>
      </c>
      <c r="V5282" t="s">
        <v>131</v>
      </c>
      <c r="W5282" t="s">
        <v>51</v>
      </c>
      <c r="X5282" t="s">
        <v>45</v>
      </c>
      <c r="Y5282" s="1">
        <v>31718</v>
      </c>
      <c r="Z5282">
        <v>1</v>
      </c>
      <c r="AA5282" t="s">
        <v>196</v>
      </c>
      <c r="AB5282" s="40" t="s">
        <v>1799</v>
      </c>
    </row>
    <row r="5283" spans="1:28" x14ac:dyDescent="0.25">
      <c r="A5283">
        <v>99915282</v>
      </c>
      <c r="B5283" t="s">
        <v>32</v>
      </c>
      <c r="C5283" t="s">
        <v>90</v>
      </c>
      <c r="D5283" t="s">
        <v>91</v>
      </c>
      <c r="G5283" t="s">
        <v>35</v>
      </c>
      <c r="H5283">
        <v>1</v>
      </c>
      <c r="I5283">
        <v>11253</v>
      </c>
      <c r="J5283" s="1">
        <v>43344</v>
      </c>
      <c r="K5283" t="s">
        <v>354</v>
      </c>
      <c r="L5283" t="s">
        <v>355</v>
      </c>
      <c r="M5283" t="s">
        <v>131</v>
      </c>
      <c r="N5283">
        <v>25</v>
      </c>
      <c r="O5283" s="1">
        <v>43344</v>
      </c>
      <c r="P5283" t="s">
        <v>41</v>
      </c>
      <c r="Q5283" t="s">
        <v>95</v>
      </c>
      <c r="R5283" t="str">
        <f>"7054157"</f>
        <v>7054157</v>
      </c>
      <c r="S5283" t="s">
        <v>847</v>
      </c>
      <c r="T5283" t="s">
        <v>354</v>
      </c>
      <c r="U5283" t="s">
        <v>355</v>
      </c>
      <c r="V5283" t="s">
        <v>131</v>
      </c>
      <c r="W5283" t="s">
        <v>51</v>
      </c>
      <c r="X5283" t="s">
        <v>45</v>
      </c>
      <c r="Y5283" s="1">
        <v>31718</v>
      </c>
      <c r="Z5283">
        <v>1</v>
      </c>
      <c r="AA5283" t="s">
        <v>355</v>
      </c>
      <c r="AB5283" s="40" t="s">
        <v>1799</v>
      </c>
    </row>
    <row r="5284" spans="1:28" x14ac:dyDescent="0.25">
      <c r="A5284">
        <v>99915283</v>
      </c>
      <c r="B5284" t="s">
        <v>32</v>
      </c>
      <c r="C5284" t="s">
        <v>90</v>
      </c>
      <c r="D5284" t="s">
        <v>91</v>
      </c>
      <c r="G5284" t="s">
        <v>35</v>
      </c>
      <c r="H5284">
        <v>1</v>
      </c>
      <c r="I5284" t="s">
        <v>92</v>
      </c>
      <c r="J5284" s="1">
        <v>43344</v>
      </c>
      <c r="K5284" t="s">
        <v>93</v>
      </c>
      <c r="L5284" t="s">
        <v>94</v>
      </c>
      <c r="M5284" t="s">
        <v>39</v>
      </c>
      <c r="N5284">
        <v>25</v>
      </c>
      <c r="O5284" s="1">
        <v>43344</v>
      </c>
      <c r="P5284" t="s">
        <v>41</v>
      </c>
      <c r="Q5284" t="s">
        <v>95</v>
      </c>
      <c r="R5284" t="str">
        <f>"7091003"</f>
        <v>7091003</v>
      </c>
      <c r="S5284" t="s">
        <v>96</v>
      </c>
      <c r="T5284" t="s">
        <v>93</v>
      </c>
      <c r="U5284" t="s">
        <v>94</v>
      </c>
      <c r="V5284" t="s">
        <v>39</v>
      </c>
      <c r="W5284" t="s">
        <v>51</v>
      </c>
      <c r="X5284" t="s">
        <v>45</v>
      </c>
      <c r="Y5284" s="1">
        <v>31714</v>
      </c>
      <c r="Z5284">
        <v>1</v>
      </c>
      <c r="AA5284" t="s">
        <v>94</v>
      </c>
      <c r="AB5284" s="40" t="s">
        <v>1799</v>
      </c>
    </row>
    <row r="5285" spans="1:28" x14ac:dyDescent="0.25">
      <c r="A5285">
        <v>99915284</v>
      </c>
      <c r="B5285" t="s">
        <v>32</v>
      </c>
      <c r="C5285" t="s">
        <v>90</v>
      </c>
      <c r="D5285" t="s">
        <v>91</v>
      </c>
      <c r="G5285" t="s">
        <v>35</v>
      </c>
      <c r="H5285">
        <v>3</v>
      </c>
      <c r="I5285" t="s">
        <v>1684</v>
      </c>
      <c r="J5285" s="1">
        <v>43363</v>
      </c>
      <c r="K5285" t="s">
        <v>1619</v>
      </c>
      <c r="L5285" t="s">
        <v>1620</v>
      </c>
      <c r="M5285" t="s">
        <v>1592</v>
      </c>
      <c r="N5285">
        <v>25</v>
      </c>
      <c r="O5285" s="1">
        <v>43363</v>
      </c>
      <c r="P5285" t="s">
        <v>41</v>
      </c>
      <c r="Q5285" t="s">
        <v>95</v>
      </c>
      <c r="R5285" t="str">
        <f>"7281001"</f>
        <v>7281001</v>
      </c>
      <c r="S5285" t="s">
        <v>1672</v>
      </c>
      <c r="T5285" t="s">
        <v>1619</v>
      </c>
      <c r="U5285" t="s">
        <v>1620</v>
      </c>
      <c r="V5285" t="s">
        <v>1592</v>
      </c>
      <c r="W5285" t="s">
        <v>44</v>
      </c>
      <c r="X5285" t="s">
        <v>45</v>
      </c>
      <c r="Y5285" s="1">
        <v>31707</v>
      </c>
      <c r="Z5285">
        <v>1</v>
      </c>
      <c r="AA5285" t="s">
        <v>1620</v>
      </c>
      <c r="AB5285" s="40" t="s">
        <v>1799</v>
      </c>
    </row>
    <row r="5286" spans="1:28" x14ac:dyDescent="0.25">
      <c r="A5286">
        <v>99915285</v>
      </c>
      <c r="B5286" t="s">
        <v>32</v>
      </c>
      <c r="C5286" t="s">
        <v>90</v>
      </c>
      <c r="D5286" t="s">
        <v>91</v>
      </c>
      <c r="G5286" t="s">
        <v>35</v>
      </c>
      <c r="H5286">
        <v>1</v>
      </c>
      <c r="I5286">
        <v>11592</v>
      </c>
      <c r="J5286" s="1">
        <v>43344</v>
      </c>
      <c r="K5286" t="s">
        <v>354</v>
      </c>
      <c r="L5286" t="s">
        <v>355</v>
      </c>
      <c r="M5286" t="s">
        <v>131</v>
      </c>
      <c r="N5286">
        <v>25</v>
      </c>
      <c r="O5286" s="1">
        <v>43344</v>
      </c>
      <c r="P5286" t="s">
        <v>41</v>
      </c>
      <c r="Q5286" t="s">
        <v>95</v>
      </c>
      <c r="R5286" t="str">
        <f>"7054183"</f>
        <v>7054183</v>
      </c>
      <c r="S5286" t="s">
        <v>852</v>
      </c>
      <c r="T5286" t="s">
        <v>354</v>
      </c>
      <c r="U5286" t="s">
        <v>355</v>
      </c>
      <c r="V5286" t="s">
        <v>131</v>
      </c>
      <c r="W5286" t="s">
        <v>44</v>
      </c>
      <c r="X5286" t="s">
        <v>45</v>
      </c>
      <c r="Y5286" s="1">
        <v>31705</v>
      </c>
      <c r="Z5286">
        <v>1</v>
      </c>
      <c r="AA5286" t="s">
        <v>355</v>
      </c>
      <c r="AB5286" s="40" t="s">
        <v>1799</v>
      </c>
    </row>
    <row r="5287" spans="1:28" x14ac:dyDescent="0.25">
      <c r="A5287">
        <v>99915286</v>
      </c>
      <c r="B5287" t="s">
        <v>32</v>
      </c>
      <c r="C5287" t="s">
        <v>90</v>
      </c>
      <c r="D5287" t="s">
        <v>91</v>
      </c>
      <c r="G5287" t="s">
        <v>48</v>
      </c>
      <c r="H5287">
        <v>1</v>
      </c>
      <c r="K5287" t="s">
        <v>1081</v>
      </c>
      <c r="L5287" t="s">
        <v>1082</v>
      </c>
      <c r="M5287" t="s">
        <v>1053</v>
      </c>
      <c r="N5287">
        <v>25</v>
      </c>
      <c r="P5287" t="s">
        <v>41</v>
      </c>
      <c r="Q5287" t="s">
        <v>95</v>
      </c>
      <c r="R5287" t="str">
        <f>"7201009"</f>
        <v>7201009</v>
      </c>
      <c r="S5287" t="s">
        <v>1085</v>
      </c>
      <c r="T5287" t="s">
        <v>1081</v>
      </c>
      <c r="U5287" t="s">
        <v>1082</v>
      </c>
      <c r="V5287" t="s">
        <v>1053</v>
      </c>
      <c r="W5287" t="s">
        <v>51</v>
      </c>
      <c r="X5287" t="s">
        <v>45</v>
      </c>
      <c r="Y5287" s="1">
        <v>31700</v>
      </c>
      <c r="Z5287">
        <v>1</v>
      </c>
      <c r="AA5287" t="s">
        <v>1082</v>
      </c>
      <c r="AB5287" s="40" t="s">
        <v>1799</v>
      </c>
    </row>
    <row r="5288" spans="1:28" x14ac:dyDescent="0.25">
      <c r="A5288">
        <v>99915287</v>
      </c>
      <c r="B5288" t="s">
        <v>32</v>
      </c>
      <c r="C5288" t="s">
        <v>90</v>
      </c>
      <c r="D5288" t="s">
        <v>91</v>
      </c>
      <c r="G5288" t="s">
        <v>48</v>
      </c>
      <c r="H5288">
        <v>1</v>
      </c>
      <c r="K5288" t="s">
        <v>1708</v>
      </c>
      <c r="L5288" t="s">
        <v>1709</v>
      </c>
      <c r="M5288" t="s">
        <v>1705</v>
      </c>
      <c r="N5288">
        <v>25</v>
      </c>
      <c r="P5288" t="s">
        <v>41</v>
      </c>
      <c r="Q5288" t="s">
        <v>95</v>
      </c>
      <c r="R5288" t="str">
        <f>"7121003"</f>
        <v>7121003</v>
      </c>
      <c r="S5288" t="s">
        <v>1718</v>
      </c>
      <c r="T5288" t="s">
        <v>1708</v>
      </c>
      <c r="U5288" t="s">
        <v>1709</v>
      </c>
      <c r="V5288" t="s">
        <v>1705</v>
      </c>
      <c r="W5288" t="s">
        <v>51</v>
      </c>
      <c r="X5288" t="s">
        <v>45</v>
      </c>
      <c r="Y5288" s="1">
        <v>31672</v>
      </c>
      <c r="Z5288">
        <v>1</v>
      </c>
      <c r="AA5288" t="s">
        <v>1709</v>
      </c>
      <c r="AB5288" s="40" t="s">
        <v>1799</v>
      </c>
    </row>
    <row r="5289" spans="1:28" x14ac:dyDescent="0.25">
      <c r="A5289">
        <v>99915288</v>
      </c>
      <c r="B5289" t="s">
        <v>32</v>
      </c>
      <c r="C5289" t="s">
        <v>90</v>
      </c>
      <c r="D5289" t="s">
        <v>91</v>
      </c>
      <c r="G5289" t="s">
        <v>48</v>
      </c>
      <c r="H5289">
        <v>1</v>
      </c>
      <c r="K5289" t="s">
        <v>1708</v>
      </c>
      <c r="L5289" t="s">
        <v>1709</v>
      </c>
      <c r="M5289" t="s">
        <v>1705</v>
      </c>
      <c r="N5289">
        <v>25</v>
      </c>
      <c r="P5289" t="s">
        <v>41</v>
      </c>
      <c r="Q5289" t="s">
        <v>95</v>
      </c>
      <c r="R5289" t="str">
        <f>"7121015"</f>
        <v>7121015</v>
      </c>
      <c r="S5289" t="s">
        <v>1722</v>
      </c>
      <c r="T5289" t="s">
        <v>1708</v>
      </c>
      <c r="U5289" t="s">
        <v>1709</v>
      </c>
      <c r="V5289" t="s">
        <v>1705</v>
      </c>
      <c r="W5289" t="s">
        <v>51</v>
      </c>
      <c r="X5289" t="s">
        <v>45</v>
      </c>
      <c r="Y5289" s="1">
        <v>31671</v>
      </c>
      <c r="Z5289">
        <v>1</v>
      </c>
      <c r="AA5289" t="s">
        <v>1709</v>
      </c>
      <c r="AB5289" s="40" t="s">
        <v>1799</v>
      </c>
    </row>
    <row r="5290" spans="1:28" x14ac:dyDescent="0.25">
      <c r="A5290">
        <v>99915289</v>
      </c>
      <c r="B5290" t="s">
        <v>56</v>
      </c>
      <c r="C5290" t="s">
        <v>90</v>
      </c>
      <c r="D5290" t="s">
        <v>91</v>
      </c>
      <c r="G5290" t="s">
        <v>35</v>
      </c>
      <c r="H5290">
        <v>1</v>
      </c>
      <c r="K5290" t="s">
        <v>963</v>
      </c>
      <c r="L5290" t="s">
        <v>964</v>
      </c>
      <c r="M5290" t="s">
        <v>938</v>
      </c>
      <c r="N5290">
        <v>25</v>
      </c>
      <c r="P5290" t="s">
        <v>41</v>
      </c>
      <c r="Q5290" t="s">
        <v>95</v>
      </c>
      <c r="R5290" t="str">
        <f>"7061025"</f>
        <v>7061025</v>
      </c>
      <c r="S5290" t="s">
        <v>1024</v>
      </c>
      <c r="T5290" t="s">
        <v>963</v>
      </c>
      <c r="U5290" t="s">
        <v>964</v>
      </c>
      <c r="V5290" t="s">
        <v>938</v>
      </c>
      <c r="W5290" t="s">
        <v>165</v>
      </c>
      <c r="X5290" t="s">
        <v>45</v>
      </c>
      <c r="Y5290" s="1">
        <v>31654</v>
      </c>
      <c r="Z5290">
        <v>1</v>
      </c>
      <c r="AA5290" t="s">
        <v>964</v>
      </c>
      <c r="AB5290" s="40" t="s">
        <v>1799</v>
      </c>
    </row>
    <row r="5291" spans="1:28" x14ac:dyDescent="0.25">
      <c r="A5291">
        <v>99915290</v>
      </c>
      <c r="B5291" t="s">
        <v>32</v>
      </c>
      <c r="C5291" t="s">
        <v>90</v>
      </c>
      <c r="D5291" t="s">
        <v>91</v>
      </c>
      <c r="G5291" t="s">
        <v>35</v>
      </c>
      <c r="H5291">
        <v>1</v>
      </c>
      <c r="K5291" t="s">
        <v>354</v>
      </c>
      <c r="L5291" t="s">
        <v>355</v>
      </c>
      <c r="M5291" t="s">
        <v>131</v>
      </c>
      <c r="N5291">
        <v>25</v>
      </c>
      <c r="P5291" t="s">
        <v>41</v>
      </c>
      <c r="Q5291" t="s">
        <v>95</v>
      </c>
      <c r="R5291" t="str">
        <f>"7054011"</f>
        <v>7054011</v>
      </c>
      <c r="S5291" t="s">
        <v>780</v>
      </c>
      <c r="T5291" t="s">
        <v>354</v>
      </c>
      <c r="U5291" t="s">
        <v>355</v>
      </c>
      <c r="V5291" t="s">
        <v>131</v>
      </c>
      <c r="W5291" t="s">
        <v>51</v>
      </c>
      <c r="X5291" t="s">
        <v>45</v>
      </c>
      <c r="Y5291" s="1">
        <v>31616</v>
      </c>
      <c r="Z5291">
        <v>1</v>
      </c>
      <c r="AA5291" t="s">
        <v>355</v>
      </c>
      <c r="AB5291" s="40" t="s">
        <v>1799</v>
      </c>
    </row>
    <row r="5292" spans="1:28" x14ac:dyDescent="0.25">
      <c r="A5292">
        <v>99915291</v>
      </c>
      <c r="B5292" t="s">
        <v>32</v>
      </c>
      <c r="C5292" t="s">
        <v>90</v>
      </c>
      <c r="D5292" t="s">
        <v>91</v>
      </c>
      <c r="G5292" t="s">
        <v>35</v>
      </c>
      <c r="H5292">
        <v>1</v>
      </c>
      <c r="I5292">
        <v>12686</v>
      </c>
      <c r="J5292" s="1">
        <v>43344</v>
      </c>
      <c r="K5292" t="s">
        <v>354</v>
      </c>
      <c r="L5292" t="s">
        <v>355</v>
      </c>
      <c r="M5292" t="s">
        <v>131</v>
      </c>
      <c r="N5292">
        <v>25</v>
      </c>
      <c r="O5292" s="1">
        <v>43344</v>
      </c>
      <c r="P5292" t="s">
        <v>41</v>
      </c>
      <c r="Q5292" t="s">
        <v>95</v>
      </c>
      <c r="R5292" t="str">
        <f>"7054139"</f>
        <v>7054139</v>
      </c>
      <c r="S5292" t="s">
        <v>816</v>
      </c>
      <c r="T5292" t="s">
        <v>354</v>
      </c>
      <c r="U5292" t="s">
        <v>355</v>
      </c>
      <c r="V5292" t="s">
        <v>131</v>
      </c>
      <c r="W5292" t="s">
        <v>51</v>
      </c>
      <c r="X5292" t="s">
        <v>45</v>
      </c>
      <c r="Y5292" s="1">
        <v>31542</v>
      </c>
      <c r="Z5292">
        <v>1</v>
      </c>
      <c r="AA5292" t="s">
        <v>355</v>
      </c>
      <c r="AB5292" s="40" t="s">
        <v>1799</v>
      </c>
    </row>
    <row r="5293" spans="1:28" x14ac:dyDescent="0.25">
      <c r="A5293">
        <v>99915292</v>
      </c>
      <c r="B5293" t="s">
        <v>32</v>
      </c>
      <c r="C5293" t="s">
        <v>90</v>
      </c>
      <c r="D5293" t="s">
        <v>91</v>
      </c>
      <c r="G5293" t="s">
        <v>35</v>
      </c>
      <c r="H5293">
        <v>1</v>
      </c>
      <c r="I5293">
        <v>13580</v>
      </c>
      <c r="J5293" s="1">
        <v>43344</v>
      </c>
      <c r="K5293" t="s">
        <v>354</v>
      </c>
      <c r="L5293" t="s">
        <v>355</v>
      </c>
      <c r="M5293" t="s">
        <v>131</v>
      </c>
      <c r="N5293">
        <v>25</v>
      </c>
      <c r="O5293" s="1">
        <v>43344</v>
      </c>
      <c r="P5293" t="s">
        <v>41</v>
      </c>
      <c r="Q5293" t="s">
        <v>95</v>
      </c>
      <c r="R5293" t="str">
        <f>"7054171"</f>
        <v>7054171</v>
      </c>
      <c r="S5293" t="s">
        <v>851</v>
      </c>
      <c r="T5293" t="s">
        <v>354</v>
      </c>
      <c r="U5293" t="s">
        <v>355</v>
      </c>
      <c r="V5293" t="s">
        <v>131</v>
      </c>
      <c r="W5293" t="s">
        <v>44</v>
      </c>
      <c r="X5293" t="s">
        <v>45</v>
      </c>
      <c r="Y5293" s="1">
        <v>31524</v>
      </c>
      <c r="Z5293">
        <v>1</v>
      </c>
      <c r="AA5293" t="s">
        <v>355</v>
      </c>
      <c r="AB5293" s="40" t="s">
        <v>1799</v>
      </c>
    </row>
    <row r="5294" spans="1:28" x14ac:dyDescent="0.25">
      <c r="A5294">
        <v>99915293</v>
      </c>
      <c r="B5294" t="s">
        <v>32</v>
      </c>
      <c r="C5294" t="s">
        <v>90</v>
      </c>
      <c r="D5294" t="s">
        <v>91</v>
      </c>
      <c r="G5294" t="s">
        <v>35</v>
      </c>
      <c r="H5294">
        <v>3</v>
      </c>
      <c r="K5294" t="s">
        <v>1221</v>
      </c>
      <c r="L5294" t="s">
        <v>1222</v>
      </c>
      <c r="M5294" t="s">
        <v>1130</v>
      </c>
      <c r="N5294">
        <v>25</v>
      </c>
      <c r="P5294" t="s">
        <v>41</v>
      </c>
      <c r="Q5294" t="s">
        <v>95</v>
      </c>
      <c r="R5294" t="str">
        <f>"7351003"</f>
        <v>7351003</v>
      </c>
      <c r="S5294" t="s">
        <v>1226</v>
      </c>
      <c r="T5294" t="s">
        <v>1221</v>
      </c>
      <c r="U5294" t="s">
        <v>1222</v>
      </c>
      <c r="V5294" t="s">
        <v>1130</v>
      </c>
      <c r="W5294" t="s">
        <v>51</v>
      </c>
      <c r="X5294" t="s">
        <v>45</v>
      </c>
      <c r="Y5294" s="1">
        <v>31522</v>
      </c>
      <c r="Z5294">
        <v>1</v>
      </c>
      <c r="AA5294" t="s">
        <v>1222</v>
      </c>
      <c r="AB5294" s="40" t="s">
        <v>1799</v>
      </c>
    </row>
    <row r="5295" spans="1:28" x14ac:dyDescent="0.25">
      <c r="A5295">
        <v>99915294</v>
      </c>
      <c r="B5295" t="s">
        <v>32</v>
      </c>
      <c r="C5295" t="s">
        <v>64</v>
      </c>
      <c r="D5295" t="s">
        <v>65</v>
      </c>
      <c r="G5295" t="s">
        <v>35</v>
      </c>
      <c r="H5295">
        <v>1</v>
      </c>
      <c r="I5295" t="s">
        <v>190</v>
      </c>
      <c r="J5295" s="1">
        <v>42979</v>
      </c>
      <c r="K5295" t="s">
        <v>157</v>
      </c>
      <c r="L5295" t="s">
        <v>158</v>
      </c>
      <c r="M5295" t="s">
        <v>131</v>
      </c>
      <c r="N5295">
        <v>25</v>
      </c>
      <c r="O5295" s="1">
        <v>42979</v>
      </c>
      <c r="P5295" t="s">
        <v>41</v>
      </c>
      <c r="Q5295" t="s">
        <v>49</v>
      </c>
      <c r="R5295" t="str">
        <f>"0560006"</f>
        <v>0560006</v>
      </c>
      <c r="S5295" t="s">
        <v>191</v>
      </c>
      <c r="T5295" t="s">
        <v>157</v>
      </c>
      <c r="U5295" t="s">
        <v>158</v>
      </c>
      <c r="V5295" t="s">
        <v>131</v>
      </c>
      <c r="W5295" t="s">
        <v>44</v>
      </c>
      <c r="X5295" t="s">
        <v>45</v>
      </c>
      <c r="Y5295" s="1">
        <v>31517</v>
      </c>
      <c r="Z5295">
        <v>2</v>
      </c>
      <c r="AA5295" t="s">
        <v>158</v>
      </c>
      <c r="AB5295" s="40" t="s">
        <v>1799</v>
      </c>
    </row>
    <row r="5296" spans="1:28" x14ac:dyDescent="0.25">
      <c r="A5296">
        <v>99915295</v>
      </c>
      <c r="B5296" t="s">
        <v>32</v>
      </c>
      <c r="C5296" t="s">
        <v>90</v>
      </c>
      <c r="D5296" t="s">
        <v>91</v>
      </c>
      <c r="G5296" t="s">
        <v>35</v>
      </c>
      <c r="H5296">
        <v>1</v>
      </c>
      <c r="I5296">
        <v>10237</v>
      </c>
      <c r="J5296" s="1">
        <v>43344</v>
      </c>
      <c r="K5296" t="s">
        <v>354</v>
      </c>
      <c r="L5296" t="s">
        <v>355</v>
      </c>
      <c r="M5296" t="s">
        <v>131</v>
      </c>
      <c r="N5296">
        <v>25</v>
      </c>
      <c r="O5296" s="1">
        <v>43344</v>
      </c>
      <c r="P5296" t="s">
        <v>41</v>
      </c>
      <c r="Q5296" t="s">
        <v>95</v>
      </c>
      <c r="R5296" t="str">
        <f>"7054181"</f>
        <v>7054181</v>
      </c>
      <c r="S5296" t="s">
        <v>864</v>
      </c>
      <c r="T5296" t="s">
        <v>354</v>
      </c>
      <c r="U5296" t="s">
        <v>355</v>
      </c>
      <c r="V5296" t="s">
        <v>131</v>
      </c>
      <c r="W5296" t="s">
        <v>51</v>
      </c>
      <c r="X5296" t="s">
        <v>45</v>
      </c>
      <c r="Y5296" s="1">
        <v>31516</v>
      </c>
      <c r="Z5296">
        <v>1</v>
      </c>
      <c r="AA5296" t="s">
        <v>355</v>
      </c>
      <c r="AB5296" s="40" t="s">
        <v>1799</v>
      </c>
    </row>
    <row r="5297" spans="1:28" x14ac:dyDescent="0.25">
      <c r="A5297">
        <v>99915296</v>
      </c>
      <c r="B5297" t="s">
        <v>32</v>
      </c>
      <c r="C5297" t="s">
        <v>90</v>
      </c>
      <c r="D5297" t="s">
        <v>91</v>
      </c>
      <c r="G5297" t="s">
        <v>35</v>
      </c>
      <c r="H5297">
        <v>1</v>
      </c>
      <c r="I5297">
        <v>12143</v>
      </c>
      <c r="J5297" s="1">
        <v>43344</v>
      </c>
      <c r="K5297" t="s">
        <v>354</v>
      </c>
      <c r="L5297" t="s">
        <v>355</v>
      </c>
      <c r="M5297" t="s">
        <v>131</v>
      </c>
      <c r="N5297">
        <v>25</v>
      </c>
      <c r="O5297" s="1">
        <v>43344</v>
      </c>
      <c r="P5297" t="s">
        <v>41</v>
      </c>
      <c r="Q5297" t="s">
        <v>95</v>
      </c>
      <c r="R5297" t="str">
        <f>"7054101"</f>
        <v>7054101</v>
      </c>
      <c r="S5297" t="s">
        <v>832</v>
      </c>
      <c r="T5297" t="s">
        <v>354</v>
      </c>
      <c r="U5297" t="s">
        <v>355</v>
      </c>
      <c r="V5297" t="s">
        <v>131</v>
      </c>
      <c r="W5297" t="s">
        <v>51</v>
      </c>
      <c r="X5297" t="s">
        <v>45</v>
      </c>
      <c r="Y5297" s="1">
        <v>31509</v>
      </c>
      <c r="Z5297">
        <v>1</v>
      </c>
      <c r="AA5297" t="s">
        <v>355</v>
      </c>
      <c r="AB5297" s="40" t="s">
        <v>1799</v>
      </c>
    </row>
    <row r="5298" spans="1:28" x14ac:dyDescent="0.25">
      <c r="A5298">
        <v>99915297</v>
      </c>
      <c r="B5298" t="s">
        <v>32</v>
      </c>
      <c r="C5298" t="s">
        <v>90</v>
      </c>
      <c r="D5298" t="s">
        <v>91</v>
      </c>
      <c r="G5298" t="s">
        <v>35</v>
      </c>
      <c r="H5298">
        <v>1</v>
      </c>
      <c r="I5298" t="s">
        <v>1036</v>
      </c>
      <c r="J5298" s="1">
        <v>43354</v>
      </c>
      <c r="K5298" t="s">
        <v>1029</v>
      </c>
      <c r="L5298" t="s">
        <v>1030</v>
      </c>
      <c r="M5298" t="s">
        <v>938</v>
      </c>
      <c r="N5298">
        <v>25</v>
      </c>
      <c r="O5298" s="1">
        <v>43354</v>
      </c>
      <c r="P5298" t="s">
        <v>41</v>
      </c>
      <c r="Q5298" t="s">
        <v>95</v>
      </c>
      <c r="R5298" t="str">
        <f>"7151003"</f>
        <v>7151003</v>
      </c>
      <c r="S5298" t="s">
        <v>1034</v>
      </c>
      <c r="T5298" t="s">
        <v>1029</v>
      </c>
      <c r="U5298" t="s">
        <v>1030</v>
      </c>
      <c r="V5298" t="s">
        <v>938</v>
      </c>
      <c r="W5298" t="s">
        <v>44</v>
      </c>
      <c r="X5298" t="s">
        <v>45</v>
      </c>
      <c r="Y5298" s="1">
        <v>31487</v>
      </c>
      <c r="Z5298">
        <v>1</v>
      </c>
      <c r="AA5298" t="s">
        <v>1030</v>
      </c>
      <c r="AB5298" s="40" t="s">
        <v>1799</v>
      </c>
    </row>
    <row r="5299" spans="1:28" x14ac:dyDescent="0.25">
      <c r="A5299">
        <v>99915298</v>
      </c>
      <c r="B5299" t="s">
        <v>32</v>
      </c>
      <c r="C5299" t="s">
        <v>90</v>
      </c>
      <c r="D5299" t="s">
        <v>91</v>
      </c>
      <c r="G5299" t="s">
        <v>35</v>
      </c>
      <c r="H5299">
        <v>1</v>
      </c>
      <c r="K5299" t="s">
        <v>877</v>
      </c>
      <c r="L5299" t="s">
        <v>878</v>
      </c>
      <c r="M5299" t="s">
        <v>131</v>
      </c>
      <c r="N5299">
        <v>25</v>
      </c>
      <c r="P5299" t="s">
        <v>41</v>
      </c>
      <c r="Q5299" t="s">
        <v>95</v>
      </c>
      <c r="R5299" t="str">
        <f>"7541023"</f>
        <v>7541023</v>
      </c>
      <c r="S5299" t="s">
        <v>890</v>
      </c>
      <c r="T5299" t="s">
        <v>877</v>
      </c>
      <c r="U5299" t="s">
        <v>878</v>
      </c>
      <c r="V5299" t="s">
        <v>131</v>
      </c>
      <c r="W5299" t="s">
        <v>51</v>
      </c>
      <c r="X5299" t="s">
        <v>45</v>
      </c>
      <c r="Y5299" s="1">
        <v>31427</v>
      </c>
      <c r="Z5299">
        <v>1</v>
      </c>
      <c r="AA5299" t="s">
        <v>878</v>
      </c>
      <c r="AB5299" s="40" t="s">
        <v>1799</v>
      </c>
    </row>
    <row r="5300" spans="1:28" x14ac:dyDescent="0.25">
      <c r="A5300">
        <v>99915299</v>
      </c>
      <c r="B5300" t="s">
        <v>32</v>
      </c>
      <c r="C5300" t="s">
        <v>90</v>
      </c>
      <c r="D5300" t="s">
        <v>91</v>
      </c>
      <c r="G5300" t="s">
        <v>35</v>
      </c>
      <c r="H5300">
        <v>1</v>
      </c>
      <c r="I5300">
        <v>4978</v>
      </c>
      <c r="J5300" s="1">
        <v>43344</v>
      </c>
      <c r="K5300" t="s">
        <v>354</v>
      </c>
      <c r="L5300" t="s">
        <v>355</v>
      </c>
      <c r="M5300" t="s">
        <v>131</v>
      </c>
      <c r="N5300">
        <v>25</v>
      </c>
      <c r="O5300" s="1">
        <v>43344</v>
      </c>
      <c r="P5300" t="s">
        <v>41</v>
      </c>
      <c r="Q5300" t="s">
        <v>95</v>
      </c>
      <c r="R5300" t="str">
        <f>"7054007"</f>
        <v>7054007</v>
      </c>
      <c r="S5300" t="s">
        <v>775</v>
      </c>
      <c r="T5300" t="s">
        <v>354</v>
      </c>
      <c r="U5300" t="s">
        <v>355</v>
      </c>
      <c r="V5300" t="s">
        <v>131</v>
      </c>
      <c r="W5300" t="s">
        <v>51</v>
      </c>
      <c r="X5300" t="s">
        <v>45</v>
      </c>
      <c r="Y5300" s="1">
        <v>31420</v>
      </c>
      <c r="Z5300">
        <v>1</v>
      </c>
      <c r="AA5300" t="s">
        <v>355</v>
      </c>
      <c r="AB5300" s="40" t="s">
        <v>1799</v>
      </c>
    </row>
    <row r="5301" spans="1:28" x14ac:dyDescent="0.25">
      <c r="A5301">
        <v>99915300</v>
      </c>
      <c r="B5301" t="s">
        <v>32</v>
      </c>
      <c r="C5301" t="s">
        <v>111</v>
      </c>
      <c r="D5301" t="s">
        <v>112</v>
      </c>
      <c r="G5301" t="s">
        <v>48</v>
      </c>
      <c r="H5301">
        <v>1</v>
      </c>
      <c r="K5301" t="s">
        <v>407</v>
      </c>
      <c r="L5301" t="s">
        <v>155</v>
      </c>
      <c r="M5301" t="s">
        <v>131</v>
      </c>
      <c r="N5301">
        <v>25</v>
      </c>
      <c r="P5301" t="s">
        <v>41</v>
      </c>
      <c r="Q5301" t="s">
        <v>75</v>
      </c>
      <c r="R5301" t="str">
        <f>"7053018"</f>
        <v>7053018</v>
      </c>
      <c r="S5301" t="s">
        <v>408</v>
      </c>
      <c r="T5301" t="s">
        <v>407</v>
      </c>
      <c r="U5301" t="s">
        <v>409</v>
      </c>
      <c r="V5301" t="s">
        <v>131</v>
      </c>
      <c r="W5301" t="s">
        <v>51</v>
      </c>
      <c r="X5301" t="s">
        <v>45</v>
      </c>
      <c r="Y5301" s="1">
        <v>31413</v>
      </c>
      <c r="Z5301">
        <v>1</v>
      </c>
      <c r="AA5301" t="s">
        <v>155</v>
      </c>
      <c r="AB5301" s="40" t="s">
        <v>1799</v>
      </c>
    </row>
    <row r="5302" spans="1:28" x14ac:dyDescent="0.25">
      <c r="A5302">
        <v>99915301</v>
      </c>
      <c r="B5302" t="s">
        <v>32</v>
      </c>
      <c r="C5302" t="s">
        <v>90</v>
      </c>
      <c r="D5302" t="s">
        <v>91</v>
      </c>
      <c r="G5302" t="s">
        <v>35</v>
      </c>
      <c r="H5302">
        <v>1</v>
      </c>
      <c r="I5302" t="s">
        <v>286</v>
      </c>
      <c r="J5302" s="1">
        <v>43344</v>
      </c>
      <c r="K5302" t="s">
        <v>268</v>
      </c>
      <c r="L5302" t="s">
        <v>269</v>
      </c>
      <c r="M5302" t="s">
        <v>131</v>
      </c>
      <c r="N5302">
        <v>25</v>
      </c>
      <c r="P5302" t="s">
        <v>41</v>
      </c>
      <c r="Q5302" t="s">
        <v>95</v>
      </c>
      <c r="R5302" t="str">
        <f>"7052063"</f>
        <v>7052063</v>
      </c>
      <c r="S5302" t="s">
        <v>642</v>
      </c>
      <c r="T5302" t="s">
        <v>268</v>
      </c>
      <c r="U5302" t="s">
        <v>269</v>
      </c>
      <c r="V5302" t="s">
        <v>131</v>
      </c>
      <c r="W5302" t="s">
        <v>55</v>
      </c>
      <c r="X5302" t="s">
        <v>45</v>
      </c>
      <c r="Y5302" s="1">
        <v>31413</v>
      </c>
      <c r="Z5302">
        <v>1</v>
      </c>
      <c r="AA5302" t="s">
        <v>269</v>
      </c>
      <c r="AB5302" s="40" t="s">
        <v>1799</v>
      </c>
    </row>
    <row r="5303" spans="1:28" x14ac:dyDescent="0.25">
      <c r="A5303">
        <v>99915302</v>
      </c>
      <c r="B5303" t="s">
        <v>32</v>
      </c>
      <c r="C5303" t="s">
        <v>90</v>
      </c>
      <c r="D5303" t="s">
        <v>91</v>
      </c>
      <c r="G5303" t="s">
        <v>48</v>
      </c>
      <c r="H5303">
        <v>1</v>
      </c>
      <c r="K5303" t="s">
        <v>1695</v>
      </c>
      <c r="L5303" t="s">
        <v>1696</v>
      </c>
      <c r="M5303" t="s">
        <v>1592</v>
      </c>
      <c r="N5303">
        <v>25</v>
      </c>
      <c r="P5303" t="s">
        <v>41</v>
      </c>
      <c r="Q5303" t="s">
        <v>95</v>
      </c>
      <c r="R5303" t="str">
        <f>"7361003"</f>
        <v>7361003</v>
      </c>
      <c r="S5303" t="s">
        <v>1700</v>
      </c>
      <c r="T5303" t="s">
        <v>1695</v>
      </c>
      <c r="U5303" t="s">
        <v>1696</v>
      </c>
      <c r="V5303" t="s">
        <v>1592</v>
      </c>
      <c r="W5303" t="s">
        <v>51</v>
      </c>
      <c r="X5303" t="s">
        <v>45</v>
      </c>
      <c r="Y5303" s="1">
        <v>31383</v>
      </c>
      <c r="Z5303">
        <v>1</v>
      </c>
      <c r="AA5303" t="s">
        <v>1696</v>
      </c>
      <c r="AB5303" s="40" t="s">
        <v>1799</v>
      </c>
    </row>
    <row r="5304" spans="1:28" x14ac:dyDescent="0.25">
      <c r="A5304">
        <v>99915303</v>
      </c>
      <c r="B5304" t="s">
        <v>32</v>
      </c>
      <c r="C5304" t="s">
        <v>90</v>
      </c>
      <c r="D5304" t="s">
        <v>91</v>
      </c>
      <c r="G5304" t="s">
        <v>35</v>
      </c>
      <c r="H5304">
        <v>1</v>
      </c>
      <c r="I5304">
        <v>7143</v>
      </c>
      <c r="J5304" s="1">
        <v>43344</v>
      </c>
      <c r="K5304" t="s">
        <v>354</v>
      </c>
      <c r="L5304" t="s">
        <v>355</v>
      </c>
      <c r="M5304" t="s">
        <v>131</v>
      </c>
      <c r="N5304">
        <v>25</v>
      </c>
      <c r="O5304" s="1">
        <v>43344</v>
      </c>
      <c r="P5304" t="s">
        <v>41</v>
      </c>
      <c r="Q5304" t="s">
        <v>95</v>
      </c>
      <c r="R5304" t="str">
        <f>"7054069"</f>
        <v>7054069</v>
      </c>
      <c r="S5304" t="s">
        <v>822</v>
      </c>
      <c r="T5304" t="s">
        <v>354</v>
      </c>
      <c r="U5304" t="s">
        <v>355</v>
      </c>
      <c r="V5304" t="s">
        <v>131</v>
      </c>
      <c r="W5304" t="s">
        <v>44</v>
      </c>
      <c r="X5304" t="s">
        <v>45</v>
      </c>
      <c r="Y5304" s="1">
        <v>31379</v>
      </c>
      <c r="Z5304">
        <v>1</v>
      </c>
      <c r="AA5304" t="s">
        <v>355</v>
      </c>
      <c r="AB5304" s="40" t="s">
        <v>1799</v>
      </c>
    </row>
    <row r="5305" spans="1:28" x14ac:dyDescent="0.25">
      <c r="A5305">
        <v>99915304</v>
      </c>
      <c r="B5305" t="s">
        <v>32</v>
      </c>
      <c r="C5305" t="s">
        <v>90</v>
      </c>
      <c r="D5305" t="s">
        <v>91</v>
      </c>
      <c r="G5305" t="s">
        <v>48</v>
      </c>
      <c r="H5305">
        <v>1</v>
      </c>
      <c r="K5305" t="s">
        <v>268</v>
      </c>
      <c r="L5305" t="s">
        <v>269</v>
      </c>
      <c r="M5305" t="s">
        <v>131</v>
      </c>
      <c r="N5305">
        <v>25</v>
      </c>
      <c r="P5305" t="s">
        <v>41</v>
      </c>
      <c r="Q5305" t="s">
        <v>95</v>
      </c>
      <c r="R5305" t="str">
        <f>"7052183"</f>
        <v>7052183</v>
      </c>
      <c r="S5305" t="s">
        <v>634</v>
      </c>
      <c r="T5305" t="s">
        <v>268</v>
      </c>
      <c r="U5305" t="s">
        <v>269</v>
      </c>
      <c r="V5305" t="s">
        <v>131</v>
      </c>
      <c r="W5305" t="s">
        <v>51</v>
      </c>
      <c r="X5305" t="s">
        <v>45</v>
      </c>
      <c r="Y5305" s="1">
        <v>31367</v>
      </c>
      <c r="Z5305">
        <v>1</v>
      </c>
      <c r="AA5305" t="s">
        <v>269</v>
      </c>
      <c r="AB5305" s="40" t="s">
        <v>1799</v>
      </c>
    </row>
    <row r="5306" spans="1:28" x14ac:dyDescent="0.25">
      <c r="A5306">
        <v>99915305</v>
      </c>
      <c r="B5306" t="s">
        <v>32</v>
      </c>
      <c r="C5306" t="s">
        <v>90</v>
      </c>
      <c r="D5306" t="s">
        <v>91</v>
      </c>
      <c r="G5306" t="s">
        <v>35</v>
      </c>
      <c r="H5306">
        <v>1</v>
      </c>
      <c r="I5306" t="s">
        <v>1007</v>
      </c>
      <c r="J5306" s="1">
        <v>43344</v>
      </c>
      <c r="K5306" t="s">
        <v>963</v>
      </c>
      <c r="L5306" t="s">
        <v>964</v>
      </c>
      <c r="M5306" t="s">
        <v>938</v>
      </c>
      <c r="N5306">
        <v>25</v>
      </c>
      <c r="O5306" s="1">
        <v>43344</v>
      </c>
      <c r="P5306" t="s">
        <v>41</v>
      </c>
      <c r="Q5306" t="s">
        <v>95</v>
      </c>
      <c r="R5306" t="str">
        <f>"7061051"</f>
        <v>7061051</v>
      </c>
      <c r="S5306" t="s">
        <v>1008</v>
      </c>
      <c r="T5306" t="s">
        <v>963</v>
      </c>
      <c r="U5306" t="s">
        <v>964</v>
      </c>
      <c r="V5306" t="s">
        <v>938</v>
      </c>
      <c r="W5306" t="s">
        <v>51</v>
      </c>
      <c r="X5306" t="s">
        <v>45</v>
      </c>
      <c r="Y5306" s="1">
        <v>31366</v>
      </c>
      <c r="Z5306">
        <v>1</v>
      </c>
      <c r="AA5306" t="s">
        <v>964</v>
      </c>
      <c r="AB5306" s="40" t="s">
        <v>1799</v>
      </c>
    </row>
    <row r="5307" spans="1:28" x14ac:dyDescent="0.25">
      <c r="A5307">
        <v>99915306</v>
      </c>
      <c r="B5307" t="s">
        <v>32</v>
      </c>
      <c r="C5307" t="s">
        <v>90</v>
      </c>
      <c r="D5307" t="s">
        <v>91</v>
      </c>
      <c r="G5307" t="s">
        <v>35</v>
      </c>
      <c r="H5307">
        <v>1</v>
      </c>
      <c r="I5307">
        <v>10395</v>
      </c>
      <c r="J5307" s="1">
        <v>43344</v>
      </c>
      <c r="K5307" t="s">
        <v>1703</v>
      </c>
      <c r="L5307" t="s">
        <v>1704</v>
      </c>
      <c r="M5307" t="s">
        <v>1705</v>
      </c>
      <c r="N5307">
        <v>25</v>
      </c>
      <c r="O5307" s="1">
        <v>43344</v>
      </c>
      <c r="P5307" t="s">
        <v>41</v>
      </c>
      <c r="Q5307" t="s">
        <v>95</v>
      </c>
      <c r="R5307" t="str">
        <f>"7071001"</f>
        <v>7071001</v>
      </c>
      <c r="S5307" t="s">
        <v>1706</v>
      </c>
      <c r="T5307" t="s">
        <v>1703</v>
      </c>
      <c r="U5307" t="s">
        <v>1704</v>
      </c>
      <c r="V5307" t="s">
        <v>1705</v>
      </c>
      <c r="W5307" t="s">
        <v>44</v>
      </c>
      <c r="X5307" t="s">
        <v>45</v>
      </c>
      <c r="Y5307" s="1">
        <v>31354</v>
      </c>
      <c r="Z5307">
        <v>1</v>
      </c>
      <c r="AA5307" t="s">
        <v>1704</v>
      </c>
      <c r="AB5307" s="40" t="s">
        <v>1799</v>
      </c>
    </row>
    <row r="5308" spans="1:28" x14ac:dyDescent="0.25">
      <c r="A5308">
        <v>99915307</v>
      </c>
      <c r="B5308" t="s">
        <v>32</v>
      </c>
      <c r="C5308" t="s">
        <v>90</v>
      </c>
      <c r="D5308" t="s">
        <v>91</v>
      </c>
      <c r="G5308" t="s">
        <v>35</v>
      </c>
      <c r="H5308">
        <v>1</v>
      </c>
      <c r="K5308" t="s">
        <v>927</v>
      </c>
      <c r="L5308" t="s">
        <v>928</v>
      </c>
      <c r="M5308" t="s">
        <v>921</v>
      </c>
      <c r="N5308">
        <v>25</v>
      </c>
      <c r="P5308" t="s">
        <v>41</v>
      </c>
      <c r="Q5308" t="s">
        <v>95</v>
      </c>
      <c r="R5308" t="str">
        <f>"7331003"</f>
        <v>7331003</v>
      </c>
      <c r="S5308" t="s">
        <v>929</v>
      </c>
      <c r="T5308" t="s">
        <v>927</v>
      </c>
      <c r="U5308" t="s">
        <v>928</v>
      </c>
      <c r="V5308" t="s">
        <v>921</v>
      </c>
      <c r="W5308" t="s">
        <v>51</v>
      </c>
      <c r="X5308" t="s">
        <v>45</v>
      </c>
      <c r="Y5308" s="1">
        <v>31314</v>
      </c>
      <c r="Z5308">
        <v>1</v>
      </c>
      <c r="AA5308" t="s">
        <v>928</v>
      </c>
      <c r="AB5308" s="40" t="s">
        <v>1799</v>
      </c>
    </row>
    <row r="5309" spans="1:28" x14ac:dyDescent="0.25">
      <c r="A5309">
        <v>99915308</v>
      </c>
      <c r="B5309" t="s">
        <v>32</v>
      </c>
      <c r="C5309" t="s">
        <v>90</v>
      </c>
      <c r="D5309" t="s">
        <v>91</v>
      </c>
      <c r="G5309" t="s">
        <v>48</v>
      </c>
      <c r="H5309">
        <v>3</v>
      </c>
      <c r="K5309" t="s">
        <v>1619</v>
      </c>
      <c r="L5309" t="s">
        <v>1620</v>
      </c>
      <c r="M5309" t="s">
        <v>1592</v>
      </c>
      <c r="N5309">
        <v>25</v>
      </c>
      <c r="P5309" t="s">
        <v>41</v>
      </c>
      <c r="Q5309" t="s">
        <v>95</v>
      </c>
      <c r="R5309" t="str">
        <f>"7281005"</f>
        <v>7281005</v>
      </c>
      <c r="S5309" t="s">
        <v>1649</v>
      </c>
      <c r="T5309" t="s">
        <v>1619</v>
      </c>
      <c r="U5309" t="s">
        <v>1620</v>
      </c>
      <c r="V5309" t="s">
        <v>1592</v>
      </c>
      <c r="W5309" t="s">
        <v>51</v>
      </c>
      <c r="X5309" t="s">
        <v>45</v>
      </c>
      <c r="Y5309" s="1">
        <v>31298</v>
      </c>
      <c r="Z5309">
        <v>1</v>
      </c>
      <c r="AA5309" t="s">
        <v>1620</v>
      </c>
      <c r="AB5309" s="40" t="s">
        <v>1799</v>
      </c>
    </row>
    <row r="5310" spans="1:28" x14ac:dyDescent="0.25">
      <c r="A5310">
        <v>99915309</v>
      </c>
      <c r="B5310" t="s">
        <v>32</v>
      </c>
      <c r="C5310" t="s">
        <v>90</v>
      </c>
      <c r="D5310" t="s">
        <v>91</v>
      </c>
      <c r="G5310" t="s">
        <v>48</v>
      </c>
      <c r="H5310">
        <v>1</v>
      </c>
      <c r="K5310" t="s">
        <v>268</v>
      </c>
      <c r="L5310" t="s">
        <v>269</v>
      </c>
      <c r="M5310" t="s">
        <v>131</v>
      </c>
      <c r="N5310">
        <v>25</v>
      </c>
      <c r="P5310" t="s">
        <v>41</v>
      </c>
      <c r="Q5310" t="s">
        <v>95</v>
      </c>
      <c r="R5310" t="str">
        <f>"7052011"</f>
        <v>7052011</v>
      </c>
      <c r="S5310" t="s">
        <v>666</v>
      </c>
      <c r="T5310" t="s">
        <v>268</v>
      </c>
      <c r="U5310" t="s">
        <v>269</v>
      </c>
      <c r="V5310" t="s">
        <v>131</v>
      </c>
      <c r="W5310" t="s">
        <v>51</v>
      </c>
      <c r="X5310" t="s">
        <v>45</v>
      </c>
      <c r="Y5310" s="1">
        <v>31294</v>
      </c>
      <c r="Z5310">
        <v>1</v>
      </c>
      <c r="AA5310" t="s">
        <v>269</v>
      </c>
      <c r="AB5310" s="40" t="s">
        <v>1799</v>
      </c>
    </row>
    <row r="5311" spans="1:28" x14ac:dyDescent="0.25">
      <c r="A5311">
        <v>99915310</v>
      </c>
      <c r="B5311" t="s">
        <v>32</v>
      </c>
      <c r="C5311" t="s">
        <v>90</v>
      </c>
      <c r="D5311" t="s">
        <v>91</v>
      </c>
      <c r="G5311" t="s">
        <v>35</v>
      </c>
      <c r="H5311">
        <v>1</v>
      </c>
      <c r="I5311" t="s">
        <v>1585</v>
      </c>
      <c r="J5311" s="1">
        <v>43344</v>
      </c>
      <c r="K5311" t="s">
        <v>1587</v>
      </c>
      <c r="L5311" t="s">
        <v>1582</v>
      </c>
      <c r="M5311" t="s">
        <v>1548</v>
      </c>
      <c r="N5311">
        <v>25</v>
      </c>
      <c r="O5311" s="1">
        <v>43344</v>
      </c>
      <c r="P5311" t="s">
        <v>41</v>
      </c>
      <c r="Q5311" t="s">
        <v>95</v>
      </c>
      <c r="R5311" t="str">
        <f>"7291007"</f>
        <v>7291007</v>
      </c>
      <c r="S5311" t="s">
        <v>1588</v>
      </c>
      <c r="T5311" t="s">
        <v>1587</v>
      </c>
      <c r="U5311" t="s">
        <v>1582</v>
      </c>
      <c r="V5311" t="s">
        <v>1548</v>
      </c>
      <c r="W5311" t="s">
        <v>51</v>
      </c>
      <c r="X5311" t="s">
        <v>45</v>
      </c>
      <c r="Y5311" s="1">
        <v>31260</v>
      </c>
      <c r="Z5311">
        <v>1</v>
      </c>
      <c r="AA5311" t="s">
        <v>1582</v>
      </c>
      <c r="AB5311" s="40" t="s">
        <v>1799</v>
      </c>
    </row>
    <row r="5312" spans="1:28" x14ac:dyDescent="0.25">
      <c r="A5312">
        <v>99915311</v>
      </c>
      <c r="B5312" t="s">
        <v>32</v>
      </c>
      <c r="C5312" t="s">
        <v>90</v>
      </c>
      <c r="D5312" t="s">
        <v>91</v>
      </c>
      <c r="G5312" t="s">
        <v>48</v>
      </c>
      <c r="H5312">
        <v>1</v>
      </c>
      <c r="K5312" t="s">
        <v>1341</v>
      </c>
      <c r="L5312" t="s">
        <v>1342</v>
      </c>
      <c r="M5312" t="s">
        <v>1270</v>
      </c>
      <c r="N5312">
        <v>25</v>
      </c>
      <c r="P5312" t="s">
        <v>41</v>
      </c>
      <c r="Q5312" t="s">
        <v>95</v>
      </c>
      <c r="R5312" t="str">
        <f>"7191013"</f>
        <v>7191013</v>
      </c>
      <c r="S5312" t="s">
        <v>1358</v>
      </c>
      <c r="T5312" t="s">
        <v>1341</v>
      </c>
      <c r="U5312" t="s">
        <v>1342</v>
      </c>
      <c r="V5312" t="s">
        <v>1270</v>
      </c>
      <c r="W5312" t="s">
        <v>51</v>
      </c>
      <c r="X5312" t="s">
        <v>45</v>
      </c>
      <c r="Y5312" s="1">
        <v>31254</v>
      </c>
      <c r="Z5312">
        <v>1</v>
      </c>
      <c r="AA5312" t="s">
        <v>1342</v>
      </c>
      <c r="AB5312" s="40" t="s">
        <v>1799</v>
      </c>
    </row>
    <row r="5313" spans="1:28" x14ac:dyDescent="0.25">
      <c r="A5313">
        <v>99915312</v>
      </c>
      <c r="B5313" t="s">
        <v>32</v>
      </c>
      <c r="C5313" t="s">
        <v>90</v>
      </c>
      <c r="D5313" t="s">
        <v>91</v>
      </c>
      <c r="G5313" t="s">
        <v>48</v>
      </c>
      <c r="H5313">
        <v>1</v>
      </c>
      <c r="K5313" t="s">
        <v>1245</v>
      </c>
      <c r="L5313" t="s">
        <v>1246</v>
      </c>
      <c r="M5313" t="s">
        <v>1130</v>
      </c>
      <c r="N5313">
        <v>25</v>
      </c>
      <c r="P5313" t="s">
        <v>41</v>
      </c>
      <c r="Q5313" t="s">
        <v>95</v>
      </c>
      <c r="R5313" t="str">
        <f>"7451007"</f>
        <v>7451007</v>
      </c>
      <c r="S5313" t="s">
        <v>1256</v>
      </c>
      <c r="T5313" t="s">
        <v>1245</v>
      </c>
      <c r="U5313" t="s">
        <v>1246</v>
      </c>
      <c r="V5313" t="s">
        <v>1130</v>
      </c>
      <c r="W5313" t="s">
        <v>51</v>
      </c>
      <c r="X5313" t="s">
        <v>45</v>
      </c>
      <c r="Y5313" s="1">
        <v>31231</v>
      </c>
      <c r="Z5313">
        <v>1</v>
      </c>
      <c r="AA5313" t="s">
        <v>1246</v>
      </c>
      <c r="AB5313" s="40" t="s">
        <v>1799</v>
      </c>
    </row>
    <row r="5314" spans="1:28" x14ac:dyDescent="0.25">
      <c r="A5314">
        <v>99915313</v>
      </c>
      <c r="B5314" t="s">
        <v>32</v>
      </c>
      <c r="C5314" t="s">
        <v>90</v>
      </c>
      <c r="D5314" t="s">
        <v>91</v>
      </c>
      <c r="G5314" t="s">
        <v>35</v>
      </c>
      <c r="H5314">
        <v>1</v>
      </c>
      <c r="I5314">
        <v>12971</v>
      </c>
      <c r="J5314" s="1">
        <v>43344</v>
      </c>
      <c r="K5314" t="s">
        <v>354</v>
      </c>
      <c r="L5314" t="s">
        <v>355</v>
      </c>
      <c r="M5314" t="s">
        <v>131</v>
      </c>
      <c r="N5314">
        <v>25</v>
      </c>
      <c r="O5314" s="1">
        <v>43344</v>
      </c>
      <c r="P5314" t="s">
        <v>41</v>
      </c>
      <c r="Q5314" t="s">
        <v>95</v>
      </c>
      <c r="R5314" t="str">
        <f>"7054051"</f>
        <v>7054051</v>
      </c>
      <c r="S5314" t="s">
        <v>853</v>
      </c>
      <c r="T5314" t="s">
        <v>354</v>
      </c>
      <c r="U5314" t="s">
        <v>355</v>
      </c>
      <c r="V5314" t="s">
        <v>131</v>
      </c>
      <c r="W5314" t="s">
        <v>51</v>
      </c>
      <c r="X5314" t="s">
        <v>45</v>
      </c>
      <c r="Y5314" s="1">
        <v>31229</v>
      </c>
      <c r="Z5314">
        <v>1</v>
      </c>
      <c r="AA5314" t="s">
        <v>355</v>
      </c>
      <c r="AB5314" s="40" t="s">
        <v>1799</v>
      </c>
    </row>
    <row r="5315" spans="1:28" x14ac:dyDescent="0.25">
      <c r="A5315">
        <v>99915314</v>
      </c>
      <c r="B5315" t="s">
        <v>32</v>
      </c>
      <c r="C5315" t="s">
        <v>90</v>
      </c>
      <c r="D5315" t="s">
        <v>91</v>
      </c>
      <c r="G5315" t="s">
        <v>48</v>
      </c>
      <c r="H5315">
        <v>4</v>
      </c>
      <c r="K5315" t="s">
        <v>1619</v>
      </c>
      <c r="L5315" t="s">
        <v>1620</v>
      </c>
      <c r="M5315" t="s">
        <v>1592</v>
      </c>
      <c r="N5315">
        <v>25</v>
      </c>
      <c r="P5315" t="s">
        <v>41</v>
      </c>
      <c r="Q5315" t="s">
        <v>95</v>
      </c>
      <c r="R5315" t="str">
        <f>"7281005"</f>
        <v>7281005</v>
      </c>
      <c r="S5315" t="s">
        <v>1649</v>
      </c>
      <c r="T5315" t="s">
        <v>1619</v>
      </c>
      <c r="U5315" t="s">
        <v>1620</v>
      </c>
      <c r="V5315" t="s">
        <v>1592</v>
      </c>
      <c r="W5315" t="s">
        <v>51</v>
      </c>
      <c r="X5315" t="s">
        <v>45</v>
      </c>
      <c r="Y5315" s="1">
        <v>31225</v>
      </c>
      <c r="Z5315">
        <v>1</v>
      </c>
      <c r="AA5315" t="s">
        <v>1620</v>
      </c>
      <c r="AB5315" s="40" t="s">
        <v>1799</v>
      </c>
    </row>
    <row r="5316" spans="1:28" x14ac:dyDescent="0.25">
      <c r="A5316">
        <v>99915315</v>
      </c>
      <c r="B5316" t="s">
        <v>56</v>
      </c>
      <c r="C5316" t="s">
        <v>61</v>
      </c>
      <c r="D5316" t="s">
        <v>62</v>
      </c>
      <c r="G5316" t="s">
        <v>48</v>
      </c>
      <c r="H5316">
        <v>1</v>
      </c>
      <c r="K5316" t="s">
        <v>1051</v>
      </c>
      <c r="L5316" t="s">
        <v>1052</v>
      </c>
      <c r="M5316" t="s">
        <v>1053</v>
      </c>
      <c r="N5316">
        <v>25</v>
      </c>
      <c r="P5316" t="s">
        <v>41</v>
      </c>
      <c r="Q5316" t="s">
        <v>42</v>
      </c>
      <c r="R5316" t="str">
        <f>"2061001"</f>
        <v>2061001</v>
      </c>
      <c r="S5316" t="s">
        <v>1058</v>
      </c>
      <c r="T5316" t="s">
        <v>1051</v>
      </c>
      <c r="U5316" t="s">
        <v>1052</v>
      </c>
      <c r="V5316" t="s">
        <v>1053</v>
      </c>
      <c r="W5316" t="s">
        <v>51</v>
      </c>
      <c r="X5316" t="s">
        <v>45</v>
      </c>
      <c r="Y5316" s="1">
        <v>31214</v>
      </c>
      <c r="Z5316">
        <v>2</v>
      </c>
      <c r="AA5316" t="s">
        <v>1052</v>
      </c>
      <c r="AB5316" s="40" t="s">
        <v>1799</v>
      </c>
    </row>
    <row r="5317" spans="1:28" x14ac:dyDescent="0.25">
      <c r="A5317">
        <v>99915316</v>
      </c>
      <c r="B5317" t="s">
        <v>32</v>
      </c>
      <c r="C5317" t="s">
        <v>90</v>
      </c>
      <c r="D5317" t="s">
        <v>91</v>
      </c>
      <c r="G5317" t="s">
        <v>35</v>
      </c>
      <c r="H5317">
        <v>1</v>
      </c>
      <c r="I5317">
        <v>11280</v>
      </c>
      <c r="J5317" s="1">
        <v>43344</v>
      </c>
      <c r="K5317" t="s">
        <v>354</v>
      </c>
      <c r="L5317" t="s">
        <v>355</v>
      </c>
      <c r="M5317" t="s">
        <v>131</v>
      </c>
      <c r="N5317">
        <v>25</v>
      </c>
      <c r="O5317" s="1">
        <v>43344</v>
      </c>
      <c r="P5317" t="s">
        <v>41</v>
      </c>
      <c r="Q5317" t="s">
        <v>95</v>
      </c>
      <c r="R5317" t="str">
        <f>"7054169"</f>
        <v>7054169</v>
      </c>
      <c r="S5317" t="s">
        <v>857</v>
      </c>
      <c r="T5317" t="s">
        <v>354</v>
      </c>
      <c r="U5317" t="s">
        <v>355</v>
      </c>
      <c r="V5317" t="s">
        <v>131</v>
      </c>
      <c r="W5317" t="s">
        <v>51</v>
      </c>
      <c r="X5317" t="s">
        <v>45</v>
      </c>
      <c r="Y5317" s="1">
        <v>31209</v>
      </c>
      <c r="Z5317">
        <v>1</v>
      </c>
      <c r="AA5317" t="s">
        <v>355</v>
      </c>
      <c r="AB5317" s="40" t="s">
        <v>1799</v>
      </c>
    </row>
    <row r="5318" spans="1:28" x14ac:dyDescent="0.25">
      <c r="A5318">
        <v>99915317</v>
      </c>
      <c r="B5318" t="s">
        <v>32</v>
      </c>
      <c r="C5318" t="s">
        <v>90</v>
      </c>
      <c r="D5318" t="s">
        <v>91</v>
      </c>
      <c r="G5318" t="s">
        <v>48</v>
      </c>
      <c r="H5318">
        <v>1</v>
      </c>
      <c r="K5318" t="s">
        <v>1689</v>
      </c>
      <c r="L5318" t="s">
        <v>1690</v>
      </c>
      <c r="M5318" t="s">
        <v>1592</v>
      </c>
      <c r="N5318">
        <v>25</v>
      </c>
      <c r="P5318" t="s">
        <v>41</v>
      </c>
      <c r="Q5318" t="s">
        <v>95</v>
      </c>
      <c r="R5318" t="str">
        <f>"7301001"</f>
        <v>7301001</v>
      </c>
      <c r="S5318" t="s">
        <v>1692</v>
      </c>
      <c r="T5318" t="s">
        <v>1689</v>
      </c>
      <c r="U5318" t="s">
        <v>1690</v>
      </c>
      <c r="V5318" t="s">
        <v>1592</v>
      </c>
      <c r="W5318" t="s">
        <v>51</v>
      </c>
      <c r="X5318" t="s">
        <v>45</v>
      </c>
      <c r="Y5318" s="1">
        <v>31183</v>
      </c>
      <c r="Z5318">
        <v>1</v>
      </c>
      <c r="AA5318" t="s">
        <v>1690</v>
      </c>
      <c r="AB5318" s="40" t="s">
        <v>1799</v>
      </c>
    </row>
    <row r="5319" spans="1:28" x14ac:dyDescent="0.25">
      <c r="A5319">
        <v>99915318</v>
      </c>
      <c r="B5319" t="s">
        <v>32</v>
      </c>
      <c r="C5319" t="s">
        <v>90</v>
      </c>
      <c r="D5319" t="s">
        <v>91</v>
      </c>
      <c r="G5319" t="s">
        <v>35</v>
      </c>
      <c r="H5319">
        <v>1</v>
      </c>
      <c r="I5319" t="s">
        <v>811</v>
      </c>
      <c r="J5319" s="1">
        <v>43344</v>
      </c>
      <c r="K5319" t="s">
        <v>354</v>
      </c>
      <c r="L5319" t="s">
        <v>355</v>
      </c>
      <c r="M5319" t="s">
        <v>131</v>
      </c>
      <c r="N5319">
        <v>25</v>
      </c>
      <c r="O5319" s="1">
        <v>43344</v>
      </c>
      <c r="P5319" t="s">
        <v>41</v>
      </c>
      <c r="Q5319" t="s">
        <v>95</v>
      </c>
      <c r="R5319" t="str">
        <f>"7054165"</f>
        <v>7054165</v>
      </c>
      <c r="S5319" t="s">
        <v>812</v>
      </c>
      <c r="T5319" t="s">
        <v>354</v>
      </c>
      <c r="U5319" t="s">
        <v>355</v>
      </c>
      <c r="V5319" t="s">
        <v>131</v>
      </c>
      <c r="W5319" t="s">
        <v>51</v>
      </c>
      <c r="X5319" t="s">
        <v>45</v>
      </c>
      <c r="Y5319" s="1">
        <v>31175</v>
      </c>
      <c r="Z5319">
        <v>1</v>
      </c>
      <c r="AA5319" t="s">
        <v>355</v>
      </c>
      <c r="AB5319" s="40" t="s">
        <v>1799</v>
      </c>
    </row>
    <row r="5320" spans="1:28" x14ac:dyDescent="0.25">
      <c r="A5320">
        <v>99915319</v>
      </c>
      <c r="B5320" t="s">
        <v>32</v>
      </c>
      <c r="C5320" t="s">
        <v>90</v>
      </c>
      <c r="D5320" t="s">
        <v>91</v>
      </c>
      <c r="G5320" t="s">
        <v>48</v>
      </c>
      <c r="H5320">
        <v>1</v>
      </c>
      <c r="K5320" t="s">
        <v>268</v>
      </c>
      <c r="L5320" t="s">
        <v>269</v>
      </c>
      <c r="M5320" t="s">
        <v>131</v>
      </c>
      <c r="N5320">
        <v>25</v>
      </c>
      <c r="P5320" t="s">
        <v>41</v>
      </c>
      <c r="Q5320" t="s">
        <v>95</v>
      </c>
      <c r="R5320" t="str">
        <f>"7052111"</f>
        <v>7052111</v>
      </c>
      <c r="S5320" t="s">
        <v>600</v>
      </c>
      <c r="T5320" t="s">
        <v>268</v>
      </c>
      <c r="U5320" t="s">
        <v>269</v>
      </c>
      <c r="V5320" t="s">
        <v>131</v>
      </c>
      <c r="W5320" t="s">
        <v>51</v>
      </c>
      <c r="X5320" t="s">
        <v>45</v>
      </c>
      <c r="Y5320" s="1">
        <v>31136</v>
      </c>
      <c r="Z5320">
        <v>1</v>
      </c>
      <c r="AA5320" t="s">
        <v>269</v>
      </c>
      <c r="AB5320" s="40" t="s">
        <v>1799</v>
      </c>
    </row>
    <row r="5321" spans="1:28" x14ac:dyDescent="0.25">
      <c r="A5321">
        <v>99915320</v>
      </c>
      <c r="B5321" t="s">
        <v>32</v>
      </c>
      <c r="C5321" t="s">
        <v>90</v>
      </c>
      <c r="D5321" t="s">
        <v>91</v>
      </c>
      <c r="G5321" t="s">
        <v>35</v>
      </c>
      <c r="H5321">
        <v>1</v>
      </c>
      <c r="I5321">
        <v>15242</v>
      </c>
      <c r="J5321" s="1">
        <v>43346</v>
      </c>
      <c r="K5321" t="s">
        <v>877</v>
      </c>
      <c r="L5321" t="s">
        <v>878</v>
      </c>
      <c r="M5321" t="s">
        <v>131</v>
      </c>
      <c r="N5321">
        <v>25</v>
      </c>
      <c r="O5321" s="1">
        <v>43346</v>
      </c>
      <c r="P5321" t="s">
        <v>41</v>
      </c>
      <c r="Q5321" t="s">
        <v>95</v>
      </c>
      <c r="R5321" t="str">
        <f>"7541013"</f>
        <v>7541013</v>
      </c>
      <c r="S5321" t="s">
        <v>897</v>
      </c>
      <c r="T5321" t="s">
        <v>877</v>
      </c>
      <c r="U5321" t="s">
        <v>878</v>
      </c>
      <c r="V5321" t="s">
        <v>131</v>
      </c>
      <c r="W5321" t="s">
        <v>44</v>
      </c>
      <c r="X5321" t="s">
        <v>45</v>
      </c>
      <c r="Y5321" s="1">
        <v>31118</v>
      </c>
      <c r="Z5321">
        <v>1</v>
      </c>
      <c r="AA5321" t="s">
        <v>878</v>
      </c>
      <c r="AB5321" s="40" t="s">
        <v>1799</v>
      </c>
    </row>
    <row r="5322" spans="1:28" x14ac:dyDescent="0.25">
      <c r="A5322">
        <v>99915321</v>
      </c>
      <c r="B5322" t="s">
        <v>32</v>
      </c>
      <c r="C5322" t="s">
        <v>90</v>
      </c>
      <c r="D5322" t="s">
        <v>91</v>
      </c>
      <c r="G5322" t="s">
        <v>48</v>
      </c>
      <c r="H5322">
        <v>1</v>
      </c>
      <c r="K5322" t="s">
        <v>1581</v>
      </c>
      <c r="L5322" t="s">
        <v>1582</v>
      </c>
      <c r="M5322" t="s">
        <v>1548</v>
      </c>
      <c r="N5322">
        <v>25</v>
      </c>
      <c r="P5322" t="s">
        <v>41</v>
      </c>
      <c r="Q5322" t="s">
        <v>95</v>
      </c>
      <c r="R5322" t="str">
        <f>"7291005"</f>
        <v>7291005</v>
      </c>
      <c r="S5322" t="s">
        <v>1589</v>
      </c>
      <c r="T5322" t="s">
        <v>1581</v>
      </c>
      <c r="U5322" t="s">
        <v>1582</v>
      </c>
      <c r="V5322" t="s">
        <v>1548</v>
      </c>
      <c r="W5322" t="s">
        <v>51</v>
      </c>
      <c r="X5322" t="s">
        <v>45</v>
      </c>
      <c r="Y5322" s="1">
        <v>31072</v>
      </c>
      <c r="Z5322">
        <v>1</v>
      </c>
      <c r="AA5322" t="s">
        <v>1582</v>
      </c>
      <c r="AB5322" s="40" t="s">
        <v>1799</v>
      </c>
    </row>
    <row r="5323" spans="1:28" x14ac:dyDescent="0.25">
      <c r="A5323">
        <v>99915322</v>
      </c>
      <c r="B5323" t="s">
        <v>32</v>
      </c>
      <c r="C5323" t="s">
        <v>90</v>
      </c>
      <c r="D5323" t="s">
        <v>91</v>
      </c>
      <c r="G5323" t="s">
        <v>35</v>
      </c>
      <c r="H5323">
        <v>1</v>
      </c>
      <c r="K5323" t="s">
        <v>354</v>
      </c>
      <c r="L5323" t="s">
        <v>355</v>
      </c>
      <c r="M5323" t="s">
        <v>131</v>
      </c>
      <c r="N5323">
        <v>25</v>
      </c>
      <c r="P5323" t="s">
        <v>41</v>
      </c>
      <c r="Q5323" t="s">
        <v>95</v>
      </c>
      <c r="R5323" t="str">
        <f>"7054137"</f>
        <v>7054137</v>
      </c>
      <c r="S5323" t="s">
        <v>848</v>
      </c>
      <c r="T5323" t="s">
        <v>354</v>
      </c>
      <c r="U5323" t="s">
        <v>355</v>
      </c>
      <c r="V5323" t="s">
        <v>131</v>
      </c>
      <c r="W5323" t="s">
        <v>51</v>
      </c>
      <c r="X5323" t="s">
        <v>45</v>
      </c>
      <c r="Y5323" s="1">
        <v>31046</v>
      </c>
      <c r="Z5323">
        <v>1</v>
      </c>
      <c r="AA5323" t="s">
        <v>355</v>
      </c>
      <c r="AB5323" s="40" t="s">
        <v>1799</v>
      </c>
    </row>
    <row r="5324" spans="1:28" x14ac:dyDescent="0.25">
      <c r="A5324">
        <v>99915323</v>
      </c>
      <c r="B5324" t="s">
        <v>32</v>
      </c>
      <c r="C5324" t="s">
        <v>90</v>
      </c>
      <c r="D5324" t="s">
        <v>91</v>
      </c>
      <c r="G5324" t="s">
        <v>35</v>
      </c>
      <c r="H5324">
        <v>1</v>
      </c>
      <c r="I5324">
        <v>4978</v>
      </c>
      <c r="J5324" s="1">
        <v>43344</v>
      </c>
      <c r="K5324" t="s">
        <v>354</v>
      </c>
      <c r="L5324" t="s">
        <v>355</v>
      </c>
      <c r="M5324" t="s">
        <v>131</v>
      </c>
      <c r="N5324">
        <v>25</v>
      </c>
      <c r="O5324" s="1">
        <v>43344</v>
      </c>
      <c r="P5324" t="s">
        <v>41</v>
      </c>
      <c r="Q5324" t="s">
        <v>95</v>
      </c>
      <c r="R5324" t="str">
        <f>"7054041"</f>
        <v>7054041</v>
      </c>
      <c r="S5324" t="s">
        <v>839</v>
      </c>
      <c r="T5324" t="s">
        <v>354</v>
      </c>
      <c r="U5324" t="s">
        <v>355</v>
      </c>
      <c r="V5324" t="s">
        <v>131</v>
      </c>
      <c r="W5324" t="s">
        <v>51</v>
      </c>
      <c r="X5324" t="s">
        <v>45</v>
      </c>
      <c r="Y5324" s="1">
        <v>31042</v>
      </c>
      <c r="Z5324">
        <v>1</v>
      </c>
      <c r="AA5324" t="s">
        <v>355</v>
      </c>
      <c r="AB5324" s="40" t="s">
        <v>1799</v>
      </c>
    </row>
    <row r="5325" spans="1:28" x14ac:dyDescent="0.25">
      <c r="A5325">
        <v>99915324</v>
      </c>
      <c r="B5325" t="s">
        <v>32</v>
      </c>
      <c r="C5325" t="s">
        <v>90</v>
      </c>
      <c r="D5325" t="s">
        <v>91</v>
      </c>
      <c r="G5325" t="s">
        <v>35</v>
      </c>
      <c r="H5325">
        <v>1</v>
      </c>
      <c r="I5325">
        <v>10934</v>
      </c>
      <c r="J5325" s="1">
        <v>43344</v>
      </c>
      <c r="K5325" t="s">
        <v>354</v>
      </c>
      <c r="L5325" t="s">
        <v>355</v>
      </c>
      <c r="M5325" t="s">
        <v>131</v>
      </c>
      <c r="N5325">
        <v>25</v>
      </c>
      <c r="O5325" s="1">
        <v>43344</v>
      </c>
      <c r="P5325" t="s">
        <v>41</v>
      </c>
      <c r="Q5325" t="s">
        <v>95</v>
      </c>
      <c r="R5325" t="str">
        <f>"7054059"</f>
        <v>7054059</v>
      </c>
      <c r="S5325" t="s">
        <v>833</v>
      </c>
      <c r="T5325" t="s">
        <v>354</v>
      </c>
      <c r="U5325" t="s">
        <v>355</v>
      </c>
      <c r="V5325" t="s">
        <v>131</v>
      </c>
      <c r="W5325" t="s">
        <v>51</v>
      </c>
      <c r="X5325" t="s">
        <v>45</v>
      </c>
      <c r="Y5325" s="1">
        <v>31031</v>
      </c>
      <c r="Z5325">
        <v>1</v>
      </c>
      <c r="AA5325" t="s">
        <v>355</v>
      </c>
      <c r="AB5325" s="40" t="s">
        <v>1799</v>
      </c>
    </row>
    <row r="5326" spans="1:28" x14ac:dyDescent="0.25">
      <c r="A5326">
        <v>99915325</v>
      </c>
      <c r="B5326" t="s">
        <v>32</v>
      </c>
      <c r="C5326" t="s">
        <v>90</v>
      </c>
      <c r="D5326" t="s">
        <v>91</v>
      </c>
      <c r="G5326" t="s">
        <v>35</v>
      </c>
      <c r="H5326">
        <v>1</v>
      </c>
      <c r="J5326" s="1">
        <v>43344</v>
      </c>
      <c r="K5326" t="s">
        <v>354</v>
      </c>
      <c r="L5326" t="s">
        <v>355</v>
      </c>
      <c r="M5326" t="s">
        <v>131</v>
      </c>
      <c r="N5326">
        <v>25</v>
      </c>
      <c r="O5326" s="1">
        <v>43344</v>
      </c>
      <c r="P5326" t="s">
        <v>41</v>
      </c>
      <c r="Q5326" t="s">
        <v>95</v>
      </c>
      <c r="R5326" t="str">
        <f>"7054021"</f>
        <v>7054021</v>
      </c>
      <c r="S5326" t="s">
        <v>783</v>
      </c>
      <c r="T5326" t="s">
        <v>354</v>
      </c>
      <c r="U5326" t="s">
        <v>355</v>
      </c>
      <c r="V5326" t="s">
        <v>131</v>
      </c>
      <c r="W5326" t="s">
        <v>51</v>
      </c>
      <c r="X5326" t="s">
        <v>45</v>
      </c>
      <c r="Y5326" s="1">
        <v>31018</v>
      </c>
      <c r="Z5326">
        <v>1</v>
      </c>
      <c r="AA5326" t="s">
        <v>355</v>
      </c>
      <c r="AB5326" s="40" t="s">
        <v>1799</v>
      </c>
    </row>
    <row r="5327" spans="1:28" x14ac:dyDescent="0.25">
      <c r="A5327">
        <v>99915326</v>
      </c>
      <c r="B5327" t="s">
        <v>32</v>
      </c>
      <c r="C5327" t="s">
        <v>90</v>
      </c>
      <c r="D5327" t="s">
        <v>91</v>
      </c>
      <c r="G5327" t="s">
        <v>48</v>
      </c>
      <c r="H5327">
        <v>1</v>
      </c>
      <c r="K5327" t="s">
        <v>195</v>
      </c>
      <c r="L5327" t="s">
        <v>196</v>
      </c>
      <c r="M5327" t="s">
        <v>131</v>
      </c>
      <c r="N5327">
        <v>25</v>
      </c>
      <c r="P5327" t="s">
        <v>41</v>
      </c>
      <c r="Q5327" t="s">
        <v>95</v>
      </c>
      <c r="R5327" t="str">
        <f>"7521021"</f>
        <v>7521021</v>
      </c>
      <c r="S5327" t="s">
        <v>458</v>
      </c>
      <c r="T5327" t="s">
        <v>195</v>
      </c>
      <c r="U5327" t="s">
        <v>196</v>
      </c>
      <c r="V5327" t="s">
        <v>131</v>
      </c>
      <c r="W5327" t="s">
        <v>51</v>
      </c>
      <c r="X5327" t="s">
        <v>45</v>
      </c>
      <c r="Y5327" s="1">
        <v>30972</v>
      </c>
      <c r="Z5327">
        <v>1</v>
      </c>
      <c r="AA5327" t="s">
        <v>196</v>
      </c>
      <c r="AB5327" s="40" t="s">
        <v>1799</v>
      </c>
    </row>
    <row r="5328" spans="1:28" x14ac:dyDescent="0.25">
      <c r="A5328">
        <v>99915327</v>
      </c>
      <c r="B5328" t="s">
        <v>32</v>
      </c>
      <c r="C5328" t="s">
        <v>90</v>
      </c>
      <c r="D5328" t="s">
        <v>91</v>
      </c>
      <c r="G5328" t="s">
        <v>35</v>
      </c>
      <c r="H5328">
        <v>1</v>
      </c>
      <c r="I5328" t="s">
        <v>1731</v>
      </c>
      <c r="J5328" s="1">
        <v>43344</v>
      </c>
      <c r="K5328" t="s">
        <v>1725</v>
      </c>
      <c r="L5328" t="s">
        <v>1726</v>
      </c>
      <c r="M5328" t="s">
        <v>1705</v>
      </c>
      <c r="N5328">
        <v>25</v>
      </c>
      <c r="O5328" s="1">
        <v>43344</v>
      </c>
      <c r="P5328" t="s">
        <v>41</v>
      </c>
      <c r="Q5328" t="s">
        <v>95</v>
      </c>
      <c r="R5328" t="str">
        <f>"7461017"</f>
        <v>7461017</v>
      </c>
      <c r="S5328" t="s">
        <v>1732</v>
      </c>
      <c r="T5328" t="s">
        <v>1725</v>
      </c>
      <c r="U5328" t="s">
        <v>1726</v>
      </c>
      <c r="V5328" t="s">
        <v>1705</v>
      </c>
      <c r="W5328" t="s">
        <v>51</v>
      </c>
      <c r="X5328" t="s">
        <v>45</v>
      </c>
      <c r="Y5328" s="1">
        <v>30956</v>
      </c>
      <c r="Z5328">
        <v>1</v>
      </c>
      <c r="AA5328" t="s">
        <v>1726</v>
      </c>
      <c r="AB5328" s="40" t="s">
        <v>1799</v>
      </c>
    </row>
    <row r="5329" spans="1:28" x14ac:dyDescent="0.25">
      <c r="A5329">
        <v>99915328</v>
      </c>
      <c r="B5329" t="s">
        <v>32</v>
      </c>
      <c r="C5329" t="s">
        <v>90</v>
      </c>
      <c r="D5329" t="s">
        <v>91</v>
      </c>
      <c r="G5329" t="s">
        <v>48</v>
      </c>
      <c r="H5329">
        <v>1</v>
      </c>
      <c r="K5329" t="s">
        <v>195</v>
      </c>
      <c r="L5329" t="s">
        <v>196</v>
      </c>
      <c r="M5329" t="s">
        <v>131</v>
      </c>
      <c r="N5329">
        <v>25</v>
      </c>
      <c r="P5329" t="s">
        <v>41</v>
      </c>
      <c r="Q5329" t="s">
        <v>95</v>
      </c>
      <c r="R5329" t="str">
        <f>"7521023"</f>
        <v>7521023</v>
      </c>
      <c r="S5329" t="s">
        <v>466</v>
      </c>
      <c r="T5329" t="s">
        <v>195</v>
      </c>
      <c r="U5329" t="s">
        <v>196</v>
      </c>
      <c r="V5329" t="s">
        <v>131</v>
      </c>
      <c r="W5329" t="s">
        <v>51</v>
      </c>
      <c r="X5329" t="s">
        <v>45</v>
      </c>
      <c r="Y5329" s="1">
        <v>30950</v>
      </c>
      <c r="Z5329">
        <v>1</v>
      </c>
      <c r="AA5329" t="s">
        <v>196</v>
      </c>
      <c r="AB5329" s="40" t="s">
        <v>1799</v>
      </c>
    </row>
    <row r="5330" spans="1:28" x14ac:dyDescent="0.25">
      <c r="A5330">
        <v>99915329</v>
      </c>
      <c r="B5330" t="s">
        <v>32</v>
      </c>
      <c r="C5330" t="s">
        <v>90</v>
      </c>
      <c r="D5330" t="s">
        <v>91</v>
      </c>
      <c r="G5330" t="s">
        <v>48</v>
      </c>
      <c r="H5330">
        <v>1</v>
      </c>
      <c r="K5330" t="s">
        <v>1631</v>
      </c>
      <c r="L5330" t="s">
        <v>1632</v>
      </c>
      <c r="M5330" t="s">
        <v>1592</v>
      </c>
      <c r="N5330">
        <v>25</v>
      </c>
      <c r="P5330" t="s">
        <v>41</v>
      </c>
      <c r="Q5330" t="s">
        <v>95</v>
      </c>
      <c r="R5330" t="str">
        <f>"7021011"</f>
        <v>7021011</v>
      </c>
      <c r="S5330" t="s">
        <v>1643</v>
      </c>
      <c r="T5330" t="s">
        <v>1631</v>
      </c>
      <c r="U5330" t="s">
        <v>1632</v>
      </c>
      <c r="V5330" t="s">
        <v>1592</v>
      </c>
      <c r="W5330" t="s">
        <v>51</v>
      </c>
      <c r="X5330" t="s">
        <v>45</v>
      </c>
      <c r="Y5330" s="1">
        <v>30929</v>
      </c>
      <c r="Z5330">
        <v>1</v>
      </c>
      <c r="AA5330" t="s">
        <v>1632</v>
      </c>
      <c r="AB5330" s="40" t="s">
        <v>1799</v>
      </c>
    </row>
    <row r="5331" spans="1:28" x14ac:dyDescent="0.25">
      <c r="A5331">
        <v>99915330</v>
      </c>
      <c r="B5331" t="s">
        <v>32</v>
      </c>
      <c r="C5331" t="s">
        <v>90</v>
      </c>
      <c r="D5331" t="s">
        <v>91</v>
      </c>
      <c r="G5331" t="s">
        <v>48</v>
      </c>
      <c r="H5331">
        <v>1</v>
      </c>
      <c r="K5331" t="s">
        <v>354</v>
      </c>
      <c r="L5331" t="s">
        <v>355</v>
      </c>
      <c r="M5331" t="s">
        <v>131</v>
      </c>
      <c r="N5331">
        <v>25</v>
      </c>
      <c r="P5331" t="s">
        <v>41</v>
      </c>
      <c r="Q5331" t="s">
        <v>95</v>
      </c>
      <c r="R5331" t="str">
        <f>"7054021"</f>
        <v>7054021</v>
      </c>
      <c r="S5331" t="s">
        <v>783</v>
      </c>
      <c r="T5331" t="s">
        <v>354</v>
      </c>
      <c r="U5331" t="s">
        <v>355</v>
      </c>
      <c r="V5331" t="s">
        <v>131</v>
      </c>
      <c r="W5331" t="s">
        <v>51</v>
      </c>
      <c r="X5331" t="s">
        <v>45</v>
      </c>
      <c r="Y5331" s="1">
        <v>30913</v>
      </c>
      <c r="Z5331">
        <v>1</v>
      </c>
      <c r="AA5331" t="s">
        <v>355</v>
      </c>
      <c r="AB5331" s="40" t="s">
        <v>1799</v>
      </c>
    </row>
    <row r="5332" spans="1:28" x14ac:dyDescent="0.25">
      <c r="A5332">
        <v>99915331</v>
      </c>
      <c r="B5332" t="s">
        <v>32</v>
      </c>
      <c r="C5332" t="s">
        <v>90</v>
      </c>
      <c r="D5332" t="s">
        <v>91</v>
      </c>
      <c r="G5332" t="s">
        <v>48</v>
      </c>
      <c r="H5332">
        <v>1</v>
      </c>
      <c r="K5332" t="s">
        <v>865</v>
      </c>
      <c r="L5332" t="s">
        <v>866</v>
      </c>
      <c r="M5332" t="s">
        <v>131</v>
      </c>
      <c r="N5332">
        <v>25</v>
      </c>
      <c r="P5332" t="s">
        <v>41</v>
      </c>
      <c r="Q5332" t="s">
        <v>95</v>
      </c>
      <c r="R5332" t="str">
        <f>"7531005"</f>
        <v>7531005</v>
      </c>
      <c r="S5332" t="s">
        <v>867</v>
      </c>
      <c r="T5332" t="s">
        <v>865</v>
      </c>
      <c r="U5332" t="s">
        <v>866</v>
      </c>
      <c r="V5332" t="s">
        <v>131</v>
      </c>
      <c r="W5332" t="s">
        <v>51</v>
      </c>
      <c r="X5332" t="s">
        <v>45</v>
      </c>
      <c r="Y5332" s="1">
        <v>30891</v>
      </c>
      <c r="Z5332">
        <v>1</v>
      </c>
      <c r="AA5332" t="s">
        <v>866</v>
      </c>
      <c r="AB5332" s="40" t="s">
        <v>1799</v>
      </c>
    </row>
    <row r="5333" spans="1:28" x14ac:dyDescent="0.25">
      <c r="A5333">
        <v>99915332</v>
      </c>
      <c r="B5333" t="s">
        <v>32</v>
      </c>
      <c r="C5333" t="s">
        <v>90</v>
      </c>
      <c r="D5333" t="s">
        <v>91</v>
      </c>
      <c r="G5333" t="s">
        <v>88</v>
      </c>
      <c r="H5333">
        <v>3</v>
      </c>
      <c r="J5333" s="1">
        <v>43344</v>
      </c>
      <c r="K5333" t="s">
        <v>354</v>
      </c>
      <c r="L5333" t="s">
        <v>355</v>
      </c>
      <c r="M5333" t="s">
        <v>131</v>
      </c>
      <c r="N5333">
        <v>25</v>
      </c>
      <c r="O5333" s="1">
        <v>43344</v>
      </c>
      <c r="P5333" t="s">
        <v>41</v>
      </c>
      <c r="Q5333" t="s">
        <v>95</v>
      </c>
      <c r="R5333" t="str">
        <f>"7054151"</f>
        <v>7054151</v>
      </c>
      <c r="S5333" t="s">
        <v>796</v>
      </c>
      <c r="T5333" t="s">
        <v>354</v>
      </c>
      <c r="U5333" t="s">
        <v>355</v>
      </c>
      <c r="V5333" t="s">
        <v>131</v>
      </c>
      <c r="W5333" t="s">
        <v>51</v>
      </c>
      <c r="X5333" t="s">
        <v>45</v>
      </c>
      <c r="Y5333" s="1">
        <v>30889</v>
      </c>
      <c r="Z5333">
        <v>1</v>
      </c>
      <c r="AA5333" t="s">
        <v>355</v>
      </c>
      <c r="AB5333" s="40" t="s">
        <v>1799</v>
      </c>
    </row>
    <row r="5334" spans="1:28" x14ac:dyDescent="0.25">
      <c r="A5334">
        <v>99915333</v>
      </c>
      <c r="B5334" t="s">
        <v>32</v>
      </c>
      <c r="C5334" t="s">
        <v>90</v>
      </c>
      <c r="D5334" t="s">
        <v>91</v>
      </c>
      <c r="G5334" t="s">
        <v>35</v>
      </c>
      <c r="H5334">
        <v>3</v>
      </c>
      <c r="I5334" t="s">
        <v>1654</v>
      </c>
      <c r="J5334" s="1">
        <v>42051</v>
      </c>
      <c r="K5334" t="s">
        <v>1619</v>
      </c>
      <c r="L5334" t="s">
        <v>1620</v>
      </c>
      <c r="M5334" t="s">
        <v>1592</v>
      </c>
      <c r="N5334">
        <v>25</v>
      </c>
      <c r="O5334" s="1">
        <v>42051</v>
      </c>
      <c r="P5334" t="s">
        <v>41</v>
      </c>
      <c r="Q5334" t="s">
        <v>95</v>
      </c>
      <c r="R5334" t="str">
        <f>"7281007"</f>
        <v>7281007</v>
      </c>
      <c r="S5334" t="s">
        <v>1655</v>
      </c>
      <c r="T5334" t="s">
        <v>1619</v>
      </c>
      <c r="U5334" t="s">
        <v>1620</v>
      </c>
      <c r="V5334" t="s">
        <v>1592</v>
      </c>
      <c r="W5334" t="s">
        <v>51</v>
      </c>
      <c r="X5334" t="s">
        <v>45</v>
      </c>
      <c r="Y5334" s="1">
        <v>30861</v>
      </c>
      <c r="Z5334">
        <v>1</v>
      </c>
      <c r="AA5334" t="s">
        <v>1620</v>
      </c>
      <c r="AB5334" s="40" t="s">
        <v>1799</v>
      </c>
    </row>
    <row r="5335" spans="1:28" x14ac:dyDescent="0.25">
      <c r="A5335">
        <v>99915334</v>
      </c>
      <c r="B5335" t="s">
        <v>32</v>
      </c>
      <c r="C5335" t="s">
        <v>90</v>
      </c>
      <c r="D5335" t="s">
        <v>91</v>
      </c>
      <c r="G5335" t="s">
        <v>35</v>
      </c>
      <c r="H5335">
        <v>1</v>
      </c>
      <c r="I5335">
        <v>13084</v>
      </c>
      <c r="J5335" s="1">
        <v>43344</v>
      </c>
      <c r="K5335" t="s">
        <v>354</v>
      </c>
      <c r="L5335" t="s">
        <v>355</v>
      </c>
      <c r="M5335" t="s">
        <v>131</v>
      </c>
      <c r="N5335">
        <v>25</v>
      </c>
      <c r="O5335" s="1">
        <v>43344</v>
      </c>
      <c r="P5335" t="s">
        <v>41</v>
      </c>
      <c r="Q5335" t="s">
        <v>95</v>
      </c>
      <c r="R5335" t="str">
        <f>"7054113"</f>
        <v>7054113</v>
      </c>
      <c r="S5335" t="s">
        <v>817</v>
      </c>
      <c r="T5335" t="s">
        <v>354</v>
      </c>
      <c r="U5335" t="s">
        <v>355</v>
      </c>
      <c r="V5335" t="s">
        <v>131</v>
      </c>
      <c r="W5335" t="s">
        <v>51</v>
      </c>
      <c r="X5335" t="s">
        <v>45</v>
      </c>
      <c r="Y5335" s="1">
        <v>30859</v>
      </c>
      <c r="Z5335">
        <v>1</v>
      </c>
      <c r="AA5335" t="s">
        <v>355</v>
      </c>
      <c r="AB5335" s="40" t="s">
        <v>1799</v>
      </c>
    </row>
    <row r="5336" spans="1:28" x14ac:dyDescent="0.25">
      <c r="A5336">
        <v>99915335</v>
      </c>
      <c r="B5336" t="s">
        <v>32</v>
      </c>
      <c r="C5336" t="s">
        <v>90</v>
      </c>
      <c r="D5336" t="s">
        <v>91</v>
      </c>
      <c r="G5336" t="s">
        <v>35</v>
      </c>
      <c r="H5336">
        <v>1</v>
      </c>
      <c r="I5336">
        <v>7771</v>
      </c>
      <c r="J5336" s="1">
        <v>43344</v>
      </c>
      <c r="K5336" t="s">
        <v>927</v>
      </c>
      <c r="L5336" t="s">
        <v>928</v>
      </c>
      <c r="M5336" t="s">
        <v>921</v>
      </c>
      <c r="N5336">
        <v>25</v>
      </c>
      <c r="O5336" s="1">
        <v>43344</v>
      </c>
      <c r="P5336" t="s">
        <v>41</v>
      </c>
      <c r="Q5336" t="s">
        <v>95</v>
      </c>
      <c r="R5336" t="str">
        <f>"7331001"</f>
        <v>7331001</v>
      </c>
      <c r="S5336" t="s">
        <v>930</v>
      </c>
      <c r="T5336" t="s">
        <v>927</v>
      </c>
      <c r="U5336" t="s">
        <v>928</v>
      </c>
      <c r="V5336" t="s">
        <v>921</v>
      </c>
      <c r="W5336" t="s">
        <v>51</v>
      </c>
      <c r="X5336" t="s">
        <v>45</v>
      </c>
      <c r="Y5336" s="1">
        <v>30799</v>
      </c>
      <c r="Z5336">
        <v>1</v>
      </c>
      <c r="AA5336" t="s">
        <v>928</v>
      </c>
      <c r="AB5336" s="40" t="s">
        <v>1799</v>
      </c>
    </row>
    <row r="5337" spans="1:28" x14ac:dyDescent="0.25">
      <c r="A5337">
        <v>99915336</v>
      </c>
      <c r="B5337" t="s">
        <v>32</v>
      </c>
      <c r="C5337" t="s">
        <v>90</v>
      </c>
      <c r="D5337" t="s">
        <v>91</v>
      </c>
      <c r="G5337" t="s">
        <v>35</v>
      </c>
      <c r="H5337">
        <v>4</v>
      </c>
      <c r="I5337" t="s">
        <v>1671</v>
      </c>
      <c r="J5337" s="1">
        <v>43344</v>
      </c>
      <c r="K5337" t="s">
        <v>1619</v>
      </c>
      <c r="L5337" t="s">
        <v>1620</v>
      </c>
      <c r="M5337" t="s">
        <v>1592</v>
      </c>
      <c r="N5337">
        <v>25</v>
      </c>
      <c r="O5337" s="1">
        <v>43344</v>
      </c>
      <c r="P5337" t="s">
        <v>41</v>
      </c>
      <c r="Q5337" t="s">
        <v>95</v>
      </c>
      <c r="R5337" t="str">
        <f>"7281001"</f>
        <v>7281001</v>
      </c>
      <c r="S5337" t="s">
        <v>1672</v>
      </c>
      <c r="T5337" t="s">
        <v>1619</v>
      </c>
      <c r="U5337" t="s">
        <v>1620</v>
      </c>
      <c r="V5337" t="s">
        <v>1592</v>
      </c>
      <c r="W5337" t="s">
        <v>51</v>
      </c>
      <c r="X5337" t="s">
        <v>45</v>
      </c>
      <c r="Y5337" s="1">
        <v>30795</v>
      </c>
      <c r="Z5337">
        <v>1</v>
      </c>
      <c r="AA5337" t="s">
        <v>1620</v>
      </c>
      <c r="AB5337" s="40" t="s">
        <v>1799</v>
      </c>
    </row>
    <row r="5338" spans="1:28" x14ac:dyDescent="0.25">
      <c r="A5338">
        <v>99915337</v>
      </c>
      <c r="B5338" t="s">
        <v>32</v>
      </c>
      <c r="C5338" t="s">
        <v>90</v>
      </c>
      <c r="D5338" t="s">
        <v>91</v>
      </c>
      <c r="G5338" t="s">
        <v>35</v>
      </c>
      <c r="H5338">
        <v>1</v>
      </c>
      <c r="I5338" t="s">
        <v>1017</v>
      </c>
      <c r="J5338" s="1">
        <v>43344</v>
      </c>
      <c r="K5338" t="s">
        <v>963</v>
      </c>
      <c r="L5338" t="s">
        <v>964</v>
      </c>
      <c r="M5338" t="s">
        <v>938</v>
      </c>
      <c r="N5338">
        <v>25</v>
      </c>
      <c r="O5338" s="1">
        <v>43344</v>
      </c>
      <c r="P5338" t="s">
        <v>41</v>
      </c>
      <c r="Q5338" t="s">
        <v>95</v>
      </c>
      <c r="R5338" t="str">
        <f>"7061021"</f>
        <v>7061021</v>
      </c>
      <c r="S5338" t="s">
        <v>1018</v>
      </c>
      <c r="T5338" t="s">
        <v>963</v>
      </c>
      <c r="U5338" t="s">
        <v>964</v>
      </c>
      <c r="V5338" t="s">
        <v>938</v>
      </c>
      <c r="W5338" t="s">
        <v>51</v>
      </c>
      <c r="X5338" t="s">
        <v>45</v>
      </c>
      <c r="Y5338" s="1">
        <v>30738</v>
      </c>
      <c r="Z5338">
        <v>1</v>
      </c>
      <c r="AA5338" t="s">
        <v>964</v>
      </c>
      <c r="AB5338" s="40" t="s">
        <v>1799</v>
      </c>
    </row>
    <row r="5339" spans="1:28" x14ac:dyDescent="0.25">
      <c r="A5339">
        <v>99915338</v>
      </c>
      <c r="B5339" t="s">
        <v>32</v>
      </c>
      <c r="C5339" t="s">
        <v>90</v>
      </c>
      <c r="D5339" t="s">
        <v>91</v>
      </c>
      <c r="G5339" t="s">
        <v>48</v>
      </c>
      <c r="H5339">
        <v>1</v>
      </c>
      <c r="K5339" t="s">
        <v>101</v>
      </c>
      <c r="L5339" t="s">
        <v>102</v>
      </c>
      <c r="M5339" t="s">
        <v>39</v>
      </c>
      <c r="N5339">
        <v>25</v>
      </c>
      <c r="P5339" t="s">
        <v>41</v>
      </c>
      <c r="Q5339" t="s">
        <v>95</v>
      </c>
      <c r="R5339" t="str">
        <f>"7111003"</f>
        <v>7111003</v>
      </c>
      <c r="S5339" t="s">
        <v>106</v>
      </c>
      <c r="T5339" t="s">
        <v>101</v>
      </c>
      <c r="U5339" t="s">
        <v>102</v>
      </c>
      <c r="V5339" t="s">
        <v>39</v>
      </c>
      <c r="W5339" t="s">
        <v>51</v>
      </c>
      <c r="X5339" t="s">
        <v>45</v>
      </c>
      <c r="Y5339" s="1">
        <v>30730</v>
      </c>
      <c r="Z5339">
        <v>1</v>
      </c>
      <c r="AA5339" t="s">
        <v>102</v>
      </c>
      <c r="AB5339" s="40" t="s">
        <v>1799</v>
      </c>
    </row>
    <row r="5340" spans="1:28" x14ac:dyDescent="0.25">
      <c r="A5340">
        <v>99915339</v>
      </c>
      <c r="B5340" t="s">
        <v>32</v>
      </c>
      <c r="C5340" t="s">
        <v>90</v>
      </c>
      <c r="D5340" t="s">
        <v>91</v>
      </c>
      <c r="G5340" t="s">
        <v>35</v>
      </c>
      <c r="H5340">
        <v>1</v>
      </c>
      <c r="I5340" t="s">
        <v>100</v>
      </c>
      <c r="J5340" s="1">
        <v>43344</v>
      </c>
      <c r="K5340" t="s">
        <v>101</v>
      </c>
      <c r="L5340" t="s">
        <v>102</v>
      </c>
      <c r="M5340" t="s">
        <v>39</v>
      </c>
      <c r="N5340">
        <v>25</v>
      </c>
      <c r="O5340" s="1">
        <v>43344</v>
      </c>
      <c r="P5340" t="s">
        <v>41</v>
      </c>
      <c r="Q5340" t="s">
        <v>95</v>
      </c>
      <c r="R5340" t="str">
        <f>"7111005"</f>
        <v>7111005</v>
      </c>
      <c r="S5340" t="s">
        <v>103</v>
      </c>
      <c r="T5340" t="s">
        <v>101</v>
      </c>
      <c r="U5340" t="s">
        <v>102</v>
      </c>
      <c r="V5340" t="s">
        <v>39</v>
      </c>
      <c r="W5340" t="s">
        <v>51</v>
      </c>
      <c r="X5340" t="s">
        <v>45</v>
      </c>
      <c r="Y5340" s="1">
        <v>30728</v>
      </c>
      <c r="Z5340">
        <v>1</v>
      </c>
      <c r="AA5340" t="s">
        <v>102</v>
      </c>
      <c r="AB5340" s="40" t="s">
        <v>1799</v>
      </c>
    </row>
    <row r="5341" spans="1:28" x14ac:dyDescent="0.25">
      <c r="A5341">
        <v>99915340</v>
      </c>
      <c r="B5341" t="s">
        <v>32</v>
      </c>
      <c r="C5341" t="s">
        <v>90</v>
      </c>
      <c r="D5341" t="s">
        <v>91</v>
      </c>
      <c r="G5341" t="s">
        <v>35</v>
      </c>
      <c r="H5341">
        <v>1</v>
      </c>
      <c r="K5341" t="s">
        <v>154</v>
      </c>
      <c r="L5341" t="s">
        <v>155</v>
      </c>
      <c r="M5341" t="s">
        <v>131</v>
      </c>
      <c r="N5341">
        <v>25</v>
      </c>
      <c r="P5341" t="s">
        <v>41</v>
      </c>
      <c r="Q5341" t="s">
        <v>95</v>
      </c>
      <c r="R5341" t="str">
        <f>"7051027"</f>
        <v>7051027</v>
      </c>
      <c r="S5341" t="s">
        <v>413</v>
      </c>
      <c r="T5341" t="s">
        <v>154</v>
      </c>
      <c r="U5341" t="s">
        <v>155</v>
      </c>
      <c r="V5341" t="s">
        <v>131</v>
      </c>
      <c r="W5341" t="s">
        <v>51</v>
      </c>
      <c r="X5341" t="s">
        <v>45</v>
      </c>
      <c r="Y5341" s="1">
        <v>30718</v>
      </c>
      <c r="Z5341">
        <v>1</v>
      </c>
      <c r="AA5341" t="s">
        <v>155</v>
      </c>
      <c r="AB5341" s="40" t="s">
        <v>1799</v>
      </c>
    </row>
    <row r="5342" spans="1:28" x14ac:dyDescent="0.25">
      <c r="A5342">
        <v>99915341</v>
      </c>
      <c r="B5342" t="s">
        <v>32</v>
      </c>
      <c r="C5342" t="s">
        <v>90</v>
      </c>
      <c r="D5342" t="s">
        <v>91</v>
      </c>
      <c r="G5342" t="s">
        <v>35</v>
      </c>
      <c r="H5342">
        <v>1</v>
      </c>
      <c r="I5342">
        <v>59</v>
      </c>
      <c r="J5342" s="1">
        <v>43344</v>
      </c>
      <c r="K5342" t="s">
        <v>1245</v>
      </c>
      <c r="L5342" t="s">
        <v>1246</v>
      </c>
      <c r="M5342" t="s">
        <v>1130</v>
      </c>
      <c r="N5342">
        <v>25</v>
      </c>
      <c r="O5342" s="1">
        <v>43344</v>
      </c>
      <c r="P5342" t="s">
        <v>41</v>
      </c>
      <c r="Q5342" t="s">
        <v>95</v>
      </c>
      <c r="R5342" t="str">
        <f>"7451021"</f>
        <v>7451021</v>
      </c>
      <c r="S5342" t="s">
        <v>1247</v>
      </c>
      <c r="T5342" t="s">
        <v>1245</v>
      </c>
      <c r="U5342" t="s">
        <v>1246</v>
      </c>
      <c r="V5342" t="s">
        <v>1130</v>
      </c>
      <c r="W5342" t="s">
        <v>51</v>
      </c>
      <c r="X5342" t="s">
        <v>45</v>
      </c>
      <c r="Y5342" s="1">
        <v>30715</v>
      </c>
      <c r="Z5342">
        <v>1</v>
      </c>
      <c r="AA5342" t="s">
        <v>1246</v>
      </c>
      <c r="AB5342" s="40" t="s">
        <v>1799</v>
      </c>
    </row>
    <row r="5343" spans="1:28" x14ac:dyDescent="0.25">
      <c r="A5343">
        <v>99915342</v>
      </c>
      <c r="B5343" t="s">
        <v>32</v>
      </c>
      <c r="C5343" t="s">
        <v>90</v>
      </c>
      <c r="D5343" t="s">
        <v>91</v>
      </c>
      <c r="G5343" t="s">
        <v>35</v>
      </c>
      <c r="H5343">
        <v>1</v>
      </c>
      <c r="K5343" t="s">
        <v>431</v>
      </c>
      <c r="L5343" t="s">
        <v>196</v>
      </c>
      <c r="M5343" t="s">
        <v>131</v>
      </c>
      <c r="N5343">
        <v>25</v>
      </c>
      <c r="P5343" t="s">
        <v>41</v>
      </c>
      <c r="Q5343" t="s">
        <v>95</v>
      </c>
      <c r="R5343" t="str">
        <f>"7521153"</f>
        <v>7521153</v>
      </c>
      <c r="S5343" t="s">
        <v>538</v>
      </c>
      <c r="T5343" t="s">
        <v>431</v>
      </c>
      <c r="U5343" t="s">
        <v>196</v>
      </c>
      <c r="V5343" t="s">
        <v>131</v>
      </c>
      <c r="W5343" t="s">
        <v>51</v>
      </c>
      <c r="X5343" t="s">
        <v>45</v>
      </c>
      <c r="Y5343" s="1">
        <v>30691</v>
      </c>
      <c r="Z5343">
        <v>1</v>
      </c>
      <c r="AA5343" t="s">
        <v>196</v>
      </c>
      <c r="AB5343" s="40" t="s">
        <v>1799</v>
      </c>
    </row>
    <row r="5344" spans="1:28" x14ac:dyDescent="0.25">
      <c r="A5344">
        <v>99915343</v>
      </c>
      <c r="B5344" t="s">
        <v>32</v>
      </c>
      <c r="C5344" t="s">
        <v>90</v>
      </c>
      <c r="D5344" t="s">
        <v>91</v>
      </c>
      <c r="G5344" t="s">
        <v>48</v>
      </c>
      <c r="H5344">
        <v>1</v>
      </c>
      <c r="K5344" t="s">
        <v>431</v>
      </c>
      <c r="L5344" t="s">
        <v>196</v>
      </c>
      <c r="M5344" t="s">
        <v>131</v>
      </c>
      <c r="N5344">
        <v>25</v>
      </c>
      <c r="P5344" t="s">
        <v>41</v>
      </c>
      <c r="Q5344" t="s">
        <v>95</v>
      </c>
      <c r="R5344" t="str">
        <f>"7521071"</f>
        <v>7521071</v>
      </c>
      <c r="S5344" t="s">
        <v>516</v>
      </c>
      <c r="T5344" t="s">
        <v>431</v>
      </c>
      <c r="U5344" t="s">
        <v>196</v>
      </c>
      <c r="V5344" t="s">
        <v>131</v>
      </c>
      <c r="W5344" t="s">
        <v>51</v>
      </c>
      <c r="X5344" t="s">
        <v>45</v>
      </c>
      <c r="Y5344" s="1">
        <v>30689</v>
      </c>
      <c r="Z5344">
        <v>1</v>
      </c>
      <c r="AA5344" t="s">
        <v>196</v>
      </c>
      <c r="AB5344" s="40" t="s">
        <v>1799</v>
      </c>
    </row>
    <row r="5345" spans="1:28" x14ac:dyDescent="0.25">
      <c r="A5345">
        <v>99915344</v>
      </c>
      <c r="B5345" t="s">
        <v>32</v>
      </c>
      <c r="C5345" t="s">
        <v>111</v>
      </c>
      <c r="D5345" t="s">
        <v>112</v>
      </c>
      <c r="G5345" t="s">
        <v>35</v>
      </c>
      <c r="H5345">
        <v>1</v>
      </c>
      <c r="I5345" t="s">
        <v>542</v>
      </c>
      <c r="J5345" s="1">
        <v>42352</v>
      </c>
      <c r="K5345" t="s">
        <v>431</v>
      </c>
      <c r="L5345" t="s">
        <v>196</v>
      </c>
      <c r="M5345" t="s">
        <v>131</v>
      </c>
      <c r="N5345">
        <v>25</v>
      </c>
      <c r="O5345" s="1">
        <v>42352</v>
      </c>
      <c r="P5345" t="s">
        <v>41</v>
      </c>
      <c r="Q5345" t="s">
        <v>75</v>
      </c>
      <c r="R5345" t="str">
        <f>"7521038"</f>
        <v>7521038</v>
      </c>
      <c r="S5345" t="s">
        <v>543</v>
      </c>
      <c r="T5345" t="s">
        <v>431</v>
      </c>
      <c r="U5345" t="s">
        <v>196</v>
      </c>
      <c r="V5345" t="s">
        <v>131</v>
      </c>
      <c r="W5345" t="s">
        <v>165</v>
      </c>
      <c r="X5345" t="s">
        <v>45</v>
      </c>
      <c r="Y5345" s="1">
        <v>30682</v>
      </c>
      <c r="Z5345">
        <v>1</v>
      </c>
      <c r="AA5345" t="s">
        <v>196</v>
      </c>
      <c r="AB5345" s="40" t="s">
        <v>1799</v>
      </c>
    </row>
    <row r="5346" spans="1:28" x14ac:dyDescent="0.25">
      <c r="A5346">
        <v>99915345</v>
      </c>
      <c r="B5346" t="s">
        <v>32</v>
      </c>
      <c r="C5346" t="s">
        <v>90</v>
      </c>
      <c r="D5346" t="s">
        <v>91</v>
      </c>
      <c r="G5346" t="s">
        <v>35</v>
      </c>
      <c r="H5346">
        <v>1</v>
      </c>
      <c r="K5346" t="s">
        <v>268</v>
      </c>
      <c r="L5346" t="s">
        <v>269</v>
      </c>
      <c r="M5346" t="s">
        <v>131</v>
      </c>
      <c r="N5346">
        <v>25</v>
      </c>
      <c r="P5346" t="s">
        <v>41</v>
      </c>
      <c r="Q5346" t="s">
        <v>95</v>
      </c>
      <c r="R5346" t="str">
        <f>"7052001"</f>
        <v>7052001</v>
      </c>
      <c r="S5346" t="s">
        <v>576</v>
      </c>
      <c r="T5346" t="s">
        <v>268</v>
      </c>
      <c r="U5346" t="s">
        <v>269</v>
      </c>
      <c r="V5346" t="s">
        <v>131</v>
      </c>
      <c r="W5346" t="s">
        <v>51</v>
      </c>
      <c r="X5346" t="s">
        <v>45</v>
      </c>
      <c r="Y5346" s="1">
        <v>30682</v>
      </c>
      <c r="Z5346">
        <v>1</v>
      </c>
      <c r="AA5346" t="s">
        <v>269</v>
      </c>
      <c r="AB5346" s="40" t="s">
        <v>1799</v>
      </c>
    </row>
    <row r="5347" spans="1:28" x14ac:dyDescent="0.25">
      <c r="A5347">
        <v>99915346</v>
      </c>
      <c r="B5347" t="s">
        <v>32</v>
      </c>
      <c r="C5347" t="s">
        <v>90</v>
      </c>
      <c r="D5347" t="s">
        <v>91</v>
      </c>
      <c r="G5347" t="s">
        <v>35</v>
      </c>
      <c r="H5347">
        <v>1</v>
      </c>
      <c r="K5347" t="s">
        <v>667</v>
      </c>
      <c r="L5347" t="s">
        <v>669</v>
      </c>
      <c r="M5347" t="s">
        <v>670</v>
      </c>
      <c r="N5347">
        <v>25</v>
      </c>
      <c r="P5347" t="s">
        <v>41</v>
      </c>
      <c r="Q5347" t="s">
        <v>95</v>
      </c>
      <c r="R5347" t="str">
        <f>"7501001"</f>
        <v>7501001</v>
      </c>
      <c r="S5347" t="s">
        <v>1525</v>
      </c>
      <c r="T5347" t="s">
        <v>667</v>
      </c>
      <c r="U5347" t="s">
        <v>669</v>
      </c>
      <c r="V5347" t="s">
        <v>670</v>
      </c>
      <c r="W5347" t="s">
        <v>51</v>
      </c>
      <c r="X5347" t="s">
        <v>45</v>
      </c>
      <c r="Y5347" s="1">
        <v>30679</v>
      </c>
      <c r="Z5347">
        <v>1</v>
      </c>
      <c r="AA5347" t="s">
        <v>669</v>
      </c>
      <c r="AB5347" s="40" t="s">
        <v>1799</v>
      </c>
    </row>
    <row r="5348" spans="1:28" x14ac:dyDescent="0.25">
      <c r="A5348">
        <v>99915347</v>
      </c>
      <c r="B5348" t="s">
        <v>32</v>
      </c>
      <c r="C5348" t="s">
        <v>90</v>
      </c>
      <c r="D5348" t="s">
        <v>91</v>
      </c>
      <c r="G5348" t="s">
        <v>48</v>
      </c>
      <c r="H5348">
        <v>1</v>
      </c>
      <c r="K5348" t="s">
        <v>407</v>
      </c>
      <c r="L5348" t="s">
        <v>409</v>
      </c>
      <c r="M5348" t="s">
        <v>131</v>
      </c>
      <c r="N5348">
        <v>25</v>
      </c>
      <c r="P5348" t="s">
        <v>41</v>
      </c>
      <c r="Q5348" t="s">
        <v>95</v>
      </c>
      <c r="R5348" t="str">
        <f>"7053029"</f>
        <v>7053029</v>
      </c>
      <c r="S5348" t="s">
        <v>755</v>
      </c>
      <c r="T5348" t="s">
        <v>407</v>
      </c>
      <c r="U5348" t="s">
        <v>409</v>
      </c>
      <c r="V5348" t="s">
        <v>131</v>
      </c>
      <c r="W5348" t="s">
        <v>51</v>
      </c>
      <c r="X5348" t="s">
        <v>45</v>
      </c>
      <c r="Y5348" s="1">
        <v>30676</v>
      </c>
      <c r="Z5348">
        <v>1</v>
      </c>
      <c r="AA5348" t="s">
        <v>409</v>
      </c>
      <c r="AB5348" s="40" t="s">
        <v>1799</v>
      </c>
    </row>
    <row r="5349" spans="1:28" x14ac:dyDescent="0.25">
      <c r="A5349">
        <v>99915348</v>
      </c>
      <c r="B5349" t="s">
        <v>32</v>
      </c>
      <c r="C5349" t="s">
        <v>90</v>
      </c>
      <c r="D5349" t="s">
        <v>91</v>
      </c>
      <c r="G5349" t="s">
        <v>35</v>
      </c>
      <c r="H5349">
        <v>1</v>
      </c>
      <c r="I5349">
        <v>20323</v>
      </c>
      <c r="J5349" s="1">
        <v>43344</v>
      </c>
      <c r="K5349" t="s">
        <v>354</v>
      </c>
      <c r="L5349" t="s">
        <v>355</v>
      </c>
      <c r="M5349" t="s">
        <v>131</v>
      </c>
      <c r="N5349">
        <v>25</v>
      </c>
      <c r="O5349" s="1">
        <v>43344</v>
      </c>
      <c r="P5349" t="s">
        <v>41</v>
      </c>
      <c r="Q5349" t="s">
        <v>75</v>
      </c>
      <c r="R5349" t="str">
        <f>"7054024"</f>
        <v>7054024</v>
      </c>
      <c r="S5349" t="s">
        <v>793</v>
      </c>
      <c r="T5349" t="s">
        <v>354</v>
      </c>
      <c r="U5349" t="s">
        <v>355</v>
      </c>
      <c r="V5349" t="s">
        <v>131</v>
      </c>
      <c r="W5349" t="s">
        <v>51</v>
      </c>
      <c r="X5349" t="s">
        <v>45</v>
      </c>
      <c r="Y5349" s="1">
        <v>30671</v>
      </c>
      <c r="Z5349">
        <v>1</v>
      </c>
      <c r="AA5349" t="s">
        <v>355</v>
      </c>
      <c r="AB5349" s="40" t="s">
        <v>1799</v>
      </c>
    </row>
    <row r="5350" spans="1:28" x14ac:dyDescent="0.25">
      <c r="A5350">
        <v>99915349</v>
      </c>
      <c r="B5350" t="s">
        <v>32</v>
      </c>
      <c r="C5350" t="s">
        <v>90</v>
      </c>
      <c r="D5350" t="s">
        <v>91</v>
      </c>
      <c r="G5350" t="s">
        <v>48</v>
      </c>
      <c r="H5350">
        <v>1</v>
      </c>
      <c r="K5350" t="s">
        <v>195</v>
      </c>
      <c r="L5350" t="s">
        <v>196</v>
      </c>
      <c r="M5350" t="s">
        <v>131</v>
      </c>
      <c r="N5350">
        <v>25</v>
      </c>
      <c r="P5350" t="s">
        <v>41</v>
      </c>
      <c r="Q5350" t="s">
        <v>95</v>
      </c>
      <c r="R5350" t="str">
        <f>"7521023"</f>
        <v>7521023</v>
      </c>
      <c r="S5350" t="s">
        <v>466</v>
      </c>
      <c r="T5350" t="s">
        <v>195</v>
      </c>
      <c r="U5350" t="s">
        <v>196</v>
      </c>
      <c r="V5350" t="s">
        <v>131</v>
      </c>
      <c r="W5350" t="s">
        <v>51</v>
      </c>
      <c r="X5350" t="s">
        <v>45</v>
      </c>
      <c r="Y5350" s="1">
        <v>30661</v>
      </c>
      <c r="Z5350">
        <v>1</v>
      </c>
      <c r="AA5350" t="s">
        <v>196</v>
      </c>
      <c r="AB5350" s="40" t="s">
        <v>1799</v>
      </c>
    </row>
    <row r="5351" spans="1:28" x14ac:dyDescent="0.25">
      <c r="A5351">
        <v>99915350</v>
      </c>
      <c r="B5351" t="s">
        <v>32</v>
      </c>
      <c r="C5351" t="s">
        <v>52</v>
      </c>
      <c r="D5351" t="s">
        <v>53</v>
      </c>
      <c r="G5351" t="s">
        <v>35</v>
      </c>
      <c r="H5351">
        <v>1</v>
      </c>
      <c r="K5351" t="s">
        <v>223</v>
      </c>
      <c r="L5351" t="s">
        <v>224</v>
      </c>
      <c r="M5351" t="s">
        <v>131</v>
      </c>
      <c r="N5351">
        <v>25</v>
      </c>
      <c r="P5351" t="s">
        <v>41</v>
      </c>
      <c r="Q5351" t="s">
        <v>49</v>
      </c>
      <c r="R5351" t="str">
        <f>"0591901"</f>
        <v>0591901</v>
      </c>
      <c r="S5351" t="s">
        <v>230</v>
      </c>
      <c r="T5351" t="s">
        <v>223</v>
      </c>
      <c r="U5351" t="s">
        <v>224</v>
      </c>
      <c r="V5351" t="s">
        <v>131</v>
      </c>
      <c r="W5351" t="s">
        <v>51</v>
      </c>
      <c r="X5351" t="s">
        <v>45</v>
      </c>
      <c r="Y5351" s="1">
        <v>30650</v>
      </c>
      <c r="Z5351">
        <v>2</v>
      </c>
      <c r="AA5351" t="s">
        <v>224</v>
      </c>
      <c r="AB5351" s="40" t="s">
        <v>1799</v>
      </c>
    </row>
    <row r="5352" spans="1:28" x14ac:dyDescent="0.25">
      <c r="A5352">
        <v>99915351</v>
      </c>
      <c r="B5352" t="s">
        <v>32</v>
      </c>
      <c r="C5352" t="s">
        <v>90</v>
      </c>
      <c r="D5352" t="s">
        <v>91</v>
      </c>
      <c r="G5352" t="s">
        <v>48</v>
      </c>
      <c r="H5352">
        <v>4</v>
      </c>
      <c r="K5352" t="s">
        <v>154</v>
      </c>
      <c r="L5352" t="s">
        <v>155</v>
      </c>
      <c r="M5352" t="s">
        <v>131</v>
      </c>
      <c r="N5352">
        <v>25</v>
      </c>
      <c r="P5352" t="s">
        <v>41</v>
      </c>
      <c r="Q5352" t="s">
        <v>95</v>
      </c>
      <c r="R5352" t="str">
        <f>"7051043"</f>
        <v>7051043</v>
      </c>
      <c r="S5352" t="s">
        <v>422</v>
      </c>
      <c r="T5352" t="s">
        <v>154</v>
      </c>
      <c r="U5352" t="s">
        <v>155</v>
      </c>
      <c r="V5352" t="s">
        <v>131</v>
      </c>
      <c r="W5352" t="s">
        <v>51</v>
      </c>
      <c r="X5352" t="s">
        <v>45</v>
      </c>
      <c r="Y5352" s="1">
        <v>30650</v>
      </c>
      <c r="Z5352">
        <v>1</v>
      </c>
      <c r="AA5352" t="s">
        <v>155</v>
      </c>
      <c r="AB5352" s="40" t="s">
        <v>1799</v>
      </c>
    </row>
    <row r="5353" spans="1:28" x14ac:dyDescent="0.25">
      <c r="A5353">
        <v>99915352</v>
      </c>
      <c r="B5353" t="s">
        <v>32</v>
      </c>
      <c r="C5353" t="s">
        <v>90</v>
      </c>
      <c r="D5353" t="s">
        <v>91</v>
      </c>
      <c r="G5353" t="s">
        <v>48</v>
      </c>
      <c r="H5353">
        <v>1</v>
      </c>
      <c r="K5353" t="s">
        <v>1341</v>
      </c>
      <c r="L5353" t="s">
        <v>1342</v>
      </c>
      <c r="M5353" t="s">
        <v>1270</v>
      </c>
      <c r="N5353">
        <v>25</v>
      </c>
      <c r="P5353" t="s">
        <v>41</v>
      </c>
      <c r="Q5353" t="s">
        <v>95</v>
      </c>
      <c r="R5353" t="str">
        <f>"7191013"</f>
        <v>7191013</v>
      </c>
      <c r="S5353" t="s">
        <v>1358</v>
      </c>
      <c r="T5353" t="s">
        <v>1341</v>
      </c>
      <c r="U5353" t="s">
        <v>1342</v>
      </c>
      <c r="V5353" t="s">
        <v>1270</v>
      </c>
      <c r="W5353" t="s">
        <v>51</v>
      </c>
      <c r="X5353" t="s">
        <v>45</v>
      </c>
      <c r="Y5353" s="1">
        <v>30566</v>
      </c>
      <c r="Z5353">
        <v>1</v>
      </c>
      <c r="AA5353" t="s">
        <v>1342</v>
      </c>
      <c r="AB5353" s="40" t="s">
        <v>1799</v>
      </c>
    </row>
    <row r="5354" spans="1:28" x14ac:dyDescent="0.25">
      <c r="A5354">
        <v>99915353</v>
      </c>
      <c r="B5354" t="s">
        <v>32</v>
      </c>
      <c r="C5354" t="s">
        <v>90</v>
      </c>
      <c r="D5354" t="s">
        <v>91</v>
      </c>
      <c r="G5354" t="s">
        <v>35</v>
      </c>
      <c r="H5354">
        <v>1</v>
      </c>
      <c r="I5354">
        <v>1581</v>
      </c>
      <c r="J5354" s="1">
        <v>43344</v>
      </c>
      <c r="K5354" t="s">
        <v>407</v>
      </c>
      <c r="L5354" t="s">
        <v>409</v>
      </c>
      <c r="M5354" t="s">
        <v>131</v>
      </c>
      <c r="N5354">
        <v>25</v>
      </c>
      <c r="O5354" s="1">
        <v>43344</v>
      </c>
      <c r="P5354" t="s">
        <v>41</v>
      </c>
      <c r="Q5354" t="s">
        <v>95</v>
      </c>
      <c r="R5354" t="str">
        <f>"7053039"</f>
        <v>7053039</v>
      </c>
      <c r="S5354" t="s">
        <v>760</v>
      </c>
      <c r="T5354" t="s">
        <v>407</v>
      </c>
      <c r="U5354" t="s">
        <v>409</v>
      </c>
      <c r="V5354" t="s">
        <v>131</v>
      </c>
      <c r="W5354" t="s">
        <v>51</v>
      </c>
      <c r="X5354" t="s">
        <v>45</v>
      </c>
      <c r="Y5354" s="1">
        <v>30565</v>
      </c>
      <c r="Z5354">
        <v>1</v>
      </c>
      <c r="AA5354" t="s">
        <v>409</v>
      </c>
      <c r="AB5354" s="40" t="s">
        <v>1799</v>
      </c>
    </row>
    <row r="5355" spans="1:28" x14ac:dyDescent="0.25">
      <c r="A5355">
        <v>99915354</v>
      </c>
      <c r="B5355" t="s">
        <v>32</v>
      </c>
      <c r="C5355" t="s">
        <v>90</v>
      </c>
      <c r="D5355" t="s">
        <v>91</v>
      </c>
      <c r="G5355" t="s">
        <v>88</v>
      </c>
      <c r="H5355">
        <v>2</v>
      </c>
      <c r="J5355" s="1">
        <v>40562</v>
      </c>
      <c r="K5355" t="s">
        <v>354</v>
      </c>
      <c r="L5355" t="s">
        <v>355</v>
      </c>
      <c r="M5355" t="s">
        <v>131</v>
      </c>
      <c r="N5355">
        <v>25</v>
      </c>
      <c r="O5355" s="1">
        <v>40562</v>
      </c>
      <c r="P5355" t="s">
        <v>41</v>
      </c>
      <c r="Q5355" t="s">
        <v>95</v>
      </c>
      <c r="R5355" t="str">
        <f>"7054153"</f>
        <v>7054153</v>
      </c>
      <c r="S5355" t="s">
        <v>790</v>
      </c>
      <c r="T5355" t="s">
        <v>354</v>
      </c>
      <c r="U5355" t="s">
        <v>355</v>
      </c>
      <c r="V5355" t="s">
        <v>131</v>
      </c>
      <c r="W5355" t="s">
        <v>51</v>
      </c>
      <c r="X5355" t="s">
        <v>45</v>
      </c>
      <c r="Y5355" s="1">
        <v>30546</v>
      </c>
      <c r="Z5355">
        <v>1</v>
      </c>
      <c r="AA5355" t="s">
        <v>355</v>
      </c>
      <c r="AB5355" s="40" t="s">
        <v>1799</v>
      </c>
    </row>
    <row r="5356" spans="1:28" x14ac:dyDescent="0.25">
      <c r="A5356">
        <v>99915355</v>
      </c>
      <c r="B5356" t="s">
        <v>32</v>
      </c>
      <c r="C5356" t="s">
        <v>90</v>
      </c>
      <c r="D5356" t="s">
        <v>91</v>
      </c>
      <c r="G5356" t="s">
        <v>48</v>
      </c>
      <c r="H5356">
        <v>4</v>
      </c>
      <c r="K5356" t="s">
        <v>1619</v>
      </c>
      <c r="L5356" t="s">
        <v>1620</v>
      </c>
      <c r="M5356" t="s">
        <v>1592</v>
      </c>
      <c r="N5356">
        <v>25</v>
      </c>
      <c r="P5356" t="s">
        <v>41</v>
      </c>
      <c r="Q5356" t="s">
        <v>95</v>
      </c>
      <c r="R5356" t="str">
        <f>"7281003"</f>
        <v>7281003</v>
      </c>
      <c r="S5356" t="s">
        <v>1657</v>
      </c>
      <c r="T5356" t="s">
        <v>1619</v>
      </c>
      <c r="U5356" t="s">
        <v>1620</v>
      </c>
      <c r="V5356" t="s">
        <v>1592</v>
      </c>
      <c r="W5356" t="s">
        <v>51</v>
      </c>
      <c r="X5356" t="s">
        <v>45</v>
      </c>
      <c r="Y5356" s="1">
        <v>30546</v>
      </c>
      <c r="Z5356">
        <v>1</v>
      </c>
      <c r="AA5356" t="s">
        <v>1620</v>
      </c>
      <c r="AB5356" s="40" t="s">
        <v>1799</v>
      </c>
    </row>
    <row r="5357" spans="1:28" x14ac:dyDescent="0.25">
      <c r="A5357">
        <v>99915356</v>
      </c>
      <c r="B5357" t="s">
        <v>32</v>
      </c>
      <c r="C5357" t="s">
        <v>90</v>
      </c>
      <c r="D5357" t="s">
        <v>91</v>
      </c>
      <c r="G5357" t="s">
        <v>35</v>
      </c>
      <c r="H5357">
        <v>2</v>
      </c>
      <c r="I5357" t="s">
        <v>1652</v>
      </c>
      <c r="J5357" s="1">
        <v>43344</v>
      </c>
      <c r="K5357" t="s">
        <v>1619</v>
      </c>
      <c r="L5357" t="s">
        <v>1620</v>
      </c>
      <c r="M5357" t="s">
        <v>1592</v>
      </c>
      <c r="N5357">
        <v>25</v>
      </c>
      <c r="O5357" s="1">
        <v>43344</v>
      </c>
      <c r="P5357" t="s">
        <v>41</v>
      </c>
      <c r="Q5357" t="s">
        <v>95</v>
      </c>
      <c r="R5357" t="str">
        <f>"7281011"</f>
        <v>7281011</v>
      </c>
      <c r="S5357" t="s">
        <v>1653</v>
      </c>
      <c r="T5357" t="s">
        <v>1619</v>
      </c>
      <c r="U5357" t="s">
        <v>1620</v>
      </c>
      <c r="V5357" t="s">
        <v>1592</v>
      </c>
      <c r="W5357" t="s">
        <v>51</v>
      </c>
      <c r="X5357" t="s">
        <v>45</v>
      </c>
      <c r="Y5357" s="1">
        <v>30530</v>
      </c>
      <c r="Z5357">
        <v>1</v>
      </c>
      <c r="AA5357" t="s">
        <v>1620</v>
      </c>
      <c r="AB5357" s="40" t="s">
        <v>1799</v>
      </c>
    </row>
    <row r="5358" spans="1:28" x14ac:dyDescent="0.25">
      <c r="A5358">
        <v>99915357</v>
      </c>
      <c r="B5358" t="s">
        <v>32</v>
      </c>
      <c r="C5358" t="s">
        <v>90</v>
      </c>
      <c r="D5358" t="s">
        <v>91</v>
      </c>
      <c r="G5358" t="s">
        <v>35</v>
      </c>
      <c r="H5358">
        <v>1</v>
      </c>
      <c r="K5358" t="s">
        <v>1341</v>
      </c>
      <c r="L5358" t="s">
        <v>1342</v>
      </c>
      <c r="M5358" t="s">
        <v>1270</v>
      </c>
      <c r="N5358">
        <v>25</v>
      </c>
      <c r="P5358" t="s">
        <v>41</v>
      </c>
      <c r="Q5358" t="s">
        <v>95</v>
      </c>
      <c r="R5358" t="str">
        <f>"7191001"</f>
        <v>7191001</v>
      </c>
      <c r="S5358" t="s">
        <v>1391</v>
      </c>
      <c r="T5358" t="s">
        <v>1341</v>
      </c>
      <c r="U5358" t="s">
        <v>1342</v>
      </c>
      <c r="V5358" t="s">
        <v>1270</v>
      </c>
      <c r="W5358" t="s">
        <v>165</v>
      </c>
      <c r="X5358" t="s">
        <v>45</v>
      </c>
      <c r="Y5358" s="1">
        <v>30508</v>
      </c>
      <c r="Z5358">
        <v>1</v>
      </c>
      <c r="AA5358" t="s">
        <v>1342</v>
      </c>
      <c r="AB5358" s="40" t="s">
        <v>1799</v>
      </c>
    </row>
    <row r="5359" spans="1:28" x14ac:dyDescent="0.25">
      <c r="A5359">
        <v>99915358</v>
      </c>
      <c r="B5359" t="s">
        <v>32</v>
      </c>
      <c r="C5359" t="s">
        <v>90</v>
      </c>
      <c r="D5359" t="s">
        <v>91</v>
      </c>
      <c r="G5359" t="s">
        <v>35</v>
      </c>
      <c r="H5359">
        <v>1</v>
      </c>
      <c r="I5359" t="s">
        <v>286</v>
      </c>
      <c r="J5359" s="1">
        <v>43344</v>
      </c>
      <c r="K5359" t="s">
        <v>268</v>
      </c>
      <c r="L5359" t="s">
        <v>269</v>
      </c>
      <c r="M5359" t="s">
        <v>131</v>
      </c>
      <c r="N5359">
        <v>25</v>
      </c>
      <c r="P5359" t="s">
        <v>41</v>
      </c>
      <c r="Q5359" t="s">
        <v>95</v>
      </c>
      <c r="R5359" t="str">
        <f>"7052081"</f>
        <v>7052081</v>
      </c>
      <c r="S5359" t="s">
        <v>700</v>
      </c>
      <c r="T5359" t="s">
        <v>268</v>
      </c>
      <c r="U5359" t="s">
        <v>269</v>
      </c>
      <c r="V5359" t="s">
        <v>131</v>
      </c>
      <c r="W5359" t="s">
        <v>51</v>
      </c>
      <c r="X5359" t="s">
        <v>45</v>
      </c>
      <c r="Y5359" s="1">
        <v>30506</v>
      </c>
      <c r="Z5359">
        <v>1</v>
      </c>
      <c r="AA5359" t="s">
        <v>269</v>
      </c>
      <c r="AB5359" s="40" t="s">
        <v>1799</v>
      </c>
    </row>
    <row r="5360" spans="1:28" x14ac:dyDescent="0.25">
      <c r="A5360">
        <v>99915359</v>
      </c>
      <c r="B5360" t="s">
        <v>32</v>
      </c>
      <c r="C5360" t="s">
        <v>90</v>
      </c>
      <c r="D5360" t="s">
        <v>91</v>
      </c>
      <c r="G5360" t="s">
        <v>35</v>
      </c>
      <c r="H5360">
        <v>1</v>
      </c>
      <c r="K5360" t="s">
        <v>354</v>
      </c>
      <c r="L5360" t="s">
        <v>355</v>
      </c>
      <c r="M5360" t="s">
        <v>131</v>
      </c>
      <c r="N5360">
        <v>25</v>
      </c>
      <c r="P5360" t="s">
        <v>41</v>
      </c>
      <c r="Q5360" t="s">
        <v>95</v>
      </c>
      <c r="R5360" t="str">
        <f>"7054029"</f>
        <v>7054029</v>
      </c>
      <c r="S5360" t="s">
        <v>849</v>
      </c>
      <c r="T5360" t="s">
        <v>354</v>
      </c>
      <c r="U5360" t="s">
        <v>355</v>
      </c>
      <c r="V5360" t="s">
        <v>131</v>
      </c>
      <c r="W5360" t="s">
        <v>51</v>
      </c>
      <c r="X5360" t="s">
        <v>45</v>
      </c>
      <c r="Y5360" s="1">
        <v>30494</v>
      </c>
      <c r="Z5360">
        <v>1</v>
      </c>
      <c r="AA5360" t="s">
        <v>355</v>
      </c>
      <c r="AB5360" s="40" t="s">
        <v>1799</v>
      </c>
    </row>
    <row r="5361" spans="1:28" x14ac:dyDescent="0.25">
      <c r="A5361">
        <v>99915360</v>
      </c>
      <c r="B5361" t="s">
        <v>32</v>
      </c>
      <c r="C5361" t="s">
        <v>90</v>
      </c>
      <c r="D5361" t="s">
        <v>91</v>
      </c>
      <c r="G5361" t="s">
        <v>35</v>
      </c>
      <c r="H5361">
        <v>5</v>
      </c>
      <c r="K5361" t="s">
        <v>431</v>
      </c>
      <c r="L5361" t="s">
        <v>196</v>
      </c>
      <c r="M5361" t="s">
        <v>131</v>
      </c>
      <c r="N5361">
        <v>25</v>
      </c>
      <c r="P5361" t="s">
        <v>41</v>
      </c>
      <c r="Q5361" t="s">
        <v>95</v>
      </c>
      <c r="R5361" t="str">
        <f>"7521047"</f>
        <v>7521047</v>
      </c>
      <c r="S5361" t="s">
        <v>555</v>
      </c>
      <c r="T5361" t="s">
        <v>431</v>
      </c>
      <c r="U5361" t="s">
        <v>196</v>
      </c>
      <c r="V5361" t="s">
        <v>131</v>
      </c>
      <c r="W5361" t="s">
        <v>51</v>
      </c>
      <c r="X5361" t="s">
        <v>45</v>
      </c>
      <c r="Y5361" s="1">
        <v>30479</v>
      </c>
      <c r="Z5361">
        <v>1</v>
      </c>
      <c r="AA5361" t="s">
        <v>196</v>
      </c>
      <c r="AB5361" s="40" t="s">
        <v>1799</v>
      </c>
    </row>
    <row r="5362" spans="1:28" x14ac:dyDescent="0.25">
      <c r="A5362">
        <v>99915361</v>
      </c>
      <c r="B5362" t="s">
        <v>32</v>
      </c>
      <c r="C5362" t="s">
        <v>90</v>
      </c>
      <c r="D5362" t="s">
        <v>91</v>
      </c>
      <c r="G5362" t="s">
        <v>48</v>
      </c>
      <c r="H5362">
        <v>1</v>
      </c>
      <c r="K5362" t="s">
        <v>1081</v>
      </c>
      <c r="L5362" t="s">
        <v>1082</v>
      </c>
      <c r="M5362" t="s">
        <v>1053</v>
      </c>
      <c r="N5362">
        <v>25</v>
      </c>
      <c r="P5362" t="s">
        <v>41</v>
      </c>
      <c r="Q5362" t="s">
        <v>95</v>
      </c>
      <c r="R5362" t="str">
        <f>"7201007"</f>
        <v>7201007</v>
      </c>
      <c r="S5362" t="s">
        <v>1095</v>
      </c>
      <c r="T5362" t="s">
        <v>1081</v>
      </c>
      <c r="U5362" t="s">
        <v>1082</v>
      </c>
      <c r="V5362" t="s">
        <v>1053</v>
      </c>
      <c r="W5362" t="s">
        <v>51</v>
      </c>
      <c r="X5362" t="s">
        <v>45</v>
      </c>
      <c r="Y5362" s="1">
        <v>30451</v>
      </c>
      <c r="Z5362">
        <v>1</v>
      </c>
      <c r="AA5362" t="s">
        <v>1082</v>
      </c>
      <c r="AB5362" s="40" t="s">
        <v>1799</v>
      </c>
    </row>
    <row r="5363" spans="1:28" x14ac:dyDescent="0.25">
      <c r="A5363">
        <v>99915362</v>
      </c>
      <c r="B5363" t="s">
        <v>32</v>
      </c>
      <c r="C5363" t="s">
        <v>90</v>
      </c>
      <c r="D5363" t="s">
        <v>91</v>
      </c>
      <c r="G5363" t="s">
        <v>35</v>
      </c>
      <c r="H5363">
        <v>1</v>
      </c>
      <c r="I5363" t="s">
        <v>286</v>
      </c>
      <c r="J5363" s="1">
        <v>43344</v>
      </c>
      <c r="K5363" t="s">
        <v>268</v>
      </c>
      <c r="L5363" t="s">
        <v>269</v>
      </c>
      <c r="M5363" t="s">
        <v>131</v>
      </c>
      <c r="N5363">
        <v>25</v>
      </c>
      <c r="P5363" t="s">
        <v>41</v>
      </c>
      <c r="Q5363" t="s">
        <v>95</v>
      </c>
      <c r="R5363" t="str">
        <f>"7052013"</f>
        <v>7052013</v>
      </c>
      <c r="S5363" t="s">
        <v>620</v>
      </c>
      <c r="T5363" t="s">
        <v>268</v>
      </c>
      <c r="U5363" t="s">
        <v>269</v>
      </c>
      <c r="V5363" t="s">
        <v>131</v>
      </c>
      <c r="W5363" t="s">
        <v>51</v>
      </c>
      <c r="X5363" t="s">
        <v>45</v>
      </c>
      <c r="Y5363" s="1">
        <v>30439</v>
      </c>
      <c r="Z5363">
        <v>1</v>
      </c>
      <c r="AA5363" t="s">
        <v>269</v>
      </c>
      <c r="AB5363" s="40" t="s">
        <v>1799</v>
      </c>
    </row>
    <row r="5364" spans="1:28" x14ac:dyDescent="0.25">
      <c r="A5364">
        <v>99915363</v>
      </c>
      <c r="B5364" t="s">
        <v>32</v>
      </c>
      <c r="C5364" t="s">
        <v>90</v>
      </c>
      <c r="D5364" t="s">
        <v>91</v>
      </c>
      <c r="G5364" t="s">
        <v>35</v>
      </c>
      <c r="H5364">
        <v>1</v>
      </c>
      <c r="K5364" t="s">
        <v>667</v>
      </c>
      <c r="L5364" t="s">
        <v>669</v>
      </c>
      <c r="M5364" t="s">
        <v>670</v>
      </c>
      <c r="N5364">
        <v>25</v>
      </c>
      <c r="P5364" t="s">
        <v>41</v>
      </c>
      <c r="Q5364" t="s">
        <v>95</v>
      </c>
      <c r="R5364" t="str">
        <f>"7501001"</f>
        <v>7501001</v>
      </c>
      <c r="S5364" t="s">
        <v>1525</v>
      </c>
      <c r="T5364" t="s">
        <v>667</v>
      </c>
      <c r="U5364" t="s">
        <v>669</v>
      </c>
      <c r="V5364" t="s">
        <v>670</v>
      </c>
      <c r="W5364" t="s">
        <v>51</v>
      </c>
      <c r="X5364" t="s">
        <v>45</v>
      </c>
      <c r="Y5364" s="1">
        <v>30432</v>
      </c>
      <c r="Z5364">
        <v>1</v>
      </c>
      <c r="AA5364" t="s">
        <v>669</v>
      </c>
      <c r="AB5364" s="40" t="s">
        <v>1799</v>
      </c>
    </row>
    <row r="5365" spans="1:28" x14ac:dyDescent="0.25">
      <c r="A5365">
        <v>99915364</v>
      </c>
      <c r="B5365" t="s">
        <v>32</v>
      </c>
      <c r="C5365" t="s">
        <v>90</v>
      </c>
      <c r="D5365" t="s">
        <v>91</v>
      </c>
      <c r="G5365" t="s">
        <v>48</v>
      </c>
      <c r="H5365">
        <v>3</v>
      </c>
      <c r="K5365" t="s">
        <v>1221</v>
      </c>
      <c r="L5365" t="s">
        <v>1222</v>
      </c>
      <c r="M5365" t="s">
        <v>1130</v>
      </c>
      <c r="N5365">
        <v>25</v>
      </c>
      <c r="P5365" t="s">
        <v>41</v>
      </c>
      <c r="Q5365" t="s">
        <v>95</v>
      </c>
      <c r="R5365" t="str">
        <f>"7351021"</f>
        <v>7351021</v>
      </c>
      <c r="S5365" t="s">
        <v>1227</v>
      </c>
      <c r="T5365" t="s">
        <v>1221</v>
      </c>
      <c r="U5365" t="s">
        <v>1222</v>
      </c>
      <c r="V5365" t="s">
        <v>1130</v>
      </c>
      <c r="W5365" t="s">
        <v>51</v>
      </c>
      <c r="X5365" t="s">
        <v>45</v>
      </c>
      <c r="Y5365" s="1">
        <v>30398</v>
      </c>
      <c r="Z5365">
        <v>1</v>
      </c>
      <c r="AA5365" t="s">
        <v>1222</v>
      </c>
      <c r="AB5365" s="40" t="s">
        <v>1799</v>
      </c>
    </row>
    <row r="5366" spans="1:28" x14ac:dyDescent="0.25">
      <c r="A5366">
        <v>99915365</v>
      </c>
      <c r="B5366" t="s">
        <v>32</v>
      </c>
      <c r="C5366" t="s">
        <v>90</v>
      </c>
      <c r="D5366" t="s">
        <v>91</v>
      </c>
      <c r="G5366" t="s">
        <v>48</v>
      </c>
      <c r="H5366">
        <v>1</v>
      </c>
      <c r="K5366" t="s">
        <v>1341</v>
      </c>
      <c r="L5366" t="s">
        <v>1342</v>
      </c>
      <c r="M5366" t="s">
        <v>1270</v>
      </c>
      <c r="N5366">
        <v>25</v>
      </c>
      <c r="P5366" t="s">
        <v>41</v>
      </c>
      <c r="Q5366" t="s">
        <v>95</v>
      </c>
      <c r="R5366" t="str">
        <f>"7191027"</f>
        <v>7191027</v>
      </c>
      <c r="S5366" t="s">
        <v>1363</v>
      </c>
      <c r="T5366" t="s">
        <v>1341</v>
      </c>
      <c r="U5366" t="s">
        <v>1342</v>
      </c>
      <c r="V5366" t="s">
        <v>1270</v>
      </c>
      <c r="W5366" t="s">
        <v>51</v>
      </c>
      <c r="X5366" t="s">
        <v>45</v>
      </c>
      <c r="Y5366" s="1">
        <v>30383</v>
      </c>
      <c r="Z5366">
        <v>1</v>
      </c>
      <c r="AA5366" t="s">
        <v>1342</v>
      </c>
      <c r="AB5366" s="40" t="s">
        <v>1799</v>
      </c>
    </row>
    <row r="5367" spans="1:28" x14ac:dyDescent="0.25">
      <c r="A5367">
        <v>99915366</v>
      </c>
      <c r="B5367" t="s">
        <v>32</v>
      </c>
      <c r="C5367" t="s">
        <v>90</v>
      </c>
      <c r="D5367" t="s">
        <v>91</v>
      </c>
      <c r="G5367" t="s">
        <v>35</v>
      </c>
      <c r="H5367">
        <v>5</v>
      </c>
      <c r="K5367" t="s">
        <v>1221</v>
      </c>
      <c r="L5367" t="s">
        <v>1222</v>
      </c>
      <c r="M5367" t="s">
        <v>1130</v>
      </c>
      <c r="N5367">
        <v>25</v>
      </c>
      <c r="P5367" t="s">
        <v>41</v>
      </c>
      <c r="Q5367" t="s">
        <v>95</v>
      </c>
      <c r="R5367" t="str">
        <f>"7351007"</f>
        <v>7351007</v>
      </c>
      <c r="S5367" t="s">
        <v>1243</v>
      </c>
      <c r="T5367" t="s">
        <v>1221</v>
      </c>
      <c r="U5367" t="s">
        <v>1222</v>
      </c>
      <c r="V5367" t="s">
        <v>1130</v>
      </c>
      <c r="W5367" t="s">
        <v>51</v>
      </c>
      <c r="X5367" t="s">
        <v>45</v>
      </c>
      <c r="Y5367" s="1">
        <v>30287</v>
      </c>
      <c r="Z5367">
        <v>1</v>
      </c>
      <c r="AA5367" t="s">
        <v>1222</v>
      </c>
      <c r="AB5367" s="40" t="s">
        <v>1799</v>
      </c>
    </row>
    <row r="5368" spans="1:28" x14ac:dyDescent="0.25">
      <c r="A5368">
        <v>99915367</v>
      </c>
      <c r="B5368" t="s">
        <v>32</v>
      </c>
      <c r="C5368" t="s">
        <v>90</v>
      </c>
      <c r="D5368" t="s">
        <v>91</v>
      </c>
      <c r="G5368" t="s">
        <v>35</v>
      </c>
      <c r="H5368">
        <v>5</v>
      </c>
      <c r="I5368" t="s">
        <v>1244</v>
      </c>
      <c r="J5368" s="1">
        <v>43344</v>
      </c>
      <c r="K5368" t="s">
        <v>1221</v>
      </c>
      <c r="L5368" t="s">
        <v>1222</v>
      </c>
      <c r="M5368" t="s">
        <v>1130</v>
      </c>
      <c r="N5368">
        <v>25</v>
      </c>
      <c r="O5368" s="1">
        <v>43344</v>
      </c>
      <c r="P5368" t="s">
        <v>41</v>
      </c>
      <c r="Q5368" t="s">
        <v>95</v>
      </c>
      <c r="R5368" t="str">
        <f>"7351007"</f>
        <v>7351007</v>
      </c>
      <c r="S5368" t="s">
        <v>1243</v>
      </c>
      <c r="T5368" t="s">
        <v>1221</v>
      </c>
      <c r="U5368" t="s">
        <v>1222</v>
      </c>
      <c r="V5368" t="s">
        <v>1130</v>
      </c>
      <c r="W5368" t="s">
        <v>51</v>
      </c>
      <c r="X5368" t="s">
        <v>45</v>
      </c>
      <c r="Y5368" s="1">
        <v>30287</v>
      </c>
      <c r="Z5368">
        <v>1</v>
      </c>
      <c r="AA5368" t="s">
        <v>1222</v>
      </c>
      <c r="AB5368" s="40" t="s">
        <v>1799</v>
      </c>
    </row>
    <row r="5369" spans="1:28" x14ac:dyDescent="0.25">
      <c r="A5369">
        <v>99915368</v>
      </c>
      <c r="B5369" t="s">
        <v>32</v>
      </c>
      <c r="C5369" t="s">
        <v>90</v>
      </c>
      <c r="D5369" t="s">
        <v>91</v>
      </c>
      <c r="G5369" t="s">
        <v>35</v>
      </c>
      <c r="H5369">
        <v>1</v>
      </c>
      <c r="I5369">
        <v>10476</v>
      </c>
      <c r="J5369" s="1">
        <v>43344</v>
      </c>
      <c r="K5369" t="s">
        <v>354</v>
      </c>
      <c r="L5369" t="s">
        <v>355</v>
      </c>
      <c r="M5369" t="s">
        <v>131</v>
      </c>
      <c r="N5369">
        <v>25</v>
      </c>
      <c r="O5369" s="1">
        <v>43344</v>
      </c>
      <c r="P5369" t="s">
        <v>41</v>
      </c>
      <c r="Q5369" t="s">
        <v>95</v>
      </c>
      <c r="R5369" t="str">
        <f>"7054071"</f>
        <v>7054071</v>
      </c>
      <c r="S5369" t="s">
        <v>819</v>
      </c>
      <c r="T5369" t="s">
        <v>354</v>
      </c>
      <c r="U5369" t="s">
        <v>355</v>
      </c>
      <c r="V5369" t="s">
        <v>131</v>
      </c>
      <c r="W5369" t="s">
        <v>51</v>
      </c>
      <c r="X5369" t="s">
        <v>45</v>
      </c>
      <c r="Y5369" s="1">
        <v>30284</v>
      </c>
      <c r="Z5369">
        <v>1</v>
      </c>
      <c r="AA5369" t="s">
        <v>355</v>
      </c>
      <c r="AB5369" s="40" t="s">
        <v>1799</v>
      </c>
    </row>
    <row r="5370" spans="1:28" x14ac:dyDescent="0.25">
      <c r="A5370">
        <v>99915369</v>
      </c>
      <c r="B5370" t="s">
        <v>56</v>
      </c>
      <c r="C5370" t="s">
        <v>90</v>
      </c>
      <c r="D5370" t="s">
        <v>91</v>
      </c>
      <c r="G5370" t="s">
        <v>35</v>
      </c>
      <c r="H5370">
        <v>1</v>
      </c>
      <c r="K5370" t="s">
        <v>963</v>
      </c>
      <c r="L5370" t="s">
        <v>964</v>
      </c>
      <c r="M5370" t="s">
        <v>938</v>
      </c>
      <c r="N5370">
        <v>25</v>
      </c>
      <c r="P5370" t="s">
        <v>41</v>
      </c>
      <c r="Q5370" t="s">
        <v>95</v>
      </c>
      <c r="R5370" t="str">
        <f>"7061049"</f>
        <v>7061049</v>
      </c>
      <c r="S5370" t="s">
        <v>1000</v>
      </c>
      <c r="T5370" t="s">
        <v>963</v>
      </c>
      <c r="U5370" t="s">
        <v>964</v>
      </c>
      <c r="V5370" t="s">
        <v>938</v>
      </c>
      <c r="W5370" t="s">
        <v>51</v>
      </c>
      <c r="X5370" t="s">
        <v>45</v>
      </c>
      <c r="Y5370" s="1">
        <v>30240</v>
      </c>
      <c r="Z5370">
        <v>1</v>
      </c>
      <c r="AA5370" t="s">
        <v>964</v>
      </c>
      <c r="AB5370" s="40" t="s">
        <v>1799</v>
      </c>
    </row>
    <row r="5371" spans="1:28" x14ac:dyDescent="0.25">
      <c r="A5371">
        <v>99915370</v>
      </c>
      <c r="B5371" t="s">
        <v>32</v>
      </c>
      <c r="C5371" t="s">
        <v>90</v>
      </c>
      <c r="D5371" t="s">
        <v>91</v>
      </c>
      <c r="G5371" t="s">
        <v>35</v>
      </c>
      <c r="H5371">
        <v>1</v>
      </c>
      <c r="I5371" t="s">
        <v>1194</v>
      </c>
      <c r="J5371" s="1">
        <v>43346</v>
      </c>
      <c r="K5371" t="s">
        <v>1191</v>
      </c>
      <c r="L5371" t="s">
        <v>1192</v>
      </c>
      <c r="M5371" t="s">
        <v>1130</v>
      </c>
      <c r="N5371">
        <v>25</v>
      </c>
      <c r="O5371" s="1">
        <v>43346</v>
      </c>
      <c r="P5371" t="s">
        <v>41</v>
      </c>
      <c r="Q5371" t="s">
        <v>95</v>
      </c>
      <c r="R5371" t="str">
        <f>"7221005"</f>
        <v>7221005</v>
      </c>
      <c r="S5371" t="s">
        <v>1195</v>
      </c>
      <c r="T5371" t="s">
        <v>1191</v>
      </c>
      <c r="U5371" t="s">
        <v>1192</v>
      </c>
      <c r="V5371" t="s">
        <v>1130</v>
      </c>
      <c r="W5371" t="s">
        <v>44</v>
      </c>
      <c r="X5371" t="s">
        <v>45</v>
      </c>
      <c r="Y5371" s="1">
        <v>30240</v>
      </c>
      <c r="Z5371">
        <v>1</v>
      </c>
      <c r="AA5371" t="s">
        <v>1192</v>
      </c>
      <c r="AB5371" s="40" t="s">
        <v>1799</v>
      </c>
    </row>
    <row r="5372" spans="1:28" x14ac:dyDescent="0.25">
      <c r="A5372">
        <v>99915371</v>
      </c>
      <c r="B5372" t="s">
        <v>32</v>
      </c>
      <c r="C5372" t="s">
        <v>90</v>
      </c>
      <c r="D5372" t="s">
        <v>91</v>
      </c>
      <c r="G5372" t="s">
        <v>35</v>
      </c>
      <c r="H5372">
        <v>1</v>
      </c>
      <c r="I5372">
        <v>8163</v>
      </c>
      <c r="J5372" s="1">
        <v>43344</v>
      </c>
      <c r="K5372" t="s">
        <v>1198</v>
      </c>
      <c r="L5372" t="s">
        <v>1199</v>
      </c>
      <c r="M5372" t="s">
        <v>1130</v>
      </c>
      <c r="N5372">
        <v>25</v>
      </c>
      <c r="O5372" s="1">
        <v>43344</v>
      </c>
      <c r="P5372" t="s">
        <v>41</v>
      </c>
      <c r="Q5372" t="s">
        <v>95</v>
      </c>
      <c r="R5372" t="str">
        <f>"7311005"</f>
        <v>7311005</v>
      </c>
      <c r="S5372" t="s">
        <v>1206</v>
      </c>
      <c r="T5372" t="s">
        <v>1198</v>
      </c>
      <c r="U5372" t="s">
        <v>1199</v>
      </c>
      <c r="V5372" t="s">
        <v>1130</v>
      </c>
      <c r="W5372" t="s">
        <v>44</v>
      </c>
      <c r="X5372" t="s">
        <v>45</v>
      </c>
      <c r="Y5372" s="1">
        <v>30231</v>
      </c>
      <c r="Z5372">
        <v>1</v>
      </c>
      <c r="AA5372" t="s">
        <v>1199</v>
      </c>
      <c r="AB5372" s="40" t="s">
        <v>1799</v>
      </c>
    </row>
    <row r="5373" spans="1:28" x14ac:dyDescent="0.25">
      <c r="A5373">
        <v>99915372</v>
      </c>
      <c r="B5373" t="s">
        <v>32</v>
      </c>
      <c r="C5373" t="s">
        <v>90</v>
      </c>
      <c r="D5373" t="s">
        <v>91</v>
      </c>
      <c r="G5373" t="s">
        <v>35</v>
      </c>
      <c r="H5373">
        <v>1</v>
      </c>
      <c r="K5373" t="s">
        <v>1191</v>
      </c>
      <c r="L5373" t="s">
        <v>1192</v>
      </c>
      <c r="M5373" t="s">
        <v>1130</v>
      </c>
      <c r="N5373">
        <v>25</v>
      </c>
      <c r="P5373" t="s">
        <v>41</v>
      </c>
      <c r="Q5373" t="s">
        <v>95</v>
      </c>
      <c r="R5373" t="str">
        <f>"7221001"</f>
        <v>7221001</v>
      </c>
      <c r="S5373" t="s">
        <v>1193</v>
      </c>
      <c r="T5373" t="s">
        <v>1191</v>
      </c>
      <c r="U5373" t="s">
        <v>1192</v>
      </c>
      <c r="V5373" t="s">
        <v>1130</v>
      </c>
      <c r="W5373" t="s">
        <v>51</v>
      </c>
      <c r="X5373" t="s">
        <v>45</v>
      </c>
      <c r="Y5373" s="1">
        <v>30205</v>
      </c>
      <c r="Z5373">
        <v>1</v>
      </c>
      <c r="AA5373" t="s">
        <v>1192</v>
      </c>
      <c r="AB5373" s="40" t="s">
        <v>1799</v>
      </c>
    </row>
    <row r="5374" spans="1:28" x14ac:dyDescent="0.25">
      <c r="A5374">
        <v>99915373</v>
      </c>
      <c r="B5374" t="s">
        <v>32</v>
      </c>
      <c r="C5374" t="s">
        <v>90</v>
      </c>
      <c r="D5374" t="s">
        <v>91</v>
      </c>
      <c r="G5374" t="s">
        <v>48</v>
      </c>
      <c r="H5374">
        <v>1</v>
      </c>
      <c r="K5374" t="s">
        <v>1081</v>
      </c>
      <c r="L5374" t="s">
        <v>1082</v>
      </c>
      <c r="M5374" t="s">
        <v>1053</v>
      </c>
      <c r="N5374">
        <v>25</v>
      </c>
      <c r="P5374" t="s">
        <v>41</v>
      </c>
      <c r="Q5374" t="s">
        <v>95</v>
      </c>
      <c r="R5374" t="str">
        <f>"7201017"</f>
        <v>7201017</v>
      </c>
      <c r="S5374" t="s">
        <v>1101</v>
      </c>
      <c r="T5374" t="s">
        <v>1081</v>
      </c>
      <c r="U5374" t="s">
        <v>1082</v>
      </c>
      <c r="V5374" t="s">
        <v>1053</v>
      </c>
      <c r="W5374" t="s">
        <v>51</v>
      </c>
      <c r="X5374" t="s">
        <v>45</v>
      </c>
      <c r="Y5374" s="1">
        <v>30135</v>
      </c>
      <c r="Z5374">
        <v>1</v>
      </c>
      <c r="AA5374" t="s">
        <v>1082</v>
      </c>
      <c r="AB5374" s="40" t="s">
        <v>1799</v>
      </c>
    </row>
    <row r="5375" spans="1:28" x14ac:dyDescent="0.25">
      <c r="A5375">
        <v>99915374</v>
      </c>
      <c r="B5375" t="s">
        <v>32</v>
      </c>
      <c r="C5375" t="s">
        <v>90</v>
      </c>
      <c r="D5375" t="s">
        <v>91</v>
      </c>
      <c r="G5375" t="s">
        <v>48</v>
      </c>
      <c r="H5375">
        <v>1</v>
      </c>
      <c r="K5375" t="s">
        <v>1725</v>
      </c>
      <c r="L5375" t="s">
        <v>1726</v>
      </c>
      <c r="M5375" t="s">
        <v>1705</v>
      </c>
      <c r="N5375">
        <v>25</v>
      </c>
      <c r="P5375" t="s">
        <v>41</v>
      </c>
      <c r="Q5375" t="s">
        <v>95</v>
      </c>
      <c r="R5375" t="str">
        <f>"7461011"</f>
        <v>7461011</v>
      </c>
      <c r="S5375" t="s">
        <v>1733</v>
      </c>
      <c r="T5375" t="s">
        <v>1725</v>
      </c>
      <c r="U5375" t="s">
        <v>1726</v>
      </c>
      <c r="V5375" t="s">
        <v>1705</v>
      </c>
      <c r="W5375" t="s">
        <v>51</v>
      </c>
      <c r="X5375" t="s">
        <v>45</v>
      </c>
      <c r="Y5375" s="1">
        <v>30133</v>
      </c>
      <c r="Z5375">
        <v>1</v>
      </c>
      <c r="AA5375" t="s">
        <v>1726</v>
      </c>
      <c r="AB5375" s="40" t="s">
        <v>1799</v>
      </c>
    </row>
    <row r="5376" spans="1:28" x14ac:dyDescent="0.25">
      <c r="A5376">
        <v>99915375</v>
      </c>
      <c r="B5376" t="s">
        <v>32</v>
      </c>
      <c r="C5376" t="s">
        <v>90</v>
      </c>
      <c r="D5376" t="s">
        <v>91</v>
      </c>
      <c r="G5376" t="s">
        <v>35</v>
      </c>
      <c r="H5376">
        <v>1</v>
      </c>
      <c r="K5376" t="s">
        <v>154</v>
      </c>
      <c r="L5376" t="s">
        <v>155</v>
      </c>
      <c r="M5376" t="s">
        <v>131</v>
      </c>
      <c r="N5376">
        <v>25</v>
      </c>
      <c r="P5376" t="s">
        <v>41</v>
      </c>
      <c r="Q5376" t="s">
        <v>95</v>
      </c>
      <c r="R5376" t="str">
        <f>"7051155"</f>
        <v>7051155</v>
      </c>
      <c r="S5376" t="s">
        <v>412</v>
      </c>
      <c r="T5376" t="s">
        <v>154</v>
      </c>
      <c r="U5376" t="s">
        <v>155</v>
      </c>
      <c r="V5376" t="s">
        <v>131</v>
      </c>
      <c r="W5376" t="s">
        <v>51</v>
      </c>
      <c r="X5376" t="s">
        <v>45</v>
      </c>
      <c r="Y5376" s="1">
        <v>30100</v>
      </c>
      <c r="Z5376">
        <v>1</v>
      </c>
      <c r="AA5376" t="s">
        <v>155</v>
      </c>
      <c r="AB5376" s="40" t="s">
        <v>1799</v>
      </c>
    </row>
    <row r="5377" spans="1:28" x14ac:dyDescent="0.25">
      <c r="A5377">
        <v>99915376</v>
      </c>
      <c r="B5377" t="s">
        <v>32</v>
      </c>
      <c r="C5377" t="s">
        <v>90</v>
      </c>
      <c r="D5377" t="s">
        <v>91</v>
      </c>
      <c r="G5377" t="s">
        <v>48</v>
      </c>
      <c r="H5377">
        <v>1</v>
      </c>
      <c r="K5377" t="s">
        <v>1695</v>
      </c>
      <c r="L5377" t="s">
        <v>1696</v>
      </c>
      <c r="M5377" t="s">
        <v>1592</v>
      </c>
      <c r="N5377">
        <v>25</v>
      </c>
      <c r="P5377" t="s">
        <v>41</v>
      </c>
      <c r="Q5377" t="s">
        <v>95</v>
      </c>
      <c r="R5377" t="str">
        <f>"7361003"</f>
        <v>7361003</v>
      </c>
      <c r="S5377" t="s">
        <v>1700</v>
      </c>
      <c r="T5377" t="s">
        <v>1695</v>
      </c>
      <c r="U5377" t="s">
        <v>1696</v>
      </c>
      <c r="V5377" t="s">
        <v>1592</v>
      </c>
      <c r="W5377" t="s">
        <v>51</v>
      </c>
      <c r="X5377" t="s">
        <v>45</v>
      </c>
      <c r="Y5377" s="1">
        <v>30062</v>
      </c>
      <c r="Z5377">
        <v>1</v>
      </c>
      <c r="AA5377" t="s">
        <v>1696</v>
      </c>
      <c r="AB5377" s="40" t="s">
        <v>1799</v>
      </c>
    </row>
    <row r="5378" spans="1:28" x14ac:dyDescent="0.25">
      <c r="A5378">
        <v>99915377</v>
      </c>
      <c r="B5378" t="s">
        <v>32</v>
      </c>
      <c r="C5378" t="s">
        <v>90</v>
      </c>
      <c r="D5378" t="s">
        <v>91</v>
      </c>
      <c r="G5378" t="s">
        <v>35</v>
      </c>
      <c r="H5378">
        <v>1</v>
      </c>
      <c r="I5378" t="s">
        <v>991</v>
      </c>
      <c r="J5378" s="1">
        <v>43344</v>
      </c>
      <c r="K5378" t="s">
        <v>985</v>
      </c>
      <c r="L5378" t="s">
        <v>986</v>
      </c>
      <c r="M5378" t="s">
        <v>938</v>
      </c>
      <c r="N5378">
        <v>25</v>
      </c>
      <c r="O5378" s="1">
        <v>43344</v>
      </c>
      <c r="P5378" t="s">
        <v>41</v>
      </c>
      <c r="Q5378" t="s">
        <v>95</v>
      </c>
      <c r="R5378" t="str">
        <f>"7011009"</f>
        <v>7011009</v>
      </c>
      <c r="S5378" t="s">
        <v>988</v>
      </c>
      <c r="T5378" t="s">
        <v>985</v>
      </c>
      <c r="U5378" t="s">
        <v>986</v>
      </c>
      <c r="V5378" t="s">
        <v>938</v>
      </c>
      <c r="W5378" t="s">
        <v>51</v>
      </c>
      <c r="X5378" t="s">
        <v>45</v>
      </c>
      <c r="Y5378" s="1">
        <v>29976</v>
      </c>
      <c r="Z5378">
        <v>1</v>
      </c>
      <c r="AA5378" t="s">
        <v>986</v>
      </c>
      <c r="AB5378" s="40" t="s">
        <v>1799</v>
      </c>
    </row>
    <row r="5379" spans="1:28" x14ac:dyDescent="0.25">
      <c r="A5379">
        <v>99915378</v>
      </c>
      <c r="B5379" t="s">
        <v>32</v>
      </c>
      <c r="C5379" t="s">
        <v>90</v>
      </c>
      <c r="D5379" t="s">
        <v>91</v>
      </c>
      <c r="G5379" t="s">
        <v>35</v>
      </c>
      <c r="H5379">
        <v>1</v>
      </c>
      <c r="K5379" t="s">
        <v>877</v>
      </c>
      <c r="L5379" t="s">
        <v>878</v>
      </c>
      <c r="M5379" t="s">
        <v>131</v>
      </c>
      <c r="N5379">
        <v>25</v>
      </c>
      <c r="P5379" t="s">
        <v>41</v>
      </c>
      <c r="Q5379" t="s">
        <v>95</v>
      </c>
      <c r="R5379" t="str">
        <f>"7541061"</f>
        <v>7541061</v>
      </c>
      <c r="S5379" t="s">
        <v>914</v>
      </c>
      <c r="T5379" t="s">
        <v>877</v>
      </c>
      <c r="U5379" t="s">
        <v>878</v>
      </c>
      <c r="V5379" t="s">
        <v>131</v>
      </c>
      <c r="W5379" t="s">
        <v>51</v>
      </c>
      <c r="X5379" t="s">
        <v>45</v>
      </c>
      <c r="Y5379" s="1">
        <v>29970</v>
      </c>
      <c r="Z5379">
        <v>1</v>
      </c>
      <c r="AA5379" t="s">
        <v>878</v>
      </c>
      <c r="AB5379" s="40" t="s">
        <v>1799</v>
      </c>
    </row>
    <row r="5380" spans="1:28" x14ac:dyDescent="0.25">
      <c r="A5380">
        <v>99915379</v>
      </c>
      <c r="B5380" t="s">
        <v>32</v>
      </c>
      <c r="C5380" t="s">
        <v>90</v>
      </c>
      <c r="D5380" t="s">
        <v>91</v>
      </c>
      <c r="G5380" t="s">
        <v>35</v>
      </c>
      <c r="H5380">
        <v>1</v>
      </c>
      <c r="I5380">
        <v>10836</v>
      </c>
      <c r="J5380" s="1">
        <v>43344</v>
      </c>
      <c r="K5380" t="s">
        <v>268</v>
      </c>
      <c r="L5380" t="s">
        <v>269</v>
      </c>
      <c r="M5380" t="s">
        <v>131</v>
      </c>
      <c r="N5380">
        <v>25</v>
      </c>
      <c r="O5380" s="1">
        <v>43344</v>
      </c>
      <c r="P5380" t="s">
        <v>41</v>
      </c>
      <c r="Q5380" t="s">
        <v>95</v>
      </c>
      <c r="R5380" t="str">
        <f>"7052019"</f>
        <v>7052019</v>
      </c>
      <c r="S5380" t="s">
        <v>747</v>
      </c>
      <c r="T5380" t="s">
        <v>268</v>
      </c>
      <c r="U5380" t="s">
        <v>269</v>
      </c>
      <c r="V5380" t="s">
        <v>131</v>
      </c>
      <c r="W5380" t="s">
        <v>51</v>
      </c>
      <c r="X5380" t="s">
        <v>45</v>
      </c>
      <c r="Y5380" s="1">
        <v>29969</v>
      </c>
      <c r="Z5380">
        <v>1</v>
      </c>
      <c r="AA5380" t="s">
        <v>269</v>
      </c>
      <c r="AB5380" s="40" t="s">
        <v>1799</v>
      </c>
    </row>
    <row r="5381" spans="1:28" x14ac:dyDescent="0.25">
      <c r="A5381">
        <v>99915380</v>
      </c>
      <c r="B5381" t="s">
        <v>32</v>
      </c>
      <c r="C5381" t="s">
        <v>90</v>
      </c>
      <c r="D5381" t="s">
        <v>91</v>
      </c>
      <c r="G5381" t="s">
        <v>48</v>
      </c>
      <c r="H5381">
        <v>5</v>
      </c>
      <c r="J5381" s="1">
        <v>43344</v>
      </c>
      <c r="K5381" t="s">
        <v>354</v>
      </c>
      <c r="L5381" t="s">
        <v>355</v>
      </c>
      <c r="M5381" t="s">
        <v>131</v>
      </c>
      <c r="N5381">
        <v>25</v>
      </c>
      <c r="O5381" s="1">
        <v>43344</v>
      </c>
      <c r="P5381" t="s">
        <v>41</v>
      </c>
      <c r="Q5381" t="s">
        <v>95</v>
      </c>
      <c r="R5381" t="str">
        <f>"7054025"</f>
        <v>7054025</v>
      </c>
      <c r="S5381" t="s">
        <v>794</v>
      </c>
      <c r="T5381" t="s">
        <v>354</v>
      </c>
      <c r="U5381" t="s">
        <v>355</v>
      </c>
      <c r="V5381" t="s">
        <v>131</v>
      </c>
      <c r="W5381" t="s">
        <v>51</v>
      </c>
      <c r="X5381" t="s">
        <v>45</v>
      </c>
      <c r="Y5381" s="1">
        <v>29952</v>
      </c>
      <c r="Z5381">
        <v>1</v>
      </c>
      <c r="AA5381" t="s">
        <v>355</v>
      </c>
      <c r="AB5381" s="40" t="s">
        <v>1799</v>
      </c>
    </row>
    <row r="5382" spans="1:28" x14ac:dyDescent="0.25">
      <c r="A5382">
        <v>99915381</v>
      </c>
      <c r="B5382" t="s">
        <v>32</v>
      </c>
      <c r="C5382" t="s">
        <v>90</v>
      </c>
      <c r="D5382" t="s">
        <v>91</v>
      </c>
      <c r="G5382" t="s">
        <v>48</v>
      </c>
      <c r="H5382">
        <v>1</v>
      </c>
      <c r="K5382" t="s">
        <v>1198</v>
      </c>
      <c r="L5382" t="s">
        <v>1199</v>
      </c>
      <c r="M5382" t="s">
        <v>1130</v>
      </c>
      <c r="N5382">
        <v>25</v>
      </c>
      <c r="P5382" t="s">
        <v>41</v>
      </c>
      <c r="Q5382" t="s">
        <v>95</v>
      </c>
      <c r="R5382" t="str">
        <f>"7311009"</f>
        <v>7311009</v>
      </c>
      <c r="S5382" t="s">
        <v>1220</v>
      </c>
      <c r="T5382" t="s">
        <v>1198</v>
      </c>
      <c r="U5382" t="s">
        <v>1199</v>
      </c>
      <c r="V5382" t="s">
        <v>1130</v>
      </c>
      <c r="W5382" t="s">
        <v>51</v>
      </c>
      <c r="X5382" t="s">
        <v>45</v>
      </c>
      <c r="Y5382" s="1">
        <v>29931</v>
      </c>
      <c r="Z5382">
        <v>1</v>
      </c>
      <c r="AA5382" t="s">
        <v>1199</v>
      </c>
      <c r="AB5382" s="40" t="s">
        <v>1799</v>
      </c>
    </row>
    <row r="5383" spans="1:28" x14ac:dyDescent="0.25">
      <c r="A5383">
        <v>99915382</v>
      </c>
      <c r="B5383" t="s">
        <v>32</v>
      </c>
      <c r="C5383" t="s">
        <v>90</v>
      </c>
      <c r="D5383" t="s">
        <v>91</v>
      </c>
      <c r="G5383" t="s">
        <v>48</v>
      </c>
      <c r="H5383">
        <v>1</v>
      </c>
      <c r="K5383" t="s">
        <v>268</v>
      </c>
      <c r="L5383" t="s">
        <v>269</v>
      </c>
      <c r="M5383" t="s">
        <v>131</v>
      </c>
      <c r="N5383">
        <v>25</v>
      </c>
      <c r="P5383" t="s">
        <v>41</v>
      </c>
      <c r="Q5383" t="s">
        <v>95</v>
      </c>
      <c r="R5383" t="str">
        <f>"7052217"</f>
        <v>7052217</v>
      </c>
      <c r="S5383" t="s">
        <v>732</v>
      </c>
      <c r="T5383" t="s">
        <v>268</v>
      </c>
      <c r="U5383" t="s">
        <v>269</v>
      </c>
      <c r="V5383" t="s">
        <v>131</v>
      </c>
      <c r="W5383" t="s">
        <v>51</v>
      </c>
      <c r="X5383" t="s">
        <v>45</v>
      </c>
      <c r="Y5383" s="1">
        <v>29735</v>
      </c>
      <c r="Z5383">
        <v>1</v>
      </c>
      <c r="AA5383" t="s">
        <v>269</v>
      </c>
      <c r="AB5383" s="40" t="s">
        <v>1799</v>
      </c>
    </row>
    <row r="5384" spans="1:28" x14ac:dyDescent="0.25">
      <c r="A5384">
        <v>99915383</v>
      </c>
      <c r="B5384" t="s">
        <v>32</v>
      </c>
      <c r="C5384" t="s">
        <v>90</v>
      </c>
      <c r="D5384" t="s">
        <v>91</v>
      </c>
      <c r="G5384" t="s">
        <v>35</v>
      </c>
      <c r="H5384">
        <v>1</v>
      </c>
      <c r="I5384" t="s">
        <v>1026</v>
      </c>
      <c r="J5384" s="1">
        <v>43344</v>
      </c>
      <c r="K5384" t="s">
        <v>963</v>
      </c>
      <c r="L5384" t="s">
        <v>964</v>
      </c>
      <c r="M5384" t="s">
        <v>938</v>
      </c>
      <c r="N5384">
        <v>25</v>
      </c>
      <c r="O5384" s="1">
        <v>43344</v>
      </c>
      <c r="P5384" t="s">
        <v>41</v>
      </c>
      <c r="Q5384" t="s">
        <v>95</v>
      </c>
      <c r="R5384" t="str">
        <f>"7061007"</f>
        <v>7061007</v>
      </c>
      <c r="S5384" t="s">
        <v>1021</v>
      </c>
      <c r="T5384" t="s">
        <v>963</v>
      </c>
      <c r="U5384" t="s">
        <v>964</v>
      </c>
      <c r="V5384" t="s">
        <v>938</v>
      </c>
      <c r="W5384" t="s">
        <v>44</v>
      </c>
      <c r="X5384" t="s">
        <v>45</v>
      </c>
      <c r="Y5384" s="1">
        <v>29726</v>
      </c>
      <c r="Z5384">
        <v>1</v>
      </c>
      <c r="AA5384" t="s">
        <v>964</v>
      </c>
      <c r="AB5384" s="40" t="s">
        <v>1799</v>
      </c>
    </row>
    <row r="5385" spans="1:28" x14ac:dyDescent="0.25">
      <c r="A5385">
        <v>99915384</v>
      </c>
      <c r="B5385" t="s">
        <v>32</v>
      </c>
      <c r="C5385" t="s">
        <v>90</v>
      </c>
      <c r="D5385" t="s">
        <v>91</v>
      </c>
      <c r="G5385" t="s">
        <v>48</v>
      </c>
      <c r="H5385">
        <v>1</v>
      </c>
      <c r="K5385" t="s">
        <v>195</v>
      </c>
      <c r="L5385" t="s">
        <v>196</v>
      </c>
      <c r="M5385" t="s">
        <v>131</v>
      </c>
      <c r="N5385">
        <v>25</v>
      </c>
      <c r="P5385" t="s">
        <v>41</v>
      </c>
      <c r="Q5385" t="s">
        <v>95</v>
      </c>
      <c r="R5385" t="str">
        <f>"7521021"</f>
        <v>7521021</v>
      </c>
      <c r="S5385" t="s">
        <v>458</v>
      </c>
      <c r="T5385" t="s">
        <v>195</v>
      </c>
      <c r="U5385" t="s">
        <v>196</v>
      </c>
      <c r="V5385" t="s">
        <v>131</v>
      </c>
      <c r="W5385" t="s">
        <v>51</v>
      </c>
      <c r="X5385" t="s">
        <v>45</v>
      </c>
      <c r="Y5385" s="1">
        <v>29725</v>
      </c>
      <c r="Z5385">
        <v>1</v>
      </c>
      <c r="AA5385" t="s">
        <v>196</v>
      </c>
      <c r="AB5385" s="40" t="s">
        <v>1799</v>
      </c>
    </row>
    <row r="5386" spans="1:28" x14ac:dyDescent="0.25">
      <c r="A5386">
        <v>99915385</v>
      </c>
      <c r="B5386" t="s">
        <v>32</v>
      </c>
      <c r="C5386" t="s">
        <v>90</v>
      </c>
      <c r="D5386" t="s">
        <v>91</v>
      </c>
      <c r="G5386" t="s">
        <v>35</v>
      </c>
      <c r="H5386">
        <v>1</v>
      </c>
      <c r="I5386">
        <v>21058</v>
      </c>
      <c r="J5386" s="1">
        <v>43344</v>
      </c>
      <c r="K5386" t="s">
        <v>354</v>
      </c>
      <c r="L5386" t="s">
        <v>355</v>
      </c>
      <c r="M5386" t="s">
        <v>131</v>
      </c>
      <c r="N5386">
        <v>25</v>
      </c>
      <c r="O5386" s="1">
        <v>43344</v>
      </c>
      <c r="P5386" t="s">
        <v>41</v>
      </c>
      <c r="Q5386" t="s">
        <v>95</v>
      </c>
      <c r="R5386" t="str">
        <f>"7054159"</f>
        <v>7054159</v>
      </c>
      <c r="S5386" t="s">
        <v>785</v>
      </c>
      <c r="T5386" t="s">
        <v>354</v>
      </c>
      <c r="U5386" t="s">
        <v>355</v>
      </c>
      <c r="V5386" t="s">
        <v>131</v>
      </c>
      <c r="W5386" t="s">
        <v>51</v>
      </c>
      <c r="X5386" t="s">
        <v>45</v>
      </c>
      <c r="Y5386" s="1">
        <v>29712</v>
      </c>
      <c r="Z5386">
        <v>1</v>
      </c>
      <c r="AA5386" t="s">
        <v>355</v>
      </c>
      <c r="AB5386" s="40" t="s">
        <v>1799</v>
      </c>
    </row>
    <row r="5387" spans="1:28" x14ac:dyDescent="0.25">
      <c r="A5387">
        <v>99915386</v>
      </c>
      <c r="B5387" t="s">
        <v>32</v>
      </c>
      <c r="C5387" t="s">
        <v>90</v>
      </c>
      <c r="D5387" t="s">
        <v>91</v>
      </c>
      <c r="G5387" t="s">
        <v>35</v>
      </c>
      <c r="H5387">
        <v>1</v>
      </c>
      <c r="K5387" t="s">
        <v>1703</v>
      </c>
      <c r="L5387" t="s">
        <v>1704</v>
      </c>
      <c r="M5387" t="s">
        <v>1705</v>
      </c>
      <c r="N5387">
        <v>25</v>
      </c>
      <c r="P5387" t="s">
        <v>41</v>
      </c>
      <c r="Q5387" t="s">
        <v>95</v>
      </c>
      <c r="R5387" t="str">
        <f>"7071003"</f>
        <v>7071003</v>
      </c>
      <c r="S5387" t="s">
        <v>1707</v>
      </c>
      <c r="T5387" t="s">
        <v>1703</v>
      </c>
      <c r="U5387" t="s">
        <v>1704</v>
      </c>
      <c r="V5387" t="s">
        <v>1705</v>
      </c>
      <c r="W5387" t="s">
        <v>51</v>
      </c>
      <c r="X5387" t="s">
        <v>45</v>
      </c>
      <c r="Y5387" s="1">
        <v>29697</v>
      </c>
      <c r="Z5387">
        <v>1</v>
      </c>
      <c r="AA5387" t="s">
        <v>1704</v>
      </c>
      <c r="AB5387" s="40" t="s">
        <v>1799</v>
      </c>
    </row>
    <row r="5388" spans="1:28" x14ac:dyDescent="0.25">
      <c r="A5388">
        <v>99915387</v>
      </c>
      <c r="B5388" t="s">
        <v>32</v>
      </c>
      <c r="C5388" t="s">
        <v>90</v>
      </c>
      <c r="D5388" t="s">
        <v>91</v>
      </c>
      <c r="G5388" t="s">
        <v>35</v>
      </c>
      <c r="H5388">
        <v>1</v>
      </c>
      <c r="K5388" t="s">
        <v>195</v>
      </c>
      <c r="L5388" t="s">
        <v>196</v>
      </c>
      <c r="M5388" t="s">
        <v>131</v>
      </c>
      <c r="N5388">
        <v>25</v>
      </c>
      <c r="P5388" t="s">
        <v>41</v>
      </c>
      <c r="Q5388" t="s">
        <v>95</v>
      </c>
      <c r="R5388" t="str">
        <f>"7521105"</f>
        <v>7521105</v>
      </c>
      <c r="S5388" t="s">
        <v>478</v>
      </c>
      <c r="T5388" t="s">
        <v>195</v>
      </c>
      <c r="U5388" t="s">
        <v>196</v>
      </c>
      <c r="V5388" t="s">
        <v>131</v>
      </c>
      <c r="W5388" t="s">
        <v>51</v>
      </c>
      <c r="X5388" t="s">
        <v>45</v>
      </c>
      <c r="Y5388" s="1">
        <v>29665</v>
      </c>
      <c r="Z5388">
        <v>1</v>
      </c>
      <c r="AA5388" t="s">
        <v>196</v>
      </c>
      <c r="AB5388" s="40" t="s">
        <v>1799</v>
      </c>
    </row>
    <row r="5389" spans="1:28" x14ac:dyDescent="0.25">
      <c r="A5389">
        <v>99915388</v>
      </c>
      <c r="B5389" t="s">
        <v>32</v>
      </c>
      <c r="C5389" t="s">
        <v>90</v>
      </c>
      <c r="D5389" t="s">
        <v>91</v>
      </c>
      <c r="G5389" t="s">
        <v>35</v>
      </c>
      <c r="H5389">
        <v>1</v>
      </c>
      <c r="I5389" t="s">
        <v>1516</v>
      </c>
      <c r="J5389" s="1">
        <v>42979</v>
      </c>
      <c r="K5389" t="s">
        <v>1513</v>
      </c>
      <c r="L5389" t="s">
        <v>1511</v>
      </c>
      <c r="M5389" t="s">
        <v>670</v>
      </c>
      <c r="N5389">
        <v>25</v>
      </c>
      <c r="O5389" s="1">
        <v>43344</v>
      </c>
      <c r="P5389" t="s">
        <v>41</v>
      </c>
      <c r="Q5389" t="s">
        <v>95</v>
      </c>
      <c r="R5389" t="str">
        <f>"7411007"</f>
        <v>7411007</v>
      </c>
      <c r="S5389" t="s">
        <v>1514</v>
      </c>
      <c r="T5389" t="s">
        <v>1513</v>
      </c>
      <c r="U5389" t="s">
        <v>1511</v>
      </c>
      <c r="V5389" t="s">
        <v>670</v>
      </c>
      <c r="W5389" t="s">
        <v>44</v>
      </c>
      <c r="X5389" t="s">
        <v>45</v>
      </c>
      <c r="Y5389" s="1">
        <v>29608</v>
      </c>
      <c r="Z5389">
        <v>1</v>
      </c>
      <c r="AA5389" t="s">
        <v>1511</v>
      </c>
      <c r="AB5389" s="40" t="s">
        <v>1799</v>
      </c>
    </row>
    <row r="5390" spans="1:28" x14ac:dyDescent="0.25">
      <c r="A5390">
        <v>99915389</v>
      </c>
      <c r="B5390" t="s">
        <v>32</v>
      </c>
      <c r="C5390" t="s">
        <v>90</v>
      </c>
      <c r="D5390" t="s">
        <v>91</v>
      </c>
      <c r="G5390" t="s">
        <v>48</v>
      </c>
      <c r="H5390">
        <v>4</v>
      </c>
      <c r="I5390" t="s">
        <v>1017</v>
      </c>
      <c r="J5390" s="1">
        <v>43344</v>
      </c>
      <c r="K5390" t="s">
        <v>963</v>
      </c>
      <c r="L5390" t="s">
        <v>964</v>
      </c>
      <c r="M5390" t="s">
        <v>938</v>
      </c>
      <c r="N5390">
        <v>25</v>
      </c>
      <c r="O5390" s="1">
        <v>43344</v>
      </c>
      <c r="P5390" t="s">
        <v>41</v>
      </c>
      <c r="Q5390" t="s">
        <v>95</v>
      </c>
      <c r="R5390" t="str">
        <f>"7061027"</f>
        <v>7061027</v>
      </c>
      <c r="S5390" t="s">
        <v>1022</v>
      </c>
      <c r="T5390" t="s">
        <v>963</v>
      </c>
      <c r="U5390" t="s">
        <v>964</v>
      </c>
      <c r="V5390" t="s">
        <v>938</v>
      </c>
      <c r="W5390" t="s">
        <v>51</v>
      </c>
      <c r="X5390" t="s">
        <v>45</v>
      </c>
      <c r="Y5390" s="1">
        <v>29487</v>
      </c>
      <c r="Z5390">
        <v>1</v>
      </c>
      <c r="AA5390" t="s">
        <v>964</v>
      </c>
      <c r="AB5390" s="40" t="s">
        <v>1799</v>
      </c>
    </row>
    <row r="5391" spans="1:28" x14ac:dyDescent="0.25">
      <c r="A5391">
        <v>99915390</v>
      </c>
      <c r="B5391" t="s">
        <v>32</v>
      </c>
      <c r="C5391" t="s">
        <v>90</v>
      </c>
      <c r="D5391" t="s">
        <v>91</v>
      </c>
      <c r="G5391" t="s">
        <v>35</v>
      </c>
      <c r="H5391">
        <v>1</v>
      </c>
      <c r="I5391" t="s">
        <v>1299</v>
      </c>
      <c r="J5391" s="1">
        <v>42394</v>
      </c>
      <c r="K5391" t="s">
        <v>1513</v>
      </c>
      <c r="L5391" t="s">
        <v>1511</v>
      </c>
      <c r="M5391" t="s">
        <v>670</v>
      </c>
      <c r="N5391">
        <v>25</v>
      </c>
      <c r="O5391" s="1">
        <v>42394</v>
      </c>
      <c r="P5391" t="s">
        <v>41</v>
      </c>
      <c r="Q5391" t="s">
        <v>95</v>
      </c>
      <c r="R5391" t="str">
        <f>"7411005"</f>
        <v>7411005</v>
      </c>
      <c r="S5391" t="s">
        <v>1515</v>
      </c>
      <c r="T5391" t="s">
        <v>1513</v>
      </c>
      <c r="U5391" t="s">
        <v>1511</v>
      </c>
      <c r="V5391" t="s">
        <v>670</v>
      </c>
      <c r="W5391" t="s">
        <v>51</v>
      </c>
      <c r="X5391" t="s">
        <v>45</v>
      </c>
      <c r="Y5391" s="1">
        <v>29477</v>
      </c>
      <c r="Z5391">
        <v>1</v>
      </c>
      <c r="AA5391" t="s">
        <v>1511</v>
      </c>
      <c r="AB5391" s="40" t="s">
        <v>1799</v>
      </c>
    </row>
    <row r="5392" spans="1:28" x14ac:dyDescent="0.25">
      <c r="A5392">
        <v>99915391</v>
      </c>
      <c r="B5392" t="s">
        <v>32</v>
      </c>
      <c r="C5392" t="s">
        <v>90</v>
      </c>
      <c r="D5392" t="s">
        <v>91</v>
      </c>
      <c r="G5392" t="s">
        <v>35</v>
      </c>
      <c r="H5392">
        <v>1</v>
      </c>
      <c r="I5392" t="s">
        <v>1116</v>
      </c>
      <c r="J5392" s="1">
        <v>43347</v>
      </c>
      <c r="K5392" t="s">
        <v>1081</v>
      </c>
      <c r="L5392" t="s">
        <v>1082</v>
      </c>
      <c r="M5392" t="s">
        <v>1053</v>
      </c>
      <c r="N5392">
        <v>25</v>
      </c>
      <c r="O5392" s="1">
        <v>43347</v>
      </c>
      <c r="P5392" t="s">
        <v>41</v>
      </c>
      <c r="Q5392" t="s">
        <v>95</v>
      </c>
      <c r="R5392" t="str">
        <f>"7201025"</f>
        <v>7201025</v>
      </c>
      <c r="S5392" t="s">
        <v>1117</v>
      </c>
      <c r="T5392" t="s">
        <v>1081</v>
      </c>
      <c r="U5392" t="s">
        <v>1082</v>
      </c>
      <c r="V5392" t="s">
        <v>1053</v>
      </c>
      <c r="W5392" t="s">
        <v>44</v>
      </c>
      <c r="X5392" t="s">
        <v>45</v>
      </c>
      <c r="Y5392" s="1">
        <v>29435</v>
      </c>
      <c r="Z5392">
        <v>1</v>
      </c>
      <c r="AA5392" t="s">
        <v>1082</v>
      </c>
      <c r="AB5392" s="40" t="s">
        <v>1799</v>
      </c>
    </row>
    <row r="5393" spans="1:28" x14ac:dyDescent="0.25">
      <c r="A5393">
        <v>99915392</v>
      </c>
      <c r="B5393" t="s">
        <v>32</v>
      </c>
      <c r="C5393" t="s">
        <v>90</v>
      </c>
      <c r="D5393" t="s">
        <v>91</v>
      </c>
      <c r="G5393" t="s">
        <v>35</v>
      </c>
      <c r="H5393">
        <v>1</v>
      </c>
      <c r="I5393">
        <v>4978</v>
      </c>
      <c r="J5393" s="1">
        <v>43344</v>
      </c>
      <c r="K5393" t="s">
        <v>354</v>
      </c>
      <c r="L5393" t="s">
        <v>355</v>
      </c>
      <c r="M5393" t="s">
        <v>131</v>
      </c>
      <c r="N5393">
        <v>25</v>
      </c>
      <c r="O5393" s="1">
        <v>43344</v>
      </c>
      <c r="P5393" t="s">
        <v>41</v>
      </c>
      <c r="Q5393" t="s">
        <v>95</v>
      </c>
      <c r="R5393" t="str">
        <f>"7054047"</f>
        <v>7054047</v>
      </c>
      <c r="S5393" t="s">
        <v>806</v>
      </c>
      <c r="T5393" t="s">
        <v>354</v>
      </c>
      <c r="U5393" t="s">
        <v>355</v>
      </c>
      <c r="V5393" t="s">
        <v>131</v>
      </c>
      <c r="W5393" t="s">
        <v>51</v>
      </c>
      <c r="X5393" t="s">
        <v>45</v>
      </c>
      <c r="Y5393" s="1">
        <v>29372</v>
      </c>
      <c r="Z5393">
        <v>1</v>
      </c>
      <c r="AA5393" t="s">
        <v>355</v>
      </c>
      <c r="AB5393" s="40" t="s">
        <v>1799</v>
      </c>
    </row>
    <row r="5394" spans="1:28" x14ac:dyDescent="0.25">
      <c r="A5394">
        <v>99915393</v>
      </c>
      <c r="B5394" t="s">
        <v>32</v>
      </c>
      <c r="C5394" t="s">
        <v>90</v>
      </c>
      <c r="D5394" t="s">
        <v>91</v>
      </c>
      <c r="G5394" t="s">
        <v>48</v>
      </c>
      <c r="H5394">
        <v>4</v>
      </c>
      <c r="K5394" t="s">
        <v>1426</v>
      </c>
      <c r="L5394" t="s">
        <v>1427</v>
      </c>
      <c r="M5394" t="s">
        <v>1270</v>
      </c>
      <c r="N5394">
        <v>25</v>
      </c>
      <c r="P5394" t="s">
        <v>41</v>
      </c>
      <c r="Q5394" t="s">
        <v>95</v>
      </c>
      <c r="R5394" t="str">
        <f>"7192011"</f>
        <v>7192011</v>
      </c>
      <c r="S5394" t="s">
        <v>1431</v>
      </c>
      <c r="T5394" t="s">
        <v>1426</v>
      </c>
      <c r="U5394" t="s">
        <v>1427</v>
      </c>
      <c r="V5394" t="s">
        <v>1270</v>
      </c>
      <c r="W5394" t="s">
        <v>51</v>
      </c>
      <c r="X5394" t="s">
        <v>45</v>
      </c>
      <c r="Y5394" s="1">
        <v>29297</v>
      </c>
      <c r="Z5394">
        <v>1</v>
      </c>
      <c r="AA5394" t="s">
        <v>1427</v>
      </c>
      <c r="AB5394" s="40" t="s">
        <v>1799</v>
      </c>
    </row>
    <row r="5395" spans="1:28" x14ac:dyDescent="0.25">
      <c r="A5395">
        <v>99915394</v>
      </c>
      <c r="B5395" t="s">
        <v>32</v>
      </c>
      <c r="C5395" t="s">
        <v>90</v>
      </c>
      <c r="D5395" t="s">
        <v>91</v>
      </c>
      <c r="G5395" t="s">
        <v>35</v>
      </c>
      <c r="H5395">
        <v>1</v>
      </c>
      <c r="I5395">
        <v>10934</v>
      </c>
      <c r="J5395" s="1">
        <v>43344</v>
      </c>
      <c r="K5395" t="s">
        <v>354</v>
      </c>
      <c r="L5395" t="s">
        <v>355</v>
      </c>
      <c r="M5395" t="s">
        <v>131</v>
      </c>
      <c r="N5395">
        <v>25</v>
      </c>
      <c r="O5395" s="1">
        <v>43344</v>
      </c>
      <c r="P5395" t="s">
        <v>41</v>
      </c>
      <c r="Q5395" t="s">
        <v>95</v>
      </c>
      <c r="R5395" t="str">
        <f>"7054083"</f>
        <v>7054083</v>
      </c>
      <c r="S5395" t="s">
        <v>801</v>
      </c>
      <c r="T5395" t="s">
        <v>354</v>
      </c>
      <c r="U5395" t="s">
        <v>355</v>
      </c>
      <c r="V5395" t="s">
        <v>131</v>
      </c>
      <c r="W5395" t="s">
        <v>51</v>
      </c>
      <c r="X5395" t="s">
        <v>45</v>
      </c>
      <c r="Y5395" s="1">
        <v>29200</v>
      </c>
      <c r="Z5395">
        <v>1</v>
      </c>
      <c r="AA5395" t="s">
        <v>355</v>
      </c>
      <c r="AB5395" s="40" t="s">
        <v>1799</v>
      </c>
    </row>
    <row r="5396" spans="1:28" x14ac:dyDescent="0.25">
      <c r="A5396">
        <v>99915395</v>
      </c>
      <c r="B5396" t="s">
        <v>32</v>
      </c>
      <c r="C5396" t="s">
        <v>90</v>
      </c>
      <c r="D5396" t="s">
        <v>91</v>
      </c>
      <c r="G5396" t="s">
        <v>48</v>
      </c>
      <c r="H5396">
        <v>1</v>
      </c>
      <c r="K5396" t="s">
        <v>1043</v>
      </c>
      <c r="L5396" t="s">
        <v>1044</v>
      </c>
      <c r="M5396" t="s">
        <v>1041</v>
      </c>
      <c r="N5396">
        <v>25</v>
      </c>
      <c r="P5396" t="s">
        <v>41</v>
      </c>
      <c r="Q5396" t="s">
        <v>95</v>
      </c>
      <c r="R5396" t="str">
        <f>"7271007"</f>
        <v>7271007</v>
      </c>
      <c r="S5396" t="s">
        <v>1049</v>
      </c>
      <c r="T5396" t="s">
        <v>1043</v>
      </c>
      <c r="U5396" t="s">
        <v>1044</v>
      </c>
      <c r="V5396" t="s">
        <v>1041</v>
      </c>
      <c r="W5396" t="s">
        <v>51</v>
      </c>
      <c r="X5396" t="s">
        <v>45</v>
      </c>
      <c r="Y5396" s="1">
        <v>29195</v>
      </c>
      <c r="Z5396">
        <v>1</v>
      </c>
      <c r="AA5396" t="s">
        <v>1044</v>
      </c>
      <c r="AB5396" s="40" t="s">
        <v>1799</v>
      </c>
    </row>
    <row r="5397" spans="1:28" x14ac:dyDescent="0.25">
      <c r="A5397">
        <v>99915396</v>
      </c>
      <c r="B5397" t="s">
        <v>32</v>
      </c>
      <c r="C5397" t="s">
        <v>90</v>
      </c>
      <c r="D5397" t="s">
        <v>91</v>
      </c>
      <c r="G5397" t="s">
        <v>35</v>
      </c>
      <c r="H5397">
        <v>1</v>
      </c>
      <c r="K5397" t="s">
        <v>1725</v>
      </c>
      <c r="L5397" t="s">
        <v>1726</v>
      </c>
      <c r="M5397" t="s">
        <v>1705</v>
      </c>
      <c r="N5397">
        <v>25</v>
      </c>
      <c r="P5397" t="s">
        <v>41</v>
      </c>
      <c r="Q5397" t="s">
        <v>95</v>
      </c>
      <c r="R5397" t="str">
        <f>"7461027"</f>
        <v>7461027</v>
      </c>
      <c r="S5397" t="s">
        <v>1738</v>
      </c>
      <c r="T5397" t="s">
        <v>1725</v>
      </c>
      <c r="U5397" t="s">
        <v>1726</v>
      </c>
      <c r="V5397" t="s">
        <v>1705</v>
      </c>
      <c r="W5397" t="s">
        <v>51</v>
      </c>
      <c r="X5397" t="s">
        <v>45</v>
      </c>
      <c r="Y5397" s="1">
        <v>29062</v>
      </c>
      <c r="Z5397">
        <v>1</v>
      </c>
      <c r="AA5397" t="s">
        <v>1726</v>
      </c>
      <c r="AB5397" s="40" t="s">
        <v>1799</v>
      </c>
    </row>
    <row r="5398" spans="1:28" x14ac:dyDescent="0.25">
      <c r="A5398">
        <v>99915397</v>
      </c>
      <c r="B5398" t="s">
        <v>32</v>
      </c>
      <c r="C5398" t="s">
        <v>90</v>
      </c>
      <c r="D5398" t="s">
        <v>91</v>
      </c>
      <c r="G5398" t="s">
        <v>35</v>
      </c>
      <c r="H5398">
        <v>1</v>
      </c>
      <c r="I5398" t="s">
        <v>872</v>
      </c>
      <c r="J5398" s="1">
        <v>43344</v>
      </c>
      <c r="K5398" t="s">
        <v>865</v>
      </c>
      <c r="L5398" t="s">
        <v>866</v>
      </c>
      <c r="M5398" t="s">
        <v>131</v>
      </c>
      <c r="N5398">
        <v>25</v>
      </c>
      <c r="O5398" s="1">
        <v>43344</v>
      </c>
      <c r="P5398" t="s">
        <v>41</v>
      </c>
      <c r="Q5398" t="s">
        <v>95</v>
      </c>
      <c r="R5398" t="str">
        <f>"7531009"</f>
        <v>7531009</v>
      </c>
      <c r="S5398" t="s">
        <v>873</v>
      </c>
      <c r="T5398" t="s">
        <v>865</v>
      </c>
      <c r="U5398" t="s">
        <v>866</v>
      </c>
      <c r="V5398" t="s">
        <v>131</v>
      </c>
      <c r="W5398" t="s">
        <v>51</v>
      </c>
      <c r="X5398" t="s">
        <v>45</v>
      </c>
      <c r="Y5398" s="1">
        <v>29036</v>
      </c>
      <c r="Z5398">
        <v>1</v>
      </c>
      <c r="AA5398" t="s">
        <v>866</v>
      </c>
      <c r="AB5398" s="40" t="s">
        <v>1799</v>
      </c>
    </row>
    <row r="5399" spans="1:28" x14ac:dyDescent="0.25">
      <c r="A5399">
        <v>99915398</v>
      </c>
      <c r="B5399" t="s">
        <v>32</v>
      </c>
      <c r="C5399" t="s">
        <v>90</v>
      </c>
      <c r="D5399" t="s">
        <v>91</v>
      </c>
      <c r="G5399" t="s">
        <v>35</v>
      </c>
      <c r="H5399">
        <v>1</v>
      </c>
      <c r="K5399" t="s">
        <v>1198</v>
      </c>
      <c r="L5399" t="s">
        <v>1199</v>
      </c>
      <c r="M5399" t="s">
        <v>1130</v>
      </c>
      <c r="N5399">
        <v>25</v>
      </c>
      <c r="P5399" t="s">
        <v>41</v>
      </c>
      <c r="Q5399" t="s">
        <v>95</v>
      </c>
      <c r="R5399" t="str">
        <f>"7311027"</f>
        <v>7311027</v>
      </c>
      <c r="S5399" t="s">
        <v>1216</v>
      </c>
      <c r="T5399" t="s">
        <v>1198</v>
      </c>
      <c r="U5399" t="s">
        <v>1199</v>
      </c>
      <c r="V5399" t="s">
        <v>1130</v>
      </c>
      <c r="W5399" t="s">
        <v>51</v>
      </c>
      <c r="X5399" t="s">
        <v>45</v>
      </c>
      <c r="Y5399" s="1">
        <v>29024</v>
      </c>
      <c r="Z5399">
        <v>1</v>
      </c>
      <c r="AA5399" t="s">
        <v>1199</v>
      </c>
      <c r="AB5399" s="40" t="s">
        <v>1799</v>
      </c>
    </row>
    <row r="5400" spans="1:28" x14ac:dyDescent="0.25">
      <c r="A5400">
        <v>99915399</v>
      </c>
      <c r="B5400" t="s">
        <v>56</v>
      </c>
      <c r="C5400" t="s">
        <v>64</v>
      </c>
      <c r="D5400" t="s">
        <v>65</v>
      </c>
      <c r="G5400" t="s">
        <v>48</v>
      </c>
      <c r="H5400">
        <v>1</v>
      </c>
      <c r="K5400" t="s">
        <v>300</v>
      </c>
      <c r="L5400" t="s">
        <v>301</v>
      </c>
      <c r="M5400" t="s">
        <v>131</v>
      </c>
      <c r="N5400">
        <v>25</v>
      </c>
      <c r="P5400" t="s">
        <v>41</v>
      </c>
      <c r="Q5400" t="s">
        <v>49</v>
      </c>
      <c r="R5400" t="str">
        <f>"0560002"</f>
        <v>0560002</v>
      </c>
      <c r="S5400" t="s">
        <v>315</v>
      </c>
      <c r="T5400" t="s">
        <v>300</v>
      </c>
      <c r="U5400" t="s">
        <v>301</v>
      </c>
      <c r="V5400" t="s">
        <v>131</v>
      </c>
      <c r="W5400" t="s">
        <v>51</v>
      </c>
      <c r="X5400" t="s">
        <v>45</v>
      </c>
      <c r="Y5400" s="1">
        <v>29007</v>
      </c>
      <c r="Z5400">
        <v>2</v>
      </c>
      <c r="AA5400" t="s">
        <v>301</v>
      </c>
      <c r="AB5400" s="40" t="s">
        <v>1799</v>
      </c>
    </row>
    <row r="5401" spans="1:28" x14ac:dyDescent="0.25">
      <c r="A5401">
        <v>99915400</v>
      </c>
      <c r="B5401" t="s">
        <v>32</v>
      </c>
      <c r="C5401" t="s">
        <v>90</v>
      </c>
      <c r="D5401" t="s">
        <v>91</v>
      </c>
      <c r="G5401" t="s">
        <v>48</v>
      </c>
      <c r="H5401">
        <v>1</v>
      </c>
      <c r="K5401" t="s">
        <v>1708</v>
      </c>
      <c r="L5401" t="s">
        <v>1709</v>
      </c>
      <c r="M5401" t="s">
        <v>1705</v>
      </c>
      <c r="N5401">
        <v>25</v>
      </c>
      <c r="P5401" t="s">
        <v>41</v>
      </c>
      <c r="Q5401" t="s">
        <v>95</v>
      </c>
      <c r="R5401" t="str">
        <f>"7121009"</f>
        <v>7121009</v>
      </c>
      <c r="S5401" t="s">
        <v>1724</v>
      </c>
      <c r="T5401" t="s">
        <v>1708</v>
      </c>
      <c r="U5401" t="s">
        <v>1709</v>
      </c>
      <c r="V5401" t="s">
        <v>1705</v>
      </c>
      <c r="W5401" t="s">
        <v>51</v>
      </c>
      <c r="X5401" t="s">
        <v>45</v>
      </c>
      <c r="Y5401" s="1">
        <v>28958</v>
      </c>
      <c r="Z5401">
        <v>1</v>
      </c>
      <c r="AA5401" t="s">
        <v>1709</v>
      </c>
      <c r="AB5401" s="40" t="s">
        <v>1799</v>
      </c>
    </row>
    <row r="5402" spans="1:28" x14ac:dyDescent="0.25">
      <c r="A5402">
        <v>99915401</v>
      </c>
      <c r="B5402" t="s">
        <v>32</v>
      </c>
      <c r="C5402" t="s">
        <v>90</v>
      </c>
      <c r="D5402" t="s">
        <v>91</v>
      </c>
      <c r="G5402" t="s">
        <v>48</v>
      </c>
      <c r="H5402">
        <v>1</v>
      </c>
      <c r="K5402" t="s">
        <v>1071</v>
      </c>
      <c r="L5402" t="s">
        <v>1072</v>
      </c>
      <c r="M5402" t="s">
        <v>1053</v>
      </c>
      <c r="N5402">
        <v>25</v>
      </c>
      <c r="P5402" t="s">
        <v>41</v>
      </c>
      <c r="Q5402" t="s">
        <v>95</v>
      </c>
      <c r="R5402" t="str">
        <f>"7041001"</f>
        <v>7041001</v>
      </c>
      <c r="S5402" t="s">
        <v>1073</v>
      </c>
      <c r="T5402" t="s">
        <v>1071</v>
      </c>
      <c r="U5402" t="s">
        <v>1072</v>
      </c>
      <c r="V5402" t="s">
        <v>1053</v>
      </c>
      <c r="W5402" t="s">
        <v>165</v>
      </c>
      <c r="X5402" t="s">
        <v>45</v>
      </c>
      <c r="Y5402" s="1">
        <v>28952</v>
      </c>
      <c r="Z5402">
        <v>1</v>
      </c>
      <c r="AA5402" t="s">
        <v>1072</v>
      </c>
      <c r="AB5402" s="40" t="s">
        <v>1799</v>
      </c>
    </row>
    <row r="5403" spans="1:28" x14ac:dyDescent="0.25">
      <c r="A5403">
        <v>99915402</v>
      </c>
      <c r="B5403" t="s">
        <v>32</v>
      </c>
      <c r="C5403" t="s">
        <v>90</v>
      </c>
      <c r="D5403" t="s">
        <v>91</v>
      </c>
      <c r="G5403" t="s">
        <v>48</v>
      </c>
      <c r="H5403">
        <v>1</v>
      </c>
      <c r="K5403" t="s">
        <v>1695</v>
      </c>
      <c r="L5403" t="s">
        <v>1696</v>
      </c>
      <c r="M5403" t="s">
        <v>1592</v>
      </c>
      <c r="N5403">
        <v>25</v>
      </c>
      <c r="P5403" t="s">
        <v>41</v>
      </c>
      <c r="Q5403" t="s">
        <v>95</v>
      </c>
      <c r="R5403" t="str">
        <f>"7361003"</f>
        <v>7361003</v>
      </c>
      <c r="S5403" t="s">
        <v>1700</v>
      </c>
      <c r="T5403" t="s">
        <v>1695</v>
      </c>
      <c r="U5403" t="s">
        <v>1696</v>
      </c>
      <c r="V5403" t="s">
        <v>1592</v>
      </c>
      <c r="W5403" t="s">
        <v>51</v>
      </c>
      <c r="X5403" t="s">
        <v>45</v>
      </c>
      <c r="Y5403" s="1">
        <v>28938</v>
      </c>
      <c r="Z5403">
        <v>1</v>
      </c>
      <c r="AA5403" t="s">
        <v>1696</v>
      </c>
      <c r="AB5403" s="40" t="s">
        <v>1799</v>
      </c>
    </row>
    <row r="5404" spans="1:28" x14ac:dyDescent="0.25">
      <c r="A5404">
        <v>99915403</v>
      </c>
      <c r="B5404" t="s">
        <v>32</v>
      </c>
      <c r="C5404" t="s">
        <v>90</v>
      </c>
      <c r="D5404" t="s">
        <v>91</v>
      </c>
      <c r="G5404" t="s">
        <v>48</v>
      </c>
      <c r="H5404">
        <v>1</v>
      </c>
      <c r="K5404" t="s">
        <v>407</v>
      </c>
      <c r="L5404" t="s">
        <v>409</v>
      </c>
      <c r="M5404" t="s">
        <v>131</v>
      </c>
      <c r="N5404">
        <v>25</v>
      </c>
      <c r="P5404" t="s">
        <v>41</v>
      </c>
      <c r="Q5404" t="s">
        <v>95</v>
      </c>
      <c r="R5404" t="str">
        <f>"7053021"</f>
        <v>7053021</v>
      </c>
      <c r="S5404" t="s">
        <v>758</v>
      </c>
      <c r="T5404" t="s">
        <v>407</v>
      </c>
      <c r="U5404" t="s">
        <v>409</v>
      </c>
      <c r="V5404" t="s">
        <v>131</v>
      </c>
      <c r="W5404" t="s">
        <v>51</v>
      </c>
      <c r="X5404" t="s">
        <v>45</v>
      </c>
      <c r="Y5404" s="1">
        <v>28914</v>
      </c>
      <c r="Z5404">
        <v>1</v>
      </c>
      <c r="AA5404" t="s">
        <v>409</v>
      </c>
      <c r="AB5404" s="40" t="s">
        <v>1799</v>
      </c>
    </row>
    <row r="5405" spans="1:28" x14ac:dyDescent="0.25">
      <c r="A5405">
        <v>99915404</v>
      </c>
      <c r="B5405" t="s">
        <v>32</v>
      </c>
      <c r="C5405" t="s">
        <v>90</v>
      </c>
      <c r="D5405" t="s">
        <v>91</v>
      </c>
      <c r="G5405" t="s">
        <v>35</v>
      </c>
      <c r="H5405">
        <v>1</v>
      </c>
      <c r="K5405" t="s">
        <v>1124</v>
      </c>
      <c r="L5405" t="s">
        <v>1125</v>
      </c>
      <c r="M5405" t="s">
        <v>1053</v>
      </c>
      <c r="N5405">
        <v>25</v>
      </c>
      <c r="P5405" t="s">
        <v>41</v>
      </c>
      <c r="Q5405" t="s">
        <v>95</v>
      </c>
      <c r="R5405" t="str">
        <f>"7401003"</f>
        <v>7401003</v>
      </c>
      <c r="S5405" t="s">
        <v>1126</v>
      </c>
      <c r="T5405" t="s">
        <v>1124</v>
      </c>
      <c r="U5405" t="s">
        <v>1125</v>
      </c>
      <c r="V5405" t="s">
        <v>1053</v>
      </c>
      <c r="W5405" t="s">
        <v>51</v>
      </c>
      <c r="X5405" t="s">
        <v>45</v>
      </c>
      <c r="Y5405" s="1">
        <v>28819</v>
      </c>
      <c r="Z5405">
        <v>1</v>
      </c>
      <c r="AA5405" t="s">
        <v>1125</v>
      </c>
      <c r="AB5405" s="40" t="s">
        <v>1799</v>
      </c>
    </row>
    <row r="5406" spans="1:28" x14ac:dyDescent="0.25">
      <c r="A5406">
        <v>99915405</v>
      </c>
      <c r="B5406" t="s">
        <v>32</v>
      </c>
      <c r="C5406" t="s">
        <v>90</v>
      </c>
      <c r="D5406" t="s">
        <v>91</v>
      </c>
      <c r="G5406" t="s">
        <v>35</v>
      </c>
      <c r="H5406">
        <v>1</v>
      </c>
      <c r="I5406">
        <v>6326</v>
      </c>
      <c r="J5406" s="1">
        <v>43344</v>
      </c>
      <c r="K5406" t="s">
        <v>1564</v>
      </c>
      <c r="L5406" t="s">
        <v>1565</v>
      </c>
      <c r="M5406" t="s">
        <v>1548</v>
      </c>
      <c r="N5406">
        <v>25</v>
      </c>
      <c r="O5406" s="1">
        <v>43344</v>
      </c>
      <c r="P5406" t="s">
        <v>41</v>
      </c>
      <c r="Q5406" t="s">
        <v>95</v>
      </c>
      <c r="R5406" t="str">
        <f>"7101007"</f>
        <v>7101007</v>
      </c>
      <c r="S5406" t="s">
        <v>1576</v>
      </c>
      <c r="T5406" t="s">
        <v>1564</v>
      </c>
      <c r="U5406" t="s">
        <v>1565</v>
      </c>
      <c r="V5406" t="s">
        <v>1548</v>
      </c>
      <c r="W5406" t="s">
        <v>51</v>
      </c>
      <c r="X5406" t="s">
        <v>45</v>
      </c>
      <c r="Y5406" s="1">
        <v>28633</v>
      </c>
      <c r="Z5406">
        <v>1</v>
      </c>
      <c r="AA5406" t="s">
        <v>1565</v>
      </c>
      <c r="AB5406" s="40" t="s">
        <v>1799</v>
      </c>
    </row>
    <row r="5407" spans="1:28" x14ac:dyDescent="0.25">
      <c r="A5407">
        <v>99915406</v>
      </c>
      <c r="B5407" t="s">
        <v>32</v>
      </c>
      <c r="C5407" t="s">
        <v>90</v>
      </c>
      <c r="D5407" t="s">
        <v>91</v>
      </c>
      <c r="G5407" t="s">
        <v>35</v>
      </c>
      <c r="H5407">
        <v>1</v>
      </c>
      <c r="I5407" t="s">
        <v>115</v>
      </c>
      <c r="J5407" s="1">
        <v>43344</v>
      </c>
      <c r="K5407" t="s">
        <v>77</v>
      </c>
      <c r="L5407" t="s">
        <v>78</v>
      </c>
      <c r="M5407" t="s">
        <v>39</v>
      </c>
      <c r="N5407">
        <v>25</v>
      </c>
      <c r="O5407" s="1">
        <v>43344</v>
      </c>
      <c r="P5407" t="s">
        <v>41</v>
      </c>
      <c r="Q5407" t="s">
        <v>95</v>
      </c>
      <c r="R5407" t="str">
        <f>"7371001"</f>
        <v>7371001</v>
      </c>
      <c r="S5407" t="s">
        <v>116</v>
      </c>
      <c r="T5407" t="s">
        <v>77</v>
      </c>
      <c r="U5407" t="s">
        <v>78</v>
      </c>
      <c r="V5407" t="s">
        <v>39</v>
      </c>
      <c r="W5407" t="s">
        <v>51</v>
      </c>
      <c r="X5407" t="s">
        <v>45</v>
      </c>
      <c r="Y5407" s="1">
        <v>28515</v>
      </c>
      <c r="Z5407">
        <v>1</v>
      </c>
      <c r="AA5407" t="s">
        <v>78</v>
      </c>
      <c r="AB5407" s="40" t="s">
        <v>1799</v>
      </c>
    </row>
    <row r="5408" spans="1:28" x14ac:dyDescent="0.25">
      <c r="A5408">
        <v>99915407</v>
      </c>
      <c r="B5408" t="s">
        <v>56</v>
      </c>
      <c r="C5408" t="s">
        <v>68</v>
      </c>
      <c r="D5408" t="s">
        <v>69</v>
      </c>
      <c r="G5408" t="s">
        <v>48</v>
      </c>
      <c r="H5408">
        <v>1</v>
      </c>
      <c r="K5408" t="s">
        <v>300</v>
      </c>
      <c r="L5408" t="s">
        <v>301</v>
      </c>
      <c r="M5408" t="s">
        <v>131</v>
      </c>
      <c r="N5408">
        <v>25</v>
      </c>
      <c r="P5408" t="s">
        <v>41</v>
      </c>
      <c r="Q5408" t="s">
        <v>42</v>
      </c>
      <c r="R5408" t="str">
        <f>"0580176"</f>
        <v>0580176</v>
      </c>
      <c r="S5408" t="s">
        <v>305</v>
      </c>
      <c r="T5408" t="s">
        <v>300</v>
      </c>
      <c r="U5408" t="s">
        <v>301</v>
      </c>
      <c r="V5408" t="s">
        <v>131</v>
      </c>
      <c r="W5408" t="s">
        <v>51</v>
      </c>
      <c r="X5408" t="s">
        <v>45</v>
      </c>
      <c r="Y5408" s="1">
        <v>28399</v>
      </c>
      <c r="Z5408">
        <v>2</v>
      </c>
      <c r="AA5408" t="s">
        <v>301</v>
      </c>
      <c r="AB5408" s="40" t="s">
        <v>1799</v>
      </c>
    </row>
    <row r="5409" spans="1:28" x14ac:dyDescent="0.25">
      <c r="A5409">
        <v>99915408</v>
      </c>
      <c r="B5409" t="s">
        <v>32</v>
      </c>
      <c r="C5409" t="s">
        <v>90</v>
      </c>
      <c r="D5409" t="s">
        <v>91</v>
      </c>
      <c r="G5409" t="s">
        <v>35</v>
      </c>
      <c r="H5409">
        <v>1</v>
      </c>
      <c r="I5409">
        <v>3229</v>
      </c>
      <c r="J5409" s="1">
        <v>43344</v>
      </c>
      <c r="K5409" t="s">
        <v>1198</v>
      </c>
      <c r="L5409" t="s">
        <v>1199</v>
      </c>
      <c r="M5409" t="s">
        <v>1130</v>
      </c>
      <c r="N5409">
        <v>25</v>
      </c>
      <c r="O5409" s="1">
        <v>43344</v>
      </c>
      <c r="P5409" t="s">
        <v>41</v>
      </c>
      <c r="Q5409" t="s">
        <v>95</v>
      </c>
      <c r="R5409" t="str">
        <f>"7311029"</f>
        <v>7311029</v>
      </c>
      <c r="S5409" t="s">
        <v>1204</v>
      </c>
      <c r="T5409" t="s">
        <v>1198</v>
      </c>
      <c r="U5409" t="s">
        <v>1199</v>
      </c>
      <c r="V5409" t="s">
        <v>1130</v>
      </c>
      <c r="W5409" t="s">
        <v>51</v>
      </c>
      <c r="X5409" t="s">
        <v>45</v>
      </c>
      <c r="Y5409" s="1">
        <v>28397</v>
      </c>
      <c r="Z5409">
        <v>1</v>
      </c>
      <c r="AA5409" t="s">
        <v>1199</v>
      </c>
      <c r="AB5409" s="40" t="s">
        <v>1799</v>
      </c>
    </row>
    <row r="5410" spans="1:28" x14ac:dyDescent="0.25">
      <c r="A5410">
        <v>99915409</v>
      </c>
      <c r="B5410" t="s">
        <v>32</v>
      </c>
      <c r="C5410" t="s">
        <v>90</v>
      </c>
      <c r="D5410" t="s">
        <v>91</v>
      </c>
      <c r="G5410" t="s">
        <v>35</v>
      </c>
      <c r="H5410">
        <v>1</v>
      </c>
      <c r="K5410" t="s">
        <v>354</v>
      </c>
      <c r="L5410" t="s">
        <v>355</v>
      </c>
      <c r="M5410" t="s">
        <v>131</v>
      </c>
      <c r="N5410">
        <v>25</v>
      </c>
      <c r="P5410" t="s">
        <v>41</v>
      </c>
      <c r="Q5410" t="s">
        <v>95</v>
      </c>
      <c r="R5410" t="str">
        <f>"7054119"</f>
        <v>7054119</v>
      </c>
      <c r="S5410" t="s">
        <v>804</v>
      </c>
      <c r="T5410" t="s">
        <v>354</v>
      </c>
      <c r="U5410" t="s">
        <v>355</v>
      </c>
      <c r="V5410" t="s">
        <v>131</v>
      </c>
      <c r="W5410" t="s">
        <v>51</v>
      </c>
      <c r="X5410" t="s">
        <v>45</v>
      </c>
      <c r="Y5410" s="1">
        <v>28370</v>
      </c>
      <c r="Z5410">
        <v>1</v>
      </c>
      <c r="AA5410" t="s">
        <v>355</v>
      </c>
      <c r="AB5410" s="40" t="s">
        <v>1799</v>
      </c>
    </row>
    <row r="5411" spans="1:28" x14ac:dyDescent="0.25">
      <c r="A5411">
        <v>99915410</v>
      </c>
      <c r="B5411" t="s">
        <v>32</v>
      </c>
      <c r="C5411" t="s">
        <v>111</v>
      </c>
      <c r="D5411" t="s">
        <v>112</v>
      </c>
      <c r="G5411" t="s">
        <v>48</v>
      </c>
      <c r="H5411">
        <v>1</v>
      </c>
      <c r="K5411" t="s">
        <v>407</v>
      </c>
      <c r="L5411" t="s">
        <v>409</v>
      </c>
      <c r="M5411" t="s">
        <v>131</v>
      </c>
      <c r="N5411">
        <v>25</v>
      </c>
      <c r="P5411" t="s">
        <v>41</v>
      </c>
      <c r="Q5411" t="s">
        <v>75</v>
      </c>
      <c r="R5411" t="str">
        <f>"7053018"</f>
        <v>7053018</v>
      </c>
      <c r="S5411" t="s">
        <v>408</v>
      </c>
      <c r="T5411" t="s">
        <v>407</v>
      </c>
      <c r="U5411" t="s">
        <v>409</v>
      </c>
      <c r="V5411" t="s">
        <v>131</v>
      </c>
      <c r="W5411" t="s">
        <v>51</v>
      </c>
      <c r="X5411" t="s">
        <v>45</v>
      </c>
      <c r="Y5411" s="1">
        <v>28280</v>
      </c>
      <c r="Z5411">
        <v>1</v>
      </c>
      <c r="AA5411" t="s">
        <v>409</v>
      </c>
      <c r="AB5411" s="40" t="s">
        <v>1799</v>
      </c>
    </row>
    <row r="5412" spans="1:28" x14ac:dyDescent="0.25">
      <c r="A5412">
        <v>99915411</v>
      </c>
      <c r="B5412" t="s">
        <v>32</v>
      </c>
      <c r="C5412" t="s">
        <v>111</v>
      </c>
      <c r="D5412" t="s">
        <v>112</v>
      </c>
      <c r="G5412" t="s">
        <v>48</v>
      </c>
      <c r="H5412">
        <v>1</v>
      </c>
      <c r="K5412" t="s">
        <v>407</v>
      </c>
      <c r="L5412" t="s">
        <v>409</v>
      </c>
      <c r="M5412" t="s">
        <v>131</v>
      </c>
      <c r="N5412">
        <v>25</v>
      </c>
      <c r="P5412" t="s">
        <v>41</v>
      </c>
      <c r="Q5412" t="s">
        <v>75</v>
      </c>
      <c r="R5412" t="str">
        <f>"7053018"</f>
        <v>7053018</v>
      </c>
      <c r="S5412" t="s">
        <v>408</v>
      </c>
      <c r="T5412" t="s">
        <v>407</v>
      </c>
      <c r="U5412" t="s">
        <v>409</v>
      </c>
      <c r="V5412" t="s">
        <v>131</v>
      </c>
      <c r="W5412" t="s">
        <v>51</v>
      </c>
      <c r="X5412" t="s">
        <v>45</v>
      </c>
      <c r="Y5412" s="1">
        <v>28263</v>
      </c>
      <c r="Z5412">
        <v>1</v>
      </c>
      <c r="AA5412" t="s">
        <v>409</v>
      </c>
      <c r="AB5412" s="40" t="s">
        <v>1799</v>
      </c>
    </row>
    <row r="5413" spans="1:28" x14ac:dyDescent="0.25">
      <c r="A5413">
        <v>99915412</v>
      </c>
      <c r="B5413" t="s">
        <v>32</v>
      </c>
      <c r="C5413" t="s">
        <v>90</v>
      </c>
      <c r="D5413" t="s">
        <v>91</v>
      </c>
      <c r="G5413" t="s">
        <v>35</v>
      </c>
      <c r="H5413">
        <v>1</v>
      </c>
      <c r="K5413" t="s">
        <v>268</v>
      </c>
      <c r="L5413" t="s">
        <v>269</v>
      </c>
      <c r="M5413" t="s">
        <v>131</v>
      </c>
      <c r="N5413">
        <v>25</v>
      </c>
      <c r="P5413" t="s">
        <v>41</v>
      </c>
      <c r="Q5413" t="s">
        <v>95</v>
      </c>
      <c r="R5413" t="str">
        <f>"7052155"</f>
        <v>7052155</v>
      </c>
      <c r="S5413" t="s">
        <v>677</v>
      </c>
      <c r="T5413" t="s">
        <v>268</v>
      </c>
      <c r="U5413" t="s">
        <v>269</v>
      </c>
      <c r="V5413" t="s">
        <v>131</v>
      </c>
      <c r="W5413" t="s">
        <v>51</v>
      </c>
      <c r="X5413" t="s">
        <v>45</v>
      </c>
      <c r="Y5413" s="1">
        <v>28223</v>
      </c>
      <c r="Z5413">
        <v>1</v>
      </c>
      <c r="AA5413" t="s">
        <v>269</v>
      </c>
      <c r="AB5413" s="40" t="s">
        <v>1799</v>
      </c>
    </row>
    <row r="5414" spans="1:28" x14ac:dyDescent="0.25">
      <c r="A5414">
        <v>99915413</v>
      </c>
      <c r="B5414" t="s">
        <v>32</v>
      </c>
      <c r="C5414" t="s">
        <v>90</v>
      </c>
      <c r="D5414" t="s">
        <v>91</v>
      </c>
      <c r="G5414" t="s">
        <v>48</v>
      </c>
      <c r="H5414">
        <v>1</v>
      </c>
      <c r="K5414" t="s">
        <v>268</v>
      </c>
      <c r="L5414" t="s">
        <v>269</v>
      </c>
      <c r="M5414" t="s">
        <v>131</v>
      </c>
      <c r="N5414">
        <v>25</v>
      </c>
      <c r="P5414" t="s">
        <v>41</v>
      </c>
      <c r="Q5414" t="s">
        <v>95</v>
      </c>
      <c r="R5414" t="str">
        <f>"7052027"</f>
        <v>7052027</v>
      </c>
      <c r="S5414" t="s">
        <v>694</v>
      </c>
      <c r="T5414" t="s">
        <v>268</v>
      </c>
      <c r="U5414" t="s">
        <v>269</v>
      </c>
      <c r="V5414" t="s">
        <v>131</v>
      </c>
      <c r="W5414" t="s">
        <v>51</v>
      </c>
      <c r="X5414" t="s">
        <v>45</v>
      </c>
      <c r="Y5414" s="1">
        <v>28209</v>
      </c>
      <c r="Z5414">
        <v>1</v>
      </c>
      <c r="AA5414" t="s">
        <v>269</v>
      </c>
      <c r="AB5414" s="40" t="s">
        <v>1799</v>
      </c>
    </row>
    <row r="5415" spans="1:28" x14ac:dyDescent="0.25">
      <c r="A5415">
        <v>99915414</v>
      </c>
      <c r="B5415" t="s">
        <v>32</v>
      </c>
      <c r="C5415" t="s">
        <v>90</v>
      </c>
      <c r="D5415" t="s">
        <v>91</v>
      </c>
      <c r="G5415" t="s">
        <v>48</v>
      </c>
      <c r="H5415">
        <v>1</v>
      </c>
      <c r="K5415" t="s">
        <v>354</v>
      </c>
      <c r="L5415" t="s">
        <v>355</v>
      </c>
      <c r="M5415" t="s">
        <v>131</v>
      </c>
      <c r="N5415">
        <v>25</v>
      </c>
      <c r="P5415" t="s">
        <v>41</v>
      </c>
      <c r="Q5415" t="s">
        <v>95</v>
      </c>
      <c r="R5415" t="str">
        <f>"7054135"</f>
        <v>7054135</v>
      </c>
      <c r="S5415" t="s">
        <v>862</v>
      </c>
      <c r="T5415" t="s">
        <v>354</v>
      </c>
      <c r="U5415" t="s">
        <v>355</v>
      </c>
      <c r="V5415" t="s">
        <v>131</v>
      </c>
      <c r="W5415" t="s">
        <v>51</v>
      </c>
      <c r="X5415" t="s">
        <v>45</v>
      </c>
      <c r="Y5415" s="1">
        <v>28187</v>
      </c>
      <c r="Z5415">
        <v>1</v>
      </c>
      <c r="AA5415" t="s">
        <v>355</v>
      </c>
      <c r="AB5415" s="40" t="s">
        <v>1799</v>
      </c>
    </row>
    <row r="5416" spans="1:28" x14ac:dyDescent="0.25">
      <c r="A5416">
        <v>99915415</v>
      </c>
      <c r="B5416" t="s">
        <v>32</v>
      </c>
      <c r="C5416" t="s">
        <v>90</v>
      </c>
      <c r="D5416" t="s">
        <v>91</v>
      </c>
      <c r="G5416" t="s">
        <v>35</v>
      </c>
      <c r="H5416">
        <v>1</v>
      </c>
      <c r="K5416" t="s">
        <v>354</v>
      </c>
      <c r="L5416" t="s">
        <v>355</v>
      </c>
      <c r="M5416" t="s">
        <v>131</v>
      </c>
      <c r="N5416">
        <v>25</v>
      </c>
      <c r="P5416" t="s">
        <v>41</v>
      </c>
      <c r="Q5416" t="s">
        <v>95</v>
      </c>
      <c r="R5416" t="str">
        <f>"7054089"</f>
        <v>7054089</v>
      </c>
      <c r="S5416" t="s">
        <v>808</v>
      </c>
      <c r="T5416" t="s">
        <v>354</v>
      </c>
      <c r="U5416" t="s">
        <v>355</v>
      </c>
      <c r="V5416" t="s">
        <v>131</v>
      </c>
      <c r="W5416" t="s">
        <v>51</v>
      </c>
      <c r="X5416" t="s">
        <v>45</v>
      </c>
      <c r="Y5416" s="1">
        <v>28018</v>
      </c>
      <c r="Z5416">
        <v>1</v>
      </c>
      <c r="AA5416" t="s">
        <v>355</v>
      </c>
      <c r="AB5416" s="40" t="s">
        <v>1799</v>
      </c>
    </row>
    <row r="5417" spans="1:28" x14ac:dyDescent="0.25">
      <c r="A5417">
        <v>99915416</v>
      </c>
      <c r="B5417" t="s">
        <v>32</v>
      </c>
      <c r="C5417" t="s">
        <v>90</v>
      </c>
      <c r="D5417" t="s">
        <v>91</v>
      </c>
      <c r="G5417" t="s">
        <v>35</v>
      </c>
      <c r="H5417">
        <v>1</v>
      </c>
      <c r="K5417" t="s">
        <v>1341</v>
      </c>
      <c r="L5417" t="s">
        <v>1342</v>
      </c>
      <c r="M5417" t="s">
        <v>1270</v>
      </c>
      <c r="N5417">
        <v>25</v>
      </c>
      <c r="P5417" t="s">
        <v>41</v>
      </c>
      <c r="Q5417" t="s">
        <v>95</v>
      </c>
      <c r="R5417" t="str">
        <f>"7191085"</f>
        <v>7191085</v>
      </c>
      <c r="S5417" t="s">
        <v>1389</v>
      </c>
      <c r="T5417" t="s">
        <v>1341</v>
      </c>
      <c r="U5417" t="s">
        <v>1342</v>
      </c>
      <c r="V5417" t="s">
        <v>1270</v>
      </c>
      <c r="W5417" t="s">
        <v>165</v>
      </c>
      <c r="X5417" t="s">
        <v>45</v>
      </c>
      <c r="Y5417" s="1">
        <v>27898</v>
      </c>
      <c r="Z5417">
        <v>1</v>
      </c>
      <c r="AA5417" t="s">
        <v>1342</v>
      </c>
      <c r="AB5417" s="40" t="s">
        <v>1799</v>
      </c>
    </row>
    <row r="5418" spans="1:28" x14ac:dyDescent="0.25">
      <c r="A5418">
        <v>99915417</v>
      </c>
      <c r="B5418" t="s">
        <v>32</v>
      </c>
      <c r="C5418" t="s">
        <v>90</v>
      </c>
      <c r="D5418" t="s">
        <v>91</v>
      </c>
      <c r="G5418" t="s">
        <v>88</v>
      </c>
      <c r="H5418">
        <v>3</v>
      </c>
      <c r="K5418" t="s">
        <v>354</v>
      </c>
      <c r="L5418" t="s">
        <v>355</v>
      </c>
      <c r="M5418" t="s">
        <v>131</v>
      </c>
      <c r="N5418">
        <v>25</v>
      </c>
      <c r="P5418" t="s">
        <v>41</v>
      </c>
      <c r="Q5418" t="s">
        <v>95</v>
      </c>
      <c r="R5418" t="str">
        <f>"7054151"</f>
        <v>7054151</v>
      </c>
      <c r="S5418" t="s">
        <v>796</v>
      </c>
      <c r="T5418" t="s">
        <v>354</v>
      </c>
      <c r="U5418" t="s">
        <v>355</v>
      </c>
      <c r="V5418" t="s">
        <v>131</v>
      </c>
      <c r="W5418" t="s">
        <v>51</v>
      </c>
      <c r="X5418" t="s">
        <v>45</v>
      </c>
      <c r="Y5418" s="1">
        <v>27803</v>
      </c>
      <c r="Z5418">
        <v>1</v>
      </c>
      <c r="AA5418" t="s">
        <v>355</v>
      </c>
      <c r="AB5418" s="40" t="s">
        <v>1799</v>
      </c>
    </row>
    <row r="5419" spans="1:28" x14ac:dyDescent="0.25">
      <c r="A5419">
        <v>99915418</v>
      </c>
      <c r="B5419" t="s">
        <v>32</v>
      </c>
      <c r="C5419" t="s">
        <v>90</v>
      </c>
      <c r="D5419" t="s">
        <v>91</v>
      </c>
      <c r="G5419" t="s">
        <v>35</v>
      </c>
      <c r="H5419">
        <v>1</v>
      </c>
      <c r="I5419">
        <v>10031</v>
      </c>
      <c r="J5419" s="1">
        <v>43344</v>
      </c>
      <c r="K5419" t="s">
        <v>354</v>
      </c>
      <c r="L5419" t="s">
        <v>355</v>
      </c>
      <c r="M5419" t="s">
        <v>131</v>
      </c>
      <c r="N5419">
        <v>25</v>
      </c>
      <c r="O5419" s="1">
        <v>43344</v>
      </c>
      <c r="P5419" t="s">
        <v>41</v>
      </c>
      <c r="Q5419" t="s">
        <v>95</v>
      </c>
      <c r="R5419" t="str">
        <f>"7054001"</f>
        <v>7054001</v>
      </c>
      <c r="S5419" t="s">
        <v>835</v>
      </c>
      <c r="T5419" t="s">
        <v>354</v>
      </c>
      <c r="U5419" t="s">
        <v>355</v>
      </c>
      <c r="V5419" t="s">
        <v>131</v>
      </c>
      <c r="W5419" t="s">
        <v>51</v>
      </c>
      <c r="X5419" t="s">
        <v>45</v>
      </c>
      <c r="Y5419" s="1">
        <v>27726</v>
      </c>
      <c r="Z5419">
        <v>1</v>
      </c>
      <c r="AA5419" t="s">
        <v>355</v>
      </c>
      <c r="AB5419" s="40" t="s">
        <v>1799</v>
      </c>
    </row>
    <row r="5420" spans="1:28" x14ac:dyDescent="0.25">
      <c r="A5420">
        <v>99915419</v>
      </c>
      <c r="B5420" t="s">
        <v>32</v>
      </c>
      <c r="C5420" t="s">
        <v>90</v>
      </c>
      <c r="D5420" t="s">
        <v>91</v>
      </c>
      <c r="G5420" t="s">
        <v>35</v>
      </c>
      <c r="H5420">
        <v>1</v>
      </c>
      <c r="I5420">
        <v>10328</v>
      </c>
      <c r="J5420" s="1">
        <v>43361</v>
      </c>
      <c r="K5420" t="s">
        <v>354</v>
      </c>
      <c r="L5420" t="s">
        <v>355</v>
      </c>
      <c r="M5420" t="s">
        <v>131</v>
      </c>
      <c r="N5420">
        <v>25</v>
      </c>
      <c r="O5420" s="1">
        <v>43361</v>
      </c>
      <c r="P5420" t="s">
        <v>41</v>
      </c>
      <c r="Q5420" t="s">
        <v>95</v>
      </c>
      <c r="R5420" t="str">
        <f>"7054011"</f>
        <v>7054011</v>
      </c>
      <c r="S5420" t="s">
        <v>780</v>
      </c>
      <c r="T5420" t="s">
        <v>354</v>
      </c>
      <c r="U5420" t="s">
        <v>355</v>
      </c>
      <c r="V5420" t="s">
        <v>131</v>
      </c>
      <c r="W5420" t="s">
        <v>55</v>
      </c>
      <c r="X5420" t="s">
        <v>45</v>
      </c>
      <c r="Y5420" s="1">
        <v>27619</v>
      </c>
      <c r="Z5420">
        <v>1</v>
      </c>
      <c r="AA5420" t="s">
        <v>355</v>
      </c>
      <c r="AB5420" s="40" t="s">
        <v>1799</v>
      </c>
    </row>
    <row r="5421" spans="1:28" x14ac:dyDescent="0.25">
      <c r="A5421">
        <v>99915420</v>
      </c>
      <c r="B5421" t="s">
        <v>32</v>
      </c>
      <c r="C5421" t="s">
        <v>90</v>
      </c>
      <c r="D5421" t="s">
        <v>91</v>
      </c>
      <c r="G5421" t="s">
        <v>48</v>
      </c>
      <c r="H5421">
        <v>1</v>
      </c>
      <c r="K5421" t="s">
        <v>154</v>
      </c>
      <c r="L5421" t="s">
        <v>155</v>
      </c>
      <c r="M5421" t="s">
        <v>131</v>
      </c>
      <c r="N5421">
        <v>25</v>
      </c>
      <c r="P5421" t="s">
        <v>41</v>
      </c>
      <c r="Q5421" t="s">
        <v>95</v>
      </c>
      <c r="R5421" t="str">
        <f>"7051011"</f>
        <v>7051011</v>
      </c>
      <c r="S5421" t="s">
        <v>428</v>
      </c>
      <c r="T5421" t="s">
        <v>154</v>
      </c>
      <c r="U5421" t="s">
        <v>155</v>
      </c>
      <c r="V5421" t="s">
        <v>131</v>
      </c>
      <c r="W5421" t="s">
        <v>51</v>
      </c>
      <c r="X5421" t="s">
        <v>45</v>
      </c>
      <c r="Y5421" s="1">
        <v>27577</v>
      </c>
      <c r="Z5421">
        <v>1</v>
      </c>
      <c r="AA5421" t="s">
        <v>155</v>
      </c>
      <c r="AB5421" s="40" t="s">
        <v>1799</v>
      </c>
    </row>
    <row r="5422" spans="1:28" x14ac:dyDescent="0.25">
      <c r="A5422">
        <v>99915421</v>
      </c>
      <c r="B5422" t="s">
        <v>32</v>
      </c>
      <c r="C5422" t="s">
        <v>46</v>
      </c>
      <c r="D5422" t="s">
        <v>47</v>
      </c>
      <c r="G5422" t="s">
        <v>35</v>
      </c>
      <c r="H5422">
        <v>1</v>
      </c>
      <c r="K5422" t="s">
        <v>300</v>
      </c>
      <c r="L5422" t="s">
        <v>301</v>
      </c>
      <c r="M5422" t="s">
        <v>131</v>
      </c>
      <c r="N5422">
        <v>25</v>
      </c>
      <c r="P5422" t="s">
        <v>41</v>
      </c>
      <c r="Q5422" t="s">
        <v>42</v>
      </c>
      <c r="R5422" t="str">
        <f>"0580457"</f>
        <v>0580457</v>
      </c>
      <c r="S5422" t="s">
        <v>310</v>
      </c>
      <c r="T5422" t="s">
        <v>300</v>
      </c>
      <c r="U5422" t="s">
        <v>301</v>
      </c>
      <c r="V5422" t="s">
        <v>131</v>
      </c>
      <c r="W5422" t="s">
        <v>51</v>
      </c>
      <c r="X5422" t="s">
        <v>45</v>
      </c>
      <c r="Y5422" s="1">
        <v>27515</v>
      </c>
      <c r="Z5422">
        <v>2</v>
      </c>
      <c r="AA5422" t="s">
        <v>301</v>
      </c>
      <c r="AB5422" s="40" t="s">
        <v>1799</v>
      </c>
    </row>
    <row r="5423" spans="1:28" x14ac:dyDescent="0.25">
      <c r="A5423">
        <v>99915422</v>
      </c>
      <c r="B5423" t="s">
        <v>32</v>
      </c>
      <c r="C5423" t="s">
        <v>90</v>
      </c>
      <c r="D5423" t="s">
        <v>91</v>
      </c>
      <c r="G5423" t="s">
        <v>35</v>
      </c>
      <c r="H5423">
        <v>1</v>
      </c>
      <c r="I5423" t="s">
        <v>561</v>
      </c>
      <c r="J5423" s="1">
        <v>42614</v>
      </c>
      <c r="K5423" t="s">
        <v>431</v>
      </c>
      <c r="L5423" t="s">
        <v>196</v>
      </c>
      <c r="M5423" t="s">
        <v>131</v>
      </c>
      <c r="N5423">
        <v>25</v>
      </c>
      <c r="O5423" s="1">
        <v>42614</v>
      </c>
      <c r="P5423" t="s">
        <v>41</v>
      </c>
      <c r="Q5423" t="s">
        <v>95</v>
      </c>
      <c r="R5423" t="str">
        <f>"7521145"</f>
        <v>7521145</v>
      </c>
      <c r="S5423" t="s">
        <v>460</v>
      </c>
      <c r="T5423" t="s">
        <v>431</v>
      </c>
      <c r="U5423" t="s">
        <v>196</v>
      </c>
      <c r="V5423" t="s">
        <v>131</v>
      </c>
      <c r="W5423" t="s">
        <v>51</v>
      </c>
      <c r="X5423" t="s">
        <v>45</v>
      </c>
      <c r="Y5423" s="1">
        <v>27446</v>
      </c>
      <c r="Z5423">
        <v>1</v>
      </c>
      <c r="AA5423" t="s">
        <v>196</v>
      </c>
      <c r="AB5423" s="40" t="s">
        <v>1799</v>
      </c>
    </row>
    <row r="5424" spans="1:28" x14ac:dyDescent="0.25">
      <c r="A5424">
        <v>99915423</v>
      </c>
      <c r="B5424" t="s">
        <v>32</v>
      </c>
      <c r="C5424" t="s">
        <v>90</v>
      </c>
      <c r="D5424" t="s">
        <v>91</v>
      </c>
      <c r="G5424" t="s">
        <v>48</v>
      </c>
      <c r="H5424">
        <v>1</v>
      </c>
      <c r="K5424" t="s">
        <v>1043</v>
      </c>
      <c r="L5424" t="s">
        <v>1044</v>
      </c>
      <c r="M5424" t="s">
        <v>1041</v>
      </c>
      <c r="N5424">
        <v>25</v>
      </c>
      <c r="P5424" t="s">
        <v>41</v>
      </c>
      <c r="Q5424" t="s">
        <v>95</v>
      </c>
      <c r="R5424" t="str">
        <f>"7271013"</f>
        <v>7271013</v>
      </c>
      <c r="S5424" t="s">
        <v>1048</v>
      </c>
      <c r="T5424" t="s">
        <v>1043</v>
      </c>
      <c r="U5424" t="s">
        <v>1044</v>
      </c>
      <c r="V5424" t="s">
        <v>1041</v>
      </c>
      <c r="W5424" t="s">
        <v>51</v>
      </c>
      <c r="X5424" t="s">
        <v>45</v>
      </c>
      <c r="Y5424" s="1">
        <v>27421</v>
      </c>
      <c r="Z5424">
        <v>1</v>
      </c>
      <c r="AA5424" t="s">
        <v>1044</v>
      </c>
      <c r="AB5424" s="40" t="s">
        <v>1799</v>
      </c>
    </row>
    <row r="5425" spans="1:28" x14ac:dyDescent="0.25">
      <c r="A5425">
        <v>99915424</v>
      </c>
      <c r="B5425" t="s">
        <v>32</v>
      </c>
      <c r="C5425" t="s">
        <v>90</v>
      </c>
      <c r="D5425" t="s">
        <v>91</v>
      </c>
      <c r="G5425" t="s">
        <v>35</v>
      </c>
      <c r="H5425">
        <v>1</v>
      </c>
      <c r="K5425" t="s">
        <v>154</v>
      </c>
      <c r="L5425" t="s">
        <v>155</v>
      </c>
      <c r="M5425" t="s">
        <v>131</v>
      </c>
      <c r="N5425">
        <v>25</v>
      </c>
      <c r="P5425" t="s">
        <v>41</v>
      </c>
      <c r="Q5425" t="s">
        <v>95</v>
      </c>
      <c r="R5425" t="str">
        <f>"7051027"</f>
        <v>7051027</v>
      </c>
      <c r="S5425" t="s">
        <v>413</v>
      </c>
      <c r="T5425" t="s">
        <v>154</v>
      </c>
      <c r="U5425" t="s">
        <v>155</v>
      </c>
      <c r="V5425" t="s">
        <v>131</v>
      </c>
      <c r="W5425" t="s">
        <v>51</v>
      </c>
      <c r="X5425" t="s">
        <v>45</v>
      </c>
      <c r="Y5425" s="1">
        <v>27414</v>
      </c>
      <c r="Z5425">
        <v>1</v>
      </c>
      <c r="AA5425" t="s">
        <v>155</v>
      </c>
      <c r="AB5425" s="40" t="s">
        <v>1799</v>
      </c>
    </row>
    <row r="5426" spans="1:28" x14ac:dyDescent="0.25">
      <c r="A5426">
        <v>99915425</v>
      </c>
      <c r="B5426" t="s">
        <v>32</v>
      </c>
      <c r="C5426" t="s">
        <v>90</v>
      </c>
      <c r="D5426" t="s">
        <v>91</v>
      </c>
      <c r="G5426" t="s">
        <v>35</v>
      </c>
      <c r="H5426">
        <v>4</v>
      </c>
      <c r="K5426" t="s">
        <v>1221</v>
      </c>
      <c r="L5426" t="s">
        <v>1222</v>
      </c>
      <c r="M5426" t="s">
        <v>1130</v>
      </c>
      <c r="N5426">
        <v>25</v>
      </c>
      <c r="P5426" t="s">
        <v>41</v>
      </c>
      <c r="Q5426" t="s">
        <v>95</v>
      </c>
      <c r="R5426" t="str">
        <f>"7351017"</f>
        <v>7351017</v>
      </c>
      <c r="S5426" t="s">
        <v>1237</v>
      </c>
      <c r="T5426" t="s">
        <v>1221</v>
      </c>
      <c r="U5426" t="s">
        <v>1222</v>
      </c>
      <c r="V5426" t="s">
        <v>1130</v>
      </c>
      <c r="W5426" t="s">
        <v>51</v>
      </c>
      <c r="X5426" t="s">
        <v>45</v>
      </c>
      <c r="Y5426" s="1">
        <v>27395</v>
      </c>
      <c r="Z5426">
        <v>1</v>
      </c>
      <c r="AA5426" t="s">
        <v>1222</v>
      </c>
      <c r="AB5426" s="40" t="s">
        <v>1799</v>
      </c>
    </row>
    <row r="5427" spans="1:28" x14ac:dyDescent="0.25">
      <c r="A5427">
        <v>99915426</v>
      </c>
      <c r="B5427" t="s">
        <v>32</v>
      </c>
      <c r="C5427" t="s">
        <v>46</v>
      </c>
      <c r="D5427" t="s">
        <v>47</v>
      </c>
      <c r="G5427" t="s">
        <v>48</v>
      </c>
      <c r="H5427">
        <v>1</v>
      </c>
      <c r="K5427" t="s">
        <v>345</v>
      </c>
      <c r="L5427" t="s">
        <v>346</v>
      </c>
      <c r="M5427" t="s">
        <v>131</v>
      </c>
      <c r="N5427">
        <v>25</v>
      </c>
      <c r="P5427" t="s">
        <v>41</v>
      </c>
      <c r="Q5427" t="s">
        <v>42</v>
      </c>
      <c r="R5427" t="str">
        <f>"0580931"</f>
        <v>0580931</v>
      </c>
      <c r="S5427" t="s">
        <v>369</v>
      </c>
      <c r="T5427" t="s">
        <v>345</v>
      </c>
      <c r="U5427" t="s">
        <v>346</v>
      </c>
      <c r="V5427" t="s">
        <v>131</v>
      </c>
      <c r="W5427" t="s">
        <v>51</v>
      </c>
      <c r="X5427" t="s">
        <v>45</v>
      </c>
      <c r="Y5427" s="1">
        <v>27342</v>
      </c>
      <c r="Z5427">
        <v>2</v>
      </c>
      <c r="AA5427" t="s">
        <v>346</v>
      </c>
      <c r="AB5427" s="40" t="s">
        <v>1799</v>
      </c>
    </row>
    <row r="5428" spans="1:28" x14ac:dyDescent="0.25">
      <c r="A5428">
        <v>99915427</v>
      </c>
      <c r="B5428" t="s">
        <v>32</v>
      </c>
      <c r="C5428" t="s">
        <v>90</v>
      </c>
      <c r="D5428" t="s">
        <v>91</v>
      </c>
      <c r="G5428" t="s">
        <v>48</v>
      </c>
      <c r="H5428">
        <v>1</v>
      </c>
      <c r="K5428" t="s">
        <v>1725</v>
      </c>
      <c r="L5428" t="s">
        <v>1726</v>
      </c>
      <c r="M5428" t="s">
        <v>1705</v>
      </c>
      <c r="N5428">
        <v>25</v>
      </c>
      <c r="P5428" t="s">
        <v>41</v>
      </c>
      <c r="Q5428" t="s">
        <v>95</v>
      </c>
      <c r="R5428" t="str">
        <f>"7461007"</f>
        <v>7461007</v>
      </c>
      <c r="S5428" t="s">
        <v>1739</v>
      </c>
      <c r="T5428" t="s">
        <v>1725</v>
      </c>
      <c r="U5428" t="s">
        <v>1726</v>
      </c>
      <c r="V5428" t="s">
        <v>1705</v>
      </c>
      <c r="W5428" t="s">
        <v>51</v>
      </c>
      <c r="X5428" t="s">
        <v>45</v>
      </c>
      <c r="Y5428" s="1">
        <v>27338</v>
      </c>
      <c r="Z5428">
        <v>1</v>
      </c>
      <c r="AA5428" t="s">
        <v>1726</v>
      </c>
      <c r="AB5428" s="40" t="s">
        <v>1799</v>
      </c>
    </row>
    <row r="5429" spans="1:28" x14ac:dyDescent="0.25">
      <c r="A5429">
        <v>99915428</v>
      </c>
      <c r="B5429" t="s">
        <v>32</v>
      </c>
      <c r="C5429" t="s">
        <v>90</v>
      </c>
      <c r="D5429" t="s">
        <v>91</v>
      </c>
      <c r="G5429" t="s">
        <v>48</v>
      </c>
      <c r="H5429">
        <v>1</v>
      </c>
      <c r="K5429" t="s">
        <v>1341</v>
      </c>
      <c r="L5429" t="s">
        <v>1342</v>
      </c>
      <c r="M5429" t="s">
        <v>1270</v>
      </c>
      <c r="N5429">
        <v>25</v>
      </c>
      <c r="P5429" t="s">
        <v>41</v>
      </c>
      <c r="Q5429" t="s">
        <v>95</v>
      </c>
      <c r="R5429" t="str">
        <f>"7191049"</f>
        <v>7191049</v>
      </c>
      <c r="S5429" t="s">
        <v>1413</v>
      </c>
      <c r="T5429" t="s">
        <v>1341</v>
      </c>
      <c r="U5429" t="s">
        <v>1342</v>
      </c>
      <c r="V5429" t="s">
        <v>1270</v>
      </c>
      <c r="W5429" t="s">
        <v>51</v>
      </c>
      <c r="X5429" t="s">
        <v>45</v>
      </c>
      <c r="Y5429" s="1">
        <v>27277</v>
      </c>
      <c r="Z5429">
        <v>1</v>
      </c>
      <c r="AA5429" t="s">
        <v>1342</v>
      </c>
      <c r="AB5429" s="40" t="s">
        <v>1799</v>
      </c>
    </row>
    <row r="5430" spans="1:28" x14ac:dyDescent="0.25">
      <c r="A5430">
        <v>99915429</v>
      </c>
      <c r="B5430" t="s">
        <v>32</v>
      </c>
      <c r="C5430" t="s">
        <v>90</v>
      </c>
      <c r="D5430" t="s">
        <v>91</v>
      </c>
      <c r="G5430" t="s">
        <v>35</v>
      </c>
      <c r="H5430">
        <v>2</v>
      </c>
      <c r="I5430" t="s">
        <v>1445</v>
      </c>
      <c r="J5430" s="1">
        <v>43346</v>
      </c>
      <c r="K5430" t="s">
        <v>1426</v>
      </c>
      <c r="L5430" t="s">
        <v>1427</v>
      </c>
      <c r="M5430" t="s">
        <v>1270</v>
      </c>
      <c r="N5430">
        <v>25</v>
      </c>
      <c r="O5430" s="1">
        <v>43346</v>
      </c>
      <c r="P5430" t="s">
        <v>41</v>
      </c>
      <c r="Q5430" t="s">
        <v>95</v>
      </c>
      <c r="R5430" t="str">
        <f>"7192053"</f>
        <v>7192053</v>
      </c>
      <c r="S5430" t="s">
        <v>1446</v>
      </c>
      <c r="T5430" t="s">
        <v>1426</v>
      </c>
      <c r="U5430" t="s">
        <v>1427</v>
      </c>
      <c r="V5430" t="s">
        <v>1270</v>
      </c>
      <c r="W5430" t="s">
        <v>51</v>
      </c>
      <c r="X5430" t="s">
        <v>45</v>
      </c>
      <c r="Y5430" s="1">
        <v>27230</v>
      </c>
      <c r="Z5430">
        <v>1</v>
      </c>
      <c r="AA5430" t="s">
        <v>1427</v>
      </c>
      <c r="AB5430" s="40" t="s">
        <v>1799</v>
      </c>
    </row>
    <row r="5431" spans="1:28" x14ac:dyDescent="0.25">
      <c r="A5431">
        <v>99915430</v>
      </c>
      <c r="B5431" t="s">
        <v>32</v>
      </c>
      <c r="C5431" t="s">
        <v>90</v>
      </c>
      <c r="D5431" t="s">
        <v>91</v>
      </c>
      <c r="G5431" t="s">
        <v>35</v>
      </c>
      <c r="H5431">
        <v>2</v>
      </c>
      <c r="K5431" t="s">
        <v>1426</v>
      </c>
      <c r="L5431" t="s">
        <v>1427</v>
      </c>
      <c r="M5431" t="s">
        <v>1270</v>
      </c>
      <c r="N5431">
        <v>25</v>
      </c>
      <c r="P5431" t="s">
        <v>41</v>
      </c>
      <c r="Q5431" t="s">
        <v>95</v>
      </c>
      <c r="R5431" t="str">
        <f>"7192033"</f>
        <v>7192033</v>
      </c>
      <c r="S5431" t="s">
        <v>1448</v>
      </c>
      <c r="T5431" t="s">
        <v>1426</v>
      </c>
      <c r="U5431" t="s">
        <v>1427</v>
      </c>
      <c r="V5431" t="s">
        <v>1270</v>
      </c>
      <c r="W5431" t="s">
        <v>51</v>
      </c>
      <c r="X5431" t="s">
        <v>45</v>
      </c>
      <c r="Y5431" s="1">
        <v>27197</v>
      </c>
      <c r="Z5431">
        <v>1</v>
      </c>
      <c r="AA5431" t="s">
        <v>1427</v>
      </c>
      <c r="AB5431" s="40" t="s">
        <v>1799</v>
      </c>
    </row>
    <row r="5432" spans="1:28" x14ac:dyDescent="0.25">
      <c r="A5432">
        <v>99915431</v>
      </c>
      <c r="B5432" t="s">
        <v>32</v>
      </c>
      <c r="C5432" t="s">
        <v>90</v>
      </c>
      <c r="D5432" t="s">
        <v>91</v>
      </c>
      <c r="G5432" t="s">
        <v>35</v>
      </c>
      <c r="H5432">
        <v>1</v>
      </c>
      <c r="K5432" t="s">
        <v>1081</v>
      </c>
      <c r="L5432" t="s">
        <v>1082</v>
      </c>
      <c r="M5432" t="s">
        <v>1053</v>
      </c>
      <c r="N5432">
        <v>25</v>
      </c>
      <c r="P5432" t="s">
        <v>41</v>
      </c>
      <c r="Q5432" t="s">
        <v>95</v>
      </c>
      <c r="R5432" t="str">
        <f>"7201011"</f>
        <v>7201011</v>
      </c>
      <c r="S5432" t="s">
        <v>1086</v>
      </c>
      <c r="T5432" t="s">
        <v>1081</v>
      </c>
      <c r="U5432" t="s">
        <v>1082</v>
      </c>
      <c r="V5432" t="s">
        <v>1053</v>
      </c>
      <c r="W5432" t="s">
        <v>51</v>
      </c>
      <c r="X5432" t="s">
        <v>45</v>
      </c>
      <c r="Y5432" s="1">
        <v>27124</v>
      </c>
      <c r="Z5432">
        <v>1</v>
      </c>
      <c r="AA5432" t="s">
        <v>1082</v>
      </c>
      <c r="AB5432" s="40" t="s">
        <v>1799</v>
      </c>
    </row>
    <row r="5433" spans="1:28" x14ac:dyDescent="0.25">
      <c r="A5433">
        <v>99915432</v>
      </c>
      <c r="B5433" t="s">
        <v>32</v>
      </c>
      <c r="C5433" t="s">
        <v>90</v>
      </c>
      <c r="D5433" t="s">
        <v>91</v>
      </c>
      <c r="G5433" t="s">
        <v>35</v>
      </c>
      <c r="H5433">
        <v>1</v>
      </c>
      <c r="I5433">
        <v>10601</v>
      </c>
      <c r="J5433" s="1">
        <v>43344</v>
      </c>
      <c r="K5433" t="s">
        <v>354</v>
      </c>
      <c r="L5433" t="s">
        <v>355</v>
      </c>
      <c r="M5433" t="s">
        <v>131</v>
      </c>
      <c r="N5433">
        <v>25</v>
      </c>
      <c r="O5433" s="1">
        <v>43344</v>
      </c>
      <c r="P5433" t="s">
        <v>41</v>
      </c>
      <c r="Q5433" t="s">
        <v>95</v>
      </c>
      <c r="R5433" t="str">
        <f>"7054173"</f>
        <v>7054173</v>
      </c>
      <c r="S5433" t="s">
        <v>791</v>
      </c>
      <c r="T5433" t="s">
        <v>354</v>
      </c>
      <c r="U5433" t="s">
        <v>355</v>
      </c>
      <c r="V5433" t="s">
        <v>131</v>
      </c>
      <c r="W5433" t="s">
        <v>51</v>
      </c>
      <c r="X5433" t="s">
        <v>45</v>
      </c>
      <c r="Y5433" s="1">
        <v>27052</v>
      </c>
      <c r="Z5433">
        <v>1</v>
      </c>
      <c r="AA5433" t="s">
        <v>355</v>
      </c>
      <c r="AB5433" s="40" t="s">
        <v>1799</v>
      </c>
    </row>
    <row r="5434" spans="1:28" x14ac:dyDescent="0.25">
      <c r="A5434">
        <v>99915433</v>
      </c>
      <c r="B5434" t="s">
        <v>32</v>
      </c>
      <c r="C5434" t="s">
        <v>90</v>
      </c>
      <c r="D5434" t="s">
        <v>91</v>
      </c>
      <c r="G5434" t="s">
        <v>35</v>
      </c>
      <c r="H5434">
        <v>1</v>
      </c>
      <c r="I5434">
        <v>2075</v>
      </c>
      <c r="J5434" s="1">
        <v>43344</v>
      </c>
      <c r="K5434" t="s">
        <v>354</v>
      </c>
      <c r="L5434" t="s">
        <v>355</v>
      </c>
      <c r="M5434" t="s">
        <v>131</v>
      </c>
      <c r="N5434">
        <v>25</v>
      </c>
      <c r="O5434" s="1">
        <v>43344</v>
      </c>
      <c r="P5434" t="s">
        <v>41</v>
      </c>
      <c r="Q5434" t="s">
        <v>95</v>
      </c>
      <c r="R5434" t="str">
        <f>"7054003"</f>
        <v>7054003</v>
      </c>
      <c r="S5434" t="s">
        <v>843</v>
      </c>
      <c r="T5434" t="s">
        <v>354</v>
      </c>
      <c r="U5434" t="s">
        <v>355</v>
      </c>
      <c r="V5434" t="s">
        <v>131</v>
      </c>
      <c r="W5434" t="s">
        <v>51</v>
      </c>
      <c r="X5434" t="s">
        <v>45</v>
      </c>
      <c r="Y5434" s="1">
        <v>27037</v>
      </c>
      <c r="Z5434">
        <v>1</v>
      </c>
      <c r="AA5434" t="s">
        <v>355</v>
      </c>
      <c r="AB5434" s="40" t="s">
        <v>1799</v>
      </c>
    </row>
    <row r="5435" spans="1:28" x14ac:dyDescent="0.25">
      <c r="A5435">
        <v>99915434</v>
      </c>
      <c r="B5435" t="s">
        <v>32</v>
      </c>
      <c r="C5435" t="s">
        <v>90</v>
      </c>
      <c r="D5435" t="s">
        <v>91</v>
      </c>
      <c r="G5435" t="s">
        <v>48</v>
      </c>
      <c r="H5435">
        <v>1</v>
      </c>
      <c r="K5435" t="s">
        <v>1341</v>
      </c>
      <c r="L5435" t="s">
        <v>1342</v>
      </c>
      <c r="M5435" t="s">
        <v>1270</v>
      </c>
      <c r="N5435">
        <v>25</v>
      </c>
      <c r="P5435" t="s">
        <v>41</v>
      </c>
      <c r="Q5435" t="s">
        <v>95</v>
      </c>
      <c r="R5435" t="str">
        <f>"7191013"</f>
        <v>7191013</v>
      </c>
      <c r="S5435" t="s">
        <v>1358</v>
      </c>
      <c r="T5435" t="s">
        <v>1341</v>
      </c>
      <c r="U5435" t="s">
        <v>1342</v>
      </c>
      <c r="V5435" t="s">
        <v>1270</v>
      </c>
      <c r="W5435" t="s">
        <v>51</v>
      </c>
      <c r="X5435" t="s">
        <v>45</v>
      </c>
      <c r="Y5435" s="1">
        <v>27030</v>
      </c>
      <c r="Z5435">
        <v>1</v>
      </c>
      <c r="AA5435" t="s">
        <v>1342</v>
      </c>
      <c r="AB5435" s="40" t="s">
        <v>1799</v>
      </c>
    </row>
    <row r="5436" spans="1:28" x14ac:dyDescent="0.25">
      <c r="A5436">
        <v>99915435</v>
      </c>
      <c r="B5436" t="s">
        <v>32</v>
      </c>
      <c r="C5436" t="s">
        <v>90</v>
      </c>
      <c r="D5436" t="s">
        <v>91</v>
      </c>
      <c r="G5436" t="s">
        <v>48</v>
      </c>
      <c r="H5436">
        <v>5</v>
      </c>
      <c r="I5436">
        <v>11273</v>
      </c>
      <c r="J5436" s="1">
        <v>42979</v>
      </c>
      <c r="K5436" t="s">
        <v>1426</v>
      </c>
      <c r="L5436" t="s">
        <v>1427</v>
      </c>
      <c r="M5436" t="s">
        <v>1270</v>
      </c>
      <c r="N5436">
        <v>25</v>
      </c>
      <c r="O5436" s="1">
        <v>42979</v>
      </c>
      <c r="P5436" t="s">
        <v>41</v>
      </c>
      <c r="Q5436" t="s">
        <v>95</v>
      </c>
      <c r="R5436" t="str">
        <f>"7192013"</f>
        <v>7192013</v>
      </c>
      <c r="S5436" t="s">
        <v>1447</v>
      </c>
      <c r="T5436" t="s">
        <v>1426</v>
      </c>
      <c r="U5436" t="s">
        <v>1427</v>
      </c>
      <c r="V5436" t="s">
        <v>1270</v>
      </c>
      <c r="W5436" t="s">
        <v>44</v>
      </c>
      <c r="X5436" t="s">
        <v>45</v>
      </c>
      <c r="Y5436" s="1">
        <v>27030</v>
      </c>
      <c r="Z5436">
        <v>1</v>
      </c>
      <c r="AA5436" t="s">
        <v>1427</v>
      </c>
      <c r="AB5436" s="40" t="s">
        <v>1799</v>
      </c>
    </row>
    <row r="5437" spans="1:28" x14ac:dyDescent="0.25">
      <c r="A5437">
        <v>99915436</v>
      </c>
      <c r="B5437" t="s">
        <v>32</v>
      </c>
      <c r="C5437" t="s">
        <v>90</v>
      </c>
      <c r="D5437" t="s">
        <v>91</v>
      </c>
      <c r="G5437" t="s">
        <v>48</v>
      </c>
      <c r="H5437">
        <v>4</v>
      </c>
      <c r="I5437" t="s">
        <v>1015</v>
      </c>
      <c r="J5437" s="1">
        <v>43344</v>
      </c>
      <c r="K5437" t="s">
        <v>963</v>
      </c>
      <c r="L5437" t="s">
        <v>964</v>
      </c>
      <c r="M5437" t="s">
        <v>938</v>
      </c>
      <c r="N5437">
        <v>25</v>
      </c>
      <c r="O5437" s="1">
        <v>43344</v>
      </c>
      <c r="P5437" t="s">
        <v>41</v>
      </c>
      <c r="Q5437" t="s">
        <v>95</v>
      </c>
      <c r="R5437" t="str">
        <f>"7061015"</f>
        <v>7061015</v>
      </c>
      <c r="S5437" t="s">
        <v>1016</v>
      </c>
      <c r="T5437" t="s">
        <v>963</v>
      </c>
      <c r="U5437" t="s">
        <v>964</v>
      </c>
      <c r="V5437" t="s">
        <v>938</v>
      </c>
      <c r="W5437" t="s">
        <v>51</v>
      </c>
      <c r="X5437" t="s">
        <v>45</v>
      </c>
      <c r="Y5437" s="1">
        <v>26986</v>
      </c>
      <c r="Z5437">
        <v>1</v>
      </c>
      <c r="AA5437" t="s">
        <v>964</v>
      </c>
      <c r="AB5437" s="40" t="s">
        <v>1799</v>
      </c>
    </row>
    <row r="5438" spans="1:28" x14ac:dyDescent="0.25">
      <c r="A5438">
        <v>99915437</v>
      </c>
      <c r="B5438" t="s">
        <v>32</v>
      </c>
      <c r="C5438" t="s">
        <v>90</v>
      </c>
      <c r="D5438" t="s">
        <v>91</v>
      </c>
      <c r="G5438" t="s">
        <v>35</v>
      </c>
      <c r="H5438">
        <v>1</v>
      </c>
      <c r="K5438" t="s">
        <v>195</v>
      </c>
      <c r="L5438" t="s">
        <v>196</v>
      </c>
      <c r="M5438" t="s">
        <v>131</v>
      </c>
      <c r="N5438">
        <v>25</v>
      </c>
      <c r="P5438" t="s">
        <v>41</v>
      </c>
      <c r="Q5438" t="s">
        <v>95</v>
      </c>
      <c r="R5438" t="str">
        <f>"7521107"</f>
        <v>7521107</v>
      </c>
      <c r="S5438" t="s">
        <v>471</v>
      </c>
      <c r="T5438" t="s">
        <v>195</v>
      </c>
      <c r="U5438" t="s">
        <v>196</v>
      </c>
      <c r="V5438" t="s">
        <v>131</v>
      </c>
      <c r="W5438" t="s">
        <v>165</v>
      </c>
      <c r="X5438" t="s">
        <v>45</v>
      </c>
      <c r="Y5438" s="1">
        <v>26980</v>
      </c>
      <c r="Z5438">
        <v>1</v>
      </c>
      <c r="AA5438" t="s">
        <v>196</v>
      </c>
      <c r="AB5438" s="40" t="s">
        <v>1799</v>
      </c>
    </row>
    <row r="5439" spans="1:28" x14ac:dyDescent="0.25">
      <c r="A5439">
        <v>99915438</v>
      </c>
      <c r="B5439" t="s">
        <v>32</v>
      </c>
      <c r="C5439" t="s">
        <v>90</v>
      </c>
      <c r="D5439" t="s">
        <v>91</v>
      </c>
      <c r="G5439" t="s">
        <v>35</v>
      </c>
      <c r="H5439">
        <v>1</v>
      </c>
      <c r="I5439">
        <v>2710</v>
      </c>
      <c r="J5439" s="1">
        <v>43344</v>
      </c>
      <c r="K5439" t="s">
        <v>1245</v>
      </c>
      <c r="L5439" t="s">
        <v>1246</v>
      </c>
      <c r="M5439" t="s">
        <v>1130</v>
      </c>
      <c r="N5439">
        <v>25</v>
      </c>
      <c r="O5439" s="1">
        <v>43344</v>
      </c>
      <c r="P5439" t="s">
        <v>41</v>
      </c>
      <c r="Q5439" t="s">
        <v>95</v>
      </c>
      <c r="R5439" t="str">
        <f>"7451001"</f>
        <v>7451001</v>
      </c>
      <c r="S5439" t="s">
        <v>1249</v>
      </c>
      <c r="T5439" t="s">
        <v>1245</v>
      </c>
      <c r="U5439" t="s">
        <v>1246</v>
      </c>
      <c r="V5439" t="s">
        <v>1130</v>
      </c>
      <c r="W5439" t="s">
        <v>51</v>
      </c>
      <c r="X5439" t="s">
        <v>45</v>
      </c>
      <c r="Y5439" s="1">
        <v>26927</v>
      </c>
      <c r="Z5439">
        <v>1</v>
      </c>
      <c r="AA5439" t="s">
        <v>1246</v>
      </c>
      <c r="AB5439" s="40" t="s">
        <v>1799</v>
      </c>
    </row>
    <row r="5440" spans="1:28" x14ac:dyDescent="0.25">
      <c r="A5440">
        <v>99915439</v>
      </c>
      <c r="B5440" t="s">
        <v>32</v>
      </c>
      <c r="C5440" t="s">
        <v>90</v>
      </c>
      <c r="D5440" t="s">
        <v>91</v>
      </c>
      <c r="G5440" t="s">
        <v>35</v>
      </c>
      <c r="H5440">
        <v>1</v>
      </c>
      <c r="I5440" t="s">
        <v>286</v>
      </c>
      <c r="J5440" s="1">
        <v>43344</v>
      </c>
      <c r="K5440" t="s">
        <v>268</v>
      </c>
      <c r="L5440" t="s">
        <v>269</v>
      </c>
      <c r="M5440" t="s">
        <v>131</v>
      </c>
      <c r="N5440">
        <v>25</v>
      </c>
      <c r="P5440" t="s">
        <v>41</v>
      </c>
      <c r="Q5440" t="s">
        <v>95</v>
      </c>
      <c r="R5440" t="str">
        <f>"7052015"</f>
        <v>7052015</v>
      </c>
      <c r="S5440" t="s">
        <v>653</v>
      </c>
      <c r="T5440" t="s">
        <v>268</v>
      </c>
      <c r="U5440" t="s">
        <v>269</v>
      </c>
      <c r="V5440" t="s">
        <v>131</v>
      </c>
      <c r="W5440" t="s">
        <v>51</v>
      </c>
      <c r="X5440" t="s">
        <v>45</v>
      </c>
      <c r="Y5440" s="1">
        <v>26917</v>
      </c>
      <c r="Z5440">
        <v>1</v>
      </c>
      <c r="AA5440" t="s">
        <v>269</v>
      </c>
      <c r="AB5440" s="40" t="s">
        <v>1799</v>
      </c>
    </row>
    <row r="5441" spans="1:28" x14ac:dyDescent="0.25">
      <c r="A5441">
        <v>99915440</v>
      </c>
      <c r="B5441" t="s">
        <v>32</v>
      </c>
      <c r="C5441" t="s">
        <v>90</v>
      </c>
      <c r="D5441" t="s">
        <v>91</v>
      </c>
      <c r="G5441" t="s">
        <v>35</v>
      </c>
      <c r="H5441">
        <v>2</v>
      </c>
      <c r="I5441">
        <v>231</v>
      </c>
      <c r="J5441" s="1">
        <v>38230</v>
      </c>
      <c r="K5441" t="s">
        <v>1426</v>
      </c>
      <c r="L5441" t="s">
        <v>1427</v>
      </c>
      <c r="M5441" t="s">
        <v>1270</v>
      </c>
      <c r="N5441">
        <v>25</v>
      </c>
      <c r="O5441" s="1">
        <v>38230</v>
      </c>
      <c r="P5441" t="s">
        <v>41</v>
      </c>
      <c r="Q5441" t="s">
        <v>95</v>
      </c>
      <c r="R5441" t="str">
        <f>"7192049"</f>
        <v>7192049</v>
      </c>
      <c r="S5441" t="s">
        <v>1442</v>
      </c>
      <c r="T5441" t="s">
        <v>1426</v>
      </c>
      <c r="U5441" t="s">
        <v>1427</v>
      </c>
      <c r="V5441" t="s">
        <v>1270</v>
      </c>
      <c r="W5441" t="s">
        <v>51</v>
      </c>
      <c r="X5441" t="s">
        <v>45</v>
      </c>
      <c r="Y5441" s="1">
        <v>26907</v>
      </c>
      <c r="Z5441">
        <v>1</v>
      </c>
      <c r="AA5441" t="s">
        <v>1427</v>
      </c>
      <c r="AB5441" s="40" t="s">
        <v>1799</v>
      </c>
    </row>
    <row r="5442" spans="1:28" x14ac:dyDescent="0.25">
      <c r="A5442">
        <v>99915441</v>
      </c>
      <c r="B5442" t="s">
        <v>32</v>
      </c>
      <c r="C5442" t="s">
        <v>90</v>
      </c>
      <c r="D5442" t="s">
        <v>91</v>
      </c>
      <c r="G5442" t="s">
        <v>48</v>
      </c>
      <c r="H5442">
        <v>1</v>
      </c>
      <c r="K5442" t="s">
        <v>154</v>
      </c>
      <c r="L5442" t="s">
        <v>155</v>
      </c>
      <c r="M5442" t="s">
        <v>131</v>
      </c>
      <c r="N5442">
        <v>25</v>
      </c>
      <c r="P5442" t="s">
        <v>41</v>
      </c>
      <c r="Q5442" t="s">
        <v>95</v>
      </c>
      <c r="R5442" t="str">
        <f>"7051011"</f>
        <v>7051011</v>
      </c>
      <c r="S5442" t="s">
        <v>428</v>
      </c>
      <c r="T5442" t="s">
        <v>154</v>
      </c>
      <c r="U5442" t="s">
        <v>155</v>
      </c>
      <c r="V5442" t="s">
        <v>131</v>
      </c>
      <c r="W5442" t="s">
        <v>51</v>
      </c>
      <c r="X5442" t="s">
        <v>45</v>
      </c>
      <c r="Y5442" s="1">
        <v>26885</v>
      </c>
      <c r="Z5442">
        <v>1</v>
      </c>
      <c r="AA5442" t="s">
        <v>155</v>
      </c>
      <c r="AB5442" s="40" t="s">
        <v>1799</v>
      </c>
    </row>
    <row r="5443" spans="1:28" x14ac:dyDescent="0.25">
      <c r="A5443">
        <v>99915442</v>
      </c>
      <c r="B5443" t="s">
        <v>32</v>
      </c>
      <c r="C5443" t="s">
        <v>90</v>
      </c>
      <c r="D5443" t="s">
        <v>91</v>
      </c>
      <c r="G5443" t="s">
        <v>35</v>
      </c>
      <c r="H5443">
        <v>1</v>
      </c>
      <c r="K5443" t="s">
        <v>195</v>
      </c>
      <c r="L5443" t="s">
        <v>196</v>
      </c>
      <c r="M5443" t="s">
        <v>131</v>
      </c>
      <c r="N5443">
        <v>25</v>
      </c>
      <c r="P5443" t="s">
        <v>41</v>
      </c>
      <c r="Q5443" t="s">
        <v>95</v>
      </c>
      <c r="R5443" t="str">
        <f>"7521111"</f>
        <v>7521111</v>
      </c>
      <c r="S5443" t="s">
        <v>534</v>
      </c>
      <c r="T5443" t="s">
        <v>195</v>
      </c>
      <c r="U5443" t="s">
        <v>196</v>
      </c>
      <c r="V5443" t="s">
        <v>131</v>
      </c>
      <c r="W5443" t="s">
        <v>165</v>
      </c>
      <c r="X5443" t="s">
        <v>45</v>
      </c>
      <c r="Y5443" s="1">
        <v>26877</v>
      </c>
      <c r="Z5443">
        <v>1</v>
      </c>
      <c r="AA5443" t="s">
        <v>196</v>
      </c>
      <c r="AB5443" s="40" t="s">
        <v>1799</v>
      </c>
    </row>
    <row r="5444" spans="1:28" x14ac:dyDescent="0.25">
      <c r="A5444">
        <v>99915443</v>
      </c>
      <c r="B5444" t="s">
        <v>32</v>
      </c>
      <c r="C5444" t="s">
        <v>90</v>
      </c>
      <c r="D5444" t="s">
        <v>91</v>
      </c>
      <c r="G5444" t="s">
        <v>35</v>
      </c>
      <c r="H5444">
        <v>1</v>
      </c>
      <c r="K5444" t="s">
        <v>667</v>
      </c>
      <c r="L5444" t="s">
        <v>669</v>
      </c>
      <c r="M5444" t="s">
        <v>670</v>
      </c>
      <c r="N5444">
        <v>25</v>
      </c>
      <c r="P5444" t="s">
        <v>41</v>
      </c>
      <c r="Q5444" t="s">
        <v>95</v>
      </c>
      <c r="R5444" t="str">
        <f>"7501001"</f>
        <v>7501001</v>
      </c>
      <c r="S5444" t="s">
        <v>1525</v>
      </c>
      <c r="T5444" t="s">
        <v>667</v>
      </c>
      <c r="U5444" t="s">
        <v>669</v>
      </c>
      <c r="V5444" t="s">
        <v>670</v>
      </c>
      <c r="W5444" t="s">
        <v>51</v>
      </c>
      <c r="X5444" t="s">
        <v>45</v>
      </c>
      <c r="Y5444" s="1">
        <v>26876</v>
      </c>
      <c r="Z5444">
        <v>1</v>
      </c>
      <c r="AA5444" t="s">
        <v>669</v>
      </c>
      <c r="AB5444" s="40" t="s">
        <v>1799</v>
      </c>
    </row>
    <row r="5445" spans="1:28" x14ac:dyDescent="0.25">
      <c r="A5445">
        <v>99915444</v>
      </c>
      <c r="B5445" t="s">
        <v>32</v>
      </c>
      <c r="C5445" t="s">
        <v>139</v>
      </c>
      <c r="D5445" t="s">
        <v>140</v>
      </c>
      <c r="G5445" t="s">
        <v>48</v>
      </c>
      <c r="H5445">
        <v>1</v>
      </c>
      <c r="K5445" t="s">
        <v>877</v>
      </c>
      <c r="L5445" t="s">
        <v>878</v>
      </c>
      <c r="M5445" t="s">
        <v>131</v>
      </c>
      <c r="N5445">
        <v>25</v>
      </c>
      <c r="P5445" t="s">
        <v>41</v>
      </c>
      <c r="Q5445" t="s">
        <v>75</v>
      </c>
      <c r="R5445" t="str">
        <f>"7700025"</f>
        <v>7700025</v>
      </c>
      <c r="S5445" t="s">
        <v>880</v>
      </c>
      <c r="T5445" t="s">
        <v>877</v>
      </c>
      <c r="U5445" t="s">
        <v>878</v>
      </c>
      <c r="V5445" t="s">
        <v>131</v>
      </c>
      <c r="W5445" t="s">
        <v>51</v>
      </c>
      <c r="X5445" t="s">
        <v>45</v>
      </c>
      <c r="Y5445" s="1">
        <v>26851</v>
      </c>
      <c r="Z5445">
        <v>1</v>
      </c>
      <c r="AA5445" t="s">
        <v>878</v>
      </c>
      <c r="AB5445" s="40" t="s">
        <v>1799</v>
      </c>
    </row>
    <row r="5446" spans="1:28" x14ac:dyDescent="0.25">
      <c r="A5446">
        <v>99915445</v>
      </c>
      <c r="B5446" t="s">
        <v>56</v>
      </c>
      <c r="C5446" t="s">
        <v>46</v>
      </c>
      <c r="D5446" t="s">
        <v>47</v>
      </c>
      <c r="G5446" t="s">
        <v>48</v>
      </c>
      <c r="H5446">
        <v>1</v>
      </c>
      <c r="I5446" t="s">
        <v>1624</v>
      </c>
      <c r="J5446" s="1">
        <v>41667</v>
      </c>
      <c r="K5446" t="s">
        <v>1613</v>
      </c>
      <c r="L5446" t="s">
        <v>1614</v>
      </c>
      <c r="M5446" t="s">
        <v>1592</v>
      </c>
      <c r="N5446">
        <v>25</v>
      </c>
      <c r="O5446" s="1">
        <v>42614</v>
      </c>
      <c r="P5446" t="s">
        <v>41</v>
      </c>
      <c r="Q5446" t="s">
        <v>49</v>
      </c>
      <c r="R5446" t="str">
        <f>"2860001"</f>
        <v>2860001</v>
      </c>
      <c r="S5446" t="s">
        <v>1616</v>
      </c>
      <c r="T5446" t="s">
        <v>1613</v>
      </c>
      <c r="U5446" t="s">
        <v>1614</v>
      </c>
      <c r="V5446" t="s">
        <v>1592</v>
      </c>
      <c r="W5446" t="s">
        <v>51</v>
      </c>
      <c r="X5446" t="s">
        <v>45</v>
      </c>
      <c r="Y5446" s="1">
        <v>26809</v>
      </c>
      <c r="Z5446">
        <v>2</v>
      </c>
      <c r="AA5446" t="s">
        <v>1614</v>
      </c>
      <c r="AB5446" s="40" t="s">
        <v>1799</v>
      </c>
    </row>
    <row r="5447" spans="1:28" x14ac:dyDescent="0.25">
      <c r="A5447">
        <v>99915446</v>
      </c>
      <c r="B5447" t="s">
        <v>32</v>
      </c>
      <c r="C5447" t="s">
        <v>90</v>
      </c>
      <c r="D5447" t="s">
        <v>91</v>
      </c>
      <c r="G5447" t="s">
        <v>48</v>
      </c>
      <c r="H5447">
        <v>2</v>
      </c>
      <c r="K5447" t="s">
        <v>407</v>
      </c>
      <c r="L5447" t="s">
        <v>409</v>
      </c>
      <c r="M5447" t="s">
        <v>131</v>
      </c>
      <c r="N5447">
        <v>25</v>
      </c>
      <c r="P5447" t="s">
        <v>41</v>
      </c>
      <c r="Q5447" t="s">
        <v>95</v>
      </c>
      <c r="R5447" t="str">
        <f>"7053053"</f>
        <v>7053053</v>
      </c>
      <c r="S5447" t="s">
        <v>757</v>
      </c>
      <c r="T5447" t="s">
        <v>407</v>
      </c>
      <c r="U5447" t="s">
        <v>409</v>
      </c>
      <c r="V5447" t="s">
        <v>131</v>
      </c>
      <c r="W5447" t="s">
        <v>51</v>
      </c>
      <c r="X5447" t="s">
        <v>45</v>
      </c>
      <c r="Y5447" s="1">
        <v>26718</v>
      </c>
      <c r="Z5447">
        <v>1</v>
      </c>
      <c r="AA5447" t="s">
        <v>409</v>
      </c>
      <c r="AB5447" s="40" t="s">
        <v>1799</v>
      </c>
    </row>
    <row r="5448" spans="1:28" x14ac:dyDescent="0.25">
      <c r="A5448">
        <v>99915447</v>
      </c>
      <c r="B5448" t="s">
        <v>32</v>
      </c>
      <c r="C5448" t="s">
        <v>90</v>
      </c>
      <c r="D5448" t="s">
        <v>91</v>
      </c>
      <c r="G5448" t="s">
        <v>48</v>
      </c>
      <c r="H5448">
        <v>1</v>
      </c>
      <c r="K5448" t="s">
        <v>195</v>
      </c>
      <c r="L5448" t="s">
        <v>196</v>
      </c>
      <c r="M5448" t="s">
        <v>131</v>
      </c>
      <c r="N5448">
        <v>25</v>
      </c>
      <c r="P5448" t="s">
        <v>41</v>
      </c>
      <c r="Q5448" t="s">
        <v>95</v>
      </c>
      <c r="R5448" t="str">
        <f>"7521021"</f>
        <v>7521021</v>
      </c>
      <c r="S5448" t="s">
        <v>458</v>
      </c>
      <c r="T5448" t="s">
        <v>195</v>
      </c>
      <c r="U5448" t="s">
        <v>196</v>
      </c>
      <c r="V5448" t="s">
        <v>131</v>
      </c>
      <c r="W5448" t="s">
        <v>51</v>
      </c>
      <c r="X5448" t="s">
        <v>45</v>
      </c>
      <c r="Y5448" s="1">
        <v>26563</v>
      </c>
      <c r="Z5448">
        <v>1</v>
      </c>
      <c r="AA5448" t="s">
        <v>196</v>
      </c>
      <c r="AB5448" s="40" t="s">
        <v>1799</v>
      </c>
    </row>
    <row r="5449" spans="1:28" x14ac:dyDescent="0.25">
      <c r="A5449">
        <v>99915448</v>
      </c>
      <c r="B5449" t="s">
        <v>32</v>
      </c>
      <c r="C5449" t="s">
        <v>90</v>
      </c>
      <c r="D5449" t="s">
        <v>91</v>
      </c>
      <c r="G5449" t="s">
        <v>48</v>
      </c>
      <c r="H5449">
        <v>1</v>
      </c>
      <c r="K5449" t="s">
        <v>1198</v>
      </c>
      <c r="L5449" t="s">
        <v>1199</v>
      </c>
      <c r="M5449" t="s">
        <v>1130</v>
      </c>
      <c r="N5449">
        <v>25</v>
      </c>
      <c r="P5449" t="s">
        <v>41</v>
      </c>
      <c r="Q5449" t="s">
        <v>95</v>
      </c>
      <c r="R5449" t="str">
        <f>"7311021"</f>
        <v>7311021</v>
      </c>
      <c r="S5449" t="s">
        <v>1210</v>
      </c>
      <c r="T5449" t="s">
        <v>1198</v>
      </c>
      <c r="U5449" t="s">
        <v>1199</v>
      </c>
      <c r="V5449" t="s">
        <v>1130</v>
      </c>
      <c r="W5449" t="s">
        <v>51</v>
      </c>
      <c r="X5449" t="s">
        <v>45</v>
      </c>
      <c r="Y5449" s="1">
        <v>26523</v>
      </c>
      <c r="Z5449">
        <v>1</v>
      </c>
      <c r="AA5449" t="s">
        <v>1199</v>
      </c>
      <c r="AB5449" s="40" t="s">
        <v>1799</v>
      </c>
    </row>
    <row r="5450" spans="1:28" x14ac:dyDescent="0.25">
      <c r="A5450">
        <v>99915449</v>
      </c>
      <c r="B5450" t="s">
        <v>32</v>
      </c>
      <c r="C5450" t="s">
        <v>90</v>
      </c>
      <c r="D5450" t="s">
        <v>91</v>
      </c>
      <c r="G5450" t="s">
        <v>35</v>
      </c>
      <c r="H5450">
        <v>1</v>
      </c>
      <c r="I5450">
        <v>1781</v>
      </c>
      <c r="J5450" s="1">
        <v>43344</v>
      </c>
      <c r="K5450" t="s">
        <v>354</v>
      </c>
      <c r="L5450" t="s">
        <v>355</v>
      </c>
      <c r="M5450" t="s">
        <v>131</v>
      </c>
      <c r="N5450">
        <v>25</v>
      </c>
      <c r="O5450" s="1">
        <v>43344</v>
      </c>
      <c r="P5450" t="s">
        <v>41</v>
      </c>
      <c r="Q5450" t="s">
        <v>95</v>
      </c>
      <c r="R5450" t="str">
        <f>"7054019"</f>
        <v>7054019</v>
      </c>
      <c r="S5450" t="s">
        <v>802</v>
      </c>
      <c r="T5450" t="s">
        <v>354</v>
      </c>
      <c r="U5450" t="s">
        <v>355</v>
      </c>
      <c r="V5450" t="s">
        <v>131</v>
      </c>
      <c r="W5450" t="s">
        <v>51</v>
      </c>
      <c r="X5450" t="s">
        <v>45</v>
      </c>
      <c r="Y5450" s="1">
        <v>26479</v>
      </c>
      <c r="Z5450">
        <v>1</v>
      </c>
      <c r="AA5450" t="s">
        <v>355</v>
      </c>
      <c r="AB5450" s="40" t="s">
        <v>1799</v>
      </c>
    </row>
    <row r="5451" spans="1:28" x14ac:dyDescent="0.25">
      <c r="A5451">
        <v>99915450</v>
      </c>
      <c r="B5451" t="s">
        <v>32</v>
      </c>
      <c r="C5451" t="s">
        <v>90</v>
      </c>
      <c r="D5451" t="s">
        <v>91</v>
      </c>
      <c r="G5451" t="s">
        <v>48</v>
      </c>
      <c r="H5451">
        <v>1</v>
      </c>
      <c r="K5451" t="s">
        <v>1725</v>
      </c>
      <c r="L5451" t="s">
        <v>1726</v>
      </c>
      <c r="M5451" t="s">
        <v>1705</v>
      </c>
      <c r="N5451">
        <v>25</v>
      </c>
      <c r="P5451" t="s">
        <v>41</v>
      </c>
      <c r="Q5451" t="s">
        <v>95</v>
      </c>
      <c r="R5451" t="str">
        <f>"7461003"</f>
        <v>7461003</v>
      </c>
      <c r="S5451" t="s">
        <v>1736</v>
      </c>
      <c r="T5451" t="s">
        <v>1725</v>
      </c>
      <c r="U5451" t="s">
        <v>1726</v>
      </c>
      <c r="V5451" t="s">
        <v>1705</v>
      </c>
      <c r="W5451" t="s">
        <v>51</v>
      </c>
      <c r="X5451" t="s">
        <v>45</v>
      </c>
      <c r="Y5451" s="1">
        <v>26445</v>
      </c>
      <c r="Z5451">
        <v>1</v>
      </c>
      <c r="AA5451" t="s">
        <v>1726</v>
      </c>
      <c r="AB5451" s="40" t="s">
        <v>1799</v>
      </c>
    </row>
    <row r="5452" spans="1:28" x14ac:dyDescent="0.25">
      <c r="A5452">
        <v>99915451</v>
      </c>
      <c r="B5452" t="s">
        <v>32</v>
      </c>
      <c r="C5452" t="s">
        <v>90</v>
      </c>
      <c r="D5452" t="s">
        <v>91</v>
      </c>
      <c r="G5452" t="s">
        <v>35</v>
      </c>
      <c r="H5452">
        <v>1</v>
      </c>
      <c r="I5452" t="s">
        <v>286</v>
      </c>
      <c r="J5452" s="1">
        <v>43344</v>
      </c>
      <c r="K5452" t="s">
        <v>268</v>
      </c>
      <c r="L5452" t="s">
        <v>269</v>
      </c>
      <c r="M5452" t="s">
        <v>131</v>
      </c>
      <c r="N5452">
        <v>25</v>
      </c>
      <c r="P5452" t="s">
        <v>41</v>
      </c>
      <c r="Q5452" t="s">
        <v>95</v>
      </c>
      <c r="R5452" t="str">
        <f>"7052015"</f>
        <v>7052015</v>
      </c>
      <c r="S5452" t="s">
        <v>653</v>
      </c>
      <c r="T5452" t="s">
        <v>268</v>
      </c>
      <c r="U5452" t="s">
        <v>269</v>
      </c>
      <c r="V5452" t="s">
        <v>131</v>
      </c>
      <c r="W5452" t="s">
        <v>51</v>
      </c>
      <c r="X5452" t="s">
        <v>45</v>
      </c>
      <c r="Y5452" s="1">
        <v>26407</v>
      </c>
      <c r="Z5452">
        <v>1</v>
      </c>
      <c r="AA5452" t="s">
        <v>269</v>
      </c>
      <c r="AB5452" s="40" t="s">
        <v>1799</v>
      </c>
    </row>
    <row r="5453" spans="1:28" x14ac:dyDescent="0.25">
      <c r="A5453">
        <v>99915452</v>
      </c>
      <c r="B5453" t="s">
        <v>32</v>
      </c>
      <c r="C5453" t="s">
        <v>90</v>
      </c>
      <c r="D5453" t="s">
        <v>91</v>
      </c>
      <c r="G5453" t="s">
        <v>35</v>
      </c>
      <c r="H5453">
        <v>1</v>
      </c>
      <c r="I5453">
        <v>0</v>
      </c>
      <c r="J5453" s="1">
        <v>43344</v>
      </c>
      <c r="K5453" t="s">
        <v>985</v>
      </c>
      <c r="L5453" t="s">
        <v>986</v>
      </c>
      <c r="M5453" t="s">
        <v>938</v>
      </c>
      <c r="N5453">
        <v>25</v>
      </c>
      <c r="O5453" s="1">
        <v>43344</v>
      </c>
      <c r="P5453" t="s">
        <v>41</v>
      </c>
      <c r="Q5453" t="s">
        <v>95</v>
      </c>
      <c r="R5453" t="str">
        <f>"7011007"</f>
        <v>7011007</v>
      </c>
      <c r="S5453" t="s">
        <v>993</v>
      </c>
      <c r="T5453" t="s">
        <v>985</v>
      </c>
      <c r="U5453" t="s">
        <v>986</v>
      </c>
      <c r="V5453" t="s">
        <v>938</v>
      </c>
      <c r="W5453" t="s">
        <v>51</v>
      </c>
      <c r="X5453" t="s">
        <v>45</v>
      </c>
      <c r="Y5453" s="1">
        <v>26390</v>
      </c>
      <c r="Z5453">
        <v>1</v>
      </c>
      <c r="AA5453" t="s">
        <v>986</v>
      </c>
      <c r="AB5453" s="40" t="s">
        <v>1799</v>
      </c>
    </row>
    <row r="5454" spans="1:28" x14ac:dyDescent="0.25">
      <c r="A5454">
        <v>99915453</v>
      </c>
      <c r="B5454" t="s">
        <v>32</v>
      </c>
      <c r="C5454" t="s">
        <v>90</v>
      </c>
      <c r="D5454" t="s">
        <v>91</v>
      </c>
      <c r="G5454" t="s">
        <v>35</v>
      </c>
      <c r="H5454">
        <v>1</v>
      </c>
      <c r="I5454">
        <v>1</v>
      </c>
      <c r="J5454" s="1">
        <v>43344</v>
      </c>
      <c r="K5454" t="s">
        <v>1198</v>
      </c>
      <c r="L5454" t="s">
        <v>1199</v>
      </c>
      <c r="M5454" t="s">
        <v>1130</v>
      </c>
      <c r="N5454">
        <v>25</v>
      </c>
      <c r="O5454" s="1">
        <v>43344</v>
      </c>
      <c r="P5454" t="s">
        <v>41</v>
      </c>
      <c r="Q5454" t="s">
        <v>95</v>
      </c>
      <c r="R5454" t="str">
        <f>"7311005"</f>
        <v>7311005</v>
      </c>
      <c r="S5454" t="s">
        <v>1206</v>
      </c>
      <c r="T5454" t="s">
        <v>1198</v>
      </c>
      <c r="U5454" t="s">
        <v>1199</v>
      </c>
      <c r="V5454" t="s">
        <v>1130</v>
      </c>
      <c r="W5454" t="s">
        <v>51</v>
      </c>
      <c r="X5454" t="s">
        <v>45</v>
      </c>
      <c r="Y5454" s="1">
        <v>26330</v>
      </c>
      <c r="Z5454">
        <v>1</v>
      </c>
      <c r="AA5454" t="s">
        <v>1199</v>
      </c>
      <c r="AB5454" s="40" t="s">
        <v>1799</v>
      </c>
    </row>
    <row r="5455" spans="1:28" x14ac:dyDescent="0.25">
      <c r="A5455">
        <v>99915454</v>
      </c>
      <c r="B5455" t="s">
        <v>32</v>
      </c>
      <c r="C5455" t="s">
        <v>90</v>
      </c>
      <c r="D5455" t="s">
        <v>91</v>
      </c>
      <c r="G5455" t="s">
        <v>48</v>
      </c>
      <c r="H5455">
        <v>4</v>
      </c>
      <c r="I5455" t="s">
        <v>1017</v>
      </c>
      <c r="J5455" s="1">
        <v>43344</v>
      </c>
      <c r="K5455" t="s">
        <v>963</v>
      </c>
      <c r="L5455" t="s">
        <v>964</v>
      </c>
      <c r="M5455" t="s">
        <v>938</v>
      </c>
      <c r="N5455">
        <v>25</v>
      </c>
      <c r="O5455" s="1">
        <v>43344</v>
      </c>
      <c r="P5455" t="s">
        <v>41</v>
      </c>
      <c r="Q5455" t="s">
        <v>95</v>
      </c>
      <c r="R5455" t="str">
        <f>"7061015"</f>
        <v>7061015</v>
      </c>
      <c r="S5455" t="s">
        <v>1016</v>
      </c>
      <c r="T5455" t="s">
        <v>963</v>
      </c>
      <c r="U5455" t="s">
        <v>964</v>
      </c>
      <c r="V5455" t="s">
        <v>938</v>
      </c>
      <c r="W5455" t="s">
        <v>51</v>
      </c>
      <c r="X5455" t="s">
        <v>45</v>
      </c>
      <c r="Y5455" s="1">
        <v>26314</v>
      </c>
      <c r="Z5455">
        <v>1</v>
      </c>
      <c r="AA5455" t="s">
        <v>964</v>
      </c>
      <c r="AB5455" s="40" t="s">
        <v>1799</v>
      </c>
    </row>
    <row r="5456" spans="1:28" x14ac:dyDescent="0.25">
      <c r="A5456">
        <v>99915455</v>
      </c>
      <c r="B5456" t="s">
        <v>32</v>
      </c>
      <c r="C5456" t="s">
        <v>90</v>
      </c>
      <c r="D5456" t="s">
        <v>91</v>
      </c>
      <c r="G5456" t="s">
        <v>35</v>
      </c>
      <c r="H5456">
        <v>1</v>
      </c>
      <c r="I5456">
        <v>2941</v>
      </c>
      <c r="J5456" s="1">
        <v>43344</v>
      </c>
      <c r="K5456" t="s">
        <v>1198</v>
      </c>
      <c r="L5456" t="s">
        <v>1199</v>
      </c>
      <c r="M5456" t="s">
        <v>1130</v>
      </c>
      <c r="N5456">
        <v>25</v>
      </c>
      <c r="O5456" s="1">
        <v>43344</v>
      </c>
      <c r="P5456" t="s">
        <v>41</v>
      </c>
      <c r="Q5456" t="s">
        <v>95</v>
      </c>
      <c r="R5456" t="str">
        <f>"7311023"</f>
        <v>7311023</v>
      </c>
      <c r="S5456" t="s">
        <v>1219</v>
      </c>
      <c r="T5456" t="s">
        <v>1198</v>
      </c>
      <c r="U5456" t="s">
        <v>1199</v>
      </c>
      <c r="V5456" t="s">
        <v>1130</v>
      </c>
      <c r="W5456" t="s">
        <v>51</v>
      </c>
      <c r="X5456" t="s">
        <v>45</v>
      </c>
      <c r="Y5456" s="1">
        <v>26310</v>
      </c>
      <c r="Z5456">
        <v>1</v>
      </c>
      <c r="AA5456" t="s">
        <v>1199</v>
      </c>
      <c r="AB5456" s="40" t="s">
        <v>1799</v>
      </c>
    </row>
    <row r="5457" spans="1:28" x14ac:dyDescent="0.25">
      <c r="A5457">
        <v>99915456</v>
      </c>
      <c r="B5457" t="s">
        <v>32</v>
      </c>
      <c r="C5457" t="s">
        <v>90</v>
      </c>
      <c r="D5457" t="s">
        <v>91</v>
      </c>
      <c r="G5457" t="s">
        <v>35</v>
      </c>
      <c r="H5457">
        <v>1</v>
      </c>
      <c r="K5457" t="s">
        <v>107</v>
      </c>
      <c r="L5457" t="s">
        <v>108</v>
      </c>
      <c r="M5457" t="s">
        <v>39</v>
      </c>
      <c r="N5457">
        <v>25</v>
      </c>
      <c r="P5457" t="s">
        <v>41</v>
      </c>
      <c r="Q5457" t="s">
        <v>95</v>
      </c>
      <c r="R5457" t="str">
        <f>"7211001"</f>
        <v>7211001</v>
      </c>
      <c r="S5457" t="s">
        <v>110</v>
      </c>
      <c r="T5457" t="s">
        <v>107</v>
      </c>
      <c r="U5457" t="s">
        <v>108</v>
      </c>
      <c r="V5457" t="s">
        <v>39</v>
      </c>
      <c r="W5457" t="s">
        <v>51</v>
      </c>
      <c r="X5457" t="s">
        <v>45</v>
      </c>
      <c r="Y5457" s="1">
        <v>26203</v>
      </c>
      <c r="Z5457">
        <v>1</v>
      </c>
      <c r="AA5457" t="s">
        <v>108</v>
      </c>
      <c r="AB5457" s="40" t="s">
        <v>1799</v>
      </c>
    </row>
    <row r="5458" spans="1:28" x14ac:dyDescent="0.25">
      <c r="A5458">
        <v>99915457</v>
      </c>
      <c r="B5458" t="s">
        <v>32</v>
      </c>
      <c r="C5458" t="s">
        <v>90</v>
      </c>
      <c r="D5458" t="s">
        <v>91</v>
      </c>
      <c r="G5458" t="s">
        <v>48</v>
      </c>
      <c r="H5458">
        <v>4</v>
      </c>
      <c r="K5458" t="s">
        <v>1426</v>
      </c>
      <c r="L5458" t="s">
        <v>1427</v>
      </c>
      <c r="M5458" t="s">
        <v>1270</v>
      </c>
      <c r="N5458">
        <v>25</v>
      </c>
      <c r="P5458" t="s">
        <v>41</v>
      </c>
      <c r="Q5458" t="s">
        <v>95</v>
      </c>
      <c r="R5458" t="str">
        <f>"7192011"</f>
        <v>7192011</v>
      </c>
      <c r="S5458" t="s">
        <v>1431</v>
      </c>
      <c r="T5458" t="s">
        <v>1426</v>
      </c>
      <c r="U5458" t="s">
        <v>1427</v>
      </c>
      <c r="V5458" t="s">
        <v>1270</v>
      </c>
      <c r="W5458" t="s">
        <v>51</v>
      </c>
      <c r="X5458" t="s">
        <v>45</v>
      </c>
      <c r="Y5458" s="1">
        <v>26201</v>
      </c>
      <c r="Z5458">
        <v>1</v>
      </c>
      <c r="AA5458" t="s">
        <v>1427</v>
      </c>
      <c r="AB5458" s="40" t="s">
        <v>1799</v>
      </c>
    </row>
    <row r="5459" spans="1:28" x14ac:dyDescent="0.25">
      <c r="A5459">
        <v>99915458</v>
      </c>
      <c r="B5459" t="s">
        <v>32</v>
      </c>
      <c r="C5459" t="s">
        <v>90</v>
      </c>
      <c r="D5459" t="s">
        <v>91</v>
      </c>
      <c r="G5459" t="s">
        <v>35</v>
      </c>
      <c r="H5459">
        <v>1</v>
      </c>
      <c r="J5459" s="1">
        <v>43344</v>
      </c>
      <c r="K5459" t="s">
        <v>1265</v>
      </c>
      <c r="L5459" t="s">
        <v>1266</v>
      </c>
      <c r="M5459" t="s">
        <v>1260</v>
      </c>
      <c r="N5459">
        <v>25</v>
      </c>
      <c r="O5459" s="1">
        <v>43344</v>
      </c>
      <c r="P5459" t="s">
        <v>41</v>
      </c>
      <c r="Q5459" t="s">
        <v>95</v>
      </c>
      <c r="R5459" t="str">
        <f>"7251001"</f>
        <v>7251001</v>
      </c>
      <c r="S5459" t="s">
        <v>1267</v>
      </c>
      <c r="T5459" t="s">
        <v>1265</v>
      </c>
      <c r="U5459" t="s">
        <v>1266</v>
      </c>
      <c r="V5459" t="s">
        <v>1260</v>
      </c>
      <c r="W5459" t="s">
        <v>51</v>
      </c>
      <c r="X5459" t="s">
        <v>45</v>
      </c>
      <c r="Y5459" s="1">
        <v>26200</v>
      </c>
      <c r="Z5459">
        <v>1</v>
      </c>
      <c r="AA5459" t="s">
        <v>1266</v>
      </c>
      <c r="AB5459" s="40" t="s">
        <v>1799</v>
      </c>
    </row>
    <row r="5460" spans="1:28" x14ac:dyDescent="0.25">
      <c r="A5460">
        <v>99915459</v>
      </c>
      <c r="B5460" t="s">
        <v>32</v>
      </c>
      <c r="C5460" t="s">
        <v>90</v>
      </c>
      <c r="D5460" t="s">
        <v>91</v>
      </c>
      <c r="G5460" t="s">
        <v>48</v>
      </c>
      <c r="H5460">
        <v>1</v>
      </c>
      <c r="K5460" t="s">
        <v>101</v>
      </c>
      <c r="L5460" t="s">
        <v>102</v>
      </c>
      <c r="M5460" t="s">
        <v>39</v>
      </c>
      <c r="N5460">
        <v>25</v>
      </c>
      <c r="P5460" t="s">
        <v>41</v>
      </c>
      <c r="Q5460" t="s">
        <v>95</v>
      </c>
      <c r="R5460" t="str">
        <f>"7111001"</f>
        <v>7111001</v>
      </c>
      <c r="S5460" t="s">
        <v>105</v>
      </c>
      <c r="T5460" t="s">
        <v>101</v>
      </c>
      <c r="U5460" t="s">
        <v>102</v>
      </c>
      <c r="V5460" t="s">
        <v>39</v>
      </c>
      <c r="W5460" t="s">
        <v>51</v>
      </c>
      <c r="X5460" t="s">
        <v>45</v>
      </c>
      <c r="Y5460" s="1">
        <v>26133</v>
      </c>
      <c r="Z5460">
        <v>1</v>
      </c>
      <c r="AA5460" t="s">
        <v>102</v>
      </c>
      <c r="AB5460" s="40" t="s">
        <v>1799</v>
      </c>
    </row>
    <row r="5461" spans="1:28" x14ac:dyDescent="0.25">
      <c r="A5461">
        <v>99915460</v>
      </c>
      <c r="B5461" t="s">
        <v>32</v>
      </c>
      <c r="C5461" t="s">
        <v>90</v>
      </c>
      <c r="D5461" t="s">
        <v>91</v>
      </c>
      <c r="G5461" t="s">
        <v>48</v>
      </c>
      <c r="H5461">
        <v>1</v>
      </c>
      <c r="K5461" t="s">
        <v>354</v>
      </c>
      <c r="L5461" t="s">
        <v>355</v>
      </c>
      <c r="M5461" t="s">
        <v>131</v>
      </c>
      <c r="N5461">
        <v>25</v>
      </c>
      <c r="P5461" t="s">
        <v>41</v>
      </c>
      <c r="Q5461" t="s">
        <v>95</v>
      </c>
      <c r="R5461" t="str">
        <f>"7054091"</f>
        <v>7054091</v>
      </c>
      <c r="S5461" t="s">
        <v>863</v>
      </c>
      <c r="T5461" t="s">
        <v>354</v>
      </c>
      <c r="U5461" t="s">
        <v>355</v>
      </c>
      <c r="V5461" t="s">
        <v>131</v>
      </c>
      <c r="W5461" t="s">
        <v>51</v>
      </c>
      <c r="X5461" t="s">
        <v>45</v>
      </c>
      <c r="Y5461" s="1">
        <v>26068</v>
      </c>
      <c r="Z5461">
        <v>1</v>
      </c>
      <c r="AA5461" t="s">
        <v>355</v>
      </c>
      <c r="AB5461" s="40" t="s">
        <v>1799</v>
      </c>
    </row>
    <row r="5462" spans="1:28" x14ac:dyDescent="0.25">
      <c r="A5462">
        <v>99915461</v>
      </c>
      <c r="B5462" t="s">
        <v>32</v>
      </c>
      <c r="C5462" t="s">
        <v>90</v>
      </c>
      <c r="D5462" t="s">
        <v>91</v>
      </c>
      <c r="G5462" t="s">
        <v>35</v>
      </c>
      <c r="H5462">
        <v>5</v>
      </c>
      <c r="K5462" t="s">
        <v>1221</v>
      </c>
      <c r="L5462" t="s">
        <v>1222</v>
      </c>
      <c r="M5462" t="s">
        <v>1130</v>
      </c>
      <c r="N5462">
        <v>25</v>
      </c>
      <c r="P5462" t="s">
        <v>41</v>
      </c>
      <c r="Q5462" t="s">
        <v>95</v>
      </c>
      <c r="R5462" t="str">
        <f>"7351011"</f>
        <v>7351011</v>
      </c>
      <c r="S5462" t="s">
        <v>1238</v>
      </c>
      <c r="T5462" t="s">
        <v>1221</v>
      </c>
      <c r="U5462" t="s">
        <v>1222</v>
      </c>
      <c r="V5462" t="s">
        <v>1130</v>
      </c>
      <c r="W5462" t="s">
        <v>51</v>
      </c>
      <c r="X5462" t="s">
        <v>45</v>
      </c>
      <c r="Y5462" s="1">
        <v>26064</v>
      </c>
      <c r="Z5462">
        <v>1</v>
      </c>
      <c r="AA5462" t="s">
        <v>1222</v>
      </c>
      <c r="AB5462" s="40" t="s">
        <v>1799</v>
      </c>
    </row>
    <row r="5463" spans="1:28" x14ac:dyDescent="0.25">
      <c r="A5463">
        <v>99915462</v>
      </c>
      <c r="B5463" t="s">
        <v>32</v>
      </c>
      <c r="C5463" t="s">
        <v>46</v>
      </c>
      <c r="D5463" t="s">
        <v>47</v>
      </c>
      <c r="G5463" t="s">
        <v>35</v>
      </c>
      <c r="H5463">
        <v>1</v>
      </c>
      <c r="K5463" t="s">
        <v>300</v>
      </c>
      <c r="L5463" t="s">
        <v>301</v>
      </c>
      <c r="M5463" t="s">
        <v>131</v>
      </c>
      <c r="N5463">
        <v>25</v>
      </c>
      <c r="P5463" t="s">
        <v>41</v>
      </c>
      <c r="Q5463" t="s">
        <v>42</v>
      </c>
      <c r="R5463" t="str">
        <f>"0580457"</f>
        <v>0580457</v>
      </c>
      <c r="S5463" t="s">
        <v>310</v>
      </c>
      <c r="T5463" t="s">
        <v>300</v>
      </c>
      <c r="U5463" t="s">
        <v>301</v>
      </c>
      <c r="V5463" t="s">
        <v>131</v>
      </c>
      <c r="W5463" t="s">
        <v>51</v>
      </c>
      <c r="X5463" t="s">
        <v>45</v>
      </c>
      <c r="Y5463" s="1">
        <v>26049</v>
      </c>
      <c r="Z5463">
        <v>2</v>
      </c>
      <c r="AA5463" t="s">
        <v>301</v>
      </c>
      <c r="AB5463" s="40" t="s">
        <v>1799</v>
      </c>
    </row>
    <row r="5464" spans="1:28" x14ac:dyDescent="0.25">
      <c r="A5464">
        <v>99915463</v>
      </c>
      <c r="B5464" t="s">
        <v>32</v>
      </c>
      <c r="C5464" t="s">
        <v>64</v>
      </c>
      <c r="D5464" t="s">
        <v>65</v>
      </c>
      <c r="G5464" t="s">
        <v>35</v>
      </c>
      <c r="H5464">
        <v>1</v>
      </c>
      <c r="K5464" t="s">
        <v>223</v>
      </c>
      <c r="L5464" t="s">
        <v>224</v>
      </c>
      <c r="M5464" t="s">
        <v>131</v>
      </c>
      <c r="N5464">
        <v>25</v>
      </c>
      <c r="P5464" t="s">
        <v>41</v>
      </c>
      <c r="Q5464" t="s">
        <v>42</v>
      </c>
      <c r="R5464" t="str">
        <f>"0590903"</f>
        <v>0590903</v>
      </c>
      <c r="S5464" t="s">
        <v>226</v>
      </c>
      <c r="T5464" t="s">
        <v>223</v>
      </c>
      <c r="U5464" t="s">
        <v>224</v>
      </c>
      <c r="V5464" t="s">
        <v>131</v>
      </c>
      <c r="W5464" t="s">
        <v>51</v>
      </c>
      <c r="X5464" t="s">
        <v>45</v>
      </c>
      <c r="Y5464" s="1">
        <v>26009</v>
      </c>
      <c r="Z5464">
        <v>2</v>
      </c>
      <c r="AA5464" t="s">
        <v>224</v>
      </c>
      <c r="AB5464" s="40" t="s">
        <v>1799</v>
      </c>
    </row>
    <row r="5465" spans="1:28" x14ac:dyDescent="0.25">
      <c r="A5465">
        <v>99915464</v>
      </c>
      <c r="B5465" t="s">
        <v>32</v>
      </c>
      <c r="C5465" t="s">
        <v>82</v>
      </c>
      <c r="D5465" t="s">
        <v>83</v>
      </c>
      <c r="G5465" t="s">
        <v>35</v>
      </c>
      <c r="H5465">
        <v>1</v>
      </c>
      <c r="K5465" t="s">
        <v>223</v>
      </c>
      <c r="L5465" t="s">
        <v>224</v>
      </c>
      <c r="M5465" t="s">
        <v>131</v>
      </c>
      <c r="N5465">
        <v>25</v>
      </c>
      <c r="P5465" t="s">
        <v>41</v>
      </c>
      <c r="Q5465" t="s">
        <v>42</v>
      </c>
      <c r="R5465" t="str">
        <f>"0590903"</f>
        <v>0590903</v>
      </c>
      <c r="S5465" t="s">
        <v>226</v>
      </c>
      <c r="T5465" t="s">
        <v>223</v>
      </c>
      <c r="U5465" t="s">
        <v>224</v>
      </c>
      <c r="V5465" t="s">
        <v>131</v>
      </c>
      <c r="W5465" t="s">
        <v>51</v>
      </c>
      <c r="X5465" t="s">
        <v>45</v>
      </c>
      <c r="Y5465" s="1">
        <v>26007</v>
      </c>
      <c r="Z5465">
        <v>2</v>
      </c>
      <c r="AA5465" t="s">
        <v>224</v>
      </c>
      <c r="AB5465" s="40" t="s">
        <v>1799</v>
      </c>
    </row>
    <row r="5466" spans="1:28" x14ac:dyDescent="0.25">
      <c r="A5466">
        <v>99915465</v>
      </c>
      <c r="B5466" t="s">
        <v>56</v>
      </c>
      <c r="C5466" t="s">
        <v>52</v>
      </c>
      <c r="D5466" t="s">
        <v>53</v>
      </c>
      <c r="G5466" t="s">
        <v>35</v>
      </c>
      <c r="H5466">
        <v>1</v>
      </c>
      <c r="K5466" t="s">
        <v>223</v>
      </c>
      <c r="L5466" t="s">
        <v>224</v>
      </c>
      <c r="M5466" t="s">
        <v>131</v>
      </c>
      <c r="N5466">
        <v>25</v>
      </c>
      <c r="P5466" t="s">
        <v>41</v>
      </c>
      <c r="Q5466" t="s">
        <v>42</v>
      </c>
      <c r="R5466" t="str">
        <f>"0590903"</f>
        <v>0590903</v>
      </c>
      <c r="S5466" t="s">
        <v>226</v>
      </c>
      <c r="T5466" t="s">
        <v>223</v>
      </c>
      <c r="U5466" t="s">
        <v>224</v>
      </c>
      <c r="V5466" t="s">
        <v>131</v>
      </c>
      <c r="W5466" t="s">
        <v>51</v>
      </c>
      <c r="X5466" t="s">
        <v>45</v>
      </c>
      <c r="Y5466" s="1">
        <v>26007</v>
      </c>
      <c r="Z5466">
        <v>2</v>
      </c>
      <c r="AA5466" t="s">
        <v>224</v>
      </c>
      <c r="AB5466" s="40" t="s">
        <v>1799</v>
      </c>
    </row>
    <row r="5467" spans="1:28" x14ac:dyDescent="0.25">
      <c r="A5467">
        <v>99915466</v>
      </c>
      <c r="B5467" t="s">
        <v>56</v>
      </c>
      <c r="C5467" t="s">
        <v>68</v>
      </c>
      <c r="D5467" t="s">
        <v>69</v>
      </c>
      <c r="G5467" t="s">
        <v>35</v>
      </c>
      <c r="H5467">
        <v>1</v>
      </c>
      <c r="K5467" t="s">
        <v>223</v>
      </c>
      <c r="L5467" t="s">
        <v>224</v>
      </c>
      <c r="M5467" t="s">
        <v>131</v>
      </c>
      <c r="N5467">
        <v>25</v>
      </c>
      <c r="P5467" t="s">
        <v>41</v>
      </c>
      <c r="Q5467" t="s">
        <v>42</v>
      </c>
      <c r="R5467" t="str">
        <f>"0590903"</f>
        <v>0590903</v>
      </c>
      <c r="S5467" t="s">
        <v>226</v>
      </c>
      <c r="T5467" t="s">
        <v>223</v>
      </c>
      <c r="U5467" t="s">
        <v>224</v>
      </c>
      <c r="V5467" t="s">
        <v>131</v>
      </c>
      <c r="W5467" t="s">
        <v>51</v>
      </c>
      <c r="X5467" t="s">
        <v>45</v>
      </c>
      <c r="Y5467" s="1">
        <v>26007</v>
      </c>
      <c r="Z5467">
        <v>2</v>
      </c>
      <c r="AA5467" t="s">
        <v>224</v>
      </c>
      <c r="AB5467" s="40" t="s">
        <v>1799</v>
      </c>
    </row>
    <row r="5468" spans="1:28" x14ac:dyDescent="0.25">
      <c r="A5468">
        <v>99915467</v>
      </c>
      <c r="B5468" t="s">
        <v>32</v>
      </c>
      <c r="C5468" t="s">
        <v>90</v>
      </c>
      <c r="D5468" t="s">
        <v>91</v>
      </c>
      <c r="G5468" t="s">
        <v>35</v>
      </c>
      <c r="H5468">
        <v>1</v>
      </c>
      <c r="I5468" t="s">
        <v>723</v>
      </c>
      <c r="J5468" s="1">
        <v>43344</v>
      </c>
      <c r="K5468" t="s">
        <v>268</v>
      </c>
      <c r="L5468" t="s">
        <v>269</v>
      </c>
      <c r="M5468" t="s">
        <v>131</v>
      </c>
      <c r="N5468">
        <v>25</v>
      </c>
      <c r="O5468" s="1">
        <v>43344</v>
      </c>
      <c r="P5468" t="s">
        <v>41</v>
      </c>
      <c r="Q5468" t="s">
        <v>95</v>
      </c>
      <c r="R5468" t="str">
        <f>"7052007"</f>
        <v>7052007</v>
      </c>
      <c r="S5468" t="s">
        <v>724</v>
      </c>
      <c r="T5468" t="s">
        <v>268</v>
      </c>
      <c r="U5468" t="s">
        <v>269</v>
      </c>
      <c r="V5468" t="s">
        <v>131</v>
      </c>
      <c r="W5468" t="s">
        <v>44</v>
      </c>
      <c r="X5468" t="s">
        <v>45</v>
      </c>
      <c r="Y5468" s="1">
        <v>25936</v>
      </c>
      <c r="Z5468">
        <v>1</v>
      </c>
      <c r="AA5468" t="s">
        <v>269</v>
      </c>
      <c r="AB5468" s="40" t="s">
        <v>1799</v>
      </c>
    </row>
    <row r="5469" spans="1:28" x14ac:dyDescent="0.25">
      <c r="A5469">
        <v>99915468</v>
      </c>
      <c r="B5469" t="s">
        <v>32</v>
      </c>
      <c r="C5469" t="s">
        <v>90</v>
      </c>
      <c r="D5469" t="s">
        <v>91</v>
      </c>
      <c r="G5469" t="s">
        <v>35</v>
      </c>
      <c r="H5469">
        <v>1</v>
      </c>
      <c r="I5469" t="s">
        <v>1092</v>
      </c>
      <c r="J5469" s="1">
        <v>43344</v>
      </c>
      <c r="K5469" t="s">
        <v>1081</v>
      </c>
      <c r="L5469" t="s">
        <v>1082</v>
      </c>
      <c r="M5469" t="s">
        <v>1053</v>
      </c>
      <c r="N5469">
        <v>25</v>
      </c>
      <c r="O5469" s="1">
        <v>43344</v>
      </c>
      <c r="P5469" t="s">
        <v>41</v>
      </c>
      <c r="Q5469" t="s">
        <v>95</v>
      </c>
      <c r="R5469" t="str">
        <f>"7201019"</f>
        <v>7201019</v>
      </c>
      <c r="S5469" t="s">
        <v>1104</v>
      </c>
      <c r="T5469" t="s">
        <v>1081</v>
      </c>
      <c r="U5469" t="s">
        <v>1082</v>
      </c>
      <c r="V5469" t="s">
        <v>1053</v>
      </c>
      <c r="W5469" t="s">
        <v>51</v>
      </c>
      <c r="X5469" t="s">
        <v>45</v>
      </c>
      <c r="Y5469" s="1">
        <v>25884</v>
      </c>
      <c r="Z5469">
        <v>1</v>
      </c>
      <c r="AA5469" t="s">
        <v>1082</v>
      </c>
      <c r="AB5469" s="40" t="s">
        <v>1799</v>
      </c>
    </row>
    <row r="5470" spans="1:28" x14ac:dyDescent="0.25">
      <c r="A5470">
        <v>99915469</v>
      </c>
      <c r="B5470" t="s">
        <v>32</v>
      </c>
      <c r="C5470" t="s">
        <v>90</v>
      </c>
      <c r="D5470" t="s">
        <v>91</v>
      </c>
      <c r="G5470" t="s">
        <v>48</v>
      </c>
      <c r="H5470">
        <v>1</v>
      </c>
      <c r="K5470" t="s">
        <v>1689</v>
      </c>
      <c r="L5470" t="s">
        <v>1690</v>
      </c>
      <c r="M5470" t="s">
        <v>1592</v>
      </c>
      <c r="N5470">
        <v>25</v>
      </c>
      <c r="P5470" t="s">
        <v>41</v>
      </c>
      <c r="Q5470" t="s">
        <v>95</v>
      </c>
      <c r="R5470" t="str">
        <f>"7301005"</f>
        <v>7301005</v>
      </c>
      <c r="S5470" t="s">
        <v>1694</v>
      </c>
      <c r="T5470" t="s">
        <v>1689</v>
      </c>
      <c r="U5470" t="s">
        <v>1690</v>
      </c>
      <c r="V5470" t="s">
        <v>1592</v>
      </c>
      <c r="W5470" t="s">
        <v>51</v>
      </c>
      <c r="X5470" t="s">
        <v>45</v>
      </c>
      <c r="Y5470" s="1">
        <v>25850</v>
      </c>
      <c r="Z5470">
        <v>1</v>
      </c>
      <c r="AA5470" t="s">
        <v>1690</v>
      </c>
      <c r="AB5470" s="40" t="s">
        <v>1799</v>
      </c>
    </row>
    <row r="5471" spans="1:28" x14ac:dyDescent="0.25">
      <c r="A5471">
        <v>99915470</v>
      </c>
      <c r="B5471" t="s">
        <v>32</v>
      </c>
      <c r="C5471" t="s">
        <v>90</v>
      </c>
      <c r="D5471" t="s">
        <v>91</v>
      </c>
      <c r="G5471" t="s">
        <v>48</v>
      </c>
      <c r="H5471">
        <v>1</v>
      </c>
      <c r="K5471" t="s">
        <v>1708</v>
      </c>
      <c r="L5471" t="s">
        <v>1709</v>
      </c>
      <c r="M5471" t="s">
        <v>1705</v>
      </c>
      <c r="N5471">
        <v>25</v>
      </c>
      <c r="P5471" t="s">
        <v>41</v>
      </c>
      <c r="Q5471" t="s">
        <v>95</v>
      </c>
      <c r="R5471" t="str">
        <f>"7121005"</f>
        <v>7121005</v>
      </c>
      <c r="S5471" t="s">
        <v>1720</v>
      </c>
      <c r="T5471" t="s">
        <v>1708</v>
      </c>
      <c r="U5471" t="s">
        <v>1709</v>
      </c>
      <c r="V5471" t="s">
        <v>1705</v>
      </c>
      <c r="W5471" t="s">
        <v>51</v>
      </c>
      <c r="X5471" t="s">
        <v>45</v>
      </c>
      <c r="Y5471" s="1">
        <v>25843</v>
      </c>
      <c r="Z5471">
        <v>1</v>
      </c>
      <c r="AA5471" t="s">
        <v>1709</v>
      </c>
      <c r="AB5471" s="40" t="s">
        <v>1799</v>
      </c>
    </row>
    <row r="5472" spans="1:28" x14ac:dyDescent="0.25">
      <c r="A5472">
        <v>99915471</v>
      </c>
      <c r="B5472" t="s">
        <v>56</v>
      </c>
      <c r="C5472" t="s">
        <v>68</v>
      </c>
      <c r="D5472" t="s">
        <v>69</v>
      </c>
      <c r="G5472" t="s">
        <v>35</v>
      </c>
      <c r="H5472">
        <v>1</v>
      </c>
      <c r="K5472" t="s">
        <v>223</v>
      </c>
      <c r="L5472" t="s">
        <v>224</v>
      </c>
      <c r="M5472" t="s">
        <v>131</v>
      </c>
      <c r="N5472">
        <v>25</v>
      </c>
      <c r="P5472" t="s">
        <v>41</v>
      </c>
      <c r="Q5472" t="s">
        <v>42</v>
      </c>
      <c r="R5472" t="str">
        <f>"0590903"</f>
        <v>0590903</v>
      </c>
      <c r="S5472" t="s">
        <v>226</v>
      </c>
      <c r="T5472" t="s">
        <v>223</v>
      </c>
      <c r="U5472" t="s">
        <v>224</v>
      </c>
      <c r="V5472" t="s">
        <v>131</v>
      </c>
      <c r="W5472" t="s">
        <v>51</v>
      </c>
      <c r="X5472" t="s">
        <v>45</v>
      </c>
      <c r="Y5472" s="1">
        <v>25833</v>
      </c>
      <c r="Z5472">
        <v>2</v>
      </c>
      <c r="AA5472" t="s">
        <v>224</v>
      </c>
      <c r="AB5472" s="40" t="s">
        <v>1799</v>
      </c>
    </row>
    <row r="5473" spans="1:28" x14ac:dyDescent="0.25">
      <c r="A5473">
        <v>99915472</v>
      </c>
      <c r="B5473" t="s">
        <v>56</v>
      </c>
      <c r="C5473" t="s">
        <v>46</v>
      </c>
      <c r="D5473" t="s">
        <v>47</v>
      </c>
      <c r="G5473" t="s">
        <v>48</v>
      </c>
      <c r="H5473">
        <v>1</v>
      </c>
      <c r="K5473" t="s">
        <v>1051</v>
      </c>
      <c r="L5473" t="s">
        <v>1052</v>
      </c>
      <c r="M5473" t="s">
        <v>1053</v>
      </c>
      <c r="N5473">
        <v>25</v>
      </c>
      <c r="P5473" t="s">
        <v>41</v>
      </c>
      <c r="Q5473" t="s">
        <v>42</v>
      </c>
      <c r="R5473" t="str">
        <f>"2061001"</f>
        <v>2061001</v>
      </c>
      <c r="S5473" t="s">
        <v>1058</v>
      </c>
      <c r="T5473" t="s">
        <v>1051</v>
      </c>
      <c r="U5473" t="s">
        <v>1052</v>
      </c>
      <c r="V5473" t="s">
        <v>1053</v>
      </c>
      <c r="W5473" t="s">
        <v>51</v>
      </c>
      <c r="X5473" t="s">
        <v>45</v>
      </c>
      <c r="Y5473" s="1">
        <v>25768</v>
      </c>
      <c r="Z5473">
        <v>2</v>
      </c>
      <c r="AA5473" t="s">
        <v>1052</v>
      </c>
      <c r="AB5473" s="40" t="s">
        <v>1799</v>
      </c>
    </row>
    <row r="5474" spans="1:28" x14ac:dyDescent="0.25">
      <c r="A5474">
        <v>99915473</v>
      </c>
      <c r="B5474" t="s">
        <v>32</v>
      </c>
      <c r="C5474" t="s">
        <v>90</v>
      </c>
      <c r="D5474" t="s">
        <v>91</v>
      </c>
      <c r="G5474" t="s">
        <v>35</v>
      </c>
      <c r="H5474">
        <v>1</v>
      </c>
      <c r="K5474" t="s">
        <v>1198</v>
      </c>
      <c r="L5474" t="s">
        <v>1199</v>
      </c>
      <c r="M5474" t="s">
        <v>1130</v>
      </c>
      <c r="N5474">
        <v>25</v>
      </c>
      <c r="P5474" t="s">
        <v>41</v>
      </c>
      <c r="Q5474" t="s">
        <v>95</v>
      </c>
      <c r="R5474" t="str">
        <f>"7311001"</f>
        <v>7311001</v>
      </c>
      <c r="S5474" t="s">
        <v>1201</v>
      </c>
      <c r="T5474" t="s">
        <v>1198</v>
      </c>
      <c r="U5474" t="s">
        <v>1199</v>
      </c>
      <c r="V5474" t="s">
        <v>1130</v>
      </c>
      <c r="W5474" t="s">
        <v>51</v>
      </c>
      <c r="X5474" t="s">
        <v>45</v>
      </c>
      <c r="Y5474" s="1">
        <v>25715</v>
      </c>
      <c r="Z5474">
        <v>1</v>
      </c>
      <c r="AA5474" t="s">
        <v>1199</v>
      </c>
      <c r="AB5474" s="40" t="s">
        <v>1799</v>
      </c>
    </row>
    <row r="5475" spans="1:28" x14ac:dyDescent="0.25">
      <c r="A5475">
        <v>99915474</v>
      </c>
      <c r="B5475" t="s">
        <v>32</v>
      </c>
      <c r="C5475" t="s">
        <v>90</v>
      </c>
      <c r="D5475" t="s">
        <v>91</v>
      </c>
      <c r="G5475" t="s">
        <v>48</v>
      </c>
      <c r="H5475">
        <v>1</v>
      </c>
      <c r="K5475" t="s">
        <v>667</v>
      </c>
      <c r="L5475" t="s">
        <v>669</v>
      </c>
      <c r="M5475" t="s">
        <v>670</v>
      </c>
      <c r="N5475">
        <v>25</v>
      </c>
      <c r="P5475" t="s">
        <v>41</v>
      </c>
      <c r="Q5475" t="s">
        <v>95</v>
      </c>
      <c r="R5475" t="str">
        <f>"7501013"</f>
        <v>7501013</v>
      </c>
      <c r="S5475" t="s">
        <v>1543</v>
      </c>
      <c r="T5475" t="s">
        <v>667</v>
      </c>
      <c r="U5475" t="s">
        <v>669</v>
      </c>
      <c r="V5475" t="s">
        <v>670</v>
      </c>
      <c r="W5475" t="s">
        <v>51</v>
      </c>
      <c r="X5475" t="s">
        <v>45</v>
      </c>
      <c r="Y5475" s="1">
        <v>25644</v>
      </c>
      <c r="Z5475">
        <v>1</v>
      </c>
      <c r="AA5475" t="s">
        <v>669</v>
      </c>
      <c r="AB5475" s="40" t="s">
        <v>1799</v>
      </c>
    </row>
    <row r="5476" spans="1:28" x14ac:dyDescent="0.25">
      <c r="A5476">
        <v>99915475</v>
      </c>
      <c r="B5476" t="s">
        <v>32</v>
      </c>
      <c r="C5476" t="s">
        <v>90</v>
      </c>
      <c r="D5476" t="s">
        <v>91</v>
      </c>
      <c r="G5476" t="s">
        <v>48</v>
      </c>
      <c r="H5476">
        <v>1</v>
      </c>
      <c r="K5476" t="s">
        <v>963</v>
      </c>
      <c r="L5476" t="s">
        <v>964</v>
      </c>
      <c r="M5476" t="s">
        <v>938</v>
      </c>
      <c r="N5476">
        <v>25</v>
      </c>
      <c r="P5476" t="s">
        <v>41</v>
      </c>
      <c r="Q5476" t="s">
        <v>95</v>
      </c>
      <c r="R5476" t="str">
        <f>"7061041"</f>
        <v>7061041</v>
      </c>
      <c r="S5476" t="s">
        <v>1019</v>
      </c>
      <c r="T5476" t="s">
        <v>963</v>
      </c>
      <c r="U5476" t="s">
        <v>964</v>
      </c>
      <c r="V5476" t="s">
        <v>938</v>
      </c>
      <c r="W5476" t="s">
        <v>51</v>
      </c>
      <c r="X5476" t="s">
        <v>45</v>
      </c>
      <c r="Y5476" s="1">
        <v>25583</v>
      </c>
      <c r="Z5476">
        <v>1</v>
      </c>
      <c r="AA5476" t="s">
        <v>964</v>
      </c>
      <c r="AB5476" s="40" t="s">
        <v>1799</v>
      </c>
    </row>
    <row r="5477" spans="1:28" x14ac:dyDescent="0.25">
      <c r="A5477">
        <v>99915476</v>
      </c>
      <c r="B5477" t="s">
        <v>32</v>
      </c>
      <c r="C5477" t="s">
        <v>90</v>
      </c>
      <c r="D5477" t="s">
        <v>91</v>
      </c>
      <c r="G5477" t="s">
        <v>35</v>
      </c>
      <c r="H5477">
        <v>1</v>
      </c>
      <c r="K5477" t="s">
        <v>268</v>
      </c>
      <c r="L5477" t="s">
        <v>269</v>
      </c>
      <c r="M5477" t="s">
        <v>131</v>
      </c>
      <c r="N5477">
        <v>25</v>
      </c>
      <c r="P5477" t="s">
        <v>41</v>
      </c>
      <c r="Q5477" t="s">
        <v>95</v>
      </c>
      <c r="R5477" t="str">
        <f>"7052185"</f>
        <v>7052185</v>
      </c>
      <c r="S5477" t="s">
        <v>698</v>
      </c>
      <c r="T5477" t="s">
        <v>268</v>
      </c>
      <c r="U5477" t="s">
        <v>269</v>
      </c>
      <c r="V5477" t="s">
        <v>131</v>
      </c>
      <c r="W5477" t="s">
        <v>51</v>
      </c>
      <c r="X5477" t="s">
        <v>45</v>
      </c>
      <c r="Y5477" s="1">
        <v>25569</v>
      </c>
      <c r="Z5477">
        <v>1</v>
      </c>
      <c r="AA5477" t="s">
        <v>269</v>
      </c>
      <c r="AB5477" s="40" t="s">
        <v>1799</v>
      </c>
    </row>
    <row r="5478" spans="1:28" x14ac:dyDescent="0.25">
      <c r="A5478">
        <v>99915477</v>
      </c>
      <c r="B5478" t="s">
        <v>32</v>
      </c>
      <c r="C5478" t="s">
        <v>90</v>
      </c>
      <c r="D5478" t="s">
        <v>91</v>
      </c>
      <c r="G5478" t="s">
        <v>35</v>
      </c>
      <c r="H5478">
        <v>1</v>
      </c>
      <c r="K5478" t="s">
        <v>195</v>
      </c>
      <c r="L5478" t="s">
        <v>196</v>
      </c>
      <c r="M5478" t="s">
        <v>131</v>
      </c>
      <c r="N5478">
        <v>25</v>
      </c>
      <c r="P5478" t="s">
        <v>41</v>
      </c>
      <c r="Q5478" t="s">
        <v>95</v>
      </c>
      <c r="R5478" t="str">
        <f>"7521105"</f>
        <v>7521105</v>
      </c>
      <c r="S5478" t="s">
        <v>478</v>
      </c>
      <c r="T5478" t="s">
        <v>195</v>
      </c>
      <c r="U5478" t="s">
        <v>196</v>
      </c>
      <c r="V5478" t="s">
        <v>131</v>
      </c>
      <c r="W5478" t="s">
        <v>165</v>
      </c>
      <c r="X5478" t="s">
        <v>45</v>
      </c>
      <c r="Y5478" s="1">
        <v>25473</v>
      </c>
      <c r="Z5478">
        <v>1</v>
      </c>
      <c r="AA5478" t="s">
        <v>196</v>
      </c>
      <c r="AB5478" s="40" t="s">
        <v>1799</v>
      </c>
    </row>
    <row r="5479" spans="1:28" x14ac:dyDescent="0.25">
      <c r="A5479">
        <v>99915478</v>
      </c>
      <c r="B5479" t="s">
        <v>32</v>
      </c>
      <c r="C5479" t="s">
        <v>90</v>
      </c>
      <c r="D5479" t="s">
        <v>91</v>
      </c>
      <c r="G5479" t="s">
        <v>48</v>
      </c>
      <c r="H5479">
        <v>5</v>
      </c>
      <c r="K5479" t="s">
        <v>1221</v>
      </c>
      <c r="L5479" t="s">
        <v>1222</v>
      </c>
      <c r="M5479" t="s">
        <v>1130</v>
      </c>
      <c r="N5479">
        <v>25</v>
      </c>
      <c r="P5479" t="s">
        <v>41</v>
      </c>
      <c r="Q5479" t="s">
        <v>95</v>
      </c>
      <c r="R5479" t="str">
        <f>"7351001"</f>
        <v>7351001</v>
      </c>
      <c r="S5479" t="s">
        <v>1235</v>
      </c>
      <c r="T5479" t="s">
        <v>1221</v>
      </c>
      <c r="U5479" t="s">
        <v>1222</v>
      </c>
      <c r="V5479" t="s">
        <v>1130</v>
      </c>
      <c r="W5479" t="s">
        <v>51</v>
      </c>
      <c r="X5479" t="s">
        <v>45</v>
      </c>
      <c r="Y5479" s="1">
        <v>25456</v>
      </c>
      <c r="Z5479">
        <v>1</v>
      </c>
      <c r="AA5479" t="s">
        <v>1222</v>
      </c>
      <c r="AB5479" s="40" t="s">
        <v>1799</v>
      </c>
    </row>
    <row r="5480" spans="1:28" x14ac:dyDescent="0.25">
      <c r="A5480">
        <v>99915479</v>
      </c>
      <c r="B5480" t="s">
        <v>32</v>
      </c>
      <c r="C5480" t="s">
        <v>90</v>
      </c>
      <c r="D5480" t="s">
        <v>91</v>
      </c>
      <c r="G5480" t="s">
        <v>35</v>
      </c>
      <c r="H5480">
        <v>1</v>
      </c>
      <c r="K5480" t="s">
        <v>963</v>
      </c>
      <c r="L5480" t="s">
        <v>964</v>
      </c>
      <c r="M5480" t="s">
        <v>938</v>
      </c>
      <c r="N5480">
        <v>25</v>
      </c>
      <c r="P5480" t="s">
        <v>41</v>
      </c>
      <c r="Q5480" t="s">
        <v>95</v>
      </c>
      <c r="R5480" t="str">
        <f>"7061007"</f>
        <v>7061007</v>
      </c>
      <c r="S5480" t="s">
        <v>1021</v>
      </c>
      <c r="T5480" t="s">
        <v>963</v>
      </c>
      <c r="U5480" t="s">
        <v>964</v>
      </c>
      <c r="V5480" t="s">
        <v>938</v>
      </c>
      <c r="W5480" t="s">
        <v>51</v>
      </c>
      <c r="X5480" t="s">
        <v>45</v>
      </c>
      <c r="Y5480" s="1">
        <v>25428</v>
      </c>
      <c r="Z5480">
        <v>1</v>
      </c>
      <c r="AA5480" t="s">
        <v>964</v>
      </c>
      <c r="AB5480" s="40" t="s">
        <v>1799</v>
      </c>
    </row>
    <row r="5481" spans="1:28" x14ac:dyDescent="0.25">
      <c r="A5481">
        <v>99915480</v>
      </c>
      <c r="B5481" t="s">
        <v>32</v>
      </c>
      <c r="C5481" t="s">
        <v>90</v>
      </c>
      <c r="D5481" t="s">
        <v>91</v>
      </c>
      <c r="G5481" t="s">
        <v>35</v>
      </c>
      <c r="H5481">
        <v>1</v>
      </c>
      <c r="K5481" t="s">
        <v>1081</v>
      </c>
      <c r="L5481" t="s">
        <v>1082</v>
      </c>
      <c r="M5481" t="s">
        <v>1053</v>
      </c>
      <c r="N5481">
        <v>25</v>
      </c>
      <c r="P5481" t="s">
        <v>41</v>
      </c>
      <c r="Q5481" t="s">
        <v>95</v>
      </c>
      <c r="R5481" t="str">
        <f>"7201001"</f>
        <v>7201001</v>
      </c>
      <c r="S5481" t="s">
        <v>1109</v>
      </c>
      <c r="T5481" t="s">
        <v>1081</v>
      </c>
      <c r="U5481" t="s">
        <v>1082</v>
      </c>
      <c r="V5481" t="s">
        <v>1053</v>
      </c>
      <c r="W5481" t="s">
        <v>51</v>
      </c>
      <c r="X5481" t="s">
        <v>45</v>
      </c>
      <c r="Y5481" s="1">
        <v>25423</v>
      </c>
      <c r="Z5481">
        <v>1</v>
      </c>
      <c r="AA5481" t="s">
        <v>1082</v>
      </c>
      <c r="AB5481" s="40" t="s">
        <v>1799</v>
      </c>
    </row>
    <row r="5482" spans="1:28" x14ac:dyDescent="0.25">
      <c r="A5482">
        <v>99915481</v>
      </c>
      <c r="B5482" t="s">
        <v>32</v>
      </c>
      <c r="C5482" t="s">
        <v>90</v>
      </c>
      <c r="D5482" t="s">
        <v>91</v>
      </c>
      <c r="G5482" t="s">
        <v>48</v>
      </c>
      <c r="H5482">
        <v>1</v>
      </c>
      <c r="K5482" t="s">
        <v>1198</v>
      </c>
      <c r="L5482" t="s">
        <v>1199</v>
      </c>
      <c r="M5482" t="s">
        <v>1130</v>
      </c>
      <c r="N5482">
        <v>25</v>
      </c>
      <c r="P5482" t="s">
        <v>41</v>
      </c>
      <c r="Q5482" t="s">
        <v>95</v>
      </c>
      <c r="R5482" t="str">
        <f>"7311009"</f>
        <v>7311009</v>
      </c>
      <c r="S5482" t="s">
        <v>1220</v>
      </c>
      <c r="T5482" t="s">
        <v>1198</v>
      </c>
      <c r="U5482" t="s">
        <v>1199</v>
      </c>
      <c r="V5482" t="s">
        <v>1130</v>
      </c>
      <c r="W5482" t="s">
        <v>51</v>
      </c>
      <c r="X5482" t="s">
        <v>45</v>
      </c>
      <c r="Y5482" s="1">
        <v>25415</v>
      </c>
      <c r="Z5482">
        <v>1</v>
      </c>
      <c r="AA5482" t="s">
        <v>1199</v>
      </c>
      <c r="AB5482" s="40" t="s">
        <v>1799</v>
      </c>
    </row>
    <row r="5483" spans="1:28" x14ac:dyDescent="0.25">
      <c r="A5483">
        <v>99915482</v>
      </c>
      <c r="B5483" t="s">
        <v>32</v>
      </c>
      <c r="C5483" t="s">
        <v>90</v>
      </c>
      <c r="D5483" t="s">
        <v>91</v>
      </c>
      <c r="G5483" t="s">
        <v>48</v>
      </c>
      <c r="H5483">
        <v>4</v>
      </c>
      <c r="I5483" t="s">
        <v>1005</v>
      </c>
      <c r="J5483" s="1">
        <v>43344</v>
      </c>
      <c r="K5483" t="s">
        <v>963</v>
      </c>
      <c r="L5483" t="s">
        <v>964</v>
      </c>
      <c r="M5483" t="s">
        <v>938</v>
      </c>
      <c r="N5483">
        <v>25</v>
      </c>
      <c r="O5483" s="1">
        <v>43344</v>
      </c>
      <c r="P5483" t="s">
        <v>41</v>
      </c>
      <c r="Q5483" t="s">
        <v>95</v>
      </c>
      <c r="R5483" t="str">
        <f>"7061005"</f>
        <v>7061005</v>
      </c>
      <c r="S5483" t="s">
        <v>1006</v>
      </c>
      <c r="T5483" t="s">
        <v>963</v>
      </c>
      <c r="U5483" t="s">
        <v>964</v>
      </c>
      <c r="V5483" t="s">
        <v>938</v>
      </c>
      <c r="W5483" t="s">
        <v>51</v>
      </c>
      <c r="X5483" t="s">
        <v>45</v>
      </c>
      <c r="Y5483" s="1">
        <v>25408</v>
      </c>
      <c r="Z5483">
        <v>1</v>
      </c>
      <c r="AA5483" t="s">
        <v>964</v>
      </c>
      <c r="AB5483" s="40" t="s">
        <v>1799</v>
      </c>
    </row>
    <row r="5484" spans="1:28" x14ac:dyDescent="0.25">
      <c r="A5484">
        <v>99915483</v>
      </c>
      <c r="B5484" t="s">
        <v>32</v>
      </c>
      <c r="C5484" t="s">
        <v>90</v>
      </c>
      <c r="D5484" t="s">
        <v>91</v>
      </c>
      <c r="G5484" t="s">
        <v>35</v>
      </c>
      <c r="H5484">
        <v>1</v>
      </c>
      <c r="K5484" t="s">
        <v>985</v>
      </c>
      <c r="L5484" t="s">
        <v>986</v>
      </c>
      <c r="M5484" t="s">
        <v>938</v>
      </c>
      <c r="N5484">
        <v>25</v>
      </c>
      <c r="P5484" t="s">
        <v>41</v>
      </c>
      <c r="Q5484" t="s">
        <v>95</v>
      </c>
      <c r="R5484" t="str">
        <f>"7011001"</f>
        <v>7011001</v>
      </c>
      <c r="S5484" t="s">
        <v>990</v>
      </c>
      <c r="T5484" t="s">
        <v>985</v>
      </c>
      <c r="U5484" t="s">
        <v>986</v>
      </c>
      <c r="V5484" t="s">
        <v>938</v>
      </c>
      <c r="W5484" t="s">
        <v>51</v>
      </c>
      <c r="X5484" t="s">
        <v>45</v>
      </c>
      <c r="Y5484" s="1">
        <v>25407</v>
      </c>
      <c r="Z5484">
        <v>1</v>
      </c>
      <c r="AA5484" t="s">
        <v>986</v>
      </c>
      <c r="AB5484" s="40" t="s">
        <v>1799</v>
      </c>
    </row>
    <row r="5485" spans="1:28" x14ac:dyDescent="0.25">
      <c r="A5485">
        <v>99915484</v>
      </c>
      <c r="B5485" t="s">
        <v>32</v>
      </c>
      <c r="C5485" t="s">
        <v>90</v>
      </c>
      <c r="D5485" t="s">
        <v>91</v>
      </c>
      <c r="G5485" t="s">
        <v>48</v>
      </c>
      <c r="H5485">
        <v>1</v>
      </c>
      <c r="K5485" t="s">
        <v>1341</v>
      </c>
      <c r="L5485" t="s">
        <v>1342</v>
      </c>
      <c r="M5485" t="s">
        <v>1270</v>
      </c>
      <c r="N5485">
        <v>25</v>
      </c>
      <c r="P5485" t="s">
        <v>41</v>
      </c>
      <c r="Q5485" t="s">
        <v>95</v>
      </c>
      <c r="R5485" t="str">
        <f>"7191049"</f>
        <v>7191049</v>
      </c>
      <c r="S5485" t="s">
        <v>1413</v>
      </c>
      <c r="T5485" t="s">
        <v>1341</v>
      </c>
      <c r="U5485" t="s">
        <v>1342</v>
      </c>
      <c r="V5485" t="s">
        <v>1270</v>
      </c>
      <c r="W5485" t="s">
        <v>51</v>
      </c>
      <c r="X5485" t="s">
        <v>45</v>
      </c>
      <c r="Y5485" s="1">
        <v>25397</v>
      </c>
      <c r="Z5485">
        <v>1</v>
      </c>
      <c r="AA5485" t="s">
        <v>1342</v>
      </c>
      <c r="AB5485" s="40" t="s">
        <v>1799</v>
      </c>
    </row>
    <row r="5486" spans="1:28" x14ac:dyDescent="0.25">
      <c r="A5486">
        <v>99915485</v>
      </c>
      <c r="B5486" t="s">
        <v>56</v>
      </c>
      <c r="C5486" t="s">
        <v>90</v>
      </c>
      <c r="D5486" t="s">
        <v>91</v>
      </c>
      <c r="G5486" t="s">
        <v>35</v>
      </c>
      <c r="H5486">
        <v>1</v>
      </c>
      <c r="I5486" t="s">
        <v>1075</v>
      </c>
      <c r="J5486" s="1">
        <v>43344</v>
      </c>
      <c r="K5486" t="s">
        <v>1071</v>
      </c>
      <c r="L5486" t="s">
        <v>1072</v>
      </c>
      <c r="M5486" t="s">
        <v>1053</v>
      </c>
      <c r="N5486">
        <v>25</v>
      </c>
      <c r="O5486" s="1">
        <v>43344</v>
      </c>
      <c r="P5486" t="s">
        <v>41</v>
      </c>
      <c r="Q5486" t="s">
        <v>95</v>
      </c>
      <c r="R5486" t="str">
        <f>"7041003"</f>
        <v>7041003</v>
      </c>
      <c r="S5486" t="s">
        <v>1076</v>
      </c>
      <c r="T5486" t="s">
        <v>1071</v>
      </c>
      <c r="U5486" t="s">
        <v>1072</v>
      </c>
      <c r="V5486" t="s">
        <v>1053</v>
      </c>
      <c r="W5486" t="s">
        <v>165</v>
      </c>
      <c r="X5486" t="s">
        <v>45</v>
      </c>
      <c r="Y5486" s="1">
        <v>25373</v>
      </c>
      <c r="Z5486">
        <v>1</v>
      </c>
      <c r="AA5486" t="s">
        <v>1072</v>
      </c>
      <c r="AB5486" s="40" t="s">
        <v>1799</v>
      </c>
    </row>
    <row r="5487" spans="1:28" x14ac:dyDescent="0.25">
      <c r="A5487">
        <v>99915486</v>
      </c>
      <c r="B5487" t="s">
        <v>32</v>
      </c>
      <c r="C5487" t="s">
        <v>90</v>
      </c>
      <c r="D5487" t="s">
        <v>91</v>
      </c>
      <c r="G5487" t="s">
        <v>35</v>
      </c>
      <c r="H5487">
        <v>1</v>
      </c>
      <c r="I5487">
        <v>187770</v>
      </c>
      <c r="J5487" s="1">
        <v>43344</v>
      </c>
      <c r="K5487" t="s">
        <v>1071</v>
      </c>
      <c r="L5487" t="s">
        <v>1072</v>
      </c>
      <c r="M5487" t="s">
        <v>1053</v>
      </c>
      <c r="N5487">
        <v>25</v>
      </c>
      <c r="O5487" s="1">
        <v>43344</v>
      </c>
      <c r="P5487" t="s">
        <v>41</v>
      </c>
      <c r="Q5487" t="s">
        <v>95</v>
      </c>
      <c r="R5487" t="str">
        <f>"7041007"</f>
        <v>7041007</v>
      </c>
      <c r="S5487" t="s">
        <v>1074</v>
      </c>
      <c r="T5487" t="s">
        <v>1071</v>
      </c>
      <c r="U5487" t="s">
        <v>1072</v>
      </c>
      <c r="V5487" t="s">
        <v>1053</v>
      </c>
      <c r="W5487" t="s">
        <v>165</v>
      </c>
      <c r="X5487" t="s">
        <v>45</v>
      </c>
      <c r="Y5487" s="1">
        <v>25349</v>
      </c>
      <c r="Z5487">
        <v>1</v>
      </c>
      <c r="AA5487" t="s">
        <v>1072</v>
      </c>
      <c r="AB5487" s="40" t="s">
        <v>1799</v>
      </c>
    </row>
    <row r="5488" spans="1:28" x14ac:dyDescent="0.25">
      <c r="A5488">
        <v>99915487</v>
      </c>
      <c r="B5488" t="s">
        <v>32</v>
      </c>
      <c r="C5488" t="s">
        <v>90</v>
      </c>
      <c r="D5488" t="s">
        <v>91</v>
      </c>
      <c r="G5488" t="s">
        <v>35</v>
      </c>
      <c r="H5488">
        <v>1</v>
      </c>
      <c r="I5488">
        <v>12312</v>
      </c>
      <c r="J5488" s="1">
        <v>43344</v>
      </c>
      <c r="K5488" t="s">
        <v>1426</v>
      </c>
      <c r="L5488" t="s">
        <v>1427</v>
      </c>
      <c r="M5488" t="s">
        <v>1270</v>
      </c>
      <c r="N5488">
        <v>25</v>
      </c>
      <c r="O5488" s="1">
        <v>43344</v>
      </c>
      <c r="P5488" t="s">
        <v>41</v>
      </c>
      <c r="Q5488" t="s">
        <v>95</v>
      </c>
      <c r="R5488" t="str">
        <f>"7192045"</f>
        <v>7192045</v>
      </c>
      <c r="S5488" t="s">
        <v>1430</v>
      </c>
      <c r="T5488" t="s">
        <v>1426</v>
      </c>
      <c r="U5488" t="s">
        <v>1427</v>
      </c>
      <c r="V5488" t="s">
        <v>1270</v>
      </c>
      <c r="W5488" t="s">
        <v>51</v>
      </c>
      <c r="X5488" t="s">
        <v>45</v>
      </c>
      <c r="Y5488" s="1">
        <v>25309</v>
      </c>
      <c r="Z5488">
        <v>1</v>
      </c>
      <c r="AA5488" t="s">
        <v>1427</v>
      </c>
      <c r="AB5488" s="40" t="s">
        <v>1799</v>
      </c>
    </row>
    <row r="5489" spans="1:28" x14ac:dyDescent="0.25">
      <c r="A5489">
        <v>99915488</v>
      </c>
      <c r="B5489" t="s">
        <v>32</v>
      </c>
      <c r="C5489" t="s">
        <v>90</v>
      </c>
      <c r="D5489" t="s">
        <v>91</v>
      </c>
      <c r="G5489" t="s">
        <v>48</v>
      </c>
      <c r="H5489">
        <v>1</v>
      </c>
      <c r="J5489" s="1">
        <v>40058</v>
      </c>
      <c r="K5489" t="s">
        <v>1457</v>
      </c>
      <c r="L5489" t="s">
        <v>1458</v>
      </c>
      <c r="M5489" t="s">
        <v>1270</v>
      </c>
      <c r="N5489">
        <v>25</v>
      </c>
      <c r="O5489" s="1">
        <v>40058</v>
      </c>
      <c r="P5489" t="s">
        <v>41</v>
      </c>
      <c r="Q5489" t="s">
        <v>95</v>
      </c>
      <c r="R5489" t="str">
        <f>"7161007"</f>
        <v>7161007</v>
      </c>
      <c r="S5489" t="s">
        <v>1460</v>
      </c>
      <c r="T5489" t="s">
        <v>1457</v>
      </c>
      <c r="U5489" t="s">
        <v>1458</v>
      </c>
      <c r="V5489" t="s">
        <v>1270</v>
      </c>
      <c r="W5489" t="s">
        <v>51</v>
      </c>
      <c r="X5489" t="s">
        <v>45</v>
      </c>
      <c r="Y5489" s="1">
        <v>25269</v>
      </c>
      <c r="Z5489">
        <v>1</v>
      </c>
      <c r="AA5489" t="s">
        <v>1458</v>
      </c>
      <c r="AB5489" s="40" t="s">
        <v>1799</v>
      </c>
    </row>
    <row r="5490" spans="1:28" x14ac:dyDescent="0.25">
      <c r="A5490">
        <v>99915489</v>
      </c>
      <c r="B5490" t="s">
        <v>32</v>
      </c>
      <c r="C5490" t="s">
        <v>90</v>
      </c>
      <c r="D5490" t="s">
        <v>91</v>
      </c>
      <c r="G5490" t="s">
        <v>48</v>
      </c>
      <c r="H5490">
        <v>1</v>
      </c>
      <c r="K5490" t="s">
        <v>268</v>
      </c>
      <c r="L5490" t="s">
        <v>269</v>
      </c>
      <c r="M5490" t="s">
        <v>131</v>
      </c>
      <c r="N5490">
        <v>25</v>
      </c>
      <c r="P5490" t="s">
        <v>41</v>
      </c>
      <c r="Q5490" t="s">
        <v>95</v>
      </c>
      <c r="R5490" t="str">
        <f>"7052063"</f>
        <v>7052063</v>
      </c>
      <c r="S5490" t="s">
        <v>642</v>
      </c>
      <c r="T5490" t="s">
        <v>268</v>
      </c>
      <c r="U5490" t="s">
        <v>269</v>
      </c>
      <c r="V5490" t="s">
        <v>131</v>
      </c>
      <c r="W5490" t="s">
        <v>51</v>
      </c>
      <c r="X5490" t="s">
        <v>45</v>
      </c>
      <c r="Y5490" s="1">
        <v>25250</v>
      </c>
      <c r="Z5490">
        <v>1</v>
      </c>
      <c r="AA5490" t="s">
        <v>269</v>
      </c>
      <c r="AB5490" s="40" t="s">
        <v>1799</v>
      </c>
    </row>
    <row r="5491" spans="1:28" x14ac:dyDescent="0.25">
      <c r="A5491">
        <v>99915490</v>
      </c>
      <c r="B5491" t="s">
        <v>32</v>
      </c>
      <c r="C5491" t="s">
        <v>90</v>
      </c>
      <c r="D5491" t="s">
        <v>91</v>
      </c>
      <c r="G5491" t="s">
        <v>35</v>
      </c>
      <c r="H5491">
        <v>1</v>
      </c>
      <c r="K5491" t="s">
        <v>1081</v>
      </c>
      <c r="L5491" t="s">
        <v>1082</v>
      </c>
      <c r="M5491" t="s">
        <v>1053</v>
      </c>
      <c r="N5491">
        <v>25</v>
      </c>
      <c r="P5491" t="s">
        <v>41</v>
      </c>
      <c r="Q5491" t="s">
        <v>95</v>
      </c>
      <c r="R5491" t="str">
        <f>"7201001"</f>
        <v>7201001</v>
      </c>
      <c r="S5491" t="s">
        <v>1109</v>
      </c>
      <c r="T5491" t="s">
        <v>1081</v>
      </c>
      <c r="U5491" t="s">
        <v>1082</v>
      </c>
      <c r="V5491" t="s">
        <v>1053</v>
      </c>
      <c r="W5491" t="s">
        <v>165</v>
      </c>
      <c r="X5491" t="s">
        <v>45</v>
      </c>
      <c r="Y5491" s="1">
        <v>25235</v>
      </c>
      <c r="Z5491">
        <v>1</v>
      </c>
      <c r="AA5491" t="s">
        <v>1082</v>
      </c>
      <c r="AB5491" s="40" t="s">
        <v>1799</v>
      </c>
    </row>
    <row r="5492" spans="1:28" x14ac:dyDescent="0.25">
      <c r="A5492">
        <v>99915491</v>
      </c>
      <c r="B5492" t="s">
        <v>32</v>
      </c>
      <c r="C5492" t="s">
        <v>90</v>
      </c>
      <c r="D5492" t="s">
        <v>91</v>
      </c>
      <c r="G5492" t="s">
        <v>48</v>
      </c>
      <c r="H5492">
        <v>1</v>
      </c>
      <c r="K5492" t="s">
        <v>1043</v>
      </c>
      <c r="L5492" t="s">
        <v>1044</v>
      </c>
      <c r="M5492" t="s">
        <v>1041</v>
      </c>
      <c r="N5492">
        <v>25</v>
      </c>
      <c r="P5492" t="s">
        <v>41</v>
      </c>
      <c r="Q5492" t="s">
        <v>95</v>
      </c>
      <c r="R5492" t="str">
        <f>"7271003"</f>
        <v>7271003</v>
      </c>
      <c r="S5492" t="s">
        <v>1046</v>
      </c>
      <c r="T5492" t="s">
        <v>1043</v>
      </c>
      <c r="U5492" t="s">
        <v>1044</v>
      </c>
      <c r="V5492" t="s">
        <v>1041</v>
      </c>
      <c r="W5492" t="s">
        <v>51</v>
      </c>
      <c r="X5492" t="s">
        <v>45</v>
      </c>
      <c r="Y5492" s="1">
        <v>25204</v>
      </c>
      <c r="Z5492">
        <v>1</v>
      </c>
      <c r="AA5492" t="s">
        <v>1044</v>
      </c>
      <c r="AB5492" s="40" t="s">
        <v>1799</v>
      </c>
    </row>
    <row r="5493" spans="1:28" x14ac:dyDescent="0.25">
      <c r="A5493">
        <v>99915492</v>
      </c>
      <c r="B5493" t="s">
        <v>32</v>
      </c>
      <c r="C5493" t="s">
        <v>90</v>
      </c>
      <c r="D5493" t="s">
        <v>91</v>
      </c>
      <c r="G5493" t="s">
        <v>35</v>
      </c>
      <c r="H5493">
        <v>3</v>
      </c>
      <c r="K5493" t="s">
        <v>1221</v>
      </c>
      <c r="L5493" t="s">
        <v>1222</v>
      </c>
      <c r="M5493" t="s">
        <v>1130</v>
      </c>
      <c r="N5493">
        <v>25</v>
      </c>
      <c r="P5493" t="s">
        <v>41</v>
      </c>
      <c r="Q5493" t="s">
        <v>95</v>
      </c>
      <c r="R5493" t="str">
        <f>"7351009"</f>
        <v>7351009</v>
      </c>
      <c r="S5493" t="s">
        <v>1241</v>
      </c>
      <c r="T5493" t="s">
        <v>1221</v>
      </c>
      <c r="U5493" t="s">
        <v>1222</v>
      </c>
      <c r="V5493" t="s">
        <v>1130</v>
      </c>
      <c r="W5493" t="s">
        <v>51</v>
      </c>
      <c r="X5493" t="s">
        <v>45</v>
      </c>
      <c r="Y5493" s="1">
        <v>25204</v>
      </c>
      <c r="Z5493">
        <v>1</v>
      </c>
      <c r="AA5493" t="s">
        <v>1222</v>
      </c>
      <c r="AB5493" s="40" t="s">
        <v>1799</v>
      </c>
    </row>
    <row r="5494" spans="1:28" x14ac:dyDescent="0.25">
      <c r="A5494">
        <v>99915493</v>
      </c>
      <c r="B5494" t="s">
        <v>32</v>
      </c>
      <c r="C5494" t="s">
        <v>90</v>
      </c>
      <c r="D5494" t="s">
        <v>91</v>
      </c>
      <c r="G5494" t="s">
        <v>35</v>
      </c>
      <c r="H5494">
        <v>1</v>
      </c>
      <c r="K5494" t="s">
        <v>1198</v>
      </c>
      <c r="L5494" t="s">
        <v>1199</v>
      </c>
      <c r="M5494" t="s">
        <v>1130</v>
      </c>
      <c r="N5494">
        <v>25</v>
      </c>
      <c r="P5494" t="s">
        <v>41</v>
      </c>
      <c r="Q5494" t="s">
        <v>95</v>
      </c>
      <c r="R5494" t="str">
        <f>"7311007"</f>
        <v>7311007</v>
      </c>
      <c r="S5494" t="s">
        <v>1209</v>
      </c>
      <c r="T5494" t="s">
        <v>1198</v>
      </c>
      <c r="U5494" t="s">
        <v>1199</v>
      </c>
      <c r="V5494" t="s">
        <v>1130</v>
      </c>
      <c r="W5494" t="s">
        <v>51</v>
      </c>
      <c r="X5494" t="s">
        <v>45</v>
      </c>
      <c r="Y5494" s="1">
        <v>25183</v>
      </c>
      <c r="Z5494">
        <v>1</v>
      </c>
      <c r="AA5494" t="s">
        <v>1199</v>
      </c>
      <c r="AB5494" s="40" t="s">
        <v>1799</v>
      </c>
    </row>
    <row r="5495" spans="1:28" x14ac:dyDescent="0.25">
      <c r="A5495">
        <v>99915494</v>
      </c>
      <c r="B5495" t="s">
        <v>32</v>
      </c>
      <c r="C5495" t="s">
        <v>90</v>
      </c>
      <c r="D5495" t="s">
        <v>91</v>
      </c>
      <c r="G5495" t="s">
        <v>35</v>
      </c>
      <c r="H5495">
        <v>1</v>
      </c>
      <c r="I5495">
        <v>3183</v>
      </c>
      <c r="J5495" s="1">
        <v>43344</v>
      </c>
      <c r="K5495" t="s">
        <v>268</v>
      </c>
      <c r="L5495" t="s">
        <v>269</v>
      </c>
      <c r="M5495" t="s">
        <v>131</v>
      </c>
      <c r="N5495">
        <v>25</v>
      </c>
      <c r="P5495" t="s">
        <v>41</v>
      </c>
      <c r="Q5495" t="s">
        <v>95</v>
      </c>
      <c r="R5495" t="str">
        <f>"7052091"</f>
        <v>7052091</v>
      </c>
      <c r="S5495" t="s">
        <v>660</v>
      </c>
      <c r="T5495" t="s">
        <v>268</v>
      </c>
      <c r="U5495" t="s">
        <v>269</v>
      </c>
      <c r="V5495" t="s">
        <v>131</v>
      </c>
      <c r="W5495" t="s">
        <v>51</v>
      </c>
      <c r="X5495" t="s">
        <v>45</v>
      </c>
      <c r="Y5495" s="1">
        <v>25173</v>
      </c>
      <c r="Z5495">
        <v>1</v>
      </c>
      <c r="AA5495" t="s">
        <v>269</v>
      </c>
      <c r="AB5495" s="40" t="s">
        <v>1799</v>
      </c>
    </row>
    <row r="5496" spans="1:28" x14ac:dyDescent="0.25">
      <c r="A5496">
        <v>99915495</v>
      </c>
      <c r="B5496" t="s">
        <v>32</v>
      </c>
      <c r="C5496" t="s">
        <v>90</v>
      </c>
      <c r="D5496" t="s">
        <v>91</v>
      </c>
      <c r="G5496" t="s">
        <v>35</v>
      </c>
      <c r="H5496">
        <v>1</v>
      </c>
      <c r="I5496">
        <v>2766</v>
      </c>
      <c r="J5496" s="1">
        <v>43344</v>
      </c>
      <c r="K5496" t="s">
        <v>354</v>
      </c>
      <c r="L5496" t="s">
        <v>355</v>
      </c>
      <c r="M5496" t="s">
        <v>131</v>
      </c>
      <c r="N5496">
        <v>25</v>
      </c>
      <c r="O5496" s="1">
        <v>43344</v>
      </c>
      <c r="P5496" t="s">
        <v>41</v>
      </c>
      <c r="Q5496" t="s">
        <v>95</v>
      </c>
      <c r="R5496" t="str">
        <f>"7054023"</f>
        <v>7054023</v>
      </c>
      <c r="S5496" t="s">
        <v>836</v>
      </c>
      <c r="T5496" t="s">
        <v>354</v>
      </c>
      <c r="U5496" t="s">
        <v>355</v>
      </c>
      <c r="V5496" t="s">
        <v>131</v>
      </c>
      <c r="W5496" t="s">
        <v>51</v>
      </c>
      <c r="X5496" t="s">
        <v>45</v>
      </c>
      <c r="Y5496" s="1">
        <v>25129</v>
      </c>
      <c r="Z5496">
        <v>1</v>
      </c>
      <c r="AA5496" t="s">
        <v>355</v>
      </c>
      <c r="AB5496" s="40" t="s">
        <v>1799</v>
      </c>
    </row>
    <row r="5497" spans="1:28" x14ac:dyDescent="0.25">
      <c r="A5497">
        <v>99915496</v>
      </c>
      <c r="B5497" t="s">
        <v>32</v>
      </c>
      <c r="C5497" t="s">
        <v>90</v>
      </c>
      <c r="D5497" t="s">
        <v>91</v>
      </c>
      <c r="G5497" t="s">
        <v>48</v>
      </c>
      <c r="H5497">
        <v>1</v>
      </c>
      <c r="K5497" t="s">
        <v>865</v>
      </c>
      <c r="L5497" t="s">
        <v>866</v>
      </c>
      <c r="M5497" t="s">
        <v>131</v>
      </c>
      <c r="N5497">
        <v>25</v>
      </c>
      <c r="P5497" t="s">
        <v>41</v>
      </c>
      <c r="Q5497" t="s">
        <v>95</v>
      </c>
      <c r="R5497" t="str">
        <f>"7531003"</f>
        <v>7531003</v>
      </c>
      <c r="S5497" t="s">
        <v>868</v>
      </c>
      <c r="T5497" t="s">
        <v>865</v>
      </c>
      <c r="U5497" t="s">
        <v>866</v>
      </c>
      <c r="V5497" t="s">
        <v>131</v>
      </c>
      <c r="W5497" t="s">
        <v>51</v>
      </c>
      <c r="X5497" t="s">
        <v>45</v>
      </c>
      <c r="Y5497" s="1">
        <v>25124</v>
      </c>
      <c r="Z5497">
        <v>1</v>
      </c>
      <c r="AA5497" t="s">
        <v>866</v>
      </c>
      <c r="AB5497" s="40" t="s">
        <v>1799</v>
      </c>
    </row>
    <row r="5498" spans="1:28" x14ac:dyDescent="0.25">
      <c r="A5498">
        <v>99915497</v>
      </c>
      <c r="B5498" t="s">
        <v>56</v>
      </c>
      <c r="C5498" t="s">
        <v>52</v>
      </c>
      <c r="D5498" t="s">
        <v>53</v>
      </c>
      <c r="G5498" t="s">
        <v>48</v>
      </c>
      <c r="H5498">
        <v>1</v>
      </c>
      <c r="K5498" t="s">
        <v>1051</v>
      </c>
      <c r="L5498" t="s">
        <v>1052</v>
      </c>
      <c r="M5498" t="s">
        <v>1053</v>
      </c>
      <c r="N5498">
        <v>25</v>
      </c>
      <c r="P5498" t="s">
        <v>41</v>
      </c>
      <c r="Q5498" t="s">
        <v>49</v>
      </c>
      <c r="R5498" t="str">
        <f>"2080025"</f>
        <v>2080025</v>
      </c>
      <c r="S5498" t="s">
        <v>1057</v>
      </c>
      <c r="T5498" t="s">
        <v>1051</v>
      </c>
      <c r="U5498" t="s">
        <v>1052</v>
      </c>
      <c r="V5498" t="s">
        <v>1053</v>
      </c>
      <c r="W5498" t="s">
        <v>51</v>
      </c>
      <c r="X5498" t="s">
        <v>45</v>
      </c>
      <c r="Y5498" s="1">
        <v>25078</v>
      </c>
      <c r="Z5498">
        <v>2</v>
      </c>
      <c r="AA5498" t="s">
        <v>1052</v>
      </c>
      <c r="AB5498" s="40" t="s">
        <v>1799</v>
      </c>
    </row>
    <row r="5499" spans="1:28" x14ac:dyDescent="0.25">
      <c r="A5499">
        <v>99915498</v>
      </c>
      <c r="B5499" t="s">
        <v>32</v>
      </c>
      <c r="C5499" t="s">
        <v>90</v>
      </c>
      <c r="D5499" t="s">
        <v>91</v>
      </c>
      <c r="G5499" t="s">
        <v>48</v>
      </c>
      <c r="H5499">
        <v>1</v>
      </c>
      <c r="K5499" t="s">
        <v>1334</v>
      </c>
      <c r="L5499" t="s">
        <v>1335</v>
      </c>
      <c r="M5499" t="s">
        <v>1270</v>
      </c>
      <c r="N5499">
        <v>25</v>
      </c>
      <c r="P5499" t="s">
        <v>41</v>
      </c>
      <c r="Q5499" t="s">
        <v>95</v>
      </c>
      <c r="R5499" t="str">
        <f>"7391009"</f>
        <v>7391009</v>
      </c>
      <c r="S5499" t="s">
        <v>1472</v>
      </c>
      <c r="T5499" t="s">
        <v>1334</v>
      </c>
      <c r="U5499" t="s">
        <v>1335</v>
      </c>
      <c r="V5499" t="s">
        <v>1270</v>
      </c>
      <c r="W5499" t="s">
        <v>51</v>
      </c>
      <c r="X5499" t="s">
        <v>45</v>
      </c>
      <c r="Y5499" s="1">
        <v>25070</v>
      </c>
      <c r="Z5499">
        <v>1</v>
      </c>
      <c r="AA5499" t="s">
        <v>1335</v>
      </c>
      <c r="AB5499" s="40" t="s">
        <v>1799</v>
      </c>
    </row>
    <row r="5500" spans="1:28" x14ac:dyDescent="0.25">
      <c r="A5500">
        <v>99915499</v>
      </c>
      <c r="B5500" t="s">
        <v>32</v>
      </c>
      <c r="C5500" t="s">
        <v>90</v>
      </c>
      <c r="D5500" t="s">
        <v>91</v>
      </c>
      <c r="G5500" t="s">
        <v>35</v>
      </c>
      <c r="H5500">
        <v>1</v>
      </c>
      <c r="I5500">
        <v>9415</v>
      </c>
      <c r="J5500" s="1">
        <v>43344</v>
      </c>
      <c r="K5500" t="s">
        <v>1198</v>
      </c>
      <c r="L5500" t="s">
        <v>1199</v>
      </c>
      <c r="M5500" t="s">
        <v>1130</v>
      </c>
      <c r="N5500">
        <v>25</v>
      </c>
      <c r="O5500" s="1">
        <v>43344</v>
      </c>
      <c r="P5500" t="s">
        <v>41</v>
      </c>
      <c r="Q5500" t="s">
        <v>95</v>
      </c>
      <c r="R5500" t="str">
        <f>"7311007"</f>
        <v>7311007</v>
      </c>
      <c r="S5500" t="s">
        <v>1209</v>
      </c>
      <c r="T5500" t="s">
        <v>1198</v>
      </c>
      <c r="U5500" t="s">
        <v>1199</v>
      </c>
      <c r="V5500" t="s">
        <v>1130</v>
      </c>
      <c r="W5500" t="s">
        <v>44</v>
      </c>
      <c r="X5500" t="s">
        <v>45</v>
      </c>
      <c r="Y5500" s="1">
        <v>25065</v>
      </c>
      <c r="Z5500">
        <v>1</v>
      </c>
      <c r="AA5500" t="s">
        <v>1199</v>
      </c>
      <c r="AB5500" s="40" t="s">
        <v>1799</v>
      </c>
    </row>
    <row r="5501" spans="1:28" x14ac:dyDescent="0.25">
      <c r="A5501">
        <v>99915500</v>
      </c>
      <c r="B5501" t="s">
        <v>32</v>
      </c>
      <c r="C5501" t="s">
        <v>90</v>
      </c>
      <c r="D5501" t="s">
        <v>91</v>
      </c>
      <c r="G5501" t="s">
        <v>35</v>
      </c>
      <c r="H5501">
        <v>1</v>
      </c>
      <c r="I5501" t="s">
        <v>1089</v>
      </c>
      <c r="J5501" s="1">
        <v>43344</v>
      </c>
      <c r="K5501" t="s">
        <v>1081</v>
      </c>
      <c r="L5501" t="s">
        <v>1082</v>
      </c>
      <c r="M5501" t="s">
        <v>1053</v>
      </c>
      <c r="N5501">
        <v>25</v>
      </c>
      <c r="O5501" s="1">
        <v>43344</v>
      </c>
      <c r="P5501" t="s">
        <v>41</v>
      </c>
      <c r="Q5501" t="s">
        <v>95</v>
      </c>
      <c r="R5501" t="str">
        <f>"7201013"</f>
        <v>7201013</v>
      </c>
      <c r="S5501" t="s">
        <v>1122</v>
      </c>
      <c r="T5501" t="s">
        <v>1081</v>
      </c>
      <c r="U5501" t="s">
        <v>1082</v>
      </c>
      <c r="V5501" t="s">
        <v>1053</v>
      </c>
      <c r="W5501" t="s">
        <v>51</v>
      </c>
      <c r="X5501" t="s">
        <v>45</v>
      </c>
      <c r="Y5501" s="1">
        <v>25061</v>
      </c>
      <c r="Z5501">
        <v>1</v>
      </c>
      <c r="AA5501" t="s">
        <v>1082</v>
      </c>
      <c r="AB5501" s="40" t="s">
        <v>1799</v>
      </c>
    </row>
    <row r="5502" spans="1:28" x14ac:dyDescent="0.25">
      <c r="A5502">
        <v>99915501</v>
      </c>
      <c r="B5502" t="s">
        <v>32</v>
      </c>
      <c r="C5502" t="s">
        <v>90</v>
      </c>
      <c r="D5502" t="s">
        <v>91</v>
      </c>
      <c r="G5502" t="s">
        <v>48</v>
      </c>
      <c r="H5502">
        <v>1</v>
      </c>
      <c r="K5502" t="s">
        <v>1043</v>
      </c>
      <c r="L5502" t="s">
        <v>1044</v>
      </c>
      <c r="M5502" t="s">
        <v>1041</v>
      </c>
      <c r="N5502">
        <v>25</v>
      </c>
      <c r="P5502" t="s">
        <v>41</v>
      </c>
      <c r="Q5502" t="s">
        <v>95</v>
      </c>
      <c r="R5502" t="str">
        <f>"7271001"</f>
        <v>7271001</v>
      </c>
      <c r="S5502" t="s">
        <v>1050</v>
      </c>
      <c r="T5502" t="s">
        <v>1043</v>
      </c>
      <c r="U5502" t="s">
        <v>1044</v>
      </c>
      <c r="V5502" t="s">
        <v>1041</v>
      </c>
      <c r="W5502" t="s">
        <v>51</v>
      </c>
      <c r="X5502" t="s">
        <v>45</v>
      </c>
      <c r="Y5502" s="1">
        <v>25055</v>
      </c>
      <c r="Z5502">
        <v>1</v>
      </c>
      <c r="AA5502" t="s">
        <v>1044</v>
      </c>
      <c r="AB5502" s="40" t="s">
        <v>1799</v>
      </c>
    </row>
    <row r="5503" spans="1:28" x14ac:dyDescent="0.25">
      <c r="A5503">
        <v>99915502</v>
      </c>
      <c r="B5503" t="s">
        <v>32</v>
      </c>
      <c r="C5503" t="s">
        <v>90</v>
      </c>
      <c r="D5503" t="s">
        <v>91</v>
      </c>
      <c r="G5503" t="s">
        <v>48</v>
      </c>
      <c r="H5503">
        <v>4</v>
      </c>
      <c r="K5503" t="s">
        <v>963</v>
      </c>
      <c r="L5503" t="s">
        <v>964</v>
      </c>
      <c r="M5503" t="s">
        <v>938</v>
      </c>
      <c r="N5503">
        <v>25</v>
      </c>
      <c r="P5503" t="s">
        <v>41</v>
      </c>
      <c r="Q5503" t="s">
        <v>95</v>
      </c>
      <c r="R5503" t="str">
        <f>"7061031"</f>
        <v>7061031</v>
      </c>
      <c r="S5503" t="s">
        <v>1009</v>
      </c>
      <c r="T5503" t="s">
        <v>963</v>
      </c>
      <c r="U5503" t="s">
        <v>964</v>
      </c>
      <c r="V5503" t="s">
        <v>938</v>
      </c>
      <c r="W5503" t="s">
        <v>51</v>
      </c>
      <c r="X5503" t="s">
        <v>45</v>
      </c>
      <c r="Y5503" s="1">
        <v>25052</v>
      </c>
      <c r="Z5503">
        <v>1</v>
      </c>
      <c r="AA5503" t="s">
        <v>964</v>
      </c>
      <c r="AB5503" s="40" t="s">
        <v>1799</v>
      </c>
    </row>
    <row r="5504" spans="1:28" x14ac:dyDescent="0.25">
      <c r="A5504">
        <v>99915503</v>
      </c>
      <c r="B5504" t="s">
        <v>32</v>
      </c>
      <c r="C5504" t="s">
        <v>90</v>
      </c>
      <c r="D5504" t="s">
        <v>91</v>
      </c>
      <c r="G5504" t="s">
        <v>35</v>
      </c>
      <c r="H5504">
        <v>1</v>
      </c>
      <c r="I5504" t="s">
        <v>286</v>
      </c>
      <c r="J5504" s="1">
        <v>43344</v>
      </c>
      <c r="K5504" t="s">
        <v>268</v>
      </c>
      <c r="L5504" t="s">
        <v>269</v>
      </c>
      <c r="M5504" t="s">
        <v>131</v>
      </c>
      <c r="N5504">
        <v>25</v>
      </c>
      <c r="P5504" t="s">
        <v>41</v>
      </c>
      <c r="Q5504" t="s">
        <v>95</v>
      </c>
      <c r="R5504" t="str">
        <f>"7052013"</f>
        <v>7052013</v>
      </c>
      <c r="S5504" t="s">
        <v>620</v>
      </c>
      <c r="T5504" t="s">
        <v>268</v>
      </c>
      <c r="U5504" t="s">
        <v>269</v>
      </c>
      <c r="V5504" t="s">
        <v>131</v>
      </c>
      <c r="W5504" t="s">
        <v>51</v>
      </c>
      <c r="X5504" t="s">
        <v>45</v>
      </c>
      <c r="Y5504" s="1">
        <v>25044</v>
      </c>
      <c r="Z5504">
        <v>1</v>
      </c>
      <c r="AA5504" t="s">
        <v>269</v>
      </c>
      <c r="AB5504" s="40" t="s">
        <v>1799</v>
      </c>
    </row>
    <row r="5505" spans="1:28" x14ac:dyDescent="0.25">
      <c r="A5505">
        <v>99915504</v>
      </c>
      <c r="B5505" t="s">
        <v>32</v>
      </c>
      <c r="C5505" t="s">
        <v>90</v>
      </c>
      <c r="D5505" t="s">
        <v>91</v>
      </c>
      <c r="G5505" t="s">
        <v>35</v>
      </c>
      <c r="H5505">
        <v>1</v>
      </c>
      <c r="I5505">
        <v>3900</v>
      </c>
      <c r="J5505" s="1">
        <v>43344</v>
      </c>
      <c r="K5505" t="s">
        <v>1695</v>
      </c>
      <c r="L5505" t="s">
        <v>1696</v>
      </c>
      <c r="M5505" t="s">
        <v>1592</v>
      </c>
      <c r="N5505">
        <v>25</v>
      </c>
      <c r="O5505" s="1">
        <v>43344</v>
      </c>
      <c r="P5505" t="s">
        <v>41</v>
      </c>
      <c r="Q5505" t="s">
        <v>95</v>
      </c>
      <c r="R5505" t="str">
        <f>"7361007"</f>
        <v>7361007</v>
      </c>
      <c r="S5505" t="s">
        <v>1702</v>
      </c>
      <c r="T5505" t="s">
        <v>1695</v>
      </c>
      <c r="U5505" t="s">
        <v>1696</v>
      </c>
      <c r="V5505" t="s">
        <v>1592</v>
      </c>
      <c r="W5505" t="s">
        <v>51</v>
      </c>
      <c r="X5505" t="s">
        <v>45</v>
      </c>
      <c r="Y5505" s="1">
        <v>25009</v>
      </c>
      <c r="Z5505">
        <v>1</v>
      </c>
      <c r="AA5505" t="s">
        <v>1696</v>
      </c>
      <c r="AB5505" s="40" t="s">
        <v>1799</v>
      </c>
    </row>
    <row r="5506" spans="1:28" x14ac:dyDescent="0.25">
      <c r="A5506">
        <v>99915505</v>
      </c>
      <c r="B5506" t="s">
        <v>32</v>
      </c>
      <c r="C5506" t="s">
        <v>90</v>
      </c>
      <c r="D5506" t="s">
        <v>91</v>
      </c>
      <c r="G5506" t="s">
        <v>35</v>
      </c>
      <c r="H5506">
        <v>1</v>
      </c>
      <c r="K5506" t="s">
        <v>963</v>
      </c>
      <c r="L5506" t="s">
        <v>964</v>
      </c>
      <c r="M5506" t="s">
        <v>938</v>
      </c>
      <c r="N5506">
        <v>25</v>
      </c>
      <c r="P5506" t="s">
        <v>41</v>
      </c>
      <c r="Q5506" t="s">
        <v>95</v>
      </c>
      <c r="R5506" t="str">
        <f>"7061017"</f>
        <v>7061017</v>
      </c>
      <c r="S5506" t="s">
        <v>1028</v>
      </c>
      <c r="T5506" t="s">
        <v>963</v>
      </c>
      <c r="U5506" t="s">
        <v>964</v>
      </c>
      <c r="V5506" t="s">
        <v>938</v>
      </c>
      <c r="W5506" t="s">
        <v>51</v>
      </c>
      <c r="X5506" t="s">
        <v>45</v>
      </c>
      <c r="Y5506" s="1">
        <v>24997</v>
      </c>
      <c r="Z5506">
        <v>1</v>
      </c>
      <c r="AA5506" t="s">
        <v>964</v>
      </c>
      <c r="AB5506" s="40" t="s">
        <v>1799</v>
      </c>
    </row>
    <row r="5507" spans="1:28" x14ac:dyDescent="0.25">
      <c r="A5507">
        <v>99915506</v>
      </c>
      <c r="B5507" t="s">
        <v>56</v>
      </c>
      <c r="C5507" t="s">
        <v>90</v>
      </c>
      <c r="D5507" t="s">
        <v>91</v>
      </c>
      <c r="G5507" t="s">
        <v>48</v>
      </c>
      <c r="H5507">
        <v>1</v>
      </c>
      <c r="K5507" t="s">
        <v>1191</v>
      </c>
      <c r="L5507" t="s">
        <v>1192</v>
      </c>
      <c r="M5507" t="s">
        <v>1130</v>
      </c>
      <c r="N5507">
        <v>25</v>
      </c>
      <c r="P5507" t="s">
        <v>41</v>
      </c>
      <c r="Q5507" t="s">
        <v>95</v>
      </c>
      <c r="R5507" t="str">
        <f>"7221003"</f>
        <v>7221003</v>
      </c>
      <c r="S5507" t="s">
        <v>1196</v>
      </c>
      <c r="T5507" t="s">
        <v>1191</v>
      </c>
      <c r="U5507" t="s">
        <v>1192</v>
      </c>
      <c r="V5507" t="s">
        <v>1130</v>
      </c>
      <c r="W5507" t="s">
        <v>51</v>
      </c>
      <c r="X5507" t="s">
        <v>45</v>
      </c>
      <c r="Y5507" s="1">
        <v>24997</v>
      </c>
      <c r="Z5507">
        <v>1</v>
      </c>
      <c r="AA5507" t="s">
        <v>1192</v>
      </c>
      <c r="AB5507" s="40" t="s">
        <v>1799</v>
      </c>
    </row>
    <row r="5508" spans="1:28" x14ac:dyDescent="0.25">
      <c r="A5508">
        <v>99915507</v>
      </c>
      <c r="B5508" t="s">
        <v>32</v>
      </c>
      <c r="C5508" t="s">
        <v>90</v>
      </c>
      <c r="D5508" t="s">
        <v>91</v>
      </c>
      <c r="G5508" t="s">
        <v>35</v>
      </c>
      <c r="H5508">
        <v>1</v>
      </c>
      <c r="I5508" t="s">
        <v>594</v>
      </c>
      <c r="J5508" s="1">
        <v>43344</v>
      </c>
      <c r="K5508" t="s">
        <v>268</v>
      </c>
      <c r="L5508" t="s">
        <v>269</v>
      </c>
      <c r="M5508" t="s">
        <v>131</v>
      </c>
      <c r="N5508">
        <v>25</v>
      </c>
      <c r="O5508" s="1">
        <v>43344</v>
      </c>
      <c r="P5508" t="s">
        <v>41</v>
      </c>
      <c r="Q5508" t="s">
        <v>95</v>
      </c>
      <c r="R5508" t="str">
        <f>"7052041"</f>
        <v>7052041</v>
      </c>
      <c r="S5508" t="s">
        <v>579</v>
      </c>
      <c r="T5508" t="s">
        <v>268</v>
      </c>
      <c r="U5508" t="s">
        <v>269</v>
      </c>
      <c r="V5508" t="s">
        <v>131</v>
      </c>
      <c r="W5508" t="s">
        <v>51</v>
      </c>
      <c r="X5508" t="s">
        <v>45</v>
      </c>
      <c r="Y5508" s="1">
        <v>24986</v>
      </c>
      <c r="Z5508">
        <v>1</v>
      </c>
      <c r="AA5508" t="s">
        <v>269</v>
      </c>
      <c r="AB5508" s="40" t="s">
        <v>1799</v>
      </c>
    </row>
    <row r="5509" spans="1:28" x14ac:dyDescent="0.25">
      <c r="A5509">
        <v>99915508</v>
      </c>
      <c r="B5509" t="s">
        <v>32</v>
      </c>
      <c r="C5509" t="s">
        <v>90</v>
      </c>
      <c r="D5509" t="s">
        <v>91</v>
      </c>
      <c r="G5509" t="s">
        <v>35</v>
      </c>
      <c r="H5509">
        <v>1</v>
      </c>
      <c r="K5509" t="s">
        <v>1198</v>
      </c>
      <c r="L5509" t="s">
        <v>1199</v>
      </c>
      <c r="M5509" t="s">
        <v>1130</v>
      </c>
      <c r="N5509">
        <v>25</v>
      </c>
      <c r="P5509" t="s">
        <v>41</v>
      </c>
      <c r="Q5509" t="s">
        <v>95</v>
      </c>
      <c r="R5509" t="str">
        <f>"7311001"</f>
        <v>7311001</v>
      </c>
      <c r="S5509" t="s">
        <v>1201</v>
      </c>
      <c r="T5509" t="s">
        <v>1198</v>
      </c>
      <c r="U5509" t="s">
        <v>1199</v>
      </c>
      <c r="V5509" t="s">
        <v>1130</v>
      </c>
      <c r="W5509" t="s">
        <v>51</v>
      </c>
      <c r="X5509" t="s">
        <v>45</v>
      </c>
      <c r="Y5509" s="1">
        <v>24919</v>
      </c>
      <c r="Z5509">
        <v>1</v>
      </c>
      <c r="AA5509" t="s">
        <v>1199</v>
      </c>
      <c r="AB5509" s="40" t="s">
        <v>1799</v>
      </c>
    </row>
    <row r="5510" spans="1:28" x14ac:dyDescent="0.25">
      <c r="A5510">
        <v>99915509</v>
      </c>
      <c r="B5510" t="s">
        <v>32</v>
      </c>
      <c r="C5510" t="s">
        <v>90</v>
      </c>
      <c r="D5510" t="s">
        <v>91</v>
      </c>
      <c r="G5510" t="s">
        <v>35</v>
      </c>
      <c r="H5510">
        <v>1</v>
      </c>
      <c r="K5510" t="s">
        <v>1124</v>
      </c>
      <c r="L5510" t="s">
        <v>1125</v>
      </c>
      <c r="M5510" t="s">
        <v>1053</v>
      </c>
      <c r="N5510">
        <v>25</v>
      </c>
      <c r="P5510" t="s">
        <v>41</v>
      </c>
      <c r="Q5510" t="s">
        <v>95</v>
      </c>
      <c r="R5510" t="str">
        <f>"7401003"</f>
        <v>7401003</v>
      </c>
      <c r="S5510" t="s">
        <v>1126</v>
      </c>
      <c r="T5510" t="s">
        <v>1124</v>
      </c>
      <c r="U5510" t="s">
        <v>1125</v>
      </c>
      <c r="V5510" t="s">
        <v>1053</v>
      </c>
      <c r="W5510" t="s">
        <v>51</v>
      </c>
      <c r="X5510" t="s">
        <v>45</v>
      </c>
      <c r="Y5510" s="1">
        <v>24894</v>
      </c>
      <c r="Z5510">
        <v>1</v>
      </c>
      <c r="AA5510" t="s">
        <v>1125</v>
      </c>
      <c r="AB5510" s="40" t="s">
        <v>1799</v>
      </c>
    </row>
    <row r="5511" spans="1:28" x14ac:dyDescent="0.25">
      <c r="A5511">
        <v>99915510</v>
      </c>
      <c r="B5511" t="s">
        <v>32</v>
      </c>
      <c r="C5511" t="s">
        <v>90</v>
      </c>
      <c r="D5511" t="s">
        <v>91</v>
      </c>
      <c r="G5511" t="s">
        <v>35</v>
      </c>
      <c r="H5511">
        <v>1</v>
      </c>
      <c r="I5511">
        <v>5876</v>
      </c>
      <c r="J5511" s="1">
        <v>43364</v>
      </c>
      <c r="K5511" t="s">
        <v>1029</v>
      </c>
      <c r="L5511" t="s">
        <v>1030</v>
      </c>
      <c r="M5511" t="s">
        <v>938</v>
      </c>
      <c r="N5511">
        <v>25</v>
      </c>
      <c r="O5511" s="1">
        <v>43364</v>
      </c>
      <c r="P5511" t="s">
        <v>41</v>
      </c>
      <c r="Q5511" t="s">
        <v>95</v>
      </c>
      <c r="R5511" t="str">
        <f>"7151001"</f>
        <v>7151001</v>
      </c>
      <c r="S5511" t="s">
        <v>1031</v>
      </c>
      <c r="T5511" t="s">
        <v>1029</v>
      </c>
      <c r="U5511" t="s">
        <v>1030</v>
      </c>
      <c r="V5511" t="s">
        <v>938</v>
      </c>
      <c r="W5511" t="s">
        <v>51</v>
      </c>
      <c r="X5511" t="s">
        <v>45</v>
      </c>
      <c r="Y5511" s="1">
        <v>24799</v>
      </c>
      <c r="Z5511">
        <v>1</v>
      </c>
      <c r="AA5511" t="s">
        <v>1030</v>
      </c>
      <c r="AB5511" s="40" t="s">
        <v>1799</v>
      </c>
    </row>
    <row r="5512" spans="1:28" x14ac:dyDescent="0.25">
      <c r="A5512">
        <v>99915511</v>
      </c>
      <c r="B5512" t="s">
        <v>32</v>
      </c>
      <c r="C5512" t="s">
        <v>90</v>
      </c>
      <c r="D5512" t="s">
        <v>91</v>
      </c>
      <c r="G5512" t="s">
        <v>48</v>
      </c>
      <c r="H5512">
        <v>1</v>
      </c>
      <c r="K5512" t="s">
        <v>1725</v>
      </c>
      <c r="L5512" t="s">
        <v>1726</v>
      </c>
      <c r="M5512" t="s">
        <v>1705</v>
      </c>
      <c r="N5512">
        <v>25</v>
      </c>
      <c r="P5512" t="s">
        <v>41</v>
      </c>
      <c r="Q5512" t="s">
        <v>95</v>
      </c>
      <c r="R5512" t="str">
        <f>"7461005"</f>
        <v>7461005</v>
      </c>
      <c r="S5512" t="s">
        <v>1741</v>
      </c>
      <c r="T5512" t="s">
        <v>1725</v>
      </c>
      <c r="U5512" t="s">
        <v>1726</v>
      </c>
      <c r="V5512" t="s">
        <v>1705</v>
      </c>
      <c r="W5512" t="s">
        <v>51</v>
      </c>
      <c r="X5512" t="s">
        <v>45</v>
      </c>
      <c r="Y5512" s="1">
        <v>24794</v>
      </c>
      <c r="Z5512">
        <v>1</v>
      </c>
      <c r="AA5512" t="s">
        <v>1726</v>
      </c>
      <c r="AB5512" s="40" t="s">
        <v>1799</v>
      </c>
    </row>
    <row r="5513" spans="1:28" x14ac:dyDescent="0.25">
      <c r="A5513">
        <v>99915512</v>
      </c>
      <c r="B5513" t="s">
        <v>32</v>
      </c>
      <c r="C5513" t="s">
        <v>90</v>
      </c>
      <c r="D5513" t="s">
        <v>91</v>
      </c>
      <c r="G5513" t="s">
        <v>35</v>
      </c>
      <c r="H5513">
        <v>1</v>
      </c>
      <c r="I5513">
        <v>10603</v>
      </c>
      <c r="J5513" s="1">
        <v>43344</v>
      </c>
      <c r="K5513" t="s">
        <v>354</v>
      </c>
      <c r="L5513" t="s">
        <v>355</v>
      </c>
      <c r="M5513" t="s">
        <v>131</v>
      </c>
      <c r="N5513">
        <v>25</v>
      </c>
      <c r="O5513" s="1">
        <v>43344</v>
      </c>
      <c r="P5513" t="s">
        <v>41</v>
      </c>
      <c r="Q5513" t="s">
        <v>95</v>
      </c>
      <c r="R5513" t="str">
        <f>"7054025"</f>
        <v>7054025</v>
      </c>
      <c r="S5513" t="s">
        <v>794</v>
      </c>
      <c r="T5513" t="s">
        <v>354</v>
      </c>
      <c r="U5513" t="s">
        <v>355</v>
      </c>
      <c r="V5513" t="s">
        <v>131</v>
      </c>
      <c r="W5513" t="s">
        <v>44</v>
      </c>
      <c r="X5513" t="s">
        <v>45</v>
      </c>
      <c r="Y5513" s="1">
        <v>24769</v>
      </c>
      <c r="Z5513">
        <v>1</v>
      </c>
      <c r="AA5513" t="s">
        <v>355</v>
      </c>
      <c r="AB5513" s="40" t="s">
        <v>1799</v>
      </c>
    </row>
    <row r="5514" spans="1:28" x14ac:dyDescent="0.25">
      <c r="A5514">
        <v>99915513</v>
      </c>
      <c r="B5514" t="s">
        <v>32</v>
      </c>
      <c r="C5514" t="s">
        <v>90</v>
      </c>
      <c r="D5514" t="s">
        <v>91</v>
      </c>
      <c r="G5514" t="s">
        <v>35</v>
      </c>
      <c r="H5514">
        <v>1</v>
      </c>
      <c r="K5514" t="s">
        <v>268</v>
      </c>
      <c r="L5514" t="s">
        <v>269</v>
      </c>
      <c r="M5514" t="s">
        <v>131</v>
      </c>
      <c r="N5514">
        <v>25</v>
      </c>
      <c r="P5514" t="s">
        <v>41</v>
      </c>
      <c r="Q5514" t="s">
        <v>95</v>
      </c>
      <c r="R5514" t="str">
        <f>"7052005"</f>
        <v>7052005</v>
      </c>
      <c r="S5514" t="s">
        <v>730</v>
      </c>
      <c r="T5514" t="s">
        <v>268</v>
      </c>
      <c r="U5514" t="s">
        <v>269</v>
      </c>
      <c r="V5514" t="s">
        <v>131</v>
      </c>
      <c r="W5514" t="s">
        <v>51</v>
      </c>
      <c r="X5514" t="s">
        <v>45</v>
      </c>
      <c r="Y5514" s="1">
        <v>24690</v>
      </c>
      <c r="Z5514">
        <v>1</v>
      </c>
      <c r="AA5514" t="s">
        <v>269</v>
      </c>
      <c r="AB5514" s="40" t="s">
        <v>1799</v>
      </c>
    </row>
    <row r="5515" spans="1:28" x14ac:dyDescent="0.25">
      <c r="A5515">
        <v>99915514</v>
      </c>
      <c r="B5515" t="s">
        <v>32</v>
      </c>
      <c r="C5515" t="s">
        <v>90</v>
      </c>
      <c r="D5515" t="s">
        <v>91</v>
      </c>
      <c r="G5515" t="s">
        <v>48</v>
      </c>
      <c r="H5515">
        <v>4</v>
      </c>
      <c r="K5515" t="s">
        <v>1426</v>
      </c>
      <c r="L5515" t="s">
        <v>1427</v>
      </c>
      <c r="M5515" t="s">
        <v>1270</v>
      </c>
      <c r="N5515">
        <v>25</v>
      </c>
      <c r="P5515" t="s">
        <v>41</v>
      </c>
      <c r="Q5515" t="s">
        <v>95</v>
      </c>
      <c r="R5515" t="str">
        <f>"7192039"</f>
        <v>7192039</v>
      </c>
      <c r="S5515" t="s">
        <v>1435</v>
      </c>
      <c r="T5515" t="s">
        <v>1426</v>
      </c>
      <c r="U5515" t="s">
        <v>1427</v>
      </c>
      <c r="V5515" t="s">
        <v>1270</v>
      </c>
      <c r="W5515" t="s">
        <v>51</v>
      </c>
      <c r="X5515" t="s">
        <v>45</v>
      </c>
      <c r="Y5515" s="1">
        <v>24673</v>
      </c>
      <c r="Z5515">
        <v>1</v>
      </c>
      <c r="AA5515" t="s">
        <v>1427</v>
      </c>
      <c r="AB5515" s="40" t="s">
        <v>1799</v>
      </c>
    </row>
    <row r="5516" spans="1:28" x14ac:dyDescent="0.25">
      <c r="A5516">
        <v>99915515</v>
      </c>
      <c r="B5516" t="s">
        <v>32</v>
      </c>
      <c r="C5516" t="s">
        <v>90</v>
      </c>
      <c r="D5516" t="s">
        <v>91</v>
      </c>
      <c r="G5516" t="s">
        <v>48</v>
      </c>
      <c r="H5516">
        <v>4</v>
      </c>
      <c r="K5516" t="s">
        <v>1426</v>
      </c>
      <c r="L5516" t="s">
        <v>1427</v>
      </c>
      <c r="M5516" t="s">
        <v>1270</v>
      </c>
      <c r="N5516">
        <v>25</v>
      </c>
      <c r="P5516" t="s">
        <v>41</v>
      </c>
      <c r="Q5516" t="s">
        <v>95</v>
      </c>
      <c r="R5516" t="str">
        <f>"7192007"</f>
        <v>7192007</v>
      </c>
      <c r="S5516" t="s">
        <v>1434</v>
      </c>
      <c r="T5516" t="s">
        <v>1426</v>
      </c>
      <c r="U5516" t="s">
        <v>1427</v>
      </c>
      <c r="V5516" t="s">
        <v>1270</v>
      </c>
      <c r="W5516" t="s">
        <v>51</v>
      </c>
      <c r="X5516" t="s">
        <v>45</v>
      </c>
      <c r="Y5516" s="1">
        <v>24666</v>
      </c>
      <c r="Z5516">
        <v>1</v>
      </c>
      <c r="AA5516" t="s">
        <v>1427</v>
      </c>
      <c r="AB5516" s="40" t="s">
        <v>1799</v>
      </c>
    </row>
    <row r="5517" spans="1:28" x14ac:dyDescent="0.25">
      <c r="A5517">
        <v>99915516</v>
      </c>
      <c r="B5517" t="s">
        <v>32</v>
      </c>
      <c r="C5517" t="s">
        <v>90</v>
      </c>
      <c r="D5517" t="s">
        <v>91</v>
      </c>
      <c r="G5517" t="s">
        <v>35</v>
      </c>
      <c r="H5517">
        <v>1</v>
      </c>
      <c r="K5517" t="s">
        <v>268</v>
      </c>
      <c r="L5517" t="s">
        <v>269</v>
      </c>
      <c r="M5517" t="s">
        <v>131</v>
      </c>
      <c r="N5517">
        <v>25</v>
      </c>
      <c r="P5517" t="s">
        <v>41</v>
      </c>
      <c r="Q5517" t="s">
        <v>95</v>
      </c>
      <c r="R5517" t="str">
        <f>"7052075"</f>
        <v>7052075</v>
      </c>
      <c r="S5517" t="s">
        <v>586</v>
      </c>
      <c r="T5517" t="s">
        <v>268</v>
      </c>
      <c r="U5517" t="s">
        <v>269</v>
      </c>
      <c r="V5517" t="s">
        <v>131</v>
      </c>
      <c r="W5517" t="s">
        <v>51</v>
      </c>
      <c r="X5517" t="s">
        <v>45</v>
      </c>
      <c r="Y5517" s="1">
        <v>24629</v>
      </c>
      <c r="Z5517">
        <v>1</v>
      </c>
      <c r="AA5517" t="s">
        <v>269</v>
      </c>
      <c r="AB5517" s="40" t="s">
        <v>1799</v>
      </c>
    </row>
    <row r="5518" spans="1:28" x14ac:dyDescent="0.25">
      <c r="A5518">
        <v>99915517</v>
      </c>
      <c r="B5518" t="s">
        <v>32</v>
      </c>
      <c r="C5518" t="s">
        <v>90</v>
      </c>
      <c r="D5518" t="s">
        <v>91</v>
      </c>
      <c r="G5518" t="s">
        <v>35</v>
      </c>
      <c r="H5518">
        <v>1</v>
      </c>
      <c r="I5518">
        <v>2802</v>
      </c>
      <c r="J5518" s="1">
        <v>43344</v>
      </c>
      <c r="K5518" t="s">
        <v>354</v>
      </c>
      <c r="L5518" t="s">
        <v>355</v>
      </c>
      <c r="M5518" t="s">
        <v>131</v>
      </c>
      <c r="N5518">
        <v>25</v>
      </c>
      <c r="O5518" s="1">
        <v>43344</v>
      </c>
      <c r="P5518" t="s">
        <v>41</v>
      </c>
      <c r="Q5518" t="s">
        <v>95</v>
      </c>
      <c r="R5518" t="str">
        <f>"7054067"</f>
        <v>7054067</v>
      </c>
      <c r="S5518" t="s">
        <v>820</v>
      </c>
      <c r="T5518" t="s">
        <v>354</v>
      </c>
      <c r="U5518" t="s">
        <v>355</v>
      </c>
      <c r="V5518" t="s">
        <v>131</v>
      </c>
      <c r="W5518" t="s">
        <v>51</v>
      </c>
      <c r="X5518" t="s">
        <v>45</v>
      </c>
      <c r="Y5518" s="1">
        <v>24628</v>
      </c>
      <c r="Z5518">
        <v>1</v>
      </c>
      <c r="AA5518" t="s">
        <v>355</v>
      </c>
      <c r="AB5518" s="40" t="s">
        <v>1799</v>
      </c>
    </row>
    <row r="5519" spans="1:28" x14ac:dyDescent="0.25">
      <c r="A5519">
        <v>99915518</v>
      </c>
      <c r="B5519" t="s">
        <v>32</v>
      </c>
      <c r="C5519" t="s">
        <v>90</v>
      </c>
      <c r="D5519" t="s">
        <v>91</v>
      </c>
      <c r="G5519" t="s">
        <v>48</v>
      </c>
      <c r="H5519">
        <v>6</v>
      </c>
      <c r="K5519" t="s">
        <v>1221</v>
      </c>
      <c r="L5519" t="s">
        <v>1222</v>
      </c>
      <c r="M5519" t="s">
        <v>1130</v>
      </c>
      <c r="N5519">
        <v>25</v>
      </c>
      <c r="P5519" t="s">
        <v>41</v>
      </c>
      <c r="Q5519" t="s">
        <v>95</v>
      </c>
      <c r="R5519" t="str">
        <f>"7351005"</f>
        <v>7351005</v>
      </c>
      <c r="S5519" t="s">
        <v>1231</v>
      </c>
      <c r="T5519" t="s">
        <v>1221</v>
      </c>
      <c r="U5519" t="s">
        <v>1222</v>
      </c>
      <c r="V5519" t="s">
        <v>1130</v>
      </c>
      <c r="W5519" t="s">
        <v>51</v>
      </c>
      <c r="X5519" t="s">
        <v>45</v>
      </c>
      <c r="Y5519" s="1">
        <v>24600</v>
      </c>
      <c r="Z5519">
        <v>1</v>
      </c>
      <c r="AA5519" t="s">
        <v>1222</v>
      </c>
      <c r="AB5519" s="40" t="s">
        <v>1799</v>
      </c>
    </row>
    <row r="5520" spans="1:28" x14ac:dyDescent="0.25">
      <c r="A5520">
        <v>99915519</v>
      </c>
      <c r="B5520" t="s">
        <v>32</v>
      </c>
      <c r="C5520" t="s">
        <v>90</v>
      </c>
      <c r="D5520" t="s">
        <v>91</v>
      </c>
      <c r="G5520" t="s">
        <v>48</v>
      </c>
      <c r="H5520">
        <v>1</v>
      </c>
      <c r="K5520" t="s">
        <v>1708</v>
      </c>
      <c r="L5520" t="s">
        <v>1709</v>
      </c>
      <c r="M5520" t="s">
        <v>1705</v>
      </c>
      <c r="N5520">
        <v>25</v>
      </c>
      <c r="P5520" t="s">
        <v>41</v>
      </c>
      <c r="Q5520" t="s">
        <v>95</v>
      </c>
      <c r="R5520" t="str">
        <f>"7121007"</f>
        <v>7121007</v>
      </c>
      <c r="S5520" t="s">
        <v>1710</v>
      </c>
      <c r="T5520" t="s">
        <v>1708</v>
      </c>
      <c r="U5520" t="s">
        <v>1709</v>
      </c>
      <c r="V5520" t="s">
        <v>1705</v>
      </c>
      <c r="W5520" t="s">
        <v>51</v>
      </c>
      <c r="X5520" t="s">
        <v>45</v>
      </c>
      <c r="Y5520" s="1">
        <v>24597</v>
      </c>
      <c r="Z5520">
        <v>1</v>
      </c>
      <c r="AA5520" t="s">
        <v>1709</v>
      </c>
      <c r="AB5520" s="40" t="s">
        <v>1799</v>
      </c>
    </row>
    <row r="5521" spans="1:28" x14ac:dyDescent="0.25">
      <c r="A5521">
        <v>99915520</v>
      </c>
      <c r="B5521" t="s">
        <v>32</v>
      </c>
      <c r="C5521" t="s">
        <v>90</v>
      </c>
      <c r="D5521" t="s">
        <v>91</v>
      </c>
      <c r="G5521" t="s">
        <v>35</v>
      </c>
      <c r="H5521">
        <v>1</v>
      </c>
      <c r="I5521">
        <v>3899</v>
      </c>
      <c r="J5521" s="1">
        <v>43344</v>
      </c>
      <c r="K5521" t="s">
        <v>1695</v>
      </c>
      <c r="L5521" t="s">
        <v>1696</v>
      </c>
      <c r="M5521" t="s">
        <v>1592</v>
      </c>
      <c r="N5521">
        <v>25</v>
      </c>
      <c r="O5521" s="1">
        <v>43344</v>
      </c>
      <c r="P5521" t="s">
        <v>41</v>
      </c>
      <c r="Q5521" t="s">
        <v>95</v>
      </c>
      <c r="R5521" t="str">
        <f>"7361005"</f>
        <v>7361005</v>
      </c>
      <c r="S5521" t="s">
        <v>1701</v>
      </c>
      <c r="T5521" t="s">
        <v>1695</v>
      </c>
      <c r="U5521" t="s">
        <v>1696</v>
      </c>
      <c r="V5521" t="s">
        <v>1592</v>
      </c>
      <c r="W5521" t="s">
        <v>51</v>
      </c>
      <c r="X5521" t="s">
        <v>45</v>
      </c>
      <c r="Y5521" s="1">
        <v>24557</v>
      </c>
      <c r="Z5521">
        <v>1</v>
      </c>
      <c r="AA5521" t="s">
        <v>1696</v>
      </c>
      <c r="AB5521" s="40" t="s">
        <v>1799</v>
      </c>
    </row>
    <row r="5522" spans="1:28" x14ac:dyDescent="0.25">
      <c r="A5522">
        <v>99915521</v>
      </c>
      <c r="B5522" t="s">
        <v>32</v>
      </c>
      <c r="C5522" t="s">
        <v>90</v>
      </c>
      <c r="D5522" t="s">
        <v>91</v>
      </c>
      <c r="G5522" t="s">
        <v>48</v>
      </c>
      <c r="H5522">
        <v>1</v>
      </c>
      <c r="K5522" t="s">
        <v>963</v>
      </c>
      <c r="L5522" t="s">
        <v>964</v>
      </c>
      <c r="M5522" t="s">
        <v>938</v>
      </c>
      <c r="N5522">
        <v>25</v>
      </c>
      <c r="P5522" t="s">
        <v>41</v>
      </c>
      <c r="Q5522" t="s">
        <v>95</v>
      </c>
      <c r="R5522" t="str">
        <f>"7061029"</f>
        <v>7061029</v>
      </c>
      <c r="S5522" t="s">
        <v>999</v>
      </c>
      <c r="T5522" t="s">
        <v>963</v>
      </c>
      <c r="U5522" t="s">
        <v>964</v>
      </c>
      <c r="V5522" t="s">
        <v>938</v>
      </c>
      <c r="W5522" t="s">
        <v>51</v>
      </c>
      <c r="X5522" t="s">
        <v>45</v>
      </c>
      <c r="Y5522" s="1">
        <v>24552</v>
      </c>
      <c r="Z5522">
        <v>1</v>
      </c>
      <c r="AA5522" t="s">
        <v>964</v>
      </c>
      <c r="AB5522" s="40" t="s">
        <v>1799</v>
      </c>
    </row>
    <row r="5523" spans="1:28" x14ac:dyDescent="0.25">
      <c r="A5523">
        <v>99915522</v>
      </c>
      <c r="B5523" t="s">
        <v>32</v>
      </c>
      <c r="C5523" t="s">
        <v>90</v>
      </c>
      <c r="D5523" t="s">
        <v>91</v>
      </c>
      <c r="G5523" t="s">
        <v>48</v>
      </c>
      <c r="H5523">
        <v>1</v>
      </c>
      <c r="K5523" t="s">
        <v>93</v>
      </c>
      <c r="L5523" t="s">
        <v>94</v>
      </c>
      <c r="M5523" t="s">
        <v>39</v>
      </c>
      <c r="N5523">
        <v>25</v>
      </c>
      <c r="P5523" t="s">
        <v>41</v>
      </c>
      <c r="Q5523" t="s">
        <v>95</v>
      </c>
      <c r="R5523" t="str">
        <f>"7091001"</f>
        <v>7091001</v>
      </c>
      <c r="S5523" t="s">
        <v>98</v>
      </c>
      <c r="T5523" t="s">
        <v>93</v>
      </c>
      <c r="U5523" t="s">
        <v>94</v>
      </c>
      <c r="V5523" t="s">
        <v>39</v>
      </c>
      <c r="W5523" t="s">
        <v>51</v>
      </c>
      <c r="X5523" t="s">
        <v>45</v>
      </c>
      <c r="Y5523" s="1">
        <v>24539</v>
      </c>
      <c r="Z5523">
        <v>1</v>
      </c>
      <c r="AA5523" t="s">
        <v>94</v>
      </c>
      <c r="AB5523" s="40" t="s">
        <v>1799</v>
      </c>
    </row>
    <row r="5524" spans="1:28" x14ac:dyDescent="0.25">
      <c r="A5524">
        <v>99915523</v>
      </c>
      <c r="B5524" t="s">
        <v>32</v>
      </c>
      <c r="C5524" t="s">
        <v>90</v>
      </c>
      <c r="D5524" t="s">
        <v>91</v>
      </c>
      <c r="G5524" t="s">
        <v>88</v>
      </c>
      <c r="H5524">
        <v>2</v>
      </c>
      <c r="K5524" t="s">
        <v>1426</v>
      </c>
      <c r="L5524" t="s">
        <v>1427</v>
      </c>
      <c r="M5524" t="s">
        <v>1270</v>
      </c>
      <c r="N5524">
        <v>25</v>
      </c>
      <c r="P5524" t="s">
        <v>41</v>
      </c>
      <c r="Q5524" t="s">
        <v>95</v>
      </c>
      <c r="R5524" t="str">
        <f>"7192037"</f>
        <v>7192037</v>
      </c>
      <c r="S5524" t="s">
        <v>1451</v>
      </c>
      <c r="T5524" t="s">
        <v>1426</v>
      </c>
      <c r="U5524" t="s">
        <v>1427</v>
      </c>
      <c r="V5524" t="s">
        <v>1270</v>
      </c>
      <c r="W5524" t="s">
        <v>51</v>
      </c>
      <c r="X5524" t="s">
        <v>45</v>
      </c>
      <c r="Y5524" s="1">
        <v>24516</v>
      </c>
      <c r="Z5524">
        <v>1</v>
      </c>
      <c r="AA5524" t="s">
        <v>1427</v>
      </c>
      <c r="AB5524" s="40" t="s">
        <v>1799</v>
      </c>
    </row>
    <row r="5525" spans="1:28" x14ac:dyDescent="0.25">
      <c r="A5525">
        <v>99915524</v>
      </c>
      <c r="B5525" t="s">
        <v>32</v>
      </c>
      <c r="C5525" t="s">
        <v>90</v>
      </c>
      <c r="D5525" t="s">
        <v>91</v>
      </c>
      <c r="G5525" t="s">
        <v>35</v>
      </c>
      <c r="H5525">
        <v>1</v>
      </c>
      <c r="I5525">
        <v>55</v>
      </c>
      <c r="J5525" s="1">
        <v>43344</v>
      </c>
      <c r="K5525" t="s">
        <v>1631</v>
      </c>
      <c r="L5525" t="s">
        <v>1632</v>
      </c>
      <c r="M5525" t="s">
        <v>1592</v>
      </c>
      <c r="N5525">
        <v>25</v>
      </c>
      <c r="O5525" s="1">
        <v>43344</v>
      </c>
      <c r="P5525" t="s">
        <v>41</v>
      </c>
      <c r="Q5525" t="s">
        <v>95</v>
      </c>
      <c r="R5525" t="str">
        <f>"7021001"</f>
        <v>7021001</v>
      </c>
      <c r="S5525" t="s">
        <v>1641</v>
      </c>
      <c r="T5525" t="s">
        <v>1631</v>
      </c>
      <c r="U5525" t="s">
        <v>1632</v>
      </c>
      <c r="V5525" t="s">
        <v>1592</v>
      </c>
      <c r="W5525" t="s">
        <v>51</v>
      </c>
      <c r="X5525" t="s">
        <v>45</v>
      </c>
      <c r="Y5525" s="1">
        <v>24511</v>
      </c>
      <c r="Z5525">
        <v>1</v>
      </c>
      <c r="AA5525" t="s">
        <v>1632</v>
      </c>
      <c r="AB5525" s="40" t="s">
        <v>1799</v>
      </c>
    </row>
    <row r="5526" spans="1:28" x14ac:dyDescent="0.25">
      <c r="A5526">
        <v>99915525</v>
      </c>
      <c r="B5526" t="s">
        <v>32</v>
      </c>
      <c r="C5526" t="s">
        <v>90</v>
      </c>
      <c r="D5526" t="s">
        <v>91</v>
      </c>
      <c r="G5526" t="s">
        <v>48</v>
      </c>
      <c r="H5526">
        <v>1</v>
      </c>
      <c r="K5526" t="s">
        <v>1725</v>
      </c>
      <c r="L5526" t="s">
        <v>1726</v>
      </c>
      <c r="M5526" t="s">
        <v>1705</v>
      </c>
      <c r="N5526">
        <v>25</v>
      </c>
      <c r="P5526" t="s">
        <v>41</v>
      </c>
      <c r="Q5526" t="s">
        <v>95</v>
      </c>
      <c r="R5526" t="str">
        <f>"7461015"</f>
        <v>7461015</v>
      </c>
      <c r="S5526" t="s">
        <v>1735</v>
      </c>
      <c r="T5526" t="s">
        <v>1725</v>
      </c>
      <c r="U5526" t="s">
        <v>1726</v>
      </c>
      <c r="V5526" t="s">
        <v>1705</v>
      </c>
      <c r="W5526" t="s">
        <v>51</v>
      </c>
      <c r="X5526" t="s">
        <v>45</v>
      </c>
      <c r="Y5526" s="1">
        <v>24388</v>
      </c>
      <c r="Z5526">
        <v>1</v>
      </c>
      <c r="AA5526" t="s">
        <v>1726</v>
      </c>
      <c r="AB5526" s="40" t="s">
        <v>1799</v>
      </c>
    </row>
    <row r="5527" spans="1:28" x14ac:dyDescent="0.25">
      <c r="A5527">
        <v>99915526</v>
      </c>
      <c r="B5527" t="s">
        <v>32</v>
      </c>
      <c r="C5527" t="s">
        <v>139</v>
      </c>
      <c r="D5527" t="s">
        <v>140</v>
      </c>
      <c r="G5527" t="s">
        <v>35</v>
      </c>
      <c r="H5527">
        <v>1</v>
      </c>
      <c r="K5527" t="s">
        <v>345</v>
      </c>
      <c r="L5527" t="s">
        <v>346</v>
      </c>
      <c r="M5527" t="s">
        <v>131</v>
      </c>
      <c r="N5527">
        <v>25</v>
      </c>
      <c r="P5527" t="s">
        <v>41</v>
      </c>
      <c r="Q5527" t="s">
        <v>75</v>
      </c>
      <c r="R5527" t="str">
        <f>"7054012"</f>
        <v>7054012</v>
      </c>
      <c r="S5527" t="s">
        <v>353</v>
      </c>
      <c r="T5527" t="s">
        <v>354</v>
      </c>
      <c r="U5527" t="s">
        <v>355</v>
      </c>
      <c r="V5527" t="s">
        <v>131</v>
      </c>
      <c r="W5527" t="s">
        <v>51</v>
      </c>
      <c r="X5527" t="s">
        <v>45</v>
      </c>
      <c r="Y5527" s="1">
        <v>24380</v>
      </c>
      <c r="Z5527">
        <v>2</v>
      </c>
      <c r="AA5527" t="s">
        <v>346</v>
      </c>
      <c r="AB5527" s="40" t="s">
        <v>1799</v>
      </c>
    </row>
    <row r="5528" spans="1:28" x14ac:dyDescent="0.25">
      <c r="A5528">
        <v>99915527</v>
      </c>
      <c r="B5528" t="s">
        <v>32</v>
      </c>
      <c r="C5528" t="s">
        <v>90</v>
      </c>
      <c r="D5528" t="s">
        <v>91</v>
      </c>
      <c r="G5528" t="s">
        <v>48</v>
      </c>
      <c r="H5528">
        <v>1</v>
      </c>
      <c r="K5528" t="s">
        <v>1341</v>
      </c>
      <c r="L5528" t="s">
        <v>1342</v>
      </c>
      <c r="M5528" t="s">
        <v>1270</v>
      </c>
      <c r="N5528">
        <v>25</v>
      </c>
      <c r="P5528" t="s">
        <v>41</v>
      </c>
      <c r="Q5528" t="s">
        <v>95</v>
      </c>
      <c r="R5528" t="str">
        <f>"7191013"</f>
        <v>7191013</v>
      </c>
      <c r="S5528" t="s">
        <v>1358</v>
      </c>
      <c r="T5528" t="s">
        <v>1341</v>
      </c>
      <c r="U5528" t="s">
        <v>1342</v>
      </c>
      <c r="V5528" t="s">
        <v>1270</v>
      </c>
      <c r="W5528" t="s">
        <v>51</v>
      </c>
      <c r="X5528" t="s">
        <v>45</v>
      </c>
      <c r="Y5528" s="1">
        <v>24320</v>
      </c>
      <c r="Z5528">
        <v>1</v>
      </c>
      <c r="AA5528" t="s">
        <v>1342</v>
      </c>
      <c r="AB5528" s="40" t="s">
        <v>1799</v>
      </c>
    </row>
    <row r="5529" spans="1:28" x14ac:dyDescent="0.25">
      <c r="A5529">
        <v>99915528</v>
      </c>
      <c r="B5529" t="s">
        <v>32</v>
      </c>
      <c r="C5529" t="s">
        <v>90</v>
      </c>
      <c r="D5529" t="s">
        <v>91</v>
      </c>
      <c r="G5529" t="s">
        <v>35</v>
      </c>
      <c r="H5529">
        <v>1</v>
      </c>
      <c r="I5529">
        <v>9623</v>
      </c>
      <c r="J5529" s="1">
        <v>43344</v>
      </c>
      <c r="K5529" t="s">
        <v>1198</v>
      </c>
      <c r="L5529" t="s">
        <v>1199</v>
      </c>
      <c r="M5529" t="s">
        <v>1130</v>
      </c>
      <c r="N5529">
        <v>25</v>
      </c>
      <c r="O5529" s="1">
        <v>43344</v>
      </c>
      <c r="P5529" t="s">
        <v>41</v>
      </c>
      <c r="Q5529" t="s">
        <v>95</v>
      </c>
      <c r="R5529" t="str">
        <f>"7311029"</f>
        <v>7311029</v>
      </c>
      <c r="S5529" t="s">
        <v>1204</v>
      </c>
      <c r="T5529" t="s">
        <v>1198</v>
      </c>
      <c r="U5529" t="s">
        <v>1199</v>
      </c>
      <c r="V5529" t="s">
        <v>1130</v>
      </c>
      <c r="W5529" t="s">
        <v>51</v>
      </c>
      <c r="X5529" t="s">
        <v>45</v>
      </c>
      <c r="Y5529" s="1">
        <v>24108</v>
      </c>
      <c r="Z5529">
        <v>1</v>
      </c>
      <c r="AA5529" t="s">
        <v>1199</v>
      </c>
      <c r="AB5529" s="40" t="s">
        <v>1799</v>
      </c>
    </row>
    <row r="5530" spans="1:28" x14ac:dyDescent="0.25">
      <c r="A5530">
        <v>99915529</v>
      </c>
      <c r="B5530" t="s">
        <v>32</v>
      </c>
      <c r="C5530" t="s">
        <v>90</v>
      </c>
      <c r="D5530" t="s">
        <v>91</v>
      </c>
      <c r="G5530" t="s">
        <v>35</v>
      </c>
      <c r="H5530">
        <v>1</v>
      </c>
      <c r="I5530">
        <v>9956</v>
      </c>
      <c r="J5530" s="1">
        <v>43344</v>
      </c>
      <c r="K5530" t="s">
        <v>1426</v>
      </c>
      <c r="L5530" t="s">
        <v>1427</v>
      </c>
      <c r="M5530" t="s">
        <v>1270</v>
      </c>
      <c r="N5530">
        <v>25</v>
      </c>
      <c r="O5530" s="1">
        <v>43344</v>
      </c>
      <c r="P5530" t="s">
        <v>41</v>
      </c>
      <c r="Q5530" t="s">
        <v>95</v>
      </c>
      <c r="R5530" t="str">
        <f>"7192041"</f>
        <v>7192041</v>
      </c>
      <c r="S5530" t="s">
        <v>1439</v>
      </c>
      <c r="T5530" t="s">
        <v>1426</v>
      </c>
      <c r="U5530" t="s">
        <v>1427</v>
      </c>
      <c r="V5530" t="s">
        <v>1270</v>
      </c>
      <c r="W5530" t="s">
        <v>51</v>
      </c>
      <c r="X5530" t="s">
        <v>45</v>
      </c>
      <c r="Y5530" s="1">
        <v>24020</v>
      </c>
      <c r="Z5530">
        <v>1</v>
      </c>
      <c r="AA5530" t="s">
        <v>1427</v>
      </c>
      <c r="AB5530" s="40" t="s">
        <v>1799</v>
      </c>
    </row>
    <row r="5531" spans="1:28" x14ac:dyDescent="0.25">
      <c r="A5531">
        <v>99915530</v>
      </c>
      <c r="B5531" t="s">
        <v>56</v>
      </c>
      <c r="C5531" t="s">
        <v>149</v>
      </c>
      <c r="D5531" t="s">
        <v>150</v>
      </c>
      <c r="G5531" t="s">
        <v>48</v>
      </c>
      <c r="H5531">
        <v>1</v>
      </c>
      <c r="K5531" t="s">
        <v>223</v>
      </c>
      <c r="L5531" t="s">
        <v>224</v>
      </c>
      <c r="M5531" t="s">
        <v>131</v>
      </c>
      <c r="N5531">
        <v>25</v>
      </c>
      <c r="P5531" t="s">
        <v>41</v>
      </c>
      <c r="Q5531" t="s">
        <v>49</v>
      </c>
      <c r="R5531" t="str">
        <f>"0581207"</f>
        <v>0581207</v>
      </c>
      <c r="S5531" t="s">
        <v>233</v>
      </c>
      <c r="T5531" t="s">
        <v>223</v>
      </c>
      <c r="U5531" t="s">
        <v>224</v>
      </c>
      <c r="V5531" t="s">
        <v>131</v>
      </c>
      <c r="W5531" t="s">
        <v>51</v>
      </c>
      <c r="X5531" t="s">
        <v>45</v>
      </c>
      <c r="Y5531" s="1">
        <v>24001</v>
      </c>
      <c r="Z5531">
        <v>2</v>
      </c>
      <c r="AA5531" t="s">
        <v>224</v>
      </c>
      <c r="AB5531" s="40" t="s">
        <v>1799</v>
      </c>
    </row>
    <row r="5532" spans="1:28" x14ac:dyDescent="0.25">
      <c r="A5532">
        <v>99915531</v>
      </c>
      <c r="B5532" t="s">
        <v>32</v>
      </c>
      <c r="C5532" t="s">
        <v>90</v>
      </c>
      <c r="D5532" t="s">
        <v>91</v>
      </c>
      <c r="G5532" t="s">
        <v>35</v>
      </c>
      <c r="H5532">
        <v>1</v>
      </c>
      <c r="I5532" t="s">
        <v>605</v>
      </c>
      <c r="J5532" s="1">
        <v>43344</v>
      </c>
      <c r="K5532" t="s">
        <v>268</v>
      </c>
      <c r="L5532" t="s">
        <v>269</v>
      </c>
      <c r="M5532" t="s">
        <v>131</v>
      </c>
      <c r="N5532">
        <v>25</v>
      </c>
      <c r="O5532" s="1">
        <v>43344</v>
      </c>
      <c r="P5532" t="s">
        <v>41</v>
      </c>
      <c r="Q5532" t="s">
        <v>95</v>
      </c>
      <c r="R5532" t="str">
        <f>"7052079"</f>
        <v>7052079</v>
      </c>
      <c r="S5532" t="s">
        <v>606</v>
      </c>
      <c r="T5532" t="s">
        <v>268</v>
      </c>
      <c r="U5532" t="s">
        <v>269</v>
      </c>
      <c r="V5532" t="s">
        <v>131</v>
      </c>
      <c r="W5532" t="s">
        <v>51</v>
      </c>
      <c r="X5532" t="s">
        <v>45</v>
      </c>
      <c r="Y5532" s="1">
        <v>23994</v>
      </c>
      <c r="Z5532">
        <v>1</v>
      </c>
      <c r="AA5532" t="s">
        <v>269</v>
      </c>
      <c r="AB5532" s="40" t="s">
        <v>1799</v>
      </c>
    </row>
    <row r="5533" spans="1:28" x14ac:dyDescent="0.25">
      <c r="A5533">
        <v>99915532</v>
      </c>
      <c r="B5533" t="s">
        <v>32</v>
      </c>
      <c r="C5533" t="s">
        <v>90</v>
      </c>
      <c r="D5533" t="s">
        <v>91</v>
      </c>
      <c r="G5533" t="s">
        <v>48</v>
      </c>
      <c r="H5533">
        <v>1</v>
      </c>
      <c r="K5533" t="s">
        <v>1334</v>
      </c>
      <c r="L5533" t="s">
        <v>1335</v>
      </c>
      <c r="M5533" t="s">
        <v>1270</v>
      </c>
      <c r="N5533">
        <v>25</v>
      </c>
      <c r="P5533" t="s">
        <v>41</v>
      </c>
      <c r="Q5533" t="s">
        <v>95</v>
      </c>
      <c r="R5533" t="str">
        <f>"7391005"</f>
        <v>7391005</v>
      </c>
      <c r="S5533" t="s">
        <v>1470</v>
      </c>
      <c r="T5533" t="s">
        <v>1334</v>
      </c>
      <c r="U5533" t="s">
        <v>1335</v>
      </c>
      <c r="V5533" t="s">
        <v>1270</v>
      </c>
      <c r="W5533" t="s">
        <v>51</v>
      </c>
      <c r="X5533" t="s">
        <v>45</v>
      </c>
      <c r="Y5533" s="1">
        <v>23933</v>
      </c>
      <c r="Z5533">
        <v>1</v>
      </c>
      <c r="AA5533" t="s">
        <v>1335</v>
      </c>
      <c r="AB5533" s="40" t="s">
        <v>1799</v>
      </c>
    </row>
    <row r="5534" spans="1:28" x14ac:dyDescent="0.25">
      <c r="A5534">
        <v>99915533</v>
      </c>
      <c r="B5534" t="s">
        <v>32</v>
      </c>
      <c r="C5534" t="s">
        <v>90</v>
      </c>
      <c r="D5534" t="s">
        <v>91</v>
      </c>
      <c r="G5534" t="s">
        <v>35</v>
      </c>
      <c r="H5534">
        <v>1</v>
      </c>
      <c r="K5534" t="s">
        <v>667</v>
      </c>
      <c r="L5534" t="s">
        <v>669</v>
      </c>
      <c r="M5534" t="s">
        <v>670</v>
      </c>
      <c r="N5534">
        <v>25</v>
      </c>
      <c r="P5534" t="s">
        <v>41</v>
      </c>
      <c r="Q5534" t="s">
        <v>95</v>
      </c>
      <c r="R5534" t="str">
        <f>"7501001"</f>
        <v>7501001</v>
      </c>
      <c r="S5534" t="s">
        <v>1525</v>
      </c>
      <c r="T5534" t="s">
        <v>667</v>
      </c>
      <c r="U5534" t="s">
        <v>669</v>
      </c>
      <c r="V5534" t="s">
        <v>670</v>
      </c>
      <c r="W5534" t="s">
        <v>51</v>
      </c>
      <c r="X5534" t="s">
        <v>45</v>
      </c>
      <c r="Y5534" s="1">
        <v>23923</v>
      </c>
      <c r="Z5534">
        <v>1</v>
      </c>
      <c r="AA5534" t="s">
        <v>669</v>
      </c>
      <c r="AB5534" s="40" t="s">
        <v>1799</v>
      </c>
    </row>
    <row r="5535" spans="1:28" x14ac:dyDescent="0.25">
      <c r="A5535">
        <v>99915534</v>
      </c>
      <c r="B5535" t="s">
        <v>32</v>
      </c>
      <c r="C5535" t="s">
        <v>90</v>
      </c>
      <c r="D5535" t="s">
        <v>91</v>
      </c>
      <c r="G5535" t="s">
        <v>35</v>
      </c>
      <c r="H5535">
        <v>1</v>
      </c>
      <c r="K5535" t="s">
        <v>667</v>
      </c>
      <c r="L5535" t="s">
        <v>669</v>
      </c>
      <c r="M5535" t="s">
        <v>670</v>
      </c>
      <c r="N5535">
        <v>25</v>
      </c>
      <c r="P5535" t="s">
        <v>41</v>
      </c>
      <c r="Q5535" t="s">
        <v>95</v>
      </c>
      <c r="R5535" t="str">
        <f>"7501007"</f>
        <v>7501007</v>
      </c>
      <c r="S5535" t="s">
        <v>1524</v>
      </c>
      <c r="T5535" t="s">
        <v>667</v>
      </c>
      <c r="U5535" t="s">
        <v>669</v>
      </c>
      <c r="V5535" t="s">
        <v>670</v>
      </c>
      <c r="W5535" t="s">
        <v>51</v>
      </c>
      <c r="X5535" t="s">
        <v>45</v>
      </c>
      <c r="Y5535" s="1">
        <v>23889</v>
      </c>
      <c r="Z5535">
        <v>1</v>
      </c>
      <c r="AA5535" t="s">
        <v>669</v>
      </c>
      <c r="AB5535" s="40" t="s">
        <v>1799</v>
      </c>
    </row>
    <row r="5536" spans="1:28" x14ac:dyDescent="0.25">
      <c r="A5536">
        <v>99915535</v>
      </c>
      <c r="B5536" t="s">
        <v>56</v>
      </c>
      <c r="C5536" t="s">
        <v>90</v>
      </c>
      <c r="D5536" t="s">
        <v>91</v>
      </c>
      <c r="G5536" t="s">
        <v>35</v>
      </c>
      <c r="H5536">
        <v>1</v>
      </c>
      <c r="K5536" t="s">
        <v>1426</v>
      </c>
      <c r="L5536" t="s">
        <v>1427</v>
      </c>
      <c r="M5536" t="s">
        <v>1270</v>
      </c>
      <c r="N5536">
        <v>25</v>
      </c>
      <c r="P5536" t="s">
        <v>41</v>
      </c>
      <c r="Q5536" t="s">
        <v>95</v>
      </c>
      <c r="R5536" t="str">
        <f>"7192001"</f>
        <v>7192001</v>
      </c>
      <c r="S5536" t="s">
        <v>1436</v>
      </c>
      <c r="T5536" t="s">
        <v>1426</v>
      </c>
      <c r="U5536" t="s">
        <v>1427</v>
      </c>
      <c r="V5536" t="s">
        <v>1270</v>
      </c>
      <c r="W5536" t="s">
        <v>51</v>
      </c>
      <c r="X5536" t="s">
        <v>45</v>
      </c>
      <c r="Y5536" s="1">
        <v>23859</v>
      </c>
      <c r="Z5536">
        <v>1</v>
      </c>
      <c r="AA5536" t="s">
        <v>1427</v>
      </c>
      <c r="AB5536" s="40" t="s">
        <v>1799</v>
      </c>
    </row>
    <row r="5537" spans="1:28" x14ac:dyDescent="0.25">
      <c r="A5537">
        <v>99915536</v>
      </c>
      <c r="B5537" t="s">
        <v>32</v>
      </c>
      <c r="C5537" t="s">
        <v>90</v>
      </c>
      <c r="D5537" t="s">
        <v>91</v>
      </c>
      <c r="G5537" t="s">
        <v>35</v>
      </c>
      <c r="H5537">
        <v>1</v>
      </c>
      <c r="I5537" t="s">
        <v>1089</v>
      </c>
      <c r="J5537" s="1">
        <v>43344</v>
      </c>
      <c r="K5537" t="s">
        <v>1081</v>
      </c>
      <c r="L5537" t="s">
        <v>1082</v>
      </c>
      <c r="M5537" t="s">
        <v>1053</v>
      </c>
      <c r="N5537">
        <v>25</v>
      </c>
      <c r="O5537" s="1">
        <v>43344</v>
      </c>
      <c r="P5537" t="s">
        <v>41</v>
      </c>
      <c r="Q5537" t="s">
        <v>95</v>
      </c>
      <c r="R5537" t="str">
        <f>"7201003"</f>
        <v>7201003</v>
      </c>
      <c r="S5537" t="s">
        <v>1114</v>
      </c>
      <c r="T5537" t="s">
        <v>1081</v>
      </c>
      <c r="U5537" t="s">
        <v>1082</v>
      </c>
      <c r="V5537" t="s">
        <v>1053</v>
      </c>
      <c r="W5537" t="s">
        <v>51</v>
      </c>
      <c r="X5537" t="s">
        <v>45</v>
      </c>
      <c r="Y5537" s="1">
        <v>23755</v>
      </c>
      <c r="Z5537">
        <v>1</v>
      </c>
      <c r="AA5537" t="s">
        <v>1082</v>
      </c>
      <c r="AB5537" s="40" t="s">
        <v>1799</v>
      </c>
    </row>
    <row r="5538" spans="1:28" x14ac:dyDescent="0.25">
      <c r="A5538">
        <v>99915537</v>
      </c>
      <c r="B5538" t="s">
        <v>32</v>
      </c>
      <c r="C5538" t="s">
        <v>71</v>
      </c>
      <c r="D5538" t="s">
        <v>72</v>
      </c>
      <c r="G5538" t="s">
        <v>35</v>
      </c>
      <c r="H5538">
        <v>1</v>
      </c>
      <c r="K5538" t="s">
        <v>223</v>
      </c>
      <c r="L5538" t="s">
        <v>224</v>
      </c>
      <c r="M5538" t="s">
        <v>131</v>
      </c>
      <c r="N5538">
        <v>25</v>
      </c>
      <c r="P5538" t="s">
        <v>41</v>
      </c>
      <c r="Q5538" t="s">
        <v>42</v>
      </c>
      <c r="R5538" t="str">
        <f>"0590903"</f>
        <v>0590903</v>
      </c>
      <c r="S5538" t="s">
        <v>226</v>
      </c>
      <c r="T5538" t="s">
        <v>223</v>
      </c>
      <c r="U5538" t="s">
        <v>224</v>
      </c>
      <c r="V5538" t="s">
        <v>131</v>
      </c>
      <c r="W5538" t="s">
        <v>51</v>
      </c>
      <c r="X5538" t="s">
        <v>45</v>
      </c>
      <c r="Y5538" s="1">
        <v>23741</v>
      </c>
      <c r="Z5538">
        <v>2</v>
      </c>
      <c r="AA5538" t="s">
        <v>224</v>
      </c>
      <c r="AB5538" s="40" t="s">
        <v>1799</v>
      </c>
    </row>
    <row r="5539" spans="1:28" x14ac:dyDescent="0.25">
      <c r="A5539">
        <v>99915538</v>
      </c>
      <c r="B5539" t="s">
        <v>32</v>
      </c>
      <c r="C5539" t="s">
        <v>90</v>
      </c>
      <c r="D5539" t="s">
        <v>91</v>
      </c>
      <c r="G5539" t="s">
        <v>48</v>
      </c>
      <c r="H5539">
        <v>13</v>
      </c>
      <c r="J5539" s="1">
        <v>43344</v>
      </c>
      <c r="K5539" t="s">
        <v>354</v>
      </c>
      <c r="L5539" t="s">
        <v>355</v>
      </c>
      <c r="M5539" t="s">
        <v>131</v>
      </c>
      <c r="N5539">
        <v>25</v>
      </c>
      <c r="O5539" s="1">
        <v>43344</v>
      </c>
      <c r="P5539" t="s">
        <v>41</v>
      </c>
      <c r="Q5539" t="s">
        <v>95</v>
      </c>
      <c r="R5539" t="str">
        <f>"7054025"</f>
        <v>7054025</v>
      </c>
      <c r="S5539" t="s">
        <v>794</v>
      </c>
      <c r="T5539" t="s">
        <v>354</v>
      </c>
      <c r="U5539" t="s">
        <v>355</v>
      </c>
      <c r="V5539" t="s">
        <v>131</v>
      </c>
      <c r="W5539" t="s">
        <v>51</v>
      </c>
      <c r="X5539" t="s">
        <v>45</v>
      </c>
      <c r="Y5539" s="1">
        <v>23721</v>
      </c>
      <c r="Z5539">
        <v>1</v>
      </c>
      <c r="AA5539" t="s">
        <v>355</v>
      </c>
      <c r="AB5539" s="40" t="s">
        <v>1799</v>
      </c>
    </row>
    <row r="5540" spans="1:28" x14ac:dyDescent="0.25">
      <c r="A5540">
        <v>99915539</v>
      </c>
      <c r="B5540" t="s">
        <v>56</v>
      </c>
      <c r="C5540" t="s">
        <v>90</v>
      </c>
      <c r="D5540" t="s">
        <v>91</v>
      </c>
      <c r="G5540" t="s">
        <v>35</v>
      </c>
      <c r="H5540">
        <v>1</v>
      </c>
      <c r="I5540" t="s">
        <v>1362</v>
      </c>
      <c r="J5540" s="1">
        <v>43344</v>
      </c>
      <c r="K5540" t="s">
        <v>1341</v>
      </c>
      <c r="L5540" t="s">
        <v>1342</v>
      </c>
      <c r="M5540" t="s">
        <v>1270</v>
      </c>
      <c r="N5540">
        <v>25</v>
      </c>
      <c r="O5540" s="1">
        <v>43344</v>
      </c>
      <c r="P5540" t="s">
        <v>41</v>
      </c>
      <c r="Q5540" t="s">
        <v>95</v>
      </c>
      <c r="R5540" t="str">
        <f>"7191027"</f>
        <v>7191027</v>
      </c>
      <c r="S5540" t="s">
        <v>1363</v>
      </c>
      <c r="T5540" t="s">
        <v>1341</v>
      </c>
      <c r="U5540" t="s">
        <v>1342</v>
      </c>
      <c r="V5540" t="s">
        <v>1270</v>
      </c>
      <c r="W5540" t="s">
        <v>51</v>
      </c>
      <c r="X5540" t="s">
        <v>45</v>
      </c>
      <c r="Y5540" s="1">
        <v>23286</v>
      </c>
      <c r="Z5540">
        <v>1</v>
      </c>
      <c r="AA5540" t="s">
        <v>1342</v>
      </c>
      <c r="AB5540" s="40" t="s">
        <v>1799</v>
      </c>
    </row>
    <row r="5541" spans="1:28" x14ac:dyDescent="0.25">
      <c r="A5541">
        <v>99915540</v>
      </c>
      <c r="B5541" t="s">
        <v>32</v>
      </c>
      <c r="C5541" t="s">
        <v>90</v>
      </c>
      <c r="D5541" t="s">
        <v>91</v>
      </c>
      <c r="G5541" t="s">
        <v>48</v>
      </c>
      <c r="H5541">
        <v>1</v>
      </c>
      <c r="K5541" t="s">
        <v>431</v>
      </c>
      <c r="L5541" t="s">
        <v>196</v>
      </c>
      <c r="M5541" t="s">
        <v>131</v>
      </c>
      <c r="N5541">
        <v>25</v>
      </c>
      <c r="P5541" t="s">
        <v>41</v>
      </c>
      <c r="Q5541" t="s">
        <v>95</v>
      </c>
      <c r="R5541" t="str">
        <f>"7521095"</f>
        <v>7521095</v>
      </c>
      <c r="S5541" t="s">
        <v>465</v>
      </c>
      <c r="T5541" t="s">
        <v>431</v>
      </c>
      <c r="U5541" t="s">
        <v>196</v>
      </c>
      <c r="V5541" t="s">
        <v>131</v>
      </c>
      <c r="W5541" t="s">
        <v>51</v>
      </c>
      <c r="X5541" t="s">
        <v>45</v>
      </c>
      <c r="Y5541" s="1">
        <v>23239</v>
      </c>
      <c r="Z5541">
        <v>1</v>
      </c>
      <c r="AA5541" t="s">
        <v>196</v>
      </c>
      <c r="AB5541" s="40" t="s">
        <v>1799</v>
      </c>
    </row>
    <row r="5542" spans="1:28" x14ac:dyDescent="0.25">
      <c r="A5542">
        <v>99915541</v>
      </c>
      <c r="B5542" t="s">
        <v>32</v>
      </c>
      <c r="C5542" t="s">
        <v>90</v>
      </c>
      <c r="D5542" t="s">
        <v>91</v>
      </c>
      <c r="G5542" t="s">
        <v>48</v>
      </c>
      <c r="H5542">
        <v>1</v>
      </c>
      <c r="K5542" t="s">
        <v>1695</v>
      </c>
      <c r="L5542" t="s">
        <v>1696</v>
      </c>
      <c r="M5542" t="s">
        <v>1592</v>
      </c>
      <c r="N5542">
        <v>25</v>
      </c>
      <c r="P5542" t="s">
        <v>41</v>
      </c>
      <c r="Q5542" t="s">
        <v>95</v>
      </c>
      <c r="R5542" t="str">
        <f>"7361003"</f>
        <v>7361003</v>
      </c>
      <c r="S5542" t="s">
        <v>1700</v>
      </c>
      <c r="T5542" t="s">
        <v>1695</v>
      </c>
      <c r="U5542" t="s">
        <v>1696</v>
      </c>
      <c r="V5542" t="s">
        <v>1592</v>
      </c>
      <c r="W5542" t="s">
        <v>51</v>
      </c>
      <c r="X5542" t="s">
        <v>45</v>
      </c>
      <c r="Y5542" s="1">
        <v>23152</v>
      </c>
      <c r="Z5542">
        <v>1</v>
      </c>
      <c r="AA5542" t="s">
        <v>1696</v>
      </c>
      <c r="AB5542" s="40" t="s">
        <v>1799</v>
      </c>
    </row>
    <row r="5543" spans="1:28" x14ac:dyDescent="0.25">
      <c r="A5543">
        <v>99915542</v>
      </c>
      <c r="B5543" t="s">
        <v>32</v>
      </c>
      <c r="C5543" t="s">
        <v>90</v>
      </c>
      <c r="D5543" t="s">
        <v>91</v>
      </c>
      <c r="G5543" t="s">
        <v>48</v>
      </c>
      <c r="H5543">
        <v>4</v>
      </c>
      <c r="K5543" t="s">
        <v>963</v>
      </c>
      <c r="L5543" t="s">
        <v>964</v>
      </c>
      <c r="M5543" t="s">
        <v>938</v>
      </c>
      <c r="N5543">
        <v>25</v>
      </c>
      <c r="P5543" t="s">
        <v>41</v>
      </c>
      <c r="Q5543" t="s">
        <v>95</v>
      </c>
      <c r="R5543" t="str">
        <f>"7061023"</f>
        <v>7061023</v>
      </c>
      <c r="S5543" t="s">
        <v>1010</v>
      </c>
      <c r="T5543" t="s">
        <v>963</v>
      </c>
      <c r="U5543" t="s">
        <v>964</v>
      </c>
      <c r="V5543" t="s">
        <v>938</v>
      </c>
      <c r="W5543" t="s">
        <v>51</v>
      </c>
      <c r="X5543" t="s">
        <v>45</v>
      </c>
      <c r="Y5543" s="1">
        <v>22850</v>
      </c>
      <c r="Z5543">
        <v>1</v>
      </c>
      <c r="AA5543" t="s">
        <v>964</v>
      </c>
      <c r="AB5543" s="40" t="s">
        <v>1799</v>
      </c>
    </row>
    <row r="5544" spans="1:28" x14ac:dyDescent="0.25">
      <c r="A5544">
        <v>99915543</v>
      </c>
      <c r="B5544" t="s">
        <v>32</v>
      </c>
      <c r="C5544" t="s">
        <v>90</v>
      </c>
      <c r="D5544" t="s">
        <v>91</v>
      </c>
      <c r="G5544" t="s">
        <v>48</v>
      </c>
      <c r="H5544">
        <v>1</v>
      </c>
      <c r="K5544" t="s">
        <v>1341</v>
      </c>
      <c r="L5544" t="s">
        <v>1342</v>
      </c>
      <c r="M5544" t="s">
        <v>1270</v>
      </c>
      <c r="N5544">
        <v>25</v>
      </c>
      <c r="P5544" t="s">
        <v>41</v>
      </c>
      <c r="Q5544" t="s">
        <v>95</v>
      </c>
      <c r="R5544" t="str">
        <f>"7191021"</f>
        <v>7191021</v>
      </c>
      <c r="S5544" t="s">
        <v>1418</v>
      </c>
      <c r="T5544" t="s">
        <v>1341</v>
      </c>
      <c r="U5544" t="s">
        <v>1342</v>
      </c>
      <c r="V5544" t="s">
        <v>1270</v>
      </c>
      <c r="W5544" t="s">
        <v>51</v>
      </c>
      <c r="X5544" t="s">
        <v>45</v>
      </c>
      <c r="Y5544" s="1">
        <v>22665</v>
      </c>
      <c r="Z5544">
        <v>1</v>
      </c>
      <c r="AA5544" t="s">
        <v>1342</v>
      </c>
      <c r="AB5544" s="40" t="s">
        <v>1799</v>
      </c>
    </row>
    <row r="5545" spans="1:28" x14ac:dyDescent="0.25">
      <c r="A5545">
        <v>99915544</v>
      </c>
      <c r="B5545" t="s">
        <v>32</v>
      </c>
      <c r="C5545" t="s">
        <v>90</v>
      </c>
      <c r="D5545" t="s">
        <v>91</v>
      </c>
      <c r="G5545" t="s">
        <v>48</v>
      </c>
      <c r="H5545">
        <v>4</v>
      </c>
      <c r="K5545" t="s">
        <v>1619</v>
      </c>
      <c r="L5545" t="s">
        <v>1620</v>
      </c>
      <c r="M5545" t="s">
        <v>1592</v>
      </c>
      <c r="N5545">
        <v>25</v>
      </c>
      <c r="P5545" t="s">
        <v>41</v>
      </c>
      <c r="Q5545" t="s">
        <v>95</v>
      </c>
      <c r="R5545" t="str">
        <f>"7281009"</f>
        <v>7281009</v>
      </c>
      <c r="S5545" t="s">
        <v>1667</v>
      </c>
      <c r="T5545" t="s">
        <v>1619</v>
      </c>
      <c r="U5545" t="s">
        <v>1620</v>
      </c>
      <c r="V5545" t="s">
        <v>1592</v>
      </c>
      <c r="W5545" t="s">
        <v>51</v>
      </c>
      <c r="X5545" t="s">
        <v>45</v>
      </c>
      <c r="Y5545" s="1">
        <v>22433</v>
      </c>
      <c r="Z5545">
        <v>1</v>
      </c>
      <c r="AA5545" t="s">
        <v>1620</v>
      </c>
      <c r="AB5545" s="40" t="s">
        <v>1799</v>
      </c>
    </row>
    <row r="5546" spans="1:28" x14ac:dyDescent="0.25">
      <c r="A5546">
        <v>99915545</v>
      </c>
      <c r="B5546" t="s">
        <v>32</v>
      </c>
      <c r="C5546" t="s">
        <v>90</v>
      </c>
      <c r="D5546" t="s">
        <v>91</v>
      </c>
      <c r="G5546" t="s">
        <v>48</v>
      </c>
      <c r="H5546">
        <v>18</v>
      </c>
      <c r="I5546">
        <v>155181</v>
      </c>
      <c r="J5546" s="1">
        <v>43344</v>
      </c>
      <c r="K5546" t="s">
        <v>354</v>
      </c>
      <c r="L5546" t="s">
        <v>355</v>
      </c>
      <c r="M5546" t="s">
        <v>131</v>
      </c>
      <c r="N5546">
        <v>25</v>
      </c>
      <c r="O5546" s="1">
        <v>43344</v>
      </c>
      <c r="P5546" t="s">
        <v>41</v>
      </c>
      <c r="Q5546" t="s">
        <v>95</v>
      </c>
      <c r="R5546" t="str">
        <f>"7054005"</f>
        <v>7054005</v>
      </c>
      <c r="S5546" t="s">
        <v>769</v>
      </c>
      <c r="T5546" t="s">
        <v>354</v>
      </c>
      <c r="U5546" t="s">
        <v>355</v>
      </c>
      <c r="V5546" t="s">
        <v>131</v>
      </c>
      <c r="W5546" t="s">
        <v>51</v>
      </c>
      <c r="X5546" t="s">
        <v>45</v>
      </c>
      <c r="Y5546" s="1">
        <v>22282</v>
      </c>
      <c r="Z5546">
        <v>1</v>
      </c>
      <c r="AA5546" t="s">
        <v>355</v>
      </c>
      <c r="AB5546" s="40" t="s">
        <v>1799</v>
      </c>
    </row>
    <row r="5547" spans="1:28" x14ac:dyDescent="0.25">
      <c r="A5547">
        <v>99915546</v>
      </c>
      <c r="B5547" t="s">
        <v>32</v>
      </c>
      <c r="C5547" t="s">
        <v>90</v>
      </c>
      <c r="D5547" t="s">
        <v>91</v>
      </c>
      <c r="G5547" t="s">
        <v>48</v>
      </c>
      <c r="H5547">
        <v>1</v>
      </c>
      <c r="K5547" t="s">
        <v>268</v>
      </c>
      <c r="L5547" t="s">
        <v>269</v>
      </c>
      <c r="M5547" t="s">
        <v>131</v>
      </c>
      <c r="N5547">
        <v>25</v>
      </c>
      <c r="P5547" t="s">
        <v>41</v>
      </c>
      <c r="Q5547" t="s">
        <v>95</v>
      </c>
      <c r="R5547" t="str">
        <f>"7052017"</f>
        <v>7052017</v>
      </c>
      <c r="S5547" t="s">
        <v>587</v>
      </c>
      <c r="T5547" t="s">
        <v>268</v>
      </c>
      <c r="U5547" t="s">
        <v>269</v>
      </c>
      <c r="V5547" t="s">
        <v>131</v>
      </c>
      <c r="W5547" t="s">
        <v>51</v>
      </c>
      <c r="X5547" t="s">
        <v>45</v>
      </c>
      <c r="Y5547" s="1">
        <v>22264</v>
      </c>
      <c r="Z5547">
        <v>1</v>
      </c>
      <c r="AA5547" t="s">
        <v>269</v>
      </c>
      <c r="AB5547" s="40" t="s">
        <v>1799</v>
      </c>
    </row>
    <row r="5548" spans="1:28" x14ac:dyDescent="0.25">
      <c r="A5548">
        <v>99915547</v>
      </c>
      <c r="B5548" t="s">
        <v>32</v>
      </c>
      <c r="C5548" t="s">
        <v>90</v>
      </c>
      <c r="D5548" t="s">
        <v>91</v>
      </c>
      <c r="G5548" t="s">
        <v>35</v>
      </c>
      <c r="H5548">
        <v>1</v>
      </c>
      <c r="K5548" t="s">
        <v>667</v>
      </c>
      <c r="L5548" t="s">
        <v>669</v>
      </c>
      <c r="M5548" t="s">
        <v>670</v>
      </c>
      <c r="N5548">
        <v>25</v>
      </c>
      <c r="P5548" t="s">
        <v>41</v>
      </c>
      <c r="Q5548" t="s">
        <v>95</v>
      </c>
      <c r="R5548" t="str">
        <f>"7501003"</f>
        <v>7501003</v>
      </c>
      <c r="S5548" t="s">
        <v>1544</v>
      </c>
      <c r="T5548" t="s">
        <v>667</v>
      </c>
      <c r="U5548" t="s">
        <v>669</v>
      </c>
      <c r="V5548" t="s">
        <v>670</v>
      </c>
      <c r="W5548" t="s">
        <v>51</v>
      </c>
      <c r="X5548" t="s">
        <v>45</v>
      </c>
      <c r="Y5548" s="1">
        <v>22150</v>
      </c>
      <c r="Z5548">
        <v>1</v>
      </c>
      <c r="AA5548" t="s">
        <v>669</v>
      </c>
      <c r="AB5548" s="40" t="s">
        <v>1799</v>
      </c>
    </row>
    <row r="5549" spans="1:28" x14ac:dyDescent="0.25">
      <c r="A5549">
        <v>99915548</v>
      </c>
      <c r="B5549" t="s">
        <v>32</v>
      </c>
      <c r="C5549" t="s">
        <v>90</v>
      </c>
      <c r="D5549" t="s">
        <v>91</v>
      </c>
      <c r="G5549" t="s">
        <v>48</v>
      </c>
      <c r="H5549">
        <v>1</v>
      </c>
      <c r="K5549" t="s">
        <v>1334</v>
      </c>
      <c r="L5549" t="s">
        <v>1335</v>
      </c>
      <c r="M5549" t="s">
        <v>1270</v>
      </c>
      <c r="N5549">
        <v>25</v>
      </c>
      <c r="P5549" t="s">
        <v>41</v>
      </c>
      <c r="Q5549" t="s">
        <v>95</v>
      </c>
      <c r="R5549" t="str">
        <f>"7391001"</f>
        <v>7391001</v>
      </c>
      <c r="S5549" t="s">
        <v>1468</v>
      </c>
      <c r="T5549" t="s">
        <v>1334</v>
      </c>
      <c r="U5549" t="s">
        <v>1335</v>
      </c>
      <c r="V5549" t="s">
        <v>1270</v>
      </c>
      <c r="W5549" t="s">
        <v>51</v>
      </c>
      <c r="X5549" t="s">
        <v>45</v>
      </c>
      <c r="Y5549" s="1">
        <v>21830</v>
      </c>
      <c r="Z5549">
        <v>1</v>
      </c>
      <c r="AA5549" t="s">
        <v>1335</v>
      </c>
      <c r="AB5549" s="40" t="s">
        <v>1799</v>
      </c>
    </row>
    <row r="5550" spans="1:28" x14ac:dyDescent="0.25">
      <c r="A5550">
        <v>99915549</v>
      </c>
      <c r="B5550" t="s">
        <v>32</v>
      </c>
      <c r="C5550" t="s">
        <v>90</v>
      </c>
      <c r="D5550" t="s">
        <v>91</v>
      </c>
      <c r="G5550" t="s">
        <v>88</v>
      </c>
      <c r="H5550">
        <v>4</v>
      </c>
      <c r="J5550" s="1">
        <v>43344</v>
      </c>
      <c r="K5550" t="s">
        <v>354</v>
      </c>
      <c r="L5550" t="s">
        <v>355</v>
      </c>
      <c r="M5550" t="s">
        <v>131</v>
      </c>
      <c r="N5550">
        <v>25</v>
      </c>
      <c r="O5550" s="1">
        <v>43344</v>
      </c>
      <c r="P5550" t="s">
        <v>41</v>
      </c>
      <c r="Q5550" t="s">
        <v>95</v>
      </c>
      <c r="R5550" t="str">
        <f>"7054027"</f>
        <v>7054027</v>
      </c>
      <c r="S5550" t="s">
        <v>787</v>
      </c>
      <c r="T5550" t="s">
        <v>354</v>
      </c>
      <c r="U5550" t="s">
        <v>355</v>
      </c>
      <c r="V5550" t="s">
        <v>131</v>
      </c>
      <c r="W5550" t="s">
        <v>51</v>
      </c>
      <c r="X5550" t="s">
        <v>45</v>
      </c>
      <c r="Y5550" s="1">
        <v>21765</v>
      </c>
      <c r="Z5550">
        <v>1</v>
      </c>
      <c r="AA5550" t="s">
        <v>355</v>
      </c>
      <c r="AB5550" s="40" t="s">
        <v>1799</v>
      </c>
    </row>
    <row r="5551" spans="1:28" x14ac:dyDescent="0.25">
      <c r="A5551">
        <v>99915550</v>
      </c>
      <c r="B5551" t="s">
        <v>32</v>
      </c>
      <c r="C5551" t="s">
        <v>90</v>
      </c>
      <c r="D5551" t="s">
        <v>91</v>
      </c>
      <c r="G5551" t="s">
        <v>35</v>
      </c>
      <c r="H5551">
        <v>1</v>
      </c>
      <c r="I5551">
        <v>149653</v>
      </c>
      <c r="J5551" s="1">
        <v>43344</v>
      </c>
      <c r="K5551" t="s">
        <v>354</v>
      </c>
      <c r="L5551" t="s">
        <v>355</v>
      </c>
      <c r="M5551" t="s">
        <v>131</v>
      </c>
      <c r="N5551">
        <v>25</v>
      </c>
      <c r="O5551" s="1">
        <v>43344</v>
      </c>
      <c r="P5551" t="s">
        <v>41</v>
      </c>
      <c r="Q5551" t="s">
        <v>95</v>
      </c>
      <c r="R5551" t="str">
        <f>"7054023"</f>
        <v>7054023</v>
      </c>
      <c r="S5551" t="s">
        <v>836</v>
      </c>
      <c r="T5551" t="s">
        <v>354</v>
      </c>
      <c r="U5551" t="s">
        <v>355</v>
      </c>
      <c r="V5551" t="s">
        <v>131</v>
      </c>
      <c r="W5551" t="s">
        <v>51</v>
      </c>
      <c r="X5551" t="s">
        <v>45</v>
      </c>
      <c r="Y5551" s="1">
        <v>21286</v>
      </c>
      <c r="Z5551">
        <v>1</v>
      </c>
      <c r="AA5551" t="s">
        <v>355</v>
      </c>
      <c r="AB5551" s="40" t="s">
        <v>1799</v>
      </c>
    </row>
    <row r="5552" spans="1:28" x14ac:dyDescent="0.25">
      <c r="A5552">
        <v>99915551</v>
      </c>
      <c r="B5552" t="s">
        <v>32</v>
      </c>
      <c r="C5552" t="s">
        <v>90</v>
      </c>
      <c r="D5552" t="s">
        <v>91</v>
      </c>
      <c r="G5552" t="s">
        <v>35</v>
      </c>
      <c r="H5552">
        <v>1</v>
      </c>
      <c r="I5552">
        <v>0</v>
      </c>
      <c r="J5552" s="1">
        <v>43344</v>
      </c>
      <c r="K5552" t="s">
        <v>1258</v>
      </c>
      <c r="L5552" t="s">
        <v>1259</v>
      </c>
      <c r="M5552" t="s">
        <v>1260</v>
      </c>
      <c r="N5552">
        <v>25</v>
      </c>
      <c r="O5552" s="1">
        <v>43344</v>
      </c>
      <c r="P5552" t="s">
        <v>41</v>
      </c>
      <c r="Q5552" t="s">
        <v>95</v>
      </c>
      <c r="R5552" t="str">
        <f>"7241005"</f>
        <v>7241005</v>
      </c>
      <c r="S5552" t="s">
        <v>1262</v>
      </c>
      <c r="T5552" t="s">
        <v>1258</v>
      </c>
      <c r="U5552" t="s">
        <v>1259</v>
      </c>
      <c r="V5552" t="s">
        <v>1260</v>
      </c>
      <c r="W5552" t="s">
        <v>51</v>
      </c>
      <c r="X5552" t="s">
        <v>45</v>
      </c>
      <c r="Y5552" s="1">
        <v>21197</v>
      </c>
      <c r="Z5552">
        <v>1</v>
      </c>
      <c r="AA5552" t="s">
        <v>1259</v>
      </c>
      <c r="AB5552" s="40" t="s">
        <v>1799</v>
      </c>
    </row>
    <row r="5553" spans="1:28" x14ac:dyDescent="0.25">
      <c r="A5553">
        <v>99915552</v>
      </c>
      <c r="B5553" t="s">
        <v>32</v>
      </c>
      <c r="C5553" t="s">
        <v>90</v>
      </c>
      <c r="D5553" t="s">
        <v>91</v>
      </c>
      <c r="G5553" t="s">
        <v>48</v>
      </c>
      <c r="H5553">
        <v>1</v>
      </c>
      <c r="K5553" t="s">
        <v>1457</v>
      </c>
      <c r="L5553" t="s">
        <v>1458</v>
      </c>
      <c r="M5553" t="s">
        <v>1270</v>
      </c>
      <c r="N5553">
        <v>25</v>
      </c>
      <c r="P5553" t="s">
        <v>41</v>
      </c>
      <c r="Q5553" t="s">
        <v>95</v>
      </c>
      <c r="R5553" t="str">
        <f>"7161001"</f>
        <v>7161001</v>
      </c>
      <c r="S5553" t="s">
        <v>1459</v>
      </c>
      <c r="T5553" t="s">
        <v>1457</v>
      </c>
      <c r="U5553" t="s">
        <v>1458</v>
      </c>
      <c r="V5553" t="s">
        <v>1270</v>
      </c>
      <c r="W5553" t="s">
        <v>51</v>
      </c>
      <c r="X5553" t="s">
        <v>45</v>
      </c>
      <c r="Y5553" s="1">
        <v>20838</v>
      </c>
      <c r="Z5553">
        <v>1</v>
      </c>
      <c r="AA5553" t="s">
        <v>1458</v>
      </c>
      <c r="AB5553" s="40" t="s">
        <v>1799</v>
      </c>
    </row>
    <row r="5554" spans="1:28" x14ac:dyDescent="0.25">
      <c r="A5554">
        <v>99915553</v>
      </c>
      <c r="B5554" t="s">
        <v>32</v>
      </c>
      <c r="C5554" t="s">
        <v>90</v>
      </c>
      <c r="D5554" t="s">
        <v>91</v>
      </c>
      <c r="G5554" t="s">
        <v>48</v>
      </c>
      <c r="H5554">
        <v>1</v>
      </c>
      <c r="K5554" t="s">
        <v>407</v>
      </c>
      <c r="L5554" t="s">
        <v>409</v>
      </c>
      <c r="M5554" t="s">
        <v>131</v>
      </c>
      <c r="N5554">
        <v>25</v>
      </c>
      <c r="P5554" t="s">
        <v>41</v>
      </c>
      <c r="Q5554" t="s">
        <v>95</v>
      </c>
      <c r="R5554" t="str">
        <f>"7053019"</f>
        <v>7053019</v>
      </c>
      <c r="S5554" t="s">
        <v>761</v>
      </c>
      <c r="T5554" t="s">
        <v>407</v>
      </c>
      <c r="U5554" t="s">
        <v>409</v>
      </c>
      <c r="V5554" t="s">
        <v>131</v>
      </c>
      <c r="W5554" t="s">
        <v>51</v>
      </c>
      <c r="X5554" t="s">
        <v>45</v>
      </c>
      <c r="Y5554" s="1">
        <v>20336</v>
      </c>
      <c r="Z5554">
        <v>1</v>
      </c>
      <c r="AA5554" t="s">
        <v>409</v>
      </c>
      <c r="AB5554" s="40" t="s">
        <v>1799</v>
      </c>
    </row>
    <row r="5555" spans="1:28" x14ac:dyDescent="0.25">
      <c r="A5555">
        <v>99915554</v>
      </c>
      <c r="B5555" t="s">
        <v>32</v>
      </c>
      <c r="C5555" t="s">
        <v>90</v>
      </c>
      <c r="D5555" t="s">
        <v>91</v>
      </c>
      <c r="G5555" t="s">
        <v>35</v>
      </c>
      <c r="H5555">
        <v>1</v>
      </c>
      <c r="I5555" t="s">
        <v>1253</v>
      </c>
      <c r="J5555" s="1">
        <v>43344</v>
      </c>
      <c r="K5555" t="s">
        <v>1245</v>
      </c>
      <c r="L5555" t="s">
        <v>1246</v>
      </c>
      <c r="M5555" t="s">
        <v>1130</v>
      </c>
      <c r="N5555">
        <v>25</v>
      </c>
      <c r="O5555" s="1">
        <v>43344</v>
      </c>
      <c r="P5555" t="s">
        <v>41</v>
      </c>
      <c r="Q5555" t="s">
        <v>95</v>
      </c>
      <c r="R5555" t="str">
        <f>"7451005"</f>
        <v>7451005</v>
      </c>
      <c r="S5555" t="s">
        <v>1254</v>
      </c>
      <c r="T5555" t="s">
        <v>1245</v>
      </c>
      <c r="U5555" t="s">
        <v>1246</v>
      </c>
      <c r="V5555" t="s">
        <v>1130</v>
      </c>
      <c r="W5555" t="s">
        <v>51</v>
      </c>
      <c r="X5555" t="s">
        <v>45</v>
      </c>
      <c r="Y5555" s="1">
        <v>19837</v>
      </c>
      <c r="Z5555">
        <v>1</v>
      </c>
      <c r="AA5555" t="s">
        <v>1246</v>
      </c>
      <c r="AB5555" s="40" t="s">
        <v>1799</v>
      </c>
    </row>
    <row r="5556" spans="1:28" x14ac:dyDescent="0.25">
      <c r="A5556">
        <v>99915555</v>
      </c>
      <c r="B5556" t="s">
        <v>32</v>
      </c>
      <c r="C5556" t="s">
        <v>90</v>
      </c>
      <c r="D5556" t="s">
        <v>91</v>
      </c>
      <c r="G5556" t="s">
        <v>35</v>
      </c>
      <c r="H5556">
        <v>1</v>
      </c>
      <c r="I5556">
        <v>0</v>
      </c>
      <c r="J5556" s="1">
        <v>43344</v>
      </c>
      <c r="K5556" t="s">
        <v>1258</v>
      </c>
      <c r="L5556" t="s">
        <v>1259</v>
      </c>
      <c r="M5556" t="s">
        <v>1260</v>
      </c>
      <c r="N5556">
        <v>25</v>
      </c>
      <c r="O5556" s="1">
        <v>43344</v>
      </c>
      <c r="P5556" t="s">
        <v>41</v>
      </c>
      <c r="Q5556" t="s">
        <v>95</v>
      </c>
      <c r="R5556" t="str">
        <f>"7241001"</f>
        <v>7241001</v>
      </c>
      <c r="S5556" t="s">
        <v>1261</v>
      </c>
      <c r="T5556" t="s">
        <v>1258</v>
      </c>
      <c r="U5556" t="s">
        <v>1259</v>
      </c>
      <c r="V5556" t="s">
        <v>1260</v>
      </c>
      <c r="W5556" t="s">
        <v>51</v>
      </c>
      <c r="X5556" t="s">
        <v>45</v>
      </c>
      <c r="Y5556" s="1">
        <v>17786</v>
      </c>
      <c r="Z5556">
        <v>1</v>
      </c>
      <c r="AA5556" t="s">
        <v>1259</v>
      </c>
      <c r="AB5556" s="40" t="s">
        <v>1799</v>
      </c>
    </row>
    <row r="5557" spans="1:28" x14ac:dyDescent="0.25">
      <c r="A5557">
        <v>99915556</v>
      </c>
      <c r="B5557" t="s">
        <v>56</v>
      </c>
      <c r="C5557" t="s">
        <v>71</v>
      </c>
      <c r="D5557" t="s">
        <v>72</v>
      </c>
      <c r="G5557" t="s">
        <v>35</v>
      </c>
      <c r="H5557">
        <v>1</v>
      </c>
      <c r="K5557" t="s">
        <v>223</v>
      </c>
      <c r="L5557" t="s">
        <v>224</v>
      </c>
      <c r="M5557" t="s">
        <v>131</v>
      </c>
      <c r="N5557">
        <v>25</v>
      </c>
      <c r="P5557" t="s">
        <v>41</v>
      </c>
      <c r="Q5557" t="s">
        <v>42</v>
      </c>
      <c r="R5557" t="str">
        <f>"0590903"</f>
        <v>0590903</v>
      </c>
      <c r="S5557" t="s">
        <v>226</v>
      </c>
      <c r="T5557" t="s">
        <v>223</v>
      </c>
      <c r="U5557" t="s">
        <v>224</v>
      </c>
      <c r="V5557" t="s">
        <v>131</v>
      </c>
      <c r="W5557" t="s">
        <v>51</v>
      </c>
      <c r="X5557" t="s">
        <v>45</v>
      </c>
      <c r="Z5557">
        <v>2</v>
      </c>
      <c r="AA5557" t="s">
        <v>224</v>
      </c>
      <c r="AB5557" s="40" t="s">
        <v>1799</v>
      </c>
    </row>
    <row r="5558" spans="1:28" x14ac:dyDescent="0.25">
      <c r="A5558">
        <v>99915557</v>
      </c>
      <c r="B5558" t="s">
        <v>56</v>
      </c>
      <c r="C5558" t="s">
        <v>82</v>
      </c>
      <c r="D5558" t="s">
        <v>83</v>
      </c>
      <c r="G5558" t="s">
        <v>35</v>
      </c>
      <c r="H5558">
        <v>1</v>
      </c>
      <c r="K5558" t="s">
        <v>223</v>
      </c>
      <c r="L5558" t="s">
        <v>224</v>
      </c>
      <c r="M5558" t="s">
        <v>131</v>
      </c>
      <c r="N5558">
        <v>25</v>
      </c>
      <c r="P5558" t="s">
        <v>41</v>
      </c>
      <c r="Q5558" t="s">
        <v>42</v>
      </c>
      <c r="R5558" t="str">
        <f>"0590903"</f>
        <v>0590903</v>
      </c>
      <c r="S5558" t="s">
        <v>226</v>
      </c>
      <c r="T5558" t="s">
        <v>223</v>
      </c>
      <c r="U5558" t="s">
        <v>224</v>
      </c>
      <c r="V5558" t="s">
        <v>131</v>
      </c>
      <c r="W5558" t="s">
        <v>51</v>
      </c>
      <c r="X5558" t="s">
        <v>45</v>
      </c>
      <c r="Z5558">
        <v>2</v>
      </c>
      <c r="AA5558" t="s">
        <v>224</v>
      </c>
      <c r="AB5558" s="40" t="s">
        <v>1799</v>
      </c>
    </row>
    <row r="5559" spans="1:28" x14ac:dyDescent="0.25">
      <c r="A5559">
        <v>99915558</v>
      </c>
      <c r="B5559" t="s">
        <v>32</v>
      </c>
      <c r="C5559" t="s">
        <v>90</v>
      </c>
      <c r="D5559" t="s">
        <v>91</v>
      </c>
      <c r="G5559" t="s">
        <v>35</v>
      </c>
      <c r="H5559">
        <v>1</v>
      </c>
      <c r="I5559">
        <v>1</v>
      </c>
      <c r="J5559" s="1">
        <v>43344</v>
      </c>
      <c r="K5559" t="s">
        <v>268</v>
      </c>
      <c r="L5559" t="s">
        <v>269</v>
      </c>
      <c r="M5559" t="s">
        <v>131</v>
      </c>
      <c r="N5559">
        <v>25</v>
      </c>
      <c r="O5559" s="1">
        <v>43344</v>
      </c>
      <c r="P5559" t="s">
        <v>41</v>
      </c>
      <c r="Q5559" t="s">
        <v>95</v>
      </c>
      <c r="R5559" t="str">
        <f>"7052069"</f>
        <v>7052069</v>
      </c>
      <c r="S5559" t="s">
        <v>665</v>
      </c>
      <c r="T5559" t="s">
        <v>268</v>
      </c>
      <c r="U5559" t="s">
        <v>269</v>
      </c>
      <c r="V5559" t="s">
        <v>131</v>
      </c>
      <c r="W5559" t="s">
        <v>51</v>
      </c>
      <c r="X5559" t="s">
        <v>45</v>
      </c>
      <c r="Z5559">
        <v>1</v>
      </c>
      <c r="AA5559" t="s">
        <v>269</v>
      </c>
      <c r="AB5559" s="40" t="s">
        <v>1799</v>
      </c>
    </row>
    <row r="5560" spans="1:28" x14ac:dyDescent="0.25">
      <c r="A5560">
        <v>99915559</v>
      </c>
      <c r="B5560" t="s">
        <v>32</v>
      </c>
      <c r="C5560" t="s">
        <v>90</v>
      </c>
      <c r="D5560" t="s">
        <v>91</v>
      </c>
      <c r="G5560" t="s">
        <v>48</v>
      </c>
      <c r="H5560">
        <v>1</v>
      </c>
      <c r="K5560" t="s">
        <v>407</v>
      </c>
      <c r="L5560" t="s">
        <v>409</v>
      </c>
      <c r="M5560" t="s">
        <v>131</v>
      </c>
      <c r="N5560">
        <v>25</v>
      </c>
      <c r="P5560" t="s">
        <v>41</v>
      </c>
      <c r="Q5560" t="s">
        <v>95</v>
      </c>
      <c r="R5560" t="str">
        <f>"7053029"</f>
        <v>7053029</v>
      </c>
      <c r="S5560" t="s">
        <v>755</v>
      </c>
      <c r="T5560" t="s">
        <v>407</v>
      </c>
      <c r="U5560" t="s">
        <v>409</v>
      </c>
      <c r="V5560" t="s">
        <v>131</v>
      </c>
      <c r="W5560" t="s">
        <v>51</v>
      </c>
      <c r="X5560" t="s">
        <v>45</v>
      </c>
      <c r="Z5560">
        <v>1</v>
      </c>
      <c r="AA5560" t="s">
        <v>409</v>
      </c>
      <c r="AB5560" s="40" t="s">
        <v>1799</v>
      </c>
    </row>
    <row r="5561" spans="1:28" x14ac:dyDescent="0.25">
      <c r="A5561">
        <v>99915560</v>
      </c>
      <c r="B5561" t="s">
        <v>32</v>
      </c>
      <c r="C5561" t="s">
        <v>90</v>
      </c>
      <c r="D5561" t="s">
        <v>91</v>
      </c>
      <c r="G5561" t="s">
        <v>35</v>
      </c>
      <c r="H5561">
        <v>1</v>
      </c>
      <c r="I5561">
        <v>4665</v>
      </c>
      <c r="J5561" s="1">
        <v>43344</v>
      </c>
      <c r="K5561" t="s">
        <v>927</v>
      </c>
      <c r="L5561" t="s">
        <v>928</v>
      </c>
      <c r="M5561" t="s">
        <v>921</v>
      </c>
      <c r="N5561">
        <v>25</v>
      </c>
      <c r="O5561" s="1">
        <v>43344</v>
      </c>
      <c r="P5561" t="s">
        <v>41</v>
      </c>
      <c r="Q5561" t="s">
        <v>95</v>
      </c>
      <c r="R5561" t="str">
        <f>"7331001"</f>
        <v>7331001</v>
      </c>
      <c r="S5561" t="s">
        <v>930</v>
      </c>
      <c r="T5561" t="s">
        <v>927</v>
      </c>
      <c r="U5561" t="s">
        <v>928</v>
      </c>
      <c r="V5561" t="s">
        <v>921</v>
      </c>
      <c r="W5561" t="s">
        <v>44</v>
      </c>
      <c r="X5561" t="s">
        <v>45</v>
      </c>
      <c r="Z5561">
        <v>1</v>
      </c>
      <c r="AA5561" t="s">
        <v>928</v>
      </c>
      <c r="AB5561" s="40" t="s">
        <v>1799</v>
      </c>
    </row>
    <row r="5562" spans="1:28" x14ac:dyDescent="0.25">
      <c r="A5562">
        <v>99915561</v>
      </c>
      <c r="B5562" t="s">
        <v>32</v>
      </c>
      <c r="C5562" t="s">
        <v>90</v>
      </c>
      <c r="D5562" t="s">
        <v>91</v>
      </c>
      <c r="G5562" t="s">
        <v>48</v>
      </c>
      <c r="H5562">
        <v>1</v>
      </c>
      <c r="K5562" t="s">
        <v>1198</v>
      </c>
      <c r="L5562" t="s">
        <v>1199</v>
      </c>
      <c r="M5562" t="s">
        <v>1130</v>
      </c>
      <c r="N5562">
        <v>25</v>
      </c>
      <c r="P5562" t="s">
        <v>41</v>
      </c>
      <c r="Q5562" t="s">
        <v>95</v>
      </c>
      <c r="R5562" t="str">
        <f>"7311019"</f>
        <v>7311019</v>
      </c>
      <c r="S5562" t="s">
        <v>1215</v>
      </c>
      <c r="T5562" t="s">
        <v>1198</v>
      </c>
      <c r="U5562" t="s">
        <v>1199</v>
      </c>
      <c r="V5562" t="s">
        <v>1130</v>
      </c>
      <c r="W5562" t="s">
        <v>165</v>
      </c>
      <c r="X5562" t="s">
        <v>45</v>
      </c>
      <c r="Z5562">
        <v>1</v>
      </c>
      <c r="AA5562" t="s">
        <v>1199</v>
      </c>
      <c r="AB5562" s="40" t="s">
        <v>1799</v>
      </c>
    </row>
    <row r="5563" spans="1:28" x14ac:dyDescent="0.25">
      <c r="A5563">
        <v>99915562</v>
      </c>
      <c r="B5563" t="s">
        <v>32</v>
      </c>
      <c r="C5563" t="s">
        <v>90</v>
      </c>
      <c r="D5563" t="s">
        <v>91</v>
      </c>
      <c r="G5563" t="s">
        <v>35</v>
      </c>
      <c r="H5563">
        <v>1</v>
      </c>
      <c r="I5563" t="s">
        <v>1528</v>
      </c>
      <c r="J5563" s="1">
        <v>43344</v>
      </c>
      <c r="K5563" t="s">
        <v>667</v>
      </c>
      <c r="L5563" t="s">
        <v>669</v>
      </c>
      <c r="M5563" t="s">
        <v>670</v>
      </c>
      <c r="N5563">
        <v>25</v>
      </c>
      <c r="O5563" s="1">
        <v>43344</v>
      </c>
      <c r="P5563" t="s">
        <v>41</v>
      </c>
      <c r="Q5563" t="s">
        <v>95</v>
      </c>
      <c r="R5563" t="str">
        <f>"7501001"</f>
        <v>7501001</v>
      </c>
      <c r="S5563" t="s">
        <v>1525</v>
      </c>
      <c r="T5563" t="s">
        <v>667</v>
      </c>
      <c r="U5563" t="s">
        <v>669</v>
      </c>
      <c r="V5563" t="s">
        <v>670</v>
      </c>
      <c r="W5563" t="s">
        <v>51</v>
      </c>
      <c r="X5563" t="s">
        <v>45</v>
      </c>
      <c r="Z5563">
        <v>1</v>
      </c>
      <c r="AA5563" t="s">
        <v>669</v>
      </c>
      <c r="AB5563" s="40" t="s">
        <v>1799</v>
      </c>
    </row>
    <row r="5564" spans="1:28" x14ac:dyDescent="0.25">
      <c r="A5564">
        <v>99915563</v>
      </c>
      <c r="B5564" t="s">
        <v>32</v>
      </c>
      <c r="C5564" t="s">
        <v>90</v>
      </c>
      <c r="D5564" t="s">
        <v>91</v>
      </c>
      <c r="G5564" t="s">
        <v>48</v>
      </c>
      <c r="H5564">
        <v>1</v>
      </c>
      <c r="K5564" t="s">
        <v>1631</v>
      </c>
      <c r="L5564" t="s">
        <v>1632</v>
      </c>
      <c r="M5564" t="s">
        <v>1592</v>
      </c>
      <c r="N5564">
        <v>25</v>
      </c>
      <c r="P5564" t="s">
        <v>41</v>
      </c>
      <c r="Q5564" t="s">
        <v>95</v>
      </c>
      <c r="R5564" t="str">
        <f>"7021011"</f>
        <v>7021011</v>
      </c>
      <c r="S5564" t="s">
        <v>1643</v>
      </c>
      <c r="T5564" t="s">
        <v>1631</v>
      </c>
      <c r="U5564" t="s">
        <v>1632</v>
      </c>
      <c r="V5564" t="s">
        <v>1592</v>
      </c>
      <c r="W5564" t="s">
        <v>51</v>
      </c>
      <c r="X5564" t="s">
        <v>45</v>
      </c>
      <c r="Z5564">
        <v>1</v>
      </c>
      <c r="AA5564" t="s">
        <v>1632</v>
      </c>
      <c r="AB5564" s="40" t="s">
        <v>1799</v>
      </c>
    </row>
    <row r="5565" spans="1:28" x14ac:dyDescent="0.25">
      <c r="A5565">
        <v>99915564</v>
      </c>
      <c r="B5565" t="s">
        <v>32</v>
      </c>
      <c r="C5565" t="s">
        <v>90</v>
      </c>
      <c r="D5565" t="s">
        <v>91</v>
      </c>
      <c r="G5565" t="s">
        <v>35</v>
      </c>
      <c r="H5565">
        <v>1</v>
      </c>
      <c r="I5565">
        <v>4893</v>
      </c>
      <c r="J5565" s="1">
        <v>43354</v>
      </c>
      <c r="K5565" t="s">
        <v>1689</v>
      </c>
      <c r="L5565" t="s">
        <v>1690</v>
      </c>
      <c r="M5565" t="s">
        <v>1592</v>
      </c>
      <c r="N5565">
        <v>25</v>
      </c>
      <c r="O5565" s="1">
        <v>43354</v>
      </c>
      <c r="P5565" t="s">
        <v>41</v>
      </c>
      <c r="Q5565" t="s">
        <v>95</v>
      </c>
      <c r="R5565" t="str">
        <f>"7301001"</f>
        <v>7301001</v>
      </c>
      <c r="S5565" t="s">
        <v>1692</v>
      </c>
      <c r="T5565" t="s">
        <v>1689</v>
      </c>
      <c r="U5565" t="s">
        <v>1690</v>
      </c>
      <c r="V5565" t="s">
        <v>1592</v>
      </c>
      <c r="W5565" t="s">
        <v>44</v>
      </c>
      <c r="X5565" t="s">
        <v>45</v>
      </c>
      <c r="Z5565">
        <v>1</v>
      </c>
      <c r="AA5565" t="s">
        <v>1690</v>
      </c>
      <c r="AB5565" s="40" t="s">
        <v>1799</v>
      </c>
    </row>
    <row r="5566" spans="1:28" x14ac:dyDescent="0.25">
      <c r="A5566">
        <v>99915565</v>
      </c>
      <c r="B5566" t="s">
        <v>32</v>
      </c>
      <c r="C5566" t="s">
        <v>46</v>
      </c>
      <c r="D5566" t="s">
        <v>47</v>
      </c>
      <c r="G5566" t="s">
        <v>48</v>
      </c>
      <c r="H5566">
        <v>1</v>
      </c>
      <c r="K5566" t="s">
        <v>223</v>
      </c>
      <c r="L5566" t="s">
        <v>224</v>
      </c>
      <c r="M5566" t="s">
        <v>131</v>
      </c>
      <c r="N5566">
        <v>26</v>
      </c>
      <c r="P5566" t="s">
        <v>41</v>
      </c>
      <c r="Q5566" t="s">
        <v>49</v>
      </c>
      <c r="R5566" t="str">
        <f>"0591901"</f>
        <v>0591901</v>
      </c>
      <c r="S5566" t="s">
        <v>230</v>
      </c>
      <c r="T5566" t="s">
        <v>223</v>
      </c>
      <c r="U5566" t="s">
        <v>224</v>
      </c>
      <c r="V5566" t="s">
        <v>131</v>
      </c>
      <c r="W5566" t="s">
        <v>51</v>
      </c>
      <c r="X5566" t="s">
        <v>45</v>
      </c>
      <c r="Y5566" s="1">
        <v>32949</v>
      </c>
      <c r="Z5566">
        <v>2</v>
      </c>
      <c r="AA5566" t="s">
        <v>224</v>
      </c>
      <c r="AB5566" s="40" t="s">
        <v>1800</v>
      </c>
    </row>
    <row r="5567" spans="1:28" x14ac:dyDescent="0.25">
      <c r="A5567">
        <v>99915566</v>
      </c>
      <c r="B5567" t="s">
        <v>32</v>
      </c>
      <c r="C5567" t="s">
        <v>61</v>
      </c>
      <c r="D5567" t="s">
        <v>62</v>
      </c>
      <c r="G5567" t="s">
        <v>48</v>
      </c>
      <c r="H5567">
        <v>7</v>
      </c>
      <c r="K5567" t="s">
        <v>268</v>
      </c>
      <c r="L5567" t="s">
        <v>269</v>
      </c>
      <c r="M5567" t="s">
        <v>131</v>
      </c>
      <c r="N5567">
        <v>26</v>
      </c>
      <c r="P5567" t="s">
        <v>41</v>
      </c>
      <c r="Q5567" t="s">
        <v>75</v>
      </c>
      <c r="R5567" t="str">
        <f>"7052004"</f>
        <v>7052004</v>
      </c>
      <c r="S5567" t="s">
        <v>584</v>
      </c>
      <c r="T5567" t="s">
        <v>268</v>
      </c>
      <c r="U5567" t="s">
        <v>269</v>
      </c>
      <c r="V5567" t="s">
        <v>131</v>
      </c>
      <c r="W5567" t="s">
        <v>51</v>
      </c>
      <c r="X5567" t="s">
        <v>45</v>
      </c>
      <c r="Y5567" s="1">
        <v>30735</v>
      </c>
      <c r="Z5567">
        <v>1</v>
      </c>
      <c r="AA5567" t="s">
        <v>269</v>
      </c>
      <c r="AB5567" s="40" t="s">
        <v>1800</v>
      </c>
    </row>
    <row r="5568" spans="1:28" x14ac:dyDescent="0.25">
      <c r="A5568">
        <v>99915567</v>
      </c>
      <c r="B5568" t="s">
        <v>32</v>
      </c>
      <c r="C5568" t="s">
        <v>90</v>
      </c>
      <c r="D5568" t="s">
        <v>91</v>
      </c>
      <c r="G5568" t="s">
        <v>35</v>
      </c>
      <c r="H5568">
        <v>1</v>
      </c>
      <c r="K5568" t="s">
        <v>195</v>
      </c>
      <c r="L5568" t="s">
        <v>196</v>
      </c>
      <c r="M5568" t="s">
        <v>131</v>
      </c>
      <c r="N5568">
        <v>26</v>
      </c>
      <c r="P5568" t="s">
        <v>41</v>
      </c>
      <c r="Q5568" t="s">
        <v>95</v>
      </c>
      <c r="R5568" t="str">
        <f>"7521105"</f>
        <v>7521105</v>
      </c>
      <c r="S5568" t="s">
        <v>478</v>
      </c>
      <c r="T5568" t="s">
        <v>195</v>
      </c>
      <c r="U5568" t="s">
        <v>196</v>
      </c>
      <c r="V5568" t="s">
        <v>131</v>
      </c>
      <c r="W5568" t="s">
        <v>51</v>
      </c>
      <c r="X5568" t="s">
        <v>45</v>
      </c>
      <c r="Y5568" s="1">
        <v>30371</v>
      </c>
      <c r="Z5568">
        <v>1</v>
      </c>
      <c r="AA5568" t="s">
        <v>196</v>
      </c>
      <c r="AB5568" s="40" t="s">
        <v>1800</v>
      </c>
    </row>
    <row r="5569" spans="1:28" x14ac:dyDescent="0.25">
      <c r="A5569">
        <v>99915568</v>
      </c>
      <c r="B5569" t="s">
        <v>56</v>
      </c>
      <c r="C5569" t="s">
        <v>61</v>
      </c>
      <c r="D5569" t="s">
        <v>62</v>
      </c>
      <c r="G5569" t="s">
        <v>48</v>
      </c>
      <c r="H5569">
        <v>1</v>
      </c>
      <c r="K5569" t="s">
        <v>431</v>
      </c>
      <c r="L5569" t="s">
        <v>196</v>
      </c>
      <c r="M5569" t="s">
        <v>131</v>
      </c>
      <c r="N5569">
        <v>26</v>
      </c>
      <c r="P5569" t="s">
        <v>41</v>
      </c>
      <c r="Q5569" t="s">
        <v>75</v>
      </c>
      <c r="R5569" t="str">
        <f>"7521016"</f>
        <v>7521016</v>
      </c>
      <c r="S5569" t="s">
        <v>448</v>
      </c>
      <c r="T5569" t="s">
        <v>431</v>
      </c>
      <c r="U5569" t="s">
        <v>196</v>
      </c>
      <c r="V5569" t="s">
        <v>131</v>
      </c>
      <c r="W5569" t="s">
        <v>51</v>
      </c>
      <c r="X5569" t="s">
        <v>45</v>
      </c>
      <c r="Y5569" s="1">
        <v>30034</v>
      </c>
      <c r="Z5569">
        <v>1</v>
      </c>
      <c r="AA5569" t="s">
        <v>196</v>
      </c>
      <c r="AB5569" s="40" t="s">
        <v>1800</v>
      </c>
    </row>
    <row r="5570" spans="1:28" x14ac:dyDescent="0.25">
      <c r="A5570">
        <v>99915569</v>
      </c>
      <c r="B5570" t="s">
        <v>32</v>
      </c>
      <c r="C5570" t="s">
        <v>61</v>
      </c>
      <c r="D5570" t="s">
        <v>62</v>
      </c>
      <c r="G5570" t="s">
        <v>35</v>
      </c>
      <c r="H5570">
        <v>1</v>
      </c>
      <c r="K5570" t="s">
        <v>157</v>
      </c>
      <c r="L5570" t="s">
        <v>158</v>
      </c>
      <c r="M5570" t="s">
        <v>131</v>
      </c>
      <c r="N5570">
        <v>26</v>
      </c>
      <c r="P5570" t="s">
        <v>41</v>
      </c>
      <c r="Q5570" t="s">
        <v>42</v>
      </c>
      <c r="R5570" t="str">
        <f>"0561005"</f>
        <v>0561005</v>
      </c>
      <c r="S5570" t="s">
        <v>174</v>
      </c>
      <c r="T5570" t="s">
        <v>157</v>
      </c>
      <c r="U5570" t="s">
        <v>158</v>
      </c>
      <c r="V5570" t="s">
        <v>131</v>
      </c>
      <c r="W5570" t="s">
        <v>51</v>
      </c>
      <c r="X5570" t="s">
        <v>45</v>
      </c>
      <c r="Y5570" s="1">
        <v>29587</v>
      </c>
      <c r="Z5570">
        <v>2</v>
      </c>
      <c r="AA5570" t="s">
        <v>158</v>
      </c>
      <c r="AB5570" s="40" t="s">
        <v>1800</v>
      </c>
    </row>
    <row r="5571" spans="1:28" x14ac:dyDescent="0.25">
      <c r="A5571">
        <v>99915570</v>
      </c>
      <c r="B5571" t="s">
        <v>56</v>
      </c>
      <c r="C5571" t="s">
        <v>61</v>
      </c>
      <c r="D5571" t="s">
        <v>62</v>
      </c>
      <c r="G5571" t="s">
        <v>48</v>
      </c>
      <c r="H5571">
        <v>1</v>
      </c>
      <c r="K5571" t="s">
        <v>300</v>
      </c>
      <c r="L5571" t="s">
        <v>301</v>
      </c>
      <c r="M5571" t="s">
        <v>131</v>
      </c>
      <c r="N5571">
        <v>26</v>
      </c>
      <c r="P5571" t="s">
        <v>41</v>
      </c>
      <c r="Q5571" t="s">
        <v>42</v>
      </c>
      <c r="R5571" t="str">
        <f>"0580176"</f>
        <v>0580176</v>
      </c>
      <c r="S5571" t="s">
        <v>305</v>
      </c>
      <c r="T5571" t="s">
        <v>300</v>
      </c>
      <c r="U5571" t="s">
        <v>301</v>
      </c>
      <c r="V5571" t="s">
        <v>131</v>
      </c>
      <c r="W5571" t="s">
        <v>51</v>
      </c>
      <c r="X5571" t="s">
        <v>45</v>
      </c>
      <c r="Y5571" s="1">
        <v>28507</v>
      </c>
      <c r="Z5571">
        <v>2</v>
      </c>
      <c r="AA5571" t="s">
        <v>301</v>
      </c>
      <c r="AB5571" s="40" t="s">
        <v>1800</v>
      </c>
    </row>
    <row r="5572" spans="1:28" x14ac:dyDescent="0.25">
      <c r="A5572">
        <v>99915571</v>
      </c>
      <c r="B5572" t="s">
        <v>56</v>
      </c>
      <c r="C5572" t="s">
        <v>68</v>
      </c>
      <c r="D5572" t="s">
        <v>69</v>
      </c>
      <c r="G5572" t="s">
        <v>48</v>
      </c>
      <c r="H5572">
        <v>1</v>
      </c>
      <c r="K5572" t="s">
        <v>300</v>
      </c>
      <c r="L5572" t="s">
        <v>301</v>
      </c>
      <c r="M5572" t="s">
        <v>131</v>
      </c>
      <c r="N5572">
        <v>26</v>
      </c>
      <c r="P5572" t="s">
        <v>41</v>
      </c>
      <c r="Q5572" t="s">
        <v>49</v>
      </c>
      <c r="R5572" t="str">
        <f>"0560001"</f>
        <v>0560001</v>
      </c>
      <c r="S5572" t="s">
        <v>304</v>
      </c>
      <c r="T5572" t="s">
        <v>300</v>
      </c>
      <c r="U5572" t="s">
        <v>301</v>
      </c>
      <c r="V5572" t="s">
        <v>131</v>
      </c>
      <c r="W5572" t="s">
        <v>51</v>
      </c>
      <c r="X5572" t="s">
        <v>45</v>
      </c>
      <c r="Y5572" s="1">
        <v>26677</v>
      </c>
      <c r="Z5572">
        <v>2</v>
      </c>
      <c r="AA5572" t="s">
        <v>301</v>
      </c>
      <c r="AB5572" s="40" t="s">
        <v>1800</v>
      </c>
    </row>
    <row r="5573" spans="1:28" x14ac:dyDescent="0.25">
      <c r="A5573">
        <v>99915572</v>
      </c>
      <c r="B5573" t="s">
        <v>56</v>
      </c>
      <c r="C5573" t="s">
        <v>139</v>
      </c>
      <c r="D5573" t="s">
        <v>140</v>
      </c>
      <c r="G5573" t="s">
        <v>88</v>
      </c>
      <c r="H5573">
        <v>4</v>
      </c>
      <c r="I5573" t="s">
        <v>253</v>
      </c>
      <c r="J5573" s="1">
        <v>42248</v>
      </c>
      <c r="K5573" t="s">
        <v>223</v>
      </c>
      <c r="L5573" t="s">
        <v>224</v>
      </c>
      <c r="M5573" t="s">
        <v>131</v>
      </c>
      <c r="N5573">
        <v>26</v>
      </c>
      <c r="O5573" s="1">
        <v>42248</v>
      </c>
      <c r="P5573" t="s">
        <v>41</v>
      </c>
      <c r="Q5573" t="s">
        <v>49</v>
      </c>
      <c r="R5573" t="str">
        <f>"0560016"</f>
        <v>0560016</v>
      </c>
      <c r="S5573" t="s">
        <v>254</v>
      </c>
      <c r="T5573" t="s">
        <v>223</v>
      </c>
      <c r="U5573" t="s">
        <v>224</v>
      </c>
      <c r="V5573" t="s">
        <v>131</v>
      </c>
      <c r="W5573" t="s">
        <v>165</v>
      </c>
      <c r="X5573" t="s">
        <v>45</v>
      </c>
      <c r="Y5573" s="1">
        <v>21124</v>
      </c>
      <c r="Z5573">
        <v>2</v>
      </c>
      <c r="AA5573" t="s">
        <v>224</v>
      </c>
      <c r="AB5573" s="40" t="s">
        <v>1800</v>
      </c>
    </row>
    <row r="5574" spans="1:28" x14ac:dyDescent="0.25">
      <c r="A5574">
        <v>99915573</v>
      </c>
      <c r="B5574" t="s">
        <v>32</v>
      </c>
      <c r="C5574" t="s">
        <v>145</v>
      </c>
      <c r="D5574" t="s">
        <v>146</v>
      </c>
      <c r="G5574" t="s">
        <v>35</v>
      </c>
      <c r="H5574">
        <v>1</v>
      </c>
      <c r="K5574" t="s">
        <v>157</v>
      </c>
      <c r="L5574" t="s">
        <v>158</v>
      </c>
      <c r="M5574" t="s">
        <v>131</v>
      </c>
      <c r="N5574">
        <v>26</v>
      </c>
      <c r="P5574" t="s">
        <v>41</v>
      </c>
      <c r="Q5574" t="s">
        <v>49</v>
      </c>
      <c r="R5574" t="str">
        <f>"0580505"</f>
        <v>0580505</v>
      </c>
      <c r="S5574" t="s">
        <v>168</v>
      </c>
      <c r="T5574" t="s">
        <v>157</v>
      </c>
      <c r="U5574" t="s">
        <v>158</v>
      </c>
      <c r="V5574" t="s">
        <v>131</v>
      </c>
      <c r="W5574" t="s">
        <v>51</v>
      </c>
      <c r="X5574" t="s">
        <v>45</v>
      </c>
      <c r="Z5574">
        <v>2</v>
      </c>
      <c r="AA5574" t="s">
        <v>158</v>
      </c>
      <c r="AB5574" s="40" t="s">
        <v>1800</v>
      </c>
    </row>
    <row r="5575" spans="1:28" x14ac:dyDescent="0.25">
      <c r="A5575">
        <v>99915574</v>
      </c>
      <c r="B5575" t="s">
        <v>56</v>
      </c>
      <c r="C5575" t="s">
        <v>68</v>
      </c>
      <c r="D5575" t="s">
        <v>69</v>
      </c>
      <c r="G5575" t="s">
        <v>35</v>
      </c>
      <c r="H5575">
        <v>1</v>
      </c>
      <c r="K5575" t="s">
        <v>157</v>
      </c>
      <c r="L5575" t="s">
        <v>158</v>
      </c>
      <c r="M5575" t="s">
        <v>131</v>
      </c>
      <c r="N5575">
        <v>26</v>
      </c>
      <c r="P5575" t="s">
        <v>41</v>
      </c>
      <c r="Q5575" t="s">
        <v>42</v>
      </c>
      <c r="R5575" t="str">
        <f>"0561005"</f>
        <v>0561005</v>
      </c>
      <c r="S5575" t="s">
        <v>174</v>
      </c>
      <c r="T5575" t="s">
        <v>157</v>
      </c>
      <c r="U5575" t="s">
        <v>158</v>
      </c>
      <c r="V5575" t="s">
        <v>131</v>
      </c>
      <c r="W5575" t="s">
        <v>51</v>
      </c>
      <c r="X5575" t="s">
        <v>45</v>
      </c>
      <c r="Z5575">
        <v>2</v>
      </c>
      <c r="AA5575" t="s">
        <v>158</v>
      </c>
      <c r="AB5575" s="40" t="s">
        <v>1800</v>
      </c>
    </row>
    <row r="5576" spans="1:28" x14ac:dyDescent="0.25">
      <c r="A5576">
        <v>99915575</v>
      </c>
      <c r="B5576" t="s">
        <v>32</v>
      </c>
      <c r="C5576" t="s">
        <v>64</v>
      </c>
      <c r="D5576" t="s">
        <v>65</v>
      </c>
      <c r="G5576" t="s">
        <v>35</v>
      </c>
      <c r="H5576">
        <v>1</v>
      </c>
      <c r="K5576" t="s">
        <v>157</v>
      </c>
      <c r="L5576" t="s">
        <v>158</v>
      </c>
      <c r="M5576" t="s">
        <v>131</v>
      </c>
      <c r="N5576">
        <v>26</v>
      </c>
      <c r="P5576" t="s">
        <v>41</v>
      </c>
      <c r="Q5576" t="s">
        <v>49</v>
      </c>
      <c r="R5576" t="str">
        <f>"0580505"</f>
        <v>0580505</v>
      </c>
      <c r="S5576" t="s">
        <v>168</v>
      </c>
      <c r="T5576" t="s">
        <v>157</v>
      </c>
      <c r="U5576" t="s">
        <v>158</v>
      </c>
      <c r="V5576" t="s">
        <v>131</v>
      </c>
      <c r="W5576" t="s">
        <v>51</v>
      </c>
      <c r="X5576" t="s">
        <v>45</v>
      </c>
      <c r="Z5576">
        <v>2</v>
      </c>
      <c r="AA5576" t="s">
        <v>158</v>
      </c>
      <c r="AB5576" s="40" t="s">
        <v>1800</v>
      </c>
    </row>
    <row r="5577" spans="1:28" x14ac:dyDescent="0.25">
      <c r="A5577">
        <v>99915576</v>
      </c>
      <c r="B5577" t="s">
        <v>56</v>
      </c>
      <c r="C5577" t="s">
        <v>82</v>
      </c>
      <c r="D5577" t="s">
        <v>83</v>
      </c>
      <c r="G5577" t="s">
        <v>48</v>
      </c>
      <c r="H5577">
        <v>1</v>
      </c>
      <c r="K5577" t="s">
        <v>223</v>
      </c>
      <c r="L5577" t="s">
        <v>224</v>
      </c>
      <c r="M5577" t="s">
        <v>131</v>
      </c>
      <c r="N5577">
        <v>27</v>
      </c>
      <c r="P5577" t="s">
        <v>41</v>
      </c>
      <c r="Q5577" t="s">
        <v>42</v>
      </c>
      <c r="R5577" t="str">
        <f>"0580315"</f>
        <v>0580315</v>
      </c>
      <c r="S5577" t="s">
        <v>246</v>
      </c>
      <c r="T5577" t="s">
        <v>223</v>
      </c>
      <c r="U5577" t="s">
        <v>224</v>
      </c>
      <c r="V5577" t="s">
        <v>131</v>
      </c>
      <c r="W5577" t="s">
        <v>51</v>
      </c>
      <c r="X5577" t="s">
        <v>45</v>
      </c>
      <c r="Y5577" s="1">
        <v>28517</v>
      </c>
      <c r="Z5577">
        <v>2</v>
      </c>
      <c r="AA5577" t="s">
        <v>224</v>
      </c>
      <c r="AB5577" s="40" t="s">
        <v>1800</v>
      </c>
    </row>
    <row r="5578" spans="1:28" x14ac:dyDescent="0.25">
      <c r="A5578">
        <v>99915577</v>
      </c>
      <c r="B5578" t="s">
        <v>32</v>
      </c>
      <c r="C5578" t="s">
        <v>79</v>
      </c>
      <c r="D5578" t="s">
        <v>80</v>
      </c>
      <c r="G5578" t="s">
        <v>35</v>
      </c>
      <c r="H5578">
        <v>1</v>
      </c>
      <c r="K5578" t="s">
        <v>268</v>
      </c>
      <c r="L5578" t="s">
        <v>269</v>
      </c>
      <c r="M5578" t="s">
        <v>131</v>
      </c>
      <c r="N5578">
        <v>27</v>
      </c>
      <c r="P5578" t="s">
        <v>41</v>
      </c>
      <c r="Q5578" t="s">
        <v>75</v>
      </c>
      <c r="R5578" t="str">
        <f>"7052048"</f>
        <v>7052048</v>
      </c>
      <c r="S5578" t="s">
        <v>685</v>
      </c>
      <c r="T5578" t="s">
        <v>268</v>
      </c>
      <c r="U5578" t="s">
        <v>269</v>
      </c>
      <c r="V5578" t="s">
        <v>131</v>
      </c>
      <c r="W5578" t="s">
        <v>51</v>
      </c>
      <c r="X5578" t="s">
        <v>45</v>
      </c>
      <c r="Y5578" s="1">
        <v>28508</v>
      </c>
      <c r="Z5578">
        <v>1</v>
      </c>
      <c r="AA5578" t="s">
        <v>269</v>
      </c>
      <c r="AB5578" s="40" t="s">
        <v>1800</v>
      </c>
    </row>
    <row r="5579" spans="1:28" x14ac:dyDescent="0.25">
      <c r="A5579">
        <v>99915578</v>
      </c>
      <c r="B5579" t="s">
        <v>32</v>
      </c>
      <c r="C5579" t="s">
        <v>139</v>
      </c>
      <c r="D5579" t="s">
        <v>140</v>
      </c>
      <c r="G5579" t="s">
        <v>48</v>
      </c>
      <c r="H5579">
        <v>1</v>
      </c>
      <c r="K5579" t="s">
        <v>195</v>
      </c>
      <c r="L5579" t="s">
        <v>196</v>
      </c>
      <c r="M5579" t="s">
        <v>131</v>
      </c>
      <c r="N5579">
        <v>27</v>
      </c>
      <c r="P5579" t="s">
        <v>41</v>
      </c>
      <c r="Q5579" t="s">
        <v>75</v>
      </c>
      <c r="R5579" t="str">
        <f>"7521050"</f>
        <v>7521050</v>
      </c>
      <c r="S5579" t="s">
        <v>194</v>
      </c>
      <c r="T5579" t="s">
        <v>195</v>
      </c>
      <c r="U5579" t="s">
        <v>196</v>
      </c>
      <c r="V5579" t="s">
        <v>131</v>
      </c>
      <c r="W5579" t="s">
        <v>51</v>
      </c>
      <c r="X5579" t="s">
        <v>45</v>
      </c>
      <c r="Y5579" s="1">
        <v>28405</v>
      </c>
      <c r="Z5579">
        <v>1</v>
      </c>
      <c r="AA5579" t="s">
        <v>196</v>
      </c>
      <c r="AB5579" s="40" t="s">
        <v>1800</v>
      </c>
    </row>
    <row r="5580" spans="1:28" x14ac:dyDescent="0.25">
      <c r="A5580">
        <v>99915579</v>
      </c>
      <c r="B5580" t="s">
        <v>32</v>
      </c>
      <c r="C5580" t="s">
        <v>33</v>
      </c>
      <c r="D5580" t="s">
        <v>34</v>
      </c>
      <c r="G5580" t="s">
        <v>48</v>
      </c>
      <c r="H5580">
        <v>1</v>
      </c>
      <c r="K5580" t="s">
        <v>300</v>
      </c>
      <c r="L5580" t="s">
        <v>301</v>
      </c>
      <c r="M5580" t="s">
        <v>131</v>
      </c>
      <c r="N5580">
        <v>27</v>
      </c>
      <c r="P5580" t="s">
        <v>41</v>
      </c>
      <c r="Q5580" t="s">
        <v>42</v>
      </c>
      <c r="R5580" t="str">
        <f>"0580457"</f>
        <v>0580457</v>
      </c>
      <c r="S5580" t="s">
        <v>310</v>
      </c>
      <c r="T5580" t="s">
        <v>300</v>
      </c>
      <c r="U5580" t="s">
        <v>301</v>
      </c>
      <c r="V5580" t="s">
        <v>131</v>
      </c>
      <c r="W5580" t="s">
        <v>51</v>
      </c>
      <c r="X5580" t="s">
        <v>45</v>
      </c>
      <c r="Y5580" s="1">
        <v>23886</v>
      </c>
      <c r="Z5580">
        <v>2</v>
      </c>
      <c r="AA5580" t="s">
        <v>301</v>
      </c>
      <c r="AB5580" s="40" t="s">
        <v>1800</v>
      </c>
    </row>
    <row r="5581" spans="1:28" x14ac:dyDescent="0.25">
      <c r="A5581">
        <v>99915580</v>
      </c>
      <c r="B5581" t="s">
        <v>56</v>
      </c>
      <c r="C5581" t="s">
        <v>33</v>
      </c>
      <c r="D5581" t="s">
        <v>34</v>
      </c>
      <c r="G5581" t="s">
        <v>48</v>
      </c>
      <c r="H5581">
        <v>1</v>
      </c>
      <c r="K5581" t="s">
        <v>157</v>
      </c>
      <c r="L5581" t="s">
        <v>158</v>
      </c>
      <c r="M5581" t="s">
        <v>131</v>
      </c>
      <c r="N5581">
        <v>27</v>
      </c>
      <c r="P5581" t="s">
        <v>41</v>
      </c>
      <c r="Q5581" t="s">
        <v>49</v>
      </c>
      <c r="R5581" t="str">
        <f>"0560011"</f>
        <v>0560011</v>
      </c>
      <c r="S5581" t="s">
        <v>185</v>
      </c>
      <c r="T5581" t="s">
        <v>157</v>
      </c>
      <c r="U5581" t="s">
        <v>158</v>
      </c>
      <c r="V5581" t="s">
        <v>131</v>
      </c>
      <c r="W5581" t="s">
        <v>51</v>
      </c>
      <c r="X5581" t="s">
        <v>45</v>
      </c>
      <c r="Y5581" s="1">
        <v>19620</v>
      </c>
      <c r="Z5581">
        <v>2</v>
      </c>
      <c r="AA5581" t="s">
        <v>158</v>
      </c>
      <c r="AB5581" s="40" t="s">
        <v>1800</v>
      </c>
    </row>
    <row r="5582" spans="1:28" x14ac:dyDescent="0.25">
      <c r="A5582">
        <v>99915581</v>
      </c>
      <c r="B5582" t="s">
        <v>56</v>
      </c>
      <c r="C5582" t="s">
        <v>188</v>
      </c>
      <c r="D5582" t="s">
        <v>189</v>
      </c>
      <c r="E5582" t="s">
        <v>68</v>
      </c>
      <c r="F5582" t="s">
        <v>69</v>
      </c>
      <c r="G5582" t="s">
        <v>35</v>
      </c>
      <c r="H5582">
        <v>1</v>
      </c>
      <c r="K5582" t="s">
        <v>157</v>
      </c>
      <c r="L5582" t="s">
        <v>158</v>
      </c>
      <c r="M5582" t="s">
        <v>131</v>
      </c>
      <c r="N5582">
        <v>27</v>
      </c>
      <c r="P5582" t="s">
        <v>41</v>
      </c>
      <c r="Q5582" t="s">
        <v>49</v>
      </c>
      <c r="R5582" t="str">
        <f>"0580505"</f>
        <v>0580505</v>
      </c>
      <c r="S5582" t="s">
        <v>168</v>
      </c>
      <c r="T5582" t="s">
        <v>157</v>
      </c>
      <c r="U5582" t="s">
        <v>158</v>
      </c>
      <c r="V5582" t="s">
        <v>131</v>
      </c>
      <c r="W5582" t="s">
        <v>51</v>
      </c>
      <c r="X5582" t="s">
        <v>45</v>
      </c>
      <c r="Z5582">
        <v>2</v>
      </c>
      <c r="AA5582" t="s">
        <v>158</v>
      </c>
      <c r="AB5582" s="40" t="s">
        <v>1800</v>
      </c>
    </row>
    <row r="5583" spans="1:28" x14ac:dyDescent="0.25">
      <c r="A5583">
        <v>99915582</v>
      </c>
      <c r="B5583" t="s">
        <v>56</v>
      </c>
      <c r="C5583" t="s">
        <v>46</v>
      </c>
      <c r="D5583" t="s">
        <v>47</v>
      </c>
      <c r="G5583" t="s">
        <v>35</v>
      </c>
      <c r="H5583">
        <v>1</v>
      </c>
      <c r="K5583" t="s">
        <v>157</v>
      </c>
      <c r="L5583" t="s">
        <v>158</v>
      </c>
      <c r="M5583" t="s">
        <v>131</v>
      </c>
      <c r="N5583">
        <v>27</v>
      </c>
      <c r="P5583" t="s">
        <v>41</v>
      </c>
      <c r="Q5583" t="s">
        <v>42</v>
      </c>
      <c r="R5583" t="str">
        <f>"0561005"</f>
        <v>0561005</v>
      </c>
      <c r="S5583" t="s">
        <v>174</v>
      </c>
      <c r="T5583" t="s">
        <v>157</v>
      </c>
      <c r="U5583" t="s">
        <v>158</v>
      </c>
      <c r="V5583" t="s">
        <v>131</v>
      </c>
      <c r="W5583" t="s">
        <v>51</v>
      </c>
      <c r="X5583" t="s">
        <v>45</v>
      </c>
      <c r="Z5583">
        <v>2</v>
      </c>
      <c r="AA5583" t="s">
        <v>158</v>
      </c>
      <c r="AB5583" s="40" t="s">
        <v>1800</v>
      </c>
    </row>
    <row r="5584" spans="1:28" x14ac:dyDescent="0.25">
      <c r="A5584">
        <v>99915583</v>
      </c>
      <c r="B5584" t="s">
        <v>32</v>
      </c>
      <c r="C5584" t="s">
        <v>90</v>
      </c>
      <c r="D5584" t="s">
        <v>91</v>
      </c>
      <c r="G5584" t="s">
        <v>48</v>
      </c>
      <c r="H5584">
        <v>1</v>
      </c>
      <c r="K5584" t="s">
        <v>268</v>
      </c>
      <c r="L5584" t="s">
        <v>269</v>
      </c>
      <c r="M5584" t="s">
        <v>131</v>
      </c>
      <c r="N5584">
        <v>28</v>
      </c>
      <c r="P5584" t="s">
        <v>41</v>
      </c>
      <c r="Q5584" t="s">
        <v>95</v>
      </c>
      <c r="R5584" t="str">
        <f>"7052201"</f>
        <v>7052201</v>
      </c>
      <c r="S5584" t="s">
        <v>603</v>
      </c>
      <c r="T5584" t="s">
        <v>268</v>
      </c>
      <c r="U5584" t="s">
        <v>269</v>
      </c>
      <c r="V5584" t="s">
        <v>131</v>
      </c>
      <c r="W5584" t="s">
        <v>51</v>
      </c>
      <c r="X5584" t="s">
        <v>45</v>
      </c>
      <c r="Y5584" s="1">
        <v>32067</v>
      </c>
      <c r="Z5584">
        <v>1</v>
      </c>
      <c r="AA5584" t="s">
        <v>269</v>
      </c>
      <c r="AB5584" s="40" t="s">
        <v>1800</v>
      </c>
    </row>
    <row r="5585" spans="1:28" x14ac:dyDescent="0.25">
      <c r="A5585">
        <v>99915584</v>
      </c>
      <c r="B5585" t="s">
        <v>32</v>
      </c>
      <c r="C5585" t="s">
        <v>90</v>
      </c>
      <c r="D5585" t="s">
        <v>91</v>
      </c>
      <c r="G5585" t="s">
        <v>35</v>
      </c>
      <c r="H5585">
        <v>1</v>
      </c>
      <c r="I5585">
        <v>1779066</v>
      </c>
      <c r="J5585" s="1">
        <v>43346</v>
      </c>
      <c r="K5585" t="s">
        <v>268</v>
      </c>
      <c r="L5585" t="s">
        <v>269</v>
      </c>
      <c r="M5585" t="s">
        <v>131</v>
      </c>
      <c r="N5585">
        <v>28</v>
      </c>
      <c r="O5585" s="1">
        <v>43346</v>
      </c>
      <c r="P5585" t="s">
        <v>41</v>
      </c>
      <c r="Q5585" t="s">
        <v>95</v>
      </c>
      <c r="R5585" t="str">
        <f>"7052239"</f>
        <v>7052239</v>
      </c>
      <c r="S5585" t="s">
        <v>595</v>
      </c>
      <c r="T5585" t="s">
        <v>268</v>
      </c>
      <c r="U5585" t="s">
        <v>269</v>
      </c>
      <c r="V5585" t="s">
        <v>131</v>
      </c>
      <c r="W5585" t="s">
        <v>44</v>
      </c>
      <c r="X5585" t="s">
        <v>45</v>
      </c>
      <c r="Y5585" s="1">
        <v>31601</v>
      </c>
      <c r="Z5585">
        <v>1</v>
      </c>
      <c r="AA5585" t="s">
        <v>269</v>
      </c>
      <c r="AB5585" s="40" t="s">
        <v>1800</v>
      </c>
    </row>
    <row r="5586" spans="1:28" x14ac:dyDescent="0.25">
      <c r="A5586">
        <v>99915585</v>
      </c>
      <c r="B5586" t="s">
        <v>56</v>
      </c>
      <c r="C5586" t="s">
        <v>85</v>
      </c>
      <c r="D5586" t="s">
        <v>86</v>
      </c>
      <c r="G5586" t="s">
        <v>35</v>
      </c>
      <c r="H5586">
        <v>1</v>
      </c>
      <c r="K5586" t="s">
        <v>157</v>
      </c>
      <c r="L5586" t="s">
        <v>158</v>
      </c>
      <c r="M5586" t="s">
        <v>131</v>
      </c>
      <c r="N5586">
        <v>28</v>
      </c>
      <c r="P5586" t="s">
        <v>41</v>
      </c>
      <c r="Q5586" t="s">
        <v>49</v>
      </c>
      <c r="R5586" t="str">
        <f>"0580505"</f>
        <v>0580505</v>
      </c>
      <c r="S5586" t="s">
        <v>168</v>
      </c>
      <c r="T5586" t="s">
        <v>157</v>
      </c>
      <c r="U5586" t="s">
        <v>158</v>
      </c>
      <c r="V5586" t="s">
        <v>131</v>
      </c>
      <c r="W5586" t="s">
        <v>51</v>
      </c>
      <c r="X5586" t="s">
        <v>45</v>
      </c>
      <c r="Z5586">
        <v>2</v>
      </c>
      <c r="AA5586" t="s">
        <v>158</v>
      </c>
      <c r="AB5586" s="40" t="s">
        <v>1800</v>
      </c>
    </row>
    <row r="5587" spans="1:28" x14ac:dyDescent="0.25">
      <c r="A5587">
        <v>99915586</v>
      </c>
      <c r="B5587" t="s">
        <v>56</v>
      </c>
      <c r="C5587" t="s">
        <v>61</v>
      </c>
      <c r="D5587" t="s">
        <v>62</v>
      </c>
      <c r="G5587" t="s">
        <v>48</v>
      </c>
      <c r="H5587">
        <v>1</v>
      </c>
      <c r="K5587" t="s">
        <v>157</v>
      </c>
      <c r="L5587" t="s">
        <v>158</v>
      </c>
      <c r="M5587" t="s">
        <v>131</v>
      </c>
      <c r="N5587">
        <v>29</v>
      </c>
      <c r="P5587" t="s">
        <v>41</v>
      </c>
      <c r="Q5587" t="s">
        <v>49</v>
      </c>
      <c r="R5587" t="str">
        <f>"0560019"</f>
        <v>0560019</v>
      </c>
      <c r="S5587" t="s">
        <v>166</v>
      </c>
      <c r="T5587" t="s">
        <v>157</v>
      </c>
      <c r="U5587" t="s">
        <v>158</v>
      </c>
      <c r="V5587" t="s">
        <v>131</v>
      </c>
      <c r="W5587" t="s">
        <v>51</v>
      </c>
      <c r="X5587" t="s">
        <v>45</v>
      </c>
      <c r="Y5587" s="1">
        <v>27376</v>
      </c>
      <c r="Z5587">
        <v>2</v>
      </c>
      <c r="AA5587" t="s">
        <v>158</v>
      </c>
      <c r="AB5587" s="40" t="s">
        <v>1800</v>
      </c>
    </row>
    <row r="5588" spans="1:28" x14ac:dyDescent="0.25">
      <c r="A5588">
        <v>99915587</v>
      </c>
      <c r="B5588" t="s">
        <v>56</v>
      </c>
      <c r="C5588" t="s">
        <v>85</v>
      </c>
      <c r="D5588" t="s">
        <v>86</v>
      </c>
      <c r="G5588" t="s">
        <v>48</v>
      </c>
      <c r="H5588">
        <v>1</v>
      </c>
      <c r="K5588" t="s">
        <v>1051</v>
      </c>
      <c r="L5588" t="s">
        <v>1052</v>
      </c>
      <c r="M5588" t="s">
        <v>1053</v>
      </c>
      <c r="N5588">
        <v>29</v>
      </c>
      <c r="P5588" t="s">
        <v>41</v>
      </c>
      <c r="Q5588" t="s">
        <v>42</v>
      </c>
      <c r="R5588" t="str">
        <f>"2061001"</f>
        <v>2061001</v>
      </c>
      <c r="S5588" t="s">
        <v>1058</v>
      </c>
      <c r="T5588" t="s">
        <v>1051</v>
      </c>
      <c r="U5588" t="s">
        <v>1052</v>
      </c>
      <c r="V5588" t="s">
        <v>1053</v>
      </c>
      <c r="W5588" t="s">
        <v>51</v>
      </c>
      <c r="X5588" t="s">
        <v>45</v>
      </c>
      <c r="Y5588" s="1">
        <v>25142</v>
      </c>
      <c r="Z5588">
        <v>2</v>
      </c>
      <c r="AA5588" t="s">
        <v>1052</v>
      </c>
      <c r="AB5588" s="40" t="s">
        <v>1800</v>
      </c>
    </row>
    <row r="5589" spans="1:28" x14ac:dyDescent="0.25">
      <c r="A5589">
        <v>99915588</v>
      </c>
      <c r="B5589" t="s">
        <v>32</v>
      </c>
      <c r="C5589" t="s">
        <v>139</v>
      </c>
      <c r="D5589" t="s">
        <v>140</v>
      </c>
      <c r="G5589" t="s">
        <v>35</v>
      </c>
      <c r="H5589">
        <v>1</v>
      </c>
      <c r="K5589" t="s">
        <v>157</v>
      </c>
      <c r="L5589" t="s">
        <v>158</v>
      </c>
      <c r="M5589" t="s">
        <v>131</v>
      </c>
      <c r="N5589">
        <v>29</v>
      </c>
      <c r="P5589" t="s">
        <v>41</v>
      </c>
      <c r="Q5589" t="s">
        <v>49</v>
      </c>
      <c r="R5589" t="str">
        <f>"0580505"</f>
        <v>0580505</v>
      </c>
      <c r="S5589" t="s">
        <v>168</v>
      </c>
      <c r="T5589" t="s">
        <v>157</v>
      </c>
      <c r="U5589" t="s">
        <v>158</v>
      </c>
      <c r="V5589" t="s">
        <v>131</v>
      </c>
      <c r="W5589" t="s">
        <v>51</v>
      </c>
      <c r="X5589" t="s">
        <v>45</v>
      </c>
      <c r="Z5589">
        <v>2</v>
      </c>
      <c r="AA5589" t="s">
        <v>158</v>
      </c>
      <c r="AB5589" s="40" t="s">
        <v>1800</v>
      </c>
    </row>
    <row r="5590" spans="1:28" x14ac:dyDescent="0.25">
      <c r="A5590">
        <v>99915589</v>
      </c>
      <c r="B5590" t="s">
        <v>32</v>
      </c>
      <c r="C5590" t="s">
        <v>90</v>
      </c>
      <c r="D5590" t="s">
        <v>91</v>
      </c>
      <c r="G5590" t="s">
        <v>35</v>
      </c>
      <c r="H5590">
        <v>1</v>
      </c>
      <c r="I5590" t="s">
        <v>286</v>
      </c>
      <c r="J5590" s="1">
        <v>43344</v>
      </c>
      <c r="K5590" t="s">
        <v>268</v>
      </c>
      <c r="L5590" t="s">
        <v>269</v>
      </c>
      <c r="M5590" t="s">
        <v>131</v>
      </c>
      <c r="N5590">
        <v>30</v>
      </c>
      <c r="P5590" t="s">
        <v>41</v>
      </c>
      <c r="Q5590" t="s">
        <v>95</v>
      </c>
      <c r="R5590" t="str">
        <f>"7052097"</f>
        <v>7052097</v>
      </c>
      <c r="S5590" t="s">
        <v>611</v>
      </c>
      <c r="T5590" t="s">
        <v>268</v>
      </c>
      <c r="U5590" t="s">
        <v>269</v>
      </c>
      <c r="V5590" t="s">
        <v>131</v>
      </c>
      <c r="W5590" t="s">
        <v>51</v>
      </c>
      <c r="X5590" t="s">
        <v>45</v>
      </c>
      <c r="Y5590" s="1">
        <v>35017</v>
      </c>
      <c r="Z5590">
        <v>1</v>
      </c>
      <c r="AA5590" t="s">
        <v>269</v>
      </c>
      <c r="AB5590" s="40" t="s">
        <v>1800</v>
      </c>
    </row>
    <row r="5591" spans="1:28" x14ac:dyDescent="0.25">
      <c r="A5591">
        <v>99915590</v>
      </c>
      <c r="B5591" t="s">
        <v>32</v>
      </c>
      <c r="C5591" t="s">
        <v>90</v>
      </c>
      <c r="D5591" t="s">
        <v>91</v>
      </c>
      <c r="G5591" t="s">
        <v>35</v>
      </c>
      <c r="H5591">
        <v>1</v>
      </c>
      <c r="I5591" t="s">
        <v>1264</v>
      </c>
      <c r="J5591" s="1">
        <v>43362</v>
      </c>
      <c r="K5591" t="s">
        <v>1258</v>
      </c>
      <c r="L5591" t="s">
        <v>1259</v>
      </c>
      <c r="M5591" t="s">
        <v>1260</v>
      </c>
      <c r="N5591">
        <v>30</v>
      </c>
      <c r="O5591" s="1">
        <v>43363</v>
      </c>
      <c r="P5591" t="s">
        <v>41</v>
      </c>
      <c r="Q5591" t="s">
        <v>95</v>
      </c>
      <c r="R5591" t="str">
        <f>"7241009"</f>
        <v>7241009</v>
      </c>
      <c r="S5591" t="s">
        <v>1263</v>
      </c>
      <c r="T5591" t="s">
        <v>1258</v>
      </c>
      <c r="U5591" t="s">
        <v>1259</v>
      </c>
      <c r="V5591" t="s">
        <v>1260</v>
      </c>
      <c r="W5591" t="s">
        <v>44</v>
      </c>
      <c r="X5591" t="s">
        <v>45</v>
      </c>
      <c r="Y5591" s="1">
        <v>34781</v>
      </c>
      <c r="Z5591">
        <v>1</v>
      </c>
      <c r="AA5591" t="s">
        <v>1259</v>
      </c>
      <c r="AB5591" s="40" t="s">
        <v>1800</v>
      </c>
    </row>
    <row r="5592" spans="1:28" x14ac:dyDescent="0.25">
      <c r="A5592">
        <v>99915591</v>
      </c>
      <c r="B5592" t="s">
        <v>32</v>
      </c>
      <c r="C5592" t="s">
        <v>90</v>
      </c>
      <c r="D5592" t="s">
        <v>91</v>
      </c>
      <c r="G5592" t="s">
        <v>35</v>
      </c>
      <c r="H5592">
        <v>1</v>
      </c>
      <c r="I5592">
        <v>1809813</v>
      </c>
      <c r="J5592" s="1">
        <v>43347</v>
      </c>
      <c r="K5592" t="s">
        <v>268</v>
      </c>
      <c r="L5592" t="s">
        <v>269</v>
      </c>
      <c r="M5592" t="s">
        <v>131</v>
      </c>
      <c r="N5592">
        <v>30</v>
      </c>
      <c r="P5592" t="s">
        <v>41</v>
      </c>
      <c r="Q5592" t="s">
        <v>95</v>
      </c>
      <c r="R5592" t="str">
        <f>"7052179"</f>
        <v>7052179</v>
      </c>
      <c r="S5592" t="s">
        <v>639</v>
      </c>
      <c r="T5592" t="s">
        <v>268</v>
      </c>
      <c r="U5592" t="s">
        <v>269</v>
      </c>
      <c r="V5592" t="s">
        <v>131</v>
      </c>
      <c r="W5592" t="s">
        <v>44</v>
      </c>
      <c r="X5592" t="s">
        <v>45</v>
      </c>
      <c r="Y5592" s="1">
        <v>34595</v>
      </c>
      <c r="Z5592">
        <v>1</v>
      </c>
      <c r="AA5592" t="s">
        <v>269</v>
      </c>
      <c r="AB5592" s="40" t="s">
        <v>1800</v>
      </c>
    </row>
    <row r="5593" spans="1:28" x14ac:dyDescent="0.25">
      <c r="A5593">
        <v>99915592</v>
      </c>
      <c r="B5593" t="s">
        <v>32</v>
      </c>
      <c r="C5593" t="s">
        <v>90</v>
      </c>
      <c r="D5593" t="s">
        <v>91</v>
      </c>
      <c r="G5593" t="s">
        <v>35</v>
      </c>
      <c r="H5593">
        <v>1</v>
      </c>
      <c r="I5593" t="s">
        <v>286</v>
      </c>
      <c r="J5593" s="1">
        <v>43344</v>
      </c>
      <c r="K5593" t="s">
        <v>268</v>
      </c>
      <c r="L5593" t="s">
        <v>269</v>
      </c>
      <c r="M5593" t="s">
        <v>131</v>
      </c>
      <c r="N5593">
        <v>30</v>
      </c>
      <c r="P5593" t="s">
        <v>41</v>
      </c>
      <c r="Q5593" t="s">
        <v>95</v>
      </c>
      <c r="R5593" t="str">
        <f>"7052207"</f>
        <v>7052207</v>
      </c>
      <c r="S5593" t="s">
        <v>716</v>
      </c>
      <c r="T5593" t="s">
        <v>268</v>
      </c>
      <c r="U5593" t="s">
        <v>269</v>
      </c>
      <c r="V5593" t="s">
        <v>131</v>
      </c>
      <c r="W5593" t="s">
        <v>44</v>
      </c>
      <c r="X5593" t="s">
        <v>45</v>
      </c>
      <c r="Y5593" s="1">
        <v>34316</v>
      </c>
      <c r="Z5593">
        <v>1</v>
      </c>
      <c r="AA5593" t="s">
        <v>269</v>
      </c>
      <c r="AB5593" s="40" t="s">
        <v>1800</v>
      </c>
    </row>
    <row r="5594" spans="1:28" x14ac:dyDescent="0.25">
      <c r="A5594">
        <v>99915593</v>
      </c>
      <c r="B5594" t="s">
        <v>32</v>
      </c>
      <c r="C5594" t="s">
        <v>90</v>
      </c>
      <c r="D5594" t="s">
        <v>91</v>
      </c>
      <c r="G5594" t="s">
        <v>35</v>
      </c>
      <c r="H5594">
        <v>1</v>
      </c>
      <c r="I5594" t="s">
        <v>687</v>
      </c>
      <c r="J5594" s="1">
        <v>43344</v>
      </c>
      <c r="K5594" t="s">
        <v>268</v>
      </c>
      <c r="L5594" t="s">
        <v>269</v>
      </c>
      <c r="M5594" t="s">
        <v>131</v>
      </c>
      <c r="N5594">
        <v>30</v>
      </c>
      <c r="O5594" s="1">
        <v>43344</v>
      </c>
      <c r="P5594" t="s">
        <v>41</v>
      </c>
      <c r="Q5594" t="s">
        <v>95</v>
      </c>
      <c r="R5594" t="str">
        <f>"7052031"</f>
        <v>7052031</v>
      </c>
      <c r="S5594" t="s">
        <v>688</v>
      </c>
      <c r="T5594" t="s">
        <v>268</v>
      </c>
      <c r="U5594" t="s">
        <v>269</v>
      </c>
      <c r="V5594" t="s">
        <v>131</v>
      </c>
      <c r="W5594" t="s">
        <v>51</v>
      </c>
      <c r="X5594" t="s">
        <v>45</v>
      </c>
      <c r="Y5594" s="1">
        <v>33526</v>
      </c>
      <c r="Z5594">
        <v>1</v>
      </c>
      <c r="AA5594" t="s">
        <v>269</v>
      </c>
      <c r="AB5594" s="40" t="s">
        <v>1800</v>
      </c>
    </row>
    <row r="5595" spans="1:28" x14ac:dyDescent="0.25">
      <c r="A5595">
        <v>99915594</v>
      </c>
      <c r="B5595" t="s">
        <v>32</v>
      </c>
      <c r="C5595" t="s">
        <v>90</v>
      </c>
      <c r="D5595" t="s">
        <v>91</v>
      </c>
      <c r="G5595" t="s">
        <v>35</v>
      </c>
      <c r="H5595">
        <v>1</v>
      </c>
      <c r="I5595" t="s">
        <v>286</v>
      </c>
      <c r="J5595" s="1">
        <v>43347</v>
      </c>
      <c r="K5595" t="s">
        <v>268</v>
      </c>
      <c r="L5595" t="s">
        <v>269</v>
      </c>
      <c r="M5595" t="s">
        <v>131</v>
      </c>
      <c r="N5595">
        <v>30</v>
      </c>
      <c r="P5595" t="s">
        <v>41</v>
      </c>
      <c r="Q5595" t="s">
        <v>95</v>
      </c>
      <c r="R5595" t="str">
        <f>"7052153"</f>
        <v>7052153</v>
      </c>
      <c r="S5595" t="s">
        <v>657</v>
      </c>
      <c r="T5595" t="s">
        <v>268</v>
      </c>
      <c r="U5595" t="s">
        <v>269</v>
      </c>
      <c r="V5595" t="s">
        <v>131</v>
      </c>
      <c r="W5595" t="s">
        <v>44</v>
      </c>
      <c r="X5595" t="s">
        <v>45</v>
      </c>
      <c r="Y5595" s="1">
        <v>33377</v>
      </c>
      <c r="Z5595">
        <v>1</v>
      </c>
      <c r="AA5595" t="s">
        <v>269</v>
      </c>
      <c r="AB5595" s="40" t="s">
        <v>1800</v>
      </c>
    </row>
    <row r="5596" spans="1:28" x14ac:dyDescent="0.25">
      <c r="A5596">
        <v>99915595</v>
      </c>
      <c r="B5596" t="s">
        <v>32</v>
      </c>
      <c r="C5596" t="s">
        <v>90</v>
      </c>
      <c r="D5596" t="s">
        <v>91</v>
      </c>
      <c r="G5596" t="s">
        <v>35</v>
      </c>
      <c r="H5596">
        <v>1</v>
      </c>
      <c r="I5596" t="s">
        <v>286</v>
      </c>
      <c r="J5596" s="1">
        <v>43346</v>
      </c>
      <c r="K5596" t="s">
        <v>268</v>
      </c>
      <c r="L5596" t="s">
        <v>269</v>
      </c>
      <c r="M5596" t="s">
        <v>131</v>
      </c>
      <c r="N5596">
        <v>30</v>
      </c>
      <c r="O5596" s="1">
        <v>43346</v>
      </c>
      <c r="P5596" t="s">
        <v>41</v>
      </c>
      <c r="Q5596" t="s">
        <v>95</v>
      </c>
      <c r="R5596" t="str">
        <f>"7052105"</f>
        <v>7052105</v>
      </c>
      <c r="S5596" t="s">
        <v>719</v>
      </c>
      <c r="T5596" t="s">
        <v>268</v>
      </c>
      <c r="U5596" t="s">
        <v>269</v>
      </c>
      <c r="V5596" t="s">
        <v>131</v>
      </c>
      <c r="W5596" t="s">
        <v>44</v>
      </c>
      <c r="X5596" t="s">
        <v>45</v>
      </c>
      <c r="Y5596" s="1">
        <v>33259</v>
      </c>
      <c r="Z5596">
        <v>1</v>
      </c>
      <c r="AA5596" t="s">
        <v>269</v>
      </c>
      <c r="AB5596" s="40" t="s">
        <v>1800</v>
      </c>
    </row>
    <row r="5597" spans="1:28" x14ac:dyDescent="0.25">
      <c r="A5597">
        <v>99915596</v>
      </c>
      <c r="B5597" t="s">
        <v>32</v>
      </c>
      <c r="C5597" t="s">
        <v>90</v>
      </c>
      <c r="D5597" t="s">
        <v>91</v>
      </c>
      <c r="G5597" t="s">
        <v>35</v>
      </c>
      <c r="H5597">
        <v>1</v>
      </c>
      <c r="I5597">
        <v>5</v>
      </c>
      <c r="J5597" s="1">
        <v>43346</v>
      </c>
      <c r="K5597" t="s">
        <v>268</v>
      </c>
      <c r="L5597" t="s">
        <v>269</v>
      </c>
      <c r="M5597" t="s">
        <v>131</v>
      </c>
      <c r="N5597">
        <v>30</v>
      </c>
      <c r="O5597" s="1">
        <v>43346</v>
      </c>
      <c r="P5597" t="s">
        <v>41</v>
      </c>
      <c r="Q5597" t="s">
        <v>95</v>
      </c>
      <c r="R5597" t="str">
        <f>"7052193"</f>
        <v>7052193</v>
      </c>
      <c r="S5597" t="s">
        <v>741</v>
      </c>
      <c r="T5597" t="s">
        <v>268</v>
      </c>
      <c r="U5597" t="s">
        <v>269</v>
      </c>
      <c r="V5597" t="s">
        <v>131</v>
      </c>
      <c r="W5597" t="s">
        <v>44</v>
      </c>
      <c r="X5597" t="s">
        <v>45</v>
      </c>
      <c r="Y5597" s="1">
        <v>33193</v>
      </c>
      <c r="Z5597">
        <v>1</v>
      </c>
      <c r="AA5597" t="s">
        <v>269</v>
      </c>
      <c r="AB5597" s="40" t="s">
        <v>1800</v>
      </c>
    </row>
    <row r="5598" spans="1:28" x14ac:dyDescent="0.25">
      <c r="A5598">
        <v>99915597</v>
      </c>
      <c r="B5598" t="s">
        <v>32</v>
      </c>
      <c r="C5598" t="s">
        <v>90</v>
      </c>
      <c r="D5598" t="s">
        <v>91</v>
      </c>
      <c r="G5598" t="s">
        <v>35</v>
      </c>
      <c r="H5598">
        <v>1</v>
      </c>
      <c r="I5598">
        <v>1587839</v>
      </c>
      <c r="J5598" s="1">
        <v>43344</v>
      </c>
      <c r="K5598" t="s">
        <v>268</v>
      </c>
      <c r="L5598" t="s">
        <v>269</v>
      </c>
      <c r="M5598" t="s">
        <v>131</v>
      </c>
      <c r="N5598">
        <v>30</v>
      </c>
      <c r="P5598" t="s">
        <v>41</v>
      </c>
      <c r="Q5598" t="s">
        <v>95</v>
      </c>
      <c r="R5598" t="str">
        <f>"7052125"</f>
        <v>7052125</v>
      </c>
      <c r="S5598" t="s">
        <v>580</v>
      </c>
      <c r="T5598" t="s">
        <v>268</v>
      </c>
      <c r="U5598" t="s">
        <v>269</v>
      </c>
      <c r="V5598" t="s">
        <v>131</v>
      </c>
      <c r="W5598" t="s">
        <v>51</v>
      </c>
      <c r="X5598" t="s">
        <v>45</v>
      </c>
      <c r="Y5598" s="1">
        <v>33075</v>
      </c>
      <c r="Z5598">
        <v>1</v>
      </c>
      <c r="AA5598" t="s">
        <v>269</v>
      </c>
      <c r="AB5598" s="40" t="s">
        <v>1800</v>
      </c>
    </row>
    <row r="5599" spans="1:28" x14ac:dyDescent="0.25">
      <c r="A5599">
        <v>99915598</v>
      </c>
      <c r="B5599" t="s">
        <v>32</v>
      </c>
      <c r="C5599" t="s">
        <v>90</v>
      </c>
      <c r="D5599" t="s">
        <v>91</v>
      </c>
      <c r="G5599" t="s">
        <v>35</v>
      </c>
      <c r="H5599">
        <v>1</v>
      </c>
      <c r="I5599" t="s">
        <v>286</v>
      </c>
      <c r="J5599" s="1">
        <v>43344</v>
      </c>
      <c r="K5599" t="s">
        <v>268</v>
      </c>
      <c r="L5599" t="s">
        <v>269</v>
      </c>
      <c r="M5599" t="s">
        <v>131</v>
      </c>
      <c r="N5599">
        <v>30</v>
      </c>
      <c r="O5599" s="1">
        <v>43344</v>
      </c>
      <c r="P5599" t="s">
        <v>41</v>
      </c>
      <c r="Q5599" t="s">
        <v>95</v>
      </c>
      <c r="R5599" t="str">
        <f>"7052209"</f>
        <v>7052209</v>
      </c>
      <c r="S5599" t="s">
        <v>704</v>
      </c>
      <c r="T5599" t="s">
        <v>268</v>
      </c>
      <c r="U5599" t="s">
        <v>269</v>
      </c>
      <c r="V5599" t="s">
        <v>131</v>
      </c>
      <c r="W5599" t="s">
        <v>44</v>
      </c>
      <c r="X5599" t="s">
        <v>45</v>
      </c>
      <c r="Y5599" s="1">
        <v>33003</v>
      </c>
      <c r="Z5599">
        <v>1</v>
      </c>
      <c r="AA5599" t="s">
        <v>269</v>
      </c>
      <c r="AB5599" s="40" t="s">
        <v>1800</v>
      </c>
    </row>
    <row r="5600" spans="1:28" x14ac:dyDescent="0.25">
      <c r="A5600">
        <v>99915599</v>
      </c>
      <c r="B5600" t="s">
        <v>32</v>
      </c>
      <c r="C5600" t="s">
        <v>139</v>
      </c>
      <c r="D5600" t="s">
        <v>140</v>
      </c>
      <c r="G5600" t="s">
        <v>48</v>
      </c>
      <c r="H5600">
        <v>1</v>
      </c>
      <c r="K5600" t="s">
        <v>223</v>
      </c>
      <c r="L5600" t="s">
        <v>224</v>
      </c>
      <c r="M5600" t="s">
        <v>131</v>
      </c>
      <c r="N5600">
        <v>30</v>
      </c>
      <c r="P5600" t="s">
        <v>41</v>
      </c>
      <c r="Q5600" t="s">
        <v>42</v>
      </c>
      <c r="R5600" t="str">
        <f>"0590910"</f>
        <v>0590910</v>
      </c>
      <c r="S5600" t="s">
        <v>227</v>
      </c>
      <c r="T5600" t="s">
        <v>223</v>
      </c>
      <c r="U5600" t="s">
        <v>224</v>
      </c>
      <c r="V5600" t="s">
        <v>131</v>
      </c>
      <c r="W5600" t="s">
        <v>51</v>
      </c>
      <c r="X5600" t="s">
        <v>45</v>
      </c>
      <c r="Y5600" s="1">
        <v>32874</v>
      </c>
      <c r="Z5600">
        <v>2</v>
      </c>
      <c r="AA5600" t="s">
        <v>224</v>
      </c>
      <c r="AB5600" s="40" t="s">
        <v>1800</v>
      </c>
    </row>
    <row r="5601" spans="1:28" x14ac:dyDescent="0.25">
      <c r="A5601">
        <v>99915600</v>
      </c>
      <c r="B5601" t="s">
        <v>32</v>
      </c>
      <c r="C5601" t="s">
        <v>90</v>
      </c>
      <c r="D5601" t="s">
        <v>91</v>
      </c>
      <c r="G5601" t="s">
        <v>35</v>
      </c>
      <c r="H5601">
        <v>1</v>
      </c>
      <c r="I5601" t="s">
        <v>286</v>
      </c>
      <c r="J5601" s="1">
        <v>43344</v>
      </c>
      <c r="K5601" t="s">
        <v>268</v>
      </c>
      <c r="L5601" t="s">
        <v>269</v>
      </c>
      <c r="M5601" t="s">
        <v>131</v>
      </c>
      <c r="N5601">
        <v>30</v>
      </c>
      <c r="O5601" s="1">
        <v>43344</v>
      </c>
      <c r="P5601" t="s">
        <v>41</v>
      </c>
      <c r="Q5601" t="s">
        <v>95</v>
      </c>
      <c r="R5601" t="str">
        <f>"7052245"</f>
        <v>7052245</v>
      </c>
      <c r="S5601" t="s">
        <v>714</v>
      </c>
      <c r="T5601" t="s">
        <v>268</v>
      </c>
      <c r="U5601" t="s">
        <v>269</v>
      </c>
      <c r="V5601" t="s">
        <v>131</v>
      </c>
      <c r="W5601" t="s">
        <v>51</v>
      </c>
      <c r="X5601" t="s">
        <v>45</v>
      </c>
      <c r="Y5601" s="1">
        <v>32853</v>
      </c>
      <c r="Z5601">
        <v>1</v>
      </c>
      <c r="AA5601" t="s">
        <v>269</v>
      </c>
      <c r="AB5601" s="40" t="s">
        <v>1800</v>
      </c>
    </row>
    <row r="5602" spans="1:28" x14ac:dyDescent="0.25">
      <c r="A5602">
        <v>99915601</v>
      </c>
      <c r="B5602" t="s">
        <v>32</v>
      </c>
      <c r="C5602" t="s">
        <v>90</v>
      </c>
      <c r="D5602" t="s">
        <v>91</v>
      </c>
      <c r="G5602" t="s">
        <v>35</v>
      </c>
      <c r="H5602">
        <v>1</v>
      </c>
      <c r="I5602" t="s">
        <v>286</v>
      </c>
      <c r="J5602" s="1">
        <v>43344</v>
      </c>
      <c r="K5602" t="s">
        <v>268</v>
      </c>
      <c r="L5602" t="s">
        <v>269</v>
      </c>
      <c r="M5602" t="s">
        <v>131</v>
      </c>
      <c r="N5602">
        <v>30</v>
      </c>
      <c r="P5602" t="s">
        <v>41</v>
      </c>
      <c r="Q5602" t="s">
        <v>95</v>
      </c>
      <c r="R5602" t="str">
        <f>"7052161"</f>
        <v>7052161</v>
      </c>
      <c r="S5602" t="s">
        <v>705</v>
      </c>
      <c r="T5602" t="s">
        <v>268</v>
      </c>
      <c r="U5602" t="s">
        <v>269</v>
      </c>
      <c r="V5602" t="s">
        <v>131</v>
      </c>
      <c r="W5602" t="s">
        <v>44</v>
      </c>
      <c r="X5602" t="s">
        <v>45</v>
      </c>
      <c r="Y5602" s="1">
        <v>32722</v>
      </c>
      <c r="Z5602">
        <v>1</v>
      </c>
      <c r="AA5602" t="s">
        <v>269</v>
      </c>
      <c r="AB5602" s="40" t="s">
        <v>1800</v>
      </c>
    </row>
    <row r="5603" spans="1:28" x14ac:dyDescent="0.25">
      <c r="A5603">
        <v>99915602</v>
      </c>
      <c r="B5603" t="s">
        <v>32</v>
      </c>
      <c r="C5603" t="s">
        <v>90</v>
      </c>
      <c r="D5603" t="s">
        <v>91</v>
      </c>
      <c r="G5603" t="s">
        <v>35</v>
      </c>
      <c r="H5603">
        <v>1</v>
      </c>
      <c r="I5603">
        <v>2444</v>
      </c>
      <c r="J5603" s="1">
        <v>43344</v>
      </c>
      <c r="K5603" t="s">
        <v>1258</v>
      </c>
      <c r="L5603" t="s">
        <v>1259</v>
      </c>
      <c r="M5603" t="s">
        <v>1260</v>
      </c>
      <c r="N5603">
        <v>30</v>
      </c>
      <c r="O5603" s="1">
        <v>43344</v>
      </c>
      <c r="P5603" t="s">
        <v>41</v>
      </c>
      <c r="Q5603" t="s">
        <v>95</v>
      </c>
      <c r="R5603" t="str">
        <f>"7241009"</f>
        <v>7241009</v>
      </c>
      <c r="S5603" t="s">
        <v>1263</v>
      </c>
      <c r="T5603" t="s">
        <v>1258</v>
      </c>
      <c r="U5603" t="s">
        <v>1259</v>
      </c>
      <c r="V5603" t="s">
        <v>1260</v>
      </c>
      <c r="W5603" t="s">
        <v>44</v>
      </c>
      <c r="X5603" t="s">
        <v>45</v>
      </c>
      <c r="Y5603" s="1">
        <v>32664</v>
      </c>
      <c r="Z5603">
        <v>1</v>
      </c>
      <c r="AA5603" t="s">
        <v>1259</v>
      </c>
      <c r="AB5603" s="40" t="s">
        <v>1800</v>
      </c>
    </row>
    <row r="5604" spans="1:28" x14ac:dyDescent="0.25">
      <c r="A5604">
        <v>99915603</v>
      </c>
      <c r="B5604" t="s">
        <v>32</v>
      </c>
      <c r="C5604" t="s">
        <v>90</v>
      </c>
      <c r="D5604" t="s">
        <v>91</v>
      </c>
      <c r="G5604" t="s">
        <v>48</v>
      </c>
      <c r="H5604">
        <v>1</v>
      </c>
      <c r="K5604" t="s">
        <v>154</v>
      </c>
      <c r="L5604" t="s">
        <v>155</v>
      </c>
      <c r="M5604" t="s">
        <v>131</v>
      </c>
      <c r="N5604">
        <v>30</v>
      </c>
      <c r="P5604" t="s">
        <v>41</v>
      </c>
      <c r="Q5604" t="s">
        <v>95</v>
      </c>
      <c r="R5604" t="str">
        <f>"7051065"</f>
        <v>7051065</v>
      </c>
      <c r="S5604" t="s">
        <v>415</v>
      </c>
      <c r="T5604" t="s">
        <v>154</v>
      </c>
      <c r="U5604" t="s">
        <v>155</v>
      </c>
      <c r="V5604" t="s">
        <v>131</v>
      </c>
      <c r="W5604" t="s">
        <v>51</v>
      </c>
      <c r="X5604" t="s">
        <v>45</v>
      </c>
      <c r="Y5604" s="1">
        <v>32631</v>
      </c>
      <c r="Z5604">
        <v>1</v>
      </c>
      <c r="AA5604" t="s">
        <v>155</v>
      </c>
      <c r="AB5604" s="40" t="s">
        <v>1800</v>
      </c>
    </row>
    <row r="5605" spans="1:28" x14ac:dyDescent="0.25">
      <c r="A5605">
        <v>99915604</v>
      </c>
      <c r="B5605" t="s">
        <v>32</v>
      </c>
      <c r="C5605" t="s">
        <v>90</v>
      </c>
      <c r="D5605" t="s">
        <v>91</v>
      </c>
      <c r="G5605" t="s">
        <v>35</v>
      </c>
      <c r="H5605">
        <v>1</v>
      </c>
      <c r="K5605" t="s">
        <v>268</v>
      </c>
      <c r="L5605" t="s">
        <v>269</v>
      </c>
      <c r="M5605" t="s">
        <v>131</v>
      </c>
      <c r="N5605">
        <v>30</v>
      </c>
      <c r="P5605" t="s">
        <v>41</v>
      </c>
      <c r="Q5605" t="s">
        <v>95</v>
      </c>
      <c r="R5605" t="str">
        <f>"7052113"</f>
        <v>7052113</v>
      </c>
      <c r="S5605" t="s">
        <v>743</v>
      </c>
      <c r="T5605" t="s">
        <v>268</v>
      </c>
      <c r="U5605" t="s">
        <v>269</v>
      </c>
      <c r="V5605" t="s">
        <v>131</v>
      </c>
      <c r="W5605" t="s">
        <v>51</v>
      </c>
      <c r="X5605" t="s">
        <v>45</v>
      </c>
      <c r="Y5605" s="1">
        <v>32096</v>
      </c>
      <c r="Z5605">
        <v>1</v>
      </c>
      <c r="AA5605" t="s">
        <v>269</v>
      </c>
      <c r="AB5605" s="40" t="s">
        <v>1800</v>
      </c>
    </row>
    <row r="5606" spans="1:28" x14ac:dyDescent="0.25">
      <c r="A5606">
        <v>99915605</v>
      </c>
      <c r="B5606" t="s">
        <v>32</v>
      </c>
      <c r="C5606" t="s">
        <v>90</v>
      </c>
      <c r="D5606" t="s">
        <v>91</v>
      </c>
      <c r="G5606" t="s">
        <v>35</v>
      </c>
      <c r="H5606">
        <v>1</v>
      </c>
      <c r="I5606" t="s">
        <v>707</v>
      </c>
      <c r="J5606" s="1">
        <v>43344</v>
      </c>
      <c r="K5606" t="s">
        <v>268</v>
      </c>
      <c r="L5606" t="s">
        <v>269</v>
      </c>
      <c r="M5606" t="s">
        <v>131</v>
      </c>
      <c r="N5606">
        <v>30</v>
      </c>
      <c r="O5606" s="1">
        <v>43344</v>
      </c>
      <c r="P5606" t="s">
        <v>41</v>
      </c>
      <c r="Q5606" t="s">
        <v>95</v>
      </c>
      <c r="R5606" t="str">
        <f>"7052169"</f>
        <v>7052169</v>
      </c>
      <c r="S5606" t="s">
        <v>708</v>
      </c>
      <c r="T5606" t="s">
        <v>268</v>
      </c>
      <c r="U5606" t="s">
        <v>269</v>
      </c>
      <c r="V5606" t="s">
        <v>131</v>
      </c>
      <c r="W5606" t="s">
        <v>44</v>
      </c>
      <c r="X5606" t="s">
        <v>45</v>
      </c>
      <c r="Y5606" s="1">
        <v>31879</v>
      </c>
      <c r="Z5606">
        <v>1</v>
      </c>
      <c r="AA5606" t="s">
        <v>269</v>
      </c>
      <c r="AB5606" s="40" t="s">
        <v>1800</v>
      </c>
    </row>
    <row r="5607" spans="1:28" x14ac:dyDescent="0.25">
      <c r="A5607">
        <v>99915606</v>
      </c>
      <c r="B5607" t="s">
        <v>32</v>
      </c>
      <c r="C5607" t="s">
        <v>90</v>
      </c>
      <c r="D5607" t="s">
        <v>91</v>
      </c>
      <c r="G5607" t="s">
        <v>48</v>
      </c>
      <c r="H5607">
        <v>1</v>
      </c>
      <c r="K5607" t="s">
        <v>268</v>
      </c>
      <c r="L5607" t="s">
        <v>269</v>
      </c>
      <c r="M5607" t="s">
        <v>131</v>
      </c>
      <c r="N5607">
        <v>30</v>
      </c>
      <c r="P5607" t="s">
        <v>41</v>
      </c>
      <c r="Q5607" t="s">
        <v>95</v>
      </c>
      <c r="R5607" t="str">
        <f>"7052135"</f>
        <v>7052135</v>
      </c>
      <c r="S5607" t="s">
        <v>624</v>
      </c>
      <c r="T5607" t="s">
        <v>268</v>
      </c>
      <c r="U5607" t="s">
        <v>269</v>
      </c>
      <c r="V5607" t="s">
        <v>131</v>
      </c>
      <c r="W5607" t="s">
        <v>51</v>
      </c>
      <c r="X5607" t="s">
        <v>45</v>
      </c>
      <c r="Y5607" s="1">
        <v>31774</v>
      </c>
      <c r="Z5607">
        <v>1</v>
      </c>
      <c r="AA5607" t="s">
        <v>269</v>
      </c>
      <c r="AB5607" s="40" t="s">
        <v>1800</v>
      </c>
    </row>
    <row r="5608" spans="1:28" x14ac:dyDescent="0.25">
      <c r="A5608">
        <v>99915607</v>
      </c>
      <c r="B5608" t="s">
        <v>32</v>
      </c>
      <c r="C5608" t="s">
        <v>90</v>
      </c>
      <c r="D5608" t="s">
        <v>91</v>
      </c>
      <c r="G5608" t="s">
        <v>48</v>
      </c>
      <c r="H5608">
        <v>1</v>
      </c>
      <c r="K5608" t="s">
        <v>154</v>
      </c>
      <c r="L5608" t="s">
        <v>155</v>
      </c>
      <c r="M5608" t="s">
        <v>131</v>
      </c>
      <c r="N5608">
        <v>30</v>
      </c>
      <c r="P5608" t="s">
        <v>41</v>
      </c>
      <c r="Q5608" t="s">
        <v>95</v>
      </c>
      <c r="R5608" t="str">
        <f>"7051133"</f>
        <v>7051133</v>
      </c>
      <c r="S5608" t="s">
        <v>425</v>
      </c>
      <c r="T5608" t="s">
        <v>154</v>
      </c>
      <c r="U5608" t="s">
        <v>155</v>
      </c>
      <c r="V5608" t="s">
        <v>131</v>
      </c>
      <c r="W5608" t="s">
        <v>51</v>
      </c>
      <c r="X5608" t="s">
        <v>45</v>
      </c>
      <c r="Y5608" s="1">
        <v>31757</v>
      </c>
      <c r="Z5608">
        <v>1</v>
      </c>
      <c r="AA5608" t="s">
        <v>155</v>
      </c>
      <c r="AB5608" s="40" t="s">
        <v>1800</v>
      </c>
    </row>
    <row r="5609" spans="1:28" x14ac:dyDescent="0.25">
      <c r="A5609">
        <v>99915608</v>
      </c>
      <c r="B5609" t="s">
        <v>32</v>
      </c>
      <c r="C5609" t="s">
        <v>90</v>
      </c>
      <c r="D5609" t="s">
        <v>91</v>
      </c>
      <c r="G5609" t="s">
        <v>35</v>
      </c>
      <c r="H5609">
        <v>1</v>
      </c>
      <c r="I5609" t="s">
        <v>625</v>
      </c>
      <c r="J5609" s="1">
        <v>43344</v>
      </c>
      <c r="K5609" t="s">
        <v>268</v>
      </c>
      <c r="L5609" t="s">
        <v>269</v>
      </c>
      <c r="M5609" t="s">
        <v>131</v>
      </c>
      <c r="N5609">
        <v>30</v>
      </c>
      <c r="O5609" s="1">
        <v>43344</v>
      </c>
      <c r="P5609" t="s">
        <v>41</v>
      </c>
      <c r="Q5609" t="s">
        <v>95</v>
      </c>
      <c r="R5609" t="str">
        <f>"7052187"</f>
        <v>7052187</v>
      </c>
      <c r="S5609" t="s">
        <v>626</v>
      </c>
      <c r="T5609" t="s">
        <v>268</v>
      </c>
      <c r="U5609" t="s">
        <v>269</v>
      </c>
      <c r="V5609" t="s">
        <v>131</v>
      </c>
      <c r="W5609" t="s">
        <v>44</v>
      </c>
      <c r="X5609" t="s">
        <v>45</v>
      </c>
      <c r="Y5609" s="1">
        <v>31396</v>
      </c>
      <c r="Z5609">
        <v>1</v>
      </c>
      <c r="AA5609" t="s">
        <v>269</v>
      </c>
      <c r="AB5609" s="40" t="s">
        <v>1800</v>
      </c>
    </row>
    <row r="5610" spans="1:28" x14ac:dyDescent="0.25">
      <c r="A5610">
        <v>99915609</v>
      </c>
      <c r="B5610" t="s">
        <v>32</v>
      </c>
      <c r="C5610" t="s">
        <v>90</v>
      </c>
      <c r="D5610" t="s">
        <v>91</v>
      </c>
      <c r="G5610" t="s">
        <v>48</v>
      </c>
      <c r="H5610">
        <v>1</v>
      </c>
      <c r="K5610" t="s">
        <v>154</v>
      </c>
      <c r="L5610" t="s">
        <v>155</v>
      </c>
      <c r="M5610" t="s">
        <v>131</v>
      </c>
      <c r="N5610">
        <v>30</v>
      </c>
      <c r="P5610" t="s">
        <v>41</v>
      </c>
      <c r="Q5610" t="s">
        <v>95</v>
      </c>
      <c r="R5610" t="str">
        <f>"7051071"</f>
        <v>7051071</v>
      </c>
      <c r="S5610" t="s">
        <v>411</v>
      </c>
      <c r="T5610" t="s">
        <v>154</v>
      </c>
      <c r="U5610" t="s">
        <v>155</v>
      </c>
      <c r="V5610" t="s">
        <v>131</v>
      </c>
      <c r="W5610" t="s">
        <v>51</v>
      </c>
      <c r="X5610" t="s">
        <v>45</v>
      </c>
      <c r="Y5610" s="1">
        <v>31069</v>
      </c>
      <c r="Z5610">
        <v>1</v>
      </c>
      <c r="AA5610" t="s">
        <v>155</v>
      </c>
      <c r="AB5610" s="40" t="s">
        <v>1800</v>
      </c>
    </row>
    <row r="5611" spans="1:28" x14ac:dyDescent="0.25">
      <c r="A5611">
        <v>99915610</v>
      </c>
      <c r="B5611" t="s">
        <v>32</v>
      </c>
      <c r="C5611" t="s">
        <v>90</v>
      </c>
      <c r="D5611" t="s">
        <v>91</v>
      </c>
      <c r="G5611" t="s">
        <v>35</v>
      </c>
      <c r="H5611">
        <v>1</v>
      </c>
      <c r="I5611">
        <v>4110</v>
      </c>
      <c r="J5611" s="1">
        <v>43344</v>
      </c>
      <c r="K5611" t="s">
        <v>268</v>
      </c>
      <c r="L5611" t="s">
        <v>269</v>
      </c>
      <c r="M5611" t="s">
        <v>131</v>
      </c>
      <c r="N5611">
        <v>30</v>
      </c>
      <c r="P5611" t="s">
        <v>41</v>
      </c>
      <c r="Q5611" t="s">
        <v>95</v>
      </c>
      <c r="R5611" t="str">
        <f>"7052023"</f>
        <v>7052023</v>
      </c>
      <c r="S5611" t="s">
        <v>644</v>
      </c>
      <c r="T5611" t="s">
        <v>268</v>
      </c>
      <c r="U5611" t="s">
        <v>269</v>
      </c>
      <c r="V5611" t="s">
        <v>131</v>
      </c>
      <c r="W5611" t="s">
        <v>51</v>
      </c>
      <c r="X5611" t="s">
        <v>45</v>
      </c>
      <c r="Y5611" s="1">
        <v>31068</v>
      </c>
      <c r="Z5611">
        <v>1</v>
      </c>
      <c r="AA5611" t="s">
        <v>269</v>
      </c>
      <c r="AB5611" s="40" t="s">
        <v>1800</v>
      </c>
    </row>
    <row r="5612" spans="1:28" x14ac:dyDescent="0.25">
      <c r="A5612">
        <v>99915611</v>
      </c>
      <c r="B5612" t="s">
        <v>56</v>
      </c>
      <c r="C5612" t="s">
        <v>68</v>
      </c>
      <c r="D5612" t="s">
        <v>69</v>
      </c>
      <c r="G5612" t="s">
        <v>48</v>
      </c>
      <c r="H5612">
        <v>1</v>
      </c>
      <c r="K5612" t="s">
        <v>1268</v>
      </c>
      <c r="L5612" t="s">
        <v>1269</v>
      </c>
      <c r="M5612" t="s">
        <v>1270</v>
      </c>
      <c r="N5612">
        <v>30</v>
      </c>
      <c r="P5612" t="s">
        <v>41</v>
      </c>
      <c r="Q5612" t="s">
        <v>42</v>
      </c>
      <c r="R5612" t="str">
        <f>"1980050"</f>
        <v>1980050</v>
      </c>
      <c r="S5612" t="s">
        <v>1278</v>
      </c>
      <c r="T5612" t="s">
        <v>1268</v>
      </c>
      <c r="U5612" t="s">
        <v>1269</v>
      </c>
      <c r="V5612" t="s">
        <v>1270</v>
      </c>
      <c r="W5612" t="s">
        <v>51</v>
      </c>
      <c r="X5612" t="s">
        <v>45</v>
      </c>
      <c r="Y5612" s="1">
        <v>31067</v>
      </c>
      <c r="Z5612">
        <v>2</v>
      </c>
      <c r="AA5612" t="s">
        <v>1269</v>
      </c>
      <c r="AB5612" s="40" t="s">
        <v>1800</v>
      </c>
    </row>
    <row r="5613" spans="1:28" x14ac:dyDescent="0.25">
      <c r="A5613">
        <v>99915612</v>
      </c>
      <c r="B5613" t="s">
        <v>32</v>
      </c>
      <c r="C5613" t="s">
        <v>46</v>
      </c>
      <c r="D5613" t="s">
        <v>47</v>
      </c>
      <c r="G5613" t="s">
        <v>48</v>
      </c>
      <c r="H5613">
        <v>1</v>
      </c>
      <c r="K5613" t="s">
        <v>1268</v>
      </c>
      <c r="L5613" t="s">
        <v>1269</v>
      </c>
      <c r="M5613" t="s">
        <v>1270</v>
      </c>
      <c r="N5613">
        <v>30</v>
      </c>
      <c r="P5613" t="s">
        <v>41</v>
      </c>
      <c r="Q5613" t="s">
        <v>42</v>
      </c>
      <c r="R5613" t="str">
        <f>"1980050"</f>
        <v>1980050</v>
      </c>
      <c r="S5613" t="s">
        <v>1278</v>
      </c>
      <c r="T5613" t="s">
        <v>1268</v>
      </c>
      <c r="U5613" t="s">
        <v>1269</v>
      </c>
      <c r="V5613" t="s">
        <v>1270</v>
      </c>
      <c r="W5613" t="s">
        <v>51</v>
      </c>
      <c r="X5613" t="s">
        <v>45</v>
      </c>
      <c r="Y5613" s="1">
        <v>30993</v>
      </c>
      <c r="Z5613">
        <v>2</v>
      </c>
      <c r="AA5613" t="s">
        <v>1269</v>
      </c>
      <c r="AB5613" s="40" t="s">
        <v>1800</v>
      </c>
    </row>
    <row r="5614" spans="1:28" x14ac:dyDescent="0.25">
      <c r="A5614">
        <v>99915613</v>
      </c>
      <c r="B5614" t="s">
        <v>56</v>
      </c>
      <c r="C5614" t="s">
        <v>90</v>
      </c>
      <c r="D5614" t="s">
        <v>91</v>
      </c>
      <c r="G5614" t="s">
        <v>48</v>
      </c>
      <c r="H5614">
        <v>1</v>
      </c>
      <c r="K5614" t="s">
        <v>154</v>
      </c>
      <c r="L5614" t="s">
        <v>155</v>
      </c>
      <c r="M5614" t="s">
        <v>131</v>
      </c>
      <c r="N5614">
        <v>30</v>
      </c>
      <c r="P5614" t="s">
        <v>41</v>
      </c>
      <c r="Q5614" t="s">
        <v>95</v>
      </c>
      <c r="R5614" t="str">
        <f>"7051159"</f>
        <v>7051159</v>
      </c>
      <c r="S5614" t="s">
        <v>423</v>
      </c>
      <c r="T5614" t="s">
        <v>154</v>
      </c>
      <c r="U5614" t="s">
        <v>155</v>
      </c>
      <c r="V5614" t="s">
        <v>131</v>
      </c>
      <c r="W5614" t="s">
        <v>51</v>
      </c>
      <c r="X5614" t="s">
        <v>45</v>
      </c>
      <c r="Y5614" s="1">
        <v>30955</v>
      </c>
      <c r="Z5614">
        <v>1</v>
      </c>
      <c r="AA5614" t="s">
        <v>155</v>
      </c>
      <c r="AB5614" s="40" t="s">
        <v>1800</v>
      </c>
    </row>
    <row r="5615" spans="1:28" x14ac:dyDescent="0.25">
      <c r="A5615">
        <v>99915614</v>
      </c>
      <c r="B5615" t="s">
        <v>56</v>
      </c>
      <c r="C5615" t="s">
        <v>46</v>
      </c>
      <c r="D5615" t="s">
        <v>47</v>
      </c>
      <c r="G5615" t="s">
        <v>48</v>
      </c>
      <c r="H5615">
        <v>1</v>
      </c>
      <c r="K5615" t="s">
        <v>1268</v>
      </c>
      <c r="L5615" t="s">
        <v>1269</v>
      </c>
      <c r="M5615" t="s">
        <v>1270</v>
      </c>
      <c r="N5615">
        <v>30</v>
      </c>
      <c r="P5615" t="s">
        <v>41</v>
      </c>
      <c r="Q5615" t="s">
        <v>42</v>
      </c>
      <c r="R5615" t="str">
        <f>"1980050"</f>
        <v>1980050</v>
      </c>
      <c r="S5615" t="s">
        <v>1278</v>
      </c>
      <c r="T5615" t="s">
        <v>1268</v>
      </c>
      <c r="U5615" t="s">
        <v>1269</v>
      </c>
      <c r="V5615" t="s">
        <v>1270</v>
      </c>
      <c r="W5615" t="s">
        <v>51</v>
      </c>
      <c r="X5615" t="s">
        <v>45</v>
      </c>
      <c r="Y5615" s="1">
        <v>30609</v>
      </c>
      <c r="Z5615">
        <v>2</v>
      </c>
      <c r="AA5615" t="s">
        <v>1269</v>
      </c>
      <c r="AB5615" s="40" t="s">
        <v>1800</v>
      </c>
    </row>
    <row r="5616" spans="1:28" x14ac:dyDescent="0.25">
      <c r="A5616">
        <v>99915615</v>
      </c>
      <c r="B5616" t="s">
        <v>32</v>
      </c>
      <c r="C5616" t="s">
        <v>90</v>
      </c>
      <c r="D5616" t="s">
        <v>91</v>
      </c>
      <c r="G5616" t="s">
        <v>48</v>
      </c>
      <c r="H5616">
        <v>1</v>
      </c>
      <c r="K5616" t="s">
        <v>268</v>
      </c>
      <c r="L5616" t="s">
        <v>269</v>
      </c>
      <c r="M5616" t="s">
        <v>131</v>
      </c>
      <c r="N5616">
        <v>30</v>
      </c>
      <c r="P5616" t="s">
        <v>41</v>
      </c>
      <c r="Q5616" t="s">
        <v>95</v>
      </c>
      <c r="R5616" t="str">
        <f>"7052143"</f>
        <v>7052143</v>
      </c>
      <c r="S5616" t="s">
        <v>711</v>
      </c>
      <c r="T5616" t="s">
        <v>268</v>
      </c>
      <c r="U5616" t="s">
        <v>269</v>
      </c>
      <c r="V5616" t="s">
        <v>131</v>
      </c>
      <c r="W5616" t="s">
        <v>51</v>
      </c>
      <c r="X5616" t="s">
        <v>45</v>
      </c>
      <c r="Y5616" s="1">
        <v>30475</v>
      </c>
      <c r="Z5616">
        <v>1</v>
      </c>
      <c r="AA5616" t="s">
        <v>269</v>
      </c>
      <c r="AB5616" s="40" t="s">
        <v>1800</v>
      </c>
    </row>
    <row r="5617" spans="1:28" x14ac:dyDescent="0.25">
      <c r="A5617">
        <v>99915616</v>
      </c>
      <c r="B5617" t="s">
        <v>32</v>
      </c>
      <c r="C5617" t="s">
        <v>90</v>
      </c>
      <c r="D5617" t="s">
        <v>91</v>
      </c>
      <c r="G5617" t="s">
        <v>35</v>
      </c>
      <c r="H5617">
        <v>1</v>
      </c>
      <c r="I5617">
        <v>4604</v>
      </c>
      <c r="J5617" s="1">
        <v>43344</v>
      </c>
      <c r="K5617" t="s">
        <v>268</v>
      </c>
      <c r="L5617" t="s">
        <v>269</v>
      </c>
      <c r="M5617" t="s">
        <v>131</v>
      </c>
      <c r="N5617">
        <v>30</v>
      </c>
      <c r="O5617" s="1">
        <v>43344</v>
      </c>
      <c r="P5617" t="s">
        <v>41</v>
      </c>
      <c r="Q5617" t="s">
        <v>95</v>
      </c>
      <c r="R5617" t="str">
        <f>"7052085"</f>
        <v>7052085</v>
      </c>
      <c r="S5617" t="s">
        <v>602</v>
      </c>
      <c r="T5617" t="s">
        <v>268</v>
      </c>
      <c r="U5617" t="s">
        <v>269</v>
      </c>
      <c r="V5617" t="s">
        <v>131</v>
      </c>
      <c r="W5617" t="s">
        <v>51</v>
      </c>
      <c r="X5617" t="s">
        <v>45</v>
      </c>
      <c r="Y5617" s="1">
        <v>30375</v>
      </c>
      <c r="Z5617">
        <v>1</v>
      </c>
      <c r="AA5617" t="s">
        <v>269</v>
      </c>
      <c r="AB5617" s="40" t="s">
        <v>1800</v>
      </c>
    </row>
    <row r="5618" spans="1:28" x14ac:dyDescent="0.25">
      <c r="A5618">
        <v>99915617</v>
      </c>
      <c r="B5618" t="s">
        <v>32</v>
      </c>
      <c r="C5618" t="s">
        <v>90</v>
      </c>
      <c r="D5618" t="s">
        <v>91</v>
      </c>
      <c r="G5618" t="s">
        <v>48</v>
      </c>
      <c r="H5618">
        <v>1</v>
      </c>
      <c r="K5618" t="s">
        <v>268</v>
      </c>
      <c r="L5618" t="s">
        <v>269</v>
      </c>
      <c r="M5618" t="s">
        <v>131</v>
      </c>
      <c r="N5618">
        <v>30</v>
      </c>
      <c r="P5618" t="s">
        <v>41</v>
      </c>
      <c r="Q5618" t="s">
        <v>95</v>
      </c>
      <c r="R5618" t="str">
        <f>"7052077"</f>
        <v>7052077</v>
      </c>
      <c r="S5618" t="s">
        <v>745</v>
      </c>
      <c r="T5618" t="s">
        <v>268</v>
      </c>
      <c r="U5618" t="s">
        <v>269</v>
      </c>
      <c r="V5618" t="s">
        <v>131</v>
      </c>
      <c r="W5618" t="s">
        <v>51</v>
      </c>
      <c r="X5618" t="s">
        <v>45</v>
      </c>
      <c r="Y5618" s="1">
        <v>30127</v>
      </c>
      <c r="Z5618">
        <v>1</v>
      </c>
      <c r="AA5618" t="s">
        <v>269</v>
      </c>
      <c r="AB5618" s="40" t="s">
        <v>1800</v>
      </c>
    </row>
    <row r="5619" spans="1:28" x14ac:dyDescent="0.25">
      <c r="A5619">
        <v>99915618</v>
      </c>
      <c r="B5619" t="s">
        <v>56</v>
      </c>
      <c r="C5619" t="s">
        <v>61</v>
      </c>
      <c r="D5619" t="s">
        <v>62</v>
      </c>
      <c r="G5619" t="s">
        <v>35</v>
      </c>
      <c r="H5619">
        <v>1</v>
      </c>
      <c r="K5619" t="s">
        <v>157</v>
      </c>
      <c r="L5619" t="s">
        <v>158</v>
      </c>
      <c r="M5619" t="s">
        <v>131</v>
      </c>
      <c r="N5619">
        <v>30</v>
      </c>
      <c r="P5619" t="s">
        <v>41</v>
      </c>
      <c r="Q5619" t="s">
        <v>49</v>
      </c>
      <c r="R5619" t="str">
        <f>"0581725"</f>
        <v>0581725</v>
      </c>
      <c r="S5619" t="s">
        <v>161</v>
      </c>
      <c r="T5619" t="s">
        <v>157</v>
      </c>
      <c r="U5619" t="s">
        <v>158</v>
      </c>
      <c r="V5619" t="s">
        <v>131</v>
      </c>
      <c r="W5619" t="s">
        <v>51</v>
      </c>
      <c r="X5619" t="s">
        <v>45</v>
      </c>
      <c r="Y5619" s="1">
        <v>29952</v>
      </c>
      <c r="Z5619">
        <v>2</v>
      </c>
      <c r="AA5619" t="s">
        <v>158</v>
      </c>
      <c r="AB5619" s="40" t="s">
        <v>1800</v>
      </c>
    </row>
    <row r="5620" spans="1:28" x14ac:dyDescent="0.25">
      <c r="A5620">
        <v>99915619</v>
      </c>
      <c r="B5620" t="s">
        <v>32</v>
      </c>
      <c r="C5620" t="s">
        <v>90</v>
      </c>
      <c r="D5620" t="s">
        <v>91</v>
      </c>
      <c r="G5620" t="s">
        <v>48</v>
      </c>
      <c r="H5620">
        <v>1</v>
      </c>
      <c r="K5620" t="s">
        <v>268</v>
      </c>
      <c r="L5620" t="s">
        <v>269</v>
      </c>
      <c r="M5620" t="s">
        <v>131</v>
      </c>
      <c r="N5620">
        <v>30</v>
      </c>
      <c r="P5620" t="s">
        <v>41</v>
      </c>
      <c r="Q5620" t="s">
        <v>95</v>
      </c>
      <c r="R5620" t="str">
        <f>"7052055"</f>
        <v>7052055</v>
      </c>
      <c r="S5620" t="s">
        <v>733</v>
      </c>
      <c r="T5620" t="s">
        <v>268</v>
      </c>
      <c r="U5620" t="s">
        <v>269</v>
      </c>
      <c r="V5620" t="s">
        <v>131</v>
      </c>
      <c r="W5620" t="s">
        <v>51</v>
      </c>
      <c r="X5620" t="s">
        <v>45</v>
      </c>
      <c r="Y5620" s="1">
        <v>29887</v>
      </c>
      <c r="Z5620">
        <v>1</v>
      </c>
      <c r="AA5620" t="s">
        <v>269</v>
      </c>
      <c r="AB5620" s="40" t="s">
        <v>1800</v>
      </c>
    </row>
    <row r="5621" spans="1:28" x14ac:dyDescent="0.25">
      <c r="A5621">
        <v>99915620</v>
      </c>
      <c r="B5621" t="s">
        <v>32</v>
      </c>
      <c r="C5621" t="s">
        <v>90</v>
      </c>
      <c r="D5621" t="s">
        <v>91</v>
      </c>
      <c r="G5621" t="s">
        <v>48</v>
      </c>
      <c r="H5621">
        <v>1</v>
      </c>
      <c r="K5621" t="s">
        <v>268</v>
      </c>
      <c r="L5621" t="s">
        <v>269</v>
      </c>
      <c r="M5621" t="s">
        <v>131</v>
      </c>
      <c r="N5621">
        <v>30</v>
      </c>
      <c r="P5621" t="s">
        <v>41</v>
      </c>
      <c r="Q5621" t="s">
        <v>95</v>
      </c>
      <c r="R5621" t="str">
        <f>"7052027"</f>
        <v>7052027</v>
      </c>
      <c r="S5621" t="s">
        <v>694</v>
      </c>
      <c r="T5621" t="s">
        <v>268</v>
      </c>
      <c r="U5621" t="s">
        <v>269</v>
      </c>
      <c r="V5621" t="s">
        <v>131</v>
      </c>
      <c r="W5621" t="s">
        <v>51</v>
      </c>
      <c r="X5621" t="s">
        <v>45</v>
      </c>
      <c r="Y5621" s="1">
        <v>29821</v>
      </c>
      <c r="Z5621">
        <v>1</v>
      </c>
      <c r="AA5621" t="s">
        <v>269</v>
      </c>
      <c r="AB5621" s="40" t="s">
        <v>1800</v>
      </c>
    </row>
    <row r="5622" spans="1:28" x14ac:dyDescent="0.25">
      <c r="A5622">
        <v>99915621</v>
      </c>
      <c r="B5622" t="s">
        <v>56</v>
      </c>
      <c r="C5622" t="s">
        <v>46</v>
      </c>
      <c r="D5622" t="s">
        <v>47</v>
      </c>
      <c r="G5622" t="s">
        <v>48</v>
      </c>
      <c r="H5622">
        <v>1</v>
      </c>
      <c r="K5622" t="s">
        <v>1268</v>
      </c>
      <c r="L5622" t="s">
        <v>1269</v>
      </c>
      <c r="M5622" t="s">
        <v>1270</v>
      </c>
      <c r="N5622">
        <v>30</v>
      </c>
      <c r="P5622" t="s">
        <v>41</v>
      </c>
      <c r="Q5622" t="s">
        <v>49</v>
      </c>
      <c r="R5622" t="str">
        <f>"1981913"</f>
        <v>1981913</v>
      </c>
      <c r="S5622" t="s">
        <v>1295</v>
      </c>
      <c r="T5622" t="s">
        <v>1268</v>
      </c>
      <c r="U5622" t="s">
        <v>1269</v>
      </c>
      <c r="V5622" t="s">
        <v>1270</v>
      </c>
      <c r="W5622" t="s">
        <v>51</v>
      </c>
      <c r="X5622" t="s">
        <v>45</v>
      </c>
      <c r="Y5622" s="1">
        <v>29221</v>
      </c>
      <c r="Z5622">
        <v>2</v>
      </c>
      <c r="AA5622" t="s">
        <v>1269</v>
      </c>
      <c r="AB5622" s="40" t="s">
        <v>1800</v>
      </c>
    </row>
    <row r="5623" spans="1:28" x14ac:dyDescent="0.25">
      <c r="A5623">
        <v>99915622</v>
      </c>
      <c r="B5623" t="s">
        <v>56</v>
      </c>
      <c r="C5623" t="s">
        <v>52</v>
      </c>
      <c r="D5623" t="s">
        <v>53</v>
      </c>
      <c r="G5623" t="s">
        <v>48</v>
      </c>
      <c r="H5623">
        <v>5</v>
      </c>
      <c r="J5623" s="1">
        <v>41518</v>
      </c>
      <c r="K5623" t="s">
        <v>1268</v>
      </c>
      <c r="L5623" t="s">
        <v>1269</v>
      </c>
      <c r="M5623" t="s">
        <v>1270</v>
      </c>
      <c r="N5623">
        <v>30</v>
      </c>
      <c r="O5623" s="1">
        <v>41518</v>
      </c>
      <c r="P5623" t="s">
        <v>41</v>
      </c>
      <c r="Q5623" t="s">
        <v>42</v>
      </c>
      <c r="R5623" t="str">
        <f>"1980050"</f>
        <v>1980050</v>
      </c>
      <c r="S5623" t="s">
        <v>1278</v>
      </c>
      <c r="T5623" t="s">
        <v>1268</v>
      </c>
      <c r="U5623" t="s">
        <v>1269</v>
      </c>
      <c r="V5623" t="s">
        <v>1270</v>
      </c>
      <c r="W5623" t="s">
        <v>51</v>
      </c>
      <c r="X5623" t="s">
        <v>45</v>
      </c>
      <c r="Y5623" s="1">
        <v>29208</v>
      </c>
      <c r="Z5623">
        <v>2</v>
      </c>
      <c r="AA5623" t="s">
        <v>1269</v>
      </c>
      <c r="AB5623" s="40" t="s">
        <v>1800</v>
      </c>
    </row>
    <row r="5624" spans="1:28" x14ac:dyDescent="0.25">
      <c r="A5624">
        <v>99915623</v>
      </c>
      <c r="B5624" t="s">
        <v>56</v>
      </c>
      <c r="C5624" t="s">
        <v>61</v>
      </c>
      <c r="D5624" t="s">
        <v>62</v>
      </c>
      <c r="G5624" t="s">
        <v>48</v>
      </c>
      <c r="H5624">
        <v>1</v>
      </c>
      <c r="K5624" t="s">
        <v>1268</v>
      </c>
      <c r="L5624" t="s">
        <v>1269</v>
      </c>
      <c r="M5624" t="s">
        <v>1270</v>
      </c>
      <c r="N5624">
        <v>30</v>
      </c>
      <c r="P5624" t="s">
        <v>41</v>
      </c>
      <c r="Q5624" t="s">
        <v>42</v>
      </c>
      <c r="R5624" t="str">
        <f>"1980050"</f>
        <v>1980050</v>
      </c>
      <c r="S5624" t="s">
        <v>1278</v>
      </c>
      <c r="T5624" t="s">
        <v>1268</v>
      </c>
      <c r="U5624" t="s">
        <v>1269</v>
      </c>
      <c r="V5624" t="s">
        <v>1270</v>
      </c>
      <c r="W5624" t="s">
        <v>51</v>
      </c>
      <c r="X5624" t="s">
        <v>45</v>
      </c>
      <c r="Y5624" s="1">
        <v>29112</v>
      </c>
      <c r="Z5624">
        <v>2</v>
      </c>
      <c r="AA5624" t="s">
        <v>1269</v>
      </c>
      <c r="AB5624" s="40" t="s">
        <v>1800</v>
      </c>
    </row>
    <row r="5625" spans="1:28" x14ac:dyDescent="0.25">
      <c r="A5625">
        <v>99915624</v>
      </c>
      <c r="B5625" t="s">
        <v>56</v>
      </c>
      <c r="C5625" t="s">
        <v>58</v>
      </c>
      <c r="D5625" t="s">
        <v>59</v>
      </c>
      <c r="G5625" t="s">
        <v>35</v>
      </c>
      <c r="H5625">
        <v>1</v>
      </c>
      <c r="K5625" t="s">
        <v>300</v>
      </c>
      <c r="L5625" t="s">
        <v>301</v>
      </c>
      <c r="M5625" t="s">
        <v>131</v>
      </c>
      <c r="N5625">
        <v>30</v>
      </c>
      <c r="P5625" t="s">
        <v>41</v>
      </c>
      <c r="Q5625" t="s">
        <v>42</v>
      </c>
      <c r="R5625" t="str">
        <f>"0580457"</f>
        <v>0580457</v>
      </c>
      <c r="S5625" t="s">
        <v>310</v>
      </c>
      <c r="T5625" t="s">
        <v>300</v>
      </c>
      <c r="U5625" t="s">
        <v>301</v>
      </c>
      <c r="V5625" t="s">
        <v>131</v>
      </c>
      <c r="W5625" t="s">
        <v>51</v>
      </c>
      <c r="X5625" t="s">
        <v>45</v>
      </c>
      <c r="Y5625" s="1">
        <v>28317</v>
      </c>
      <c r="Z5625">
        <v>2</v>
      </c>
      <c r="AA5625" t="s">
        <v>301</v>
      </c>
      <c r="AB5625" s="40" t="s">
        <v>1800</v>
      </c>
    </row>
    <row r="5626" spans="1:28" x14ac:dyDescent="0.25">
      <c r="A5626">
        <v>99915625</v>
      </c>
      <c r="B5626" t="s">
        <v>32</v>
      </c>
      <c r="C5626" t="s">
        <v>90</v>
      </c>
      <c r="D5626" t="s">
        <v>91</v>
      </c>
      <c r="G5626" t="s">
        <v>48</v>
      </c>
      <c r="H5626">
        <v>1</v>
      </c>
      <c r="I5626" t="s">
        <v>622</v>
      </c>
      <c r="J5626" s="1">
        <v>42027</v>
      </c>
      <c r="K5626" t="s">
        <v>268</v>
      </c>
      <c r="L5626" t="s">
        <v>269</v>
      </c>
      <c r="M5626" t="s">
        <v>131</v>
      </c>
      <c r="N5626">
        <v>30</v>
      </c>
      <c r="O5626" s="1">
        <v>42031</v>
      </c>
      <c r="P5626" t="s">
        <v>41</v>
      </c>
      <c r="Q5626" t="s">
        <v>95</v>
      </c>
      <c r="R5626" t="str">
        <f>"7052213"</f>
        <v>7052213</v>
      </c>
      <c r="S5626" t="s">
        <v>623</v>
      </c>
      <c r="T5626" t="s">
        <v>268</v>
      </c>
      <c r="U5626" t="s">
        <v>269</v>
      </c>
      <c r="V5626" t="s">
        <v>131</v>
      </c>
      <c r="W5626" t="s">
        <v>51</v>
      </c>
      <c r="X5626" t="s">
        <v>45</v>
      </c>
      <c r="Y5626" s="1">
        <v>28079</v>
      </c>
      <c r="Z5626">
        <v>1</v>
      </c>
      <c r="AA5626" t="s">
        <v>269</v>
      </c>
      <c r="AB5626" s="40" t="s">
        <v>1800</v>
      </c>
    </row>
    <row r="5627" spans="1:28" x14ac:dyDescent="0.25">
      <c r="A5627">
        <v>99915626</v>
      </c>
      <c r="B5627" t="s">
        <v>32</v>
      </c>
      <c r="C5627" t="s">
        <v>90</v>
      </c>
      <c r="D5627" t="s">
        <v>91</v>
      </c>
      <c r="G5627" t="s">
        <v>48</v>
      </c>
      <c r="H5627">
        <v>1</v>
      </c>
      <c r="K5627" t="s">
        <v>154</v>
      </c>
      <c r="L5627" t="s">
        <v>155</v>
      </c>
      <c r="M5627" t="s">
        <v>131</v>
      </c>
      <c r="N5627">
        <v>30</v>
      </c>
      <c r="P5627" t="s">
        <v>41</v>
      </c>
      <c r="Q5627" t="s">
        <v>95</v>
      </c>
      <c r="R5627" t="str">
        <f>"7051057"</f>
        <v>7051057</v>
      </c>
      <c r="S5627" t="s">
        <v>424</v>
      </c>
      <c r="T5627" t="s">
        <v>154</v>
      </c>
      <c r="U5627" t="s">
        <v>155</v>
      </c>
      <c r="V5627" t="s">
        <v>131</v>
      </c>
      <c r="W5627" t="s">
        <v>51</v>
      </c>
      <c r="X5627" t="s">
        <v>45</v>
      </c>
      <c r="Y5627" s="1">
        <v>28069</v>
      </c>
      <c r="Z5627">
        <v>1</v>
      </c>
      <c r="AA5627" t="s">
        <v>155</v>
      </c>
      <c r="AB5627" s="40" t="s">
        <v>1800</v>
      </c>
    </row>
    <row r="5628" spans="1:28" x14ac:dyDescent="0.25">
      <c r="A5628">
        <v>99915627</v>
      </c>
      <c r="B5628" t="s">
        <v>32</v>
      </c>
      <c r="C5628" t="s">
        <v>90</v>
      </c>
      <c r="D5628" t="s">
        <v>91</v>
      </c>
      <c r="G5628" t="s">
        <v>35</v>
      </c>
      <c r="H5628">
        <v>1</v>
      </c>
      <c r="K5628" t="s">
        <v>877</v>
      </c>
      <c r="L5628" t="s">
        <v>878</v>
      </c>
      <c r="M5628" t="s">
        <v>131</v>
      </c>
      <c r="N5628">
        <v>30</v>
      </c>
      <c r="P5628" t="s">
        <v>41</v>
      </c>
      <c r="Q5628" t="s">
        <v>95</v>
      </c>
      <c r="R5628" t="str">
        <f>"7541005"</f>
        <v>7541005</v>
      </c>
      <c r="S5628" t="s">
        <v>908</v>
      </c>
      <c r="T5628" t="s">
        <v>877</v>
      </c>
      <c r="U5628" t="s">
        <v>878</v>
      </c>
      <c r="V5628" t="s">
        <v>131</v>
      </c>
      <c r="W5628" t="s">
        <v>51</v>
      </c>
      <c r="X5628" t="s">
        <v>45</v>
      </c>
      <c r="Y5628" s="1">
        <v>27812</v>
      </c>
      <c r="Z5628">
        <v>1</v>
      </c>
      <c r="AA5628" t="s">
        <v>878</v>
      </c>
      <c r="AB5628" s="40" t="s">
        <v>1800</v>
      </c>
    </row>
    <row r="5629" spans="1:28" x14ac:dyDescent="0.25">
      <c r="A5629">
        <v>99915628</v>
      </c>
      <c r="B5629" t="s">
        <v>56</v>
      </c>
      <c r="C5629" t="s">
        <v>85</v>
      </c>
      <c r="D5629" t="s">
        <v>86</v>
      </c>
      <c r="G5629" t="s">
        <v>48</v>
      </c>
      <c r="H5629">
        <v>1</v>
      </c>
      <c r="K5629" t="s">
        <v>1268</v>
      </c>
      <c r="L5629" t="s">
        <v>1269</v>
      </c>
      <c r="M5629" t="s">
        <v>1270</v>
      </c>
      <c r="N5629">
        <v>30</v>
      </c>
      <c r="P5629" t="s">
        <v>41</v>
      </c>
      <c r="Q5629" t="s">
        <v>42</v>
      </c>
      <c r="R5629" t="str">
        <f>"1980050"</f>
        <v>1980050</v>
      </c>
      <c r="S5629" t="s">
        <v>1278</v>
      </c>
      <c r="T5629" t="s">
        <v>1268</v>
      </c>
      <c r="U5629" t="s">
        <v>1269</v>
      </c>
      <c r="V5629" t="s">
        <v>1270</v>
      </c>
      <c r="W5629" t="s">
        <v>51</v>
      </c>
      <c r="X5629" t="s">
        <v>45</v>
      </c>
      <c r="Y5629" s="1">
        <v>27030</v>
      </c>
      <c r="Z5629">
        <v>2</v>
      </c>
      <c r="AA5629" t="s">
        <v>1269</v>
      </c>
      <c r="AB5629" s="40" t="s">
        <v>1800</v>
      </c>
    </row>
    <row r="5630" spans="1:28" x14ac:dyDescent="0.25">
      <c r="A5630">
        <v>99915629</v>
      </c>
      <c r="B5630" t="s">
        <v>56</v>
      </c>
      <c r="C5630" t="s">
        <v>90</v>
      </c>
      <c r="D5630" t="s">
        <v>91</v>
      </c>
      <c r="G5630" t="s">
        <v>35</v>
      </c>
      <c r="H5630">
        <v>1</v>
      </c>
      <c r="I5630" t="s">
        <v>675</v>
      </c>
      <c r="J5630" s="1">
        <v>43344</v>
      </c>
      <c r="K5630" t="s">
        <v>268</v>
      </c>
      <c r="L5630" t="s">
        <v>269</v>
      </c>
      <c r="M5630" t="s">
        <v>131</v>
      </c>
      <c r="N5630">
        <v>30</v>
      </c>
      <c r="P5630" t="s">
        <v>41</v>
      </c>
      <c r="Q5630" t="s">
        <v>95</v>
      </c>
      <c r="R5630" t="str">
        <f>"7052093"</f>
        <v>7052093</v>
      </c>
      <c r="S5630" t="s">
        <v>676</v>
      </c>
      <c r="T5630" t="s">
        <v>268</v>
      </c>
      <c r="U5630" t="s">
        <v>269</v>
      </c>
      <c r="V5630" t="s">
        <v>131</v>
      </c>
      <c r="W5630" t="s">
        <v>51</v>
      </c>
      <c r="X5630" t="s">
        <v>45</v>
      </c>
      <c r="Y5630" s="1">
        <v>26751</v>
      </c>
      <c r="Z5630">
        <v>1</v>
      </c>
      <c r="AA5630" t="s">
        <v>269</v>
      </c>
      <c r="AB5630" s="40" t="s">
        <v>1800</v>
      </c>
    </row>
    <row r="5631" spans="1:28" x14ac:dyDescent="0.25">
      <c r="A5631">
        <v>99915630</v>
      </c>
      <c r="B5631" t="s">
        <v>32</v>
      </c>
      <c r="C5631" t="s">
        <v>90</v>
      </c>
      <c r="D5631" t="s">
        <v>91</v>
      </c>
      <c r="G5631" t="s">
        <v>48</v>
      </c>
      <c r="H5631">
        <v>1</v>
      </c>
      <c r="K5631" t="s">
        <v>268</v>
      </c>
      <c r="L5631" t="s">
        <v>269</v>
      </c>
      <c r="M5631" t="s">
        <v>131</v>
      </c>
      <c r="N5631">
        <v>30</v>
      </c>
      <c r="P5631" t="s">
        <v>41</v>
      </c>
      <c r="Q5631" t="s">
        <v>95</v>
      </c>
      <c r="R5631" t="str">
        <f>"7052067"</f>
        <v>7052067</v>
      </c>
      <c r="S5631" t="s">
        <v>617</v>
      </c>
      <c r="T5631" t="s">
        <v>268</v>
      </c>
      <c r="U5631" t="s">
        <v>269</v>
      </c>
      <c r="V5631" t="s">
        <v>131</v>
      </c>
      <c r="W5631" t="s">
        <v>51</v>
      </c>
      <c r="X5631" t="s">
        <v>45</v>
      </c>
      <c r="Y5631" s="1">
        <v>26741</v>
      </c>
      <c r="Z5631">
        <v>1</v>
      </c>
      <c r="AA5631" t="s">
        <v>269</v>
      </c>
      <c r="AB5631" s="40" t="s">
        <v>1800</v>
      </c>
    </row>
    <row r="5632" spans="1:28" x14ac:dyDescent="0.25">
      <c r="A5632">
        <v>99915631</v>
      </c>
      <c r="B5632" t="s">
        <v>32</v>
      </c>
      <c r="C5632" t="s">
        <v>46</v>
      </c>
      <c r="D5632" t="s">
        <v>47</v>
      </c>
      <c r="G5632" t="s">
        <v>48</v>
      </c>
      <c r="H5632">
        <v>1</v>
      </c>
      <c r="K5632" t="s">
        <v>1268</v>
      </c>
      <c r="L5632" t="s">
        <v>1269</v>
      </c>
      <c r="M5632" t="s">
        <v>1270</v>
      </c>
      <c r="N5632">
        <v>30</v>
      </c>
      <c r="P5632" t="s">
        <v>41</v>
      </c>
      <c r="Q5632" t="s">
        <v>49</v>
      </c>
      <c r="R5632" t="str">
        <f>"1981913"</f>
        <v>1981913</v>
      </c>
      <c r="S5632" t="s">
        <v>1295</v>
      </c>
      <c r="T5632" t="s">
        <v>1268</v>
      </c>
      <c r="U5632" t="s">
        <v>1269</v>
      </c>
      <c r="V5632" t="s">
        <v>1270</v>
      </c>
      <c r="W5632" t="s">
        <v>51</v>
      </c>
      <c r="X5632" t="s">
        <v>45</v>
      </c>
      <c r="Y5632" s="1">
        <v>26665</v>
      </c>
      <c r="Z5632">
        <v>2</v>
      </c>
      <c r="AA5632" t="s">
        <v>1269</v>
      </c>
      <c r="AB5632" s="40" t="s">
        <v>1800</v>
      </c>
    </row>
    <row r="5633" spans="1:28" x14ac:dyDescent="0.25">
      <c r="A5633">
        <v>99915632</v>
      </c>
      <c r="B5633" t="s">
        <v>32</v>
      </c>
      <c r="C5633" t="s">
        <v>46</v>
      </c>
      <c r="D5633" t="s">
        <v>47</v>
      </c>
      <c r="G5633" t="s">
        <v>48</v>
      </c>
      <c r="H5633">
        <v>1</v>
      </c>
      <c r="K5633" t="s">
        <v>1268</v>
      </c>
      <c r="L5633" t="s">
        <v>1269</v>
      </c>
      <c r="M5633" t="s">
        <v>1270</v>
      </c>
      <c r="N5633">
        <v>30</v>
      </c>
      <c r="P5633" t="s">
        <v>41</v>
      </c>
      <c r="Q5633" t="s">
        <v>49</v>
      </c>
      <c r="R5633" t="str">
        <f>"1981913"</f>
        <v>1981913</v>
      </c>
      <c r="S5633" t="s">
        <v>1295</v>
      </c>
      <c r="T5633" t="s">
        <v>1268</v>
      </c>
      <c r="U5633" t="s">
        <v>1269</v>
      </c>
      <c r="V5633" t="s">
        <v>1270</v>
      </c>
      <c r="W5633" t="s">
        <v>51</v>
      </c>
      <c r="X5633" t="s">
        <v>45</v>
      </c>
      <c r="Y5633" s="1">
        <v>26665</v>
      </c>
      <c r="Z5633">
        <v>2</v>
      </c>
      <c r="AA5633" t="s">
        <v>1269</v>
      </c>
      <c r="AB5633" s="40" t="s">
        <v>1800</v>
      </c>
    </row>
    <row r="5634" spans="1:28" x14ac:dyDescent="0.25">
      <c r="A5634">
        <v>99915633</v>
      </c>
      <c r="B5634" t="s">
        <v>56</v>
      </c>
      <c r="C5634" t="s">
        <v>68</v>
      </c>
      <c r="D5634" t="s">
        <v>69</v>
      </c>
      <c r="G5634" t="s">
        <v>35</v>
      </c>
      <c r="H5634">
        <v>1</v>
      </c>
      <c r="K5634" t="s">
        <v>157</v>
      </c>
      <c r="L5634" t="s">
        <v>158</v>
      </c>
      <c r="M5634" t="s">
        <v>131</v>
      </c>
      <c r="N5634">
        <v>30</v>
      </c>
      <c r="P5634" t="s">
        <v>41</v>
      </c>
      <c r="Q5634" t="s">
        <v>49</v>
      </c>
      <c r="R5634" t="str">
        <f>"0581725"</f>
        <v>0581725</v>
      </c>
      <c r="S5634" t="s">
        <v>161</v>
      </c>
      <c r="T5634" t="s">
        <v>157</v>
      </c>
      <c r="U5634" t="s">
        <v>158</v>
      </c>
      <c r="V5634" t="s">
        <v>131</v>
      </c>
      <c r="W5634" t="s">
        <v>51</v>
      </c>
      <c r="X5634" t="s">
        <v>45</v>
      </c>
      <c r="Y5634" s="1">
        <v>26613</v>
      </c>
      <c r="Z5634">
        <v>2</v>
      </c>
      <c r="AA5634" t="s">
        <v>158</v>
      </c>
      <c r="AB5634" s="40" t="s">
        <v>1800</v>
      </c>
    </row>
    <row r="5635" spans="1:28" x14ac:dyDescent="0.25">
      <c r="A5635">
        <v>99915634</v>
      </c>
      <c r="B5635" t="s">
        <v>32</v>
      </c>
      <c r="C5635" t="s">
        <v>79</v>
      </c>
      <c r="D5635" t="s">
        <v>80</v>
      </c>
      <c r="G5635" t="s">
        <v>35</v>
      </c>
      <c r="H5635">
        <v>1</v>
      </c>
      <c r="K5635" t="s">
        <v>157</v>
      </c>
      <c r="L5635" t="s">
        <v>158</v>
      </c>
      <c r="M5635" t="s">
        <v>131</v>
      </c>
      <c r="N5635">
        <v>30</v>
      </c>
      <c r="P5635" t="s">
        <v>41</v>
      </c>
      <c r="Q5635" t="s">
        <v>49</v>
      </c>
      <c r="R5635" t="str">
        <f>"0581725"</f>
        <v>0581725</v>
      </c>
      <c r="S5635" t="s">
        <v>161</v>
      </c>
      <c r="T5635" t="s">
        <v>157</v>
      </c>
      <c r="U5635" t="s">
        <v>158</v>
      </c>
      <c r="V5635" t="s">
        <v>131</v>
      </c>
      <c r="W5635" t="s">
        <v>51</v>
      </c>
      <c r="X5635" t="s">
        <v>45</v>
      </c>
      <c r="Y5635" s="1">
        <v>26415</v>
      </c>
      <c r="Z5635">
        <v>2</v>
      </c>
      <c r="AA5635" t="s">
        <v>158</v>
      </c>
      <c r="AB5635" s="40" t="s">
        <v>1800</v>
      </c>
    </row>
    <row r="5636" spans="1:28" x14ac:dyDescent="0.25">
      <c r="A5636">
        <v>99915635</v>
      </c>
      <c r="B5636" t="s">
        <v>56</v>
      </c>
      <c r="C5636" t="s">
        <v>85</v>
      </c>
      <c r="D5636" t="s">
        <v>86</v>
      </c>
      <c r="G5636" t="s">
        <v>35</v>
      </c>
      <c r="H5636">
        <v>1</v>
      </c>
      <c r="K5636" t="s">
        <v>157</v>
      </c>
      <c r="L5636" t="s">
        <v>158</v>
      </c>
      <c r="M5636" t="s">
        <v>131</v>
      </c>
      <c r="N5636">
        <v>30</v>
      </c>
      <c r="P5636" t="s">
        <v>41</v>
      </c>
      <c r="Q5636" t="s">
        <v>42</v>
      </c>
      <c r="R5636" t="str">
        <f>"0580725"</f>
        <v>0580725</v>
      </c>
      <c r="S5636" t="s">
        <v>167</v>
      </c>
      <c r="T5636" t="s">
        <v>157</v>
      </c>
      <c r="U5636" t="s">
        <v>158</v>
      </c>
      <c r="V5636" t="s">
        <v>131</v>
      </c>
      <c r="W5636" t="s">
        <v>51</v>
      </c>
      <c r="X5636" t="s">
        <v>45</v>
      </c>
      <c r="Y5636" s="1">
        <v>26364</v>
      </c>
      <c r="Z5636">
        <v>2</v>
      </c>
      <c r="AA5636" t="s">
        <v>158</v>
      </c>
      <c r="AB5636" s="40" t="s">
        <v>1800</v>
      </c>
    </row>
    <row r="5637" spans="1:28" x14ac:dyDescent="0.25">
      <c r="A5637">
        <v>99915636</v>
      </c>
      <c r="B5637" t="s">
        <v>32</v>
      </c>
      <c r="C5637" t="s">
        <v>90</v>
      </c>
      <c r="D5637" t="s">
        <v>91</v>
      </c>
      <c r="G5637" t="s">
        <v>35</v>
      </c>
      <c r="H5637">
        <v>1</v>
      </c>
      <c r="I5637">
        <v>850110</v>
      </c>
      <c r="J5637" s="1">
        <v>43344</v>
      </c>
      <c r="K5637" t="s">
        <v>268</v>
      </c>
      <c r="L5637" t="s">
        <v>269</v>
      </c>
      <c r="M5637" t="s">
        <v>131</v>
      </c>
      <c r="N5637">
        <v>30</v>
      </c>
      <c r="O5637" s="1">
        <v>43344</v>
      </c>
      <c r="P5637" t="s">
        <v>41</v>
      </c>
      <c r="Q5637" t="s">
        <v>95</v>
      </c>
      <c r="R5637" t="str">
        <f>"7052125"</f>
        <v>7052125</v>
      </c>
      <c r="S5637" t="s">
        <v>580</v>
      </c>
      <c r="T5637" t="s">
        <v>268</v>
      </c>
      <c r="U5637" t="s">
        <v>269</v>
      </c>
      <c r="V5637" t="s">
        <v>131</v>
      </c>
      <c r="W5637" t="s">
        <v>51</v>
      </c>
      <c r="X5637" t="s">
        <v>45</v>
      </c>
      <c r="Y5637" s="1">
        <v>26349</v>
      </c>
      <c r="Z5637">
        <v>1</v>
      </c>
      <c r="AA5637" t="s">
        <v>269</v>
      </c>
      <c r="AB5637" s="40" t="s">
        <v>1800</v>
      </c>
    </row>
    <row r="5638" spans="1:28" x14ac:dyDescent="0.25">
      <c r="A5638">
        <v>99915637</v>
      </c>
      <c r="B5638" t="s">
        <v>56</v>
      </c>
      <c r="C5638" t="s">
        <v>46</v>
      </c>
      <c r="D5638" t="s">
        <v>47</v>
      </c>
      <c r="G5638" t="s">
        <v>48</v>
      </c>
      <c r="H5638">
        <v>8</v>
      </c>
      <c r="K5638" t="s">
        <v>1268</v>
      </c>
      <c r="L5638" t="s">
        <v>1269</v>
      </c>
      <c r="M5638" t="s">
        <v>1270</v>
      </c>
      <c r="N5638">
        <v>30</v>
      </c>
      <c r="P5638" t="s">
        <v>41</v>
      </c>
      <c r="Q5638" t="s">
        <v>42</v>
      </c>
      <c r="R5638" t="str">
        <f>"1980050"</f>
        <v>1980050</v>
      </c>
      <c r="S5638" t="s">
        <v>1278</v>
      </c>
      <c r="T5638" t="s">
        <v>1268</v>
      </c>
      <c r="U5638" t="s">
        <v>1269</v>
      </c>
      <c r="V5638" t="s">
        <v>1270</v>
      </c>
      <c r="W5638" t="s">
        <v>51</v>
      </c>
      <c r="X5638" t="s">
        <v>45</v>
      </c>
      <c r="Y5638" s="1">
        <v>26299</v>
      </c>
      <c r="Z5638">
        <v>2</v>
      </c>
      <c r="AA5638" t="s">
        <v>1269</v>
      </c>
      <c r="AB5638" s="40" t="s">
        <v>1800</v>
      </c>
    </row>
    <row r="5639" spans="1:28" x14ac:dyDescent="0.25">
      <c r="A5639">
        <v>99915638</v>
      </c>
      <c r="B5639" t="s">
        <v>32</v>
      </c>
      <c r="C5639" t="s">
        <v>90</v>
      </c>
      <c r="D5639" t="s">
        <v>91</v>
      </c>
      <c r="G5639" t="s">
        <v>48</v>
      </c>
      <c r="H5639">
        <v>1</v>
      </c>
      <c r="K5639" t="s">
        <v>268</v>
      </c>
      <c r="L5639" t="s">
        <v>269</v>
      </c>
      <c r="M5639" t="s">
        <v>131</v>
      </c>
      <c r="N5639">
        <v>30</v>
      </c>
      <c r="P5639" t="s">
        <v>41</v>
      </c>
      <c r="Q5639" t="s">
        <v>95</v>
      </c>
      <c r="R5639" t="str">
        <f>"7052109"</f>
        <v>7052109</v>
      </c>
      <c r="S5639" t="s">
        <v>612</v>
      </c>
      <c r="T5639" t="s">
        <v>268</v>
      </c>
      <c r="U5639" t="s">
        <v>269</v>
      </c>
      <c r="V5639" t="s">
        <v>131</v>
      </c>
      <c r="W5639" t="s">
        <v>51</v>
      </c>
      <c r="X5639" t="s">
        <v>45</v>
      </c>
      <c r="Y5639" s="1">
        <v>26016</v>
      </c>
      <c r="Z5639">
        <v>1</v>
      </c>
      <c r="AA5639" t="s">
        <v>269</v>
      </c>
      <c r="AB5639" s="40" t="s">
        <v>1800</v>
      </c>
    </row>
    <row r="5640" spans="1:28" x14ac:dyDescent="0.25">
      <c r="A5640">
        <v>99915639</v>
      </c>
      <c r="B5640" t="s">
        <v>56</v>
      </c>
      <c r="C5640" t="s">
        <v>52</v>
      </c>
      <c r="D5640" t="s">
        <v>53</v>
      </c>
      <c r="G5640" t="s">
        <v>35</v>
      </c>
      <c r="H5640">
        <v>1</v>
      </c>
      <c r="K5640" t="s">
        <v>157</v>
      </c>
      <c r="L5640" t="s">
        <v>158</v>
      </c>
      <c r="M5640" t="s">
        <v>131</v>
      </c>
      <c r="N5640">
        <v>30</v>
      </c>
      <c r="P5640" t="s">
        <v>41</v>
      </c>
      <c r="Q5640" t="s">
        <v>49</v>
      </c>
      <c r="R5640" t="str">
        <f>"0581725"</f>
        <v>0581725</v>
      </c>
      <c r="S5640" t="s">
        <v>161</v>
      </c>
      <c r="T5640" t="s">
        <v>157</v>
      </c>
      <c r="U5640" t="s">
        <v>158</v>
      </c>
      <c r="V5640" t="s">
        <v>131</v>
      </c>
      <c r="W5640" t="s">
        <v>51</v>
      </c>
      <c r="X5640" t="s">
        <v>45</v>
      </c>
      <c r="Y5640" s="1">
        <v>26004</v>
      </c>
      <c r="Z5640">
        <v>2</v>
      </c>
      <c r="AA5640" t="s">
        <v>158</v>
      </c>
      <c r="AB5640" s="40" t="s">
        <v>1800</v>
      </c>
    </row>
    <row r="5641" spans="1:28" x14ac:dyDescent="0.25">
      <c r="A5641">
        <v>99915640</v>
      </c>
      <c r="B5641" t="s">
        <v>32</v>
      </c>
      <c r="C5641" t="s">
        <v>46</v>
      </c>
      <c r="D5641" t="s">
        <v>47</v>
      </c>
      <c r="G5641" t="s">
        <v>35</v>
      </c>
      <c r="H5641">
        <v>1</v>
      </c>
      <c r="K5641" t="s">
        <v>223</v>
      </c>
      <c r="L5641" t="s">
        <v>224</v>
      </c>
      <c r="M5641" t="s">
        <v>131</v>
      </c>
      <c r="N5641">
        <v>30</v>
      </c>
      <c r="P5641" t="s">
        <v>41</v>
      </c>
      <c r="Q5641" t="s">
        <v>49</v>
      </c>
      <c r="R5641" t="str">
        <f>"0591907"</f>
        <v>0591907</v>
      </c>
      <c r="S5641" t="s">
        <v>243</v>
      </c>
      <c r="T5641" t="s">
        <v>223</v>
      </c>
      <c r="U5641" t="s">
        <v>224</v>
      </c>
      <c r="V5641" t="s">
        <v>131</v>
      </c>
      <c r="W5641" t="s">
        <v>51</v>
      </c>
      <c r="X5641" t="s">
        <v>45</v>
      </c>
      <c r="Y5641" s="1">
        <v>25892</v>
      </c>
      <c r="Z5641">
        <v>2</v>
      </c>
      <c r="AA5641" t="s">
        <v>224</v>
      </c>
      <c r="AB5641" s="40" t="s">
        <v>1800</v>
      </c>
    </row>
    <row r="5642" spans="1:28" x14ac:dyDescent="0.25">
      <c r="A5642">
        <v>99915641</v>
      </c>
      <c r="B5642" t="s">
        <v>32</v>
      </c>
      <c r="C5642" t="s">
        <v>46</v>
      </c>
      <c r="D5642" t="s">
        <v>47</v>
      </c>
      <c r="G5642" t="s">
        <v>48</v>
      </c>
      <c r="H5642">
        <v>1</v>
      </c>
      <c r="K5642" t="s">
        <v>1268</v>
      </c>
      <c r="L5642" t="s">
        <v>1269</v>
      </c>
      <c r="M5642" t="s">
        <v>1270</v>
      </c>
      <c r="N5642">
        <v>30</v>
      </c>
      <c r="P5642" t="s">
        <v>41</v>
      </c>
      <c r="Q5642" t="s">
        <v>42</v>
      </c>
      <c r="R5642" t="str">
        <f>"1980050"</f>
        <v>1980050</v>
      </c>
      <c r="S5642" t="s">
        <v>1278</v>
      </c>
      <c r="T5642" t="s">
        <v>1268</v>
      </c>
      <c r="U5642" t="s">
        <v>1269</v>
      </c>
      <c r="V5642" t="s">
        <v>1270</v>
      </c>
      <c r="W5642" t="s">
        <v>51</v>
      </c>
      <c r="X5642" t="s">
        <v>45</v>
      </c>
      <c r="Y5642" s="1">
        <v>25779</v>
      </c>
      <c r="Z5642">
        <v>2</v>
      </c>
      <c r="AA5642" t="s">
        <v>1269</v>
      </c>
      <c r="AB5642" s="40" t="s">
        <v>1800</v>
      </c>
    </row>
    <row r="5643" spans="1:28" x14ac:dyDescent="0.25">
      <c r="A5643">
        <v>99915642</v>
      </c>
      <c r="B5643" t="s">
        <v>32</v>
      </c>
      <c r="C5643" t="s">
        <v>46</v>
      </c>
      <c r="D5643" t="s">
        <v>47</v>
      </c>
      <c r="G5643" t="s">
        <v>35</v>
      </c>
      <c r="H5643">
        <v>1</v>
      </c>
      <c r="K5643" t="s">
        <v>157</v>
      </c>
      <c r="L5643" t="s">
        <v>158</v>
      </c>
      <c r="M5643" t="s">
        <v>131</v>
      </c>
      <c r="N5643">
        <v>30</v>
      </c>
      <c r="P5643" t="s">
        <v>41</v>
      </c>
      <c r="Q5643" t="s">
        <v>42</v>
      </c>
      <c r="R5643" t="str">
        <f>"0580725"</f>
        <v>0580725</v>
      </c>
      <c r="S5643" t="s">
        <v>167</v>
      </c>
      <c r="T5643" t="s">
        <v>157</v>
      </c>
      <c r="U5643" t="s">
        <v>158</v>
      </c>
      <c r="V5643" t="s">
        <v>131</v>
      </c>
      <c r="W5643" t="s">
        <v>51</v>
      </c>
      <c r="X5643" t="s">
        <v>45</v>
      </c>
      <c r="Y5643" s="1">
        <v>25747</v>
      </c>
      <c r="Z5643">
        <v>2</v>
      </c>
      <c r="AA5643" t="s">
        <v>158</v>
      </c>
      <c r="AB5643" s="40" t="s">
        <v>1800</v>
      </c>
    </row>
    <row r="5644" spans="1:28" x14ac:dyDescent="0.25">
      <c r="A5644">
        <v>99915643</v>
      </c>
      <c r="B5644" t="s">
        <v>56</v>
      </c>
      <c r="C5644" t="s">
        <v>52</v>
      </c>
      <c r="D5644" t="s">
        <v>53</v>
      </c>
      <c r="G5644" t="s">
        <v>48</v>
      </c>
      <c r="H5644">
        <v>1</v>
      </c>
      <c r="K5644" t="s">
        <v>1268</v>
      </c>
      <c r="L5644" t="s">
        <v>1269</v>
      </c>
      <c r="M5644" t="s">
        <v>1270</v>
      </c>
      <c r="N5644">
        <v>30</v>
      </c>
      <c r="P5644" t="s">
        <v>41</v>
      </c>
      <c r="Q5644" t="s">
        <v>42</v>
      </c>
      <c r="R5644" t="str">
        <f>"1980050"</f>
        <v>1980050</v>
      </c>
      <c r="S5644" t="s">
        <v>1278</v>
      </c>
      <c r="T5644" t="s">
        <v>1268</v>
      </c>
      <c r="U5644" t="s">
        <v>1269</v>
      </c>
      <c r="V5644" t="s">
        <v>1270</v>
      </c>
      <c r="W5644" t="s">
        <v>51</v>
      </c>
      <c r="X5644" t="s">
        <v>45</v>
      </c>
      <c r="Y5644" s="1">
        <v>25368</v>
      </c>
      <c r="Z5644">
        <v>2</v>
      </c>
      <c r="AA5644" t="s">
        <v>1269</v>
      </c>
      <c r="AB5644" s="40" t="s">
        <v>1800</v>
      </c>
    </row>
    <row r="5645" spans="1:28" x14ac:dyDescent="0.25">
      <c r="A5645">
        <v>99915644</v>
      </c>
      <c r="B5645" t="s">
        <v>32</v>
      </c>
      <c r="C5645" t="s">
        <v>85</v>
      </c>
      <c r="D5645" t="s">
        <v>86</v>
      </c>
      <c r="G5645" t="s">
        <v>48</v>
      </c>
      <c r="H5645">
        <v>1</v>
      </c>
      <c r="K5645" t="s">
        <v>300</v>
      </c>
      <c r="L5645" t="s">
        <v>301</v>
      </c>
      <c r="M5645" t="s">
        <v>131</v>
      </c>
      <c r="N5645">
        <v>30</v>
      </c>
      <c r="P5645" t="s">
        <v>41</v>
      </c>
      <c r="Q5645" t="s">
        <v>42</v>
      </c>
      <c r="R5645" t="str">
        <f>"0580457"</f>
        <v>0580457</v>
      </c>
      <c r="S5645" t="s">
        <v>310</v>
      </c>
      <c r="T5645" t="s">
        <v>300</v>
      </c>
      <c r="U5645" t="s">
        <v>301</v>
      </c>
      <c r="V5645" t="s">
        <v>131</v>
      </c>
      <c r="W5645" t="s">
        <v>51</v>
      </c>
      <c r="X5645" t="s">
        <v>45</v>
      </c>
      <c r="Y5645" s="1">
        <v>25079</v>
      </c>
      <c r="Z5645">
        <v>2</v>
      </c>
      <c r="AA5645" t="s">
        <v>301</v>
      </c>
      <c r="AB5645" s="40" t="s">
        <v>1800</v>
      </c>
    </row>
    <row r="5646" spans="1:28" x14ac:dyDescent="0.25">
      <c r="A5646">
        <v>99915645</v>
      </c>
      <c r="B5646" t="s">
        <v>56</v>
      </c>
      <c r="C5646" t="s">
        <v>33</v>
      </c>
      <c r="D5646" t="s">
        <v>34</v>
      </c>
      <c r="G5646" t="s">
        <v>35</v>
      </c>
      <c r="H5646">
        <v>1</v>
      </c>
      <c r="K5646" t="s">
        <v>157</v>
      </c>
      <c r="L5646" t="s">
        <v>158</v>
      </c>
      <c r="M5646" t="s">
        <v>131</v>
      </c>
      <c r="N5646">
        <v>30</v>
      </c>
      <c r="P5646" t="s">
        <v>41</v>
      </c>
      <c r="Q5646" t="s">
        <v>42</v>
      </c>
      <c r="R5646" t="str">
        <f>"0580725"</f>
        <v>0580725</v>
      </c>
      <c r="S5646" t="s">
        <v>167</v>
      </c>
      <c r="T5646" t="s">
        <v>157</v>
      </c>
      <c r="U5646" t="s">
        <v>158</v>
      </c>
      <c r="V5646" t="s">
        <v>131</v>
      </c>
      <c r="W5646" t="s">
        <v>51</v>
      </c>
      <c r="X5646" t="s">
        <v>45</v>
      </c>
      <c r="Y5646" s="1">
        <v>25057</v>
      </c>
      <c r="Z5646">
        <v>2</v>
      </c>
      <c r="AA5646" t="s">
        <v>158</v>
      </c>
      <c r="AB5646" s="40" t="s">
        <v>1800</v>
      </c>
    </row>
    <row r="5647" spans="1:28" x14ac:dyDescent="0.25">
      <c r="A5647">
        <v>99915646</v>
      </c>
      <c r="B5647" t="s">
        <v>32</v>
      </c>
      <c r="C5647" t="s">
        <v>64</v>
      </c>
      <c r="D5647" t="s">
        <v>65</v>
      </c>
      <c r="G5647" t="s">
        <v>48</v>
      </c>
      <c r="H5647">
        <v>1</v>
      </c>
      <c r="K5647" t="s">
        <v>223</v>
      </c>
      <c r="L5647" t="s">
        <v>224</v>
      </c>
      <c r="M5647" t="s">
        <v>131</v>
      </c>
      <c r="N5647">
        <v>30</v>
      </c>
      <c r="P5647" t="s">
        <v>41</v>
      </c>
      <c r="Q5647" t="s">
        <v>42</v>
      </c>
      <c r="R5647" t="str">
        <f>"0580200"</f>
        <v>0580200</v>
      </c>
      <c r="S5647" t="s">
        <v>245</v>
      </c>
      <c r="T5647" t="s">
        <v>223</v>
      </c>
      <c r="U5647" t="s">
        <v>224</v>
      </c>
      <c r="V5647" t="s">
        <v>131</v>
      </c>
      <c r="W5647" t="s">
        <v>51</v>
      </c>
      <c r="X5647" t="s">
        <v>45</v>
      </c>
      <c r="Y5647" s="1">
        <v>24771</v>
      </c>
      <c r="Z5647">
        <v>2</v>
      </c>
      <c r="AA5647" t="s">
        <v>224</v>
      </c>
      <c r="AB5647" s="40" t="s">
        <v>1800</v>
      </c>
    </row>
    <row r="5648" spans="1:28" x14ac:dyDescent="0.25">
      <c r="A5648">
        <v>99915647</v>
      </c>
      <c r="B5648" t="s">
        <v>32</v>
      </c>
      <c r="C5648" t="s">
        <v>46</v>
      </c>
      <c r="D5648" t="s">
        <v>47</v>
      </c>
      <c r="G5648" t="s">
        <v>35</v>
      </c>
      <c r="H5648">
        <v>1</v>
      </c>
      <c r="K5648" t="s">
        <v>157</v>
      </c>
      <c r="L5648" t="s">
        <v>158</v>
      </c>
      <c r="M5648" t="s">
        <v>131</v>
      </c>
      <c r="N5648">
        <v>30</v>
      </c>
      <c r="P5648" t="s">
        <v>41</v>
      </c>
      <c r="Q5648" t="s">
        <v>49</v>
      </c>
      <c r="R5648" t="str">
        <f>"0581725"</f>
        <v>0581725</v>
      </c>
      <c r="S5648" t="s">
        <v>161</v>
      </c>
      <c r="T5648" t="s">
        <v>157</v>
      </c>
      <c r="U5648" t="s">
        <v>158</v>
      </c>
      <c r="V5648" t="s">
        <v>131</v>
      </c>
      <c r="W5648" t="s">
        <v>51</v>
      </c>
      <c r="X5648" t="s">
        <v>45</v>
      </c>
      <c r="Y5648" s="1">
        <v>24399</v>
      </c>
      <c r="Z5648">
        <v>2</v>
      </c>
      <c r="AA5648" t="s">
        <v>158</v>
      </c>
      <c r="AB5648" s="40" t="s">
        <v>1800</v>
      </c>
    </row>
    <row r="5649" spans="1:28" x14ac:dyDescent="0.25">
      <c r="A5649">
        <v>99915648</v>
      </c>
      <c r="B5649" t="s">
        <v>32</v>
      </c>
      <c r="C5649" t="s">
        <v>52</v>
      </c>
      <c r="D5649" t="s">
        <v>53</v>
      </c>
      <c r="G5649" t="s">
        <v>48</v>
      </c>
      <c r="H5649">
        <v>1</v>
      </c>
      <c r="K5649" t="s">
        <v>1268</v>
      </c>
      <c r="L5649" t="s">
        <v>1269</v>
      </c>
      <c r="M5649" t="s">
        <v>1270</v>
      </c>
      <c r="N5649">
        <v>30</v>
      </c>
      <c r="P5649" t="s">
        <v>41</v>
      </c>
      <c r="Q5649" t="s">
        <v>42</v>
      </c>
      <c r="R5649" t="str">
        <f>"1980050"</f>
        <v>1980050</v>
      </c>
      <c r="S5649" t="s">
        <v>1278</v>
      </c>
      <c r="T5649" t="s">
        <v>1268</v>
      </c>
      <c r="U5649" t="s">
        <v>1269</v>
      </c>
      <c r="V5649" t="s">
        <v>1270</v>
      </c>
      <c r="W5649" t="s">
        <v>51</v>
      </c>
      <c r="X5649" t="s">
        <v>45</v>
      </c>
      <c r="Y5649" s="1">
        <v>23104</v>
      </c>
      <c r="Z5649">
        <v>2</v>
      </c>
      <c r="AA5649" t="s">
        <v>1269</v>
      </c>
      <c r="AB5649" s="40" t="s">
        <v>1800</v>
      </c>
    </row>
    <row r="5650" spans="1:28" x14ac:dyDescent="0.25">
      <c r="A5650">
        <v>99915649</v>
      </c>
      <c r="B5650" t="s">
        <v>32</v>
      </c>
      <c r="C5650" t="s">
        <v>64</v>
      </c>
      <c r="D5650" t="s">
        <v>65</v>
      </c>
      <c r="G5650" t="s">
        <v>35</v>
      </c>
      <c r="H5650">
        <v>1</v>
      </c>
      <c r="K5650" t="s">
        <v>223</v>
      </c>
      <c r="L5650" t="s">
        <v>224</v>
      </c>
      <c r="M5650" t="s">
        <v>131</v>
      </c>
      <c r="N5650">
        <v>30</v>
      </c>
      <c r="P5650" t="s">
        <v>41</v>
      </c>
      <c r="Q5650" t="s">
        <v>49</v>
      </c>
      <c r="R5650" t="str">
        <f>"0591901"</f>
        <v>0591901</v>
      </c>
      <c r="S5650" t="s">
        <v>230</v>
      </c>
      <c r="T5650" t="s">
        <v>223</v>
      </c>
      <c r="U5650" t="s">
        <v>224</v>
      </c>
      <c r="V5650" t="s">
        <v>131</v>
      </c>
      <c r="W5650" t="s">
        <v>51</v>
      </c>
      <c r="X5650" t="s">
        <v>45</v>
      </c>
      <c r="Y5650" s="1">
        <v>19312</v>
      </c>
      <c r="Z5650">
        <v>2</v>
      </c>
      <c r="AA5650" t="s">
        <v>224</v>
      </c>
      <c r="AB5650" s="40" t="s">
        <v>1800</v>
      </c>
    </row>
    <row r="5651" spans="1:28" x14ac:dyDescent="0.25">
      <c r="A5651">
        <v>99915650</v>
      </c>
      <c r="B5651" t="s">
        <v>56</v>
      </c>
      <c r="C5651" t="s">
        <v>79</v>
      </c>
      <c r="D5651" t="s">
        <v>80</v>
      </c>
      <c r="G5651" t="s">
        <v>35</v>
      </c>
      <c r="H5651">
        <v>1</v>
      </c>
      <c r="K5651" t="s">
        <v>157</v>
      </c>
      <c r="L5651" t="s">
        <v>158</v>
      </c>
      <c r="M5651" t="s">
        <v>131</v>
      </c>
      <c r="N5651">
        <v>30</v>
      </c>
      <c r="P5651" t="s">
        <v>41</v>
      </c>
      <c r="Q5651" t="s">
        <v>49</v>
      </c>
      <c r="R5651" t="str">
        <f>"0581725"</f>
        <v>0581725</v>
      </c>
      <c r="S5651" t="s">
        <v>161</v>
      </c>
      <c r="T5651" t="s">
        <v>157</v>
      </c>
      <c r="U5651" t="s">
        <v>158</v>
      </c>
      <c r="V5651" t="s">
        <v>131</v>
      </c>
      <c r="W5651" t="s">
        <v>51</v>
      </c>
      <c r="X5651" t="s">
        <v>45</v>
      </c>
      <c r="Z5651">
        <v>2</v>
      </c>
      <c r="AA5651" t="s">
        <v>158</v>
      </c>
      <c r="AB5651" s="40" t="s">
        <v>1800</v>
      </c>
    </row>
    <row r="5652" spans="1:28" x14ac:dyDescent="0.25">
      <c r="A5652">
        <v>99915651</v>
      </c>
      <c r="B5652" t="s">
        <v>32</v>
      </c>
      <c r="C5652" t="s">
        <v>46</v>
      </c>
      <c r="D5652" t="s">
        <v>47</v>
      </c>
      <c r="G5652" t="s">
        <v>35</v>
      </c>
      <c r="H5652">
        <v>1</v>
      </c>
      <c r="K5652" t="s">
        <v>157</v>
      </c>
      <c r="L5652" t="s">
        <v>158</v>
      </c>
      <c r="M5652" t="s">
        <v>131</v>
      </c>
      <c r="N5652">
        <v>30</v>
      </c>
      <c r="P5652" t="s">
        <v>41</v>
      </c>
      <c r="Q5652" t="s">
        <v>49</v>
      </c>
      <c r="R5652" t="str">
        <f>"0581725"</f>
        <v>0581725</v>
      </c>
      <c r="S5652" t="s">
        <v>161</v>
      </c>
      <c r="T5652" t="s">
        <v>157</v>
      </c>
      <c r="U5652" t="s">
        <v>158</v>
      </c>
      <c r="V5652" t="s">
        <v>131</v>
      </c>
      <c r="W5652" t="s">
        <v>51</v>
      </c>
      <c r="X5652" t="s">
        <v>45</v>
      </c>
      <c r="Z5652">
        <v>2</v>
      </c>
      <c r="AA5652" t="s">
        <v>158</v>
      </c>
      <c r="AB5652" s="40" t="s">
        <v>1800</v>
      </c>
    </row>
    <row r="5653" spans="1:28" x14ac:dyDescent="0.25">
      <c r="A5653">
        <v>99915652</v>
      </c>
      <c r="B5653" t="s">
        <v>56</v>
      </c>
      <c r="C5653" t="s">
        <v>64</v>
      </c>
      <c r="D5653" t="s">
        <v>65</v>
      </c>
      <c r="G5653" t="s">
        <v>35</v>
      </c>
      <c r="H5653">
        <v>1</v>
      </c>
      <c r="K5653" t="s">
        <v>157</v>
      </c>
      <c r="L5653" t="s">
        <v>158</v>
      </c>
      <c r="M5653" t="s">
        <v>131</v>
      </c>
      <c r="N5653">
        <v>30</v>
      </c>
      <c r="P5653" t="s">
        <v>41</v>
      </c>
      <c r="Q5653" t="s">
        <v>49</v>
      </c>
      <c r="R5653" t="str">
        <f>"0580505"</f>
        <v>0580505</v>
      </c>
      <c r="S5653" t="s">
        <v>168</v>
      </c>
      <c r="T5653" t="s">
        <v>157</v>
      </c>
      <c r="U5653" t="s">
        <v>158</v>
      </c>
      <c r="V5653" t="s">
        <v>131</v>
      </c>
      <c r="W5653" t="s">
        <v>51</v>
      </c>
      <c r="X5653" t="s">
        <v>45</v>
      </c>
      <c r="Z5653">
        <v>2</v>
      </c>
      <c r="AA5653" t="s">
        <v>158</v>
      </c>
      <c r="AB5653" s="40" t="s">
        <v>1800</v>
      </c>
    </row>
    <row r="5654" spans="1:28" x14ac:dyDescent="0.25">
      <c r="A5654">
        <v>99915653</v>
      </c>
      <c r="B5654" t="s">
        <v>32</v>
      </c>
      <c r="C5654" t="s">
        <v>68</v>
      </c>
      <c r="D5654" t="s">
        <v>69</v>
      </c>
      <c r="G5654" t="s">
        <v>35</v>
      </c>
      <c r="H5654">
        <v>1</v>
      </c>
      <c r="K5654" t="s">
        <v>157</v>
      </c>
      <c r="L5654" t="s">
        <v>158</v>
      </c>
      <c r="M5654" t="s">
        <v>131</v>
      </c>
      <c r="N5654">
        <v>30</v>
      </c>
      <c r="P5654" t="s">
        <v>41</v>
      </c>
      <c r="Q5654" t="s">
        <v>42</v>
      </c>
      <c r="R5654" t="str">
        <f>"0561005"</f>
        <v>0561005</v>
      </c>
      <c r="S5654" t="s">
        <v>174</v>
      </c>
      <c r="T5654" t="s">
        <v>157</v>
      </c>
      <c r="U5654" t="s">
        <v>158</v>
      </c>
      <c r="V5654" t="s">
        <v>131</v>
      </c>
      <c r="W5654" t="s">
        <v>51</v>
      </c>
      <c r="X5654" t="s">
        <v>45</v>
      </c>
      <c r="Z5654">
        <v>2</v>
      </c>
      <c r="AA5654" t="s">
        <v>158</v>
      </c>
      <c r="AB5654" s="40" t="s">
        <v>1800</v>
      </c>
    </row>
    <row r="5655" spans="1:28" x14ac:dyDescent="0.25">
      <c r="A5655">
        <v>99915654</v>
      </c>
      <c r="B5655" t="s">
        <v>32</v>
      </c>
      <c r="C5655" t="s">
        <v>85</v>
      </c>
      <c r="D5655" t="s">
        <v>86</v>
      </c>
      <c r="G5655" t="s">
        <v>35</v>
      </c>
      <c r="H5655">
        <v>1</v>
      </c>
      <c r="K5655" t="s">
        <v>157</v>
      </c>
      <c r="L5655" t="s">
        <v>158</v>
      </c>
      <c r="M5655" t="s">
        <v>131</v>
      </c>
      <c r="N5655">
        <v>30</v>
      </c>
      <c r="P5655" t="s">
        <v>41</v>
      </c>
      <c r="Q5655" t="s">
        <v>42</v>
      </c>
      <c r="R5655" t="str">
        <f>"0561005"</f>
        <v>0561005</v>
      </c>
      <c r="S5655" t="s">
        <v>174</v>
      </c>
      <c r="T5655" t="s">
        <v>157</v>
      </c>
      <c r="U5655" t="s">
        <v>158</v>
      </c>
      <c r="V5655" t="s">
        <v>131</v>
      </c>
      <c r="W5655" t="s">
        <v>51</v>
      </c>
      <c r="X5655" t="s">
        <v>45</v>
      </c>
      <c r="Z5655">
        <v>2</v>
      </c>
      <c r="AA5655" t="s">
        <v>158</v>
      </c>
      <c r="AB5655" s="40" t="s">
        <v>1800</v>
      </c>
    </row>
    <row r="5656" spans="1:28" x14ac:dyDescent="0.25">
      <c r="A5656">
        <v>99915655</v>
      </c>
      <c r="B5656" t="s">
        <v>32</v>
      </c>
      <c r="C5656" t="s">
        <v>64</v>
      </c>
      <c r="D5656" t="s">
        <v>65</v>
      </c>
      <c r="G5656" t="s">
        <v>35</v>
      </c>
      <c r="H5656">
        <v>1</v>
      </c>
      <c r="K5656" t="s">
        <v>157</v>
      </c>
      <c r="L5656" t="s">
        <v>158</v>
      </c>
      <c r="M5656" t="s">
        <v>131</v>
      </c>
      <c r="N5656">
        <v>30</v>
      </c>
      <c r="P5656" t="s">
        <v>41</v>
      </c>
      <c r="Q5656" t="s">
        <v>49</v>
      </c>
      <c r="R5656" t="str">
        <f>"0580505"</f>
        <v>0580505</v>
      </c>
      <c r="S5656" t="s">
        <v>168</v>
      </c>
      <c r="T5656" t="s">
        <v>157</v>
      </c>
      <c r="U5656" t="s">
        <v>158</v>
      </c>
      <c r="V5656" t="s">
        <v>131</v>
      </c>
      <c r="W5656" t="s">
        <v>51</v>
      </c>
      <c r="X5656" t="s">
        <v>45</v>
      </c>
      <c r="Z5656">
        <v>2</v>
      </c>
      <c r="AA5656" t="s">
        <v>158</v>
      </c>
      <c r="AB5656" s="40" t="s">
        <v>1800</v>
      </c>
    </row>
    <row r="5657" spans="1:28" x14ac:dyDescent="0.25">
      <c r="A5657">
        <v>99915656</v>
      </c>
      <c r="B5657" t="s">
        <v>32</v>
      </c>
      <c r="C5657" t="s">
        <v>64</v>
      </c>
      <c r="D5657" t="s">
        <v>65</v>
      </c>
      <c r="G5657" t="s">
        <v>35</v>
      </c>
      <c r="H5657">
        <v>1</v>
      </c>
      <c r="K5657" t="s">
        <v>157</v>
      </c>
      <c r="L5657" t="s">
        <v>158</v>
      </c>
      <c r="M5657" t="s">
        <v>131</v>
      </c>
      <c r="N5657">
        <v>30</v>
      </c>
      <c r="P5657" t="s">
        <v>41</v>
      </c>
      <c r="Q5657" t="s">
        <v>49</v>
      </c>
      <c r="R5657" t="str">
        <f>"0581725"</f>
        <v>0581725</v>
      </c>
      <c r="S5657" t="s">
        <v>161</v>
      </c>
      <c r="T5657" t="s">
        <v>157</v>
      </c>
      <c r="U5657" t="s">
        <v>158</v>
      </c>
      <c r="V5657" t="s">
        <v>131</v>
      </c>
      <c r="W5657" t="s">
        <v>51</v>
      </c>
      <c r="X5657" t="s">
        <v>45</v>
      </c>
      <c r="Z5657">
        <v>2</v>
      </c>
      <c r="AA5657" t="s">
        <v>158</v>
      </c>
      <c r="AB5657" s="40" t="s">
        <v>1800</v>
      </c>
    </row>
    <row r="5658" spans="1:28" x14ac:dyDescent="0.25">
      <c r="A5658">
        <v>99915657</v>
      </c>
      <c r="B5658" t="s">
        <v>32</v>
      </c>
      <c r="C5658" t="s">
        <v>64</v>
      </c>
      <c r="D5658" t="s">
        <v>65</v>
      </c>
      <c r="G5658" t="s">
        <v>35</v>
      </c>
      <c r="H5658">
        <v>1</v>
      </c>
      <c r="K5658" t="s">
        <v>157</v>
      </c>
      <c r="L5658" t="s">
        <v>158</v>
      </c>
      <c r="M5658" t="s">
        <v>131</v>
      </c>
      <c r="N5658">
        <v>30</v>
      </c>
      <c r="P5658" t="s">
        <v>41</v>
      </c>
      <c r="Q5658" t="s">
        <v>49</v>
      </c>
      <c r="R5658" t="str">
        <f>"0580505"</f>
        <v>0580505</v>
      </c>
      <c r="S5658" t="s">
        <v>168</v>
      </c>
      <c r="T5658" t="s">
        <v>157</v>
      </c>
      <c r="U5658" t="s">
        <v>158</v>
      </c>
      <c r="V5658" t="s">
        <v>131</v>
      </c>
      <c r="W5658" t="s">
        <v>51</v>
      </c>
      <c r="X5658" t="s">
        <v>45</v>
      </c>
      <c r="Z5658">
        <v>2</v>
      </c>
      <c r="AA5658" t="s">
        <v>158</v>
      </c>
      <c r="AB5658" s="40" t="s">
        <v>1800</v>
      </c>
    </row>
    <row r="5659" spans="1:28" x14ac:dyDescent="0.25">
      <c r="A5659">
        <v>99915658</v>
      </c>
      <c r="B5659" t="s">
        <v>32</v>
      </c>
      <c r="C5659" t="s">
        <v>61</v>
      </c>
      <c r="D5659" t="s">
        <v>62</v>
      </c>
      <c r="G5659" t="s">
        <v>35</v>
      </c>
      <c r="H5659">
        <v>1</v>
      </c>
      <c r="K5659" t="s">
        <v>157</v>
      </c>
      <c r="L5659" t="s">
        <v>158</v>
      </c>
      <c r="M5659" t="s">
        <v>131</v>
      </c>
      <c r="N5659">
        <v>30</v>
      </c>
      <c r="P5659" t="s">
        <v>41</v>
      </c>
      <c r="Q5659" t="s">
        <v>49</v>
      </c>
      <c r="R5659" t="str">
        <f>"0580505"</f>
        <v>0580505</v>
      </c>
      <c r="S5659" t="s">
        <v>168</v>
      </c>
      <c r="T5659" t="s">
        <v>157</v>
      </c>
      <c r="U5659" t="s">
        <v>158</v>
      </c>
      <c r="V5659" t="s">
        <v>131</v>
      </c>
      <c r="W5659" t="s">
        <v>51</v>
      </c>
      <c r="X5659" t="s">
        <v>45</v>
      </c>
      <c r="Z5659">
        <v>2</v>
      </c>
      <c r="AA5659" t="s">
        <v>158</v>
      </c>
      <c r="AB5659" s="40" t="s">
        <v>1800</v>
      </c>
    </row>
    <row r="5660" spans="1:28" x14ac:dyDescent="0.25">
      <c r="A5660">
        <v>99915659</v>
      </c>
      <c r="B5660" t="s">
        <v>56</v>
      </c>
      <c r="C5660" t="s">
        <v>64</v>
      </c>
      <c r="D5660" t="s">
        <v>65</v>
      </c>
      <c r="G5660" t="s">
        <v>35</v>
      </c>
      <c r="H5660">
        <v>1</v>
      </c>
      <c r="K5660" t="s">
        <v>157</v>
      </c>
      <c r="L5660" t="s">
        <v>158</v>
      </c>
      <c r="M5660" t="s">
        <v>131</v>
      </c>
      <c r="N5660">
        <v>30</v>
      </c>
      <c r="P5660" t="s">
        <v>41</v>
      </c>
      <c r="Q5660" t="s">
        <v>42</v>
      </c>
      <c r="R5660" t="str">
        <f>"0580725"</f>
        <v>0580725</v>
      </c>
      <c r="S5660" t="s">
        <v>167</v>
      </c>
      <c r="T5660" t="s">
        <v>157</v>
      </c>
      <c r="U5660" t="s">
        <v>158</v>
      </c>
      <c r="V5660" t="s">
        <v>131</v>
      </c>
      <c r="W5660" t="s">
        <v>51</v>
      </c>
      <c r="X5660" t="s">
        <v>45</v>
      </c>
      <c r="Z5660">
        <v>2</v>
      </c>
      <c r="AA5660" t="s">
        <v>158</v>
      </c>
      <c r="AB5660" s="40" t="s">
        <v>1800</v>
      </c>
    </row>
    <row r="5661" spans="1:28" x14ac:dyDescent="0.25">
      <c r="A5661">
        <v>99915660</v>
      </c>
      <c r="B5661" t="s">
        <v>32</v>
      </c>
      <c r="C5661" t="s">
        <v>64</v>
      </c>
      <c r="D5661" t="s">
        <v>65</v>
      </c>
      <c r="G5661" t="s">
        <v>35</v>
      </c>
      <c r="H5661">
        <v>1</v>
      </c>
      <c r="K5661" t="s">
        <v>157</v>
      </c>
      <c r="L5661" t="s">
        <v>158</v>
      </c>
      <c r="M5661" t="s">
        <v>131</v>
      </c>
      <c r="N5661">
        <v>30</v>
      </c>
      <c r="P5661" t="s">
        <v>41</v>
      </c>
      <c r="Q5661" t="s">
        <v>49</v>
      </c>
      <c r="R5661" t="str">
        <f>"0580505"</f>
        <v>0580505</v>
      </c>
      <c r="S5661" t="s">
        <v>168</v>
      </c>
      <c r="T5661" t="s">
        <v>157</v>
      </c>
      <c r="U5661" t="s">
        <v>158</v>
      </c>
      <c r="V5661" t="s">
        <v>131</v>
      </c>
      <c r="W5661" t="s">
        <v>51</v>
      </c>
      <c r="X5661" t="s">
        <v>45</v>
      </c>
      <c r="Z5661">
        <v>2</v>
      </c>
      <c r="AA5661" t="s">
        <v>158</v>
      </c>
      <c r="AB5661" s="40" t="s">
        <v>1800</v>
      </c>
    </row>
    <row r="5662" spans="1:28" x14ac:dyDescent="0.25">
      <c r="A5662">
        <v>99915661</v>
      </c>
      <c r="B5662" t="s">
        <v>32</v>
      </c>
      <c r="C5662" t="s">
        <v>64</v>
      </c>
      <c r="D5662" t="s">
        <v>65</v>
      </c>
      <c r="G5662" t="s">
        <v>35</v>
      </c>
      <c r="H5662">
        <v>1</v>
      </c>
      <c r="K5662" t="s">
        <v>157</v>
      </c>
      <c r="L5662" t="s">
        <v>158</v>
      </c>
      <c r="M5662" t="s">
        <v>131</v>
      </c>
      <c r="N5662">
        <v>30</v>
      </c>
      <c r="P5662" t="s">
        <v>41</v>
      </c>
      <c r="Q5662" t="s">
        <v>49</v>
      </c>
      <c r="R5662" t="str">
        <f>"0580505"</f>
        <v>0580505</v>
      </c>
      <c r="S5662" t="s">
        <v>168</v>
      </c>
      <c r="T5662" t="s">
        <v>157</v>
      </c>
      <c r="U5662" t="s">
        <v>158</v>
      </c>
      <c r="V5662" t="s">
        <v>131</v>
      </c>
      <c r="W5662" t="s">
        <v>51</v>
      </c>
      <c r="X5662" t="s">
        <v>45</v>
      </c>
      <c r="Z5662">
        <v>2</v>
      </c>
      <c r="AA5662" t="s">
        <v>158</v>
      </c>
      <c r="AB5662" s="40" t="s">
        <v>1800</v>
      </c>
    </row>
    <row r="5663" spans="1:28" x14ac:dyDescent="0.25">
      <c r="A5663">
        <v>99915662</v>
      </c>
      <c r="B5663" t="s">
        <v>32</v>
      </c>
      <c r="C5663" t="s">
        <v>143</v>
      </c>
      <c r="D5663" t="s">
        <v>144</v>
      </c>
      <c r="G5663" t="s">
        <v>35</v>
      </c>
      <c r="H5663">
        <v>1</v>
      </c>
      <c r="K5663" t="s">
        <v>157</v>
      </c>
      <c r="L5663" t="s">
        <v>158</v>
      </c>
      <c r="M5663" t="s">
        <v>131</v>
      </c>
      <c r="N5663">
        <v>30</v>
      </c>
      <c r="P5663" t="s">
        <v>41</v>
      </c>
      <c r="Q5663" t="s">
        <v>49</v>
      </c>
      <c r="R5663" t="str">
        <f>"0580505"</f>
        <v>0580505</v>
      </c>
      <c r="S5663" t="s">
        <v>168</v>
      </c>
      <c r="T5663" t="s">
        <v>157</v>
      </c>
      <c r="U5663" t="s">
        <v>158</v>
      </c>
      <c r="V5663" t="s">
        <v>131</v>
      </c>
      <c r="W5663" t="s">
        <v>51</v>
      </c>
      <c r="X5663" t="s">
        <v>45</v>
      </c>
      <c r="Z5663">
        <v>2</v>
      </c>
      <c r="AA5663" t="s">
        <v>158</v>
      </c>
      <c r="AB5663" s="40" t="s">
        <v>1800</v>
      </c>
    </row>
    <row r="5664" spans="1:28" x14ac:dyDescent="0.25">
      <c r="A5664">
        <v>99915663</v>
      </c>
      <c r="B5664" t="s">
        <v>32</v>
      </c>
      <c r="C5664" t="s">
        <v>139</v>
      </c>
      <c r="D5664" t="s">
        <v>140</v>
      </c>
      <c r="G5664" t="s">
        <v>48</v>
      </c>
      <c r="H5664">
        <v>1</v>
      </c>
      <c r="K5664" t="s">
        <v>223</v>
      </c>
      <c r="L5664" t="s">
        <v>224</v>
      </c>
      <c r="M5664" t="s">
        <v>131</v>
      </c>
      <c r="N5664">
        <v>30</v>
      </c>
      <c r="P5664" t="s">
        <v>41</v>
      </c>
      <c r="Q5664" t="s">
        <v>42</v>
      </c>
      <c r="R5664" t="str">
        <f>"0590910"</f>
        <v>0590910</v>
      </c>
      <c r="S5664" t="s">
        <v>227</v>
      </c>
      <c r="T5664" t="s">
        <v>223</v>
      </c>
      <c r="U5664" t="s">
        <v>224</v>
      </c>
      <c r="V5664" t="s">
        <v>131</v>
      </c>
      <c r="W5664" t="s">
        <v>51</v>
      </c>
      <c r="X5664" t="s">
        <v>45</v>
      </c>
      <c r="Z5664">
        <v>2</v>
      </c>
      <c r="AA5664" t="s">
        <v>224</v>
      </c>
      <c r="AB5664" s="40" t="s">
        <v>1800</v>
      </c>
    </row>
    <row r="5665" spans="1:28" x14ac:dyDescent="0.25">
      <c r="A5665">
        <v>99915664</v>
      </c>
      <c r="B5665" t="s">
        <v>32</v>
      </c>
      <c r="C5665" t="s">
        <v>139</v>
      </c>
      <c r="D5665" t="s">
        <v>140</v>
      </c>
      <c r="G5665" t="s">
        <v>48</v>
      </c>
      <c r="H5665">
        <v>1</v>
      </c>
      <c r="K5665" t="s">
        <v>223</v>
      </c>
      <c r="L5665" t="s">
        <v>224</v>
      </c>
      <c r="M5665" t="s">
        <v>131</v>
      </c>
      <c r="N5665">
        <v>30</v>
      </c>
      <c r="P5665" t="s">
        <v>41</v>
      </c>
      <c r="Q5665" t="s">
        <v>42</v>
      </c>
      <c r="R5665" t="str">
        <f>"0590910"</f>
        <v>0590910</v>
      </c>
      <c r="S5665" t="s">
        <v>227</v>
      </c>
      <c r="T5665" t="s">
        <v>223</v>
      </c>
      <c r="U5665" t="s">
        <v>224</v>
      </c>
      <c r="V5665" t="s">
        <v>131</v>
      </c>
      <c r="W5665" t="s">
        <v>51</v>
      </c>
      <c r="X5665" t="s">
        <v>45</v>
      </c>
      <c r="Z5665">
        <v>2</v>
      </c>
      <c r="AA5665" t="s">
        <v>224</v>
      </c>
      <c r="AB5665" s="40" t="s">
        <v>1800</v>
      </c>
    </row>
    <row r="5666" spans="1:28" x14ac:dyDescent="0.25">
      <c r="A5666">
        <v>99915665</v>
      </c>
      <c r="B5666" t="s">
        <v>32</v>
      </c>
      <c r="C5666" t="s">
        <v>64</v>
      </c>
      <c r="D5666" t="s">
        <v>65</v>
      </c>
      <c r="G5666" t="s">
        <v>48</v>
      </c>
      <c r="H5666">
        <v>1</v>
      </c>
      <c r="K5666" t="s">
        <v>1268</v>
      </c>
      <c r="L5666" t="s">
        <v>1269</v>
      </c>
      <c r="M5666" t="s">
        <v>1270</v>
      </c>
      <c r="N5666">
        <v>30</v>
      </c>
      <c r="P5666" t="s">
        <v>41</v>
      </c>
      <c r="Q5666" t="s">
        <v>42</v>
      </c>
      <c r="R5666" t="str">
        <f t="shared" ref="R5666:R5688" si="3">"1990912"</f>
        <v>1990912</v>
      </c>
      <c r="S5666" t="s">
        <v>1271</v>
      </c>
      <c r="T5666" t="s">
        <v>1268</v>
      </c>
      <c r="U5666" t="s">
        <v>1269</v>
      </c>
      <c r="V5666" t="s">
        <v>1270</v>
      </c>
      <c r="W5666" t="s">
        <v>51</v>
      </c>
      <c r="X5666" t="s">
        <v>45</v>
      </c>
      <c r="Z5666">
        <v>2</v>
      </c>
      <c r="AA5666" t="s">
        <v>1269</v>
      </c>
      <c r="AB5666" s="40" t="s">
        <v>1800</v>
      </c>
    </row>
    <row r="5667" spans="1:28" x14ac:dyDescent="0.25">
      <c r="A5667">
        <v>99915666</v>
      </c>
      <c r="B5667" t="s">
        <v>32</v>
      </c>
      <c r="C5667" t="s">
        <v>71</v>
      </c>
      <c r="D5667" t="s">
        <v>72</v>
      </c>
      <c r="G5667" t="s">
        <v>48</v>
      </c>
      <c r="H5667">
        <v>1</v>
      </c>
      <c r="K5667" t="s">
        <v>1268</v>
      </c>
      <c r="L5667" t="s">
        <v>1269</v>
      </c>
      <c r="M5667" t="s">
        <v>1270</v>
      </c>
      <c r="N5667">
        <v>30</v>
      </c>
      <c r="P5667" t="s">
        <v>41</v>
      </c>
      <c r="Q5667" t="s">
        <v>42</v>
      </c>
      <c r="R5667" t="str">
        <f t="shared" si="3"/>
        <v>1990912</v>
      </c>
      <c r="S5667" t="s">
        <v>1271</v>
      </c>
      <c r="T5667" t="s">
        <v>1268</v>
      </c>
      <c r="U5667" t="s">
        <v>1269</v>
      </c>
      <c r="V5667" t="s">
        <v>1270</v>
      </c>
      <c r="W5667" t="s">
        <v>51</v>
      </c>
      <c r="X5667" t="s">
        <v>45</v>
      </c>
      <c r="Z5667">
        <v>2</v>
      </c>
      <c r="AA5667" t="s">
        <v>1269</v>
      </c>
      <c r="AB5667" s="40" t="s">
        <v>1800</v>
      </c>
    </row>
    <row r="5668" spans="1:28" x14ac:dyDescent="0.25">
      <c r="A5668">
        <v>99915667</v>
      </c>
      <c r="B5668" t="s">
        <v>32</v>
      </c>
      <c r="C5668" t="s">
        <v>52</v>
      </c>
      <c r="D5668" t="s">
        <v>53</v>
      </c>
      <c r="G5668" t="s">
        <v>48</v>
      </c>
      <c r="H5668">
        <v>1</v>
      </c>
      <c r="K5668" t="s">
        <v>1268</v>
      </c>
      <c r="L5668" t="s">
        <v>1269</v>
      </c>
      <c r="M5668" t="s">
        <v>1270</v>
      </c>
      <c r="N5668">
        <v>30</v>
      </c>
      <c r="P5668" t="s">
        <v>41</v>
      </c>
      <c r="Q5668" t="s">
        <v>42</v>
      </c>
      <c r="R5668" t="str">
        <f t="shared" si="3"/>
        <v>1990912</v>
      </c>
      <c r="S5668" t="s">
        <v>1271</v>
      </c>
      <c r="T5668" t="s">
        <v>1268</v>
      </c>
      <c r="U5668" t="s">
        <v>1269</v>
      </c>
      <c r="V5668" t="s">
        <v>1270</v>
      </c>
      <c r="W5668" t="s">
        <v>51</v>
      </c>
      <c r="X5668" t="s">
        <v>45</v>
      </c>
      <c r="Z5668">
        <v>2</v>
      </c>
      <c r="AA5668" t="s">
        <v>1269</v>
      </c>
      <c r="AB5668" s="40" t="s">
        <v>1800</v>
      </c>
    </row>
    <row r="5669" spans="1:28" x14ac:dyDescent="0.25">
      <c r="A5669">
        <v>99915668</v>
      </c>
      <c r="B5669" t="s">
        <v>56</v>
      </c>
      <c r="C5669" t="s">
        <v>79</v>
      </c>
      <c r="D5669" t="s">
        <v>80</v>
      </c>
      <c r="G5669" t="s">
        <v>48</v>
      </c>
      <c r="H5669">
        <v>1</v>
      </c>
      <c r="K5669" t="s">
        <v>1268</v>
      </c>
      <c r="L5669" t="s">
        <v>1269</v>
      </c>
      <c r="M5669" t="s">
        <v>1270</v>
      </c>
      <c r="N5669">
        <v>30</v>
      </c>
      <c r="P5669" t="s">
        <v>41</v>
      </c>
      <c r="Q5669" t="s">
        <v>42</v>
      </c>
      <c r="R5669" t="str">
        <f t="shared" si="3"/>
        <v>1990912</v>
      </c>
      <c r="S5669" t="s">
        <v>1271</v>
      </c>
      <c r="T5669" t="s">
        <v>1268</v>
      </c>
      <c r="U5669" t="s">
        <v>1269</v>
      </c>
      <c r="V5669" t="s">
        <v>1270</v>
      </c>
      <c r="W5669" t="s">
        <v>51</v>
      </c>
      <c r="X5669" t="s">
        <v>45</v>
      </c>
      <c r="Z5669">
        <v>2</v>
      </c>
      <c r="AA5669" t="s">
        <v>1269</v>
      </c>
      <c r="AB5669" s="40" t="s">
        <v>1800</v>
      </c>
    </row>
    <row r="5670" spans="1:28" x14ac:dyDescent="0.25">
      <c r="A5670">
        <v>99915669</v>
      </c>
      <c r="B5670" t="s">
        <v>32</v>
      </c>
      <c r="C5670" t="s">
        <v>85</v>
      </c>
      <c r="D5670" t="s">
        <v>86</v>
      </c>
      <c r="G5670" t="s">
        <v>48</v>
      </c>
      <c r="H5670">
        <v>1</v>
      </c>
      <c r="K5670" t="s">
        <v>1268</v>
      </c>
      <c r="L5670" t="s">
        <v>1269</v>
      </c>
      <c r="M5670" t="s">
        <v>1270</v>
      </c>
      <c r="N5670">
        <v>30</v>
      </c>
      <c r="P5670" t="s">
        <v>41</v>
      </c>
      <c r="Q5670" t="s">
        <v>42</v>
      </c>
      <c r="R5670" t="str">
        <f t="shared" si="3"/>
        <v>1990912</v>
      </c>
      <c r="S5670" t="s">
        <v>1271</v>
      </c>
      <c r="T5670" t="s">
        <v>1268</v>
      </c>
      <c r="U5670" t="s">
        <v>1269</v>
      </c>
      <c r="V5670" t="s">
        <v>1270</v>
      </c>
      <c r="W5670" t="s">
        <v>51</v>
      </c>
      <c r="X5670" t="s">
        <v>45</v>
      </c>
      <c r="Z5670">
        <v>2</v>
      </c>
      <c r="AA5670" t="s">
        <v>1269</v>
      </c>
      <c r="AB5670" s="40" t="s">
        <v>1800</v>
      </c>
    </row>
    <row r="5671" spans="1:28" x14ac:dyDescent="0.25">
      <c r="A5671">
        <v>99915670</v>
      </c>
      <c r="B5671" t="s">
        <v>32</v>
      </c>
      <c r="C5671" t="s">
        <v>141</v>
      </c>
      <c r="D5671" t="s">
        <v>142</v>
      </c>
      <c r="G5671" t="s">
        <v>48</v>
      </c>
      <c r="H5671">
        <v>1</v>
      </c>
      <c r="K5671" t="s">
        <v>1268</v>
      </c>
      <c r="L5671" t="s">
        <v>1269</v>
      </c>
      <c r="M5671" t="s">
        <v>1270</v>
      </c>
      <c r="N5671">
        <v>30</v>
      </c>
      <c r="P5671" t="s">
        <v>41</v>
      </c>
      <c r="Q5671" t="s">
        <v>42</v>
      </c>
      <c r="R5671" t="str">
        <f t="shared" si="3"/>
        <v>1990912</v>
      </c>
      <c r="S5671" t="s">
        <v>1271</v>
      </c>
      <c r="T5671" t="s">
        <v>1268</v>
      </c>
      <c r="U5671" t="s">
        <v>1269</v>
      </c>
      <c r="V5671" t="s">
        <v>1270</v>
      </c>
      <c r="W5671" t="s">
        <v>51</v>
      </c>
      <c r="X5671" t="s">
        <v>45</v>
      </c>
      <c r="Z5671">
        <v>2</v>
      </c>
      <c r="AA5671" t="s">
        <v>1269</v>
      </c>
      <c r="AB5671" s="40" t="s">
        <v>1800</v>
      </c>
    </row>
    <row r="5672" spans="1:28" x14ac:dyDescent="0.25">
      <c r="A5672">
        <v>99915671</v>
      </c>
      <c r="B5672" t="s">
        <v>56</v>
      </c>
      <c r="C5672" t="s">
        <v>58</v>
      </c>
      <c r="D5672" t="s">
        <v>59</v>
      </c>
      <c r="G5672" t="s">
        <v>48</v>
      </c>
      <c r="H5672">
        <v>1</v>
      </c>
      <c r="K5672" t="s">
        <v>1268</v>
      </c>
      <c r="L5672" t="s">
        <v>1269</v>
      </c>
      <c r="M5672" t="s">
        <v>1270</v>
      </c>
      <c r="N5672">
        <v>30</v>
      </c>
      <c r="P5672" t="s">
        <v>41</v>
      </c>
      <c r="Q5672" t="s">
        <v>42</v>
      </c>
      <c r="R5672" t="str">
        <f t="shared" si="3"/>
        <v>1990912</v>
      </c>
      <c r="S5672" t="s">
        <v>1271</v>
      </c>
      <c r="T5672" t="s">
        <v>1268</v>
      </c>
      <c r="U5672" t="s">
        <v>1269</v>
      </c>
      <c r="V5672" t="s">
        <v>1270</v>
      </c>
      <c r="W5672" t="s">
        <v>51</v>
      </c>
      <c r="X5672" t="s">
        <v>45</v>
      </c>
      <c r="Z5672">
        <v>2</v>
      </c>
      <c r="AA5672" t="s">
        <v>1269</v>
      </c>
      <c r="AB5672" s="40" t="s">
        <v>1800</v>
      </c>
    </row>
    <row r="5673" spans="1:28" x14ac:dyDescent="0.25">
      <c r="A5673">
        <v>99915672</v>
      </c>
      <c r="B5673" t="s">
        <v>32</v>
      </c>
      <c r="C5673" t="s">
        <v>33</v>
      </c>
      <c r="D5673" t="s">
        <v>34</v>
      </c>
      <c r="G5673" t="s">
        <v>48</v>
      </c>
      <c r="H5673">
        <v>1</v>
      </c>
      <c r="K5673" t="s">
        <v>1268</v>
      </c>
      <c r="L5673" t="s">
        <v>1269</v>
      </c>
      <c r="M5673" t="s">
        <v>1270</v>
      </c>
      <c r="N5673">
        <v>30</v>
      </c>
      <c r="P5673" t="s">
        <v>41</v>
      </c>
      <c r="Q5673" t="s">
        <v>42</v>
      </c>
      <c r="R5673" t="str">
        <f t="shared" si="3"/>
        <v>1990912</v>
      </c>
      <c r="S5673" t="s">
        <v>1271</v>
      </c>
      <c r="T5673" t="s">
        <v>1268</v>
      </c>
      <c r="U5673" t="s">
        <v>1269</v>
      </c>
      <c r="V5673" t="s">
        <v>1270</v>
      </c>
      <c r="W5673" t="s">
        <v>51</v>
      </c>
      <c r="X5673" t="s">
        <v>45</v>
      </c>
      <c r="Z5673">
        <v>2</v>
      </c>
      <c r="AA5673" t="s">
        <v>1269</v>
      </c>
      <c r="AB5673" s="40" t="s">
        <v>1800</v>
      </c>
    </row>
    <row r="5674" spans="1:28" x14ac:dyDescent="0.25">
      <c r="A5674">
        <v>99915673</v>
      </c>
      <c r="B5674" t="s">
        <v>32</v>
      </c>
      <c r="C5674" t="s">
        <v>46</v>
      </c>
      <c r="D5674" t="s">
        <v>47</v>
      </c>
      <c r="G5674" t="s">
        <v>48</v>
      </c>
      <c r="H5674">
        <v>1</v>
      </c>
      <c r="K5674" t="s">
        <v>1268</v>
      </c>
      <c r="L5674" t="s">
        <v>1269</v>
      </c>
      <c r="M5674" t="s">
        <v>1270</v>
      </c>
      <c r="N5674">
        <v>30</v>
      </c>
      <c r="P5674" t="s">
        <v>41</v>
      </c>
      <c r="Q5674" t="s">
        <v>42</v>
      </c>
      <c r="R5674" t="str">
        <f t="shared" si="3"/>
        <v>1990912</v>
      </c>
      <c r="S5674" t="s">
        <v>1271</v>
      </c>
      <c r="T5674" t="s">
        <v>1268</v>
      </c>
      <c r="U5674" t="s">
        <v>1269</v>
      </c>
      <c r="V5674" t="s">
        <v>1270</v>
      </c>
      <c r="W5674" t="s">
        <v>51</v>
      </c>
      <c r="X5674" t="s">
        <v>45</v>
      </c>
      <c r="Z5674">
        <v>2</v>
      </c>
      <c r="AA5674" t="s">
        <v>1269</v>
      </c>
      <c r="AB5674" s="40" t="s">
        <v>1800</v>
      </c>
    </row>
    <row r="5675" spans="1:28" x14ac:dyDescent="0.25">
      <c r="A5675">
        <v>99915674</v>
      </c>
      <c r="B5675" t="s">
        <v>56</v>
      </c>
      <c r="C5675" t="s">
        <v>61</v>
      </c>
      <c r="D5675" t="s">
        <v>62</v>
      </c>
      <c r="G5675" t="s">
        <v>48</v>
      </c>
      <c r="H5675">
        <v>1</v>
      </c>
      <c r="K5675" t="s">
        <v>1268</v>
      </c>
      <c r="L5675" t="s">
        <v>1269</v>
      </c>
      <c r="M5675" t="s">
        <v>1270</v>
      </c>
      <c r="N5675">
        <v>30</v>
      </c>
      <c r="P5675" t="s">
        <v>41</v>
      </c>
      <c r="Q5675" t="s">
        <v>42</v>
      </c>
      <c r="R5675" t="str">
        <f t="shared" si="3"/>
        <v>1990912</v>
      </c>
      <c r="S5675" t="s">
        <v>1271</v>
      </c>
      <c r="T5675" t="s">
        <v>1268</v>
      </c>
      <c r="U5675" t="s">
        <v>1269</v>
      </c>
      <c r="V5675" t="s">
        <v>1270</v>
      </c>
      <c r="W5675" t="s">
        <v>51</v>
      </c>
      <c r="X5675" t="s">
        <v>45</v>
      </c>
      <c r="Z5675">
        <v>2</v>
      </c>
      <c r="AA5675" t="s">
        <v>1269</v>
      </c>
      <c r="AB5675" s="40" t="s">
        <v>1800</v>
      </c>
    </row>
    <row r="5676" spans="1:28" x14ac:dyDescent="0.25">
      <c r="A5676">
        <v>99915675</v>
      </c>
      <c r="B5676" t="s">
        <v>32</v>
      </c>
      <c r="C5676" t="s">
        <v>46</v>
      </c>
      <c r="D5676" t="s">
        <v>47</v>
      </c>
      <c r="G5676" t="s">
        <v>48</v>
      </c>
      <c r="H5676">
        <v>1</v>
      </c>
      <c r="K5676" t="s">
        <v>1268</v>
      </c>
      <c r="L5676" t="s">
        <v>1269</v>
      </c>
      <c r="M5676" t="s">
        <v>1270</v>
      </c>
      <c r="N5676">
        <v>30</v>
      </c>
      <c r="P5676" t="s">
        <v>41</v>
      </c>
      <c r="Q5676" t="s">
        <v>42</v>
      </c>
      <c r="R5676" t="str">
        <f t="shared" si="3"/>
        <v>1990912</v>
      </c>
      <c r="S5676" t="s">
        <v>1271</v>
      </c>
      <c r="T5676" t="s">
        <v>1268</v>
      </c>
      <c r="U5676" t="s">
        <v>1269</v>
      </c>
      <c r="V5676" t="s">
        <v>1270</v>
      </c>
      <c r="W5676" t="s">
        <v>51</v>
      </c>
      <c r="X5676" t="s">
        <v>45</v>
      </c>
      <c r="Z5676">
        <v>2</v>
      </c>
      <c r="AA5676" t="s">
        <v>1269</v>
      </c>
      <c r="AB5676" s="40" t="s">
        <v>1800</v>
      </c>
    </row>
    <row r="5677" spans="1:28" x14ac:dyDescent="0.25">
      <c r="A5677">
        <v>99915676</v>
      </c>
      <c r="B5677" t="s">
        <v>56</v>
      </c>
      <c r="C5677" t="s">
        <v>46</v>
      </c>
      <c r="D5677" t="s">
        <v>47</v>
      </c>
      <c r="G5677" t="s">
        <v>48</v>
      </c>
      <c r="H5677">
        <v>1</v>
      </c>
      <c r="K5677" t="s">
        <v>1268</v>
      </c>
      <c r="L5677" t="s">
        <v>1269</v>
      </c>
      <c r="M5677" t="s">
        <v>1270</v>
      </c>
      <c r="N5677">
        <v>30</v>
      </c>
      <c r="P5677" t="s">
        <v>41</v>
      </c>
      <c r="Q5677" t="s">
        <v>42</v>
      </c>
      <c r="R5677" t="str">
        <f t="shared" si="3"/>
        <v>1990912</v>
      </c>
      <c r="S5677" t="s">
        <v>1271</v>
      </c>
      <c r="T5677" t="s">
        <v>1268</v>
      </c>
      <c r="U5677" t="s">
        <v>1269</v>
      </c>
      <c r="V5677" t="s">
        <v>1270</v>
      </c>
      <c r="W5677" t="s">
        <v>51</v>
      </c>
      <c r="X5677" t="s">
        <v>45</v>
      </c>
      <c r="Z5677">
        <v>2</v>
      </c>
      <c r="AA5677" t="s">
        <v>1269</v>
      </c>
      <c r="AB5677" s="40" t="s">
        <v>1800</v>
      </c>
    </row>
    <row r="5678" spans="1:28" x14ac:dyDescent="0.25">
      <c r="A5678">
        <v>99915677</v>
      </c>
      <c r="B5678" t="s">
        <v>56</v>
      </c>
      <c r="C5678" t="s">
        <v>79</v>
      </c>
      <c r="D5678" t="s">
        <v>80</v>
      </c>
      <c r="G5678" t="s">
        <v>48</v>
      </c>
      <c r="H5678">
        <v>1</v>
      </c>
      <c r="K5678" t="s">
        <v>1268</v>
      </c>
      <c r="L5678" t="s">
        <v>1269</v>
      </c>
      <c r="M5678" t="s">
        <v>1270</v>
      </c>
      <c r="N5678">
        <v>30</v>
      </c>
      <c r="P5678" t="s">
        <v>41</v>
      </c>
      <c r="Q5678" t="s">
        <v>42</v>
      </c>
      <c r="R5678" t="str">
        <f t="shared" si="3"/>
        <v>1990912</v>
      </c>
      <c r="S5678" t="s">
        <v>1271</v>
      </c>
      <c r="T5678" t="s">
        <v>1268</v>
      </c>
      <c r="U5678" t="s">
        <v>1269</v>
      </c>
      <c r="V5678" t="s">
        <v>1270</v>
      </c>
      <c r="W5678" t="s">
        <v>51</v>
      </c>
      <c r="X5678" t="s">
        <v>45</v>
      </c>
      <c r="Z5678">
        <v>2</v>
      </c>
      <c r="AA5678" t="s">
        <v>1269</v>
      </c>
      <c r="AB5678" s="40" t="s">
        <v>1800</v>
      </c>
    </row>
    <row r="5679" spans="1:28" x14ac:dyDescent="0.25">
      <c r="A5679">
        <v>99915678</v>
      </c>
      <c r="B5679" t="s">
        <v>32</v>
      </c>
      <c r="C5679" t="s">
        <v>46</v>
      </c>
      <c r="D5679" t="s">
        <v>47</v>
      </c>
      <c r="G5679" t="s">
        <v>48</v>
      </c>
      <c r="H5679">
        <v>1</v>
      </c>
      <c r="K5679" t="s">
        <v>1268</v>
      </c>
      <c r="L5679" t="s">
        <v>1269</v>
      </c>
      <c r="M5679" t="s">
        <v>1270</v>
      </c>
      <c r="N5679">
        <v>30</v>
      </c>
      <c r="P5679" t="s">
        <v>41</v>
      </c>
      <c r="Q5679" t="s">
        <v>42</v>
      </c>
      <c r="R5679" t="str">
        <f t="shared" si="3"/>
        <v>1990912</v>
      </c>
      <c r="S5679" t="s">
        <v>1271</v>
      </c>
      <c r="T5679" t="s">
        <v>1268</v>
      </c>
      <c r="U5679" t="s">
        <v>1269</v>
      </c>
      <c r="V5679" t="s">
        <v>1270</v>
      </c>
      <c r="W5679" t="s">
        <v>51</v>
      </c>
      <c r="X5679" t="s">
        <v>45</v>
      </c>
      <c r="Z5679">
        <v>2</v>
      </c>
      <c r="AA5679" t="s">
        <v>1269</v>
      </c>
      <c r="AB5679" s="40" t="s">
        <v>1800</v>
      </c>
    </row>
    <row r="5680" spans="1:28" x14ac:dyDescent="0.25">
      <c r="A5680">
        <v>99915679</v>
      </c>
      <c r="B5680" t="s">
        <v>32</v>
      </c>
      <c r="C5680" t="s">
        <v>82</v>
      </c>
      <c r="D5680" t="s">
        <v>83</v>
      </c>
      <c r="G5680" t="s">
        <v>48</v>
      </c>
      <c r="H5680">
        <v>1</v>
      </c>
      <c r="K5680" t="s">
        <v>1268</v>
      </c>
      <c r="L5680" t="s">
        <v>1269</v>
      </c>
      <c r="M5680" t="s">
        <v>1270</v>
      </c>
      <c r="N5680">
        <v>30</v>
      </c>
      <c r="P5680" t="s">
        <v>41</v>
      </c>
      <c r="Q5680" t="s">
        <v>42</v>
      </c>
      <c r="R5680" t="str">
        <f t="shared" si="3"/>
        <v>1990912</v>
      </c>
      <c r="S5680" t="s">
        <v>1271</v>
      </c>
      <c r="T5680" t="s">
        <v>1268</v>
      </c>
      <c r="U5680" t="s">
        <v>1269</v>
      </c>
      <c r="V5680" t="s">
        <v>1270</v>
      </c>
      <c r="W5680" t="s">
        <v>51</v>
      </c>
      <c r="X5680" t="s">
        <v>45</v>
      </c>
      <c r="Z5680">
        <v>2</v>
      </c>
      <c r="AA5680" t="s">
        <v>1269</v>
      </c>
      <c r="AB5680" s="40" t="s">
        <v>1800</v>
      </c>
    </row>
    <row r="5681" spans="1:28" x14ac:dyDescent="0.25">
      <c r="A5681">
        <v>99915680</v>
      </c>
      <c r="B5681" t="s">
        <v>32</v>
      </c>
      <c r="C5681" t="s">
        <v>71</v>
      </c>
      <c r="D5681" t="s">
        <v>72</v>
      </c>
      <c r="G5681" t="s">
        <v>48</v>
      </c>
      <c r="H5681">
        <v>1</v>
      </c>
      <c r="K5681" t="s">
        <v>1268</v>
      </c>
      <c r="L5681" t="s">
        <v>1269</v>
      </c>
      <c r="M5681" t="s">
        <v>1270</v>
      </c>
      <c r="N5681">
        <v>30</v>
      </c>
      <c r="P5681" t="s">
        <v>41</v>
      </c>
      <c r="Q5681" t="s">
        <v>42</v>
      </c>
      <c r="R5681" t="str">
        <f t="shared" si="3"/>
        <v>1990912</v>
      </c>
      <c r="S5681" t="s">
        <v>1271</v>
      </c>
      <c r="T5681" t="s">
        <v>1268</v>
      </c>
      <c r="U5681" t="s">
        <v>1269</v>
      </c>
      <c r="V5681" t="s">
        <v>1270</v>
      </c>
      <c r="W5681" t="s">
        <v>51</v>
      </c>
      <c r="X5681" t="s">
        <v>45</v>
      </c>
      <c r="Z5681">
        <v>2</v>
      </c>
      <c r="AA5681" t="s">
        <v>1269</v>
      </c>
      <c r="AB5681" s="40" t="s">
        <v>1800</v>
      </c>
    </row>
    <row r="5682" spans="1:28" x14ac:dyDescent="0.25">
      <c r="A5682">
        <v>99915681</v>
      </c>
      <c r="B5682" t="s">
        <v>32</v>
      </c>
      <c r="C5682" t="s">
        <v>71</v>
      </c>
      <c r="D5682" t="s">
        <v>72</v>
      </c>
      <c r="G5682" t="s">
        <v>48</v>
      </c>
      <c r="H5682">
        <v>1</v>
      </c>
      <c r="K5682" t="s">
        <v>1268</v>
      </c>
      <c r="L5682" t="s">
        <v>1269</v>
      </c>
      <c r="M5682" t="s">
        <v>1270</v>
      </c>
      <c r="N5682">
        <v>30</v>
      </c>
      <c r="P5682" t="s">
        <v>41</v>
      </c>
      <c r="Q5682" t="s">
        <v>42</v>
      </c>
      <c r="R5682" t="str">
        <f t="shared" si="3"/>
        <v>1990912</v>
      </c>
      <c r="S5682" t="s">
        <v>1271</v>
      </c>
      <c r="T5682" t="s">
        <v>1268</v>
      </c>
      <c r="U5682" t="s">
        <v>1269</v>
      </c>
      <c r="V5682" t="s">
        <v>1270</v>
      </c>
      <c r="W5682" t="s">
        <v>51</v>
      </c>
      <c r="X5682" t="s">
        <v>45</v>
      </c>
      <c r="Z5682">
        <v>2</v>
      </c>
      <c r="AA5682" t="s">
        <v>1269</v>
      </c>
      <c r="AB5682" s="40" t="s">
        <v>1800</v>
      </c>
    </row>
    <row r="5683" spans="1:28" x14ac:dyDescent="0.25">
      <c r="A5683">
        <v>99915682</v>
      </c>
      <c r="B5683" t="s">
        <v>32</v>
      </c>
      <c r="C5683" t="s">
        <v>46</v>
      </c>
      <c r="D5683" t="s">
        <v>47</v>
      </c>
      <c r="G5683" t="s">
        <v>48</v>
      </c>
      <c r="H5683">
        <v>1</v>
      </c>
      <c r="K5683" t="s">
        <v>1268</v>
      </c>
      <c r="L5683" t="s">
        <v>1269</v>
      </c>
      <c r="M5683" t="s">
        <v>1270</v>
      </c>
      <c r="N5683">
        <v>30</v>
      </c>
      <c r="P5683" t="s">
        <v>41</v>
      </c>
      <c r="Q5683" t="s">
        <v>42</v>
      </c>
      <c r="R5683" t="str">
        <f t="shared" si="3"/>
        <v>1990912</v>
      </c>
      <c r="S5683" t="s">
        <v>1271</v>
      </c>
      <c r="T5683" t="s">
        <v>1268</v>
      </c>
      <c r="U5683" t="s">
        <v>1269</v>
      </c>
      <c r="V5683" t="s">
        <v>1270</v>
      </c>
      <c r="W5683" t="s">
        <v>51</v>
      </c>
      <c r="X5683" t="s">
        <v>45</v>
      </c>
      <c r="Z5683">
        <v>2</v>
      </c>
      <c r="AA5683" t="s">
        <v>1269</v>
      </c>
      <c r="AB5683" s="40" t="s">
        <v>1800</v>
      </c>
    </row>
    <row r="5684" spans="1:28" x14ac:dyDescent="0.25">
      <c r="A5684">
        <v>99915683</v>
      </c>
      <c r="B5684" t="s">
        <v>32</v>
      </c>
      <c r="C5684" t="s">
        <v>145</v>
      </c>
      <c r="D5684" t="s">
        <v>146</v>
      </c>
      <c r="G5684" t="s">
        <v>48</v>
      </c>
      <c r="H5684">
        <v>1</v>
      </c>
      <c r="K5684" t="s">
        <v>1268</v>
      </c>
      <c r="L5684" t="s">
        <v>1269</v>
      </c>
      <c r="M5684" t="s">
        <v>1270</v>
      </c>
      <c r="N5684">
        <v>30</v>
      </c>
      <c r="P5684" t="s">
        <v>41</v>
      </c>
      <c r="Q5684" t="s">
        <v>42</v>
      </c>
      <c r="R5684" t="str">
        <f t="shared" si="3"/>
        <v>1990912</v>
      </c>
      <c r="S5684" t="s">
        <v>1271</v>
      </c>
      <c r="T5684" t="s">
        <v>1268</v>
      </c>
      <c r="U5684" t="s">
        <v>1269</v>
      </c>
      <c r="V5684" t="s">
        <v>1270</v>
      </c>
      <c r="W5684" t="s">
        <v>51</v>
      </c>
      <c r="X5684" t="s">
        <v>45</v>
      </c>
      <c r="Z5684">
        <v>2</v>
      </c>
      <c r="AA5684" t="s">
        <v>1269</v>
      </c>
      <c r="AB5684" s="40" t="s">
        <v>1800</v>
      </c>
    </row>
    <row r="5685" spans="1:28" x14ac:dyDescent="0.25">
      <c r="A5685">
        <v>99915684</v>
      </c>
      <c r="B5685" t="s">
        <v>56</v>
      </c>
      <c r="C5685" t="s">
        <v>68</v>
      </c>
      <c r="D5685" t="s">
        <v>69</v>
      </c>
      <c r="G5685" t="s">
        <v>48</v>
      </c>
      <c r="H5685">
        <v>1</v>
      </c>
      <c r="K5685" t="s">
        <v>1268</v>
      </c>
      <c r="L5685" t="s">
        <v>1269</v>
      </c>
      <c r="M5685" t="s">
        <v>1270</v>
      </c>
      <c r="N5685">
        <v>30</v>
      </c>
      <c r="P5685" t="s">
        <v>41</v>
      </c>
      <c r="Q5685" t="s">
        <v>42</v>
      </c>
      <c r="R5685" t="str">
        <f t="shared" si="3"/>
        <v>1990912</v>
      </c>
      <c r="S5685" t="s">
        <v>1271</v>
      </c>
      <c r="T5685" t="s">
        <v>1268</v>
      </c>
      <c r="U5685" t="s">
        <v>1269</v>
      </c>
      <c r="V5685" t="s">
        <v>1270</v>
      </c>
      <c r="W5685" t="s">
        <v>51</v>
      </c>
      <c r="X5685" t="s">
        <v>45</v>
      </c>
      <c r="Z5685">
        <v>2</v>
      </c>
      <c r="AA5685" t="s">
        <v>1269</v>
      </c>
      <c r="AB5685" s="40" t="s">
        <v>1800</v>
      </c>
    </row>
    <row r="5686" spans="1:28" x14ac:dyDescent="0.25">
      <c r="A5686">
        <v>99915685</v>
      </c>
      <c r="B5686" t="s">
        <v>32</v>
      </c>
      <c r="C5686" t="s">
        <v>79</v>
      </c>
      <c r="D5686" t="s">
        <v>80</v>
      </c>
      <c r="G5686" t="s">
        <v>48</v>
      </c>
      <c r="H5686">
        <v>1</v>
      </c>
      <c r="K5686" t="s">
        <v>1268</v>
      </c>
      <c r="L5686" t="s">
        <v>1269</v>
      </c>
      <c r="M5686" t="s">
        <v>1270</v>
      </c>
      <c r="N5686">
        <v>30</v>
      </c>
      <c r="P5686" t="s">
        <v>41</v>
      </c>
      <c r="Q5686" t="s">
        <v>42</v>
      </c>
      <c r="R5686" t="str">
        <f t="shared" si="3"/>
        <v>1990912</v>
      </c>
      <c r="S5686" t="s">
        <v>1271</v>
      </c>
      <c r="T5686" t="s">
        <v>1268</v>
      </c>
      <c r="U5686" t="s">
        <v>1269</v>
      </c>
      <c r="V5686" t="s">
        <v>1270</v>
      </c>
      <c r="W5686" t="s">
        <v>51</v>
      </c>
      <c r="X5686" t="s">
        <v>45</v>
      </c>
      <c r="Z5686">
        <v>2</v>
      </c>
      <c r="AA5686" t="s">
        <v>1269</v>
      </c>
      <c r="AB5686" s="40" t="s">
        <v>1800</v>
      </c>
    </row>
    <row r="5687" spans="1:28" x14ac:dyDescent="0.25">
      <c r="A5687">
        <v>99915686</v>
      </c>
      <c r="B5687" t="s">
        <v>56</v>
      </c>
      <c r="C5687" t="s">
        <v>85</v>
      </c>
      <c r="D5687" t="s">
        <v>86</v>
      </c>
      <c r="G5687" t="s">
        <v>48</v>
      </c>
      <c r="H5687">
        <v>1</v>
      </c>
      <c r="K5687" t="s">
        <v>1268</v>
      </c>
      <c r="L5687" t="s">
        <v>1269</v>
      </c>
      <c r="M5687" t="s">
        <v>1270</v>
      </c>
      <c r="N5687">
        <v>30</v>
      </c>
      <c r="P5687" t="s">
        <v>41</v>
      </c>
      <c r="Q5687" t="s">
        <v>42</v>
      </c>
      <c r="R5687" t="str">
        <f t="shared" si="3"/>
        <v>1990912</v>
      </c>
      <c r="S5687" t="s">
        <v>1271</v>
      </c>
      <c r="T5687" t="s">
        <v>1268</v>
      </c>
      <c r="U5687" t="s">
        <v>1269</v>
      </c>
      <c r="V5687" t="s">
        <v>1270</v>
      </c>
      <c r="W5687" t="s">
        <v>51</v>
      </c>
      <c r="X5687" t="s">
        <v>45</v>
      </c>
      <c r="Z5687">
        <v>2</v>
      </c>
      <c r="AA5687" t="s">
        <v>1269</v>
      </c>
      <c r="AB5687" s="40" t="s">
        <v>1800</v>
      </c>
    </row>
    <row r="5688" spans="1:28" x14ac:dyDescent="0.25">
      <c r="A5688">
        <v>99915687</v>
      </c>
      <c r="B5688" t="s">
        <v>56</v>
      </c>
      <c r="C5688" t="s">
        <v>68</v>
      </c>
      <c r="D5688" t="s">
        <v>69</v>
      </c>
      <c r="G5688" t="s">
        <v>48</v>
      </c>
      <c r="H5688">
        <v>1</v>
      </c>
      <c r="K5688" t="s">
        <v>1268</v>
      </c>
      <c r="L5688" t="s">
        <v>1269</v>
      </c>
      <c r="M5688" t="s">
        <v>1270</v>
      </c>
      <c r="N5688">
        <v>236</v>
      </c>
      <c r="P5688" t="s">
        <v>41</v>
      </c>
      <c r="Q5688" t="s">
        <v>42</v>
      </c>
      <c r="R5688" t="str">
        <f t="shared" si="3"/>
        <v>1990912</v>
      </c>
      <c r="S5688" t="s">
        <v>1271</v>
      </c>
      <c r="T5688" t="s">
        <v>1268</v>
      </c>
      <c r="U5688" t="s">
        <v>1269</v>
      </c>
      <c r="V5688" t="s">
        <v>1270</v>
      </c>
      <c r="W5688" t="s">
        <v>51</v>
      </c>
      <c r="X5688" t="s">
        <v>45</v>
      </c>
      <c r="Y5688" s="1">
        <v>24695</v>
      </c>
      <c r="Z5688">
        <v>2</v>
      </c>
      <c r="AA5688" t="s">
        <v>1269</v>
      </c>
      <c r="AB5688" s="40" t="s">
        <v>1800</v>
      </c>
    </row>
  </sheetData>
  <sortState ref="A2:AG5688">
    <sortCondition ref="AB2:AB5688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"/>
  <sheetViews>
    <sheetView topLeftCell="I1" workbookViewId="0">
      <selection activeCell="U22" sqref="U22"/>
    </sheetView>
  </sheetViews>
  <sheetFormatPr defaultRowHeight="15" x14ac:dyDescent="0.25"/>
  <cols>
    <col min="1" max="1" width="2" bestFit="1" customWidth="1"/>
    <col min="2" max="2" width="17" bestFit="1" customWidth="1"/>
    <col min="3" max="3" width="7.42578125" bestFit="1" customWidth="1"/>
    <col min="13" max="13" width="12.85546875" customWidth="1"/>
    <col min="15" max="15" width="8.7109375" bestFit="1" customWidth="1"/>
    <col min="16" max="16" width="7.140625" bestFit="1" customWidth="1"/>
    <col min="20" max="20" width="7.42578125" bestFit="1" customWidth="1"/>
    <col min="23" max="23" width="12.7109375" bestFit="1" customWidth="1"/>
    <col min="24" max="25" width="12.42578125" bestFit="1" customWidth="1"/>
    <col min="26" max="26" width="7.140625" bestFit="1" customWidth="1"/>
    <col min="27" max="27" width="13.5703125" bestFit="1" customWidth="1"/>
    <col min="28" max="28" width="11.7109375" bestFit="1" customWidth="1"/>
    <col min="29" max="29" width="7.140625" bestFit="1" customWidth="1"/>
    <col min="30" max="30" width="5.7109375" bestFit="1" customWidth="1"/>
    <col min="31" max="31" width="8.28515625" bestFit="1" customWidth="1"/>
  </cols>
  <sheetData>
    <row r="1" spans="1:31" x14ac:dyDescent="0.25">
      <c r="B1" s="7" t="s">
        <v>1857</v>
      </c>
      <c r="M1" s="7" t="s">
        <v>1858</v>
      </c>
      <c r="W1" s="7" t="s">
        <v>1859</v>
      </c>
    </row>
    <row r="2" spans="1:31" ht="15.75" thickBot="1" x14ac:dyDescent="0.3"/>
    <row r="3" spans="1:31" x14ac:dyDescent="0.25">
      <c r="B3" s="7" t="s">
        <v>1801</v>
      </c>
      <c r="C3" s="38" t="s">
        <v>1752</v>
      </c>
      <c r="D3" s="38" t="s">
        <v>1760</v>
      </c>
      <c r="N3" s="197" t="s">
        <v>1747</v>
      </c>
      <c r="O3" s="198"/>
      <c r="P3" s="199"/>
      <c r="Q3" s="197" t="s">
        <v>1748</v>
      </c>
      <c r="R3" s="198"/>
      <c r="S3" s="199"/>
      <c r="X3" s="197" t="s">
        <v>1808</v>
      </c>
      <c r="Y3" s="198"/>
      <c r="Z3" s="200"/>
      <c r="AA3" s="197" t="s">
        <v>1809</v>
      </c>
      <c r="AB3" s="198"/>
      <c r="AC3" s="200"/>
    </row>
    <row r="4" spans="1:31" ht="34.5" x14ac:dyDescent="0.25">
      <c r="A4">
        <v>1</v>
      </c>
      <c r="B4" s="17" t="s">
        <v>1794</v>
      </c>
      <c r="C4" s="12">
        <v>225</v>
      </c>
      <c r="D4" s="10">
        <f>C4/$C$11</f>
        <v>3.9563917707051172E-2</v>
      </c>
      <c r="G4" s="37" t="s">
        <v>1802</v>
      </c>
      <c r="H4" s="10">
        <f>E5</f>
        <v>0.13416564093546685</v>
      </c>
      <c r="M4" s="115" t="s">
        <v>1806</v>
      </c>
      <c r="N4" s="116" t="s">
        <v>1752</v>
      </c>
      <c r="O4" s="117" t="s">
        <v>1805</v>
      </c>
      <c r="P4" s="118"/>
      <c r="Q4" s="116" t="s">
        <v>1752</v>
      </c>
      <c r="R4" s="117" t="s">
        <v>1805</v>
      </c>
      <c r="S4" s="118"/>
      <c r="T4" s="119" t="s">
        <v>1763</v>
      </c>
      <c r="W4" s="115" t="s">
        <v>1806</v>
      </c>
      <c r="X4" s="132" t="s">
        <v>1808</v>
      </c>
      <c r="Y4" s="133" t="s">
        <v>1810</v>
      </c>
      <c r="Z4" s="134" t="s">
        <v>1812</v>
      </c>
      <c r="AA4" s="132" t="s">
        <v>1809</v>
      </c>
      <c r="AB4" s="135" t="s">
        <v>1807</v>
      </c>
      <c r="AC4" s="134" t="s">
        <v>1805</v>
      </c>
      <c r="AD4" s="136" t="s">
        <v>1811</v>
      </c>
      <c r="AE4" s="134" t="s">
        <v>1813</v>
      </c>
    </row>
    <row r="5" spans="1:31" ht="15.75" thickBot="1" x14ac:dyDescent="0.3">
      <c r="A5">
        <v>2</v>
      </c>
      <c r="B5" s="17" t="s">
        <v>1795</v>
      </c>
      <c r="C5" s="12">
        <v>538</v>
      </c>
      <c r="D5" s="42">
        <f t="shared" ref="D5:D10" si="0">C5/$C$11</f>
        <v>9.4601723228415688E-2</v>
      </c>
      <c r="E5" s="42">
        <f>SUM(D4:D5)</f>
        <v>0.13416564093546685</v>
      </c>
      <c r="G5" s="96" t="s">
        <v>1803</v>
      </c>
      <c r="H5" s="10">
        <f>E7</f>
        <v>0.24599964832073151</v>
      </c>
      <c r="M5" s="120" t="s">
        <v>1757</v>
      </c>
      <c r="N5" s="101">
        <v>355</v>
      </c>
      <c r="O5" s="99"/>
      <c r="P5" s="102"/>
      <c r="Q5" s="101">
        <v>2078</v>
      </c>
      <c r="R5" s="108"/>
      <c r="S5" s="102"/>
      <c r="T5" s="121">
        <v>2433</v>
      </c>
      <c r="W5" s="120" t="s">
        <v>1757</v>
      </c>
      <c r="X5" s="141">
        <v>1836</v>
      </c>
      <c r="Y5" s="142">
        <v>217</v>
      </c>
      <c r="Z5" s="130"/>
      <c r="AA5" s="141">
        <v>326</v>
      </c>
      <c r="AB5" s="142">
        <v>54</v>
      </c>
      <c r="AC5" s="130"/>
      <c r="AD5" s="121">
        <f>SUM(X5:AB5)</f>
        <v>2433</v>
      </c>
    </row>
    <row r="6" spans="1:31" ht="15.75" thickTop="1" x14ac:dyDescent="0.25">
      <c r="A6">
        <v>3</v>
      </c>
      <c r="B6" s="17" t="s">
        <v>1796</v>
      </c>
      <c r="C6" s="12">
        <v>435</v>
      </c>
      <c r="D6" s="10">
        <f t="shared" si="0"/>
        <v>7.6490240900298934E-2</v>
      </c>
      <c r="G6" s="37" t="s">
        <v>1804</v>
      </c>
      <c r="H6" s="10">
        <f>E10</f>
        <v>0.6198347107438017</v>
      </c>
      <c r="L6">
        <v>1</v>
      </c>
      <c r="M6" s="122" t="s">
        <v>1794</v>
      </c>
      <c r="N6" s="103">
        <v>5</v>
      </c>
      <c r="O6" s="100">
        <f t="shared" ref="O6:O12" si="1">N6/$N$5</f>
        <v>1.4084507042253521E-2</v>
      </c>
      <c r="P6" s="104"/>
      <c r="Q6" s="103">
        <v>59</v>
      </c>
      <c r="R6" s="95">
        <f>Q6/$Q$5</f>
        <v>2.8392685274302214E-2</v>
      </c>
      <c r="S6" s="104"/>
      <c r="T6" s="123">
        <v>64</v>
      </c>
      <c r="V6">
        <v>1</v>
      </c>
      <c r="W6" s="122" t="s">
        <v>1794</v>
      </c>
      <c r="X6" s="143">
        <v>50</v>
      </c>
      <c r="Y6" s="144">
        <v>3</v>
      </c>
      <c r="Z6" s="138">
        <f>(X6+Y6)/($X$5+$Y$5)</f>
        <v>2.5815879201169022E-2</v>
      </c>
      <c r="AA6" s="143">
        <v>11</v>
      </c>
      <c r="AB6" s="144"/>
      <c r="AC6" s="138">
        <f>(AA6+AB6)/($AA$5+$AB$5)</f>
        <v>2.8947368421052631E-2</v>
      </c>
      <c r="AD6" s="123">
        <f>X6+Y6+AA6+AB6</f>
        <v>64</v>
      </c>
      <c r="AE6" s="10">
        <f>AD6/$AD$5</f>
        <v>2.6304973284011508E-2</v>
      </c>
    </row>
    <row r="7" spans="1:31" ht="15.75" thickBot="1" x14ac:dyDescent="0.3">
      <c r="A7">
        <v>4</v>
      </c>
      <c r="B7" s="17" t="s">
        <v>1797</v>
      </c>
      <c r="C7" s="12">
        <v>964</v>
      </c>
      <c r="D7" s="42">
        <f t="shared" si="0"/>
        <v>0.16950940742043258</v>
      </c>
      <c r="E7" s="42">
        <f>SUM(D6:D7)</f>
        <v>0.24599964832073151</v>
      </c>
      <c r="L7">
        <v>2</v>
      </c>
      <c r="M7" s="122" t="s">
        <v>1795</v>
      </c>
      <c r="N7" s="103">
        <v>26</v>
      </c>
      <c r="O7" s="100">
        <f t="shared" si="1"/>
        <v>7.3239436619718309E-2</v>
      </c>
      <c r="P7" s="104"/>
      <c r="Q7" s="103">
        <v>141</v>
      </c>
      <c r="R7" s="95">
        <f t="shared" ref="R7:R12" si="2">Q7/$Q$5</f>
        <v>6.7853705486044275E-2</v>
      </c>
      <c r="S7" s="104"/>
      <c r="T7" s="123">
        <v>167</v>
      </c>
      <c r="V7">
        <v>2</v>
      </c>
      <c r="W7" s="122" t="s">
        <v>1795</v>
      </c>
      <c r="X7" s="143">
        <v>124</v>
      </c>
      <c r="Y7" s="144">
        <v>15</v>
      </c>
      <c r="Z7" s="138">
        <f t="shared" ref="Z7:Z12" si="3">(X7+Y7)/($X$5+$Y$5)</f>
        <v>6.7705796395518755E-2</v>
      </c>
      <c r="AA7" s="143">
        <v>27</v>
      </c>
      <c r="AB7" s="144">
        <v>1</v>
      </c>
      <c r="AC7" s="138">
        <f t="shared" ref="AC7:AC12" si="4">(AA7+AB7)/($AA$5+$AB$5)</f>
        <v>7.3684210526315783E-2</v>
      </c>
      <c r="AD7" s="123">
        <f t="shared" ref="AD7:AD20" si="5">X7+Y7+AA7+AB7</f>
        <v>167</v>
      </c>
      <c r="AE7" s="10">
        <f t="shared" ref="AE7:AE12" si="6">AD7/$AD$5</f>
        <v>6.8639539662967528E-2</v>
      </c>
    </row>
    <row r="8" spans="1:31" ht="15.75" thickTop="1" x14ac:dyDescent="0.25">
      <c r="A8">
        <v>5</v>
      </c>
      <c r="B8" s="17" t="s">
        <v>1798</v>
      </c>
      <c r="C8" s="12">
        <v>685</v>
      </c>
      <c r="D8" s="95">
        <f t="shared" si="0"/>
        <v>0.12045014946368912</v>
      </c>
      <c r="E8" s="95"/>
      <c r="L8">
        <v>3</v>
      </c>
      <c r="M8" s="122" t="s">
        <v>1796</v>
      </c>
      <c r="N8" s="103">
        <v>24</v>
      </c>
      <c r="O8" s="100">
        <f t="shared" si="1"/>
        <v>6.7605633802816895E-2</v>
      </c>
      <c r="P8" s="104"/>
      <c r="Q8" s="103">
        <v>76</v>
      </c>
      <c r="R8" s="95">
        <f t="shared" si="2"/>
        <v>3.6573628488931663E-2</v>
      </c>
      <c r="S8" s="104"/>
      <c r="T8" s="123">
        <v>100</v>
      </c>
      <c r="V8">
        <v>3</v>
      </c>
      <c r="W8" s="122" t="s">
        <v>1796</v>
      </c>
      <c r="X8" s="143">
        <v>85</v>
      </c>
      <c r="Y8" s="144">
        <v>1</v>
      </c>
      <c r="Z8" s="138">
        <f t="shared" si="3"/>
        <v>4.1889917194349729E-2</v>
      </c>
      <c r="AA8" s="143">
        <v>14</v>
      </c>
      <c r="AB8" s="144"/>
      <c r="AC8" s="138">
        <f t="shared" si="4"/>
        <v>3.6842105263157891E-2</v>
      </c>
      <c r="AD8" s="123">
        <f t="shared" si="5"/>
        <v>100</v>
      </c>
      <c r="AE8" s="10">
        <f t="shared" si="6"/>
        <v>4.1101520756267981E-2</v>
      </c>
    </row>
    <row r="9" spans="1:31" x14ac:dyDescent="0.25">
      <c r="A9">
        <v>6</v>
      </c>
      <c r="B9" s="17" t="s">
        <v>1799</v>
      </c>
      <c r="C9" s="12">
        <v>2717</v>
      </c>
      <c r="D9" s="14">
        <f t="shared" si="0"/>
        <v>0.47775628626692457</v>
      </c>
      <c r="L9">
        <v>4</v>
      </c>
      <c r="M9" s="122" t="s">
        <v>1797</v>
      </c>
      <c r="N9" s="103">
        <v>32</v>
      </c>
      <c r="O9" s="100">
        <f t="shared" si="1"/>
        <v>9.014084507042254E-2</v>
      </c>
      <c r="P9" s="104"/>
      <c r="Q9" s="103">
        <v>76</v>
      </c>
      <c r="R9" s="95">
        <f t="shared" si="2"/>
        <v>3.6573628488931663E-2</v>
      </c>
      <c r="S9" s="104"/>
      <c r="T9" s="123">
        <v>108</v>
      </c>
      <c r="V9">
        <v>4</v>
      </c>
      <c r="W9" s="122" t="s">
        <v>1797</v>
      </c>
      <c r="X9" s="143">
        <v>92</v>
      </c>
      <c r="Y9" s="144">
        <v>3</v>
      </c>
      <c r="Z9" s="138">
        <f t="shared" si="3"/>
        <v>4.6273745737944474E-2</v>
      </c>
      <c r="AA9" s="143">
        <v>12</v>
      </c>
      <c r="AB9" s="144">
        <v>1</v>
      </c>
      <c r="AC9" s="138">
        <f t="shared" si="4"/>
        <v>3.4210526315789476E-2</v>
      </c>
      <c r="AD9" s="123">
        <f t="shared" si="5"/>
        <v>108</v>
      </c>
      <c r="AE9" s="10">
        <f t="shared" si="6"/>
        <v>4.4389642416769418E-2</v>
      </c>
    </row>
    <row r="10" spans="1:31" ht="15.75" thickBot="1" x14ac:dyDescent="0.3">
      <c r="A10">
        <v>7</v>
      </c>
      <c r="B10" s="17" t="s">
        <v>1800</v>
      </c>
      <c r="C10" s="12">
        <v>123</v>
      </c>
      <c r="D10" s="42">
        <f t="shared" si="0"/>
        <v>2.1628275013187974E-2</v>
      </c>
      <c r="E10" s="42">
        <f>SUM(D8:D10)</f>
        <v>0.6198347107438017</v>
      </c>
      <c r="L10">
        <v>5</v>
      </c>
      <c r="M10" s="122" t="s">
        <v>1798</v>
      </c>
      <c r="N10" s="105">
        <v>8</v>
      </c>
      <c r="O10" s="98">
        <f t="shared" si="1"/>
        <v>2.2535211267605635E-2</v>
      </c>
      <c r="P10" s="106">
        <f>SUM(O6:O10)</f>
        <v>0.26760563380281693</v>
      </c>
      <c r="Q10" s="105">
        <v>53</v>
      </c>
      <c r="R10" s="42">
        <f t="shared" si="2"/>
        <v>2.5505293551491819E-2</v>
      </c>
      <c r="S10" s="106">
        <f>SUM(R6:R10)</f>
        <v>0.19489894128970164</v>
      </c>
      <c r="T10" s="123">
        <v>61</v>
      </c>
      <c r="V10">
        <v>5</v>
      </c>
      <c r="W10" s="122" t="s">
        <v>1798</v>
      </c>
      <c r="X10" s="143">
        <v>54</v>
      </c>
      <c r="Y10" s="144">
        <v>3</v>
      </c>
      <c r="Z10" s="138">
        <f t="shared" si="3"/>
        <v>2.7764247442766683E-2</v>
      </c>
      <c r="AA10" s="143">
        <v>3</v>
      </c>
      <c r="AB10" s="144">
        <v>1</v>
      </c>
      <c r="AC10" s="138">
        <f t="shared" si="4"/>
        <v>1.0526315789473684E-2</v>
      </c>
      <c r="AD10" s="123">
        <f t="shared" si="5"/>
        <v>61</v>
      </c>
      <c r="AE10" s="10">
        <f t="shared" si="6"/>
        <v>2.5071927661323469E-2</v>
      </c>
    </row>
    <row r="11" spans="1:31" ht="15.75" thickTop="1" x14ac:dyDescent="0.25">
      <c r="B11" s="8" t="s">
        <v>1763</v>
      </c>
      <c r="C11" s="13">
        <f>SUM(C4:C10)</f>
        <v>5687</v>
      </c>
      <c r="L11">
        <v>6</v>
      </c>
      <c r="M11" s="122" t="s">
        <v>1799</v>
      </c>
      <c r="N11" s="103">
        <v>257</v>
      </c>
      <c r="O11" s="107">
        <f t="shared" si="1"/>
        <v>0.72394366197183102</v>
      </c>
      <c r="P11" s="104"/>
      <c r="Q11" s="103">
        <v>1635</v>
      </c>
      <c r="R11" s="107">
        <f t="shared" si="2"/>
        <v>0.78681424446583248</v>
      </c>
      <c r="S11" s="104"/>
      <c r="T11" s="123">
        <v>1892</v>
      </c>
      <c r="V11">
        <v>6</v>
      </c>
      <c r="W11" s="122" t="s">
        <v>1799</v>
      </c>
      <c r="X11" s="143">
        <v>1402</v>
      </c>
      <c r="Y11" s="144">
        <v>192</v>
      </c>
      <c r="Z11" s="139">
        <f t="shared" si="3"/>
        <v>0.7764247442766683</v>
      </c>
      <c r="AA11" s="143">
        <v>247</v>
      </c>
      <c r="AB11" s="144">
        <v>51</v>
      </c>
      <c r="AC11" s="139">
        <f t="shared" si="4"/>
        <v>0.78421052631578947</v>
      </c>
      <c r="AD11" s="123">
        <f t="shared" si="5"/>
        <v>1892</v>
      </c>
      <c r="AE11" s="14">
        <f t="shared" si="6"/>
        <v>0.77764077270859022</v>
      </c>
    </row>
    <row r="12" spans="1:31" ht="15.75" thickBot="1" x14ac:dyDescent="0.3">
      <c r="L12">
        <v>7</v>
      </c>
      <c r="M12" s="122" t="s">
        <v>1800</v>
      </c>
      <c r="N12" s="105">
        <v>3</v>
      </c>
      <c r="O12" s="98">
        <f t="shared" si="1"/>
        <v>8.4507042253521118E-3</v>
      </c>
      <c r="P12" s="113">
        <f>SUM(O11:O12)</f>
        <v>0.73239436619718312</v>
      </c>
      <c r="Q12" s="105">
        <v>38</v>
      </c>
      <c r="R12" s="42">
        <f t="shared" si="2"/>
        <v>1.8286814244465831E-2</v>
      </c>
      <c r="S12" s="113">
        <f>SUM(R11:R12)</f>
        <v>0.80510105871029836</v>
      </c>
      <c r="T12" s="123">
        <v>41</v>
      </c>
      <c r="V12">
        <v>7</v>
      </c>
      <c r="W12" s="122" t="s">
        <v>1800</v>
      </c>
      <c r="X12" s="143">
        <v>29</v>
      </c>
      <c r="Y12" s="144"/>
      <c r="Z12" s="138">
        <f t="shared" si="3"/>
        <v>1.412566975158305E-2</v>
      </c>
      <c r="AA12" s="143">
        <v>12</v>
      </c>
      <c r="AB12" s="144"/>
      <c r="AC12" s="138">
        <f t="shared" si="4"/>
        <v>3.1578947368421054E-2</v>
      </c>
      <c r="AD12" s="123">
        <f t="shared" si="5"/>
        <v>41</v>
      </c>
      <c r="AE12" s="10">
        <f t="shared" si="6"/>
        <v>1.6851623510069871E-2</v>
      </c>
    </row>
    <row r="13" spans="1:31" ht="15.75" thickTop="1" x14ac:dyDescent="0.25">
      <c r="M13" s="120" t="s">
        <v>1758</v>
      </c>
      <c r="N13" s="101">
        <v>1358</v>
      </c>
      <c r="O13" s="108"/>
      <c r="P13" s="102"/>
      <c r="Q13" s="101">
        <v>1896</v>
      </c>
      <c r="R13" s="108"/>
      <c r="S13" s="102"/>
      <c r="T13" s="121">
        <v>3254</v>
      </c>
      <c r="W13" s="120" t="s">
        <v>1758</v>
      </c>
      <c r="X13" s="141">
        <v>2432</v>
      </c>
      <c r="Y13" s="142">
        <v>377</v>
      </c>
      <c r="Z13" s="130"/>
      <c r="AA13" s="141">
        <v>389</v>
      </c>
      <c r="AB13" s="142">
        <v>56</v>
      </c>
      <c r="AC13" s="130"/>
      <c r="AD13" s="121">
        <f>SUM(X13:AC13)</f>
        <v>3254</v>
      </c>
      <c r="AE13" s="10"/>
    </row>
    <row r="14" spans="1:31" x14ac:dyDescent="0.25">
      <c r="L14">
        <v>1</v>
      </c>
      <c r="M14" s="122" t="s">
        <v>1794</v>
      </c>
      <c r="N14" s="103">
        <v>57</v>
      </c>
      <c r="O14" s="100">
        <f t="shared" ref="O14:O20" si="7">N14/$N$13</f>
        <v>4.1973490427098671E-2</v>
      </c>
      <c r="P14" s="104"/>
      <c r="Q14" s="103">
        <v>104</v>
      </c>
      <c r="R14" s="112">
        <f>Q14/$Q$13</f>
        <v>5.4852320675105488E-2</v>
      </c>
      <c r="S14" s="104"/>
      <c r="T14" s="123">
        <v>161</v>
      </c>
      <c r="V14">
        <v>1</v>
      </c>
      <c r="W14" s="122" t="s">
        <v>1794</v>
      </c>
      <c r="X14" s="143">
        <v>92</v>
      </c>
      <c r="Y14" s="144">
        <v>13</v>
      </c>
      <c r="Z14" s="138">
        <f>(X14+Y14)/($X$13+$Y$13)</f>
        <v>3.7379850480598074E-2</v>
      </c>
      <c r="AA14" s="143">
        <v>54</v>
      </c>
      <c r="AB14" s="144">
        <v>2</v>
      </c>
      <c r="AC14" s="138">
        <f>(AA14+AB14)/($AA$13+$AB$13)</f>
        <v>0.12584269662921349</v>
      </c>
      <c r="AD14" s="123">
        <f t="shared" si="5"/>
        <v>161</v>
      </c>
      <c r="AE14" s="10">
        <f>AD14/$AD$13</f>
        <v>4.9477566072526125E-2</v>
      </c>
    </row>
    <row r="15" spans="1:31" x14ac:dyDescent="0.25">
      <c r="L15">
        <v>2</v>
      </c>
      <c r="M15" s="122" t="s">
        <v>1795</v>
      </c>
      <c r="N15" s="103">
        <v>129</v>
      </c>
      <c r="O15" s="100">
        <f t="shared" si="7"/>
        <v>9.4992636229749627E-2</v>
      </c>
      <c r="P15" s="104"/>
      <c r="Q15" s="103">
        <v>242</v>
      </c>
      <c r="R15" s="112">
        <f t="shared" ref="R15:R20" si="8">Q15/$Q$13</f>
        <v>0.12763713080168776</v>
      </c>
      <c r="S15" s="104"/>
      <c r="T15" s="123">
        <v>371</v>
      </c>
      <c r="V15">
        <v>2</v>
      </c>
      <c r="W15" s="122" t="s">
        <v>1795</v>
      </c>
      <c r="X15" s="143">
        <v>246</v>
      </c>
      <c r="Y15" s="144">
        <v>22</v>
      </c>
      <c r="Z15" s="138">
        <f t="shared" ref="Z15:Z20" si="9">(X15+Y15)/($X$13+$Y$13)</f>
        <v>9.540761836952652E-2</v>
      </c>
      <c r="AA15" s="143">
        <v>92</v>
      </c>
      <c r="AB15" s="144">
        <v>11</v>
      </c>
      <c r="AC15" s="138">
        <f t="shared" ref="AC15:AC19" si="10">(AA15+AB15)/($AA$13+$AB$13)</f>
        <v>0.23146067415730337</v>
      </c>
      <c r="AD15" s="123">
        <f t="shared" si="5"/>
        <v>371</v>
      </c>
      <c r="AE15" s="10">
        <f t="shared" ref="AE15:AE20" si="11">AD15/$AD$13</f>
        <v>0.11401352181929933</v>
      </c>
    </row>
    <row r="16" spans="1:31" x14ac:dyDescent="0.25">
      <c r="L16">
        <v>3</v>
      </c>
      <c r="M16" s="122" t="s">
        <v>1796</v>
      </c>
      <c r="N16" s="103">
        <v>142</v>
      </c>
      <c r="O16" s="100">
        <f t="shared" si="7"/>
        <v>0.10456553755522828</v>
      </c>
      <c r="P16" s="104"/>
      <c r="Q16" s="103">
        <v>193</v>
      </c>
      <c r="R16" s="112">
        <f t="shared" si="8"/>
        <v>0.10179324894514769</v>
      </c>
      <c r="S16" s="104"/>
      <c r="T16" s="123">
        <v>335</v>
      </c>
      <c r="V16">
        <v>3</v>
      </c>
      <c r="W16" s="122" t="s">
        <v>1796</v>
      </c>
      <c r="X16" s="143">
        <v>223</v>
      </c>
      <c r="Y16" s="144">
        <v>23</v>
      </c>
      <c r="Z16" s="138">
        <f t="shared" si="9"/>
        <v>8.7575649697401212E-2</v>
      </c>
      <c r="AA16" s="143">
        <v>75</v>
      </c>
      <c r="AB16" s="144">
        <v>14</v>
      </c>
      <c r="AC16" s="138">
        <f t="shared" si="10"/>
        <v>0.2</v>
      </c>
      <c r="AD16" s="123">
        <f t="shared" si="5"/>
        <v>335</v>
      </c>
      <c r="AE16" s="10">
        <f t="shared" si="11"/>
        <v>0.10295021511985249</v>
      </c>
    </row>
    <row r="17" spans="12:31" ht="15.75" thickBot="1" x14ac:dyDescent="0.3">
      <c r="L17">
        <v>4</v>
      </c>
      <c r="M17" s="122" t="s">
        <v>1797</v>
      </c>
      <c r="N17" s="105">
        <v>360</v>
      </c>
      <c r="O17" s="98">
        <f t="shared" si="7"/>
        <v>0.26509572901325479</v>
      </c>
      <c r="P17" s="106">
        <f>SUM(O14:O17)</f>
        <v>0.50662739322533135</v>
      </c>
      <c r="Q17" s="105">
        <v>496</v>
      </c>
      <c r="R17" s="114">
        <f t="shared" si="8"/>
        <v>0.26160337552742619</v>
      </c>
      <c r="S17" s="106">
        <f>SUM(R14:R17)</f>
        <v>0.54588607594936711</v>
      </c>
      <c r="T17" s="123">
        <v>856</v>
      </c>
      <c r="V17">
        <v>4</v>
      </c>
      <c r="W17" s="122" t="s">
        <v>1797</v>
      </c>
      <c r="X17" s="143">
        <v>605</v>
      </c>
      <c r="Y17" s="144">
        <v>212</v>
      </c>
      <c r="Z17" s="138">
        <f t="shared" si="9"/>
        <v>0.29085083659665362</v>
      </c>
      <c r="AA17" s="143">
        <v>37</v>
      </c>
      <c r="AB17" s="144">
        <v>2</v>
      </c>
      <c r="AC17" s="138">
        <f t="shared" si="10"/>
        <v>8.7640449438202248E-2</v>
      </c>
      <c r="AD17" s="123">
        <f t="shared" si="5"/>
        <v>856</v>
      </c>
      <c r="AE17" s="10">
        <f t="shared" si="11"/>
        <v>0.26306084818684694</v>
      </c>
    </row>
    <row r="18" spans="12:31" ht="15.75" thickTop="1" x14ac:dyDescent="0.25">
      <c r="L18">
        <v>5</v>
      </c>
      <c r="M18" s="122" t="s">
        <v>1798</v>
      </c>
      <c r="N18" s="103">
        <v>288</v>
      </c>
      <c r="O18" s="100">
        <f t="shared" si="7"/>
        <v>0.21207658321060383</v>
      </c>
      <c r="P18" s="104"/>
      <c r="Q18" s="103">
        <v>336</v>
      </c>
      <c r="R18" s="112">
        <f t="shared" si="8"/>
        <v>0.17721518987341772</v>
      </c>
      <c r="S18" s="104"/>
      <c r="T18" s="123">
        <v>624</v>
      </c>
      <c r="V18">
        <v>5</v>
      </c>
      <c r="W18" s="122" t="s">
        <v>1798</v>
      </c>
      <c r="X18" s="143">
        <v>523</v>
      </c>
      <c r="Y18" s="144">
        <v>84</v>
      </c>
      <c r="Z18" s="138">
        <f t="shared" si="9"/>
        <v>0.21609113563545745</v>
      </c>
      <c r="AA18" s="143">
        <v>12</v>
      </c>
      <c r="AB18" s="144">
        <v>5</v>
      </c>
      <c r="AC18" s="138">
        <f t="shared" si="10"/>
        <v>3.8202247191011236E-2</v>
      </c>
      <c r="AD18" s="123">
        <f t="shared" si="5"/>
        <v>624</v>
      </c>
      <c r="AE18" s="10">
        <f t="shared" si="11"/>
        <v>0.19176398279041179</v>
      </c>
    </row>
    <row r="19" spans="12:31" x14ac:dyDescent="0.25">
      <c r="L19">
        <v>6</v>
      </c>
      <c r="M19" s="122" t="s">
        <v>1799</v>
      </c>
      <c r="N19" s="103">
        <v>346</v>
      </c>
      <c r="O19" s="100">
        <f t="shared" si="7"/>
        <v>0.25478645066273931</v>
      </c>
      <c r="P19" s="104"/>
      <c r="Q19" s="103">
        <v>479</v>
      </c>
      <c r="R19" s="112">
        <f t="shared" si="8"/>
        <v>0.25263713080168776</v>
      </c>
      <c r="S19" s="104"/>
      <c r="T19" s="123">
        <v>825</v>
      </c>
      <c r="V19">
        <v>6</v>
      </c>
      <c r="W19" s="122" t="s">
        <v>1799</v>
      </c>
      <c r="X19" s="143">
        <v>662</v>
      </c>
      <c r="Y19" s="144">
        <v>22</v>
      </c>
      <c r="Z19" s="138">
        <f t="shared" si="9"/>
        <v>0.24350302598789605</v>
      </c>
      <c r="AA19" s="143">
        <v>119</v>
      </c>
      <c r="AB19" s="144">
        <v>22</v>
      </c>
      <c r="AC19" s="138">
        <f t="shared" si="10"/>
        <v>0.31685393258426964</v>
      </c>
      <c r="AD19" s="123">
        <f t="shared" si="5"/>
        <v>825</v>
      </c>
      <c r="AE19" s="10">
        <f t="shared" si="11"/>
        <v>0.25353411186232327</v>
      </c>
    </row>
    <row r="20" spans="12:31" x14ac:dyDescent="0.25">
      <c r="L20">
        <v>7</v>
      </c>
      <c r="M20" s="124" t="s">
        <v>1800</v>
      </c>
      <c r="N20" s="125">
        <v>36</v>
      </c>
      <c r="O20" s="126">
        <f t="shared" si="7"/>
        <v>2.6509572901325478E-2</v>
      </c>
      <c r="P20" s="127">
        <f>SUM(O18:O20)</f>
        <v>0.49337260677466865</v>
      </c>
      <c r="Q20" s="125">
        <v>46</v>
      </c>
      <c r="R20" s="128">
        <f t="shared" si="8"/>
        <v>2.4261603375527425E-2</v>
      </c>
      <c r="S20" s="127">
        <f>SUM(R18:R20)</f>
        <v>0.45411392405063289</v>
      </c>
      <c r="T20" s="129">
        <v>82</v>
      </c>
      <c r="V20">
        <v>7</v>
      </c>
      <c r="W20" s="124" t="s">
        <v>1800</v>
      </c>
      <c r="X20" s="145">
        <v>81</v>
      </c>
      <c r="Y20" s="146">
        <v>1</v>
      </c>
      <c r="Z20" s="140">
        <f t="shared" si="9"/>
        <v>2.9191883232467072E-2</v>
      </c>
      <c r="AA20" s="145"/>
      <c r="AB20" s="146"/>
      <c r="AC20" s="137"/>
      <c r="AD20" s="129">
        <f t="shared" si="5"/>
        <v>82</v>
      </c>
      <c r="AE20" s="10">
        <f t="shared" si="11"/>
        <v>2.5199754148740011E-2</v>
      </c>
    </row>
    <row r="21" spans="12:31" ht="15.75" thickBot="1" x14ac:dyDescent="0.3">
      <c r="M21" s="8" t="s">
        <v>1763</v>
      </c>
      <c r="N21" s="109">
        <v>1713</v>
      </c>
      <c r="O21" s="110"/>
      <c r="P21" s="111"/>
      <c r="Q21" s="109">
        <v>3974</v>
      </c>
      <c r="R21" s="110"/>
      <c r="S21" s="111"/>
      <c r="T21" s="13">
        <v>5687</v>
      </c>
      <c r="W21" s="7" t="s">
        <v>1763</v>
      </c>
      <c r="X21" s="147">
        <v>4268</v>
      </c>
      <c r="Y21" s="148">
        <v>594</v>
      </c>
      <c r="Z21" s="131"/>
      <c r="AA21" s="147">
        <v>715</v>
      </c>
      <c r="AB21" s="148">
        <v>110</v>
      </c>
      <c r="AC21" s="131"/>
      <c r="AD21" s="13">
        <f>SUM(X21:AC21)</f>
        <v>5687</v>
      </c>
    </row>
  </sheetData>
  <sortState ref="V14:AA20">
    <sortCondition ref="V13:V19"/>
  </sortState>
  <mergeCells count="4">
    <mergeCell ref="N3:P3"/>
    <mergeCell ref="Q3:S3"/>
    <mergeCell ref="X3:Z3"/>
    <mergeCell ref="AA3:AC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4"/>
  <sheetViews>
    <sheetView topLeftCell="I1" workbookViewId="0">
      <selection activeCell="AI3" sqref="AI3:AN3"/>
    </sheetView>
  </sheetViews>
  <sheetFormatPr defaultRowHeight="15" x14ac:dyDescent="0.25"/>
  <cols>
    <col min="1" max="1" width="29.7109375" bestFit="1" customWidth="1"/>
    <col min="5" max="5" width="7.5703125" bestFit="1" customWidth="1"/>
    <col min="8" max="8" width="29.7109375" bestFit="1" customWidth="1"/>
    <col min="13" max="13" width="29.7109375" bestFit="1" customWidth="1"/>
    <col min="14" max="14" width="6.42578125" bestFit="1" customWidth="1"/>
    <col min="15" max="15" width="10.5703125" bestFit="1" customWidth="1"/>
    <col min="16" max="16" width="8.85546875" bestFit="1" customWidth="1"/>
    <col min="17" max="17" width="10.5703125" bestFit="1" customWidth="1"/>
    <col min="18" max="18" width="6.28515625" bestFit="1" customWidth="1"/>
    <col min="24" max="24" width="56" bestFit="1" customWidth="1"/>
    <col min="27" max="27" width="39.140625" bestFit="1" customWidth="1"/>
    <col min="35" max="35" width="39.140625" bestFit="1" customWidth="1"/>
    <col min="36" max="39" width="11.42578125" bestFit="1" customWidth="1"/>
    <col min="40" max="40" width="7.42578125" bestFit="1" customWidth="1"/>
  </cols>
  <sheetData>
    <row r="1" spans="1:40" ht="15.75" thickBot="1" x14ac:dyDescent="0.3">
      <c r="A1" s="7" t="s">
        <v>1860</v>
      </c>
      <c r="M1" s="7" t="s">
        <v>1861</v>
      </c>
    </row>
    <row r="2" spans="1:40" ht="15.75" customHeight="1" thickBot="1" x14ac:dyDescent="0.3">
      <c r="B2" s="184"/>
      <c r="C2" s="184"/>
      <c r="M2" s="205" t="s">
        <v>1827</v>
      </c>
      <c r="N2" s="201" t="s">
        <v>1808</v>
      </c>
      <c r="O2" s="202"/>
      <c r="P2" s="203" t="s">
        <v>1809</v>
      </c>
      <c r="Q2" s="204"/>
      <c r="R2" s="150"/>
      <c r="S2" s="162" t="s">
        <v>1832</v>
      </c>
      <c r="T2" s="162" t="s">
        <v>1833</v>
      </c>
      <c r="AJ2" s="196" t="s">
        <v>1886</v>
      </c>
      <c r="AK2" s="196"/>
      <c r="AL2" s="196"/>
      <c r="AM2" s="196"/>
      <c r="AN2" s="196"/>
    </row>
    <row r="3" spans="1:40" ht="30" x14ac:dyDescent="0.25">
      <c r="A3" s="11" t="s">
        <v>1827</v>
      </c>
      <c r="B3" s="7" t="s">
        <v>1747</v>
      </c>
      <c r="C3" s="7" t="s">
        <v>1748</v>
      </c>
      <c r="D3" s="7" t="s">
        <v>1763</v>
      </c>
      <c r="E3" s="11" t="s">
        <v>1826</v>
      </c>
      <c r="H3" s="11" t="s">
        <v>1827</v>
      </c>
      <c r="I3" s="151" t="s">
        <v>1757</v>
      </c>
      <c r="J3" s="151" t="s">
        <v>1758</v>
      </c>
      <c r="K3" s="151" t="s">
        <v>1763</v>
      </c>
      <c r="M3" s="206"/>
      <c r="N3" s="155" t="s">
        <v>1828</v>
      </c>
      <c r="O3" s="156" t="s">
        <v>1829</v>
      </c>
      <c r="P3" s="155" t="s">
        <v>1830</v>
      </c>
      <c r="Q3" s="160" t="s">
        <v>1834</v>
      </c>
      <c r="R3" s="154" t="s">
        <v>1763</v>
      </c>
      <c r="S3" s="161" t="s">
        <v>1831</v>
      </c>
      <c r="T3" s="162" t="s">
        <v>1831</v>
      </c>
      <c r="X3" t="s">
        <v>1876</v>
      </c>
      <c r="Y3">
        <v>3829</v>
      </c>
      <c r="AA3" t="s">
        <v>1774</v>
      </c>
      <c r="AB3">
        <v>2</v>
      </c>
      <c r="AC3">
        <v>3</v>
      </c>
      <c r="AD3">
        <v>4</v>
      </c>
      <c r="AE3">
        <v>5</v>
      </c>
      <c r="AF3" t="s">
        <v>1742</v>
      </c>
      <c r="AI3" t="s">
        <v>1836</v>
      </c>
      <c r="AJ3" t="s">
        <v>1887</v>
      </c>
      <c r="AK3" t="s">
        <v>1888</v>
      </c>
      <c r="AL3" t="s">
        <v>1889</v>
      </c>
      <c r="AM3" t="s">
        <v>1890</v>
      </c>
      <c r="AN3" t="s">
        <v>1763</v>
      </c>
    </row>
    <row r="4" spans="1:40" x14ac:dyDescent="0.25">
      <c r="A4" t="s">
        <v>1815</v>
      </c>
      <c r="B4" s="12">
        <v>1152</v>
      </c>
      <c r="C4" s="12">
        <v>2620</v>
      </c>
      <c r="D4" s="12">
        <v>3772</v>
      </c>
      <c r="E4" s="10">
        <f>D4/$D$17</f>
        <v>0.66326710040443115</v>
      </c>
      <c r="H4" s="4" t="s">
        <v>1815</v>
      </c>
      <c r="I4" s="12">
        <v>1459</v>
      </c>
      <c r="J4" s="12">
        <v>2313</v>
      </c>
      <c r="K4" s="12">
        <v>3772</v>
      </c>
      <c r="M4" s="4" t="s">
        <v>1815</v>
      </c>
      <c r="N4" s="103">
        <v>2868</v>
      </c>
      <c r="O4" s="157">
        <v>463</v>
      </c>
      <c r="P4" s="103">
        <v>365</v>
      </c>
      <c r="Q4" s="157">
        <v>76</v>
      </c>
      <c r="R4" s="12">
        <v>3772</v>
      </c>
      <c r="S4" s="163">
        <f t="shared" ref="S4:S16" si="0">(N4+O4)/$R4</f>
        <v>0.88308589607635202</v>
      </c>
      <c r="T4" s="163">
        <f t="shared" ref="T4:T16" si="1">(P4+Q4)/$R4</f>
        <v>0.11691410392364793</v>
      </c>
      <c r="X4" t="s">
        <v>1877</v>
      </c>
      <c r="Y4">
        <v>1542</v>
      </c>
      <c r="AA4" t="s">
        <v>47</v>
      </c>
      <c r="AB4">
        <v>650</v>
      </c>
      <c r="AC4">
        <v>15</v>
      </c>
      <c r="AF4">
        <v>1211</v>
      </c>
      <c r="AI4" t="s">
        <v>47</v>
      </c>
      <c r="AJ4">
        <v>325</v>
      </c>
      <c r="AK4">
        <v>5</v>
      </c>
      <c r="AL4">
        <v>0</v>
      </c>
      <c r="AM4">
        <v>0</v>
      </c>
      <c r="AN4">
        <v>330</v>
      </c>
    </row>
    <row r="5" spans="1:40" x14ac:dyDescent="0.25">
      <c r="A5" t="s">
        <v>1821</v>
      </c>
      <c r="B5" s="12">
        <v>245</v>
      </c>
      <c r="C5" s="12">
        <v>497</v>
      </c>
      <c r="D5" s="12">
        <v>742</v>
      </c>
      <c r="E5" s="10">
        <f t="shared" ref="E5:E11" si="2">D5/$D$17</f>
        <v>0.13047300861614208</v>
      </c>
      <c r="H5" s="4" t="s">
        <v>1821</v>
      </c>
      <c r="I5" s="12">
        <v>311</v>
      </c>
      <c r="J5" s="12">
        <v>431</v>
      </c>
      <c r="K5" s="12">
        <v>742</v>
      </c>
      <c r="M5" s="4" t="s">
        <v>1821</v>
      </c>
      <c r="N5" s="103">
        <v>550</v>
      </c>
      <c r="O5" s="157">
        <v>81</v>
      </c>
      <c r="P5" s="103">
        <v>105</v>
      </c>
      <c r="Q5" s="157">
        <v>6</v>
      </c>
      <c r="R5" s="12">
        <v>742</v>
      </c>
      <c r="S5" s="163">
        <f t="shared" si="0"/>
        <v>0.85040431266846361</v>
      </c>
      <c r="T5" s="163">
        <f t="shared" si="1"/>
        <v>0.14959568733153639</v>
      </c>
      <c r="X5" t="s">
        <v>1878</v>
      </c>
      <c r="Y5">
        <v>176</v>
      </c>
      <c r="AA5" t="s">
        <v>112</v>
      </c>
      <c r="AB5">
        <v>12</v>
      </c>
      <c r="AC5">
        <v>9</v>
      </c>
      <c r="AF5">
        <v>980</v>
      </c>
      <c r="AI5" t="s">
        <v>53</v>
      </c>
      <c r="AJ5">
        <v>177</v>
      </c>
      <c r="AK5">
        <v>28</v>
      </c>
      <c r="AL5">
        <v>3</v>
      </c>
      <c r="AM5">
        <v>0</v>
      </c>
      <c r="AN5">
        <v>208</v>
      </c>
    </row>
    <row r="6" spans="1:40" x14ac:dyDescent="0.25">
      <c r="A6" t="s">
        <v>1229</v>
      </c>
      <c r="B6" s="12">
        <v>76</v>
      </c>
      <c r="C6" s="12">
        <v>210</v>
      </c>
      <c r="D6" s="12">
        <v>286</v>
      </c>
      <c r="E6" s="10">
        <f t="shared" si="2"/>
        <v>5.0290135396518373E-2</v>
      </c>
      <c r="H6" s="4" t="s">
        <v>1229</v>
      </c>
      <c r="I6" s="12">
        <v>161</v>
      </c>
      <c r="J6" s="12">
        <v>125</v>
      </c>
      <c r="K6" s="12">
        <v>286</v>
      </c>
      <c r="M6" s="4" t="s">
        <v>1229</v>
      </c>
      <c r="N6" s="103">
        <v>197</v>
      </c>
      <c r="O6" s="157">
        <v>14</v>
      </c>
      <c r="P6" s="103">
        <v>63</v>
      </c>
      <c r="Q6" s="157">
        <v>12</v>
      </c>
      <c r="R6" s="12">
        <v>286</v>
      </c>
      <c r="S6" s="163">
        <f t="shared" si="0"/>
        <v>0.73776223776223782</v>
      </c>
      <c r="T6" s="164">
        <f t="shared" si="1"/>
        <v>0.26223776223776224</v>
      </c>
      <c r="X6" t="s">
        <v>1879</v>
      </c>
      <c r="Y6">
        <v>24</v>
      </c>
      <c r="AA6" t="s">
        <v>65</v>
      </c>
      <c r="AB6">
        <v>354</v>
      </c>
      <c r="AC6">
        <v>84</v>
      </c>
      <c r="AD6">
        <v>12</v>
      </c>
      <c r="AF6">
        <v>749</v>
      </c>
      <c r="AI6" t="s">
        <v>80</v>
      </c>
      <c r="AJ6">
        <v>171</v>
      </c>
      <c r="AK6">
        <v>0</v>
      </c>
      <c r="AL6">
        <v>0</v>
      </c>
      <c r="AM6">
        <v>0</v>
      </c>
      <c r="AN6">
        <v>171</v>
      </c>
    </row>
    <row r="7" spans="1:40" x14ac:dyDescent="0.25">
      <c r="A7" t="s">
        <v>1824</v>
      </c>
      <c r="B7" s="12">
        <v>55</v>
      </c>
      <c r="C7" s="12">
        <v>152</v>
      </c>
      <c r="D7" s="12">
        <v>207</v>
      </c>
      <c r="E7" s="10">
        <f t="shared" si="2"/>
        <v>3.6398804290487079E-2</v>
      </c>
      <c r="H7" s="4" t="s">
        <v>1824</v>
      </c>
      <c r="I7" s="12">
        <v>117</v>
      </c>
      <c r="J7" s="12">
        <v>90</v>
      </c>
      <c r="K7" s="12">
        <v>207</v>
      </c>
      <c r="M7" s="4" t="s">
        <v>1824</v>
      </c>
      <c r="N7" s="103">
        <v>164</v>
      </c>
      <c r="O7" s="157"/>
      <c r="P7" s="103">
        <v>43</v>
      </c>
      <c r="Q7" s="157"/>
      <c r="R7" s="12">
        <v>207</v>
      </c>
      <c r="S7" s="163">
        <f t="shared" si="0"/>
        <v>0.79227053140096615</v>
      </c>
      <c r="T7" s="163">
        <f t="shared" si="1"/>
        <v>0.20772946859903382</v>
      </c>
      <c r="X7" t="s">
        <v>1880</v>
      </c>
      <c r="Y7">
        <v>3</v>
      </c>
      <c r="AA7" t="s">
        <v>53</v>
      </c>
      <c r="AB7">
        <v>342</v>
      </c>
      <c r="AF7">
        <v>592</v>
      </c>
      <c r="AI7" t="s">
        <v>69</v>
      </c>
      <c r="AJ7">
        <v>138</v>
      </c>
      <c r="AK7">
        <v>29</v>
      </c>
      <c r="AL7">
        <v>3</v>
      </c>
      <c r="AM7">
        <v>1</v>
      </c>
      <c r="AN7">
        <v>171</v>
      </c>
    </row>
    <row r="8" spans="1:40" x14ac:dyDescent="0.25">
      <c r="A8" t="s">
        <v>1817</v>
      </c>
      <c r="B8" s="12">
        <v>51</v>
      </c>
      <c r="C8" s="12">
        <v>131</v>
      </c>
      <c r="D8" s="12">
        <v>182</v>
      </c>
      <c r="E8" s="10">
        <f t="shared" si="2"/>
        <v>3.2002813434148056E-2</v>
      </c>
      <c r="H8" s="4" t="s">
        <v>1817</v>
      </c>
      <c r="I8" s="12">
        <v>93</v>
      </c>
      <c r="J8" s="12">
        <v>89</v>
      </c>
      <c r="K8" s="12">
        <v>182</v>
      </c>
      <c r="M8" s="4" t="s">
        <v>1817</v>
      </c>
      <c r="N8" s="103">
        <v>117</v>
      </c>
      <c r="O8" s="157">
        <v>26</v>
      </c>
      <c r="P8" s="103">
        <v>37</v>
      </c>
      <c r="Q8" s="157">
        <v>2</v>
      </c>
      <c r="R8" s="12">
        <v>182</v>
      </c>
      <c r="S8" s="163">
        <f t="shared" si="0"/>
        <v>0.7857142857142857</v>
      </c>
      <c r="T8" s="163">
        <f t="shared" si="1"/>
        <v>0.21428571428571427</v>
      </c>
      <c r="Y8">
        <v>5574</v>
      </c>
      <c r="AA8" t="s">
        <v>80</v>
      </c>
      <c r="AB8">
        <v>276</v>
      </c>
      <c r="AC8">
        <v>87</v>
      </c>
      <c r="AD8">
        <v>12</v>
      </c>
      <c r="AE8">
        <v>5</v>
      </c>
      <c r="AF8">
        <v>584</v>
      </c>
      <c r="AI8" t="s">
        <v>62</v>
      </c>
      <c r="AJ8">
        <v>142</v>
      </c>
      <c r="AK8">
        <v>3</v>
      </c>
      <c r="AL8">
        <v>1</v>
      </c>
      <c r="AM8">
        <v>0</v>
      </c>
      <c r="AN8">
        <v>146</v>
      </c>
    </row>
    <row r="9" spans="1:40" x14ac:dyDescent="0.25">
      <c r="A9" t="s">
        <v>1822</v>
      </c>
      <c r="B9" s="12">
        <v>38</v>
      </c>
      <c r="C9" s="12">
        <v>102</v>
      </c>
      <c r="D9" s="12">
        <v>140</v>
      </c>
      <c r="E9" s="10">
        <f t="shared" si="2"/>
        <v>2.4617548795498507E-2</v>
      </c>
      <c r="H9" s="4" t="s">
        <v>1822</v>
      </c>
      <c r="I9" s="12">
        <v>101</v>
      </c>
      <c r="J9" s="12">
        <v>39</v>
      </c>
      <c r="K9" s="12">
        <v>140</v>
      </c>
      <c r="M9" s="4" t="s">
        <v>1822</v>
      </c>
      <c r="N9" s="103">
        <v>121</v>
      </c>
      <c r="O9" s="157">
        <v>2</v>
      </c>
      <c r="P9" s="103">
        <v>14</v>
      </c>
      <c r="Q9" s="157">
        <v>3</v>
      </c>
      <c r="R9" s="12">
        <v>140</v>
      </c>
      <c r="S9" s="163">
        <f t="shared" si="0"/>
        <v>0.87857142857142856</v>
      </c>
      <c r="T9" s="163">
        <f t="shared" si="1"/>
        <v>0.12142857142857143</v>
      </c>
      <c r="AA9" t="s">
        <v>140</v>
      </c>
      <c r="AB9">
        <v>182</v>
      </c>
      <c r="AC9">
        <v>90</v>
      </c>
      <c r="AD9">
        <v>16</v>
      </c>
      <c r="AF9">
        <v>433</v>
      </c>
      <c r="AI9" t="s">
        <v>140</v>
      </c>
      <c r="AJ9">
        <v>91</v>
      </c>
      <c r="AK9">
        <v>30</v>
      </c>
      <c r="AL9">
        <v>4</v>
      </c>
      <c r="AM9">
        <v>0</v>
      </c>
      <c r="AN9">
        <v>125</v>
      </c>
    </row>
    <row r="10" spans="1:40" x14ac:dyDescent="0.25">
      <c r="A10" t="s">
        <v>1819</v>
      </c>
      <c r="B10" s="12">
        <v>47</v>
      </c>
      <c r="C10" s="12">
        <v>84</v>
      </c>
      <c r="D10" s="12">
        <v>131</v>
      </c>
      <c r="E10" s="10">
        <f t="shared" si="2"/>
        <v>2.3034992087216457E-2</v>
      </c>
      <c r="H10" s="4" t="s">
        <v>1819</v>
      </c>
      <c r="I10" s="12">
        <v>63</v>
      </c>
      <c r="J10" s="12">
        <v>68</v>
      </c>
      <c r="K10" s="12">
        <v>131</v>
      </c>
      <c r="M10" s="4" t="s">
        <v>1819</v>
      </c>
      <c r="N10" s="103">
        <v>100</v>
      </c>
      <c r="O10" s="157">
        <v>4</v>
      </c>
      <c r="P10" s="103">
        <v>24</v>
      </c>
      <c r="Q10" s="157">
        <v>3</v>
      </c>
      <c r="R10" s="12">
        <v>131</v>
      </c>
      <c r="S10" s="163">
        <f t="shared" si="0"/>
        <v>0.79389312977099236</v>
      </c>
      <c r="T10" s="163">
        <f t="shared" si="1"/>
        <v>0.20610687022900764</v>
      </c>
      <c r="AA10" t="s">
        <v>69</v>
      </c>
      <c r="AB10">
        <v>284</v>
      </c>
      <c r="AC10">
        <v>9</v>
      </c>
      <c r="AD10">
        <v>4</v>
      </c>
      <c r="AF10">
        <v>424</v>
      </c>
      <c r="AI10" t="s">
        <v>86</v>
      </c>
      <c r="AJ10">
        <v>69</v>
      </c>
      <c r="AK10">
        <v>29</v>
      </c>
      <c r="AL10">
        <v>2</v>
      </c>
      <c r="AM10">
        <v>2</v>
      </c>
      <c r="AN10">
        <v>102</v>
      </c>
    </row>
    <row r="11" spans="1:40" x14ac:dyDescent="0.25">
      <c r="A11" t="s">
        <v>1823</v>
      </c>
      <c r="B11" s="12">
        <v>32</v>
      </c>
      <c r="C11" s="12">
        <v>88</v>
      </c>
      <c r="D11" s="12">
        <v>120</v>
      </c>
      <c r="E11" s="10">
        <f t="shared" si="2"/>
        <v>2.1100756110427291E-2</v>
      </c>
      <c r="H11" s="4" t="s">
        <v>1823</v>
      </c>
      <c r="I11" s="12">
        <v>52</v>
      </c>
      <c r="J11" s="12">
        <v>68</v>
      </c>
      <c r="K11" s="12">
        <v>120</v>
      </c>
      <c r="M11" s="4" t="s">
        <v>1823</v>
      </c>
      <c r="N11" s="103">
        <v>97</v>
      </c>
      <c r="O11" s="157">
        <v>4</v>
      </c>
      <c r="P11" s="103">
        <v>16</v>
      </c>
      <c r="Q11" s="157">
        <v>3</v>
      </c>
      <c r="R11" s="12">
        <v>120</v>
      </c>
      <c r="S11" s="163">
        <f t="shared" si="0"/>
        <v>0.84166666666666667</v>
      </c>
      <c r="T11" s="163">
        <f t="shared" si="1"/>
        <v>0.15833333333333333</v>
      </c>
      <c r="AA11" t="s">
        <v>62</v>
      </c>
      <c r="AB11">
        <v>138</v>
      </c>
      <c r="AC11">
        <v>87</v>
      </c>
      <c r="AD11">
        <v>8</v>
      </c>
      <c r="AE11">
        <v>10</v>
      </c>
      <c r="AF11">
        <v>323</v>
      </c>
      <c r="AI11" t="s">
        <v>72</v>
      </c>
      <c r="AJ11">
        <v>83</v>
      </c>
      <c r="AK11">
        <v>3</v>
      </c>
      <c r="AL11">
        <v>0</v>
      </c>
      <c r="AM11">
        <v>0</v>
      </c>
      <c r="AN11">
        <v>86</v>
      </c>
    </row>
    <row r="12" spans="1:40" x14ac:dyDescent="0.25">
      <c r="A12" t="s">
        <v>1814</v>
      </c>
      <c r="B12" s="12">
        <v>11</v>
      </c>
      <c r="C12" s="12">
        <v>33</v>
      </c>
      <c r="D12" s="12">
        <v>44</v>
      </c>
      <c r="E12" s="10"/>
      <c r="H12" s="4" t="s">
        <v>1814</v>
      </c>
      <c r="I12" s="12">
        <v>25</v>
      </c>
      <c r="J12" s="12">
        <v>19</v>
      </c>
      <c r="K12" s="12">
        <v>44</v>
      </c>
      <c r="M12" s="4" t="s">
        <v>1814</v>
      </c>
      <c r="N12" s="103">
        <v>17</v>
      </c>
      <c r="O12" s="157"/>
      <c r="P12" s="103">
        <v>22</v>
      </c>
      <c r="Q12" s="157">
        <v>5</v>
      </c>
      <c r="R12" s="12">
        <v>44</v>
      </c>
      <c r="S12" s="163">
        <f t="shared" si="0"/>
        <v>0.38636363636363635</v>
      </c>
      <c r="T12" s="164">
        <f t="shared" si="1"/>
        <v>0.61363636363636365</v>
      </c>
      <c r="AA12" t="s">
        <v>72</v>
      </c>
      <c r="AB12">
        <v>98</v>
      </c>
      <c r="AC12">
        <v>57</v>
      </c>
      <c r="AD12">
        <v>12</v>
      </c>
      <c r="AF12">
        <v>259</v>
      </c>
      <c r="AI12" t="s">
        <v>83</v>
      </c>
      <c r="AJ12">
        <v>78</v>
      </c>
      <c r="AK12">
        <v>2</v>
      </c>
      <c r="AL12">
        <v>0</v>
      </c>
      <c r="AM12">
        <v>0</v>
      </c>
      <c r="AN12">
        <v>80</v>
      </c>
    </row>
    <row r="13" spans="1:40" x14ac:dyDescent="0.25">
      <c r="A13" t="s">
        <v>1825</v>
      </c>
      <c r="B13" s="12">
        <v>1</v>
      </c>
      <c r="C13" s="12">
        <v>33</v>
      </c>
      <c r="D13" s="12">
        <v>34</v>
      </c>
      <c r="E13" s="10"/>
      <c r="H13" s="4" t="s">
        <v>1825</v>
      </c>
      <c r="I13" s="12">
        <v>34</v>
      </c>
      <c r="J13" s="12"/>
      <c r="K13" s="12">
        <v>34</v>
      </c>
      <c r="M13" s="4" t="s">
        <v>1825</v>
      </c>
      <c r="N13" s="103">
        <v>27</v>
      </c>
      <c r="O13" s="157"/>
      <c r="P13" s="103">
        <v>7</v>
      </c>
      <c r="Q13" s="157"/>
      <c r="R13" s="12">
        <v>34</v>
      </c>
      <c r="S13" s="163">
        <f t="shared" si="0"/>
        <v>0.79411764705882348</v>
      </c>
      <c r="T13" s="163">
        <f t="shared" si="1"/>
        <v>0.20588235294117646</v>
      </c>
      <c r="AA13" t="s">
        <v>86</v>
      </c>
      <c r="AB13">
        <v>166</v>
      </c>
      <c r="AC13">
        <v>9</v>
      </c>
      <c r="AF13">
        <v>233</v>
      </c>
      <c r="AI13" t="s">
        <v>34</v>
      </c>
      <c r="AJ13">
        <v>49</v>
      </c>
      <c r="AK13">
        <v>19</v>
      </c>
      <c r="AL13">
        <v>3</v>
      </c>
      <c r="AM13">
        <v>0</v>
      </c>
      <c r="AN13">
        <v>71</v>
      </c>
    </row>
    <row r="14" spans="1:40" x14ac:dyDescent="0.25">
      <c r="A14" t="s">
        <v>1816</v>
      </c>
      <c r="B14" s="12">
        <v>5</v>
      </c>
      <c r="C14" s="12">
        <v>12</v>
      </c>
      <c r="D14" s="12">
        <v>17</v>
      </c>
      <c r="E14" s="10"/>
      <c r="H14" s="4" t="s">
        <v>1816</v>
      </c>
      <c r="I14" s="12">
        <v>5</v>
      </c>
      <c r="J14" s="12">
        <v>12</v>
      </c>
      <c r="K14" s="12">
        <v>17</v>
      </c>
      <c r="M14" s="4" t="s">
        <v>1816</v>
      </c>
      <c r="N14" s="103">
        <v>3</v>
      </c>
      <c r="O14" s="157"/>
      <c r="P14" s="103">
        <v>14</v>
      </c>
      <c r="Q14" s="157"/>
      <c r="R14" s="12">
        <v>17</v>
      </c>
      <c r="S14" s="163">
        <f t="shared" si="0"/>
        <v>0.17647058823529413</v>
      </c>
      <c r="T14" s="164">
        <f t="shared" si="1"/>
        <v>0.82352941176470584</v>
      </c>
      <c r="AA14" t="s">
        <v>34</v>
      </c>
      <c r="AB14">
        <v>156</v>
      </c>
      <c r="AC14">
        <v>6</v>
      </c>
      <c r="AF14">
        <v>210</v>
      </c>
      <c r="AI14" t="s">
        <v>144</v>
      </c>
      <c r="AJ14">
        <v>66</v>
      </c>
      <c r="AK14">
        <v>0</v>
      </c>
      <c r="AL14">
        <v>0</v>
      </c>
      <c r="AM14">
        <v>0</v>
      </c>
      <c r="AN14">
        <v>66</v>
      </c>
    </row>
    <row r="15" spans="1:40" x14ac:dyDescent="0.25">
      <c r="A15" t="s">
        <v>1818</v>
      </c>
      <c r="B15" s="12"/>
      <c r="C15" s="12">
        <v>7</v>
      </c>
      <c r="D15" s="12">
        <v>7</v>
      </c>
      <c r="E15" s="10"/>
      <c r="H15" s="4" t="s">
        <v>1818</v>
      </c>
      <c r="I15" s="12">
        <v>7</v>
      </c>
      <c r="J15" s="12"/>
      <c r="K15" s="12">
        <v>7</v>
      </c>
      <c r="M15" s="4" t="s">
        <v>1818</v>
      </c>
      <c r="N15" s="103">
        <v>4</v>
      </c>
      <c r="O15" s="157"/>
      <c r="P15" s="103">
        <v>3</v>
      </c>
      <c r="Q15" s="157"/>
      <c r="R15" s="12">
        <v>7</v>
      </c>
      <c r="S15" s="163">
        <f t="shared" si="0"/>
        <v>0.5714285714285714</v>
      </c>
      <c r="T15" s="163">
        <f t="shared" si="1"/>
        <v>0.42857142857142855</v>
      </c>
      <c r="AA15" t="s">
        <v>83</v>
      </c>
      <c r="AB15">
        <v>132</v>
      </c>
      <c r="AF15">
        <v>179</v>
      </c>
      <c r="AI15" t="s">
        <v>59</v>
      </c>
      <c r="AJ15">
        <v>24</v>
      </c>
      <c r="AK15">
        <v>9</v>
      </c>
      <c r="AL15">
        <v>3</v>
      </c>
      <c r="AM15">
        <v>0</v>
      </c>
      <c r="AN15">
        <v>36</v>
      </c>
    </row>
    <row r="16" spans="1:40" ht="15.75" thickBot="1" x14ac:dyDescent="0.3">
      <c r="A16" t="s">
        <v>1820</v>
      </c>
      <c r="B16" s="12"/>
      <c r="C16" s="12">
        <v>5</v>
      </c>
      <c r="D16" s="12">
        <v>5</v>
      </c>
      <c r="E16" s="10"/>
      <c r="H16" s="4" t="s">
        <v>1820</v>
      </c>
      <c r="I16" s="12">
        <v>5</v>
      </c>
      <c r="J16" s="12"/>
      <c r="K16" s="12">
        <v>5</v>
      </c>
      <c r="M16" s="4" t="s">
        <v>1820</v>
      </c>
      <c r="N16" s="103">
        <v>3</v>
      </c>
      <c r="O16" s="157"/>
      <c r="P16" s="103">
        <v>2</v>
      </c>
      <c r="Q16" s="157"/>
      <c r="R16" s="12">
        <v>5</v>
      </c>
      <c r="S16" s="165">
        <f t="shared" si="0"/>
        <v>0.6</v>
      </c>
      <c r="T16" s="165">
        <f t="shared" si="1"/>
        <v>0.4</v>
      </c>
      <c r="AA16" t="s">
        <v>142</v>
      </c>
      <c r="AB16">
        <v>52</v>
      </c>
      <c r="AC16">
        <v>18</v>
      </c>
      <c r="AD16">
        <v>8</v>
      </c>
      <c r="AF16">
        <v>166</v>
      </c>
      <c r="AI16" t="s">
        <v>142</v>
      </c>
      <c r="AJ16">
        <v>26</v>
      </c>
      <c r="AK16">
        <v>6</v>
      </c>
      <c r="AL16">
        <v>2</v>
      </c>
      <c r="AM16">
        <v>0</v>
      </c>
      <c r="AN16">
        <v>34</v>
      </c>
    </row>
    <row r="17" spans="1:40" ht="15.75" thickBot="1" x14ac:dyDescent="0.3">
      <c r="A17" s="8" t="s">
        <v>1763</v>
      </c>
      <c r="B17" s="13">
        <v>1713</v>
      </c>
      <c r="C17" s="13">
        <v>3974</v>
      </c>
      <c r="D17" s="13">
        <v>5687</v>
      </c>
      <c r="H17" s="5" t="s">
        <v>1763</v>
      </c>
      <c r="I17" s="152">
        <v>2433</v>
      </c>
      <c r="J17" s="152">
        <v>3254</v>
      </c>
      <c r="K17" s="152">
        <v>5687</v>
      </c>
      <c r="M17" s="153" t="s">
        <v>1763</v>
      </c>
      <c r="N17" s="158">
        <v>4268</v>
      </c>
      <c r="O17" s="159">
        <v>594</v>
      </c>
      <c r="P17" s="158">
        <v>715</v>
      </c>
      <c r="Q17" s="159">
        <v>110</v>
      </c>
      <c r="R17" s="152">
        <v>5687</v>
      </c>
      <c r="AA17" t="s">
        <v>144</v>
      </c>
      <c r="AB17">
        <v>48</v>
      </c>
      <c r="AC17">
        <v>27</v>
      </c>
      <c r="AD17">
        <v>12</v>
      </c>
      <c r="AF17">
        <v>142</v>
      </c>
      <c r="AI17" t="s">
        <v>146</v>
      </c>
      <c r="AJ17">
        <v>32</v>
      </c>
      <c r="AK17">
        <v>0</v>
      </c>
      <c r="AL17">
        <v>0</v>
      </c>
      <c r="AM17">
        <v>0</v>
      </c>
      <c r="AN17">
        <v>32</v>
      </c>
    </row>
    <row r="18" spans="1:40" x14ac:dyDescent="0.25">
      <c r="AA18" t="s">
        <v>59</v>
      </c>
      <c r="AB18">
        <v>64</v>
      </c>
      <c r="AF18">
        <v>120</v>
      </c>
      <c r="AI18" t="s">
        <v>118</v>
      </c>
      <c r="AJ18">
        <v>29</v>
      </c>
      <c r="AK18">
        <v>3</v>
      </c>
      <c r="AL18">
        <v>0</v>
      </c>
      <c r="AM18">
        <v>0</v>
      </c>
      <c r="AN18">
        <v>32</v>
      </c>
    </row>
    <row r="19" spans="1:40" x14ac:dyDescent="0.25">
      <c r="AA19" t="s">
        <v>146</v>
      </c>
      <c r="AB19">
        <v>58</v>
      </c>
      <c r="AC19">
        <v>9</v>
      </c>
      <c r="AF19">
        <v>93</v>
      </c>
      <c r="AI19" t="s">
        <v>137</v>
      </c>
      <c r="AJ19">
        <v>9</v>
      </c>
      <c r="AK19">
        <v>3</v>
      </c>
      <c r="AL19">
        <v>0</v>
      </c>
      <c r="AM19">
        <v>0</v>
      </c>
      <c r="AN19">
        <v>12</v>
      </c>
    </row>
    <row r="20" spans="1:40" x14ac:dyDescent="0.25">
      <c r="AA20" t="s">
        <v>118</v>
      </c>
      <c r="AB20">
        <v>18</v>
      </c>
      <c r="AC20">
        <v>9</v>
      </c>
      <c r="AF20">
        <v>43</v>
      </c>
      <c r="AI20" t="s">
        <v>112</v>
      </c>
      <c r="AJ20">
        <v>6</v>
      </c>
      <c r="AK20">
        <v>1</v>
      </c>
      <c r="AL20">
        <v>3</v>
      </c>
      <c r="AM20">
        <v>0</v>
      </c>
      <c r="AN20">
        <v>10</v>
      </c>
    </row>
    <row r="21" spans="1:40" x14ac:dyDescent="0.25">
      <c r="AA21" t="s">
        <v>137</v>
      </c>
      <c r="AB21">
        <v>12</v>
      </c>
      <c r="AC21">
        <v>3</v>
      </c>
      <c r="AD21">
        <v>12</v>
      </c>
      <c r="AF21">
        <v>38</v>
      </c>
      <c r="AI21" t="s">
        <v>65</v>
      </c>
      <c r="AJ21">
        <v>6</v>
      </c>
      <c r="AK21">
        <v>3</v>
      </c>
      <c r="AL21">
        <v>0</v>
      </c>
      <c r="AM21">
        <v>0</v>
      </c>
      <c r="AN21">
        <v>9</v>
      </c>
    </row>
    <row r="22" spans="1:40" x14ac:dyDescent="0.25">
      <c r="AA22" t="s">
        <v>150</v>
      </c>
      <c r="AB22">
        <v>6</v>
      </c>
      <c r="AF22">
        <v>26</v>
      </c>
      <c r="AI22" t="s">
        <v>150</v>
      </c>
      <c r="AJ22">
        <v>3</v>
      </c>
      <c r="AK22">
        <v>1</v>
      </c>
      <c r="AL22">
        <v>0</v>
      </c>
      <c r="AM22">
        <v>0</v>
      </c>
      <c r="AN22">
        <v>4</v>
      </c>
    </row>
    <row r="23" spans="1:40" x14ac:dyDescent="0.25">
      <c r="AA23" t="s">
        <v>260</v>
      </c>
      <c r="AB23">
        <v>4</v>
      </c>
      <c r="AC23">
        <v>3</v>
      </c>
      <c r="AF23">
        <v>16</v>
      </c>
      <c r="AI23" t="s">
        <v>260</v>
      </c>
      <c r="AJ23">
        <v>4</v>
      </c>
      <c r="AK23">
        <v>0</v>
      </c>
      <c r="AL23">
        <v>0</v>
      </c>
      <c r="AM23">
        <v>0</v>
      </c>
      <c r="AN23">
        <v>4</v>
      </c>
    </row>
    <row r="24" spans="1:40" x14ac:dyDescent="0.25">
      <c r="AA24" t="s">
        <v>252</v>
      </c>
      <c r="AB24">
        <v>6</v>
      </c>
      <c r="AC24">
        <v>3</v>
      </c>
      <c r="AF24">
        <v>10</v>
      </c>
      <c r="AI24" t="s">
        <v>252</v>
      </c>
      <c r="AJ24">
        <v>3</v>
      </c>
      <c r="AK24">
        <v>0</v>
      </c>
      <c r="AL24">
        <v>0</v>
      </c>
      <c r="AM24">
        <v>0</v>
      </c>
      <c r="AN24">
        <v>3</v>
      </c>
    </row>
    <row r="25" spans="1:40" x14ac:dyDescent="0.25">
      <c r="AA25" t="s">
        <v>152</v>
      </c>
      <c r="AB25">
        <v>8</v>
      </c>
      <c r="AF25">
        <v>10</v>
      </c>
      <c r="AI25" t="s">
        <v>152</v>
      </c>
      <c r="AJ25">
        <v>2</v>
      </c>
      <c r="AK25">
        <v>1</v>
      </c>
      <c r="AL25">
        <v>0</v>
      </c>
      <c r="AM25">
        <v>0</v>
      </c>
      <c r="AN25">
        <v>3</v>
      </c>
    </row>
    <row r="26" spans="1:40" x14ac:dyDescent="0.25">
      <c r="AA26" t="s">
        <v>258</v>
      </c>
      <c r="AB26">
        <v>2</v>
      </c>
      <c r="AF26">
        <v>8</v>
      </c>
      <c r="AI26" t="s">
        <v>258</v>
      </c>
      <c r="AJ26">
        <v>3</v>
      </c>
      <c r="AK26">
        <v>0</v>
      </c>
      <c r="AL26">
        <v>0</v>
      </c>
      <c r="AM26">
        <v>0</v>
      </c>
      <c r="AN26">
        <v>3</v>
      </c>
    </row>
    <row r="27" spans="1:40" x14ac:dyDescent="0.25">
      <c r="AA27" t="s">
        <v>299</v>
      </c>
      <c r="AB27">
        <v>6</v>
      </c>
      <c r="AF27">
        <v>7</v>
      </c>
      <c r="AI27" t="s">
        <v>299</v>
      </c>
      <c r="AJ27">
        <v>1</v>
      </c>
      <c r="AK27">
        <v>0</v>
      </c>
      <c r="AL27">
        <v>0</v>
      </c>
      <c r="AM27">
        <v>0</v>
      </c>
      <c r="AN27">
        <v>1</v>
      </c>
    </row>
    <row r="28" spans="1:40" x14ac:dyDescent="0.25">
      <c r="AA28" t="s">
        <v>296</v>
      </c>
      <c r="AC28">
        <v>3</v>
      </c>
      <c r="AF28">
        <v>6</v>
      </c>
      <c r="AI28" t="s">
        <v>296</v>
      </c>
      <c r="AJ28">
        <v>0</v>
      </c>
      <c r="AK28">
        <v>1</v>
      </c>
      <c r="AL28">
        <v>0</v>
      </c>
      <c r="AM28">
        <v>0</v>
      </c>
      <c r="AN28">
        <v>1</v>
      </c>
    </row>
    <row r="29" spans="1:40" x14ac:dyDescent="0.25">
      <c r="AA29" t="s">
        <v>1293</v>
      </c>
      <c r="AB29">
        <v>2</v>
      </c>
      <c r="AF29">
        <v>4</v>
      </c>
      <c r="AI29" t="s">
        <v>1293</v>
      </c>
      <c r="AJ29">
        <v>1</v>
      </c>
      <c r="AK29">
        <v>0</v>
      </c>
      <c r="AL29">
        <v>0</v>
      </c>
      <c r="AM29">
        <v>0</v>
      </c>
      <c r="AN29">
        <v>1</v>
      </c>
    </row>
    <row r="30" spans="1:40" x14ac:dyDescent="0.25">
      <c r="AA30" t="s">
        <v>189</v>
      </c>
      <c r="AB30">
        <v>2</v>
      </c>
      <c r="AF30">
        <v>4</v>
      </c>
      <c r="AI30" t="s">
        <v>189</v>
      </c>
      <c r="AJ30">
        <v>1</v>
      </c>
      <c r="AK30">
        <v>0</v>
      </c>
      <c r="AL30">
        <v>0</v>
      </c>
      <c r="AM30">
        <v>0</v>
      </c>
      <c r="AN30">
        <v>1</v>
      </c>
    </row>
    <row r="31" spans="1:40" x14ac:dyDescent="0.25">
      <c r="AA31" t="s">
        <v>276</v>
      </c>
      <c r="AB31">
        <v>2</v>
      </c>
      <c r="AF31">
        <v>3</v>
      </c>
      <c r="AI31" t="s">
        <v>276</v>
      </c>
      <c r="AJ31">
        <v>1</v>
      </c>
      <c r="AK31">
        <v>0</v>
      </c>
      <c r="AL31">
        <v>0</v>
      </c>
      <c r="AM31">
        <v>0</v>
      </c>
      <c r="AN31">
        <v>1</v>
      </c>
    </row>
    <row r="32" spans="1:40" x14ac:dyDescent="0.25">
      <c r="AA32" t="s">
        <v>1571</v>
      </c>
      <c r="AB32">
        <v>2</v>
      </c>
      <c r="AF32">
        <v>2</v>
      </c>
      <c r="AI32" t="s">
        <v>1571</v>
      </c>
      <c r="AJ32">
        <v>1</v>
      </c>
      <c r="AK32">
        <v>0</v>
      </c>
      <c r="AL32">
        <v>0</v>
      </c>
      <c r="AM32">
        <v>0</v>
      </c>
      <c r="AN32">
        <v>1</v>
      </c>
    </row>
    <row r="33" spans="27:40" x14ac:dyDescent="0.25">
      <c r="AA33" t="s">
        <v>855</v>
      </c>
      <c r="AB33">
        <v>2</v>
      </c>
      <c r="AF33">
        <v>2</v>
      </c>
      <c r="AI33" t="s">
        <v>855</v>
      </c>
      <c r="AJ33">
        <v>1</v>
      </c>
      <c r="AK33">
        <v>0</v>
      </c>
      <c r="AL33">
        <v>0</v>
      </c>
      <c r="AM33">
        <v>0</v>
      </c>
      <c r="AN33">
        <v>1</v>
      </c>
    </row>
    <row r="34" spans="27:40" x14ac:dyDescent="0.25">
      <c r="AA34" t="s">
        <v>1742</v>
      </c>
      <c r="AB34">
        <v>3084</v>
      </c>
      <c r="AC34">
        <v>528</v>
      </c>
      <c r="AD34">
        <v>96</v>
      </c>
      <c r="AE34">
        <v>15</v>
      </c>
      <c r="AF34">
        <v>7552</v>
      </c>
      <c r="AI34" t="s">
        <v>1763</v>
      </c>
      <c r="AJ34">
        <v>1542</v>
      </c>
      <c r="AK34">
        <v>176</v>
      </c>
      <c r="AL34">
        <v>24</v>
      </c>
      <c r="AM34">
        <v>3</v>
      </c>
      <c r="AN34">
        <v>1745</v>
      </c>
    </row>
  </sheetData>
  <sortState ref="M4:T16">
    <sortCondition descending="1" ref="R4:R16"/>
  </sortState>
  <mergeCells count="5">
    <mergeCell ref="AJ2:AN2"/>
    <mergeCell ref="B2:C2"/>
    <mergeCell ref="N2:O2"/>
    <mergeCell ref="P2:Q2"/>
    <mergeCell ref="M2:M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opLeftCell="F1" workbookViewId="0">
      <selection activeCell="L1" sqref="L1"/>
    </sheetView>
  </sheetViews>
  <sheetFormatPr defaultRowHeight="15" x14ac:dyDescent="0.25"/>
  <cols>
    <col min="1" max="1" width="35.42578125" bestFit="1" customWidth="1"/>
    <col min="5" max="5" width="35.42578125" bestFit="1" customWidth="1"/>
    <col min="7" max="7" width="4.140625" customWidth="1"/>
    <col min="8" max="8" width="30.7109375" bestFit="1" customWidth="1"/>
    <col min="12" max="12" width="35.42578125" bestFit="1" customWidth="1"/>
    <col min="13" max="13" width="4" bestFit="1" customWidth="1"/>
    <col min="14" max="14" width="5.5703125" customWidth="1"/>
    <col min="15" max="15" width="26" bestFit="1" customWidth="1"/>
    <col min="16" max="16" width="5" bestFit="1" customWidth="1"/>
  </cols>
  <sheetData>
    <row r="1" spans="1:16" x14ac:dyDescent="0.25">
      <c r="E1" s="7" t="s">
        <v>1862</v>
      </c>
      <c r="L1" s="7" t="s">
        <v>1863</v>
      </c>
    </row>
    <row r="3" spans="1:16" x14ac:dyDescent="0.25">
      <c r="A3" t="s">
        <v>224</v>
      </c>
      <c r="B3">
        <v>969</v>
      </c>
      <c r="E3" t="s">
        <v>269</v>
      </c>
      <c r="F3">
        <v>456</v>
      </c>
      <c r="H3" t="s">
        <v>1726</v>
      </c>
      <c r="I3">
        <v>13</v>
      </c>
      <c r="L3" t="s">
        <v>224</v>
      </c>
      <c r="M3">
        <v>969</v>
      </c>
      <c r="O3" t="s">
        <v>1188</v>
      </c>
      <c r="P3">
        <v>30</v>
      </c>
    </row>
    <row r="4" spans="1:16" x14ac:dyDescent="0.25">
      <c r="A4" t="s">
        <v>158</v>
      </c>
      <c r="B4">
        <v>487</v>
      </c>
      <c r="E4" t="s">
        <v>196</v>
      </c>
      <c r="F4">
        <v>375</v>
      </c>
      <c r="H4" t="s">
        <v>78</v>
      </c>
      <c r="I4">
        <v>12</v>
      </c>
      <c r="L4" t="s">
        <v>158</v>
      </c>
      <c r="M4">
        <v>485</v>
      </c>
      <c r="O4" t="s">
        <v>1326</v>
      </c>
      <c r="P4">
        <v>27</v>
      </c>
    </row>
    <row r="5" spans="1:16" x14ac:dyDescent="0.25">
      <c r="A5" t="s">
        <v>269</v>
      </c>
      <c r="B5">
        <v>460</v>
      </c>
      <c r="E5" t="s">
        <v>355</v>
      </c>
      <c r="F5">
        <v>329</v>
      </c>
      <c r="H5" t="s">
        <v>866</v>
      </c>
      <c r="I5">
        <v>7</v>
      </c>
      <c r="L5" t="s">
        <v>1269</v>
      </c>
      <c r="M5">
        <v>331</v>
      </c>
      <c r="O5" t="s">
        <v>1337</v>
      </c>
      <c r="P5">
        <v>24</v>
      </c>
    </row>
    <row r="6" spans="1:16" x14ac:dyDescent="0.25">
      <c r="A6" t="s">
        <v>196</v>
      </c>
      <c r="B6">
        <v>377</v>
      </c>
      <c r="E6" t="s">
        <v>1342</v>
      </c>
      <c r="F6">
        <v>223</v>
      </c>
      <c r="H6" t="s">
        <v>102</v>
      </c>
      <c r="I6">
        <v>6</v>
      </c>
      <c r="L6" t="s">
        <v>346</v>
      </c>
      <c r="M6">
        <v>286</v>
      </c>
      <c r="O6" t="s">
        <v>1488</v>
      </c>
      <c r="P6">
        <v>22</v>
      </c>
    </row>
    <row r="7" spans="1:16" x14ac:dyDescent="0.25">
      <c r="A7" t="s">
        <v>355</v>
      </c>
      <c r="B7">
        <v>334</v>
      </c>
      <c r="E7" t="s">
        <v>878</v>
      </c>
      <c r="F7">
        <v>130</v>
      </c>
      <c r="H7" t="s">
        <v>1030</v>
      </c>
      <c r="I7">
        <v>6</v>
      </c>
      <c r="L7" t="s">
        <v>301</v>
      </c>
      <c r="M7">
        <v>241</v>
      </c>
      <c r="O7" t="s">
        <v>1627</v>
      </c>
      <c r="P7">
        <v>20</v>
      </c>
    </row>
    <row r="8" spans="1:16" x14ac:dyDescent="0.25">
      <c r="A8" t="s">
        <v>1269</v>
      </c>
      <c r="B8">
        <v>331</v>
      </c>
      <c r="E8" t="s">
        <v>155</v>
      </c>
      <c r="F8">
        <v>128</v>
      </c>
      <c r="H8" t="s">
        <v>1044</v>
      </c>
      <c r="I8">
        <v>6</v>
      </c>
      <c r="L8" t="s">
        <v>381</v>
      </c>
      <c r="M8">
        <v>191</v>
      </c>
      <c r="O8" t="s">
        <v>38</v>
      </c>
      <c r="P8">
        <v>18</v>
      </c>
    </row>
    <row r="9" spans="1:16" x14ac:dyDescent="0.25">
      <c r="A9" t="s">
        <v>346</v>
      </c>
      <c r="B9">
        <v>287</v>
      </c>
      <c r="E9" t="s">
        <v>1199</v>
      </c>
      <c r="F9">
        <v>102</v>
      </c>
      <c r="H9" t="s">
        <v>1690</v>
      </c>
      <c r="I9">
        <v>5</v>
      </c>
      <c r="L9" t="s">
        <v>130</v>
      </c>
      <c r="M9">
        <v>129</v>
      </c>
      <c r="O9" t="s">
        <v>1497</v>
      </c>
      <c r="P9">
        <v>16</v>
      </c>
    </row>
    <row r="10" spans="1:16" x14ac:dyDescent="0.25">
      <c r="A10" t="s">
        <v>301</v>
      </c>
      <c r="B10">
        <v>241</v>
      </c>
      <c r="E10" t="s">
        <v>1427</v>
      </c>
      <c r="F10">
        <v>65</v>
      </c>
      <c r="H10" t="s">
        <v>94</v>
      </c>
      <c r="I10">
        <v>4</v>
      </c>
      <c r="L10" t="s">
        <v>1129</v>
      </c>
      <c r="M10">
        <v>82</v>
      </c>
      <c r="O10" t="s">
        <v>1567</v>
      </c>
      <c r="P10">
        <v>15</v>
      </c>
    </row>
    <row r="11" spans="1:16" x14ac:dyDescent="0.25">
      <c r="A11" t="s">
        <v>1342</v>
      </c>
      <c r="B11">
        <v>223</v>
      </c>
      <c r="E11" t="s">
        <v>669</v>
      </c>
      <c r="F11">
        <v>65</v>
      </c>
      <c r="H11" t="s">
        <v>1259</v>
      </c>
      <c r="I11">
        <v>4</v>
      </c>
      <c r="L11" t="s">
        <v>1052</v>
      </c>
      <c r="M11">
        <v>68</v>
      </c>
      <c r="O11" t="s">
        <v>1172</v>
      </c>
      <c r="P11">
        <v>13</v>
      </c>
    </row>
    <row r="12" spans="1:16" x14ac:dyDescent="0.25">
      <c r="A12" t="s">
        <v>381</v>
      </c>
      <c r="B12">
        <v>192</v>
      </c>
      <c r="E12" t="s">
        <v>1082</v>
      </c>
      <c r="F12">
        <v>57</v>
      </c>
      <c r="H12" t="s">
        <v>1511</v>
      </c>
      <c r="I12">
        <v>4</v>
      </c>
      <c r="L12" t="s">
        <v>948</v>
      </c>
      <c r="M12">
        <v>54</v>
      </c>
      <c r="O12" t="s">
        <v>920</v>
      </c>
      <c r="P12">
        <v>12</v>
      </c>
    </row>
    <row r="13" spans="1:16" x14ac:dyDescent="0.25">
      <c r="A13" t="s">
        <v>878</v>
      </c>
      <c r="B13">
        <v>130</v>
      </c>
      <c r="E13" t="s">
        <v>1620</v>
      </c>
      <c r="F13">
        <v>56</v>
      </c>
      <c r="H13" t="s">
        <v>1072</v>
      </c>
      <c r="I13">
        <v>3</v>
      </c>
      <c r="L13" t="s">
        <v>1547</v>
      </c>
      <c r="M13">
        <v>52</v>
      </c>
      <c r="O13" t="s">
        <v>1773</v>
      </c>
      <c r="P13">
        <v>18</v>
      </c>
    </row>
    <row r="14" spans="1:16" x14ac:dyDescent="0.25">
      <c r="A14" t="s">
        <v>130</v>
      </c>
      <c r="B14">
        <v>129</v>
      </c>
      <c r="E14" t="s">
        <v>964</v>
      </c>
      <c r="F14">
        <v>48</v>
      </c>
      <c r="H14" t="s">
        <v>1192</v>
      </c>
      <c r="I14">
        <v>3</v>
      </c>
      <c r="L14" t="s">
        <v>1307</v>
      </c>
      <c r="M14">
        <v>48</v>
      </c>
      <c r="O14" t="s">
        <v>1742</v>
      </c>
      <c r="P14">
        <v>3254</v>
      </c>
    </row>
    <row r="15" spans="1:16" x14ac:dyDescent="0.25">
      <c r="A15" t="s">
        <v>155</v>
      </c>
      <c r="B15">
        <v>129</v>
      </c>
      <c r="E15" t="s">
        <v>986</v>
      </c>
      <c r="F15">
        <v>39</v>
      </c>
      <c r="H15" t="s">
        <v>928</v>
      </c>
      <c r="I15">
        <v>3</v>
      </c>
      <c r="L15" t="s">
        <v>1614</v>
      </c>
      <c r="M15">
        <v>36</v>
      </c>
    </row>
    <row r="16" spans="1:16" x14ac:dyDescent="0.25">
      <c r="A16" t="s">
        <v>1199</v>
      </c>
      <c r="B16">
        <v>102</v>
      </c>
      <c r="E16" t="s">
        <v>1222</v>
      </c>
      <c r="F16">
        <v>37</v>
      </c>
      <c r="H16" t="s">
        <v>1704</v>
      </c>
      <c r="I16">
        <v>2</v>
      </c>
      <c r="L16" t="s">
        <v>937</v>
      </c>
      <c r="M16">
        <v>34</v>
      </c>
    </row>
    <row r="17" spans="1:13" x14ac:dyDescent="0.25">
      <c r="A17" t="s">
        <v>1129</v>
      </c>
      <c r="B17">
        <v>82</v>
      </c>
      <c r="E17" t="s">
        <v>1503</v>
      </c>
      <c r="F17">
        <v>33</v>
      </c>
      <c r="H17" t="s">
        <v>1458</v>
      </c>
      <c r="I17">
        <v>2</v>
      </c>
      <c r="L17" t="s">
        <v>1591</v>
      </c>
      <c r="M17">
        <v>33</v>
      </c>
    </row>
    <row r="18" spans="1:13" x14ac:dyDescent="0.25">
      <c r="A18" t="s">
        <v>1052</v>
      </c>
      <c r="B18">
        <v>68</v>
      </c>
      <c r="E18" t="s">
        <v>409</v>
      </c>
      <c r="F18">
        <v>29</v>
      </c>
      <c r="H18" t="s">
        <v>108</v>
      </c>
      <c r="I18">
        <v>2</v>
      </c>
    </row>
    <row r="19" spans="1:13" x14ac:dyDescent="0.25">
      <c r="A19" t="s">
        <v>669</v>
      </c>
      <c r="B19">
        <v>66</v>
      </c>
      <c r="E19" t="s">
        <v>1632</v>
      </c>
      <c r="F19">
        <v>28</v>
      </c>
      <c r="H19" t="s">
        <v>1462</v>
      </c>
      <c r="I19">
        <v>2</v>
      </c>
    </row>
    <row r="20" spans="1:13" x14ac:dyDescent="0.25">
      <c r="A20" t="s">
        <v>1427</v>
      </c>
      <c r="B20">
        <v>65</v>
      </c>
      <c r="E20" t="s">
        <v>1565</v>
      </c>
      <c r="F20">
        <v>28</v>
      </c>
      <c r="H20" t="s">
        <v>1125</v>
      </c>
      <c r="I20">
        <v>2</v>
      </c>
    </row>
    <row r="21" spans="1:13" x14ac:dyDescent="0.25">
      <c r="A21" t="s">
        <v>1082</v>
      </c>
      <c r="B21">
        <v>57</v>
      </c>
      <c r="E21" t="s">
        <v>1696</v>
      </c>
      <c r="F21">
        <v>28</v>
      </c>
      <c r="H21" t="s">
        <v>1484</v>
      </c>
      <c r="I21">
        <v>2</v>
      </c>
    </row>
    <row r="22" spans="1:13" x14ac:dyDescent="0.25">
      <c r="A22" t="s">
        <v>1620</v>
      </c>
      <c r="B22">
        <v>57</v>
      </c>
      <c r="E22" t="s">
        <v>1582</v>
      </c>
      <c r="F22">
        <v>24</v>
      </c>
      <c r="H22" t="s">
        <v>933</v>
      </c>
      <c r="I22">
        <v>2</v>
      </c>
    </row>
    <row r="23" spans="1:13" x14ac:dyDescent="0.25">
      <c r="A23" t="s">
        <v>948</v>
      </c>
      <c r="B23">
        <v>54</v>
      </c>
      <c r="E23" t="s">
        <v>1709</v>
      </c>
      <c r="F23">
        <v>19</v>
      </c>
      <c r="H23" t="s">
        <v>1078</v>
      </c>
      <c r="I23">
        <v>1</v>
      </c>
    </row>
    <row r="24" spans="1:13" x14ac:dyDescent="0.25">
      <c r="A24" t="s">
        <v>1547</v>
      </c>
      <c r="B24">
        <v>52</v>
      </c>
      <c r="E24" t="s">
        <v>1246</v>
      </c>
      <c r="F24">
        <v>19</v>
      </c>
      <c r="H24" t="s">
        <v>1040</v>
      </c>
      <c r="I24">
        <v>1</v>
      </c>
    </row>
    <row r="25" spans="1:13" x14ac:dyDescent="0.25">
      <c r="A25" t="s">
        <v>964</v>
      </c>
      <c r="B25">
        <v>49</v>
      </c>
      <c r="E25" t="s">
        <v>1335</v>
      </c>
      <c r="F25">
        <v>17</v>
      </c>
      <c r="H25" t="s">
        <v>1266</v>
      </c>
      <c r="I25">
        <v>1</v>
      </c>
    </row>
    <row r="26" spans="1:13" x14ac:dyDescent="0.25">
      <c r="A26" t="s">
        <v>1307</v>
      </c>
      <c r="B26">
        <v>48</v>
      </c>
      <c r="H26" t="s">
        <v>127</v>
      </c>
      <c r="I26">
        <v>1</v>
      </c>
    </row>
    <row r="27" spans="1:13" x14ac:dyDescent="0.25">
      <c r="A27" t="s">
        <v>986</v>
      </c>
      <c r="B27">
        <v>39</v>
      </c>
      <c r="H27" t="s">
        <v>1773</v>
      </c>
      <c r="I27">
        <v>4</v>
      </c>
    </row>
    <row r="28" spans="1:13" x14ac:dyDescent="0.25">
      <c r="A28" t="s">
        <v>1222</v>
      </c>
      <c r="B28">
        <v>37</v>
      </c>
      <c r="H28" t="s">
        <v>1742</v>
      </c>
      <c r="I28">
        <f>SUM(I3:I27,F3:F25)</f>
        <v>2433</v>
      </c>
    </row>
    <row r="29" spans="1:13" x14ac:dyDescent="0.25">
      <c r="A29" t="s">
        <v>1614</v>
      </c>
      <c r="B29">
        <v>36</v>
      </c>
    </row>
    <row r="30" spans="1:13" x14ac:dyDescent="0.25">
      <c r="A30" t="s">
        <v>937</v>
      </c>
      <c r="B30">
        <v>34</v>
      </c>
    </row>
    <row r="31" spans="1:13" x14ac:dyDescent="0.25">
      <c r="A31" t="s">
        <v>1591</v>
      </c>
      <c r="B31">
        <v>33</v>
      </c>
    </row>
    <row r="32" spans="1:13" x14ac:dyDescent="0.25">
      <c r="A32" t="s">
        <v>1503</v>
      </c>
      <c r="B32">
        <v>33</v>
      </c>
    </row>
    <row r="33" spans="1:2" x14ac:dyDescent="0.25">
      <c r="A33" t="s">
        <v>1188</v>
      </c>
      <c r="B33">
        <v>30</v>
      </c>
    </row>
    <row r="34" spans="1:2" x14ac:dyDescent="0.25">
      <c r="A34" t="s">
        <v>409</v>
      </c>
      <c r="B34">
        <v>29</v>
      </c>
    </row>
    <row r="35" spans="1:2" x14ac:dyDescent="0.25">
      <c r="A35" t="s">
        <v>1565</v>
      </c>
      <c r="B35">
        <v>29</v>
      </c>
    </row>
    <row r="36" spans="1:2" x14ac:dyDescent="0.25">
      <c r="A36" t="s">
        <v>1632</v>
      </c>
      <c r="B36">
        <v>28</v>
      </c>
    </row>
    <row r="37" spans="1:2" x14ac:dyDescent="0.25">
      <c r="A37" t="s">
        <v>1696</v>
      </c>
      <c r="B37">
        <v>28</v>
      </c>
    </row>
    <row r="38" spans="1:2" x14ac:dyDescent="0.25">
      <c r="A38" t="s">
        <v>1326</v>
      </c>
      <c r="B38">
        <v>27</v>
      </c>
    </row>
    <row r="39" spans="1:2" x14ac:dyDescent="0.25">
      <c r="A39" t="s">
        <v>1337</v>
      </c>
      <c r="B39">
        <v>24</v>
      </c>
    </row>
    <row r="40" spans="1:2" x14ac:dyDescent="0.25">
      <c r="A40" t="s">
        <v>1582</v>
      </c>
      <c r="B40">
        <v>24</v>
      </c>
    </row>
    <row r="41" spans="1:2" x14ac:dyDescent="0.25">
      <c r="A41" t="s">
        <v>1488</v>
      </c>
      <c r="B41">
        <v>22</v>
      </c>
    </row>
    <row r="42" spans="1:2" x14ac:dyDescent="0.25">
      <c r="A42" t="s">
        <v>1627</v>
      </c>
      <c r="B42">
        <v>20</v>
      </c>
    </row>
    <row r="43" spans="1:2" x14ac:dyDescent="0.25">
      <c r="A43" t="s">
        <v>1709</v>
      </c>
      <c r="B43">
        <v>19</v>
      </c>
    </row>
    <row r="44" spans="1:2" x14ac:dyDescent="0.25">
      <c r="A44" t="s">
        <v>1246</v>
      </c>
      <c r="B44">
        <v>19</v>
      </c>
    </row>
    <row r="45" spans="1:2" x14ac:dyDescent="0.25">
      <c r="A45" t="s">
        <v>38</v>
      </c>
      <c r="B45">
        <v>18</v>
      </c>
    </row>
    <row r="46" spans="1:2" x14ac:dyDescent="0.25">
      <c r="A46" t="s">
        <v>1335</v>
      </c>
      <c r="B46">
        <v>18</v>
      </c>
    </row>
    <row r="47" spans="1:2" x14ac:dyDescent="0.25">
      <c r="A47" t="s">
        <v>1497</v>
      </c>
      <c r="B47">
        <v>16</v>
      </c>
    </row>
    <row r="48" spans="1:2" x14ac:dyDescent="0.25">
      <c r="A48" t="s">
        <v>1567</v>
      </c>
      <c r="B48">
        <v>15</v>
      </c>
    </row>
    <row r="49" spans="1:2" x14ac:dyDescent="0.25">
      <c r="A49" t="s">
        <v>1172</v>
      </c>
      <c r="B49">
        <v>13</v>
      </c>
    </row>
    <row r="50" spans="1:2" x14ac:dyDescent="0.25">
      <c r="A50" t="s">
        <v>78</v>
      </c>
      <c r="B50">
        <v>13</v>
      </c>
    </row>
    <row r="51" spans="1:2" x14ac:dyDescent="0.25">
      <c r="A51" t="s">
        <v>1726</v>
      </c>
      <c r="B51">
        <v>13</v>
      </c>
    </row>
    <row r="52" spans="1:2" x14ac:dyDescent="0.25">
      <c r="A52" t="s">
        <v>920</v>
      </c>
      <c r="B52">
        <v>12</v>
      </c>
    </row>
    <row r="53" spans="1:2" x14ac:dyDescent="0.25">
      <c r="A53" t="s">
        <v>866</v>
      </c>
      <c r="B53">
        <v>7</v>
      </c>
    </row>
    <row r="54" spans="1:2" x14ac:dyDescent="0.25">
      <c r="A54" t="s">
        <v>102</v>
      </c>
      <c r="B54">
        <v>6</v>
      </c>
    </row>
    <row r="55" spans="1:2" x14ac:dyDescent="0.25">
      <c r="A55" t="s">
        <v>1030</v>
      </c>
      <c r="B55">
        <v>6</v>
      </c>
    </row>
    <row r="56" spans="1:2" x14ac:dyDescent="0.25">
      <c r="A56" t="s">
        <v>1044</v>
      </c>
      <c r="B56">
        <v>6</v>
      </c>
    </row>
    <row r="57" spans="1:2" x14ac:dyDescent="0.25">
      <c r="A57" t="s">
        <v>1690</v>
      </c>
      <c r="B57">
        <v>5</v>
      </c>
    </row>
    <row r="58" spans="1:2" x14ac:dyDescent="0.25">
      <c r="A58" t="s">
        <v>94</v>
      </c>
      <c r="B58">
        <v>4</v>
      </c>
    </row>
    <row r="59" spans="1:2" x14ac:dyDescent="0.25">
      <c r="A59" t="s">
        <v>1259</v>
      </c>
      <c r="B59">
        <v>4</v>
      </c>
    </row>
    <row r="60" spans="1:2" x14ac:dyDescent="0.25">
      <c r="A60" t="s">
        <v>1511</v>
      </c>
      <c r="B60">
        <v>4</v>
      </c>
    </row>
    <row r="61" spans="1:2" x14ac:dyDescent="0.25">
      <c r="A61" t="s">
        <v>1072</v>
      </c>
      <c r="B61">
        <v>3</v>
      </c>
    </row>
    <row r="62" spans="1:2" x14ac:dyDescent="0.25">
      <c r="A62" t="s">
        <v>1192</v>
      </c>
      <c r="B62">
        <v>3</v>
      </c>
    </row>
    <row r="63" spans="1:2" x14ac:dyDescent="0.25">
      <c r="A63" t="s">
        <v>928</v>
      </c>
      <c r="B63">
        <v>3</v>
      </c>
    </row>
    <row r="64" spans="1:2" x14ac:dyDescent="0.25">
      <c r="A64" t="s">
        <v>1704</v>
      </c>
      <c r="B64">
        <v>2</v>
      </c>
    </row>
    <row r="65" spans="1:2" x14ac:dyDescent="0.25">
      <c r="A65" t="s">
        <v>1458</v>
      </c>
      <c r="B65">
        <v>2</v>
      </c>
    </row>
    <row r="66" spans="1:2" x14ac:dyDescent="0.25">
      <c r="A66" t="s">
        <v>108</v>
      </c>
      <c r="B66">
        <v>2</v>
      </c>
    </row>
    <row r="67" spans="1:2" x14ac:dyDescent="0.25">
      <c r="A67" t="s">
        <v>1462</v>
      </c>
      <c r="B67">
        <v>2</v>
      </c>
    </row>
    <row r="68" spans="1:2" x14ac:dyDescent="0.25">
      <c r="A68" t="s">
        <v>1125</v>
      </c>
      <c r="B68">
        <v>2</v>
      </c>
    </row>
    <row r="69" spans="1:2" x14ac:dyDescent="0.25">
      <c r="A69" t="s">
        <v>1484</v>
      </c>
      <c r="B69">
        <v>2</v>
      </c>
    </row>
    <row r="70" spans="1:2" x14ac:dyDescent="0.25">
      <c r="A70" t="s">
        <v>933</v>
      </c>
      <c r="B70">
        <v>2</v>
      </c>
    </row>
    <row r="71" spans="1:2" x14ac:dyDescent="0.25">
      <c r="A71" t="s">
        <v>1078</v>
      </c>
      <c r="B71">
        <v>1</v>
      </c>
    </row>
    <row r="72" spans="1:2" x14ac:dyDescent="0.25">
      <c r="A72" t="s">
        <v>1040</v>
      </c>
      <c r="B72">
        <v>1</v>
      </c>
    </row>
    <row r="73" spans="1:2" x14ac:dyDescent="0.25">
      <c r="A73" t="s">
        <v>1266</v>
      </c>
      <c r="B73">
        <v>1</v>
      </c>
    </row>
    <row r="74" spans="1:2" x14ac:dyDescent="0.25">
      <c r="A74" t="s">
        <v>127</v>
      </c>
      <c r="B74">
        <v>1</v>
      </c>
    </row>
    <row r="75" spans="1:2" x14ac:dyDescent="0.25">
      <c r="A75" t="s">
        <v>1775</v>
      </c>
    </row>
    <row r="76" spans="1:2" x14ac:dyDescent="0.25">
      <c r="A76" t="s">
        <v>1742</v>
      </c>
      <c r="B76">
        <v>5687</v>
      </c>
    </row>
  </sheetData>
  <sortState ref="L3:M27">
    <sortCondition descending="1" ref="M3:M27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5"/>
  <sheetViews>
    <sheetView workbookViewId="0">
      <selection activeCell="B1" sqref="B1"/>
    </sheetView>
  </sheetViews>
  <sheetFormatPr defaultRowHeight="15" x14ac:dyDescent="0.25"/>
  <cols>
    <col min="2" max="2" width="39.140625" bestFit="1" customWidth="1"/>
    <col min="5" max="5" width="11" customWidth="1"/>
    <col min="6" max="6" width="39.140625" bestFit="1" customWidth="1"/>
    <col min="8" max="8" width="5.7109375" customWidth="1"/>
    <col min="9" max="9" width="24.5703125" bestFit="1" customWidth="1"/>
  </cols>
  <sheetData>
    <row r="1" spans="2:12" x14ac:dyDescent="0.25">
      <c r="B1" s="7" t="s">
        <v>1864</v>
      </c>
    </row>
    <row r="2" spans="2:12" ht="30" x14ac:dyDescent="0.25">
      <c r="B2" t="s">
        <v>1836</v>
      </c>
      <c r="C2" t="s">
        <v>1752</v>
      </c>
      <c r="D2" s="9" t="s">
        <v>1826</v>
      </c>
      <c r="E2" s="9" t="s">
        <v>1837</v>
      </c>
      <c r="F2" t="s">
        <v>1836</v>
      </c>
      <c r="G2" t="s">
        <v>1752</v>
      </c>
    </row>
    <row r="3" spans="2:12" x14ac:dyDescent="0.25">
      <c r="B3" s="4" t="s">
        <v>112</v>
      </c>
      <c r="C3" s="3">
        <v>993</v>
      </c>
      <c r="D3" s="10">
        <f>C3/$G$25</f>
        <v>0.17460875681378582</v>
      </c>
      <c r="E3" s="10">
        <f>D3</f>
        <v>0.17460875681378582</v>
      </c>
      <c r="F3" s="4" t="s">
        <v>205</v>
      </c>
      <c r="G3" s="3">
        <v>8</v>
      </c>
      <c r="I3" s="4" t="s">
        <v>112</v>
      </c>
      <c r="J3" s="3">
        <v>993</v>
      </c>
      <c r="K3" s="10">
        <f>J3/$G$25</f>
        <v>0.17460875681378582</v>
      </c>
      <c r="L3" s="10">
        <f>K3</f>
        <v>0.17460875681378582</v>
      </c>
    </row>
    <row r="4" spans="2:12" x14ac:dyDescent="0.25">
      <c r="B4" s="4" t="s">
        <v>47</v>
      </c>
      <c r="C4" s="3">
        <v>890</v>
      </c>
      <c r="D4" s="10">
        <f t="shared" ref="D4:D23" si="0">C4/$G$25</f>
        <v>0.15649727448566908</v>
      </c>
      <c r="E4" s="10">
        <f>D4+E3</f>
        <v>0.33110603129945493</v>
      </c>
      <c r="F4" s="4" t="s">
        <v>598</v>
      </c>
      <c r="G4" s="3">
        <v>7</v>
      </c>
      <c r="I4" s="4" t="s">
        <v>47</v>
      </c>
      <c r="J4" s="3">
        <v>890</v>
      </c>
      <c r="K4" s="10">
        <f t="shared" ref="K4:K18" si="1">J4/$G$25</f>
        <v>0.15649727448566908</v>
      </c>
      <c r="L4" s="10">
        <f>K4+L3</f>
        <v>0.33110603129945493</v>
      </c>
    </row>
    <row r="5" spans="2:12" x14ac:dyDescent="0.25">
      <c r="B5" s="4" t="s">
        <v>91</v>
      </c>
      <c r="C5" s="3">
        <v>650</v>
      </c>
      <c r="D5" s="10">
        <f t="shared" si="0"/>
        <v>0.11429576226481448</v>
      </c>
      <c r="E5" s="10">
        <f t="shared" ref="E5:E17" si="2">D5+E4</f>
        <v>0.4454017935642694</v>
      </c>
      <c r="F5" s="4" t="s">
        <v>258</v>
      </c>
      <c r="G5" s="3">
        <v>7</v>
      </c>
      <c r="I5" s="4" t="s">
        <v>91</v>
      </c>
      <c r="J5" s="3">
        <v>650</v>
      </c>
      <c r="K5" s="10">
        <f t="shared" si="1"/>
        <v>0.11429576226481448</v>
      </c>
      <c r="L5" s="10">
        <f t="shared" ref="L5:L18" si="3">K5+L4</f>
        <v>0.4454017935642694</v>
      </c>
    </row>
    <row r="6" spans="2:12" x14ac:dyDescent="0.25">
      <c r="B6" s="4" t="s">
        <v>65</v>
      </c>
      <c r="C6" s="3">
        <v>523</v>
      </c>
      <c r="D6" s="10">
        <f t="shared" si="0"/>
        <v>9.1964128714612278E-2</v>
      </c>
      <c r="E6" s="10">
        <f t="shared" si="2"/>
        <v>0.53736592227888169</v>
      </c>
      <c r="F6" s="4" t="s">
        <v>152</v>
      </c>
      <c r="G6" s="3">
        <v>6</v>
      </c>
      <c r="I6" s="4" t="s">
        <v>65</v>
      </c>
      <c r="J6" s="3">
        <v>523</v>
      </c>
      <c r="K6" s="10">
        <f t="shared" si="1"/>
        <v>9.1964128714612278E-2</v>
      </c>
      <c r="L6" s="10">
        <f t="shared" si="3"/>
        <v>0.53736592227888169</v>
      </c>
    </row>
    <row r="7" spans="2:12" x14ac:dyDescent="0.25">
      <c r="B7" s="4" t="s">
        <v>53</v>
      </c>
      <c r="C7" s="3">
        <v>425</v>
      </c>
      <c r="D7" s="10">
        <f t="shared" si="0"/>
        <v>7.4731844557763313E-2</v>
      </c>
      <c r="E7" s="10">
        <f t="shared" si="2"/>
        <v>0.61209776683664496</v>
      </c>
      <c r="F7" s="4" t="s">
        <v>252</v>
      </c>
      <c r="G7" s="3">
        <v>5</v>
      </c>
      <c r="I7" s="4" t="s">
        <v>53</v>
      </c>
      <c r="J7" s="3">
        <v>425</v>
      </c>
      <c r="K7" s="10">
        <f t="shared" si="1"/>
        <v>7.4731844557763313E-2</v>
      </c>
      <c r="L7" s="10">
        <f t="shared" si="3"/>
        <v>0.61209776683664496</v>
      </c>
    </row>
    <row r="8" spans="2:12" x14ac:dyDescent="0.25">
      <c r="B8" s="4" t="s">
        <v>80</v>
      </c>
      <c r="C8" s="3">
        <v>378</v>
      </c>
      <c r="D8" s="10">
        <f t="shared" si="0"/>
        <v>6.6467381747845958E-2</v>
      </c>
      <c r="E8" s="10">
        <f t="shared" si="2"/>
        <v>0.67856514858449091</v>
      </c>
      <c r="F8" s="4" t="s">
        <v>1283</v>
      </c>
      <c r="G8" s="3">
        <v>5</v>
      </c>
      <c r="I8" s="4" t="s">
        <v>80</v>
      </c>
      <c r="J8" s="3">
        <v>378</v>
      </c>
      <c r="K8" s="10">
        <f t="shared" si="1"/>
        <v>6.6467381747845958E-2</v>
      </c>
      <c r="L8" s="10">
        <f t="shared" si="3"/>
        <v>0.67856514858449091</v>
      </c>
    </row>
    <row r="9" spans="2:12" x14ac:dyDescent="0.25">
      <c r="B9" s="4" t="s">
        <v>140</v>
      </c>
      <c r="C9" s="3">
        <v>279</v>
      </c>
      <c r="D9" s="10">
        <f t="shared" si="0"/>
        <v>4.905925795674345E-2</v>
      </c>
      <c r="E9" s="10">
        <f t="shared" si="2"/>
        <v>0.72762440654123439</v>
      </c>
      <c r="F9" s="4" t="s">
        <v>296</v>
      </c>
      <c r="G9" s="3">
        <v>4</v>
      </c>
      <c r="I9" s="4" t="s">
        <v>140</v>
      </c>
      <c r="J9" s="3">
        <v>279</v>
      </c>
      <c r="K9" s="10">
        <f t="shared" si="1"/>
        <v>4.905925795674345E-2</v>
      </c>
      <c r="L9" s="10">
        <f t="shared" si="3"/>
        <v>0.72762440654123439</v>
      </c>
    </row>
    <row r="10" spans="2:12" x14ac:dyDescent="0.25">
      <c r="B10" s="4" t="s">
        <v>69</v>
      </c>
      <c r="C10" s="3">
        <v>277</v>
      </c>
      <c r="D10" s="10">
        <f t="shared" si="0"/>
        <v>4.870757868823633E-2</v>
      </c>
      <c r="E10" s="10">
        <f t="shared" si="2"/>
        <v>0.77633198522947078</v>
      </c>
      <c r="F10" s="4" t="s">
        <v>299</v>
      </c>
      <c r="G10" s="3">
        <v>4</v>
      </c>
      <c r="I10" s="4" t="s">
        <v>69</v>
      </c>
      <c r="J10" s="3">
        <v>277</v>
      </c>
      <c r="K10" s="10">
        <f t="shared" si="1"/>
        <v>4.870757868823633E-2</v>
      </c>
      <c r="L10" s="10">
        <f t="shared" si="3"/>
        <v>0.77633198522947078</v>
      </c>
    </row>
    <row r="11" spans="2:12" x14ac:dyDescent="0.25">
      <c r="B11" s="4" t="s">
        <v>62</v>
      </c>
      <c r="C11" s="3">
        <v>187</v>
      </c>
      <c r="D11" s="10">
        <f t="shared" si="0"/>
        <v>3.2882011605415859E-2</v>
      </c>
      <c r="E11" s="10">
        <f t="shared" si="2"/>
        <v>0.8092139968348866</v>
      </c>
      <c r="F11" s="4" t="s">
        <v>1293</v>
      </c>
      <c r="G11" s="3">
        <v>3</v>
      </c>
      <c r="I11" s="4" t="s">
        <v>62</v>
      </c>
      <c r="J11" s="3">
        <v>187</v>
      </c>
      <c r="K11" s="10">
        <f t="shared" si="1"/>
        <v>3.2882011605415859E-2</v>
      </c>
      <c r="L11" s="10">
        <f t="shared" si="3"/>
        <v>0.8092139968348866</v>
      </c>
    </row>
    <row r="12" spans="2:12" x14ac:dyDescent="0.25">
      <c r="B12" s="4" t="s">
        <v>72</v>
      </c>
      <c r="C12" s="3">
        <v>170</v>
      </c>
      <c r="D12" s="10">
        <f t="shared" si="0"/>
        <v>2.989273782310533E-2</v>
      </c>
      <c r="E12" s="10">
        <f t="shared" si="2"/>
        <v>0.8391067346579919</v>
      </c>
      <c r="F12" s="4" t="s">
        <v>189</v>
      </c>
      <c r="G12" s="3">
        <v>3</v>
      </c>
      <c r="I12" s="4" t="s">
        <v>72</v>
      </c>
      <c r="J12" s="3">
        <v>170</v>
      </c>
      <c r="K12" s="10">
        <f t="shared" si="1"/>
        <v>2.989273782310533E-2</v>
      </c>
      <c r="L12" s="10">
        <f t="shared" si="3"/>
        <v>0.8391067346579919</v>
      </c>
    </row>
    <row r="13" spans="2:12" x14ac:dyDescent="0.25">
      <c r="B13" s="4" t="s">
        <v>86</v>
      </c>
      <c r="C13" s="3">
        <v>148</v>
      </c>
      <c r="D13" s="10">
        <f t="shared" si="0"/>
        <v>2.602426586952699E-2</v>
      </c>
      <c r="E13" s="10">
        <f t="shared" si="2"/>
        <v>0.8651310005275189</v>
      </c>
      <c r="F13" s="4" t="s">
        <v>1291</v>
      </c>
      <c r="G13" s="3">
        <v>3</v>
      </c>
      <c r="I13" s="4" t="s">
        <v>86</v>
      </c>
      <c r="J13" s="3">
        <v>148</v>
      </c>
      <c r="K13" s="10">
        <f t="shared" si="1"/>
        <v>2.602426586952699E-2</v>
      </c>
      <c r="L13" s="10">
        <f t="shared" si="3"/>
        <v>0.8651310005275189</v>
      </c>
    </row>
    <row r="14" spans="2:12" x14ac:dyDescent="0.25">
      <c r="B14" s="4" t="s">
        <v>34</v>
      </c>
      <c r="C14" s="3">
        <v>129</v>
      </c>
      <c r="D14" s="10">
        <f t="shared" si="0"/>
        <v>2.2683312818709337E-2</v>
      </c>
      <c r="E14" s="10">
        <f t="shared" si="2"/>
        <v>0.88781431334622829</v>
      </c>
      <c r="F14" s="4" t="s">
        <v>291</v>
      </c>
      <c r="G14" s="3">
        <v>3</v>
      </c>
      <c r="I14" s="4" t="s">
        <v>34</v>
      </c>
      <c r="J14" s="3">
        <v>129</v>
      </c>
      <c r="K14" s="10">
        <f t="shared" si="1"/>
        <v>2.2683312818709337E-2</v>
      </c>
      <c r="L14" s="10">
        <f t="shared" si="3"/>
        <v>0.88781431334622829</v>
      </c>
    </row>
    <row r="15" spans="2:12" x14ac:dyDescent="0.25">
      <c r="B15" s="4" t="s">
        <v>142</v>
      </c>
      <c r="C15" s="3">
        <v>123</v>
      </c>
      <c r="D15" s="10">
        <f t="shared" si="0"/>
        <v>2.1628275013187974E-2</v>
      </c>
      <c r="E15" s="10">
        <f t="shared" si="2"/>
        <v>0.90944258835941627</v>
      </c>
      <c r="F15" s="4" t="s">
        <v>722</v>
      </c>
      <c r="G15" s="3">
        <v>2</v>
      </c>
      <c r="I15" s="4" t="s">
        <v>142</v>
      </c>
      <c r="J15" s="3">
        <v>123</v>
      </c>
      <c r="K15" s="10">
        <f t="shared" si="1"/>
        <v>2.1628275013187974E-2</v>
      </c>
      <c r="L15" s="10">
        <f t="shared" si="3"/>
        <v>0.90944258835941627</v>
      </c>
    </row>
    <row r="16" spans="2:12" x14ac:dyDescent="0.25">
      <c r="B16" s="4" t="s">
        <v>83</v>
      </c>
      <c r="C16" s="3">
        <v>114</v>
      </c>
      <c r="D16" s="10">
        <f t="shared" si="0"/>
        <v>2.0045718304905927E-2</v>
      </c>
      <c r="E16" s="10">
        <f t="shared" si="2"/>
        <v>0.92948830666432225</v>
      </c>
      <c r="F16" s="4" t="s">
        <v>276</v>
      </c>
      <c r="G16" s="3">
        <v>2</v>
      </c>
      <c r="I16" s="4" t="s">
        <v>83</v>
      </c>
      <c r="J16" s="3">
        <v>114</v>
      </c>
      <c r="K16" s="10">
        <f t="shared" si="1"/>
        <v>2.0045718304905927E-2</v>
      </c>
      <c r="L16" s="10">
        <f t="shared" si="3"/>
        <v>0.92948830666432225</v>
      </c>
    </row>
    <row r="17" spans="2:12" x14ac:dyDescent="0.25">
      <c r="B17" s="4" t="s">
        <v>144</v>
      </c>
      <c r="C17" s="3">
        <v>94</v>
      </c>
      <c r="D17" s="10">
        <f t="shared" si="0"/>
        <v>1.6528925619834711E-2</v>
      </c>
      <c r="E17" s="10">
        <f t="shared" si="2"/>
        <v>0.94601723228415691</v>
      </c>
      <c r="F17" s="4" t="s">
        <v>1298</v>
      </c>
      <c r="G17" s="3">
        <v>1</v>
      </c>
      <c r="I17" s="4" t="s">
        <v>144</v>
      </c>
      <c r="J17" s="3">
        <v>94</v>
      </c>
      <c r="K17" s="10">
        <f t="shared" si="1"/>
        <v>1.6528925619834711E-2</v>
      </c>
      <c r="L17" s="10">
        <f t="shared" si="3"/>
        <v>0.94601723228415691</v>
      </c>
    </row>
    <row r="18" spans="2:12" x14ac:dyDescent="0.25">
      <c r="B18" s="4" t="s">
        <v>59</v>
      </c>
      <c r="C18" s="3">
        <v>90</v>
      </c>
      <c r="D18" s="10">
        <f t="shared" si="0"/>
        <v>1.5825567082820468E-2</v>
      </c>
      <c r="F18" s="4" t="s">
        <v>1571</v>
      </c>
      <c r="G18" s="3">
        <v>1</v>
      </c>
      <c r="I18" s="4" t="s">
        <v>1838</v>
      </c>
      <c r="J18">
        <f>G25-SUM(J3:J17)</f>
        <v>307</v>
      </c>
      <c r="K18" s="10">
        <f t="shared" si="1"/>
        <v>5.398276771584315E-2</v>
      </c>
      <c r="L18" s="10">
        <f t="shared" si="3"/>
        <v>1</v>
      </c>
    </row>
    <row r="19" spans="2:12" x14ac:dyDescent="0.25">
      <c r="B19" s="4" t="s">
        <v>146</v>
      </c>
      <c r="C19" s="3">
        <v>61</v>
      </c>
      <c r="D19" s="10">
        <f t="shared" si="0"/>
        <v>1.0726217689467205E-2</v>
      </c>
      <c r="F19" s="4" t="s">
        <v>1385</v>
      </c>
      <c r="G19" s="3">
        <v>1</v>
      </c>
    </row>
    <row r="20" spans="2:12" x14ac:dyDescent="0.25">
      <c r="B20" s="4" t="s">
        <v>118</v>
      </c>
      <c r="C20" s="3">
        <v>29</v>
      </c>
      <c r="D20" s="10">
        <f t="shared" si="0"/>
        <v>5.0993493933532618E-3</v>
      </c>
      <c r="F20" s="4" t="s">
        <v>925</v>
      </c>
      <c r="G20" s="3">
        <v>1</v>
      </c>
    </row>
    <row r="21" spans="2:12" x14ac:dyDescent="0.25">
      <c r="B21" s="4" t="s">
        <v>150</v>
      </c>
      <c r="C21" s="3">
        <v>23</v>
      </c>
      <c r="D21" s="10">
        <f t="shared" si="0"/>
        <v>4.044311587831897E-3</v>
      </c>
      <c r="F21" s="4" t="s">
        <v>855</v>
      </c>
      <c r="G21" s="3">
        <v>1</v>
      </c>
    </row>
    <row r="22" spans="2:12" ht="30" x14ac:dyDescent="0.25">
      <c r="B22" s="4" t="s">
        <v>137</v>
      </c>
      <c r="C22" s="3">
        <v>22</v>
      </c>
      <c r="D22" s="10">
        <f t="shared" si="0"/>
        <v>3.8684719535783366E-3</v>
      </c>
      <c r="F22" s="33" t="s">
        <v>1835</v>
      </c>
      <c r="G22" s="3">
        <v>1</v>
      </c>
    </row>
    <row r="23" spans="2:12" x14ac:dyDescent="0.25">
      <c r="B23" s="4" t="s">
        <v>260</v>
      </c>
      <c r="C23" s="3">
        <v>12</v>
      </c>
      <c r="D23" s="10">
        <f t="shared" si="0"/>
        <v>2.1100756110427289E-3</v>
      </c>
      <c r="F23" s="4" t="s">
        <v>283</v>
      </c>
      <c r="G23" s="3">
        <v>1</v>
      </c>
    </row>
    <row r="24" spans="2:12" x14ac:dyDescent="0.25">
      <c r="F24" s="4" t="s">
        <v>1773</v>
      </c>
      <c r="G24" s="3">
        <v>1</v>
      </c>
    </row>
    <row r="25" spans="2:12" x14ac:dyDescent="0.25">
      <c r="F25" s="5" t="s">
        <v>1742</v>
      </c>
      <c r="G25" s="6">
        <v>5687</v>
      </c>
    </row>
  </sheetData>
  <sortState ref="B3:C44">
    <sortCondition descending="1" ref="C3:C44"/>
  </sortState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8"/>
  <sheetViews>
    <sheetView zoomScale="85" zoomScaleNormal="85" workbookViewId="0">
      <selection activeCell="D4" sqref="D4"/>
    </sheetView>
  </sheetViews>
  <sheetFormatPr defaultRowHeight="15" x14ac:dyDescent="0.25"/>
  <cols>
    <col min="1" max="1" width="65.7109375" bestFit="1" customWidth="1"/>
    <col min="2" max="2" width="7.42578125" bestFit="1" customWidth="1"/>
    <col min="3" max="3" width="4.85546875" customWidth="1"/>
    <col min="4" max="4" width="6.5703125" bestFit="1" customWidth="1"/>
    <col min="5" max="6" width="7.140625" bestFit="1" customWidth="1"/>
    <col min="7" max="7" width="6.5703125" bestFit="1" customWidth="1"/>
    <col min="8" max="8" width="7.140625" bestFit="1" customWidth="1"/>
    <col min="9" max="10" width="6.5703125" bestFit="1" customWidth="1"/>
    <col min="11" max="11" width="6.140625" bestFit="1" customWidth="1"/>
    <col min="12" max="12" width="7.140625" bestFit="1" customWidth="1"/>
    <col min="15" max="15" width="36.28515625" bestFit="1" customWidth="1"/>
    <col min="16" max="16" width="7.42578125" bestFit="1" customWidth="1"/>
    <col min="17" max="17" width="4" customWidth="1"/>
    <col min="18" max="24" width="6.5703125" bestFit="1" customWidth="1"/>
    <col min="25" max="25" width="5.140625" bestFit="1" customWidth="1"/>
    <col min="26" max="26" width="6.140625" bestFit="1" customWidth="1"/>
    <col min="33" max="33" width="24.85546875" bestFit="1" customWidth="1"/>
    <col min="48" max="48" width="10.5703125" bestFit="1" customWidth="1"/>
    <col min="50" max="50" width="10.5703125" bestFit="1" customWidth="1"/>
    <col min="54" max="54" width="9.42578125" bestFit="1" customWidth="1"/>
    <col min="55" max="55" width="10.28515625" bestFit="1" customWidth="1"/>
  </cols>
  <sheetData>
    <row r="1" spans="1:55" ht="15.75" thickBot="1" x14ac:dyDescent="0.3">
      <c r="A1" s="7" t="s">
        <v>1865</v>
      </c>
      <c r="AT1" s="7" t="s">
        <v>1866</v>
      </c>
    </row>
    <row r="2" spans="1:55" x14ac:dyDescent="0.25">
      <c r="AU2" s="203" t="s">
        <v>1808</v>
      </c>
      <c r="AV2" s="200"/>
      <c r="AW2" s="203" t="s">
        <v>1809</v>
      </c>
      <c r="AX2" s="200"/>
    </row>
    <row r="3" spans="1:55" ht="30" x14ac:dyDescent="0.25">
      <c r="A3" t="s">
        <v>1774</v>
      </c>
      <c r="B3" t="s">
        <v>1752</v>
      </c>
      <c r="D3" s="149" t="s">
        <v>1777</v>
      </c>
      <c r="E3" s="149" t="s">
        <v>1778</v>
      </c>
      <c r="F3" s="149" t="s">
        <v>1779</v>
      </c>
      <c r="G3" s="149" t="s">
        <v>1780</v>
      </c>
      <c r="H3" s="149" t="s">
        <v>1781</v>
      </c>
      <c r="I3" s="149" t="s">
        <v>1782</v>
      </c>
      <c r="J3" s="149" t="s">
        <v>1783</v>
      </c>
      <c r="K3" s="149" t="s">
        <v>1772</v>
      </c>
      <c r="L3" s="149" t="s">
        <v>1773</v>
      </c>
      <c r="O3" s="7" t="s">
        <v>1840</v>
      </c>
      <c r="P3" s="7" t="s">
        <v>1752</v>
      </c>
      <c r="Q3" s="7"/>
      <c r="R3" s="149" t="s">
        <v>1777</v>
      </c>
      <c r="S3" s="149" t="s">
        <v>1778</v>
      </c>
      <c r="T3" s="149" t="s">
        <v>1779</v>
      </c>
      <c r="U3" s="149" t="s">
        <v>1780</v>
      </c>
      <c r="V3" s="149" t="s">
        <v>1781</v>
      </c>
      <c r="W3" s="149" t="s">
        <v>1782</v>
      </c>
      <c r="X3" s="149" t="s">
        <v>1783</v>
      </c>
      <c r="Y3" s="149" t="s">
        <v>1772</v>
      </c>
      <c r="Z3" s="149" t="s">
        <v>1773</v>
      </c>
      <c r="AB3" s="149" t="s">
        <v>1790</v>
      </c>
      <c r="AC3" s="149" t="s">
        <v>1791</v>
      </c>
      <c r="AD3" s="149" t="s">
        <v>1841</v>
      </c>
      <c r="AE3" s="149" t="s">
        <v>1773</v>
      </c>
      <c r="AG3" s="7" t="s">
        <v>1840</v>
      </c>
      <c r="AH3" s="149" t="s">
        <v>1790</v>
      </c>
      <c r="AI3" s="149" t="s">
        <v>1791</v>
      </c>
      <c r="AJ3" s="149" t="s">
        <v>1841</v>
      </c>
      <c r="AK3" s="149" t="s">
        <v>1773</v>
      </c>
      <c r="AM3" s="151" t="s">
        <v>1774</v>
      </c>
      <c r="AN3" s="151" t="s">
        <v>51</v>
      </c>
      <c r="AO3" s="151" t="s">
        <v>165</v>
      </c>
      <c r="AP3" s="151" t="s">
        <v>44</v>
      </c>
      <c r="AQ3" s="151" t="s">
        <v>55</v>
      </c>
      <c r="AR3" s="151" t="s">
        <v>1742</v>
      </c>
      <c r="AT3" s="172" t="s">
        <v>1842</v>
      </c>
      <c r="AU3" s="169" t="s">
        <v>1828</v>
      </c>
      <c r="AV3" s="170" t="s">
        <v>1829</v>
      </c>
      <c r="AW3" s="169" t="s">
        <v>1830</v>
      </c>
      <c r="AX3" s="171" t="s">
        <v>1834</v>
      </c>
      <c r="AY3" s="173" t="s">
        <v>1843</v>
      </c>
      <c r="BA3" s="172" t="s">
        <v>1842</v>
      </c>
      <c r="BB3" s="172" t="s">
        <v>1808</v>
      </c>
      <c r="BC3" s="172" t="s">
        <v>1809</v>
      </c>
    </row>
    <row r="4" spans="1:55" x14ac:dyDescent="0.25">
      <c r="A4" t="s">
        <v>112</v>
      </c>
      <c r="B4">
        <v>993</v>
      </c>
      <c r="D4" s="167">
        <v>0.3152064451158107</v>
      </c>
      <c r="E4" s="167">
        <v>0.26283987915407853</v>
      </c>
      <c r="F4" s="166">
        <v>8.6606243705941596E-2</v>
      </c>
      <c r="G4" s="166">
        <v>0.10976837865055387</v>
      </c>
      <c r="H4" s="166">
        <v>9.6676737160120846E-2</v>
      </c>
      <c r="I4" s="166">
        <v>4.3303121852970798E-2</v>
      </c>
      <c r="J4" s="166">
        <v>1.1077542799597181E-2</v>
      </c>
      <c r="K4" s="166">
        <v>1.2084592145015106E-2</v>
      </c>
      <c r="L4" s="166">
        <v>6.2437059415911378E-2</v>
      </c>
      <c r="M4">
        <v>1</v>
      </c>
      <c r="O4" t="s">
        <v>112</v>
      </c>
      <c r="P4" s="12">
        <v>993</v>
      </c>
      <c r="R4" s="167">
        <v>0.3152064451158107</v>
      </c>
      <c r="S4" s="167">
        <v>0.26283987915407853</v>
      </c>
      <c r="T4" s="166">
        <v>8.6606243705941596E-2</v>
      </c>
      <c r="U4" s="166">
        <v>0.10976837865055387</v>
      </c>
      <c r="V4" s="166">
        <v>9.6676737160120846E-2</v>
      </c>
      <c r="W4" s="166">
        <v>4.3303121852970798E-2</v>
      </c>
      <c r="X4" s="166">
        <v>1.1077542799597181E-2</v>
      </c>
      <c r="Y4" s="166">
        <v>1.2084592145015106E-2</v>
      </c>
      <c r="Z4" s="166">
        <v>6.2437059415911378E-2</v>
      </c>
      <c r="AB4" s="166">
        <f>R4+S4</f>
        <v>0.57804632426988922</v>
      </c>
      <c r="AC4" s="166">
        <f>T4+U4+V4</f>
        <v>0.29305135951661632</v>
      </c>
      <c r="AD4" s="166">
        <f>W4+X4+Y4</f>
        <v>6.6465256797583083E-2</v>
      </c>
      <c r="AE4" s="166">
        <f>Z4</f>
        <v>6.2437059415911378E-2</v>
      </c>
      <c r="AF4" s="166"/>
      <c r="AG4" t="s">
        <v>112</v>
      </c>
      <c r="AH4" s="166">
        <v>0.57804632426988922</v>
      </c>
      <c r="AI4" s="166">
        <v>0.29305135951661632</v>
      </c>
      <c r="AJ4" s="166">
        <v>6.6465256797583083E-2</v>
      </c>
      <c r="AK4" s="166">
        <v>6.2437059415911378E-2</v>
      </c>
      <c r="AM4" s="4" t="s">
        <v>1777</v>
      </c>
      <c r="AN4" s="3">
        <v>290</v>
      </c>
      <c r="AO4" s="3">
        <v>7</v>
      </c>
      <c r="AP4" s="3">
        <v>243</v>
      </c>
      <c r="AQ4" s="3">
        <v>48</v>
      </c>
      <c r="AR4" s="3">
        <v>588</v>
      </c>
      <c r="AT4" s="4" t="s">
        <v>1777</v>
      </c>
      <c r="AU4" s="10">
        <v>0.49319727891156462</v>
      </c>
      <c r="AV4" s="10">
        <v>1.1904761904761904E-2</v>
      </c>
      <c r="AW4" s="10">
        <v>0.41326530612244899</v>
      </c>
      <c r="AX4" s="10">
        <v>8.1632653061224483E-2</v>
      </c>
      <c r="AY4" s="10">
        <v>1</v>
      </c>
      <c r="BA4" s="4" t="s">
        <v>1777</v>
      </c>
      <c r="BB4" s="10">
        <f t="shared" ref="BB4:BB13" si="0">AU4+AV4</f>
        <v>0.50510204081632648</v>
      </c>
      <c r="BC4" s="10">
        <f t="shared" ref="BC4:BC13" si="1">AW4+AX4</f>
        <v>0.49489795918367346</v>
      </c>
    </row>
    <row r="5" spans="1:55" x14ac:dyDescent="0.25">
      <c r="A5" t="s">
        <v>47</v>
      </c>
      <c r="B5">
        <v>890</v>
      </c>
      <c r="D5" s="166">
        <v>2.6966292134831461E-2</v>
      </c>
      <c r="E5" s="166">
        <v>0.1853932584269663</v>
      </c>
      <c r="F5" s="166">
        <v>0.15955056179775282</v>
      </c>
      <c r="G5" s="167">
        <v>0.24269662921348314</v>
      </c>
      <c r="H5" s="167">
        <v>0.22022471910112359</v>
      </c>
      <c r="I5" s="166">
        <v>5.0561797752808987E-2</v>
      </c>
      <c r="J5" s="166">
        <v>2.9213483146067417E-2</v>
      </c>
      <c r="K5" s="166">
        <v>0</v>
      </c>
      <c r="L5" s="166">
        <v>8.5393258426966295E-2</v>
      </c>
      <c r="M5">
        <v>1</v>
      </c>
      <c r="O5" t="s">
        <v>47</v>
      </c>
      <c r="P5" s="12">
        <v>890</v>
      </c>
      <c r="R5" s="166">
        <v>2.6966292134831461E-2</v>
      </c>
      <c r="S5" s="166">
        <v>0.1853932584269663</v>
      </c>
      <c r="T5" s="166">
        <v>0.15955056179775282</v>
      </c>
      <c r="U5" s="167">
        <v>0.24269662921348314</v>
      </c>
      <c r="V5" s="167">
        <v>0.22022471910112359</v>
      </c>
      <c r="W5" s="166">
        <v>5.0561797752808987E-2</v>
      </c>
      <c r="X5" s="166">
        <v>2.9213483146067417E-2</v>
      </c>
      <c r="Y5" s="166">
        <v>0</v>
      </c>
      <c r="Z5" s="166">
        <v>8.5393258426966295E-2</v>
      </c>
      <c r="AB5" s="166">
        <f t="shared" ref="AB5:AB25" si="2">R5+S5</f>
        <v>0.21235955056179776</v>
      </c>
      <c r="AC5" s="166">
        <f t="shared" ref="AC5:AC25" si="3">T5+U5+V5</f>
        <v>0.62247191011235958</v>
      </c>
      <c r="AD5" s="166">
        <f t="shared" ref="AD5:AD25" si="4">W5+X5+Y5</f>
        <v>7.9775280898876408E-2</v>
      </c>
      <c r="AE5" s="166">
        <f t="shared" ref="AE5:AE25" si="5">Z5</f>
        <v>8.5393258426966295E-2</v>
      </c>
      <c r="AF5" s="166"/>
      <c r="AG5" t="s">
        <v>47</v>
      </c>
      <c r="AH5" s="166">
        <v>0.21235955056179776</v>
      </c>
      <c r="AI5" s="166">
        <v>0.62247191011235958</v>
      </c>
      <c r="AJ5" s="166">
        <v>7.9775280898876408E-2</v>
      </c>
      <c r="AK5" s="166">
        <v>8.5393258426966295E-2</v>
      </c>
      <c r="AM5" s="4" t="s">
        <v>1778</v>
      </c>
      <c r="AN5" s="3">
        <v>1044</v>
      </c>
      <c r="AO5" s="3">
        <v>59</v>
      </c>
      <c r="AP5" s="3">
        <v>258</v>
      </c>
      <c r="AQ5" s="3">
        <v>38</v>
      </c>
      <c r="AR5" s="3">
        <v>1399</v>
      </c>
      <c r="AT5" s="4" t="s">
        <v>1778</v>
      </c>
      <c r="AU5" s="10">
        <v>0.74624731951393852</v>
      </c>
      <c r="AV5" s="10">
        <v>4.2172980700500358E-2</v>
      </c>
      <c r="AW5" s="10">
        <v>0.18441744102930666</v>
      </c>
      <c r="AX5" s="10">
        <v>2.7162258756254467E-2</v>
      </c>
      <c r="AY5" s="10">
        <v>1</v>
      </c>
      <c r="BA5" s="4" t="s">
        <v>1778</v>
      </c>
      <c r="BB5" s="10">
        <f t="shared" si="0"/>
        <v>0.78842030021443887</v>
      </c>
      <c r="BC5" s="10">
        <f t="shared" si="1"/>
        <v>0.21157969978556113</v>
      </c>
    </row>
    <row r="6" spans="1:55" x14ac:dyDescent="0.25">
      <c r="A6" t="s">
        <v>91</v>
      </c>
      <c r="B6">
        <v>650</v>
      </c>
      <c r="D6" s="167">
        <v>0.19230769230769232</v>
      </c>
      <c r="E6" s="167">
        <v>0.42615384615384616</v>
      </c>
      <c r="F6" s="166">
        <v>8.615384615384615E-2</v>
      </c>
      <c r="G6" s="166">
        <v>0.12307692307692308</v>
      </c>
      <c r="H6" s="166">
        <v>0.1123076923076923</v>
      </c>
      <c r="I6" s="166">
        <v>2.4615384615384615E-2</v>
      </c>
      <c r="J6" s="166">
        <v>9.2307692307692316E-3</v>
      </c>
      <c r="K6" s="166">
        <v>3.0769230769230769E-3</v>
      </c>
      <c r="L6" s="166">
        <v>2.3076923076923078E-2</v>
      </c>
      <c r="M6">
        <v>1</v>
      </c>
      <c r="O6" t="s">
        <v>91</v>
      </c>
      <c r="P6" s="12">
        <v>650</v>
      </c>
      <c r="R6" s="167">
        <v>0.19230769230769232</v>
      </c>
      <c r="S6" s="167">
        <v>0.42615384615384616</v>
      </c>
      <c r="T6" s="166">
        <v>8.615384615384615E-2</v>
      </c>
      <c r="U6" s="166">
        <v>0.12307692307692308</v>
      </c>
      <c r="V6" s="166">
        <v>0.1123076923076923</v>
      </c>
      <c r="W6" s="166">
        <v>2.4615384615384615E-2</v>
      </c>
      <c r="X6" s="166">
        <v>9.2307692307692316E-3</v>
      </c>
      <c r="Y6" s="166">
        <v>3.0769230769230769E-3</v>
      </c>
      <c r="Z6" s="166">
        <v>2.3076923076923078E-2</v>
      </c>
      <c r="AB6" s="166">
        <f t="shared" si="2"/>
        <v>0.61846153846153851</v>
      </c>
      <c r="AC6" s="166">
        <f t="shared" si="3"/>
        <v>0.32153846153846155</v>
      </c>
      <c r="AD6" s="166">
        <f t="shared" si="4"/>
        <v>3.692307692307692E-2</v>
      </c>
      <c r="AE6" s="166">
        <f t="shared" si="5"/>
        <v>2.3076923076923078E-2</v>
      </c>
      <c r="AF6" s="166"/>
      <c r="AG6" t="s">
        <v>91</v>
      </c>
      <c r="AH6" s="166">
        <v>0.61846153846153851</v>
      </c>
      <c r="AI6" s="166">
        <v>0.32153846153846155</v>
      </c>
      <c r="AJ6" s="166">
        <v>3.692307692307692E-2</v>
      </c>
      <c r="AK6" s="166">
        <v>2.3076923076923078E-2</v>
      </c>
      <c r="AM6" s="4" t="s">
        <v>1779</v>
      </c>
      <c r="AN6" s="3">
        <v>621</v>
      </c>
      <c r="AO6" s="3">
        <v>54</v>
      </c>
      <c r="AP6" s="3">
        <v>75</v>
      </c>
      <c r="AQ6" s="3">
        <v>13</v>
      </c>
      <c r="AR6" s="3">
        <v>763</v>
      </c>
      <c r="AT6" s="4" t="s">
        <v>1779</v>
      </c>
      <c r="AU6" s="10">
        <v>0.81389252948885982</v>
      </c>
      <c r="AV6" s="10">
        <v>7.0773263433813891E-2</v>
      </c>
      <c r="AW6" s="10">
        <v>9.8296199213630406E-2</v>
      </c>
      <c r="AX6" s="10">
        <v>1.7038007863695939E-2</v>
      </c>
      <c r="AY6" s="10">
        <v>1</v>
      </c>
      <c r="BA6" s="4" t="s">
        <v>1779</v>
      </c>
      <c r="BB6" s="10">
        <f t="shared" si="0"/>
        <v>0.88466579292267367</v>
      </c>
      <c r="BC6" s="10">
        <f t="shared" si="1"/>
        <v>0.11533420707732635</v>
      </c>
    </row>
    <row r="7" spans="1:55" x14ac:dyDescent="0.25">
      <c r="A7" t="s">
        <v>65</v>
      </c>
      <c r="B7">
        <v>523</v>
      </c>
      <c r="D7" s="166">
        <v>5.1625239005736137E-2</v>
      </c>
      <c r="E7" s="166">
        <v>0.27342256214149141</v>
      </c>
      <c r="F7" s="166">
        <v>0.16634799235181644</v>
      </c>
      <c r="G7" s="166">
        <v>0.15296367112810708</v>
      </c>
      <c r="H7" s="166">
        <v>0.14722753346080306</v>
      </c>
      <c r="I7" s="166">
        <v>7.2657743785850867E-2</v>
      </c>
      <c r="J7" s="166">
        <v>4.5889101338432124E-2</v>
      </c>
      <c r="K7" s="166">
        <v>1.1472275334608031E-2</v>
      </c>
      <c r="L7" s="166">
        <v>7.8393881453154873E-2</v>
      </c>
      <c r="M7">
        <v>1</v>
      </c>
      <c r="O7" t="s">
        <v>65</v>
      </c>
      <c r="P7" s="12">
        <v>523</v>
      </c>
      <c r="R7" s="166">
        <v>5.1625239005736137E-2</v>
      </c>
      <c r="S7" s="166">
        <v>0.27342256214149141</v>
      </c>
      <c r="T7" s="166">
        <v>0.16634799235181644</v>
      </c>
      <c r="U7" s="166">
        <v>0.15296367112810708</v>
      </c>
      <c r="V7" s="166">
        <v>0.14722753346080306</v>
      </c>
      <c r="W7" s="166">
        <v>7.2657743785850867E-2</v>
      </c>
      <c r="X7" s="166">
        <v>4.5889101338432124E-2</v>
      </c>
      <c r="Y7" s="166">
        <v>1.1472275334608031E-2</v>
      </c>
      <c r="Z7" s="166">
        <v>7.8393881453154873E-2</v>
      </c>
      <c r="AB7" s="166">
        <f t="shared" si="2"/>
        <v>0.32504780114722753</v>
      </c>
      <c r="AC7" s="166">
        <f t="shared" si="3"/>
        <v>0.46653919694072654</v>
      </c>
      <c r="AD7" s="166">
        <f t="shared" si="4"/>
        <v>0.13001912045889102</v>
      </c>
      <c r="AE7" s="166">
        <f t="shared" si="5"/>
        <v>7.8393881453154873E-2</v>
      </c>
      <c r="AF7" s="166"/>
      <c r="AG7" t="s">
        <v>65</v>
      </c>
      <c r="AH7" s="166">
        <v>0.32504780114722753</v>
      </c>
      <c r="AI7" s="166">
        <v>0.46653919694072654</v>
      </c>
      <c r="AJ7" s="166">
        <v>0.13001912045889102</v>
      </c>
      <c r="AK7" s="166">
        <v>7.8393881453154873E-2</v>
      </c>
      <c r="AM7" s="4" t="s">
        <v>1780</v>
      </c>
      <c r="AN7" s="3">
        <v>788</v>
      </c>
      <c r="AO7" s="3">
        <v>92</v>
      </c>
      <c r="AP7" s="3">
        <v>43</v>
      </c>
      <c r="AQ7" s="3">
        <v>3</v>
      </c>
      <c r="AR7" s="3">
        <v>926</v>
      </c>
      <c r="AT7" s="4" t="s">
        <v>1780</v>
      </c>
      <c r="AU7" s="10">
        <v>0.85097192224622031</v>
      </c>
      <c r="AV7" s="10">
        <v>9.9352051835853133E-2</v>
      </c>
      <c r="AW7" s="10">
        <v>4.6436285097192227E-2</v>
      </c>
      <c r="AX7" s="10">
        <v>3.2397408207343412E-3</v>
      </c>
      <c r="AY7" s="10">
        <v>1</v>
      </c>
      <c r="BA7" s="4" t="s">
        <v>1780</v>
      </c>
      <c r="BB7" s="10">
        <f t="shared" si="0"/>
        <v>0.95032397408207347</v>
      </c>
      <c r="BC7" s="10">
        <f t="shared" si="1"/>
        <v>4.9676025917926567E-2</v>
      </c>
    </row>
    <row r="8" spans="1:55" x14ac:dyDescent="0.25">
      <c r="A8" t="s">
        <v>53</v>
      </c>
      <c r="B8">
        <v>425</v>
      </c>
      <c r="D8" s="166">
        <v>2.823529411764706E-2</v>
      </c>
      <c r="E8" s="166">
        <v>0.16235294117647059</v>
      </c>
      <c r="F8" s="166">
        <v>0.11294117647058824</v>
      </c>
      <c r="G8" s="166">
        <v>0.13647058823529412</v>
      </c>
      <c r="H8" s="167">
        <v>0.20470588235294118</v>
      </c>
      <c r="I8" s="167">
        <v>0.16</v>
      </c>
      <c r="J8" s="167">
        <v>0.10352941176470588</v>
      </c>
      <c r="K8" s="166">
        <v>1.6470588235294119E-2</v>
      </c>
      <c r="L8" s="166">
        <v>7.5294117647058817E-2</v>
      </c>
      <c r="M8">
        <v>1</v>
      </c>
      <c r="O8" t="s">
        <v>53</v>
      </c>
      <c r="P8" s="12">
        <v>425</v>
      </c>
      <c r="R8" s="166">
        <v>2.823529411764706E-2</v>
      </c>
      <c r="S8" s="166">
        <v>0.16235294117647059</v>
      </c>
      <c r="T8" s="166">
        <v>0.11294117647058824</v>
      </c>
      <c r="U8" s="166">
        <v>0.13647058823529412</v>
      </c>
      <c r="V8" s="167">
        <v>0.20470588235294118</v>
      </c>
      <c r="W8" s="167">
        <v>0.16</v>
      </c>
      <c r="X8" s="167">
        <v>0.10352941176470588</v>
      </c>
      <c r="Y8" s="166">
        <v>1.6470588235294119E-2</v>
      </c>
      <c r="Z8" s="166">
        <v>7.5294117647058817E-2</v>
      </c>
      <c r="AB8" s="166">
        <f t="shared" si="2"/>
        <v>0.19058823529411764</v>
      </c>
      <c r="AC8" s="166">
        <f t="shared" si="3"/>
        <v>0.45411764705882351</v>
      </c>
      <c r="AD8" s="166">
        <f t="shared" si="4"/>
        <v>0.28000000000000003</v>
      </c>
      <c r="AE8" s="166">
        <f t="shared" si="5"/>
        <v>7.5294117647058817E-2</v>
      </c>
      <c r="AF8" s="166"/>
      <c r="AG8" t="s">
        <v>53</v>
      </c>
      <c r="AH8" s="166">
        <v>0.19058823529411764</v>
      </c>
      <c r="AI8" s="166">
        <v>0.45411764705882351</v>
      </c>
      <c r="AJ8" s="166">
        <v>0.28000000000000003</v>
      </c>
      <c r="AK8" s="166">
        <v>7.5294117647058817E-2</v>
      </c>
      <c r="AM8" s="4" t="s">
        <v>1781</v>
      </c>
      <c r="AN8" s="3">
        <v>743</v>
      </c>
      <c r="AO8" s="3">
        <v>179</v>
      </c>
      <c r="AP8" s="3">
        <v>18</v>
      </c>
      <c r="AQ8" s="3">
        <v>3</v>
      </c>
      <c r="AR8" s="3">
        <v>943</v>
      </c>
      <c r="AT8" s="4" t="s">
        <v>1781</v>
      </c>
      <c r="AU8" s="10">
        <v>0.78791092258748674</v>
      </c>
      <c r="AV8" s="10">
        <v>0.18981972428419935</v>
      </c>
      <c r="AW8" s="10">
        <v>1.9088016967126194E-2</v>
      </c>
      <c r="AX8" s="10">
        <v>3.1813361611876989E-3</v>
      </c>
      <c r="AY8" s="10">
        <v>1</v>
      </c>
      <c r="BA8" s="4" t="s">
        <v>1781</v>
      </c>
      <c r="BB8" s="10">
        <f t="shared" si="0"/>
        <v>0.97773064687168609</v>
      </c>
      <c r="BC8" s="10">
        <f t="shared" si="1"/>
        <v>2.2269353128313893E-2</v>
      </c>
    </row>
    <row r="9" spans="1:55" x14ac:dyDescent="0.25">
      <c r="A9" t="s">
        <v>80</v>
      </c>
      <c r="B9">
        <v>378</v>
      </c>
      <c r="D9" s="166">
        <v>3.439153439153439E-2</v>
      </c>
      <c r="E9" s="166">
        <v>0.19576719576719576</v>
      </c>
      <c r="F9" s="166">
        <v>0.13492063492063491</v>
      </c>
      <c r="G9" s="167">
        <v>0.21164021164021163</v>
      </c>
      <c r="H9" s="167">
        <v>0.26190476190476192</v>
      </c>
      <c r="I9" s="167">
        <v>7.1428571428571425E-2</v>
      </c>
      <c r="J9" s="166">
        <v>1.0582010582010581E-2</v>
      </c>
      <c r="K9" s="166">
        <v>0</v>
      </c>
      <c r="L9" s="166">
        <v>7.9365079365079361E-2</v>
      </c>
      <c r="M9">
        <v>1</v>
      </c>
      <c r="O9" t="s">
        <v>80</v>
      </c>
      <c r="P9" s="12">
        <v>378</v>
      </c>
      <c r="R9" s="166">
        <v>3.439153439153439E-2</v>
      </c>
      <c r="S9" s="166">
        <v>0.19576719576719576</v>
      </c>
      <c r="T9" s="166">
        <v>0.13492063492063491</v>
      </c>
      <c r="U9" s="167">
        <v>0.21164021164021163</v>
      </c>
      <c r="V9" s="167">
        <v>0.26190476190476192</v>
      </c>
      <c r="W9" s="167">
        <v>7.1428571428571425E-2</v>
      </c>
      <c r="X9" s="166">
        <v>1.0582010582010581E-2</v>
      </c>
      <c r="Y9" s="166">
        <v>0</v>
      </c>
      <c r="Z9" s="166">
        <v>7.9365079365079361E-2</v>
      </c>
      <c r="AB9" s="166">
        <f t="shared" si="2"/>
        <v>0.23015873015873015</v>
      </c>
      <c r="AC9" s="166">
        <f t="shared" si="3"/>
        <v>0.60846560846560838</v>
      </c>
      <c r="AD9" s="166">
        <f t="shared" si="4"/>
        <v>8.2010582010582006E-2</v>
      </c>
      <c r="AE9" s="166">
        <f t="shared" si="5"/>
        <v>7.9365079365079361E-2</v>
      </c>
      <c r="AF9" s="166"/>
      <c r="AG9" t="s">
        <v>80</v>
      </c>
      <c r="AH9" s="166">
        <v>0.23015873015873015</v>
      </c>
      <c r="AI9" s="166">
        <v>0.60846560846560838</v>
      </c>
      <c r="AJ9" s="166">
        <v>8.2010582010582006E-2</v>
      </c>
      <c r="AK9" s="166">
        <v>7.9365079365079361E-2</v>
      </c>
      <c r="AM9" s="4" t="s">
        <v>1782</v>
      </c>
      <c r="AN9" s="3">
        <v>307</v>
      </c>
      <c r="AO9" s="3">
        <v>99</v>
      </c>
      <c r="AP9" s="3">
        <v>11</v>
      </c>
      <c r="AQ9" s="3"/>
      <c r="AR9" s="3">
        <v>417</v>
      </c>
      <c r="AT9" s="4" t="s">
        <v>1782</v>
      </c>
      <c r="AU9" s="10">
        <v>0.73621103117505993</v>
      </c>
      <c r="AV9" s="10">
        <v>0.23741007194244604</v>
      </c>
      <c r="AW9" s="10">
        <v>2.6378896882494004E-2</v>
      </c>
      <c r="AX9" s="10">
        <v>0</v>
      </c>
      <c r="AY9" s="10">
        <v>1</v>
      </c>
      <c r="BA9" s="4" t="s">
        <v>1782</v>
      </c>
      <c r="BB9" s="10">
        <f t="shared" si="0"/>
        <v>0.97362110311750594</v>
      </c>
      <c r="BC9" s="10">
        <f t="shared" si="1"/>
        <v>2.6378896882494004E-2</v>
      </c>
    </row>
    <row r="10" spans="1:55" x14ac:dyDescent="0.25">
      <c r="A10" t="s">
        <v>140</v>
      </c>
      <c r="B10">
        <v>279</v>
      </c>
      <c r="D10" s="166">
        <v>1.7921146953405017E-2</v>
      </c>
      <c r="E10" s="166">
        <v>0.17204301075268819</v>
      </c>
      <c r="F10" s="166">
        <v>0.18996415770609318</v>
      </c>
      <c r="G10" s="166">
        <v>0.1971326164874552</v>
      </c>
      <c r="H10" s="166">
        <v>0.17921146953405018</v>
      </c>
      <c r="I10" s="166">
        <v>0.1039426523297491</v>
      </c>
      <c r="J10" s="166">
        <v>2.8673835125448029E-2</v>
      </c>
      <c r="K10" s="166">
        <v>1.7921146953405017E-2</v>
      </c>
      <c r="L10" s="166">
        <v>9.3189964157706098E-2</v>
      </c>
      <c r="M10">
        <v>1</v>
      </c>
      <c r="O10" t="s">
        <v>140</v>
      </c>
      <c r="P10" s="12">
        <v>279</v>
      </c>
      <c r="R10" s="166">
        <v>1.7921146953405017E-2</v>
      </c>
      <c r="S10" s="166">
        <v>0.17204301075268819</v>
      </c>
      <c r="T10" s="166">
        <v>0.18996415770609318</v>
      </c>
      <c r="U10" s="166">
        <v>0.1971326164874552</v>
      </c>
      <c r="V10" s="166">
        <v>0.17921146953405018</v>
      </c>
      <c r="W10" s="166">
        <v>0.1039426523297491</v>
      </c>
      <c r="X10" s="166">
        <v>2.8673835125448029E-2</v>
      </c>
      <c r="Y10" s="166">
        <v>1.7921146953405017E-2</v>
      </c>
      <c r="Z10" s="166">
        <v>9.3189964157706098E-2</v>
      </c>
      <c r="AB10" s="166">
        <f t="shared" si="2"/>
        <v>0.18996415770609321</v>
      </c>
      <c r="AC10" s="166">
        <f t="shared" si="3"/>
        <v>0.56630824372759858</v>
      </c>
      <c r="AD10" s="166">
        <f t="shared" si="4"/>
        <v>0.15053763440860216</v>
      </c>
      <c r="AE10" s="166">
        <f t="shared" si="5"/>
        <v>9.3189964157706098E-2</v>
      </c>
      <c r="AF10" s="166"/>
      <c r="AG10" t="s">
        <v>140</v>
      </c>
      <c r="AH10" s="166">
        <v>0.18996415770609321</v>
      </c>
      <c r="AI10" s="166">
        <v>0.56630824372759858</v>
      </c>
      <c r="AJ10" s="166">
        <v>0.15053763440860216</v>
      </c>
      <c r="AK10" s="166">
        <v>9.3189964157706098E-2</v>
      </c>
      <c r="AM10" s="4" t="s">
        <v>1783</v>
      </c>
      <c r="AN10" s="3">
        <v>132</v>
      </c>
      <c r="AO10" s="3">
        <v>49</v>
      </c>
      <c r="AP10" s="3">
        <v>3</v>
      </c>
      <c r="AQ10" s="3"/>
      <c r="AR10" s="3">
        <v>184</v>
      </c>
      <c r="AT10" s="4" t="s">
        <v>1783</v>
      </c>
      <c r="AU10" s="10">
        <v>0.71739130434782605</v>
      </c>
      <c r="AV10" s="10">
        <v>0.26630434782608697</v>
      </c>
      <c r="AW10" s="10">
        <v>1.6304347826086956E-2</v>
      </c>
      <c r="AX10" s="10">
        <v>0</v>
      </c>
      <c r="AY10" s="10">
        <v>1</v>
      </c>
      <c r="BA10" s="4" t="s">
        <v>1783</v>
      </c>
      <c r="BB10" s="10">
        <f t="shared" si="0"/>
        <v>0.98369565217391308</v>
      </c>
      <c r="BC10" s="10">
        <f t="shared" si="1"/>
        <v>1.6304347826086956E-2</v>
      </c>
    </row>
    <row r="11" spans="1:55" x14ac:dyDescent="0.25">
      <c r="A11" t="s">
        <v>69</v>
      </c>
      <c r="B11">
        <v>277</v>
      </c>
      <c r="D11" s="166">
        <v>7.2202166064981952E-3</v>
      </c>
      <c r="E11" s="166">
        <v>0.1263537906137184</v>
      </c>
      <c r="F11" s="166">
        <v>9.7472924187725629E-2</v>
      </c>
      <c r="G11" s="167">
        <v>0.21299638989169675</v>
      </c>
      <c r="H11" s="167">
        <v>0.20938628158844766</v>
      </c>
      <c r="I11" s="167">
        <v>0.16606498194945848</v>
      </c>
      <c r="J11" s="166">
        <v>7.2202166064981949E-2</v>
      </c>
      <c r="K11" s="166">
        <v>2.1660649819494584E-2</v>
      </c>
      <c r="L11" s="166">
        <v>8.6642599277978335E-2</v>
      </c>
      <c r="M11">
        <v>1</v>
      </c>
      <c r="O11" t="s">
        <v>69</v>
      </c>
      <c r="P11" s="12">
        <v>277</v>
      </c>
      <c r="R11" s="166">
        <v>7.2202166064981952E-3</v>
      </c>
      <c r="S11" s="166">
        <v>0.1263537906137184</v>
      </c>
      <c r="T11" s="166">
        <v>9.7472924187725629E-2</v>
      </c>
      <c r="U11" s="167">
        <v>0.21299638989169675</v>
      </c>
      <c r="V11" s="167">
        <v>0.20938628158844766</v>
      </c>
      <c r="W11" s="167">
        <v>0.16606498194945848</v>
      </c>
      <c r="X11" s="166">
        <v>7.2202166064981949E-2</v>
      </c>
      <c r="Y11" s="166">
        <v>2.1660649819494584E-2</v>
      </c>
      <c r="Z11" s="166">
        <v>8.6642599277978335E-2</v>
      </c>
      <c r="AB11" s="166">
        <f t="shared" si="2"/>
        <v>0.13357400722021659</v>
      </c>
      <c r="AC11" s="166">
        <f t="shared" si="3"/>
        <v>0.51985559566786999</v>
      </c>
      <c r="AD11" s="166">
        <f t="shared" si="4"/>
        <v>0.25992779783393499</v>
      </c>
      <c r="AE11" s="166">
        <f t="shared" si="5"/>
        <v>8.6642599277978335E-2</v>
      </c>
      <c r="AF11" s="166"/>
      <c r="AG11" t="s">
        <v>69</v>
      </c>
      <c r="AH11" s="166">
        <v>0.13357400722021659</v>
      </c>
      <c r="AI11" s="166">
        <v>0.51985559566786999</v>
      </c>
      <c r="AJ11" s="166">
        <v>0.25992779783393499</v>
      </c>
      <c r="AK11" s="166">
        <v>8.6642599277978335E-2</v>
      </c>
      <c r="AM11" s="4" t="s">
        <v>1772</v>
      </c>
      <c r="AN11" s="3">
        <v>37</v>
      </c>
      <c r="AO11" s="3">
        <v>10</v>
      </c>
      <c r="AP11" s="3">
        <v>2</v>
      </c>
      <c r="AQ11" s="3"/>
      <c r="AR11" s="3">
        <v>49</v>
      </c>
      <c r="AT11" s="4" t="s">
        <v>1772</v>
      </c>
      <c r="AU11" s="10">
        <v>0.75510204081632648</v>
      </c>
      <c r="AV11" s="10">
        <v>0.20408163265306123</v>
      </c>
      <c r="AW11" s="10">
        <v>4.0816326530612242E-2</v>
      </c>
      <c r="AX11" s="10">
        <v>0</v>
      </c>
      <c r="AY11" s="10">
        <v>1</v>
      </c>
      <c r="BA11" s="4" t="s">
        <v>1772</v>
      </c>
      <c r="BB11" s="10">
        <f t="shared" si="0"/>
        <v>0.95918367346938771</v>
      </c>
      <c r="BC11" s="10">
        <f t="shared" si="1"/>
        <v>4.0816326530612242E-2</v>
      </c>
    </row>
    <row r="12" spans="1:55" x14ac:dyDescent="0.25">
      <c r="A12" t="s">
        <v>62</v>
      </c>
      <c r="B12">
        <v>187</v>
      </c>
      <c r="D12" s="166">
        <v>6.4171122994652413E-2</v>
      </c>
      <c r="E12" s="167">
        <v>0.48663101604278075</v>
      </c>
      <c r="F12" s="166">
        <v>0.18181818181818182</v>
      </c>
      <c r="G12" s="166">
        <v>8.0213903743315509E-2</v>
      </c>
      <c r="H12" s="166">
        <v>9.0909090909090912E-2</v>
      </c>
      <c r="I12" s="166">
        <v>3.7433155080213901E-2</v>
      </c>
      <c r="J12" s="166">
        <v>5.3475935828877002E-3</v>
      </c>
      <c r="K12" s="166">
        <v>0</v>
      </c>
      <c r="L12" s="166">
        <v>5.3475935828877004E-2</v>
      </c>
      <c r="M12">
        <v>1</v>
      </c>
      <c r="O12" t="s">
        <v>62</v>
      </c>
      <c r="P12" s="12">
        <v>187</v>
      </c>
      <c r="R12" s="166">
        <v>6.4171122994652413E-2</v>
      </c>
      <c r="S12" s="167">
        <v>0.48663101604278075</v>
      </c>
      <c r="T12" s="166">
        <v>0.18181818181818182</v>
      </c>
      <c r="U12" s="166">
        <v>8.0213903743315509E-2</v>
      </c>
      <c r="V12" s="166">
        <v>9.0909090909090912E-2</v>
      </c>
      <c r="W12" s="166">
        <v>3.7433155080213901E-2</v>
      </c>
      <c r="X12" s="166">
        <v>5.3475935828877002E-3</v>
      </c>
      <c r="Y12" s="166">
        <v>0</v>
      </c>
      <c r="Z12" s="166">
        <v>5.3475935828877004E-2</v>
      </c>
      <c r="AB12" s="166">
        <f t="shared" si="2"/>
        <v>0.55080213903743314</v>
      </c>
      <c r="AC12" s="166">
        <f t="shared" si="3"/>
        <v>0.3529411764705882</v>
      </c>
      <c r="AD12" s="166">
        <f t="shared" si="4"/>
        <v>4.2780748663101602E-2</v>
      </c>
      <c r="AE12" s="166">
        <f t="shared" si="5"/>
        <v>5.3475935828877004E-2</v>
      </c>
      <c r="AF12" s="166"/>
      <c r="AG12" t="s">
        <v>62</v>
      </c>
      <c r="AH12" s="166">
        <v>0.55080213903743314</v>
      </c>
      <c r="AI12" s="166">
        <v>0.3529411764705882</v>
      </c>
      <c r="AJ12" s="166">
        <v>4.2780748663101602E-2</v>
      </c>
      <c r="AK12" s="166">
        <v>5.3475935828877004E-2</v>
      </c>
      <c r="AM12" s="4" t="s">
        <v>1773</v>
      </c>
      <c r="AN12" s="3">
        <v>306</v>
      </c>
      <c r="AO12" s="3">
        <v>45</v>
      </c>
      <c r="AP12" s="3">
        <v>62</v>
      </c>
      <c r="AQ12" s="3">
        <v>5</v>
      </c>
      <c r="AR12" s="3">
        <v>418</v>
      </c>
      <c r="AT12" s="4" t="s">
        <v>1773</v>
      </c>
      <c r="AU12" s="10">
        <v>0.73205741626794263</v>
      </c>
      <c r="AV12" s="10">
        <v>0.1076555023923445</v>
      </c>
      <c r="AW12" s="10">
        <v>0.14832535885167464</v>
      </c>
      <c r="AX12" s="10">
        <v>1.1961722488038277E-2</v>
      </c>
      <c r="AY12" s="10">
        <v>1</v>
      </c>
      <c r="BA12" s="4" t="s">
        <v>1773</v>
      </c>
      <c r="BB12" s="10">
        <f t="shared" si="0"/>
        <v>0.83971291866028719</v>
      </c>
      <c r="BC12" s="10">
        <f t="shared" si="1"/>
        <v>0.16028708133971292</v>
      </c>
    </row>
    <row r="13" spans="1:55" x14ac:dyDescent="0.25">
      <c r="A13" t="s">
        <v>72</v>
      </c>
      <c r="B13">
        <v>170</v>
      </c>
      <c r="D13" s="166">
        <v>4.1176470588235294E-2</v>
      </c>
      <c r="E13" s="166">
        <v>0.30588235294117649</v>
      </c>
      <c r="F13" s="166">
        <v>0.17058823529411765</v>
      </c>
      <c r="G13" s="166">
        <v>0.14705882352941177</v>
      </c>
      <c r="H13" s="166">
        <v>0.14705882352941177</v>
      </c>
      <c r="I13" s="166">
        <v>8.8235294117647065E-2</v>
      </c>
      <c r="J13" s="166">
        <v>1.1764705882352941E-2</v>
      </c>
      <c r="K13" s="166">
        <v>1.1764705882352941E-2</v>
      </c>
      <c r="L13" s="166">
        <v>7.6470588235294124E-2</v>
      </c>
      <c r="M13">
        <v>1</v>
      </c>
      <c r="O13" t="s">
        <v>72</v>
      </c>
      <c r="P13" s="12">
        <v>170</v>
      </c>
      <c r="R13" s="166">
        <v>4.1176470588235294E-2</v>
      </c>
      <c r="S13" s="166">
        <v>0.30588235294117649</v>
      </c>
      <c r="T13" s="166">
        <v>0.17058823529411765</v>
      </c>
      <c r="U13" s="166">
        <v>0.14705882352941177</v>
      </c>
      <c r="V13" s="166">
        <v>0.14705882352941177</v>
      </c>
      <c r="W13" s="166">
        <v>8.8235294117647065E-2</v>
      </c>
      <c r="X13" s="166">
        <v>1.1764705882352941E-2</v>
      </c>
      <c r="Y13" s="166">
        <v>1.1764705882352941E-2</v>
      </c>
      <c r="Z13" s="166">
        <v>7.6470588235294124E-2</v>
      </c>
      <c r="AB13" s="166">
        <f t="shared" si="2"/>
        <v>0.34705882352941181</v>
      </c>
      <c r="AC13" s="166">
        <f t="shared" si="3"/>
        <v>0.46470588235294119</v>
      </c>
      <c r="AD13" s="166">
        <f t="shared" si="4"/>
        <v>0.11176470588235295</v>
      </c>
      <c r="AE13" s="166">
        <f t="shared" si="5"/>
        <v>7.6470588235294124E-2</v>
      </c>
      <c r="AF13" s="166"/>
      <c r="AG13" t="s">
        <v>72</v>
      </c>
      <c r="AH13" s="166">
        <v>0.34705882352941181</v>
      </c>
      <c r="AI13" s="166">
        <v>0.46470588235294119</v>
      </c>
      <c r="AJ13" s="166">
        <v>0.11176470588235295</v>
      </c>
      <c r="AK13" s="166">
        <v>7.6470588235294124E-2</v>
      </c>
      <c r="AM13" s="5" t="s">
        <v>1742</v>
      </c>
      <c r="AN13" s="6">
        <v>4268</v>
      </c>
      <c r="AO13" s="6">
        <v>594</v>
      </c>
      <c r="AP13" s="6">
        <v>715</v>
      </c>
      <c r="AQ13" s="6">
        <v>110</v>
      </c>
      <c r="AR13" s="6">
        <v>5687</v>
      </c>
      <c r="AT13" s="5" t="s">
        <v>1763</v>
      </c>
      <c r="AU13" s="168">
        <v>0.75048355899419728</v>
      </c>
      <c r="AV13" s="168">
        <v>0.10444874274661509</v>
      </c>
      <c r="AW13" s="168">
        <v>0.12572533849129594</v>
      </c>
      <c r="AX13" s="168">
        <v>1.9342359767891684E-2</v>
      </c>
      <c r="AY13" s="168">
        <v>1</v>
      </c>
      <c r="BA13" s="5" t="s">
        <v>1763</v>
      </c>
      <c r="BB13" s="174">
        <f t="shared" si="0"/>
        <v>0.85493230174081236</v>
      </c>
      <c r="BC13" s="174">
        <f t="shared" si="1"/>
        <v>0.14506769825918764</v>
      </c>
    </row>
    <row r="14" spans="1:55" x14ac:dyDescent="0.25">
      <c r="A14" t="s">
        <v>86</v>
      </c>
      <c r="B14">
        <v>148</v>
      </c>
      <c r="D14" s="166">
        <v>3.3783783783783786E-2</v>
      </c>
      <c r="E14" s="166">
        <v>0.1891891891891892</v>
      </c>
      <c r="F14" s="166">
        <v>9.45945945945946E-2</v>
      </c>
      <c r="G14" s="166">
        <v>0.19594594594594594</v>
      </c>
      <c r="H14" s="166">
        <v>0.27027027027027029</v>
      </c>
      <c r="I14" s="166">
        <v>6.7567567567567571E-2</v>
      </c>
      <c r="J14" s="166">
        <v>2.7027027027027029E-2</v>
      </c>
      <c r="K14" s="166">
        <v>6.7567567567567571E-3</v>
      </c>
      <c r="L14" s="166">
        <v>0.11486486486486487</v>
      </c>
      <c r="M14">
        <v>1</v>
      </c>
      <c r="O14" t="s">
        <v>86</v>
      </c>
      <c r="P14" s="12">
        <v>148</v>
      </c>
      <c r="R14" s="166">
        <v>3.3783783783783786E-2</v>
      </c>
      <c r="S14" s="166">
        <v>0.1891891891891892</v>
      </c>
      <c r="T14" s="166">
        <v>9.45945945945946E-2</v>
      </c>
      <c r="U14" s="166">
        <v>0.19594594594594594</v>
      </c>
      <c r="V14" s="166">
        <v>0.27027027027027029</v>
      </c>
      <c r="W14" s="166">
        <v>6.7567567567567571E-2</v>
      </c>
      <c r="X14" s="166">
        <v>2.7027027027027029E-2</v>
      </c>
      <c r="Y14" s="166">
        <v>6.7567567567567571E-3</v>
      </c>
      <c r="Z14" s="166">
        <v>0.11486486486486487</v>
      </c>
      <c r="AB14" s="166">
        <f t="shared" si="2"/>
        <v>0.22297297297297297</v>
      </c>
      <c r="AC14" s="166">
        <f t="shared" si="3"/>
        <v>0.56081081081081086</v>
      </c>
      <c r="AD14" s="166">
        <f t="shared" si="4"/>
        <v>0.10135135135135136</v>
      </c>
      <c r="AE14" s="166">
        <f t="shared" si="5"/>
        <v>0.11486486486486487</v>
      </c>
      <c r="AF14" s="166"/>
      <c r="AG14" t="s">
        <v>86</v>
      </c>
      <c r="AH14" s="166">
        <v>0.22297297297297297</v>
      </c>
      <c r="AI14" s="166">
        <v>0.56081081081081086</v>
      </c>
      <c r="AJ14" s="166">
        <v>0.10135135135135136</v>
      </c>
      <c r="AK14" s="166">
        <v>0.11486486486486487</v>
      </c>
    </row>
    <row r="15" spans="1:55" x14ac:dyDescent="0.25">
      <c r="A15" t="s">
        <v>34</v>
      </c>
      <c r="B15">
        <v>129</v>
      </c>
      <c r="D15" s="166">
        <v>3.1007751937984496E-2</v>
      </c>
      <c r="E15" s="166">
        <v>0.11627906976744186</v>
      </c>
      <c r="F15" s="166">
        <v>0.11627906976744186</v>
      </c>
      <c r="G15" s="166">
        <v>0.20930232558139536</v>
      </c>
      <c r="H15" s="166">
        <v>0.18604651162790697</v>
      </c>
      <c r="I15" s="166">
        <v>0.12403100775193798</v>
      </c>
      <c r="J15" s="166">
        <v>9.3023255813953487E-2</v>
      </c>
      <c r="K15" s="166">
        <v>2.3255813953488372E-2</v>
      </c>
      <c r="L15" s="166">
        <v>0.10077519379844961</v>
      </c>
      <c r="M15">
        <v>1</v>
      </c>
      <c r="O15" t="s">
        <v>34</v>
      </c>
      <c r="P15" s="12">
        <v>129</v>
      </c>
      <c r="R15" s="166">
        <v>3.1007751937984496E-2</v>
      </c>
      <c r="S15" s="166">
        <v>0.11627906976744186</v>
      </c>
      <c r="T15" s="166">
        <v>0.11627906976744186</v>
      </c>
      <c r="U15" s="166">
        <v>0.20930232558139536</v>
      </c>
      <c r="V15" s="166">
        <v>0.18604651162790697</v>
      </c>
      <c r="W15" s="166">
        <v>0.12403100775193798</v>
      </c>
      <c r="X15" s="166">
        <v>9.3023255813953487E-2</v>
      </c>
      <c r="Y15" s="166">
        <v>2.3255813953488372E-2</v>
      </c>
      <c r="Z15" s="166">
        <v>0.10077519379844961</v>
      </c>
      <c r="AB15" s="166">
        <f t="shared" si="2"/>
        <v>0.14728682170542634</v>
      </c>
      <c r="AC15" s="166">
        <f t="shared" si="3"/>
        <v>0.51162790697674421</v>
      </c>
      <c r="AD15" s="166">
        <f t="shared" si="4"/>
        <v>0.24031007751937983</v>
      </c>
      <c r="AE15" s="166">
        <f t="shared" si="5"/>
        <v>0.10077519379844961</v>
      </c>
      <c r="AF15" s="166"/>
      <c r="AG15" t="s">
        <v>34</v>
      </c>
      <c r="AH15" s="166">
        <v>0.14728682170542634</v>
      </c>
      <c r="AI15" s="166">
        <v>0.51162790697674421</v>
      </c>
      <c r="AJ15" s="166">
        <v>0.24031007751937983</v>
      </c>
      <c r="AK15" s="166">
        <v>0.10077519379844961</v>
      </c>
    </row>
    <row r="16" spans="1:55" x14ac:dyDescent="0.25">
      <c r="A16" t="s">
        <v>142</v>
      </c>
      <c r="B16">
        <v>123</v>
      </c>
      <c r="D16" s="166">
        <v>3.2520325203252036E-2</v>
      </c>
      <c r="E16" s="166">
        <v>9.7560975609756101E-2</v>
      </c>
      <c r="F16" s="166">
        <v>0.21138211382113822</v>
      </c>
      <c r="G16" s="166">
        <v>0.21138211382113822</v>
      </c>
      <c r="H16" s="166">
        <v>0.16260162601626016</v>
      </c>
      <c r="I16" s="166">
        <v>0.13821138211382114</v>
      </c>
      <c r="J16" s="166">
        <v>4.878048780487805E-2</v>
      </c>
      <c r="K16" s="166">
        <v>0</v>
      </c>
      <c r="L16" s="166">
        <v>9.7560975609756101E-2</v>
      </c>
      <c r="M16">
        <v>1</v>
      </c>
      <c r="O16" t="s">
        <v>142</v>
      </c>
      <c r="P16" s="12">
        <v>123</v>
      </c>
      <c r="R16" s="166">
        <v>3.2520325203252036E-2</v>
      </c>
      <c r="S16" s="166">
        <v>9.7560975609756101E-2</v>
      </c>
      <c r="T16" s="166">
        <v>0.21138211382113822</v>
      </c>
      <c r="U16" s="166">
        <v>0.21138211382113822</v>
      </c>
      <c r="V16" s="166">
        <v>0.16260162601626016</v>
      </c>
      <c r="W16" s="166">
        <v>0.13821138211382114</v>
      </c>
      <c r="X16" s="166">
        <v>4.878048780487805E-2</v>
      </c>
      <c r="Y16" s="166">
        <v>0</v>
      </c>
      <c r="Z16" s="166">
        <v>9.7560975609756101E-2</v>
      </c>
      <c r="AB16" s="166">
        <f t="shared" si="2"/>
        <v>0.13008130081300814</v>
      </c>
      <c r="AC16" s="166">
        <f t="shared" si="3"/>
        <v>0.58536585365853666</v>
      </c>
      <c r="AD16" s="166">
        <f t="shared" si="4"/>
        <v>0.18699186991869921</v>
      </c>
      <c r="AE16" s="166">
        <f t="shared" si="5"/>
        <v>9.7560975609756101E-2</v>
      </c>
      <c r="AF16" s="166"/>
    </row>
    <row r="17" spans="1:32" x14ac:dyDescent="0.25">
      <c r="A17" t="s">
        <v>83</v>
      </c>
      <c r="B17">
        <v>114</v>
      </c>
      <c r="D17" s="166">
        <v>3.5087719298245612E-2</v>
      </c>
      <c r="E17" s="166">
        <v>0.26315789473684209</v>
      </c>
      <c r="F17" s="166">
        <v>0.16666666666666666</v>
      </c>
      <c r="G17" s="166">
        <v>0.19298245614035087</v>
      </c>
      <c r="H17" s="166">
        <v>0.16666666666666666</v>
      </c>
      <c r="I17" s="166">
        <v>7.8947368421052627E-2</v>
      </c>
      <c r="J17" s="166">
        <v>3.5087719298245612E-2</v>
      </c>
      <c r="K17" s="166">
        <v>0</v>
      </c>
      <c r="L17" s="166">
        <v>6.1403508771929821E-2</v>
      </c>
      <c r="M17">
        <v>1</v>
      </c>
      <c r="O17" t="s">
        <v>83</v>
      </c>
      <c r="P17" s="12">
        <v>114</v>
      </c>
      <c r="R17" s="166">
        <v>3.5087719298245612E-2</v>
      </c>
      <c r="S17" s="166">
        <v>0.26315789473684209</v>
      </c>
      <c r="T17" s="166">
        <v>0.16666666666666666</v>
      </c>
      <c r="U17" s="166">
        <v>0.19298245614035087</v>
      </c>
      <c r="V17" s="166">
        <v>0.16666666666666666</v>
      </c>
      <c r="W17" s="166">
        <v>7.8947368421052627E-2</v>
      </c>
      <c r="X17" s="166">
        <v>3.5087719298245612E-2</v>
      </c>
      <c r="Y17" s="166">
        <v>0</v>
      </c>
      <c r="Z17" s="166">
        <v>6.1403508771929821E-2</v>
      </c>
      <c r="AB17" s="166">
        <f t="shared" si="2"/>
        <v>0.2982456140350877</v>
      </c>
      <c r="AC17" s="166">
        <f t="shared" si="3"/>
        <v>0.52631578947368418</v>
      </c>
      <c r="AD17" s="166">
        <f t="shared" si="4"/>
        <v>0.11403508771929824</v>
      </c>
      <c r="AE17" s="166">
        <f t="shared" si="5"/>
        <v>6.1403508771929821E-2</v>
      </c>
      <c r="AF17" s="166"/>
    </row>
    <row r="18" spans="1:32" x14ac:dyDescent="0.25">
      <c r="A18" t="s">
        <v>144</v>
      </c>
      <c r="B18">
        <v>94</v>
      </c>
      <c r="D18" s="166">
        <v>8.5106382978723402E-2</v>
      </c>
      <c r="E18" s="166">
        <v>0.22340425531914893</v>
      </c>
      <c r="F18" s="166">
        <v>0.2978723404255319</v>
      </c>
      <c r="G18" s="166">
        <v>6.3829787234042548E-2</v>
      </c>
      <c r="H18" s="166">
        <v>0.10638297872340426</v>
      </c>
      <c r="I18" s="166">
        <v>6.3829787234042548E-2</v>
      </c>
      <c r="J18" s="166">
        <v>3.1914893617021274E-2</v>
      </c>
      <c r="K18" s="166">
        <v>1.0638297872340425E-2</v>
      </c>
      <c r="L18" s="166">
        <v>0.11702127659574468</v>
      </c>
      <c r="M18">
        <v>1</v>
      </c>
      <c r="O18" t="s">
        <v>144</v>
      </c>
      <c r="P18" s="12">
        <v>94</v>
      </c>
      <c r="R18" s="166">
        <v>8.5106382978723402E-2</v>
      </c>
      <c r="S18" s="166">
        <v>0.22340425531914893</v>
      </c>
      <c r="T18" s="166">
        <v>0.2978723404255319</v>
      </c>
      <c r="U18" s="166">
        <v>6.3829787234042548E-2</v>
      </c>
      <c r="V18" s="166">
        <v>0.10638297872340426</v>
      </c>
      <c r="W18" s="166">
        <v>6.3829787234042548E-2</v>
      </c>
      <c r="X18" s="166">
        <v>3.1914893617021274E-2</v>
      </c>
      <c r="Y18" s="166">
        <v>1.0638297872340425E-2</v>
      </c>
      <c r="Z18" s="166">
        <v>0.11702127659574468</v>
      </c>
      <c r="AB18" s="166">
        <f t="shared" si="2"/>
        <v>0.30851063829787234</v>
      </c>
      <c r="AC18" s="166">
        <f t="shared" si="3"/>
        <v>0.46808510638297868</v>
      </c>
      <c r="AD18" s="166">
        <f t="shared" si="4"/>
        <v>0.10638297872340426</v>
      </c>
      <c r="AE18" s="166">
        <f t="shared" si="5"/>
        <v>0.11702127659574468</v>
      </c>
      <c r="AF18" s="166"/>
    </row>
    <row r="19" spans="1:32" x14ac:dyDescent="0.25">
      <c r="A19" t="s">
        <v>59</v>
      </c>
      <c r="B19">
        <v>90</v>
      </c>
      <c r="D19" s="166">
        <v>0.1</v>
      </c>
      <c r="E19" s="166">
        <v>0.27777777777777779</v>
      </c>
      <c r="F19" s="166">
        <v>0.14444444444444443</v>
      </c>
      <c r="G19" s="166">
        <v>0.13333333333333333</v>
      </c>
      <c r="H19" s="166">
        <v>0.16666666666666666</v>
      </c>
      <c r="I19" s="166">
        <v>3.3333333333333333E-2</v>
      </c>
      <c r="J19" s="166">
        <v>4.4444444444444446E-2</v>
      </c>
      <c r="K19" s="166">
        <v>1.1111111111111112E-2</v>
      </c>
      <c r="L19" s="166">
        <v>8.8888888888888892E-2</v>
      </c>
      <c r="M19">
        <v>1</v>
      </c>
      <c r="O19" t="s">
        <v>59</v>
      </c>
      <c r="P19" s="12">
        <v>90</v>
      </c>
      <c r="R19" s="166">
        <v>0.1</v>
      </c>
      <c r="S19" s="166">
        <v>0.27777777777777779</v>
      </c>
      <c r="T19" s="166">
        <v>0.14444444444444443</v>
      </c>
      <c r="U19" s="166">
        <v>0.13333333333333333</v>
      </c>
      <c r="V19" s="166">
        <v>0.16666666666666666</v>
      </c>
      <c r="W19" s="166">
        <v>3.3333333333333333E-2</v>
      </c>
      <c r="X19" s="166">
        <v>4.4444444444444446E-2</v>
      </c>
      <c r="Y19" s="166">
        <v>1.1111111111111112E-2</v>
      </c>
      <c r="Z19" s="166">
        <v>8.8888888888888892E-2</v>
      </c>
      <c r="AB19" s="166">
        <f t="shared" si="2"/>
        <v>0.37777777777777777</v>
      </c>
      <c r="AC19" s="166">
        <f t="shared" si="3"/>
        <v>0.44444444444444442</v>
      </c>
      <c r="AD19" s="166">
        <f t="shared" si="4"/>
        <v>8.8888888888888892E-2</v>
      </c>
      <c r="AE19" s="166">
        <f t="shared" si="5"/>
        <v>8.8888888888888892E-2</v>
      </c>
      <c r="AF19" s="166"/>
    </row>
    <row r="20" spans="1:32" x14ac:dyDescent="0.25">
      <c r="A20" t="s">
        <v>146</v>
      </c>
      <c r="B20">
        <v>61</v>
      </c>
      <c r="D20" s="166">
        <v>4.9180327868852458E-2</v>
      </c>
      <c r="E20" s="166">
        <v>6.5573770491803282E-2</v>
      </c>
      <c r="F20" s="166">
        <v>0.11475409836065574</v>
      </c>
      <c r="G20" s="166">
        <v>0.18032786885245902</v>
      </c>
      <c r="H20" s="166">
        <v>0.27868852459016391</v>
      </c>
      <c r="I20" s="166">
        <v>0.18032786885245902</v>
      </c>
      <c r="J20" s="166">
        <v>0</v>
      </c>
      <c r="K20" s="166">
        <v>1.6393442622950821E-2</v>
      </c>
      <c r="L20" s="166">
        <v>0.11475409836065574</v>
      </c>
      <c r="M20">
        <v>1</v>
      </c>
      <c r="O20" t="s">
        <v>146</v>
      </c>
      <c r="P20" s="12">
        <v>61</v>
      </c>
      <c r="R20" s="166">
        <v>4.9180327868852458E-2</v>
      </c>
      <c r="S20" s="166">
        <v>6.5573770491803282E-2</v>
      </c>
      <c r="T20" s="166">
        <v>0.11475409836065574</v>
      </c>
      <c r="U20" s="166">
        <v>0.18032786885245902</v>
      </c>
      <c r="V20" s="166">
        <v>0.27868852459016391</v>
      </c>
      <c r="W20" s="166">
        <v>0.18032786885245902</v>
      </c>
      <c r="X20" s="166">
        <v>0</v>
      </c>
      <c r="Y20" s="166">
        <v>1.6393442622950821E-2</v>
      </c>
      <c r="Z20" s="166">
        <v>0.11475409836065574</v>
      </c>
      <c r="AB20" s="166">
        <f t="shared" si="2"/>
        <v>0.11475409836065574</v>
      </c>
      <c r="AC20" s="166">
        <f t="shared" si="3"/>
        <v>0.57377049180327866</v>
      </c>
      <c r="AD20" s="166">
        <f t="shared" si="4"/>
        <v>0.19672131147540983</v>
      </c>
      <c r="AE20" s="166">
        <f t="shared" si="5"/>
        <v>0.11475409836065574</v>
      </c>
      <c r="AF20" s="166"/>
    </row>
    <row r="21" spans="1:32" x14ac:dyDescent="0.25">
      <c r="A21" t="s">
        <v>118</v>
      </c>
      <c r="B21">
        <v>29</v>
      </c>
      <c r="D21" s="166">
        <v>6.8965517241379309E-2</v>
      </c>
      <c r="E21" s="166">
        <v>0.13793103448275862</v>
      </c>
      <c r="F21" s="166">
        <v>0.37931034482758619</v>
      </c>
      <c r="G21" s="166">
        <v>0.17241379310344829</v>
      </c>
      <c r="H21" s="166">
        <v>0.13793103448275862</v>
      </c>
      <c r="I21" s="166">
        <v>6.8965517241379309E-2</v>
      </c>
      <c r="J21" s="166">
        <v>0</v>
      </c>
      <c r="K21" s="166">
        <v>0</v>
      </c>
      <c r="L21" s="166">
        <v>3.4482758620689655E-2</v>
      </c>
      <c r="M21">
        <v>1</v>
      </c>
      <c r="O21" t="s">
        <v>118</v>
      </c>
      <c r="P21" s="12">
        <v>29</v>
      </c>
      <c r="R21" s="166">
        <v>6.8965517241379309E-2</v>
      </c>
      <c r="S21" s="166">
        <v>0.13793103448275862</v>
      </c>
      <c r="T21" s="166">
        <v>0.37931034482758619</v>
      </c>
      <c r="U21" s="166">
        <v>0.17241379310344829</v>
      </c>
      <c r="V21" s="166">
        <v>0.13793103448275862</v>
      </c>
      <c r="W21" s="166">
        <v>6.8965517241379309E-2</v>
      </c>
      <c r="X21" s="166">
        <v>0</v>
      </c>
      <c r="Y21" s="166">
        <v>0</v>
      </c>
      <c r="Z21" s="166">
        <v>3.4482758620689655E-2</v>
      </c>
      <c r="AB21" s="166">
        <f t="shared" si="2"/>
        <v>0.20689655172413793</v>
      </c>
      <c r="AC21" s="166">
        <f t="shared" si="3"/>
        <v>0.68965517241379315</v>
      </c>
      <c r="AD21" s="166">
        <f t="shared" si="4"/>
        <v>6.8965517241379309E-2</v>
      </c>
      <c r="AE21" s="166">
        <f t="shared" si="5"/>
        <v>3.4482758620689655E-2</v>
      </c>
      <c r="AF21" s="166"/>
    </row>
    <row r="22" spans="1:32" x14ac:dyDescent="0.25">
      <c r="A22" t="s">
        <v>150</v>
      </c>
      <c r="B22">
        <v>23</v>
      </c>
      <c r="D22" s="166">
        <v>4.3478260869565216E-2</v>
      </c>
      <c r="E22" s="166">
        <v>0.43478260869565216</v>
      </c>
      <c r="F22" s="166">
        <v>0</v>
      </c>
      <c r="G22" s="166">
        <v>0.13043478260869565</v>
      </c>
      <c r="H22" s="166">
        <v>0.13043478260869565</v>
      </c>
      <c r="I22" s="166">
        <v>0</v>
      </c>
      <c r="J22" s="166">
        <v>0</v>
      </c>
      <c r="K22" s="166">
        <v>0</v>
      </c>
      <c r="L22" s="166">
        <v>0.2608695652173913</v>
      </c>
      <c r="M22">
        <v>1</v>
      </c>
      <c r="O22" t="s">
        <v>150</v>
      </c>
      <c r="P22" s="12">
        <v>23</v>
      </c>
      <c r="R22" s="166">
        <v>4.3478260869565216E-2</v>
      </c>
      <c r="S22" s="166">
        <v>0.43478260869565216</v>
      </c>
      <c r="T22" s="166">
        <v>0</v>
      </c>
      <c r="U22" s="166">
        <v>0.13043478260869565</v>
      </c>
      <c r="V22" s="166">
        <v>0.13043478260869565</v>
      </c>
      <c r="W22" s="166">
        <v>0</v>
      </c>
      <c r="X22" s="166">
        <v>0</v>
      </c>
      <c r="Y22" s="166">
        <v>0</v>
      </c>
      <c r="Z22" s="166">
        <v>0.2608695652173913</v>
      </c>
      <c r="AB22" s="166">
        <f t="shared" si="2"/>
        <v>0.47826086956521741</v>
      </c>
      <c r="AC22" s="166">
        <f t="shared" si="3"/>
        <v>0.2608695652173913</v>
      </c>
      <c r="AD22" s="166">
        <f t="shared" si="4"/>
        <v>0</v>
      </c>
      <c r="AE22" s="166">
        <f t="shared" si="5"/>
        <v>0.2608695652173913</v>
      </c>
      <c r="AF22" s="166"/>
    </row>
    <row r="23" spans="1:32" x14ac:dyDescent="0.25">
      <c r="A23" t="s">
        <v>137</v>
      </c>
      <c r="B23">
        <v>22</v>
      </c>
      <c r="D23" s="166">
        <v>0.13636363636363635</v>
      </c>
      <c r="E23" s="166">
        <v>0.45454545454545453</v>
      </c>
      <c r="F23" s="166">
        <v>0.18181818181818182</v>
      </c>
      <c r="G23" s="166">
        <v>9.0909090909090912E-2</v>
      </c>
      <c r="H23" s="166">
        <v>0</v>
      </c>
      <c r="I23" s="166">
        <v>4.5454545454545456E-2</v>
      </c>
      <c r="J23" s="166">
        <v>0</v>
      </c>
      <c r="K23" s="166">
        <v>0</v>
      </c>
      <c r="L23" s="166">
        <v>9.0909090909090912E-2</v>
      </c>
      <c r="M23">
        <v>1</v>
      </c>
      <c r="O23" t="s">
        <v>137</v>
      </c>
      <c r="P23" s="12">
        <v>22</v>
      </c>
      <c r="R23" s="166">
        <v>0.13636363636363635</v>
      </c>
      <c r="S23" s="166">
        <v>0.45454545454545453</v>
      </c>
      <c r="T23" s="166">
        <v>0.18181818181818182</v>
      </c>
      <c r="U23" s="166">
        <v>9.0909090909090912E-2</v>
      </c>
      <c r="V23" s="166">
        <v>0</v>
      </c>
      <c r="W23" s="166">
        <v>4.5454545454545456E-2</v>
      </c>
      <c r="X23" s="166">
        <v>0</v>
      </c>
      <c r="Y23" s="166">
        <v>0</v>
      </c>
      <c r="Z23" s="166">
        <v>9.0909090909090912E-2</v>
      </c>
      <c r="AB23" s="166">
        <f t="shared" si="2"/>
        <v>0.59090909090909083</v>
      </c>
      <c r="AC23" s="166">
        <f t="shared" si="3"/>
        <v>0.27272727272727271</v>
      </c>
      <c r="AD23" s="166">
        <f t="shared" si="4"/>
        <v>4.5454545454545456E-2</v>
      </c>
      <c r="AE23" s="166">
        <f t="shared" si="5"/>
        <v>9.0909090909090912E-2</v>
      </c>
      <c r="AF23" s="166"/>
    </row>
    <row r="24" spans="1:32" x14ac:dyDescent="0.25">
      <c r="A24" t="s">
        <v>260</v>
      </c>
      <c r="B24">
        <v>12</v>
      </c>
      <c r="D24" s="166">
        <v>8.3333333333333329E-2</v>
      </c>
      <c r="E24" s="166">
        <v>0.41666666666666669</v>
      </c>
      <c r="F24" s="166">
        <v>0</v>
      </c>
      <c r="G24" s="166">
        <v>0.16666666666666666</v>
      </c>
      <c r="H24" s="166">
        <v>8.3333333333333329E-2</v>
      </c>
      <c r="I24" s="166">
        <v>0</v>
      </c>
      <c r="J24" s="166">
        <v>8.3333333333333329E-2</v>
      </c>
      <c r="K24" s="166">
        <v>8.3333333333333329E-2</v>
      </c>
      <c r="L24" s="166">
        <v>8.3333333333333329E-2</v>
      </c>
      <c r="M24">
        <v>1</v>
      </c>
      <c r="O24" t="s">
        <v>260</v>
      </c>
      <c r="P24" s="12">
        <v>12</v>
      </c>
      <c r="R24" s="166">
        <v>8.3333333333333329E-2</v>
      </c>
      <c r="S24" s="166">
        <v>0.41666666666666669</v>
      </c>
      <c r="T24" s="166">
        <v>0</v>
      </c>
      <c r="U24" s="166">
        <v>0.16666666666666666</v>
      </c>
      <c r="V24" s="166">
        <v>8.3333333333333329E-2</v>
      </c>
      <c r="W24" s="166">
        <v>0</v>
      </c>
      <c r="X24" s="166">
        <v>8.3333333333333329E-2</v>
      </c>
      <c r="Y24" s="166">
        <v>8.3333333333333329E-2</v>
      </c>
      <c r="Z24" s="166">
        <v>8.3333333333333329E-2</v>
      </c>
      <c r="AB24" s="166">
        <f t="shared" si="2"/>
        <v>0.5</v>
      </c>
      <c r="AC24" s="166">
        <f t="shared" si="3"/>
        <v>0.25</v>
      </c>
      <c r="AD24" s="166">
        <f t="shared" si="4"/>
        <v>0.16666666666666666</v>
      </c>
      <c r="AE24" s="166">
        <f t="shared" si="5"/>
        <v>8.3333333333333329E-2</v>
      </c>
      <c r="AF24" s="166"/>
    </row>
    <row r="25" spans="1:32" x14ac:dyDescent="0.25">
      <c r="A25" t="s">
        <v>1839</v>
      </c>
      <c r="B25">
        <f>SUM(B26:B47)</f>
        <v>70</v>
      </c>
      <c r="D25" s="166">
        <f>AVERAGE(D26:D47)</f>
        <v>4.7077922077922073E-2</v>
      </c>
      <c r="E25" s="166">
        <f t="shared" ref="E25:L25" si="6">AVERAGE(E26:E47)</f>
        <v>0.27018398268398269</v>
      </c>
      <c r="F25" s="166">
        <f t="shared" si="6"/>
        <v>0.21590909090909091</v>
      </c>
      <c r="G25" s="166">
        <f t="shared" si="6"/>
        <v>4.8484848484848485E-2</v>
      </c>
      <c r="H25" s="166">
        <f t="shared" si="6"/>
        <v>0.18679653679653677</v>
      </c>
      <c r="I25" s="166">
        <f t="shared" si="6"/>
        <v>9.8917748917748904E-2</v>
      </c>
      <c r="J25" s="166">
        <f t="shared" si="6"/>
        <v>4.5887445887445887E-2</v>
      </c>
      <c r="K25" s="166">
        <f t="shared" si="6"/>
        <v>9.0909090909090922E-3</v>
      </c>
      <c r="L25" s="166">
        <f t="shared" si="6"/>
        <v>7.7651515151515152E-2</v>
      </c>
      <c r="O25" t="s">
        <v>1839</v>
      </c>
      <c r="P25" s="12">
        <v>70</v>
      </c>
      <c r="R25" s="166">
        <v>4.7077922077922073E-2</v>
      </c>
      <c r="S25" s="166">
        <v>0.27018398268398269</v>
      </c>
      <c r="T25" s="166">
        <v>0.21590909090909091</v>
      </c>
      <c r="U25" s="166">
        <v>4.8484848484848485E-2</v>
      </c>
      <c r="V25" s="166">
        <v>0.18679653679653677</v>
      </c>
      <c r="W25" s="166">
        <v>9.8917748917748904E-2</v>
      </c>
      <c r="X25" s="166">
        <v>4.5887445887445887E-2</v>
      </c>
      <c r="Y25" s="166">
        <v>9.0909090909090922E-3</v>
      </c>
      <c r="Z25" s="166">
        <v>7.7651515151515152E-2</v>
      </c>
      <c r="AB25" s="166">
        <f t="shared" si="2"/>
        <v>0.31726190476190474</v>
      </c>
      <c r="AC25" s="166">
        <f t="shared" si="3"/>
        <v>0.45119047619047614</v>
      </c>
      <c r="AD25" s="166">
        <f t="shared" si="4"/>
        <v>0.15389610389610389</v>
      </c>
      <c r="AE25" s="166">
        <f t="shared" si="5"/>
        <v>7.7651515151515152E-2</v>
      </c>
      <c r="AF25" s="166"/>
    </row>
    <row r="26" spans="1:32" x14ac:dyDescent="0.25">
      <c r="A26" t="s">
        <v>205</v>
      </c>
      <c r="B26">
        <v>8</v>
      </c>
      <c r="D26" s="166">
        <v>0</v>
      </c>
      <c r="E26" s="166">
        <v>0.375</v>
      </c>
      <c r="F26" s="166">
        <v>0.5</v>
      </c>
      <c r="G26" s="166">
        <v>0</v>
      </c>
      <c r="H26" s="166">
        <v>0</v>
      </c>
      <c r="I26" s="166">
        <v>0</v>
      </c>
      <c r="J26" s="166">
        <v>0</v>
      </c>
      <c r="K26" s="166">
        <v>0</v>
      </c>
      <c r="L26" s="166">
        <v>0.125</v>
      </c>
      <c r="M26">
        <v>1</v>
      </c>
      <c r="O26" s="8" t="s">
        <v>1763</v>
      </c>
      <c r="P26" s="13">
        <v>5687</v>
      </c>
      <c r="Q26" s="7"/>
      <c r="R26" s="167">
        <v>0.10339370494109372</v>
      </c>
      <c r="S26" s="167">
        <v>0.24599964832073148</v>
      </c>
      <c r="T26" s="167">
        <v>0.13416564093546685</v>
      </c>
      <c r="U26" s="167">
        <v>0.16282750131879725</v>
      </c>
      <c r="V26" s="167">
        <v>0.16581677510110779</v>
      </c>
      <c r="W26" s="167">
        <v>7.3325127483734834E-2</v>
      </c>
      <c r="X26" s="167">
        <v>3.2354492702655176E-2</v>
      </c>
      <c r="Y26" s="167">
        <v>8.6161420784244772E-3</v>
      </c>
      <c r="Z26" s="167">
        <v>7.3500967117988397E-2</v>
      </c>
    </row>
    <row r="27" spans="1:32" x14ac:dyDescent="0.25">
      <c r="A27" t="s">
        <v>598</v>
      </c>
      <c r="B27">
        <v>7</v>
      </c>
      <c r="D27" s="166">
        <v>0.14285714285714285</v>
      </c>
      <c r="E27" s="166">
        <v>0.8571428571428571</v>
      </c>
      <c r="F27" s="166"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v>0</v>
      </c>
      <c r="L27" s="166">
        <v>0</v>
      </c>
      <c r="M27">
        <v>1</v>
      </c>
    </row>
    <row r="28" spans="1:32" x14ac:dyDescent="0.25">
      <c r="A28" t="s">
        <v>258</v>
      </c>
      <c r="B28">
        <v>7</v>
      </c>
      <c r="D28" s="166">
        <v>0.14285714285714285</v>
      </c>
      <c r="E28" s="166">
        <v>0.42857142857142855</v>
      </c>
      <c r="F28" s="166">
        <v>0</v>
      </c>
      <c r="G28" s="166">
        <v>0</v>
      </c>
      <c r="H28" s="166">
        <v>0.14285714285714285</v>
      </c>
      <c r="I28" s="166">
        <v>0.14285714285714285</v>
      </c>
      <c r="J28" s="166">
        <v>0.14285714285714285</v>
      </c>
      <c r="K28" s="166">
        <v>0</v>
      </c>
      <c r="L28" s="166">
        <v>0</v>
      </c>
      <c r="M28">
        <v>1</v>
      </c>
    </row>
    <row r="29" spans="1:32" x14ac:dyDescent="0.25">
      <c r="A29" t="s">
        <v>152</v>
      </c>
      <c r="B29">
        <v>6</v>
      </c>
      <c r="D29" s="166">
        <v>0</v>
      </c>
      <c r="E29" s="166">
        <v>0.16666666666666666</v>
      </c>
      <c r="F29" s="166">
        <v>0.66666666666666663</v>
      </c>
      <c r="G29" s="166">
        <v>0</v>
      </c>
      <c r="H29" s="166">
        <v>0</v>
      </c>
      <c r="I29" s="166">
        <v>0.16666666666666666</v>
      </c>
      <c r="J29" s="166">
        <v>0</v>
      </c>
      <c r="K29" s="166">
        <v>0</v>
      </c>
      <c r="L29" s="166">
        <v>0</v>
      </c>
      <c r="M29">
        <v>1</v>
      </c>
    </row>
    <row r="30" spans="1:32" x14ac:dyDescent="0.25">
      <c r="A30" t="s">
        <v>252</v>
      </c>
      <c r="B30">
        <v>5</v>
      </c>
      <c r="D30" s="166">
        <v>0</v>
      </c>
      <c r="E30" s="166">
        <v>0.2</v>
      </c>
      <c r="F30" s="166">
        <v>0</v>
      </c>
      <c r="G30" s="166">
        <v>0.2</v>
      </c>
      <c r="H30" s="166">
        <v>0.2</v>
      </c>
      <c r="I30" s="166">
        <v>0</v>
      </c>
      <c r="J30" s="166">
        <v>0.2</v>
      </c>
      <c r="K30" s="166">
        <v>0.2</v>
      </c>
      <c r="L30" s="166">
        <v>0</v>
      </c>
      <c r="M30">
        <v>1</v>
      </c>
    </row>
    <row r="31" spans="1:32" x14ac:dyDescent="0.25">
      <c r="A31" t="s">
        <v>1283</v>
      </c>
      <c r="B31">
        <v>5</v>
      </c>
      <c r="D31" s="166">
        <v>0</v>
      </c>
      <c r="E31" s="166">
        <v>0</v>
      </c>
      <c r="F31" s="166">
        <v>0</v>
      </c>
      <c r="G31" s="166">
        <v>0.2</v>
      </c>
      <c r="H31" s="166">
        <v>0.6</v>
      </c>
      <c r="I31" s="166">
        <v>0.2</v>
      </c>
      <c r="J31" s="166">
        <v>0</v>
      </c>
      <c r="K31" s="166">
        <v>0</v>
      </c>
      <c r="L31" s="166">
        <v>0</v>
      </c>
      <c r="M31">
        <v>1</v>
      </c>
    </row>
    <row r="32" spans="1:32" x14ac:dyDescent="0.25">
      <c r="A32" t="s">
        <v>296</v>
      </c>
      <c r="B32">
        <v>4</v>
      </c>
      <c r="D32" s="166">
        <v>0</v>
      </c>
      <c r="E32" s="166">
        <v>0.25</v>
      </c>
      <c r="F32" s="166">
        <v>0.25</v>
      </c>
      <c r="G32" s="166">
        <v>0</v>
      </c>
      <c r="H32" s="166">
        <v>0.25</v>
      </c>
      <c r="I32" s="166">
        <v>0</v>
      </c>
      <c r="J32" s="166">
        <v>0</v>
      </c>
      <c r="K32" s="166">
        <v>0</v>
      </c>
      <c r="L32" s="166">
        <v>0.25</v>
      </c>
      <c r="M32">
        <v>1</v>
      </c>
    </row>
    <row r="33" spans="1:13" x14ac:dyDescent="0.25">
      <c r="A33" t="s">
        <v>299</v>
      </c>
      <c r="B33">
        <v>4</v>
      </c>
      <c r="D33" s="166">
        <v>0.25</v>
      </c>
      <c r="E33" s="166">
        <v>0</v>
      </c>
      <c r="F33" s="166">
        <v>0</v>
      </c>
      <c r="G33" s="166">
        <v>0</v>
      </c>
      <c r="H33" s="166">
        <v>0.25</v>
      </c>
      <c r="I33" s="166">
        <v>0.5</v>
      </c>
      <c r="J33" s="166">
        <v>0</v>
      </c>
      <c r="K33" s="166">
        <v>0</v>
      </c>
      <c r="L33" s="166">
        <v>0</v>
      </c>
      <c r="M33">
        <v>1</v>
      </c>
    </row>
    <row r="34" spans="1:13" x14ac:dyDescent="0.25">
      <c r="A34" t="s">
        <v>1293</v>
      </c>
      <c r="B34">
        <v>3</v>
      </c>
      <c r="D34" s="166">
        <v>0</v>
      </c>
      <c r="E34" s="166">
        <v>0</v>
      </c>
      <c r="F34" s="166">
        <v>0</v>
      </c>
      <c r="G34" s="166">
        <v>0.33333333333333331</v>
      </c>
      <c r="H34" s="166">
        <v>0.33333333333333331</v>
      </c>
      <c r="I34" s="166">
        <v>0.33333333333333331</v>
      </c>
      <c r="J34" s="166">
        <v>0</v>
      </c>
      <c r="K34" s="166">
        <v>0</v>
      </c>
      <c r="L34" s="166">
        <v>0</v>
      </c>
      <c r="M34">
        <v>1</v>
      </c>
    </row>
    <row r="35" spans="1:13" x14ac:dyDescent="0.25">
      <c r="A35" t="s">
        <v>189</v>
      </c>
      <c r="B35">
        <v>3</v>
      </c>
      <c r="D35" s="166">
        <v>0</v>
      </c>
      <c r="E35" s="166">
        <v>0.33333333333333331</v>
      </c>
      <c r="F35" s="166">
        <v>0.33333333333333331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  <c r="L35" s="166">
        <v>0.33333333333333331</v>
      </c>
      <c r="M35">
        <v>1</v>
      </c>
    </row>
    <row r="36" spans="1:13" x14ac:dyDescent="0.25">
      <c r="A36" t="s">
        <v>1291</v>
      </c>
      <c r="B36">
        <v>3</v>
      </c>
      <c r="D36" s="166">
        <v>0</v>
      </c>
      <c r="E36" s="166">
        <v>0</v>
      </c>
      <c r="F36" s="166">
        <v>0</v>
      </c>
      <c r="G36" s="166">
        <v>0</v>
      </c>
      <c r="H36" s="166">
        <v>0.33333333333333331</v>
      </c>
      <c r="I36" s="166">
        <v>0</v>
      </c>
      <c r="J36" s="166">
        <v>0.66666666666666663</v>
      </c>
      <c r="K36" s="166">
        <v>0</v>
      </c>
      <c r="L36" s="166">
        <v>0</v>
      </c>
      <c r="M36">
        <v>1</v>
      </c>
    </row>
    <row r="37" spans="1:13" x14ac:dyDescent="0.25">
      <c r="A37" t="s">
        <v>291</v>
      </c>
      <c r="B37">
        <v>3</v>
      </c>
      <c r="D37" s="166">
        <v>0</v>
      </c>
      <c r="E37" s="166">
        <v>0.33333333333333331</v>
      </c>
      <c r="F37" s="166">
        <v>0</v>
      </c>
      <c r="G37" s="166">
        <v>0.33333333333333331</v>
      </c>
      <c r="H37" s="166">
        <v>0</v>
      </c>
      <c r="I37" s="166">
        <v>0.33333333333333331</v>
      </c>
      <c r="J37" s="166">
        <v>0</v>
      </c>
      <c r="K37" s="166">
        <v>0</v>
      </c>
      <c r="L37" s="166">
        <v>0</v>
      </c>
      <c r="M37">
        <v>1</v>
      </c>
    </row>
    <row r="38" spans="1:13" x14ac:dyDescent="0.25">
      <c r="A38" t="s">
        <v>722</v>
      </c>
      <c r="B38">
        <v>2</v>
      </c>
      <c r="D38" s="166">
        <v>0.5</v>
      </c>
      <c r="E38" s="166">
        <v>0</v>
      </c>
      <c r="F38" s="166">
        <v>0</v>
      </c>
      <c r="G38" s="166">
        <v>0</v>
      </c>
      <c r="H38" s="166">
        <v>0</v>
      </c>
      <c r="I38" s="166">
        <v>0.5</v>
      </c>
      <c r="J38" s="166">
        <v>0</v>
      </c>
      <c r="K38" s="166">
        <v>0</v>
      </c>
      <c r="L38" s="166">
        <v>0</v>
      </c>
      <c r="M38">
        <v>1</v>
      </c>
    </row>
    <row r="39" spans="1:13" x14ac:dyDescent="0.25">
      <c r="A39" t="s">
        <v>276</v>
      </c>
      <c r="B39">
        <v>2</v>
      </c>
      <c r="D39" s="166">
        <v>0</v>
      </c>
      <c r="E39" s="166">
        <v>0</v>
      </c>
      <c r="F39" s="166">
        <v>0</v>
      </c>
      <c r="G39" s="166">
        <v>0</v>
      </c>
      <c r="H39" s="166">
        <v>1</v>
      </c>
      <c r="I39" s="166">
        <v>0</v>
      </c>
      <c r="J39" s="166">
        <v>0</v>
      </c>
      <c r="K39" s="166">
        <v>0</v>
      </c>
      <c r="L39" s="166">
        <v>0</v>
      </c>
      <c r="M39">
        <v>1</v>
      </c>
    </row>
    <row r="40" spans="1:13" x14ac:dyDescent="0.25">
      <c r="A40" t="s">
        <v>1775</v>
      </c>
      <c r="B40">
        <v>1</v>
      </c>
      <c r="D40" s="166">
        <v>0</v>
      </c>
      <c r="E40" s="166">
        <v>1</v>
      </c>
      <c r="F40" s="166">
        <v>0</v>
      </c>
      <c r="G40" s="166">
        <v>0</v>
      </c>
      <c r="H40" s="166">
        <v>0</v>
      </c>
      <c r="I40" s="166">
        <v>0</v>
      </c>
      <c r="J40" s="166">
        <v>0</v>
      </c>
      <c r="K40" s="166">
        <v>0</v>
      </c>
      <c r="L40" s="166">
        <v>0</v>
      </c>
      <c r="M40">
        <v>1</v>
      </c>
    </row>
    <row r="41" spans="1:13" x14ac:dyDescent="0.25">
      <c r="A41" t="s">
        <v>925</v>
      </c>
      <c r="B41">
        <v>1</v>
      </c>
      <c r="D41" s="166">
        <v>0</v>
      </c>
      <c r="E41" s="166">
        <v>0</v>
      </c>
      <c r="F41" s="166">
        <v>1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  <c r="L41" s="166">
        <v>0</v>
      </c>
      <c r="M41">
        <v>1</v>
      </c>
    </row>
    <row r="42" spans="1:13" x14ac:dyDescent="0.25">
      <c r="A42" t="s">
        <v>855</v>
      </c>
      <c r="B42">
        <v>1</v>
      </c>
      <c r="D42" s="166">
        <v>0</v>
      </c>
      <c r="E42" s="166">
        <v>1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  <c r="L42" s="166">
        <v>0</v>
      </c>
      <c r="M42">
        <v>1</v>
      </c>
    </row>
    <row r="43" spans="1:13" x14ac:dyDescent="0.25">
      <c r="A43" t="s">
        <v>1385</v>
      </c>
      <c r="B43">
        <v>1</v>
      </c>
      <c r="D43" s="166">
        <v>0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v>0</v>
      </c>
      <c r="L43" s="166">
        <v>1</v>
      </c>
      <c r="M43">
        <v>1</v>
      </c>
    </row>
    <row r="44" spans="1:13" x14ac:dyDescent="0.25">
      <c r="A44" t="s">
        <v>1298</v>
      </c>
      <c r="B44">
        <v>1</v>
      </c>
      <c r="D44" s="166">
        <v>0</v>
      </c>
      <c r="E44" s="166">
        <v>0</v>
      </c>
      <c r="F44" s="166">
        <v>1</v>
      </c>
      <c r="G44" s="166">
        <v>0</v>
      </c>
      <c r="H44" s="166">
        <v>0</v>
      </c>
      <c r="I44" s="166">
        <v>0</v>
      </c>
      <c r="J44" s="166">
        <v>0</v>
      </c>
      <c r="K44" s="166">
        <v>0</v>
      </c>
      <c r="L44" s="166">
        <v>0</v>
      </c>
      <c r="M44">
        <v>1</v>
      </c>
    </row>
    <row r="45" spans="1:13" x14ac:dyDescent="0.25">
      <c r="A45" t="s">
        <v>1687</v>
      </c>
      <c r="B45">
        <v>1</v>
      </c>
      <c r="D45" s="166">
        <v>0</v>
      </c>
      <c r="E45" s="166">
        <v>1</v>
      </c>
      <c r="F45" s="166">
        <v>0</v>
      </c>
      <c r="G45" s="166">
        <v>0</v>
      </c>
      <c r="H45" s="166">
        <v>0</v>
      </c>
      <c r="I45" s="166">
        <v>0</v>
      </c>
      <c r="J45" s="166">
        <v>0</v>
      </c>
      <c r="K45" s="166">
        <v>0</v>
      </c>
      <c r="L45" s="166">
        <v>0</v>
      </c>
      <c r="M45">
        <v>1</v>
      </c>
    </row>
    <row r="46" spans="1:13" x14ac:dyDescent="0.25">
      <c r="A46" t="s">
        <v>1571</v>
      </c>
      <c r="B46">
        <v>1</v>
      </c>
      <c r="D46" s="166">
        <v>0</v>
      </c>
      <c r="E46" s="166">
        <v>0</v>
      </c>
      <c r="F46" s="166">
        <v>1</v>
      </c>
      <c r="G46" s="166">
        <v>0</v>
      </c>
      <c r="H46" s="166">
        <v>0</v>
      </c>
      <c r="I46" s="166">
        <v>0</v>
      </c>
      <c r="J46" s="166">
        <v>0</v>
      </c>
      <c r="K46" s="166">
        <v>0</v>
      </c>
      <c r="L46" s="166">
        <v>0</v>
      </c>
      <c r="M46">
        <v>1</v>
      </c>
    </row>
    <row r="47" spans="1:13" x14ac:dyDescent="0.25">
      <c r="A47" t="s">
        <v>283</v>
      </c>
      <c r="B47">
        <v>1</v>
      </c>
      <c r="D47" s="166">
        <v>0</v>
      </c>
      <c r="E47" s="166">
        <v>0</v>
      </c>
      <c r="F47" s="166">
        <v>0</v>
      </c>
      <c r="G47" s="166">
        <v>0</v>
      </c>
      <c r="H47" s="166">
        <v>1</v>
      </c>
      <c r="I47" s="166">
        <v>0</v>
      </c>
      <c r="J47" s="166">
        <v>0</v>
      </c>
      <c r="K47" s="166">
        <v>0</v>
      </c>
      <c r="L47" s="166">
        <v>0</v>
      </c>
      <c r="M47">
        <v>1</v>
      </c>
    </row>
    <row r="48" spans="1:13" x14ac:dyDescent="0.25">
      <c r="A48" t="s">
        <v>1742</v>
      </c>
      <c r="B48">
        <v>5687</v>
      </c>
      <c r="D48" s="166">
        <v>0.10339370494109372</v>
      </c>
      <c r="E48" s="166">
        <v>0.24599964832073148</v>
      </c>
      <c r="F48" s="166">
        <v>0.13416564093546685</v>
      </c>
      <c r="G48" s="166">
        <v>0.16282750131879725</v>
      </c>
      <c r="H48" s="166">
        <v>0.16581677510110779</v>
      </c>
      <c r="I48" s="166">
        <v>7.3325127483734834E-2</v>
      </c>
      <c r="J48" s="166">
        <v>3.2354492702655176E-2</v>
      </c>
      <c r="K48" s="166">
        <v>8.6161420784244772E-3</v>
      </c>
      <c r="L48" s="166">
        <v>7.3500967117988397E-2</v>
      </c>
      <c r="M48">
        <v>1</v>
      </c>
    </row>
  </sheetData>
  <mergeCells count="2">
    <mergeCell ref="AU2:AV2"/>
    <mergeCell ref="AW2:AX2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workbookViewId="0">
      <selection activeCell="I14" sqref="I14"/>
    </sheetView>
  </sheetViews>
  <sheetFormatPr defaultRowHeight="15" x14ac:dyDescent="0.25"/>
  <cols>
    <col min="1" max="1" width="12.42578125" customWidth="1"/>
    <col min="2" max="2" width="35.85546875" customWidth="1"/>
    <col min="4" max="4" width="13.140625" bestFit="1" customWidth="1"/>
  </cols>
  <sheetData>
    <row r="1" spans="1:4" x14ac:dyDescent="0.25">
      <c r="A1" s="180" t="s">
        <v>1867</v>
      </c>
    </row>
    <row r="2" spans="1:4" x14ac:dyDescent="0.25">
      <c r="A2" s="180"/>
    </row>
    <row r="3" spans="1:4" x14ac:dyDescent="0.25">
      <c r="A3" s="7" t="s">
        <v>1874</v>
      </c>
      <c r="B3" s="7" t="s">
        <v>1875</v>
      </c>
      <c r="C3" s="7" t="s">
        <v>1872</v>
      </c>
      <c r="D3" s="7" t="s">
        <v>1873</v>
      </c>
    </row>
    <row r="4" spans="1:4" x14ac:dyDescent="0.25">
      <c r="A4" s="181" t="s">
        <v>111</v>
      </c>
      <c r="B4" t="s">
        <v>112</v>
      </c>
      <c r="C4" s="3">
        <v>333</v>
      </c>
      <c r="D4" s="183">
        <f t="shared" ref="D4:D36" si="0">C4/$C$37</f>
        <v>0.20342089187538179</v>
      </c>
    </row>
    <row r="5" spans="1:4" x14ac:dyDescent="0.25">
      <c r="A5" s="181" t="s">
        <v>46</v>
      </c>
      <c r="B5" t="s">
        <v>47</v>
      </c>
      <c r="C5" s="3">
        <v>267</v>
      </c>
      <c r="D5" s="183">
        <f t="shared" si="0"/>
        <v>0.16310323762981063</v>
      </c>
    </row>
    <row r="6" spans="1:4" x14ac:dyDescent="0.25">
      <c r="A6" s="181" t="s">
        <v>90</v>
      </c>
      <c r="B6" t="s">
        <v>91</v>
      </c>
      <c r="C6" s="3">
        <v>265</v>
      </c>
      <c r="D6" s="183">
        <f t="shared" si="0"/>
        <v>0.16188149053145998</v>
      </c>
    </row>
    <row r="7" spans="1:4" x14ac:dyDescent="0.25">
      <c r="A7" s="181" t="s">
        <v>52</v>
      </c>
      <c r="B7" t="s">
        <v>53</v>
      </c>
      <c r="C7" s="3">
        <v>111</v>
      </c>
      <c r="D7" s="183">
        <f t="shared" si="0"/>
        <v>6.78069639584606E-2</v>
      </c>
    </row>
    <row r="8" spans="1:4" x14ac:dyDescent="0.25">
      <c r="A8" s="181" t="s">
        <v>64</v>
      </c>
      <c r="B8" t="s">
        <v>65</v>
      </c>
      <c r="C8" s="3">
        <v>105</v>
      </c>
      <c r="D8" s="183">
        <f t="shared" si="0"/>
        <v>6.4141722663408673E-2</v>
      </c>
    </row>
    <row r="9" spans="1:4" x14ac:dyDescent="0.25">
      <c r="A9" s="181" t="s">
        <v>79</v>
      </c>
      <c r="B9" t="s">
        <v>80</v>
      </c>
      <c r="C9" s="3">
        <v>90</v>
      </c>
      <c r="D9" s="183">
        <f t="shared" si="0"/>
        <v>5.4978619425778863E-2</v>
      </c>
    </row>
    <row r="10" spans="1:4" x14ac:dyDescent="0.25">
      <c r="A10" s="181" t="s">
        <v>68</v>
      </c>
      <c r="B10" t="s">
        <v>69</v>
      </c>
      <c r="C10" s="3">
        <v>58</v>
      </c>
      <c r="D10" s="183">
        <f t="shared" si="0"/>
        <v>3.54306658521686E-2</v>
      </c>
    </row>
    <row r="11" spans="1:4" x14ac:dyDescent="0.25">
      <c r="A11" s="181" t="s">
        <v>61</v>
      </c>
      <c r="B11" t="s">
        <v>62</v>
      </c>
      <c r="C11" s="3">
        <v>57</v>
      </c>
      <c r="D11" s="183">
        <f t="shared" si="0"/>
        <v>3.4819792302993278E-2</v>
      </c>
    </row>
    <row r="12" spans="1:4" x14ac:dyDescent="0.25">
      <c r="A12" s="181" t="s">
        <v>139</v>
      </c>
      <c r="B12" t="s">
        <v>140</v>
      </c>
      <c r="C12" s="3">
        <v>36</v>
      </c>
      <c r="D12" s="183">
        <f t="shared" si="0"/>
        <v>2.1991447770311544E-2</v>
      </c>
    </row>
    <row r="13" spans="1:4" x14ac:dyDescent="0.25">
      <c r="A13" s="181" t="s">
        <v>85</v>
      </c>
      <c r="B13" t="s">
        <v>86</v>
      </c>
      <c r="C13" s="3">
        <v>32</v>
      </c>
      <c r="D13" s="183">
        <f t="shared" si="0"/>
        <v>1.9547953573610263E-2</v>
      </c>
    </row>
    <row r="14" spans="1:4" x14ac:dyDescent="0.25">
      <c r="A14" s="181" t="s">
        <v>71</v>
      </c>
      <c r="B14" t="s">
        <v>72</v>
      </c>
      <c r="C14" s="3">
        <v>32</v>
      </c>
      <c r="D14" s="183">
        <f t="shared" si="0"/>
        <v>1.9547953573610263E-2</v>
      </c>
    </row>
    <row r="15" spans="1:4" x14ac:dyDescent="0.25">
      <c r="A15" s="181" t="s">
        <v>145</v>
      </c>
      <c r="B15" t="s">
        <v>146</v>
      </c>
      <c r="C15" s="3">
        <v>32</v>
      </c>
      <c r="D15" s="183">
        <f t="shared" si="0"/>
        <v>1.9547953573610263E-2</v>
      </c>
    </row>
    <row r="16" spans="1:4" x14ac:dyDescent="0.25">
      <c r="A16" s="181" t="s">
        <v>58</v>
      </c>
      <c r="B16" t="s">
        <v>59</v>
      </c>
      <c r="C16" s="3">
        <v>31</v>
      </c>
      <c r="D16" s="183">
        <f t="shared" si="0"/>
        <v>1.8937080024434942E-2</v>
      </c>
    </row>
    <row r="17" spans="1:4" x14ac:dyDescent="0.25">
      <c r="A17" s="181" t="s">
        <v>33</v>
      </c>
      <c r="B17" t="s">
        <v>34</v>
      </c>
      <c r="C17" s="3">
        <v>27</v>
      </c>
      <c r="D17" s="183">
        <f t="shared" si="0"/>
        <v>1.6493585827733658E-2</v>
      </c>
    </row>
    <row r="18" spans="1:4" x14ac:dyDescent="0.25">
      <c r="A18" s="181" t="s">
        <v>143</v>
      </c>
      <c r="B18" t="s">
        <v>144</v>
      </c>
      <c r="C18" s="3">
        <v>27</v>
      </c>
      <c r="D18" s="183">
        <f t="shared" si="0"/>
        <v>1.6493585827733658E-2</v>
      </c>
    </row>
    <row r="19" spans="1:4" x14ac:dyDescent="0.25">
      <c r="A19" s="181" t="s">
        <v>82</v>
      </c>
      <c r="B19" t="s">
        <v>83</v>
      </c>
      <c r="C19" s="3">
        <v>24</v>
      </c>
      <c r="D19" s="183">
        <f t="shared" si="0"/>
        <v>1.4660965180207697E-2</v>
      </c>
    </row>
    <row r="20" spans="1:4" x14ac:dyDescent="0.25">
      <c r="A20" s="181" t="s">
        <v>117</v>
      </c>
      <c r="B20" t="s">
        <v>118</v>
      </c>
      <c r="C20" s="3">
        <v>22</v>
      </c>
      <c r="D20" s="183">
        <f t="shared" si="0"/>
        <v>1.3439218081857055E-2</v>
      </c>
    </row>
    <row r="21" spans="1:4" x14ac:dyDescent="0.25">
      <c r="A21" s="181" t="s">
        <v>136</v>
      </c>
      <c r="B21" t="s">
        <v>137</v>
      </c>
      <c r="C21" s="3">
        <v>20</v>
      </c>
      <c r="D21" s="183">
        <f t="shared" si="0"/>
        <v>1.2217470983506415E-2</v>
      </c>
    </row>
    <row r="22" spans="1:4" ht="60" x14ac:dyDescent="0.25">
      <c r="A22" s="182" t="s">
        <v>1868</v>
      </c>
      <c r="B22" s="9" t="s">
        <v>1869</v>
      </c>
      <c r="C22" s="3">
        <v>13</v>
      </c>
      <c r="D22" s="183">
        <f t="shared" si="0"/>
        <v>7.9413561392791699E-3</v>
      </c>
    </row>
    <row r="23" spans="1:4" x14ac:dyDescent="0.25">
      <c r="A23" s="181" t="s">
        <v>257</v>
      </c>
      <c r="B23" t="s">
        <v>258</v>
      </c>
      <c r="C23" s="3">
        <v>11</v>
      </c>
      <c r="D23" s="183">
        <f t="shared" si="0"/>
        <v>6.7196090409285276E-3</v>
      </c>
    </row>
    <row r="24" spans="1:4" x14ac:dyDescent="0.25">
      <c r="A24" s="181" t="s">
        <v>204</v>
      </c>
      <c r="B24" t="s">
        <v>205</v>
      </c>
      <c r="C24" s="3">
        <v>9</v>
      </c>
      <c r="D24" s="183">
        <f t="shared" si="0"/>
        <v>5.4978619425778861E-3</v>
      </c>
    </row>
    <row r="25" spans="1:4" x14ac:dyDescent="0.25">
      <c r="A25" s="181" t="s">
        <v>149</v>
      </c>
      <c r="B25" t="s">
        <v>150</v>
      </c>
      <c r="C25" s="3">
        <v>8</v>
      </c>
      <c r="D25" s="183">
        <f t="shared" si="0"/>
        <v>4.8869883934025658E-3</v>
      </c>
    </row>
    <row r="26" spans="1:4" x14ac:dyDescent="0.25">
      <c r="A26" s="181" t="s">
        <v>259</v>
      </c>
      <c r="B26" t="s">
        <v>260</v>
      </c>
      <c r="C26" s="3">
        <v>8</v>
      </c>
      <c r="D26" s="183">
        <f t="shared" si="0"/>
        <v>4.8869883934025658E-3</v>
      </c>
    </row>
    <row r="27" spans="1:4" x14ac:dyDescent="0.25">
      <c r="A27" s="181" t="s">
        <v>251</v>
      </c>
      <c r="B27" t="s">
        <v>252</v>
      </c>
      <c r="C27" s="3">
        <v>6</v>
      </c>
      <c r="D27" s="183">
        <f t="shared" si="0"/>
        <v>3.6652412950519244E-3</v>
      </c>
    </row>
    <row r="28" spans="1:4" x14ac:dyDescent="0.25">
      <c r="A28" s="181" t="s">
        <v>290</v>
      </c>
      <c r="B28" t="s">
        <v>291</v>
      </c>
      <c r="C28" s="3">
        <v>2</v>
      </c>
      <c r="D28" s="183">
        <f t="shared" si="0"/>
        <v>1.2217470983506415E-3</v>
      </c>
    </row>
    <row r="29" spans="1:4" x14ac:dyDescent="0.25">
      <c r="A29" s="181" t="s">
        <v>151</v>
      </c>
      <c r="B29" t="s">
        <v>152</v>
      </c>
      <c r="C29" s="3">
        <v>2</v>
      </c>
      <c r="D29" s="183">
        <f t="shared" si="0"/>
        <v>1.2217470983506415E-3</v>
      </c>
    </row>
    <row r="30" spans="1:4" x14ac:dyDescent="0.25">
      <c r="A30" s="181" t="s">
        <v>1292</v>
      </c>
      <c r="B30" t="s">
        <v>1293</v>
      </c>
      <c r="C30" s="3">
        <v>2</v>
      </c>
      <c r="D30" s="183">
        <f t="shared" si="0"/>
        <v>1.2217470983506415E-3</v>
      </c>
    </row>
    <row r="31" spans="1:4" x14ac:dyDescent="0.25">
      <c r="A31" s="181" t="s">
        <v>924</v>
      </c>
      <c r="B31" t="s">
        <v>925</v>
      </c>
      <c r="C31" s="3">
        <v>2</v>
      </c>
      <c r="D31" s="183">
        <f t="shared" si="0"/>
        <v>1.2217470983506415E-3</v>
      </c>
    </row>
    <row r="32" spans="1:4" x14ac:dyDescent="0.25">
      <c r="A32" s="181" t="s">
        <v>597</v>
      </c>
      <c r="B32" t="s">
        <v>598</v>
      </c>
      <c r="C32" s="3">
        <v>1</v>
      </c>
      <c r="D32" s="183">
        <f t="shared" si="0"/>
        <v>6.1087354917532073E-4</v>
      </c>
    </row>
    <row r="33" spans="1:4" x14ac:dyDescent="0.25">
      <c r="A33" s="181" t="s">
        <v>298</v>
      </c>
      <c r="B33" t="s">
        <v>299</v>
      </c>
      <c r="C33" s="3">
        <v>1</v>
      </c>
      <c r="D33" s="183">
        <f t="shared" si="0"/>
        <v>6.1087354917532073E-4</v>
      </c>
    </row>
    <row r="34" spans="1:4" x14ac:dyDescent="0.25">
      <c r="A34" s="181" t="s">
        <v>1282</v>
      </c>
      <c r="B34" t="s">
        <v>1283</v>
      </c>
      <c r="C34" s="3">
        <v>1</v>
      </c>
      <c r="D34" s="183">
        <f t="shared" si="0"/>
        <v>6.1087354917532073E-4</v>
      </c>
    </row>
    <row r="35" spans="1:4" x14ac:dyDescent="0.25">
      <c r="A35" s="181" t="s">
        <v>275</v>
      </c>
      <c r="B35" t="s">
        <v>276</v>
      </c>
      <c r="C35" s="3">
        <v>1</v>
      </c>
      <c r="D35" s="183">
        <f t="shared" si="0"/>
        <v>6.1087354917532073E-4</v>
      </c>
    </row>
    <row r="36" spans="1:4" x14ac:dyDescent="0.25">
      <c r="A36" s="181" t="s">
        <v>1870</v>
      </c>
      <c r="B36" t="s">
        <v>1871</v>
      </c>
      <c r="C36" s="3">
        <v>1</v>
      </c>
      <c r="D36" s="183">
        <f t="shared" si="0"/>
        <v>6.1087354917532073E-4</v>
      </c>
    </row>
    <row r="37" spans="1:4" x14ac:dyDescent="0.25">
      <c r="C37" s="7">
        <f>SUM(C4:C36)</f>
        <v>1637</v>
      </c>
    </row>
  </sheetData>
  <sortState ref="A4:D37">
    <sortCondition descending="1" ref="C4:C37"/>
  </sortState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:B8"/>
    </sheetView>
  </sheetViews>
  <sheetFormatPr defaultRowHeight="15" x14ac:dyDescent="0.25"/>
  <cols>
    <col min="1" max="1" width="59" bestFit="1" customWidth="1"/>
  </cols>
  <sheetData>
    <row r="3" spans="1:2" x14ac:dyDescent="0.25">
      <c r="A3" t="s">
        <v>1881</v>
      </c>
      <c r="B3">
        <v>3942</v>
      </c>
    </row>
    <row r="4" spans="1:2" x14ac:dyDescent="0.25">
      <c r="A4" t="s">
        <v>1882</v>
      </c>
      <c r="B4">
        <v>1542</v>
      </c>
    </row>
    <row r="5" spans="1:2" x14ac:dyDescent="0.25">
      <c r="A5" t="s">
        <v>1883</v>
      </c>
      <c r="B5">
        <v>176</v>
      </c>
    </row>
    <row r="6" spans="1:2" x14ac:dyDescent="0.25">
      <c r="A6" t="s">
        <v>1884</v>
      </c>
      <c r="B6">
        <v>24</v>
      </c>
    </row>
    <row r="7" spans="1:2" x14ac:dyDescent="0.25">
      <c r="A7" t="s">
        <v>1885</v>
      </c>
      <c r="B7">
        <v>3</v>
      </c>
    </row>
    <row r="8" spans="1:2" x14ac:dyDescent="0.25">
      <c r="B8">
        <f>SUM(B3:B7)</f>
        <v>5687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688"/>
  <sheetViews>
    <sheetView workbookViewId="0">
      <pane ySplit="1" topLeftCell="A2" activePane="bottomLeft" state="frozen"/>
      <selection pane="bottomLeft" activeCell="AH7" sqref="AH7"/>
    </sheetView>
  </sheetViews>
  <sheetFormatPr defaultRowHeight="15" x14ac:dyDescent="0.25"/>
  <cols>
    <col min="1" max="1" width="10" customWidth="1"/>
    <col min="2" max="2" width="9.140625" style="17"/>
    <col min="7" max="8" width="9.140625" style="17"/>
    <col min="9" max="9" width="13.42578125" customWidth="1"/>
    <col min="10" max="10" width="16.85546875" bestFit="1" customWidth="1"/>
    <col min="11" max="11" width="30.28515625" bestFit="1" customWidth="1"/>
    <col min="12" max="12" width="30.7109375" customWidth="1"/>
    <col min="13" max="13" width="78.140625" bestFit="1" customWidth="1"/>
    <col min="26" max="26" width="32.7109375" customWidth="1"/>
    <col min="27" max="27" width="37.28515625" customWidth="1"/>
    <col min="28" max="28" width="78.140625" bestFit="1" customWidth="1"/>
    <col min="29" max="29" width="57.7109375" customWidth="1"/>
    <col min="30" max="30" width="34" bestFit="1" customWidth="1"/>
    <col min="31" max="31" width="15.85546875" bestFit="1" customWidth="1"/>
    <col min="32" max="32" width="22.5703125" bestFit="1" customWidth="1"/>
    <col min="33" max="33" width="35.42578125" bestFit="1" customWidth="1"/>
    <col min="34" max="34" width="9.140625" style="36"/>
    <col min="35" max="35" width="15.7109375" style="17" bestFit="1" customWidth="1"/>
    <col min="36" max="36" width="10.7109375" bestFit="1" customWidth="1"/>
    <col min="40" max="40" width="10.7109375" bestFit="1" customWidth="1"/>
  </cols>
  <sheetData>
    <row r="1" spans="1:36" s="93" customFormat="1" x14ac:dyDescent="0.25">
      <c r="A1" s="93" t="s">
        <v>1891</v>
      </c>
      <c r="B1" s="179" t="s">
        <v>0</v>
      </c>
      <c r="C1" s="93" t="s">
        <v>1</v>
      </c>
      <c r="D1" s="93" t="s">
        <v>2</v>
      </c>
      <c r="E1" s="93" t="s">
        <v>3</v>
      </c>
      <c r="F1" s="93" t="s">
        <v>4</v>
      </c>
      <c r="G1" s="179" t="s">
        <v>5</v>
      </c>
      <c r="H1" s="179" t="s">
        <v>6</v>
      </c>
      <c r="I1" s="93" t="s">
        <v>7</v>
      </c>
      <c r="J1" s="93" t="s">
        <v>8</v>
      </c>
      <c r="K1" s="93" t="s">
        <v>9</v>
      </c>
      <c r="L1" s="93" t="s">
        <v>10</v>
      </c>
      <c r="M1" s="93" t="s">
        <v>11</v>
      </c>
      <c r="N1" s="93" t="s">
        <v>12</v>
      </c>
      <c r="O1" s="93" t="s">
        <v>13</v>
      </c>
      <c r="P1" s="93" t="s">
        <v>14</v>
      </c>
      <c r="Q1" s="93" t="s">
        <v>15</v>
      </c>
      <c r="R1" s="93" t="s">
        <v>16</v>
      </c>
      <c r="S1" s="93" t="s">
        <v>17</v>
      </c>
      <c r="T1" s="93" t="s">
        <v>18</v>
      </c>
      <c r="U1" s="93" t="s">
        <v>19</v>
      </c>
      <c r="V1" s="93" t="s">
        <v>20</v>
      </c>
      <c r="W1" s="93" t="s">
        <v>21</v>
      </c>
      <c r="X1" s="93" t="s">
        <v>22</v>
      </c>
      <c r="Y1" s="93" t="s">
        <v>23</v>
      </c>
      <c r="Z1" s="93" t="s">
        <v>24</v>
      </c>
      <c r="AA1" s="93" t="s">
        <v>25</v>
      </c>
      <c r="AB1" s="93" t="s">
        <v>26</v>
      </c>
      <c r="AC1" s="93" t="s">
        <v>27</v>
      </c>
      <c r="AD1" s="93" t="s">
        <v>28</v>
      </c>
      <c r="AE1" s="93" t="s">
        <v>29</v>
      </c>
      <c r="AF1" s="93" t="s">
        <v>30</v>
      </c>
      <c r="AG1" s="93" t="s">
        <v>31</v>
      </c>
      <c r="AH1" s="178" t="s">
        <v>1771</v>
      </c>
      <c r="AI1" s="179" t="s">
        <v>1784</v>
      </c>
      <c r="AJ1" s="94">
        <v>43457</v>
      </c>
    </row>
    <row r="2" spans="1:36" x14ac:dyDescent="0.25">
      <c r="A2" s="36">
        <v>99910000</v>
      </c>
      <c r="B2" s="17" t="s">
        <v>32</v>
      </c>
      <c r="C2" t="s">
        <v>64</v>
      </c>
      <c r="D2" t="s">
        <v>65</v>
      </c>
      <c r="G2" s="17" t="s">
        <v>35</v>
      </c>
      <c r="H2" s="17">
        <v>1</v>
      </c>
      <c r="I2">
        <v>0</v>
      </c>
      <c r="J2" s="1">
        <v>43344</v>
      </c>
      <c r="K2" t="s">
        <v>223</v>
      </c>
      <c r="L2" t="s">
        <v>224</v>
      </c>
      <c r="M2" t="s">
        <v>131</v>
      </c>
      <c r="N2">
        <v>23</v>
      </c>
      <c r="O2" t="s">
        <v>40</v>
      </c>
      <c r="S2" t="s">
        <v>40</v>
      </c>
      <c r="U2" s="1">
        <v>43344</v>
      </c>
      <c r="V2" t="s">
        <v>41</v>
      </c>
      <c r="W2" t="s">
        <v>49</v>
      </c>
      <c r="X2" t="str">
        <f>"0560030"</f>
        <v>0560030</v>
      </c>
      <c r="Y2" t="s">
        <v>244</v>
      </c>
      <c r="Z2" t="s">
        <v>223</v>
      </c>
      <c r="AA2" t="s">
        <v>224</v>
      </c>
      <c r="AB2" t="s">
        <v>131</v>
      </c>
      <c r="AC2" t="s">
        <v>44</v>
      </c>
      <c r="AD2" t="s">
        <v>45</v>
      </c>
      <c r="AE2" s="1">
        <v>43344</v>
      </c>
      <c r="AF2">
        <v>2</v>
      </c>
      <c r="AG2" t="s">
        <v>224</v>
      </c>
      <c r="AH2" s="36">
        <f t="shared" ref="AH2:AH65" si="0">($AJ$1-AE2)/360</f>
        <v>0.31388888888888888</v>
      </c>
      <c r="AI2" s="17" t="s">
        <v>1773</v>
      </c>
    </row>
    <row r="3" spans="1:36" x14ac:dyDescent="0.25">
      <c r="A3" s="36">
        <v>99910001</v>
      </c>
      <c r="B3" s="17" t="s">
        <v>32</v>
      </c>
      <c r="C3" t="s">
        <v>111</v>
      </c>
      <c r="D3" t="s">
        <v>112</v>
      </c>
      <c r="G3" s="17" t="s">
        <v>88</v>
      </c>
      <c r="H3" s="17">
        <v>2</v>
      </c>
      <c r="I3" t="s">
        <v>834</v>
      </c>
      <c r="J3" s="1">
        <v>43344</v>
      </c>
      <c r="K3" t="s">
        <v>354</v>
      </c>
      <c r="L3" t="s">
        <v>355</v>
      </c>
      <c r="M3" t="s">
        <v>131</v>
      </c>
      <c r="N3">
        <v>24</v>
      </c>
      <c r="O3" t="s">
        <v>40</v>
      </c>
      <c r="P3" t="s">
        <v>40</v>
      </c>
      <c r="Q3" t="s">
        <v>40</v>
      </c>
      <c r="R3" t="s">
        <v>40</v>
      </c>
      <c r="S3" t="s">
        <v>40</v>
      </c>
      <c r="U3" s="1">
        <v>43344</v>
      </c>
      <c r="V3" t="s">
        <v>41</v>
      </c>
      <c r="W3" t="s">
        <v>75</v>
      </c>
      <c r="X3" t="str">
        <f>"7054008"</f>
        <v>7054008</v>
      </c>
      <c r="Y3" t="s">
        <v>813</v>
      </c>
      <c r="Z3" t="s">
        <v>354</v>
      </c>
      <c r="AA3" t="s">
        <v>355</v>
      </c>
      <c r="AB3" t="s">
        <v>131</v>
      </c>
      <c r="AC3" t="s">
        <v>51</v>
      </c>
      <c r="AD3" t="s">
        <v>45</v>
      </c>
      <c r="AE3" s="1">
        <v>43344</v>
      </c>
      <c r="AF3">
        <v>1</v>
      </c>
      <c r="AG3" t="s">
        <v>355</v>
      </c>
      <c r="AH3" s="36">
        <f t="shared" si="0"/>
        <v>0.31388888888888888</v>
      </c>
      <c r="AI3" s="17" t="s">
        <v>1773</v>
      </c>
    </row>
    <row r="4" spans="1:36" x14ac:dyDescent="0.25">
      <c r="A4" s="36">
        <v>99910002</v>
      </c>
      <c r="B4" s="17" t="s">
        <v>32</v>
      </c>
      <c r="C4" t="s">
        <v>111</v>
      </c>
      <c r="D4" t="s">
        <v>112</v>
      </c>
      <c r="G4" s="17" t="s">
        <v>35</v>
      </c>
      <c r="H4" s="17">
        <v>1</v>
      </c>
      <c r="I4">
        <v>12927</v>
      </c>
      <c r="J4" s="1">
        <v>43344</v>
      </c>
      <c r="K4" t="s">
        <v>354</v>
      </c>
      <c r="L4" t="s">
        <v>355</v>
      </c>
      <c r="M4" t="s">
        <v>131</v>
      </c>
      <c r="N4">
        <v>24</v>
      </c>
      <c r="O4" t="s">
        <v>40</v>
      </c>
      <c r="S4" t="s">
        <v>40</v>
      </c>
      <c r="U4" s="1">
        <v>43344</v>
      </c>
      <c r="V4" t="s">
        <v>41</v>
      </c>
      <c r="W4" t="s">
        <v>75</v>
      </c>
      <c r="X4" t="str">
        <f>"7054042"</f>
        <v>7054042</v>
      </c>
      <c r="Y4" t="s">
        <v>776</v>
      </c>
      <c r="Z4" t="s">
        <v>354</v>
      </c>
      <c r="AA4" t="s">
        <v>355</v>
      </c>
      <c r="AB4" t="s">
        <v>131</v>
      </c>
      <c r="AC4" t="s">
        <v>51</v>
      </c>
      <c r="AD4" t="s">
        <v>45</v>
      </c>
      <c r="AE4" s="1">
        <v>43344</v>
      </c>
      <c r="AF4">
        <v>1</v>
      </c>
      <c r="AG4" t="s">
        <v>355</v>
      </c>
      <c r="AH4" s="36">
        <f t="shared" si="0"/>
        <v>0.31388888888888888</v>
      </c>
      <c r="AI4" s="17" t="s">
        <v>1773</v>
      </c>
    </row>
    <row r="5" spans="1:36" x14ac:dyDescent="0.25">
      <c r="A5" s="36">
        <v>99910003</v>
      </c>
      <c r="B5" s="17" t="s">
        <v>32</v>
      </c>
      <c r="C5" t="s">
        <v>90</v>
      </c>
      <c r="D5" t="s">
        <v>91</v>
      </c>
      <c r="G5" s="17" t="s">
        <v>35</v>
      </c>
      <c r="H5" s="17">
        <v>1</v>
      </c>
      <c r="I5" t="s">
        <v>1585</v>
      </c>
      <c r="J5" s="1">
        <v>43344</v>
      </c>
      <c r="K5" t="s">
        <v>1581</v>
      </c>
      <c r="L5" t="s">
        <v>1582</v>
      </c>
      <c r="M5" t="s">
        <v>1548</v>
      </c>
      <c r="N5">
        <v>25</v>
      </c>
      <c r="O5" t="s">
        <v>40</v>
      </c>
      <c r="S5" t="s">
        <v>40</v>
      </c>
      <c r="U5" s="1">
        <v>43344</v>
      </c>
      <c r="V5" t="s">
        <v>41</v>
      </c>
      <c r="W5" t="s">
        <v>95</v>
      </c>
      <c r="X5" t="str">
        <f>"7291003"</f>
        <v>7291003</v>
      </c>
      <c r="Y5" t="s">
        <v>1586</v>
      </c>
      <c r="Z5" t="s">
        <v>1581</v>
      </c>
      <c r="AA5" t="s">
        <v>1582</v>
      </c>
      <c r="AB5" t="s">
        <v>1548</v>
      </c>
      <c r="AC5" t="s">
        <v>51</v>
      </c>
      <c r="AD5" t="s">
        <v>45</v>
      </c>
      <c r="AE5" s="1">
        <v>43344</v>
      </c>
      <c r="AF5">
        <v>1</v>
      </c>
      <c r="AG5" t="s">
        <v>1582</v>
      </c>
      <c r="AH5" s="36">
        <f t="shared" si="0"/>
        <v>0.31388888888888888</v>
      </c>
      <c r="AI5" s="17" t="s">
        <v>1773</v>
      </c>
    </row>
    <row r="6" spans="1:36" x14ac:dyDescent="0.25">
      <c r="A6" s="36">
        <v>99910004</v>
      </c>
      <c r="B6" s="17" t="s">
        <v>32</v>
      </c>
      <c r="C6" t="s">
        <v>46</v>
      </c>
      <c r="D6" t="s">
        <v>47</v>
      </c>
      <c r="G6" s="17" t="s">
        <v>35</v>
      </c>
      <c r="H6" s="17">
        <v>3</v>
      </c>
      <c r="I6" t="s">
        <v>156</v>
      </c>
      <c r="J6" s="1">
        <v>43344</v>
      </c>
      <c r="K6" t="s">
        <v>129</v>
      </c>
      <c r="L6" t="s">
        <v>130</v>
      </c>
      <c r="M6" t="s">
        <v>131</v>
      </c>
      <c r="N6">
        <v>14</v>
      </c>
      <c r="O6" t="s">
        <v>40</v>
      </c>
      <c r="P6" t="s">
        <v>40</v>
      </c>
      <c r="Q6" t="s">
        <v>40</v>
      </c>
      <c r="R6" t="s">
        <v>40</v>
      </c>
      <c r="S6" t="s">
        <v>40</v>
      </c>
      <c r="U6" s="1">
        <v>43344</v>
      </c>
      <c r="V6" t="s">
        <v>41</v>
      </c>
      <c r="W6" t="s">
        <v>42</v>
      </c>
      <c r="X6" t="str">
        <f>"0561011"</f>
        <v>0561011</v>
      </c>
      <c r="Y6" t="s">
        <v>132</v>
      </c>
      <c r="Z6" t="s">
        <v>129</v>
      </c>
      <c r="AA6" t="s">
        <v>130</v>
      </c>
      <c r="AB6" t="s">
        <v>131</v>
      </c>
      <c r="AC6" t="s">
        <v>44</v>
      </c>
      <c r="AD6" t="s">
        <v>45</v>
      </c>
      <c r="AE6" s="1">
        <v>43196</v>
      </c>
      <c r="AF6">
        <v>2</v>
      </c>
      <c r="AG6" t="s">
        <v>130</v>
      </c>
      <c r="AH6" s="36">
        <f t="shared" si="0"/>
        <v>0.72499999999999998</v>
      </c>
      <c r="AI6" s="17" t="s">
        <v>1773</v>
      </c>
    </row>
    <row r="7" spans="1:36" x14ac:dyDescent="0.25">
      <c r="A7" s="36">
        <v>99910005</v>
      </c>
      <c r="B7" s="17" t="s">
        <v>32</v>
      </c>
      <c r="C7" t="s">
        <v>82</v>
      </c>
      <c r="D7" t="s">
        <v>83</v>
      </c>
      <c r="G7" s="17" t="s">
        <v>35</v>
      </c>
      <c r="H7" s="17">
        <v>1</v>
      </c>
      <c r="K7" t="s">
        <v>1626</v>
      </c>
      <c r="L7" t="s">
        <v>1627</v>
      </c>
      <c r="M7" t="s">
        <v>1592</v>
      </c>
      <c r="N7">
        <v>14</v>
      </c>
      <c r="O7" t="s">
        <v>40</v>
      </c>
      <c r="P7" t="s">
        <v>40</v>
      </c>
      <c r="Q7" t="s">
        <v>40</v>
      </c>
      <c r="R7" t="s">
        <v>40</v>
      </c>
      <c r="S7" t="s">
        <v>40</v>
      </c>
      <c r="V7" t="s">
        <v>41</v>
      </c>
      <c r="W7" t="s">
        <v>42</v>
      </c>
      <c r="X7" t="str">
        <f>"3680015"</f>
        <v>3680015</v>
      </c>
      <c r="Y7" t="s">
        <v>1628</v>
      </c>
      <c r="Z7" t="s">
        <v>1626</v>
      </c>
      <c r="AA7" t="s">
        <v>1627</v>
      </c>
      <c r="AB7" t="s">
        <v>1592</v>
      </c>
      <c r="AC7" t="s">
        <v>51</v>
      </c>
      <c r="AD7" t="s">
        <v>45</v>
      </c>
      <c r="AE7" s="1">
        <v>42754</v>
      </c>
      <c r="AF7">
        <v>2</v>
      </c>
      <c r="AG7" t="s">
        <v>1627</v>
      </c>
      <c r="AH7" s="36">
        <f t="shared" si="0"/>
        <v>1.9527777777777777</v>
      </c>
      <c r="AI7" s="17" t="s">
        <v>1773</v>
      </c>
    </row>
    <row r="8" spans="1:36" x14ac:dyDescent="0.25">
      <c r="A8" s="36">
        <v>99910006</v>
      </c>
      <c r="B8" s="17" t="s">
        <v>56</v>
      </c>
      <c r="C8" t="s">
        <v>46</v>
      </c>
      <c r="D8" t="s">
        <v>47</v>
      </c>
      <c r="G8" s="17" t="s">
        <v>35</v>
      </c>
      <c r="H8" s="17">
        <v>1</v>
      </c>
      <c r="I8">
        <v>0</v>
      </c>
      <c r="J8" s="1">
        <v>43344</v>
      </c>
      <c r="K8" t="s">
        <v>223</v>
      </c>
      <c r="L8" t="s">
        <v>224</v>
      </c>
      <c r="M8" t="s">
        <v>131</v>
      </c>
      <c r="N8">
        <v>23</v>
      </c>
      <c r="O8" t="s">
        <v>40</v>
      </c>
      <c r="S8" t="s">
        <v>40</v>
      </c>
      <c r="U8" s="1">
        <v>43344</v>
      </c>
      <c r="V8" t="s">
        <v>41</v>
      </c>
      <c r="W8" t="s">
        <v>49</v>
      </c>
      <c r="X8" t="str">
        <f>"0561022"</f>
        <v>0561022</v>
      </c>
      <c r="Y8" t="s">
        <v>225</v>
      </c>
      <c r="Z8" t="s">
        <v>223</v>
      </c>
      <c r="AA8" t="s">
        <v>224</v>
      </c>
      <c r="AB8" t="s">
        <v>131</v>
      </c>
      <c r="AC8" t="s">
        <v>44</v>
      </c>
      <c r="AD8" t="s">
        <v>45</v>
      </c>
      <c r="AE8" s="1">
        <v>36892</v>
      </c>
      <c r="AF8">
        <v>2</v>
      </c>
      <c r="AG8" t="s">
        <v>224</v>
      </c>
      <c r="AH8" s="36">
        <f t="shared" si="0"/>
        <v>18.236111111111111</v>
      </c>
      <c r="AI8" s="17" t="s">
        <v>1773</v>
      </c>
    </row>
    <row r="9" spans="1:36" x14ac:dyDescent="0.25">
      <c r="A9" s="36">
        <v>99910007</v>
      </c>
      <c r="B9" s="17" t="s">
        <v>56</v>
      </c>
      <c r="C9" t="s">
        <v>52</v>
      </c>
      <c r="D9" t="s">
        <v>53</v>
      </c>
      <c r="G9" s="17" t="s">
        <v>35</v>
      </c>
      <c r="H9" s="17">
        <v>1</v>
      </c>
      <c r="I9">
        <v>0</v>
      </c>
      <c r="J9" s="1">
        <v>43344</v>
      </c>
      <c r="K9" t="s">
        <v>223</v>
      </c>
      <c r="L9" t="s">
        <v>224</v>
      </c>
      <c r="M9" t="s">
        <v>131</v>
      </c>
      <c r="N9">
        <v>23</v>
      </c>
      <c r="O9" t="s">
        <v>40</v>
      </c>
      <c r="S9" t="s">
        <v>40</v>
      </c>
      <c r="U9" s="1">
        <v>43344</v>
      </c>
      <c r="V9" t="s">
        <v>41</v>
      </c>
      <c r="W9" t="s">
        <v>49</v>
      </c>
      <c r="X9" t="str">
        <f>"0560030"</f>
        <v>0560030</v>
      </c>
      <c r="Y9" t="s">
        <v>244</v>
      </c>
      <c r="Z9" t="s">
        <v>223</v>
      </c>
      <c r="AA9" t="s">
        <v>224</v>
      </c>
      <c r="AB9" t="s">
        <v>131</v>
      </c>
      <c r="AC9" t="s">
        <v>44</v>
      </c>
      <c r="AD9" t="s">
        <v>45</v>
      </c>
      <c r="AE9" s="1">
        <v>36892</v>
      </c>
      <c r="AF9">
        <v>2</v>
      </c>
      <c r="AG9" t="s">
        <v>224</v>
      </c>
      <c r="AH9" s="36">
        <f t="shared" si="0"/>
        <v>18.236111111111111</v>
      </c>
      <c r="AI9" s="17" t="s">
        <v>1773</v>
      </c>
    </row>
    <row r="10" spans="1:36" x14ac:dyDescent="0.25">
      <c r="A10" s="36">
        <v>99910008</v>
      </c>
      <c r="B10" s="17" t="s">
        <v>32</v>
      </c>
      <c r="C10" t="s">
        <v>64</v>
      </c>
      <c r="D10" t="s">
        <v>65</v>
      </c>
      <c r="G10" s="17" t="s">
        <v>35</v>
      </c>
      <c r="H10" s="17">
        <v>1</v>
      </c>
      <c r="I10">
        <v>0</v>
      </c>
      <c r="J10" s="1">
        <v>43344</v>
      </c>
      <c r="K10" t="s">
        <v>223</v>
      </c>
      <c r="L10" t="s">
        <v>224</v>
      </c>
      <c r="M10" t="s">
        <v>131</v>
      </c>
      <c r="N10">
        <v>23</v>
      </c>
      <c r="O10" t="s">
        <v>40</v>
      </c>
      <c r="S10" t="s">
        <v>40</v>
      </c>
      <c r="U10" s="1">
        <v>43344</v>
      </c>
      <c r="V10" t="s">
        <v>41</v>
      </c>
      <c r="W10" t="s">
        <v>49</v>
      </c>
      <c r="X10" t="str">
        <f>"0561022"</f>
        <v>0561022</v>
      </c>
      <c r="Y10" t="s">
        <v>225</v>
      </c>
      <c r="Z10" t="s">
        <v>223</v>
      </c>
      <c r="AA10" t="s">
        <v>224</v>
      </c>
      <c r="AB10" t="s">
        <v>131</v>
      </c>
      <c r="AC10" t="s">
        <v>44</v>
      </c>
      <c r="AD10" t="s">
        <v>45</v>
      </c>
      <c r="AE10" s="1">
        <v>36892</v>
      </c>
      <c r="AF10">
        <v>2</v>
      </c>
      <c r="AG10" t="s">
        <v>224</v>
      </c>
      <c r="AH10" s="36">
        <f t="shared" si="0"/>
        <v>18.236111111111111</v>
      </c>
      <c r="AI10" s="17" t="s">
        <v>1773</v>
      </c>
    </row>
    <row r="11" spans="1:36" x14ac:dyDescent="0.25">
      <c r="A11" s="36">
        <v>99910009</v>
      </c>
      <c r="B11" s="17" t="s">
        <v>32</v>
      </c>
      <c r="C11" t="s">
        <v>46</v>
      </c>
      <c r="D11" t="s">
        <v>47</v>
      </c>
      <c r="G11" s="17" t="s">
        <v>35</v>
      </c>
      <c r="H11" s="17">
        <v>1</v>
      </c>
      <c r="I11">
        <v>0</v>
      </c>
      <c r="J11" s="1">
        <v>43344</v>
      </c>
      <c r="K11" t="s">
        <v>223</v>
      </c>
      <c r="L11" t="s">
        <v>224</v>
      </c>
      <c r="M11" t="s">
        <v>131</v>
      </c>
      <c r="N11">
        <v>23</v>
      </c>
      <c r="O11" t="s">
        <v>40</v>
      </c>
      <c r="S11" t="s">
        <v>40</v>
      </c>
      <c r="U11" s="1">
        <v>43344</v>
      </c>
      <c r="V11" t="s">
        <v>41</v>
      </c>
      <c r="W11" t="s">
        <v>49</v>
      </c>
      <c r="X11" t="str">
        <f>"0560030"</f>
        <v>0560030</v>
      </c>
      <c r="Y11" t="s">
        <v>244</v>
      </c>
      <c r="Z11" t="s">
        <v>223</v>
      </c>
      <c r="AA11" t="s">
        <v>224</v>
      </c>
      <c r="AB11" t="s">
        <v>131</v>
      </c>
      <c r="AC11" t="s">
        <v>44</v>
      </c>
      <c r="AD11" t="s">
        <v>45</v>
      </c>
      <c r="AE11" s="1">
        <v>36892</v>
      </c>
      <c r="AF11">
        <v>2</v>
      </c>
      <c r="AG11" t="s">
        <v>224</v>
      </c>
      <c r="AH11" s="36">
        <f t="shared" si="0"/>
        <v>18.236111111111111</v>
      </c>
      <c r="AI11" s="17" t="s">
        <v>1773</v>
      </c>
    </row>
    <row r="12" spans="1:36" x14ac:dyDescent="0.25">
      <c r="A12" s="36">
        <v>99910010</v>
      </c>
      <c r="B12" s="17" t="s">
        <v>56</v>
      </c>
      <c r="C12" t="s">
        <v>52</v>
      </c>
      <c r="D12" t="s">
        <v>53</v>
      </c>
      <c r="G12" s="17" t="s">
        <v>35</v>
      </c>
      <c r="H12" s="17">
        <v>1</v>
      </c>
      <c r="I12">
        <v>0</v>
      </c>
      <c r="J12" s="1">
        <v>43344</v>
      </c>
      <c r="K12" t="s">
        <v>223</v>
      </c>
      <c r="L12" t="s">
        <v>224</v>
      </c>
      <c r="M12" t="s">
        <v>131</v>
      </c>
      <c r="N12">
        <v>23</v>
      </c>
      <c r="O12" t="s">
        <v>40</v>
      </c>
      <c r="S12" t="s">
        <v>40</v>
      </c>
      <c r="U12" s="1">
        <v>43344</v>
      </c>
      <c r="V12" t="s">
        <v>41</v>
      </c>
      <c r="W12" t="s">
        <v>49</v>
      </c>
      <c r="X12" t="str">
        <f>"0560030"</f>
        <v>0560030</v>
      </c>
      <c r="Y12" t="s">
        <v>244</v>
      </c>
      <c r="Z12" t="s">
        <v>223</v>
      </c>
      <c r="AA12" t="s">
        <v>224</v>
      </c>
      <c r="AB12" t="s">
        <v>131</v>
      </c>
      <c r="AC12" t="s">
        <v>44</v>
      </c>
      <c r="AD12" t="s">
        <v>45</v>
      </c>
      <c r="AE12" s="1">
        <v>36892</v>
      </c>
      <c r="AF12">
        <v>2</v>
      </c>
      <c r="AG12" t="s">
        <v>224</v>
      </c>
      <c r="AH12" s="36">
        <f t="shared" si="0"/>
        <v>18.236111111111111</v>
      </c>
      <c r="AI12" s="17" t="s">
        <v>1773</v>
      </c>
    </row>
    <row r="13" spans="1:36" x14ac:dyDescent="0.25">
      <c r="A13" s="36">
        <v>99910011</v>
      </c>
      <c r="B13" s="17" t="s">
        <v>32</v>
      </c>
      <c r="C13" t="s">
        <v>46</v>
      </c>
      <c r="D13" t="s">
        <v>47</v>
      </c>
      <c r="G13" s="17" t="s">
        <v>35</v>
      </c>
      <c r="H13" s="17">
        <v>1</v>
      </c>
      <c r="I13">
        <v>0</v>
      </c>
      <c r="J13" s="1">
        <v>43344</v>
      </c>
      <c r="K13" t="s">
        <v>223</v>
      </c>
      <c r="L13" t="s">
        <v>224</v>
      </c>
      <c r="M13" t="s">
        <v>131</v>
      </c>
      <c r="N13">
        <v>23</v>
      </c>
      <c r="O13" t="s">
        <v>40</v>
      </c>
      <c r="S13" t="s">
        <v>40</v>
      </c>
      <c r="U13" s="1">
        <v>43344</v>
      </c>
      <c r="V13" t="s">
        <v>41</v>
      </c>
      <c r="W13" t="s">
        <v>49</v>
      </c>
      <c r="X13" t="str">
        <f>"0560030"</f>
        <v>0560030</v>
      </c>
      <c r="Y13" t="s">
        <v>244</v>
      </c>
      <c r="Z13" t="s">
        <v>223</v>
      </c>
      <c r="AA13" t="s">
        <v>224</v>
      </c>
      <c r="AB13" t="s">
        <v>131</v>
      </c>
      <c r="AC13" t="s">
        <v>51</v>
      </c>
      <c r="AD13" t="s">
        <v>45</v>
      </c>
      <c r="AE13" s="1">
        <v>36892</v>
      </c>
      <c r="AF13">
        <v>2</v>
      </c>
      <c r="AG13" t="s">
        <v>224</v>
      </c>
      <c r="AH13" s="36">
        <f t="shared" si="0"/>
        <v>18.236111111111111</v>
      </c>
      <c r="AI13" s="17" t="s">
        <v>1773</v>
      </c>
    </row>
    <row r="14" spans="1:36" x14ac:dyDescent="0.25">
      <c r="A14" s="36">
        <v>99910012</v>
      </c>
      <c r="B14" s="17" t="s">
        <v>32</v>
      </c>
      <c r="C14" t="s">
        <v>139</v>
      </c>
      <c r="D14" t="s">
        <v>140</v>
      </c>
      <c r="G14" s="17" t="s">
        <v>35</v>
      </c>
      <c r="H14" s="17">
        <v>1</v>
      </c>
      <c r="I14">
        <v>0</v>
      </c>
      <c r="J14" s="1">
        <v>43344</v>
      </c>
      <c r="K14" t="s">
        <v>223</v>
      </c>
      <c r="L14" t="s">
        <v>224</v>
      </c>
      <c r="M14" t="s">
        <v>131</v>
      </c>
      <c r="N14">
        <v>23</v>
      </c>
      <c r="O14" t="s">
        <v>40</v>
      </c>
      <c r="S14" t="s">
        <v>40</v>
      </c>
      <c r="U14" s="1">
        <v>43344</v>
      </c>
      <c r="V14" t="s">
        <v>41</v>
      </c>
      <c r="W14" t="s">
        <v>49</v>
      </c>
      <c r="X14" t="str">
        <f>"0560030"</f>
        <v>0560030</v>
      </c>
      <c r="Y14" t="s">
        <v>244</v>
      </c>
      <c r="Z14" t="s">
        <v>223</v>
      </c>
      <c r="AA14" t="s">
        <v>224</v>
      </c>
      <c r="AB14" t="s">
        <v>131</v>
      </c>
      <c r="AC14" t="s">
        <v>44</v>
      </c>
      <c r="AD14" t="s">
        <v>45</v>
      </c>
      <c r="AE14" s="1">
        <v>36892</v>
      </c>
      <c r="AF14">
        <v>2</v>
      </c>
      <c r="AG14" t="s">
        <v>224</v>
      </c>
      <c r="AH14" s="36">
        <f t="shared" si="0"/>
        <v>18.236111111111111</v>
      </c>
      <c r="AI14" s="17" t="s">
        <v>1773</v>
      </c>
    </row>
    <row r="15" spans="1:36" x14ac:dyDescent="0.25">
      <c r="A15" s="36">
        <v>99910013</v>
      </c>
      <c r="B15" s="17" t="s">
        <v>32</v>
      </c>
      <c r="C15" t="s">
        <v>143</v>
      </c>
      <c r="D15" t="s">
        <v>144</v>
      </c>
      <c r="G15" s="17" t="s">
        <v>35</v>
      </c>
      <c r="H15" s="17">
        <v>1</v>
      </c>
      <c r="I15">
        <v>0</v>
      </c>
      <c r="J15" s="1">
        <v>43344</v>
      </c>
      <c r="K15" t="s">
        <v>223</v>
      </c>
      <c r="L15" t="s">
        <v>224</v>
      </c>
      <c r="M15" t="s">
        <v>131</v>
      </c>
      <c r="N15">
        <v>23</v>
      </c>
      <c r="O15" t="s">
        <v>40</v>
      </c>
      <c r="P15" t="s">
        <v>40</v>
      </c>
      <c r="Q15" t="s">
        <v>40</v>
      </c>
      <c r="R15" t="s">
        <v>40</v>
      </c>
      <c r="S15" t="s">
        <v>40</v>
      </c>
      <c r="U15" s="1">
        <v>43344</v>
      </c>
      <c r="V15" t="s">
        <v>41</v>
      </c>
      <c r="W15" t="s">
        <v>42</v>
      </c>
      <c r="X15" t="str">
        <f>"0590903"</f>
        <v>0590903</v>
      </c>
      <c r="Y15" t="s">
        <v>226</v>
      </c>
      <c r="Z15" t="s">
        <v>223</v>
      </c>
      <c r="AA15" t="s">
        <v>224</v>
      </c>
      <c r="AB15" t="s">
        <v>131</v>
      </c>
      <c r="AC15" t="s">
        <v>44</v>
      </c>
      <c r="AD15" t="s">
        <v>45</v>
      </c>
      <c r="AE15" s="1">
        <v>36892</v>
      </c>
      <c r="AF15">
        <v>2</v>
      </c>
      <c r="AG15" t="s">
        <v>224</v>
      </c>
      <c r="AH15" s="36">
        <f t="shared" si="0"/>
        <v>18.236111111111111</v>
      </c>
      <c r="AI15" s="17" t="s">
        <v>1773</v>
      </c>
    </row>
    <row r="16" spans="1:36" x14ac:dyDescent="0.25">
      <c r="A16" s="36">
        <v>99910014</v>
      </c>
      <c r="B16" s="17" t="s">
        <v>32</v>
      </c>
      <c r="C16" t="s">
        <v>64</v>
      </c>
      <c r="D16" t="s">
        <v>65</v>
      </c>
      <c r="G16" s="17" t="s">
        <v>35</v>
      </c>
      <c r="H16" s="17">
        <v>1</v>
      </c>
      <c r="I16" t="s">
        <v>1580</v>
      </c>
      <c r="J16" s="1">
        <v>43344</v>
      </c>
      <c r="K16" t="s">
        <v>1564</v>
      </c>
      <c r="L16" t="s">
        <v>1565</v>
      </c>
      <c r="M16" t="s">
        <v>1548</v>
      </c>
      <c r="N16">
        <v>23</v>
      </c>
      <c r="O16" t="s">
        <v>40</v>
      </c>
      <c r="P16" t="s">
        <v>40</v>
      </c>
      <c r="Q16" t="s">
        <v>40</v>
      </c>
      <c r="R16" t="s">
        <v>40</v>
      </c>
      <c r="S16" t="s">
        <v>40</v>
      </c>
      <c r="U16" s="1">
        <v>43344</v>
      </c>
      <c r="V16" t="s">
        <v>41</v>
      </c>
      <c r="W16" t="s">
        <v>75</v>
      </c>
      <c r="X16" t="str">
        <f>"7101000"</f>
        <v>7101000</v>
      </c>
      <c r="Y16" t="s">
        <v>1572</v>
      </c>
      <c r="Z16" t="s">
        <v>1564</v>
      </c>
      <c r="AA16" t="s">
        <v>1565</v>
      </c>
      <c r="AB16" t="s">
        <v>1548</v>
      </c>
      <c r="AC16" t="s">
        <v>55</v>
      </c>
      <c r="AD16" t="s">
        <v>45</v>
      </c>
      <c r="AE16" s="1">
        <v>36834</v>
      </c>
      <c r="AF16">
        <v>1</v>
      </c>
      <c r="AG16" t="s">
        <v>1565</v>
      </c>
      <c r="AH16" s="36">
        <f t="shared" si="0"/>
        <v>18.397222222222222</v>
      </c>
      <c r="AI16" s="17" t="s">
        <v>1773</v>
      </c>
    </row>
    <row r="17" spans="1:35" x14ac:dyDescent="0.25">
      <c r="A17" s="36">
        <v>99910015</v>
      </c>
      <c r="B17" s="17" t="s">
        <v>32</v>
      </c>
      <c r="C17" t="s">
        <v>46</v>
      </c>
      <c r="D17" t="s">
        <v>47</v>
      </c>
      <c r="G17" s="17" t="s">
        <v>48</v>
      </c>
      <c r="H17" s="17">
        <v>9</v>
      </c>
      <c r="K17" t="s">
        <v>223</v>
      </c>
      <c r="L17" t="s">
        <v>224</v>
      </c>
      <c r="M17" t="s">
        <v>131</v>
      </c>
      <c r="N17">
        <v>8</v>
      </c>
      <c r="O17" t="s">
        <v>40</v>
      </c>
      <c r="P17" t="s">
        <v>40</v>
      </c>
      <c r="Q17" t="s">
        <v>40</v>
      </c>
      <c r="R17" t="s">
        <v>40</v>
      </c>
      <c r="S17" t="s">
        <v>40</v>
      </c>
      <c r="V17" t="s">
        <v>41</v>
      </c>
      <c r="W17" t="s">
        <v>49</v>
      </c>
      <c r="X17" t="str">
        <f>"0561022"</f>
        <v>0561022</v>
      </c>
      <c r="Y17" t="s">
        <v>225</v>
      </c>
      <c r="Z17" t="s">
        <v>223</v>
      </c>
      <c r="AA17" t="s">
        <v>224</v>
      </c>
      <c r="AB17" t="s">
        <v>131</v>
      </c>
      <c r="AC17" t="s">
        <v>51</v>
      </c>
      <c r="AD17" t="s">
        <v>45</v>
      </c>
      <c r="AE17" s="1">
        <v>36526</v>
      </c>
      <c r="AF17">
        <v>2</v>
      </c>
      <c r="AG17" t="s">
        <v>224</v>
      </c>
      <c r="AH17" s="36">
        <f t="shared" si="0"/>
        <v>19.252777777777776</v>
      </c>
      <c r="AI17" s="40" t="s">
        <v>1777</v>
      </c>
    </row>
    <row r="18" spans="1:35" x14ac:dyDescent="0.25">
      <c r="A18" s="36">
        <v>99910016</v>
      </c>
      <c r="B18" s="17" t="s">
        <v>56</v>
      </c>
      <c r="C18" t="s">
        <v>52</v>
      </c>
      <c r="D18" t="s">
        <v>53</v>
      </c>
      <c r="G18" s="17" t="s">
        <v>35</v>
      </c>
      <c r="H18" s="17">
        <v>1</v>
      </c>
      <c r="I18">
        <v>0</v>
      </c>
      <c r="J18" s="1">
        <v>43344</v>
      </c>
      <c r="K18" t="s">
        <v>223</v>
      </c>
      <c r="L18" t="s">
        <v>224</v>
      </c>
      <c r="M18" t="s">
        <v>131</v>
      </c>
      <c r="N18">
        <v>23</v>
      </c>
      <c r="O18" t="s">
        <v>40</v>
      </c>
      <c r="S18" t="s">
        <v>40</v>
      </c>
      <c r="U18" s="1">
        <v>43344</v>
      </c>
      <c r="V18" t="s">
        <v>41</v>
      </c>
      <c r="W18" t="s">
        <v>49</v>
      </c>
      <c r="X18" t="str">
        <f>"0561022"</f>
        <v>0561022</v>
      </c>
      <c r="Y18" t="s">
        <v>225</v>
      </c>
      <c r="Z18" t="s">
        <v>223</v>
      </c>
      <c r="AA18" t="s">
        <v>224</v>
      </c>
      <c r="AB18" t="s">
        <v>131</v>
      </c>
      <c r="AC18" t="s">
        <v>44</v>
      </c>
      <c r="AD18" t="s">
        <v>45</v>
      </c>
      <c r="AE18" s="1">
        <v>36526</v>
      </c>
      <c r="AF18">
        <v>2</v>
      </c>
      <c r="AG18" t="s">
        <v>224</v>
      </c>
      <c r="AH18" s="36">
        <f t="shared" si="0"/>
        <v>19.252777777777776</v>
      </c>
      <c r="AI18" s="40" t="s">
        <v>1777</v>
      </c>
    </row>
    <row r="19" spans="1:35" x14ac:dyDescent="0.25">
      <c r="A19" s="36">
        <v>99910017</v>
      </c>
      <c r="B19" s="17" t="s">
        <v>32</v>
      </c>
      <c r="C19" t="s">
        <v>79</v>
      </c>
      <c r="D19" t="s">
        <v>80</v>
      </c>
      <c r="G19" s="17" t="s">
        <v>35</v>
      </c>
      <c r="H19" s="17">
        <v>1</v>
      </c>
      <c r="I19">
        <v>0</v>
      </c>
      <c r="J19" s="1">
        <v>43344</v>
      </c>
      <c r="K19" t="s">
        <v>223</v>
      </c>
      <c r="L19" t="s">
        <v>224</v>
      </c>
      <c r="M19" t="s">
        <v>131</v>
      </c>
      <c r="N19">
        <v>23</v>
      </c>
      <c r="O19" t="s">
        <v>40</v>
      </c>
      <c r="S19" t="s">
        <v>40</v>
      </c>
      <c r="U19" s="1">
        <v>43344</v>
      </c>
      <c r="V19" t="s">
        <v>41</v>
      </c>
      <c r="W19" t="s">
        <v>49</v>
      </c>
      <c r="X19" t="str">
        <f>"0561022"</f>
        <v>0561022</v>
      </c>
      <c r="Y19" t="s">
        <v>225</v>
      </c>
      <c r="Z19" t="s">
        <v>223</v>
      </c>
      <c r="AA19" t="s">
        <v>224</v>
      </c>
      <c r="AB19" t="s">
        <v>131</v>
      </c>
      <c r="AC19" t="s">
        <v>44</v>
      </c>
      <c r="AD19" t="s">
        <v>45</v>
      </c>
      <c r="AE19" s="1">
        <v>36526</v>
      </c>
      <c r="AF19">
        <v>2</v>
      </c>
      <c r="AG19" t="s">
        <v>224</v>
      </c>
      <c r="AH19" s="36">
        <f t="shared" si="0"/>
        <v>19.252777777777776</v>
      </c>
      <c r="AI19" s="40" t="s">
        <v>1777</v>
      </c>
    </row>
    <row r="20" spans="1:35" x14ac:dyDescent="0.25">
      <c r="A20" s="36">
        <v>99910018</v>
      </c>
      <c r="B20" s="17" t="s">
        <v>32</v>
      </c>
      <c r="C20" t="s">
        <v>64</v>
      </c>
      <c r="D20" t="s">
        <v>65</v>
      </c>
      <c r="G20" s="17" t="s">
        <v>35</v>
      </c>
      <c r="H20" s="17">
        <v>1</v>
      </c>
      <c r="I20">
        <v>0</v>
      </c>
      <c r="J20" s="1">
        <v>43344</v>
      </c>
      <c r="K20" t="s">
        <v>223</v>
      </c>
      <c r="L20" t="s">
        <v>224</v>
      </c>
      <c r="M20" t="s">
        <v>131</v>
      </c>
      <c r="N20">
        <v>23</v>
      </c>
      <c r="O20" t="s">
        <v>40</v>
      </c>
      <c r="S20" t="s">
        <v>40</v>
      </c>
      <c r="U20" s="1">
        <v>43344</v>
      </c>
      <c r="V20" t="s">
        <v>41</v>
      </c>
      <c r="W20" t="s">
        <v>49</v>
      </c>
      <c r="X20" t="str">
        <f>"0561022"</f>
        <v>0561022</v>
      </c>
      <c r="Y20" t="s">
        <v>225</v>
      </c>
      <c r="Z20" t="s">
        <v>223</v>
      </c>
      <c r="AA20" t="s">
        <v>224</v>
      </c>
      <c r="AB20" t="s">
        <v>131</v>
      </c>
      <c r="AC20" t="s">
        <v>44</v>
      </c>
      <c r="AD20" t="s">
        <v>45</v>
      </c>
      <c r="AE20" s="1">
        <v>36526</v>
      </c>
      <c r="AF20">
        <v>2</v>
      </c>
      <c r="AG20" t="s">
        <v>224</v>
      </c>
      <c r="AH20" s="36">
        <f t="shared" si="0"/>
        <v>19.252777777777776</v>
      </c>
      <c r="AI20" s="40" t="s">
        <v>1777</v>
      </c>
    </row>
    <row r="21" spans="1:35" x14ac:dyDescent="0.25">
      <c r="A21" s="36">
        <v>99910019</v>
      </c>
      <c r="B21" s="17" t="s">
        <v>56</v>
      </c>
      <c r="C21" t="s">
        <v>85</v>
      </c>
      <c r="D21" t="s">
        <v>86</v>
      </c>
      <c r="G21" s="17" t="s">
        <v>35</v>
      </c>
      <c r="H21" s="17">
        <v>1</v>
      </c>
      <c r="I21">
        <v>0</v>
      </c>
      <c r="J21" s="1">
        <v>43344</v>
      </c>
      <c r="K21" t="s">
        <v>223</v>
      </c>
      <c r="L21" t="s">
        <v>224</v>
      </c>
      <c r="M21" t="s">
        <v>131</v>
      </c>
      <c r="N21">
        <v>6</v>
      </c>
      <c r="O21" t="s">
        <v>40</v>
      </c>
      <c r="P21" t="s">
        <v>40</v>
      </c>
      <c r="Q21" t="s">
        <v>40</v>
      </c>
      <c r="R21" t="s">
        <v>40</v>
      </c>
      <c r="S21" t="s">
        <v>40</v>
      </c>
      <c r="U21" s="1">
        <v>43344</v>
      </c>
      <c r="V21" t="s">
        <v>41</v>
      </c>
      <c r="W21" t="s">
        <v>49</v>
      </c>
      <c r="X21" t="str">
        <f>"0560034"</f>
        <v>0560034</v>
      </c>
      <c r="Y21" t="s">
        <v>266</v>
      </c>
      <c r="Z21" t="s">
        <v>223</v>
      </c>
      <c r="AA21" t="s">
        <v>224</v>
      </c>
      <c r="AB21" t="s">
        <v>131</v>
      </c>
      <c r="AC21" t="s">
        <v>44</v>
      </c>
      <c r="AD21" t="s">
        <v>45</v>
      </c>
      <c r="AE21" s="1">
        <v>36526</v>
      </c>
      <c r="AF21">
        <v>2</v>
      </c>
      <c r="AG21" t="s">
        <v>224</v>
      </c>
      <c r="AH21" s="36">
        <f t="shared" si="0"/>
        <v>19.252777777777776</v>
      </c>
      <c r="AI21" s="40" t="s">
        <v>1777</v>
      </c>
    </row>
    <row r="22" spans="1:35" x14ac:dyDescent="0.25">
      <c r="A22" s="36">
        <v>99910020</v>
      </c>
      <c r="B22" s="17" t="s">
        <v>32</v>
      </c>
      <c r="C22" t="s">
        <v>71</v>
      </c>
      <c r="D22" t="s">
        <v>72</v>
      </c>
      <c r="G22" s="17" t="s">
        <v>35</v>
      </c>
      <c r="H22" s="17">
        <v>1</v>
      </c>
      <c r="I22">
        <v>0</v>
      </c>
      <c r="J22" s="1">
        <v>43344</v>
      </c>
      <c r="K22" t="s">
        <v>223</v>
      </c>
      <c r="L22" t="s">
        <v>224</v>
      </c>
      <c r="M22" t="s">
        <v>131</v>
      </c>
      <c r="N22">
        <v>23</v>
      </c>
      <c r="O22" t="s">
        <v>40</v>
      </c>
      <c r="S22" t="s">
        <v>40</v>
      </c>
      <c r="U22" s="1">
        <v>43344</v>
      </c>
      <c r="V22" t="s">
        <v>41</v>
      </c>
      <c r="W22" t="s">
        <v>49</v>
      </c>
      <c r="X22" t="str">
        <f>"0561022"</f>
        <v>0561022</v>
      </c>
      <c r="Y22" t="s">
        <v>225</v>
      </c>
      <c r="Z22" t="s">
        <v>223</v>
      </c>
      <c r="AA22" t="s">
        <v>224</v>
      </c>
      <c r="AB22" t="s">
        <v>131</v>
      </c>
      <c r="AC22" t="s">
        <v>44</v>
      </c>
      <c r="AD22" t="s">
        <v>45</v>
      </c>
      <c r="AE22" s="1">
        <v>36526</v>
      </c>
      <c r="AF22">
        <v>2</v>
      </c>
      <c r="AG22" t="s">
        <v>224</v>
      </c>
      <c r="AH22" s="36">
        <f t="shared" si="0"/>
        <v>19.252777777777776</v>
      </c>
      <c r="AI22" s="40" t="s">
        <v>1777</v>
      </c>
    </row>
    <row r="23" spans="1:35" x14ac:dyDescent="0.25">
      <c r="A23" s="36">
        <v>99910021</v>
      </c>
      <c r="B23" s="17" t="s">
        <v>56</v>
      </c>
      <c r="C23" t="s">
        <v>33</v>
      </c>
      <c r="D23" t="s">
        <v>34</v>
      </c>
      <c r="G23" s="17" t="s">
        <v>48</v>
      </c>
      <c r="H23" s="17">
        <v>1</v>
      </c>
      <c r="K23" t="s">
        <v>1496</v>
      </c>
      <c r="L23" t="s">
        <v>1497</v>
      </c>
      <c r="M23" t="s">
        <v>670</v>
      </c>
      <c r="N23">
        <v>23</v>
      </c>
      <c r="O23" t="s">
        <v>40</v>
      </c>
      <c r="P23" t="s">
        <v>40</v>
      </c>
      <c r="Q23" t="s">
        <v>40</v>
      </c>
      <c r="R23" t="s">
        <v>40</v>
      </c>
      <c r="S23" t="s">
        <v>40</v>
      </c>
      <c r="V23" t="s">
        <v>41</v>
      </c>
      <c r="W23" t="s">
        <v>42</v>
      </c>
      <c r="X23" t="str">
        <f>"5080015"</f>
        <v>5080015</v>
      </c>
      <c r="Y23" t="s">
        <v>1498</v>
      </c>
      <c r="Z23" t="s">
        <v>1496</v>
      </c>
      <c r="AA23" t="s">
        <v>1497</v>
      </c>
      <c r="AB23" t="s">
        <v>670</v>
      </c>
      <c r="AC23" t="s">
        <v>51</v>
      </c>
      <c r="AD23" t="s">
        <v>45</v>
      </c>
      <c r="AE23" s="1">
        <v>36526</v>
      </c>
      <c r="AF23">
        <v>2</v>
      </c>
      <c r="AG23" t="s">
        <v>1497</v>
      </c>
      <c r="AH23" s="36">
        <f t="shared" si="0"/>
        <v>19.252777777777776</v>
      </c>
      <c r="AI23" s="40" t="s">
        <v>1777</v>
      </c>
    </row>
    <row r="24" spans="1:35" x14ac:dyDescent="0.25">
      <c r="A24" s="36">
        <v>99910022</v>
      </c>
      <c r="B24" s="17" t="s">
        <v>32</v>
      </c>
      <c r="C24" t="s">
        <v>90</v>
      </c>
      <c r="D24" t="s">
        <v>91</v>
      </c>
      <c r="G24" s="17" t="s">
        <v>35</v>
      </c>
      <c r="H24" s="17">
        <v>1</v>
      </c>
      <c r="K24" t="s">
        <v>667</v>
      </c>
      <c r="L24" t="s">
        <v>669</v>
      </c>
      <c r="M24" t="s">
        <v>670</v>
      </c>
      <c r="N24">
        <v>25</v>
      </c>
      <c r="O24" t="s">
        <v>40</v>
      </c>
      <c r="P24" t="s">
        <v>40</v>
      </c>
      <c r="Q24" t="s">
        <v>40</v>
      </c>
      <c r="S24" t="s">
        <v>40</v>
      </c>
      <c r="V24" t="s">
        <v>41</v>
      </c>
      <c r="W24" t="s">
        <v>95</v>
      </c>
      <c r="X24" t="str">
        <f>"7501001"</f>
        <v>7501001</v>
      </c>
      <c r="Y24" t="s">
        <v>1525</v>
      </c>
      <c r="Z24" t="s">
        <v>667</v>
      </c>
      <c r="AA24" t="s">
        <v>669</v>
      </c>
      <c r="AB24" t="s">
        <v>670</v>
      </c>
      <c r="AC24" t="s">
        <v>51</v>
      </c>
      <c r="AD24" t="s">
        <v>45</v>
      </c>
      <c r="AE24" s="1">
        <v>36524</v>
      </c>
      <c r="AF24">
        <v>1</v>
      </c>
      <c r="AG24" t="s">
        <v>669</v>
      </c>
      <c r="AH24" s="36">
        <f t="shared" si="0"/>
        <v>19.258333333333333</v>
      </c>
      <c r="AI24" s="40" t="s">
        <v>1777</v>
      </c>
    </row>
    <row r="25" spans="1:35" x14ac:dyDescent="0.25">
      <c r="A25" s="36">
        <v>99910023</v>
      </c>
      <c r="B25" s="17" t="s">
        <v>32</v>
      </c>
      <c r="C25" t="s">
        <v>46</v>
      </c>
      <c r="D25" t="s">
        <v>47</v>
      </c>
      <c r="G25" s="17" t="s">
        <v>48</v>
      </c>
      <c r="H25" s="17">
        <v>2</v>
      </c>
      <c r="K25" t="s">
        <v>129</v>
      </c>
      <c r="L25" t="s">
        <v>130</v>
      </c>
      <c r="M25" t="s">
        <v>131</v>
      </c>
      <c r="N25">
        <v>20</v>
      </c>
      <c r="O25" t="s">
        <v>40</v>
      </c>
      <c r="P25" t="s">
        <v>40</v>
      </c>
      <c r="Q25" t="s">
        <v>40</v>
      </c>
      <c r="R25" t="s">
        <v>40</v>
      </c>
      <c r="S25" t="s">
        <v>40</v>
      </c>
      <c r="V25" t="s">
        <v>41</v>
      </c>
      <c r="W25" t="s">
        <v>42</v>
      </c>
      <c r="X25" t="str">
        <f>"0590905"</f>
        <v>0590905</v>
      </c>
      <c r="Y25" t="s">
        <v>133</v>
      </c>
      <c r="Z25" t="s">
        <v>129</v>
      </c>
      <c r="AA25" t="s">
        <v>130</v>
      </c>
      <c r="AB25" t="s">
        <v>131</v>
      </c>
      <c r="AC25" t="s">
        <v>51</v>
      </c>
      <c r="AD25" t="s">
        <v>45</v>
      </c>
      <c r="AE25" s="1">
        <v>36311</v>
      </c>
      <c r="AF25">
        <v>2</v>
      </c>
      <c r="AG25" t="s">
        <v>130</v>
      </c>
      <c r="AH25" s="36">
        <f t="shared" si="0"/>
        <v>19.850000000000001</v>
      </c>
      <c r="AI25" s="40" t="s">
        <v>1777</v>
      </c>
    </row>
    <row r="26" spans="1:35" x14ac:dyDescent="0.25">
      <c r="A26" s="36">
        <v>99910024</v>
      </c>
      <c r="B26" s="17" t="s">
        <v>32</v>
      </c>
      <c r="C26" t="s">
        <v>90</v>
      </c>
      <c r="D26" t="s">
        <v>91</v>
      </c>
      <c r="G26" s="17" t="s">
        <v>35</v>
      </c>
      <c r="H26" s="17">
        <v>1</v>
      </c>
      <c r="I26">
        <v>4926</v>
      </c>
      <c r="J26" s="1">
        <v>43360</v>
      </c>
      <c r="K26" t="s">
        <v>1245</v>
      </c>
      <c r="L26" t="s">
        <v>1246</v>
      </c>
      <c r="M26" t="s">
        <v>1130</v>
      </c>
      <c r="N26">
        <v>25</v>
      </c>
      <c r="O26" t="s">
        <v>40</v>
      </c>
      <c r="S26" t="s">
        <v>40</v>
      </c>
      <c r="U26" s="1">
        <v>43360</v>
      </c>
      <c r="V26" t="s">
        <v>41</v>
      </c>
      <c r="W26" t="s">
        <v>95</v>
      </c>
      <c r="X26" t="str">
        <f>"7451001"</f>
        <v>7451001</v>
      </c>
      <c r="Y26" t="s">
        <v>1249</v>
      </c>
      <c r="Z26" t="s">
        <v>1245</v>
      </c>
      <c r="AA26" t="s">
        <v>1246</v>
      </c>
      <c r="AB26" t="s">
        <v>1130</v>
      </c>
      <c r="AC26" t="s">
        <v>44</v>
      </c>
      <c r="AD26" t="s">
        <v>45</v>
      </c>
      <c r="AE26" s="1">
        <v>36083</v>
      </c>
      <c r="AF26">
        <v>1</v>
      </c>
      <c r="AG26" t="s">
        <v>1246</v>
      </c>
      <c r="AH26" s="36">
        <f t="shared" si="0"/>
        <v>20.483333333333334</v>
      </c>
      <c r="AI26" s="40" t="s">
        <v>1777</v>
      </c>
    </row>
    <row r="27" spans="1:35" x14ac:dyDescent="0.25">
      <c r="A27" s="36">
        <v>99910025</v>
      </c>
      <c r="B27" s="17" t="s">
        <v>32</v>
      </c>
      <c r="C27" t="s">
        <v>111</v>
      </c>
      <c r="D27" t="s">
        <v>112</v>
      </c>
      <c r="G27" s="17" t="s">
        <v>48</v>
      </c>
      <c r="H27" s="17">
        <v>1</v>
      </c>
      <c r="K27" t="s">
        <v>667</v>
      </c>
      <c r="L27" t="s">
        <v>669</v>
      </c>
      <c r="M27" t="s">
        <v>670</v>
      </c>
      <c r="N27">
        <v>24</v>
      </c>
      <c r="O27" t="s">
        <v>40</v>
      </c>
      <c r="P27" t="s">
        <v>40</v>
      </c>
      <c r="Q27" t="s">
        <v>40</v>
      </c>
      <c r="S27" t="s">
        <v>40</v>
      </c>
      <c r="V27" t="s">
        <v>41</v>
      </c>
      <c r="W27" t="s">
        <v>75</v>
      </c>
      <c r="X27" t="str">
        <f>"7501004"</f>
        <v>7501004</v>
      </c>
      <c r="Y27" t="s">
        <v>1500</v>
      </c>
      <c r="Z27" t="s">
        <v>667</v>
      </c>
      <c r="AA27" t="s">
        <v>669</v>
      </c>
      <c r="AB27" t="s">
        <v>670</v>
      </c>
      <c r="AC27" t="s">
        <v>51</v>
      </c>
      <c r="AD27" t="s">
        <v>45</v>
      </c>
      <c r="AE27" s="1">
        <v>36082</v>
      </c>
      <c r="AF27">
        <v>1</v>
      </c>
      <c r="AG27" t="s">
        <v>669</v>
      </c>
      <c r="AH27" s="36">
        <f t="shared" si="0"/>
        <v>20.486111111111111</v>
      </c>
      <c r="AI27" s="40" t="s">
        <v>1777</v>
      </c>
    </row>
    <row r="28" spans="1:35" x14ac:dyDescent="0.25">
      <c r="A28" s="36">
        <v>99910026</v>
      </c>
      <c r="B28" s="17" t="s">
        <v>32</v>
      </c>
      <c r="C28" t="s">
        <v>111</v>
      </c>
      <c r="D28" t="s">
        <v>112</v>
      </c>
      <c r="G28" s="17" t="s">
        <v>88</v>
      </c>
      <c r="H28" s="17">
        <v>3</v>
      </c>
      <c r="I28" t="s">
        <v>789</v>
      </c>
      <c r="J28" s="1">
        <v>43344</v>
      </c>
      <c r="K28" t="s">
        <v>354</v>
      </c>
      <c r="L28" t="s">
        <v>355</v>
      </c>
      <c r="M28" t="s">
        <v>131</v>
      </c>
      <c r="N28">
        <v>24</v>
      </c>
      <c r="O28" t="s">
        <v>40</v>
      </c>
      <c r="P28" t="s">
        <v>40</v>
      </c>
      <c r="Q28" t="s">
        <v>40</v>
      </c>
      <c r="R28" t="s">
        <v>40</v>
      </c>
      <c r="S28" t="s">
        <v>40</v>
      </c>
      <c r="U28" s="1">
        <v>43344</v>
      </c>
      <c r="V28" t="s">
        <v>41</v>
      </c>
      <c r="W28" t="s">
        <v>75</v>
      </c>
      <c r="X28" t="str">
        <f>"7054042"</f>
        <v>7054042</v>
      </c>
      <c r="Y28" t="s">
        <v>776</v>
      </c>
      <c r="Z28" t="s">
        <v>354</v>
      </c>
      <c r="AA28" t="s">
        <v>355</v>
      </c>
      <c r="AB28" t="s">
        <v>131</v>
      </c>
      <c r="AC28" t="s">
        <v>51</v>
      </c>
      <c r="AD28" t="s">
        <v>45</v>
      </c>
      <c r="AE28" s="1">
        <v>36080</v>
      </c>
      <c r="AF28">
        <v>1</v>
      </c>
      <c r="AG28" t="s">
        <v>355</v>
      </c>
      <c r="AH28" s="36">
        <f t="shared" si="0"/>
        <v>20.491666666666667</v>
      </c>
      <c r="AI28" s="40" t="s">
        <v>1777</v>
      </c>
    </row>
    <row r="29" spans="1:35" x14ac:dyDescent="0.25">
      <c r="A29" s="36">
        <v>99910027</v>
      </c>
      <c r="B29" s="17" t="s">
        <v>32</v>
      </c>
      <c r="C29" t="s">
        <v>90</v>
      </c>
      <c r="D29" t="s">
        <v>91</v>
      </c>
      <c r="G29" s="17" t="s">
        <v>35</v>
      </c>
      <c r="H29" s="17">
        <v>1</v>
      </c>
      <c r="I29" s="1">
        <v>42650</v>
      </c>
      <c r="J29" s="1">
        <v>43344</v>
      </c>
      <c r="K29" t="s">
        <v>1341</v>
      </c>
      <c r="L29" t="s">
        <v>1342</v>
      </c>
      <c r="M29" t="s">
        <v>1270</v>
      </c>
      <c r="N29">
        <v>24</v>
      </c>
      <c r="O29" t="s">
        <v>40</v>
      </c>
      <c r="S29" t="s">
        <v>40</v>
      </c>
      <c r="U29" s="1">
        <v>43344</v>
      </c>
      <c r="V29" t="s">
        <v>41</v>
      </c>
      <c r="W29" t="s">
        <v>95</v>
      </c>
      <c r="X29" t="str">
        <f>"7191005"</f>
        <v>7191005</v>
      </c>
      <c r="Y29" t="s">
        <v>1356</v>
      </c>
      <c r="Z29" t="s">
        <v>1341</v>
      </c>
      <c r="AA29" t="s">
        <v>1342</v>
      </c>
      <c r="AB29" t="s">
        <v>1270</v>
      </c>
      <c r="AC29" t="s">
        <v>51</v>
      </c>
      <c r="AD29" t="s">
        <v>45</v>
      </c>
      <c r="AE29" s="1">
        <v>35686</v>
      </c>
      <c r="AF29">
        <v>1</v>
      </c>
      <c r="AG29" t="s">
        <v>1342</v>
      </c>
      <c r="AH29" s="36">
        <f t="shared" si="0"/>
        <v>21.586111111111112</v>
      </c>
      <c r="AI29" s="40" t="s">
        <v>1777</v>
      </c>
    </row>
    <row r="30" spans="1:35" x14ac:dyDescent="0.25">
      <c r="A30" s="36">
        <v>99910028</v>
      </c>
      <c r="B30" s="17" t="s">
        <v>56</v>
      </c>
      <c r="C30" t="s">
        <v>46</v>
      </c>
      <c r="D30" t="s">
        <v>47</v>
      </c>
      <c r="G30" s="17" t="s">
        <v>48</v>
      </c>
      <c r="H30" s="17">
        <v>1</v>
      </c>
      <c r="K30" t="s">
        <v>129</v>
      </c>
      <c r="L30" t="s">
        <v>130</v>
      </c>
      <c r="M30" t="s">
        <v>131</v>
      </c>
      <c r="N30">
        <v>18</v>
      </c>
      <c r="O30" t="s">
        <v>40</v>
      </c>
      <c r="P30" t="s">
        <v>40</v>
      </c>
      <c r="Q30" t="s">
        <v>40</v>
      </c>
      <c r="R30" t="s">
        <v>40</v>
      </c>
      <c r="S30" t="s">
        <v>40</v>
      </c>
      <c r="V30" t="s">
        <v>41</v>
      </c>
      <c r="W30" t="s">
        <v>49</v>
      </c>
      <c r="X30" t="str">
        <f>"0591905"</f>
        <v>0591905</v>
      </c>
      <c r="Y30" t="s">
        <v>135</v>
      </c>
      <c r="Z30" t="s">
        <v>129</v>
      </c>
      <c r="AA30" t="s">
        <v>130</v>
      </c>
      <c r="AB30" t="s">
        <v>131</v>
      </c>
      <c r="AC30" t="s">
        <v>51</v>
      </c>
      <c r="AD30" t="s">
        <v>45</v>
      </c>
      <c r="AE30" s="1">
        <v>35424</v>
      </c>
      <c r="AF30">
        <v>2</v>
      </c>
      <c r="AG30" t="s">
        <v>130</v>
      </c>
      <c r="AH30" s="36">
        <f t="shared" si="0"/>
        <v>22.31388888888889</v>
      </c>
      <c r="AI30" s="40" t="s">
        <v>1777</v>
      </c>
    </row>
    <row r="31" spans="1:35" x14ac:dyDescent="0.25">
      <c r="A31" s="36">
        <v>99910029</v>
      </c>
      <c r="B31" s="17" t="s">
        <v>32</v>
      </c>
      <c r="C31" t="s">
        <v>111</v>
      </c>
      <c r="D31" t="s">
        <v>112</v>
      </c>
      <c r="G31" s="17" t="s">
        <v>35</v>
      </c>
      <c r="H31" s="17">
        <v>1</v>
      </c>
      <c r="I31" t="s">
        <v>1480</v>
      </c>
      <c r="J31" s="1">
        <v>43344</v>
      </c>
      <c r="K31" t="s">
        <v>1334</v>
      </c>
      <c r="L31" t="s">
        <v>1335</v>
      </c>
      <c r="M31" t="s">
        <v>1270</v>
      </c>
      <c r="N31">
        <v>21</v>
      </c>
      <c r="O31" t="s">
        <v>40</v>
      </c>
      <c r="S31" t="s">
        <v>40</v>
      </c>
      <c r="U31" s="1">
        <v>43344</v>
      </c>
      <c r="V31" t="s">
        <v>41</v>
      </c>
      <c r="W31" t="s">
        <v>75</v>
      </c>
      <c r="X31" t="str">
        <f>"7391000"</f>
        <v>7391000</v>
      </c>
      <c r="Y31" t="s">
        <v>1333</v>
      </c>
      <c r="Z31" t="s">
        <v>1334</v>
      </c>
      <c r="AA31" t="s">
        <v>1335</v>
      </c>
      <c r="AB31" t="s">
        <v>1270</v>
      </c>
      <c r="AC31" t="s">
        <v>44</v>
      </c>
      <c r="AD31" t="s">
        <v>45</v>
      </c>
      <c r="AE31" s="1">
        <v>35382</v>
      </c>
      <c r="AF31">
        <v>1</v>
      </c>
      <c r="AG31" t="s">
        <v>1335</v>
      </c>
      <c r="AH31" s="36">
        <f t="shared" si="0"/>
        <v>22.430555555555557</v>
      </c>
      <c r="AI31" s="40" t="s">
        <v>1777</v>
      </c>
    </row>
    <row r="32" spans="1:35" x14ac:dyDescent="0.25">
      <c r="A32" s="36">
        <v>99910030</v>
      </c>
      <c r="B32" s="17" t="s">
        <v>32</v>
      </c>
      <c r="C32" t="s">
        <v>111</v>
      </c>
      <c r="D32" t="s">
        <v>112</v>
      </c>
      <c r="G32" s="17" t="s">
        <v>35</v>
      </c>
      <c r="H32" s="17">
        <v>1</v>
      </c>
      <c r="I32" t="s">
        <v>1585</v>
      </c>
      <c r="J32" s="1">
        <v>43344</v>
      </c>
      <c r="K32" t="s">
        <v>1581</v>
      </c>
      <c r="L32" t="s">
        <v>1582</v>
      </c>
      <c r="M32" t="s">
        <v>1548</v>
      </c>
      <c r="N32">
        <v>24</v>
      </c>
      <c r="O32" t="s">
        <v>40</v>
      </c>
      <c r="S32" t="s">
        <v>40</v>
      </c>
      <c r="U32" s="1">
        <v>43344</v>
      </c>
      <c r="V32" t="s">
        <v>41</v>
      </c>
      <c r="W32" t="s">
        <v>75</v>
      </c>
      <c r="X32" t="str">
        <f>"7291002"</f>
        <v>7291002</v>
      </c>
      <c r="Y32" t="s">
        <v>1583</v>
      </c>
      <c r="Z32" t="s">
        <v>1581</v>
      </c>
      <c r="AA32" t="s">
        <v>1582</v>
      </c>
      <c r="AB32" t="s">
        <v>1548</v>
      </c>
      <c r="AC32" t="s">
        <v>51</v>
      </c>
      <c r="AD32" t="s">
        <v>45</v>
      </c>
      <c r="AE32" s="1">
        <v>35350</v>
      </c>
      <c r="AF32">
        <v>1</v>
      </c>
      <c r="AG32" t="s">
        <v>1582</v>
      </c>
      <c r="AH32" s="36">
        <f t="shared" si="0"/>
        <v>22.519444444444446</v>
      </c>
      <c r="AI32" s="40" t="s">
        <v>1777</v>
      </c>
    </row>
    <row r="33" spans="1:35" x14ac:dyDescent="0.25">
      <c r="A33" s="36">
        <v>99910031</v>
      </c>
      <c r="B33" s="17" t="s">
        <v>32</v>
      </c>
      <c r="C33" t="s">
        <v>90</v>
      </c>
      <c r="D33" t="s">
        <v>91</v>
      </c>
      <c r="G33" s="17" t="s">
        <v>35</v>
      </c>
      <c r="H33" s="17">
        <v>1</v>
      </c>
      <c r="I33" s="2">
        <v>1879936</v>
      </c>
      <c r="J33" s="1">
        <v>43344</v>
      </c>
      <c r="K33" t="s">
        <v>268</v>
      </c>
      <c r="L33" t="s">
        <v>269</v>
      </c>
      <c r="M33" t="s">
        <v>131</v>
      </c>
      <c r="N33">
        <v>25</v>
      </c>
      <c r="O33" t="s">
        <v>40</v>
      </c>
      <c r="S33" t="s">
        <v>40</v>
      </c>
      <c r="V33" t="s">
        <v>41</v>
      </c>
      <c r="W33" t="s">
        <v>95</v>
      </c>
      <c r="X33" t="str">
        <f>"7052241"</f>
        <v>7052241</v>
      </c>
      <c r="Y33" t="s">
        <v>649</v>
      </c>
      <c r="Z33" t="s">
        <v>268</v>
      </c>
      <c r="AA33" t="s">
        <v>269</v>
      </c>
      <c r="AB33" t="s">
        <v>131</v>
      </c>
      <c r="AC33" t="s">
        <v>51</v>
      </c>
      <c r="AD33" t="s">
        <v>45</v>
      </c>
      <c r="AE33" s="1">
        <v>35328</v>
      </c>
      <c r="AF33">
        <v>1</v>
      </c>
      <c r="AG33" t="s">
        <v>269</v>
      </c>
      <c r="AH33" s="36">
        <f t="shared" si="0"/>
        <v>22.580555555555556</v>
      </c>
      <c r="AI33" s="40" t="s">
        <v>1777</v>
      </c>
    </row>
    <row r="34" spans="1:35" x14ac:dyDescent="0.25">
      <c r="A34" s="36">
        <v>99910032</v>
      </c>
      <c r="B34" s="17" t="s">
        <v>32</v>
      </c>
      <c r="C34" t="s">
        <v>90</v>
      </c>
      <c r="D34" t="s">
        <v>91</v>
      </c>
      <c r="G34" s="17" t="s">
        <v>35</v>
      </c>
      <c r="H34" s="17">
        <v>1</v>
      </c>
      <c r="I34">
        <v>2638</v>
      </c>
      <c r="J34" s="1">
        <v>43374</v>
      </c>
      <c r="K34" t="s">
        <v>932</v>
      </c>
      <c r="L34" t="s">
        <v>933</v>
      </c>
      <c r="M34" t="s">
        <v>921</v>
      </c>
      <c r="N34">
        <v>25</v>
      </c>
      <c r="O34" t="s">
        <v>40</v>
      </c>
      <c r="S34" t="s">
        <v>40</v>
      </c>
      <c r="U34" s="1">
        <v>43374</v>
      </c>
      <c r="V34" t="s">
        <v>41</v>
      </c>
      <c r="W34" t="s">
        <v>95</v>
      </c>
      <c r="X34" t="str">
        <f>"7511003"</f>
        <v>7511003</v>
      </c>
      <c r="Y34" t="s">
        <v>935</v>
      </c>
      <c r="Z34" t="s">
        <v>932</v>
      </c>
      <c r="AA34" t="s">
        <v>933</v>
      </c>
      <c r="AB34" t="s">
        <v>921</v>
      </c>
      <c r="AC34" t="s">
        <v>44</v>
      </c>
      <c r="AD34" t="s">
        <v>45</v>
      </c>
      <c r="AE34" s="1">
        <v>35289</v>
      </c>
      <c r="AF34">
        <v>1</v>
      </c>
      <c r="AG34" t="s">
        <v>933</v>
      </c>
      <c r="AH34" s="36">
        <f t="shared" si="0"/>
        <v>22.68888888888889</v>
      </c>
      <c r="AI34" s="40" t="s">
        <v>1777</v>
      </c>
    </row>
    <row r="35" spans="1:35" x14ac:dyDescent="0.25">
      <c r="A35" s="36">
        <v>99910033</v>
      </c>
      <c r="B35" s="17" t="s">
        <v>32</v>
      </c>
      <c r="C35" t="s">
        <v>111</v>
      </c>
      <c r="D35" t="s">
        <v>112</v>
      </c>
      <c r="G35" s="17" t="s">
        <v>35</v>
      </c>
      <c r="H35" s="17">
        <v>1</v>
      </c>
      <c r="I35" t="s">
        <v>1479</v>
      </c>
      <c r="J35" s="1">
        <v>43344</v>
      </c>
      <c r="K35" t="s">
        <v>1334</v>
      </c>
      <c r="L35" t="s">
        <v>1335</v>
      </c>
      <c r="M35" t="s">
        <v>1270</v>
      </c>
      <c r="N35">
        <v>21</v>
      </c>
      <c r="O35" t="s">
        <v>40</v>
      </c>
      <c r="S35" t="s">
        <v>40</v>
      </c>
      <c r="U35" s="1">
        <v>43344</v>
      </c>
      <c r="V35" t="s">
        <v>41</v>
      </c>
      <c r="W35" t="s">
        <v>75</v>
      </c>
      <c r="X35" t="str">
        <f>"7391000"</f>
        <v>7391000</v>
      </c>
      <c r="Y35" t="s">
        <v>1333</v>
      </c>
      <c r="Z35" t="s">
        <v>1334</v>
      </c>
      <c r="AA35" t="s">
        <v>1335</v>
      </c>
      <c r="AB35" t="s">
        <v>1270</v>
      </c>
      <c r="AC35" t="s">
        <v>44</v>
      </c>
      <c r="AD35" t="s">
        <v>45</v>
      </c>
      <c r="AE35" s="1">
        <v>35164</v>
      </c>
      <c r="AF35">
        <v>1</v>
      </c>
      <c r="AG35" t="s">
        <v>1335</v>
      </c>
      <c r="AH35" s="36">
        <f t="shared" si="0"/>
        <v>23.036111111111111</v>
      </c>
      <c r="AI35" s="40" t="s">
        <v>1777</v>
      </c>
    </row>
    <row r="36" spans="1:35" x14ac:dyDescent="0.25">
      <c r="A36" s="36">
        <v>99910034</v>
      </c>
      <c r="B36" s="17" t="s">
        <v>32</v>
      </c>
      <c r="C36" t="s">
        <v>90</v>
      </c>
      <c r="D36" t="s">
        <v>91</v>
      </c>
      <c r="G36" s="17" t="s">
        <v>35</v>
      </c>
      <c r="H36" s="17">
        <v>1</v>
      </c>
      <c r="I36">
        <v>11605</v>
      </c>
      <c r="J36" s="1">
        <v>43344</v>
      </c>
      <c r="K36" t="s">
        <v>354</v>
      </c>
      <c r="L36" t="s">
        <v>355</v>
      </c>
      <c r="M36" t="s">
        <v>131</v>
      </c>
      <c r="N36">
        <v>25</v>
      </c>
      <c r="O36" t="s">
        <v>40</v>
      </c>
      <c r="P36" t="s">
        <v>40</v>
      </c>
      <c r="Q36" t="s">
        <v>40</v>
      </c>
      <c r="R36" t="s">
        <v>40</v>
      </c>
      <c r="S36" t="s">
        <v>40</v>
      </c>
      <c r="U36" s="1">
        <v>43344</v>
      </c>
      <c r="V36" t="s">
        <v>41</v>
      </c>
      <c r="W36" t="s">
        <v>95</v>
      </c>
      <c r="X36" t="str">
        <f>"7054097"</f>
        <v>7054097</v>
      </c>
      <c r="Y36" t="s">
        <v>778</v>
      </c>
      <c r="Z36" t="s">
        <v>354</v>
      </c>
      <c r="AA36" t="s">
        <v>355</v>
      </c>
      <c r="AB36" t="s">
        <v>131</v>
      </c>
      <c r="AC36" t="s">
        <v>44</v>
      </c>
      <c r="AD36" t="s">
        <v>45</v>
      </c>
      <c r="AE36" s="1">
        <v>35045</v>
      </c>
      <c r="AF36">
        <v>1</v>
      </c>
      <c r="AG36" t="s">
        <v>355</v>
      </c>
      <c r="AH36" s="36">
        <f t="shared" si="0"/>
        <v>23.366666666666667</v>
      </c>
      <c r="AI36" s="40" t="s">
        <v>1777</v>
      </c>
    </row>
    <row r="37" spans="1:35" x14ac:dyDescent="0.25">
      <c r="A37" s="36">
        <v>99910035</v>
      </c>
      <c r="B37" s="17" t="s">
        <v>32</v>
      </c>
      <c r="C37" t="s">
        <v>90</v>
      </c>
      <c r="D37" t="s">
        <v>91</v>
      </c>
      <c r="G37" s="17" t="s">
        <v>35</v>
      </c>
      <c r="H37" s="17">
        <v>1</v>
      </c>
      <c r="I37" t="s">
        <v>286</v>
      </c>
      <c r="J37" s="1">
        <v>43344</v>
      </c>
      <c r="K37" t="s">
        <v>268</v>
      </c>
      <c r="L37" t="s">
        <v>269</v>
      </c>
      <c r="M37" t="s">
        <v>131</v>
      </c>
      <c r="N37">
        <v>30</v>
      </c>
      <c r="O37" t="s">
        <v>40</v>
      </c>
      <c r="S37" t="s">
        <v>40</v>
      </c>
      <c r="V37" t="s">
        <v>41</v>
      </c>
      <c r="W37" t="s">
        <v>95</v>
      </c>
      <c r="X37" t="str">
        <f>"7052097"</f>
        <v>7052097</v>
      </c>
      <c r="Y37" t="s">
        <v>611</v>
      </c>
      <c r="Z37" t="s">
        <v>268</v>
      </c>
      <c r="AA37" t="s">
        <v>269</v>
      </c>
      <c r="AB37" t="s">
        <v>131</v>
      </c>
      <c r="AC37" t="s">
        <v>51</v>
      </c>
      <c r="AD37" t="s">
        <v>45</v>
      </c>
      <c r="AE37" s="1">
        <v>35017</v>
      </c>
      <c r="AF37">
        <v>1</v>
      </c>
      <c r="AG37" t="s">
        <v>269</v>
      </c>
      <c r="AH37" s="36">
        <f t="shared" si="0"/>
        <v>23.444444444444443</v>
      </c>
      <c r="AI37" s="40" t="s">
        <v>1777</v>
      </c>
    </row>
    <row r="38" spans="1:35" x14ac:dyDescent="0.25">
      <c r="A38" s="36">
        <v>99910036</v>
      </c>
      <c r="B38" s="17" t="s">
        <v>32</v>
      </c>
      <c r="C38" t="s">
        <v>111</v>
      </c>
      <c r="D38" t="s">
        <v>112</v>
      </c>
      <c r="G38" s="17" t="s">
        <v>35</v>
      </c>
      <c r="H38" s="17">
        <v>1</v>
      </c>
      <c r="I38" t="s">
        <v>1242</v>
      </c>
      <c r="J38" s="1">
        <v>43354</v>
      </c>
      <c r="K38" t="s">
        <v>1221</v>
      </c>
      <c r="L38" t="s">
        <v>1222</v>
      </c>
      <c r="M38" t="s">
        <v>1130</v>
      </c>
      <c r="N38">
        <v>24</v>
      </c>
      <c r="O38" t="s">
        <v>40</v>
      </c>
      <c r="S38" t="s">
        <v>40</v>
      </c>
      <c r="U38" s="1">
        <v>43354</v>
      </c>
      <c r="V38" t="s">
        <v>41</v>
      </c>
      <c r="W38" t="s">
        <v>75</v>
      </c>
      <c r="X38" t="str">
        <f>"7351004"</f>
        <v>7351004</v>
      </c>
      <c r="Y38" t="s">
        <v>1225</v>
      </c>
      <c r="Z38" t="s">
        <v>1221</v>
      </c>
      <c r="AA38" t="s">
        <v>1222</v>
      </c>
      <c r="AB38" t="s">
        <v>1130</v>
      </c>
      <c r="AC38" t="s">
        <v>44</v>
      </c>
      <c r="AD38" t="s">
        <v>45</v>
      </c>
      <c r="AE38" s="1">
        <v>34970</v>
      </c>
      <c r="AF38">
        <v>1</v>
      </c>
      <c r="AG38" t="s">
        <v>1222</v>
      </c>
      <c r="AH38" s="36">
        <f t="shared" si="0"/>
        <v>23.574999999999999</v>
      </c>
      <c r="AI38" s="40" t="s">
        <v>1777</v>
      </c>
    </row>
    <row r="39" spans="1:35" x14ac:dyDescent="0.25">
      <c r="A39" s="36">
        <v>99910037</v>
      </c>
      <c r="B39" s="17" t="s">
        <v>56</v>
      </c>
      <c r="C39" t="s">
        <v>52</v>
      </c>
      <c r="D39" t="s">
        <v>53</v>
      </c>
      <c r="G39" s="17" t="s">
        <v>35</v>
      </c>
      <c r="H39" s="17">
        <v>1</v>
      </c>
      <c r="I39" t="s">
        <v>1182</v>
      </c>
      <c r="J39" s="1">
        <v>43362</v>
      </c>
      <c r="K39" t="s">
        <v>1171</v>
      </c>
      <c r="L39" t="s">
        <v>1172</v>
      </c>
      <c r="M39" t="s">
        <v>1130</v>
      </c>
      <c r="N39">
        <v>23</v>
      </c>
      <c r="O39" t="s">
        <v>40</v>
      </c>
      <c r="S39" t="s">
        <v>40</v>
      </c>
      <c r="U39" s="1">
        <v>43362</v>
      </c>
      <c r="V39" t="s">
        <v>41</v>
      </c>
      <c r="W39" t="s">
        <v>49</v>
      </c>
      <c r="X39" t="str">
        <f>"3560001"</f>
        <v>3560001</v>
      </c>
      <c r="Y39" t="s">
        <v>1179</v>
      </c>
      <c r="Z39" t="s">
        <v>1171</v>
      </c>
      <c r="AA39" t="s">
        <v>1172</v>
      </c>
      <c r="AB39" t="s">
        <v>1130</v>
      </c>
      <c r="AC39" t="s">
        <v>44</v>
      </c>
      <c r="AD39" t="s">
        <v>45</v>
      </c>
      <c r="AE39" s="1">
        <v>34967</v>
      </c>
      <c r="AF39">
        <v>2</v>
      </c>
      <c r="AG39" t="s">
        <v>1172</v>
      </c>
      <c r="AH39" s="36">
        <f t="shared" si="0"/>
        <v>23.583333333333332</v>
      </c>
      <c r="AI39" s="40" t="s">
        <v>1777</v>
      </c>
    </row>
    <row r="40" spans="1:35" x14ac:dyDescent="0.25">
      <c r="A40" s="36">
        <v>99910038</v>
      </c>
      <c r="B40" s="17" t="s">
        <v>32</v>
      </c>
      <c r="C40" t="s">
        <v>90</v>
      </c>
      <c r="D40" t="s">
        <v>91</v>
      </c>
      <c r="G40" s="17" t="s">
        <v>35</v>
      </c>
      <c r="H40" s="17">
        <v>1</v>
      </c>
      <c r="I40" t="s">
        <v>1405</v>
      </c>
      <c r="J40" s="1">
        <v>43355</v>
      </c>
      <c r="K40" t="s">
        <v>1341</v>
      </c>
      <c r="L40" t="s">
        <v>1342</v>
      </c>
      <c r="M40" t="s">
        <v>1270</v>
      </c>
      <c r="N40">
        <v>24</v>
      </c>
      <c r="O40" t="s">
        <v>40</v>
      </c>
      <c r="S40" t="s">
        <v>40</v>
      </c>
      <c r="U40" s="1">
        <v>43355</v>
      </c>
      <c r="V40" t="s">
        <v>41</v>
      </c>
      <c r="W40" t="s">
        <v>95</v>
      </c>
      <c r="X40" t="str">
        <f>"7191065"</f>
        <v>7191065</v>
      </c>
      <c r="Y40" t="s">
        <v>1421</v>
      </c>
      <c r="Z40" t="s">
        <v>1341</v>
      </c>
      <c r="AA40" t="s">
        <v>1342</v>
      </c>
      <c r="AB40" t="s">
        <v>1270</v>
      </c>
      <c r="AC40" t="s">
        <v>51</v>
      </c>
      <c r="AD40" t="s">
        <v>45</v>
      </c>
      <c r="AE40" s="1">
        <v>34929</v>
      </c>
      <c r="AF40">
        <v>1</v>
      </c>
      <c r="AG40" t="s">
        <v>1342</v>
      </c>
      <c r="AH40" s="36">
        <f t="shared" si="0"/>
        <v>23.68888888888889</v>
      </c>
      <c r="AI40" s="40" t="s">
        <v>1777</v>
      </c>
    </row>
    <row r="41" spans="1:35" x14ac:dyDescent="0.25">
      <c r="A41" s="36">
        <v>99910039</v>
      </c>
      <c r="B41" s="17" t="s">
        <v>32</v>
      </c>
      <c r="C41" t="s">
        <v>111</v>
      </c>
      <c r="D41" t="s">
        <v>112</v>
      </c>
      <c r="G41" s="17" t="s">
        <v>35</v>
      </c>
      <c r="H41" s="17">
        <v>1</v>
      </c>
      <c r="I41">
        <v>23355</v>
      </c>
      <c r="J41" s="1">
        <v>43417</v>
      </c>
      <c r="K41" t="s">
        <v>877</v>
      </c>
      <c r="L41" t="s">
        <v>878</v>
      </c>
      <c r="M41" t="s">
        <v>131</v>
      </c>
      <c r="N41">
        <v>24</v>
      </c>
      <c r="O41" t="s">
        <v>40</v>
      </c>
      <c r="S41" t="s">
        <v>40</v>
      </c>
      <c r="U41" s="1">
        <v>43417</v>
      </c>
      <c r="V41" t="s">
        <v>41</v>
      </c>
      <c r="W41" t="s">
        <v>75</v>
      </c>
      <c r="X41" t="str">
        <f>"7541024"</f>
        <v>7541024</v>
      </c>
      <c r="Y41" t="s">
        <v>885</v>
      </c>
      <c r="Z41" t="s">
        <v>877</v>
      </c>
      <c r="AA41" t="s">
        <v>878</v>
      </c>
      <c r="AB41" t="s">
        <v>131</v>
      </c>
      <c r="AC41" t="s">
        <v>44</v>
      </c>
      <c r="AD41" t="s">
        <v>45</v>
      </c>
      <c r="AE41" s="1">
        <v>34913</v>
      </c>
      <c r="AF41">
        <v>1</v>
      </c>
      <c r="AG41" t="s">
        <v>878</v>
      </c>
      <c r="AH41" s="36">
        <f t="shared" si="0"/>
        <v>23.733333333333334</v>
      </c>
      <c r="AI41" s="40" t="s">
        <v>1777</v>
      </c>
    </row>
    <row r="42" spans="1:35" x14ac:dyDescent="0.25">
      <c r="A42" s="36">
        <v>99910040</v>
      </c>
      <c r="B42" s="17" t="s">
        <v>32</v>
      </c>
      <c r="C42" t="s">
        <v>79</v>
      </c>
      <c r="D42" t="s">
        <v>80</v>
      </c>
      <c r="G42" s="17" t="s">
        <v>35</v>
      </c>
      <c r="H42" s="17">
        <v>1</v>
      </c>
      <c r="I42">
        <v>4616</v>
      </c>
      <c r="J42" s="1">
        <v>43350</v>
      </c>
      <c r="K42" t="s">
        <v>919</v>
      </c>
      <c r="L42" t="s">
        <v>920</v>
      </c>
      <c r="M42" t="s">
        <v>921</v>
      </c>
      <c r="N42">
        <v>8</v>
      </c>
      <c r="O42" t="s">
        <v>40</v>
      </c>
      <c r="P42" t="s">
        <v>40</v>
      </c>
      <c r="Q42" t="s">
        <v>40</v>
      </c>
      <c r="R42" t="s">
        <v>40</v>
      </c>
      <c r="S42" t="s">
        <v>40</v>
      </c>
      <c r="U42" s="1">
        <v>43350</v>
      </c>
      <c r="V42" t="s">
        <v>41</v>
      </c>
      <c r="W42" t="s">
        <v>922</v>
      </c>
      <c r="X42" t="str">
        <f>"5162001"</f>
        <v>5162001</v>
      </c>
      <c r="Y42" t="s">
        <v>923</v>
      </c>
      <c r="Z42" t="s">
        <v>919</v>
      </c>
      <c r="AA42" t="s">
        <v>920</v>
      </c>
      <c r="AB42" t="s">
        <v>921</v>
      </c>
      <c r="AC42" t="s">
        <v>44</v>
      </c>
      <c r="AD42" t="s">
        <v>45</v>
      </c>
      <c r="AE42" s="1">
        <v>34879</v>
      </c>
      <c r="AF42">
        <v>2</v>
      </c>
      <c r="AG42" t="s">
        <v>920</v>
      </c>
      <c r="AH42" s="36">
        <f t="shared" si="0"/>
        <v>23.827777777777779</v>
      </c>
      <c r="AI42" s="40" t="s">
        <v>1777</v>
      </c>
    </row>
    <row r="43" spans="1:35" x14ac:dyDescent="0.25">
      <c r="A43" s="36">
        <v>99910041</v>
      </c>
      <c r="B43" s="17" t="s">
        <v>32</v>
      </c>
      <c r="C43" t="s">
        <v>90</v>
      </c>
      <c r="D43" t="s">
        <v>91</v>
      </c>
      <c r="G43" s="17" t="s">
        <v>35</v>
      </c>
      <c r="H43" s="17">
        <v>1</v>
      </c>
      <c r="I43" t="s">
        <v>286</v>
      </c>
      <c r="J43" s="1">
        <v>43344</v>
      </c>
      <c r="K43" t="s">
        <v>268</v>
      </c>
      <c r="L43" t="s">
        <v>269</v>
      </c>
      <c r="M43" t="s">
        <v>131</v>
      </c>
      <c r="N43">
        <v>24</v>
      </c>
      <c r="O43" t="s">
        <v>40</v>
      </c>
      <c r="S43" t="s">
        <v>40</v>
      </c>
      <c r="V43" t="s">
        <v>41</v>
      </c>
      <c r="W43" t="s">
        <v>95</v>
      </c>
      <c r="X43" t="str">
        <f>"7052025"</f>
        <v>7052025</v>
      </c>
      <c r="Y43" t="s">
        <v>697</v>
      </c>
      <c r="Z43" t="s">
        <v>268</v>
      </c>
      <c r="AA43" t="s">
        <v>269</v>
      </c>
      <c r="AB43" t="s">
        <v>131</v>
      </c>
      <c r="AC43" t="s">
        <v>44</v>
      </c>
      <c r="AD43" t="s">
        <v>45</v>
      </c>
      <c r="AE43" s="1">
        <v>34875</v>
      </c>
      <c r="AF43">
        <v>1</v>
      </c>
      <c r="AG43" t="s">
        <v>269</v>
      </c>
      <c r="AH43" s="36">
        <f t="shared" si="0"/>
        <v>23.838888888888889</v>
      </c>
      <c r="AI43" s="40" t="s">
        <v>1777</v>
      </c>
    </row>
    <row r="44" spans="1:35" x14ac:dyDescent="0.25">
      <c r="A44" s="36">
        <v>99910042</v>
      </c>
      <c r="B44" s="17" t="s">
        <v>32</v>
      </c>
      <c r="C44" t="s">
        <v>143</v>
      </c>
      <c r="D44" t="s">
        <v>144</v>
      </c>
      <c r="G44" s="17" t="s">
        <v>35</v>
      </c>
      <c r="H44" s="17">
        <v>1</v>
      </c>
      <c r="I44">
        <v>9893</v>
      </c>
      <c r="J44" s="1">
        <v>43392</v>
      </c>
      <c r="K44" t="s">
        <v>1051</v>
      </c>
      <c r="L44" t="s">
        <v>1052</v>
      </c>
      <c r="M44" t="s">
        <v>1053</v>
      </c>
      <c r="N44">
        <v>5</v>
      </c>
      <c r="O44" t="s">
        <v>40</v>
      </c>
      <c r="S44" t="s">
        <v>40</v>
      </c>
      <c r="U44" s="1">
        <v>43392</v>
      </c>
      <c r="V44" t="s">
        <v>41</v>
      </c>
      <c r="W44" t="s">
        <v>49</v>
      </c>
      <c r="X44" t="str">
        <f>"2060004"</f>
        <v>2060004</v>
      </c>
      <c r="Y44" t="s">
        <v>1059</v>
      </c>
      <c r="Z44" t="s">
        <v>1051</v>
      </c>
      <c r="AA44" t="s">
        <v>1052</v>
      </c>
      <c r="AB44" t="s">
        <v>1053</v>
      </c>
      <c r="AC44" t="s">
        <v>44</v>
      </c>
      <c r="AD44" t="s">
        <v>45</v>
      </c>
      <c r="AE44" s="1">
        <v>34855</v>
      </c>
      <c r="AF44">
        <v>2</v>
      </c>
      <c r="AG44" t="s">
        <v>1052</v>
      </c>
      <c r="AH44" s="36">
        <f t="shared" si="0"/>
        <v>23.894444444444446</v>
      </c>
      <c r="AI44" s="40" t="s">
        <v>1777</v>
      </c>
    </row>
    <row r="45" spans="1:35" x14ac:dyDescent="0.25">
      <c r="A45" s="36">
        <v>99910043</v>
      </c>
      <c r="B45" s="17" t="s">
        <v>32</v>
      </c>
      <c r="C45" t="s">
        <v>111</v>
      </c>
      <c r="D45" t="s">
        <v>112</v>
      </c>
      <c r="G45" s="17" t="s">
        <v>35</v>
      </c>
      <c r="H45" s="17">
        <v>1</v>
      </c>
      <c r="I45">
        <v>19058</v>
      </c>
      <c r="J45" s="1">
        <v>43377</v>
      </c>
      <c r="K45" t="s">
        <v>877</v>
      </c>
      <c r="L45" t="s">
        <v>878</v>
      </c>
      <c r="M45" t="s">
        <v>131</v>
      </c>
      <c r="N45">
        <v>24</v>
      </c>
      <c r="O45" t="s">
        <v>40</v>
      </c>
      <c r="S45" t="s">
        <v>40</v>
      </c>
      <c r="U45" s="1">
        <v>43377</v>
      </c>
      <c r="V45" t="s">
        <v>41</v>
      </c>
      <c r="W45" t="s">
        <v>75</v>
      </c>
      <c r="X45" t="str">
        <f>"7541008"</f>
        <v>7541008</v>
      </c>
      <c r="Y45" t="s">
        <v>879</v>
      </c>
      <c r="Z45" t="s">
        <v>877</v>
      </c>
      <c r="AA45" t="s">
        <v>878</v>
      </c>
      <c r="AB45" t="s">
        <v>131</v>
      </c>
      <c r="AC45" t="s">
        <v>44</v>
      </c>
      <c r="AD45" t="s">
        <v>45</v>
      </c>
      <c r="AE45" s="1">
        <v>34831</v>
      </c>
      <c r="AF45">
        <v>1</v>
      </c>
      <c r="AG45" t="s">
        <v>878</v>
      </c>
      <c r="AH45" s="36">
        <f t="shared" si="0"/>
        <v>23.961111111111112</v>
      </c>
      <c r="AI45" s="40" t="s">
        <v>1777</v>
      </c>
    </row>
    <row r="46" spans="1:35" x14ac:dyDescent="0.25">
      <c r="A46" s="36">
        <v>99910044</v>
      </c>
      <c r="B46" s="17" t="s">
        <v>32</v>
      </c>
      <c r="C46" t="s">
        <v>90</v>
      </c>
      <c r="D46" t="s">
        <v>91</v>
      </c>
      <c r="G46" s="17" t="s">
        <v>35</v>
      </c>
      <c r="H46" s="17">
        <v>1</v>
      </c>
      <c r="I46" t="s">
        <v>1264</v>
      </c>
      <c r="J46" s="1">
        <v>43362</v>
      </c>
      <c r="K46" t="s">
        <v>1258</v>
      </c>
      <c r="L46" t="s">
        <v>1259</v>
      </c>
      <c r="M46" t="s">
        <v>1260</v>
      </c>
      <c r="N46">
        <v>30</v>
      </c>
      <c r="O46" t="s">
        <v>40</v>
      </c>
      <c r="P46" t="s">
        <v>40</v>
      </c>
      <c r="Q46" t="s">
        <v>40</v>
      </c>
      <c r="R46" t="s">
        <v>40</v>
      </c>
      <c r="S46" t="s">
        <v>40</v>
      </c>
      <c r="U46" s="1">
        <v>43363</v>
      </c>
      <c r="V46" t="s">
        <v>41</v>
      </c>
      <c r="W46" t="s">
        <v>95</v>
      </c>
      <c r="X46" t="str">
        <f>"7241009"</f>
        <v>7241009</v>
      </c>
      <c r="Y46" t="s">
        <v>1263</v>
      </c>
      <c r="Z46" t="s">
        <v>1258</v>
      </c>
      <c r="AA46" t="s">
        <v>1259</v>
      </c>
      <c r="AB46" t="s">
        <v>1260</v>
      </c>
      <c r="AC46" t="s">
        <v>44</v>
      </c>
      <c r="AD46" t="s">
        <v>45</v>
      </c>
      <c r="AE46" s="1">
        <v>34781</v>
      </c>
      <c r="AF46">
        <v>1</v>
      </c>
      <c r="AG46" t="s">
        <v>1259</v>
      </c>
      <c r="AH46" s="36">
        <f t="shared" si="0"/>
        <v>24.1</v>
      </c>
      <c r="AI46" s="40" t="s">
        <v>1777</v>
      </c>
    </row>
    <row r="47" spans="1:35" x14ac:dyDescent="0.25">
      <c r="A47" s="36">
        <v>99910045</v>
      </c>
      <c r="B47" s="17" t="s">
        <v>32</v>
      </c>
      <c r="C47" t="s">
        <v>111</v>
      </c>
      <c r="D47" t="s">
        <v>112</v>
      </c>
      <c r="G47" s="17" t="s">
        <v>35</v>
      </c>
      <c r="H47" s="17">
        <v>1</v>
      </c>
      <c r="I47">
        <v>6808</v>
      </c>
      <c r="J47" s="1">
        <v>43360</v>
      </c>
      <c r="K47" t="s">
        <v>1198</v>
      </c>
      <c r="L47" t="s">
        <v>1199</v>
      </c>
      <c r="M47" t="s">
        <v>1130</v>
      </c>
      <c r="N47">
        <v>24</v>
      </c>
      <c r="O47" t="s">
        <v>40</v>
      </c>
      <c r="S47" t="s">
        <v>40</v>
      </c>
      <c r="U47" s="1">
        <v>43360</v>
      </c>
      <c r="V47" t="s">
        <v>41</v>
      </c>
      <c r="W47" t="s">
        <v>75</v>
      </c>
      <c r="X47" t="str">
        <f>"7311002"</f>
        <v>7311002</v>
      </c>
      <c r="Y47" t="s">
        <v>1203</v>
      </c>
      <c r="Z47" t="s">
        <v>1198</v>
      </c>
      <c r="AA47" t="s">
        <v>1199</v>
      </c>
      <c r="AB47" t="s">
        <v>1130</v>
      </c>
      <c r="AC47" t="s">
        <v>55</v>
      </c>
      <c r="AD47" t="s">
        <v>45</v>
      </c>
      <c r="AE47" s="1">
        <v>34750</v>
      </c>
      <c r="AF47">
        <v>1</v>
      </c>
      <c r="AG47" t="s">
        <v>1199</v>
      </c>
      <c r="AH47" s="36">
        <f t="shared" si="0"/>
        <v>24.18611111111111</v>
      </c>
      <c r="AI47" s="40" t="s">
        <v>1777</v>
      </c>
    </row>
    <row r="48" spans="1:35" x14ac:dyDescent="0.25">
      <c r="A48" s="36">
        <v>99910046</v>
      </c>
      <c r="B48" s="17" t="s">
        <v>32</v>
      </c>
      <c r="C48" t="s">
        <v>111</v>
      </c>
      <c r="D48" t="s">
        <v>112</v>
      </c>
      <c r="G48" s="17" t="s">
        <v>35</v>
      </c>
      <c r="H48" s="17">
        <v>1</v>
      </c>
      <c r="I48">
        <v>20318</v>
      </c>
      <c r="J48" s="1">
        <v>43344</v>
      </c>
      <c r="K48" t="s">
        <v>877</v>
      </c>
      <c r="L48" t="s">
        <v>878</v>
      </c>
      <c r="M48" t="s">
        <v>131</v>
      </c>
      <c r="N48">
        <v>24</v>
      </c>
      <c r="O48" t="s">
        <v>40</v>
      </c>
      <c r="S48" t="s">
        <v>40</v>
      </c>
      <c r="U48" s="1">
        <v>43344</v>
      </c>
      <c r="V48" t="s">
        <v>41</v>
      </c>
      <c r="W48" t="s">
        <v>75</v>
      </c>
      <c r="X48" t="str">
        <f>"7541004"</f>
        <v>7541004</v>
      </c>
      <c r="Y48" t="s">
        <v>889</v>
      </c>
      <c r="Z48" t="s">
        <v>877</v>
      </c>
      <c r="AA48" t="s">
        <v>878</v>
      </c>
      <c r="AB48" t="s">
        <v>131</v>
      </c>
      <c r="AC48" t="s">
        <v>44</v>
      </c>
      <c r="AD48" t="s">
        <v>45</v>
      </c>
      <c r="AE48" s="1">
        <v>34746</v>
      </c>
      <c r="AF48">
        <v>1</v>
      </c>
      <c r="AG48" t="s">
        <v>878</v>
      </c>
      <c r="AH48" s="36">
        <f t="shared" si="0"/>
        <v>24.197222222222223</v>
      </c>
      <c r="AI48" s="40" t="s">
        <v>1777</v>
      </c>
    </row>
    <row r="49" spans="1:35" x14ac:dyDescent="0.25">
      <c r="A49" s="36">
        <v>99910047</v>
      </c>
      <c r="B49" s="17" t="s">
        <v>32</v>
      </c>
      <c r="C49" t="s">
        <v>90</v>
      </c>
      <c r="D49" t="s">
        <v>91</v>
      </c>
      <c r="G49" s="17" t="s">
        <v>35</v>
      </c>
      <c r="H49" s="17">
        <v>1</v>
      </c>
      <c r="I49">
        <v>1959387</v>
      </c>
      <c r="J49" s="1">
        <v>43361</v>
      </c>
      <c r="K49" t="s">
        <v>126</v>
      </c>
      <c r="L49" t="s">
        <v>127</v>
      </c>
      <c r="M49" t="s">
        <v>39</v>
      </c>
      <c r="N49">
        <v>25</v>
      </c>
      <c r="O49" t="s">
        <v>40</v>
      </c>
      <c r="S49" t="s">
        <v>40</v>
      </c>
      <c r="U49" s="1">
        <v>43361</v>
      </c>
      <c r="V49" t="s">
        <v>41</v>
      </c>
      <c r="W49" t="s">
        <v>95</v>
      </c>
      <c r="X49" t="str">
        <f>"7421001"</f>
        <v>7421001</v>
      </c>
      <c r="Y49" t="s">
        <v>128</v>
      </c>
      <c r="Z49" t="s">
        <v>126</v>
      </c>
      <c r="AA49" t="s">
        <v>127</v>
      </c>
      <c r="AB49" t="s">
        <v>39</v>
      </c>
      <c r="AC49" t="s">
        <v>44</v>
      </c>
      <c r="AD49" t="s">
        <v>45</v>
      </c>
      <c r="AE49" s="1">
        <v>34739</v>
      </c>
      <c r="AF49">
        <v>1</v>
      </c>
      <c r="AG49" t="s">
        <v>127</v>
      </c>
      <c r="AH49" s="36">
        <f t="shared" si="0"/>
        <v>24.216666666666665</v>
      </c>
      <c r="AI49" s="40" t="s">
        <v>1777</v>
      </c>
    </row>
    <row r="50" spans="1:35" x14ac:dyDescent="0.25">
      <c r="A50" s="36">
        <v>99910048</v>
      </c>
      <c r="B50" s="17" t="s">
        <v>32</v>
      </c>
      <c r="C50" t="s">
        <v>90</v>
      </c>
      <c r="D50" t="s">
        <v>91</v>
      </c>
      <c r="G50" s="17" t="s">
        <v>35</v>
      </c>
      <c r="H50" s="17">
        <v>1</v>
      </c>
      <c r="I50" t="s">
        <v>1400</v>
      </c>
      <c r="J50" s="1">
        <v>43374</v>
      </c>
      <c r="K50" t="s">
        <v>1341</v>
      </c>
      <c r="L50" t="s">
        <v>1342</v>
      </c>
      <c r="M50" t="s">
        <v>1270</v>
      </c>
      <c r="N50">
        <v>24</v>
      </c>
      <c r="O50" t="s">
        <v>40</v>
      </c>
      <c r="S50" t="s">
        <v>40</v>
      </c>
      <c r="U50" s="1">
        <v>43374</v>
      </c>
      <c r="V50" t="s">
        <v>41</v>
      </c>
      <c r="W50" t="s">
        <v>95</v>
      </c>
      <c r="X50" t="str">
        <f>"7191055"</f>
        <v>7191055</v>
      </c>
      <c r="Y50" t="s">
        <v>1401</v>
      </c>
      <c r="Z50" t="s">
        <v>1341</v>
      </c>
      <c r="AA50" t="s">
        <v>1342</v>
      </c>
      <c r="AB50" t="s">
        <v>1270</v>
      </c>
      <c r="AC50" t="s">
        <v>51</v>
      </c>
      <c r="AD50" t="s">
        <v>45</v>
      </c>
      <c r="AE50" s="1">
        <v>34724</v>
      </c>
      <c r="AF50">
        <v>1</v>
      </c>
      <c r="AG50" t="s">
        <v>1342</v>
      </c>
      <c r="AH50" s="36">
        <f t="shared" si="0"/>
        <v>24.258333333333333</v>
      </c>
      <c r="AI50" s="40" t="s">
        <v>1777</v>
      </c>
    </row>
    <row r="51" spans="1:35" x14ac:dyDescent="0.25">
      <c r="A51" s="36">
        <v>99910049</v>
      </c>
      <c r="B51" s="17" t="s">
        <v>32</v>
      </c>
      <c r="C51" t="s">
        <v>111</v>
      </c>
      <c r="D51" t="s">
        <v>112</v>
      </c>
      <c r="G51" s="17" t="s">
        <v>35</v>
      </c>
      <c r="H51" s="17">
        <v>1</v>
      </c>
      <c r="I51" t="s">
        <v>113</v>
      </c>
      <c r="J51" s="1">
        <v>43368</v>
      </c>
      <c r="K51" t="s">
        <v>77</v>
      </c>
      <c r="L51" t="s">
        <v>78</v>
      </c>
      <c r="M51" t="s">
        <v>39</v>
      </c>
      <c r="N51">
        <v>24</v>
      </c>
      <c r="O51" t="s">
        <v>40</v>
      </c>
      <c r="S51" t="s">
        <v>40</v>
      </c>
      <c r="U51" s="1">
        <v>43368</v>
      </c>
      <c r="V51" t="s">
        <v>41</v>
      </c>
      <c r="W51" t="s">
        <v>75</v>
      </c>
      <c r="X51" t="str">
        <f>"7371000"</f>
        <v>7371000</v>
      </c>
      <c r="Y51" t="s">
        <v>76</v>
      </c>
      <c r="Z51" t="s">
        <v>77</v>
      </c>
      <c r="AA51" t="s">
        <v>78</v>
      </c>
      <c r="AB51" t="s">
        <v>39</v>
      </c>
      <c r="AC51" t="s">
        <v>44</v>
      </c>
      <c r="AD51" t="s">
        <v>45</v>
      </c>
      <c r="AE51" s="1">
        <v>34705</v>
      </c>
      <c r="AF51">
        <v>1</v>
      </c>
      <c r="AG51" t="s">
        <v>78</v>
      </c>
      <c r="AH51" s="36">
        <f t="shared" si="0"/>
        <v>24.31111111111111</v>
      </c>
      <c r="AI51" s="40" t="s">
        <v>1777</v>
      </c>
    </row>
    <row r="52" spans="1:35" x14ac:dyDescent="0.25">
      <c r="A52" s="36">
        <v>99910050</v>
      </c>
      <c r="B52" s="17" t="s">
        <v>56</v>
      </c>
      <c r="C52" t="s">
        <v>111</v>
      </c>
      <c r="D52" t="s">
        <v>112</v>
      </c>
      <c r="G52" s="17" t="s">
        <v>35</v>
      </c>
      <c r="H52" s="17">
        <v>1</v>
      </c>
      <c r="I52" t="s">
        <v>1482</v>
      </c>
      <c r="J52" s="1">
        <v>43344</v>
      </c>
      <c r="K52" t="s">
        <v>1334</v>
      </c>
      <c r="L52" t="s">
        <v>1335</v>
      </c>
      <c r="M52" t="s">
        <v>1270</v>
      </c>
      <c r="N52">
        <v>21</v>
      </c>
      <c r="O52" t="s">
        <v>40</v>
      </c>
      <c r="S52" t="s">
        <v>40</v>
      </c>
      <c r="U52" s="1">
        <v>43344</v>
      </c>
      <c r="V52" t="s">
        <v>41</v>
      </c>
      <c r="W52" t="s">
        <v>75</v>
      </c>
      <c r="X52" t="str">
        <f>"7391000"</f>
        <v>7391000</v>
      </c>
      <c r="Y52" t="s">
        <v>1333</v>
      </c>
      <c r="Z52" t="s">
        <v>1334</v>
      </c>
      <c r="AA52" t="s">
        <v>1335</v>
      </c>
      <c r="AB52" t="s">
        <v>1270</v>
      </c>
      <c r="AC52" t="s">
        <v>44</v>
      </c>
      <c r="AD52" t="s">
        <v>45</v>
      </c>
      <c r="AE52" s="1">
        <v>34702</v>
      </c>
      <c r="AF52">
        <v>1</v>
      </c>
      <c r="AG52" t="s">
        <v>1335</v>
      </c>
      <c r="AH52" s="36">
        <f t="shared" si="0"/>
        <v>24.319444444444443</v>
      </c>
      <c r="AI52" s="40" t="s">
        <v>1777</v>
      </c>
    </row>
    <row r="53" spans="1:35" x14ac:dyDescent="0.25">
      <c r="A53" s="36">
        <v>99910051</v>
      </c>
      <c r="B53" s="17" t="s">
        <v>32</v>
      </c>
      <c r="C53" t="s">
        <v>111</v>
      </c>
      <c r="D53" t="s">
        <v>112</v>
      </c>
      <c r="G53" s="17" t="s">
        <v>35</v>
      </c>
      <c r="H53" s="17">
        <v>1</v>
      </c>
      <c r="I53">
        <v>320007</v>
      </c>
      <c r="J53" s="1">
        <v>43164</v>
      </c>
      <c r="K53" t="s">
        <v>1334</v>
      </c>
      <c r="L53" t="s">
        <v>1335</v>
      </c>
      <c r="M53" t="s">
        <v>1270</v>
      </c>
      <c r="N53">
        <v>21</v>
      </c>
      <c r="O53" t="s">
        <v>40</v>
      </c>
      <c r="S53" t="s">
        <v>40</v>
      </c>
      <c r="U53" s="1">
        <v>43164</v>
      </c>
      <c r="V53" t="s">
        <v>41</v>
      </c>
      <c r="W53" t="s">
        <v>75</v>
      </c>
      <c r="X53" t="str">
        <f>"7391000"</f>
        <v>7391000</v>
      </c>
      <c r="Y53" t="s">
        <v>1333</v>
      </c>
      <c r="Z53" t="s">
        <v>1334</v>
      </c>
      <c r="AA53" t="s">
        <v>1335</v>
      </c>
      <c r="AB53" t="s">
        <v>1270</v>
      </c>
      <c r="AC53" t="s">
        <v>44</v>
      </c>
      <c r="AD53" t="s">
        <v>45</v>
      </c>
      <c r="AE53" s="1">
        <v>34695</v>
      </c>
      <c r="AF53">
        <v>1</v>
      </c>
      <c r="AG53" t="s">
        <v>1335</v>
      </c>
      <c r="AH53" s="36">
        <f t="shared" si="0"/>
        <v>24.338888888888889</v>
      </c>
      <c r="AI53" s="40" t="s">
        <v>1777</v>
      </c>
    </row>
    <row r="54" spans="1:35" x14ac:dyDescent="0.25">
      <c r="A54" s="36">
        <v>99910052</v>
      </c>
      <c r="B54" s="17" t="s">
        <v>32</v>
      </c>
      <c r="C54" t="s">
        <v>90</v>
      </c>
      <c r="D54" t="s">
        <v>91</v>
      </c>
      <c r="G54" s="17" t="s">
        <v>35</v>
      </c>
      <c r="H54" s="17">
        <v>1</v>
      </c>
      <c r="I54">
        <v>10433</v>
      </c>
      <c r="J54" s="1">
        <v>43344</v>
      </c>
      <c r="K54" t="s">
        <v>354</v>
      </c>
      <c r="L54" t="s">
        <v>355</v>
      </c>
      <c r="M54" t="s">
        <v>131</v>
      </c>
      <c r="N54">
        <v>25</v>
      </c>
      <c r="O54" t="s">
        <v>40</v>
      </c>
      <c r="S54" t="s">
        <v>40</v>
      </c>
      <c r="U54" s="1">
        <v>43344</v>
      </c>
      <c r="V54" t="s">
        <v>41</v>
      </c>
      <c r="W54" t="s">
        <v>95</v>
      </c>
      <c r="X54" t="str">
        <f>"7054083"</f>
        <v>7054083</v>
      </c>
      <c r="Y54" t="s">
        <v>801</v>
      </c>
      <c r="Z54" t="s">
        <v>354</v>
      </c>
      <c r="AA54" t="s">
        <v>355</v>
      </c>
      <c r="AB54" t="s">
        <v>131</v>
      </c>
      <c r="AC54" t="s">
        <v>55</v>
      </c>
      <c r="AD54" t="s">
        <v>45</v>
      </c>
      <c r="AE54" s="1">
        <v>34678</v>
      </c>
      <c r="AF54">
        <v>1</v>
      </c>
      <c r="AG54" t="s">
        <v>355</v>
      </c>
      <c r="AH54" s="36">
        <f t="shared" si="0"/>
        <v>24.386111111111113</v>
      </c>
      <c r="AI54" s="40" t="s">
        <v>1777</v>
      </c>
    </row>
    <row r="55" spans="1:35" x14ac:dyDescent="0.25">
      <c r="A55" s="36">
        <v>99910053</v>
      </c>
      <c r="B55" s="17" t="s">
        <v>32</v>
      </c>
      <c r="C55" t="s">
        <v>90</v>
      </c>
      <c r="D55" t="s">
        <v>91</v>
      </c>
      <c r="G55" s="17" t="s">
        <v>35</v>
      </c>
      <c r="H55" s="17">
        <v>1</v>
      </c>
      <c r="I55">
        <v>4727</v>
      </c>
      <c r="J55" s="1">
        <v>43354</v>
      </c>
      <c r="K55" t="s">
        <v>1245</v>
      </c>
      <c r="L55" t="s">
        <v>1246</v>
      </c>
      <c r="M55" t="s">
        <v>1130</v>
      </c>
      <c r="N55">
        <v>25</v>
      </c>
      <c r="O55" t="s">
        <v>40</v>
      </c>
      <c r="S55" t="s">
        <v>40</v>
      </c>
      <c r="U55" s="1">
        <v>43354</v>
      </c>
      <c r="V55" t="s">
        <v>41</v>
      </c>
      <c r="W55" t="s">
        <v>95</v>
      </c>
      <c r="X55" t="str">
        <f>"7451019"</f>
        <v>7451019</v>
      </c>
      <c r="Y55" t="s">
        <v>1251</v>
      </c>
      <c r="Z55" t="s">
        <v>1245</v>
      </c>
      <c r="AA55" t="s">
        <v>1246</v>
      </c>
      <c r="AB55" t="s">
        <v>1130</v>
      </c>
      <c r="AC55" t="s">
        <v>44</v>
      </c>
      <c r="AD55" t="s">
        <v>45</v>
      </c>
      <c r="AE55" s="1">
        <v>34676</v>
      </c>
      <c r="AF55">
        <v>1</v>
      </c>
      <c r="AG55" t="s">
        <v>1246</v>
      </c>
      <c r="AH55" s="36">
        <f t="shared" si="0"/>
        <v>24.391666666666666</v>
      </c>
      <c r="AI55" s="40" t="s">
        <v>1777</v>
      </c>
    </row>
    <row r="56" spans="1:35" x14ac:dyDescent="0.25">
      <c r="A56" s="36">
        <v>99910054</v>
      </c>
      <c r="B56" s="17" t="s">
        <v>32</v>
      </c>
      <c r="C56" t="s">
        <v>111</v>
      </c>
      <c r="D56" t="s">
        <v>112</v>
      </c>
      <c r="G56" s="17" t="s">
        <v>35</v>
      </c>
      <c r="H56" s="17">
        <v>1</v>
      </c>
      <c r="I56" t="s">
        <v>1664</v>
      </c>
      <c r="J56" s="1">
        <v>43344</v>
      </c>
      <c r="K56" t="s">
        <v>1619</v>
      </c>
      <c r="L56" t="s">
        <v>1620</v>
      </c>
      <c r="M56" t="s">
        <v>1592</v>
      </c>
      <c r="N56">
        <v>24</v>
      </c>
      <c r="O56" t="s">
        <v>40</v>
      </c>
      <c r="P56" t="s">
        <v>40</v>
      </c>
      <c r="Q56" t="s">
        <v>40</v>
      </c>
      <c r="R56" t="s">
        <v>40</v>
      </c>
      <c r="S56" t="s">
        <v>40</v>
      </c>
      <c r="U56" s="1">
        <v>43344</v>
      </c>
      <c r="V56" t="s">
        <v>41</v>
      </c>
      <c r="W56" t="s">
        <v>75</v>
      </c>
      <c r="X56" t="str">
        <f>"7281004"</f>
        <v>7281004</v>
      </c>
      <c r="Y56" t="s">
        <v>1651</v>
      </c>
      <c r="Z56" t="s">
        <v>1619</v>
      </c>
      <c r="AA56" t="s">
        <v>1620</v>
      </c>
      <c r="AB56" t="s">
        <v>1592</v>
      </c>
      <c r="AC56" t="s">
        <v>44</v>
      </c>
      <c r="AD56" t="s">
        <v>45</v>
      </c>
      <c r="AE56" s="1">
        <v>34660</v>
      </c>
      <c r="AF56">
        <v>1</v>
      </c>
      <c r="AG56" t="s">
        <v>1620</v>
      </c>
      <c r="AH56" s="36">
        <f t="shared" si="0"/>
        <v>24.43611111111111</v>
      </c>
      <c r="AI56" s="40" t="s">
        <v>1777</v>
      </c>
    </row>
    <row r="57" spans="1:35" x14ac:dyDescent="0.25">
      <c r="A57" s="36">
        <v>99910055</v>
      </c>
      <c r="B57" s="17" t="s">
        <v>32</v>
      </c>
      <c r="C57" t="s">
        <v>90</v>
      </c>
      <c r="D57" t="s">
        <v>91</v>
      </c>
      <c r="G57" s="17" t="s">
        <v>35</v>
      </c>
      <c r="H57" s="17">
        <v>1</v>
      </c>
      <c r="I57" t="s">
        <v>1359</v>
      </c>
      <c r="J57" s="1">
        <v>43344</v>
      </c>
      <c r="K57" t="s">
        <v>1341</v>
      </c>
      <c r="L57" t="s">
        <v>1342</v>
      </c>
      <c r="M57" t="s">
        <v>1270</v>
      </c>
      <c r="N57">
        <v>24</v>
      </c>
      <c r="O57" t="s">
        <v>40</v>
      </c>
      <c r="S57" t="s">
        <v>40</v>
      </c>
      <c r="U57" s="1">
        <v>43344</v>
      </c>
      <c r="V57" t="s">
        <v>41</v>
      </c>
      <c r="W57" t="s">
        <v>95</v>
      </c>
      <c r="X57" t="str">
        <f>"7191115"</f>
        <v>7191115</v>
      </c>
      <c r="Y57" t="s">
        <v>1360</v>
      </c>
      <c r="Z57" t="s">
        <v>1341</v>
      </c>
      <c r="AA57" t="s">
        <v>1342</v>
      </c>
      <c r="AB57" t="s">
        <v>1270</v>
      </c>
      <c r="AC57" t="s">
        <v>51</v>
      </c>
      <c r="AD57" t="s">
        <v>45</v>
      </c>
      <c r="AE57" s="1">
        <v>34646</v>
      </c>
      <c r="AF57">
        <v>1</v>
      </c>
      <c r="AG57" t="s">
        <v>1342</v>
      </c>
      <c r="AH57" s="36">
        <f t="shared" si="0"/>
        <v>24.475000000000001</v>
      </c>
      <c r="AI57" s="40" t="s">
        <v>1777</v>
      </c>
    </row>
    <row r="58" spans="1:35" x14ac:dyDescent="0.25">
      <c r="A58" s="36">
        <v>99910056</v>
      </c>
      <c r="B58" s="17" t="s">
        <v>32</v>
      </c>
      <c r="C58" t="s">
        <v>90</v>
      </c>
      <c r="D58" t="s">
        <v>91</v>
      </c>
      <c r="G58" s="17" t="s">
        <v>48</v>
      </c>
      <c r="H58" s="17">
        <v>1</v>
      </c>
      <c r="K58" t="s">
        <v>1564</v>
      </c>
      <c r="L58" t="s">
        <v>1565</v>
      </c>
      <c r="M58" t="s">
        <v>1548</v>
      </c>
      <c r="N58">
        <v>14</v>
      </c>
      <c r="O58" t="s">
        <v>40</v>
      </c>
      <c r="P58" t="s">
        <v>40</v>
      </c>
      <c r="Q58" t="s">
        <v>40</v>
      </c>
      <c r="S58" t="s">
        <v>40</v>
      </c>
      <c r="V58" t="s">
        <v>41</v>
      </c>
      <c r="W58" t="s">
        <v>95</v>
      </c>
      <c r="X58" t="str">
        <f>"7101009"</f>
        <v>7101009</v>
      </c>
      <c r="Y58" t="s">
        <v>1579</v>
      </c>
      <c r="Z58" t="s">
        <v>1564</v>
      </c>
      <c r="AA58" t="s">
        <v>1565</v>
      </c>
      <c r="AB58" t="s">
        <v>1548</v>
      </c>
      <c r="AC58" t="s">
        <v>51</v>
      </c>
      <c r="AD58" t="s">
        <v>45</v>
      </c>
      <c r="AE58" s="1">
        <v>34632</v>
      </c>
      <c r="AF58">
        <v>1</v>
      </c>
      <c r="AG58" t="s">
        <v>1565</v>
      </c>
      <c r="AH58" s="36">
        <f t="shared" si="0"/>
        <v>24.513888888888889</v>
      </c>
      <c r="AI58" s="40" t="s">
        <v>1777</v>
      </c>
    </row>
    <row r="59" spans="1:35" x14ac:dyDescent="0.25">
      <c r="A59" s="36">
        <v>99910057</v>
      </c>
      <c r="B59" s="17" t="s">
        <v>32</v>
      </c>
      <c r="C59" t="s">
        <v>90</v>
      </c>
      <c r="D59" t="s">
        <v>91</v>
      </c>
      <c r="G59" s="17" t="s">
        <v>35</v>
      </c>
      <c r="H59" s="17">
        <v>1</v>
      </c>
      <c r="I59">
        <v>1809813</v>
      </c>
      <c r="J59" s="1">
        <v>43347</v>
      </c>
      <c r="K59" t="s">
        <v>268</v>
      </c>
      <c r="L59" t="s">
        <v>269</v>
      </c>
      <c r="M59" t="s">
        <v>131</v>
      </c>
      <c r="N59">
        <v>30</v>
      </c>
      <c r="O59" t="s">
        <v>40</v>
      </c>
      <c r="S59" t="s">
        <v>40</v>
      </c>
      <c r="V59" t="s">
        <v>41</v>
      </c>
      <c r="W59" t="s">
        <v>95</v>
      </c>
      <c r="X59" t="str">
        <f>"7052179"</f>
        <v>7052179</v>
      </c>
      <c r="Y59" t="s">
        <v>639</v>
      </c>
      <c r="Z59" t="s">
        <v>268</v>
      </c>
      <c r="AA59" t="s">
        <v>269</v>
      </c>
      <c r="AB59" t="s">
        <v>131</v>
      </c>
      <c r="AC59" t="s">
        <v>44</v>
      </c>
      <c r="AD59" t="s">
        <v>45</v>
      </c>
      <c r="AE59" s="1">
        <v>34595</v>
      </c>
      <c r="AF59">
        <v>1</v>
      </c>
      <c r="AG59" t="s">
        <v>269</v>
      </c>
      <c r="AH59" s="36">
        <f t="shared" si="0"/>
        <v>24.616666666666667</v>
      </c>
      <c r="AI59" s="40" t="s">
        <v>1777</v>
      </c>
    </row>
    <row r="60" spans="1:35" x14ac:dyDescent="0.25">
      <c r="A60" s="36">
        <v>99910058</v>
      </c>
      <c r="B60" s="17" t="s">
        <v>32</v>
      </c>
      <c r="C60" t="s">
        <v>79</v>
      </c>
      <c r="D60" t="s">
        <v>80</v>
      </c>
      <c r="G60" s="17" t="s">
        <v>35</v>
      </c>
      <c r="H60" s="17">
        <v>1</v>
      </c>
      <c r="I60">
        <v>28476</v>
      </c>
      <c r="J60" s="1">
        <v>43403</v>
      </c>
      <c r="K60" t="s">
        <v>1341</v>
      </c>
      <c r="L60" t="s">
        <v>1342</v>
      </c>
      <c r="M60" t="s">
        <v>1270</v>
      </c>
      <c r="N60">
        <v>24</v>
      </c>
      <c r="O60" t="s">
        <v>40</v>
      </c>
      <c r="S60" t="s">
        <v>40</v>
      </c>
      <c r="U60" s="1">
        <v>43403</v>
      </c>
      <c r="V60" t="s">
        <v>41</v>
      </c>
      <c r="W60" t="s">
        <v>75</v>
      </c>
      <c r="X60" t="str">
        <f>"7700012"</f>
        <v>7700012</v>
      </c>
      <c r="Y60" t="s">
        <v>1357</v>
      </c>
      <c r="Z60" t="s">
        <v>1341</v>
      </c>
      <c r="AA60" t="s">
        <v>1342</v>
      </c>
      <c r="AB60" t="s">
        <v>1270</v>
      </c>
      <c r="AC60" t="s">
        <v>44</v>
      </c>
      <c r="AD60" t="s">
        <v>45</v>
      </c>
      <c r="AE60" s="1">
        <v>34591</v>
      </c>
      <c r="AF60">
        <v>1</v>
      </c>
      <c r="AG60" t="s">
        <v>1342</v>
      </c>
      <c r="AH60" s="36">
        <f t="shared" si="0"/>
        <v>24.627777777777776</v>
      </c>
      <c r="AI60" s="40" t="s">
        <v>1777</v>
      </c>
    </row>
    <row r="61" spans="1:35" x14ac:dyDescent="0.25">
      <c r="A61" s="36">
        <v>99910059</v>
      </c>
      <c r="B61" s="17" t="s">
        <v>32</v>
      </c>
      <c r="C61" t="s">
        <v>111</v>
      </c>
      <c r="D61" t="s">
        <v>112</v>
      </c>
      <c r="G61" s="17" t="s">
        <v>35</v>
      </c>
      <c r="H61" s="17">
        <v>1</v>
      </c>
      <c r="I61" t="s">
        <v>1647</v>
      </c>
      <c r="J61" s="1">
        <v>43360</v>
      </c>
      <c r="K61" t="s">
        <v>1619</v>
      </c>
      <c r="L61" t="s">
        <v>1620</v>
      </c>
      <c r="M61" t="s">
        <v>1592</v>
      </c>
      <c r="N61">
        <v>24</v>
      </c>
      <c r="O61" t="s">
        <v>40</v>
      </c>
      <c r="S61" t="s">
        <v>40</v>
      </c>
      <c r="U61" s="1">
        <v>43360</v>
      </c>
      <c r="V61" t="s">
        <v>41</v>
      </c>
      <c r="W61" t="s">
        <v>75</v>
      </c>
      <c r="X61" t="str">
        <f>"7281000"</f>
        <v>7281000</v>
      </c>
      <c r="Y61" t="s">
        <v>1648</v>
      </c>
      <c r="Z61" t="s">
        <v>1619</v>
      </c>
      <c r="AA61" t="s">
        <v>1620</v>
      </c>
      <c r="AB61" t="s">
        <v>1592</v>
      </c>
      <c r="AC61" t="s">
        <v>44</v>
      </c>
      <c r="AD61" t="s">
        <v>45</v>
      </c>
      <c r="AE61" s="1">
        <v>34551</v>
      </c>
      <c r="AF61">
        <v>1</v>
      </c>
      <c r="AG61" t="s">
        <v>1620</v>
      </c>
      <c r="AH61" s="36">
        <f t="shared" si="0"/>
        <v>24.738888888888887</v>
      </c>
      <c r="AI61" s="40" t="s">
        <v>1777</v>
      </c>
    </row>
    <row r="62" spans="1:35" x14ac:dyDescent="0.25">
      <c r="A62" s="36">
        <v>99910060</v>
      </c>
      <c r="B62" s="17" t="s">
        <v>32</v>
      </c>
      <c r="C62" t="s">
        <v>64</v>
      </c>
      <c r="D62" t="s">
        <v>65</v>
      </c>
      <c r="G62" s="17" t="s">
        <v>35</v>
      </c>
      <c r="H62" s="17">
        <v>1</v>
      </c>
      <c r="I62" s="1">
        <v>43361</v>
      </c>
      <c r="J62" s="1">
        <v>43344</v>
      </c>
      <c r="K62" t="s">
        <v>1341</v>
      </c>
      <c r="L62" t="s">
        <v>1342</v>
      </c>
      <c r="M62" t="s">
        <v>1270</v>
      </c>
      <c r="N62">
        <v>8</v>
      </c>
      <c r="O62" t="s">
        <v>40</v>
      </c>
      <c r="S62" t="s">
        <v>40</v>
      </c>
      <c r="U62" s="1">
        <v>43344</v>
      </c>
      <c r="V62" t="s">
        <v>41</v>
      </c>
      <c r="W62" t="s">
        <v>75</v>
      </c>
      <c r="X62" t="str">
        <f>"7191034"</f>
        <v>7191034</v>
      </c>
      <c r="Y62" t="s">
        <v>1343</v>
      </c>
      <c r="Z62" t="s">
        <v>1341</v>
      </c>
      <c r="AA62" t="s">
        <v>1342</v>
      </c>
      <c r="AB62" t="s">
        <v>1270</v>
      </c>
      <c r="AC62" t="s">
        <v>44</v>
      </c>
      <c r="AD62" t="s">
        <v>45</v>
      </c>
      <c r="AE62" s="1">
        <v>34544</v>
      </c>
      <c r="AF62">
        <v>1</v>
      </c>
      <c r="AG62" t="s">
        <v>1342</v>
      </c>
      <c r="AH62" s="36">
        <f t="shared" si="0"/>
        <v>24.758333333333333</v>
      </c>
      <c r="AI62" s="40" t="s">
        <v>1777</v>
      </c>
    </row>
    <row r="63" spans="1:35" x14ac:dyDescent="0.25">
      <c r="A63" s="36">
        <v>99910061</v>
      </c>
      <c r="B63" s="17" t="s">
        <v>32</v>
      </c>
      <c r="C63" t="s">
        <v>90</v>
      </c>
      <c r="D63" t="s">
        <v>91</v>
      </c>
      <c r="G63" s="17" t="s">
        <v>35</v>
      </c>
      <c r="H63" s="17">
        <v>1</v>
      </c>
      <c r="I63">
        <v>10602</v>
      </c>
      <c r="J63" s="1">
        <v>43344</v>
      </c>
      <c r="K63" t="s">
        <v>354</v>
      </c>
      <c r="L63" t="s">
        <v>355</v>
      </c>
      <c r="M63" t="s">
        <v>131</v>
      </c>
      <c r="N63">
        <v>25</v>
      </c>
      <c r="O63" t="s">
        <v>40</v>
      </c>
      <c r="P63" t="s">
        <v>40</v>
      </c>
      <c r="Q63" t="s">
        <v>40</v>
      </c>
      <c r="S63" t="s">
        <v>40</v>
      </c>
      <c r="U63" s="1">
        <v>43344</v>
      </c>
      <c r="V63" t="s">
        <v>41</v>
      </c>
      <c r="W63" t="s">
        <v>95</v>
      </c>
      <c r="X63" t="str">
        <f>"7054161"</f>
        <v>7054161</v>
      </c>
      <c r="Y63" t="s">
        <v>861</v>
      </c>
      <c r="Z63" t="s">
        <v>354</v>
      </c>
      <c r="AA63" t="s">
        <v>355</v>
      </c>
      <c r="AB63" t="s">
        <v>131</v>
      </c>
      <c r="AC63" t="s">
        <v>44</v>
      </c>
      <c r="AD63" t="s">
        <v>45</v>
      </c>
      <c r="AE63" s="1">
        <v>34524</v>
      </c>
      <c r="AF63">
        <v>1</v>
      </c>
      <c r="AG63" t="s">
        <v>355</v>
      </c>
      <c r="AH63" s="36">
        <f t="shared" si="0"/>
        <v>24.81388888888889</v>
      </c>
      <c r="AI63" s="40" t="s">
        <v>1777</v>
      </c>
    </row>
    <row r="64" spans="1:35" x14ac:dyDescent="0.25">
      <c r="A64" s="36">
        <v>99910062</v>
      </c>
      <c r="B64" s="17" t="s">
        <v>32</v>
      </c>
      <c r="C64" t="s">
        <v>136</v>
      </c>
      <c r="D64" t="s">
        <v>137</v>
      </c>
      <c r="G64" s="17" t="s">
        <v>35</v>
      </c>
      <c r="H64" s="17">
        <v>1</v>
      </c>
      <c r="I64" t="s">
        <v>1014</v>
      </c>
      <c r="J64" s="1">
        <v>43384</v>
      </c>
      <c r="K64" t="s">
        <v>963</v>
      </c>
      <c r="L64" t="s">
        <v>964</v>
      </c>
      <c r="M64" t="s">
        <v>938</v>
      </c>
      <c r="N64">
        <v>19</v>
      </c>
      <c r="O64" t="s">
        <v>40</v>
      </c>
      <c r="S64" t="s">
        <v>40</v>
      </c>
      <c r="U64" s="1">
        <v>43384</v>
      </c>
      <c r="V64" t="s">
        <v>41</v>
      </c>
      <c r="W64" t="s">
        <v>75</v>
      </c>
      <c r="X64" t="str">
        <f>"7061000"</f>
        <v>7061000</v>
      </c>
      <c r="Y64" t="s">
        <v>962</v>
      </c>
      <c r="Z64" t="s">
        <v>963</v>
      </c>
      <c r="AA64" t="s">
        <v>964</v>
      </c>
      <c r="AB64" t="s">
        <v>938</v>
      </c>
      <c r="AC64" t="s">
        <v>55</v>
      </c>
      <c r="AD64" t="s">
        <v>45</v>
      </c>
      <c r="AE64" s="1">
        <v>34512</v>
      </c>
      <c r="AF64">
        <v>1</v>
      </c>
      <c r="AG64" t="s">
        <v>964</v>
      </c>
      <c r="AH64" s="36">
        <f t="shared" si="0"/>
        <v>24.847222222222221</v>
      </c>
      <c r="AI64" s="40" t="s">
        <v>1777</v>
      </c>
    </row>
    <row r="65" spans="1:35" x14ac:dyDescent="0.25">
      <c r="A65" s="36">
        <v>99910063</v>
      </c>
      <c r="B65" s="17" t="s">
        <v>32</v>
      </c>
      <c r="C65" t="s">
        <v>111</v>
      </c>
      <c r="D65" t="s">
        <v>112</v>
      </c>
      <c r="G65" s="17" t="s">
        <v>35</v>
      </c>
      <c r="H65" s="17">
        <v>1</v>
      </c>
      <c r="I65" t="s">
        <v>1663</v>
      </c>
      <c r="J65" s="1">
        <v>43344</v>
      </c>
      <c r="K65" t="s">
        <v>1619</v>
      </c>
      <c r="L65" t="s">
        <v>1620</v>
      </c>
      <c r="M65" t="s">
        <v>1592</v>
      </c>
      <c r="N65">
        <v>24</v>
      </c>
      <c r="O65" t="s">
        <v>40</v>
      </c>
      <c r="P65" t="s">
        <v>40</v>
      </c>
      <c r="Q65" t="s">
        <v>40</v>
      </c>
      <c r="S65" t="s">
        <v>40</v>
      </c>
      <c r="U65" s="1">
        <v>43344</v>
      </c>
      <c r="V65" t="s">
        <v>41</v>
      </c>
      <c r="W65" t="s">
        <v>75</v>
      </c>
      <c r="X65" t="str">
        <f>"7281004"</f>
        <v>7281004</v>
      </c>
      <c r="Y65" t="s">
        <v>1651</v>
      </c>
      <c r="Z65" t="s">
        <v>1619</v>
      </c>
      <c r="AA65" t="s">
        <v>1620</v>
      </c>
      <c r="AB65" t="s">
        <v>1592</v>
      </c>
      <c r="AC65" t="s">
        <v>44</v>
      </c>
      <c r="AD65" t="s">
        <v>45</v>
      </c>
      <c r="AE65" s="1">
        <v>34499</v>
      </c>
      <c r="AF65">
        <v>1</v>
      </c>
      <c r="AG65" t="s">
        <v>1620</v>
      </c>
      <c r="AH65" s="36">
        <f t="shared" si="0"/>
        <v>24.883333333333333</v>
      </c>
      <c r="AI65" s="40" t="s">
        <v>1777</v>
      </c>
    </row>
    <row r="66" spans="1:35" x14ac:dyDescent="0.25">
      <c r="A66" s="36">
        <v>99910064</v>
      </c>
      <c r="B66" s="17" t="s">
        <v>32</v>
      </c>
      <c r="C66" t="s">
        <v>111</v>
      </c>
      <c r="D66" t="s">
        <v>112</v>
      </c>
      <c r="G66" s="17" t="s">
        <v>35</v>
      </c>
      <c r="H66" s="17">
        <v>1</v>
      </c>
      <c r="I66" t="s">
        <v>738</v>
      </c>
      <c r="J66" s="1">
        <v>43354</v>
      </c>
      <c r="K66" t="s">
        <v>268</v>
      </c>
      <c r="L66" t="s">
        <v>269</v>
      </c>
      <c r="M66" t="s">
        <v>131</v>
      </c>
      <c r="N66">
        <v>24</v>
      </c>
      <c r="O66" t="s">
        <v>40</v>
      </c>
      <c r="S66" t="s">
        <v>40</v>
      </c>
      <c r="U66" s="1">
        <v>43354</v>
      </c>
      <c r="V66" t="s">
        <v>41</v>
      </c>
      <c r="W66" t="s">
        <v>75</v>
      </c>
      <c r="X66" t="str">
        <f>"7052028"</f>
        <v>7052028</v>
      </c>
      <c r="Y66" t="s">
        <v>601</v>
      </c>
      <c r="Z66" t="s">
        <v>268</v>
      </c>
      <c r="AA66" t="s">
        <v>269</v>
      </c>
      <c r="AB66" t="s">
        <v>131</v>
      </c>
      <c r="AC66" t="s">
        <v>44</v>
      </c>
      <c r="AD66" t="s">
        <v>45</v>
      </c>
      <c r="AE66" s="1">
        <v>34474</v>
      </c>
      <c r="AF66">
        <v>1</v>
      </c>
      <c r="AG66" t="s">
        <v>269</v>
      </c>
      <c r="AH66" s="36">
        <f t="shared" ref="AH66:AH129" si="1">($AJ$1-AE66)/360</f>
        <v>24.952777777777779</v>
      </c>
      <c r="AI66" s="40" t="s">
        <v>1777</v>
      </c>
    </row>
    <row r="67" spans="1:35" x14ac:dyDescent="0.25">
      <c r="A67" s="36">
        <v>99910065</v>
      </c>
      <c r="B67" s="17" t="s">
        <v>32</v>
      </c>
      <c r="C67" t="s">
        <v>85</v>
      </c>
      <c r="D67" t="s">
        <v>86</v>
      </c>
      <c r="G67" s="17" t="s">
        <v>35</v>
      </c>
      <c r="H67" s="17">
        <v>1</v>
      </c>
      <c r="I67">
        <v>19786</v>
      </c>
      <c r="J67" s="1">
        <v>43378</v>
      </c>
      <c r="K67" t="s">
        <v>223</v>
      </c>
      <c r="L67" t="s">
        <v>224</v>
      </c>
      <c r="M67" t="s">
        <v>131</v>
      </c>
      <c r="N67">
        <v>15</v>
      </c>
      <c r="O67" t="s">
        <v>40</v>
      </c>
      <c r="S67" t="s">
        <v>40</v>
      </c>
      <c r="U67" s="1">
        <v>43378</v>
      </c>
      <c r="V67" t="s">
        <v>41</v>
      </c>
      <c r="W67" t="s">
        <v>42</v>
      </c>
      <c r="X67" t="str">
        <f>"0580204"</f>
        <v>0580204</v>
      </c>
      <c r="Y67" t="s">
        <v>235</v>
      </c>
      <c r="Z67" t="s">
        <v>223</v>
      </c>
      <c r="AA67" t="s">
        <v>224</v>
      </c>
      <c r="AB67" t="s">
        <v>131</v>
      </c>
      <c r="AC67" t="s">
        <v>55</v>
      </c>
      <c r="AD67" t="s">
        <v>45</v>
      </c>
      <c r="AE67" s="1">
        <v>34471</v>
      </c>
      <c r="AF67">
        <v>2</v>
      </c>
      <c r="AG67" t="s">
        <v>224</v>
      </c>
      <c r="AH67" s="36">
        <f t="shared" si="1"/>
        <v>24.961111111111112</v>
      </c>
      <c r="AI67" s="40" t="s">
        <v>1777</v>
      </c>
    </row>
    <row r="68" spans="1:35" x14ac:dyDescent="0.25">
      <c r="A68" s="36">
        <v>99910066</v>
      </c>
      <c r="B68" s="17" t="s">
        <v>32</v>
      </c>
      <c r="C68" t="s">
        <v>90</v>
      </c>
      <c r="D68" t="s">
        <v>91</v>
      </c>
      <c r="G68" s="17" t="s">
        <v>35</v>
      </c>
      <c r="H68" s="17">
        <v>1</v>
      </c>
      <c r="I68">
        <v>13331</v>
      </c>
      <c r="J68" s="1">
        <v>43344</v>
      </c>
      <c r="K68" t="s">
        <v>354</v>
      </c>
      <c r="L68" t="s">
        <v>355</v>
      </c>
      <c r="M68" t="s">
        <v>131</v>
      </c>
      <c r="N68">
        <v>25</v>
      </c>
      <c r="O68" t="s">
        <v>40</v>
      </c>
      <c r="S68" t="s">
        <v>40</v>
      </c>
      <c r="U68" s="1">
        <v>43344</v>
      </c>
      <c r="V68" t="s">
        <v>41</v>
      </c>
      <c r="W68" t="s">
        <v>95</v>
      </c>
      <c r="X68" t="str">
        <f>"7054113"</f>
        <v>7054113</v>
      </c>
      <c r="Y68" t="s">
        <v>817</v>
      </c>
      <c r="Z68" t="s">
        <v>354</v>
      </c>
      <c r="AA68" t="s">
        <v>355</v>
      </c>
      <c r="AB68" t="s">
        <v>131</v>
      </c>
      <c r="AC68" t="s">
        <v>44</v>
      </c>
      <c r="AD68" t="s">
        <v>45</v>
      </c>
      <c r="AE68" s="1">
        <v>34444</v>
      </c>
      <c r="AF68">
        <v>1</v>
      </c>
      <c r="AG68" t="s">
        <v>355</v>
      </c>
      <c r="AH68" s="36">
        <f t="shared" si="1"/>
        <v>25.036111111111111</v>
      </c>
      <c r="AI68" s="40" t="s">
        <v>1777</v>
      </c>
    </row>
    <row r="69" spans="1:35" x14ac:dyDescent="0.25">
      <c r="A69" s="36">
        <v>99910067</v>
      </c>
      <c r="B69" s="17" t="s">
        <v>32</v>
      </c>
      <c r="C69" t="s">
        <v>90</v>
      </c>
      <c r="D69" t="s">
        <v>91</v>
      </c>
      <c r="G69" s="17" t="s">
        <v>35</v>
      </c>
      <c r="H69" s="17">
        <v>1</v>
      </c>
      <c r="I69">
        <v>15590</v>
      </c>
      <c r="J69" s="1">
        <v>43346</v>
      </c>
      <c r="K69" t="s">
        <v>877</v>
      </c>
      <c r="L69" t="s">
        <v>878</v>
      </c>
      <c r="M69" t="s">
        <v>131</v>
      </c>
      <c r="N69">
        <v>22</v>
      </c>
      <c r="O69" t="s">
        <v>40</v>
      </c>
      <c r="S69" t="s">
        <v>40</v>
      </c>
      <c r="U69" s="1">
        <v>43346</v>
      </c>
      <c r="V69" t="s">
        <v>41</v>
      </c>
      <c r="W69" t="s">
        <v>95</v>
      </c>
      <c r="X69" t="str">
        <f>"7541095"</f>
        <v>7541095</v>
      </c>
      <c r="Y69" t="s">
        <v>901</v>
      </c>
      <c r="Z69" t="s">
        <v>877</v>
      </c>
      <c r="AA69" t="s">
        <v>878</v>
      </c>
      <c r="AB69" t="s">
        <v>131</v>
      </c>
      <c r="AC69" t="s">
        <v>44</v>
      </c>
      <c r="AD69" t="s">
        <v>45</v>
      </c>
      <c r="AE69" s="1">
        <v>34437</v>
      </c>
      <c r="AF69">
        <v>1</v>
      </c>
      <c r="AG69" t="s">
        <v>878</v>
      </c>
      <c r="AH69" s="36">
        <f t="shared" si="1"/>
        <v>25.055555555555557</v>
      </c>
      <c r="AI69" s="40" t="s">
        <v>1777</v>
      </c>
    </row>
    <row r="70" spans="1:35" x14ac:dyDescent="0.25">
      <c r="A70" s="36">
        <v>99910068</v>
      </c>
      <c r="B70" s="17" t="s">
        <v>32</v>
      </c>
      <c r="C70" t="s">
        <v>111</v>
      </c>
      <c r="D70" t="s">
        <v>112</v>
      </c>
      <c r="G70" s="17" t="s">
        <v>35</v>
      </c>
      <c r="H70" s="17">
        <v>1</v>
      </c>
      <c r="I70" t="s">
        <v>1239</v>
      </c>
      <c r="J70" s="1">
        <v>43354</v>
      </c>
      <c r="K70" t="s">
        <v>1221</v>
      </c>
      <c r="L70" t="s">
        <v>1222</v>
      </c>
      <c r="M70" t="s">
        <v>1130</v>
      </c>
      <c r="N70">
        <v>24</v>
      </c>
      <c r="O70" t="s">
        <v>40</v>
      </c>
      <c r="S70" t="s">
        <v>40</v>
      </c>
      <c r="U70" s="1">
        <v>43354</v>
      </c>
      <c r="V70" t="s">
        <v>41</v>
      </c>
      <c r="W70" t="s">
        <v>75</v>
      </c>
      <c r="X70" t="str">
        <f>"7351004"</f>
        <v>7351004</v>
      </c>
      <c r="Y70" t="s">
        <v>1225</v>
      </c>
      <c r="Z70" t="s">
        <v>1221</v>
      </c>
      <c r="AA70" t="s">
        <v>1222</v>
      </c>
      <c r="AB70" t="s">
        <v>1130</v>
      </c>
      <c r="AC70" t="s">
        <v>44</v>
      </c>
      <c r="AD70" t="s">
        <v>45</v>
      </c>
      <c r="AE70" s="1">
        <v>34422</v>
      </c>
      <c r="AF70">
        <v>1</v>
      </c>
      <c r="AG70" t="s">
        <v>1222</v>
      </c>
      <c r="AH70" s="36">
        <f t="shared" si="1"/>
        <v>25.097222222222221</v>
      </c>
      <c r="AI70" s="40" t="s">
        <v>1777</v>
      </c>
    </row>
    <row r="71" spans="1:35" x14ac:dyDescent="0.25">
      <c r="A71" s="36">
        <v>99910069</v>
      </c>
      <c r="B71" s="17" t="s">
        <v>56</v>
      </c>
      <c r="C71" t="s">
        <v>79</v>
      </c>
      <c r="D71" t="s">
        <v>80</v>
      </c>
      <c r="G71" s="17" t="s">
        <v>35</v>
      </c>
      <c r="H71" s="17">
        <v>1</v>
      </c>
      <c r="I71">
        <v>0</v>
      </c>
      <c r="J71" s="1">
        <v>43344</v>
      </c>
      <c r="K71" t="s">
        <v>223</v>
      </c>
      <c r="L71" t="s">
        <v>224</v>
      </c>
      <c r="M71" t="s">
        <v>131</v>
      </c>
      <c r="N71">
        <v>6</v>
      </c>
      <c r="O71" t="s">
        <v>40</v>
      </c>
      <c r="P71" t="s">
        <v>40</v>
      </c>
      <c r="Q71" t="s">
        <v>40</v>
      </c>
      <c r="R71" t="s">
        <v>40</v>
      </c>
      <c r="S71" t="s">
        <v>40</v>
      </c>
      <c r="U71" s="1">
        <v>43344</v>
      </c>
      <c r="V71" t="s">
        <v>41</v>
      </c>
      <c r="W71" t="s">
        <v>49</v>
      </c>
      <c r="X71" t="str">
        <f>"0560034"</f>
        <v>0560034</v>
      </c>
      <c r="Y71" t="s">
        <v>266</v>
      </c>
      <c r="Z71" t="s">
        <v>223</v>
      </c>
      <c r="AA71" t="s">
        <v>224</v>
      </c>
      <c r="AB71" t="s">
        <v>131</v>
      </c>
      <c r="AC71" t="s">
        <v>44</v>
      </c>
      <c r="AD71" t="s">
        <v>45</v>
      </c>
      <c r="AE71" s="1">
        <v>34408</v>
      </c>
      <c r="AF71">
        <v>2</v>
      </c>
      <c r="AG71" t="s">
        <v>224</v>
      </c>
      <c r="AH71" s="36">
        <f t="shared" si="1"/>
        <v>25.136111111111113</v>
      </c>
      <c r="AI71" s="40" t="s">
        <v>1777</v>
      </c>
    </row>
    <row r="72" spans="1:35" x14ac:dyDescent="0.25">
      <c r="A72" s="36">
        <v>99910070</v>
      </c>
      <c r="B72" s="17" t="s">
        <v>32</v>
      </c>
      <c r="C72" t="s">
        <v>90</v>
      </c>
      <c r="D72" t="s">
        <v>91</v>
      </c>
      <c r="G72" s="17" t="s">
        <v>35</v>
      </c>
      <c r="H72" s="17">
        <v>1</v>
      </c>
      <c r="I72">
        <v>10297</v>
      </c>
      <c r="J72" s="1">
        <v>43344</v>
      </c>
      <c r="K72" t="s">
        <v>1198</v>
      </c>
      <c r="L72" t="s">
        <v>1199</v>
      </c>
      <c r="M72" t="s">
        <v>1130</v>
      </c>
      <c r="N72">
        <v>24</v>
      </c>
      <c r="O72" t="s">
        <v>40</v>
      </c>
      <c r="S72" t="s">
        <v>40</v>
      </c>
      <c r="U72" s="1">
        <v>43344</v>
      </c>
      <c r="V72" t="s">
        <v>41</v>
      </c>
      <c r="W72" t="s">
        <v>95</v>
      </c>
      <c r="X72" t="str">
        <f>"7311025"</f>
        <v>7311025</v>
      </c>
      <c r="Y72" t="s">
        <v>1213</v>
      </c>
      <c r="Z72" t="s">
        <v>1198</v>
      </c>
      <c r="AA72" t="s">
        <v>1199</v>
      </c>
      <c r="AB72" t="s">
        <v>1130</v>
      </c>
      <c r="AC72" t="s">
        <v>44</v>
      </c>
      <c r="AD72" t="s">
        <v>45</v>
      </c>
      <c r="AE72" s="1">
        <v>34402</v>
      </c>
      <c r="AF72">
        <v>1</v>
      </c>
      <c r="AG72" t="s">
        <v>1199</v>
      </c>
      <c r="AH72" s="36">
        <f t="shared" si="1"/>
        <v>25.152777777777779</v>
      </c>
      <c r="AI72" s="40" t="s">
        <v>1777</v>
      </c>
    </row>
    <row r="73" spans="1:35" x14ac:dyDescent="0.25">
      <c r="A73" s="36">
        <v>99910071</v>
      </c>
      <c r="B73" s="17" t="s">
        <v>32</v>
      </c>
      <c r="C73" t="s">
        <v>90</v>
      </c>
      <c r="D73" t="s">
        <v>91</v>
      </c>
      <c r="G73" s="17" t="s">
        <v>35</v>
      </c>
      <c r="H73" s="17">
        <v>1</v>
      </c>
      <c r="K73" t="s">
        <v>1043</v>
      </c>
      <c r="L73" t="s">
        <v>1044</v>
      </c>
      <c r="M73" t="s">
        <v>1041</v>
      </c>
      <c r="N73">
        <v>25</v>
      </c>
      <c r="O73" t="s">
        <v>40</v>
      </c>
      <c r="Q73" t="s">
        <v>40</v>
      </c>
      <c r="S73" t="s">
        <v>40</v>
      </c>
      <c r="V73" t="s">
        <v>41</v>
      </c>
      <c r="W73" t="s">
        <v>95</v>
      </c>
      <c r="X73" t="str">
        <f>"7271009"</f>
        <v>7271009</v>
      </c>
      <c r="Y73" t="s">
        <v>1047</v>
      </c>
      <c r="Z73" t="s">
        <v>1043</v>
      </c>
      <c r="AA73" t="s">
        <v>1044</v>
      </c>
      <c r="AB73" t="s">
        <v>1041</v>
      </c>
      <c r="AC73" t="s">
        <v>44</v>
      </c>
      <c r="AD73" t="s">
        <v>45</v>
      </c>
      <c r="AE73" s="1">
        <v>34365</v>
      </c>
      <c r="AF73">
        <v>1</v>
      </c>
      <c r="AG73" t="s">
        <v>1044</v>
      </c>
      <c r="AH73" s="36">
        <f t="shared" si="1"/>
        <v>25.255555555555556</v>
      </c>
      <c r="AI73" s="40" t="s">
        <v>1777</v>
      </c>
    </row>
    <row r="74" spans="1:35" x14ac:dyDescent="0.25">
      <c r="A74" s="36">
        <v>99910072</v>
      </c>
      <c r="B74" s="17" t="s">
        <v>32</v>
      </c>
      <c r="C74" t="s">
        <v>90</v>
      </c>
      <c r="D74" t="s">
        <v>91</v>
      </c>
      <c r="G74" s="17" t="s">
        <v>35</v>
      </c>
      <c r="H74" s="17">
        <v>1</v>
      </c>
      <c r="I74">
        <v>21600</v>
      </c>
      <c r="J74" s="1">
        <v>43344</v>
      </c>
      <c r="K74" t="s">
        <v>1483</v>
      </c>
      <c r="L74" t="s">
        <v>1484</v>
      </c>
      <c r="M74" t="s">
        <v>1270</v>
      </c>
      <c r="N74">
        <v>25</v>
      </c>
      <c r="O74" t="s">
        <v>40</v>
      </c>
      <c r="S74" t="s">
        <v>40</v>
      </c>
      <c r="U74" s="1">
        <v>43344</v>
      </c>
      <c r="V74" t="s">
        <v>41</v>
      </c>
      <c r="W74" t="s">
        <v>95</v>
      </c>
      <c r="X74" t="str">
        <f>"7441001"</f>
        <v>7441001</v>
      </c>
      <c r="Y74" t="s">
        <v>1485</v>
      </c>
      <c r="Z74" t="s">
        <v>1483</v>
      </c>
      <c r="AA74" t="s">
        <v>1484</v>
      </c>
      <c r="AB74" t="s">
        <v>1270</v>
      </c>
      <c r="AC74" t="s">
        <v>51</v>
      </c>
      <c r="AD74" t="s">
        <v>45</v>
      </c>
      <c r="AE74" s="1">
        <v>34344</v>
      </c>
      <c r="AF74">
        <v>1</v>
      </c>
      <c r="AG74" t="s">
        <v>1484</v>
      </c>
      <c r="AH74" s="36">
        <f t="shared" si="1"/>
        <v>25.31388888888889</v>
      </c>
      <c r="AI74" s="40" t="s">
        <v>1777</v>
      </c>
    </row>
    <row r="75" spans="1:35" x14ac:dyDescent="0.25">
      <c r="A75" s="36">
        <v>99910073</v>
      </c>
      <c r="B75" s="17" t="s">
        <v>32</v>
      </c>
      <c r="C75" t="s">
        <v>64</v>
      </c>
      <c r="D75" t="s">
        <v>65</v>
      </c>
      <c r="G75" s="17" t="s">
        <v>35</v>
      </c>
      <c r="H75" s="17">
        <v>1</v>
      </c>
      <c r="I75">
        <v>0</v>
      </c>
      <c r="J75" s="1">
        <v>43344</v>
      </c>
      <c r="K75" t="s">
        <v>223</v>
      </c>
      <c r="L75" t="s">
        <v>224</v>
      </c>
      <c r="M75" t="s">
        <v>131</v>
      </c>
      <c r="N75">
        <v>24</v>
      </c>
      <c r="O75" t="s">
        <v>40</v>
      </c>
      <c r="S75" t="s">
        <v>40</v>
      </c>
      <c r="U75" s="1">
        <v>43344</v>
      </c>
      <c r="V75" t="s">
        <v>41</v>
      </c>
      <c r="W75" t="s">
        <v>49</v>
      </c>
      <c r="X75" t="str">
        <f>"0581207"</f>
        <v>0581207</v>
      </c>
      <c r="Y75" t="s">
        <v>233</v>
      </c>
      <c r="Z75" t="s">
        <v>223</v>
      </c>
      <c r="AA75" t="s">
        <v>224</v>
      </c>
      <c r="AB75" t="s">
        <v>131</v>
      </c>
      <c r="AC75" t="s">
        <v>55</v>
      </c>
      <c r="AD75" t="s">
        <v>45</v>
      </c>
      <c r="AE75" s="1">
        <v>34336</v>
      </c>
      <c r="AF75">
        <v>2</v>
      </c>
      <c r="AG75" t="s">
        <v>224</v>
      </c>
      <c r="AH75" s="36">
        <f t="shared" si="1"/>
        <v>25.336111111111112</v>
      </c>
      <c r="AI75" s="40" t="s">
        <v>1777</v>
      </c>
    </row>
    <row r="76" spans="1:35" x14ac:dyDescent="0.25">
      <c r="A76" s="36">
        <v>99910074</v>
      </c>
      <c r="B76" s="17" t="s">
        <v>32</v>
      </c>
      <c r="C76" t="s">
        <v>90</v>
      </c>
      <c r="D76" t="s">
        <v>91</v>
      </c>
      <c r="G76" s="17" t="s">
        <v>35</v>
      </c>
      <c r="H76" s="17">
        <v>1</v>
      </c>
      <c r="I76" t="s">
        <v>874</v>
      </c>
      <c r="J76" s="1">
        <v>43344</v>
      </c>
      <c r="K76" t="s">
        <v>865</v>
      </c>
      <c r="L76" t="s">
        <v>866</v>
      </c>
      <c r="M76" t="s">
        <v>131</v>
      </c>
      <c r="N76">
        <v>25</v>
      </c>
      <c r="O76" t="s">
        <v>40</v>
      </c>
      <c r="S76" t="s">
        <v>40</v>
      </c>
      <c r="U76" s="1">
        <v>43344</v>
      </c>
      <c r="V76" t="s">
        <v>41</v>
      </c>
      <c r="W76" t="s">
        <v>95</v>
      </c>
      <c r="X76" t="str">
        <f>"7531011"</f>
        <v>7531011</v>
      </c>
      <c r="Y76" t="s">
        <v>875</v>
      </c>
      <c r="Z76" t="s">
        <v>865</v>
      </c>
      <c r="AA76" t="s">
        <v>866</v>
      </c>
      <c r="AB76" t="s">
        <v>131</v>
      </c>
      <c r="AC76" t="s">
        <v>44</v>
      </c>
      <c r="AD76" t="s">
        <v>45</v>
      </c>
      <c r="AE76" s="1">
        <v>34335</v>
      </c>
      <c r="AF76">
        <v>1</v>
      </c>
      <c r="AG76" t="s">
        <v>866</v>
      </c>
      <c r="AH76" s="36">
        <f t="shared" si="1"/>
        <v>25.338888888888889</v>
      </c>
      <c r="AI76" s="40" t="s">
        <v>1777</v>
      </c>
    </row>
    <row r="77" spans="1:35" x14ac:dyDescent="0.25">
      <c r="A77" s="36">
        <v>99910075</v>
      </c>
      <c r="B77" s="17" t="s">
        <v>32</v>
      </c>
      <c r="C77" t="s">
        <v>111</v>
      </c>
      <c r="D77" t="s">
        <v>112</v>
      </c>
      <c r="G77" s="17" t="s">
        <v>35</v>
      </c>
      <c r="H77" s="17">
        <v>1</v>
      </c>
      <c r="I77" t="s">
        <v>1234</v>
      </c>
      <c r="J77" s="1">
        <v>43354</v>
      </c>
      <c r="K77" t="s">
        <v>1221</v>
      </c>
      <c r="L77" t="s">
        <v>1222</v>
      </c>
      <c r="M77" t="s">
        <v>1130</v>
      </c>
      <c r="N77">
        <v>14</v>
      </c>
      <c r="O77" t="s">
        <v>40</v>
      </c>
      <c r="S77" t="s">
        <v>40</v>
      </c>
      <c r="U77" s="1">
        <v>43354</v>
      </c>
      <c r="V77" t="s">
        <v>41</v>
      </c>
      <c r="W77" t="s">
        <v>75</v>
      </c>
      <c r="X77" t="str">
        <f>"7351004"</f>
        <v>7351004</v>
      </c>
      <c r="Y77" t="s">
        <v>1225</v>
      </c>
      <c r="Z77" t="s">
        <v>1221</v>
      </c>
      <c r="AA77" t="s">
        <v>1222</v>
      </c>
      <c r="AB77" t="s">
        <v>1130</v>
      </c>
      <c r="AC77" t="s">
        <v>44</v>
      </c>
      <c r="AD77" t="s">
        <v>45</v>
      </c>
      <c r="AE77" s="1">
        <v>34324</v>
      </c>
      <c r="AF77">
        <v>1</v>
      </c>
      <c r="AG77" t="s">
        <v>1222</v>
      </c>
      <c r="AH77" s="36">
        <f t="shared" si="1"/>
        <v>25.369444444444444</v>
      </c>
      <c r="AI77" s="40" t="s">
        <v>1777</v>
      </c>
    </row>
    <row r="78" spans="1:35" x14ac:dyDescent="0.25">
      <c r="A78" s="36">
        <v>99910076</v>
      </c>
      <c r="B78" s="17" t="s">
        <v>32</v>
      </c>
      <c r="C78" t="s">
        <v>90</v>
      </c>
      <c r="D78" t="s">
        <v>91</v>
      </c>
      <c r="G78" s="17" t="s">
        <v>35</v>
      </c>
      <c r="H78" s="17">
        <v>1</v>
      </c>
      <c r="I78" t="s">
        <v>286</v>
      </c>
      <c r="J78" s="1">
        <v>43344</v>
      </c>
      <c r="K78" t="s">
        <v>268</v>
      </c>
      <c r="L78" t="s">
        <v>269</v>
      </c>
      <c r="M78" t="s">
        <v>131</v>
      </c>
      <c r="N78">
        <v>30</v>
      </c>
      <c r="O78" t="s">
        <v>40</v>
      </c>
      <c r="S78" t="s">
        <v>40</v>
      </c>
      <c r="V78" t="s">
        <v>41</v>
      </c>
      <c r="W78" t="s">
        <v>95</v>
      </c>
      <c r="X78" t="str">
        <f>"7052207"</f>
        <v>7052207</v>
      </c>
      <c r="Y78" t="s">
        <v>716</v>
      </c>
      <c r="Z78" t="s">
        <v>268</v>
      </c>
      <c r="AA78" t="s">
        <v>269</v>
      </c>
      <c r="AB78" t="s">
        <v>131</v>
      </c>
      <c r="AC78" t="s">
        <v>44</v>
      </c>
      <c r="AD78" t="s">
        <v>45</v>
      </c>
      <c r="AE78" s="1">
        <v>34316</v>
      </c>
      <c r="AF78">
        <v>1</v>
      </c>
      <c r="AG78" t="s">
        <v>269</v>
      </c>
      <c r="AH78" s="36">
        <f t="shared" si="1"/>
        <v>25.391666666666666</v>
      </c>
      <c r="AI78" s="40" t="s">
        <v>1777</v>
      </c>
    </row>
    <row r="79" spans="1:35" x14ac:dyDescent="0.25">
      <c r="A79" s="36">
        <v>99910077</v>
      </c>
      <c r="B79" s="17" t="s">
        <v>32</v>
      </c>
      <c r="C79" t="s">
        <v>90</v>
      </c>
      <c r="D79" t="s">
        <v>91</v>
      </c>
      <c r="G79" s="17" t="s">
        <v>35</v>
      </c>
      <c r="H79" s="17">
        <v>1</v>
      </c>
      <c r="I79" t="s">
        <v>1474</v>
      </c>
      <c r="J79" s="1">
        <v>43355</v>
      </c>
      <c r="K79" t="s">
        <v>1334</v>
      </c>
      <c r="L79" t="s">
        <v>1335</v>
      </c>
      <c r="M79" t="s">
        <v>1270</v>
      </c>
      <c r="N79">
        <v>20</v>
      </c>
      <c r="O79" t="s">
        <v>40</v>
      </c>
      <c r="S79" t="s">
        <v>40</v>
      </c>
      <c r="U79" s="1">
        <v>43355</v>
      </c>
      <c r="V79" t="s">
        <v>41</v>
      </c>
      <c r="W79" t="s">
        <v>95</v>
      </c>
      <c r="X79" t="str">
        <f>"7391001"</f>
        <v>7391001</v>
      </c>
      <c r="Y79" t="s">
        <v>1468</v>
      </c>
      <c r="Z79" t="s">
        <v>1334</v>
      </c>
      <c r="AA79" t="s">
        <v>1335</v>
      </c>
      <c r="AB79" t="s">
        <v>1270</v>
      </c>
      <c r="AC79" t="s">
        <v>44</v>
      </c>
      <c r="AD79" t="s">
        <v>45</v>
      </c>
      <c r="AE79" s="1">
        <v>34311</v>
      </c>
      <c r="AF79">
        <v>1</v>
      </c>
      <c r="AG79" t="s">
        <v>1335</v>
      </c>
      <c r="AH79" s="36">
        <f t="shared" si="1"/>
        <v>25.405555555555555</v>
      </c>
      <c r="AI79" s="40" t="s">
        <v>1777</v>
      </c>
    </row>
    <row r="80" spans="1:35" x14ac:dyDescent="0.25">
      <c r="A80" s="36">
        <v>99910078</v>
      </c>
      <c r="B80" s="17" t="s">
        <v>32</v>
      </c>
      <c r="C80" t="s">
        <v>111</v>
      </c>
      <c r="D80" t="s">
        <v>112</v>
      </c>
      <c r="G80" s="17" t="s">
        <v>35</v>
      </c>
      <c r="H80" s="17">
        <v>1</v>
      </c>
      <c r="I80" t="s">
        <v>286</v>
      </c>
      <c r="J80" s="1">
        <v>43344</v>
      </c>
      <c r="K80" t="s">
        <v>268</v>
      </c>
      <c r="L80" t="s">
        <v>269</v>
      </c>
      <c r="M80" t="s">
        <v>131</v>
      </c>
      <c r="N80">
        <v>24</v>
      </c>
      <c r="O80" t="s">
        <v>40</v>
      </c>
      <c r="S80" t="s">
        <v>40</v>
      </c>
      <c r="V80" t="s">
        <v>41</v>
      </c>
      <c r="W80" t="s">
        <v>75</v>
      </c>
      <c r="X80" t="str">
        <f>"7052018"</f>
        <v>7052018</v>
      </c>
      <c r="Y80" t="s">
        <v>577</v>
      </c>
      <c r="Z80" t="s">
        <v>268</v>
      </c>
      <c r="AA80" t="s">
        <v>269</v>
      </c>
      <c r="AB80" t="s">
        <v>131</v>
      </c>
      <c r="AC80" t="s">
        <v>55</v>
      </c>
      <c r="AD80" t="s">
        <v>45</v>
      </c>
      <c r="AE80" s="1">
        <v>34310</v>
      </c>
      <c r="AF80">
        <v>1</v>
      </c>
      <c r="AG80" t="s">
        <v>269</v>
      </c>
      <c r="AH80" s="36">
        <f t="shared" si="1"/>
        <v>25.408333333333335</v>
      </c>
      <c r="AI80" s="40" t="s">
        <v>1777</v>
      </c>
    </row>
    <row r="81" spans="1:35" x14ac:dyDescent="0.25">
      <c r="A81" s="36">
        <v>99910079</v>
      </c>
      <c r="B81" s="17" t="s">
        <v>32</v>
      </c>
      <c r="C81" t="s">
        <v>90</v>
      </c>
      <c r="D81" t="s">
        <v>91</v>
      </c>
      <c r="G81" s="17" t="s">
        <v>35</v>
      </c>
      <c r="H81" s="17">
        <v>1</v>
      </c>
      <c r="I81" t="s">
        <v>1374</v>
      </c>
      <c r="J81" s="1">
        <v>43344</v>
      </c>
      <c r="K81" t="s">
        <v>1341</v>
      </c>
      <c r="L81" t="s">
        <v>1342</v>
      </c>
      <c r="M81" t="s">
        <v>1270</v>
      </c>
      <c r="N81">
        <v>24</v>
      </c>
      <c r="O81" t="s">
        <v>40</v>
      </c>
      <c r="S81" t="s">
        <v>40</v>
      </c>
      <c r="U81" s="1">
        <v>43344</v>
      </c>
      <c r="V81" t="s">
        <v>41</v>
      </c>
      <c r="W81" t="s">
        <v>95</v>
      </c>
      <c r="X81" t="str">
        <f>"7191043"</f>
        <v>7191043</v>
      </c>
      <c r="Y81" t="s">
        <v>1375</v>
      </c>
      <c r="Z81" t="s">
        <v>1341</v>
      </c>
      <c r="AA81" t="s">
        <v>1342</v>
      </c>
      <c r="AB81" t="s">
        <v>1270</v>
      </c>
      <c r="AC81" t="s">
        <v>44</v>
      </c>
      <c r="AD81" t="s">
        <v>45</v>
      </c>
      <c r="AE81" s="1">
        <v>34277</v>
      </c>
      <c r="AF81">
        <v>1</v>
      </c>
      <c r="AG81" t="s">
        <v>1342</v>
      </c>
      <c r="AH81" s="36">
        <f t="shared" si="1"/>
        <v>25.5</v>
      </c>
      <c r="AI81" s="40" t="s">
        <v>1777</v>
      </c>
    </row>
    <row r="82" spans="1:35" x14ac:dyDescent="0.25">
      <c r="A82" s="36">
        <v>99910080</v>
      </c>
      <c r="B82" s="17" t="s">
        <v>32</v>
      </c>
      <c r="C82" t="s">
        <v>111</v>
      </c>
      <c r="D82" t="s">
        <v>112</v>
      </c>
      <c r="G82" s="17" t="s">
        <v>35</v>
      </c>
      <c r="H82" s="17">
        <v>1</v>
      </c>
      <c r="K82" t="s">
        <v>431</v>
      </c>
      <c r="L82" t="s">
        <v>196</v>
      </c>
      <c r="M82" t="s">
        <v>131</v>
      </c>
      <c r="N82">
        <v>24</v>
      </c>
      <c r="O82" t="s">
        <v>40</v>
      </c>
      <c r="P82" t="s">
        <v>40</v>
      </c>
      <c r="Q82" t="s">
        <v>40</v>
      </c>
      <c r="S82" t="s">
        <v>40</v>
      </c>
      <c r="V82" t="s">
        <v>41</v>
      </c>
      <c r="W82" t="s">
        <v>75</v>
      </c>
      <c r="X82" t="str">
        <f>"7521060"</f>
        <v>7521060</v>
      </c>
      <c r="Y82" t="s">
        <v>501</v>
      </c>
      <c r="Z82" t="s">
        <v>431</v>
      </c>
      <c r="AA82" t="s">
        <v>196</v>
      </c>
      <c r="AB82" t="s">
        <v>131</v>
      </c>
      <c r="AC82" t="s">
        <v>44</v>
      </c>
      <c r="AD82" t="s">
        <v>45</v>
      </c>
      <c r="AE82" s="1">
        <v>34276</v>
      </c>
      <c r="AF82">
        <v>1</v>
      </c>
      <c r="AG82" t="s">
        <v>196</v>
      </c>
      <c r="AH82" s="36">
        <f t="shared" si="1"/>
        <v>25.502777777777776</v>
      </c>
      <c r="AI82" s="40" t="s">
        <v>1777</v>
      </c>
    </row>
    <row r="83" spans="1:35" x14ac:dyDescent="0.25">
      <c r="A83" s="36">
        <v>99910081</v>
      </c>
      <c r="B83" s="17" t="s">
        <v>32</v>
      </c>
      <c r="C83" t="s">
        <v>90</v>
      </c>
      <c r="D83" t="s">
        <v>91</v>
      </c>
      <c r="G83" s="17" t="s">
        <v>35</v>
      </c>
      <c r="H83" s="17">
        <v>1</v>
      </c>
      <c r="I83" t="s">
        <v>286</v>
      </c>
      <c r="J83" s="1">
        <v>43344</v>
      </c>
      <c r="K83" t="s">
        <v>268</v>
      </c>
      <c r="L83" t="s">
        <v>269</v>
      </c>
      <c r="M83" t="s">
        <v>131</v>
      </c>
      <c r="N83">
        <v>24</v>
      </c>
      <c r="O83" t="s">
        <v>40</v>
      </c>
      <c r="P83" t="s">
        <v>40</v>
      </c>
      <c r="Q83" t="s">
        <v>40</v>
      </c>
      <c r="R83" t="s">
        <v>40</v>
      </c>
      <c r="S83" t="s">
        <v>40</v>
      </c>
      <c r="U83" s="1">
        <v>43344</v>
      </c>
      <c r="V83" t="s">
        <v>41</v>
      </c>
      <c r="W83" t="s">
        <v>95</v>
      </c>
      <c r="X83" t="str">
        <f>"7052071"</f>
        <v>7052071</v>
      </c>
      <c r="Y83" t="s">
        <v>628</v>
      </c>
      <c r="Z83" t="s">
        <v>268</v>
      </c>
      <c r="AA83" t="s">
        <v>269</v>
      </c>
      <c r="AB83" t="s">
        <v>131</v>
      </c>
      <c r="AC83" t="s">
        <v>55</v>
      </c>
      <c r="AD83" t="s">
        <v>45</v>
      </c>
      <c r="AE83" s="1">
        <v>34275</v>
      </c>
      <c r="AF83">
        <v>1</v>
      </c>
      <c r="AG83" t="s">
        <v>269</v>
      </c>
      <c r="AH83" s="36">
        <f t="shared" si="1"/>
        <v>25.505555555555556</v>
      </c>
      <c r="AI83" s="40" t="s">
        <v>1777</v>
      </c>
    </row>
    <row r="84" spans="1:35" x14ac:dyDescent="0.25">
      <c r="A84" s="36">
        <v>99910082</v>
      </c>
      <c r="B84" s="17" t="s">
        <v>56</v>
      </c>
      <c r="C84" t="s">
        <v>111</v>
      </c>
      <c r="D84" t="s">
        <v>112</v>
      </c>
      <c r="G84" s="17" t="s">
        <v>35</v>
      </c>
      <c r="H84" s="17">
        <v>1</v>
      </c>
      <c r="I84">
        <v>0</v>
      </c>
      <c r="J84" s="1">
        <v>43344</v>
      </c>
      <c r="K84" t="s">
        <v>985</v>
      </c>
      <c r="L84" t="s">
        <v>986</v>
      </c>
      <c r="M84" t="s">
        <v>938</v>
      </c>
      <c r="N84">
        <v>24</v>
      </c>
      <c r="O84" t="s">
        <v>40</v>
      </c>
      <c r="S84" t="s">
        <v>40</v>
      </c>
      <c r="U84" s="1">
        <v>43344</v>
      </c>
      <c r="V84" t="s">
        <v>41</v>
      </c>
      <c r="W84" t="s">
        <v>75</v>
      </c>
      <c r="X84" t="str">
        <f>"7011004"</f>
        <v>7011004</v>
      </c>
      <c r="Y84" t="s">
        <v>987</v>
      </c>
      <c r="Z84" t="s">
        <v>985</v>
      </c>
      <c r="AA84" t="s">
        <v>986</v>
      </c>
      <c r="AB84" t="s">
        <v>938</v>
      </c>
      <c r="AC84" t="s">
        <v>44</v>
      </c>
      <c r="AD84" t="s">
        <v>45</v>
      </c>
      <c r="AE84" s="1">
        <v>34272</v>
      </c>
      <c r="AF84">
        <v>1</v>
      </c>
      <c r="AG84" t="s">
        <v>986</v>
      </c>
      <c r="AH84" s="36">
        <f t="shared" si="1"/>
        <v>25.513888888888889</v>
      </c>
      <c r="AI84" s="40" t="s">
        <v>1777</v>
      </c>
    </row>
    <row r="85" spans="1:35" x14ac:dyDescent="0.25">
      <c r="A85" s="36">
        <v>99910083</v>
      </c>
      <c r="B85" s="17" t="s">
        <v>32</v>
      </c>
      <c r="C85" t="s">
        <v>90</v>
      </c>
      <c r="D85" t="s">
        <v>91</v>
      </c>
      <c r="G85" s="17" t="s">
        <v>35</v>
      </c>
      <c r="H85" s="17">
        <v>1</v>
      </c>
      <c r="I85" t="s">
        <v>895</v>
      </c>
      <c r="J85" s="1">
        <v>43350</v>
      </c>
      <c r="K85" t="s">
        <v>877</v>
      </c>
      <c r="L85" t="s">
        <v>878</v>
      </c>
      <c r="M85" t="s">
        <v>131</v>
      </c>
      <c r="N85">
        <v>25</v>
      </c>
      <c r="O85" t="s">
        <v>40</v>
      </c>
      <c r="P85" t="s">
        <v>40</v>
      </c>
      <c r="Q85" t="s">
        <v>40</v>
      </c>
      <c r="R85" t="s">
        <v>40</v>
      </c>
      <c r="S85" t="s">
        <v>40</v>
      </c>
      <c r="U85" s="1">
        <v>43350</v>
      </c>
      <c r="V85" t="s">
        <v>41</v>
      </c>
      <c r="W85" t="s">
        <v>95</v>
      </c>
      <c r="X85" t="str">
        <f>"7541031"</f>
        <v>7541031</v>
      </c>
      <c r="Y85" t="s">
        <v>896</v>
      </c>
      <c r="Z85" t="s">
        <v>877</v>
      </c>
      <c r="AA85" t="s">
        <v>878</v>
      </c>
      <c r="AB85" t="s">
        <v>131</v>
      </c>
      <c r="AC85" t="s">
        <v>44</v>
      </c>
      <c r="AD85" t="s">
        <v>45</v>
      </c>
      <c r="AE85" s="1">
        <v>34270</v>
      </c>
      <c r="AF85">
        <v>1</v>
      </c>
      <c r="AG85" t="s">
        <v>878</v>
      </c>
      <c r="AH85" s="36">
        <f t="shared" si="1"/>
        <v>25.519444444444446</v>
      </c>
      <c r="AI85" s="40" t="s">
        <v>1777</v>
      </c>
    </row>
    <row r="86" spans="1:35" x14ac:dyDescent="0.25">
      <c r="A86" s="36">
        <v>99910084</v>
      </c>
      <c r="B86" s="17" t="s">
        <v>32</v>
      </c>
      <c r="C86" t="s">
        <v>111</v>
      </c>
      <c r="D86" t="s">
        <v>112</v>
      </c>
      <c r="G86" s="17" t="s">
        <v>35</v>
      </c>
      <c r="H86" s="17">
        <v>1</v>
      </c>
      <c r="I86">
        <v>10849</v>
      </c>
      <c r="J86" s="1">
        <v>43349</v>
      </c>
      <c r="K86" t="s">
        <v>1426</v>
      </c>
      <c r="L86" t="s">
        <v>1427</v>
      </c>
      <c r="M86" t="s">
        <v>1270</v>
      </c>
      <c r="N86">
        <v>24</v>
      </c>
      <c r="O86" t="s">
        <v>40</v>
      </c>
      <c r="S86" t="s">
        <v>40</v>
      </c>
      <c r="U86" s="1">
        <v>43349</v>
      </c>
      <c r="V86" t="s">
        <v>41</v>
      </c>
      <c r="W86" t="s">
        <v>75</v>
      </c>
      <c r="X86" t="str">
        <f>"7192004"</f>
        <v>7192004</v>
      </c>
      <c r="Y86" t="s">
        <v>1428</v>
      </c>
      <c r="Z86" t="s">
        <v>1426</v>
      </c>
      <c r="AA86" t="s">
        <v>1427</v>
      </c>
      <c r="AB86" t="s">
        <v>1270</v>
      </c>
      <c r="AC86" t="s">
        <v>44</v>
      </c>
      <c r="AD86" t="s">
        <v>45</v>
      </c>
      <c r="AE86" s="1">
        <v>34262</v>
      </c>
      <c r="AF86">
        <v>1</v>
      </c>
      <c r="AG86" t="s">
        <v>1427</v>
      </c>
      <c r="AH86" s="36">
        <f t="shared" si="1"/>
        <v>25.541666666666668</v>
      </c>
      <c r="AI86" s="40" t="s">
        <v>1777</v>
      </c>
    </row>
    <row r="87" spans="1:35" x14ac:dyDescent="0.25">
      <c r="A87" s="36">
        <v>99910085</v>
      </c>
      <c r="B87" s="17" t="s">
        <v>32</v>
      </c>
      <c r="C87" t="s">
        <v>90</v>
      </c>
      <c r="D87" t="s">
        <v>91</v>
      </c>
      <c r="G87" s="17" t="s">
        <v>35</v>
      </c>
      <c r="H87" s="17">
        <v>1</v>
      </c>
      <c r="I87">
        <v>16175</v>
      </c>
      <c r="J87" s="1">
        <v>43353</v>
      </c>
      <c r="K87" t="s">
        <v>877</v>
      </c>
      <c r="L87" t="s">
        <v>878</v>
      </c>
      <c r="M87" t="s">
        <v>131</v>
      </c>
      <c r="N87">
        <v>25</v>
      </c>
      <c r="O87" t="s">
        <v>40</v>
      </c>
      <c r="P87" t="s">
        <v>40</v>
      </c>
      <c r="Q87" t="s">
        <v>40</v>
      </c>
      <c r="S87" t="s">
        <v>40</v>
      </c>
      <c r="U87" s="1">
        <v>43353</v>
      </c>
      <c r="V87" t="s">
        <v>41</v>
      </c>
      <c r="W87" t="s">
        <v>95</v>
      </c>
      <c r="X87" t="str">
        <f>"7541009"</f>
        <v>7541009</v>
      </c>
      <c r="Y87" t="s">
        <v>910</v>
      </c>
      <c r="Z87" t="s">
        <v>877</v>
      </c>
      <c r="AA87" t="s">
        <v>878</v>
      </c>
      <c r="AB87" t="s">
        <v>131</v>
      </c>
      <c r="AC87" t="s">
        <v>44</v>
      </c>
      <c r="AD87" t="s">
        <v>45</v>
      </c>
      <c r="AE87" s="1">
        <v>34260</v>
      </c>
      <c r="AF87">
        <v>1</v>
      </c>
      <c r="AG87" t="s">
        <v>878</v>
      </c>
      <c r="AH87" s="36">
        <f t="shared" si="1"/>
        <v>25.547222222222221</v>
      </c>
      <c r="AI87" s="40" t="s">
        <v>1777</v>
      </c>
    </row>
    <row r="88" spans="1:35" x14ac:dyDescent="0.25">
      <c r="A88" s="36">
        <v>99910086</v>
      </c>
      <c r="B88" s="17" t="s">
        <v>56</v>
      </c>
      <c r="C88" t="s">
        <v>52</v>
      </c>
      <c r="D88" t="s">
        <v>53</v>
      </c>
      <c r="G88" s="17" t="s">
        <v>35</v>
      </c>
      <c r="H88" s="17">
        <v>1</v>
      </c>
      <c r="I88">
        <v>12819</v>
      </c>
      <c r="J88" s="1">
        <v>43417</v>
      </c>
      <c r="K88" t="s">
        <v>1325</v>
      </c>
      <c r="L88" t="s">
        <v>1326</v>
      </c>
      <c r="M88" t="s">
        <v>1270</v>
      </c>
      <c r="N88">
        <v>18</v>
      </c>
      <c r="O88" t="s">
        <v>40</v>
      </c>
      <c r="S88" t="s">
        <v>40</v>
      </c>
      <c r="U88" s="1">
        <v>43417</v>
      </c>
      <c r="X88" t="str">
        <f>""</f>
        <v/>
      </c>
      <c r="AA88" t="s">
        <v>1326</v>
      </c>
      <c r="AB88" t="s">
        <v>1270</v>
      </c>
      <c r="AC88" t="s">
        <v>44</v>
      </c>
      <c r="AD88" t="s">
        <v>45</v>
      </c>
      <c r="AE88" s="1">
        <v>34257</v>
      </c>
      <c r="AF88">
        <v>2</v>
      </c>
      <c r="AG88" t="s">
        <v>1326</v>
      </c>
      <c r="AH88" s="36">
        <f t="shared" si="1"/>
        <v>25.555555555555557</v>
      </c>
      <c r="AI88" s="40" t="s">
        <v>1777</v>
      </c>
    </row>
    <row r="89" spans="1:35" x14ac:dyDescent="0.25">
      <c r="A89" s="36">
        <v>99910087</v>
      </c>
      <c r="B89" s="17" t="s">
        <v>32</v>
      </c>
      <c r="C89" t="s">
        <v>111</v>
      </c>
      <c r="D89" t="s">
        <v>112</v>
      </c>
      <c r="G89" s="17" t="s">
        <v>35</v>
      </c>
      <c r="H89" s="17">
        <v>1</v>
      </c>
      <c r="I89">
        <v>1311</v>
      </c>
      <c r="J89" s="1">
        <v>43368</v>
      </c>
      <c r="K89" t="s">
        <v>77</v>
      </c>
      <c r="L89" t="s">
        <v>78</v>
      </c>
      <c r="M89" t="s">
        <v>39</v>
      </c>
      <c r="N89">
        <v>24</v>
      </c>
      <c r="O89" t="s">
        <v>40</v>
      </c>
      <c r="P89" t="s">
        <v>40</v>
      </c>
      <c r="Q89" t="s">
        <v>40</v>
      </c>
      <c r="S89" t="s">
        <v>40</v>
      </c>
      <c r="U89" s="1">
        <v>43368</v>
      </c>
      <c r="V89" t="s">
        <v>41</v>
      </c>
      <c r="W89" t="s">
        <v>75</v>
      </c>
      <c r="X89" t="str">
        <f>"7371000"</f>
        <v>7371000</v>
      </c>
      <c r="Y89" t="s">
        <v>76</v>
      </c>
      <c r="Z89" t="s">
        <v>77</v>
      </c>
      <c r="AA89" t="s">
        <v>78</v>
      </c>
      <c r="AB89" t="s">
        <v>39</v>
      </c>
      <c r="AC89" t="s">
        <v>44</v>
      </c>
      <c r="AD89" t="s">
        <v>45</v>
      </c>
      <c r="AE89" s="1">
        <v>34256</v>
      </c>
      <c r="AF89">
        <v>1</v>
      </c>
      <c r="AG89" t="s">
        <v>78</v>
      </c>
      <c r="AH89" s="36">
        <f t="shared" si="1"/>
        <v>25.558333333333334</v>
      </c>
      <c r="AI89" s="40" t="s">
        <v>1777</v>
      </c>
    </row>
    <row r="90" spans="1:35" x14ac:dyDescent="0.25">
      <c r="A90" s="36">
        <v>99910088</v>
      </c>
      <c r="B90" s="17" t="s">
        <v>56</v>
      </c>
      <c r="C90" t="s">
        <v>111</v>
      </c>
      <c r="D90" t="s">
        <v>112</v>
      </c>
      <c r="G90" s="17" t="s">
        <v>35</v>
      </c>
      <c r="H90" s="17">
        <v>1</v>
      </c>
      <c r="I90" t="s">
        <v>286</v>
      </c>
      <c r="J90" s="1">
        <v>43344</v>
      </c>
      <c r="K90" t="s">
        <v>268</v>
      </c>
      <c r="L90" t="s">
        <v>269</v>
      </c>
      <c r="M90" t="s">
        <v>131</v>
      </c>
      <c r="N90">
        <v>24</v>
      </c>
      <c r="O90" t="s">
        <v>40</v>
      </c>
      <c r="S90" t="s">
        <v>40</v>
      </c>
      <c r="U90" s="1">
        <v>43344</v>
      </c>
      <c r="V90" t="s">
        <v>41</v>
      </c>
      <c r="W90" t="s">
        <v>75</v>
      </c>
      <c r="X90" t="str">
        <f>"7052040"</f>
        <v>7052040</v>
      </c>
      <c r="Y90" t="s">
        <v>591</v>
      </c>
      <c r="Z90" t="s">
        <v>268</v>
      </c>
      <c r="AA90" t="s">
        <v>269</v>
      </c>
      <c r="AB90" t="s">
        <v>131</v>
      </c>
      <c r="AC90" t="s">
        <v>44</v>
      </c>
      <c r="AD90" t="s">
        <v>45</v>
      </c>
      <c r="AE90" s="1">
        <v>34256</v>
      </c>
      <c r="AF90">
        <v>1</v>
      </c>
      <c r="AG90" t="s">
        <v>269</v>
      </c>
      <c r="AH90" s="36">
        <f t="shared" si="1"/>
        <v>25.558333333333334</v>
      </c>
      <c r="AI90" s="40" t="s">
        <v>1777</v>
      </c>
    </row>
    <row r="91" spans="1:35" x14ac:dyDescent="0.25">
      <c r="A91" s="36">
        <v>99910089</v>
      </c>
      <c r="B91" s="17" t="s">
        <v>32</v>
      </c>
      <c r="C91" t="s">
        <v>111</v>
      </c>
      <c r="D91" t="s">
        <v>112</v>
      </c>
      <c r="G91" s="17" t="s">
        <v>35</v>
      </c>
      <c r="H91" s="17">
        <v>1</v>
      </c>
      <c r="I91" t="s">
        <v>1540</v>
      </c>
      <c r="J91" s="1">
        <v>43344</v>
      </c>
      <c r="K91" t="s">
        <v>667</v>
      </c>
      <c r="L91" t="s">
        <v>669</v>
      </c>
      <c r="M91" t="s">
        <v>670</v>
      </c>
      <c r="N91">
        <v>24</v>
      </c>
      <c r="O91" t="s">
        <v>40</v>
      </c>
      <c r="P91" t="s">
        <v>40</v>
      </c>
      <c r="Q91" t="s">
        <v>40</v>
      </c>
      <c r="R91" t="s">
        <v>40</v>
      </c>
      <c r="S91" t="s">
        <v>40</v>
      </c>
      <c r="U91" s="1">
        <v>43344</v>
      </c>
      <c r="V91" t="s">
        <v>41</v>
      </c>
      <c r="W91" t="s">
        <v>75</v>
      </c>
      <c r="X91" t="str">
        <f>"7501002"</f>
        <v>7501002</v>
      </c>
      <c r="Y91" t="s">
        <v>1519</v>
      </c>
      <c r="Z91" t="s">
        <v>667</v>
      </c>
      <c r="AA91" t="s">
        <v>669</v>
      </c>
      <c r="AB91" t="s">
        <v>670</v>
      </c>
      <c r="AC91" t="s">
        <v>51</v>
      </c>
      <c r="AD91" t="s">
        <v>45</v>
      </c>
      <c r="AE91" s="1">
        <v>34255</v>
      </c>
      <c r="AF91">
        <v>1</v>
      </c>
      <c r="AG91" t="s">
        <v>669</v>
      </c>
      <c r="AH91" s="36">
        <f t="shared" si="1"/>
        <v>25.56111111111111</v>
      </c>
      <c r="AI91" s="40" t="s">
        <v>1777</v>
      </c>
    </row>
    <row r="92" spans="1:35" x14ac:dyDescent="0.25">
      <c r="A92" s="36">
        <v>99910090</v>
      </c>
      <c r="B92" s="17" t="s">
        <v>32</v>
      </c>
      <c r="C92" t="s">
        <v>111</v>
      </c>
      <c r="D92" t="s">
        <v>112</v>
      </c>
      <c r="G92" s="17" t="s">
        <v>35</v>
      </c>
      <c r="H92" s="17">
        <v>1</v>
      </c>
      <c r="I92">
        <v>6771</v>
      </c>
      <c r="J92" s="1">
        <v>43344</v>
      </c>
      <c r="K92" t="s">
        <v>1198</v>
      </c>
      <c r="L92" t="s">
        <v>1199</v>
      </c>
      <c r="M92" t="s">
        <v>1130</v>
      </c>
      <c r="N92">
        <v>24</v>
      </c>
      <c r="O92" t="s">
        <v>40</v>
      </c>
      <c r="S92" t="s">
        <v>40</v>
      </c>
      <c r="U92" s="1">
        <v>43344</v>
      </c>
      <c r="V92" t="s">
        <v>41</v>
      </c>
      <c r="W92" t="s">
        <v>75</v>
      </c>
      <c r="X92" t="str">
        <f>"7311002"</f>
        <v>7311002</v>
      </c>
      <c r="Y92" t="s">
        <v>1203</v>
      </c>
      <c r="Z92" t="s">
        <v>1198</v>
      </c>
      <c r="AA92" t="s">
        <v>1199</v>
      </c>
      <c r="AB92" t="s">
        <v>1130</v>
      </c>
      <c r="AC92" t="s">
        <v>51</v>
      </c>
      <c r="AD92" t="s">
        <v>45</v>
      </c>
      <c r="AE92" s="1">
        <v>34252</v>
      </c>
      <c r="AF92">
        <v>1</v>
      </c>
      <c r="AG92" t="s">
        <v>1199</v>
      </c>
      <c r="AH92" s="36">
        <f t="shared" si="1"/>
        <v>25.569444444444443</v>
      </c>
      <c r="AI92" s="40" t="s">
        <v>1777</v>
      </c>
    </row>
    <row r="93" spans="1:35" x14ac:dyDescent="0.25">
      <c r="A93" s="36">
        <v>99910091</v>
      </c>
      <c r="B93" s="17" t="s">
        <v>32</v>
      </c>
      <c r="C93" t="s">
        <v>90</v>
      </c>
      <c r="D93" t="s">
        <v>91</v>
      </c>
      <c r="G93" s="17" t="s">
        <v>35</v>
      </c>
      <c r="H93" s="17">
        <v>1</v>
      </c>
      <c r="I93" t="s">
        <v>1405</v>
      </c>
      <c r="J93" s="1">
        <v>43353</v>
      </c>
      <c r="K93" t="s">
        <v>1341</v>
      </c>
      <c r="L93" t="s">
        <v>1342</v>
      </c>
      <c r="M93" t="s">
        <v>1270</v>
      </c>
      <c r="N93">
        <v>24</v>
      </c>
      <c r="O93" t="s">
        <v>40</v>
      </c>
      <c r="S93" t="s">
        <v>40</v>
      </c>
      <c r="U93" s="1">
        <v>43353</v>
      </c>
      <c r="V93" t="s">
        <v>41</v>
      </c>
      <c r="W93" t="s">
        <v>95</v>
      </c>
      <c r="X93" t="str">
        <f>"7191023"</f>
        <v>7191023</v>
      </c>
      <c r="Y93" t="s">
        <v>1412</v>
      </c>
      <c r="Z93" t="s">
        <v>1341</v>
      </c>
      <c r="AA93" t="s">
        <v>1342</v>
      </c>
      <c r="AB93" t="s">
        <v>1270</v>
      </c>
      <c r="AC93" t="s">
        <v>44</v>
      </c>
      <c r="AD93" t="s">
        <v>45</v>
      </c>
      <c r="AE93" s="1">
        <v>34246</v>
      </c>
      <c r="AF93">
        <v>1</v>
      </c>
      <c r="AG93" t="s">
        <v>1342</v>
      </c>
      <c r="AH93" s="36">
        <f t="shared" si="1"/>
        <v>25.586111111111112</v>
      </c>
      <c r="AI93" s="40" t="s">
        <v>1777</v>
      </c>
    </row>
    <row r="94" spans="1:35" x14ac:dyDescent="0.25">
      <c r="A94" s="36">
        <v>99910092</v>
      </c>
      <c r="B94" s="17" t="s">
        <v>32</v>
      </c>
      <c r="C94" t="s">
        <v>111</v>
      </c>
      <c r="D94" t="s">
        <v>112</v>
      </c>
      <c r="G94" s="17" t="s">
        <v>35</v>
      </c>
      <c r="H94" s="17">
        <v>1</v>
      </c>
      <c r="I94" s="1">
        <v>43349</v>
      </c>
      <c r="J94" s="1">
        <v>43349</v>
      </c>
      <c r="K94" t="s">
        <v>1341</v>
      </c>
      <c r="L94" t="s">
        <v>1342</v>
      </c>
      <c r="M94" t="s">
        <v>1270</v>
      </c>
      <c r="N94">
        <v>24</v>
      </c>
      <c r="O94" t="s">
        <v>40</v>
      </c>
      <c r="S94" t="s">
        <v>40</v>
      </c>
      <c r="U94" s="1">
        <v>43349</v>
      </c>
      <c r="V94" t="s">
        <v>41</v>
      </c>
      <c r="W94" t="s">
        <v>75</v>
      </c>
      <c r="X94" t="str">
        <f>"7191000"</f>
        <v>7191000</v>
      </c>
      <c r="Y94" t="s">
        <v>1347</v>
      </c>
      <c r="Z94" t="s">
        <v>1341</v>
      </c>
      <c r="AA94" t="s">
        <v>1342</v>
      </c>
      <c r="AB94" t="s">
        <v>1270</v>
      </c>
      <c r="AC94" t="s">
        <v>44</v>
      </c>
      <c r="AD94" t="s">
        <v>45</v>
      </c>
      <c r="AE94" s="1">
        <v>34245</v>
      </c>
      <c r="AF94">
        <v>1</v>
      </c>
      <c r="AG94" t="s">
        <v>1342</v>
      </c>
      <c r="AH94" s="36">
        <f t="shared" si="1"/>
        <v>25.588888888888889</v>
      </c>
      <c r="AI94" s="40" t="s">
        <v>1777</v>
      </c>
    </row>
    <row r="95" spans="1:35" x14ac:dyDescent="0.25">
      <c r="A95" s="36">
        <v>99910093</v>
      </c>
      <c r="B95" s="17" t="s">
        <v>32</v>
      </c>
      <c r="C95" t="s">
        <v>64</v>
      </c>
      <c r="D95" t="s">
        <v>65</v>
      </c>
      <c r="G95" s="17" t="s">
        <v>48</v>
      </c>
      <c r="H95" s="17">
        <v>1</v>
      </c>
      <c r="K95" t="s">
        <v>1496</v>
      </c>
      <c r="L95" t="s">
        <v>1497</v>
      </c>
      <c r="M95" t="s">
        <v>670</v>
      </c>
      <c r="N95">
        <v>22</v>
      </c>
      <c r="O95" t="s">
        <v>40</v>
      </c>
      <c r="P95" t="s">
        <v>40</v>
      </c>
      <c r="Q95" t="s">
        <v>40</v>
      </c>
      <c r="R95" t="s">
        <v>40</v>
      </c>
      <c r="S95" t="s">
        <v>40</v>
      </c>
      <c r="V95" t="s">
        <v>41</v>
      </c>
      <c r="W95" t="s">
        <v>75</v>
      </c>
      <c r="X95" t="str">
        <f>"7501004"</f>
        <v>7501004</v>
      </c>
      <c r="Y95" t="s">
        <v>1500</v>
      </c>
      <c r="Z95" t="s">
        <v>667</v>
      </c>
      <c r="AA95" t="s">
        <v>669</v>
      </c>
      <c r="AB95" t="s">
        <v>670</v>
      </c>
      <c r="AC95" t="s">
        <v>51</v>
      </c>
      <c r="AD95" t="s">
        <v>45</v>
      </c>
      <c r="AE95" s="1">
        <v>34243</v>
      </c>
      <c r="AF95">
        <v>2</v>
      </c>
      <c r="AG95" t="s">
        <v>1497</v>
      </c>
      <c r="AH95" s="36">
        <f t="shared" si="1"/>
        <v>25.594444444444445</v>
      </c>
      <c r="AI95" s="40" t="s">
        <v>1777</v>
      </c>
    </row>
    <row r="96" spans="1:35" x14ac:dyDescent="0.25">
      <c r="A96" s="36">
        <v>99910094</v>
      </c>
      <c r="B96" s="17" t="s">
        <v>32</v>
      </c>
      <c r="C96" t="s">
        <v>117</v>
      </c>
      <c r="D96" t="s">
        <v>118</v>
      </c>
      <c r="G96" s="17" t="s">
        <v>35</v>
      </c>
      <c r="H96" s="17">
        <v>1</v>
      </c>
      <c r="I96" t="s">
        <v>1575</v>
      </c>
      <c r="J96" s="1">
        <v>43344</v>
      </c>
      <c r="K96" t="s">
        <v>1564</v>
      </c>
      <c r="L96" t="s">
        <v>1565</v>
      </c>
      <c r="M96" t="s">
        <v>1548</v>
      </c>
      <c r="N96">
        <v>13</v>
      </c>
      <c r="O96" t="s">
        <v>40</v>
      </c>
      <c r="P96" t="s">
        <v>40</v>
      </c>
      <c r="Q96" t="s">
        <v>40</v>
      </c>
      <c r="R96" t="s">
        <v>40</v>
      </c>
      <c r="S96" t="s">
        <v>40</v>
      </c>
      <c r="U96" s="1">
        <v>43344</v>
      </c>
      <c r="V96" t="s">
        <v>41</v>
      </c>
      <c r="W96" t="s">
        <v>75</v>
      </c>
      <c r="X96" t="str">
        <f>"7101002"</f>
        <v>7101002</v>
      </c>
      <c r="Y96" t="s">
        <v>1563</v>
      </c>
      <c r="Z96" t="s">
        <v>1564</v>
      </c>
      <c r="AA96" t="s">
        <v>1565</v>
      </c>
      <c r="AB96" t="s">
        <v>1548</v>
      </c>
      <c r="AC96" t="s">
        <v>44</v>
      </c>
      <c r="AD96" t="s">
        <v>45</v>
      </c>
      <c r="AE96" s="1">
        <v>34243</v>
      </c>
      <c r="AF96">
        <v>1</v>
      </c>
      <c r="AG96" t="s">
        <v>1565</v>
      </c>
      <c r="AH96" s="36">
        <f t="shared" si="1"/>
        <v>25.594444444444445</v>
      </c>
      <c r="AI96" s="40" t="s">
        <v>1777</v>
      </c>
    </row>
    <row r="97" spans="1:35" x14ac:dyDescent="0.25">
      <c r="A97" s="36">
        <v>99910095</v>
      </c>
      <c r="B97" s="17" t="s">
        <v>32</v>
      </c>
      <c r="C97" t="s">
        <v>111</v>
      </c>
      <c r="D97" t="s">
        <v>112</v>
      </c>
      <c r="G97" s="17" t="s">
        <v>35</v>
      </c>
      <c r="H97" s="17">
        <v>1</v>
      </c>
      <c r="I97">
        <v>7464</v>
      </c>
      <c r="J97" s="1">
        <v>43344</v>
      </c>
      <c r="K97" t="s">
        <v>1198</v>
      </c>
      <c r="L97" t="s">
        <v>1199</v>
      </c>
      <c r="M97" t="s">
        <v>1130</v>
      </c>
      <c r="N97">
        <v>24</v>
      </c>
      <c r="O97" t="s">
        <v>40</v>
      </c>
      <c r="S97" t="s">
        <v>40</v>
      </c>
      <c r="U97" s="1">
        <v>43344</v>
      </c>
      <c r="V97" t="s">
        <v>41</v>
      </c>
      <c r="W97" t="s">
        <v>75</v>
      </c>
      <c r="X97" t="str">
        <f>"7311006"</f>
        <v>7311006</v>
      </c>
      <c r="Y97" t="s">
        <v>1200</v>
      </c>
      <c r="Z97" t="s">
        <v>1198</v>
      </c>
      <c r="AA97" t="s">
        <v>1199</v>
      </c>
      <c r="AB97" t="s">
        <v>1130</v>
      </c>
      <c r="AC97" t="s">
        <v>44</v>
      </c>
      <c r="AD97" t="s">
        <v>45</v>
      </c>
      <c r="AE97" s="1">
        <v>34206</v>
      </c>
      <c r="AF97">
        <v>1</v>
      </c>
      <c r="AG97" t="s">
        <v>1199</v>
      </c>
      <c r="AH97" s="36">
        <f t="shared" si="1"/>
        <v>25.697222222222223</v>
      </c>
      <c r="AI97" s="40" t="s">
        <v>1777</v>
      </c>
    </row>
    <row r="98" spans="1:35" x14ac:dyDescent="0.25">
      <c r="A98" s="36">
        <v>99910096</v>
      </c>
      <c r="B98" s="17" t="s">
        <v>32</v>
      </c>
      <c r="C98" t="s">
        <v>111</v>
      </c>
      <c r="D98" t="s">
        <v>112</v>
      </c>
      <c r="G98" s="17" t="s">
        <v>35</v>
      </c>
      <c r="H98" s="17">
        <v>1</v>
      </c>
      <c r="I98" t="s">
        <v>125</v>
      </c>
      <c r="J98" s="1">
        <v>43368</v>
      </c>
      <c r="K98" t="s">
        <v>77</v>
      </c>
      <c r="L98" t="s">
        <v>78</v>
      </c>
      <c r="M98" t="s">
        <v>39</v>
      </c>
      <c r="N98">
        <v>24</v>
      </c>
      <c r="O98" t="s">
        <v>40</v>
      </c>
      <c r="S98" t="s">
        <v>40</v>
      </c>
      <c r="U98" s="1">
        <v>43368</v>
      </c>
      <c r="V98" t="s">
        <v>41</v>
      </c>
      <c r="W98" t="s">
        <v>75</v>
      </c>
      <c r="X98" t="str">
        <f>"7371000"</f>
        <v>7371000</v>
      </c>
      <c r="Y98" t="s">
        <v>76</v>
      </c>
      <c r="Z98" t="s">
        <v>77</v>
      </c>
      <c r="AA98" t="s">
        <v>78</v>
      </c>
      <c r="AB98" t="s">
        <v>39</v>
      </c>
      <c r="AC98" t="s">
        <v>44</v>
      </c>
      <c r="AD98" t="s">
        <v>45</v>
      </c>
      <c r="AE98" s="1">
        <v>34158</v>
      </c>
      <c r="AF98">
        <v>1</v>
      </c>
      <c r="AG98" t="s">
        <v>78</v>
      </c>
      <c r="AH98" s="36">
        <f t="shared" si="1"/>
        <v>25.830555555555556</v>
      </c>
      <c r="AI98" s="40" t="s">
        <v>1777</v>
      </c>
    </row>
    <row r="99" spans="1:35" x14ac:dyDescent="0.25">
      <c r="A99" s="36">
        <v>99910097</v>
      </c>
      <c r="B99" s="17" t="s">
        <v>32</v>
      </c>
      <c r="C99" t="s">
        <v>111</v>
      </c>
      <c r="D99" t="s">
        <v>112</v>
      </c>
      <c r="G99" s="17" t="s">
        <v>35</v>
      </c>
      <c r="H99" s="17">
        <v>3</v>
      </c>
      <c r="K99" t="s">
        <v>1619</v>
      </c>
      <c r="L99" t="s">
        <v>1620</v>
      </c>
      <c r="M99" t="s">
        <v>1592</v>
      </c>
      <c r="N99">
        <v>15</v>
      </c>
      <c r="O99" t="s">
        <v>40</v>
      </c>
      <c r="P99" t="s">
        <v>40</v>
      </c>
      <c r="Q99" t="s">
        <v>40</v>
      </c>
      <c r="R99" t="s">
        <v>40</v>
      </c>
      <c r="S99" t="s">
        <v>40</v>
      </c>
      <c r="V99" t="s">
        <v>41</v>
      </c>
      <c r="W99" t="s">
        <v>75</v>
      </c>
      <c r="X99" t="str">
        <f>"7281002"</f>
        <v>7281002</v>
      </c>
      <c r="Y99" t="s">
        <v>1660</v>
      </c>
      <c r="Z99" t="s">
        <v>1619</v>
      </c>
      <c r="AA99" t="s">
        <v>1620</v>
      </c>
      <c r="AB99" t="s">
        <v>1592</v>
      </c>
      <c r="AC99" t="s">
        <v>44</v>
      </c>
      <c r="AD99" t="s">
        <v>45</v>
      </c>
      <c r="AE99" s="1">
        <v>34143</v>
      </c>
      <c r="AF99">
        <v>1</v>
      </c>
      <c r="AG99" t="s">
        <v>1620</v>
      </c>
      <c r="AH99" s="36">
        <f t="shared" si="1"/>
        <v>25.872222222222224</v>
      </c>
      <c r="AI99" s="40" t="s">
        <v>1777</v>
      </c>
    </row>
    <row r="100" spans="1:35" x14ac:dyDescent="0.25">
      <c r="A100" s="36">
        <v>99910098</v>
      </c>
      <c r="B100" s="17" t="s">
        <v>32</v>
      </c>
      <c r="C100" t="s">
        <v>111</v>
      </c>
      <c r="D100" t="s">
        <v>112</v>
      </c>
      <c r="G100" s="17" t="s">
        <v>35</v>
      </c>
      <c r="H100" s="17">
        <v>1</v>
      </c>
      <c r="I100">
        <v>11256</v>
      </c>
      <c r="J100" s="1">
        <v>43344</v>
      </c>
      <c r="K100" t="s">
        <v>354</v>
      </c>
      <c r="L100" t="s">
        <v>355</v>
      </c>
      <c r="M100" t="s">
        <v>131</v>
      </c>
      <c r="N100">
        <v>24</v>
      </c>
      <c r="O100" t="s">
        <v>40</v>
      </c>
      <c r="S100" t="s">
        <v>40</v>
      </c>
      <c r="U100" s="1">
        <v>43344</v>
      </c>
      <c r="V100" t="s">
        <v>41</v>
      </c>
      <c r="W100" t="s">
        <v>75</v>
      </c>
      <c r="X100" t="str">
        <f>"7054018"</f>
        <v>7054018</v>
      </c>
      <c r="Y100" t="s">
        <v>773</v>
      </c>
      <c r="Z100" t="s">
        <v>354</v>
      </c>
      <c r="AA100" t="s">
        <v>355</v>
      </c>
      <c r="AB100" t="s">
        <v>131</v>
      </c>
      <c r="AC100" t="s">
        <v>44</v>
      </c>
      <c r="AD100" t="s">
        <v>45</v>
      </c>
      <c r="AE100" s="1">
        <v>34142</v>
      </c>
      <c r="AF100">
        <v>1</v>
      </c>
      <c r="AG100" t="s">
        <v>355</v>
      </c>
      <c r="AH100" s="36">
        <f t="shared" si="1"/>
        <v>25.875</v>
      </c>
      <c r="AI100" s="40" t="s">
        <v>1777</v>
      </c>
    </row>
    <row r="101" spans="1:35" x14ac:dyDescent="0.25">
      <c r="A101" s="36">
        <v>99910099</v>
      </c>
      <c r="B101" s="17" t="s">
        <v>32</v>
      </c>
      <c r="C101" t="s">
        <v>111</v>
      </c>
      <c r="D101" t="s">
        <v>112</v>
      </c>
      <c r="G101" s="17" t="s">
        <v>35</v>
      </c>
      <c r="H101" s="17">
        <v>1</v>
      </c>
      <c r="I101">
        <v>4093</v>
      </c>
      <c r="J101" s="1">
        <v>43344</v>
      </c>
      <c r="K101" t="s">
        <v>877</v>
      </c>
      <c r="L101" t="s">
        <v>878</v>
      </c>
      <c r="M101" t="s">
        <v>131</v>
      </c>
      <c r="N101">
        <v>24</v>
      </c>
      <c r="O101" t="s">
        <v>40</v>
      </c>
      <c r="S101" t="s">
        <v>40</v>
      </c>
      <c r="U101" s="1">
        <v>43344</v>
      </c>
      <c r="V101" t="s">
        <v>41</v>
      </c>
      <c r="W101" t="s">
        <v>75</v>
      </c>
      <c r="X101" t="str">
        <f>"7541020"</f>
        <v>7541020</v>
      </c>
      <c r="Y101" t="s">
        <v>882</v>
      </c>
      <c r="Z101" t="s">
        <v>877</v>
      </c>
      <c r="AA101" t="s">
        <v>878</v>
      </c>
      <c r="AB101" t="s">
        <v>131</v>
      </c>
      <c r="AC101" t="s">
        <v>51</v>
      </c>
      <c r="AD101" t="s">
        <v>45</v>
      </c>
      <c r="AE101" s="1">
        <v>34139</v>
      </c>
      <c r="AF101">
        <v>1</v>
      </c>
      <c r="AG101" t="s">
        <v>878</v>
      </c>
      <c r="AH101" s="36">
        <f t="shared" si="1"/>
        <v>25.883333333333333</v>
      </c>
      <c r="AI101" s="40" t="s">
        <v>1777</v>
      </c>
    </row>
    <row r="102" spans="1:35" x14ac:dyDescent="0.25">
      <c r="A102" s="36">
        <v>99910100</v>
      </c>
      <c r="B102" s="17" t="s">
        <v>56</v>
      </c>
      <c r="C102" t="s">
        <v>111</v>
      </c>
      <c r="D102" t="s">
        <v>112</v>
      </c>
      <c r="G102" s="17" t="s">
        <v>35</v>
      </c>
      <c r="H102" s="17">
        <v>1</v>
      </c>
      <c r="I102" s="1">
        <v>43344</v>
      </c>
      <c r="J102" s="1">
        <v>43344</v>
      </c>
      <c r="K102" t="s">
        <v>1341</v>
      </c>
      <c r="L102" t="s">
        <v>1342</v>
      </c>
      <c r="M102" t="s">
        <v>1270</v>
      </c>
      <c r="N102">
        <v>24</v>
      </c>
      <c r="O102" t="s">
        <v>40</v>
      </c>
      <c r="S102" t="s">
        <v>40</v>
      </c>
      <c r="U102" s="1">
        <v>43344</v>
      </c>
      <c r="V102" t="s">
        <v>41</v>
      </c>
      <c r="W102" t="s">
        <v>75</v>
      </c>
      <c r="X102" t="str">
        <f>"7191002"</f>
        <v>7191002</v>
      </c>
      <c r="Y102" t="s">
        <v>1365</v>
      </c>
      <c r="Z102" t="s">
        <v>1341</v>
      </c>
      <c r="AA102" t="s">
        <v>1342</v>
      </c>
      <c r="AB102" t="s">
        <v>1270</v>
      </c>
      <c r="AC102" t="s">
        <v>51</v>
      </c>
      <c r="AD102" t="s">
        <v>45</v>
      </c>
      <c r="AE102" s="1">
        <v>34126</v>
      </c>
      <c r="AF102">
        <v>1</v>
      </c>
      <c r="AG102" t="s">
        <v>1342</v>
      </c>
      <c r="AH102" s="36">
        <f t="shared" si="1"/>
        <v>25.919444444444444</v>
      </c>
      <c r="AI102" s="40" t="s">
        <v>1777</v>
      </c>
    </row>
    <row r="103" spans="1:35" x14ac:dyDescent="0.25">
      <c r="A103" s="36">
        <v>99910101</v>
      </c>
      <c r="B103" s="17" t="s">
        <v>32</v>
      </c>
      <c r="C103" t="s">
        <v>111</v>
      </c>
      <c r="D103" t="s">
        <v>112</v>
      </c>
      <c r="G103" s="17" t="s">
        <v>35</v>
      </c>
      <c r="H103" s="17">
        <v>1</v>
      </c>
      <c r="I103" t="s">
        <v>1527</v>
      </c>
      <c r="J103" s="1">
        <v>43344</v>
      </c>
      <c r="K103" t="s">
        <v>667</v>
      </c>
      <c r="L103" t="s">
        <v>669</v>
      </c>
      <c r="M103" t="s">
        <v>670</v>
      </c>
      <c r="N103">
        <v>24</v>
      </c>
      <c r="O103" t="s">
        <v>40</v>
      </c>
      <c r="P103" t="s">
        <v>40</v>
      </c>
      <c r="Q103" t="s">
        <v>40</v>
      </c>
      <c r="R103" t="s">
        <v>40</v>
      </c>
      <c r="S103" t="s">
        <v>40</v>
      </c>
      <c r="U103" s="1">
        <v>43344</v>
      </c>
      <c r="V103" t="s">
        <v>41</v>
      </c>
      <c r="W103" t="s">
        <v>75</v>
      </c>
      <c r="X103" t="str">
        <f>"7501002"</f>
        <v>7501002</v>
      </c>
      <c r="Y103" t="s">
        <v>1519</v>
      </c>
      <c r="Z103" t="s">
        <v>667</v>
      </c>
      <c r="AA103" t="s">
        <v>669</v>
      </c>
      <c r="AB103" t="s">
        <v>670</v>
      </c>
      <c r="AC103" t="s">
        <v>51</v>
      </c>
      <c r="AD103" t="s">
        <v>45</v>
      </c>
      <c r="AE103" s="1">
        <v>34125</v>
      </c>
      <c r="AF103">
        <v>1</v>
      </c>
      <c r="AG103" t="s">
        <v>669</v>
      </c>
      <c r="AH103" s="36">
        <f t="shared" si="1"/>
        <v>25.922222222222221</v>
      </c>
      <c r="AI103" s="40" t="s">
        <v>1777</v>
      </c>
    </row>
    <row r="104" spans="1:35" x14ac:dyDescent="0.25">
      <c r="A104" s="36">
        <v>99910102</v>
      </c>
      <c r="B104" s="17" t="s">
        <v>32</v>
      </c>
      <c r="C104" t="s">
        <v>61</v>
      </c>
      <c r="D104" t="s">
        <v>62</v>
      </c>
      <c r="G104" s="17" t="s">
        <v>35</v>
      </c>
      <c r="H104" s="17">
        <v>1</v>
      </c>
      <c r="I104">
        <v>19299</v>
      </c>
      <c r="J104" s="1">
        <v>43376</v>
      </c>
      <c r="K104" t="s">
        <v>877</v>
      </c>
      <c r="L104" t="s">
        <v>878</v>
      </c>
      <c r="M104" t="s">
        <v>131</v>
      </c>
      <c r="N104">
        <v>6</v>
      </c>
      <c r="O104" t="s">
        <v>40</v>
      </c>
      <c r="S104" t="s">
        <v>40</v>
      </c>
      <c r="U104" s="1">
        <v>43376</v>
      </c>
      <c r="V104" t="s">
        <v>41</v>
      </c>
      <c r="W104" t="s">
        <v>75</v>
      </c>
      <c r="X104" t="str">
        <f>"7541026"</f>
        <v>7541026</v>
      </c>
      <c r="Y104" t="s">
        <v>894</v>
      </c>
      <c r="Z104" t="s">
        <v>877</v>
      </c>
      <c r="AA104" t="s">
        <v>878</v>
      </c>
      <c r="AB104" t="s">
        <v>131</v>
      </c>
      <c r="AC104" t="s">
        <v>44</v>
      </c>
      <c r="AD104" t="s">
        <v>45</v>
      </c>
      <c r="AE104" s="1">
        <v>34121</v>
      </c>
      <c r="AF104">
        <v>1</v>
      </c>
      <c r="AG104" t="s">
        <v>878</v>
      </c>
      <c r="AH104" s="36">
        <f t="shared" si="1"/>
        <v>25.933333333333334</v>
      </c>
      <c r="AI104" s="40" t="s">
        <v>1777</v>
      </c>
    </row>
    <row r="105" spans="1:35" x14ac:dyDescent="0.25">
      <c r="A105" s="36">
        <v>99910103</v>
      </c>
      <c r="B105" s="17" t="s">
        <v>32</v>
      </c>
      <c r="C105" t="s">
        <v>90</v>
      </c>
      <c r="D105" t="s">
        <v>91</v>
      </c>
      <c r="G105" s="17" t="s">
        <v>35</v>
      </c>
      <c r="H105" s="17">
        <v>1</v>
      </c>
      <c r="K105" t="s">
        <v>1708</v>
      </c>
      <c r="L105" t="s">
        <v>1709</v>
      </c>
      <c r="M105" t="s">
        <v>1705</v>
      </c>
      <c r="N105">
        <v>25</v>
      </c>
      <c r="O105" t="s">
        <v>40</v>
      </c>
      <c r="P105" t="s">
        <v>40</v>
      </c>
      <c r="Q105" t="s">
        <v>40</v>
      </c>
      <c r="S105" t="s">
        <v>40</v>
      </c>
      <c r="V105" t="s">
        <v>41</v>
      </c>
      <c r="W105" t="s">
        <v>95</v>
      </c>
      <c r="X105" t="str">
        <f>"7121023"</f>
        <v>7121023</v>
      </c>
      <c r="Y105" t="s">
        <v>1721</v>
      </c>
      <c r="Z105" t="s">
        <v>1708</v>
      </c>
      <c r="AA105" t="s">
        <v>1709</v>
      </c>
      <c r="AB105" t="s">
        <v>1705</v>
      </c>
      <c r="AC105" t="s">
        <v>44</v>
      </c>
      <c r="AD105" t="s">
        <v>45</v>
      </c>
      <c r="AE105" s="1">
        <v>34111</v>
      </c>
      <c r="AF105">
        <v>1</v>
      </c>
      <c r="AG105" t="s">
        <v>1709</v>
      </c>
      <c r="AH105" s="36">
        <f t="shared" si="1"/>
        <v>25.961111111111112</v>
      </c>
      <c r="AI105" s="40" t="s">
        <v>1777</v>
      </c>
    </row>
    <row r="106" spans="1:35" x14ac:dyDescent="0.25">
      <c r="A106" s="36">
        <v>99910104</v>
      </c>
      <c r="B106" s="17" t="s">
        <v>32</v>
      </c>
      <c r="C106" t="s">
        <v>111</v>
      </c>
      <c r="D106" t="s">
        <v>112</v>
      </c>
      <c r="G106" s="17" t="s">
        <v>35</v>
      </c>
      <c r="H106" s="17">
        <v>1</v>
      </c>
      <c r="I106">
        <v>15050</v>
      </c>
      <c r="J106" s="1">
        <v>43344</v>
      </c>
      <c r="K106" t="s">
        <v>354</v>
      </c>
      <c r="L106" t="s">
        <v>355</v>
      </c>
      <c r="M106" t="s">
        <v>131</v>
      </c>
      <c r="N106">
        <v>24</v>
      </c>
      <c r="O106" t="s">
        <v>40</v>
      </c>
      <c r="S106" t="s">
        <v>40</v>
      </c>
      <c r="U106" s="1">
        <v>43344</v>
      </c>
      <c r="V106" t="s">
        <v>41</v>
      </c>
      <c r="W106" t="s">
        <v>75</v>
      </c>
      <c r="X106" t="str">
        <f>"7054012"</f>
        <v>7054012</v>
      </c>
      <c r="Y106" t="s">
        <v>353</v>
      </c>
      <c r="Z106" t="s">
        <v>354</v>
      </c>
      <c r="AA106" t="s">
        <v>355</v>
      </c>
      <c r="AB106" t="s">
        <v>131</v>
      </c>
      <c r="AC106" t="s">
        <v>55</v>
      </c>
      <c r="AD106" t="s">
        <v>45</v>
      </c>
      <c r="AE106" s="1">
        <v>34108</v>
      </c>
      <c r="AF106">
        <v>1</v>
      </c>
      <c r="AG106" t="s">
        <v>355</v>
      </c>
      <c r="AH106" s="36">
        <f t="shared" si="1"/>
        <v>25.969444444444445</v>
      </c>
      <c r="AI106" s="40" t="s">
        <v>1777</v>
      </c>
    </row>
    <row r="107" spans="1:35" x14ac:dyDescent="0.25">
      <c r="A107" s="36">
        <v>99910105</v>
      </c>
      <c r="B107" s="17" t="s">
        <v>32</v>
      </c>
      <c r="C107" t="s">
        <v>111</v>
      </c>
      <c r="D107" t="s">
        <v>112</v>
      </c>
      <c r="G107" s="17" t="s">
        <v>35</v>
      </c>
      <c r="H107" s="17">
        <v>1</v>
      </c>
      <c r="I107" t="s">
        <v>1467</v>
      </c>
      <c r="J107" s="1">
        <v>43437</v>
      </c>
      <c r="K107" t="s">
        <v>1334</v>
      </c>
      <c r="L107" t="s">
        <v>1335</v>
      </c>
      <c r="M107" t="s">
        <v>1270</v>
      </c>
      <c r="N107">
        <v>21</v>
      </c>
      <c r="O107" t="s">
        <v>40</v>
      </c>
      <c r="S107" t="s">
        <v>40</v>
      </c>
      <c r="U107" s="1">
        <v>43437</v>
      </c>
      <c r="V107" t="s">
        <v>41</v>
      </c>
      <c r="W107" t="s">
        <v>75</v>
      </c>
      <c r="X107" t="str">
        <f>"7391000"</f>
        <v>7391000</v>
      </c>
      <c r="Y107" t="s">
        <v>1333</v>
      </c>
      <c r="Z107" t="s">
        <v>1334</v>
      </c>
      <c r="AA107" t="s">
        <v>1335</v>
      </c>
      <c r="AB107" t="s">
        <v>1270</v>
      </c>
      <c r="AC107" t="s">
        <v>44</v>
      </c>
      <c r="AD107" t="s">
        <v>45</v>
      </c>
      <c r="AE107" s="1">
        <v>34106</v>
      </c>
      <c r="AF107">
        <v>1</v>
      </c>
      <c r="AG107" t="s">
        <v>1335</v>
      </c>
      <c r="AH107" s="36">
        <f t="shared" si="1"/>
        <v>25.975000000000001</v>
      </c>
      <c r="AI107" s="40" t="s">
        <v>1777</v>
      </c>
    </row>
    <row r="108" spans="1:35" x14ac:dyDescent="0.25">
      <c r="A108" s="36">
        <v>99910106</v>
      </c>
      <c r="B108" s="17" t="s">
        <v>32</v>
      </c>
      <c r="C108" t="s">
        <v>111</v>
      </c>
      <c r="D108" t="s">
        <v>112</v>
      </c>
      <c r="G108" s="17" t="s">
        <v>35</v>
      </c>
      <c r="H108" s="17">
        <v>1</v>
      </c>
      <c r="I108">
        <v>10611</v>
      </c>
      <c r="J108" s="1">
        <v>43344</v>
      </c>
      <c r="K108" t="s">
        <v>354</v>
      </c>
      <c r="L108" t="s">
        <v>355</v>
      </c>
      <c r="M108" t="s">
        <v>131</v>
      </c>
      <c r="N108">
        <v>24</v>
      </c>
      <c r="O108" t="s">
        <v>40</v>
      </c>
      <c r="S108" t="s">
        <v>40</v>
      </c>
      <c r="U108" s="1">
        <v>43344</v>
      </c>
      <c r="V108" t="s">
        <v>41</v>
      </c>
      <c r="W108" t="s">
        <v>75</v>
      </c>
      <c r="X108" t="str">
        <f>"7054042"</f>
        <v>7054042</v>
      </c>
      <c r="Y108" t="s">
        <v>776</v>
      </c>
      <c r="Z108" t="s">
        <v>354</v>
      </c>
      <c r="AA108" t="s">
        <v>355</v>
      </c>
      <c r="AB108" t="s">
        <v>131</v>
      </c>
      <c r="AC108" t="s">
        <v>51</v>
      </c>
      <c r="AD108" t="s">
        <v>45</v>
      </c>
      <c r="AE108" s="1">
        <v>34103</v>
      </c>
      <c r="AF108">
        <v>1</v>
      </c>
      <c r="AG108" t="s">
        <v>355</v>
      </c>
      <c r="AH108" s="36">
        <f t="shared" si="1"/>
        <v>25.983333333333334</v>
      </c>
      <c r="AI108" s="40" t="s">
        <v>1777</v>
      </c>
    </row>
    <row r="109" spans="1:35" x14ac:dyDescent="0.25">
      <c r="A109" s="36">
        <v>99910107</v>
      </c>
      <c r="B109" s="17" t="s">
        <v>32</v>
      </c>
      <c r="C109" t="s">
        <v>111</v>
      </c>
      <c r="D109" t="s">
        <v>112</v>
      </c>
      <c r="G109" s="17" t="s">
        <v>35</v>
      </c>
      <c r="H109" s="17">
        <v>1</v>
      </c>
      <c r="I109">
        <v>10016</v>
      </c>
      <c r="J109" s="1">
        <v>43361</v>
      </c>
      <c r="K109" t="s">
        <v>354</v>
      </c>
      <c r="L109" t="s">
        <v>355</v>
      </c>
      <c r="M109" t="s">
        <v>131</v>
      </c>
      <c r="N109">
        <v>24</v>
      </c>
      <c r="O109" t="s">
        <v>40</v>
      </c>
      <c r="S109" t="s">
        <v>40</v>
      </c>
      <c r="U109" s="1">
        <v>43361</v>
      </c>
      <c r="V109" t="s">
        <v>41</v>
      </c>
      <c r="W109" t="s">
        <v>75</v>
      </c>
      <c r="X109" t="str">
        <f>"7054032"</f>
        <v>7054032</v>
      </c>
      <c r="Y109" t="s">
        <v>767</v>
      </c>
      <c r="Z109" t="s">
        <v>354</v>
      </c>
      <c r="AA109" t="s">
        <v>355</v>
      </c>
      <c r="AB109" t="s">
        <v>131</v>
      </c>
      <c r="AC109" t="s">
        <v>55</v>
      </c>
      <c r="AD109" t="s">
        <v>45</v>
      </c>
      <c r="AE109" s="1">
        <v>34102</v>
      </c>
      <c r="AF109">
        <v>1</v>
      </c>
      <c r="AG109" t="s">
        <v>355</v>
      </c>
      <c r="AH109" s="36">
        <f t="shared" si="1"/>
        <v>25.986111111111111</v>
      </c>
      <c r="AI109" s="40" t="s">
        <v>1777</v>
      </c>
    </row>
    <row r="110" spans="1:35" x14ac:dyDescent="0.25">
      <c r="A110" s="36">
        <v>99910108</v>
      </c>
      <c r="B110" s="17" t="s">
        <v>32</v>
      </c>
      <c r="C110" t="s">
        <v>111</v>
      </c>
      <c r="D110" t="s">
        <v>112</v>
      </c>
      <c r="G110" s="17" t="s">
        <v>35</v>
      </c>
      <c r="H110" s="17">
        <v>1</v>
      </c>
      <c r="I110" t="s">
        <v>286</v>
      </c>
      <c r="J110" s="1">
        <v>43344</v>
      </c>
      <c r="K110" t="s">
        <v>268</v>
      </c>
      <c r="L110" t="s">
        <v>269</v>
      </c>
      <c r="M110" t="s">
        <v>131</v>
      </c>
      <c r="N110">
        <v>24</v>
      </c>
      <c r="O110" t="s">
        <v>40</v>
      </c>
      <c r="S110" t="s">
        <v>40</v>
      </c>
      <c r="V110" t="s">
        <v>41</v>
      </c>
      <c r="W110" t="s">
        <v>75</v>
      </c>
      <c r="X110" t="str">
        <f>"7052034"</f>
        <v>7052034</v>
      </c>
      <c r="Y110" t="s">
        <v>604</v>
      </c>
      <c r="Z110" t="s">
        <v>268</v>
      </c>
      <c r="AA110" t="s">
        <v>269</v>
      </c>
      <c r="AB110" t="s">
        <v>131</v>
      </c>
      <c r="AC110" t="s">
        <v>44</v>
      </c>
      <c r="AD110" t="s">
        <v>45</v>
      </c>
      <c r="AE110" s="1">
        <v>34079</v>
      </c>
      <c r="AF110">
        <v>1</v>
      </c>
      <c r="AG110" t="s">
        <v>269</v>
      </c>
      <c r="AH110" s="36">
        <f t="shared" si="1"/>
        <v>26.05</v>
      </c>
      <c r="AI110" s="40" t="s">
        <v>1777</v>
      </c>
    </row>
    <row r="111" spans="1:35" x14ac:dyDescent="0.25">
      <c r="A111" s="36">
        <v>99910109</v>
      </c>
      <c r="B111" s="17" t="s">
        <v>32</v>
      </c>
      <c r="C111" t="s">
        <v>111</v>
      </c>
      <c r="D111" t="s">
        <v>112</v>
      </c>
      <c r="G111" s="17" t="s">
        <v>35</v>
      </c>
      <c r="H111" s="17">
        <v>1</v>
      </c>
      <c r="I111" t="s">
        <v>1646</v>
      </c>
      <c r="J111" s="1">
        <v>43344</v>
      </c>
      <c r="K111" t="s">
        <v>1631</v>
      </c>
      <c r="L111" t="s">
        <v>1632</v>
      </c>
      <c r="M111" t="s">
        <v>1592</v>
      </c>
      <c r="N111">
        <v>24</v>
      </c>
      <c r="O111" t="s">
        <v>40</v>
      </c>
      <c r="P111" t="s">
        <v>40</v>
      </c>
      <c r="Q111" t="s">
        <v>40</v>
      </c>
      <c r="S111" t="s">
        <v>40</v>
      </c>
      <c r="U111" s="1">
        <v>43344</v>
      </c>
      <c r="V111" t="s">
        <v>41</v>
      </c>
      <c r="W111" t="s">
        <v>75</v>
      </c>
      <c r="X111" t="str">
        <f>"7021002"</f>
        <v>7021002</v>
      </c>
      <c r="Y111" t="s">
        <v>1639</v>
      </c>
      <c r="Z111" t="s">
        <v>1631</v>
      </c>
      <c r="AA111" t="s">
        <v>1632</v>
      </c>
      <c r="AB111" t="s">
        <v>1592</v>
      </c>
      <c r="AC111" t="s">
        <v>44</v>
      </c>
      <c r="AD111" t="s">
        <v>45</v>
      </c>
      <c r="AE111" s="1">
        <v>34071</v>
      </c>
      <c r="AF111">
        <v>1</v>
      </c>
      <c r="AG111" t="s">
        <v>1632</v>
      </c>
      <c r="AH111" s="36">
        <f t="shared" si="1"/>
        <v>26.072222222222223</v>
      </c>
      <c r="AI111" s="40" t="s">
        <v>1777</v>
      </c>
    </row>
    <row r="112" spans="1:35" x14ac:dyDescent="0.25">
      <c r="A112" s="36">
        <v>99910110</v>
      </c>
      <c r="B112" s="17" t="s">
        <v>32</v>
      </c>
      <c r="C112" t="s">
        <v>111</v>
      </c>
      <c r="D112" t="s">
        <v>112</v>
      </c>
      <c r="G112" s="17" t="s">
        <v>35</v>
      </c>
      <c r="H112" s="17">
        <v>1</v>
      </c>
      <c r="K112" t="s">
        <v>154</v>
      </c>
      <c r="L112" t="s">
        <v>155</v>
      </c>
      <c r="M112" t="s">
        <v>131</v>
      </c>
      <c r="N112">
        <v>24</v>
      </c>
      <c r="O112" t="s">
        <v>40</v>
      </c>
      <c r="P112" t="s">
        <v>40</v>
      </c>
      <c r="Q112" t="s">
        <v>40</v>
      </c>
      <c r="S112" t="s">
        <v>40</v>
      </c>
      <c r="V112" t="s">
        <v>41</v>
      </c>
      <c r="W112" t="s">
        <v>75</v>
      </c>
      <c r="X112" t="str">
        <f>"7051018"</f>
        <v>7051018</v>
      </c>
      <c r="Y112" t="s">
        <v>401</v>
      </c>
      <c r="Z112" t="s">
        <v>154</v>
      </c>
      <c r="AA112" t="s">
        <v>155</v>
      </c>
      <c r="AB112" t="s">
        <v>131</v>
      </c>
      <c r="AC112" t="s">
        <v>165</v>
      </c>
      <c r="AD112" t="s">
        <v>45</v>
      </c>
      <c r="AE112" s="1">
        <v>34062</v>
      </c>
      <c r="AF112">
        <v>1</v>
      </c>
      <c r="AG112" t="s">
        <v>155</v>
      </c>
      <c r="AH112" s="36">
        <f t="shared" si="1"/>
        <v>26.097222222222221</v>
      </c>
      <c r="AI112" s="40" t="s">
        <v>1777</v>
      </c>
    </row>
    <row r="113" spans="1:35" x14ac:dyDescent="0.25">
      <c r="A113" s="36">
        <v>99910111</v>
      </c>
      <c r="B113" s="17" t="s">
        <v>32</v>
      </c>
      <c r="C113" t="s">
        <v>111</v>
      </c>
      <c r="D113" t="s">
        <v>112</v>
      </c>
      <c r="G113" s="17" t="s">
        <v>35</v>
      </c>
      <c r="H113" s="17">
        <v>1</v>
      </c>
      <c r="I113" t="s">
        <v>1093</v>
      </c>
      <c r="J113" s="1">
        <v>43356</v>
      </c>
      <c r="K113" t="s">
        <v>1081</v>
      </c>
      <c r="L113" t="s">
        <v>1082</v>
      </c>
      <c r="M113" t="s">
        <v>1053</v>
      </c>
      <c r="N113">
        <v>24</v>
      </c>
      <c r="O113" t="s">
        <v>40</v>
      </c>
      <c r="S113" t="s">
        <v>40</v>
      </c>
      <c r="U113" s="1">
        <v>43356</v>
      </c>
      <c r="V113" t="s">
        <v>41</v>
      </c>
      <c r="W113" t="s">
        <v>75</v>
      </c>
      <c r="X113" t="str">
        <f>"7201006"</f>
        <v>7201006</v>
      </c>
      <c r="Y113" t="s">
        <v>1083</v>
      </c>
      <c r="Z113" t="s">
        <v>1081</v>
      </c>
      <c r="AA113" t="s">
        <v>1082</v>
      </c>
      <c r="AB113" t="s">
        <v>1053</v>
      </c>
      <c r="AC113" t="s">
        <v>44</v>
      </c>
      <c r="AD113" t="s">
        <v>45</v>
      </c>
      <c r="AE113" s="1">
        <v>34058</v>
      </c>
      <c r="AF113">
        <v>1</v>
      </c>
      <c r="AG113" t="s">
        <v>1082</v>
      </c>
      <c r="AH113" s="36">
        <f t="shared" si="1"/>
        <v>26.108333333333334</v>
      </c>
      <c r="AI113" s="40" t="s">
        <v>1777</v>
      </c>
    </row>
    <row r="114" spans="1:35" x14ac:dyDescent="0.25">
      <c r="A114" s="36">
        <v>99910112</v>
      </c>
      <c r="B114" s="17" t="s">
        <v>32</v>
      </c>
      <c r="C114" t="s">
        <v>111</v>
      </c>
      <c r="D114" t="s">
        <v>112</v>
      </c>
      <c r="G114" s="17" t="s">
        <v>35</v>
      </c>
      <c r="H114" s="17">
        <v>1</v>
      </c>
      <c r="I114">
        <v>10616</v>
      </c>
      <c r="J114" s="1">
        <v>43344</v>
      </c>
      <c r="K114" t="s">
        <v>354</v>
      </c>
      <c r="L114" t="s">
        <v>355</v>
      </c>
      <c r="M114" t="s">
        <v>131</v>
      </c>
      <c r="N114">
        <v>24</v>
      </c>
      <c r="O114" t="s">
        <v>40</v>
      </c>
      <c r="P114" t="s">
        <v>40</v>
      </c>
      <c r="Q114" t="s">
        <v>40</v>
      </c>
      <c r="R114" t="s">
        <v>40</v>
      </c>
      <c r="S114" t="s">
        <v>40</v>
      </c>
      <c r="U114" s="1">
        <v>43344</v>
      </c>
      <c r="V114" t="s">
        <v>41</v>
      </c>
      <c r="W114" t="s">
        <v>75</v>
      </c>
      <c r="X114" t="str">
        <f>"7054000"</f>
        <v>7054000</v>
      </c>
      <c r="Y114" t="s">
        <v>786</v>
      </c>
      <c r="Z114" t="s">
        <v>354</v>
      </c>
      <c r="AA114" t="s">
        <v>355</v>
      </c>
      <c r="AB114" t="s">
        <v>131</v>
      </c>
      <c r="AC114" t="s">
        <v>44</v>
      </c>
      <c r="AD114" t="s">
        <v>45</v>
      </c>
      <c r="AE114" s="1">
        <v>34047</v>
      </c>
      <c r="AF114">
        <v>1</v>
      </c>
      <c r="AG114" t="s">
        <v>355</v>
      </c>
      <c r="AH114" s="36">
        <f t="shared" si="1"/>
        <v>26.138888888888889</v>
      </c>
      <c r="AI114" s="40" t="s">
        <v>1777</v>
      </c>
    </row>
    <row r="115" spans="1:35" x14ac:dyDescent="0.25">
      <c r="A115" s="36">
        <v>99910113</v>
      </c>
      <c r="B115" s="17" t="s">
        <v>32</v>
      </c>
      <c r="C115" t="s">
        <v>46</v>
      </c>
      <c r="D115" t="s">
        <v>47</v>
      </c>
      <c r="G115" s="17" t="s">
        <v>35</v>
      </c>
      <c r="H115" s="17">
        <v>1</v>
      </c>
      <c r="I115" t="s">
        <v>1065</v>
      </c>
      <c r="J115" s="1">
        <v>43355</v>
      </c>
      <c r="K115" t="s">
        <v>1051</v>
      </c>
      <c r="L115" t="s">
        <v>1052</v>
      </c>
      <c r="M115" t="s">
        <v>1053</v>
      </c>
      <c r="N115">
        <v>14</v>
      </c>
      <c r="O115" t="s">
        <v>40</v>
      </c>
      <c r="S115" t="s">
        <v>40</v>
      </c>
      <c r="U115" s="1">
        <v>43355</v>
      </c>
      <c r="V115" t="s">
        <v>41</v>
      </c>
      <c r="W115" t="s">
        <v>49</v>
      </c>
      <c r="X115" t="str">
        <f>"2060004"</f>
        <v>2060004</v>
      </c>
      <c r="Y115" t="s">
        <v>1059</v>
      </c>
      <c r="Z115" t="s">
        <v>1051</v>
      </c>
      <c r="AA115" t="s">
        <v>1052</v>
      </c>
      <c r="AB115" t="s">
        <v>1053</v>
      </c>
      <c r="AC115" t="s">
        <v>44</v>
      </c>
      <c r="AD115" t="s">
        <v>45</v>
      </c>
      <c r="AE115" s="1">
        <v>34037</v>
      </c>
      <c r="AF115">
        <v>2</v>
      </c>
      <c r="AG115" t="s">
        <v>1052</v>
      </c>
      <c r="AH115" s="36">
        <f t="shared" si="1"/>
        <v>26.166666666666668</v>
      </c>
      <c r="AI115" s="40" t="s">
        <v>1777</v>
      </c>
    </row>
    <row r="116" spans="1:35" x14ac:dyDescent="0.25">
      <c r="A116" s="36">
        <v>99910114</v>
      </c>
      <c r="B116" s="17" t="s">
        <v>32</v>
      </c>
      <c r="C116" t="s">
        <v>111</v>
      </c>
      <c r="D116" t="s">
        <v>112</v>
      </c>
      <c r="G116" s="17" t="s">
        <v>35</v>
      </c>
      <c r="H116" s="17">
        <v>1</v>
      </c>
      <c r="I116">
        <v>9638</v>
      </c>
      <c r="J116" s="1">
        <v>43353</v>
      </c>
      <c r="K116" t="s">
        <v>354</v>
      </c>
      <c r="L116" t="s">
        <v>355</v>
      </c>
      <c r="M116" t="s">
        <v>131</v>
      </c>
      <c r="N116">
        <v>24</v>
      </c>
      <c r="O116" t="s">
        <v>40</v>
      </c>
      <c r="S116" t="s">
        <v>40</v>
      </c>
      <c r="U116" s="1">
        <v>43353</v>
      </c>
      <c r="V116" t="s">
        <v>41</v>
      </c>
      <c r="W116" t="s">
        <v>75</v>
      </c>
      <c r="X116" t="str">
        <f>"7054024"</f>
        <v>7054024</v>
      </c>
      <c r="Y116" t="s">
        <v>793</v>
      </c>
      <c r="Z116" t="s">
        <v>354</v>
      </c>
      <c r="AA116" t="s">
        <v>355</v>
      </c>
      <c r="AB116" t="s">
        <v>131</v>
      </c>
      <c r="AC116" t="s">
        <v>55</v>
      </c>
      <c r="AD116" t="s">
        <v>45</v>
      </c>
      <c r="AE116" s="1">
        <v>34035</v>
      </c>
      <c r="AF116">
        <v>1</v>
      </c>
      <c r="AG116" t="s">
        <v>355</v>
      </c>
      <c r="AH116" s="36">
        <f t="shared" si="1"/>
        <v>26.172222222222221</v>
      </c>
      <c r="AI116" s="40" t="s">
        <v>1777</v>
      </c>
    </row>
    <row r="117" spans="1:35" x14ac:dyDescent="0.25">
      <c r="A117" s="36">
        <v>99910115</v>
      </c>
      <c r="B117" s="17" t="s">
        <v>32</v>
      </c>
      <c r="C117" t="s">
        <v>111</v>
      </c>
      <c r="D117" t="s">
        <v>112</v>
      </c>
      <c r="G117" s="17" t="s">
        <v>35</v>
      </c>
      <c r="H117" s="17">
        <v>1</v>
      </c>
      <c r="I117">
        <v>6573</v>
      </c>
      <c r="J117" s="1">
        <v>43344</v>
      </c>
      <c r="K117" t="s">
        <v>1198</v>
      </c>
      <c r="L117" t="s">
        <v>1199</v>
      </c>
      <c r="M117" t="s">
        <v>1130</v>
      </c>
      <c r="N117">
        <v>24</v>
      </c>
      <c r="O117" t="s">
        <v>40</v>
      </c>
      <c r="S117" t="s">
        <v>40</v>
      </c>
      <c r="U117" s="1">
        <v>43344</v>
      </c>
      <c r="V117" t="s">
        <v>41</v>
      </c>
      <c r="W117" t="s">
        <v>75</v>
      </c>
      <c r="X117" t="str">
        <f>"7311006"</f>
        <v>7311006</v>
      </c>
      <c r="Y117" t="s">
        <v>1200</v>
      </c>
      <c r="Z117" t="s">
        <v>1198</v>
      </c>
      <c r="AA117" t="s">
        <v>1199</v>
      </c>
      <c r="AB117" t="s">
        <v>1130</v>
      </c>
      <c r="AC117" t="s">
        <v>44</v>
      </c>
      <c r="AD117" t="s">
        <v>45</v>
      </c>
      <c r="AE117" s="1">
        <v>34033</v>
      </c>
      <c r="AF117">
        <v>1</v>
      </c>
      <c r="AG117" t="s">
        <v>1199</v>
      </c>
      <c r="AH117" s="36">
        <f t="shared" si="1"/>
        <v>26.177777777777777</v>
      </c>
      <c r="AI117" s="40" t="s">
        <v>1777</v>
      </c>
    </row>
    <row r="118" spans="1:35" x14ac:dyDescent="0.25">
      <c r="A118" s="36">
        <v>99910116</v>
      </c>
      <c r="B118" s="17" t="s">
        <v>32</v>
      </c>
      <c r="C118" t="s">
        <v>90</v>
      </c>
      <c r="D118" t="s">
        <v>91</v>
      </c>
      <c r="G118" s="17" t="s">
        <v>35</v>
      </c>
      <c r="H118" s="17">
        <v>1</v>
      </c>
      <c r="I118">
        <v>273</v>
      </c>
      <c r="J118" s="1">
        <v>43344</v>
      </c>
      <c r="K118" t="s">
        <v>268</v>
      </c>
      <c r="L118" t="s">
        <v>269</v>
      </c>
      <c r="M118" t="s">
        <v>131</v>
      </c>
      <c r="N118">
        <v>25</v>
      </c>
      <c r="O118" t="s">
        <v>40</v>
      </c>
      <c r="S118" t="s">
        <v>40</v>
      </c>
      <c r="V118" t="s">
        <v>41</v>
      </c>
      <c r="W118" t="s">
        <v>95</v>
      </c>
      <c r="X118" t="str">
        <f>"7052147"</f>
        <v>7052147</v>
      </c>
      <c r="Y118" t="s">
        <v>710</v>
      </c>
      <c r="Z118" t="s">
        <v>268</v>
      </c>
      <c r="AA118" t="s">
        <v>269</v>
      </c>
      <c r="AB118" t="s">
        <v>131</v>
      </c>
      <c r="AC118" t="s">
        <v>44</v>
      </c>
      <c r="AD118" t="s">
        <v>45</v>
      </c>
      <c r="AE118" s="1">
        <v>34025</v>
      </c>
      <c r="AF118">
        <v>1</v>
      </c>
      <c r="AG118" t="s">
        <v>269</v>
      </c>
      <c r="AH118" s="36">
        <f t="shared" si="1"/>
        <v>26.2</v>
      </c>
      <c r="AI118" s="40" t="s">
        <v>1777</v>
      </c>
    </row>
    <row r="119" spans="1:35" x14ac:dyDescent="0.25">
      <c r="A119" s="36">
        <v>99910117</v>
      </c>
      <c r="B119" s="17" t="s">
        <v>32</v>
      </c>
      <c r="C119" t="s">
        <v>90</v>
      </c>
      <c r="D119" t="s">
        <v>91</v>
      </c>
      <c r="G119" s="17" t="s">
        <v>35</v>
      </c>
      <c r="H119" s="17">
        <v>1</v>
      </c>
      <c r="I119">
        <v>4343</v>
      </c>
      <c r="J119" s="1">
        <v>43346</v>
      </c>
      <c r="K119" t="s">
        <v>1245</v>
      </c>
      <c r="L119" t="s">
        <v>1246</v>
      </c>
      <c r="M119" t="s">
        <v>1130</v>
      </c>
      <c r="N119">
        <v>25</v>
      </c>
      <c r="O119" t="s">
        <v>40</v>
      </c>
      <c r="S119" t="s">
        <v>40</v>
      </c>
      <c r="U119" s="1">
        <v>43346</v>
      </c>
      <c r="V119" t="s">
        <v>41</v>
      </c>
      <c r="W119" t="s">
        <v>95</v>
      </c>
      <c r="X119" t="str">
        <f>"7451005"</f>
        <v>7451005</v>
      </c>
      <c r="Y119" t="s">
        <v>1254</v>
      </c>
      <c r="Z119" t="s">
        <v>1245</v>
      </c>
      <c r="AA119" t="s">
        <v>1246</v>
      </c>
      <c r="AB119" t="s">
        <v>1130</v>
      </c>
      <c r="AC119" t="s">
        <v>44</v>
      </c>
      <c r="AD119" t="s">
        <v>45</v>
      </c>
      <c r="AE119" s="1">
        <v>34022</v>
      </c>
      <c r="AF119">
        <v>1</v>
      </c>
      <c r="AG119" t="s">
        <v>1246</v>
      </c>
      <c r="AH119" s="36">
        <f t="shared" si="1"/>
        <v>26.208333333333332</v>
      </c>
      <c r="AI119" s="40" t="s">
        <v>1777</v>
      </c>
    </row>
    <row r="120" spans="1:35" x14ac:dyDescent="0.25">
      <c r="A120" s="36">
        <v>99910118</v>
      </c>
      <c r="B120" s="17" t="s">
        <v>32</v>
      </c>
      <c r="C120" t="s">
        <v>111</v>
      </c>
      <c r="D120" t="s">
        <v>112</v>
      </c>
      <c r="G120" s="17" t="s">
        <v>35</v>
      </c>
      <c r="H120" s="17">
        <v>1</v>
      </c>
      <c r="I120">
        <v>4250</v>
      </c>
      <c r="J120" s="1">
        <v>43378</v>
      </c>
      <c r="K120" t="s">
        <v>1631</v>
      </c>
      <c r="L120" t="s">
        <v>1632</v>
      </c>
      <c r="M120" t="s">
        <v>1592</v>
      </c>
      <c r="N120">
        <v>24</v>
      </c>
      <c r="O120" t="s">
        <v>40</v>
      </c>
      <c r="P120" t="s">
        <v>40</v>
      </c>
      <c r="Q120" t="s">
        <v>40</v>
      </c>
      <c r="S120" t="s">
        <v>40</v>
      </c>
      <c r="U120" s="1">
        <v>43378</v>
      </c>
      <c r="V120" t="s">
        <v>41</v>
      </c>
      <c r="W120" t="s">
        <v>75</v>
      </c>
      <c r="X120" t="str">
        <f>"7021002"</f>
        <v>7021002</v>
      </c>
      <c r="Y120" t="s">
        <v>1639</v>
      </c>
      <c r="Z120" t="s">
        <v>1631</v>
      </c>
      <c r="AA120" t="s">
        <v>1632</v>
      </c>
      <c r="AB120" t="s">
        <v>1592</v>
      </c>
      <c r="AC120" t="s">
        <v>44</v>
      </c>
      <c r="AD120" t="s">
        <v>45</v>
      </c>
      <c r="AE120" s="1">
        <v>34021</v>
      </c>
      <c r="AF120">
        <v>1</v>
      </c>
      <c r="AG120" t="s">
        <v>1632</v>
      </c>
      <c r="AH120" s="36">
        <f t="shared" si="1"/>
        <v>26.211111111111112</v>
      </c>
      <c r="AI120" s="40" t="s">
        <v>1777</v>
      </c>
    </row>
    <row r="121" spans="1:35" x14ac:dyDescent="0.25">
      <c r="A121" s="36">
        <v>99910119</v>
      </c>
      <c r="B121" s="17" t="s">
        <v>32</v>
      </c>
      <c r="C121" t="s">
        <v>111</v>
      </c>
      <c r="D121" t="s">
        <v>112</v>
      </c>
      <c r="G121" s="17" t="s">
        <v>35</v>
      </c>
      <c r="H121" s="17">
        <v>1</v>
      </c>
      <c r="I121">
        <v>4550</v>
      </c>
      <c r="J121" s="1">
        <v>43362</v>
      </c>
      <c r="K121" t="s">
        <v>1631</v>
      </c>
      <c r="L121" t="s">
        <v>1632</v>
      </c>
      <c r="M121" t="s">
        <v>1592</v>
      </c>
      <c r="N121">
        <v>24</v>
      </c>
      <c r="O121" t="s">
        <v>40</v>
      </c>
      <c r="P121" t="s">
        <v>40</v>
      </c>
      <c r="Q121" t="s">
        <v>40</v>
      </c>
      <c r="S121" t="s">
        <v>40</v>
      </c>
      <c r="U121" s="1">
        <v>43362</v>
      </c>
      <c r="V121" t="s">
        <v>41</v>
      </c>
      <c r="W121" t="s">
        <v>75</v>
      </c>
      <c r="X121" t="str">
        <f>"7021000"</f>
        <v>7021000</v>
      </c>
      <c r="Y121" t="s">
        <v>1633</v>
      </c>
      <c r="Z121" t="s">
        <v>1631</v>
      </c>
      <c r="AA121" t="s">
        <v>1632</v>
      </c>
      <c r="AB121" t="s">
        <v>1592</v>
      </c>
      <c r="AC121" t="s">
        <v>44</v>
      </c>
      <c r="AD121" t="s">
        <v>45</v>
      </c>
      <c r="AE121" s="1">
        <v>34020</v>
      </c>
      <c r="AF121">
        <v>1</v>
      </c>
      <c r="AG121" t="s">
        <v>1632</v>
      </c>
      <c r="AH121" s="36">
        <f t="shared" si="1"/>
        <v>26.213888888888889</v>
      </c>
      <c r="AI121" s="40" t="s">
        <v>1777</v>
      </c>
    </row>
    <row r="122" spans="1:35" x14ac:dyDescent="0.25">
      <c r="A122" s="36">
        <v>99910120</v>
      </c>
      <c r="B122" s="17" t="s">
        <v>32</v>
      </c>
      <c r="C122" t="s">
        <v>64</v>
      </c>
      <c r="D122" t="s">
        <v>65</v>
      </c>
      <c r="G122" s="17" t="s">
        <v>35</v>
      </c>
      <c r="H122" s="17">
        <v>1</v>
      </c>
      <c r="I122">
        <v>0</v>
      </c>
      <c r="J122" s="1">
        <v>43344</v>
      </c>
      <c r="K122" t="s">
        <v>936</v>
      </c>
      <c r="L122" t="s">
        <v>937</v>
      </c>
      <c r="M122" t="s">
        <v>938</v>
      </c>
      <c r="N122">
        <v>20</v>
      </c>
      <c r="O122" t="s">
        <v>40</v>
      </c>
      <c r="P122" t="s">
        <v>40</v>
      </c>
      <c r="Q122" t="s">
        <v>40</v>
      </c>
      <c r="R122" t="s">
        <v>40</v>
      </c>
      <c r="S122" t="s">
        <v>40</v>
      </c>
      <c r="U122" s="1">
        <v>43344</v>
      </c>
      <c r="V122" t="s">
        <v>41</v>
      </c>
      <c r="W122" t="s">
        <v>49</v>
      </c>
      <c r="X122" t="str">
        <f>"0160075"</f>
        <v>0160075</v>
      </c>
      <c r="Y122" t="s">
        <v>939</v>
      </c>
      <c r="Z122" t="s">
        <v>936</v>
      </c>
      <c r="AA122" t="s">
        <v>937</v>
      </c>
      <c r="AB122" t="s">
        <v>938</v>
      </c>
      <c r="AC122" t="s">
        <v>44</v>
      </c>
      <c r="AD122" t="s">
        <v>45</v>
      </c>
      <c r="AE122" s="1">
        <v>34014</v>
      </c>
      <c r="AF122">
        <v>2</v>
      </c>
      <c r="AG122" t="s">
        <v>937</v>
      </c>
      <c r="AH122" s="36">
        <f t="shared" si="1"/>
        <v>26.230555555555554</v>
      </c>
      <c r="AI122" s="40" t="s">
        <v>1777</v>
      </c>
    </row>
    <row r="123" spans="1:35" x14ac:dyDescent="0.25">
      <c r="A123" s="36">
        <v>99910121</v>
      </c>
      <c r="B123" s="17" t="s">
        <v>32</v>
      </c>
      <c r="C123" t="s">
        <v>111</v>
      </c>
      <c r="D123" t="s">
        <v>112</v>
      </c>
      <c r="G123" s="17" t="s">
        <v>35</v>
      </c>
      <c r="H123" s="17">
        <v>1</v>
      </c>
      <c r="I123" t="s">
        <v>1012</v>
      </c>
      <c r="J123" s="1">
        <v>43344</v>
      </c>
      <c r="K123" t="s">
        <v>963</v>
      </c>
      <c r="L123" t="s">
        <v>964</v>
      </c>
      <c r="M123" t="s">
        <v>938</v>
      </c>
      <c r="N123">
        <v>24</v>
      </c>
      <c r="O123" t="s">
        <v>40</v>
      </c>
      <c r="S123" t="s">
        <v>40</v>
      </c>
      <c r="U123" s="1">
        <v>43344</v>
      </c>
      <c r="V123" t="s">
        <v>41</v>
      </c>
      <c r="W123" t="s">
        <v>75</v>
      </c>
      <c r="X123" t="str">
        <f>"7061000"</f>
        <v>7061000</v>
      </c>
      <c r="Y123" t="s">
        <v>962</v>
      </c>
      <c r="Z123" t="s">
        <v>963</v>
      </c>
      <c r="AA123" t="s">
        <v>964</v>
      </c>
      <c r="AB123" t="s">
        <v>938</v>
      </c>
      <c r="AC123" t="s">
        <v>55</v>
      </c>
      <c r="AD123" t="s">
        <v>45</v>
      </c>
      <c r="AE123" s="1">
        <v>34012</v>
      </c>
      <c r="AF123">
        <v>1</v>
      </c>
      <c r="AG123" t="s">
        <v>964</v>
      </c>
      <c r="AH123" s="36">
        <f t="shared" si="1"/>
        <v>26.236111111111111</v>
      </c>
      <c r="AI123" s="40" t="s">
        <v>1777</v>
      </c>
    </row>
    <row r="124" spans="1:35" x14ac:dyDescent="0.25">
      <c r="A124" s="36">
        <v>99910122</v>
      </c>
      <c r="B124" s="17" t="s">
        <v>32</v>
      </c>
      <c r="C124" t="s">
        <v>111</v>
      </c>
      <c r="D124" t="s">
        <v>112</v>
      </c>
      <c r="G124" s="17" t="s">
        <v>35</v>
      </c>
      <c r="H124" s="17">
        <v>1</v>
      </c>
      <c r="I124" t="s">
        <v>1473</v>
      </c>
      <c r="J124" s="1">
        <v>43344</v>
      </c>
      <c r="K124" t="s">
        <v>1334</v>
      </c>
      <c r="L124" t="s">
        <v>1335</v>
      </c>
      <c r="M124" t="s">
        <v>1270</v>
      </c>
      <c r="N124">
        <v>21</v>
      </c>
      <c r="O124" t="s">
        <v>40</v>
      </c>
      <c r="S124" t="s">
        <v>40</v>
      </c>
      <c r="U124" s="1">
        <v>43344</v>
      </c>
      <c r="V124" t="s">
        <v>41</v>
      </c>
      <c r="W124" t="s">
        <v>75</v>
      </c>
      <c r="X124" t="str">
        <f>"7391000"</f>
        <v>7391000</v>
      </c>
      <c r="Y124" t="s">
        <v>1333</v>
      </c>
      <c r="Z124" t="s">
        <v>1334</v>
      </c>
      <c r="AA124" t="s">
        <v>1335</v>
      </c>
      <c r="AB124" t="s">
        <v>1270</v>
      </c>
      <c r="AC124" t="s">
        <v>44</v>
      </c>
      <c r="AD124" t="s">
        <v>45</v>
      </c>
      <c r="AE124" s="1">
        <v>34001</v>
      </c>
      <c r="AF124">
        <v>1</v>
      </c>
      <c r="AG124" t="s">
        <v>1335</v>
      </c>
      <c r="AH124" s="36">
        <f t="shared" si="1"/>
        <v>26.266666666666666</v>
      </c>
      <c r="AI124" s="40" t="s">
        <v>1777</v>
      </c>
    </row>
    <row r="125" spans="1:35" x14ac:dyDescent="0.25">
      <c r="A125" s="36">
        <v>99910123</v>
      </c>
      <c r="B125" s="17" t="s">
        <v>32</v>
      </c>
      <c r="C125" t="s">
        <v>111</v>
      </c>
      <c r="D125" t="s">
        <v>112</v>
      </c>
      <c r="G125" s="17" t="s">
        <v>35</v>
      </c>
      <c r="H125" s="17">
        <v>1</v>
      </c>
      <c r="I125">
        <v>6928</v>
      </c>
      <c r="J125" s="1">
        <v>43344</v>
      </c>
      <c r="K125" t="s">
        <v>1198</v>
      </c>
      <c r="L125" t="s">
        <v>1199</v>
      </c>
      <c r="M125" t="s">
        <v>1130</v>
      </c>
      <c r="N125">
        <v>24</v>
      </c>
      <c r="O125" t="s">
        <v>40</v>
      </c>
      <c r="S125" t="s">
        <v>40</v>
      </c>
      <c r="U125" s="1">
        <v>43344</v>
      </c>
      <c r="V125" t="s">
        <v>41</v>
      </c>
      <c r="W125" t="s">
        <v>75</v>
      </c>
      <c r="X125" t="str">
        <f>"7311006"</f>
        <v>7311006</v>
      </c>
      <c r="Y125" t="s">
        <v>1200</v>
      </c>
      <c r="Z125" t="s">
        <v>1198</v>
      </c>
      <c r="AA125" t="s">
        <v>1199</v>
      </c>
      <c r="AB125" t="s">
        <v>1130</v>
      </c>
      <c r="AC125" t="s">
        <v>44</v>
      </c>
      <c r="AD125" t="s">
        <v>45</v>
      </c>
      <c r="AE125" s="1">
        <v>34000</v>
      </c>
      <c r="AF125">
        <v>1</v>
      </c>
      <c r="AG125" t="s">
        <v>1199</v>
      </c>
      <c r="AH125" s="36">
        <f t="shared" si="1"/>
        <v>26.269444444444446</v>
      </c>
      <c r="AI125" s="40" t="s">
        <v>1777</v>
      </c>
    </row>
    <row r="126" spans="1:35" x14ac:dyDescent="0.25">
      <c r="A126" s="36">
        <v>99910124</v>
      </c>
      <c r="B126" s="17" t="s">
        <v>32</v>
      </c>
      <c r="C126" t="s">
        <v>52</v>
      </c>
      <c r="D126" t="s">
        <v>53</v>
      </c>
      <c r="G126" s="17" t="s">
        <v>35</v>
      </c>
      <c r="H126" s="17">
        <v>1</v>
      </c>
      <c r="I126" t="s">
        <v>1557</v>
      </c>
      <c r="J126" s="1">
        <v>43383</v>
      </c>
      <c r="K126" t="s">
        <v>1546</v>
      </c>
      <c r="L126" t="s">
        <v>1547</v>
      </c>
      <c r="M126" t="s">
        <v>1548</v>
      </c>
      <c r="N126">
        <v>15</v>
      </c>
      <c r="O126" t="s">
        <v>40</v>
      </c>
      <c r="S126" t="s">
        <v>40</v>
      </c>
      <c r="U126" s="1">
        <v>43383</v>
      </c>
      <c r="V126" t="s">
        <v>41</v>
      </c>
      <c r="W126" t="s">
        <v>49</v>
      </c>
      <c r="X126" t="str">
        <f>"1081010"</f>
        <v>1081010</v>
      </c>
      <c r="Y126" t="s">
        <v>1552</v>
      </c>
      <c r="Z126" t="s">
        <v>1546</v>
      </c>
      <c r="AA126" t="s">
        <v>1547</v>
      </c>
      <c r="AB126" t="s">
        <v>1548</v>
      </c>
      <c r="AC126" t="s">
        <v>55</v>
      </c>
      <c r="AD126" t="s">
        <v>45</v>
      </c>
      <c r="AE126" s="1">
        <v>33999</v>
      </c>
      <c r="AF126">
        <v>2</v>
      </c>
      <c r="AG126" t="s">
        <v>1547</v>
      </c>
      <c r="AH126" s="36">
        <f t="shared" si="1"/>
        <v>26.272222222222222</v>
      </c>
      <c r="AI126" s="40" t="s">
        <v>1777</v>
      </c>
    </row>
    <row r="127" spans="1:35" x14ac:dyDescent="0.25">
      <c r="A127" s="36">
        <v>99910125</v>
      </c>
      <c r="B127" s="17" t="s">
        <v>32</v>
      </c>
      <c r="C127" t="s">
        <v>52</v>
      </c>
      <c r="D127" t="s">
        <v>53</v>
      </c>
      <c r="G127" s="17" t="s">
        <v>35</v>
      </c>
      <c r="H127" s="17">
        <v>1</v>
      </c>
      <c r="I127">
        <v>16353</v>
      </c>
      <c r="J127" s="1">
        <v>43344</v>
      </c>
      <c r="K127" t="s">
        <v>1306</v>
      </c>
      <c r="L127" t="s">
        <v>1307</v>
      </c>
      <c r="M127" t="s">
        <v>1270</v>
      </c>
      <c r="N127">
        <v>8</v>
      </c>
      <c r="O127" t="s">
        <v>40</v>
      </c>
      <c r="S127" t="s">
        <v>40</v>
      </c>
      <c r="U127" s="1">
        <v>43344</v>
      </c>
      <c r="V127" t="s">
        <v>41</v>
      </c>
      <c r="W127" t="s">
        <v>49</v>
      </c>
      <c r="X127" t="str">
        <f>"1991915"</f>
        <v>1991915</v>
      </c>
      <c r="Y127" t="s">
        <v>1316</v>
      </c>
      <c r="Z127" t="s">
        <v>1306</v>
      </c>
      <c r="AA127" t="s">
        <v>1307</v>
      </c>
      <c r="AB127" t="s">
        <v>1270</v>
      </c>
      <c r="AC127" t="s">
        <v>44</v>
      </c>
      <c r="AD127" t="s">
        <v>45</v>
      </c>
      <c r="AE127" s="1">
        <v>33990</v>
      </c>
      <c r="AF127">
        <v>2</v>
      </c>
      <c r="AG127" t="s">
        <v>1307</v>
      </c>
      <c r="AH127" s="36">
        <f t="shared" si="1"/>
        <v>26.297222222222221</v>
      </c>
      <c r="AI127" s="40" t="s">
        <v>1777</v>
      </c>
    </row>
    <row r="128" spans="1:35" x14ac:dyDescent="0.25">
      <c r="A128" s="36">
        <v>99910126</v>
      </c>
      <c r="B128" s="17" t="s">
        <v>32</v>
      </c>
      <c r="C128" t="s">
        <v>71</v>
      </c>
      <c r="D128" t="s">
        <v>72</v>
      </c>
      <c r="G128" s="17" t="s">
        <v>35</v>
      </c>
      <c r="H128" s="17">
        <v>1</v>
      </c>
      <c r="I128" s="1">
        <v>43344</v>
      </c>
      <c r="J128" s="1">
        <v>43344</v>
      </c>
      <c r="K128" t="s">
        <v>1341</v>
      </c>
      <c r="L128" t="s">
        <v>1342</v>
      </c>
      <c r="M128" t="s">
        <v>1270</v>
      </c>
      <c r="N128">
        <v>18</v>
      </c>
      <c r="O128" t="s">
        <v>40</v>
      </c>
      <c r="S128" t="s">
        <v>40</v>
      </c>
      <c r="U128" s="1">
        <v>43344</v>
      </c>
      <c r="V128" t="s">
        <v>41</v>
      </c>
      <c r="W128" t="s">
        <v>75</v>
      </c>
      <c r="X128" t="str">
        <f>"7191004"</f>
        <v>7191004</v>
      </c>
      <c r="Y128" t="s">
        <v>1344</v>
      </c>
      <c r="Z128" t="s">
        <v>1341</v>
      </c>
      <c r="AA128" t="s">
        <v>1342</v>
      </c>
      <c r="AB128" t="s">
        <v>1270</v>
      </c>
      <c r="AC128" t="s">
        <v>44</v>
      </c>
      <c r="AD128" t="s">
        <v>45</v>
      </c>
      <c r="AE128" s="1">
        <v>33981</v>
      </c>
      <c r="AF128">
        <v>1</v>
      </c>
      <c r="AG128" t="s">
        <v>1342</v>
      </c>
      <c r="AH128" s="36">
        <f t="shared" si="1"/>
        <v>26.322222222222223</v>
      </c>
      <c r="AI128" s="40" t="s">
        <v>1777</v>
      </c>
    </row>
    <row r="129" spans="1:35" x14ac:dyDescent="0.25">
      <c r="A129" s="36">
        <v>99910127</v>
      </c>
      <c r="B129" s="17" t="s">
        <v>32</v>
      </c>
      <c r="C129" t="s">
        <v>111</v>
      </c>
      <c r="D129" t="s">
        <v>112</v>
      </c>
      <c r="G129" s="17" t="s">
        <v>35</v>
      </c>
      <c r="H129" s="17">
        <v>1</v>
      </c>
      <c r="K129" t="s">
        <v>154</v>
      </c>
      <c r="L129" t="s">
        <v>155</v>
      </c>
      <c r="M129" t="s">
        <v>131</v>
      </c>
      <c r="N129">
        <v>24</v>
      </c>
      <c r="O129" t="s">
        <v>40</v>
      </c>
      <c r="P129" t="s">
        <v>40</v>
      </c>
      <c r="Q129" t="s">
        <v>40</v>
      </c>
      <c r="S129" t="s">
        <v>40</v>
      </c>
      <c r="V129" t="s">
        <v>41</v>
      </c>
      <c r="W129" t="s">
        <v>75</v>
      </c>
      <c r="X129" t="str">
        <f>"7051018"</f>
        <v>7051018</v>
      </c>
      <c r="Y129" t="s">
        <v>401</v>
      </c>
      <c r="Z129" t="s">
        <v>154</v>
      </c>
      <c r="AA129" t="s">
        <v>155</v>
      </c>
      <c r="AB129" t="s">
        <v>131</v>
      </c>
      <c r="AC129" t="s">
        <v>44</v>
      </c>
      <c r="AD129" t="s">
        <v>45</v>
      </c>
      <c r="AE129" s="1">
        <v>33954</v>
      </c>
      <c r="AF129">
        <v>1</v>
      </c>
      <c r="AG129" t="s">
        <v>155</v>
      </c>
      <c r="AH129" s="36">
        <f t="shared" si="1"/>
        <v>26.397222222222222</v>
      </c>
      <c r="AI129" s="40" t="s">
        <v>1777</v>
      </c>
    </row>
    <row r="130" spans="1:35" x14ac:dyDescent="0.25">
      <c r="A130" s="36">
        <v>99910128</v>
      </c>
      <c r="B130" s="17" t="s">
        <v>32</v>
      </c>
      <c r="C130" t="s">
        <v>111</v>
      </c>
      <c r="D130" t="s">
        <v>112</v>
      </c>
      <c r="G130" s="17" t="s">
        <v>35</v>
      </c>
      <c r="H130" s="17">
        <v>1</v>
      </c>
      <c r="I130" t="s">
        <v>618</v>
      </c>
      <c r="J130" s="1">
        <v>43344</v>
      </c>
      <c r="K130" t="s">
        <v>268</v>
      </c>
      <c r="L130" t="s">
        <v>269</v>
      </c>
      <c r="M130" t="s">
        <v>131</v>
      </c>
      <c r="N130">
        <v>24</v>
      </c>
      <c r="O130" t="s">
        <v>40</v>
      </c>
      <c r="S130" t="s">
        <v>40</v>
      </c>
      <c r="U130" s="1">
        <v>43344</v>
      </c>
      <c r="V130" t="s">
        <v>41</v>
      </c>
      <c r="W130" t="s">
        <v>75</v>
      </c>
      <c r="X130" t="str">
        <f>"7052006"</f>
        <v>7052006</v>
      </c>
      <c r="Y130" t="s">
        <v>575</v>
      </c>
      <c r="Z130" t="s">
        <v>268</v>
      </c>
      <c r="AA130" t="s">
        <v>269</v>
      </c>
      <c r="AB130" t="s">
        <v>131</v>
      </c>
      <c r="AC130" t="s">
        <v>55</v>
      </c>
      <c r="AD130" t="s">
        <v>45</v>
      </c>
      <c r="AE130" s="1">
        <v>33952</v>
      </c>
      <c r="AF130">
        <v>1</v>
      </c>
      <c r="AG130" t="s">
        <v>269</v>
      </c>
      <c r="AH130" s="36">
        <f t="shared" ref="AH130:AH193" si="2">($AJ$1-AE130)/360</f>
        <v>26.402777777777779</v>
      </c>
      <c r="AI130" s="40" t="s">
        <v>1777</v>
      </c>
    </row>
    <row r="131" spans="1:35" x14ac:dyDescent="0.25">
      <c r="A131" s="36">
        <v>99910129</v>
      </c>
      <c r="B131" s="17" t="s">
        <v>56</v>
      </c>
      <c r="C131" t="s">
        <v>111</v>
      </c>
      <c r="D131" t="s">
        <v>112</v>
      </c>
      <c r="G131" s="17" t="s">
        <v>35</v>
      </c>
      <c r="H131" s="17">
        <v>1</v>
      </c>
      <c r="I131" s="1">
        <v>42614</v>
      </c>
      <c r="J131" s="1">
        <v>43344</v>
      </c>
      <c r="K131" t="s">
        <v>1341</v>
      </c>
      <c r="L131" t="s">
        <v>1342</v>
      </c>
      <c r="M131" t="s">
        <v>1270</v>
      </c>
      <c r="N131">
        <v>24</v>
      </c>
      <c r="O131" t="s">
        <v>40</v>
      </c>
      <c r="S131" t="s">
        <v>40</v>
      </c>
      <c r="U131" s="1">
        <v>43344</v>
      </c>
      <c r="V131" t="s">
        <v>41</v>
      </c>
      <c r="W131" t="s">
        <v>75</v>
      </c>
      <c r="X131" t="str">
        <f>"7191002"</f>
        <v>7191002</v>
      </c>
      <c r="Y131" t="s">
        <v>1365</v>
      </c>
      <c r="Z131" t="s">
        <v>1341</v>
      </c>
      <c r="AA131" t="s">
        <v>1342</v>
      </c>
      <c r="AB131" t="s">
        <v>1270</v>
      </c>
      <c r="AC131" t="s">
        <v>51</v>
      </c>
      <c r="AD131" t="s">
        <v>45</v>
      </c>
      <c r="AE131" s="1">
        <v>33952</v>
      </c>
      <c r="AF131">
        <v>1</v>
      </c>
      <c r="AG131" t="s">
        <v>1342</v>
      </c>
      <c r="AH131" s="36">
        <f t="shared" si="2"/>
        <v>26.402777777777779</v>
      </c>
      <c r="AI131" s="40" t="s">
        <v>1777</v>
      </c>
    </row>
    <row r="132" spans="1:35" x14ac:dyDescent="0.25">
      <c r="A132" s="36">
        <v>99910130</v>
      </c>
      <c r="B132" s="17" t="s">
        <v>32</v>
      </c>
      <c r="C132" t="s">
        <v>111</v>
      </c>
      <c r="D132" t="s">
        <v>112</v>
      </c>
      <c r="G132" s="17" t="s">
        <v>48</v>
      </c>
      <c r="H132" s="17">
        <v>1</v>
      </c>
      <c r="K132" t="s">
        <v>1502</v>
      </c>
      <c r="L132" t="s">
        <v>1503</v>
      </c>
      <c r="M132" t="s">
        <v>670</v>
      </c>
      <c r="N132">
        <v>24</v>
      </c>
      <c r="O132" t="s">
        <v>40</v>
      </c>
      <c r="P132" t="s">
        <v>40</v>
      </c>
      <c r="Q132" t="s">
        <v>40</v>
      </c>
      <c r="S132" t="s">
        <v>40</v>
      </c>
      <c r="V132" t="s">
        <v>41</v>
      </c>
      <c r="W132" t="s">
        <v>75</v>
      </c>
      <c r="X132" t="str">
        <f>"7171002"</f>
        <v>7171002</v>
      </c>
      <c r="Y132" t="s">
        <v>1505</v>
      </c>
      <c r="Z132" t="s">
        <v>1502</v>
      </c>
      <c r="AA132" t="s">
        <v>1503</v>
      </c>
      <c r="AB132" t="s">
        <v>670</v>
      </c>
      <c r="AC132" t="s">
        <v>51</v>
      </c>
      <c r="AD132" t="s">
        <v>45</v>
      </c>
      <c r="AE132" s="1">
        <v>33951</v>
      </c>
      <c r="AF132">
        <v>1</v>
      </c>
      <c r="AG132" t="s">
        <v>1503</v>
      </c>
      <c r="AH132" s="36">
        <f t="shared" si="2"/>
        <v>26.405555555555555</v>
      </c>
      <c r="AI132" s="40" t="s">
        <v>1777</v>
      </c>
    </row>
    <row r="133" spans="1:35" x14ac:dyDescent="0.25">
      <c r="A133" s="36">
        <v>99910131</v>
      </c>
      <c r="B133" s="17" t="s">
        <v>32</v>
      </c>
      <c r="C133" t="s">
        <v>90</v>
      </c>
      <c r="D133" t="s">
        <v>91</v>
      </c>
      <c r="G133" s="17" t="s">
        <v>35</v>
      </c>
      <c r="H133" s="17">
        <v>1</v>
      </c>
      <c r="I133" t="s">
        <v>1520</v>
      </c>
      <c r="J133" s="1">
        <v>43385</v>
      </c>
      <c r="K133" t="s">
        <v>667</v>
      </c>
      <c r="L133" t="s">
        <v>669</v>
      </c>
      <c r="M133" t="s">
        <v>670</v>
      </c>
      <c r="N133">
        <v>25</v>
      </c>
      <c r="O133" t="s">
        <v>40</v>
      </c>
      <c r="S133" t="s">
        <v>40</v>
      </c>
      <c r="U133" s="1">
        <v>43385</v>
      </c>
      <c r="V133" t="s">
        <v>41</v>
      </c>
      <c r="W133" t="s">
        <v>95</v>
      </c>
      <c r="X133" t="str">
        <f>"7501017"</f>
        <v>7501017</v>
      </c>
      <c r="Y133" t="s">
        <v>1521</v>
      </c>
      <c r="Z133" t="s">
        <v>667</v>
      </c>
      <c r="AA133" t="s">
        <v>669</v>
      </c>
      <c r="AB133" t="s">
        <v>670</v>
      </c>
      <c r="AC133" t="s">
        <v>44</v>
      </c>
      <c r="AD133" t="s">
        <v>45</v>
      </c>
      <c r="AE133" s="1">
        <v>33946</v>
      </c>
      <c r="AF133">
        <v>1</v>
      </c>
      <c r="AG133" t="s">
        <v>669</v>
      </c>
      <c r="AH133" s="36">
        <f t="shared" si="2"/>
        <v>26.419444444444444</v>
      </c>
      <c r="AI133" s="40" t="s">
        <v>1777</v>
      </c>
    </row>
    <row r="134" spans="1:35" x14ac:dyDescent="0.25">
      <c r="A134" s="36">
        <v>99910132</v>
      </c>
      <c r="B134" s="17" t="s">
        <v>32</v>
      </c>
      <c r="C134" t="s">
        <v>111</v>
      </c>
      <c r="D134" t="s">
        <v>112</v>
      </c>
      <c r="G134" s="17" t="s">
        <v>35</v>
      </c>
      <c r="H134" s="17">
        <v>1</v>
      </c>
      <c r="I134">
        <v>14963</v>
      </c>
      <c r="J134" s="1">
        <v>43344</v>
      </c>
      <c r="K134" t="s">
        <v>354</v>
      </c>
      <c r="L134" t="s">
        <v>355</v>
      </c>
      <c r="M134" t="s">
        <v>131</v>
      </c>
      <c r="N134">
        <v>24</v>
      </c>
      <c r="O134" t="s">
        <v>40</v>
      </c>
      <c r="S134" t="s">
        <v>40</v>
      </c>
      <c r="U134" s="1">
        <v>43344</v>
      </c>
      <c r="V134" t="s">
        <v>41</v>
      </c>
      <c r="W134" t="s">
        <v>75</v>
      </c>
      <c r="X134" t="str">
        <f>"7054028"</f>
        <v>7054028</v>
      </c>
      <c r="Y134" t="s">
        <v>788</v>
      </c>
      <c r="Z134" t="s">
        <v>354</v>
      </c>
      <c r="AA134" t="s">
        <v>355</v>
      </c>
      <c r="AB134" t="s">
        <v>131</v>
      </c>
      <c r="AC134" t="s">
        <v>55</v>
      </c>
      <c r="AD134" t="s">
        <v>45</v>
      </c>
      <c r="AE134" s="1">
        <v>33938</v>
      </c>
      <c r="AF134">
        <v>1</v>
      </c>
      <c r="AG134" t="s">
        <v>355</v>
      </c>
      <c r="AH134" s="36">
        <f t="shared" si="2"/>
        <v>26.441666666666666</v>
      </c>
      <c r="AI134" s="40" t="s">
        <v>1777</v>
      </c>
    </row>
    <row r="135" spans="1:35" x14ac:dyDescent="0.25">
      <c r="A135" s="36">
        <v>99910133</v>
      </c>
      <c r="B135" s="17" t="s">
        <v>32</v>
      </c>
      <c r="C135" t="s">
        <v>111</v>
      </c>
      <c r="D135" t="s">
        <v>112</v>
      </c>
      <c r="G135" s="17" t="s">
        <v>35</v>
      </c>
      <c r="H135" s="17">
        <v>1</v>
      </c>
      <c r="I135">
        <v>1</v>
      </c>
      <c r="J135" s="1">
        <v>43344</v>
      </c>
      <c r="K135" t="s">
        <v>1198</v>
      </c>
      <c r="L135" t="s">
        <v>1199</v>
      </c>
      <c r="M135" t="s">
        <v>1130</v>
      </c>
      <c r="N135">
        <v>24</v>
      </c>
      <c r="O135" t="s">
        <v>40</v>
      </c>
      <c r="P135" t="s">
        <v>40</v>
      </c>
      <c r="Q135" t="s">
        <v>40</v>
      </c>
      <c r="R135" t="s">
        <v>40</v>
      </c>
      <c r="S135" t="s">
        <v>40</v>
      </c>
      <c r="U135" s="1">
        <v>43344</v>
      </c>
      <c r="V135" t="s">
        <v>41</v>
      </c>
      <c r="W135" t="s">
        <v>75</v>
      </c>
      <c r="X135" t="str">
        <f>"7311010"</f>
        <v>7311010</v>
      </c>
      <c r="Y135" t="s">
        <v>1202</v>
      </c>
      <c r="Z135" t="s">
        <v>1198</v>
      </c>
      <c r="AA135" t="s">
        <v>1199</v>
      </c>
      <c r="AB135" t="s">
        <v>1130</v>
      </c>
      <c r="AC135" t="s">
        <v>51</v>
      </c>
      <c r="AD135" t="s">
        <v>45</v>
      </c>
      <c r="AE135" s="1">
        <v>33938</v>
      </c>
      <c r="AF135">
        <v>1</v>
      </c>
      <c r="AG135" t="s">
        <v>1199</v>
      </c>
      <c r="AH135" s="36">
        <f t="shared" si="2"/>
        <v>26.441666666666666</v>
      </c>
      <c r="AI135" s="40" t="s">
        <v>1777</v>
      </c>
    </row>
    <row r="136" spans="1:35" x14ac:dyDescent="0.25">
      <c r="A136" s="36">
        <v>99910134</v>
      </c>
      <c r="B136" s="17" t="s">
        <v>32</v>
      </c>
      <c r="C136" t="s">
        <v>82</v>
      </c>
      <c r="D136" t="s">
        <v>83</v>
      </c>
      <c r="G136" s="17" t="s">
        <v>48</v>
      </c>
      <c r="H136" s="17">
        <v>1</v>
      </c>
      <c r="K136" t="s">
        <v>1613</v>
      </c>
      <c r="L136" t="s">
        <v>1614</v>
      </c>
      <c r="M136" t="s">
        <v>1592</v>
      </c>
      <c r="N136">
        <v>3</v>
      </c>
      <c r="O136" t="s">
        <v>40</v>
      </c>
      <c r="P136" t="s">
        <v>40</v>
      </c>
      <c r="Q136" t="s">
        <v>40</v>
      </c>
      <c r="R136" t="s">
        <v>40</v>
      </c>
      <c r="S136" t="s">
        <v>40</v>
      </c>
      <c r="V136" t="s">
        <v>41</v>
      </c>
      <c r="W136" t="s">
        <v>49</v>
      </c>
      <c r="X136" t="str">
        <f>"2860001"</f>
        <v>2860001</v>
      </c>
      <c r="Y136" t="s">
        <v>1616</v>
      </c>
      <c r="Z136" t="s">
        <v>1613</v>
      </c>
      <c r="AA136" t="s">
        <v>1614</v>
      </c>
      <c r="AB136" t="s">
        <v>1592</v>
      </c>
      <c r="AC136" t="s">
        <v>51</v>
      </c>
      <c r="AD136" t="s">
        <v>45</v>
      </c>
      <c r="AE136" s="1">
        <v>33936</v>
      </c>
      <c r="AF136">
        <v>2</v>
      </c>
      <c r="AG136" t="s">
        <v>1614</v>
      </c>
      <c r="AH136" s="36">
        <f t="shared" si="2"/>
        <v>26.447222222222223</v>
      </c>
      <c r="AI136" s="40" t="s">
        <v>1777</v>
      </c>
    </row>
    <row r="137" spans="1:35" x14ac:dyDescent="0.25">
      <c r="A137" s="36">
        <v>99910135</v>
      </c>
      <c r="B137" s="17" t="s">
        <v>32</v>
      </c>
      <c r="C137" t="s">
        <v>90</v>
      </c>
      <c r="D137" t="s">
        <v>91</v>
      </c>
      <c r="G137" s="17" t="s">
        <v>48</v>
      </c>
      <c r="H137" s="17">
        <v>1</v>
      </c>
      <c r="K137" t="s">
        <v>268</v>
      </c>
      <c r="L137" t="s">
        <v>269</v>
      </c>
      <c r="M137" t="s">
        <v>131</v>
      </c>
      <c r="N137">
        <v>25</v>
      </c>
      <c r="O137" t="s">
        <v>40</v>
      </c>
      <c r="P137" t="s">
        <v>40</v>
      </c>
      <c r="Q137" t="s">
        <v>40</v>
      </c>
      <c r="S137" t="s">
        <v>40</v>
      </c>
      <c r="V137" t="s">
        <v>41</v>
      </c>
      <c r="W137" t="s">
        <v>95</v>
      </c>
      <c r="X137" t="str">
        <f>"7052011"</f>
        <v>7052011</v>
      </c>
      <c r="Y137" t="s">
        <v>666</v>
      </c>
      <c r="Z137" t="s">
        <v>268</v>
      </c>
      <c r="AA137" t="s">
        <v>269</v>
      </c>
      <c r="AB137" t="s">
        <v>131</v>
      </c>
      <c r="AC137" t="s">
        <v>51</v>
      </c>
      <c r="AD137" t="s">
        <v>45</v>
      </c>
      <c r="AE137" s="1">
        <v>33931</v>
      </c>
      <c r="AF137">
        <v>1</v>
      </c>
      <c r="AG137" t="s">
        <v>269</v>
      </c>
      <c r="AH137" s="36">
        <f t="shared" si="2"/>
        <v>26.461111111111112</v>
      </c>
      <c r="AI137" s="40" t="s">
        <v>1777</v>
      </c>
    </row>
    <row r="138" spans="1:35" x14ac:dyDescent="0.25">
      <c r="A138" s="36">
        <v>99910136</v>
      </c>
      <c r="B138" s="17" t="s">
        <v>32</v>
      </c>
      <c r="C138" t="s">
        <v>90</v>
      </c>
      <c r="D138" t="s">
        <v>91</v>
      </c>
      <c r="G138" s="17" t="s">
        <v>35</v>
      </c>
      <c r="H138" s="17">
        <v>1</v>
      </c>
      <c r="K138" t="s">
        <v>268</v>
      </c>
      <c r="L138" t="s">
        <v>269</v>
      </c>
      <c r="M138" t="s">
        <v>131</v>
      </c>
      <c r="N138">
        <v>24</v>
      </c>
      <c r="O138" t="s">
        <v>40</v>
      </c>
      <c r="P138" t="s">
        <v>40</v>
      </c>
      <c r="Q138" t="s">
        <v>40</v>
      </c>
      <c r="S138" t="s">
        <v>40</v>
      </c>
      <c r="V138" t="s">
        <v>41</v>
      </c>
      <c r="W138" t="s">
        <v>95</v>
      </c>
      <c r="X138" t="str">
        <f>"7052225"</f>
        <v>7052225</v>
      </c>
      <c r="Y138" t="s">
        <v>702</v>
      </c>
      <c r="Z138" t="s">
        <v>268</v>
      </c>
      <c r="AA138" t="s">
        <v>269</v>
      </c>
      <c r="AB138" t="s">
        <v>131</v>
      </c>
      <c r="AC138" t="s">
        <v>51</v>
      </c>
      <c r="AD138" t="s">
        <v>45</v>
      </c>
      <c r="AE138" s="1">
        <v>33927</v>
      </c>
      <c r="AF138">
        <v>1</v>
      </c>
      <c r="AG138" t="s">
        <v>269</v>
      </c>
      <c r="AH138" s="36">
        <f t="shared" si="2"/>
        <v>26.472222222222221</v>
      </c>
      <c r="AI138" s="40" t="s">
        <v>1777</v>
      </c>
    </row>
    <row r="139" spans="1:35" x14ac:dyDescent="0.25">
      <c r="A139" s="36">
        <v>99910137</v>
      </c>
      <c r="B139" s="17" t="s">
        <v>56</v>
      </c>
      <c r="C139" t="s">
        <v>61</v>
      </c>
      <c r="D139" t="s">
        <v>62</v>
      </c>
      <c r="G139" s="17" t="s">
        <v>35</v>
      </c>
      <c r="H139" s="17">
        <v>1</v>
      </c>
      <c r="I139">
        <v>13804</v>
      </c>
      <c r="J139" s="1">
        <v>43398</v>
      </c>
      <c r="K139" t="s">
        <v>1426</v>
      </c>
      <c r="L139" t="s">
        <v>1427</v>
      </c>
      <c r="M139" t="s">
        <v>1270</v>
      </c>
      <c r="N139">
        <v>12</v>
      </c>
      <c r="O139" t="s">
        <v>40</v>
      </c>
      <c r="S139" t="s">
        <v>40</v>
      </c>
      <c r="U139" s="1">
        <v>43398</v>
      </c>
      <c r="V139" t="s">
        <v>41</v>
      </c>
      <c r="W139" t="s">
        <v>75</v>
      </c>
      <c r="X139" t="str">
        <f>"7192004"</f>
        <v>7192004</v>
      </c>
      <c r="Y139" t="s">
        <v>1428</v>
      </c>
      <c r="Z139" t="s">
        <v>1426</v>
      </c>
      <c r="AA139" t="s">
        <v>1427</v>
      </c>
      <c r="AB139" t="s">
        <v>1270</v>
      </c>
      <c r="AC139" t="s">
        <v>44</v>
      </c>
      <c r="AD139" t="s">
        <v>45</v>
      </c>
      <c r="AE139" s="1">
        <v>33912</v>
      </c>
      <c r="AF139">
        <v>1</v>
      </c>
      <c r="AG139" t="s">
        <v>1427</v>
      </c>
      <c r="AH139" s="36">
        <f t="shared" si="2"/>
        <v>26.513888888888889</v>
      </c>
      <c r="AI139" s="40" t="s">
        <v>1777</v>
      </c>
    </row>
    <row r="140" spans="1:35" x14ac:dyDescent="0.25">
      <c r="A140" s="36">
        <v>99910138</v>
      </c>
      <c r="B140" s="17" t="s">
        <v>32</v>
      </c>
      <c r="C140" t="s">
        <v>64</v>
      </c>
      <c r="D140" t="s">
        <v>65</v>
      </c>
      <c r="G140" s="17" t="s">
        <v>35</v>
      </c>
      <c r="H140" s="17">
        <v>1</v>
      </c>
      <c r="I140" t="s">
        <v>472</v>
      </c>
      <c r="J140" s="1">
        <v>42262</v>
      </c>
      <c r="K140" t="s">
        <v>195</v>
      </c>
      <c r="L140" t="s">
        <v>196</v>
      </c>
      <c r="M140" t="s">
        <v>131</v>
      </c>
      <c r="N140">
        <v>24</v>
      </c>
      <c r="O140" t="s">
        <v>40</v>
      </c>
      <c r="P140" t="s">
        <v>40</v>
      </c>
      <c r="Q140" t="s">
        <v>40</v>
      </c>
      <c r="R140" t="s">
        <v>40</v>
      </c>
      <c r="S140" t="s">
        <v>40</v>
      </c>
      <c r="U140" s="1">
        <v>42262</v>
      </c>
      <c r="V140" t="s">
        <v>41</v>
      </c>
      <c r="W140" t="s">
        <v>75</v>
      </c>
      <c r="X140" t="str">
        <f>"7521050"</f>
        <v>7521050</v>
      </c>
      <c r="Y140" t="s">
        <v>194</v>
      </c>
      <c r="Z140" t="s">
        <v>195</v>
      </c>
      <c r="AA140" t="s">
        <v>196</v>
      </c>
      <c r="AB140" t="s">
        <v>131</v>
      </c>
      <c r="AC140" t="s">
        <v>51</v>
      </c>
      <c r="AD140" t="s">
        <v>45</v>
      </c>
      <c r="AE140" s="1">
        <v>33911</v>
      </c>
      <c r="AF140">
        <v>1</v>
      </c>
      <c r="AG140" t="s">
        <v>196</v>
      </c>
      <c r="AH140" s="36">
        <f t="shared" si="2"/>
        <v>26.516666666666666</v>
      </c>
      <c r="AI140" s="40" t="s">
        <v>1777</v>
      </c>
    </row>
    <row r="141" spans="1:35" x14ac:dyDescent="0.25">
      <c r="A141" s="36">
        <v>99910139</v>
      </c>
      <c r="B141" s="17" t="s">
        <v>32</v>
      </c>
      <c r="C141" t="s">
        <v>111</v>
      </c>
      <c r="D141" t="s">
        <v>112</v>
      </c>
      <c r="G141" s="17" t="s">
        <v>48</v>
      </c>
      <c r="H141" s="17">
        <v>1</v>
      </c>
      <c r="K141" t="s">
        <v>877</v>
      </c>
      <c r="L141" t="s">
        <v>878</v>
      </c>
      <c r="M141" t="s">
        <v>131</v>
      </c>
      <c r="N141">
        <v>24</v>
      </c>
      <c r="O141" t="s">
        <v>40</v>
      </c>
      <c r="P141" t="s">
        <v>40</v>
      </c>
      <c r="Q141" t="s">
        <v>40</v>
      </c>
      <c r="S141" t="s">
        <v>40</v>
      </c>
      <c r="V141" t="s">
        <v>41</v>
      </c>
      <c r="W141" t="s">
        <v>75</v>
      </c>
      <c r="X141" t="str">
        <f>"7541008"</f>
        <v>7541008</v>
      </c>
      <c r="Y141" t="s">
        <v>879</v>
      </c>
      <c r="Z141" t="s">
        <v>877</v>
      </c>
      <c r="AA141" t="s">
        <v>878</v>
      </c>
      <c r="AB141" t="s">
        <v>131</v>
      </c>
      <c r="AC141" t="s">
        <v>51</v>
      </c>
      <c r="AD141" t="s">
        <v>45</v>
      </c>
      <c r="AE141" s="1">
        <v>33906</v>
      </c>
      <c r="AF141">
        <v>1</v>
      </c>
      <c r="AG141" t="s">
        <v>878</v>
      </c>
      <c r="AH141" s="36">
        <f t="shared" si="2"/>
        <v>26.530555555555555</v>
      </c>
      <c r="AI141" s="40" t="s">
        <v>1777</v>
      </c>
    </row>
    <row r="142" spans="1:35" x14ac:dyDescent="0.25">
      <c r="A142" s="36">
        <v>99910140</v>
      </c>
      <c r="B142" s="17" t="s">
        <v>32</v>
      </c>
      <c r="C142" t="s">
        <v>64</v>
      </c>
      <c r="D142" t="s">
        <v>65</v>
      </c>
      <c r="G142" s="17" t="s">
        <v>35</v>
      </c>
      <c r="H142" s="17">
        <v>1</v>
      </c>
      <c r="I142" s="1">
        <v>42258</v>
      </c>
      <c r="J142" s="1">
        <v>43344</v>
      </c>
      <c r="K142" t="s">
        <v>129</v>
      </c>
      <c r="L142" t="s">
        <v>130</v>
      </c>
      <c r="M142" t="s">
        <v>131</v>
      </c>
      <c r="N142">
        <v>14</v>
      </c>
      <c r="O142" t="s">
        <v>40</v>
      </c>
      <c r="P142" t="s">
        <v>40</v>
      </c>
      <c r="Q142" t="s">
        <v>40</v>
      </c>
      <c r="R142" t="s">
        <v>40</v>
      </c>
      <c r="S142" t="s">
        <v>40</v>
      </c>
      <c r="U142" s="1">
        <v>43344</v>
      </c>
      <c r="V142" t="s">
        <v>41</v>
      </c>
      <c r="W142" t="s">
        <v>49</v>
      </c>
      <c r="X142" t="str">
        <f>"0580150"</f>
        <v>0580150</v>
      </c>
      <c r="Y142" t="s">
        <v>134</v>
      </c>
      <c r="Z142" t="s">
        <v>129</v>
      </c>
      <c r="AA142" t="s">
        <v>130</v>
      </c>
      <c r="AB142" t="s">
        <v>131</v>
      </c>
      <c r="AC142" t="s">
        <v>44</v>
      </c>
      <c r="AD142" t="s">
        <v>45</v>
      </c>
      <c r="AE142" s="1">
        <v>33900</v>
      </c>
      <c r="AF142">
        <v>2</v>
      </c>
      <c r="AG142" t="s">
        <v>130</v>
      </c>
      <c r="AH142" s="36">
        <f t="shared" si="2"/>
        <v>26.547222222222221</v>
      </c>
      <c r="AI142" s="40" t="s">
        <v>1777</v>
      </c>
    </row>
    <row r="143" spans="1:35" x14ac:dyDescent="0.25">
      <c r="A143" s="36">
        <v>99910141</v>
      </c>
      <c r="B143" s="17" t="s">
        <v>32</v>
      </c>
      <c r="C143" t="s">
        <v>90</v>
      </c>
      <c r="D143" t="s">
        <v>91</v>
      </c>
      <c r="G143" s="17" t="s">
        <v>35</v>
      </c>
      <c r="H143" s="17">
        <v>1</v>
      </c>
      <c r="I143" t="s">
        <v>609</v>
      </c>
      <c r="J143" s="1">
        <v>43344</v>
      </c>
      <c r="K143" t="s">
        <v>268</v>
      </c>
      <c r="L143" t="s">
        <v>269</v>
      </c>
      <c r="M143" t="s">
        <v>131</v>
      </c>
      <c r="N143">
        <v>25</v>
      </c>
      <c r="O143" t="s">
        <v>40</v>
      </c>
      <c r="P143" t="s">
        <v>40</v>
      </c>
      <c r="Q143" t="s">
        <v>40</v>
      </c>
      <c r="S143" t="s">
        <v>40</v>
      </c>
      <c r="U143" s="1">
        <v>43344</v>
      </c>
      <c r="V143" t="s">
        <v>41</v>
      </c>
      <c r="W143" t="s">
        <v>95</v>
      </c>
      <c r="X143" t="str">
        <f>"7052049"</f>
        <v>7052049</v>
      </c>
      <c r="Y143" t="s">
        <v>610</v>
      </c>
      <c r="Z143" t="s">
        <v>268</v>
      </c>
      <c r="AA143" t="s">
        <v>269</v>
      </c>
      <c r="AB143" t="s">
        <v>131</v>
      </c>
      <c r="AC143" t="s">
        <v>44</v>
      </c>
      <c r="AD143" t="s">
        <v>45</v>
      </c>
      <c r="AE143" s="1">
        <v>33900</v>
      </c>
      <c r="AF143">
        <v>1</v>
      </c>
      <c r="AG143" t="s">
        <v>269</v>
      </c>
      <c r="AH143" s="36">
        <f t="shared" si="2"/>
        <v>26.547222222222221</v>
      </c>
      <c r="AI143" s="40" t="s">
        <v>1777</v>
      </c>
    </row>
    <row r="144" spans="1:35" x14ac:dyDescent="0.25">
      <c r="A144" s="36">
        <v>99910142</v>
      </c>
      <c r="B144" s="17" t="s">
        <v>32</v>
      </c>
      <c r="C144" t="s">
        <v>71</v>
      </c>
      <c r="D144" t="s">
        <v>72</v>
      </c>
      <c r="G144" s="17" t="s">
        <v>35</v>
      </c>
      <c r="H144" s="17">
        <v>1</v>
      </c>
      <c r="I144" t="s">
        <v>1630</v>
      </c>
      <c r="J144" s="1">
        <v>43344</v>
      </c>
      <c r="K144" t="s">
        <v>1626</v>
      </c>
      <c r="L144" t="s">
        <v>1627</v>
      </c>
      <c r="M144" t="s">
        <v>1592</v>
      </c>
      <c r="N144">
        <v>12</v>
      </c>
      <c r="O144" t="s">
        <v>40</v>
      </c>
      <c r="P144" t="s">
        <v>40</v>
      </c>
      <c r="Q144" t="s">
        <v>40</v>
      </c>
      <c r="R144" t="s">
        <v>40</v>
      </c>
      <c r="S144" t="s">
        <v>40</v>
      </c>
      <c r="U144" s="1">
        <v>43344</v>
      </c>
      <c r="V144" t="s">
        <v>41</v>
      </c>
      <c r="W144" t="s">
        <v>49</v>
      </c>
      <c r="X144" t="str">
        <f>"3681015"</f>
        <v>3681015</v>
      </c>
      <c r="Y144" t="s">
        <v>1629</v>
      </c>
      <c r="Z144" t="s">
        <v>1626</v>
      </c>
      <c r="AA144" t="s">
        <v>1627</v>
      </c>
      <c r="AB144" t="s">
        <v>1592</v>
      </c>
      <c r="AC144" t="s">
        <v>44</v>
      </c>
      <c r="AD144" t="s">
        <v>45</v>
      </c>
      <c r="AE144" s="1">
        <v>33895</v>
      </c>
      <c r="AF144">
        <v>2</v>
      </c>
      <c r="AG144" t="s">
        <v>1627</v>
      </c>
      <c r="AH144" s="36">
        <f t="shared" si="2"/>
        <v>26.56111111111111</v>
      </c>
      <c r="AI144" s="40" t="s">
        <v>1777</v>
      </c>
    </row>
    <row r="145" spans="1:35" x14ac:dyDescent="0.25">
      <c r="A145" s="36">
        <v>99910143</v>
      </c>
      <c r="B145" s="17" t="s">
        <v>32</v>
      </c>
      <c r="C145" t="s">
        <v>111</v>
      </c>
      <c r="D145" t="s">
        <v>112</v>
      </c>
      <c r="G145" s="17" t="s">
        <v>35</v>
      </c>
      <c r="H145" s="17">
        <v>1</v>
      </c>
      <c r="I145" t="s">
        <v>1658</v>
      </c>
      <c r="J145" s="1">
        <v>43344</v>
      </c>
      <c r="K145" t="s">
        <v>1619</v>
      </c>
      <c r="L145" t="s">
        <v>1620</v>
      </c>
      <c r="M145" t="s">
        <v>1592</v>
      </c>
      <c r="N145">
        <v>24</v>
      </c>
      <c r="O145" t="s">
        <v>40</v>
      </c>
      <c r="P145" t="s">
        <v>40</v>
      </c>
      <c r="Q145" t="s">
        <v>40</v>
      </c>
      <c r="R145" t="s">
        <v>40</v>
      </c>
      <c r="S145" t="s">
        <v>40</v>
      </c>
      <c r="U145" s="1">
        <v>43344</v>
      </c>
      <c r="V145" t="s">
        <v>41</v>
      </c>
      <c r="W145" t="s">
        <v>75</v>
      </c>
      <c r="X145" t="str">
        <f>"7281004"</f>
        <v>7281004</v>
      </c>
      <c r="Y145" t="s">
        <v>1651</v>
      </c>
      <c r="Z145" t="s">
        <v>1619</v>
      </c>
      <c r="AA145" t="s">
        <v>1620</v>
      </c>
      <c r="AB145" t="s">
        <v>1592</v>
      </c>
      <c r="AC145" t="s">
        <v>44</v>
      </c>
      <c r="AD145" t="s">
        <v>45</v>
      </c>
      <c r="AE145" s="1">
        <v>33890</v>
      </c>
      <c r="AF145">
        <v>1</v>
      </c>
      <c r="AG145" t="s">
        <v>1620</v>
      </c>
      <c r="AH145" s="36">
        <f t="shared" si="2"/>
        <v>26.574999999999999</v>
      </c>
      <c r="AI145" s="40" t="s">
        <v>1777</v>
      </c>
    </row>
    <row r="146" spans="1:35" x14ac:dyDescent="0.25">
      <c r="A146" s="36">
        <v>99910144</v>
      </c>
      <c r="B146" s="17" t="s">
        <v>32</v>
      </c>
      <c r="C146" t="s">
        <v>111</v>
      </c>
      <c r="D146" t="s">
        <v>112</v>
      </c>
      <c r="G146" s="17" t="s">
        <v>35</v>
      </c>
      <c r="H146" s="17">
        <v>1</v>
      </c>
      <c r="I146" t="s">
        <v>124</v>
      </c>
      <c r="J146" s="1">
        <v>43344</v>
      </c>
      <c r="K146" t="s">
        <v>77</v>
      </c>
      <c r="L146" t="s">
        <v>78</v>
      </c>
      <c r="M146" t="s">
        <v>39</v>
      </c>
      <c r="N146">
        <v>24</v>
      </c>
      <c r="O146" t="s">
        <v>40</v>
      </c>
      <c r="S146" t="s">
        <v>40</v>
      </c>
      <c r="U146" s="1">
        <v>43344</v>
      </c>
      <c r="V146" t="s">
        <v>41</v>
      </c>
      <c r="W146" t="s">
        <v>75</v>
      </c>
      <c r="X146" t="str">
        <f>"7371000"</f>
        <v>7371000</v>
      </c>
      <c r="Y146" t="s">
        <v>76</v>
      </c>
      <c r="Z146" t="s">
        <v>77</v>
      </c>
      <c r="AA146" t="s">
        <v>78</v>
      </c>
      <c r="AB146" t="s">
        <v>39</v>
      </c>
      <c r="AC146" t="s">
        <v>44</v>
      </c>
      <c r="AD146" t="s">
        <v>45</v>
      </c>
      <c r="AE146" s="1">
        <v>33886</v>
      </c>
      <c r="AF146">
        <v>1</v>
      </c>
      <c r="AG146" t="s">
        <v>78</v>
      </c>
      <c r="AH146" s="36">
        <f t="shared" si="2"/>
        <v>26.586111111111112</v>
      </c>
      <c r="AI146" s="40" t="s">
        <v>1777</v>
      </c>
    </row>
    <row r="147" spans="1:35" x14ac:dyDescent="0.25">
      <c r="A147" s="36">
        <v>99910145</v>
      </c>
      <c r="B147" s="17" t="s">
        <v>32</v>
      </c>
      <c r="C147" t="s">
        <v>111</v>
      </c>
      <c r="D147" t="s">
        <v>112</v>
      </c>
      <c r="G147" s="17" t="s">
        <v>35</v>
      </c>
      <c r="H147" s="17">
        <v>1</v>
      </c>
      <c r="I147">
        <v>4954</v>
      </c>
      <c r="J147" s="1">
        <v>43344</v>
      </c>
      <c r="K147" t="s">
        <v>1695</v>
      </c>
      <c r="L147" t="s">
        <v>1696</v>
      </c>
      <c r="M147" t="s">
        <v>1592</v>
      </c>
      <c r="N147">
        <v>24</v>
      </c>
      <c r="O147" t="s">
        <v>40</v>
      </c>
      <c r="P147" t="s">
        <v>40</v>
      </c>
      <c r="Q147" t="s">
        <v>40</v>
      </c>
      <c r="S147" t="s">
        <v>40</v>
      </c>
      <c r="U147" s="1">
        <v>43344</v>
      </c>
      <c r="V147" t="s">
        <v>41</v>
      </c>
      <c r="W147" t="s">
        <v>75</v>
      </c>
      <c r="X147" t="str">
        <f>"7361000"</f>
        <v>7361000</v>
      </c>
      <c r="Y147" t="s">
        <v>1698</v>
      </c>
      <c r="Z147" t="s">
        <v>1695</v>
      </c>
      <c r="AA147" t="s">
        <v>1696</v>
      </c>
      <c r="AB147" t="s">
        <v>1592</v>
      </c>
      <c r="AC147" t="s">
        <v>51</v>
      </c>
      <c r="AD147" t="s">
        <v>45</v>
      </c>
      <c r="AE147" s="1">
        <v>33877</v>
      </c>
      <c r="AF147">
        <v>1</v>
      </c>
      <c r="AG147" t="s">
        <v>1696</v>
      </c>
      <c r="AH147" s="36">
        <f t="shared" si="2"/>
        <v>26.611111111111111</v>
      </c>
      <c r="AI147" s="40" t="s">
        <v>1777</v>
      </c>
    </row>
    <row r="148" spans="1:35" x14ac:dyDescent="0.25">
      <c r="A148" s="36">
        <v>99910146</v>
      </c>
      <c r="B148" s="17" t="s">
        <v>56</v>
      </c>
      <c r="C148" t="s">
        <v>111</v>
      </c>
      <c r="D148" t="s">
        <v>112</v>
      </c>
      <c r="G148" s="17" t="s">
        <v>35</v>
      </c>
      <c r="H148" s="17">
        <v>1</v>
      </c>
      <c r="I148" t="s">
        <v>1232</v>
      </c>
      <c r="J148" s="1">
        <v>43344</v>
      </c>
      <c r="K148" t="s">
        <v>1221</v>
      </c>
      <c r="L148" t="s">
        <v>1222</v>
      </c>
      <c r="M148" t="s">
        <v>1130</v>
      </c>
      <c r="N148">
        <v>24</v>
      </c>
      <c r="O148" t="s">
        <v>40</v>
      </c>
      <c r="S148" t="s">
        <v>40</v>
      </c>
      <c r="U148" s="1">
        <v>43344</v>
      </c>
      <c r="V148" t="s">
        <v>41</v>
      </c>
      <c r="W148" t="s">
        <v>75</v>
      </c>
      <c r="X148" t="str">
        <f>"7351004"</f>
        <v>7351004</v>
      </c>
      <c r="Y148" t="s">
        <v>1225</v>
      </c>
      <c r="Z148" t="s">
        <v>1221</v>
      </c>
      <c r="AA148" t="s">
        <v>1222</v>
      </c>
      <c r="AB148" t="s">
        <v>1130</v>
      </c>
      <c r="AC148" t="s">
        <v>51</v>
      </c>
      <c r="AD148" t="s">
        <v>45</v>
      </c>
      <c r="AE148" s="1">
        <v>33869</v>
      </c>
      <c r="AF148">
        <v>1</v>
      </c>
      <c r="AG148" t="s">
        <v>1222</v>
      </c>
      <c r="AH148" s="36">
        <f t="shared" si="2"/>
        <v>26.633333333333333</v>
      </c>
      <c r="AI148" s="40" t="s">
        <v>1777</v>
      </c>
    </row>
    <row r="149" spans="1:35" x14ac:dyDescent="0.25">
      <c r="A149" s="36">
        <v>99910147</v>
      </c>
      <c r="B149" s="17" t="s">
        <v>56</v>
      </c>
      <c r="C149" t="s">
        <v>64</v>
      </c>
      <c r="D149" t="s">
        <v>65</v>
      </c>
      <c r="G149" s="17" t="s">
        <v>35</v>
      </c>
      <c r="H149" s="17">
        <v>3</v>
      </c>
      <c r="I149">
        <v>13104</v>
      </c>
      <c r="J149" s="1">
        <v>43344</v>
      </c>
      <c r="K149" t="s">
        <v>1268</v>
      </c>
      <c r="L149" t="s">
        <v>1269</v>
      </c>
      <c r="M149" t="s">
        <v>1270</v>
      </c>
      <c r="N149">
        <v>23</v>
      </c>
      <c r="O149" t="s">
        <v>40</v>
      </c>
      <c r="P149" t="s">
        <v>40</v>
      </c>
      <c r="Q149" t="s">
        <v>40</v>
      </c>
      <c r="R149" t="s">
        <v>40</v>
      </c>
      <c r="S149" t="s">
        <v>40</v>
      </c>
      <c r="U149" s="1">
        <v>43344</v>
      </c>
      <c r="V149" t="s">
        <v>41</v>
      </c>
      <c r="W149" t="s">
        <v>49</v>
      </c>
      <c r="X149" t="str">
        <f>"1981055"</f>
        <v>1981055</v>
      </c>
      <c r="Y149" t="s">
        <v>1280</v>
      </c>
      <c r="Z149" t="s">
        <v>1268</v>
      </c>
      <c r="AA149" t="s">
        <v>1269</v>
      </c>
      <c r="AB149" t="s">
        <v>1270</v>
      </c>
      <c r="AC149" t="s">
        <v>51</v>
      </c>
      <c r="AD149" t="s">
        <v>45</v>
      </c>
      <c r="AE149" s="1">
        <v>33868</v>
      </c>
      <c r="AF149">
        <v>2</v>
      </c>
      <c r="AG149" t="s">
        <v>1269</v>
      </c>
      <c r="AH149" s="36">
        <f t="shared" si="2"/>
        <v>26.636111111111113</v>
      </c>
      <c r="AI149" s="40" t="s">
        <v>1777</v>
      </c>
    </row>
    <row r="150" spans="1:35" x14ac:dyDescent="0.25">
      <c r="A150" s="36">
        <v>99910148</v>
      </c>
      <c r="B150" s="17" t="s">
        <v>32</v>
      </c>
      <c r="C150" t="s">
        <v>111</v>
      </c>
      <c r="D150" t="s">
        <v>112</v>
      </c>
      <c r="G150" s="17" t="s">
        <v>35</v>
      </c>
      <c r="H150" s="17">
        <v>1</v>
      </c>
      <c r="I150">
        <v>19175</v>
      </c>
      <c r="J150" s="1">
        <v>43344</v>
      </c>
      <c r="K150" t="s">
        <v>877</v>
      </c>
      <c r="L150" t="s">
        <v>878</v>
      </c>
      <c r="M150" t="s">
        <v>131</v>
      </c>
      <c r="N150">
        <v>24</v>
      </c>
      <c r="O150" t="s">
        <v>40</v>
      </c>
      <c r="S150" t="s">
        <v>40</v>
      </c>
      <c r="U150" s="1">
        <v>43344</v>
      </c>
      <c r="V150" t="s">
        <v>41</v>
      </c>
      <c r="W150" t="s">
        <v>75</v>
      </c>
      <c r="X150" t="str">
        <f>"7541020"</f>
        <v>7541020</v>
      </c>
      <c r="Y150" t="s">
        <v>882</v>
      </c>
      <c r="Z150" t="s">
        <v>877</v>
      </c>
      <c r="AA150" t="s">
        <v>878</v>
      </c>
      <c r="AB150" t="s">
        <v>131</v>
      </c>
      <c r="AC150" t="s">
        <v>44</v>
      </c>
      <c r="AD150" t="s">
        <v>45</v>
      </c>
      <c r="AE150" s="1">
        <v>33863</v>
      </c>
      <c r="AF150">
        <v>1</v>
      </c>
      <c r="AG150" t="s">
        <v>878</v>
      </c>
      <c r="AH150" s="36">
        <f t="shared" si="2"/>
        <v>26.65</v>
      </c>
      <c r="AI150" s="40" t="s">
        <v>1777</v>
      </c>
    </row>
    <row r="151" spans="1:35" x14ac:dyDescent="0.25">
      <c r="A151" s="36">
        <v>99910149</v>
      </c>
      <c r="B151" s="17" t="s">
        <v>32</v>
      </c>
      <c r="C151" t="s">
        <v>111</v>
      </c>
      <c r="D151" t="s">
        <v>112</v>
      </c>
      <c r="G151" s="17" t="s">
        <v>35</v>
      </c>
      <c r="H151" s="17">
        <v>1</v>
      </c>
      <c r="I151">
        <v>1</v>
      </c>
      <c r="J151" s="1">
        <v>43344</v>
      </c>
      <c r="K151" t="s">
        <v>1198</v>
      </c>
      <c r="L151" t="s">
        <v>1199</v>
      </c>
      <c r="M151" t="s">
        <v>1130</v>
      </c>
      <c r="N151">
        <v>24</v>
      </c>
      <c r="O151" t="s">
        <v>40</v>
      </c>
      <c r="P151" t="s">
        <v>40</v>
      </c>
      <c r="Q151" t="s">
        <v>40</v>
      </c>
      <c r="S151" t="s">
        <v>40</v>
      </c>
      <c r="U151" s="1">
        <v>43344</v>
      </c>
      <c r="V151" t="s">
        <v>41</v>
      </c>
      <c r="W151" t="s">
        <v>75</v>
      </c>
      <c r="X151" t="str">
        <f>"7311010"</f>
        <v>7311010</v>
      </c>
      <c r="Y151" t="s">
        <v>1202</v>
      </c>
      <c r="Z151" t="s">
        <v>1198</v>
      </c>
      <c r="AA151" t="s">
        <v>1199</v>
      </c>
      <c r="AB151" t="s">
        <v>1130</v>
      </c>
      <c r="AC151" t="s">
        <v>51</v>
      </c>
      <c r="AD151" t="s">
        <v>45</v>
      </c>
      <c r="AE151" s="1">
        <v>33861</v>
      </c>
      <c r="AF151">
        <v>1</v>
      </c>
      <c r="AG151" t="s">
        <v>1199</v>
      </c>
      <c r="AH151" s="36">
        <f t="shared" si="2"/>
        <v>26.655555555555555</v>
      </c>
      <c r="AI151" s="40" t="s">
        <v>1777</v>
      </c>
    </row>
    <row r="152" spans="1:35" x14ac:dyDescent="0.25">
      <c r="A152" s="36">
        <v>99910150</v>
      </c>
      <c r="B152" s="17" t="s">
        <v>32</v>
      </c>
      <c r="C152" t="s">
        <v>111</v>
      </c>
      <c r="D152" t="s">
        <v>112</v>
      </c>
      <c r="G152" s="17" t="s">
        <v>48</v>
      </c>
      <c r="H152" s="17">
        <v>1</v>
      </c>
      <c r="K152" t="s">
        <v>1619</v>
      </c>
      <c r="L152" t="s">
        <v>1620</v>
      </c>
      <c r="M152" t="s">
        <v>1592</v>
      </c>
      <c r="N152">
        <v>24</v>
      </c>
      <c r="O152" t="s">
        <v>40</v>
      </c>
      <c r="P152" t="s">
        <v>40</v>
      </c>
      <c r="Q152" t="s">
        <v>40</v>
      </c>
      <c r="R152" t="s">
        <v>40</v>
      </c>
      <c r="S152" t="s">
        <v>40</v>
      </c>
      <c r="V152" t="s">
        <v>41</v>
      </c>
      <c r="W152" t="s">
        <v>75</v>
      </c>
      <c r="X152" t="str">
        <f>"7281006"</f>
        <v>7281006</v>
      </c>
      <c r="Y152" t="s">
        <v>1618</v>
      </c>
      <c r="Z152" t="s">
        <v>1619</v>
      </c>
      <c r="AA152" t="s">
        <v>1620</v>
      </c>
      <c r="AB152" t="s">
        <v>1592</v>
      </c>
      <c r="AC152" t="s">
        <v>51</v>
      </c>
      <c r="AD152" t="s">
        <v>45</v>
      </c>
      <c r="AE152" s="1">
        <v>33860</v>
      </c>
      <c r="AF152">
        <v>1</v>
      </c>
      <c r="AG152" t="s">
        <v>1620</v>
      </c>
      <c r="AH152" s="36">
        <f t="shared" si="2"/>
        <v>26.658333333333335</v>
      </c>
      <c r="AI152" s="40" t="s">
        <v>1777</v>
      </c>
    </row>
    <row r="153" spans="1:35" x14ac:dyDescent="0.25">
      <c r="A153" s="36">
        <v>99910151</v>
      </c>
      <c r="B153" s="17" t="s">
        <v>32</v>
      </c>
      <c r="C153" t="s">
        <v>111</v>
      </c>
      <c r="D153" t="s">
        <v>112</v>
      </c>
      <c r="G153" s="17" t="s">
        <v>35</v>
      </c>
      <c r="H153" s="17">
        <v>1</v>
      </c>
      <c r="I153">
        <v>0</v>
      </c>
      <c r="J153" s="1">
        <v>43344</v>
      </c>
      <c r="K153" t="s">
        <v>985</v>
      </c>
      <c r="L153" t="s">
        <v>986</v>
      </c>
      <c r="M153" t="s">
        <v>938</v>
      </c>
      <c r="N153">
        <v>24</v>
      </c>
      <c r="O153" t="s">
        <v>40</v>
      </c>
      <c r="S153" t="s">
        <v>40</v>
      </c>
      <c r="U153" s="1">
        <v>43344</v>
      </c>
      <c r="V153" t="s">
        <v>41</v>
      </c>
      <c r="W153" t="s">
        <v>75</v>
      </c>
      <c r="X153" t="str">
        <f>"7011004"</f>
        <v>7011004</v>
      </c>
      <c r="Y153" t="s">
        <v>987</v>
      </c>
      <c r="Z153" t="s">
        <v>985</v>
      </c>
      <c r="AA153" t="s">
        <v>986</v>
      </c>
      <c r="AB153" t="s">
        <v>938</v>
      </c>
      <c r="AC153" t="s">
        <v>51</v>
      </c>
      <c r="AD153" t="s">
        <v>45</v>
      </c>
      <c r="AE153" s="1">
        <v>33855</v>
      </c>
      <c r="AF153">
        <v>1</v>
      </c>
      <c r="AG153" t="s">
        <v>986</v>
      </c>
      <c r="AH153" s="36">
        <f t="shared" si="2"/>
        <v>26.672222222222221</v>
      </c>
      <c r="AI153" s="40" t="s">
        <v>1777</v>
      </c>
    </row>
    <row r="154" spans="1:35" x14ac:dyDescent="0.25">
      <c r="A154" s="36">
        <v>99910152</v>
      </c>
      <c r="B154" s="17" t="s">
        <v>32</v>
      </c>
      <c r="C154" t="s">
        <v>111</v>
      </c>
      <c r="D154" t="s">
        <v>112</v>
      </c>
      <c r="G154" s="17" t="s">
        <v>35</v>
      </c>
      <c r="H154" s="17">
        <v>1</v>
      </c>
      <c r="K154" t="s">
        <v>154</v>
      </c>
      <c r="L154" t="s">
        <v>155</v>
      </c>
      <c r="M154" t="s">
        <v>131</v>
      </c>
      <c r="N154">
        <v>24</v>
      </c>
      <c r="O154" t="s">
        <v>40</v>
      </c>
      <c r="P154" t="s">
        <v>40</v>
      </c>
      <c r="Q154" t="s">
        <v>40</v>
      </c>
      <c r="S154" t="s">
        <v>40</v>
      </c>
      <c r="V154" t="s">
        <v>41</v>
      </c>
      <c r="W154" t="s">
        <v>75</v>
      </c>
      <c r="X154" t="str">
        <f>"7051014"</f>
        <v>7051014</v>
      </c>
      <c r="Y154" t="s">
        <v>398</v>
      </c>
      <c r="Z154" t="s">
        <v>154</v>
      </c>
      <c r="AA154" t="s">
        <v>155</v>
      </c>
      <c r="AB154" t="s">
        <v>131</v>
      </c>
      <c r="AC154" t="s">
        <v>165</v>
      </c>
      <c r="AD154" t="s">
        <v>45</v>
      </c>
      <c r="AE154" s="1">
        <v>33848</v>
      </c>
      <c r="AF154">
        <v>1</v>
      </c>
      <c r="AG154" t="s">
        <v>155</v>
      </c>
      <c r="AH154" s="36">
        <f t="shared" si="2"/>
        <v>26.691666666666666</v>
      </c>
      <c r="AI154" s="40" t="s">
        <v>1777</v>
      </c>
    </row>
    <row r="155" spans="1:35" x14ac:dyDescent="0.25">
      <c r="A155" s="36">
        <v>99910153</v>
      </c>
      <c r="B155" s="17" t="s">
        <v>32</v>
      </c>
      <c r="C155" t="s">
        <v>90</v>
      </c>
      <c r="D155" t="s">
        <v>91</v>
      </c>
      <c r="G155" s="17" t="s">
        <v>35</v>
      </c>
      <c r="H155" s="17">
        <v>1</v>
      </c>
      <c r="I155" t="s">
        <v>1378</v>
      </c>
      <c r="J155" s="1">
        <v>43344</v>
      </c>
      <c r="K155" t="s">
        <v>1341</v>
      </c>
      <c r="L155" t="s">
        <v>1342</v>
      </c>
      <c r="M155" t="s">
        <v>1270</v>
      </c>
      <c r="N155">
        <v>24</v>
      </c>
      <c r="O155" t="s">
        <v>40</v>
      </c>
      <c r="S155" t="s">
        <v>40</v>
      </c>
      <c r="U155" s="1">
        <v>43344</v>
      </c>
      <c r="V155" t="s">
        <v>41</v>
      </c>
      <c r="W155" t="s">
        <v>95</v>
      </c>
      <c r="X155" t="str">
        <f>"7191019"</f>
        <v>7191019</v>
      </c>
      <c r="Y155" t="s">
        <v>1379</v>
      </c>
      <c r="Z155" t="s">
        <v>1341</v>
      </c>
      <c r="AA155" t="s">
        <v>1342</v>
      </c>
      <c r="AB155" t="s">
        <v>1270</v>
      </c>
      <c r="AC155" t="s">
        <v>44</v>
      </c>
      <c r="AD155" t="s">
        <v>45</v>
      </c>
      <c r="AE155" s="1">
        <v>33840</v>
      </c>
      <c r="AF155">
        <v>1</v>
      </c>
      <c r="AG155" t="s">
        <v>1342</v>
      </c>
      <c r="AH155" s="36">
        <f t="shared" si="2"/>
        <v>26.713888888888889</v>
      </c>
      <c r="AI155" s="40" t="s">
        <v>1777</v>
      </c>
    </row>
    <row r="156" spans="1:35" x14ac:dyDescent="0.25">
      <c r="A156" s="36">
        <v>99910154</v>
      </c>
      <c r="B156" s="17" t="s">
        <v>32</v>
      </c>
      <c r="C156" t="s">
        <v>111</v>
      </c>
      <c r="D156" t="s">
        <v>112</v>
      </c>
      <c r="G156" s="17" t="s">
        <v>35</v>
      </c>
      <c r="H156" s="17">
        <v>1</v>
      </c>
      <c r="K156" t="s">
        <v>1619</v>
      </c>
      <c r="L156" t="s">
        <v>1620</v>
      </c>
      <c r="M156" t="s">
        <v>1592</v>
      </c>
      <c r="N156">
        <v>24</v>
      </c>
      <c r="O156" t="s">
        <v>40</v>
      </c>
      <c r="P156" t="s">
        <v>40</v>
      </c>
      <c r="Q156" t="s">
        <v>40</v>
      </c>
      <c r="S156" t="s">
        <v>40</v>
      </c>
      <c r="V156" t="s">
        <v>41</v>
      </c>
      <c r="W156" t="s">
        <v>75</v>
      </c>
      <c r="X156" t="str">
        <f>"7281000"</f>
        <v>7281000</v>
      </c>
      <c r="Y156" t="s">
        <v>1648</v>
      </c>
      <c r="Z156" t="s">
        <v>1619</v>
      </c>
      <c r="AA156" t="s">
        <v>1620</v>
      </c>
      <c r="AB156" t="s">
        <v>1592</v>
      </c>
      <c r="AC156" t="s">
        <v>51</v>
      </c>
      <c r="AD156" t="s">
        <v>45</v>
      </c>
      <c r="AE156" s="1">
        <v>33834</v>
      </c>
      <c r="AF156">
        <v>1</v>
      </c>
      <c r="AG156" t="s">
        <v>1620</v>
      </c>
      <c r="AH156" s="36">
        <f t="shared" si="2"/>
        <v>26.730555555555554</v>
      </c>
      <c r="AI156" s="40" t="s">
        <v>1777</v>
      </c>
    </row>
    <row r="157" spans="1:35" x14ac:dyDescent="0.25">
      <c r="A157" s="36">
        <v>99910155</v>
      </c>
      <c r="B157" s="17" t="s">
        <v>32</v>
      </c>
      <c r="C157" t="s">
        <v>90</v>
      </c>
      <c r="D157" t="s">
        <v>91</v>
      </c>
      <c r="G157" s="17" t="s">
        <v>35</v>
      </c>
      <c r="H157" s="17">
        <v>1</v>
      </c>
      <c r="I157">
        <v>5529</v>
      </c>
      <c r="J157" s="1">
        <v>43344</v>
      </c>
      <c r="K157" t="s">
        <v>1631</v>
      </c>
      <c r="L157" t="s">
        <v>1632</v>
      </c>
      <c r="M157" t="s">
        <v>1592</v>
      </c>
      <c r="N157">
        <v>25</v>
      </c>
      <c r="O157" t="s">
        <v>40</v>
      </c>
      <c r="S157" t="s">
        <v>40</v>
      </c>
      <c r="U157" s="1">
        <v>43344</v>
      </c>
      <c r="V157" t="s">
        <v>41</v>
      </c>
      <c r="W157" t="s">
        <v>95</v>
      </c>
      <c r="X157" t="str">
        <f>"7021017"</f>
        <v>7021017</v>
      </c>
      <c r="Y157" t="s">
        <v>1642</v>
      </c>
      <c r="Z157" t="s">
        <v>1631</v>
      </c>
      <c r="AA157" t="s">
        <v>1632</v>
      </c>
      <c r="AB157" t="s">
        <v>1592</v>
      </c>
      <c r="AC157" t="s">
        <v>51</v>
      </c>
      <c r="AD157" t="s">
        <v>45</v>
      </c>
      <c r="AE157" s="1">
        <v>33829</v>
      </c>
      <c r="AF157">
        <v>1</v>
      </c>
      <c r="AG157" t="s">
        <v>1632</v>
      </c>
      <c r="AH157" s="36">
        <f t="shared" si="2"/>
        <v>26.744444444444444</v>
      </c>
      <c r="AI157" s="40" t="s">
        <v>1777</v>
      </c>
    </row>
    <row r="158" spans="1:35" x14ac:dyDescent="0.25">
      <c r="A158" s="36">
        <v>99910156</v>
      </c>
      <c r="B158" s="17" t="s">
        <v>32</v>
      </c>
      <c r="C158" t="s">
        <v>64</v>
      </c>
      <c r="D158" t="s">
        <v>65</v>
      </c>
      <c r="G158" s="17" t="s">
        <v>35</v>
      </c>
      <c r="H158" s="17">
        <v>1</v>
      </c>
      <c r="I158">
        <v>17171</v>
      </c>
      <c r="J158" s="1">
        <v>43344</v>
      </c>
      <c r="K158" t="s">
        <v>300</v>
      </c>
      <c r="L158" t="s">
        <v>301</v>
      </c>
      <c r="M158" t="s">
        <v>131</v>
      </c>
      <c r="N158">
        <v>10</v>
      </c>
      <c r="O158" t="s">
        <v>40</v>
      </c>
      <c r="P158" t="s">
        <v>40</v>
      </c>
      <c r="Q158" t="s">
        <v>40</v>
      </c>
      <c r="R158" t="s">
        <v>40</v>
      </c>
      <c r="S158" t="s">
        <v>40</v>
      </c>
      <c r="U158" s="1">
        <v>43344</v>
      </c>
      <c r="V158" t="s">
        <v>41</v>
      </c>
      <c r="W158" t="s">
        <v>49</v>
      </c>
      <c r="X158" t="str">
        <f>"0560013"</f>
        <v>0560013</v>
      </c>
      <c r="Y158" t="s">
        <v>324</v>
      </c>
      <c r="Z158" t="s">
        <v>300</v>
      </c>
      <c r="AA158" t="s">
        <v>301</v>
      </c>
      <c r="AB158" t="s">
        <v>131</v>
      </c>
      <c r="AC158" t="s">
        <v>44</v>
      </c>
      <c r="AD158" t="s">
        <v>45</v>
      </c>
      <c r="AE158" s="1">
        <v>33827</v>
      </c>
      <c r="AF158">
        <v>2</v>
      </c>
      <c r="AG158" t="s">
        <v>301</v>
      </c>
      <c r="AH158" s="36">
        <f t="shared" si="2"/>
        <v>26.75</v>
      </c>
      <c r="AI158" s="40" t="s">
        <v>1777</v>
      </c>
    </row>
    <row r="159" spans="1:35" x14ac:dyDescent="0.25">
      <c r="A159" s="36">
        <v>99910157</v>
      </c>
      <c r="B159" s="17" t="s">
        <v>32</v>
      </c>
      <c r="C159" t="s">
        <v>111</v>
      </c>
      <c r="D159" t="s">
        <v>112</v>
      </c>
      <c r="G159" s="17" t="s">
        <v>48</v>
      </c>
      <c r="H159" s="17">
        <v>1</v>
      </c>
      <c r="K159" t="s">
        <v>1564</v>
      </c>
      <c r="L159" t="s">
        <v>1565</v>
      </c>
      <c r="M159" t="s">
        <v>1548</v>
      </c>
      <c r="N159">
        <v>24</v>
      </c>
      <c r="O159" t="s">
        <v>40</v>
      </c>
      <c r="P159" t="s">
        <v>40</v>
      </c>
      <c r="Q159" t="s">
        <v>40</v>
      </c>
      <c r="S159" t="s">
        <v>40</v>
      </c>
      <c r="V159" t="s">
        <v>41</v>
      </c>
      <c r="W159" t="s">
        <v>75</v>
      </c>
      <c r="X159" t="str">
        <f>"7101002"</f>
        <v>7101002</v>
      </c>
      <c r="Y159" t="s">
        <v>1563</v>
      </c>
      <c r="Z159" t="s">
        <v>1564</v>
      </c>
      <c r="AA159" t="s">
        <v>1565</v>
      </c>
      <c r="AB159" t="s">
        <v>1548</v>
      </c>
      <c r="AC159" t="s">
        <v>51</v>
      </c>
      <c r="AD159" t="s">
        <v>45</v>
      </c>
      <c r="AE159" s="1">
        <v>33824</v>
      </c>
      <c r="AF159">
        <v>1</v>
      </c>
      <c r="AG159" t="s">
        <v>1565</v>
      </c>
      <c r="AH159" s="36">
        <f t="shared" si="2"/>
        <v>26.758333333333333</v>
      </c>
      <c r="AI159" s="40" t="s">
        <v>1777</v>
      </c>
    </row>
    <row r="160" spans="1:35" x14ac:dyDescent="0.25">
      <c r="A160" s="36">
        <v>99910158</v>
      </c>
      <c r="B160" s="17" t="s">
        <v>32</v>
      </c>
      <c r="C160" t="s">
        <v>111</v>
      </c>
      <c r="D160" t="s">
        <v>112</v>
      </c>
      <c r="G160" s="17" t="s">
        <v>35</v>
      </c>
      <c r="H160" s="17">
        <v>1</v>
      </c>
      <c r="I160" s="1">
        <v>43011</v>
      </c>
      <c r="J160" s="1">
        <v>43344</v>
      </c>
      <c r="K160" t="s">
        <v>1341</v>
      </c>
      <c r="L160" t="s">
        <v>1342</v>
      </c>
      <c r="M160" t="s">
        <v>1270</v>
      </c>
      <c r="N160">
        <v>24</v>
      </c>
      <c r="O160" t="s">
        <v>40</v>
      </c>
      <c r="S160" t="s">
        <v>40</v>
      </c>
      <c r="U160" s="1">
        <v>43344</v>
      </c>
      <c r="V160" t="s">
        <v>41</v>
      </c>
      <c r="W160" t="s">
        <v>75</v>
      </c>
      <c r="X160" t="str">
        <f>"7191000"</f>
        <v>7191000</v>
      </c>
      <c r="Y160" t="s">
        <v>1347</v>
      </c>
      <c r="Z160" t="s">
        <v>1341</v>
      </c>
      <c r="AA160" t="s">
        <v>1342</v>
      </c>
      <c r="AB160" t="s">
        <v>1270</v>
      </c>
      <c r="AC160" t="s">
        <v>44</v>
      </c>
      <c r="AD160" t="s">
        <v>45</v>
      </c>
      <c r="AE160" s="1">
        <v>33820</v>
      </c>
      <c r="AF160">
        <v>1</v>
      </c>
      <c r="AG160" t="s">
        <v>1342</v>
      </c>
      <c r="AH160" s="36">
        <f t="shared" si="2"/>
        <v>26.769444444444446</v>
      </c>
      <c r="AI160" s="40" t="s">
        <v>1777</v>
      </c>
    </row>
    <row r="161" spans="1:35" x14ac:dyDescent="0.25">
      <c r="A161" s="36">
        <v>99910159</v>
      </c>
      <c r="B161" s="17" t="s">
        <v>32</v>
      </c>
      <c r="C161" t="s">
        <v>71</v>
      </c>
      <c r="D161" t="s">
        <v>72</v>
      </c>
      <c r="G161" s="17" t="s">
        <v>35</v>
      </c>
      <c r="H161" s="17">
        <v>1</v>
      </c>
      <c r="I161" s="1">
        <v>42633</v>
      </c>
      <c r="J161" s="1">
        <v>43344</v>
      </c>
      <c r="K161" t="s">
        <v>1341</v>
      </c>
      <c r="L161" t="s">
        <v>1342</v>
      </c>
      <c r="M161" t="s">
        <v>1270</v>
      </c>
      <c r="N161">
        <v>4</v>
      </c>
      <c r="O161" t="s">
        <v>40</v>
      </c>
      <c r="P161" t="s">
        <v>40</v>
      </c>
      <c r="Q161" t="s">
        <v>40</v>
      </c>
      <c r="S161" t="s">
        <v>40</v>
      </c>
      <c r="U161" s="1">
        <v>43344</v>
      </c>
      <c r="V161" t="s">
        <v>41</v>
      </c>
      <c r="W161" t="s">
        <v>75</v>
      </c>
      <c r="X161" t="str">
        <f>"7191036"</f>
        <v>7191036</v>
      </c>
      <c r="Y161" t="s">
        <v>1348</v>
      </c>
      <c r="Z161" t="s">
        <v>1341</v>
      </c>
      <c r="AA161" t="s">
        <v>1342</v>
      </c>
      <c r="AB161" t="s">
        <v>1270</v>
      </c>
      <c r="AC161" t="s">
        <v>44</v>
      </c>
      <c r="AD161" t="s">
        <v>45</v>
      </c>
      <c r="AE161" s="1">
        <v>33819</v>
      </c>
      <c r="AF161">
        <v>1</v>
      </c>
      <c r="AG161" t="s">
        <v>1342</v>
      </c>
      <c r="AH161" s="36">
        <f t="shared" si="2"/>
        <v>26.772222222222222</v>
      </c>
      <c r="AI161" s="40" t="s">
        <v>1777</v>
      </c>
    </row>
    <row r="162" spans="1:35" x14ac:dyDescent="0.25">
      <c r="A162" s="36">
        <v>99910160</v>
      </c>
      <c r="B162" s="17" t="s">
        <v>56</v>
      </c>
      <c r="C162" t="s">
        <v>143</v>
      </c>
      <c r="D162" t="s">
        <v>144</v>
      </c>
      <c r="G162" s="17" t="s">
        <v>35</v>
      </c>
      <c r="H162" s="17">
        <v>1</v>
      </c>
      <c r="I162">
        <v>24574</v>
      </c>
      <c r="J162" s="1">
        <v>43405</v>
      </c>
      <c r="K162" t="s">
        <v>380</v>
      </c>
      <c r="L162" t="s">
        <v>381</v>
      </c>
      <c r="M162" t="s">
        <v>131</v>
      </c>
      <c r="N162">
        <v>2</v>
      </c>
      <c r="O162" t="s">
        <v>40</v>
      </c>
      <c r="S162" t="s">
        <v>40</v>
      </c>
      <c r="U162" s="1">
        <v>43405</v>
      </c>
      <c r="V162" t="s">
        <v>41</v>
      </c>
      <c r="W162" t="s">
        <v>49</v>
      </c>
      <c r="X162" t="str">
        <f>"0561020"</f>
        <v>0561020</v>
      </c>
      <c r="Y162" t="s">
        <v>390</v>
      </c>
      <c r="Z162" t="s">
        <v>380</v>
      </c>
      <c r="AA162" t="s">
        <v>381</v>
      </c>
      <c r="AB162" t="s">
        <v>131</v>
      </c>
      <c r="AC162" t="s">
        <v>44</v>
      </c>
      <c r="AD162" t="s">
        <v>45</v>
      </c>
      <c r="AE162" s="1">
        <v>33818</v>
      </c>
      <c r="AF162">
        <v>2</v>
      </c>
      <c r="AG162" t="s">
        <v>381</v>
      </c>
      <c r="AH162" s="36">
        <f t="shared" si="2"/>
        <v>26.774999999999999</v>
      </c>
      <c r="AI162" s="40" t="s">
        <v>1777</v>
      </c>
    </row>
    <row r="163" spans="1:35" x14ac:dyDescent="0.25">
      <c r="A163" s="36">
        <v>99910161</v>
      </c>
      <c r="B163" s="17" t="s">
        <v>32</v>
      </c>
      <c r="C163" t="s">
        <v>111</v>
      </c>
      <c r="D163" t="s">
        <v>112</v>
      </c>
      <c r="G163" s="17" t="s">
        <v>35</v>
      </c>
      <c r="H163" s="17">
        <v>1</v>
      </c>
      <c r="I163">
        <v>7769</v>
      </c>
      <c r="J163" s="1">
        <v>43374</v>
      </c>
      <c r="K163" t="s">
        <v>1198</v>
      </c>
      <c r="L163" t="s">
        <v>1199</v>
      </c>
      <c r="M163" t="s">
        <v>1130</v>
      </c>
      <c r="N163">
        <v>24</v>
      </c>
      <c r="O163" t="s">
        <v>40</v>
      </c>
      <c r="S163" t="s">
        <v>40</v>
      </c>
      <c r="U163" s="1">
        <v>43374</v>
      </c>
      <c r="V163" t="s">
        <v>41</v>
      </c>
      <c r="W163" t="s">
        <v>75</v>
      </c>
      <c r="X163" t="str">
        <f>"7311000"</f>
        <v>7311000</v>
      </c>
      <c r="Y163" t="s">
        <v>1208</v>
      </c>
      <c r="Z163" t="s">
        <v>1198</v>
      </c>
      <c r="AA163" t="s">
        <v>1199</v>
      </c>
      <c r="AB163" t="s">
        <v>1130</v>
      </c>
      <c r="AC163" t="s">
        <v>55</v>
      </c>
      <c r="AD163" t="s">
        <v>45</v>
      </c>
      <c r="AE163" s="1">
        <v>33818</v>
      </c>
      <c r="AF163">
        <v>1</v>
      </c>
      <c r="AG163" t="s">
        <v>1199</v>
      </c>
      <c r="AH163" s="36">
        <f t="shared" si="2"/>
        <v>26.774999999999999</v>
      </c>
      <c r="AI163" s="40" t="s">
        <v>1777</v>
      </c>
    </row>
    <row r="164" spans="1:35" x14ac:dyDescent="0.25">
      <c r="A164" s="36">
        <v>99910162</v>
      </c>
      <c r="B164" s="17" t="s">
        <v>32</v>
      </c>
      <c r="C164" t="s">
        <v>111</v>
      </c>
      <c r="D164" t="s">
        <v>112</v>
      </c>
      <c r="G164" s="17" t="s">
        <v>35</v>
      </c>
      <c r="H164" s="17">
        <v>1</v>
      </c>
      <c r="I164" t="s">
        <v>1530</v>
      </c>
      <c r="J164" s="1">
        <v>43434</v>
      </c>
      <c r="K164" t="s">
        <v>667</v>
      </c>
      <c r="L164" t="s">
        <v>669</v>
      </c>
      <c r="M164" t="s">
        <v>670</v>
      </c>
      <c r="N164">
        <v>24</v>
      </c>
      <c r="O164" t="s">
        <v>40</v>
      </c>
      <c r="S164" t="s">
        <v>40</v>
      </c>
      <c r="U164" s="1">
        <v>43434</v>
      </c>
      <c r="V164" t="s">
        <v>41</v>
      </c>
      <c r="W164" t="s">
        <v>75</v>
      </c>
      <c r="X164" t="str">
        <f>"7501004"</f>
        <v>7501004</v>
      </c>
      <c r="Y164" t="s">
        <v>1500</v>
      </c>
      <c r="Z164" t="s">
        <v>667</v>
      </c>
      <c r="AA164" t="s">
        <v>669</v>
      </c>
      <c r="AB164" t="s">
        <v>670</v>
      </c>
      <c r="AC164" t="s">
        <v>44</v>
      </c>
      <c r="AD164" t="s">
        <v>45</v>
      </c>
      <c r="AE164" s="1">
        <v>33814</v>
      </c>
      <c r="AF164">
        <v>1</v>
      </c>
      <c r="AG164" t="s">
        <v>669</v>
      </c>
      <c r="AH164" s="36">
        <f t="shared" si="2"/>
        <v>26.786111111111111</v>
      </c>
      <c r="AI164" s="40" t="s">
        <v>1777</v>
      </c>
    </row>
    <row r="165" spans="1:35" x14ac:dyDescent="0.25">
      <c r="A165" s="36">
        <v>99910163</v>
      </c>
      <c r="B165" s="17" t="s">
        <v>56</v>
      </c>
      <c r="C165" t="s">
        <v>111</v>
      </c>
      <c r="D165" t="s">
        <v>112</v>
      </c>
      <c r="G165" s="17" t="s">
        <v>35</v>
      </c>
      <c r="H165" s="17">
        <v>3</v>
      </c>
      <c r="I165" t="s">
        <v>1650</v>
      </c>
      <c r="J165" s="1">
        <v>43344</v>
      </c>
      <c r="K165" t="s">
        <v>1619</v>
      </c>
      <c r="L165" t="s">
        <v>1620</v>
      </c>
      <c r="M165" t="s">
        <v>1592</v>
      </c>
      <c r="N165">
        <v>24</v>
      </c>
      <c r="O165" t="s">
        <v>40</v>
      </c>
      <c r="P165" t="s">
        <v>40</v>
      </c>
      <c r="Q165" t="s">
        <v>40</v>
      </c>
      <c r="R165" t="s">
        <v>40</v>
      </c>
      <c r="S165" t="s">
        <v>40</v>
      </c>
      <c r="U165" s="1">
        <v>43344</v>
      </c>
      <c r="V165" t="s">
        <v>41</v>
      </c>
      <c r="W165" t="s">
        <v>75</v>
      </c>
      <c r="X165" t="str">
        <f>"7281004"</f>
        <v>7281004</v>
      </c>
      <c r="Y165" t="s">
        <v>1651</v>
      </c>
      <c r="Z165" t="s">
        <v>1619</v>
      </c>
      <c r="AA165" t="s">
        <v>1620</v>
      </c>
      <c r="AB165" t="s">
        <v>1592</v>
      </c>
      <c r="AC165" t="s">
        <v>44</v>
      </c>
      <c r="AD165" t="s">
        <v>45</v>
      </c>
      <c r="AE165" s="1">
        <v>33814</v>
      </c>
      <c r="AF165">
        <v>1</v>
      </c>
      <c r="AG165" t="s">
        <v>1620</v>
      </c>
      <c r="AH165" s="36">
        <f t="shared" si="2"/>
        <v>26.786111111111111</v>
      </c>
      <c r="AI165" s="40" t="s">
        <v>1777</v>
      </c>
    </row>
    <row r="166" spans="1:35" x14ac:dyDescent="0.25">
      <c r="A166" s="36">
        <v>99910164</v>
      </c>
      <c r="B166" s="17" t="s">
        <v>32</v>
      </c>
      <c r="C166" t="s">
        <v>79</v>
      </c>
      <c r="D166" t="s">
        <v>80</v>
      </c>
      <c r="G166" s="17" t="s">
        <v>35</v>
      </c>
      <c r="H166" s="17">
        <v>1</v>
      </c>
      <c r="I166">
        <v>22914</v>
      </c>
      <c r="J166" s="1">
        <v>43374</v>
      </c>
      <c r="K166" t="s">
        <v>877</v>
      </c>
      <c r="L166" t="s">
        <v>878</v>
      </c>
      <c r="M166" t="s">
        <v>131</v>
      </c>
      <c r="N166">
        <v>2</v>
      </c>
      <c r="O166" t="s">
        <v>40</v>
      </c>
      <c r="S166" t="s">
        <v>40</v>
      </c>
      <c r="U166" s="1">
        <v>43374</v>
      </c>
      <c r="V166" t="s">
        <v>41</v>
      </c>
      <c r="W166" t="s">
        <v>75</v>
      </c>
      <c r="X166" t="str">
        <f>"7541024"</f>
        <v>7541024</v>
      </c>
      <c r="Y166" t="s">
        <v>885</v>
      </c>
      <c r="Z166" t="s">
        <v>877</v>
      </c>
      <c r="AA166" t="s">
        <v>878</v>
      </c>
      <c r="AB166" t="s">
        <v>131</v>
      </c>
      <c r="AC166" t="s">
        <v>44</v>
      </c>
      <c r="AD166" t="s">
        <v>45</v>
      </c>
      <c r="AE166" s="1">
        <v>33809</v>
      </c>
      <c r="AF166">
        <v>1</v>
      </c>
      <c r="AG166" t="s">
        <v>878</v>
      </c>
      <c r="AH166" s="36">
        <f t="shared" si="2"/>
        <v>26.8</v>
      </c>
      <c r="AI166" s="40" t="s">
        <v>1777</v>
      </c>
    </row>
    <row r="167" spans="1:35" x14ac:dyDescent="0.25">
      <c r="A167" s="36">
        <v>99910165</v>
      </c>
      <c r="B167" s="17" t="s">
        <v>32</v>
      </c>
      <c r="C167" t="s">
        <v>90</v>
      </c>
      <c r="D167" t="s">
        <v>91</v>
      </c>
      <c r="G167" s="17" t="s">
        <v>35</v>
      </c>
      <c r="H167" s="17">
        <v>1</v>
      </c>
      <c r="K167" t="s">
        <v>1221</v>
      </c>
      <c r="L167" t="s">
        <v>1222</v>
      </c>
      <c r="M167" t="s">
        <v>1130</v>
      </c>
      <c r="N167">
        <v>25</v>
      </c>
      <c r="O167" t="s">
        <v>40</v>
      </c>
      <c r="P167" t="s">
        <v>40</v>
      </c>
      <c r="Q167" t="s">
        <v>40</v>
      </c>
      <c r="S167" t="s">
        <v>40</v>
      </c>
      <c r="V167" t="s">
        <v>41</v>
      </c>
      <c r="W167" t="s">
        <v>95</v>
      </c>
      <c r="X167" t="str">
        <f>"7351019"</f>
        <v>7351019</v>
      </c>
      <c r="Y167" t="s">
        <v>1236</v>
      </c>
      <c r="Z167" t="s">
        <v>1221</v>
      </c>
      <c r="AA167" t="s">
        <v>1222</v>
      </c>
      <c r="AB167" t="s">
        <v>1130</v>
      </c>
      <c r="AC167" t="s">
        <v>51</v>
      </c>
      <c r="AD167" t="s">
        <v>45</v>
      </c>
      <c r="AE167" s="1">
        <v>33800</v>
      </c>
      <c r="AF167">
        <v>1</v>
      </c>
      <c r="AG167" t="s">
        <v>1222</v>
      </c>
      <c r="AH167" s="36">
        <f t="shared" si="2"/>
        <v>26.824999999999999</v>
      </c>
      <c r="AI167" s="40" t="s">
        <v>1777</v>
      </c>
    </row>
    <row r="168" spans="1:35" x14ac:dyDescent="0.25">
      <c r="A168" s="36">
        <v>99910166</v>
      </c>
      <c r="B168" s="17" t="s">
        <v>32</v>
      </c>
      <c r="C168" t="s">
        <v>111</v>
      </c>
      <c r="D168" t="s">
        <v>112</v>
      </c>
      <c r="G168" s="17" t="s">
        <v>35</v>
      </c>
      <c r="H168" s="17">
        <v>1</v>
      </c>
      <c r="I168" t="s">
        <v>1640</v>
      </c>
      <c r="J168" s="1">
        <v>43344</v>
      </c>
      <c r="K168" t="s">
        <v>1631</v>
      </c>
      <c r="L168" t="s">
        <v>1632</v>
      </c>
      <c r="M168" t="s">
        <v>1592</v>
      </c>
      <c r="N168">
        <v>24</v>
      </c>
      <c r="O168" t="s">
        <v>40</v>
      </c>
      <c r="Q168" t="s">
        <v>40</v>
      </c>
      <c r="S168" t="s">
        <v>40</v>
      </c>
      <c r="U168" s="1">
        <v>43344</v>
      </c>
      <c r="V168" t="s">
        <v>41</v>
      </c>
      <c r="W168" t="s">
        <v>75</v>
      </c>
      <c r="X168" t="str">
        <f>"7021002"</f>
        <v>7021002</v>
      </c>
      <c r="Y168" t="s">
        <v>1639</v>
      </c>
      <c r="Z168" t="s">
        <v>1631</v>
      </c>
      <c r="AA168" t="s">
        <v>1632</v>
      </c>
      <c r="AB168" t="s">
        <v>1592</v>
      </c>
      <c r="AC168" t="s">
        <v>44</v>
      </c>
      <c r="AD168" t="s">
        <v>45</v>
      </c>
      <c r="AE168" s="1">
        <v>33800</v>
      </c>
      <c r="AF168">
        <v>1</v>
      </c>
      <c r="AG168" t="s">
        <v>1632</v>
      </c>
      <c r="AH168" s="36">
        <f t="shared" si="2"/>
        <v>26.824999999999999</v>
      </c>
      <c r="AI168" s="40" t="s">
        <v>1777</v>
      </c>
    </row>
    <row r="169" spans="1:35" x14ac:dyDescent="0.25">
      <c r="A169" s="36">
        <v>99910167</v>
      </c>
      <c r="B169" s="17" t="s">
        <v>32</v>
      </c>
      <c r="C169" t="s">
        <v>111</v>
      </c>
      <c r="D169" t="s">
        <v>112</v>
      </c>
      <c r="G169" s="17" t="s">
        <v>35</v>
      </c>
      <c r="H169" s="17">
        <v>1</v>
      </c>
      <c r="I169" t="s">
        <v>1537</v>
      </c>
      <c r="J169" s="1">
        <v>43405</v>
      </c>
      <c r="K169" t="s">
        <v>667</v>
      </c>
      <c r="L169" t="s">
        <v>669</v>
      </c>
      <c r="M169" t="s">
        <v>670</v>
      </c>
      <c r="N169">
        <v>24</v>
      </c>
      <c r="O169" t="s">
        <v>40</v>
      </c>
      <c r="S169" t="s">
        <v>40</v>
      </c>
      <c r="U169" s="1">
        <v>43405</v>
      </c>
      <c r="V169" t="s">
        <v>41</v>
      </c>
      <c r="W169" t="s">
        <v>75</v>
      </c>
      <c r="X169" t="str">
        <f>"7501004"</f>
        <v>7501004</v>
      </c>
      <c r="Y169" t="s">
        <v>1500</v>
      </c>
      <c r="Z169" t="s">
        <v>667</v>
      </c>
      <c r="AA169" t="s">
        <v>669</v>
      </c>
      <c r="AB169" t="s">
        <v>670</v>
      </c>
      <c r="AC169" t="s">
        <v>44</v>
      </c>
      <c r="AD169" t="s">
        <v>45</v>
      </c>
      <c r="AE169" s="1">
        <v>33795</v>
      </c>
      <c r="AF169">
        <v>1</v>
      </c>
      <c r="AG169" t="s">
        <v>669</v>
      </c>
      <c r="AH169" s="36">
        <f t="shared" si="2"/>
        <v>26.838888888888889</v>
      </c>
      <c r="AI169" s="40" t="s">
        <v>1777</v>
      </c>
    </row>
    <row r="170" spans="1:35" x14ac:dyDescent="0.25">
      <c r="A170" s="36">
        <v>99910168</v>
      </c>
      <c r="B170" s="17" t="s">
        <v>32</v>
      </c>
      <c r="C170" t="s">
        <v>46</v>
      </c>
      <c r="D170" t="s">
        <v>47</v>
      </c>
      <c r="G170" s="17" t="s">
        <v>35</v>
      </c>
      <c r="H170" s="17">
        <v>1</v>
      </c>
      <c r="I170">
        <v>0</v>
      </c>
      <c r="J170" s="1">
        <v>43344</v>
      </c>
      <c r="K170" t="s">
        <v>223</v>
      </c>
      <c r="L170" t="s">
        <v>224</v>
      </c>
      <c r="M170" t="s">
        <v>131</v>
      </c>
      <c r="N170">
        <v>12</v>
      </c>
      <c r="O170" t="s">
        <v>40</v>
      </c>
      <c r="P170" t="s">
        <v>40</v>
      </c>
      <c r="Q170" t="s">
        <v>40</v>
      </c>
      <c r="R170" t="s">
        <v>40</v>
      </c>
      <c r="S170" t="s">
        <v>40</v>
      </c>
      <c r="U170" s="1">
        <v>43344</v>
      </c>
      <c r="V170" t="s">
        <v>41</v>
      </c>
      <c r="W170" t="s">
        <v>49</v>
      </c>
      <c r="X170" t="str">
        <f>"0560034"</f>
        <v>0560034</v>
      </c>
      <c r="Y170" t="s">
        <v>266</v>
      </c>
      <c r="Z170" t="s">
        <v>223</v>
      </c>
      <c r="AA170" t="s">
        <v>224</v>
      </c>
      <c r="AB170" t="s">
        <v>131</v>
      </c>
      <c r="AC170" t="s">
        <v>44</v>
      </c>
      <c r="AD170" t="s">
        <v>45</v>
      </c>
      <c r="AE170" s="1">
        <v>33793</v>
      </c>
      <c r="AF170">
        <v>2</v>
      </c>
      <c r="AG170" t="s">
        <v>224</v>
      </c>
      <c r="AH170" s="36">
        <f t="shared" si="2"/>
        <v>26.844444444444445</v>
      </c>
      <c r="AI170" s="40" t="s">
        <v>1777</v>
      </c>
    </row>
    <row r="171" spans="1:35" x14ac:dyDescent="0.25">
      <c r="A171" s="36">
        <v>99910169</v>
      </c>
      <c r="B171" s="17" t="s">
        <v>32</v>
      </c>
      <c r="C171" t="s">
        <v>90</v>
      </c>
      <c r="D171" t="s">
        <v>91</v>
      </c>
      <c r="G171" s="17" t="s">
        <v>35</v>
      </c>
      <c r="H171" s="17">
        <v>1</v>
      </c>
      <c r="I171" t="s">
        <v>1353</v>
      </c>
      <c r="J171" s="1">
        <v>43344</v>
      </c>
      <c r="K171" t="s">
        <v>1341</v>
      </c>
      <c r="L171" t="s">
        <v>1342</v>
      </c>
      <c r="M171" t="s">
        <v>1270</v>
      </c>
      <c r="N171">
        <v>24</v>
      </c>
      <c r="O171" t="s">
        <v>40</v>
      </c>
      <c r="S171" t="s">
        <v>40</v>
      </c>
      <c r="U171" s="1">
        <v>43344</v>
      </c>
      <c r="V171" t="s">
        <v>41</v>
      </c>
      <c r="W171" t="s">
        <v>95</v>
      </c>
      <c r="X171" t="str">
        <f>"7191081"</f>
        <v>7191081</v>
      </c>
      <c r="Y171" t="s">
        <v>1402</v>
      </c>
      <c r="Z171" t="s">
        <v>1341</v>
      </c>
      <c r="AA171" t="s">
        <v>1342</v>
      </c>
      <c r="AB171" t="s">
        <v>1270</v>
      </c>
      <c r="AC171" t="s">
        <v>44</v>
      </c>
      <c r="AD171" t="s">
        <v>45</v>
      </c>
      <c r="AE171" s="1">
        <v>33789</v>
      </c>
      <c r="AF171">
        <v>1</v>
      </c>
      <c r="AG171" t="s">
        <v>1342</v>
      </c>
      <c r="AH171" s="36">
        <f t="shared" si="2"/>
        <v>26.855555555555554</v>
      </c>
      <c r="AI171" s="40" t="s">
        <v>1777</v>
      </c>
    </row>
    <row r="172" spans="1:35" x14ac:dyDescent="0.25">
      <c r="A172" s="36">
        <v>99910170</v>
      </c>
      <c r="B172" s="17" t="s">
        <v>32</v>
      </c>
      <c r="C172" t="s">
        <v>46</v>
      </c>
      <c r="D172" t="s">
        <v>47</v>
      </c>
      <c r="G172" s="17" t="s">
        <v>35</v>
      </c>
      <c r="H172" s="17">
        <v>1</v>
      </c>
      <c r="I172">
        <v>18180</v>
      </c>
      <c r="J172" s="1">
        <v>43347</v>
      </c>
      <c r="K172" t="s">
        <v>1128</v>
      </c>
      <c r="L172" t="s">
        <v>1129</v>
      </c>
      <c r="M172" t="s">
        <v>1130</v>
      </c>
      <c r="N172">
        <v>13</v>
      </c>
      <c r="O172" t="s">
        <v>40</v>
      </c>
      <c r="P172" t="s">
        <v>40</v>
      </c>
      <c r="Q172" t="s">
        <v>40</v>
      </c>
      <c r="R172" t="s">
        <v>40</v>
      </c>
      <c r="S172" t="s">
        <v>40</v>
      </c>
      <c r="U172" s="1">
        <v>43347</v>
      </c>
      <c r="V172" t="s">
        <v>41</v>
      </c>
      <c r="W172" t="s">
        <v>49</v>
      </c>
      <c r="X172" t="str">
        <f>"3160002"</f>
        <v>3160002</v>
      </c>
      <c r="Y172" t="s">
        <v>1143</v>
      </c>
      <c r="Z172" t="s">
        <v>1128</v>
      </c>
      <c r="AA172" t="s">
        <v>1129</v>
      </c>
      <c r="AB172" t="s">
        <v>1130</v>
      </c>
      <c r="AC172" t="s">
        <v>55</v>
      </c>
      <c r="AD172" t="s">
        <v>45</v>
      </c>
      <c r="AE172" s="1">
        <v>33788</v>
      </c>
      <c r="AF172">
        <v>2</v>
      </c>
      <c r="AG172" t="s">
        <v>1129</v>
      </c>
      <c r="AH172" s="36">
        <f t="shared" si="2"/>
        <v>26.858333333333334</v>
      </c>
      <c r="AI172" s="40" t="s">
        <v>1777</v>
      </c>
    </row>
    <row r="173" spans="1:35" x14ac:dyDescent="0.25">
      <c r="A173" s="36">
        <v>99910171</v>
      </c>
      <c r="B173" s="17" t="s">
        <v>32</v>
      </c>
      <c r="C173" t="s">
        <v>90</v>
      </c>
      <c r="D173" t="s">
        <v>91</v>
      </c>
      <c r="G173" s="17" t="s">
        <v>35</v>
      </c>
      <c r="H173" s="17">
        <v>1</v>
      </c>
      <c r="J173" s="1">
        <v>43344</v>
      </c>
      <c r="K173" t="s">
        <v>354</v>
      </c>
      <c r="L173" t="s">
        <v>355</v>
      </c>
      <c r="M173" t="s">
        <v>131</v>
      </c>
      <c r="N173">
        <v>25</v>
      </c>
      <c r="O173" t="s">
        <v>40</v>
      </c>
      <c r="P173" t="s">
        <v>40</v>
      </c>
      <c r="Q173" t="s">
        <v>40</v>
      </c>
      <c r="R173" t="s">
        <v>40</v>
      </c>
      <c r="S173" t="s">
        <v>40</v>
      </c>
      <c r="U173" s="1">
        <v>43344</v>
      </c>
      <c r="V173" t="s">
        <v>41</v>
      </c>
      <c r="W173" t="s">
        <v>95</v>
      </c>
      <c r="X173" t="str">
        <f>"7054129"</f>
        <v>7054129</v>
      </c>
      <c r="Y173" t="s">
        <v>784</v>
      </c>
      <c r="Z173" t="s">
        <v>354</v>
      </c>
      <c r="AA173" t="s">
        <v>355</v>
      </c>
      <c r="AB173" t="s">
        <v>131</v>
      </c>
      <c r="AC173" t="s">
        <v>51</v>
      </c>
      <c r="AD173" t="s">
        <v>45</v>
      </c>
      <c r="AE173" s="1">
        <v>33787</v>
      </c>
      <c r="AF173">
        <v>1</v>
      </c>
      <c r="AG173" t="s">
        <v>355</v>
      </c>
      <c r="AH173" s="36">
        <f t="shared" si="2"/>
        <v>26.861111111111111</v>
      </c>
      <c r="AI173" s="40" t="s">
        <v>1777</v>
      </c>
    </row>
    <row r="174" spans="1:35" x14ac:dyDescent="0.25">
      <c r="A174" s="36">
        <v>99910172</v>
      </c>
      <c r="B174" s="17" t="s">
        <v>32</v>
      </c>
      <c r="C174" t="s">
        <v>111</v>
      </c>
      <c r="D174" t="s">
        <v>112</v>
      </c>
      <c r="G174" s="17" t="s">
        <v>35</v>
      </c>
      <c r="H174" s="17">
        <v>1</v>
      </c>
      <c r="I174">
        <v>0</v>
      </c>
      <c r="J174" s="1">
        <v>43344</v>
      </c>
      <c r="K174" t="s">
        <v>985</v>
      </c>
      <c r="L174" t="s">
        <v>986</v>
      </c>
      <c r="M174" t="s">
        <v>938</v>
      </c>
      <c r="N174">
        <v>24</v>
      </c>
      <c r="O174" t="s">
        <v>40</v>
      </c>
      <c r="P174" t="s">
        <v>40</v>
      </c>
      <c r="Q174" t="s">
        <v>40</v>
      </c>
      <c r="S174" t="s">
        <v>40</v>
      </c>
      <c r="U174" s="1">
        <v>43344</v>
      </c>
      <c r="V174" t="s">
        <v>41</v>
      </c>
      <c r="W174" t="s">
        <v>75</v>
      </c>
      <c r="X174" t="str">
        <f>"7011000"</f>
        <v>7011000</v>
      </c>
      <c r="Y174" t="s">
        <v>989</v>
      </c>
      <c r="Z174" t="s">
        <v>985</v>
      </c>
      <c r="AA174" t="s">
        <v>986</v>
      </c>
      <c r="AB174" t="s">
        <v>938</v>
      </c>
      <c r="AC174" t="s">
        <v>44</v>
      </c>
      <c r="AD174" t="s">
        <v>45</v>
      </c>
      <c r="AE174" s="1">
        <v>33785</v>
      </c>
      <c r="AF174">
        <v>1</v>
      </c>
      <c r="AG174" t="s">
        <v>986</v>
      </c>
      <c r="AH174" s="36">
        <f t="shared" si="2"/>
        <v>26.866666666666667</v>
      </c>
      <c r="AI174" s="40" t="s">
        <v>1777</v>
      </c>
    </row>
    <row r="175" spans="1:35" x14ac:dyDescent="0.25">
      <c r="A175" s="36">
        <v>99910173</v>
      </c>
      <c r="B175" s="17" t="s">
        <v>32</v>
      </c>
      <c r="C175" t="s">
        <v>111</v>
      </c>
      <c r="D175" t="s">
        <v>112</v>
      </c>
      <c r="G175" s="17" t="s">
        <v>35</v>
      </c>
      <c r="H175" s="17">
        <v>1</v>
      </c>
      <c r="I175" t="s">
        <v>881</v>
      </c>
      <c r="J175" s="1">
        <v>43390</v>
      </c>
      <c r="K175" t="s">
        <v>877</v>
      </c>
      <c r="L175" t="s">
        <v>878</v>
      </c>
      <c r="M175" t="s">
        <v>131</v>
      </c>
      <c r="N175">
        <v>24</v>
      </c>
      <c r="O175" t="s">
        <v>40</v>
      </c>
      <c r="S175" t="s">
        <v>40</v>
      </c>
      <c r="U175" s="1">
        <v>43390</v>
      </c>
      <c r="V175" t="s">
        <v>41</v>
      </c>
      <c r="W175" t="s">
        <v>75</v>
      </c>
      <c r="X175" t="str">
        <f>"7541020"</f>
        <v>7541020</v>
      </c>
      <c r="Y175" t="s">
        <v>882</v>
      </c>
      <c r="Z175" t="s">
        <v>877</v>
      </c>
      <c r="AA175" t="s">
        <v>878</v>
      </c>
      <c r="AB175" t="s">
        <v>131</v>
      </c>
      <c r="AC175" t="s">
        <v>51</v>
      </c>
      <c r="AD175" t="s">
        <v>45</v>
      </c>
      <c r="AE175" s="1">
        <v>33777</v>
      </c>
      <c r="AF175">
        <v>1</v>
      </c>
      <c r="AG175" t="s">
        <v>878</v>
      </c>
      <c r="AH175" s="36">
        <f t="shared" si="2"/>
        <v>26.888888888888889</v>
      </c>
      <c r="AI175" s="40" t="s">
        <v>1777</v>
      </c>
    </row>
    <row r="176" spans="1:35" x14ac:dyDescent="0.25">
      <c r="A176" s="36">
        <v>99910174</v>
      </c>
      <c r="B176" s="17" t="s">
        <v>56</v>
      </c>
      <c r="C176" t="s">
        <v>111</v>
      </c>
      <c r="D176" t="s">
        <v>112</v>
      </c>
      <c r="G176" s="17" t="s">
        <v>35</v>
      </c>
      <c r="H176" s="17">
        <v>1</v>
      </c>
      <c r="I176">
        <v>8594</v>
      </c>
      <c r="J176" s="1">
        <v>43398</v>
      </c>
      <c r="K176" t="s">
        <v>1198</v>
      </c>
      <c r="L176" t="s">
        <v>1199</v>
      </c>
      <c r="M176" t="s">
        <v>1130</v>
      </c>
      <c r="N176">
        <v>24</v>
      </c>
      <c r="O176" t="s">
        <v>40</v>
      </c>
      <c r="S176" t="s">
        <v>40</v>
      </c>
      <c r="U176" s="1">
        <v>43398</v>
      </c>
      <c r="V176" t="s">
        <v>41</v>
      </c>
      <c r="W176" t="s">
        <v>75</v>
      </c>
      <c r="X176" t="str">
        <f>"7311008"</f>
        <v>7311008</v>
      </c>
      <c r="Y176" t="s">
        <v>1205</v>
      </c>
      <c r="Z176" t="s">
        <v>1198</v>
      </c>
      <c r="AA176" t="s">
        <v>1199</v>
      </c>
      <c r="AB176" t="s">
        <v>1130</v>
      </c>
      <c r="AC176" t="s">
        <v>55</v>
      </c>
      <c r="AD176" t="s">
        <v>45</v>
      </c>
      <c r="AE176" s="1">
        <v>33776</v>
      </c>
      <c r="AF176">
        <v>1</v>
      </c>
      <c r="AG176" t="s">
        <v>1199</v>
      </c>
      <c r="AH176" s="36">
        <f t="shared" si="2"/>
        <v>26.891666666666666</v>
      </c>
      <c r="AI176" s="40" t="s">
        <v>1777</v>
      </c>
    </row>
    <row r="177" spans="1:35" x14ac:dyDescent="0.25">
      <c r="A177" s="36">
        <v>99910175</v>
      </c>
      <c r="B177" s="17" t="s">
        <v>32</v>
      </c>
      <c r="C177" t="s">
        <v>90</v>
      </c>
      <c r="D177" t="s">
        <v>91</v>
      </c>
      <c r="G177" s="17" t="s">
        <v>35</v>
      </c>
      <c r="H177" s="17">
        <v>1</v>
      </c>
      <c r="K177" t="s">
        <v>107</v>
      </c>
      <c r="L177" t="s">
        <v>108</v>
      </c>
      <c r="M177" t="s">
        <v>39</v>
      </c>
      <c r="N177">
        <v>25</v>
      </c>
      <c r="O177" t="s">
        <v>40</v>
      </c>
      <c r="P177" t="s">
        <v>40</v>
      </c>
      <c r="Q177" t="s">
        <v>40</v>
      </c>
      <c r="S177" t="s">
        <v>40</v>
      </c>
      <c r="V177" t="s">
        <v>41</v>
      </c>
      <c r="W177" t="s">
        <v>95</v>
      </c>
      <c r="X177" t="str">
        <f>"7211005"</f>
        <v>7211005</v>
      </c>
      <c r="Y177" t="s">
        <v>109</v>
      </c>
      <c r="Z177" t="s">
        <v>107</v>
      </c>
      <c r="AA177" t="s">
        <v>108</v>
      </c>
      <c r="AB177" t="s">
        <v>39</v>
      </c>
      <c r="AC177" t="s">
        <v>51</v>
      </c>
      <c r="AD177" t="s">
        <v>45</v>
      </c>
      <c r="AE177" s="1">
        <v>33773</v>
      </c>
      <c r="AF177">
        <v>1</v>
      </c>
      <c r="AG177" t="s">
        <v>108</v>
      </c>
      <c r="AH177" s="36">
        <f t="shared" si="2"/>
        <v>26.9</v>
      </c>
      <c r="AI177" s="40" t="s">
        <v>1777</v>
      </c>
    </row>
    <row r="178" spans="1:35" x14ac:dyDescent="0.25">
      <c r="A178" s="36">
        <v>99910176</v>
      </c>
      <c r="B178" s="17" t="s">
        <v>32</v>
      </c>
      <c r="C178" t="s">
        <v>111</v>
      </c>
      <c r="D178" t="s">
        <v>112</v>
      </c>
      <c r="G178" s="17" t="s">
        <v>35</v>
      </c>
      <c r="H178" s="17">
        <v>1</v>
      </c>
      <c r="K178" t="s">
        <v>431</v>
      </c>
      <c r="L178" t="s">
        <v>196</v>
      </c>
      <c r="M178" t="s">
        <v>131</v>
      </c>
      <c r="N178">
        <v>10</v>
      </c>
      <c r="O178" t="s">
        <v>40</v>
      </c>
      <c r="P178" t="s">
        <v>40</v>
      </c>
      <c r="Q178" t="s">
        <v>40</v>
      </c>
      <c r="S178" t="s">
        <v>40</v>
      </c>
      <c r="V178" t="s">
        <v>41</v>
      </c>
      <c r="W178" t="s">
        <v>75</v>
      </c>
      <c r="X178" t="str">
        <f>"7521032"</f>
        <v>7521032</v>
      </c>
      <c r="Y178" t="s">
        <v>462</v>
      </c>
      <c r="Z178" t="s">
        <v>431</v>
      </c>
      <c r="AA178" t="s">
        <v>196</v>
      </c>
      <c r="AB178" t="s">
        <v>131</v>
      </c>
      <c r="AC178" t="s">
        <v>51</v>
      </c>
      <c r="AD178" t="s">
        <v>45</v>
      </c>
      <c r="AE178" s="1">
        <v>33771</v>
      </c>
      <c r="AF178">
        <v>1</v>
      </c>
      <c r="AG178" t="s">
        <v>196</v>
      </c>
      <c r="AH178" s="36">
        <f t="shared" si="2"/>
        <v>26.905555555555555</v>
      </c>
      <c r="AI178" s="40" t="s">
        <v>1777</v>
      </c>
    </row>
    <row r="179" spans="1:35" x14ac:dyDescent="0.25">
      <c r="A179" s="36">
        <v>99910177</v>
      </c>
      <c r="B179" s="17" t="s">
        <v>32</v>
      </c>
      <c r="C179" t="s">
        <v>111</v>
      </c>
      <c r="D179" t="s">
        <v>112</v>
      </c>
      <c r="G179" s="17" t="s">
        <v>35</v>
      </c>
      <c r="H179" s="17">
        <v>1</v>
      </c>
      <c r="I179" t="s">
        <v>735</v>
      </c>
      <c r="J179" s="1">
        <v>43354</v>
      </c>
      <c r="K179" t="s">
        <v>268</v>
      </c>
      <c r="L179" t="s">
        <v>269</v>
      </c>
      <c r="M179" t="s">
        <v>131</v>
      </c>
      <c r="N179">
        <v>24</v>
      </c>
      <c r="O179" t="s">
        <v>40</v>
      </c>
      <c r="P179" t="s">
        <v>40</v>
      </c>
      <c r="Q179" t="s">
        <v>40</v>
      </c>
      <c r="S179" t="s">
        <v>40</v>
      </c>
      <c r="U179" s="1">
        <v>43354</v>
      </c>
      <c r="V179" t="s">
        <v>41</v>
      </c>
      <c r="W179" t="s">
        <v>75</v>
      </c>
      <c r="X179" t="str">
        <f>"7052040"</f>
        <v>7052040</v>
      </c>
      <c r="Y179" t="s">
        <v>591</v>
      </c>
      <c r="Z179" t="s">
        <v>268</v>
      </c>
      <c r="AA179" t="s">
        <v>269</v>
      </c>
      <c r="AB179" t="s">
        <v>131</v>
      </c>
      <c r="AC179" t="s">
        <v>55</v>
      </c>
      <c r="AD179" t="s">
        <v>45</v>
      </c>
      <c r="AE179" s="1">
        <v>33763</v>
      </c>
      <c r="AF179">
        <v>1</v>
      </c>
      <c r="AG179" t="s">
        <v>269</v>
      </c>
      <c r="AH179" s="36">
        <f t="shared" si="2"/>
        <v>26.927777777777777</v>
      </c>
      <c r="AI179" s="40" t="s">
        <v>1777</v>
      </c>
    </row>
    <row r="180" spans="1:35" x14ac:dyDescent="0.25">
      <c r="A180" s="36">
        <v>99910178</v>
      </c>
      <c r="B180" s="17" t="s">
        <v>32</v>
      </c>
      <c r="C180" t="s">
        <v>64</v>
      </c>
      <c r="D180" t="s">
        <v>65</v>
      </c>
      <c r="G180" s="17" t="s">
        <v>35</v>
      </c>
      <c r="H180" s="17">
        <v>1</v>
      </c>
      <c r="I180">
        <v>0</v>
      </c>
      <c r="J180" s="1">
        <v>43344</v>
      </c>
      <c r="K180" t="s">
        <v>223</v>
      </c>
      <c r="L180" t="s">
        <v>224</v>
      </c>
      <c r="M180" t="s">
        <v>131</v>
      </c>
      <c r="N180">
        <v>11</v>
      </c>
      <c r="O180" t="s">
        <v>40</v>
      </c>
      <c r="P180" t="s">
        <v>40</v>
      </c>
      <c r="Q180" t="s">
        <v>40</v>
      </c>
      <c r="R180" t="s">
        <v>40</v>
      </c>
      <c r="S180" t="s">
        <v>40</v>
      </c>
      <c r="U180" s="1">
        <v>43344</v>
      </c>
      <c r="V180" t="s">
        <v>41</v>
      </c>
      <c r="W180" t="s">
        <v>49</v>
      </c>
      <c r="X180" t="str">
        <f>"0591901"</f>
        <v>0591901</v>
      </c>
      <c r="Y180" t="s">
        <v>230</v>
      </c>
      <c r="Z180" t="s">
        <v>223</v>
      </c>
      <c r="AA180" t="s">
        <v>224</v>
      </c>
      <c r="AB180" t="s">
        <v>131</v>
      </c>
      <c r="AC180" t="s">
        <v>44</v>
      </c>
      <c r="AD180" t="s">
        <v>45</v>
      </c>
      <c r="AE180" s="1">
        <v>33761</v>
      </c>
      <c r="AF180">
        <v>2</v>
      </c>
      <c r="AG180" t="s">
        <v>224</v>
      </c>
      <c r="AH180" s="36">
        <f t="shared" si="2"/>
        <v>26.933333333333334</v>
      </c>
      <c r="AI180" s="40" t="s">
        <v>1777</v>
      </c>
    </row>
    <row r="181" spans="1:35" x14ac:dyDescent="0.25">
      <c r="A181" s="36">
        <v>99910179</v>
      </c>
      <c r="B181" s="17" t="s">
        <v>56</v>
      </c>
      <c r="C181" t="s">
        <v>111</v>
      </c>
      <c r="D181" t="s">
        <v>112</v>
      </c>
      <c r="G181" s="17" t="s">
        <v>48</v>
      </c>
      <c r="H181" s="17">
        <v>1</v>
      </c>
      <c r="K181" t="s">
        <v>1081</v>
      </c>
      <c r="L181" t="s">
        <v>1082</v>
      </c>
      <c r="M181" t="s">
        <v>1053</v>
      </c>
      <c r="N181">
        <v>24</v>
      </c>
      <c r="O181" t="s">
        <v>40</v>
      </c>
      <c r="P181" t="s">
        <v>40</v>
      </c>
      <c r="Q181" t="s">
        <v>40</v>
      </c>
      <c r="S181" t="s">
        <v>40</v>
      </c>
      <c r="V181" t="s">
        <v>41</v>
      </c>
      <c r="W181" t="s">
        <v>75</v>
      </c>
      <c r="X181" t="str">
        <f>"7201008"</f>
        <v>7201008</v>
      </c>
      <c r="Y181" t="s">
        <v>1084</v>
      </c>
      <c r="Z181" t="s">
        <v>1081</v>
      </c>
      <c r="AA181" t="s">
        <v>1082</v>
      </c>
      <c r="AB181" t="s">
        <v>1053</v>
      </c>
      <c r="AC181" t="s">
        <v>51</v>
      </c>
      <c r="AD181" t="s">
        <v>45</v>
      </c>
      <c r="AE181" s="1">
        <v>33761</v>
      </c>
      <c r="AF181">
        <v>1</v>
      </c>
      <c r="AG181" t="s">
        <v>1082</v>
      </c>
      <c r="AH181" s="36">
        <f t="shared" si="2"/>
        <v>26.933333333333334</v>
      </c>
      <c r="AI181" s="40" t="s">
        <v>1777</v>
      </c>
    </row>
    <row r="182" spans="1:35" x14ac:dyDescent="0.25">
      <c r="A182" s="36">
        <v>99910180</v>
      </c>
      <c r="B182" s="17" t="s">
        <v>32</v>
      </c>
      <c r="C182" t="s">
        <v>111</v>
      </c>
      <c r="D182" t="s">
        <v>112</v>
      </c>
      <c r="G182" s="17" t="s">
        <v>48</v>
      </c>
      <c r="H182" s="17">
        <v>1</v>
      </c>
      <c r="K182" t="s">
        <v>1502</v>
      </c>
      <c r="L182" t="s">
        <v>1503</v>
      </c>
      <c r="M182" t="s">
        <v>670</v>
      </c>
      <c r="N182">
        <v>24</v>
      </c>
      <c r="O182" t="s">
        <v>40</v>
      </c>
      <c r="P182" t="s">
        <v>40</v>
      </c>
      <c r="Q182" t="s">
        <v>40</v>
      </c>
      <c r="S182" t="s">
        <v>40</v>
      </c>
      <c r="V182" t="s">
        <v>41</v>
      </c>
      <c r="W182" t="s">
        <v>75</v>
      </c>
      <c r="X182" t="str">
        <f>"7171002"</f>
        <v>7171002</v>
      </c>
      <c r="Y182" t="s">
        <v>1505</v>
      </c>
      <c r="Z182" t="s">
        <v>1502</v>
      </c>
      <c r="AA182" t="s">
        <v>1503</v>
      </c>
      <c r="AB182" t="s">
        <v>670</v>
      </c>
      <c r="AC182" t="s">
        <v>51</v>
      </c>
      <c r="AD182" t="s">
        <v>45</v>
      </c>
      <c r="AE182" s="1">
        <v>33758</v>
      </c>
      <c r="AF182">
        <v>1</v>
      </c>
      <c r="AG182" t="s">
        <v>1503</v>
      </c>
      <c r="AH182" s="36">
        <f t="shared" si="2"/>
        <v>26.941666666666666</v>
      </c>
      <c r="AI182" s="40" t="s">
        <v>1777</v>
      </c>
    </row>
    <row r="183" spans="1:35" x14ac:dyDescent="0.25">
      <c r="A183" s="36">
        <v>99910181</v>
      </c>
      <c r="B183" s="17" t="s">
        <v>32</v>
      </c>
      <c r="C183" t="s">
        <v>64</v>
      </c>
      <c r="D183" t="s">
        <v>65</v>
      </c>
      <c r="G183" s="17" t="s">
        <v>35</v>
      </c>
      <c r="H183" s="17">
        <v>1</v>
      </c>
      <c r="I183">
        <v>0</v>
      </c>
      <c r="J183" s="1">
        <v>43344</v>
      </c>
      <c r="K183" t="s">
        <v>223</v>
      </c>
      <c r="L183" t="s">
        <v>224</v>
      </c>
      <c r="M183" t="s">
        <v>131</v>
      </c>
      <c r="N183">
        <v>21</v>
      </c>
      <c r="O183" t="s">
        <v>40</v>
      </c>
      <c r="P183" t="s">
        <v>40</v>
      </c>
      <c r="Q183" t="s">
        <v>40</v>
      </c>
      <c r="R183" t="s">
        <v>40</v>
      </c>
      <c r="S183" t="s">
        <v>40</v>
      </c>
      <c r="U183" s="1">
        <v>43344</v>
      </c>
      <c r="V183" t="s">
        <v>41</v>
      </c>
      <c r="W183" t="s">
        <v>49</v>
      </c>
      <c r="X183" t="str">
        <f>"0581202"</f>
        <v>0581202</v>
      </c>
      <c r="Y183" t="s">
        <v>248</v>
      </c>
      <c r="Z183" t="s">
        <v>223</v>
      </c>
      <c r="AA183" t="s">
        <v>224</v>
      </c>
      <c r="AB183" t="s">
        <v>131</v>
      </c>
      <c r="AC183" t="s">
        <v>44</v>
      </c>
      <c r="AD183" t="s">
        <v>45</v>
      </c>
      <c r="AE183" s="1">
        <v>33757</v>
      </c>
      <c r="AF183">
        <v>2</v>
      </c>
      <c r="AG183" t="s">
        <v>224</v>
      </c>
      <c r="AH183" s="36">
        <f t="shared" si="2"/>
        <v>26.944444444444443</v>
      </c>
      <c r="AI183" s="40" t="s">
        <v>1777</v>
      </c>
    </row>
    <row r="184" spans="1:35" x14ac:dyDescent="0.25">
      <c r="A184" s="36">
        <v>99910182</v>
      </c>
      <c r="B184" s="17" t="s">
        <v>32</v>
      </c>
      <c r="C184" t="s">
        <v>90</v>
      </c>
      <c r="D184" t="s">
        <v>91</v>
      </c>
      <c r="G184" s="17" t="s">
        <v>35</v>
      </c>
      <c r="H184" s="17">
        <v>1</v>
      </c>
      <c r="I184" t="s">
        <v>1094</v>
      </c>
      <c r="J184" s="1">
        <v>43344</v>
      </c>
      <c r="K184" t="s">
        <v>1081</v>
      </c>
      <c r="L184" t="s">
        <v>1082</v>
      </c>
      <c r="M184" t="s">
        <v>1053</v>
      </c>
      <c r="N184">
        <v>25</v>
      </c>
      <c r="O184" t="s">
        <v>40</v>
      </c>
      <c r="P184" t="s">
        <v>40</v>
      </c>
      <c r="Q184" t="s">
        <v>40</v>
      </c>
      <c r="R184" t="s">
        <v>40</v>
      </c>
      <c r="S184" t="s">
        <v>40</v>
      </c>
      <c r="U184" s="1">
        <v>43344</v>
      </c>
      <c r="V184" t="s">
        <v>41</v>
      </c>
      <c r="W184" t="s">
        <v>95</v>
      </c>
      <c r="X184" t="str">
        <f>"7201007"</f>
        <v>7201007</v>
      </c>
      <c r="Y184" t="s">
        <v>1095</v>
      </c>
      <c r="Z184" t="s">
        <v>1081</v>
      </c>
      <c r="AA184" t="s">
        <v>1082</v>
      </c>
      <c r="AB184" t="s">
        <v>1053</v>
      </c>
      <c r="AC184" t="s">
        <v>51</v>
      </c>
      <c r="AD184" t="s">
        <v>45</v>
      </c>
      <c r="AE184" s="1">
        <v>33753</v>
      </c>
      <c r="AF184">
        <v>1</v>
      </c>
      <c r="AG184" t="s">
        <v>1082</v>
      </c>
      <c r="AH184" s="36">
        <f t="shared" si="2"/>
        <v>26.955555555555556</v>
      </c>
      <c r="AI184" s="40" t="s">
        <v>1777</v>
      </c>
    </row>
    <row r="185" spans="1:35" x14ac:dyDescent="0.25">
      <c r="A185" s="36">
        <v>99910183</v>
      </c>
      <c r="B185" s="17" t="s">
        <v>32</v>
      </c>
      <c r="C185" t="s">
        <v>111</v>
      </c>
      <c r="D185" t="s">
        <v>112</v>
      </c>
      <c r="G185" s="17" t="s">
        <v>88</v>
      </c>
      <c r="H185" s="17">
        <v>1</v>
      </c>
      <c r="I185">
        <v>11927</v>
      </c>
      <c r="J185" s="1">
        <v>43344</v>
      </c>
      <c r="K185" t="s">
        <v>1426</v>
      </c>
      <c r="L185" t="s">
        <v>1427</v>
      </c>
      <c r="M185" t="s">
        <v>1270</v>
      </c>
      <c r="N185">
        <v>24</v>
      </c>
      <c r="O185" t="s">
        <v>40</v>
      </c>
      <c r="P185" t="s">
        <v>40</v>
      </c>
      <c r="Q185" t="s">
        <v>40</v>
      </c>
      <c r="R185" t="s">
        <v>40</v>
      </c>
      <c r="S185" t="s">
        <v>40</v>
      </c>
      <c r="U185" s="1">
        <v>43344</v>
      </c>
      <c r="V185" t="s">
        <v>41</v>
      </c>
      <c r="W185" t="s">
        <v>75</v>
      </c>
      <c r="X185" t="str">
        <f>"7192002"</f>
        <v>7192002</v>
      </c>
      <c r="Y185" t="s">
        <v>1438</v>
      </c>
      <c r="Z185" t="s">
        <v>1426</v>
      </c>
      <c r="AA185" t="s">
        <v>1427</v>
      </c>
      <c r="AB185" t="s">
        <v>1270</v>
      </c>
      <c r="AC185" t="s">
        <v>51</v>
      </c>
      <c r="AD185" t="s">
        <v>45</v>
      </c>
      <c r="AE185" s="1">
        <v>33734</v>
      </c>
      <c r="AF185">
        <v>1</v>
      </c>
      <c r="AG185" t="s">
        <v>1427</v>
      </c>
      <c r="AH185" s="36">
        <f t="shared" si="2"/>
        <v>27.008333333333333</v>
      </c>
      <c r="AI185" s="40" t="s">
        <v>1777</v>
      </c>
    </row>
    <row r="186" spans="1:35" x14ac:dyDescent="0.25">
      <c r="A186" s="36">
        <v>99910184</v>
      </c>
      <c r="B186" s="17" t="s">
        <v>32</v>
      </c>
      <c r="C186" t="s">
        <v>143</v>
      </c>
      <c r="D186" t="s">
        <v>144</v>
      </c>
      <c r="G186" s="17" t="s">
        <v>35</v>
      </c>
      <c r="H186" s="17">
        <v>1</v>
      </c>
      <c r="K186" t="s">
        <v>1426</v>
      </c>
      <c r="L186" t="s">
        <v>1427</v>
      </c>
      <c r="M186" t="s">
        <v>1270</v>
      </c>
      <c r="N186">
        <v>20</v>
      </c>
      <c r="O186" t="s">
        <v>40</v>
      </c>
      <c r="P186" t="s">
        <v>40</v>
      </c>
      <c r="Q186" t="s">
        <v>40</v>
      </c>
      <c r="R186" t="s">
        <v>40</v>
      </c>
      <c r="S186" t="s">
        <v>40</v>
      </c>
      <c r="V186" t="s">
        <v>41</v>
      </c>
      <c r="W186" t="s">
        <v>75</v>
      </c>
      <c r="X186" t="str">
        <f>"7192000"</f>
        <v>7192000</v>
      </c>
      <c r="Y186" t="s">
        <v>1429</v>
      </c>
      <c r="Z186" t="s">
        <v>1426</v>
      </c>
      <c r="AA186" t="s">
        <v>1427</v>
      </c>
      <c r="AB186" t="s">
        <v>1270</v>
      </c>
      <c r="AC186" t="s">
        <v>51</v>
      </c>
      <c r="AD186" t="s">
        <v>45</v>
      </c>
      <c r="AE186" s="1">
        <v>33729</v>
      </c>
      <c r="AF186">
        <v>1</v>
      </c>
      <c r="AG186" t="s">
        <v>1427</v>
      </c>
      <c r="AH186" s="36">
        <f t="shared" si="2"/>
        <v>27.022222222222222</v>
      </c>
      <c r="AI186" s="40" t="s">
        <v>1777</v>
      </c>
    </row>
    <row r="187" spans="1:35" x14ac:dyDescent="0.25">
      <c r="A187" s="36">
        <v>99910185</v>
      </c>
      <c r="B187" s="17" t="s">
        <v>32</v>
      </c>
      <c r="C187" t="s">
        <v>46</v>
      </c>
      <c r="D187" t="s">
        <v>47</v>
      </c>
      <c r="G187" s="17" t="s">
        <v>35</v>
      </c>
      <c r="H187" s="17">
        <v>1</v>
      </c>
      <c r="I187">
        <v>23695</v>
      </c>
      <c r="J187" s="1">
        <v>43344</v>
      </c>
      <c r="K187" t="s">
        <v>223</v>
      </c>
      <c r="L187" t="s">
        <v>224</v>
      </c>
      <c r="M187" t="s">
        <v>131</v>
      </c>
      <c r="N187">
        <v>5</v>
      </c>
      <c r="O187" t="s">
        <v>40</v>
      </c>
      <c r="P187" t="s">
        <v>40</v>
      </c>
      <c r="Q187" t="s">
        <v>40</v>
      </c>
      <c r="R187" t="s">
        <v>40</v>
      </c>
      <c r="S187" t="s">
        <v>40</v>
      </c>
      <c r="U187" s="1">
        <v>43344</v>
      </c>
      <c r="V187" t="s">
        <v>41</v>
      </c>
      <c r="W187" t="s">
        <v>49</v>
      </c>
      <c r="X187" t="str">
        <f>"0560034"</f>
        <v>0560034</v>
      </c>
      <c r="Y187" t="s">
        <v>266</v>
      </c>
      <c r="Z187" t="s">
        <v>223</v>
      </c>
      <c r="AA187" t="s">
        <v>224</v>
      </c>
      <c r="AB187" t="s">
        <v>131</v>
      </c>
      <c r="AC187" t="s">
        <v>44</v>
      </c>
      <c r="AD187" t="s">
        <v>45</v>
      </c>
      <c r="AE187" s="1">
        <v>33726</v>
      </c>
      <c r="AF187">
        <v>2</v>
      </c>
      <c r="AG187" t="s">
        <v>224</v>
      </c>
      <c r="AH187" s="36">
        <f t="shared" si="2"/>
        <v>27.030555555555555</v>
      </c>
      <c r="AI187" s="40" t="s">
        <v>1777</v>
      </c>
    </row>
    <row r="188" spans="1:35" x14ac:dyDescent="0.25">
      <c r="A188" s="36">
        <v>99910186</v>
      </c>
      <c r="B188" s="17" t="s">
        <v>32</v>
      </c>
      <c r="C188" t="s">
        <v>111</v>
      </c>
      <c r="D188" t="s">
        <v>112</v>
      </c>
      <c r="G188" s="17" t="s">
        <v>35</v>
      </c>
      <c r="H188" s="17">
        <v>1</v>
      </c>
      <c r="K188" t="s">
        <v>431</v>
      </c>
      <c r="L188" t="s">
        <v>196</v>
      </c>
      <c r="M188" t="s">
        <v>131</v>
      </c>
      <c r="N188">
        <v>10</v>
      </c>
      <c r="O188" t="s">
        <v>40</v>
      </c>
      <c r="P188" t="s">
        <v>40</v>
      </c>
      <c r="Q188" t="s">
        <v>40</v>
      </c>
      <c r="S188" t="s">
        <v>40</v>
      </c>
      <c r="V188" t="s">
        <v>41</v>
      </c>
      <c r="W188" t="s">
        <v>75</v>
      </c>
      <c r="X188" t="str">
        <f>"7521032"</f>
        <v>7521032</v>
      </c>
      <c r="Y188" t="s">
        <v>462</v>
      </c>
      <c r="Z188" t="s">
        <v>431</v>
      </c>
      <c r="AA188" t="s">
        <v>196</v>
      </c>
      <c r="AB188" t="s">
        <v>131</v>
      </c>
      <c r="AC188" t="s">
        <v>51</v>
      </c>
      <c r="AD188" t="s">
        <v>45</v>
      </c>
      <c r="AE188" s="1">
        <v>33723</v>
      </c>
      <c r="AF188">
        <v>1</v>
      </c>
      <c r="AG188" t="s">
        <v>196</v>
      </c>
      <c r="AH188" s="36">
        <f t="shared" si="2"/>
        <v>27.038888888888888</v>
      </c>
      <c r="AI188" s="40" t="s">
        <v>1777</v>
      </c>
    </row>
    <row r="189" spans="1:35" x14ac:dyDescent="0.25">
      <c r="A189" s="36">
        <v>99910187</v>
      </c>
      <c r="B189" s="17" t="s">
        <v>32</v>
      </c>
      <c r="C189" t="s">
        <v>58</v>
      </c>
      <c r="D189" t="s">
        <v>59</v>
      </c>
      <c r="G189" s="17" t="s">
        <v>35</v>
      </c>
      <c r="H189" s="17">
        <v>1</v>
      </c>
      <c r="I189" s="1">
        <v>42258</v>
      </c>
      <c r="J189" s="1">
        <v>43344</v>
      </c>
      <c r="K189" t="s">
        <v>129</v>
      </c>
      <c r="L189" t="s">
        <v>130</v>
      </c>
      <c r="M189" t="s">
        <v>131</v>
      </c>
      <c r="N189">
        <v>4</v>
      </c>
      <c r="O189" t="s">
        <v>40</v>
      </c>
      <c r="P189" t="s">
        <v>40</v>
      </c>
      <c r="Q189" t="s">
        <v>40</v>
      </c>
      <c r="R189" t="s">
        <v>40</v>
      </c>
      <c r="S189" t="s">
        <v>40</v>
      </c>
      <c r="U189" s="1">
        <v>43344</v>
      </c>
      <c r="V189" t="s">
        <v>41</v>
      </c>
      <c r="W189" t="s">
        <v>49</v>
      </c>
      <c r="X189" t="str">
        <f>"0580150"</f>
        <v>0580150</v>
      </c>
      <c r="Y189" t="s">
        <v>134</v>
      </c>
      <c r="Z189" t="s">
        <v>129</v>
      </c>
      <c r="AA189" t="s">
        <v>130</v>
      </c>
      <c r="AB189" t="s">
        <v>131</v>
      </c>
      <c r="AC189" t="s">
        <v>51</v>
      </c>
      <c r="AD189" t="s">
        <v>45</v>
      </c>
      <c r="AE189" s="1">
        <v>33710</v>
      </c>
      <c r="AF189">
        <v>2</v>
      </c>
      <c r="AG189" t="s">
        <v>130</v>
      </c>
      <c r="AH189" s="36">
        <f t="shared" si="2"/>
        <v>27.074999999999999</v>
      </c>
      <c r="AI189" s="40" t="s">
        <v>1777</v>
      </c>
    </row>
    <row r="190" spans="1:35" x14ac:dyDescent="0.25">
      <c r="A190" s="36">
        <v>99910188</v>
      </c>
      <c r="B190" s="17" t="s">
        <v>56</v>
      </c>
      <c r="C190" t="s">
        <v>111</v>
      </c>
      <c r="D190" t="s">
        <v>112</v>
      </c>
      <c r="G190" s="17" t="s">
        <v>35</v>
      </c>
      <c r="H190" s="17">
        <v>1</v>
      </c>
      <c r="I190">
        <v>1607</v>
      </c>
      <c r="J190" s="1">
        <v>43368</v>
      </c>
      <c r="K190" t="s">
        <v>77</v>
      </c>
      <c r="L190" t="s">
        <v>78</v>
      </c>
      <c r="M190" t="s">
        <v>39</v>
      </c>
      <c r="N190">
        <v>24</v>
      </c>
      <c r="O190" t="s">
        <v>40</v>
      </c>
      <c r="P190" t="s">
        <v>40</v>
      </c>
      <c r="Q190" t="s">
        <v>40</v>
      </c>
      <c r="S190" t="s">
        <v>40</v>
      </c>
      <c r="U190" s="1">
        <v>43368</v>
      </c>
      <c r="V190" t="s">
        <v>41</v>
      </c>
      <c r="W190" t="s">
        <v>75</v>
      </c>
      <c r="X190" t="str">
        <f>"7371000"</f>
        <v>7371000</v>
      </c>
      <c r="Y190" t="s">
        <v>76</v>
      </c>
      <c r="Z190" t="s">
        <v>77</v>
      </c>
      <c r="AA190" t="s">
        <v>78</v>
      </c>
      <c r="AB190" t="s">
        <v>39</v>
      </c>
      <c r="AC190" t="s">
        <v>44</v>
      </c>
      <c r="AD190" t="s">
        <v>45</v>
      </c>
      <c r="AE190" s="1">
        <v>33708</v>
      </c>
      <c r="AF190">
        <v>1</v>
      </c>
      <c r="AG190" t="s">
        <v>78</v>
      </c>
      <c r="AH190" s="36">
        <f t="shared" si="2"/>
        <v>27.080555555555556</v>
      </c>
      <c r="AI190" s="40" t="s">
        <v>1777</v>
      </c>
    </row>
    <row r="191" spans="1:35" x14ac:dyDescent="0.25">
      <c r="A191" s="36">
        <v>99910189</v>
      </c>
      <c r="B191" s="17" t="s">
        <v>32</v>
      </c>
      <c r="C191" t="s">
        <v>90</v>
      </c>
      <c r="D191" t="s">
        <v>91</v>
      </c>
      <c r="G191" s="17" t="s">
        <v>35</v>
      </c>
      <c r="H191" s="17">
        <v>1</v>
      </c>
      <c r="I191" t="s">
        <v>1105</v>
      </c>
      <c r="J191" s="1">
        <v>43344</v>
      </c>
      <c r="K191" t="s">
        <v>1081</v>
      </c>
      <c r="L191" t="s">
        <v>1082</v>
      </c>
      <c r="M191" t="s">
        <v>1053</v>
      </c>
      <c r="N191">
        <v>25</v>
      </c>
      <c r="O191" t="s">
        <v>40</v>
      </c>
      <c r="S191" t="s">
        <v>40</v>
      </c>
      <c r="U191" s="1">
        <v>43344</v>
      </c>
      <c r="V191" t="s">
        <v>41</v>
      </c>
      <c r="W191" t="s">
        <v>95</v>
      </c>
      <c r="X191" t="str">
        <f>"7201005"</f>
        <v>7201005</v>
      </c>
      <c r="Y191" t="s">
        <v>1106</v>
      </c>
      <c r="Z191" t="s">
        <v>1081</v>
      </c>
      <c r="AA191" t="s">
        <v>1082</v>
      </c>
      <c r="AB191" t="s">
        <v>1053</v>
      </c>
      <c r="AC191" t="s">
        <v>44</v>
      </c>
      <c r="AD191" t="s">
        <v>45</v>
      </c>
      <c r="AE191" s="1">
        <v>33706</v>
      </c>
      <c r="AF191">
        <v>1</v>
      </c>
      <c r="AG191" t="s">
        <v>1082</v>
      </c>
      <c r="AH191" s="36">
        <f t="shared" si="2"/>
        <v>27.086111111111112</v>
      </c>
      <c r="AI191" s="40" t="s">
        <v>1777</v>
      </c>
    </row>
    <row r="192" spans="1:35" x14ac:dyDescent="0.25">
      <c r="A192" s="36">
        <v>99910190</v>
      </c>
      <c r="B192" s="17" t="s">
        <v>32</v>
      </c>
      <c r="C192" t="s">
        <v>46</v>
      </c>
      <c r="D192" t="s">
        <v>47</v>
      </c>
      <c r="G192" s="17" t="s">
        <v>35</v>
      </c>
      <c r="H192" s="17">
        <v>1</v>
      </c>
      <c r="I192">
        <v>19677</v>
      </c>
      <c r="J192" s="1">
        <v>43346</v>
      </c>
      <c r="K192" t="s">
        <v>380</v>
      </c>
      <c r="L192" t="s">
        <v>381</v>
      </c>
      <c r="M192" t="s">
        <v>131</v>
      </c>
      <c r="N192">
        <v>23</v>
      </c>
      <c r="O192" t="s">
        <v>40</v>
      </c>
      <c r="P192" t="s">
        <v>40</v>
      </c>
      <c r="Q192" t="s">
        <v>40</v>
      </c>
      <c r="S192" t="s">
        <v>40</v>
      </c>
      <c r="U192" s="1">
        <v>43346</v>
      </c>
      <c r="V192" t="s">
        <v>41</v>
      </c>
      <c r="W192" t="s">
        <v>49</v>
      </c>
      <c r="X192" t="str">
        <f>"0591909"</f>
        <v>0591909</v>
      </c>
      <c r="Y192" t="s">
        <v>385</v>
      </c>
      <c r="Z192" t="s">
        <v>380</v>
      </c>
      <c r="AA192" t="s">
        <v>381</v>
      </c>
      <c r="AB192" t="s">
        <v>131</v>
      </c>
      <c r="AC192" t="s">
        <v>44</v>
      </c>
      <c r="AD192" t="s">
        <v>45</v>
      </c>
      <c r="AE192" s="1">
        <v>33700</v>
      </c>
      <c r="AF192">
        <v>2</v>
      </c>
      <c r="AG192" t="s">
        <v>381</v>
      </c>
      <c r="AH192" s="36">
        <f t="shared" si="2"/>
        <v>27.102777777777778</v>
      </c>
      <c r="AI192" s="40" t="s">
        <v>1777</v>
      </c>
    </row>
    <row r="193" spans="1:35" x14ac:dyDescent="0.25">
      <c r="A193" s="36">
        <v>99910191</v>
      </c>
      <c r="B193" s="17" t="s">
        <v>32</v>
      </c>
      <c r="C193" t="s">
        <v>111</v>
      </c>
      <c r="D193" t="s">
        <v>112</v>
      </c>
      <c r="G193" s="17" t="s">
        <v>35</v>
      </c>
      <c r="H193" s="17">
        <v>1</v>
      </c>
      <c r="I193" t="s">
        <v>1675</v>
      </c>
      <c r="J193" s="1">
        <v>43344</v>
      </c>
      <c r="K193" t="s">
        <v>1619</v>
      </c>
      <c r="L193" t="s">
        <v>1620</v>
      </c>
      <c r="M193" t="s">
        <v>1592</v>
      </c>
      <c r="N193">
        <v>24</v>
      </c>
      <c r="O193" t="s">
        <v>40</v>
      </c>
      <c r="S193" t="s">
        <v>40</v>
      </c>
      <c r="U193" s="1">
        <v>43344</v>
      </c>
      <c r="V193" t="s">
        <v>41</v>
      </c>
      <c r="W193" t="s">
        <v>75</v>
      </c>
      <c r="X193" t="str">
        <f>"7281000"</f>
        <v>7281000</v>
      </c>
      <c r="Y193" t="s">
        <v>1648</v>
      </c>
      <c r="Z193" t="s">
        <v>1619</v>
      </c>
      <c r="AA193" t="s">
        <v>1620</v>
      </c>
      <c r="AB193" t="s">
        <v>1592</v>
      </c>
      <c r="AC193" t="s">
        <v>44</v>
      </c>
      <c r="AD193" t="s">
        <v>45</v>
      </c>
      <c r="AE193" s="1">
        <v>33700</v>
      </c>
      <c r="AF193">
        <v>1</v>
      </c>
      <c r="AG193" t="s">
        <v>1620</v>
      </c>
      <c r="AH193" s="36">
        <f t="shared" si="2"/>
        <v>27.102777777777778</v>
      </c>
      <c r="AI193" s="40" t="s">
        <v>1777</v>
      </c>
    </row>
    <row r="194" spans="1:35" x14ac:dyDescent="0.25">
      <c r="A194" s="36">
        <v>99910192</v>
      </c>
      <c r="B194" s="17" t="s">
        <v>32</v>
      </c>
      <c r="C194" t="s">
        <v>90</v>
      </c>
      <c r="D194" t="s">
        <v>91</v>
      </c>
      <c r="G194" s="17" t="s">
        <v>35</v>
      </c>
      <c r="H194" s="17">
        <v>1</v>
      </c>
      <c r="I194">
        <v>10769</v>
      </c>
      <c r="J194" s="1">
        <v>43344</v>
      </c>
      <c r="K194" t="s">
        <v>1461</v>
      </c>
      <c r="L194" t="s">
        <v>1462</v>
      </c>
      <c r="M194" t="s">
        <v>1270</v>
      </c>
      <c r="N194">
        <v>25</v>
      </c>
      <c r="O194" t="s">
        <v>40</v>
      </c>
      <c r="P194" t="s">
        <v>40</v>
      </c>
      <c r="Q194" t="s">
        <v>40</v>
      </c>
      <c r="S194" t="s">
        <v>40</v>
      </c>
      <c r="U194" s="1">
        <v>43344</v>
      </c>
      <c r="V194" t="s">
        <v>41</v>
      </c>
      <c r="W194" t="s">
        <v>95</v>
      </c>
      <c r="X194" t="str">
        <f>"7381001"</f>
        <v>7381001</v>
      </c>
      <c r="Y194" t="s">
        <v>1464</v>
      </c>
      <c r="Z194" t="s">
        <v>1461</v>
      </c>
      <c r="AA194" t="s">
        <v>1462</v>
      </c>
      <c r="AB194" t="s">
        <v>1270</v>
      </c>
      <c r="AC194" t="s">
        <v>51</v>
      </c>
      <c r="AD194" t="s">
        <v>45</v>
      </c>
      <c r="AE194" s="1">
        <v>33690</v>
      </c>
      <c r="AF194">
        <v>1</v>
      </c>
      <c r="AG194" t="s">
        <v>1462</v>
      </c>
      <c r="AH194" s="36">
        <f t="shared" ref="AH194:AH257" si="3">($AJ$1-AE194)/360</f>
        <v>27.130555555555556</v>
      </c>
      <c r="AI194" s="40" t="s">
        <v>1777</v>
      </c>
    </row>
    <row r="195" spans="1:35" x14ac:dyDescent="0.25">
      <c r="A195" s="36">
        <v>99910193</v>
      </c>
      <c r="B195" s="17" t="s">
        <v>32</v>
      </c>
      <c r="C195" t="s">
        <v>111</v>
      </c>
      <c r="D195" t="s">
        <v>112</v>
      </c>
      <c r="G195" s="17" t="s">
        <v>88</v>
      </c>
      <c r="H195" s="17">
        <v>3</v>
      </c>
      <c r="I195" t="s">
        <v>493</v>
      </c>
      <c r="J195" s="1">
        <v>43344</v>
      </c>
      <c r="K195" t="s">
        <v>431</v>
      </c>
      <c r="L195" t="s">
        <v>196</v>
      </c>
      <c r="M195" t="s">
        <v>131</v>
      </c>
      <c r="N195">
        <v>24</v>
      </c>
      <c r="O195" t="s">
        <v>40</v>
      </c>
      <c r="P195" t="s">
        <v>40</v>
      </c>
      <c r="Q195" t="s">
        <v>40</v>
      </c>
      <c r="R195" t="s">
        <v>40</v>
      </c>
      <c r="S195" t="s">
        <v>40</v>
      </c>
      <c r="U195" s="1">
        <v>43344</v>
      </c>
      <c r="V195" t="s">
        <v>41</v>
      </c>
      <c r="W195" t="s">
        <v>75</v>
      </c>
      <c r="X195" t="str">
        <f>"7521022"</f>
        <v>7521022</v>
      </c>
      <c r="Y195" t="s">
        <v>445</v>
      </c>
      <c r="Z195" t="s">
        <v>431</v>
      </c>
      <c r="AA195" t="s">
        <v>196</v>
      </c>
      <c r="AB195" t="s">
        <v>131</v>
      </c>
      <c r="AC195" t="s">
        <v>55</v>
      </c>
      <c r="AD195" t="s">
        <v>45</v>
      </c>
      <c r="AE195" s="1">
        <v>33687</v>
      </c>
      <c r="AF195">
        <v>1</v>
      </c>
      <c r="AG195" t="s">
        <v>196</v>
      </c>
      <c r="AH195" s="36">
        <f t="shared" si="3"/>
        <v>27.138888888888889</v>
      </c>
      <c r="AI195" s="40" t="s">
        <v>1777</v>
      </c>
    </row>
    <row r="196" spans="1:35" x14ac:dyDescent="0.25">
      <c r="A196" s="36">
        <v>99910194</v>
      </c>
      <c r="B196" s="17" t="s">
        <v>32</v>
      </c>
      <c r="C196" t="s">
        <v>111</v>
      </c>
      <c r="D196" t="s">
        <v>112</v>
      </c>
      <c r="G196" s="17" t="s">
        <v>35</v>
      </c>
      <c r="H196" s="17">
        <v>1</v>
      </c>
      <c r="I196">
        <v>0</v>
      </c>
      <c r="J196" s="1">
        <v>43344</v>
      </c>
      <c r="K196" t="s">
        <v>985</v>
      </c>
      <c r="L196" t="s">
        <v>986</v>
      </c>
      <c r="M196" t="s">
        <v>938</v>
      </c>
      <c r="N196">
        <v>24</v>
      </c>
      <c r="O196" t="s">
        <v>40</v>
      </c>
      <c r="S196" t="s">
        <v>40</v>
      </c>
      <c r="U196" s="1">
        <v>43344</v>
      </c>
      <c r="V196" t="s">
        <v>41</v>
      </c>
      <c r="W196" t="s">
        <v>75</v>
      </c>
      <c r="X196" t="str">
        <f>"7011004"</f>
        <v>7011004</v>
      </c>
      <c r="Y196" t="s">
        <v>987</v>
      </c>
      <c r="Z196" t="s">
        <v>985</v>
      </c>
      <c r="AA196" t="s">
        <v>986</v>
      </c>
      <c r="AB196" t="s">
        <v>938</v>
      </c>
      <c r="AC196" t="s">
        <v>51</v>
      </c>
      <c r="AD196" t="s">
        <v>45</v>
      </c>
      <c r="AE196" s="1">
        <v>33685</v>
      </c>
      <c r="AF196">
        <v>1</v>
      </c>
      <c r="AG196" t="s">
        <v>986</v>
      </c>
      <c r="AH196" s="36">
        <f t="shared" si="3"/>
        <v>27.144444444444446</v>
      </c>
      <c r="AI196" s="40" t="s">
        <v>1777</v>
      </c>
    </row>
    <row r="197" spans="1:35" x14ac:dyDescent="0.25">
      <c r="A197" s="36">
        <v>99910195</v>
      </c>
      <c r="B197" s="17" t="s">
        <v>32</v>
      </c>
      <c r="C197" t="s">
        <v>111</v>
      </c>
      <c r="D197" t="s">
        <v>112</v>
      </c>
      <c r="G197" s="17" t="s">
        <v>35</v>
      </c>
      <c r="H197" s="17">
        <v>1</v>
      </c>
      <c r="I197">
        <v>14589</v>
      </c>
      <c r="J197" s="1">
        <v>43344</v>
      </c>
      <c r="K197" t="s">
        <v>354</v>
      </c>
      <c r="L197" t="s">
        <v>355</v>
      </c>
      <c r="M197" t="s">
        <v>131</v>
      </c>
      <c r="N197">
        <v>24</v>
      </c>
      <c r="O197" t="s">
        <v>40</v>
      </c>
      <c r="Q197" t="s">
        <v>40</v>
      </c>
      <c r="S197" t="s">
        <v>40</v>
      </c>
      <c r="U197" s="1">
        <v>43344</v>
      </c>
      <c r="V197" t="s">
        <v>41</v>
      </c>
      <c r="W197" t="s">
        <v>75</v>
      </c>
      <c r="X197" t="str">
        <f>"7054006"</f>
        <v>7054006</v>
      </c>
      <c r="Y197" t="s">
        <v>774</v>
      </c>
      <c r="Z197" t="s">
        <v>354</v>
      </c>
      <c r="AA197" t="s">
        <v>355</v>
      </c>
      <c r="AB197" t="s">
        <v>131</v>
      </c>
      <c r="AC197" t="s">
        <v>51</v>
      </c>
      <c r="AD197" t="s">
        <v>45</v>
      </c>
      <c r="AE197" s="1">
        <v>33669</v>
      </c>
      <c r="AF197">
        <v>1</v>
      </c>
      <c r="AG197" t="s">
        <v>355</v>
      </c>
      <c r="AH197" s="36">
        <f t="shared" si="3"/>
        <v>27.18888888888889</v>
      </c>
      <c r="AI197" s="40" t="s">
        <v>1777</v>
      </c>
    </row>
    <row r="198" spans="1:35" x14ac:dyDescent="0.25">
      <c r="A198" s="36">
        <v>99910196</v>
      </c>
      <c r="B198" s="17" t="s">
        <v>32</v>
      </c>
      <c r="C198" t="s">
        <v>111</v>
      </c>
      <c r="D198" t="s">
        <v>112</v>
      </c>
      <c r="G198" s="17" t="s">
        <v>35</v>
      </c>
      <c r="H198" s="17">
        <v>1</v>
      </c>
      <c r="I198" t="s">
        <v>286</v>
      </c>
      <c r="J198" s="1">
        <v>43344</v>
      </c>
      <c r="K198" t="s">
        <v>268</v>
      </c>
      <c r="L198" t="s">
        <v>269</v>
      </c>
      <c r="M198" t="s">
        <v>131</v>
      </c>
      <c r="N198">
        <v>24</v>
      </c>
      <c r="O198" t="s">
        <v>40</v>
      </c>
      <c r="S198" t="s">
        <v>40</v>
      </c>
      <c r="V198" t="s">
        <v>41</v>
      </c>
      <c r="W198" t="s">
        <v>75</v>
      </c>
      <c r="X198" t="str">
        <f>"7052018"</f>
        <v>7052018</v>
      </c>
      <c r="Y198" t="s">
        <v>577</v>
      </c>
      <c r="Z198" t="s">
        <v>268</v>
      </c>
      <c r="AA198" t="s">
        <v>269</v>
      </c>
      <c r="AB198" t="s">
        <v>131</v>
      </c>
      <c r="AC198" t="s">
        <v>51</v>
      </c>
      <c r="AD198" t="s">
        <v>45</v>
      </c>
      <c r="AE198" s="1">
        <v>33664</v>
      </c>
      <c r="AF198">
        <v>1</v>
      </c>
      <c r="AG198" t="s">
        <v>269</v>
      </c>
      <c r="AH198" s="36">
        <f t="shared" si="3"/>
        <v>27.202777777777779</v>
      </c>
      <c r="AI198" s="40" t="s">
        <v>1777</v>
      </c>
    </row>
    <row r="199" spans="1:35" x14ac:dyDescent="0.25">
      <c r="A199" s="36">
        <v>99910197</v>
      </c>
      <c r="B199" s="17" t="s">
        <v>32</v>
      </c>
      <c r="C199" t="s">
        <v>143</v>
      </c>
      <c r="D199" t="s">
        <v>144</v>
      </c>
      <c r="G199" s="17" t="s">
        <v>35</v>
      </c>
      <c r="H199" s="17">
        <v>1</v>
      </c>
      <c r="I199" t="s">
        <v>1062</v>
      </c>
      <c r="J199" s="1">
        <v>43354</v>
      </c>
      <c r="K199" t="s">
        <v>1051</v>
      </c>
      <c r="L199" t="s">
        <v>1052</v>
      </c>
      <c r="M199" t="s">
        <v>1053</v>
      </c>
      <c r="N199">
        <v>5</v>
      </c>
      <c r="O199" t="s">
        <v>40</v>
      </c>
      <c r="S199" t="s">
        <v>40</v>
      </c>
      <c r="U199" s="1">
        <v>43354</v>
      </c>
      <c r="V199" t="s">
        <v>41</v>
      </c>
      <c r="W199" t="s">
        <v>49</v>
      </c>
      <c r="X199" t="str">
        <f>"2080025"</f>
        <v>2080025</v>
      </c>
      <c r="Y199" t="s">
        <v>1057</v>
      </c>
      <c r="Z199" t="s">
        <v>1051</v>
      </c>
      <c r="AA199" t="s">
        <v>1052</v>
      </c>
      <c r="AB199" t="s">
        <v>1053</v>
      </c>
      <c r="AC199" t="s">
        <v>44</v>
      </c>
      <c r="AD199" t="s">
        <v>45</v>
      </c>
      <c r="AE199" s="1">
        <v>33660</v>
      </c>
      <c r="AF199">
        <v>2</v>
      </c>
      <c r="AG199" t="s">
        <v>1052</v>
      </c>
      <c r="AH199" s="36">
        <f t="shared" si="3"/>
        <v>27.213888888888889</v>
      </c>
      <c r="AI199" s="40" t="s">
        <v>1777</v>
      </c>
    </row>
    <row r="200" spans="1:35" x14ac:dyDescent="0.25">
      <c r="A200" s="36">
        <v>99910198</v>
      </c>
      <c r="B200" s="17" t="s">
        <v>56</v>
      </c>
      <c r="C200" t="s">
        <v>79</v>
      </c>
      <c r="D200" t="s">
        <v>80</v>
      </c>
      <c r="G200" s="17" t="s">
        <v>35</v>
      </c>
      <c r="H200" s="17">
        <v>1</v>
      </c>
      <c r="I200" t="s">
        <v>286</v>
      </c>
      <c r="J200" s="1">
        <v>43344</v>
      </c>
      <c r="K200" t="s">
        <v>268</v>
      </c>
      <c r="L200" t="s">
        <v>269</v>
      </c>
      <c r="M200" t="s">
        <v>131</v>
      </c>
      <c r="N200">
        <v>12</v>
      </c>
      <c r="O200" t="s">
        <v>40</v>
      </c>
      <c r="S200" t="s">
        <v>40</v>
      </c>
      <c r="V200" t="s">
        <v>41</v>
      </c>
      <c r="W200" t="s">
        <v>75</v>
      </c>
      <c r="X200" t="str">
        <f>"7052018"</f>
        <v>7052018</v>
      </c>
      <c r="Y200" t="s">
        <v>577</v>
      </c>
      <c r="Z200" t="s">
        <v>268</v>
      </c>
      <c r="AA200" t="s">
        <v>269</v>
      </c>
      <c r="AB200" t="s">
        <v>131</v>
      </c>
      <c r="AC200" t="s">
        <v>44</v>
      </c>
      <c r="AD200" t="s">
        <v>45</v>
      </c>
      <c r="AE200" s="1">
        <v>33656</v>
      </c>
      <c r="AF200">
        <v>1</v>
      </c>
      <c r="AG200" t="s">
        <v>269</v>
      </c>
      <c r="AH200" s="36">
        <f t="shared" si="3"/>
        <v>27.225000000000001</v>
      </c>
      <c r="AI200" s="40" t="s">
        <v>1777</v>
      </c>
    </row>
    <row r="201" spans="1:35" x14ac:dyDescent="0.25">
      <c r="A201" s="36">
        <v>99910199</v>
      </c>
      <c r="B201" s="17" t="s">
        <v>32</v>
      </c>
      <c r="C201" t="s">
        <v>111</v>
      </c>
      <c r="D201" t="s">
        <v>112</v>
      </c>
      <c r="G201" s="17" t="s">
        <v>35</v>
      </c>
      <c r="H201" s="17">
        <v>3</v>
      </c>
      <c r="I201" t="s">
        <v>1224</v>
      </c>
      <c r="J201" s="1">
        <v>43344</v>
      </c>
      <c r="K201" t="s">
        <v>1221</v>
      </c>
      <c r="L201" t="s">
        <v>1222</v>
      </c>
      <c r="M201" t="s">
        <v>1130</v>
      </c>
      <c r="N201">
        <v>24</v>
      </c>
      <c r="O201" t="s">
        <v>40</v>
      </c>
      <c r="P201" t="s">
        <v>40</v>
      </c>
      <c r="Q201" t="s">
        <v>40</v>
      </c>
      <c r="R201" t="s">
        <v>40</v>
      </c>
      <c r="S201" t="s">
        <v>40</v>
      </c>
      <c r="U201" s="1">
        <v>43344</v>
      </c>
      <c r="V201" t="s">
        <v>41</v>
      </c>
      <c r="W201" t="s">
        <v>75</v>
      </c>
      <c r="X201" t="str">
        <f>"7351004"</f>
        <v>7351004</v>
      </c>
      <c r="Y201" t="s">
        <v>1225</v>
      </c>
      <c r="Z201" t="s">
        <v>1221</v>
      </c>
      <c r="AA201" t="s">
        <v>1222</v>
      </c>
      <c r="AB201" t="s">
        <v>1130</v>
      </c>
      <c r="AC201" t="s">
        <v>51</v>
      </c>
      <c r="AD201" t="s">
        <v>45</v>
      </c>
      <c r="AE201" s="1">
        <v>33656</v>
      </c>
      <c r="AF201">
        <v>1</v>
      </c>
      <c r="AG201" t="s">
        <v>1222</v>
      </c>
      <c r="AH201" s="36">
        <f t="shared" si="3"/>
        <v>27.225000000000001</v>
      </c>
      <c r="AI201" s="40" t="s">
        <v>1777</v>
      </c>
    </row>
    <row r="202" spans="1:35" x14ac:dyDescent="0.25">
      <c r="A202" s="36">
        <v>99910200</v>
      </c>
      <c r="B202" s="17" t="s">
        <v>56</v>
      </c>
      <c r="C202" t="s">
        <v>111</v>
      </c>
      <c r="D202" t="s">
        <v>112</v>
      </c>
      <c r="G202" s="17" t="s">
        <v>35</v>
      </c>
      <c r="H202" s="17">
        <v>1</v>
      </c>
      <c r="I202">
        <v>11616</v>
      </c>
      <c r="J202" s="1">
        <v>43344</v>
      </c>
      <c r="K202" t="s">
        <v>354</v>
      </c>
      <c r="L202" t="s">
        <v>355</v>
      </c>
      <c r="M202" t="s">
        <v>131</v>
      </c>
      <c r="N202">
        <v>24</v>
      </c>
      <c r="O202" t="s">
        <v>40</v>
      </c>
      <c r="S202" t="s">
        <v>40</v>
      </c>
      <c r="U202" s="1">
        <v>43344</v>
      </c>
      <c r="V202" t="s">
        <v>41</v>
      </c>
      <c r="W202" t="s">
        <v>75</v>
      </c>
      <c r="X202" t="str">
        <f>"7054016"</f>
        <v>7054016</v>
      </c>
      <c r="Y202" t="s">
        <v>768</v>
      </c>
      <c r="Z202" t="s">
        <v>354</v>
      </c>
      <c r="AA202" t="s">
        <v>355</v>
      </c>
      <c r="AB202" t="s">
        <v>131</v>
      </c>
      <c r="AC202" t="s">
        <v>44</v>
      </c>
      <c r="AD202" t="s">
        <v>45</v>
      </c>
      <c r="AE202" s="1">
        <v>33634</v>
      </c>
      <c r="AF202">
        <v>1</v>
      </c>
      <c r="AG202" t="s">
        <v>355</v>
      </c>
      <c r="AH202" s="36">
        <f t="shared" si="3"/>
        <v>27.286111111111111</v>
      </c>
      <c r="AI202" s="40" t="s">
        <v>1777</v>
      </c>
    </row>
    <row r="203" spans="1:35" x14ac:dyDescent="0.25">
      <c r="A203" s="36">
        <v>99910201</v>
      </c>
      <c r="B203" s="17" t="s">
        <v>32</v>
      </c>
      <c r="C203" t="s">
        <v>58</v>
      </c>
      <c r="D203" t="s">
        <v>59</v>
      </c>
      <c r="G203" s="17" t="s">
        <v>35</v>
      </c>
      <c r="H203" s="17">
        <v>1</v>
      </c>
      <c r="I203">
        <v>9186</v>
      </c>
      <c r="J203" s="1">
        <v>43377</v>
      </c>
      <c r="K203" t="s">
        <v>1051</v>
      </c>
      <c r="L203" t="s">
        <v>1052</v>
      </c>
      <c r="M203" t="s">
        <v>1053</v>
      </c>
      <c r="N203">
        <v>15</v>
      </c>
      <c r="O203" t="s">
        <v>40</v>
      </c>
      <c r="S203" t="s">
        <v>40</v>
      </c>
      <c r="U203" s="1">
        <v>43377</v>
      </c>
      <c r="V203" t="s">
        <v>41</v>
      </c>
      <c r="W203" t="s">
        <v>42</v>
      </c>
      <c r="X203" t="str">
        <f>"2061004"</f>
        <v>2061004</v>
      </c>
      <c r="Y203" t="s">
        <v>1055</v>
      </c>
      <c r="Z203" t="s">
        <v>1051</v>
      </c>
      <c r="AA203" t="s">
        <v>1052</v>
      </c>
      <c r="AB203" t="s">
        <v>1053</v>
      </c>
      <c r="AC203" t="s">
        <v>55</v>
      </c>
      <c r="AD203" t="s">
        <v>45</v>
      </c>
      <c r="AE203" s="1">
        <v>33632</v>
      </c>
      <c r="AF203">
        <v>2</v>
      </c>
      <c r="AG203" t="s">
        <v>1052</v>
      </c>
      <c r="AH203" s="36">
        <f t="shared" si="3"/>
        <v>27.291666666666668</v>
      </c>
      <c r="AI203" s="40" t="s">
        <v>1777</v>
      </c>
    </row>
    <row r="204" spans="1:35" x14ac:dyDescent="0.25">
      <c r="A204" s="36">
        <v>99910202</v>
      </c>
      <c r="B204" s="17" t="s">
        <v>32</v>
      </c>
      <c r="C204" t="s">
        <v>111</v>
      </c>
      <c r="D204" t="s">
        <v>112</v>
      </c>
      <c r="G204" s="17" t="s">
        <v>35</v>
      </c>
      <c r="H204" s="17">
        <v>1</v>
      </c>
      <c r="I204">
        <v>4551</v>
      </c>
      <c r="J204" s="1">
        <v>43362</v>
      </c>
      <c r="K204" t="s">
        <v>1631</v>
      </c>
      <c r="L204" t="s">
        <v>1632</v>
      </c>
      <c r="M204" t="s">
        <v>1592</v>
      </c>
      <c r="N204">
        <v>24</v>
      </c>
      <c r="O204" t="s">
        <v>40</v>
      </c>
      <c r="S204" t="s">
        <v>40</v>
      </c>
      <c r="U204" s="1">
        <v>43362</v>
      </c>
      <c r="V204" t="s">
        <v>41</v>
      </c>
      <c r="W204" t="s">
        <v>75</v>
      </c>
      <c r="X204" t="str">
        <f>"7021000"</f>
        <v>7021000</v>
      </c>
      <c r="Y204" t="s">
        <v>1633</v>
      </c>
      <c r="Z204" t="s">
        <v>1631</v>
      </c>
      <c r="AA204" t="s">
        <v>1632</v>
      </c>
      <c r="AB204" t="s">
        <v>1592</v>
      </c>
      <c r="AC204" t="s">
        <v>44</v>
      </c>
      <c r="AD204" t="s">
        <v>45</v>
      </c>
      <c r="AE204" s="1">
        <v>33630</v>
      </c>
      <c r="AF204">
        <v>1</v>
      </c>
      <c r="AG204" t="s">
        <v>1632</v>
      </c>
      <c r="AH204" s="36">
        <f t="shared" si="3"/>
        <v>27.297222222222221</v>
      </c>
      <c r="AI204" s="40" t="s">
        <v>1777</v>
      </c>
    </row>
    <row r="205" spans="1:35" x14ac:dyDescent="0.25">
      <c r="A205" s="36">
        <v>99910203</v>
      </c>
      <c r="B205" s="17" t="s">
        <v>32</v>
      </c>
      <c r="C205" t="s">
        <v>111</v>
      </c>
      <c r="D205" t="s">
        <v>112</v>
      </c>
      <c r="G205" s="17" t="s">
        <v>48</v>
      </c>
      <c r="H205" s="17">
        <v>1</v>
      </c>
      <c r="K205" t="s">
        <v>1341</v>
      </c>
      <c r="L205" t="s">
        <v>1342</v>
      </c>
      <c r="M205" t="s">
        <v>1270</v>
      </c>
      <c r="N205">
        <v>24</v>
      </c>
      <c r="O205" t="s">
        <v>40</v>
      </c>
      <c r="P205" t="s">
        <v>40</v>
      </c>
      <c r="Q205" t="s">
        <v>40</v>
      </c>
      <c r="R205" t="s">
        <v>40</v>
      </c>
      <c r="S205" t="s">
        <v>40</v>
      </c>
      <c r="V205" t="s">
        <v>41</v>
      </c>
      <c r="W205" t="s">
        <v>75</v>
      </c>
      <c r="X205" t="str">
        <f>"7191036"</f>
        <v>7191036</v>
      </c>
      <c r="Y205" t="s">
        <v>1348</v>
      </c>
      <c r="Z205" t="s">
        <v>1341</v>
      </c>
      <c r="AA205" t="s">
        <v>1342</v>
      </c>
      <c r="AB205" t="s">
        <v>1270</v>
      </c>
      <c r="AC205" t="s">
        <v>165</v>
      </c>
      <c r="AD205" t="s">
        <v>45</v>
      </c>
      <c r="AE205" s="1">
        <v>33628</v>
      </c>
      <c r="AF205">
        <v>1</v>
      </c>
      <c r="AG205" t="s">
        <v>1342</v>
      </c>
      <c r="AH205" s="36">
        <f t="shared" si="3"/>
        <v>27.302777777777777</v>
      </c>
      <c r="AI205" s="40" t="s">
        <v>1777</v>
      </c>
    </row>
    <row r="206" spans="1:35" x14ac:dyDescent="0.25">
      <c r="A206" s="36">
        <v>99910204</v>
      </c>
      <c r="B206" s="17" t="s">
        <v>32</v>
      </c>
      <c r="C206" t="s">
        <v>111</v>
      </c>
      <c r="D206" t="s">
        <v>112</v>
      </c>
      <c r="G206" s="17" t="s">
        <v>48</v>
      </c>
      <c r="H206" s="17">
        <v>1</v>
      </c>
      <c r="K206" t="s">
        <v>1564</v>
      </c>
      <c r="L206" t="s">
        <v>1565</v>
      </c>
      <c r="M206" t="s">
        <v>1548</v>
      </c>
      <c r="N206">
        <v>24</v>
      </c>
      <c r="O206" t="s">
        <v>40</v>
      </c>
      <c r="P206" t="s">
        <v>40</v>
      </c>
      <c r="Q206" t="s">
        <v>40</v>
      </c>
      <c r="S206" t="s">
        <v>40</v>
      </c>
      <c r="V206" t="s">
        <v>41</v>
      </c>
      <c r="W206" t="s">
        <v>75</v>
      </c>
      <c r="X206" t="str">
        <f>"7101002"</f>
        <v>7101002</v>
      </c>
      <c r="Y206" t="s">
        <v>1563</v>
      </c>
      <c r="Z206" t="s">
        <v>1564</v>
      </c>
      <c r="AA206" t="s">
        <v>1565</v>
      </c>
      <c r="AB206" t="s">
        <v>1548</v>
      </c>
      <c r="AC206" t="s">
        <v>51</v>
      </c>
      <c r="AD206" t="s">
        <v>45</v>
      </c>
      <c r="AE206" s="1">
        <v>33625</v>
      </c>
      <c r="AF206">
        <v>1</v>
      </c>
      <c r="AG206" t="s">
        <v>1565</v>
      </c>
      <c r="AH206" s="36">
        <f t="shared" si="3"/>
        <v>27.31111111111111</v>
      </c>
      <c r="AI206" s="40" t="s">
        <v>1777</v>
      </c>
    </row>
    <row r="207" spans="1:35" x14ac:dyDescent="0.25">
      <c r="A207" s="36">
        <v>99910205</v>
      </c>
      <c r="B207" s="17" t="s">
        <v>32</v>
      </c>
      <c r="C207" t="s">
        <v>111</v>
      </c>
      <c r="D207" t="s">
        <v>112</v>
      </c>
      <c r="G207" s="17" t="s">
        <v>48</v>
      </c>
      <c r="H207" s="17">
        <v>1</v>
      </c>
      <c r="K207" t="s">
        <v>1619</v>
      </c>
      <c r="L207" t="s">
        <v>1620</v>
      </c>
      <c r="M207" t="s">
        <v>1592</v>
      </c>
      <c r="N207">
        <v>24</v>
      </c>
      <c r="O207" t="s">
        <v>40</v>
      </c>
      <c r="P207" t="s">
        <v>40</v>
      </c>
      <c r="Q207" t="s">
        <v>40</v>
      </c>
      <c r="R207" t="s">
        <v>40</v>
      </c>
      <c r="S207" t="s">
        <v>40</v>
      </c>
      <c r="V207" t="s">
        <v>41</v>
      </c>
      <c r="W207" t="s">
        <v>75</v>
      </c>
      <c r="X207" t="str">
        <f>"7281006"</f>
        <v>7281006</v>
      </c>
      <c r="Y207" t="s">
        <v>1618</v>
      </c>
      <c r="Z207" t="s">
        <v>1619</v>
      </c>
      <c r="AA207" t="s">
        <v>1620</v>
      </c>
      <c r="AB207" t="s">
        <v>1592</v>
      </c>
      <c r="AC207" t="s">
        <v>51</v>
      </c>
      <c r="AD207" t="s">
        <v>45</v>
      </c>
      <c r="AE207" s="1">
        <v>33623</v>
      </c>
      <c r="AF207">
        <v>1</v>
      </c>
      <c r="AG207" t="s">
        <v>1620</v>
      </c>
      <c r="AH207" s="36">
        <f t="shared" si="3"/>
        <v>27.316666666666666</v>
      </c>
      <c r="AI207" s="40" t="s">
        <v>1777</v>
      </c>
    </row>
    <row r="208" spans="1:35" x14ac:dyDescent="0.25">
      <c r="A208" s="36">
        <v>99910206</v>
      </c>
      <c r="B208" s="17" t="s">
        <v>56</v>
      </c>
      <c r="C208" t="s">
        <v>111</v>
      </c>
      <c r="D208" t="s">
        <v>112</v>
      </c>
      <c r="G208" s="17" t="s">
        <v>35</v>
      </c>
      <c r="H208" s="17">
        <v>1</v>
      </c>
      <c r="I208" t="s">
        <v>286</v>
      </c>
      <c r="J208" s="1">
        <v>43344</v>
      </c>
      <c r="K208" t="s">
        <v>268</v>
      </c>
      <c r="L208" t="s">
        <v>269</v>
      </c>
      <c r="M208" t="s">
        <v>131</v>
      </c>
      <c r="N208">
        <v>24</v>
      </c>
      <c r="O208" t="s">
        <v>40</v>
      </c>
      <c r="S208" t="s">
        <v>40</v>
      </c>
      <c r="U208" s="1">
        <v>43344</v>
      </c>
      <c r="V208" t="s">
        <v>41</v>
      </c>
      <c r="W208" t="s">
        <v>75</v>
      </c>
      <c r="X208" t="str">
        <f>"7052028"</f>
        <v>7052028</v>
      </c>
      <c r="Y208" t="s">
        <v>601</v>
      </c>
      <c r="Z208" t="s">
        <v>268</v>
      </c>
      <c r="AA208" t="s">
        <v>269</v>
      </c>
      <c r="AB208" t="s">
        <v>131</v>
      </c>
      <c r="AC208" t="s">
        <v>44</v>
      </c>
      <c r="AD208" t="s">
        <v>45</v>
      </c>
      <c r="AE208" s="1">
        <v>33612</v>
      </c>
      <c r="AF208">
        <v>1</v>
      </c>
      <c r="AG208" t="s">
        <v>269</v>
      </c>
      <c r="AH208" s="36">
        <f t="shared" si="3"/>
        <v>27.347222222222221</v>
      </c>
      <c r="AI208" s="40" t="s">
        <v>1777</v>
      </c>
    </row>
    <row r="209" spans="1:35" x14ac:dyDescent="0.25">
      <c r="A209" s="36">
        <v>99910207</v>
      </c>
      <c r="B209" s="17" t="s">
        <v>56</v>
      </c>
      <c r="C209" t="s">
        <v>111</v>
      </c>
      <c r="D209" t="s">
        <v>112</v>
      </c>
      <c r="G209" s="17" t="s">
        <v>35</v>
      </c>
      <c r="H209" s="17">
        <v>1</v>
      </c>
      <c r="I209" t="s">
        <v>659</v>
      </c>
      <c r="J209" s="1">
        <v>43344</v>
      </c>
      <c r="K209" t="s">
        <v>268</v>
      </c>
      <c r="L209" t="s">
        <v>269</v>
      </c>
      <c r="M209" t="s">
        <v>131</v>
      </c>
      <c r="N209">
        <v>24</v>
      </c>
      <c r="O209" t="s">
        <v>40</v>
      </c>
      <c r="P209" t="s">
        <v>40</v>
      </c>
      <c r="Q209" t="s">
        <v>40</v>
      </c>
      <c r="S209" t="s">
        <v>40</v>
      </c>
      <c r="U209" s="1">
        <v>43344</v>
      </c>
      <c r="V209" t="s">
        <v>41</v>
      </c>
      <c r="W209" t="s">
        <v>75</v>
      </c>
      <c r="X209" t="str">
        <f>"7052040"</f>
        <v>7052040</v>
      </c>
      <c r="Y209" t="s">
        <v>591</v>
      </c>
      <c r="Z209" t="s">
        <v>268</v>
      </c>
      <c r="AA209" t="s">
        <v>269</v>
      </c>
      <c r="AB209" t="s">
        <v>131</v>
      </c>
      <c r="AC209" t="s">
        <v>55</v>
      </c>
      <c r="AD209" t="s">
        <v>45</v>
      </c>
      <c r="AE209" s="1">
        <v>33610</v>
      </c>
      <c r="AF209">
        <v>1</v>
      </c>
      <c r="AG209" t="s">
        <v>269</v>
      </c>
      <c r="AH209" s="36">
        <f t="shared" si="3"/>
        <v>27.352777777777778</v>
      </c>
      <c r="AI209" s="40" t="s">
        <v>1777</v>
      </c>
    </row>
    <row r="210" spans="1:35" x14ac:dyDescent="0.25">
      <c r="A210" s="36">
        <v>99910208</v>
      </c>
      <c r="B210" s="17" t="s">
        <v>56</v>
      </c>
      <c r="C210" t="s">
        <v>259</v>
      </c>
      <c r="D210" t="s">
        <v>260</v>
      </c>
      <c r="G210" s="17" t="s">
        <v>35</v>
      </c>
      <c r="H210" s="17">
        <v>1</v>
      </c>
      <c r="I210">
        <v>4616</v>
      </c>
      <c r="J210" s="1">
        <v>43350</v>
      </c>
      <c r="K210" t="s">
        <v>919</v>
      </c>
      <c r="L210" t="s">
        <v>920</v>
      </c>
      <c r="M210" t="s">
        <v>921</v>
      </c>
      <c r="N210">
        <v>10</v>
      </c>
      <c r="O210" t="s">
        <v>40</v>
      </c>
      <c r="P210" t="s">
        <v>40</v>
      </c>
      <c r="Q210" t="s">
        <v>40</v>
      </c>
      <c r="R210" t="s">
        <v>40</v>
      </c>
      <c r="S210" t="s">
        <v>40</v>
      </c>
      <c r="U210" s="1">
        <v>43350</v>
      </c>
      <c r="V210" t="s">
        <v>41</v>
      </c>
      <c r="W210" t="s">
        <v>922</v>
      </c>
      <c r="X210" t="str">
        <f>"5162001"</f>
        <v>5162001</v>
      </c>
      <c r="Y210" t="s">
        <v>923</v>
      </c>
      <c r="Z210" t="s">
        <v>919</v>
      </c>
      <c r="AA210" t="s">
        <v>920</v>
      </c>
      <c r="AB210" t="s">
        <v>921</v>
      </c>
      <c r="AC210" t="s">
        <v>44</v>
      </c>
      <c r="AD210" t="s">
        <v>45</v>
      </c>
      <c r="AE210" s="1">
        <v>33604</v>
      </c>
      <c r="AF210">
        <v>2</v>
      </c>
      <c r="AG210" t="s">
        <v>920</v>
      </c>
      <c r="AH210" s="36">
        <f t="shared" si="3"/>
        <v>27.369444444444444</v>
      </c>
      <c r="AI210" s="40" t="s">
        <v>1777</v>
      </c>
    </row>
    <row r="211" spans="1:35" x14ac:dyDescent="0.25">
      <c r="A211" s="36">
        <v>99910209</v>
      </c>
      <c r="B211" s="17" t="s">
        <v>32</v>
      </c>
      <c r="C211" t="s">
        <v>111</v>
      </c>
      <c r="D211" t="s">
        <v>112</v>
      </c>
      <c r="G211" s="17" t="s">
        <v>35</v>
      </c>
      <c r="H211" s="17">
        <v>1</v>
      </c>
      <c r="I211">
        <v>10608</v>
      </c>
      <c r="J211" s="1">
        <v>43344</v>
      </c>
      <c r="K211" t="s">
        <v>354</v>
      </c>
      <c r="L211" t="s">
        <v>355</v>
      </c>
      <c r="M211" t="s">
        <v>131</v>
      </c>
      <c r="N211">
        <v>24</v>
      </c>
      <c r="O211" t="s">
        <v>40</v>
      </c>
      <c r="S211" t="s">
        <v>40</v>
      </c>
      <c r="U211" s="1">
        <v>43344</v>
      </c>
      <c r="V211" t="s">
        <v>41</v>
      </c>
      <c r="W211" t="s">
        <v>75</v>
      </c>
      <c r="X211" t="str">
        <f>"7054028"</f>
        <v>7054028</v>
      </c>
      <c r="Y211" t="s">
        <v>788</v>
      </c>
      <c r="Z211" t="s">
        <v>354</v>
      </c>
      <c r="AA211" t="s">
        <v>355</v>
      </c>
      <c r="AB211" t="s">
        <v>131</v>
      </c>
      <c r="AC211" t="s">
        <v>51</v>
      </c>
      <c r="AD211" t="s">
        <v>45</v>
      </c>
      <c r="AE211" s="1">
        <v>33599</v>
      </c>
      <c r="AF211">
        <v>1</v>
      </c>
      <c r="AG211" t="s">
        <v>355</v>
      </c>
      <c r="AH211" s="36">
        <f t="shared" si="3"/>
        <v>27.383333333333333</v>
      </c>
      <c r="AI211" s="40" t="s">
        <v>1777</v>
      </c>
    </row>
    <row r="212" spans="1:35" x14ac:dyDescent="0.25">
      <c r="A212" s="36">
        <v>99910210</v>
      </c>
      <c r="B212" s="17" t="s">
        <v>32</v>
      </c>
      <c r="C212" t="s">
        <v>111</v>
      </c>
      <c r="D212" t="s">
        <v>112</v>
      </c>
      <c r="G212" s="17" t="s">
        <v>48</v>
      </c>
      <c r="H212" s="17">
        <v>1</v>
      </c>
      <c r="K212" t="s">
        <v>354</v>
      </c>
      <c r="L212" t="s">
        <v>355</v>
      </c>
      <c r="M212" t="s">
        <v>131</v>
      </c>
      <c r="N212">
        <v>24</v>
      </c>
      <c r="O212" t="s">
        <v>40</v>
      </c>
      <c r="P212" t="s">
        <v>40</v>
      </c>
      <c r="Q212" t="s">
        <v>40</v>
      </c>
      <c r="S212" t="s">
        <v>40</v>
      </c>
      <c r="V212" t="s">
        <v>41</v>
      </c>
      <c r="W212" t="s">
        <v>75</v>
      </c>
      <c r="X212" t="str">
        <f>"7054002"</f>
        <v>7054002</v>
      </c>
      <c r="Y212" t="s">
        <v>376</v>
      </c>
      <c r="Z212" t="s">
        <v>354</v>
      </c>
      <c r="AA212" t="s">
        <v>355</v>
      </c>
      <c r="AB212" t="s">
        <v>131</v>
      </c>
      <c r="AC212" t="s">
        <v>51</v>
      </c>
      <c r="AD212" t="s">
        <v>45</v>
      </c>
      <c r="AE212" s="1">
        <v>33594</v>
      </c>
      <c r="AF212">
        <v>1</v>
      </c>
      <c r="AG212" t="s">
        <v>355</v>
      </c>
      <c r="AH212" s="36">
        <f t="shared" si="3"/>
        <v>27.397222222222222</v>
      </c>
      <c r="AI212" s="40" t="s">
        <v>1777</v>
      </c>
    </row>
    <row r="213" spans="1:35" x14ac:dyDescent="0.25">
      <c r="A213" s="36">
        <v>99910211</v>
      </c>
      <c r="B213" s="17" t="s">
        <v>32</v>
      </c>
      <c r="C213" t="s">
        <v>111</v>
      </c>
      <c r="D213" t="s">
        <v>112</v>
      </c>
      <c r="G213" s="17" t="s">
        <v>35</v>
      </c>
      <c r="H213" s="17">
        <v>1</v>
      </c>
      <c r="I213">
        <v>16035</v>
      </c>
      <c r="J213" s="1">
        <v>43348</v>
      </c>
      <c r="K213" t="s">
        <v>877</v>
      </c>
      <c r="L213" t="s">
        <v>878</v>
      </c>
      <c r="M213" t="s">
        <v>131</v>
      </c>
      <c r="N213">
        <v>24</v>
      </c>
      <c r="O213" t="s">
        <v>40</v>
      </c>
      <c r="P213" t="s">
        <v>40</v>
      </c>
      <c r="Q213" t="s">
        <v>40</v>
      </c>
      <c r="R213" t="s">
        <v>40</v>
      </c>
      <c r="S213" t="s">
        <v>40</v>
      </c>
      <c r="U213" s="1">
        <v>43348</v>
      </c>
      <c r="V213" t="s">
        <v>41</v>
      </c>
      <c r="W213" t="s">
        <v>75</v>
      </c>
      <c r="X213" t="str">
        <f>"7541018"</f>
        <v>7541018</v>
      </c>
      <c r="Y213" t="s">
        <v>907</v>
      </c>
      <c r="Z213" t="s">
        <v>877</v>
      </c>
      <c r="AA213" t="s">
        <v>878</v>
      </c>
      <c r="AB213" t="s">
        <v>131</v>
      </c>
      <c r="AC213" t="s">
        <v>44</v>
      </c>
      <c r="AD213" t="s">
        <v>45</v>
      </c>
      <c r="AE213" s="1">
        <v>33592</v>
      </c>
      <c r="AF213">
        <v>1</v>
      </c>
      <c r="AG213" t="s">
        <v>878</v>
      </c>
      <c r="AH213" s="36">
        <f t="shared" si="3"/>
        <v>27.402777777777779</v>
      </c>
      <c r="AI213" s="40" t="s">
        <v>1777</v>
      </c>
    </row>
    <row r="214" spans="1:35" x14ac:dyDescent="0.25">
      <c r="A214" s="36">
        <v>99910212</v>
      </c>
      <c r="B214" s="17" t="s">
        <v>32</v>
      </c>
      <c r="C214" t="s">
        <v>721</v>
      </c>
      <c r="D214" t="s">
        <v>722</v>
      </c>
      <c r="G214" s="17" t="s">
        <v>35</v>
      </c>
      <c r="H214" s="17">
        <v>1</v>
      </c>
      <c r="I214" t="s">
        <v>1661</v>
      </c>
      <c r="J214" s="1">
        <v>43375</v>
      </c>
      <c r="K214" t="s">
        <v>1619</v>
      </c>
      <c r="L214" t="s">
        <v>1620</v>
      </c>
      <c r="M214" t="s">
        <v>1592</v>
      </c>
      <c r="N214">
        <v>6</v>
      </c>
      <c r="O214" t="s">
        <v>40</v>
      </c>
      <c r="P214" t="s">
        <v>40</v>
      </c>
      <c r="Q214" t="s">
        <v>40</v>
      </c>
      <c r="R214" t="s">
        <v>40</v>
      </c>
      <c r="S214" t="s">
        <v>40</v>
      </c>
      <c r="U214" s="1">
        <v>43375</v>
      </c>
      <c r="V214" t="s">
        <v>41</v>
      </c>
      <c r="W214" t="s">
        <v>75</v>
      </c>
      <c r="X214" t="str">
        <f>"7281004"</f>
        <v>7281004</v>
      </c>
      <c r="Y214" t="s">
        <v>1651</v>
      </c>
      <c r="Z214" t="s">
        <v>1619</v>
      </c>
      <c r="AA214" t="s">
        <v>1620</v>
      </c>
      <c r="AB214" t="s">
        <v>1592</v>
      </c>
      <c r="AC214" t="s">
        <v>44</v>
      </c>
      <c r="AD214" t="s">
        <v>45</v>
      </c>
      <c r="AE214" s="1">
        <v>33591</v>
      </c>
      <c r="AF214">
        <v>1</v>
      </c>
      <c r="AG214" t="s">
        <v>1620</v>
      </c>
      <c r="AH214" s="36">
        <f t="shared" si="3"/>
        <v>27.405555555555555</v>
      </c>
      <c r="AI214" s="40" t="s">
        <v>1777</v>
      </c>
    </row>
    <row r="215" spans="1:35" x14ac:dyDescent="0.25">
      <c r="A215" s="36">
        <v>99910213</v>
      </c>
      <c r="B215" s="17" t="s">
        <v>32</v>
      </c>
      <c r="C215" t="s">
        <v>111</v>
      </c>
      <c r="D215" t="s">
        <v>112</v>
      </c>
      <c r="G215" s="17" t="s">
        <v>35</v>
      </c>
      <c r="H215" s="17">
        <v>1</v>
      </c>
      <c r="I215" t="s">
        <v>536</v>
      </c>
      <c r="J215" s="1">
        <v>43349</v>
      </c>
      <c r="K215" t="s">
        <v>431</v>
      </c>
      <c r="L215" t="s">
        <v>196</v>
      </c>
      <c r="M215" t="s">
        <v>131</v>
      </c>
      <c r="N215">
        <v>24</v>
      </c>
      <c r="O215" t="s">
        <v>40</v>
      </c>
      <c r="P215" t="s">
        <v>40</v>
      </c>
      <c r="Q215" t="s">
        <v>40</v>
      </c>
      <c r="R215" t="s">
        <v>40</v>
      </c>
      <c r="S215" t="s">
        <v>40</v>
      </c>
      <c r="U215" s="1">
        <v>43349</v>
      </c>
      <c r="V215" t="s">
        <v>41</v>
      </c>
      <c r="W215" t="s">
        <v>75</v>
      </c>
      <c r="X215" t="str">
        <f>"7521022"</f>
        <v>7521022</v>
      </c>
      <c r="Y215" t="s">
        <v>445</v>
      </c>
      <c r="Z215" t="s">
        <v>431</v>
      </c>
      <c r="AA215" t="s">
        <v>196</v>
      </c>
      <c r="AB215" t="s">
        <v>131</v>
      </c>
      <c r="AC215" t="s">
        <v>55</v>
      </c>
      <c r="AD215" t="s">
        <v>45</v>
      </c>
      <c r="AE215" s="1">
        <v>33577</v>
      </c>
      <c r="AF215">
        <v>1</v>
      </c>
      <c r="AG215" t="s">
        <v>196</v>
      </c>
      <c r="AH215" s="36">
        <f t="shared" si="3"/>
        <v>27.444444444444443</v>
      </c>
      <c r="AI215" s="40" t="s">
        <v>1777</v>
      </c>
    </row>
    <row r="216" spans="1:35" x14ac:dyDescent="0.25">
      <c r="A216" s="36">
        <v>99910214</v>
      </c>
      <c r="B216" s="17" t="s">
        <v>32</v>
      </c>
      <c r="C216" t="s">
        <v>111</v>
      </c>
      <c r="D216" t="s">
        <v>112</v>
      </c>
      <c r="G216" s="17" t="s">
        <v>35</v>
      </c>
      <c r="H216" s="17">
        <v>1</v>
      </c>
      <c r="I216" t="s">
        <v>772</v>
      </c>
      <c r="J216" s="1">
        <v>43344</v>
      </c>
      <c r="K216" t="s">
        <v>354</v>
      </c>
      <c r="L216" t="s">
        <v>355</v>
      </c>
      <c r="M216" t="s">
        <v>131</v>
      </c>
      <c r="N216">
        <v>24</v>
      </c>
      <c r="O216" t="s">
        <v>40</v>
      </c>
      <c r="S216" t="s">
        <v>40</v>
      </c>
      <c r="U216" s="1">
        <v>43344</v>
      </c>
      <c r="V216" t="s">
        <v>41</v>
      </c>
      <c r="W216" t="s">
        <v>75</v>
      </c>
      <c r="X216" t="str">
        <f>"7054018"</f>
        <v>7054018</v>
      </c>
      <c r="Y216" t="s">
        <v>773</v>
      </c>
      <c r="Z216" t="s">
        <v>354</v>
      </c>
      <c r="AA216" t="s">
        <v>355</v>
      </c>
      <c r="AB216" t="s">
        <v>131</v>
      </c>
      <c r="AC216" t="s">
        <v>44</v>
      </c>
      <c r="AD216" t="s">
        <v>45</v>
      </c>
      <c r="AE216" s="1">
        <v>33571</v>
      </c>
      <c r="AF216">
        <v>1</v>
      </c>
      <c r="AG216" t="s">
        <v>355</v>
      </c>
      <c r="AH216" s="36">
        <f t="shared" si="3"/>
        <v>27.461111111111112</v>
      </c>
      <c r="AI216" s="40" t="s">
        <v>1777</v>
      </c>
    </row>
    <row r="217" spans="1:35" x14ac:dyDescent="0.25">
      <c r="A217" s="36">
        <v>99910215</v>
      </c>
      <c r="B217" s="17" t="s">
        <v>32</v>
      </c>
      <c r="C217" t="s">
        <v>111</v>
      </c>
      <c r="D217" t="s">
        <v>112</v>
      </c>
      <c r="G217" s="17" t="s">
        <v>35</v>
      </c>
      <c r="H217" s="17">
        <v>1</v>
      </c>
      <c r="I217">
        <v>0</v>
      </c>
      <c r="J217" s="1">
        <v>43344</v>
      </c>
      <c r="K217" t="s">
        <v>985</v>
      </c>
      <c r="L217" t="s">
        <v>986</v>
      </c>
      <c r="M217" t="s">
        <v>938</v>
      </c>
      <c r="N217">
        <v>24</v>
      </c>
      <c r="O217" t="s">
        <v>40</v>
      </c>
      <c r="S217" t="s">
        <v>40</v>
      </c>
      <c r="U217" s="1">
        <v>43344</v>
      </c>
      <c r="V217" t="s">
        <v>41</v>
      </c>
      <c r="W217" t="s">
        <v>75</v>
      </c>
      <c r="X217" t="str">
        <f>"7011004"</f>
        <v>7011004</v>
      </c>
      <c r="Y217" t="s">
        <v>987</v>
      </c>
      <c r="Z217" t="s">
        <v>985</v>
      </c>
      <c r="AA217" t="s">
        <v>986</v>
      </c>
      <c r="AB217" t="s">
        <v>938</v>
      </c>
      <c r="AC217" t="s">
        <v>51</v>
      </c>
      <c r="AD217" t="s">
        <v>45</v>
      </c>
      <c r="AE217" s="1">
        <v>33571</v>
      </c>
      <c r="AF217">
        <v>1</v>
      </c>
      <c r="AG217" t="s">
        <v>986</v>
      </c>
      <c r="AH217" s="36">
        <f t="shared" si="3"/>
        <v>27.461111111111112</v>
      </c>
      <c r="AI217" s="40" t="s">
        <v>1777</v>
      </c>
    </row>
    <row r="218" spans="1:35" x14ac:dyDescent="0.25">
      <c r="A218" s="36">
        <v>99910216</v>
      </c>
      <c r="B218" s="17" t="s">
        <v>56</v>
      </c>
      <c r="C218" t="s">
        <v>111</v>
      </c>
      <c r="D218" t="s">
        <v>112</v>
      </c>
      <c r="G218" s="17" t="s">
        <v>35</v>
      </c>
      <c r="H218" s="17">
        <v>1</v>
      </c>
      <c r="I218">
        <v>17055</v>
      </c>
      <c r="J218" s="1">
        <v>43344</v>
      </c>
      <c r="K218" t="s">
        <v>877</v>
      </c>
      <c r="L218" t="s">
        <v>878</v>
      </c>
      <c r="M218" t="s">
        <v>131</v>
      </c>
      <c r="N218">
        <v>24</v>
      </c>
      <c r="O218" t="s">
        <v>40</v>
      </c>
      <c r="S218" t="s">
        <v>40</v>
      </c>
      <c r="U218" s="1">
        <v>43344</v>
      </c>
      <c r="V218" t="s">
        <v>41</v>
      </c>
      <c r="W218" t="s">
        <v>75</v>
      </c>
      <c r="X218" t="str">
        <f>"7541004"</f>
        <v>7541004</v>
      </c>
      <c r="Y218" t="s">
        <v>889</v>
      </c>
      <c r="Z218" t="s">
        <v>877</v>
      </c>
      <c r="AA218" t="s">
        <v>878</v>
      </c>
      <c r="AB218" t="s">
        <v>131</v>
      </c>
      <c r="AC218" t="s">
        <v>44</v>
      </c>
      <c r="AD218" t="s">
        <v>45</v>
      </c>
      <c r="AE218" s="1">
        <v>33569</v>
      </c>
      <c r="AF218">
        <v>1</v>
      </c>
      <c r="AG218" t="s">
        <v>878</v>
      </c>
      <c r="AH218" s="36">
        <f t="shared" si="3"/>
        <v>27.466666666666665</v>
      </c>
      <c r="AI218" s="40" t="s">
        <v>1777</v>
      </c>
    </row>
    <row r="219" spans="1:35" x14ac:dyDescent="0.25">
      <c r="A219" s="36">
        <v>99910217</v>
      </c>
      <c r="B219" s="17" t="s">
        <v>32</v>
      </c>
      <c r="C219" t="s">
        <v>90</v>
      </c>
      <c r="D219" t="s">
        <v>91</v>
      </c>
      <c r="G219" s="17" t="s">
        <v>35</v>
      </c>
      <c r="H219" s="17">
        <v>1</v>
      </c>
      <c r="I219">
        <v>8878</v>
      </c>
      <c r="J219" s="1">
        <v>43344</v>
      </c>
      <c r="K219" t="s">
        <v>354</v>
      </c>
      <c r="L219" t="s">
        <v>355</v>
      </c>
      <c r="M219" t="s">
        <v>131</v>
      </c>
      <c r="N219">
        <v>25</v>
      </c>
      <c r="O219" t="s">
        <v>40</v>
      </c>
      <c r="S219" t="s">
        <v>40</v>
      </c>
      <c r="U219" s="1">
        <v>43344</v>
      </c>
      <c r="V219" t="s">
        <v>41</v>
      </c>
      <c r="W219" t="s">
        <v>95</v>
      </c>
      <c r="X219" t="str">
        <f>"7054069"</f>
        <v>7054069</v>
      </c>
      <c r="Y219" t="s">
        <v>822</v>
      </c>
      <c r="Z219" t="s">
        <v>354</v>
      </c>
      <c r="AA219" t="s">
        <v>355</v>
      </c>
      <c r="AB219" t="s">
        <v>131</v>
      </c>
      <c r="AC219" t="s">
        <v>55</v>
      </c>
      <c r="AD219" t="s">
        <v>45</v>
      </c>
      <c r="AE219" s="1">
        <v>33560</v>
      </c>
      <c r="AF219">
        <v>1</v>
      </c>
      <c r="AG219" t="s">
        <v>355</v>
      </c>
      <c r="AH219" s="36">
        <f t="shared" si="3"/>
        <v>27.491666666666667</v>
      </c>
      <c r="AI219" s="40" t="s">
        <v>1777</v>
      </c>
    </row>
    <row r="220" spans="1:35" x14ac:dyDescent="0.25">
      <c r="A220" s="36">
        <v>99910218</v>
      </c>
      <c r="B220" s="17" t="s">
        <v>32</v>
      </c>
      <c r="C220" t="s">
        <v>90</v>
      </c>
      <c r="D220" t="s">
        <v>91</v>
      </c>
      <c r="G220" s="17" t="s">
        <v>35</v>
      </c>
      <c r="H220" s="17">
        <v>1</v>
      </c>
      <c r="I220" t="s">
        <v>1107</v>
      </c>
      <c r="J220" s="1">
        <v>43369</v>
      </c>
      <c r="K220" t="s">
        <v>1081</v>
      </c>
      <c r="L220" t="s">
        <v>1082</v>
      </c>
      <c r="M220" t="s">
        <v>1053</v>
      </c>
      <c r="N220">
        <v>25</v>
      </c>
      <c r="O220" t="s">
        <v>40</v>
      </c>
      <c r="S220" t="s">
        <v>40</v>
      </c>
      <c r="U220" s="1">
        <v>43369</v>
      </c>
      <c r="V220" t="s">
        <v>41</v>
      </c>
      <c r="W220" t="s">
        <v>95</v>
      </c>
      <c r="X220" t="str">
        <f>"7201023"</f>
        <v>7201023</v>
      </c>
      <c r="Y220" t="s">
        <v>1097</v>
      </c>
      <c r="Z220" t="s">
        <v>1081</v>
      </c>
      <c r="AA220" t="s">
        <v>1082</v>
      </c>
      <c r="AB220" t="s">
        <v>1053</v>
      </c>
      <c r="AC220" t="s">
        <v>44</v>
      </c>
      <c r="AD220" t="s">
        <v>45</v>
      </c>
      <c r="AE220" s="1">
        <v>33559</v>
      </c>
      <c r="AF220">
        <v>1</v>
      </c>
      <c r="AG220" t="s">
        <v>1082</v>
      </c>
      <c r="AH220" s="36">
        <f t="shared" si="3"/>
        <v>27.494444444444444</v>
      </c>
      <c r="AI220" s="40" t="s">
        <v>1777</v>
      </c>
    </row>
    <row r="221" spans="1:35" x14ac:dyDescent="0.25">
      <c r="A221" s="36">
        <v>99910219</v>
      </c>
      <c r="B221" s="17" t="s">
        <v>32</v>
      </c>
      <c r="C221" t="s">
        <v>111</v>
      </c>
      <c r="D221" t="s">
        <v>112</v>
      </c>
      <c r="G221" s="17" t="s">
        <v>35</v>
      </c>
      <c r="H221" s="17">
        <v>1</v>
      </c>
      <c r="I221">
        <v>11251</v>
      </c>
      <c r="J221" s="1">
        <v>43349</v>
      </c>
      <c r="K221" t="s">
        <v>354</v>
      </c>
      <c r="L221" t="s">
        <v>355</v>
      </c>
      <c r="M221" t="s">
        <v>131</v>
      </c>
      <c r="N221">
        <v>24</v>
      </c>
      <c r="O221" t="s">
        <v>40</v>
      </c>
      <c r="S221" t="s">
        <v>40</v>
      </c>
      <c r="U221" s="1">
        <v>43349</v>
      </c>
      <c r="V221" t="s">
        <v>41</v>
      </c>
      <c r="W221" t="s">
        <v>75</v>
      </c>
      <c r="X221" t="str">
        <f>"7054012"</f>
        <v>7054012</v>
      </c>
      <c r="Y221" t="s">
        <v>353</v>
      </c>
      <c r="Z221" t="s">
        <v>354</v>
      </c>
      <c r="AA221" t="s">
        <v>355</v>
      </c>
      <c r="AB221" t="s">
        <v>131</v>
      </c>
      <c r="AC221" t="s">
        <v>44</v>
      </c>
      <c r="AD221" t="s">
        <v>45</v>
      </c>
      <c r="AE221" s="1">
        <v>33557</v>
      </c>
      <c r="AF221">
        <v>1</v>
      </c>
      <c r="AG221" t="s">
        <v>355</v>
      </c>
      <c r="AH221" s="36">
        <f t="shared" si="3"/>
        <v>27.5</v>
      </c>
      <c r="AI221" s="40" t="s">
        <v>1777</v>
      </c>
    </row>
    <row r="222" spans="1:35" x14ac:dyDescent="0.25">
      <c r="A222" s="36">
        <v>99910220</v>
      </c>
      <c r="B222" s="17" t="s">
        <v>32</v>
      </c>
      <c r="C222" t="s">
        <v>90</v>
      </c>
      <c r="D222" t="s">
        <v>91</v>
      </c>
      <c r="G222" s="17" t="s">
        <v>35</v>
      </c>
      <c r="H222" s="17">
        <v>1</v>
      </c>
      <c r="I222">
        <v>11270</v>
      </c>
      <c r="J222" s="1">
        <v>43392</v>
      </c>
      <c r="K222" t="s">
        <v>354</v>
      </c>
      <c r="L222" t="s">
        <v>355</v>
      </c>
      <c r="M222" t="s">
        <v>131</v>
      </c>
      <c r="N222">
        <v>25</v>
      </c>
      <c r="O222" t="s">
        <v>40</v>
      </c>
      <c r="S222" t="s">
        <v>40</v>
      </c>
      <c r="U222" s="1">
        <v>43392</v>
      </c>
      <c r="V222" t="s">
        <v>41</v>
      </c>
      <c r="W222" t="s">
        <v>95</v>
      </c>
      <c r="X222" t="str">
        <f>"7054147"</f>
        <v>7054147</v>
      </c>
      <c r="Y222" t="s">
        <v>821</v>
      </c>
      <c r="Z222" t="s">
        <v>354</v>
      </c>
      <c r="AA222" t="s">
        <v>355</v>
      </c>
      <c r="AB222" t="s">
        <v>131</v>
      </c>
      <c r="AC222" t="s">
        <v>51</v>
      </c>
      <c r="AD222" t="s">
        <v>45</v>
      </c>
      <c r="AE222" s="1">
        <v>33556</v>
      </c>
      <c r="AF222">
        <v>1</v>
      </c>
      <c r="AG222" t="s">
        <v>355</v>
      </c>
      <c r="AH222" s="36">
        <f t="shared" si="3"/>
        <v>27.502777777777776</v>
      </c>
      <c r="AI222" s="40" t="s">
        <v>1777</v>
      </c>
    </row>
    <row r="223" spans="1:35" x14ac:dyDescent="0.25">
      <c r="A223" s="36">
        <v>99910221</v>
      </c>
      <c r="B223" s="17" t="s">
        <v>32</v>
      </c>
      <c r="C223" t="s">
        <v>111</v>
      </c>
      <c r="D223" t="s">
        <v>112</v>
      </c>
      <c r="G223" s="17" t="s">
        <v>35</v>
      </c>
      <c r="H223" s="17">
        <v>1</v>
      </c>
      <c r="I223" t="s">
        <v>678</v>
      </c>
      <c r="J223" s="1">
        <v>43344</v>
      </c>
      <c r="K223" t="s">
        <v>268</v>
      </c>
      <c r="L223" t="s">
        <v>269</v>
      </c>
      <c r="M223" t="s">
        <v>131</v>
      </c>
      <c r="N223">
        <v>24</v>
      </c>
      <c r="O223" t="s">
        <v>40</v>
      </c>
      <c r="P223" t="s">
        <v>40</v>
      </c>
      <c r="Q223" t="s">
        <v>40</v>
      </c>
      <c r="S223" t="s">
        <v>40</v>
      </c>
      <c r="U223" s="1">
        <v>43344</v>
      </c>
      <c r="V223" t="s">
        <v>41</v>
      </c>
      <c r="W223" t="s">
        <v>75</v>
      </c>
      <c r="X223" t="str">
        <f>"7052034"</f>
        <v>7052034</v>
      </c>
      <c r="Y223" t="s">
        <v>604</v>
      </c>
      <c r="Z223" t="s">
        <v>268</v>
      </c>
      <c r="AA223" t="s">
        <v>269</v>
      </c>
      <c r="AB223" t="s">
        <v>131</v>
      </c>
      <c r="AC223" t="s">
        <v>55</v>
      </c>
      <c r="AD223" t="s">
        <v>45</v>
      </c>
      <c r="AE223" s="1">
        <v>33555</v>
      </c>
      <c r="AF223">
        <v>1</v>
      </c>
      <c r="AG223" t="s">
        <v>269</v>
      </c>
      <c r="AH223" s="36">
        <f t="shared" si="3"/>
        <v>27.505555555555556</v>
      </c>
      <c r="AI223" s="40" t="s">
        <v>1777</v>
      </c>
    </row>
    <row r="224" spans="1:35" x14ac:dyDescent="0.25">
      <c r="A224" s="36">
        <v>99910222</v>
      </c>
      <c r="B224" s="17" t="s">
        <v>32</v>
      </c>
      <c r="C224" t="s">
        <v>111</v>
      </c>
      <c r="D224" t="s">
        <v>112</v>
      </c>
      <c r="G224" s="17" t="s">
        <v>35</v>
      </c>
      <c r="H224" s="17">
        <v>1</v>
      </c>
      <c r="I224" t="s">
        <v>1087</v>
      </c>
      <c r="J224" s="1">
        <v>43375</v>
      </c>
      <c r="K224" t="s">
        <v>1081</v>
      </c>
      <c r="L224" t="s">
        <v>1082</v>
      </c>
      <c r="M224" t="s">
        <v>1053</v>
      </c>
      <c r="N224">
        <v>24</v>
      </c>
      <c r="O224" t="s">
        <v>40</v>
      </c>
      <c r="S224" t="s">
        <v>40</v>
      </c>
      <c r="U224" s="1">
        <v>43375</v>
      </c>
      <c r="V224" t="s">
        <v>41</v>
      </c>
      <c r="W224" t="s">
        <v>75</v>
      </c>
      <c r="X224" t="str">
        <f>"7201000"</f>
        <v>7201000</v>
      </c>
      <c r="Y224" t="s">
        <v>1088</v>
      </c>
      <c r="Z224" t="s">
        <v>1081</v>
      </c>
      <c r="AA224" t="s">
        <v>1082</v>
      </c>
      <c r="AB224" t="s">
        <v>1053</v>
      </c>
      <c r="AC224" t="s">
        <v>44</v>
      </c>
      <c r="AD224" t="s">
        <v>45</v>
      </c>
      <c r="AE224" s="1">
        <v>33549</v>
      </c>
      <c r="AF224">
        <v>1</v>
      </c>
      <c r="AG224" t="s">
        <v>1082</v>
      </c>
      <c r="AH224" s="36">
        <f t="shared" si="3"/>
        <v>27.522222222222222</v>
      </c>
      <c r="AI224" s="40" t="s">
        <v>1777</v>
      </c>
    </row>
    <row r="225" spans="1:35" x14ac:dyDescent="0.25">
      <c r="A225" s="36">
        <v>99910223</v>
      </c>
      <c r="B225" s="17" t="s">
        <v>32</v>
      </c>
      <c r="C225" t="s">
        <v>90</v>
      </c>
      <c r="D225" t="s">
        <v>91</v>
      </c>
      <c r="G225" s="17" t="s">
        <v>35</v>
      </c>
      <c r="H225" s="17">
        <v>1</v>
      </c>
      <c r="I225">
        <v>6121</v>
      </c>
      <c r="J225" s="1">
        <v>43398</v>
      </c>
      <c r="K225" t="s">
        <v>1245</v>
      </c>
      <c r="L225" t="s">
        <v>1246</v>
      </c>
      <c r="M225" t="s">
        <v>1130</v>
      </c>
      <c r="N225">
        <v>25</v>
      </c>
      <c r="O225" t="s">
        <v>40</v>
      </c>
      <c r="S225" t="s">
        <v>40</v>
      </c>
      <c r="U225" s="1">
        <v>43398</v>
      </c>
      <c r="V225" t="s">
        <v>41</v>
      </c>
      <c r="W225" t="s">
        <v>95</v>
      </c>
      <c r="X225" t="str">
        <f>"7451023"</f>
        <v>7451023</v>
      </c>
      <c r="Y225" t="s">
        <v>1255</v>
      </c>
      <c r="Z225" t="s">
        <v>1245</v>
      </c>
      <c r="AA225" t="s">
        <v>1246</v>
      </c>
      <c r="AB225" t="s">
        <v>1130</v>
      </c>
      <c r="AC225" t="s">
        <v>44</v>
      </c>
      <c r="AD225" t="s">
        <v>45</v>
      </c>
      <c r="AE225" s="1">
        <v>33546</v>
      </c>
      <c r="AF225">
        <v>1</v>
      </c>
      <c r="AG225" t="s">
        <v>1246</v>
      </c>
      <c r="AH225" s="36">
        <f t="shared" si="3"/>
        <v>27.530555555555555</v>
      </c>
      <c r="AI225" s="40" t="s">
        <v>1777</v>
      </c>
    </row>
    <row r="226" spans="1:35" x14ac:dyDescent="0.25">
      <c r="A226" s="36">
        <v>99910224</v>
      </c>
      <c r="B226" s="17" t="s">
        <v>56</v>
      </c>
      <c r="C226" t="s">
        <v>111</v>
      </c>
      <c r="D226" t="s">
        <v>112</v>
      </c>
      <c r="G226" s="17" t="s">
        <v>88</v>
      </c>
      <c r="H226" s="17">
        <v>2</v>
      </c>
      <c r="K226" t="s">
        <v>195</v>
      </c>
      <c r="L226" t="s">
        <v>196</v>
      </c>
      <c r="M226" t="s">
        <v>131</v>
      </c>
      <c r="N226">
        <v>24</v>
      </c>
      <c r="O226" t="s">
        <v>40</v>
      </c>
      <c r="P226" t="s">
        <v>40</v>
      </c>
      <c r="Q226" t="s">
        <v>40</v>
      </c>
      <c r="R226" t="s">
        <v>40</v>
      </c>
      <c r="S226" t="s">
        <v>40</v>
      </c>
      <c r="V226" t="s">
        <v>41</v>
      </c>
      <c r="W226" t="s">
        <v>75</v>
      </c>
      <c r="X226" t="str">
        <f>"7521050"</f>
        <v>7521050</v>
      </c>
      <c r="Y226" t="s">
        <v>194</v>
      </c>
      <c r="Z226" t="s">
        <v>195</v>
      </c>
      <c r="AA226" t="s">
        <v>196</v>
      </c>
      <c r="AB226" t="s">
        <v>131</v>
      </c>
      <c r="AC226" t="s">
        <v>51</v>
      </c>
      <c r="AD226" t="s">
        <v>45</v>
      </c>
      <c r="AE226" s="1">
        <v>33542</v>
      </c>
      <c r="AF226">
        <v>1</v>
      </c>
      <c r="AG226" t="s">
        <v>196</v>
      </c>
      <c r="AH226" s="36">
        <f t="shared" si="3"/>
        <v>27.541666666666668</v>
      </c>
      <c r="AI226" s="40" t="s">
        <v>1777</v>
      </c>
    </row>
    <row r="227" spans="1:35" x14ac:dyDescent="0.25">
      <c r="A227" s="36">
        <v>99910225</v>
      </c>
      <c r="B227" s="17" t="s">
        <v>32</v>
      </c>
      <c r="C227" t="s">
        <v>111</v>
      </c>
      <c r="D227" t="s">
        <v>112</v>
      </c>
      <c r="G227" s="17" t="s">
        <v>35</v>
      </c>
      <c r="H227" s="17">
        <v>1</v>
      </c>
      <c r="I227" t="s">
        <v>488</v>
      </c>
      <c r="J227" s="1">
        <v>41883</v>
      </c>
      <c r="K227" t="s">
        <v>195</v>
      </c>
      <c r="L227" t="s">
        <v>196</v>
      </c>
      <c r="M227" t="s">
        <v>131</v>
      </c>
      <c r="N227">
        <v>24</v>
      </c>
      <c r="O227" t="s">
        <v>40</v>
      </c>
      <c r="P227" t="s">
        <v>40</v>
      </c>
      <c r="Q227" t="s">
        <v>40</v>
      </c>
      <c r="R227" t="s">
        <v>40</v>
      </c>
      <c r="S227" t="s">
        <v>40</v>
      </c>
      <c r="U227" s="1">
        <v>41883</v>
      </c>
      <c r="V227" t="s">
        <v>41</v>
      </c>
      <c r="W227" t="s">
        <v>75</v>
      </c>
      <c r="X227" t="str">
        <f>"7521050"</f>
        <v>7521050</v>
      </c>
      <c r="Y227" t="s">
        <v>194</v>
      </c>
      <c r="Z227" t="s">
        <v>195</v>
      </c>
      <c r="AA227" t="s">
        <v>196</v>
      </c>
      <c r="AB227" t="s">
        <v>131</v>
      </c>
      <c r="AC227" t="s">
        <v>51</v>
      </c>
      <c r="AD227" t="s">
        <v>45</v>
      </c>
      <c r="AE227" s="1">
        <v>33542</v>
      </c>
      <c r="AF227">
        <v>1</v>
      </c>
      <c r="AG227" t="s">
        <v>196</v>
      </c>
      <c r="AH227" s="36">
        <f t="shared" si="3"/>
        <v>27.541666666666668</v>
      </c>
      <c r="AI227" s="40" t="s">
        <v>1777</v>
      </c>
    </row>
    <row r="228" spans="1:35" x14ac:dyDescent="0.25">
      <c r="A228" s="36">
        <v>99910226</v>
      </c>
      <c r="B228" s="17" t="s">
        <v>56</v>
      </c>
      <c r="C228" t="s">
        <v>111</v>
      </c>
      <c r="D228" t="s">
        <v>112</v>
      </c>
      <c r="G228" s="17" t="s">
        <v>35</v>
      </c>
      <c r="H228" s="17">
        <v>1</v>
      </c>
      <c r="I228">
        <v>4954</v>
      </c>
      <c r="J228" s="1">
        <v>43344</v>
      </c>
      <c r="K228" t="s">
        <v>1695</v>
      </c>
      <c r="L228" t="s">
        <v>1696</v>
      </c>
      <c r="M228" t="s">
        <v>1592</v>
      </c>
      <c r="N228">
        <v>24</v>
      </c>
      <c r="O228" t="s">
        <v>40</v>
      </c>
      <c r="P228" t="s">
        <v>40</v>
      </c>
      <c r="Q228" t="s">
        <v>40</v>
      </c>
      <c r="S228" t="s">
        <v>40</v>
      </c>
      <c r="U228" s="1">
        <v>43344</v>
      </c>
      <c r="V228" t="s">
        <v>41</v>
      </c>
      <c r="W228" t="s">
        <v>75</v>
      </c>
      <c r="X228" t="str">
        <f>"7361000"</f>
        <v>7361000</v>
      </c>
      <c r="Y228" t="s">
        <v>1698</v>
      </c>
      <c r="Z228" t="s">
        <v>1695</v>
      </c>
      <c r="AA228" t="s">
        <v>1696</v>
      </c>
      <c r="AB228" t="s">
        <v>1592</v>
      </c>
      <c r="AC228" t="s">
        <v>51</v>
      </c>
      <c r="AD228" t="s">
        <v>45</v>
      </c>
      <c r="AE228" s="1">
        <v>33536</v>
      </c>
      <c r="AF228">
        <v>1</v>
      </c>
      <c r="AG228" t="s">
        <v>1696</v>
      </c>
      <c r="AH228" s="36">
        <f t="shared" si="3"/>
        <v>27.558333333333334</v>
      </c>
      <c r="AI228" s="40" t="s">
        <v>1777</v>
      </c>
    </row>
    <row r="229" spans="1:35" x14ac:dyDescent="0.25">
      <c r="A229" s="36">
        <v>99910227</v>
      </c>
      <c r="B229" s="17" t="s">
        <v>32</v>
      </c>
      <c r="C229" t="s">
        <v>111</v>
      </c>
      <c r="D229" t="s">
        <v>112</v>
      </c>
      <c r="G229" s="17" t="s">
        <v>35</v>
      </c>
      <c r="H229" s="17">
        <v>1</v>
      </c>
      <c r="I229">
        <v>10607</v>
      </c>
      <c r="J229" s="1">
        <v>43344</v>
      </c>
      <c r="K229" t="s">
        <v>354</v>
      </c>
      <c r="L229" t="s">
        <v>355</v>
      </c>
      <c r="M229" t="s">
        <v>131</v>
      </c>
      <c r="N229">
        <v>24</v>
      </c>
      <c r="O229" t="s">
        <v>40</v>
      </c>
      <c r="P229" t="s">
        <v>40</v>
      </c>
      <c r="Q229" t="s">
        <v>40</v>
      </c>
      <c r="S229" t="s">
        <v>40</v>
      </c>
      <c r="U229" s="1">
        <v>43344</v>
      </c>
      <c r="V229" t="s">
        <v>41</v>
      </c>
      <c r="W229" t="s">
        <v>75</v>
      </c>
      <c r="X229" t="str">
        <f>"7054038"</f>
        <v>7054038</v>
      </c>
      <c r="Y229" t="s">
        <v>377</v>
      </c>
      <c r="Z229" t="s">
        <v>354</v>
      </c>
      <c r="AA229" t="s">
        <v>355</v>
      </c>
      <c r="AB229" t="s">
        <v>131</v>
      </c>
      <c r="AC229" t="s">
        <v>51</v>
      </c>
      <c r="AD229" t="s">
        <v>45</v>
      </c>
      <c r="AE229" s="1">
        <v>33535</v>
      </c>
      <c r="AF229">
        <v>1</v>
      </c>
      <c r="AG229" t="s">
        <v>355</v>
      </c>
      <c r="AH229" s="36">
        <f t="shared" si="3"/>
        <v>27.56111111111111</v>
      </c>
      <c r="AI229" s="40" t="s">
        <v>1777</v>
      </c>
    </row>
    <row r="230" spans="1:35" x14ac:dyDescent="0.25">
      <c r="A230" s="36">
        <v>99910228</v>
      </c>
      <c r="B230" s="17" t="s">
        <v>32</v>
      </c>
      <c r="C230" t="s">
        <v>111</v>
      </c>
      <c r="D230" t="s">
        <v>112</v>
      </c>
      <c r="G230" s="17" t="s">
        <v>88</v>
      </c>
      <c r="H230" s="17">
        <v>2</v>
      </c>
      <c r="K230" t="s">
        <v>195</v>
      </c>
      <c r="L230" t="s">
        <v>196</v>
      </c>
      <c r="M230" t="s">
        <v>131</v>
      </c>
      <c r="N230">
        <v>24</v>
      </c>
      <c r="O230" t="s">
        <v>40</v>
      </c>
      <c r="P230" t="s">
        <v>40</v>
      </c>
      <c r="Q230" t="s">
        <v>40</v>
      </c>
      <c r="R230" t="s">
        <v>40</v>
      </c>
      <c r="S230" t="s">
        <v>40</v>
      </c>
      <c r="V230" t="s">
        <v>41</v>
      </c>
      <c r="W230" t="s">
        <v>75</v>
      </c>
      <c r="X230" t="str">
        <f>"7521052"</f>
        <v>7521052</v>
      </c>
      <c r="Y230" t="s">
        <v>443</v>
      </c>
      <c r="Z230" t="s">
        <v>195</v>
      </c>
      <c r="AA230" t="s">
        <v>196</v>
      </c>
      <c r="AB230" t="s">
        <v>131</v>
      </c>
      <c r="AC230" t="s">
        <v>51</v>
      </c>
      <c r="AD230" t="s">
        <v>45</v>
      </c>
      <c r="AE230" s="1">
        <v>33526</v>
      </c>
      <c r="AF230">
        <v>1</v>
      </c>
      <c r="AG230" t="s">
        <v>196</v>
      </c>
      <c r="AH230" s="36">
        <f t="shared" si="3"/>
        <v>27.586111111111112</v>
      </c>
      <c r="AI230" s="40" t="s">
        <v>1777</v>
      </c>
    </row>
    <row r="231" spans="1:35" x14ac:dyDescent="0.25">
      <c r="A231" s="36">
        <v>99910229</v>
      </c>
      <c r="B231" s="17" t="s">
        <v>32</v>
      </c>
      <c r="C231" t="s">
        <v>90</v>
      </c>
      <c r="D231" t="s">
        <v>91</v>
      </c>
      <c r="G231" s="17" t="s">
        <v>35</v>
      </c>
      <c r="H231" s="17">
        <v>1</v>
      </c>
      <c r="I231" t="s">
        <v>687</v>
      </c>
      <c r="J231" s="1">
        <v>43344</v>
      </c>
      <c r="K231" t="s">
        <v>268</v>
      </c>
      <c r="L231" t="s">
        <v>269</v>
      </c>
      <c r="M231" t="s">
        <v>131</v>
      </c>
      <c r="N231">
        <v>30</v>
      </c>
      <c r="O231" t="s">
        <v>40</v>
      </c>
      <c r="S231" t="s">
        <v>40</v>
      </c>
      <c r="U231" s="1">
        <v>43344</v>
      </c>
      <c r="V231" t="s">
        <v>41</v>
      </c>
      <c r="W231" t="s">
        <v>95</v>
      </c>
      <c r="X231" t="str">
        <f>"7052031"</f>
        <v>7052031</v>
      </c>
      <c r="Y231" t="s">
        <v>688</v>
      </c>
      <c r="Z231" t="s">
        <v>268</v>
      </c>
      <c r="AA231" t="s">
        <v>269</v>
      </c>
      <c r="AB231" t="s">
        <v>131</v>
      </c>
      <c r="AC231" t="s">
        <v>51</v>
      </c>
      <c r="AD231" t="s">
        <v>45</v>
      </c>
      <c r="AE231" s="1">
        <v>33526</v>
      </c>
      <c r="AF231">
        <v>1</v>
      </c>
      <c r="AG231" t="s">
        <v>269</v>
      </c>
      <c r="AH231" s="36">
        <f t="shared" si="3"/>
        <v>27.586111111111112</v>
      </c>
      <c r="AI231" s="40" t="s">
        <v>1777</v>
      </c>
    </row>
    <row r="232" spans="1:35" x14ac:dyDescent="0.25">
      <c r="A232" s="36">
        <v>99910230</v>
      </c>
      <c r="B232" s="17" t="s">
        <v>32</v>
      </c>
      <c r="C232" t="s">
        <v>111</v>
      </c>
      <c r="D232" t="s">
        <v>112</v>
      </c>
      <c r="G232" s="17" t="s">
        <v>35</v>
      </c>
      <c r="H232" s="17">
        <v>1</v>
      </c>
      <c r="K232" t="s">
        <v>268</v>
      </c>
      <c r="L232" t="s">
        <v>269</v>
      </c>
      <c r="M232" t="s">
        <v>131</v>
      </c>
      <c r="N232">
        <v>24</v>
      </c>
      <c r="O232" t="s">
        <v>40</v>
      </c>
      <c r="P232" t="s">
        <v>40</v>
      </c>
      <c r="Q232" t="s">
        <v>40</v>
      </c>
      <c r="S232" t="s">
        <v>40</v>
      </c>
      <c r="V232" t="s">
        <v>41</v>
      </c>
      <c r="W232" t="s">
        <v>75</v>
      </c>
      <c r="X232" t="str">
        <f>"7052000"</f>
        <v>7052000</v>
      </c>
      <c r="Y232" t="s">
        <v>656</v>
      </c>
      <c r="Z232" t="s">
        <v>268</v>
      </c>
      <c r="AA232" t="s">
        <v>269</v>
      </c>
      <c r="AB232" t="s">
        <v>131</v>
      </c>
      <c r="AC232" t="s">
        <v>51</v>
      </c>
      <c r="AD232" t="s">
        <v>45</v>
      </c>
      <c r="AE232" s="1">
        <v>33522</v>
      </c>
      <c r="AF232">
        <v>1</v>
      </c>
      <c r="AG232" t="s">
        <v>269</v>
      </c>
      <c r="AH232" s="36">
        <f t="shared" si="3"/>
        <v>27.597222222222221</v>
      </c>
      <c r="AI232" s="40" t="s">
        <v>1777</v>
      </c>
    </row>
    <row r="233" spans="1:35" x14ac:dyDescent="0.25">
      <c r="A233" s="36">
        <v>99910231</v>
      </c>
      <c r="B233" s="17" t="s">
        <v>32</v>
      </c>
      <c r="C233" t="s">
        <v>111</v>
      </c>
      <c r="D233" t="s">
        <v>112</v>
      </c>
      <c r="G233" s="17" t="s">
        <v>48</v>
      </c>
      <c r="H233" s="17">
        <v>1</v>
      </c>
      <c r="I233" t="s">
        <v>1508</v>
      </c>
      <c r="J233" s="1">
        <v>42289</v>
      </c>
      <c r="K233" t="s">
        <v>1502</v>
      </c>
      <c r="L233" t="s">
        <v>1503</v>
      </c>
      <c r="M233" t="s">
        <v>670</v>
      </c>
      <c r="N233">
        <v>24</v>
      </c>
      <c r="O233" t="s">
        <v>40</v>
      </c>
      <c r="P233" t="s">
        <v>40</v>
      </c>
      <c r="Q233" t="s">
        <v>40</v>
      </c>
      <c r="R233" t="s">
        <v>40</v>
      </c>
      <c r="S233" t="s">
        <v>40</v>
      </c>
      <c r="U233" s="1">
        <v>42289</v>
      </c>
      <c r="V233" t="s">
        <v>41</v>
      </c>
      <c r="W233" t="s">
        <v>75</v>
      </c>
      <c r="X233" t="str">
        <f>"7171002"</f>
        <v>7171002</v>
      </c>
      <c r="Y233" t="s">
        <v>1505</v>
      </c>
      <c r="Z233" t="s">
        <v>1502</v>
      </c>
      <c r="AA233" t="s">
        <v>1503</v>
      </c>
      <c r="AB233" t="s">
        <v>670</v>
      </c>
      <c r="AC233" t="s">
        <v>51</v>
      </c>
      <c r="AD233" t="s">
        <v>45</v>
      </c>
      <c r="AE233" s="1">
        <v>33518</v>
      </c>
      <c r="AF233">
        <v>1</v>
      </c>
      <c r="AG233" t="s">
        <v>1503</v>
      </c>
      <c r="AH233" s="36">
        <f t="shared" si="3"/>
        <v>27.608333333333334</v>
      </c>
      <c r="AI233" s="40" t="s">
        <v>1777</v>
      </c>
    </row>
    <row r="234" spans="1:35" x14ac:dyDescent="0.25">
      <c r="A234" s="36">
        <v>99910232</v>
      </c>
      <c r="B234" s="17" t="s">
        <v>32</v>
      </c>
      <c r="C234" t="s">
        <v>61</v>
      </c>
      <c r="D234" t="s">
        <v>62</v>
      </c>
      <c r="G234" s="17" t="s">
        <v>35</v>
      </c>
      <c r="H234" s="17">
        <v>1</v>
      </c>
      <c r="I234">
        <v>1</v>
      </c>
      <c r="J234" s="1">
        <v>43344</v>
      </c>
      <c r="K234" t="s">
        <v>1581</v>
      </c>
      <c r="L234" t="s">
        <v>1582</v>
      </c>
      <c r="M234" t="s">
        <v>1548</v>
      </c>
      <c r="N234">
        <v>24</v>
      </c>
      <c r="O234" t="s">
        <v>40</v>
      </c>
      <c r="P234" t="s">
        <v>40</v>
      </c>
      <c r="Q234" t="s">
        <v>40</v>
      </c>
      <c r="R234" t="s">
        <v>40</v>
      </c>
      <c r="S234" t="s">
        <v>40</v>
      </c>
      <c r="U234" s="1">
        <v>43344</v>
      </c>
      <c r="V234" t="s">
        <v>41</v>
      </c>
      <c r="W234" t="s">
        <v>75</v>
      </c>
      <c r="X234" t="str">
        <f>"7291002"</f>
        <v>7291002</v>
      </c>
      <c r="Y234" t="s">
        <v>1583</v>
      </c>
      <c r="Z234" t="s">
        <v>1581</v>
      </c>
      <c r="AA234" t="s">
        <v>1582</v>
      </c>
      <c r="AB234" t="s">
        <v>1548</v>
      </c>
      <c r="AC234" t="s">
        <v>44</v>
      </c>
      <c r="AD234" t="s">
        <v>45</v>
      </c>
      <c r="AE234" s="1">
        <v>33517</v>
      </c>
      <c r="AF234">
        <v>1</v>
      </c>
      <c r="AG234" t="s">
        <v>1582</v>
      </c>
      <c r="AH234" s="36">
        <f t="shared" si="3"/>
        <v>27.611111111111111</v>
      </c>
      <c r="AI234" s="40" t="s">
        <v>1777</v>
      </c>
    </row>
    <row r="235" spans="1:35" x14ac:dyDescent="0.25">
      <c r="A235" s="36">
        <v>99910233</v>
      </c>
      <c r="B235" s="17" t="s">
        <v>32</v>
      </c>
      <c r="C235" t="s">
        <v>111</v>
      </c>
      <c r="D235" t="s">
        <v>112</v>
      </c>
      <c r="G235" s="17" t="s">
        <v>35</v>
      </c>
      <c r="H235" s="17">
        <v>1</v>
      </c>
      <c r="I235" t="s">
        <v>718</v>
      </c>
      <c r="J235" s="1">
        <v>43344</v>
      </c>
      <c r="K235" t="s">
        <v>268</v>
      </c>
      <c r="L235" t="s">
        <v>269</v>
      </c>
      <c r="M235" t="s">
        <v>131</v>
      </c>
      <c r="N235">
        <v>24</v>
      </c>
      <c r="O235" t="s">
        <v>40</v>
      </c>
      <c r="P235" t="s">
        <v>40</v>
      </c>
      <c r="Q235" t="s">
        <v>40</v>
      </c>
      <c r="S235" t="s">
        <v>40</v>
      </c>
      <c r="U235" s="1">
        <v>43344</v>
      </c>
      <c r="V235" t="s">
        <v>41</v>
      </c>
      <c r="W235" t="s">
        <v>75</v>
      </c>
      <c r="X235" t="str">
        <f>"7052002"</f>
        <v>7052002</v>
      </c>
      <c r="Y235" t="s">
        <v>590</v>
      </c>
      <c r="Z235" t="s">
        <v>268</v>
      </c>
      <c r="AA235" t="s">
        <v>269</v>
      </c>
      <c r="AB235" t="s">
        <v>131</v>
      </c>
      <c r="AC235" t="s">
        <v>44</v>
      </c>
      <c r="AD235" t="s">
        <v>45</v>
      </c>
      <c r="AE235" s="1">
        <v>33516</v>
      </c>
      <c r="AF235">
        <v>1</v>
      </c>
      <c r="AG235" t="s">
        <v>269</v>
      </c>
      <c r="AH235" s="36">
        <f t="shared" si="3"/>
        <v>27.613888888888887</v>
      </c>
      <c r="AI235" s="40" t="s">
        <v>1777</v>
      </c>
    </row>
    <row r="236" spans="1:35" x14ac:dyDescent="0.25">
      <c r="A236" s="36">
        <v>99910234</v>
      </c>
      <c r="B236" s="17" t="s">
        <v>32</v>
      </c>
      <c r="C236" t="s">
        <v>111</v>
      </c>
      <c r="D236" t="s">
        <v>112</v>
      </c>
      <c r="G236" s="17" t="s">
        <v>35</v>
      </c>
      <c r="H236" s="17">
        <v>1</v>
      </c>
      <c r="I236">
        <v>946</v>
      </c>
      <c r="J236" s="1">
        <v>43344</v>
      </c>
      <c r="K236" t="s">
        <v>1198</v>
      </c>
      <c r="L236" t="s">
        <v>1199</v>
      </c>
      <c r="M236" t="s">
        <v>1130</v>
      </c>
      <c r="N236">
        <v>24</v>
      </c>
      <c r="O236" t="s">
        <v>40</v>
      </c>
      <c r="S236" t="s">
        <v>40</v>
      </c>
      <c r="U236" s="1">
        <v>43344</v>
      </c>
      <c r="V236" t="s">
        <v>41</v>
      </c>
      <c r="W236" t="s">
        <v>75</v>
      </c>
      <c r="X236" t="str">
        <f>"7311002"</f>
        <v>7311002</v>
      </c>
      <c r="Y236" t="s">
        <v>1203</v>
      </c>
      <c r="Z236" t="s">
        <v>1198</v>
      </c>
      <c r="AA236" t="s">
        <v>1199</v>
      </c>
      <c r="AB236" t="s">
        <v>1130</v>
      </c>
      <c r="AC236" t="s">
        <v>51</v>
      </c>
      <c r="AD236" t="s">
        <v>45</v>
      </c>
      <c r="AE236" s="1">
        <v>33509</v>
      </c>
      <c r="AF236">
        <v>1</v>
      </c>
      <c r="AG236" t="s">
        <v>1199</v>
      </c>
      <c r="AH236" s="36">
        <f t="shared" si="3"/>
        <v>27.633333333333333</v>
      </c>
      <c r="AI236" s="40" t="s">
        <v>1777</v>
      </c>
    </row>
    <row r="237" spans="1:35" x14ac:dyDescent="0.25">
      <c r="A237" s="36">
        <v>99910235</v>
      </c>
      <c r="B237" s="17" t="s">
        <v>56</v>
      </c>
      <c r="C237" t="s">
        <v>79</v>
      </c>
      <c r="D237" t="s">
        <v>80</v>
      </c>
      <c r="G237" s="17" t="s">
        <v>35</v>
      </c>
      <c r="H237" s="17">
        <v>1</v>
      </c>
      <c r="I237" t="s">
        <v>1151</v>
      </c>
      <c r="J237" s="1">
        <v>43349</v>
      </c>
      <c r="K237" t="s">
        <v>1128</v>
      </c>
      <c r="L237" t="s">
        <v>1129</v>
      </c>
      <c r="M237" t="s">
        <v>1130</v>
      </c>
      <c r="N237">
        <v>12</v>
      </c>
      <c r="O237" t="s">
        <v>40</v>
      </c>
      <c r="P237" t="s">
        <v>40</v>
      </c>
      <c r="Q237" t="s">
        <v>40</v>
      </c>
      <c r="R237" t="s">
        <v>40</v>
      </c>
      <c r="S237" t="s">
        <v>40</v>
      </c>
      <c r="U237" s="1">
        <v>43349</v>
      </c>
      <c r="V237" t="s">
        <v>41</v>
      </c>
      <c r="W237" t="s">
        <v>49</v>
      </c>
      <c r="X237" t="str">
        <f>"3160002"</f>
        <v>3160002</v>
      </c>
      <c r="Y237" t="s">
        <v>1143</v>
      </c>
      <c r="Z237" t="s">
        <v>1128</v>
      </c>
      <c r="AA237" t="s">
        <v>1129</v>
      </c>
      <c r="AB237" t="s">
        <v>1130</v>
      </c>
      <c r="AC237" t="s">
        <v>44</v>
      </c>
      <c r="AD237" t="s">
        <v>45</v>
      </c>
      <c r="AE237" s="1">
        <v>33499</v>
      </c>
      <c r="AF237">
        <v>2</v>
      </c>
      <c r="AG237" t="s">
        <v>1129</v>
      </c>
      <c r="AH237" s="36">
        <f t="shared" si="3"/>
        <v>27.661111111111111</v>
      </c>
      <c r="AI237" s="40" t="s">
        <v>1777</v>
      </c>
    </row>
    <row r="238" spans="1:35" x14ac:dyDescent="0.25">
      <c r="A238" s="36">
        <v>99910236</v>
      </c>
      <c r="B238" s="17" t="s">
        <v>32</v>
      </c>
      <c r="C238" t="s">
        <v>90</v>
      </c>
      <c r="D238" t="s">
        <v>91</v>
      </c>
      <c r="G238" s="17" t="s">
        <v>35</v>
      </c>
      <c r="H238" s="17">
        <v>1</v>
      </c>
      <c r="I238">
        <v>57</v>
      </c>
      <c r="J238" s="1">
        <v>43347</v>
      </c>
      <c r="K238" t="s">
        <v>963</v>
      </c>
      <c r="L238" t="s">
        <v>964</v>
      </c>
      <c r="M238" t="s">
        <v>938</v>
      </c>
      <c r="N238">
        <v>25</v>
      </c>
      <c r="O238" t="s">
        <v>40</v>
      </c>
      <c r="S238" t="s">
        <v>40</v>
      </c>
      <c r="U238" s="1">
        <v>43347</v>
      </c>
      <c r="V238" t="s">
        <v>41</v>
      </c>
      <c r="W238" t="s">
        <v>95</v>
      </c>
      <c r="X238" t="str">
        <f>"7061013"</f>
        <v>7061013</v>
      </c>
      <c r="Y238" t="s">
        <v>998</v>
      </c>
      <c r="Z238" t="s">
        <v>963</v>
      </c>
      <c r="AA238" t="s">
        <v>964</v>
      </c>
      <c r="AB238" t="s">
        <v>938</v>
      </c>
      <c r="AC238" t="s">
        <v>44</v>
      </c>
      <c r="AD238" t="s">
        <v>45</v>
      </c>
      <c r="AE238" s="1">
        <v>33485</v>
      </c>
      <c r="AF238">
        <v>1</v>
      </c>
      <c r="AG238" t="s">
        <v>964</v>
      </c>
      <c r="AH238" s="36">
        <f t="shared" si="3"/>
        <v>27.7</v>
      </c>
      <c r="AI238" s="40" t="s">
        <v>1777</v>
      </c>
    </row>
    <row r="239" spans="1:35" x14ac:dyDescent="0.25">
      <c r="A239" s="36">
        <v>99910237</v>
      </c>
      <c r="B239" s="17" t="s">
        <v>32</v>
      </c>
      <c r="C239" t="s">
        <v>90</v>
      </c>
      <c r="D239" t="s">
        <v>91</v>
      </c>
      <c r="G239" s="17" t="s">
        <v>35</v>
      </c>
      <c r="H239" s="17">
        <v>1</v>
      </c>
      <c r="I239" t="s">
        <v>870</v>
      </c>
      <c r="J239" s="1">
        <v>43344</v>
      </c>
      <c r="K239" t="s">
        <v>865</v>
      </c>
      <c r="L239" t="s">
        <v>866</v>
      </c>
      <c r="M239" t="s">
        <v>131</v>
      </c>
      <c r="N239">
        <v>25</v>
      </c>
      <c r="O239" t="s">
        <v>40</v>
      </c>
      <c r="S239" t="s">
        <v>40</v>
      </c>
      <c r="U239" s="1">
        <v>43344</v>
      </c>
      <c r="V239" t="s">
        <v>41</v>
      </c>
      <c r="W239" t="s">
        <v>95</v>
      </c>
      <c r="X239" t="str">
        <f>"7531015"</f>
        <v>7531015</v>
      </c>
      <c r="Y239" t="s">
        <v>871</v>
      </c>
      <c r="Z239" t="s">
        <v>865</v>
      </c>
      <c r="AA239" t="s">
        <v>866</v>
      </c>
      <c r="AB239" t="s">
        <v>131</v>
      </c>
      <c r="AC239" t="s">
        <v>44</v>
      </c>
      <c r="AD239" t="s">
        <v>45</v>
      </c>
      <c r="AE239" s="1">
        <v>33474</v>
      </c>
      <c r="AF239">
        <v>1</v>
      </c>
      <c r="AG239" t="s">
        <v>866</v>
      </c>
      <c r="AH239" s="36">
        <f t="shared" si="3"/>
        <v>27.730555555555554</v>
      </c>
      <c r="AI239" s="40" t="s">
        <v>1777</v>
      </c>
    </row>
    <row r="240" spans="1:35" x14ac:dyDescent="0.25">
      <c r="A240" s="36">
        <v>99910238</v>
      </c>
      <c r="B240" s="17" t="s">
        <v>32</v>
      </c>
      <c r="C240" t="s">
        <v>111</v>
      </c>
      <c r="D240" t="s">
        <v>112</v>
      </c>
      <c r="G240" s="17" t="s">
        <v>35</v>
      </c>
      <c r="H240" s="17">
        <v>1</v>
      </c>
      <c r="I240">
        <v>5009</v>
      </c>
      <c r="J240" s="1">
        <v>43344</v>
      </c>
      <c r="K240" t="s">
        <v>1245</v>
      </c>
      <c r="L240" t="s">
        <v>1246</v>
      </c>
      <c r="M240" t="s">
        <v>1130</v>
      </c>
      <c r="N240">
        <v>24</v>
      </c>
      <c r="O240" t="s">
        <v>40</v>
      </c>
      <c r="S240" t="s">
        <v>40</v>
      </c>
      <c r="U240" s="1">
        <v>43344</v>
      </c>
      <c r="V240" t="s">
        <v>41</v>
      </c>
      <c r="W240" t="s">
        <v>75</v>
      </c>
      <c r="X240" t="str">
        <f>"7451000"</f>
        <v>7451000</v>
      </c>
      <c r="Y240" t="s">
        <v>1250</v>
      </c>
      <c r="Z240" t="s">
        <v>1245</v>
      </c>
      <c r="AA240" t="s">
        <v>1246</v>
      </c>
      <c r="AB240" t="s">
        <v>1130</v>
      </c>
      <c r="AC240" t="s">
        <v>51</v>
      </c>
      <c r="AD240" t="s">
        <v>45</v>
      </c>
      <c r="AE240" s="1">
        <v>33473</v>
      </c>
      <c r="AF240">
        <v>1</v>
      </c>
      <c r="AG240" t="s">
        <v>1246</v>
      </c>
      <c r="AH240" s="36">
        <f t="shared" si="3"/>
        <v>27.733333333333334</v>
      </c>
      <c r="AI240" s="40" t="s">
        <v>1777</v>
      </c>
    </row>
    <row r="241" spans="1:35" x14ac:dyDescent="0.25">
      <c r="A241" s="36">
        <v>99910239</v>
      </c>
      <c r="B241" s="17" t="s">
        <v>32</v>
      </c>
      <c r="C241" t="s">
        <v>90</v>
      </c>
      <c r="D241" t="s">
        <v>91</v>
      </c>
      <c r="G241" s="17" t="s">
        <v>35</v>
      </c>
      <c r="H241" s="17">
        <v>1</v>
      </c>
      <c r="K241" t="s">
        <v>877</v>
      </c>
      <c r="L241" t="s">
        <v>878</v>
      </c>
      <c r="M241" t="s">
        <v>131</v>
      </c>
      <c r="N241">
        <v>6</v>
      </c>
      <c r="O241" t="s">
        <v>40</v>
      </c>
      <c r="P241" t="s">
        <v>40</v>
      </c>
      <c r="Q241" t="s">
        <v>40</v>
      </c>
      <c r="S241" t="s">
        <v>40</v>
      </c>
      <c r="V241" t="s">
        <v>41</v>
      </c>
      <c r="W241" t="s">
        <v>95</v>
      </c>
      <c r="X241" t="str">
        <f>"7541075"</f>
        <v>7541075</v>
      </c>
      <c r="Y241" t="s">
        <v>892</v>
      </c>
      <c r="Z241" t="s">
        <v>877</v>
      </c>
      <c r="AA241" t="s">
        <v>878</v>
      </c>
      <c r="AB241" t="s">
        <v>131</v>
      </c>
      <c r="AC241" t="s">
        <v>51</v>
      </c>
      <c r="AD241" t="s">
        <v>45</v>
      </c>
      <c r="AE241" s="1">
        <v>33466</v>
      </c>
      <c r="AF241">
        <v>1</v>
      </c>
      <c r="AG241" t="s">
        <v>878</v>
      </c>
      <c r="AH241" s="36">
        <f t="shared" si="3"/>
        <v>27.752777777777776</v>
      </c>
      <c r="AI241" s="40" t="s">
        <v>1777</v>
      </c>
    </row>
    <row r="242" spans="1:35" x14ac:dyDescent="0.25">
      <c r="A242" s="36">
        <v>99910240</v>
      </c>
      <c r="B242" s="17" t="s">
        <v>32</v>
      </c>
      <c r="C242" t="s">
        <v>64</v>
      </c>
      <c r="D242" t="s">
        <v>65</v>
      </c>
      <c r="G242" s="17" t="s">
        <v>35</v>
      </c>
      <c r="H242" s="17">
        <v>1</v>
      </c>
      <c r="I242" t="s">
        <v>200</v>
      </c>
      <c r="J242" s="1">
        <v>43344</v>
      </c>
      <c r="K242" t="s">
        <v>157</v>
      </c>
      <c r="L242" t="s">
        <v>158</v>
      </c>
      <c r="M242" t="s">
        <v>131</v>
      </c>
      <c r="N242">
        <v>12</v>
      </c>
      <c r="O242" t="s">
        <v>40</v>
      </c>
      <c r="P242" t="s">
        <v>40</v>
      </c>
      <c r="Q242" t="s">
        <v>40</v>
      </c>
      <c r="S242" t="s">
        <v>40</v>
      </c>
      <c r="U242" s="1">
        <v>43344</v>
      </c>
      <c r="V242" t="s">
        <v>41</v>
      </c>
      <c r="W242" t="s">
        <v>49</v>
      </c>
      <c r="X242" t="str">
        <f>"0581725"</f>
        <v>0581725</v>
      </c>
      <c r="Y242" t="s">
        <v>161</v>
      </c>
      <c r="Z242" t="s">
        <v>157</v>
      </c>
      <c r="AA242" t="s">
        <v>158</v>
      </c>
      <c r="AB242" t="s">
        <v>131</v>
      </c>
      <c r="AC242" t="s">
        <v>44</v>
      </c>
      <c r="AD242" t="s">
        <v>45</v>
      </c>
      <c r="AE242" s="1">
        <v>33463</v>
      </c>
      <c r="AF242">
        <v>2</v>
      </c>
      <c r="AG242" t="s">
        <v>158</v>
      </c>
      <c r="AH242" s="36">
        <f t="shared" si="3"/>
        <v>27.761111111111113</v>
      </c>
      <c r="AI242" s="40" t="s">
        <v>1777</v>
      </c>
    </row>
    <row r="243" spans="1:35" x14ac:dyDescent="0.25">
      <c r="A243" s="36">
        <v>99910241</v>
      </c>
      <c r="B243" s="17" t="s">
        <v>32</v>
      </c>
      <c r="C243" t="s">
        <v>90</v>
      </c>
      <c r="D243" t="s">
        <v>91</v>
      </c>
      <c r="G243" s="17" t="s">
        <v>35</v>
      </c>
      <c r="H243" s="17">
        <v>1</v>
      </c>
      <c r="I243">
        <v>20492</v>
      </c>
      <c r="J243" s="1">
        <v>43344</v>
      </c>
      <c r="K243" t="s">
        <v>354</v>
      </c>
      <c r="L243" t="s">
        <v>355</v>
      </c>
      <c r="M243" t="s">
        <v>131</v>
      </c>
      <c r="N243">
        <v>25</v>
      </c>
      <c r="O243" t="s">
        <v>40</v>
      </c>
      <c r="S243" t="s">
        <v>40</v>
      </c>
      <c r="U243" s="1">
        <v>43344</v>
      </c>
      <c r="V243" t="s">
        <v>41</v>
      </c>
      <c r="W243" t="s">
        <v>95</v>
      </c>
      <c r="X243" t="str">
        <f>"7054085"</f>
        <v>7054085</v>
      </c>
      <c r="Y243" t="s">
        <v>845</v>
      </c>
      <c r="Z243" t="s">
        <v>354</v>
      </c>
      <c r="AA243" t="s">
        <v>355</v>
      </c>
      <c r="AB243" t="s">
        <v>131</v>
      </c>
      <c r="AC243" t="s">
        <v>51</v>
      </c>
      <c r="AD243" t="s">
        <v>45</v>
      </c>
      <c r="AE243" s="1">
        <v>33462</v>
      </c>
      <c r="AF243">
        <v>1</v>
      </c>
      <c r="AG243" t="s">
        <v>355</v>
      </c>
      <c r="AH243" s="36">
        <f t="shared" si="3"/>
        <v>27.763888888888889</v>
      </c>
      <c r="AI243" s="40" t="s">
        <v>1777</v>
      </c>
    </row>
    <row r="244" spans="1:35" x14ac:dyDescent="0.25">
      <c r="A244" s="36">
        <v>99910242</v>
      </c>
      <c r="B244" s="17" t="s">
        <v>32</v>
      </c>
      <c r="C244" t="s">
        <v>46</v>
      </c>
      <c r="D244" t="s">
        <v>47</v>
      </c>
      <c r="G244" s="17" t="s">
        <v>35</v>
      </c>
      <c r="H244" s="17">
        <v>1</v>
      </c>
      <c r="I244">
        <v>21384</v>
      </c>
      <c r="J244" s="1">
        <v>43344</v>
      </c>
      <c r="K244" t="s">
        <v>380</v>
      </c>
      <c r="L244" t="s">
        <v>381</v>
      </c>
      <c r="M244" t="s">
        <v>131</v>
      </c>
      <c r="N244">
        <v>12</v>
      </c>
      <c r="O244" t="s">
        <v>40</v>
      </c>
      <c r="P244" t="s">
        <v>40</v>
      </c>
      <c r="Q244" t="s">
        <v>40</v>
      </c>
      <c r="S244" t="s">
        <v>40</v>
      </c>
      <c r="U244" s="1">
        <v>43344</v>
      </c>
      <c r="V244" t="s">
        <v>41</v>
      </c>
      <c r="W244" t="s">
        <v>42</v>
      </c>
      <c r="X244" t="str">
        <f>"0561010"</f>
        <v>0561010</v>
      </c>
      <c r="Y244" t="s">
        <v>387</v>
      </c>
      <c r="Z244" t="s">
        <v>380</v>
      </c>
      <c r="AA244" t="s">
        <v>381</v>
      </c>
      <c r="AB244" t="s">
        <v>131</v>
      </c>
      <c r="AC244" t="s">
        <v>55</v>
      </c>
      <c r="AD244" t="s">
        <v>45</v>
      </c>
      <c r="AE244" s="1">
        <v>33460</v>
      </c>
      <c r="AF244">
        <v>2</v>
      </c>
      <c r="AG244" t="s">
        <v>381</v>
      </c>
      <c r="AH244" s="36">
        <f t="shared" si="3"/>
        <v>27.769444444444446</v>
      </c>
      <c r="AI244" s="40" t="s">
        <v>1777</v>
      </c>
    </row>
    <row r="245" spans="1:35" x14ac:dyDescent="0.25">
      <c r="A245" s="36">
        <v>99910243</v>
      </c>
      <c r="B245" s="17" t="s">
        <v>32</v>
      </c>
      <c r="C245" t="s">
        <v>90</v>
      </c>
      <c r="D245" t="s">
        <v>91</v>
      </c>
      <c r="G245" s="17" t="s">
        <v>35</v>
      </c>
      <c r="H245" s="17">
        <v>1</v>
      </c>
      <c r="I245" t="s">
        <v>1478</v>
      </c>
      <c r="J245" s="1">
        <v>43346</v>
      </c>
      <c r="K245" t="s">
        <v>1334</v>
      </c>
      <c r="L245" t="s">
        <v>1335</v>
      </c>
      <c r="M245" t="s">
        <v>1270</v>
      </c>
      <c r="N245">
        <v>21</v>
      </c>
      <c r="O245" t="s">
        <v>40</v>
      </c>
      <c r="S245" t="s">
        <v>40</v>
      </c>
      <c r="U245" s="1">
        <v>43346</v>
      </c>
      <c r="V245" t="s">
        <v>41</v>
      </c>
      <c r="W245" t="s">
        <v>95</v>
      </c>
      <c r="X245" t="str">
        <f>"7391001"</f>
        <v>7391001</v>
      </c>
      <c r="Y245" t="s">
        <v>1468</v>
      </c>
      <c r="Z245" t="s">
        <v>1334</v>
      </c>
      <c r="AA245" t="s">
        <v>1335</v>
      </c>
      <c r="AB245" t="s">
        <v>1270</v>
      </c>
      <c r="AC245" t="s">
        <v>44</v>
      </c>
      <c r="AD245" t="s">
        <v>45</v>
      </c>
      <c r="AE245" s="1">
        <v>33460</v>
      </c>
      <c r="AF245">
        <v>1</v>
      </c>
      <c r="AG245" t="s">
        <v>1335</v>
      </c>
      <c r="AH245" s="36">
        <f t="shared" si="3"/>
        <v>27.769444444444446</v>
      </c>
      <c r="AI245" s="40" t="s">
        <v>1777</v>
      </c>
    </row>
    <row r="246" spans="1:35" x14ac:dyDescent="0.25">
      <c r="A246" s="36">
        <v>99910244</v>
      </c>
      <c r="B246" s="17" t="s">
        <v>32</v>
      </c>
      <c r="C246" t="s">
        <v>111</v>
      </c>
      <c r="D246" t="s">
        <v>112</v>
      </c>
      <c r="G246" s="17" t="s">
        <v>35</v>
      </c>
      <c r="H246" s="17">
        <v>1</v>
      </c>
      <c r="I246" s="1">
        <v>42979</v>
      </c>
      <c r="J246" s="1">
        <v>43344</v>
      </c>
      <c r="K246" t="s">
        <v>1341</v>
      </c>
      <c r="L246" t="s">
        <v>1342</v>
      </c>
      <c r="M246" t="s">
        <v>1270</v>
      </c>
      <c r="N246">
        <v>24</v>
      </c>
      <c r="O246" t="s">
        <v>40</v>
      </c>
      <c r="S246" t="s">
        <v>40</v>
      </c>
      <c r="U246" s="1">
        <v>43344</v>
      </c>
      <c r="V246" t="s">
        <v>41</v>
      </c>
      <c r="W246" t="s">
        <v>75</v>
      </c>
      <c r="X246" t="str">
        <f>"7191034"</f>
        <v>7191034</v>
      </c>
      <c r="Y246" t="s">
        <v>1343</v>
      </c>
      <c r="Z246" t="s">
        <v>1341</v>
      </c>
      <c r="AA246" t="s">
        <v>1342</v>
      </c>
      <c r="AB246" t="s">
        <v>1270</v>
      </c>
      <c r="AC246" t="s">
        <v>44</v>
      </c>
      <c r="AD246" t="s">
        <v>45</v>
      </c>
      <c r="AE246" s="1">
        <v>33457</v>
      </c>
      <c r="AF246">
        <v>1</v>
      </c>
      <c r="AG246" t="s">
        <v>1342</v>
      </c>
      <c r="AH246" s="36">
        <f t="shared" si="3"/>
        <v>27.777777777777779</v>
      </c>
      <c r="AI246" s="40" t="s">
        <v>1777</v>
      </c>
    </row>
    <row r="247" spans="1:35" x14ac:dyDescent="0.25">
      <c r="A247" s="36">
        <v>99910245</v>
      </c>
      <c r="B247" s="17" t="s">
        <v>32</v>
      </c>
      <c r="C247" t="s">
        <v>111</v>
      </c>
      <c r="D247" t="s">
        <v>112</v>
      </c>
      <c r="G247" s="17" t="s">
        <v>35</v>
      </c>
      <c r="H247" s="17">
        <v>3</v>
      </c>
      <c r="I247" t="s">
        <v>599</v>
      </c>
      <c r="J247" s="1">
        <v>43344</v>
      </c>
      <c r="K247" t="s">
        <v>268</v>
      </c>
      <c r="L247" t="s">
        <v>269</v>
      </c>
      <c r="M247" t="s">
        <v>131</v>
      </c>
      <c r="N247">
        <v>24</v>
      </c>
      <c r="O247" t="s">
        <v>40</v>
      </c>
      <c r="P247" t="s">
        <v>40</v>
      </c>
      <c r="Q247" t="s">
        <v>40</v>
      </c>
      <c r="R247" t="s">
        <v>40</v>
      </c>
      <c r="S247" t="s">
        <v>40</v>
      </c>
      <c r="U247" s="1">
        <v>43344</v>
      </c>
      <c r="V247" t="s">
        <v>41</v>
      </c>
      <c r="W247" t="s">
        <v>75</v>
      </c>
      <c r="X247" t="str">
        <f>"7052018"</f>
        <v>7052018</v>
      </c>
      <c r="Y247" t="s">
        <v>577</v>
      </c>
      <c r="Z247" t="s">
        <v>268</v>
      </c>
      <c r="AA247" t="s">
        <v>269</v>
      </c>
      <c r="AB247" t="s">
        <v>131</v>
      </c>
      <c r="AC247" t="s">
        <v>44</v>
      </c>
      <c r="AD247" t="s">
        <v>45</v>
      </c>
      <c r="AE247" s="1">
        <v>33456</v>
      </c>
      <c r="AF247">
        <v>1</v>
      </c>
      <c r="AG247" t="s">
        <v>269</v>
      </c>
      <c r="AH247" s="36">
        <f t="shared" si="3"/>
        <v>27.780555555555555</v>
      </c>
      <c r="AI247" s="40" t="s">
        <v>1777</v>
      </c>
    </row>
    <row r="248" spans="1:35" x14ac:dyDescent="0.25">
      <c r="A248" s="36">
        <v>99910246</v>
      </c>
      <c r="B248" s="17" t="s">
        <v>32</v>
      </c>
      <c r="C248" t="s">
        <v>64</v>
      </c>
      <c r="D248" t="s">
        <v>65</v>
      </c>
      <c r="G248" s="17" t="s">
        <v>35</v>
      </c>
      <c r="H248" s="17">
        <v>1</v>
      </c>
      <c r="I248" t="s">
        <v>1535</v>
      </c>
      <c r="J248" s="1">
        <v>43344</v>
      </c>
      <c r="K248" t="s">
        <v>667</v>
      </c>
      <c r="L248" t="s">
        <v>669</v>
      </c>
      <c r="M248" t="s">
        <v>670</v>
      </c>
      <c r="N248">
        <v>8</v>
      </c>
      <c r="O248" t="s">
        <v>40</v>
      </c>
      <c r="P248" t="s">
        <v>40</v>
      </c>
      <c r="Q248" t="s">
        <v>40</v>
      </c>
      <c r="R248" t="s">
        <v>40</v>
      </c>
      <c r="S248" t="s">
        <v>40</v>
      </c>
      <c r="U248" s="1">
        <v>43344</v>
      </c>
      <c r="V248" t="s">
        <v>41</v>
      </c>
      <c r="W248" t="s">
        <v>75</v>
      </c>
      <c r="X248" t="str">
        <f>"7501002"</f>
        <v>7501002</v>
      </c>
      <c r="Y248" t="s">
        <v>1519</v>
      </c>
      <c r="Z248" t="s">
        <v>667</v>
      </c>
      <c r="AA248" t="s">
        <v>669</v>
      </c>
      <c r="AB248" t="s">
        <v>670</v>
      </c>
      <c r="AC248" t="s">
        <v>44</v>
      </c>
      <c r="AD248" t="s">
        <v>45</v>
      </c>
      <c r="AE248" s="1">
        <v>33456</v>
      </c>
      <c r="AF248">
        <v>1</v>
      </c>
      <c r="AG248" t="s">
        <v>669</v>
      </c>
      <c r="AH248" s="36">
        <f t="shared" si="3"/>
        <v>27.780555555555555</v>
      </c>
      <c r="AI248" s="40" t="s">
        <v>1777</v>
      </c>
    </row>
    <row r="249" spans="1:35" x14ac:dyDescent="0.25">
      <c r="A249" s="36">
        <v>99910247</v>
      </c>
      <c r="B249" s="17" t="s">
        <v>32</v>
      </c>
      <c r="C249" t="s">
        <v>46</v>
      </c>
      <c r="D249" t="s">
        <v>47</v>
      </c>
      <c r="G249" s="17" t="s">
        <v>35</v>
      </c>
      <c r="H249" s="17">
        <v>1</v>
      </c>
      <c r="I249">
        <v>0</v>
      </c>
      <c r="J249" s="1">
        <v>43344</v>
      </c>
      <c r="K249" t="s">
        <v>223</v>
      </c>
      <c r="L249" t="s">
        <v>224</v>
      </c>
      <c r="M249" t="s">
        <v>131</v>
      </c>
      <c r="N249">
        <v>24</v>
      </c>
      <c r="O249" t="s">
        <v>40</v>
      </c>
      <c r="P249" t="s">
        <v>40</v>
      </c>
      <c r="Q249" t="s">
        <v>40</v>
      </c>
      <c r="S249" t="s">
        <v>40</v>
      </c>
      <c r="U249" s="1">
        <v>43344</v>
      </c>
      <c r="V249" t="s">
        <v>41</v>
      </c>
      <c r="W249" t="s">
        <v>49</v>
      </c>
      <c r="X249" t="str">
        <f>"0591901"</f>
        <v>0591901</v>
      </c>
      <c r="Y249" t="s">
        <v>230</v>
      </c>
      <c r="Z249" t="s">
        <v>223</v>
      </c>
      <c r="AA249" t="s">
        <v>224</v>
      </c>
      <c r="AB249" t="s">
        <v>131</v>
      </c>
      <c r="AC249" t="s">
        <v>44</v>
      </c>
      <c r="AD249" t="s">
        <v>45</v>
      </c>
      <c r="AE249" s="1">
        <v>33451</v>
      </c>
      <c r="AF249">
        <v>2</v>
      </c>
      <c r="AG249" t="s">
        <v>224</v>
      </c>
      <c r="AH249" s="36">
        <f t="shared" si="3"/>
        <v>27.794444444444444</v>
      </c>
      <c r="AI249" s="40" t="s">
        <v>1777</v>
      </c>
    </row>
    <row r="250" spans="1:35" x14ac:dyDescent="0.25">
      <c r="A250" s="36">
        <v>99910248</v>
      </c>
      <c r="B250" s="17" t="s">
        <v>56</v>
      </c>
      <c r="C250" t="s">
        <v>111</v>
      </c>
      <c r="D250" t="s">
        <v>112</v>
      </c>
      <c r="G250" s="17" t="s">
        <v>88</v>
      </c>
      <c r="H250" s="17">
        <v>1</v>
      </c>
      <c r="I250" t="s">
        <v>1020</v>
      </c>
      <c r="J250" s="1">
        <v>43344</v>
      </c>
      <c r="K250" t="s">
        <v>963</v>
      </c>
      <c r="L250" t="s">
        <v>964</v>
      </c>
      <c r="M250" t="s">
        <v>938</v>
      </c>
      <c r="N250">
        <v>24</v>
      </c>
      <c r="O250" t="s">
        <v>40</v>
      </c>
      <c r="P250" t="s">
        <v>40</v>
      </c>
      <c r="Q250" t="s">
        <v>40</v>
      </c>
      <c r="R250" t="s">
        <v>40</v>
      </c>
      <c r="S250" t="s">
        <v>40</v>
      </c>
      <c r="U250" s="1">
        <v>43344</v>
      </c>
      <c r="V250" t="s">
        <v>41</v>
      </c>
      <c r="W250" t="s">
        <v>75</v>
      </c>
      <c r="X250" t="str">
        <f>"7061004"</f>
        <v>7061004</v>
      </c>
      <c r="Y250" t="s">
        <v>1002</v>
      </c>
      <c r="Z250" t="s">
        <v>963</v>
      </c>
      <c r="AA250" t="s">
        <v>964</v>
      </c>
      <c r="AB250" t="s">
        <v>938</v>
      </c>
      <c r="AC250" t="s">
        <v>51</v>
      </c>
      <c r="AD250" t="s">
        <v>45</v>
      </c>
      <c r="AE250" s="1">
        <v>33450</v>
      </c>
      <c r="AF250">
        <v>1</v>
      </c>
      <c r="AG250" t="s">
        <v>964</v>
      </c>
      <c r="AH250" s="36">
        <f t="shared" si="3"/>
        <v>27.797222222222221</v>
      </c>
      <c r="AI250" s="40" t="s">
        <v>1777</v>
      </c>
    </row>
    <row r="251" spans="1:35" x14ac:dyDescent="0.25">
      <c r="A251" s="36">
        <v>99910249</v>
      </c>
      <c r="B251" s="17" t="s">
        <v>32</v>
      </c>
      <c r="C251" t="s">
        <v>90</v>
      </c>
      <c r="D251" t="s">
        <v>91</v>
      </c>
      <c r="G251" s="17" t="s">
        <v>35</v>
      </c>
      <c r="H251" s="17">
        <v>1</v>
      </c>
      <c r="I251" t="s">
        <v>1033</v>
      </c>
      <c r="J251" s="1">
        <v>43354</v>
      </c>
      <c r="K251" t="s">
        <v>1029</v>
      </c>
      <c r="L251" t="s">
        <v>1030</v>
      </c>
      <c r="M251" t="s">
        <v>938</v>
      </c>
      <c r="N251">
        <v>25</v>
      </c>
      <c r="O251" t="s">
        <v>40</v>
      </c>
      <c r="S251" t="s">
        <v>40</v>
      </c>
      <c r="U251" s="1">
        <v>43354</v>
      </c>
      <c r="V251" t="s">
        <v>41</v>
      </c>
      <c r="W251" t="s">
        <v>95</v>
      </c>
      <c r="X251" t="str">
        <f>"7151003"</f>
        <v>7151003</v>
      </c>
      <c r="Y251" t="s">
        <v>1034</v>
      </c>
      <c r="Z251" t="s">
        <v>1029</v>
      </c>
      <c r="AA251" t="s">
        <v>1030</v>
      </c>
      <c r="AB251" t="s">
        <v>938</v>
      </c>
      <c r="AC251" t="s">
        <v>44</v>
      </c>
      <c r="AD251" t="s">
        <v>45</v>
      </c>
      <c r="AE251" s="1">
        <v>33448</v>
      </c>
      <c r="AF251">
        <v>1</v>
      </c>
      <c r="AG251" t="s">
        <v>1030</v>
      </c>
      <c r="AH251" s="36">
        <f t="shared" si="3"/>
        <v>27.802777777777777</v>
      </c>
      <c r="AI251" s="40" t="s">
        <v>1777</v>
      </c>
    </row>
    <row r="252" spans="1:35" x14ac:dyDescent="0.25">
      <c r="A252" s="36">
        <v>99910250</v>
      </c>
      <c r="B252" s="17" t="s">
        <v>32</v>
      </c>
      <c r="C252" t="s">
        <v>111</v>
      </c>
      <c r="D252" t="s">
        <v>112</v>
      </c>
      <c r="G252" s="17" t="s">
        <v>35</v>
      </c>
      <c r="H252" s="17">
        <v>3</v>
      </c>
      <c r="I252" t="s">
        <v>645</v>
      </c>
      <c r="J252" s="1">
        <v>43344</v>
      </c>
      <c r="K252" t="s">
        <v>268</v>
      </c>
      <c r="L252" t="s">
        <v>269</v>
      </c>
      <c r="M252" t="s">
        <v>131</v>
      </c>
      <c r="N252">
        <v>24</v>
      </c>
      <c r="O252" t="s">
        <v>40</v>
      </c>
      <c r="P252" t="s">
        <v>40</v>
      </c>
      <c r="Q252" t="s">
        <v>40</v>
      </c>
      <c r="R252" t="s">
        <v>40</v>
      </c>
      <c r="S252" t="s">
        <v>40</v>
      </c>
      <c r="U252" s="1">
        <v>43344</v>
      </c>
      <c r="V252" t="s">
        <v>41</v>
      </c>
      <c r="W252" t="s">
        <v>75</v>
      </c>
      <c r="X252" t="str">
        <f>"7052006"</f>
        <v>7052006</v>
      </c>
      <c r="Y252" t="s">
        <v>575</v>
      </c>
      <c r="Z252" t="s">
        <v>268</v>
      </c>
      <c r="AA252" t="s">
        <v>269</v>
      </c>
      <c r="AB252" t="s">
        <v>131</v>
      </c>
      <c r="AC252" t="s">
        <v>44</v>
      </c>
      <c r="AD252" t="s">
        <v>45</v>
      </c>
      <c r="AE252" s="1">
        <v>33427</v>
      </c>
      <c r="AF252">
        <v>1</v>
      </c>
      <c r="AG252" t="s">
        <v>269</v>
      </c>
      <c r="AH252" s="36">
        <f t="shared" si="3"/>
        <v>27.861111111111111</v>
      </c>
      <c r="AI252" s="40" t="s">
        <v>1777</v>
      </c>
    </row>
    <row r="253" spans="1:35" x14ac:dyDescent="0.25">
      <c r="A253" s="36">
        <v>99910251</v>
      </c>
      <c r="B253" s="17" t="s">
        <v>32</v>
      </c>
      <c r="C253" t="s">
        <v>90</v>
      </c>
      <c r="D253" t="s">
        <v>91</v>
      </c>
      <c r="G253" s="17" t="s">
        <v>35</v>
      </c>
      <c r="H253" s="17">
        <v>1</v>
      </c>
      <c r="I253" t="s">
        <v>1452</v>
      </c>
      <c r="J253" s="1">
        <v>43362</v>
      </c>
      <c r="K253" t="s">
        <v>1426</v>
      </c>
      <c r="L253" t="s">
        <v>1427</v>
      </c>
      <c r="M253" t="s">
        <v>1270</v>
      </c>
      <c r="N253">
        <v>25</v>
      </c>
      <c r="O253" t="s">
        <v>40</v>
      </c>
      <c r="S253" t="s">
        <v>40</v>
      </c>
      <c r="U253" s="1">
        <v>43362</v>
      </c>
      <c r="V253" t="s">
        <v>41</v>
      </c>
      <c r="W253" t="s">
        <v>95</v>
      </c>
      <c r="X253" t="str">
        <f>"7192057"</f>
        <v>7192057</v>
      </c>
      <c r="Y253" t="s">
        <v>1453</v>
      </c>
      <c r="Z253" t="s">
        <v>1426</v>
      </c>
      <c r="AA253" t="s">
        <v>1427</v>
      </c>
      <c r="AB253" t="s">
        <v>1270</v>
      </c>
      <c r="AC253" t="s">
        <v>44</v>
      </c>
      <c r="AD253" t="s">
        <v>45</v>
      </c>
      <c r="AE253" s="1">
        <v>33417</v>
      </c>
      <c r="AF253">
        <v>1</v>
      </c>
      <c r="AG253" t="s">
        <v>1427</v>
      </c>
      <c r="AH253" s="36">
        <f t="shared" si="3"/>
        <v>27.888888888888889</v>
      </c>
      <c r="AI253" s="40" t="s">
        <v>1777</v>
      </c>
    </row>
    <row r="254" spans="1:35" x14ac:dyDescent="0.25">
      <c r="A254" s="36">
        <v>99910252</v>
      </c>
      <c r="B254" s="17" t="s">
        <v>32</v>
      </c>
      <c r="C254" t="s">
        <v>90</v>
      </c>
      <c r="D254" t="s">
        <v>91</v>
      </c>
      <c r="G254" s="17" t="s">
        <v>35</v>
      </c>
      <c r="H254" s="17">
        <v>1</v>
      </c>
      <c r="I254">
        <v>1</v>
      </c>
      <c r="J254" s="1">
        <v>43344</v>
      </c>
      <c r="K254" t="s">
        <v>268</v>
      </c>
      <c r="L254" t="s">
        <v>269</v>
      </c>
      <c r="M254" t="s">
        <v>131</v>
      </c>
      <c r="N254">
        <v>25</v>
      </c>
      <c r="O254" t="s">
        <v>40</v>
      </c>
      <c r="S254" t="s">
        <v>40</v>
      </c>
      <c r="V254" t="s">
        <v>41</v>
      </c>
      <c r="W254" t="s">
        <v>95</v>
      </c>
      <c r="X254" t="str">
        <f>"7052147"</f>
        <v>7052147</v>
      </c>
      <c r="Y254" t="s">
        <v>710</v>
      </c>
      <c r="Z254" t="s">
        <v>268</v>
      </c>
      <c r="AA254" t="s">
        <v>269</v>
      </c>
      <c r="AB254" t="s">
        <v>131</v>
      </c>
      <c r="AC254" t="s">
        <v>51</v>
      </c>
      <c r="AD254" t="s">
        <v>45</v>
      </c>
      <c r="AE254" s="1">
        <v>33415</v>
      </c>
      <c r="AF254">
        <v>1</v>
      </c>
      <c r="AG254" t="s">
        <v>269</v>
      </c>
      <c r="AH254" s="36">
        <f t="shared" si="3"/>
        <v>27.894444444444446</v>
      </c>
      <c r="AI254" s="40" t="s">
        <v>1777</v>
      </c>
    </row>
    <row r="255" spans="1:35" x14ac:dyDescent="0.25">
      <c r="A255" s="36">
        <v>99910253</v>
      </c>
      <c r="B255" s="17" t="s">
        <v>32</v>
      </c>
      <c r="C255" t="s">
        <v>90</v>
      </c>
      <c r="D255" t="s">
        <v>91</v>
      </c>
      <c r="G255" s="17" t="s">
        <v>35</v>
      </c>
      <c r="H255" s="17">
        <v>1</v>
      </c>
      <c r="K255" t="s">
        <v>1029</v>
      </c>
      <c r="L255" t="s">
        <v>1030</v>
      </c>
      <c r="M255" t="s">
        <v>938</v>
      </c>
      <c r="N255">
        <v>25</v>
      </c>
      <c r="O255" t="s">
        <v>40</v>
      </c>
      <c r="P255" t="s">
        <v>40</v>
      </c>
      <c r="Q255" t="s">
        <v>40</v>
      </c>
      <c r="R255" t="s">
        <v>40</v>
      </c>
      <c r="S255" t="s">
        <v>40</v>
      </c>
      <c r="V255" t="s">
        <v>41</v>
      </c>
      <c r="W255" t="s">
        <v>95</v>
      </c>
      <c r="X255" t="str">
        <f>"7151005"</f>
        <v>7151005</v>
      </c>
      <c r="Y255" t="s">
        <v>1032</v>
      </c>
      <c r="Z255" t="s">
        <v>1029</v>
      </c>
      <c r="AA255" t="s">
        <v>1030</v>
      </c>
      <c r="AB255" t="s">
        <v>938</v>
      </c>
      <c r="AC255" t="s">
        <v>44</v>
      </c>
      <c r="AD255" t="s">
        <v>45</v>
      </c>
      <c r="AE255" s="1">
        <v>33413</v>
      </c>
      <c r="AF255">
        <v>1</v>
      </c>
      <c r="AG255" t="s">
        <v>1030</v>
      </c>
      <c r="AH255" s="36">
        <f t="shared" si="3"/>
        <v>27.9</v>
      </c>
      <c r="AI255" s="40" t="s">
        <v>1777</v>
      </c>
    </row>
    <row r="256" spans="1:35" x14ac:dyDescent="0.25">
      <c r="A256" s="36">
        <v>99910254</v>
      </c>
      <c r="B256" s="17" t="s">
        <v>32</v>
      </c>
      <c r="C256" t="s">
        <v>139</v>
      </c>
      <c r="D256" t="s">
        <v>140</v>
      </c>
      <c r="G256" s="17" t="s">
        <v>48</v>
      </c>
      <c r="H256" s="17">
        <v>1</v>
      </c>
      <c r="K256" t="s">
        <v>1619</v>
      </c>
      <c r="L256" t="s">
        <v>1620</v>
      </c>
      <c r="M256" t="s">
        <v>1592</v>
      </c>
      <c r="N256">
        <v>4</v>
      </c>
      <c r="O256" t="s">
        <v>40</v>
      </c>
      <c r="P256" t="s">
        <v>40</v>
      </c>
      <c r="Q256" t="s">
        <v>40</v>
      </c>
      <c r="S256" t="s">
        <v>40</v>
      </c>
      <c r="V256" t="s">
        <v>41</v>
      </c>
      <c r="W256" t="s">
        <v>75</v>
      </c>
      <c r="X256" t="str">
        <f>"7281006"</f>
        <v>7281006</v>
      </c>
      <c r="Y256" t="s">
        <v>1618</v>
      </c>
      <c r="Z256" t="s">
        <v>1619</v>
      </c>
      <c r="AA256" t="s">
        <v>1620</v>
      </c>
      <c r="AB256" t="s">
        <v>1592</v>
      </c>
      <c r="AC256" t="s">
        <v>51</v>
      </c>
      <c r="AD256" t="s">
        <v>45</v>
      </c>
      <c r="AE256" s="1">
        <v>33401</v>
      </c>
      <c r="AF256">
        <v>1</v>
      </c>
      <c r="AG256" t="s">
        <v>1620</v>
      </c>
      <c r="AH256" s="36">
        <f t="shared" si="3"/>
        <v>27.933333333333334</v>
      </c>
      <c r="AI256" s="40" t="s">
        <v>1777</v>
      </c>
    </row>
    <row r="257" spans="1:35" x14ac:dyDescent="0.25">
      <c r="A257" s="36">
        <v>99910255</v>
      </c>
      <c r="B257" s="17" t="s">
        <v>32</v>
      </c>
      <c r="C257" t="s">
        <v>111</v>
      </c>
      <c r="D257" t="s">
        <v>112</v>
      </c>
      <c r="G257" s="17" t="s">
        <v>35</v>
      </c>
      <c r="H257" s="17">
        <v>1</v>
      </c>
      <c r="I257" t="s">
        <v>1634</v>
      </c>
      <c r="J257" s="1">
        <v>43344</v>
      </c>
      <c r="K257" t="s">
        <v>1631</v>
      </c>
      <c r="L257" t="s">
        <v>1632</v>
      </c>
      <c r="M257" t="s">
        <v>1592</v>
      </c>
      <c r="N257">
        <v>24</v>
      </c>
      <c r="O257" t="s">
        <v>40</v>
      </c>
      <c r="P257" t="s">
        <v>40</v>
      </c>
      <c r="Q257" t="s">
        <v>40</v>
      </c>
      <c r="S257" t="s">
        <v>40</v>
      </c>
      <c r="U257" s="1">
        <v>43344</v>
      </c>
      <c r="V257" t="s">
        <v>1635</v>
      </c>
      <c r="W257" t="s">
        <v>1636</v>
      </c>
      <c r="X257" t="str">
        <f>"9020029"</f>
        <v>9020029</v>
      </c>
      <c r="Y257" t="s">
        <v>1637</v>
      </c>
      <c r="Z257" t="s">
        <v>1631</v>
      </c>
      <c r="AA257" t="s">
        <v>1632</v>
      </c>
      <c r="AB257" t="s">
        <v>1592</v>
      </c>
      <c r="AC257" t="s">
        <v>44</v>
      </c>
      <c r="AD257" t="s">
        <v>45</v>
      </c>
      <c r="AE257" s="1">
        <v>33400</v>
      </c>
      <c r="AF257">
        <v>1</v>
      </c>
      <c r="AG257" t="s">
        <v>1632</v>
      </c>
      <c r="AH257" s="36">
        <f t="shared" si="3"/>
        <v>27.93611111111111</v>
      </c>
      <c r="AI257" s="40" t="s">
        <v>1777</v>
      </c>
    </row>
    <row r="258" spans="1:35" x14ac:dyDescent="0.25">
      <c r="A258" s="36">
        <v>99910256</v>
      </c>
      <c r="B258" s="17" t="s">
        <v>56</v>
      </c>
      <c r="C258" t="s">
        <v>64</v>
      </c>
      <c r="D258" t="s">
        <v>65</v>
      </c>
      <c r="G258" s="17" t="s">
        <v>35</v>
      </c>
      <c r="H258" s="17">
        <v>1</v>
      </c>
      <c r="I258" t="s">
        <v>1469</v>
      </c>
      <c r="J258" s="1">
        <v>43362</v>
      </c>
      <c r="K258" t="s">
        <v>1334</v>
      </c>
      <c r="L258" t="s">
        <v>1335</v>
      </c>
      <c r="M258" t="s">
        <v>1270</v>
      </c>
      <c r="N258">
        <v>23</v>
      </c>
      <c r="O258" t="s">
        <v>40</v>
      </c>
      <c r="P258" t="s">
        <v>40</v>
      </c>
      <c r="Q258" t="s">
        <v>40</v>
      </c>
      <c r="R258" t="s">
        <v>40</v>
      </c>
      <c r="S258" t="s">
        <v>40</v>
      </c>
      <c r="U258" s="1">
        <v>43362</v>
      </c>
      <c r="V258" t="s">
        <v>41</v>
      </c>
      <c r="W258" t="s">
        <v>75</v>
      </c>
      <c r="X258" t="str">
        <f>"7391000"</f>
        <v>7391000</v>
      </c>
      <c r="Y258" t="s">
        <v>1333</v>
      </c>
      <c r="Z258" t="s">
        <v>1334</v>
      </c>
      <c r="AA258" t="s">
        <v>1335</v>
      </c>
      <c r="AB258" t="s">
        <v>1270</v>
      </c>
      <c r="AC258" t="s">
        <v>55</v>
      </c>
      <c r="AD258" t="s">
        <v>45</v>
      </c>
      <c r="AE258" s="1">
        <v>33394</v>
      </c>
      <c r="AF258">
        <v>1</v>
      </c>
      <c r="AG258" t="s">
        <v>1335</v>
      </c>
      <c r="AH258" s="36">
        <f t="shared" ref="AH258:AH321" si="4">($AJ$1-AE258)/360</f>
        <v>27.952777777777779</v>
      </c>
      <c r="AI258" s="40" t="s">
        <v>1777</v>
      </c>
    </row>
    <row r="259" spans="1:35" x14ac:dyDescent="0.25">
      <c r="A259" s="36">
        <v>99910257</v>
      </c>
      <c r="B259" s="17" t="s">
        <v>32</v>
      </c>
      <c r="C259" t="s">
        <v>90</v>
      </c>
      <c r="D259" t="s">
        <v>91</v>
      </c>
      <c r="G259" s="17" t="s">
        <v>35</v>
      </c>
      <c r="H259" s="17">
        <v>1</v>
      </c>
      <c r="I259" t="s">
        <v>523</v>
      </c>
      <c r="J259" s="1">
        <v>43354</v>
      </c>
      <c r="K259" t="s">
        <v>195</v>
      </c>
      <c r="L259" t="s">
        <v>196</v>
      </c>
      <c r="M259" t="s">
        <v>131</v>
      </c>
      <c r="N259">
        <v>25</v>
      </c>
      <c r="O259" t="s">
        <v>40</v>
      </c>
      <c r="P259" t="s">
        <v>40</v>
      </c>
      <c r="Q259" t="s">
        <v>40</v>
      </c>
      <c r="R259" t="s">
        <v>40</v>
      </c>
      <c r="S259" t="s">
        <v>40</v>
      </c>
      <c r="U259" s="1">
        <v>43354</v>
      </c>
      <c r="V259" t="s">
        <v>41</v>
      </c>
      <c r="W259" t="s">
        <v>95</v>
      </c>
      <c r="X259" t="str">
        <f>"7521143"</f>
        <v>7521143</v>
      </c>
      <c r="Y259" t="s">
        <v>524</v>
      </c>
      <c r="Z259" t="s">
        <v>195</v>
      </c>
      <c r="AA259" t="s">
        <v>196</v>
      </c>
      <c r="AB259" t="s">
        <v>131</v>
      </c>
      <c r="AC259" t="s">
        <v>51</v>
      </c>
      <c r="AD259" t="s">
        <v>45</v>
      </c>
      <c r="AE259" s="1">
        <v>33392</v>
      </c>
      <c r="AF259">
        <v>1</v>
      </c>
      <c r="AG259" t="s">
        <v>196</v>
      </c>
      <c r="AH259" s="36">
        <f t="shared" si="4"/>
        <v>27.958333333333332</v>
      </c>
      <c r="AI259" s="40" t="s">
        <v>1777</v>
      </c>
    </row>
    <row r="260" spans="1:35" x14ac:dyDescent="0.25">
      <c r="A260" s="36">
        <v>99910258</v>
      </c>
      <c r="B260" s="17" t="s">
        <v>56</v>
      </c>
      <c r="C260" t="s">
        <v>111</v>
      </c>
      <c r="D260" t="s">
        <v>112</v>
      </c>
      <c r="G260" s="17" t="s">
        <v>48</v>
      </c>
      <c r="H260" s="17">
        <v>1</v>
      </c>
      <c r="K260" t="s">
        <v>1502</v>
      </c>
      <c r="L260" t="s">
        <v>1503</v>
      </c>
      <c r="M260" t="s">
        <v>670</v>
      </c>
      <c r="N260">
        <v>24</v>
      </c>
      <c r="O260" t="s">
        <v>40</v>
      </c>
      <c r="P260" t="s">
        <v>40</v>
      </c>
      <c r="Q260" t="s">
        <v>40</v>
      </c>
      <c r="S260" t="s">
        <v>40</v>
      </c>
      <c r="V260" t="s">
        <v>41</v>
      </c>
      <c r="W260" t="s">
        <v>75</v>
      </c>
      <c r="X260" t="str">
        <f>"7171002"</f>
        <v>7171002</v>
      </c>
      <c r="Y260" t="s">
        <v>1505</v>
      </c>
      <c r="Z260" t="s">
        <v>1502</v>
      </c>
      <c r="AA260" t="s">
        <v>1503</v>
      </c>
      <c r="AB260" t="s">
        <v>670</v>
      </c>
      <c r="AC260" t="s">
        <v>51</v>
      </c>
      <c r="AD260" t="s">
        <v>45</v>
      </c>
      <c r="AE260" s="1">
        <v>33392</v>
      </c>
      <c r="AF260">
        <v>1</v>
      </c>
      <c r="AG260" t="s">
        <v>1503</v>
      </c>
      <c r="AH260" s="36">
        <f t="shared" si="4"/>
        <v>27.958333333333332</v>
      </c>
      <c r="AI260" s="40" t="s">
        <v>1777</v>
      </c>
    </row>
    <row r="261" spans="1:35" x14ac:dyDescent="0.25">
      <c r="A261" s="36">
        <v>99910259</v>
      </c>
      <c r="B261" s="17" t="s">
        <v>32</v>
      </c>
      <c r="C261" t="s">
        <v>61</v>
      </c>
      <c r="D261" t="s">
        <v>62</v>
      </c>
      <c r="G261" s="17" t="s">
        <v>35</v>
      </c>
      <c r="H261" s="17">
        <v>1</v>
      </c>
      <c r="K261" t="s">
        <v>354</v>
      </c>
      <c r="L261" t="s">
        <v>355</v>
      </c>
      <c r="M261" t="s">
        <v>131</v>
      </c>
      <c r="N261">
        <v>21</v>
      </c>
      <c r="O261" t="s">
        <v>40</v>
      </c>
      <c r="P261" t="s">
        <v>40</v>
      </c>
      <c r="Q261" t="s">
        <v>40</v>
      </c>
      <c r="R261" t="s">
        <v>40</v>
      </c>
      <c r="S261" t="s">
        <v>40</v>
      </c>
      <c r="V261" t="s">
        <v>41</v>
      </c>
      <c r="W261" t="s">
        <v>75</v>
      </c>
      <c r="X261" t="str">
        <f>"7054038"</f>
        <v>7054038</v>
      </c>
      <c r="Y261" t="s">
        <v>377</v>
      </c>
      <c r="Z261" t="s">
        <v>354</v>
      </c>
      <c r="AA261" t="s">
        <v>355</v>
      </c>
      <c r="AB261" t="s">
        <v>131</v>
      </c>
      <c r="AC261" t="s">
        <v>51</v>
      </c>
      <c r="AD261" t="s">
        <v>45</v>
      </c>
      <c r="AE261" s="1">
        <v>33389</v>
      </c>
      <c r="AF261">
        <v>1</v>
      </c>
      <c r="AG261" t="s">
        <v>355</v>
      </c>
      <c r="AH261" s="36">
        <f t="shared" si="4"/>
        <v>27.966666666666665</v>
      </c>
      <c r="AI261" s="40" t="s">
        <v>1777</v>
      </c>
    </row>
    <row r="262" spans="1:35" x14ac:dyDescent="0.25">
      <c r="A262" s="36">
        <v>99910260</v>
      </c>
      <c r="B262" s="17" t="s">
        <v>32</v>
      </c>
      <c r="C262" t="s">
        <v>90</v>
      </c>
      <c r="D262" t="s">
        <v>91</v>
      </c>
      <c r="G262" s="17" t="s">
        <v>35</v>
      </c>
      <c r="H262" s="17">
        <v>1</v>
      </c>
      <c r="I262" t="s">
        <v>548</v>
      </c>
      <c r="J262" s="1">
        <v>42259</v>
      </c>
      <c r="K262" t="s">
        <v>195</v>
      </c>
      <c r="L262" t="s">
        <v>196</v>
      </c>
      <c r="M262" t="s">
        <v>131</v>
      </c>
      <c r="N262">
        <v>25</v>
      </c>
      <c r="O262" t="s">
        <v>40</v>
      </c>
      <c r="P262" t="s">
        <v>40</v>
      </c>
      <c r="Q262" t="s">
        <v>40</v>
      </c>
      <c r="R262" t="s">
        <v>40</v>
      </c>
      <c r="S262" t="s">
        <v>40</v>
      </c>
      <c r="U262" s="1">
        <v>42259</v>
      </c>
      <c r="V262" t="s">
        <v>41</v>
      </c>
      <c r="W262" t="s">
        <v>95</v>
      </c>
      <c r="X262" t="str">
        <f>"7521143"</f>
        <v>7521143</v>
      </c>
      <c r="Y262" t="s">
        <v>524</v>
      </c>
      <c r="Z262" t="s">
        <v>195</v>
      </c>
      <c r="AA262" t="s">
        <v>196</v>
      </c>
      <c r="AB262" t="s">
        <v>131</v>
      </c>
      <c r="AC262" t="s">
        <v>51</v>
      </c>
      <c r="AD262" t="s">
        <v>45</v>
      </c>
      <c r="AE262" s="1">
        <v>33381</v>
      </c>
      <c r="AF262">
        <v>1</v>
      </c>
      <c r="AG262" t="s">
        <v>196</v>
      </c>
      <c r="AH262" s="36">
        <f t="shared" si="4"/>
        <v>27.988888888888887</v>
      </c>
      <c r="AI262" s="40" t="s">
        <v>1777</v>
      </c>
    </row>
    <row r="263" spans="1:35" x14ac:dyDescent="0.25">
      <c r="A263" s="36">
        <v>99910261</v>
      </c>
      <c r="B263" s="17" t="s">
        <v>32</v>
      </c>
      <c r="C263" t="s">
        <v>111</v>
      </c>
      <c r="D263" t="s">
        <v>112</v>
      </c>
      <c r="G263" s="17" t="s">
        <v>35</v>
      </c>
      <c r="H263" s="17">
        <v>3</v>
      </c>
      <c r="K263" t="s">
        <v>1619</v>
      </c>
      <c r="L263" t="s">
        <v>1620</v>
      </c>
      <c r="M263" t="s">
        <v>1592</v>
      </c>
      <c r="N263">
        <v>24</v>
      </c>
      <c r="O263" t="s">
        <v>40</v>
      </c>
      <c r="P263" t="s">
        <v>40</v>
      </c>
      <c r="Q263" t="s">
        <v>40</v>
      </c>
      <c r="R263" t="s">
        <v>40</v>
      </c>
      <c r="S263" t="s">
        <v>40</v>
      </c>
      <c r="V263" t="s">
        <v>41</v>
      </c>
      <c r="W263" t="s">
        <v>75</v>
      </c>
      <c r="X263" t="str">
        <f>"7281000"</f>
        <v>7281000</v>
      </c>
      <c r="Y263" t="s">
        <v>1648</v>
      </c>
      <c r="Z263" t="s">
        <v>1619</v>
      </c>
      <c r="AA263" t="s">
        <v>1620</v>
      </c>
      <c r="AB263" t="s">
        <v>1592</v>
      </c>
      <c r="AC263" t="s">
        <v>51</v>
      </c>
      <c r="AD263" t="s">
        <v>45</v>
      </c>
      <c r="AE263" s="1">
        <v>33378</v>
      </c>
      <c r="AF263">
        <v>1</v>
      </c>
      <c r="AG263" t="s">
        <v>1620</v>
      </c>
      <c r="AH263" s="36">
        <f t="shared" si="4"/>
        <v>27.997222222222224</v>
      </c>
      <c r="AI263" s="40" t="s">
        <v>1777</v>
      </c>
    </row>
    <row r="264" spans="1:35" x14ac:dyDescent="0.25">
      <c r="A264" s="36">
        <v>99910262</v>
      </c>
      <c r="B264" s="17" t="s">
        <v>32</v>
      </c>
      <c r="C264" t="s">
        <v>90</v>
      </c>
      <c r="D264" t="s">
        <v>91</v>
      </c>
      <c r="G264" s="17" t="s">
        <v>35</v>
      </c>
      <c r="H264" s="17">
        <v>1</v>
      </c>
      <c r="I264" t="s">
        <v>286</v>
      </c>
      <c r="J264" s="1">
        <v>43347</v>
      </c>
      <c r="K264" t="s">
        <v>268</v>
      </c>
      <c r="L264" t="s">
        <v>269</v>
      </c>
      <c r="M264" t="s">
        <v>131</v>
      </c>
      <c r="N264">
        <v>30</v>
      </c>
      <c r="O264" t="s">
        <v>40</v>
      </c>
      <c r="S264" t="s">
        <v>40</v>
      </c>
      <c r="V264" t="s">
        <v>41</v>
      </c>
      <c r="W264" t="s">
        <v>95</v>
      </c>
      <c r="X264" t="str">
        <f>"7052153"</f>
        <v>7052153</v>
      </c>
      <c r="Y264" t="s">
        <v>657</v>
      </c>
      <c r="Z264" t="s">
        <v>268</v>
      </c>
      <c r="AA264" t="s">
        <v>269</v>
      </c>
      <c r="AB264" t="s">
        <v>131</v>
      </c>
      <c r="AC264" t="s">
        <v>44</v>
      </c>
      <c r="AD264" t="s">
        <v>45</v>
      </c>
      <c r="AE264" s="1">
        <v>33377</v>
      </c>
      <c r="AF264">
        <v>1</v>
      </c>
      <c r="AG264" t="s">
        <v>269</v>
      </c>
      <c r="AH264" s="36">
        <f t="shared" si="4"/>
        <v>28</v>
      </c>
      <c r="AI264" s="40" t="s">
        <v>1777</v>
      </c>
    </row>
    <row r="265" spans="1:35" x14ac:dyDescent="0.25">
      <c r="A265" s="36">
        <v>99910263</v>
      </c>
      <c r="B265" s="17" t="s">
        <v>32</v>
      </c>
      <c r="C265" t="s">
        <v>90</v>
      </c>
      <c r="D265" t="s">
        <v>91</v>
      </c>
      <c r="G265" s="17" t="s">
        <v>35</v>
      </c>
      <c r="H265" s="17">
        <v>1</v>
      </c>
      <c r="K265" t="s">
        <v>1725</v>
      </c>
      <c r="L265" t="s">
        <v>1726</v>
      </c>
      <c r="M265" t="s">
        <v>1705</v>
      </c>
      <c r="N265">
        <v>25</v>
      </c>
      <c r="O265" t="s">
        <v>40</v>
      </c>
      <c r="P265" t="s">
        <v>40</v>
      </c>
      <c r="Q265" t="s">
        <v>40</v>
      </c>
      <c r="S265" t="s">
        <v>40</v>
      </c>
      <c r="V265" t="s">
        <v>41</v>
      </c>
      <c r="W265" t="s">
        <v>95</v>
      </c>
      <c r="X265" t="str">
        <f>"7461019"</f>
        <v>7461019</v>
      </c>
      <c r="Y265" t="s">
        <v>1737</v>
      </c>
      <c r="Z265" t="s">
        <v>1725</v>
      </c>
      <c r="AA265" t="s">
        <v>1726</v>
      </c>
      <c r="AB265" t="s">
        <v>1705</v>
      </c>
      <c r="AC265" t="s">
        <v>51</v>
      </c>
      <c r="AD265" t="s">
        <v>45</v>
      </c>
      <c r="AE265" s="1">
        <v>33373</v>
      </c>
      <c r="AF265">
        <v>1</v>
      </c>
      <c r="AG265" t="s">
        <v>1726</v>
      </c>
      <c r="AH265" s="36">
        <f t="shared" si="4"/>
        <v>28.011111111111113</v>
      </c>
      <c r="AI265" s="40" t="s">
        <v>1777</v>
      </c>
    </row>
    <row r="266" spans="1:35" x14ac:dyDescent="0.25">
      <c r="A266" s="36">
        <v>99910264</v>
      </c>
      <c r="B266" s="17" t="s">
        <v>32</v>
      </c>
      <c r="C266" t="s">
        <v>90</v>
      </c>
      <c r="D266" t="s">
        <v>91</v>
      </c>
      <c r="G266" s="17" t="s">
        <v>35</v>
      </c>
      <c r="H266" s="17">
        <v>1</v>
      </c>
      <c r="I266">
        <v>13228</v>
      </c>
      <c r="J266" s="1">
        <v>43344</v>
      </c>
      <c r="K266" t="s">
        <v>354</v>
      </c>
      <c r="L266" t="s">
        <v>355</v>
      </c>
      <c r="M266" t="s">
        <v>131</v>
      </c>
      <c r="N266">
        <v>25</v>
      </c>
      <c r="O266" t="s">
        <v>40</v>
      </c>
      <c r="S266" t="s">
        <v>40</v>
      </c>
      <c r="U266" s="1">
        <v>43344</v>
      </c>
      <c r="V266" t="s">
        <v>41</v>
      </c>
      <c r="W266" t="s">
        <v>95</v>
      </c>
      <c r="X266" t="str">
        <f>"7054165"</f>
        <v>7054165</v>
      </c>
      <c r="Y266" t="s">
        <v>812</v>
      </c>
      <c r="Z266" t="s">
        <v>354</v>
      </c>
      <c r="AA266" t="s">
        <v>355</v>
      </c>
      <c r="AB266" t="s">
        <v>131</v>
      </c>
      <c r="AC266" t="s">
        <v>51</v>
      </c>
      <c r="AD266" t="s">
        <v>45</v>
      </c>
      <c r="AE266" s="1">
        <v>33372</v>
      </c>
      <c r="AF266">
        <v>1</v>
      </c>
      <c r="AG266" t="s">
        <v>355</v>
      </c>
      <c r="AH266" s="36">
        <f t="shared" si="4"/>
        <v>28.013888888888889</v>
      </c>
      <c r="AI266" s="40" t="s">
        <v>1777</v>
      </c>
    </row>
    <row r="267" spans="1:35" x14ac:dyDescent="0.25">
      <c r="A267" s="36">
        <v>99910265</v>
      </c>
      <c r="B267" s="17" t="s">
        <v>32</v>
      </c>
      <c r="C267" t="s">
        <v>111</v>
      </c>
      <c r="D267" t="s">
        <v>112</v>
      </c>
      <c r="G267" s="17" t="s">
        <v>35</v>
      </c>
      <c r="H267" s="17">
        <v>1</v>
      </c>
      <c r="I267">
        <v>10612</v>
      </c>
      <c r="J267" s="1">
        <v>43344</v>
      </c>
      <c r="K267" t="s">
        <v>354</v>
      </c>
      <c r="L267" t="s">
        <v>355</v>
      </c>
      <c r="M267" t="s">
        <v>131</v>
      </c>
      <c r="N267">
        <v>24</v>
      </c>
      <c r="O267" t="s">
        <v>40</v>
      </c>
      <c r="S267" t="s">
        <v>40</v>
      </c>
      <c r="U267" s="1">
        <v>43344</v>
      </c>
      <c r="V267" t="s">
        <v>41</v>
      </c>
      <c r="W267" t="s">
        <v>75</v>
      </c>
      <c r="X267" t="str">
        <f>"7054042"</f>
        <v>7054042</v>
      </c>
      <c r="Y267" t="s">
        <v>776</v>
      </c>
      <c r="Z267" t="s">
        <v>354</v>
      </c>
      <c r="AA267" t="s">
        <v>355</v>
      </c>
      <c r="AB267" t="s">
        <v>131</v>
      </c>
      <c r="AC267" t="s">
        <v>51</v>
      </c>
      <c r="AD267" t="s">
        <v>45</v>
      </c>
      <c r="AE267" s="1">
        <v>33368</v>
      </c>
      <c r="AF267">
        <v>1</v>
      </c>
      <c r="AG267" t="s">
        <v>355</v>
      </c>
      <c r="AH267" s="36">
        <f t="shared" si="4"/>
        <v>28.024999999999999</v>
      </c>
      <c r="AI267" s="40" t="s">
        <v>1777</v>
      </c>
    </row>
    <row r="268" spans="1:35" x14ac:dyDescent="0.25">
      <c r="A268" s="36">
        <v>99910266</v>
      </c>
      <c r="B268" s="17" t="s">
        <v>32</v>
      </c>
      <c r="C268" t="s">
        <v>46</v>
      </c>
      <c r="D268" t="s">
        <v>47</v>
      </c>
      <c r="G268" s="17" t="s">
        <v>35</v>
      </c>
      <c r="H268" s="17">
        <v>1</v>
      </c>
      <c r="I268">
        <v>0</v>
      </c>
      <c r="J268" s="1">
        <v>43344</v>
      </c>
      <c r="K268" t="s">
        <v>223</v>
      </c>
      <c r="L268" t="s">
        <v>224</v>
      </c>
      <c r="M268" t="s">
        <v>131</v>
      </c>
      <c r="N268">
        <v>16</v>
      </c>
      <c r="O268" t="s">
        <v>40</v>
      </c>
      <c r="P268" t="s">
        <v>40</v>
      </c>
      <c r="Q268" t="s">
        <v>40</v>
      </c>
      <c r="S268" t="s">
        <v>40</v>
      </c>
      <c r="U268" s="1">
        <v>43344</v>
      </c>
      <c r="V268" t="s">
        <v>41</v>
      </c>
      <c r="W268" t="s">
        <v>42</v>
      </c>
      <c r="X268" t="str">
        <f>"0590903"</f>
        <v>0590903</v>
      </c>
      <c r="Y268" t="s">
        <v>226</v>
      </c>
      <c r="Z268" t="s">
        <v>223</v>
      </c>
      <c r="AA268" t="s">
        <v>224</v>
      </c>
      <c r="AB268" t="s">
        <v>131</v>
      </c>
      <c r="AC268" t="s">
        <v>44</v>
      </c>
      <c r="AD268" t="s">
        <v>45</v>
      </c>
      <c r="AE268" s="1">
        <v>33364</v>
      </c>
      <c r="AF268">
        <v>2</v>
      </c>
      <c r="AG268" t="s">
        <v>224</v>
      </c>
      <c r="AH268" s="36">
        <f t="shared" si="4"/>
        <v>28.036111111111111</v>
      </c>
      <c r="AI268" s="40" t="s">
        <v>1777</v>
      </c>
    </row>
    <row r="269" spans="1:35" x14ac:dyDescent="0.25">
      <c r="A269" s="36">
        <v>99910267</v>
      </c>
      <c r="B269" s="17" t="s">
        <v>32</v>
      </c>
      <c r="C269" t="s">
        <v>111</v>
      </c>
      <c r="D269" t="s">
        <v>112</v>
      </c>
      <c r="G269" s="17" t="s">
        <v>35</v>
      </c>
      <c r="H269" s="17">
        <v>1</v>
      </c>
      <c r="K269" t="s">
        <v>431</v>
      </c>
      <c r="L269" t="s">
        <v>196</v>
      </c>
      <c r="M269" t="s">
        <v>131</v>
      </c>
      <c r="N269">
        <v>24</v>
      </c>
      <c r="O269" t="s">
        <v>40</v>
      </c>
      <c r="P269" t="s">
        <v>40</v>
      </c>
      <c r="Q269" t="s">
        <v>40</v>
      </c>
      <c r="S269" t="s">
        <v>40</v>
      </c>
      <c r="V269" t="s">
        <v>41</v>
      </c>
      <c r="W269" t="s">
        <v>75</v>
      </c>
      <c r="X269" t="str">
        <f>"7521032"</f>
        <v>7521032</v>
      </c>
      <c r="Y269" t="s">
        <v>462</v>
      </c>
      <c r="Z269" t="s">
        <v>431</v>
      </c>
      <c r="AA269" t="s">
        <v>196</v>
      </c>
      <c r="AB269" t="s">
        <v>131</v>
      </c>
      <c r="AC269" t="s">
        <v>51</v>
      </c>
      <c r="AD269" t="s">
        <v>45</v>
      </c>
      <c r="AE269" s="1">
        <v>33361</v>
      </c>
      <c r="AF269">
        <v>1</v>
      </c>
      <c r="AG269" t="s">
        <v>196</v>
      </c>
      <c r="AH269" s="36">
        <f t="shared" si="4"/>
        <v>28.044444444444444</v>
      </c>
      <c r="AI269" s="40" t="s">
        <v>1777</v>
      </c>
    </row>
    <row r="270" spans="1:35" x14ac:dyDescent="0.25">
      <c r="A270" s="36">
        <v>99910268</v>
      </c>
      <c r="B270" s="17" t="s">
        <v>32</v>
      </c>
      <c r="C270" t="s">
        <v>90</v>
      </c>
      <c r="D270" t="s">
        <v>91</v>
      </c>
      <c r="G270" s="17" t="s">
        <v>35</v>
      </c>
      <c r="H270" s="17">
        <v>1</v>
      </c>
      <c r="K270" t="s">
        <v>865</v>
      </c>
      <c r="L270" t="s">
        <v>866</v>
      </c>
      <c r="M270" t="s">
        <v>131</v>
      </c>
      <c r="N270">
        <v>25</v>
      </c>
      <c r="O270" t="s">
        <v>40</v>
      </c>
      <c r="P270" t="s">
        <v>40</v>
      </c>
      <c r="Q270" t="s">
        <v>40</v>
      </c>
      <c r="S270" t="s">
        <v>40</v>
      </c>
      <c r="V270" t="s">
        <v>41</v>
      </c>
      <c r="W270" t="s">
        <v>95</v>
      </c>
      <c r="X270" t="str">
        <f>"7531013"</f>
        <v>7531013</v>
      </c>
      <c r="Y270" t="s">
        <v>869</v>
      </c>
      <c r="Z270" t="s">
        <v>865</v>
      </c>
      <c r="AA270" t="s">
        <v>866</v>
      </c>
      <c r="AB270" t="s">
        <v>131</v>
      </c>
      <c r="AC270" t="s">
        <v>51</v>
      </c>
      <c r="AD270" t="s">
        <v>45</v>
      </c>
      <c r="AE270" s="1">
        <v>33348</v>
      </c>
      <c r="AF270">
        <v>1</v>
      </c>
      <c r="AG270" t="s">
        <v>866</v>
      </c>
      <c r="AH270" s="36">
        <f t="shared" si="4"/>
        <v>28.080555555555556</v>
      </c>
      <c r="AI270" s="40" t="s">
        <v>1777</v>
      </c>
    </row>
    <row r="271" spans="1:35" x14ac:dyDescent="0.25">
      <c r="A271" s="36">
        <v>99910269</v>
      </c>
      <c r="B271" s="17" t="s">
        <v>56</v>
      </c>
      <c r="C271" t="s">
        <v>111</v>
      </c>
      <c r="D271" t="s">
        <v>112</v>
      </c>
      <c r="G271" s="17" t="s">
        <v>35</v>
      </c>
      <c r="H271" s="17">
        <v>1</v>
      </c>
      <c r="I271">
        <v>1</v>
      </c>
      <c r="J271" s="1">
        <v>43344</v>
      </c>
      <c r="K271" t="s">
        <v>1198</v>
      </c>
      <c r="L271" t="s">
        <v>1199</v>
      </c>
      <c r="M271" t="s">
        <v>1130</v>
      </c>
      <c r="N271">
        <v>24</v>
      </c>
      <c r="O271" t="s">
        <v>40</v>
      </c>
      <c r="P271" t="s">
        <v>40</v>
      </c>
      <c r="Q271" t="s">
        <v>40</v>
      </c>
      <c r="R271" t="s">
        <v>40</v>
      </c>
      <c r="S271" t="s">
        <v>40</v>
      </c>
      <c r="U271" s="1">
        <v>43344</v>
      </c>
      <c r="V271" t="s">
        <v>41</v>
      </c>
      <c r="W271" t="s">
        <v>75</v>
      </c>
      <c r="X271" t="str">
        <f>"7311010"</f>
        <v>7311010</v>
      </c>
      <c r="Y271" t="s">
        <v>1202</v>
      </c>
      <c r="Z271" t="s">
        <v>1198</v>
      </c>
      <c r="AA271" t="s">
        <v>1199</v>
      </c>
      <c r="AB271" t="s">
        <v>1130</v>
      </c>
      <c r="AC271" t="s">
        <v>44</v>
      </c>
      <c r="AD271" t="s">
        <v>45</v>
      </c>
      <c r="AE271" s="1">
        <v>33348</v>
      </c>
      <c r="AF271">
        <v>1</v>
      </c>
      <c r="AG271" t="s">
        <v>1199</v>
      </c>
      <c r="AH271" s="36">
        <f t="shared" si="4"/>
        <v>28.080555555555556</v>
      </c>
      <c r="AI271" s="40" t="s">
        <v>1777</v>
      </c>
    </row>
    <row r="272" spans="1:35" x14ac:dyDescent="0.25">
      <c r="A272" s="36">
        <v>99910270</v>
      </c>
      <c r="B272" s="17" t="s">
        <v>32</v>
      </c>
      <c r="C272" t="s">
        <v>111</v>
      </c>
      <c r="D272" t="s">
        <v>112</v>
      </c>
      <c r="G272" s="17" t="s">
        <v>35</v>
      </c>
      <c r="H272" s="17">
        <v>1</v>
      </c>
      <c r="I272" s="1">
        <v>43353</v>
      </c>
      <c r="J272" s="1">
        <v>43353</v>
      </c>
      <c r="K272" t="s">
        <v>1341</v>
      </c>
      <c r="L272" t="s">
        <v>1342</v>
      </c>
      <c r="M272" t="s">
        <v>1270</v>
      </c>
      <c r="N272">
        <v>24</v>
      </c>
      <c r="O272" t="s">
        <v>40</v>
      </c>
      <c r="S272" t="s">
        <v>40</v>
      </c>
      <c r="U272" s="1">
        <v>43353</v>
      </c>
      <c r="V272" t="s">
        <v>41</v>
      </c>
      <c r="W272" t="s">
        <v>75</v>
      </c>
      <c r="X272" t="str">
        <f>"7191002"</f>
        <v>7191002</v>
      </c>
      <c r="Y272" t="s">
        <v>1365</v>
      </c>
      <c r="Z272" t="s">
        <v>1341</v>
      </c>
      <c r="AA272" t="s">
        <v>1342</v>
      </c>
      <c r="AB272" t="s">
        <v>1270</v>
      </c>
      <c r="AC272" t="s">
        <v>55</v>
      </c>
      <c r="AD272" t="s">
        <v>45</v>
      </c>
      <c r="AE272" s="1">
        <v>33344</v>
      </c>
      <c r="AF272">
        <v>1</v>
      </c>
      <c r="AG272" t="s">
        <v>1342</v>
      </c>
      <c r="AH272" s="36">
        <f t="shared" si="4"/>
        <v>28.091666666666665</v>
      </c>
      <c r="AI272" s="40" t="s">
        <v>1777</v>
      </c>
    </row>
    <row r="273" spans="1:35" x14ac:dyDescent="0.25">
      <c r="A273" s="36">
        <v>99910271</v>
      </c>
      <c r="B273" s="17" t="s">
        <v>32</v>
      </c>
      <c r="C273" t="s">
        <v>111</v>
      </c>
      <c r="D273" t="s">
        <v>112</v>
      </c>
      <c r="G273" s="17" t="s">
        <v>35</v>
      </c>
      <c r="H273" s="17">
        <v>1</v>
      </c>
      <c r="I273" t="s">
        <v>635</v>
      </c>
      <c r="J273" s="1">
        <v>43344</v>
      </c>
      <c r="K273" t="s">
        <v>268</v>
      </c>
      <c r="L273" t="s">
        <v>269</v>
      </c>
      <c r="M273" t="s">
        <v>131</v>
      </c>
      <c r="N273">
        <v>24</v>
      </c>
      <c r="O273" t="s">
        <v>40</v>
      </c>
      <c r="P273" t="s">
        <v>40</v>
      </c>
      <c r="Q273" t="s">
        <v>40</v>
      </c>
      <c r="S273" t="s">
        <v>40</v>
      </c>
      <c r="U273" s="1">
        <v>43344</v>
      </c>
      <c r="V273" t="s">
        <v>41</v>
      </c>
      <c r="W273" t="s">
        <v>75</v>
      </c>
      <c r="X273" t="str">
        <f>"7052002"</f>
        <v>7052002</v>
      </c>
      <c r="Y273" t="s">
        <v>590</v>
      </c>
      <c r="Z273" t="s">
        <v>268</v>
      </c>
      <c r="AA273" t="s">
        <v>269</v>
      </c>
      <c r="AB273" t="s">
        <v>131</v>
      </c>
      <c r="AC273" t="s">
        <v>44</v>
      </c>
      <c r="AD273" t="s">
        <v>45</v>
      </c>
      <c r="AE273" s="1">
        <v>33335</v>
      </c>
      <c r="AF273">
        <v>1</v>
      </c>
      <c r="AG273" t="s">
        <v>269</v>
      </c>
      <c r="AH273" s="36">
        <f t="shared" si="4"/>
        <v>28.116666666666667</v>
      </c>
      <c r="AI273" s="40" t="s">
        <v>1777</v>
      </c>
    </row>
    <row r="274" spans="1:35" x14ac:dyDescent="0.25">
      <c r="A274" s="36">
        <v>99910272</v>
      </c>
      <c r="B274" s="17" t="s">
        <v>32</v>
      </c>
      <c r="C274" t="s">
        <v>111</v>
      </c>
      <c r="D274" t="s">
        <v>112</v>
      </c>
      <c r="G274" s="17" t="s">
        <v>35</v>
      </c>
      <c r="H274" s="17">
        <v>1</v>
      </c>
      <c r="I274" t="s">
        <v>731</v>
      </c>
      <c r="J274" s="1">
        <v>43344</v>
      </c>
      <c r="K274" t="s">
        <v>268</v>
      </c>
      <c r="L274" t="s">
        <v>269</v>
      </c>
      <c r="M274" t="s">
        <v>131</v>
      </c>
      <c r="N274">
        <v>24</v>
      </c>
      <c r="O274" t="s">
        <v>40</v>
      </c>
      <c r="P274" t="s">
        <v>40</v>
      </c>
      <c r="Q274" t="s">
        <v>40</v>
      </c>
      <c r="R274" t="s">
        <v>40</v>
      </c>
      <c r="S274" t="s">
        <v>40</v>
      </c>
      <c r="U274" s="1">
        <v>43344</v>
      </c>
      <c r="V274" t="s">
        <v>41</v>
      </c>
      <c r="W274" t="s">
        <v>75</v>
      </c>
      <c r="X274" t="str">
        <f>"7052002"</f>
        <v>7052002</v>
      </c>
      <c r="Y274" t="s">
        <v>590</v>
      </c>
      <c r="Z274" t="s">
        <v>268</v>
      </c>
      <c r="AA274" t="s">
        <v>269</v>
      </c>
      <c r="AB274" t="s">
        <v>131</v>
      </c>
      <c r="AC274" t="s">
        <v>44</v>
      </c>
      <c r="AD274" t="s">
        <v>45</v>
      </c>
      <c r="AE274" s="1">
        <v>33330</v>
      </c>
      <c r="AF274">
        <v>1</v>
      </c>
      <c r="AG274" t="s">
        <v>269</v>
      </c>
      <c r="AH274" s="36">
        <f t="shared" si="4"/>
        <v>28.130555555555556</v>
      </c>
      <c r="AI274" s="40" t="s">
        <v>1777</v>
      </c>
    </row>
    <row r="275" spans="1:35" x14ac:dyDescent="0.25">
      <c r="A275" s="36">
        <v>99910273</v>
      </c>
      <c r="B275" s="17" t="s">
        <v>56</v>
      </c>
      <c r="C275" t="s">
        <v>52</v>
      </c>
      <c r="D275" t="s">
        <v>53</v>
      </c>
      <c r="G275" s="17" t="s">
        <v>35</v>
      </c>
      <c r="H275" s="17">
        <v>1</v>
      </c>
      <c r="I275" t="s">
        <v>1062</v>
      </c>
      <c r="J275" s="1">
        <v>43354</v>
      </c>
      <c r="K275" t="s">
        <v>1051</v>
      </c>
      <c r="L275" t="s">
        <v>1052</v>
      </c>
      <c r="M275" t="s">
        <v>1053</v>
      </c>
      <c r="N275">
        <v>11</v>
      </c>
      <c r="O275" t="s">
        <v>40</v>
      </c>
      <c r="S275" t="s">
        <v>40</v>
      </c>
      <c r="U275" s="1">
        <v>43354</v>
      </c>
      <c r="V275" t="s">
        <v>41</v>
      </c>
      <c r="W275" t="s">
        <v>42</v>
      </c>
      <c r="X275" t="str">
        <f>"2061001"</f>
        <v>2061001</v>
      </c>
      <c r="Y275" t="s">
        <v>1058</v>
      </c>
      <c r="Z275" t="s">
        <v>1051</v>
      </c>
      <c r="AA275" t="s">
        <v>1052</v>
      </c>
      <c r="AB275" t="s">
        <v>1053</v>
      </c>
      <c r="AC275" t="s">
        <v>44</v>
      </c>
      <c r="AD275" t="s">
        <v>45</v>
      </c>
      <c r="AE275" s="1">
        <v>33329</v>
      </c>
      <c r="AF275">
        <v>2</v>
      </c>
      <c r="AG275" t="s">
        <v>1052</v>
      </c>
      <c r="AH275" s="36">
        <f t="shared" si="4"/>
        <v>28.133333333333333</v>
      </c>
      <c r="AI275" s="40" t="s">
        <v>1777</v>
      </c>
    </row>
    <row r="276" spans="1:35" x14ac:dyDescent="0.25">
      <c r="A276" s="36">
        <v>99910274</v>
      </c>
      <c r="B276" s="17" t="s">
        <v>32</v>
      </c>
      <c r="C276" t="s">
        <v>111</v>
      </c>
      <c r="D276" t="s">
        <v>112</v>
      </c>
      <c r="G276" s="17" t="s">
        <v>35</v>
      </c>
      <c r="H276" s="17">
        <v>1</v>
      </c>
      <c r="K276" t="s">
        <v>877</v>
      </c>
      <c r="L276" t="s">
        <v>878</v>
      </c>
      <c r="M276" t="s">
        <v>131</v>
      </c>
      <c r="N276">
        <v>23</v>
      </c>
      <c r="O276" t="s">
        <v>40</v>
      </c>
      <c r="P276" t="s">
        <v>40</v>
      </c>
      <c r="Q276" t="s">
        <v>40</v>
      </c>
      <c r="S276" t="s">
        <v>40</v>
      </c>
      <c r="V276" t="s">
        <v>41</v>
      </c>
      <c r="W276" t="s">
        <v>75</v>
      </c>
      <c r="X276" t="str">
        <f>"7700025"</f>
        <v>7700025</v>
      </c>
      <c r="Y276" t="s">
        <v>880</v>
      </c>
      <c r="Z276" t="s">
        <v>877</v>
      </c>
      <c r="AA276" t="s">
        <v>878</v>
      </c>
      <c r="AB276" t="s">
        <v>131</v>
      </c>
      <c r="AC276" t="s">
        <v>51</v>
      </c>
      <c r="AD276" t="s">
        <v>45</v>
      </c>
      <c r="AE276" s="1">
        <v>33328</v>
      </c>
      <c r="AF276">
        <v>1</v>
      </c>
      <c r="AG276" t="s">
        <v>878</v>
      </c>
      <c r="AH276" s="36">
        <f t="shared" si="4"/>
        <v>28.136111111111113</v>
      </c>
      <c r="AI276" s="40" t="s">
        <v>1777</v>
      </c>
    </row>
    <row r="277" spans="1:35" x14ac:dyDescent="0.25">
      <c r="A277" s="36">
        <v>99910275</v>
      </c>
      <c r="B277" s="17" t="s">
        <v>56</v>
      </c>
      <c r="C277" t="s">
        <v>111</v>
      </c>
      <c r="D277" t="s">
        <v>112</v>
      </c>
      <c r="G277" s="17" t="s">
        <v>35</v>
      </c>
      <c r="H277" s="17">
        <v>1</v>
      </c>
      <c r="I277">
        <v>9067</v>
      </c>
      <c r="J277" s="1">
        <v>43344</v>
      </c>
      <c r="K277" t="s">
        <v>1198</v>
      </c>
      <c r="L277" t="s">
        <v>1199</v>
      </c>
      <c r="M277" t="s">
        <v>1130</v>
      </c>
      <c r="N277">
        <v>24</v>
      </c>
      <c r="O277" t="s">
        <v>40</v>
      </c>
      <c r="S277" t="s">
        <v>40</v>
      </c>
      <c r="U277" s="1">
        <v>43344</v>
      </c>
      <c r="V277" t="s">
        <v>41</v>
      </c>
      <c r="W277" t="s">
        <v>75</v>
      </c>
      <c r="X277" t="str">
        <f>"7311002"</f>
        <v>7311002</v>
      </c>
      <c r="Y277" t="s">
        <v>1203</v>
      </c>
      <c r="Z277" t="s">
        <v>1198</v>
      </c>
      <c r="AA277" t="s">
        <v>1199</v>
      </c>
      <c r="AB277" t="s">
        <v>1130</v>
      </c>
      <c r="AC277" t="s">
        <v>44</v>
      </c>
      <c r="AD277" t="s">
        <v>45</v>
      </c>
      <c r="AE277" s="1">
        <v>33325</v>
      </c>
      <c r="AF277">
        <v>1</v>
      </c>
      <c r="AG277" t="s">
        <v>1199</v>
      </c>
      <c r="AH277" s="36">
        <f t="shared" si="4"/>
        <v>28.144444444444446</v>
      </c>
      <c r="AI277" s="40" t="s">
        <v>1777</v>
      </c>
    </row>
    <row r="278" spans="1:35" x14ac:dyDescent="0.25">
      <c r="A278" s="36">
        <v>99910276</v>
      </c>
      <c r="B278" s="17" t="s">
        <v>32</v>
      </c>
      <c r="C278" t="s">
        <v>111</v>
      </c>
      <c r="D278" t="s">
        <v>112</v>
      </c>
      <c r="G278" s="17" t="s">
        <v>35</v>
      </c>
      <c r="H278" s="17">
        <v>1</v>
      </c>
      <c r="I278" t="s">
        <v>286</v>
      </c>
      <c r="J278" s="1">
        <v>43346</v>
      </c>
      <c r="K278" t="s">
        <v>268</v>
      </c>
      <c r="L278" t="s">
        <v>269</v>
      </c>
      <c r="M278" t="s">
        <v>131</v>
      </c>
      <c r="N278">
        <v>24</v>
      </c>
      <c r="O278" t="s">
        <v>40</v>
      </c>
      <c r="Q278" t="s">
        <v>40</v>
      </c>
      <c r="S278" t="s">
        <v>40</v>
      </c>
      <c r="U278" s="1">
        <v>43346</v>
      </c>
      <c r="V278" t="s">
        <v>41</v>
      </c>
      <c r="W278" t="s">
        <v>75</v>
      </c>
      <c r="X278" t="str">
        <f>"7052012"</f>
        <v>7052012</v>
      </c>
      <c r="Y278" t="s">
        <v>270</v>
      </c>
      <c r="Z278" t="s">
        <v>268</v>
      </c>
      <c r="AA278" t="s">
        <v>269</v>
      </c>
      <c r="AB278" t="s">
        <v>131</v>
      </c>
      <c r="AC278" t="s">
        <v>55</v>
      </c>
      <c r="AD278" t="s">
        <v>45</v>
      </c>
      <c r="AE278" s="1">
        <v>33320</v>
      </c>
      <c r="AF278">
        <v>1</v>
      </c>
      <c r="AG278" t="s">
        <v>269</v>
      </c>
      <c r="AH278" s="36">
        <f t="shared" si="4"/>
        <v>28.158333333333335</v>
      </c>
      <c r="AI278" s="40" t="s">
        <v>1777</v>
      </c>
    </row>
    <row r="279" spans="1:35" x14ac:dyDescent="0.25">
      <c r="A279" s="36">
        <v>99910277</v>
      </c>
      <c r="B279" s="17" t="s">
        <v>32</v>
      </c>
      <c r="C279" t="s">
        <v>111</v>
      </c>
      <c r="D279" t="s">
        <v>112</v>
      </c>
      <c r="G279" s="17" t="s">
        <v>35</v>
      </c>
      <c r="H279" s="17">
        <v>1</v>
      </c>
      <c r="I279">
        <v>7970</v>
      </c>
      <c r="J279" s="1">
        <v>43389</v>
      </c>
      <c r="K279" t="s">
        <v>1198</v>
      </c>
      <c r="L279" t="s">
        <v>1199</v>
      </c>
      <c r="M279" t="s">
        <v>1130</v>
      </c>
      <c r="N279">
        <v>24</v>
      </c>
      <c r="O279" t="s">
        <v>40</v>
      </c>
      <c r="S279" t="s">
        <v>40</v>
      </c>
      <c r="U279" s="1">
        <v>43389</v>
      </c>
      <c r="V279" t="s">
        <v>41</v>
      </c>
      <c r="W279" t="s">
        <v>75</v>
      </c>
      <c r="X279" t="str">
        <f>"7311002"</f>
        <v>7311002</v>
      </c>
      <c r="Y279" t="s">
        <v>1203</v>
      </c>
      <c r="Z279" t="s">
        <v>1198</v>
      </c>
      <c r="AA279" t="s">
        <v>1199</v>
      </c>
      <c r="AB279" t="s">
        <v>1130</v>
      </c>
      <c r="AC279" t="s">
        <v>55</v>
      </c>
      <c r="AD279" t="s">
        <v>45</v>
      </c>
      <c r="AE279" s="1">
        <v>33320</v>
      </c>
      <c r="AF279">
        <v>1</v>
      </c>
      <c r="AG279" t="s">
        <v>1199</v>
      </c>
      <c r="AH279" s="36">
        <f t="shared" si="4"/>
        <v>28.158333333333335</v>
      </c>
      <c r="AI279" s="40" t="s">
        <v>1777</v>
      </c>
    </row>
    <row r="280" spans="1:35" x14ac:dyDescent="0.25">
      <c r="A280" s="36">
        <v>99910278</v>
      </c>
      <c r="B280" s="17" t="s">
        <v>32</v>
      </c>
      <c r="C280" t="s">
        <v>111</v>
      </c>
      <c r="D280" t="s">
        <v>112</v>
      </c>
      <c r="G280" s="17" t="s">
        <v>35</v>
      </c>
      <c r="H280" s="17">
        <v>1</v>
      </c>
      <c r="I280" t="s">
        <v>886</v>
      </c>
      <c r="J280" s="1">
        <v>43433</v>
      </c>
      <c r="K280" t="s">
        <v>877</v>
      </c>
      <c r="L280" t="s">
        <v>878</v>
      </c>
      <c r="M280" t="s">
        <v>131</v>
      </c>
      <c r="N280">
        <v>24</v>
      </c>
      <c r="O280" t="s">
        <v>40</v>
      </c>
      <c r="S280" t="s">
        <v>40</v>
      </c>
      <c r="U280" s="1">
        <v>43433</v>
      </c>
      <c r="V280" t="s">
        <v>41</v>
      </c>
      <c r="W280" t="s">
        <v>75</v>
      </c>
      <c r="X280" t="str">
        <f>"7541024"</f>
        <v>7541024</v>
      </c>
      <c r="Y280" t="s">
        <v>885</v>
      </c>
      <c r="Z280" t="s">
        <v>877</v>
      </c>
      <c r="AA280" t="s">
        <v>878</v>
      </c>
      <c r="AB280" t="s">
        <v>131</v>
      </c>
      <c r="AC280" t="s">
        <v>44</v>
      </c>
      <c r="AD280" t="s">
        <v>45</v>
      </c>
      <c r="AE280" s="1">
        <v>33312</v>
      </c>
      <c r="AF280">
        <v>1</v>
      </c>
      <c r="AG280" t="s">
        <v>878</v>
      </c>
      <c r="AH280" s="36">
        <f t="shared" si="4"/>
        <v>28.180555555555557</v>
      </c>
      <c r="AI280" s="40" t="s">
        <v>1777</v>
      </c>
    </row>
    <row r="281" spans="1:35" x14ac:dyDescent="0.25">
      <c r="A281" s="36">
        <v>99910279</v>
      </c>
      <c r="B281" s="17" t="s">
        <v>32</v>
      </c>
      <c r="C281" t="s">
        <v>90</v>
      </c>
      <c r="D281" t="s">
        <v>91</v>
      </c>
      <c r="G281" s="17" t="s">
        <v>35</v>
      </c>
      <c r="H281" s="17">
        <v>1</v>
      </c>
      <c r="K281" t="s">
        <v>1341</v>
      </c>
      <c r="L281" t="s">
        <v>1342</v>
      </c>
      <c r="M281" t="s">
        <v>1270</v>
      </c>
      <c r="N281">
        <v>25</v>
      </c>
      <c r="O281" t="s">
        <v>40</v>
      </c>
      <c r="P281" t="s">
        <v>40</v>
      </c>
      <c r="Q281" t="s">
        <v>40</v>
      </c>
      <c r="S281" t="s">
        <v>40</v>
      </c>
      <c r="V281" t="s">
        <v>41</v>
      </c>
      <c r="W281" t="s">
        <v>95</v>
      </c>
      <c r="X281" t="str">
        <f>"7191085"</f>
        <v>7191085</v>
      </c>
      <c r="Y281" t="s">
        <v>1389</v>
      </c>
      <c r="Z281" t="s">
        <v>1341</v>
      </c>
      <c r="AA281" t="s">
        <v>1342</v>
      </c>
      <c r="AB281" t="s">
        <v>1270</v>
      </c>
      <c r="AC281" t="s">
        <v>51</v>
      </c>
      <c r="AD281" t="s">
        <v>45</v>
      </c>
      <c r="AE281" s="1">
        <v>33300</v>
      </c>
      <c r="AF281">
        <v>1</v>
      </c>
      <c r="AG281" t="s">
        <v>1342</v>
      </c>
      <c r="AH281" s="36">
        <f t="shared" si="4"/>
        <v>28.213888888888889</v>
      </c>
      <c r="AI281" s="40" t="s">
        <v>1777</v>
      </c>
    </row>
    <row r="282" spans="1:35" x14ac:dyDescent="0.25">
      <c r="A282" s="36">
        <v>99910280</v>
      </c>
      <c r="B282" s="17" t="s">
        <v>56</v>
      </c>
      <c r="C282" t="s">
        <v>111</v>
      </c>
      <c r="D282" t="s">
        <v>112</v>
      </c>
      <c r="G282" s="17" t="s">
        <v>48</v>
      </c>
      <c r="H282" s="17">
        <v>1</v>
      </c>
      <c r="K282" t="s">
        <v>877</v>
      </c>
      <c r="L282" t="s">
        <v>878</v>
      </c>
      <c r="M282" t="s">
        <v>131</v>
      </c>
      <c r="N282">
        <v>24</v>
      </c>
      <c r="O282" t="s">
        <v>40</v>
      </c>
      <c r="P282" t="s">
        <v>40</v>
      </c>
      <c r="Q282" t="s">
        <v>40</v>
      </c>
      <c r="R282" t="s">
        <v>40</v>
      </c>
      <c r="S282" t="s">
        <v>40</v>
      </c>
      <c r="V282" t="s">
        <v>41</v>
      </c>
      <c r="W282" t="s">
        <v>75</v>
      </c>
      <c r="X282" t="str">
        <f>"7541004"</f>
        <v>7541004</v>
      </c>
      <c r="Y282" t="s">
        <v>889</v>
      </c>
      <c r="Z282" t="s">
        <v>877</v>
      </c>
      <c r="AA282" t="s">
        <v>878</v>
      </c>
      <c r="AB282" t="s">
        <v>131</v>
      </c>
      <c r="AC282" t="s">
        <v>51</v>
      </c>
      <c r="AD282" t="s">
        <v>45</v>
      </c>
      <c r="AE282" s="1">
        <v>33296</v>
      </c>
      <c r="AF282">
        <v>1</v>
      </c>
      <c r="AG282" t="s">
        <v>878</v>
      </c>
      <c r="AH282" s="36">
        <f t="shared" si="4"/>
        <v>28.225000000000001</v>
      </c>
      <c r="AI282" s="40" t="s">
        <v>1777</v>
      </c>
    </row>
    <row r="283" spans="1:35" x14ac:dyDescent="0.25">
      <c r="A283" s="36">
        <v>99910281</v>
      </c>
      <c r="B283" s="17" t="s">
        <v>32</v>
      </c>
      <c r="C283" t="s">
        <v>90</v>
      </c>
      <c r="D283" t="s">
        <v>91</v>
      </c>
      <c r="G283" s="17" t="s">
        <v>35</v>
      </c>
      <c r="H283" s="17">
        <v>1</v>
      </c>
      <c r="I283">
        <v>12932</v>
      </c>
      <c r="J283" s="1">
        <v>43344</v>
      </c>
      <c r="K283" t="s">
        <v>354</v>
      </c>
      <c r="L283" t="s">
        <v>355</v>
      </c>
      <c r="M283" t="s">
        <v>131</v>
      </c>
      <c r="N283">
        <v>25</v>
      </c>
      <c r="O283" t="s">
        <v>40</v>
      </c>
      <c r="S283" t="s">
        <v>40</v>
      </c>
      <c r="U283" s="1">
        <v>43344</v>
      </c>
      <c r="V283" t="s">
        <v>41</v>
      </c>
      <c r="W283" t="s">
        <v>95</v>
      </c>
      <c r="X283" t="str">
        <f>"7054165"</f>
        <v>7054165</v>
      </c>
      <c r="Y283" t="s">
        <v>812</v>
      </c>
      <c r="Z283" t="s">
        <v>354</v>
      </c>
      <c r="AA283" t="s">
        <v>355</v>
      </c>
      <c r="AB283" t="s">
        <v>131</v>
      </c>
      <c r="AC283" t="s">
        <v>51</v>
      </c>
      <c r="AD283" t="s">
        <v>45</v>
      </c>
      <c r="AE283" s="1">
        <v>33285</v>
      </c>
      <c r="AF283">
        <v>1</v>
      </c>
      <c r="AG283" t="s">
        <v>355</v>
      </c>
      <c r="AH283" s="36">
        <f t="shared" si="4"/>
        <v>28.255555555555556</v>
      </c>
      <c r="AI283" s="40" t="s">
        <v>1777</v>
      </c>
    </row>
    <row r="284" spans="1:35" x14ac:dyDescent="0.25">
      <c r="A284" s="36">
        <v>99910282</v>
      </c>
      <c r="B284" s="17" t="s">
        <v>32</v>
      </c>
      <c r="C284" t="s">
        <v>90</v>
      </c>
      <c r="D284" t="s">
        <v>91</v>
      </c>
      <c r="G284" s="17" t="s">
        <v>35</v>
      </c>
      <c r="H284" s="17">
        <v>1</v>
      </c>
      <c r="I284" t="s">
        <v>121</v>
      </c>
      <c r="J284" s="1">
        <v>43344</v>
      </c>
      <c r="K284" t="s">
        <v>77</v>
      </c>
      <c r="L284" t="s">
        <v>78</v>
      </c>
      <c r="M284" t="s">
        <v>39</v>
      </c>
      <c r="N284">
        <v>25</v>
      </c>
      <c r="O284" t="s">
        <v>40</v>
      </c>
      <c r="P284" t="s">
        <v>40</v>
      </c>
      <c r="Q284" t="s">
        <v>40</v>
      </c>
      <c r="S284" t="s">
        <v>40</v>
      </c>
      <c r="U284" s="1">
        <v>43344</v>
      </c>
      <c r="V284" t="s">
        <v>41</v>
      </c>
      <c r="W284" t="s">
        <v>95</v>
      </c>
      <c r="X284" t="str">
        <f>"7371003"</f>
        <v>7371003</v>
      </c>
      <c r="Y284" t="s">
        <v>122</v>
      </c>
      <c r="Z284" t="s">
        <v>77</v>
      </c>
      <c r="AA284" t="s">
        <v>78</v>
      </c>
      <c r="AB284" t="s">
        <v>39</v>
      </c>
      <c r="AC284" t="s">
        <v>51</v>
      </c>
      <c r="AD284" t="s">
        <v>45</v>
      </c>
      <c r="AE284" s="1">
        <v>33280</v>
      </c>
      <c r="AF284">
        <v>1</v>
      </c>
      <c r="AG284" t="s">
        <v>78</v>
      </c>
      <c r="AH284" s="36">
        <f t="shared" si="4"/>
        <v>28.269444444444446</v>
      </c>
      <c r="AI284" s="40" t="s">
        <v>1777</v>
      </c>
    </row>
    <row r="285" spans="1:35" x14ac:dyDescent="0.25">
      <c r="A285" s="36">
        <v>99910283</v>
      </c>
      <c r="B285" s="17" t="s">
        <v>32</v>
      </c>
      <c r="C285" t="s">
        <v>111</v>
      </c>
      <c r="D285" t="s">
        <v>112</v>
      </c>
      <c r="G285" s="17" t="s">
        <v>35</v>
      </c>
      <c r="H285" s="17">
        <v>1</v>
      </c>
      <c r="I285">
        <v>6072</v>
      </c>
      <c r="J285" s="1">
        <v>43354</v>
      </c>
      <c r="K285" t="s">
        <v>1695</v>
      </c>
      <c r="L285" t="s">
        <v>1696</v>
      </c>
      <c r="M285" t="s">
        <v>1592</v>
      </c>
      <c r="N285">
        <v>24</v>
      </c>
      <c r="O285" t="s">
        <v>40</v>
      </c>
      <c r="P285" t="s">
        <v>40</v>
      </c>
      <c r="Q285" t="s">
        <v>40</v>
      </c>
      <c r="S285" t="s">
        <v>40</v>
      </c>
      <c r="U285" s="1">
        <v>43354</v>
      </c>
      <c r="V285" t="s">
        <v>41</v>
      </c>
      <c r="W285" t="s">
        <v>75</v>
      </c>
      <c r="X285" t="str">
        <f>"7361000"</f>
        <v>7361000</v>
      </c>
      <c r="Y285" t="s">
        <v>1698</v>
      </c>
      <c r="Z285" t="s">
        <v>1695</v>
      </c>
      <c r="AA285" t="s">
        <v>1696</v>
      </c>
      <c r="AB285" t="s">
        <v>1592</v>
      </c>
      <c r="AC285" t="s">
        <v>44</v>
      </c>
      <c r="AD285" t="s">
        <v>45</v>
      </c>
      <c r="AE285" s="1">
        <v>33277</v>
      </c>
      <c r="AF285">
        <v>1</v>
      </c>
      <c r="AG285" t="s">
        <v>1696</v>
      </c>
      <c r="AH285" s="36">
        <f t="shared" si="4"/>
        <v>28.277777777777779</v>
      </c>
      <c r="AI285" s="40" t="s">
        <v>1777</v>
      </c>
    </row>
    <row r="286" spans="1:35" x14ac:dyDescent="0.25">
      <c r="A286" s="36">
        <v>99910284</v>
      </c>
      <c r="B286" s="17" t="s">
        <v>32</v>
      </c>
      <c r="C286" t="s">
        <v>111</v>
      </c>
      <c r="D286" t="s">
        <v>112</v>
      </c>
      <c r="G286" s="17" t="s">
        <v>35</v>
      </c>
      <c r="H286" s="17">
        <v>1</v>
      </c>
      <c r="I286" t="s">
        <v>699</v>
      </c>
      <c r="J286" s="1">
        <v>43344</v>
      </c>
      <c r="K286" t="s">
        <v>268</v>
      </c>
      <c r="L286" t="s">
        <v>269</v>
      </c>
      <c r="M286" t="s">
        <v>131</v>
      </c>
      <c r="N286">
        <v>24</v>
      </c>
      <c r="O286" t="s">
        <v>40</v>
      </c>
      <c r="S286" t="s">
        <v>40</v>
      </c>
      <c r="U286" s="1">
        <v>43344</v>
      </c>
      <c r="V286" t="s">
        <v>41</v>
      </c>
      <c r="W286" t="s">
        <v>75</v>
      </c>
      <c r="X286" t="str">
        <f>"7052020"</f>
        <v>7052020</v>
      </c>
      <c r="Y286" t="s">
        <v>267</v>
      </c>
      <c r="Z286" t="s">
        <v>268</v>
      </c>
      <c r="AA286" t="s">
        <v>269</v>
      </c>
      <c r="AB286" t="s">
        <v>131</v>
      </c>
      <c r="AC286" t="s">
        <v>51</v>
      </c>
      <c r="AD286" t="s">
        <v>45</v>
      </c>
      <c r="AE286" s="1">
        <v>33276</v>
      </c>
      <c r="AF286">
        <v>1</v>
      </c>
      <c r="AG286" t="s">
        <v>269</v>
      </c>
      <c r="AH286" s="36">
        <f t="shared" si="4"/>
        <v>28.280555555555555</v>
      </c>
      <c r="AI286" s="40" t="s">
        <v>1777</v>
      </c>
    </row>
    <row r="287" spans="1:35" x14ac:dyDescent="0.25">
      <c r="A287" s="36">
        <v>99910285</v>
      </c>
      <c r="B287" s="17" t="s">
        <v>32</v>
      </c>
      <c r="C287" t="s">
        <v>111</v>
      </c>
      <c r="D287" t="s">
        <v>112</v>
      </c>
      <c r="G287" s="17" t="s">
        <v>35</v>
      </c>
      <c r="H287" s="17">
        <v>1</v>
      </c>
      <c r="I287" t="s">
        <v>647</v>
      </c>
      <c r="J287" s="1">
        <v>43344</v>
      </c>
      <c r="K287" t="s">
        <v>268</v>
      </c>
      <c r="L287" t="s">
        <v>269</v>
      </c>
      <c r="M287" t="s">
        <v>131</v>
      </c>
      <c r="N287">
        <v>24</v>
      </c>
      <c r="O287" t="s">
        <v>40</v>
      </c>
      <c r="S287" t="s">
        <v>40</v>
      </c>
      <c r="U287" s="1">
        <v>43344</v>
      </c>
      <c r="V287" t="s">
        <v>41</v>
      </c>
      <c r="W287" t="s">
        <v>75</v>
      </c>
      <c r="X287" t="str">
        <f>"7052020"</f>
        <v>7052020</v>
      </c>
      <c r="Y287" t="s">
        <v>267</v>
      </c>
      <c r="Z287" t="s">
        <v>268</v>
      </c>
      <c r="AA287" t="s">
        <v>269</v>
      </c>
      <c r="AB287" t="s">
        <v>131</v>
      </c>
      <c r="AC287" t="s">
        <v>55</v>
      </c>
      <c r="AD287" t="s">
        <v>45</v>
      </c>
      <c r="AE287" s="1">
        <v>33273</v>
      </c>
      <c r="AF287">
        <v>1</v>
      </c>
      <c r="AG287" t="s">
        <v>269</v>
      </c>
      <c r="AH287" s="36">
        <f t="shared" si="4"/>
        <v>28.288888888888888</v>
      </c>
      <c r="AI287" s="40" t="s">
        <v>1777</v>
      </c>
    </row>
    <row r="288" spans="1:35" x14ac:dyDescent="0.25">
      <c r="A288" s="36">
        <v>99910286</v>
      </c>
      <c r="B288" s="17" t="s">
        <v>32</v>
      </c>
      <c r="C288" t="s">
        <v>111</v>
      </c>
      <c r="D288" t="s">
        <v>112</v>
      </c>
      <c r="G288" s="17" t="s">
        <v>35</v>
      </c>
      <c r="H288" s="17">
        <v>1</v>
      </c>
      <c r="I288">
        <v>9406</v>
      </c>
      <c r="J288" s="1">
        <v>43344</v>
      </c>
      <c r="K288" t="s">
        <v>1198</v>
      </c>
      <c r="L288" t="s">
        <v>1199</v>
      </c>
      <c r="M288" t="s">
        <v>1130</v>
      </c>
      <c r="N288">
        <v>24</v>
      </c>
      <c r="O288" t="s">
        <v>40</v>
      </c>
      <c r="P288" t="s">
        <v>40</v>
      </c>
      <c r="Q288" t="s">
        <v>40</v>
      </c>
      <c r="R288" t="s">
        <v>40</v>
      </c>
      <c r="S288" t="s">
        <v>40</v>
      </c>
      <c r="U288" s="1">
        <v>43344</v>
      </c>
      <c r="V288" t="s">
        <v>41</v>
      </c>
      <c r="W288" t="s">
        <v>75</v>
      </c>
      <c r="X288" t="str">
        <f>"7311002"</f>
        <v>7311002</v>
      </c>
      <c r="Y288" t="s">
        <v>1203</v>
      </c>
      <c r="Z288" t="s">
        <v>1198</v>
      </c>
      <c r="AA288" t="s">
        <v>1199</v>
      </c>
      <c r="AB288" t="s">
        <v>1130</v>
      </c>
      <c r="AC288" t="s">
        <v>44</v>
      </c>
      <c r="AD288" t="s">
        <v>45</v>
      </c>
      <c r="AE288" s="1">
        <v>33268</v>
      </c>
      <c r="AF288">
        <v>1</v>
      </c>
      <c r="AG288" t="s">
        <v>1199</v>
      </c>
      <c r="AH288" s="36">
        <f t="shared" si="4"/>
        <v>28.302777777777777</v>
      </c>
      <c r="AI288" s="40" t="s">
        <v>1777</v>
      </c>
    </row>
    <row r="289" spans="1:35" x14ac:dyDescent="0.25">
      <c r="A289" s="36">
        <v>99910287</v>
      </c>
      <c r="B289" s="17" t="s">
        <v>32</v>
      </c>
      <c r="C289" t="s">
        <v>111</v>
      </c>
      <c r="D289" t="s">
        <v>112</v>
      </c>
      <c r="G289" s="17" t="s">
        <v>48</v>
      </c>
      <c r="H289" s="17">
        <v>1</v>
      </c>
      <c r="K289" t="s">
        <v>154</v>
      </c>
      <c r="L289" t="s">
        <v>155</v>
      </c>
      <c r="M289" t="s">
        <v>131</v>
      </c>
      <c r="N289">
        <v>24</v>
      </c>
      <c r="O289" t="s">
        <v>40</v>
      </c>
      <c r="P289" t="s">
        <v>40</v>
      </c>
      <c r="Q289" t="s">
        <v>40</v>
      </c>
      <c r="S289" t="s">
        <v>40</v>
      </c>
      <c r="V289" t="s">
        <v>41</v>
      </c>
      <c r="W289" t="s">
        <v>75</v>
      </c>
      <c r="X289" t="str">
        <f>"7051022"</f>
        <v>7051022</v>
      </c>
      <c r="Y289" t="s">
        <v>153</v>
      </c>
      <c r="Z289" t="s">
        <v>154</v>
      </c>
      <c r="AA289" t="s">
        <v>155</v>
      </c>
      <c r="AB289" t="s">
        <v>131</v>
      </c>
      <c r="AC289" t="s">
        <v>51</v>
      </c>
      <c r="AD289" t="s">
        <v>45</v>
      </c>
      <c r="AE289" s="1">
        <v>33266</v>
      </c>
      <c r="AF289">
        <v>1</v>
      </c>
      <c r="AG289" t="s">
        <v>155</v>
      </c>
      <c r="AH289" s="36">
        <f t="shared" si="4"/>
        <v>28.308333333333334</v>
      </c>
      <c r="AI289" s="40" t="s">
        <v>1777</v>
      </c>
    </row>
    <row r="290" spans="1:35" x14ac:dyDescent="0.25">
      <c r="A290" s="36">
        <v>99910288</v>
      </c>
      <c r="B290" s="17" t="s">
        <v>32</v>
      </c>
      <c r="C290" t="s">
        <v>111</v>
      </c>
      <c r="D290" t="s">
        <v>112</v>
      </c>
      <c r="G290" s="17" t="s">
        <v>35</v>
      </c>
      <c r="H290" s="17">
        <v>1</v>
      </c>
      <c r="I290">
        <v>10606</v>
      </c>
      <c r="J290" s="1">
        <v>43344</v>
      </c>
      <c r="K290" t="s">
        <v>354</v>
      </c>
      <c r="L290" t="s">
        <v>355</v>
      </c>
      <c r="M290" t="s">
        <v>131</v>
      </c>
      <c r="N290">
        <v>24</v>
      </c>
      <c r="O290" t="s">
        <v>40</v>
      </c>
      <c r="P290" t="s">
        <v>40</v>
      </c>
      <c r="Q290" t="s">
        <v>40</v>
      </c>
      <c r="S290" t="s">
        <v>40</v>
      </c>
      <c r="U290" s="1">
        <v>43344</v>
      </c>
      <c r="V290" t="s">
        <v>41</v>
      </c>
      <c r="W290" t="s">
        <v>75</v>
      </c>
      <c r="X290" t="str">
        <f>"7054038"</f>
        <v>7054038</v>
      </c>
      <c r="Y290" t="s">
        <v>377</v>
      </c>
      <c r="Z290" t="s">
        <v>354</v>
      </c>
      <c r="AA290" t="s">
        <v>355</v>
      </c>
      <c r="AB290" t="s">
        <v>131</v>
      </c>
      <c r="AC290" t="s">
        <v>51</v>
      </c>
      <c r="AD290" t="s">
        <v>45</v>
      </c>
      <c r="AE290" s="1">
        <v>33262</v>
      </c>
      <c r="AF290">
        <v>1</v>
      </c>
      <c r="AG290" t="s">
        <v>355</v>
      </c>
      <c r="AH290" s="36">
        <f t="shared" si="4"/>
        <v>28.319444444444443</v>
      </c>
      <c r="AI290" s="40" t="s">
        <v>1777</v>
      </c>
    </row>
    <row r="291" spans="1:35" x14ac:dyDescent="0.25">
      <c r="A291" s="36">
        <v>99910289</v>
      </c>
      <c r="B291" s="17" t="s">
        <v>32</v>
      </c>
      <c r="C291" t="s">
        <v>111</v>
      </c>
      <c r="D291" t="s">
        <v>112</v>
      </c>
      <c r="G291" s="17" t="s">
        <v>48</v>
      </c>
      <c r="H291" s="17">
        <v>1</v>
      </c>
      <c r="K291" t="s">
        <v>1619</v>
      </c>
      <c r="L291" t="s">
        <v>1620</v>
      </c>
      <c r="M291" t="s">
        <v>1592</v>
      </c>
      <c r="N291">
        <v>23</v>
      </c>
      <c r="O291" t="s">
        <v>40</v>
      </c>
      <c r="P291" t="s">
        <v>40</v>
      </c>
      <c r="Q291" t="s">
        <v>40</v>
      </c>
      <c r="R291" t="s">
        <v>40</v>
      </c>
      <c r="S291" t="s">
        <v>40</v>
      </c>
      <c r="V291" t="s">
        <v>41</v>
      </c>
      <c r="W291" t="s">
        <v>75</v>
      </c>
      <c r="X291" t="str">
        <f>"7281006"</f>
        <v>7281006</v>
      </c>
      <c r="Y291" t="s">
        <v>1618</v>
      </c>
      <c r="Z291" t="s">
        <v>1619</v>
      </c>
      <c r="AA291" t="s">
        <v>1620</v>
      </c>
      <c r="AB291" t="s">
        <v>1592</v>
      </c>
      <c r="AC291" t="s">
        <v>51</v>
      </c>
      <c r="AD291" t="s">
        <v>45</v>
      </c>
      <c r="AE291" s="1">
        <v>33262</v>
      </c>
      <c r="AF291">
        <v>1</v>
      </c>
      <c r="AG291" t="s">
        <v>1620</v>
      </c>
      <c r="AH291" s="36">
        <f t="shared" si="4"/>
        <v>28.319444444444443</v>
      </c>
      <c r="AI291" s="40" t="s">
        <v>1777</v>
      </c>
    </row>
    <row r="292" spans="1:35" x14ac:dyDescent="0.25">
      <c r="A292" s="36">
        <v>99910290</v>
      </c>
      <c r="B292" s="17" t="s">
        <v>32</v>
      </c>
      <c r="C292" t="s">
        <v>90</v>
      </c>
      <c r="D292" t="s">
        <v>91</v>
      </c>
      <c r="G292" s="17" t="s">
        <v>35</v>
      </c>
      <c r="H292" s="17">
        <v>1</v>
      </c>
      <c r="I292" t="s">
        <v>286</v>
      </c>
      <c r="J292" s="1">
        <v>43346</v>
      </c>
      <c r="K292" t="s">
        <v>268</v>
      </c>
      <c r="L292" t="s">
        <v>269</v>
      </c>
      <c r="M292" t="s">
        <v>131</v>
      </c>
      <c r="N292">
        <v>30</v>
      </c>
      <c r="O292" t="s">
        <v>40</v>
      </c>
      <c r="S292" t="s">
        <v>40</v>
      </c>
      <c r="U292" s="1">
        <v>43346</v>
      </c>
      <c r="V292" t="s">
        <v>41</v>
      </c>
      <c r="W292" t="s">
        <v>95</v>
      </c>
      <c r="X292" t="str">
        <f>"7052105"</f>
        <v>7052105</v>
      </c>
      <c r="Y292" t="s">
        <v>719</v>
      </c>
      <c r="Z292" t="s">
        <v>268</v>
      </c>
      <c r="AA292" t="s">
        <v>269</v>
      </c>
      <c r="AB292" t="s">
        <v>131</v>
      </c>
      <c r="AC292" t="s">
        <v>44</v>
      </c>
      <c r="AD292" t="s">
        <v>45</v>
      </c>
      <c r="AE292" s="1">
        <v>33259</v>
      </c>
      <c r="AF292">
        <v>1</v>
      </c>
      <c r="AG292" t="s">
        <v>269</v>
      </c>
      <c r="AH292" s="36">
        <f t="shared" si="4"/>
        <v>28.327777777777779</v>
      </c>
      <c r="AI292" s="40" t="s">
        <v>1777</v>
      </c>
    </row>
    <row r="293" spans="1:35" x14ac:dyDescent="0.25">
      <c r="A293" s="36">
        <v>99910291</v>
      </c>
      <c r="B293" s="17" t="s">
        <v>32</v>
      </c>
      <c r="C293" t="s">
        <v>117</v>
      </c>
      <c r="D293" t="s">
        <v>118</v>
      </c>
      <c r="G293" s="17" t="s">
        <v>35</v>
      </c>
      <c r="H293" s="17">
        <v>1</v>
      </c>
      <c r="K293" t="s">
        <v>1051</v>
      </c>
      <c r="L293" t="s">
        <v>1052</v>
      </c>
      <c r="M293" t="s">
        <v>1053</v>
      </c>
      <c r="N293">
        <v>3</v>
      </c>
      <c r="O293" t="s">
        <v>40</v>
      </c>
      <c r="P293" t="s">
        <v>40</v>
      </c>
      <c r="Q293" t="s">
        <v>40</v>
      </c>
      <c r="R293" t="s">
        <v>40</v>
      </c>
      <c r="S293" t="s">
        <v>40</v>
      </c>
      <c r="V293" t="s">
        <v>41</v>
      </c>
      <c r="W293" t="s">
        <v>49</v>
      </c>
      <c r="X293" t="str">
        <f>"2060005"</f>
        <v>2060005</v>
      </c>
      <c r="Y293" t="s">
        <v>1054</v>
      </c>
      <c r="Z293" t="s">
        <v>1051</v>
      </c>
      <c r="AA293" t="s">
        <v>1052</v>
      </c>
      <c r="AB293" t="s">
        <v>1053</v>
      </c>
      <c r="AC293" t="s">
        <v>51</v>
      </c>
      <c r="AD293" t="s">
        <v>45</v>
      </c>
      <c r="AE293" s="1">
        <v>33259</v>
      </c>
      <c r="AF293">
        <v>2</v>
      </c>
      <c r="AG293" t="s">
        <v>1052</v>
      </c>
      <c r="AH293" s="36">
        <f t="shared" si="4"/>
        <v>28.327777777777779</v>
      </c>
      <c r="AI293" s="40" t="s">
        <v>1777</v>
      </c>
    </row>
    <row r="294" spans="1:35" x14ac:dyDescent="0.25">
      <c r="A294" s="36">
        <v>99910292</v>
      </c>
      <c r="B294" s="17" t="s">
        <v>32</v>
      </c>
      <c r="C294" t="s">
        <v>111</v>
      </c>
      <c r="D294" t="s">
        <v>112</v>
      </c>
      <c r="G294" s="17" t="s">
        <v>48</v>
      </c>
      <c r="H294" s="17">
        <v>1</v>
      </c>
      <c r="I294" t="s">
        <v>114</v>
      </c>
      <c r="J294" s="1">
        <v>42419</v>
      </c>
      <c r="K294" t="s">
        <v>268</v>
      </c>
      <c r="L294" t="s">
        <v>269</v>
      </c>
      <c r="M294" t="s">
        <v>131</v>
      </c>
      <c r="N294">
        <v>24</v>
      </c>
      <c r="O294" t="s">
        <v>40</v>
      </c>
      <c r="P294" t="s">
        <v>40</v>
      </c>
      <c r="Q294" t="s">
        <v>40</v>
      </c>
      <c r="S294" t="s">
        <v>40</v>
      </c>
      <c r="U294" s="1">
        <v>42422</v>
      </c>
      <c r="V294" t="s">
        <v>41</v>
      </c>
      <c r="W294" t="s">
        <v>75</v>
      </c>
      <c r="X294" t="str">
        <f>"7052042"</f>
        <v>7052042</v>
      </c>
      <c r="Y294" t="s">
        <v>583</v>
      </c>
      <c r="Z294" t="s">
        <v>268</v>
      </c>
      <c r="AA294" t="s">
        <v>269</v>
      </c>
      <c r="AB294" t="s">
        <v>131</v>
      </c>
      <c r="AC294" t="s">
        <v>51</v>
      </c>
      <c r="AD294" t="s">
        <v>45</v>
      </c>
      <c r="AE294" s="1">
        <v>33239</v>
      </c>
      <c r="AF294">
        <v>1</v>
      </c>
      <c r="AG294" t="s">
        <v>269</v>
      </c>
      <c r="AH294" s="36">
        <f t="shared" si="4"/>
        <v>28.383333333333333</v>
      </c>
      <c r="AI294" s="40" t="s">
        <v>1777</v>
      </c>
    </row>
    <row r="295" spans="1:35" x14ac:dyDescent="0.25">
      <c r="A295" s="36">
        <v>99910293</v>
      </c>
      <c r="B295" s="17" t="s">
        <v>32</v>
      </c>
      <c r="C295" t="s">
        <v>111</v>
      </c>
      <c r="D295" t="s">
        <v>112</v>
      </c>
      <c r="G295" s="17" t="s">
        <v>35</v>
      </c>
      <c r="H295" s="17">
        <v>1</v>
      </c>
      <c r="I295" t="s">
        <v>286</v>
      </c>
      <c r="J295" s="1">
        <v>43346</v>
      </c>
      <c r="K295" t="s">
        <v>268</v>
      </c>
      <c r="L295" t="s">
        <v>269</v>
      </c>
      <c r="M295" t="s">
        <v>131</v>
      </c>
      <c r="N295">
        <v>24</v>
      </c>
      <c r="O295" t="s">
        <v>40</v>
      </c>
      <c r="S295" t="s">
        <v>40</v>
      </c>
      <c r="V295" t="s">
        <v>41</v>
      </c>
      <c r="W295" t="s">
        <v>75</v>
      </c>
      <c r="X295" t="str">
        <f>"7052012"</f>
        <v>7052012</v>
      </c>
      <c r="Y295" t="s">
        <v>270</v>
      </c>
      <c r="Z295" t="s">
        <v>268</v>
      </c>
      <c r="AA295" t="s">
        <v>269</v>
      </c>
      <c r="AB295" t="s">
        <v>131</v>
      </c>
      <c r="AC295" t="s">
        <v>55</v>
      </c>
      <c r="AD295" t="s">
        <v>45</v>
      </c>
      <c r="AE295" s="1">
        <v>33239</v>
      </c>
      <c r="AF295">
        <v>1</v>
      </c>
      <c r="AG295" t="s">
        <v>269</v>
      </c>
      <c r="AH295" s="36">
        <f t="shared" si="4"/>
        <v>28.383333333333333</v>
      </c>
      <c r="AI295" s="40" t="s">
        <v>1777</v>
      </c>
    </row>
    <row r="296" spans="1:35" x14ac:dyDescent="0.25">
      <c r="A296" s="36">
        <v>99910294</v>
      </c>
      <c r="B296" s="17" t="s">
        <v>32</v>
      </c>
      <c r="C296" t="s">
        <v>111</v>
      </c>
      <c r="D296" t="s">
        <v>112</v>
      </c>
      <c r="G296" s="17" t="s">
        <v>48</v>
      </c>
      <c r="H296" s="17">
        <v>1</v>
      </c>
      <c r="I296" t="s">
        <v>911</v>
      </c>
      <c r="J296" s="1">
        <v>42436</v>
      </c>
      <c r="K296" t="s">
        <v>877</v>
      </c>
      <c r="L296" t="s">
        <v>878</v>
      </c>
      <c r="M296" t="s">
        <v>131</v>
      </c>
      <c r="N296">
        <v>24</v>
      </c>
      <c r="O296" t="s">
        <v>40</v>
      </c>
      <c r="P296" t="s">
        <v>40</v>
      </c>
      <c r="Q296" t="s">
        <v>40</v>
      </c>
      <c r="S296" t="s">
        <v>40</v>
      </c>
      <c r="U296" s="1">
        <v>42436</v>
      </c>
      <c r="V296" t="s">
        <v>41</v>
      </c>
      <c r="W296" t="s">
        <v>75</v>
      </c>
      <c r="X296" t="str">
        <f>"7541026"</f>
        <v>7541026</v>
      </c>
      <c r="Y296" t="s">
        <v>894</v>
      </c>
      <c r="Z296" t="s">
        <v>877</v>
      </c>
      <c r="AA296" t="s">
        <v>878</v>
      </c>
      <c r="AB296" t="s">
        <v>131</v>
      </c>
      <c r="AC296" t="s">
        <v>51</v>
      </c>
      <c r="AD296" t="s">
        <v>45</v>
      </c>
      <c r="AE296" s="1">
        <v>33239</v>
      </c>
      <c r="AF296">
        <v>1</v>
      </c>
      <c r="AG296" t="s">
        <v>878</v>
      </c>
      <c r="AH296" s="36">
        <f t="shared" si="4"/>
        <v>28.383333333333333</v>
      </c>
      <c r="AI296" s="40" t="s">
        <v>1777</v>
      </c>
    </row>
    <row r="297" spans="1:35" x14ac:dyDescent="0.25">
      <c r="A297" s="36">
        <v>99910295</v>
      </c>
      <c r="B297" s="17" t="s">
        <v>32</v>
      </c>
      <c r="C297" t="s">
        <v>64</v>
      </c>
      <c r="D297" t="s">
        <v>65</v>
      </c>
      <c r="G297" s="17" t="s">
        <v>48</v>
      </c>
      <c r="H297" s="17">
        <v>1</v>
      </c>
      <c r="K297" t="s">
        <v>1581</v>
      </c>
      <c r="L297" t="s">
        <v>1582</v>
      </c>
      <c r="M297" t="s">
        <v>1548</v>
      </c>
      <c r="N297">
        <v>4</v>
      </c>
      <c r="O297" t="s">
        <v>40</v>
      </c>
      <c r="P297" t="s">
        <v>40</v>
      </c>
      <c r="Q297" t="s">
        <v>40</v>
      </c>
      <c r="R297" t="s">
        <v>40</v>
      </c>
      <c r="S297" t="s">
        <v>40</v>
      </c>
      <c r="V297" t="s">
        <v>41</v>
      </c>
      <c r="W297" t="s">
        <v>75</v>
      </c>
      <c r="X297" t="str">
        <f>"7291000"</f>
        <v>7291000</v>
      </c>
      <c r="Y297" t="s">
        <v>1584</v>
      </c>
      <c r="Z297" t="s">
        <v>1581</v>
      </c>
      <c r="AA297" t="s">
        <v>1582</v>
      </c>
      <c r="AB297" t="s">
        <v>1548</v>
      </c>
      <c r="AC297" t="s">
        <v>51</v>
      </c>
      <c r="AD297" t="s">
        <v>45</v>
      </c>
      <c r="AE297" s="1">
        <v>33235</v>
      </c>
      <c r="AF297">
        <v>1</v>
      </c>
      <c r="AG297" t="s">
        <v>1582</v>
      </c>
      <c r="AH297" s="36">
        <f t="shared" si="4"/>
        <v>28.394444444444446</v>
      </c>
      <c r="AI297" s="40" t="s">
        <v>1777</v>
      </c>
    </row>
    <row r="298" spans="1:35" x14ac:dyDescent="0.25">
      <c r="A298" s="36">
        <v>99910296</v>
      </c>
      <c r="B298" s="17" t="s">
        <v>32</v>
      </c>
      <c r="C298" t="s">
        <v>64</v>
      </c>
      <c r="D298" t="s">
        <v>65</v>
      </c>
      <c r="G298" s="17" t="s">
        <v>35</v>
      </c>
      <c r="H298" s="17">
        <v>1</v>
      </c>
      <c r="I298">
        <v>21106</v>
      </c>
      <c r="J298" s="1">
        <v>43344</v>
      </c>
      <c r="K298" t="s">
        <v>380</v>
      </c>
      <c r="L298" t="s">
        <v>381</v>
      </c>
      <c r="M298" t="s">
        <v>131</v>
      </c>
      <c r="N298">
        <v>3</v>
      </c>
      <c r="O298" t="s">
        <v>40</v>
      </c>
      <c r="P298" t="s">
        <v>40</v>
      </c>
      <c r="Q298" t="s">
        <v>40</v>
      </c>
      <c r="R298" t="s">
        <v>40</v>
      </c>
      <c r="S298" t="s">
        <v>40</v>
      </c>
      <c r="U298" s="1">
        <v>43344</v>
      </c>
      <c r="V298" t="s">
        <v>41</v>
      </c>
      <c r="W298" t="s">
        <v>49</v>
      </c>
      <c r="X298" t="str">
        <f>"0591908"</f>
        <v>0591908</v>
      </c>
      <c r="Y298" t="s">
        <v>383</v>
      </c>
      <c r="Z298" t="s">
        <v>380</v>
      </c>
      <c r="AA298" t="s">
        <v>381</v>
      </c>
      <c r="AB298" t="s">
        <v>131</v>
      </c>
      <c r="AC298" t="s">
        <v>44</v>
      </c>
      <c r="AD298" t="s">
        <v>45</v>
      </c>
      <c r="AE298" s="1">
        <v>33231</v>
      </c>
      <c r="AF298">
        <v>2</v>
      </c>
      <c r="AG298" t="s">
        <v>381</v>
      </c>
      <c r="AH298" s="36">
        <f t="shared" si="4"/>
        <v>28.405555555555555</v>
      </c>
      <c r="AI298" s="40" t="s">
        <v>1777</v>
      </c>
    </row>
    <row r="299" spans="1:35" x14ac:dyDescent="0.25">
      <c r="A299" s="36">
        <v>99910297</v>
      </c>
      <c r="B299" s="17" t="s">
        <v>32</v>
      </c>
      <c r="C299" t="s">
        <v>141</v>
      </c>
      <c r="D299" t="s">
        <v>142</v>
      </c>
      <c r="G299" s="17" t="s">
        <v>48</v>
      </c>
      <c r="H299" s="17">
        <v>1</v>
      </c>
      <c r="K299" t="s">
        <v>345</v>
      </c>
      <c r="L299" t="s">
        <v>346</v>
      </c>
      <c r="M299" t="s">
        <v>131</v>
      </c>
      <c r="N299">
        <v>24</v>
      </c>
      <c r="O299" t="s">
        <v>40</v>
      </c>
      <c r="P299" t="s">
        <v>40</v>
      </c>
      <c r="Q299" t="s">
        <v>40</v>
      </c>
      <c r="S299" t="s">
        <v>40</v>
      </c>
      <c r="V299" t="s">
        <v>41</v>
      </c>
      <c r="W299" t="s">
        <v>49</v>
      </c>
      <c r="X299" t="str">
        <f>"0560004"</f>
        <v>0560004</v>
      </c>
      <c r="Y299" t="s">
        <v>371</v>
      </c>
      <c r="Z299" t="s">
        <v>345</v>
      </c>
      <c r="AA299" t="s">
        <v>346</v>
      </c>
      <c r="AB299" t="s">
        <v>131</v>
      </c>
      <c r="AC299" t="s">
        <v>51</v>
      </c>
      <c r="AD299" t="s">
        <v>45</v>
      </c>
      <c r="AE299" s="1">
        <v>33229</v>
      </c>
      <c r="AF299">
        <v>2</v>
      </c>
      <c r="AG299" t="s">
        <v>346</v>
      </c>
      <c r="AH299" s="36">
        <f t="shared" si="4"/>
        <v>28.411111111111111</v>
      </c>
      <c r="AI299" s="40" t="s">
        <v>1777</v>
      </c>
    </row>
    <row r="300" spans="1:35" x14ac:dyDescent="0.25">
      <c r="A300" s="36">
        <v>99910298</v>
      </c>
      <c r="B300" s="17" t="s">
        <v>32</v>
      </c>
      <c r="C300" t="s">
        <v>136</v>
      </c>
      <c r="D300" t="s">
        <v>137</v>
      </c>
      <c r="G300" s="17" t="s">
        <v>35</v>
      </c>
      <c r="H300" s="17">
        <v>1</v>
      </c>
      <c r="I300" t="s">
        <v>1003</v>
      </c>
      <c r="J300" s="1">
        <v>43344</v>
      </c>
      <c r="K300" t="s">
        <v>963</v>
      </c>
      <c r="L300" t="s">
        <v>964</v>
      </c>
      <c r="M300" t="s">
        <v>938</v>
      </c>
      <c r="N300">
        <v>4</v>
      </c>
      <c r="O300" t="s">
        <v>40</v>
      </c>
      <c r="S300" t="s">
        <v>40</v>
      </c>
      <c r="U300" s="1">
        <v>43344</v>
      </c>
      <c r="V300" t="s">
        <v>41</v>
      </c>
      <c r="W300" t="s">
        <v>75</v>
      </c>
      <c r="X300" t="str">
        <f>"7061004"</f>
        <v>7061004</v>
      </c>
      <c r="Y300" t="s">
        <v>1002</v>
      </c>
      <c r="Z300" t="s">
        <v>963</v>
      </c>
      <c r="AA300" t="s">
        <v>964</v>
      </c>
      <c r="AB300" t="s">
        <v>938</v>
      </c>
      <c r="AC300" t="s">
        <v>44</v>
      </c>
      <c r="AD300" t="s">
        <v>45</v>
      </c>
      <c r="AE300" s="1">
        <v>33228</v>
      </c>
      <c r="AF300">
        <v>1</v>
      </c>
      <c r="AG300" t="s">
        <v>964</v>
      </c>
      <c r="AH300" s="36">
        <f t="shared" si="4"/>
        <v>28.413888888888888</v>
      </c>
      <c r="AI300" s="40" t="s">
        <v>1777</v>
      </c>
    </row>
    <row r="301" spans="1:35" x14ac:dyDescent="0.25">
      <c r="A301" s="36">
        <v>99910299</v>
      </c>
      <c r="B301" s="17" t="s">
        <v>32</v>
      </c>
      <c r="C301" t="s">
        <v>71</v>
      </c>
      <c r="D301" t="s">
        <v>72</v>
      </c>
      <c r="G301" s="17" t="s">
        <v>35</v>
      </c>
      <c r="H301" s="17">
        <v>1</v>
      </c>
      <c r="I301">
        <v>14177</v>
      </c>
      <c r="J301" s="1">
        <v>43344</v>
      </c>
      <c r="K301" t="s">
        <v>1268</v>
      </c>
      <c r="L301" t="s">
        <v>1269</v>
      </c>
      <c r="M301" t="s">
        <v>1270</v>
      </c>
      <c r="N301">
        <v>23</v>
      </c>
      <c r="O301" t="s">
        <v>40</v>
      </c>
      <c r="P301" t="s">
        <v>40</v>
      </c>
      <c r="Q301" t="s">
        <v>40</v>
      </c>
      <c r="R301" t="s">
        <v>40</v>
      </c>
      <c r="S301" t="s">
        <v>40</v>
      </c>
      <c r="U301" s="1">
        <v>43344</v>
      </c>
      <c r="V301" t="s">
        <v>41</v>
      </c>
      <c r="W301" t="s">
        <v>49</v>
      </c>
      <c r="X301" t="str">
        <f>"1981055"</f>
        <v>1981055</v>
      </c>
      <c r="Y301" t="s">
        <v>1280</v>
      </c>
      <c r="Z301" t="s">
        <v>1268</v>
      </c>
      <c r="AA301" t="s">
        <v>1269</v>
      </c>
      <c r="AB301" t="s">
        <v>1270</v>
      </c>
      <c r="AC301" t="s">
        <v>51</v>
      </c>
      <c r="AD301" t="s">
        <v>45</v>
      </c>
      <c r="AE301" s="1">
        <v>33228</v>
      </c>
      <c r="AF301">
        <v>2</v>
      </c>
      <c r="AG301" t="s">
        <v>1269</v>
      </c>
      <c r="AH301" s="36">
        <f t="shared" si="4"/>
        <v>28.413888888888888</v>
      </c>
      <c r="AI301" s="40" t="s">
        <v>1777</v>
      </c>
    </row>
    <row r="302" spans="1:35" x14ac:dyDescent="0.25">
      <c r="A302" s="36">
        <v>99910300</v>
      </c>
      <c r="B302" s="17" t="s">
        <v>32</v>
      </c>
      <c r="C302" t="s">
        <v>111</v>
      </c>
      <c r="D302" t="s">
        <v>112</v>
      </c>
      <c r="G302" s="17" t="s">
        <v>35</v>
      </c>
      <c r="H302" s="17">
        <v>1</v>
      </c>
      <c r="K302" t="s">
        <v>1081</v>
      </c>
      <c r="L302" t="s">
        <v>1082</v>
      </c>
      <c r="M302" t="s">
        <v>1053</v>
      </c>
      <c r="N302">
        <v>24</v>
      </c>
      <c r="O302" t="s">
        <v>40</v>
      </c>
      <c r="P302" t="s">
        <v>40</v>
      </c>
      <c r="Q302" t="s">
        <v>40</v>
      </c>
      <c r="S302" t="s">
        <v>40</v>
      </c>
      <c r="V302" t="s">
        <v>41</v>
      </c>
      <c r="W302" t="s">
        <v>75</v>
      </c>
      <c r="X302" t="str">
        <f>"7201008"</f>
        <v>7201008</v>
      </c>
      <c r="Y302" t="s">
        <v>1084</v>
      </c>
      <c r="Z302" t="s">
        <v>1081</v>
      </c>
      <c r="AA302" t="s">
        <v>1082</v>
      </c>
      <c r="AB302" t="s">
        <v>1053</v>
      </c>
      <c r="AC302" t="s">
        <v>51</v>
      </c>
      <c r="AD302" t="s">
        <v>45</v>
      </c>
      <c r="AE302" s="1">
        <v>33226</v>
      </c>
      <c r="AF302">
        <v>1</v>
      </c>
      <c r="AG302" t="s">
        <v>1082</v>
      </c>
      <c r="AH302" s="36">
        <f t="shared" si="4"/>
        <v>28.419444444444444</v>
      </c>
      <c r="AI302" s="40" t="s">
        <v>1777</v>
      </c>
    </row>
    <row r="303" spans="1:35" x14ac:dyDescent="0.25">
      <c r="A303" s="36">
        <v>99910301</v>
      </c>
      <c r="B303" s="17" t="s">
        <v>32</v>
      </c>
      <c r="C303" t="s">
        <v>111</v>
      </c>
      <c r="D303" t="s">
        <v>112</v>
      </c>
      <c r="G303" s="17" t="s">
        <v>48</v>
      </c>
      <c r="H303" s="17">
        <v>1</v>
      </c>
      <c r="K303" t="s">
        <v>154</v>
      </c>
      <c r="L303" t="s">
        <v>155</v>
      </c>
      <c r="M303" t="s">
        <v>131</v>
      </c>
      <c r="N303">
        <v>24</v>
      </c>
      <c r="O303" t="s">
        <v>40</v>
      </c>
      <c r="P303" t="s">
        <v>40</v>
      </c>
      <c r="Q303" t="s">
        <v>40</v>
      </c>
      <c r="S303" t="s">
        <v>40</v>
      </c>
      <c r="V303" t="s">
        <v>41</v>
      </c>
      <c r="W303" t="s">
        <v>75</v>
      </c>
      <c r="X303" t="str">
        <f>"7051022"</f>
        <v>7051022</v>
      </c>
      <c r="Y303" t="s">
        <v>153</v>
      </c>
      <c r="Z303" t="s">
        <v>154</v>
      </c>
      <c r="AA303" t="s">
        <v>155</v>
      </c>
      <c r="AB303" t="s">
        <v>131</v>
      </c>
      <c r="AC303" t="s">
        <v>51</v>
      </c>
      <c r="AD303" t="s">
        <v>45</v>
      </c>
      <c r="AE303" s="1">
        <v>33225</v>
      </c>
      <c r="AF303">
        <v>1</v>
      </c>
      <c r="AG303" t="s">
        <v>155</v>
      </c>
      <c r="AH303" s="36">
        <f t="shared" si="4"/>
        <v>28.422222222222221</v>
      </c>
      <c r="AI303" s="40" t="s">
        <v>1777</v>
      </c>
    </row>
    <row r="304" spans="1:35" x14ac:dyDescent="0.25">
      <c r="A304" s="36">
        <v>99910302</v>
      </c>
      <c r="B304" s="17" t="s">
        <v>32</v>
      </c>
      <c r="C304" t="s">
        <v>111</v>
      </c>
      <c r="D304" t="s">
        <v>112</v>
      </c>
      <c r="G304" s="17" t="s">
        <v>48</v>
      </c>
      <c r="H304" s="17">
        <v>1</v>
      </c>
      <c r="K304" t="s">
        <v>667</v>
      </c>
      <c r="L304" t="s">
        <v>669</v>
      </c>
      <c r="M304" t="s">
        <v>670</v>
      </c>
      <c r="N304">
        <v>24</v>
      </c>
      <c r="O304" t="s">
        <v>40</v>
      </c>
      <c r="P304" t="s">
        <v>40</v>
      </c>
      <c r="Q304" t="s">
        <v>40</v>
      </c>
      <c r="S304" t="s">
        <v>40</v>
      </c>
      <c r="V304" t="s">
        <v>41</v>
      </c>
      <c r="W304" t="s">
        <v>75</v>
      </c>
      <c r="X304" t="str">
        <f>"7501004"</f>
        <v>7501004</v>
      </c>
      <c r="Y304" t="s">
        <v>1500</v>
      </c>
      <c r="Z304" t="s">
        <v>667</v>
      </c>
      <c r="AA304" t="s">
        <v>669</v>
      </c>
      <c r="AB304" t="s">
        <v>670</v>
      </c>
      <c r="AC304" t="s">
        <v>51</v>
      </c>
      <c r="AD304" t="s">
        <v>45</v>
      </c>
      <c r="AE304" s="1">
        <v>33221</v>
      </c>
      <c r="AF304">
        <v>1</v>
      </c>
      <c r="AG304" t="s">
        <v>669</v>
      </c>
      <c r="AH304" s="36">
        <f t="shared" si="4"/>
        <v>28.433333333333334</v>
      </c>
      <c r="AI304" s="40" t="s">
        <v>1777</v>
      </c>
    </row>
    <row r="305" spans="1:35" x14ac:dyDescent="0.25">
      <c r="A305" s="36">
        <v>99910303</v>
      </c>
      <c r="B305" s="17" t="s">
        <v>56</v>
      </c>
      <c r="C305" t="s">
        <v>111</v>
      </c>
      <c r="D305" t="s">
        <v>112</v>
      </c>
      <c r="G305" s="17" t="s">
        <v>35</v>
      </c>
      <c r="H305" s="17">
        <v>1</v>
      </c>
      <c r="I305" t="s">
        <v>1080</v>
      </c>
      <c r="J305" s="1">
        <v>43344</v>
      </c>
      <c r="K305" t="s">
        <v>1081</v>
      </c>
      <c r="L305" t="s">
        <v>1082</v>
      </c>
      <c r="M305" t="s">
        <v>1053</v>
      </c>
      <c r="N305">
        <v>24</v>
      </c>
      <c r="O305" t="s">
        <v>40</v>
      </c>
      <c r="P305" t="s">
        <v>40</v>
      </c>
      <c r="Q305" t="s">
        <v>40</v>
      </c>
      <c r="R305" t="s">
        <v>40</v>
      </c>
      <c r="S305" t="s">
        <v>40</v>
      </c>
      <c r="U305" s="1">
        <v>43344</v>
      </c>
      <c r="V305" t="s">
        <v>41</v>
      </c>
      <c r="W305" t="s">
        <v>75</v>
      </c>
      <c r="X305" t="str">
        <f>"7201006"</f>
        <v>7201006</v>
      </c>
      <c r="Y305" t="s">
        <v>1083</v>
      </c>
      <c r="Z305" t="s">
        <v>1081</v>
      </c>
      <c r="AA305" t="s">
        <v>1082</v>
      </c>
      <c r="AB305" t="s">
        <v>1053</v>
      </c>
      <c r="AC305" t="s">
        <v>51</v>
      </c>
      <c r="AD305" t="s">
        <v>45</v>
      </c>
      <c r="AE305" s="1">
        <v>33220</v>
      </c>
      <c r="AF305">
        <v>1</v>
      </c>
      <c r="AG305" t="s">
        <v>1082</v>
      </c>
      <c r="AH305" s="36">
        <f t="shared" si="4"/>
        <v>28.43611111111111</v>
      </c>
      <c r="AI305" s="40" t="s">
        <v>1777</v>
      </c>
    </row>
    <row r="306" spans="1:35" x14ac:dyDescent="0.25">
      <c r="A306" s="36">
        <v>99910304</v>
      </c>
      <c r="B306" s="17" t="s">
        <v>32</v>
      </c>
      <c r="C306" t="s">
        <v>111</v>
      </c>
      <c r="D306" t="s">
        <v>112</v>
      </c>
      <c r="G306" s="17" t="s">
        <v>35</v>
      </c>
      <c r="H306" s="17">
        <v>1</v>
      </c>
      <c r="I306" s="1">
        <v>42636</v>
      </c>
      <c r="J306" s="1">
        <v>43344</v>
      </c>
      <c r="K306" t="s">
        <v>1341</v>
      </c>
      <c r="L306" t="s">
        <v>1342</v>
      </c>
      <c r="M306" t="s">
        <v>1270</v>
      </c>
      <c r="N306">
        <v>24</v>
      </c>
      <c r="O306" t="s">
        <v>40</v>
      </c>
      <c r="S306" t="s">
        <v>40</v>
      </c>
      <c r="U306" s="1">
        <v>43344</v>
      </c>
      <c r="V306" t="s">
        <v>41</v>
      </c>
      <c r="W306" t="s">
        <v>75</v>
      </c>
      <c r="X306" t="str">
        <f>"7191004"</f>
        <v>7191004</v>
      </c>
      <c r="Y306" t="s">
        <v>1344</v>
      </c>
      <c r="Z306" t="s">
        <v>1341</v>
      </c>
      <c r="AA306" t="s">
        <v>1342</v>
      </c>
      <c r="AB306" t="s">
        <v>1270</v>
      </c>
      <c r="AC306" t="s">
        <v>51</v>
      </c>
      <c r="AD306" t="s">
        <v>45</v>
      </c>
      <c r="AE306" s="1">
        <v>33218</v>
      </c>
      <c r="AF306">
        <v>1</v>
      </c>
      <c r="AG306" t="s">
        <v>1342</v>
      </c>
      <c r="AH306" s="36">
        <f t="shared" si="4"/>
        <v>28.441666666666666</v>
      </c>
      <c r="AI306" s="40" t="s">
        <v>1777</v>
      </c>
    </row>
    <row r="307" spans="1:35" x14ac:dyDescent="0.25">
      <c r="A307" s="36">
        <v>99910305</v>
      </c>
      <c r="B307" s="17" t="s">
        <v>32</v>
      </c>
      <c r="C307" t="s">
        <v>111</v>
      </c>
      <c r="D307" t="s">
        <v>112</v>
      </c>
      <c r="G307" s="17" t="s">
        <v>35</v>
      </c>
      <c r="H307" s="17">
        <v>1</v>
      </c>
      <c r="K307" t="s">
        <v>354</v>
      </c>
      <c r="L307" t="s">
        <v>355</v>
      </c>
      <c r="M307" t="s">
        <v>131</v>
      </c>
      <c r="N307">
        <v>24</v>
      </c>
      <c r="O307" t="s">
        <v>40</v>
      </c>
      <c r="P307" t="s">
        <v>40</v>
      </c>
      <c r="Q307" t="s">
        <v>40</v>
      </c>
      <c r="S307" t="s">
        <v>40</v>
      </c>
      <c r="V307" t="s">
        <v>41</v>
      </c>
      <c r="W307" t="s">
        <v>75</v>
      </c>
      <c r="X307" t="str">
        <f>"7054038"</f>
        <v>7054038</v>
      </c>
      <c r="Y307" t="s">
        <v>377</v>
      </c>
      <c r="Z307" t="s">
        <v>354</v>
      </c>
      <c r="AA307" t="s">
        <v>355</v>
      </c>
      <c r="AB307" t="s">
        <v>131</v>
      </c>
      <c r="AC307" t="s">
        <v>44</v>
      </c>
      <c r="AD307" t="s">
        <v>45</v>
      </c>
      <c r="AE307" s="1">
        <v>33213</v>
      </c>
      <c r="AF307">
        <v>1</v>
      </c>
      <c r="AG307" t="s">
        <v>355</v>
      </c>
      <c r="AH307" s="36">
        <f t="shared" si="4"/>
        <v>28.455555555555556</v>
      </c>
      <c r="AI307" s="40" t="s">
        <v>1777</v>
      </c>
    </row>
    <row r="308" spans="1:35" x14ac:dyDescent="0.25">
      <c r="A308" s="36">
        <v>99910306</v>
      </c>
      <c r="B308" s="17" t="s">
        <v>32</v>
      </c>
      <c r="C308" t="s">
        <v>111</v>
      </c>
      <c r="D308" t="s">
        <v>112</v>
      </c>
      <c r="G308" s="17" t="s">
        <v>35</v>
      </c>
      <c r="H308" s="17">
        <v>1</v>
      </c>
      <c r="I308">
        <v>10614</v>
      </c>
      <c r="J308" s="1">
        <v>43344</v>
      </c>
      <c r="K308" t="s">
        <v>354</v>
      </c>
      <c r="L308" t="s">
        <v>355</v>
      </c>
      <c r="M308" t="s">
        <v>131</v>
      </c>
      <c r="N308">
        <v>24</v>
      </c>
      <c r="O308" t="s">
        <v>40</v>
      </c>
      <c r="P308" t="s">
        <v>40</v>
      </c>
      <c r="Q308" t="s">
        <v>40</v>
      </c>
      <c r="R308" t="s">
        <v>40</v>
      </c>
      <c r="S308" t="s">
        <v>40</v>
      </c>
      <c r="U308" s="1">
        <v>43344</v>
      </c>
      <c r="V308" t="s">
        <v>41</v>
      </c>
      <c r="W308" t="s">
        <v>75</v>
      </c>
      <c r="X308" t="str">
        <f>"7054000"</f>
        <v>7054000</v>
      </c>
      <c r="Y308" t="s">
        <v>786</v>
      </c>
      <c r="Z308" t="s">
        <v>354</v>
      </c>
      <c r="AA308" t="s">
        <v>355</v>
      </c>
      <c r="AB308" t="s">
        <v>131</v>
      </c>
      <c r="AC308" t="s">
        <v>44</v>
      </c>
      <c r="AD308" t="s">
        <v>45</v>
      </c>
      <c r="AE308" s="1">
        <v>33208</v>
      </c>
      <c r="AF308">
        <v>1</v>
      </c>
      <c r="AG308" t="s">
        <v>355</v>
      </c>
      <c r="AH308" s="36">
        <f t="shared" si="4"/>
        <v>28.469444444444445</v>
      </c>
      <c r="AI308" s="40" t="s">
        <v>1777</v>
      </c>
    </row>
    <row r="309" spans="1:35" x14ac:dyDescent="0.25">
      <c r="A309" s="36">
        <v>99910307</v>
      </c>
      <c r="B309" s="17" t="s">
        <v>32</v>
      </c>
      <c r="C309" t="s">
        <v>90</v>
      </c>
      <c r="D309" t="s">
        <v>91</v>
      </c>
      <c r="G309" s="17" t="s">
        <v>35</v>
      </c>
      <c r="H309" s="17">
        <v>1</v>
      </c>
      <c r="I309">
        <v>5014</v>
      </c>
      <c r="J309" s="1">
        <v>42983</v>
      </c>
      <c r="K309" t="s">
        <v>1043</v>
      </c>
      <c r="L309" t="s">
        <v>1044</v>
      </c>
      <c r="M309" t="s">
        <v>1041</v>
      </c>
      <c r="N309">
        <v>25</v>
      </c>
      <c r="O309" t="s">
        <v>40</v>
      </c>
      <c r="S309" t="s">
        <v>40</v>
      </c>
      <c r="U309" s="1">
        <v>42983</v>
      </c>
      <c r="V309" t="s">
        <v>41</v>
      </c>
      <c r="W309" t="s">
        <v>95</v>
      </c>
      <c r="X309" t="str">
        <f>"7271015"</f>
        <v>7271015</v>
      </c>
      <c r="Y309" t="s">
        <v>1045</v>
      </c>
      <c r="Z309" t="s">
        <v>1043</v>
      </c>
      <c r="AA309" t="s">
        <v>1044</v>
      </c>
      <c r="AB309" t="s">
        <v>1041</v>
      </c>
      <c r="AC309" t="s">
        <v>44</v>
      </c>
      <c r="AD309" t="s">
        <v>45</v>
      </c>
      <c r="AE309" s="1">
        <v>33208</v>
      </c>
      <c r="AF309">
        <v>1</v>
      </c>
      <c r="AG309" t="s">
        <v>1044</v>
      </c>
      <c r="AH309" s="36">
        <f t="shared" si="4"/>
        <v>28.469444444444445</v>
      </c>
      <c r="AI309" s="40" t="s">
        <v>1777</v>
      </c>
    </row>
    <row r="310" spans="1:35" x14ac:dyDescent="0.25">
      <c r="A310" s="36">
        <v>99910308</v>
      </c>
      <c r="B310" s="17" t="s">
        <v>32</v>
      </c>
      <c r="C310" t="s">
        <v>136</v>
      </c>
      <c r="D310" t="s">
        <v>137</v>
      </c>
      <c r="G310" s="17" t="s">
        <v>35</v>
      </c>
      <c r="H310" s="17">
        <v>1</v>
      </c>
      <c r="I310">
        <v>16633</v>
      </c>
      <c r="J310" s="1">
        <v>43361</v>
      </c>
      <c r="K310" t="s">
        <v>345</v>
      </c>
      <c r="L310" t="s">
        <v>346</v>
      </c>
      <c r="M310" t="s">
        <v>131</v>
      </c>
      <c r="N310">
        <v>3</v>
      </c>
      <c r="O310" t="s">
        <v>40</v>
      </c>
      <c r="P310" t="s">
        <v>40</v>
      </c>
      <c r="Q310" t="s">
        <v>40</v>
      </c>
      <c r="S310" t="s">
        <v>40</v>
      </c>
      <c r="U310" s="1">
        <v>43361</v>
      </c>
      <c r="V310" t="s">
        <v>41</v>
      </c>
      <c r="W310" t="s">
        <v>49</v>
      </c>
      <c r="X310" t="str">
        <f>"0581660"</f>
        <v>0581660</v>
      </c>
      <c r="Y310" t="s">
        <v>359</v>
      </c>
      <c r="Z310" t="s">
        <v>345</v>
      </c>
      <c r="AA310" t="s">
        <v>346</v>
      </c>
      <c r="AB310" t="s">
        <v>131</v>
      </c>
      <c r="AC310" t="s">
        <v>44</v>
      </c>
      <c r="AD310" t="s">
        <v>45</v>
      </c>
      <c r="AE310" s="1">
        <v>33197</v>
      </c>
      <c r="AF310">
        <v>2</v>
      </c>
      <c r="AG310" t="s">
        <v>346</v>
      </c>
      <c r="AH310" s="36">
        <f t="shared" si="4"/>
        <v>28.5</v>
      </c>
      <c r="AI310" s="40" t="s">
        <v>1777</v>
      </c>
    </row>
    <row r="311" spans="1:35" x14ac:dyDescent="0.25">
      <c r="A311" s="36">
        <v>99910309</v>
      </c>
      <c r="B311" s="17" t="s">
        <v>32</v>
      </c>
      <c r="C311" t="s">
        <v>143</v>
      </c>
      <c r="D311" t="s">
        <v>144</v>
      </c>
      <c r="G311" s="17" t="s">
        <v>48</v>
      </c>
      <c r="H311" s="17">
        <v>1</v>
      </c>
      <c r="K311" t="s">
        <v>1198</v>
      </c>
      <c r="L311" t="s">
        <v>1199</v>
      </c>
      <c r="M311" t="s">
        <v>1130</v>
      </c>
      <c r="N311">
        <v>23</v>
      </c>
      <c r="O311" t="s">
        <v>40</v>
      </c>
      <c r="P311" t="s">
        <v>40</v>
      </c>
      <c r="Q311" t="s">
        <v>40</v>
      </c>
      <c r="R311" t="s">
        <v>40</v>
      </c>
      <c r="S311" t="s">
        <v>40</v>
      </c>
      <c r="V311" t="s">
        <v>41</v>
      </c>
      <c r="W311" t="s">
        <v>75</v>
      </c>
      <c r="X311" t="str">
        <f>"7311010"</f>
        <v>7311010</v>
      </c>
      <c r="Y311" t="s">
        <v>1202</v>
      </c>
      <c r="Z311" t="s">
        <v>1198</v>
      </c>
      <c r="AA311" t="s">
        <v>1199</v>
      </c>
      <c r="AB311" t="s">
        <v>1130</v>
      </c>
      <c r="AC311" t="s">
        <v>51</v>
      </c>
      <c r="AD311" t="s">
        <v>45</v>
      </c>
      <c r="AE311" s="1">
        <v>33194</v>
      </c>
      <c r="AF311">
        <v>1</v>
      </c>
      <c r="AG311" t="s">
        <v>1199</v>
      </c>
      <c r="AH311" s="36">
        <f t="shared" si="4"/>
        <v>28.508333333333333</v>
      </c>
      <c r="AI311" s="40" t="s">
        <v>1777</v>
      </c>
    </row>
    <row r="312" spans="1:35" x14ac:dyDescent="0.25">
      <c r="A312" s="36">
        <v>99910310</v>
      </c>
      <c r="B312" s="17" t="s">
        <v>32</v>
      </c>
      <c r="C312" t="s">
        <v>143</v>
      </c>
      <c r="D312" t="s">
        <v>144</v>
      </c>
      <c r="G312" s="17" t="s">
        <v>35</v>
      </c>
      <c r="H312" s="17">
        <v>1</v>
      </c>
      <c r="I312" s="1">
        <v>42688</v>
      </c>
      <c r="J312" s="1">
        <v>43344</v>
      </c>
      <c r="K312" t="s">
        <v>1341</v>
      </c>
      <c r="L312" t="s">
        <v>1342</v>
      </c>
      <c r="M312" t="s">
        <v>1270</v>
      </c>
      <c r="N312">
        <v>21</v>
      </c>
      <c r="O312" t="s">
        <v>40</v>
      </c>
      <c r="S312" t="s">
        <v>40</v>
      </c>
      <c r="U312" s="1">
        <v>43344</v>
      </c>
      <c r="V312" t="s">
        <v>41</v>
      </c>
      <c r="W312" t="s">
        <v>75</v>
      </c>
      <c r="X312" t="str">
        <f>"7191000"</f>
        <v>7191000</v>
      </c>
      <c r="Y312" t="s">
        <v>1347</v>
      </c>
      <c r="Z312" t="s">
        <v>1341</v>
      </c>
      <c r="AA312" t="s">
        <v>1342</v>
      </c>
      <c r="AB312" t="s">
        <v>1270</v>
      </c>
      <c r="AC312" t="s">
        <v>51</v>
      </c>
      <c r="AD312" t="s">
        <v>45</v>
      </c>
      <c r="AE312" s="1">
        <v>33194</v>
      </c>
      <c r="AF312">
        <v>1</v>
      </c>
      <c r="AG312" t="s">
        <v>1342</v>
      </c>
      <c r="AH312" s="36">
        <f t="shared" si="4"/>
        <v>28.508333333333333</v>
      </c>
      <c r="AI312" s="40" t="s">
        <v>1777</v>
      </c>
    </row>
    <row r="313" spans="1:35" x14ac:dyDescent="0.25">
      <c r="A313" s="36">
        <v>99910311</v>
      </c>
      <c r="B313" s="17" t="s">
        <v>32</v>
      </c>
      <c r="C313" t="s">
        <v>90</v>
      </c>
      <c r="D313" t="s">
        <v>91</v>
      </c>
      <c r="G313" s="17" t="s">
        <v>35</v>
      </c>
      <c r="H313" s="17">
        <v>1</v>
      </c>
      <c r="I313">
        <v>5</v>
      </c>
      <c r="J313" s="1">
        <v>43346</v>
      </c>
      <c r="K313" t="s">
        <v>268</v>
      </c>
      <c r="L313" t="s">
        <v>269</v>
      </c>
      <c r="M313" t="s">
        <v>131</v>
      </c>
      <c r="N313">
        <v>30</v>
      </c>
      <c r="O313" t="s">
        <v>40</v>
      </c>
      <c r="S313" t="s">
        <v>40</v>
      </c>
      <c r="U313" s="1">
        <v>43346</v>
      </c>
      <c r="V313" t="s">
        <v>41</v>
      </c>
      <c r="W313" t="s">
        <v>95</v>
      </c>
      <c r="X313" t="str">
        <f>"7052193"</f>
        <v>7052193</v>
      </c>
      <c r="Y313" t="s">
        <v>741</v>
      </c>
      <c r="Z313" t="s">
        <v>268</v>
      </c>
      <c r="AA313" t="s">
        <v>269</v>
      </c>
      <c r="AB313" t="s">
        <v>131</v>
      </c>
      <c r="AC313" t="s">
        <v>44</v>
      </c>
      <c r="AD313" t="s">
        <v>45</v>
      </c>
      <c r="AE313" s="1">
        <v>33193</v>
      </c>
      <c r="AF313">
        <v>1</v>
      </c>
      <c r="AG313" t="s">
        <v>269</v>
      </c>
      <c r="AH313" s="36">
        <f t="shared" si="4"/>
        <v>28.511111111111113</v>
      </c>
      <c r="AI313" s="40" t="s">
        <v>1777</v>
      </c>
    </row>
    <row r="314" spans="1:35" x14ac:dyDescent="0.25">
      <c r="A314" s="36">
        <v>99910312</v>
      </c>
      <c r="B314" s="17" t="s">
        <v>32</v>
      </c>
      <c r="C314" t="s">
        <v>64</v>
      </c>
      <c r="D314" t="s">
        <v>65</v>
      </c>
      <c r="G314" s="17" t="s">
        <v>48</v>
      </c>
      <c r="H314" s="17">
        <v>1</v>
      </c>
      <c r="K314" t="s">
        <v>223</v>
      </c>
      <c r="L314" t="s">
        <v>224</v>
      </c>
      <c r="M314" t="s">
        <v>131</v>
      </c>
      <c r="N314">
        <v>6</v>
      </c>
      <c r="O314" t="s">
        <v>40</v>
      </c>
      <c r="P314" t="s">
        <v>40</v>
      </c>
      <c r="Q314" t="s">
        <v>40</v>
      </c>
      <c r="R314" t="s">
        <v>40</v>
      </c>
      <c r="S314" t="s">
        <v>40</v>
      </c>
      <c r="V314" t="s">
        <v>41</v>
      </c>
      <c r="W314" t="s">
        <v>49</v>
      </c>
      <c r="X314" t="str">
        <f>"0581265"</f>
        <v>0581265</v>
      </c>
      <c r="Y314" t="s">
        <v>236</v>
      </c>
      <c r="Z314" t="s">
        <v>223</v>
      </c>
      <c r="AA314" t="s">
        <v>224</v>
      </c>
      <c r="AB314" t="s">
        <v>131</v>
      </c>
      <c r="AC314" t="s">
        <v>51</v>
      </c>
      <c r="AD314" t="s">
        <v>45</v>
      </c>
      <c r="AE314" s="1">
        <v>33187</v>
      </c>
      <c r="AF314">
        <v>2</v>
      </c>
      <c r="AG314" t="s">
        <v>224</v>
      </c>
      <c r="AH314" s="36">
        <f t="shared" si="4"/>
        <v>28.527777777777779</v>
      </c>
      <c r="AI314" s="40" t="s">
        <v>1777</v>
      </c>
    </row>
    <row r="315" spans="1:35" x14ac:dyDescent="0.25">
      <c r="A315" s="36">
        <v>99910313</v>
      </c>
      <c r="B315" s="17" t="s">
        <v>32</v>
      </c>
      <c r="C315" t="s">
        <v>90</v>
      </c>
      <c r="D315" t="s">
        <v>91</v>
      </c>
      <c r="G315" s="17" t="s">
        <v>35</v>
      </c>
      <c r="H315" s="17">
        <v>1</v>
      </c>
      <c r="I315" t="s">
        <v>1038</v>
      </c>
      <c r="J315" s="1">
        <v>43346</v>
      </c>
      <c r="K315" t="s">
        <v>1039</v>
      </c>
      <c r="L315" t="s">
        <v>1040</v>
      </c>
      <c r="M315" t="s">
        <v>1041</v>
      </c>
      <c r="N315">
        <v>25</v>
      </c>
      <c r="O315" t="s">
        <v>40</v>
      </c>
      <c r="S315" t="s">
        <v>40</v>
      </c>
      <c r="U315" s="1">
        <v>43346</v>
      </c>
      <c r="V315" t="s">
        <v>41</v>
      </c>
      <c r="W315" t="s">
        <v>95</v>
      </c>
      <c r="X315" t="str">
        <f>"7231001"</f>
        <v>7231001</v>
      </c>
      <c r="Y315" t="s">
        <v>1042</v>
      </c>
      <c r="Z315" t="s">
        <v>1039</v>
      </c>
      <c r="AA315" t="s">
        <v>1040</v>
      </c>
      <c r="AB315" t="s">
        <v>1041</v>
      </c>
      <c r="AC315" t="s">
        <v>44</v>
      </c>
      <c r="AD315" t="s">
        <v>45</v>
      </c>
      <c r="AE315" s="1">
        <v>33187</v>
      </c>
      <c r="AF315">
        <v>1</v>
      </c>
      <c r="AG315" t="s">
        <v>1040</v>
      </c>
      <c r="AH315" s="36">
        <f t="shared" si="4"/>
        <v>28.527777777777779</v>
      </c>
      <c r="AI315" s="40" t="s">
        <v>1777</v>
      </c>
    </row>
    <row r="316" spans="1:35" x14ac:dyDescent="0.25">
      <c r="A316" s="36">
        <v>99910314</v>
      </c>
      <c r="B316" s="17" t="s">
        <v>32</v>
      </c>
      <c r="C316" t="s">
        <v>90</v>
      </c>
      <c r="D316" t="s">
        <v>91</v>
      </c>
      <c r="G316" s="17" t="s">
        <v>35</v>
      </c>
      <c r="H316" s="17">
        <v>1</v>
      </c>
      <c r="I316">
        <v>11613</v>
      </c>
      <c r="J316" s="1">
        <v>43344</v>
      </c>
      <c r="K316" t="s">
        <v>354</v>
      </c>
      <c r="L316" t="s">
        <v>355</v>
      </c>
      <c r="M316" t="s">
        <v>131</v>
      </c>
      <c r="N316">
        <v>25</v>
      </c>
      <c r="O316" t="s">
        <v>40</v>
      </c>
      <c r="S316" t="s">
        <v>40</v>
      </c>
      <c r="U316" s="1">
        <v>43344</v>
      </c>
      <c r="V316" t="s">
        <v>41</v>
      </c>
      <c r="W316" t="s">
        <v>95</v>
      </c>
      <c r="X316" t="str">
        <f>"7054049"</f>
        <v>7054049</v>
      </c>
      <c r="Y316" t="s">
        <v>823</v>
      </c>
      <c r="Z316" t="s">
        <v>354</v>
      </c>
      <c r="AA316" t="s">
        <v>355</v>
      </c>
      <c r="AB316" t="s">
        <v>131</v>
      </c>
      <c r="AC316" t="s">
        <v>44</v>
      </c>
      <c r="AD316" t="s">
        <v>45</v>
      </c>
      <c r="AE316" s="1">
        <v>33186</v>
      </c>
      <c r="AF316">
        <v>1</v>
      </c>
      <c r="AG316" t="s">
        <v>355</v>
      </c>
      <c r="AH316" s="36">
        <f t="shared" si="4"/>
        <v>28.530555555555555</v>
      </c>
      <c r="AI316" s="40" t="s">
        <v>1777</v>
      </c>
    </row>
    <row r="317" spans="1:35" x14ac:dyDescent="0.25">
      <c r="A317" s="36">
        <v>99910315</v>
      </c>
      <c r="B317" s="17" t="s">
        <v>32</v>
      </c>
      <c r="C317" t="s">
        <v>111</v>
      </c>
      <c r="D317" t="s">
        <v>112</v>
      </c>
      <c r="G317" s="17" t="s">
        <v>48</v>
      </c>
      <c r="H317" s="17">
        <v>1</v>
      </c>
      <c r="K317" t="s">
        <v>667</v>
      </c>
      <c r="L317" t="s">
        <v>669</v>
      </c>
      <c r="M317" t="s">
        <v>670</v>
      </c>
      <c r="N317">
        <v>24</v>
      </c>
      <c r="O317" t="s">
        <v>40</v>
      </c>
      <c r="P317" t="s">
        <v>40</v>
      </c>
      <c r="Q317" t="s">
        <v>40</v>
      </c>
      <c r="S317" t="s">
        <v>40</v>
      </c>
      <c r="V317" t="s">
        <v>41</v>
      </c>
      <c r="W317" t="s">
        <v>75</v>
      </c>
      <c r="X317" t="str">
        <f>"7501004"</f>
        <v>7501004</v>
      </c>
      <c r="Y317" t="s">
        <v>1500</v>
      </c>
      <c r="Z317" t="s">
        <v>667</v>
      </c>
      <c r="AA317" t="s">
        <v>669</v>
      </c>
      <c r="AB317" t="s">
        <v>670</v>
      </c>
      <c r="AC317" t="s">
        <v>51</v>
      </c>
      <c r="AD317" t="s">
        <v>45</v>
      </c>
      <c r="AE317" s="1">
        <v>33186</v>
      </c>
      <c r="AF317">
        <v>1</v>
      </c>
      <c r="AG317" t="s">
        <v>669</v>
      </c>
      <c r="AH317" s="36">
        <f t="shared" si="4"/>
        <v>28.530555555555555</v>
      </c>
      <c r="AI317" s="40" t="s">
        <v>1777</v>
      </c>
    </row>
    <row r="318" spans="1:35" x14ac:dyDescent="0.25">
      <c r="A318" s="36">
        <v>99910316</v>
      </c>
      <c r="B318" s="17" t="s">
        <v>32</v>
      </c>
      <c r="C318" t="s">
        <v>64</v>
      </c>
      <c r="D318" t="s">
        <v>65</v>
      </c>
      <c r="G318" s="17" t="s">
        <v>35</v>
      </c>
      <c r="H318" s="17">
        <v>1</v>
      </c>
      <c r="I318">
        <v>0</v>
      </c>
      <c r="J318" s="1">
        <v>43344</v>
      </c>
      <c r="K318" t="s">
        <v>223</v>
      </c>
      <c r="L318" t="s">
        <v>224</v>
      </c>
      <c r="M318" t="s">
        <v>131</v>
      </c>
      <c r="N318">
        <v>23</v>
      </c>
      <c r="O318" t="s">
        <v>40</v>
      </c>
      <c r="P318" t="s">
        <v>40</v>
      </c>
      <c r="Q318" t="s">
        <v>40</v>
      </c>
      <c r="S318" t="s">
        <v>40</v>
      </c>
      <c r="U318" s="1">
        <v>43344</v>
      </c>
      <c r="V318" t="s">
        <v>41</v>
      </c>
      <c r="W318" t="s">
        <v>42</v>
      </c>
      <c r="X318" t="str">
        <f>"0580207"</f>
        <v>0580207</v>
      </c>
      <c r="Y318" t="s">
        <v>229</v>
      </c>
      <c r="Z318" t="s">
        <v>223</v>
      </c>
      <c r="AA318" t="s">
        <v>224</v>
      </c>
      <c r="AB318" t="s">
        <v>131</v>
      </c>
      <c r="AC318" t="s">
        <v>44</v>
      </c>
      <c r="AD318" t="s">
        <v>45</v>
      </c>
      <c r="AE318" s="1">
        <v>33178</v>
      </c>
      <c r="AF318">
        <v>2</v>
      </c>
      <c r="AG318" t="s">
        <v>224</v>
      </c>
      <c r="AH318" s="36">
        <f t="shared" si="4"/>
        <v>28.552777777777777</v>
      </c>
      <c r="AI318" s="40" t="s">
        <v>1777</v>
      </c>
    </row>
    <row r="319" spans="1:35" x14ac:dyDescent="0.25">
      <c r="A319" s="36">
        <v>99910317</v>
      </c>
      <c r="B319" s="17" t="s">
        <v>32</v>
      </c>
      <c r="C319" t="s">
        <v>90</v>
      </c>
      <c r="D319" t="s">
        <v>91</v>
      </c>
      <c r="G319" s="17" t="s">
        <v>35</v>
      </c>
      <c r="H319" s="17">
        <v>1</v>
      </c>
      <c r="I319">
        <v>57</v>
      </c>
      <c r="J319" s="1">
        <v>43347</v>
      </c>
      <c r="K319" t="s">
        <v>963</v>
      </c>
      <c r="L319" t="s">
        <v>964</v>
      </c>
      <c r="M319" t="s">
        <v>938</v>
      </c>
      <c r="N319">
        <v>25</v>
      </c>
      <c r="O319" t="s">
        <v>40</v>
      </c>
      <c r="S319" t="s">
        <v>40</v>
      </c>
      <c r="U319" s="1">
        <v>43347</v>
      </c>
      <c r="V319" t="s">
        <v>41</v>
      </c>
      <c r="W319" t="s">
        <v>95</v>
      </c>
      <c r="X319" t="str">
        <f>"7061013"</f>
        <v>7061013</v>
      </c>
      <c r="Y319" t="s">
        <v>998</v>
      </c>
      <c r="Z319" t="s">
        <v>963</v>
      </c>
      <c r="AA319" t="s">
        <v>964</v>
      </c>
      <c r="AB319" t="s">
        <v>938</v>
      </c>
      <c r="AC319" t="s">
        <v>44</v>
      </c>
      <c r="AD319" t="s">
        <v>45</v>
      </c>
      <c r="AE319" s="1">
        <v>33175</v>
      </c>
      <c r="AF319">
        <v>1</v>
      </c>
      <c r="AG319" t="s">
        <v>964</v>
      </c>
      <c r="AH319" s="36">
        <f t="shared" si="4"/>
        <v>28.56111111111111</v>
      </c>
      <c r="AI319" s="40" t="s">
        <v>1777</v>
      </c>
    </row>
    <row r="320" spans="1:35" x14ac:dyDescent="0.25">
      <c r="A320" s="36">
        <v>99910318</v>
      </c>
      <c r="B320" s="17" t="s">
        <v>32</v>
      </c>
      <c r="C320" t="s">
        <v>111</v>
      </c>
      <c r="D320" t="s">
        <v>112</v>
      </c>
      <c r="G320" s="17" t="s">
        <v>88</v>
      </c>
      <c r="H320" s="17">
        <v>2</v>
      </c>
      <c r="J320" s="1">
        <v>41883</v>
      </c>
      <c r="K320" t="s">
        <v>195</v>
      </c>
      <c r="L320" t="s">
        <v>196</v>
      </c>
      <c r="M320" t="s">
        <v>131</v>
      </c>
      <c r="N320">
        <v>24</v>
      </c>
      <c r="O320" t="s">
        <v>40</v>
      </c>
      <c r="P320" t="s">
        <v>40</v>
      </c>
      <c r="Q320" t="s">
        <v>40</v>
      </c>
      <c r="R320" t="s">
        <v>40</v>
      </c>
      <c r="S320" t="s">
        <v>40</v>
      </c>
      <c r="U320" s="1">
        <v>41883</v>
      </c>
      <c r="V320" t="s">
        <v>41</v>
      </c>
      <c r="W320" t="s">
        <v>75</v>
      </c>
      <c r="X320" t="str">
        <f>"7521052"</f>
        <v>7521052</v>
      </c>
      <c r="Y320" t="s">
        <v>443</v>
      </c>
      <c r="Z320" t="s">
        <v>195</v>
      </c>
      <c r="AA320" t="s">
        <v>196</v>
      </c>
      <c r="AB320" t="s">
        <v>131</v>
      </c>
      <c r="AC320" t="s">
        <v>51</v>
      </c>
      <c r="AD320" t="s">
        <v>45</v>
      </c>
      <c r="AE320" s="1">
        <v>33173</v>
      </c>
      <c r="AF320">
        <v>1</v>
      </c>
      <c r="AG320" t="s">
        <v>196</v>
      </c>
      <c r="AH320" s="36">
        <f t="shared" si="4"/>
        <v>28.566666666666666</v>
      </c>
      <c r="AI320" s="40" t="s">
        <v>1777</v>
      </c>
    </row>
    <row r="321" spans="1:35" x14ac:dyDescent="0.25">
      <c r="A321" s="36">
        <v>99910319</v>
      </c>
      <c r="B321" s="17" t="s">
        <v>32</v>
      </c>
      <c r="C321" t="s">
        <v>111</v>
      </c>
      <c r="D321" t="s">
        <v>112</v>
      </c>
      <c r="G321" s="17" t="s">
        <v>35</v>
      </c>
      <c r="H321" s="17">
        <v>1</v>
      </c>
      <c r="K321" t="s">
        <v>354</v>
      </c>
      <c r="L321" t="s">
        <v>355</v>
      </c>
      <c r="M321" t="s">
        <v>131</v>
      </c>
      <c r="N321">
        <v>24</v>
      </c>
      <c r="O321" t="s">
        <v>40</v>
      </c>
      <c r="P321" t="s">
        <v>40</v>
      </c>
      <c r="Q321" t="s">
        <v>40</v>
      </c>
      <c r="S321" t="s">
        <v>40</v>
      </c>
      <c r="V321" t="s">
        <v>41</v>
      </c>
      <c r="W321" t="s">
        <v>75</v>
      </c>
      <c r="X321" t="str">
        <f>"7054038"</f>
        <v>7054038</v>
      </c>
      <c r="Y321" t="s">
        <v>377</v>
      </c>
      <c r="Z321" t="s">
        <v>354</v>
      </c>
      <c r="AA321" t="s">
        <v>355</v>
      </c>
      <c r="AB321" t="s">
        <v>131</v>
      </c>
      <c r="AC321" t="s">
        <v>51</v>
      </c>
      <c r="AD321" t="s">
        <v>45</v>
      </c>
      <c r="AE321" s="1">
        <v>33169</v>
      </c>
      <c r="AF321">
        <v>1</v>
      </c>
      <c r="AG321" t="s">
        <v>355</v>
      </c>
      <c r="AH321" s="36">
        <f t="shared" si="4"/>
        <v>28.577777777777779</v>
      </c>
      <c r="AI321" s="40" t="s">
        <v>1777</v>
      </c>
    </row>
    <row r="322" spans="1:35" x14ac:dyDescent="0.25">
      <c r="A322" s="36">
        <v>99910320</v>
      </c>
      <c r="B322" s="17" t="s">
        <v>32</v>
      </c>
      <c r="C322" t="s">
        <v>111</v>
      </c>
      <c r="D322" t="s">
        <v>112</v>
      </c>
      <c r="G322" s="17" t="s">
        <v>35</v>
      </c>
      <c r="H322" s="17">
        <v>1</v>
      </c>
      <c r="I322">
        <v>11596</v>
      </c>
      <c r="J322" s="1">
        <v>43344</v>
      </c>
      <c r="K322" t="s">
        <v>354</v>
      </c>
      <c r="L322" t="s">
        <v>355</v>
      </c>
      <c r="M322" t="s">
        <v>131</v>
      </c>
      <c r="N322">
        <v>24</v>
      </c>
      <c r="O322" t="s">
        <v>40</v>
      </c>
      <c r="S322" t="s">
        <v>40</v>
      </c>
      <c r="U322" s="1">
        <v>43344</v>
      </c>
      <c r="V322" t="s">
        <v>41</v>
      </c>
      <c r="W322" t="s">
        <v>75</v>
      </c>
      <c r="X322" t="str">
        <f>"7054018"</f>
        <v>7054018</v>
      </c>
      <c r="Y322" t="s">
        <v>773</v>
      </c>
      <c r="Z322" t="s">
        <v>354</v>
      </c>
      <c r="AA322" t="s">
        <v>355</v>
      </c>
      <c r="AB322" t="s">
        <v>131</v>
      </c>
      <c r="AC322" t="s">
        <v>44</v>
      </c>
      <c r="AD322" t="s">
        <v>45</v>
      </c>
      <c r="AE322" s="1">
        <v>33165</v>
      </c>
      <c r="AF322">
        <v>1</v>
      </c>
      <c r="AG322" t="s">
        <v>355</v>
      </c>
      <c r="AH322" s="36">
        <f t="shared" ref="AH322:AH385" si="5">($AJ$1-AE322)/360</f>
        <v>28.588888888888889</v>
      </c>
      <c r="AI322" s="40" t="s">
        <v>1777</v>
      </c>
    </row>
    <row r="323" spans="1:35" x14ac:dyDescent="0.25">
      <c r="A323" s="36">
        <v>99910321</v>
      </c>
      <c r="B323" s="17" t="s">
        <v>32</v>
      </c>
      <c r="C323" t="s">
        <v>111</v>
      </c>
      <c r="D323" t="s">
        <v>112</v>
      </c>
      <c r="G323" s="17" t="s">
        <v>35</v>
      </c>
      <c r="H323" s="17">
        <v>1</v>
      </c>
      <c r="I323">
        <v>12914</v>
      </c>
      <c r="J323" s="1">
        <v>43344</v>
      </c>
      <c r="K323" t="s">
        <v>354</v>
      </c>
      <c r="L323" t="s">
        <v>355</v>
      </c>
      <c r="M323" t="s">
        <v>131</v>
      </c>
      <c r="N323">
        <v>24</v>
      </c>
      <c r="O323" t="s">
        <v>40</v>
      </c>
      <c r="P323" t="s">
        <v>40</v>
      </c>
      <c r="Q323" t="s">
        <v>40</v>
      </c>
      <c r="S323" t="s">
        <v>40</v>
      </c>
      <c r="U323" s="1">
        <v>43344</v>
      </c>
      <c r="V323" t="s">
        <v>41</v>
      </c>
      <c r="W323" t="s">
        <v>75</v>
      </c>
      <c r="X323" t="str">
        <f>"7054022"</f>
        <v>7054022</v>
      </c>
      <c r="Y323" t="s">
        <v>770</v>
      </c>
      <c r="Z323" t="s">
        <v>354</v>
      </c>
      <c r="AA323" t="s">
        <v>355</v>
      </c>
      <c r="AB323" t="s">
        <v>131</v>
      </c>
      <c r="AC323" t="s">
        <v>55</v>
      </c>
      <c r="AD323" t="s">
        <v>45</v>
      </c>
      <c r="AE323" s="1">
        <v>33164</v>
      </c>
      <c r="AF323">
        <v>1</v>
      </c>
      <c r="AG323" t="s">
        <v>355</v>
      </c>
      <c r="AH323" s="36">
        <f t="shared" si="5"/>
        <v>28.591666666666665</v>
      </c>
      <c r="AI323" s="40" t="s">
        <v>1777</v>
      </c>
    </row>
    <row r="324" spans="1:35" x14ac:dyDescent="0.25">
      <c r="A324" s="36">
        <v>99910322</v>
      </c>
      <c r="B324" s="17" t="s">
        <v>56</v>
      </c>
      <c r="C324" t="s">
        <v>68</v>
      </c>
      <c r="D324" t="s">
        <v>69</v>
      </c>
      <c r="G324" s="17" t="s">
        <v>35</v>
      </c>
      <c r="H324" s="17">
        <v>1</v>
      </c>
      <c r="I324" t="s">
        <v>1163</v>
      </c>
      <c r="J324" s="1">
        <v>43344</v>
      </c>
      <c r="K324" t="s">
        <v>1128</v>
      </c>
      <c r="L324" t="s">
        <v>1129</v>
      </c>
      <c r="M324" t="s">
        <v>1130</v>
      </c>
      <c r="N324">
        <v>12</v>
      </c>
      <c r="O324" t="s">
        <v>40</v>
      </c>
      <c r="P324" t="s">
        <v>40</v>
      </c>
      <c r="Q324" t="s">
        <v>40</v>
      </c>
      <c r="R324" t="s">
        <v>40</v>
      </c>
      <c r="S324" t="s">
        <v>40</v>
      </c>
      <c r="U324" s="1">
        <v>43344</v>
      </c>
      <c r="V324" t="s">
        <v>41</v>
      </c>
      <c r="W324" t="s">
        <v>49</v>
      </c>
      <c r="X324" t="str">
        <f>"3181015"</f>
        <v>3181015</v>
      </c>
      <c r="Y324" t="s">
        <v>1131</v>
      </c>
      <c r="Z324" t="s">
        <v>1128</v>
      </c>
      <c r="AA324" t="s">
        <v>1129</v>
      </c>
      <c r="AB324" t="s">
        <v>1130</v>
      </c>
      <c r="AC324" t="s">
        <v>51</v>
      </c>
      <c r="AD324" t="s">
        <v>45</v>
      </c>
      <c r="AE324" s="1">
        <v>33161</v>
      </c>
      <c r="AF324">
        <v>2</v>
      </c>
      <c r="AG324" t="s">
        <v>1129</v>
      </c>
      <c r="AH324" s="36">
        <f t="shared" si="5"/>
        <v>28.6</v>
      </c>
      <c r="AI324" s="40" t="s">
        <v>1777</v>
      </c>
    </row>
    <row r="325" spans="1:35" x14ac:dyDescent="0.25">
      <c r="A325" s="36">
        <v>99910323</v>
      </c>
      <c r="B325" s="17" t="s">
        <v>32</v>
      </c>
      <c r="C325" t="s">
        <v>111</v>
      </c>
      <c r="D325" t="s">
        <v>112</v>
      </c>
      <c r="G325" s="17" t="s">
        <v>35</v>
      </c>
      <c r="H325" s="17">
        <v>1</v>
      </c>
      <c r="K325" t="s">
        <v>154</v>
      </c>
      <c r="L325" t="s">
        <v>155</v>
      </c>
      <c r="M325" t="s">
        <v>131</v>
      </c>
      <c r="N325">
        <v>24</v>
      </c>
      <c r="O325" t="s">
        <v>40</v>
      </c>
      <c r="P325" t="s">
        <v>40</v>
      </c>
      <c r="Q325" t="s">
        <v>40</v>
      </c>
      <c r="S325" t="s">
        <v>40</v>
      </c>
      <c r="V325" t="s">
        <v>41</v>
      </c>
      <c r="W325" t="s">
        <v>75</v>
      </c>
      <c r="X325" t="str">
        <f>"7051032"</f>
        <v>7051032</v>
      </c>
      <c r="Y325" t="s">
        <v>400</v>
      </c>
      <c r="Z325" t="s">
        <v>154</v>
      </c>
      <c r="AA325" t="s">
        <v>155</v>
      </c>
      <c r="AB325" t="s">
        <v>131</v>
      </c>
      <c r="AC325" t="s">
        <v>51</v>
      </c>
      <c r="AD325" t="s">
        <v>45</v>
      </c>
      <c r="AE325" s="1">
        <v>33160</v>
      </c>
      <c r="AF325">
        <v>1</v>
      </c>
      <c r="AG325" t="s">
        <v>155</v>
      </c>
      <c r="AH325" s="36">
        <f t="shared" si="5"/>
        <v>28.602777777777778</v>
      </c>
      <c r="AI325" s="40" t="s">
        <v>1777</v>
      </c>
    </row>
    <row r="326" spans="1:35" x14ac:dyDescent="0.25">
      <c r="A326" s="36">
        <v>99910324</v>
      </c>
      <c r="B326" s="17" t="s">
        <v>32</v>
      </c>
      <c r="C326" t="s">
        <v>90</v>
      </c>
      <c r="D326" t="s">
        <v>91</v>
      </c>
      <c r="G326" s="17" t="s">
        <v>35</v>
      </c>
      <c r="H326" s="17">
        <v>1</v>
      </c>
      <c r="I326">
        <v>13180</v>
      </c>
      <c r="J326" s="1">
        <v>43344</v>
      </c>
      <c r="K326" t="s">
        <v>354</v>
      </c>
      <c r="L326" t="s">
        <v>355</v>
      </c>
      <c r="M326" t="s">
        <v>131</v>
      </c>
      <c r="N326">
        <v>25</v>
      </c>
      <c r="O326" t="s">
        <v>40</v>
      </c>
      <c r="S326" t="s">
        <v>40</v>
      </c>
      <c r="U326" s="1">
        <v>43344</v>
      </c>
      <c r="V326" t="s">
        <v>41</v>
      </c>
      <c r="W326" t="s">
        <v>95</v>
      </c>
      <c r="X326" t="str">
        <f>"7054185"</f>
        <v>7054185</v>
      </c>
      <c r="Y326" t="s">
        <v>825</v>
      </c>
      <c r="Z326" t="s">
        <v>354</v>
      </c>
      <c r="AA326" t="s">
        <v>355</v>
      </c>
      <c r="AB326" t="s">
        <v>131</v>
      </c>
      <c r="AC326" t="s">
        <v>44</v>
      </c>
      <c r="AD326" t="s">
        <v>45</v>
      </c>
      <c r="AE326" s="1">
        <v>33159</v>
      </c>
      <c r="AF326">
        <v>1</v>
      </c>
      <c r="AG326" t="s">
        <v>355</v>
      </c>
      <c r="AH326" s="36">
        <f t="shared" si="5"/>
        <v>28.605555555555554</v>
      </c>
      <c r="AI326" s="40" t="s">
        <v>1777</v>
      </c>
    </row>
    <row r="327" spans="1:35" x14ac:dyDescent="0.25">
      <c r="A327" s="36">
        <v>99910325</v>
      </c>
      <c r="B327" s="17" t="s">
        <v>32</v>
      </c>
      <c r="C327" t="s">
        <v>111</v>
      </c>
      <c r="D327" t="s">
        <v>112</v>
      </c>
      <c r="G327" s="17" t="s">
        <v>35</v>
      </c>
      <c r="H327" s="17">
        <v>1</v>
      </c>
      <c r="I327" t="s">
        <v>1481</v>
      </c>
      <c r="J327" s="1">
        <v>43344</v>
      </c>
      <c r="K327" t="s">
        <v>1334</v>
      </c>
      <c r="L327" t="s">
        <v>1335</v>
      </c>
      <c r="M327" t="s">
        <v>1270</v>
      </c>
      <c r="N327">
        <v>21</v>
      </c>
      <c r="O327" t="s">
        <v>40</v>
      </c>
      <c r="S327" t="s">
        <v>40</v>
      </c>
      <c r="U327" s="1">
        <v>43344</v>
      </c>
      <c r="V327" t="s">
        <v>41</v>
      </c>
      <c r="W327" t="s">
        <v>75</v>
      </c>
      <c r="X327" t="str">
        <f>"7391000"</f>
        <v>7391000</v>
      </c>
      <c r="Y327" t="s">
        <v>1333</v>
      </c>
      <c r="Z327" t="s">
        <v>1334</v>
      </c>
      <c r="AA327" t="s">
        <v>1335</v>
      </c>
      <c r="AB327" t="s">
        <v>1270</v>
      </c>
      <c r="AC327" t="s">
        <v>44</v>
      </c>
      <c r="AD327" t="s">
        <v>45</v>
      </c>
      <c r="AE327" s="1">
        <v>33156</v>
      </c>
      <c r="AF327">
        <v>1</v>
      </c>
      <c r="AG327" t="s">
        <v>1335</v>
      </c>
      <c r="AH327" s="36">
        <f t="shared" si="5"/>
        <v>28.613888888888887</v>
      </c>
      <c r="AI327" s="40" t="s">
        <v>1777</v>
      </c>
    </row>
    <row r="328" spans="1:35" x14ac:dyDescent="0.25">
      <c r="A328" s="36">
        <v>99910326</v>
      </c>
      <c r="B328" s="17" t="s">
        <v>32</v>
      </c>
      <c r="C328" t="s">
        <v>111</v>
      </c>
      <c r="D328" t="s">
        <v>112</v>
      </c>
      <c r="G328" s="17" t="s">
        <v>35</v>
      </c>
      <c r="H328" s="17">
        <v>1</v>
      </c>
      <c r="I328">
        <v>1077</v>
      </c>
      <c r="J328" s="1">
        <v>43344</v>
      </c>
      <c r="K328" t="s">
        <v>1198</v>
      </c>
      <c r="L328" t="s">
        <v>1199</v>
      </c>
      <c r="M328" t="s">
        <v>1130</v>
      </c>
      <c r="N328">
        <v>24</v>
      </c>
      <c r="O328" t="s">
        <v>40</v>
      </c>
      <c r="S328" t="s">
        <v>40</v>
      </c>
      <c r="U328" s="1">
        <v>43344</v>
      </c>
      <c r="V328" t="s">
        <v>41</v>
      </c>
      <c r="W328" t="s">
        <v>75</v>
      </c>
      <c r="X328" t="str">
        <f>"7311000"</f>
        <v>7311000</v>
      </c>
      <c r="Y328" t="s">
        <v>1208</v>
      </c>
      <c r="Z328" t="s">
        <v>1198</v>
      </c>
      <c r="AA328" t="s">
        <v>1199</v>
      </c>
      <c r="AB328" t="s">
        <v>1130</v>
      </c>
      <c r="AC328" t="s">
        <v>51</v>
      </c>
      <c r="AD328" t="s">
        <v>45</v>
      </c>
      <c r="AE328" s="1">
        <v>33155</v>
      </c>
      <c r="AF328">
        <v>1</v>
      </c>
      <c r="AG328" t="s">
        <v>1199</v>
      </c>
      <c r="AH328" s="36">
        <f t="shared" si="5"/>
        <v>28.616666666666667</v>
      </c>
      <c r="AI328" s="40" t="s">
        <v>1777</v>
      </c>
    </row>
    <row r="329" spans="1:35" x14ac:dyDescent="0.25">
      <c r="A329" s="36">
        <v>99910327</v>
      </c>
      <c r="B329" s="17" t="s">
        <v>32</v>
      </c>
      <c r="C329" t="s">
        <v>111</v>
      </c>
      <c r="D329" t="s">
        <v>112</v>
      </c>
      <c r="G329" s="17" t="s">
        <v>35</v>
      </c>
      <c r="H329" s="17">
        <v>1</v>
      </c>
      <c r="I329" t="s">
        <v>664</v>
      </c>
      <c r="J329" s="1">
        <v>43344</v>
      </c>
      <c r="K329" t="s">
        <v>354</v>
      </c>
      <c r="L329" t="s">
        <v>355</v>
      </c>
      <c r="M329" t="s">
        <v>131</v>
      </c>
      <c r="N329">
        <v>24</v>
      </c>
      <c r="O329" t="s">
        <v>40</v>
      </c>
      <c r="S329" t="s">
        <v>40</v>
      </c>
      <c r="U329" s="1">
        <v>43344</v>
      </c>
      <c r="V329" t="s">
        <v>41</v>
      </c>
      <c r="W329" t="s">
        <v>75</v>
      </c>
      <c r="X329" t="str">
        <f>"7054000"</f>
        <v>7054000</v>
      </c>
      <c r="Y329" t="s">
        <v>786</v>
      </c>
      <c r="Z329" t="s">
        <v>354</v>
      </c>
      <c r="AA329" t="s">
        <v>355</v>
      </c>
      <c r="AB329" t="s">
        <v>131</v>
      </c>
      <c r="AC329" t="s">
        <v>51</v>
      </c>
      <c r="AD329" t="s">
        <v>45</v>
      </c>
      <c r="AE329" s="1">
        <v>33154</v>
      </c>
      <c r="AF329">
        <v>1</v>
      </c>
      <c r="AG329" t="s">
        <v>355</v>
      </c>
      <c r="AH329" s="36">
        <f t="shared" si="5"/>
        <v>28.619444444444444</v>
      </c>
      <c r="AI329" s="40" t="s">
        <v>1777</v>
      </c>
    </row>
    <row r="330" spans="1:35" x14ac:dyDescent="0.25">
      <c r="A330" s="36">
        <v>99910328</v>
      </c>
      <c r="B330" s="17" t="s">
        <v>32</v>
      </c>
      <c r="C330" t="s">
        <v>111</v>
      </c>
      <c r="D330" t="s">
        <v>112</v>
      </c>
      <c r="G330" s="17" t="s">
        <v>35</v>
      </c>
      <c r="H330" s="17">
        <v>1</v>
      </c>
      <c r="I330">
        <v>5009</v>
      </c>
      <c r="J330" s="1">
        <v>43344</v>
      </c>
      <c r="K330" t="s">
        <v>1245</v>
      </c>
      <c r="L330" t="s">
        <v>1246</v>
      </c>
      <c r="M330" t="s">
        <v>1130</v>
      </c>
      <c r="N330">
        <v>24</v>
      </c>
      <c r="O330" t="s">
        <v>40</v>
      </c>
      <c r="S330" t="s">
        <v>40</v>
      </c>
      <c r="U330" s="1">
        <v>43344</v>
      </c>
      <c r="V330" t="s">
        <v>41</v>
      </c>
      <c r="W330" t="s">
        <v>75</v>
      </c>
      <c r="X330" t="str">
        <f>"7451000"</f>
        <v>7451000</v>
      </c>
      <c r="Y330" t="s">
        <v>1250</v>
      </c>
      <c r="Z330" t="s">
        <v>1245</v>
      </c>
      <c r="AA330" t="s">
        <v>1246</v>
      </c>
      <c r="AB330" t="s">
        <v>1130</v>
      </c>
      <c r="AC330" t="s">
        <v>51</v>
      </c>
      <c r="AD330" t="s">
        <v>45</v>
      </c>
      <c r="AE330" s="1">
        <v>33154</v>
      </c>
      <c r="AF330">
        <v>1</v>
      </c>
      <c r="AG330" t="s">
        <v>1246</v>
      </c>
      <c r="AH330" s="36">
        <f t="shared" si="5"/>
        <v>28.619444444444444</v>
      </c>
      <c r="AI330" s="40" t="s">
        <v>1777</v>
      </c>
    </row>
    <row r="331" spans="1:35" x14ac:dyDescent="0.25">
      <c r="A331" s="36">
        <v>99910329</v>
      </c>
      <c r="B331" s="17" t="s">
        <v>32</v>
      </c>
      <c r="C331" t="s">
        <v>90</v>
      </c>
      <c r="D331" t="s">
        <v>91</v>
      </c>
      <c r="G331" s="17" t="s">
        <v>35</v>
      </c>
      <c r="H331" s="17">
        <v>1</v>
      </c>
      <c r="I331" t="s">
        <v>592</v>
      </c>
      <c r="J331" s="1">
        <v>43344</v>
      </c>
      <c r="K331" t="s">
        <v>268</v>
      </c>
      <c r="L331" t="s">
        <v>269</v>
      </c>
      <c r="M331" t="s">
        <v>131</v>
      </c>
      <c r="N331">
        <v>25</v>
      </c>
      <c r="O331" t="s">
        <v>40</v>
      </c>
      <c r="S331" t="s">
        <v>40</v>
      </c>
      <c r="U331" s="1">
        <v>43344</v>
      </c>
      <c r="V331" t="s">
        <v>41</v>
      </c>
      <c r="W331" t="s">
        <v>95</v>
      </c>
      <c r="X331" t="str">
        <f>"7052219"</f>
        <v>7052219</v>
      </c>
      <c r="Y331" t="s">
        <v>593</v>
      </c>
      <c r="Z331" t="s">
        <v>268</v>
      </c>
      <c r="AA331" t="s">
        <v>269</v>
      </c>
      <c r="AB331" t="s">
        <v>131</v>
      </c>
      <c r="AC331" t="s">
        <v>51</v>
      </c>
      <c r="AD331" t="s">
        <v>45</v>
      </c>
      <c r="AE331" s="1">
        <v>33151</v>
      </c>
      <c r="AF331">
        <v>1</v>
      </c>
      <c r="AG331" t="s">
        <v>269</v>
      </c>
      <c r="AH331" s="36">
        <f t="shared" si="5"/>
        <v>28.627777777777776</v>
      </c>
      <c r="AI331" s="40" t="s">
        <v>1777</v>
      </c>
    </row>
    <row r="332" spans="1:35" x14ac:dyDescent="0.25">
      <c r="A332" s="36">
        <v>99910330</v>
      </c>
      <c r="B332" s="17" t="s">
        <v>32</v>
      </c>
      <c r="C332" t="s">
        <v>111</v>
      </c>
      <c r="D332" t="s">
        <v>112</v>
      </c>
      <c r="G332" s="17" t="s">
        <v>48</v>
      </c>
      <c r="H332" s="17">
        <v>1</v>
      </c>
      <c r="K332" t="s">
        <v>268</v>
      </c>
      <c r="L332" t="s">
        <v>269</v>
      </c>
      <c r="M332" t="s">
        <v>131</v>
      </c>
      <c r="N332">
        <v>24</v>
      </c>
      <c r="O332" t="s">
        <v>40</v>
      </c>
      <c r="P332" t="s">
        <v>40</v>
      </c>
      <c r="Q332" t="s">
        <v>40</v>
      </c>
      <c r="S332" t="s">
        <v>40</v>
      </c>
      <c r="V332" t="s">
        <v>41</v>
      </c>
      <c r="W332" t="s">
        <v>75</v>
      </c>
      <c r="X332" t="str">
        <f>"7052042"</f>
        <v>7052042</v>
      </c>
      <c r="Y332" t="s">
        <v>583</v>
      </c>
      <c r="Z332" t="s">
        <v>268</v>
      </c>
      <c r="AA332" t="s">
        <v>269</v>
      </c>
      <c r="AB332" t="s">
        <v>131</v>
      </c>
      <c r="AC332" t="s">
        <v>51</v>
      </c>
      <c r="AD332" t="s">
        <v>45</v>
      </c>
      <c r="AE332" s="1">
        <v>33148</v>
      </c>
      <c r="AF332">
        <v>1</v>
      </c>
      <c r="AG332" t="s">
        <v>269</v>
      </c>
      <c r="AH332" s="36">
        <f t="shared" si="5"/>
        <v>28.636111111111113</v>
      </c>
      <c r="AI332" s="40" t="s">
        <v>1777</v>
      </c>
    </row>
    <row r="333" spans="1:35" x14ac:dyDescent="0.25">
      <c r="A333" s="36">
        <v>99910331</v>
      </c>
      <c r="B333" s="17" t="s">
        <v>32</v>
      </c>
      <c r="C333" t="s">
        <v>111</v>
      </c>
      <c r="D333" t="s">
        <v>112</v>
      </c>
      <c r="G333" s="17" t="s">
        <v>35</v>
      </c>
      <c r="H333" s="17">
        <v>1</v>
      </c>
      <c r="K333" t="s">
        <v>268</v>
      </c>
      <c r="L333" t="s">
        <v>269</v>
      </c>
      <c r="M333" t="s">
        <v>131</v>
      </c>
      <c r="N333">
        <v>24</v>
      </c>
      <c r="O333" t="s">
        <v>40</v>
      </c>
      <c r="P333" t="s">
        <v>40</v>
      </c>
      <c r="Q333" t="s">
        <v>40</v>
      </c>
      <c r="S333" t="s">
        <v>40</v>
      </c>
      <c r="V333" t="s">
        <v>41</v>
      </c>
      <c r="W333" t="s">
        <v>75</v>
      </c>
      <c r="X333" t="str">
        <f>"7052000"</f>
        <v>7052000</v>
      </c>
      <c r="Y333" t="s">
        <v>656</v>
      </c>
      <c r="Z333" t="s">
        <v>268</v>
      </c>
      <c r="AA333" t="s">
        <v>269</v>
      </c>
      <c r="AB333" t="s">
        <v>131</v>
      </c>
      <c r="AC333" t="s">
        <v>51</v>
      </c>
      <c r="AD333" t="s">
        <v>45</v>
      </c>
      <c r="AE333" s="1">
        <v>33148</v>
      </c>
      <c r="AF333">
        <v>1</v>
      </c>
      <c r="AG333" t="s">
        <v>269</v>
      </c>
      <c r="AH333" s="36">
        <f t="shared" si="5"/>
        <v>28.636111111111113</v>
      </c>
      <c r="AI333" s="40" t="s">
        <v>1777</v>
      </c>
    </row>
    <row r="334" spans="1:35" x14ac:dyDescent="0.25">
      <c r="A334" s="36">
        <v>99910332</v>
      </c>
      <c r="B334" s="17" t="s">
        <v>56</v>
      </c>
      <c r="C334" t="s">
        <v>111</v>
      </c>
      <c r="D334" t="s">
        <v>112</v>
      </c>
      <c r="G334" s="17" t="s">
        <v>48</v>
      </c>
      <c r="H334" s="17">
        <v>1</v>
      </c>
      <c r="K334" t="s">
        <v>154</v>
      </c>
      <c r="L334" t="s">
        <v>155</v>
      </c>
      <c r="M334" t="s">
        <v>131</v>
      </c>
      <c r="N334">
        <v>24</v>
      </c>
      <c r="O334" t="s">
        <v>40</v>
      </c>
      <c r="P334" t="s">
        <v>40</v>
      </c>
      <c r="Q334" t="s">
        <v>40</v>
      </c>
      <c r="S334" t="s">
        <v>40</v>
      </c>
      <c r="V334" t="s">
        <v>41</v>
      </c>
      <c r="W334" t="s">
        <v>75</v>
      </c>
      <c r="X334" t="str">
        <f>"7051022"</f>
        <v>7051022</v>
      </c>
      <c r="Y334" t="s">
        <v>153</v>
      </c>
      <c r="Z334" t="s">
        <v>154</v>
      </c>
      <c r="AA334" t="s">
        <v>155</v>
      </c>
      <c r="AB334" t="s">
        <v>131</v>
      </c>
      <c r="AC334" t="s">
        <v>51</v>
      </c>
      <c r="AD334" t="s">
        <v>45</v>
      </c>
      <c r="AE334" s="1">
        <v>33137</v>
      </c>
      <c r="AF334">
        <v>1</v>
      </c>
      <c r="AG334" t="s">
        <v>155</v>
      </c>
      <c r="AH334" s="36">
        <f t="shared" si="5"/>
        <v>28.666666666666668</v>
      </c>
      <c r="AI334" s="40" t="s">
        <v>1777</v>
      </c>
    </row>
    <row r="335" spans="1:35" x14ac:dyDescent="0.25">
      <c r="A335" s="36">
        <v>99910333</v>
      </c>
      <c r="B335" s="17" t="s">
        <v>56</v>
      </c>
      <c r="C335" t="s">
        <v>111</v>
      </c>
      <c r="D335" t="s">
        <v>112</v>
      </c>
      <c r="G335" s="17" t="s">
        <v>35</v>
      </c>
      <c r="H335" s="17">
        <v>1</v>
      </c>
      <c r="I335" t="s">
        <v>286</v>
      </c>
      <c r="J335" s="1">
        <v>43344</v>
      </c>
      <c r="K335" t="s">
        <v>268</v>
      </c>
      <c r="L335" t="s">
        <v>269</v>
      </c>
      <c r="M335" t="s">
        <v>131</v>
      </c>
      <c r="N335">
        <v>24</v>
      </c>
      <c r="O335" t="s">
        <v>40</v>
      </c>
      <c r="P335" t="s">
        <v>40</v>
      </c>
      <c r="Q335" t="s">
        <v>40</v>
      </c>
      <c r="S335" t="s">
        <v>40</v>
      </c>
      <c r="U335" s="1">
        <v>43344</v>
      </c>
      <c r="V335" t="s">
        <v>41</v>
      </c>
      <c r="W335" t="s">
        <v>75</v>
      </c>
      <c r="X335" t="str">
        <f>"7052018"</f>
        <v>7052018</v>
      </c>
      <c r="Y335" t="s">
        <v>577</v>
      </c>
      <c r="Z335" t="s">
        <v>268</v>
      </c>
      <c r="AA335" t="s">
        <v>269</v>
      </c>
      <c r="AB335" t="s">
        <v>131</v>
      </c>
      <c r="AC335" t="s">
        <v>44</v>
      </c>
      <c r="AD335" t="s">
        <v>45</v>
      </c>
      <c r="AE335" s="1">
        <v>33126</v>
      </c>
      <c r="AF335">
        <v>1</v>
      </c>
      <c r="AG335" t="s">
        <v>269</v>
      </c>
      <c r="AH335" s="36">
        <f t="shared" si="5"/>
        <v>28.697222222222223</v>
      </c>
      <c r="AI335" s="40" t="s">
        <v>1777</v>
      </c>
    </row>
    <row r="336" spans="1:35" x14ac:dyDescent="0.25">
      <c r="A336" s="36">
        <v>99910334</v>
      </c>
      <c r="B336" s="17" t="s">
        <v>32</v>
      </c>
      <c r="C336" t="s">
        <v>90</v>
      </c>
      <c r="D336" t="s">
        <v>91</v>
      </c>
      <c r="G336" s="17" t="s">
        <v>48</v>
      </c>
      <c r="H336" s="17">
        <v>1</v>
      </c>
      <c r="K336" t="s">
        <v>1689</v>
      </c>
      <c r="L336" t="s">
        <v>1690</v>
      </c>
      <c r="M336" t="s">
        <v>1592</v>
      </c>
      <c r="N336">
        <v>25</v>
      </c>
      <c r="O336" t="s">
        <v>40</v>
      </c>
      <c r="P336" t="s">
        <v>40</v>
      </c>
      <c r="Q336" t="s">
        <v>40</v>
      </c>
      <c r="R336" t="s">
        <v>40</v>
      </c>
      <c r="S336" t="s">
        <v>40</v>
      </c>
      <c r="V336" t="s">
        <v>41</v>
      </c>
      <c r="W336" t="s">
        <v>95</v>
      </c>
      <c r="X336" t="str">
        <f>"7301003"</f>
        <v>7301003</v>
      </c>
      <c r="Y336" t="s">
        <v>1693</v>
      </c>
      <c r="Z336" t="s">
        <v>1689</v>
      </c>
      <c r="AA336" t="s">
        <v>1690</v>
      </c>
      <c r="AB336" t="s">
        <v>1592</v>
      </c>
      <c r="AC336" t="s">
        <v>51</v>
      </c>
      <c r="AD336" t="s">
        <v>45</v>
      </c>
      <c r="AE336" s="1">
        <v>33126</v>
      </c>
      <c r="AF336">
        <v>1</v>
      </c>
      <c r="AG336" t="s">
        <v>1690</v>
      </c>
      <c r="AH336" s="36">
        <f t="shared" si="5"/>
        <v>28.697222222222223</v>
      </c>
      <c r="AI336" s="40" t="s">
        <v>1777</v>
      </c>
    </row>
    <row r="337" spans="1:35" x14ac:dyDescent="0.25">
      <c r="A337" s="36">
        <v>99910335</v>
      </c>
      <c r="B337" s="17" t="s">
        <v>32</v>
      </c>
      <c r="C337" t="s">
        <v>111</v>
      </c>
      <c r="D337" t="s">
        <v>112</v>
      </c>
      <c r="G337" s="17" t="s">
        <v>48</v>
      </c>
      <c r="H337" s="17">
        <v>1</v>
      </c>
      <c r="K337" t="s">
        <v>268</v>
      </c>
      <c r="L337" t="s">
        <v>269</v>
      </c>
      <c r="M337" t="s">
        <v>131</v>
      </c>
      <c r="N337">
        <v>24</v>
      </c>
      <c r="O337" t="s">
        <v>40</v>
      </c>
      <c r="P337" t="s">
        <v>40</v>
      </c>
      <c r="Q337" t="s">
        <v>40</v>
      </c>
      <c r="S337" t="s">
        <v>40</v>
      </c>
      <c r="V337" t="s">
        <v>41</v>
      </c>
      <c r="W337" t="s">
        <v>75</v>
      </c>
      <c r="X337" t="str">
        <f>"7052016"</f>
        <v>7052016</v>
      </c>
      <c r="Y337" t="s">
        <v>588</v>
      </c>
      <c r="Z337" t="s">
        <v>268</v>
      </c>
      <c r="AA337" t="s">
        <v>269</v>
      </c>
      <c r="AB337" t="s">
        <v>131</v>
      </c>
      <c r="AC337" t="s">
        <v>51</v>
      </c>
      <c r="AD337" t="s">
        <v>45</v>
      </c>
      <c r="AE337" s="1">
        <v>33122</v>
      </c>
      <c r="AF337">
        <v>1</v>
      </c>
      <c r="AG337" t="s">
        <v>269</v>
      </c>
      <c r="AH337" s="36">
        <f t="shared" si="5"/>
        <v>28.708333333333332</v>
      </c>
      <c r="AI337" s="40" t="s">
        <v>1777</v>
      </c>
    </row>
    <row r="338" spans="1:35" x14ac:dyDescent="0.25">
      <c r="A338" s="36">
        <v>99910336</v>
      </c>
      <c r="B338" s="17" t="s">
        <v>32</v>
      </c>
      <c r="C338" t="s">
        <v>64</v>
      </c>
      <c r="D338" t="s">
        <v>65</v>
      </c>
      <c r="G338" s="17" t="s">
        <v>35</v>
      </c>
      <c r="H338" s="17">
        <v>1</v>
      </c>
      <c r="I338">
        <v>142765886</v>
      </c>
      <c r="J338" s="1">
        <v>43005</v>
      </c>
      <c r="K338" t="s">
        <v>380</v>
      </c>
      <c r="L338" t="s">
        <v>381</v>
      </c>
      <c r="M338" t="s">
        <v>131</v>
      </c>
      <c r="N338">
        <v>14</v>
      </c>
      <c r="O338" t="s">
        <v>40</v>
      </c>
      <c r="P338" t="s">
        <v>40</v>
      </c>
      <c r="Q338" t="s">
        <v>40</v>
      </c>
      <c r="R338" t="s">
        <v>40</v>
      </c>
      <c r="S338" t="s">
        <v>40</v>
      </c>
      <c r="U338" s="1">
        <v>43005</v>
      </c>
      <c r="V338" t="s">
        <v>41</v>
      </c>
      <c r="W338" t="s">
        <v>49</v>
      </c>
      <c r="X338" t="str">
        <f>"0560028"</f>
        <v>0560028</v>
      </c>
      <c r="Y338" t="s">
        <v>384</v>
      </c>
      <c r="Z338" t="s">
        <v>380</v>
      </c>
      <c r="AA338" t="s">
        <v>381</v>
      </c>
      <c r="AB338" t="s">
        <v>131</v>
      </c>
      <c r="AC338" t="s">
        <v>44</v>
      </c>
      <c r="AD338" t="s">
        <v>45</v>
      </c>
      <c r="AE338" s="1">
        <v>33121</v>
      </c>
      <c r="AF338">
        <v>2</v>
      </c>
      <c r="AG338" t="s">
        <v>381</v>
      </c>
      <c r="AH338" s="36">
        <f t="shared" si="5"/>
        <v>28.711111111111112</v>
      </c>
      <c r="AI338" s="40" t="s">
        <v>1777</v>
      </c>
    </row>
    <row r="339" spans="1:35" x14ac:dyDescent="0.25">
      <c r="A339" s="36">
        <v>99910337</v>
      </c>
      <c r="B339" s="17" t="s">
        <v>32</v>
      </c>
      <c r="C339" t="s">
        <v>90</v>
      </c>
      <c r="D339" t="s">
        <v>91</v>
      </c>
      <c r="G339" s="17" t="s">
        <v>35</v>
      </c>
      <c r="H339" s="17">
        <v>1</v>
      </c>
      <c r="I339" t="s">
        <v>1405</v>
      </c>
      <c r="J339" s="1">
        <v>43355</v>
      </c>
      <c r="K339" t="s">
        <v>1341</v>
      </c>
      <c r="L339" t="s">
        <v>1342</v>
      </c>
      <c r="M339" t="s">
        <v>1270</v>
      </c>
      <c r="N339">
        <v>24</v>
      </c>
      <c r="O339" t="s">
        <v>40</v>
      </c>
      <c r="S339" t="s">
        <v>40</v>
      </c>
      <c r="U339" s="1">
        <v>43355</v>
      </c>
      <c r="V339" t="s">
        <v>41</v>
      </c>
      <c r="W339" t="s">
        <v>95</v>
      </c>
      <c r="X339" t="str">
        <f>"7191041"</f>
        <v>7191041</v>
      </c>
      <c r="Y339" t="s">
        <v>1423</v>
      </c>
      <c r="Z339" t="s">
        <v>1341</v>
      </c>
      <c r="AA339" t="s">
        <v>1342</v>
      </c>
      <c r="AB339" t="s">
        <v>1270</v>
      </c>
      <c r="AC339" t="s">
        <v>44</v>
      </c>
      <c r="AD339" t="s">
        <v>45</v>
      </c>
      <c r="AE339" s="1">
        <v>33120</v>
      </c>
      <c r="AF339">
        <v>1</v>
      </c>
      <c r="AG339" t="s">
        <v>1342</v>
      </c>
      <c r="AH339" s="36">
        <f t="shared" si="5"/>
        <v>28.713888888888889</v>
      </c>
      <c r="AI339" s="40" t="s">
        <v>1777</v>
      </c>
    </row>
    <row r="340" spans="1:35" x14ac:dyDescent="0.25">
      <c r="A340" s="36">
        <v>99910338</v>
      </c>
      <c r="B340" s="17" t="s">
        <v>32</v>
      </c>
      <c r="C340" t="s">
        <v>111</v>
      </c>
      <c r="D340" t="s">
        <v>112</v>
      </c>
      <c r="G340" s="17" t="s">
        <v>35</v>
      </c>
      <c r="H340" s="17">
        <v>1</v>
      </c>
      <c r="I340">
        <v>20319</v>
      </c>
      <c r="J340" s="1">
        <v>43344</v>
      </c>
      <c r="K340" t="s">
        <v>354</v>
      </c>
      <c r="L340" t="s">
        <v>355</v>
      </c>
      <c r="M340" t="s">
        <v>131</v>
      </c>
      <c r="N340">
        <v>24</v>
      </c>
      <c r="O340" t="s">
        <v>40</v>
      </c>
      <c r="S340" t="s">
        <v>40</v>
      </c>
      <c r="U340" s="1">
        <v>43344</v>
      </c>
      <c r="V340" t="s">
        <v>41</v>
      </c>
      <c r="W340" t="s">
        <v>75</v>
      </c>
      <c r="X340" t="str">
        <f>"7054008"</f>
        <v>7054008</v>
      </c>
      <c r="Y340" t="s">
        <v>813</v>
      </c>
      <c r="Z340" t="s">
        <v>354</v>
      </c>
      <c r="AA340" t="s">
        <v>355</v>
      </c>
      <c r="AB340" t="s">
        <v>131</v>
      </c>
      <c r="AC340" t="s">
        <v>51</v>
      </c>
      <c r="AD340" t="s">
        <v>45</v>
      </c>
      <c r="AE340" s="1">
        <v>33111</v>
      </c>
      <c r="AF340">
        <v>1</v>
      </c>
      <c r="AG340" t="s">
        <v>355</v>
      </c>
      <c r="AH340" s="36">
        <f t="shared" si="5"/>
        <v>28.738888888888887</v>
      </c>
      <c r="AI340" s="40" t="s">
        <v>1777</v>
      </c>
    </row>
    <row r="341" spans="1:35" x14ac:dyDescent="0.25">
      <c r="A341" s="36">
        <v>99910339</v>
      </c>
      <c r="B341" s="17" t="s">
        <v>32</v>
      </c>
      <c r="C341" t="s">
        <v>52</v>
      </c>
      <c r="D341" t="s">
        <v>53</v>
      </c>
      <c r="G341" s="17" t="s">
        <v>48</v>
      </c>
      <c r="H341" s="17">
        <v>1</v>
      </c>
      <c r="K341" t="s">
        <v>300</v>
      </c>
      <c r="L341" t="s">
        <v>301</v>
      </c>
      <c r="M341" t="s">
        <v>131</v>
      </c>
      <c r="N341">
        <v>16</v>
      </c>
      <c r="O341" t="s">
        <v>40</v>
      </c>
      <c r="P341" t="s">
        <v>40</v>
      </c>
      <c r="Q341" t="s">
        <v>40</v>
      </c>
      <c r="R341" t="s">
        <v>40</v>
      </c>
      <c r="S341" t="s">
        <v>40</v>
      </c>
      <c r="V341" t="s">
        <v>41</v>
      </c>
      <c r="W341" t="s">
        <v>49</v>
      </c>
      <c r="X341" t="str">
        <f>"0560001"</f>
        <v>0560001</v>
      </c>
      <c r="Y341" t="s">
        <v>304</v>
      </c>
      <c r="Z341" t="s">
        <v>300</v>
      </c>
      <c r="AA341" t="s">
        <v>301</v>
      </c>
      <c r="AB341" t="s">
        <v>131</v>
      </c>
      <c r="AC341" t="s">
        <v>51</v>
      </c>
      <c r="AD341" t="s">
        <v>45</v>
      </c>
      <c r="AE341" s="1">
        <v>33110</v>
      </c>
      <c r="AF341">
        <v>2</v>
      </c>
      <c r="AG341" t="s">
        <v>301</v>
      </c>
      <c r="AH341" s="36">
        <f t="shared" si="5"/>
        <v>28.741666666666667</v>
      </c>
      <c r="AI341" s="40" t="s">
        <v>1777</v>
      </c>
    </row>
    <row r="342" spans="1:35" x14ac:dyDescent="0.25">
      <c r="A342" s="36">
        <v>99910340</v>
      </c>
      <c r="B342" s="17" t="s">
        <v>32</v>
      </c>
      <c r="C342" t="s">
        <v>111</v>
      </c>
      <c r="D342" t="s">
        <v>112</v>
      </c>
      <c r="G342" s="17" t="s">
        <v>48</v>
      </c>
      <c r="H342" s="17">
        <v>1</v>
      </c>
      <c r="K342" t="s">
        <v>1619</v>
      </c>
      <c r="L342" t="s">
        <v>1620</v>
      </c>
      <c r="M342" t="s">
        <v>1592</v>
      </c>
      <c r="N342">
        <v>23</v>
      </c>
      <c r="O342" t="s">
        <v>40</v>
      </c>
      <c r="P342" t="s">
        <v>40</v>
      </c>
      <c r="Q342" t="s">
        <v>40</v>
      </c>
      <c r="R342" t="s">
        <v>40</v>
      </c>
      <c r="S342" t="s">
        <v>40</v>
      </c>
      <c r="V342" t="s">
        <v>41</v>
      </c>
      <c r="W342" t="s">
        <v>75</v>
      </c>
      <c r="X342" t="str">
        <f>"7281006"</f>
        <v>7281006</v>
      </c>
      <c r="Y342" t="s">
        <v>1618</v>
      </c>
      <c r="Z342" t="s">
        <v>1619</v>
      </c>
      <c r="AA342" t="s">
        <v>1620</v>
      </c>
      <c r="AB342" t="s">
        <v>1592</v>
      </c>
      <c r="AC342" t="s">
        <v>51</v>
      </c>
      <c r="AD342" t="s">
        <v>45</v>
      </c>
      <c r="AE342" s="1">
        <v>33108</v>
      </c>
      <c r="AF342">
        <v>1</v>
      </c>
      <c r="AG342" t="s">
        <v>1620</v>
      </c>
      <c r="AH342" s="36">
        <f t="shared" si="5"/>
        <v>28.747222222222224</v>
      </c>
      <c r="AI342" s="40" t="s">
        <v>1777</v>
      </c>
    </row>
    <row r="343" spans="1:35" x14ac:dyDescent="0.25">
      <c r="A343" s="36">
        <v>99910341</v>
      </c>
      <c r="B343" s="17" t="s">
        <v>56</v>
      </c>
      <c r="C343" t="s">
        <v>58</v>
      </c>
      <c r="D343" t="s">
        <v>59</v>
      </c>
      <c r="G343" s="17" t="s">
        <v>35</v>
      </c>
      <c r="H343" s="17">
        <v>1</v>
      </c>
      <c r="K343" t="s">
        <v>1051</v>
      </c>
      <c r="L343" t="s">
        <v>1052</v>
      </c>
      <c r="M343" t="s">
        <v>1053</v>
      </c>
      <c r="N343">
        <v>23</v>
      </c>
      <c r="O343" t="s">
        <v>40</v>
      </c>
      <c r="P343" t="s">
        <v>40</v>
      </c>
      <c r="Q343" t="s">
        <v>40</v>
      </c>
      <c r="R343" t="s">
        <v>40</v>
      </c>
      <c r="S343" t="s">
        <v>40</v>
      </c>
      <c r="V343" t="s">
        <v>41</v>
      </c>
      <c r="W343" t="s">
        <v>42</v>
      </c>
      <c r="X343" t="str">
        <f>"2061003"</f>
        <v>2061003</v>
      </c>
      <c r="Y343" t="s">
        <v>1060</v>
      </c>
      <c r="Z343" t="s">
        <v>1051</v>
      </c>
      <c r="AA343" t="s">
        <v>1052</v>
      </c>
      <c r="AB343" t="s">
        <v>1053</v>
      </c>
      <c r="AC343" t="s">
        <v>51</v>
      </c>
      <c r="AD343" t="s">
        <v>45</v>
      </c>
      <c r="AE343" s="1">
        <v>33106</v>
      </c>
      <c r="AF343">
        <v>2</v>
      </c>
      <c r="AG343" t="s">
        <v>1052</v>
      </c>
      <c r="AH343" s="36">
        <f t="shared" si="5"/>
        <v>28.752777777777776</v>
      </c>
      <c r="AI343" s="40" t="s">
        <v>1777</v>
      </c>
    </row>
    <row r="344" spans="1:35" x14ac:dyDescent="0.25">
      <c r="A344" s="36">
        <v>99910342</v>
      </c>
      <c r="B344" s="17" t="s">
        <v>32</v>
      </c>
      <c r="C344" t="s">
        <v>90</v>
      </c>
      <c r="D344" t="s">
        <v>91</v>
      </c>
      <c r="G344" s="17" t="s">
        <v>48</v>
      </c>
      <c r="H344" s="17">
        <v>1</v>
      </c>
      <c r="K344" t="s">
        <v>877</v>
      </c>
      <c r="L344" t="s">
        <v>878</v>
      </c>
      <c r="M344" t="s">
        <v>131</v>
      </c>
      <c r="N344">
        <v>25</v>
      </c>
      <c r="O344" t="s">
        <v>40</v>
      </c>
      <c r="P344" t="s">
        <v>40</v>
      </c>
      <c r="Q344" t="s">
        <v>40</v>
      </c>
      <c r="R344" t="s">
        <v>40</v>
      </c>
      <c r="S344" t="s">
        <v>40</v>
      </c>
      <c r="V344" t="s">
        <v>41</v>
      </c>
      <c r="W344" t="s">
        <v>95</v>
      </c>
      <c r="X344" t="str">
        <f>"7541083"</f>
        <v>7541083</v>
      </c>
      <c r="Y344" t="s">
        <v>912</v>
      </c>
      <c r="Z344" t="s">
        <v>877</v>
      </c>
      <c r="AA344" t="s">
        <v>878</v>
      </c>
      <c r="AB344" t="s">
        <v>131</v>
      </c>
      <c r="AC344" t="s">
        <v>51</v>
      </c>
      <c r="AD344" t="s">
        <v>45</v>
      </c>
      <c r="AE344" s="1">
        <v>33105</v>
      </c>
      <c r="AF344">
        <v>1</v>
      </c>
      <c r="AG344" t="s">
        <v>878</v>
      </c>
      <c r="AH344" s="36">
        <f t="shared" si="5"/>
        <v>28.755555555555556</v>
      </c>
      <c r="AI344" s="40" t="s">
        <v>1777</v>
      </c>
    </row>
    <row r="345" spans="1:35" x14ac:dyDescent="0.25">
      <c r="A345" s="36">
        <v>99910343</v>
      </c>
      <c r="B345" s="17" t="s">
        <v>32</v>
      </c>
      <c r="C345" t="s">
        <v>90</v>
      </c>
      <c r="D345" t="s">
        <v>91</v>
      </c>
      <c r="G345" s="17" t="s">
        <v>35</v>
      </c>
      <c r="H345" s="17">
        <v>1</v>
      </c>
      <c r="I345">
        <v>10848</v>
      </c>
      <c r="J345" s="1">
        <v>43349</v>
      </c>
      <c r="K345" t="s">
        <v>1426</v>
      </c>
      <c r="L345" t="s">
        <v>1427</v>
      </c>
      <c r="M345" t="s">
        <v>1270</v>
      </c>
      <c r="N345">
        <v>25</v>
      </c>
      <c r="O345" t="s">
        <v>40</v>
      </c>
      <c r="S345" t="s">
        <v>40</v>
      </c>
      <c r="U345" s="1">
        <v>43349</v>
      </c>
      <c r="V345" t="s">
        <v>41</v>
      </c>
      <c r="W345" t="s">
        <v>95</v>
      </c>
      <c r="X345" t="str">
        <f>"7192021"</f>
        <v>7192021</v>
      </c>
      <c r="Y345" t="s">
        <v>1437</v>
      </c>
      <c r="Z345" t="s">
        <v>1426</v>
      </c>
      <c r="AA345" t="s">
        <v>1427</v>
      </c>
      <c r="AB345" t="s">
        <v>1270</v>
      </c>
      <c r="AC345" t="s">
        <v>44</v>
      </c>
      <c r="AD345" t="s">
        <v>45</v>
      </c>
      <c r="AE345" s="1">
        <v>33095</v>
      </c>
      <c r="AF345">
        <v>1</v>
      </c>
      <c r="AG345" t="s">
        <v>1427</v>
      </c>
      <c r="AH345" s="36">
        <f t="shared" si="5"/>
        <v>28.783333333333335</v>
      </c>
      <c r="AI345" s="40" t="s">
        <v>1777</v>
      </c>
    </row>
    <row r="346" spans="1:35" x14ac:dyDescent="0.25">
      <c r="A346" s="36">
        <v>99910344</v>
      </c>
      <c r="B346" s="17" t="s">
        <v>32</v>
      </c>
      <c r="C346" t="s">
        <v>90</v>
      </c>
      <c r="D346" t="s">
        <v>91</v>
      </c>
      <c r="G346" s="17" t="s">
        <v>35</v>
      </c>
      <c r="H346" s="17">
        <v>1</v>
      </c>
      <c r="I346" t="s">
        <v>1405</v>
      </c>
      <c r="J346" s="1">
        <v>43344</v>
      </c>
      <c r="K346" t="s">
        <v>1341</v>
      </c>
      <c r="L346" t="s">
        <v>1342</v>
      </c>
      <c r="M346" t="s">
        <v>1270</v>
      </c>
      <c r="N346">
        <v>24</v>
      </c>
      <c r="O346" t="s">
        <v>40</v>
      </c>
      <c r="S346" t="s">
        <v>40</v>
      </c>
      <c r="U346" s="1">
        <v>43344</v>
      </c>
      <c r="V346" t="s">
        <v>41</v>
      </c>
      <c r="W346" t="s">
        <v>95</v>
      </c>
      <c r="X346" t="str">
        <f>"7191119"</f>
        <v>7191119</v>
      </c>
      <c r="Y346" t="s">
        <v>1381</v>
      </c>
      <c r="Z346" t="s">
        <v>1341</v>
      </c>
      <c r="AA346" t="s">
        <v>1342</v>
      </c>
      <c r="AB346" t="s">
        <v>1270</v>
      </c>
      <c r="AC346" t="s">
        <v>44</v>
      </c>
      <c r="AD346" t="s">
        <v>45</v>
      </c>
      <c r="AE346" s="1">
        <v>33094</v>
      </c>
      <c r="AF346">
        <v>1</v>
      </c>
      <c r="AG346" t="s">
        <v>1342</v>
      </c>
      <c r="AH346" s="36">
        <f t="shared" si="5"/>
        <v>28.786111111111111</v>
      </c>
      <c r="AI346" s="40" t="s">
        <v>1777</v>
      </c>
    </row>
    <row r="347" spans="1:35" x14ac:dyDescent="0.25">
      <c r="A347" s="36">
        <v>99910345</v>
      </c>
      <c r="B347" s="17" t="s">
        <v>32</v>
      </c>
      <c r="C347" t="s">
        <v>111</v>
      </c>
      <c r="D347" t="s">
        <v>112</v>
      </c>
      <c r="G347" s="17" t="s">
        <v>35</v>
      </c>
      <c r="H347" s="17">
        <v>1</v>
      </c>
      <c r="I347" t="s">
        <v>286</v>
      </c>
      <c r="J347" s="1">
        <v>43344</v>
      </c>
      <c r="K347" t="s">
        <v>268</v>
      </c>
      <c r="L347" t="s">
        <v>269</v>
      </c>
      <c r="M347" t="s">
        <v>131</v>
      </c>
      <c r="N347">
        <v>24</v>
      </c>
      <c r="O347" t="s">
        <v>40</v>
      </c>
      <c r="S347" t="s">
        <v>40</v>
      </c>
      <c r="V347" t="s">
        <v>41</v>
      </c>
      <c r="W347" t="s">
        <v>75</v>
      </c>
      <c r="X347" t="str">
        <f>"7052018"</f>
        <v>7052018</v>
      </c>
      <c r="Y347" t="s">
        <v>577</v>
      </c>
      <c r="Z347" t="s">
        <v>268</v>
      </c>
      <c r="AA347" t="s">
        <v>269</v>
      </c>
      <c r="AB347" t="s">
        <v>131</v>
      </c>
      <c r="AC347" t="s">
        <v>51</v>
      </c>
      <c r="AD347" t="s">
        <v>45</v>
      </c>
      <c r="AE347" s="1">
        <v>33082</v>
      </c>
      <c r="AF347">
        <v>1</v>
      </c>
      <c r="AG347" t="s">
        <v>269</v>
      </c>
      <c r="AH347" s="36">
        <f t="shared" si="5"/>
        <v>28.819444444444443</v>
      </c>
      <c r="AI347" s="40" t="s">
        <v>1777</v>
      </c>
    </row>
    <row r="348" spans="1:35" x14ac:dyDescent="0.25">
      <c r="A348" s="36">
        <v>99910346</v>
      </c>
      <c r="B348" s="17" t="s">
        <v>32</v>
      </c>
      <c r="C348" t="s">
        <v>90</v>
      </c>
      <c r="D348" t="s">
        <v>91</v>
      </c>
      <c r="G348" s="17" t="s">
        <v>35</v>
      </c>
      <c r="H348" s="17">
        <v>1</v>
      </c>
      <c r="I348">
        <v>1587839</v>
      </c>
      <c r="J348" s="1">
        <v>43344</v>
      </c>
      <c r="K348" t="s">
        <v>268</v>
      </c>
      <c r="L348" t="s">
        <v>269</v>
      </c>
      <c r="M348" t="s">
        <v>131</v>
      </c>
      <c r="N348">
        <v>30</v>
      </c>
      <c r="O348" t="s">
        <v>40</v>
      </c>
      <c r="S348" t="s">
        <v>40</v>
      </c>
      <c r="V348" t="s">
        <v>41</v>
      </c>
      <c r="W348" t="s">
        <v>95</v>
      </c>
      <c r="X348" t="str">
        <f>"7052125"</f>
        <v>7052125</v>
      </c>
      <c r="Y348" t="s">
        <v>580</v>
      </c>
      <c r="Z348" t="s">
        <v>268</v>
      </c>
      <c r="AA348" t="s">
        <v>269</v>
      </c>
      <c r="AB348" t="s">
        <v>131</v>
      </c>
      <c r="AC348" t="s">
        <v>51</v>
      </c>
      <c r="AD348" t="s">
        <v>45</v>
      </c>
      <c r="AE348" s="1">
        <v>33075</v>
      </c>
      <c r="AF348">
        <v>1</v>
      </c>
      <c r="AG348" t="s">
        <v>269</v>
      </c>
      <c r="AH348" s="36">
        <f t="shared" si="5"/>
        <v>28.838888888888889</v>
      </c>
      <c r="AI348" s="40" t="s">
        <v>1777</v>
      </c>
    </row>
    <row r="349" spans="1:35" x14ac:dyDescent="0.25">
      <c r="A349" s="36">
        <v>99910347</v>
      </c>
      <c r="B349" s="17" t="s">
        <v>32</v>
      </c>
      <c r="C349" t="s">
        <v>111</v>
      </c>
      <c r="D349" t="s">
        <v>112</v>
      </c>
      <c r="G349" s="17" t="s">
        <v>35</v>
      </c>
      <c r="H349" s="17">
        <v>1</v>
      </c>
      <c r="I349">
        <v>943</v>
      </c>
      <c r="J349" s="1">
        <v>43344</v>
      </c>
      <c r="K349" t="s">
        <v>1198</v>
      </c>
      <c r="L349" t="s">
        <v>1199</v>
      </c>
      <c r="M349" t="s">
        <v>1130</v>
      </c>
      <c r="N349">
        <v>24</v>
      </c>
      <c r="O349" t="s">
        <v>40</v>
      </c>
      <c r="S349" t="s">
        <v>40</v>
      </c>
      <c r="U349" s="1">
        <v>43344</v>
      </c>
      <c r="V349" t="s">
        <v>41</v>
      </c>
      <c r="W349" t="s">
        <v>75</v>
      </c>
      <c r="X349" t="str">
        <f>"7311002"</f>
        <v>7311002</v>
      </c>
      <c r="Y349" t="s">
        <v>1203</v>
      </c>
      <c r="Z349" t="s">
        <v>1198</v>
      </c>
      <c r="AA349" t="s">
        <v>1199</v>
      </c>
      <c r="AB349" t="s">
        <v>1130</v>
      </c>
      <c r="AC349" t="s">
        <v>51</v>
      </c>
      <c r="AD349" t="s">
        <v>45</v>
      </c>
      <c r="AE349" s="1">
        <v>33075</v>
      </c>
      <c r="AF349">
        <v>1</v>
      </c>
      <c r="AG349" t="s">
        <v>1199</v>
      </c>
      <c r="AH349" s="36">
        <f t="shared" si="5"/>
        <v>28.838888888888889</v>
      </c>
      <c r="AI349" s="40" t="s">
        <v>1777</v>
      </c>
    </row>
    <row r="350" spans="1:35" x14ac:dyDescent="0.25">
      <c r="A350" s="36">
        <v>99910348</v>
      </c>
      <c r="B350" s="17" t="s">
        <v>32</v>
      </c>
      <c r="C350" t="s">
        <v>46</v>
      </c>
      <c r="D350" t="s">
        <v>47</v>
      </c>
      <c r="G350" s="17" t="s">
        <v>35</v>
      </c>
      <c r="H350" s="17">
        <v>1</v>
      </c>
      <c r="I350">
        <v>18457</v>
      </c>
      <c r="J350" s="1">
        <v>43353</v>
      </c>
      <c r="K350" t="s">
        <v>380</v>
      </c>
      <c r="L350" t="s">
        <v>381</v>
      </c>
      <c r="M350" t="s">
        <v>131</v>
      </c>
      <c r="N350">
        <v>23</v>
      </c>
      <c r="O350" t="s">
        <v>40</v>
      </c>
      <c r="P350" t="s">
        <v>40</v>
      </c>
      <c r="Q350" t="s">
        <v>40</v>
      </c>
      <c r="S350" t="s">
        <v>40</v>
      </c>
      <c r="U350" s="1">
        <v>43353</v>
      </c>
      <c r="V350" t="s">
        <v>41</v>
      </c>
      <c r="W350" t="s">
        <v>49</v>
      </c>
      <c r="X350" t="str">
        <f>"0560028"</f>
        <v>0560028</v>
      </c>
      <c r="Y350" t="s">
        <v>384</v>
      </c>
      <c r="Z350" t="s">
        <v>380</v>
      </c>
      <c r="AA350" t="s">
        <v>381</v>
      </c>
      <c r="AB350" t="s">
        <v>131</v>
      </c>
      <c r="AC350" t="s">
        <v>55</v>
      </c>
      <c r="AD350" t="s">
        <v>45</v>
      </c>
      <c r="AE350" s="1">
        <v>33074</v>
      </c>
      <c r="AF350">
        <v>2</v>
      </c>
      <c r="AG350" t="s">
        <v>381</v>
      </c>
      <c r="AH350" s="36">
        <f t="shared" si="5"/>
        <v>28.841666666666665</v>
      </c>
      <c r="AI350" s="40" t="s">
        <v>1777</v>
      </c>
    </row>
    <row r="351" spans="1:35" x14ac:dyDescent="0.25">
      <c r="A351" s="36">
        <v>99910349</v>
      </c>
      <c r="B351" s="17" t="s">
        <v>56</v>
      </c>
      <c r="C351" t="s">
        <v>52</v>
      </c>
      <c r="D351" t="s">
        <v>53</v>
      </c>
      <c r="G351" s="17" t="s">
        <v>48</v>
      </c>
      <c r="H351" s="17">
        <v>1</v>
      </c>
      <c r="K351" t="s">
        <v>1613</v>
      </c>
      <c r="L351" t="s">
        <v>1614</v>
      </c>
      <c r="M351" t="s">
        <v>1592</v>
      </c>
      <c r="N351">
        <v>23</v>
      </c>
      <c r="O351" t="s">
        <v>40</v>
      </c>
      <c r="P351" t="s">
        <v>40</v>
      </c>
      <c r="Q351" t="s">
        <v>40</v>
      </c>
      <c r="R351" t="s">
        <v>40</v>
      </c>
      <c r="S351" t="s">
        <v>40</v>
      </c>
      <c r="V351" t="s">
        <v>41</v>
      </c>
      <c r="W351" t="s">
        <v>49</v>
      </c>
      <c r="X351" t="str">
        <f>"2860001"</f>
        <v>2860001</v>
      </c>
      <c r="Y351" t="s">
        <v>1616</v>
      </c>
      <c r="Z351" t="s">
        <v>1613</v>
      </c>
      <c r="AA351" t="s">
        <v>1614</v>
      </c>
      <c r="AB351" t="s">
        <v>1592</v>
      </c>
      <c r="AC351" t="s">
        <v>51</v>
      </c>
      <c r="AD351" t="s">
        <v>45</v>
      </c>
      <c r="AE351" s="1">
        <v>33072</v>
      </c>
      <c r="AF351">
        <v>2</v>
      </c>
      <c r="AG351" t="s">
        <v>1614</v>
      </c>
      <c r="AH351" s="36">
        <f t="shared" si="5"/>
        <v>28.847222222222221</v>
      </c>
      <c r="AI351" s="40" t="s">
        <v>1777</v>
      </c>
    </row>
    <row r="352" spans="1:35" x14ac:dyDescent="0.25">
      <c r="A352" s="36">
        <v>99910350</v>
      </c>
      <c r="B352" s="17" t="s">
        <v>32</v>
      </c>
      <c r="C352" t="s">
        <v>111</v>
      </c>
      <c r="D352" t="s">
        <v>112</v>
      </c>
      <c r="G352" s="17" t="s">
        <v>35</v>
      </c>
      <c r="H352" s="17">
        <v>1</v>
      </c>
      <c r="I352" t="s">
        <v>1080</v>
      </c>
      <c r="J352" s="1">
        <v>43344</v>
      </c>
      <c r="K352" t="s">
        <v>1081</v>
      </c>
      <c r="L352" t="s">
        <v>1082</v>
      </c>
      <c r="M352" t="s">
        <v>1053</v>
      </c>
      <c r="N352">
        <v>24</v>
      </c>
      <c r="O352" t="s">
        <v>40</v>
      </c>
      <c r="P352" t="s">
        <v>40</v>
      </c>
      <c r="Q352" t="s">
        <v>40</v>
      </c>
      <c r="S352" t="s">
        <v>40</v>
      </c>
      <c r="U352" s="1">
        <v>43344</v>
      </c>
      <c r="V352" t="s">
        <v>41</v>
      </c>
      <c r="W352" t="s">
        <v>75</v>
      </c>
      <c r="X352" t="str">
        <f>"7201006"</f>
        <v>7201006</v>
      </c>
      <c r="Y352" t="s">
        <v>1083</v>
      </c>
      <c r="Z352" t="s">
        <v>1081</v>
      </c>
      <c r="AA352" t="s">
        <v>1082</v>
      </c>
      <c r="AB352" t="s">
        <v>1053</v>
      </c>
      <c r="AC352" t="s">
        <v>51</v>
      </c>
      <c r="AD352" t="s">
        <v>45</v>
      </c>
      <c r="AE352" s="1">
        <v>33060</v>
      </c>
      <c r="AF352">
        <v>1</v>
      </c>
      <c r="AG352" t="s">
        <v>1082</v>
      </c>
      <c r="AH352" s="36">
        <f t="shared" si="5"/>
        <v>28.880555555555556</v>
      </c>
      <c r="AI352" s="40" t="s">
        <v>1777</v>
      </c>
    </row>
    <row r="353" spans="1:35" x14ac:dyDescent="0.25">
      <c r="A353" s="36">
        <v>99910351</v>
      </c>
      <c r="B353" s="17" t="s">
        <v>32</v>
      </c>
      <c r="C353" t="s">
        <v>111</v>
      </c>
      <c r="D353" t="s">
        <v>112</v>
      </c>
      <c r="G353" s="17" t="s">
        <v>35</v>
      </c>
      <c r="H353" s="17">
        <v>1</v>
      </c>
      <c r="I353" t="s">
        <v>764</v>
      </c>
      <c r="J353" s="1">
        <v>42396</v>
      </c>
      <c r="K353" t="s">
        <v>354</v>
      </c>
      <c r="L353" t="s">
        <v>355</v>
      </c>
      <c r="M353" t="s">
        <v>131</v>
      </c>
      <c r="N353">
        <v>24</v>
      </c>
      <c r="O353" t="s">
        <v>40</v>
      </c>
      <c r="P353" t="s">
        <v>40</v>
      </c>
      <c r="Q353" t="s">
        <v>40</v>
      </c>
      <c r="R353" t="s">
        <v>40</v>
      </c>
      <c r="S353" t="s">
        <v>40</v>
      </c>
      <c r="U353" s="1">
        <v>42397</v>
      </c>
      <c r="V353" t="s">
        <v>41</v>
      </c>
      <c r="W353" t="s">
        <v>75</v>
      </c>
      <c r="X353" t="str">
        <f>"7054038"</f>
        <v>7054038</v>
      </c>
      <c r="Y353" t="s">
        <v>377</v>
      </c>
      <c r="Z353" t="s">
        <v>354</v>
      </c>
      <c r="AA353" t="s">
        <v>355</v>
      </c>
      <c r="AB353" t="s">
        <v>131</v>
      </c>
      <c r="AC353" t="s">
        <v>51</v>
      </c>
      <c r="AD353" t="s">
        <v>45</v>
      </c>
      <c r="AE353" s="1">
        <v>33056</v>
      </c>
      <c r="AF353">
        <v>1</v>
      </c>
      <c r="AG353" t="s">
        <v>355</v>
      </c>
      <c r="AH353" s="36">
        <f t="shared" si="5"/>
        <v>28.891666666666666</v>
      </c>
      <c r="AI353" s="40" t="s">
        <v>1777</v>
      </c>
    </row>
    <row r="354" spans="1:35" x14ac:dyDescent="0.25">
      <c r="A354" s="36">
        <v>99910352</v>
      </c>
      <c r="B354" s="17" t="s">
        <v>32</v>
      </c>
      <c r="C354" t="s">
        <v>111</v>
      </c>
      <c r="D354" t="s">
        <v>112</v>
      </c>
      <c r="G354" s="17" t="s">
        <v>35</v>
      </c>
      <c r="H354" s="17">
        <v>1</v>
      </c>
      <c r="K354" t="s">
        <v>1341</v>
      </c>
      <c r="L354" t="s">
        <v>1342</v>
      </c>
      <c r="M354" t="s">
        <v>1270</v>
      </c>
      <c r="N354">
        <v>22</v>
      </c>
      <c r="O354" t="s">
        <v>40</v>
      </c>
      <c r="P354" t="s">
        <v>40</v>
      </c>
      <c r="Q354" t="s">
        <v>40</v>
      </c>
      <c r="S354" t="s">
        <v>40</v>
      </c>
      <c r="V354" t="s">
        <v>41</v>
      </c>
      <c r="W354" t="s">
        <v>75</v>
      </c>
      <c r="X354" t="str">
        <f>"7191006"</f>
        <v>7191006</v>
      </c>
      <c r="Y354" t="s">
        <v>1351</v>
      </c>
      <c r="Z354" t="s">
        <v>1341</v>
      </c>
      <c r="AA354" t="s">
        <v>1342</v>
      </c>
      <c r="AB354" t="s">
        <v>1270</v>
      </c>
      <c r="AC354" t="s">
        <v>51</v>
      </c>
      <c r="AD354" t="s">
        <v>45</v>
      </c>
      <c r="AE354" s="1">
        <v>33056</v>
      </c>
      <c r="AF354">
        <v>1</v>
      </c>
      <c r="AG354" t="s">
        <v>1342</v>
      </c>
      <c r="AH354" s="36">
        <f t="shared" si="5"/>
        <v>28.891666666666666</v>
      </c>
      <c r="AI354" s="40" t="s">
        <v>1777</v>
      </c>
    </row>
    <row r="355" spans="1:35" x14ac:dyDescent="0.25">
      <c r="A355" s="36">
        <v>99910353</v>
      </c>
      <c r="B355" s="17" t="s">
        <v>56</v>
      </c>
      <c r="C355" t="s">
        <v>46</v>
      </c>
      <c r="D355" t="s">
        <v>47</v>
      </c>
      <c r="G355" s="17" t="s">
        <v>35</v>
      </c>
      <c r="H355" s="17">
        <v>1</v>
      </c>
      <c r="I355">
        <v>0</v>
      </c>
      <c r="J355" s="1">
        <v>43344</v>
      </c>
      <c r="K355" t="s">
        <v>223</v>
      </c>
      <c r="L355" t="s">
        <v>224</v>
      </c>
      <c r="M355" t="s">
        <v>131</v>
      </c>
      <c r="N355">
        <v>20</v>
      </c>
      <c r="O355" t="s">
        <v>40</v>
      </c>
      <c r="P355" t="s">
        <v>40</v>
      </c>
      <c r="Q355" t="s">
        <v>40</v>
      </c>
      <c r="R355" t="s">
        <v>40</v>
      </c>
      <c r="S355" t="s">
        <v>40</v>
      </c>
      <c r="U355" s="1">
        <v>43344</v>
      </c>
      <c r="V355" t="s">
        <v>41</v>
      </c>
      <c r="W355" t="s">
        <v>49</v>
      </c>
      <c r="X355" t="str">
        <f>"0560034"</f>
        <v>0560034</v>
      </c>
      <c r="Y355" t="s">
        <v>266</v>
      </c>
      <c r="Z355" t="s">
        <v>223</v>
      </c>
      <c r="AA355" t="s">
        <v>224</v>
      </c>
      <c r="AB355" t="s">
        <v>131</v>
      </c>
      <c r="AC355" t="s">
        <v>44</v>
      </c>
      <c r="AD355" t="s">
        <v>45</v>
      </c>
      <c r="AE355" s="1">
        <v>33054</v>
      </c>
      <c r="AF355">
        <v>2</v>
      </c>
      <c r="AG355" t="s">
        <v>224</v>
      </c>
      <c r="AH355" s="36">
        <f t="shared" si="5"/>
        <v>28.897222222222222</v>
      </c>
      <c r="AI355" s="40" t="s">
        <v>1777</v>
      </c>
    </row>
    <row r="356" spans="1:35" x14ac:dyDescent="0.25">
      <c r="A356" s="36">
        <v>99910354</v>
      </c>
      <c r="B356" s="17" t="s">
        <v>32</v>
      </c>
      <c r="C356" t="s">
        <v>111</v>
      </c>
      <c r="D356" t="s">
        <v>112</v>
      </c>
      <c r="G356" s="17" t="s">
        <v>35</v>
      </c>
      <c r="H356" s="17">
        <v>1</v>
      </c>
      <c r="K356" t="s">
        <v>1341</v>
      </c>
      <c r="L356" t="s">
        <v>1342</v>
      </c>
      <c r="M356" t="s">
        <v>1270</v>
      </c>
      <c r="N356">
        <v>24</v>
      </c>
      <c r="O356" t="s">
        <v>40</v>
      </c>
      <c r="P356" t="s">
        <v>40</v>
      </c>
      <c r="Q356" t="s">
        <v>40</v>
      </c>
      <c r="S356" t="s">
        <v>40</v>
      </c>
      <c r="V356" t="s">
        <v>41</v>
      </c>
      <c r="W356" t="s">
        <v>75</v>
      </c>
      <c r="X356" t="str">
        <f>"7191006"</f>
        <v>7191006</v>
      </c>
      <c r="Y356" t="s">
        <v>1351</v>
      </c>
      <c r="Z356" t="s">
        <v>1341</v>
      </c>
      <c r="AA356" t="s">
        <v>1342</v>
      </c>
      <c r="AB356" t="s">
        <v>1270</v>
      </c>
      <c r="AC356" t="s">
        <v>51</v>
      </c>
      <c r="AD356" t="s">
        <v>45</v>
      </c>
      <c r="AE356" s="1">
        <v>33053</v>
      </c>
      <c r="AF356">
        <v>1</v>
      </c>
      <c r="AG356" t="s">
        <v>1342</v>
      </c>
      <c r="AH356" s="36">
        <f t="shared" si="5"/>
        <v>28.9</v>
      </c>
      <c r="AI356" s="40" t="s">
        <v>1777</v>
      </c>
    </row>
    <row r="357" spans="1:35" x14ac:dyDescent="0.25">
      <c r="A357" s="36">
        <v>99910355</v>
      </c>
      <c r="B357" s="17" t="s">
        <v>32</v>
      </c>
      <c r="C357" t="s">
        <v>111</v>
      </c>
      <c r="D357" t="s">
        <v>112</v>
      </c>
      <c r="G357" s="17" t="s">
        <v>35</v>
      </c>
      <c r="H357" s="17">
        <v>1</v>
      </c>
      <c r="I357" t="s">
        <v>286</v>
      </c>
      <c r="J357" s="1">
        <v>43344</v>
      </c>
      <c r="K357" t="s">
        <v>268</v>
      </c>
      <c r="L357" t="s">
        <v>269</v>
      </c>
      <c r="M357" t="s">
        <v>131</v>
      </c>
      <c r="N357">
        <v>24</v>
      </c>
      <c r="O357" t="s">
        <v>40</v>
      </c>
      <c r="P357" t="s">
        <v>40</v>
      </c>
      <c r="Q357" t="s">
        <v>40</v>
      </c>
      <c r="R357" t="s">
        <v>40</v>
      </c>
      <c r="S357" t="s">
        <v>40</v>
      </c>
      <c r="U357" s="1">
        <v>43344</v>
      </c>
      <c r="V357" t="s">
        <v>41</v>
      </c>
      <c r="W357" t="s">
        <v>75</v>
      </c>
      <c r="X357" t="str">
        <f>"7052004"</f>
        <v>7052004</v>
      </c>
      <c r="Y357" t="s">
        <v>584</v>
      </c>
      <c r="Z357" t="s">
        <v>268</v>
      </c>
      <c r="AA357" t="s">
        <v>269</v>
      </c>
      <c r="AB357" t="s">
        <v>131</v>
      </c>
      <c r="AC357" t="s">
        <v>55</v>
      </c>
      <c r="AD357" t="s">
        <v>45</v>
      </c>
      <c r="AE357" s="1">
        <v>33044</v>
      </c>
      <c r="AF357">
        <v>1</v>
      </c>
      <c r="AG357" t="s">
        <v>269</v>
      </c>
      <c r="AH357" s="36">
        <f t="shared" si="5"/>
        <v>28.925000000000001</v>
      </c>
      <c r="AI357" s="40" t="s">
        <v>1777</v>
      </c>
    </row>
    <row r="358" spans="1:35" x14ac:dyDescent="0.25">
      <c r="A358" s="36">
        <v>99910356</v>
      </c>
      <c r="B358" s="17" t="s">
        <v>32</v>
      </c>
      <c r="C358" t="s">
        <v>111</v>
      </c>
      <c r="D358" t="s">
        <v>112</v>
      </c>
      <c r="G358" s="17" t="s">
        <v>88</v>
      </c>
      <c r="H358" s="17">
        <v>2</v>
      </c>
      <c r="J358" s="1">
        <v>43344</v>
      </c>
      <c r="K358" t="s">
        <v>354</v>
      </c>
      <c r="L358" t="s">
        <v>355</v>
      </c>
      <c r="M358" t="s">
        <v>131</v>
      </c>
      <c r="N358">
        <v>24</v>
      </c>
      <c r="O358" t="s">
        <v>40</v>
      </c>
      <c r="P358" t="s">
        <v>40</v>
      </c>
      <c r="Q358" t="s">
        <v>40</v>
      </c>
      <c r="R358" t="s">
        <v>40</v>
      </c>
      <c r="S358" t="s">
        <v>40</v>
      </c>
      <c r="U358" s="1">
        <v>43344</v>
      </c>
      <c r="V358" t="s">
        <v>41</v>
      </c>
      <c r="W358" t="s">
        <v>75</v>
      </c>
      <c r="X358" t="str">
        <f>"7054000"</f>
        <v>7054000</v>
      </c>
      <c r="Y358" t="s">
        <v>786</v>
      </c>
      <c r="Z358" t="s">
        <v>354</v>
      </c>
      <c r="AA358" t="s">
        <v>355</v>
      </c>
      <c r="AB358" t="s">
        <v>131</v>
      </c>
      <c r="AC358" t="s">
        <v>51</v>
      </c>
      <c r="AD358" t="s">
        <v>45</v>
      </c>
      <c r="AE358" s="1">
        <v>33039</v>
      </c>
      <c r="AF358">
        <v>1</v>
      </c>
      <c r="AG358" t="s">
        <v>355</v>
      </c>
      <c r="AH358" s="36">
        <f t="shared" si="5"/>
        <v>28.93888888888889</v>
      </c>
      <c r="AI358" s="40" t="s">
        <v>1777</v>
      </c>
    </row>
    <row r="359" spans="1:35" x14ac:dyDescent="0.25">
      <c r="A359" s="36">
        <v>99910357</v>
      </c>
      <c r="B359" s="17" t="s">
        <v>32</v>
      </c>
      <c r="C359" t="s">
        <v>90</v>
      </c>
      <c r="D359" t="s">
        <v>91</v>
      </c>
      <c r="G359" s="17" t="s">
        <v>35</v>
      </c>
      <c r="H359" s="17">
        <v>1</v>
      </c>
      <c r="I359">
        <v>6539</v>
      </c>
      <c r="J359" s="1">
        <v>43346</v>
      </c>
      <c r="K359" t="s">
        <v>667</v>
      </c>
      <c r="L359" t="s">
        <v>669</v>
      </c>
      <c r="M359" t="s">
        <v>670</v>
      </c>
      <c r="N359">
        <v>25</v>
      </c>
      <c r="O359" t="s">
        <v>40</v>
      </c>
      <c r="P359" t="s">
        <v>40</v>
      </c>
      <c r="Q359" t="s">
        <v>40</v>
      </c>
      <c r="S359" t="s">
        <v>40</v>
      </c>
      <c r="U359" s="1">
        <v>43346</v>
      </c>
      <c r="V359" t="s">
        <v>41</v>
      </c>
      <c r="W359" t="s">
        <v>95</v>
      </c>
      <c r="X359" t="str">
        <f>"7501009"</f>
        <v>7501009</v>
      </c>
      <c r="Y359" t="s">
        <v>1523</v>
      </c>
      <c r="Z359" t="s">
        <v>667</v>
      </c>
      <c r="AA359" t="s">
        <v>669</v>
      </c>
      <c r="AB359" t="s">
        <v>670</v>
      </c>
      <c r="AC359" t="s">
        <v>44</v>
      </c>
      <c r="AD359" t="s">
        <v>45</v>
      </c>
      <c r="AE359" s="1">
        <v>33038</v>
      </c>
      <c r="AF359">
        <v>1</v>
      </c>
      <c r="AG359" t="s">
        <v>669</v>
      </c>
      <c r="AH359" s="36">
        <f t="shared" si="5"/>
        <v>28.941666666666666</v>
      </c>
      <c r="AI359" s="40" t="s">
        <v>1777</v>
      </c>
    </row>
    <row r="360" spans="1:35" x14ac:dyDescent="0.25">
      <c r="A360" s="36">
        <v>99910358</v>
      </c>
      <c r="B360" s="17" t="s">
        <v>32</v>
      </c>
      <c r="C360" t="s">
        <v>111</v>
      </c>
      <c r="D360" t="s">
        <v>112</v>
      </c>
      <c r="G360" s="17" t="s">
        <v>35</v>
      </c>
      <c r="H360" s="17">
        <v>1</v>
      </c>
      <c r="I360">
        <v>9345</v>
      </c>
      <c r="J360" s="1">
        <v>43344</v>
      </c>
      <c r="K360" t="s">
        <v>1198</v>
      </c>
      <c r="L360" t="s">
        <v>1199</v>
      </c>
      <c r="M360" t="s">
        <v>1130</v>
      </c>
      <c r="N360">
        <v>24</v>
      </c>
      <c r="O360" t="s">
        <v>40</v>
      </c>
      <c r="S360" t="s">
        <v>40</v>
      </c>
      <c r="U360" s="1">
        <v>43344</v>
      </c>
      <c r="V360" t="s">
        <v>41</v>
      </c>
      <c r="W360" t="s">
        <v>75</v>
      </c>
      <c r="X360" t="str">
        <f>"7311002"</f>
        <v>7311002</v>
      </c>
      <c r="Y360" t="s">
        <v>1203</v>
      </c>
      <c r="Z360" t="s">
        <v>1198</v>
      </c>
      <c r="AA360" t="s">
        <v>1199</v>
      </c>
      <c r="AB360" t="s">
        <v>1130</v>
      </c>
      <c r="AC360" t="s">
        <v>51</v>
      </c>
      <c r="AD360" t="s">
        <v>45</v>
      </c>
      <c r="AE360" s="1">
        <v>33036</v>
      </c>
      <c r="AF360">
        <v>1</v>
      </c>
      <c r="AG360" t="s">
        <v>1199</v>
      </c>
      <c r="AH360" s="36">
        <f t="shared" si="5"/>
        <v>28.947222222222223</v>
      </c>
      <c r="AI360" s="40" t="s">
        <v>1777</v>
      </c>
    </row>
    <row r="361" spans="1:35" x14ac:dyDescent="0.25">
      <c r="A361" s="36">
        <v>99910359</v>
      </c>
      <c r="B361" s="17" t="s">
        <v>32</v>
      </c>
      <c r="C361" t="s">
        <v>111</v>
      </c>
      <c r="D361" t="s">
        <v>112</v>
      </c>
      <c r="G361" s="17" t="s">
        <v>48</v>
      </c>
      <c r="H361" s="17">
        <v>1</v>
      </c>
      <c r="K361" t="s">
        <v>1695</v>
      </c>
      <c r="L361" t="s">
        <v>1696</v>
      </c>
      <c r="M361" t="s">
        <v>1592</v>
      </c>
      <c r="N361">
        <v>24</v>
      </c>
      <c r="O361" t="s">
        <v>40</v>
      </c>
      <c r="P361" t="s">
        <v>40</v>
      </c>
      <c r="Q361" t="s">
        <v>40</v>
      </c>
      <c r="S361" t="s">
        <v>40</v>
      </c>
      <c r="V361" t="s">
        <v>41</v>
      </c>
      <c r="W361" t="s">
        <v>75</v>
      </c>
      <c r="X361" t="str">
        <f>"7361000"</f>
        <v>7361000</v>
      </c>
      <c r="Y361" t="s">
        <v>1698</v>
      </c>
      <c r="Z361" t="s">
        <v>1695</v>
      </c>
      <c r="AA361" t="s">
        <v>1696</v>
      </c>
      <c r="AB361" t="s">
        <v>1592</v>
      </c>
      <c r="AC361" t="s">
        <v>51</v>
      </c>
      <c r="AD361" t="s">
        <v>45</v>
      </c>
      <c r="AE361" s="1">
        <v>33024</v>
      </c>
      <c r="AF361">
        <v>1</v>
      </c>
      <c r="AG361" t="s">
        <v>1696</v>
      </c>
      <c r="AH361" s="36">
        <f t="shared" si="5"/>
        <v>28.980555555555554</v>
      </c>
      <c r="AI361" s="40" t="s">
        <v>1777</v>
      </c>
    </row>
    <row r="362" spans="1:35" x14ac:dyDescent="0.25">
      <c r="A362" s="36">
        <v>99910360</v>
      </c>
      <c r="B362" s="17" t="s">
        <v>32</v>
      </c>
      <c r="C362" t="s">
        <v>111</v>
      </c>
      <c r="D362" t="s">
        <v>112</v>
      </c>
      <c r="G362" s="17" t="s">
        <v>35</v>
      </c>
      <c r="H362" s="17">
        <v>1</v>
      </c>
      <c r="K362" t="s">
        <v>877</v>
      </c>
      <c r="L362" t="s">
        <v>878</v>
      </c>
      <c r="M362" t="s">
        <v>131</v>
      </c>
      <c r="N362">
        <v>24</v>
      </c>
      <c r="O362" t="s">
        <v>40</v>
      </c>
      <c r="P362" t="s">
        <v>40</v>
      </c>
      <c r="Q362" t="s">
        <v>40</v>
      </c>
      <c r="S362" t="s">
        <v>40</v>
      </c>
      <c r="V362" t="s">
        <v>41</v>
      </c>
      <c r="W362" t="s">
        <v>75</v>
      </c>
      <c r="X362" t="str">
        <f>"7700025"</f>
        <v>7700025</v>
      </c>
      <c r="Y362" t="s">
        <v>880</v>
      </c>
      <c r="Z362" t="s">
        <v>877</v>
      </c>
      <c r="AA362" t="s">
        <v>878</v>
      </c>
      <c r="AB362" t="s">
        <v>131</v>
      </c>
      <c r="AC362" t="s">
        <v>51</v>
      </c>
      <c r="AD362" t="s">
        <v>45</v>
      </c>
      <c r="AE362" s="1">
        <v>33021</v>
      </c>
      <c r="AF362">
        <v>1</v>
      </c>
      <c r="AG362" t="s">
        <v>878</v>
      </c>
      <c r="AH362" s="36">
        <f t="shared" si="5"/>
        <v>28.988888888888887</v>
      </c>
      <c r="AI362" s="40" t="s">
        <v>1777</v>
      </c>
    </row>
    <row r="363" spans="1:35" x14ac:dyDescent="0.25">
      <c r="A363" s="36">
        <v>99910361</v>
      </c>
      <c r="B363" s="17" t="s">
        <v>32</v>
      </c>
      <c r="C363" t="s">
        <v>90</v>
      </c>
      <c r="D363" t="s">
        <v>91</v>
      </c>
      <c r="G363" s="17" t="s">
        <v>35</v>
      </c>
      <c r="H363" s="17">
        <v>1</v>
      </c>
      <c r="I363" t="s">
        <v>1405</v>
      </c>
      <c r="J363" s="1">
        <v>43344</v>
      </c>
      <c r="K363" t="s">
        <v>1341</v>
      </c>
      <c r="L363" t="s">
        <v>1342</v>
      </c>
      <c r="M363" t="s">
        <v>1270</v>
      </c>
      <c r="N363">
        <v>24</v>
      </c>
      <c r="O363" t="s">
        <v>40</v>
      </c>
      <c r="S363" t="s">
        <v>40</v>
      </c>
      <c r="U363" s="1">
        <v>43344</v>
      </c>
      <c r="V363" t="s">
        <v>41</v>
      </c>
      <c r="W363" t="s">
        <v>95</v>
      </c>
      <c r="X363" t="str">
        <f>"7191113"</f>
        <v>7191113</v>
      </c>
      <c r="Y363" t="s">
        <v>1420</v>
      </c>
      <c r="Z363" t="s">
        <v>1341</v>
      </c>
      <c r="AA363" t="s">
        <v>1342</v>
      </c>
      <c r="AB363" t="s">
        <v>1270</v>
      </c>
      <c r="AC363" t="s">
        <v>44</v>
      </c>
      <c r="AD363" t="s">
        <v>45</v>
      </c>
      <c r="AE363" s="1">
        <v>33021</v>
      </c>
      <c r="AF363">
        <v>1</v>
      </c>
      <c r="AG363" t="s">
        <v>1342</v>
      </c>
      <c r="AH363" s="36">
        <f t="shared" si="5"/>
        <v>28.988888888888887</v>
      </c>
      <c r="AI363" s="40" t="s">
        <v>1777</v>
      </c>
    </row>
    <row r="364" spans="1:35" x14ac:dyDescent="0.25">
      <c r="A364" s="36">
        <v>99910362</v>
      </c>
      <c r="B364" s="17" t="s">
        <v>32</v>
      </c>
      <c r="C364" t="s">
        <v>111</v>
      </c>
      <c r="D364" t="s">
        <v>112</v>
      </c>
      <c r="G364" s="17" t="s">
        <v>35</v>
      </c>
      <c r="H364" s="17">
        <v>1</v>
      </c>
      <c r="K364" t="s">
        <v>154</v>
      </c>
      <c r="L364" t="s">
        <v>155</v>
      </c>
      <c r="M364" t="s">
        <v>131</v>
      </c>
      <c r="N364">
        <v>24</v>
      </c>
      <c r="O364" t="s">
        <v>40</v>
      </c>
      <c r="P364" t="s">
        <v>40</v>
      </c>
      <c r="Q364" t="s">
        <v>40</v>
      </c>
      <c r="S364" t="s">
        <v>40</v>
      </c>
      <c r="V364" t="s">
        <v>41</v>
      </c>
      <c r="W364" t="s">
        <v>75</v>
      </c>
      <c r="X364" t="str">
        <f>"7051014"</f>
        <v>7051014</v>
      </c>
      <c r="Y364" t="s">
        <v>398</v>
      </c>
      <c r="Z364" t="s">
        <v>154</v>
      </c>
      <c r="AA364" t="s">
        <v>155</v>
      </c>
      <c r="AB364" t="s">
        <v>131</v>
      </c>
      <c r="AC364" t="s">
        <v>165</v>
      </c>
      <c r="AD364" t="s">
        <v>45</v>
      </c>
      <c r="AE364" s="1">
        <v>33015</v>
      </c>
      <c r="AF364">
        <v>1</v>
      </c>
      <c r="AG364" t="s">
        <v>155</v>
      </c>
      <c r="AH364" s="36">
        <f t="shared" si="5"/>
        <v>29.005555555555556</v>
      </c>
      <c r="AI364" s="40" t="s">
        <v>1777</v>
      </c>
    </row>
    <row r="365" spans="1:35" x14ac:dyDescent="0.25">
      <c r="A365" s="36">
        <v>99910363</v>
      </c>
      <c r="B365" s="17" t="s">
        <v>32</v>
      </c>
      <c r="C365" t="s">
        <v>90</v>
      </c>
      <c r="D365" t="s">
        <v>91</v>
      </c>
      <c r="G365" s="17" t="s">
        <v>48</v>
      </c>
      <c r="H365" s="17">
        <v>1</v>
      </c>
      <c r="K365" t="s">
        <v>1619</v>
      </c>
      <c r="L365" t="s">
        <v>1620</v>
      </c>
      <c r="M365" t="s">
        <v>1592</v>
      </c>
      <c r="N365">
        <v>25</v>
      </c>
      <c r="O365" t="s">
        <v>40</v>
      </c>
      <c r="P365" t="s">
        <v>40</v>
      </c>
      <c r="Q365" t="s">
        <v>40</v>
      </c>
      <c r="S365" t="s">
        <v>40</v>
      </c>
      <c r="V365" t="s">
        <v>41</v>
      </c>
      <c r="W365" t="s">
        <v>95</v>
      </c>
      <c r="X365" t="str">
        <f>"7281015"</f>
        <v>7281015</v>
      </c>
      <c r="Y365" t="s">
        <v>1681</v>
      </c>
      <c r="Z365" t="s">
        <v>1619</v>
      </c>
      <c r="AA365" t="s">
        <v>1620</v>
      </c>
      <c r="AB365" t="s">
        <v>1592</v>
      </c>
      <c r="AC365" t="s">
        <v>51</v>
      </c>
      <c r="AD365" t="s">
        <v>45</v>
      </c>
      <c r="AE365" s="1">
        <v>33005</v>
      </c>
      <c r="AF365">
        <v>1</v>
      </c>
      <c r="AG365" t="s">
        <v>1620</v>
      </c>
      <c r="AH365" s="36">
        <f t="shared" si="5"/>
        <v>29.033333333333335</v>
      </c>
      <c r="AI365" s="40" t="s">
        <v>1777</v>
      </c>
    </row>
    <row r="366" spans="1:35" x14ac:dyDescent="0.25">
      <c r="A366" s="36">
        <v>99910364</v>
      </c>
      <c r="B366" s="17" t="s">
        <v>32</v>
      </c>
      <c r="C366" t="s">
        <v>90</v>
      </c>
      <c r="D366" t="s">
        <v>91</v>
      </c>
      <c r="G366" s="17" t="s">
        <v>35</v>
      </c>
      <c r="H366" s="17">
        <v>1</v>
      </c>
      <c r="I366" t="s">
        <v>286</v>
      </c>
      <c r="J366" s="1">
        <v>43344</v>
      </c>
      <c r="K366" t="s">
        <v>268</v>
      </c>
      <c r="L366" t="s">
        <v>269</v>
      </c>
      <c r="M366" t="s">
        <v>131</v>
      </c>
      <c r="N366">
        <v>30</v>
      </c>
      <c r="O366" t="s">
        <v>40</v>
      </c>
      <c r="S366" t="s">
        <v>40</v>
      </c>
      <c r="U366" s="1">
        <v>43344</v>
      </c>
      <c r="V366" t="s">
        <v>41</v>
      </c>
      <c r="W366" t="s">
        <v>95</v>
      </c>
      <c r="X366" t="str">
        <f>"7052209"</f>
        <v>7052209</v>
      </c>
      <c r="Y366" t="s">
        <v>704</v>
      </c>
      <c r="Z366" t="s">
        <v>268</v>
      </c>
      <c r="AA366" t="s">
        <v>269</v>
      </c>
      <c r="AB366" t="s">
        <v>131</v>
      </c>
      <c r="AC366" t="s">
        <v>44</v>
      </c>
      <c r="AD366" t="s">
        <v>45</v>
      </c>
      <c r="AE366" s="1">
        <v>33003</v>
      </c>
      <c r="AF366">
        <v>1</v>
      </c>
      <c r="AG366" t="s">
        <v>269</v>
      </c>
      <c r="AH366" s="36">
        <f t="shared" si="5"/>
        <v>29.038888888888888</v>
      </c>
      <c r="AI366" s="40" t="s">
        <v>1777</v>
      </c>
    </row>
    <row r="367" spans="1:35" x14ac:dyDescent="0.25">
      <c r="A367" s="36">
        <v>99910365</v>
      </c>
      <c r="B367" s="17" t="s">
        <v>56</v>
      </c>
      <c r="C367" t="s">
        <v>111</v>
      </c>
      <c r="D367" t="s">
        <v>112</v>
      </c>
      <c r="G367" s="17" t="s">
        <v>35</v>
      </c>
      <c r="H367" s="17">
        <v>1</v>
      </c>
      <c r="I367">
        <v>10354</v>
      </c>
      <c r="J367" s="1">
        <v>43344</v>
      </c>
      <c r="K367" t="s">
        <v>1426</v>
      </c>
      <c r="L367" t="s">
        <v>1427</v>
      </c>
      <c r="M367" t="s">
        <v>1270</v>
      </c>
      <c r="N367">
        <v>24</v>
      </c>
      <c r="O367" t="s">
        <v>40</v>
      </c>
      <c r="P367" t="s">
        <v>40</v>
      </c>
      <c r="Q367" t="s">
        <v>40</v>
      </c>
      <c r="S367" t="s">
        <v>40</v>
      </c>
      <c r="U367" s="1">
        <v>43344</v>
      </c>
      <c r="V367" t="s">
        <v>41</v>
      </c>
      <c r="W367" t="s">
        <v>75</v>
      </c>
      <c r="X367" t="str">
        <f>"7192000"</f>
        <v>7192000</v>
      </c>
      <c r="Y367" t="s">
        <v>1429</v>
      </c>
      <c r="Z367" t="s">
        <v>1426</v>
      </c>
      <c r="AA367" t="s">
        <v>1427</v>
      </c>
      <c r="AB367" t="s">
        <v>1270</v>
      </c>
      <c r="AC367" t="s">
        <v>44</v>
      </c>
      <c r="AD367" t="s">
        <v>45</v>
      </c>
      <c r="AE367" s="1">
        <v>33003</v>
      </c>
      <c r="AF367">
        <v>1</v>
      </c>
      <c r="AG367" t="s">
        <v>1427</v>
      </c>
      <c r="AH367" s="36">
        <f t="shared" si="5"/>
        <v>29.038888888888888</v>
      </c>
      <c r="AI367" s="40" t="s">
        <v>1777</v>
      </c>
    </row>
    <row r="368" spans="1:35" x14ac:dyDescent="0.25">
      <c r="A368" s="36">
        <v>99910366</v>
      </c>
      <c r="B368" s="17" t="s">
        <v>32</v>
      </c>
      <c r="C368" t="s">
        <v>58</v>
      </c>
      <c r="D368" t="s">
        <v>59</v>
      </c>
      <c r="G368" s="17" t="s">
        <v>35</v>
      </c>
      <c r="H368" s="17">
        <v>1</v>
      </c>
      <c r="I368">
        <v>14176</v>
      </c>
      <c r="J368" s="1">
        <v>43348</v>
      </c>
      <c r="K368" t="s">
        <v>1268</v>
      </c>
      <c r="L368" t="s">
        <v>1269</v>
      </c>
      <c r="M368" t="s">
        <v>1270</v>
      </c>
      <c r="N368">
        <v>23</v>
      </c>
      <c r="O368" t="s">
        <v>40</v>
      </c>
      <c r="S368" t="s">
        <v>40</v>
      </c>
      <c r="U368" s="1">
        <v>43348</v>
      </c>
      <c r="V368" t="s">
        <v>41</v>
      </c>
      <c r="W368" t="s">
        <v>49</v>
      </c>
      <c r="X368" t="str">
        <f>"1981055"</f>
        <v>1981055</v>
      </c>
      <c r="Y368" t="s">
        <v>1280</v>
      </c>
      <c r="Z368" t="s">
        <v>1268</v>
      </c>
      <c r="AA368" t="s">
        <v>1269</v>
      </c>
      <c r="AB368" t="s">
        <v>1270</v>
      </c>
      <c r="AC368" t="s">
        <v>55</v>
      </c>
      <c r="AD368" t="s">
        <v>45</v>
      </c>
      <c r="AE368" s="1">
        <v>33002</v>
      </c>
      <c r="AF368">
        <v>2</v>
      </c>
      <c r="AG368" t="s">
        <v>1269</v>
      </c>
      <c r="AH368" s="36">
        <f t="shared" si="5"/>
        <v>29.041666666666668</v>
      </c>
      <c r="AI368" s="40" t="s">
        <v>1777</v>
      </c>
    </row>
    <row r="369" spans="1:35" x14ac:dyDescent="0.25">
      <c r="A369" s="36">
        <v>99910367</v>
      </c>
      <c r="B369" s="17" t="s">
        <v>32</v>
      </c>
      <c r="C369" t="s">
        <v>46</v>
      </c>
      <c r="D369" t="s">
        <v>47</v>
      </c>
      <c r="G369" s="17" t="s">
        <v>35</v>
      </c>
      <c r="H369" s="17">
        <v>1</v>
      </c>
      <c r="I369">
        <v>0</v>
      </c>
      <c r="J369" s="1">
        <v>43344</v>
      </c>
      <c r="K369" t="s">
        <v>223</v>
      </c>
      <c r="L369" t="s">
        <v>224</v>
      </c>
      <c r="M369" t="s">
        <v>131</v>
      </c>
      <c r="N369">
        <v>23</v>
      </c>
      <c r="O369" t="s">
        <v>40</v>
      </c>
      <c r="S369" t="s">
        <v>40</v>
      </c>
      <c r="U369" s="1">
        <v>43344</v>
      </c>
      <c r="V369" t="s">
        <v>41</v>
      </c>
      <c r="W369" t="s">
        <v>42</v>
      </c>
      <c r="X369" t="str">
        <f>"0580206"</f>
        <v>0580206</v>
      </c>
      <c r="Y369" t="s">
        <v>237</v>
      </c>
      <c r="Z369" t="s">
        <v>223</v>
      </c>
      <c r="AA369" t="s">
        <v>224</v>
      </c>
      <c r="AB369" t="s">
        <v>131</v>
      </c>
      <c r="AC369" t="s">
        <v>55</v>
      </c>
      <c r="AD369" t="s">
        <v>45</v>
      </c>
      <c r="AE369" s="1">
        <v>33001</v>
      </c>
      <c r="AF369">
        <v>2</v>
      </c>
      <c r="AG369" t="s">
        <v>224</v>
      </c>
      <c r="AH369" s="36">
        <f t="shared" si="5"/>
        <v>29.044444444444444</v>
      </c>
      <c r="AI369" s="40" t="s">
        <v>1777</v>
      </c>
    </row>
    <row r="370" spans="1:35" x14ac:dyDescent="0.25">
      <c r="A370" s="36">
        <v>99910368</v>
      </c>
      <c r="B370" s="17" t="s">
        <v>32</v>
      </c>
      <c r="C370" t="s">
        <v>90</v>
      </c>
      <c r="D370" t="s">
        <v>91</v>
      </c>
      <c r="G370" s="17" t="s">
        <v>35</v>
      </c>
      <c r="H370" s="17">
        <v>1</v>
      </c>
      <c r="I370" t="s">
        <v>1676</v>
      </c>
      <c r="J370" s="1">
        <v>43313</v>
      </c>
      <c r="K370" t="s">
        <v>1619</v>
      </c>
      <c r="L370" t="s">
        <v>1620</v>
      </c>
      <c r="M370" t="s">
        <v>1592</v>
      </c>
      <c r="N370">
        <v>25</v>
      </c>
      <c r="O370" t="s">
        <v>40</v>
      </c>
      <c r="P370" t="s">
        <v>40</v>
      </c>
      <c r="Q370" t="s">
        <v>40</v>
      </c>
      <c r="R370" t="s">
        <v>40</v>
      </c>
      <c r="S370" t="s">
        <v>40</v>
      </c>
      <c r="U370" s="1">
        <v>43313</v>
      </c>
      <c r="V370" t="s">
        <v>41</v>
      </c>
      <c r="W370" t="s">
        <v>95</v>
      </c>
      <c r="X370" t="str">
        <f>"7281001"</f>
        <v>7281001</v>
      </c>
      <c r="Y370" t="s">
        <v>1672</v>
      </c>
      <c r="Z370" t="s">
        <v>1619</v>
      </c>
      <c r="AA370" t="s">
        <v>1620</v>
      </c>
      <c r="AB370" t="s">
        <v>1592</v>
      </c>
      <c r="AC370" t="s">
        <v>51</v>
      </c>
      <c r="AD370" t="s">
        <v>45</v>
      </c>
      <c r="AE370" s="1">
        <v>33001</v>
      </c>
      <c r="AF370">
        <v>1</v>
      </c>
      <c r="AG370" t="s">
        <v>1620</v>
      </c>
      <c r="AH370" s="36">
        <f t="shared" si="5"/>
        <v>29.044444444444444</v>
      </c>
      <c r="AI370" s="40" t="s">
        <v>1777</v>
      </c>
    </row>
    <row r="371" spans="1:35" x14ac:dyDescent="0.25">
      <c r="A371" s="36">
        <v>99910369</v>
      </c>
      <c r="B371" s="17" t="s">
        <v>32</v>
      </c>
      <c r="C371" t="s">
        <v>111</v>
      </c>
      <c r="D371" t="s">
        <v>112</v>
      </c>
      <c r="G371" s="17" t="s">
        <v>88</v>
      </c>
      <c r="H371" s="17">
        <v>2</v>
      </c>
      <c r="K371" t="s">
        <v>354</v>
      </c>
      <c r="L371" t="s">
        <v>355</v>
      </c>
      <c r="M371" t="s">
        <v>131</v>
      </c>
      <c r="N371">
        <v>24</v>
      </c>
      <c r="O371" t="s">
        <v>40</v>
      </c>
      <c r="P371" t="s">
        <v>40</v>
      </c>
      <c r="Q371" t="s">
        <v>40</v>
      </c>
      <c r="R371" t="s">
        <v>40</v>
      </c>
      <c r="S371" t="s">
        <v>40</v>
      </c>
      <c r="V371" t="s">
        <v>41</v>
      </c>
      <c r="W371" t="s">
        <v>75</v>
      </c>
      <c r="X371" t="str">
        <f>"7054038"</f>
        <v>7054038</v>
      </c>
      <c r="Y371" t="s">
        <v>377</v>
      </c>
      <c r="Z371" t="s">
        <v>354</v>
      </c>
      <c r="AA371" t="s">
        <v>355</v>
      </c>
      <c r="AB371" t="s">
        <v>131</v>
      </c>
      <c r="AC371" t="s">
        <v>51</v>
      </c>
      <c r="AD371" t="s">
        <v>45</v>
      </c>
      <c r="AE371" s="1">
        <v>32998</v>
      </c>
      <c r="AF371">
        <v>1</v>
      </c>
      <c r="AG371" t="s">
        <v>355</v>
      </c>
      <c r="AH371" s="36">
        <f t="shared" si="5"/>
        <v>29.052777777777777</v>
      </c>
      <c r="AI371" s="40" t="s">
        <v>1777</v>
      </c>
    </row>
    <row r="372" spans="1:35" x14ac:dyDescent="0.25">
      <c r="A372" s="36">
        <v>99910370</v>
      </c>
      <c r="B372" s="17" t="s">
        <v>32</v>
      </c>
      <c r="C372" t="s">
        <v>111</v>
      </c>
      <c r="D372" t="s">
        <v>112</v>
      </c>
      <c r="G372" s="17" t="s">
        <v>35</v>
      </c>
      <c r="H372" s="17">
        <v>3</v>
      </c>
      <c r="J372" s="1">
        <v>43344</v>
      </c>
      <c r="K372" t="s">
        <v>354</v>
      </c>
      <c r="L372" t="s">
        <v>355</v>
      </c>
      <c r="M372" t="s">
        <v>131</v>
      </c>
      <c r="N372">
        <v>24</v>
      </c>
      <c r="O372" t="s">
        <v>40</v>
      </c>
      <c r="P372" t="s">
        <v>40</v>
      </c>
      <c r="Q372" t="s">
        <v>40</v>
      </c>
      <c r="R372" t="s">
        <v>40</v>
      </c>
      <c r="S372" t="s">
        <v>40</v>
      </c>
      <c r="U372" s="1">
        <v>43344</v>
      </c>
      <c r="V372" t="s">
        <v>41</v>
      </c>
      <c r="W372" t="s">
        <v>75</v>
      </c>
      <c r="X372" t="str">
        <f>"7054030"</f>
        <v>7054030</v>
      </c>
      <c r="Y372" t="s">
        <v>841</v>
      </c>
      <c r="Z372" t="s">
        <v>354</v>
      </c>
      <c r="AA372" t="s">
        <v>355</v>
      </c>
      <c r="AB372" t="s">
        <v>131</v>
      </c>
      <c r="AC372" t="s">
        <v>51</v>
      </c>
      <c r="AD372" t="s">
        <v>45</v>
      </c>
      <c r="AE372" s="1">
        <v>32994</v>
      </c>
      <c r="AF372">
        <v>1</v>
      </c>
      <c r="AG372" t="s">
        <v>355</v>
      </c>
      <c r="AH372" s="36">
        <f t="shared" si="5"/>
        <v>29.06388888888889</v>
      </c>
      <c r="AI372" s="40" t="s">
        <v>1777</v>
      </c>
    </row>
    <row r="373" spans="1:35" x14ac:dyDescent="0.25">
      <c r="A373" s="36">
        <v>99910371</v>
      </c>
      <c r="B373" s="17" t="s">
        <v>32</v>
      </c>
      <c r="C373" t="s">
        <v>90</v>
      </c>
      <c r="D373" t="s">
        <v>91</v>
      </c>
      <c r="G373" s="17" t="s">
        <v>35</v>
      </c>
      <c r="H373" s="17">
        <v>1</v>
      </c>
      <c r="I373" t="s">
        <v>1349</v>
      </c>
      <c r="J373" s="1">
        <v>43344</v>
      </c>
      <c r="K373" t="s">
        <v>1341</v>
      </c>
      <c r="L373" t="s">
        <v>1342</v>
      </c>
      <c r="M373" t="s">
        <v>1270</v>
      </c>
      <c r="N373">
        <v>24</v>
      </c>
      <c r="O373" t="s">
        <v>40</v>
      </c>
      <c r="S373" t="s">
        <v>40</v>
      </c>
      <c r="U373" s="1">
        <v>43344</v>
      </c>
      <c r="V373" t="s">
        <v>41</v>
      </c>
      <c r="W373" t="s">
        <v>95</v>
      </c>
      <c r="X373" t="str">
        <f>"7191125"</f>
        <v>7191125</v>
      </c>
      <c r="Y373" t="s">
        <v>1350</v>
      </c>
      <c r="Z373" t="s">
        <v>1341</v>
      </c>
      <c r="AA373" t="s">
        <v>1342</v>
      </c>
      <c r="AB373" t="s">
        <v>1270</v>
      </c>
      <c r="AC373" t="s">
        <v>51</v>
      </c>
      <c r="AD373" t="s">
        <v>45</v>
      </c>
      <c r="AE373" s="1">
        <v>32990</v>
      </c>
      <c r="AF373">
        <v>1</v>
      </c>
      <c r="AG373" t="s">
        <v>1342</v>
      </c>
      <c r="AH373" s="36">
        <f t="shared" si="5"/>
        <v>29.074999999999999</v>
      </c>
      <c r="AI373" s="40" t="s">
        <v>1777</v>
      </c>
    </row>
    <row r="374" spans="1:35" x14ac:dyDescent="0.25">
      <c r="A374" s="36">
        <v>99910372</v>
      </c>
      <c r="B374" s="17" t="s">
        <v>32</v>
      </c>
      <c r="C374" t="s">
        <v>139</v>
      </c>
      <c r="D374" t="s">
        <v>140</v>
      </c>
      <c r="G374" s="17" t="s">
        <v>35</v>
      </c>
      <c r="H374" s="17">
        <v>1</v>
      </c>
      <c r="I374" t="s">
        <v>909</v>
      </c>
      <c r="J374" s="1">
        <v>43344</v>
      </c>
      <c r="K374" t="s">
        <v>877</v>
      </c>
      <c r="L374" t="s">
        <v>878</v>
      </c>
      <c r="M374" t="s">
        <v>131</v>
      </c>
      <c r="N374">
        <v>4</v>
      </c>
      <c r="O374" t="s">
        <v>40</v>
      </c>
      <c r="S374" t="s">
        <v>40</v>
      </c>
      <c r="U374" s="1">
        <v>43344</v>
      </c>
      <c r="V374" t="s">
        <v>41</v>
      </c>
      <c r="W374" t="s">
        <v>75</v>
      </c>
      <c r="X374" t="str">
        <f>"7541024"</f>
        <v>7541024</v>
      </c>
      <c r="Y374" t="s">
        <v>885</v>
      </c>
      <c r="Z374" t="s">
        <v>877</v>
      </c>
      <c r="AA374" t="s">
        <v>878</v>
      </c>
      <c r="AB374" t="s">
        <v>131</v>
      </c>
      <c r="AC374" t="s">
        <v>51</v>
      </c>
      <c r="AD374" t="s">
        <v>45</v>
      </c>
      <c r="AE374" s="1">
        <v>32986</v>
      </c>
      <c r="AF374">
        <v>1</v>
      </c>
      <c r="AG374" t="s">
        <v>878</v>
      </c>
      <c r="AH374" s="36">
        <f t="shared" si="5"/>
        <v>29.086111111111112</v>
      </c>
      <c r="AI374" s="40" t="s">
        <v>1777</v>
      </c>
    </row>
    <row r="375" spans="1:35" x14ac:dyDescent="0.25">
      <c r="A375" s="36">
        <v>99910373</v>
      </c>
      <c r="B375" s="17" t="s">
        <v>32</v>
      </c>
      <c r="C375" t="s">
        <v>111</v>
      </c>
      <c r="D375" t="s">
        <v>112</v>
      </c>
      <c r="G375" s="17" t="s">
        <v>35</v>
      </c>
      <c r="H375" s="17">
        <v>1</v>
      </c>
      <c r="I375">
        <v>7170</v>
      </c>
      <c r="J375" s="1">
        <v>43369</v>
      </c>
      <c r="K375" t="s">
        <v>1198</v>
      </c>
      <c r="L375" t="s">
        <v>1199</v>
      </c>
      <c r="M375" t="s">
        <v>1130</v>
      </c>
      <c r="N375">
        <v>24</v>
      </c>
      <c r="O375" t="s">
        <v>40</v>
      </c>
      <c r="S375" t="s">
        <v>40</v>
      </c>
      <c r="U375" s="1">
        <v>43369</v>
      </c>
      <c r="V375" t="s">
        <v>41</v>
      </c>
      <c r="W375" t="s">
        <v>75</v>
      </c>
      <c r="X375" t="str">
        <f>"7311002"</f>
        <v>7311002</v>
      </c>
      <c r="Y375" t="s">
        <v>1203</v>
      </c>
      <c r="Z375" t="s">
        <v>1198</v>
      </c>
      <c r="AA375" t="s">
        <v>1199</v>
      </c>
      <c r="AB375" t="s">
        <v>1130</v>
      </c>
      <c r="AC375" t="s">
        <v>44</v>
      </c>
      <c r="AD375" t="s">
        <v>45</v>
      </c>
      <c r="AE375" s="1">
        <v>32980</v>
      </c>
      <c r="AF375">
        <v>1</v>
      </c>
      <c r="AG375" t="s">
        <v>1199</v>
      </c>
      <c r="AH375" s="36">
        <f t="shared" si="5"/>
        <v>29.102777777777778</v>
      </c>
      <c r="AI375" s="40" t="s">
        <v>1777</v>
      </c>
    </row>
    <row r="376" spans="1:35" x14ac:dyDescent="0.25">
      <c r="A376" s="36">
        <v>99910374</v>
      </c>
      <c r="B376" s="17" t="s">
        <v>56</v>
      </c>
      <c r="C376" t="s">
        <v>111</v>
      </c>
      <c r="D376" t="s">
        <v>112</v>
      </c>
      <c r="G376" s="17" t="s">
        <v>35</v>
      </c>
      <c r="H376" s="17">
        <v>1</v>
      </c>
      <c r="I376" t="s">
        <v>1466</v>
      </c>
      <c r="J376" s="1">
        <v>43344</v>
      </c>
      <c r="K376" t="s">
        <v>1334</v>
      </c>
      <c r="L376" t="s">
        <v>1335</v>
      </c>
      <c r="M376" t="s">
        <v>1270</v>
      </c>
      <c r="N376">
        <v>21</v>
      </c>
      <c r="O376" t="s">
        <v>40</v>
      </c>
      <c r="S376" t="s">
        <v>40</v>
      </c>
      <c r="U376" s="1">
        <v>43344</v>
      </c>
      <c r="V376" t="s">
        <v>41</v>
      </c>
      <c r="W376" t="s">
        <v>75</v>
      </c>
      <c r="X376" t="str">
        <f>"7391000"</f>
        <v>7391000</v>
      </c>
      <c r="Y376" t="s">
        <v>1333</v>
      </c>
      <c r="Z376" t="s">
        <v>1334</v>
      </c>
      <c r="AA376" t="s">
        <v>1335</v>
      </c>
      <c r="AB376" t="s">
        <v>1270</v>
      </c>
      <c r="AC376" t="s">
        <v>44</v>
      </c>
      <c r="AD376" t="s">
        <v>45</v>
      </c>
      <c r="AE376" s="1">
        <v>32979</v>
      </c>
      <c r="AF376">
        <v>1</v>
      </c>
      <c r="AG376" t="s">
        <v>1335</v>
      </c>
      <c r="AH376" s="36">
        <f t="shared" si="5"/>
        <v>29.105555555555554</v>
      </c>
      <c r="AI376" s="40" t="s">
        <v>1777</v>
      </c>
    </row>
    <row r="377" spans="1:35" x14ac:dyDescent="0.25">
      <c r="A377" s="36">
        <v>99910375</v>
      </c>
      <c r="B377" s="17" t="s">
        <v>32</v>
      </c>
      <c r="C377" t="s">
        <v>111</v>
      </c>
      <c r="D377" t="s">
        <v>112</v>
      </c>
      <c r="G377" s="17" t="s">
        <v>35</v>
      </c>
      <c r="H377" s="17">
        <v>1</v>
      </c>
      <c r="I377">
        <v>5076</v>
      </c>
      <c r="J377" s="1">
        <v>43346</v>
      </c>
      <c r="K377" t="s">
        <v>1695</v>
      </c>
      <c r="L377" t="s">
        <v>1696</v>
      </c>
      <c r="M377" t="s">
        <v>1592</v>
      </c>
      <c r="N377">
        <v>24</v>
      </c>
      <c r="O377" t="s">
        <v>40</v>
      </c>
      <c r="P377" t="s">
        <v>40</v>
      </c>
      <c r="Q377" t="s">
        <v>40</v>
      </c>
      <c r="S377" t="s">
        <v>40</v>
      </c>
      <c r="U377" s="1">
        <v>43346</v>
      </c>
      <c r="V377" t="s">
        <v>41</v>
      </c>
      <c r="W377" t="s">
        <v>75</v>
      </c>
      <c r="X377" t="str">
        <f>"7361000"</f>
        <v>7361000</v>
      </c>
      <c r="Y377" t="s">
        <v>1698</v>
      </c>
      <c r="Z377" t="s">
        <v>1695</v>
      </c>
      <c r="AA377" t="s">
        <v>1696</v>
      </c>
      <c r="AB377" t="s">
        <v>1592</v>
      </c>
      <c r="AC377" t="s">
        <v>44</v>
      </c>
      <c r="AD377" t="s">
        <v>45</v>
      </c>
      <c r="AE377" s="1">
        <v>32975</v>
      </c>
      <c r="AF377">
        <v>1</v>
      </c>
      <c r="AG377" t="s">
        <v>1696</v>
      </c>
      <c r="AH377" s="36">
        <f t="shared" si="5"/>
        <v>29.116666666666667</v>
      </c>
      <c r="AI377" s="40" t="s">
        <v>1777</v>
      </c>
    </row>
    <row r="378" spans="1:35" x14ac:dyDescent="0.25">
      <c r="A378" s="36">
        <v>99910376</v>
      </c>
      <c r="B378" s="17" t="s">
        <v>32</v>
      </c>
      <c r="C378" t="s">
        <v>52</v>
      </c>
      <c r="D378" t="s">
        <v>53</v>
      </c>
      <c r="G378" s="17" t="s">
        <v>35</v>
      </c>
      <c r="H378" s="17">
        <v>1</v>
      </c>
      <c r="I378">
        <v>12362</v>
      </c>
      <c r="J378" s="1">
        <v>43344</v>
      </c>
      <c r="K378" t="s">
        <v>1325</v>
      </c>
      <c r="L378" t="s">
        <v>1326</v>
      </c>
      <c r="M378" t="s">
        <v>1270</v>
      </c>
      <c r="N378">
        <v>21</v>
      </c>
      <c r="O378" t="s">
        <v>40</v>
      </c>
      <c r="P378" t="s">
        <v>40</v>
      </c>
      <c r="Q378" t="s">
        <v>40</v>
      </c>
      <c r="R378" t="s">
        <v>40</v>
      </c>
      <c r="S378" t="s">
        <v>40</v>
      </c>
      <c r="U378" s="1">
        <v>43344</v>
      </c>
      <c r="V378" t="s">
        <v>41</v>
      </c>
      <c r="W378" t="s">
        <v>49</v>
      </c>
      <c r="X378" t="str">
        <f>"3981100"</f>
        <v>3981100</v>
      </c>
      <c r="Y378" t="s">
        <v>1327</v>
      </c>
      <c r="Z378" t="s">
        <v>1325</v>
      </c>
      <c r="AA378" t="s">
        <v>1326</v>
      </c>
      <c r="AB378" t="s">
        <v>1270</v>
      </c>
      <c r="AC378" t="s">
        <v>51</v>
      </c>
      <c r="AD378" t="s">
        <v>45</v>
      </c>
      <c r="AE378" s="1">
        <v>32970</v>
      </c>
      <c r="AF378">
        <v>2</v>
      </c>
      <c r="AG378" t="s">
        <v>1326</v>
      </c>
      <c r="AH378" s="36">
        <f t="shared" si="5"/>
        <v>29.130555555555556</v>
      </c>
      <c r="AI378" s="40" t="s">
        <v>1777</v>
      </c>
    </row>
    <row r="379" spans="1:35" x14ac:dyDescent="0.25">
      <c r="A379" s="36">
        <v>99910377</v>
      </c>
      <c r="B379" s="17" t="s">
        <v>32</v>
      </c>
      <c r="C379" t="s">
        <v>111</v>
      </c>
      <c r="D379" t="s">
        <v>112</v>
      </c>
      <c r="G379" s="17" t="s">
        <v>35</v>
      </c>
      <c r="H379" s="17">
        <v>1</v>
      </c>
      <c r="I379" t="s">
        <v>502</v>
      </c>
      <c r="J379" s="1">
        <v>42979</v>
      </c>
      <c r="K379" t="s">
        <v>431</v>
      </c>
      <c r="L379" t="s">
        <v>196</v>
      </c>
      <c r="M379" t="s">
        <v>131</v>
      </c>
      <c r="N379">
        <v>24</v>
      </c>
      <c r="O379" t="s">
        <v>40</v>
      </c>
      <c r="P379" t="s">
        <v>40</v>
      </c>
      <c r="Q379" t="s">
        <v>40</v>
      </c>
      <c r="R379" t="s">
        <v>40</v>
      </c>
      <c r="S379" t="s">
        <v>40</v>
      </c>
      <c r="U379" s="1">
        <v>42979</v>
      </c>
      <c r="V379" t="s">
        <v>41</v>
      </c>
      <c r="W379" t="s">
        <v>75</v>
      </c>
      <c r="X379" t="str">
        <f>"7521022"</f>
        <v>7521022</v>
      </c>
      <c r="Y379" t="s">
        <v>445</v>
      </c>
      <c r="Z379" t="s">
        <v>431</v>
      </c>
      <c r="AA379" t="s">
        <v>196</v>
      </c>
      <c r="AB379" t="s">
        <v>131</v>
      </c>
      <c r="AC379" t="s">
        <v>44</v>
      </c>
      <c r="AD379" t="s">
        <v>45</v>
      </c>
      <c r="AE379" s="1">
        <v>32963</v>
      </c>
      <c r="AF379">
        <v>1</v>
      </c>
      <c r="AG379" t="s">
        <v>196</v>
      </c>
      <c r="AH379" s="36">
        <f t="shared" si="5"/>
        <v>29.15</v>
      </c>
      <c r="AI379" s="40" t="s">
        <v>1777</v>
      </c>
    </row>
    <row r="380" spans="1:35" x14ac:dyDescent="0.25">
      <c r="A380" s="36">
        <v>99910378</v>
      </c>
      <c r="B380" s="17" t="s">
        <v>32</v>
      </c>
      <c r="C380" t="s">
        <v>82</v>
      </c>
      <c r="D380" t="s">
        <v>83</v>
      </c>
      <c r="G380" s="17" t="s">
        <v>35</v>
      </c>
      <c r="H380" s="17">
        <v>1</v>
      </c>
      <c r="I380" t="s">
        <v>967</v>
      </c>
      <c r="J380" s="1">
        <v>43372</v>
      </c>
      <c r="K380" t="s">
        <v>947</v>
      </c>
      <c r="L380" t="s">
        <v>948</v>
      </c>
      <c r="M380" t="s">
        <v>938</v>
      </c>
      <c r="N380">
        <v>20</v>
      </c>
      <c r="O380" t="s">
        <v>40</v>
      </c>
      <c r="P380" t="s">
        <v>40</v>
      </c>
      <c r="Q380" t="s">
        <v>40</v>
      </c>
      <c r="R380" t="s">
        <v>40</v>
      </c>
      <c r="S380" t="s">
        <v>40</v>
      </c>
      <c r="U380" s="1">
        <v>43372</v>
      </c>
      <c r="V380" t="s">
        <v>41</v>
      </c>
      <c r="W380" t="s">
        <v>42</v>
      </c>
      <c r="X380" t="str">
        <f>"0680030"</f>
        <v>0680030</v>
      </c>
      <c r="Y380" t="s">
        <v>951</v>
      </c>
      <c r="Z380" t="s">
        <v>947</v>
      </c>
      <c r="AA380" t="s">
        <v>948</v>
      </c>
      <c r="AB380" t="s">
        <v>938</v>
      </c>
      <c r="AC380" t="s">
        <v>51</v>
      </c>
      <c r="AD380" t="s">
        <v>45</v>
      </c>
      <c r="AE380" s="1">
        <v>32962</v>
      </c>
      <c r="AF380">
        <v>2</v>
      </c>
      <c r="AG380" t="s">
        <v>948</v>
      </c>
      <c r="AH380" s="36">
        <f t="shared" si="5"/>
        <v>29.152777777777779</v>
      </c>
      <c r="AI380" s="40" t="s">
        <v>1777</v>
      </c>
    </row>
    <row r="381" spans="1:35" x14ac:dyDescent="0.25">
      <c r="A381" s="36">
        <v>99910379</v>
      </c>
      <c r="B381" s="17" t="s">
        <v>32</v>
      </c>
      <c r="C381" t="s">
        <v>90</v>
      </c>
      <c r="D381" t="s">
        <v>91</v>
      </c>
      <c r="G381" s="17" t="s">
        <v>35</v>
      </c>
      <c r="H381" s="17">
        <v>1</v>
      </c>
      <c r="K381" t="s">
        <v>1081</v>
      </c>
      <c r="L381" t="s">
        <v>1082</v>
      </c>
      <c r="M381" t="s">
        <v>1053</v>
      </c>
      <c r="N381">
        <v>25</v>
      </c>
      <c r="O381" t="s">
        <v>40</v>
      </c>
      <c r="P381" t="s">
        <v>40</v>
      </c>
      <c r="Q381" t="s">
        <v>40</v>
      </c>
      <c r="R381" t="s">
        <v>40</v>
      </c>
      <c r="S381" t="s">
        <v>40</v>
      </c>
      <c r="V381" t="s">
        <v>41</v>
      </c>
      <c r="W381" t="s">
        <v>95</v>
      </c>
      <c r="X381" t="str">
        <f>"7201017"</f>
        <v>7201017</v>
      </c>
      <c r="Y381" t="s">
        <v>1101</v>
      </c>
      <c r="Z381" t="s">
        <v>1081</v>
      </c>
      <c r="AA381" t="s">
        <v>1082</v>
      </c>
      <c r="AB381" t="s">
        <v>1053</v>
      </c>
      <c r="AC381" t="s">
        <v>44</v>
      </c>
      <c r="AD381" t="s">
        <v>45</v>
      </c>
      <c r="AE381" s="1">
        <v>32961</v>
      </c>
      <c r="AF381">
        <v>1</v>
      </c>
      <c r="AG381" t="s">
        <v>1082</v>
      </c>
      <c r="AH381" s="36">
        <f t="shared" si="5"/>
        <v>29.155555555555555</v>
      </c>
      <c r="AI381" s="40" t="s">
        <v>1777</v>
      </c>
    </row>
    <row r="382" spans="1:35" x14ac:dyDescent="0.25">
      <c r="A382" s="36">
        <v>99910380</v>
      </c>
      <c r="B382" s="17" t="s">
        <v>32</v>
      </c>
      <c r="C382" t="s">
        <v>111</v>
      </c>
      <c r="D382" t="s">
        <v>112</v>
      </c>
      <c r="G382" s="17" t="s">
        <v>35</v>
      </c>
      <c r="H382" s="17">
        <v>1</v>
      </c>
      <c r="I382">
        <v>6767</v>
      </c>
      <c r="J382" s="1">
        <v>43344</v>
      </c>
      <c r="K382" t="s">
        <v>1198</v>
      </c>
      <c r="L382" t="s">
        <v>1199</v>
      </c>
      <c r="M382" t="s">
        <v>1130</v>
      </c>
      <c r="N382">
        <v>24</v>
      </c>
      <c r="O382" t="s">
        <v>40</v>
      </c>
      <c r="S382" t="s">
        <v>40</v>
      </c>
      <c r="U382" s="1">
        <v>43344</v>
      </c>
      <c r="V382" t="s">
        <v>41</v>
      </c>
      <c r="W382" t="s">
        <v>75</v>
      </c>
      <c r="X382" t="str">
        <f>"7311002"</f>
        <v>7311002</v>
      </c>
      <c r="Y382" t="s">
        <v>1203</v>
      </c>
      <c r="Z382" t="s">
        <v>1198</v>
      </c>
      <c r="AA382" t="s">
        <v>1199</v>
      </c>
      <c r="AB382" t="s">
        <v>1130</v>
      </c>
      <c r="AC382" t="s">
        <v>51</v>
      </c>
      <c r="AD382" t="s">
        <v>45</v>
      </c>
      <c r="AE382" s="1">
        <v>32960</v>
      </c>
      <c r="AF382">
        <v>1</v>
      </c>
      <c r="AG382" t="s">
        <v>1199</v>
      </c>
      <c r="AH382" s="36">
        <f t="shared" si="5"/>
        <v>29.158333333333335</v>
      </c>
      <c r="AI382" s="40" t="s">
        <v>1777</v>
      </c>
    </row>
    <row r="383" spans="1:35" x14ac:dyDescent="0.25">
      <c r="A383" s="36">
        <v>99910381</v>
      </c>
      <c r="B383" s="17" t="s">
        <v>32</v>
      </c>
      <c r="C383" t="s">
        <v>90</v>
      </c>
      <c r="D383" t="s">
        <v>91</v>
      </c>
      <c r="G383" s="17" t="s">
        <v>35</v>
      </c>
      <c r="H383" s="17">
        <v>1</v>
      </c>
      <c r="I383" t="s">
        <v>1533</v>
      </c>
      <c r="J383" s="1">
        <v>43344</v>
      </c>
      <c r="K383" t="s">
        <v>667</v>
      </c>
      <c r="L383" t="s">
        <v>669</v>
      </c>
      <c r="M383" t="s">
        <v>670</v>
      </c>
      <c r="N383">
        <v>25</v>
      </c>
      <c r="O383" t="s">
        <v>40</v>
      </c>
      <c r="P383" t="s">
        <v>40</v>
      </c>
      <c r="Q383" t="s">
        <v>40</v>
      </c>
      <c r="S383" t="s">
        <v>40</v>
      </c>
      <c r="U383" s="1">
        <v>43344</v>
      </c>
      <c r="V383" t="s">
        <v>41</v>
      </c>
      <c r="W383" t="s">
        <v>95</v>
      </c>
      <c r="X383" t="str">
        <f>"7501007"</f>
        <v>7501007</v>
      </c>
      <c r="Y383" t="s">
        <v>1524</v>
      </c>
      <c r="Z383" t="s">
        <v>667</v>
      </c>
      <c r="AA383" t="s">
        <v>669</v>
      </c>
      <c r="AB383" t="s">
        <v>670</v>
      </c>
      <c r="AC383" t="s">
        <v>165</v>
      </c>
      <c r="AD383" t="s">
        <v>45</v>
      </c>
      <c r="AE383" s="1">
        <v>32959</v>
      </c>
      <c r="AF383">
        <v>1</v>
      </c>
      <c r="AG383" t="s">
        <v>669</v>
      </c>
      <c r="AH383" s="36">
        <f t="shared" si="5"/>
        <v>29.161111111111111</v>
      </c>
      <c r="AI383" s="40" t="s">
        <v>1777</v>
      </c>
    </row>
    <row r="384" spans="1:35" x14ac:dyDescent="0.25">
      <c r="A384" s="36">
        <v>99910382</v>
      </c>
      <c r="B384" s="17" t="s">
        <v>32</v>
      </c>
      <c r="C384" t="s">
        <v>90</v>
      </c>
      <c r="D384" t="s">
        <v>91</v>
      </c>
      <c r="G384" s="17" t="s">
        <v>35</v>
      </c>
      <c r="H384" s="17">
        <v>1</v>
      </c>
      <c r="I384">
        <v>1779864</v>
      </c>
      <c r="J384" s="1">
        <v>43344</v>
      </c>
      <c r="K384" t="s">
        <v>268</v>
      </c>
      <c r="L384" t="s">
        <v>269</v>
      </c>
      <c r="M384" t="s">
        <v>131</v>
      </c>
      <c r="N384">
        <v>20</v>
      </c>
      <c r="O384" t="s">
        <v>40</v>
      </c>
      <c r="S384" t="s">
        <v>40</v>
      </c>
      <c r="V384" t="s">
        <v>41</v>
      </c>
      <c r="W384" t="s">
        <v>95</v>
      </c>
      <c r="X384" t="str">
        <f>"7052189"</f>
        <v>7052189</v>
      </c>
      <c r="Y384" t="s">
        <v>585</v>
      </c>
      <c r="Z384" t="s">
        <v>268</v>
      </c>
      <c r="AA384" t="s">
        <v>269</v>
      </c>
      <c r="AB384" t="s">
        <v>131</v>
      </c>
      <c r="AC384" t="s">
        <v>55</v>
      </c>
      <c r="AD384" t="s">
        <v>45</v>
      </c>
      <c r="AE384" s="1">
        <v>32958</v>
      </c>
      <c r="AF384">
        <v>1</v>
      </c>
      <c r="AG384" t="s">
        <v>269</v>
      </c>
      <c r="AH384" s="36">
        <f t="shared" si="5"/>
        <v>29.163888888888888</v>
      </c>
      <c r="AI384" s="40" t="s">
        <v>1777</v>
      </c>
    </row>
    <row r="385" spans="1:35" x14ac:dyDescent="0.25">
      <c r="A385" s="36">
        <v>99910383</v>
      </c>
      <c r="B385" s="17" t="s">
        <v>32</v>
      </c>
      <c r="C385" t="s">
        <v>111</v>
      </c>
      <c r="D385" t="s">
        <v>112</v>
      </c>
      <c r="G385" s="17" t="s">
        <v>35</v>
      </c>
      <c r="H385" s="17">
        <v>1</v>
      </c>
      <c r="I385">
        <v>1</v>
      </c>
      <c r="J385" s="1">
        <v>43344</v>
      </c>
      <c r="K385" t="s">
        <v>1198</v>
      </c>
      <c r="L385" t="s">
        <v>1199</v>
      </c>
      <c r="M385" t="s">
        <v>1130</v>
      </c>
      <c r="N385">
        <v>24</v>
      </c>
      <c r="O385" t="s">
        <v>40</v>
      </c>
      <c r="P385" t="s">
        <v>40</v>
      </c>
      <c r="Q385" t="s">
        <v>40</v>
      </c>
      <c r="S385" t="s">
        <v>40</v>
      </c>
      <c r="U385" s="1">
        <v>43344</v>
      </c>
      <c r="V385" t="s">
        <v>41</v>
      </c>
      <c r="W385" t="s">
        <v>75</v>
      </c>
      <c r="X385" t="str">
        <f>"7311010"</f>
        <v>7311010</v>
      </c>
      <c r="Y385" t="s">
        <v>1202</v>
      </c>
      <c r="Z385" t="s">
        <v>1198</v>
      </c>
      <c r="AA385" t="s">
        <v>1199</v>
      </c>
      <c r="AB385" t="s">
        <v>1130</v>
      </c>
      <c r="AC385" t="s">
        <v>44</v>
      </c>
      <c r="AD385" t="s">
        <v>45</v>
      </c>
      <c r="AE385" s="1">
        <v>32957</v>
      </c>
      <c r="AF385">
        <v>1</v>
      </c>
      <c r="AG385" t="s">
        <v>1199</v>
      </c>
      <c r="AH385" s="36">
        <f t="shared" si="5"/>
        <v>29.166666666666668</v>
      </c>
      <c r="AI385" s="40" t="s">
        <v>1777</v>
      </c>
    </row>
    <row r="386" spans="1:35" x14ac:dyDescent="0.25">
      <c r="A386" s="36">
        <v>99910384</v>
      </c>
      <c r="B386" s="17" t="s">
        <v>32</v>
      </c>
      <c r="C386" t="s">
        <v>90</v>
      </c>
      <c r="D386" t="s">
        <v>91</v>
      </c>
      <c r="G386" s="17" t="s">
        <v>35</v>
      </c>
      <c r="H386" s="17">
        <v>1</v>
      </c>
      <c r="I386">
        <v>10359</v>
      </c>
      <c r="J386" s="1">
        <v>43349</v>
      </c>
      <c r="K386" t="s">
        <v>1426</v>
      </c>
      <c r="L386" t="s">
        <v>1427</v>
      </c>
      <c r="M386" t="s">
        <v>1270</v>
      </c>
      <c r="N386">
        <v>24</v>
      </c>
      <c r="O386" t="s">
        <v>40</v>
      </c>
      <c r="S386" t="s">
        <v>40</v>
      </c>
      <c r="U386" s="1">
        <v>43349</v>
      </c>
      <c r="V386" t="s">
        <v>41</v>
      </c>
      <c r="W386" t="s">
        <v>95</v>
      </c>
      <c r="X386" t="str">
        <f>"7192017"</f>
        <v>7192017</v>
      </c>
      <c r="Y386" t="s">
        <v>1433</v>
      </c>
      <c r="Z386" t="s">
        <v>1426</v>
      </c>
      <c r="AA386" t="s">
        <v>1427</v>
      </c>
      <c r="AB386" t="s">
        <v>1270</v>
      </c>
      <c r="AC386" t="s">
        <v>44</v>
      </c>
      <c r="AD386" t="s">
        <v>45</v>
      </c>
      <c r="AE386" s="1">
        <v>32956</v>
      </c>
      <c r="AF386">
        <v>1</v>
      </c>
      <c r="AG386" t="s">
        <v>1427</v>
      </c>
      <c r="AH386" s="36">
        <f t="shared" ref="AH386:AH449" si="6">($AJ$1-AE386)/360</f>
        <v>29.169444444444444</v>
      </c>
      <c r="AI386" s="40" t="s">
        <v>1777</v>
      </c>
    </row>
    <row r="387" spans="1:35" x14ac:dyDescent="0.25">
      <c r="A387" s="36">
        <v>99910385</v>
      </c>
      <c r="B387" s="17" t="s">
        <v>32</v>
      </c>
      <c r="C387" t="s">
        <v>111</v>
      </c>
      <c r="D387" t="s">
        <v>112</v>
      </c>
      <c r="G387" s="17" t="s">
        <v>35</v>
      </c>
      <c r="H387" s="17">
        <v>1</v>
      </c>
      <c r="I387" t="s">
        <v>994</v>
      </c>
      <c r="J387" s="1">
        <v>43344</v>
      </c>
      <c r="K387" t="s">
        <v>985</v>
      </c>
      <c r="L387" t="s">
        <v>986</v>
      </c>
      <c r="M387" t="s">
        <v>938</v>
      </c>
      <c r="N387">
        <v>24</v>
      </c>
      <c r="O387" t="s">
        <v>40</v>
      </c>
      <c r="S387" t="s">
        <v>40</v>
      </c>
      <c r="U387" s="1">
        <v>43344</v>
      </c>
      <c r="V387" t="s">
        <v>41</v>
      </c>
      <c r="W387" t="s">
        <v>75</v>
      </c>
      <c r="X387" t="str">
        <f>"7011004"</f>
        <v>7011004</v>
      </c>
      <c r="Y387" t="s">
        <v>987</v>
      </c>
      <c r="Z387" t="s">
        <v>985</v>
      </c>
      <c r="AA387" t="s">
        <v>986</v>
      </c>
      <c r="AB387" t="s">
        <v>938</v>
      </c>
      <c r="AC387" t="s">
        <v>51</v>
      </c>
      <c r="AD387" t="s">
        <v>45</v>
      </c>
      <c r="AE387" s="1">
        <v>32952</v>
      </c>
      <c r="AF387">
        <v>1</v>
      </c>
      <c r="AG387" t="s">
        <v>986</v>
      </c>
      <c r="AH387" s="36">
        <f t="shared" si="6"/>
        <v>29.180555555555557</v>
      </c>
      <c r="AI387" s="40" t="s">
        <v>1777</v>
      </c>
    </row>
    <row r="388" spans="1:35" x14ac:dyDescent="0.25">
      <c r="A388" s="36">
        <v>99910386</v>
      </c>
      <c r="B388" s="17" t="s">
        <v>32</v>
      </c>
      <c r="C388" t="s">
        <v>111</v>
      </c>
      <c r="D388" t="s">
        <v>112</v>
      </c>
      <c r="G388" s="17" t="s">
        <v>35</v>
      </c>
      <c r="H388" s="17">
        <v>1</v>
      </c>
      <c r="I388">
        <v>17565</v>
      </c>
      <c r="J388" s="1">
        <v>43344</v>
      </c>
      <c r="K388" t="s">
        <v>877</v>
      </c>
      <c r="L388" t="s">
        <v>878</v>
      </c>
      <c r="M388" t="s">
        <v>131</v>
      </c>
      <c r="N388">
        <v>24</v>
      </c>
      <c r="O388" t="s">
        <v>40</v>
      </c>
      <c r="P388" t="s">
        <v>40</v>
      </c>
      <c r="Q388" t="s">
        <v>40</v>
      </c>
      <c r="S388" t="s">
        <v>40</v>
      </c>
      <c r="U388" s="1">
        <v>43344</v>
      </c>
      <c r="V388" t="s">
        <v>41</v>
      </c>
      <c r="W388" t="s">
        <v>75</v>
      </c>
      <c r="X388" t="str">
        <f>"7541004"</f>
        <v>7541004</v>
      </c>
      <c r="Y388" t="s">
        <v>889</v>
      </c>
      <c r="Z388" t="s">
        <v>877</v>
      </c>
      <c r="AA388" t="s">
        <v>878</v>
      </c>
      <c r="AB388" t="s">
        <v>131</v>
      </c>
      <c r="AC388" t="s">
        <v>44</v>
      </c>
      <c r="AD388" t="s">
        <v>45</v>
      </c>
      <c r="AE388" s="1">
        <v>32950</v>
      </c>
      <c r="AF388">
        <v>1</v>
      </c>
      <c r="AG388" t="s">
        <v>878</v>
      </c>
      <c r="AH388" s="36">
        <f t="shared" si="6"/>
        <v>29.18611111111111</v>
      </c>
      <c r="AI388" s="40" t="s">
        <v>1777</v>
      </c>
    </row>
    <row r="389" spans="1:35" x14ac:dyDescent="0.25">
      <c r="A389" s="36">
        <v>99910387</v>
      </c>
      <c r="B389" s="17" t="s">
        <v>32</v>
      </c>
      <c r="C389" t="s">
        <v>46</v>
      </c>
      <c r="D389" t="s">
        <v>47</v>
      </c>
      <c r="G389" s="17" t="s">
        <v>48</v>
      </c>
      <c r="H389" s="17">
        <v>1</v>
      </c>
      <c r="K389" t="s">
        <v>223</v>
      </c>
      <c r="L389" t="s">
        <v>224</v>
      </c>
      <c r="M389" t="s">
        <v>131</v>
      </c>
      <c r="N389">
        <v>26</v>
      </c>
      <c r="O389" t="s">
        <v>40</v>
      </c>
      <c r="P389" t="s">
        <v>40</v>
      </c>
      <c r="Q389" t="s">
        <v>40</v>
      </c>
      <c r="R389" t="s">
        <v>40</v>
      </c>
      <c r="S389" t="s">
        <v>40</v>
      </c>
      <c r="V389" t="s">
        <v>41</v>
      </c>
      <c r="W389" t="s">
        <v>49</v>
      </c>
      <c r="X389" t="str">
        <f>"0591901"</f>
        <v>0591901</v>
      </c>
      <c r="Y389" t="s">
        <v>230</v>
      </c>
      <c r="Z389" t="s">
        <v>223</v>
      </c>
      <c r="AA389" t="s">
        <v>224</v>
      </c>
      <c r="AB389" t="s">
        <v>131</v>
      </c>
      <c r="AC389" t="s">
        <v>51</v>
      </c>
      <c r="AD389" t="s">
        <v>45</v>
      </c>
      <c r="AE389" s="1">
        <v>32949</v>
      </c>
      <c r="AF389">
        <v>2</v>
      </c>
      <c r="AG389" t="s">
        <v>224</v>
      </c>
      <c r="AH389" s="36">
        <f t="shared" si="6"/>
        <v>29.18888888888889</v>
      </c>
      <c r="AI389" s="40" t="s">
        <v>1777</v>
      </c>
    </row>
    <row r="390" spans="1:35" x14ac:dyDescent="0.25">
      <c r="A390" s="36">
        <v>99910388</v>
      </c>
      <c r="B390" s="17" t="s">
        <v>32</v>
      </c>
      <c r="C390" t="s">
        <v>111</v>
      </c>
      <c r="D390" t="s">
        <v>112</v>
      </c>
      <c r="G390" s="17" t="s">
        <v>35</v>
      </c>
      <c r="H390" s="17">
        <v>1</v>
      </c>
      <c r="I390" t="s">
        <v>286</v>
      </c>
      <c r="J390" s="1">
        <v>43344</v>
      </c>
      <c r="K390" t="s">
        <v>268</v>
      </c>
      <c r="L390" t="s">
        <v>269</v>
      </c>
      <c r="M390" t="s">
        <v>131</v>
      </c>
      <c r="N390">
        <v>24</v>
      </c>
      <c r="O390" t="s">
        <v>40</v>
      </c>
      <c r="S390" t="s">
        <v>40</v>
      </c>
      <c r="V390" t="s">
        <v>41</v>
      </c>
      <c r="W390" t="s">
        <v>75</v>
      </c>
      <c r="X390" t="str">
        <f>"7052018"</f>
        <v>7052018</v>
      </c>
      <c r="Y390" t="s">
        <v>577</v>
      </c>
      <c r="Z390" t="s">
        <v>268</v>
      </c>
      <c r="AA390" t="s">
        <v>269</v>
      </c>
      <c r="AB390" t="s">
        <v>131</v>
      </c>
      <c r="AC390" t="s">
        <v>51</v>
      </c>
      <c r="AD390" t="s">
        <v>45</v>
      </c>
      <c r="AE390" s="1">
        <v>32942</v>
      </c>
      <c r="AF390">
        <v>1</v>
      </c>
      <c r="AG390" t="s">
        <v>269</v>
      </c>
      <c r="AH390" s="36">
        <f t="shared" si="6"/>
        <v>29.208333333333332</v>
      </c>
      <c r="AI390" s="40" t="s">
        <v>1777</v>
      </c>
    </row>
    <row r="391" spans="1:35" x14ac:dyDescent="0.25">
      <c r="A391" s="36">
        <v>99910389</v>
      </c>
      <c r="B391" s="17" t="s">
        <v>32</v>
      </c>
      <c r="C391" t="s">
        <v>111</v>
      </c>
      <c r="D391" t="s">
        <v>112</v>
      </c>
      <c r="G391" s="17" t="s">
        <v>35</v>
      </c>
      <c r="H391" s="17">
        <v>1</v>
      </c>
      <c r="I391">
        <v>931</v>
      </c>
      <c r="J391" s="1">
        <v>43344</v>
      </c>
      <c r="K391" t="s">
        <v>1198</v>
      </c>
      <c r="L391" t="s">
        <v>1199</v>
      </c>
      <c r="M391" t="s">
        <v>1130</v>
      </c>
      <c r="N391">
        <v>24</v>
      </c>
      <c r="O391" t="s">
        <v>40</v>
      </c>
      <c r="S391" t="s">
        <v>40</v>
      </c>
      <c r="U391" s="1">
        <v>43344</v>
      </c>
      <c r="V391" t="s">
        <v>41</v>
      </c>
      <c r="W391" t="s">
        <v>75</v>
      </c>
      <c r="X391" t="str">
        <f>"7311002"</f>
        <v>7311002</v>
      </c>
      <c r="Y391" t="s">
        <v>1203</v>
      </c>
      <c r="Z391" t="s">
        <v>1198</v>
      </c>
      <c r="AA391" t="s">
        <v>1199</v>
      </c>
      <c r="AB391" t="s">
        <v>1130</v>
      </c>
      <c r="AC391" t="s">
        <v>51</v>
      </c>
      <c r="AD391" t="s">
        <v>45</v>
      </c>
      <c r="AE391" s="1">
        <v>32939</v>
      </c>
      <c r="AF391">
        <v>1</v>
      </c>
      <c r="AG391" t="s">
        <v>1199</v>
      </c>
      <c r="AH391" s="36">
        <f t="shared" si="6"/>
        <v>29.216666666666665</v>
      </c>
      <c r="AI391" s="40" t="s">
        <v>1777</v>
      </c>
    </row>
    <row r="392" spans="1:35" x14ac:dyDescent="0.25">
      <c r="A392" s="36">
        <v>99910390</v>
      </c>
      <c r="B392" s="17" t="s">
        <v>32</v>
      </c>
      <c r="C392" t="s">
        <v>90</v>
      </c>
      <c r="D392" t="s">
        <v>91</v>
      </c>
      <c r="G392" s="17" t="s">
        <v>35</v>
      </c>
      <c r="H392" s="17">
        <v>1</v>
      </c>
      <c r="I392">
        <v>15926</v>
      </c>
      <c r="J392" s="1">
        <v>43344</v>
      </c>
      <c r="K392" t="s">
        <v>877</v>
      </c>
      <c r="L392" t="s">
        <v>878</v>
      </c>
      <c r="M392" t="s">
        <v>131</v>
      </c>
      <c r="N392">
        <v>25</v>
      </c>
      <c r="O392" t="s">
        <v>40</v>
      </c>
      <c r="P392" t="s">
        <v>40</v>
      </c>
      <c r="Q392" t="s">
        <v>40</v>
      </c>
      <c r="S392" t="s">
        <v>40</v>
      </c>
      <c r="U392" s="1">
        <v>43344</v>
      </c>
      <c r="V392" t="s">
        <v>41</v>
      </c>
      <c r="W392" t="s">
        <v>95</v>
      </c>
      <c r="X392" t="str">
        <f>"7541035"</f>
        <v>7541035</v>
      </c>
      <c r="Y392" t="s">
        <v>899</v>
      </c>
      <c r="Z392" t="s">
        <v>877</v>
      </c>
      <c r="AA392" t="s">
        <v>878</v>
      </c>
      <c r="AB392" t="s">
        <v>131</v>
      </c>
      <c r="AC392" t="s">
        <v>51</v>
      </c>
      <c r="AD392" t="s">
        <v>45</v>
      </c>
      <c r="AE392" s="1">
        <v>32933</v>
      </c>
      <c r="AF392">
        <v>1</v>
      </c>
      <c r="AG392" t="s">
        <v>878</v>
      </c>
      <c r="AH392" s="36">
        <f t="shared" si="6"/>
        <v>29.233333333333334</v>
      </c>
      <c r="AI392" s="40" t="s">
        <v>1777</v>
      </c>
    </row>
    <row r="393" spans="1:35" x14ac:dyDescent="0.25">
      <c r="A393" s="36">
        <v>99910391</v>
      </c>
      <c r="B393" s="17" t="s">
        <v>32</v>
      </c>
      <c r="C393" t="s">
        <v>111</v>
      </c>
      <c r="D393" t="s">
        <v>112</v>
      </c>
      <c r="G393" s="17" t="s">
        <v>35</v>
      </c>
      <c r="H393" s="17">
        <v>1</v>
      </c>
      <c r="I393" t="s">
        <v>599</v>
      </c>
      <c r="J393" s="1">
        <v>43346</v>
      </c>
      <c r="K393" t="s">
        <v>1426</v>
      </c>
      <c r="L393" t="s">
        <v>1427</v>
      </c>
      <c r="M393" t="s">
        <v>1270</v>
      </c>
      <c r="N393">
        <v>24</v>
      </c>
      <c r="O393" t="s">
        <v>40</v>
      </c>
      <c r="Q393" t="s">
        <v>40</v>
      </c>
      <c r="S393" t="s">
        <v>40</v>
      </c>
      <c r="U393" s="1">
        <v>43346</v>
      </c>
      <c r="V393" t="s">
        <v>41</v>
      </c>
      <c r="W393" t="s">
        <v>75</v>
      </c>
      <c r="X393" t="str">
        <f>"7192004"</f>
        <v>7192004</v>
      </c>
      <c r="Y393" t="s">
        <v>1428</v>
      </c>
      <c r="Z393" t="s">
        <v>1426</v>
      </c>
      <c r="AA393" t="s">
        <v>1427</v>
      </c>
      <c r="AB393" t="s">
        <v>1270</v>
      </c>
      <c r="AC393" t="s">
        <v>44</v>
      </c>
      <c r="AD393" t="s">
        <v>45</v>
      </c>
      <c r="AE393" s="1">
        <v>32932</v>
      </c>
      <c r="AF393">
        <v>1</v>
      </c>
      <c r="AG393" t="s">
        <v>1427</v>
      </c>
      <c r="AH393" s="36">
        <f t="shared" si="6"/>
        <v>29.236111111111111</v>
      </c>
      <c r="AI393" s="40" t="s">
        <v>1777</v>
      </c>
    </row>
    <row r="394" spans="1:35" x14ac:dyDescent="0.25">
      <c r="A394" s="36">
        <v>99910392</v>
      </c>
      <c r="B394" s="17" t="s">
        <v>32</v>
      </c>
      <c r="C394" t="s">
        <v>90</v>
      </c>
      <c r="D394" t="s">
        <v>91</v>
      </c>
      <c r="G394" s="17" t="s">
        <v>35</v>
      </c>
      <c r="H394" s="17">
        <v>1</v>
      </c>
      <c r="I394">
        <v>13110</v>
      </c>
      <c r="J394" s="1">
        <v>43344</v>
      </c>
      <c r="K394" t="s">
        <v>354</v>
      </c>
      <c r="L394" t="s">
        <v>355</v>
      </c>
      <c r="M394" t="s">
        <v>131</v>
      </c>
      <c r="N394">
        <v>25</v>
      </c>
      <c r="O394" t="s">
        <v>40</v>
      </c>
      <c r="S394" t="s">
        <v>40</v>
      </c>
      <c r="U394" s="1">
        <v>43344</v>
      </c>
      <c r="V394" t="s">
        <v>41</v>
      </c>
      <c r="W394" t="s">
        <v>95</v>
      </c>
      <c r="X394" t="str">
        <f>"7054057"</f>
        <v>7054057</v>
      </c>
      <c r="Y394" t="s">
        <v>838</v>
      </c>
      <c r="Z394" t="s">
        <v>354</v>
      </c>
      <c r="AA394" t="s">
        <v>355</v>
      </c>
      <c r="AB394" t="s">
        <v>131</v>
      </c>
      <c r="AC394" t="s">
        <v>51</v>
      </c>
      <c r="AD394" t="s">
        <v>45</v>
      </c>
      <c r="AE394" s="1">
        <v>32923</v>
      </c>
      <c r="AF394">
        <v>1</v>
      </c>
      <c r="AG394" t="s">
        <v>355</v>
      </c>
      <c r="AH394" s="36">
        <f t="shared" si="6"/>
        <v>29.261111111111113</v>
      </c>
      <c r="AI394" s="40" t="s">
        <v>1777</v>
      </c>
    </row>
    <row r="395" spans="1:35" x14ac:dyDescent="0.25">
      <c r="A395" s="36">
        <v>99910393</v>
      </c>
      <c r="B395" s="17" t="s">
        <v>32</v>
      </c>
      <c r="C395" t="s">
        <v>111</v>
      </c>
      <c r="D395" t="s">
        <v>112</v>
      </c>
      <c r="G395" s="17" t="s">
        <v>48</v>
      </c>
      <c r="H395" s="17">
        <v>1</v>
      </c>
      <c r="K395" t="s">
        <v>1581</v>
      </c>
      <c r="L395" t="s">
        <v>1582</v>
      </c>
      <c r="M395" t="s">
        <v>1548</v>
      </c>
      <c r="N395">
        <v>24</v>
      </c>
      <c r="O395" t="s">
        <v>40</v>
      </c>
      <c r="P395" t="s">
        <v>40</v>
      </c>
      <c r="Q395" t="s">
        <v>40</v>
      </c>
      <c r="R395" t="s">
        <v>40</v>
      </c>
      <c r="S395" t="s">
        <v>40</v>
      </c>
      <c r="V395" t="s">
        <v>41</v>
      </c>
      <c r="W395" t="s">
        <v>75</v>
      </c>
      <c r="X395" t="str">
        <f>"7291000"</f>
        <v>7291000</v>
      </c>
      <c r="Y395" t="s">
        <v>1584</v>
      </c>
      <c r="Z395" t="s">
        <v>1581</v>
      </c>
      <c r="AA395" t="s">
        <v>1582</v>
      </c>
      <c r="AB395" t="s">
        <v>1548</v>
      </c>
      <c r="AC395" t="s">
        <v>51</v>
      </c>
      <c r="AD395" t="s">
        <v>45</v>
      </c>
      <c r="AE395" s="1">
        <v>32922</v>
      </c>
      <c r="AF395">
        <v>1</v>
      </c>
      <c r="AG395" t="s">
        <v>1582</v>
      </c>
      <c r="AH395" s="36">
        <f t="shared" si="6"/>
        <v>29.263888888888889</v>
      </c>
      <c r="AI395" s="40" t="s">
        <v>1777</v>
      </c>
    </row>
    <row r="396" spans="1:35" x14ac:dyDescent="0.25">
      <c r="A396" s="36">
        <v>99910394</v>
      </c>
      <c r="B396" s="17" t="s">
        <v>56</v>
      </c>
      <c r="C396" t="s">
        <v>79</v>
      </c>
      <c r="D396" t="s">
        <v>80</v>
      </c>
      <c r="G396" s="17" t="s">
        <v>35</v>
      </c>
      <c r="H396" s="17">
        <v>1</v>
      </c>
      <c r="I396" t="s">
        <v>1098</v>
      </c>
      <c r="J396" s="1">
        <v>43344</v>
      </c>
      <c r="K396" t="s">
        <v>1081</v>
      </c>
      <c r="L396" t="s">
        <v>1082</v>
      </c>
      <c r="M396" t="s">
        <v>1053</v>
      </c>
      <c r="N396">
        <v>16</v>
      </c>
      <c r="O396" t="s">
        <v>40</v>
      </c>
      <c r="P396" t="s">
        <v>40</v>
      </c>
      <c r="Q396" t="s">
        <v>40</v>
      </c>
      <c r="R396" t="s">
        <v>40</v>
      </c>
      <c r="S396" t="s">
        <v>40</v>
      </c>
      <c r="U396" s="1">
        <v>43344</v>
      </c>
      <c r="V396" t="s">
        <v>41</v>
      </c>
      <c r="W396" t="s">
        <v>75</v>
      </c>
      <c r="X396" t="str">
        <f>"7201000"</f>
        <v>7201000</v>
      </c>
      <c r="Y396" t="s">
        <v>1088</v>
      </c>
      <c r="Z396" t="s">
        <v>1081</v>
      </c>
      <c r="AA396" t="s">
        <v>1082</v>
      </c>
      <c r="AB396" t="s">
        <v>1053</v>
      </c>
      <c r="AC396" t="s">
        <v>44</v>
      </c>
      <c r="AD396" t="s">
        <v>45</v>
      </c>
      <c r="AE396" s="1">
        <v>32906</v>
      </c>
      <c r="AF396">
        <v>1</v>
      </c>
      <c r="AG396" t="s">
        <v>1082</v>
      </c>
      <c r="AH396" s="36">
        <f t="shared" si="6"/>
        <v>29.308333333333334</v>
      </c>
      <c r="AI396" s="40" t="s">
        <v>1777</v>
      </c>
    </row>
    <row r="397" spans="1:35" x14ac:dyDescent="0.25">
      <c r="A397" s="36">
        <v>99910395</v>
      </c>
      <c r="B397" s="17" t="s">
        <v>32</v>
      </c>
      <c r="C397" t="s">
        <v>90</v>
      </c>
      <c r="D397" t="s">
        <v>91</v>
      </c>
      <c r="G397" s="17" t="s">
        <v>35</v>
      </c>
      <c r="H397" s="17">
        <v>1</v>
      </c>
      <c r="I397">
        <v>1779623</v>
      </c>
      <c r="J397" s="1">
        <v>43344</v>
      </c>
      <c r="K397" t="s">
        <v>268</v>
      </c>
      <c r="L397" t="s">
        <v>269</v>
      </c>
      <c r="M397" t="s">
        <v>131</v>
      </c>
      <c r="N397">
        <v>20</v>
      </c>
      <c r="O397" t="s">
        <v>40</v>
      </c>
      <c r="S397" t="s">
        <v>40</v>
      </c>
      <c r="V397" t="s">
        <v>41</v>
      </c>
      <c r="W397" t="s">
        <v>95</v>
      </c>
      <c r="X397" t="str">
        <f>"7052189"</f>
        <v>7052189</v>
      </c>
      <c r="Y397" t="s">
        <v>585</v>
      </c>
      <c r="Z397" t="s">
        <v>268</v>
      </c>
      <c r="AA397" t="s">
        <v>269</v>
      </c>
      <c r="AB397" t="s">
        <v>131</v>
      </c>
      <c r="AC397" t="s">
        <v>51</v>
      </c>
      <c r="AD397" t="s">
        <v>45</v>
      </c>
      <c r="AE397" s="1">
        <v>32903</v>
      </c>
      <c r="AF397">
        <v>1</v>
      </c>
      <c r="AG397" t="s">
        <v>269</v>
      </c>
      <c r="AH397" s="36">
        <f t="shared" si="6"/>
        <v>29.316666666666666</v>
      </c>
      <c r="AI397" s="40" t="s">
        <v>1777</v>
      </c>
    </row>
    <row r="398" spans="1:35" x14ac:dyDescent="0.25">
      <c r="A398" s="36">
        <v>99910396</v>
      </c>
      <c r="B398" s="17" t="s">
        <v>56</v>
      </c>
      <c r="C398" t="s">
        <v>111</v>
      </c>
      <c r="D398" t="s">
        <v>112</v>
      </c>
      <c r="G398" s="17" t="s">
        <v>48</v>
      </c>
      <c r="H398" s="17">
        <v>1</v>
      </c>
      <c r="K398" t="s">
        <v>1502</v>
      </c>
      <c r="L398" t="s">
        <v>1503</v>
      </c>
      <c r="M398" t="s">
        <v>670</v>
      </c>
      <c r="N398">
        <v>24</v>
      </c>
      <c r="O398" t="s">
        <v>40</v>
      </c>
      <c r="P398" t="s">
        <v>40</v>
      </c>
      <c r="Q398" t="s">
        <v>40</v>
      </c>
      <c r="S398" t="s">
        <v>40</v>
      </c>
      <c r="V398" t="s">
        <v>41</v>
      </c>
      <c r="W398" t="s">
        <v>75</v>
      </c>
      <c r="X398" t="str">
        <f>"7171002"</f>
        <v>7171002</v>
      </c>
      <c r="Y398" t="s">
        <v>1505</v>
      </c>
      <c r="Z398" t="s">
        <v>1502</v>
      </c>
      <c r="AA398" t="s">
        <v>1503</v>
      </c>
      <c r="AB398" t="s">
        <v>670</v>
      </c>
      <c r="AC398" t="s">
        <v>51</v>
      </c>
      <c r="AD398" t="s">
        <v>45</v>
      </c>
      <c r="AE398" s="1">
        <v>32899</v>
      </c>
      <c r="AF398">
        <v>1</v>
      </c>
      <c r="AG398" t="s">
        <v>1503</v>
      </c>
      <c r="AH398" s="36">
        <f t="shared" si="6"/>
        <v>29.327777777777779</v>
      </c>
      <c r="AI398" s="40" t="s">
        <v>1777</v>
      </c>
    </row>
    <row r="399" spans="1:35" x14ac:dyDescent="0.25">
      <c r="A399" s="36">
        <v>99910397</v>
      </c>
      <c r="B399" s="17" t="s">
        <v>32</v>
      </c>
      <c r="C399" t="s">
        <v>111</v>
      </c>
      <c r="D399" t="s">
        <v>112</v>
      </c>
      <c r="G399" s="17" t="s">
        <v>48</v>
      </c>
      <c r="H399" s="17">
        <v>1</v>
      </c>
      <c r="K399" t="s">
        <v>268</v>
      </c>
      <c r="L399" t="s">
        <v>269</v>
      </c>
      <c r="M399" t="s">
        <v>131</v>
      </c>
      <c r="N399">
        <v>24</v>
      </c>
      <c r="O399" t="s">
        <v>40</v>
      </c>
      <c r="P399" t="s">
        <v>40</v>
      </c>
      <c r="Q399" t="s">
        <v>40</v>
      </c>
      <c r="S399" t="s">
        <v>40</v>
      </c>
      <c r="V399" t="s">
        <v>41</v>
      </c>
      <c r="W399" t="s">
        <v>75</v>
      </c>
      <c r="X399" t="str">
        <f>"7052034"</f>
        <v>7052034</v>
      </c>
      <c r="Y399" t="s">
        <v>604</v>
      </c>
      <c r="Z399" t="s">
        <v>268</v>
      </c>
      <c r="AA399" t="s">
        <v>269</v>
      </c>
      <c r="AB399" t="s">
        <v>131</v>
      </c>
      <c r="AC399" t="s">
        <v>51</v>
      </c>
      <c r="AD399" t="s">
        <v>45</v>
      </c>
      <c r="AE399" s="1">
        <v>32892</v>
      </c>
      <c r="AF399">
        <v>1</v>
      </c>
      <c r="AG399" t="s">
        <v>269</v>
      </c>
      <c r="AH399" s="36">
        <f t="shared" si="6"/>
        <v>29.347222222222221</v>
      </c>
      <c r="AI399" s="40" t="s">
        <v>1777</v>
      </c>
    </row>
    <row r="400" spans="1:35" x14ac:dyDescent="0.25">
      <c r="A400" s="36">
        <v>99910398</v>
      </c>
      <c r="B400" s="17" t="s">
        <v>32</v>
      </c>
      <c r="C400" t="s">
        <v>79</v>
      </c>
      <c r="D400" t="s">
        <v>80</v>
      </c>
      <c r="G400" s="17" t="s">
        <v>35</v>
      </c>
      <c r="H400" s="17">
        <v>1</v>
      </c>
      <c r="I400" t="s">
        <v>358</v>
      </c>
      <c r="J400" s="1">
        <v>43344</v>
      </c>
      <c r="K400" t="s">
        <v>345</v>
      </c>
      <c r="L400" t="s">
        <v>346</v>
      </c>
      <c r="M400" t="s">
        <v>131</v>
      </c>
      <c r="N400">
        <v>23</v>
      </c>
      <c r="O400" t="s">
        <v>40</v>
      </c>
      <c r="S400" t="s">
        <v>40</v>
      </c>
      <c r="U400" s="1">
        <v>43344</v>
      </c>
      <c r="V400" t="s">
        <v>41</v>
      </c>
      <c r="W400" t="s">
        <v>49</v>
      </c>
      <c r="X400" t="str">
        <f>"0581660"</f>
        <v>0581660</v>
      </c>
      <c r="Y400" t="s">
        <v>359</v>
      </c>
      <c r="Z400" t="s">
        <v>345</v>
      </c>
      <c r="AA400" t="s">
        <v>346</v>
      </c>
      <c r="AB400" t="s">
        <v>131</v>
      </c>
      <c r="AC400" t="s">
        <v>51</v>
      </c>
      <c r="AD400" t="s">
        <v>45</v>
      </c>
      <c r="AE400" s="1">
        <v>32891</v>
      </c>
      <c r="AF400">
        <v>2</v>
      </c>
      <c r="AG400" t="s">
        <v>346</v>
      </c>
      <c r="AH400" s="36">
        <f t="shared" si="6"/>
        <v>29.35</v>
      </c>
      <c r="AI400" s="40" t="s">
        <v>1777</v>
      </c>
    </row>
    <row r="401" spans="1:35" x14ac:dyDescent="0.25">
      <c r="A401" s="36">
        <v>99910399</v>
      </c>
      <c r="B401" s="17" t="s">
        <v>32</v>
      </c>
      <c r="C401" t="s">
        <v>111</v>
      </c>
      <c r="D401" t="s">
        <v>112</v>
      </c>
      <c r="G401" s="17" t="s">
        <v>48</v>
      </c>
      <c r="H401" s="17">
        <v>1</v>
      </c>
      <c r="K401" t="s">
        <v>1198</v>
      </c>
      <c r="L401" t="s">
        <v>1199</v>
      </c>
      <c r="M401" t="s">
        <v>1130</v>
      </c>
      <c r="N401">
        <v>24</v>
      </c>
      <c r="O401" t="s">
        <v>40</v>
      </c>
      <c r="P401" t="s">
        <v>40</v>
      </c>
      <c r="Q401" t="s">
        <v>40</v>
      </c>
      <c r="R401" t="s">
        <v>40</v>
      </c>
      <c r="S401" t="s">
        <v>40</v>
      </c>
      <c r="V401" t="s">
        <v>41</v>
      </c>
      <c r="W401" t="s">
        <v>75</v>
      </c>
      <c r="X401" t="str">
        <f>"7311010"</f>
        <v>7311010</v>
      </c>
      <c r="Y401" t="s">
        <v>1202</v>
      </c>
      <c r="Z401" t="s">
        <v>1198</v>
      </c>
      <c r="AA401" t="s">
        <v>1199</v>
      </c>
      <c r="AB401" t="s">
        <v>1130</v>
      </c>
      <c r="AC401" t="s">
        <v>51</v>
      </c>
      <c r="AD401" t="s">
        <v>45</v>
      </c>
      <c r="AE401" s="1">
        <v>32887</v>
      </c>
      <c r="AF401">
        <v>1</v>
      </c>
      <c r="AG401" t="s">
        <v>1199</v>
      </c>
      <c r="AH401" s="36">
        <f t="shared" si="6"/>
        <v>29.361111111111111</v>
      </c>
      <c r="AI401" s="40" t="s">
        <v>1777</v>
      </c>
    </row>
    <row r="402" spans="1:35" x14ac:dyDescent="0.25">
      <c r="A402" s="36">
        <v>99910400</v>
      </c>
      <c r="B402" s="17" t="s">
        <v>32</v>
      </c>
      <c r="C402" t="s">
        <v>90</v>
      </c>
      <c r="D402" t="s">
        <v>91</v>
      </c>
      <c r="G402" s="17" t="s">
        <v>35</v>
      </c>
      <c r="H402" s="17">
        <v>1</v>
      </c>
      <c r="I402">
        <v>11281</v>
      </c>
      <c r="J402" s="1">
        <v>43344</v>
      </c>
      <c r="K402" t="s">
        <v>354</v>
      </c>
      <c r="L402" t="s">
        <v>355</v>
      </c>
      <c r="M402" t="s">
        <v>131</v>
      </c>
      <c r="N402">
        <v>25</v>
      </c>
      <c r="O402" t="s">
        <v>40</v>
      </c>
      <c r="S402" t="s">
        <v>40</v>
      </c>
      <c r="U402" s="1">
        <v>43344</v>
      </c>
      <c r="V402" t="s">
        <v>41</v>
      </c>
      <c r="W402" t="s">
        <v>95</v>
      </c>
      <c r="X402" t="str">
        <f>"7054075"</f>
        <v>7054075</v>
      </c>
      <c r="Y402" t="s">
        <v>858</v>
      </c>
      <c r="Z402" t="s">
        <v>354</v>
      </c>
      <c r="AA402" t="s">
        <v>355</v>
      </c>
      <c r="AB402" t="s">
        <v>131</v>
      </c>
      <c r="AC402" t="s">
        <v>51</v>
      </c>
      <c r="AD402" t="s">
        <v>45</v>
      </c>
      <c r="AE402" s="1">
        <v>32885</v>
      </c>
      <c r="AF402">
        <v>1</v>
      </c>
      <c r="AG402" t="s">
        <v>355</v>
      </c>
      <c r="AH402" s="36">
        <f t="shared" si="6"/>
        <v>29.366666666666667</v>
      </c>
      <c r="AI402" s="40" t="s">
        <v>1777</v>
      </c>
    </row>
    <row r="403" spans="1:35" x14ac:dyDescent="0.25">
      <c r="A403" s="36">
        <v>99910401</v>
      </c>
      <c r="B403" s="17" t="s">
        <v>56</v>
      </c>
      <c r="C403" t="s">
        <v>111</v>
      </c>
      <c r="D403" t="s">
        <v>112</v>
      </c>
      <c r="G403" s="17" t="s">
        <v>35</v>
      </c>
      <c r="H403" s="17">
        <v>1</v>
      </c>
      <c r="I403" t="s">
        <v>114</v>
      </c>
      <c r="J403" s="1">
        <v>43369</v>
      </c>
      <c r="K403" t="s">
        <v>77</v>
      </c>
      <c r="L403" t="s">
        <v>78</v>
      </c>
      <c r="M403" t="s">
        <v>39</v>
      </c>
      <c r="N403">
        <v>24</v>
      </c>
      <c r="O403" t="s">
        <v>40</v>
      </c>
      <c r="P403" t="s">
        <v>40</v>
      </c>
      <c r="Q403" t="s">
        <v>40</v>
      </c>
      <c r="S403" t="s">
        <v>40</v>
      </c>
      <c r="U403" s="1">
        <v>43369</v>
      </c>
      <c r="V403" t="s">
        <v>41</v>
      </c>
      <c r="W403" t="s">
        <v>75</v>
      </c>
      <c r="X403" t="str">
        <f>"7371000"</f>
        <v>7371000</v>
      </c>
      <c r="Y403" t="s">
        <v>76</v>
      </c>
      <c r="Z403" t="s">
        <v>77</v>
      </c>
      <c r="AA403" t="s">
        <v>78</v>
      </c>
      <c r="AB403" t="s">
        <v>39</v>
      </c>
      <c r="AC403" t="s">
        <v>44</v>
      </c>
      <c r="AD403" t="s">
        <v>45</v>
      </c>
      <c r="AE403" s="1">
        <v>32874</v>
      </c>
      <c r="AF403">
        <v>1</v>
      </c>
      <c r="AG403" t="s">
        <v>78</v>
      </c>
      <c r="AH403" s="36">
        <f t="shared" si="6"/>
        <v>29.397222222222222</v>
      </c>
      <c r="AI403" s="40" t="s">
        <v>1777</v>
      </c>
    </row>
    <row r="404" spans="1:35" x14ac:dyDescent="0.25">
      <c r="A404" s="36">
        <v>99910402</v>
      </c>
      <c r="B404" s="17" t="s">
        <v>56</v>
      </c>
      <c r="C404" t="s">
        <v>85</v>
      </c>
      <c r="D404" t="s">
        <v>86</v>
      </c>
      <c r="G404" s="17" t="s">
        <v>35</v>
      </c>
      <c r="H404" s="17">
        <v>1</v>
      </c>
      <c r="I404">
        <v>4867</v>
      </c>
      <c r="J404" s="1">
        <v>43344</v>
      </c>
      <c r="K404" t="s">
        <v>129</v>
      </c>
      <c r="L404" t="s">
        <v>130</v>
      </c>
      <c r="M404" t="s">
        <v>131</v>
      </c>
      <c r="N404">
        <v>21</v>
      </c>
      <c r="O404" t="s">
        <v>40</v>
      </c>
      <c r="P404" t="s">
        <v>40</v>
      </c>
      <c r="Q404" t="s">
        <v>40</v>
      </c>
      <c r="R404" t="s">
        <v>40</v>
      </c>
      <c r="S404" t="s">
        <v>40</v>
      </c>
      <c r="U404" s="1">
        <v>43344</v>
      </c>
      <c r="V404" t="s">
        <v>41</v>
      </c>
      <c r="W404" t="s">
        <v>49</v>
      </c>
      <c r="X404" t="str">
        <f>"0591905"</f>
        <v>0591905</v>
      </c>
      <c r="Y404" t="s">
        <v>135</v>
      </c>
      <c r="Z404" t="s">
        <v>129</v>
      </c>
      <c r="AA404" t="s">
        <v>130</v>
      </c>
      <c r="AB404" t="s">
        <v>131</v>
      </c>
      <c r="AC404" t="s">
        <v>55</v>
      </c>
      <c r="AD404" t="s">
        <v>45</v>
      </c>
      <c r="AE404" s="1">
        <v>32874</v>
      </c>
      <c r="AF404">
        <v>2</v>
      </c>
      <c r="AG404" t="s">
        <v>130</v>
      </c>
      <c r="AH404" s="36">
        <f t="shared" si="6"/>
        <v>29.397222222222222</v>
      </c>
      <c r="AI404" s="40" t="s">
        <v>1777</v>
      </c>
    </row>
    <row r="405" spans="1:35" x14ac:dyDescent="0.25">
      <c r="A405" s="36">
        <v>99910403</v>
      </c>
      <c r="B405" s="17" t="s">
        <v>56</v>
      </c>
      <c r="C405" t="s">
        <v>141</v>
      </c>
      <c r="D405" t="s">
        <v>142</v>
      </c>
      <c r="G405" s="17" t="s">
        <v>35</v>
      </c>
      <c r="H405" s="17">
        <v>1</v>
      </c>
      <c r="I405">
        <v>0</v>
      </c>
      <c r="J405" s="1">
        <v>43344</v>
      </c>
      <c r="K405" t="s">
        <v>223</v>
      </c>
      <c r="L405" t="s">
        <v>224</v>
      </c>
      <c r="M405" t="s">
        <v>131</v>
      </c>
      <c r="N405">
        <v>18</v>
      </c>
      <c r="O405" t="s">
        <v>40</v>
      </c>
      <c r="P405" t="s">
        <v>40</v>
      </c>
      <c r="Q405" t="s">
        <v>40</v>
      </c>
      <c r="R405" t="s">
        <v>40</v>
      </c>
      <c r="S405" t="s">
        <v>40</v>
      </c>
      <c r="U405" s="1">
        <v>43344</v>
      </c>
      <c r="V405" t="s">
        <v>41</v>
      </c>
      <c r="W405" t="s">
        <v>49</v>
      </c>
      <c r="X405" t="str">
        <f>"0581207"</f>
        <v>0581207</v>
      </c>
      <c r="Y405" t="s">
        <v>233</v>
      </c>
      <c r="Z405" t="s">
        <v>223</v>
      </c>
      <c r="AA405" t="s">
        <v>224</v>
      </c>
      <c r="AB405" t="s">
        <v>131</v>
      </c>
      <c r="AC405" t="s">
        <v>44</v>
      </c>
      <c r="AD405" t="s">
        <v>45</v>
      </c>
      <c r="AE405" s="1">
        <v>32874</v>
      </c>
      <c r="AF405">
        <v>2</v>
      </c>
      <c r="AG405" t="s">
        <v>224</v>
      </c>
      <c r="AH405" s="36">
        <f t="shared" si="6"/>
        <v>29.397222222222222</v>
      </c>
      <c r="AI405" s="40" t="s">
        <v>1777</v>
      </c>
    </row>
    <row r="406" spans="1:35" x14ac:dyDescent="0.25">
      <c r="A406" s="36">
        <v>99910404</v>
      </c>
      <c r="B406" s="17" t="s">
        <v>32</v>
      </c>
      <c r="C406" t="s">
        <v>46</v>
      </c>
      <c r="D406" t="s">
        <v>47</v>
      </c>
      <c r="G406" s="17" t="s">
        <v>48</v>
      </c>
      <c r="H406" s="17">
        <v>1</v>
      </c>
      <c r="K406" t="s">
        <v>223</v>
      </c>
      <c r="L406" t="s">
        <v>224</v>
      </c>
      <c r="M406" t="s">
        <v>131</v>
      </c>
      <c r="N406">
        <v>23</v>
      </c>
      <c r="O406" t="s">
        <v>40</v>
      </c>
      <c r="P406" t="s">
        <v>40</v>
      </c>
      <c r="Q406" t="s">
        <v>40</v>
      </c>
      <c r="R406" t="s">
        <v>40</v>
      </c>
      <c r="S406" t="s">
        <v>40</v>
      </c>
      <c r="V406" t="s">
        <v>41</v>
      </c>
      <c r="W406" t="s">
        <v>49</v>
      </c>
      <c r="X406" t="str">
        <f>"0581207"</f>
        <v>0581207</v>
      </c>
      <c r="Y406" t="s">
        <v>233</v>
      </c>
      <c r="Z406" t="s">
        <v>223</v>
      </c>
      <c r="AA406" t="s">
        <v>224</v>
      </c>
      <c r="AB406" t="s">
        <v>131</v>
      </c>
      <c r="AC406" t="s">
        <v>51</v>
      </c>
      <c r="AD406" t="s">
        <v>45</v>
      </c>
      <c r="AE406" s="1">
        <v>32874</v>
      </c>
      <c r="AF406">
        <v>2</v>
      </c>
      <c r="AG406" t="s">
        <v>224</v>
      </c>
      <c r="AH406" s="36">
        <f t="shared" si="6"/>
        <v>29.397222222222222</v>
      </c>
      <c r="AI406" s="40" t="s">
        <v>1777</v>
      </c>
    </row>
    <row r="407" spans="1:35" x14ac:dyDescent="0.25">
      <c r="A407" s="36">
        <v>99910405</v>
      </c>
      <c r="B407" s="17" t="s">
        <v>32</v>
      </c>
      <c r="C407" t="s">
        <v>139</v>
      </c>
      <c r="D407" t="s">
        <v>140</v>
      </c>
      <c r="G407" s="17" t="s">
        <v>48</v>
      </c>
      <c r="H407" s="17">
        <v>1</v>
      </c>
      <c r="K407" t="s">
        <v>223</v>
      </c>
      <c r="L407" t="s">
        <v>224</v>
      </c>
      <c r="M407" t="s">
        <v>131</v>
      </c>
      <c r="N407">
        <v>30</v>
      </c>
      <c r="O407" t="s">
        <v>40</v>
      </c>
      <c r="P407" t="s">
        <v>40</v>
      </c>
      <c r="Q407" t="s">
        <v>40</v>
      </c>
      <c r="R407" t="s">
        <v>40</v>
      </c>
      <c r="S407" t="s">
        <v>40</v>
      </c>
      <c r="V407" t="s">
        <v>41</v>
      </c>
      <c r="W407" t="s">
        <v>42</v>
      </c>
      <c r="X407" t="str">
        <f>"0590910"</f>
        <v>0590910</v>
      </c>
      <c r="Y407" t="s">
        <v>227</v>
      </c>
      <c r="Z407" t="s">
        <v>223</v>
      </c>
      <c r="AA407" t="s">
        <v>224</v>
      </c>
      <c r="AB407" t="s">
        <v>131</v>
      </c>
      <c r="AC407" t="s">
        <v>51</v>
      </c>
      <c r="AD407" t="s">
        <v>45</v>
      </c>
      <c r="AE407" s="1">
        <v>32874</v>
      </c>
      <c r="AF407">
        <v>2</v>
      </c>
      <c r="AG407" t="s">
        <v>224</v>
      </c>
      <c r="AH407" s="36">
        <f t="shared" si="6"/>
        <v>29.397222222222222</v>
      </c>
      <c r="AI407" s="40" t="s">
        <v>1777</v>
      </c>
    </row>
    <row r="408" spans="1:35" x14ac:dyDescent="0.25">
      <c r="A408" s="36">
        <v>99910406</v>
      </c>
      <c r="B408" s="17" t="s">
        <v>32</v>
      </c>
      <c r="C408" t="s">
        <v>79</v>
      </c>
      <c r="D408" t="s">
        <v>80</v>
      </c>
      <c r="G408" s="17" t="s">
        <v>48</v>
      </c>
      <c r="H408" s="17">
        <v>1</v>
      </c>
      <c r="K408" t="s">
        <v>223</v>
      </c>
      <c r="L408" t="s">
        <v>224</v>
      </c>
      <c r="M408" t="s">
        <v>131</v>
      </c>
      <c r="N408">
        <v>18</v>
      </c>
      <c r="O408" t="s">
        <v>40</v>
      </c>
      <c r="P408" t="s">
        <v>40</v>
      </c>
      <c r="Q408" t="s">
        <v>40</v>
      </c>
      <c r="R408" t="s">
        <v>40</v>
      </c>
      <c r="S408" t="s">
        <v>40</v>
      </c>
      <c r="V408" t="s">
        <v>41</v>
      </c>
      <c r="W408" t="s">
        <v>42</v>
      </c>
      <c r="X408" t="str">
        <f>"0580206"</f>
        <v>0580206</v>
      </c>
      <c r="Y408" t="s">
        <v>237</v>
      </c>
      <c r="Z408" t="s">
        <v>223</v>
      </c>
      <c r="AA408" t="s">
        <v>224</v>
      </c>
      <c r="AB408" t="s">
        <v>131</v>
      </c>
      <c r="AC408" t="s">
        <v>51</v>
      </c>
      <c r="AD408" t="s">
        <v>45</v>
      </c>
      <c r="AE408" s="1">
        <v>32874</v>
      </c>
      <c r="AF408">
        <v>2</v>
      </c>
      <c r="AG408" t="s">
        <v>224</v>
      </c>
      <c r="AH408" s="36">
        <f t="shared" si="6"/>
        <v>29.397222222222222</v>
      </c>
      <c r="AI408" s="40" t="s">
        <v>1777</v>
      </c>
    </row>
    <row r="409" spans="1:35" x14ac:dyDescent="0.25">
      <c r="A409" s="36">
        <v>99910407</v>
      </c>
      <c r="B409" s="17" t="s">
        <v>56</v>
      </c>
      <c r="C409" t="s">
        <v>52</v>
      </c>
      <c r="D409" t="s">
        <v>53</v>
      </c>
      <c r="G409" s="17" t="s">
        <v>35</v>
      </c>
      <c r="H409" s="17">
        <v>1</v>
      </c>
      <c r="I409">
        <v>0</v>
      </c>
      <c r="J409" s="1">
        <v>43344</v>
      </c>
      <c r="K409" t="s">
        <v>223</v>
      </c>
      <c r="L409" t="s">
        <v>224</v>
      </c>
      <c r="M409" t="s">
        <v>131</v>
      </c>
      <c r="N409">
        <v>23</v>
      </c>
      <c r="O409" t="s">
        <v>40</v>
      </c>
      <c r="P409" t="s">
        <v>40</v>
      </c>
      <c r="Q409" t="s">
        <v>40</v>
      </c>
      <c r="R409" t="s">
        <v>40</v>
      </c>
      <c r="S409" t="s">
        <v>40</v>
      </c>
      <c r="U409" s="1">
        <v>43344</v>
      </c>
      <c r="V409" t="s">
        <v>41</v>
      </c>
      <c r="W409" t="s">
        <v>42</v>
      </c>
      <c r="X409" t="str">
        <f>"0580204"</f>
        <v>0580204</v>
      </c>
      <c r="Y409" t="s">
        <v>235</v>
      </c>
      <c r="Z409" t="s">
        <v>223</v>
      </c>
      <c r="AA409" t="s">
        <v>224</v>
      </c>
      <c r="AB409" t="s">
        <v>131</v>
      </c>
      <c r="AC409" t="s">
        <v>44</v>
      </c>
      <c r="AD409" t="s">
        <v>45</v>
      </c>
      <c r="AE409" s="1">
        <v>32874</v>
      </c>
      <c r="AF409">
        <v>2</v>
      </c>
      <c r="AG409" t="s">
        <v>224</v>
      </c>
      <c r="AH409" s="36">
        <f t="shared" si="6"/>
        <v>29.397222222222222</v>
      </c>
      <c r="AI409" s="40" t="s">
        <v>1777</v>
      </c>
    </row>
    <row r="410" spans="1:35" x14ac:dyDescent="0.25">
      <c r="A410" s="36">
        <v>99910408</v>
      </c>
      <c r="B410" s="17" t="s">
        <v>32</v>
      </c>
      <c r="C410" t="s">
        <v>145</v>
      </c>
      <c r="D410" t="s">
        <v>146</v>
      </c>
      <c r="G410" s="17" t="s">
        <v>35</v>
      </c>
      <c r="H410" s="17">
        <v>1</v>
      </c>
      <c r="I410">
        <v>0</v>
      </c>
      <c r="J410" s="1">
        <v>43344</v>
      </c>
      <c r="K410" t="s">
        <v>223</v>
      </c>
      <c r="L410" t="s">
        <v>224</v>
      </c>
      <c r="M410" t="s">
        <v>131</v>
      </c>
      <c r="N410">
        <v>6</v>
      </c>
      <c r="O410" t="s">
        <v>40</v>
      </c>
      <c r="P410" t="s">
        <v>40</v>
      </c>
      <c r="Q410" t="s">
        <v>40</v>
      </c>
      <c r="R410" t="s">
        <v>40</v>
      </c>
      <c r="S410" t="s">
        <v>40</v>
      </c>
      <c r="U410" s="1">
        <v>43344</v>
      </c>
      <c r="V410" t="s">
        <v>41</v>
      </c>
      <c r="W410" t="s">
        <v>42</v>
      </c>
      <c r="X410" t="str">
        <f>"0580315"</f>
        <v>0580315</v>
      </c>
      <c r="Y410" t="s">
        <v>246</v>
      </c>
      <c r="Z410" t="s">
        <v>223</v>
      </c>
      <c r="AA410" t="s">
        <v>224</v>
      </c>
      <c r="AB410" t="s">
        <v>131</v>
      </c>
      <c r="AC410" t="s">
        <v>51</v>
      </c>
      <c r="AD410" t="s">
        <v>45</v>
      </c>
      <c r="AE410" s="1">
        <v>32874</v>
      </c>
      <c r="AF410">
        <v>2</v>
      </c>
      <c r="AG410" t="s">
        <v>224</v>
      </c>
      <c r="AH410" s="36">
        <f t="shared" si="6"/>
        <v>29.397222222222222</v>
      </c>
      <c r="AI410" s="40" t="s">
        <v>1777</v>
      </c>
    </row>
    <row r="411" spans="1:35" x14ac:dyDescent="0.25">
      <c r="A411" s="36">
        <v>99910409</v>
      </c>
      <c r="B411" s="17" t="s">
        <v>32</v>
      </c>
      <c r="C411" t="s">
        <v>111</v>
      </c>
      <c r="D411" t="s">
        <v>112</v>
      </c>
      <c r="G411" s="17" t="s">
        <v>48</v>
      </c>
      <c r="H411" s="17">
        <v>1</v>
      </c>
      <c r="I411" t="s">
        <v>529</v>
      </c>
      <c r="J411" s="1">
        <v>42027</v>
      </c>
      <c r="K411" t="s">
        <v>431</v>
      </c>
      <c r="L411" t="s">
        <v>196</v>
      </c>
      <c r="M411" t="s">
        <v>131</v>
      </c>
      <c r="N411">
        <v>24</v>
      </c>
      <c r="O411" t="s">
        <v>40</v>
      </c>
      <c r="P411" t="s">
        <v>40</v>
      </c>
      <c r="Q411" t="s">
        <v>40</v>
      </c>
      <c r="S411" t="s">
        <v>40</v>
      </c>
      <c r="U411" s="1">
        <v>42031</v>
      </c>
      <c r="V411" t="s">
        <v>41</v>
      </c>
      <c r="W411" t="s">
        <v>75</v>
      </c>
      <c r="X411" t="str">
        <f>"7521056"</f>
        <v>7521056</v>
      </c>
      <c r="Y411" t="s">
        <v>437</v>
      </c>
      <c r="Z411" t="s">
        <v>431</v>
      </c>
      <c r="AA411" t="s">
        <v>196</v>
      </c>
      <c r="AB411" t="s">
        <v>131</v>
      </c>
      <c r="AC411" t="s">
        <v>51</v>
      </c>
      <c r="AD411" t="s">
        <v>45</v>
      </c>
      <c r="AE411" s="1">
        <v>32874</v>
      </c>
      <c r="AF411">
        <v>1</v>
      </c>
      <c r="AG411" t="s">
        <v>196</v>
      </c>
      <c r="AH411" s="36">
        <f t="shared" si="6"/>
        <v>29.397222222222222</v>
      </c>
      <c r="AI411" s="40" t="s">
        <v>1777</v>
      </c>
    </row>
    <row r="412" spans="1:35" x14ac:dyDescent="0.25">
      <c r="A412" s="36">
        <v>99910410</v>
      </c>
      <c r="B412" s="17" t="s">
        <v>32</v>
      </c>
      <c r="C412" t="s">
        <v>111</v>
      </c>
      <c r="D412" t="s">
        <v>112</v>
      </c>
      <c r="G412" s="17" t="s">
        <v>35</v>
      </c>
      <c r="H412" s="17">
        <v>1</v>
      </c>
      <c r="I412" t="s">
        <v>553</v>
      </c>
      <c r="J412" s="1">
        <v>42396</v>
      </c>
      <c r="K412" t="s">
        <v>431</v>
      </c>
      <c r="L412" t="s">
        <v>196</v>
      </c>
      <c r="M412" t="s">
        <v>131</v>
      </c>
      <c r="N412">
        <v>24</v>
      </c>
      <c r="O412" t="s">
        <v>40</v>
      </c>
      <c r="P412" t="s">
        <v>40</v>
      </c>
      <c r="Q412" t="s">
        <v>40</v>
      </c>
      <c r="S412" t="s">
        <v>40</v>
      </c>
      <c r="U412" s="1">
        <v>42397</v>
      </c>
      <c r="V412" t="s">
        <v>41</v>
      </c>
      <c r="W412" t="s">
        <v>75</v>
      </c>
      <c r="X412" t="str">
        <f>"7521056"</f>
        <v>7521056</v>
      </c>
      <c r="Y412" t="s">
        <v>437</v>
      </c>
      <c r="Z412" t="s">
        <v>431</v>
      </c>
      <c r="AA412" t="s">
        <v>196</v>
      </c>
      <c r="AB412" t="s">
        <v>131</v>
      </c>
      <c r="AC412" t="s">
        <v>51</v>
      </c>
      <c r="AD412" t="s">
        <v>45</v>
      </c>
      <c r="AE412" s="1">
        <v>32874</v>
      </c>
      <c r="AF412">
        <v>1</v>
      </c>
      <c r="AG412" t="s">
        <v>196</v>
      </c>
      <c r="AH412" s="36">
        <f t="shared" si="6"/>
        <v>29.397222222222222</v>
      </c>
      <c r="AI412" s="40" t="s">
        <v>1777</v>
      </c>
    </row>
    <row r="413" spans="1:35" x14ac:dyDescent="0.25">
      <c r="A413" s="36">
        <v>99910411</v>
      </c>
      <c r="B413" s="17" t="s">
        <v>32</v>
      </c>
      <c r="C413" t="s">
        <v>111</v>
      </c>
      <c r="D413" t="s">
        <v>112</v>
      </c>
      <c r="G413" s="17" t="s">
        <v>35</v>
      </c>
      <c r="H413" s="17">
        <v>1</v>
      </c>
      <c r="I413" t="s">
        <v>286</v>
      </c>
      <c r="J413" s="1">
        <v>43344</v>
      </c>
      <c r="K413" t="s">
        <v>268</v>
      </c>
      <c r="L413" t="s">
        <v>269</v>
      </c>
      <c r="M413" t="s">
        <v>131</v>
      </c>
      <c r="N413">
        <v>24</v>
      </c>
      <c r="O413" t="s">
        <v>40</v>
      </c>
      <c r="S413" t="s">
        <v>40</v>
      </c>
      <c r="U413" s="1">
        <v>43344</v>
      </c>
      <c r="V413" t="s">
        <v>41</v>
      </c>
      <c r="W413" t="s">
        <v>75</v>
      </c>
      <c r="X413" t="str">
        <f>"7052012"</f>
        <v>7052012</v>
      </c>
      <c r="Y413" t="s">
        <v>270</v>
      </c>
      <c r="Z413" t="s">
        <v>268</v>
      </c>
      <c r="AA413" t="s">
        <v>269</v>
      </c>
      <c r="AB413" t="s">
        <v>131</v>
      </c>
      <c r="AC413" t="s">
        <v>51</v>
      </c>
      <c r="AD413" t="s">
        <v>45</v>
      </c>
      <c r="AE413" s="1">
        <v>32874</v>
      </c>
      <c r="AF413">
        <v>1</v>
      </c>
      <c r="AG413" t="s">
        <v>269</v>
      </c>
      <c r="AH413" s="36">
        <f t="shared" si="6"/>
        <v>29.397222222222222</v>
      </c>
      <c r="AI413" s="40" t="s">
        <v>1777</v>
      </c>
    </row>
    <row r="414" spans="1:35" x14ac:dyDescent="0.25">
      <c r="A414" s="36">
        <v>99910412</v>
      </c>
      <c r="B414" s="17" t="s">
        <v>32</v>
      </c>
      <c r="C414" t="s">
        <v>111</v>
      </c>
      <c r="D414" t="s">
        <v>112</v>
      </c>
      <c r="G414" s="17" t="s">
        <v>48</v>
      </c>
      <c r="H414" s="17">
        <v>1</v>
      </c>
      <c r="I414" t="s">
        <v>680</v>
      </c>
      <c r="J414" s="1">
        <v>42027</v>
      </c>
      <c r="K414" t="s">
        <v>268</v>
      </c>
      <c r="L414" t="s">
        <v>269</v>
      </c>
      <c r="M414" t="s">
        <v>131</v>
      </c>
      <c r="N414">
        <v>24</v>
      </c>
      <c r="O414" t="s">
        <v>40</v>
      </c>
      <c r="P414" t="s">
        <v>40</v>
      </c>
      <c r="Q414" t="s">
        <v>40</v>
      </c>
      <c r="S414" t="s">
        <v>40</v>
      </c>
      <c r="U414" s="1">
        <v>42031</v>
      </c>
      <c r="V414" t="s">
        <v>41</v>
      </c>
      <c r="W414" t="s">
        <v>75</v>
      </c>
      <c r="X414" t="str">
        <f>"7052044"</f>
        <v>7052044</v>
      </c>
      <c r="Y414" t="s">
        <v>589</v>
      </c>
      <c r="Z414" t="s">
        <v>268</v>
      </c>
      <c r="AA414" t="s">
        <v>269</v>
      </c>
      <c r="AB414" t="s">
        <v>131</v>
      </c>
      <c r="AC414" t="s">
        <v>51</v>
      </c>
      <c r="AD414" t="s">
        <v>45</v>
      </c>
      <c r="AE414" s="1">
        <v>32874</v>
      </c>
      <c r="AF414">
        <v>1</v>
      </c>
      <c r="AG414" t="s">
        <v>269</v>
      </c>
      <c r="AH414" s="36">
        <f t="shared" si="6"/>
        <v>29.397222222222222</v>
      </c>
      <c r="AI414" s="40" t="s">
        <v>1777</v>
      </c>
    </row>
    <row r="415" spans="1:35" x14ac:dyDescent="0.25">
      <c r="A415" s="36">
        <v>99910413</v>
      </c>
      <c r="B415" s="17" t="s">
        <v>32</v>
      </c>
      <c r="C415" t="s">
        <v>111</v>
      </c>
      <c r="D415" t="s">
        <v>112</v>
      </c>
      <c r="G415" s="17" t="s">
        <v>35</v>
      </c>
      <c r="H415" s="17">
        <v>1</v>
      </c>
      <c r="I415">
        <v>1120</v>
      </c>
      <c r="J415" s="1">
        <v>43344</v>
      </c>
      <c r="K415" t="s">
        <v>354</v>
      </c>
      <c r="L415" t="s">
        <v>355</v>
      </c>
      <c r="M415" t="s">
        <v>131</v>
      </c>
      <c r="N415">
        <v>24</v>
      </c>
      <c r="O415" t="s">
        <v>40</v>
      </c>
      <c r="S415" t="s">
        <v>40</v>
      </c>
      <c r="U415" s="1">
        <v>43344</v>
      </c>
      <c r="V415" t="s">
        <v>41</v>
      </c>
      <c r="W415" t="s">
        <v>75</v>
      </c>
      <c r="X415" t="str">
        <f>"7054024"</f>
        <v>7054024</v>
      </c>
      <c r="Y415" t="s">
        <v>793</v>
      </c>
      <c r="Z415" t="s">
        <v>354</v>
      </c>
      <c r="AA415" t="s">
        <v>355</v>
      </c>
      <c r="AB415" t="s">
        <v>131</v>
      </c>
      <c r="AC415" t="s">
        <v>55</v>
      </c>
      <c r="AD415" t="s">
        <v>45</v>
      </c>
      <c r="AE415" s="1">
        <v>32874</v>
      </c>
      <c r="AF415">
        <v>1</v>
      </c>
      <c r="AG415" t="s">
        <v>355</v>
      </c>
      <c r="AH415" s="36">
        <f t="shared" si="6"/>
        <v>29.397222222222222</v>
      </c>
      <c r="AI415" s="40" t="s">
        <v>1777</v>
      </c>
    </row>
    <row r="416" spans="1:35" x14ac:dyDescent="0.25">
      <c r="A416" s="36">
        <v>99910414</v>
      </c>
      <c r="B416" s="17" t="s">
        <v>32</v>
      </c>
      <c r="C416" t="s">
        <v>111</v>
      </c>
      <c r="D416" t="s">
        <v>112</v>
      </c>
      <c r="G416" s="17" t="s">
        <v>35</v>
      </c>
      <c r="H416" s="17">
        <v>1</v>
      </c>
      <c r="I416" t="s">
        <v>850</v>
      </c>
      <c r="J416" s="1">
        <v>43344</v>
      </c>
      <c r="K416" t="s">
        <v>354</v>
      </c>
      <c r="L416" t="s">
        <v>355</v>
      </c>
      <c r="M416" t="s">
        <v>131</v>
      </c>
      <c r="N416">
        <v>24</v>
      </c>
      <c r="O416" t="s">
        <v>40</v>
      </c>
      <c r="S416" t="s">
        <v>40</v>
      </c>
      <c r="U416" s="1">
        <v>43344</v>
      </c>
      <c r="V416" t="s">
        <v>41</v>
      </c>
      <c r="W416" t="s">
        <v>75</v>
      </c>
      <c r="X416" t="str">
        <f>"7054012"</f>
        <v>7054012</v>
      </c>
      <c r="Y416" t="s">
        <v>353</v>
      </c>
      <c r="Z416" t="s">
        <v>354</v>
      </c>
      <c r="AA416" t="s">
        <v>355</v>
      </c>
      <c r="AB416" t="s">
        <v>131</v>
      </c>
      <c r="AC416" t="s">
        <v>44</v>
      </c>
      <c r="AD416" t="s">
        <v>45</v>
      </c>
      <c r="AE416" s="1">
        <v>32874</v>
      </c>
      <c r="AF416">
        <v>1</v>
      </c>
      <c r="AG416" t="s">
        <v>355</v>
      </c>
      <c r="AH416" s="36">
        <f t="shared" si="6"/>
        <v>29.397222222222222</v>
      </c>
      <c r="AI416" s="40" t="s">
        <v>1777</v>
      </c>
    </row>
    <row r="417" spans="1:35" x14ac:dyDescent="0.25">
      <c r="A417" s="36">
        <v>99910415</v>
      </c>
      <c r="B417" s="17" t="s">
        <v>32</v>
      </c>
      <c r="C417" t="s">
        <v>111</v>
      </c>
      <c r="D417" t="s">
        <v>112</v>
      </c>
      <c r="G417" s="17" t="s">
        <v>48</v>
      </c>
      <c r="H417" s="17">
        <v>1</v>
      </c>
      <c r="I417" t="s">
        <v>906</v>
      </c>
      <c r="J417" s="1">
        <v>42471</v>
      </c>
      <c r="K417" t="s">
        <v>877</v>
      </c>
      <c r="L417" t="s">
        <v>878</v>
      </c>
      <c r="M417" t="s">
        <v>131</v>
      </c>
      <c r="N417">
        <v>24</v>
      </c>
      <c r="O417" t="s">
        <v>40</v>
      </c>
      <c r="P417" t="s">
        <v>40</v>
      </c>
      <c r="Q417" t="s">
        <v>40</v>
      </c>
      <c r="S417" t="s">
        <v>40</v>
      </c>
      <c r="U417" s="1">
        <v>42471</v>
      </c>
      <c r="V417" t="s">
        <v>41</v>
      </c>
      <c r="W417" t="s">
        <v>75</v>
      </c>
      <c r="X417" t="str">
        <f>"7541026"</f>
        <v>7541026</v>
      </c>
      <c r="Y417" t="s">
        <v>894</v>
      </c>
      <c r="Z417" t="s">
        <v>877</v>
      </c>
      <c r="AA417" t="s">
        <v>878</v>
      </c>
      <c r="AB417" t="s">
        <v>131</v>
      </c>
      <c r="AC417" t="s">
        <v>51</v>
      </c>
      <c r="AD417" t="s">
        <v>45</v>
      </c>
      <c r="AE417" s="1">
        <v>32874</v>
      </c>
      <c r="AF417">
        <v>1</v>
      </c>
      <c r="AG417" t="s">
        <v>878</v>
      </c>
      <c r="AH417" s="36">
        <f t="shared" si="6"/>
        <v>29.397222222222222</v>
      </c>
      <c r="AI417" s="40" t="s">
        <v>1777</v>
      </c>
    </row>
    <row r="418" spans="1:35" x14ac:dyDescent="0.25">
      <c r="A418" s="36">
        <v>99910416</v>
      </c>
      <c r="B418" s="17" t="s">
        <v>32</v>
      </c>
      <c r="C418" t="s">
        <v>111</v>
      </c>
      <c r="D418" t="s">
        <v>112</v>
      </c>
      <c r="G418" s="17" t="s">
        <v>35</v>
      </c>
      <c r="H418" s="17">
        <v>1</v>
      </c>
      <c r="I418" t="s">
        <v>1023</v>
      </c>
      <c r="J418" s="1">
        <v>43344</v>
      </c>
      <c r="K418" t="s">
        <v>963</v>
      </c>
      <c r="L418" t="s">
        <v>964</v>
      </c>
      <c r="M418" t="s">
        <v>938</v>
      </c>
      <c r="N418">
        <v>24</v>
      </c>
      <c r="O418" t="s">
        <v>40</v>
      </c>
      <c r="P418" t="s">
        <v>40</v>
      </c>
      <c r="Q418" t="s">
        <v>40</v>
      </c>
      <c r="S418" t="s">
        <v>40</v>
      </c>
      <c r="U418" s="1">
        <v>43344</v>
      </c>
      <c r="V418" t="s">
        <v>41</v>
      </c>
      <c r="W418" t="s">
        <v>75</v>
      </c>
      <c r="X418" t="str">
        <f>"7061000"</f>
        <v>7061000</v>
      </c>
      <c r="Y418" t="s">
        <v>962</v>
      </c>
      <c r="Z418" t="s">
        <v>963</v>
      </c>
      <c r="AA418" t="s">
        <v>964</v>
      </c>
      <c r="AB418" t="s">
        <v>938</v>
      </c>
      <c r="AC418" t="s">
        <v>44</v>
      </c>
      <c r="AD418" t="s">
        <v>45</v>
      </c>
      <c r="AE418" s="1">
        <v>32874</v>
      </c>
      <c r="AF418">
        <v>1</v>
      </c>
      <c r="AG418" t="s">
        <v>964</v>
      </c>
      <c r="AH418" s="36">
        <f t="shared" si="6"/>
        <v>29.397222222222222</v>
      </c>
      <c r="AI418" s="40" t="s">
        <v>1777</v>
      </c>
    </row>
    <row r="419" spans="1:35" x14ac:dyDescent="0.25">
      <c r="A419" s="36">
        <v>99910417</v>
      </c>
      <c r="B419" s="17" t="s">
        <v>32</v>
      </c>
      <c r="C419" t="s">
        <v>111</v>
      </c>
      <c r="D419" t="s">
        <v>112</v>
      </c>
      <c r="G419" s="17" t="s">
        <v>35</v>
      </c>
      <c r="H419" s="17">
        <v>1</v>
      </c>
      <c r="I419" t="s">
        <v>1207</v>
      </c>
      <c r="J419" s="1">
        <v>43344</v>
      </c>
      <c r="K419" t="s">
        <v>1198</v>
      </c>
      <c r="L419" t="s">
        <v>1199</v>
      </c>
      <c r="M419" t="s">
        <v>1130</v>
      </c>
      <c r="N419">
        <v>24</v>
      </c>
      <c r="O419" t="s">
        <v>40</v>
      </c>
      <c r="P419" t="s">
        <v>40</v>
      </c>
      <c r="S419" t="s">
        <v>40</v>
      </c>
      <c r="U419" s="1">
        <v>43344</v>
      </c>
      <c r="V419" t="s">
        <v>41</v>
      </c>
      <c r="W419" t="s">
        <v>75</v>
      </c>
      <c r="X419" t="str">
        <f>"7311006"</f>
        <v>7311006</v>
      </c>
      <c r="Y419" t="s">
        <v>1200</v>
      </c>
      <c r="Z419" t="s">
        <v>1198</v>
      </c>
      <c r="AA419" t="s">
        <v>1199</v>
      </c>
      <c r="AB419" t="s">
        <v>1130</v>
      </c>
      <c r="AC419" t="s">
        <v>44</v>
      </c>
      <c r="AD419" t="s">
        <v>45</v>
      </c>
      <c r="AE419" s="1">
        <v>32874</v>
      </c>
      <c r="AF419">
        <v>1</v>
      </c>
      <c r="AG419" t="s">
        <v>1199</v>
      </c>
      <c r="AH419" s="36">
        <f t="shared" si="6"/>
        <v>29.397222222222222</v>
      </c>
      <c r="AI419" s="40" t="s">
        <v>1777</v>
      </c>
    </row>
    <row r="420" spans="1:35" x14ac:dyDescent="0.25">
      <c r="A420" s="36">
        <v>99910418</v>
      </c>
      <c r="B420" s="17" t="s">
        <v>32</v>
      </c>
      <c r="C420" t="s">
        <v>111</v>
      </c>
      <c r="D420" t="s">
        <v>112</v>
      </c>
      <c r="G420" s="17" t="s">
        <v>35</v>
      </c>
      <c r="H420" s="17">
        <v>1</v>
      </c>
      <c r="I420" t="s">
        <v>1218</v>
      </c>
      <c r="J420" s="1">
        <v>43344</v>
      </c>
      <c r="K420" t="s">
        <v>1198</v>
      </c>
      <c r="L420" t="s">
        <v>1199</v>
      </c>
      <c r="M420" t="s">
        <v>1130</v>
      </c>
      <c r="N420">
        <v>24</v>
      </c>
      <c r="O420" t="s">
        <v>40</v>
      </c>
      <c r="P420" t="s">
        <v>40</v>
      </c>
      <c r="Q420" t="s">
        <v>40</v>
      </c>
      <c r="R420" t="s">
        <v>40</v>
      </c>
      <c r="S420" t="s">
        <v>40</v>
      </c>
      <c r="U420" s="1">
        <v>43344</v>
      </c>
      <c r="V420" t="s">
        <v>41</v>
      </c>
      <c r="W420" t="s">
        <v>75</v>
      </c>
      <c r="X420" t="str">
        <f>"7311006"</f>
        <v>7311006</v>
      </c>
      <c r="Y420" t="s">
        <v>1200</v>
      </c>
      <c r="Z420" t="s">
        <v>1198</v>
      </c>
      <c r="AA420" t="s">
        <v>1199</v>
      </c>
      <c r="AB420" t="s">
        <v>1130</v>
      </c>
      <c r="AC420" t="s">
        <v>51</v>
      </c>
      <c r="AD420" t="s">
        <v>45</v>
      </c>
      <c r="AE420" s="1">
        <v>32874</v>
      </c>
      <c r="AF420">
        <v>1</v>
      </c>
      <c r="AG420" t="s">
        <v>1199</v>
      </c>
      <c r="AH420" s="36">
        <f t="shared" si="6"/>
        <v>29.397222222222222</v>
      </c>
      <c r="AI420" s="40" t="s">
        <v>1777</v>
      </c>
    </row>
    <row r="421" spans="1:35" x14ac:dyDescent="0.25">
      <c r="A421" s="36">
        <v>99910419</v>
      </c>
      <c r="B421" s="17" t="s">
        <v>32</v>
      </c>
      <c r="C421" t="s">
        <v>111</v>
      </c>
      <c r="D421" t="s">
        <v>112</v>
      </c>
      <c r="G421" s="17" t="s">
        <v>35</v>
      </c>
      <c r="H421" s="17">
        <v>1</v>
      </c>
      <c r="I421">
        <v>1</v>
      </c>
      <c r="J421" s="1">
        <v>43344</v>
      </c>
      <c r="K421" t="s">
        <v>1198</v>
      </c>
      <c r="L421" t="s">
        <v>1199</v>
      </c>
      <c r="M421" t="s">
        <v>1130</v>
      </c>
      <c r="N421">
        <v>24</v>
      </c>
      <c r="O421" t="s">
        <v>40</v>
      </c>
      <c r="P421" t="s">
        <v>40</v>
      </c>
      <c r="Q421" t="s">
        <v>40</v>
      </c>
      <c r="S421" t="s">
        <v>40</v>
      </c>
      <c r="U421" s="1">
        <v>43344</v>
      </c>
      <c r="V421" t="s">
        <v>41</v>
      </c>
      <c r="W421" t="s">
        <v>75</v>
      </c>
      <c r="X421" t="str">
        <f>"7311010"</f>
        <v>7311010</v>
      </c>
      <c r="Y421" t="s">
        <v>1202</v>
      </c>
      <c r="Z421" t="s">
        <v>1198</v>
      </c>
      <c r="AA421" t="s">
        <v>1199</v>
      </c>
      <c r="AB421" t="s">
        <v>1130</v>
      </c>
      <c r="AC421" t="s">
        <v>44</v>
      </c>
      <c r="AD421" t="s">
        <v>45</v>
      </c>
      <c r="AE421" s="1">
        <v>32874</v>
      </c>
      <c r="AF421">
        <v>1</v>
      </c>
      <c r="AG421" t="s">
        <v>1199</v>
      </c>
      <c r="AH421" s="36">
        <f t="shared" si="6"/>
        <v>29.397222222222222</v>
      </c>
      <c r="AI421" s="40" t="s">
        <v>1777</v>
      </c>
    </row>
    <row r="422" spans="1:35" x14ac:dyDescent="0.25">
      <c r="A422" s="36">
        <v>99910420</v>
      </c>
      <c r="B422" s="17" t="s">
        <v>32</v>
      </c>
      <c r="C422" t="s">
        <v>111</v>
      </c>
      <c r="D422" t="s">
        <v>112</v>
      </c>
      <c r="G422" s="17" t="s">
        <v>35</v>
      </c>
      <c r="H422" s="17">
        <v>1</v>
      </c>
      <c r="I422" s="1">
        <v>42655</v>
      </c>
      <c r="J422" s="1">
        <v>43344</v>
      </c>
      <c r="K422" t="s">
        <v>1341</v>
      </c>
      <c r="L422" t="s">
        <v>1342</v>
      </c>
      <c r="M422" t="s">
        <v>1270</v>
      </c>
      <c r="N422">
        <v>24</v>
      </c>
      <c r="O422" t="s">
        <v>40</v>
      </c>
      <c r="P422" t="s">
        <v>40</v>
      </c>
      <c r="S422" t="s">
        <v>40</v>
      </c>
      <c r="U422" s="1">
        <v>43344</v>
      </c>
      <c r="V422" t="s">
        <v>41</v>
      </c>
      <c r="W422" t="s">
        <v>75</v>
      </c>
      <c r="X422" t="str">
        <f>"7191034"</f>
        <v>7191034</v>
      </c>
      <c r="Y422" t="s">
        <v>1343</v>
      </c>
      <c r="Z422" t="s">
        <v>1341</v>
      </c>
      <c r="AA422" t="s">
        <v>1342</v>
      </c>
      <c r="AB422" t="s">
        <v>1270</v>
      </c>
      <c r="AC422" t="s">
        <v>51</v>
      </c>
      <c r="AD422" t="s">
        <v>45</v>
      </c>
      <c r="AE422" s="1">
        <v>32874</v>
      </c>
      <c r="AF422">
        <v>1</v>
      </c>
      <c r="AG422" t="s">
        <v>1342</v>
      </c>
      <c r="AH422" s="36">
        <f t="shared" si="6"/>
        <v>29.397222222222222</v>
      </c>
      <c r="AI422" s="40" t="s">
        <v>1777</v>
      </c>
    </row>
    <row r="423" spans="1:35" x14ac:dyDescent="0.25">
      <c r="A423" s="36">
        <v>99910421</v>
      </c>
      <c r="B423" s="17" t="s">
        <v>32</v>
      </c>
      <c r="C423" t="s">
        <v>111</v>
      </c>
      <c r="D423" t="s">
        <v>112</v>
      </c>
      <c r="G423" s="17" t="s">
        <v>35</v>
      </c>
      <c r="H423" s="17">
        <v>1</v>
      </c>
      <c r="I423" s="1">
        <v>43344</v>
      </c>
      <c r="J423" s="1">
        <v>43344</v>
      </c>
      <c r="K423" t="s">
        <v>1341</v>
      </c>
      <c r="L423" t="s">
        <v>1342</v>
      </c>
      <c r="M423" t="s">
        <v>1270</v>
      </c>
      <c r="N423">
        <v>24</v>
      </c>
      <c r="O423" t="s">
        <v>40</v>
      </c>
      <c r="S423" t="s">
        <v>40</v>
      </c>
      <c r="U423" s="1">
        <v>43344</v>
      </c>
      <c r="V423" t="s">
        <v>41</v>
      </c>
      <c r="W423" t="s">
        <v>75</v>
      </c>
      <c r="X423" t="str">
        <f>"7191004"</f>
        <v>7191004</v>
      </c>
      <c r="Y423" t="s">
        <v>1344</v>
      </c>
      <c r="Z423" t="s">
        <v>1341</v>
      </c>
      <c r="AA423" t="s">
        <v>1342</v>
      </c>
      <c r="AB423" t="s">
        <v>1270</v>
      </c>
      <c r="AC423" t="s">
        <v>44</v>
      </c>
      <c r="AD423" t="s">
        <v>45</v>
      </c>
      <c r="AE423" s="1">
        <v>32874</v>
      </c>
      <c r="AF423">
        <v>1</v>
      </c>
      <c r="AG423" t="s">
        <v>1342</v>
      </c>
      <c r="AH423" s="36">
        <f t="shared" si="6"/>
        <v>29.397222222222222</v>
      </c>
      <c r="AI423" s="40" t="s">
        <v>1777</v>
      </c>
    </row>
    <row r="424" spans="1:35" x14ac:dyDescent="0.25">
      <c r="A424" s="36">
        <v>99910422</v>
      </c>
      <c r="B424" s="17" t="s">
        <v>32</v>
      </c>
      <c r="C424" t="s">
        <v>111</v>
      </c>
      <c r="D424" t="s">
        <v>112</v>
      </c>
      <c r="G424" s="17" t="s">
        <v>48</v>
      </c>
      <c r="H424" s="17">
        <v>1</v>
      </c>
      <c r="I424" t="s">
        <v>1023</v>
      </c>
      <c r="J424" s="1">
        <v>42387</v>
      </c>
      <c r="K424" t="s">
        <v>667</v>
      </c>
      <c r="L424" t="s">
        <v>669</v>
      </c>
      <c r="M424" t="s">
        <v>670</v>
      </c>
      <c r="N424">
        <v>24</v>
      </c>
      <c r="O424" t="s">
        <v>40</v>
      </c>
      <c r="P424" t="s">
        <v>40</v>
      </c>
      <c r="Q424" t="s">
        <v>40</v>
      </c>
      <c r="R424" t="s">
        <v>40</v>
      </c>
      <c r="S424" t="s">
        <v>40</v>
      </c>
      <c r="U424" s="1">
        <v>42387</v>
      </c>
      <c r="V424" t="s">
        <v>41</v>
      </c>
      <c r="W424" t="s">
        <v>75</v>
      </c>
      <c r="X424" t="str">
        <f>"7501002"</f>
        <v>7501002</v>
      </c>
      <c r="Y424" t="s">
        <v>1519</v>
      </c>
      <c r="Z424" t="s">
        <v>667</v>
      </c>
      <c r="AA424" t="s">
        <v>669</v>
      </c>
      <c r="AB424" t="s">
        <v>670</v>
      </c>
      <c r="AC424" t="s">
        <v>51</v>
      </c>
      <c r="AD424" t="s">
        <v>45</v>
      </c>
      <c r="AE424" s="1">
        <v>32874</v>
      </c>
      <c r="AF424">
        <v>1</v>
      </c>
      <c r="AG424" t="s">
        <v>669</v>
      </c>
      <c r="AH424" s="36">
        <f t="shared" si="6"/>
        <v>29.397222222222222</v>
      </c>
      <c r="AI424" s="40" t="s">
        <v>1777</v>
      </c>
    </row>
    <row r="425" spans="1:35" x14ac:dyDescent="0.25">
      <c r="A425" s="36">
        <v>99910423</v>
      </c>
      <c r="B425" s="17" t="s">
        <v>32</v>
      </c>
      <c r="C425" t="s">
        <v>145</v>
      </c>
      <c r="D425" t="s">
        <v>146</v>
      </c>
      <c r="G425" s="17" t="s">
        <v>48</v>
      </c>
      <c r="H425" s="17">
        <v>1</v>
      </c>
      <c r="K425" t="s">
        <v>345</v>
      </c>
      <c r="L425" t="s">
        <v>346</v>
      </c>
      <c r="M425" t="s">
        <v>131</v>
      </c>
      <c r="N425">
        <v>23</v>
      </c>
      <c r="O425" t="s">
        <v>40</v>
      </c>
      <c r="P425" t="s">
        <v>40</v>
      </c>
      <c r="Q425" t="s">
        <v>40</v>
      </c>
      <c r="R425" t="s">
        <v>40</v>
      </c>
      <c r="S425" t="s">
        <v>40</v>
      </c>
      <c r="V425" t="s">
        <v>41</v>
      </c>
      <c r="W425" t="s">
        <v>42</v>
      </c>
      <c r="X425" t="str">
        <f>"0580931"</f>
        <v>0580931</v>
      </c>
      <c r="Y425" t="s">
        <v>369</v>
      </c>
      <c r="Z425" t="s">
        <v>345</v>
      </c>
      <c r="AA425" t="s">
        <v>346</v>
      </c>
      <c r="AB425" t="s">
        <v>131</v>
      </c>
      <c r="AC425" t="s">
        <v>51</v>
      </c>
      <c r="AD425" t="s">
        <v>45</v>
      </c>
      <c r="AE425" s="1">
        <v>32870</v>
      </c>
      <c r="AF425">
        <v>2</v>
      </c>
      <c r="AG425" t="s">
        <v>346</v>
      </c>
      <c r="AH425" s="36">
        <f t="shared" si="6"/>
        <v>29.408333333333335</v>
      </c>
      <c r="AI425" s="40" t="s">
        <v>1777</v>
      </c>
    </row>
    <row r="426" spans="1:35" x14ac:dyDescent="0.25">
      <c r="A426" s="36">
        <v>99910424</v>
      </c>
      <c r="B426" s="17" t="s">
        <v>32</v>
      </c>
      <c r="C426" t="s">
        <v>111</v>
      </c>
      <c r="D426" t="s">
        <v>112</v>
      </c>
      <c r="G426" s="17" t="s">
        <v>48</v>
      </c>
      <c r="H426" s="17">
        <v>1</v>
      </c>
      <c r="K426" t="s">
        <v>1341</v>
      </c>
      <c r="L426" t="s">
        <v>1342</v>
      </c>
      <c r="M426" t="s">
        <v>1270</v>
      </c>
      <c r="N426">
        <v>24</v>
      </c>
      <c r="O426" t="s">
        <v>40</v>
      </c>
      <c r="P426" t="s">
        <v>40</v>
      </c>
      <c r="Q426" t="s">
        <v>40</v>
      </c>
      <c r="R426" t="s">
        <v>40</v>
      </c>
      <c r="S426" t="s">
        <v>40</v>
      </c>
      <c r="V426" t="s">
        <v>41</v>
      </c>
      <c r="W426" t="s">
        <v>75</v>
      </c>
      <c r="X426" t="str">
        <f>"7191036"</f>
        <v>7191036</v>
      </c>
      <c r="Y426" t="s">
        <v>1348</v>
      </c>
      <c r="Z426" t="s">
        <v>1341</v>
      </c>
      <c r="AA426" t="s">
        <v>1342</v>
      </c>
      <c r="AB426" t="s">
        <v>1270</v>
      </c>
      <c r="AC426" t="s">
        <v>165</v>
      </c>
      <c r="AD426" t="s">
        <v>45</v>
      </c>
      <c r="AE426" s="1">
        <v>32870</v>
      </c>
      <c r="AF426">
        <v>1</v>
      </c>
      <c r="AG426" t="s">
        <v>1342</v>
      </c>
      <c r="AH426" s="36">
        <f t="shared" si="6"/>
        <v>29.408333333333335</v>
      </c>
      <c r="AI426" s="40" t="s">
        <v>1777</v>
      </c>
    </row>
    <row r="427" spans="1:35" x14ac:dyDescent="0.25">
      <c r="A427" s="36">
        <v>99910425</v>
      </c>
      <c r="B427" s="17" t="s">
        <v>32</v>
      </c>
      <c r="C427" t="s">
        <v>111</v>
      </c>
      <c r="D427" t="s">
        <v>112</v>
      </c>
      <c r="G427" s="17" t="s">
        <v>35</v>
      </c>
      <c r="H427" s="17">
        <v>1</v>
      </c>
      <c r="I427">
        <v>17054</v>
      </c>
      <c r="J427" s="1">
        <v>43344</v>
      </c>
      <c r="K427" t="s">
        <v>877</v>
      </c>
      <c r="L427" t="s">
        <v>878</v>
      </c>
      <c r="M427" t="s">
        <v>131</v>
      </c>
      <c r="N427">
        <v>24</v>
      </c>
      <c r="O427" t="s">
        <v>40</v>
      </c>
      <c r="S427" t="s">
        <v>40</v>
      </c>
      <c r="U427" s="1">
        <v>43344</v>
      </c>
      <c r="V427" t="s">
        <v>41</v>
      </c>
      <c r="W427" t="s">
        <v>75</v>
      </c>
      <c r="X427" t="str">
        <f>"7541004"</f>
        <v>7541004</v>
      </c>
      <c r="Y427" t="s">
        <v>889</v>
      </c>
      <c r="Z427" t="s">
        <v>877</v>
      </c>
      <c r="AA427" t="s">
        <v>878</v>
      </c>
      <c r="AB427" t="s">
        <v>131</v>
      </c>
      <c r="AC427" t="s">
        <v>44</v>
      </c>
      <c r="AD427" t="s">
        <v>45</v>
      </c>
      <c r="AE427" s="1">
        <v>32868</v>
      </c>
      <c r="AF427">
        <v>1</v>
      </c>
      <c r="AG427" t="s">
        <v>878</v>
      </c>
      <c r="AH427" s="36">
        <f t="shared" si="6"/>
        <v>29.413888888888888</v>
      </c>
      <c r="AI427" s="40" t="s">
        <v>1777</v>
      </c>
    </row>
    <row r="428" spans="1:35" x14ac:dyDescent="0.25">
      <c r="A428" s="36">
        <v>99910426</v>
      </c>
      <c r="B428" s="17" t="s">
        <v>32</v>
      </c>
      <c r="C428" t="s">
        <v>111</v>
      </c>
      <c r="D428" t="s">
        <v>112</v>
      </c>
      <c r="G428" s="17" t="s">
        <v>35</v>
      </c>
      <c r="H428" s="17">
        <v>5</v>
      </c>
      <c r="I428">
        <v>937</v>
      </c>
      <c r="J428" s="1">
        <v>43344</v>
      </c>
      <c r="K428" t="s">
        <v>1198</v>
      </c>
      <c r="L428" t="s">
        <v>1199</v>
      </c>
      <c r="M428" t="s">
        <v>1130</v>
      </c>
      <c r="N428">
        <v>24</v>
      </c>
      <c r="O428" t="s">
        <v>40</v>
      </c>
      <c r="P428" t="s">
        <v>40</v>
      </c>
      <c r="Q428" t="s">
        <v>40</v>
      </c>
      <c r="R428" t="s">
        <v>40</v>
      </c>
      <c r="S428" t="s">
        <v>40</v>
      </c>
      <c r="U428" s="1">
        <v>43344</v>
      </c>
      <c r="V428" t="s">
        <v>41</v>
      </c>
      <c r="W428" t="s">
        <v>75</v>
      </c>
      <c r="X428" t="str">
        <f>"7311002"</f>
        <v>7311002</v>
      </c>
      <c r="Y428" t="s">
        <v>1203</v>
      </c>
      <c r="Z428" t="s">
        <v>1198</v>
      </c>
      <c r="AA428" t="s">
        <v>1199</v>
      </c>
      <c r="AB428" t="s">
        <v>1130</v>
      </c>
      <c r="AC428" t="s">
        <v>51</v>
      </c>
      <c r="AD428" t="s">
        <v>45</v>
      </c>
      <c r="AE428" s="1">
        <v>32865</v>
      </c>
      <c r="AF428">
        <v>1</v>
      </c>
      <c r="AG428" t="s">
        <v>1199</v>
      </c>
      <c r="AH428" s="36">
        <f t="shared" si="6"/>
        <v>29.422222222222221</v>
      </c>
      <c r="AI428" s="40" t="s">
        <v>1777</v>
      </c>
    </row>
    <row r="429" spans="1:35" x14ac:dyDescent="0.25">
      <c r="A429" s="36">
        <v>99910427</v>
      </c>
      <c r="B429" s="17" t="s">
        <v>32</v>
      </c>
      <c r="C429" t="s">
        <v>111</v>
      </c>
      <c r="D429" t="s">
        <v>112</v>
      </c>
      <c r="G429" s="17" t="s">
        <v>88</v>
      </c>
      <c r="H429" s="17">
        <v>2</v>
      </c>
      <c r="I429" t="s">
        <v>826</v>
      </c>
      <c r="J429" s="1">
        <v>42829</v>
      </c>
      <c r="K429" t="s">
        <v>354</v>
      </c>
      <c r="L429" t="s">
        <v>355</v>
      </c>
      <c r="M429" t="s">
        <v>131</v>
      </c>
      <c r="N429">
        <v>24</v>
      </c>
      <c r="O429" t="s">
        <v>40</v>
      </c>
      <c r="P429" t="s">
        <v>40</v>
      </c>
      <c r="Q429" t="s">
        <v>40</v>
      </c>
      <c r="R429" t="s">
        <v>40</v>
      </c>
      <c r="S429" t="s">
        <v>40</v>
      </c>
      <c r="U429" s="1">
        <v>42829</v>
      </c>
      <c r="V429" t="s">
        <v>41</v>
      </c>
      <c r="W429" t="s">
        <v>75</v>
      </c>
      <c r="X429" t="str">
        <f>"7054000"</f>
        <v>7054000</v>
      </c>
      <c r="Y429" t="s">
        <v>786</v>
      </c>
      <c r="Z429" t="s">
        <v>354</v>
      </c>
      <c r="AA429" t="s">
        <v>355</v>
      </c>
      <c r="AB429" t="s">
        <v>131</v>
      </c>
      <c r="AC429" t="s">
        <v>51</v>
      </c>
      <c r="AD429" t="s">
        <v>45</v>
      </c>
      <c r="AE429" s="1">
        <v>32864</v>
      </c>
      <c r="AF429">
        <v>1</v>
      </c>
      <c r="AG429" t="s">
        <v>355</v>
      </c>
      <c r="AH429" s="36">
        <f t="shared" si="6"/>
        <v>29.425000000000001</v>
      </c>
      <c r="AI429" s="40" t="s">
        <v>1777</v>
      </c>
    </row>
    <row r="430" spans="1:35" x14ac:dyDescent="0.25">
      <c r="A430" s="36">
        <v>99910428</v>
      </c>
      <c r="B430" s="17" t="s">
        <v>56</v>
      </c>
      <c r="C430" t="s">
        <v>111</v>
      </c>
      <c r="D430" t="s">
        <v>112</v>
      </c>
      <c r="G430" s="17" t="s">
        <v>35</v>
      </c>
      <c r="H430" s="17">
        <v>1</v>
      </c>
      <c r="K430" t="s">
        <v>877</v>
      </c>
      <c r="L430" t="s">
        <v>878</v>
      </c>
      <c r="M430" t="s">
        <v>131</v>
      </c>
      <c r="N430">
        <v>24</v>
      </c>
      <c r="O430" t="s">
        <v>40</v>
      </c>
      <c r="P430" t="s">
        <v>40</v>
      </c>
      <c r="Q430" t="s">
        <v>40</v>
      </c>
      <c r="S430" t="s">
        <v>40</v>
      </c>
      <c r="V430" t="s">
        <v>41</v>
      </c>
      <c r="W430" t="s">
        <v>75</v>
      </c>
      <c r="X430" t="str">
        <f>"7700025"</f>
        <v>7700025</v>
      </c>
      <c r="Y430" t="s">
        <v>880</v>
      </c>
      <c r="Z430" t="s">
        <v>877</v>
      </c>
      <c r="AA430" t="s">
        <v>878</v>
      </c>
      <c r="AB430" t="s">
        <v>131</v>
      </c>
      <c r="AC430" t="s">
        <v>51</v>
      </c>
      <c r="AD430" t="s">
        <v>45</v>
      </c>
      <c r="AE430" s="1">
        <v>32861</v>
      </c>
      <c r="AF430">
        <v>1</v>
      </c>
      <c r="AG430" t="s">
        <v>878</v>
      </c>
      <c r="AH430" s="36">
        <f t="shared" si="6"/>
        <v>29.433333333333334</v>
      </c>
      <c r="AI430" s="40" t="s">
        <v>1777</v>
      </c>
    </row>
    <row r="431" spans="1:35" x14ac:dyDescent="0.25">
      <c r="A431" s="36">
        <v>99910429</v>
      </c>
      <c r="B431" s="17" t="s">
        <v>56</v>
      </c>
      <c r="C431" t="s">
        <v>79</v>
      </c>
      <c r="D431" t="s">
        <v>80</v>
      </c>
      <c r="G431" s="17" t="s">
        <v>35</v>
      </c>
      <c r="H431" s="17">
        <v>1</v>
      </c>
      <c r="I431" t="s">
        <v>81</v>
      </c>
      <c r="J431" s="1">
        <v>43354</v>
      </c>
      <c r="K431" t="s">
        <v>37</v>
      </c>
      <c r="L431" t="s">
        <v>38</v>
      </c>
      <c r="M431" t="s">
        <v>39</v>
      </c>
      <c r="N431">
        <v>16</v>
      </c>
      <c r="O431" t="s">
        <v>40</v>
      </c>
      <c r="P431" t="s">
        <v>40</v>
      </c>
      <c r="Q431" t="s">
        <v>40</v>
      </c>
      <c r="R431" t="s">
        <v>40</v>
      </c>
      <c r="S431" t="s">
        <v>40</v>
      </c>
      <c r="U431" s="1">
        <v>43354</v>
      </c>
      <c r="V431" t="s">
        <v>41</v>
      </c>
      <c r="W431" t="s">
        <v>49</v>
      </c>
      <c r="X431" t="str">
        <f>"3781010"</f>
        <v>3781010</v>
      </c>
      <c r="Y431" t="s">
        <v>50</v>
      </c>
      <c r="Z431" t="s">
        <v>37</v>
      </c>
      <c r="AA431" t="s">
        <v>38</v>
      </c>
      <c r="AB431" t="s">
        <v>39</v>
      </c>
      <c r="AC431" t="s">
        <v>44</v>
      </c>
      <c r="AD431" t="s">
        <v>45</v>
      </c>
      <c r="AE431" s="1">
        <v>32856</v>
      </c>
      <c r="AF431">
        <v>2</v>
      </c>
      <c r="AG431" t="s">
        <v>38</v>
      </c>
      <c r="AH431" s="36">
        <f t="shared" si="6"/>
        <v>29.447222222222223</v>
      </c>
      <c r="AI431" s="40" t="s">
        <v>1777</v>
      </c>
    </row>
    <row r="432" spans="1:35" x14ac:dyDescent="0.25">
      <c r="A432" s="36">
        <v>99910430</v>
      </c>
      <c r="B432" s="17" t="s">
        <v>32</v>
      </c>
      <c r="C432" t="s">
        <v>111</v>
      </c>
      <c r="D432" t="s">
        <v>112</v>
      </c>
      <c r="G432" s="17" t="s">
        <v>35</v>
      </c>
      <c r="H432" s="17">
        <v>1</v>
      </c>
      <c r="I432">
        <v>14594</v>
      </c>
      <c r="J432" s="1">
        <v>43344</v>
      </c>
      <c r="K432" t="s">
        <v>354</v>
      </c>
      <c r="L432" t="s">
        <v>355</v>
      </c>
      <c r="M432" t="s">
        <v>131</v>
      </c>
      <c r="N432">
        <v>24</v>
      </c>
      <c r="O432" t="s">
        <v>40</v>
      </c>
      <c r="P432" t="s">
        <v>40</v>
      </c>
      <c r="Q432" t="s">
        <v>40</v>
      </c>
      <c r="S432" t="s">
        <v>40</v>
      </c>
      <c r="U432" s="1">
        <v>43344</v>
      </c>
      <c r="V432" t="s">
        <v>41</v>
      </c>
      <c r="W432" t="s">
        <v>75</v>
      </c>
      <c r="X432" t="str">
        <f>"7054006"</f>
        <v>7054006</v>
      </c>
      <c r="Y432" t="s">
        <v>774</v>
      </c>
      <c r="Z432" t="s">
        <v>354</v>
      </c>
      <c r="AA432" t="s">
        <v>355</v>
      </c>
      <c r="AB432" t="s">
        <v>131</v>
      </c>
      <c r="AC432" t="s">
        <v>51</v>
      </c>
      <c r="AD432" t="s">
        <v>45</v>
      </c>
      <c r="AE432" s="1">
        <v>32854</v>
      </c>
      <c r="AF432">
        <v>1</v>
      </c>
      <c r="AG432" t="s">
        <v>355</v>
      </c>
      <c r="AH432" s="36">
        <f t="shared" si="6"/>
        <v>29.452777777777779</v>
      </c>
      <c r="AI432" s="40" t="s">
        <v>1777</v>
      </c>
    </row>
    <row r="433" spans="1:35" x14ac:dyDescent="0.25">
      <c r="A433" s="36">
        <v>99910431</v>
      </c>
      <c r="B433" s="17" t="s">
        <v>32</v>
      </c>
      <c r="C433" t="s">
        <v>90</v>
      </c>
      <c r="D433" t="s">
        <v>91</v>
      </c>
      <c r="G433" s="17" t="s">
        <v>35</v>
      </c>
      <c r="H433" s="17">
        <v>1</v>
      </c>
      <c r="I433" t="s">
        <v>286</v>
      </c>
      <c r="J433" s="1">
        <v>43344</v>
      </c>
      <c r="K433" t="s">
        <v>268</v>
      </c>
      <c r="L433" t="s">
        <v>269</v>
      </c>
      <c r="M433" t="s">
        <v>131</v>
      </c>
      <c r="N433">
        <v>30</v>
      </c>
      <c r="O433" t="s">
        <v>40</v>
      </c>
      <c r="S433" t="s">
        <v>40</v>
      </c>
      <c r="U433" s="1">
        <v>43344</v>
      </c>
      <c r="V433" t="s">
        <v>41</v>
      </c>
      <c r="W433" t="s">
        <v>95</v>
      </c>
      <c r="X433" t="str">
        <f>"7052245"</f>
        <v>7052245</v>
      </c>
      <c r="Y433" t="s">
        <v>714</v>
      </c>
      <c r="Z433" t="s">
        <v>268</v>
      </c>
      <c r="AA433" t="s">
        <v>269</v>
      </c>
      <c r="AB433" t="s">
        <v>131</v>
      </c>
      <c r="AC433" t="s">
        <v>51</v>
      </c>
      <c r="AD433" t="s">
        <v>45</v>
      </c>
      <c r="AE433" s="1">
        <v>32853</v>
      </c>
      <c r="AF433">
        <v>1</v>
      </c>
      <c r="AG433" t="s">
        <v>269</v>
      </c>
      <c r="AH433" s="36">
        <f t="shared" si="6"/>
        <v>29.455555555555556</v>
      </c>
      <c r="AI433" s="40" t="s">
        <v>1777</v>
      </c>
    </row>
    <row r="434" spans="1:35" x14ac:dyDescent="0.25">
      <c r="A434" s="36">
        <v>99910432</v>
      </c>
      <c r="B434" s="17" t="s">
        <v>32</v>
      </c>
      <c r="C434" t="s">
        <v>90</v>
      </c>
      <c r="D434" t="s">
        <v>91</v>
      </c>
      <c r="G434" s="17" t="s">
        <v>35</v>
      </c>
      <c r="H434" s="17">
        <v>2</v>
      </c>
      <c r="J434" s="1">
        <v>43344</v>
      </c>
      <c r="K434" t="s">
        <v>354</v>
      </c>
      <c r="L434" t="s">
        <v>355</v>
      </c>
      <c r="M434" t="s">
        <v>131</v>
      </c>
      <c r="N434">
        <v>25</v>
      </c>
      <c r="O434" t="s">
        <v>40</v>
      </c>
      <c r="P434" t="s">
        <v>40</v>
      </c>
      <c r="Q434" t="s">
        <v>40</v>
      </c>
      <c r="R434" t="s">
        <v>40</v>
      </c>
      <c r="S434" t="s">
        <v>40</v>
      </c>
      <c r="U434" s="1">
        <v>43344</v>
      </c>
      <c r="V434" t="s">
        <v>41</v>
      </c>
      <c r="W434" t="s">
        <v>95</v>
      </c>
      <c r="X434" t="str">
        <f>"7054017"</f>
        <v>7054017</v>
      </c>
      <c r="Y434" t="s">
        <v>781</v>
      </c>
      <c r="Z434" t="s">
        <v>354</v>
      </c>
      <c r="AA434" t="s">
        <v>355</v>
      </c>
      <c r="AB434" t="s">
        <v>131</v>
      </c>
      <c r="AC434" t="s">
        <v>51</v>
      </c>
      <c r="AD434" t="s">
        <v>45</v>
      </c>
      <c r="AE434" s="1">
        <v>32851</v>
      </c>
      <c r="AF434">
        <v>1</v>
      </c>
      <c r="AG434" t="s">
        <v>355</v>
      </c>
      <c r="AH434" s="36">
        <f t="shared" si="6"/>
        <v>29.461111111111112</v>
      </c>
      <c r="AI434" s="40" t="s">
        <v>1777</v>
      </c>
    </row>
    <row r="435" spans="1:35" x14ac:dyDescent="0.25">
      <c r="A435" s="36">
        <v>99910433</v>
      </c>
      <c r="B435" s="17" t="s">
        <v>32</v>
      </c>
      <c r="C435" t="s">
        <v>111</v>
      </c>
      <c r="D435" t="s">
        <v>112</v>
      </c>
      <c r="G435" s="17" t="s">
        <v>35</v>
      </c>
      <c r="H435" s="17">
        <v>3</v>
      </c>
      <c r="I435" t="s">
        <v>655</v>
      </c>
      <c r="J435" s="1">
        <v>43388</v>
      </c>
      <c r="K435" t="s">
        <v>268</v>
      </c>
      <c r="L435" t="s">
        <v>269</v>
      </c>
      <c r="M435" t="s">
        <v>131</v>
      </c>
      <c r="N435">
        <v>24</v>
      </c>
      <c r="O435" t="s">
        <v>40</v>
      </c>
      <c r="P435" t="s">
        <v>40</v>
      </c>
      <c r="Q435" t="s">
        <v>40</v>
      </c>
      <c r="R435" t="s">
        <v>40</v>
      </c>
      <c r="S435" t="s">
        <v>40</v>
      </c>
      <c r="U435" s="1">
        <v>43388</v>
      </c>
      <c r="V435" t="s">
        <v>41</v>
      </c>
      <c r="W435" t="s">
        <v>75</v>
      </c>
      <c r="X435" t="str">
        <f>"7052006"</f>
        <v>7052006</v>
      </c>
      <c r="Y435" t="s">
        <v>575</v>
      </c>
      <c r="Z435" t="s">
        <v>268</v>
      </c>
      <c r="AA435" t="s">
        <v>269</v>
      </c>
      <c r="AB435" t="s">
        <v>131</v>
      </c>
      <c r="AC435" t="s">
        <v>44</v>
      </c>
      <c r="AD435" t="s">
        <v>45</v>
      </c>
      <c r="AE435" s="1">
        <v>32848</v>
      </c>
      <c r="AF435">
        <v>1</v>
      </c>
      <c r="AG435" t="s">
        <v>269</v>
      </c>
      <c r="AH435" s="36">
        <f t="shared" si="6"/>
        <v>29.469444444444445</v>
      </c>
      <c r="AI435" s="40" t="s">
        <v>1777</v>
      </c>
    </row>
    <row r="436" spans="1:35" x14ac:dyDescent="0.25">
      <c r="A436" s="36">
        <v>99910434</v>
      </c>
      <c r="B436" s="17" t="s">
        <v>32</v>
      </c>
      <c r="C436" t="s">
        <v>90</v>
      </c>
      <c r="D436" t="s">
        <v>91</v>
      </c>
      <c r="G436" s="17" t="s">
        <v>35</v>
      </c>
      <c r="H436" s="17">
        <v>1</v>
      </c>
      <c r="I436" t="s">
        <v>1037</v>
      </c>
      <c r="J436" s="1">
        <v>43354</v>
      </c>
      <c r="K436" t="s">
        <v>1029</v>
      </c>
      <c r="L436" t="s">
        <v>1030</v>
      </c>
      <c r="M436" t="s">
        <v>938</v>
      </c>
      <c r="N436">
        <v>25</v>
      </c>
      <c r="O436" t="s">
        <v>40</v>
      </c>
      <c r="S436" t="s">
        <v>40</v>
      </c>
      <c r="U436" s="1">
        <v>43354</v>
      </c>
      <c r="V436" t="s">
        <v>41</v>
      </c>
      <c r="W436" t="s">
        <v>95</v>
      </c>
      <c r="X436" t="str">
        <f>"7151003"</f>
        <v>7151003</v>
      </c>
      <c r="Y436" t="s">
        <v>1034</v>
      </c>
      <c r="Z436" t="s">
        <v>1029</v>
      </c>
      <c r="AA436" t="s">
        <v>1030</v>
      </c>
      <c r="AB436" t="s">
        <v>938</v>
      </c>
      <c r="AC436" t="s">
        <v>44</v>
      </c>
      <c r="AD436" t="s">
        <v>45</v>
      </c>
      <c r="AE436" s="1">
        <v>32847</v>
      </c>
      <c r="AF436">
        <v>1</v>
      </c>
      <c r="AG436" t="s">
        <v>1030</v>
      </c>
      <c r="AH436" s="36">
        <f t="shared" si="6"/>
        <v>29.472222222222221</v>
      </c>
      <c r="AI436" s="40" t="s">
        <v>1777</v>
      </c>
    </row>
    <row r="437" spans="1:35" x14ac:dyDescent="0.25">
      <c r="A437" s="36">
        <v>99910435</v>
      </c>
      <c r="B437" s="17" t="s">
        <v>32</v>
      </c>
      <c r="C437" t="s">
        <v>111</v>
      </c>
      <c r="D437" t="s">
        <v>112</v>
      </c>
      <c r="G437" s="17" t="s">
        <v>48</v>
      </c>
      <c r="H437" s="17">
        <v>1</v>
      </c>
      <c r="K437" t="s">
        <v>1695</v>
      </c>
      <c r="L437" t="s">
        <v>1696</v>
      </c>
      <c r="M437" t="s">
        <v>1592</v>
      </c>
      <c r="N437">
        <v>24</v>
      </c>
      <c r="O437" t="s">
        <v>40</v>
      </c>
      <c r="P437" t="s">
        <v>40</v>
      </c>
      <c r="Q437" t="s">
        <v>40</v>
      </c>
      <c r="S437" t="s">
        <v>40</v>
      </c>
      <c r="V437" t="s">
        <v>41</v>
      </c>
      <c r="W437" t="s">
        <v>75</v>
      </c>
      <c r="X437" t="str">
        <f>"7361000"</f>
        <v>7361000</v>
      </c>
      <c r="Y437" t="s">
        <v>1698</v>
      </c>
      <c r="Z437" t="s">
        <v>1695</v>
      </c>
      <c r="AA437" t="s">
        <v>1696</v>
      </c>
      <c r="AB437" t="s">
        <v>1592</v>
      </c>
      <c r="AC437" t="s">
        <v>51</v>
      </c>
      <c r="AD437" t="s">
        <v>45</v>
      </c>
      <c r="AE437" s="1">
        <v>32847</v>
      </c>
      <c r="AF437">
        <v>1</v>
      </c>
      <c r="AG437" t="s">
        <v>1696</v>
      </c>
      <c r="AH437" s="36">
        <f t="shared" si="6"/>
        <v>29.472222222222221</v>
      </c>
      <c r="AI437" s="40" t="s">
        <v>1777</v>
      </c>
    </row>
    <row r="438" spans="1:35" x14ac:dyDescent="0.25">
      <c r="A438" s="36">
        <v>99910436</v>
      </c>
      <c r="B438" s="17" t="s">
        <v>56</v>
      </c>
      <c r="C438" t="s">
        <v>1364</v>
      </c>
      <c r="D438" t="s">
        <v>598</v>
      </c>
      <c r="G438" s="17" t="s">
        <v>35</v>
      </c>
      <c r="H438" s="17">
        <v>1</v>
      </c>
      <c r="I438" s="1">
        <v>42614</v>
      </c>
      <c r="J438" s="1">
        <v>43344</v>
      </c>
      <c r="K438" t="s">
        <v>1341</v>
      </c>
      <c r="L438" t="s">
        <v>1342</v>
      </c>
      <c r="M438" t="s">
        <v>1270</v>
      </c>
      <c r="N438">
        <v>24</v>
      </c>
      <c r="O438" t="s">
        <v>40</v>
      </c>
      <c r="S438" t="s">
        <v>40</v>
      </c>
      <c r="U438" s="1">
        <v>43344</v>
      </c>
      <c r="V438" t="s">
        <v>41</v>
      </c>
      <c r="W438" t="s">
        <v>75</v>
      </c>
      <c r="X438" t="str">
        <f>"7191000"</f>
        <v>7191000</v>
      </c>
      <c r="Y438" t="s">
        <v>1347</v>
      </c>
      <c r="Z438" t="s">
        <v>1341</v>
      </c>
      <c r="AA438" t="s">
        <v>1342</v>
      </c>
      <c r="AB438" t="s">
        <v>1270</v>
      </c>
      <c r="AC438" t="s">
        <v>51</v>
      </c>
      <c r="AD438" t="s">
        <v>45</v>
      </c>
      <c r="AE438" s="1">
        <v>32845</v>
      </c>
      <c r="AF438">
        <v>1</v>
      </c>
      <c r="AG438" t="s">
        <v>1342</v>
      </c>
      <c r="AH438" s="36">
        <f t="shared" si="6"/>
        <v>29.477777777777778</v>
      </c>
      <c r="AI438" s="40" t="s">
        <v>1777</v>
      </c>
    </row>
    <row r="439" spans="1:35" x14ac:dyDescent="0.25">
      <c r="A439" s="36">
        <v>99910437</v>
      </c>
      <c r="B439" s="17" t="s">
        <v>32</v>
      </c>
      <c r="C439" t="s">
        <v>82</v>
      </c>
      <c r="D439" t="s">
        <v>83</v>
      </c>
      <c r="G439" s="17" t="s">
        <v>35</v>
      </c>
      <c r="H439" s="17">
        <v>1</v>
      </c>
      <c r="I439">
        <v>0</v>
      </c>
      <c r="J439" s="1">
        <v>43344</v>
      </c>
      <c r="K439" t="s">
        <v>1546</v>
      </c>
      <c r="L439" t="s">
        <v>1547</v>
      </c>
      <c r="M439" t="s">
        <v>1548</v>
      </c>
      <c r="N439">
        <v>13</v>
      </c>
      <c r="O439" t="s">
        <v>40</v>
      </c>
      <c r="S439" t="s">
        <v>40</v>
      </c>
      <c r="U439" s="1">
        <v>43344</v>
      </c>
      <c r="V439" t="s">
        <v>41</v>
      </c>
      <c r="W439" t="s">
        <v>49</v>
      </c>
      <c r="X439" t="str">
        <f>"1081010"</f>
        <v>1081010</v>
      </c>
      <c r="Y439" t="s">
        <v>1552</v>
      </c>
      <c r="Z439" t="s">
        <v>1546</v>
      </c>
      <c r="AA439" t="s">
        <v>1547</v>
      </c>
      <c r="AB439" t="s">
        <v>1548</v>
      </c>
      <c r="AC439" t="s">
        <v>51</v>
      </c>
      <c r="AD439" t="s">
        <v>45</v>
      </c>
      <c r="AE439" s="1">
        <v>32842</v>
      </c>
      <c r="AF439">
        <v>2</v>
      </c>
      <c r="AG439" t="s">
        <v>1547</v>
      </c>
      <c r="AH439" s="36">
        <f t="shared" si="6"/>
        <v>29.486111111111111</v>
      </c>
      <c r="AI439" s="40" t="s">
        <v>1777</v>
      </c>
    </row>
    <row r="440" spans="1:35" x14ac:dyDescent="0.25">
      <c r="A440" s="36">
        <v>99910438</v>
      </c>
      <c r="B440" s="17" t="s">
        <v>32</v>
      </c>
      <c r="C440" t="s">
        <v>111</v>
      </c>
      <c r="D440" t="s">
        <v>112</v>
      </c>
      <c r="G440" s="17" t="s">
        <v>35</v>
      </c>
      <c r="H440" s="17">
        <v>1</v>
      </c>
      <c r="I440">
        <v>10610</v>
      </c>
      <c r="J440" s="1">
        <v>43344</v>
      </c>
      <c r="K440" t="s">
        <v>354</v>
      </c>
      <c r="L440" t="s">
        <v>355</v>
      </c>
      <c r="M440" t="s">
        <v>131</v>
      </c>
      <c r="N440">
        <v>24</v>
      </c>
      <c r="O440" t="s">
        <v>40</v>
      </c>
      <c r="S440" t="s">
        <v>40</v>
      </c>
      <c r="U440" s="1">
        <v>43344</v>
      </c>
      <c r="V440" t="s">
        <v>41</v>
      </c>
      <c r="W440" t="s">
        <v>75</v>
      </c>
      <c r="X440" t="str">
        <f>"7054042"</f>
        <v>7054042</v>
      </c>
      <c r="Y440" t="s">
        <v>776</v>
      </c>
      <c r="Z440" t="s">
        <v>354</v>
      </c>
      <c r="AA440" t="s">
        <v>355</v>
      </c>
      <c r="AB440" t="s">
        <v>131</v>
      </c>
      <c r="AC440" t="s">
        <v>51</v>
      </c>
      <c r="AD440" t="s">
        <v>45</v>
      </c>
      <c r="AE440" s="1">
        <v>32840</v>
      </c>
      <c r="AF440">
        <v>1</v>
      </c>
      <c r="AG440" t="s">
        <v>355</v>
      </c>
      <c r="AH440" s="36">
        <f t="shared" si="6"/>
        <v>29.491666666666667</v>
      </c>
      <c r="AI440" s="40" t="s">
        <v>1777</v>
      </c>
    </row>
    <row r="441" spans="1:35" x14ac:dyDescent="0.25">
      <c r="A441" s="36">
        <v>99910439</v>
      </c>
      <c r="B441" s="17" t="s">
        <v>32</v>
      </c>
      <c r="C441" t="s">
        <v>90</v>
      </c>
      <c r="D441" t="s">
        <v>91</v>
      </c>
      <c r="G441" s="17" t="s">
        <v>35</v>
      </c>
      <c r="H441" s="17">
        <v>1</v>
      </c>
      <c r="I441" s="1">
        <v>43346</v>
      </c>
      <c r="J441" s="1">
        <v>43344</v>
      </c>
      <c r="K441" t="s">
        <v>1341</v>
      </c>
      <c r="L441" t="s">
        <v>1342</v>
      </c>
      <c r="M441" t="s">
        <v>1270</v>
      </c>
      <c r="N441">
        <v>24</v>
      </c>
      <c r="O441" t="s">
        <v>40</v>
      </c>
      <c r="S441" t="s">
        <v>40</v>
      </c>
      <c r="U441" s="1">
        <v>43344</v>
      </c>
      <c r="V441" t="s">
        <v>41</v>
      </c>
      <c r="W441" t="s">
        <v>75</v>
      </c>
      <c r="X441" t="str">
        <f>"7191034"</f>
        <v>7191034</v>
      </c>
      <c r="Y441" t="s">
        <v>1343</v>
      </c>
      <c r="Z441" t="s">
        <v>1341</v>
      </c>
      <c r="AA441" t="s">
        <v>1342</v>
      </c>
      <c r="AB441" t="s">
        <v>1270</v>
      </c>
      <c r="AC441" t="s">
        <v>44</v>
      </c>
      <c r="AD441" t="s">
        <v>45</v>
      </c>
      <c r="AE441" s="1">
        <v>32837</v>
      </c>
      <c r="AF441">
        <v>1</v>
      </c>
      <c r="AG441" t="s">
        <v>1342</v>
      </c>
      <c r="AH441" s="36">
        <f t="shared" si="6"/>
        <v>29.5</v>
      </c>
      <c r="AI441" s="40" t="s">
        <v>1777</v>
      </c>
    </row>
    <row r="442" spans="1:35" x14ac:dyDescent="0.25">
      <c r="A442" s="36">
        <v>99910440</v>
      </c>
      <c r="B442" s="17" t="s">
        <v>32</v>
      </c>
      <c r="C442" t="s">
        <v>111</v>
      </c>
      <c r="D442" t="s">
        <v>112</v>
      </c>
      <c r="G442" s="17" t="s">
        <v>35</v>
      </c>
      <c r="H442" s="17">
        <v>1</v>
      </c>
      <c r="I442" s="1">
        <v>42614</v>
      </c>
      <c r="J442" s="1">
        <v>43344</v>
      </c>
      <c r="K442" t="s">
        <v>1341</v>
      </c>
      <c r="L442" t="s">
        <v>1342</v>
      </c>
      <c r="M442" t="s">
        <v>1270</v>
      </c>
      <c r="N442">
        <v>24</v>
      </c>
      <c r="O442" t="s">
        <v>40</v>
      </c>
      <c r="S442" t="s">
        <v>40</v>
      </c>
      <c r="U442" s="1">
        <v>43344</v>
      </c>
      <c r="V442" t="s">
        <v>41</v>
      </c>
      <c r="W442" t="s">
        <v>75</v>
      </c>
      <c r="X442" t="str">
        <f>"7191034"</f>
        <v>7191034</v>
      </c>
      <c r="Y442" t="s">
        <v>1343</v>
      </c>
      <c r="Z442" t="s">
        <v>1341</v>
      </c>
      <c r="AA442" t="s">
        <v>1342</v>
      </c>
      <c r="AB442" t="s">
        <v>1270</v>
      </c>
      <c r="AC442" t="s">
        <v>51</v>
      </c>
      <c r="AD442" t="s">
        <v>45</v>
      </c>
      <c r="AE442" s="1">
        <v>32836</v>
      </c>
      <c r="AF442">
        <v>1</v>
      </c>
      <c r="AG442" t="s">
        <v>1342</v>
      </c>
      <c r="AH442" s="36">
        <f t="shared" si="6"/>
        <v>29.502777777777776</v>
      </c>
      <c r="AI442" s="40" t="s">
        <v>1777</v>
      </c>
    </row>
    <row r="443" spans="1:35" x14ac:dyDescent="0.25">
      <c r="A443" s="36">
        <v>99910441</v>
      </c>
      <c r="B443" s="17" t="s">
        <v>32</v>
      </c>
      <c r="C443" t="s">
        <v>90</v>
      </c>
      <c r="D443" t="s">
        <v>91</v>
      </c>
      <c r="G443" s="17" t="s">
        <v>35</v>
      </c>
      <c r="H443" s="17">
        <v>1</v>
      </c>
      <c r="I443">
        <v>11606</v>
      </c>
      <c r="J443" s="1">
        <v>43344</v>
      </c>
      <c r="K443" t="s">
        <v>354</v>
      </c>
      <c r="L443" t="s">
        <v>355</v>
      </c>
      <c r="M443" t="s">
        <v>131</v>
      </c>
      <c r="N443">
        <v>25</v>
      </c>
      <c r="O443" t="s">
        <v>40</v>
      </c>
      <c r="S443" t="s">
        <v>40</v>
      </c>
      <c r="U443" s="1">
        <v>43344</v>
      </c>
      <c r="V443" t="s">
        <v>41</v>
      </c>
      <c r="W443" t="s">
        <v>95</v>
      </c>
      <c r="X443" t="str">
        <f>"7054117"</f>
        <v>7054117</v>
      </c>
      <c r="Y443" t="s">
        <v>792</v>
      </c>
      <c r="Z443" t="s">
        <v>354</v>
      </c>
      <c r="AA443" t="s">
        <v>355</v>
      </c>
      <c r="AB443" t="s">
        <v>131</v>
      </c>
      <c r="AC443" t="s">
        <v>44</v>
      </c>
      <c r="AD443" t="s">
        <v>45</v>
      </c>
      <c r="AE443" s="1">
        <v>32835</v>
      </c>
      <c r="AF443">
        <v>1</v>
      </c>
      <c r="AG443" t="s">
        <v>355</v>
      </c>
      <c r="AH443" s="36">
        <f t="shared" si="6"/>
        <v>29.505555555555556</v>
      </c>
      <c r="AI443" s="40" t="s">
        <v>1777</v>
      </c>
    </row>
    <row r="444" spans="1:35" x14ac:dyDescent="0.25">
      <c r="A444" s="36">
        <v>99910442</v>
      </c>
      <c r="B444" s="17" t="s">
        <v>32</v>
      </c>
      <c r="C444" t="s">
        <v>111</v>
      </c>
      <c r="D444" t="s">
        <v>112</v>
      </c>
      <c r="G444" s="17" t="s">
        <v>35</v>
      </c>
      <c r="H444" s="17">
        <v>1</v>
      </c>
      <c r="I444" t="s">
        <v>1440</v>
      </c>
      <c r="J444" s="1">
        <v>43346</v>
      </c>
      <c r="K444" t="s">
        <v>1426</v>
      </c>
      <c r="L444" t="s">
        <v>1427</v>
      </c>
      <c r="M444" t="s">
        <v>1270</v>
      </c>
      <c r="N444">
        <v>24</v>
      </c>
      <c r="O444" t="s">
        <v>40</v>
      </c>
      <c r="P444" t="s">
        <v>40</v>
      </c>
      <c r="Q444" t="s">
        <v>40</v>
      </c>
      <c r="S444" t="s">
        <v>40</v>
      </c>
      <c r="U444" s="1">
        <v>43346</v>
      </c>
      <c r="V444" t="s">
        <v>41</v>
      </c>
      <c r="W444" t="s">
        <v>75</v>
      </c>
      <c r="X444" t="str">
        <f>"7192004"</f>
        <v>7192004</v>
      </c>
      <c r="Y444" t="s">
        <v>1428</v>
      </c>
      <c r="Z444" t="s">
        <v>1426</v>
      </c>
      <c r="AA444" t="s">
        <v>1427</v>
      </c>
      <c r="AB444" t="s">
        <v>1270</v>
      </c>
      <c r="AC444" t="s">
        <v>44</v>
      </c>
      <c r="AD444" t="s">
        <v>45</v>
      </c>
      <c r="AE444" s="1">
        <v>32825</v>
      </c>
      <c r="AF444">
        <v>1</v>
      </c>
      <c r="AG444" t="s">
        <v>1427</v>
      </c>
      <c r="AH444" s="36">
        <f t="shared" si="6"/>
        <v>29.533333333333335</v>
      </c>
      <c r="AI444" s="40" t="s">
        <v>1777</v>
      </c>
    </row>
    <row r="445" spans="1:35" x14ac:dyDescent="0.25">
      <c r="A445" s="36">
        <v>99910443</v>
      </c>
      <c r="B445" s="17" t="s">
        <v>32</v>
      </c>
      <c r="C445" t="s">
        <v>111</v>
      </c>
      <c r="D445" t="s">
        <v>112</v>
      </c>
      <c r="G445" s="17" t="s">
        <v>48</v>
      </c>
      <c r="H445" s="17">
        <v>1</v>
      </c>
      <c r="K445" t="s">
        <v>154</v>
      </c>
      <c r="L445" t="s">
        <v>155</v>
      </c>
      <c r="M445" t="s">
        <v>131</v>
      </c>
      <c r="N445">
        <v>24</v>
      </c>
      <c r="O445" t="s">
        <v>40</v>
      </c>
      <c r="P445" t="s">
        <v>40</v>
      </c>
      <c r="Q445" t="s">
        <v>40</v>
      </c>
      <c r="S445" t="s">
        <v>40</v>
      </c>
      <c r="V445" t="s">
        <v>41</v>
      </c>
      <c r="W445" t="s">
        <v>75</v>
      </c>
      <c r="X445" t="str">
        <f>"7051018"</f>
        <v>7051018</v>
      </c>
      <c r="Y445" t="s">
        <v>401</v>
      </c>
      <c r="Z445" t="s">
        <v>154</v>
      </c>
      <c r="AA445" t="s">
        <v>155</v>
      </c>
      <c r="AB445" t="s">
        <v>131</v>
      </c>
      <c r="AC445" t="s">
        <v>51</v>
      </c>
      <c r="AD445" t="s">
        <v>45</v>
      </c>
      <c r="AE445" s="1">
        <v>32822</v>
      </c>
      <c r="AF445">
        <v>1</v>
      </c>
      <c r="AG445" t="s">
        <v>155</v>
      </c>
      <c r="AH445" s="36">
        <f t="shared" si="6"/>
        <v>29.541666666666668</v>
      </c>
      <c r="AI445" s="40" t="s">
        <v>1777</v>
      </c>
    </row>
    <row r="446" spans="1:35" x14ac:dyDescent="0.25">
      <c r="A446" s="36">
        <v>99910444</v>
      </c>
      <c r="B446" s="17" t="s">
        <v>32</v>
      </c>
      <c r="C446" t="s">
        <v>111</v>
      </c>
      <c r="D446" t="s">
        <v>112</v>
      </c>
      <c r="G446" s="17" t="s">
        <v>35</v>
      </c>
      <c r="H446" s="17">
        <v>1</v>
      </c>
      <c r="I446" t="s">
        <v>809</v>
      </c>
      <c r="J446" s="1">
        <v>43344</v>
      </c>
      <c r="K446" t="s">
        <v>354</v>
      </c>
      <c r="L446" t="s">
        <v>355</v>
      </c>
      <c r="M446" t="s">
        <v>131</v>
      </c>
      <c r="N446">
        <v>24</v>
      </c>
      <c r="O446" t="s">
        <v>40</v>
      </c>
      <c r="S446" t="s">
        <v>40</v>
      </c>
      <c r="U446" s="1">
        <v>43344</v>
      </c>
      <c r="V446" t="s">
        <v>41</v>
      </c>
      <c r="W446" t="s">
        <v>75</v>
      </c>
      <c r="X446" t="str">
        <f>"7054010"</f>
        <v>7054010</v>
      </c>
      <c r="Y446" t="s">
        <v>810</v>
      </c>
      <c r="Z446" t="s">
        <v>354</v>
      </c>
      <c r="AA446" t="s">
        <v>355</v>
      </c>
      <c r="AB446" t="s">
        <v>131</v>
      </c>
      <c r="AC446" t="s">
        <v>51</v>
      </c>
      <c r="AD446" t="s">
        <v>45</v>
      </c>
      <c r="AE446" s="1">
        <v>32822</v>
      </c>
      <c r="AF446">
        <v>1</v>
      </c>
      <c r="AG446" t="s">
        <v>355</v>
      </c>
      <c r="AH446" s="36">
        <f t="shared" si="6"/>
        <v>29.541666666666668</v>
      </c>
      <c r="AI446" s="40" t="s">
        <v>1777</v>
      </c>
    </row>
    <row r="447" spans="1:35" x14ac:dyDescent="0.25">
      <c r="A447" s="36">
        <v>99910445</v>
      </c>
      <c r="B447" s="17" t="s">
        <v>32</v>
      </c>
      <c r="C447" t="s">
        <v>46</v>
      </c>
      <c r="D447" t="s">
        <v>47</v>
      </c>
      <c r="G447" s="17" t="s">
        <v>48</v>
      </c>
      <c r="H447" s="17">
        <v>1</v>
      </c>
      <c r="K447" t="s">
        <v>1613</v>
      </c>
      <c r="L447" t="s">
        <v>1614</v>
      </c>
      <c r="M447" t="s">
        <v>1592</v>
      </c>
      <c r="N447">
        <v>23</v>
      </c>
      <c r="O447" t="s">
        <v>40</v>
      </c>
      <c r="P447" t="s">
        <v>40</v>
      </c>
      <c r="Q447" t="s">
        <v>40</v>
      </c>
      <c r="R447" t="s">
        <v>40</v>
      </c>
      <c r="S447" t="s">
        <v>40</v>
      </c>
      <c r="V447" t="s">
        <v>41</v>
      </c>
      <c r="W447" t="s">
        <v>49</v>
      </c>
      <c r="X447" t="str">
        <f>"2860001"</f>
        <v>2860001</v>
      </c>
      <c r="Y447" t="s">
        <v>1616</v>
      </c>
      <c r="Z447" t="s">
        <v>1613</v>
      </c>
      <c r="AA447" t="s">
        <v>1614</v>
      </c>
      <c r="AB447" t="s">
        <v>1592</v>
      </c>
      <c r="AC447" t="s">
        <v>51</v>
      </c>
      <c r="AD447" t="s">
        <v>45</v>
      </c>
      <c r="AE447" s="1">
        <v>32822</v>
      </c>
      <c r="AF447">
        <v>2</v>
      </c>
      <c r="AG447" t="s">
        <v>1614</v>
      </c>
      <c r="AH447" s="36">
        <f t="shared" si="6"/>
        <v>29.541666666666668</v>
      </c>
      <c r="AI447" s="40" t="s">
        <v>1777</v>
      </c>
    </row>
    <row r="448" spans="1:35" x14ac:dyDescent="0.25">
      <c r="A448" s="36">
        <v>99910446</v>
      </c>
      <c r="B448" s="17" t="s">
        <v>56</v>
      </c>
      <c r="C448" t="s">
        <v>111</v>
      </c>
      <c r="D448" t="s">
        <v>112</v>
      </c>
      <c r="G448" s="17" t="s">
        <v>35</v>
      </c>
      <c r="H448" s="17">
        <v>1</v>
      </c>
      <c r="K448" t="s">
        <v>431</v>
      </c>
      <c r="L448" t="s">
        <v>196</v>
      </c>
      <c r="M448" t="s">
        <v>131</v>
      </c>
      <c r="N448">
        <v>24</v>
      </c>
      <c r="O448" t="s">
        <v>40</v>
      </c>
      <c r="P448" t="s">
        <v>40</v>
      </c>
      <c r="Q448" t="s">
        <v>40</v>
      </c>
      <c r="R448" t="s">
        <v>40</v>
      </c>
      <c r="S448" t="s">
        <v>40</v>
      </c>
      <c r="V448" t="s">
        <v>41</v>
      </c>
      <c r="W448" t="s">
        <v>75</v>
      </c>
      <c r="X448" t="str">
        <f>"7521032"</f>
        <v>7521032</v>
      </c>
      <c r="Y448" t="s">
        <v>462</v>
      </c>
      <c r="Z448" t="s">
        <v>431</v>
      </c>
      <c r="AA448" t="s">
        <v>196</v>
      </c>
      <c r="AB448" t="s">
        <v>131</v>
      </c>
      <c r="AC448" t="s">
        <v>51</v>
      </c>
      <c r="AD448" t="s">
        <v>45</v>
      </c>
      <c r="AE448" s="1">
        <v>32819</v>
      </c>
      <c r="AF448">
        <v>1</v>
      </c>
      <c r="AG448" t="s">
        <v>196</v>
      </c>
      <c r="AH448" s="36">
        <f t="shared" si="6"/>
        <v>29.55</v>
      </c>
      <c r="AI448" s="40" t="s">
        <v>1777</v>
      </c>
    </row>
    <row r="449" spans="1:35" x14ac:dyDescent="0.25">
      <c r="A449" s="36">
        <v>99910447</v>
      </c>
      <c r="B449" s="17" t="s">
        <v>32</v>
      </c>
      <c r="C449" t="s">
        <v>90</v>
      </c>
      <c r="D449" t="s">
        <v>91</v>
      </c>
      <c r="G449" s="17" t="s">
        <v>48</v>
      </c>
      <c r="H449" s="17">
        <v>1</v>
      </c>
      <c r="K449" t="s">
        <v>431</v>
      </c>
      <c r="L449" t="s">
        <v>196</v>
      </c>
      <c r="M449" t="s">
        <v>131</v>
      </c>
      <c r="N449">
        <v>8</v>
      </c>
      <c r="O449" t="s">
        <v>40</v>
      </c>
      <c r="P449" t="s">
        <v>40</v>
      </c>
      <c r="Q449" t="s">
        <v>40</v>
      </c>
      <c r="S449" t="s">
        <v>40</v>
      </c>
      <c r="V449" t="s">
        <v>41</v>
      </c>
      <c r="W449" t="s">
        <v>95</v>
      </c>
      <c r="X449" t="str">
        <f>"7521145"</f>
        <v>7521145</v>
      </c>
      <c r="Y449" t="s">
        <v>460</v>
      </c>
      <c r="Z449" t="s">
        <v>431</v>
      </c>
      <c r="AA449" t="s">
        <v>196</v>
      </c>
      <c r="AB449" t="s">
        <v>131</v>
      </c>
      <c r="AC449" t="s">
        <v>51</v>
      </c>
      <c r="AD449" t="s">
        <v>45</v>
      </c>
      <c r="AE449" s="1">
        <v>32816</v>
      </c>
      <c r="AF449">
        <v>1</v>
      </c>
      <c r="AG449" t="s">
        <v>196</v>
      </c>
      <c r="AH449" s="36">
        <f t="shared" si="6"/>
        <v>29.558333333333334</v>
      </c>
      <c r="AI449" s="40" t="s">
        <v>1777</v>
      </c>
    </row>
    <row r="450" spans="1:35" x14ac:dyDescent="0.25">
      <c r="A450" s="36">
        <v>99910448</v>
      </c>
      <c r="B450" s="17" t="s">
        <v>32</v>
      </c>
      <c r="C450" t="s">
        <v>58</v>
      </c>
      <c r="D450" t="s">
        <v>59</v>
      </c>
      <c r="G450" s="17" t="s">
        <v>35</v>
      </c>
      <c r="H450" s="17">
        <v>1</v>
      </c>
      <c r="K450" t="s">
        <v>380</v>
      </c>
      <c r="L450" t="s">
        <v>381</v>
      </c>
      <c r="M450" t="s">
        <v>131</v>
      </c>
      <c r="N450">
        <v>18</v>
      </c>
      <c r="O450" t="s">
        <v>40</v>
      </c>
      <c r="P450" t="s">
        <v>40</v>
      </c>
      <c r="Q450" t="s">
        <v>40</v>
      </c>
      <c r="R450" t="s">
        <v>40</v>
      </c>
      <c r="S450" t="s">
        <v>40</v>
      </c>
      <c r="V450" t="s">
        <v>41</v>
      </c>
      <c r="W450" t="s">
        <v>42</v>
      </c>
      <c r="X450" t="str">
        <f>"0561016"</f>
        <v>0561016</v>
      </c>
      <c r="Y450" t="s">
        <v>389</v>
      </c>
      <c r="Z450" t="s">
        <v>380</v>
      </c>
      <c r="AA450" t="s">
        <v>381</v>
      </c>
      <c r="AB450" t="s">
        <v>131</v>
      </c>
      <c r="AC450" t="s">
        <v>51</v>
      </c>
      <c r="AD450" t="s">
        <v>45</v>
      </c>
      <c r="AE450" s="1">
        <v>32814</v>
      </c>
      <c r="AF450">
        <v>2</v>
      </c>
      <c r="AG450" t="s">
        <v>381</v>
      </c>
      <c r="AH450" s="36">
        <f t="shared" ref="AH450:AH513" si="7">($AJ$1-AE450)/360</f>
        <v>29.56388888888889</v>
      </c>
      <c r="AI450" s="40" t="s">
        <v>1777</v>
      </c>
    </row>
    <row r="451" spans="1:35" x14ac:dyDescent="0.25">
      <c r="A451" s="36">
        <v>99910449</v>
      </c>
      <c r="B451" s="17" t="s">
        <v>32</v>
      </c>
      <c r="C451" t="s">
        <v>111</v>
      </c>
      <c r="D451" t="s">
        <v>112</v>
      </c>
      <c r="G451" s="17" t="s">
        <v>48</v>
      </c>
      <c r="H451" s="17">
        <v>1</v>
      </c>
      <c r="K451" t="s">
        <v>1198</v>
      </c>
      <c r="L451" t="s">
        <v>1199</v>
      </c>
      <c r="M451" t="s">
        <v>1130</v>
      </c>
      <c r="N451">
        <v>24</v>
      </c>
      <c r="O451" t="s">
        <v>40</v>
      </c>
      <c r="P451" t="s">
        <v>40</v>
      </c>
      <c r="Q451" t="s">
        <v>40</v>
      </c>
      <c r="S451" t="s">
        <v>40</v>
      </c>
      <c r="V451" t="s">
        <v>41</v>
      </c>
      <c r="W451" t="s">
        <v>75</v>
      </c>
      <c r="X451" t="str">
        <f>"7311006"</f>
        <v>7311006</v>
      </c>
      <c r="Y451" t="s">
        <v>1200</v>
      </c>
      <c r="Z451" t="s">
        <v>1198</v>
      </c>
      <c r="AA451" t="s">
        <v>1199</v>
      </c>
      <c r="AB451" t="s">
        <v>1130</v>
      </c>
      <c r="AC451" t="s">
        <v>51</v>
      </c>
      <c r="AD451" t="s">
        <v>45</v>
      </c>
      <c r="AE451" s="1">
        <v>32812</v>
      </c>
      <c r="AF451">
        <v>1</v>
      </c>
      <c r="AG451" t="s">
        <v>1199</v>
      </c>
      <c r="AH451" s="36">
        <f t="shared" si="7"/>
        <v>29.569444444444443</v>
      </c>
      <c r="AI451" s="40" t="s">
        <v>1777</v>
      </c>
    </row>
    <row r="452" spans="1:35" x14ac:dyDescent="0.25">
      <c r="A452" s="36">
        <v>99910450</v>
      </c>
      <c r="B452" s="17" t="s">
        <v>32</v>
      </c>
      <c r="C452" t="s">
        <v>71</v>
      </c>
      <c r="D452" t="s">
        <v>72</v>
      </c>
      <c r="G452" s="17" t="s">
        <v>35</v>
      </c>
      <c r="H452" s="17">
        <v>1</v>
      </c>
      <c r="I452" t="s">
        <v>1518</v>
      </c>
      <c r="J452" s="1">
        <v>43344</v>
      </c>
      <c r="K452" t="s">
        <v>667</v>
      </c>
      <c r="L452" t="s">
        <v>669</v>
      </c>
      <c r="M452" t="s">
        <v>670</v>
      </c>
      <c r="N452">
        <v>8</v>
      </c>
      <c r="O452" t="s">
        <v>40</v>
      </c>
      <c r="P452" t="s">
        <v>40</v>
      </c>
      <c r="Q452" t="s">
        <v>40</v>
      </c>
      <c r="R452" t="s">
        <v>40</v>
      </c>
      <c r="S452" t="s">
        <v>40</v>
      </c>
      <c r="U452" s="1">
        <v>43344</v>
      </c>
      <c r="V452" t="s">
        <v>41</v>
      </c>
      <c r="W452" t="s">
        <v>75</v>
      </c>
      <c r="X452" t="str">
        <f>"7501002"</f>
        <v>7501002</v>
      </c>
      <c r="Y452" t="s">
        <v>1519</v>
      </c>
      <c r="Z452" t="s">
        <v>667</v>
      </c>
      <c r="AA452" t="s">
        <v>669</v>
      </c>
      <c r="AB452" t="s">
        <v>670</v>
      </c>
      <c r="AC452" t="s">
        <v>51</v>
      </c>
      <c r="AD452" t="s">
        <v>45</v>
      </c>
      <c r="AE452" s="1">
        <v>32812</v>
      </c>
      <c r="AF452">
        <v>1</v>
      </c>
      <c r="AG452" t="s">
        <v>669</v>
      </c>
      <c r="AH452" s="36">
        <f t="shared" si="7"/>
        <v>29.569444444444443</v>
      </c>
      <c r="AI452" s="40" t="s">
        <v>1777</v>
      </c>
    </row>
    <row r="453" spans="1:35" x14ac:dyDescent="0.25">
      <c r="A453" s="36">
        <v>99910451</v>
      </c>
      <c r="B453" s="17" t="s">
        <v>32</v>
      </c>
      <c r="C453" t="s">
        <v>90</v>
      </c>
      <c r="D453" t="s">
        <v>91</v>
      </c>
      <c r="G453" s="17" t="s">
        <v>35</v>
      </c>
      <c r="H453" s="17">
        <v>1</v>
      </c>
      <c r="J453" s="1">
        <v>43014</v>
      </c>
      <c r="K453" t="s">
        <v>101</v>
      </c>
      <c r="L453" t="s">
        <v>102</v>
      </c>
      <c r="M453" t="s">
        <v>39</v>
      </c>
      <c r="N453">
        <v>25</v>
      </c>
      <c r="O453" t="s">
        <v>40</v>
      </c>
      <c r="P453" t="s">
        <v>40</v>
      </c>
      <c r="Q453" t="s">
        <v>40</v>
      </c>
      <c r="R453" t="s">
        <v>40</v>
      </c>
      <c r="S453" t="s">
        <v>40</v>
      </c>
      <c r="U453" s="1">
        <v>43014</v>
      </c>
      <c r="V453" t="s">
        <v>41</v>
      </c>
      <c r="W453" t="s">
        <v>95</v>
      </c>
      <c r="X453" t="str">
        <f>"7111007"</f>
        <v>7111007</v>
      </c>
      <c r="Y453" t="s">
        <v>104</v>
      </c>
      <c r="Z453" t="s">
        <v>101</v>
      </c>
      <c r="AA453" t="s">
        <v>102</v>
      </c>
      <c r="AB453" t="s">
        <v>39</v>
      </c>
      <c r="AC453" t="s">
        <v>44</v>
      </c>
      <c r="AD453" t="s">
        <v>45</v>
      </c>
      <c r="AE453" s="1">
        <v>32804</v>
      </c>
      <c r="AF453">
        <v>1</v>
      </c>
      <c r="AG453" t="s">
        <v>102</v>
      </c>
      <c r="AH453" s="36">
        <f t="shared" si="7"/>
        <v>29.591666666666665</v>
      </c>
      <c r="AI453" s="40" t="s">
        <v>1777</v>
      </c>
    </row>
    <row r="454" spans="1:35" x14ac:dyDescent="0.25">
      <c r="A454" s="36">
        <v>99910452</v>
      </c>
      <c r="B454" s="17" t="s">
        <v>32</v>
      </c>
      <c r="C454" t="s">
        <v>111</v>
      </c>
      <c r="D454" t="s">
        <v>112</v>
      </c>
      <c r="G454" s="17" t="s">
        <v>35</v>
      </c>
      <c r="H454" s="17">
        <v>1</v>
      </c>
      <c r="K454" t="s">
        <v>1198</v>
      </c>
      <c r="L454" t="s">
        <v>1199</v>
      </c>
      <c r="M454" t="s">
        <v>1130</v>
      </c>
      <c r="N454">
        <v>24</v>
      </c>
      <c r="O454" t="s">
        <v>40</v>
      </c>
      <c r="P454" t="s">
        <v>40</v>
      </c>
      <c r="Q454" t="s">
        <v>40</v>
      </c>
      <c r="S454" t="s">
        <v>40</v>
      </c>
      <c r="V454" t="s">
        <v>41</v>
      </c>
      <c r="W454" t="s">
        <v>75</v>
      </c>
      <c r="X454" t="str">
        <f>"7311008"</f>
        <v>7311008</v>
      </c>
      <c r="Y454" t="s">
        <v>1205</v>
      </c>
      <c r="Z454" t="s">
        <v>1198</v>
      </c>
      <c r="AA454" t="s">
        <v>1199</v>
      </c>
      <c r="AB454" t="s">
        <v>1130</v>
      </c>
      <c r="AC454" t="s">
        <v>51</v>
      </c>
      <c r="AD454" t="s">
        <v>45</v>
      </c>
      <c r="AE454" s="1">
        <v>32800</v>
      </c>
      <c r="AF454">
        <v>1</v>
      </c>
      <c r="AG454" t="s">
        <v>1199</v>
      </c>
      <c r="AH454" s="36">
        <f t="shared" si="7"/>
        <v>29.602777777777778</v>
      </c>
      <c r="AI454" s="40" t="s">
        <v>1777</v>
      </c>
    </row>
    <row r="455" spans="1:35" x14ac:dyDescent="0.25">
      <c r="A455" s="36">
        <v>99910453</v>
      </c>
      <c r="B455" s="17" t="s">
        <v>32</v>
      </c>
      <c r="C455" t="s">
        <v>82</v>
      </c>
      <c r="D455" t="s">
        <v>83</v>
      </c>
      <c r="G455" s="17" t="s">
        <v>35</v>
      </c>
      <c r="H455" s="17">
        <v>3</v>
      </c>
      <c r="I455">
        <v>15539</v>
      </c>
      <c r="J455" s="1">
        <v>43354</v>
      </c>
      <c r="K455" t="s">
        <v>1268</v>
      </c>
      <c r="L455" t="s">
        <v>1269</v>
      </c>
      <c r="M455" t="s">
        <v>1270</v>
      </c>
      <c r="N455">
        <v>23</v>
      </c>
      <c r="O455" t="s">
        <v>40</v>
      </c>
      <c r="P455" t="s">
        <v>40</v>
      </c>
      <c r="Q455" t="s">
        <v>40</v>
      </c>
      <c r="R455" t="s">
        <v>40</v>
      </c>
      <c r="S455" t="s">
        <v>40</v>
      </c>
      <c r="U455" s="1">
        <v>43354</v>
      </c>
      <c r="V455" t="s">
        <v>41</v>
      </c>
      <c r="W455" t="s">
        <v>49</v>
      </c>
      <c r="X455" t="str">
        <f>"1981055"</f>
        <v>1981055</v>
      </c>
      <c r="Y455" t="s">
        <v>1280</v>
      </c>
      <c r="Z455" t="s">
        <v>1268</v>
      </c>
      <c r="AA455" t="s">
        <v>1269</v>
      </c>
      <c r="AB455" t="s">
        <v>1270</v>
      </c>
      <c r="AC455" t="s">
        <v>44</v>
      </c>
      <c r="AD455" t="s">
        <v>45</v>
      </c>
      <c r="AE455" s="1">
        <v>32799</v>
      </c>
      <c r="AF455">
        <v>2</v>
      </c>
      <c r="AG455" t="s">
        <v>1269</v>
      </c>
      <c r="AH455" s="36">
        <f t="shared" si="7"/>
        <v>29.605555555555554</v>
      </c>
      <c r="AI455" s="40" t="s">
        <v>1777</v>
      </c>
    </row>
    <row r="456" spans="1:35" x14ac:dyDescent="0.25">
      <c r="A456" s="36">
        <v>99910454</v>
      </c>
      <c r="B456" s="17" t="s">
        <v>32</v>
      </c>
      <c r="C456" t="s">
        <v>79</v>
      </c>
      <c r="D456" t="s">
        <v>80</v>
      </c>
      <c r="G456" s="17" t="s">
        <v>35</v>
      </c>
      <c r="H456" s="17">
        <v>1</v>
      </c>
      <c r="I456" t="s">
        <v>286</v>
      </c>
      <c r="J456" s="1">
        <v>43344</v>
      </c>
      <c r="K456" t="s">
        <v>268</v>
      </c>
      <c r="L456" t="s">
        <v>269</v>
      </c>
      <c r="M456" t="s">
        <v>131</v>
      </c>
      <c r="N456">
        <v>16</v>
      </c>
      <c r="O456" t="s">
        <v>40</v>
      </c>
      <c r="S456" t="s">
        <v>40</v>
      </c>
      <c r="U456" s="1">
        <v>43344</v>
      </c>
      <c r="V456" t="s">
        <v>41</v>
      </c>
      <c r="W456" t="s">
        <v>75</v>
      </c>
      <c r="X456" t="str">
        <f>"7052000"</f>
        <v>7052000</v>
      </c>
      <c r="Y456" t="s">
        <v>656</v>
      </c>
      <c r="Z456" t="s">
        <v>268</v>
      </c>
      <c r="AA456" t="s">
        <v>269</v>
      </c>
      <c r="AB456" t="s">
        <v>131</v>
      </c>
      <c r="AC456" t="s">
        <v>51</v>
      </c>
      <c r="AD456" t="s">
        <v>45</v>
      </c>
      <c r="AE456" s="1">
        <v>32797</v>
      </c>
      <c r="AF456">
        <v>1</v>
      </c>
      <c r="AG456" t="s">
        <v>269</v>
      </c>
      <c r="AH456" s="36">
        <f t="shared" si="7"/>
        <v>29.611111111111111</v>
      </c>
      <c r="AI456" s="40" t="s">
        <v>1777</v>
      </c>
    </row>
    <row r="457" spans="1:35" x14ac:dyDescent="0.25">
      <c r="A457" s="36">
        <v>99910455</v>
      </c>
      <c r="B457" s="17" t="s">
        <v>32</v>
      </c>
      <c r="C457" t="s">
        <v>90</v>
      </c>
      <c r="D457" t="s">
        <v>91</v>
      </c>
      <c r="G457" s="17" t="s">
        <v>48</v>
      </c>
      <c r="H457" s="17">
        <v>1</v>
      </c>
      <c r="K457" t="s">
        <v>1341</v>
      </c>
      <c r="L457" t="s">
        <v>1342</v>
      </c>
      <c r="M457" t="s">
        <v>1270</v>
      </c>
      <c r="N457">
        <v>25</v>
      </c>
      <c r="O457" t="s">
        <v>40</v>
      </c>
      <c r="P457" t="s">
        <v>40</v>
      </c>
      <c r="Q457" t="s">
        <v>40</v>
      </c>
      <c r="S457" t="s">
        <v>40</v>
      </c>
      <c r="V457" t="s">
        <v>41</v>
      </c>
      <c r="W457" t="s">
        <v>95</v>
      </c>
      <c r="X457" t="str">
        <f>"7191025"</f>
        <v>7191025</v>
      </c>
      <c r="Y457" t="s">
        <v>1386</v>
      </c>
      <c r="Z457" t="s">
        <v>1341</v>
      </c>
      <c r="AA457" t="s">
        <v>1342</v>
      </c>
      <c r="AB457" t="s">
        <v>1270</v>
      </c>
      <c r="AC457" t="s">
        <v>51</v>
      </c>
      <c r="AD457" t="s">
        <v>45</v>
      </c>
      <c r="AE457" s="1">
        <v>32796</v>
      </c>
      <c r="AF457">
        <v>1</v>
      </c>
      <c r="AG457" t="s">
        <v>1342</v>
      </c>
      <c r="AH457" s="36">
        <f t="shared" si="7"/>
        <v>29.613888888888887</v>
      </c>
      <c r="AI457" s="40" t="s">
        <v>1777</v>
      </c>
    </row>
    <row r="458" spans="1:35" x14ac:dyDescent="0.25">
      <c r="A458" s="36">
        <v>99910456</v>
      </c>
      <c r="B458" s="17" t="s">
        <v>32</v>
      </c>
      <c r="C458" t="s">
        <v>111</v>
      </c>
      <c r="D458" t="s">
        <v>112</v>
      </c>
      <c r="G458" s="17" t="s">
        <v>35</v>
      </c>
      <c r="H458" s="17">
        <v>1</v>
      </c>
      <c r="K458" t="s">
        <v>877</v>
      </c>
      <c r="L458" t="s">
        <v>878</v>
      </c>
      <c r="M458" t="s">
        <v>131</v>
      </c>
      <c r="N458">
        <v>24</v>
      </c>
      <c r="O458" t="s">
        <v>40</v>
      </c>
      <c r="P458" t="s">
        <v>40</v>
      </c>
      <c r="Q458" t="s">
        <v>40</v>
      </c>
      <c r="S458" t="s">
        <v>40</v>
      </c>
      <c r="V458" t="s">
        <v>41</v>
      </c>
      <c r="W458" t="s">
        <v>75</v>
      </c>
      <c r="X458" t="str">
        <f>"7700025"</f>
        <v>7700025</v>
      </c>
      <c r="Y458" t="s">
        <v>880</v>
      </c>
      <c r="Z458" t="s">
        <v>877</v>
      </c>
      <c r="AA458" t="s">
        <v>878</v>
      </c>
      <c r="AB458" t="s">
        <v>131</v>
      </c>
      <c r="AC458" t="s">
        <v>51</v>
      </c>
      <c r="AD458" t="s">
        <v>45</v>
      </c>
      <c r="AE458" s="1">
        <v>32794</v>
      </c>
      <c r="AF458">
        <v>1</v>
      </c>
      <c r="AG458" t="s">
        <v>878</v>
      </c>
      <c r="AH458" s="36">
        <f t="shared" si="7"/>
        <v>29.619444444444444</v>
      </c>
      <c r="AI458" s="40" t="s">
        <v>1777</v>
      </c>
    </row>
    <row r="459" spans="1:35" x14ac:dyDescent="0.25">
      <c r="A459" s="36">
        <v>99910457</v>
      </c>
      <c r="B459" s="17" t="s">
        <v>56</v>
      </c>
      <c r="C459" t="s">
        <v>111</v>
      </c>
      <c r="D459" t="s">
        <v>112</v>
      </c>
      <c r="G459" s="17" t="s">
        <v>88</v>
      </c>
      <c r="H459" s="17">
        <v>5</v>
      </c>
      <c r="K459" t="s">
        <v>1426</v>
      </c>
      <c r="L459" t="s">
        <v>1427</v>
      </c>
      <c r="M459" t="s">
        <v>1270</v>
      </c>
      <c r="N459">
        <v>24</v>
      </c>
      <c r="O459" t="s">
        <v>40</v>
      </c>
      <c r="P459" t="s">
        <v>40</v>
      </c>
      <c r="Q459" t="s">
        <v>40</v>
      </c>
      <c r="R459" t="s">
        <v>40</v>
      </c>
      <c r="S459" t="s">
        <v>40</v>
      </c>
      <c r="V459" t="s">
        <v>41</v>
      </c>
      <c r="W459" t="s">
        <v>75</v>
      </c>
      <c r="X459" t="str">
        <f>"7192000"</f>
        <v>7192000</v>
      </c>
      <c r="Y459" t="s">
        <v>1429</v>
      </c>
      <c r="Z459" t="s">
        <v>1426</v>
      </c>
      <c r="AA459" t="s">
        <v>1427</v>
      </c>
      <c r="AB459" t="s">
        <v>1270</v>
      </c>
      <c r="AC459" t="s">
        <v>51</v>
      </c>
      <c r="AD459" t="s">
        <v>45</v>
      </c>
      <c r="AE459" s="1">
        <v>32794</v>
      </c>
      <c r="AF459">
        <v>1</v>
      </c>
      <c r="AG459" t="s">
        <v>1427</v>
      </c>
      <c r="AH459" s="36">
        <f t="shared" si="7"/>
        <v>29.619444444444444</v>
      </c>
      <c r="AI459" s="40" t="s">
        <v>1777</v>
      </c>
    </row>
    <row r="460" spans="1:35" x14ac:dyDescent="0.25">
      <c r="A460" s="36">
        <v>99910458</v>
      </c>
      <c r="B460" s="17" t="s">
        <v>56</v>
      </c>
      <c r="C460" t="s">
        <v>61</v>
      </c>
      <c r="D460" t="s">
        <v>62</v>
      </c>
      <c r="G460" s="17" t="s">
        <v>35</v>
      </c>
      <c r="H460" s="17">
        <v>1</v>
      </c>
      <c r="I460">
        <v>27589</v>
      </c>
      <c r="J460" s="1">
        <v>43059</v>
      </c>
      <c r="K460" t="s">
        <v>380</v>
      </c>
      <c r="L460" t="s">
        <v>381</v>
      </c>
      <c r="M460" t="s">
        <v>131</v>
      </c>
      <c r="N460">
        <v>14</v>
      </c>
      <c r="O460" t="s">
        <v>40</v>
      </c>
      <c r="P460" t="s">
        <v>40</v>
      </c>
      <c r="Q460" t="s">
        <v>40</v>
      </c>
      <c r="R460" t="s">
        <v>40</v>
      </c>
      <c r="S460" t="s">
        <v>40</v>
      </c>
      <c r="U460" s="1">
        <v>43059</v>
      </c>
      <c r="V460" t="s">
        <v>41</v>
      </c>
      <c r="W460" t="s">
        <v>42</v>
      </c>
      <c r="X460" t="str">
        <f>"0561016"</f>
        <v>0561016</v>
      </c>
      <c r="Y460" t="s">
        <v>389</v>
      </c>
      <c r="Z460" t="s">
        <v>380</v>
      </c>
      <c r="AA460" t="s">
        <v>381</v>
      </c>
      <c r="AB460" t="s">
        <v>131</v>
      </c>
      <c r="AC460" t="s">
        <v>44</v>
      </c>
      <c r="AD460" t="s">
        <v>45</v>
      </c>
      <c r="AE460" s="1">
        <v>32792</v>
      </c>
      <c r="AF460">
        <v>2</v>
      </c>
      <c r="AG460" t="s">
        <v>381</v>
      </c>
      <c r="AH460" s="36">
        <f t="shared" si="7"/>
        <v>29.625</v>
      </c>
      <c r="AI460" s="40" t="s">
        <v>1777</v>
      </c>
    </row>
    <row r="461" spans="1:35" x14ac:dyDescent="0.25">
      <c r="A461" s="36">
        <v>99910459</v>
      </c>
      <c r="B461" s="17" t="s">
        <v>32</v>
      </c>
      <c r="C461" t="s">
        <v>71</v>
      </c>
      <c r="D461" t="s">
        <v>72</v>
      </c>
      <c r="G461" s="17" t="s">
        <v>35</v>
      </c>
      <c r="H461" s="17">
        <v>1</v>
      </c>
      <c r="I461" s="1">
        <v>42979</v>
      </c>
      <c r="J461" s="1">
        <v>43344</v>
      </c>
      <c r="K461" t="s">
        <v>1341</v>
      </c>
      <c r="L461" t="s">
        <v>1342</v>
      </c>
      <c r="M461" t="s">
        <v>1270</v>
      </c>
      <c r="N461">
        <v>6</v>
      </c>
      <c r="O461" t="s">
        <v>40</v>
      </c>
      <c r="P461" t="s">
        <v>40</v>
      </c>
      <c r="Q461" t="s">
        <v>40</v>
      </c>
      <c r="R461" t="s">
        <v>40</v>
      </c>
      <c r="S461" t="s">
        <v>40</v>
      </c>
      <c r="U461" s="1">
        <v>43344</v>
      </c>
      <c r="V461" t="s">
        <v>41</v>
      </c>
      <c r="W461" t="s">
        <v>75</v>
      </c>
      <c r="X461" t="str">
        <f>"7191034"</f>
        <v>7191034</v>
      </c>
      <c r="Y461" t="s">
        <v>1343</v>
      </c>
      <c r="Z461" t="s">
        <v>1341</v>
      </c>
      <c r="AA461" t="s">
        <v>1342</v>
      </c>
      <c r="AB461" t="s">
        <v>1270</v>
      </c>
      <c r="AC461" t="s">
        <v>44</v>
      </c>
      <c r="AD461" t="s">
        <v>45</v>
      </c>
      <c r="AE461" s="1">
        <v>32792</v>
      </c>
      <c r="AF461">
        <v>1</v>
      </c>
      <c r="AG461" t="s">
        <v>1342</v>
      </c>
      <c r="AH461" s="36">
        <f t="shared" si="7"/>
        <v>29.625</v>
      </c>
      <c r="AI461" s="40" t="s">
        <v>1777</v>
      </c>
    </row>
    <row r="462" spans="1:35" x14ac:dyDescent="0.25">
      <c r="A462" s="36">
        <v>99910460</v>
      </c>
      <c r="B462" s="17" t="s">
        <v>32</v>
      </c>
      <c r="C462" t="s">
        <v>145</v>
      </c>
      <c r="D462" t="s">
        <v>146</v>
      </c>
      <c r="G462" s="17" t="s">
        <v>35</v>
      </c>
      <c r="H462" s="17">
        <v>1</v>
      </c>
      <c r="I462">
        <v>21565</v>
      </c>
      <c r="J462" s="1">
        <v>43344</v>
      </c>
      <c r="K462" t="s">
        <v>223</v>
      </c>
      <c r="L462" t="s">
        <v>224</v>
      </c>
      <c r="M462" t="s">
        <v>131</v>
      </c>
      <c r="N462">
        <v>7</v>
      </c>
      <c r="O462" t="s">
        <v>40</v>
      </c>
      <c r="P462" t="s">
        <v>40</v>
      </c>
      <c r="Q462" t="s">
        <v>40</v>
      </c>
      <c r="R462" t="s">
        <v>40</v>
      </c>
      <c r="S462" t="s">
        <v>40</v>
      </c>
      <c r="U462" s="1">
        <v>43344</v>
      </c>
      <c r="V462" t="s">
        <v>41</v>
      </c>
      <c r="W462" t="s">
        <v>49</v>
      </c>
      <c r="X462" t="str">
        <f>"0560034"</f>
        <v>0560034</v>
      </c>
      <c r="Y462" t="s">
        <v>266</v>
      </c>
      <c r="Z462" t="s">
        <v>223</v>
      </c>
      <c r="AA462" t="s">
        <v>224</v>
      </c>
      <c r="AB462" t="s">
        <v>131</v>
      </c>
      <c r="AC462" t="s">
        <v>44</v>
      </c>
      <c r="AD462" t="s">
        <v>45</v>
      </c>
      <c r="AE462" s="1">
        <v>32789</v>
      </c>
      <c r="AF462">
        <v>2</v>
      </c>
      <c r="AG462" t="s">
        <v>224</v>
      </c>
      <c r="AH462" s="36">
        <f t="shared" si="7"/>
        <v>29.633333333333333</v>
      </c>
      <c r="AI462" s="40" t="s">
        <v>1777</v>
      </c>
    </row>
    <row r="463" spans="1:35" x14ac:dyDescent="0.25">
      <c r="A463" s="36">
        <v>99910461</v>
      </c>
      <c r="B463" s="17" t="s">
        <v>32</v>
      </c>
      <c r="C463" t="s">
        <v>141</v>
      </c>
      <c r="D463" t="s">
        <v>142</v>
      </c>
      <c r="G463" s="17" t="s">
        <v>35</v>
      </c>
      <c r="H463" s="17">
        <v>1</v>
      </c>
      <c r="I463">
        <v>23965</v>
      </c>
      <c r="J463" s="1">
        <v>43344</v>
      </c>
      <c r="K463" t="s">
        <v>223</v>
      </c>
      <c r="L463" t="s">
        <v>224</v>
      </c>
      <c r="M463" t="s">
        <v>131</v>
      </c>
      <c r="N463">
        <v>3</v>
      </c>
      <c r="O463" t="s">
        <v>40</v>
      </c>
      <c r="P463" t="s">
        <v>40</v>
      </c>
      <c r="Q463" t="s">
        <v>40</v>
      </c>
      <c r="R463" t="s">
        <v>40</v>
      </c>
      <c r="S463" t="s">
        <v>40</v>
      </c>
      <c r="U463" s="1">
        <v>43344</v>
      </c>
      <c r="V463" t="s">
        <v>41</v>
      </c>
      <c r="W463" t="s">
        <v>49</v>
      </c>
      <c r="X463" t="str">
        <f>"0560034"</f>
        <v>0560034</v>
      </c>
      <c r="Y463" t="s">
        <v>266</v>
      </c>
      <c r="Z463" t="s">
        <v>223</v>
      </c>
      <c r="AA463" t="s">
        <v>224</v>
      </c>
      <c r="AB463" t="s">
        <v>131</v>
      </c>
      <c r="AC463" t="s">
        <v>44</v>
      </c>
      <c r="AD463" t="s">
        <v>45</v>
      </c>
      <c r="AE463" s="1">
        <v>32786</v>
      </c>
      <c r="AF463">
        <v>2</v>
      </c>
      <c r="AG463" t="s">
        <v>224</v>
      </c>
      <c r="AH463" s="36">
        <f t="shared" si="7"/>
        <v>29.641666666666666</v>
      </c>
      <c r="AI463" s="40" t="s">
        <v>1777</v>
      </c>
    </row>
    <row r="464" spans="1:35" x14ac:dyDescent="0.25">
      <c r="A464" s="36">
        <v>99910462</v>
      </c>
      <c r="B464" s="17" t="s">
        <v>32</v>
      </c>
      <c r="C464" t="s">
        <v>111</v>
      </c>
      <c r="D464" t="s">
        <v>112</v>
      </c>
      <c r="G464" s="17" t="s">
        <v>88</v>
      </c>
      <c r="H464" s="17">
        <v>3</v>
      </c>
      <c r="I464" t="s">
        <v>463</v>
      </c>
      <c r="J464" s="1">
        <v>41518</v>
      </c>
      <c r="K464" t="s">
        <v>195</v>
      </c>
      <c r="L464" t="s">
        <v>196</v>
      </c>
      <c r="M464" t="s">
        <v>131</v>
      </c>
      <c r="N464">
        <v>24</v>
      </c>
      <c r="O464" t="s">
        <v>40</v>
      </c>
      <c r="P464" t="s">
        <v>40</v>
      </c>
      <c r="Q464" t="s">
        <v>40</v>
      </c>
      <c r="R464" t="s">
        <v>40</v>
      </c>
      <c r="S464" t="s">
        <v>40</v>
      </c>
      <c r="U464" s="1">
        <v>41518</v>
      </c>
      <c r="V464" t="s">
        <v>41</v>
      </c>
      <c r="W464" t="s">
        <v>75</v>
      </c>
      <c r="X464" t="str">
        <f>"7521050"</f>
        <v>7521050</v>
      </c>
      <c r="Y464" t="s">
        <v>194</v>
      </c>
      <c r="Z464" t="s">
        <v>195</v>
      </c>
      <c r="AA464" t="s">
        <v>196</v>
      </c>
      <c r="AB464" t="s">
        <v>131</v>
      </c>
      <c r="AC464" t="s">
        <v>51</v>
      </c>
      <c r="AD464" t="s">
        <v>45</v>
      </c>
      <c r="AE464" s="1">
        <v>32784</v>
      </c>
      <c r="AF464">
        <v>1</v>
      </c>
      <c r="AG464" t="s">
        <v>196</v>
      </c>
      <c r="AH464" s="36">
        <f t="shared" si="7"/>
        <v>29.647222222222222</v>
      </c>
      <c r="AI464" s="40" t="s">
        <v>1777</v>
      </c>
    </row>
    <row r="465" spans="1:35" x14ac:dyDescent="0.25">
      <c r="A465" s="36">
        <v>99910463</v>
      </c>
      <c r="B465" s="17" t="s">
        <v>32</v>
      </c>
      <c r="C465" t="s">
        <v>111</v>
      </c>
      <c r="D465" t="s">
        <v>112</v>
      </c>
      <c r="G465" s="17" t="s">
        <v>88</v>
      </c>
      <c r="H465" s="17">
        <v>3</v>
      </c>
      <c r="I465" t="s">
        <v>492</v>
      </c>
      <c r="J465" s="1">
        <v>41518</v>
      </c>
      <c r="K465" t="s">
        <v>195</v>
      </c>
      <c r="L465" t="s">
        <v>196</v>
      </c>
      <c r="M465" t="s">
        <v>131</v>
      </c>
      <c r="N465">
        <v>24</v>
      </c>
      <c r="O465" t="s">
        <v>40</v>
      </c>
      <c r="P465" t="s">
        <v>40</v>
      </c>
      <c r="Q465" t="s">
        <v>40</v>
      </c>
      <c r="R465" t="s">
        <v>40</v>
      </c>
      <c r="S465" t="s">
        <v>40</v>
      </c>
      <c r="U465" s="1">
        <v>41518</v>
      </c>
      <c r="V465" t="s">
        <v>41</v>
      </c>
      <c r="W465" t="s">
        <v>75</v>
      </c>
      <c r="X465" t="str">
        <f>"7521050"</f>
        <v>7521050</v>
      </c>
      <c r="Y465" t="s">
        <v>194</v>
      </c>
      <c r="Z465" t="s">
        <v>195</v>
      </c>
      <c r="AA465" t="s">
        <v>196</v>
      </c>
      <c r="AB465" t="s">
        <v>131</v>
      </c>
      <c r="AC465" t="s">
        <v>51</v>
      </c>
      <c r="AD465" t="s">
        <v>45</v>
      </c>
      <c r="AE465" s="1">
        <v>32778</v>
      </c>
      <c r="AF465">
        <v>1</v>
      </c>
      <c r="AG465" t="s">
        <v>196</v>
      </c>
      <c r="AH465" s="36">
        <f t="shared" si="7"/>
        <v>29.663888888888888</v>
      </c>
      <c r="AI465" s="40" t="s">
        <v>1777</v>
      </c>
    </row>
    <row r="466" spans="1:35" x14ac:dyDescent="0.25">
      <c r="A466" s="36">
        <v>99910464</v>
      </c>
      <c r="B466" s="17" t="s">
        <v>56</v>
      </c>
      <c r="C466" t="s">
        <v>52</v>
      </c>
      <c r="D466" t="s">
        <v>53</v>
      </c>
      <c r="G466" s="17" t="s">
        <v>35</v>
      </c>
      <c r="H466" s="17">
        <v>1</v>
      </c>
      <c r="I466">
        <v>17956</v>
      </c>
      <c r="J466" s="1">
        <v>43354</v>
      </c>
      <c r="K466" t="s">
        <v>1128</v>
      </c>
      <c r="L466" t="s">
        <v>1129</v>
      </c>
      <c r="M466" t="s">
        <v>1130</v>
      </c>
      <c r="N466">
        <v>23</v>
      </c>
      <c r="O466" t="s">
        <v>40</v>
      </c>
      <c r="P466" t="s">
        <v>40</v>
      </c>
      <c r="Q466" t="s">
        <v>40</v>
      </c>
      <c r="S466" t="s">
        <v>40</v>
      </c>
      <c r="U466" s="1">
        <v>43354</v>
      </c>
      <c r="V466" t="s">
        <v>41</v>
      </c>
      <c r="W466" t="s">
        <v>49</v>
      </c>
      <c r="X466" t="str">
        <f>"3181015"</f>
        <v>3181015</v>
      </c>
      <c r="Y466" t="s">
        <v>1131</v>
      </c>
      <c r="Z466" t="s">
        <v>1128</v>
      </c>
      <c r="AA466" t="s">
        <v>1129</v>
      </c>
      <c r="AB466" t="s">
        <v>1130</v>
      </c>
      <c r="AC466" t="s">
        <v>44</v>
      </c>
      <c r="AD466" t="s">
        <v>45</v>
      </c>
      <c r="AE466" s="1">
        <v>32776</v>
      </c>
      <c r="AF466">
        <v>2</v>
      </c>
      <c r="AG466" t="s">
        <v>1129</v>
      </c>
      <c r="AH466" s="36">
        <f t="shared" si="7"/>
        <v>29.669444444444444</v>
      </c>
      <c r="AI466" s="40" t="s">
        <v>1777</v>
      </c>
    </row>
    <row r="467" spans="1:35" x14ac:dyDescent="0.25">
      <c r="A467" s="36">
        <v>99910465</v>
      </c>
      <c r="B467" s="17" t="s">
        <v>56</v>
      </c>
      <c r="C467" t="s">
        <v>61</v>
      </c>
      <c r="D467" t="s">
        <v>62</v>
      </c>
      <c r="G467" s="17" t="s">
        <v>35</v>
      </c>
      <c r="H467" s="17">
        <v>1</v>
      </c>
      <c r="I467">
        <v>21563</v>
      </c>
      <c r="J467" s="1">
        <v>43344</v>
      </c>
      <c r="K467" t="s">
        <v>345</v>
      </c>
      <c r="L467" t="s">
        <v>346</v>
      </c>
      <c r="M467" t="s">
        <v>131</v>
      </c>
      <c r="N467">
        <v>14</v>
      </c>
      <c r="O467" t="s">
        <v>40</v>
      </c>
      <c r="P467" t="s">
        <v>40</v>
      </c>
      <c r="Q467" t="s">
        <v>40</v>
      </c>
      <c r="R467" t="s">
        <v>40</v>
      </c>
      <c r="S467" t="s">
        <v>40</v>
      </c>
      <c r="U467" s="1">
        <v>43344</v>
      </c>
      <c r="V467" t="s">
        <v>41</v>
      </c>
      <c r="W467" t="s">
        <v>42</v>
      </c>
      <c r="X467" t="str">
        <f>"0580615"</f>
        <v>0580615</v>
      </c>
      <c r="Y467" t="s">
        <v>364</v>
      </c>
      <c r="Z467" t="s">
        <v>345</v>
      </c>
      <c r="AA467" t="s">
        <v>346</v>
      </c>
      <c r="AB467" t="s">
        <v>131</v>
      </c>
      <c r="AC467" t="s">
        <v>44</v>
      </c>
      <c r="AD467" t="s">
        <v>45</v>
      </c>
      <c r="AE467" s="1">
        <v>32774</v>
      </c>
      <c r="AF467">
        <v>2</v>
      </c>
      <c r="AG467" t="s">
        <v>346</v>
      </c>
      <c r="AH467" s="36">
        <f t="shared" si="7"/>
        <v>29.675000000000001</v>
      </c>
      <c r="AI467" s="40" t="s">
        <v>1777</v>
      </c>
    </row>
    <row r="468" spans="1:35" x14ac:dyDescent="0.25">
      <c r="A468" s="36">
        <v>99910466</v>
      </c>
      <c r="B468" s="17" t="s">
        <v>32</v>
      </c>
      <c r="C468" t="s">
        <v>111</v>
      </c>
      <c r="D468" t="s">
        <v>112</v>
      </c>
      <c r="G468" s="17" t="s">
        <v>35</v>
      </c>
      <c r="H468" s="17">
        <v>1</v>
      </c>
      <c r="K468" t="s">
        <v>1198</v>
      </c>
      <c r="L468" t="s">
        <v>1199</v>
      </c>
      <c r="M468" t="s">
        <v>1130</v>
      </c>
      <c r="N468">
        <v>24</v>
      </c>
      <c r="O468" t="s">
        <v>40</v>
      </c>
      <c r="P468" t="s">
        <v>40</v>
      </c>
      <c r="Q468" t="s">
        <v>40</v>
      </c>
      <c r="S468" t="s">
        <v>40</v>
      </c>
      <c r="V468" t="s">
        <v>41</v>
      </c>
      <c r="W468" t="s">
        <v>75</v>
      </c>
      <c r="X468" t="str">
        <f>"7311008"</f>
        <v>7311008</v>
      </c>
      <c r="Y468" t="s">
        <v>1205</v>
      </c>
      <c r="Z468" t="s">
        <v>1198</v>
      </c>
      <c r="AA468" t="s">
        <v>1199</v>
      </c>
      <c r="AB468" t="s">
        <v>1130</v>
      </c>
      <c r="AC468" t="s">
        <v>51</v>
      </c>
      <c r="AD468" t="s">
        <v>45</v>
      </c>
      <c r="AE468" s="1">
        <v>32774</v>
      </c>
      <c r="AF468">
        <v>1</v>
      </c>
      <c r="AG468" t="s">
        <v>1199</v>
      </c>
      <c r="AH468" s="36">
        <f t="shared" si="7"/>
        <v>29.675000000000001</v>
      </c>
      <c r="AI468" s="40" t="s">
        <v>1777</v>
      </c>
    </row>
    <row r="469" spans="1:35" x14ac:dyDescent="0.25">
      <c r="A469" s="36">
        <v>99910467</v>
      </c>
      <c r="B469" s="17" t="s">
        <v>32</v>
      </c>
      <c r="C469" t="s">
        <v>52</v>
      </c>
      <c r="D469" t="s">
        <v>53</v>
      </c>
      <c r="G469" s="17" t="s">
        <v>48</v>
      </c>
      <c r="H469" s="17">
        <v>1</v>
      </c>
      <c r="K469" t="s">
        <v>300</v>
      </c>
      <c r="L469" t="s">
        <v>301</v>
      </c>
      <c r="M469" t="s">
        <v>131</v>
      </c>
      <c r="N469">
        <v>6</v>
      </c>
      <c r="O469" t="s">
        <v>40</v>
      </c>
      <c r="P469" t="s">
        <v>40</v>
      </c>
      <c r="Q469" t="s">
        <v>40</v>
      </c>
      <c r="S469" t="s">
        <v>40</v>
      </c>
      <c r="V469" t="s">
        <v>41</v>
      </c>
      <c r="W469" t="s">
        <v>42</v>
      </c>
      <c r="X469" t="str">
        <f>"0561001"</f>
        <v>0561001</v>
      </c>
      <c r="Y469" t="s">
        <v>308</v>
      </c>
      <c r="Z469" t="s">
        <v>300</v>
      </c>
      <c r="AA469" t="s">
        <v>301</v>
      </c>
      <c r="AB469" t="s">
        <v>131</v>
      </c>
      <c r="AC469" t="s">
        <v>51</v>
      </c>
      <c r="AD469" t="s">
        <v>45</v>
      </c>
      <c r="AE469" s="1">
        <v>32766</v>
      </c>
      <c r="AF469">
        <v>2</v>
      </c>
      <c r="AG469" t="s">
        <v>301</v>
      </c>
      <c r="AH469" s="36">
        <f t="shared" si="7"/>
        <v>29.697222222222223</v>
      </c>
      <c r="AI469" s="40" t="s">
        <v>1777</v>
      </c>
    </row>
    <row r="470" spans="1:35" x14ac:dyDescent="0.25">
      <c r="A470" s="36">
        <v>99910468</v>
      </c>
      <c r="B470" s="17" t="s">
        <v>56</v>
      </c>
      <c r="C470" t="s">
        <v>111</v>
      </c>
      <c r="D470" t="s">
        <v>112</v>
      </c>
      <c r="G470" s="17" t="s">
        <v>35</v>
      </c>
      <c r="H470" s="17">
        <v>1</v>
      </c>
      <c r="K470" t="s">
        <v>877</v>
      </c>
      <c r="L470" t="s">
        <v>878</v>
      </c>
      <c r="M470" t="s">
        <v>131</v>
      </c>
      <c r="N470">
        <v>24</v>
      </c>
      <c r="O470" t="s">
        <v>40</v>
      </c>
      <c r="P470" t="s">
        <v>40</v>
      </c>
      <c r="Q470" t="s">
        <v>40</v>
      </c>
      <c r="S470" t="s">
        <v>40</v>
      </c>
      <c r="V470" t="s">
        <v>41</v>
      </c>
      <c r="W470" t="s">
        <v>75</v>
      </c>
      <c r="X470" t="str">
        <f>"7700025"</f>
        <v>7700025</v>
      </c>
      <c r="Y470" t="s">
        <v>880</v>
      </c>
      <c r="Z470" t="s">
        <v>877</v>
      </c>
      <c r="AA470" t="s">
        <v>878</v>
      </c>
      <c r="AB470" t="s">
        <v>131</v>
      </c>
      <c r="AC470" t="s">
        <v>51</v>
      </c>
      <c r="AD470" t="s">
        <v>45</v>
      </c>
      <c r="AE470" s="1">
        <v>32766</v>
      </c>
      <c r="AF470">
        <v>1</v>
      </c>
      <c r="AG470" t="s">
        <v>878</v>
      </c>
      <c r="AH470" s="36">
        <f t="shared" si="7"/>
        <v>29.697222222222223</v>
      </c>
      <c r="AI470" s="40" t="s">
        <v>1777</v>
      </c>
    </row>
    <row r="471" spans="1:35" x14ac:dyDescent="0.25">
      <c r="A471" s="36">
        <v>99910469</v>
      </c>
      <c r="B471" s="17" t="s">
        <v>32</v>
      </c>
      <c r="C471" t="s">
        <v>90</v>
      </c>
      <c r="D471" t="s">
        <v>91</v>
      </c>
      <c r="G471" s="17" t="s">
        <v>35</v>
      </c>
      <c r="H471" s="17">
        <v>1</v>
      </c>
      <c r="I471">
        <v>191</v>
      </c>
      <c r="J471" s="1">
        <v>43344</v>
      </c>
      <c r="K471" t="s">
        <v>268</v>
      </c>
      <c r="L471" t="s">
        <v>269</v>
      </c>
      <c r="M471" t="s">
        <v>131</v>
      </c>
      <c r="N471">
        <v>24</v>
      </c>
      <c r="O471" t="s">
        <v>40</v>
      </c>
      <c r="P471" t="s">
        <v>40</v>
      </c>
      <c r="Q471" t="s">
        <v>40</v>
      </c>
      <c r="S471" t="s">
        <v>40</v>
      </c>
      <c r="U471" s="1">
        <v>43344</v>
      </c>
      <c r="V471" t="s">
        <v>41</v>
      </c>
      <c r="W471" t="s">
        <v>95</v>
      </c>
      <c r="X471" t="str">
        <f>"7052001"</f>
        <v>7052001</v>
      </c>
      <c r="Y471" t="s">
        <v>576</v>
      </c>
      <c r="Z471" t="s">
        <v>268</v>
      </c>
      <c r="AA471" t="s">
        <v>269</v>
      </c>
      <c r="AB471" t="s">
        <v>131</v>
      </c>
      <c r="AC471" t="s">
        <v>44</v>
      </c>
      <c r="AD471" t="s">
        <v>45</v>
      </c>
      <c r="AE471" s="1">
        <v>32762</v>
      </c>
      <c r="AF471">
        <v>1</v>
      </c>
      <c r="AG471" t="s">
        <v>269</v>
      </c>
      <c r="AH471" s="36">
        <f t="shared" si="7"/>
        <v>29.708333333333332</v>
      </c>
      <c r="AI471" s="40" t="s">
        <v>1777</v>
      </c>
    </row>
    <row r="472" spans="1:35" x14ac:dyDescent="0.25">
      <c r="A472" s="36">
        <v>99910470</v>
      </c>
      <c r="B472" s="17" t="s">
        <v>32</v>
      </c>
      <c r="C472" t="s">
        <v>111</v>
      </c>
      <c r="D472" t="s">
        <v>112</v>
      </c>
      <c r="G472" s="17" t="s">
        <v>35</v>
      </c>
      <c r="H472" s="17">
        <v>1</v>
      </c>
      <c r="I472" s="1">
        <v>42614</v>
      </c>
      <c r="J472" s="1">
        <v>43344</v>
      </c>
      <c r="K472" t="s">
        <v>1341</v>
      </c>
      <c r="L472" t="s">
        <v>1342</v>
      </c>
      <c r="M472" t="s">
        <v>1270</v>
      </c>
      <c r="N472">
        <v>24</v>
      </c>
      <c r="O472" t="s">
        <v>40</v>
      </c>
      <c r="S472" t="s">
        <v>40</v>
      </c>
      <c r="U472" s="1">
        <v>43344</v>
      </c>
      <c r="V472" t="s">
        <v>41</v>
      </c>
      <c r="W472" t="s">
        <v>75</v>
      </c>
      <c r="X472" t="str">
        <f>"7191000"</f>
        <v>7191000</v>
      </c>
      <c r="Y472" t="s">
        <v>1347</v>
      </c>
      <c r="Z472" t="s">
        <v>1341</v>
      </c>
      <c r="AA472" t="s">
        <v>1342</v>
      </c>
      <c r="AB472" t="s">
        <v>1270</v>
      </c>
      <c r="AC472" t="s">
        <v>51</v>
      </c>
      <c r="AD472" t="s">
        <v>45</v>
      </c>
      <c r="AE472" s="1">
        <v>32762</v>
      </c>
      <c r="AF472">
        <v>1</v>
      </c>
      <c r="AG472" t="s">
        <v>1342</v>
      </c>
      <c r="AH472" s="36">
        <f t="shared" si="7"/>
        <v>29.708333333333332</v>
      </c>
      <c r="AI472" s="40" t="s">
        <v>1777</v>
      </c>
    </row>
    <row r="473" spans="1:35" x14ac:dyDescent="0.25">
      <c r="A473" s="36">
        <v>99910471</v>
      </c>
      <c r="B473" s="17" t="s">
        <v>32</v>
      </c>
      <c r="C473" t="s">
        <v>90</v>
      </c>
      <c r="D473" t="s">
        <v>91</v>
      </c>
      <c r="G473" s="17" t="s">
        <v>48</v>
      </c>
      <c r="H473" s="17">
        <v>1</v>
      </c>
      <c r="K473" t="s">
        <v>1725</v>
      </c>
      <c r="L473" t="s">
        <v>1726</v>
      </c>
      <c r="M473" t="s">
        <v>1705</v>
      </c>
      <c r="N473">
        <v>25</v>
      </c>
      <c r="O473" t="s">
        <v>40</v>
      </c>
      <c r="P473" t="s">
        <v>40</v>
      </c>
      <c r="Q473" t="s">
        <v>40</v>
      </c>
      <c r="S473" t="s">
        <v>40</v>
      </c>
      <c r="V473" t="s">
        <v>41</v>
      </c>
      <c r="W473" t="s">
        <v>95</v>
      </c>
      <c r="X473" t="str">
        <f>"7461023"</f>
        <v>7461023</v>
      </c>
      <c r="Y473" t="s">
        <v>1727</v>
      </c>
      <c r="Z473" t="s">
        <v>1725</v>
      </c>
      <c r="AA473" t="s">
        <v>1726</v>
      </c>
      <c r="AB473" t="s">
        <v>1705</v>
      </c>
      <c r="AC473" t="s">
        <v>51</v>
      </c>
      <c r="AD473" t="s">
        <v>45</v>
      </c>
      <c r="AE473" s="1">
        <v>32757</v>
      </c>
      <c r="AF473">
        <v>1</v>
      </c>
      <c r="AG473" t="s">
        <v>1726</v>
      </c>
      <c r="AH473" s="36">
        <f t="shared" si="7"/>
        <v>29.722222222222221</v>
      </c>
      <c r="AI473" s="40" t="s">
        <v>1777</v>
      </c>
    </row>
    <row r="474" spans="1:35" x14ac:dyDescent="0.25">
      <c r="A474" s="36">
        <v>99910472</v>
      </c>
      <c r="B474" s="17" t="s">
        <v>32</v>
      </c>
      <c r="C474" t="s">
        <v>79</v>
      </c>
      <c r="D474" t="s">
        <v>80</v>
      </c>
      <c r="G474" s="17" t="s">
        <v>48</v>
      </c>
      <c r="H474" s="17">
        <v>1</v>
      </c>
      <c r="K474" t="s">
        <v>1051</v>
      </c>
      <c r="L474" t="s">
        <v>1052</v>
      </c>
      <c r="M474" t="s">
        <v>1053</v>
      </c>
      <c r="N474">
        <v>16</v>
      </c>
      <c r="O474" t="s">
        <v>40</v>
      </c>
      <c r="P474" t="s">
        <v>40</v>
      </c>
      <c r="Q474" t="s">
        <v>40</v>
      </c>
      <c r="R474" t="s">
        <v>40</v>
      </c>
      <c r="S474" t="s">
        <v>40</v>
      </c>
      <c r="V474" t="s">
        <v>41</v>
      </c>
      <c r="W474" t="s">
        <v>49</v>
      </c>
      <c r="X474" t="str">
        <f>"2080025"</f>
        <v>2080025</v>
      </c>
      <c r="Y474" t="s">
        <v>1057</v>
      </c>
      <c r="Z474" t="s">
        <v>1051</v>
      </c>
      <c r="AA474" t="s">
        <v>1052</v>
      </c>
      <c r="AB474" t="s">
        <v>1053</v>
      </c>
      <c r="AC474" t="s">
        <v>51</v>
      </c>
      <c r="AD474" t="s">
        <v>45</v>
      </c>
      <c r="AE474" s="1">
        <v>32751</v>
      </c>
      <c r="AF474">
        <v>2</v>
      </c>
      <c r="AG474" t="s">
        <v>1052</v>
      </c>
      <c r="AH474" s="36">
        <f t="shared" si="7"/>
        <v>29.738888888888887</v>
      </c>
      <c r="AI474" s="40" t="s">
        <v>1777</v>
      </c>
    </row>
    <row r="475" spans="1:35" x14ac:dyDescent="0.25">
      <c r="A475" s="36">
        <v>99910473</v>
      </c>
      <c r="B475" s="17" t="s">
        <v>32</v>
      </c>
      <c r="C475" t="s">
        <v>90</v>
      </c>
      <c r="D475" t="s">
        <v>91</v>
      </c>
      <c r="G475" s="17" t="s">
        <v>35</v>
      </c>
      <c r="H475" s="17">
        <v>1</v>
      </c>
      <c r="I475">
        <v>20317</v>
      </c>
      <c r="J475" s="1">
        <v>43344</v>
      </c>
      <c r="K475" t="s">
        <v>354</v>
      </c>
      <c r="L475" t="s">
        <v>355</v>
      </c>
      <c r="M475" t="s">
        <v>131</v>
      </c>
      <c r="N475">
        <v>25</v>
      </c>
      <c r="O475" t="s">
        <v>40</v>
      </c>
      <c r="S475" t="s">
        <v>40</v>
      </c>
      <c r="U475" s="1">
        <v>43344</v>
      </c>
      <c r="V475" t="s">
        <v>41</v>
      </c>
      <c r="W475" t="s">
        <v>95</v>
      </c>
      <c r="X475" t="str">
        <f>"7054049"</f>
        <v>7054049</v>
      </c>
      <c r="Y475" t="s">
        <v>823</v>
      </c>
      <c r="Z475" t="s">
        <v>354</v>
      </c>
      <c r="AA475" t="s">
        <v>355</v>
      </c>
      <c r="AB475" t="s">
        <v>131</v>
      </c>
      <c r="AC475" t="s">
        <v>51</v>
      </c>
      <c r="AD475" t="s">
        <v>45</v>
      </c>
      <c r="AE475" s="1">
        <v>32739</v>
      </c>
      <c r="AF475">
        <v>1</v>
      </c>
      <c r="AG475" t="s">
        <v>355</v>
      </c>
      <c r="AH475" s="36">
        <f t="shared" si="7"/>
        <v>29.772222222222222</v>
      </c>
      <c r="AI475" s="40" t="s">
        <v>1777</v>
      </c>
    </row>
    <row r="476" spans="1:35" x14ac:dyDescent="0.25">
      <c r="A476" s="36">
        <v>99910474</v>
      </c>
      <c r="B476" s="17" t="s">
        <v>32</v>
      </c>
      <c r="C476" t="s">
        <v>46</v>
      </c>
      <c r="D476" t="s">
        <v>47</v>
      </c>
      <c r="G476" s="17" t="s">
        <v>35</v>
      </c>
      <c r="H476" s="17">
        <v>1</v>
      </c>
      <c r="I476">
        <v>17327</v>
      </c>
      <c r="J476" s="1">
        <v>43346</v>
      </c>
      <c r="K476" t="s">
        <v>345</v>
      </c>
      <c r="L476" t="s">
        <v>346</v>
      </c>
      <c r="M476" t="s">
        <v>131</v>
      </c>
      <c r="N476">
        <v>6</v>
      </c>
      <c r="O476" t="s">
        <v>40</v>
      </c>
      <c r="P476" t="s">
        <v>40</v>
      </c>
      <c r="Q476" t="s">
        <v>40</v>
      </c>
      <c r="R476" t="s">
        <v>40</v>
      </c>
      <c r="S476" t="s">
        <v>40</v>
      </c>
      <c r="U476" s="1">
        <v>43346</v>
      </c>
      <c r="V476" t="s">
        <v>41</v>
      </c>
      <c r="W476" t="s">
        <v>42</v>
      </c>
      <c r="X476" t="str">
        <f>"0561019"</f>
        <v>0561019</v>
      </c>
      <c r="Y476" t="s">
        <v>351</v>
      </c>
      <c r="Z476" t="s">
        <v>345</v>
      </c>
      <c r="AA476" t="s">
        <v>346</v>
      </c>
      <c r="AB476" t="s">
        <v>131</v>
      </c>
      <c r="AC476" t="s">
        <v>55</v>
      </c>
      <c r="AD476" t="s">
        <v>45</v>
      </c>
      <c r="AE476" s="1">
        <v>32737</v>
      </c>
      <c r="AF476">
        <v>2</v>
      </c>
      <c r="AG476" t="s">
        <v>346</v>
      </c>
      <c r="AH476" s="36">
        <f t="shared" si="7"/>
        <v>29.777777777777779</v>
      </c>
      <c r="AI476" s="40" t="s">
        <v>1777</v>
      </c>
    </row>
    <row r="477" spans="1:35" x14ac:dyDescent="0.25">
      <c r="A477" s="36">
        <v>99910475</v>
      </c>
      <c r="B477" s="17" t="s">
        <v>32</v>
      </c>
      <c r="C477" t="s">
        <v>111</v>
      </c>
      <c r="D477" t="s">
        <v>112</v>
      </c>
      <c r="G477" s="17" t="s">
        <v>35</v>
      </c>
      <c r="H477" s="17">
        <v>1</v>
      </c>
      <c r="K477" t="s">
        <v>877</v>
      </c>
      <c r="L477" t="s">
        <v>878</v>
      </c>
      <c r="M477" t="s">
        <v>131</v>
      </c>
      <c r="N477">
        <v>23</v>
      </c>
      <c r="O477" t="s">
        <v>40</v>
      </c>
      <c r="P477" t="s">
        <v>40</v>
      </c>
      <c r="Q477" t="s">
        <v>40</v>
      </c>
      <c r="S477" t="s">
        <v>40</v>
      </c>
      <c r="V477" t="s">
        <v>41</v>
      </c>
      <c r="W477" t="s">
        <v>75</v>
      </c>
      <c r="X477" t="str">
        <f>"7700025"</f>
        <v>7700025</v>
      </c>
      <c r="Y477" t="s">
        <v>880</v>
      </c>
      <c r="Z477" t="s">
        <v>877</v>
      </c>
      <c r="AA477" t="s">
        <v>878</v>
      </c>
      <c r="AB477" t="s">
        <v>131</v>
      </c>
      <c r="AC477" t="s">
        <v>51</v>
      </c>
      <c r="AD477" t="s">
        <v>45</v>
      </c>
      <c r="AE477" s="1">
        <v>32727</v>
      </c>
      <c r="AF477">
        <v>1</v>
      </c>
      <c r="AG477" t="s">
        <v>878</v>
      </c>
      <c r="AH477" s="36">
        <f t="shared" si="7"/>
        <v>29.805555555555557</v>
      </c>
      <c r="AI477" s="40" t="s">
        <v>1777</v>
      </c>
    </row>
    <row r="478" spans="1:35" x14ac:dyDescent="0.25">
      <c r="A478" s="36">
        <v>99910476</v>
      </c>
      <c r="B478" s="17" t="s">
        <v>32</v>
      </c>
      <c r="C478" t="s">
        <v>111</v>
      </c>
      <c r="D478" t="s">
        <v>112</v>
      </c>
      <c r="G478" s="17" t="s">
        <v>35</v>
      </c>
      <c r="H478" s="17">
        <v>1</v>
      </c>
      <c r="I478" s="1">
        <v>42979</v>
      </c>
      <c r="J478" s="1">
        <v>43344</v>
      </c>
      <c r="K478" t="s">
        <v>1341</v>
      </c>
      <c r="L478" t="s">
        <v>1342</v>
      </c>
      <c r="M478" t="s">
        <v>1270</v>
      </c>
      <c r="N478">
        <v>24</v>
      </c>
      <c r="O478" t="s">
        <v>40</v>
      </c>
      <c r="S478" t="s">
        <v>40</v>
      </c>
      <c r="U478" s="1">
        <v>43344</v>
      </c>
      <c r="V478" t="s">
        <v>41</v>
      </c>
      <c r="W478" t="s">
        <v>75</v>
      </c>
      <c r="X478" t="str">
        <f>"7191002"</f>
        <v>7191002</v>
      </c>
      <c r="Y478" t="s">
        <v>1365</v>
      </c>
      <c r="Z478" t="s">
        <v>1341</v>
      </c>
      <c r="AA478" t="s">
        <v>1342</v>
      </c>
      <c r="AB478" t="s">
        <v>1270</v>
      </c>
      <c r="AC478" t="s">
        <v>44</v>
      </c>
      <c r="AD478" t="s">
        <v>45</v>
      </c>
      <c r="AE478" s="1">
        <v>32723</v>
      </c>
      <c r="AF478">
        <v>1</v>
      </c>
      <c r="AG478" t="s">
        <v>1342</v>
      </c>
      <c r="AH478" s="36">
        <f t="shared" si="7"/>
        <v>29.816666666666666</v>
      </c>
      <c r="AI478" s="40" t="s">
        <v>1777</v>
      </c>
    </row>
    <row r="479" spans="1:35" x14ac:dyDescent="0.25">
      <c r="A479" s="36">
        <v>99910477</v>
      </c>
      <c r="B479" s="17" t="s">
        <v>32</v>
      </c>
      <c r="C479" t="s">
        <v>90</v>
      </c>
      <c r="D479" t="s">
        <v>91</v>
      </c>
      <c r="G479" s="17" t="s">
        <v>35</v>
      </c>
      <c r="H479" s="17">
        <v>1</v>
      </c>
      <c r="I479" t="s">
        <v>286</v>
      </c>
      <c r="J479" s="1">
        <v>43344</v>
      </c>
      <c r="K479" t="s">
        <v>268</v>
      </c>
      <c r="L479" t="s">
        <v>269</v>
      </c>
      <c r="M479" t="s">
        <v>131</v>
      </c>
      <c r="N479">
        <v>30</v>
      </c>
      <c r="O479" t="s">
        <v>40</v>
      </c>
      <c r="S479" t="s">
        <v>40</v>
      </c>
      <c r="V479" t="s">
        <v>41</v>
      </c>
      <c r="W479" t="s">
        <v>95</v>
      </c>
      <c r="X479" t="str">
        <f>"7052161"</f>
        <v>7052161</v>
      </c>
      <c r="Y479" t="s">
        <v>705</v>
      </c>
      <c r="Z479" t="s">
        <v>268</v>
      </c>
      <c r="AA479" t="s">
        <v>269</v>
      </c>
      <c r="AB479" t="s">
        <v>131</v>
      </c>
      <c r="AC479" t="s">
        <v>44</v>
      </c>
      <c r="AD479" t="s">
        <v>45</v>
      </c>
      <c r="AE479" s="1">
        <v>32722</v>
      </c>
      <c r="AF479">
        <v>1</v>
      </c>
      <c r="AG479" t="s">
        <v>269</v>
      </c>
      <c r="AH479" s="36">
        <f t="shared" si="7"/>
        <v>29.819444444444443</v>
      </c>
      <c r="AI479" s="40" t="s">
        <v>1777</v>
      </c>
    </row>
    <row r="480" spans="1:35" x14ac:dyDescent="0.25">
      <c r="A480" s="36">
        <v>99910478</v>
      </c>
      <c r="B480" s="17" t="s">
        <v>32</v>
      </c>
      <c r="C480" t="s">
        <v>111</v>
      </c>
      <c r="D480" t="s">
        <v>112</v>
      </c>
      <c r="G480" s="17" t="s">
        <v>35</v>
      </c>
      <c r="H480" s="17">
        <v>1</v>
      </c>
      <c r="I480">
        <v>933</v>
      </c>
      <c r="J480" s="1">
        <v>43344</v>
      </c>
      <c r="K480" t="s">
        <v>1198</v>
      </c>
      <c r="L480" t="s">
        <v>1199</v>
      </c>
      <c r="M480" t="s">
        <v>1130</v>
      </c>
      <c r="N480">
        <v>24</v>
      </c>
      <c r="O480" t="s">
        <v>40</v>
      </c>
      <c r="S480" t="s">
        <v>40</v>
      </c>
      <c r="U480" s="1">
        <v>43344</v>
      </c>
      <c r="V480" t="s">
        <v>41</v>
      </c>
      <c r="W480" t="s">
        <v>75</v>
      </c>
      <c r="X480" t="str">
        <f>"7311002"</f>
        <v>7311002</v>
      </c>
      <c r="Y480" t="s">
        <v>1203</v>
      </c>
      <c r="Z480" t="s">
        <v>1198</v>
      </c>
      <c r="AA480" t="s">
        <v>1199</v>
      </c>
      <c r="AB480" t="s">
        <v>1130</v>
      </c>
      <c r="AC480" t="s">
        <v>51</v>
      </c>
      <c r="AD480" t="s">
        <v>45</v>
      </c>
      <c r="AE480" s="1">
        <v>32722</v>
      </c>
      <c r="AF480">
        <v>1</v>
      </c>
      <c r="AG480" t="s">
        <v>1199</v>
      </c>
      <c r="AH480" s="36">
        <f t="shared" si="7"/>
        <v>29.819444444444443</v>
      </c>
      <c r="AI480" s="40" t="s">
        <v>1777</v>
      </c>
    </row>
    <row r="481" spans="1:35" x14ac:dyDescent="0.25">
      <c r="A481" s="36">
        <v>99910479</v>
      </c>
      <c r="B481" s="17" t="s">
        <v>32</v>
      </c>
      <c r="C481" t="s">
        <v>64</v>
      </c>
      <c r="D481" t="s">
        <v>65</v>
      </c>
      <c r="G481" s="17" t="s">
        <v>35</v>
      </c>
      <c r="H481" s="17">
        <v>1</v>
      </c>
      <c r="I481">
        <v>12817</v>
      </c>
      <c r="J481" s="1">
        <v>43417</v>
      </c>
      <c r="K481" t="s">
        <v>1325</v>
      </c>
      <c r="L481" t="s">
        <v>1326</v>
      </c>
      <c r="M481" t="s">
        <v>1270</v>
      </c>
      <c r="N481">
        <v>23</v>
      </c>
      <c r="O481" t="s">
        <v>40</v>
      </c>
      <c r="S481" t="s">
        <v>40</v>
      </c>
      <c r="U481" s="1">
        <v>43417</v>
      </c>
      <c r="X481" t="str">
        <f>""</f>
        <v/>
      </c>
      <c r="AA481" t="s">
        <v>1326</v>
      </c>
      <c r="AB481" t="s">
        <v>1270</v>
      </c>
      <c r="AC481" t="s">
        <v>44</v>
      </c>
      <c r="AD481" t="s">
        <v>45</v>
      </c>
      <c r="AE481" s="1">
        <v>32720</v>
      </c>
      <c r="AF481">
        <v>2</v>
      </c>
      <c r="AG481" t="s">
        <v>1326</v>
      </c>
      <c r="AH481" s="36">
        <f t="shared" si="7"/>
        <v>29.824999999999999</v>
      </c>
      <c r="AI481" s="40" t="s">
        <v>1777</v>
      </c>
    </row>
    <row r="482" spans="1:35" x14ac:dyDescent="0.25">
      <c r="A482" s="36">
        <v>99910480</v>
      </c>
      <c r="B482" s="17" t="s">
        <v>32</v>
      </c>
      <c r="C482" t="s">
        <v>111</v>
      </c>
      <c r="D482" t="s">
        <v>112</v>
      </c>
      <c r="G482" s="17" t="s">
        <v>35</v>
      </c>
      <c r="H482" s="17">
        <v>1</v>
      </c>
      <c r="I482" s="1">
        <v>42614</v>
      </c>
      <c r="J482" s="1">
        <v>43344</v>
      </c>
      <c r="K482" t="s">
        <v>1341</v>
      </c>
      <c r="L482" t="s">
        <v>1342</v>
      </c>
      <c r="M482" t="s">
        <v>1270</v>
      </c>
      <c r="N482">
        <v>24</v>
      </c>
      <c r="O482" t="s">
        <v>40</v>
      </c>
      <c r="S482" t="s">
        <v>40</v>
      </c>
      <c r="U482" s="1">
        <v>43344</v>
      </c>
      <c r="V482" t="s">
        <v>41</v>
      </c>
      <c r="W482" t="s">
        <v>75</v>
      </c>
      <c r="X482" t="str">
        <f>"7191000"</f>
        <v>7191000</v>
      </c>
      <c r="Y482" t="s">
        <v>1347</v>
      </c>
      <c r="Z482" t="s">
        <v>1341</v>
      </c>
      <c r="AA482" t="s">
        <v>1342</v>
      </c>
      <c r="AB482" t="s">
        <v>1270</v>
      </c>
      <c r="AC482" t="s">
        <v>51</v>
      </c>
      <c r="AD482" t="s">
        <v>45</v>
      </c>
      <c r="AE482" s="1">
        <v>32719</v>
      </c>
      <c r="AF482">
        <v>1</v>
      </c>
      <c r="AG482" t="s">
        <v>1342</v>
      </c>
      <c r="AH482" s="36">
        <f t="shared" si="7"/>
        <v>29.827777777777779</v>
      </c>
      <c r="AI482" s="40" t="s">
        <v>1777</v>
      </c>
    </row>
    <row r="483" spans="1:35" x14ac:dyDescent="0.25">
      <c r="A483" s="36">
        <v>99910481</v>
      </c>
      <c r="B483" s="17" t="s">
        <v>32</v>
      </c>
      <c r="C483" t="s">
        <v>90</v>
      </c>
      <c r="D483" t="s">
        <v>91</v>
      </c>
      <c r="G483" s="17" t="s">
        <v>35</v>
      </c>
      <c r="H483" s="17">
        <v>1</v>
      </c>
      <c r="I483" t="s">
        <v>286</v>
      </c>
      <c r="J483" s="1">
        <v>43344</v>
      </c>
      <c r="K483" t="s">
        <v>268</v>
      </c>
      <c r="L483" t="s">
        <v>269</v>
      </c>
      <c r="M483" t="s">
        <v>131</v>
      </c>
      <c r="N483">
        <v>24</v>
      </c>
      <c r="O483" t="s">
        <v>40</v>
      </c>
      <c r="S483" t="s">
        <v>40</v>
      </c>
      <c r="U483" s="1">
        <v>43344</v>
      </c>
      <c r="V483" t="s">
        <v>41</v>
      </c>
      <c r="W483" t="s">
        <v>95</v>
      </c>
      <c r="X483" t="str">
        <f>"7052043"</f>
        <v>7052043</v>
      </c>
      <c r="Y483" t="s">
        <v>651</v>
      </c>
      <c r="Z483" t="s">
        <v>268</v>
      </c>
      <c r="AA483" t="s">
        <v>269</v>
      </c>
      <c r="AB483" t="s">
        <v>131</v>
      </c>
      <c r="AC483" t="s">
        <v>55</v>
      </c>
      <c r="AD483" t="s">
        <v>45</v>
      </c>
      <c r="AE483" s="1">
        <v>32717</v>
      </c>
      <c r="AF483">
        <v>1</v>
      </c>
      <c r="AG483" t="s">
        <v>269</v>
      </c>
      <c r="AH483" s="36">
        <f t="shared" si="7"/>
        <v>29.833333333333332</v>
      </c>
      <c r="AI483" s="40" t="s">
        <v>1777</v>
      </c>
    </row>
    <row r="484" spans="1:35" x14ac:dyDescent="0.25">
      <c r="A484" s="36">
        <v>99910482</v>
      </c>
      <c r="B484" s="17" t="s">
        <v>32</v>
      </c>
      <c r="C484" t="s">
        <v>46</v>
      </c>
      <c r="D484" t="s">
        <v>47</v>
      </c>
      <c r="G484" s="17" t="s">
        <v>35</v>
      </c>
      <c r="H484" s="17">
        <v>1</v>
      </c>
      <c r="I484">
        <v>12816</v>
      </c>
      <c r="J484" s="1">
        <v>43405</v>
      </c>
      <c r="K484" t="s">
        <v>1325</v>
      </c>
      <c r="L484" t="s">
        <v>1326</v>
      </c>
      <c r="M484" t="s">
        <v>1270</v>
      </c>
      <c r="N484">
        <v>10</v>
      </c>
      <c r="O484" t="s">
        <v>40</v>
      </c>
      <c r="S484" t="s">
        <v>40</v>
      </c>
      <c r="U484" s="1">
        <v>43405</v>
      </c>
      <c r="X484" t="str">
        <f>""</f>
        <v/>
      </c>
      <c r="AA484" t="s">
        <v>1326</v>
      </c>
      <c r="AB484" t="s">
        <v>1270</v>
      </c>
      <c r="AC484" t="s">
        <v>44</v>
      </c>
      <c r="AD484" t="s">
        <v>45</v>
      </c>
      <c r="AE484" s="1">
        <v>32716</v>
      </c>
      <c r="AF484">
        <v>2</v>
      </c>
      <c r="AG484" t="s">
        <v>1326</v>
      </c>
      <c r="AH484" s="36">
        <f t="shared" si="7"/>
        <v>29.836111111111112</v>
      </c>
      <c r="AI484" s="40" t="s">
        <v>1777</v>
      </c>
    </row>
    <row r="485" spans="1:35" x14ac:dyDescent="0.25">
      <c r="A485" s="36">
        <v>99910483</v>
      </c>
      <c r="B485" s="17" t="s">
        <v>56</v>
      </c>
      <c r="C485" t="s">
        <v>111</v>
      </c>
      <c r="D485" t="s">
        <v>112</v>
      </c>
      <c r="G485" s="17" t="s">
        <v>48</v>
      </c>
      <c r="H485" s="17">
        <v>1</v>
      </c>
      <c r="K485" t="s">
        <v>1081</v>
      </c>
      <c r="L485" t="s">
        <v>1082</v>
      </c>
      <c r="M485" t="s">
        <v>1053</v>
      </c>
      <c r="N485">
        <v>24</v>
      </c>
      <c r="O485" t="s">
        <v>40</v>
      </c>
      <c r="P485" t="s">
        <v>40</v>
      </c>
      <c r="Q485" t="s">
        <v>40</v>
      </c>
      <c r="S485" t="s">
        <v>40</v>
      </c>
      <c r="V485" t="s">
        <v>41</v>
      </c>
      <c r="W485" t="s">
        <v>75</v>
      </c>
      <c r="X485" t="str">
        <f>"7201008"</f>
        <v>7201008</v>
      </c>
      <c r="Y485" t="s">
        <v>1084</v>
      </c>
      <c r="Z485" t="s">
        <v>1081</v>
      </c>
      <c r="AA485" t="s">
        <v>1082</v>
      </c>
      <c r="AB485" t="s">
        <v>1053</v>
      </c>
      <c r="AC485" t="s">
        <v>51</v>
      </c>
      <c r="AD485" t="s">
        <v>45</v>
      </c>
      <c r="AE485" s="1">
        <v>32715</v>
      </c>
      <c r="AF485">
        <v>1</v>
      </c>
      <c r="AG485" t="s">
        <v>1082</v>
      </c>
      <c r="AH485" s="36">
        <f t="shared" si="7"/>
        <v>29.838888888888889</v>
      </c>
      <c r="AI485" s="40" t="s">
        <v>1777</v>
      </c>
    </row>
    <row r="486" spans="1:35" x14ac:dyDescent="0.25">
      <c r="A486" s="36">
        <v>99910484</v>
      </c>
      <c r="B486" s="17" t="s">
        <v>32</v>
      </c>
      <c r="C486" t="s">
        <v>90</v>
      </c>
      <c r="D486" t="s">
        <v>91</v>
      </c>
      <c r="G486" s="17" t="s">
        <v>35</v>
      </c>
      <c r="H486" s="17">
        <v>1</v>
      </c>
      <c r="I486">
        <v>4</v>
      </c>
      <c r="J486" s="1">
        <v>43346</v>
      </c>
      <c r="K486" t="s">
        <v>101</v>
      </c>
      <c r="L486" t="s">
        <v>102</v>
      </c>
      <c r="M486" t="s">
        <v>39</v>
      </c>
      <c r="N486">
        <v>25</v>
      </c>
      <c r="O486" t="s">
        <v>40</v>
      </c>
      <c r="S486" t="s">
        <v>40</v>
      </c>
      <c r="U486" s="1">
        <v>43346</v>
      </c>
      <c r="V486" t="s">
        <v>41</v>
      </c>
      <c r="W486" t="s">
        <v>95</v>
      </c>
      <c r="X486" t="str">
        <f>"7111005"</f>
        <v>7111005</v>
      </c>
      <c r="Y486" t="s">
        <v>103</v>
      </c>
      <c r="Z486" t="s">
        <v>101</v>
      </c>
      <c r="AA486" t="s">
        <v>102</v>
      </c>
      <c r="AB486" t="s">
        <v>39</v>
      </c>
      <c r="AC486" t="s">
        <v>44</v>
      </c>
      <c r="AD486" t="s">
        <v>45</v>
      </c>
      <c r="AE486" s="1">
        <v>32713</v>
      </c>
      <c r="AF486">
        <v>1</v>
      </c>
      <c r="AG486" t="s">
        <v>102</v>
      </c>
      <c r="AH486" s="36">
        <f t="shared" si="7"/>
        <v>29.844444444444445</v>
      </c>
      <c r="AI486" s="40" t="s">
        <v>1777</v>
      </c>
    </row>
    <row r="487" spans="1:35" x14ac:dyDescent="0.25">
      <c r="A487" s="36">
        <v>99910485</v>
      </c>
      <c r="B487" s="17" t="s">
        <v>32</v>
      </c>
      <c r="C487" t="s">
        <v>61</v>
      </c>
      <c r="D487" t="s">
        <v>62</v>
      </c>
      <c r="G487" s="17" t="s">
        <v>35</v>
      </c>
      <c r="H487" s="17">
        <v>1</v>
      </c>
      <c r="I487">
        <v>18262</v>
      </c>
      <c r="J487" s="1">
        <v>43344</v>
      </c>
      <c r="K487" t="s">
        <v>223</v>
      </c>
      <c r="L487" t="s">
        <v>224</v>
      </c>
      <c r="M487" t="s">
        <v>131</v>
      </c>
      <c r="N487">
        <v>3</v>
      </c>
      <c r="O487" t="s">
        <v>40</v>
      </c>
      <c r="S487" t="s">
        <v>40</v>
      </c>
      <c r="U487" s="1">
        <v>43344</v>
      </c>
      <c r="V487" t="s">
        <v>41</v>
      </c>
      <c r="W487" t="s">
        <v>49</v>
      </c>
      <c r="X487" t="str">
        <f>"0560008"</f>
        <v>0560008</v>
      </c>
      <c r="Y487" t="s">
        <v>263</v>
      </c>
      <c r="Z487" t="s">
        <v>223</v>
      </c>
      <c r="AA487" t="s">
        <v>224</v>
      </c>
      <c r="AB487" t="s">
        <v>131</v>
      </c>
      <c r="AC487" t="s">
        <v>44</v>
      </c>
      <c r="AD487" t="s">
        <v>45</v>
      </c>
      <c r="AE487" s="1">
        <v>32710</v>
      </c>
      <c r="AF487">
        <v>2</v>
      </c>
      <c r="AG487" t="s">
        <v>224</v>
      </c>
      <c r="AH487" s="36">
        <f t="shared" si="7"/>
        <v>29.852777777777778</v>
      </c>
      <c r="AI487" s="40" t="s">
        <v>1777</v>
      </c>
    </row>
    <row r="488" spans="1:35" x14ac:dyDescent="0.25">
      <c r="A488" s="36">
        <v>99910486</v>
      </c>
      <c r="B488" s="17" t="s">
        <v>32</v>
      </c>
      <c r="C488" t="s">
        <v>111</v>
      </c>
      <c r="D488" t="s">
        <v>112</v>
      </c>
      <c r="G488" s="17" t="s">
        <v>35</v>
      </c>
      <c r="H488" s="17">
        <v>1</v>
      </c>
      <c r="K488" t="s">
        <v>1221</v>
      </c>
      <c r="L488" t="s">
        <v>1222</v>
      </c>
      <c r="M488" t="s">
        <v>1130</v>
      </c>
      <c r="N488">
        <v>24</v>
      </c>
      <c r="O488" t="s">
        <v>40</v>
      </c>
      <c r="P488" t="s">
        <v>40</v>
      </c>
      <c r="Q488" t="s">
        <v>40</v>
      </c>
      <c r="R488" t="s">
        <v>40</v>
      </c>
      <c r="S488" t="s">
        <v>40</v>
      </c>
      <c r="V488" t="s">
        <v>41</v>
      </c>
      <c r="W488" t="s">
        <v>75</v>
      </c>
      <c r="X488" t="str">
        <f>"7351004"</f>
        <v>7351004</v>
      </c>
      <c r="Y488" t="s">
        <v>1225</v>
      </c>
      <c r="Z488" t="s">
        <v>1221</v>
      </c>
      <c r="AA488" t="s">
        <v>1222</v>
      </c>
      <c r="AB488" t="s">
        <v>1130</v>
      </c>
      <c r="AC488" t="s">
        <v>44</v>
      </c>
      <c r="AD488" t="s">
        <v>45</v>
      </c>
      <c r="AE488" s="1">
        <v>32707</v>
      </c>
      <c r="AF488">
        <v>1</v>
      </c>
      <c r="AG488" t="s">
        <v>1222</v>
      </c>
      <c r="AH488" s="36">
        <f t="shared" si="7"/>
        <v>29.861111111111111</v>
      </c>
      <c r="AI488" s="40" t="s">
        <v>1777</v>
      </c>
    </row>
    <row r="489" spans="1:35" x14ac:dyDescent="0.25">
      <c r="A489" s="36">
        <v>99910487</v>
      </c>
      <c r="B489" s="17" t="s">
        <v>32</v>
      </c>
      <c r="C489" t="s">
        <v>61</v>
      </c>
      <c r="D489" t="s">
        <v>62</v>
      </c>
      <c r="G489" s="17" t="s">
        <v>88</v>
      </c>
      <c r="H489" s="17">
        <v>2</v>
      </c>
      <c r="I489" t="s">
        <v>558</v>
      </c>
      <c r="J489" s="1">
        <v>41883</v>
      </c>
      <c r="K489" t="s">
        <v>195</v>
      </c>
      <c r="L489" t="s">
        <v>196</v>
      </c>
      <c r="M489" t="s">
        <v>131</v>
      </c>
      <c r="N489">
        <v>24</v>
      </c>
      <c r="O489" t="s">
        <v>40</v>
      </c>
      <c r="P489" t="s">
        <v>40</v>
      </c>
      <c r="Q489" t="s">
        <v>40</v>
      </c>
      <c r="R489" t="s">
        <v>40</v>
      </c>
      <c r="S489" t="s">
        <v>40</v>
      </c>
      <c r="U489" s="1">
        <v>41883</v>
      </c>
      <c r="V489" t="s">
        <v>41</v>
      </c>
      <c r="W489" t="s">
        <v>75</v>
      </c>
      <c r="X489" t="str">
        <f>"7521050"</f>
        <v>7521050</v>
      </c>
      <c r="Y489" t="s">
        <v>194</v>
      </c>
      <c r="Z489" t="s">
        <v>195</v>
      </c>
      <c r="AA489" t="s">
        <v>196</v>
      </c>
      <c r="AB489" t="s">
        <v>131</v>
      </c>
      <c r="AC489" t="s">
        <v>51</v>
      </c>
      <c r="AD489" t="s">
        <v>45</v>
      </c>
      <c r="AE489" s="1">
        <v>32705</v>
      </c>
      <c r="AF489">
        <v>1</v>
      </c>
      <c r="AG489" t="s">
        <v>196</v>
      </c>
      <c r="AH489" s="36">
        <f t="shared" si="7"/>
        <v>29.866666666666667</v>
      </c>
      <c r="AI489" s="40" t="s">
        <v>1777</v>
      </c>
    </row>
    <row r="490" spans="1:35" x14ac:dyDescent="0.25">
      <c r="A490" s="36">
        <v>99910488</v>
      </c>
      <c r="B490" s="17" t="s">
        <v>32</v>
      </c>
      <c r="C490" t="s">
        <v>111</v>
      </c>
      <c r="D490" t="s">
        <v>112</v>
      </c>
      <c r="G490" s="17" t="s">
        <v>48</v>
      </c>
      <c r="H490" s="17">
        <v>1</v>
      </c>
      <c r="K490" t="s">
        <v>154</v>
      </c>
      <c r="L490" t="s">
        <v>155</v>
      </c>
      <c r="M490" t="s">
        <v>131</v>
      </c>
      <c r="N490">
        <v>24</v>
      </c>
      <c r="O490" t="s">
        <v>40</v>
      </c>
      <c r="P490" t="s">
        <v>40</v>
      </c>
      <c r="Q490" t="s">
        <v>40</v>
      </c>
      <c r="S490" t="s">
        <v>40</v>
      </c>
      <c r="V490" t="s">
        <v>41</v>
      </c>
      <c r="W490" t="s">
        <v>75</v>
      </c>
      <c r="X490" t="str">
        <f>"7051018"</f>
        <v>7051018</v>
      </c>
      <c r="Y490" t="s">
        <v>401</v>
      </c>
      <c r="Z490" t="s">
        <v>154</v>
      </c>
      <c r="AA490" t="s">
        <v>155</v>
      </c>
      <c r="AB490" t="s">
        <v>131</v>
      </c>
      <c r="AC490" t="s">
        <v>51</v>
      </c>
      <c r="AD490" t="s">
        <v>45</v>
      </c>
      <c r="AE490" s="1">
        <v>32704</v>
      </c>
      <c r="AF490">
        <v>1</v>
      </c>
      <c r="AG490" t="s">
        <v>155</v>
      </c>
      <c r="AH490" s="36">
        <f t="shared" si="7"/>
        <v>29.869444444444444</v>
      </c>
      <c r="AI490" s="40" t="s">
        <v>1777</v>
      </c>
    </row>
    <row r="491" spans="1:35" x14ac:dyDescent="0.25">
      <c r="A491" s="36">
        <v>99910489</v>
      </c>
      <c r="B491" s="17" t="s">
        <v>56</v>
      </c>
      <c r="C491" t="s">
        <v>111</v>
      </c>
      <c r="D491" t="s">
        <v>112</v>
      </c>
      <c r="G491" s="17" t="s">
        <v>35</v>
      </c>
      <c r="H491" s="17">
        <v>1</v>
      </c>
      <c r="I491" s="1">
        <v>42614</v>
      </c>
      <c r="J491" s="1">
        <v>43344</v>
      </c>
      <c r="K491" t="s">
        <v>1341</v>
      </c>
      <c r="L491" t="s">
        <v>1342</v>
      </c>
      <c r="M491" t="s">
        <v>1270</v>
      </c>
      <c r="N491">
        <v>24</v>
      </c>
      <c r="O491" t="s">
        <v>40</v>
      </c>
      <c r="S491" t="s">
        <v>40</v>
      </c>
      <c r="U491" s="1">
        <v>43344</v>
      </c>
      <c r="V491" t="s">
        <v>41</v>
      </c>
      <c r="W491" t="s">
        <v>75</v>
      </c>
      <c r="X491" t="str">
        <f>"7191000"</f>
        <v>7191000</v>
      </c>
      <c r="Y491" t="s">
        <v>1347</v>
      </c>
      <c r="Z491" t="s">
        <v>1341</v>
      </c>
      <c r="AA491" t="s">
        <v>1342</v>
      </c>
      <c r="AB491" t="s">
        <v>1270</v>
      </c>
      <c r="AC491" t="s">
        <v>51</v>
      </c>
      <c r="AD491" t="s">
        <v>45</v>
      </c>
      <c r="AE491" s="1">
        <v>32704</v>
      </c>
      <c r="AF491">
        <v>1</v>
      </c>
      <c r="AG491" t="s">
        <v>1342</v>
      </c>
      <c r="AH491" s="36">
        <f t="shared" si="7"/>
        <v>29.869444444444444</v>
      </c>
      <c r="AI491" s="40" t="s">
        <v>1777</v>
      </c>
    </row>
    <row r="492" spans="1:35" x14ac:dyDescent="0.25">
      <c r="A492" s="36">
        <v>99910490</v>
      </c>
      <c r="B492" s="17" t="s">
        <v>32</v>
      </c>
      <c r="C492" t="s">
        <v>111</v>
      </c>
      <c r="D492" t="s">
        <v>112</v>
      </c>
      <c r="G492" s="17" t="s">
        <v>88</v>
      </c>
      <c r="H492" s="17">
        <v>3</v>
      </c>
      <c r="I492" t="s">
        <v>567</v>
      </c>
      <c r="J492" s="1">
        <v>41518</v>
      </c>
      <c r="K492" t="s">
        <v>195</v>
      </c>
      <c r="L492" t="s">
        <v>196</v>
      </c>
      <c r="M492" t="s">
        <v>131</v>
      </c>
      <c r="N492">
        <v>24</v>
      </c>
      <c r="O492" t="s">
        <v>40</v>
      </c>
      <c r="P492" t="s">
        <v>40</v>
      </c>
      <c r="Q492" t="s">
        <v>40</v>
      </c>
      <c r="R492" t="s">
        <v>40</v>
      </c>
      <c r="S492" t="s">
        <v>40</v>
      </c>
      <c r="U492" s="1">
        <v>41518</v>
      </c>
      <c r="V492" t="s">
        <v>41</v>
      </c>
      <c r="W492" t="s">
        <v>75</v>
      </c>
      <c r="X492" t="str">
        <f>"7521050"</f>
        <v>7521050</v>
      </c>
      <c r="Y492" t="s">
        <v>194</v>
      </c>
      <c r="Z492" t="s">
        <v>195</v>
      </c>
      <c r="AA492" t="s">
        <v>196</v>
      </c>
      <c r="AB492" t="s">
        <v>131</v>
      </c>
      <c r="AC492" t="s">
        <v>51</v>
      </c>
      <c r="AD492" t="s">
        <v>45</v>
      </c>
      <c r="AE492" s="1">
        <v>32701</v>
      </c>
      <c r="AF492">
        <v>1</v>
      </c>
      <c r="AG492" t="s">
        <v>196</v>
      </c>
      <c r="AH492" s="36">
        <f t="shared" si="7"/>
        <v>29.877777777777776</v>
      </c>
      <c r="AI492" s="40" t="s">
        <v>1777</v>
      </c>
    </row>
    <row r="493" spans="1:35" x14ac:dyDescent="0.25">
      <c r="A493" s="36">
        <v>99910491</v>
      </c>
      <c r="B493" s="17" t="s">
        <v>56</v>
      </c>
      <c r="C493" t="s">
        <v>61</v>
      </c>
      <c r="D493" t="s">
        <v>62</v>
      </c>
      <c r="G493" s="17" t="s">
        <v>48</v>
      </c>
      <c r="H493" s="17">
        <v>1</v>
      </c>
      <c r="K493" t="s">
        <v>300</v>
      </c>
      <c r="L493" t="s">
        <v>301</v>
      </c>
      <c r="M493" t="s">
        <v>131</v>
      </c>
      <c r="N493">
        <v>4</v>
      </c>
      <c r="O493" t="s">
        <v>40</v>
      </c>
      <c r="P493" t="s">
        <v>40</v>
      </c>
      <c r="Q493" t="s">
        <v>40</v>
      </c>
      <c r="R493" t="s">
        <v>40</v>
      </c>
      <c r="S493" t="s">
        <v>40</v>
      </c>
      <c r="V493" t="s">
        <v>41</v>
      </c>
      <c r="W493" t="s">
        <v>49</v>
      </c>
      <c r="X493" t="str">
        <f>"0560029"</f>
        <v>0560029</v>
      </c>
      <c r="Y493" t="s">
        <v>309</v>
      </c>
      <c r="Z493" t="s">
        <v>300</v>
      </c>
      <c r="AA493" t="s">
        <v>301</v>
      </c>
      <c r="AB493" t="s">
        <v>131</v>
      </c>
      <c r="AC493" t="s">
        <v>51</v>
      </c>
      <c r="AD493" t="s">
        <v>45</v>
      </c>
      <c r="AE493" s="1">
        <v>32699</v>
      </c>
      <c r="AF493">
        <v>2</v>
      </c>
      <c r="AG493" t="s">
        <v>301</v>
      </c>
      <c r="AH493" s="36">
        <f t="shared" si="7"/>
        <v>29.883333333333333</v>
      </c>
      <c r="AI493" s="40" t="s">
        <v>1777</v>
      </c>
    </row>
    <row r="494" spans="1:35" x14ac:dyDescent="0.25">
      <c r="A494" s="36">
        <v>99910492</v>
      </c>
      <c r="B494" s="17" t="s">
        <v>32</v>
      </c>
      <c r="C494" t="s">
        <v>85</v>
      </c>
      <c r="D494" t="s">
        <v>86</v>
      </c>
      <c r="G494" s="17" t="s">
        <v>35</v>
      </c>
      <c r="H494" s="17">
        <v>1</v>
      </c>
      <c r="I494">
        <v>18707</v>
      </c>
      <c r="J494" s="1">
        <v>43354</v>
      </c>
      <c r="K494" t="s">
        <v>345</v>
      </c>
      <c r="L494" t="s">
        <v>346</v>
      </c>
      <c r="M494" t="s">
        <v>131</v>
      </c>
      <c r="N494">
        <v>11</v>
      </c>
      <c r="O494" t="s">
        <v>40</v>
      </c>
      <c r="P494" t="s">
        <v>40</v>
      </c>
      <c r="Q494" t="s">
        <v>40</v>
      </c>
      <c r="S494" t="s">
        <v>40</v>
      </c>
      <c r="U494" s="1">
        <v>43354</v>
      </c>
      <c r="V494" t="s">
        <v>41</v>
      </c>
      <c r="W494" t="s">
        <v>49</v>
      </c>
      <c r="X494" t="str">
        <f>"0560004"</f>
        <v>0560004</v>
      </c>
      <c r="Y494" t="s">
        <v>371</v>
      </c>
      <c r="Z494" t="s">
        <v>345</v>
      </c>
      <c r="AA494" t="s">
        <v>346</v>
      </c>
      <c r="AB494" t="s">
        <v>131</v>
      </c>
      <c r="AC494" t="s">
        <v>44</v>
      </c>
      <c r="AD494" t="s">
        <v>45</v>
      </c>
      <c r="AE494" s="1">
        <v>32696</v>
      </c>
      <c r="AF494">
        <v>2</v>
      </c>
      <c r="AG494" t="s">
        <v>346</v>
      </c>
      <c r="AH494" s="36">
        <f t="shared" si="7"/>
        <v>29.891666666666666</v>
      </c>
      <c r="AI494" s="40" t="s">
        <v>1777</v>
      </c>
    </row>
    <row r="495" spans="1:35" x14ac:dyDescent="0.25">
      <c r="A495" s="36">
        <v>99910493</v>
      </c>
      <c r="B495" s="17" t="s">
        <v>56</v>
      </c>
      <c r="C495" t="s">
        <v>298</v>
      </c>
      <c r="D495" t="s">
        <v>299</v>
      </c>
      <c r="G495" s="17" t="s">
        <v>35</v>
      </c>
      <c r="H495" s="17">
        <v>1</v>
      </c>
      <c r="I495">
        <v>0</v>
      </c>
      <c r="J495" s="1">
        <v>43344</v>
      </c>
      <c r="K495" t="s">
        <v>223</v>
      </c>
      <c r="L495" t="s">
        <v>224</v>
      </c>
      <c r="M495" t="s">
        <v>131</v>
      </c>
      <c r="N495">
        <v>18</v>
      </c>
      <c r="O495" t="s">
        <v>40</v>
      </c>
      <c r="P495" t="s">
        <v>40</v>
      </c>
      <c r="Q495" t="s">
        <v>40</v>
      </c>
      <c r="S495" t="s">
        <v>40</v>
      </c>
      <c r="U495" s="1">
        <v>43344</v>
      </c>
      <c r="V495" t="s">
        <v>41</v>
      </c>
      <c r="W495" t="s">
        <v>42</v>
      </c>
      <c r="X495" t="str">
        <f>"0590903"</f>
        <v>0590903</v>
      </c>
      <c r="Y495" t="s">
        <v>226</v>
      </c>
      <c r="Z495" t="s">
        <v>223</v>
      </c>
      <c r="AA495" t="s">
        <v>224</v>
      </c>
      <c r="AB495" t="s">
        <v>131</v>
      </c>
      <c r="AC495" t="s">
        <v>44</v>
      </c>
      <c r="AD495" t="s">
        <v>45</v>
      </c>
      <c r="AE495" s="1">
        <v>32694</v>
      </c>
      <c r="AF495">
        <v>2</v>
      </c>
      <c r="AG495" t="s">
        <v>224</v>
      </c>
      <c r="AH495" s="36">
        <f t="shared" si="7"/>
        <v>29.897222222222222</v>
      </c>
      <c r="AI495" s="40" t="s">
        <v>1777</v>
      </c>
    </row>
    <row r="496" spans="1:35" x14ac:dyDescent="0.25">
      <c r="A496" s="36">
        <v>99910494</v>
      </c>
      <c r="B496" s="17" t="s">
        <v>32</v>
      </c>
      <c r="C496" t="s">
        <v>58</v>
      </c>
      <c r="D496" t="s">
        <v>59</v>
      </c>
      <c r="G496" s="17" t="s">
        <v>48</v>
      </c>
      <c r="H496" s="17">
        <v>1</v>
      </c>
      <c r="K496" t="s">
        <v>162</v>
      </c>
      <c r="L496" t="s">
        <v>158</v>
      </c>
      <c r="M496" t="s">
        <v>131</v>
      </c>
      <c r="N496">
        <v>5</v>
      </c>
      <c r="O496" t="s">
        <v>40</v>
      </c>
      <c r="P496" t="s">
        <v>40</v>
      </c>
      <c r="Q496" t="s">
        <v>40</v>
      </c>
      <c r="S496" t="s">
        <v>40</v>
      </c>
      <c r="V496" t="s">
        <v>41</v>
      </c>
      <c r="W496" t="s">
        <v>49</v>
      </c>
      <c r="X496" t="str">
        <f>"0560027"</f>
        <v>0560027</v>
      </c>
      <c r="Y496" t="s">
        <v>178</v>
      </c>
      <c r="Z496" t="s">
        <v>162</v>
      </c>
      <c r="AA496" t="s">
        <v>158</v>
      </c>
      <c r="AB496" t="s">
        <v>131</v>
      </c>
      <c r="AC496" t="s">
        <v>51</v>
      </c>
      <c r="AD496" t="s">
        <v>45</v>
      </c>
      <c r="AE496" s="1">
        <v>32688</v>
      </c>
      <c r="AF496">
        <v>2</v>
      </c>
      <c r="AG496" t="s">
        <v>158</v>
      </c>
      <c r="AH496" s="36">
        <f t="shared" si="7"/>
        <v>29.913888888888888</v>
      </c>
      <c r="AI496" s="40" t="s">
        <v>1777</v>
      </c>
    </row>
    <row r="497" spans="1:35" x14ac:dyDescent="0.25">
      <c r="A497" s="36">
        <v>99910495</v>
      </c>
      <c r="B497" s="17" t="s">
        <v>32</v>
      </c>
      <c r="C497" t="s">
        <v>111</v>
      </c>
      <c r="D497" t="s">
        <v>112</v>
      </c>
      <c r="G497" s="17" t="s">
        <v>35</v>
      </c>
      <c r="H497" s="17">
        <v>4</v>
      </c>
      <c r="I497" t="s">
        <v>1677</v>
      </c>
      <c r="J497" s="1">
        <v>43356</v>
      </c>
      <c r="K497" t="s">
        <v>1619</v>
      </c>
      <c r="L497" t="s">
        <v>1620</v>
      </c>
      <c r="M497" t="s">
        <v>1592</v>
      </c>
      <c r="N497">
        <v>24</v>
      </c>
      <c r="O497" t="s">
        <v>40</v>
      </c>
      <c r="P497" t="s">
        <v>40</v>
      </c>
      <c r="Q497" t="s">
        <v>40</v>
      </c>
      <c r="R497" t="s">
        <v>40</v>
      </c>
      <c r="S497" t="s">
        <v>40</v>
      </c>
      <c r="U497" s="1">
        <v>43356</v>
      </c>
      <c r="V497" t="s">
        <v>41</v>
      </c>
      <c r="W497" t="s">
        <v>75</v>
      </c>
      <c r="X497" t="str">
        <f>"7281002"</f>
        <v>7281002</v>
      </c>
      <c r="Y497" t="s">
        <v>1660</v>
      </c>
      <c r="Z497" t="s">
        <v>1619</v>
      </c>
      <c r="AA497" t="s">
        <v>1620</v>
      </c>
      <c r="AB497" t="s">
        <v>1592</v>
      </c>
      <c r="AC497" t="s">
        <v>51</v>
      </c>
      <c r="AD497" t="s">
        <v>45</v>
      </c>
      <c r="AE497" s="1">
        <v>32688</v>
      </c>
      <c r="AF497">
        <v>1</v>
      </c>
      <c r="AG497" t="s">
        <v>1620</v>
      </c>
      <c r="AH497" s="36">
        <f t="shared" si="7"/>
        <v>29.913888888888888</v>
      </c>
      <c r="AI497" s="40" t="s">
        <v>1777</v>
      </c>
    </row>
    <row r="498" spans="1:35" x14ac:dyDescent="0.25">
      <c r="A498" s="36">
        <v>99910496</v>
      </c>
      <c r="B498" s="17" t="s">
        <v>32</v>
      </c>
      <c r="C498" t="s">
        <v>90</v>
      </c>
      <c r="D498" t="s">
        <v>91</v>
      </c>
      <c r="G498" s="17" t="s">
        <v>35</v>
      </c>
      <c r="H498" s="17">
        <v>1</v>
      </c>
      <c r="I498">
        <v>12591</v>
      </c>
      <c r="J498" s="1">
        <v>43344</v>
      </c>
      <c r="K498" t="s">
        <v>667</v>
      </c>
      <c r="L498" t="s">
        <v>669</v>
      </c>
      <c r="M498" t="s">
        <v>670</v>
      </c>
      <c r="N498">
        <v>25</v>
      </c>
      <c r="O498" t="s">
        <v>40</v>
      </c>
      <c r="P498" t="s">
        <v>40</v>
      </c>
      <c r="Q498" t="s">
        <v>40</v>
      </c>
      <c r="S498" t="s">
        <v>40</v>
      </c>
      <c r="U498" s="1">
        <v>43344</v>
      </c>
      <c r="V498" t="s">
        <v>41</v>
      </c>
      <c r="W498" t="s">
        <v>95</v>
      </c>
      <c r="X498" t="str">
        <f>"7501017"</f>
        <v>7501017</v>
      </c>
      <c r="Y498" t="s">
        <v>1521</v>
      </c>
      <c r="Z498" t="s">
        <v>667</v>
      </c>
      <c r="AA498" t="s">
        <v>669</v>
      </c>
      <c r="AB498" t="s">
        <v>670</v>
      </c>
      <c r="AC498" t="s">
        <v>44</v>
      </c>
      <c r="AD498" t="s">
        <v>45</v>
      </c>
      <c r="AE498" s="1">
        <v>32683</v>
      </c>
      <c r="AF498">
        <v>1</v>
      </c>
      <c r="AG498" t="s">
        <v>669</v>
      </c>
      <c r="AH498" s="36">
        <f t="shared" si="7"/>
        <v>29.927777777777777</v>
      </c>
      <c r="AI498" s="40" t="s">
        <v>1777</v>
      </c>
    </row>
    <row r="499" spans="1:35" x14ac:dyDescent="0.25">
      <c r="A499" s="36">
        <v>99910497</v>
      </c>
      <c r="B499" s="17" t="s">
        <v>32</v>
      </c>
      <c r="C499" t="s">
        <v>111</v>
      </c>
      <c r="D499" t="s">
        <v>112</v>
      </c>
      <c r="G499" s="17" t="s">
        <v>35</v>
      </c>
      <c r="H499" s="17">
        <v>1</v>
      </c>
      <c r="I499" t="s">
        <v>1678</v>
      </c>
      <c r="J499" s="1">
        <v>43344</v>
      </c>
      <c r="K499" t="s">
        <v>1619</v>
      </c>
      <c r="L499" t="s">
        <v>1620</v>
      </c>
      <c r="M499" t="s">
        <v>1592</v>
      </c>
      <c r="N499">
        <v>20</v>
      </c>
      <c r="O499" t="s">
        <v>40</v>
      </c>
      <c r="P499" t="s">
        <v>40</v>
      </c>
      <c r="Q499" t="s">
        <v>40</v>
      </c>
      <c r="R499" t="s">
        <v>40</v>
      </c>
      <c r="S499" t="s">
        <v>40</v>
      </c>
      <c r="U499" s="1">
        <v>43344</v>
      </c>
      <c r="V499" t="s">
        <v>41</v>
      </c>
      <c r="W499" t="s">
        <v>75</v>
      </c>
      <c r="X499" t="str">
        <f>"7281002"</f>
        <v>7281002</v>
      </c>
      <c r="Y499" t="s">
        <v>1660</v>
      </c>
      <c r="Z499" t="s">
        <v>1619</v>
      </c>
      <c r="AA499" t="s">
        <v>1620</v>
      </c>
      <c r="AB499" t="s">
        <v>1592</v>
      </c>
      <c r="AC499" t="s">
        <v>51</v>
      </c>
      <c r="AD499" t="s">
        <v>45</v>
      </c>
      <c r="AE499" s="1">
        <v>32682</v>
      </c>
      <c r="AF499">
        <v>1</v>
      </c>
      <c r="AG499" t="s">
        <v>1620</v>
      </c>
      <c r="AH499" s="36">
        <f t="shared" si="7"/>
        <v>29.930555555555557</v>
      </c>
      <c r="AI499" s="40" t="s">
        <v>1777</v>
      </c>
    </row>
    <row r="500" spans="1:35" x14ac:dyDescent="0.25">
      <c r="A500" s="36">
        <v>99910498</v>
      </c>
      <c r="B500" s="17" t="s">
        <v>32</v>
      </c>
      <c r="C500" t="s">
        <v>111</v>
      </c>
      <c r="D500" t="s">
        <v>112</v>
      </c>
      <c r="G500" s="17" t="s">
        <v>35</v>
      </c>
      <c r="H500" s="17">
        <v>1</v>
      </c>
      <c r="I500" t="s">
        <v>1682</v>
      </c>
      <c r="J500" s="1">
        <v>43344</v>
      </c>
      <c r="K500" t="s">
        <v>1619</v>
      </c>
      <c r="L500" t="s">
        <v>1620</v>
      </c>
      <c r="M500" t="s">
        <v>1592</v>
      </c>
      <c r="N500">
        <v>24</v>
      </c>
      <c r="O500" t="s">
        <v>40</v>
      </c>
      <c r="P500" t="s">
        <v>40</v>
      </c>
      <c r="Q500" t="s">
        <v>40</v>
      </c>
      <c r="R500" t="s">
        <v>40</v>
      </c>
      <c r="S500" t="s">
        <v>40</v>
      </c>
      <c r="U500" s="1">
        <v>43344</v>
      </c>
      <c r="V500" t="s">
        <v>41</v>
      </c>
      <c r="W500" t="s">
        <v>75</v>
      </c>
      <c r="X500" t="str">
        <f>"7281002"</f>
        <v>7281002</v>
      </c>
      <c r="Y500" t="s">
        <v>1660</v>
      </c>
      <c r="Z500" t="s">
        <v>1619</v>
      </c>
      <c r="AA500" t="s">
        <v>1620</v>
      </c>
      <c r="AB500" t="s">
        <v>1592</v>
      </c>
      <c r="AC500" t="s">
        <v>51</v>
      </c>
      <c r="AD500" t="s">
        <v>45</v>
      </c>
      <c r="AE500" s="1">
        <v>32680</v>
      </c>
      <c r="AF500">
        <v>1</v>
      </c>
      <c r="AG500" t="s">
        <v>1620</v>
      </c>
      <c r="AH500" s="36">
        <f t="shared" si="7"/>
        <v>29.93611111111111</v>
      </c>
      <c r="AI500" s="40" t="s">
        <v>1777</v>
      </c>
    </row>
    <row r="501" spans="1:35" x14ac:dyDescent="0.25">
      <c r="A501" s="36">
        <v>99910499</v>
      </c>
      <c r="B501" s="17" t="s">
        <v>32</v>
      </c>
      <c r="C501" t="s">
        <v>139</v>
      </c>
      <c r="D501" t="s">
        <v>140</v>
      </c>
      <c r="G501" s="17" t="s">
        <v>35</v>
      </c>
      <c r="H501" s="17">
        <v>1</v>
      </c>
      <c r="I501">
        <v>18766</v>
      </c>
      <c r="J501" s="1">
        <v>43344</v>
      </c>
      <c r="K501" t="s">
        <v>380</v>
      </c>
      <c r="L501" t="s">
        <v>381</v>
      </c>
      <c r="M501" t="s">
        <v>131</v>
      </c>
      <c r="N501">
        <v>6</v>
      </c>
      <c r="O501" t="s">
        <v>40</v>
      </c>
      <c r="S501" t="s">
        <v>40</v>
      </c>
      <c r="U501" s="1">
        <v>43344</v>
      </c>
      <c r="V501" t="s">
        <v>41</v>
      </c>
      <c r="W501" t="s">
        <v>49</v>
      </c>
      <c r="X501" t="str">
        <f>"0580552"</f>
        <v>0580552</v>
      </c>
      <c r="Y501" t="s">
        <v>386</v>
      </c>
      <c r="Z501" t="s">
        <v>380</v>
      </c>
      <c r="AA501" t="s">
        <v>381</v>
      </c>
      <c r="AB501" t="s">
        <v>131</v>
      </c>
      <c r="AC501" t="s">
        <v>55</v>
      </c>
      <c r="AD501" t="s">
        <v>45</v>
      </c>
      <c r="AE501" s="1">
        <v>32676</v>
      </c>
      <c r="AF501">
        <v>2</v>
      </c>
      <c r="AG501" t="s">
        <v>381</v>
      </c>
      <c r="AH501" s="36">
        <f t="shared" si="7"/>
        <v>29.947222222222223</v>
      </c>
      <c r="AI501" s="40" t="s">
        <v>1777</v>
      </c>
    </row>
    <row r="502" spans="1:35" x14ac:dyDescent="0.25">
      <c r="A502" s="36">
        <v>99910500</v>
      </c>
      <c r="B502" s="17" t="s">
        <v>32</v>
      </c>
      <c r="C502" t="s">
        <v>111</v>
      </c>
      <c r="D502" t="s">
        <v>112</v>
      </c>
      <c r="G502" s="17" t="s">
        <v>35</v>
      </c>
      <c r="H502" s="17">
        <v>1</v>
      </c>
      <c r="I502">
        <v>14527</v>
      </c>
      <c r="J502" s="1">
        <v>43344</v>
      </c>
      <c r="K502" t="s">
        <v>354</v>
      </c>
      <c r="L502" t="s">
        <v>355</v>
      </c>
      <c r="M502" t="s">
        <v>131</v>
      </c>
      <c r="N502">
        <v>24</v>
      </c>
      <c r="O502" t="s">
        <v>40</v>
      </c>
      <c r="S502" t="s">
        <v>40</v>
      </c>
      <c r="U502" s="1">
        <v>43344</v>
      </c>
      <c r="V502" t="s">
        <v>41</v>
      </c>
      <c r="W502" t="s">
        <v>75</v>
      </c>
      <c r="X502" t="str">
        <f>"7054022"</f>
        <v>7054022</v>
      </c>
      <c r="Y502" t="s">
        <v>770</v>
      </c>
      <c r="Z502" t="s">
        <v>354</v>
      </c>
      <c r="AA502" t="s">
        <v>355</v>
      </c>
      <c r="AB502" t="s">
        <v>131</v>
      </c>
      <c r="AC502" t="s">
        <v>55</v>
      </c>
      <c r="AD502" t="s">
        <v>45</v>
      </c>
      <c r="AE502" s="1">
        <v>32675</v>
      </c>
      <c r="AF502">
        <v>1</v>
      </c>
      <c r="AG502" t="s">
        <v>355</v>
      </c>
      <c r="AH502" s="36">
        <f t="shared" si="7"/>
        <v>29.95</v>
      </c>
      <c r="AI502" s="40" t="s">
        <v>1777</v>
      </c>
    </row>
    <row r="503" spans="1:35" x14ac:dyDescent="0.25">
      <c r="A503" s="36">
        <v>99910501</v>
      </c>
      <c r="B503" s="17" t="s">
        <v>32</v>
      </c>
      <c r="C503" t="s">
        <v>111</v>
      </c>
      <c r="D503" t="s">
        <v>112</v>
      </c>
      <c r="G503" s="17" t="s">
        <v>35</v>
      </c>
      <c r="H503" s="17">
        <v>1</v>
      </c>
      <c r="I503" t="s">
        <v>680</v>
      </c>
      <c r="J503" s="1">
        <v>43344</v>
      </c>
      <c r="K503" t="s">
        <v>268</v>
      </c>
      <c r="L503" t="s">
        <v>269</v>
      </c>
      <c r="M503" t="s">
        <v>131</v>
      </c>
      <c r="N503">
        <v>24</v>
      </c>
      <c r="O503" t="s">
        <v>40</v>
      </c>
      <c r="P503" t="s">
        <v>40</v>
      </c>
      <c r="Q503" t="s">
        <v>40</v>
      </c>
      <c r="R503" t="s">
        <v>40</v>
      </c>
      <c r="S503" t="s">
        <v>40</v>
      </c>
      <c r="U503" s="1">
        <v>43344</v>
      </c>
      <c r="V503" t="s">
        <v>41</v>
      </c>
      <c r="W503" t="s">
        <v>75</v>
      </c>
      <c r="X503" t="str">
        <f>"7052018"</f>
        <v>7052018</v>
      </c>
      <c r="Y503" t="s">
        <v>577</v>
      </c>
      <c r="Z503" t="s">
        <v>268</v>
      </c>
      <c r="AA503" t="s">
        <v>269</v>
      </c>
      <c r="AB503" t="s">
        <v>131</v>
      </c>
      <c r="AC503" t="s">
        <v>51</v>
      </c>
      <c r="AD503" t="s">
        <v>45</v>
      </c>
      <c r="AE503" s="1">
        <v>32674</v>
      </c>
      <c r="AF503">
        <v>1</v>
      </c>
      <c r="AG503" t="s">
        <v>269</v>
      </c>
      <c r="AH503" s="36">
        <f t="shared" si="7"/>
        <v>29.952777777777779</v>
      </c>
      <c r="AI503" s="40" t="s">
        <v>1777</v>
      </c>
    </row>
    <row r="504" spans="1:35" x14ac:dyDescent="0.25">
      <c r="A504" s="36">
        <v>99910502</v>
      </c>
      <c r="B504" s="17" t="s">
        <v>32</v>
      </c>
      <c r="C504" t="s">
        <v>111</v>
      </c>
      <c r="D504" t="s">
        <v>112</v>
      </c>
      <c r="G504" s="17" t="s">
        <v>35</v>
      </c>
      <c r="H504" s="17">
        <v>1</v>
      </c>
      <c r="I504">
        <v>14593</v>
      </c>
      <c r="J504" s="1">
        <v>43344</v>
      </c>
      <c r="K504" t="s">
        <v>354</v>
      </c>
      <c r="L504" t="s">
        <v>355</v>
      </c>
      <c r="M504" t="s">
        <v>131</v>
      </c>
      <c r="N504">
        <v>24</v>
      </c>
      <c r="O504" t="s">
        <v>40</v>
      </c>
      <c r="Q504" t="s">
        <v>40</v>
      </c>
      <c r="S504" t="s">
        <v>40</v>
      </c>
      <c r="U504" s="1">
        <v>43344</v>
      </c>
      <c r="V504" t="s">
        <v>41</v>
      </c>
      <c r="W504" t="s">
        <v>75</v>
      </c>
      <c r="X504" t="str">
        <f>"7054006"</f>
        <v>7054006</v>
      </c>
      <c r="Y504" t="s">
        <v>774</v>
      </c>
      <c r="Z504" t="s">
        <v>354</v>
      </c>
      <c r="AA504" t="s">
        <v>355</v>
      </c>
      <c r="AB504" t="s">
        <v>131</v>
      </c>
      <c r="AC504" t="s">
        <v>51</v>
      </c>
      <c r="AD504" t="s">
        <v>45</v>
      </c>
      <c r="AE504" s="1">
        <v>32673</v>
      </c>
      <c r="AF504">
        <v>1</v>
      </c>
      <c r="AG504" t="s">
        <v>355</v>
      </c>
      <c r="AH504" s="36">
        <f t="shared" si="7"/>
        <v>29.955555555555556</v>
      </c>
      <c r="AI504" s="40" t="s">
        <v>1777</v>
      </c>
    </row>
    <row r="505" spans="1:35" x14ac:dyDescent="0.25">
      <c r="A505" s="36">
        <v>99910503</v>
      </c>
      <c r="B505" s="17" t="s">
        <v>32</v>
      </c>
      <c r="C505" t="s">
        <v>58</v>
      </c>
      <c r="D505" t="s">
        <v>59</v>
      </c>
      <c r="G505" s="17" t="s">
        <v>35</v>
      </c>
      <c r="H505" s="17">
        <v>4</v>
      </c>
      <c r="I505">
        <v>18015</v>
      </c>
      <c r="J505" s="1">
        <v>43344</v>
      </c>
      <c r="K505" t="s">
        <v>1268</v>
      </c>
      <c r="L505" t="s">
        <v>1269</v>
      </c>
      <c r="M505" t="s">
        <v>1270</v>
      </c>
      <c r="N505">
        <v>23</v>
      </c>
      <c r="O505" t="s">
        <v>40</v>
      </c>
      <c r="P505" t="s">
        <v>40</v>
      </c>
      <c r="Q505" t="s">
        <v>40</v>
      </c>
      <c r="R505" t="s">
        <v>40</v>
      </c>
      <c r="S505" t="s">
        <v>40</v>
      </c>
      <c r="U505" s="1">
        <v>43344</v>
      </c>
      <c r="V505" t="s">
        <v>41</v>
      </c>
      <c r="W505" t="s">
        <v>49</v>
      </c>
      <c r="X505" t="str">
        <f>"1981055"</f>
        <v>1981055</v>
      </c>
      <c r="Y505" t="s">
        <v>1280</v>
      </c>
      <c r="Z505" t="s">
        <v>1268</v>
      </c>
      <c r="AA505" t="s">
        <v>1269</v>
      </c>
      <c r="AB505" t="s">
        <v>1270</v>
      </c>
      <c r="AC505" t="s">
        <v>44</v>
      </c>
      <c r="AD505" t="s">
        <v>45</v>
      </c>
      <c r="AE505" s="1">
        <v>32673</v>
      </c>
      <c r="AF505">
        <v>2</v>
      </c>
      <c r="AG505" t="s">
        <v>1269</v>
      </c>
      <c r="AH505" s="36">
        <f t="shared" si="7"/>
        <v>29.955555555555556</v>
      </c>
      <c r="AI505" s="40" t="s">
        <v>1777</v>
      </c>
    </row>
    <row r="506" spans="1:35" x14ac:dyDescent="0.25">
      <c r="A506" s="36">
        <v>99910504</v>
      </c>
      <c r="B506" s="17" t="s">
        <v>32</v>
      </c>
      <c r="C506" t="s">
        <v>90</v>
      </c>
      <c r="D506" t="s">
        <v>91</v>
      </c>
      <c r="G506" s="17" t="s">
        <v>48</v>
      </c>
      <c r="H506" s="17">
        <v>1</v>
      </c>
      <c r="K506" t="s">
        <v>1341</v>
      </c>
      <c r="L506" t="s">
        <v>1342</v>
      </c>
      <c r="M506" t="s">
        <v>1270</v>
      </c>
      <c r="N506">
        <v>25</v>
      </c>
      <c r="O506" t="s">
        <v>40</v>
      </c>
      <c r="P506" t="s">
        <v>40</v>
      </c>
      <c r="Q506" t="s">
        <v>40</v>
      </c>
      <c r="S506" t="s">
        <v>40</v>
      </c>
      <c r="V506" t="s">
        <v>41</v>
      </c>
      <c r="W506" t="s">
        <v>95</v>
      </c>
      <c r="X506" t="str">
        <f>"7191027"</f>
        <v>7191027</v>
      </c>
      <c r="Y506" t="s">
        <v>1363</v>
      </c>
      <c r="Z506" t="s">
        <v>1341</v>
      </c>
      <c r="AA506" t="s">
        <v>1342</v>
      </c>
      <c r="AB506" t="s">
        <v>1270</v>
      </c>
      <c r="AC506" t="s">
        <v>51</v>
      </c>
      <c r="AD506" t="s">
        <v>45</v>
      </c>
      <c r="AE506" s="1">
        <v>32673</v>
      </c>
      <c r="AF506">
        <v>1</v>
      </c>
      <c r="AG506" t="s">
        <v>1342</v>
      </c>
      <c r="AH506" s="36">
        <f t="shared" si="7"/>
        <v>29.955555555555556</v>
      </c>
      <c r="AI506" s="40" t="s">
        <v>1777</v>
      </c>
    </row>
    <row r="507" spans="1:35" x14ac:dyDescent="0.25">
      <c r="A507" s="36">
        <v>99910505</v>
      </c>
      <c r="B507" s="17" t="s">
        <v>32</v>
      </c>
      <c r="C507" t="s">
        <v>111</v>
      </c>
      <c r="D507" t="s">
        <v>112</v>
      </c>
      <c r="G507" s="17" t="s">
        <v>48</v>
      </c>
      <c r="H507" s="17">
        <v>1</v>
      </c>
      <c r="K507" t="s">
        <v>1708</v>
      </c>
      <c r="L507" t="s">
        <v>1709</v>
      </c>
      <c r="M507" t="s">
        <v>1705</v>
      </c>
      <c r="N507">
        <v>24</v>
      </c>
      <c r="O507" t="s">
        <v>40</v>
      </c>
      <c r="P507" t="s">
        <v>40</v>
      </c>
      <c r="Q507" t="s">
        <v>40</v>
      </c>
      <c r="S507" t="s">
        <v>40</v>
      </c>
      <c r="V507" t="s">
        <v>41</v>
      </c>
      <c r="W507" t="s">
        <v>75</v>
      </c>
      <c r="X507" t="str">
        <f>"7121000"</f>
        <v>7121000</v>
      </c>
      <c r="Y507" t="s">
        <v>1713</v>
      </c>
      <c r="Z507" t="s">
        <v>1708</v>
      </c>
      <c r="AA507" t="s">
        <v>1709</v>
      </c>
      <c r="AB507" t="s">
        <v>1705</v>
      </c>
      <c r="AC507" t="s">
        <v>51</v>
      </c>
      <c r="AD507" t="s">
        <v>45</v>
      </c>
      <c r="AE507" s="1">
        <v>32673</v>
      </c>
      <c r="AF507">
        <v>1</v>
      </c>
      <c r="AG507" t="s">
        <v>1709</v>
      </c>
      <c r="AH507" s="36">
        <f t="shared" si="7"/>
        <v>29.955555555555556</v>
      </c>
      <c r="AI507" s="40" t="s">
        <v>1777</v>
      </c>
    </row>
    <row r="508" spans="1:35" x14ac:dyDescent="0.25">
      <c r="A508" s="36">
        <v>99910506</v>
      </c>
      <c r="B508" s="17" t="s">
        <v>32</v>
      </c>
      <c r="C508" t="s">
        <v>90</v>
      </c>
      <c r="D508" t="s">
        <v>91</v>
      </c>
      <c r="G508" s="17" t="s">
        <v>35</v>
      </c>
      <c r="H508" s="17">
        <v>1</v>
      </c>
      <c r="J508" s="1">
        <v>43344</v>
      </c>
      <c r="K508" t="s">
        <v>354</v>
      </c>
      <c r="L508" t="s">
        <v>355</v>
      </c>
      <c r="M508" t="s">
        <v>131</v>
      </c>
      <c r="N508">
        <v>25</v>
      </c>
      <c r="O508" t="s">
        <v>40</v>
      </c>
      <c r="P508" t="s">
        <v>40</v>
      </c>
      <c r="Q508" t="s">
        <v>40</v>
      </c>
      <c r="R508" t="s">
        <v>40</v>
      </c>
      <c r="S508" t="s">
        <v>40</v>
      </c>
      <c r="U508" s="1">
        <v>43344</v>
      </c>
      <c r="V508" t="s">
        <v>41</v>
      </c>
      <c r="W508" t="s">
        <v>95</v>
      </c>
      <c r="X508" t="str">
        <f>"7054177"</f>
        <v>7054177</v>
      </c>
      <c r="Y508" t="s">
        <v>777</v>
      </c>
      <c r="Z508" t="s">
        <v>354</v>
      </c>
      <c r="AA508" t="s">
        <v>355</v>
      </c>
      <c r="AB508" t="s">
        <v>131</v>
      </c>
      <c r="AC508" t="s">
        <v>51</v>
      </c>
      <c r="AD508" t="s">
        <v>45</v>
      </c>
      <c r="AE508" s="1">
        <v>32671</v>
      </c>
      <c r="AF508">
        <v>1</v>
      </c>
      <c r="AG508" t="s">
        <v>355</v>
      </c>
      <c r="AH508" s="36">
        <f t="shared" si="7"/>
        <v>29.961111111111112</v>
      </c>
      <c r="AI508" s="40" t="s">
        <v>1777</v>
      </c>
    </row>
    <row r="509" spans="1:35" x14ac:dyDescent="0.25">
      <c r="A509" s="36">
        <v>99910507</v>
      </c>
      <c r="B509" s="17" t="s">
        <v>32</v>
      </c>
      <c r="C509" t="s">
        <v>111</v>
      </c>
      <c r="D509" t="s">
        <v>112</v>
      </c>
      <c r="G509" s="17" t="s">
        <v>35</v>
      </c>
      <c r="H509" s="17">
        <v>1</v>
      </c>
      <c r="K509" t="s">
        <v>877</v>
      </c>
      <c r="L509" t="s">
        <v>878</v>
      </c>
      <c r="M509" t="s">
        <v>131</v>
      </c>
      <c r="N509">
        <v>24</v>
      </c>
      <c r="O509" t="s">
        <v>40</v>
      </c>
      <c r="P509" t="s">
        <v>40</v>
      </c>
      <c r="Q509" t="s">
        <v>40</v>
      </c>
      <c r="S509" t="s">
        <v>40</v>
      </c>
      <c r="V509" t="s">
        <v>41</v>
      </c>
      <c r="W509" t="s">
        <v>75</v>
      </c>
      <c r="X509" t="str">
        <f>"7700025"</f>
        <v>7700025</v>
      </c>
      <c r="Y509" t="s">
        <v>880</v>
      </c>
      <c r="Z509" t="s">
        <v>877</v>
      </c>
      <c r="AA509" t="s">
        <v>878</v>
      </c>
      <c r="AB509" t="s">
        <v>131</v>
      </c>
      <c r="AC509" t="s">
        <v>51</v>
      </c>
      <c r="AD509" t="s">
        <v>45</v>
      </c>
      <c r="AE509" s="1">
        <v>32671</v>
      </c>
      <c r="AF509">
        <v>1</v>
      </c>
      <c r="AG509" t="s">
        <v>878</v>
      </c>
      <c r="AH509" s="36">
        <f t="shared" si="7"/>
        <v>29.961111111111112</v>
      </c>
      <c r="AI509" s="40" t="s">
        <v>1777</v>
      </c>
    </row>
    <row r="510" spans="1:35" x14ac:dyDescent="0.25">
      <c r="A510" s="36">
        <v>99910508</v>
      </c>
      <c r="B510" s="17" t="s">
        <v>32</v>
      </c>
      <c r="C510" t="s">
        <v>111</v>
      </c>
      <c r="D510" t="s">
        <v>112</v>
      </c>
      <c r="G510" s="17" t="s">
        <v>88</v>
      </c>
      <c r="H510" s="17">
        <v>4</v>
      </c>
      <c r="I510" t="s">
        <v>488</v>
      </c>
      <c r="J510" s="1">
        <v>41153</v>
      </c>
      <c r="K510" t="s">
        <v>195</v>
      </c>
      <c r="L510" t="s">
        <v>196</v>
      </c>
      <c r="M510" t="s">
        <v>131</v>
      </c>
      <c r="N510">
        <v>24</v>
      </c>
      <c r="O510" t="s">
        <v>40</v>
      </c>
      <c r="P510" t="s">
        <v>40</v>
      </c>
      <c r="Q510" t="s">
        <v>40</v>
      </c>
      <c r="R510" t="s">
        <v>40</v>
      </c>
      <c r="S510" t="s">
        <v>40</v>
      </c>
      <c r="U510" s="1">
        <v>41153</v>
      </c>
      <c r="V510" t="s">
        <v>41</v>
      </c>
      <c r="W510" t="s">
        <v>75</v>
      </c>
      <c r="X510" t="str">
        <f>"7521052"</f>
        <v>7521052</v>
      </c>
      <c r="Y510" t="s">
        <v>443</v>
      </c>
      <c r="Z510" t="s">
        <v>195</v>
      </c>
      <c r="AA510" t="s">
        <v>196</v>
      </c>
      <c r="AB510" t="s">
        <v>131</v>
      </c>
      <c r="AC510" t="s">
        <v>51</v>
      </c>
      <c r="AD510" t="s">
        <v>45</v>
      </c>
      <c r="AE510" s="1">
        <v>32670</v>
      </c>
      <c r="AF510">
        <v>1</v>
      </c>
      <c r="AG510" t="s">
        <v>196</v>
      </c>
      <c r="AH510" s="36">
        <f t="shared" si="7"/>
        <v>29.963888888888889</v>
      </c>
      <c r="AI510" s="40" t="s">
        <v>1777</v>
      </c>
    </row>
    <row r="511" spans="1:35" x14ac:dyDescent="0.25">
      <c r="A511" s="36">
        <v>99910509</v>
      </c>
      <c r="B511" s="17" t="s">
        <v>56</v>
      </c>
      <c r="C511" t="s">
        <v>64</v>
      </c>
      <c r="D511" t="s">
        <v>65</v>
      </c>
      <c r="G511" s="17" t="s">
        <v>35</v>
      </c>
      <c r="H511" s="17">
        <v>1</v>
      </c>
      <c r="I511" s="1">
        <v>42982</v>
      </c>
      <c r="J511" s="1">
        <v>43344</v>
      </c>
      <c r="K511" t="s">
        <v>1341</v>
      </c>
      <c r="L511" t="s">
        <v>1342</v>
      </c>
      <c r="M511" t="s">
        <v>1270</v>
      </c>
      <c r="N511">
        <v>9</v>
      </c>
      <c r="O511" t="s">
        <v>40</v>
      </c>
      <c r="P511" t="s">
        <v>40</v>
      </c>
      <c r="Q511" t="s">
        <v>40</v>
      </c>
      <c r="S511" t="s">
        <v>40</v>
      </c>
      <c r="U511" s="1">
        <v>43344</v>
      </c>
      <c r="V511" t="s">
        <v>41</v>
      </c>
      <c r="W511" t="s">
        <v>75</v>
      </c>
      <c r="X511" t="str">
        <f>"7191036"</f>
        <v>7191036</v>
      </c>
      <c r="Y511" t="s">
        <v>1348</v>
      </c>
      <c r="Z511" t="s">
        <v>1341</v>
      </c>
      <c r="AA511" t="s">
        <v>1342</v>
      </c>
      <c r="AB511" t="s">
        <v>1270</v>
      </c>
      <c r="AC511" t="s">
        <v>44</v>
      </c>
      <c r="AD511" t="s">
        <v>45</v>
      </c>
      <c r="AE511" s="1">
        <v>32668</v>
      </c>
      <c r="AF511">
        <v>1</v>
      </c>
      <c r="AG511" t="s">
        <v>1342</v>
      </c>
      <c r="AH511" s="36">
        <f t="shared" si="7"/>
        <v>29.969444444444445</v>
      </c>
      <c r="AI511" s="40" t="s">
        <v>1777</v>
      </c>
    </row>
    <row r="512" spans="1:35" x14ac:dyDescent="0.25">
      <c r="A512" s="36">
        <v>99910510</v>
      </c>
      <c r="B512" s="17" t="s">
        <v>32</v>
      </c>
      <c r="C512" t="s">
        <v>143</v>
      </c>
      <c r="D512" t="s">
        <v>144</v>
      </c>
      <c r="G512" s="17" t="s">
        <v>35</v>
      </c>
      <c r="H512" s="17">
        <v>1</v>
      </c>
      <c r="I512">
        <v>22813</v>
      </c>
      <c r="J512" s="1">
        <v>43417</v>
      </c>
      <c r="K512" t="s">
        <v>300</v>
      </c>
      <c r="L512" t="s">
        <v>301</v>
      </c>
      <c r="M512" t="s">
        <v>131</v>
      </c>
      <c r="N512">
        <v>3</v>
      </c>
      <c r="O512" t="s">
        <v>40</v>
      </c>
      <c r="S512" t="s">
        <v>40</v>
      </c>
      <c r="U512" s="1">
        <v>43417</v>
      </c>
      <c r="V512" t="s">
        <v>41</v>
      </c>
      <c r="W512" t="s">
        <v>49</v>
      </c>
      <c r="X512" t="str">
        <f>"0560002"</f>
        <v>0560002</v>
      </c>
      <c r="Y512" t="s">
        <v>315</v>
      </c>
      <c r="Z512" t="s">
        <v>300</v>
      </c>
      <c r="AA512" t="s">
        <v>301</v>
      </c>
      <c r="AB512" t="s">
        <v>131</v>
      </c>
      <c r="AC512" t="s">
        <v>44</v>
      </c>
      <c r="AD512" t="s">
        <v>45</v>
      </c>
      <c r="AE512" s="1">
        <v>32666</v>
      </c>
      <c r="AF512">
        <v>2</v>
      </c>
      <c r="AG512" t="s">
        <v>301</v>
      </c>
      <c r="AH512" s="36">
        <f t="shared" si="7"/>
        <v>29.975000000000001</v>
      </c>
      <c r="AI512" s="40" t="s">
        <v>1777</v>
      </c>
    </row>
    <row r="513" spans="1:35" x14ac:dyDescent="0.25">
      <c r="A513" s="36">
        <v>99910511</v>
      </c>
      <c r="B513" s="17" t="s">
        <v>32</v>
      </c>
      <c r="C513" t="s">
        <v>46</v>
      </c>
      <c r="D513" t="s">
        <v>47</v>
      </c>
      <c r="G513" s="17" t="s">
        <v>35</v>
      </c>
      <c r="H513" s="17">
        <v>1</v>
      </c>
      <c r="I513">
        <v>0</v>
      </c>
      <c r="J513" s="1">
        <v>43344</v>
      </c>
      <c r="K513" t="s">
        <v>223</v>
      </c>
      <c r="L513" t="s">
        <v>224</v>
      </c>
      <c r="M513" t="s">
        <v>131</v>
      </c>
      <c r="N513">
        <v>16</v>
      </c>
      <c r="O513" t="s">
        <v>40</v>
      </c>
      <c r="P513" t="s">
        <v>40</v>
      </c>
      <c r="Q513" t="s">
        <v>40</v>
      </c>
      <c r="S513" t="s">
        <v>40</v>
      </c>
      <c r="U513" s="1">
        <v>43344</v>
      </c>
      <c r="V513" t="s">
        <v>41</v>
      </c>
      <c r="W513" t="s">
        <v>42</v>
      </c>
      <c r="X513" t="str">
        <f>"0590903"</f>
        <v>0590903</v>
      </c>
      <c r="Y513" t="s">
        <v>226</v>
      </c>
      <c r="Z513" t="s">
        <v>223</v>
      </c>
      <c r="AA513" t="s">
        <v>224</v>
      </c>
      <c r="AB513" t="s">
        <v>131</v>
      </c>
      <c r="AC513" t="s">
        <v>44</v>
      </c>
      <c r="AD513" t="s">
        <v>45</v>
      </c>
      <c r="AE513" s="1">
        <v>32665</v>
      </c>
      <c r="AF513">
        <v>2</v>
      </c>
      <c r="AG513" t="s">
        <v>224</v>
      </c>
      <c r="AH513" s="36">
        <f t="shared" si="7"/>
        <v>29.977777777777778</v>
      </c>
      <c r="AI513" s="40" t="s">
        <v>1777</v>
      </c>
    </row>
    <row r="514" spans="1:35" x14ac:dyDescent="0.25">
      <c r="A514" s="36">
        <v>99910512</v>
      </c>
      <c r="B514" s="17" t="s">
        <v>56</v>
      </c>
      <c r="C514" t="s">
        <v>111</v>
      </c>
      <c r="D514" t="s">
        <v>112</v>
      </c>
      <c r="G514" s="17" t="s">
        <v>35</v>
      </c>
      <c r="H514" s="17">
        <v>1</v>
      </c>
      <c r="I514">
        <v>0</v>
      </c>
      <c r="J514" s="1">
        <v>43344</v>
      </c>
      <c r="K514" t="s">
        <v>985</v>
      </c>
      <c r="L514" t="s">
        <v>986</v>
      </c>
      <c r="M514" t="s">
        <v>938</v>
      </c>
      <c r="N514">
        <v>19</v>
      </c>
      <c r="O514" t="s">
        <v>40</v>
      </c>
      <c r="P514" t="s">
        <v>40</v>
      </c>
      <c r="Q514" t="s">
        <v>40</v>
      </c>
      <c r="R514" t="s">
        <v>40</v>
      </c>
      <c r="S514" t="s">
        <v>40</v>
      </c>
      <c r="U514" s="1">
        <v>43344</v>
      </c>
      <c r="V514" t="s">
        <v>41</v>
      </c>
      <c r="W514" t="s">
        <v>75</v>
      </c>
      <c r="X514" t="str">
        <f>"7011004"</f>
        <v>7011004</v>
      </c>
      <c r="Y514" t="s">
        <v>987</v>
      </c>
      <c r="Z514" t="s">
        <v>985</v>
      </c>
      <c r="AA514" t="s">
        <v>986</v>
      </c>
      <c r="AB514" t="s">
        <v>938</v>
      </c>
      <c r="AC514" t="s">
        <v>44</v>
      </c>
      <c r="AD514" t="s">
        <v>45</v>
      </c>
      <c r="AE514" s="1">
        <v>32664</v>
      </c>
      <c r="AF514">
        <v>1</v>
      </c>
      <c r="AG514" t="s">
        <v>986</v>
      </c>
      <c r="AH514" s="36">
        <f t="shared" ref="AH514:AH577" si="8">($AJ$1-AE514)/360</f>
        <v>29.980555555555554</v>
      </c>
      <c r="AI514" s="40" t="s">
        <v>1777</v>
      </c>
    </row>
    <row r="515" spans="1:35" x14ac:dyDescent="0.25">
      <c r="A515" s="36">
        <v>99910513</v>
      </c>
      <c r="B515" s="17" t="s">
        <v>32</v>
      </c>
      <c r="C515" t="s">
        <v>90</v>
      </c>
      <c r="D515" t="s">
        <v>91</v>
      </c>
      <c r="G515" s="17" t="s">
        <v>35</v>
      </c>
      <c r="H515" s="17">
        <v>1</v>
      </c>
      <c r="I515">
        <v>2444</v>
      </c>
      <c r="J515" s="1">
        <v>43344</v>
      </c>
      <c r="K515" t="s">
        <v>1258</v>
      </c>
      <c r="L515" t="s">
        <v>1259</v>
      </c>
      <c r="M515" t="s">
        <v>1260</v>
      </c>
      <c r="N515">
        <v>30</v>
      </c>
      <c r="O515" t="s">
        <v>40</v>
      </c>
      <c r="S515" t="s">
        <v>40</v>
      </c>
      <c r="U515" s="1">
        <v>43344</v>
      </c>
      <c r="V515" t="s">
        <v>41</v>
      </c>
      <c r="W515" t="s">
        <v>95</v>
      </c>
      <c r="X515" t="str">
        <f>"7241009"</f>
        <v>7241009</v>
      </c>
      <c r="Y515" t="s">
        <v>1263</v>
      </c>
      <c r="Z515" t="s">
        <v>1258</v>
      </c>
      <c r="AA515" t="s">
        <v>1259</v>
      </c>
      <c r="AB515" t="s">
        <v>1260</v>
      </c>
      <c r="AC515" t="s">
        <v>44</v>
      </c>
      <c r="AD515" t="s">
        <v>45</v>
      </c>
      <c r="AE515" s="1">
        <v>32664</v>
      </c>
      <c r="AF515">
        <v>1</v>
      </c>
      <c r="AG515" t="s">
        <v>1259</v>
      </c>
      <c r="AH515" s="36">
        <f t="shared" si="8"/>
        <v>29.980555555555554</v>
      </c>
      <c r="AI515" s="40" t="s">
        <v>1777</v>
      </c>
    </row>
    <row r="516" spans="1:35" x14ac:dyDescent="0.25">
      <c r="A516" s="36">
        <v>99910514</v>
      </c>
      <c r="B516" s="17" t="s">
        <v>56</v>
      </c>
      <c r="C516" t="s">
        <v>257</v>
      </c>
      <c r="D516" t="s">
        <v>258</v>
      </c>
      <c r="G516" s="17" t="s">
        <v>35</v>
      </c>
      <c r="H516" s="17">
        <v>1</v>
      </c>
      <c r="I516" t="s">
        <v>341</v>
      </c>
      <c r="J516" s="1">
        <v>43344</v>
      </c>
      <c r="K516" t="s">
        <v>300</v>
      </c>
      <c r="L516" t="s">
        <v>301</v>
      </c>
      <c r="M516" t="s">
        <v>131</v>
      </c>
      <c r="N516">
        <v>15</v>
      </c>
      <c r="O516" t="s">
        <v>40</v>
      </c>
      <c r="S516" t="s">
        <v>40</v>
      </c>
      <c r="U516" s="1">
        <v>43344</v>
      </c>
      <c r="V516" t="s">
        <v>41</v>
      </c>
      <c r="W516" t="s">
        <v>49</v>
      </c>
      <c r="X516" t="str">
        <f>"0560001"</f>
        <v>0560001</v>
      </c>
      <c r="Y516" t="s">
        <v>304</v>
      </c>
      <c r="Z516" t="s">
        <v>300</v>
      </c>
      <c r="AA516" t="s">
        <v>301</v>
      </c>
      <c r="AB516" t="s">
        <v>131</v>
      </c>
      <c r="AC516" t="s">
        <v>44</v>
      </c>
      <c r="AD516" t="s">
        <v>45</v>
      </c>
      <c r="AE516" s="1">
        <v>32658</v>
      </c>
      <c r="AF516">
        <v>2</v>
      </c>
      <c r="AG516" t="s">
        <v>301</v>
      </c>
      <c r="AH516" s="36">
        <f t="shared" si="8"/>
        <v>29.997222222222224</v>
      </c>
      <c r="AI516" s="40" t="s">
        <v>1777</v>
      </c>
    </row>
    <row r="517" spans="1:35" x14ac:dyDescent="0.25">
      <c r="A517" s="36">
        <v>99910515</v>
      </c>
      <c r="B517" s="17" t="s">
        <v>32</v>
      </c>
      <c r="C517" t="s">
        <v>64</v>
      </c>
      <c r="D517" t="s">
        <v>65</v>
      </c>
      <c r="G517" s="17" t="s">
        <v>35</v>
      </c>
      <c r="H517" s="17">
        <v>1</v>
      </c>
      <c r="I517" t="s">
        <v>1717</v>
      </c>
      <c r="J517" s="1">
        <v>43344</v>
      </c>
      <c r="K517" t="s">
        <v>1708</v>
      </c>
      <c r="L517" t="s">
        <v>1709</v>
      </c>
      <c r="M517" t="s">
        <v>1705</v>
      </c>
      <c r="N517">
        <v>14</v>
      </c>
      <c r="O517" t="s">
        <v>40</v>
      </c>
      <c r="P517" t="s">
        <v>40</v>
      </c>
      <c r="Q517" t="s">
        <v>40</v>
      </c>
      <c r="S517" t="s">
        <v>40</v>
      </c>
      <c r="U517" s="1">
        <v>43344</v>
      </c>
      <c r="V517" t="s">
        <v>41</v>
      </c>
      <c r="W517" t="s">
        <v>75</v>
      </c>
      <c r="X517" t="str">
        <f>"7121000"</f>
        <v>7121000</v>
      </c>
      <c r="Y517" t="s">
        <v>1713</v>
      </c>
      <c r="Z517" t="s">
        <v>1708</v>
      </c>
      <c r="AA517" t="s">
        <v>1709</v>
      </c>
      <c r="AB517" t="s">
        <v>1705</v>
      </c>
      <c r="AC517" t="s">
        <v>51</v>
      </c>
      <c r="AD517" t="s">
        <v>45</v>
      </c>
      <c r="AE517" s="1">
        <v>32651</v>
      </c>
      <c r="AF517">
        <v>1</v>
      </c>
      <c r="AG517" t="s">
        <v>1709</v>
      </c>
      <c r="AH517" s="36">
        <f t="shared" si="8"/>
        <v>30.016666666666666</v>
      </c>
      <c r="AI517" s="40" t="s">
        <v>1777</v>
      </c>
    </row>
    <row r="518" spans="1:35" x14ac:dyDescent="0.25">
      <c r="A518" s="36">
        <v>99910516</v>
      </c>
      <c r="B518" s="17" t="s">
        <v>56</v>
      </c>
      <c r="C518" t="s">
        <v>33</v>
      </c>
      <c r="D518" t="s">
        <v>34</v>
      </c>
      <c r="G518" s="17" t="s">
        <v>35</v>
      </c>
      <c r="H518" s="17">
        <v>1</v>
      </c>
      <c r="I518" t="s">
        <v>208</v>
      </c>
      <c r="J518" s="1">
        <v>43357</v>
      </c>
      <c r="K518" t="s">
        <v>162</v>
      </c>
      <c r="L518" t="s">
        <v>158</v>
      </c>
      <c r="M518" t="s">
        <v>131</v>
      </c>
      <c r="N518">
        <v>20</v>
      </c>
      <c r="O518" t="s">
        <v>40</v>
      </c>
      <c r="S518" t="s">
        <v>40</v>
      </c>
      <c r="U518" s="1">
        <v>43357</v>
      </c>
      <c r="V518" t="s">
        <v>41</v>
      </c>
      <c r="W518" t="s">
        <v>42</v>
      </c>
      <c r="X518" t="str">
        <f>"0580320"</f>
        <v>0580320</v>
      </c>
      <c r="Y518" t="s">
        <v>164</v>
      </c>
      <c r="Z518" t="s">
        <v>162</v>
      </c>
      <c r="AA518" t="s">
        <v>158</v>
      </c>
      <c r="AB518" t="s">
        <v>131</v>
      </c>
      <c r="AC518" t="s">
        <v>44</v>
      </c>
      <c r="AD518" t="s">
        <v>45</v>
      </c>
      <c r="AE518" s="1">
        <v>32646</v>
      </c>
      <c r="AF518">
        <v>2</v>
      </c>
      <c r="AG518" t="s">
        <v>158</v>
      </c>
      <c r="AH518" s="36">
        <f t="shared" si="8"/>
        <v>30.030555555555555</v>
      </c>
      <c r="AI518" s="40" t="s">
        <v>1777</v>
      </c>
    </row>
    <row r="519" spans="1:35" x14ac:dyDescent="0.25">
      <c r="A519" s="36">
        <v>99910517</v>
      </c>
      <c r="B519" s="17" t="s">
        <v>56</v>
      </c>
      <c r="C519" t="s">
        <v>111</v>
      </c>
      <c r="D519" t="s">
        <v>112</v>
      </c>
      <c r="G519" s="17" t="s">
        <v>88</v>
      </c>
      <c r="H519" s="17">
        <v>2</v>
      </c>
      <c r="I519" t="s">
        <v>782</v>
      </c>
      <c r="J519" s="1">
        <v>43344</v>
      </c>
      <c r="K519" t="s">
        <v>354</v>
      </c>
      <c r="L519" t="s">
        <v>355</v>
      </c>
      <c r="M519" t="s">
        <v>131</v>
      </c>
      <c r="N519">
        <v>24</v>
      </c>
      <c r="O519" t="s">
        <v>40</v>
      </c>
      <c r="P519" t="s">
        <v>40</v>
      </c>
      <c r="Q519" t="s">
        <v>40</v>
      </c>
      <c r="R519" t="s">
        <v>40</v>
      </c>
      <c r="S519" t="s">
        <v>40</v>
      </c>
      <c r="U519" s="1">
        <v>43344</v>
      </c>
      <c r="V519" t="s">
        <v>41</v>
      </c>
      <c r="W519" t="s">
        <v>75</v>
      </c>
      <c r="X519" t="str">
        <f>"7054022"</f>
        <v>7054022</v>
      </c>
      <c r="Y519" t="s">
        <v>770</v>
      </c>
      <c r="Z519" t="s">
        <v>354</v>
      </c>
      <c r="AA519" t="s">
        <v>355</v>
      </c>
      <c r="AB519" t="s">
        <v>131</v>
      </c>
      <c r="AC519" t="s">
        <v>51</v>
      </c>
      <c r="AD519" t="s">
        <v>45</v>
      </c>
      <c r="AE519" s="1">
        <v>32646</v>
      </c>
      <c r="AF519">
        <v>1</v>
      </c>
      <c r="AG519" t="s">
        <v>355</v>
      </c>
      <c r="AH519" s="36">
        <f t="shared" si="8"/>
        <v>30.030555555555555</v>
      </c>
      <c r="AI519" s="40" t="s">
        <v>1777</v>
      </c>
    </row>
    <row r="520" spans="1:35" x14ac:dyDescent="0.25">
      <c r="A520" s="36">
        <v>99910518</v>
      </c>
      <c r="B520" s="17" t="s">
        <v>32</v>
      </c>
      <c r="C520" t="s">
        <v>111</v>
      </c>
      <c r="D520" t="s">
        <v>112</v>
      </c>
      <c r="G520" s="17" t="s">
        <v>88</v>
      </c>
      <c r="H520" s="17">
        <v>3</v>
      </c>
      <c r="I520" t="s">
        <v>539</v>
      </c>
      <c r="J520" s="1">
        <v>41518</v>
      </c>
      <c r="K520" t="s">
        <v>195</v>
      </c>
      <c r="L520" t="s">
        <v>196</v>
      </c>
      <c r="M520" t="s">
        <v>131</v>
      </c>
      <c r="N520">
        <v>24</v>
      </c>
      <c r="O520" t="s">
        <v>40</v>
      </c>
      <c r="P520" t="s">
        <v>40</v>
      </c>
      <c r="Q520" t="s">
        <v>40</v>
      </c>
      <c r="R520" t="s">
        <v>40</v>
      </c>
      <c r="S520" t="s">
        <v>40</v>
      </c>
      <c r="U520" s="1">
        <v>41518</v>
      </c>
      <c r="V520" t="s">
        <v>41</v>
      </c>
      <c r="W520" t="s">
        <v>75</v>
      </c>
      <c r="X520" t="str">
        <f>"7521050"</f>
        <v>7521050</v>
      </c>
      <c r="Y520" t="s">
        <v>194</v>
      </c>
      <c r="Z520" t="s">
        <v>195</v>
      </c>
      <c r="AA520" t="s">
        <v>196</v>
      </c>
      <c r="AB520" t="s">
        <v>131</v>
      </c>
      <c r="AC520" t="s">
        <v>51</v>
      </c>
      <c r="AD520" t="s">
        <v>45</v>
      </c>
      <c r="AE520" s="1">
        <v>32641</v>
      </c>
      <c r="AF520">
        <v>1</v>
      </c>
      <c r="AG520" t="s">
        <v>196</v>
      </c>
      <c r="AH520" s="36">
        <f t="shared" si="8"/>
        <v>30.044444444444444</v>
      </c>
      <c r="AI520" s="40" t="s">
        <v>1777</v>
      </c>
    </row>
    <row r="521" spans="1:35" x14ac:dyDescent="0.25">
      <c r="A521" s="36">
        <v>99910519</v>
      </c>
      <c r="B521" s="17" t="s">
        <v>56</v>
      </c>
      <c r="C521" t="s">
        <v>111</v>
      </c>
      <c r="D521" t="s">
        <v>112</v>
      </c>
      <c r="G521" s="17" t="s">
        <v>48</v>
      </c>
      <c r="H521" s="17">
        <v>1</v>
      </c>
      <c r="K521" t="s">
        <v>1581</v>
      </c>
      <c r="L521" t="s">
        <v>1582</v>
      </c>
      <c r="M521" t="s">
        <v>1548</v>
      </c>
      <c r="N521">
        <v>24</v>
      </c>
      <c r="O521" t="s">
        <v>40</v>
      </c>
      <c r="P521" t="s">
        <v>40</v>
      </c>
      <c r="Q521" t="s">
        <v>40</v>
      </c>
      <c r="R521" t="s">
        <v>40</v>
      </c>
      <c r="S521" t="s">
        <v>40</v>
      </c>
      <c r="V521" t="s">
        <v>41</v>
      </c>
      <c r="W521" t="s">
        <v>75</v>
      </c>
      <c r="X521" t="str">
        <f>"7291000"</f>
        <v>7291000</v>
      </c>
      <c r="Y521" t="s">
        <v>1584</v>
      </c>
      <c r="Z521" t="s">
        <v>1581</v>
      </c>
      <c r="AA521" t="s">
        <v>1582</v>
      </c>
      <c r="AB521" t="s">
        <v>1548</v>
      </c>
      <c r="AC521" t="s">
        <v>51</v>
      </c>
      <c r="AD521" t="s">
        <v>45</v>
      </c>
      <c r="AE521" s="1">
        <v>32639</v>
      </c>
      <c r="AF521">
        <v>1</v>
      </c>
      <c r="AG521" t="s">
        <v>1582</v>
      </c>
      <c r="AH521" s="36">
        <f t="shared" si="8"/>
        <v>30.05</v>
      </c>
      <c r="AI521" s="40" t="s">
        <v>1777</v>
      </c>
    </row>
    <row r="522" spans="1:35" x14ac:dyDescent="0.25">
      <c r="A522" s="36">
        <v>99910520</v>
      </c>
      <c r="B522" s="17" t="s">
        <v>32</v>
      </c>
      <c r="C522" t="s">
        <v>111</v>
      </c>
      <c r="D522" t="s">
        <v>112</v>
      </c>
      <c r="G522" s="17" t="s">
        <v>35</v>
      </c>
      <c r="H522" s="17">
        <v>1</v>
      </c>
      <c r="I522" t="s">
        <v>856</v>
      </c>
      <c r="J522" s="1">
        <v>42786</v>
      </c>
      <c r="K522" t="s">
        <v>354</v>
      </c>
      <c r="L522" t="s">
        <v>355</v>
      </c>
      <c r="M522" t="s">
        <v>131</v>
      </c>
      <c r="N522">
        <v>24</v>
      </c>
      <c r="O522" t="s">
        <v>40</v>
      </c>
      <c r="P522" t="s">
        <v>40</v>
      </c>
      <c r="Q522" t="s">
        <v>40</v>
      </c>
      <c r="R522" t="s">
        <v>40</v>
      </c>
      <c r="S522" t="s">
        <v>40</v>
      </c>
      <c r="U522" s="1">
        <v>42786</v>
      </c>
      <c r="V522" t="s">
        <v>41</v>
      </c>
      <c r="W522" t="s">
        <v>75</v>
      </c>
      <c r="X522" t="str">
        <f>"7054038"</f>
        <v>7054038</v>
      </c>
      <c r="Y522" t="s">
        <v>377</v>
      </c>
      <c r="Z522" t="s">
        <v>354</v>
      </c>
      <c r="AA522" t="s">
        <v>355</v>
      </c>
      <c r="AB522" t="s">
        <v>131</v>
      </c>
      <c r="AC522" t="s">
        <v>44</v>
      </c>
      <c r="AD522" t="s">
        <v>45</v>
      </c>
      <c r="AE522" s="1">
        <v>32636</v>
      </c>
      <c r="AF522">
        <v>1</v>
      </c>
      <c r="AG522" t="s">
        <v>355</v>
      </c>
      <c r="AH522" s="36">
        <f t="shared" si="8"/>
        <v>30.058333333333334</v>
      </c>
      <c r="AI522" s="40" t="s">
        <v>1777</v>
      </c>
    </row>
    <row r="523" spans="1:35" x14ac:dyDescent="0.25">
      <c r="A523" s="36">
        <v>99910521</v>
      </c>
      <c r="B523" s="17" t="s">
        <v>32</v>
      </c>
      <c r="C523" t="s">
        <v>90</v>
      </c>
      <c r="D523" t="s">
        <v>91</v>
      </c>
      <c r="G523" s="17" t="s">
        <v>35</v>
      </c>
      <c r="H523" s="17">
        <v>1</v>
      </c>
      <c r="I523" t="s">
        <v>1353</v>
      </c>
      <c r="J523" s="1">
        <v>43344</v>
      </c>
      <c r="K523" t="s">
        <v>1341</v>
      </c>
      <c r="L523" t="s">
        <v>1342</v>
      </c>
      <c r="M523" t="s">
        <v>1270</v>
      </c>
      <c r="N523">
        <v>24</v>
      </c>
      <c r="O523" t="s">
        <v>40</v>
      </c>
      <c r="S523" t="s">
        <v>40</v>
      </c>
      <c r="U523" s="1">
        <v>43344</v>
      </c>
      <c r="V523" t="s">
        <v>41</v>
      </c>
      <c r="W523" t="s">
        <v>95</v>
      </c>
      <c r="X523" t="str">
        <f>"7191061"</f>
        <v>7191061</v>
      </c>
      <c r="Y523" t="s">
        <v>1354</v>
      </c>
      <c r="Z523" t="s">
        <v>1341</v>
      </c>
      <c r="AA523" t="s">
        <v>1342</v>
      </c>
      <c r="AB523" t="s">
        <v>1270</v>
      </c>
      <c r="AC523" t="s">
        <v>44</v>
      </c>
      <c r="AD523" t="s">
        <v>45</v>
      </c>
      <c r="AE523" s="1">
        <v>32636</v>
      </c>
      <c r="AF523">
        <v>1</v>
      </c>
      <c r="AG523" t="s">
        <v>1342</v>
      </c>
      <c r="AH523" s="36">
        <f t="shared" si="8"/>
        <v>30.058333333333334</v>
      </c>
      <c r="AI523" s="40" t="s">
        <v>1777</v>
      </c>
    </row>
    <row r="524" spans="1:35" x14ac:dyDescent="0.25">
      <c r="A524" s="36">
        <v>99910522</v>
      </c>
      <c r="B524" s="17" t="s">
        <v>32</v>
      </c>
      <c r="C524" t="s">
        <v>90</v>
      </c>
      <c r="D524" t="s">
        <v>91</v>
      </c>
      <c r="G524" s="17" t="s">
        <v>48</v>
      </c>
      <c r="H524" s="17">
        <v>1</v>
      </c>
      <c r="K524" t="s">
        <v>154</v>
      </c>
      <c r="L524" t="s">
        <v>155</v>
      </c>
      <c r="M524" t="s">
        <v>131</v>
      </c>
      <c r="N524">
        <v>30</v>
      </c>
      <c r="O524" t="s">
        <v>40</v>
      </c>
      <c r="P524" t="s">
        <v>40</v>
      </c>
      <c r="Q524" t="s">
        <v>40</v>
      </c>
      <c r="S524" t="s">
        <v>40</v>
      </c>
      <c r="V524" t="s">
        <v>41</v>
      </c>
      <c r="W524" t="s">
        <v>95</v>
      </c>
      <c r="X524" t="str">
        <f>"7051065"</f>
        <v>7051065</v>
      </c>
      <c r="Y524" t="s">
        <v>415</v>
      </c>
      <c r="Z524" t="s">
        <v>154</v>
      </c>
      <c r="AA524" t="s">
        <v>155</v>
      </c>
      <c r="AB524" t="s">
        <v>131</v>
      </c>
      <c r="AC524" t="s">
        <v>51</v>
      </c>
      <c r="AD524" t="s">
        <v>45</v>
      </c>
      <c r="AE524" s="1">
        <v>32631</v>
      </c>
      <c r="AF524">
        <v>1</v>
      </c>
      <c r="AG524" t="s">
        <v>155</v>
      </c>
      <c r="AH524" s="36">
        <f t="shared" si="8"/>
        <v>30.072222222222223</v>
      </c>
      <c r="AI524" s="40" t="s">
        <v>1777</v>
      </c>
    </row>
    <row r="525" spans="1:35" x14ac:dyDescent="0.25">
      <c r="A525" s="36">
        <v>99910523</v>
      </c>
      <c r="B525" s="17" t="s">
        <v>32</v>
      </c>
      <c r="C525" t="s">
        <v>111</v>
      </c>
      <c r="D525" t="s">
        <v>112</v>
      </c>
      <c r="G525" s="17" t="s">
        <v>35</v>
      </c>
      <c r="H525" s="17">
        <v>4</v>
      </c>
      <c r="I525" t="s">
        <v>640</v>
      </c>
      <c r="J525" s="1">
        <v>42121</v>
      </c>
      <c r="K525" t="s">
        <v>268</v>
      </c>
      <c r="L525" t="s">
        <v>269</v>
      </c>
      <c r="M525" t="s">
        <v>131</v>
      </c>
      <c r="N525">
        <v>24</v>
      </c>
      <c r="O525" t="s">
        <v>40</v>
      </c>
      <c r="P525" t="s">
        <v>40</v>
      </c>
      <c r="Q525" t="s">
        <v>40</v>
      </c>
      <c r="R525" t="s">
        <v>40</v>
      </c>
      <c r="S525" t="s">
        <v>40</v>
      </c>
      <c r="U525" s="1">
        <v>42121</v>
      </c>
      <c r="V525" t="s">
        <v>41</v>
      </c>
      <c r="W525" t="s">
        <v>75</v>
      </c>
      <c r="X525" t="str">
        <f>"7052004"</f>
        <v>7052004</v>
      </c>
      <c r="Y525" t="s">
        <v>584</v>
      </c>
      <c r="Z525" t="s">
        <v>268</v>
      </c>
      <c r="AA525" t="s">
        <v>269</v>
      </c>
      <c r="AB525" t="s">
        <v>131</v>
      </c>
      <c r="AC525" t="s">
        <v>51</v>
      </c>
      <c r="AD525" t="s">
        <v>45</v>
      </c>
      <c r="AE525" s="1">
        <v>32629</v>
      </c>
      <c r="AF525">
        <v>1</v>
      </c>
      <c r="AG525" t="s">
        <v>269</v>
      </c>
      <c r="AH525" s="36">
        <f t="shared" si="8"/>
        <v>30.077777777777779</v>
      </c>
      <c r="AI525" s="40" t="s">
        <v>1777</v>
      </c>
    </row>
    <row r="526" spans="1:35" x14ac:dyDescent="0.25">
      <c r="A526" s="36">
        <v>99910524</v>
      </c>
      <c r="B526" s="17" t="s">
        <v>32</v>
      </c>
      <c r="C526" t="s">
        <v>111</v>
      </c>
      <c r="D526" t="s">
        <v>112</v>
      </c>
      <c r="G526" s="17" t="s">
        <v>35</v>
      </c>
      <c r="H526" s="17">
        <v>1</v>
      </c>
      <c r="I526" t="s">
        <v>789</v>
      </c>
      <c r="J526" s="1">
        <v>43344</v>
      </c>
      <c r="K526" t="s">
        <v>354</v>
      </c>
      <c r="L526" t="s">
        <v>355</v>
      </c>
      <c r="M526" t="s">
        <v>131</v>
      </c>
      <c r="N526">
        <v>24</v>
      </c>
      <c r="O526" t="s">
        <v>40</v>
      </c>
      <c r="S526" t="s">
        <v>40</v>
      </c>
      <c r="U526" s="1">
        <v>43344</v>
      </c>
      <c r="V526" t="s">
        <v>41</v>
      </c>
      <c r="W526" t="s">
        <v>75</v>
      </c>
      <c r="X526" t="str">
        <f>"7054042"</f>
        <v>7054042</v>
      </c>
      <c r="Y526" t="s">
        <v>776</v>
      </c>
      <c r="Z526" t="s">
        <v>354</v>
      </c>
      <c r="AA526" t="s">
        <v>355</v>
      </c>
      <c r="AB526" t="s">
        <v>131</v>
      </c>
      <c r="AC526" t="s">
        <v>51</v>
      </c>
      <c r="AD526" t="s">
        <v>45</v>
      </c>
      <c r="AE526" s="1">
        <v>32627</v>
      </c>
      <c r="AF526">
        <v>1</v>
      </c>
      <c r="AG526" t="s">
        <v>355</v>
      </c>
      <c r="AH526" s="36">
        <f t="shared" si="8"/>
        <v>30.083333333333332</v>
      </c>
      <c r="AI526" s="40" t="s">
        <v>1777</v>
      </c>
    </row>
    <row r="527" spans="1:35" x14ac:dyDescent="0.25">
      <c r="A527" s="36">
        <v>99910525</v>
      </c>
      <c r="B527" s="17" t="s">
        <v>56</v>
      </c>
      <c r="C527" t="s">
        <v>111</v>
      </c>
      <c r="D527" t="s">
        <v>112</v>
      </c>
      <c r="G527" s="17" t="s">
        <v>48</v>
      </c>
      <c r="H527" s="17">
        <v>1</v>
      </c>
      <c r="I527" t="s">
        <v>574</v>
      </c>
      <c r="J527" s="1">
        <v>42324</v>
      </c>
      <c r="K527" t="s">
        <v>1081</v>
      </c>
      <c r="L527" t="s">
        <v>1082</v>
      </c>
      <c r="M527" t="s">
        <v>1053</v>
      </c>
      <c r="N527">
        <v>24</v>
      </c>
      <c r="O527" t="s">
        <v>40</v>
      </c>
      <c r="P527" t="s">
        <v>40</v>
      </c>
      <c r="Q527" t="s">
        <v>40</v>
      </c>
      <c r="R527" t="s">
        <v>40</v>
      </c>
      <c r="S527" t="s">
        <v>40</v>
      </c>
      <c r="U527" s="1">
        <v>42324</v>
      </c>
      <c r="V527" t="s">
        <v>41</v>
      </c>
      <c r="W527" t="s">
        <v>75</v>
      </c>
      <c r="X527" t="str">
        <f>"7201006"</f>
        <v>7201006</v>
      </c>
      <c r="Y527" t="s">
        <v>1083</v>
      </c>
      <c r="Z527" t="s">
        <v>1081</v>
      </c>
      <c r="AA527" t="s">
        <v>1082</v>
      </c>
      <c r="AB527" t="s">
        <v>1053</v>
      </c>
      <c r="AC527" t="s">
        <v>51</v>
      </c>
      <c r="AD527" t="s">
        <v>45</v>
      </c>
      <c r="AE527" s="1">
        <v>32627</v>
      </c>
      <c r="AF527">
        <v>1</v>
      </c>
      <c r="AG527" t="s">
        <v>1082</v>
      </c>
      <c r="AH527" s="36">
        <f t="shared" si="8"/>
        <v>30.083333333333332</v>
      </c>
      <c r="AI527" s="40" t="s">
        <v>1777</v>
      </c>
    </row>
    <row r="528" spans="1:35" x14ac:dyDescent="0.25">
      <c r="A528" s="36">
        <v>99910526</v>
      </c>
      <c r="B528" s="17" t="s">
        <v>32</v>
      </c>
      <c r="C528" t="s">
        <v>61</v>
      </c>
      <c r="D528" t="s">
        <v>62</v>
      </c>
      <c r="G528" s="17" t="s">
        <v>35</v>
      </c>
      <c r="H528" s="17">
        <v>1</v>
      </c>
      <c r="I528" t="s">
        <v>727</v>
      </c>
      <c r="J528" s="1">
        <v>43344</v>
      </c>
      <c r="K528" t="s">
        <v>268</v>
      </c>
      <c r="L528" t="s">
        <v>269</v>
      </c>
      <c r="M528" t="s">
        <v>131</v>
      </c>
      <c r="N528">
        <v>10</v>
      </c>
      <c r="O528" t="s">
        <v>40</v>
      </c>
      <c r="S528" t="s">
        <v>40</v>
      </c>
      <c r="U528" s="1">
        <v>43344</v>
      </c>
      <c r="V528" t="s">
        <v>41</v>
      </c>
      <c r="W528" t="s">
        <v>75</v>
      </c>
      <c r="X528" t="str">
        <f>"7052028"</f>
        <v>7052028</v>
      </c>
      <c r="Y528" t="s">
        <v>601</v>
      </c>
      <c r="Z528" t="s">
        <v>268</v>
      </c>
      <c r="AA528" t="s">
        <v>269</v>
      </c>
      <c r="AB528" t="s">
        <v>131</v>
      </c>
      <c r="AC528" t="s">
        <v>44</v>
      </c>
      <c r="AD528" t="s">
        <v>45</v>
      </c>
      <c r="AE528" s="1">
        <v>32625</v>
      </c>
      <c r="AF528">
        <v>1</v>
      </c>
      <c r="AG528" t="s">
        <v>269</v>
      </c>
      <c r="AH528" s="36">
        <f t="shared" si="8"/>
        <v>30.088888888888889</v>
      </c>
      <c r="AI528" s="40" t="s">
        <v>1777</v>
      </c>
    </row>
    <row r="529" spans="1:35" x14ac:dyDescent="0.25">
      <c r="A529" s="36">
        <v>99910527</v>
      </c>
      <c r="B529" s="17" t="s">
        <v>32</v>
      </c>
      <c r="C529" t="s">
        <v>90</v>
      </c>
      <c r="D529" t="s">
        <v>91</v>
      </c>
      <c r="G529" s="17" t="s">
        <v>48</v>
      </c>
      <c r="H529" s="17">
        <v>1</v>
      </c>
      <c r="K529" t="s">
        <v>1725</v>
      </c>
      <c r="L529" t="s">
        <v>1726</v>
      </c>
      <c r="M529" t="s">
        <v>1705</v>
      </c>
      <c r="N529">
        <v>25</v>
      </c>
      <c r="O529" t="s">
        <v>40</v>
      </c>
      <c r="P529" t="s">
        <v>40</v>
      </c>
      <c r="Q529" t="s">
        <v>40</v>
      </c>
      <c r="S529" t="s">
        <v>40</v>
      </c>
      <c r="V529" t="s">
        <v>41</v>
      </c>
      <c r="W529" t="s">
        <v>95</v>
      </c>
      <c r="X529" t="str">
        <f>"7461009"</f>
        <v>7461009</v>
      </c>
      <c r="Y529" t="s">
        <v>1734</v>
      </c>
      <c r="Z529" t="s">
        <v>1725</v>
      </c>
      <c r="AA529" t="s">
        <v>1726</v>
      </c>
      <c r="AB529" t="s">
        <v>1705</v>
      </c>
      <c r="AC529" t="s">
        <v>51</v>
      </c>
      <c r="AD529" t="s">
        <v>45</v>
      </c>
      <c r="AE529" s="1">
        <v>32624</v>
      </c>
      <c r="AF529">
        <v>1</v>
      </c>
      <c r="AG529" t="s">
        <v>1726</v>
      </c>
      <c r="AH529" s="36">
        <f t="shared" si="8"/>
        <v>30.091666666666665</v>
      </c>
      <c r="AI529" s="40" t="s">
        <v>1777</v>
      </c>
    </row>
    <row r="530" spans="1:35" x14ac:dyDescent="0.25">
      <c r="A530" s="36">
        <v>99910528</v>
      </c>
      <c r="B530" s="17" t="s">
        <v>32</v>
      </c>
      <c r="C530" t="s">
        <v>64</v>
      </c>
      <c r="D530" t="s">
        <v>65</v>
      </c>
      <c r="G530" s="17" t="s">
        <v>35</v>
      </c>
      <c r="H530" s="17">
        <v>1</v>
      </c>
      <c r="I530" t="s">
        <v>1152</v>
      </c>
      <c r="J530" s="1">
        <v>43344</v>
      </c>
      <c r="K530" t="s">
        <v>1128</v>
      </c>
      <c r="L530" t="s">
        <v>1129</v>
      </c>
      <c r="M530" t="s">
        <v>1130</v>
      </c>
      <c r="N530">
        <v>5</v>
      </c>
      <c r="O530" t="s">
        <v>40</v>
      </c>
      <c r="P530" t="s">
        <v>40</v>
      </c>
      <c r="Q530" t="s">
        <v>40</v>
      </c>
      <c r="S530" t="s">
        <v>40</v>
      </c>
      <c r="U530" s="1">
        <v>43344</v>
      </c>
      <c r="V530" t="s">
        <v>41</v>
      </c>
      <c r="W530" t="s">
        <v>49</v>
      </c>
      <c r="X530" t="str">
        <f>"3181010"</f>
        <v>3181010</v>
      </c>
      <c r="Y530" t="s">
        <v>1134</v>
      </c>
      <c r="Z530" t="s">
        <v>1128</v>
      </c>
      <c r="AA530" t="s">
        <v>1129</v>
      </c>
      <c r="AB530" t="s">
        <v>1130</v>
      </c>
      <c r="AC530" t="s">
        <v>44</v>
      </c>
      <c r="AD530" t="s">
        <v>45</v>
      </c>
      <c r="AE530" s="1">
        <v>32623</v>
      </c>
      <c r="AF530">
        <v>2</v>
      </c>
      <c r="AG530" t="s">
        <v>1129</v>
      </c>
      <c r="AH530" s="36">
        <f t="shared" si="8"/>
        <v>30.094444444444445</v>
      </c>
      <c r="AI530" s="40" t="s">
        <v>1777</v>
      </c>
    </row>
    <row r="531" spans="1:35" x14ac:dyDescent="0.25">
      <c r="A531" s="36">
        <v>99910529</v>
      </c>
      <c r="B531" s="17" t="s">
        <v>32</v>
      </c>
      <c r="C531" t="s">
        <v>64</v>
      </c>
      <c r="D531" t="s">
        <v>65</v>
      </c>
      <c r="G531" s="17" t="s">
        <v>35</v>
      </c>
      <c r="H531" s="17">
        <v>1</v>
      </c>
      <c r="I531">
        <v>785</v>
      </c>
      <c r="J531" s="1">
        <v>43344</v>
      </c>
      <c r="K531" t="s">
        <v>345</v>
      </c>
      <c r="L531" t="s">
        <v>346</v>
      </c>
      <c r="M531" t="s">
        <v>131</v>
      </c>
      <c r="N531">
        <v>21</v>
      </c>
      <c r="O531" t="s">
        <v>40</v>
      </c>
      <c r="S531" t="s">
        <v>40</v>
      </c>
      <c r="U531" s="1">
        <v>43344</v>
      </c>
      <c r="V531" t="s">
        <v>41</v>
      </c>
      <c r="W531" t="s">
        <v>49</v>
      </c>
      <c r="X531" t="str">
        <f>"0591906"</f>
        <v>0591906</v>
      </c>
      <c r="Y531" t="s">
        <v>350</v>
      </c>
      <c r="Z531" t="s">
        <v>345</v>
      </c>
      <c r="AA531" t="s">
        <v>346</v>
      </c>
      <c r="AB531" t="s">
        <v>131</v>
      </c>
      <c r="AC531" t="s">
        <v>55</v>
      </c>
      <c r="AD531" t="s">
        <v>45</v>
      </c>
      <c r="AE531" s="1">
        <v>32620</v>
      </c>
      <c r="AF531">
        <v>2</v>
      </c>
      <c r="AG531" t="s">
        <v>346</v>
      </c>
      <c r="AH531" s="36">
        <f t="shared" si="8"/>
        <v>30.102777777777778</v>
      </c>
      <c r="AI531" s="40" t="s">
        <v>1777</v>
      </c>
    </row>
    <row r="532" spans="1:35" x14ac:dyDescent="0.25">
      <c r="A532" s="36">
        <v>99910530</v>
      </c>
      <c r="B532" s="17" t="s">
        <v>56</v>
      </c>
      <c r="C532" t="s">
        <v>68</v>
      </c>
      <c r="D532" t="s">
        <v>69</v>
      </c>
      <c r="G532" s="17" t="s">
        <v>48</v>
      </c>
      <c r="H532" s="17">
        <v>1</v>
      </c>
      <c r="K532" t="s">
        <v>300</v>
      </c>
      <c r="L532" t="s">
        <v>301</v>
      </c>
      <c r="M532" t="s">
        <v>131</v>
      </c>
      <c r="N532">
        <v>18</v>
      </c>
      <c r="O532" t="s">
        <v>40</v>
      </c>
      <c r="P532" t="s">
        <v>40</v>
      </c>
      <c r="Q532" t="s">
        <v>40</v>
      </c>
      <c r="R532" t="s">
        <v>40</v>
      </c>
      <c r="S532" t="s">
        <v>40</v>
      </c>
      <c r="V532" t="s">
        <v>41</v>
      </c>
      <c r="W532" t="s">
        <v>49</v>
      </c>
      <c r="X532" t="str">
        <f>"0560001"</f>
        <v>0560001</v>
      </c>
      <c r="Y532" t="s">
        <v>304</v>
      </c>
      <c r="Z532" t="s">
        <v>300</v>
      </c>
      <c r="AA532" t="s">
        <v>301</v>
      </c>
      <c r="AB532" t="s">
        <v>131</v>
      </c>
      <c r="AC532" t="s">
        <v>51</v>
      </c>
      <c r="AD532" t="s">
        <v>45</v>
      </c>
      <c r="AE532" s="1">
        <v>32617</v>
      </c>
      <c r="AF532">
        <v>2</v>
      </c>
      <c r="AG532" t="s">
        <v>301</v>
      </c>
      <c r="AH532" s="36">
        <f t="shared" si="8"/>
        <v>30.111111111111111</v>
      </c>
      <c r="AI532" s="40" t="s">
        <v>1777</v>
      </c>
    </row>
    <row r="533" spans="1:35" x14ac:dyDescent="0.25">
      <c r="A533" s="36">
        <v>99910531</v>
      </c>
      <c r="B533" s="17" t="s">
        <v>32</v>
      </c>
      <c r="C533" t="s">
        <v>90</v>
      </c>
      <c r="D533" t="s">
        <v>91</v>
      </c>
      <c r="G533" s="17" t="s">
        <v>48</v>
      </c>
      <c r="H533" s="17">
        <v>1</v>
      </c>
      <c r="K533" t="s">
        <v>354</v>
      </c>
      <c r="L533" t="s">
        <v>355</v>
      </c>
      <c r="M533" t="s">
        <v>131</v>
      </c>
      <c r="N533">
        <v>25</v>
      </c>
      <c r="O533" t="s">
        <v>40</v>
      </c>
      <c r="P533" t="s">
        <v>40</v>
      </c>
      <c r="Q533" t="s">
        <v>40</v>
      </c>
      <c r="S533" t="s">
        <v>40</v>
      </c>
      <c r="V533" t="s">
        <v>41</v>
      </c>
      <c r="W533" t="s">
        <v>95</v>
      </c>
      <c r="X533" t="str">
        <f>"7054175"</f>
        <v>7054175</v>
      </c>
      <c r="Y533" t="s">
        <v>859</v>
      </c>
      <c r="Z533" t="s">
        <v>354</v>
      </c>
      <c r="AA533" t="s">
        <v>355</v>
      </c>
      <c r="AB533" t="s">
        <v>131</v>
      </c>
      <c r="AC533" t="s">
        <v>51</v>
      </c>
      <c r="AD533" t="s">
        <v>45</v>
      </c>
      <c r="AE533" s="1">
        <v>32614</v>
      </c>
      <c r="AF533">
        <v>1</v>
      </c>
      <c r="AG533" t="s">
        <v>355</v>
      </c>
      <c r="AH533" s="36">
        <f t="shared" si="8"/>
        <v>30.119444444444444</v>
      </c>
      <c r="AI533" s="40" t="s">
        <v>1777</v>
      </c>
    </row>
    <row r="534" spans="1:35" x14ac:dyDescent="0.25">
      <c r="A534" s="36">
        <v>99910532</v>
      </c>
      <c r="B534" s="17" t="s">
        <v>32</v>
      </c>
      <c r="C534" t="s">
        <v>111</v>
      </c>
      <c r="D534" t="s">
        <v>112</v>
      </c>
      <c r="G534" s="17" t="s">
        <v>48</v>
      </c>
      <c r="H534" s="17">
        <v>1</v>
      </c>
      <c r="K534" t="s">
        <v>877</v>
      </c>
      <c r="L534" t="s">
        <v>878</v>
      </c>
      <c r="M534" t="s">
        <v>131</v>
      </c>
      <c r="N534">
        <v>24</v>
      </c>
      <c r="O534" t="s">
        <v>40</v>
      </c>
      <c r="P534" t="s">
        <v>40</v>
      </c>
      <c r="Q534" t="s">
        <v>40</v>
      </c>
      <c r="S534" t="s">
        <v>40</v>
      </c>
      <c r="V534" t="s">
        <v>41</v>
      </c>
      <c r="W534" t="s">
        <v>75</v>
      </c>
      <c r="X534" t="str">
        <f>"7541008"</f>
        <v>7541008</v>
      </c>
      <c r="Y534" t="s">
        <v>879</v>
      </c>
      <c r="Z534" t="s">
        <v>877</v>
      </c>
      <c r="AA534" t="s">
        <v>878</v>
      </c>
      <c r="AB534" t="s">
        <v>131</v>
      </c>
      <c r="AC534" t="s">
        <v>51</v>
      </c>
      <c r="AD534" t="s">
        <v>45</v>
      </c>
      <c r="AE534" s="1">
        <v>32610</v>
      </c>
      <c r="AF534">
        <v>1</v>
      </c>
      <c r="AG534" t="s">
        <v>878</v>
      </c>
      <c r="AH534" s="36">
        <f t="shared" si="8"/>
        <v>30.130555555555556</v>
      </c>
      <c r="AI534" s="40" t="s">
        <v>1777</v>
      </c>
    </row>
    <row r="535" spans="1:35" x14ac:dyDescent="0.25">
      <c r="A535" s="36">
        <v>99910533</v>
      </c>
      <c r="B535" s="17" t="s">
        <v>32</v>
      </c>
      <c r="C535" t="s">
        <v>61</v>
      </c>
      <c r="D535" t="s">
        <v>62</v>
      </c>
      <c r="G535" s="17" t="s">
        <v>35</v>
      </c>
      <c r="H535" s="17">
        <v>1</v>
      </c>
      <c r="I535" t="s">
        <v>286</v>
      </c>
      <c r="J535" s="1">
        <v>43344</v>
      </c>
      <c r="K535" t="s">
        <v>268</v>
      </c>
      <c r="L535" t="s">
        <v>269</v>
      </c>
      <c r="M535" t="s">
        <v>131</v>
      </c>
      <c r="N535">
        <v>21</v>
      </c>
      <c r="O535" t="s">
        <v>40</v>
      </c>
      <c r="P535" t="s">
        <v>40</v>
      </c>
      <c r="Q535" t="s">
        <v>40</v>
      </c>
      <c r="R535" t="s">
        <v>40</v>
      </c>
      <c r="S535" t="s">
        <v>40</v>
      </c>
      <c r="U535" s="1">
        <v>43344</v>
      </c>
      <c r="V535" t="s">
        <v>41</v>
      </c>
      <c r="W535" t="s">
        <v>75</v>
      </c>
      <c r="X535" t="str">
        <f>"7052004"</f>
        <v>7052004</v>
      </c>
      <c r="Y535" t="s">
        <v>584</v>
      </c>
      <c r="Z535" t="s">
        <v>268</v>
      </c>
      <c r="AA535" t="s">
        <v>269</v>
      </c>
      <c r="AB535" t="s">
        <v>131</v>
      </c>
      <c r="AC535" t="s">
        <v>55</v>
      </c>
      <c r="AD535" t="s">
        <v>45</v>
      </c>
      <c r="AE535" s="1">
        <v>32607</v>
      </c>
      <c r="AF535">
        <v>1</v>
      </c>
      <c r="AG535" t="s">
        <v>269</v>
      </c>
      <c r="AH535" s="36">
        <f t="shared" si="8"/>
        <v>30.138888888888889</v>
      </c>
      <c r="AI535" s="40" t="s">
        <v>1777</v>
      </c>
    </row>
    <row r="536" spans="1:35" x14ac:dyDescent="0.25">
      <c r="A536" s="36">
        <v>99910534</v>
      </c>
      <c r="B536" s="17" t="s">
        <v>32</v>
      </c>
      <c r="C536" t="s">
        <v>111</v>
      </c>
      <c r="D536" t="s">
        <v>112</v>
      </c>
      <c r="G536" s="17" t="s">
        <v>35</v>
      </c>
      <c r="H536" s="17">
        <v>1</v>
      </c>
      <c r="I536" t="s">
        <v>599</v>
      </c>
      <c r="J536" s="1">
        <v>43344</v>
      </c>
      <c r="K536" t="s">
        <v>354</v>
      </c>
      <c r="L536" t="s">
        <v>355</v>
      </c>
      <c r="M536" t="s">
        <v>131</v>
      </c>
      <c r="N536">
        <v>24</v>
      </c>
      <c r="O536" t="s">
        <v>40</v>
      </c>
      <c r="S536" t="s">
        <v>40</v>
      </c>
      <c r="U536" s="1">
        <v>43344</v>
      </c>
      <c r="V536" t="s">
        <v>41</v>
      </c>
      <c r="W536" t="s">
        <v>75</v>
      </c>
      <c r="X536" t="str">
        <f>"7054010"</f>
        <v>7054010</v>
      </c>
      <c r="Y536" t="s">
        <v>810</v>
      </c>
      <c r="Z536" t="s">
        <v>354</v>
      </c>
      <c r="AA536" t="s">
        <v>355</v>
      </c>
      <c r="AB536" t="s">
        <v>131</v>
      </c>
      <c r="AC536" t="s">
        <v>51</v>
      </c>
      <c r="AD536" t="s">
        <v>45</v>
      </c>
      <c r="AE536" s="1">
        <v>32605</v>
      </c>
      <c r="AF536">
        <v>1</v>
      </c>
      <c r="AG536" t="s">
        <v>355</v>
      </c>
      <c r="AH536" s="36">
        <f t="shared" si="8"/>
        <v>30.144444444444446</v>
      </c>
      <c r="AI536" s="40" t="s">
        <v>1777</v>
      </c>
    </row>
    <row r="537" spans="1:35" x14ac:dyDescent="0.25">
      <c r="A537" s="36">
        <v>99910535</v>
      </c>
      <c r="B537" s="17" t="s">
        <v>56</v>
      </c>
      <c r="C537" t="s">
        <v>46</v>
      </c>
      <c r="D537" t="s">
        <v>47</v>
      </c>
      <c r="G537" s="17" t="s">
        <v>35</v>
      </c>
      <c r="H537" s="17">
        <v>1</v>
      </c>
      <c r="I537" t="s">
        <v>1176</v>
      </c>
      <c r="J537" s="1">
        <v>43362</v>
      </c>
      <c r="K537" t="s">
        <v>1171</v>
      </c>
      <c r="L537" t="s">
        <v>1172</v>
      </c>
      <c r="M537" t="s">
        <v>1130</v>
      </c>
      <c r="N537">
        <v>23</v>
      </c>
      <c r="O537" t="s">
        <v>40</v>
      </c>
      <c r="S537" t="s">
        <v>40</v>
      </c>
      <c r="U537" s="1">
        <v>43362</v>
      </c>
      <c r="V537" t="s">
        <v>41</v>
      </c>
      <c r="W537" t="s">
        <v>42</v>
      </c>
      <c r="X537" t="str">
        <f>"3561001"</f>
        <v>3561001</v>
      </c>
      <c r="Y537" t="s">
        <v>1173</v>
      </c>
      <c r="Z537" t="s">
        <v>1171</v>
      </c>
      <c r="AA537" t="s">
        <v>1172</v>
      </c>
      <c r="AB537" t="s">
        <v>1130</v>
      </c>
      <c r="AC537" t="s">
        <v>44</v>
      </c>
      <c r="AD537" t="s">
        <v>45</v>
      </c>
      <c r="AE537" s="1">
        <v>32605</v>
      </c>
      <c r="AF537">
        <v>2</v>
      </c>
      <c r="AG537" t="s">
        <v>1172</v>
      </c>
      <c r="AH537" s="36">
        <f t="shared" si="8"/>
        <v>30.144444444444446</v>
      </c>
      <c r="AI537" s="40" t="s">
        <v>1777</v>
      </c>
    </row>
    <row r="538" spans="1:35" x14ac:dyDescent="0.25">
      <c r="A538" s="36">
        <v>99910536</v>
      </c>
      <c r="B538" s="17" t="s">
        <v>32</v>
      </c>
      <c r="C538" t="s">
        <v>111</v>
      </c>
      <c r="D538" t="s">
        <v>112</v>
      </c>
      <c r="G538" s="17" t="s">
        <v>48</v>
      </c>
      <c r="H538" s="17">
        <v>1</v>
      </c>
      <c r="K538" t="s">
        <v>1695</v>
      </c>
      <c r="L538" t="s">
        <v>1696</v>
      </c>
      <c r="M538" t="s">
        <v>1592</v>
      </c>
      <c r="N538">
        <v>24</v>
      </c>
      <c r="O538" t="s">
        <v>40</v>
      </c>
      <c r="P538" t="s">
        <v>40</v>
      </c>
      <c r="Q538" t="s">
        <v>40</v>
      </c>
      <c r="S538" t="s">
        <v>40</v>
      </c>
      <c r="V538" t="s">
        <v>41</v>
      </c>
      <c r="W538" t="s">
        <v>75</v>
      </c>
      <c r="X538" t="str">
        <f>"7361000"</f>
        <v>7361000</v>
      </c>
      <c r="Y538" t="s">
        <v>1698</v>
      </c>
      <c r="Z538" t="s">
        <v>1695</v>
      </c>
      <c r="AA538" t="s">
        <v>1696</v>
      </c>
      <c r="AB538" t="s">
        <v>1592</v>
      </c>
      <c r="AC538" t="s">
        <v>51</v>
      </c>
      <c r="AD538" t="s">
        <v>45</v>
      </c>
      <c r="AE538" s="1">
        <v>32605</v>
      </c>
      <c r="AF538">
        <v>1</v>
      </c>
      <c r="AG538" t="s">
        <v>1696</v>
      </c>
      <c r="AH538" s="36">
        <f t="shared" si="8"/>
        <v>30.144444444444446</v>
      </c>
      <c r="AI538" s="40" t="s">
        <v>1777</v>
      </c>
    </row>
    <row r="539" spans="1:35" x14ac:dyDescent="0.25">
      <c r="A539" s="36">
        <v>99910537</v>
      </c>
      <c r="B539" s="17" t="s">
        <v>32</v>
      </c>
      <c r="C539" t="s">
        <v>111</v>
      </c>
      <c r="D539" t="s">
        <v>112</v>
      </c>
      <c r="G539" s="17" t="s">
        <v>35</v>
      </c>
      <c r="H539" s="17">
        <v>1</v>
      </c>
      <c r="I539">
        <v>9062</v>
      </c>
      <c r="J539" s="1">
        <v>43344</v>
      </c>
      <c r="K539" t="s">
        <v>1198</v>
      </c>
      <c r="L539" t="s">
        <v>1199</v>
      </c>
      <c r="M539" t="s">
        <v>1130</v>
      </c>
      <c r="N539">
        <v>24</v>
      </c>
      <c r="O539" t="s">
        <v>40</v>
      </c>
      <c r="P539" t="s">
        <v>40</v>
      </c>
      <c r="Q539" t="s">
        <v>40</v>
      </c>
      <c r="R539" t="s">
        <v>40</v>
      </c>
      <c r="S539" t="s">
        <v>40</v>
      </c>
      <c r="U539" s="1">
        <v>43344</v>
      </c>
      <c r="V539" t="s">
        <v>41</v>
      </c>
      <c r="W539" t="s">
        <v>75</v>
      </c>
      <c r="X539" t="str">
        <f>"7311002"</f>
        <v>7311002</v>
      </c>
      <c r="Y539" t="s">
        <v>1203</v>
      </c>
      <c r="Z539" t="s">
        <v>1198</v>
      </c>
      <c r="AA539" t="s">
        <v>1199</v>
      </c>
      <c r="AB539" t="s">
        <v>1130</v>
      </c>
      <c r="AC539" t="s">
        <v>44</v>
      </c>
      <c r="AD539" t="s">
        <v>45</v>
      </c>
      <c r="AE539" s="1">
        <v>32602</v>
      </c>
      <c r="AF539">
        <v>1</v>
      </c>
      <c r="AG539" t="s">
        <v>1199</v>
      </c>
      <c r="AH539" s="36">
        <f t="shared" si="8"/>
        <v>30.152777777777779</v>
      </c>
      <c r="AI539" s="40" t="s">
        <v>1777</v>
      </c>
    </row>
    <row r="540" spans="1:35" x14ac:dyDescent="0.25">
      <c r="A540" s="36">
        <v>99910538</v>
      </c>
      <c r="B540" s="17" t="s">
        <v>32</v>
      </c>
      <c r="C540" t="s">
        <v>111</v>
      </c>
      <c r="D540" t="s">
        <v>112</v>
      </c>
      <c r="G540" s="17" t="s">
        <v>35</v>
      </c>
      <c r="H540" s="17">
        <v>1</v>
      </c>
      <c r="I540" s="1">
        <v>42979</v>
      </c>
      <c r="J540" s="1">
        <v>43344</v>
      </c>
      <c r="K540" t="s">
        <v>1341</v>
      </c>
      <c r="L540" t="s">
        <v>1342</v>
      </c>
      <c r="M540" t="s">
        <v>1270</v>
      </c>
      <c r="N540">
        <v>24</v>
      </c>
      <c r="O540" t="s">
        <v>40</v>
      </c>
      <c r="P540" t="s">
        <v>40</v>
      </c>
      <c r="Q540" t="s">
        <v>40</v>
      </c>
      <c r="R540" t="s">
        <v>40</v>
      </c>
      <c r="S540" t="s">
        <v>40</v>
      </c>
      <c r="U540" s="1">
        <v>43344</v>
      </c>
      <c r="V540" t="s">
        <v>41</v>
      </c>
      <c r="W540" t="s">
        <v>75</v>
      </c>
      <c r="X540" t="str">
        <f>"7191034"</f>
        <v>7191034</v>
      </c>
      <c r="Y540" t="s">
        <v>1343</v>
      </c>
      <c r="Z540" t="s">
        <v>1341</v>
      </c>
      <c r="AA540" t="s">
        <v>1342</v>
      </c>
      <c r="AB540" t="s">
        <v>1270</v>
      </c>
      <c r="AC540" t="s">
        <v>44</v>
      </c>
      <c r="AD540" t="s">
        <v>45</v>
      </c>
      <c r="AE540" s="1">
        <v>32591</v>
      </c>
      <c r="AF540">
        <v>1</v>
      </c>
      <c r="AG540" t="s">
        <v>1342</v>
      </c>
      <c r="AH540" s="36">
        <f t="shared" si="8"/>
        <v>30.183333333333334</v>
      </c>
      <c r="AI540" s="40" t="s">
        <v>1777</v>
      </c>
    </row>
    <row r="541" spans="1:35" x14ac:dyDescent="0.25">
      <c r="A541" s="36">
        <v>99910539</v>
      </c>
      <c r="B541" s="17" t="s">
        <v>32</v>
      </c>
      <c r="C541" t="s">
        <v>85</v>
      </c>
      <c r="D541" t="s">
        <v>86</v>
      </c>
      <c r="G541" s="17" t="s">
        <v>35</v>
      </c>
      <c r="H541" s="17">
        <v>1</v>
      </c>
      <c r="I541">
        <v>19331</v>
      </c>
      <c r="J541" s="1">
        <v>43367</v>
      </c>
      <c r="K541" t="s">
        <v>380</v>
      </c>
      <c r="L541" t="s">
        <v>381</v>
      </c>
      <c r="M541" t="s">
        <v>131</v>
      </c>
      <c r="N541">
        <v>4</v>
      </c>
      <c r="O541" t="s">
        <v>40</v>
      </c>
      <c r="S541" t="s">
        <v>40</v>
      </c>
      <c r="U541" s="1">
        <v>43367</v>
      </c>
      <c r="V541" t="s">
        <v>41</v>
      </c>
      <c r="W541" t="s">
        <v>49</v>
      </c>
      <c r="X541" t="str">
        <f>"0561020"</f>
        <v>0561020</v>
      </c>
      <c r="Y541" t="s">
        <v>390</v>
      </c>
      <c r="Z541" t="s">
        <v>380</v>
      </c>
      <c r="AA541" t="s">
        <v>381</v>
      </c>
      <c r="AB541" t="s">
        <v>131</v>
      </c>
      <c r="AC541" t="s">
        <v>44</v>
      </c>
      <c r="AD541" t="s">
        <v>45</v>
      </c>
      <c r="AE541" s="1">
        <v>32587</v>
      </c>
      <c r="AF541">
        <v>2</v>
      </c>
      <c r="AG541" t="s">
        <v>381</v>
      </c>
      <c r="AH541" s="36">
        <f t="shared" si="8"/>
        <v>30.194444444444443</v>
      </c>
      <c r="AI541" s="40" t="s">
        <v>1777</v>
      </c>
    </row>
    <row r="542" spans="1:35" x14ac:dyDescent="0.25">
      <c r="A542" s="36">
        <v>99910540</v>
      </c>
      <c r="B542" s="17" t="s">
        <v>32</v>
      </c>
      <c r="C542" t="s">
        <v>61</v>
      </c>
      <c r="D542" t="s">
        <v>62</v>
      </c>
      <c r="G542" s="17" t="s">
        <v>48</v>
      </c>
      <c r="H542" s="17">
        <v>1</v>
      </c>
      <c r="K542" t="s">
        <v>1566</v>
      </c>
      <c r="L542" t="s">
        <v>1567</v>
      </c>
      <c r="M542" t="s">
        <v>1548</v>
      </c>
      <c r="N542">
        <v>13</v>
      </c>
      <c r="O542" t="s">
        <v>40</v>
      </c>
      <c r="P542" t="s">
        <v>40</v>
      </c>
      <c r="Q542" t="s">
        <v>40</v>
      </c>
      <c r="R542" t="s">
        <v>40</v>
      </c>
      <c r="S542" t="s">
        <v>40</v>
      </c>
      <c r="V542" t="s">
        <v>41</v>
      </c>
      <c r="W542" t="s">
        <v>42</v>
      </c>
      <c r="X542" t="str">
        <f>"2961001"</f>
        <v>2961001</v>
      </c>
      <c r="Y542" t="s">
        <v>1568</v>
      </c>
      <c r="Z542" t="s">
        <v>1566</v>
      </c>
      <c r="AA542" t="s">
        <v>1567</v>
      </c>
      <c r="AB542" t="s">
        <v>1548</v>
      </c>
      <c r="AC542" t="s">
        <v>51</v>
      </c>
      <c r="AD542" t="s">
        <v>45</v>
      </c>
      <c r="AE542" s="1">
        <v>32587</v>
      </c>
      <c r="AF542">
        <v>2</v>
      </c>
      <c r="AG542" t="s">
        <v>1567</v>
      </c>
      <c r="AH542" s="36">
        <f t="shared" si="8"/>
        <v>30.194444444444443</v>
      </c>
      <c r="AI542" s="40" t="s">
        <v>1777</v>
      </c>
    </row>
    <row r="543" spans="1:35" x14ac:dyDescent="0.25">
      <c r="A543" s="36">
        <v>99910541</v>
      </c>
      <c r="B543" s="17" t="s">
        <v>56</v>
      </c>
      <c r="C543" t="s">
        <v>111</v>
      </c>
      <c r="D543" t="s">
        <v>112</v>
      </c>
      <c r="G543" s="17" t="s">
        <v>48</v>
      </c>
      <c r="H543" s="17">
        <v>1</v>
      </c>
      <c r="K543" t="s">
        <v>1581</v>
      </c>
      <c r="L543" t="s">
        <v>1582</v>
      </c>
      <c r="M543" t="s">
        <v>1548</v>
      </c>
      <c r="N543">
        <v>24</v>
      </c>
      <c r="O543" t="s">
        <v>40</v>
      </c>
      <c r="P543" t="s">
        <v>40</v>
      </c>
      <c r="Q543" t="s">
        <v>40</v>
      </c>
      <c r="S543" t="s">
        <v>40</v>
      </c>
      <c r="V543" t="s">
        <v>41</v>
      </c>
      <c r="W543" t="s">
        <v>75</v>
      </c>
      <c r="X543" t="str">
        <f>"7291000"</f>
        <v>7291000</v>
      </c>
      <c r="Y543" t="s">
        <v>1584</v>
      </c>
      <c r="Z543" t="s">
        <v>1581</v>
      </c>
      <c r="AA543" t="s">
        <v>1582</v>
      </c>
      <c r="AB543" t="s">
        <v>1548</v>
      </c>
      <c r="AC543" t="s">
        <v>51</v>
      </c>
      <c r="AD543" t="s">
        <v>45</v>
      </c>
      <c r="AE543" s="1">
        <v>32587</v>
      </c>
      <c r="AF543">
        <v>1</v>
      </c>
      <c r="AG543" t="s">
        <v>1582</v>
      </c>
      <c r="AH543" s="36">
        <f t="shared" si="8"/>
        <v>30.194444444444443</v>
      </c>
      <c r="AI543" s="40" t="s">
        <v>1777</v>
      </c>
    </row>
    <row r="544" spans="1:35" x14ac:dyDescent="0.25">
      <c r="A544" s="36">
        <v>99910542</v>
      </c>
      <c r="B544" s="17" t="s">
        <v>32</v>
      </c>
      <c r="C544" t="s">
        <v>111</v>
      </c>
      <c r="D544" t="s">
        <v>112</v>
      </c>
      <c r="G544" s="17" t="s">
        <v>35</v>
      </c>
      <c r="H544" s="17">
        <v>1</v>
      </c>
      <c r="I544" t="s">
        <v>250</v>
      </c>
      <c r="J544" s="1">
        <v>43344</v>
      </c>
      <c r="K544" t="s">
        <v>985</v>
      </c>
      <c r="L544" t="s">
        <v>986</v>
      </c>
      <c r="M544" t="s">
        <v>938</v>
      </c>
      <c r="N544">
        <v>24</v>
      </c>
      <c r="O544" t="s">
        <v>40</v>
      </c>
      <c r="P544" t="s">
        <v>40</v>
      </c>
      <c r="Q544" t="s">
        <v>40</v>
      </c>
      <c r="R544" t="s">
        <v>40</v>
      </c>
      <c r="S544" t="s">
        <v>40</v>
      </c>
      <c r="U544" s="1">
        <v>43344</v>
      </c>
      <c r="V544" t="s">
        <v>41</v>
      </c>
      <c r="W544" t="s">
        <v>75</v>
      </c>
      <c r="X544" t="str">
        <f>"7011004"</f>
        <v>7011004</v>
      </c>
      <c r="Y544" t="s">
        <v>987</v>
      </c>
      <c r="Z544" t="s">
        <v>985</v>
      </c>
      <c r="AA544" t="s">
        <v>986</v>
      </c>
      <c r="AB544" t="s">
        <v>938</v>
      </c>
      <c r="AC544" t="s">
        <v>51</v>
      </c>
      <c r="AD544" t="s">
        <v>45</v>
      </c>
      <c r="AE544" s="1">
        <v>32584</v>
      </c>
      <c r="AF544">
        <v>1</v>
      </c>
      <c r="AG544" t="s">
        <v>986</v>
      </c>
      <c r="AH544" s="36">
        <f t="shared" si="8"/>
        <v>30.202777777777779</v>
      </c>
      <c r="AI544" s="40" t="s">
        <v>1777</v>
      </c>
    </row>
    <row r="545" spans="1:35" x14ac:dyDescent="0.25">
      <c r="A545" s="36">
        <v>99910543</v>
      </c>
      <c r="B545" s="17" t="s">
        <v>32</v>
      </c>
      <c r="C545" t="s">
        <v>141</v>
      </c>
      <c r="D545" t="s">
        <v>142</v>
      </c>
      <c r="G545" s="17" t="s">
        <v>35</v>
      </c>
      <c r="H545" s="17">
        <v>1</v>
      </c>
      <c r="I545" t="s">
        <v>358</v>
      </c>
      <c r="J545" s="1">
        <v>43344</v>
      </c>
      <c r="K545" t="s">
        <v>345</v>
      </c>
      <c r="L545" t="s">
        <v>346</v>
      </c>
      <c r="M545" t="s">
        <v>131</v>
      </c>
      <c r="N545">
        <v>23</v>
      </c>
      <c r="O545" t="s">
        <v>40</v>
      </c>
      <c r="P545" t="s">
        <v>40</v>
      </c>
      <c r="Q545" t="s">
        <v>40</v>
      </c>
      <c r="S545" t="s">
        <v>40</v>
      </c>
      <c r="U545" s="1">
        <v>43344</v>
      </c>
      <c r="V545" t="s">
        <v>41</v>
      </c>
      <c r="W545" t="s">
        <v>49</v>
      </c>
      <c r="X545" t="str">
        <f>"0581660"</f>
        <v>0581660</v>
      </c>
      <c r="Y545" t="s">
        <v>359</v>
      </c>
      <c r="Z545" t="s">
        <v>345</v>
      </c>
      <c r="AA545" t="s">
        <v>346</v>
      </c>
      <c r="AB545" t="s">
        <v>131</v>
      </c>
      <c r="AC545" t="s">
        <v>51</v>
      </c>
      <c r="AD545" t="s">
        <v>45</v>
      </c>
      <c r="AE545" s="1">
        <v>32583</v>
      </c>
      <c r="AF545">
        <v>2</v>
      </c>
      <c r="AG545" t="s">
        <v>346</v>
      </c>
      <c r="AH545" s="36">
        <f t="shared" si="8"/>
        <v>30.205555555555556</v>
      </c>
      <c r="AI545" s="40" t="s">
        <v>1777</v>
      </c>
    </row>
    <row r="546" spans="1:35" x14ac:dyDescent="0.25">
      <c r="A546" s="36">
        <v>99910544</v>
      </c>
      <c r="B546" s="17" t="s">
        <v>32</v>
      </c>
      <c r="C546" t="s">
        <v>111</v>
      </c>
      <c r="D546" t="s">
        <v>112</v>
      </c>
      <c r="G546" s="17" t="s">
        <v>48</v>
      </c>
      <c r="H546" s="17">
        <v>1</v>
      </c>
      <c r="I546" t="s">
        <v>489</v>
      </c>
      <c r="J546" s="1">
        <v>42317</v>
      </c>
      <c r="K546" t="s">
        <v>431</v>
      </c>
      <c r="L546" t="s">
        <v>196</v>
      </c>
      <c r="M546" t="s">
        <v>131</v>
      </c>
      <c r="N546">
        <v>24</v>
      </c>
      <c r="O546" t="s">
        <v>40</v>
      </c>
      <c r="P546" t="s">
        <v>40</v>
      </c>
      <c r="Q546" t="s">
        <v>40</v>
      </c>
      <c r="R546" t="s">
        <v>40</v>
      </c>
      <c r="S546" t="s">
        <v>40</v>
      </c>
      <c r="U546" s="1">
        <v>42317</v>
      </c>
      <c r="V546" t="s">
        <v>41</v>
      </c>
      <c r="W546" t="s">
        <v>75</v>
      </c>
      <c r="X546" t="str">
        <f>"7521016"</f>
        <v>7521016</v>
      </c>
      <c r="Y546" t="s">
        <v>448</v>
      </c>
      <c r="Z546" t="s">
        <v>431</v>
      </c>
      <c r="AA546" t="s">
        <v>196</v>
      </c>
      <c r="AB546" t="s">
        <v>131</v>
      </c>
      <c r="AC546" t="s">
        <v>51</v>
      </c>
      <c r="AD546" t="s">
        <v>45</v>
      </c>
      <c r="AE546" s="1">
        <v>32579</v>
      </c>
      <c r="AF546">
        <v>1</v>
      </c>
      <c r="AG546" t="s">
        <v>196</v>
      </c>
      <c r="AH546" s="36">
        <f t="shared" si="8"/>
        <v>30.216666666666665</v>
      </c>
      <c r="AI546" s="40" t="s">
        <v>1777</v>
      </c>
    </row>
    <row r="547" spans="1:35" x14ac:dyDescent="0.25">
      <c r="A547" s="36">
        <v>99910545</v>
      </c>
      <c r="B547" s="17" t="s">
        <v>32</v>
      </c>
      <c r="C547" t="s">
        <v>90</v>
      </c>
      <c r="D547" t="s">
        <v>91</v>
      </c>
      <c r="G547" s="17" t="s">
        <v>35</v>
      </c>
      <c r="H547" s="17">
        <v>1</v>
      </c>
      <c r="I547" t="s">
        <v>1666</v>
      </c>
      <c r="J547" s="1">
        <v>43354</v>
      </c>
      <c r="K547" t="s">
        <v>1619</v>
      </c>
      <c r="L547" t="s">
        <v>1620</v>
      </c>
      <c r="M547" t="s">
        <v>1592</v>
      </c>
      <c r="N547">
        <v>25</v>
      </c>
      <c r="O547" t="s">
        <v>40</v>
      </c>
      <c r="P547" t="s">
        <v>40</v>
      </c>
      <c r="Q547" t="s">
        <v>40</v>
      </c>
      <c r="R547" t="s">
        <v>40</v>
      </c>
      <c r="S547" t="s">
        <v>40</v>
      </c>
      <c r="U547" s="1">
        <v>43354</v>
      </c>
      <c r="V547" t="s">
        <v>41</v>
      </c>
      <c r="W547" t="s">
        <v>95</v>
      </c>
      <c r="X547" t="str">
        <f>"7281011"</f>
        <v>7281011</v>
      </c>
      <c r="Y547" t="s">
        <v>1653</v>
      </c>
      <c r="Z547" t="s">
        <v>1619</v>
      </c>
      <c r="AA547" t="s">
        <v>1620</v>
      </c>
      <c r="AB547" t="s">
        <v>1592</v>
      </c>
      <c r="AC547" t="s">
        <v>44</v>
      </c>
      <c r="AD547" t="s">
        <v>45</v>
      </c>
      <c r="AE547" s="1">
        <v>32576</v>
      </c>
      <c r="AF547">
        <v>1</v>
      </c>
      <c r="AG547" t="s">
        <v>1620</v>
      </c>
      <c r="AH547" s="36">
        <f t="shared" si="8"/>
        <v>30.225000000000001</v>
      </c>
      <c r="AI547" s="40" t="s">
        <v>1777</v>
      </c>
    </row>
    <row r="548" spans="1:35" x14ac:dyDescent="0.25">
      <c r="A548" s="36">
        <v>99910546</v>
      </c>
      <c r="B548" s="17" t="s">
        <v>32</v>
      </c>
      <c r="C548" t="s">
        <v>111</v>
      </c>
      <c r="D548" t="s">
        <v>112</v>
      </c>
      <c r="G548" s="17" t="s">
        <v>35</v>
      </c>
      <c r="H548" s="17">
        <v>1</v>
      </c>
      <c r="K548" t="s">
        <v>877</v>
      </c>
      <c r="L548" t="s">
        <v>878</v>
      </c>
      <c r="M548" t="s">
        <v>131</v>
      </c>
      <c r="N548">
        <v>24</v>
      </c>
      <c r="O548" t="s">
        <v>40</v>
      </c>
      <c r="P548" t="s">
        <v>40</v>
      </c>
      <c r="Q548" t="s">
        <v>40</v>
      </c>
      <c r="S548" t="s">
        <v>40</v>
      </c>
      <c r="V548" t="s">
        <v>41</v>
      </c>
      <c r="W548" t="s">
        <v>75</v>
      </c>
      <c r="X548" t="str">
        <f>"7700025"</f>
        <v>7700025</v>
      </c>
      <c r="Y548" t="s">
        <v>880</v>
      </c>
      <c r="Z548" t="s">
        <v>877</v>
      </c>
      <c r="AA548" t="s">
        <v>878</v>
      </c>
      <c r="AB548" t="s">
        <v>131</v>
      </c>
      <c r="AC548" t="s">
        <v>51</v>
      </c>
      <c r="AD548" t="s">
        <v>45</v>
      </c>
      <c r="AE548" s="1">
        <v>32562</v>
      </c>
      <c r="AF548">
        <v>1</v>
      </c>
      <c r="AG548" t="s">
        <v>878</v>
      </c>
      <c r="AH548" s="36">
        <f t="shared" si="8"/>
        <v>30.263888888888889</v>
      </c>
      <c r="AI548" s="40" t="s">
        <v>1777</v>
      </c>
    </row>
    <row r="549" spans="1:35" x14ac:dyDescent="0.25">
      <c r="A549" s="36">
        <v>99910547</v>
      </c>
      <c r="B549" s="17" t="s">
        <v>32</v>
      </c>
      <c r="C549" t="s">
        <v>139</v>
      </c>
      <c r="D549" t="s">
        <v>140</v>
      </c>
      <c r="G549" s="17" t="s">
        <v>35</v>
      </c>
      <c r="H549" s="17">
        <v>1</v>
      </c>
      <c r="I549">
        <v>24050</v>
      </c>
      <c r="J549" s="1">
        <v>43359</v>
      </c>
      <c r="K549" t="s">
        <v>380</v>
      </c>
      <c r="L549" t="s">
        <v>381</v>
      </c>
      <c r="M549" t="s">
        <v>131</v>
      </c>
      <c r="N549">
        <v>6</v>
      </c>
      <c r="O549" t="s">
        <v>40</v>
      </c>
      <c r="S549" t="s">
        <v>40</v>
      </c>
      <c r="U549" s="1">
        <v>43359</v>
      </c>
      <c r="V549" t="s">
        <v>41</v>
      </c>
      <c r="W549" t="s">
        <v>49</v>
      </c>
      <c r="X549" t="str">
        <f>"0591908"</f>
        <v>0591908</v>
      </c>
      <c r="Y549" t="s">
        <v>383</v>
      </c>
      <c r="Z549" t="s">
        <v>380</v>
      </c>
      <c r="AA549" t="s">
        <v>381</v>
      </c>
      <c r="AB549" t="s">
        <v>131</v>
      </c>
      <c r="AC549" t="s">
        <v>55</v>
      </c>
      <c r="AD549" t="s">
        <v>45</v>
      </c>
      <c r="AE549" s="1">
        <v>32561</v>
      </c>
      <c r="AF549">
        <v>2</v>
      </c>
      <c r="AG549" t="s">
        <v>381</v>
      </c>
      <c r="AH549" s="36">
        <f t="shared" si="8"/>
        <v>30.266666666666666</v>
      </c>
      <c r="AI549" s="40" t="s">
        <v>1777</v>
      </c>
    </row>
    <row r="550" spans="1:35" x14ac:dyDescent="0.25">
      <c r="A550" s="36">
        <v>99910548</v>
      </c>
      <c r="B550" s="17" t="s">
        <v>32</v>
      </c>
      <c r="C550" t="s">
        <v>90</v>
      </c>
      <c r="D550" t="s">
        <v>91</v>
      </c>
      <c r="G550" s="17" t="s">
        <v>48</v>
      </c>
      <c r="H550" s="17">
        <v>1</v>
      </c>
      <c r="K550" t="s">
        <v>1341</v>
      </c>
      <c r="L550" t="s">
        <v>1342</v>
      </c>
      <c r="M550" t="s">
        <v>1270</v>
      </c>
      <c r="N550">
        <v>25</v>
      </c>
      <c r="O550" t="s">
        <v>40</v>
      </c>
      <c r="P550" t="s">
        <v>40</v>
      </c>
      <c r="Q550" t="s">
        <v>40</v>
      </c>
      <c r="S550" t="s">
        <v>40</v>
      </c>
      <c r="V550" t="s">
        <v>41</v>
      </c>
      <c r="W550" t="s">
        <v>95</v>
      </c>
      <c r="X550" t="str">
        <f>"7191027"</f>
        <v>7191027</v>
      </c>
      <c r="Y550" t="s">
        <v>1363</v>
      </c>
      <c r="Z550" t="s">
        <v>1341</v>
      </c>
      <c r="AA550" t="s">
        <v>1342</v>
      </c>
      <c r="AB550" t="s">
        <v>1270</v>
      </c>
      <c r="AC550" t="s">
        <v>51</v>
      </c>
      <c r="AD550" t="s">
        <v>45</v>
      </c>
      <c r="AE550" s="1">
        <v>32560</v>
      </c>
      <c r="AF550">
        <v>1</v>
      </c>
      <c r="AG550" t="s">
        <v>1342</v>
      </c>
      <c r="AH550" s="36">
        <f t="shared" si="8"/>
        <v>30.269444444444446</v>
      </c>
      <c r="AI550" s="40" t="s">
        <v>1777</v>
      </c>
    </row>
    <row r="551" spans="1:35" x14ac:dyDescent="0.25">
      <c r="A551" s="36">
        <v>99910549</v>
      </c>
      <c r="B551" s="17" t="s">
        <v>32</v>
      </c>
      <c r="C551" t="s">
        <v>64</v>
      </c>
      <c r="D551" t="s">
        <v>65</v>
      </c>
      <c r="G551" s="17" t="s">
        <v>35</v>
      </c>
      <c r="H551" s="17">
        <v>1</v>
      </c>
      <c r="I551" t="s">
        <v>1329</v>
      </c>
      <c r="J551" s="1">
        <v>43405</v>
      </c>
      <c r="K551" t="s">
        <v>1325</v>
      </c>
      <c r="L551" t="s">
        <v>1326</v>
      </c>
      <c r="M551" t="s">
        <v>1270</v>
      </c>
      <c r="N551">
        <v>21</v>
      </c>
      <c r="O551" t="s">
        <v>40</v>
      </c>
      <c r="S551" t="s">
        <v>40</v>
      </c>
      <c r="U551" s="1">
        <v>43405</v>
      </c>
      <c r="X551" t="str">
        <f>""</f>
        <v/>
      </c>
      <c r="AA551" t="s">
        <v>1326</v>
      </c>
      <c r="AB551" t="s">
        <v>1270</v>
      </c>
      <c r="AC551" t="s">
        <v>44</v>
      </c>
      <c r="AD551" t="s">
        <v>45</v>
      </c>
      <c r="AE551" s="1">
        <v>32556</v>
      </c>
      <c r="AF551">
        <v>2</v>
      </c>
      <c r="AG551" t="s">
        <v>1326</v>
      </c>
      <c r="AH551" s="36">
        <f t="shared" si="8"/>
        <v>30.280555555555555</v>
      </c>
      <c r="AI551" s="40" t="s">
        <v>1777</v>
      </c>
    </row>
    <row r="552" spans="1:35" x14ac:dyDescent="0.25">
      <c r="A552" s="36">
        <v>99910550</v>
      </c>
      <c r="B552" s="17" t="s">
        <v>32</v>
      </c>
      <c r="C552" t="s">
        <v>111</v>
      </c>
      <c r="D552" t="s">
        <v>112</v>
      </c>
      <c r="G552" s="17" t="s">
        <v>48</v>
      </c>
      <c r="H552" s="17">
        <v>1</v>
      </c>
      <c r="K552" t="s">
        <v>268</v>
      </c>
      <c r="L552" t="s">
        <v>269</v>
      </c>
      <c r="M552" t="s">
        <v>131</v>
      </c>
      <c r="N552">
        <v>24</v>
      </c>
      <c r="O552" t="s">
        <v>40</v>
      </c>
      <c r="P552" t="s">
        <v>40</v>
      </c>
      <c r="Q552" t="s">
        <v>40</v>
      </c>
      <c r="S552" t="s">
        <v>40</v>
      </c>
      <c r="V552" t="s">
        <v>41</v>
      </c>
      <c r="W552" t="s">
        <v>75</v>
      </c>
      <c r="X552" t="str">
        <f>"7052040"</f>
        <v>7052040</v>
      </c>
      <c r="Y552" t="s">
        <v>591</v>
      </c>
      <c r="Z552" t="s">
        <v>268</v>
      </c>
      <c r="AA552" t="s">
        <v>269</v>
      </c>
      <c r="AB552" t="s">
        <v>131</v>
      </c>
      <c r="AC552" t="s">
        <v>51</v>
      </c>
      <c r="AD552" t="s">
        <v>45</v>
      </c>
      <c r="AE552" s="1">
        <v>32554</v>
      </c>
      <c r="AF552">
        <v>1</v>
      </c>
      <c r="AG552" t="s">
        <v>269</v>
      </c>
      <c r="AH552" s="36">
        <f t="shared" si="8"/>
        <v>30.286111111111111</v>
      </c>
      <c r="AI552" s="40" t="s">
        <v>1777</v>
      </c>
    </row>
    <row r="553" spans="1:35" x14ac:dyDescent="0.25">
      <c r="A553" s="36">
        <v>99910551</v>
      </c>
      <c r="B553" s="17" t="s">
        <v>32</v>
      </c>
      <c r="C553" t="s">
        <v>90</v>
      </c>
      <c r="D553" t="s">
        <v>91</v>
      </c>
      <c r="G553" s="17" t="s">
        <v>35</v>
      </c>
      <c r="H553" s="17">
        <v>1</v>
      </c>
      <c r="I553" t="s">
        <v>1674</v>
      </c>
      <c r="J553" s="1">
        <v>43344</v>
      </c>
      <c r="K553" t="s">
        <v>1619</v>
      </c>
      <c r="L553" t="s">
        <v>1620</v>
      </c>
      <c r="M553" t="s">
        <v>1592</v>
      </c>
      <c r="N553">
        <v>25</v>
      </c>
      <c r="O553" t="s">
        <v>40</v>
      </c>
      <c r="P553" t="s">
        <v>40</v>
      </c>
      <c r="Q553" t="s">
        <v>40</v>
      </c>
      <c r="R553" t="s">
        <v>40</v>
      </c>
      <c r="S553" t="s">
        <v>40</v>
      </c>
      <c r="U553" s="1">
        <v>43344</v>
      </c>
      <c r="V553" t="s">
        <v>41</v>
      </c>
      <c r="W553" t="s">
        <v>95</v>
      </c>
      <c r="X553" t="str">
        <f>"7281007"</f>
        <v>7281007</v>
      </c>
      <c r="Y553" t="s">
        <v>1655</v>
      </c>
      <c r="Z553" t="s">
        <v>1619</v>
      </c>
      <c r="AA553" t="s">
        <v>1620</v>
      </c>
      <c r="AB553" t="s">
        <v>1592</v>
      </c>
      <c r="AC553" t="s">
        <v>44</v>
      </c>
      <c r="AD553" t="s">
        <v>45</v>
      </c>
      <c r="AE553" s="1">
        <v>32554</v>
      </c>
      <c r="AF553">
        <v>1</v>
      </c>
      <c r="AG553" t="s">
        <v>1620</v>
      </c>
      <c r="AH553" s="36">
        <f t="shared" si="8"/>
        <v>30.286111111111111</v>
      </c>
      <c r="AI553" s="40" t="s">
        <v>1777</v>
      </c>
    </row>
    <row r="554" spans="1:35" x14ac:dyDescent="0.25">
      <c r="A554" s="36">
        <v>99910552</v>
      </c>
      <c r="B554" s="17" t="s">
        <v>32</v>
      </c>
      <c r="C554" t="s">
        <v>90</v>
      </c>
      <c r="D554" t="s">
        <v>91</v>
      </c>
      <c r="G554" s="17" t="s">
        <v>48</v>
      </c>
      <c r="H554" s="17">
        <v>1</v>
      </c>
      <c r="K554" t="s">
        <v>195</v>
      </c>
      <c r="L554" t="s">
        <v>196</v>
      </c>
      <c r="M554" t="s">
        <v>131</v>
      </c>
      <c r="N554">
        <v>25</v>
      </c>
      <c r="O554" t="s">
        <v>40</v>
      </c>
      <c r="P554" t="s">
        <v>40</v>
      </c>
      <c r="Q554" t="s">
        <v>40</v>
      </c>
      <c r="S554" t="s">
        <v>40</v>
      </c>
      <c r="V554" t="s">
        <v>41</v>
      </c>
      <c r="W554" t="s">
        <v>95</v>
      </c>
      <c r="X554" t="str">
        <f>"7521023"</f>
        <v>7521023</v>
      </c>
      <c r="Y554" t="s">
        <v>466</v>
      </c>
      <c r="Z554" t="s">
        <v>195</v>
      </c>
      <c r="AA554" t="s">
        <v>196</v>
      </c>
      <c r="AB554" t="s">
        <v>131</v>
      </c>
      <c r="AC554" t="s">
        <v>51</v>
      </c>
      <c r="AD554" t="s">
        <v>45</v>
      </c>
      <c r="AE554" s="1">
        <v>32551</v>
      </c>
      <c r="AF554">
        <v>1</v>
      </c>
      <c r="AG554" t="s">
        <v>196</v>
      </c>
      <c r="AH554" s="36">
        <f t="shared" si="8"/>
        <v>30.294444444444444</v>
      </c>
      <c r="AI554" s="40" t="s">
        <v>1777</v>
      </c>
    </row>
    <row r="555" spans="1:35" x14ac:dyDescent="0.25">
      <c r="A555" s="36">
        <v>99910553</v>
      </c>
      <c r="B555" s="17" t="s">
        <v>32</v>
      </c>
      <c r="C555" t="s">
        <v>64</v>
      </c>
      <c r="D555" t="s">
        <v>65</v>
      </c>
      <c r="G555" s="17" t="s">
        <v>35</v>
      </c>
      <c r="H555" s="17">
        <v>1</v>
      </c>
      <c r="I555">
        <v>14597</v>
      </c>
      <c r="J555" s="1">
        <v>43344</v>
      </c>
      <c r="K555" t="s">
        <v>354</v>
      </c>
      <c r="L555" t="s">
        <v>355</v>
      </c>
      <c r="M555" t="s">
        <v>131</v>
      </c>
      <c r="N555">
        <v>24</v>
      </c>
      <c r="O555" t="s">
        <v>40</v>
      </c>
      <c r="Q555" t="s">
        <v>40</v>
      </c>
      <c r="S555" t="s">
        <v>40</v>
      </c>
      <c r="U555" s="1">
        <v>43344</v>
      </c>
      <c r="V555" t="s">
        <v>41</v>
      </c>
      <c r="W555" t="s">
        <v>75</v>
      </c>
      <c r="X555" t="str">
        <f>"7054006"</f>
        <v>7054006</v>
      </c>
      <c r="Y555" t="s">
        <v>774</v>
      </c>
      <c r="Z555" t="s">
        <v>354</v>
      </c>
      <c r="AA555" t="s">
        <v>355</v>
      </c>
      <c r="AB555" t="s">
        <v>131</v>
      </c>
      <c r="AC555" t="s">
        <v>51</v>
      </c>
      <c r="AD555" t="s">
        <v>45</v>
      </c>
      <c r="AE555" s="1">
        <v>32551</v>
      </c>
      <c r="AF555">
        <v>1</v>
      </c>
      <c r="AG555" t="s">
        <v>355</v>
      </c>
      <c r="AH555" s="36">
        <f t="shared" si="8"/>
        <v>30.294444444444444</v>
      </c>
      <c r="AI555" s="40" t="s">
        <v>1777</v>
      </c>
    </row>
    <row r="556" spans="1:35" x14ac:dyDescent="0.25">
      <c r="A556" s="36">
        <v>99910554</v>
      </c>
      <c r="B556" s="17" t="s">
        <v>32</v>
      </c>
      <c r="C556" t="s">
        <v>149</v>
      </c>
      <c r="D556" t="s">
        <v>150</v>
      </c>
      <c r="G556" s="17" t="s">
        <v>35</v>
      </c>
      <c r="H556" s="17">
        <v>1</v>
      </c>
      <c r="I556">
        <v>16390</v>
      </c>
      <c r="J556" s="1">
        <v>43354</v>
      </c>
      <c r="K556" t="s">
        <v>345</v>
      </c>
      <c r="L556" t="s">
        <v>346</v>
      </c>
      <c r="M556" t="s">
        <v>131</v>
      </c>
      <c r="N556">
        <v>6</v>
      </c>
      <c r="O556" t="s">
        <v>40</v>
      </c>
      <c r="P556" t="s">
        <v>40</v>
      </c>
      <c r="Q556" t="s">
        <v>40</v>
      </c>
      <c r="R556" t="s">
        <v>40</v>
      </c>
      <c r="S556" t="s">
        <v>40</v>
      </c>
      <c r="U556" s="1">
        <v>43354</v>
      </c>
      <c r="V556" t="s">
        <v>41</v>
      </c>
      <c r="W556" t="s">
        <v>49</v>
      </c>
      <c r="X556" t="str">
        <f>"0560007"</f>
        <v>0560007</v>
      </c>
      <c r="Y556" t="s">
        <v>357</v>
      </c>
      <c r="Z556" t="s">
        <v>345</v>
      </c>
      <c r="AA556" t="s">
        <v>346</v>
      </c>
      <c r="AB556" t="s">
        <v>131</v>
      </c>
      <c r="AC556" t="s">
        <v>44</v>
      </c>
      <c r="AD556" t="s">
        <v>45</v>
      </c>
      <c r="AE556" s="1">
        <v>32548</v>
      </c>
      <c r="AF556">
        <v>2</v>
      </c>
      <c r="AG556" t="s">
        <v>346</v>
      </c>
      <c r="AH556" s="36">
        <f t="shared" si="8"/>
        <v>30.302777777777777</v>
      </c>
      <c r="AI556" s="40" t="s">
        <v>1777</v>
      </c>
    </row>
    <row r="557" spans="1:35" x14ac:dyDescent="0.25">
      <c r="A557" s="36">
        <v>99910555</v>
      </c>
      <c r="B557" s="17" t="s">
        <v>32</v>
      </c>
      <c r="C557" t="s">
        <v>111</v>
      </c>
      <c r="D557" t="s">
        <v>112</v>
      </c>
      <c r="G557" s="17" t="s">
        <v>48</v>
      </c>
      <c r="H557" s="17">
        <v>5</v>
      </c>
      <c r="I557" t="s">
        <v>451</v>
      </c>
      <c r="J557" s="1">
        <v>43344</v>
      </c>
      <c r="K557" t="s">
        <v>195</v>
      </c>
      <c r="L557" t="s">
        <v>196</v>
      </c>
      <c r="M557" t="s">
        <v>131</v>
      </c>
      <c r="N557">
        <v>24</v>
      </c>
      <c r="O557" t="s">
        <v>40</v>
      </c>
      <c r="P557" t="s">
        <v>40</v>
      </c>
      <c r="Q557" t="s">
        <v>40</v>
      </c>
      <c r="R557" t="s">
        <v>40</v>
      </c>
      <c r="S557" t="s">
        <v>40</v>
      </c>
      <c r="U557" s="1">
        <v>43344</v>
      </c>
      <c r="V557" t="s">
        <v>41</v>
      </c>
      <c r="W557" t="s">
        <v>75</v>
      </c>
      <c r="X557" t="str">
        <f>"7521046"</f>
        <v>7521046</v>
      </c>
      <c r="Y557" t="s">
        <v>436</v>
      </c>
      <c r="Z557" t="s">
        <v>195</v>
      </c>
      <c r="AA557" t="s">
        <v>196</v>
      </c>
      <c r="AB557" t="s">
        <v>131</v>
      </c>
      <c r="AC557" t="s">
        <v>165</v>
      </c>
      <c r="AD557" t="s">
        <v>45</v>
      </c>
      <c r="AE557" s="1">
        <v>32548</v>
      </c>
      <c r="AF557">
        <v>1</v>
      </c>
      <c r="AG557" t="s">
        <v>196</v>
      </c>
      <c r="AH557" s="36">
        <f t="shared" si="8"/>
        <v>30.302777777777777</v>
      </c>
      <c r="AI557" s="40" t="s">
        <v>1777</v>
      </c>
    </row>
    <row r="558" spans="1:35" x14ac:dyDescent="0.25">
      <c r="A558" s="36">
        <v>99910556</v>
      </c>
      <c r="B558" s="17" t="s">
        <v>32</v>
      </c>
      <c r="C558" t="s">
        <v>33</v>
      </c>
      <c r="D558" t="s">
        <v>34</v>
      </c>
      <c r="G558" s="17" t="s">
        <v>35</v>
      </c>
      <c r="H558" s="17">
        <v>1</v>
      </c>
      <c r="I558">
        <v>0</v>
      </c>
      <c r="J558" s="1">
        <v>43344</v>
      </c>
      <c r="K558" t="s">
        <v>223</v>
      </c>
      <c r="L558" t="s">
        <v>224</v>
      </c>
      <c r="M558" t="s">
        <v>131</v>
      </c>
      <c r="N558">
        <v>21</v>
      </c>
      <c r="O558" t="s">
        <v>40</v>
      </c>
      <c r="P558" t="s">
        <v>40</v>
      </c>
      <c r="Q558" t="s">
        <v>40</v>
      </c>
      <c r="R558" t="s">
        <v>40</v>
      </c>
      <c r="S558" t="s">
        <v>40</v>
      </c>
      <c r="U558" s="1">
        <v>43344</v>
      </c>
      <c r="V558" t="s">
        <v>41</v>
      </c>
      <c r="W558" t="s">
        <v>49</v>
      </c>
      <c r="X558" t="str">
        <f>"0591901"</f>
        <v>0591901</v>
      </c>
      <c r="Y558" t="s">
        <v>230</v>
      </c>
      <c r="Z558" t="s">
        <v>223</v>
      </c>
      <c r="AA558" t="s">
        <v>224</v>
      </c>
      <c r="AB558" t="s">
        <v>131</v>
      </c>
      <c r="AC558" t="s">
        <v>44</v>
      </c>
      <c r="AD558" t="s">
        <v>45</v>
      </c>
      <c r="AE558" s="1">
        <v>32545</v>
      </c>
      <c r="AF558">
        <v>2</v>
      </c>
      <c r="AG558" t="s">
        <v>224</v>
      </c>
      <c r="AH558" s="36">
        <f t="shared" si="8"/>
        <v>30.31111111111111</v>
      </c>
      <c r="AI558" s="40" t="s">
        <v>1777</v>
      </c>
    </row>
    <row r="559" spans="1:35" x14ac:dyDescent="0.25">
      <c r="A559" s="36">
        <v>99910557</v>
      </c>
      <c r="B559" s="17" t="s">
        <v>32</v>
      </c>
      <c r="C559" t="s">
        <v>46</v>
      </c>
      <c r="D559" t="s">
        <v>47</v>
      </c>
      <c r="G559" s="17" t="s">
        <v>35</v>
      </c>
      <c r="H559" s="17">
        <v>1</v>
      </c>
      <c r="I559">
        <v>0</v>
      </c>
      <c r="J559" s="1">
        <v>43344</v>
      </c>
      <c r="K559" t="s">
        <v>223</v>
      </c>
      <c r="L559" t="s">
        <v>224</v>
      </c>
      <c r="M559" t="s">
        <v>131</v>
      </c>
      <c r="N559">
        <v>23</v>
      </c>
      <c r="O559" t="s">
        <v>40</v>
      </c>
      <c r="S559" t="s">
        <v>40</v>
      </c>
      <c r="U559" s="1">
        <v>43344</v>
      </c>
      <c r="V559" t="s">
        <v>41</v>
      </c>
      <c r="W559" t="s">
        <v>42</v>
      </c>
      <c r="X559" t="str">
        <f>"0580206"</f>
        <v>0580206</v>
      </c>
      <c r="Y559" t="s">
        <v>237</v>
      </c>
      <c r="Z559" t="s">
        <v>223</v>
      </c>
      <c r="AA559" t="s">
        <v>224</v>
      </c>
      <c r="AB559" t="s">
        <v>131</v>
      </c>
      <c r="AC559" t="s">
        <v>55</v>
      </c>
      <c r="AD559" t="s">
        <v>45</v>
      </c>
      <c r="AE559" s="1">
        <v>32544</v>
      </c>
      <c r="AF559">
        <v>2</v>
      </c>
      <c r="AG559" t="s">
        <v>224</v>
      </c>
      <c r="AH559" s="36">
        <f t="shared" si="8"/>
        <v>30.31388888888889</v>
      </c>
      <c r="AI559" s="40" t="s">
        <v>1777</v>
      </c>
    </row>
    <row r="560" spans="1:35" x14ac:dyDescent="0.25">
      <c r="A560" s="36">
        <v>99910558</v>
      </c>
      <c r="B560" s="17" t="s">
        <v>32</v>
      </c>
      <c r="C560" t="s">
        <v>46</v>
      </c>
      <c r="D560" t="s">
        <v>47</v>
      </c>
      <c r="G560" s="17" t="s">
        <v>35</v>
      </c>
      <c r="H560" s="17">
        <v>1</v>
      </c>
      <c r="I560">
        <v>21562</v>
      </c>
      <c r="J560" s="1">
        <v>43344</v>
      </c>
      <c r="K560" t="s">
        <v>345</v>
      </c>
      <c r="L560" t="s">
        <v>346</v>
      </c>
      <c r="M560" t="s">
        <v>131</v>
      </c>
      <c r="N560">
        <v>16</v>
      </c>
      <c r="O560" t="s">
        <v>40</v>
      </c>
      <c r="S560" t="s">
        <v>40</v>
      </c>
      <c r="U560" s="1">
        <v>43344</v>
      </c>
      <c r="V560" t="s">
        <v>41</v>
      </c>
      <c r="W560" t="s">
        <v>42</v>
      </c>
      <c r="X560" t="str">
        <f>"0580615"</f>
        <v>0580615</v>
      </c>
      <c r="Y560" t="s">
        <v>364</v>
      </c>
      <c r="Z560" t="s">
        <v>345</v>
      </c>
      <c r="AA560" t="s">
        <v>346</v>
      </c>
      <c r="AB560" t="s">
        <v>131</v>
      </c>
      <c r="AC560" t="s">
        <v>44</v>
      </c>
      <c r="AD560" t="s">
        <v>45</v>
      </c>
      <c r="AE560" s="1">
        <v>32539</v>
      </c>
      <c r="AF560">
        <v>2</v>
      </c>
      <c r="AG560" t="s">
        <v>346</v>
      </c>
      <c r="AH560" s="36">
        <f t="shared" si="8"/>
        <v>30.327777777777779</v>
      </c>
      <c r="AI560" s="40" t="s">
        <v>1777</v>
      </c>
    </row>
    <row r="561" spans="1:35" x14ac:dyDescent="0.25">
      <c r="A561" s="36">
        <v>99910559</v>
      </c>
      <c r="B561" s="17" t="s">
        <v>56</v>
      </c>
      <c r="C561" t="s">
        <v>111</v>
      </c>
      <c r="D561" t="s">
        <v>112</v>
      </c>
      <c r="G561" s="17" t="s">
        <v>48</v>
      </c>
      <c r="H561" s="17">
        <v>1</v>
      </c>
      <c r="K561" t="s">
        <v>667</v>
      </c>
      <c r="L561" t="s">
        <v>669</v>
      </c>
      <c r="M561" t="s">
        <v>670</v>
      </c>
      <c r="N561">
        <v>24</v>
      </c>
      <c r="O561" t="s">
        <v>40</v>
      </c>
      <c r="P561" t="s">
        <v>40</v>
      </c>
      <c r="Q561" t="s">
        <v>40</v>
      </c>
      <c r="S561" t="s">
        <v>40</v>
      </c>
      <c r="V561" t="s">
        <v>41</v>
      </c>
      <c r="W561" t="s">
        <v>75</v>
      </c>
      <c r="X561" t="str">
        <f>"7501004"</f>
        <v>7501004</v>
      </c>
      <c r="Y561" t="s">
        <v>1500</v>
      </c>
      <c r="Z561" t="s">
        <v>667</v>
      </c>
      <c r="AA561" t="s">
        <v>669</v>
      </c>
      <c r="AB561" t="s">
        <v>670</v>
      </c>
      <c r="AC561" t="s">
        <v>51</v>
      </c>
      <c r="AD561" t="s">
        <v>45</v>
      </c>
      <c r="AE561" s="1">
        <v>32530</v>
      </c>
      <c r="AF561">
        <v>1</v>
      </c>
      <c r="AG561" t="s">
        <v>669</v>
      </c>
      <c r="AH561" s="36">
        <f t="shared" si="8"/>
        <v>30.352777777777778</v>
      </c>
      <c r="AI561" s="40" t="s">
        <v>1777</v>
      </c>
    </row>
    <row r="562" spans="1:35" x14ac:dyDescent="0.25">
      <c r="A562" s="36">
        <v>99910560</v>
      </c>
      <c r="B562" s="17" t="s">
        <v>32</v>
      </c>
      <c r="C562" t="s">
        <v>58</v>
      </c>
      <c r="D562" t="s">
        <v>59</v>
      </c>
      <c r="G562" s="17" t="s">
        <v>35</v>
      </c>
      <c r="H562" s="17">
        <v>1</v>
      </c>
      <c r="I562">
        <v>0</v>
      </c>
      <c r="J562" s="1">
        <v>43344</v>
      </c>
      <c r="K562" t="s">
        <v>223</v>
      </c>
      <c r="L562" t="s">
        <v>224</v>
      </c>
      <c r="M562" t="s">
        <v>131</v>
      </c>
      <c r="N562">
        <v>23</v>
      </c>
      <c r="O562" t="s">
        <v>40</v>
      </c>
      <c r="S562" t="s">
        <v>40</v>
      </c>
      <c r="U562" s="1">
        <v>43344</v>
      </c>
      <c r="V562" t="s">
        <v>41</v>
      </c>
      <c r="W562" t="s">
        <v>49</v>
      </c>
      <c r="X562" t="str">
        <f>"0561022"</f>
        <v>0561022</v>
      </c>
      <c r="Y562" t="s">
        <v>225</v>
      </c>
      <c r="Z562" t="s">
        <v>223</v>
      </c>
      <c r="AA562" t="s">
        <v>224</v>
      </c>
      <c r="AB562" t="s">
        <v>131</v>
      </c>
      <c r="AC562" t="s">
        <v>44</v>
      </c>
      <c r="AD562" t="s">
        <v>45</v>
      </c>
      <c r="AE562" s="1">
        <v>32524</v>
      </c>
      <c r="AF562">
        <v>2</v>
      </c>
      <c r="AG562" t="s">
        <v>224</v>
      </c>
      <c r="AH562" s="36">
        <f t="shared" si="8"/>
        <v>30.369444444444444</v>
      </c>
      <c r="AI562" s="40" t="s">
        <v>1777</v>
      </c>
    </row>
    <row r="563" spans="1:35" x14ac:dyDescent="0.25">
      <c r="A563" s="36">
        <v>99910561</v>
      </c>
      <c r="B563" s="17" t="s">
        <v>32</v>
      </c>
      <c r="C563" t="s">
        <v>46</v>
      </c>
      <c r="D563" t="s">
        <v>47</v>
      </c>
      <c r="G563" s="17" t="s">
        <v>35</v>
      </c>
      <c r="H563" s="17">
        <v>1</v>
      </c>
      <c r="I563">
        <v>11290</v>
      </c>
      <c r="J563" s="1">
        <v>43344</v>
      </c>
      <c r="K563" t="s">
        <v>1325</v>
      </c>
      <c r="L563" t="s">
        <v>1326</v>
      </c>
      <c r="M563" t="s">
        <v>1270</v>
      </c>
      <c r="N563">
        <v>18</v>
      </c>
      <c r="O563" t="s">
        <v>40</v>
      </c>
      <c r="P563" t="s">
        <v>40</v>
      </c>
      <c r="Q563" t="s">
        <v>40</v>
      </c>
      <c r="R563" t="s">
        <v>40</v>
      </c>
      <c r="S563" t="s">
        <v>40</v>
      </c>
      <c r="U563" s="1">
        <v>43344</v>
      </c>
      <c r="V563" t="s">
        <v>41</v>
      </c>
      <c r="W563" t="s">
        <v>49</v>
      </c>
      <c r="X563" t="str">
        <f>"3981100"</f>
        <v>3981100</v>
      </c>
      <c r="Y563" t="s">
        <v>1327</v>
      </c>
      <c r="Z563" t="s">
        <v>1325</v>
      </c>
      <c r="AA563" t="s">
        <v>1326</v>
      </c>
      <c r="AB563" t="s">
        <v>1270</v>
      </c>
      <c r="AC563" t="s">
        <v>51</v>
      </c>
      <c r="AD563" t="s">
        <v>45</v>
      </c>
      <c r="AE563" s="1">
        <v>32522</v>
      </c>
      <c r="AF563">
        <v>2</v>
      </c>
      <c r="AG563" t="s">
        <v>1326</v>
      </c>
      <c r="AH563" s="36">
        <f t="shared" si="8"/>
        <v>30.375</v>
      </c>
      <c r="AI563" s="40" t="s">
        <v>1777</v>
      </c>
    </row>
    <row r="564" spans="1:35" x14ac:dyDescent="0.25">
      <c r="A564" s="36">
        <v>99910562</v>
      </c>
      <c r="B564" s="17" t="s">
        <v>56</v>
      </c>
      <c r="C564" t="s">
        <v>143</v>
      </c>
      <c r="D564" t="s">
        <v>144</v>
      </c>
      <c r="G564" s="17" t="s">
        <v>35</v>
      </c>
      <c r="H564" s="17">
        <v>1</v>
      </c>
      <c r="K564" t="s">
        <v>1128</v>
      </c>
      <c r="L564" t="s">
        <v>1129</v>
      </c>
      <c r="M564" t="s">
        <v>1130</v>
      </c>
      <c r="N564">
        <v>23</v>
      </c>
      <c r="O564" t="s">
        <v>40</v>
      </c>
      <c r="P564" t="s">
        <v>40</v>
      </c>
      <c r="Q564" t="s">
        <v>40</v>
      </c>
      <c r="S564" t="s">
        <v>40</v>
      </c>
      <c r="V564" t="s">
        <v>41</v>
      </c>
      <c r="W564" t="s">
        <v>42</v>
      </c>
      <c r="X564" t="str">
        <f>"3180010"</f>
        <v>3180010</v>
      </c>
      <c r="Y564" t="s">
        <v>1132</v>
      </c>
      <c r="Z564" t="s">
        <v>1128</v>
      </c>
      <c r="AA564" t="s">
        <v>1129</v>
      </c>
      <c r="AB564" t="s">
        <v>1130</v>
      </c>
      <c r="AC564" t="s">
        <v>51</v>
      </c>
      <c r="AD564" t="s">
        <v>45</v>
      </c>
      <c r="AE564" s="1">
        <v>32515</v>
      </c>
      <c r="AF564">
        <v>2</v>
      </c>
      <c r="AG564" t="s">
        <v>1129</v>
      </c>
      <c r="AH564" s="36">
        <f t="shared" si="8"/>
        <v>30.394444444444446</v>
      </c>
      <c r="AI564" s="40" t="s">
        <v>1777</v>
      </c>
    </row>
    <row r="565" spans="1:35" x14ac:dyDescent="0.25">
      <c r="A565" s="36">
        <v>99910563</v>
      </c>
      <c r="B565" s="17" t="s">
        <v>32</v>
      </c>
      <c r="C565" t="s">
        <v>64</v>
      </c>
      <c r="D565" t="s">
        <v>65</v>
      </c>
      <c r="G565" s="17" t="s">
        <v>35</v>
      </c>
      <c r="H565" s="17">
        <v>1</v>
      </c>
      <c r="I565" t="s">
        <v>1331</v>
      </c>
      <c r="J565" s="1">
        <v>43405</v>
      </c>
      <c r="K565" t="s">
        <v>1325</v>
      </c>
      <c r="L565" t="s">
        <v>1326</v>
      </c>
      <c r="M565" t="s">
        <v>1270</v>
      </c>
      <c r="N565">
        <v>23</v>
      </c>
      <c r="O565" t="s">
        <v>40</v>
      </c>
      <c r="S565" t="s">
        <v>40</v>
      </c>
      <c r="U565" s="1">
        <v>43405</v>
      </c>
      <c r="X565" t="str">
        <f>""</f>
        <v/>
      </c>
      <c r="AA565" t="s">
        <v>1326</v>
      </c>
      <c r="AB565" t="s">
        <v>1270</v>
      </c>
      <c r="AC565" t="s">
        <v>44</v>
      </c>
      <c r="AD565" t="s">
        <v>45</v>
      </c>
      <c r="AE565" s="1">
        <v>32515</v>
      </c>
      <c r="AF565">
        <v>2</v>
      </c>
      <c r="AG565" t="s">
        <v>1326</v>
      </c>
      <c r="AH565" s="36">
        <f t="shared" si="8"/>
        <v>30.394444444444446</v>
      </c>
      <c r="AI565" s="40" t="s">
        <v>1777</v>
      </c>
    </row>
    <row r="566" spans="1:35" x14ac:dyDescent="0.25">
      <c r="A566" s="36">
        <v>99910564</v>
      </c>
      <c r="B566" s="17" t="s">
        <v>32</v>
      </c>
      <c r="C566" t="s">
        <v>111</v>
      </c>
      <c r="D566" t="s">
        <v>112</v>
      </c>
      <c r="G566" s="17" t="s">
        <v>48</v>
      </c>
      <c r="H566" s="17">
        <v>1</v>
      </c>
      <c r="K566" t="s">
        <v>1708</v>
      </c>
      <c r="L566" t="s">
        <v>1709</v>
      </c>
      <c r="M566" t="s">
        <v>1705</v>
      </c>
      <c r="N566">
        <v>24</v>
      </c>
      <c r="O566" t="s">
        <v>40</v>
      </c>
      <c r="P566" t="s">
        <v>40</v>
      </c>
      <c r="Q566" t="s">
        <v>40</v>
      </c>
      <c r="S566" t="s">
        <v>40</v>
      </c>
      <c r="V566" t="s">
        <v>41</v>
      </c>
      <c r="W566" t="s">
        <v>75</v>
      </c>
      <c r="X566" t="str">
        <f>"7121000"</f>
        <v>7121000</v>
      </c>
      <c r="Y566" t="s">
        <v>1713</v>
      </c>
      <c r="Z566" t="s">
        <v>1708</v>
      </c>
      <c r="AA566" t="s">
        <v>1709</v>
      </c>
      <c r="AB566" t="s">
        <v>1705</v>
      </c>
      <c r="AC566" t="s">
        <v>51</v>
      </c>
      <c r="AD566" t="s">
        <v>45</v>
      </c>
      <c r="AE566" s="1">
        <v>32513</v>
      </c>
      <c r="AF566">
        <v>1</v>
      </c>
      <c r="AG566" t="s">
        <v>1709</v>
      </c>
      <c r="AH566" s="36">
        <f t="shared" si="8"/>
        <v>30.4</v>
      </c>
      <c r="AI566" s="40" t="s">
        <v>1777</v>
      </c>
    </row>
    <row r="567" spans="1:35" x14ac:dyDescent="0.25">
      <c r="A567" s="36">
        <v>99910565</v>
      </c>
      <c r="B567" s="17" t="s">
        <v>32</v>
      </c>
      <c r="C567" t="s">
        <v>111</v>
      </c>
      <c r="D567" t="s">
        <v>112</v>
      </c>
      <c r="G567" s="17" t="s">
        <v>35</v>
      </c>
      <c r="H567" s="17">
        <v>1</v>
      </c>
      <c r="K567" t="s">
        <v>154</v>
      </c>
      <c r="L567" t="s">
        <v>155</v>
      </c>
      <c r="M567" t="s">
        <v>131</v>
      </c>
      <c r="N567">
        <v>24</v>
      </c>
      <c r="O567" t="s">
        <v>40</v>
      </c>
      <c r="P567" t="s">
        <v>40</v>
      </c>
      <c r="Q567" t="s">
        <v>40</v>
      </c>
      <c r="S567" t="s">
        <v>40</v>
      </c>
      <c r="V567" t="s">
        <v>41</v>
      </c>
      <c r="W567" t="s">
        <v>75</v>
      </c>
      <c r="X567" t="str">
        <f>"7700026"</f>
        <v>7700026</v>
      </c>
      <c r="Y567" t="s">
        <v>397</v>
      </c>
      <c r="Z567" t="s">
        <v>154</v>
      </c>
      <c r="AA567" t="s">
        <v>155</v>
      </c>
      <c r="AB567" t="s">
        <v>131</v>
      </c>
      <c r="AC567" t="s">
        <v>51</v>
      </c>
      <c r="AD567" t="s">
        <v>45</v>
      </c>
      <c r="AE567" s="1">
        <v>32511</v>
      </c>
      <c r="AF567">
        <v>1</v>
      </c>
      <c r="AG567" t="s">
        <v>155</v>
      </c>
      <c r="AH567" s="36">
        <f t="shared" si="8"/>
        <v>30.405555555555555</v>
      </c>
      <c r="AI567" s="40" t="s">
        <v>1777</v>
      </c>
    </row>
    <row r="568" spans="1:35" x14ac:dyDescent="0.25">
      <c r="A568" s="36">
        <v>99910566</v>
      </c>
      <c r="B568" s="17" t="s">
        <v>32</v>
      </c>
      <c r="C568" t="s">
        <v>90</v>
      </c>
      <c r="D568" t="s">
        <v>91</v>
      </c>
      <c r="G568" s="17" t="s">
        <v>35</v>
      </c>
      <c r="H568" s="17">
        <v>1</v>
      </c>
      <c r="I568" t="s">
        <v>97</v>
      </c>
      <c r="J568" s="1">
        <v>43344</v>
      </c>
      <c r="K568" t="s">
        <v>93</v>
      </c>
      <c r="L568" t="s">
        <v>94</v>
      </c>
      <c r="M568" t="s">
        <v>39</v>
      </c>
      <c r="N568">
        <v>25</v>
      </c>
      <c r="O568" t="s">
        <v>40</v>
      </c>
      <c r="S568" t="s">
        <v>40</v>
      </c>
      <c r="U568" s="1">
        <v>43344</v>
      </c>
      <c r="V568" t="s">
        <v>41</v>
      </c>
      <c r="W568" t="s">
        <v>95</v>
      </c>
      <c r="X568" t="str">
        <f>"7091003"</f>
        <v>7091003</v>
      </c>
      <c r="Y568" t="s">
        <v>96</v>
      </c>
      <c r="Z568" t="s">
        <v>93</v>
      </c>
      <c r="AA568" t="s">
        <v>94</v>
      </c>
      <c r="AB568" t="s">
        <v>39</v>
      </c>
      <c r="AC568" t="s">
        <v>55</v>
      </c>
      <c r="AD568" t="s">
        <v>45</v>
      </c>
      <c r="AE568" s="1">
        <v>32510</v>
      </c>
      <c r="AF568">
        <v>1</v>
      </c>
      <c r="AG568" t="s">
        <v>94</v>
      </c>
      <c r="AH568" s="36">
        <f t="shared" si="8"/>
        <v>30.408333333333335</v>
      </c>
      <c r="AI568" s="40" t="s">
        <v>1777</v>
      </c>
    </row>
    <row r="569" spans="1:35" x14ac:dyDescent="0.25">
      <c r="A569" s="36">
        <v>99910567</v>
      </c>
      <c r="B569" s="17" t="s">
        <v>32</v>
      </c>
      <c r="C569" t="s">
        <v>111</v>
      </c>
      <c r="D569" t="s">
        <v>112</v>
      </c>
      <c r="G569" s="17" t="s">
        <v>35</v>
      </c>
      <c r="H569" s="17">
        <v>1</v>
      </c>
      <c r="K569" t="s">
        <v>154</v>
      </c>
      <c r="L569" t="s">
        <v>155</v>
      </c>
      <c r="M569" t="s">
        <v>131</v>
      </c>
      <c r="N569">
        <v>24</v>
      </c>
      <c r="O569" t="s">
        <v>40</v>
      </c>
      <c r="P569" t="s">
        <v>40</v>
      </c>
      <c r="Q569" t="s">
        <v>40</v>
      </c>
      <c r="R569" t="s">
        <v>40</v>
      </c>
      <c r="S569" t="s">
        <v>40</v>
      </c>
      <c r="V569" t="s">
        <v>41</v>
      </c>
      <c r="W569" t="s">
        <v>75</v>
      </c>
      <c r="X569" t="str">
        <f>"7700026"</f>
        <v>7700026</v>
      </c>
      <c r="Y569" t="s">
        <v>397</v>
      </c>
      <c r="Z569" t="s">
        <v>154</v>
      </c>
      <c r="AA569" t="s">
        <v>155</v>
      </c>
      <c r="AB569" t="s">
        <v>131</v>
      </c>
      <c r="AC569" t="s">
        <v>51</v>
      </c>
      <c r="AD569" t="s">
        <v>45</v>
      </c>
      <c r="AE569" s="1">
        <v>32509</v>
      </c>
      <c r="AF569">
        <v>1</v>
      </c>
      <c r="AG569" t="s">
        <v>155</v>
      </c>
      <c r="AH569" s="36">
        <f t="shared" si="8"/>
        <v>30.411111111111111</v>
      </c>
      <c r="AI569" s="40" t="s">
        <v>1777</v>
      </c>
    </row>
    <row r="570" spans="1:35" x14ac:dyDescent="0.25">
      <c r="A570" s="36">
        <v>99910568</v>
      </c>
      <c r="B570" s="17" t="s">
        <v>32</v>
      </c>
      <c r="C570" t="s">
        <v>111</v>
      </c>
      <c r="D570" t="s">
        <v>112</v>
      </c>
      <c r="G570" s="17" t="s">
        <v>48</v>
      </c>
      <c r="H570" s="17">
        <v>1</v>
      </c>
      <c r="I570" t="s">
        <v>429</v>
      </c>
      <c r="J570" s="1">
        <v>42059</v>
      </c>
      <c r="K570" t="s">
        <v>154</v>
      </c>
      <c r="L570" t="s">
        <v>155</v>
      </c>
      <c r="M570" t="s">
        <v>131</v>
      </c>
      <c r="N570">
        <v>24</v>
      </c>
      <c r="O570" t="s">
        <v>40</v>
      </c>
      <c r="P570" t="s">
        <v>40</v>
      </c>
      <c r="Q570" t="s">
        <v>40</v>
      </c>
      <c r="S570" t="s">
        <v>40</v>
      </c>
      <c r="U570" s="1">
        <v>42059</v>
      </c>
      <c r="V570" t="s">
        <v>41</v>
      </c>
      <c r="W570" t="s">
        <v>75</v>
      </c>
      <c r="X570" t="str">
        <f>"7051018"</f>
        <v>7051018</v>
      </c>
      <c r="Y570" t="s">
        <v>401</v>
      </c>
      <c r="Z570" t="s">
        <v>154</v>
      </c>
      <c r="AA570" t="s">
        <v>155</v>
      </c>
      <c r="AB570" t="s">
        <v>131</v>
      </c>
      <c r="AC570" t="s">
        <v>51</v>
      </c>
      <c r="AD570" t="s">
        <v>45</v>
      </c>
      <c r="AE570" s="1">
        <v>32509</v>
      </c>
      <c r="AF570">
        <v>1</v>
      </c>
      <c r="AG570" t="s">
        <v>155</v>
      </c>
      <c r="AH570" s="36">
        <f t="shared" si="8"/>
        <v>30.411111111111111</v>
      </c>
      <c r="AI570" s="40" t="s">
        <v>1777</v>
      </c>
    </row>
    <row r="571" spans="1:35" x14ac:dyDescent="0.25">
      <c r="A571" s="36">
        <v>99910569</v>
      </c>
      <c r="B571" s="17" t="s">
        <v>32</v>
      </c>
      <c r="C571" t="s">
        <v>111</v>
      </c>
      <c r="D571" t="s">
        <v>112</v>
      </c>
      <c r="G571" s="17" t="s">
        <v>35</v>
      </c>
      <c r="H571" s="17">
        <v>1</v>
      </c>
      <c r="K571" t="s">
        <v>154</v>
      </c>
      <c r="L571" t="s">
        <v>155</v>
      </c>
      <c r="M571" t="s">
        <v>131</v>
      </c>
      <c r="N571">
        <v>24</v>
      </c>
      <c r="O571" t="s">
        <v>40</v>
      </c>
      <c r="P571" t="s">
        <v>40</v>
      </c>
      <c r="Q571" t="s">
        <v>40</v>
      </c>
      <c r="R571" t="s">
        <v>40</v>
      </c>
      <c r="S571" t="s">
        <v>40</v>
      </c>
      <c r="V571" t="s">
        <v>41</v>
      </c>
      <c r="W571" t="s">
        <v>75</v>
      </c>
      <c r="X571" t="str">
        <f>"7700026"</f>
        <v>7700026</v>
      </c>
      <c r="Y571" t="s">
        <v>397</v>
      </c>
      <c r="Z571" t="s">
        <v>154</v>
      </c>
      <c r="AA571" t="s">
        <v>155</v>
      </c>
      <c r="AB571" t="s">
        <v>131</v>
      </c>
      <c r="AC571" t="s">
        <v>51</v>
      </c>
      <c r="AD571" t="s">
        <v>45</v>
      </c>
      <c r="AE571" s="1">
        <v>32509</v>
      </c>
      <c r="AF571">
        <v>1</v>
      </c>
      <c r="AG571" t="s">
        <v>155</v>
      </c>
      <c r="AH571" s="36">
        <f t="shared" si="8"/>
        <v>30.411111111111111</v>
      </c>
      <c r="AI571" s="40" t="s">
        <v>1777</v>
      </c>
    </row>
    <row r="572" spans="1:35" x14ac:dyDescent="0.25">
      <c r="A572" s="36">
        <v>99910570</v>
      </c>
      <c r="B572" s="17" t="s">
        <v>56</v>
      </c>
      <c r="C572" t="s">
        <v>111</v>
      </c>
      <c r="D572" t="s">
        <v>112</v>
      </c>
      <c r="G572" s="17" t="s">
        <v>35</v>
      </c>
      <c r="H572" s="17">
        <v>1</v>
      </c>
      <c r="I572" t="s">
        <v>630</v>
      </c>
      <c r="J572" s="1">
        <v>43344</v>
      </c>
      <c r="K572" t="s">
        <v>268</v>
      </c>
      <c r="L572" t="s">
        <v>269</v>
      </c>
      <c r="M572" t="s">
        <v>131</v>
      </c>
      <c r="N572">
        <v>24</v>
      </c>
      <c r="O572" t="s">
        <v>40</v>
      </c>
      <c r="P572" t="s">
        <v>40</v>
      </c>
      <c r="Q572" t="s">
        <v>40</v>
      </c>
      <c r="R572" t="s">
        <v>40</v>
      </c>
      <c r="S572" t="s">
        <v>40</v>
      </c>
      <c r="U572" s="1">
        <v>43344</v>
      </c>
      <c r="V572" t="s">
        <v>41</v>
      </c>
      <c r="W572" t="s">
        <v>75</v>
      </c>
      <c r="X572" t="str">
        <f>"7052020"</f>
        <v>7052020</v>
      </c>
      <c r="Y572" t="s">
        <v>267</v>
      </c>
      <c r="Z572" t="s">
        <v>268</v>
      </c>
      <c r="AA572" t="s">
        <v>269</v>
      </c>
      <c r="AB572" t="s">
        <v>131</v>
      </c>
      <c r="AC572" t="s">
        <v>51</v>
      </c>
      <c r="AD572" t="s">
        <v>45</v>
      </c>
      <c r="AE572" s="1">
        <v>32509</v>
      </c>
      <c r="AF572">
        <v>1</v>
      </c>
      <c r="AG572" t="s">
        <v>269</v>
      </c>
      <c r="AH572" s="36">
        <f t="shared" si="8"/>
        <v>30.411111111111111</v>
      </c>
      <c r="AI572" s="40" t="s">
        <v>1777</v>
      </c>
    </row>
    <row r="573" spans="1:35" x14ac:dyDescent="0.25">
      <c r="A573" s="36">
        <v>99910571</v>
      </c>
      <c r="B573" s="17" t="s">
        <v>32</v>
      </c>
      <c r="C573" t="s">
        <v>111</v>
      </c>
      <c r="D573" t="s">
        <v>112</v>
      </c>
      <c r="G573" s="17" t="s">
        <v>35</v>
      </c>
      <c r="H573" s="17">
        <v>1</v>
      </c>
      <c r="I573" t="s">
        <v>489</v>
      </c>
      <c r="J573" s="1">
        <v>43344</v>
      </c>
      <c r="K573" t="s">
        <v>268</v>
      </c>
      <c r="L573" t="s">
        <v>269</v>
      </c>
      <c r="M573" t="s">
        <v>131</v>
      </c>
      <c r="N573">
        <v>24</v>
      </c>
      <c r="O573" t="s">
        <v>40</v>
      </c>
      <c r="P573" t="s">
        <v>40</v>
      </c>
      <c r="Q573" t="s">
        <v>40</v>
      </c>
      <c r="S573" t="s">
        <v>40</v>
      </c>
      <c r="U573" s="1">
        <v>43344</v>
      </c>
      <c r="V573" t="s">
        <v>41</v>
      </c>
      <c r="W573" t="s">
        <v>75</v>
      </c>
      <c r="X573" t="str">
        <f>"7052040"</f>
        <v>7052040</v>
      </c>
      <c r="Y573" t="s">
        <v>591</v>
      </c>
      <c r="Z573" t="s">
        <v>268</v>
      </c>
      <c r="AA573" t="s">
        <v>269</v>
      </c>
      <c r="AB573" t="s">
        <v>131</v>
      </c>
      <c r="AC573" t="s">
        <v>44</v>
      </c>
      <c r="AD573" t="s">
        <v>45</v>
      </c>
      <c r="AE573" s="1">
        <v>32509</v>
      </c>
      <c r="AF573">
        <v>1</v>
      </c>
      <c r="AG573" t="s">
        <v>269</v>
      </c>
      <c r="AH573" s="36">
        <f t="shared" si="8"/>
        <v>30.411111111111111</v>
      </c>
      <c r="AI573" s="40" t="s">
        <v>1777</v>
      </c>
    </row>
    <row r="574" spans="1:35" x14ac:dyDescent="0.25">
      <c r="A574" s="36">
        <v>99910572</v>
      </c>
      <c r="B574" s="17" t="s">
        <v>32</v>
      </c>
      <c r="C574" t="s">
        <v>111</v>
      </c>
      <c r="D574" t="s">
        <v>112</v>
      </c>
      <c r="G574" s="17" t="s">
        <v>35</v>
      </c>
      <c r="H574" s="17">
        <v>1</v>
      </c>
      <c r="I574" t="s">
        <v>529</v>
      </c>
      <c r="J574" s="1">
        <v>43344</v>
      </c>
      <c r="K574" t="s">
        <v>268</v>
      </c>
      <c r="L574" t="s">
        <v>269</v>
      </c>
      <c r="M574" t="s">
        <v>131</v>
      </c>
      <c r="N574">
        <v>24</v>
      </c>
      <c r="O574" t="s">
        <v>40</v>
      </c>
      <c r="S574" t="s">
        <v>40</v>
      </c>
      <c r="U574" s="1">
        <v>43344</v>
      </c>
      <c r="V574" t="s">
        <v>41</v>
      </c>
      <c r="W574" t="s">
        <v>75</v>
      </c>
      <c r="X574" t="str">
        <f>"7052040"</f>
        <v>7052040</v>
      </c>
      <c r="Y574" t="s">
        <v>591</v>
      </c>
      <c r="Z574" t="s">
        <v>268</v>
      </c>
      <c r="AA574" t="s">
        <v>269</v>
      </c>
      <c r="AB574" t="s">
        <v>131</v>
      </c>
      <c r="AC574" t="s">
        <v>51</v>
      </c>
      <c r="AD574" t="s">
        <v>45</v>
      </c>
      <c r="AE574" s="1">
        <v>32509</v>
      </c>
      <c r="AF574">
        <v>1</v>
      </c>
      <c r="AG574" t="s">
        <v>269</v>
      </c>
      <c r="AH574" s="36">
        <f t="shared" si="8"/>
        <v>30.411111111111111</v>
      </c>
      <c r="AI574" s="40" t="s">
        <v>1777</v>
      </c>
    </row>
    <row r="575" spans="1:35" x14ac:dyDescent="0.25">
      <c r="A575" s="36">
        <v>99910573</v>
      </c>
      <c r="B575" s="17" t="s">
        <v>32</v>
      </c>
      <c r="C575" t="s">
        <v>111</v>
      </c>
      <c r="D575" t="s">
        <v>112</v>
      </c>
      <c r="G575" s="17" t="s">
        <v>35</v>
      </c>
      <c r="H575" s="17">
        <v>1</v>
      </c>
      <c r="I575" t="s">
        <v>574</v>
      </c>
      <c r="J575" s="1">
        <v>43344</v>
      </c>
      <c r="K575" t="s">
        <v>268</v>
      </c>
      <c r="L575" t="s">
        <v>269</v>
      </c>
      <c r="M575" t="s">
        <v>131</v>
      </c>
      <c r="N575">
        <v>24</v>
      </c>
      <c r="O575" t="s">
        <v>40</v>
      </c>
      <c r="P575" t="s">
        <v>40</v>
      </c>
      <c r="Q575" t="s">
        <v>40</v>
      </c>
      <c r="S575" t="s">
        <v>40</v>
      </c>
      <c r="U575" s="1">
        <v>43344</v>
      </c>
      <c r="V575" t="s">
        <v>41</v>
      </c>
      <c r="W575" t="s">
        <v>75</v>
      </c>
      <c r="X575" t="str">
        <f>"7052040"</f>
        <v>7052040</v>
      </c>
      <c r="Y575" t="s">
        <v>591</v>
      </c>
      <c r="Z575" t="s">
        <v>268</v>
      </c>
      <c r="AA575" t="s">
        <v>269</v>
      </c>
      <c r="AB575" t="s">
        <v>131</v>
      </c>
      <c r="AC575" t="s">
        <v>44</v>
      </c>
      <c r="AD575" t="s">
        <v>45</v>
      </c>
      <c r="AE575" s="1">
        <v>32509</v>
      </c>
      <c r="AF575">
        <v>1</v>
      </c>
      <c r="AG575" t="s">
        <v>269</v>
      </c>
      <c r="AH575" s="36">
        <f t="shared" si="8"/>
        <v>30.411111111111111</v>
      </c>
      <c r="AI575" s="40" t="s">
        <v>1777</v>
      </c>
    </row>
    <row r="576" spans="1:35" x14ac:dyDescent="0.25">
      <c r="A576" s="36">
        <v>99910574</v>
      </c>
      <c r="B576" s="17" t="s">
        <v>32</v>
      </c>
      <c r="C576" t="s">
        <v>111</v>
      </c>
      <c r="D576" t="s">
        <v>112</v>
      </c>
      <c r="G576" s="17" t="s">
        <v>48</v>
      </c>
      <c r="H576" s="17">
        <v>1</v>
      </c>
      <c r="K576" t="s">
        <v>268</v>
      </c>
      <c r="L576" t="s">
        <v>269</v>
      </c>
      <c r="M576" t="s">
        <v>131</v>
      </c>
      <c r="N576">
        <v>24</v>
      </c>
      <c r="O576" t="s">
        <v>40</v>
      </c>
      <c r="P576" t="s">
        <v>40</v>
      </c>
      <c r="Q576" t="s">
        <v>40</v>
      </c>
      <c r="R576" t="s">
        <v>40</v>
      </c>
      <c r="S576" t="s">
        <v>40</v>
      </c>
      <c r="V576" t="s">
        <v>41</v>
      </c>
      <c r="W576" t="s">
        <v>75</v>
      </c>
      <c r="X576" t="str">
        <f>"7052044"</f>
        <v>7052044</v>
      </c>
      <c r="Y576" t="s">
        <v>589</v>
      </c>
      <c r="Z576" t="s">
        <v>268</v>
      </c>
      <c r="AA576" t="s">
        <v>269</v>
      </c>
      <c r="AB576" t="s">
        <v>131</v>
      </c>
      <c r="AC576" t="s">
        <v>51</v>
      </c>
      <c r="AD576" t="s">
        <v>45</v>
      </c>
      <c r="AE576" s="1">
        <v>32509</v>
      </c>
      <c r="AF576">
        <v>1</v>
      </c>
      <c r="AG576" t="s">
        <v>269</v>
      </c>
      <c r="AH576" s="36">
        <f t="shared" si="8"/>
        <v>30.411111111111111</v>
      </c>
      <c r="AI576" s="40" t="s">
        <v>1777</v>
      </c>
    </row>
    <row r="577" spans="1:35" x14ac:dyDescent="0.25">
      <c r="A577" s="36">
        <v>99910575</v>
      </c>
      <c r="B577" s="17" t="s">
        <v>32</v>
      </c>
      <c r="C577" t="s">
        <v>111</v>
      </c>
      <c r="D577" t="s">
        <v>112</v>
      </c>
      <c r="G577" s="17" t="s">
        <v>35</v>
      </c>
      <c r="H577" s="17">
        <v>1</v>
      </c>
      <c r="I577" t="s">
        <v>805</v>
      </c>
      <c r="J577" s="1">
        <v>43344</v>
      </c>
      <c r="K577" t="s">
        <v>354</v>
      </c>
      <c r="L577" t="s">
        <v>355</v>
      </c>
      <c r="M577" t="s">
        <v>131</v>
      </c>
      <c r="N577">
        <v>24</v>
      </c>
      <c r="O577" t="s">
        <v>40</v>
      </c>
      <c r="P577" t="s">
        <v>40</v>
      </c>
      <c r="Q577" t="s">
        <v>40</v>
      </c>
      <c r="R577" t="s">
        <v>40</v>
      </c>
      <c r="S577" t="s">
        <v>40</v>
      </c>
      <c r="U577" s="1">
        <v>43344</v>
      </c>
      <c r="V577" t="s">
        <v>41</v>
      </c>
      <c r="W577" t="s">
        <v>75</v>
      </c>
      <c r="X577" t="str">
        <f>"7054016"</f>
        <v>7054016</v>
      </c>
      <c r="Y577" t="s">
        <v>768</v>
      </c>
      <c r="Z577" t="s">
        <v>354</v>
      </c>
      <c r="AA577" t="s">
        <v>355</v>
      </c>
      <c r="AB577" t="s">
        <v>131</v>
      </c>
      <c r="AC577" t="s">
        <v>51</v>
      </c>
      <c r="AD577" t="s">
        <v>45</v>
      </c>
      <c r="AE577" s="1">
        <v>32509</v>
      </c>
      <c r="AF577">
        <v>1</v>
      </c>
      <c r="AG577" t="s">
        <v>355</v>
      </c>
      <c r="AH577" s="36">
        <f t="shared" si="8"/>
        <v>30.411111111111111</v>
      </c>
      <c r="AI577" s="40" t="s">
        <v>1777</v>
      </c>
    </row>
    <row r="578" spans="1:35" x14ac:dyDescent="0.25">
      <c r="A578" s="36">
        <v>99910576</v>
      </c>
      <c r="B578" s="17" t="s">
        <v>32</v>
      </c>
      <c r="C578" t="s">
        <v>111</v>
      </c>
      <c r="D578" t="s">
        <v>112</v>
      </c>
      <c r="G578" s="17" t="s">
        <v>35</v>
      </c>
      <c r="H578" s="17">
        <v>1</v>
      </c>
      <c r="I578" t="s">
        <v>814</v>
      </c>
      <c r="J578" s="1">
        <v>43344</v>
      </c>
      <c r="K578" t="s">
        <v>354</v>
      </c>
      <c r="L578" t="s">
        <v>355</v>
      </c>
      <c r="M578" t="s">
        <v>131</v>
      </c>
      <c r="N578">
        <v>24</v>
      </c>
      <c r="O578" t="s">
        <v>40</v>
      </c>
      <c r="P578" t="s">
        <v>40</v>
      </c>
      <c r="Q578" t="s">
        <v>40</v>
      </c>
      <c r="R578" t="s">
        <v>40</v>
      </c>
      <c r="S578" t="s">
        <v>40</v>
      </c>
      <c r="U578" s="1">
        <v>43344</v>
      </c>
      <c r="V578" t="s">
        <v>41</v>
      </c>
      <c r="W578" t="s">
        <v>75</v>
      </c>
      <c r="X578" t="str">
        <f>"7054032"</f>
        <v>7054032</v>
      </c>
      <c r="Y578" t="s">
        <v>767</v>
      </c>
      <c r="Z578" t="s">
        <v>354</v>
      </c>
      <c r="AA578" t="s">
        <v>355</v>
      </c>
      <c r="AB578" t="s">
        <v>131</v>
      </c>
      <c r="AC578" t="s">
        <v>51</v>
      </c>
      <c r="AD578" t="s">
        <v>45</v>
      </c>
      <c r="AE578" s="1">
        <v>32509</v>
      </c>
      <c r="AF578">
        <v>1</v>
      </c>
      <c r="AG578" t="s">
        <v>355</v>
      </c>
      <c r="AH578" s="36">
        <f t="shared" ref="AH578:AH641" si="9">($AJ$1-AE578)/360</f>
        <v>30.411111111111111</v>
      </c>
      <c r="AI578" s="40" t="s">
        <v>1777</v>
      </c>
    </row>
    <row r="579" spans="1:35" x14ac:dyDescent="0.25">
      <c r="A579" s="36">
        <v>99910577</v>
      </c>
      <c r="B579" s="17" t="s">
        <v>32</v>
      </c>
      <c r="C579" t="s">
        <v>111</v>
      </c>
      <c r="D579" t="s">
        <v>112</v>
      </c>
      <c r="G579" s="17" t="s">
        <v>35</v>
      </c>
      <c r="H579" s="17">
        <v>1</v>
      </c>
      <c r="I579" t="s">
        <v>779</v>
      </c>
      <c r="J579" s="1">
        <v>43344</v>
      </c>
      <c r="K579" t="s">
        <v>354</v>
      </c>
      <c r="L579" t="s">
        <v>355</v>
      </c>
      <c r="M579" t="s">
        <v>131</v>
      </c>
      <c r="N579">
        <v>24</v>
      </c>
      <c r="O579" t="s">
        <v>40</v>
      </c>
      <c r="P579" t="s">
        <v>40</v>
      </c>
      <c r="Q579" t="s">
        <v>40</v>
      </c>
      <c r="R579" t="s">
        <v>40</v>
      </c>
      <c r="S579" t="s">
        <v>40</v>
      </c>
      <c r="U579" s="1">
        <v>43344</v>
      </c>
      <c r="V579" t="s">
        <v>41</v>
      </c>
      <c r="W579" t="s">
        <v>75</v>
      </c>
      <c r="X579" t="str">
        <f>"7054024"</f>
        <v>7054024</v>
      </c>
      <c r="Y579" t="s">
        <v>793</v>
      </c>
      <c r="Z579" t="s">
        <v>354</v>
      </c>
      <c r="AA579" t="s">
        <v>355</v>
      </c>
      <c r="AB579" t="s">
        <v>131</v>
      </c>
      <c r="AC579" t="s">
        <v>51</v>
      </c>
      <c r="AD579" t="s">
        <v>45</v>
      </c>
      <c r="AE579" s="1">
        <v>32509</v>
      </c>
      <c r="AF579">
        <v>1</v>
      </c>
      <c r="AG579" t="s">
        <v>355</v>
      </c>
      <c r="AH579" s="36">
        <f t="shared" si="9"/>
        <v>30.411111111111111</v>
      </c>
      <c r="AI579" s="40" t="s">
        <v>1777</v>
      </c>
    </row>
    <row r="580" spans="1:35" x14ac:dyDescent="0.25">
      <c r="A580" s="36">
        <v>99910578</v>
      </c>
      <c r="B580" s="17" t="s">
        <v>32</v>
      </c>
      <c r="C580" t="s">
        <v>111</v>
      </c>
      <c r="D580" t="s">
        <v>112</v>
      </c>
      <c r="G580" s="17" t="s">
        <v>88</v>
      </c>
      <c r="H580" s="17">
        <v>3</v>
      </c>
      <c r="I580" t="s">
        <v>542</v>
      </c>
      <c r="J580" s="1">
        <v>42352</v>
      </c>
      <c r="K580" t="s">
        <v>354</v>
      </c>
      <c r="L580" t="s">
        <v>355</v>
      </c>
      <c r="M580" t="s">
        <v>131</v>
      </c>
      <c r="N580">
        <v>24</v>
      </c>
      <c r="O580" t="s">
        <v>40</v>
      </c>
      <c r="P580" t="s">
        <v>40</v>
      </c>
      <c r="Q580" t="s">
        <v>40</v>
      </c>
      <c r="R580" t="s">
        <v>40</v>
      </c>
      <c r="S580" t="s">
        <v>40</v>
      </c>
      <c r="U580" s="1">
        <v>42352</v>
      </c>
      <c r="V580" t="s">
        <v>41</v>
      </c>
      <c r="W580" t="s">
        <v>75</v>
      </c>
      <c r="X580" t="str">
        <f>"7054000"</f>
        <v>7054000</v>
      </c>
      <c r="Y580" t="s">
        <v>786</v>
      </c>
      <c r="Z580" t="s">
        <v>354</v>
      </c>
      <c r="AA580" t="s">
        <v>355</v>
      </c>
      <c r="AB580" t="s">
        <v>131</v>
      </c>
      <c r="AC580" t="s">
        <v>51</v>
      </c>
      <c r="AD580" t="s">
        <v>45</v>
      </c>
      <c r="AE580" s="1">
        <v>32509</v>
      </c>
      <c r="AF580">
        <v>1</v>
      </c>
      <c r="AG580" t="s">
        <v>355</v>
      </c>
      <c r="AH580" s="36">
        <f t="shared" si="9"/>
        <v>30.411111111111111</v>
      </c>
      <c r="AI580" s="40" t="s">
        <v>1777</v>
      </c>
    </row>
    <row r="581" spans="1:35" x14ac:dyDescent="0.25">
      <c r="A581" s="36">
        <v>99910579</v>
      </c>
      <c r="B581" s="17" t="s">
        <v>32</v>
      </c>
      <c r="C581" t="s">
        <v>111</v>
      </c>
      <c r="D581" t="s">
        <v>112</v>
      </c>
      <c r="G581" s="17" t="s">
        <v>48</v>
      </c>
      <c r="H581" s="17">
        <v>3</v>
      </c>
      <c r="I581" t="s">
        <v>574</v>
      </c>
      <c r="J581" s="1">
        <v>42324</v>
      </c>
      <c r="K581" t="s">
        <v>877</v>
      </c>
      <c r="L581" t="s">
        <v>878</v>
      </c>
      <c r="M581" t="s">
        <v>131</v>
      </c>
      <c r="N581">
        <v>24</v>
      </c>
      <c r="O581" t="s">
        <v>40</v>
      </c>
      <c r="P581" t="s">
        <v>40</v>
      </c>
      <c r="Q581" t="s">
        <v>40</v>
      </c>
      <c r="R581" t="s">
        <v>40</v>
      </c>
      <c r="S581" t="s">
        <v>40</v>
      </c>
      <c r="U581" s="1">
        <v>42324</v>
      </c>
      <c r="V581" t="s">
        <v>41</v>
      </c>
      <c r="W581" t="s">
        <v>75</v>
      </c>
      <c r="X581" t="str">
        <f>"7541004"</f>
        <v>7541004</v>
      </c>
      <c r="Y581" t="s">
        <v>889</v>
      </c>
      <c r="Z581" t="s">
        <v>877</v>
      </c>
      <c r="AA581" t="s">
        <v>878</v>
      </c>
      <c r="AB581" t="s">
        <v>131</v>
      </c>
      <c r="AC581" t="s">
        <v>51</v>
      </c>
      <c r="AD581" t="s">
        <v>45</v>
      </c>
      <c r="AE581" s="1">
        <v>32509</v>
      </c>
      <c r="AF581">
        <v>1</v>
      </c>
      <c r="AG581" t="s">
        <v>878</v>
      </c>
      <c r="AH581" s="36">
        <f t="shared" si="9"/>
        <v>30.411111111111111</v>
      </c>
      <c r="AI581" s="40" t="s">
        <v>1777</v>
      </c>
    </row>
    <row r="582" spans="1:35" x14ac:dyDescent="0.25">
      <c r="A582" s="36">
        <v>99910580</v>
      </c>
      <c r="B582" s="17" t="s">
        <v>32</v>
      </c>
      <c r="C582" t="s">
        <v>111</v>
      </c>
      <c r="D582" t="s">
        <v>112</v>
      </c>
      <c r="G582" s="17" t="s">
        <v>48</v>
      </c>
      <c r="H582" s="17">
        <v>1</v>
      </c>
      <c r="I582" t="s">
        <v>905</v>
      </c>
      <c r="J582" s="1">
        <v>42003</v>
      </c>
      <c r="K582" t="s">
        <v>877</v>
      </c>
      <c r="L582" t="s">
        <v>878</v>
      </c>
      <c r="M582" t="s">
        <v>131</v>
      </c>
      <c r="N582">
        <v>24</v>
      </c>
      <c r="O582" t="s">
        <v>40</v>
      </c>
      <c r="P582" t="s">
        <v>40</v>
      </c>
      <c r="Q582" t="s">
        <v>40</v>
      </c>
      <c r="S582" t="s">
        <v>40</v>
      </c>
      <c r="U582" s="1">
        <v>42011</v>
      </c>
      <c r="V582" t="s">
        <v>41</v>
      </c>
      <c r="W582" t="s">
        <v>75</v>
      </c>
      <c r="X582" t="str">
        <f>"7541026"</f>
        <v>7541026</v>
      </c>
      <c r="Y582" t="s">
        <v>894</v>
      </c>
      <c r="Z582" t="s">
        <v>877</v>
      </c>
      <c r="AA582" t="s">
        <v>878</v>
      </c>
      <c r="AB582" t="s">
        <v>131</v>
      </c>
      <c r="AC582" t="s">
        <v>51</v>
      </c>
      <c r="AD582" t="s">
        <v>45</v>
      </c>
      <c r="AE582" s="1">
        <v>32509</v>
      </c>
      <c r="AF582">
        <v>1</v>
      </c>
      <c r="AG582" t="s">
        <v>878</v>
      </c>
      <c r="AH582" s="36">
        <f t="shared" si="9"/>
        <v>30.411111111111111</v>
      </c>
      <c r="AI582" s="40" t="s">
        <v>1777</v>
      </c>
    </row>
    <row r="583" spans="1:35" x14ac:dyDescent="0.25">
      <c r="A583" s="36">
        <v>99910581</v>
      </c>
      <c r="B583" s="17" t="s">
        <v>32</v>
      </c>
      <c r="C583" t="s">
        <v>111</v>
      </c>
      <c r="D583" t="s">
        <v>112</v>
      </c>
      <c r="G583" s="17" t="s">
        <v>48</v>
      </c>
      <c r="H583" s="17">
        <v>1</v>
      </c>
      <c r="K583" t="s">
        <v>877</v>
      </c>
      <c r="L583" t="s">
        <v>878</v>
      </c>
      <c r="M583" t="s">
        <v>131</v>
      </c>
      <c r="N583">
        <v>24</v>
      </c>
      <c r="O583" t="s">
        <v>40</v>
      </c>
      <c r="P583" t="s">
        <v>40</v>
      </c>
      <c r="Q583" t="s">
        <v>40</v>
      </c>
      <c r="R583" t="s">
        <v>40</v>
      </c>
      <c r="S583" t="s">
        <v>40</v>
      </c>
      <c r="V583" t="s">
        <v>41</v>
      </c>
      <c r="W583" t="s">
        <v>75</v>
      </c>
      <c r="X583" t="str">
        <f>"7541008"</f>
        <v>7541008</v>
      </c>
      <c r="Y583" t="s">
        <v>879</v>
      </c>
      <c r="Z583" t="s">
        <v>877</v>
      </c>
      <c r="AA583" t="s">
        <v>878</v>
      </c>
      <c r="AB583" t="s">
        <v>131</v>
      </c>
      <c r="AC583" t="s">
        <v>51</v>
      </c>
      <c r="AD583" t="s">
        <v>45</v>
      </c>
      <c r="AE583" s="1">
        <v>32509</v>
      </c>
      <c r="AF583">
        <v>1</v>
      </c>
      <c r="AG583" t="s">
        <v>878</v>
      </c>
      <c r="AH583" s="36">
        <f t="shared" si="9"/>
        <v>30.411111111111111</v>
      </c>
      <c r="AI583" s="40" t="s">
        <v>1777</v>
      </c>
    </row>
    <row r="584" spans="1:35" x14ac:dyDescent="0.25">
      <c r="A584" s="36">
        <v>99910582</v>
      </c>
      <c r="B584" s="17" t="s">
        <v>32</v>
      </c>
      <c r="C584" t="s">
        <v>111</v>
      </c>
      <c r="D584" t="s">
        <v>112</v>
      </c>
      <c r="G584" s="17" t="s">
        <v>35</v>
      </c>
      <c r="H584" s="17">
        <v>1</v>
      </c>
      <c r="I584" t="s">
        <v>574</v>
      </c>
      <c r="J584" s="1">
        <v>43344</v>
      </c>
      <c r="K584" t="s">
        <v>985</v>
      </c>
      <c r="L584" t="s">
        <v>986</v>
      </c>
      <c r="M584" t="s">
        <v>938</v>
      </c>
      <c r="N584">
        <v>24</v>
      </c>
      <c r="O584" t="s">
        <v>40</v>
      </c>
      <c r="S584" t="s">
        <v>40</v>
      </c>
      <c r="U584" s="1">
        <v>43344</v>
      </c>
      <c r="V584" t="s">
        <v>41</v>
      </c>
      <c r="W584" t="s">
        <v>75</v>
      </c>
      <c r="X584" t="str">
        <f>"7011004"</f>
        <v>7011004</v>
      </c>
      <c r="Y584" t="s">
        <v>987</v>
      </c>
      <c r="Z584" t="s">
        <v>985</v>
      </c>
      <c r="AA584" t="s">
        <v>986</v>
      </c>
      <c r="AB584" t="s">
        <v>938</v>
      </c>
      <c r="AC584" t="s">
        <v>51</v>
      </c>
      <c r="AD584" t="s">
        <v>45</v>
      </c>
      <c r="AE584" s="1">
        <v>32509</v>
      </c>
      <c r="AF584">
        <v>1</v>
      </c>
      <c r="AG584" t="s">
        <v>986</v>
      </c>
      <c r="AH584" s="36">
        <f t="shared" si="9"/>
        <v>30.411111111111111</v>
      </c>
      <c r="AI584" s="40" t="s">
        <v>1777</v>
      </c>
    </row>
    <row r="585" spans="1:35" x14ac:dyDescent="0.25">
      <c r="A585" s="36">
        <v>99910583</v>
      </c>
      <c r="B585" s="17" t="s">
        <v>32</v>
      </c>
      <c r="C585" t="s">
        <v>111</v>
      </c>
      <c r="D585" t="s">
        <v>112</v>
      </c>
      <c r="G585" s="17" t="s">
        <v>35</v>
      </c>
      <c r="H585" s="17">
        <v>1</v>
      </c>
      <c r="I585" t="s">
        <v>1011</v>
      </c>
      <c r="J585" s="1">
        <v>43344</v>
      </c>
      <c r="K585" t="s">
        <v>963</v>
      </c>
      <c r="L585" t="s">
        <v>964</v>
      </c>
      <c r="M585" t="s">
        <v>938</v>
      </c>
      <c r="N585">
        <v>24</v>
      </c>
      <c r="O585" t="s">
        <v>40</v>
      </c>
      <c r="S585" t="s">
        <v>40</v>
      </c>
      <c r="U585" s="1">
        <v>43344</v>
      </c>
      <c r="X585" t="str">
        <f>""</f>
        <v/>
      </c>
      <c r="AA585" t="s">
        <v>964</v>
      </c>
      <c r="AB585" t="s">
        <v>938</v>
      </c>
      <c r="AC585" t="s">
        <v>51</v>
      </c>
      <c r="AD585" t="s">
        <v>45</v>
      </c>
      <c r="AE585" s="1">
        <v>32509</v>
      </c>
      <c r="AF585">
        <v>1</v>
      </c>
      <c r="AG585" t="s">
        <v>964</v>
      </c>
      <c r="AH585" s="36">
        <f t="shared" si="9"/>
        <v>30.411111111111111</v>
      </c>
      <c r="AI585" s="40" t="s">
        <v>1777</v>
      </c>
    </row>
    <row r="586" spans="1:35" x14ac:dyDescent="0.25">
      <c r="A586" s="36">
        <v>99910584</v>
      </c>
      <c r="B586" s="17" t="s">
        <v>32</v>
      </c>
      <c r="C586" t="s">
        <v>58</v>
      </c>
      <c r="D586" t="s">
        <v>59</v>
      </c>
      <c r="G586" s="17" t="s">
        <v>35</v>
      </c>
      <c r="H586" s="17">
        <v>1</v>
      </c>
      <c r="I586">
        <v>9186</v>
      </c>
      <c r="J586" s="1">
        <v>43350</v>
      </c>
      <c r="K586" t="s">
        <v>1051</v>
      </c>
      <c r="L586" t="s">
        <v>1052</v>
      </c>
      <c r="M586" t="s">
        <v>1053</v>
      </c>
      <c r="N586">
        <v>11</v>
      </c>
      <c r="O586" t="s">
        <v>40</v>
      </c>
      <c r="P586" t="s">
        <v>40</v>
      </c>
      <c r="Q586" t="s">
        <v>40</v>
      </c>
      <c r="R586" t="s">
        <v>40</v>
      </c>
      <c r="S586" t="s">
        <v>40</v>
      </c>
      <c r="U586" s="1">
        <v>43350</v>
      </c>
      <c r="V586" t="s">
        <v>41</v>
      </c>
      <c r="W586" t="s">
        <v>49</v>
      </c>
      <c r="X586" t="str">
        <f>"2060004"</f>
        <v>2060004</v>
      </c>
      <c r="Y586" t="s">
        <v>1059</v>
      </c>
      <c r="Z586" t="s">
        <v>1051</v>
      </c>
      <c r="AA586" t="s">
        <v>1052</v>
      </c>
      <c r="AB586" t="s">
        <v>1053</v>
      </c>
      <c r="AC586" t="s">
        <v>51</v>
      </c>
      <c r="AD586" t="s">
        <v>45</v>
      </c>
      <c r="AE586" s="1">
        <v>32509</v>
      </c>
      <c r="AF586">
        <v>2</v>
      </c>
      <c r="AG586" t="s">
        <v>1052</v>
      </c>
      <c r="AH586" s="36">
        <f t="shared" si="9"/>
        <v>30.411111111111111</v>
      </c>
      <c r="AI586" s="40" t="s">
        <v>1777</v>
      </c>
    </row>
    <row r="587" spans="1:35" x14ac:dyDescent="0.25">
      <c r="A587" s="36">
        <v>99910585</v>
      </c>
      <c r="B587" s="17" t="s">
        <v>56</v>
      </c>
      <c r="C587" t="s">
        <v>111</v>
      </c>
      <c r="D587" t="s">
        <v>112</v>
      </c>
      <c r="G587" s="17" t="s">
        <v>35</v>
      </c>
      <c r="H587" s="17">
        <v>1</v>
      </c>
      <c r="I587" t="s">
        <v>1110</v>
      </c>
      <c r="J587" s="1">
        <v>42324</v>
      </c>
      <c r="K587" t="s">
        <v>1081</v>
      </c>
      <c r="L587" t="s">
        <v>1082</v>
      </c>
      <c r="M587" t="s">
        <v>1053</v>
      </c>
      <c r="N587">
        <v>24</v>
      </c>
      <c r="O587" t="s">
        <v>40</v>
      </c>
      <c r="P587" t="s">
        <v>40</v>
      </c>
      <c r="Q587" t="s">
        <v>40</v>
      </c>
      <c r="S587" t="s">
        <v>40</v>
      </c>
      <c r="U587" s="1">
        <v>42324</v>
      </c>
      <c r="V587" t="s">
        <v>41</v>
      </c>
      <c r="W587" t="s">
        <v>75</v>
      </c>
      <c r="X587" t="str">
        <f>"7201006"</f>
        <v>7201006</v>
      </c>
      <c r="Y587" t="s">
        <v>1083</v>
      </c>
      <c r="Z587" t="s">
        <v>1081</v>
      </c>
      <c r="AA587" t="s">
        <v>1082</v>
      </c>
      <c r="AB587" t="s">
        <v>1053</v>
      </c>
      <c r="AC587" t="s">
        <v>51</v>
      </c>
      <c r="AD587" t="s">
        <v>45</v>
      </c>
      <c r="AE587" s="1">
        <v>32509</v>
      </c>
      <c r="AF587">
        <v>1</v>
      </c>
      <c r="AG587" t="s">
        <v>1082</v>
      </c>
      <c r="AH587" s="36">
        <f t="shared" si="9"/>
        <v>30.411111111111111</v>
      </c>
      <c r="AI587" s="40" t="s">
        <v>1777</v>
      </c>
    </row>
    <row r="588" spans="1:35" x14ac:dyDescent="0.25">
      <c r="A588" s="36">
        <v>99910586</v>
      </c>
      <c r="B588" s="17" t="s">
        <v>32</v>
      </c>
      <c r="C588" t="s">
        <v>111</v>
      </c>
      <c r="D588" t="s">
        <v>112</v>
      </c>
      <c r="G588" s="17" t="s">
        <v>35</v>
      </c>
      <c r="H588" s="17">
        <v>1</v>
      </c>
      <c r="I588">
        <v>6719</v>
      </c>
      <c r="J588" s="1">
        <v>43344</v>
      </c>
      <c r="K588" t="s">
        <v>1198</v>
      </c>
      <c r="L588" t="s">
        <v>1199</v>
      </c>
      <c r="M588" t="s">
        <v>1130</v>
      </c>
      <c r="N588">
        <v>24</v>
      </c>
      <c r="O588" t="s">
        <v>40</v>
      </c>
      <c r="S588" t="s">
        <v>40</v>
      </c>
      <c r="U588" s="1">
        <v>43344</v>
      </c>
      <c r="V588" t="s">
        <v>41</v>
      </c>
      <c r="W588" t="s">
        <v>75</v>
      </c>
      <c r="X588" t="str">
        <f>"7311000"</f>
        <v>7311000</v>
      </c>
      <c r="Y588" t="s">
        <v>1208</v>
      </c>
      <c r="Z588" t="s">
        <v>1198</v>
      </c>
      <c r="AA588" t="s">
        <v>1199</v>
      </c>
      <c r="AB588" t="s">
        <v>1130</v>
      </c>
      <c r="AC588" t="s">
        <v>44</v>
      </c>
      <c r="AD588" t="s">
        <v>45</v>
      </c>
      <c r="AE588" s="1">
        <v>32509</v>
      </c>
      <c r="AF588">
        <v>1</v>
      </c>
      <c r="AG588" t="s">
        <v>1199</v>
      </c>
      <c r="AH588" s="36">
        <f t="shared" si="9"/>
        <v>30.411111111111111</v>
      </c>
      <c r="AI588" s="40" t="s">
        <v>1777</v>
      </c>
    </row>
    <row r="589" spans="1:35" x14ac:dyDescent="0.25">
      <c r="A589" s="36">
        <v>99910587</v>
      </c>
      <c r="B589" s="17" t="s">
        <v>32</v>
      </c>
      <c r="C589" t="s">
        <v>111</v>
      </c>
      <c r="D589" t="s">
        <v>112</v>
      </c>
      <c r="G589" s="17" t="s">
        <v>35</v>
      </c>
      <c r="H589" s="17">
        <v>1</v>
      </c>
      <c r="I589" s="1">
        <v>41535</v>
      </c>
      <c r="J589" s="1">
        <v>43344</v>
      </c>
      <c r="K589" t="s">
        <v>1341</v>
      </c>
      <c r="L589" t="s">
        <v>1342</v>
      </c>
      <c r="M589" t="s">
        <v>1270</v>
      </c>
      <c r="N589">
        <v>24</v>
      </c>
      <c r="O589" t="s">
        <v>40</v>
      </c>
      <c r="P589" t="s">
        <v>40</v>
      </c>
      <c r="Q589" t="s">
        <v>40</v>
      </c>
      <c r="R589" t="s">
        <v>40</v>
      </c>
      <c r="S589" t="s">
        <v>40</v>
      </c>
      <c r="U589" s="1">
        <v>43344</v>
      </c>
      <c r="V589" t="s">
        <v>41</v>
      </c>
      <c r="W589" t="s">
        <v>75</v>
      </c>
      <c r="X589" t="str">
        <f>"7191034"</f>
        <v>7191034</v>
      </c>
      <c r="Y589" t="s">
        <v>1343</v>
      </c>
      <c r="Z589" t="s">
        <v>1341</v>
      </c>
      <c r="AA589" t="s">
        <v>1342</v>
      </c>
      <c r="AB589" t="s">
        <v>1270</v>
      </c>
      <c r="AC589" t="s">
        <v>51</v>
      </c>
      <c r="AD589" t="s">
        <v>45</v>
      </c>
      <c r="AE589" s="1">
        <v>32509</v>
      </c>
      <c r="AF589">
        <v>1</v>
      </c>
      <c r="AG589" t="s">
        <v>1342</v>
      </c>
      <c r="AH589" s="36">
        <f t="shared" si="9"/>
        <v>30.411111111111111</v>
      </c>
      <c r="AI589" s="40" t="s">
        <v>1777</v>
      </c>
    </row>
    <row r="590" spans="1:35" x14ac:dyDescent="0.25">
      <c r="A590" s="36">
        <v>99910588</v>
      </c>
      <c r="B590" s="17" t="s">
        <v>32</v>
      </c>
      <c r="C590" t="s">
        <v>111</v>
      </c>
      <c r="D590" t="s">
        <v>112</v>
      </c>
      <c r="G590" s="17" t="s">
        <v>35</v>
      </c>
      <c r="H590" s="17">
        <v>1</v>
      </c>
      <c r="I590" s="1">
        <v>43346</v>
      </c>
      <c r="J590" s="1">
        <v>43344</v>
      </c>
      <c r="K590" t="s">
        <v>1341</v>
      </c>
      <c r="L590" t="s">
        <v>1342</v>
      </c>
      <c r="M590" t="s">
        <v>1270</v>
      </c>
      <c r="N590">
        <v>24</v>
      </c>
      <c r="O590" t="s">
        <v>40</v>
      </c>
      <c r="P590" t="s">
        <v>40</v>
      </c>
      <c r="Q590" t="s">
        <v>40</v>
      </c>
      <c r="R590" t="s">
        <v>40</v>
      </c>
      <c r="S590" t="s">
        <v>40</v>
      </c>
      <c r="U590" s="1">
        <v>43344</v>
      </c>
      <c r="V590" t="s">
        <v>41</v>
      </c>
      <c r="W590" t="s">
        <v>75</v>
      </c>
      <c r="X590" t="str">
        <f>"7191034"</f>
        <v>7191034</v>
      </c>
      <c r="Y590" t="s">
        <v>1343</v>
      </c>
      <c r="Z590" t="s">
        <v>1341</v>
      </c>
      <c r="AA590" t="s">
        <v>1342</v>
      </c>
      <c r="AB590" t="s">
        <v>1270</v>
      </c>
      <c r="AC590" t="s">
        <v>44</v>
      </c>
      <c r="AD590" t="s">
        <v>45</v>
      </c>
      <c r="AE590" s="1">
        <v>32509</v>
      </c>
      <c r="AF590">
        <v>1</v>
      </c>
      <c r="AG590" t="s">
        <v>1342</v>
      </c>
      <c r="AH590" s="36">
        <f t="shared" si="9"/>
        <v>30.411111111111111</v>
      </c>
      <c r="AI590" s="40" t="s">
        <v>1777</v>
      </c>
    </row>
    <row r="591" spans="1:35" x14ac:dyDescent="0.25">
      <c r="A591" s="36">
        <v>99910589</v>
      </c>
      <c r="B591" s="17" t="s">
        <v>32</v>
      </c>
      <c r="C591" t="s">
        <v>111</v>
      </c>
      <c r="D591" t="s">
        <v>112</v>
      </c>
      <c r="G591" s="17" t="s">
        <v>35</v>
      </c>
      <c r="H591" s="17">
        <v>1</v>
      </c>
      <c r="I591" t="s">
        <v>856</v>
      </c>
      <c r="J591" s="1">
        <v>42786</v>
      </c>
      <c r="K591" t="s">
        <v>1341</v>
      </c>
      <c r="L591" t="s">
        <v>1342</v>
      </c>
      <c r="M591" t="s">
        <v>1270</v>
      </c>
      <c r="N591">
        <v>24</v>
      </c>
      <c r="O591" t="s">
        <v>40</v>
      </c>
      <c r="P591" t="s">
        <v>40</v>
      </c>
      <c r="Q591" t="s">
        <v>40</v>
      </c>
      <c r="S591" t="s">
        <v>40</v>
      </c>
      <c r="U591" s="1">
        <v>42786</v>
      </c>
      <c r="V591" t="s">
        <v>41</v>
      </c>
      <c r="W591" t="s">
        <v>75</v>
      </c>
      <c r="X591" t="str">
        <f>"7191036"</f>
        <v>7191036</v>
      </c>
      <c r="Y591" t="s">
        <v>1348</v>
      </c>
      <c r="Z591" t="s">
        <v>1341</v>
      </c>
      <c r="AA591" t="s">
        <v>1342</v>
      </c>
      <c r="AB591" t="s">
        <v>1270</v>
      </c>
      <c r="AC591" t="s">
        <v>51</v>
      </c>
      <c r="AD591" t="s">
        <v>45</v>
      </c>
      <c r="AE591" s="1">
        <v>32509</v>
      </c>
      <c r="AF591">
        <v>1</v>
      </c>
      <c r="AG591" t="s">
        <v>1342</v>
      </c>
      <c r="AH591" s="36">
        <f t="shared" si="9"/>
        <v>30.411111111111111</v>
      </c>
      <c r="AI591" s="40" t="s">
        <v>1777</v>
      </c>
    </row>
    <row r="592" spans="1:35" x14ac:dyDescent="0.25">
      <c r="A592" s="36">
        <v>99910590</v>
      </c>
      <c r="B592" s="17" t="s">
        <v>32</v>
      </c>
      <c r="C592" t="s">
        <v>111</v>
      </c>
      <c r="D592" t="s">
        <v>112</v>
      </c>
      <c r="G592" s="17" t="s">
        <v>48</v>
      </c>
      <c r="H592" s="17">
        <v>1</v>
      </c>
      <c r="I592" t="s">
        <v>1522</v>
      </c>
      <c r="J592" s="1">
        <v>41981</v>
      </c>
      <c r="K592" t="s">
        <v>667</v>
      </c>
      <c r="L592" t="s">
        <v>669</v>
      </c>
      <c r="M592" t="s">
        <v>670</v>
      </c>
      <c r="N592">
        <v>24</v>
      </c>
      <c r="O592" t="s">
        <v>40</v>
      </c>
      <c r="P592" t="s">
        <v>40</v>
      </c>
      <c r="Q592" t="s">
        <v>40</v>
      </c>
      <c r="R592" t="s">
        <v>40</v>
      </c>
      <c r="S592" t="s">
        <v>40</v>
      </c>
      <c r="U592" s="1">
        <v>41981</v>
      </c>
      <c r="V592" t="s">
        <v>41</v>
      </c>
      <c r="W592" t="s">
        <v>75</v>
      </c>
      <c r="X592" t="str">
        <f>"7501002"</f>
        <v>7501002</v>
      </c>
      <c r="Y592" t="s">
        <v>1519</v>
      </c>
      <c r="Z592" t="s">
        <v>667</v>
      </c>
      <c r="AA592" t="s">
        <v>669</v>
      </c>
      <c r="AB592" t="s">
        <v>670</v>
      </c>
      <c r="AC592" t="s">
        <v>51</v>
      </c>
      <c r="AD592" t="s">
        <v>45</v>
      </c>
      <c r="AE592" s="1">
        <v>32509</v>
      </c>
      <c r="AF592">
        <v>1</v>
      </c>
      <c r="AG592" t="s">
        <v>669</v>
      </c>
      <c r="AH592" s="36">
        <f t="shared" si="9"/>
        <v>30.411111111111111</v>
      </c>
      <c r="AI592" s="40" t="s">
        <v>1777</v>
      </c>
    </row>
    <row r="593" spans="1:36" x14ac:dyDescent="0.25">
      <c r="A593" s="36">
        <v>99910591</v>
      </c>
      <c r="B593" s="17" t="s">
        <v>32</v>
      </c>
      <c r="C593" t="s">
        <v>111</v>
      </c>
      <c r="D593" t="s">
        <v>112</v>
      </c>
      <c r="G593" s="17" t="s">
        <v>48</v>
      </c>
      <c r="H593" s="17">
        <v>1</v>
      </c>
      <c r="I593" t="s">
        <v>1538</v>
      </c>
      <c r="J593" s="1">
        <v>42334</v>
      </c>
      <c r="K593" t="s">
        <v>667</v>
      </c>
      <c r="L593" t="s">
        <v>669</v>
      </c>
      <c r="M593" t="s">
        <v>670</v>
      </c>
      <c r="N593">
        <v>24</v>
      </c>
      <c r="O593" t="s">
        <v>40</v>
      </c>
      <c r="P593" t="s">
        <v>40</v>
      </c>
      <c r="Q593" t="s">
        <v>40</v>
      </c>
      <c r="S593" t="s">
        <v>40</v>
      </c>
      <c r="U593" s="1">
        <v>42334</v>
      </c>
      <c r="V593" t="s">
        <v>41</v>
      </c>
      <c r="W593" t="s">
        <v>75</v>
      </c>
      <c r="X593" t="str">
        <f>"7501004"</f>
        <v>7501004</v>
      </c>
      <c r="Y593" t="s">
        <v>1500</v>
      </c>
      <c r="Z593" t="s">
        <v>667</v>
      </c>
      <c r="AA593" t="s">
        <v>669</v>
      </c>
      <c r="AB593" t="s">
        <v>670</v>
      </c>
      <c r="AC593" t="s">
        <v>51</v>
      </c>
      <c r="AD593" t="s">
        <v>45</v>
      </c>
      <c r="AE593" s="1">
        <v>32509</v>
      </c>
      <c r="AF593">
        <v>1</v>
      </c>
      <c r="AG593" t="s">
        <v>669</v>
      </c>
      <c r="AH593" s="36">
        <f t="shared" si="9"/>
        <v>30.411111111111111</v>
      </c>
      <c r="AI593" s="40" t="s">
        <v>1777</v>
      </c>
    </row>
    <row r="594" spans="1:36" x14ac:dyDescent="0.25">
      <c r="A594" s="36">
        <v>99910592</v>
      </c>
      <c r="B594" s="17" t="s">
        <v>32</v>
      </c>
      <c r="C594" t="s">
        <v>111</v>
      </c>
      <c r="D594" t="s">
        <v>112</v>
      </c>
      <c r="G594" s="17" t="s">
        <v>48</v>
      </c>
      <c r="H594" s="17">
        <v>1</v>
      </c>
      <c r="I594" t="s">
        <v>680</v>
      </c>
      <c r="J594" s="1">
        <v>42027</v>
      </c>
      <c r="K594" t="s">
        <v>1564</v>
      </c>
      <c r="L594" t="s">
        <v>1565</v>
      </c>
      <c r="M594" t="s">
        <v>1548</v>
      </c>
      <c r="N594">
        <v>24</v>
      </c>
      <c r="O594" t="s">
        <v>40</v>
      </c>
      <c r="P594" t="s">
        <v>40</v>
      </c>
      <c r="Q594" t="s">
        <v>40</v>
      </c>
      <c r="S594" t="s">
        <v>40</v>
      </c>
      <c r="U594" s="1">
        <v>42031</v>
      </c>
      <c r="V594" t="s">
        <v>41</v>
      </c>
      <c r="W594" t="s">
        <v>75</v>
      </c>
      <c r="X594" t="str">
        <f>"7101002"</f>
        <v>7101002</v>
      </c>
      <c r="Y594" t="s">
        <v>1563</v>
      </c>
      <c r="Z594" t="s">
        <v>1564</v>
      </c>
      <c r="AA594" t="s">
        <v>1565</v>
      </c>
      <c r="AB594" t="s">
        <v>1548</v>
      </c>
      <c r="AC594" t="s">
        <v>51</v>
      </c>
      <c r="AD594" t="s">
        <v>45</v>
      </c>
      <c r="AE594" s="1">
        <v>32509</v>
      </c>
      <c r="AF594">
        <v>1</v>
      </c>
      <c r="AG594" t="s">
        <v>1565</v>
      </c>
      <c r="AH594" s="36">
        <f t="shared" si="9"/>
        <v>30.411111111111111</v>
      </c>
      <c r="AI594" s="40" t="s">
        <v>1777</v>
      </c>
    </row>
    <row r="595" spans="1:36" x14ac:dyDescent="0.25">
      <c r="A595" s="36">
        <v>99910593</v>
      </c>
      <c r="B595" s="17" t="s">
        <v>56</v>
      </c>
      <c r="C595" t="s">
        <v>111</v>
      </c>
      <c r="D595" t="s">
        <v>112</v>
      </c>
      <c r="G595" s="17" t="s">
        <v>48</v>
      </c>
      <c r="H595" s="17">
        <v>1</v>
      </c>
      <c r="I595" t="s">
        <v>1023</v>
      </c>
      <c r="J595" s="1">
        <v>42387</v>
      </c>
      <c r="K595" t="s">
        <v>1581</v>
      </c>
      <c r="L595" t="s">
        <v>1582</v>
      </c>
      <c r="M595" t="s">
        <v>1548</v>
      </c>
      <c r="N595">
        <v>24</v>
      </c>
      <c r="O595" t="s">
        <v>40</v>
      </c>
      <c r="P595" t="s">
        <v>40</v>
      </c>
      <c r="Q595" t="s">
        <v>40</v>
      </c>
      <c r="S595" t="s">
        <v>40</v>
      </c>
      <c r="U595" s="1">
        <v>42387</v>
      </c>
      <c r="V595" t="s">
        <v>41</v>
      </c>
      <c r="W595" t="s">
        <v>75</v>
      </c>
      <c r="X595" t="str">
        <f>"7291000"</f>
        <v>7291000</v>
      </c>
      <c r="Y595" t="s">
        <v>1584</v>
      </c>
      <c r="Z595" t="s">
        <v>1581</v>
      </c>
      <c r="AA595" t="s">
        <v>1582</v>
      </c>
      <c r="AB595" t="s">
        <v>1548</v>
      </c>
      <c r="AC595" t="s">
        <v>51</v>
      </c>
      <c r="AD595" t="s">
        <v>45</v>
      </c>
      <c r="AE595" s="1">
        <v>32509</v>
      </c>
      <c r="AF595">
        <v>1</v>
      </c>
      <c r="AG595" t="s">
        <v>1582</v>
      </c>
      <c r="AH595" s="36">
        <f t="shared" si="9"/>
        <v>30.411111111111111</v>
      </c>
      <c r="AI595" s="40" t="s">
        <v>1777</v>
      </c>
    </row>
    <row r="596" spans="1:36" x14ac:dyDescent="0.25">
      <c r="A596" s="36">
        <v>99910594</v>
      </c>
      <c r="B596" s="17" t="s">
        <v>32</v>
      </c>
      <c r="C596" t="s">
        <v>111</v>
      </c>
      <c r="D596" t="s">
        <v>112</v>
      </c>
      <c r="G596" s="17" t="s">
        <v>48</v>
      </c>
      <c r="H596" s="17">
        <v>1</v>
      </c>
      <c r="I596" t="s">
        <v>905</v>
      </c>
      <c r="J596" s="1">
        <v>42003</v>
      </c>
      <c r="K596" t="s">
        <v>1631</v>
      </c>
      <c r="L596" t="s">
        <v>1632</v>
      </c>
      <c r="M596" t="s">
        <v>1592</v>
      </c>
      <c r="N596">
        <v>24</v>
      </c>
      <c r="O596" t="s">
        <v>40</v>
      </c>
      <c r="P596" t="s">
        <v>40</v>
      </c>
      <c r="Q596" t="s">
        <v>40</v>
      </c>
      <c r="S596" t="s">
        <v>40</v>
      </c>
      <c r="U596" s="1">
        <v>42011</v>
      </c>
      <c r="V596" t="s">
        <v>41</v>
      </c>
      <c r="W596" t="s">
        <v>75</v>
      </c>
      <c r="X596" t="str">
        <f>"7021000"</f>
        <v>7021000</v>
      </c>
      <c r="Y596" t="s">
        <v>1633</v>
      </c>
      <c r="Z596" t="s">
        <v>1631</v>
      </c>
      <c r="AA596" t="s">
        <v>1632</v>
      </c>
      <c r="AB596" t="s">
        <v>1592</v>
      </c>
      <c r="AC596" t="s">
        <v>51</v>
      </c>
      <c r="AD596" t="s">
        <v>45</v>
      </c>
      <c r="AE596" s="1">
        <v>32509</v>
      </c>
      <c r="AF596">
        <v>1</v>
      </c>
      <c r="AG596" t="s">
        <v>1632</v>
      </c>
      <c r="AH596" s="36">
        <f t="shared" si="9"/>
        <v>30.411111111111111</v>
      </c>
      <c r="AI596" s="40" t="s">
        <v>1777</v>
      </c>
    </row>
    <row r="597" spans="1:36" x14ac:dyDescent="0.25">
      <c r="A597" s="36">
        <v>99910595</v>
      </c>
      <c r="B597" s="17" t="s">
        <v>32</v>
      </c>
      <c r="C597" t="s">
        <v>111</v>
      </c>
      <c r="D597" t="s">
        <v>112</v>
      </c>
      <c r="G597" s="17" t="s">
        <v>35</v>
      </c>
      <c r="H597" s="17">
        <v>5</v>
      </c>
      <c r="I597" t="s">
        <v>1654</v>
      </c>
      <c r="J597" s="1">
        <v>42051</v>
      </c>
      <c r="K597" t="s">
        <v>1619</v>
      </c>
      <c r="L597" t="s">
        <v>1620</v>
      </c>
      <c r="M597" t="s">
        <v>1592</v>
      </c>
      <c r="N597">
        <v>24</v>
      </c>
      <c r="O597" t="s">
        <v>40</v>
      </c>
      <c r="P597" t="s">
        <v>40</v>
      </c>
      <c r="Q597" t="s">
        <v>40</v>
      </c>
      <c r="R597" t="s">
        <v>40</v>
      </c>
      <c r="S597" t="s">
        <v>40</v>
      </c>
      <c r="U597" s="1">
        <v>42051</v>
      </c>
      <c r="V597" t="s">
        <v>41</v>
      </c>
      <c r="W597" t="s">
        <v>75</v>
      </c>
      <c r="X597" t="str">
        <f>"7281000"</f>
        <v>7281000</v>
      </c>
      <c r="Y597" t="s">
        <v>1648</v>
      </c>
      <c r="Z597" t="s">
        <v>1619</v>
      </c>
      <c r="AA597" t="s">
        <v>1620</v>
      </c>
      <c r="AB597" t="s">
        <v>1592</v>
      </c>
      <c r="AC597" t="s">
        <v>51</v>
      </c>
      <c r="AD597" t="s">
        <v>45</v>
      </c>
      <c r="AE597" s="1">
        <v>32509</v>
      </c>
      <c r="AF597">
        <v>1</v>
      </c>
      <c r="AG597" t="s">
        <v>1620</v>
      </c>
      <c r="AH597" s="36">
        <f t="shared" si="9"/>
        <v>30.411111111111111</v>
      </c>
      <c r="AI597" s="40" t="s">
        <v>1777</v>
      </c>
    </row>
    <row r="598" spans="1:36" x14ac:dyDescent="0.25">
      <c r="A598" s="36">
        <v>99910596</v>
      </c>
      <c r="B598" s="17" t="s">
        <v>32</v>
      </c>
      <c r="C598" t="s">
        <v>111</v>
      </c>
      <c r="D598" t="s">
        <v>112</v>
      </c>
      <c r="G598" s="17" t="s">
        <v>48</v>
      </c>
      <c r="H598" s="17">
        <v>1</v>
      </c>
      <c r="I598" t="s">
        <v>905</v>
      </c>
      <c r="J598" s="1">
        <v>42003</v>
      </c>
      <c r="K598" t="s">
        <v>1695</v>
      </c>
      <c r="L598" t="s">
        <v>1696</v>
      </c>
      <c r="M598" t="s">
        <v>1592</v>
      </c>
      <c r="N598">
        <v>24</v>
      </c>
      <c r="O598" t="s">
        <v>40</v>
      </c>
      <c r="P598" t="s">
        <v>40</v>
      </c>
      <c r="Q598" t="s">
        <v>40</v>
      </c>
      <c r="R598" t="s">
        <v>40</v>
      </c>
      <c r="S598" t="s">
        <v>40</v>
      </c>
      <c r="U598" s="1">
        <v>42011</v>
      </c>
      <c r="V598" t="s">
        <v>41</v>
      </c>
      <c r="W598" t="s">
        <v>75</v>
      </c>
      <c r="X598" t="str">
        <f>"7361000"</f>
        <v>7361000</v>
      </c>
      <c r="Y598" t="s">
        <v>1698</v>
      </c>
      <c r="Z598" t="s">
        <v>1695</v>
      </c>
      <c r="AA598" t="s">
        <v>1696</v>
      </c>
      <c r="AB598" t="s">
        <v>1592</v>
      </c>
      <c r="AC598" t="s">
        <v>51</v>
      </c>
      <c r="AD598" t="s">
        <v>45</v>
      </c>
      <c r="AE598" s="1">
        <v>32509</v>
      </c>
      <c r="AF598">
        <v>1</v>
      </c>
      <c r="AG598" t="s">
        <v>1696</v>
      </c>
      <c r="AH598" s="36">
        <f t="shared" si="9"/>
        <v>30.411111111111111</v>
      </c>
      <c r="AI598" s="40" t="s">
        <v>1777</v>
      </c>
    </row>
    <row r="599" spans="1:36" x14ac:dyDescent="0.25">
      <c r="A599" s="36">
        <v>99910597</v>
      </c>
      <c r="B599" s="17" t="s">
        <v>32</v>
      </c>
      <c r="C599" t="s">
        <v>111</v>
      </c>
      <c r="D599" t="s">
        <v>112</v>
      </c>
      <c r="G599" s="17" t="s">
        <v>48</v>
      </c>
      <c r="H599" s="17">
        <v>1</v>
      </c>
      <c r="I599" t="s">
        <v>489</v>
      </c>
      <c r="J599" s="1">
        <v>42317</v>
      </c>
      <c r="K599" t="s">
        <v>1695</v>
      </c>
      <c r="L599" t="s">
        <v>1696</v>
      </c>
      <c r="M599" t="s">
        <v>1592</v>
      </c>
      <c r="N599">
        <v>24</v>
      </c>
      <c r="O599" t="s">
        <v>40</v>
      </c>
      <c r="P599" t="s">
        <v>40</v>
      </c>
      <c r="Q599" t="s">
        <v>40</v>
      </c>
      <c r="S599" t="s">
        <v>40</v>
      </c>
      <c r="U599" s="1">
        <v>42317</v>
      </c>
      <c r="V599" t="s">
        <v>41</v>
      </c>
      <c r="W599" t="s">
        <v>75</v>
      </c>
      <c r="X599" t="str">
        <f>"7361000"</f>
        <v>7361000</v>
      </c>
      <c r="Y599" t="s">
        <v>1698</v>
      </c>
      <c r="Z599" t="s">
        <v>1695</v>
      </c>
      <c r="AA599" t="s">
        <v>1696</v>
      </c>
      <c r="AB599" t="s">
        <v>1592</v>
      </c>
      <c r="AC599" t="s">
        <v>51</v>
      </c>
      <c r="AD599" t="s">
        <v>45</v>
      </c>
      <c r="AE599" s="1">
        <v>32509</v>
      </c>
      <c r="AF599">
        <v>1</v>
      </c>
      <c r="AG599" t="s">
        <v>1696</v>
      </c>
      <c r="AH599" s="36">
        <f t="shared" si="9"/>
        <v>30.411111111111111</v>
      </c>
      <c r="AI599" s="40" t="s">
        <v>1777</v>
      </c>
    </row>
    <row r="600" spans="1:36" x14ac:dyDescent="0.25">
      <c r="A600" s="36">
        <v>99910598</v>
      </c>
      <c r="B600" s="17" t="s">
        <v>32</v>
      </c>
      <c r="C600" t="s">
        <v>111</v>
      </c>
      <c r="D600" t="s">
        <v>112</v>
      </c>
      <c r="G600" s="17" t="s">
        <v>35</v>
      </c>
      <c r="H600" s="17">
        <v>1</v>
      </c>
      <c r="I600" t="s">
        <v>286</v>
      </c>
      <c r="J600" s="1">
        <v>43344</v>
      </c>
      <c r="K600" t="s">
        <v>268</v>
      </c>
      <c r="L600" t="s">
        <v>269</v>
      </c>
      <c r="M600" t="s">
        <v>131</v>
      </c>
      <c r="N600">
        <v>24</v>
      </c>
      <c r="O600" t="s">
        <v>40</v>
      </c>
      <c r="P600" t="s">
        <v>40</v>
      </c>
      <c r="Q600" t="s">
        <v>40</v>
      </c>
      <c r="R600" t="s">
        <v>40</v>
      </c>
      <c r="S600" t="s">
        <v>40</v>
      </c>
      <c r="U600" s="1">
        <v>43344</v>
      </c>
      <c r="V600" t="s">
        <v>41</v>
      </c>
      <c r="W600" t="s">
        <v>75</v>
      </c>
      <c r="X600" t="str">
        <f>"7052018"</f>
        <v>7052018</v>
      </c>
      <c r="Y600" t="s">
        <v>577</v>
      </c>
      <c r="Z600" t="s">
        <v>268</v>
      </c>
      <c r="AA600" t="s">
        <v>269</v>
      </c>
      <c r="AB600" t="s">
        <v>131</v>
      </c>
      <c r="AC600" t="s">
        <v>51</v>
      </c>
      <c r="AD600" t="s">
        <v>45</v>
      </c>
      <c r="AE600" s="1">
        <v>32498</v>
      </c>
      <c r="AF600">
        <v>1</v>
      </c>
      <c r="AG600" t="s">
        <v>269</v>
      </c>
      <c r="AH600" s="36">
        <f t="shared" si="9"/>
        <v>30.441666666666666</v>
      </c>
      <c r="AI600" s="40" t="s">
        <v>1777</v>
      </c>
    </row>
    <row r="601" spans="1:36" x14ac:dyDescent="0.25">
      <c r="A601" s="36">
        <v>99910599</v>
      </c>
      <c r="B601" s="17" t="s">
        <v>32</v>
      </c>
      <c r="C601" t="s">
        <v>111</v>
      </c>
      <c r="D601" t="s">
        <v>112</v>
      </c>
      <c r="G601" s="17" t="s">
        <v>35</v>
      </c>
      <c r="H601" s="17">
        <v>1</v>
      </c>
      <c r="I601" t="s">
        <v>799</v>
      </c>
      <c r="J601" s="1">
        <v>43344</v>
      </c>
      <c r="K601" t="s">
        <v>354</v>
      </c>
      <c r="L601" t="s">
        <v>355</v>
      </c>
      <c r="M601" t="s">
        <v>131</v>
      </c>
      <c r="N601">
        <v>24</v>
      </c>
      <c r="O601" t="s">
        <v>40</v>
      </c>
      <c r="S601" t="s">
        <v>40</v>
      </c>
      <c r="U601" s="1">
        <v>43344</v>
      </c>
      <c r="V601" t="s">
        <v>41</v>
      </c>
      <c r="W601" t="s">
        <v>75</v>
      </c>
      <c r="X601" t="str">
        <f>"7054012"</f>
        <v>7054012</v>
      </c>
      <c r="Y601" t="s">
        <v>353</v>
      </c>
      <c r="Z601" t="s">
        <v>354</v>
      </c>
      <c r="AA601" t="s">
        <v>355</v>
      </c>
      <c r="AB601" t="s">
        <v>131</v>
      </c>
      <c r="AC601" t="s">
        <v>51</v>
      </c>
      <c r="AD601" t="s">
        <v>45</v>
      </c>
      <c r="AE601" s="1">
        <v>32492</v>
      </c>
      <c r="AF601">
        <v>1</v>
      </c>
      <c r="AG601" t="s">
        <v>355</v>
      </c>
      <c r="AH601" s="36">
        <f t="shared" si="9"/>
        <v>30.458333333333332</v>
      </c>
      <c r="AI601" s="40" t="s">
        <v>1777</v>
      </c>
    </row>
    <row r="602" spans="1:36" x14ac:dyDescent="0.25">
      <c r="A602" s="36">
        <v>99910600</v>
      </c>
      <c r="B602" s="17" t="s">
        <v>32</v>
      </c>
      <c r="C602" t="s">
        <v>111</v>
      </c>
      <c r="D602" t="s">
        <v>112</v>
      </c>
      <c r="G602" s="17" t="s">
        <v>48</v>
      </c>
      <c r="H602" s="17">
        <v>1</v>
      </c>
      <c r="K602" t="s">
        <v>268</v>
      </c>
      <c r="L602" t="s">
        <v>269</v>
      </c>
      <c r="M602" t="s">
        <v>131</v>
      </c>
      <c r="N602">
        <v>12</v>
      </c>
      <c r="O602" t="s">
        <v>40</v>
      </c>
      <c r="P602" t="s">
        <v>40</v>
      </c>
      <c r="Q602" t="s">
        <v>40</v>
      </c>
      <c r="R602" t="s">
        <v>40</v>
      </c>
      <c r="S602" t="s">
        <v>40</v>
      </c>
      <c r="V602" t="s">
        <v>41</v>
      </c>
      <c r="W602" t="s">
        <v>75</v>
      </c>
      <c r="X602" t="str">
        <f>"7052034"</f>
        <v>7052034</v>
      </c>
      <c r="Y602" t="s">
        <v>604</v>
      </c>
      <c r="Z602" t="s">
        <v>268</v>
      </c>
      <c r="AA602" t="s">
        <v>269</v>
      </c>
      <c r="AB602" t="s">
        <v>131</v>
      </c>
      <c r="AC602" t="s">
        <v>51</v>
      </c>
      <c r="AD602" t="s">
        <v>45</v>
      </c>
      <c r="AE602" s="1">
        <v>32491</v>
      </c>
      <c r="AF602">
        <v>1</v>
      </c>
      <c r="AG602" t="s">
        <v>269</v>
      </c>
      <c r="AH602" s="36">
        <f t="shared" si="9"/>
        <v>30.461111111111112</v>
      </c>
      <c r="AI602" s="40" t="s">
        <v>1777</v>
      </c>
    </row>
    <row r="603" spans="1:36" x14ac:dyDescent="0.25">
      <c r="A603" s="36">
        <v>99910601</v>
      </c>
      <c r="B603" s="17" t="s">
        <v>32</v>
      </c>
      <c r="C603" t="s">
        <v>111</v>
      </c>
      <c r="D603" t="s">
        <v>112</v>
      </c>
      <c r="G603" s="17" t="s">
        <v>88</v>
      </c>
      <c r="H603" s="17">
        <v>3</v>
      </c>
      <c r="I603" t="s">
        <v>480</v>
      </c>
      <c r="J603" s="1">
        <v>41153</v>
      </c>
      <c r="K603" t="s">
        <v>195</v>
      </c>
      <c r="L603" t="s">
        <v>196</v>
      </c>
      <c r="M603" t="s">
        <v>131</v>
      </c>
      <c r="N603">
        <v>24</v>
      </c>
      <c r="O603" t="s">
        <v>40</v>
      </c>
      <c r="P603" t="s">
        <v>40</v>
      </c>
      <c r="Q603" t="s">
        <v>40</v>
      </c>
      <c r="R603" t="s">
        <v>40</v>
      </c>
      <c r="S603" t="s">
        <v>40</v>
      </c>
      <c r="U603" s="1">
        <v>41153</v>
      </c>
      <c r="V603" t="s">
        <v>41</v>
      </c>
      <c r="W603" t="s">
        <v>75</v>
      </c>
      <c r="X603" t="str">
        <f>"7521052"</f>
        <v>7521052</v>
      </c>
      <c r="Y603" t="s">
        <v>443</v>
      </c>
      <c r="Z603" t="s">
        <v>195</v>
      </c>
      <c r="AA603" t="s">
        <v>196</v>
      </c>
      <c r="AB603" t="s">
        <v>131</v>
      </c>
      <c r="AC603" t="s">
        <v>51</v>
      </c>
      <c r="AD603" t="s">
        <v>45</v>
      </c>
      <c r="AE603" s="1">
        <v>32485</v>
      </c>
      <c r="AF603">
        <v>1</v>
      </c>
      <c r="AG603" t="s">
        <v>196</v>
      </c>
      <c r="AH603" s="36">
        <f t="shared" si="9"/>
        <v>30.477777777777778</v>
      </c>
      <c r="AI603" s="40" t="s">
        <v>1777</v>
      </c>
    </row>
    <row r="604" spans="1:36" x14ac:dyDescent="0.25">
      <c r="A604" s="36">
        <v>99910602</v>
      </c>
      <c r="B604" s="17" t="s">
        <v>32</v>
      </c>
      <c r="C604" t="s">
        <v>33</v>
      </c>
      <c r="D604" t="s">
        <v>34</v>
      </c>
      <c r="G604" s="17" t="s">
        <v>35</v>
      </c>
      <c r="H604" s="17">
        <v>1</v>
      </c>
      <c r="I604" t="s">
        <v>36</v>
      </c>
      <c r="J604" s="1">
        <v>43344</v>
      </c>
      <c r="K604" t="s">
        <v>37</v>
      </c>
      <c r="L604" t="s">
        <v>38</v>
      </c>
      <c r="M604" t="s">
        <v>39</v>
      </c>
      <c r="N604">
        <v>12</v>
      </c>
      <c r="O604" t="s">
        <v>40</v>
      </c>
      <c r="P604" t="s">
        <v>40</v>
      </c>
      <c r="Q604" t="s">
        <v>40</v>
      </c>
      <c r="R604" t="s">
        <v>40</v>
      </c>
      <c r="S604" t="s">
        <v>40</v>
      </c>
      <c r="U604" s="1">
        <v>43344</v>
      </c>
      <c r="V604" t="s">
        <v>41</v>
      </c>
      <c r="W604" t="s">
        <v>42</v>
      </c>
      <c r="X604" t="str">
        <f>"3780010"</f>
        <v>3780010</v>
      </c>
      <c r="Y604" t="s">
        <v>43</v>
      </c>
      <c r="Z604" t="s">
        <v>37</v>
      </c>
      <c r="AA604" t="s">
        <v>38</v>
      </c>
      <c r="AB604" t="s">
        <v>39</v>
      </c>
      <c r="AC604" t="s">
        <v>44</v>
      </c>
      <c r="AD604" t="s">
        <v>45</v>
      </c>
      <c r="AE604" s="1">
        <v>32480</v>
      </c>
      <c r="AF604">
        <v>2</v>
      </c>
      <c r="AG604" t="s">
        <v>38</v>
      </c>
      <c r="AH604" s="36">
        <f t="shared" si="9"/>
        <v>30.491666666666667</v>
      </c>
      <c r="AI604" s="40" t="s">
        <v>1777</v>
      </c>
      <c r="AJ604" s="37"/>
    </row>
    <row r="605" spans="1:36" x14ac:dyDescent="0.25">
      <c r="A605" s="36">
        <v>99910603</v>
      </c>
      <c r="B605" s="17" t="s">
        <v>32</v>
      </c>
      <c r="C605" t="s">
        <v>90</v>
      </c>
      <c r="D605" t="s">
        <v>91</v>
      </c>
      <c r="G605" s="17" t="s">
        <v>35</v>
      </c>
      <c r="H605" s="17">
        <v>1</v>
      </c>
      <c r="I605">
        <v>10938</v>
      </c>
      <c r="J605" s="1">
        <v>43344</v>
      </c>
      <c r="K605" t="s">
        <v>354</v>
      </c>
      <c r="L605" t="s">
        <v>355</v>
      </c>
      <c r="M605" t="s">
        <v>131</v>
      </c>
      <c r="N605">
        <v>25</v>
      </c>
      <c r="O605" t="s">
        <v>40</v>
      </c>
      <c r="S605" t="s">
        <v>40</v>
      </c>
      <c r="U605" s="1">
        <v>43344</v>
      </c>
      <c r="V605" t="s">
        <v>41</v>
      </c>
      <c r="W605" t="s">
        <v>95</v>
      </c>
      <c r="X605" t="str">
        <f>"7054121"</f>
        <v>7054121</v>
      </c>
      <c r="Y605" t="s">
        <v>844</v>
      </c>
      <c r="Z605" t="s">
        <v>354</v>
      </c>
      <c r="AA605" t="s">
        <v>355</v>
      </c>
      <c r="AB605" t="s">
        <v>131</v>
      </c>
      <c r="AC605" t="s">
        <v>51</v>
      </c>
      <c r="AD605" t="s">
        <v>45</v>
      </c>
      <c r="AE605" s="1">
        <v>32469</v>
      </c>
      <c r="AF605">
        <v>1</v>
      </c>
      <c r="AG605" t="s">
        <v>355</v>
      </c>
      <c r="AH605" s="36">
        <f t="shared" si="9"/>
        <v>30.522222222222222</v>
      </c>
      <c r="AI605" s="40" t="s">
        <v>1778</v>
      </c>
    </row>
    <row r="606" spans="1:36" x14ac:dyDescent="0.25">
      <c r="A606" s="36">
        <v>99910604</v>
      </c>
      <c r="B606" s="17" t="s">
        <v>32</v>
      </c>
      <c r="C606" t="s">
        <v>90</v>
      </c>
      <c r="D606" t="s">
        <v>91</v>
      </c>
      <c r="G606" s="17" t="s">
        <v>35</v>
      </c>
      <c r="H606" s="17">
        <v>1</v>
      </c>
      <c r="I606" t="s">
        <v>1443</v>
      </c>
      <c r="J606" s="1">
        <v>43344</v>
      </c>
      <c r="K606" t="s">
        <v>1426</v>
      </c>
      <c r="L606" t="s">
        <v>1427</v>
      </c>
      <c r="M606" t="s">
        <v>1270</v>
      </c>
      <c r="N606">
        <v>25</v>
      </c>
      <c r="O606" t="s">
        <v>40</v>
      </c>
      <c r="S606" t="s">
        <v>40</v>
      </c>
      <c r="U606" s="1">
        <v>43344</v>
      </c>
      <c r="V606" t="s">
        <v>41</v>
      </c>
      <c r="W606" t="s">
        <v>95</v>
      </c>
      <c r="X606" t="str">
        <f>"7192035"</f>
        <v>7192035</v>
      </c>
      <c r="Y606" t="s">
        <v>1444</v>
      </c>
      <c r="Z606" t="s">
        <v>1426</v>
      </c>
      <c r="AA606" t="s">
        <v>1427</v>
      </c>
      <c r="AB606" t="s">
        <v>1270</v>
      </c>
      <c r="AC606" t="s">
        <v>51</v>
      </c>
      <c r="AD606" t="s">
        <v>45</v>
      </c>
      <c r="AE606" s="1">
        <v>32466</v>
      </c>
      <c r="AF606">
        <v>1</v>
      </c>
      <c r="AG606" t="s">
        <v>1427</v>
      </c>
      <c r="AH606" s="36">
        <f t="shared" si="9"/>
        <v>30.530555555555555</v>
      </c>
      <c r="AI606" s="40" t="s">
        <v>1778</v>
      </c>
    </row>
    <row r="607" spans="1:36" x14ac:dyDescent="0.25">
      <c r="A607" s="36">
        <v>99910605</v>
      </c>
      <c r="B607" s="17" t="s">
        <v>32</v>
      </c>
      <c r="C607" t="s">
        <v>111</v>
      </c>
      <c r="D607" t="s">
        <v>112</v>
      </c>
      <c r="G607" s="17" t="s">
        <v>35</v>
      </c>
      <c r="H607" s="17">
        <v>1</v>
      </c>
      <c r="I607">
        <v>14429</v>
      </c>
      <c r="J607" s="1">
        <v>43344</v>
      </c>
      <c r="K607" t="s">
        <v>354</v>
      </c>
      <c r="L607" t="s">
        <v>355</v>
      </c>
      <c r="M607" t="s">
        <v>131</v>
      </c>
      <c r="N607">
        <v>24</v>
      </c>
      <c r="O607" t="s">
        <v>40</v>
      </c>
      <c r="S607" t="s">
        <v>40</v>
      </c>
      <c r="U607" s="1">
        <v>43344</v>
      </c>
      <c r="V607" t="s">
        <v>41</v>
      </c>
      <c r="W607" t="s">
        <v>75</v>
      </c>
      <c r="X607" t="str">
        <f>"7054042"</f>
        <v>7054042</v>
      </c>
      <c r="Y607" t="s">
        <v>776</v>
      </c>
      <c r="Z607" t="s">
        <v>354</v>
      </c>
      <c r="AA607" t="s">
        <v>355</v>
      </c>
      <c r="AB607" t="s">
        <v>131</v>
      </c>
      <c r="AC607" t="s">
        <v>51</v>
      </c>
      <c r="AD607" t="s">
        <v>45</v>
      </c>
      <c r="AE607" s="1">
        <v>32461</v>
      </c>
      <c r="AF607">
        <v>1</v>
      </c>
      <c r="AG607" t="s">
        <v>355</v>
      </c>
      <c r="AH607" s="36">
        <f t="shared" si="9"/>
        <v>30.544444444444444</v>
      </c>
      <c r="AI607" s="40" t="s">
        <v>1778</v>
      </c>
    </row>
    <row r="608" spans="1:36" x14ac:dyDescent="0.25">
      <c r="A608" s="36">
        <v>99910606</v>
      </c>
      <c r="B608" s="17" t="s">
        <v>32</v>
      </c>
      <c r="C608" t="s">
        <v>111</v>
      </c>
      <c r="D608" t="s">
        <v>112</v>
      </c>
      <c r="G608" s="17" t="s">
        <v>35</v>
      </c>
      <c r="H608" s="17">
        <v>1</v>
      </c>
      <c r="K608" t="s">
        <v>154</v>
      </c>
      <c r="L608" t="s">
        <v>155</v>
      </c>
      <c r="M608" t="s">
        <v>131</v>
      </c>
      <c r="N608">
        <v>24</v>
      </c>
      <c r="O608" t="s">
        <v>40</v>
      </c>
      <c r="P608" t="s">
        <v>40</v>
      </c>
      <c r="Q608" t="s">
        <v>40</v>
      </c>
      <c r="S608" t="s">
        <v>40</v>
      </c>
      <c r="V608" t="s">
        <v>41</v>
      </c>
      <c r="W608" t="s">
        <v>75</v>
      </c>
      <c r="X608" t="str">
        <f>"7051014"</f>
        <v>7051014</v>
      </c>
      <c r="Y608" t="s">
        <v>398</v>
      </c>
      <c r="Z608" t="s">
        <v>154</v>
      </c>
      <c r="AA608" t="s">
        <v>155</v>
      </c>
      <c r="AB608" t="s">
        <v>131</v>
      </c>
      <c r="AC608" t="s">
        <v>165</v>
      </c>
      <c r="AD608" t="s">
        <v>45</v>
      </c>
      <c r="AE608" s="1">
        <v>32460</v>
      </c>
      <c r="AF608">
        <v>1</v>
      </c>
      <c r="AG608" t="s">
        <v>155</v>
      </c>
      <c r="AH608" s="36">
        <f t="shared" si="9"/>
        <v>30.547222222222221</v>
      </c>
      <c r="AI608" s="40" t="s">
        <v>1778</v>
      </c>
    </row>
    <row r="609" spans="1:35" x14ac:dyDescent="0.25">
      <c r="A609" s="36">
        <v>99910607</v>
      </c>
      <c r="B609" s="17" t="s">
        <v>32</v>
      </c>
      <c r="C609" t="s">
        <v>111</v>
      </c>
      <c r="D609" t="s">
        <v>112</v>
      </c>
      <c r="G609" s="17" t="s">
        <v>35</v>
      </c>
      <c r="H609" s="17">
        <v>1</v>
      </c>
      <c r="K609" t="s">
        <v>1564</v>
      </c>
      <c r="L609" t="s">
        <v>1565</v>
      </c>
      <c r="M609" t="s">
        <v>1548</v>
      </c>
      <c r="N609">
        <v>24</v>
      </c>
      <c r="O609" t="s">
        <v>40</v>
      </c>
      <c r="P609" t="s">
        <v>40</v>
      </c>
      <c r="Q609" t="s">
        <v>40</v>
      </c>
      <c r="S609" t="s">
        <v>40</v>
      </c>
      <c r="V609" t="s">
        <v>41</v>
      </c>
      <c r="W609" t="s">
        <v>75</v>
      </c>
      <c r="X609" t="str">
        <f>"7101000"</f>
        <v>7101000</v>
      </c>
      <c r="Y609" t="s">
        <v>1572</v>
      </c>
      <c r="Z609" t="s">
        <v>1564</v>
      </c>
      <c r="AA609" t="s">
        <v>1565</v>
      </c>
      <c r="AB609" t="s">
        <v>1548</v>
      </c>
      <c r="AC609" t="s">
        <v>51</v>
      </c>
      <c r="AD609" t="s">
        <v>45</v>
      </c>
      <c r="AE609" s="1">
        <v>32458</v>
      </c>
      <c r="AF609">
        <v>1</v>
      </c>
      <c r="AG609" t="s">
        <v>1565</v>
      </c>
      <c r="AH609" s="36">
        <f t="shared" si="9"/>
        <v>30.552777777777777</v>
      </c>
      <c r="AI609" s="40" t="s">
        <v>1778</v>
      </c>
    </row>
    <row r="610" spans="1:35" x14ac:dyDescent="0.25">
      <c r="A610" s="36">
        <v>99910608</v>
      </c>
      <c r="B610" s="17" t="s">
        <v>32</v>
      </c>
      <c r="C610" t="s">
        <v>46</v>
      </c>
      <c r="D610" t="s">
        <v>47</v>
      </c>
      <c r="G610" s="17" t="s">
        <v>35</v>
      </c>
      <c r="H610" s="17">
        <v>1</v>
      </c>
      <c r="I610" t="s">
        <v>1559</v>
      </c>
      <c r="J610" s="1">
        <v>43344</v>
      </c>
      <c r="K610" t="s">
        <v>1546</v>
      </c>
      <c r="L610" t="s">
        <v>1547</v>
      </c>
      <c r="M610" t="s">
        <v>1548</v>
      </c>
      <c r="N610">
        <v>19</v>
      </c>
      <c r="O610" t="s">
        <v>40</v>
      </c>
      <c r="P610" t="s">
        <v>40</v>
      </c>
      <c r="Q610" t="s">
        <v>40</v>
      </c>
      <c r="R610" t="s">
        <v>40</v>
      </c>
      <c r="S610" t="s">
        <v>40</v>
      </c>
      <c r="U610" s="1">
        <v>43344</v>
      </c>
      <c r="V610" t="s">
        <v>41</v>
      </c>
      <c r="W610" t="s">
        <v>49</v>
      </c>
      <c r="X610" t="str">
        <f>"1060001"</f>
        <v>1060001</v>
      </c>
      <c r="Y610" t="s">
        <v>1553</v>
      </c>
      <c r="Z610" t="s">
        <v>1546</v>
      </c>
      <c r="AA610" t="s">
        <v>1547</v>
      </c>
      <c r="AB610" t="s">
        <v>1548</v>
      </c>
      <c r="AC610" t="s">
        <v>44</v>
      </c>
      <c r="AD610" t="s">
        <v>45</v>
      </c>
      <c r="AE610" s="1">
        <v>32454</v>
      </c>
      <c r="AF610">
        <v>2</v>
      </c>
      <c r="AG610" t="s">
        <v>1547</v>
      </c>
      <c r="AH610" s="36">
        <f t="shared" si="9"/>
        <v>30.56388888888889</v>
      </c>
      <c r="AI610" s="40" t="s">
        <v>1778</v>
      </c>
    </row>
    <row r="611" spans="1:35" x14ac:dyDescent="0.25">
      <c r="A611" s="36">
        <v>99910609</v>
      </c>
      <c r="B611" s="17" t="s">
        <v>32</v>
      </c>
      <c r="C611" t="s">
        <v>90</v>
      </c>
      <c r="D611" t="s">
        <v>91</v>
      </c>
      <c r="G611" s="17" t="s">
        <v>35</v>
      </c>
      <c r="H611" s="17">
        <v>1</v>
      </c>
      <c r="I611" t="s">
        <v>1728</v>
      </c>
      <c r="J611" s="1">
        <v>43003</v>
      </c>
      <c r="K611" t="s">
        <v>1725</v>
      </c>
      <c r="L611" t="s">
        <v>1726</v>
      </c>
      <c r="M611" t="s">
        <v>1705</v>
      </c>
      <c r="N611">
        <v>25</v>
      </c>
      <c r="O611" t="s">
        <v>40</v>
      </c>
      <c r="S611" t="s">
        <v>40</v>
      </c>
      <c r="U611" s="1">
        <v>43003</v>
      </c>
      <c r="V611" t="s">
        <v>41</v>
      </c>
      <c r="W611" t="s">
        <v>95</v>
      </c>
      <c r="X611" t="str">
        <f>"7461013"</f>
        <v>7461013</v>
      </c>
      <c r="Y611" t="s">
        <v>1729</v>
      </c>
      <c r="Z611" t="s">
        <v>1725</v>
      </c>
      <c r="AA611" t="s">
        <v>1726</v>
      </c>
      <c r="AB611" t="s">
        <v>1705</v>
      </c>
      <c r="AC611" t="s">
        <v>44</v>
      </c>
      <c r="AD611" t="s">
        <v>45</v>
      </c>
      <c r="AE611" s="1">
        <v>32447</v>
      </c>
      <c r="AF611">
        <v>1</v>
      </c>
      <c r="AG611" t="s">
        <v>1726</v>
      </c>
      <c r="AH611" s="36">
        <f t="shared" si="9"/>
        <v>30.583333333333332</v>
      </c>
      <c r="AI611" s="40" t="s">
        <v>1778</v>
      </c>
    </row>
    <row r="612" spans="1:35" x14ac:dyDescent="0.25">
      <c r="A612" s="36">
        <v>99910610</v>
      </c>
      <c r="B612" s="17" t="s">
        <v>32</v>
      </c>
      <c r="C612" t="s">
        <v>64</v>
      </c>
      <c r="D612" t="s">
        <v>65</v>
      </c>
      <c r="G612" s="17" t="s">
        <v>35</v>
      </c>
      <c r="H612" s="17">
        <v>1</v>
      </c>
      <c r="I612">
        <v>0</v>
      </c>
      <c r="J612" s="1">
        <v>43344</v>
      </c>
      <c r="K612" t="s">
        <v>223</v>
      </c>
      <c r="L612" t="s">
        <v>224</v>
      </c>
      <c r="M612" t="s">
        <v>131</v>
      </c>
      <c r="N612">
        <v>23</v>
      </c>
      <c r="O612" t="s">
        <v>40</v>
      </c>
      <c r="P612" t="s">
        <v>40</v>
      </c>
      <c r="Q612" t="s">
        <v>40</v>
      </c>
      <c r="S612" t="s">
        <v>40</v>
      </c>
      <c r="U612" s="1">
        <v>43344</v>
      </c>
      <c r="V612" t="s">
        <v>41</v>
      </c>
      <c r="W612" t="s">
        <v>49</v>
      </c>
      <c r="X612" t="str">
        <f>"0581207"</f>
        <v>0581207</v>
      </c>
      <c r="Y612" t="s">
        <v>233</v>
      </c>
      <c r="Z612" t="s">
        <v>223</v>
      </c>
      <c r="AA612" t="s">
        <v>224</v>
      </c>
      <c r="AB612" t="s">
        <v>131</v>
      </c>
      <c r="AC612" t="s">
        <v>44</v>
      </c>
      <c r="AD612" t="s">
        <v>45</v>
      </c>
      <c r="AE612" s="1">
        <v>32441</v>
      </c>
      <c r="AF612">
        <v>2</v>
      </c>
      <c r="AG612" t="s">
        <v>224</v>
      </c>
      <c r="AH612" s="36">
        <f t="shared" si="9"/>
        <v>30.6</v>
      </c>
      <c r="AI612" s="40" t="s">
        <v>1778</v>
      </c>
    </row>
    <row r="613" spans="1:35" x14ac:dyDescent="0.25">
      <c r="A613" s="36">
        <v>99910611</v>
      </c>
      <c r="B613" s="17" t="s">
        <v>32</v>
      </c>
      <c r="C613" t="s">
        <v>64</v>
      </c>
      <c r="D613" t="s">
        <v>65</v>
      </c>
      <c r="G613" s="17" t="s">
        <v>48</v>
      </c>
      <c r="H613" s="17">
        <v>1</v>
      </c>
      <c r="K613" t="s">
        <v>1502</v>
      </c>
      <c r="L613" t="s">
        <v>1503</v>
      </c>
      <c r="M613" t="s">
        <v>670</v>
      </c>
      <c r="N613">
        <v>19</v>
      </c>
      <c r="O613" t="s">
        <v>40</v>
      </c>
      <c r="P613" t="s">
        <v>40</v>
      </c>
      <c r="Q613" t="s">
        <v>40</v>
      </c>
      <c r="S613" t="s">
        <v>40</v>
      </c>
      <c r="V613" t="s">
        <v>41</v>
      </c>
      <c r="W613" t="s">
        <v>75</v>
      </c>
      <c r="X613" t="str">
        <f>"7171002"</f>
        <v>7171002</v>
      </c>
      <c r="Y613" t="s">
        <v>1505</v>
      </c>
      <c r="Z613" t="s">
        <v>1502</v>
      </c>
      <c r="AA613" t="s">
        <v>1503</v>
      </c>
      <c r="AB613" t="s">
        <v>670</v>
      </c>
      <c r="AC613" t="s">
        <v>51</v>
      </c>
      <c r="AD613" t="s">
        <v>45</v>
      </c>
      <c r="AE613" s="1">
        <v>32435</v>
      </c>
      <c r="AF613">
        <v>1</v>
      </c>
      <c r="AG613" t="s">
        <v>1503</v>
      </c>
      <c r="AH613" s="36">
        <f t="shared" si="9"/>
        <v>30.616666666666667</v>
      </c>
      <c r="AI613" s="40" t="s">
        <v>1778</v>
      </c>
    </row>
    <row r="614" spans="1:35" x14ac:dyDescent="0.25">
      <c r="A614" s="36">
        <v>99910612</v>
      </c>
      <c r="B614" s="17" t="s">
        <v>32</v>
      </c>
      <c r="C614" t="s">
        <v>111</v>
      </c>
      <c r="D614" t="s">
        <v>112</v>
      </c>
      <c r="G614" s="17" t="s">
        <v>35</v>
      </c>
      <c r="H614" s="17">
        <v>1</v>
      </c>
      <c r="I614">
        <v>7163</v>
      </c>
      <c r="J614" s="1">
        <v>43344</v>
      </c>
      <c r="K614" t="s">
        <v>354</v>
      </c>
      <c r="L614" t="s">
        <v>355</v>
      </c>
      <c r="M614" t="s">
        <v>131</v>
      </c>
      <c r="N614">
        <v>24</v>
      </c>
      <c r="O614" t="s">
        <v>40</v>
      </c>
      <c r="Q614" t="s">
        <v>40</v>
      </c>
      <c r="S614" t="s">
        <v>40</v>
      </c>
      <c r="U614" s="1">
        <v>43344</v>
      </c>
      <c r="V614" t="s">
        <v>41</v>
      </c>
      <c r="W614" t="s">
        <v>75</v>
      </c>
      <c r="X614" t="str">
        <f>"7054006"</f>
        <v>7054006</v>
      </c>
      <c r="Y614" t="s">
        <v>774</v>
      </c>
      <c r="Z614" t="s">
        <v>354</v>
      </c>
      <c r="AA614" t="s">
        <v>355</v>
      </c>
      <c r="AB614" t="s">
        <v>131</v>
      </c>
      <c r="AC614" t="s">
        <v>44</v>
      </c>
      <c r="AD614" t="s">
        <v>45</v>
      </c>
      <c r="AE614" s="1">
        <v>32430</v>
      </c>
      <c r="AF614">
        <v>1</v>
      </c>
      <c r="AG614" t="s">
        <v>355</v>
      </c>
      <c r="AH614" s="36">
        <f t="shared" si="9"/>
        <v>30.630555555555556</v>
      </c>
      <c r="AI614" s="40" t="s">
        <v>1778</v>
      </c>
    </row>
    <row r="615" spans="1:35" x14ac:dyDescent="0.25">
      <c r="A615" s="36">
        <v>99910613</v>
      </c>
      <c r="B615" s="17" t="s">
        <v>56</v>
      </c>
      <c r="C615" t="s">
        <v>61</v>
      </c>
      <c r="D615" t="s">
        <v>62</v>
      </c>
      <c r="G615" s="17" t="s">
        <v>35</v>
      </c>
      <c r="H615" s="17">
        <v>1</v>
      </c>
      <c r="I615" t="s">
        <v>1536</v>
      </c>
      <c r="J615" s="1">
        <v>43344</v>
      </c>
      <c r="K615" t="s">
        <v>667</v>
      </c>
      <c r="L615" t="s">
        <v>669</v>
      </c>
      <c r="M615" t="s">
        <v>670</v>
      </c>
      <c r="N615">
        <v>6</v>
      </c>
      <c r="O615" t="s">
        <v>40</v>
      </c>
      <c r="P615" t="s">
        <v>40</v>
      </c>
      <c r="Q615" t="s">
        <v>40</v>
      </c>
      <c r="R615" t="s">
        <v>40</v>
      </c>
      <c r="S615" t="s">
        <v>40</v>
      </c>
      <c r="U615" s="1">
        <v>43344</v>
      </c>
      <c r="V615" t="s">
        <v>41</v>
      </c>
      <c r="W615" t="s">
        <v>75</v>
      </c>
      <c r="X615" t="str">
        <f>"7501002"</f>
        <v>7501002</v>
      </c>
      <c r="Y615" t="s">
        <v>1519</v>
      </c>
      <c r="Z615" t="s">
        <v>667</v>
      </c>
      <c r="AA615" t="s">
        <v>669</v>
      </c>
      <c r="AB615" t="s">
        <v>670</v>
      </c>
      <c r="AC615" t="s">
        <v>51</v>
      </c>
      <c r="AD615" t="s">
        <v>45</v>
      </c>
      <c r="AE615" s="1">
        <v>32428</v>
      </c>
      <c r="AF615">
        <v>1</v>
      </c>
      <c r="AG615" t="s">
        <v>669</v>
      </c>
      <c r="AH615" s="36">
        <f t="shared" si="9"/>
        <v>30.636111111111113</v>
      </c>
      <c r="AI615" s="40" t="s">
        <v>1778</v>
      </c>
    </row>
    <row r="616" spans="1:35" x14ac:dyDescent="0.25">
      <c r="A616" s="36">
        <v>99910614</v>
      </c>
      <c r="B616" s="17" t="s">
        <v>32</v>
      </c>
      <c r="C616" t="s">
        <v>58</v>
      </c>
      <c r="D616" t="s">
        <v>59</v>
      </c>
      <c r="G616" s="17" t="s">
        <v>48</v>
      </c>
      <c r="H616" s="17">
        <v>1</v>
      </c>
      <c r="K616" t="s">
        <v>157</v>
      </c>
      <c r="L616" t="s">
        <v>158</v>
      </c>
      <c r="M616" t="s">
        <v>131</v>
      </c>
      <c r="N616">
        <v>23</v>
      </c>
      <c r="O616" t="s">
        <v>40</v>
      </c>
      <c r="P616" t="s">
        <v>40</v>
      </c>
      <c r="Q616" t="s">
        <v>40</v>
      </c>
      <c r="R616" t="s">
        <v>40</v>
      </c>
      <c r="S616" t="s">
        <v>40</v>
      </c>
      <c r="V616" t="s">
        <v>41</v>
      </c>
      <c r="W616" t="s">
        <v>49</v>
      </c>
      <c r="X616" t="str">
        <f>"0560010"</f>
        <v>0560010</v>
      </c>
      <c r="Y616" t="s">
        <v>179</v>
      </c>
      <c r="Z616" t="s">
        <v>157</v>
      </c>
      <c r="AA616" t="s">
        <v>158</v>
      </c>
      <c r="AB616" t="s">
        <v>131</v>
      </c>
      <c r="AC616" t="s">
        <v>51</v>
      </c>
      <c r="AD616" t="s">
        <v>45</v>
      </c>
      <c r="AE616" s="1">
        <v>32420</v>
      </c>
      <c r="AF616">
        <v>2</v>
      </c>
      <c r="AG616" t="s">
        <v>158</v>
      </c>
      <c r="AH616" s="36">
        <f t="shared" si="9"/>
        <v>30.658333333333335</v>
      </c>
      <c r="AI616" s="40" t="s">
        <v>1778</v>
      </c>
    </row>
    <row r="617" spans="1:35" x14ac:dyDescent="0.25">
      <c r="A617" s="36">
        <v>99910615</v>
      </c>
      <c r="B617" s="17" t="s">
        <v>32</v>
      </c>
      <c r="C617" t="s">
        <v>111</v>
      </c>
      <c r="D617" t="s">
        <v>112</v>
      </c>
      <c r="G617" s="17" t="s">
        <v>35</v>
      </c>
      <c r="H617" s="17">
        <v>2</v>
      </c>
      <c r="I617" t="s">
        <v>489</v>
      </c>
      <c r="J617" s="1">
        <v>42317</v>
      </c>
      <c r="K617" t="s">
        <v>354</v>
      </c>
      <c r="L617" t="s">
        <v>355</v>
      </c>
      <c r="M617" t="s">
        <v>131</v>
      </c>
      <c r="N617">
        <v>24</v>
      </c>
      <c r="O617" t="s">
        <v>40</v>
      </c>
      <c r="P617" t="s">
        <v>40</v>
      </c>
      <c r="Q617" t="s">
        <v>40</v>
      </c>
      <c r="R617" t="s">
        <v>40</v>
      </c>
      <c r="S617" t="s">
        <v>40</v>
      </c>
      <c r="U617" s="1">
        <v>42317</v>
      </c>
      <c r="V617" t="s">
        <v>41</v>
      </c>
      <c r="W617" t="s">
        <v>75</v>
      </c>
      <c r="X617" t="str">
        <f>"7054038"</f>
        <v>7054038</v>
      </c>
      <c r="Y617" t="s">
        <v>377</v>
      </c>
      <c r="Z617" t="s">
        <v>354</v>
      </c>
      <c r="AA617" t="s">
        <v>355</v>
      </c>
      <c r="AB617" t="s">
        <v>131</v>
      </c>
      <c r="AC617" t="s">
        <v>51</v>
      </c>
      <c r="AD617" t="s">
        <v>45</v>
      </c>
      <c r="AE617" s="1">
        <v>32417</v>
      </c>
      <c r="AF617">
        <v>1</v>
      </c>
      <c r="AG617" t="s">
        <v>355</v>
      </c>
      <c r="AH617" s="36">
        <f t="shared" si="9"/>
        <v>30.666666666666668</v>
      </c>
      <c r="AI617" s="40" t="s">
        <v>1778</v>
      </c>
    </row>
    <row r="618" spans="1:35" x14ac:dyDescent="0.25">
      <c r="A618" s="36">
        <v>99910616</v>
      </c>
      <c r="B618" s="17" t="s">
        <v>32</v>
      </c>
      <c r="C618" t="s">
        <v>46</v>
      </c>
      <c r="D618" t="s">
        <v>47</v>
      </c>
      <c r="G618" s="17" t="s">
        <v>35</v>
      </c>
      <c r="H618" s="17">
        <v>1</v>
      </c>
      <c r="I618" t="s">
        <v>981</v>
      </c>
      <c r="J618" s="1">
        <v>43344</v>
      </c>
      <c r="K618" t="s">
        <v>947</v>
      </c>
      <c r="L618" t="s">
        <v>948</v>
      </c>
      <c r="M618" t="s">
        <v>938</v>
      </c>
      <c r="N618">
        <v>16</v>
      </c>
      <c r="O618" t="s">
        <v>40</v>
      </c>
      <c r="P618" t="s">
        <v>40</v>
      </c>
      <c r="Q618" t="s">
        <v>40</v>
      </c>
      <c r="R618" t="s">
        <v>40</v>
      </c>
      <c r="S618" t="s">
        <v>40</v>
      </c>
      <c r="U618" s="1">
        <v>43344</v>
      </c>
      <c r="V618" t="s">
        <v>41</v>
      </c>
      <c r="W618" t="s">
        <v>49</v>
      </c>
      <c r="X618" t="str">
        <f>"0605000"</f>
        <v>0605000</v>
      </c>
      <c r="Y618" t="s">
        <v>950</v>
      </c>
      <c r="Z618" t="s">
        <v>947</v>
      </c>
      <c r="AA618" t="s">
        <v>948</v>
      </c>
      <c r="AB618" t="s">
        <v>938</v>
      </c>
      <c r="AC618" t="s">
        <v>51</v>
      </c>
      <c r="AD618" t="s">
        <v>45</v>
      </c>
      <c r="AE618" s="1">
        <v>32417</v>
      </c>
      <c r="AF618">
        <v>2</v>
      </c>
      <c r="AG618" t="s">
        <v>948</v>
      </c>
      <c r="AH618" s="36">
        <f t="shared" si="9"/>
        <v>30.666666666666668</v>
      </c>
      <c r="AI618" s="40" t="s">
        <v>1778</v>
      </c>
    </row>
    <row r="619" spans="1:35" x14ac:dyDescent="0.25">
      <c r="A619" s="36">
        <v>99910617</v>
      </c>
      <c r="B619" s="17" t="s">
        <v>32</v>
      </c>
      <c r="C619" t="s">
        <v>90</v>
      </c>
      <c r="D619" t="s">
        <v>91</v>
      </c>
      <c r="G619" s="17" t="s">
        <v>48</v>
      </c>
      <c r="H619" s="17">
        <v>1</v>
      </c>
      <c r="K619" t="s">
        <v>1695</v>
      </c>
      <c r="L619" t="s">
        <v>1696</v>
      </c>
      <c r="M619" t="s">
        <v>1592</v>
      </c>
      <c r="N619">
        <v>6</v>
      </c>
      <c r="O619" t="s">
        <v>40</v>
      </c>
      <c r="P619" t="s">
        <v>40</v>
      </c>
      <c r="Q619" t="s">
        <v>40</v>
      </c>
      <c r="S619" t="s">
        <v>40</v>
      </c>
      <c r="V619" t="s">
        <v>41</v>
      </c>
      <c r="W619" t="s">
        <v>95</v>
      </c>
      <c r="X619" t="str">
        <f>"7361001"</f>
        <v>7361001</v>
      </c>
      <c r="Y619" t="s">
        <v>1697</v>
      </c>
      <c r="Z619" t="s">
        <v>1695</v>
      </c>
      <c r="AA619" t="s">
        <v>1696</v>
      </c>
      <c r="AB619" t="s">
        <v>1592</v>
      </c>
      <c r="AC619" t="s">
        <v>51</v>
      </c>
      <c r="AD619" t="s">
        <v>45</v>
      </c>
      <c r="AE619" s="1">
        <v>32415</v>
      </c>
      <c r="AF619">
        <v>1</v>
      </c>
      <c r="AG619" t="s">
        <v>1696</v>
      </c>
      <c r="AH619" s="36">
        <f t="shared" si="9"/>
        <v>30.672222222222221</v>
      </c>
      <c r="AI619" s="40" t="s">
        <v>1778</v>
      </c>
    </row>
    <row r="620" spans="1:35" x14ac:dyDescent="0.25">
      <c r="A620" s="36">
        <v>99910618</v>
      </c>
      <c r="B620" s="17" t="s">
        <v>32</v>
      </c>
      <c r="C620" t="s">
        <v>82</v>
      </c>
      <c r="D620" t="s">
        <v>83</v>
      </c>
      <c r="G620" s="17" t="s">
        <v>35</v>
      </c>
      <c r="H620" s="17">
        <v>1</v>
      </c>
      <c r="I620">
        <v>21566</v>
      </c>
      <c r="J620" s="1">
        <v>43344</v>
      </c>
      <c r="K620" t="s">
        <v>345</v>
      </c>
      <c r="L620" t="s">
        <v>346</v>
      </c>
      <c r="M620" t="s">
        <v>131</v>
      </c>
      <c r="N620">
        <v>11</v>
      </c>
      <c r="O620" t="s">
        <v>40</v>
      </c>
      <c r="S620" t="s">
        <v>40</v>
      </c>
      <c r="U620" s="1">
        <v>43344</v>
      </c>
      <c r="V620" t="s">
        <v>41</v>
      </c>
      <c r="W620" t="s">
        <v>42</v>
      </c>
      <c r="X620" t="str">
        <f>"0580615"</f>
        <v>0580615</v>
      </c>
      <c r="Y620" t="s">
        <v>364</v>
      </c>
      <c r="Z620" t="s">
        <v>345</v>
      </c>
      <c r="AA620" t="s">
        <v>346</v>
      </c>
      <c r="AB620" t="s">
        <v>131</v>
      </c>
      <c r="AC620" t="s">
        <v>44</v>
      </c>
      <c r="AD620" t="s">
        <v>45</v>
      </c>
      <c r="AE620" s="1">
        <v>32414</v>
      </c>
      <c r="AF620">
        <v>2</v>
      </c>
      <c r="AG620" t="s">
        <v>346</v>
      </c>
      <c r="AH620" s="36">
        <f t="shared" si="9"/>
        <v>30.675000000000001</v>
      </c>
      <c r="AI620" s="40" t="s">
        <v>1778</v>
      </c>
    </row>
    <row r="621" spans="1:35" x14ac:dyDescent="0.25">
      <c r="A621" s="36">
        <v>99910619</v>
      </c>
      <c r="B621" s="17" t="s">
        <v>32</v>
      </c>
      <c r="C621" t="s">
        <v>90</v>
      </c>
      <c r="D621" t="s">
        <v>91</v>
      </c>
      <c r="G621" s="17" t="s">
        <v>35</v>
      </c>
      <c r="H621" s="17">
        <v>1</v>
      </c>
      <c r="I621">
        <v>1962592</v>
      </c>
      <c r="J621" s="1">
        <v>43362</v>
      </c>
      <c r="K621" t="s">
        <v>1483</v>
      </c>
      <c r="L621" t="s">
        <v>1484</v>
      </c>
      <c r="M621" t="s">
        <v>1270</v>
      </c>
      <c r="N621">
        <v>25</v>
      </c>
      <c r="O621" t="s">
        <v>40</v>
      </c>
      <c r="S621" t="s">
        <v>40</v>
      </c>
      <c r="U621" s="1">
        <v>43362</v>
      </c>
      <c r="V621" t="s">
        <v>41</v>
      </c>
      <c r="W621" t="s">
        <v>95</v>
      </c>
      <c r="X621" t="str">
        <f>"7441003"</f>
        <v>7441003</v>
      </c>
      <c r="Y621" t="s">
        <v>1486</v>
      </c>
      <c r="Z621" t="s">
        <v>1483</v>
      </c>
      <c r="AA621" t="s">
        <v>1484</v>
      </c>
      <c r="AB621" t="s">
        <v>1270</v>
      </c>
      <c r="AC621" t="s">
        <v>44</v>
      </c>
      <c r="AD621" t="s">
        <v>45</v>
      </c>
      <c r="AE621" s="1">
        <v>32409</v>
      </c>
      <c r="AF621">
        <v>1</v>
      </c>
      <c r="AG621" t="s">
        <v>1484</v>
      </c>
      <c r="AH621" s="36">
        <f t="shared" si="9"/>
        <v>30.68888888888889</v>
      </c>
      <c r="AI621" s="40" t="s">
        <v>1778</v>
      </c>
    </row>
    <row r="622" spans="1:35" x14ac:dyDescent="0.25">
      <c r="A622" s="36">
        <v>99910620</v>
      </c>
      <c r="B622" s="17" t="s">
        <v>32</v>
      </c>
      <c r="C622" t="s">
        <v>90</v>
      </c>
      <c r="D622" t="s">
        <v>91</v>
      </c>
      <c r="G622" s="17" t="s">
        <v>35</v>
      </c>
      <c r="H622" s="17">
        <v>2</v>
      </c>
      <c r="K622" t="s">
        <v>431</v>
      </c>
      <c r="L622" t="s">
        <v>196</v>
      </c>
      <c r="M622" t="s">
        <v>131</v>
      </c>
      <c r="N622">
        <v>25</v>
      </c>
      <c r="O622" t="s">
        <v>40</v>
      </c>
      <c r="P622" t="s">
        <v>40</v>
      </c>
      <c r="Q622" t="s">
        <v>40</v>
      </c>
      <c r="R622" t="s">
        <v>40</v>
      </c>
      <c r="S622" t="s">
        <v>40</v>
      </c>
      <c r="V622" t="s">
        <v>41</v>
      </c>
      <c r="W622" t="s">
        <v>95</v>
      </c>
      <c r="X622" t="str">
        <f>"7521047"</f>
        <v>7521047</v>
      </c>
      <c r="Y622" t="s">
        <v>555</v>
      </c>
      <c r="Z622" t="s">
        <v>431</v>
      </c>
      <c r="AA622" t="s">
        <v>196</v>
      </c>
      <c r="AB622" t="s">
        <v>131</v>
      </c>
      <c r="AC622" t="s">
        <v>51</v>
      </c>
      <c r="AD622" t="s">
        <v>45</v>
      </c>
      <c r="AE622" s="1">
        <v>32405</v>
      </c>
      <c r="AF622">
        <v>1</v>
      </c>
      <c r="AG622" t="s">
        <v>196</v>
      </c>
      <c r="AH622" s="36">
        <f t="shared" si="9"/>
        <v>30.7</v>
      </c>
      <c r="AI622" s="40" t="s">
        <v>1778</v>
      </c>
    </row>
    <row r="623" spans="1:35" x14ac:dyDescent="0.25">
      <c r="A623" s="36">
        <v>99910621</v>
      </c>
      <c r="B623" s="17" t="s">
        <v>32</v>
      </c>
      <c r="C623" t="s">
        <v>90</v>
      </c>
      <c r="D623" t="s">
        <v>91</v>
      </c>
      <c r="G623" s="17" t="s">
        <v>35</v>
      </c>
      <c r="H623" s="17">
        <v>1</v>
      </c>
      <c r="I623">
        <v>11279</v>
      </c>
      <c r="J623" s="1">
        <v>43344</v>
      </c>
      <c r="K623" t="s">
        <v>354</v>
      </c>
      <c r="L623" t="s">
        <v>355</v>
      </c>
      <c r="M623" t="s">
        <v>131</v>
      </c>
      <c r="N623">
        <v>25</v>
      </c>
      <c r="O623" t="s">
        <v>40</v>
      </c>
      <c r="S623" t="s">
        <v>40</v>
      </c>
      <c r="U623" s="1">
        <v>43344</v>
      </c>
      <c r="V623" t="s">
        <v>41</v>
      </c>
      <c r="W623" t="s">
        <v>95</v>
      </c>
      <c r="X623" t="str">
        <f>"7054115"</f>
        <v>7054115</v>
      </c>
      <c r="Y623" t="s">
        <v>860</v>
      </c>
      <c r="Z623" t="s">
        <v>354</v>
      </c>
      <c r="AA623" t="s">
        <v>355</v>
      </c>
      <c r="AB623" t="s">
        <v>131</v>
      </c>
      <c r="AC623" t="s">
        <v>51</v>
      </c>
      <c r="AD623" t="s">
        <v>45</v>
      </c>
      <c r="AE623" s="1">
        <v>32403</v>
      </c>
      <c r="AF623">
        <v>1</v>
      </c>
      <c r="AG623" t="s">
        <v>355</v>
      </c>
      <c r="AH623" s="36">
        <f t="shared" si="9"/>
        <v>30.705555555555556</v>
      </c>
      <c r="AI623" s="40" t="s">
        <v>1778</v>
      </c>
    </row>
    <row r="624" spans="1:35" x14ac:dyDescent="0.25">
      <c r="A624" s="36">
        <v>99910622</v>
      </c>
      <c r="B624" s="17" t="s">
        <v>32</v>
      </c>
      <c r="C624" t="s">
        <v>90</v>
      </c>
      <c r="D624" t="s">
        <v>91</v>
      </c>
      <c r="G624" s="17" t="s">
        <v>48</v>
      </c>
      <c r="H624" s="17">
        <v>1</v>
      </c>
      <c r="K624" t="s">
        <v>431</v>
      </c>
      <c r="L624" t="s">
        <v>196</v>
      </c>
      <c r="M624" t="s">
        <v>131</v>
      </c>
      <c r="N624">
        <v>5</v>
      </c>
      <c r="O624" t="s">
        <v>40</v>
      </c>
      <c r="P624" t="s">
        <v>40</v>
      </c>
      <c r="Q624" t="s">
        <v>40</v>
      </c>
      <c r="S624" t="s">
        <v>40</v>
      </c>
      <c r="V624" t="s">
        <v>41</v>
      </c>
      <c r="W624" t="s">
        <v>95</v>
      </c>
      <c r="X624" t="str">
        <f>"7521063"</f>
        <v>7521063</v>
      </c>
      <c r="Y624" t="s">
        <v>526</v>
      </c>
      <c r="Z624" t="s">
        <v>431</v>
      </c>
      <c r="AA624" t="s">
        <v>196</v>
      </c>
      <c r="AB624" t="s">
        <v>131</v>
      </c>
      <c r="AC624" t="s">
        <v>51</v>
      </c>
      <c r="AD624" t="s">
        <v>45</v>
      </c>
      <c r="AE624" s="1">
        <v>32401</v>
      </c>
      <c r="AF624">
        <v>1</v>
      </c>
      <c r="AG624" t="s">
        <v>196</v>
      </c>
      <c r="AH624" s="36">
        <f t="shared" si="9"/>
        <v>30.711111111111112</v>
      </c>
      <c r="AI624" s="40" t="s">
        <v>1778</v>
      </c>
    </row>
    <row r="625" spans="1:35" x14ac:dyDescent="0.25">
      <c r="A625" s="36">
        <v>99910623</v>
      </c>
      <c r="B625" s="17" t="s">
        <v>32</v>
      </c>
      <c r="C625" t="s">
        <v>64</v>
      </c>
      <c r="D625" t="s">
        <v>65</v>
      </c>
      <c r="G625" s="17" t="s">
        <v>35</v>
      </c>
      <c r="H625" s="17">
        <v>1</v>
      </c>
      <c r="I625" t="s">
        <v>695</v>
      </c>
      <c r="J625" s="1">
        <v>43344</v>
      </c>
      <c r="K625" t="s">
        <v>268</v>
      </c>
      <c r="L625" t="s">
        <v>269</v>
      </c>
      <c r="M625" t="s">
        <v>131</v>
      </c>
      <c r="N625">
        <v>20</v>
      </c>
      <c r="O625" t="s">
        <v>40</v>
      </c>
      <c r="P625" t="s">
        <v>40</v>
      </c>
      <c r="Q625" t="s">
        <v>40</v>
      </c>
      <c r="R625" t="s">
        <v>40</v>
      </c>
      <c r="S625" t="s">
        <v>40</v>
      </c>
      <c r="U625" s="1">
        <v>43344</v>
      </c>
      <c r="V625" t="s">
        <v>41</v>
      </c>
      <c r="W625" t="s">
        <v>75</v>
      </c>
      <c r="X625" t="str">
        <f>"7052010"</f>
        <v>7052010</v>
      </c>
      <c r="Y625" t="s">
        <v>615</v>
      </c>
      <c r="Z625" t="s">
        <v>268</v>
      </c>
      <c r="AA625" t="s">
        <v>269</v>
      </c>
      <c r="AB625" t="s">
        <v>131</v>
      </c>
      <c r="AC625" t="s">
        <v>44</v>
      </c>
      <c r="AD625" t="s">
        <v>45</v>
      </c>
      <c r="AE625" s="1">
        <v>32389</v>
      </c>
      <c r="AF625">
        <v>1</v>
      </c>
      <c r="AG625" t="s">
        <v>269</v>
      </c>
      <c r="AH625" s="36">
        <f t="shared" si="9"/>
        <v>30.744444444444444</v>
      </c>
      <c r="AI625" s="40" t="s">
        <v>1778</v>
      </c>
    </row>
    <row r="626" spans="1:35" x14ac:dyDescent="0.25">
      <c r="A626" s="36">
        <v>99910624</v>
      </c>
      <c r="B626" s="17" t="s">
        <v>32</v>
      </c>
      <c r="C626" t="s">
        <v>111</v>
      </c>
      <c r="D626" t="s">
        <v>112</v>
      </c>
      <c r="G626" s="17" t="s">
        <v>35</v>
      </c>
      <c r="H626" s="17">
        <v>1</v>
      </c>
      <c r="I626" t="s">
        <v>286</v>
      </c>
      <c r="J626" s="1">
        <v>43344</v>
      </c>
      <c r="K626" t="s">
        <v>268</v>
      </c>
      <c r="L626" t="s">
        <v>269</v>
      </c>
      <c r="M626" t="s">
        <v>131</v>
      </c>
      <c r="N626">
        <v>24</v>
      </c>
      <c r="O626" t="s">
        <v>40</v>
      </c>
      <c r="P626" t="s">
        <v>40</v>
      </c>
      <c r="Q626" t="s">
        <v>40</v>
      </c>
      <c r="R626" t="s">
        <v>40</v>
      </c>
      <c r="S626" t="s">
        <v>40</v>
      </c>
      <c r="U626" s="1">
        <v>43344</v>
      </c>
      <c r="V626" t="s">
        <v>41</v>
      </c>
      <c r="W626" t="s">
        <v>75</v>
      </c>
      <c r="X626" t="str">
        <f>"7052004"</f>
        <v>7052004</v>
      </c>
      <c r="Y626" t="s">
        <v>584</v>
      </c>
      <c r="Z626" t="s">
        <v>268</v>
      </c>
      <c r="AA626" t="s">
        <v>269</v>
      </c>
      <c r="AB626" t="s">
        <v>131</v>
      </c>
      <c r="AC626" t="s">
        <v>55</v>
      </c>
      <c r="AD626" t="s">
        <v>45</v>
      </c>
      <c r="AE626" s="1">
        <v>32379</v>
      </c>
      <c r="AF626">
        <v>1</v>
      </c>
      <c r="AG626" t="s">
        <v>269</v>
      </c>
      <c r="AH626" s="36">
        <f t="shared" si="9"/>
        <v>30.772222222222222</v>
      </c>
      <c r="AI626" s="40" t="s">
        <v>1778</v>
      </c>
    </row>
    <row r="627" spans="1:35" x14ac:dyDescent="0.25">
      <c r="A627" s="36">
        <v>99910625</v>
      </c>
      <c r="B627" s="17" t="s">
        <v>32</v>
      </c>
      <c r="C627" t="s">
        <v>111</v>
      </c>
      <c r="D627" t="s">
        <v>112</v>
      </c>
      <c r="G627" s="17" t="s">
        <v>88</v>
      </c>
      <c r="H627" s="17">
        <v>3</v>
      </c>
      <c r="K627" t="s">
        <v>354</v>
      </c>
      <c r="L627" t="s">
        <v>355</v>
      </c>
      <c r="M627" t="s">
        <v>131</v>
      </c>
      <c r="N627">
        <v>24</v>
      </c>
      <c r="O627" t="s">
        <v>40</v>
      </c>
      <c r="P627" t="s">
        <v>40</v>
      </c>
      <c r="Q627" t="s">
        <v>40</v>
      </c>
      <c r="R627" t="s">
        <v>40</v>
      </c>
      <c r="S627" t="s">
        <v>40</v>
      </c>
      <c r="V627" t="s">
        <v>41</v>
      </c>
      <c r="W627" t="s">
        <v>75</v>
      </c>
      <c r="X627" t="str">
        <f>"7054020"</f>
        <v>7054020</v>
      </c>
      <c r="Y627" t="s">
        <v>765</v>
      </c>
      <c r="Z627" t="s">
        <v>354</v>
      </c>
      <c r="AA627" t="s">
        <v>355</v>
      </c>
      <c r="AB627" t="s">
        <v>131</v>
      </c>
      <c r="AC627" t="s">
        <v>51</v>
      </c>
      <c r="AD627" t="s">
        <v>45</v>
      </c>
      <c r="AE627" s="1">
        <v>32378</v>
      </c>
      <c r="AF627">
        <v>1</v>
      </c>
      <c r="AG627" t="s">
        <v>355</v>
      </c>
      <c r="AH627" s="36">
        <f t="shared" si="9"/>
        <v>30.774999999999999</v>
      </c>
      <c r="AI627" s="40" t="s">
        <v>1778</v>
      </c>
    </row>
    <row r="628" spans="1:35" x14ac:dyDescent="0.25">
      <c r="A628" s="36">
        <v>99910626</v>
      </c>
      <c r="B628" s="17" t="s">
        <v>32</v>
      </c>
      <c r="C628" t="s">
        <v>111</v>
      </c>
      <c r="D628" t="s">
        <v>112</v>
      </c>
      <c r="G628" s="17" t="s">
        <v>35</v>
      </c>
      <c r="H628" s="17">
        <v>3</v>
      </c>
      <c r="K628" t="s">
        <v>1619</v>
      </c>
      <c r="L628" t="s">
        <v>1620</v>
      </c>
      <c r="M628" t="s">
        <v>1592</v>
      </c>
      <c r="N628">
        <v>24</v>
      </c>
      <c r="O628" t="s">
        <v>40</v>
      </c>
      <c r="P628" t="s">
        <v>40</v>
      </c>
      <c r="Q628" t="s">
        <v>40</v>
      </c>
      <c r="R628" t="s">
        <v>40</v>
      </c>
      <c r="S628" t="s">
        <v>40</v>
      </c>
      <c r="V628" t="s">
        <v>41</v>
      </c>
      <c r="W628" t="s">
        <v>75</v>
      </c>
      <c r="X628" t="str">
        <f>"7281000"</f>
        <v>7281000</v>
      </c>
      <c r="Y628" t="s">
        <v>1648</v>
      </c>
      <c r="Z628" t="s">
        <v>1619</v>
      </c>
      <c r="AA628" t="s">
        <v>1620</v>
      </c>
      <c r="AB628" t="s">
        <v>1592</v>
      </c>
      <c r="AC628" t="s">
        <v>51</v>
      </c>
      <c r="AD628" t="s">
        <v>45</v>
      </c>
      <c r="AE628" s="1">
        <v>32378</v>
      </c>
      <c r="AF628">
        <v>1</v>
      </c>
      <c r="AG628" t="s">
        <v>1620</v>
      </c>
      <c r="AH628" s="36">
        <f t="shared" si="9"/>
        <v>30.774999999999999</v>
      </c>
      <c r="AI628" s="40" t="s">
        <v>1778</v>
      </c>
    </row>
    <row r="629" spans="1:35" x14ac:dyDescent="0.25">
      <c r="A629" s="36">
        <v>99910627</v>
      </c>
      <c r="B629" s="17" t="s">
        <v>32</v>
      </c>
      <c r="C629" t="s">
        <v>46</v>
      </c>
      <c r="D629" t="s">
        <v>47</v>
      </c>
      <c r="G629" s="17" t="s">
        <v>48</v>
      </c>
      <c r="H629" s="17">
        <v>1</v>
      </c>
      <c r="K629" t="s">
        <v>1187</v>
      </c>
      <c r="L629" t="s">
        <v>1188</v>
      </c>
      <c r="M629" t="s">
        <v>1130</v>
      </c>
      <c r="N629">
        <v>19</v>
      </c>
      <c r="O629" t="s">
        <v>40</v>
      </c>
      <c r="P629" t="s">
        <v>40</v>
      </c>
      <c r="Q629" t="s">
        <v>40</v>
      </c>
      <c r="R629" t="s">
        <v>40</v>
      </c>
      <c r="S629" t="s">
        <v>40</v>
      </c>
      <c r="V629" t="s">
        <v>41</v>
      </c>
      <c r="W629" t="s">
        <v>49</v>
      </c>
      <c r="X629" t="str">
        <f>"4581015"</f>
        <v>4581015</v>
      </c>
      <c r="Y629" t="s">
        <v>1190</v>
      </c>
      <c r="Z629" t="s">
        <v>1187</v>
      </c>
      <c r="AA629" t="s">
        <v>1188</v>
      </c>
      <c r="AB629" t="s">
        <v>1130</v>
      </c>
      <c r="AC629" t="s">
        <v>51</v>
      </c>
      <c r="AD629" t="s">
        <v>45</v>
      </c>
      <c r="AE629" s="1">
        <v>32375</v>
      </c>
      <c r="AF629">
        <v>2</v>
      </c>
      <c r="AG629" t="s">
        <v>1188</v>
      </c>
      <c r="AH629" s="36">
        <f t="shared" si="9"/>
        <v>30.783333333333335</v>
      </c>
      <c r="AI629" s="40" t="s">
        <v>1778</v>
      </c>
    </row>
    <row r="630" spans="1:35" x14ac:dyDescent="0.25">
      <c r="A630" s="36">
        <v>99910628</v>
      </c>
      <c r="B630" s="17" t="s">
        <v>32</v>
      </c>
      <c r="C630" t="s">
        <v>90</v>
      </c>
      <c r="D630" t="s">
        <v>91</v>
      </c>
      <c r="G630" s="17" t="s">
        <v>35</v>
      </c>
      <c r="H630" s="17">
        <v>1</v>
      </c>
      <c r="I630" t="s">
        <v>692</v>
      </c>
      <c r="J630" s="1">
        <v>43344</v>
      </c>
      <c r="K630" t="s">
        <v>268</v>
      </c>
      <c r="L630" t="s">
        <v>269</v>
      </c>
      <c r="M630" t="s">
        <v>131</v>
      </c>
      <c r="N630">
        <v>25</v>
      </c>
      <c r="O630" t="s">
        <v>40</v>
      </c>
      <c r="S630" t="s">
        <v>40</v>
      </c>
      <c r="U630" s="1">
        <v>43344</v>
      </c>
      <c r="V630" t="s">
        <v>41</v>
      </c>
      <c r="W630" t="s">
        <v>95</v>
      </c>
      <c r="X630" t="str">
        <f>"7052095"</f>
        <v>7052095</v>
      </c>
      <c r="Y630" t="s">
        <v>693</v>
      </c>
      <c r="Z630" t="s">
        <v>268</v>
      </c>
      <c r="AA630" t="s">
        <v>269</v>
      </c>
      <c r="AB630" t="s">
        <v>131</v>
      </c>
      <c r="AC630" t="s">
        <v>51</v>
      </c>
      <c r="AD630" t="s">
        <v>45</v>
      </c>
      <c r="AE630" s="1">
        <v>32374</v>
      </c>
      <c r="AF630">
        <v>1</v>
      </c>
      <c r="AG630" t="s">
        <v>269</v>
      </c>
      <c r="AH630" s="36">
        <f t="shared" si="9"/>
        <v>30.786111111111111</v>
      </c>
      <c r="AI630" s="40" t="s">
        <v>1778</v>
      </c>
    </row>
    <row r="631" spans="1:35" x14ac:dyDescent="0.25">
      <c r="A631" s="36">
        <v>99910629</v>
      </c>
      <c r="B631" s="17" t="s">
        <v>56</v>
      </c>
      <c r="C631" t="s">
        <v>111</v>
      </c>
      <c r="D631" t="s">
        <v>112</v>
      </c>
      <c r="G631" s="17" t="s">
        <v>35</v>
      </c>
      <c r="H631" s="17">
        <v>1</v>
      </c>
      <c r="I631" t="s">
        <v>803</v>
      </c>
      <c r="J631" s="1">
        <v>43344</v>
      </c>
      <c r="K631" t="s">
        <v>354</v>
      </c>
      <c r="L631" t="s">
        <v>355</v>
      </c>
      <c r="M631" t="s">
        <v>131</v>
      </c>
      <c r="N631">
        <v>24</v>
      </c>
      <c r="O631" t="s">
        <v>40</v>
      </c>
      <c r="S631" t="s">
        <v>40</v>
      </c>
      <c r="U631" s="1">
        <v>43344</v>
      </c>
      <c r="V631" t="s">
        <v>41</v>
      </c>
      <c r="W631" t="s">
        <v>75</v>
      </c>
      <c r="X631" t="str">
        <f>"7054016"</f>
        <v>7054016</v>
      </c>
      <c r="Y631" t="s">
        <v>768</v>
      </c>
      <c r="Z631" t="s">
        <v>354</v>
      </c>
      <c r="AA631" t="s">
        <v>355</v>
      </c>
      <c r="AB631" t="s">
        <v>131</v>
      </c>
      <c r="AC631" t="s">
        <v>44</v>
      </c>
      <c r="AD631" t="s">
        <v>45</v>
      </c>
      <c r="AE631" s="1">
        <v>32371</v>
      </c>
      <c r="AF631">
        <v>1</v>
      </c>
      <c r="AG631" t="s">
        <v>355</v>
      </c>
      <c r="AH631" s="36">
        <f t="shared" si="9"/>
        <v>30.794444444444444</v>
      </c>
      <c r="AI631" s="40" t="s">
        <v>1778</v>
      </c>
    </row>
    <row r="632" spans="1:35" x14ac:dyDescent="0.25">
      <c r="A632" s="36">
        <v>99910630</v>
      </c>
      <c r="B632" s="17" t="s">
        <v>32</v>
      </c>
      <c r="C632" t="s">
        <v>46</v>
      </c>
      <c r="D632" t="s">
        <v>47</v>
      </c>
      <c r="G632" s="17" t="s">
        <v>48</v>
      </c>
      <c r="H632" s="17">
        <v>1</v>
      </c>
      <c r="K632" t="s">
        <v>300</v>
      </c>
      <c r="L632" t="s">
        <v>301</v>
      </c>
      <c r="M632" t="s">
        <v>131</v>
      </c>
      <c r="N632">
        <v>4</v>
      </c>
      <c r="O632" t="s">
        <v>40</v>
      </c>
      <c r="P632" t="s">
        <v>40</v>
      </c>
      <c r="Q632" t="s">
        <v>40</v>
      </c>
      <c r="R632" t="s">
        <v>40</v>
      </c>
      <c r="S632" t="s">
        <v>40</v>
      </c>
      <c r="V632" t="s">
        <v>41</v>
      </c>
      <c r="W632" t="s">
        <v>42</v>
      </c>
      <c r="X632" t="str">
        <f>"0561001"</f>
        <v>0561001</v>
      </c>
      <c r="Y632" t="s">
        <v>308</v>
      </c>
      <c r="Z632" t="s">
        <v>300</v>
      </c>
      <c r="AA632" t="s">
        <v>301</v>
      </c>
      <c r="AB632" t="s">
        <v>131</v>
      </c>
      <c r="AC632" t="s">
        <v>51</v>
      </c>
      <c r="AD632" t="s">
        <v>45</v>
      </c>
      <c r="AE632" s="1">
        <v>32367</v>
      </c>
      <c r="AF632">
        <v>2</v>
      </c>
      <c r="AG632" t="s">
        <v>301</v>
      </c>
      <c r="AH632" s="36">
        <f t="shared" si="9"/>
        <v>30.805555555555557</v>
      </c>
      <c r="AI632" s="40" t="s">
        <v>1778</v>
      </c>
    </row>
    <row r="633" spans="1:35" x14ac:dyDescent="0.25">
      <c r="A633" s="36">
        <v>99910631</v>
      </c>
      <c r="B633" s="17" t="s">
        <v>32</v>
      </c>
      <c r="C633" t="s">
        <v>111</v>
      </c>
      <c r="D633" t="s">
        <v>112</v>
      </c>
      <c r="G633" s="17" t="s">
        <v>35</v>
      </c>
      <c r="H633" s="17">
        <v>1</v>
      </c>
      <c r="I633" t="s">
        <v>1670</v>
      </c>
      <c r="J633" s="1">
        <v>43344</v>
      </c>
      <c r="K633" t="s">
        <v>1619</v>
      </c>
      <c r="L633" t="s">
        <v>1620</v>
      </c>
      <c r="M633" t="s">
        <v>1592</v>
      </c>
      <c r="N633">
        <v>24</v>
      </c>
      <c r="O633" t="s">
        <v>40</v>
      </c>
      <c r="P633" t="s">
        <v>40</v>
      </c>
      <c r="Q633" t="s">
        <v>40</v>
      </c>
      <c r="S633" t="s">
        <v>40</v>
      </c>
      <c r="U633" s="1">
        <v>43344</v>
      </c>
      <c r="V633" t="s">
        <v>41</v>
      </c>
      <c r="W633" t="s">
        <v>75</v>
      </c>
      <c r="X633" t="str">
        <f>"7281002"</f>
        <v>7281002</v>
      </c>
      <c r="Y633" t="s">
        <v>1660</v>
      </c>
      <c r="Z633" t="s">
        <v>1619</v>
      </c>
      <c r="AA633" t="s">
        <v>1620</v>
      </c>
      <c r="AB633" t="s">
        <v>1592</v>
      </c>
      <c r="AC633" t="s">
        <v>44</v>
      </c>
      <c r="AD633" t="s">
        <v>45</v>
      </c>
      <c r="AE633" s="1">
        <v>32361</v>
      </c>
      <c r="AF633">
        <v>1</v>
      </c>
      <c r="AG633" t="s">
        <v>1620</v>
      </c>
      <c r="AH633" s="36">
        <f t="shared" si="9"/>
        <v>30.822222222222223</v>
      </c>
      <c r="AI633" s="40" t="s">
        <v>1778</v>
      </c>
    </row>
    <row r="634" spans="1:35" x14ac:dyDescent="0.25">
      <c r="A634" s="36">
        <v>99910632</v>
      </c>
      <c r="B634" s="17" t="s">
        <v>32</v>
      </c>
      <c r="C634" t="s">
        <v>68</v>
      </c>
      <c r="D634" t="s">
        <v>69</v>
      </c>
      <c r="G634" s="17" t="s">
        <v>48</v>
      </c>
      <c r="H634" s="17">
        <v>1</v>
      </c>
      <c r="K634" t="s">
        <v>1566</v>
      </c>
      <c r="L634" t="s">
        <v>1567</v>
      </c>
      <c r="M634" t="s">
        <v>1548</v>
      </c>
      <c r="N634">
        <v>18</v>
      </c>
      <c r="O634" t="s">
        <v>40</v>
      </c>
      <c r="P634" t="s">
        <v>40</v>
      </c>
      <c r="Q634" t="s">
        <v>40</v>
      </c>
      <c r="R634" t="s">
        <v>40</v>
      </c>
      <c r="S634" t="s">
        <v>40</v>
      </c>
      <c r="V634" t="s">
        <v>41</v>
      </c>
      <c r="W634" t="s">
        <v>42</v>
      </c>
      <c r="X634" t="str">
        <f>"2961001"</f>
        <v>2961001</v>
      </c>
      <c r="Y634" t="s">
        <v>1568</v>
      </c>
      <c r="Z634" t="s">
        <v>1566</v>
      </c>
      <c r="AA634" t="s">
        <v>1567</v>
      </c>
      <c r="AB634" t="s">
        <v>1548</v>
      </c>
      <c r="AC634" t="s">
        <v>51</v>
      </c>
      <c r="AD634" t="s">
        <v>45</v>
      </c>
      <c r="AE634" s="1">
        <v>32351</v>
      </c>
      <c r="AF634">
        <v>2</v>
      </c>
      <c r="AG634" t="s">
        <v>1567</v>
      </c>
      <c r="AH634" s="36">
        <f t="shared" si="9"/>
        <v>30.85</v>
      </c>
      <c r="AI634" s="40" t="s">
        <v>1778</v>
      </c>
    </row>
    <row r="635" spans="1:35" x14ac:dyDescent="0.25">
      <c r="A635" s="36">
        <v>99910633</v>
      </c>
      <c r="B635" s="17" t="s">
        <v>32</v>
      </c>
      <c r="C635" t="s">
        <v>61</v>
      </c>
      <c r="D635" t="s">
        <v>62</v>
      </c>
      <c r="G635" s="17" t="s">
        <v>35</v>
      </c>
      <c r="H635" s="17">
        <v>1</v>
      </c>
      <c r="I635">
        <v>22116</v>
      </c>
      <c r="J635" s="1">
        <v>43027</v>
      </c>
      <c r="K635" t="s">
        <v>380</v>
      </c>
      <c r="L635" t="s">
        <v>381</v>
      </c>
      <c r="M635" t="s">
        <v>131</v>
      </c>
      <c r="N635">
        <v>2</v>
      </c>
      <c r="O635" t="s">
        <v>40</v>
      </c>
      <c r="P635" t="s">
        <v>40</v>
      </c>
      <c r="Q635" t="s">
        <v>40</v>
      </c>
      <c r="R635" t="s">
        <v>40</v>
      </c>
      <c r="S635" t="s">
        <v>40</v>
      </c>
      <c r="U635" s="1">
        <v>43027</v>
      </c>
      <c r="V635" t="s">
        <v>41</v>
      </c>
      <c r="W635" t="s">
        <v>49</v>
      </c>
      <c r="X635" t="str">
        <f>"0561020"</f>
        <v>0561020</v>
      </c>
      <c r="Y635" t="s">
        <v>390</v>
      </c>
      <c r="Z635" t="s">
        <v>380</v>
      </c>
      <c r="AA635" t="s">
        <v>381</v>
      </c>
      <c r="AB635" t="s">
        <v>131</v>
      </c>
      <c r="AC635" t="s">
        <v>44</v>
      </c>
      <c r="AD635" t="s">
        <v>45</v>
      </c>
      <c r="AE635" s="1">
        <v>32350</v>
      </c>
      <c r="AF635">
        <v>2</v>
      </c>
      <c r="AG635" t="s">
        <v>381</v>
      </c>
      <c r="AH635" s="36">
        <f t="shared" si="9"/>
        <v>30.852777777777778</v>
      </c>
      <c r="AI635" s="40" t="s">
        <v>1778</v>
      </c>
    </row>
    <row r="636" spans="1:35" x14ac:dyDescent="0.25">
      <c r="A636" s="36">
        <v>99910634</v>
      </c>
      <c r="B636" s="17" t="s">
        <v>32</v>
      </c>
      <c r="C636" t="s">
        <v>111</v>
      </c>
      <c r="D636" t="s">
        <v>112</v>
      </c>
      <c r="G636" s="17" t="s">
        <v>35</v>
      </c>
      <c r="H636" s="17">
        <v>1</v>
      </c>
      <c r="I636" t="s">
        <v>286</v>
      </c>
      <c r="J636" s="1">
        <v>43344</v>
      </c>
      <c r="K636" t="s">
        <v>268</v>
      </c>
      <c r="L636" t="s">
        <v>269</v>
      </c>
      <c r="M636" t="s">
        <v>131</v>
      </c>
      <c r="N636">
        <v>24</v>
      </c>
      <c r="O636" t="s">
        <v>40</v>
      </c>
      <c r="S636" t="s">
        <v>40</v>
      </c>
      <c r="V636" t="s">
        <v>41</v>
      </c>
      <c r="W636" t="s">
        <v>75</v>
      </c>
      <c r="X636" t="str">
        <f>"7052018"</f>
        <v>7052018</v>
      </c>
      <c r="Y636" t="s">
        <v>577</v>
      </c>
      <c r="Z636" t="s">
        <v>268</v>
      </c>
      <c r="AA636" t="s">
        <v>269</v>
      </c>
      <c r="AB636" t="s">
        <v>131</v>
      </c>
      <c r="AC636" t="s">
        <v>51</v>
      </c>
      <c r="AD636" t="s">
        <v>45</v>
      </c>
      <c r="AE636" s="1">
        <v>32349</v>
      </c>
      <c r="AF636">
        <v>1</v>
      </c>
      <c r="AG636" t="s">
        <v>269</v>
      </c>
      <c r="AH636" s="36">
        <f t="shared" si="9"/>
        <v>30.855555555555554</v>
      </c>
      <c r="AI636" s="40" t="s">
        <v>1778</v>
      </c>
    </row>
    <row r="637" spans="1:35" x14ac:dyDescent="0.25">
      <c r="A637" s="36">
        <v>99910635</v>
      </c>
      <c r="B637" s="17" t="s">
        <v>56</v>
      </c>
      <c r="C637" t="s">
        <v>149</v>
      </c>
      <c r="D637" t="s">
        <v>150</v>
      </c>
      <c r="G637" s="17" t="s">
        <v>35</v>
      </c>
      <c r="H637" s="17">
        <v>1</v>
      </c>
      <c r="I637">
        <v>5265</v>
      </c>
      <c r="J637" s="1">
        <v>43164</v>
      </c>
      <c r="K637" t="s">
        <v>380</v>
      </c>
      <c r="L637" t="s">
        <v>381</v>
      </c>
      <c r="M637" t="s">
        <v>131</v>
      </c>
      <c r="N637">
        <v>3</v>
      </c>
      <c r="O637" t="s">
        <v>40</v>
      </c>
      <c r="P637" t="s">
        <v>40</v>
      </c>
      <c r="Q637" t="s">
        <v>40</v>
      </c>
      <c r="S637" t="s">
        <v>40</v>
      </c>
      <c r="U637" s="1">
        <v>43164</v>
      </c>
      <c r="V637" t="s">
        <v>41</v>
      </c>
      <c r="W637" t="s">
        <v>49</v>
      </c>
      <c r="X637" t="str">
        <f>"0581575"</f>
        <v>0581575</v>
      </c>
      <c r="Y637" t="s">
        <v>392</v>
      </c>
      <c r="Z637" t="s">
        <v>380</v>
      </c>
      <c r="AA637" t="s">
        <v>381</v>
      </c>
      <c r="AB637" t="s">
        <v>131</v>
      </c>
      <c r="AC637" t="s">
        <v>44</v>
      </c>
      <c r="AD637" t="s">
        <v>45</v>
      </c>
      <c r="AE637" s="1">
        <v>32345</v>
      </c>
      <c r="AF637">
        <v>2</v>
      </c>
      <c r="AG637" t="s">
        <v>381</v>
      </c>
      <c r="AH637" s="36">
        <f t="shared" si="9"/>
        <v>30.866666666666667</v>
      </c>
      <c r="AI637" s="40" t="s">
        <v>1778</v>
      </c>
    </row>
    <row r="638" spans="1:35" x14ac:dyDescent="0.25">
      <c r="A638" s="36">
        <v>99910636</v>
      </c>
      <c r="B638" s="17" t="s">
        <v>32</v>
      </c>
      <c r="C638" t="s">
        <v>139</v>
      </c>
      <c r="D638" t="s">
        <v>140</v>
      </c>
      <c r="G638" s="17" t="s">
        <v>35</v>
      </c>
      <c r="H638" s="17">
        <v>1</v>
      </c>
      <c r="K638" t="s">
        <v>345</v>
      </c>
      <c r="L638" t="s">
        <v>346</v>
      </c>
      <c r="M638" t="s">
        <v>131</v>
      </c>
      <c r="N638">
        <v>6</v>
      </c>
      <c r="O638" t="s">
        <v>40</v>
      </c>
      <c r="P638" t="s">
        <v>40</v>
      </c>
      <c r="Q638" t="s">
        <v>40</v>
      </c>
      <c r="S638" t="s">
        <v>40</v>
      </c>
      <c r="V638" t="s">
        <v>41</v>
      </c>
      <c r="W638" t="s">
        <v>49</v>
      </c>
      <c r="X638" t="str">
        <f>"0581605"</f>
        <v>0581605</v>
      </c>
      <c r="Y638" t="s">
        <v>366</v>
      </c>
      <c r="Z638" t="s">
        <v>345</v>
      </c>
      <c r="AA638" t="s">
        <v>346</v>
      </c>
      <c r="AB638" t="s">
        <v>131</v>
      </c>
      <c r="AC638" t="s">
        <v>51</v>
      </c>
      <c r="AD638" t="s">
        <v>45</v>
      </c>
      <c r="AE638" s="1">
        <v>32344</v>
      </c>
      <c r="AF638">
        <v>2</v>
      </c>
      <c r="AG638" t="s">
        <v>346</v>
      </c>
      <c r="AH638" s="36">
        <f t="shared" si="9"/>
        <v>30.869444444444444</v>
      </c>
      <c r="AI638" s="40" t="s">
        <v>1778</v>
      </c>
    </row>
    <row r="639" spans="1:35" x14ac:dyDescent="0.25">
      <c r="A639" s="36">
        <v>99910637</v>
      </c>
      <c r="B639" s="17" t="s">
        <v>32</v>
      </c>
      <c r="C639" t="s">
        <v>139</v>
      </c>
      <c r="D639" t="s">
        <v>140</v>
      </c>
      <c r="G639" s="17" t="s">
        <v>35</v>
      </c>
      <c r="H639" s="17">
        <v>1</v>
      </c>
      <c r="I639">
        <v>15954</v>
      </c>
      <c r="J639" s="1">
        <v>43344</v>
      </c>
      <c r="K639" t="s">
        <v>877</v>
      </c>
      <c r="L639" t="s">
        <v>878</v>
      </c>
      <c r="M639" t="s">
        <v>131</v>
      </c>
      <c r="N639">
        <v>5</v>
      </c>
      <c r="O639" t="s">
        <v>40</v>
      </c>
      <c r="S639" t="s">
        <v>40</v>
      </c>
      <c r="U639" s="1">
        <v>43344</v>
      </c>
      <c r="V639" t="s">
        <v>41</v>
      </c>
      <c r="W639" t="s">
        <v>75</v>
      </c>
      <c r="X639" t="str">
        <f>"7541020"</f>
        <v>7541020</v>
      </c>
      <c r="Y639" t="s">
        <v>882</v>
      </c>
      <c r="Z639" t="s">
        <v>877</v>
      </c>
      <c r="AA639" t="s">
        <v>878</v>
      </c>
      <c r="AB639" t="s">
        <v>131</v>
      </c>
      <c r="AC639" t="s">
        <v>44</v>
      </c>
      <c r="AD639" t="s">
        <v>45</v>
      </c>
      <c r="AE639" s="1">
        <v>32340</v>
      </c>
      <c r="AF639">
        <v>1</v>
      </c>
      <c r="AG639" t="s">
        <v>878</v>
      </c>
      <c r="AH639" s="36">
        <f t="shared" si="9"/>
        <v>30.880555555555556</v>
      </c>
      <c r="AI639" s="40" t="s">
        <v>1778</v>
      </c>
    </row>
    <row r="640" spans="1:35" x14ac:dyDescent="0.25">
      <c r="A640" s="36">
        <v>99910638</v>
      </c>
      <c r="B640" s="17" t="s">
        <v>56</v>
      </c>
      <c r="C640" t="s">
        <v>111</v>
      </c>
      <c r="D640" t="s">
        <v>112</v>
      </c>
      <c r="G640" s="17" t="s">
        <v>35</v>
      </c>
      <c r="H640" s="17">
        <v>1</v>
      </c>
      <c r="I640" t="s">
        <v>1197</v>
      </c>
      <c r="J640" s="1">
        <v>43344</v>
      </c>
      <c r="K640" t="s">
        <v>1198</v>
      </c>
      <c r="L640" t="s">
        <v>1199</v>
      </c>
      <c r="M640" t="s">
        <v>1130</v>
      </c>
      <c r="N640">
        <v>24</v>
      </c>
      <c r="O640" t="s">
        <v>40</v>
      </c>
      <c r="P640" t="s">
        <v>40</v>
      </c>
      <c r="Q640" t="s">
        <v>40</v>
      </c>
      <c r="R640" t="s">
        <v>40</v>
      </c>
      <c r="S640" t="s">
        <v>40</v>
      </c>
      <c r="U640" s="1">
        <v>43344</v>
      </c>
      <c r="V640" t="s">
        <v>41</v>
      </c>
      <c r="W640" t="s">
        <v>75</v>
      </c>
      <c r="X640" t="str">
        <f>"7311006"</f>
        <v>7311006</v>
      </c>
      <c r="Y640" t="s">
        <v>1200</v>
      </c>
      <c r="Z640" t="s">
        <v>1198</v>
      </c>
      <c r="AA640" t="s">
        <v>1199</v>
      </c>
      <c r="AB640" t="s">
        <v>1130</v>
      </c>
      <c r="AC640" t="s">
        <v>44</v>
      </c>
      <c r="AD640" t="s">
        <v>45</v>
      </c>
      <c r="AE640" s="1">
        <v>32336</v>
      </c>
      <c r="AF640">
        <v>1</v>
      </c>
      <c r="AG640" t="s">
        <v>1199</v>
      </c>
      <c r="AH640" s="36">
        <f t="shared" si="9"/>
        <v>30.891666666666666</v>
      </c>
      <c r="AI640" s="40" t="s">
        <v>1778</v>
      </c>
    </row>
    <row r="641" spans="1:35" x14ac:dyDescent="0.25">
      <c r="A641" s="36">
        <v>99910639</v>
      </c>
      <c r="B641" s="17" t="s">
        <v>32</v>
      </c>
      <c r="C641" t="s">
        <v>58</v>
      </c>
      <c r="D641" t="s">
        <v>59</v>
      </c>
      <c r="G641" s="17" t="s">
        <v>35</v>
      </c>
      <c r="H641" s="17">
        <v>1</v>
      </c>
      <c r="I641" t="s">
        <v>977</v>
      </c>
      <c r="J641" s="1">
        <v>43344</v>
      </c>
      <c r="K641" t="s">
        <v>947</v>
      </c>
      <c r="L641" t="s">
        <v>948</v>
      </c>
      <c r="M641" t="s">
        <v>938</v>
      </c>
      <c r="N641">
        <v>6</v>
      </c>
      <c r="O641" t="s">
        <v>40</v>
      </c>
      <c r="S641" t="s">
        <v>40</v>
      </c>
      <c r="U641" s="1">
        <v>43344</v>
      </c>
      <c r="V641" t="s">
        <v>41</v>
      </c>
      <c r="W641" t="s">
        <v>49</v>
      </c>
      <c r="X641" t="str">
        <f>"0605000"</f>
        <v>0605000</v>
      </c>
      <c r="Y641" t="s">
        <v>950</v>
      </c>
      <c r="Z641" t="s">
        <v>947</v>
      </c>
      <c r="AA641" t="s">
        <v>948</v>
      </c>
      <c r="AB641" t="s">
        <v>938</v>
      </c>
      <c r="AC641" t="s">
        <v>51</v>
      </c>
      <c r="AD641" t="s">
        <v>45</v>
      </c>
      <c r="AE641" s="1">
        <v>32334</v>
      </c>
      <c r="AF641">
        <v>2</v>
      </c>
      <c r="AG641" t="s">
        <v>948</v>
      </c>
      <c r="AH641" s="36">
        <f t="shared" si="9"/>
        <v>30.897222222222222</v>
      </c>
      <c r="AI641" s="40" t="s">
        <v>1778</v>
      </c>
    </row>
    <row r="642" spans="1:35" x14ac:dyDescent="0.25">
      <c r="A642" s="36">
        <v>99910640</v>
      </c>
      <c r="B642" s="17" t="s">
        <v>32</v>
      </c>
      <c r="C642" t="s">
        <v>111</v>
      </c>
      <c r="D642" t="s">
        <v>112</v>
      </c>
      <c r="G642" s="17" t="s">
        <v>35</v>
      </c>
      <c r="H642" s="17">
        <v>1</v>
      </c>
      <c r="I642" s="1">
        <v>42619</v>
      </c>
      <c r="J642" s="1">
        <v>43344</v>
      </c>
      <c r="K642" t="s">
        <v>1341</v>
      </c>
      <c r="L642" t="s">
        <v>1342</v>
      </c>
      <c r="M642" t="s">
        <v>1270</v>
      </c>
      <c r="N642">
        <v>24</v>
      </c>
      <c r="O642" t="s">
        <v>40</v>
      </c>
      <c r="S642" t="s">
        <v>40</v>
      </c>
      <c r="U642" s="1">
        <v>43344</v>
      </c>
      <c r="V642" t="s">
        <v>41</v>
      </c>
      <c r="W642" t="s">
        <v>75</v>
      </c>
      <c r="X642" t="str">
        <f>"7191004"</f>
        <v>7191004</v>
      </c>
      <c r="Y642" t="s">
        <v>1344</v>
      </c>
      <c r="Z642" t="s">
        <v>1341</v>
      </c>
      <c r="AA642" t="s">
        <v>1342</v>
      </c>
      <c r="AB642" t="s">
        <v>1270</v>
      </c>
      <c r="AC642" t="s">
        <v>51</v>
      </c>
      <c r="AD642" t="s">
        <v>45</v>
      </c>
      <c r="AE642" s="1">
        <v>32331</v>
      </c>
      <c r="AF642">
        <v>1</v>
      </c>
      <c r="AG642" t="s">
        <v>1342</v>
      </c>
      <c r="AH642" s="36">
        <f t="shared" ref="AH642:AH705" si="10">($AJ$1-AE642)/360</f>
        <v>30.905555555555555</v>
      </c>
      <c r="AI642" s="40" t="s">
        <v>1778</v>
      </c>
    </row>
    <row r="643" spans="1:35" x14ac:dyDescent="0.25">
      <c r="A643" s="36">
        <v>99910641</v>
      </c>
      <c r="B643" s="17" t="s">
        <v>32</v>
      </c>
      <c r="C643" t="s">
        <v>90</v>
      </c>
      <c r="D643" t="s">
        <v>91</v>
      </c>
      <c r="G643" s="17" t="s">
        <v>35</v>
      </c>
      <c r="H643" s="17">
        <v>1</v>
      </c>
      <c r="I643">
        <v>9538</v>
      </c>
      <c r="J643" s="1">
        <v>43346</v>
      </c>
      <c r="K643" t="s">
        <v>354</v>
      </c>
      <c r="L643" t="s">
        <v>355</v>
      </c>
      <c r="M643" t="s">
        <v>131</v>
      </c>
      <c r="N643">
        <v>25</v>
      </c>
      <c r="O643" t="s">
        <v>40</v>
      </c>
      <c r="S643" t="s">
        <v>40</v>
      </c>
      <c r="U643" s="1">
        <v>43346</v>
      </c>
      <c r="V643" t="s">
        <v>41</v>
      </c>
      <c r="W643" t="s">
        <v>95</v>
      </c>
      <c r="X643" t="str">
        <f>"7054029"</f>
        <v>7054029</v>
      </c>
      <c r="Y643" t="s">
        <v>849</v>
      </c>
      <c r="Z643" t="s">
        <v>354</v>
      </c>
      <c r="AA643" t="s">
        <v>355</v>
      </c>
      <c r="AB643" t="s">
        <v>131</v>
      </c>
      <c r="AC643" t="s">
        <v>55</v>
      </c>
      <c r="AD643" t="s">
        <v>45</v>
      </c>
      <c r="AE643" s="1">
        <v>32325</v>
      </c>
      <c r="AF643">
        <v>1</v>
      </c>
      <c r="AG643" t="s">
        <v>355</v>
      </c>
      <c r="AH643" s="36">
        <f t="shared" si="10"/>
        <v>30.922222222222221</v>
      </c>
      <c r="AI643" s="40" t="s">
        <v>1778</v>
      </c>
    </row>
    <row r="644" spans="1:35" x14ac:dyDescent="0.25">
      <c r="A644" s="36">
        <v>99910642</v>
      </c>
      <c r="B644" s="17" t="s">
        <v>56</v>
      </c>
      <c r="C644" t="s">
        <v>52</v>
      </c>
      <c r="D644" t="s">
        <v>53</v>
      </c>
      <c r="G644" s="17" t="s">
        <v>35</v>
      </c>
      <c r="H644" s="17">
        <v>1</v>
      </c>
      <c r="I644">
        <v>8701</v>
      </c>
      <c r="J644" s="1">
        <v>42978</v>
      </c>
      <c r="K644" t="s">
        <v>1325</v>
      </c>
      <c r="L644" t="s">
        <v>1326</v>
      </c>
      <c r="M644" t="s">
        <v>1270</v>
      </c>
      <c r="N644">
        <v>23</v>
      </c>
      <c r="O644" t="s">
        <v>40</v>
      </c>
      <c r="P644" t="s">
        <v>40</v>
      </c>
      <c r="Q644" t="s">
        <v>40</v>
      </c>
      <c r="R644" t="s">
        <v>40</v>
      </c>
      <c r="S644" t="s">
        <v>40</v>
      </c>
      <c r="U644" s="1">
        <v>42979</v>
      </c>
      <c r="V644" t="s">
        <v>41</v>
      </c>
      <c r="W644" t="s">
        <v>42</v>
      </c>
      <c r="X644" t="str">
        <f>"3980100"</f>
        <v>3980100</v>
      </c>
      <c r="Y644" t="s">
        <v>1328</v>
      </c>
      <c r="Z644" t="s">
        <v>1325</v>
      </c>
      <c r="AA644" t="s">
        <v>1326</v>
      </c>
      <c r="AB644" t="s">
        <v>1270</v>
      </c>
      <c r="AC644" t="s">
        <v>51</v>
      </c>
      <c r="AD644" t="s">
        <v>45</v>
      </c>
      <c r="AE644" s="1">
        <v>32325</v>
      </c>
      <c r="AF644">
        <v>2</v>
      </c>
      <c r="AG644" t="s">
        <v>1326</v>
      </c>
      <c r="AH644" s="36">
        <f t="shared" si="10"/>
        <v>30.922222222222221</v>
      </c>
      <c r="AI644" s="40" t="s">
        <v>1778</v>
      </c>
    </row>
    <row r="645" spans="1:35" x14ac:dyDescent="0.25">
      <c r="A645" s="36">
        <v>99910643</v>
      </c>
      <c r="B645" s="17" t="s">
        <v>32</v>
      </c>
      <c r="C645" t="s">
        <v>854</v>
      </c>
      <c r="D645" t="s">
        <v>855</v>
      </c>
      <c r="G645" s="17" t="s">
        <v>35</v>
      </c>
      <c r="H645" s="17">
        <v>1</v>
      </c>
      <c r="I645">
        <v>14598</v>
      </c>
      <c r="J645" s="1">
        <v>43344</v>
      </c>
      <c r="K645" t="s">
        <v>354</v>
      </c>
      <c r="L645" t="s">
        <v>355</v>
      </c>
      <c r="M645" t="s">
        <v>131</v>
      </c>
      <c r="N645">
        <v>18</v>
      </c>
      <c r="O645" t="s">
        <v>40</v>
      </c>
      <c r="Q645" t="s">
        <v>40</v>
      </c>
      <c r="S645" t="s">
        <v>40</v>
      </c>
      <c r="U645" s="1">
        <v>43344</v>
      </c>
      <c r="V645" t="s">
        <v>41</v>
      </c>
      <c r="W645" t="s">
        <v>75</v>
      </c>
      <c r="X645" t="str">
        <f>"7054006"</f>
        <v>7054006</v>
      </c>
      <c r="Y645" t="s">
        <v>774</v>
      </c>
      <c r="Z645" t="s">
        <v>354</v>
      </c>
      <c r="AA645" t="s">
        <v>355</v>
      </c>
      <c r="AB645" t="s">
        <v>131</v>
      </c>
      <c r="AC645" t="s">
        <v>51</v>
      </c>
      <c r="AD645" t="s">
        <v>45</v>
      </c>
      <c r="AE645" s="1">
        <v>32316</v>
      </c>
      <c r="AF645">
        <v>1</v>
      </c>
      <c r="AG645" t="s">
        <v>355</v>
      </c>
      <c r="AH645" s="36">
        <f t="shared" si="10"/>
        <v>30.947222222222223</v>
      </c>
      <c r="AI645" s="40" t="s">
        <v>1778</v>
      </c>
    </row>
    <row r="646" spans="1:35" x14ac:dyDescent="0.25">
      <c r="A646" s="36">
        <v>99910644</v>
      </c>
      <c r="B646" s="17" t="s">
        <v>56</v>
      </c>
      <c r="C646" t="s">
        <v>143</v>
      </c>
      <c r="D646" t="s">
        <v>144</v>
      </c>
      <c r="G646" s="17" t="s">
        <v>35</v>
      </c>
      <c r="H646" s="17">
        <v>1</v>
      </c>
      <c r="I646">
        <v>22627</v>
      </c>
      <c r="J646" s="1">
        <v>43354</v>
      </c>
      <c r="K646" t="s">
        <v>380</v>
      </c>
      <c r="L646" t="s">
        <v>381</v>
      </c>
      <c r="M646" t="s">
        <v>131</v>
      </c>
      <c r="N646">
        <v>3</v>
      </c>
      <c r="O646" t="s">
        <v>40</v>
      </c>
      <c r="P646" t="s">
        <v>40</v>
      </c>
      <c r="Q646" t="s">
        <v>40</v>
      </c>
      <c r="R646" t="s">
        <v>40</v>
      </c>
      <c r="S646" t="s">
        <v>40</v>
      </c>
      <c r="U646" s="1">
        <v>43354</v>
      </c>
      <c r="V646" t="s">
        <v>41</v>
      </c>
      <c r="W646" t="s">
        <v>49</v>
      </c>
      <c r="X646" t="str">
        <f>"0581859"</f>
        <v>0581859</v>
      </c>
      <c r="Y646" t="s">
        <v>394</v>
      </c>
      <c r="Z646" t="s">
        <v>380</v>
      </c>
      <c r="AA646" t="s">
        <v>381</v>
      </c>
      <c r="AB646" t="s">
        <v>131</v>
      </c>
      <c r="AC646" t="s">
        <v>44</v>
      </c>
      <c r="AD646" t="s">
        <v>45</v>
      </c>
      <c r="AE646" s="1">
        <v>32315</v>
      </c>
      <c r="AF646">
        <v>2</v>
      </c>
      <c r="AG646" t="s">
        <v>381</v>
      </c>
      <c r="AH646" s="36">
        <f t="shared" si="10"/>
        <v>30.95</v>
      </c>
      <c r="AI646" s="40" t="s">
        <v>1778</v>
      </c>
    </row>
    <row r="647" spans="1:35" x14ac:dyDescent="0.25">
      <c r="A647" s="36">
        <v>99910645</v>
      </c>
      <c r="B647" s="17" t="s">
        <v>32</v>
      </c>
      <c r="C647" t="s">
        <v>111</v>
      </c>
      <c r="D647" t="s">
        <v>112</v>
      </c>
      <c r="G647" s="17" t="s">
        <v>48</v>
      </c>
      <c r="H647" s="17">
        <v>1</v>
      </c>
      <c r="K647" t="s">
        <v>268</v>
      </c>
      <c r="L647" t="s">
        <v>269</v>
      </c>
      <c r="M647" t="s">
        <v>131</v>
      </c>
      <c r="N647">
        <v>24</v>
      </c>
      <c r="O647" t="s">
        <v>40</v>
      </c>
      <c r="P647" t="s">
        <v>40</v>
      </c>
      <c r="Q647" t="s">
        <v>40</v>
      </c>
      <c r="S647" t="s">
        <v>40</v>
      </c>
      <c r="V647" t="s">
        <v>41</v>
      </c>
      <c r="W647" t="s">
        <v>75</v>
      </c>
      <c r="X647" t="str">
        <f>"7052016"</f>
        <v>7052016</v>
      </c>
      <c r="Y647" t="s">
        <v>588</v>
      </c>
      <c r="Z647" t="s">
        <v>268</v>
      </c>
      <c r="AA647" t="s">
        <v>269</v>
      </c>
      <c r="AB647" t="s">
        <v>131</v>
      </c>
      <c r="AC647" t="s">
        <v>51</v>
      </c>
      <c r="AD647" t="s">
        <v>45</v>
      </c>
      <c r="AE647" s="1">
        <v>32308</v>
      </c>
      <c r="AF647">
        <v>1</v>
      </c>
      <c r="AG647" t="s">
        <v>269</v>
      </c>
      <c r="AH647" s="36">
        <f t="shared" si="10"/>
        <v>30.969444444444445</v>
      </c>
      <c r="AI647" s="40" t="s">
        <v>1778</v>
      </c>
    </row>
    <row r="648" spans="1:35" x14ac:dyDescent="0.25">
      <c r="A648" s="36">
        <v>99910646</v>
      </c>
      <c r="B648" s="17" t="s">
        <v>32</v>
      </c>
      <c r="C648" t="s">
        <v>111</v>
      </c>
      <c r="D648" t="s">
        <v>112</v>
      </c>
      <c r="G648" s="17" t="s">
        <v>35</v>
      </c>
      <c r="H648" s="17">
        <v>1</v>
      </c>
      <c r="I648" t="s">
        <v>831</v>
      </c>
      <c r="J648" s="1">
        <v>43344</v>
      </c>
      <c r="K648" t="s">
        <v>354</v>
      </c>
      <c r="L648" t="s">
        <v>355</v>
      </c>
      <c r="M648" t="s">
        <v>131</v>
      </c>
      <c r="N648">
        <v>24</v>
      </c>
      <c r="O648" t="s">
        <v>40</v>
      </c>
      <c r="S648" t="s">
        <v>40</v>
      </c>
      <c r="U648" s="1">
        <v>43344</v>
      </c>
      <c r="V648" t="s">
        <v>41</v>
      </c>
      <c r="W648" t="s">
        <v>75</v>
      </c>
      <c r="X648" t="str">
        <f>"7054032"</f>
        <v>7054032</v>
      </c>
      <c r="Y648" t="s">
        <v>767</v>
      </c>
      <c r="Z648" t="s">
        <v>354</v>
      </c>
      <c r="AA648" t="s">
        <v>355</v>
      </c>
      <c r="AB648" t="s">
        <v>131</v>
      </c>
      <c r="AC648" t="s">
        <v>51</v>
      </c>
      <c r="AD648" t="s">
        <v>45</v>
      </c>
      <c r="AE648" s="1">
        <v>32308</v>
      </c>
      <c r="AF648">
        <v>1</v>
      </c>
      <c r="AG648" t="s">
        <v>355</v>
      </c>
      <c r="AH648" s="36">
        <f t="shared" si="10"/>
        <v>30.969444444444445</v>
      </c>
      <c r="AI648" s="40" t="s">
        <v>1778</v>
      </c>
    </row>
    <row r="649" spans="1:35" x14ac:dyDescent="0.25">
      <c r="A649" s="36">
        <v>99910647</v>
      </c>
      <c r="B649" s="17" t="s">
        <v>56</v>
      </c>
      <c r="C649" t="s">
        <v>259</v>
      </c>
      <c r="D649" t="s">
        <v>260</v>
      </c>
      <c r="G649" s="17" t="s">
        <v>35</v>
      </c>
      <c r="H649" s="17">
        <v>1</v>
      </c>
      <c r="I649" t="s">
        <v>338</v>
      </c>
      <c r="J649" s="1">
        <v>43344</v>
      </c>
      <c r="K649" t="s">
        <v>300</v>
      </c>
      <c r="L649" t="s">
        <v>301</v>
      </c>
      <c r="M649" t="s">
        <v>131</v>
      </c>
      <c r="N649">
        <v>10</v>
      </c>
      <c r="O649" t="s">
        <v>40</v>
      </c>
      <c r="P649" t="s">
        <v>40</v>
      </c>
      <c r="Q649" t="s">
        <v>40</v>
      </c>
      <c r="S649" t="s">
        <v>40</v>
      </c>
      <c r="U649" s="1">
        <v>43344</v>
      </c>
      <c r="V649" t="s">
        <v>41</v>
      </c>
      <c r="W649" t="s">
        <v>49</v>
      </c>
      <c r="X649" t="str">
        <f>"0560020"</f>
        <v>0560020</v>
      </c>
      <c r="Y649" t="s">
        <v>302</v>
      </c>
      <c r="Z649" t="s">
        <v>300</v>
      </c>
      <c r="AA649" t="s">
        <v>301</v>
      </c>
      <c r="AB649" t="s">
        <v>131</v>
      </c>
      <c r="AC649" t="s">
        <v>51</v>
      </c>
      <c r="AD649" t="s">
        <v>45</v>
      </c>
      <c r="AE649" s="1">
        <v>32298</v>
      </c>
      <c r="AF649">
        <v>2</v>
      </c>
      <c r="AG649" t="s">
        <v>301</v>
      </c>
      <c r="AH649" s="36">
        <f t="shared" si="10"/>
        <v>30.997222222222224</v>
      </c>
      <c r="AI649" s="40" t="s">
        <v>1778</v>
      </c>
    </row>
    <row r="650" spans="1:35" x14ac:dyDescent="0.25">
      <c r="A650" s="36">
        <v>99910648</v>
      </c>
      <c r="B650" s="17" t="s">
        <v>32</v>
      </c>
      <c r="C650" t="s">
        <v>111</v>
      </c>
      <c r="D650" t="s">
        <v>112</v>
      </c>
      <c r="G650" s="17" t="s">
        <v>48</v>
      </c>
      <c r="H650" s="17">
        <v>5</v>
      </c>
      <c r="I650" t="s">
        <v>214</v>
      </c>
      <c r="J650" s="1">
        <v>41153</v>
      </c>
      <c r="K650" t="s">
        <v>431</v>
      </c>
      <c r="L650" t="s">
        <v>196</v>
      </c>
      <c r="M650" t="s">
        <v>131</v>
      </c>
      <c r="N650">
        <v>24</v>
      </c>
      <c r="O650" t="s">
        <v>40</v>
      </c>
      <c r="P650" t="s">
        <v>40</v>
      </c>
      <c r="Q650" t="s">
        <v>40</v>
      </c>
      <c r="R650" t="s">
        <v>40</v>
      </c>
      <c r="S650" t="s">
        <v>40</v>
      </c>
      <c r="U650" s="1">
        <v>41153</v>
      </c>
      <c r="V650" t="s">
        <v>41</v>
      </c>
      <c r="W650" t="s">
        <v>75</v>
      </c>
      <c r="X650" t="str">
        <f>"7521022"</f>
        <v>7521022</v>
      </c>
      <c r="Y650" t="s">
        <v>445</v>
      </c>
      <c r="Z650" t="s">
        <v>431</v>
      </c>
      <c r="AA650" t="s">
        <v>196</v>
      </c>
      <c r="AB650" t="s">
        <v>131</v>
      </c>
      <c r="AC650" t="s">
        <v>51</v>
      </c>
      <c r="AD650" t="s">
        <v>45</v>
      </c>
      <c r="AE650" s="1">
        <v>32295</v>
      </c>
      <c r="AF650">
        <v>1</v>
      </c>
      <c r="AG650" t="s">
        <v>196</v>
      </c>
      <c r="AH650" s="36">
        <f t="shared" si="10"/>
        <v>31.005555555555556</v>
      </c>
      <c r="AI650" s="40" t="s">
        <v>1778</v>
      </c>
    </row>
    <row r="651" spans="1:35" x14ac:dyDescent="0.25">
      <c r="A651" s="36">
        <v>99910649</v>
      </c>
      <c r="B651" s="17" t="s">
        <v>32</v>
      </c>
      <c r="C651" t="s">
        <v>143</v>
      </c>
      <c r="D651" t="s">
        <v>144</v>
      </c>
      <c r="G651" s="17" t="s">
        <v>35</v>
      </c>
      <c r="H651" s="17">
        <v>1</v>
      </c>
      <c r="I651" t="s">
        <v>715</v>
      </c>
      <c r="J651" s="1">
        <v>43344</v>
      </c>
      <c r="K651" t="s">
        <v>268</v>
      </c>
      <c r="L651" t="s">
        <v>269</v>
      </c>
      <c r="M651" t="s">
        <v>131</v>
      </c>
      <c r="N651">
        <v>24</v>
      </c>
      <c r="O651" t="s">
        <v>40</v>
      </c>
      <c r="P651" t="s">
        <v>40</v>
      </c>
      <c r="Q651" t="s">
        <v>40</v>
      </c>
      <c r="S651" t="s">
        <v>40</v>
      </c>
      <c r="U651" s="1">
        <v>43344</v>
      </c>
      <c r="V651" t="s">
        <v>41</v>
      </c>
      <c r="W651" t="s">
        <v>75</v>
      </c>
      <c r="X651" t="str">
        <f>"7052006"</f>
        <v>7052006</v>
      </c>
      <c r="Y651" t="s">
        <v>575</v>
      </c>
      <c r="Z651" t="s">
        <v>268</v>
      </c>
      <c r="AA651" t="s">
        <v>269</v>
      </c>
      <c r="AB651" t="s">
        <v>131</v>
      </c>
      <c r="AC651" t="s">
        <v>55</v>
      </c>
      <c r="AD651" t="s">
        <v>45</v>
      </c>
      <c r="AE651" s="1">
        <v>32295</v>
      </c>
      <c r="AF651">
        <v>1</v>
      </c>
      <c r="AG651" t="s">
        <v>269</v>
      </c>
      <c r="AH651" s="36">
        <f t="shared" si="10"/>
        <v>31.005555555555556</v>
      </c>
      <c r="AI651" s="40" t="s">
        <v>1778</v>
      </c>
    </row>
    <row r="652" spans="1:35" x14ac:dyDescent="0.25">
      <c r="A652" s="36">
        <v>99910650</v>
      </c>
      <c r="B652" s="17" t="s">
        <v>32</v>
      </c>
      <c r="C652" t="s">
        <v>90</v>
      </c>
      <c r="D652" t="s">
        <v>91</v>
      </c>
      <c r="G652" s="17" t="s">
        <v>35</v>
      </c>
      <c r="H652" s="17">
        <v>1</v>
      </c>
      <c r="I652">
        <v>1779526</v>
      </c>
      <c r="J652" s="1">
        <v>43344</v>
      </c>
      <c r="K652" t="s">
        <v>268</v>
      </c>
      <c r="L652" t="s">
        <v>269</v>
      </c>
      <c r="M652" t="s">
        <v>131</v>
      </c>
      <c r="N652">
        <v>20</v>
      </c>
      <c r="O652" t="s">
        <v>40</v>
      </c>
      <c r="S652" t="s">
        <v>40</v>
      </c>
      <c r="V652" t="s">
        <v>41</v>
      </c>
      <c r="W652" t="s">
        <v>95</v>
      </c>
      <c r="X652" t="str">
        <f>"7052189"</f>
        <v>7052189</v>
      </c>
      <c r="Y652" t="s">
        <v>585</v>
      </c>
      <c r="Z652" t="s">
        <v>268</v>
      </c>
      <c r="AA652" t="s">
        <v>269</v>
      </c>
      <c r="AB652" t="s">
        <v>131</v>
      </c>
      <c r="AC652" t="s">
        <v>51</v>
      </c>
      <c r="AD652" t="s">
        <v>45</v>
      </c>
      <c r="AE652" s="1">
        <v>32293</v>
      </c>
      <c r="AF652">
        <v>1</v>
      </c>
      <c r="AG652" t="s">
        <v>269</v>
      </c>
      <c r="AH652" s="36">
        <f t="shared" si="10"/>
        <v>31.011111111111113</v>
      </c>
      <c r="AI652" s="40" t="s">
        <v>1778</v>
      </c>
    </row>
    <row r="653" spans="1:35" x14ac:dyDescent="0.25">
      <c r="A653" s="36">
        <v>99910651</v>
      </c>
      <c r="B653" s="17" t="s">
        <v>32</v>
      </c>
      <c r="C653" t="s">
        <v>111</v>
      </c>
      <c r="D653" t="s">
        <v>112</v>
      </c>
      <c r="G653" s="17" t="s">
        <v>35</v>
      </c>
      <c r="H653" s="17">
        <v>1</v>
      </c>
      <c r="I653" t="s">
        <v>1355</v>
      </c>
      <c r="J653" s="1">
        <v>42620</v>
      </c>
      <c r="K653" t="s">
        <v>1341</v>
      </c>
      <c r="L653" t="s">
        <v>1342</v>
      </c>
      <c r="M653" t="s">
        <v>1270</v>
      </c>
      <c r="N653">
        <v>24</v>
      </c>
      <c r="O653" t="s">
        <v>40</v>
      </c>
      <c r="P653" t="s">
        <v>40</v>
      </c>
      <c r="Q653" t="s">
        <v>40</v>
      </c>
      <c r="R653" t="s">
        <v>40</v>
      </c>
      <c r="S653" t="s">
        <v>40</v>
      </c>
      <c r="U653" s="1">
        <v>42620</v>
      </c>
      <c r="V653" t="s">
        <v>41</v>
      </c>
      <c r="W653" t="s">
        <v>75</v>
      </c>
      <c r="X653" t="str">
        <f>"7191006"</f>
        <v>7191006</v>
      </c>
      <c r="Y653" t="s">
        <v>1351</v>
      </c>
      <c r="Z653" t="s">
        <v>1341</v>
      </c>
      <c r="AA653" t="s">
        <v>1342</v>
      </c>
      <c r="AB653" t="s">
        <v>1270</v>
      </c>
      <c r="AC653" t="s">
        <v>51</v>
      </c>
      <c r="AD653" t="s">
        <v>45</v>
      </c>
      <c r="AE653" s="1">
        <v>32293</v>
      </c>
      <c r="AF653">
        <v>1</v>
      </c>
      <c r="AG653" t="s">
        <v>1342</v>
      </c>
      <c r="AH653" s="36">
        <f t="shared" si="10"/>
        <v>31.011111111111113</v>
      </c>
      <c r="AI653" s="40" t="s">
        <v>1778</v>
      </c>
    </row>
    <row r="654" spans="1:35" x14ac:dyDescent="0.25">
      <c r="A654" s="36">
        <v>99910652</v>
      </c>
      <c r="B654" s="17" t="s">
        <v>56</v>
      </c>
      <c r="C654" t="s">
        <v>79</v>
      </c>
      <c r="D654" t="s">
        <v>80</v>
      </c>
      <c r="G654" s="17" t="s">
        <v>35</v>
      </c>
      <c r="H654" s="17">
        <v>1</v>
      </c>
      <c r="I654">
        <v>22517</v>
      </c>
      <c r="J654" s="1">
        <v>43371</v>
      </c>
      <c r="K654" t="s">
        <v>300</v>
      </c>
      <c r="L654" t="s">
        <v>301</v>
      </c>
      <c r="M654" t="s">
        <v>131</v>
      </c>
      <c r="N654">
        <v>7</v>
      </c>
      <c r="O654" t="s">
        <v>40</v>
      </c>
      <c r="P654" t="s">
        <v>40</v>
      </c>
      <c r="Q654" t="s">
        <v>40</v>
      </c>
      <c r="R654" t="s">
        <v>40</v>
      </c>
      <c r="S654" t="s">
        <v>40</v>
      </c>
      <c r="U654" s="1">
        <v>43371</v>
      </c>
      <c r="V654" t="s">
        <v>41</v>
      </c>
      <c r="W654" t="s">
        <v>42</v>
      </c>
      <c r="X654" t="str">
        <f>"0580106"</f>
        <v>0580106</v>
      </c>
      <c r="Y654" t="s">
        <v>306</v>
      </c>
      <c r="Z654" t="s">
        <v>300</v>
      </c>
      <c r="AA654" t="s">
        <v>301</v>
      </c>
      <c r="AB654" t="s">
        <v>131</v>
      </c>
      <c r="AC654" t="s">
        <v>44</v>
      </c>
      <c r="AD654" t="s">
        <v>45</v>
      </c>
      <c r="AE654" s="1">
        <v>32291</v>
      </c>
      <c r="AF654">
        <v>2</v>
      </c>
      <c r="AG654" t="s">
        <v>301</v>
      </c>
      <c r="AH654" s="36">
        <f t="shared" si="10"/>
        <v>31.016666666666666</v>
      </c>
      <c r="AI654" s="40" t="s">
        <v>1778</v>
      </c>
    </row>
    <row r="655" spans="1:35" x14ac:dyDescent="0.25">
      <c r="A655" s="36">
        <v>99910653</v>
      </c>
      <c r="B655" s="17" t="s">
        <v>32</v>
      </c>
      <c r="C655" t="s">
        <v>111</v>
      </c>
      <c r="D655" t="s">
        <v>112</v>
      </c>
      <c r="G655" s="17" t="s">
        <v>35</v>
      </c>
      <c r="H655" s="17">
        <v>1</v>
      </c>
      <c r="I655">
        <v>8797</v>
      </c>
      <c r="J655" s="1">
        <v>43344</v>
      </c>
      <c r="K655" t="s">
        <v>354</v>
      </c>
      <c r="L655" t="s">
        <v>355</v>
      </c>
      <c r="M655" t="s">
        <v>131</v>
      </c>
      <c r="N655">
        <v>24</v>
      </c>
      <c r="O655" t="s">
        <v>40</v>
      </c>
      <c r="S655" t="s">
        <v>40</v>
      </c>
      <c r="U655" s="1">
        <v>43344</v>
      </c>
      <c r="V655" t="s">
        <v>41</v>
      </c>
      <c r="W655" t="s">
        <v>75</v>
      </c>
      <c r="X655" t="str">
        <f>"7054042"</f>
        <v>7054042</v>
      </c>
      <c r="Y655" t="s">
        <v>776</v>
      </c>
      <c r="Z655" t="s">
        <v>354</v>
      </c>
      <c r="AA655" t="s">
        <v>355</v>
      </c>
      <c r="AB655" t="s">
        <v>131</v>
      </c>
      <c r="AC655" t="s">
        <v>44</v>
      </c>
      <c r="AD655" t="s">
        <v>45</v>
      </c>
      <c r="AE655" s="1">
        <v>32285</v>
      </c>
      <c r="AF655">
        <v>1</v>
      </c>
      <c r="AG655" t="s">
        <v>355</v>
      </c>
      <c r="AH655" s="36">
        <f t="shared" si="10"/>
        <v>31.033333333333335</v>
      </c>
      <c r="AI655" s="40" t="s">
        <v>1778</v>
      </c>
    </row>
    <row r="656" spans="1:35" x14ac:dyDescent="0.25">
      <c r="A656" s="36">
        <v>99910654</v>
      </c>
      <c r="B656" s="17" t="s">
        <v>32</v>
      </c>
      <c r="C656" t="s">
        <v>58</v>
      </c>
      <c r="D656" t="s">
        <v>59</v>
      </c>
      <c r="G656" s="17" t="s">
        <v>35</v>
      </c>
      <c r="H656" s="17">
        <v>1</v>
      </c>
      <c r="I656">
        <v>8138</v>
      </c>
      <c r="J656" s="1">
        <v>43350</v>
      </c>
      <c r="K656" t="s">
        <v>1051</v>
      </c>
      <c r="L656" t="s">
        <v>1052</v>
      </c>
      <c r="M656" t="s">
        <v>1053</v>
      </c>
      <c r="N656">
        <v>15</v>
      </c>
      <c r="O656" t="s">
        <v>40</v>
      </c>
      <c r="P656" t="s">
        <v>40</v>
      </c>
      <c r="Q656" t="s">
        <v>40</v>
      </c>
      <c r="S656" t="s">
        <v>40</v>
      </c>
      <c r="U656" s="1">
        <v>43350</v>
      </c>
      <c r="V656" t="s">
        <v>41</v>
      </c>
      <c r="W656" t="s">
        <v>42</v>
      </c>
      <c r="X656" t="str">
        <f>"2061004"</f>
        <v>2061004</v>
      </c>
      <c r="Y656" t="s">
        <v>1055</v>
      </c>
      <c r="Z656" t="s">
        <v>1051</v>
      </c>
      <c r="AA656" t="s">
        <v>1052</v>
      </c>
      <c r="AB656" t="s">
        <v>1053</v>
      </c>
      <c r="AC656" t="s">
        <v>51</v>
      </c>
      <c r="AD656" t="s">
        <v>45</v>
      </c>
      <c r="AE656" s="1">
        <v>32283</v>
      </c>
      <c r="AF656">
        <v>2</v>
      </c>
      <c r="AG656" t="s">
        <v>1052</v>
      </c>
      <c r="AH656" s="36">
        <f t="shared" si="10"/>
        <v>31.038888888888888</v>
      </c>
      <c r="AI656" s="40" t="s">
        <v>1778</v>
      </c>
    </row>
    <row r="657" spans="1:37" x14ac:dyDescent="0.25">
      <c r="A657" s="36">
        <v>99910655</v>
      </c>
      <c r="B657" s="17" t="s">
        <v>32</v>
      </c>
      <c r="C657" t="s">
        <v>111</v>
      </c>
      <c r="D657" t="s">
        <v>112</v>
      </c>
      <c r="G657" s="17" t="s">
        <v>35</v>
      </c>
      <c r="H657" s="17">
        <v>1</v>
      </c>
      <c r="K657" t="s">
        <v>268</v>
      </c>
      <c r="L657" t="s">
        <v>269</v>
      </c>
      <c r="M657" t="s">
        <v>131</v>
      </c>
      <c r="N657">
        <v>24</v>
      </c>
      <c r="O657" t="s">
        <v>40</v>
      </c>
      <c r="P657" t="s">
        <v>40</v>
      </c>
      <c r="Q657" t="s">
        <v>40</v>
      </c>
      <c r="R657" t="s">
        <v>40</v>
      </c>
      <c r="S657" t="s">
        <v>40</v>
      </c>
      <c r="V657" t="s">
        <v>41</v>
      </c>
      <c r="W657" t="s">
        <v>75</v>
      </c>
      <c r="X657" t="str">
        <f>"7052000"</f>
        <v>7052000</v>
      </c>
      <c r="Y657" t="s">
        <v>656</v>
      </c>
      <c r="Z657" t="s">
        <v>268</v>
      </c>
      <c r="AA657" t="s">
        <v>269</v>
      </c>
      <c r="AB657" t="s">
        <v>131</v>
      </c>
      <c r="AC657" t="s">
        <v>51</v>
      </c>
      <c r="AD657" t="s">
        <v>45</v>
      </c>
      <c r="AE657" s="1">
        <v>32280</v>
      </c>
      <c r="AF657">
        <v>1</v>
      </c>
      <c r="AG657" t="s">
        <v>269</v>
      </c>
      <c r="AH657" s="36">
        <f t="shared" si="10"/>
        <v>31.047222222222221</v>
      </c>
      <c r="AI657" s="40" t="s">
        <v>1778</v>
      </c>
    </row>
    <row r="658" spans="1:37" x14ac:dyDescent="0.25">
      <c r="A658" s="36">
        <v>99910656</v>
      </c>
      <c r="B658" s="17" t="s">
        <v>56</v>
      </c>
      <c r="C658" t="s">
        <v>257</v>
      </c>
      <c r="D658" t="s">
        <v>258</v>
      </c>
      <c r="E658" t="s">
        <v>61</v>
      </c>
      <c r="F658" t="s">
        <v>62</v>
      </c>
      <c r="G658" s="17" t="s">
        <v>48</v>
      </c>
      <c r="H658" s="17">
        <v>1</v>
      </c>
      <c r="I658" t="s">
        <v>1299</v>
      </c>
      <c r="J658" s="1">
        <v>43417</v>
      </c>
      <c r="K658" t="s">
        <v>1268</v>
      </c>
      <c r="L658" t="s">
        <v>1269</v>
      </c>
      <c r="M658" t="s">
        <v>1270</v>
      </c>
      <c r="N658">
        <v>23</v>
      </c>
      <c r="O658" t="s">
        <v>40</v>
      </c>
      <c r="P658" t="s">
        <v>40</v>
      </c>
      <c r="Q658" t="s">
        <v>40</v>
      </c>
      <c r="R658" t="s">
        <v>40</v>
      </c>
      <c r="S658" t="s">
        <v>40</v>
      </c>
      <c r="U658" s="1">
        <v>43417</v>
      </c>
      <c r="V658" t="s">
        <v>41</v>
      </c>
      <c r="W658" t="s">
        <v>49</v>
      </c>
      <c r="X658" t="str">
        <f>"1960001"</f>
        <v>1960001</v>
      </c>
      <c r="Y658" t="s">
        <v>1272</v>
      </c>
      <c r="Z658" t="s">
        <v>1268</v>
      </c>
      <c r="AA658" t="s">
        <v>1269</v>
      </c>
      <c r="AB658" t="s">
        <v>1270</v>
      </c>
      <c r="AC658" t="s">
        <v>44</v>
      </c>
      <c r="AD658" t="s">
        <v>45</v>
      </c>
      <c r="AE658" s="1">
        <v>32280</v>
      </c>
      <c r="AF658">
        <v>2</v>
      </c>
      <c r="AG658" t="s">
        <v>1269</v>
      </c>
      <c r="AH658" s="36">
        <f t="shared" si="10"/>
        <v>31.047222222222221</v>
      </c>
      <c r="AI658" s="40" t="s">
        <v>1778</v>
      </c>
    </row>
    <row r="659" spans="1:37" x14ac:dyDescent="0.25">
      <c r="A659" s="36">
        <v>99910657</v>
      </c>
      <c r="B659" s="17" t="s">
        <v>32</v>
      </c>
      <c r="C659" t="s">
        <v>111</v>
      </c>
      <c r="D659" t="s">
        <v>112</v>
      </c>
      <c r="G659" s="17" t="s">
        <v>88</v>
      </c>
      <c r="H659" s="17">
        <v>4</v>
      </c>
      <c r="K659" t="s">
        <v>1426</v>
      </c>
      <c r="L659" t="s">
        <v>1427</v>
      </c>
      <c r="M659" t="s">
        <v>1270</v>
      </c>
      <c r="N659">
        <v>24</v>
      </c>
      <c r="O659" t="s">
        <v>40</v>
      </c>
      <c r="P659" t="s">
        <v>40</v>
      </c>
      <c r="Q659" t="s">
        <v>40</v>
      </c>
      <c r="R659" t="s">
        <v>40</v>
      </c>
      <c r="S659" t="s">
        <v>40</v>
      </c>
      <c r="V659" t="s">
        <v>41</v>
      </c>
      <c r="W659" t="s">
        <v>75</v>
      </c>
      <c r="X659" t="str">
        <f>"7192000"</f>
        <v>7192000</v>
      </c>
      <c r="Y659" t="s">
        <v>1429</v>
      </c>
      <c r="Z659" t="s">
        <v>1426</v>
      </c>
      <c r="AA659" t="s">
        <v>1427</v>
      </c>
      <c r="AB659" t="s">
        <v>1270</v>
      </c>
      <c r="AC659" t="s">
        <v>51</v>
      </c>
      <c r="AD659" t="s">
        <v>45</v>
      </c>
      <c r="AE659" s="1">
        <v>32273</v>
      </c>
      <c r="AF659">
        <v>1</v>
      </c>
      <c r="AG659" t="s">
        <v>1427</v>
      </c>
      <c r="AH659" s="36">
        <f t="shared" si="10"/>
        <v>31.066666666666666</v>
      </c>
      <c r="AI659" s="40" t="s">
        <v>1778</v>
      </c>
    </row>
    <row r="660" spans="1:37" x14ac:dyDescent="0.25">
      <c r="A660" s="36">
        <v>99910658</v>
      </c>
      <c r="B660" s="17" t="s">
        <v>56</v>
      </c>
      <c r="C660" t="s">
        <v>111</v>
      </c>
      <c r="D660" t="s">
        <v>112</v>
      </c>
      <c r="G660" s="17" t="s">
        <v>48</v>
      </c>
      <c r="H660" s="17">
        <v>1</v>
      </c>
      <c r="K660" t="s">
        <v>268</v>
      </c>
      <c r="L660" t="s">
        <v>269</v>
      </c>
      <c r="M660" t="s">
        <v>131</v>
      </c>
      <c r="N660">
        <v>24</v>
      </c>
      <c r="O660" t="s">
        <v>40</v>
      </c>
      <c r="P660" t="s">
        <v>40</v>
      </c>
      <c r="Q660" t="s">
        <v>40</v>
      </c>
      <c r="S660" t="s">
        <v>40</v>
      </c>
      <c r="V660" t="s">
        <v>41</v>
      </c>
      <c r="W660" t="s">
        <v>75</v>
      </c>
      <c r="X660" t="str">
        <f>"7052008"</f>
        <v>7052008</v>
      </c>
      <c r="Y660" t="s">
        <v>274</v>
      </c>
      <c r="Z660" t="s">
        <v>268</v>
      </c>
      <c r="AA660" t="s">
        <v>269</v>
      </c>
      <c r="AB660" t="s">
        <v>131</v>
      </c>
      <c r="AC660" t="s">
        <v>51</v>
      </c>
      <c r="AD660" t="s">
        <v>45</v>
      </c>
      <c r="AE660" s="1">
        <v>32269</v>
      </c>
      <c r="AF660">
        <v>1</v>
      </c>
      <c r="AG660" t="s">
        <v>269</v>
      </c>
      <c r="AH660" s="36">
        <f t="shared" si="10"/>
        <v>31.077777777777779</v>
      </c>
      <c r="AI660" s="40" t="s">
        <v>1778</v>
      </c>
    </row>
    <row r="661" spans="1:37" x14ac:dyDescent="0.25">
      <c r="A661" s="36">
        <v>99910659</v>
      </c>
      <c r="B661" s="17" t="s">
        <v>32</v>
      </c>
      <c r="C661" t="s">
        <v>111</v>
      </c>
      <c r="D661" t="s">
        <v>112</v>
      </c>
      <c r="G661" s="17" t="s">
        <v>35</v>
      </c>
      <c r="H661" s="17">
        <v>1</v>
      </c>
      <c r="I661">
        <v>9727</v>
      </c>
      <c r="J661" s="1">
        <v>43344</v>
      </c>
      <c r="K661" t="s">
        <v>1198</v>
      </c>
      <c r="L661" t="s">
        <v>1199</v>
      </c>
      <c r="M661" t="s">
        <v>1130</v>
      </c>
      <c r="N661">
        <v>24</v>
      </c>
      <c r="O661" t="s">
        <v>40</v>
      </c>
      <c r="S661" t="s">
        <v>40</v>
      </c>
      <c r="U661" s="1">
        <v>43344</v>
      </c>
      <c r="V661" t="s">
        <v>41</v>
      </c>
      <c r="W661" t="s">
        <v>75</v>
      </c>
      <c r="X661" t="str">
        <f>"7311002"</f>
        <v>7311002</v>
      </c>
      <c r="Y661" t="s">
        <v>1203</v>
      </c>
      <c r="Z661" t="s">
        <v>1198</v>
      </c>
      <c r="AA661" t="s">
        <v>1199</v>
      </c>
      <c r="AB661" t="s">
        <v>1130</v>
      </c>
      <c r="AC661" t="s">
        <v>51</v>
      </c>
      <c r="AD661" t="s">
        <v>45</v>
      </c>
      <c r="AE661" s="1">
        <v>32266</v>
      </c>
      <c r="AF661">
        <v>1</v>
      </c>
      <c r="AG661" t="s">
        <v>1199</v>
      </c>
      <c r="AH661" s="36">
        <f t="shared" si="10"/>
        <v>31.086111111111112</v>
      </c>
      <c r="AI661" s="40" t="s">
        <v>1778</v>
      </c>
    </row>
    <row r="662" spans="1:37" x14ac:dyDescent="0.25">
      <c r="A662" s="36">
        <v>99910660</v>
      </c>
      <c r="B662" s="17" t="s">
        <v>32</v>
      </c>
      <c r="C662" t="s">
        <v>111</v>
      </c>
      <c r="D662" t="s">
        <v>112</v>
      </c>
      <c r="G662" s="17" t="s">
        <v>88</v>
      </c>
      <c r="H662" s="17">
        <v>3</v>
      </c>
      <c r="I662" t="s">
        <v>513</v>
      </c>
      <c r="J662" s="1">
        <v>41153</v>
      </c>
      <c r="K662" t="s">
        <v>195</v>
      </c>
      <c r="L662" t="s">
        <v>196</v>
      </c>
      <c r="M662" t="s">
        <v>131</v>
      </c>
      <c r="N662">
        <v>24</v>
      </c>
      <c r="O662" t="s">
        <v>40</v>
      </c>
      <c r="P662" t="s">
        <v>40</v>
      </c>
      <c r="Q662" t="s">
        <v>40</v>
      </c>
      <c r="R662" t="s">
        <v>40</v>
      </c>
      <c r="S662" t="s">
        <v>40</v>
      </c>
      <c r="U662" s="1">
        <v>41153</v>
      </c>
      <c r="V662" t="s">
        <v>41</v>
      </c>
      <c r="W662" t="s">
        <v>75</v>
      </c>
      <c r="X662" t="str">
        <f>"7521052"</f>
        <v>7521052</v>
      </c>
      <c r="Y662" t="s">
        <v>443</v>
      </c>
      <c r="Z662" t="s">
        <v>195</v>
      </c>
      <c r="AA662" t="s">
        <v>196</v>
      </c>
      <c r="AB662" t="s">
        <v>131</v>
      </c>
      <c r="AC662" t="s">
        <v>51</v>
      </c>
      <c r="AD662" t="s">
        <v>45</v>
      </c>
      <c r="AE662" s="1">
        <v>32265</v>
      </c>
      <c r="AF662">
        <v>1</v>
      </c>
      <c r="AG662" t="s">
        <v>196</v>
      </c>
      <c r="AH662" s="36">
        <f t="shared" si="10"/>
        <v>31.088888888888889</v>
      </c>
      <c r="AI662" s="40" t="s">
        <v>1778</v>
      </c>
    </row>
    <row r="663" spans="1:37" x14ac:dyDescent="0.25">
      <c r="A663" s="36">
        <v>99910661</v>
      </c>
      <c r="B663" s="17" t="s">
        <v>32</v>
      </c>
      <c r="C663" t="s">
        <v>90</v>
      </c>
      <c r="D663" t="s">
        <v>91</v>
      </c>
      <c r="G663" s="17" t="s">
        <v>35</v>
      </c>
      <c r="H663" s="17">
        <v>1</v>
      </c>
      <c r="I663">
        <v>5</v>
      </c>
      <c r="J663" s="1">
        <v>43355</v>
      </c>
      <c r="K663" t="s">
        <v>101</v>
      </c>
      <c r="L663" t="s">
        <v>102</v>
      </c>
      <c r="M663" t="s">
        <v>39</v>
      </c>
      <c r="N663">
        <v>25</v>
      </c>
      <c r="O663" t="s">
        <v>40</v>
      </c>
      <c r="S663" t="s">
        <v>40</v>
      </c>
      <c r="U663" s="1">
        <v>43355</v>
      </c>
      <c r="V663" t="s">
        <v>41</v>
      </c>
      <c r="W663" t="s">
        <v>95</v>
      </c>
      <c r="X663" t="str">
        <f>"7111007"</f>
        <v>7111007</v>
      </c>
      <c r="Y663" t="s">
        <v>104</v>
      </c>
      <c r="Z663" t="s">
        <v>101</v>
      </c>
      <c r="AA663" t="s">
        <v>102</v>
      </c>
      <c r="AB663" t="s">
        <v>39</v>
      </c>
      <c r="AC663" t="s">
        <v>44</v>
      </c>
      <c r="AD663" t="s">
        <v>45</v>
      </c>
      <c r="AE663" s="1">
        <v>32260</v>
      </c>
      <c r="AF663">
        <v>1</v>
      </c>
      <c r="AG663" t="s">
        <v>102</v>
      </c>
      <c r="AH663" s="36">
        <f t="shared" si="10"/>
        <v>31.102777777777778</v>
      </c>
      <c r="AI663" s="40" t="s">
        <v>1778</v>
      </c>
    </row>
    <row r="664" spans="1:37" x14ac:dyDescent="0.25">
      <c r="A664" s="36">
        <v>99910662</v>
      </c>
      <c r="B664" s="17" t="s">
        <v>32</v>
      </c>
      <c r="C664" t="s">
        <v>61</v>
      </c>
      <c r="D664" t="s">
        <v>62</v>
      </c>
      <c r="G664" s="17" t="s">
        <v>35</v>
      </c>
      <c r="H664" s="17">
        <v>1</v>
      </c>
      <c r="I664" t="s">
        <v>63</v>
      </c>
      <c r="J664" s="1">
        <v>43344</v>
      </c>
      <c r="K664" t="s">
        <v>37</v>
      </c>
      <c r="L664" t="s">
        <v>38</v>
      </c>
      <c r="M664" t="s">
        <v>39</v>
      </c>
      <c r="N664">
        <v>15</v>
      </c>
      <c r="O664" t="s">
        <v>40</v>
      </c>
      <c r="P664" t="s">
        <v>40</v>
      </c>
      <c r="Q664" t="s">
        <v>40</v>
      </c>
      <c r="R664" t="s">
        <v>40</v>
      </c>
      <c r="S664" t="s">
        <v>40</v>
      </c>
      <c r="U664" s="1">
        <v>43344</v>
      </c>
      <c r="V664" t="s">
        <v>41</v>
      </c>
      <c r="W664" t="s">
        <v>49</v>
      </c>
      <c r="X664" t="str">
        <f>"3781010"</f>
        <v>3781010</v>
      </c>
      <c r="Y664" t="s">
        <v>50</v>
      </c>
      <c r="Z664" t="s">
        <v>37</v>
      </c>
      <c r="AA664" t="s">
        <v>38</v>
      </c>
      <c r="AB664" t="s">
        <v>39</v>
      </c>
      <c r="AC664" t="s">
        <v>44</v>
      </c>
      <c r="AD664" t="s">
        <v>45</v>
      </c>
      <c r="AE664" s="1">
        <v>32259</v>
      </c>
      <c r="AF664">
        <v>2</v>
      </c>
      <c r="AG664" t="s">
        <v>38</v>
      </c>
      <c r="AH664" s="36">
        <f t="shared" si="10"/>
        <v>31.105555555555554</v>
      </c>
      <c r="AI664" s="40" t="s">
        <v>1778</v>
      </c>
      <c r="AJ664" s="37"/>
      <c r="AK664" s="36"/>
    </row>
    <row r="665" spans="1:37" x14ac:dyDescent="0.25">
      <c r="A665" s="36">
        <v>99910663</v>
      </c>
      <c r="B665" s="17" t="s">
        <v>32</v>
      </c>
      <c r="C665" t="s">
        <v>111</v>
      </c>
      <c r="D665" t="s">
        <v>112</v>
      </c>
      <c r="G665" s="17" t="s">
        <v>35</v>
      </c>
      <c r="H665" s="17">
        <v>3</v>
      </c>
      <c r="I665" t="s">
        <v>619</v>
      </c>
      <c r="J665" s="1">
        <v>43344</v>
      </c>
      <c r="K665" t="s">
        <v>268</v>
      </c>
      <c r="L665" t="s">
        <v>269</v>
      </c>
      <c r="M665" t="s">
        <v>131</v>
      </c>
      <c r="N665">
        <v>24</v>
      </c>
      <c r="O665" t="s">
        <v>40</v>
      </c>
      <c r="P665" t="s">
        <v>40</v>
      </c>
      <c r="Q665" t="s">
        <v>40</v>
      </c>
      <c r="R665" t="s">
        <v>40</v>
      </c>
      <c r="S665" t="s">
        <v>40</v>
      </c>
      <c r="U665" s="1">
        <v>43344</v>
      </c>
      <c r="V665" t="s">
        <v>41</v>
      </c>
      <c r="W665" t="s">
        <v>75</v>
      </c>
      <c r="X665" t="str">
        <f>"7052004"</f>
        <v>7052004</v>
      </c>
      <c r="Y665" t="s">
        <v>584</v>
      </c>
      <c r="Z665" t="s">
        <v>268</v>
      </c>
      <c r="AA665" t="s">
        <v>269</v>
      </c>
      <c r="AB665" t="s">
        <v>131</v>
      </c>
      <c r="AC665" t="s">
        <v>44</v>
      </c>
      <c r="AD665" t="s">
        <v>45</v>
      </c>
      <c r="AE665" s="1">
        <v>32254</v>
      </c>
      <c r="AF665">
        <v>1</v>
      </c>
      <c r="AG665" t="s">
        <v>269</v>
      </c>
      <c r="AH665" s="36">
        <f t="shared" si="10"/>
        <v>31.119444444444444</v>
      </c>
      <c r="AI665" s="40" t="s">
        <v>1778</v>
      </c>
    </row>
    <row r="666" spans="1:37" x14ac:dyDescent="0.25">
      <c r="A666" s="36">
        <v>99910664</v>
      </c>
      <c r="B666" s="17" t="s">
        <v>32</v>
      </c>
      <c r="C666" t="s">
        <v>79</v>
      </c>
      <c r="D666" t="s">
        <v>80</v>
      </c>
      <c r="G666" s="17" t="s">
        <v>35</v>
      </c>
      <c r="H666" s="17">
        <v>3</v>
      </c>
      <c r="I666" t="s">
        <v>1680</v>
      </c>
      <c r="J666" s="1">
        <v>43344</v>
      </c>
      <c r="K666" t="s">
        <v>1619</v>
      </c>
      <c r="L666" t="s">
        <v>1620</v>
      </c>
      <c r="M666" t="s">
        <v>1592</v>
      </c>
      <c r="N666">
        <v>11</v>
      </c>
      <c r="O666" t="s">
        <v>40</v>
      </c>
      <c r="P666" t="s">
        <v>40</v>
      </c>
      <c r="Q666" t="s">
        <v>40</v>
      </c>
      <c r="R666" t="s">
        <v>40</v>
      </c>
      <c r="S666" t="s">
        <v>40</v>
      </c>
      <c r="U666" s="1">
        <v>43344</v>
      </c>
      <c r="V666" t="s">
        <v>41</v>
      </c>
      <c r="W666" t="s">
        <v>75</v>
      </c>
      <c r="X666" t="str">
        <f>"7281002"</f>
        <v>7281002</v>
      </c>
      <c r="Y666" t="s">
        <v>1660</v>
      </c>
      <c r="Z666" t="s">
        <v>1619</v>
      </c>
      <c r="AA666" t="s">
        <v>1620</v>
      </c>
      <c r="AB666" t="s">
        <v>1592</v>
      </c>
      <c r="AC666" t="s">
        <v>44</v>
      </c>
      <c r="AD666" t="s">
        <v>45</v>
      </c>
      <c r="AE666" s="1">
        <v>32254</v>
      </c>
      <c r="AF666">
        <v>1</v>
      </c>
      <c r="AG666" t="s">
        <v>1620</v>
      </c>
      <c r="AH666" s="36">
        <f t="shared" si="10"/>
        <v>31.119444444444444</v>
      </c>
      <c r="AI666" s="40" t="s">
        <v>1778</v>
      </c>
    </row>
    <row r="667" spans="1:37" x14ac:dyDescent="0.25">
      <c r="A667" s="36">
        <v>99910665</v>
      </c>
      <c r="B667" s="17" t="s">
        <v>32</v>
      </c>
      <c r="C667" t="s">
        <v>90</v>
      </c>
      <c r="D667" t="s">
        <v>91</v>
      </c>
      <c r="G667" s="17" t="s">
        <v>35</v>
      </c>
      <c r="H667" s="17">
        <v>1</v>
      </c>
      <c r="I667" t="s">
        <v>99</v>
      </c>
      <c r="J667" s="1">
        <v>43413</v>
      </c>
      <c r="K667" t="s">
        <v>93</v>
      </c>
      <c r="L667" t="s">
        <v>94</v>
      </c>
      <c r="M667" t="s">
        <v>39</v>
      </c>
      <c r="N667">
        <v>25</v>
      </c>
      <c r="O667" t="s">
        <v>40</v>
      </c>
      <c r="S667" t="s">
        <v>40</v>
      </c>
      <c r="U667" s="1">
        <v>43413</v>
      </c>
      <c r="V667" t="s">
        <v>41</v>
      </c>
      <c r="W667" t="s">
        <v>95</v>
      </c>
      <c r="X667" t="str">
        <f>"7091003"</f>
        <v>7091003</v>
      </c>
      <c r="Y667" t="s">
        <v>96</v>
      </c>
      <c r="Z667" t="s">
        <v>93</v>
      </c>
      <c r="AA667" t="s">
        <v>94</v>
      </c>
      <c r="AB667" t="s">
        <v>39</v>
      </c>
      <c r="AC667" t="s">
        <v>44</v>
      </c>
      <c r="AD667" t="s">
        <v>45</v>
      </c>
      <c r="AE667" s="1">
        <v>32249</v>
      </c>
      <c r="AF667">
        <v>1</v>
      </c>
      <c r="AG667" t="s">
        <v>94</v>
      </c>
      <c r="AH667" s="36">
        <f t="shared" si="10"/>
        <v>31.133333333333333</v>
      </c>
      <c r="AI667" s="40" t="s">
        <v>1778</v>
      </c>
    </row>
    <row r="668" spans="1:37" x14ac:dyDescent="0.25">
      <c r="A668" s="36">
        <v>99910666</v>
      </c>
      <c r="B668" s="17" t="s">
        <v>32</v>
      </c>
      <c r="C668" t="s">
        <v>111</v>
      </c>
      <c r="D668" t="s">
        <v>112</v>
      </c>
      <c r="G668" s="17" t="s">
        <v>35</v>
      </c>
      <c r="H668" s="17">
        <v>1</v>
      </c>
      <c r="K668" t="s">
        <v>1581</v>
      </c>
      <c r="L668" t="s">
        <v>1582</v>
      </c>
      <c r="M668" t="s">
        <v>1548</v>
      </c>
      <c r="N668">
        <v>24</v>
      </c>
      <c r="O668" t="s">
        <v>40</v>
      </c>
      <c r="P668" t="s">
        <v>40</v>
      </c>
      <c r="Q668" t="s">
        <v>40</v>
      </c>
      <c r="S668" t="s">
        <v>40</v>
      </c>
      <c r="V668" t="s">
        <v>41</v>
      </c>
      <c r="W668" t="s">
        <v>75</v>
      </c>
      <c r="X668" t="str">
        <f>"7291002"</f>
        <v>7291002</v>
      </c>
      <c r="Y668" t="s">
        <v>1583</v>
      </c>
      <c r="Z668" t="s">
        <v>1581</v>
      </c>
      <c r="AA668" t="s">
        <v>1582</v>
      </c>
      <c r="AB668" t="s">
        <v>1548</v>
      </c>
      <c r="AC668" t="s">
        <v>51</v>
      </c>
      <c r="AD668" t="s">
        <v>45</v>
      </c>
      <c r="AE668" s="1">
        <v>32247</v>
      </c>
      <c r="AF668">
        <v>1</v>
      </c>
      <c r="AG668" t="s">
        <v>1582</v>
      </c>
      <c r="AH668" s="36">
        <f t="shared" si="10"/>
        <v>31.138888888888889</v>
      </c>
      <c r="AI668" s="40" t="s">
        <v>1778</v>
      </c>
    </row>
    <row r="669" spans="1:37" x14ac:dyDescent="0.25">
      <c r="A669" s="36">
        <v>99910667</v>
      </c>
      <c r="B669" s="17" t="s">
        <v>32</v>
      </c>
      <c r="C669" t="s">
        <v>111</v>
      </c>
      <c r="D669" t="s">
        <v>112</v>
      </c>
      <c r="G669" s="17" t="s">
        <v>35</v>
      </c>
      <c r="H669" s="17">
        <v>3</v>
      </c>
      <c r="I669" t="s">
        <v>489</v>
      </c>
      <c r="J669" s="1">
        <v>42317</v>
      </c>
      <c r="K669" t="s">
        <v>1619</v>
      </c>
      <c r="L669" t="s">
        <v>1620</v>
      </c>
      <c r="M669" t="s">
        <v>1592</v>
      </c>
      <c r="N669">
        <v>24</v>
      </c>
      <c r="O669" t="s">
        <v>40</v>
      </c>
      <c r="P669" t="s">
        <v>40</v>
      </c>
      <c r="Q669" t="s">
        <v>40</v>
      </c>
      <c r="R669" t="s">
        <v>40</v>
      </c>
      <c r="S669" t="s">
        <v>40</v>
      </c>
      <c r="U669" s="1">
        <v>42317</v>
      </c>
      <c r="V669" t="s">
        <v>41</v>
      </c>
      <c r="W669" t="s">
        <v>75</v>
      </c>
      <c r="X669" t="str">
        <f>"7281000"</f>
        <v>7281000</v>
      </c>
      <c r="Y669" t="s">
        <v>1648</v>
      </c>
      <c r="Z669" t="s">
        <v>1619</v>
      </c>
      <c r="AA669" t="s">
        <v>1620</v>
      </c>
      <c r="AB669" t="s">
        <v>1592</v>
      </c>
      <c r="AC669" t="s">
        <v>51</v>
      </c>
      <c r="AD669" t="s">
        <v>45</v>
      </c>
      <c r="AE669" s="1">
        <v>32247</v>
      </c>
      <c r="AF669">
        <v>1</v>
      </c>
      <c r="AG669" t="s">
        <v>1620</v>
      </c>
      <c r="AH669" s="36">
        <f t="shared" si="10"/>
        <v>31.138888888888889</v>
      </c>
      <c r="AI669" s="40" t="s">
        <v>1778</v>
      </c>
    </row>
    <row r="670" spans="1:37" x14ac:dyDescent="0.25">
      <c r="A670" s="36">
        <v>99910668</v>
      </c>
      <c r="B670" s="17" t="s">
        <v>32</v>
      </c>
      <c r="C670" t="s">
        <v>111</v>
      </c>
      <c r="D670" t="s">
        <v>112</v>
      </c>
      <c r="G670" s="17" t="s">
        <v>35</v>
      </c>
      <c r="H670" s="17">
        <v>1</v>
      </c>
      <c r="K670" t="s">
        <v>877</v>
      </c>
      <c r="L670" t="s">
        <v>878</v>
      </c>
      <c r="M670" t="s">
        <v>131</v>
      </c>
      <c r="N670">
        <v>23</v>
      </c>
      <c r="O670" t="s">
        <v>40</v>
      </c>
      <c r="P670" t="s">
        <v>40</v>
      </c>
      <c r="Q670" t="s">
        <v>40</v>
      </c>
      <c r="S670" t="s">
        <v>40</v>
      </c>
      <c r="V670" t="s">
        <v>41</v>
      </c>
      <c r="W670" t="s">
        <v>75</v>
      </c>
      <c r="X670" t="str">
        <f>"7700025"</f>
        <v>7700025</v>
      </c>
      <c r="Y670" t="s">
        <v>880</v>
      </c>
      <c r="Z670" t="s">
        <v>877</v>
      </c>
      <c r="AA670" t="s">
        <v>878</v>
      </c>
      <c r="AB670" t="s">
        <v>131</v>
      </c>
      <c r="AC670" t="s">
        <v>51</v>
      </c>
      <c r="AD670" t="s">
        <v>45</v>
      </c>
      <c r="AE670" s="1">
        <v>32241</v>
      </c>
      <c r="AF670">
        <v>1</v>
      </c>
      <c r="AG670" t="s">
        <v>878</v>
      </c>
      <c r="AH670" s="36">
        <f t="shared" si="10"/>
        <v>31.155555555555555</v>
      </c>
      <c r="AI670" s="40" t="s">
        <v>1778</v>
      </c>
    </row>
    <row r="671" spans="1:37" x14ac:dyDescent="0.25">
      <c r="A671" s="36">
        <v>99910669</v>
      </c>
      <c r="B671" s="17" t="s">
        <v>32</v>
      </c>
      <c r="C671" t="s">
        <v>111</v>
      </c>
      <c r="D671" t="s">
        <v>112</v>
      </c>
      <c r="G671" s="17" t="s">
        <v>35</v>
      </c>
      <c r="H671" s="17">
        <v>1</v>
      </c>
      <c r="K671" t="s">
        <v>268</v>
      </c>
      <c r="L671" t="s">
        <v>269</v>
      </c>
      <c r="M671" t="s">
        <v>131</v>
      </c>
      <c r="N671">
        <v>24</v>
      </c>
      <c r="O671" t="s">
        <v>40</v>
      </c>
      <c r="P671" t="s">
        <v>40</v>
      </c>
      <c r="Q671" t="s">
        <v>40</v>
      </c>
      <c r="R671" t="s">
        <v>40</v>
      </c>
      <c r="S671" t="s">
        <v>40</v>
      </c>
      <c r="V671" t="s">
        <v>41</v>
      </c>
      <c r="W671" t="s">
        <v>75</v>
      </c>
      <c r="X671" t="str">
        <f>"7052000"</f>
        <v>7052000</v>
      </c>
      <c r="Y671" t="s">
        <v>656</v>
      </c>
      <c r="Z671" t="s">
        <v>268</v>
      </c>
      <c r="AA671" t="s">
        <v>269</v>
      </c>
      <c r="AB671" t="s">
        <v>131</v>
      </c>
      <c r="AC671" t="s">
        <v>51</v>
      </c>
      <c r="AD671" t="s">
        <v>45</v>
      </c>
      <c r="AE671" s="1">
        <v>32236</v>
      </c>
      <c r="AF671">
        <v>1</v>
      </c>
      <c r="AG671" t="s">
        <v>269</v>
      </c>
      <c r="AH671" s="36">
        <f t="shared" si="10"/>
        <v>31.169444444444444</v>
      </c>
      <c r="AI671" s="40" t="s">
        <v>1778</v>
      </c>
    </row>
    <row r="672" spans="1:37" x14ac:dyDescent="0.25">
      <c r="A672" s="36">
        <v>99910670</v>
      </c>
      <c r="B672" s="17" t="s">
        <v>32</v>
      </c>
      <c r="C672" t="s">
        <v>90</v>
      </c>
      <c r="D672" t="s">
        <v>91</v>
      </c>
      <c r="G672" s="17" t="s">
        <v>35</v>
      </c>
      <c r="H672" s="17">
        <v>1</v>
      </c>
      <c r="I672">
        <v>1779739</v>
      </c>
      <c r="J672" s="1">
        <v>43344</v>
      </c>
      <c r="K672" t="s">
        <v>268</v>
      </c>
      <c r="L672" t="s">
        <v>269</v>
      </c>
      <c r="M672" t="s">
        <v>131</v>
      </c>
      <c r="N672">
        <v>20</v>
      </c>
      <c r="O672" t="s">
        <v>40</v>
      </c>
      <c r="S672" t="s">
        <v>40</v>
      </c>
      <c r="V672" t="s">
        <v>41</v>
      </c>
      <c r="W672" t="s">
        <v>95</v>
      </c>
      <c r="X672" t="str">
        <f>"7052189"</f>
        <v>7052189</v>
      </c>
      <c r="Y672" t="s">
        <v>585</v>
      </c>
      <c r="Z672" t="s">
        <v>268</v>
      </c>
      <c r="AA672" t="s">
        <v>269</v>
      </c>
      <c r="AB672" t="s">
        <v>131</v>
      </c>
      <c r="AC672" t="s">
        <v>51</v>
      </c>
      <c r="AD672" t="s">
        <v>45</v>
      </c>
      <c r="AE672" s="1">
        <v>32236</v>
      </c>
      <c r="AF672">
        <v>1</v>
      </c>
      <c r="AG672" t="s">
        <v>269</v>
      </c>
      <c r="AH672" s="36">
        <f t="shared" si="10"/>
        <v>31.169444444444444</v>
      </c>
      <c r="AI672" s="40" t="s">
        <v>1778</v>
      </c>
    </row>
    <row r="673" spans="1:35" x14ac:dyDescent="0.25">
      <c r="A673" s="36">
        <v>99910671</v>
      </c>
      <c r="B673" s="17" t="s">
        <v>32</v>
      </c>
      <c r="C673" t="s">
        <v>90</v>
      </c>
      <c r="D673" t="s">
        <v>91</v>
      </c>
      <c r="G673" s="17" t="s">
        <v>35</v>
      </c>
      <c r="H673" s="17">
        <v>1</v>
      </c>
      <c r="I673">
        <v>4797</v>
      </c>
      <c r="J673" s="1">
        <v>43355</v>
      </c>
      <c r="K673" t="s">
        <v>1245</v>
      </c>
      <c r="L673" t="s">
        <v>1246</v>
      </c>
      <c r="M673" t="s">
        <v>1130</v>
      </c>
      <c r="N673">
        <v>25</v>
      </c>
      <c r="O673" t="s">
        <v>40</v>
      </c>
      <c r="S673" t="s">
        <v>40</v>
      </c>
      <c r="U673" s="1">
        <v>43355</v>
      </c>
      <c r="V673" t="s">
        <v>41</v>
      </c>
      <c r="W673" t="s">
        <v>95</v>
      </c>
      <c r="X673" t="str">
        <f>"7451013"</f>
        <v>7451013</v>
      </c>
      <c r="Y673" t="s">
        <v>1248</v>
      </c>
      <c r="Z673" t="s">
        <v>1245</v>
      </c>
      <c r="AA673" t="s">
        <v>1246</v>
      </c>
      <c r="AB673" t="s">
        <v>1130</v>
      </c>
      <c r="AC673" t="s">
        <v>44</v>
      </c>
      <c r="AD673" t="s">
        <v>45</v>
      </c>
      <c r="AE673" s="1">
        <v>32233</v>
      </c>
      <c r="AF673">
        <v>1</v>
      </c>
      <c r="AG673" t="s">
        <v>1246</v>
      </c>
      <c r="AH673" s="36">
        <f t="shared" si="10"/>
        <v>31.177777777777777</v>
      </c>
      <c r="AI673" s="40" t="s">
        <v>1778</v>
      </c>
    </row>
    <row r="674" spans="1:35" x14ac:dyDescent="0.25">
      <c r="A674" s="36">
        <v>99910672</v>
      </c>
      <c r="B674" s="17" t="s">
        <v>32</v>
      </c>
      <c r="C674" t="s">
        <v>90</v>
      </c>
      <c r="D674" t="s">
        <v>91</v>
      </c>
      <c r="G674" s="17" t="s">
        <v>35</v>
      </c>
      <c r="H674" s="17">
        <v>1</v>
      </c>
      <c r="K674" t="s">
        <v>354</v>
      </c>
      <c r="L674" t="s">
        <v>355</v>
      </c>
      <c r="M674" t="s">
        <v>131</v>
      </c>
      <c r="N674">
        <v>25</v>
      </c>
      <c r="O674" t="s">
        <v>40</v>
      </c>
      <c r="P674" t="s">
        <v>40</v>
      </c>
      <c r="Q674" t="s">
        <v>40</v>
      </c>
      <c r="R674" t="s">
        <v>40</v>
      </c>
      <c r="S674" t="s">
        <v>40</v>
      </c>
      <c r="V674" t="s">
        <v>41</v>
      </c>
      <c r="W674" t="s">
        <v>95</v>
      </c>
      <c r="X674" t="str">
        <f>"7054077"</f>
        <v>7054077</v>
      </c>
      <c r="Y674" t="s">
        <v>846</v>
      </c>
      <c r="Z674" t="s">
        <v>354</v>
      </c>
      <c r="AA674" t="s">
        <v>355</v>
      </c>
      <c r="AB674" t="s">
        <v>131</v>
      </c>
      <c r="AC674" t="s">
        <v>51</v>
      </c>
      <c r="AD674" t="s">
        <v>45</v>
      </c>
      <c r="AE674" s="1">
        <v>32231</v>
      </c>
      <c r="AF674">
        <v>1</v>
      </c>
      <c r="AG674" t="s">
        <v>355</v>
      </c>
      <c r="AH674" s="36">
        <f t="shared" si="10"/>
        <v>31.183333333333334</v>
      </c>
      <c r="AI674" s="40" t="s">
        <v>1778</v>
      </c>
    </row>
    <row r="675" spans="1:35" x14ac:dyDescent="0.25">
      <c r="A675" s="36">
        <v>99910673</v>
      </c>
      <c r="B675" s="17" t="s">
        <v>32</v>
      </c>
      <c r="C675" t="s">
        <v>64</v>
      </c>
      <c r="D675" t="s">
        <v>65</v>
      </c>
      <c r="G675" s="17" t="s">
        <v>35</v>
      </c>
      <c r="H675" s="17">
        <v>1</v>
      </c>
      <c r="K675" t="s">
        <v>1081</v>
      </c>
      <c r="L675" t="s">
        <v>1082</v>
      </c>
      <c r="M675" t="s">
        <v>1053</v>
      </c>
      <c r="N675">
        <v>24</v>
      </c>
      <c r="O675" t="s">
        <v>40</v>
      </c>
      <c r="P675" t="s">
        <v>40</v>
      </c>
      <c r="Q675" t="s">
        <v>40</v>
      </c>
      <c r="S675" t="s">
        <v>40</v>
      </c>
      <c r="V675" t="s">
        <v>41</v>
      </c>
      <c r="W675" t="s">
        <v>75</v>
      </c>
      <c r="X675" t="str">
        <f>"7201006"</f>
        <v>7201006</v>
      </c>
      <c r="Y675" t="s">
        <v>1083</v>
      </c>
      <c r="Z675" t="s">
        <v>1081</v>
      </c>
      <c r="AA675" t="s">
        <v>1082</v>
      </c>
      <c r="AB675" t="s">
        <v>1053</v>
      </c>
      <c r="AC675" t="s">
        <v>51</v>
      </c>
      <c r="AD675" t="s">
        <v>45</v>
      </c>
      <c r="AE675" s="1">
        <v>32225</v>
      </c>
      <c r="AF675">
        <v>1</v>
      </c>
      <c r="AG675" t="s">
        <v>1082</v>
      </c>
      <c r="AH675" s="36">
        <f t="shared" si="10"/>
        <v>31.2</v>
      </c>
      <c r="AI675" s="40" t="s">
        <v>1778</v>
      </c>
    </row>
    <row r="676" spans="1:35" x14ac:dyDescent="0.25">
      <c r="A676" s="36">
        <v>99910674</v>
      </c>
      <c r="B676" s="17" t="s">
        <v>32</v>
      </c>
      <c r="C676" t="s">
        <v>111</v>
      </c>
      <c r="D676" t="s">
        <v>112</v>
      </c>
      <c r="G676" s="17" t="s">
        <v>48</v>
      </c>
      <c r="H676" s="17">
        <v>1</v>
      </c>
      <c r="I676" t="s">
        <v>574</v>
      </c>
      <c r="J676" s="1">
        <v>42324</v>
      </c>
      <c r="K676" t="s">
        <v>431</v>
      </c>
      <c r="L676" t="s">
        <v>196</v>
      </c>
      <c r="M676" t="s">
        <v>131</v>
      </c>
      <c r="N676">
        <v>24</v>
      </c>
      <c r="O676" t="s">
        <v>40</v>
      </c>
      <c r="P676" t="s">
        <v>40</v>
      </c>
      <c r="Q676" t="s">
        <v>40</v>
      </c>
      <c r="R676" t="s">
        <v>40</v>
      </c>
      <c r="S676" t="s">
        <v>40</v>
      </c>
      <c r="U676" s="1">
        <v>42324</v>
      </c>
      <c r="V676" t="s">
        <v>41</v>
      </c>
      <c r="W676" t="s">
        <v>75</v>
      </c>
      <c r="X676" t="str">
        <f>"7521016"</f>
        <v>7521016</v>
      </c>
      <c r="Y676" t="s">
        <v>448</v>
      </c>
      <c r="Z676" t="s">
        <v>431</v>
      </c>
      <c r="AA676" t="s">
        <v>196</v>
      </c>
      <c r="AB676" t="s">
        <v>131</v>
      </c>
      <c r="AC676" t="s">
        <v>51</v>
      </c>
      <c r="AD676" t="s">
        <v>45</v>
      </c>
      <c r="AE676" s="1">
        <v>32224</v>
      </c>
      <c r="AF676">
        <v>1</v>
      </c>
      <c r="AG676" t="s">
        <v>196</v>
      </c>
      <c r="AH676" s="36">
        <f t="shared" si="10"/>
        <v>31.202777777777779</v>
      </c>
      <c r="AI676" s="40" t="s">
        <v>1778</v>
      </c>
    </row>
    <row r="677" spans="1:35" x14ac:dyDescent="0.25">
      <c r="A677" s="36">
        <v>99910675</v>
      </c>
      <c r="B677" s="17" t="s">
        <v>32</v>
      </c>
      <c r="C677" t="s">
        <v>111</v>
      </c>
      <c r="D677" t="s">
        <v>112</v>
      </c>
      <c r="G677" s="17" t="s">
        <v>48</v>
      </c>
      <c r="H677" s="17">
        <v>1</v>
      </c>
      <c r="K677" t="s">
        <v>667</v>
      </c>
      <c r="L677" t="s">
        <v>1511</v>
      </c>
      <c r="M677" t="s">
        <v>670</v>
      </c>
      <c r="N677">
        <v>24</v>
      </c>
      <c r="O677" t="s">
        <v>40</v>
      </c>
      <c r="P677" t="s">
        <v>40</v>
      </c>
      <c r="Q677" t="s">
        <v>40</v>
      </c>
      <c r="R677" t="s">
        <v>40</v>
      </c>
      <c r="S677" t="s">
        <v>40</v>
      </c>
      <c r="V677" t="s">
        <v>41</v>
      </c>
      <c r="W677" t="s">
        <v>75</v>
      </c>
      <c r="X677" t="str">
        <f>"7501000"</f>
        <v>7501000</v>
      </c>
      <c r="Y677" t="s">
        <v>668</v>
      </c>
      <c r="Z677" t="s">
        <v>667</v>
      </c>
      <c r="AA677" t="s">
        <v>669</v>
      </c>
      <c r="AB677" t="s">
        <v>670</v>
      </c>
      <c r="AC677" t="s">
        <v>51</v>
      </c>
      <c r="AD677" t="s">
        <v>45</v>
      </c>
      <c r="AE677" s="1">
        <v>32223</v>
      </c>
      <c r="AF677">
        <v>1</v>
      </c>
      <c r="AG677" t="s">
        <v>1511</v>
      </c>
      <c r="AH677" s="36">
        <f t="shared" si="10"/>
        <v>31.205555555555556</v>
      </c>
      <c r="AI677" s="40" t="s">
        <v>1778</v>
      </c>
    </row>
    <row r="678" spans="1:35" x14ac:dyDescent="0.25">
      <c r="A678" s="36">
        <v>99910676</v>
      </c>
      <c r="B678" s="17" t="s">
        <v>32</v>
      </c>
      <c r="C678" t="s">
        <v>111</v>
      </c>
      <c r="D678" t="s">
        <v>112</v>
      </c>
      <c r="G678" s="17" t="s">
        <v>35</v>
      </c>
      <c r="H678" s="17">
        <v>1</v>
      </c>
      <c r="K678" t="s">
        <v>431</v>
      </c>
      <c r="L678" t="s">
        <v>196</v>
      </c>
      <c r="M678" t="s">
        <v>131</v>
      </c>
      <c r="N678">
        <v>24</v>
      </c>
      <c r="O678" t="s">
        <v>40</v>
      </c>
      <c r="P678" t="s">
        <v>40</v>
      </c>
      <c r="Q678" t="s">
        <v>40</v>
      </c>
      <c r="S678" t="s">
        <v>40</v>
      </c>
      <c r="V678" t="s">
        <v>41</v>
      </c>
      <c r="W678" t="s">
        <v>75</v>
      </c>
      <c r="X678" t="str">
        <f>"7521032"</f>
        <v>7521032</v>
      </c>
      <c r="Y678" t="s">
        <v>462</v>
      </c>
      <c r="Z678" t="s">
        <v>431</v>
      </c>
      <c r="AA678" t="s">
        <v>196</v>
      </c>
      <c r="AB678" t="s">
        <v>131</v>
      </c>
      <c r="AC678" t="s">
        <v>51</v>
      </c>
      <c r="AD678" t="s">
        <v>45</v>
      </c>
      <c r="AE678" s="1">
        <v>32222</v>
      </c>
      <c r="AF678">
        <v>1</v>
      </c>
      <c r="AG678" t="s">
        <v>196</v>
      </c>
      <c r="AH678" s="36">
        <f t="shared" si="10"/>
        <v>31.208333333333332</v>
      </c>
      <c r="AI678" s="40" t="s">
        <v>1778</v>
      </c>
    </row>
    <row r="679" spans="1:35" x14ac:dyDescent="0.25">
      <c r="A679" s="36">
        <v>99910677</v>
      </c>
      <c r="B679" s="17" t="s">
        <v>32</v>
      </c>
      <c r="C679" t="s">
        <v>64</v>
      </c>
      <c r="D679" t="s">
        <v>65</v>
      </c>
      <c r="G679" s="17" t="s">
        <v>35</v>
      </c>
      <c r="H679" s="17">
        <v>1</v>
      </c>
      <c r="I679" t="s">
        <v>1080</v>
      </c>
      <c r="J679" s="1">
        <v>43344</v>
      </c>
      <c r="K679" t="s">
        <v>1081</v>
      </c>
      <c r="L679" t="s">
        <v>1082</v>
      </c>
      <c r="M679" t="s">
        <v>1053</v>
      </c>
      <c r="N679">
        <v>22</v>
      </c>
      <c r="O679" t="s">
        <v>40</v>
      </c>
      <c r="P679" t="s">
        <v>40</v>
      </c>
      <c r="Q679" t="s">
        <v>40</v>
      </c>
      <c r="R679" t="s">
        <v>40</v>
      </c>
      <c r="S679" t="s">
        <v>40</v>
      </c>
      <c r="U679" s="1">
        <v>43344</v>
      </c>
      <c r="V679" t="s">
        <v>41</v>
      </c>
      <c r="W679" t="s">
        <v>75</v>
      </c>
      <c r="X679" t="str">
        <f>"7201006"</f>
        <v>7201006</v>
      </c>
      <c r="Y679" t="s">
        <v>1083</v>
      </c>
      <c r="Z679" t="s">
        <v>1081</v>
      </c>
      <c r="AA679" t="s">
        <v>1082</v>
      </c>
      <c r="AB679" t="s">
        <v>1053</v>
      </c>
      <c r="AC679" t="s">
        <v>51</v>
      </c>
      <c r="AD679" t="s">
        <v>45</v>
      </c>
      <c r="AE679" s="1">
        <v>32222</v>
      </c>
      <c r="AF679">
        <v>1</v>
      </c>
      <c r="AG679" t="s">
        <v>1082</v>
      </c>
      <c r="AH679" s="36">
        <f t="shared" si="10"/>
        <v>31.208333333333332</v>
      </c>
      <c r="AI679" s="40" t="s">
        <v>1778</v>
      </c>
    </row>
    <row r="680" spans="1:35" x14ac:dyDescent="0.25">
      <c r="A680" s="36">
        <v>99910678</v>
      </c>
      <c r="B680" s="17" t="s">
        <v>32</v>
      </c>
      <c r="C680" t="s">
        <v>90</v>
      </c>
      <c r="D680" t="s">
        <v>91</v>
      </c>
      <c r="G680" s="17" t="s">
        <v>35</v>
      </c>
      <c r="H680" s="17">
        <v>1</v>
      </c>
      <c r="I680" t="s">
        <v>1405</v>
      </c>
      <c r="J680" s="1">
        <v>43344</v>
      </c>
      <c r="K680" t="s">
        <v>1341</v>
      </c>
      <c r="L680" t="s">
        <v>1342</v>
      </c>
      <c r="M680" t="s">
        <v>1270</v>
      </c>
      <c r="N680">
        <v>24</v>
      </c>
      <c r="O680" t="s">
        <v>40</v>
      </c>
      <c r="S680" t="s">
        <v>40</v>
      </c>
      <c r="U680" s="1">
        <v>43344</v>
      </c>
      <c r="V680" t="s">
        <v>41</v>
      </c>
      <c r="W680" t="s">
        <v>95</v>
      </c>
      <c r="X680" t="str">
        <f>"7191123"</f>
        <v>7191123</v>
      </c>
      <c r="Y680" t="s">
        <v>1411</v>
      </c>
      <c r="Z680" t="s">
        <v>1341</v>
      </c>
      <c r="AA680" t="s">
        <v>1342</v>
      </c>
      <c r="AB680" t="s">
        <v>1270</v>
      </c>
      <c r="AC680" t="s">
        <v>44</v>
      </c>
      <c r="AD680" t="s">
        <v>45</v>
      </c>
      <c r="AE680" s="1">
        <v>32222</v>
      </c>
      <c r="AF680">
        <v>1</v>
      </c>
      <c r="AG680" t="s">
        <v>1342</v>
      </c>
      <c r="AH680" s="36">
        <f t="shared" si="10"/>
        <v>31.208333333333332</v>
      </c>
      <c r="AI680" s="40" t="s">
        <v>1778</v>
      </c>
    </row>
    <row r="681" spans="1:35" x14ac:dyDescent="0.25">
      <c r="A681" s="36">
        <v>99910679</v>
      </c>
      <c r="B681" s="17" t="s">
        <v>32</v>
      </c>
      <c r="C681" t="s">
        <v>90</v>
      </c>
      <c r="D681" t="s">
        <v>91</v>
      </c>
      <c r="G681" s="17" t="s">
        <v>35</v>
      </c>
      <c r="H681" s="17">
        <v>1</v>
      </c>
      <c r="I681">
        <v>20321</v>
      </c>
      <c r="J681" s="1">
        <v>43344</v>
      </c>
      <c r="K681" t="s">
        <v>354</v>
      </c>
      <c r="L681" t="s">
        <v>355</v>
      </c>
      <c r="M681" t="s">
        <v>131</v>
      </c>
      <c r="N681">
        <v>24</v>
      </c>
      <c r="O681" t="s">
        <v>40</v>
      </c>
      <c r="S681" t="s">
        <v>40</v>
      </c>
      <c r="U681" s="1">
        <v>43344</v>
      </c>
      <c r="V681" t="s">
        <v>41</v>
      </c>
      <c r="W681" t="s">
        <v>75</v>
      </c>
      <c r="X681" t="str">
        <f>"7054008"</f>
        <v>7054008</v>
      </c>
      <c r="Y681" t="s">
        <v>813</v>
      </c>
      <c r="Z681" t="s">
        <v>354</v>
      </c>
      <c r="AA681" t="s">
        <v>355</v>
      </c>
      <c r="AB681" t="s">
        <v>131</v>
      </c>
      <c r="AC681" t="s">
        <v>51</v>
      </c>
      <c r="AD681" t="s">
        <v>45</v>
      </c>
      <c r="AE681" s="1">
        <v>32220</v>
      </c>
      <c r="AF681">
        <v>1</v>
      </c>
      <c r="AG681" t="s">
        <v>355</v>
      </c>
      <c r="AH681" s="36">
        <f t="shared" si="10"/>
        <v>31.213888888888889</v>
      </c>
      <c r="AI681" s="40" t="s">
        <v>1778</v>
      </c>
    </row>
    <row r="682" spans="1:35" x14ac:dyDescent="0.25">
      <c r="A682" s="36">
        <v>99910680</v>
      </c>
      <c r="B682" s="17" t="s">
        <v>32</v>
      </c>
      <c r="C682" t="s">
        <v>111</v>
      </c>
      <c r="D682" t="s">
        <v>112</v>
      </c>
      <c r="G682" s="17" t="s">
        <v>48</v>
      </c>
      <c r="H682" s="17">
        <v>4</v>
      </c>
      <c r="K682" t="s">
        <v>1426</v>
      </c>
      <c r="L682" t="s">
        <v>1427</v>
      </c>
      <c r="M682" t="s">
        <v>1270</v>
      </c>
      <c r="N682">
        <v>12</v>
      </c>
      <c r="O682" t="s">
        <v>40</v>
      </c>
      <c r="P682" t="s">
        <v>40</v>
      </c>
      <c r="Q682" t="s">
        <v>40</v>
      </c>
      <c r="R682" t="s">
        <v>40</v>
      </c>
      <c r="S682" t="s">
        <v>40</v>
      </c>
      <c r="V682" t="s">
        <v>41</v>
      </c>
      <c r="W682" t="s">
        <v>75</v>
      </c>
      <c r="X682" t="str">
        <f>"7192004"</f>
        <v>7192004</v>
      </c>
      <c r="Y682" t="s">
        <v>1428</v>
      </c>
      <c r="Z682" t="s">
        <v>1426</v>
      </c>
      <c r="AA682" t="s">
        <v>1427</v>
      </c>
      <c r="AB682" t="s">
        <v>1270</v>
      </c>
      <c r="AC682" t="s">
        <v>51</v>
      </c>
      <c r="AD682" t="s">
        <v>45</v>
      </c>
      <c r="AE682" s="1">
        <v>32216</v>
      </c>
      <c r="AF682">
        <v>1</v>
      </c>
      <c r="AG682" t="s">
        <v>1427</v>
      </c>
      <c r="AH682" s="36">
        <f t="shared" si="10"/>
        <v>31.225000000000001</v>
      </c>
      <c r="AI682" s="40" t="s">
        <v>1778</v>
      </c>
    </row>
    <row r="683" spans="1:35" x14ac:dyDescent="0.25">
      <c r="A683" s="36">
        <v>99910681</v>
      </c>
      <c r="B683" s="17" t="s">
        <v>56</v>
      </c>
      <c r="C683" t="s">
        <v>68</v>
      </c>
      <c r="D683" t="s">
        <v>69</v>
      </c>
      <c r="G683" s="17" t="s">
        <v>35</v>
      </c>
      <c r="H683" s="17">
        <v>1</v>
      </c>
      <c r="I683">
        <v>0</v>
      </c>
      <c r="J683" s="1">
        <v>43344</v>
      </c>
      <c r="K683" t="s">
        <v>223</v>
      </c>
      <c r="L683" t="s">
        <v>224</v>
      </c>
      <c r="M683" t="s">
        <v>131</v>
      </c>
      <c r="N683">
        <v>23</v>
      </c>
      <c r="O683" t="s">
        <v>40</v>
      </c>
      <c r="S683" t="s">
        <v>40</v>
      </c>
      <c r="U683" s="1">
        <v>43344</v>
      </c>
      <c r="V683" t="s">
        <v>41</v>
      </c>
      <c r="W683" t="s">
        <v>49</v>
      </c>
      <c r="X683" t="str">
        <f>"0581207"</f>
        <v>0581207</v>
      </c>
      <c r="Y683" t="s">
        <v>233</v>
      </c>
      <c r="Z683" t="s">
        <v>223</v>
      </c>
      <c r="AA683" t="s">
        <v>224</v>
      </c>
      <c r="AB683" t="s">
        <v>131</v>
      </c>
      <c r="AC683" t="s">
        <v>44</v>
      </c>
      <c r="AD683" t="s">
        <v>45</v>
      </c>
      <c r="AE683" s="1">
        <v>32215</v>
      </c>
      <c r="AF683">
        <v>2</v>
      </c>
      <c r="AG683" t="s">
        <v>224</v>
      </c>
      <c r="AH683" s="36">
        <f t="shared" si="10"/>
        <v>31.227777777777778</v>
      </c>
      <c r="AI683" s="40" t="s">
        <v>1778</v>
      </c>
    </row>
    <row r="684" spans="1:35" x14ac:dyDescent="0.25">
      <c r="A684" s="36">
        <v>99910682</v>
      </c>
      <c r="B684" s="17" t="s">
        <v>32</v>
      </c>
      <c r="C684" t="s">
        <v>90</v>
      </c>
      <c r="D684" t="s">
        <v>91</v>
      </c>
      <c r="G684" s="17" t="s">
        <v>48</v>
      </c>
      <c r="H684" s="17">
        <v>2</v>
      </c>
      <c r="K684" t="s">
        <v>354</v>
      </c>
      <c r="L684" t="s">
        <v>355</v>
      </c>
      <c r="M684" t="s">
        <v>131</v>
      </c>
      <c r="N684">
        <v>25</v>
      </c>
      <c r="O684" t="s">
        <v>40</v>
      </c>
      <c r="P684" t="s">
        <v>40</v>
      </c>
      <c r="Q684" t="s">
        <v>40</v>
      </c>
      <c r="R684" t="s">
        <v>40</v>
      </c>
      <c r="S684" t="s">
        <v>40</v>
      </c>
      <c r="V684" t="s">
        <v>41</v>
      </c>
      <c r="W684" t="s">
        <v>95</v>
      </c>
      <c r="X684" t="str">
        <f>"7054141"</f>
        <v>7054141</v>
      </c>
      <c r="Y684" t="s">
        <v>842</v>
      </c>
      <c r="Z684" t="s">
        <v>354</v>
      </c>
      <c r="AA684" t="s">
        <v>355</v>
      </c>
      <c r="AB684" t="s">
        <v>131</v>
      </c>
      <c r="AC684" t="s">
        <v>51</v>
      </c>
      <c r="AD684" t="s">
        <v>45</v>
      </c>
      <c r="AE684" s="1">
        <v>32213</v>
      </c>
      <c r="AF684">
        <v>1</v>
      </c>
      <c r="AG684" t="s">
        <v>355</v>
      </c>
      <c r="AH684" s="36">
        <f t="shared" si="10"/>
        <v>31.233333333333334</v>
      </c>
      <c r="AI684" s="40" t="s">
        <v>1778</v>
      </c>
    </row>
    <row r="685" spans="1:35" x14ac:dyDescent="0.25">
      <c r="A685" s="36">
        <v>99910683</v>
      </c>
      <c r="B685" s="17" t="s">
        <v>32</v>
      </c>
      <c r="C685" t="s">
        <v>90</v>
      </c>
      <c r="D685" t="s">
        <v>91</v>
      </c>
      <c r="G685" s="17" t="s">
        <v>48</v>
      </c>
      <c r="H685" s="17">
        <v>1</v>
      </c>
      <c r="K685" t="s">
        <v>431</v>
      </c>
      <c r="L685" t="s">
        <v>196</v>
      </c>
      <c r="M685" t="s">
        <v>131</v>
      </c>
      <c r="N685">
        <v>24</v>
      </c>
      <c r="O685" t="s">
        <v>40</v>
      </c>
      <c r="P685" t="s">
        <v>40</v>
      </c>
      <c r="Q685" t="s">
        <v>40</v>
      </c>
      <c r="S685" t="s">
        <v>40</v>
      </c>
      <c r="V685" t="s">
        <v>41</v>
      </c>
      <c r="W685" t="s">
        <v>95</v>
      </c>
      <c r="X685" t="str">
        <f>"7521015"</f>
        <v>7521015</v>
      </c>
      <c r="Y685" t="s">
        <v>527</v>
      </c>
      <c r="Z685" t="s">
        <v>431</v>
      </c>
      <c r="AA685" t="s">
        <v>196</v>
      </c>
      <c r="AB685" t="s">
        <v>131</v>
      </c>
      <c r="AC685" t="s">
        <v>51</v>
      </c>
      <c r="AD685" t="s">
        <v>45</v>
      </c>
      <c r="AE685" s="1">
        <v>32212</v>
      </c>
      <c r="AF685">
        <v>1</v>
      </c>
      <c r="AG685" t="s">
        <v>196</v>
      </c>
      <c r="AH685" s="36">
        <f t="shared" si="10"/>
        <v>31.236111111111111</v>
      </c>
      <c r="AI685" s="40" t="s">
        <v>1778</v>
      </c>
    </row>
    <row r="686" spans="1:35" x14ac:dyDescent="0.25">
      <c r="A686" s="36">
        <v>99910684</v>
      </c>
      <c r="B686" s="17" t="s">
        <v>32</v>
      </c>
      <c r="C686" t="s">
        <v>64</v>
      </c>
      <c r="D686" t="s">
        <v>65</v>
      </c>
      <c r="G686" s="17" t="s">
        <v>35</v>
      </c>
      <c r="H686" s="17">
        <v>1</v>
      </c>
      <c r="I686">
        <v>4544</v>
      </c>
      <c r="J686" s="1">
        <v>43362</v>
      </c>
      <c r="K686" t="s">
        <v>1631</v>
      </c>
      <c r="L686" t="s">
        <v>1632</v>
      </c>
      <c r="M686" t="s">
        <v>1592</v>
      </c>
      <c r="N686">
        <v>6</v>
      </c>
      <c r="O686" t="s">
        <v>40</v>
      </c>
      <c r="S686" t="s">
        <v>40</v>
      </c>
      <c r="U686" s="1">
        <v>43362</v>
      </c>
      <c r="V686" t="s">
        <v>41</v>
      </c>
      <c r="W686" t="s">
        <v>75</v>
      </c>
      <c r="X686" t="str">
        <f>"7021000"</f>
        <v>7021000</v>
      </c>
      <c r="Y686" t="s">
        <v>1633</v>
      </c>
      <c r="Z686" t="s">
        <v>1631</v>
      </c>
      <c r="AA686" t="s">
        <v>1632</v>
      </c>
      <c r="AB686" t="s">
        <v>1592</v>
      </c>
      <c r="AC686" t="s">
        <v>44</v>
      </c>
      <c r="AD686" t="s">
        <v>45</v>
      </c>
      <c r="AE686" s="1">
        <v>32210</v>
      </c>
      <c r="AF686">
        <v>1</v>
      </c>
      <c r="AG686" t="s">
        <v>1632</v>
      </c>
      <c r="AH686" s="36">
        <f t="shared" si="10"/>
        <v>31.241666666666667</v>
      </c>
      <c r="AI686" s="40" t="s">
        <v>1778</v>
      </c>
    </row>
    <row r="687" spans="1:35" x14ac:dyDescent="0.25">
      <c r="A687" s="36">
        <v>99910685</v>
      </c>
      <c r="B687" s="17" t="s">
        <v>32</v>
      </c>
      <c r="C687" t="s">
        <v>90</v>
      </c>
      <c r="D687" t="s">
        <v>91</v>
      </c>
      <c r="G687" s="17" t="s">
        <v>35</v>
      </c>
      <c r="H687" s="17">
        <v>1</v>
      </c>
      <c r="K687" t="s">
        <v>154</v>
      </c>
      <c r="L687" t="s">
        <v>155</v>
      </c>
      <c r="M687" t="s">
        <v>131</v>
      </c>
      <c r="N687">
        <v>24</v>
      </c>
      <c r="O687" t="s">
        <v>40</v>
      </c>
      <c r="P687" t="s">
        <v>40</v>
      </c>
      <c r="Q687" t="s">
        <v>40</v>
      </c>
      <c r="R687" t="s">
        <v>40</v>
      </c>
      <c r="S687" t="s">
        <v>40</v>
      </c>
      <c r="V687" t="s">
        <v>41</v>
      </c>
      <c r="W687" t="s">
        <v>95</v>
      </c>
      <c r="X687" t="str">
        <f>"7051109"</f>
        <v>7051109</v>
      </c>
      <c r="Y687" t="s">
        <v>414</v>
      </c>
      <c r="Z687" t="s">
        <v>154</v>
      </c>
      <c r="AA687" t="s">
        <v>155</v>
      </c>
      <c r="AB687" t="s">
        <v>131</v>
      </c>
      <c r="AC687" t="s">
        <v>51</v>
      </c>
      <c r="AD687" t="s">
        <v>45</v>
      </c>
      <c r="AE687" s="1">
        <v>32206</v>
      </c>
      <c r="AF687">
        <v>1</v>
      </c>
      <c r="AG687" t="s">
        <v>155</v>
      </c>
      <c r="AH687" s="36">
        <f t="shared" si="10"/>
        <v>31.252777777777776</v>
      </c>
      <c r="AI687" s="40" t="s">
        <v>1778</v>
      </c>
    </row>
    <row r="688" spans="1:35" x14ac:dyDescent="0.25">
      <c r="A688" s="36">
        <v>99910686</v>
      </c>
      <c r="B688" s="17" t="s">
        <v>32</v>
      </c>
      <c r="C688" t="s">
        <v>90</v>
      </c>
      <c r="D688" t="s">
        <v>91</v>
      </c>
      <c r="G688" s="17" t="s">
        <v>48</v>
      </c>
      <c r="H688" s="17">
        <v>1</v>
      </c>
      <c r="K688" t="s">
        <v>1341</v>
      </c>
      <c r="L688" t="s">
        <v>1342</v>
      </c>
      <c r="M688" t="s">
        <v>1270</v>
      </c>
      <c r="N688">
        <v>8</v>
      </c>
      <c r="O688" t="s">
        <v>40</v>
      </c>
      <c r="P688" t="s">
        <v>40</v>
      </c>
      <c r="Q688" t="s">
        <v>40</v>
      </c>
      <c r="R688" t="s">
        <v>40</v>
      </c>
      <c r="S688" t="s">
        <v>40</v>
      </c>
      <c r="V688" t="s">
        <v>41</v>
      </c>
      <c r="W688" t="s">
        <v>95</v>
      </c>
      <c r="X688" t="str">
        <f>"7191089"</f>
        <v>7191089</v>
      </c>
      <c r="Y688" t="s">
        <v>1410</v>
      </c>
      <c r="Z688" t="s">
        <v>1341</v>
      </c>
      <c r="AA688" t="s">
        <v>1342</v>
      </c>
      <c r="AB688" t="s">
        <v>1270</v>
      </c>
      <c r="AC688" t="s">
        <v>51</v>
      </c>
      <c r="AD688" t="s">
        <v>45</v>
      </c>
      <c r="AE688" s="1">
        <v>32201</v>
      </c>
      <c r="AF688">
        <v>1</v>
      </c>
      <c r="AG688" t="s">
        <v>1342</v>
      </c>
      <c r="AH688" s="36">
        <f t="shared" si="10"/>
        <v>31.266666666666666</v>
      </c>
      <c r="AI688" s="40" t="s">
        <v>1778</v>
      </c>
    </row>
    <row r="689" spans="1:35" x14ac:dyDescent="0.25">
      <c r="A689" s="36">
        <v>99910687</v>
      </c>
      <c r="B689" s="17" t="s">
        <v>32</v>
      </c>
      <c r="C689" t="s">
        <v>111</v>
      </c>
      <c r="D689" t="s">
        <v>112</v>
      </c>
      <c r="G689" s="17" t="s">
        <v>88</v>
      </c>
      <c r="H689" s="17">
        <v>6</v>
      </c>
      <c r="K689" t="s">
        <v>354</v>
      </c>
      <c r="L689" t="s">
        <v>355</v>
      </c>
      <c r="M689" t="s">
        <v>131</v>
      </c>
      <c r="N689">
        <v>24</v>
      </c>
      <c r="O689" t="s">
        <v>40</v>
      </c>
      <c r="P689" t="s">
        <v>40</v>
      </c>
      <c r="Q689" t="s">
        <v>40</v>
      </c>
      <c r="R689" t="s">
        <v>40</v>
      </c>
      <c r="S689" t="s">
        <v>40</v>
      </c>
      <c r="V689" t="s">
        <v>41</v>
      </c>
      <c r="W689" t="s">
        <v>75</v>
      </c>
      <c r="X689" t="str">
        <f>"7054022"</f>
        <v>7054022</v>
      </c>
      <c r="Y689" t="s">
        <v>770</v>
      </c>
      <c r="Z689" t="s">
        <v>354</v>
      </c>
      <c r="AA689" t="s">
        <v>355</v>
      </c>
      <c r="AB689" t="s">
        <v>131</v>
      </c>
      <c r="AC689" t="s">
        <v>51</v>
      </c>
      <c r="AD689" t="s">
        <v>45</v>
      </c>
      <c r="AE689" s="1">
        <v>32196</v>
      </c>
      <c r="AF689">
        <v>1</v>
      </c>
      <c r="AG689" t="s">
        <v>355</v>
      </c>
      <c r="AH689" s="36">
        <f t="shared" si="10"/>
        <v>31.280555555555555</v>
      </c>
      <c r="AI689" s="40" t="s">
        <v>1778</v>
      </c>
    </row>
    <row r="690" spans="1:35" x14ac:dyDescent="0.25">
      <c r="A690" s="36">
        <v>99910688</v>
      </c>
      <c r="B690" s="17" t="s">
        <v>32</v>
      </c>
      <c r="C690" t="s">
        <v>90</v>
      </c>
      <c r="D690" t="s">
        <v>91</v>
      </c>
      <c r="G690" s="17" t="s">
        <v>35</v>
      </c>
      <c r="H690" s="17">
        <v>1</v>
      </c>
      <c r="I690" t="s">
        <v>637</v>
      </c>
      <c r="J690" s="1">
        <v>43344</v>
      </c>
      <c r="K690" t="s">
        <v>268</v>
      </c>
      <c r="L690" t="s">
        <v>269</v>
      </c>
      <c r="M690" t="s">
        <v>131</v>
      </c>
      <c r="N690">
        <v>24</v>
      </c>
      <c r="O690" t="s">
        <v>40</v>
      </c>
      <c r="S690" t="s">
        <v>40</v>
      </c>
      <c r="V690" t="s">
        <v>41</v>
      </c>
      <c r="W690" t="s">
        <v>95</v>
      </c>
      <c r="X690" t="str">
        <f>"7052071"</f>
        <v>7052071</v>
      </c>
      <c r="Y690" t="s">
        <v>628</v>
      </c>
      <c r="Z690" t="s">
        <v>268</v>
      </c>
      <c r="AA690" t="s">
        <v>269</v>
      </c>
      <c r="AB690" t="s">
        <v>131</v>
      </c>
      <c r="AC690" t="s">
        <v>51</v>
      </c>
      <c r="AD690" t="s">
        <v>45</v>
      </c>
      <c r="AE690" s="1">
        <v>32190</v>
      </c>
      <c r="AF690">
        <v>1</v>
      </c>
      <c r="AG690" t="s">
        <v>269</v>
      </c>
      <c r="AH690" s="36">
        <f t="shared" si="10"/>
        <v>31.297222222222221</v>
      </c>
      <c r="AI690" s="40" t="s">
        <v>1778</v>
      </c>
    </row>
    <row r="691" spans="1:35" x14ac:dyDescent="0.25">
      <c r="A691" s="36">
        <v>99910689</v>
      </c>
      <c r="B691" s="17" t="s">
        <v>32</v>
      </c>
      <c r="C691" t="s">
        <v>90</v>
      </c>
      <c r="D691" t="s">
        <v>91</v>
      </c>
      <c r="G691" s="17" t="s">
        <v>35</v>
      </c>
      <c r="H691" s="17">
        <v>1</v>
      </c>
      <c r="I691">
        <v>1799622</v>
      </c>
      <c r="J691" s="1">
        <v>43344</v>
      </c>
      <c r="K691" t="s">
        <v>268</v>
      </c>
      <c r="L691" t="s">
        <v>269</v>
      </c>
      <c r="M691" t="s">
        <v>131</v>
      </c>
      <c r="N691">
        <v>25</v>
      </c>
      <c r="O691" t="s">
        <v>40</v>
      </c>
      <c r="S691" t="s">
        <v>40</v>
      </c>
      <c r="V691" t="s">
        <v>41</v>
      </c>
      <c r="W691" t="s">
        <v>95</v>
      </c>
      <c r="X691" t="str">
        <f>"7052037"</f>
        <v>7052037</v>
      </c>
      <c r="Y691" t="s">
        <v>652</v>
      </c>
      <c r="Z691" t="s">
        <v>268</v>
      </c>
      <c r="AA691" t="s">
        <v>269</v>
      </c>
      <c r="AB691" t="s">
        <v>131</v>
      </c>
      <c r="AC691" t="s">
        <v>51</v>
      </c>
      <c r="AD691" t="s">
        <v>45</v>
      </c>
      <c r="AE691" s="1">
        <v>32189</v>
      </c>
      <c r="AF691">
        <v>1</v>
      </c>
      <c r="AG691" t="s">
        <v>269</v>
      </c>
      <c r="AH691" s="36">
        <f t="shared" si="10"/>
        <v>31.3</v>
      </c>
      <c r="AI691" s="40" t="s">
        <v>1778</v>
      </c>
    </row>
    <row r="692" spans="1:35" x14ac:dyDescent="0.25">
      <c r="A692" s="36">
        <v>99910690</v>
      </c>
      <c r="B692" s="17" t="s">
        <v>32</v>
      </c>
      <c r="C692" t="s">
        <v>1364</v>
      </c>
      <c r="D692" t="s">
        <v>598</v>
      </c>
      <c r="G692" s="17" t="s">
        <v>35</v>
      </c>
      <c r="H692" s="17">
        <v>1</v>
      </c>
      <c r="I692" s="1">
        <v>42979</v>
      </c>
      <c r="J692" s="1">
        <v>43344</v>
      </c>
      <c r="K692" t="s">
        <v>1341</v>
      </c>
      <c r="L692" t="s">
        <v>1342</v>
      </c>
      <c r="M692" t="s">
        <v>1270</v>
      </c>
      <c r="N692">
        <v>24</v>
      </c>
      <c r="O692" t="s">
        <v>40</v>
      </c>
      <c r="P692" t="s">
        <v>40</v>
      </c>
      <c r="Q692" t="s">
        <v>40</v>
      </c>
      <c r="R692" t="s">
        <v>40</v>
      </c>
      <c r="S692" t="s">
        <v>40</v>
      </c>
      <c r="U692" s="1">
        <v>43344</v>
      </c>
      <c r="V692" t="s">
        <v>41</v>
      </c>
      <c r="W692" t="s">
        <v>75</v>
      </c>
      <c r="X692" t="str">
        <f>"7191034"</f>
        <v>7191034</v>
      </c>
      <c r="Y692" t="s">
        <v>1343</v>
      </c>
      <c r="Z692" t="s">
        <v>1341</v>
      </c>
      <c r="AA692" t="s">
        <v>1342</v>
      </c>
      <c r="AB692" t="s">
        <v>1270</v>
      </c>
      <c r="AC692" t="s">
        <v>44</v>
      </c>
      <c r="AD692" t="s">
        <v>45</v>
      </c>
      <c r="AE692" s="1">
        <v>32188</v>
      </c>
      <c r="AF692">
        <v>1</v>
      </c>
      <c r="AG692" t="s">
        <v>1342</v>
      </c>
      <c r="AH692" s="36">
        <f t="shared" si="10"/>
        <v>31.302777777777777</v>
      </c>
      <c r="AI692" s="40" t="s">
        <v>1778</v>
      </c>
    </row>
    <row r="693" spans="1:35" x14ac:dyDescent="0.25">
      <c r="A693" s="36">
        <v>99910691</v>
      </c>
      <c r="B693" s="17" t="s">
        <v>32</v>
      </c>
      <c r="C693" t="s">
        <v>33</v>
      </c>
      <c r="D693" t="s">
        <v>34</v>
      </c>
      <c r="G693" s="17" t="s">
        <v>35</v>
      </c>
      <c r="H693" s="17">
        <v>1</v>
      </c>
      <c r="I693" t="s">
        <v>1562</v>
      </c>
      <c r="J693" s="1">
        <v>43383</v>
      </c>
      <c r="K693" t="s">
        <v>1546</v>
      </c>
      <c r="L693" t="s">
        <v>1547</v>
      </c>
      <c r="M693" t="s">
        <v>1548</v>
      </c>
      <c r="N693">
        <v>13</v>
      </c>
      <c r="O693" t="s">
        <v>40</v>
      </c>
      <c r="S693" t="s">
        <v>40</v>
      </c>
      <c r="U693" s="1">
        <v>43383</v>
      </c>
      <c r="V693" t="s">
        <v>41</v>
      </c>
      <c r="W693" t="s">
        <v>42</v>
      </c>
      <c r="X693" t="str">
        <f>"1080010"</f>
        <v>1080010</v>
      </c>
      <c r="Y693" t="s">
        <v>1549</v>
      </c>
      <c r="Z693" t="s">
        <v>1546</v>
      </c>
      <c r="AA693" t="s">
        <v>1547</v>
      </c>
      <c r="AB693" t="s">
        <v>1548</v>
      </c>
      <c r="AC693" t="s">
        <v>55</v>
      </c>
      <c r="AD693" t="s">
        <v>45</v>
      </c>
      <c r="AE693" s="1">
        <v>32186</v>
      </c>
      <c r="AF693">
        <v>2</v>
      </c>
      <c r="AG693" t="s">
        <v>1547</v>
      </c>
      <c r="AH693" s="36">
        <f t="shared" si="10"/>
        <v>31.308333333333334</v>
      </c>
      <c r="AI693" s="40" t="s">
        <v>1778</v>
      </c>
    </row>
    <row r="694" spans="1:35" x14ac:dyDescent="0.25">
      <c r="A694" s="36">
        <v>99910692</v>
      </c>
      <c r="B694" s="17" t="s">
        <v>32</v>
      </c>
      <c r="C694" t="s">
        <v>71</v>
      </c>
      <c r="D694" t="s">
        <v>72</v>
      </c>
      <c r="G694" s="17" t="s">
        <v>35</v>
      </c>
      <c r="H694" s="17">
        <v>1</v>
      </c>
      <c r="I694">
        <v>21384</v>
      </c>
      <c r="J694" s="1">
        <v>43344</v>
      </c>
      <c r="K694" t="s">
        <v>380</v>
      </c>
      <c r="L694" t="s">
        <v>381</v>
      </c>
      <c r="M694" t="s">
        <v>131</v>
      </c>
      <c r="N694">
        <v>6</v>
      </c>
      <c r="O694" t="s">
        <v>40</v>
      </c>
      <c r="S694" t="s">
        <v>40</v>
      </c>
      <c r="U694" s="1">
        <v>43344</v>
      </c>
      <c r="V694" t="s">
        <v>41</v>
      </c>
      <c r="W694" t="s">
        <v>49</v>
      </c>
      <c r="X694" t="str">
        <f>"0580552"</f>
        <v>0580552</v>
      </c>
      <c r="Y694" t="s">
        <v>386</v>
      </c>
      <c r="Z694" t="s">
        <v>380</v>
      </c>
      <c r="AA694" t="s">
        <v>381</v>
      </c>
      <c r="AB694" t="s">
        <v>131</v>
      </c>
      <c r="AC694" t="s">
        <v>55</v>
      </c>
      <c r="AD694" t="s">
        <v>45</v>
      </c>
      <c r="AE694" s="1">
        <v>32181</v>
      </c>
      <c r="AF694">
        <v>2</v>
      </c>
      <c r="AG694" t="s">
        <v>381</v>
      </c>
      <c r="AH694" s="36">
        <f t="shared" si="10"/>
        <v>31.322222222222223</v>
      </c>
      <c r="AI694" s="40" t="s">
        <v>1778</v>
      </c>
    </row>
    <row r="695" spans="1:35" x14ac:dyDescent="0.25">
      <c r="A695" s="36">
        <v>99910693</v>
      </c>
      <c r="B695" s="17" t="s">
        <v>32</v>
      </c>
      <c r="C695" t="s">
        <v>90</v>
      </c>
      <c r="D695" t="s">
        <v>91</v>
      </c>
      <c r="G695" s="17" t="s">
        <v>35</v>
      </c>
      <c r="H695" s="17">
        <v>1</v>
      </c>
      <c r="K695" t="s">
        <v>195</v>
      </c>
      <c r="L695" t="s">
        <v>196</v>
      </c>
      <c r="M695" t="s">
        <v>131</v>
      </c>
      <c r="N695">
        <v>6</v>
      </c>
      <c r="O695" t="s">
        <v>40</v>
      </c>
      <c r="P695" t="s">
        <v>40</v>
      </c>
      <c r="Q695" t="s">
        <v>40</v>
      </c>
      <c r="S695" t="s">
        <v>40</v>
      </c>
      <c r="V695" t="s">
        <v>41</v>
      </c>
      <c r="W695" t="s">
        <v>95</v>
      </c>
      <c r="X695" t="str">
        <f>"7521085"</f>
        <v>7521085</v>
      </c>
      <c r="Y695" t="s">
        <v>530</v>
      </c>
      <c r="Z695" t="s">
        <v>195</v>
      </c>
      <c r="AA695" t="s">
        <v>196</v>
      </c>
      <c r="AB695" t="s">
        <v>131</v>
      </c>
      <c r="AC695" t="s">
        <v>51</v>
      </c>
      <c r="AD695" t="s">
        <v>45</v>
      </c>
      <c r="AE695" s="1">
        <v>32178</v>
      </c>
      <c r="AF695">
        <v>1</v>
      </c>
      <c r="AG695" t="s">
        <v>196</v>
      </c>
      <c r="AH695" s="36">
        <f t="shared" si="10"/>
        <v>31.330555555555556</v>
      </c>
      <c r="AI695" s="40" t="s">
        <v>1778</v>
      </c>
    </row>
    <row r="696" spans="1:35" x14ac:dyDescent="0.25">
      <c r="A696" s="36">
        <v>99910694</v>
      </c>
      <c r="B696" s="17" t="s">
        <v>56</v>
      </c>
      <c r="C696" t="s">
        <v>141</v>
      </c>
      <c r="D696" t="s">
        <v>142</v>
      </c>
      <c r="G696" s="17" t="s">
        <v>35</v>
      </c>
      <c r="H696" s="17">
        <v>1</v>
      </c>
      <c r="I696">
        <v>4179</v>
      </c>
      <c r="J696" s="1">
        <v>43344</v>
      </c>
      <c r="K696" t="s">
        <v>354</v>
      </c>
      <c r="L696" t="s">
        <v>355</v>
      </c>
      <c r="M696" t="s">
        <v>131</v>
      </c>
      <c r="N696">
        <v>9</v>
      </c>
      <c r="O696" t="s">
        <v>40</v>
      </c>
      <c r="P696" t="s">
        <v>40</v>
      </c>
      <c r="Q696" t="s">
        <v>40</v>
      </c>
      <c r="R696" t="s">
        <v>40</v>
      </c>
      <c r="S696" t="s">
        <v>40</v>
      </c>
      <c r="U696" s="1">
        <v>43344</v>
      </c>
      <c r="V696" t="s">
        <v>41</v>
      </c>
      <c r="W696" t="s">
        <v>75</v>
      </c>
      <c r="X696" t="str">
        <f>"7054002"</f>
        <v>7054002</v>
      </c>
      <c r="Y696" t="s">
        <v>376</v>
      </c>
      <c r="Z696" t="s">
        <v>354</v>
      </c>
      <c r="AA696" t="s">
        <v>355</v>
      </c>
      <c r="AB696" t="s">
        <v>131</v>
      </c>
      <c r="AC696" t="s">
        <v>44</v>
      </c>
      <c r="AD696" t="s">
        <v>45</v>
      </c>
      <c r="AE696" s="1">
        <v>32178</v>
      </c>
      <c r="AF696">
        <v>1</v>
      </c>
      <c r="AG696" t="s">
        <v>355</v>
      </c>
      <c r="AH696" s="36">
        <f t="shared" si="10"/>
        <v>31.330555555555556</v>
      </c>
      <c r="AI696" s="40" t="s">
        <v>1778</v>
      </c>
    </row>
    <row r="697" spans="1:35" x14ac:dyDescent="0.25">
      <c r="A697" s="36">
        <v>99910695</v>
      </c>
      <c r="B697" s="17" t="s">
        <v>56</v>
      </c>
      <c r="C697" t="s">
        <v>117</v>
      </c>
      <c r="D697" t="s">
        <v>118</v>
      </c>
      <c r="E697" t="s">
        <v>1475</v>
      </c>
      <c r="F697" t="s">
        <v>1476</v>
      </c>
      <c r="G697" s="17" t="s">
        <v>35</v>
      </c>
      <c r="H697" s="17">
        <v>1</v>
      </c>
      <c r="I697" t="s">
        <v>1477</v>
      </c>
      <c r="J697" s="1">
        <v>43344</v>
      </c>
      <c r="K697" t="s">
        <v>1334</v>
      </c>
      <c r="L697" t="s">
        <v>1335</v>
      </c>
      <c r="M697" t="s">
        <v>1270</v>
      </c>
      <c r="N697">
        <v>16</v>
      </c>
      <c r="O697" t="s">
        <v>40</v>
      </c>
      <c r="P697" t="s">
        <v>40</v>
      </c>
      <c r="Q697" t="s">
        <v>40</v>
      </c>
      <c r="R697" t="s">
        <v>40</v>
      </c>
      <c r="S697" t="s">
        <v>40</v>
      </c>
      <c r="U697" s="1">
        <v>43344</v>
      </c>
      <c r="V697" t="s">
        <v>41</v>
      </c>
      <c r="W697" t="s">
        <v>75</v>
      </c>
      <c r="X697" t="str">
        <f>"7391000"</f>
        <v>7391000</v>
      </c>
      <c r="Y697" t="s">
        <v>1333</v>
      </c>
      <c r="Z697" t="s">
        <v>1334</v>
      </c>
      <c r="AA697" t="s">
        <v>1335</v>
      </c>
      <c r="AB697" t="s">
        <v>1270</v>
      </c>
      <c r="AC697" t="s">
        <v>51</v>
      </c>
      <c r="AD697" t="s">
        <v>45</v>
      </c>
      <c r="AE697" s="1">
        <v>32178</v>
      </c>
      <c r="AF697">
        <v>1</v>
      </c>
      <c r="AG697" t="s">
        <v>1335</v>
      </c>
      <c r="AH697" s="36">
        <f t="shared" si="10"/>
        <v>31.330555555555556</v>
      </c>
      <c r="AI697" s="40" t="s">
        <v>1778</v>
      </c>
    </row>
    <row r="698" spans="1:35" x14ac:dyDescent="0.25">
      <c r="A698" s="36">
        <v>99910696</v>
      </c>
      <c r="B698" s="17" t="s">
        <v>32</v>
      </c>
      <c r="C698" t="s">
        <v>111</v>
      </c>
      <c r="D698" t="s">
        <v>112</v>
      </c>
      <c r="G698" s="17" t="s">
        <v>88</v>
      </c>
      <c r="H698" s="17">
        <v>4</v>
      </c>
      <c r="I698" t="s">
        <v>459</v>
      </c>
      <c r="J698" s="1">
        <v>40787</v>
      </c>
      <c r="K698" t="s">
        <v>195</v>
      </c>
      <c r="L698" t="s">
        <v>196</v>
      </c>
      <c r="M698" t="s">
        <v>131</v>
      </c>
      <c r="N698">
        <v>24</v>
      </c>
      <c r="O698" t="s">
        <v>40</v>
      </c>
      <c r="P698" t="s">
        <v>40</v>
      </c>
      <c r="Q698" t="s">
        <v>40</v>
      </c>
      <c r="R698" t="s">
        <v>40</v>
      </c>
      <c r="S698" t="s">
        <v>40</v>
      </c>
      <c r="U698" s="1">
        <v>40787</v>
      </c>
      <c r="V698" t="s">
        <v>41</v>
      </c>
      <c r="W698" t="s">
        <v>75</v>
      </c>
      <c r="X698" t="str">
        <f>"7521050"</f>
        <v>7521050</v>
      </c>
      <c r="Y698" t="s">
        <v>194</v>
      </c>
      <c r="Z698" t="s">
        <v>195</v>
      </c>
      <c r="AA698" t="s">
        <v>196</v>
      </c>
      <c r="AB698" t="s">
        <v>131</v>
      </c>
      <c r="AC698" t="s">
        <v>51</v>
      </c>
      <c r="AD698" t="s">
        <v>45</v>
      </c>
      <c r="AE698" s="1">
        <v>32163</v>
      </c>
      <c r="AF698">
        <v>1</v>
      </c>
      <c r="AG698" t="s">
        <v>196</v>
      </c>
      <c r="AH698" s="36">
        <f t="shared" si="10"/>
        <v>31.372222222222224</v>
      </c>
      <c r="AI698" s="40" t="s">
        <v>1778</v>
      </c>
    </row>
    <row r="699" spans="1:35" x14ac:dyDescent="0.25">
      <c r="A699" s="36">
        <v>99910697</v>
      </c>
      <c r="B699" s="17" t="s">
        <v>32</v>
      </c>
      <c r="C699" t="s">
        <v>111</v>
      </c>
      <c r="D699" t="s">
        <v>112</v>
      </c>
      <c r="G699" s="17" t="s">
        <v>88</v>
      </c>
      <c r="H699" s="17">
        <v>3</v>
      </c>
      <c r="I699" t="s">
        <v>214</v>
      </c>
      <c r="J699" s="1">
        <v>41153</v>
      </c>
      <c r="K699" t="s">
        <v>431</v>
      </c>
      <c r="L699" t="s">
        <v>196</v>
      </c>
      <c r="M699" t="s">
        <v>131</v>
      </c>
      <c r="N699">
        <v>24</v>
      </c>
      <c r="O699" t="s">
        <v>40</v>
      </c>
      <c r="P699" t="s">
        <v>40</v>
      </c>
      <c r="Q699" t="s">
        <v>40</v>
      </c>
      <c r="R699" t="s">
        <v>40</v>
      </c>
      <c r="S699" t="s">
        <v>40</v>
      </c>
      <c r="U699" s="1">
        <v>41153</v>
      </c>
      <c r="V699" t="s">
        <v>41</v>
      </c>
      <c r="W699" t="s">
        <v>75</v>
      </c>
      <c r="X699" t="str">
        <f>"7521022"</f>
        <v>7521022</v>
      </c>
      <c r="Y699" t="s">
        <v>445</v>
      </c>
      <c r="Z699" t="s">
        <v>431</v>
      </c>
      <c r="AA699" t="s">
        <v>196</v>
      </c>
      <c r="AB699" t="s">
        <v>131</v>
      </c>
      <c r="AC699" t="s">
        <v>51</v>
      </c>
      <c r="AD699" t="s">
        <v>45</v>
      </c>
      <c r="AE699" s="1">
        <v>32158</v>
      </c>
      <c r="AF699">
        <v>1</v>
      </c>
      <c r="AG699" t="s">
        <v>196</v>
      </c>
      <c r="AH699" s="36">
        <f t="shared" si="10"/>
        <v>31.386111111111113</v>
      </c>
      <c r="AI699" s="40" t="s">
        <v>1778</v>
      </c>
    </row>
    <row r="700" spans="1:35" x14ac:dyDescent="0.25">
      <c r="A700" s="36">
        <v>99910698</v>
      </c>
      <c r="B700" s="17" t="s">
        <v>56</v>
      </c>
      <c r="C700" t="s">
        <v>111</v>
      </c>
      <c r="D700" t="s">
        <v>112</v>
      </c>
      <c r="G700" s="17" t="s">
        <v>48</v>
      </c>
      <c r="H700" s="17">
        <v>1</v>
      </c>
      <c r="K700" t="s">
        <v>1619</v>
      </c>
      <c r="L700" t="s">
        <v>1620</v>
      </c>
      <c r="M700" t="s">
        <v>1592</v>
      </c>
      <c r="N700">
        <v>23</v>
      </c>
      <c r="O700" t="s">
        <v>40</v>
      </c>
      <c r="P700" t="s">
        <v>40</v>
      </c>
      <c r="Q700" t="s">
        <v>40</v>
      </c>
      <c r="R700" t="s">
        <v>40</v>
      </c>
      <c r="S700" t="s">
        <v>40</v>
      </c>
      <c r="V700" t="s">
        <v>41</v>
      </c>
      <c r="W700" t="s">
        <v>75</v>
      </c>
      <c r="X700" t="str">
        <f>"7281006"</f>
        <v>7281006</v>
      </c>
      <c r="Y700" t="s">
        <v>1618</v>
      </c>
      <c r="Z700" t="s">
        <v>1619</v>
      </c>
      <c r="AA700" t="s">
        <v>1620</v>
      </c>
      <c r="AB700" t="s">
        <v>1592</v>
      </c>
      <c r="AC700" t="s">
        <v>51</v>
      </c>
      <c r="AD700" t="s">
        <v>45</v>
      </c>
      <c r="AE700" s="1">
        <v>32146</v>
      </c>
      <c r="AF700">
        <v>1</v>
      </c>
      <c r="AG700" t="s">
        <v>1620</v>
      </c>
      <c r="AH700" s="36">
        <f t="shared" si="10"/>
        <v>31.419444444444444</v>
      </c>
      <c r="AI700" s="40" t="s">
        <v>1778</v>
      </c>
    </row>
    <row r="701" spans="1:35" x14ac:dyDescent="0.25">
      <c r="A701" s="36">
        <v>99910699</v>
      </c>
      <c r="B701" s="17" t="s">
        <v>32</v>
      </c>
      <c r="C701" t="s">
        <v>111</v>
      </c>
      <c r="D701" t="s">
        <v>112</v>
      </c>
      <c r="G701" s="17" t="s">
        <v>35</v>
      </c>
      <c r="H701" s="17">
        <v>1</v>
      </c>
      <c r="I701" t="s">
        <v>417</v>
      </c>
      <c r="J701" s="1">
        <v>41729</v>
      </c>
      <c r="K701" t="s">
        <v>154</v>
      </c>
      <c r="L701" t="s">
        <v>155</v>
      </c>
      <c r="M701" t="s">
        <v>131</v>
      </c>
      <c r="N701">
        <v>24</v>
      </c>
      <c r="O701" t="s">
        <v>40</v>
      </c>
      <c r="P701" t="s">
        <v>40</v>
      </c>
      <c r="Q701" t="s">
        <v>40</v>
      </c>
      <c r="R701" t="s">
        <v>40</v>
      </c>
      <c r="S701" t="s">
        <v>40</v>
      </c>
      <c r="U701" s="1">
        <v>41729</v>
      </c>
      <c r="V701" t="s">
        <v>41</v>
      </c>
      <c r="W701" t="s">
        <v>75</v>
      </c>
      <c r="X701" t="str">
        <f>"7051014"</f>
        <v>7051014</v>
      </c>
      <c r="Y701" t="s">
        <v>398</v>
      </c>
      <c r="Z701" t="s">
        <v>154</v>
      </c>
      <c r="AA701" t="s">
        <v>155</v>
      </c>
      <c r="AB701" t="s">
        <v>131</v>
      </c>
      <c r="AC701" t="s">
        <v>165</v>
      </c>
      <c r="AD701" t="s">
        <v>45</v>
      </c>
      <c r="AE701" s="1">
        <v>32143</v>
      </c>
      <c r="AF701">
        <v>1</v>
      </c>
      <c r="AG701" t="s">
        <v>155</v>
      </c>
      <c r="AH701" s="36">
        <f t="shared" si="10"/>
        <v>31.427777777777777</v>
      </c>
      <c r="AI701" s="40" t="s">
        <v>1778</v>
      </c>
    </row>
    <row r="702" spans="1:35" x14ac:dyDescent="0.25">
      <c r="A702" s="36">
        <v>99910700</v>
      </c>
      <c r="B702" s="17" t="s">
        <v>32</v>
      </c>
      <c r="C702" t="s">
        <v>111</v>
      </c>
      <c r="D702" t="s">
        <v>112</v>
      </c>
      <c r="G702" s="17" t="s">
        <v>35</v>
      </c>
      <c r="H702" s="17">
        <v>1</v>
      </c>
      <c r="K702" t="s">
        <v>154</v>
      </c>
      <c r="L702" t="s">
        <v>155</v>
      </c>
      <c r="M702" t="s">
        <v>131</v>
      </c>
      <c r="N702">
        <v>24</v>
      </c>
      <c r="O702" t="s">
        <v>40</v>
      </c>
      <c r="P702" t="s">
        <v>40</v>
      </c>
      <c r="Q702" t="s">
        <v>40</v>
      </c>
      <c r="R702" t="s">
        <v>40</v>
      </c>
      <c r="S702" t="s">
        <v>40</v>
      </c>
      <c r="V702" t="s">
        <v>41</v>
      </c>
      <c r="W702" t="s">
        <v>75</v>
      </c>
      <c r="X702" t="str">
        <f>"7051014"</f>
        <v>7051014</v>
      </c>
      <c r="Y702" t="s">
        <v>398</v>
      </c>
      <c r="Z702" t="s">
        <v>154</v>
      </c>
      <c r="AA702" t="s">
        <v>155</v>
      </c>
      <c r="AB702" t="s">
        <v>131</v>
      </c>
      <c r="AC702" t="s">
        <v>165</v>
      </c>
      <c r="AD702" t="s">
        <v>45</v>
      </c>
      <c r="AE702" s="1">
        <v>32143</v>
      </c>
      <c r="AF702">
        <v>1</v>
      </c>
      <c r="AG702" t="s">
        <v>155</v>
      </c>
      <c r="AH702" s="36">
        <f t="shared" si="10"/>
        <v>31.427777777777777</v>
      </c>
      <c r="AI702" s="40" t="s">
        <v>1778</v>
      </c>
    </row>
    <row r="703" spans="1:35" x14ac:dyDescent="0.25">
      <c r="A703" s="36">
        <v>99910701</v>
      </c>
      <c r="B703" s="17" t="s">
        <v>32</v>
      </c>
      <c r="C703" t="s">
        <v>111</v>
      </c>
      <c r="D703" t="s">
        <v>112</v>
      </c>
      <c r="G703" s="17" t="s">
        <v>48</v>
      </c>
      <c r="H703" s="17">
        <v>1</v>
      </c>
      <c r="K703" t="s">
        <v>431</v>
      </c>
      <c r="L703" t="s">
        <v>196</v>
      </c>
      <c r="M703" t="s">
        <v>131</v>
      </c>
      <c r="N703">
        <v>24</v>
      </c>
      <c r="O703" t="s">
        <v>40</v>
      </c>
      <c r="P703" t="s">
        <v>40</v>
      </c>
      <c r="Q703" t="s">
        <v>40</v>
      </c>
      <c r="R703" t="s">
        <v>40</v>
      </c>
      <c r="S703" t="s">
        <v>40</v>
      </c>
      <c r="V703" t="s">
        <v>41</v>
      </c>
      <c r="W703" t="s">
        <v>75</v>
      </c>
      <c r="X703" t="str">
        <f>"7521016"</f>
        <v>7521016</v>
      </c>
      <c r="Y703" t="s">
        <v>448</v>
      </c>
      <c r="Z703" t="s">
        <v>431</v>
      </c>
      <c r="AA703" t="s">
        <v>196</v>
      </c>
      <c r="AB703" t="s">
        <v>131</v>
      </c>
      <c r="AC703" t="s">
        <v>51</v>
      </c>
      <c r="AD703" t="s">
        <v>45</v>
      </c>
      <c r="AE703" s="1">
        <v>32143</v>
      </c>
      <c r="AF703">
        <v>1</v>
      </c>
      <c r="AG703" t="s">
        <v>196</v>
      </c>
      <c r="AH703" s="36">
        <f t="shared" si="10"/>
        <v>31.427777777777777</v>
      </c>
      <c r="AI703" s="40" t="s">
        <v>1778</v>
      </c>
    </row>
    <row r="704" spans="1:35" x14ac:dyDescent="0.25">
      <c r="A704" s="36">
        <v>99910702</v>
      </c>
      <c r="B704" s="17" t="s">
        <v>56</v>
      </c>
      <c r="C704" t="s">
        <v>111</v>
      </c>
      <c r="D704" t="s">
        <v>112</v>
      </c>
      <c r="G704" s="17" t="s">
        <v>48</v>
      </c>
      <c r="H704" s="17">
        <v>1</v>
      </c>
      <c r="I704" t="s">
        <v>532</v>
      </c>
      <c r="J704" s="1">
        <v>41961</v>
      </c>
      <c r="K704" t="s">
        <v>431</v>
      </c>
      <c r="L704" t="s">
        <v>196</v>
      </c>
      <c r="M704" t="s">
        <v>131</v>
      </c>
      <c r="N704">
        <v>24</v>
      </c>
      <c r="O704" t="s">
        <v>40</v>
      </c>
      <c r="P704" t="s">
        <v>40</v>
      </c>
      <c r="Q704" t="s">
        <v>40</v>
      </c>
      <c r="R704" t="s">
        <v>40</v>
      </c>
      <c r="S704" t="s">
        <v>40</v>
      </c>
      <c r="U704" s="1">
        <v>41961</v>
      </c>
      <c r="V704" t="s">
        <v>41</v>
      </c>
      <c r="W704" t="s">
        <v>75</v>
      </c>
      <c r="X704" t="str">
        <f>"7521012"</f>
        <v>7521012</v>
      </c>
      <c r="Y704" t="s">
        <v>432</v>
      </c>
      <c r="Z704" t="s">
        <v>431</v>
      </c>
      <c r="AA704" t="s">
        <v>196</v>
      </c>
      <c r="AB704" t="s">
        <v>131</v>
      </c>
      <c r="AC704" t="s">
        <v>51</v>
      </c>
      <c r="AD704" t="s">
        <v>45</v>
      </c>
      <c r="AE704" s="1">
        <v>32143</v>
      </c>
      <c r="AF704">
        <v>1</v>
      </c>
      <c r="AG704" t="s">
        <v>196</v>
      </c>
      <c r="AH704" s="36">
        <f t="shared" si="10"/>
        <v>31.427777777777777</v>
      </c>
      <c r="AI704" s="40" t="s">
        <v>1778</v>
      </c>
    </row>
    <row r="705" spans="1:35" x14ac:dyDescent="0.25">
      <c r="A705" s="36">
        <v>99910703</v>
      </c>
      <c r="B705" s="17" t="s">
        <v>32</v>
      </c>
      <c r="C705" t="s">
        <v>111</v>
      </c>
      <c r="D705" t="s">
        <v>112</v>
      </c>
      <c r="G705" s="17" t="s">
        <v>35</v>
      </c>
      <c r="H705" s="17">
        <v>1</v>
      </c>
      <c r="K705" t="s">
        <v>431</v>
      </c>
      <c r="L705" t="s">
        <v>196</v>
      </c>
      <c r="M705" t="s">
        <v>131</v>
      </c>
      <c r="N705">
        <v>24</v>
      </c>
      <c r="O705" t="s">
        <v>40</v>
      </c>
      <c r="P705" t="s">
        <v>40</v>
      </c>
      <c r="Q705" t="s">
        <v>40</v>
      </c>
      <c r="R705" t="s">
        <v>40</v>
      </c>
      <c r="S705" t="s">
        <v>40</v>
      </c>
      <c r="V705" t="s">
        <v>41</v>
      </c>
      <c r="W705" t="s">
        <v>75</v>
      </c>
      <c r="X705" t="str">
        <f>"7521056"</f>
        <v>7521056</v>
      </c>
      <c r="Y705" t="s">
        <v>437</v>
      </c>
      <c r="Z705" t="s">
        <v>431</v>
      </c>
      <c r="AA705" t="s">
        <v>196</v>
      </c>
      <c r="AB705" t="s">
        <v>131</v>
      </c>
      <c r="AC705" t="s">
        <v>51</v>
      </c>
      <c r="AD705" t="s">
        <v>45</v>
      </c>
      <c r="AE705" s="1">
        <v>32143</v>
      </c>
      <c r="AF705">
        <v>1</v>
      </c>
      <c r="AG705" t="s">
        <v>196</v>
      </c>
      <c r="AH705" s="36">
        <f t="shared" si="10"/>
        <v>31.427777777777777</v>
      </c>
      <c r="AI705" s="40" t="s">
        <v>1778</v>
      </c>
    </row>
    <row r="706" spans="1:35" x14ac:dyDescent="0.25">
      <c r="A706" s="36">
        <v>99910704</v>
      </c>
      <c r="B706" s="17" t="s">
        <v>32</v>
      </c>
      <c r="C706" t="s">
        <v>111</v>
      </c>
      <c r="D706" t="s">
        <v>112</v>
      </c>
      <c r="G706" s="17" t="s">
        <v>48</v>
      </c>
      <c r="H706" s="17">
        <v>1</v>
      </c>
      <c r="K706" t="s">
        <v>431</v>
      </c>
      <c r="L706" t="s">
        <v>196</v>
      </c>
      <c r="M706" t="s">
        <v>131</v>
      </c>
      <c r="N706">
        <v>24</v>
      </c>
      <c r="O706" t="s">
        <v>40</v>
      </c>
      <c r="P706" t="s">
        <v>40</v>
      </c>
      <c r="Q706" t="s">
        <v>40</v>
      </c>
      <c r="R706" t="s">
        <v>40</v>
      </c>
      <c r="S706" t="s">
        <v>40</v>
      </c>
      <c r="V706" t="s">
        <v>41</v>
      </c>
      <c r="W706" t="s">
        <v>75</v>
      </c>
      <c r="X706" t="str">
        <f>"7521056"</f>
        <v>7521056</v>
      </c>
      <c r="Y706" t="s">
        <v>437</v>
      </c>
      <c r="Z706" t="s">
        <v>431</v>
      </c>
      <c r="AA706" t="s">
        <v>196</v>
      </c>
      <c r="AB706" t="s">
        <v>131</v>
      </c>
      <c r="AC706" t="s">
        <v>51</v>
      </c>
      <c r="AD706" t="s">
        <v>45</v>
      </c>
      <c r="AE706" s="1">
        <v>32143</v>
      </c>
      <c r="AF706">
        <v>1</v>
      </c>
      <c r="AG706" t="s">
        <v>196</v>
      </c>
      <c r="AH706" s="36">
        <f t="shared" ref="AH706:AH769" si="11">($AJ$1-AE706)/360</f>
        <v>31.427777777777777</v>
      </c>
      <c r="AI706" s="40" t="s">
        <v>1778</v>
      </c>
    </row>
    <row r="707" spans="1:35" x14ac:dyDescent="0.25">
      <c r="A707" s="36">
        <v>99910705</v>
      </c>
      <c r="B707" s="17" t="s">
        <v>32</v>
      </c>
      <c r="C707" t="s">
        <v>111</v>
      </c>
      <c r="D707" t="s">
        <v>112</v>
      </c>
      <c r="G707" s="17" t="s">
        <v>48</v>
      </c>
      <c r="H707" s="17">
        <v>1</v>
      </c>
      <c r="K707" t="s">
        <v>268</v>
      </c>
      <c r="L707" t="s">
        <v>269</v>
      </c>
      <c r="M707" t="s">
        <v>131</v>
      </c>
      <c r="N707">
        <v>24</v>
      </c>
      <c r="O707" t="s">
        <v>40</v>
      </c>
      <c r="P707" t="s">
        <v>40</v>
      </c>
      <c r="Q707" t="s">
        <v>40</v>
      </c>
      <c r="R707" t="s">
        <v>40</v>
      </c>
      <c r="S707" t="s">
        <v>40</v>
      </c>
      <c r="V707" t="s">
        <v>41</v>
      </c>
      <c r="W707" t="s">
        <v>75</v>
      </c>
      <c r="X707" t="str">
        <f>"7052042"</f>
        <v>7052042</v>
      </c>
      <c r="Y707" t="s">
        <v>583</v>
      </c>
      <c r="Z707" t="s">
        <v>268</v>
      </c>
      <c r="AA707" t="s">
        <v>269</v>
      </c>
      <c r="AB707" t="s">
        <v>131</v>
      </c>
      <c r="AC707" t="s">
        <v>51</v>
      </c>
      <c r="AD707" t="s">
        <v>45</v>
      </c>
      <c r="AE707" s="1">
        <v>32143</v>
      </c>
      <c r="AF707">
        <v>1</v>
      </c>
      <c r="AG707" t="s">
        <v>269</v>
      </c>
      <c r="AH707" s="36">
        <f t="shared" si="11"/>
        <v>31.427777777777777</v>
      </c>
      <c r="AI707" s="40" t="s">
        <v>1778</v>
      </c>
    </row>
    <row r="708" spans="1:35" x14ac:dyDescent="0.25">
      <c r="A708" s="36">
        <v>99910706</v>
      </c>
      <c r="B708" s="17" t="s">
        <v>32</v>
      </c>
      <c r="C708" t="s">
        <v>111</v>
      </c>
      <c r="D708" t="s">
        <v>112</v>
      </c>
      <c r="G708" s="17" t="s">
        <v>48</v>
      </c>
      <c r="H708" s="17">
        <v>1</v>
      </c>
      <c r="K708" t="s">
        <v>268</v>
      </c>
      <c r="L708" t="s">
        <v>269</v>
      </c>
      <c r="M708" t="s">
        <v>131</v>
      </c>
      <c r="N708">
        <v>24</v>
      </c>
      <c r="O708" t="s">
        <v>40</v>
      </c>
      <c r="P708" t="s">
        <v>40</v>
      </c>
      <c r="Q708" t="s">
        <v>40</v>
      </c>
      <c r="R708" t="s">
        <v>40</v>
      </c>
      <c r="S708" t="s">
        <v>40</v>
      </c>
      <c r="V708" t="s">
        <v>41</v>
      </c>
      <c r="W708" t="s">
        <v>75</v>
      </c>
      <c r="X708" t="str">
        <f>"7052016"</f>
        <v>7052016</v>
      </c>
      <c r="Y708" t="s">
        <v>588</v>
      </c>
      <c r="Z708" t="s">
        <v>268</v>
      </c>
      <c r="AA708" t="s">
        <v>269</v>
      </c>
      <c r="AB708" t="s">
        <v>131</v>
      </c>
      <c r="AC708" t="s">
        <v>51</v>
      </c>
      <c r="AD708" t="s">
        <v>45</v>
      </c>
      <c r="AE708" s="1">
        <v>32143</v>
      </c>
      <c r="AF708">
        <v>1</v>
      </c>
      <c r="AG708" t="s">
        <v>269</v>
      </c>
      <c r="AH708" s="36">
        <f t="shared" si="11"/>
        <v>31.427777777777777</v>
      </c>
      <c r="AI708" s="40" t="s">
        <v>1778</v>
      </c>
    </row>
    <row r="709" spans="1:35" x14ac:dyDescent="0.25">
      <c r="A709" s="36">
        <v>99910707</v>
      </c>
      <c r="B709" s="17" t="s">
        <v>32</v>
      </c>
      <c r="C709" t="s">
        <v>111</v>
      </c>
      <c r="D709" t="s">
        <v>112</v>
      </c>
      <c r="G709" s="17" t="s">
        <v>48</v>
      </c>
      <c r="H709" s="17">
        <v>1</v>
      </c>
      <c r="K709" t="s">
        <v>268</v>
      </c>
      <c r="L709" t="s">
        <v>269</v>
      </c>
      <c r="M709" t="s">
        <v>131</v>
      </c>
      <c r="N709">
        <v>24</v>
      </c>
      <c r="O709" t="s">
        <v>40</v>
      </c>
      <c r="P709" t="s">
        <v>40</v>
      </c>
      <c r="Q709" t="s">
        <v>40</v>
      </c>
      <c r="R709" t="s">
        <v>40</v>
      </c>
      <c r="S709" t="s">
        <v>40</v>
      </c>
      <c r="V709" t="s">
        <v>41</v>
      </c>
      <c r="W709" t="s">
        <v>75</v>
      </c>
      <c r="X709" t="str">
        <f>"7052044"</f>
        <v>7052044</v>
      </c>
      <c r="Y709" t="s">
        <v>589</v>
      </c>
      <c r="Z709" t="s">
        <v>268</v>
      </c>
      <c r="AA709" t="s">
        <v>269</v>
      </c>
      <c r="AB709" t="s">
        <v>131</v>
      </c>
      <c r="AC709" t="s">
        <v>51</v>
      </c>
      <c r="AD709" t="s">
        <v>45</v>
      </c>
      <c r="AE709" s="1">
        <v>32143</v>
      </c>
      <c r="AF709">
        <v>1</v>
      </c>
      <c r="AG709" t="s">
        <v>269</v>
      </c>
      <c r="AH709" s="36">
        <f t="shared" si="11"/>
        <v>31.427777777777777</v>
      </c>
      <c r="AI709" s="40" t="s">
        <v>1778</v>
      </c>
    </row>
    <row r="710" spans="1:35" x14ac:dyDescent="0.25">
      <c r="A710" s="36">
        <v>99910708</v>
      </c>
      <c r="B710" s="17" t="s">
        <v>32</v>
      </c>
      <c r="C710" t="s">
        <v>141</v>
      </c>
      <c r="D710" t="s">
        <v>142</v>
      </c>
      <c r="G710" s="17" t="s">
        <v>35</v>
      </c>
      <c r="H710" s="17">
        <v>1</v>
      </c>
      <c r="I710" t="s">
        <v>636</v>
      </c>
      <c r="J710" s="1">
        <v>43344</v>
      </c>
      <c r="K710" t="s">
        <v>268</v>
      </c>
      <c r="L710" t="s">
        <v>269</v>
      </c>
      <c r="M710" t="s">
        <v>131</v>
      </c>
      <c r="N710">
        <v>9</v>
      </c>
      <c r="O710" t="s">
        <v>40</v>
      </c>
      <c r="S710" t="s">
        <v>40</v>
      </c>
      <c r="V710" t="s">
        <v>41</v>
      </c>
      <c r="W710" t="s">
        <v>75</v>
      </c>
      <c r="X710" t="str">
        <f>"7052012"</f>
        <v>7052012</v>
      </c>
      <c r="Y710" t="s">
        <v>270</v>
      </c>
      <c r="Z710" t="s">
        <v>268</v>
      </c>
      <c r="AA710" t="s">
        <v>269</v>
      </c>
      <c r="AB710" t="s">
        <v>131</v>
      </c>
      <c r="AC710" t="s">
        <v>55</v>
      </c>
      <c r="AD710" t="s">
        <v>45</v>
      </c>
      <c r="AE710" s="1">
        <v>32143</v>
      </c>
      <c r="AF710">
        <v>1</v>
      </c>
      <c r="AG710" t="s">
        <v>269</v>
      </c>
      <c r="AH710" s="36">
        <f t="shared" si="11"/>
        <v>31.427777777777777</v>
      </c>
      <c r="AI710" s="40" t="s">
        <v>1778</v>
      </c>
    </row>
    <row r="711" spans="1:35" x14ac:dyDescent="0.25">
      <c r="A711" s="36">
        <v>99910709</v>
      </c>
      <c r="B711" s="17" t="s">
        <v>32</v>
      </c>
      <c r="C711" t="s">
        <v>111</v>
      </c>
      <c r="D711" t="s">
        <v>112</v>
      </c>
      <c r="G711" s="17" t="s">
        <v>35</v>
      </c>
      <c r="H711" s="17">
        <v>1</v>
      </c>
      <c r="I711" t="s">
        <v>691</v>
      </c>
      <c r="J711" s="1">
        <v>43344</v>
      </c>
      <c r="K711" t="s">
        <v>268</v>
      </c>
      <c r="L711" t="s">
        <v>269</v>
      </c>
      <c r="M711" t="s">
        <v>131</v>
      </c>
      <c r="N711">
        <v>24</v>
      </c>
      <c r="O711" t="s">
        <v>40</v>
      </c>
      <c r="P711" t="s">
        <v>40</v>
      </c>
      <c r="Q711" t="s">
        <v>40</v>
      </c>
      <c r="R711" t="s">
        <v>40</v>
      </c>
      <c r="S711" t="s">
        <v>40</v>
      </c>
      <c r="U711" s="1">
        <v>43344</v>
      </c>
      <c r="V711" t="s">
        <v>41</v>
      </c>
      <c r="W711" t="s">
        <v>75</v>
      </c>
      <c r="X711" t="str">
        <f>"7052020"</f>
        <v>7052020</v>
      </c>
      <c r="Y711" t="s">
        <v>267</v>
      </c>
      <c r="Z711" t="s">
        <v>268</v>
      </c>
      <c r="AA711" t="s">
        <v>269</v>
      </c>
      <c r="AB711" t="s">
        <v>131</v>
      </c>
      <c r="AC711" t="s">
        <v>51</v>
      </c>
      <c r="AD711" t="s">
        <v>45</v>
      </c>
      <c r="AE711" s="1">
        <v>32143</v>
      </c>
      <c r="AF711">
        <v>1</v>
      </c>
      <c r="AG711" t="s">
        <v>269</v>
      </c>
      <c r="AH711" s="36">
        <f t="shared" si="11"/>
        <v>31.427777777777777</v>
      </c>
      <c r="AI711" s="40" t="s">
        <v>1778</v>
      </c>
    </row>
    <row r="712" spans="1:35" x14ac:dyDescent="0.25">
      <c r="A712" s="36">
        <v>99910710</v>
      </c>
      <c r="B712" s="17" t="s">
        <v>32</v>
      </c>
      <c r="C712" t="s">
        <v>111</v>
      </c>
      <c r="D712" t="s">
        <v>112</v>
      </c>
      <c r="G712" s="17" t="s">
        <v>48</v>
      </c>
      <c r="H712" s="17">
        <v>1</v>
      </c>
      <c r="K712" t="s">
        <v>268</v>
      </c>
      <c r="L712" t="s">
        <v>269</v>
      </c>
      <c r="M712" t="s">
        <v>131</v>
      </c>
      <c r="N712">
        <v>24</v>
      </c>
      <c r="O712" t="s">
        <v>40</v>
      </c>
      <c r="P712" t="s">
        <v>40</v>
      </c>
      <c r="Q712" t="s">
        <v>40</v>
      </c>
      <c r="R712" t="s">
        <v>40</v>
      </c>
      <c r="S712" t="s">
        <v>40</v>
      </c>
      <c r="V712" t="s">
        <v>41</v>
      </c>
      <c r="W712" t="s">
        <v>75</v>
      </c>
      <c r="X712" t="str">
        <f>"7052044"</f>
        <v>7052044</v>
      </c>
      <c r="Y712" t="s">
        <v>589</v>
      </c>
      <c r="Z712" t="s">
        <v>268</v>
      </c>
      <c r="AA712" t="s">
        <v>269</v>
      </c>
      <c r="AB712" t="s">
        <v>131</v>
      </c>
      <c r="AC712" t="s">
        <v>51</v>
      </c>
      <c r="AD712" t="s">
        <v>45</v>
      </c>
      <c r="AE712" s="1">
        <v>32143</v>
      </c>
      <c r="AF712">
        <v>1</v>
      </c>
      <c r="AG712" t="s">
        <v>269</v>
      </c>
      <c r="AH712" s="36">
        <f t="shared" si="11"/>
        <v>31.427777777777777</v>
      </c>
      <c r="AI712" s="40" t="s">
        <v>1778</v>
      </c>
    </row>
    <row r="713" spans="1:35" x14ac:dyDescent="0.25">
      <c r="A713" s="36">
        <v>99910711</v>
      </c>
      <c r="B713" s="17" t="s">
        <v>32</v>
      </c>
      <c r="C713" t="s">
        <v>111</v>
      </c>
      <c r="D713" t="s">
        <v>112</v>
      </c>
      <c r="G713" s="17" t="s">
        <v>48</v>
      </c>
      <c r="H713" s="17">
        <v>1</v>
      </c>
      <c r="K713" t="s">
        <v>268</v>
      </c>
      <c r="L713" t="s">
        <v>269</v>
      </c>
      <c r="M713" t="s">
        <v>131</v>
      </c>
      <c r="N713">
        <v>24</v>
      </c>
      <c r="O713" t="s">
        <v>40</v>
      </c>
      <c r="P713" t="s">
        <v>40</v>
      </c>
      <c r="Q713" t="s">
        <v>40</v>
      </c>
      <c r="R713" t="s">
        <v>40</v>
      </c>
      <c r="S713" t="s">
        <v>40</v>
      </c>
      <c r="V713" t="s">
        <v>41</v>
      </c>
      <c r="W713" t="s">
        <v>75</v>
      </c>
      <c r="X713" t="str">
        <f>"7052040"</f>
        <v>7052040</v>
      </c>
      <c r="Y713" t="s">
        <v>591</v>
      </c>
      <c r="Z713" t="s">
        <v>268</v>
      </c>
      <c r="AA713" t="s">
        <v>269</v>
      </c>
      <c r="AB713" t="s">
        <v>131</v>
      </c>
      <c r="AC713" t="s">
        <v>51</v>
      </c>
      <c r="AD713" t="s">
        <v>45</v>
      </c>
      <c r="AE713" s="1">
        <v>32143</v>
      </c>
      <c r="AF713">
        <v>1</v>
      </c>
      <c r="AG713" t="s">
        <v>269</v>
      </c>
      <c r="AH713" s="36">
        <f t="shared" si="11"/>
        <v>31.427777777777777</v>
      </c>
      <c r="AI713" s="40" t="s">
        <v>1778</v>
      </c>
    </row>
    <row r="714" spans="1:35" x14ac:dyDescent="0.25">
      <c r="A714" s="36">
        <v>99910712</v>
      </c>
      <c r="B714" s="17" t="s">
        <v>32</v>
      </c>
      <c r="C714" t="s">
        <v>111</v>
      </c>
      <c r="D714" t="s">
        <v>112</v>
      </c>
      <c r="G714" s="17" t="s">
        <v>35</v>
      </c>
      <c r="H714" s="17">
        <v>1</v>
      </c>
      <c r="I714" t="s">
        <v>286</v>
      </c>
      <c r="J714" s="1">
        <v>43344</v>
      </c>
      <c r="K714" t="s">
        <v>268</v>
      </c>
      <c r="L714" t="s">
        <v>269</v>
      </c>
      <c r="M714" t="s">
        <v>131</v>
      </c>
      <c r="N714">
        <v>24</v>
      </c>
      <c r="O714" t="s">
        <v>40</v>
      </c>
      <c r="P714" t="s">
        <v>40</v>
      </c>
      <c r="Q714" t="s">
        <v>40</v>
      </c>
      <c r="R714" t="s">
        <v>40</v>
      </c>
      <c r="S714" t="s">
        <v>40</v>
      </c>
      <c r="U714" s="1">
        <v>43344</v>
      </c>
      <c r="V714" t="s">
        <v>41</v>
      </c>
      <c r="W714" t="s">
        <v>75</v>
      </c>
      <c r="X714" t="str">
        <f>"7052012"</f>
        <v>7052012</v>
      </c>
      <c r="Y714" t="s">
        <v>270</v>
      </c>
      <c r="Z714" t="s">
        <v>268</v>
      </c>
      <c r="AA714" t="s">
        <v>269</v>
      </c>
      <c r="AB714" t="s">
        <v>131</v>
      </c>
      <c r="AC714" t="s">
        <v>51</v>
      </c>
      <c r="AD714" t="s">
        <v>45</v>
      </c>
      <c r="AE714" s="1">
        <v>32143</v>
      </c>
      <c r="AF714">
        <v>1</v>
      </c>
      <c r="AG714" t="s">
        <v>269</v>
      </c>
      <c r="AH714" s="36">
        <f t="shared" si="11"/>
        <v>31.427777777777777</v>
      </c>
      <c r="AI714" s="40" t="s">
        <v>1778</v>
      </c>
    </row>
    <row r="715" spans="1:35" x14ac:dyDescent="0.25">
      <c r="A715" s="36">
        <v>99910713</v>
      </c>
      <c r="B715" s="17" t="s">
        <v>32</v>
      </c>
      <c r="C715" t="s">
        <v>111</v>
      </c>
      <c r="D715" t="s">
        <v>112</v>
      </c>
      <c r="G715" s="17" t="s">
        <v>48</v>
      </c>
      <c r="H715" s="17">
        <v>1</v>
      </c>
      <c r="K715" t="s">
        <v>407</v>
      </c>
      <c r="L715" t="s">
        <v>409</v>
      </c>
      <c r="M715" t="s">
        <v>131</v>
      </c>
      <c r="N715">
        <v>24</v>
      </c>
      <c r="O715" t="s">
        <v>40</v>
      </c>
      <c r="P715" t="s">
        <v>40</v>
      </c>
      <c r="Q715" t="s">
        <v>40</v>
      </c>
      <c r="R715" t="s">
        <v>40</v>
      </c>
      <c r="S715" t="s">
        <v>40</v>
      </c>
      <c r="V715" t="s">
        <v>41</v>
      </c>
      <c r="W715" t="s">
        <v>75</v>
      </c>
      <c r="X715" t="str">
        <f>"7053000"</f>
        <v>7053000</v>
      </c>
      <c r="Y715" t="s">
        <v>754</v>
      </c>
      <c r="Z715" t="s">
        <v>407</v>
      </c>
      <c r="AA715" t="s">
        <v>409</v>
      </c>
      <c r="AB715" t="s">
        <v>131</v>
      </c>
      <c r="AC715" t="s">
        <v>51</v>
      </c>
      <c r="AD715" t="s">
        <v>45</v>
      </c>
      <c r="AE715" s="1">
        <v>32143</v>
      </c>
      <c r="AF715">
        <v>1</v>
      </c>
      <c r="AG715" t="s">
        <v>409</v>
      </c>
      <c r="AH715" s="36">
        <f t="shared" si="11"/>
        <v>31.427777777777777</v>
      </c>
      <c r="AI715" s="40" t="s">
        <v>1778</v>
      </c>
    </row>
    <row r="716" spans="1:35" x14ac:dyDescent="0.25">
      <c r="A716" s="36">
        <v>99910714</v>
      </c>
      <c r="B716" s="17" t="s">
        <v>32</v>
      </c>
      <c r="C716" t="s">
        <v>111</v>
      </c>
      <c r="D716" t="s">
        <v>112</v>
      </c>
      <c r="G716" s="17" t="s">
        <v>48</v>
      </c>
      <c r="H716" s="17">
        <v>1</v>
      </c>
      <c r="K716" t="s">
        <v>407</v>
      </c>
      <c r="L716" t="s">
        <v>409</v>
      </c>
      <c r="M716" t="s">
        <v>131</v>
      </c>
      <c r="N716">
        <v>24</v>
      </c>
      <c r="O716" t="s">
        <v>40</v>
      </c>
      <c r="P716" t="s">
        <v>40</v>
      </c>
      <c r="Q716" t="s">
        <v>40</v>
      </c>
      <c r="R716" t="s">
        <v>40</v>
      </c>
      <c r="S716" t="s">
        <v>40</v>
      </c>
      <c r="V716" t="s">
        <v>41</v>
      </c>
      <c r="W716" t="s">
        <v>75</v>
      </c>
      <c r="X716" t="str">
        <f>"7053000"</f>
        <v>7053000</v>
      </c>
      <c r="Y716" t="s">
        <v>754</v>
      </c>
      <c r="Z716" t="s">
        <v>407</v>
      </c>
      <c r="AA716" t="s">
        <v>409</v>
      </c>
      <c r="AB716" t="s">
        <v>131</v>
      </c>
      <c r="AC716" t="s">
        <v>51</v>
      </c>
      <c r="AD716" t="s">
        <v>45</v>
      </c>
      <c r="AE716" s="1">
        <v>32143</v>
      </c>
      <c r="AF716">
        <v>1</v>
      </c>
      <c r="AG716" t="s">
        <v>409</v>
      </c>
      <c r="AH716" s="36">
        <f t="shared" si="11"/>
        <v>31.427777777777777</v>
      </c>
      <c r="AI716" s="40" t="s">
        <v>1778</v>
      </c>
    </row>
    <row r="717" spans="1:35" x14ac:dyDescent="0.25">
      <c r="A717" s="36">
        <v>99910715</v>
      </c>
      <c r="B717" s="17" t="s">
        <v>32</v>
      </c>
      <c r="C717" t="s">
        <v>111</v>
      </c>
      <c r="D717" t="s">
        <v>112</v>
      </c>
      <c r="G717" s="17" t="s">
        <v>88</v>
      </c>
      <c r="H717" s="17">
        <v>3</v>
      </c>
      <c r="I717" t="s">
        <v>779</v>
      </c>
      <c r="J717" s="1">
        <v>43344</v>
      </c>
      <c r="K717" t="s">
        <v>354</v>
      </c>
      <c r="L717" t="s">
        <v>355</v>
      </c>
      <c r="M717" t="s">
        <v>131</v>
      </c>
      <c r="N717">
        <v>24</v>
      </c>
      <c r="O717" t="s">
        <v>40</v>
      </c>
      <c r="P717" t="s">
        <v>40</v>
      </c>
      <c r="Q717" t="s">
        <v>40</v>
      </c>
      <c r="R717" t="s">
        <v>40</v>
      </c>
      <c r="S717" t="s">
        <v>40</v>
      </c>
      <c r="U717" s="1">
        <v>43344</v>
      </c>
      <c r="V717" t="s">
        <v>41</v>
      </c>
      <c r="W717" t="s">
        <v>75</v>
      </c>
      <c r="X717" t="str">
        <f>"7054012"</f>
        <v>7054012</v>
      </c>
      <c r="Y717" t="s">
        <v>353</v>
      </c>
      <c r="Z717" t="s">
        <v>354</v>
      </c>
      <c r="AA717" t="s">
        <v>355</v>
      </c>
      <c r="AB717" t="s">
        <v>131</v>
      </c>
      <c r="AC717" t="s">
        <v>51</v>
      </c>
      <c r="AD717" t="s">
        <v>45</v>
      </c>
      <c r="AE717" s="1">
        <v>32143</v>
      </c>
      <c r="AF717">
        <v>1</v>
      </c>
      <c r="AG717" t="s">
        <v>355</v>
      </c>
      <c r="AH717" s="36">
        <f t="shared" si="11"/>
        <v>31.427777777777777</v>
      </c>
      <c r="AI717" s="40" t="s">
        <v>1778</v>
      </c>
    </row>
    <row r="718" spans="1:35" x14ac:dyDescent="0.25">
      <c r="A718" s="36">
        <v>99910716</v>
      </c>
      <c r="B718" s="17" t="s">
        <v>32</v>
      </c>
      <c r="C718" t="s">
        <v>111</v>
      </c>
      <c r="D718" t="s">
        <v>112</v>
      </c>
      <c r="G718" s="17" t="s">
        <v>35</v>
      </c>
      <c r="H718" s="17">
        <v>1</v>
      </c>
      <c r="I718" t="s">
        <v>779</v>
      </c>
      <c r="J718" s="1">
        <v>43344</v>
      </c>
      <c r="K718" t="s">
        <v>354</v>
      </c>
      <c r="L718" t="s">
        <v>355</v>
      </c>
      <c r="M718" t="s">
        <v>131</v>
      </c>
      <c r="N718">
        <v>24</v>
      </c>
      <c r="O718" t="s">
        <v>40</v>
      </c>
      <c r="P718" t="s">
        <v>40</v>
      </c>
      <c r="Q718" t="s">
        <v>40</v>
      </c>
      <c r="R718" t="s">
        <v>40</v>
      </c>
      <c r="S718" t="s">
        <v>40</v>
      </c>
      <c r="U718" s="1">
        <v>43344</v>
      </c>
      <c r="V718" t="s">
        <v>41</v>
      </c>
      <c r="W718" t="s">
        <v>75</v>
      </c>
      <c r="X718" t="str">
        <f>"7054042"</f>
        <v>7054042</v>
      </c>
      <c r="Y718" t="s">
        <v>776</v>
      </c>
      <c r="Z718" t="s">
        <v>354</v>
      </c>
      <c r="AA718" t="s">
        <v>355</v>
      </c>
      <c r="AB718" t="s">
        <v>131</v>
      </c>
      <c r="AC718" t="s">
        <v>51</v>
      </c>
      <c r="AD718" t="s">
        <v>45</v>
      </c>
      <c r="AE718" s="1">
        <v>32143</v>
      </c>
      <c r="AF718">
        <v>1</v>
      </c>
      <c r="AG718" t="s">
        <v>355</v>
      </c>
      <c r="AH718" s="36">
        <f t="shared" si="11"/>
        <v>31.427777777777777</v>
      </c>
      <c r="AI718" s="40" t="s">
        <v>1778</v>
      </c>
    </row>
    <row r="719" spans="1:35" x14ac:dyDescent="0.25">
      <c r="A719" s="36">
        <v>99910717</v>
      </c>
      <c r="B719" s="17" t="s">
        <v>32</v>
      </c>
      <c r="C719" t="s">
        <v>111</v>
      </c>
      <c r="D719" t="s">
        <v>112</v>
      </c>
      <c r="G719" s="17" t="s">
        <v>35</v>
      </c>
      <c r="H719" s="17">
        <v>1</v>
      </c>
      <c r="I719" t="s">
        <v>815</v>
      </c>
      <c r="J719" s="1">
        <v>43344</v>
      </c>
      <c r="K719" t="s">
        <v>354</v>
      </c>
      <c r="L719" t="s">
        <v>355</v>
      </c>
      <c r="M719" t="s">
        <v>131</v>
      </c>
      <c r="N719">
        <v>24</v>
      </c>
      <c r="O719" t="s">
        <v>40</v>
      </c>
      <c r="P719" t="s">
        <v>40</v>
      </c>
      <c r="Q719" t="s">
        <v>40</v>
      </c>
      <c r="R719" t="s">
        <v>40</v>
      </c>
      <c r="S719" t="s">
        <v>40</v>
      </c>
      <c r="U719" s="1">
        <v>43344</v>
      </c>
      <c r="V719" t="s">
        <v>41</v>
      </c>
      <c r="W719" t="s">
        <v>75</v>
      </c>
      <c r="X719" t="str">
        <f>"7054024"</f>
        <v>7054024</v>
      </c>
      <c r="Y719" t="s">
        <v>793</v>
      </c>
      <c r="Z719" t="s">
        <v>354</v>
      </c>
      <c r="AA719" t="s">
        <v>355</v>
      </c>
      <c r="AB719" t="s">
        <v>131</v>
      </c>
      <c r="AC719" t="s">
        <v>51</v>
      </c>
      <c r="AD719" t="s">
        <v>45</v>
      </c>
      <c r="AE719" s="1">
        <v>32143</v>
      </c>
      <c r="AF719">
        <v>1</v>
      </c>
      <c r="AG719" t="s">
        <v>355</v>
      </c>
      <c r="AH719" s="36">
        <f t="shared" si="11"/>
        <v>31.427777777777777</v>
      </c>
      <c r="AI719" s="40" t="s">
        <v>1778</v>
      </c>
    </row>
    <row r="720" spans="1:35" x14ac:dyDescent="0.25">
      <c r="A720" s="36">
        <v>99910718</v>
      </c>
      <c r="B720" s="17" t="s">
        <v>32</v>
      </c>
      <c r="C720" t="s">
        <v>111</v>
      </c>
      <c r="D720" t="s">
        <v>112</v>
      </c>
      <c r="G720" s="17" t="s">
        <v>35</v>
      </c>
      <c r="H720" s="17">
        <v>1</v>
      </c>
      <c r="I720" t="s">
        <v>829</v>
      </c>
      <c r="J720" s="1">
        <v>43344</v>
      </c>
      <c r="K720" t="s">
        <v>354</v>
      </c>
      <c r="L720" t="s">
        <v>355</v>
      </c>
      <c r="M720" t="s">
        <v>131</v>
      </c>
      <c r="N720">
        <v>24</v>
      </c>
      <c r="O720" t="s">
        <v>40</v>
      </c>
      <c r="P720" t="s">
        <v>40</v>
      </c>
      <c r="Q720" t="s">
        <v>40</v>
      </c>
      <c r="R720" t="s">
        <v>40</v>
      </c>
      <c r="S720" t="s">
        <v>40</v>
      </c>
      <c r="U720" s="1">
        <v>43344</v>
      </c>
      <c r="V720" t="s">
        <v>41</v>
      </c>
      <c r="W720" t="s">
        <v>75</v>
      </c>
      <c r="X720" t="str">
        <f>"7054012"</f>
        <v>7054012</v>
      </c>
      <c r="Y720" t="s">
        <v>353</v>
      </c>
      <c r="Z720" t="s">
        <v>354</v>
      </c>
      <c r="AA720" t="s">
        <v>355</v>
      </c>
      <c r="AB720" t="s">
        <v>131</v>
      </c>
      <c r="AC720" t="s">
        <v>51</v>
      </c>
      <c r="AD720" t="s">
        <v>45</v>
      </c>
      <c r="AE720" s="1">
        <v>32143</v>
      </c>
      <c r="AF720">
        <v>1</v>
      </c>
      <c r="AG720" t="s">
        <v>355</v>
      </c>
      <c r="AH720" s="36">
        <f t="shared" si="11"/>
        <v>31.427777777777777</v>
      </c>
      <c r="AI720" s="40" t="s">
        <v>1778</v>
      </c>
    </row>
    <row r="721" spans="1:35" x14ac:dyDescent="0.25">
      <c r="A721" s="36">
        <v>99910719</v>
      </c>
      <c r="B721" s="17" t="s">
        <v>32</v>
      </c>
      <c r="C721" t="s">
        <v>111</v>
      </c>
      <c r="D721" t="s">
        <v>112</v>
      </c>
      <c r="G721" s="17" t="s">
        <v>88</v>
      </c>
      <c r="H721" s="17">
        <v>3</v>
      </c>
      <c r="J721" s="1">
        <v>43344</v>
      </c>
      <c r="K721" t="s">
        <v>354</v>
      </c>
      <c r="L721" t="s">
        <v>355</v>
      </c>
      <c r="M721" t="s">
        <v>131</v>
      </c>
      <c r="N721">
        <v>24</v>
      </c>
      <c r="O721" t="s">
        <v>40</v>
      </c>
      <c r="P721" t="s">
        <v>40</v>
      </c>
      <c r="Q721" t="s">
        <v>40</v>
      </c>
      <c r="R721" t="s">
        <v>40</v>
      </c>
      <c r="S721" t="s">
        <v>40</v>
      </c>
      <c r="U721" s="1">
        <v>43344</v>
      </c>
      <c r="V721" t="s">
        <v>41</v>
      </c>
      <c r="W721" t="s">
        <v>75</v>
      </c>
      <c r="X721" t="str">
        <f>"7054000"</f>
        <v>7054000</v>
      </c>
      <c r="Y721" t="s">
        <v>786</v>
      </c>
      <c r="Z721" t="s">
        <v>354</v>
      </c>
      <c r="AA721" t="s">
        <v>355</v>
      </c>
      <c r="AB721" t="s">
        <v>131</v>
      </c>
      <c r="AC721" t="s">
        <v>51</v>
      </c>
      <c r="AD721" t="s">
        <v>45</v>
      </c>
      <c r="AE721" s="1">
        <v>32143</v>
      </c>
      <c r="AF721">
        <v>1</v>
      </c>
      <c r="AG721" t="s">
        <v>355</v>
      </c>
      <c r="AH721" s="36">
        <f t="shared" si="11"/>
        <v>31.427777777777777</v>
      </c>
      <c r="AI721" s="40" t="s">
        <v>1778</v>
      </c>
    </row>
    <row r="722" spans="1:35" x14ac:dyDescent="0.25">
      <c r="A722" s="36">
        <v>99910720</v>
      </c>
      <c r="B722" s="17" t="s">
        <v>32</v>
      </c>
      <c r="C722" t="s">
        <v>111</v>
      </c>
      <c r="D722" t="s">
        <v>112</v>
      </c>
      <c r="G722" s="17" t="s">
        <v>88</v>
      </c>
      <c r="H722" s="17">
        <v>3</v>
      </c>
      <c r="I722">
        <v>10934</v>
      </c>
      <c r="J722" s="1">
        <v>43344</v>
      </c>
      <c r="K722" t="s">
        <v>354</v>
      </c>
      <c r="L722" t="s">
        <v>355</v>
      </c>
      <c r="M722" t="s">
        <v>131</v>
      </c>
      <c r="N722">
        <v>24</v>
      </c>
      <c r="O722" t="s">
        <v>40</v>
      </c>
      <c r="P722" t="s">
        <v>40</v>
      </c>
      <c r="Q722" t="s">
        <v>40</v>
      </c>
      <c r="R722" t="s">
        <v>40</v>
      </c>
      <c r="S722" t="s">
        <v>40</v>
      </c>
      <c r="U722" s="1">
        <v>43344</v>
      </c>
      <c r="V722" t="s">
        <v>41</v>
      </c>
      <c r="W722" t="s">
        <v>75</v>
      </c>
      <c r="X722" t="str">
        <f>"7054012"</f>
        <v>7054012</v>
      </c>
      <c r="Y722" t="s">
        <v>353</v>
      </c>
      <c r="Z722" t="s">
        <v>354</v>
      </c>
      <c r="AA722" t="s">
        <v>355</v>
      </c>
      <c r="AB722" t="s">
        <v>131</v>
      </c>
      <c r="AC722" t="s">
        <v>51</v>
      </c>
      <c r="AD722" t="s">
        <v>45</v>
      </c>
      <c r="AE722" s="1">
        <v>32143</v>
      </c>
      <c r="AF722">
        <v>1</v>
      </c>
      <c r="AG722" t="s">
        <v>355</v>
      </c>
      <c r="AH722" s="36">
        <f t="shared" si="11"/>
        <v>31.427777777777777</v>
      </c>
      <c r="AI722" s="40" t="s">
        <v>1778</v>
      </c>
    </row>
    <row r="723" spans="1:35" x14ac:dyDescent="0.25">
      <c r="A723" s="36">
        <v>99910721</v>
      </c>
      <c r="B723" s="17" t="s">
        <v>32</v>
      </c>
      <c r="C723" t="s">
        <v>111</v>
      </c>
      <c r="D723" t="s">
        <v>112</v>
      </c>
      <c r="G723" s="17" t="s">
        <v>88</v>
      </c>
      <c r="H723" s="17">
        <v>3</v>
      </c>
      <c r="J723" s="1">
        <v>43344</v>
      </c>
      <c r="K723" t="s">
        <v>354</v>
      </c>
      <c r="L723" t="s">
        <v>355</v>
      </c>
      <c r="M723" t="s">
        <v>131</v>
      </c>
      <c r="N723">
        <v>24</v>
      </c>
      <c r="O723" t="s">
        <v>40</v>
      </c>
      <c r="P723" t="s">
        <v>40</v>
      </c>
      <c r="Q723" t="s">
        <v>40</v>
      </c>
      <c r="R723" t="s">
        <v>40</v>
      </c>
      <c r="S723" t="s">
        <v>40</v>
      </c>
      <c r="U723" s="1">
        <v>43344</v>
      </c>
      <c r="V723" t="s">
        <v>41</v>
      </c>
      <c r="W723" t="s">
        <v>75</v>
      </c>
      <c r="X723" t="str">
        <f>"7054000"</f>
        <v>7054000</v>
      </c>
      <c r="Y723" t="s">
        <v>786</v>
      </c>
      <c r="Z723" t="s">
        <v>354</v>
      </c>
      <c r="AA723" t="s">
        <v>355</v>
      </c>
      <c r="AB723" t="s">
        <v>131</v>
      </c>
      <c r="AC723" t="s">
        <v>51</v>
      </c>
      <c r="AD723" t="s">
        <v>45</v>
      </c>
      <c r="AE723" s="1">
        <v>32143</v>
      </c>
      <c r="AF723">
        <v>1</v>
      </c>
      <c r="AG723" t="s">
        <v>355</v>
      </c>
      <c r="AH723" s="36">
        <f t="shared" si="11"/>
        <v>31.427777777777777</v>
      </c>
      <c r="AI723" s="40" t="s">
        <v>1778</v>
      </c>
    </row>
    <row r="724" spans="1:35" x14ac:dyDescent="0.25">
      <c r="A724" s="36">
        <v>99910722</v>
      </c>
      <c r="B724" s="17" t="s">
        <v>32</v>
      </c>
      <c r="C724" t="s">
        <v>111</v>
      </c>
      <c r="D724" t="s">
        <v>112</v>
      </c>
      <c r="G724" s="17" t="s">
        <v>35</v>
      </c>
      <c r="H724" s="17">
        <v>1</v>
      </c>
      <c r="I724">
        <v>10934</v>
      </c>
      <c r="J724" s="1">
        <v>43344</v>
      </c>
      <c r="K724" t="s">
        <v>354</v>
      </c>
      <c r="L724" t="s">
        <v>355</v>
      </c>
      <c r="M724" t="s">
        <v>131</v>
      </c>
      <c r="N724">
        <v>24</v>
      </c>
      <c r="O724" t="s">
        <v>40</v>
      </c>
      <c r="P724" t="s">
        <v>40</v>
      </c>
      <c r="Q724" t="s">
        <v>40</v>
      </c>
      <c r="R724" t="s">
        <v>40</v>
      </c>
      <c r="S724" t="s">
        <v>40</v>
      </c>
      <c r="U724" s="1">
        <v>43344</v>
      </c>
      <c r="V724" t="s">
        <v>41</v>
      </c>
      <c r="W724" t="s">
        <v>75</v>
      </c>
      <c r="X724" t="str">
        <f>"7054024"</f>
        <v>7054024</v>
      </c>
      <c r="Y724" t="s">
        <v>793</v>
      </c>
      <c r="Z724" t="s">
        <v>354</v>
      </c>
      <c r="AA724" t="s">
        <v>355</v>
      </c>
      <c r="AB724" t="s">
        <v>131</v>
      </c>
      <c r="AC724" t="s">
        <v>51</v>
      </c>
      <c r="AD724" t="s">
        <v>45</v>
      </c>
      <c r="AE724" s="1">
        <v>32143</v>
      </c>
      <c r="AF724">
        <v>1</v>
      </c>
      <c r="AG724" t="s">
        <v>355</v>
      </c>
      <c r="AH724" s="36">
        <f t="shared" si="11"/>
        <v>31.427777777777777</v>
      </c>
      <c r="AI724" s="40" t="s">
        <v>1778</v>
      </c>
    </row>
    <row r="725" spans="1:35" x14ac:dyDescent="0.25">
      <c r="A725" s="36">
        <v>99910723</v>
      </c>
      <c r="B725" s="17" t="s">
        <v>32</v>
      </c>
      <c r="C725" t="s">
        <v>111</v>
      </c>
      <c r="D725" t="s">
        <v>112</v>
      </c>
      <c r="G725" s="17" t="s">
        <v>88</v>
      </c>
      <c r="H725" s="17">
        <v>5</v>
      </c>
      <c r="K725" t="s">
        <v>354</v>
      </c>
      <c r="L725" t="s">
        <v>355</v>
      </c>
      <c r="M725" t="s">
        <v>131</v>
      </c>
      <c r="N725">
        <v>24</v>
      </c>
      <c r="O725" t="s">
        <v>40</v>
      </c>
      <c r="P725" t="s">
        <v>40</v>
      </c>
      <c r="Q725" t="s">
        <v>40</v>
      </c>
      <c r="R725" t="s">
        <v>40</v>
      </c>
      <c r="S725" t="s">
        <v>40</v>
      </c>
      <c r="V725" t="s">
        <v>41</v>
      </c>
      <c r="W725" t="s">
        <v>75</v>
      </c>
      <c r="X725" t="str">
        <f>"7054002"</f>
        <v>7054002</v>
      </c>
      <c r="Y725" t="s">
        <v>376</v>
      </c>
      <c r="Z725" t="s">
        <v>354</v>
      </c>
      <c r="AA725" t="s">
        <v>355</v>
      </c>
      <c r="AB725" t="s">
        <v>131</v>
      </c>
      <c r="AC725" t="s">
        <v>51</v>
      </c>
      <c r="AD725" t="s">
        <v>45</v>
      </c>
      <c r="AE725" s="1">
        <v>32143</v>
      </c>
      <c r="AF725">
        <v>1</v>
      </c>
      <c r="AG725" t="s">
        <v>355</v>
      </c>
      <c r="AH725" s="36">
        <f t="shared" si="11"/>
        <v>31.427777777777777</v>
      </c>
      <c r="AI725" s="40" t="s">
        <v>1778</v>
      </c>
    </row>
    <row r="726" spans="1:35" x14ac:dyDescent="0.25">
      <c r="A726" s="36">
        <v>99910724</v>
      </c>
      <c r="B726" s="17" t="s">
        <v>32</v>
      </c>
      <c r="C726" t="s">
        <v>111</v>
      </c>
      <c r="D726" t="s">
        <v>112</v>
      </c>
      <c r="G726" s="17" t="s">
        <v>88</v>
      </c>
      <c r="H726" s="17">
        <v>3</v>
      </c>
      <c r="J726" s="1">
        <v>43344</v>
      </c>
      <c r="K726" t="s">
        <v>354</v>
      </c>
      <c r="L726" t="s">
        <v>355</v>
      </c>
      <c r="M726" t="s">
        <v>131</v>
      </c>
      <c r="N726">
        <v>22</v>
      </c>
      <c r="O726" t="s">
        <v>40</v>
      </c>
      <c r="P726" t="s">
        <v>40</v>
      </c>
      <c r="Q726" t="s">
        <v>40</v>
      </c>
      <c r="R726" t="s">
        <v>40</v>
      </c>
      <c r="S726" t="s">
        <v>40</v>
      </c>
      <c r="U726" s="1">
        <v>43344</v>
      </c>
      <c r="V726" t="s">
        <v>41</v>
      </c>
      <c r="W726" t="s">
        <v>75</v>
      </c>
      <c r="X726" t="str">
        <f>"7054006"</f>
        <v>7054006</v>
      </c>
      <c r="Y726" t="s">
        <v>774</v>
      </c>
      <c r="Z726" t="s">
        <v>354</v>
      </c>
      <c r="AA726" t="s">
        <v>355</v>
      </c>
      <c r="AB726" t="s">
        <v>131</v>
      </c>
      <c r="AC726" t="s">
        <v>51</v>
      </c>
      <c r="AD726" t="s">
        <v>45</v>
      </c>
      <c r="AE726" s="1">
        <v>32143</v>
      </c>
      <c r="AF726">
        <v>1</v>
      </c>
      <c r="AG726" t="s">
        <v>355</v>
      </c>
      <c r="AH726" s="36">
        <f t="shared" si="11"/>
        <v>31.427777777777777</v>
      </c>
      <c r="AI726" s="40" t="s">
        <v>1778</v>
      </c>
    </row>
    <row r="727" spans="1:35" x14ac:dyDescent="0.25">
      <c r="A727" s="36">
        <v>99910725</v>
      </c>
      <c r="B727" s="17" t="s">
        <v>32</v>
      </c>
      <c r="C727" t="s">
        <v>111</v>
      </c>
      <c r="D727" t="s">
        <v>112</v>
      </c>
      <c r="G727" s="17" t="s">
        <v>35</v>
      </c>
      <c r="H727" s="17">
        <v>1</v>
      </c>
      <c r="K727" t="s">
        <v>877</v>
      </c>
      <c r="L727" t="s">
        <v>878</v>
      </c>
      <c r="M727" t="s">
        <v>131</v>
      </c>
      <c r="N727">
        <v>24</v>
      </c>
      <c r="O727" t="s">
        <v>40</v>
      </c>
      <c r="P727" t="s">
        <v>40</v>
      </c>
      <c r="Q727" t="s">
        <v>40</v>
      </c>
      <c r="R727" t="s">
        <v>40</v>
      </c>
      <c r="S727" t="s">
        <v>40</v>
      </c>
      <c r="V727" t="s">
        <v>41</v>
      </c>
      <c r="W727" t="s">
        <v>75</v>
      </c>
      <c r="X727" t="str">
        <f>"7700025"</f>
        <v>7700025</v>
      </c>
      <c r="Y727" t="s">
        <v>880</v>
      </c>
      <c r="Z727" t="s">
        <v>877</v>
      </c>
      <c r="AA727" t="s">
        <v>878</v>
      </c>
      <c r="AB727" t="s">
        <v>131</v>
      </c>
      <c r="AC727" t="s">
        <v>51</v>
      </c>
      <c r="AD727" t="s">
        <v>45</v>
      </c>
      <c r="AE727" s="1">
        <v>32143</v>
      </c>
      <c r="AF727">
        <v>1</v>
      </c>
      <c r="AG727" t="s">
        <v>878</v>
      </c>
      <c r="AH727" s="36">
        <f t="shared" si="11"/>
        <v>31.427777777777777</v>
      </c>
      <c r="AI727" s="40" t="s">
        <v>1778</v>
      </c>
    </row>
    <row r="728" spans="1:35" x14ac:dyDescent="0.25">
      <c r="A728" s="36">
        <v>99910726</v>
      </c>
      <c r="B728" s="17" t="s">
        <v>32</v>
      </c>
      <c r="C728" t="s">
        <v>111</v>
      </c>
      <c r="D728" t="s">
        <v>112</v>
      </c>
      <c r="G728" s="17" t="s">
        <v>35</v>
      </c>
      <c r="H728" s="17">
        <v>1</v>
      </c>
      <c r="K728" t="s">
        <v>877</v>
      </c>
      <c r="L728" t="s">
        <v>878</v>
      </c>
      <c r="M728" t="s">
        <v>131</v>
      </c>
      <c r="N728">
        <v>24</v>
      </c>
      <c r="O728" t="s">
        <v>40</v>
      </c>
      <c r="P728" t="s">
        <v>40</v>
      </c>
      <c r="Q728" t="s">
        <v>40</v>
      </c>
      <c r="R728" t="s">
        <v>40</v>
      </c>
      <c r="S728" t="s">
        <v>40</v>
      </c>
      <c r="V728" t="s">
        <v>41</v>
      </c>
      <c r="W728" t="s">
        <v>75</v>
      </c>
      <c r="X728" t="str">
        <f>"7541008"</f>
        <v>7541008</v>
      </c>
      <c r="Y728" t="s">
        <v>879</v>
      </c>
      <c r="Z728" t="s">
        <v>877</v>
      </c>
      <c r="AA728" t="s">
        <v>878</v>
      </c>
      <c r="AB728" t="s">
        <v>131</v>
      </c>
      <c r="AC728" t="s">
        <v>51</v>
      </c>
      <c r="AD728" t="s">
        <v>45</v>
      </c>
      <c r="AE728" s="1">
        <v>32143</v>
      </c>
      <c r="AF728">
        <v>1</v>
      </c>
      <c r="AG728" t="s">
        <v>878</v>
      </c>
      <c r="AH728" s="36">
        <f t="shared" si="11"/>
        <v>31.427777777777777</v>
      </c>
      <c r="AI728" s="40" t="s">
        <v>1778</v>
      </c>
    </row>
    <row r="729" spans="1:35" x14ac:dyDescent="0.25">
      <c r="A729" s="36">
        <v>99910727</v>
      </c>
      <c r="B729" s="17" t="s">
        <v>32</v>
      </c>
      <c r="C729" t="s">
        <v>111</v>
      </c>
      <c r="D729" t="s">
        <v>112</v>
      </c>
      <c r="G729" s="17" t="s">
        <v>48</v>
      </c>
      <c r="H729" s="17">
        <v>3</v>
      </c>
      <c r="K729" t="s">
        <v>877</v>
      </c>
      <c r="L729" t="s">
        <v>878</v>
      </c>
      <c r="M729" t="s">
        <v>131</v>
      </c>
      <c r="N729">
        <v>24</v>
      </c>
      <c r="O729" t="s">
        <v>40</v>
      </c>
      <c r="P729" t="s">
        <v>40</v>
      </c>
      <c r="Q729" t="s">
        <v>40</v>
      </c>
      <c r="R729" t="s">
        <v>40</v>
      </c>
      <c r="S729" t="s">
        <v>40</v>
      </c>
      <c r="V729" t="s">
        <v>41</v>
      </c>
      <c r="W729" t="s">
        <v>75</v>
      </c>
      <c r="X729" t="str">
        <f>"7541004"</f>
        <v>7541004</v>
      </c>
      <c r="Y729" t="s">
        <v>889</v>
      </c>
      <c r="Z729" t="s">
        <v>877</v>
      </c>
      <c r="AA729" t="s">
        <v>878</v>
      </c>
      <c r="AB729" t="s">
        <v>131</v>
      </c>
      <c r="AC729" t="s">
        <v>51</v>
      </c>
      <c r="AD729" t="s">
        <v>45</v>
      </c>
      <c r="AE729" s="1">
        <v>32143</v>
      </c>
      <c r="AF729">
        <v>1</v>
      </c>
      <c r="AG729" t="s">
        <v>878</v>
      </c>
      <c r="AH729" s="36">
        <f t="shared" si="11"/>
        <v>31.427777777777777</v>
      </c>
      <c r="AI729" s="40" t="s">
        <v>1778</v>
      </c>
    </row>
    <row r="730" spans="1:35" x14ac:dyDescent="0.25">
      <c r="A730" s="36">
        <v>99910728</v>
      </c>
      <c r="B730" s="17" t="s">
        <v>32</v>
      </c>
      <c r="C730" t="s">
        <v>111</v>
      </c>
      <c r="D730" t="s">
        <v>112</v>
      </c>
      <c r="G730" s="17" t="s">
        <v>48</v>
      </c>
      <c r="H730" s="17">
        <v>1</v>
      </c>
      <c r="K730" t="s">
        <v>877</v>
      </c>
      <c r="L730" t="s">
        <v>878</v>
      </c>
      <c r="M730" t="s">
        <v>131</v>
      </c>
      <c r="N730">
        <v>24</v>
      </c>
      <c r="O730" t="s">
        <v>40</v>
      </c>
      <c r="P730" t="s">
        <v>40</v>
      </c>
      <c r="Q730" t="s">
        <v>40</v>
      </c>
      <c r="R730" t="s">
        <v>40</v>
      </c>
      <c r="S730" t="s">
        <v>40</v>
      </c>
      <c r="V730" t="s">
        <v>41</v>
      </c>
      <c r="W730" t="s">
        <v>75</v>
      </c>
      <c r="X730" t="str">
        <f>"7541008"</f>
        <v>7541008</v>
      </c>
      <c r="Y730" t="s">
        <v>879</v>
      </c>
      <c r="Z730" t="s">
        <v>877</v>
      </c>
      <c r="AA730" t="s">
        <v>878</v>
      </c>
      <c r="AB730" t="s">
        <v>131</v>
      </c>
      <c r="AC730" t="s">
        <v>51</v>
      </c>
      <c r="AD730" t="s">
        <v>45</v>
      </c>
      <c r="AE730" s="1">
        <v>32143</v>
      </c>
      <c r="AF730">
        <v>1</v>
      </c>
      <c r="AG730" t="s">
        <v>878</v>
      </c>
      <c r="AH730" s="36">
        <f t="shared" si="11"/>
        <v>31.427777777777777</v>
      </c>
      <c r="AI730" s="40" t="s">
        <v>1778</v>
      </c>
    </row>
    <row r="731" spans="1:35" x14ac:dyDescent="0.25">
      <c r="A731" s="36">
        <v>99910729</v>
      </c>
      <c r="B731" s="17" t="s">
        <v>32</v>
      </c>
      <c r="C731" t="s">
        <v>111</v>
      </c>
      <c r="D731" t="s">
        <v>112</v>
      </c>
      <c r="G731" s="17" t="s">
        <v>48</v>
      </c>
      <c r="H731" s="17">
        <v>1</v>
      </c>
      <c r="K731" t="s">
        <v>877</v>
      </c>
      <c r="L731" t="s">
        <v>878</v>
      </c>
      <c r="M731" t="s">
        <v>131</v>
      </c>
      <c r="N731">
        <v>24</v>
      </c>
      <c r="O731" t="s">
        <v>40</v>
      </c>
      <c r="P731" t="s">
        <v>40</v>
      </c>
      <c r="Q731" t="s">
        <v>40</v>
      </c>
      <c r="R731" t="s">
        <v>40</v>
      </c>
      <c r="S731" t="s">
        <v>40</v>
      </c>
      <c r="V731" t="s">
        <v>41</v>
      </c>
      <c r="W731" t="s">
        <v>75</v>
      </c>
      <c r="X731" t="str">
        <f>"7541010"</f>
        <v>7541010</v>
      </c>
      <c r="Y731" t="s">
        <v>887</v>
      </c>
      <c r="Z731" t="s">
        <v>877</v>
      </c>
      <c r="AA731" t="s">
        <v>878</v>
      </c>
      <c r="AB731" t="s">
        <v>131</v>
      </c>
      <c r="AC731" t="s">
        <v>51</v>
      </c>
      <c r="AD731" t="s">
        <v>45</v>
      </c>
      <c r="AE731" s="1">
        <v>32143</v>
      </c>
      <c r="AF731">
        <v>1</v>
      </c>
      <c r="AG731" t="s">
        <v>878</v>
      </c>
      <c r="AH731" s="36">
        <f t="shared" si="11"/>
        <v>31.427777777777777</v>
      </c>
      <c r="AI731" s="40" t="s">
        <v>1778</v>
      </c>
    </row>
    <row r="732" spans="1:35" x14ac:dyDescent="0.25">
      <c r="A732" s="36">
        <v>99910730</v>
      </c>
      <c r="B732" s="17" t="s">
        <v>32</v>
      </c>
      <c r="C732" t="s">
        <v>111</v>
      </c>
      <c r="D732" t="s">
        <v>112</v>
      </c>
      <c r="G732" s="17" t="s">
        <v>35</v>
      </c>
      <c r="H732" s="17">
        <v>1</v>
      </c>
      <c r="I732">
        <v>0</v>
      </c>
      <c r="J732" s="1">
        <v>43344</v>
      </c>
      <c r="K732" t="s">
        <v>985</v>
      </c>
      <c r="L732" t="s">
        <v>986</v>
      </c>
      <c r="M732" t="s">
        <v>938</v>
      </c>
      <c r="N732">
        <v>24</v>
      </c>
      <c r="O732" t="s">
        <v>40</v>
      </c>
      <c r="P732" t="s">
        <v>40</v>
      </c>
      <c r="Q732" t="s">
        <v>40</v>
      </c>
      <c r="R732" t="s">
        <v>40</v>
      </c>
      <c r="S732" t="s">
        <v>40</v>
      </c>
      <c r="U732" s="1">
        <v>43344</v>
      </c>
      <c r="V732" t="s">
        <v>41</v>
      </c>
      <c r="W732" t="s">
        <v>75</v>
      </c>
      <c r="X732" t="str">
        <f>"7011004"</f>
        <v>7011004</v>
      </c>
      <c r="Y732" t="s">
        <v>987</v>
      </c>
      <c r="Z732" t="s">
        <v>985</v>
      </c>
      <c r="AA732" t="s">
        <v>986</v>
      </c>
      <c r="AB732" t="s">
        <v>938</v>
      </c>
      <c r="AC732" t="s">
        <v>51</v>
      </c>
      <c r="AD732" t="s">
        <v>45</v>
      </c>
      <c r="AE732" s="1">
        <v>32143</v>
      </c>
      <c r="AF732">
        <v>1</v>
      </c>
      <c r="AG732" t="s">
        <v>986</v>
      </c>
      <c r="AH732" s="36">
        <f t="shared" si="11"/>
        <v>31.427777777777777</v>
      </c>
      <c r="AI732" s="40" t="s">
        <v>1778</v>
      </c>
    </row>
    <row r="733" spans="1:35" x14ac:dyDescent="0.25">
      <c r="A733" s="36">
        <v>99910731</v>
      </c>
      <c r="B733" s="17" t="s">
        <v>32</v>
      </c>
      <c r="C733" t="s">
        <v>111</v>
      </c>
      <c r="D733" t="s">
        <v>112</v>
      </c>
      <c r="G733" s="17" t="s">
        <v>35</v>
      </c>
      <c r="H733" s="17">
        <v>1</v>
      </c>
      <c r="I733">
        <v>0</v>
      </c>
      <c r="J733" s="1">
        <v>43344</v>
      </c>
      <c r="K733" t="s">
        <v>985</v>
      </c>
      <c r="L733" t="s">
        <v>986</v>
      </c>
      <c r="M733" t="s">
        <v>938</v>
      </c>
      <c r="N733">
        <v>24</v>
      </c>
      <c r="O733" t="s">
        <v>40</v>
      </c>
      <c r="P733" t="s">
        <v>40</v>
      </c>
      <c r="Q733" t="s">
        <v>40</v>
      </c>
      <c r="R733" t="s">
        <v>40</v>
      </c>
      <c r="S733" t="s">
        <v>40</v>
      </c>
      <c r="U733" s="1">
        <v>43344</v>
      </c>
      <c r="V733" t="s">
        <v>41</v>
      </c>
      <c r="W733" t="s">
        <v>75</v>
      </c>
      <c r="X733" t="str">
        <f>"7011004"</f>
        <v>7011004</v>
      </c>
      <c r="Y733" t="s">
        <v>987</v>
      </c>
      <c r="Z733" t="s">
        <v>985</v>
      </c>
      <c r="AA733" t="s">
        <v>986</v>
      </c>
      <c r="AB733" t="s">
        <v>938</v>
      </c>
      <c r="AC733" t="s">
        <v>51</v>
      </c>
      <c r="AD733" t="s">
        <v>45</v>
      </c>
      <c r="AE733" s="1">
        <v>32143</v>
      </c>
      <c r="AF733">
        <v>1</v>
      </c>
      <c r="AG733" t="s">
        <v>986</v>
      </c>
      <c r="AH733" s="36">
        <f t="shared" si="11"/>
        <v>31.427777777777777</v>
      </c>
      <c r="AI733" s="40" t="s">
        <v>1778</v>
      </c>
    </row>
    <row r="734" spans="1:35" x14ac:dyDescent="0.25">
      <c r="A734" s="36">
        <v>99910732</v>
      </c>
      <c r="B734" s="17" t="s">
        <v>32</v>
      </c>
      <c r="C734" t="s">
        <v>111</v>
      </c>
      <c r="D734" t="s">
        <v>112</v>
      </c>
      <c r="G734" s="17" t="s">
        <v>35</v>
      </c>
      <c r="H734" s="17">
        <v>1</v>
      </c>
      <c r="I734" t="s">
        <v>1108</v>
      </c>
      <c r="J734" s="1">
        <v>43344</v>
      </c>
      <c r="K734" t="s">
        <v>1081</v>
      </c>
      <c r="L734" t="s">
        <v>1082</v>
      </c>
      <c r="M734" t="s">
        <v>1053</v>
      </c>
      <c r="N734">
        <v>24</v>
      </c>
      <c r="O734" t="s">
        <v>40</v>
      </c>
      <c r="P734" t="s">
        <v>40</v>
      </c>
      <c r="Q734" t="s">
        <v>40</v>
      </c>
      <c r="R734" t="s">
        <v>40</v>
      </c>
      <c r="S734" t="s">
        <v>40</v>
      </c>
      <c r="U734" s="1">
        <v>43344</v>
      </c>
      <c r="V734" t="s">
        <v>41</v>
      </c>
      <c r="W734" t="s">
        <v>75</v>
      </c>
      <c r="X734" t="str">
        <f>"7201006"</f>
        <v>7201006</v>
      </c>
      <c r="Y734" t="s">
        <v>1083</v>
      </c>
      <c r="Z734" t="s">
        <v>1081</v>
      </c>
      <c r="AA734" t="s">
        <v>1082</v>
      </c>
      <c r="AB734" t="s">
        <v>1053</v>
      </c>
      <c r="AC734" t="s">
        <v>51</v>
      </c>
      <c r="AD734" t="s">
        <v>45</v>
      </c>
      <c r="AE734" s="1">
        <v>32143</v>
      </c>
      <c r="AF734">
        <v>1</v>
      </c>
      <c r="AG734" t="s">
        <v>1082</v>
      </c>
      <c r="AH734" s="36">
        <f t="shared" si="11"/>
        <v>31.427777777777777</v>
      </c>
      <c r="AI734" s="40" t="s">
        <v>1778</v>
      </c>
    </row>
    <row r="735" spans="1:35" x14ac:dyDescent="0.25">
      <c r="A735" s="36">
        <v>99910733</v>
      </c>
      <c r="B735" s="17" t="s">
        <v>32</v>
      </c>
      <c r="C735" t="s">
        <v>111</v>
      </c>
      <c r="D735" t="s">
        <v>112</v>
      </c>
      <c r="G735" s="17" t="s">
        <v>35</v>
      </c>
      <c r="H735" s="17">
        <v>1</v>
      </c>
      <c r="I735" t="s">
        <v>1120</v>
      </c>
      <c r="J735" s="1">
        <v>43344</v>
      </c>
      <c r="K735" t="s">
        <v>1081</v>
      </c>
      <c r="L735" t="s">
        <v>1082</v>
      </c>
      <c r="M735" t="s">
        <v>1053</v>
      </c>
      <c r="N735">
        <v>24</v>
      </c>
      <c r="O735" t="s">
        <v>40</v>
      </c>
      <c r="P735" t="s">
        <v>40</v>
      </c>
      <c r="Q735" t="s">
        <v>40</v>
      </c>
      <c r="R735" t="s">
        <v>40</v>
      </c>
      <c r="S735" t="s">
        <v>40</v>
      </c>
      <c r="U735" s="1">
        <v>43344</v>
      </c>
      <c r="V735" t="s">
        <v>41</v>
      </c>
      <c r="W735" t="s">
        <v>75</v>
      </c>
      <c r="X735" t="str">
        <f>"7201006"</f>
        <v>7201006</v>
      </c>
      <c r="Y735" t="s">
        <v>1083</v>
      </c>
      <c r="Z735" t="s">
        <v>1081</v>
      </c>
      <c r="AA735" t="s">
        <v>1082</v>
      </c>
      <c r="AB735" t="s">
        <v>1053</v>
      </c>
      <c r="AC735" t="s">
        <v>51</v>
      </c>
      <c r="AD735" t="s">
        <v>45</v>
      </c>
      <c r="AE735" s="1">
        <v>32143</v>
      </c>
      <c r="AF735">
        <v>1</v>
      </c>
      <c r="AG735" t="s">
        <v>1082</v>
      </c>
      <c r="AH735" s="36">
        <f t="shared" si="11"/>
        <v>31.427777777777777</v>
      </c>
      <c r="AI735" s="40" t="s">
        <v>1778</v>
      </c>
    </row>
    <row r="736" spans="1:35" x14ac:dyDescent="0.25">
      <c r="A736" s="36">
        <v>99910734</v>
      </c>
      <c r="B736" s="17" t="s">
        <v>32</v>
      </c>
      <c r="C736" t="s">
        <v>111</v>
      </c>
      <c r="D736" t="s">
        <v>112</v>
      </c>
      <c r="G736" s="17" t="s">
        <v>35</v>
      </c>
      <c r="H736" s="17">
        <v>1</v>
      </c>
      <c r="I736">
        <v>942</v>
      </c>
      <c r="J736" s="1">
        <v>43344</v>
      </c>
      <c r="K736" t="s">
        <v>1198</v>
      </c>
      <c r="L736" t="s">
        <v>1199</v>
      </c>
      <c r="M736" t="s">
        <v>1130</v>
      </c>
      <c r="N736">
        <v>24</v>
      </c>
      <c r="O736" t="s">
        <v>40</v>
      </c>
      <c r="P736" t="s">
        <v>40</v>
      </c>
      <c r="Q736" t="s">
        <v>40</v>
      </c>
      <c r="R736" t="s">
        <v>40</v>
      </c>
      <c r="S736" t="s">
        <v>40</v>
      </c>
      <c r="U736" s="1">
        <v>43344</v>
      </c>
      <c r="V736" t="s">
        <v>41</v>
      </c>
      <c r="W736" t="s">
        <v>75</v>
      </c>
      <c r="X736" t="str">
        <f>"7311002"</f>
        <v>7311002</v>
      </c>
      <c r="Y736" t="s">
        <v>1203</v>
      </c>
      <c r="Z736" t="s">
        <v>1198</v>
      </c>
      <c r="AA736" t="s">
        <v>1199</v>
      </c>
      <c r="AB736" t="s">
        <v>1130</v>
      </c>
      <c r="AC736" t="s">
        <v>51</v>
      </c>
      <c r="AD736" t="s">
        <v>45</v>
      </c>
      <c r="AE736" s="1">
        <v>32143</v>
      </c>
      <c r="AF736">
        <v>1</v>
      </c>
      <c r="AG736" t="s">
        <v>1199</v>
      </c>
      <c r="AH736" s="36">
        <f t="shared" si="11"/>
        <v>31.427777777777777</v>
      </c>
      <c r="AI736" s="40" t="s">
        <v>1778</v>
      </c>
    </row>
    <row r="737" spans="1:35" x14ac:dyDescent="0.25">
      <c r="A737" s="36">
        <v>99910735</v>
      </c>
      <c r="B737" s="17" t="s">
        <v>32</v>
      </c>
      <c r="C737" t="s">
        <v>111</v>
      </c>
      <c r="D737" t="s">
        <v>112</v>
      </c>
      <c r="G737" s="17" t="s">
        <v>35</v>
      </c>
      <c r="H737" s="17">
        <v>1</v>
      </c>
      <c r="I737" s="1">
        <v>43346</v>
      </c>
      <c r="J737" s="1">
        <v>43344</v>
      </c>
      <c r="K737" t="s">
        <v>1341</v>
      </c>
      <c r="L737" t="s">
        <v>1342</v>
      </c>
      <c r="M737" t="s">
        <v>1270</v>
      </c>
      <c r="N737">
        <v>24</v>
      </c>
      <c r="O737" t="s">
        <v>40</v>
      </c>
      <c r="P737" t="s">
        <v>40</v>
      </c>
      <c r="Q737" t="s">
        <v>40</v>
      </c>
      <c r="R737" t="s">
        <v>40</v>
      </c>
      <c r="S737" t="s">
        <v>40</v>
      </c>
      <c r="U737" s="1">
        <v>43344</v>
      </c>
      <c r="V737" t="s">
        <v>41</v>
      </c>
      <c r="W737" t="s">
        <v>75</v>
      </c>
      <c r="X737" t="str">
        <f>"7191034"</f>
        <v>7191034</v>
      </c>
      <c r="Y737" t="s">
        <v>1343</v>
      </c>
      <c r="Z737" t="s">
        <v>1341</v>
      </c>
      <c r="AA737" t="s">
        <v>1342</v>
      </c>
      <c r="AB737" t="s">
        <v>1270</v>
      </c>
      <c r="AC737" t="s">
        <v>44</v>
      </c>
      <c r="AD737" t="s">
        <v>45</v>
      </c>
      <c r="AE737" s="1">
        <v>32143</v>
      </c>
      <c r="AF737">
        <v>1</v>
      </c>
      <c r="AG737" t="s">
        <v>1342</v>
      </c>
      <c r="AH737" s="36">
        <f t="shared" si="11"/>
        <v>31.427777777777777</v>
      </c>
      <c r="AI737" s="40" t="s">
        <v>1778</v>
      </c>
    </row>
    <row r="738" spans="1:35" x14ac:dyDescent="0.25">
      <c r="A738" s="36">
        <v>99910736</v>
      </c>
      <c r="B738" s="17" t="s">
        <v>56</v>
      </c>
      <c r="C738" t="s">
        <v>111</v>
      </c>
      <c r="D738" t="s">
        <v>112</v>
      </c>
      <c r="G738" s="17" t="s">
        <v>35</v>
      </c>
      <c r="H738" s="17">
        <v>1</v>
      </c>
      <c r="I738" s="1">
        <v>42979</v>
      </c>
      <c r="J738" s="1">
        <v>43344</v>
      </c>
      <c r="K738" t="s">
        <v>1341</v>
      </c>
      <c r="L738" t="s">
        <v>1342</v>
      </c>
      <c r="M738" t="s">
        <v>1270</v>
      </c>
      <c r="N738">
        <v>24</v>
      </c>
      <c r="O738" t="s">
        <v>40</v>
      </c>
      <c r="P738" t="s">
        <v>40</v>
      </c>
      <c r="Q738" t="s">
        <v>40</v>
      </c>
      <c r="R738" t="s">
        <v>40</v>
      </c>
      <c r="S738" t="s">
        <v>40</v>
      </c>
      <c r="U738" s="1">
        <v>43344</v>
      </c>
      <c r="V738" t="s">
        <v>41</v>
      </c>
      <c r="W738" t="s">
        <v>75</v>
      </c>
      <c r="X738" t="str">
        <f>"7191036"</f>
        <v>7191036</v>
      </c>
      <c r="Y738" t="s">
        <v>1348</v>
      </c>
      <c r="Z738" t="s">
        <v>1341</v>
      </c>
      <c r="AA738" t="s">
        <v>1342</v>
      </c>
      <c r="AB738" t="s">
        <v>1270</v>
      </c>
      <c r="AC738" t="s">
        <v>44</v>
      </c>
      <c r="AD738" t="s">
        <v>45</v>
      </c>
      <c r="AE738" s="1">
        <v>32143</v>
      </c>
      <c r="AF738">
        <v>1</v>
      </c>
      <c r="AG738" t="s">
        <v>1342</v>
      </c>
      <c r="AH738" s="36">
        <f t="shared" si="11"/>
        <v>31.427777777777777</v>
      </c>
      <c r="AI738" s="40" t="s">
        <v>1778</v>
      </c>
    </row>
    <row r="739" spans="1:35" x14ac:dyDescent="0.25">
      <c r="A739" s="36">
        <v>99910737</v>
      </c>
      <c r="B739" s="17" t="s">
        <v>32</v>
      </c>
      <c r="C739" t="s">
        <v>111</v>
      </c>
      <c r="D739" t="s">
        <v>112</v>
      </c>
      <c r="G739" s="17" t="s">
        <v>35</v>
      </c>
      <c r="H739" s="17">
        <v>1</v>
      </c>
      <c r="I739" s="1">
        <v>42614</v>
      </c>
      <c r="J739" s="1">
        <v>43344</v>
      </c>
      <c r="K739" t="s">
        <v>1341</v>
      </c>
      <c r="L739" t="s">
        <v>1342</v>
      </c>
      <c r="M739" t="s">
        <v>1270</v>
      </c>
      <c r="N739">
        <v>24</v>
      </c>
      <c r="O739" t="s">
        <v>40</v>
      </c>
      <c r="P739" t="s">
        <v>40</v>
      </c>
      <c r="Q739" t="s">
        <v>40</v>
      </c>
      <c r="R739" t="s">
        <v>40</v>
      </c>
      <c r="S739" t="s">
        <v>40</v>
      </c>
      <c r="U739" s="1">
        <v>43344</v>
      </c>
      <c r="V739" t="s">
        <v>41</v>
      </c>
      <c r="W739" t="s">
        <v>75</v>
      </c>
      <c r="X739" t="str">
        <f>"7191000"</f>
        <v>7191000</v>
      </c>
      <c r="Y739" t="s">
        <v>1347</v>
      </c>
      <c r="Z739" t="s">
        <v>1341</v>
      </c>
      <c r="AA739" t="s">
        <v>1342</v>
      </c>
      <c r="AB739" t="s">
        <v>1270</v>
      </c>
      <c r="AC739" t="s">
        <v>51</v>
      </c>
      <c r="AD739" t="s">
        <v>45</v>
      </c>
      <c r="AE739" s="1">
        <v>32143</v>
      </c>
      <c r="AF739">
        <v>1</v>
      </c>
      <c r="AG739" t="s">
        <v>1342</v>
      </c>
      <c r="AH739" s="36">
        <f t="shared" si="11"/>
        <v>31.427777777777777</v>
      </c>
      <c r="AI739" s="40" t="s">
        <v>1778</v>
      </c>
    </row>
    <row r="740" spans="1:35" x14ac:dyDescent="0.25">
      <c r="A740" s="36">
        <v>99910738</v>
      </c>
      <c r="B740" s="17" t="s">
        <v>56</v>
      </c>
      <c r="C740" t="s">
        <v>1364</v>
      </c>
      <c r="D740" t="s">
        <v>598</v>
      </c>
      <c r="E740" t="s">
        <v>111</v>
      </c>
      <c r="F740" t="s">
        <v>112</v>
      </c>
      <c r="G740" s="17" t="s">
        <v>35</v>
      </c>
      <c r="H740" s="17">
        <v>1</v>
      </c>
      <c r="I740" s="1">
        <v>42614</v>
      </c>
      <c r="J740" s="1">
        <v>43344</v>
      </c>
      <c r="K740" t="s">
        <v>1341</v>
      </c>
      <c r="L740" t="s">
        <v>1342</v>
      </c>
      <c r="M740" t="s">
        <v>1270</v>
      </c>
      <c r="N740">
        <v>24</v>
      </c>
      <c r="O740" t="s">
        <v>40</v>
      </c>
      <c r="P740" t="s">
        <v>40</v>
      </c>
      <c r="Q740" t="s">
        <v>40</v>
      </c>
      <c r="R740" t="s">
        <v>40</v>
      </c>
      <c r="S740" t="s">
        <v>40</v>
      </c>
      <c r="U740" s="1">
        <v>43344</v>
      </c>
      <c r="V740" t="s">
        <v>41</v>
      </c>
      <c r="W740" t="s">
        <v>75</v>
      </c>
      <c r="X740" t="str">
        <f>"7191036"</f>
        <v>7191036</v>
      </c>
      <c r="Y740" t="s">
        <v>1348</v>
      </c>
      <c r="Z740" t="s">
        <v>1341</v>
      </c>
      <c r="AA740" t="s">
        <v>1342</v>
      </c>
      <c r="AB740" t="s">
        <v>1270</v>
      </c>
      <c r="AC740" t="s">
        <v>44</v>
      </c>
      <c r="AD740" t="s">
        <v>45</v>
      </c>
      <c r="AE740" s="1">
        <v>32143</v>
      </c>
      <c r="AF740">
        <v>1</v>
      </c>
      <c r="AG740" t="s">
        <v>1342</v>
      </c>
      <c r="AH740" s="36">
        <f t="shared" si="11"/>
        <v>31.427777777777777</v>
      </c>
      <c r="AI740" s="40" t="s">
        <v>1778</v>
      </c>
    </row>
    <row r="741" spans="1:35" x14ac:dyDescent="0.25">
      <c r="A741" s="36">
        <v>99910739</v>
      </c>
      <c r="B741" s="17" t="s">
        <v>32</v>
      </c>
      <c r="C741" t="s">
        <v>111</v>
      </c>
      <c r="D741" t="s">
        <v>112</v>
      </c>
      <c r="G741" s="17" t="s">
        <v>35</v>
      </c>
      <c r="H741" s="17">
        <v>1</v>
      </c>
      <c r="I741" s="1">
        <v>40787</v>
      </c>
      <c r="J741" s="1">
        <v>43344</v>
      </c>
      <c r="K741" t="s">
        <v>1341</v>
      </c>
      <c r="L741" t="s">
        <v>1342</v>
      </c>
      <c r="M741" t="s">
        <v>1270</v>
      </c>
      <c r="N741">
        <v>24</v>
      </c>
      <c r="O741" t="s">
        <v>40</v>
      </c>
      <c r="P741" t="s">
        <v>40</v>
      </c>
      <c r="Q741" t="s">
        <v>40</v>
      </c>
      <c r="R741" t="s">
        <v>40</v>
      </c>
      <c r="S741" t="s">
        <v>40</v>
      </c>
      <c r="U741" s="1">
        <v>43344</v>
      </c>
      <c r="V741" t="s">
        <v>41</v>
      </c>
      <c r="W741" t="s">
        <v>75</v>
      </c>
      <c r="X741" t="str">
        <f>"7191032"</f>
        <v>7191032</v>
      </c>
      <c r="Y741" t="s">
        <v>1399</v>
      </c>
      <c r="Z741" t="s">
        <v>1341</v>
      </c>
      <c r="AA741" t="s">
        <v>1342</v>
      </c>
      <c r="AB741" t="s">
        <v>1270</v>
      </c>
      <c r="AC741" t="s">
        <v>51</v>
      </c>
      <c r="AD741" t="s">
        <v>45</v>
      </c>
      <c r="AE741" s="1">
        <v>32143</v>
      </c>
      <c r="AF741">
        <v>1</v>
      </c>
      <c r="AG741" t="s">
        <v>1342</v>
      </c>
      <c r="AH741" s="36">
        <f t="shared" si="11"/>
        <v>31.427777777777777</v>
      </c>
      <c r="AI741" s="40" t="s">
        <v>1778</v>
      </c>
    </row>
    <row r="742" spans="1:35" x14ac:dyDescent="0.25">
      <c r="A742" s="36">
        <v>99910740</v>
      </c>
      <c r="B742" s="17" t="s">
        <v>32</v>
      </c>
      <c r="C742" t="s">
        <v>111</v>
      </c>
      <c r="D742" t="s">
        <v>112</v>
      </c>
      <c r="G742" s="17" t="s">
        <v>48</v>
      </c>
      <c r="H742" s="17">
        <v>1</v>
      </c>
      <c r="K742" t="s">
        <v>667</v>
      </c>
      <c r="L742" t="s">
        <v>1503</v>
      </c>
      <c r="M742" t="s">
        <v>670</v>
      </c>
      <c r="N742">
        <v>24</v>
      </c>
      <c r="O742" t="s">
        <v>40</v>
      </c>
      <c r="P742" t="s">
        <v>40</v>
      </c>
      <c r="Q742" t="s">
        <v>40</v>
      </c>
      <c r="R742" t="s">
        <v>40</v>
      </c>
      <c r="S742" t="s">
        <v>40</v>
      </c>
      <c r="V742" t="s">
        <v>41</v>
      </c>
      <c r="W742" t="s">
        <v>75</v>
      </c>
      <c r="X742" t="str">
        <f>"7501000"</f>
        <v>7501000</v>
      </c>
      <c r="Y742" t="s">
        <v>668</v>
      </c>
      <c r="Z742" t="s">
        <v>667</v>
      </c>
      <c r="AA742" t="s">
        <v>669</v>
      </c>
      <c r="AB742" t="s">
        <v>670</v>
      </c>
      <c r="AC742" t="s">
        <v>51</v>
      </c>
      <c r="AD742" t="s">
        <v>45</v>
      </c>
      <c r="AE742" s="1">
        <v>32143</v>
      </c>
      <c r="AF742">
        <v>1</v>
      </c>
      <c r="AG742" t="s">
        <v>1503</v>
      </c>
      <c r="AH742" s="36">
        <f t="shared" si="11"/>
        <v>31.427777777777777</v>
      </c>
      <c r="AI742" s="40" t="s">
        <v>1778</v>
      </c>
    </row>
    <row r="743" spans="1:35" x14ac:dyDescent="0.25">
      <c r="A743" s="36">
        <v>99910741</v>
      </c>
      <c r="B743" s="17" t="s">
        <v>32</v>
      </c>
      <c r="C743" t="s">
        <v>111</v>
      </c>
      <c r="D743" t="s">
        <v>112</v>
      </c>
      <c r="G743" s="17" t="s">
        <v>48</v>
      </c>
      <c r="H743" s="17">
        <v>1</v>
      </c>
      <c r="K743" t="s">
        <v>667</v>
      </c>
      <c r="L743" t="s">
        <v>1503</v>
      </c>
      <c r="M743" t="s">
        <v>670</v>
      </c>
      <c r="N743">
        <v>24</v>
      </c>
      <c r="O743" t="s">
        <v>40</v>
      </c>
      <c r="P743" t="s">
        <v>40</v>
      </c>
      <c r="Q743" t="s">
        <v>40</v>
      </c>
      <c r="R743" t="s">
        <v>40</v>
      </c>
      <c r="S743" t="s">
        <v>40</v>
      </c>
      <c r="V743" t="s">
        <v>41</v>
      </c>
      <c r="W743" t="s">
        <v>75</v>
      </c>
      <c r="X743" t="str">
        <f>"7501000"</f>
        <v>7501000</v>
      </c>
      <c r="Y743" t="s">
        <v>668</v>
      </c>
      <c r="Z743" t="s">
        <v>667</v>
      </c>
      <c r="AA743" t="s">
        <v>669</v>
      </c>
      <c r="AB743" t="s">
        <v>670</v>
      </c>
      <c r="AC743" t="s">
        <v>51</v>
      </c>
      <c r="AD743" t="s">
        <v>45</v>
      </c>
      <c r="AE743" s="1">
        <v>32143</v>
      </c>
      <c r="AF743">
        <v>1</v>
      </c>
      <c r="AG743" t="s">
        <v>1503</v>
      </c>
      <c r="AH743" s="36">
        <f t="shared" si="11"/>
        <v>31.427777777777777</v>
      </c>
      <c r="AI743" s="40" t="s">
        <v>1778</v>
      </c>
    </row>
    <row r="744" spans="1:35" x14ac:dyDescent="0.25">
      <c r="A744" s="36">
        <v>99910742</v>
      </c>
      <c r="B744" s="17" t="s">
        <v>32</v>
      </c>
      <c r="C744" t="s">
        <v>111</v>
      </c>
      <c r="D744" t="s">
        <v>112</v>
      </c>
      <c r="G744" s="17" t="s">
        <v>35</v>
      </c>
      <c r="H744" s="17">
        <v>1</v>
      </c>
      <c r="I744" t="s">
        <v>674</v>
      </c>
      <c r="J744" s="1">
        <v>43377</v>
      </c>
      <c r="K744" t="s">
        <v>667</v>
      </c>
      <c r="L744" t="s">
        <v>669</v>
      </c>
      <c r="M744" t="s">
        <v>670</v>
      </c>
      <c r="N744">
        <v>24</v>
      </c>
      <c r="O744" t="s">
        <v>40</v>
      </c>
      <c r="P744" t="s">
        <v>40</v>
      </c>
      <c r="Q744" t="s">
        <v>40</v>
      </c>
      <c r="R744" t="s">
        <v>40</v>
      </c>
      <c r="S744" t="s">
        <v>40</v>
      </c>
      <c r="U744" s="1">
        <v>43377</v>
      </c>
      <c r="V744" t="s">
        <v>41</v>
      </c>
      <c r="W744" t="s">
        <v>75</v>
      </c>
      <c r="X744" t="str">
        <f>"7501004"</f>
        <v>7501004</v>
      </c>
      <c r="Y744" t="s">
        <v>1500</v>
      </c>
      <c r="Z744" t="s">
        <v>667</v>
      </c>
      <c r="AA744" t="s">
        <v>669</v>
      </c>
      <c r="AB744" t="s">
        <v>670</v>
      </c>
      <c r="AC744" t="s">
        <v>51</v>
      </c>
      <c r="AD744" t="s">
        <v>45</v>
      </c>
      <c r="AE744" s="1">
        <v>32143</v>
      </c>
      <c r="AF744">
        <v>1</v>
      </c>
      <c r="AG744" t="s">
        <v>669</v>
      </c>
      <c r="AH744" s="36">
        <f t="shared" si="11"/>
        <v>31.427777777777777</v>
      </c>
      <c r="AI744" s="40" t="s">
        <v>1778</v>
      </c>
    </row>
    <row r="745" spans="1:35" x14ac:dyDescent="0.25">
      <c r="A745" s="36">
        <v>99910743</v>
      </c>
      <c r="B745" s="17" t="s">
        <v>32</v>
      </c>
      <c r="C745" t="s">
        <v>111</v>
      </c>
      <c r="D745" t="s">
        <v>112</v>
      </c>
      <c r="G745" s="17" t="s">
        <v>48</v>
      </c>
      <c r="H745" s="17">
        <v>1</v>
      </c>
      <c r="I745" t="s">
        <v>1531</v>
      </c>
      <c r="J745" s="1">
        <v>41767</v>
      </c>
      <c r="K745" t="s">
        <v>667</v>
      </c>
      <c r="L745" t="s">
        <v>669</v>
      </c>
      <c r="M745" t="s">
        <v>670</v>
      </c>
      <c r="N745">
        <v>24</v>
      </c>
      <c r="O745" t="s">
        <v>40</v>
      </c>
      <c r="P745" t="s">
        <v>40</v>
      </c>
      <c r="Q745" t="s">
        <v>40</v>
      </c>
      <c r="R745" t="s">
        <v>40</v>
      </c>
      <c r="S745" t="s">
        <v>40</v>
      </c>
      <c r="U745" s="1">
        <v>41767</v>
      </c>
      <c r="V745" t="s">
        <v>41</v>
      </c>
      <c r="W745" t="s">
        <v>75</v>
      </c>
      <c r="X745" t="str">
        <f>"7501000"</f>
        <v>7501000</v>
      </c>
      <c r="Y745" t="s">
        <v>668</v>
      </c>
      <c r="Z745" t="s">
        <v>667</v>
      </c>
      <c r="AA745" t="s">
        <v>669</v>
      </c>
      <c r="AB745" t="s">
        <v>670</v>
      </c>
      <c r="AC745" t="s">
        <v>51</v>
      </c>
      <c r="AD745" t="s">
        <v>45</v>
      </c>
      <c r="AE745" s="1">
        <v>32143</v>
      </c>
      <c r="AF745">
        <v>1</v>
      </c>
      <c r="AG745" t="s">
        <v>669</v>
      </c>
      <c r="AH745" s="36">
        <f t="shared" si="11"/>
        <v>31.427777777777777</v>
      </c>
      <c r="AI745" s="40" t="s">
        <v>1778</v>
      </c>
    </row>
    <row r="746" spans="1:35" x14ac:dyDescent="0.25">
      <c r="A746" s="36">
        <v>99910744</v>
      </c>
      <c r="B746" s="17" t="s">
        <v>32</v>
      </c>
      <c r="C746" t="s">
        <v>111</v>
      </c>
      <c r="D746" t="s">
        <v>112</v>
      </c>
      <c r="G746" s="17" t="s">
        <v>48</v>
      </c>
      <c r="H746" s="17">
        <v>1</v>
      </c>
      <c r="I746" t="s">
        <v>1534</v>
      </c>
      <c r="J746" s="1">
        <v>41548</v>
      </c>
      <c r="K746" t="s">
        <v>667</v>
      </c>
      <c r="L746" t="s">
        <v>669</v>
      </c>
      <c r="M746" t="s">
        <v>670</v>
      </c>
      <c r="N746">
        <v>24</v>
      </c>
      <c r="O746" t="s">
        <v>40</v>
      </c>
      <c r="P746" t="s">
        <v>40</v>
      </c>
      <c r="Q746" t="s">
        <v>40</v>
      </c>
      <c r="R746" t="s">
        <v>40</v>
      </c>
      <c r="S746" t="s">
        <v>40</v>
      </c>
      <c r="U746" s="1">
        <v>41548</v>
      </c>
      <c r="V746" t="s">
        <v>41</v>
      </c>
      <c r="W746" t="s">
        <v>75</v>
      </c>
      <c r="X746" t="str">
        <f>"7501000"</f>
        <v>7501000</v>
      </c>
      <c r="Y746" t="s">
        <v>668</v>
      </c>
      <c r="Z746" t="s">
        <v>667</v>
      </c>
      <c r="AA746" t="s">
        <v>669</v>
      </c>
      <c r="AB746" t="s">
        <v>670</v>
      </c>
      <c r="AC746" t="s">
        <v>51</v>
      </c>
      <c r="AD746" t="s">
        <v>45</v>
      </c>
      <c r="AE746" s="1">
        <v>32143</v>
      </c>
      <c r="AF746">
        <v>1</v>
      </c>
      <c r="AG746" t="s">
        <v>669</v>
      </c>
      <c r="AH746" s="36">
        <f t="shared" si="11"/>
        <v>31.427777777777777</v>
      </c>
      <c r="AI746" s="40" t="s">
        <v>1778</v>
      </c>
    </row>
    <row r="747" spans="1:35" x14ac:dyDescent="0.25">
      <c r="A747" s="36">
        <v>99910745</v>
      </c>
      <c r="B747" s="17" t="s">
        <v>32</v>
      </c>
      <c r="C747" t="s">
        <v>111</v>
      </c>
      <c r="D747" t="s">
        <v>112</v>
      </c>
      <c r="G747" s="17" t="s">
        <v>48</v>
      </c>
      <c r="H747" s="17">
        <v>1</v>
      </c>
      <c r="K747" t="s">
        <v>667</v>
      </c>
      <c r="L747" t="s">
        <v>669</v>
      </c>
      <c r="M747" t="s">
        <v>670</v>
      </c>
      <c r="N747">
        <v>24</v>
      </c>
      <c r="O747" t="s">
        <v>40</v>
      </c>
      <c r="P747" t="s">
        <v>40</v>
      </c>
      <c r="Q747" t="s">
        <v>40</v>
      </c>
      <c r="R747" t="s">
        <v>40</v>
      </c>
      <c r="S747" t="s">
        <v>40</v>
      </c>
      <c r="V747" t="s">
        <v>41</v>
      </c>
      <c r="W747" t="s">
        <v>75</v>
      </c>
      <c r="X747" t="str">
        <f>"7501002"</f>
        <v>7501002</v>
      </c>
      <c r="Y747" t="s">
        <v>1519</v>
      </c>
      <c r="Z747" t="s">
        <v>667</v>
      </c>
      <c r="AA747" t="s">
        <v>669</v>
      </c>
      <c r="AB747" t="s">
        <v>670</v>
      </c>
      <c r="AC747" t="s">
        <v>51</v>
      </c>
      <c r="AD747" t="s">
        <v>45</v>
      </c>
      <c r="AE747" s="1">
        <v>32143</v>
      </c>
      <c r="AF747">
        <v>1</v>
      </c>
      <c r="AG747" t="s">
        <v>669</v>
      </c>
      <c r="AH747" s="36">
        <f t="shared" si="11"/>
        <v>31.427777777777777</v>
      </c>
      <c r="AI747" s="40" t="s">
        <v>1778</v>
      </c>
    </row>
    <row r="748" spans="1:35" x14ac:dyDescent="0.25">
      <c r="A748" s="36">
        <v>99910746</v>
      </c>
      <c r="B748" s="17" t="s">
        <v>32</v>
      </c>
      <c r="C748" t="s">
        <v>111</v>
      </c>
      <c r="D748" t="s">
        <v>112</v>
      </c>
      <c r="G748" s="17" t="s">
        <v>35</v>
      </c>
      <c r="H748" s="17">
        <v>1</v>
      </c>
      <c r="K748" t="s">
        <v>1564</v>
      </c>
      <c r="L748" t="s">
        <v>1565</v>
      </c>
      <c r="M748" t="s">
        <v>1548</v>
      </c>
      <c r="N748">
        <v>24</v>
      </c>
      <c r="O748" t="s">
        <v>40</v>
      </c>
      <c r="P748" t="s">
        <v>40</v>
      </c>
      <c r="Q748" t="s">
        <v>40</v>
      </c>
      <c r="R748" t="s">
        <v>40</v>
      </c>
      <c r="S748" t="s">
        <v>40</v>
      </c>
      <c r="V748" t="s">
        <v>41</v>
      </c>
      <c r="W748" t="s">
        <v>75</v>
      </c>
      <c r="X748" t="str">
        <f>"7101000"</f>
        <v>7101000</v>
      </c>
      <c r="Y748" t="s">
        <v>1572</v>
      </c>
      <c r="Z748" t="s">
        <v>1564</v>
      </c>
      <c r="AA748" t="s">
        <v>1565</v>
      </c>
      <c r="AB748" t="s">
        <v>1548</v>
      </c>
      <c r="AC748" t="s">
        <v>51</v>
      </c>
      <c r="AD748" t="s">
        <v>45</v>
      </c>
      <c r="AE748" s="1">
        <v>32143</v>
      </c>
      <c r="AF748">
        <v>1</v>
      </c>
      <c r="AG748" t="s">
        <v>1565</v>
      </c>
      <c r="AH748" s="36">
        <f t="shared" si="11"/>
        <v>31.427777777777777</v>
      </c>
      <c r="AI748" s="40" t="s">
        <v>1778</v>
      </c>
    </row>
    <row r="749" spans="1:35" x14ac:dyDescent="0.25">
      <c r="A749" s="36">
        <v>99910747</v>
      </c>
      <c r="B749" s="17" t="s">
        <v>32</v>
      </c>
      <c r="C749" t="s">
        <v>111</v>
      </c>
      <c r="D749" t="s">
        <v>112</v>
      </c>
      <c r="G749" s="17" t="s">
        <v>48</v>
      </c>
      <c r="H749" s="17">
        <v>1</v>
      </c>
      <c r="K749" t="s">
        <v>1631</v>
      </c>
      <c r="L749" t="s">
        <v>1632</v>
      </c>
      <c r="M749" t="s">
        <v>1592</v>
      </c>
      <c r="N749">
        <v>24</v>
      </c>
      <c r="O749" t="s">
        <v>40</v>
      </c>
      <c r="P749" t="s">
        <v>40</v>
      </c>
      <c r="Q749" t="s">
        <v>40</v>
      </c>
      <c r="R749" t="s">
        <v>40</v>
      </c>
      <c r="S749" t="s">
        <v>40</v>
      </c>
      <c r="V749" t="s">
        <v>41</v>
      </c>
      <c r="W749" t="s">
        <v>75</v>
      </c>
      <c r="X749" t="str">
        <f>"7021000"</f>
        <v>7021000</v>
      </c>
      <c r="Y749" t="s">
        <v>1633</v>
      </c>
      <c r="Z749" t="s">
        <v>1631</v>
      </c>
      <c r="AA749" t="s">
        <v>1632</v>
      </c>
      <c r="AB749" t="s">
        <v>1592</v>
      </c>
      <c r="AC749" t="s">
        <v>51</v>
      </c>
      <c r="AD749" t="s">
        <v>45</v>
      </c>
      <c r="AE749" s="1">
        <v>32143</v>
      </c>
      <c r="AF749">
        <v>1</v>
      </c>
      <c r="AG749" t="s">
        <v>1632</v>
      </c>
      <c r="AH749" s="36">
        <f t="shared" si="11"/>
        <v>31.427777777777777</v>
      </c>
      <c r="AI749" s="40" t="s">
        <v>1778</v>
      </c>
    </row>
    <row r="750" spans="1:35" x14ac:dyDescent="0.25">
      <c r="A750" s="36">
        <v>99910748</v>
      </c>
      <c r="B750" s="17" t="s">
        <v>32</v>
      </c>
      <c r="C750" t="s">
        <v>64</v>
      </c>
      <c r="D750" t="s">
        <v>65</v>
      </c>
      <c r="G750" s="17" t="s">
        <v>35</v>
      </c>
      <c r="H750" s="17">
        <v>1</v>
      </c>
      <c r="K750" t="s">
        <v>223</v>
      </c>
      <c r="L750" t="s">
        <v>224</v>
      </c>
      <c r="M750" t="s">
        <v>131</v>
      </c>
      <c r="N750">
        <v>23</v>
      </c>
      <c r="O750" t="s">
        <v>40</v>
      </c>
      <c r="P750" t="s">
        <v>40</v>
      </c>
      <c r="Q750" t="s">
        <v>40</v>
      </c>
      <c r="S750" t="s">
        <v>40</v>
      </c>
      <c r="V750" t="s">
        <v>41</v>
      </c>
      <c r="W750" t="s">
        <v>49</v>
      </c>
      <c r="X750" t="str">
        <f>"0591901"</f>
        <v>0591901</v>
      </c>
      <c r="Y750" t="s">
        <v>230</v>
      </c>
      <c r="Z750" t="s">
        <v>223</v>
      </c>
      <c r="AA750" t="s">
        <v>224</v>
      </c>
      <c r="AB750" t="s">
        <v>131</v>
      </c>
      <c r="AC750" t="s">
        <v>51</v>
      </c>
      <c r="AD750" t="s">
        <v>45</v>
      </c>
      <c r="AE750" s="1">
        <v>32126</v>
      </c>
      <c r="AF750">
        <v>2</v>
      </c>
      <c r="AG750" t="s">
        <v>224</v>
      </c>
      <c r="AH750" s="36">
        <f t="shared" si="11"/>
        <v>31.475000000000001</v>
      </c>
      <c r="AI750" s="40" t="s">
        <v>1778</v>
      </c>
    </row>
    <row r="751" spans="1:35" x14ac:dyDescent="0.25">
      <c r="A751" s="36">
        <v>99910749</v>
      </c>
      <c r="B751" s="17" t="s">
        <v>32</v>
      </c>
      <c r="C751" t="s">
        <v>64</v>
      </c>
      <c r="D751" t="s">
        <v>65</v>
      </c>
      <c r="G751" s="17" t="s">
        <v>35</v>
      </c>
      <c r="H751" s="17">
        <v>1</v>
      </c>
      <c r="K751" t="s">
        <v>877</v>
      </c>
      <c r="L751" t="s">
        <v>878</v>
      </c>
      <c r="M751" t="s">
        <v>131</v>
      </c>
      <c r="N751">
        <v>24</v>
      </c>
      <c r="O751" t="s">
        <v>40</v>
      </c>
      <c r="P751" t="s">
        <v>40</v>
      </c>
      <c r="Q751" t="s">
        <v>40</v>
      </c>
      <c r="R751" t="s">
        <v>40</v>
      </c>
      <c r="S751" t="s">
        <v>40</v>
      </c>
      <c r="V751" t="s">
        <v>41</v>
      </c>
      <c r="W751" t="s">
        <v>75</v>
      </c>
      <c r="X751" t="str">
        <f>"7541008"</f>
        <v>7541008</v>
      </c>
      <c r="Y751" t="s">
        <v>879</v>
      </c>
      <c r="Z751" t="s">
        <v>877</v>
      </c>
      <c r="AA751" t="s">
        <v>878</v>
      </c>
      <c r="AB751" t="s">
        <v>131</v>
      </c>
      <c r="AC751" t="s">
        <v>51</v>
      </c>
      <c r="AD751" t="s">
        <v>45</v>
      </c>
      <c r="AE751" s="1">
        <v>32119</v>
      </c>
      <c r="AF751">
        <v>1</v>
      </c>
      <c r="AG751" t="s">
        <v>878</v>
      </c>
      <c r="AH751" s="36">
        <f t="shared" si="11"/>
        <v>31.494444444444444</v>
      </c>
      <c r="AI751" s="40" t="s">
        <v>1778</v>
      </c>
    </row>
    <row r="752" spans="1:35" x14ac:dyDescent="0.25">
      <c r="A752" s="36">
        <v>99910750</v>
      </c>
      <c r="B752" s="17" t="s">
        <v>32</v>
      </c>
      <c r="C752" t="s">
        <v>90</v>
      </c>
      <c r="D752" t="s">
        <v>91</v>
      </c>
      <c r="G752" s="17" t="s">
        <v>48</v>
      </c>
      <c r="H752" s="17">
        <v>1</v>
      </c>
      <c r="K752" t="s">
        <v>1619</v>
      </c>
      <c r="L752" t="s">
        <v>1620</v>
      </c>
      <c r="M752" t="s">
        <v>1592</v>
      </c>
      <c r="N752">
        <v>25</v>
      </c>
      <c r="O752" t="s">
        <v>40</v>
      </c>
      <c r="P752" t="s">
        <v>40</v>
      </c>
      <c r="Q752" t="s">
        <v>40</v>
      </c>
      <c r="S752" t="s">
        <v>40</v>
      </c>
      <c r="V752" t="s">
        <v>41</v>
      </c>
      <c r="W752" t="s">
        <v>95</v>
      </c>
      <c r="X752" t="str">
        <f>"7281017"</f>
        <v>7281017</v>
      </c>
      <c r="Y752" t="s">
        <v>1656</v>
      </c>
      <c r="Z752" t="s">
        <v>1619</v>
      </c>
      <c r="AA752" t="s">
        <v>1620</v>
      </c>
      <c r="AB752" t="s">
        <v>1592</v>
      </c>
      <c r="AC752" t="s">
        <v>51</v>
      </c>
      <c r="AD752" t="s">
        <v>45</v>
      </c>
      <c r="AE752" s="1">
        <v>32119</v>
      </c>
      <c r="AF752">
        <v>1</v>
      </c>
      <c r="AG752" t="s">
        <v>1620</v>
      </c>
      <c r="AH752" s="36">
        <f t="shared" si="11"/>
        <v>31.494444444444444</v>
      </c>
      <c r="AI752" s="40" t="s">
        <v>1778</v>
      </c>
    </row>
    <row r="753" spans="1:35" x14ac:dyDescent="0.25">
      <c r="A753" s="36">
        <v>99910751</v>
      </c>
      <c r="B753" s="17" t="s">
        <v>32</v>
      </c>
      <c r="C753" t="s">
        <v>111</v>
      </c>
      <c r="D753" t="s">
        <v>112</v>
      </c>
      <c r="G753" s="17" t="s">
        <v>35</v>
      </c>
      <c r="H753" s="17">
        <v>4</v>
      </c>
      <c r="K753" t="s">
        <v>268</v>
      </c>
      <c r="L753" t="s">
        <v>269</v>
      </c>
      <c r="M753" t="s">
        <v>131</v>
      </c>
      <c r="N753">
        <v>24</v>
      </c>
      <c r="O753" t="s">
        <v>40</v>
      </c>
      <c r="P753" t="s">
        <v>40</v>
      </c>
      <c r="Q753" t="s">
        <v>40</v>
      </c>
      <c r="R753" t="s">
        <v>40</v>
      </c>
      <c r="S753" t="s">
        <v>40</v>
      </c>
      <c r="V753" t="s">
        <v>41</v>
      </c>
      <c r="W753" t="s">
        <v>75</v>
      </c>
      <c r="X753" t="str">
        <f>"7052006"</f>
        <v>7052006</v>
      </c>
      <c r="Y753" t="s">
        <v>575</v>
      </c>
      <c r="Z753" t="s">
        <v>268</v>
      </c>
      <c r="AA753" t="s">
        <v>269</v>
      </c>
      <c r="AB753" t="s">
        <v>131</v>
      </c>
      <c r="AC753" t="s">
        <v>51</v>
      </c>
      <c r="AD753" t="s">
        <v>45</v>
      </c>
      <c r="AE753" s="1">
        <v>32118</v>
      </c>
      <c r="AF753">
        <v>1</v>
      </c>
      <c r="AG753" t="s">
        <v>269</v>
      </c>
      <c r="AH753" s="36">
        <f t="shared" si="11"/>
        <v>31.497222222222224</v>
      </c>
      <c r="AI753" s="40" t="s">
        <v>1778</v>
      </c>
    </row>
    <row r="754" spans="1:35" x14ac:dyDescent="0.25">
      <c r="A754" s="36">
        <v>99910752</v>
      </c>
      <c r="B754" s="17" t="s">
        <v>32</v>
      </c>
      <c r="C754" t="s">
        <v>111</v>
      </c>
      <c r="D754" t="s">
        <v>112</v>
      </c>
      <c r="G754" s="17" t="s">
        <v>88</v>
      </c>
      <c r="H754" s="17">
        <v>3</v>
      </c>
      <c r="I754" t="s">
        <v>499</v>
      </c>
      <c r="J754" s="1">
        <v>41883</v>
      </c>
      <c r="K754" t="s">
        <v>431</v>
      </c>
      <c r="L754" t="s">
        <v>196</v>
      </c>
      <c r="M754" t="s">
        <v>131</v>
      </c>
      <c r="N754">
        <v>24</v>
      </c>
      <c r="O754" t="s">
        <v>40</v>
      </c>
      <c r="P754" t="s">
        <v>40</v>
      </c>
      <c r="Q754" t="s">
        <v>40</v>
      </c>
      <c r="R754" t="s">
        <v>40</v>
      </c>
      <c r="S754" t="s">
        <v>40</v>
      </c>
      <c r="U754" s="1">
        <v>41883</v>
      </c>
      <c r="V754" t="s">
        <v>41</v>
      </c>
      <c r="W754" t="s">
        <v>75</v>
      </c>
      <c r="X754" t="str">
        <f>"7521012"</f>
        <v>7521012</v>
      </c>
      <c r="Y754" t="s">
        <v>432</v>
      </c>
      <c r="Z754" t="s">
        <v>431</v>
      </c>
      <c r="AA754" t="s">
        <v>196</v>
      </c>
      <c r="AB754" t="s">
        <v>131</v>
      </c>
      <c r="AC754" t="s">
        <v>165</v>
      </c>
      <c r="AD754" t="s">
        <v>45</v>
      </c>
      <c r="AE754" s="1">
        <v>32116</v>
      </c>
      <c r="AF754">
        <v>1</v>
      </c>
      <c r="AG754" t="s">
        <v>196</v>
      </c>
      <c r="AH754" s="36">
        <f t="shared" si="11"/>
        <v>31.502777777777776</v>
      </c>
      <c r="AI754" s="40" t="s">
        <v>1778</v>
      </c>
    </row>
    <row r="755" spans="1:35" x14ac:dyDescent="0.25">
      <c r="A755" s="36">
        <v>99910753</v>
      </c>
      <c r="B755" s="17" t="s">
        <v>56</v>
      </c>
      <c r="C755" t="s">
        <v>111</v>
      </c>
      <c r="D755" t="s">
        <v>112</v>
      </c>
      <c r="G755" s="17" t="s">
        <v>35</v>
      </c>
      <c r="H755" s="17">
        <v>1</v>
      </c>
      <c r="I755" t="s">
        <v>1373</v>
      </c>
      <c r="J755" s="1">
        <v>43344</v>
      </c>
      <c r="K755" t="s">
        <v>1341</v>
      </c>
      <c r="L755" t="s">
        <v>1342</v>
      </c>
      <c r="M755" t="s">
        <v>1270</v>
      </c>
      <c r="N755">
        <v>24</v>
      </c>
      <c r="O755" t="s">
        <v>40</v>
      </c>
      <c r="P755" t="s">
        <v>40</v>
      </c>
      <c r="Q755" t="s">
        <v>40</v>
      </c>
      <c r="S755" t="s">
        <v>40</v>
      </c>
      <c r="U755" s="1">
        <v>43344</v>
      </c>
      <c r="V755" t="s">
        <v>41</v>
      </c>
      <c r="W755" t="s">
        <v>75</v>
      </c>
      <c r="X755" t="str">
        <f>"7191006"</f>
        <v>7191006</v>
      </c>
      <c r="Y755" t="s">
        <v>1351</v>
      </c>
      <c r="Z755" t="s">
        <v>1341</v>
      </c>
      <c r="AA755" t="s">
        <v>1342</v>
      </c>
      <c r="AB755" t="s">
        <v>1270</v>
      </c>
      <c r="AC755" t="s">
        <v>44</v>
      </c>
      <c r="AD755" t="s">
        <v>45</v>
      </c>
      <c r="AE755" s="1">
        <v>32115</v>
      </c>
      <c r="AF755">
        <v>1</v>
      </c>
      <c r="AG755" t="s">
        <v>1342</v>
      </c>
      <c r="AH755" s="36">
        <f t="shared" si="11"/>
        <v>31.505555555555556</v>
      </c>
      <c r="AI755" s="40" t="s">
        <v>1778</v>
      </c>
    </row>
    <row r="756" spans="1:35" x14ac:dyDescent="0.25">
      <c r="A756" s="36">
        <v>99910754</v>
      </c>
      <c r="B756" s="17" t="s">
        <v>32</v>
      </c>
      <c r="C756" t="s">
        <v>90</v>
      </c>
      <c r="D756" t="s">
        <v>91</v>
      </c>
      <c r="G756" s="17" t="s">
        <v>48</v>
      </c>
      <c r="H756" s="17">
        <v>1</v>
      </c>
      <c r="K756" t="s">
        <v>1725</v>
      </c>
      <c r="L756" t="s">
        <v>1726</v>
      </c>
      <c r="M756" t="s">
        <v>1705</v>
      </c>
      <c r="N756">
        <v>25</v>
      </c>
      <c r="O756" t="s">
        <v>40</v>
      </c>
      <c r="P756" t="s">
        <v>40</v>
      </c>
      <c r="Q756" t="s">
        <v>40</v>
      </c>
      <c r="R756" t="s">
        <v>40</v>
      </c>
      <c r="S756" t="s">
        <v>40</v>
      </c>
      <c r="V756" t="s">
        <v>41</v>
      </c>
      <c r="W756" t="s">
        <v>95</v>
      </c>
      <c r="X756" t="str">
        <f>"7461025"</f>
        <v>7461025</v>
      </c>
      <c r="Y756" t="s">
        <v>1740</v>
      </c>
      <c r="Z756" t="s">
        <v>1725</v>
      </c>
      <c r="AA756" t="s">
        <v>1726</v>
      </c>
      <c r="AB756" t="s">
        <v>1705</v>
      </c>
      <c r="AC756" t="s">
        <v>51</v>
      </c>
      <c r="AD756" t="s">
        <v>45</v>
      </c>
      <c r="AE756" s="1">
        <v>32115</v>
      </c>
      <c r="AF756">
        <v>1</v>
      </c>
      <c r="AG756" t="s">
        <v>1726</v>
      </c>
      <c r="AH756" s="36">
        <f t="shared" si="11"/>
        <v>31.505555555555556</v>
      </c>
      <c r="AI756" s="40" t="s">
        <v>1778</v>
      </c>
    </row>
    <row r="757" spans="1:35" x14ac:dyDescent="0.25">
      <c r="A757" s="36">
        <v>99910755</v>
      </c>
      <c r="B757" s="17" t="s">
        <v>32</v>
      </c>
      <c r="C757" t="s">
        <v>111</v>
      </c>
      <c r="D757" t="s">
        <v>112</v>
      </c>
      <c r="G757" s="17" t="s">
        <v>35</v>
      </c>
      <c r="H757" s="17">
        <v>1</v>
      </c>
      <c r="I757" t="s">
        <v>1406</v>
      </c>
      <c r="J757" s="1">
        <v>43344</v>
      </c>
      <c r="K757" t="s">
        <v>1341</v>
      </c>
      <c r="L757" t="s">
        <v>1342</v>
      </c>
      <c r="M757" t="s">
        <v>1270</v>
      </c>
      <c r="N757">
        <v>24</v>
      </c>
      <c r="O757" t="s">
        <v>40</v>
      </c>
      <c r="S757" t="s">
        <v>40</v>
      </c>
      <c r="U757" s="1">
        <v>43344</v>
      </c>
      <c r="V757" t="s">
        <v>41</v>
      </c>
      <c r="W757" t="s">
        <v>75</v>
      </c>
      <c r="X757" t="str">
        <f>"7191006"</f>
        <v>7191006</v>
      </c>
      <c r="Y757" t="s">
        <v>1351</v>
      </c>
      <c r="Z757" t="s">
        <v>1341</v>
      </c>
      <c r="AA757" t="s">
        <v>1342</v>
      </c>
      <c r="AB757" t="s">
        <v>1270</v>
      </c>
      <c r="AC757" t="s">
        <v>44</v>
      </c>
      <c r="AD757" t="s">
        <v>45</v>
      </c>
      <c r="AE757" s="1">
        <v>32112</v>
      </c>
      <c r="AF757">
        <v>1</v>
      </c>
      <c r="AG757" t="s">
        <v>1342</v>
      </c>
      <c r="AH757" s="36">
        <f t="shared" si="11"/>
        <v>31.513888888888889</v>
      </c>
      <c r="AI757" s="40" t="s">
        <v>1778</v>
      </c>
    </row>
    <row r="758" spans="1:35" x14ac:dyDescent="0.25">
      <c r="A758" s="36">
        <v>99910756</v>
      </c>
      <c r="B758" s="17" t="s">
        <v>32</v>
      </c>
      <c r="C758" t="s">
        <v>61</v>
      </c>
      <c r="D758" t="s">
        <v>62</v>
      </c>
      <c r="G758" s="17" t="s">
        <v>35</v>
      </c>
      <c r="H758" s="17">
        <v>1</v>
      </c>
      <c r="I758" t="s">
        <v>682</v>
      </c>
      <c r="J758" s="1">
        <v>43344</v>
      </c>
      <c r="K758" t="s">
        <v>268</v>
      </c>
      <c r="L758" t="s">
        <v>269</v>
      </c>
      <c r="M758" t="s">
        <v>131</v>
      </c>
      <c r="N758">
        <v>21</v>
      </c>
      <c r="O758" t="s">
        <v>40</v>
      </c>
      <c r="S758" t="s">
        <v>40</v>
      </c>
      <c r="U758" s="1">
        <v>43344</v>
      </c>
      <c r="V758" t="s">
        <v>41</v>
      </c>
      <c r="W758" t="s">
        <v>75</v>
      </c>
      <c r="X758" t="str">
        <f>"7052020"</f>
        <v>7052020</v>
      </c>
      <c r="Y758" t="s">
        <v>267</v>
      </c>
      <c r="Z758" t="s">
        <v>268</v>
      </c>
      <c r="AA758" t="s">
        <v>269</v>
      </c>
      <c r="AB758" t="s">
        <v>131</v>
      </c>
      <c r="AC758" t="s">
        <v>51</v>
      </c>
      <c r="AD758" t="s">
        <v>45</v>
      </c>
      <c r="AE758" s="1">
        <v>32105</v>
      </c>
      <c r="AF758">
        <v>1</v>
      </c>
      <c r="AG758" t="s">
        <v>269</v>
      </c>
      <c r="AH758" s="36">
        <f t="shared" si="11"/>
        <v>31.533333333333335</v>
      </c>
      <c r="AI758" s="40" t="s">
        <v>1778</v>
      </c>
    </row>
    <row r="759" spans="1:35" x14ac:dyDescent="0.25">
      <c r="A759" s="36">
        <v>99910757</v>
      </c>
      <c r="B759" s="17" t="s">
        <v>32</v>
      </c>
      <c r="C759" t="s">
        <v>64</v>
      </c>
      <c r="D759" t="s">
        <v>65</v>
      </c>
      <c r="G759" s="17" t="s">
        <v>35</v>
      </c>
      <c r="H759" s="17">
        <v>1</v>
      </c>
      <c r="I759">
        <v>13814</v>
      </c>
      <c r="J759" s="1">
        <v>43355</v>
      </c>
      <c r="K759" t="s">
        <v>345</v>
      </c>
      <c r="L759" t="s">
        <v>346</v>
      </c>
      <c r="M759" t="s">
        <v>131</v>
      </c>
      <c r="N759">
        <v>8</v>
      </c>
      <c r="O759" t="s">
        <v>40</v>
      </c>
      <c r="P759" t="s">
        <v>40</v>
      </c>
      <c r="Q759" t="s">
        <v>40</v>
      </c>
      <c r="S759" t="s">
        <v>40</v>
      </c>
      <c r="U759" s="1">
        <v>43355</v>
      </c>
      <c r="V759" t="s">
        <v>41</v>
      </c>
      <c r="W759" t="s">
        <v>49</v>
      </c>
      <c r="X759" t="str">
        <f>"0581605"</f>
        <v>0581605</v>
      </c>
      <c r="Y759" t="s">
        <v>366</v>
      </c>
      <c r="Z759" t="s">
        <v>345</v>
      </c>
      <c r="AA759" t="s">
        <v>346</v>
      </c>
      <c r="AB759" t="s">
        <v>131</v>
      </c>
      <c r="AC759" t="s">
        <v>51</v>
      </c>
      <c r="AD759" t="s">
        <v>45</v>
      </c>
      <c r="AE759" s="1">
        <v>32098</v>
      </c>
      <c r="AF759">
        <v>2</v>
      </c>
      <c r="AG759" t="s">
        <v>346</v>
      </c>
      <c r="AH759" s="36">
        <f t="shared" si="11"/>
        <v>31.552777777777777</v>
      </c>
      <c r="AI759" s="40" t="s">
        <v>1778</v>
      </c>
    </row>
    <row r="760" spans="1:35" x14ac:dyDescent="0.25">
      <c r="A760" s="36">
        <v>99910758</v>
      </c>
      <c r="B760" s="17" t="s">
        <v>32</v>
      </c>
      <c r="C760" t="s">
        <v>90</v>
      </c>
      <c r="D760" t="s">
        <v>91</v>
      </c>
      <c r="G760" s="17" t="s">
        <v>35</v>
      </c>
      <c r="H760" s="17">
        <v>1</v>
      </c>
      <c r="K760" t="s">
        <v>268</v>
      </c>
      <c r="L760" t="s">
        <v>269</v>
      </c>
      <c r="M760" t="s">
        <v>131</v>
      </c>
      <c r="N760">
        <v>30</v>
      </c>
      <c r="O760" t="s">
        <v>40</v>
      </c>
      <c r="P760" t="s">
        <v>40</v>
      </c>
      <c r="Q760" t="s">
        <v>40</v>
      </c>
      <c r="R760" t="s">
        <v>40</v>
      </c>
      <c r="S760" t="s">
        <v>40</v>
      </c>
      <c r="V760" t="s">
        <v>41</v>
      </c>
      <c r="W760" t="s">
        <v>95</v>
      </c>
      <c r="X760" t="str">
        <f>"7052113"</f>
        <v>7052113</v>
      </c>
      <c r="Y760" t="s">
        <v>743</v>
      </c>
      <c r="Z760" t="s">
        <v>268</v>
      </c>
      <c r="AA760" t="s">
        <v>269</v>
      </c>
      <c r="AB760" t="s">
        <v>131</v>
      </c>
      <c r="AC760" t="s">
        <v>51</v>
      </c>
      <c r="AD760" t="s">
        <v>45</v>
      </c>
      <c r="AE760" s="1">
        <v>32096</v>
      </c>
      <c r="AF760">
        <v>1</v>
      </c>
      <c r="AG760" t="s">
        <v>269</v>
      </c>
      <c r="AH760" s="36">
        <f t="shared" si="11"/>
        <v>31.558333333333334</v>
      </c>
      <c r="AI760" s="40" t="s">
        <v>1778</v>
      </c>
    </row>
    <row r="761" spans="1:35" x14ac:dyDescent="0.25">
      <c r="A761" s="36">
        <v>99910759</v>
      </c>
      <c r="B761" s="17" t="s">
        <v>56</v>
      </c>
      <c r="C761" t="s">
        <v>85</v>
      </c>
      <c r="D761" t="s">
        <v>86</v>
      </c>
      <c r="G761" s="17" t="s">
        <v>35</v>
      </c>
      <c r="H761" s="17">
        <v>1</v>
      </c>
      <c r="I761" t="s">
        <v>202</v>
      </c>
      <c r="J761" s="1">
        <v>43361</v>
      </c>
      <c r="K761" t="s">
        <v>157</v>
      </c>
      <c r="L761" t="s">
        <v>158</v>
      </c>
      <c r="M761" t="s">
        <v>131</v>
      </c>
      <c r="N761">
        <v>10</v>
      </c>
      <c r="O761" t="s">
        <v>40</v>
      </c>
      <c r="P761" t="s">
        <v>40</v>
      </c>
      <c r="Q761" t="s">
        <v>40</v>
      </c>
      <c r="R761" t="s">
        <v>40</v>
      </c>
      <c r="S761" t="s">
        <v>40</v>
      </c>
      <c r="U761" s="1">
        <v>43361</v>
      </c>
      <c r="V761" t="s">
        <v>41</v>
      </c>
      <c r="W761" t="s">
        <v>42</v>
      </c>
      <c r="X761" t="str">
        <f>"0561005"</f>
        <v>0561005</v>
      </c>
      <c r="Y761" t="s">
        <v>174</v>
      </c>
      <c r="Z761" t="s">
        <v>157</v>
      </c>
      <c r="AA761" t="s">
        <v>158</v>
      </c>
      <c r="AB761" t="s">
        <v>131</v>
      </c>
      <c r="AC761" t="s">
        <v>44</v>
      </c>
      <c r="AD761" t="s">
        <v>45</v>
      </c>
      <c r="AE761" s="1">
        <v>32093</v>
      </c>
      <c r="AF761">
        <v>2</v>
      </c>
      <c r="AG761" t="s">
        <v>158</v>
      </c>
      <c r="AH761" s="36">
        <f t="shared" si="11"/>
        <v>31.566666666666666</v>
      </c>
      <c r="AI761" s="40" t="s">
        <v>1778</v>
      </c>
    </row>
    <row r="762" spans="1:35" x14ac:dyDescent="0.25">
      <c r="A762" s="36">
        <v>99910760</v>
      </c>
      <c r="B762" s="17" t="s">
        <v>32</v>
      </c>
      <c r="C762" t="s">
        <v>90</v>
      </c>
      <c r="D762" t="s">
        <v>91</v>
      </c>
      <c r="G762" s="17" t="s">
        <v>35</v>
      </c>
      <c r="H762" s="17">
        <v>1</v>
      </c>
      <c r="K762" t="s">
        <v>877</v>
      </c>
      <c r="L762" t="s">
        <v>878</v>
      </c>
      <c r="M762" t="s">
        <v>131</v>
      </c>
      <c r="N762">
        <v>25</v>
      </c>
      <c r="O762" t="s">
        <v>40</v>
      </c>
      <c r="P762" t="s">
        <v>40</v>
      </c>
      <c r="Q762" t="s">
        <v>40</v>
      </c>
      <c r="R762" t="s">
        <v>40</v>
      </c>
      <c r="S762" t="s">
        <v>40</v>
      </c>
      <c r="V762" t="s">
        <v>41</v>
      </c>
      <c r="W762" t="s">
        <v>95</v>
      </c>
      <c r="X762" t="str">
        <f>"7541043"</f>
        <v>7541043</v>
      </c>
      <c r="Y762" t="s">
        <v>900</v>
      </c>
      <c r="Z762" t="s">
        <v>877</v>
      </c>
      <c r="AA762" t="s">
        <v>878</v>
      </c>
      <c r="AB762" t="s">
        <v>131</v>
      </c>
      <c r="AC762" t="s">
        <v>51</v>
      </c>
      <c r="AD762" t="s">
        <v>45</v>
      </c>
      <c r="AE762" s="1">
        <v>32089</v>
      </c>
      <c r="AF762">
        <v>1</v>
      </c>
      <c r="AG762" t="s">
        <v>878</v>
      </c>
      <c r="AH762" s="36">
        <f t="shared" si="11"/>
        <v>31.577777777777779</v>
      </c>
      <c r="AI762" s="40" t="s">
        <v>1778</v>
      </c>
    </row>
    <row r="763" spans="1:35" x14ac:dyDescent="0.25">
      <c r="A763" s="36">
        <v>99910761</v>
      </c>
      <c r="B763" s="17" t="s">
        <v>32</v>
      </c>
      <c r="C763" t="s">
        <v>90</v>
      </c>
      <c r="D763" t="s">
        <v>91</v>
      </c>
      <c r="G763" s="17" t="s">
        <v>35</v>
      </c>
      <c r="H763" s="17">
        <v>1</v>
      </c>
      <c r="I763" t="s">
        <v>1035</v>
      </c>
      <c r="J763" s="1">
        <v>43354</v>
      </c>
      <c r="K763" t="s">
        <v>1029</v>
      </c>
      <c r="L763" t="s">
        <v>1030</v>
      </c>
      <c r="M763" t="s">
        <v>938</v>
      </c>
      <c r="N763">
        <v>25</v>
      </c>
      <c r="O763" t="s">
        <v>40</v>
      </c>
      <c r="S763" t="s">
        <v>40</v>
      </c>
      <c r="U763" s="1">
        <v>43354</v>
      </c>
      <c r="V763" t="s">
        <v>41</v>
      </c>
      <c r="W763" t="s">
        <v>95</v>
      </c>
      <c r="X763" t="str">
        <f>"7151003"</f>
        <v>7151003</v>
      </c>
      <c r="Y763" t="s">
        <v>1034</v>
      </c>
      <c r="Z763" t="s">
        <v>1029</v>
      </c>
      <c r="AA763" t="s">
        <v>1030</v>
      </c>
      <c r="AB763" t="s">
        <v>938</v>
      </c>
      <c r="AC763" t="s">
        <v>44</v>
      </c>
      <c r="AD763" t="s">
        <v>45</v>
      </c>
      <c r="AE763" s="1">
        <v>32089</v>
      </c>
      <c r="AF763">
        <v>1</v>
      </c>
      <c r="AG763" t="s">
        <v>1030</v>
      </c>
      <c r="AH763" s="36">
        <f t="shared" si="11"/>
        <v>31.577777777777779</v>
      </c>
      <c r="AI763" s="40" t="s">
        <v>1778</v>
      </c>
    </row>
    <row r="764" spans="1:35" x14ac:dyDescent="0.25">
      <c r="A764" s="36">
        <v>99910762</v>
      </c>
      <c r="B764" s="17" t="s">
        <v>32</v>
      </c>
      <c r="C764" t="s">
        <v>90</v>
      </c>
      <c r="D764" t="s">
        <v>91</v>
      </c>
      <c r="G764" s="17" t="s">
        <v>35</v>
      </c>
      <c r="H764" s="17">
        <v>1</v>
      </c>
      <c r="I764">
        <v>3424</v>
      </c>
      <c r="J764" s="1">
        <v>43344</v>
      </c>
      <c r="K764" t="s">
        <v>1245</v>
      </c>
      <c r="L764" t="s">
        <v>1246</v>
      </c>
      <c r="M764" t="s">
        <v>1130</v>
      </c>
      <c r="N764">
        <v>25</v>
      </c>
      <c r="O764" t="s">
        <v>40</v>
      </c>
      <c r="S764" t="s">
        <v>40</v>
      </c>
      <c r="U764" s="1">
        <v>43344</v>
      </c>
      <c r="V764" t="s">
        <v>41</v>
      </c>
      <c r="W764" t="s">
        <v>95</v>
      </c>
      <c r="X764" t="str">
        <f>"7451013"</f>
        <v>7451013</v>
      </c>
      <c r="Y764" t="s">
        <v>1248</v>
      </c>
      <c r="Z764" t="s">
        <v>1245</v>
      </c>
      <c r="AA764" t="s">
        <v>1246</v>
      </c>
      <c r="AB764" t="s">
        <v>1130</v>
      </c>
      <c r="AC764" t="s">
        <v>51</v>
      </c>
      <c r="AD764" t="s">
        <v>45</v>
      </c>
      <c r="AE764" s="1">
        <v>32072</v>
      </c>
      <c r="AF764">
        <v>1</v>
      </c>
      <c r="AG764" t="s">
        <v>1246</v>
      </c>
      <c r="AH764" s="36">
        <f t="shared" si="11"/>
        <v>31.625</v>
      </c>
      <c r="AI764" s="40" t="s">
        <v>1778</v>
      </c>
    </row>
    <row r="765" spans="1:35" x14ac:dyDescent="0.25">
      <c r="A765" s="36">
        <v>99910763</v>
      </c>
      <c r="B765" s="17" t="s">
        <v>32</v>
      </c>
      <c r="C765" t="s">
        <v>111</v>
      </c>
      <c r="D765" t="s">
        <v>112</v>
      </c>
      <c r="G765" s="17" t="s">
        <v>35</v>
      </c>
      <c r="H765" s="17">
        <v>4</v>
      </c>
      <c r="K765" t="s">
        <v>268</v>
      </c>
      <c r="L765" t="s">
        <v>269</v>
      </c>
      <c r="M765" t="s">
        <v>131</v>
      </c>
      <c r="N765">
        <v>24</v>
      </c>
      <c r="O765" t="s">
        <v>40</v>
      </c>
      <c r="P765" t="s">
        <v>40</v>
      </c>
      <c r="Q765" t="s">
        <v>40</v>
      </c>
      <c r="R765" t="s">
        <v>40</v>
      </c>
      <c r="S765" t="s">
        <v>40</v>
      </c>
      <c r="V765" t="s">
        <v>41</v>
      </c>
      <c r="W765" t="s">
        <v>75</v>
      </c>
      <c r="X765" t="str">
        <f>"7052006"</f>
        <v>7052006</v>
      </c>
      <c r="Y765" t="s">
        <v>575</v>
      </c>
      <c r="Z765" t="s">
        <v>268</v>
      </c>
      <c r="AA765" t="s">
        <v>269</v>
      </c>
      <c r="AB765" t="s">
        <v>131</v>
      </c>
      <c r="AC765" t="s">
        <v>51</v>
      </c>
      <c r="AD765" t="s">
        <v>45</v>
      </c>
      <c r="AE765" s="1">
        <v>32069</v>
      </c>
      <c r="AF765">
        <v>1</v>
      </c>
      <c r="AG765" t="s">
        <v>269</v>
      </c>
      <c r="AH765" s="36">
        <f t="shared" si="11"/>
        <v>31.633333333333333</v>
      </c>
      <c r="AI765" s="40" t="s">
        <v>1778</v>
      </c>
    </row>
    <row r="766" spans="1:35" x14ac:dyDescent="0.25">
      <c r="A766" s="36">
        <v>99910764</v>
      </c>
      <c r="B766" s="17" t="s">
        <v>32</v>
      </c>
      <c r="C766" t="s">
        <v>90</v>
      </c>
      <c r="D766" t="s">
        <v>91</v>
      </c>
      <c r="G766" s="17" t="s">
        <v>48</v>
      </c>
      <c r="H766" s="17">
        <v>1</v>
      </c>
      <c r="K766" t="s">
        <v>268</v>
      </c>
      <c r="L766" t="s">
        <v>269</v>
      </c>
      <c r="M766" t="s">
        <v>131</v>
      </c>
      <c r="N766">
        <v>28</v>
      </c>
      <c r="O766" t="s">
        <v>40</v>
      </c>
      <c r="P766" t="s">
        <v>40</v>
      </c>
      <c r="Q766" t="s">
        <v>40</v>
      </c>
      <c r="R766" t="s">
        <v>40</v>
      </c>
      <c r="S766" t="s">
        <v>40</v>
      </c>
      <c r="V766" t="s">
        <v>41</v>
      </c>
      <c r="W766" t="s">
        <v>95</v>
      </c>
      <c r="X766" t="str">
        <f>"7052201"</f>
        <v>7052201</v>
      </c>
      <c r="Y766" t="s">
        <v>603</v>
      </c>
      <c r="Z766" t="s">
        <v>268</v>
      </c>
      <c r="AA766" t="s">
        <v>269</v>
      </c>
      <c r="AB766" t="s">
        <v>131</v>
      </c>
      <c r="AC766" t="s">
        <v>51</v>
      </c>
      <c r="AD766" t="s">
        <v>45</v>
      </c>
      <c r="AE766" s="1">
        <v>32067</v>
      </c>
      <c r="AF766">
        <v>1</v>
      </c>
      <c r="AG766" t="s">
        <v>269</v>
      </c>
      <c r="AH766" s="36">
        <f t="shared" si="11"/>
        <v>31.638888888888889</v>
      </c>
      <c r="AI766" s="40" t="s">
        <v>1778</v>
      </c>
    </row>
    <row r="767" spans="1:35" x14ac:dyDescent="0.25">
      <c r="A767" s="36">
        <v>99910765</v>
      </c>
      <c r="B767" s="17" t="s">
        <v>32</v>
      </c>
      <c r="C767" t="s">
        <v>111</v>
      </c>
      <c r="D767" t="s">
        <v>112</v>
      </c>
      <c r="G767" s="17" t="s">
        <v>48</v>
      </c>
      <c r="H767" s="17">
        <v>1</v>
      </c>
      <c r="K767" t="s">
        <v>1631</v>
      </c>
      <c r="L767" t="s">
        <v>1632</v>
      </c>
      <c r="M767" t="s">
        <v>1592</v>
      </c>
      <c r="N767">
        <v>24</v>
      </c>
      <c r="O767" t="s">
        <v>40</v>
      </c>
      <c r="P767" t="s">
        <v>40</v>
      </c>
      <c r="Q767" t="s">
        <v>40</v>
      </c>
      <c r="R767" t="s">
        <v>40</v>
      </c>
      <c r="S767" t="s">
        <v>40</v>
      </c>
      <c r="V767" t="s">
        <v>41</v>
      </c>
      <c r="W767" t="s">
        <v>75</v>
      </c>
      <c r="X767" t="str">
        <f>"7021000"</f>
        <v>7021000</v>
      </c>
      <c r="Y767" t="s">
        <v>1633</v>
      </c>
      <c r="Z767" t="s">
        <v>1631</v>
      </c>
      <c r="AA767" t="s">
        <v>1632</v>
      </c>
      <c r="AB767" t="s">
        <v>1592</v>
      </c>
      <c r="AC767" t="s">
        <v>51</v>
      </c>
      <c r="AD767" t="s">
        <v>45</v>
      </c>
      <c r="AE767" s="1">
        <v>32067</v>
      </c>
      <c r="AF767">
        <v>1</v>
      </c>
      <c r="AG767" t="s">
        <v>1632</v>
      </c>
      <c r="AH767" s="36">
        <f t="shared" si="11"/>
        <v>31.638888888888889</v>
      </c>
      <c r="AI767" s="40" t="s">
        <v>1778</v>
      </c>
    </row>
    <row r="768" spans="1:35" x14ac:dyDescent="0.25">
      <c r="A768" s="36">
        <v>99910766</v>
      </c>
      <c r="B768" s="17" t="s">
        <v>32</v>
      </c>
      <c r="C768" t="s">
        <v>90</v>
      </c>
      <c r="D768" t="s">
        <v>91</v>
      </c>
      <c r="G768" s="17" t="s">
        <v>35</v>
      </c>
      <c r="H768" s="17">
        <v>1</v>
      </c>
      <c r="I768">
        <v>6594</v>
      </c>
      <c r="J768" s="1">
        <v>43347</v>
      </c>
      <c r="K768" t="s">
        <v>667</v>
      </c>
      <c r="L768" t="s">
        <v>669</v>
      </c>
      <c r="M768" t="s">
        <v>670</v>
      </c>
      <c r="N768">
        <v>25</v>
      </c>
      <c r="O768" t="s">
        <v>40</v>
      </c>
      <c r="S768" t="s">
        <v>40</v>
      </c>
      <c r="U768" s="1">
        <v>43347</v>
      </c>
      <c r="V768" t="s">
        <v>41</v>
      </c>
      <c r="W768" t="s">
        <v>95</v>
      </c>
      <c r="X768" t="str">
        <f>"7501011"</f>
        <v>7501011</v>
      </c>
      <c r="Y768" t="s">
        <v>1542</v>
      </c>
      <c r="Z768" t="s">
        <v>667</v>
      </c>
      <c r="AA768" t="s">
        <v>669</v>
      </c>
      <c r="AB768" t="s">
        <v>670</v>
      </c>
      <c r="AC768" t="s">
        <v>44</v>
      </c>
      <c r="AD768" t="s">
        <v>45</v>
      </c>
      <c r="AE768" s="1">
        <v>32062</v>
      </c>
      <c r="AF768">
        <v>1</v>
      </c>
      <c r="AG768" t="s">
        <v>669</v>
      </c>
      <c r="AH768" s="36">
        <f t="shared" si="11"/>
        <v>31.652777777777779</v>
      </c>
      <c r="AI768" s="40" t="s">
        <v>1778</v>
      </c>
    </row>
    <row r="769" spans="1:35" x14ac:dyDescent="0.25">
      <c r="A769" s="36">
        <v>99910767</v>
      </c>
      <c r="B769" s="17" t="s">
        <v>32</v>
      </c>
      <c r="C769" t="s">
        <v>111</v>
      </c>
      <c r="D769" t="s">
        <v>112</v>
      </c>
      <c r="G769" s="17" t="s">
        <v>35</v>
      </c>
      <c r="H769" s="17">
        <v>1</v>
      </c>
      <c r="I769">
        <v>1989</v>
      </c>
      <c r="J769" s="1">
        <v>43344</v>
      </c>
      <c r="K769" t="s">
        <v>354</v>
      </c>
      <c r="L769" t="s">
        <v>355</v>
      </c>
      <c r="M769" t="s">
        <v>131</v>
      </c>
      <c r="N769">
        <v>24</v>
      </c>
      <c r="O769" t="s">
        <v>40</v>
      </c>
      <c r="P769" t="s">
        <v>40</v>
      </c>
      <c r="Q769" t="s">
        <v>40</v>
      </c>
      <c r="R769" t="s">
        <v>40</v>
      </c>
      <c r="S769" t="s">
        <v>40</v>
      </c>
      <c r="U769" s="1">
        <v>43344</v>
      </c>
      <c r="V769" t="s">
        <v>41</v>
      </c>
      <c r="W769" t="s">
        <v>75</v>
      </c>
      <c r="X769" t="str">
        <f>"7054024"</f>
        <v>7054024</v>
      </c>
      <c r="Y769" t="s">
        <v>793</v>
      </c>
      <c r="Z769" t="s">
        <v>354</v>
      </c>
      <c r="AA769" t="s">
        <v>355</v>
      </c>
      <c r="AB769" t="s">
        <v>131</v>
      </c>
      <c r="AC769" t="s">
        <v>51</v>
      </c>
      <c r="AD769" t="s">
        <v>45</v>
      </c>
      <c r="AE769" s="1">
        <v>32060</v>
      </c>
      <c r="AF769">
        <v>1</v>
      </c>
      <c r="AG769" t="s">
        <v>355</v>
      </c>
      <c r="AH769" s="36">
        <f t="shared" si="11"/>
        <v>31.658333333333335</v>
      </c>
      <c r="AI769" s="40" t="s">
        <v>1778</v>
      </c>
    </row>
    <row r="770" spans="1:35" x14ac:dyDescent="0.25">
      <c r="A770" s="36">
        <v>99910768</v>
      </c>
      <c r="B770" s="17" t="s">
        <v>32</v>
      </c>
      <c r="C770" t="s">
        <v>64</v>
      </c>
      <c r="D770" t="s">
        <v>65</v>
      </c>
      <c r="G770" s="17" t="s">
        <v>35</v>
      </c>
      <c r="H770" s="17">
        <v>1</v>
      </c>
      <c r="I770">
        <v>0</v>
      </c>
      <c r="J770" s="1">
        <v>43344</v>
      </c>
      <c r="K770" t="s">
        <v>223</v>
      </c>
      <c r="L770" t="s">
        <v>224</v>
      </c>
      <c r="M770" t="s">
        <v>131</v>
      </c>
      <c r="N770">
        <v>21</v>
      </c>
      <c r="O770" t="s">
        <v>40</v>
      </c>
      <c r="P770" t="s">
        <v>40</v>
      </c>
      <c r="Q770" t="s">
        <v>40</v>
      </c>
      <c r="R770" t="s">
        <v>40</v>
      </c>
      <c r="S770" t="s">
        <v>40</v>
      </c>
      <c r="U770" s="1">
        <v>43344</v>
      </c>
      <c r="V770" t="s">
        <v>41</v>
      </c>
      <c r="W770" t="s">
        <v>49</v>
      </c>
      <c r="X770" t="str">
        <f>"0581207"</f>
        <v>0581207</v>
      </c>
      <c r="Y770" t="s">
        <v>233</v>
      </c>
      <c r="Z770" t="s">
        <v>223</v>
      </c>
      <c r="AA770" t="s">
        <v>224</v>
      </c>
      <c r="AB770" t="s">
        <v>131</v>
      </c>
      <c r="AC770" t="s">
        <v>165</v>
      </c>
      <c r="AD770" t="s">
        <v>45</v>
      </c>
      <c r="AE770" s="1">
        <v>32055</v>
      </c>
      <c r="AF770">
        <v>2</v>
      </c>
      <c r="AG770" t="s">
        <v>224</v>
      </c>
      <c r="AH770" s="36">
        <f t="shared" ref="AH770:AH833" si="12">($AJ$1-AE770)/360</f>
        <v>31.672222222222221</v>
      </c>
      <c r="AI770" s="40" t="s">
        <v>1778</v>
      </c>
    </row>
    <row r="771" spans="1:35" x14ac:dyDescent="0.25">
      <c r="A771" s="36">
        <v>99910769</v>
      </c>
      <c r="B771" s="17" t="s">
        <v>32</v>
      </c>
      <c r="C771" t="s">
        <v>111</v>
      </c>
      <c r="D771" t="s">
        <v>112</v>
      </c>
      <c r="G771" s="17" t="s">
        <v>35</v>
      </c>
      <c r="H771" s="17">
        <v>1</v>
      </c>
      <c r="K771" t="s">
        <v>154</v>
      </c>
      <c r="L771" t="s">
        <v>155</v>
      </c>
      <c r="M771" t="s">
        <v>131</v>
      </c>
      <c r="N771">
        <v>24</v>
      </c>
      <c r="O771" t="s">
        <v>40</v>
      </c>
      <c r="P771" t="s">
        <v>40</v>
      </c>
      <c r="Q771" t="s">
        <v>40</v>
      </c>
      <c r="S771" t="s">
        <v>40</v>
      </c>
      <c r="V771" t="s">
        <v>41</v>
      </c>
      <c r="W771" t="s">
        <v>75</v>
      </c>
      <c r="X771" t="str">
        <f>"7051026"</f>
        <v>7051026</v>
      </c>
      <c r="Y771" t="s">
        <v>396</v>
      </c>
      <c r="Z771" t="s">
        <v>154</v>
      </c>
      <c r="AA771" t="s">
        <v>155</v>
      </c>
      <c r="AB771" t="s">
        <v>131</v>
      </c>
      <c r="AC771" t="s">
        <v>51</v>
      </c>
      <c r="AD771" t="s">
        <v>45</v>
      </c>
      <c r="AE771" s="1">
        <v>32051</v>
      </c>
      <c r="AF771">
        <v>1</v>
      </c>
      <c r="AG771" t="s">
        <v>155</v>
      </c>
      <c r="AH771" s="36">
        <f t="shared" si="12"/>
        <v>31.683333333333334</v>
      </c>
      <c r="AI771" s="40" t="s">
        <v>1778</v>
      </c>
    </row>
    <row r="772" spans="1:35" x14ac:dyDescent="0.25">
      <c r="A772" s="36">
        <v>99910770</v>
      </c>
      <c r="B772" s="17" t="s">
        <v>32</v>
      </c>
      <c r="C772" t="s">
        <v>64</v>
      </c>
      <c r="D772" t="s">
        <v>65</v>
      </c>
      <c r="G772" s="17" t="s">
        <v>35</v>
      </c>
      <c r="H772" s="17">
        <v>1</v>
      </c>
      <c r="I772">
        <v>0</v>
      </c>
      <c r="J772" s="1">
        <v>43344</v>
      </c>
      <c r="K772" t="s">
        <v>268</v>
      </c>
      <c r="L772" t="s">
        <v>269</v>
      </c>
      <c r="M772" t="s">
        <v>131</v>
      </c>
      <c r="N772">
        <v>17</v>
      </c>
      <c r="O772" t="s">
        <v>40</v>
      </c>
      <c r="P772" t="s">
        <v>40</v>
      </c>
      <c r="Q772" t="s">
        <v>40</v>
      </c>
      <c r="R772" t="s">
        <v>40</v>
      </c>
      <c r="S772" t="s">
        <v>40</v>
      </c>
      <c r="U772" s="1">
        <v>43344</v>
      </c>
      <c r="V772" t="s">
        <v>41</v>
      </c>
      <c r="W772" t="s">
        <v>75</v>
      </c>
      <c r="X772" t="str">
        <f>"7052040"</f>
        <v>7052040</v>
      </c>
      <c r="Y772" t="s">
        <v>591</v>
      </c>
      <c r="Z772" t="s">
        <v>268</v>
      </c>
      <c r="AA772" t="s">
        <v>269</v>
      </c>
      <c r="AB772" t="s">
        <v>131</v>
      </c>
      <c r="AC772" t="s">
        <v>44</v>
      </c>
      <c r="AD772" t="s">
        <v>45</v>
      </c>
      <c r="AE772" s="1">
        <v>32050</v>
      </c>
      <c r="AF772">
        <v>1</v>
      </c>
      <c r="AG772" t="s">
        <v>269</v>
      </c>
      <c r="AH772" s="36">
        <f t="shared" si="12"/>
        <v>31.68611111111111</v>
      </c>
      <c r="AI772" s="40" t="s">
        <v>1778</v>
      </c>
    </row>
    <row r="773" spans="1:35" x14ac:dyDescent="0.25">
      <c r="A773" s="36">
        <v>99910771</v>
      </c>
      <c r="B773" s="17" t="s">
        <v>56</v>
      </c>
      <c r="C773" t="s">
        <v>68</v>
      </c>
      <c r="D773" t="s">
        <v>69</v>
      </c>
      <c r="G773" s="17" t="s">
        <v>35</v>
      </c>
      <c r="H773" s="17">
        <v>1</v>
      </c>
      <c r="I773">
        <v>9267</v>
      </c>
      <c r="J773" s="1">
        <v>43344</v>
      </c>
      <c r="K773" t="s">
        <v>1325</v>
      </c>
      <c r="L773" t="s">
        <v>1326</v>
      </c>
      <c r="M773" t="s">
        <v>1270</v>
      </c>
      <c r="N773">
        <v>20</v>
      </c>
      <c r="O773" t="s">
        <v>40</v>
      </c>
      <c r="P773" t="s">
        <v>40</v>
      </c>
      <c r="Q773" t="s">
        <v>40</v>
      </c>
      <c r="R773" t="s">
        <v>40</v>
      </c>
      <c r="S773" t="s">
        <v>40</v>
      </c>
      <c r="U773" s="1">
        <v>43344</v>
      </c>
      <c r="V773" t="s">
        <v>41</v>
      </c>
      <c r="W773" t="s">
        <v>49</v>
      </c>
      <c r="X773" t="str">
        <f>"3981100"</f>
        <v>3981100</v>
      </c>
      <c r="Y773" t="s">
        <v>1327</v>
      </c>
      <c r="Z773" t="s">
        <v>1325</v>
      </c>
      <c r="AA773" t="s">
        <v>1326</v>
      </c>
      <c r="AB773" t="s">
        <v>1270</v>
      </c>
      <c r="AC773" t="s">
        <v>51</v>
      </c>
      <c r="AD773" t="s">
        <v>45</v>
      </c>
      <c r="AE773" s="1">
        <v>32042</v>
      </c>
      <c r="AF773">
        <v>2</v>
      </c>
      <c r="AG773" t="s">
        <v>1326</v>
      </c>
      <c r="AH773" s="36">
        <f t="shared" si="12"/>
        <v>31.708333333333332</v>
      </c>
      <c r="AI773" s="40" t="s">
        <v>1778</v>
      </c>
    </row>
    <row r="774" spans="1:35" x14ac:dyDescent="0.25">
      <c r="A774" s="36">
        <v>99910772</v>
      </c>
      <c r="B774" s="17" t="s">
        <v>32</v>
      </c>
      <c r="C774" t="s">
        <v>90</v>
      </c>
      <c r="D774" t="s">
        <v>91</v>
      </c>
      <c r="G774" s="17" t="s">
        <v>48</v>
      </c>
      <c r="H774" s="17">
        <v>1</v>
      </c>
      <c r="K774" t="s">
        <v>195</v>
      </c>
      <c r="L774" t="s">
        <v>196</v>
      </c>
      <c r="M774" t="s">
        <v>131</v>
      </c>
      <c r="N774">
        <v>25</v>
      </c>
      <c r="O774" t="s">
        <v>40</v>
      </c>
      <c r="P774" t="s">
        <v>40</v>
      </c>
      <c r="Q774" t="s">
        <v>40</v>
      </c>
      <c r="S774" t="s">
        <v>40</v>
      </c>
      <c r="V774" t="s">
        <v>41</v>
      </c>
      <c r="W774" t="s">
        <v>95</v>
      </c>
      <c r="X774" t="str">
        <f>"7521021"</f>
        <v>7521021</v>
      </c>
      <c r="Y774" t="s">
        <v>458</v>
      </c>
      <c r="Z774" t="s">
        <v>195</v>
      </c>
      <c r="AA774" t="s">
        <v>196</v>
      </c>
      <c r="AB774" t="s">
        <v>131</v>
      </c>
      <c r="AC774" t="s">
        <v>51</v>
      </c>
      <c r="AD774" t="s">
        <v>45</v>
      </c>
      <c r="AE774" s="1">
        <v>32036</v>
      </c>
      <c r="AF774">
        <v>1</v>
      </c>
      <c r="AG774" t="s">
        <v>196</v>
      </c>
      <c r="AH774" s="36">
        <f t="shared" si="12"/>
        <v>31.725000000000001</v>
      </c>
      <c r="AI774" s="40" t="s">
        <v>1778</v>
      </c>
    </row>
    <row r="775" spans="1:35" x14ac:dyDescent="0.25">
      <c r="A775" s="36">
        <v>99910773</v>
      </c>
      <c r="B775" s="17" t="s">
        <v>32</v>
      </c>
      <c r="C775" t="s">
        <v>61</v>
      </c>
      <c r="D775" t="s">
        <v>62</v>
      </c>
      <c r="G775" s="17" t="s">
        <v>35</v>
      </c>
      <c r="H775" s="17">
        <v>1</v>
      </c>
      <c r="J775" s="1">
        <v>40793</v>
      </c>
      <c r="K775" t="s">
        <v>1336</v>
      </c>
      <c r="L775" t="s">
        <v>1337</v>
      </c>
      <c r="M775" t="s">
        <v>1270</v>
      </c>
      <c r="N775">
        <v>9</v>
      </c>
      <c r="O775" t="s">
        <v>40</v>
      </c>
      <c r="P775" t="s">
        <v>40</v>
      </c>
      <c r="Q775" t="s">
        <v>40</v>
      </c>
      <c r="R775" t="s">
        <v>40</v>
      </c>
      <c r="S775" t="s">
        <v>40</v>
      </c>
      <c r="U775" s="1">
        <v>40793</v>
      </c>
      <c r="V775" t="s">
        <v>41</v>
      </c>
      <c r="W775" t="s">
        <v>42</v>
      </c>
      <c r="X775" t="str">
        <f>"4475070"</f>
        <v>4475070</v>
      </c>
      <c r="Y775" t="s">
        <v>1338</v>
      </c>
      <c r="Z775" t="s">
        <v>1336</v>
      </c>
      <c r="AA775" t="s">
        <v>1337</v>
      </c>
      <c r="AB775" t="s">
        <v>1270</v>
      </c>
      <c r="AC775" t="s">
        <v>51</v>
      </c>
      <c r="AD775" t="s">
        <v>45</v>
      </c>
      <c r="AE775" s="1">
        <v>32035</v>
      </c>
      <c r="AF775">
        <v>2</v>
      </c>
      <c r="AG775" t="s">
        <v>1337</v>
      </c>
      <c r="AH775" s="36">
        <f t="shared" si="12"/>
        <v>31.727777777777778</v>
      </c>
      <c r="AI775" s="40" t="s">
        <v>1778</v>
      </c>
    </row>
    <row r="776" spans="1:35" x14ac:dyDescent="0.25">
      <c r="A776" s="36">
        <v>99910774</v>
      </c>
      <c r="B776" s="17" t="s">
        <v>32</v>
      </c>
      <c r="C776" t="s">
        <v>90</v>
      </c>
      <c r="D776" t="s">
        <v>91</v>
      </c>
      <c r="G776" s="17" t="s">
        <v>88</v>
      </c>
      <c r="H776" s="17">
        <v>2</v>
      </c>
      <c r="I776" t="s">
        <v>485</v>
      </c>
      <c r="J776" s="1">
        <v>42248</v>
      </c>
      <c r="K776" t="s">
        <v>195</v>
      </c>
      <c r="L776" t="s">
        <v>196</v>
      </c>
      <c r="M776" t="s">
        <v>131</v>
      </c>
      <c r="N776">
        <v>25</v>
      </c>
      <c r="O776" t="s">
        <v>40</v>
      </c>
      <c r="P776" t="s">
        <v>40</v>
      </c>
      <c r="Q776" t="s">
        <v>40</v>
      </c>
      <c r="R776" t="s">
        <v>40</v>
      </c>
      <c r="S776" t="s">
        <v>40</v>
      </c>
      <c r="U776" s="1">
        <v>42248</v>
      </c>
      <c r="V776" t="s">
        <v>41</v>
      </c>
      <c r="W776" t="s">
        <v>95</v>
      </c>
      <c r="X776" t="str">
        <f>"7521101"</f>
        <v>7521101</v>
      </c>
      <c r="Y776" t="s">
        <v>486</v>
      </c>
      <c r="Z776" t="s">
        <v>195</v>
      </c>
      <c r="AA776" t="s">
        <v>196</v>
      </c>
      <c r="AB776" t="s">
        <v>131</v>
      </c>
      <c r="AC776" t="s">
        <v>51</v>
      </c>
      <c r="AD776" t="s">
        <v>45</v>
      </c>
      <c r="AE776" s="1">
        <v>32032</v>
      </c>
      <c r="AF776">
        <v>1</v>
      </c>
      <c r="AG776" t="s">
        <v>196</v>
      </c>
      <c r="AH776" s="36">
        <f t="shared" si="12"/>
        <v>31.736111111111111</v>
      </c>
      <c r="AI776" s="40" t="s">
        <v>1778</v>
      </c>
    </row>
    <row r="777" spans="1:35" x14ac:dyDescent="0.25">
      <c r="A777" s="36">
        <v>99910775</v>
      </c>
      <c r="B777" s="17" t="s">
        <v>32</v>
      </c>
      <c r="C777" t="s">
        <v>90</v>
      </c>
      <c r="D777" t="s">
        <v>91</v>
      </c>
      <c r="G777" s="17" t="s">
        <v>48</v>
      </c>
      <c r="H777" s="17">
        <v>1</v>
      </c>
      <c r="K777" t="s">
        <v>1708</v>
      </c>
      <c r="L777" t="s">
        <v>1709</v>
      </c>
      <c r="M777" t="s">
        <v>1705</v>
      </c>
      <c r="N777">
        <v>25</v>
      </c>
      <c r="O777" t="s">
        <v>40</v>
      </c>
      <c r="P777" t="s">
        <v>40</v>
      </c>
      <c r="Q777" t="s">
        <v>40</v>
      </c>
      <c r="S777" t="s">
        <v>40</v>
      </c>
      <c r="V777" t="s">
        <v>41</v>
      </c>
      <c r="W777" t="s">
        <v>95</v>
      </c>
      <c r="X777" t="str">
        <f>"7121015"</f>
        <v>7121015</v>
      </c>
      <c r="Y777" t="s">
        <v>1722</v>
      </c>
      <c r="Z777" t="s">
        <v>1708</v>
      </c>
      <c r="AA777" t="s">
        <v>1709</v>
      </c>
      <c r="AB777" t="s">
        <v>1705</v>
      </c>
      <c r="AC777" t="s">
        <v>51</v>
      </c>
      <c r="AD777" t="s">
        <v>45</v>
      </c>
      <c r="AE777" s="1">
        <v>32031</v>
      </c>
      <c r="AF777">
        <v>1</v>
      </c>
      <c r="AG777" t="s">
        <v>1709</v>
      </c>
      <c r="AH777" s="36">
        <f t="shared" si="12"/>
        <v>31.738888888888887</v>
      </c>
      <c r="AI777" s="40" t="s">
        <v>1778</v>
      </c>
    </row>
    <row r="778" spans="1:35" x14ac:dyDescent="0.25">
      <c r="A778" s="36">
        <v>99910776</v>
      </c>
      <c r="B778" s="17" t="s">
        <v>32</v>
      </c>
      <c r="C778" t="s">
        <v>90</v>
      </c>
      <c r="D778" t="s">
        <v>91</v>
      </c>
      <c r="G778" s="17" t="s">
        <v>35</v>
      </c>
      <c r="H778" s="17">
        <v>1</v>
      </c>
      <c r="I778" t="s">
        <v>916</v>
      </c>
      <c r="J778" s="1">
        <v>43344</v>
      </c>
      <c r="K778" t="s">
        <v>877</v>
      </c>
      <c r="L778" t="s">
        <v>878</v>
      </c>
      <c r="M778" t="s">
        <v>131</v>
      </c>
      <c r="N778">
        <v>24</v>
      </c>
      <c r="O778" t="s">
        <v>40</v>
      </c>
      <c r="S778" t="s">
        <v>40</v>
      </c>
      <c r="U778" s="1">
        <v>43344</v>
      </c>
      <c r="V778" t="s">
        <v>41</v>
      </c>
      <c r="W778" t="s">
        <v>95</v>
      </c>
      <c r="X778" t="str">
        <f>"7541101"</f>
        <v>7541101</v>
      </c>
      <c r="Y778" t="s">
        <v>917</v>
      </c>
      <c r="Z778" t="s">
        <v>877</v>
      </c>
      <c r="AA778" t="s">
        <v>878</v>
      </c>
      <c r="AB778" t="s">
        <v>131</v>
      </c>
      <c r="AC778" t="s">
        <v>44</v>
      </c>
      <c r="AD778" t="s">
        <v>45</v>
      </c>
      <c r="AE778" s="1">
        <v>32027</v>
      </c>
      <c r="AF778">
        <v>1</v>
      </c>
      <c r="AG778" t="s">
        <v>878</v>
      </c>
      <c r="AH778" s="36">
        <f t="shared" si="12"/>
        <v>31.75</v>
      </c>
      <c r="AI778" s="40" t="s">
        <v>1778</v>
      </c>
    </row>
    <row r="779" spans="1:35" x14ac:dyDescent="0.25">
      <c r="A779" s="36">
        <v>99910777</v>
      </c>
      <c r="B779" s="17" t="s">
        <v>56</v>
      </c>
      <c r="C779" t="s">
        <v>82</v>
      </c>
      <c r="D779" t="s">
        <v>83</v>
      </c>
      <c r="G779" s="17" t="s">
        <v>48</v>
      </c>
      <c r="H779" s="17">
        <v>1</v>
      </c>
      <c r="K779" t="s">
        <v>1613</v>
      </c>
      <c r="L779" t="s">
        <v>1614</v>
      </c>
      <c r="M779" t="s">
        <v>1592</v>
      </c>
      <c r="N779">
        <v>11</v>
      </c>
      <c r="O779" t="s">
        <v>40</v>
      </c>
      <c r="P779" t="s">
        <v>40</v>
      </c>
      <c r="Q779" t="s">
        <v>40</v>
      </c>
      <c r="R779" t="s">
        <v>40</v>
      </c>
      <c r="S779" t="s">
        <v>40</v>
      </c>
      <c r="V779" t="s">
        <v>41</v>
      </c>
      <c r="W779" t="s">
        <v>42</v>
      </c>
      <c r="X779" t="str">
        <f>"2880010"</f>
        <v>2880010</v>
      </c>
      <c r="Y779" t="s">
        <v>1623</v>
      </c>
      <c r="Z779" t="s">
        <v>1613</v>
      </c>
      <c r="AA779" t="s">
        <v>1614</v>
      </c>
      <c r="AB779" t="s">
        <v>1592</v>
      </c>
      <c r="AC779" t="s">
        <v>51</v>
      </c>
      <c r="AD779" t="s">
        <v>45</v>
      </c>
      <c r="AE779" s="1">
        <v>32026</v>
      </c>
      <c r="AF779">
        <v>2</v>
      </c>
      <c r="AG779" t="s">
        <v>1614</v>
      </c>
      <c r="AH779" s="36">
        <f t="shared" si="12"/>
        <v>31.752777777777776</v>
      </c>
      <c r="AI779" s="40" t="s">
        <v>1778</v>
      </c>
    </row>
    <row r="780" spans="1:35" x14ac:dyDescent="0.25">
      <c r="A780" s="36">
        <v>99910778</v>
      </c>
      <c r="B780" s="17" t="s">
        <v>32</v>
      </c>
      <c r="C780" t="s">
        <v>46</v>
      </c>
      <c r="D780" t="s">
        <v>47</v>
      </c>
      <c r="G780" s="17" t="s">
        <v>35</v>
      </c>
      <c r="H780" s="17">
        <v>1</v>
      </c>
      <c r="I780" t="s">
        <v>1560</v>
      </c>
      <c r="J780" s="1">
        <v>43344</v>
      </c>
      <c r="K780" t="s">
        <v>1546</v>
      </c>
      <c r="L780" t="s">
        <v>1547</v>
      </c>
      <c r="M780" t="s">
        <v>1548</v>
      </c>
      <c r="N780">
        <v>23</v>
      </c>
      <c r="O780" t="s">
        <v>40</v>
      </c>
      <c r="P780" t="s">
        <v>40</v>
      </c>
      <c r="Q780" t="s">
        <v>40</v>
      </c>
      <c r="R780" t="s">
        <v>40</v>
      </c>
      <c r="S780" t="s">
        <v>40</v>
      </c>
      <c r="U780" s="1">
        <v>43344</v>
      </c>
      <c r="V780" t="s">
        <v>41</v>
      </c>
      <c r="W780" t="s">
        <v>42</v>
      </c>
      <c r="X780" t="str">
        <f>"1061001"</f>
        <v>1061001</v>
      </c>
      <c r="Y780" t="s">
        <v>1550</v>
      </c>
      <c r="Z780" t="s">
        <v>1546</v>
      </c>
      <c r="AA780" t="s">
        <v>1547</v>
      </c>
      <c r="AB780" t="s">
        <v>1548</v>
      </c>
      <c r="AC780" t="s">
        <v>44</v>
      </c>
      <c r="AD780" t="s">
        <v>45</v>
      </c>
      <c r="AE780" s="1">
        <v>32023</v>
      </c>
      <c r="AF780">
        <v>2</v>
      </c>
      <c r="AG780" t="s">
        <v>1547</v>
      </c>
      <c r="AH780" s="36">
        <f t="shared" si="12"/>
        <v>31.761111111111113</v>
      </c>
      <c r="AI780" s="40" t="s">
        <v>1778</v>
      </c>
    </row>
    <row r="781" spans="1:35" x14ac:dyDescent="0.25">
      <c r="A781" s="36">
        <v>99910779</v>
      </c>
      <c r="B781" s="17" t="s">
        <v>32</v>
      </c>
      <c r="C781" t="s">
        <v>46</v>
      </c>
      <c r="D781" t="s">
        <v>47</v>
      </c>
      <c r="G781" s="17" t="s">
        <v>35</v>
      </c>
      <c r="H781" s="17">
        <v>1</v>
      </c>
      <c r="K781" t="s">
        <v>223</v>
      </c>
      <c r="L781" t="s">
        <v>224</v>
      </c>
      <c r="M781" t="s">
        <v>131</v>
      </c>
      <c r="N781">
        <v>19</v>
      </c>
      <c r="O781" t="s">
        <v>40</v>
      </c>
      <c r="P781" t="s">
        <v>40</v>
      </c>
      <c r="Q781" t="s">
        <v>40</v>
      </c>
      <c r="S781" t="s">
        <v>40</v>
      </c>
      <c r="V781" t="s">
        <v>41</v>
      </c>
      <c r="W781" t="s">
        <v>49</v>
      </c>
      <c r="X781" t="str">
        <f>"0581206"</f>
        <v>0581206</v>
      </c>
      <c r="Y781" t="s">
        <v>232</v>
      </c>
      <c r="Z781" t="s">
        <v>223</v>
      </c>
      <c r="AA781" t="s">
        <v>224</v>
      </c>
      <c r="AB781" t="s">
        <v>131</v>
      </c>
      <c r="AC781" t="s">
        <v>165</v>
      </c>
      <c r="AD781" t="s">
        <v>45</v>
      </c>
      <c r="AE781" s="1">
        <v>32022</v>
      </c>
      <c r="AF781">
        <v>2</v>
      </c>
      <c r="AG781" t="s">
        <v>224</v>
      </c>
      <c r="AH781" s="36">
        <f t="shared" si="12"/>
        <v>31.763888888888889</v>
      </c>
      <c r="AI781" s="40" t="s">
        <v>1778</v>
      </c>
    </row>
    <row r="782" spans="1:35" x14ac:dyDescent="0.25">
      <c r="A782" s="36">
        <v>99910780</v>
      </c>
      <c r="B782" s="17" t="s">
        <v>32</v>
      </c>
      <c r="C782" t="s">
        <v>90</v>
      </c>
      <c r="D782" t="s">
        <v>91</v>
      </c>
      <c r="G782" s="17" t="s">
        <v>35</v>
      </c>
      <c r="H782" s="17">
        <v>1</v>
      </c>
      <c r="J782" s="1">
        <v>43344</v>
      </c>
      <c r="K782" t="s">
        <v>354</v>
      </c>
      <c r="L782" t="s">
        <v>355</v>
      </c>
      <c r="M782" t="s">
        <v>131</v>
      </c>
      <c r="N782">
        <v>25</v>
      </c>
      <c r="O782" t="s">
        <v>40</v>
      </c>
      <c r="P782" t="s">
        <v>40</v>
      </c>
      <c r="Q782" t="s">
        <v>40</v>
      </c>
      <c r="R782" t="s">
        <v>40</v>
      </c>
      <c r="S782" t="s">
        <v>40</v>
      </c>
      <c r="U782" s="1">
        <v>43344</v>
      </c>
      <c r="V782" t="s">
        <v>41</v>
      </c>
      <c r="W782" t="s">
        <v>95</v>
      </c>
      <c r="X782" t="str">
        <f>"7054055"</f>
        <v>7054055</v>
      </c>
      <c r="Y782" t="s">
        <v>771</v>
      </c>
      <c r="Z782" t="s">
        <v>354</v>
      </c>
      <c r="AA782" t="s">
        <v>355</v>
      </c>
      <c r="AB782" t="s">
        <v>131</v>
      </c>
      <c r="AC782" t="s">
        <v>51</v>
      </c>
      <c r="AD782" t="s">
        <v>45</v>
      </c>
      <c r="AE782" s="1">
        <v>32018</v>
      </c>
      <c r="AF782">
        <v>1</v>
      </c>
      <c r="AG782" t="s">
        <v>355</v>
      </c>
      <c r="AH782" s="36">
        <f t="shared" si="12"/>
        <v>31.774999999999999</v>
      </c>
      <c r="AI782" s="40" t="s">
        <v>1778</v>
      </c>
    </row>
    <row r="783" spans="1:35" x14ac:dyDescent="0.25">
      <c r="A783" s="36">
        <v>99910781</v>
      </c>
      <c r="B783" s="17" t="s">
        <v>32</v>
      </c>
      <c r="C783" t="s">
        <v>64</v>
      </c>
      <c r="D783" t="s">
        <v>65</v>
      </c>
      <c r="G783" s="17" t="s">
        <v>35</v>
      </c>
      <c r="H783" s="17">
        <v>1</v>
      </c>
      <c r="I783">
        <v>0</v>
      </c>
      <c r="J783" s="1">
        <v>43344</v>
      </c>
      <c r="K783" t="s">
        <v>223</v>
      </c>
      <c r="L783" t="s">
        <v>224</v>
      </c>
      <c r="M783" t="s">
        <v>131</v>
      </c>
      <c r="N783">
        <v>7</v>
      </c>
      <c r="O783" t="s">
        <v>40</v>
      </c>
      <c r="P783" t="s">
        <v>40</v>
      </c>
      <c r="Q783" t="s">
        <v>40</v>
      </c>
      <c r="S783" t="s">
        <v>40</v>
      </c>
      <c r="U783" s="1">
        <v>43344</v>
      </c>
      <c r="V783" t="s">
        <v>41</v>
      </c>
      <c r="W783" t="s">
        <v>49</v>
      </c>
      <c r="X783" t="str">
        <f>"0591901"</f>
        <v>0591901</v>
      </c>
      <c r="Y783" t="s">
        <v>230</v>
      </c>
      <c r="Z783" t="s">
        <v>223</v>
      </c>
      <c r="AA783" t="s">
        <v>224</v>
      </c>
      <c r="AB783" t="s">
        <v>131</v>
      </c>
      <c r="AC783" t="s">
        <v>44</v>
      </c>
      <c r="AD783" t="s">
        <v>45</v>
      </c>
      <c r="AE783" s="1">
        <v>32017</v>
      </c>
      <c r="AF783">
        <v>2</v>
      </c>
      <c r="AG783" t="s">
        <v>224</v>
      </c>
      <c r="AH783" s="36">
        <f t="shared" si="12"/>
        <v>31.777777777777779</v>
      </c>
      <c r="AI783" s="40" t="s">
        <v>1778</v>
      </c>
    </row>
    <row r="784" spans="1:35" x14ac:dyDescent="0.25">
      <c r="A784" s="36">
        <v>99910782</v>
      </c>
      <c r="B784" s="17" t="s">
        <v>56</v>
      </c>
      <c r="C784" t="s">
        <v>46</v>
      </c>
      <c r="D784" t="s">
        <v>47</v>
      </c>
      <c r="G784" s="17" t="s">
        <v>35</v>
      </c>
      <c r="H784" s="17">
        <v>1</v>
      </c>
      <c r="I784" t="s">
        <v>1554</v>
      </c>
      <c r="J784" s="1">
        <v>43344</v>
      </c>
      <c r="K784" t="s">
        <v>1546</v>
      </c>
      <c r="L784" t="s">
        <v>1547</v>
      </c>
      <c r="M784" t="s">
        <v>1548</v>
      </c>
      <c r="N784">
        <v>15</v>
      </c>
      <c r="O784" t="s">
        <v>40</v>
      </c>
      <c r="P784" t="s">
        <v>40</v>
      </c>
      <c r="Q784" t="s">
        <v>40</v>
      </c>
      <c r="R784" t="s">
        <v>40</v>
      </c>
      <c r="S784" t="s">
        <v>40</v>
      </c>
      <c r="U784" s="1">
        <v>43344</v>
      </c>
      <c r="V784" t="s">
        <v>41</v>
      </c>
      <c r="W784" t="s">
        <v>49</v>
      </c>
      <c r="X784" t="str">
        <f>"1081010"</f>
        <v>1081010</v>
      </c>
      <c r="Y784" t="s">
        <v>1552</v>
      </c>
      <c r="Z784" t="s">
        <v>1546</v>
      </c>
      <c r="AA784" t="s">
        <v>1547</v>
      </c>
      <c r="AB784" t="s">
        <v>1548</v>
      </c>
      <c r="AC784" t="s">
        <v>44</v>
      </c>
      <c r="AD784" t="s">
        <v>45</v>
      </c>
      <c r="AE784" s="1">
        <v>32007</v>
      </c>
      <c r="AF784">
        <v>2</v>
      </c>
      <c r="AG784" t="s">
        <v>1547</v>
      </c>
      <c r="AH784" s="36">
        <f t="shared" si="12"/>
        <v>31.805555555555557</v>
      </c>
      <c r="AI784" s="40" t="s">
        <v>1778</v>
      </c>
    </row>
    <row r="785" spans="1:35" x14ac:dyDescent="0.25">
      <c r="A785" s="36">
        <v>99910783</v>
      </c>
      <c r="B785" s="17" t="s">
        <v>32</v>
      </c>
      <c r="C785" t="s">
        <v>64</v>
      </c>
      <c r="D785" t="s">
        <v>65</v>
      </c>
      <c r="G785" s="17" t="s">
        <v>48</v>
      </c>
      <c r="H785" s="17">
        <v>1</v>
      </c>
      <c r="K785" t="s">
        <v>1187</v>
      </c>
      <c r="L785" t="s">
        <v>1188</v>
      </c>
      <c r="M785" t="s">
        <v>1130</v>
      </c>
      <c r="N785">
        <v>12</v>
      </c>
      <c r="O785" t="s">
        <v>40</v>
      </c>
      <c r="P785" t="s">
        <v>40</v>
      </c>
      <c r="Q785" t="s">
        <v>40</v>
      </c>
      <c r="R785" t="s">
        <v>40</v>
      </c>
      <c r="S785" t="s">
        <v>40</v>
      </c>
      <c r="V785" t="s">
        <v>41</v>
      </c>
      <c r="W785" t="s">
        <v>49</v>
      </c>
      <c r="X785" t="str">
        <f>"4581015"</f>
        <v>4581015</v>
      </c>
      <c r="Y785" t="s">
        <v>1190</v>
      </c>
      <c r="Z785" t="s">
        <v>1187</v>
      </c>
      <c r="AA785" t="s">
        <v>1188</v>
      </c>
      <c r="AB785" t="s">
        <v>1130</v>
      </c>
      <c r="AC785" t="s">
        <v>51</v>
      </c>
      <c r="AD785" t="s">
        <v>45</v>
      </c>
      <c r="AE785" s="1">
        <v>32006</v>
      </c>
      <c r="AF785">
        <v>2</v>
      </c>
      <c r="AG785" t="s">
        <v>1188</v>
      </c>
      <c r="AH785" s="36">
        <f t="shared" si="12"/>
        <v>31.808333333333334</v>
      </c>
      <c r="AI785" s="40" t="s">
        <v>1778</v>
      </c>
    </row>
    <row r="786" spans="1:35" x14ac:dyDescent="0.25">
      <c r="A786" s="36">
        <v>99910784</v>
      </c>
      <c r="B786" s="17" t="s">
        <v>32</v>
      </c>
      <c r="C786" t="s">
        <v>64</v>
      </c>
      <c r="D786" t="s">
        <v>65</v>
      </c>
      <c r="G786" s="17" t="s">
        <v>35</v>
      </c>
      <c r="H786" s="17">
        <v>1</v>
      </c>
      <c r="I786">
        <v>4138</v>
      </c>
      <c r="J786" s="1">
        <v>43344</v>
      </c>
      <c r="K786" t="s">
        <v>877</v>
      </c>
      <c r="L786" t="s">
        <v>878</v>
      </c>
      <c r="M786" t="s">
        <v>131</v>
      </c>
      <c r="N786">
        <v>14</v>
      </c>
      <c r="O786" t="s">
        <v>40</v>
      </c>
      <c r="S786" t="s">
        <v>40</v>
      </c>
      <c r="U786" s="1">
        <v>43344</v>
      </c>
      <c r="V786" t="s">
        <v>41</v>
      </c>
      <c r="W786" t="s">
        <v>75</v>
      </c>
      <c r="X786" t="str">
        <f>"7541024"</f>
        <v>7541024</v>
      </c>
      <c r="Y786" t="s">
        <v>885</v>
      </c>
      <c r="Z786" t="s">
        <v>877</v>
      </c>
      <c r="AA786" t="s">
        <v>878</v>
      </c>
      <c r="AB786" t="s">
        <v>131</v>
      </c>
      <c r="AC786" t="s">
        <v>51</v>
      </c>
      <c r="AD786" t="s">
        <v>45</v>
      </c>
      <c r="AE786" s="1">
        <v>32004</v>
      </c>
      <c r="AF786">
        <v>1</v>
      </c>
      <c r="AG786" t="s">
        <v>878</v>
      </c>
      <c r="AH786" s="36">
        <f t="shared" si="12"/>
        <v>31.81388888888889</v>
      </c>
      <c r="AI786" s="40" t="s">
        <v>1778</v>
      </c>
    </row>
    <row r="787" spans="1:35" x14ac:dyDescent="0.25">
      <c r="A787" s="36">
        <v>99910785</v>
      </c>
      <c r="B787" s="17" t="s">
        <v>32</v>
      </c>
      <c r="C787" t="s">
        <v>64</v>
      </c>
      <c r="D787" t="s">
        <v>65</v>
      </c>
      <c r="G787" s="17" t="s">
        <v>48</v>
      </c>
      <c r="H787" s="17">
        <v>1</v>
      </c>
      <c r="K787" t="s">
        <v>667</v>
      </c>
      <c r="L787" t="s">
        <v>669</v>
      </c>
      <c r="M787" t="s">
        <v>670</v>
      </c>
      <c r="N787">
        <v>24</v>
      </c>
      <c r="O787" t="s">
        <v>40</v>
      </c>
      <c r="P787" t="s">
        <v>40</v>
      </c>
      <c r="Q787" t="s">
        <v>40</v>
      </c>
      <c r="S787" t="s">
        <v>40</v>
      </c>
      <c r="V787" t="s">
        <v>41</v>
      </c>
      <c r="W787" t="s">
        <v>75</v>
      </c>
      <c r="X787" t="str">
        <f>"7501004"</f>
        <v>7501004</v>
      </c>
      <c r="Y787" t="s">
        <v>1500</v>
      </c>
      <c r="Z787" t="s">
        <v>667</v>
      </c>
      <c r="AA787" t="s">
        <v>669</v>
      </c>
      <c r="AB787" t="s">
        <v>670</v>
      </c>
      <c r="AC787" t="s">
        <v>51</v>
      </c>
      <c r="AD787" t="s">
        <v>45</v>
      </c>
      <c r="AE787" s="1">
        <v>32002</v>
      </c>
      <c r="AF787">
        <v>1</v>
      </c>
      <c r="AG787" t="s">
        <v>669</v>
      </c>
      <c r="AH787" s="36">
        <f t="shared" si="12"/>
        <v>31.819444444444443</v>
      </c>
      <c r="AI787" s="40" t="s">
        <v>1778</v>
      </c>
    </row>
    <row r="788" spans="1:35" x14ac:dyDescent="0.25">
      <c r="A788" s="36">
        <v>99910786</v>
      </c>
      <c r="B788" s="17" t="s">
        <v>32</v>
      </c>
      <c r="C788" t="s">
        <v>90</v>
      </c>
      <c r="D788" t="s">
        <v>91</v>
      </c>
      <c r="G788" s="17" t="s">
        <v>35</v>
      </c>
      <c r="H788" s="17">
        <v>1</v>
      </c>
      <c r="K788" t="s">
        <v>195</v>
      </c>
      <c r="L788" t="s">
        <v>196</v>
      </c>
      <c r="M788" t="s">
        <v>131</v>
      </c>
      <c r="N788">
        <v>8</v>
      </c>
      <c r="O788" t="s">
        <v>40</v>
      </c>
      <c r="P788" t="s">
        <v>40</v>
      </c>
      <c r="Q788" t="s">
        <v>40</v>
      </c>
      <c r="S788" t="s">
        <v>40</v>
      </c>
      <c r="V788" t="s">
        <v>41</v>
      </c>
      <c r="W788" t="s">
        <v>95</v>
      </c>
      <c r="X788" t="str">
        <f>"7521149"</f>
        <v>7521149</v>
      </c>
      <c r="Y788" t="s">
        <v>528</v>
      </c>
      <c r="Z788" t="s">
        <v>195</v>
      </c>
      <c r="AA788" t="s">
        <v>196</v>
      </c>
      <c r="AB788" t="s">
        <v>131</v>
      </c>
      <c r="AC788" t="s">
        <v>51</v>
      </c>
      <c r="AD788" t="s">
        <v>45</v>
      </c>
      <c r="AE788" s="1">
        <v>31998</v>
      </c>
      <c r="AF788">
        <v>1</v>
      </c>
      <c r="AG788" t="s">
        <v>196</v>
      </c>
      <c r="AH788" s="36">
        <f t="shared" si="12"/>
        <v>31.830555555555556</v>
      </c>
      <c r="AI788" s="40" t="s">
        <v>1778</v>
      </c>
    </row>
    <row r="789" spans="1:35" x14ac:dyDescent="0.25">
      <c r="A789" s="36">
        <v>99910787</v>
      </c>
      <c r="B789" s="17" t="s">
        <v>32</v>
      </c>
      <c r="C789" t="s">
        <v>52</v>
      </c>
      <c r="D789" t="s">
        <v>53</v>
      </c>
      <c r="G789" s="17" t="s">
        <v>35</v>
      </c>
      <c r="H789" s="17">
        <v>1</v>
      </c>
      <c r="I789">
        <v>14670</v>
      </c>
      <c r="J789" s="1">
        <v>43353</v>
      </c>
      <c r="K789" t="s">
        <v>1306</v>
      </c>
      <c r="L789" t="s">
        <v>1307</v>
      </c>
      <c r="M789" t="s">
        <v>1270</v>
      </c>
      <c r="N789">
        <v>8</v>
      </c>
      <c r="O789" t="s">
        <v>40</v>
      </c>
      <c r="S789" t="s">
        <v>40</v>
      </c>
      <c r="U789" s="1">
        <v>43353</v>
      </c>
      <c r="V789" t="s">
        <v>41</v>
      </c>
      <c r="W789" t="s">
        <v>42</v>
      </c>
      <c r="X789" t="str">
        <f>"1990913"</f>
        <v>1990913</v>
      </c>
      <c r="Y789" t="s">
        <v>1312</v>
      </c>
      <c r="Z789" t="s">
        <v>1306</v>
      </c>
      <c r="AA789" t="s">
        <v>1307</v>
      </c>
      <c r="AB789" t="s">
        <v>1270</v>
      </c>
      <c r="AC789" t="s">
        <v>44</v>
      </c>
      <c r="AD789" t="s">
        <v>45</v>
      </c>
      <c r="AE789" s="1">
        <v>31998</v>
      </c>
      <c r="AF789">
        <v>2</v>
      </c>
      <c r="AG789" t="s">
        <v>1307</v>
      </c>
      <c r="AH789" s="36">
        <f t="shared" si="12"/>
        <v>31.830555555555556</v>
      </c>
      <c r="AI789" s="40" t="s">
        <v>1778</v>
      </c>
    </row>
    <row r="790" spans="1:35" x14ac:dyDescent="0.25">
      <c r="A790" s="36">
        <v>99910788</v>
      </c>
      <c r="B790" s="17" t="s">
        <v>32</v>
      </c>
      <c r="C790" t="s">
        <v>111</v>
      </c>
      <c r="D790" t="s">
        <v>112</v>
      </c>
      <c r="G790" s="17" t="s">
        <v>35</v>
      </c>
      <c r="H790" s="17">
        <v>1</v>
      </c>
      <c r="I790" s="1">
        <v>43344</v>
      </c>
      <c r="J790" s="1">
        <v>43344</v>
      </c>
      <c r="K790" t="s">
        <v>1341</v>
      </c>
      <c r="L790" t="s">
        <v>1342</v>
      </c>
      <c r="M790" t="s">
        <v>1270</v>
      </c>
      <c r="N790">
        <v>24</v>
      </c>
      <c r="O790" t="s">
        <v>40</v>
      </c>
      <c r="P790" t="s">
        <v>40</v>
      </c>
      <c r="Q790" t="s">
        <v>40</v>
      </c>
      <c r="R790" t="s">
        <v>40</v>
      </c>
      <c r="S790" t="s">
        <v>40</v>
      </c>
      <c r="U790" s="1">
        <v>43344</v>
      </c>
      <c r="V790" t="s">
        <v>41</v>
      </c>
      <c r="W790" t="s">
        <v>75</v>
      </c>
      <c r="X790" t="str">
        <f>"7191004"</f>
        <v>7191004</v>
      </c>
      <c r="Y790" t="s">
        <v>1344</v>
      </c>
      <c r="Z790" t="s">
        <v>1341</v>
      </c>
      <c r="AA790" t="s">
        <v>1342</v>
      </c>
      <c r="AB790" t="s">
        <v>1270</v>
      </c>
      <c r="AC790" t="s">
        <v>44</v>
      </c>
      <c r="AD790" t="s">
        <v>45</v>
      </c>
      <c r="AE790" s="1">
        <v>31997</v>
      </c>
      <c r="AF790">
        <v>1</v>
      </c>
      <c r="AG790" t="s">
        <v>1342</v>
      </c>
      <c r="AH790" s="36">
        <f t="shared" si="12"/>
        <v>31.833333333333332</v>
      </c>
      <c r="AI790" s="40" t="s">
        <v>1778</v>
      </c>
    </row>
    <row r="791" spans="1:35" x14ac:dyDescent="0.25">
      <c r="A791" s="36">
        <v>99910789</v>
      </c>
      <c r="B791" s="17" t="s">
        <v>32</v>
      </c>
      <c r="C791" t="s">
        <v>90</v>
      </c>
      <c r="D791" t="s">
        <v>91</v>
      </c>
      <c r="G791" s="17" t="s">
        <v>35</v>
      </c>
      <c r="H791" s="17">
        <v>1</v>
      </c>
      <c r="I791" t="s">
        <v>1345</v>
      </c>
      <c r="J791" s="1">
        <v>43344</v>
      </c>
      <c r="K791" t="s">
        <v>1341</v>
      </c>
      <c r="L791" t="s">
        <v>1342</v>
      </c>
      <c r="M791" t="s">
        <v>1270</v>
      </c>
      <c r="N791">
        <v>24</v>
      </c>
      <c r="O791" t="s">
        <v>40</v>
      </c>
      <c r="S791" t="s">
        <v>40</v>
      </c>
      <c r="U791" s="1">
        <v>43344</v>
      </c>
      <c r="V791" t="s">
        <v>41</v>
      </c>
      <c r="W791" t="s">
        <v>95</v>
      </c>
      <c r="X791" t="str">
        <f>"7191059"</f>
        <v>7191059</v>
      </c>
      <c r="Y791" t="s">
        <v>1346</v>
      </c>
      <c r="Z791" t="s">
        <v>1341</v>
      </c>
      <c r="AA791" t="s">
        <v>1342</v>
      </c>
      <c r="AB791" t="s">
        <v>1270</v>
      </c>
      <c r="AC791" t="s">
        <v>44</v>
      </c>
      <c r="AD791" t="s">
        <v>45</v>
      </c>
      <c r="AE791" s="1">
        <v>31994</v>
      </c>
      <c r="AF791">
        <v>1</v>
      </c>
      <c r="AG791" t="s">
        <v>1342</v>
      </c>
      <c r="AH791" s="36">
        <f t="shared" si="12"/>
        <v>31.841666666666665</v>
      </c>
      <c r="AI791" s="40" t="s">
        <v>1778</v>
      </c>
    </row>
    <row r="792" spans="1:35" x14ac:dyDescent="0.25">
      <c r="A792" s="36">
        <v>99910790</v>
      </c>
      <c r="B792" s="17" t="s">
        <v>32</v>
      </c>
      <c r="C792" t="s">
        <v>111</v>
      </c>
      <c r="D792" t="s">
        <v>112</v>
      </c>
      <c r="G792" s="17" t="s">
        <v>35</v>
      </c>
      <c r="H792" s="17">
        <v>1</v>
      </c>
      <c r="I792" t="s">
        <v>856</v>
      </c>
      <c r="J792" s="1">
        <v>42786</v>
      </c>
      <c r="K792" t="s">
        <v>1081</v>
      </c>
      <c r="L792" t="s">
        <v>1082</v>
      </c>
      <c r="M792" t="s">
        <v>1053</v>
      </c>
      <c r="N792">
        <v>24</v>
      </c>
      <c r="O792" t="s">
        <v>40</v>
      </c>
      <c r="P792" t="s">
        <v>40</v>
      </c>
      <c r="Q792" t="s">
        <v>40</v>
      </c>
      <c r="R792" t="s">
        <v>40</v>
      </c>
      <c r="S792" t="s">
        <v>40</v>
      </c>
      <c r="U792" s="1">
        <v>42786</v>
      </c>
      <c r="V792" t="s">
        <v>41</v>
      </c>
      <c r="W792" t="s">
        <v>75</v>
      </c>
      <c r="X792" t="str">
        <f>"7201006"</f>
        <v>7201006</v>
      </c>
      <c r="Y792" t="s">
        <v>1083</v>
      </c>
      <c r="Z792" t="s">
        <v>1081</v>
      </c>
      <c r="AA792" t="s">
        <v>1082</v>
      </c>
      <c r="AB792" t="s">
        <v>1053</v>
      </c>
      <c r="AC792" t="s">
        <v>51</v>
      </c>
      <c r="AD792" t="s">
        <v>45</v>
      </c>
      <c r="AE792" s="1">
        <v>31993</v>
      </c>
      <c r="AF792">
        <v>1</v>
      </c>
      <c r="AG792" t="s">
        <v>1082</v>
      </c>
      <c r="AH792" s="36">
        <f t="shared" si="12"/>
        <v>31.844444444444445</v>
      </c>
      <c r="AI792" s="40" t="s">
        <v>1778</v>
      </c>
    </row>
    <row r="793" spans="1:35" x14ac:dyDescent="0.25">
      <c r="A793" s="36">
        <v>99910791</v>
      </c>
      <c r="B793" s="17" t="s">
        <v>32</v>
      </c>
      <c r="C793" t="s">
        <v>90</v>
      </c>
      <c r="D793" t="s">
        <v>91</v>
      </c>
      <c r="G793" s="17" t="s">
        <v>35</v>
      </c>
      <c r="H793" s="17">
        <v>1</v>
      </c>
      <c r="I793">
        <v>248</v>
      </c>
      <c r="J793" s="1">
        <v>43344</v>
      </c>
      <c r="K793" t="s">
        <v>268</v>
      </c>
      <c r="L793" t="s">
        <v>269</v>
      </c>
      <c r="M793" t="s">
        <v>131</v>
      </c>
      <c r="N793">
        <v>24</v>
      </c>
      <c r="O793" t="s">
        <v>40</v>
      </c>
      <c r="Q793" t="s">
        <v>40</v>
      </c>
      <c r="S793" t="s">
        <v>40</v>
      </c>
      <c r="U793" s="1">
        <v>43344</v>
      </c>
      <c r="V793" t="s">
        <v>41</v>
      </c>
      <c r="W793" t="s">
        <v>95</v>
      </c>
      <c r="X793" t="str">
        <f>"7052001"</f>
        <v>7052001</v>
      </c>
      <c r="Y793" t="s">
        <v>576</v>
      </c>
      <c r="Z793" t="s">
        <v>268</v>
      </c>
      <c r="AA793" t="s">
        <v>269</v>
      </c>
      <c r="AB793" t="s">
        <v>131</v>
      </c>
      <c r="AC793" t="s">
        <v>55</v>
      </c>
      <c r="AD793" t="s">
        <v>45</v>
      </c>
      <c r="AE793" s="1">
        <v>31991</v>
      </c>
      <c r="AF793">
        <v>1</v>
      </c>
      <c r="AG793" t="s">
        <v>269</v>
      </c>
      <c r="AH793" s="36">
        <f t="shared" si="12"/>
        <v>31.85</v>
      </c>
      <c r="AI793" s="40" t="s">
        <v>1778</v>
      </c>
    </row>
    <row r="794" spans="1:35" x14ac:dyDescent="0.25">
      <c r="A794" s="36">
        <v>99910792</v>
      </c>
      <c r="B794" s="17" t="s">
        <v>56</v>
      </c>
      <c r="C794" t="s">
        <v>111</v>
      </c>
      <c r="D794" t="s">
        <v>112</v>
      </c>
      <c r="G794" s="17" t="s">
        <v>35</v>
      </c>
      <c r="H794" s="17">
        <v>1</v>
      </c>
      <c r="I794" s="1">
        <v>40422</v>
      </c>
      <c r="J794" s="1">
        <v>43344</v>
      </c>
      <c r="K794" t="s">
        <v>1341</v>
      </c>
      <c r="L794" t="s">
        <v>1342</v>
      </c>
      <c r="M794" t="s">
        <v>1270</v>
      </c>
      <c r="N794">
        <v>24</v>
      </c>
      <c r="O794" t="s">
        <v>40</v>
      </c>
      <c r="P794" t="s">
        <v>40</v>
      </c>
      <c r="Q794" t="s">
        <v>40</v>
      </c>
      <c r="R794" t="s">
        <v>40</v>
      </c>
      <c r="S794" t="s">
        <v>40</v>
      </c>
      <c r="U794" s="1">
        <v>43344</v>
      </c>
      <c r="V794" t="s">
        <v>41</v>
      </c>
      <c r="W794" t="s">
        <v>75</v>
      </c>
      <c r="X794" t="str">
        <f>"7191000"</f>
        <v>7191000</v>
      </c>
      <c r="Y794" t="s">
        <v>1347</v>
      </c>
      <c r="Z794" t="s">
        <v>1341</v>
      </c>
      <c r="AA794" t="s">
        <v>1342</v>
      </c>
      <c r="AB794" t="s">
        <v>1270</v>
      </c>
      <c r="AC794" t="s">
        <v>51</v>
      </c>
      <c r="AD794" t="s">
        <v>45</v>
      </c>
      <c r="AE794" s="1">
        <v>31990</v>
      </c>
      <c r="AF794">
        <v>1</v>
      </c>
      <c r="AG794" t="s">
        <v>1342</v>
      </c>
      <c r="AH794" s="36">
        <f t="shared" si="12"/>
        <v>31.852777777777778</v>
      </c>
      <c r="AI794" s="40" t="s">
        <v>1778</v>
      </c>
    </row>
    <row r="795" spans="1:35" x14ac:dyDescent="0.25">
      <c r="A795" s="36">
        <v>99910793</v>
      </c>
      <c r="B795" s="17" t="s">
        <v>32</v>
      </c>
      <c r="C795" t="s">
        <v>46</v>
      </c>
      <c r="D795" t="s">
        <v>47</v>
      </c>
      <c r="G795" s="17" t="s">
        <v>35</v>
      </c>
      <c r="H795" s="17">
        <v>1</v>
      </c>
      <c r="I795">
        <v>13814</v>
      </c>
      <c r="J795" s="1">
        <v>43355</v>
      </c>
      <c r="K795" t="s">
        <v>345</v>
      </c>
      <c r="L795" t="s">
        <v>346</v>
      </c>
      <c r="M795" t="s">
        <v>131</v>
      </c>
      <c r="N795">
        <v>5</v>
      </c>
      <c r="O795" t="s">
        <v>40</v>
      </c>
      <c r="Q795" t="s">
        <v>40</v>
      </c>
      <c r="S795" t="s">
        <v>40</v>
      </c>
      <c r="U795" s="1">
        <v>43355</v>
      </c>
      <c r="V795" t="s">
        <v>41</v>
      </c>
      <c r="W795" t="s">
        <v>49</v>
      </c>
      <c r="X795" t="str">
        <f>"0560032"</f>
        <v>0560032</v>
      </c>
      <c r="Y795" t="s">
        <v>347</v>
      </c>
      <c r="Z795" t="s">
        <v>345</v>
      </c>
      <c r="AA795" t="s">
        <v>346</v>
      </c>
      <c r="AB795" t="s">
        <v>131</v>
      </c>
      <c r="AC795" t="s">
        <v>51</v>
      </c>
      <c r="AD795" t="s">
        <v>45</v>
      </c>
      <c r="AE795" s="1">
        <v>31989</v>
      </c>
      <c r="AF795">
        <v>2</v>
      </c>
      <c r="AG795" t="s">
        <v>346</v>
      </c>
      <c r="AH795" s="36">
        <f t="shared" si="12"/>
        <v>31.855555555555554</v>
      </c>
      <c r="AI795" s="40" t="s">
        <v>1778</v>
      </c>
    </row>
    <row r="796" spans="1:35" x14ac:dyDescent="0.25">
      <c r="A796" s="36">
        <v>99910794</v>
      </c>
      <c r="B796" s="17" t="s">
        <v>32</v>
      </c>
      <c r="C796" t="s">
        <v>68</v>
      </c>
      <c r="D796" t="s">
        <v>69</v>
      </c>
      <c r="G796" s="17" t="s">
        <v>35</v>
      </c>
      <c r="H796" s="17">
        <v>1</v>
      </c>
      <c r="I796">
        <v>0</v>
      </c>
      <c r="J796" s="1">
        <v>43344</v>
      </c>
      <c r="K796" t="s">
        <v>223</v>
      </c>
      <c r="L796" t="s">
        <v>224</v>
      </c>
      <c r="M796" t="s">
        <v>131</v>
      </c>
      <c r="N796">
        <v>13</v>
      </c>
      <c r="O796" t="s">
        <v>40</v>
      </c>
      <c r="P796" t="s">
        <v>40</v>
      </c>
      <c r="Q796" t="s">
        <v>40</v>
      </c>
      <c r="R796" t="s">
        <v>40</v>
      </c>
      <c r="S796" t="s">
        <v>40</v>
      </c>
      <c r="U796" s="1">
        <v>43344</v>
      </c>
      <c r="V796" t="s">
        <v>41</v>
      </c>
      <c r="W796" t="s">
        <v>49</v>
      </c>
      <c r="X796" t="str">
        <f>"0581204"</f>
        <v>0581204</v>
      </c>
      <c r="Y796" t="s">
        <v>249</v>
      </c>
      <c r="Z796" t="s">
        <v>223</v>
      </c>
      <c r="AA796" t="s">
        <v>224</v>
      </c>
      <c r="AB796" t="s">
        <v>131</v>
      </c>
      <c r="AC796" t="s">
        <v>44</v>
      </c>
      <c r="AD796" t="s">
        <v>45</v>
      </c>
      <c r="AE796" s="1">
        <v>31987</v>
      </c>
      <c r="AF796">
        <v>2</v>
      </c>
      <c r="AG796" t="s">
        <v>224</v>
      </c>
      <c r="AH796" s="36">
        <f t="shared" si="12"/>
        <v>31.861111111111111</v>
      </c>
      <c r="AI796" s="40" t="s">
        <v>1778</v>
      </c>
    </row>
    <row r="797" spans="1:35" x14ac:dyDescent="0.25">
      <c r="A797" s="36">
        <v>99910795</v>
      </c>
      <c r="B797" s="17" t="s">
        <v>32</v>
      </c>
      <c r="C797" t="s">
        <v>58</v>
      </c>
      <c r="D797" t="s">
        <v>59</v>
      </c>
      <c r="G797" s="17" t="s">
        <v>35</v>
      </c>
      <c r="H797" s="17">
        <v>1</v>
      </c>
      <c r="K797" t="s">
        <v>223</v>
      </c>
      <c r="L797" t="s">
        <v>224</v>
      </c>
      <c r="M797" t="s">
        <v>131</v>
      </c>
      <c r="N797">
        <v>21</v>
      </c>
      <c r="O797" t="s">
        <v>40</v>
      </c>
      <c r="P797" t="s">
        <v>40</v>
      </c>
      <c r="Q797" t="s">
        <v>40</v>
      </c>
      <c r="R797" t="s">
        <v>40</v>
      </c>
      <c r="S797" t="s">
        <v>40</v>
      </c>
      <c r="V797" t="s">
        <v>41</v>
      </c>
      <c r="W797" t="s">
        <v>49</v>
      </c>
      <c r="X797" t="str">
        <f>"0591901"</f>
        <v>0591901</v>
      </c>
      <c r="Y797" t="s">
        <v>230</v>
      </c>
      <c r="Z797" t="s">
        <v>223</v>
      </c>
      <c r="AA797" t="s">
        <v>224</v>
      </c>
      <c r="AB797" t="s">
        <v>131</v>
      </c>
      <c r="AC797" t="s">
        <v>51</v>
      </c>
      <c r="AD797" t="s">
        <v>45</v>
      </c>
      <c r="AE797" s="1">
        <v>31985</v>
      </c>
      <c r="AF797">
        <v>2</v>
      </c>
      <c r="AG797" t="s">
        <v>224</v>
      </c>
      <c r="AH797" s="36">
        <f t="shared" si="12"/>
        <v>31.866666666666667</v>
      </c>
      <c r="AI797" s="40" t="s">
        <v>1778</v>
      </c>
    </row>
    <row r="798" spans="1:35" x14ac:dyDescent="0.25">
      <c r="A798" s="36">
        <v>99910796</v>
      </c>
      <c r="B798" s="17" t="s">
        <v>32</v>
      </c>
      <c r="C798" t="s">
        <v>46</v>
      </c>
      <c r="D798" t="s">
        <v>47</v>
      </c>
      <c r="G798" s="17" t="s">
        <v>35</v>
      </c>
      <c r="H798" s="17">
        <v>1</v>
      </c>
      <c r="I798" t="s">
        <v>1607</v>
      </c>
      <c r="J798" s="1">
        <v>43348</v>
      </c>
      <c r="K798" t="s">
        <v>1590</v>
      </c>
      <c r="L798" t="s">
        <v>1591</v>
      </c>
      <c r="M798" t="s">
        <v>1592</v>
      </c>
      <c r="N798">
        <v>10</v>
      </c>
      <c r="O798" t="s">
        <v>40</v>
      </c>
      <c r="S798" t="s">
        <v>40</v>
      </c>
      <c r="U798" s="1">
        <v>43348</v>
      </c>
      <c r="V798" t="s">
        <v>41</v>
      </c>
      <c r="W798" t="s">
        <v>49</v>
      </c>
      <c r="X798" t="str">
        <f>"0260001"</f>
        <v>0260001</v>
      </c>
      <c r="Y798" t="s">
        <v>1595</v>
      </c>
      <c r="Z798" t="s">
        <v>1590</v>
      </c>
      <c r="AA798" t="s">
        <v>1591</v>
      </c>
      <c r="AB798" t="s">
        <v>1592</v>
      </c>
      <c r="AC798" t="s">
        <v>44</v>
      </c>
      <c r="AD798" t="s">
        <v>45</v>
      </c>
      <c r="AE798" s="1">
        <v>31985</v>
      </c>
      <c r="AF798">
        <v>2</v>
      </c>
      <c r="AG798" t="s">
        <v>1591</v>
      </c>
      <c r="AH798" s="36">
        <f t="shared" si="12"/>
        <v>31.866666666666667</v>
      </c>
      <c r="AI798" s="40" t="s">
        <v>1778</v>
      </c>
    </row>
    <row r="799" spans="1:35" x14ac:dyDescent="0.25">
      <c r="A799" s="36">
        <v>99910797</v>
      </c>
      <c r="B799" s="17" t="s">
        <v>56</v>
      </c>
      <c r="C799" t="s">
        <v>111</v>
      </c>
      <c r="D799" t="s">
        <v>112</v>
      </c>
      <c r="G799" s="17" t="s">
        <v>48</v>
      </c>
      <c r="H799" s="17">
        <v>1</v>
      </c>
      <c r="K799" t="s">
        <v>268</v>
      </c>
      <c r="L799" t="s">
        <v>269</v>
      </c>
      <c r="M799" t="s">
        <v>131</v>
      </c>
      <c r="N799">
        <v>24</v>
      </c>
      <c r="O799" t="s">
        <v>40</v>
      </c>
      <c r="P799" t="s">
        <v>40</v>
      </c>
      <c r="Q799" t="s">
        <v>40</v>
      </c>
      <c r="S799" t="s">
        <v>40</v>
      </c>
      <c r="V799" t="s">
        <v>41</v>
      </c>
      <c r="W799" t="s">
        <v>75</v>
      </c>
      <c r="X799" t="str">
        <f>"7052040"</f>
        <v>7052040</v>
      </c>
      <c r="Y799" t="s">
        <v>591</v>
      </c>
      <c r="Z799" t="s">
        <v>268</v>
      </c>
      <c r="AA799" t="s">
        <v>269</v>
      </c>
      <c r="AB799" t="s">
        <v>131</v>
      </c>
      <c r="AC799" t="s">
        <v>51</v>
      </c>
      <c r="AD799" t="s">
        <v>45</v>
      </c>
      <c r="AE799" s="1">
        <v>31977</v>
      </c>
      <c r="AF799">
        <v>1</v>
      </c>
      <c r="AG799" t="s">
        <v>269</v>
      </c>
      <c r="AH799" s="36">
        <f t="shared" si="12"/>
        <v>31.888888888888889</v>
      </c>
      <c r="AI799" s="40" t="s">
        <v>1778</v>
      </c>
    </row>
    <row r="800" spans="1:35" x14ac:dyDescent="0.25">
      <c r="A800" s="36">
        <v>99910798</v>
      </c>
      <c r="B800" s="17" t="s">
        <v>32</v>
      </c>
      <c r="C800" t="s">
        <v>64</v>
      </c>
      <c r="D800" t="s">
        <v>65</v>
      </c>
      <c r="G800" s="17" t="s">
        <v>35</v>
      </c>
      <c r="H800" s="17">
        <v>1</v>
      </c>
      <c r="I800">
        <v>14429</v>
      </c>
      <c r="J800" s="1">
        <v>43344</v>
      </c>
      <c r="K800" t="s">
        <v>354</v>
      </c>
      <c r="L800" t="s">
        <v>355</v>
      </c>
      <c r="M800" t="s">
        <v>131</v>
      </c>
      <c r="N800">
        <v>4</v>
      </c>
      <c r="O800" t="s">
        <v>40</v>
      </c>
      <c r="Q800" t="s">
        <v>40</v>
      </c>
      <c r="S800" t="s">
        <v>40</v>
      </c>
      <c r="U800" s="1">
        <v>43344</v>
      </c>
      <c r="V800" t="s">
        <v>41</v>
      </c>
      <c r="W800" t="s">
        <v>75</v>
      </c>
      <c r="X800" t="str">
        <f>"7054018"</f>
        <v>7054018</v>
      </c>
      <c r="Y800" t="s">
        <v>773</v>
      </c>
      <c r="Z800" t="s">
        <v>354</v>
      </c>
      <c r="AA800" t="s">
        <v>355</v>
      </c>
      <c r="AB800" t="s">
        <v>131</v>
      </c>
      <c r="AC800" t="s">
        <v>44</v>
      </c>
      <c r="AD800" t="s">
        <v>45</v>
      </c>
      <c r="AE800" s="1">
        <v>31977</v>
      </c>
      <c r="AF800">
        <v>1</v>
      </c>
      <c r="AG800" t="s">
        <v>355</v>
      </c>
      <c r="AH800" s="36">
        <f t="shared" si="12"/>
        <v>31.888888888888889</v>
      </c>
      <c r="AI800" s="40" t="s">
        <v>1778</v>
      </c>
    </row>
    <row r="801" spans="1:35" x14ac:dyDescent="0.25">
      <c r="A801" s="36">
        <v>99910799</v>
      </c>
      <c r="B801" s="17" t="s">
        <v>32</v>
      </c>
      <c r="C801" t="s">
        <v>111</v>
      </c>
      <c r="D801" t="s">
        <v>112</v>
      </c>
      <c r="G801" s="17" t="s">
        <v>48</v>
      </c>
      <c r="H801" s="17">
        <v>1</v>
      </c>
      <c r="K801" t="s">
        <v>268</v>
      </c>
      <c r="L801" t="s">
        <v>269</v>
      </c>
      <c r="M801" t="s">
        <v>131</v>
      </c>
      <c r="N801">
        <v>24</v>
      </c>
      <c r="O801" t="s">
        <v>40</v>
      </c>
      <c r="P801" t="s">
        <v>40</v>
      </c>
      <c r="Q801" t="s">
        <v>40</v>
      </c>
      <c r="S801" t="s">
        <v>40</v>
      </c>
      <c r="V801" t="s">
        <v>41</v>
      </c>
      <c r="W801" t="s">
        <v>75</v>
      </c>
      <c r="X801" t="str">
        <f>"7052040"</f>
        <v>7052040</v>
      </c>
      <c r="Y801" t="s">
        <v>591</v>
      </c>
      <c r="Z801" t="s">
        <v>268</v>
      </c>
      <c r="AA801" t="s">
        <v>269</v>
      </c>
      <c r="AB801" t="s">
        <v>131</v>
      </c>
      <c r="AC801" t="s">
        <v>51</v>
      </c>
      <c r="AD801" t="s">
        <v>45</v>
      </c>
      <c r="AE801" s="1">
        <v>31969</v>
      </c>
      <c r="AF801">
        <v>1</v>
      </c>
      <c r="AG801" t="s">
        <v>269</v>
      </c>
      <c r="AH801" s="36">
        <f t="shared" si="12"/>
        <v>31.911111111111111</v>
      </c>
      <c r="AI801" s="40" t="s">
        <v>1778</v>
      </c>
    </row>
    <row r="802" spans="1:35" x14ac:dyDescent="0.25">
      <c r="A802" s="36">
        <v>99910800</v>
      </c>
      <c r="B802" s="17" t="s">
        <v>32</v>
      </c>
      <c r="C802" t="s">
        <v>90</v>
      </c>
      <c r="D802" t="s">
        <v>91</v>
      </c>
      <c r="G802" s="17" t="s">
        <v>35</v>
      </c>
      <c r="H802" s="17">
        <v>1</v>
      </c>
      <c r="I802">
        <v>228</v>
      </c>
      <c r="J802" s="1">
        <v>43344</v>
      </c>
      <c r="K802" t="s">
        <v>1245</v>
      </c>
      <c r="L802" t="s">
        <v>1246</v>
      </c>
      <c r="M802" t="s">
        <v>1130</v>
      </c>
      <c r="N802">
        <v>25</v>
      </c>
      <c r="O802" t="s">
        <v>40</v>
      </c>
      <c r="S802" t="s">
        <v>40</v>
      </c>
      <c r="U802" s="1">
        <v>43344</v>
      </c>
      <c r="V802" t="s">
        <v>41</v>
      </c>
      <c r="W802" t="s">
        <v>95</v>
      </c>
      <c r="X802" t="str">
        <f>"7451017"</f>
        <v>7451017</v>
      </c>
      <c r="Y802" t="s">
        <v>1252</v>
      </c>
      <c r="Z802" t="s">
        <v>1245</v>
      </c>
      <c r="AA802" t="s">
        <v>1246</v>
      </c>
      <c r="AB802" t="s">
        <v>1130</v>
      </c>
      <c r="AC802" t="s">
        <v>51</v>
      </c>
      <c r="AD802" t="s">
        <v>45</v>
      </c>
      <c r="AE802" s="1">
        <v>31957</v>
      </c>
      <c r="AF802">
        <v>1</v>
      </c>
      <c r="AG802" t="s">
        <v>1246</v>
      </c>
      <c r="AH802" s="36">
        <f t="shared" si="12"/>
        <v>31.944444444444443</v>
      </c>
      <c r="AI802" s="40" t="s">
        <v>1778</v>
      </c>
    </row>
    <row r="803" spans="1:35" x14ac:dyDescent="0.25">
      <c r="A803" s="36">
        <v>99910801</v>
      </c>
      <c r="B803" s="17" t="s">
        <v>32</v>
      </c>
      <c r="C803" t="s">
        <v>90</v>
      </c>
      <c r="D803" t="s">
        <v>91</v>
      </c>
      <c r="G803" s="17" t="s">
        <v>35</v>
      </c>
      <c r="H803" s="17">
        <v>1</v>
      </c>
      <c r="I803" t="s">
        <v>286</v>
      </c>
      <c r="J803" s="1">
        <v>43344</v>
      </c>
      <c r="K803" t="s">
        <v>268</v>
      </c>
      <c r="L803" t="s">
        <v>269</v>
      </c>
      <c r="M803" t="s">
        <v>131</v>
      </c>
      <c r="N803">
        <v>25</v>
      </c>
      <c r="O803" t="s">
        <v>40</v>
      </c>
      <c r="P803" t="s">
        <v>40</v>
      </c>
      <c r="Q803" t="s">
        <v>40</v>
      </c>
      <c r="R803" t="s">
        <v>40</v>
      </c>
      <c r="S803" t="s">
        <v>40</v>
      </c>
      <c r="U803" s="1">
        <v>43344</v>
      </c>
      <c r="V803" t="s">
        <v>41</v>
      </c>
      <c r="W803" t="s">
        <v>95</v>
      </c>
      <c r="X803" t="str">
        <f>"7052075"</f>
        <v>7052075</v>
      </c>
      <c r="Y803" t="s">
        <v>586</v>
      </c>
      <c r="Z803" t="s">
        <v>268</v>
      </c>
      <c r="AA803" t="s">
        <v>269</v>
      </c>
      <c r="AB803" t="s">
        <v>131</v>
      </c>
      <c r="AC803" t="s">
        <v>44</v>
      </c>
      <c r="AD803" t="s">
        <v>45</v>
      </c>
      <c r="AE803" s="1">
        <v>31946</v>
      </c>
      <c r="AF803">
        <v>1</v>
      </c>
      <c r="AG803" t="s">
        <v>269</v>
      </c>
      <c r="AH803" s="36">
        <f t="shared" si="12"/>
        <v>31.975000000000001</v>
      </c>
      <c r="AI803" s="40" t="s">
        <v>1778</v>
      </c>
    </row>
    <row r="804" spans="1:35" x14ac:dyDescent="0.25">
      <c r="A804" s="36">
        <v>99910802</v>
      </c>
      <c r="B804" s="17" t="s">
        <v>32</v>
      </c>
      <c r="C804" t="s">
        <v>90</v>
      </c>
      <c r="D804" t="s">
        <v>91</v>
      </c>
      <c r="G804" s="17" t="s">
        <v>48</v>
      </c>
      <c r="H804" s="17">
        <v>4</v>
      </c>
      <c r="K804" t="s">
        <v>1725</v>
      </c>
      <c r="L804" t="s">
        <v>1726</v>
      </c>
      <c r="M804" t="s">
        <v>1705</v>
      </c>
      <c r="N804">
        <v>25</v>
      </c>
      <c r="O804" t="s">
        <v>40</v>
      </c>
      <c r="P804" t="s">
        <v>40</v>
      </c>
      <c r="Q804" t="s">
        <v>40</v>
      </c>
      <c r="R804" t="s">
        <v>40</v>
      </c>
      <c r="S804" t="s">
        <v>40</v>
      </c>
      <c r="V804" t="s">
        <v>41</v>
      </c>
      <c r="W804" t="s">
        <v>95</v>
      </c>
      <c r="X804" t="str">
        <f>"7461021"</f>
        <v>7461021</v>
      </c>
      <c r="Y804" t="s">
        <v>1730</v>
      </c>
      <c r="Z804" t="s">
        <v>1725</v>
      </c>
      <c r="AA804" t="s">
        <v>1726</v>
      </c>
      <c r="AB804" t="s">
        <v>1705</v>
      </c>
      <c r="AC804" t="s">
        <v>51</v>
      </c>
      <c r="AD804" t="s">
        <v>45</v>
      </c>
      <c r="AE804" s="1">
        <v>31940</v>
      </c>
      <c r="AF804">
        <v>1</v>
      </c>
      <c r="AG804" t="s">
        <v>1726</v>
      </c>
      <c r="AH804" s="36">
        <f t="shared" si="12"/>
        <v>31.991666666666667</v>
      </c>
      <c r="AI804" s="40" t="s">
        <v>1778</v>
      </c>
    </row>
    <row r="805" spans="1:35" x14ac:dyDescent="0.25">
      <c r="A805" s="36">
        <v>99910803</v>
      </c>
      <c r="B805" s="17" t="s">
        <v>32</v>
      </c>
      <c r="C805" t="s">
        <v>52</v>
      </c>
      <c r="D805" t="s">
        <v>53</v>
      </c>
      <c r="G805" s="17" t="s">
        <v>35</v>
      </c>
      <c r="H805" s="17">
        <v>1</v>
      </c>
      <c r="I805">
        <v>0</v>
      </c>
      <c r="J805" s="1">
        <v>43344</v>
      </c>
      <c r="K805" t="s">
        <v>223</v>
      </c>
      <c r="L805" t="s">
        <v>224</v>
      </c>
      <c r="M805" t="s">
        <v>131</v>
      </c>
      <c r="N805">
        <v>23</v>
      </c>
      <c r="O805" t="s">
        <v>40</v>
      </c>
      <c r="P805" t="s">
        <v>40</v>
      </c>
      <c r="Q805" t="s">
        <v>40</v>
      </c>
      <c r="S805" t="s">
        <v>40</v>
      </c>
      <c r="U805" s="1">
        <v>43344</v>
      </c>
      <c r="V805" t="s">
        <v>41</v>
      </c>
      <c r="W805" t="s">
        <v>49</v>
      </c>
      <c r="X805" t="str">
        <f>"0591901"</f>
        <v>0591901</v>
      </c>
      <c r="Y805" t="s">
        <v>230</v>
      </c>
      <c r="Z805" t="s">
        <v>223</v>
      </c>
      <c r="AA805" t="s">
        <v>224</v>
      </c>
      <c r="AB805" t="s">
        <v>131</v>
      </c>
      <c r="AC805" t="s">
        <v>44</v>
      </c>
      <c r="AD805" t="s">
        <v>45</v>
      </c>
      <c r="AE805" s="1">
        <v>31938</v>
      </c>
      <c r="AF805">
        <v>2</v>
      </c>
      <c r="AG805" t="s">
        <v>224</v>
      </c>
      <c r="AH805" s="36">
        <f t="shared" si="12"/>
        <v>31.997222222222224</v>
      </c>
      <c r="AI805" s="40" t="s">
        <v>1778</v>
      </c>
    </row>
    <row r="806" spans="1:35" x14ac:dyDescent="0.25">
      <c r="A806" s="36">
        <v>99910804</v>
      </c>
      <c r="B806" s="17" t="s">
        <v>32</v>
      </c>
      <c r="C806" t="s">
        <v>251</v>
      </c>
      <c r="D806" t="s">
        <v>252</v>
      </c>
      <c r="G806" s="17" t="s">
        <v>35</v>
      </c>
      <c r="H806" s="17">
        <v>1</v>
      </c>
      <c r="I806" t="s">
        <v>1559</v>
      </c>
      <c r="J806" s="1">
        <v>43344</v>
      </c>
      <c r="K806" t="s">
        <v>1546</v>
      </c>
      <c r="L806" t="s">
        <v>1547</v>
      </c>
      <c r="M806" t="s">
        <v>1548</v>
      </c>
      <c r="N806">
        <v>8</v>
      </c>
      <c r="O806" t="s">
        <v>40</v>
      </c>
      <c r="P806" t="s">
        <v>40</v>
      </c>
      <c r="Q806" t="s">
        <v>40</v>
      </c>
      <c r="R806" t="s">
        <v>40</v>
      </c>
      <c r="S806" t="s">
        <v>40</v>
      </c>
      <c r="U806" s="1">
        <v>43344</v>
      </c>
      <c r="V806" t="s">
        <v>41</v>
      </c>
      <c r="W806" t="s">
        <v>42</v>
      </c>
      <c r="X806" t="str">
        <f>"1061001"</f>
        <v>1061001</v>
      </c>
      <c r="Y806" t="s">
        <v>1550</v>
      </c>
      <c r="Z806" t="s">
        <v>1546</v>
      </c>
      <c r="AA806" t="s">
        <v>1547</v>
      </c>
      <c r="AB806" t="s">
        <v>1548</v>
      </c>
      <c r="AC806" t="s">
        <v>44</v>
      </c>
      <c r="AD806" t="s">
        <v>45</v>
      </c>
      <c r="AE806" s="1">
        <v>31937</v>
      </c>
      <c r="AF806">
        <v>2</v>
      </c>
      <c r="AG806" t="s">
        <v>1547</v>
      </c>
      <c r="AH806" s="36">
        <f t="shared" si="12"/>
        <v>32</v>
      </c>
      <c r="AI806" s="40" t="s">
        <v>1778</v>
      </c>
    </row>
    <row r="807" spans="1:35" x14ac:dyDescent="0.25">
      <c r="A807" s="36">
        <v>99910805</v>
      </c>
      <c r="B807" s="17" t="s">
        <v>32</v>
      </c>
      <c r="C807" t="s">
        <v>90</v>
      </c>
      <c r="D807" t="s">
        <v>91</v>
      </c>
      <c r="G807" s="17" t="s">
        <v>35</v>
      </c>
      <c r="H807" s="17">
        <v>1</v>
      </c>
      <c r="K807" t="s">
        <v>195</v>
      </c>
      <c r="L807" t="s">
        <v>196</v>
      </c>
      <c r="M807" t="s">
        <v>131</v>
      </c>
      <c r="N807">
        <v>5</v>
      </c>
      <c r="O807" t="s">
        <v>40</v>
      </c>
      <c r="P807" t="s">
        <v>40</v>
      </c>
      <c r="Q807" t="s">
        <v>40</v>
      </c>
      <c r="S807" t="s">
        <v>40</v>
      </c>
      <c r="V807" t="s">
        <v>41</v>
      </c>
      <c r="W807" t="s">
        <v>95</v>
      </c>
      <c r="X807" t="str">
        <f>"7521083"</f>
        <v>7521083</v>
      </c>
      <c r="Y807" t="s">
        <v>439</v>
      </c>
      <c r="Z807" t="s">
        <v>195</v>
      </c>
      <c r="AA807" t="s">
        <v>196</v>
      </c>
      <c r="AB807" t="s">
        <v>131</v>
      </c>
      <c r="AC807" t="s">
        <v>51</v>
      </c>
      <c r="AD807" t="s">
        <v>45</v>
      </c>
      <c r="AE807" s="1">
        <v>31923</v>
      </c>
      <c r="AF807">
        <v>1</v>
      </c>
      <c r="AG807" t="s">
        <v>196</v>
      </c>
      <c r="AH807" s="36">
        <f t="shared" si="12"/>
        <v>32.038888888888891</v>
      </c>
      <c r="AI807" s="40" t="s">
        <v>1778</v>
      </c>
    </row>
    <row r="808" spans="1:35" x14ac:dyDescent="0.25">
      <c r="A808" s="36">
        <v>99910806</v>
      </c>
      <c r="B808" s="17" t="s">
        <v>32</v>
      </c>
      <c r="C808" t="s">
        <v>111</v>
      </c>
      <c r="D808" t="s">
        <v>112</v>
      </c>
      <c r="G808" s="17" t="s">
        <v>88</v>
      </c>
      <c r="H808" s="17">
        <v>6</v>
      </c>
      <c r="I808" t="s">
        <v>828</v>
      </c>
      <c r="J808" s="1">
        <v>42677</v>
      </c>
      <c r="K808" t="s">
        <v>354</v>
      </c>
      <c r="L808" t="s">
        <v>355</v>
      </c>
      <c r="M808" t="s">
        <v>131</v>
      </c>
      <c r="N808">
        <v>24</v>
      </c>
      <c r="O808" t="s">
        <v>40</v>
      </c>
      <c r="P808" t="s">
        <v>40</v>
      </c>
      <c r="Q808" t="s">
        <v>40</v>
      </c>
      <c r="R808" t="s">
        <v>40</v>
      </c>
      <c r="S808" t="s">
        <v>40</v>
      </c>
      <c r="U808" s="1">
        <v>42677</v>
      </c>
      <c r="V808" t="s">
        <v>41</v>
      </c>
      <c r="W808" t="s">
        <v>75</v>
      </c>
      <c r="X808" t="str">
        <f>"7054022"</f>
        <v>7054022</v>
      </c>
      <c r="Y808" t="s">
        <v>770</v>
      </c>
      <c r="Z808" t="s">
        <v>354</v>
      </c>
      <c r="AA808" t="s">
        <v>355</v>
      </c>
      <c r="AB808" t="s">
        <v>131</v>
      </c>
      <c r="AC808" t="s">
        <v>51</v>
      </c>
      <c r="AD808" t="s">
        <v>45</v>
      </c>
      <c r="AE808" s="1">
        <v>31922</v>
      </c>
      <c r="AF808">
        <v>1</v>
      </c>
      <c r="AG808" t="s">
        <v>355</v>
      </c>
      <c r="AH808" s="36">
        <f t="shared" si="12"/>
        <v>32.041666666666664</v>
      </c>
      <c r="AI808" s="40" t="s">
        <v>1778</v>
      </c>
    </row>
    <row r="809" spans="1:35" x14ac:dyDescent="0.25">
      <c r="A809" s="36">
        <v>99910807</v>
      </c>
      <c r="B809" s="17" t="s">
        <v>32</v>
      </c>
      <c r="C809" t="s">
        <v>79</v>
      </c>
      <c r="D809" t="s">
        <v>80</v>
      </c>
      <c r="G809" s="17" t="s">
        <v>35</v>
      </c>
      <c r="H809" s="17">
        <v>1</v>
      </c>
      <c r="I809" t="s">
        <v>1719</v>
      </c>
      <c r="J809" s="1">
        <v>43344</v>
      </c>
      <c r="K809" t="s">
        <v>1708</v>
      </c>
      <c r="L809" t="s">
        <v>1709</v>
      </c>
      <c r="M809" t="s">
        <v>1705</v>
      </c>
      <c r="N809">
        <v>8</v>
      </c>
      <c r="O809" t="s">
        <v>40</v>
      </c>
      <c r="P809" t="s">
        <v>40</v>
      </c>
      <c r="Q809" t="s">
        <v>40</v>
      </c>
      <c r="R809" t="s">
        <v>40</v>
      </c>
      <c r="S809" t="s">
        <v>40</v>
      </c>
      <c r="U809" s="1">
        <v>43344</v>
      </c>
      <c r="V809" t="s">
        <v>41</v>
      </c>
      <c r="W809" t="s">
        <v>75</v>
      </c>
      <c r="X809" t="str">
        <f>"7121000"</f>
        <v>7121000</v>
      </c>
      <c r="Y809" t="s">
        <v>1713</v>
      </c>
      <c r="Z809" t="s">
        <v>1708</v>
      </c>
      <c r="AA809" t="s">
        <v>1709</v>
      </c>
      <c r="AB809" t="s">
        <v>1705</v>
      </c>
      <c r="AC809" t="s">
        <v>51</v>
      </c>
      <c r="AD809" t="s">
        <v>45</v>
      </c>
      <c r="AE809" s="1">
        <v>31919</v>
      </c>
      <c r="AF809">
        <v>1</v>
      </c>
      <c r="AG809" t="s">
        <v>1709</v>
      </c>
      <c r="AH809" s="36">
        <f t="shared" si="12"/>
        <v>32.049999999999997</v>
      </c>
      <c r="AI809" s="40" t="s">
        <v>1778</v>
      </c>
    </row>
    <row r="810" spans="1:35" x14ac:dyDescent="0.25">
      <c r="A810" s="36">
        <v>99910808</v>
      </c>
      <c r="B810" s="17" t="s">
        <v>32</v>
      </c>
      <c r="C810" t="s">
        <v>90</v>
      </c>
      <c r="D810" t="s">
        <v>91</v>
      </c>
      <c r="G810" s="17" t="s">
        <v>35</v>
      </c>
      <c r="H810" s="17">
        <v>1</v>
      </c>
      <c r="I810" t="s">
        <v>729</v>
      </c>
      <c r="J810" s="1">
        <v>43344</v>
      </c>
      <c r="K810" t="s">
        <v>268</v>
      </c>
      <c r="L810" t="s">
        <v>269</v>
      </c>
      <c r="M810" t="s">
        <v>131</v>
      </c>
      <c r="N810">
        <v>24</v>
      </c>
      <c r="O810" t="s">
        <v>40</v>
      </c>
      <c r="S810" t="s">
        <v>40</v>
      </c>
      <c r="V810" t="s">
        <v>41</v>
      </c>
      <c r="W810" t="s">
        <v>95</v>
      </c>
      <c r="X810" t="str">
        <f>"7052071"</f>
        <v>7052071</v>
      </c>
      <c r="Y810" t="s">
        <v>628</v>
      </c>
      <c r="Z810" t="s">
        <v>268</v>
      </c>
      <c r="AA810" t="s">
        <v>269</v>
      </c>
      <c r="AB810" t="s">
        <v>131</v>
      </c>
      <c r="AC810" t="s">
        <v>51</v>
      </c>
      <c r="AD810" t="s">
        <v>45</v>
      </c>
      <c r="AE810" s="1">
        <v>31918</v>
      </c>
      <c r="AF810">
        <v>1</v>
      </c>
      <c r="AG810" t="s">
        <v>269</v>
      </c>
      <c r="AH810" s="36">
        <f t="shared" si="12"/>
        <v>32.052777777777777</v>
      </c>
      <c r="AI810" s="40" t="s">
        <v>1778</v>
      </c>
    </row>
    <row r="811" spans="1:35" x14ac:dyDescent="0.25">
      <c r="A811" s="36">
        <v>99910809</v>
      </c>
      <c r="B811" s="17" t="s">
        <v>32</v>
      </c>
      <c r="C811" t="s">
        <v>64</v>
      </c>
      <c r="D811" t="s">
        <v>65</v>
      </c>
      <c r="G811" s="17" t="s">
        <v>35</v>
      </c>
      <c r="H811" s="17">
        <v>1</v>
      </c>
      <c r="I811">
        <v>0</v>
      </c>
      <c r="J811" s="1">
        <v>43344</v>
      </c>
      <c r="K811" t="s">
        <v>223</v>
      </c>
      <c r="L811" t="s">
        <v>224</v>
      </c>
      <c r="M811" t="s">
        <v>131</v>
      </c>
      <c r="N811">
        <v>23</v>
      </c>
      <c r="O811" t="s">
        <v>40</v>
      </c>
      <c r="P811" t="s">
        <v>40</v>
      </c>
      <c r="Q811" t="s">
        <v>40</v>
      </c>
      <c r="S811" t="s">
        <v>40</v>
      </c>
      <c r="U811" s="1">
        <v>43344</v>
      </c>
      <c r="V811" t="s">
        <v>41</v>
      </c>
      <c r="W811" t="s">
        <v>49</v>
      </c>
      <c r="X811" t="str">
        <f>"0591901"</f>
        <v>0591901</v>
      </c>
      <c r="Y811" t="s">
        <v>230</v>
      </c>
      <c r="Z811" t="s">
        <v>223</v>
      </c>
      <c r="AA811" t="s">
        <v>224</v>
      </c>
      <c r="AB811" t="s">
        <v>131</v>
      </c>
      <c r="AC811" t="s">
        <v>44</v>
      </c>
      <c r="AD811" t="s">
        <v>45</v>
      </c>
      <c r="AE811" s="1">
        <v>31914</v>
      </c>
      <c r="AF811">
        <v>2</v>
      </c>
      <c r="AG811" t="s">
        <v>224</v>
      </c>
      <c r="AH811" s="36">
        <f t="shared" si="12"/>
        <v>32.06388888888889</v>
      </c>
      <c r="AI811" s="40" t="s">
        <v>1778</v>
      </c>
    </row>
    <row r="812" spans="1:35" x14ac:dyDescent="0.25">
      <c r="A812" s="36">
        <v>99910810</v>
      </c>
      <c r="B812" s="17" t="s">
        <v>32</v>
      </c>
      <c r="C812" t="s">
        <v>68</v>
      </c>
      <c r="D812" t="s">
        <v>69</v>
      </c>
      <c r="G812" s="17" t="s">
        <v>35</v>
      </c>
      <c r="H812" s="17">
        <v>1</v>
      </c>
      <c r="I812">
        <v>13814</v>
      </c>
      <c r="J812" s="1">
        <v>43355</v>
      </c>
      <c r="K812" t="s">
        <v>345</v>
      </c>
      <c r="L812" t="s">
        <v>346</v>
      </c>
      <c r="M812" t="s">
        <v>131</v>
      </c>
      <c r="N812">
        <v>23</v>
      </c>
      <c r="O812" t="s">
        <v>40</v>
      </c>
      <c r="P812" t="s">
        <v>40</v>
      </c>
      <c r="Q812" t="s">
        <v>40</v>
      </c>
      <c r="R812" t="s">
        <v>40</v>
      </c>
      <c r="S812" t="s">
        <v>40</v>
      </c>
      <c r="U812" s="1">
        <v>43355</v>
      </c>
      <c r="V812" t="s">
        <v>41</v>
      </c>
      <c r="W812" t="s">
        <v>42</v>
      </c>
      <c r="X812" t="str">
        <f>"0590906"</f>
        <v>0590906</v>
      </c>
      <c r="Y812" t="s">
        <v>361</v>
      </c>
      <c r="Z812" t="s">
        <v>345</v>
      </c>
      <c r="AA812" t="s">
        <v>346</v>
      </c>
      <c r="AB812" t="s">
        <v>131</v>
      </c>
      <c r="AC812" t="s">
        <v>51</v>
      </c>
      <c r="AD812" t="s">
        <v>45</v>
      </c>
      <c r="AE812" s="1">
        <v>31913</v>
      </c>
      <c r="AF812">
        <v>2</v>
      </c>
      <c r="AG812" t="s">
        <v>346</v>
      </c>
      <c r="AH812" s="36">
        <f t="shared" si="12"/>
        <v>32.06666666666667</v>
      </c>
      <c r="AI812" s="40" t="s">
        <v>1778</v>
      </c>
    </row>
    <row r="813" spans="1:35" x14ac:dyDescent="0.25">
      <c r="A813" s="36">
        <v>99910811</v>
      </c>
      <c r="B813" s="17" t="s">
        <v>32</v>
      </c>
      <c r="C813" t="s">
        <v>90</v>
      </c>
      <c r="D813" t="s">
        <v>91</v>
      </c>
      <c r="G813" s="17" t="s">
        <v>48</v>
      </c>
      <c r="H813" s="17">
        <v>2</v>
      </c>
      <c r="K813" t="s">
        <v>1221</v>
      </c>
      <c r="L813" t="s">
        <v>1222</v>
      </c>
      <c r="M813" t="s">
        <v>1130</v>
      </c>
      <c r="N813">
        <v>25</v>
      </c>
      <c r="O813" t="s">
        <v>40</v>
      </c>
      <c r="P813" t="s">
        <v>40</v>
      </c>
      <c r="Q813" t="s">
        <v>40</v>
      </c>
      <c r="R813" t="s">
        <v>40</v>
      </c>
      <c r="S813" t="s">
        <v>40</v>
      </c>
      <c r="V813" t="s">
        <v>41</v>
      </c>
      <c r="W813" t="s">
        <v>95</v>
      </c>
      <c r="X813" t="str">
        <f>"7351013"</f>
        <v>7351013</v>
      </c>
      <c r="Y813" t="s">
        <v>1233</v>
      </c>
      <c r="Z813" t="s">
        <v>1221</v>
      </c>
      <c r="AA813" t="s">
        <v>1222</v>
      </c>
      <c r="AB813" t="s">
        <v>1130</v>
      </c>
      <c r="AC813" t="s">
        <v>51</v>
      </c>
      <c r="AD813" t="s">
        <v>45</v>
      </c>
      <c r="AE813" s="1">
        <v>31908</v>
      </c>
      <c r="AF813">
        <v>1</v>
      </c>
      <c r="AG813" t="s">
        <v>1222</v>
      </c>
      <c r="AH813" s="36">
        <f t="shared" si="12"/>
        <v>32.080555555555556</v>
      </c>
      <c r="AI813" s="40" t="s">
        <v>1778</v>
      </c>
    </row>
    <row r="814" spans="1:35" x14ac:dyDescent="0.25">
      <c r="A814" s="36">
        <v>99910812</v>
      </c>
      <c r="B814" s="17" t="s">
        <v>32</v>
      </c>
      <c r="C814" t="s">
        <v>90</v>
      </c>
      <c r="D814" t="s">
        <v>91</v>
      </c>
      <c r="G814" s="17" t="s">
        <v>35</v>
      </c>
      <c r="H814" s="17">
        <v>2</v>
      </c>
      <c r="K814" t="s">
        <v>1426</v>
      </c>
      <c r="L814" t="s">
        <v>1427</v>
      </c>
      <c r="M814" t="s">
        <v>1270</v>
      </c>
      <c r="N814">
        <v>25</v>
      </c>
      <c r="O814" t="s">
        <v>40</v>
      </c>
      <c r="P814" t="s">
        <v>40</v>
      </c>
      <c r="Q814" t="s">
        <v>40</v>
      </c>
      <c r="R814" t="s">
        <v>40</v>
      </c>
      <c r="S814" t="s">
        <v>40</v>
      </c>
      <c r="V814" t="s">
        <v>41</v>
      </c>
      <c r="W814" t="s">
        <v>95</v>
      </c>
      <c r="X814" t="str">
        <f>"7192051"</f>
        <v>7192051</v>
      </c>
      <c r="Y814" t="s">
        <v>1456</v>
      </c>
      <c r="Z814" t="s">
        <v>1426</v>
      </c>
      <c r="AA814" t="s">
        <v>1427</v>
      </c>
      <c r="AB814" t="s">
        <v>1270</v>
      </c>
      <c r="AC814" t="s">
        <v>51</v>
      </c>
      <c r="AD814" t="s">
        <v>45</v>
      </c>
      <c r="AE814" s="1">
        <v>31908</v>
      </c>
      <c r="AF814">
        <v>1</v>
      </c>
      <c r="AG814" t="s">
        <v>1427</v>
      </c>
      <c r="AH814" s="36">
        <f t="shared" si="12"/>
        <v>32.080555555555556</v>
      </c>
      <c r="AI814" s="40" t="s">
        <v>1778</v>
      </c>
    </row>
    <row r="815" spans="1:35" x14ac:dyDescent="0.25">
      <c r="A815" s="36">
        <v>99910813</v>
      </c>
      <c r="B815" s="17" t="s">
        <v>32</v>
      </c>
      <c r="C815" t="s">
        <v>111</v>
      </c>
      <c r="D815" t="s">
        <v>112</v>
      </c>
      <c r="G815" s="17" t="s">
        <v>35</v>
      </c>
      <c r="H815" s="17">
        <v>1</v>
      </c>
      <c r="I815" t="s">
        <v>818</v>
      </c>
      <c r="J815" s="1">
        <v>43344</v>
      </c>
      <c r="K815" t="s">
        <v>354</v>
      </c>
      <c r="L815" t="s">
        <v>355</v>
      </c>
      <c r="M815" t="s">
        <v>131</v>
      </c>
      <c r="N815">
        <v>24</v>
      </c>
      <c r="O815" t="s">
        <v>40</v>
      </c>
      <c r="S815" t="s">
        <v>40</v>
      </c>
      <c r="U815" s="1">
        <v>43344</v>
      </c>
      <c r="V815" t="s">
        <v>41</v>
      </c>
      <c r="W815" t="s">
        <v>75</v>
      </c>
      <c r="X815" t="str">
        <f>"7054042"</f>
        <v>7054042</v>
      </c>
      <c r="Y815" t="s">
        <v>776</v>
      </c>
      <c r="Z815" t="s">
        <v>354</v>
      </c>
      <c r="AA815" t="s">
        <v>355</v>
      </c>
      <c r="AB815" t="s">
        <v>131</v>
      </c>
      <c r="AC815" t="s">
        <v>51</v>
      </c>
      <c r="AD815" t="s">
        <v>45</v>
      </c>
      <c r="AE815" s="1">
        <v>31905</v>
      </c>
      <c r="AF815">
        <v>1</v>
      </c>
      <c r="AG815" t="s">
        <v>355</v>
      </c>
      <c r="AH815" s="36">
        <f t="shared" si="12"/>
        <v>32.088888888888889</v>
      </c>
      <c r="AI815" s="40" t="s">
        <v>1778</v>
      </c>
    </row>
    <row r="816" spans="1:35" x14ac:dyDescent="0.25">
      <c r="A816" s="36">
        <v>99910814</v>
      </c>
      <c r="B816" s="17" t="s">
        <v>32</v>
      </c>
      <c r="C816" t="s">
        <v>111</v>
      </c>
      <c r="D816" t="s">
        <v>112</v>
      </c>
      <c r="G816" s="17" t="s">
        <v>88</v>
      </c>
      <c r="H816" s="17">
        <v>4</v>
      </c>
      <c r="J816" s="1">
        <v>43344</v>
      </c>
      <c r="K816" t="s">
        <v>354</v>
      </c>
      <c r="L816" t="s">
        <v>355</v>
      </c>
      <c r="M816" t="s">
        <v>131</v>
      </c>
      <c r="N816">
        <v>24</v>
      </c>
      <c r="O816" t="s">
        <v>40</v>
      </c>
      <c r="P816" t="s">
        <v>40</v>
      </c>
      <c r="Q816" t="s">
        <v>40</v>
      </c>
      <c r="R816" t="s">
        <v>40</v>
      </c>
      <c r="S816" t="s">
        <v>40</v>
      </c>
      <c r="U816" s="1">
        <v>43344</v>
      </c>
      <c r="V816" t="s">
        <v>41</v>
      </c>
      <c r="W816" t="s">
        <v>75</v>
      </c>
      <c r="X816" t="str">
        <f>"7054020"</f>
        <v>7054020</v>
      </c>
      <c r="Y816" t="s">
        <v>765</v>
      </c>
      <c r="Z816" t="s">
        <v>354</v>
      </c>
      <c r="AA816" t="s">
        <v>355</v>
      </c>
      <c r="AB816" t="s">
        <v>131</v>
      </c>
      <c r="AC816" t="s">
        <v>51</v>
      </c>
      <c r="AD816" t="s">
        <v>45</v>
      </c>
      <c r="AE816" s="1">
        <v>31904</v>
      </c>
      <c r="AF816">
        <v>1</v>
      </c>
      <c r="AG816" t="s">
        <v>355</v>
      </c>
      <c r="AH816" s="36">
        <f t="shared" si="12"/>
        <v>32.091666666666669</v>
      </c>
      <c r="AI816" s="40" t="s">
        <v>1778</v>
      </c>
    </row>
    <row r="817" spans="1:35" x14ac:dyDescent="0.25">
      <c r="A817" s="36">
        <v>99910815</v>
      </c>
      <c r="B817" s="17" t="s">
        <v>56</v>
      </c>
      <c r="C817" t="s">
        <v>111</v>
      </c>
      <c r="D817" t="s">
        <v>112</v>
      </c>
      <c r="G817" s="17" t="s">
        <v>35</v>
      </c>
      <c r="H817" s="17">
        <v>1</v>
      </c>
      <c r="I817">
        <v>10362</v>
      </c>
      <c r="J817" s="1">
        <v>43349</v>
      </c>
      <c r="K817" t="s">
        <v>1426</v>
      </c>
      <c r="L817" t="s">
        <v>1427</v>
      </c>
      <c r="M817" t="s">
        <v>1270</v>
      </c>
      <c r="N817">
        <v>16</v>
      </c>
      <c r="O817" t="s">
        <v>40</v>
      </c>
      <c r="P817" t="s">
        <v>40</v>
      </c>
      <c r="Q817" t="s">
        <v>40</v>
      </c>
      <c r="R817" t="s">
        <v>40</v>
      </c>
      <c r="S817" t="s">
        <v>40</v>
      </c>
      <c r="U817" s="1">
        <v>43349</v>
      </c>
      <c r="V817" t="s">
        <v>41</v>
      </c>
      <c r="W817" t="s">
        <v>75</v>
      </c>
      <c r="X817" t="str">
        <f>"7192000"</f>
        <v>7192000</v>
      </c>
      <c r="Y817" t="s">
        <v>1429</v>
      </c>
      <c r="Z817" t="s">
        <v>1426</v>
      </c>
      <c r="AA817" t="s">
        <v>1427</v>
      </c>
      <c r="AB817" t="s">
        <v>1270</v>
      </c>
      <c r="AC817" t="s">
        <v>44</v>
      </c>
      <c r="AD817" t="s">
        <v>45</v>
      </c>
      <c r="AE817" s="1">
        <v>31900</v>
      </c>
      <c r="AF817">
        <v>1</v>
      </c>
      <c r="AG817" t="s">
        <v>1427</v>
      </c>
      <c r="AH817" s="36">
        <f t="shared" si="12"/>
        <v>32.102777777777774</v>
      </c>
      <c r="AI817" s="40" t="s">
        <v>1778</v>
      </c>
    </row>
    <row r="818" spans="1:35" x14ac:dyDescent="0.25">
      <c r="A818" s="36">
        <v>99910816</v>
      </c>
      <c r="B818" s="17" t="s">
        <v>32</v>
      </c>
      <c r="C818" t="s">
        <v>64</v>
      </c>
      <c r="D818" t="s">
        <v>65</v>
      </c>
      <c r="G818" s="17" t="s">
        <v>35</v>
      </c>
      <c r="H818" s="17">
        <v>3</v>
      </c>
      <c r="I818" t="s">
        <v>358</v>
      </c>
      <c r="J818" s="1">
        <v>43344</v>
      </c>
      <c r="K818" t="s">
        <v>345</v>
      </c>
      <c r="L818" t="s">
        <v>346</v>
      </c>
      <c r="M818" t="s">
        <v>131</v>
      </c>
      <c r="N818">
        <v>23</v>
      </c>
      <c r="O818" t="s">
        <v>40</v>
      </c>
      <c r="P818" t="s">
        <v>40</v>
      </c>
      <c r="Q818" t="s">
        <v>40</v>
      </c>
      <c r="R818" t="s">
        <v>40</v>
      </c>
      <c r="S818" t="s">
        <v>40</v>
      </c>
      <c r="U818" s="1">
        <v>43344</v>
      </c>
      <c r="V818" t="s">
        <v>41</v>
      </c>
      <c r="W818" t="s">
        <v>49</v>
      </c>
      <c r="X818" t="str">
        <f>"0581660"</f>
        <v>0581660</v>
      </c>
      <c r="Y818" t="s">
        <v>359</v>
      </c>
      <c r="Z818" t="s">
        <v>345</v>
      </c>
      <c r="AA818" t="s">
        <v>346</v>
      </c>
      <c r="AB818" t="s">
        <v>131</v>
      </c>
      <c r="AC818" t="s">
        <v>51</v>
      </c>
      <c r="AD818" t="s">
        <v>45</v>
      </c>
      <c r="AE818" s="1">
        <v>31898</v>
      </c>
      <c r="AF818">
        <v>2</v>
      </c>
      <c r="AG818" t="s">
        <v>346</v>
      </c>
      <c r="AH818" s="36">
        <f t="shared" si="12"/>
        <v>32.108333333333334</v>
      </c>
      <c r="AI818" s="40" t="s">
        <v>1778</v>
      </c>
    </row>
    <row r="819" spans="1:35" x14ac:dyDescent="0.25">
      <c r="A819" s="36">
        <v>99910817</v>
      </c>
      <c r="B819" s="17" t="s">
        <v>32</v>
      </c>
      <c r="C819" t="s">
        <v>52</v>
      </c>
      <c r="D819" t="s">
        <v>53</v>
      </c>
      <c r="G819" s="17" t="s">
        <v>35</v>
      </c>
      <c r="H819" s="17">
        <v>1</v>
      </c>
      <c r="K819" t="s">
        <v>129</v>
      </c>
      <c r="L819" t="s">
        <v>130</v>
      </c>
      <c r="M819" t="s">
        <v>131</v>
      </c>
      <c r="N819">
        <v>23</v>
      </c>
      <c r="O819" t="s">
        <v>40</v>
      </c>
      <c r="P819" t="s">
        <v>40</v>
      </c>
      <c r="Q819" t="s">
        <v>40</v>
      </c>
      <c r="R819" t="s">
        <v>40</v>
      </c>
      <c r="S819" t="s">
        <v>40</v>
      </c>
      <c r="V819" t="s">
        <v>41</v>
      </c>
      <c r="W819" t="s">
        <v>49</v>
      </c>
      <c r="X819" t="str">
        <f>"0591905"</f>
        <v>0591905</v>
      </c>
      <c r="Y819" t="s">
        <v>135</v>
      </c>
      <c r="Z819" t="s">
        <v>129</v>
      </c>
      <c r="AA819" t="s">
        <v>130</v>
      </c>
      <c r="AB819" t="s">
        <v>131</v>
      </c>
      <c r="AC819" t="s">
        <v>51</v>
      </c>
      <c r="AD819" t="s">
        <v>45</v>
      </c>
      <c r="AE819" s="1">
        <v>31897</v>
      </c>
      <c r="AF819">
        <v>2</v>
      </c>
      <c r="AG819" t="s">
        <v>130</v>
      </c>
      <c r="AH819" s="36">
        <f t="shared" si="12"/>
        <v>32.111111111111114</v>
      </c>
      <c r="AI819" s="40" t="s">
        <v>1778</v>
      </c>
    </row>
    <row r="820" spans="1:35" x14ac:dyDescent="0.25">
      <c r="A820" s="36">
        <v>99910818</v>
      </c>
      <c r="B820" s="17" t="s">
        <v>32</v>
      </c>
      <c r="C820" t="s">
        <v>90</v>
      </c>
      <c r="D820" t="s">
        <v>91</v>
      </c>
      <c r="G820" s="17" t="s">
        <v>35</v>
      </c>
      <c r="H820" s="17">
        <v>1</v>
      </c>
      <c r="I820">
        <v>10144</v>
      </c>
      <c r="J820" s="1">
        <v>43374</v>
      </c>
      <c r="K820" t="s">
        <v>354</v>
      </c>
      <c r="L820" t="s">
        <v>355</v>
      </c>
      <c r="M820" t="s">
        <v>131</v>
      </c>
      <c r="N820">
        <v>25</v>
      </c>
      <c r="O820" t="s">
        <v>40</v>
      </c>
      <c r="P820" t="s">
        <v>40</v>
      </c>
      <c r="Q820" t="s">
        <v>40</v>
      </c>
      <c r="R820" t="s">
        <v>40</v>
      </c>
      <c r="S820" t="s">
        <v>40</v>
      </c>
      <c r="U820" s="1">
        <v>43374</v>
      </c>
      <c r="V820" t="s">
        <v>41</v>
      </c>
      <c r="W820" t="s">
        <v>95</v>
      </c>
      <c r="X820" t="str">
        <f>"7054047"</f>
        <v>7054047</v>
      </c>
      <c r="Y820" t="s">
        <v>806</v>
      </c>
      <c r="Z820" t="s">
        <v>354</v>
      </c>
      <c r="AA820" t="s">
        <v>355</v>
      </c>
      <c r="AB820" t="s">
        <v>131</v>
      </c>
      <c r="AC820" t="s">
        <v>55</v>
      </c>
      <c r="AD820" t="s">
        <v>45</v>
      </c>
      <c r="AE820" s="1">
        <v>31897</v>
      </c>
      <c r="AF820">
        <v>1</v>
      </c>
      <c r="AG820" t="s">
        <v>355</v>
      </c>
      <c r="AH820" s="36">
        <f t="shared" si="12"/>
        <v>32.111111111111114</v>
      </c>
      <c r="AI820" s="40" t="s">
        <v>1778</v>
      </c>
    </row>
    <row r="821" spans="1:35" x14ac:dyDescent="0.25">
      <c r="A821" s="36">
        <v>99910819</v>
      </c>
      <c r="B821" s="17" t="s">
        <v>32</v>
      </c>
      <c r="C821" t="s">
        <v>64</v>
      </c>
      <c r="D821" t="s">
        <v>65</v>
      </c>
      <c r="G821" s="17" t="s">
        <v>35</v>
      </c>
      <c r="H821" s="17">
        <v>1</v>
      </c>
      <c r="I821" t="s">
        <v>287</v>
      </c>
      <c r="J821" s="1">
        <v>43360</v>
      </c>
      <c r="K821" t="s">
        <v>223</v>
      </c>
      <c r="L821" t="s">
        <v>224</v>
      </c>
      <c r="M821" t="s">
        <v>131</v>
      </c>
      <c r="N821">
        <v>20</v>
      </c>
      <c r="O821" t="s">
        <v>40</v>
      </c>
      <c r="P821" t="s">
        <v>40</v>
      </c>
      <c r="Q821" t="s">
        <v>40</v>
      </c>
      <c r="S821" t="s">
        <v>40</v>
      </c>
      <c r="U821" s="1">
        <v>43360</v>
      </c>
      <c r="V821" t="s">
        <v>41</v>
      </c>
      <c r="W821" t="s">
        <v>42</v>
      </c>
      <c r="X821" t="str">
        <f>"0580204"</f>
        <v>0580204</v>
      </c>
      <c r="Y821" t="s">
        <v>235</v>
      </c>
      <c r="Z821" t="s">
        <v>223</v>
      </c>
      <c r="AA821" t="s">
        <v>224</v>
      </c>
      <c r="AB821" t="s">
        <v>131</v>
      </c>
      <c r="AC821" t="s">
        <v>55</v>
      </c>
      <c r="AD821" t="s">
        <v>45</v>
      </c>
      <c r="AE821" s="1">
        <v>31896</v>
      </c>
      <c r="AF821">
        <v>2</v>
      </c>
      <c r="AG821" t="s">
        <v>224</v>
      </c>
      <c r="AH821" s="36">
        <f t="shared" si="12"/>
        <v>32.113888888888887</v>
      </c>
      <c r="AI821" s="40" t="s">
        <v>1778</v>
      </c>
    </row>
    <row r="822" spans="1:35" x14ac:dyDescent="0.25">
      <c r="A822" s="36">
        <v>99910820</v>
      </c>
      <c r="B822" s="17" t="s">
        <v>32</v>
      </c>
      <c r="C822" t="s">
        <v>71</v>
      </c>
      <c r="D822" t="s">
        <v>72</v>
      </c>
      <c r="G822" s="17" t="s">
        <v>35</v>
      </c>
      <c r="H822" s="17">
        <v>1</v>
      </c>
      <c r="I822">
        <v>22864</v>
      </c>
      <c r="J822" s="1">
        <v>43344</v>
      </c>
      <c r="K822" t="s">
        <v>300</v>
      </c>
      <c r="L822" t="s">
        <v>301</v>
      </c>
      <c r="M822" t="s">
        <v>131</v>
      </c>
      <c r="N822">
        <v>3</v>
      </c>
      <c r="O822" t="s">
        <v>40</v>
      </c>
      <c r="S822" t="s">
        <v>40</v>
      </c>
      <c r="U822" s="1">
        <v>43344</v>
      </c>
      <c r="V822" t="s">
        <v>41</v>
      </c>
      <c r="W822" t="s">
        <v>49</v>
      </c>
      <c r="X822" t="str">
        <f>"0560001"</f>
        <v>0560001</v>
      </c>
      <c r="Y822" t="s">
        <v>304</v>
      </c>
      <c r="Z822" t="s">
        <v>300</v>
      </c>
      <c r="AA822" t="s">
        <v>301</v>
      </c>
      <c r="AB822" t="s">
        <v>131</v>
      </c>
      <c r="AC822" t="s">
        <v>44</v>
      </c>
      <c r="AD822" t="s">
        <v>45</v>
      </c>
      <c r="AE822" s="1">
        <v>31896</v>
      </c>
      <c r="AF822">
        <v>2</v>
      </c>
      <c r="AG822" t="s">
        <v>301</v>
      </c>
      <c r="AH822" s="36">
        <f t="shared" si="12"/>
        <v>32.113888888888887</v>
      </c>
      <c r="AI822" s="40" t="s">
        <v>1778</v>
      </c>
    </row>
    <row r="823" spans="1:35" x14ac:dyDescent="0.25">
      <c r="A823" s="36">
        <v>99910821</v>
      </c>
      <c r="B823" s="17" t="s">
        <v>56</v>
      </c>
      <c r="C823" t="s">
        <v>46</v>
      </c>
      <c r="D823" t="s">
        <v>47</v>
      </c>
      <c r="G823" s="17" t="s">
        <v>48</v>
      </c>
      <c r="H823" s="17">
        <v>1</v>
      </c>
      <c r="K823" t="s">
        <v>345</v>
      </c>
      <c r="L823" t="s">
        <v>346</v>
      </c>
      <c r="M823" t="s">
        <v>131</v>
      </c>
      <c r="N823">
        <v>23</v>
      </c>
      <c r="O823" t="s">
        <v>40</v>
      </c>
      <c r="P823" t="s">
        <v>40</v>
      </c>
      <c r="Q823" t="s">
        <v>40</v>
      </c>
      <c r="R823" t="s">
        <v>40</v>
      </c>
      <c r="S823" t="s">
        <v>40</v>
      </c>
      <c r="V823" t="s">
        <v>41</v>
      </c>
      <c r="W823" t="s">
        <v>42</v>
      </c>
      <c r="X823" t="str">
        <f>"0580931"</f>
        <v>0580931</v>
      </c>
      <c r="Y823" t="s">
        <v>369</v>
      </c>
      <c r="Z823" t="s">
        <v>345</v>
      </c>
      <c r="AA823" t="s">
        <v>346</v>
      </c>
      <c r="AB823" t="s">
        <v>131</v>
      </c>
      <c r="AC823" t="s">
        <v>51</v>
      </c>
      <c r="AD823" t="s">
        <v>45</v>
      </c>
      <c r="AE823" s="1">
        <v>31893</v>
      </c>
      <c r="AF823">
        <v>2</v>
      </c>
      <c r="AG823" t="s">
        <v>346</v>
      </c>
      <c r="AH823" s="36">
        <f t="shared" si="12"/>
        <v>32.12222222222222</v>
      </c>
      <c r="AI823" s="40" t="s">
        <v>1778</v>
      </c>
    </row>
    <row r="824" spans="1:35" x14ac:dyDescent="0.25">
      <c r="A824" s="36">
        <v>99910822</v>
      </c>
      <c r="B824" s="17" t="s">
        <v>56</v>
      </c>
      <c r="C824" t="s">
        <v>61</v>
      </c>
      <c r="D824" t="s">
        <v>62</v>
      </c>
      <c r="G824" s="17" t="s">
        <v>35</v>
      </c>
      <c r="H824" s="17">
        <v>1</v>
      </c>
      <c r="I824">
        <v>21868</v>
      </c>
      <c r="J824" s="1">
        <v>43344</v>
      </c>
      <c r="K824" t="s">
        <v>380</v>
      </c>
      <c r="L824" t="s">
        <v>381</v>
      </c>
      <c r="M824" t="s">
        <v>131</v>
      </c>
      <c r="N824">
        <v>11</v>
      </c>
      <c r="O824" t="s">
        <v>40</v>
      </c>
      <c r="S824" t="s">
        <v>40</v>
      </c>
      <c r="U824" s="1">
        <v>43344</v>
      </c>
      <c r="V824" t="s">
        <v>41</v>
      </c>
      <c r="W824" t="s">
        <v>49</v>
      </c>
      <c r="X824" t="str">
        <f>"0591908"</f>
        <v>0591908</v>
      </c>
      <c r="Y824" t="s">
        <v>383</v>
      </c>
      <c r="Z824" t="s">
        <v>380</v>
      </c>
      <c r="AA824" t="s">
        <v>381</v>
      </c>
      <c r="AB824" t="s">
        <v>131</v>
      </c>
      <c r="AC824" t="s">
        <v>44</v>
      </c>
      <c r="AD824" t="s">
        <v>45</v>
      </c>
      <c r="AE824" s="1">
        <v>31884</v>
      </c>
      <c r="AF824">
        <v>2</v>
      </c>
      <c r="AG824" t="s">
        <v>381</v>
      </c>
      <c r="AH824" s="36">
        <f t="shared" si="12"/>
        <v>32.147222222222226</v>
      </c>
      <c r="AI824" s="40" t="s">
        <v>1778</v>
      </c>
    </row>
    <row r="825" spans="1:35" x14ac:dyDescent="0.25">
      <c r="A825" s="36">
        <v>99910823</v>
      </c>
      <c r="B825" s="17" t="s">
        <v>32</v>
      </c>
      <c r="C825" t="s">
        <v>111</v>
      </c>
      <c r="D825" t="s">
        <v>112</v>
      </c>
      <c r="G825" s="17" t="s">
        <v>35</v>
      </c>
      <c r="H825" s="17">
        <v>1</v>
      </c>
      <c r="I825">
        <v>4978</v>
      </c>
      <c r="J825" s="1">
        <v>43344</v>
      </c>
      <c r="K825" t="s">
        <v>354</v>
      </c>
      <c r="L825" t="s">
        <v>355</v>
      </c>
      <c r="M825" t="s">
        <v>131</v>
      </c>
      <c r="N825">
        <v>24</v>
      </c>
      <c r="O825" t="s">
        <v>40</v>
      </c>
      <c r="S825" t="s">
        <v>40</v>
      </c>
      <c r="U825" s="1">
        <v>43344</v>
      </c>
      <c r="V825" t="s">
        <v>41</v>
      </c>
      <c r="W825" t="s">
        <v>75</v>
      </c>
      <c r="X825" t="str">
        <f>"7054008"</f>
        <v>7054008</v>
      </c>
      <c r="Y825" t="s">
        <v>813</v>
      </c>
      <c r="Z825" t="s">
        <v>354</v>
      </c>
      <c r="AA825" t="s">
        <v>355</v>
      </c>
      <c r="AB825" t="s">
        <v>131</v>
      </c>
      <c r="AC825" t="s">
        <v>51</v>
      </c>
      <c r="AD825" t="s">
        <v>45</v>
      </c>
      <c r="AE825" s="1">
        <v>31881</v>
      </c>
      <c r="AF825">
        <v>1</v>
      </c>
      <c r="AG825" t="s">
        <v>355</v>
      </c>
      <c r="AH825" s="36">
        <f t="shared" si="12"/>
        <v>32.155555555555559</v>
      </c>
      <c r="AI825" s="40" t="s">
        <v>1778</v>
      </c>
    </row>
    <row r="826" spans="1:35" x14ac:dyDescent="0.25">
      <c r="A826" s="36">
        <v>99910824</v>
      </c>
      <c r="B826" s="17" t="s">
        <v>32</v>
      </c>
      <c r="C826" t="s">
        <v>52</v>
      </c>
      <c r="D826" t="s">
        <v>53</v>
      </c>
      <c r="G826" s="17" t="s">
        <v>35</v>
      </c>
      <c r="H826" s="17">
        <v>1</v>
      </c>
      <c r="I826" t="s">
        <v>1556</v>
      </c>
      <c r="J826" s="1">
        <v>43344</v>
      </c>
      <c r="K826" t="s">
        <v>1546</v>
      </c>
      <c r="L826" t="s">
        <v>1547</v>
      </c>
      <c r="M826" t="s">
        <v>1548</v>
      </c>
      <c r="N826">
        <v>21</v>
      </c>
      <c r="O826" t="s">
        <v>40</v>
      </c>
      <c r="P826" t="s">
        <v>40</v>
      </c>
      <c r="Q826" t="s">
        <v>40</v>
      </c>
      <c r="R826" t="s">
        <v>40</v>
      </c>
      <c r="S826" t="s">
        <v>40</v>
      </c>
      <c r="U826" s="1">
        <v>43344</v>
      </c>
      <c r="V826" t="s">
        <v>41</v>
      </c>
      <c r="W826" t="s">
        <v>42</v>
      </c>
      <c r="X826" t="str">
        <f>"1080010"</f>
        <v>1080010</v>
      </c>
      <c r="Y826" t="s">
        <v>1549</v>
      </c>
      <c r="Z826" t="s">
        <v>1546</v>
      </c>
      <c r="AA826" t="s">
        <v>1547</v>
      </c>
      <c r="AB826" t="s">
        <v>1548</v>
      </c>
      <c r="AC826" t="s">
        <v>44</v>
      </c>
      <c r="AD826" t="s">
        <v>45</v>
      </c>
      <c r="AE826" s="1">
        <v>31880</v>
      </c>
      <c r="AF826">
        <v>2</v>
      </c>
      <c r="AG826" t="s">
        <v>1547</v>
      </c>
      <c r="AH826" s="36">
        <f t="shared" si="12"/>
        <v>32.158333333333331</v>
      </c>
      <c r="AI826" s="40" t="s">
        <v>1778</v>
      </c>
    </row>
    <row r="827" spans="1:35" x14ac:dyDescent="0.25">
      <c r="A827" s="36">
        <v>99910825</v>
      </c>
      <c r="B827" s="17" t="s">
        <v>32</v>
      </c>
      <c r="C827" t="s">
        <v>90</v>
      </c>
      <c r="D827" t="s">
        <v>91</v>
      </c>
      <c r="G827" s="17" t="s">
        <v>35</v>
      </c>
      <c r="H827" s="17">
        <v>1</v>
      </c>
      <c r="I827" t="s">
        <v>707</v>
      </c>
      <c r="J827" s="1">
        <v>43344</v>
      </c>
      <c r="K827" t="s">
        <v>268</v>
      </c>
      <c r="L827" t="s">
        <v>269</v>
      </c>
      <c r="M827" t="s">
        <v>131</v>
      </c>
      <c r="N827">
        <v>30</v>
      </c>
      <c r="O827" t="s">
        <v>40</v>
      </c>
      <c r="S827" t="s">
        <v>40</v>
      </c>
      <c r="U827" s="1">
        <v>43344</v>
      </c>
      <c r="V827" t="s">
        <v>41</v>
      </c>
      <c r="W827" t="s">
        <v>95</v>
      </c>
      <c r="X827" t="str">
        <f>"7052169"</f>
        <v>7052169</v>
      </c>
      <c r="Y827" t="s">
        <v>708</v>
      </c>
      <c r="Z827" t="s">
        <v>268</v>
      </c>
      <c r="AA827" t="s">
        <v>269</v>
      </c>
      <c r="AB827" t="s">
        <v>131</v>
      </c>
      <c r="AC827" t="s">
        <v>44</v>
      </c>
      <c r="AD827" t="s">
        <v>45</v>
      </c>
      <c r="AE827" s="1">
        <v>31879</v>
      </c>
      <c r="AF827">
        <v>1</v>
      </c>
      <c r="AG827" t="s">
        <v>269</v>
      </c>
      <c r="AH827" s="36">
        <f t="shared" si="12"/>
        <v>32.161111111111111</v>
      </c>
      <c r="AI827" s="40" t="s">
        <v>1778</v>
      </c>
    </row>
    <row r="828" spans="1:35" x14ac:dyDescent="0.25">
      <c r="A828" s="36">
        <v>99910826</v>
      </c>
      <c r="B828" s="17" t="s">
        <v>56</v>
      </c>
      <c r="C828" t="s">
        <v>52</v>
      </c>
      <c r="D828" t="s">
        <v>53</v>
      </c>
      <c r="G828" s="17" t="s">
        <v>35</v>
      </c>
      <c r="H828" s="17">
        <v>3</v>
      </c>
      <c r="I828" t="s">
        <v>1304</v>
      </c>
      <c r="J828" s="1">
        <v>43354</v>
      </c>
      <c r="K828" t="s">
        <v>1268</v>
      </c>
      <c r="L828" t="s">
        <v>1269</v>
      </c>
      <c r="M828" t="s">
        <v>1270</v>
      </c>
      <c r="N828">
        <v>23</v>
      </c>
      <c r="O828" t="s">
        <v>40</v>
      </c>
      <c r="P828" t="s">
        <v>40</v>
      </c>
      <c r="Q828" t="s">
        <v>40</v>
      </c>
      <c r="R828" t="s">
        <v>40</v>
      </c>
      <c r="S828" t="s">
        <v>40</v>
      </c>
      <c r="U828" s="1">
        <v>43354</v>
      </c>
      <c r="V828" t="s">
        <v>41</v>
      </c>
      <c r="W828" t="s">
        <v>42</v>
      </c>
      <c r="X828" t="str">
        <f>"1980055"</f>
        <v>1980055</v>
      </c>
      <c r="Y828" t="s">
        <v>1285</v>
      </c>
      <c r="Z828" t="s">
        <v>1268</v>
      </c>
      <c r="AA828" t="s">
        <v>1269</v>
      </c>
      <c r="AB828" t="s">
        <v>1270</v>
      </c>
      <c r="AC828" t="s">
        <v>44</v>
      </c>
      <c r="AD828" t="s">
        <v>45</v>
      </c>
      <c r="AE828" s="1">
        <v>31874</v>
      </c>
      <c r="AF828">
        <v>2</v>
      </c>
      <c r="AG828" t="s">
        <v>1269</v>
      </c>
      <c r="AH828" s="36">
        <f t="shared" si="12"/>
        <v>32.174999999999997</v>
      </c>
      <c r="AI828" s="40" t="s">
        <v>1778</v>
      </c>
    </row>
    <row r="829" spans="1:35" x14ac:dyDescent="0.25">
      <c r="A829" s="36">
        <v>99910827</v>
      </c>
      <c r="B829" s="17" t="s">
        <v>32</v>
      </c>
      <c r="C829" t="s">
        <v>52</v>
      </c>
      <c r="D829" t="s">
        <v>53</v>
      </c>
      <c r="G829" s="17" t="s">
        <v>35</v>
      </c>
      <c r="H829" s="17">
        <v>1</v>
      </c>
      <c r="I829">
        <v>0</v>
      </c>
      <c r="J829" s="1">
        <v>43344</v>
      </c>
      <c r="K829" t="s">
        <v>223</v>
      </c>
      <c r="L829" t="s">
        <v>224</v>
      </c>
      <c r="M829" t="s">
        <v>131</v>
      </c>
      <c r="N829">
        <v>13</v>
      </c>
      <c r="O829" t="s">
        <v>40</v>
      </c>
      <c r="P829" t="s">
        <v>40</v>
      </c>
      <c r="Q829" t="s">
        <v>40</v>
      </c>
      <c r="S829" t="s">
        <v>40</v>
      </c>
      <c r="U829" s="1">
        <v>43344</v>
      </c>
      <c r="V829" t="s">
        <v>41</v>
      </c>
      <c r="W829" t="s">
        <v>49</v>
      </c>
      <c r="X829" t="str">
        <f>"0591901"</f>
        <v>0591901</v>
      </c>
      <c r="Y829" t="s">
        <v>230</v>
      </c>
      <c r="Z829" t="s">
        <v>223</v>
      </c>
      <c r="AA829" t="s">
        <v>224</v>
      </c>
      <c r="AB829" t="s">
        <v>131</v>
      </c>
      <c r="AC829" t="s">
        <v>44</v>
      </c>
      <c r="AD829" t="s">
        <v>45</v>
      </c>
      <c r="AE829" s="1">
        <v>31871</v>
      </c>
      <c r="AF829">
        <v>2</v>
      </c>
      <c r="AG829" t="s">
        <v>224</v>
      </c>
      <c r="AH829" s="36">
        <f t="shared" si="12"/>
        <v>32.18333333333333</v>
      </c>
      <c r="AI829" s="40" t="s">
        <v>1778</v>
      </c>
    </row>
    <row r="830" spans="1:35" x14ac:dyDescent="0.25">
      <c r="A830" s="36">
        <v>99910828</v>
      </c>
      <c r="B830" s="17" t="s">
        <v>32</v>
      </c>
      <c r="C830" t="s">
        <v>46</v>
      </c>
      <c r="D830" t="s">
        <v>47</v>
      </c>
      <c r="G830" s="17" t="s">
        <v>35</v>
      </c>
      <c r="H830" s="17">
        <v>1</v>
      </c>
      <c r="K830" t="s">
        <v>345</v>
      </c>
      <c r="L830" t="s">
        <v>346</v>
      </c>
      <c r="M830" t="s">
        <v>131</v>
      </c>
      <c r="N830">
        <v>23</v>
      </c>
      <c r="O830" t="s">
        <v>40</v>
      </c>
      <c r="P830" t="s">
        <v>40</v>
      </c>
      <c r="Q830" t="s">
        <v>40</v>
      </c>
      <c r="S830" t="s">
        <v>40</v>
      </c>
      <c r="V830" t="s">
        <v>41</v>
      </c>
      <c r="W830" t="s">
        <v>49</v>
      </c>
      <c r="X830" t="str">
        <f>"0581605"</f>
        <v>0581605</v>
      </c>
      <c r="Y830" t="s">
        <v>366</v>
      </c>
      <c r="Z830" t="s">
        <v>345</v>
      </c>
      <c r="AA830" t="s">
        <v>346</v>
      </c>
      <c r="AB830" t="s">
        <v>131</v>
      </c>
      <c r="AC830" t="s">
        <v>51</v>
      </c>
      <c r="AD830" t="s">
        <v>45</v>
      </c>
      <c r="AE830" s="1">
        <v>31867</v>
      </c>
      <c r="AF830">
        <v>2</v>
      </c>
      <c r="AG830" t="s">
        <v>346</v>
      </c>
      <c r="AH830" s="36">
        <f t="shared" si="12"/>
        <v>32.194444444444443</v>
      </c>
      <c r="AI830" s="40" t="s">
        <v>1778</v>
      </c>
    </row>
    <row r="831" spans="1:35" x14ac:dyDescent="0.25">
      <c r="A831" s="36">
        <v>99910829</v>
      </c>
      <c r="B831" s="17" t="s">
        <v>56</v>
      </c>
      <c r="C831" t="s">
        <v>52</v>
      </c>
      <c r="D831" t="s">
        <v>53</v>
      </c>
      <c r="G831" s="17" t="s">
        <v>35</v>
      </c>
      <c r="H831" s="17">
        <v>1</v>
      </c>
      <c r="I831">
        <v>0</v>
      </c>
      <c r="J831" s="1">
        <v>43344</v>
      </c>
      <c r="K831" t="s">
        <v>223</v>
      </c>
      <c r="L831" t="s">
        <v>224</v>
      </c>
      <c r="M831" t="s">
        <v>131</v>
      </c>
      <c r="N831">
        <v>14</v>
      </c>
      <c r="O831" t="s">
        <v>40</v>
      </c>
      <c r="P831" t="s">
        <v>40</v>
      </c>
      <c r="Q831" t="s">
        <v>40</v>
      </c>
      <c r="R831" t="s">
        <v>40</v>
      </c>
      <c r="S831" t="s">
        <v>40</v>
      </c>
      <c r="U831" s="1">
        <v>43344</v>
      </c>
      <c r="V831" t="s">
        <v>41</v>
      </c>
      <c r="W831" t="s">
        <v>49</v>
      </c>
      <c r="X831" t="str">
        <f>"0581207"</f>
        <v>0581207</v>
      </c>
      <c r="Y831" t="s">
        <v>233</v>
      </c>
      <c r="Z831" t="s">
        <v>223</v>
      </c>
      <c r="AA831" t="s">
        <v>224</v>
      </c>
      <c r="AB831" t="s">
        <v>131</v>
      </c>
      <c r="AC831" t="s">
        <v>44</v>
      </c>
      <c r="AD831" t="s">
        <v>45</v>
      </c>
      <c r="AE831" s="1">
        <v>31866</v>
      </c>
      <c r="AF831">
        <v>2</v>
      </c>
      <c r="AG831" t="s">
        <v>224</v>
      </c>
      <c r="AH831" s="36">
        <f t="shared" si="12"/>
        <v>32.197222222222223</v>
      </c>
      <c r="AI831" s="40" t="s">
        <v>1778</v>
      </c>
    </row>
    <row r="832" spans="1:35" x14ac:dyDescent="0.25">
      <c r="A832" s="36">
        <v>99910830</v>
      </c>
      <c r="B832" s="17" t="s">
        <v>32</v>
      </c>
      <c r="C832" t="s">
        <v>64</v>
      </c>
      <c r="D832" t="s">
        <v>65</v>
      </c>
      <c r="G832" s="17" t="s">
        <v>88</v>
      </c>
      <c r="H832" s="17">
        <v>4</v>
      </c>
      <c r="K832" t="s">
        <v>195</v>
      </c>
      <c r="L832" t="s">
        <v>196</v>
      </c>
      <c r="M832" t="s">
        <v>131</v>
      </c>
      <c r="N832">
        <v>24</v>
      </c>
      <c r="O832" t="s">
        <v>40</v>
      </c>
      <c r="P832" t="s">
        <v>40</v>
      </c>
      <c r="Q832" t="s">
        <v>40</v>
      </c>
      <c r="R832" t="s">
        <v>40</v>
      </c>
      <c r="S832" t="s">
        <v>40</v>
      </c>
      <c r="U832" s="1">
        <v>42248</v>
      </c>
      <c r="V832" t="s">
        <v>41</v>
      </c>
      <c r="W832" t="s">
        <v>75</v>
      </c>
      <c r="X832" t="str">
        <f>"7521050"</f>
        <v>7521050</v>
      </c>
      <c r="Y832" t="s">
        <v>194</v>
      </c>
      <c r="Z832" t="s">
        <v>195</v>
      </c>
      <c r="AA832" t="s">
        <v>196</v>
      </c>
      <c r="AB832" t="s">
        <v>131</v>
      </c>
      <c r="AC832" t="s">
        <v>51</v>
      </c>
      <c r="AD832" t="s">
        <v>45</v>
      </c>
      <c r="AE832" s="1">
        <v>31866</v>
      </c>
      <c r="AF832">
        <v>1</v>
      </c>
      <c r="AG832" t="s">
        <v>196</v>
      </c>
      <c r="AH832" s="36">
        <f t="shared" si="12"/>
        <v>32.197222222222223</v>
      </c>
      <c r="AI832" s="40" t="s">
        <v>1778</v>
      </c>
    </row>
    <row r="833" spans="1:35" x14ac:dyDescent="0.25">
      <c r="A833" s="36">
        <v>99910831</v>
      </c>
      <c r="B833" s="17" t="s">
        <v>32</v>
      </c>
      <c r="C833" t="s">
        <v>90</v>
      </c>
      <c r="D833" t="s">
        <v>91</v>
      </c>
      <c r="G833" s="17" t="s">
        <v>48</v>
      </c>
      <c r="H833" s="17">
        <v>1</v>
      </c>
      <c r="K833" t="s">
        <v>667</v>
      </c>
      <c r="L833" t="s">
        <v>669</v>
      </c>
      <c r="M833" t="s">
        <v>670</v>
      </c>
      <c r="N833">
        <v>25</v>
      </c>
      <c r="O833" t="s">
        <v>40</v>
      </c>
      <c r="P833" t="s">
        <v>40</v>
      </c>
      <c r="Q833" t="s">
        <v>40</v>
      </c>
      <c r="S833" t="s">
        <v>40</v>
      </c>
      <c r="V833" t="s">
        <v>41</v>
      </c>
      <c r="W833" t="s">
        <v>95</v>
      </c>
      <c r="X833" t="str">
        <f>"7501005"</f>
        <v>7501005</v>
      </c>
      <c r="Y833" t="s">
        <v>1529</v>
      </c>
      <c r="Z833" t="s">
        <v>667</v>
      </c>
      <c r="AA833" t="s">
        <v>669</v>
      </c>
      <c r="AB833" t="s">
        <v>670</v>
      </c>
      <c r="AC833" t="s">
        <v>51</v>
      </c>
      <c r="AD833" t="s">
        <v>45</v>
      </c>
      <c r="AE833" s="1">
        <v>31860</v>
      </c>
      <c r="AF833">
        <v>1</v>
      </c>
      <c r="AG833" t="s">
        <v>669</v>
      </c>
      <c r="AH833" s="36">
        <f t="shared" si="12"/>
        <v>32.213888888888889</v>
      </c>
      <c r="AI833" s="40" t="s">
        <v>1778</v>
      </c>
    </row>
    <row r="834" spans="1:35" x14ac:dyDescent="0.25">
      <c r="A834" s="36">
        <v>99910832</v>
      </c>
      <c r="B834" s="17" t="s">
        <v>32</v>
      </c>
      <c r="C834" t="s">
        <v>82</v>
      </c>
      <c r="D834" t="s">
        <v>83</v>
      </c>
      <c r="G834" s="17" t="s">
        <v>35</v>
      </c>
      <c r="H834" s="17">
        <v>1</v>
      </c>
      <c r="I834" t="s">
        <v>1064</v>
      </c>
      <c r="J834" s="1">
        <v>43344</v>
      </c>
      <c r="K834" t="s">
        <v>1051</v>
      </c>
      <c r="L834" t="s">
        <v>1052</v>
      </c>
      <c r="M834" t="s">
        <v>1053</v>
      </c>
      <c r="N834">
        <v>13</v>
      </c>
      <c r="O834" t="s">
        <v>40</v>
      </c>
      <c r="P834" t="s">
        <v>40</v>
      </c>
      <c r="Q834" t="s">
        <v>40</v>
      </c>
      <c r="R834" t="s">
        <v>40</v>
      </c>
      <c r="S834" t="s">
        <v>40</v>
      </c>
      <c r="U834" s="1">
        <v>43344</v>
      </c>
      <c r="V834" t="s">
        <v>41</v>
      </c>
      <c r="W834" t="s">
        <v>42</v>
      </c>
      <c r="X834" t="str">
        <f>"2061004"</f>
        <v>2061004</v>
      </c>
      <c r="Y834" t="s">
        <v>1055</v>
      </c>
      <c r="Z834" t="s">
        <v>1051</v>
      </c>
      <c r="AA834" t="s">
        <v>1052</v>
      </c>
      <c r="AB834" t="s">
        <v>1053</v>
      </c>
      <c r="AC834" t="s">
        <v>44</v>
      </c>
      <c r="AD834" t="s">
        <v>45</v>
      </c>
      <c r="AE834" s="1">
        <v>31851</v>
      </c>
      <c r="AF834">
        <v>2</v>
      </c>
      <c r="AG834" t="s">
        <v>1052</v>
      </c>
      <c r="AH834" s="36">
        <f t="shared" ref="AH834:AH897" si="13">($AJ$1-AE834)/360</f>
        <v>32.238888888888887</v>
      </c>
      <c r="AI834" s="40" t="s">
        <v>1778</v>
      </c>
    </row>
    <row r="835" spans="1:35" x14ac:dyDescent="0.25">
      <c r="A835" s="36">
        <v>99910833</v>
      </c>
      <c r="B835" s="17" t="s">
        <v>32</v>
      </c>
      <c r="C835" t="s">
        <v>46</v>
      </c>
      <c r="D835" t="s">
        <v>47</v>
      </c>
      <c r="G835" s="17" t="s">
        <v>35</v>
      </c>
      <c r="H835" s="17">
        <v>1</v>
      </c>
      <c r="I835" t="s">
        <v>1175</v>
      </c>
      <c r="J835" s="1">
        <v>43354</v>
      </c>
      <c r="K835" t="s">
        <v>1171</v>
      </c>
      <c r="L835" t="s">
        <v>1172</v>
      </c>
      <c r="M835" t="s">
        <v>1130</v>
      </c>
      <c r="N835">
        <v>8</v>
      </c>
      <c r="O835" t="s">
        <v>40</v>
      </c>
      <c r="S835" t="s">
        <v>40</v>
      </c>
      <c r="U835" s="1">
        <v>43354</v>
      </c>
      <c r="V835" t="s">
        <v>41</v>
      </c>
      <c r="W835" t="s">
        <v>42</v>
      </c>
      <c r="X835" t="str">
        <f>"3561001"</f>
        <v>3561001</v>
      </c>
      <c r="Y835" t="s">
        <v>1173</v>
      </c>
      <c r="Z835" t="s">
        <v>1171</v>
      </c>
      <c r="AA835" t="s">
        <v>1172</v>
      </c>
      <c r="AB835" t="s">
        <v>1130</v>
      </c>
      <c r="AC835" t="s">
        <v>44</v>
      </c>
      <c r="AD835" t="s">
        <v>45</v>
      </c>
      <c r="AE835" s="1">
        <v>31835</v>
      </c>
      <c r="AF835">
        <v>2</v>
      </c>
      <c r="AG835" t="s">
        <v>1172</v>
      </c>
      <c r="AH835" s="36">
        <f t="shared" si="13"/>
        <v>32.283333333333331</v>
      </c>
      <c r="AI835" s="40" t="s">
        <v>1778</v>
      </c>
    </row>
    <row r="836" spans="1:35" x14ac:dyDescent="0.25">
      <c r="A836" s="36">
        <v>99910834</v>
      </c>
      <c r="B836" s="17" t="s">
        <v>32</v>
      </c>
      <c r="C836" t="s">
        <v>61</v>
      </c>
      <c r="D836" t="s">
        <v>62</v>
      </c>
      <c r="G836" s="17" t="s">
        <v>35</v>
      </c>
      <c r="H836" s="17">
        <v>1</v>
      </c>
      <c r="K836" t="s">
        <v>1341</v>
      </c>
      <c r="L836" t="s">
        <v>1342</v>
      </c>
      <c r="M836" t="s">
        <v>1270</v>
      </c>
      <c r="N836">
        <v>24</v>
      </c>
      <c r="O836" t="s">
        <v>40</v>
      </c>
      <c r="P836" t="s">
        <v>40</v>
      </c>
      <c r="Q836" t="s">
        <v>40</v>
      </c>
      <c r="S836" t="s">
        <v>40</v>
      </c>
      <c r="V836" t="s">
        <v>41</v>
      </c>
      <c r="W836" t="s">
        <v>75</v>
      </c>
      <c r="X836" t="str">
        <f>"7191006"</f>
        <v>7191006</v>
      </c>
      <c r="Y836" t="s">
        <v>1351</v>
      </c>
      <c r="Z836" t="s">
        <v>1341</v>
      </c>
      <c r="AA836" t="s">
        <v>1342</v>
      </c>
      <c r="AB836" t="s">
        <v>1270</v>
      </c>
      <c r="AC836" t="s">
        <v>51</v>
      </c>
      <c r="AD836" t="s">
        <v>45</v>
      </c>
      <c r="AE836" s="1">
        <v>31832</v>
      </c>
      <c r="AF836">
        <v>1</v>
      </c>
      <c r="AG836" t="s">
        <v>1342</v>
      </c>
      <c r="AH836" s="36">
        <f t="shared" si="13"/>
        <v>32.291666666666664</v>
      </c>
      <c r="AI836" s="40" t="s">
        <v>1778</v>
      </c>
    </row>
    <row r="837" spans="1:35" x14ac:dyDescent="0.25">
      <c r="A837" s="36">
        <v>99910835</v>
      </c>
      <c r="B837" s="17" t="s">
        <v>32</v>
      </c>
      <c r="C837" t="s">
        <v>90</v>
      </c>
      <c r="D837" t="s">
        <v>91</v>
      </c>
      <c r="G837" s="17" t="s">
        <v>35</v>
      </c>
      <c r="H837" s="17">
        <v>3</v>
      </c>
      <c r="I837" t="s">
        <v>931</v>
      </c>
      <c r="J837" s="1">
        <v>43344</v>
      </c>
      <c r="K837" t="s">
        <v>932</v>
      </c>
      <c r="L837" t="s">
        <v>933</v>
      </c>
      <c r="M837" t="s">
        <v>921</v>
      </c>
      <c r="N837">
        <v>25</v>
      </c>
      <c r="O837" t="s">
        <v>40</v>
      </c>
      <c r="P837" t="s">
        <v>40</v>
      </c>
      <c r="Q837" t="s">
        <v>40</v>
      </c>
      <c r="R837" t="s">
        <v>40</v>
      </c>
      <c r="S837" t="s">
        <v>40</v>
      </c>
      <c r="U837" s="1">
        <v>43344</v>
      </c>
      <c r="V837" t="s">
        <v>41</v>
      </c>
      <c r="W837" t="s">
        <v>95</v>
      </c>
      <c r="X837" t="str">
        <f>"7511001"</f>
        <v>7511001</v>
      </c>
      <c r="Y837" t="s">
        <v>934</v>
      </c>
      <c r="Z837" t="s">
        <v>932</v>
      </c>
      <c r="AA837" t="s">
        <v>933</v>
      </c>
      <c r="AB837" t="s">
        <v>921</v>
      </c>
      <c r="AC837" t="s">
        <v>51</v>
      </c>
      <c r="AD837" t="s">
        <v>45</v>
      </c>
      <c r="AE837" s="1">
        <v>31829</v>
      </c>
      <c r="AF837">
        <v>1</v>
      </c>
      <c r="AG837" t="s">
        <v>933</v>
      </c>
      <c r="AH837" s="36">
        <f t="shared" si="13"/>
        <v>32.299999999999997</v>
      </c>
      <c r="AI837" s="40" t="s">
        <v>1778</v>
      </c>
    </row>
    <row r="838" spans="1:35" x14ac:dyDescent="0.25">
      <c r="A838" s="36">
        <v>99910836</v>
      </c>
      <c r="B838" s="17" t="s">
        <v>32</v>
      </c>
      <c r="C838" t="s">
        <v>79</v>
      </c>
      <c r="D838" t="s">
        <v>80</v>
      </c>
      <c r="G838" s="17" t="s">
        <v>35</v>
      </c>
      <c r="H838" s="17">
        <v>1</v>
      </c>
      <c r="K838" t="s">
        <v>223</v>
      </c>
      <c r="L838" t="s">
        <v>224</v>
      </c>
      <c r="M838" t="s">
        <v>131</v>
      </c>
      <c r="N838">
        <v>15</v>
      </c>
      <c r="O838" t="s">
        <v>40</v>
      </c>
      <c r="P838" t="s">
        <v>40</v>
      </c>
      <c r="Q838" t="s">
        <v>40</v>
      </c>
      <c r="R838" t="s">
        <v>40</v>
      </c>
      <c r="S838" t="s">
        <v>40</v>
      </c>
      <c r="V838" t="s">
        <v>41</v>
      </c>
      <c r="W838" t="s">
        <v>49</v>
      </c>
      <c r="X838" t="str">
        <f>"0560018"</f>
        <v>0560018</v>
      </c>
      <c r="Y838" t="s">
        <v>234</v>
      </c>
      <c r="Z838" t="s">
        <v>223</v>
      </c>
      <c r="AA838" t="s">
        <v>224</v>
      </c>
      <c r="AB838" t="s">
        <v>131</v>
      </c>
      <c r="AC838" t="s">
        <v>51</v>
      </c>
      <c r="AD838" t="s">
        <v>45</v>
      </c>
      <c r="AE838" s="1">
        <v>31828</v>
      </c>
      <c r="AF838">
        <v>2</v>
      </c>
      <c r="AG838" t="s">
        <v>224</v>
      </c>
      <c r="AH838" s="36">
        <f t="shared" si="13"/>
        <v>32.302777777777777</v>
      </c>
      <c r="AI838" s="40" t="s">
        <v>1778</v>
      </c>
    </row>
    <row r="839" spans="1:35" x14ac:dyDescent="0.25">
      <c r="A839" s="36">
        <v>99910837</v>
      </c>
      <c r="B839" s="17" t="s">
        <v>32</v>
      </c>
      <c r="C839" t="s">
        <v>64</v>
      </c>
      <c r="D839" t="s">
        <v>65</v>
      </c>
      <c r="G839" s="17" t="s">
        <v>88</v>
      </c>
      <c r="H839" s="17">
        <v>1</v>
      </c>
      <c r="I839" t="s">
        <v>1318</v>
      </c>
      <c r="K839" t="s">
        <v>1306</v>
      </c>
      <c r="L839" t="s">
        <v>1307</v>
      </c>
      <c r="M839" t="s">
        <v>1270</v>
      </c>
      <c r="N839">
        <v>16</v>
      </c>
      <c r="O839" t="s">
        <v>40</v>
      </c>
      <c r="P839" t="s">
        <v>40</v>
      </c>
      <c r="Q839" t="s">
        <v>40</v>
      </c>
      <c r="R839" t="s">
        <v>40</v>
      </c>
      <c r="S839" t="s">
        <v>40</v>
      </c>
      <c r="V839" t="s">
        <v>41</v>
      </c>
      <c r="W839" t="s">
        <v>49</v>
      </c>
      <c r="X839" t="str">
        <f>"1991913"</f>
        <v>1991913</v>
      </c>
      <c r="Y839" t="s">
        <v>1310</v>
      </c>
      <c r="Z839" t="s">
        <v>1306</v>
      </c>
      <c r="AA839" t="s">
        <v>1307</v>
      </c>
      <c r="AB839" t="s">
        <v>1270</v>
      </c>
      <c r="AC839" t="s">
        <v>51</v>
      </c>
      <c r="AD839" t="s">
        <v>45</v>
      </c>
      <c r="AE839" s="1">
        <v>31824</v>
      </c>
      <c r="AF839">
        <v>2</v>
      </c>
      <c r="AG839" t="s">
        <v>1307</v>
      </c>
      <c r="AH839" s="36">
        <f t="shared" si="13"/>
        <v>32.31388888888889</v>
      </c>
      <c r="AI839" s="40" t="s">
        <v>1778</v>
      </c>
    </row>
    <row r="840" spans="1:35" x14ac:dyDescent="0.25">
      <c r="A840" s="36">
        <v>99910838</v>
      </c>
      <c r="B840" s="17" t="s">
        <v>32</v>
      </c>
      <c r="C840" t="s">
        <v>90</v>
      </c>
      <c r="D840" t="s">
        <v>91</v>
      </c>
      <c r="G840" s="17" t="s">
        <v>48</v>
      </c>
      <c r="H840" s="17">
        <v>1</v>
      </c>
      <c r="K840" t="s">
        <v>1513</v>
      </c>
      <c r="L840" t="s">
        <v>1511</v>
      </c>
      <c r="M840" t="s">
        <v>670</v>
      </c>
      <c r="N840">
        <v>25</v>
      </c>
      <c r="O840" t="s">
        <v>40</v>
      </c>
      <c r="P840" t="s">
        <v>40</v>
      </c>
      <c r="Q840" t="s">
        <v>40</v>
      </c>
      <c r="R840" t="s">
        <v>40</v>
      </c>
      <c r="S840" t="s">
        <v>40</v>
      </c>
      <c r="V840" t="s">
        <v>41</v>
      </c>
      <c r="W840" t="s">
        <v>95</v>
      </c>
      <c r="X840" t="str">
        <f>"7411005"</f>
        <v>7411005</v>
      </c>
      <c r="Y840" t="s">
        <v>1515</v>
      </c>
      <c r="Z840" t="s">
        <v>1513</v>
      </c>
      <c r="AA840" t="s">
        <v>1511</v>
      </c>
      <c r="AB840" t="s">
        <v>670</v>
      </c>
      <c r="AC840" t="s">
        <v>51</v>
      </c>
      <c r="AD840" t="s">
        <v>45</v>
      </c>
      <c r="AE840" s="1">
        <v>31822</v>
      </c>
      <c r="AF840">
        <v>1</v>
      </c>
      <c r="AG840" t="s">
        <v>1511</v>
      </c>
      <c r="AH840" s="36">
        <f t="shared" si="13"/>
        <v>32.319444444444443</v>
      </c>
      <c r="AI840" s="40" t="s">
        <v>1778</v>
      </c>
    </row>
    <row r="841" spans="1:35" x14ac:dyDescent="0.25">
      <c r="A841" s="36">
        <v>99910839</v>
      </c>
      <c r="B841" s="17" t="s">
        <v>32</v>
      </c>
      <c r="C841" t="s">
        <v>46</v>
      </c>
      <c r="D841" t="s">
        <v>47</v>
      </c>
      <c r="G841" s="17" t="s">
        <v>48</v>
      </c>
      <c r="H841" s="17">
        <v>1</v>
      </c>
      <c r="K841" t="s">
        <v>300</v>
      </c>
      <c r="L841" t="s">
        <v>301</v>
      </c>
      <c r="M841" t="s">
        <v>131</v>
      </c>
      <c r="N841">
        <v>4</v>
      </c>
      <c r="O841" t="s">
        <v>40</v>
      </c>
      <c r="P841" t="s">
        <v>40</v>
      </c>
      <c r="Q841" t="s">
        <v>40</v>
      </c>
      <c r="R841" t="s">
        <v>40</v>
      </c>
      <c r="S841" t="s">
        <v>40</v>
      </c>
      <c r="V841" t="s">
        <v>41</v>
      </c>
      <c r="W841" t="s">
        <v>49</v>
      </c>
      <c r="X841" t="str">
        <f>"0560029"</f>
        <v>0560029</v>
      </c>
      <c r="Y841" t="s">
        <v>309</v>
      </c>
      <c r="Z841" t="s">
        <v>300</v>
      </c>
      <c r="AA841" t="s">
        <v>301</v>
      </c>
      <c r="AB841" t="s">
        <v>131</v>
      </c>
      <c r="AC841" t="s">
        <v>165</v>
      </c>
      <c r="AD841" t="s">
        <v>45</v>
      </c>
      <c r="AE841" s="1">
        <v>31818</v>
      </c>
      <c r="AF841">
        <v>2</v>
      </c>
      <c r="AG841" t="s">
        <v>301</v>
      </c>
      <c r="AH841" s="36">
        <f t="shared" si="13"/>
        <v>32.330555555555556</v>
      </c>
      <c r="AI841" s="40" t="s">
        <v>1778</v>
      </c>
    </row>
    <row r="842" spans="1:35" x14ac:dyDescent="0.25">
      <c r="A842" s="36">
        <v>99910840</v>
      </c>
      <c r="B842" s="17" t="s">
        <v>32</v>
      </c>
      <c r="C842" t="s">
        <v>90</v>
      </c>
      <c r="D842" t="s">
        <v>91</v>
      </c>
      <c r="G842" s="17" t="s">
        <v>35</v>
      </c>
      <c r="H842" s="17">
        <v>1</v>
      </c>
      <c r="I842" t="s">
        <v>1578</v>
      </c>
      <c r="J842" s="1">
        <v>43346</v>
      </c>
      <c r="K842" t="s">
        <v>1564</v>
      </c>
      <c r="L842" t="s">
        <v>1565</v>
      </c>
      <c r="M842" t="s">
        <v>1548</v>
      </c>
      <c r="N842">
        <v>25</v>
      </c>
      <c r="O842" t="s">
        <v>40</v>
      </c>
      <c r="S842" t="s">
        <v>40</v>
      </c>
      <c r="U842" s="1">
        <v>43346</v>
      </c>
      <c r="V842" t="s">
        <v>41</v>
      </c>
      <c r="W842" t="s">
        <v>95</v>
      </c>
      <c r="X842" t="str">
        <f>"7101007"</f>
        <v>7101007</v>
      </c>
      <c r="Y842" t="s">
        <v>1576</v>
      </c>
      <c r="Z842" t="s">
        <v>1564</v>
      </c>
      <c r="AA842" t="s">
        <v>1565</v>
      </c>
      <c r="AB842" t="s">
        <v>1548</v>
      </c>
      <c r="AC842" t="s">
        <v>44</v>
      </c>
      <c r="AD842" t="s">
        <v>45</v>
      </c>
      <c r="AE842" s="1">
        <v>31818</v>
      </c>
      <c r="AF842">
        <v>1</v>
      </c>
      <c r="AG842" t="s">
        <v>1565</v>
      </c>
      <c r="AH842" s="36">
        <f t="shared" si="13"/>
        <v>32.330555555555556</v>
      </c>
      <c r="AI842" s="40" t="s">
        <v>1778</v>
      </c>
    </row>
    <row r="843" spans="1:35" x14ac:dyDescent="0.25">
      <c r="A843" s="36">
        <v>99910841</v>
      </c>
      <c r="B843" s="17" t="s">
        <v>32</v>
      </c>
      <c r="C843" t="s">
        <v>64</v>
      </c>
      <c r="D843" t="s">
        <v>65</v>
      </c>
      <c r="G843" s="17" t="s">
        <v>35</v>
      </c>
      <c r="H843" s="17">
        <v>1</v>
      </c>
      <c r="I843">
        <v>0</v>
      </c>
      <c r="J843" s="1">
        <v>43344</v>
      </c>
      <c r="K843" t="s">
        <v>223</v>
      </c>
      <c r="L843" t="s">
        <v>224</v>
      </c>
      <c r="M843" t="s">
        <v>131</v>
      </c>
      <c r="N843">
        <v>23</v>
      </c>
      <c r="O843" t="s">
        <v>40</v>
      </c>
      <c r="P843" t="s">
        <v>40</v>
      </c>
      <c r="Q843" t="s">
        <v>40</v>
      </c>
      <c r="S843" t="s">
        <v>40</v>
      </c>
      <c r="U843" s="1">
        <v>43344</v>
      </c>
      <c r="V843" t="s">
        <v>41</v>
      </c>
      <c r="W843" t="s">
        <v>49</v>
      </c>
      <c r="X843" t="str">
        <f>"0591901"</f>
        <v>0591901</v>
      </c>
      <c r="Y843" t="s">
        <v>230</v>
      </c>
      <c r="Z843" t="s">
        <v>223</v>
      </c>
      <c r="AA843" t="s">
        <v>224</v>
      </c>
      <c r="AB843" t="s">
        <v>131</v>
      </c>
      <c r="AC843" t="s">
        <v>44</v>
      </c>
      <c r="AD843" t="s">
        <v>45</v>
      </c>
      <c r="AE843" s="1">
        <v>31808</v>
      </c>
      <c r="AF843">
        <v>2</v>
      </c>
      <c r="AG843" t="s">
        <v>224</v>
      </c>
      <c r="AH843" s="36">
        <f t="shared" si="13"/>
        <v>32.358333333333334</v>
      </c>
      <c r="AI843" s="40" t="s">
        <v>1778</v>
      </c>
    </row>
    <row r="844" spans="1:35" x14ac:dyDescent="0.25">
      <c r="A844" s="36">
        <v>99910842</v>
      </c>
      <c r="B844" s="17" t="s">
        <v>32</v>
      </c>
      <c r="C844" t="s">
        <v>64</v>
      </c>
      <c r="D844" t="s">
        <v>65</v>
      </c>
      <c r="G844" s="17" t="s">
        <v>48</v>
      </c>
      <c r="H844" s="17">
        <v>1</v>
      </c>
      <c r="K844" t="s">
        <v>985</v>
      </c>
      <c r="L844" t="s">
        <v>986</v>
      </c>
      <c r="M844" t="s">
        <v>938</v>
      </c>
      <c r="N844">
        <v>16</v>
      </c>
      <c r="O844" t="s">
        <v>40</v>
      </c>
      <c r="P844" t="s">
        <v>40</v>
      </c>
      <c r="Q844" t="s">
        <v>40</v>
      </c>
      <c r="S844" t="s">
        <v>40</v>
      </c>
      <c r="V844" t="s">
        <v>41</v>
      </c>
      <c r="W844" t="s">
        <v>75</v>
      </c>
      <c r="X844" t="str">
        <f>"7011000"</f>
        <v>7011000</v>
      </c>
      <c r="Y844" t="s">
        <v>989</v>
      </c>
      <c r="Z844" t="s">
        <v>985</v>
      </c>
      <c r="AA844" t="s">
        <v>986</v>
      </c>
      <c r="AB844" t="s">
        <v>938</v>
      </c>
      <c r="AC844" t="s">
        <v>51</v>
      </c>
      <c r="AD844" t="s">
        <v>45</v>
      </c>
      <c r="AE844" s="1">
        <v>31794</v>
      </c>
      <c r="AF844">
        <v>1</v>
      </c>
      <c r="AG844" t="s">
        <v>986</v>
      </c>
      <c r="AH844" s="36">
        <f t="shared" si="13"/>
        <v>32.397222222222226</v>
      </c>
      <c r="AI844" s="40" t="s">
        <v>1778</v>
      </c>
    </row>
    <row r="845" spans="1:35" x14ac:dyDescent="0.25">
      <c r="A845" s="36">
        <v>99910843</v>
      </c>
      <c r="B845" s="17" t="s">
        <v>32</v>
      </c>
      <c r="C845" t="s">
        <v>111</v>
      </c>
      <c r="D845" t="s">
        <v>112</v>
      </c>
      <c r="G845" s="17" t="s">
        <v>48</v>
      </c>
      <c r="H845" s="17">
        <v>1</v>
      </c>
      <c r="K845" t="s">
        <v>407</v>
      </c>
      <c r="L845" t="s">
        <v>409</v>
      </c>
      <c r="M845" t="s">
        <v>131</v>
      </c>
      <c r="N845">
        <v>25</v>
      </c>
      <c r="O845" t="s">
        <v>40</v>
      </c>
      <c r="P845" t="s">
        <v>40</v>
      </c>
      <c r="Q845" t="s">
        <v>40</v>
      </c>
      <c r="S845" t="s">
        <v>40</v>
      </c>
      <c r="V845" t="s">
        <v>41</v>
      </c>
      <c r="W845" t="s">
        <v>75</v>
      </c>
      <c r="X845" t="str">
        <f>"7053018"</f>
        <v>7053018</v>
      </c>
      <c r="Y845" t="s">
        <v>408</v>
      </c>
      <c r="Z845" t="s">
        <v>407</v>
      </c>
      <c r="AA845" t="s">
        <v>409</v>
      </c>
      <c r="AB845" t="s">
        <v>131</v>
      </c>
      <c r="AC845" t="s">
        <v>51</v>
      </c>
      <c r="AD845" t="s">
        <v>45</v>
      </c>
      <c r="AE845" s="1">
        <v>31793</v>
      </c>
      <c r="AF845">
        <v>1</v>
      </c>
      <c r="AG845" t="s">
        <v>409</v>
      </c>
      <c r="AH845" s="36">
        <f t="shared" si="13"/>
        <v>32.4</v>
      </c>
      <c r="AI845" s="40" t="s">
        <v>1778</v>
      </c>
    </row>
    <row r="846" spans="1:35" x14ac:dyDescent="0.25">
      <c r="A846" s="36">
        <v>99910844</v>
      </c>
      <c r="B846" s="17" t="s">
        <v>32</v>
      </c>
      <c r="C846" t="s">
        <v>111</v>
      </c>
      <c r="D846" t="s">
        <v>112</v>
      </c>
      <c r="G846" s="17" t="s">
        <v>35</v>
      </c>
      <c r="H846" s="17">
        <v>1</v>
      </c>
      <c r="I846" t="s">
        <v>1091</v>
      </c>
      <c r="J846" s="1">
        <v>43344</v>
      </c>
      <c r="K846" t="s">
        <v>1081</v>
      </c>
      <c r="L846" t="s">
        <v>1082</v>
      </c>
      <c r="M846" t="s">
        <v>1053</v>
      </c>
      <c r="N846">
        <v>24</v>
      </c>
      <c r="O846" t="s">
        <v>40</v>
      </c>
      <c r="P846" t="s">
        <v>40</v>
      </c>
      <c r="Q846" t="s">
        <v>40</v>
      </c>
      <c r="R846" t="s">
        <v>40</v>
      </c>
      <c r="S846" t="s">
        <v>40</v>
      </c>
      <c r="U846" s="1">
        <v>43344</v>
      </c>
      <c r="V846" t="s">
        <v>41</v>
      </c>
      <c r="W846" t="s">
        <v>75</v>
      </c>
      <c r="X846" t="str">
        <f>"7201008"</f>
        <v>7201008</v>
      </c>
      <c r="Y846" t="s">
        <v>1084</v>
      </c>
      <c r="Z846" t="s">
        <v>1081</v>
      </c>
      <c r="AA846" t="s">
        <v>1082</v>
      </c>
      <c r="AB846" t="s">
        <v>1053</v>
      </c>
      <c r="AC846" t="s">
        <v>51</v>
      </c>
      <c r="AD846" t="s">
        <v>45</v>
      </c>
      <c r="AE846" s="1">
        <v>31790</v>
      </c>
      <c r="AF846">
        <v>1</v>
      </c>
      <c r="AG846" t="s">
        <v>1082</v>
      </c>
      <c r="AH846" s="36">
        <f t="shared" si="13"/>
        <v>32.408333333333331</v>
      </c>
      <c r="AI846" s="40" t="s">
        <v>1778</v>
      </c>
    </row>
    <row r="847" spans="1:35" x14ac:dyDescent="0.25">
      <c r="A847" s="36">
        <v>99910845</v>
      </c>
      <c r="B847" s="17" t="s">
        <v>32</v>
      </c>
      <c r="C847" t="s">
        <v>64</v>
      </c>
      <c r="D847" t="s">
        <v>65</v>
      </c>
      <c r="G847" s="17" t="s">
        <v>35</v>
      </c>
      <c r="H847" s="17">
        <v>1</v>
      </c>
      <c r="K847" t="s">
        <v>223</v>
      </c>
      <c r="L847" t="s">
        <v>224</v>
      </c>
      <c r="M847" t="s">
        <v>131</v>
      </c>
      <c r="N847">
        <v>21</v>
      </c>
      <c r="O847" t="s">
        <v>40</v>
      </c>
      <c r="P847" t="s">
        <v>40</v>
      </c>
      <c r="Q847" t="s">
        <v>40</v>
      </c>
      <c r="R847" t="s">
        <v>40</v>
      </c>
      <c r="S847" t="s">
        <v>40</v>
      </c>
      <c r="V847" t="s">
        <v>41</v>
      </c>
      <c r="W847" t="s">
        <v>49</v>
      </c>
      <c r="X847" t="str">
        <f>"0591901"</f>
        <v>0591901</v>
      </c>
      <c r="Y847" t="s">
        <v>230</v>
      </c>
      <c r="Z847" t="s">
        <v>223</v>
      </c>
      <c r="AA847" t="s">
        <v>224</v>
      </c>
      <c r="AB847" t="s">
        <v>131</v>
      </c>
      <c r="AC847" t="s">
        <v>51</v>
      </c>
      <c r="AD847" t="s">
        <v>45</v>
      </c>
      <c r="AE847" s="1">
        <v>31785</v>
      </c>
      <c r="AF847">
        <v>2</v>
      </c>
      <c r="AG847" t="s">
        <v>224</v>
      </c>
      <c r="AH847" s="36">
        <f t="shared" si="13"/>
        <v>32.422222222222224</v>
      </c>
      <c r="AI847" s="40" t="s">
        <v>1778</v>
      </c>
    </row>
    <row r="848" spans="1:35" x14ac:dyDescent="0.25">
      <c r="A848" s="36">
        <v>99910846</v>
      </c>
      <c r="B848" s="17" t="s">
        <v>32</v>
      </c>
      <c r="C848" t="s">
        <v>90</v>
      </c>
      <c r="D848" t="s">
        <v>91</v>
      </c>
      <c r="G848" s="17" t="s">
        <v>35</v>
      </c>
      <c r="H848" s="17">
        <v>1</v>
      </c>
      <c r="I848" t="s">
        <v>744</v>
      </c>
      <c r="J848" s="1">
        <v>43344</v>
      </c>
      <c r="K848" t="s">
        <v>268</v>
      </c>
      <c r="L848" t="s">
        <v>269</v>
      </c>
      <c r="M848" t="s">
        <v>131</v>
      </c>
      <c r="N848">
        <v>24</v>
      </c>
      <c r="O848" t="s">
        <v>40</v>
      </c>
      <c r="Q848" t="s">
        <v>40</v>
      </c>
      <c r="S848" t="s">
        <v>40</v>
      </c>
      <c r="U848" s="1">
        <v>43344</v>
      </c>
      <c r="V848" t="s">
        <v>41</v>
      </c>
      <c r="W848" t="s">
        <v>95</v>
      </c>
      <c r="X848" t="str">
        <f>"7052001"</f>
        <v>7052001</v>
      </c>
      <c r="Y848" t="s">
        <v>576</v>
      </c>
      <c r="Z848" t="s">
        <v>268</v>
      </c>
      <c r="AA848" t="s">
        <v>269</v>
      </c>
      <c r="AB848" t="s">
        <v>131</v>
      </c>
      <c r="AC848" t="s">
        <v>51</v>
      </c>
      <c r="AD848" t="s">
        <v>45</v>
      </c>
      <c r="AE848" s="1">
        <v>31785</v>
      </c>
      <c r="AF848">
        <v>1</v>
      </c>
      <c r="AG848" t="s">
        <v>269</v>
      </c>
      <c r="AH848" s="36">
        <f t="shared" si="13"/>
        <v>32.422222222222224</v>
      </c>
      <c r="AI848" s="40" t="s">
        <v>1778</v>
      </c>
    </row>
    <row r="849" spans="1:35" x14ac:dyDescent="0.25">
      <c r="A849" s="36">
        <v>99910847</v>
      </c>
      <c r="B849" s="17" t="s">
        <v>32</v>
      </c>
      <c r="C849" t="s">
        <v>90</v>
      </c>
      <c r="D849" t="s">
        <v>91</v>
      </c>
      <c r="G849" s="17" t="s">
        <v>48</v>
      </c>
      <c r="H849" s="17">
        <v>1</v>
      </c>
      <c r="K849" t="s">
        <v>877</v>
      </c>
      <c r="L849" t="s">
        <v>878</v>
      </c>
      <c r="M849" t="s">
        <v>131</v>
      </c>
      <c r="N849">
        <v>24</v>
      </c>
      <c r="O849" t="s">
        <v>40</v>
      </c>
      <c r="P849" t="s">
        <v>40</v>
      </c>
      <c r="Q849" t="s">
        <v>40</v>
      </c>
      <c r="S849" t="s">
        <v>40</v>
      </c>
      <c r="V849" t="s">
        <v>41</v>
      </c>
      <c r="W849" t="s">
        <v>75</v>
      </c>
      <c r="X849" t="str">
        <f>"7541008"</f>
        <v>7541008</v>
      </c>
      <c r="Y849" t="s">
        <v>879</v>
      </c>
      <c r="Z849" t="s">
        <v>877</v>
      </c>
      <c r="AA849" t="s">
        <v>878</v>
      </c>
      <c r="AB849" t="s">
        <v>131</v>
      </c>
      <c r="AC849" t="s">
        <v>51</v>
      </c>
      <c r="AD849" t="s">
        <v>45</v>
      </c>
      <c r="AE849" s="1">
        <v>31784</v>
      </c>
      <c r="AF849">
        <v>1</v>
      </c>
      <c r="AG849" t="s">
        <v>878</v>
      </c>
      <c r="AH849" s="36">
        <f t="shared" si="13"/>
        <v>32.424999999999997</v>
      </c>
      <c r="AI849" s="40" t="s">
        <v>1778</v>
      </c>
    </row>
    <row r="850" spans="1:35" x14ac:dyDescent="0.25">
      <c r="A850" s="36">
        <v>99910848</v>
      </c>
      <c r="B850" s="17" t="s">
        <v>32</v>
      </c>
      <c r="C850" t="s">
        <v>90</v>
      </c>
      <c r="D850" t="s">
        <v>91</v>
      </c>
      <c r="G850" s="17" t="s">
        <v>35</v>
      </c>
      <c r="H850" s="17">
        <v>1</v>
      </c>
      <c r="I850" s="1">
        <v>41153</v>
      </c>
      <c r="J850" s="1">
        <v>43344</v>
      </c>
      <c r="K850" t="s">
        <v>1341</v>
      </c>
      <c r="L850" t="s">
        <v>1342</v>
      </c>
      <c r="M850" t="s">
        <v>1270</v>
      </c>
      <c r="N850">
        <v>24</v>
      </c>
      <c r="O850" t="s">
        <v>40</v>
      </c>
      <c r="S850" t="s">
        <v>40</v>
      </c>
      <c r="U850" s="1">
        <v>43344</v>
      </c>
      <c r="V850" t="s">
        <v>41</v>
      </c>
      <c r="W850" t="s">
        <v>75</v>
      </c>
      <c r="X850" t="str">
        <f>"7191034"</f>
        <v>7191034</v>
      </c>
      <c r="Y850" t="s">
        <v>1343</v>
      </c>
      <c r="Z850" t="s">
        <v>1341</v>
      </c>
      <c r="AA850" t="s">
        <v>1342</v>
      </c>
      <c r="AB850" t="s">
        <v>1270</v>
      </c>
      <c r="AC850" t="s">
        <v>51</v>
      </c>
      <c r="AD850" t="s">
        <v>45</v>
      </c>
      <c r="AE850" s="1">
        <v>31782</v>
      </c>
      <c r="AF850">
        <v>1</v>
      </c>
      <c r="AG850" t="s">
        <v>1342</v>
      </c>
      <c r="AH850" s="36">
        <f t="shared" si="13"/>
        <v>32.430555555555557</v>
      </c>
      <c r="AI850" s="40" t="s">
        <v>1778</v>
      </c>
    </row>
    <row r="851" spans="1:35" x14ac:dyDescent="0.25">
      <c r="A851" s="36">
        <v>99910849</v>
      </c>
      <c r="B851" s="17" t="s">
        <v>32</v>
      </c>
      <c r="C851" t="s">
        <v>58</v>
      </c>
      <c r="D851" t="s">
        <v>59</v>
      </c>
      <c r="G851" s="17" t="s">
        <v>48</v>
      </c>
      <c r="H851" s="17">
        <v>1</v>
      </c>
      <c r="I851" t="s">
        <v>212</v>
      </c>
      <c r="J851" s="1">
        <v>41614</v>
      </c>
      <c r="K851" t="s">
        <v>300</v>
      </c>
      <c r="L851" t="s">
        <v>301</v>
      </c>
      <c r="M851" t="s">
        <v>131</v>
      </c>
      <c r="N851">
        <v>4</v>
      </c>
      <c r="O851" t="s">
        <v>40</v>
      </c>
      <c r="P851" t="s">
        <v>40</v>
      </c>
      <c r="Q851" t="s">
        <v>40</v>
      </c>
      <c r="R851" t="s">
        <v>40</v>
      </c>
      <c r="S851" t="s">
        <v>40</v>
      </c>
      <c r="U851" s="1">
        <v>41614</v>
      </c>
      <c r="V851" t="s">
        <v>41</v>
      </c>
      <c r="W851" t="s">
        <v>49</v>
      </c>
      <c r="X851" t="str">
        <f>"0560029"</f>
        <v>0560029</v>
      </c>
      <c r="Y851" t="s">
        <v>309</v>
      </c>
      <c r="Z851" t="s">
        <v>300</v>
      </c>
      <c r="AA851" t="s">
        <v>301</v>
      </c>
      <c r="AB851" t="s">
        <v>131</v>
      </c>
      <c r="AC851" t="s">
        <v>165</v>
      </c>
      <c r="AD851" t="s">
        <v>45</v>
      </c>
      <c r="AE851" s="1">
        <v>31778</v>
      </c>
      <c r="AF851">
        <v>2</v>
      </c>
      <c r="AG851" t="s">
        <v>301</v>
      </c>
      <c r="AH851" s="36">
        <f t="shared" si="13"/>
        <v>32.44166666666667</v>
      </c>
      <c r="AI851" s="40" t="s">
        <v>1778</v>
      </c>
    </row>
    <row r="852" spans="1:35" x14ac:dyDescent="0.25">
      <c r="A852" s="36">
        <v>99910850</v>
      </c>
      <c r="B852" s="17" t="s">
        <v>32</v>
      </c>
      <c r="C852" t="s">
        <v>111</v>
      </c>
      <c r="D852" t="s">
        <v>112</v>
      </c>
      <c r="G852" s="17" t="s">
        <v>35</v>
      </c>
      <c r="H852" s="17">
        <v>1</v>
      </c>
      <c r="K852" t="s">
        <v>154</v>
      </c>
      <c r="L852" t="s">
        <v>155</v>
      </c>
      <c r="M852" t="s">
        <v>131</v>
      </c>
      <c r="N852">
        <v>24</v>
      </c>
      <c r="O852" t="s">
        <v>40</v>
      </c>
      <c r="P852" t="s">
        <v>40</v>
      </c>
      <c r="Q852" t="s">
        <v>40</v>
      </c>
      <c r="R852" t="s">
        <v>40</v>
      </c>
      <c r="S852" t="s">
        <v>40</v>
      </c>
      <c r="V852" t="s">
        <v>41</v>
      </c>
      <c r="W852" t="s">
        <v>75</v>
      </c>
      <c r="X852" t="str">
        <f>"7700026"</f>
        <v>7700026</v>
      </c>
      <c r="Y852" t="s">
        <v>397</v>
      </c>
      <c r="Z852" t="s">
        <v>154</v>
      </c>
      <c r="AA852" t="s">
        <v>155</v>
      </c>
      <c r="AB852" t="s">
        <v>131</v>
      </c>
      <c r="AC852" t="s">
        <v>51</v>
      </c>
      <c r="AD852" t="s">
        <v>45</v>
      </c>
      <c r="AE852" s="1">
        <v>31778</v>
      </c>
      <c r="AF852">
        <v>1</v>
      </c>
      <c r="AG852" t="s">
        <v>155</v>
      </c>
      <c r="AH852" s="36">
        <f t="shared" si="13"/>
        <v>32.44166666666667</v>
      </c>
      <c r="AI852" s="40" t="s">
        <v>1778</v>
      </c>
    </row>
    <row r="853" spans="1:35" x14ac:dyDescent="0.25">
      <c r="A853" s="36">
        <v>99910851</v>
      </c>
      <c r="B853" s="17" t="s">
        <v>32</v>
      </c>
      <c r="C853" t="s">
        <v>111</v>
      </c>
      <c r="D853" t="s">
        <v>112</v>
      </c>
      <c r="G853" s="17" t="s">
        <v>35</v>
      </c>
      <c r="H853" s="17">
        <v>1</v>
      </c>
      <c r="I853" t="s">
        <v>410</v>
      </c>
      <c r="J853" s="1">
        <v>42292</v>
      </c>
      <c r="K853" t="s">
        <v>154</v>
      </c>
      <c r="L853" t="s">
        <v>155</v>
      </c>
      <c r="M853" t="s">
        <v>131</v>
      </c>
      <c r="N853">
        <v>24</v>
      </c>
      <c r="O853" t="s">
        <v>40</v>
      </c>
      <c r="P853" t="s">
        <v>40</v>
      </c>
      <c r="Q853" t="s">
        <v>40</v>
      </c>
      <c r="R853" t="s">
        <v>40</v>
      </c>
      <c r="S853" t="s">
        <v>40</v>
      </c>
      <c r="U853" s="1">
        <v>42292</v>
      </c>
      <c r="V853" t="s">
        <v>41</v>
      </c>
      <c r="W853" t="s">
        <v>75</v>
      </c>
      <c r="X853" t="str">
        <f>"7051032"</f>
        <v>7051032</v>
      </c>
      <c r="Y853" t="s">
        <v>400</v>
      </c>
      <c r="Z853" t="s">
        <v>154</v>
      </c>
      <c r="AA853" t="s">
        <v>155</v>
      </c>
      <c r="AB853" t="s">
        <v>131</v>
      </c>
      <c r="AC853" t="s">
        <v>51</v>
      </c>
      <c r="AD853" t="s">
        <v>45</v>
      </c>
      <c r="AE853" s="1">
        <v>31778</v>
      </c>
      <c r="AF853">
        <v>1</v>
      </c>
      <c r="AG853" t="s">
        <v>155</v>
      </c>
      <c r="AH853" s="36">
        <f t="shared" si="13"/>
        <v>32.44166666666667</v>
      </c>
      <c r="AI853" s="40" t="s">
        <v>1778</v>
      </c>
    </row>
    <row r="854" spans="1:35" x14ac:dyDescent="0.25">
      <c r="A854" s="36">
        <v>99910852</v>
      </c>
      <c r="B854" s="17" t="s">
        <v>56</v>
      </c>
      <c r="C854" t="s">
        <v>111</v>
      </c>
      <c r="D854" t="s">
        <v>112</v>
      </c>
      <c r="G854" s="17" t="s">
        <v>35</v>
      </c>
      <c r="H854" s="17">
        <v>1</v>
      </c>
      <c r="K854" t="s">
        <v>154</v>
      </c>
      <c r="L854" t="s">
        <v>155</v>
      </c>
      <c r="M854" t="s">
        <v>131</v>
      </c>
      <c r="N854">
        <v>8</v>
      </c>
      <c r="O854" t="s">
        <v>40</v>
      </c>
      <c r="P854" t="s">
        <v>40</v>
      </c>
      <c r="Q854" t="s">
        <v>40</v>
      </c>
      <c r="R854" t="s">
        <v>40</v>
      </c>
      <c r="S854" t="s">
        <v>40</v>
      </c>
      <c r="V854" t="s">
        <v>41</v>
      </c>
      <c r="W854" t="s">
        <v>75</v>
      </c>
      <c r="X854" t="str">
        <f>"7051014"</f>
        <v>7051014</v>
      </c>
      <c r="Y854" t="s">
        <v>398</v>
      </c>
      <c r="Z854" t="s">
        <v>154</v>
      </c>
      <c r="AA854" t="s">
        <v>155</v>
      </c>
      <c r="AB854" t="s">
        <v>131</v>
      </c>
      <c r="AC854" t="s">
        <v>165</v>
      </c>
      <c r="AD854" t="s">
        <v>45</v>
      </c>
      <c r="AE854" s="1">
        <v>31778</v>
      </c>
      <c r="AF854">
        <v>1</v>
      </c>
      <c r="AG854" t="s">
        <v>155</v>
      </c>
      <c r="AH854" s="36">
        <f t="shared" si="13"/>
        <v>32.44166666666667</v>
      </c>
      <c r="AI854" s="40" t="s">
        <v>1778</v>
      </c>
    </row>
    <row r="855" spans="1:35" x14ac:dyDescent="0.25">
      <c r="A855" s="36">
        <v>99910853</v>
      </c>
      <c r="B855" s="17" t="s">
        <v>56</v>
      </c>
      <c r="C855" t="s">
        <v>111</v>
      </c>
      <c r="D855" t="s">
        <v>112</v>
      </c>
      <c r="G855" s="17" t="s">
        <v>48</v>
      </c>
      <c r="H855" s="17">
        <v>1</v>
      </c>
      <c r="K855" t="s">
        <v>431</v>
      </c>
      <c r="L855" t="s">
        <v>196</v>
      </c>
      <c r="M855" t="s">
        <v>131</v>
      </c>
      <c r="N855">
        <v>24</v>
      </c>
      <c r="O855" t="s">
        <v>40</v>
      </c>
      <c r="P855" t="s">
        <v>40</v>
      </c>
      <c r="Q855" t="s">
        <v>40</v>
      </c>
      <c r="R855" t="s">
        <v>40</v>
      </c>
      <c r="S855" t="s">
        <v>40</v>
      </c>
      <c r="V855" t="s">
        <v>41</v>
      </c>
      <c r="W855" t="s">
        <v>75</v>
      </c>
      <c r="X855" t="str">
        <f>"7521012"</f>
        <v>7521012</v>
      </c>
      <c r="Y855" t="s">
        <v>432</v>
      </c>
      <c r="Z855" t="s">
        <v>431</v>
      </c>
      <c r="AA855" t="s">
        <v>196</v>
      </c>
      <c r="AB855" t="s">
        <v>131</v>
      </c>
      <c r="AC855" t="s">
        <v>51</v>
      </c>
      <c r="AD855" t="s">
        <v>45</v>
      </c>
      <c r="AE855" s="1">
        <v>31778</v>
      </c>
      <c r="AF855">
        <v>1</v>
      </c>
      <c r="AG855" t="s">
        <v>196</v>
      </c>
      <c r="AH855" s="36">
        <f t="shared" si="13"/>
        <v>32.44166666666667</v>
      </c>
      <c r="AI855" s="40" t="s">
        <v>1778</v>
      </c>
    </row>
    <row r="856" spans="1:35" x14ac:dyDescent="0.25">
      <c r="A856" s="36">
        <v>99910854</v>
      </c>
      <c r="B856" s="17" t="s">
        <v>56</v>
      </c>
      <c r="C856" t="s">
        <v>111</v>
      </c>
      <c r="D856" t="s">
        <v>112</v>
      </c>
      <c r="G856" s="17" t="s">
        <v>48</v>
      </c>
      <c r="H856" s="17">
        <v>1</v>
      </c>
      <c r="K856" t="s">
        <v>431</v>
      </c>
      <c r="L856" t="s">
        <v>196</v>
      </c>
      <c r="M856" t="s">
        <v>131</v>
      </c>
      <c r="N856">
        <v>12</v>
      </c>
      <c r="O856" t="s">
        <v>40</v>
      </c>
      <c r="P856" t="s">
        <v>40</v>
      </c>
      <c r="Q856" t="s">
        <v>40</v>
      </c>
      <c r="R856" t="s">
        <v>40</v>
      </c>
      <c r="S856" t="s">
        <v>40</v>
      </c>
      <c r="V856" t="s">
        <v>41</v>
      </c>
      <c r="W856" t="s">
        <v>75</v>
      </c>
      <c r="X856" t="str">
        <f>"7521056"</f>
        <v>7521056</v>
      </c>
      <c r="Y856" t="s">
        <v>437</v>
      </c>
      <c r="Z856" t="s">
        <v>431</v>
      </c>
      <c r="AA856" t="s">
        <v>196</v>
      </c>
      <c r="AB856" t="s">
        <v>131</v>
      </c>
      <c r="AC856" t="s">
        <v>51</v>
      </c>
      <c r="AD856" t="s">
        <v>45</v>
      </c>
      <c r="AE856" s="1">
        <v>31778</v>
      </c>
      <c r="AF856">
        <v>1</v>
      </c>
      <c r="AG856" t="s">
        <v>196</v>
      </c>
      <c r="AH856" s="36">
        <f t="shared" si="13"/>
        <v>32.44166666666667</v>
      </c>
      <c r="AI856" s="40" t="s">
        <v>1778</v>
      </c>
    </row>
    <row r="857" spans="1:35" x14ac:dyDescent="0.25">
      <c r="A857" s="36">
        <v>99910855</v>
      </c>
      <c r="B857" s="17" t="s">
        <v>56</v>
      </c>
      <c r="C857" t="s">
        <v>111</v>
      </c>
      <c r="D857" t="s">
        <v>112</v>
      </c>
      <c r="G857" s="17" t="s">
        <v>35</v>
      </c>
      <c r="H857" s="17">
        <v>1</v>
      </c>
      <c r="K857" t="s">
        <v>431</v>
      </c>
      <c r="L857" t="s">
        <v>196</v>
      </c>
      <c r="M857" t="s">
        <v>131</v>
      </c>
      <c r="N857">
        <v>24</v>
      </c>
      <c r="O857" t="s">
        <v>40</v>
      </c>
      <c r="P857" t="s">
        <v>40</v>
      </c>
      <c r="Q857" t="s">
        <v>40</v>
      </c>
      <c r="R857" t="s">
        <v>40</v>
      </c>
      <c r="S857" t="s">
        <v>40</v>
      </c>
      <c r="V857" t="s">
        <v>41</v>
      </c>
      <c r="W857" t="s">
        <v>75</v>
      </c>
      <c r="X857" t="str">
        <f>"7521032"</f>
        <v>7521032</v>
      </c>
      <c r="Y857" t="s">
        <v>462</v>
      </c>
      <c r="Z857" t="s">
        <v>431</v>
      </c>
      <c r="AA857" t="s">
        <v>196</v>
      </c>
      <c r="AB857" t="s">
        <v>131</v>
      </c>
      <c r="AC857" t="s">
        <v>51</v>
      </c>
      <c r="AD857" t="s">
        <v>45</v>
      </c>
      <c r="AE857" s="1">
        <v>31778</v>
      </c>
      <c r="AF857">
        <v>1</v>
      </c>
      <c r="AG857" t="s">
        <v>196</v>
      </c>
      <c r="AH857" s="36">
        <f t="shared" si="13"/>
        <v>32.44166666666667</v>
      </c>
      <c r="AI857" s="40" t="s">
        <v>1778</v>
      </c>
    </row>
    <row r="858" spans="1:35" x14ac:dyDescent="0.25">
      <c r="A858" s="36">
        <v>99910856</v>
      </c>
      <c r="B858" s="17" t="s">
        <v>56</v>
      </c>
      <c r="C858" t="s">
        <v>597</v>
      </c>
      <c r="D858" t="s">
        <v>598</v>
      </c>
      <c r="G858" s="17" t="s">
        <v>48</v>
      </c>
      <c r="H858" s="17">
        <v>1</v>
      </c>
      <c r="K858" t="s">
        <v>268</v>
      </c>
      <c r="L858" t="s">
        <v>269</v>
      </c>
      <c r="M858" t="s">
        <v>131</v>
      </c>
      <c r="N858">
        <v>24</v>
      </c>
      <c r="O858" t="s">
        <v>40</v>
      </c>
      <c r="P858" t="s">
        <v>40</v>
      </c>
      <c r="Q858" t="s">
        <v>40</v>
      </c>
      <c r="R858" t="s">
        <v>40</v>
      </c>
      <c r="S858" t="s">
        <v>40</v>
      </c>
      <c r="V858" t="s">
        <v>41</v>
      </c>
      <c r="W858" t="s">
        <v>75</v>
      </c>
      <c r="X858" t="str">
        <f>"7052042"</f>
        <v>7052042</v>
      </c>
      <c r="Y858" t="s">
        <v>583</v>
      </c>
      <c r="Z858" t="s">
        <v>268</v>
      </c>
      <c r="AA858" t="s">
        <v>269</v>
      </c>
      <c r="AB858" t="s">
        <v>131</v>
      </c>
      <c r="AC858" t="s">
        <v>51</v>
      </c>
      <c r="AD858" t="s">
        <v>45</v>
      </c>
      <c r="AE858" s="1">
        <v>31778</v>
      </c>
      <c r="AF858">
        <v>1</v>
      </c>
      <c r="AG858" t="s">
        <v>269</v>
      </c>
      <c r="AH858" s="36">
        <f t="shared" si="13"/>
        <v>32.44166666666667</v>
      </c>
      <c r="AI858" s="40" t="s">
        <v>1778</v>
      </c>
    </row>
    <row r="859" spans="1:35" x14ac:dyDescent="0.25">
      <c r="A859" s="36">
        <v>99910857</v>
      </c>
      <c r="B859" s="17" t="s">
        <v>32</v>
      </c>
      <c r="C859" t="s">
        <v>111</v>
      </c>
      <c r="D859" t="s">
        <v>112</v>
      </c>
      <c r="G859" s="17" t="s">
        <v>48</v>
      </c>
      <c r="H859" s="17">
        <v>1</v>
      </c>
      <c r="K859" t="s">
        <v>268</v>
      </c>
      <c r="L859" t="s">
        <v>269</v>
      </c>
      <c r="M859" t="s">
        <v>131</v>
      </c>
      <c r="N859">
        <v>24</v>
      </c>
      <c r="O859" t="s">
        <v>40</v>
      </c>
      <c r="P859" t="s">
        <v>40</v>
      </c>
      <c r="Q859" t="s">
        <v>40</v>
      </c>
      <c r="R859" t="s">
        <v>40</v>
      </c>
      <c r="S859" t="s">
        <v>40</v>
      </c>
      <c r="V859" t="s">
        <v>41</v>
      </c>
      <c r="W859" t="s">
        <v>75</v>
      </c>
      <c r="X859" t="str">
        <f>"7052040"</f>
        <v>7052040</v>
      </c>
      <c r="Y859" t="s">
        <v>591</v>
      </c>
      <c r="Z859" t="s">
        <v>268</v>
      </c>
      <c r="AA859" t="s">
        <v>269</v>
      </c>
      <c r="AB859" t="s">
        <v>131</v>
      </c>
      <c r="AC859" t="s">
        <v>51</v>
      </c>
      <c r="AD859" t="s">
        <v>45</v>
      </c>
      <c r="AE859" s="1">
        <v>31778</v>
      </c>
      <c r="AF859">
        <v>1</v>
      </c>
      <c r="AG859" t="s">
        <v>269</v>
      </c>
      <c r="AH859" s="36">
        <f t="shared" si="13"/>
        <v>32.44166666666667</v>
      </c>
      <c r="AI859" s="40" t="s">
        <v>1778</v>
      </c>
    </row>
    <row r="860" spans="1:35" x14ac:dyDescent="0.25">
      <c r="A860" s="36">
        <v>99910858</v>
      </c>
      <c r="B860" s="17" t="s">
        <v>56</v>
      </c>
      <c r="C860" t="s">
        <v>111</v>
      </c>
      <c r="D860" t="s">
        <v>112</v>
      </c>
      <c r="G860" s="17" t="s">
        <v>48</v>
      </c>
      <c r="H860" s="17">
        <v>1</v>
      </c>
      <c r="I860" t="s">
        <v>1454</v>
      </c>
      <c r="J860" s="1">
        <v>41621</v>
      </c>
      <c r="K860" t="s">
        <v>1426</v>
      </c>
      <c r="L860" t="s">
        <v>1427</v>
      </c>
      <c r="M860" t="s">
        <v>1270</v>
      </c>
      <c r="N860">
        <v>24</v>
      </c>
      <c r="O860" t="s">
        <v>40</v>
      </c>
      <c r="P860" t="s">
        <v>40</v>
      </c>
      <c r="Q860" t="s">
        <v>40</v>
      </c>
      <c r="R860" t="s">
        <v>40</v>
      </c>
      <c r="S860" t="s">
        <v>40</v>
      </c>
      <c r="U860" s="1">
        <v>41621</v>
      </c>
      <c r="V860" t="s">
        <v>41</v>
      </c>
      <c r="W860" t="s">
        <v>75</v>
      </c>
      <c r="X860" t="str">
        <f>"7192000"</f>
        <v>7192000</v>
      </c>
      <c r="Y860" t="s">
        <v>1429</v>
      </c>
      <c r="Z860" t="s">
        <v>1426</v>
      </c>
      <c r="AA860" t="s">
        <v>1427</v>
      </c>
      <c r="AB860" t="s">
        <v>1270</v>
      </c>
      <c r="AC860" t="s">
        <v>51</v>
      </c>
      <c r="AD860" t="s">
        <v>45</v>
      </c>
      <c r="AE860" s="1">
        <v>31778</v>
      </c>
      <c r="AF860">
        <v>1</v>
      </c>
      <c r="AG860" t="s">
        <v>1427</v>
      </c>
      <c r="AH860" s="36">
        <f t="shared" si="13"/>
        <v>32.44166666666667</v>
      </c>
      <c r="AI860" s="40" t="s">
        <v>1778</v>
      </c>
    </row>
    <row r="861" spans="1:35" x14ac:dyDescent="0.25">
      <c r="A861" s="36">
        <v>99910859</v>
      </c>
      <c r="B861" s="17" t="s">
        <v>56</v>
      </c>
      <c r="C861" t="s">
        <v>111</v>
      </c>
      <c r="D861" t="s">
        <v>112</v>
      </c>
      <c r="G861" s="17" t="s">
        <v>48</v>
      </c>
      <c r="H861" s="17">
        <v>1</v>
      </c>
      <c r="K861" t="s">
        <v>1631</v>
      </c>
      <c r="L861" t="s">
        <v>1632</v>
      </c>
      <c r="M861" t="s">
        <v>1592</v>
      </c>
      <c r="N861">
        <v>24</v>
      </c>
      <c r="O861" t="s">
        <v>40</v>
      </c>
      <c r="P861" t="s">
        <v>40</v>
      </c>
      <c r="Q861" t="s">
        <v>40</v>
      </c>
      <c r="R861" t="s">
        <v>40</v>
      </c>
      <c r="S861" t="s">
        <v>40</v>
      </c>
      <c r="V861" t="s">
        <v>41</v>
      </c>
      <c r="W861" t="s">
        <v>75</v>
      </c>
      <c r="X861" t="str">
        <f>"7021000"</f>
        <v>7021000</v>
      </c>
      <c r="Y861" t="s">
        <v>1633</v>
      </c>
      <c r="Z861" t="s">
        <v>1631</v>
      </c>
      <c r="AA861" t="s">
        <v>1632</v>
      </c>
      <c r="AB861" t="s">
        <v>1592</v>
      </c>
      <c r="AC861" t="s">
        <v>51</v>
      </c>
      <c r="AD861" t="s">
        <v>45</v>
      </c>
      <c r="AE861" s="1">
        <v>31778</v>
      </c>
      <c r="AF861">
        <v>1</v>
      </c>
      <c r="AG861" t="s">
        <v>1632</v>
      </c>
      <c r="AH861" s="36">
        <f t="shared" si="13"/>
        <v>32.44166666666667</v>
      </c>
      <c r="AI861" s="40" t="s">
        <v>1778</v>
      </c>
    </row>
    <row r="862" spans="1:35" x14ac:dyDescent="0.25">
      <c r="A862" s="36">
        <v>99910860</v>
      </c>
      <c r="B862" s="17" t="s">
        <v>32</v>
      </c>
      <c r="C862" t="s">
        <v>111</v>
      </c>
      <c r="D862" t="s">
        <v>112</v>
      </c>
      <c r="G862" s="17" t="s">
        <v>35</v>
      </c>
      <c r="H862" s="17">
        <v>1</v>
      </c>
      <c r="I862">
        <v>4954</v>
      </c>
      <c r="J862" s="1">
        <v>43344</v>
      </c>
      <c r="K862" t="s">
        <v>1695</v>
      </c>
      <c r="L862" t="s">
        <v>1696</v>
      </c>
      <c r="M862" t="s">
        <v>1592</v>
      </c>
      <c r="N862">
        <v>24</v>
      </c>
      <c r="O862" t="s">
        <v>40</v>
      </c>
      <c r="P862" t="s">
        <v>40</v>
      </c>
      <c r="Q862" t="s">
        <v>40</v>
      </c>
      <c r="S862" t="s">
        <v>40</v>
      </c>
      <c r="U862" s="1">
        <v>43344</v>
      </c>
      <c r="V862" t="s">
        <v>41</v>
      </c>
      <c r="W862" t="s">
        <v>75</v>
      </c>
      <c r="X862" t="str">
        <f>"7361000"</f>
        <v>7361000</v>
      </c>
      <c r="Y862" t="s">
        <v>1698</v>
      </c>
      <c r="Z862" t="s">
        <v>1695</v>
      </c>
      <c r="AA862" t="s">
        <v>1696</v>
      </c>
      <c r="AB862" t="s">
        <v>1592</v>
      </c>
      <c r="AC862" t="s">
        <v>51</v>
      </c>
      <c r="AD862" t="s">
        <v>45</v>
      </c>
      <c r="AE862" s="1">
        <v>31778</v>
      </c>
      <c r="AF862">
        <v>1</v>
      </c>
      <c r="AG862" t="s">
        <v>1696</v>
      </c>
      <c r="AH862" s="36">
        <f t="shared" si="13"/>
        <v>32.44166666666667</v>
      </c>
      <c r="AI862" s="40" t="s">
        <v>1778</v>
      </c>
    </row>
    <row r="863" spans="1:35" x14ac:dyDescent="0.25">
      <c r="A863" s="36">
        <v>99910861</v>
      </c>
      <c r="B863" s="17" t="s">
        <v>32</v>
      </c>
      <c r="C863" t="s">
        <v>90</v>
      </c>
      <c r="D863" t="s">
        <v>91</v>
      </c>
      <c r="G863" s="17" t="s">
        <v>48</v>
      </c>
      <c r="H863" s="17">
        <v>1</v>
      </c>
      <c r="K863" t="s">
        <v>268</v>
      </c>
      <c r="L863" t="s">
        <v>269</v>
      </c>
      <c r="M863" t="s">
        <v>131</v>
      </c>
      <c r="N863">
        <v>30</v>
      </c>
      <c r="O863" t="s">
        <v>40</v>
      </c>
      <c r="P863" t="s">
        <v>40</v>
      </c>
      <c r="Q863" t="s">
        <v>40</v>
      </c>
      <c r="S863" t="s">
        <v>40</v>
      </c>
      <c r="V863" t="s">
        <v>41</v>
      </c>
      <c r="W863" t="s">
        <v>95</v>
      </c>
      <c r="X863" t="str">
        <f>"7052135"</f>
        <v>7052135</v>
      </c>
      <c r="Y863" t="s">
        <v>624</v>
      </c>
      <c r="Z863" t="s">
        <v>268</v>
      </c>
      <c r="AA863" t="s">
        <v>269</v>
      </c>
      <c r="AB863" t="s">
        <v>131</v>
      </c>
      <c r="AC863" t="s">
        <v>51</v>
      </c>
      <c r="AD863" t="s">
        <v>45</v>
      </c>
      <c r="AE863" s="1">
        <v>31774</v>
      </c>
      <c r="AF863">
        <v>1</v>
      </c>
      <c r="AG863" t="s">
        <v>269</v>
      </c>
      <c r="AH863" s="36">
        <f t="shared" si="13"/>
        <v>32.452777777777776</v>
      </c>
      <c r="AI863" s="40" t="s">
        <v>1778</v>
      </c>
    </row>
    <row r="864" spans="1:35" x14ac:dyDescent="0.25">
      <c r="A864" s="36">
        <v>99910862</v>
      </c>
      <c r="B864" s="17" t="s">
        <v>32</v>
      </c>
      <c r="C864" t="s">
        <v>111</v>
      </c>
      <c r="D864" t="s">
        <v>112</v>
      </c>
      <c r="G864" s="17" t="s">
        <v>35</v>
      </c>
      <c r="H864" s="17">
        <v>1</v>
      </c>
      <c r="K864" t="s">
        <v>1564</v>
      </c>
      <c r="L864" t="s">
        <v>1565</v>
      </c>
      <c r="M864" t="s">
        <v>1548</v>
      </c>
      <c r="N864">
        <v>24</v>
      </c>
      <c r="O864" t="s">
        <v>40</v>
      </c>
      <c r="P864" t="s">
        <v>40</v>
      </c>
      <c r="Q864" t="s">
        <v>40</v>
      </c>
      <c r="S864" t="s">
        <v>40</v>
      </c>
      <c r="V864" t="s">
        <v>41</v>
      </c>
      <c r="W864" t="s">
        <v>75</v>
      </c>
      <c r="X864" t="str">
        <f>"7101000"</f>
        <v>7101000</v>
      </c>
      <c r="Y864" t="s">
        <v>1572</v>
      </c>
      <c r="Z864" t="s">
        <v>1564</v>
      </c>
      <c r="AA864" t="s">
        <v>1565</v>
      </c>
      <c r="AB864" t="s">
        <v>1548</v>
      </c>
      <c r="AC864" t="s">
        <v>51</v>
      </c>
      <c r="AD864" t="s">
        <v>45</v>
      </c>
      <c r="AE864" s="1">
        <v>31771</v>
      </c>
      <c r="AF864">
        <v>1</v>
      </c>
      <c r="AG864" t="s">
        <v>1565</v>
      </c>
      <c r="AH864" s="36">
        <f t="shared" si="13"/>
        <v>32.461111111111109</v>
      </c>
      <c r="AI864" s="40" t="s">
        <v>1778</v>
      </c>
    </row>
    <row r="865" spans="1:35" x14ac:dyDescent="0.25">
      <c r="A865" s="36">
        <v>99910863</v>
      </c>
      <c r="B865" s="17" t="s">
        <v>32</v>
      </c>
      <c r="C865" t="s">
        <v>90</v>
      </c>
      <c r="D865" t="s">
        <v>91</v>
      </c>
      <c r="G865" s="17" t="s">
        <v>48</v>
      </c>
      <c r="H865" s="17">
        <v>1</v>
      </c>
      <c r="K865" t="s">
        <v>154</v>
      </c>
      <c r="L865" t="s">
        <v>155</v>
      </c>
      <c r="M865" t="s">
        <v>131</v>
      </c>
      <c r="N865">
        <v>30</v>
      </c>
      <c r="O865" t="s">
        <v>40</v>
      </c>
      <c r="P865" t="s">
        <v>40</v>
      </c>
      <c r="Q865" t="s">
        <v>40</v>
      </c>
      <c r="S865" t="s">
        <v>40</v>
      </c>
      <c r="V865" t="s">
        <v>41</v>
      </c>
      <c r="W865" t="s">
        <v>95</v>
      </c>
      <c r="X865" t="str">
        <f>"7051133"</f>
        <v>7051133</v>
      </c>
      <c r="Y865" t="s">
        <v>425</v>
      </c>
      <c r="Z865" t="s">
        <v>154</v>
      </c>
      <c r="AA865" t="s">
        <v>155</v>
      </c>
      <c r="AB865" t="s">
        <v>131</v>
      </c>
      <c r="AC865" t="s">
        <v>51</v>
      </c>
      <c r="AD865" t="s">
        <v>45</v>
      </c>
      <c r="AE865" s="1">
        <v>31757</v>
      </c>
      <c r="AF865">
        <v>1</v>
      </c>
      <c r="AG865" t="s">
        <v>155</v>
      </c>
      <c r="AH865" s="36">
        <f t="shared" si="13"/>
        <v>32.5</v>
      </c>
      <c r="AI865" s="40" t="s">
        <v>1778</v>
      </c>
    </row>
    <row r="866" spans="1:35" x14ac:dyDescent="0.25">
      <c r="A866" s="36">
        <v>99910864</v>
      </c>
      <c r="B866" s="17" t="s">
        <v>32</v>
      </c>
      <c r="C866" t="s">
        <v>90</v>
      </c>
      <c r="D866" t="s">
        <v>91</v>
      </c>
      <c r="G866" s="17" t="s">
        <v>48</v>
      </c>
      <c r="H866" s="17">
        <v>1</v>
      </c>
      <c r="K866" t="s">
        <v>1581</v>
      </c>
      <c r="L866" t="s">
        <v>1582</v>
      </c>
      <c r="M866" t="s">
        <v>1548</v>
      </c>
      <c r="N866">
        <v>24</v>
      </c>
      <c r="O866" t="s">
        <v>40</v>
      </c>
      <c r="P866" t="s">
        <v>40</v>
      </c>
      <c r="Q866" t="s">
        <v>40</v>
      </c>
      <c r="S866" t="s">
        <v>40</v>
      </c>
      <c r="V866" t="s">
        <v>41</v>
      </c>
      <c r="W866" t="s">
        <v>75</v>
      </c>
      <c r="X866" t="str">
        <f>"7291000"</f>
        <v>7291000</v>
      </c>
      <c r="Y866" t="s">
        <v>1584</v>
      </c>
      <c r="Z866" t="s">
        <v>1581</v>
      </c>
      <c r="AA866" t="s">
        <v>1582</v>
      </c>
      <c r="AB866" t="s">
        <v>1548</v>
      </c>
      <c r="AC866" t="s">
        <v>51</v>
      </c>
      <c r="AD866" t="s">
        <v>45</v>
      </c>
      <c r="AE866" s="1">
        <v>31749</v>
      </c>
      <c r="AF866">
        <v>1</v>
      </c>
      <c r="AG866" t="s">
        <v>1582</v>
      </c>
      <c r="AH866" s="36">
        <f t="shared" si="13"/>
        <v>32.522222222222226</v>
      </c>
      <c r="AI866" s="40" t="s">
        <v>1778</v>
      </c>
    </row>
    <row r="867" spans="1:35" x14ac:dyDescent="0.25">
      <c r="A867" s="36">
        <v>99910865</v>
      </c>
      <c r="B867" s="17" t="s">
        <v>32</v>
      </c>
      <c r="C867" t="s">
        <v>139</v>
      </c>
      <c r="D867" t="s">
        <v>140</v>
      </c>
      <c r="G867" s="17" t="s">
        <v>35</v>
      </c>
      <c r="H867" s="17">
        <v>1</v>
      </c>
      <c r="I867">
        <v>12096</v>
      </c>
      <c r="J867" s="1">
        <v>43344</v>
      </c>
      <c r="K867" t="s">
        <v>345</v>
      </c>
      <c r="L867" t="s">
        <v>346</v>
      </c>
      <c r="M867" t="s">
        <v>131</v>
      </c>
      <c r="N867">
        <v>21</v>
      </c>
      <c r="O867" t="s">
        <v>40</v>
      </c>
      <c r="Q867" t="s">
        <v>40</v>
      </c>
      <c r="S867" t="s">
        <v>40</v>
      </c>
      <c r="U867" s="1">
        <v>43344</v>
      </c>
      <c r="V867" t="s">
        <v>41</v>
      </c>
      <c r="W867" t="s">
        <v>49</v>
      </c>
      <c r="X867" t="str">
        <f>"0560032"</f>
        <v>0560032</v>
      </c>
      <c r="Y867" t="s">
        <v>347</v>
      </c>
      <c r="Z867" t="s">
        <v>345</v>
      </c>
      <c r="AA867" t="s">
        <v>346</v>
      </c>
      <c r="AB867" t="s">
        <v>131</v>
      </c>
      <c r="AC867" t="s">
        <v>44</v>
      </c>
      <c r="AD867" t="s">
        <v>45</v>
      </c>
      <c r="AE867" s="1">
        <v>31737</v>
      </c>
      <c r="AF867">
        <v>2</v>
      </c>
      <c r="AG867" t="s">
        <v>346</v>
      </c>
      <c r="AH867" s="36">
        <f t="shared" si="13"/>
        <v>32.555555555555557</v>
      </c>
      <c r="AI867" s="40" t="s">
        <v>1778</v>
      </c>
    </row>
    <row r="868" spans="1:35" x14ac:dyDescent="0.25">
      <c r="A868" s="36">
        <v>99910866</v>
      </c>
      <c r="B868" s="17" t="s">
        <v>32</v>
      </c>
      <c r="C868" t="s">
        <v>61</v>
      </c>
      <c r="D868" t="s">
        <v>62</v>
      </c>
      <c r="G868" s="17" t="s">
        <v>48</v>
      </c>
      <c r="H868" s="17">
        <v>4</v>
      </c>
      <c r="K868" t="s">
        <v>268</v>
      </c>
      <c r="L868" t="s">
        <v>269</v>
      </c>
      <c r="M868" t="s">
        <v>131</v>
      </c>
      <c r="N868">
        <v>21</v>
      </c>
      <c r="O868" t="s">
        <v>40</v>
      </c>
      <c r="P868" t="s">
        <v>40</v>
      </c>
      <c r="Q868" t="s">
        <v>40</v>
      </c>
      <c r="R868" t="s">
        <v>40</v>
      </c>
      <c r="S868" t="s">
        <v>40</v>
      </c>
      <c r="V868" t="s">
        <v>41</v>
      </c>
      <c r="W868" t="s">
        <v>75</v>
      </c>
      <c r="X868" t="str">
        <f>"7052036"</f>
        <v>7052036</v>
      </c>
      <c r="Y868" t="s">
        <v>679</v>
      </c>
      <c r="Z868" t="s">
        <v>268</v>
      </c>
      <c r="AA868" t="s">
        <v>269</v>
      </c>
      <c r="AB868" t="s">
        <v>131</v>
      </c>
      <c r="AC868" t="s">
        <v>51</v>
      </c>
      <c r="AD868" t="s">
        <v>45</v>
      </c>
      <c r="AE868" s="1">
        <v>31736</v>
      </c>
      <c r="AF868">
        <v>1</v>
      </c>
      <c r="AG868" t="s">
        <v>269</v>
      </c>
      <c r="AH868" s="36">
        <f t="shared" si="13"/>
        <v>32.55833333333333</v>
      </c>
      <c r="AI868" s="40" t="s">
        <v>1778</v>
      </c>
    </row>
    <row r="869" spans="1:35" x14ac:dyDescent="0.25">
      <c r="A869" s="36">
        <v>99910867</v>
      </c>
      <c r="B869" s="17" t="s">
        <v>32</v>
      </c>
      <c r="C869" t="s">
        <v>90</v>
      </c>
      <c r="D869" t="s">
        <v>91</v>
      </c>
      <c r="G869" s="17" t="s">
        <v>35</v>
      </c>
      <c r="H869" s="17">
        <v>1</v>
      </c>
      <c r="I869" t="s">
        <v>1512</v>
      </c>
      <c r="J869" s="1">
        <v>42979</v>
      </c>
      <c r="K869" t="s">
        <v>1513</v>
      </c>
      <c r="L869" t="s">
        <v>1511</v>
      </c>
      <c r="M869" t="s">
        <v>670</v>
      </c>
      <c r="N869">
        <v>25</v>
      </c>
      <c r="O869" t="s">
        <v>40</v>
      </c>
      <c r="S869" t="s">
        <v>40</v>
      </c>
      <c r="U869" s="1">
        <v>42979</v>
      </c>
      <c r="V869" t="s">
        <v>41</v>
      </c>
      <c r="W869" t="s">
        <v>95</v>
      </c>
      <c r="X869" t="str">
        <f>"7411007"</f>
        <v>7411007</v>
      </c>
      <c r="Y869" t="s">
        <v>1514</v>
      </c>
      <c r="Z869" t="s">
        <v>1513</v>
      </c>
      <c r="AA869" t="s">
        <v>1511</v>
      </c>
      <c r="AB869" t="s">
        <v>670</v>
      </c>
      <c r="AC869" t="s">
        <v>51</v>
      </c>
      <c r="AD869" t="s">
        <v>45</v>
      </c>
      <c r="AE869" s="1">
        <v>31734</v>
      </c>
      <c r="AF869">
        <v>1</v>
      </c>
      <c r="AG869" t="s">
        <v>1511</v>
      </c>
      <c r="AH869" s="36">
        <f t="shared" si="13"/>
        <v>32.56388888888889</v>
      </c>
      <c r="AI869" s="40" t="s">
        <v>1778</v>
      </c>
    </row>
    <row r="870" spans="1:35" x14ac:dyDescent="0.25">
      <c r="A870" s="36">
        <v>99910868</v>
      </c>
      <c r="B870" s="17" t="s">
        <v>32</v>
      </c>
      <c r="C870" t="s">
        <v>90</v>
      </c>
      <c r="D870" t="s">
        <v>91</v>
      </c>
      <c r="G870" s="17" t="s">
        <v>35</v>
      </c>
      <c r="H870" s="17">
        <v>1</v>
      </c>
      <c r="I870" t="s">
        <v>1096</v>
      </c>
      <c r="J870" s="1">
        <v>43344</v>
      </c>
      <c r="K870" t="s">
        <v>1081</v>
      </c>
      <c r="L870" t="s">
        <v>1082</v>
      </c>
      <c r="M870" t="s">
        <v>1053</v>
      </c>
      <c r="N870">
        <v>25</v>
      </c>
      <c r="O870" t="s">
        <v>40</v>
      </c>
      <c r="P870" t="s">
        <v>40</v>
      </c>
      <c r="Q870" t="s">
        <v>40</v>
      </c>
      <c r="S870" t="s">
        <v>40</v>
      </c>
      <c r="U870" s="1">
        <v>43344</v>
      </c>
      <c r="V870" t="s">
        <v>41</v>
      </c>
      <c r="W870" t="s">
        <v>95</v>
      </c>
      <c r="X870" t="str">
        <f>"7201023"</f>
        <v>7201023</v>
      </c>
      <c r="Y870" t="s">
        <v>1097</v>
      </c>
      <c r="Z870" t="s">
        <v>1081</v>
      </c>
      <c r="AA870" t="s">
        <v>1082</v>
      </c>
      <c r="AB870" t="s">
        <v>1053</v>
      </c>
      <c r="AC870" t="s">
        <v>44</v>
      </c>
      <c r="AD870" t="s">
        <v>45</v>
      </c>
      <c r="AE870" s="1">
        <v>31733</v>
      </c>
      <c r="AF870">
        <v>1</v>
      </c>
      <c r="AG870" t="s">
        <v>1082</v>
      </c>
      <c r="AH870" s="36">
        <f t="shared" si="13"/>
        <v>32.56666666666667</v>
      </c>
      <c r="AI870" s="40" t="s">
        <v>1778</v>
      </c>
    </row>
    <row r="871" spans="1:35" x14ac:dyDescent="0.25">
      <c r="A871" s="36">
        <v>99910869</v>
      </c>
      <c r="B871" s="17" t="s">
        <v>32</v>
      </c>
      <c r="C871" t="s">
        <v>90</v>
      </c>
      <c r="D871" t="s">
        <v>91</v>
      </c>
      <c r="G871" s="17" t="s">
        <v>35</v>
      </c>
      <c r="H871" s="17">
        <v>1</v>
      </c>
      <c r="I871" t="s">
        <v>286</v>
      </c>
      <c r="J871" s="1">
        <v>43344</v>
      </c>
      <c r="K871" t="s">
        <v>268</v>
      </c>
      <c r="L871" t="s">
        <v>269</v>
      </c>
      <c r="M871" t="s">
        <v>131</v>
      </c>
      <c r="N871">
        <v>25</v>
      </c>
      <c r="O871" t="s">
        <v>40</v>
      </c>
      <c r="S871" t="s">
        <v>40</v>
      </c>
      <c r="V871" t="s">
        <v>41</v>
      </c>
      <c r="W871" t="s">
        <v>95</v>
      </c>
      <c r="X871" t="str">
        <f>"7052063"</f>
        <v>7052063</v>
      </c>
      <c r="Y871" t="s">
        <v>642</v>
      </c>
      <c r="Z871" t="s">
        <v>268</v>
      </c>
      <c r="AA871" t="s">
        <v>269</v>
      </c>
      <c r="AB871" t="s">
        <v>131</v>
      </c>
      <c r="AC871" t="s">
        <v>44</v>
      </c>
      <c r="AD871" t="s">
        <v>45</v>
      </c>
      <c r="AE871" s="1">
        <v>31728</v>
      </c>
      <c r="AF871">
        <v>1</v>
      </c>
      <c r="AG871" t="s">
        <v>269</v>
      </c>
      <c r="AH871" s="36">
        <f t="shared" si="13"/>
        <v>32.580555555555556</v>
      </c>
      <c r="AI871" s="40" t="s">
        <v>1778</v>
      </c>
    </row>
    <row r="872" spans="1:35" x14ac:dyDescent="0.25">
      <c r="A872" s="36">
        <v>99910870</v>
      </c>
      <c r="B872" s="17" t="s">
        <v>32</v>
      </c>
      <c r="C872" t="s">
        <v>90</v>
      </c>
      <c r="D872" t="s">
        <v>91</v>
      </c>
      <c r="G872" s="17" t="s">
        <v>48</v>
      </c>
      <c r="H872" s="17">
        <v>1</v>
      </c>
      <c r="K872" t="s">
        <v>1502</v>
      </c>
      <c r="L872" t="s">
        <v>1503</v>
      </c>
      <c r="M872" t="s">
        <v>670</v>
      </c>
      <c r="N872">
        <v>6</v>
      </c>
      <c r="O872" t="s">
        <v>40</v>
      </c>
      <c r="P872" t="s">
        <v>40</v>
      </c>
      <c r="Q872" t="s">
        <v>40</v>
      </c>
      <c r="R872" t="s">
        <v>40</v>
      </c>
      <c r="S872" t="s">
        <v>40</v>
      </c>
      <c r="V872" t="s">
        <v>41</v>
      </c>
      <c r="W872" t="s">
        <v>95</v>
      </c>
      <c r="X872" t="str">
        <f>"7171009"</f>
        <v>7171009</v>
      </c>
      <c r="Y872" t="s">
        <v>1510</v>
      </c>
      <c r="Z872" t="s">
        <v>1502</v>
      </c>
      <c r="AA872" t="s">
        <v>1503</v>
      </c>
      <c r="AB872" t="s">
        <v>670</v>
      </c>
      <c r="AC872" t="s">
        <v>51</v>
      </c>
      <c r="AD872" t="s">
        <v>45</v>
      </c>
      <c r="AE872" s="1">
        <v>31726</v>
      </c>
      <c r="AF872">
        <v>1</v>
      </c>
      <c r="AG872" t="s">
        <v>1503</v>
      </c>
      <c r="AH872" s="36">
        <f t="shared" si="13"/>
        <v>32.586111111111109</v>
      </c>
      <c r="AI872" s="40" t="s">
        <v>1778</v>
      </c>
    </row>
    <row r="873" spans="1:35" x14ac:dyDescent="0.25">
      <c r="A873" s="36">
        <v>99910871</v>
      </c>
      <c r="B873" s="17" t="s">
        <v>32</v>
      </c>
      <c r="C873" t="s">
        <v>141</v>
      </c>
      <c r="D873" t="s">
        <v>142</v>
      </c>
      <c r="G873" s="17" t="s">
        <v>48</v>
      </c>
      <c r="H873" s="17">
        <v>1</v>
      </c>
      <c r="K873" t="s">
        <v>223</v>
      </c>
      <c r="L873" t="s">
        <v>224</v>
      </c>
      <c r="M873" t="s">
        <v>131</v>
      </c>
      <c r="N873">
        <v>23</v>
      </c>
      <c r="O873" t="s">
        <v>40</v>
      </c>
      <c r="P873" t="s">
        <v>40</v>
      </c>
      <c r="Q873" t="s">
        <v>40</v>
      </c>
      <c r="R873" t="s">
        <v>40</v>
      </c>
      <c r="S873" t="s">
        <v>40</v>
      </c>
      <c r="V873" t="s">
        <v>41</v>
      </c>
      <c r="W873" t="s">
        <v>49</v>
      </c>
      <c r="X873" t="str">
        <f>"0581207"</f>
        <v>0581207</v>
      </c>
      <c r="Y873" t="s">
        <v>233</v>
      </c>
      <c r="Z873" t="s">
        <v>223</v>
      </c>
      <c r="AA873" t="s">
        <v>224</v>
      </c>
      <c r="AB873" t="s">
        <v>131</v>
      </c>
      <c r="AC873" t="s">
        <v>51</v>
      </c>
      <c r="AD873" t="s">
        <v>45</v>
      </c>
      <c r="AE873" s="1">
        <v>31724</v>
      </c>
      <c r="AF873">
        <v>2</v>
      </c>
      <c r="AG873" t="s">
        <v>224</v>
      </c>
      <c r="AH873" s="36">
        <f t="shared" si="13"/>
        <v>32.591666666666669</v>
      </c>
      <c r="AI873" s="40" t="s">
        <v>1778</v>
      </c>
    </row>
    <row r="874" spans="1:35" x14ac:dyDescent="0.25">
      <c r="A874" s="36">
        <v>99910872</v>
      </c>
      <c r="B874" s="17" t="s">
        <v>32</v>
      </c>
      <c r="C874" t="s">
        <v>71</v>
      </c>
      <c r="D874" t="s">
        <v>72</v>
      </c>
      <c r="G874" s="17" t="s">
        <v>48</v>
      </c>
      <c r="H874" s="17">
        <v>1</v>
      </c>
      <c r="K874" t="s">
        <v>268</v>
      </c>
      <c r="L874" t="s">
        <v>269</v>
      </c>
      <c r="M874" t="s">
        <v>131</v>
      </c>
      <c r="N874">
        <v>20</v>
      </c>
      <c r="O874" t="s">
        <v>40</v>
      </c>
      <c r="P874" t="s">
        <v>40</v>
      </c>
      <c r="Q874" t="s">
        <v>40</v>
      </c>
      <c r="R874" t="s">
        <v>40</v>
      </c>
      <c r="S874" t="s">
        <v>40</v>
      </c>
      <c r="V874" t="s">
        <v>41</v>
      </c>
      <c r="W874" t="s">
        <v>75</v>
      </c>
      <c r="X874" t="str">
        <f>"7052034"</f>
        <v>7052034</v>
      </c>
      <c r="Y874" t="s">
        <v>604</v>
      </c>
      <c r="Z874" t="s">
        <v>268</v>
      </c>
      <c r="AA874" t="s">
        <v>269</v>
      </c>
      <c r="AB874" t="s">
        <v>131</v>
      </c>
      <c r="AC874" t="s">
        <v>51</v>
      </c>
      <c r="AD874" t="s">
        <v>45</v>
      </c>
      <c r="AE874" s="1">
        <v>31723</v>
      </c>
      <c r="AF874">
        <v>1</v>
      </c>
      <c r="AG874" t="s">
        <v>269</v>
      </c>
      <c r="AH874" s="36">
        <f t="shared" si="13"/>
        <v>32.594444444444441</v>
      </c>
      <c r="AI874" s="40" t="s">
        <v>1778</v>
      </c>
    </row>
    <row r="875" spans="1:35" x14ac:dyDescent="0.25">
      <c r="A875" s="36">
        <v>99910873</v>
      </c>
      <c r="B875" s="17" t="s">
        <v>56</v>
      </c>
      <c r="C875" t="s">
        <v>46</v>
      </c>
      <c r="D875" t="s">
        <v>47</v>
      </c>
      <c r="G875" s="17" t="s">
        <v>35</v>
      </c>
      <c r="H875" s="17">
        <v>1</v>
      </c>
      <c r="I875" t="s">
        <v>1551</v>
      </c>
      <c r="J875" s="1">
        <v>43344</v>
      </c>
      <c r="K875" t="s">
        <v>1546</v>
      </c>
      <c r="L875" t="s">
        <v>1547</v>
      </c>
      <c r="M875" t="s">
        <v>1548</v>
      </c>
      <c r="N875">
        <v>11</v>
      </c>
      <c r="O875" t="s">
        <v>40</v>
      </c>
      <c r="P875" t="s">
        <v>40</v>
      </c>
      <c r="Q875" t="s">
        <v>40</v>
      </c>
      <c r="R875" t="s">
        <v>40</v>
      </c>
      <c r="S875" t="s">
        <v>40</v>
      </c>
      <c r="U875" s="1">
        <v>43344</v>
      </c>
      <c r="V875" t="s">
        <v>41</v>
      </c>
      <c r="W875" t="s">
        <v>49</v>
      </c>
      <c r="X875" t="str">
        <f>"1081010"</f>
        <v>1081010</v>
      </c>
      <c r="Y875" t="s">
        <v>1552</v>
      </c>
      <c r="Z875" t="s">
        <v>1546</v>
      </c>
      <c r="AA875" t="s">
        <v>1547</v>
      </c>
      <c r="AB875" t="s">
        <v>1548</v>
      </c>
      <c r="AC875" t="s">
        <v>44</v>
      </c>
      <c r="AD875" t="s">
        <v>45</v>
      </c>
      <c r="AE875" s="1">
        <v>31722</v>
      </c>
      <c r="AF875">
        <v>2</v>
      </c>
      <c r="AG875" t="s">
        <v>1547</v>
      </c>
      <c r="AH875" s="36">
        <f t="shared" si="13"/>
        <v>32.597222222222221</v>
      </c>
      <c r="AI875" s="40" t="s">
        <v>1778</v>
      </c>
    </row>
    <row r="876" spans="1:35" x14ac:dyDescent="0.25">
      <c r="A876" s="36">
        <v>99910874</v>
      </c>
      <c r="B876" s="17" t="s">
        <v>32</v>
      </c>
      <c r="C876" t="s">
        <v>71</v>
      </c>
      <c r="D876" t="s">
        <v>72</v>
      </c>
      <c r="G876" s="17" t="s">
        <v>48</v>
      </c>
      <c r="H876" s="17">
        <v>1</v>
      </c>
      <c r="K876" t="s">
        <v>1613</v>
      </c>
      <c r="L876" t="s">
        <v>1614</v>
      </c>
      <c r="M876" t="s">
        <v>1592</v>
      </c>
      <c r="N876">
        <v>10</v>
      </c>
      <c r="O876" t="s">
        <v>40</v>
      </c>
      <c r="P876" t="s">
        <v>40</v>
      </c>
      <c r="Q876" t="s">
        <v>40</v>
      </c>
      <c r="R876" t="s">
        <v>40</v>
      </c>
      <c r="S876" t="s">
        <v>40</v>
      </c>
      <c r="V876" t="s">
        <v>41</v>
      </c>
      <c r="W876" t="s">
        <v>49</v>
      </c>
      <c r="X876" t="str">
        <f>"2860001"</f>
        <v>2860001</v>
      </c>
      <c r="Y876" t="s">
        <v>1616</v>
      </c>
      <c r="Z876" t="s">
        <v>1613</v>
      </c>
      <c r="AA876" t="s">
        <v>1614</v>
      </c>
      <c r="AB876" t="s">
        <v>1592</v>
      </c>
      <c r="AC876" t="s">
        <v>51</v>
      </c>
      <c r="AD876" t="s">
        <v>45</v>
      </c>
      <c r="AE876" s="1">
        <v>31719</v>
      </c>
      <c r="AF876">
        <v>2</v>
      </c>
      <c r="AG876" t="s">
        <v>1614</v>
      </c>
      <c r="AH876" s="36">
        <f t="shared" si="13"/>
        <v>32.605555555555554</v>
      </c>
      <c r="AI876" s="40" t="s">
        <v>1778</v>
      </c>
    </row>
    <row r="877" spans="1:35" x14ac:dyDescent="0.25">
      <c r="A877" s="36">
        <v>99910875</v>
      </c>
      <c r="B877" s="17" t="s">
        <v>32</v>
      </c>
      <c r="C877" t="s">
        <v>90</v>
      </c>
      <c r="D877" t="s">
        <v>91</v>
      </c>
      <c r="G877" s="17" t="s">
        <v>88</v>
      </c>
      <c r="H877" s="17">
        <v>2</v>
      </c>
      <c r="I877" t="s">
        <v>544</v>
      </c>
      <c r="J877" s="1">
        <v>43026</v>
      </c>
      <c r="K877" t="s">
        <v>195</v>
      </c>
      <c r="L877" t="s">
        <v>196</v>
      </c>
      <c r="M877" t="s">
        <v>131</v>
      </c>
      <c r="N877">
        <v>25</v>
      </c>
      <c r="O877" t="s">
        <v>40</v>
      </c>
      <c r="P877" t="s">
        <v>40</v>
      </c>
      <c r="Q877" t="s">
        <v>40</v>
      </c>
      <c r="R877" t="s">
        <v>40</v>
      </c>
      <c r="S877" t="s">
        <v>40</v>
      </c>
      <c r="U877" s="1">
        <v>43026</v>
      </c>
      <c r="V877" t="s">
        <v>41</v>
      </c>
      <c r="W877" t="s">
        <v>95</v>
      </c>
      <c r="X877" t="str">
        <f>"7521157"</f>
        <v>7521157</v>
      </c>
      <c r="Y877" t="s">
        <v>545</v>
      </c>
      <c r="Z877" t="s">
        <v>195</v>
      </c>
      <c r="AA877" t="s">
        <v>196</v>
      </c>
      <c r="AB877" t="s">
        <v>131</v>
      </c>
      <c r="AC877" t="s">
        <v>51</v>
      </c>
      <c r="AD877" t="s">
        <v>45</v>
      </c>
      <c r="AE877" s="1">
        <v>31718</v>
      </c>
      <c r="AF877">
        <v>1</v>
      </c>
      <c r="AG877" t="s">
        <v>196</v>
      </c>
      <c r="AH877" s="36">
        <f t="shared" si="13"/>
        <v>32.608333333333334</v>
      </c>
      <c r="AI877" s="40" t="s">
        <v>1778</v>
      </c>
    </row>
    <row r="878" spans="1:35" x14ac:dyDescent="0.25">
      <c r="A878" s="36">
        <v>99910876</v>
      </c>
      <c r="B878" s="17" t="s">
        <v>32</v>
      </c>
      <c r="C878" t="s">
        <v>90</v>
      </c>
      <c r="D878" t="s">
        <v>91</v>
      </c>
      <c r="G878" s="17" t="s">
        <v>35</v>
      </c>
      <c r="H878" s="17">
        <v>1</v>
      </c>
      <c r="I878">
        <v>11253</v>
      </c>
      <c r="J878" s="1">
        <v>43344</v>
      </c>
      <c r="K878" t="s">
        <v>354</v>
      </c>
      <c r="L878" t="s">
        <v>355</v>
      </c>
      <c r="M878" t="s">
        <v>131</v>
      </c>
      <c r="N878">
        <v>25</v>
      </c>
      <c r="O878" t="s">
        <v>40</v>
      </c>
      <c r="S878" t="s">
        <v>40</v>
      </c>
      <c r="U878" s="1">
        <v>43344</v>
      </c>
      <c r="V878" t="s">
        <v>41</v>
      </c>
      <c r="W878" t="s">
        <v>95</v>
      </c>
      <c r="X878" t="str">
        <f>"7054157"</f>
        <v>7054157</v>
      </c>
      <c r="Y878" t="s">
        <v>847</v>
      </c>
      <c r="Z878" t="s">
        <v>354</v>
      </c>
      <c r="AA878" t="s">
        <v>355</v>
      </c>
      <c r="AB878" t="s">
        <v>131</v>
      </c>
      <c r="AC878" t="s">
        <v>51</v>
      </c>
      <c r="AD878" t="s">
        <v>45</v>
      </c>
      <c r="AE878" s="1">
        <v>31718</v>
      </c>
      <c r="AF878">
        <v>1</v>
      </c>
      <c r="AG878" t="s">
        <v>355</v>
      </c>
      <c r="AH878" s="36">
        <f t="shared" si="13"/>
        <v>32.608333333333334</v>
      </c>
      <c r="AI878" s="40" t="s">
        <v>1778</v>
      </c>
    </row>
    <row r="879" spans="1:35" x14ac:dyDescent="0.25">
      <c r="A879" s="36">
        <v>99910877</v>
      </c>
      <c r="B879" s="17" t="s">
        <v>32</v>
      </c>
      <c r="C879" t="s">
        <v>111</v>
      </c>
      <c r="D879" t="s">
        <v>112</v>
      </c>
      <c r="G879" s="17" t="s">
        <v>48</v>
      </c>
      <c r="H879" s="17">
        <v>1</v>
      </c>
      <c r="K879" t="s">
        <v>877</v>
      </c>
      <c r="L879" t="s">
        <v>878</v>
      </c>
      <c r="M879" t="s">
        <v>131</v>
      </c>
      <c r="N879">
        <v>24</v>
      </c>
      <c r="O879" t="s">
        <v>40</v>
      </c>
      <c r="P879" t="s">
        <v>40</v>
      </c>
      <c r="Q879" t="s">
        <v>40</v>
      </c>
      <c r="S879" t="s">
        <v>40</v>
      </c>
      <c r="V879" t="s">
        <v>41</v>
      </c>
      <c r="W879" t="s">
        <v>75</v>
      </c>
      <c r="X879" t="str">
        <f>"7541008"</f>
        <v>7541008</v>
      </c>
      <c r="Y879" t="s">
        <v>879</v>
      </c>
      <c r="Z879" t="s">
        <v>877</v>
      </c>
      <c r="AA879" t="s">
        <v>878</v>
      </c>
      <c r="AB879" t="s">
        <v>131</v>
      </c>
      <c r="AC879" t="s">
        <v>51</v>
      </c>
      <c r="AD879" t="s">
        <v>45</v>
      </c>
      <c r="AE879" s="1">
        <v>31717</v>
      </c>
      <c r="AF879">
        <v>1</v>
      </c>
      <c r="AG879" t="s">
        <v>878</v>
      </c>
      <c r="AH879" s="36">
        <f t="shared" si="13"/>
        <v>32.611111111111114</v>
      </c>
      <c r="AI879" s="40" t="s">
        <v>1778</v>
      </c>
    </row>
    <row r="880" spans="1:35" x14ac:dyDescent="0.25">
      <c r="A880" s="36">
        <v>99910878</v>
      </c>
      <c r="B880" s="17" t="s">
        <v>32</v>
      </c>
      <c r="C880" t="s">
        <v>90</v>
      </c>
      <c r="D880" t="s">
        <v>91</v>
      </c>
      <c r="G880" s="17" t="s">
        <v>35</v>
      </c>
      <c r="H880" s="17">
        <v>1</v>
      </c>
      <c r="I880" t="s">
        <v>92</v>
      </c>
      <c r="J880" s="1">
        <v>43344</v>
      </c>
      <c r="K880" t="s">
        <v>93</v>
      </c>
      <c r="L880" t="s">
        <v>94</v>
      </c>
      <c r="M880" t="s">
        <v>39</v>
      </c>
      <c r="N880">
        <v>25</v>
      </c>
      <c r="O880" t="s">
        <v>40</v>
      </c>
      <c r="S880" t="s">
        <v>40</v>
      </c>
      <c r="U880" s="1">
        <v>43344</v>
      </c>
      <c r="V880" t="s">
        <v>41</v>
      </c>
      <c r="W880" t="s">
        <v>95</v>
      </c>
      <c r="X880" t="str">
        <f>"7091003"</f>
        <v>7091003</v>
      </c>
      <c r="Y880" t="s">
        <v>96</v>
      </c>
      <c r="Z880" t="s">
        <v>93</v>
      </c>
      <c r="AA880" t="s">
        <v>94</v>
      </c>
      <c r="AB880" t="s">
        <v>39</v>
      </c>
      <c r="AC880" t="s">
        <v>51</v>
      </c>
      <c r="AD880" t="s">
        <v>45</v>
      </c>
      <c r="AE880" s="1">
        <v>31714</v>
      </c>
      <c r="AF880">
        <v>1</v>
      </c>
      <c r="AG880" t="s">
        <v>94</v>
      </c>
      <c r="AH880" s="36">
        <f t="shared" si="13"/>
        <v>32.619444444444447</v>
      </c>
      <c r="AI880" s="40" t="s">
        <v>1778</v>
      </c>
    </row>
    <row r="881" spans="1:35" x14ac:dyDescent="0.25">
      <c r="A881" s="36">
        <v>99910879</v>
      </c>
      <c r="B881" s="17" t="s">
        <v>32</v>
      </c>
      <c r="C881" t="s">
        <v>90</v>
      </c>
      <c r="D881" t="s">
        <v>91</v>
      </c>
      <c r="G881" s="17" t="s">
        <v>35</v>
      </c>
      <c r="H881" s="17">
        <v>3</v>
      </c>
      <c r="I881" t="s">
        <v>1684</v>
      </c>
      <c r="J881" s="1">
        <v>43363</v>
      </c>
      <c r="K881" t="s">
        <v>1619</v>
      </c>
      <c r="L881" t="s">
        <v>1620</v>
      </c>
      <c r="M881" t="s">
        <v>1592</v>
      </c>
      <c r="N881">
        <v>25</v>
      </c>
      <c r="O881" t="s">
        <v>40</v>
      </c>
      <c r="P881" t="s">
        <v>40</v>
      </c>
      <c r="Q881" t="s">
        <v>40</v>
      </c>
      <c r="R881" t="s">
        <v>40</v>
      </c>
      <c r="S881" t="s">
        <v>40</v>
      </c>
      <c r="U881" s="1">
        <v>43363</v>
      </c>
      <c r="V881" t="s">
        <v>41</v>
      </c>
      <c r="W881" t="s">
        <v>95</v>
      </c>
      <c r="X881" t="str">
        <f>"7281001"</f>
        <v>7281001</v>
      </c>
      <c r="Y881" t="s">
        <v>1672</v>
      </c>
      <c r="Z881" t="s">
        <v>1619</v>
      </c>
      <c r="AA881" t="s">
        <v>1620</v>
      </c>
      <c r="AB881" t="s">
        <v>1592</v>
      </c>
      <c r="AC881" t="s">
        <v>44</v>
      </c>
      <c r="AD881" t="s">
        <v>45</v>
      </c>
      <c r="AE881" s="1">
        <v>31707</v>
      </c>
      <c r="AF881">
        <v>1</v>
      </c>
      <c r="AG881" t="s">
        <v>1620</v>
      </c>
      <c r="AH881" s="36">
        <f t="shared" si="13"/>
        <v>32.638888888888886</v>
      </c>
      <c r="AI881" s="40" t="s">
        <v>1778</v>
      </c>
    </row>
    <row r="882" spans="1:35" x14ac:dyDescent="0.25">
      <c r="A882" s="36">
        <v>99910880</v>
      </c>
      <c r="B882" s="17" t="s">
        <v>32</v>
      </c>
      <c r="C882" t="s">
        <v>90</v>
      </c>
      <c r="D882" t="s">
        <v>91</v>
      </c>
      <c r="G882" s="17" t="s">
        <v>35</v>
      </c>
      <c r="H882" s="17">
        <v>1</v>
      </c>
      <c r="I882">
        <v>11592</v>
      </c>
      <c r="J882" s="1">
        <v>43344</v>
      </c>
      <c r="K882" t="s">
        <v>354</v>
      </c>
      <c r="L882" t="s">
        <v>355</v>
      </c>
      <c r="M882" t="s">
        <v>131</v>
      </c>
      <c r="N882">
        <v>25</v>
      </c>
      <c r="O882" t="s">
        <v>40</v>
      </c>
      <c r="P882" t="s">
        <v>40</v>
      </c>
      <c r="Q882" t="s">
        <v>40</v>
      </c>
      <c r="R882" t="s">
        <v>40</v>
      </c>
      <c r="S882" t="s">
        <v>40</v>
      </c>
      <c r="U882" s="1">
        <v>43344</v>
      </c>
      <c r="V882" t="s">
        <v>41</v>
      </c>
      <c r="W882" t="s">
        <v>95</v>
      </c>
      <c r="X882" t="str">
        <f>"7054183"</f>
        <v>7054183</v>
      </c>
      <c r="Y882" t="s">
        <v>852</v>
      </c>
      <c r="Z882" t="s">
        <v>354</v>
      </c>
      <c r="AA882" t="s">
        <v>355</v>
      </c>
      <c r="AB882" t="s">
        <v>131</v>
      </c>
      <c r="AC882" t="s">
        <v>44</v>
      </c>
      <c r="AD882" t="s">
        <v>45</v>
      </c>
      <c r="AE882" s="1">
        <v>31705</v>
      </c>
      <c r="AF882">
        <v>1</v>
      </c>
      <c r="AG882" t="s">
        <v>355</v>
      </c>
      <c r="AH882" s="36">
        <f t="shared" si="13"/>
        <v>32.644444444444446</v>
      </c>
      <c r="AI882" s="40" t="s">
        <v>1778</v>
      </c>
    </row>
    <row r="883" spans="1:35" x14ac:dyDescent="0.25">
      <c r="A883" s="36">
        <v>99910881</v>
      </c>
      <c r="B883" s="17" t="s">
        <v>32</v>
      </c>
      <c r="C883" t="s">
        <v>90</v>
      </c>
      <c r="D883" t="s">
        <v>91</v>
      </c>
      <c r="G883" s="17" t="s">
        <v>48</v>
      </c>
      <c r="H883" s="17">
        <v>1</v>
      </c>
      <c r="K883" t="s">
        <v>1081</v>
      </c>
      <c r="L883" t="s">
        <v>1082</v>
      </c>
      <c r="M883" t="s">
        <v>1053</v>
      </c>
      <c r="N883">
        <v>25</v>
      </c>
      <c r="O883" t="s">
        <v>40</v>
      </c>
      <c r="P883" t="s">
        <v>40</v>
      </c>
      <c r="Q883" t="s">
        <v>40</v>
      </c>
      <c r="R883" t="s">
        <v>40</v>
      </c>
      <c r="S883" t="s">
        <v>40</v>
      </c>
      <c r="V883" t="s">
        <v>41</v>
      </c>
      <c r="W883" t="s">
        <v>95</v>
      </c>
      <c r="X883" t="str">
        <f>"7201009"</f>
        <v>7201009</v>
      </c>
      <c r="Y883" t="s">
        <v>1085</v>
      </c>
      <c r="Z883" t="s">
        <v>1081</v>
      </c>
      <c r="AA883" t="s">
        <v>1082</v>
      </c>
      <c r="AB883" t="s">
        <v>1053</v>
      </c>
      <c r="AC883" t="s">
        <v>51</v>
      </c>
      <c r="AD883" t="s">
        <v>45</v>
      </c>
      <c r="AE883" s="1">
        <v>31700</v>
      </c>
      <c r="AF883">
        <v>1</v>
      </c>
      <c r="AG883" t="s">
        <v>1082</v>
      </c>
      <c r="AH883" s="36">
        <f t="shared" si="13"/>
        <v>32.658333333333331</v>
      </c>
      <c r="AI883" s="40" t="s">
        <v>1778</v>
      </c>
    </row>
    <row r="884" spans="1:35" x14ac:dyDescent="0.25">
      <c r="A884" s="36">
        <v>99910882</v>
      </c>
      <c r="B884" s="17" t="s">
        <v>32</v>
      </c>
      <c r="C884" t="s">
        <v>111</v>
      </c>
      <c r="D884" t="s">
        <v>112</v>
      </c>
      <c r="G884" s="17" t="s">
        <v>35</v>
      </c>
      <c r="H884" s="17">
        <v>1</v>
      </c>
      <c r="I884">
        <v>7164</v>
      </c>
      <c r="J884" s="1">
        <v>43369</v>
      </c>
      <c r="K884" t="s">
        <v>1198</v>
      </c>
      <c r="L884" t="s">
        <v>1199</v>
      </c>
      <c r="M884" t="s">
        <v>1130</v>
      </c>
      <c r="N884">
        <v>24</v>
      </c>
      <c r="O884" t="s">
        <v>40</v>
      </c>
      <c r="S884" t="s">
        <v>40</v>
      </c>
      <c r="U884" s="1">
        <v>43369</v>
      </c>
      <c r="V884" t="s">
        <v>41</v>
      </c>
      <c r="W884" t="s">
        <v>75</v>
      </c>
      <c r="X884" t="str">
        <f>"7311002"</f>
        <v>7311002</v>
      </c>
      <c r="Y884" t="s">
        <v>1203</v>
      </c>
      <c r="Z884" t="s">
        <v>1198</v>
      </c>
      <c r="AA884" t="s">
        <v>1199</v>
      </c>
      <c r="AB884" t="s">
        <v>1130</v>
      </c>
      <c r="AC884" t="s">
        <v>55</v>
      </c>
      <c r="AD884" t="s">
        <v>45</v>
      </c>
      <c r="AE884" s="1">
        <v>31696</v>
      </c>
      <c r="AF884">
        <v>1</v>
      </c>
      <c r="AG884" t="s">
        <v>1199</v>
      </c>
      <c r="AH884" s="36">
        <f t="shared" si="13"/>
        <v>32.669444444444444</v>
      </c>
      <c r="AI884" s="40" t="s">
        <v>1778</v>
      </c>
    </row>
    <row r="885" spans="1:35" x14ac:dyDescent="0.25">
      <c r="A885" s="36">
        <v>99910883</v>
      </c>
      <c r="B885" s="17" t="s">
        <v>56</v>
      </c>
      <c r="C885" t="s">
        <v>46</v>
      </c>
      <c r="D885" t="s">
        <v>47</v>
      </c>
      <c r="G885" s="17" t="s">
        <v>48</v>
      </c>
      <c r="H885" s="17">
        <v>4</v>
      </c>
      <c r="K885" t="s">
        <v>345</v>
      </c>
      <c r="L885" t="s">
        <v>346</v>
      </c>
      <c r="M885" t="s">
        <v>131</v>
      </c>
      <c r="N885">
        <v>21</v>
      </c>
      <c r="O885" t="s">
        <v>40</v>
      </c>
      <c r="P885" t="s">
        <v>40</v>
      </c>
      <c r="Q885" t="s">
        <v>40</v>
      </c>
      <c r="R885" t="s">
        <v>40</v>
      </c>
      <c r="S885" t="s">
        <v>40</v>
      </c>
      <c r="V885" t="s">
        <v>41</v>
      </c>
      <c r="W885" t="s">
        <v>49</v>
      </c>
      <c r="X885" t="str">
        <f>"0591906"</f>
        <v>0591906</v>
      </c>
      <c r="Y885" t="s">
        <v>350</v>
      </c>
      <c r="Z885" t="s">
        <v>345</v>
      </c>
      <c r="AA885" t="s">
        <v>346</v>
      </c>
      <c r="AB885" t="s">
        <v>131</v>
      </c>
      <c r="AC885" t="s">
        <v>51</v>
      </c>
      <c r="AD885" t="s">
        <v>45</v>
      </c>
      <c r="AE885" s="1">
        <v>31693</v>
      </c>
      <c r="AF885">
        <v>2</v>
      </c>
      <c r="AG885" t="s">
        <v>346</v>
      </c>
      <c r="AH885" s="36">
        <f t="shared" si="13"/>
        <v>32.677777777777777</v>
      </c>
      <c r="AI885" s="40" t="s">
        <v>1778</v>
      </c>
    </row>
    <row r="886" spans="1:35" x14ac:dyDescent="0.25">
      <c r="A886" s="36">
        <v>99910884</v>
      </c>
      <c r="B886" s="17" t="s">
        <v>32</v>
      </c>
      <c r="C886" t="s">
        <v>90</v>
      </c>
      <c r="D886" t="s">
        <v>91</v>
      </c>
      <c r="G886" s="17" t="s">
        <v>35</v>
      </c>
      <c r="H886" s="17">
        <v>1</v>
      </c>
      <c r="I886">
        <v>941</v>
      </c>
      <c r="J886" s="1">
        <v>43344</v>
      </c>
      <c r="K886" t="s">
        <v>1198</v>
      </c>
      <c r="L886" t="s">
        <v>1199</v>
      </c>
      <c r="M886" t="s">
        <v>1130</v>
      </c>
      <c r="N886">
        <v>24</v>
      </c>
      <c r="O886" t="s">
        <v>40</v>
      </c>
      <c r="S886" t="s">
        <v>40</v>
      </c>
      <c r="U886" s="1">
        <v>43344</v>
      </c>
      <c r="V886" t="s">
        <v>41</v>
      </c>
      <c r="W886" t="s">
        <v>75</v>
      </c>
      <c r="X886" t="str">
        <f>"7311002"</f>
        <v>7311002</v>
      </c>
      <c r="Y886" t="s">
        <v>1203</v>
      </c>
      <c r="Z886" t="s">
        <v>1198</v>
      </c>
      <c r="AA886" t="s">
        <v>1199</v>
      </c>
      <c r="AB886" t="s">
        <v>1130</v>
      </c>
      <c r="AC886" t="s">
        <v>51</v>
      </c>
      <c r="AD886" t="s">
        <v>45</v>
      </c>
      <c r="AE886" s="1">
        <v>31693</v>
      </c>
      <c r="AF886">
        <v>1</v>
      </c>
      <c r="AG886" t="s">
        <v>1199</v>
      </c>
      <c r="AH886" s="36">
        <f t="shared" si="13"/>
        <v>32.677777777777777</v>
      </c>
      <c r="AI886" s="40" t="s">
        <v>1778</v>
      </c>
    </row>
    <row r="887" spans="1:35" x14ac:dyDescent="0.25">
      <c r="A887" s="36">
        <v>99910885</v>
      </c>
      <c r="B887" s="17" t="s">
        <v>32</v>
      </c>
      <c r="C887" t="s">
        <v>111</v>
      </c>
      <c r="D887" t="s">
        <v>112</v>
      </c>
      <c r="G887" s="17" t="s">
        <v>35</v>
      </c>
      <c r="H887" s="17">
        <v>1</v>
      </c>
      <c r="K887" t="s">
        <v>963</v>
      </c>
      <c r="L887" t="s">
        <v>964</v>
      </c>
      <c r="M887" t="s">
        <v>938</v>
      </c>
      <c r="N887">
        <v>24</v>
      </c>
      <c r="O887" t="s">
        <v>40</v>
      </c>
      <c r="P887" t="s">
        <v>40</v>
      </c>
      <c r="Q887" t="s">
        <v>40</v>
      </c>
      <c r="S887" t="s">
        <v>40</v>
      </c>
      <c r="V887" t="s">
        <v>41</v>
      </c>
      <c r="W887" t="s">
        <v>75</v>
      </c>
      <c r="X887" t="str">
        <f>"7061000"</f>
        <v>7061000</v>
      </c>
      <c r="Y887" t="s">
        <v>962</v>
      </c>
      <c r="Z887" t="s">
        <v>963</v>
      </c>
      <c r="AA887" t="s">
        <v>964</v>
      </c>
      <c r="AB887" t="s">
        <v>938</v>
      </c>
      <c r="AC887" t="s">
        <v>165</v>
      </c>
      <c r="AD887" t="s">
        <v>45</v>
      </c>
      <c r="AE887" s="1">
        <v>31692</v>
      </c>
      <c r="AF887">
        <v>1</v>
      </c>
      <c r="AG887" t="s">
        <v>964</v>
      </c>
      <c r="AH887" s="36">
        <f t="shared" si="13"/>
        <v>32.680555555555557</v>
      </c>
      <c r="AI887" s="40" t="s">
        <v>1778</v>
      </c>
    </row>
    <row r="888" spans="1:35" x14ac:dyDescent="0.25">
      <c r="A888" s="36">
        <v>99910886</v>
      </c>
      <c r="B888" s="17" t="s">
        <v>32</v>
      </c>
      <c r="C888" t="s">
        <v>111</v>
      </c>
      <c r="D888" t="s">
        <v>112</v>
      </c>
      <c r="G888" s="17" t="s">
        <v>48</v>
      </c>
      <c r="H888" s="17">
        <v>1</v>
      </c>
      <c r="K888" t="s">
        <v>268</v>
      </c>
      <c r="L888" t="s">
        <v>269</v>
      </c>
      <c r="M888" t="s">
        <v>131</v>
      </c>
      <c r="N888">
        <v>24</v>
      </c>
      <c r="O888" t="s">
        <v>40</v>
      </c>
      <c r="P888" t="s">
        <v>40</v>
      </c>
      <c r="Q888" t="s">
        <v>40</v>
      </c>
      <c r="S888" t="s">
        <v>40</v>
      </c>
      <c r="V888" t="s">
        <v>41</v>
      </c>
      <c r="W888" t="s">
        <v>75</v>
      </c>
      <c r="X888" t="str">
        <f>"7052042"</f>
        <v>7052042</v>
      </c>
      <c r="Y888" t="s">
        <v>583</v>
      </c>
      <c r="Z888" t="s">
        <v>268</v>
      </c>
      <c r="AA888" t="s">
        <v>269</v>
      </c>
      <c r="AB888" t="s">
        <v>131</v>
      </c>
      <c r="AC888" t="s">
        <v>51</v>
      </c>
      <c r="AD888" t="s">
        <v>45</v>
      </c>
      <c r="AE888" s="1">
        <v>31686</v>
      </c>
      <c r="AF888">
        <v>1</v>
      </c>
      <c r="AG888" t="s">
        <v>269</v>
      </c>
      <c r="AH888" s="36">
        <f t="shared" si="13"/>
        <v>32.697222222222223</v>
      </c>
      <c r="AI888" s="40" t="s">
        <v>1778</v>
      </c>
    </row>
    <row r="889" spans="1:35" x14ac:dyDescent="0.25">
      <c r="A889" s="36">
        <v>99910887</v>
      </c>
      <c r="B889" s="17" t="s">
        <v>32</v>
      </c>
      <c r="C889" t="s">
        <v>90</v>
      </c>
      <c r="D889" t="s">
        <v>91</v>
      </c>
      <c r="G889" s="17" t="s">
        <v>48</v>
      </c>
      <c r="H889" s="17">
        <v>1</v>
      </c>
      <c r="K889" t="s">
        <v>1708</v>
      </c>
      <c r="L889" t="s">
        <v>1709</v>
      </c>
      <c r="M889" t="s">
        <v>1705</v>
      </c>
      <c r="N889">
        <v>25</v>
      </c>
      <c r="O889" t="s">
        <v>40</v>
      </c>
      <c r="P889" t="s">
        <v>40</v>
      </c>
      <c r="Q889" t="s">
        <v>40</v>
      </c>
      <c r="S889" t="s">
        <v>40</v>
      </c>
      <c r="V889" t="s">
        <v>41</v>
      </c>
      <c r="W889" t="s">
        <v>95</v>
      </c>
      <c r="X889" t="str">
        <f>"7121003"</f>
        <v>7121003</v>
      </c>
      <c r="Y889" t="s">
        <v>1718</v>
      </c>
      <c r="Z889" t="s">
        <v>1708</v>
      </c>
      <c r="AA889" t="s">
        <v>1709</v>
      </c>
      <c r="AB889" t="s">
        <v>1705</v>
      </c>
      <c r="AC889" t="s">
        <v>51</v>
      </c>
      <c r="AD889" t="s">
        <v>45</v>
      </c>
      <c r="AE889" s="1">
        <v>31672</v>
      </c>
      <c r="AF889">
        <v>1</v>
      </c>
      <c r="AG889" t="s">
        <v>1709</v>
      </c>
      <c r="AH889" s="36">
        <f t="shared" si="13"/>
        <v>32.736111111111114</v>
      </c>
      <c r="AI889" s="40" t="s">
        <v>1778</v>
      </c>
    </row>
    <row r="890" spans="1:35" x14ac:dyDescent="0.25">
      <c r="A890" s="36">
        <v>99910888</v>
      </c>
      <c r="B890" s="17" t="s">
        <v>32</v>
      </c>
      <c r="C890" t="s">
        <v>90</v>
      </c>
      <c r="D890" t="s">
        <v>91</v>
      </c>
      <c r="G890" s="17" t="s">
        <v>48</v>
      </c>
      <c r="H890" s="17">
        <v>1</v>
      </c>
      <c r="K890" t="s">
        <v>1708</v>
      </c>
      <c r="L890" t="s">
        <v>1709</v>
      </c>
      <c r="M890" t="s">
        <v>1705</v>
      </c>
      <c r="N890">
        <v>25</v>
      </c>
      <c r="O890" t="s">
        <v>40</v>
      </c>
      <c r="P890" t="s">
        <v>40</v>
      </c>
      <c r="Q890" t="s">
        <v>40</v>
      </c>
      <c r="S890" t="s">
        <v>40</v>
      </c>
      <c r="V890" t="s">
        <v>41</v>
      </c>
      <c r="W890" t="s">
        <v>95</v>
      </c>
      <c r="X890" t="str">
        <f>"7121015"</f>
        <v>7121015</v>
      </c>
      <c r="Y890" t="s">
        <v>1722</v>
      </c>
      <c r="Z890" t="s">
        <v>1708</v>
      </c>
      <c r="AA890" t="s">
        <v>1709</v>
      </c>
      <c r="AB890" t="s">
        <v>1705</v>
      </c>
      <c r="AC890" t="s">
        <v>51</v>
      </c>
      <c r="AD890" t="s">
        <v>45</v>
      </c>
      <c r="AE890" s="1">
        <v>31671</v>
      </c>
      <c r="AF890">
        <v>1</v>
      </c>
      <c r="AG890" t="s">
        <v>1709</v>
      </c>
      <c r="AH890" s="36">
        <f t="shared" si="13"/>
        <v>32.738888888888887</v>
      </c>
      <c r="AI890" s="40" t="s">
        <v>1778</v>
      </c>
    </row>
    <row r="891" spans="1:35" x14ac:dyDescent="0.25">
      <c r="A891" s="36">
        <v>99910889</v>
      </c>
      <c r="B891" s="17" t="s">
        <v>32</v>
      </c>
      <c r="C891" t="s">
        <v>46</v>
      </c>
      <c r="D891" t="s">
        <v>47</v>
      </c>
      <c r="G891" s="17" t="s">
        <v>48</v>
      </c>
      <c r="H891" s="17">
        <v>1</v>
      </c>
      <c r="K891" t="s">
        <v>300</v>
      </c>
      <c r="L891" t="s">
        <v>301</v>
      </c>
      <c r="M891" t="s">
        <v>131</v>
      </c>
      <c r="N891">
        <v>2</v>
      </c>
      <c r="O891" t="s">
        <v>40</v>
      </c>
      <c r="P891" t="s">
        <v>40</v>
      </c>
      <c r="Q891" t="s">
        <v>40</v>
      </c>
      <c r="R891" t="s">
        <v>40</v>
      </c>
      <c r="S891" t="s">
        <v>40</v>
      </c>
      <c r="V891" t="s">
        <v>41</v>
      </c>
      <c r="W891" t="s">
        <v>49</v>
      </c>
      <c r="X891" t="str">
        <f>"0560029"</f>
        <v>0560029</v>
      </c>
      <c r="Y891" t="s">
        <v>309</v>
      </c>
      <c r="Z891" t="s">
        <v>300</v>
      </c>
      <c r="AA891" t="s">
        <v>301</v>
      </c>
      <c r="AB891" t="s">
        <v>131</v>
      </c>
      <c r="AC891" t="s">
        <v>51</v>
      </c>
      <c r="AD891" t="s">
        <v>45</v>
      </c>
      <c r="AE891" s="1">
        <v>31664</v>
      </c>
      <c r="AF891">
        <v>2</v>
      </c>
      <c r="AG891" t="s">
        <v>301</v>
      </c>
      <c r="AH891" s="36">
        <f t="shared" si="13"/>
        <v>32.758333333333333</v>
      </c>
      <c r="AI891" s="40" t="s">
        <v>1778</v>
      </c>
    </row>
    <row r="892" spans="1:35" x14ac:dyDescent="0.25">
      <c r="A892" s="36">
        <v>99910890</v>
      </c>
      <c r="B892" s="17" t="s">
        <v>32</v>
      </c>
      <c r="C892" t="s">
        <v>64</v>
      </c>
      <c r="D892" t="s">
        <v>65</v>
      </c>
      <c r="G892" s="17" t="s">
        <v>48</v>
      </c>
      <c r="H892" s="17">
        <v>1</v>
      </c>
      <c r="K892" t="s">
        <v>154</v>
      </c>
      <c r="L892" t="s">
        <v>155</v>
      </c>
      <c r="M892" t="s">
        <v>131</v>
      </c>
      <c r="N892">
        <v>24</v>
      </c>
      <c r="O892" t="s">
        <v>40</v>
      </c>
      <c r="P892" t="s">
        <v>40</v>
      </c>
      <c r="Q892" t="s">
        <v>40</v>
      </c>
      <c r="S892" t="s">
        <v>40</v>
      </c>
      <c r="V892" t="s">
        <v>41</v>
      </c>
      <c r="W892" t="s">
        <v>75</v>
      </c>
      <c r="X892" t="str">
        <f>"7051018"</f>
        <v>7051018</v>
      </c>
      <c r="Y892" t="s">
        <v>401</v>
      </c>
      <c r="Z892" t="s">
        <v>154</v>
      </c>
      <c r="AA892" t="s">
        <v>155</v>
      </c>
      <c r="AB892" t="s">
        <v>131</v>
      </c>
      <c r="AC892" t="s">
        <v>51</v>
      </c>
      <c r="AD892" t="s">
        <v>45</v>
      </c>
      <c r="AE892" s="1">
        <v>31663</v>
      </c>
      <c r="AF892">
        <v>1</v>
      </c>
      <c r="AG892" t="s">
        <v>155</v>
      </c>
      <c r="AH892" s="36">
        <f t="shared" si="13"/>
        <v>32.761111111111113</v>
      </c>
      <c r="AI892" s="40" t="s">
        <v>1778</v>
      </c>
    </row>
    <row r="893" spans="1:35" x14ac:dyDescent="0.25">
      <c r="A893" s="36">
        <v>99910891</v>
      </c>
      <c r="B893" s="17" t="s">
        <v>56</v>
      </c>
      <c r="C893" t="s">
        <v>46</v>
      </c>
      <c r="D893" t="s">
        <v>47</v>
      </c>
      <c r="G893" s="17" t="s">
        <v>35</v>
      </c>
      <c r="H893" s="17">
        <v>1</v>
      </c>
      <c r="I893">
        <v>0</v>
      </c>
      <c r="J893" s="1">
        <v>43344</v>
      </c>
      <c r="K893" t="s">
        <v>223</v>
      </c>
      <c r="L893" t="s">
        <v>224</v>
      </c>
      <c r="M893" t="s">
        <v>131</v>
      </c>
      <c r="N893">
        <v>23</v>
      </c>
      <c r="O893" t="s">
        <v>40</v>
      </c>
      <c r="P893" t="s">
        <v>40</v>
      </c>
      <c r="Q893" t="s">
        <v>40</v>
      </c>
      <c r="S893" t="s">
        <v>40</v>
      </c>
      <c r="U893" s="1">
        <v>43344</v>
      </c>
      <c r="V893" t="s">
        <v>41</v>
      </c>
      <c r="W893" t="s">
        <v>49</v>
      </c>
      <c r="X893" t="str">
        <f>"0581207"</f>
        <v>0581207</v>
      </c>
      <c r="Y893" t="s">
        <v>233</v>
      </c>
      <c r="Z893" t="s">
        <v>223</v>
      </c>
      <c r="AA893" t="s">
        <v>224</v>
      </c>
      <c r="AB893" t="s">
        <v>131</v>
      </c>
      <c r="AC893" t="s">
        <v>44</v>
      </c>
      <c r="AD893" t="s">
        <v>45</v>
      </c>
      <c r="AE893" s="1">
        <v>31660</v>
      </c>
      <c r="AF893">
        <v>2</v>
      </c>
      <c r="AG893" t="s">
        <v>224</v>
      </c>
      <c r="AH893" s="36">
        <f t="shared" si="13"/>
        <v>32.769444444444446</v>
      </c>
      <c r="AI893" s="40" t="s">
        <v>1778</v>
      </c>
    </row>
    <row r="894" spans="1:35" x14ac:dyDescent="0.25">
      <c r="A894" s="36">
        <v>99910892</v>
      </c>
      <c r="B894" s="17" t="s">
        <v>32</v>
      </c>
      <c r="C894" t="s">
        <v>111</v>
      </c>
      <c r="D894" t="s">
        <v>112</v>
      </c>
      <c r="G894" s="17" t="s">
        <v>35</v>
      </c>
      <c r="H894" s="17">
        <v>1</v>
      </c>
      <c r="I894" t="s">
        <v>1441</v>
      </c>
      <c r="J894" s="1">
        <v>43346</v>
      </c>
      <c r="K894" t="s">
        <v>1426</v>
      </c>
      <c r="L894" t="s">
        <v>1427</v>
      </c>
      <c r="M894" t="s">
        <v>1270</v>
      </c>
      <c r="N894">
        <v>24</v>
      </c>
      <c r="O894" t="s">
        <v>40</v>
      </c>
      <c r="P894" t="s">
        <v>40</v>
      </c>
      <c r="Q894" t="s">
        <v>40</v>
      </c>
      <c r="S894" t="s">
        <v>40</v>
      </c>
      <c r="U894" s="1">
        <v>43346</v>
      </c>
      <c r="V894" t="s">
        <v>41</v>
      </c>
      <c r="W894" t="s">
        <v>75</v>
      </c>
      <c r="X894" t="str">
        <f>"7192004"</f>
        <v>7192004</v>
      </c>
      <c r="Y894" t="s">
        <v>1428</v>
      </c>
      <c r="Z894" t="s">
        <v>1426</v>
      </c>
      <c r="AA894" t="s">
        <v>1427</v>
      </c>
      <c r="AB894" t="s">
        <v>1270</v>
      </c>
      <c r="AC894" t="s">
        <v>44</v>
      </c>
      <c r="AD894" t="s">
        <v>45</v>
      </c>
      <c r="AE894" s="1">
        <v>31657</v>
      </c>
      <c r="AF894">
        <v>1</v>
      </c>
      <c r="AG894" t="s">
        <v>1427</v>
      </c>
      <c r="AH894" s="36">
        <f t="shared" si="13"/>
        <v>32.777777777777779</v>
      </c>
      <c r="AI894" s="40" t="s">
        <v>1778</v>
      </c>
    </row>
    <row r="895" spans="1:35" x14ac:dyDescent="0.25">
      <c r="A895" s="36">
        <v>99910893</v>
      </c>
      <c r="B895" s="17" t="s">
        <v>56</v>
      </c>
      <c r="C895" t="s">
        <v>90</v>
      </c>
      <c r="D895" t="s">
        <v>91</v>
      </c>
      <c r="G895" s="17" t="s">
        <v>35</v>
      </c>
      <c r="H895" s="17">
        <v>1</v>
      </c>
      <c r="K895" t="s">
        <v>963</v>
      </c>
      <c r="L895" t="s">
        <v>964</v>
      </c>
      <c r="M895" t="s">
        <v>938</v>
      </c>
      <c r="N895">
        <v>25</v>
      </c>
      <c r="O895" t="s">
        <v>40</v>
      </c>
      <c r="P895" t="s">
        <v>40</v>
      </c>
      <c r="Q895" t="s">
        <v>40</v>
      </c>
      <c r="S895" t="s">
        <v>40</v>
      </c>
      <c r="V895" t="s">
        <v>41</v>
      </c>
      <c r="W895" t="s">
        <v>95</v>
      </c>
      <c r="X895" t="str">
        <f>"7061025"</f>
        <v>7061025</v>
      </c>
      <c r="Y895" t="s">
        <v>1024</v>
      </c>
      <c r="Z895" t="s">
        <v>963</v>
      </c>
      <c r="AA895" t="s">
        <v>964</v>
      </c>
      <c r="AB895" t="s">
        <v>938</v>
      </c>
      <c r="AC895" t="s">
        <v>165</v>
      </c>
      <c r="AD895" t="s">
        <v>45</v>
      </c>
      <c r="AE895" s="1">
        <v>31654</v>
      </c>
      <c r="AF895">
        <v>1</v>
      </c>
      <c r="AG895" t="s">
        <v>964</v>
      </c>
      <c r="AH895" s="36">
        <f t="shared" si="13"/>
        <v>32.786111111111111</v>
      </c>
      <c r="AI895" s="40" t="s">
        <v>1778</v>
      </c>
    </row>
    <row r="896" spans="1:35" x14ac:dyDescent="0.25">
      <c r="A896" s="36">
        <v>99910894</v>
      </c>
      <c r="B896" s="17" t="s">
        <v>32</v>
      </c>
      <c r="C896" t="s">
        <v>64</v>
      </c>
      <c r="D896" t="s">
        <v>65</v>
      </c>
      <c r="G896" s="17" t="s">
        <v>48</v>
      </c>
      <c r="H896" s="17">
        <v>1</v>
      </c>
      <c r="K896" t="s">
        <v>162</v>
      </c>
      <c r="L896" t="s">
        <v>158</v>
      </c>
      <c r="M896" t="s">
        <v>131</v>
      </c>
      <c r="N896">
        <v>9</v>
      </c>
      <c r="O896" t="s">
        <v>40</v>
      </c>
      <c r="P896" t="s">
        <v>40</v>
      </c>
      <c r="Q896" t="s">
        <v>40</v>
      </c>
      <c r="S896" t="s">
        <v>40</v>
      </c>
      <c r="V896" t="s">
        <v>41</v>
      </c>
      <c r="W896" t="s">
        <v>49</v>
      </c>
      <c r="X896" t="str">
        <f>"0581350"</f>
        <v>0581350</v>
      </c>
      <c r="Y896" t="s">
        <v>187</v>
      </c>
      <c r="Z896" t="s">
        <v>162</v>
      </c>
      <c r="AA896" t="s">
        <v>158</v>
      </c>
      <c r="AB896" t="s">
        <v>131</v>
      </c>
      <c r="AC896" t="s">
        <v>51</v>
      </c>
      <c r="AD896" t="s">
        <v>45</v>
      </c>
      <c r="AE896" s="1">
        <v>31653</v>
      </c>
      <c r="AF896">
        <v>2</v>
      </c>
      <c r="AG896" t="s">
        <v>158</v>
      </c>
      <c r="AH896" s="36">
        <f t="shared" si="13"/>
        <v>32.788888888888891</v>
      </c>
      <c r="AI896" s="40" t="s">
        <v>1778</v>
      </c>
    </row>
    <row r="897" spans="1:35" x14ac:dyDescent="0.25">
      <c r="A897" s="36">
        <v>99910895</v>
      </c>
      <c r="B897" s="17" t="s">
        <v>32</v>
      </c>
      <c r="C897" t="s">
        <v>61</v>
      </c>
      <c r="D897" t="s">
        <v>62</v>
      </c>
      <c r="G897" s="17" t="s">
        <v>35</v>
      </c>
      <c r="H897" s="17">
        <v>1</v>
      </c>
      <c r="I897" t="s">
        <v>1185</v>
      </c>
      <c r="J897" s="1">
        <v>43118</v>
      </c>
      <c r="K897" t="s">
        <v>1171</v>
      </c>
      <c r="L897" t="s">
        <v>1172</v>
      </c>
      <c r="M897" t="s">
        <v>1130</v>
      </c>
      <c r="N897">
        <v>11</v>
      </c>
      <c r="O897" t="s">
        <v>40</v>
      </c>
      <c r="S897" t="s">
        <v>40</v>
      </c>
      <c r="U897" s="1">
        <v>43118</v>
      </c>
      <c r="V897" t="s">
        <v>41</v>
      </c>
      <c r="W897" t="s">
        <v>42</v>
      </c>
      <c r="X897" t="str">
        <f>"3561001"</f>
        <v>3561001</v>
      </c>
      <c r="Y897" t="s">
        <v>1173</v>
      </c>
      <c r="Z897" t="s">
        <v>1171</v>
      </c>
      <c r="AA897" t="s">
        <v>1172</v>
      </c>
      <c r="AB897" t="s">
        <v>1130</v>
      </c>
      <c r="AC897" t="s">
        <v>44</v>
      </c>
      <c r="AD897" t="s">
        <v>45</v>
      </c>
      <c r="AE897" s="1">
        <v>31653</v>
      </c>
      <c r="AF897">
        <v>2</v>
      </c>
      <c r="AG897" t="s">
        <v>1172</v>
      </c>
      <c r="AH897" s="36">
        <f t="shared" si="13"/>
        <v>32.788888888888891</v>
      </c>
      <c r="AI897" s="40" t="s">
        <v>1778</v>
      </c>
    </row>
    <row r="898" spans="1:35" x14ac:dyDescent="0.25">
      <c r="A898" s="36">
        <v>99910896</v>
      </c>
      <c r="B898" s="17" t="s">
        <v>32</v>
      </c>
      <c r="C898" t="s">
        <v>111</v>
      </c>
      <c r="D898" t="s">
        <v>112</v>
      </c>
      <c r="G898" s="17" t="s">
        <v>35</v>
      </c>
      <c r="H898" s="17">
        <v>1</v>
      </c>
      <c r="K898" t="s">
        <v>154</v>
      </c>
      <c r="L898" t="s">
        <v>155</v>
      </c>
      <c r="M898" t="s">
        <v>131</v>
      </c>
      <c r="N898">
        <v>24</v>
      </c>
      <c r="O898" t="s">
        <v>40</v>
      </c>
      <c r="P898" t="s">
        <v>40</v>
      </c>
      <c r="Q898" t="s">
        <v>40</v>
      </c>
      <c r="S898" t="s">
        <v>40</v>
      </c>
      <c r="V898" t="s">
        <v>41</v>
      </c>
      <c r="W898" t="s">
        <v>75</v>
      </c>
      <c r="X898" t="str">
        <f>"7700026"</f>
        <v>7700026</v>
      </c>
      <c r="Y898" t="s">
        <v>397</v>
      </c>
      <c r="Z898" t="s">
        <v>154</v>
      </c>
      <c r="AA898" t="s">
        <v>155</v>
      </c>
      <c r="AB898" t="s">
        <v>131</v>
      </c>
      <c r="AC898" t="s">
        <v>51</v>
      </c>
      <c r="AD898" t="s">
        <v>45</v>
      </c>
      <c r="AE898" s="1">
        <v>31650</v>
      </c>
      <c r="AF898">
        <v>1</v>
      </c>
      <c r="AG898" t="s">
        <v>155</v>
      </c>
      <c r="AH898" s="36">
        <f t="shared" ref="AH898:AH961" si="14">($AJ$1-AE898)/360</f>
        <v>32.797222222222224</v>
      </c>
      <c r="AI898" s="40" t="s">
        <v>1778</v>
      </c>
    </row>
    <row r="899" spans="1:35" x14ac:dyDescent="0.25">
      <c r="A899" s="36">
        <v>99910897</v>
      </c>
      <c r="B899" s="17" t="s">
        <v>32</v>
      </c>
      <c r="C899" t="s">
        <v>90</v>
      </c>
      <c r="D899" t="s">
        <v>91</v>
      </c>
      <c r="G899" s="17" t="s">
        <v>48</v>
      </c>
      <c r="H899" s="17">
        <v>1</v>
      </c>
      <c r="K899" t="s">
        <v>1245</v>
      </c>
      <c r="L899" t="s">
        <v>1246</v>
      </c>
      <c r="M899" t="s">
        <v>1130</v>
      </c>
      <c r="N899">
        <v>24</v>
      </c>
      <c r="O899" t="s">
        <v>40</v>
      </c>
      <c r="P899" t="s">
        <v>40</v>
      </c>
      <c r="Q899" t="s">
        <v>40</v>
      </c>
      <c r="S899" t="s">
        <v>40</v>
      </c>
      <c r="V899" t="s">
        <v>41</v>
      </c>
      <c r="W899" t="s">
        <v>95</v>
      </c>
      <c r="X899" t="str">
        <f>"7451003"</f>
        <v>7451003</v>
      </c>
      <c r="Y899" t="s">
        <v>1257</v>
      </c>
      <c r="Z899" t="s">
        <v>1245</v>
      </c>
      <c r="AA899" t="s">
        <v>1246</v>
      </c>
      <c r="AB899" t="s">
        <v>1130</v>
      </c>
      <c r="AC899" t="s">
        <v>51</v>
      </c>
      <c r="AD899" t="s">
        <v>45</v>
      </c>
      <c r="AE899" s="1">
        <v>31640</v>
      </c>
      <c r="AF899">
        <v>1</v>
      </c>
      <c r="AG899" t="s">
        <v>1246</v>
      </c>
      <c r="AH899" s="36">
        <f t="shared" si="14"/>
        <v>32.825000000000003</v>
      </c>
      <c r="AI899" s="40" t="s">
        <v>1778</v>
      </c>
    </row>
    <row r="900" spans="1:35" x14ac:dyDescent="0.25">
      <c r="A900" s="36">
        <v>99910898</v>
      </c>
      <c r="B900" s="17" t="s">
        <v>32</v>
      </c>
      <c r="C900" t="s">
        <v>90</v>
      </c>
      <c r="D900" t="s">
        <v>91</v>
      </c>
      <c r="G900" s="17" t="s">
        <v>35</v>
      </c>
      <c r="H900" s="17">
        <v>1</v>
      </c>
      <c r="K900" t="s">
        <v>268</v>
      </c>
      <c r="L900" t="s">
        <v>269</v>
      </c>
      <c r="M900" t="s">
        <v>131</v>
      </c>
      <c r="N900">
        <v>24</v>
      </c>
      <c r="O900" t="s">
        <v>40</v>
      </c>
      <c r="P900" t="s">
        <v>40</v>
      </c>
      <c r="Q900" t="s">
        <v>40</v>
      </c>
      <c r="S900" t="s">
        <v>40</v>
      </c>
      <c r="V900" t="s">
        <v>41</v>
      </c>
      <c r="W900" t="s">
        <v>95</v>
      </c>
      <c r="X900" t="str">
        <f>"7052225"</f>
        <v>7052225</v>
      </c>
      <c r="Y900" t="s">
        <v>702</v>
      </c>
      <c r="Z900" t="s">
        <v>268</v>
      </c>
      <c r="AA900" t="s">
        <v>269</v>
      </c>
      <c r="AB900" t="s">
        <v>131</v>
      </c>
      <c r="AC900" t="s">
        <v>51</v>
      </c>
      <c r="AD900" t="s">
        <v>45</v>
      </c>
      <c r="AE900" s="1">
        <v>31637</v>
      </c>
      <c r="AF900">
        <v>1</v>
      </c>
      <c r="AG900" t="s">
        <v>269</v>
      </c>
      <c r="AH900" s="36">
        <f t="shared" si="14"/>
        <v>32.833333333333336</v>
      </c>
      <c r="AI900" s="40" t="s">
        <v>1778</v>
      </c>
    </row>
    <row r="901" spans="1:35" x14ac:dyDescent="0.25">
      <c r="A901" s="36">
        <v>99910899</v>
      </c>
      <c r="B901" s="17" t="s">
        <v>32</v>
      </c>
      <c r="C901" t="s">
        <v>61</v>
      </c>
      <c r="D901" t="s">
        <v>62</v>
      </c>
      <c r="G901" s="17" t="s">
        <v>35</v>
      </c>
      <c r="H901" s="17">
        <v>1</v>
      </c>
      <c r="I901" s="1">
        <v>42633</v>
      </c>
      <c r="J901" s="1">
        <v>43344</v>
      </c>
      <c r="K901" t="s">
        <v>1341</v>
      </c>
      <c r="L901" t="s">
        <v>1342</v>
      </c>
      <c r="M901" t="s">
        <v>1270</v>
      </c>
      <c r="N901">
        <v>18</v>
      </c>
      <c r="O901" t="s">
        <v>40</v>
      </c>
      <c r="S901" t="s">
        <v>40</v>
      </c>
      <c r="U901" s="1">
        <v>43344</v>
      </c>
      <c r="V901" t="s">
        <v>41</v>
      </c>
      <c r="W901" t="s">
        <v>75</v>
      </c>
      <c r="X901" t="str">
        <f>"7191004"</f>
        <v>7191004</v>
      </c>
      <c r="Y901" t="s">
        <v>1344</v>
      </c>
      <c r="Z901" t="s">
        <v>1341</v>
      </c>
      <c r="AA901" t="s">
        <v>1342</v>
      </c>
      <c r="AB901" t="s">
        <v>1270</v>
      </c>
      <c r="AC901" t="s">
        <v>51</v>
      </c>
      <c r="AD901" t="s">
        <v>45</v>
      </c>
      <c r="AE901" s="1">
        <v>31636</v>
      </c>
      <c r="AF901">
        <v>1</v>
      </c>
      <c r="AG901" t="s">
        <v>1342</v>
      </c>
      <c r="AH901" s="36">
        <f t="shared" si="14"/>
        <v>32.836111111111109</v>
      </c>
      <c r="AI901" s="40" t="s">
        <v>1778</v>
      </c>
    </row>
    <row r="902" spans="1:35" x14ac:dyDescent="0.25">
      <c r="A902" s="36">
        <v>99910900</v>
      </c>
      <c r="B902" s="17" t="s">
        <v>32</v>
      </c>
      <c r="C902" t="s">
        <v>111</v>
      </c>
      <c r="D902" t="s">
        <v>112</v>
      </c>
      <c r="G902" s="17" t="s">
        <v>48</v>
      </c>
      <c r="H902" s="17">
        <v>1</v>
      </c>
      <c r="I902">
        <v>653</v>
      </c>
      <c r="J902" s="1">
        <v>40043</v>
      </c>
      <c r="K902" t="s">
        <v>1341</v>
      </c>
      <c r="L902" t="s">
        <v>1342</v>
      </c>
      <c r="M902" t="s">
        <v>1270</v>
      </c>
      <c r="N902">
        <v>24</v>
      </c>
      <c r="O902" t="s">
        <v>40</v>
      </c>
      <c r="P902" t="s">
        <v>40</v>
      </c>
      <c r="Q902" t="s">
        <v>40</v>
      </c>
      <c r="R902" t="s">
        <v>40</v>
      </c>
      <c r="S902" t="s">
        <v>40</v>
      </c>
      <c r="U902" s="1">
        <v>40057</v>
      </c>
      <c r="V902" t="s">
        <v>41</v>
      </c>
      <c r="W902" t="s">
        <v>75</v>
      </c>
      <c r="X902" t="str">
        <f>"7191036"</f>
        <v>7191036</v>
      </c>
      <c r="Y902" t="s">
        <v>1348</v>
      </c>
      <c r="Z902" t="s">
        <v>1341</v>
      </c>
      <c r="AA902" t="s">
        <v>1342</v>
      </c>
      <c r="AB902" t="s">
        <v>1270</v>
      </c>
      <c r="AC902" t="s">
        <v>165</v>
      </c>
      <c r="AD902" t="s">
        <v>45</v>
      </c>
      <c r="AE902" s="1">
        <v>31633</v>
      </c>
      <c r="AF902">
        <v>1</v>
      </c>
      <c r="AG902" t="s">
        <v>1342</v>
      </c>
      <c r="AH902" s="36">
        <f t="shared" si="14"/>
        <v>32.844444444444441</v>
      </c>
      <c r="AI902" s="40" t="s">
        <v>1778</v>
      </c>
    </row>
    <row r="903" spans="1:35" x14ac:dyDescent="0.25">
      <c r="A903" s="36">
        <v>99910901</v>
      </c>
      <c r="B903" s="17" t="s">
        <v>32</v>
      </c>
      <c r="C903" t="s">
        <v>111</v>
      </c>
      <c r="D903" t="s">
        <v>112</v>
      </c>
      <c r="G903" s="17" t="s">
        <v>35</v>
      </c>
      <c r="H903" s="17">
        <v>1</v>
      </c>
      <c r="I903">
        <v>9416</v>
      </c>
      <c r="J903" s="1">
        <v>43344</v>
      </c>
      <c r="K903" t="s">
        <v>1198</v>
      </c>
      <c r="L903" t="s">
        <v>1199</v>
      </c>
      <c r="M903" t="s">
        <v>1130</v>
      </c>
      <c r="N903">
        <v>24</v>
      </c>
      <c r="O903" t="s">
        <v>40</v>
      </c>
      <c r="P903" t="s">
        <v>40</v>
      </c>
      <c r="Q903" t="s">
        <v>40</v>
      </c>
      <c r="S903" t="s">
        <v>40</v>
      </c>
      <c r="U903" s="1">
        <v>43344</v>
      </c>
      <c r="V903" t="s">
        <v>41</v>
      </c>
      <c r="W903" t="s">
        <v>75</v>
      </c>
      <c r="X903" t="str">
        <f>"7311006"</f>
        <v>7311006</v>
      </c>
      <c r="Y903" t="s">
        <v>1200</v>
      </c>
      <c r="Z903" t="s">
        <v>1198</v>
      </c>
      <c r="AA903" t="s">
        <v>1199</v>
      </c>
      <c r="AB903" t="s">
        <v>1130</v>
      </c>
      <c r="AC903" t="s">
        <v>44</v>
      </c>
      <c r="AD903" t="s">
        <v>45</v>
      </c>
      <c r="AE903" s="1">
        <v>31631</v>
      </c>
      <c r="AF903">
        <v>1</v>
      </c>
      <c r="AG903" t="s">
        <v>1199</v>
      </c>
      <c r="AH903" s="36">
        <f t="shared" si="14"/>
        <v>32.85</v>
      </c>
      <c r="AI903" s="40" t="s">
        <v>1778</v>
      </c>
    </row>
    <row r="904" spans="1:35" x14ac:dyDescent="0.25">
      <c r="A904" s="36">
        <v>99910902</v>
      </c>
      <c r="B904" s="17" t="s">
        <v>32</v>
      </c>
      <c r="C904" t="s">
        <v>111</v>
      </c>
      <c r="D904" t="s">
        <v>112</v>
      </c>
      <c r="G904" s="17" t="s">
        <v>35</v>
      </c>
      <c r="H904" s="17">
        <v>1</v>
      </c>
      <c r="I904" t="s">
        <v>696</v>
      </c>
      <c r="J904" s="1">
        <v>43344</v>
      </c>
      <c r="K904" t="s">
        <v>268</v>
      </c>
      <c r="L904" t="s">
        <v>269</v>
      </c>
      <c r="M904" t="s">
        <v>131</v>
      </c>
      <c r="N904">
        <v>24</v>
      </c>
      <c r="O904" t="s">
        <v>40</v>
      </c>
      <c r="S904" t="s">
        <v>40</v>
      </c>
      <c r="U904" s="1">
        <v>43344</v>
      </c>
      <c r="V904" t="s">
        <v>41</v>
      </c>
      <c r="W904" t="s">
        <v>75</v>
      </c>
      <c r="X904" t="str">
        <f>"7052028"</f>
        <v>7052028</v>
      </c>
      <c r="Y904" t="s">
        <v>601</v>
      </c>
      <c r="Z904" t="s">
        <v>268</v>
      </c>
      <c r="AA904" t="s">
        <v>269</v>
      </c>
      <c r="AB904" t="s">
        <v>131</v>
      </c>
      <c r="AC904" t="s">
        <v>51</v>
      </c>
      <c r="AD904" t="s">
        <v>45</v>
      </c>
      <c r="AE904" s="1">
        <v>31622</v>
      </c>
      <c r="AF904">
        <v>1</v>
      </c>
      <c r="AG904" t="s">
        <v>269</v>
      </c>
      <c r="AH904" s="36">
        <f t="shared" si="14"/>
        <v>32.875</v>
      </c>
      <c r="AI904" s="40" t="s">
        <v>1778</v>
      </c>
    </row>
    <row r="905" spans="1:35" x14ac:dyDescent="0.25">
      <c r="A905" s="36">
        <v>99910903</v>
      </c>
      <c r="B905" s="17" t="s">
        <v>32</v>
      </c>
      <c r="C905" t="s">
        <v>111</v>
      </c>
      <c r="D905" t="s">
        <v>112</v>
      </c>
      <c r="G905" s="17" t="s">
        <v>35</v>
      </c>
      <c r="H905" s="17">
        <v>1</v>
      </c>
      <c r="I905" t="s">
        <v>648</v>
      </c>
      <c r="J905" s="1">
        <v>43344</v>
      </c>
      <c r="K905" t="s">
        <v>268</v>
      </c>
      <c r="L905" t="s">
        <v>269</v>
      </c>
      <c r="M905" t="s">
        <v>131</v>
      </c>
      <c r="N905">
        <v>23</v>
      </c>
      <c r="O905" t="s">
        <v>40</v>
      </c>
      <c r="S905" t="s">
        <v>40</v>
      </c>
      <c r="U905" s="1">
        <v>43344</v>
      </c>
      <c r="V905" t="s">
        <v>41</v>
      </c>
      <c r="W905" t="s">
        <v>75</v>
      </c>
      <c r="X905" t="str">
        <f>"7052028"</f>
        <v>7052028</v>
      </c>
      <c r="Y905" t="s">
        <v>601</v>
      </c>
      <c r="Z905" t="s">
        <v>268</v>
      </c>
      <c r="AA905" t="s">
        <v>269</v>
      </c>
      <c r="AB905" t="s">
        <v>131</v>
      </c>
      <c r="AC905" t="s">
        <v>51</v>
      </c>
      <c r="AD905" t="s">
        <v>45</v>
      </c>
      <c r="AE905" s="1">
        <v>31618</v>
      </c>
      <c r="AF905">
        <v>1</v>
      </c>
      <c r="AG905" t="s">
        <v>269</v>
      </c>
      <c r="AH905" s="36">
        <f t="shared" si="14"/>
        <v>32.886111111111113</v>
      </c>
      <c r="AI905" s="40" t="s">
        <v>1778</v>
      </c>
    </row>
    <row r="906" spans="1:35" x14ac:dyDescent="0.25">
      <c r="A906" s="36">
        <v>99910904</v>
      </c>
      <c r="B906" s="17" t="s">
        <v>56</v>
      </c>
      <c r="C906" t="s">
        <v>79</v>
      </c>
      <c r="D906" t="s">
        <v>80</v>
      </c>
      <c r="G906" s="17" t="s">
        <v>35</v>
      </c>
      <c r="H906" s="17">
        <v>1</v>
      </c>
      <c r="I906">
        <v>12334</v>
      </c>
      <c r="J906" s="1">
        <v>43344</v>
      </c>
      <c r="K906" t="s">
        <v>354</v>
      </c>
      <c r="L906" t="s">
        <v>355</v>
      </c>
      <c r="M906" t="s">
        <v>131</v>
      </c>
      <c r="N906">
        <v>20</v>
      </c>
      <c r="O906" t="s">
        <v>40</v>
      </c>
      <c r="P906" t="s">
        <v>40</v>
      </c>
      <c r="Q906" t="s">
        <v>40</v>
      </c>
      <c r="R906" t="s">
        <v>40</v>
      </c>
      <c r="S906" t="s">
        <v>40</v>
      </c>
      <c r="U906" s="1">
        <v>43344</v>
      </c>
      <c r="V906" t="s">
        <v>41</v>
      </c>
      <c r="W906" t="s">
        <v>75</v>
      </c>
      <c r="X906" t="str">
        <f>"7054000"</f>
        <v>7054000</v>
      </c>
      <c r="Y906" t="s">
        <v>786</v>
      </c>
      <c r="Z906" t="s">
        <v>354</v>
      </c>
      <c r="AA906" t="s">
        <v>355</v>
      </c>
      <c r="AB906" t="s">
        <v>131</v>
      </c>
      <c r="AC906" t="s">
        <v>44</v>
      </c>
      <c r="AD906" t="s">
        <v>45</v>
      </c>
      <c r="AE906" s="1">
        <v>31617</v>
      </c>
      <c r="AF906">
        <v>1</v>
      </c>
      <c r="AG906" t="s">
        <v>355</v>
      </c>
      <c r="AH906" s="36">
        <f t="shared" si="14"/>
        <v>32.888888888888886</v>
      </c>
      <c r="AI906" s="40" t="s">
        <v>1778</v>
      </c>
    </row>
    <row r="907" spans="1:35" x14ac:dyDescent="0.25">
      <c r="A907" s="36">
        <v>99910905</v>
      </c>
      <c r="B907" s="17" t="s">
        <v>32</v>
      </c>
      <c r="C907" t="s">
        <v>90</v>
      </c>
      <c r="D907" t="s">
        <v>91</v>
      </c>
      <c r="G907" s="17" t="s">
        <v>35</v>
      </c>
      <c r="H907" s="17">
        <v>1</v>
      </c>
      <c r="K907" t="s">
        <v>354</v>
      </c>
      <c r="L907" t="s">
        <v>355</v>
      </c>
      <c r="M907" t="s">
        <v>131</v>
      </c>
      <c r="N907">
        <v>25</v>
      </c>
      <c r="O907" t="s">
        <v>40</v>
      </c>
      <c r="P907" t="s">
        <v>40</v>
      </c>
      <c r="Q907" t="s">
        <v>40</v>
      </c>
      <c r="R907" t="s">
        <v>40</v>
      </c>
      <c r="S907" t="s">
        <v>40</v>
      </c>
      <c r="V907" t="s">
        <v>41</v>
      </c>
      <c r="W907" t="s">
        <v>95</v>
      </c>
      <c r="X907" t="str">
        <f>"7054011"</f>
        <v>7054011</v>
      </c>
      <c r="Y907" t="s">
        <v>780</v>
      </c>
      <c r="Z907" t="s">
        <v>354</v>
      </c>
      <c r="AA907" t="s">
        <v>355</v>
      </c>
      <c r="AB907" t="s">
        <v>131</v>
      </c>
      <c r="AC907" t="s">
        <v>51</v>
      </c>
      <c r="AD907" t="s">
        <v>45</v>
      </c>
      <c r="AE907" s="1">
        <v>31616</v>
      </c>
      <c r="AF907">
        <v>1</v>
      </c>
      <c r="AG907" t="s">
        <v>355</v>
      </c>
      <c r="AH907" s="36">
        <f t="shared" si="14"/>
        <v>32.891666666666666</v>
      </c>
      <c r="AI907" s="40" t="s">
        <v>1778</v>
      </c>
    </row>
    <row r="908" spans="1:35" x14ac:dyDescent="0.25">
      <c r="A908" s="36">
        <v>99910906</v>
      </c>
      <c r="B908" s="17" t="s">
        <v>32</v>
      </c>
      <c r="C908" t="s">
        <v>64</v>
      </c>
      <c r="D908" t="s">
        <v>65</v>
      </c>
      <c r="G908" s="17" t="s">
        <v>35</v>
      </c>
      <c r="H908" s="17">
        <v>1</v>
      </c>
      <c r="I908">
        <v>20135</v>
      </c>
      <c r="J908" s="1">
        <v>43020</v>
      </c>
      <c r="K908" t="s">
        <v>380</v>
      </c>
      <c r="L908" t="s">
        <v>381</v>
      </c>
      <c r="M908" t="s">
        <v>131</v>
      </c>
      <c r="N908">
        <v>17</v>
      </c>
      <c r="O908" t="s">
        <v>40</v>
      </c>
      <c r="P908" t="s">
        <v>40</v>
      </c>
      <c r="Q908" t="s">
        <v>40</v>
      </c>
      <c r="R908" t="s">
        <v>40</v>
      </c>
      <c r="S908" t="s">
        <v>40</v>
      </c>
      <c r="U908" s="1">
        <v>43020</v>
      </c>
      <c r="V908" t="s">
        <v>41</v>
      </c>
      <c r="W908" t="s">
        <v>49</v>
      </c>
      <c r="X908" t="str">
        <f>"0591909"</f>
        <v>0591909</v>
      </c>
      <c r="Y908" t="s">
        <v>385</v>
      </c>
      <c r="Z908" t="s">
        <v>380</v>
      </c>
      <c r="AA908" t="s">
        <v>381</v>
      </c>
      <c r="AB908" t="s">
        <v>131</v>
      </c>
      <c r="AC908" t="s">
        <v>44</v>
      </c>
      <c r="AD908" t="s">
        <v>45</v>
      </c>
      <c r="AE908" s="1">
        <v>31614</v>
      </c>
      <c r="AF908">
        <v>2</v>
      </c>
      <c r="AG908" t="s">
        <v>381</v>
      </c>
      <c r="AH908" s="36">
        <f t="shared" si="14"/>
        <v>32.897222222222226</v>
      </c>
      <c r="AI908" s="40" t="s">
        <v>1778</v>
      </c>
    </row>
    <row r="909" spans="1:35" x14ac:dyDescent="0.25">
      <c r="A909" s="36">
        <v>99910907</v>
      </c>
      <c r="B909" s="17" t="s">
        <v>56</v>
      </c>
      <c r="C909" t="s">
        <v>79</v>
      </c>
      <c r="D909" t="s">
        <v>80</v>
      </c>
      <c r="G909" s="17" t="s">
        <v>48</v>
      </c>
      <c r="H909" s="17">
        <v>1</v>
      </c>
      <c r="K909" t="s">
        <v>1546</v>
      </c>
      <c r="L909" t="s">
        <v>1547</v>
      </c>
      <c r="M909" t="s">
        <v>1548</v>
      </c>
      <c r="N909">
        <v>23</v>
      </c>
      <c r="O909" t="s">
        <v>40</v>
      </c>
      <c r="P909" t="s">
        <v>40</v>
      </c>
      <c r="Q909" t="s">
        <v>40</v>
      </c>
      <c r="R909" t="s">
        <v>40</v>
      </c>
      <c r="S909" t="s">
        <v>40</v>
      </c>
      <c r="V909" t="s">
        <v>41</v>
      </c>
      <c r="W909" t="s">
        <v>49</v>
      </c>
      <c r="X909" t="str">
        <f>"1060001"</f>
        <v>1060001</v>
      </c>
      <c r="Y909" t="s">
        <v>1553</v>
      </c>
      <c r="Z909" t="s">
        <v>1546</v>
      </c>
      <c r="AA909" t="s">
        <v>1547</v>
      </c>
      <c r="AB909" t="s">
        <v>1548</v>
      </c>
      <c r="AC909" t="s">
        <v>51</v>
      </c>
      <c r="AD909" t="s">
        <v>45</v>
      </c>
      <c r="AE909" s="1">
        <v>31608</v>
      </c>
      <c r="AF909">
        <v>2</v>
      </c>
      <c r="AG909" t="s">
        <v>1547</v>
      </c>
      <c r="AH909" s="36">
        <f t="shared" si="14"/>
        <v>32.913888888888891</v>
      </c>
      <c r="AI909" s="40" t="s">
        <v>1778</v>
      </c>
    </row>
    <row r="910" spans="1:35" x14ac:dyDescent="0.25">
      <c r="A910" s="36">
        <v>99910908</v>
      </c>
      <c r="B910" s="17" t="s">
        <v>32</v>
      </c>
      <c r="C910" t="s">
        <v>90</v>
      </c>
      <c r="D910" t="s">
        <v>91</v>
      </c>
      <c r="G910" s="17" t="s">
        <v>48</v>
      </c>
      <c r="H910" s="17">
        <v>1</v>
      </c>
      <c r="K910" t="s">
        <v>268</v>
      </c>
      <c r="L910" t="s">
        <v>269</v>
      </c>
      <c r="M910" t="s">
        <v>131</v>
      </c>
      <c r="N910">
        <v>24</v>
      </c>
      <c r="O910" t="s">
        <v>40</v>
      </c>
      <c r="P910" t="s">
        <v>40</v>
      </c>
      <c r="Q910" t="s">
        <v>40</v>
      </c>
      <c r="S910" t="s">
        <v>40</v>
      </c>
      <c r="V910" t="s">
        <v>41</v>
      </c>
      <c r="W910" t="s">
        <v>95</v>
      </c>
      <c r="X910" t="str">
        <f>"7052001"</f>
        <v>7052001</v>
      </c>
      <c r="Y910" t="s">
        <v>576</v>
      </c>
      <c r="Z910" t="s">
        <v>268</v>
      </c>
      <c r="AA910" t="s">
        <v>269</v>
      </c>
      <c r="AB910" t="s">
        <v>131</v>
      </c>
      <c r="AC910" t="s">
        <v>51</v>
      </c>
      <c r="AD910" t="s">
        <v>45</v>
      </c>
      <c r="AE910" s="1">
        <v>31607</v>
      </c>
      <c r="AF910">
        <v>1</v>
      </c>
      <c r="AG910" t="s">
        <v>269</v>
      </c>
      <c r="AH910" s="36">
        <f t="shared" si="14"/>
        <v>32.916666666666664</v>
      </c>
      <c r="AI910" s="40" t="s">
        <v>1778</v>
      </c>
    </row>
    <row r="911" spans="1:35" x14ac:dyDescent="0.25">
      <c r="A911" s="36">
        <v>99910909</v>
      </c>
      <c r="B911" s="17" t="s">
        <v>32</v>
      </c>
      <c r="C911" t="s">
        <v>61</v>
      </c>
      <c r="D911" t="s">
        <v>62</v>
      </c>
      <c r="G911" s="17" t="s">
        <v>35</v>
      </c>
      <c r="H911" s="17">
        <v>1</v>
      </c>
      <c r="I911">
        <v>19174</v>
      </c>
      <c r="J911" s="1">
        <v>43344</v>
      </c>
      <c r="K911" t="s">
        <v>877</v>
      </c>
      <c r="L911" t="s">
        <v>878</v>
      </c>
      <c r="M911" t="s">
        <v>131</v>
      </c>
      <c r="N911">
        <v>7</v>
      </c>
      <c r="O911" t="s">
        <v>40</v>
      </c>
      <c r="P911" t="s">
        <v>40</v>
      </c>
      <c r="Q911" t="s">
        <v>40</v>
      </c>
      <c r="R911" t="s">
        <v>40</v>
      </c>
      <c r="S911" t="s">
        <v>40</v>
      </c>
      <c r="U911" s="1">
        <v>43344</v>
      </c>
      <c r="V911" t="s">
        <v>41</v>
      </c>
      <c r="W911" t="s">
        <v>75</v>
      </c>
      <c r="X911" t="str">
        <f>"7541020"</f>
        <v>7541020</v>
      </c>
      <c r="Y911" t="s">
        <v>882</v>
      </c>
      <c r="Z911" t="s">
        <v>877</v>
      </c>
      <c r="AA911" t="s">
        <v>878</v>
      </c>
      <c r="AB911" t="s">
        <v>131</v>
      </c>
      <c r="AC911" t="s">
        <v>44</v>
      </c>
      <c r="AD911" t="s">
        <v>45</v>
      </c>
      <c r="AE911" s="1">
        <v>31605</v>
      </c>
      <c r="AF911">
        <v>1</v>
      </c>
      <c r="AG911" t="s">
        <v>878</v>
      </c>
      <c r="AH911" s="36">
        <f t="shared" si="14"/>
        <v>32.922222222222224</v>
      </c>
      <c r="AI911" s="40" t="s">
        <v>1778</v>
      </c>
    </row>
    <row r="912" spans="1:35" x14ac:dyDescent="0.25">
      <c r="A912" s="36">
        <v>99910910</v>
      </c>
      <c r="B912" s="17" t="s">
        <v>32</v>
      </c>
      <c r="C912" t="s">
        <v>90</v>
      </c>
      <c r="D912" t="s">
        <v>91</v>
      </c>
      <c r="G912" s="17" t="s">
        <v>35</v>
      </c>
      <c r="H912" s="17">
        <v>1</v>
      </c>
      <c r="I912">
        <v>1779066</v>
      </c>
      <c r="J912" s="1">
        <v>43346</v>
      </c>
      <c r="K912" t="s">
        <v>268</v>
      </c>
      <c r="L912" t="s">
        <v>269</v>
      </c>
      <c r="M912" t="s">
        <v>131</v>
      </c>
      <c r="N912">
        <v>28</v>
      </c>
      <c r="O912" t="s">
        <v>40</v>
      </c>
      <c r="S912" t="s">
        <v>40</v>
      </c>
      <c r="U912" s="1">
        <v>43346</v>
      </c>
      <c r="V912" t="s">
        <v>41</v>
      </c>
      <c r="W912" t="s">
        <v>95</v>
      </c>
      <c r="X912" t="str">
        <f>"7052239"</f>
        <v>7052239</v>
      </c>
      <c r="Y912" t="s">
        <v>595</v>
      </c>
      <c r="Z912" t="s">
        <v>268</v>
      </c>
      <c r="AA912" t="s">
        <v>269</v>
      </c>
      <c r="AB912" t="s">
        <v>131</v>
      </c>
      <c r="AC912" t="s">
        <v>44</v>
      </c>
      <c r="AD912" t="s">
        <v>45</v>
      </c>
      <c r="AE912" s="1">
        <v>31601</v>
      </c>
      <c r="AF912">
        <v>1</v>
      </c>
      <c r="AG912" t="s">
        <v>269</v>
      </c>
      <c r="AH912" s="36">
        <f t="shared" si="14"/>
        <v>32.93333333333333</v>
      </c>
      <c r="AI912" s="40" t="s">
        <v>1778</v>
      </c>
    </row>
    <row r="913" spans="1:35" x14ac:dyDescent="0.25">
      <c r="A913" s="36">
        <v>99910911</v>
      </c>
      <c r="B913" s="17" t="s">
        <v>32</v>
      </c>
      <c r="C913" t="s">
        <v>111</v>
      </c>
      <c r="D913" t="s">
        <v>112</v>
      </c>
      <c r="G913" s="17" t="s">
        <v>35</v>
      </c>
      <c r="H913" s="17">
        <v>1</v>
      </c>
      <c r="I913" t="s">
        <v>286</v>
      </c>
      <c r="J913" s="1">
        <v>43344</v>
      </c>
      <c r="K913" t="s">
        <v>268</v>
      </c>
      <c r="L913" t="s">
        <v>269</v>
      </c>
      <c r="M913" t="s">
        <v>131</v>
      </c>
      <c r="N913">
        <v>24</v>
      </c>
      <c r="O913" t="s">
        <v>40</v>
      </c>
      <c r="S913" t="s">
        <v>40</v>
      </c>
      <c r="V913" t="s">
        <v>41</v>
      </c>
      <c r="W913" t="s">
        <v>75</v>
      </c>
      <c r="X913" t="str">
        <f>"7052018"</f>
        <v>7052018</v>
      </c>
      <c r="Y913" t="s">
        <v>577</v>
      </c>
      <c r="Z913" t="s">
        <v>268</v>
      </c>
      <c r="AA913" t="s">
        <v>269</v>
      </c>
      <c r="AB913" t="s">
        <v>131</v>
      </c>
      <c r="AC913" t="s">
        <v>51</v>
      </c>
      <c r="AD913" t="s">
        <v>45</v>
      </c>
      <c r="AE913" s="1">
        <v>31590</v>
      </c>
      <c r="AF913">
        <v>1</v>
      </c>
      <c r="AG913" t="s">
        <v>269</v>
      </c>
      <c r="AH913" s="36">
        <f t="shared" si="14"/>
        <v>32.963888888888889</v>
      </c>
      <c r="AI913" s="40" t="s">
        <v>1778</v>
      </c>
    </row>
    <row r="914" spans="1:35" x14ac:dyDescent="0.25">
      <c r="A914" s="36">
        <v>99910912</v>
      </c>
      <c r="B914" s="17" t="s">
        <v>56</v>
      </c>
      <c r="C914" t="s">
        <v>143</v>
      </c>
      <c r="D914" t="s">
        <v>144</v>
      </c>
      <c r="G914" s="17" t="s">
        <v>35</v>
      </c>
      <c r="H914" s="17">
        <v>1</v>
      </c>
      <c r="I914" t="s">
        <v>1532</v>
      </c>
      <c r="J914" s="1">
        <v>43344</v>
      </c>
      <c r="K914" t="s">
        <v>667</v>
      </c>
      <c r="L914" t="s">
        <v>669</v>
      </c>
      <c r="M914" t="s">
        <v>670</v>
      </c>
      <c r="N914">
        <v>10</v>
      </c>
      <c r="O914" t="s">
        <v>40</v>
      </c>
      <c r="P914" t="s">
        <v>40</v>
      </c>
      <c r="Q914" t="s">
        <v>40</v>
      </c>
      <c r="S914" t="s">
        <v>40</v>
      </c>
      <c r="U914" s="1">
        <v>43344</v>
      </c>
      <c r="V914" t="s">
        <v>41</v>
      </c>
      <c r="W914" t="s">
        <v>75</v>
      </c>
      <c r="X914" t="str">
        <f>"7501004"</f>
        <v>7501004</v>
      </c>
      <c r="Y914" t="s">
        <v>1500</v>
      </c>
      <c r="Z914" t="s">
        <v>667</v>
      </c>
      <c r="AA914" t="s">
        <v>669</v>
      </c>
      <c r="AB914" t="s">
        <v>670</v>
      </c>
      <c r="AC914" t="s">
        <v>44</v>
      </c>
      <c r="AD914" t="s">
        <v>45</v>
      </c>
      <c r="AE914" s="1">
        <v>31589</v>
      </c>
      <c r="AF914">
        <v>1</v>
      </c>
      <c r="AG914" t="s">
        <v>669</v>
      </c>
      <c r="AH914" s="36">
        <f t="shared" si="14"/>
        <v>32.966666666666669</v>
      </c>
      <c r="AI914" s="40" t="s">
        <v>1778</v>
      </c>
    </row>
    <row r="915" spans="1:35" x14ac:dyDescent="0.25">
      <c r="A915" s="36">
        <v>99910913</v>
      </c>
      <c r="B915" s="17" t="s">
        <v>32</v>
      </c>
      <c r="C915" t="s">
        <v>64</v>
      </c>
      <c r="D915" t="s">
        <v>65</v>
      </c>
      <c r="G915" s="17" t="s">
        <v>35</v>
      </c>
      <c r="H915" s="17">
        <v>1</v>
      </c>
      <c r="I915">
        <v>0</v>
      </c>
      <c r="J915" s="1">
        <v>43344</v>
      </c>
      <c r="K915" t="s">
        <v>223</v>
      </c>
      <c r="L915" t="s">
        <v>224</v>
      </c>
      <c r="M915" t="s">
        <v>131</v>
      </c>
      <c r="N915">
        <v>6</v>
      </c>
      <c r="O915" t="s">
        <v>40</v>
      </c>
      <c r="P915" t="s">
        <v>40</v>
      </c>
      <c r="Q915" t="s">
        <v>40</v>
      </c>
      <c r="R915" t="s">
        <v>40</v>
      </c>
      <c r="S915" t="s">
        <v>40</v>
      </c>
      <c r="U915" s="1">
        <v>43344</v>
      </c>
      <c r="V915" t="s">
        <v>41</v>
      </c>
      <c r="W915" t="s">
        <v>49</v>
      </c>
      <c r="X915" t="str">
        <f>"0560034"</f>
        <v>0560034</v>
      </c>
      <c r="Y915" t="s">
        <v>266</v>
      </c>
      <c r="Z915" t="s">
        <v>223</v>
      </c>
      <c r="AA915" t="s">
        <v>224</v>
      </c>
      <c r="AB915" t="s">
        <v>131</v>
      </c>
      <c r="AC915" t="s">
        <v>44</v>
      </c>
      <c r="AD915" t="s">
        <v>45</v>
      </c>
      <c r="AE915" s="1">
        <v>31587</v>
      </c>
      <c r="AF915">
        <v>2</v>
      </c>
      <c r="AG915" t="s">
        <v>224</v>
      </c>
      <c r="AH915" s="36">
        <f t="shared" si="14"/>
        <v>32.972222222222221</v>
      </c>
      <c r="AI915" s="40" t="s">
        <v>1778</v>
      </c>
    </row>
    <row r="916" spans="1:35" x14ac:dyDescent="0.25">
      <c r="A916" s="36">
        <v>99910914</v>
      </c>
      <c r="B916" s="17" t="s">
        <v>32</v>
      </c>
      <c r="C916" t="s">
        <v>111</v>
      </c>
      <c r="D916" t="s">
        <v>112</v>
      </c>
      <c r="G916" s="17" t="s">
        <v>35</v>
      </c>
      <c r="H916" s="17">
        <v>1</v>
      </c>
      <c r="K916" t="s">
        <v>154</v>
      </c>
      <c r="L916" t="s">
        <v>155</v>
      </c>
      <c r="M916" t="s">
        <v>131</v>
      </c>
      <c r="N916">
        <v>24</v>
      </c>
      <c r="O916" t="s">
        <v>40</v>
      </c>
      <c r="P916" t="s">
        <v>40</v>
      </c>
      <c r="Q916" t="s">
        <v>40</v>
      </c>
      <c r="S916" t="s">
        <v>40</v>
      </c>
      <c r="V916" t="s">
        <v>41</v>
      </c>
      <c r="W916" t="s">
        <v>75</v>
      </c>
      <c r="X916" t="str">
        <f>"7051026"</f>
        <v>7051026</v>
      </c>
      <c r="Y916" t="s">
        <v>396</v>
      </c>
      <c r="Z916" t="s">
        <v>154</v>
      </c>
      <c r="AA916" t="s">
        <v>155</v>
      </c>
      <c r="AB916" t="s">
        <v>131</v>
      </c>
      <c r="AC916" t="s">
        <v>51</v>
      </c>
      <c r="AD916" t="s">
        <v>45</v>
      </c>
      <c r="AE916" s="1">
        <v>31583</v>
      </c>
      <c r="AF916">
        <v>1</v>
      </c>
      <c r="AG916" t="s">
        <v>155</v>
      </c>
      <c r="AH916" s="36">
        <f t="shared" si="14"/>
        <v>32.983333333333334</v>
      </c>
      <c r="AI916" s="40" t="s">
        <v>1778</v>
      </c>
    </row>
    <row r="917" spans="1:35" x14ac:dyDescent="0.25">
      <c r="A917" s="36">
        <v>99910915</v>
      </c>
      <c r="B917" s="17" t="s">
        <v>32</v>
      </c>
      <c r="C917" t="s">
        <v>58</v>
      </c>
      <c r="D917" t="s">
        <v>59</v>
      </c>
      <c r="G917" s="17" t="s">
        <v>48</v>
      </c>
      <c r="H917" s="17">
        <v>1</v>
      </c>
      <c r="K917" t="s">
        <v>380</v>
      </c>
      <c r="L917" t="s">
        <v>381</v>
      </c>
      <c r="M917" t="s">
        <v>131</v>
      </c>
      <c r="N917">
        <v>10</v>
      </c>
      <c r="O917" t="s">
        <v>40</v>
      </c>
      <c r="P917" t="s">
        <v>40</v>
      </c>
      <c r="Q917" t="s">
        <v>40</v>
      </c>
      <c r="R917" t="s">
        <v>40</v>
      </c>
      <c r="S917" t="s">
        <v>40</v>
      </c>
      <c r="V917" t="s">
        <v>41</v>
      </c>
      <c r="W917" t="s">
        <v>49</v>
      </c>
      <c r="X917" t="str">
        <f>"0591908"</f>
        <v>0591908</v>
      </c>
      <c r="Y917" t="s">
        <v>383</v>
      </c>
      <c r="Z917" t="s">
        <v>380</v>
      </c>
      <c r="AA917" t="s">
        <v>381</v>
      </c>
      <c r="AB917" t="s">
        <v>131</v>
      </c>
      <c r="AC917" t="s">
        <v>51</v>
      </c>
      <c r="AD917" t="s">
        <v>45</v>
      </c>
      <c r="AE917" s="1">
        <v>31574</v>
      </c>
      <c r="AF917">
        <v>2</v>
      </c>
      <c r="AG917" t="s">
        <v>381</v>
      </c>
      <c r="AH917" s="36">
        <f t="shared" si="14"/>
        <v>33.008333333333333</v>
      </c>
      <c r="AI917" s="40" t="s">
        <v>1778</v>
      </c>
    </row>
    <row r="918" spans="1:35" x14ac:dyDescent="0.25">
      <c r="A918" s="36">
        <v>99910916</v>
      </c>
      <c r="B918" s="17" t="s">
        <v>32</v>
      </c>
      <c r="C918" t="s">
        <v>136</v>
      </c>
      <c r="D918" t="s">
        <v>137</v>
      </c>
      <c r="G918" s="17" t="s">
        <v>35</v>
      </c>
      <c r="H918" s="17">
        <v>1</v>
      </c>
      <c r="I918" t="s">
        <v>250</v>
      </c>
      <c r="J918" s="1">
        <v>43344</v>
      </c>
      <c r="K918" t="s">
        <v>985</v>
      </c>
      <c r="L918" t="s">
        <v>986</v>
      </c>
      <c r="M918" t="s">
        <v>938</v>
      </c>
      <c r="N918">
        <v>8</v>
      </c>
      <c r="O918" t="s">
        <v>40</v>
      </c>
      <c r="P918" t="s">
        <v>40</v>
      </c>
      <c r="Q918" t="s">
        <v>40</v>
      </c>
      <c r="R918" t="s">
        <v>40</v>
      </c>
      <c r="S918" t="s">
        <v>40</v>
      </c>
      <c r="U918" s="1">
        <v>43344</v>
      </c>
      <c r="V918" t="s">
        <v>41</v>
      </c>
      <c r="W918" t="s">
        <v>75</v>
      </c>
      <c r="X918" t="str">
        <f>"7011004"</f>
        <v>7011004</v>
      </c>
      <c r="Y918" t="s">
        <v>987</v>
      </c>
      <c r="Z918" t="s">
        <v>985</v>
      </c>
      <c r="AA918" t="s">
        <v>986</v>
      </c>
      <c r="AB918" t="s">
        <v>938</v>
      </c>
      <c r="AC918" t="s">
        <v>44</v>
      </c>
      <c r="AD918" t="s">
        <v>45</v>
      </c>
      <c r="AE918" s="1">
        <v>31574</v>
      </c>
      <c r="AF918">
        <v>1</v>
      </c>
      <c r="AG918" t="s">
        <v>986</v>
      </c>
      <c r="AH918" s="36">
        <f t="shared" si="14"/>
        <v>33.008333333333333</v>
      </c>
      <c r="AI918" s="40" t="s">
        <v>1778</v>
      </c>
    </row>
    <row r="919" spans="1:35" x14ac:dyDescent="0.25">
      <c r="A919" s="36">
        <v>99910917</v>
      </c>
      <c r="B919" s="17" t="s">
        <v>32</v>
      </c>
      <c r="C919" t="s">
        <v>143</v>
      </c>
      <c r="D919" t="s">
        <v>144</v>
      </c>
      <c r="G919" s="17" t="s">
        <v>35</v>
      </c>
      <c r="H919" s="17">
        <v>1</v>
      </c>
      <c r="I919" t="s">
        <v>1611</v>
      </c>
      <c r="J919" s="1">
        <v>43357</v>
      </c>
      <c r="K919" t="s">
        <v>1590</v>
      </c>
      <c r="L919" t="s">
        <v>1591</v>
      </c>
      <c r="M919" t="s">
        <v>1592</v>
      </c>
      <c r="N919">
        <v>5</v>
      </c>
      <c r="O919" t="s">
        <v>40</v>
      </c>
      <c r="S919" t="s">
        <v>40</v>
      </c>
      <c r="U919" s="1">
        <v>43357</v>
      </c>
      <c r="V919" t="s">
        <v>41</v>
      </c>
      <c r="W919" t="s">
        <v>49</v>
      </c>
      <c r="X919" t="str">
        <f>"0260001"</f>
        <v>0260001</v>
      </c>
      <c r="Y919" t="s">
        <v>1595</v>
      </c>
      <c r="Z919" t="s">
        <v>1590</v>
      </c>
      <c r="AA919" t="s">
        <v>1591</v>
      </c>
      <c r="AB919" t="s">
        <v>1592</v>
      </c>
      <c r="AC919" t="s">
        <v>44</v>
      </c>
      <c r="AD919" t="s">
        <v>45</v>
      </c>
      <c r="AE919" s="1">
        <v>31568</v>
      </c>
      <c r="AF919">
        <v>2</v>
      </c>
      <c r="AG919" t="s">
        <v>1591</v>
      </c>
      <c r="AH919" s="36">
        <f t="shared" si="14"/>
        <v>33.024999999999999</v>
      </c>
      <c r="AI919" s="40" t="s">
        <v>1778</v>
      </c>
    </row>
    <row r="920" spans="1:35" x14ac:dyDescent="0.25">
      <c r="A920" s="36">
        <v>99910918</v>
      </c>
      <c r="B920" s="17" t="s">
        <v>32</v>
      </c>
      <c r="C920" t="s">
        <v>136</v>
      </c>
      <c r="D920" t="s">
        <v>137</v>
      </c>
      <c r="G920" s="17" t="s">
        <v>48</v>
      </c>
      <c r="H920" s="17">
        <v>3</v>
      </c>
      <c r="I920" t="s">
        <v>509</v>
      </c>
      <c r="J920" s="1">
        <v>43344</v>
      </c>
      <c r="K920" t="s">
        <v>195</v>
      </c>
      <c r="L920" t="s">
        <v>196</v>
      </c>
      <c r="M920" t="s">
        <v>131</v>
      </c>
      <c r="N920">
        <v>16</v>
      </c>
      <c r="O920" t="s">
        <v>40</v>
      </c>
      <c r="P920" t="s">
        <v>40</v>
      </c>
      <c r="Q920" t="s">
        <v>40</v>
      </c>
      <c r="R920" t="s">
        <v>40</v>
      </c>
      <c r="S920" t="s">
        <v>40</v>
      </c>
      <c r="U920" s="1">
        <v>43344</v>
      </c>
      <c r="V920" t="s">
        <v>41</v>
      </c>
      <c r="W920" t="s">
        <v>75</v>
      </c>
      <c r="X920" t="str">
        <f>"7521042"</f>
        <v>7521042</v>
      </c>
      <c r="Y920" t="s">
        <v>440</v>
      </c>
      <c r="Z920" t="s">
        <v>195</v>
      </c>
      <c r="AA920" t="s">
        <v>196</v>
      </c>
      <c r="AB920" t="s">
        <v>131</v>
      </c>
      <c r="AC920" t="s">
        <v>165</v>
      </c>
      <c r="AD920" t="s">
        <v>45</v>
      </c>
      <c r="AE920" s="1">
        <v>31563</v>
      </c>
      <c r="AF920">
        <v>1</v>
      </c>
      <c r="AG920" t="s">
        <v>196</v>
      </c>
      <c r="AH920" s="36">
        <f t="shared" si="14"/>
        <v>33.038888888888891</v>
      </c>
      <c r="AI920" s="40" t="s">
        <v>1778</v>
      </c>
    </row>
    <row r="921" spans="1:35" x14ac:dyDescent="0.25">
      <c r="A921" s="36">
        <v>99910919</v>
      </c>
      <c r="B921" s="17" t="s">
        <v>32</v>
      </c>
      <c r="C921" t="s">
        <v>71</v>
      </c>
      <c r="D921" t="s">
        <v>72</v>
      </c>
      <c r="G921" s="17" t="s">
        <v>35</v>
      </c>
      <c r="H921" s="17">
        <v>1</v>
      </c>
      <c r="I921" t="s">
        <v>520</v>
      </c>
      <c r="J921" s="1">
        <v>43344</v>
      </c>
      <c r="K921" t="s">
        <v>195</v>
      </c>
      <c r="L921" t="s">
        <v>196</v>
      </c>
      <c r="M921" t="s">
        <v>131</v>
      </c>
      <c r="N921">
        <v>18</v>
      </c>
      <c r="O921" t="s">
        <v>40</v>
      </c>
      <c r="P921" t="s">
        <v>40</v>
      </c>
      <c r="Q921" t="s">
        <v>40</v>
      </c>
      <c r="R921" t="s">
        <v>40</v>
      </c>
      <c r="S921" t="s">
        <v>40</v>
      </c>
      <c r="U921" s="1">
        <v>43344</v>
      </c>
      <c r="V921" t="s">
        <v>41</v>
      </c>
      <c r="W921" t="s">
        <v>75</v>
      </c>
      <c r="X921" t="str">
        <f>"7521042"</f>
        <v>7521042</v>
      </c>
      <c r="Y921" t="s">
        <v>440</v>
      </c>
      <c r="Z921" t="s">
        <v>195</v>
      </c>
      <c r="AA921" t="s">
        <v>196</v>
      </c>
      <c r="AB921" t="s">
        <v>131</v>
      </c>
      <c r="AC921" t="s">
        <v>44</v>
      </c>
      <c r="AD921" t="s">
        <v>45</v>
      </c>
      <c r="AE921" s="1">
        <v>31563</v>
      </c>
      <c r="AF921">
        <v>1</v>
      </c>
      <c r="AG921" t="s">
        <v>196</v>
      </c>
      <c r="AH921" s="36">
        <f t="shared" si="14"/>
        <v>33.038888888888891</v>
      </c>
      <c r="AI921" s="40" t="s">
        <v>1778</v>
      </c>
    </row>
    <row r="922" spans="1:35" x14ac:dyDescent="0.25">
      <c r="A922" s="36">
        <v>99910920</v>
      </c>
      <c r="B922" s="17" t="s">
        <v>32</v>
      </c>
      <c r="C922" t="s">
        <v>79</v>
      </c>
      <c r="D922" t="s">
        <v>80</v>
      </c>
      <c r="G922" s="17" t="s">
        <v>35</v>
      </c>
      <c r="H922" s="17">
        <v>1</v>
      </c>
      <c r="K922" t="s">
        <v>1564</v>
      </c>
      <c r="L922" t="s">
        <v>1565</v>
      </c>
      <c r="M922" t="s">
        <v>1548</v>
      </c>
      <c r="N922">
        <v>24</v>
      </c>
      <c r="O922" t="s">
        <v>40</v>
      </c>
      <c r="P922" t="s">
        <v>40</v>
      </c>
      <c r="Q922" t="s">
        <v>40</v>
      </c>
      <c r="S922" t="s">
        <v>40</v>
      </c>
      <c r="V922" t="s">
        <v>41</v>
      </c>
      <c r="W922" t="s">
        <v>75</v>
      </c>
      <c r="X922" t="str">
        <f>"7101000"</f>
        <v>7101000</v>
      </c>
      <c r="Y922" t="s">
        <v>1572</v>
      </c>
      <c r="Z922" t="s">
        <v>1564</v>
      </c>
      <c r="AA922" t="s">
        <v>1565</v>
      </c>
      <c r="AB922" t="s">
        <v>1548</v>
      </c>
      <c r="AC922" t="s">
        <v>51</v>
      </c>
      <c r="AD922" t="s">
        <v>45</v>
      </c>
      <c r="AE922" s="1">
        <v>31563</v>
      </c>
      <c r="AF922">
        <v>1</v>
      </c>
      <c r="AG922" t="s">
        <v>1565</v>
      </c>
      <c r="AH922" s="36">
        <f t="shared" si="14"/>
        <v>33.038888888888891</v>
      </c>
      <c r="AI922" s="40" t="s">
        <v>1778</v>
      </c>
    </row>
    <row r="923" spans="1:35" x14ac:dyDescent="0.25">
      <c r="A923" s="36">
        <v>99910921</v>
      </c>
      <c r="B923" s="17" t="s">
        <v>32</v>
      </c>
      <c r="C923" t="s">
        <v>139</v>
      </c>
      <c r="D923" t="s">
        <v>140</v>
      </c>
      <c r="G923" s="17" t="s">
        <v>48</v>
      </c>
      <c r="H923" s="17">
        <v>1</v>
      </c>
      <c r="K923" t="s">
        <v>354</v>
      </c>
      <c r="L923" t="s">
        <v>355</v>
      </c>
      <c r="M923" t="s">
        <v>131</v>
      </c>
      <c r="N923">
        <v>2</v>
      </c>
      <c r="O923" t="s">
        <v>40</v>
      </c>
      <c r="P923" t="s">
        <v>40</v>
      </c>
      <c r="Q923" t="s">
        <v>40</v>
      </c>
      <c r="R923" t="s">
        <v>40</v>
      </c>
      <c r="S923" t="s">
        <v>40</v>
      </c>
      <c r="V923" t="s">
        <v>41</v>
      </c>
      <c r="W923" t="s">
        <v>95</v>
      </c>
      <c r="X923" t="str">
        <f>"7054021"</f>
        <v>7054021</v>
      </c>
      <c r="Y923" t="s">
        <v>783</v>
      </c>
      <c r="Z923" t="s">
        <v>354</v>
      </c>
      <c r="AA923" t="s">
        <v>355</v>
      </c>
      <c r="AB923" t="s">
        <v>131</v>
      </c>
      <c r="AC923" t="s">
        <v>51</v>
      </c>
      <c r="AD923" t="s">
        <v>45</v>
      </c>
      <c r="AE923" s="1">
        <v>31561</v>
      </c>
      <c r="AF923">
        <v>1</v>
      </c>
      <c r="AG923" t="s">
        <v>355</v>
      </c>
      <c r="AH923" s="36">
        <f t="shared" si="14"/>
        <v>33.044444444444444</v>
      </c>
      <c r="AI923" s="40" t="s">
        <v>1778</v>
      </c>
    </row>
    <row r="924" spans="1:35" x14ac:dyDescent="0.25">
      <c r="A924" s="36">
        <v>99910922</v>
      </c>
      <c r="B924" s="17" t="s">
        <v>32</v>
      </c>
      <c r="C924" t="s">
        <v>64</v>
      </c>
      <c r="D924" t="s">
        <v>65</v>
      </c>
      <c r="G924" s="17" t="s">
        <v>48</v>
      </c>
      <c r="H924" s="17">
        <v>1</v>
      </c>
      <c r="K924" t="s">
        <v>1590</v>
      </c>
      <c r="L924" t="s">
        <v>1591</v>
      </c>
      <c r="M924" t="s">
        <v>1592</v>
      </c>
      <c r="N924">
        <v>12</v>
      </c>
      <c r="O924" t="s">
        <v>40</v>
      </c>
      <c r="P924" t="s">
        <v>40</v>
      </c>
      <c r="Q924" t="s">
        <v>40</v>
      </c>
      <c r="R924" t="s">
        <v>40</v>
      </c>
      <c r="S924" t="s">
        <v>40</v>
      </c>
      <c r="V924" t="s">
        <v>41</v>
      </c>
      <c r="W924" t="s">
        <v>49</v>
      </c>
      <c r="X924" t="str">
        <f>"0260002"</f>
        <v>0260002</v>
      </c>
      <c r="Y924" t="s">
        <v>1593</v>
      </c>
      <c r="Z924" t="s">
        <v>1590</v>
      </c>
      <c r="AA924" t="s">
        <v>1591</v>
      </c>
      <c r="AB924" t="s">
        <v>1592</v>
      </c>
      <c r="AC924" t="s">
        <v>51</v>
      </c>
      <c r="AD924" t="s">
        <v>45</v>
      </c>
      <c r="AE924" s="1">
        <v>31561</v>
      </c>
      <c r="AF924">
        <v>2</v>
      </c>
      <c r="AG924" t="s">
        <v>1591</v>
      </c>
      <c r="AH924" s="36">
        <f t="shared" si="14"/>
        <v>33.044444444444444</v>
      </c>
      <c r="AI924" s="40" t="s">
        <v>1778</v>
      </c>
    </row>
    <row r="925" spans="1:35" x14ac:dyDescent="0.25">
      <c r="A925" s="36">
        <v>99910923</v>
      </c>
      <c r="B925" s="17" t="s">
        <v>32</v>
      </c>
      <c r="C925" t="s">
        <v>64</v>
      </c>
      <c r="D925" t="s">
        <v>65</v>
      </c>
      <c r="G925" s="17" t="s">
        <v>35</v>
      </c>
      <c r="H925" s="17">
        <v>1</v>
      </c>
      <c r="I925" t="s">
        <v>1102</v>
      </c>
      <c r="J925" s="1">
        <v>43344</v>
      </c>
      <c r="K925" t="s">
        <v>1081</v>
      </c>
      <c r="L925" t="s">
        <v>1082</v>
      </c>
      <c r="M925" t="s">
        <v>1053</v>
      </c>
      <c r="N925">
        <v>14</v>
      </c>
      <c r="O925" t="s">
        <v>40</v>
      </c>
      <c r="P925" t="s">
        <v>40</v>
      </c>
      <c r="Q925" t="s">
        <v>40</v>
      </c>
      <c r="R925" t="s">
        <v>40</v>
      </c>
      <c r="S925" t="s">
        <v>40</v>
      </c>
      <c r="U925" s="1">
        <v>43344</v>
      </c>
      <c r="V925" t="s">
        <v>41</v>
      </c>
      <c r="W925" t="s">
        <v>75</v>
      </c>
      <c r="X925" t="str">
        <f>"7201000"</f>
        <v>7201000</v>
      </c>
      <c r="Y925" t="s">
        <v>1088</v>
      </c>
      <c r="Z925" t="s">
        <v>1081</v>
      </c>
      <c r="AA925" t="s">
        <v>1082</v>
      </c>
      <c r="AB925" t="s">
        <v>1053</v>
      </c>
      <c r="AC925" t="s">
        <v>51</v>
      </c>
      <c r="AD925" t="s">
        <v>45</v>
      </c>
      <c r="AE925" s="1">
        <v>31560</v>
      </c>
      <c r="AF925">
        <v>1</v>
      </c>
      <c r="AG925" t="s">
        <v>1082</v>
      </c>
      <c r="AH925" s="36">
        <f t="shared" si="14"/>
        <v>33.047222222222224</v>
      </c>
      <c r="AI925" s="40" t="s">
        <v>1778</v>
      </c>
    </row>
    <row r="926" spans="1:35" x14ac:dyDescent="0.25">
      <c r="A926" s="36">
        <v>99910924</v>
      </c>
      <c r="B926" s="17" t="s">
        <v>32</v>
      </c>
      <c r="C926" t="s">
        <v>64</v>
      </c>
      <c r="D926" t="s">
        <v>65</v>
      </c>
      <c r="G926" s="17" t="s">
        <v>35</v>
      </c>
      <c r="H926" s="17">
        <v>1</v>
      </c>
      <c r="I926">
        <v>0</v>
      </c>
      <c r="J926" s="1">
        <v>43344</v>
      </c>
      <c r="K926" t="s">
        <v>223</v>
      </c>
      <c r="L926" t="s">
        <v>224</v>
      </c>
      <c r="M926" t="s">
        <v>131</v>
      </c>
      <c r="N926">
        <v>11</v>
      </c>
      <c r="O926" t="s">
        <v>40</v>
      </c>
      <c r="S926" t="s">
        <v>40</v>
      </c>
      <c r="U926" s="1">
        <v>43344</v>
      </c>
      <c r="V926" t="s">
        <v>41</v>
      </c>
      <c r="W926" t="s">
        <v>42</v>
      </c>
      <c r="X926" t="str">
        <f>"0580207"</f>
        <v>0580207</v>
      </c>
      <c r="Y926" t="s">
        <v>229</v>
      </c>
      <c r="Z926" t="s">
        <v>223</v>
      </c>
      <c r="AA926" t="s">
        <v>224</v>
      </c>
      <c r="AB926" t="s">
        <v>131</v>
      </c>
      <c r="AC926" t="s">
        <v>55</v>
      </c>
      <c r="AD926" t="s">
        <v>45</v>
      </c>
      <c r="AE926" s="1">
        <v>31556</v>
      </c>
      <c r="AF926">
        <v>2</v>
      </c>
      <c r="AG926" t="s">
        <v>224</v>
      </c>
      <c r="AH926" s="36">
        <f t="shared" si="14"/>
        <v>33.05833333333333</v>
      </c>
      <c r="AI926" s="40" t="s">
        <v>1778</v>
      </c>
    </row>
    <row r="927" spans="1:35" x14ac:dyDescent="0.25">
      <c r="A927" s="36">
        <v>99910925</v>
      </c>
      <c r="B927" s="17" t="s">
        <v>32</v>
      </c>
      <c r="C927" t="s">
        <v>33</v>
      </c>
      <c r="D927" t="s">
        <v>34</v>
      </c>
      <c r="G927" s="17" t="s">
        <v>48</v>
      </c>
      <c r="H927" s="17">
        <v>1</v>
      </c>
      <c r="K927" t="s">
        <v>223</v>
      </c>
      <c r="L927" t="s">
        <v>224</v>
      </c>
      <c r="M927" t="s">
        <v>131</v>
      </c>
      <c r="N927">
        <v>12</v>
      </c>
      <c r="O927" t="s">
        <v>40</v>
      </c>
      <c r="P927" t="s">
        <v>40</v>
      </c>
      <c r="Q927" t="s">
        <v>40</v>
      </c>
      <c r="R927" t="s">
        <v>40</v>
      </c>
      <c r="S927" t="s">
        <v>40</v>
      </c>
      <c r="V927" t="s">
        <v>41</v>
      </c>
      <c r="W927" t="s">
        <v>49</v>
      </c>
      <c r="X927" t="str">
        <f>"0581200"</f>
        <v>0581200</v>
      </c>
      <c r="Y927" t="s">
        <v>238</v>
      </c>
      <c r="Z927" t="s">
        <v>223</v>
      </c>
      <c r="AA927" t="s">
        <v>224</v>
      </c>
      <c r="AB927" t="s">
        <v>131</v>
      </c>
      <c r="AC927" t="s">
        <v>51</v>
      </c>
      <c r="AD927" t="s">
        <v>45</v>
      </c>
      <c r="AE927" s="1">
        <v>31547</v>
      </c>
      <c r="AF927">
        <v>2</v>
      </c>
      <c r="AG927" t="s">
        <v>224</v>
      </c>
      <c r="AH927" s="36">
        <f t="shared" si="14"/>
        <v>33.083333333333336</v>
      </c>
      <c r="AI927" s="40" t="s">
        <v>1778</v>
      </c>
    </row>
    <row r="928" spans="1:35" x14ac:dyDescent="0.25">
      <c r="A928" s="36">
        <v>99910926</v>
      </c>
      <c r="B928" s="17" t="s">
        <v>56</v>
      </c>
      <c r="C928" t="s">
        <v>79</v>
      </c>
      <c r="D928" t="s">
        <v>80</v>
      </c>
      <c r="G928" s="17" t="s">
        <v>35</v>
      </c>
      <c r="H928" s="17">
        <v>1</v>
      </c>
      <c r="I928" t="s">
        <v>959</v>
      </c>
      <c r="J928" s="1">
        <v>43362</v>
      </c>
      <c r="K928" t="s">
        <v>947</v>
      </c>
      <c r="L928" t="s">
        <v>948</v>
      </c>
      <c r="M928" t="s">
        <v>938</v>
      </c>
      <c r="N928">
        <v>1</v>
      </c>
      <c r="O928" t="s">
        <v>40</v>
      </c>
      <c r="S928" t="s">
        <v>40</v>
      </c>
      <c r="U928" s="1">
        <v>43362</v>
      </c>
      <c r="V928" t="s">
        <v>41</v>
      </c>
      <c r="W928" t="s">
        <v>953</v>
      </c>
      <c r="X928" t="str">
        <f>"0610801"</f>
        <v>0610801</v>
      </c>
      <c r="Y928" t="s">
        <v>954</v>
      </c>
      <c r="Z928" t="s">
        <v>947</v>
      </c>
      <c r="AA928" t="s">
        <v>948</v>
      </c>
      <c r="AB928" t="s">
        <v>938</v>
      </c>
      <c r="AC928" t="s">
        <v>44</v>
      </c>
      <c r="AD928" t="s">
        <v>45</v>
      </c>
      <c r="AE928" s="1">
        <v>31544</v>
      </c>
      <c r="AF928">
        <v>2</v>
      </c>
      <c r="AG928" t="s">
        <v>948</v>
      </c>
      <c r="AH928" s="36">
        <f t="shared" si="14"/>
        <v>33.091666666666669</v>
      </c>
      <c r="AI928" s="40" t="s">
        <v>1778</v>
      </c>
    </row>
    <row r="929" spans="1:37" x14ac:dyDescent="0.25">
      <c r="A929" s="36">
        <v>99910927</v>
      </c>
      <c r="B929" s="17" t="s">
        <v>32</v>
      </c>
      <c r="C929" t="s">
        <v>90</v>
      </c>
      <c r="D929" t="s">
        <v>91</v>
      </c>
      <c r="G929" s="17" t="s">
        <v>35</v>
      </c>
      <c r="H929" s="17">
        <v>1</v>
      </c>
      <c r="I929">
        <v>12686</v>
      </c>
      <c r="J929" s="1">
        <v>43344</v>
      </c>
      <c r="K929" t="s">
        <v>354</v>
      </c>
      <c r="L929" t="s">
        <v>355</v>
      </c>
      <c r="M929" t="s">
        <v>131</v>
      </c>
      <c r="N929">
        <v>25</v>
      </c>
      <c r="O929" t="s">
        <v>40</v>
      </c>
      <c r="S929" t="s">
        <v>40</v>
      </c>
      <c r="U929" s="1">
        <v>43344</v>
      </c>
      <c r="V929" t="s">
        <v>41</v>
      </c>
      <c r="W929" t="s">
        <v>95</v>
      </c>
      <c r="X929" t="str">
        <f>"7054139"</f>
        <v>7054139</v>
      </c>
      <c r="Y929" t="s">
        <v>816</v>
      </c>
      <c r="Z929" t="s">
        <v>354</v>
      </c>
      <c r="AA929" t="s">
        <v>355</v>
      </c>
      <c r="AB929" t="s">
        <v>131</v>
      </c>
      <c r="AC929" t="s">
        <v>51</v>
      </c>
      <c r="AD929" t="s">
        <v>45</v>
      </c>
      <c r="AE929" s="1">
        <v>31542</v>
      </c>
      <c r="AF929">
        <v>1</v>
      </c>
      <c r="AG929" t="s">
        <v>355</v>
      </c>
      <c r="AH929" s="36">
        <f t="shared" si="14"/>
        <v>33.097222222222221</v>
      </c>
      <c r="AI929" s="40" t="s">
        <v>1778</v>
      </c>
    </row>
    <row r="930" spans="1:37" x14ac:dyDescent="0.25">
      <c r="A930" s="36">
        <v>99910928</v>
      </c>
      <c r="B930" s="17" t="s">
        <v>32</v>
      </c>
      <c r="C930" t="s">
        <v>90</v>
      </c>
      <c r="D930" t="s">
        <v>91</v>
      </c>
      <c r="G930" s="17" t="s">
        <v>35</v>
      </c>
      <c r="H930" s="17">
        <v>1</v>
      </c>
      <c r="I930" t="s">
        <v>1382</v>
      </c>
      <c r="J930" s="1">
        <v>43344</v>
      </c>
      <c r="K930" t="s">
        <v>1341</v>
      </c>
      <c r="L930" t="s">
        <v>1342</v>
      </c>
      <c r="M930" t="s">
        <v>1270</v>
      </c>
      <c r="N930">
        <v>24</v>
      </c>
      <c r="O930" t="s">
        <v>40</v>
      </c>
      <c r="S930" t="s">
        <v>40</v>
      </c>
      <c r="U930" s="1">
        <v>43344</v>
      </c>
      <c r="V930" t="s">
        <v>41</v>
      </c>
      <c r="W930" t="s">
        <v>95</v>
      </c>
      <c r="X930" t="str">
        <f>"7191091"</f>
        <v>7191091</v>
      </c>
      <c r="Y930" t="s">
        <v>1383</v>
      </c>
      <c r="Z930" t="s">
        <v>1341</v>
      </c>
      <c r="AA930" t="s">
        <v>1342</v>
      </c>
      <c r="AB930" t="s">
        <v>1270</v>
      </c>
      <c r="AC930" t="s">
        <v>51</v>
      </c>
      <c r="AD930" t="s">
        <v>45</v>
      </c>
      <c r="AE930" s="1">
        <v>31527</v>
      </c>
      <c r="AF930">
        <v>1</v>
      </c>
      <c r="AG930" t="s">
        <v>1342</v>
      </c>
      <c r="AH930" s="36">
        <f t="shared" si="14"/>
        <v>33.138888888888886</v>
      </c>
      <c r="AI930" s="40" t="s">
        <v>1778</v>
      </c>
    </row>
    <row r="931" spans="1:37" x14ac:dyDescent="0.25">
      <c r="A931" s="36">
        <v>99910929</v>
      </c>
      <c r="B931" s="17" t="s">
        <v>32</v>
      </c>
      <c r="C931" t="s">
        <v>90</v>
      </c>
      <c r="D931" t="s">
        <v>91</v>
      </c>
      <c r="G931" s="17" t="s">
        <v>35</v>
      </c>
      <c r="H931" s="17">
        <v>1</v>
      </c>
      <c r="I931">
        <v>13580</v>
      </c>
      <c r="J931" s="1">
        <v>43344</v>
      </c>
      <c r="K931" t="s">
        <v>354</v>
      </c>
      <c r="L931" t="s">
        <v>355</v>
      </c>
      <c r="M931" t="s">
        <v>131</v>
      </c>
      <c r="N931">
        <v>25</v>
      </c>
      <c r="O931" t="s">
        <v>40</v>
      </c>
      <c r="S931" t="s">
        <v>40</v>
      </c>
      <c r="U931" s="1">
        <v>43344</v>
      </c>
      <c r="V931" t="s">
        <v>41</v>
      </c>
      <c r="W931" t="s">
        <v>95</v>
      </c>
      <c r="X931" t="str">
        <f>"7054171"</f>
        <v>7054171</v>
      </c>
      <c r="Y931" t="s">
        <v>851</v>
      </c>
      <c r="Z931" t="s">
        <v>354</v>
      </c>
      <c r="AA931" t="s">
        <v>355</v>
      </c>
      <c r="AB931" t="s">
        <v>131</v>
      </c>
      <c r="AC931" t="s">
        <v>44</v>
      </c>
      <c r="AD931" t="s">
        <v>45</v>
      </c>
      <c r="AE931" s="1">
        <v>31524</v>
      </c>
      <c r="AF931">
        <v>1</v>
      </c>
      <c r="AG931" t="s">
        <v>355</v>
      </c>
      <c r="AH931" s="36">
        <f t="shared" si="14"/>
        <v>33.147222222222226</v>
      </c>
      <c r="AI931" s="40" t="s">
        <v>1778</v>
      </c>
    </row>
    <row r="932" spans="1:37" x14ac:dyDescent="0.25">
      <c r="A932" s="36">
        <v>99910930</v>
      </c>
      <c r="B932" s="17" t="s">
        <v>32</v>
      </c>
      <c r="C932" t="s">
        <v>90</v>
      </c>
      <c r="D932" t="s">
        <v>91</v>
      </c>
      <c r="G932" s="17" t="s">
        <v>35</v>
      </c>
      <c r="H932" s="17">
        <v>1</v>
      </c>
      <c r="K932" t="s">
        <v>877</v>
      </c>
      <c r="L932" t="s">
        <v>878</v>
      </c>
      <c r="M932" t="s">
        <v>131</v>
      </c>
      <c r="N932">
        <v>5</v>
      </c>
      <c r="O932" t="s">
        <v>40</v>
      </c>
      <c r="P932" t="s">
        <v>40</v>
      </c>
      <c r="Q932" t="s">
        <v>40</v>
      </c>
      <c r="S932" t="s">
        <v>40</v>
      </c>
      <c r="V932" t="s">
        <v>41</v>
      </c>
      <c r="W932" t="s">
        <v>95</v>
      </c>
      <c r="X932" t="str">
        <f>"7541033"</f>
        <v>7541033</v>
      </c>
      <c r="Y932" t="s">
        <v>902</v>
      </c>
      <c r="Z932" t="s">
        <v>877</v>
      </c>
      <c r="AA932" t="s">
        <v>878</v>
      </c>
      <c r="AB932" t="s">
        <v>131</v>
      </c>
      <c r="AC932" t="s">
        <v>51</v>
      </c>
      <c r="AD932" t="s">
        <v>45</v>
      </c>
      <c r="AE932" s="1">
        <v>31523</v>
      </c>
      <c r="AF932">
        <v>1</v>
      </c>
      <c r="AG932" t="s">
        <v>878</v>
      </c>
      <c r="AH932" s="36">
        <f t="shared" si="14"/>
        <v>33.15</v>
      </c>
      <c r="AI932" s="40" t="s">
        <v>1778</v>
      </c>
    </row>
    <row r="933" spans="1:37" x14ac:dyDescent="0.25">
      <c r="A933" s="36">
        <v>99910931</v>
      </c>
      <c r="B933" s="17" t="s">
        <v>32</v>
      </c>
      <c r="C933" t="s">
        <v>90</v>
      </c>
      <c r="D933" t="s">
        <v>91</v>
      </c>
      <c r="G933" s="17" t="s">
        <v>35</v>
      </c>
      <c r="H933" s="17">
        <v>3</v>
      </c>
      <c r="K933" t="s">
        <v>1221</v>
      </c>
      <c r="L933" t="s">
        <v>1222</v>
      </c>
      <c r="M933" t="s">
        <v>1130</v>
      </c>
      <c r="N933">
        <v>25</v>
      </c>
      <c r="O933" t="s">
        <v>40</v>
      </c>
      <c r="P933" t="s">
        <v>40</v>
      </c>
      <c r="Q933" t="s">
        <v>40</v>
      </c>
      <c r="R933" t="s">
        <v>40</v>
      </c>
      <c r="S933" t="s">
        <v>40</v>
      </c>
      <c r="V933" t="s">
        <v>41</v>
      </c>
      <c r="W933" t="s">
        <v>95</v>
      </c>
      <c r="X933" t="str">
        <f>"7351003"</f>
        <v>7351003</v>
      </c>
      <c r="Y933" t="s">
        <v>1226</v>
      </c>
      <c r="Z933" t="s">
        <v>1221</v>
      </c>
      <c r="AA933" t="s">
        <v>1222</v>
      </c>
      <c r="AB933" t="s">
        <v>1130</v>
      </c>
      <c r="AC933" t="s">
        <v>51</v>
      </c>
      <c r="AD933" t="s">
        <v>45</v>
      </c>
      <c r="AE933" s="1">
        <v>31522</v>
      </c>
      <c r="AF933">
        <v>1</v>
      </c>
      <c r="AG933" t="s">
        <v>1222</v>
      </c>
      <c r="AH933" s="36">
        <f t="shared" si="14"/>
        <v>33.152777777777779</v>
      </c>
      <c r="AI933" s="40" t="s">
        <v>1778</v>
      </c>
    </row>
    <row r="934" spans="1:37" x14ac:dyDescent="0.25">
      <c r="A934" s="36">
        <v>99910932</v>
      </c>
      <c r="B934" s="17" t="s">
        <v>32</v>
      </c>
      <c r="C934" t="s">
        <v>71</v>
      </c>
      <c r="D934" t="s">
        <v>72</v>
      </c>
      <c r="G934" s="17" t="s">
        <v>35</v>
      </c>
      <c r="H934" s="17">
        <v>1</v>
      </c>
      <c r="I934">
        <v>0</v>
      </c>
      <c r="J934" s="1">
        <v>43344</v>
      </c>
      <c r="K934" t="s">
        <v>223</v>
      </c>
      <c r="L934" t="s">
        <v>224</v>
      </c>
      <c r="M934" t="s">
        <v>131</v>
      </c>
      <c r="N934">
        <v>4</v>
      </c>
      <c r="O934" t="s">
        <v>40</v>
      </c>
      <c r="P934" t="s">
        <v>40</v>
      </c>
      <c r="Q934" t="s">
        <v>40</v>
      </c>
      <c r="R934" t="s">
        <v>40</v>
      </c>
      <c r="S934" t="s">
        <v>40</v>
      </c>
      <c r="U934" s="1">
        <v>43344</v>
      </c>
      <c r="V934" t="s">
        <v>41</v>
      </c>
      <c r="W934" t="s">
        <v>49</v>
      </c>
      <c r="X934" t="str">
        <f>"0560034"</f>
        <v>0560034</v>
      </c>
      <c r="Y934" t="s">
        <v>266</v>
      </c>
      <c r="Z934" t="s">
        <v>223</v>
      </c>
      <c r="AA934" t="s">
        <v>224</v>
      </c>
      <c r="AB934" t="s">
        <v>131</v>
      </c>
      <c r="AC934" t="s">
        <v>44</v>
      </c>
      <c r="AD934" t="s">
        <v>45</v>
      </c>
      <c r="AE934" s="1">
        <v>31521</v>
      </c>
      <c r="AF934">
        <v>2</v>
      </c>
      <c r="AG934" t="s">
        <v>224</v>
      </c>
      <c r="AH934" s="36">
        <f t="shared" si="14"/>
        <v>33.155555555555559</v>
      </c>
      <c r="AI934" s="40" t="s">
        <v>1778</v>
      </c>
    </row>
    <row r="935" spans="1:37" x14ac:dyDescent="0.25">
      <c r="A935" s="36">
        <v>99910933</v>
      </c>
      <c r="B935" s="17" t="s">
        <v>32</v>
      </c>
      <c r="C935" t="s">
        <v>52</v>
      </c>
      <c r="D935" t="s">
        <v>53</v>
      </c>
      <c r="G935" s="17" t="s">
        <v>35</v>
      </c>
      <c r="H935" s="17">
        <v>1</v>
      </c>
      <c r="I935" t="s">
        <v>67</v>
      </c>
      <c r="J935" s="1">
        <v>43038</v>
      </c>
      <c r="K935" t="s">
        <v>37</v>
      </c>
      <c r="L935" t="s">
        <v>38</v>
      </c>
      <c r="M935" t="s">
        <v>39</v>
      </c>
      <c r="N935">
        <v>21</v>
      </c>
      <c r="O935" t="s">
        <v>40</v>
      </c>
      <c r="P935" t="s">
        <v>40</v>
      </c>
      <c r="Q935" t="s">
        <v>40</v>
      </c>
      <c r="R935" t="s">
        <v>40</v>
      </c>
      <c r="S935" t="s">
        <v>40</v>
      </c>
      <c r="U935" s="1">
        <v>43038</v>
      </c>
      <c r="V935" t="s">
        <v>41</v>
      </c>
      <c r="W935" t="s">
        <v>49</v>
      </c>
      <c r="X935" t="str">
        <f>"3781010"</f>
        <v>3781010</v>
      </c>
      <c r="Y935" t="s">
        <v>50</v>
      </c>
      <c r="Z935" t="s">
        <v>37</v>
      </c>
      <c r="AA935" t="s">
        <v>38</v>
      </c>
      <c r="AB935" t="s">
        <v>39</v>
      </c>
      <c r="AC935" t="s">
        <v>44</v>
      </c>
      <c r="AD935" t="s">
        <v>45</v>
      </c>
      <c r="AE935" s="1">
        <v>31520</v>
      </c>
      <c r="AF935">
        <v>2</v>
      </c>
      <c r="AG935" t="s">
        <v>38</v>
      </c>
      <c r="AH935" s="36">
        <f t="shared" si="14"/>
        <v>33.158333333333331</v>
      </c>
      <c r="AI935" s="40" t="s">
        <v>1778</v>
      </c>
      <c r="AK935" s="36"/>
    </row>
    <row r="936" spans="1:37" x14ac:dyDescent="0.25">
      <c r="A936" s="36">
        <v>99910934</v>
      </c>
      <c r="B936" s="17" t="s">
        <v>32</v>
      </c>
      <c r="C936" t="s">
        <v>64</v>
      </c>
      <c r="D936" t="s">
        <v>65</v>
      </c>
      <c r="G936" s="17" t="s">
        <v>35</v>
      </c>
      <c r="H936" s="17">
        <v>1</v>
      </c>
      <c r="I936" t="s">
        <v>190</v>
      </c>
      <c r="J936" s="1">
        <v>42979</v>
      </c>
      <c r="K936" t="s">
        <v>157</v>
      </c>
      <c r="L936" t="s">
        <v>158</v>
      </c>
      <c r="M936" t="s">
        <v>131</v>
      </c>
      <c r="N936">
        <v>25</v>
      </c>
      <c r="O936" t="s">
        <v>40</v>
      </c>
      <c r="P936" t="s">
        <v>40</v>
      </c>
      <c r="Q936" t="s">
        <v>40</v>
      </c>
      <c r="R936" t="s">
        <v>40</v>
      </c>
      <c r="S936" t="s">
        <v>40</v>
      </c>
      <c r="U936" s="1">
        <v>42979</v>
      </c>
      <c r="V936" t="s">
        <v>41</v>
      </c>
      <c r="W936" t="s">
        <v>49</v>
      </c>
      <c r="X936" t="str">
        <f>"0560006"</f>
        <v>0560006</v>
      </c>
      <c r="Y936" t="s">
        <v>191</v>
      </c>
      <c r="Z936" t="s">
        <v>157</v>
      </c>
      <c r="AA936" t="s">
        <v>158</v>
      </c>
      <c r="AB936" t="s">
        <v>131</v>
      </c>
      <c r="AC936" t="s">
        <v>44</v>
      </c>
      <c r="AD936" t="s">
        <v>45</v>
      </c>
      <c r="AE936" s="1">
        <v>31517</v>
      </c>
      <c r="AF936">
        <v>2</v>
      </c>
      <c r="AG936" t="s">
        <v>158</v>
      </c>
      <c r="AH936" s="36">
        <f t="shared" si="14"/>
        <v>33.166666666666664</v>
      </c>
      <c r="AI936" s="40" t="s">
        <v>1778</v>
      </c>
    </row>
    <row r="937" spans="1:37" x14ac:dyDescent="0.25">
      <c r="A937" s="36">
        <v>99910935</v>
      </c>
      <c r="B937" s="17" t="s">
        <v>32</v>
      </c>
      <c r="C937" t="s">
        <v>90</v>
      </c>
      <c r="D937" t="s">
        <v>91</v>
      </c>
      <c r="G937" s="17" t="s">
        <v>35</v>
      </c>
      <c r="H937" s="17">
        <v>1</v>
      </c>
      <c r="I937">
        <v>10237</v>
      </c>
      <c r="J937" s="1">
        <v>43344</v>
      </c>
      <c r="K937" t="s">
        <v>354</v>
      </c>
      <c r="L937" t="s">
        <v>355</v>
      </c>
      <c r="M937" t="s">
        <v>131</v>
      </c>
      <c r="N937">
        <v>25</v>
      </c>
      <c r="O937" t="s">
        <v>40</v>
      </c>
      <c r="S937" t="s">
        <v>40</v>
      </c>
      <c r="U937" s="1">
        <v>43344</v>
      </c>
      <c r="V937" t="s">
        <v>41</v>
      </c>
      <c r="W937" t="s">
        <v>95</v>
      </c>
      <c r="X937" t="str">
        <f>"7054181"</f>
        <v>7054181</v>
      </c>
      <c r="Y937" t="s">
        <v>864</v>
      </c>
      <c r="Z937" t="s">
        <v>354</v>
      </c>
      <c r="AA937" t="s">
        <v>355</v>
      </c>
      <c r="AB937" t="s">
        <v>131</v>
      </c>
      <c r="AC937" t="s">
        <v>51</v>
      </c>
      <c r="AD937" t="s">
        <v>45</v>
      </c>
      <c r="AE937" s="1">
        <v>31516</v>
      </c>
      <c r="AF937">
        <v>1</v>
      </c>
      <c r="AG937" t="s">
        <v>355</v>
      </c>
      <c r="AH937" s="36">
        <f t="shared" si="14"/>
        <v>33.169444444444444</v>
      </c>
      <c r="AI937" s="40" t="s">
        <v>1778</v>
      </c>
    </row>
    <row r="938" spans="1:37" x14ac:dyDescent="0.25">
      <c r="A938" s="36">
        <v>99910936</v>
      </c>
      <c r="B938" s="17" t="s">
        <v>32</v>
      </c>
      <c r="C938" t="s">
        <v>90</v>
      </c>
      <c r="D938" t="s">
        <v>91</v>
      </c>
      <c r="G938" s="17" t="s">
        <v>35</v>
      </c>
      <c r="H938" s="17">
        <v>1</v>
      </c>
      <c r="I938">
        <v>12143</v>
      </c>
      <c r="J938" s="1">
        <v>43344</v>
      </c>
      <c r="K938" t="s">
        <v>354</v>
      </c>
      <c r="L938" t="s">
        <v>355</v>
      </c>
      <c r="M938" t="s">
        <v>131</v>
      </c>
      <c r="N938">
        <v>25</v>
      </c>
      <c r="O938" t="s">
        <v>40</v>
      </c>
      <c r="S938" t="s">
        <v>40</v>
      </c>
      <c r="U938" s="1">
        <v>43344</v>
      </c>
      <c r="V938" t="s">
        <v>41</v>
      </c>
      <c r="W938" t="s">
        <v>95</v>
      </c>
      <c r="X938" t="str">
        <f>"7054101"</f>
        <v>7054101</v>
      </c>
      <c r="Y938" t="s">
        <v>832</v>
      </c>
      <c r="Z938" t="s">
        <v>354</v>
      </c>
      <c r="AA938" t="s">
        <v>355</v>
      </c>
      <c r="AB938" t="s">
        <v>131</v>
      </c>
      <c r="AC938" t="s">
        <v>51</v>
      </c>
      <c r="AD938" t="s">
        <v>45</v>
      </c>
      <c r="AE938" s="1">
        <v>31509</v>
      </c>
      <c r="AF938">
        <v>1</v>
      </c>
      <c r="AG938" t="s">
        <v>355</v>
      </c>
      <c r="AH938" s="36">
        <f t="shared" si="14"/>
        <v>33.18888888888889</v>
      </c>
      <c r="AI938" s="40" t="s">
        <v>1778</v>
      </c>
    </row>
    <row r="939" spans="1:37" x14ac:dyDescent="0.25">
      <c r="A939" s="36">
        <v>99910937</v>
      </c>
      <c r="B939" s="17" t="s">
        <v>32</v>
      </c>
      <c r="C939" t="s">
        <v>64</v>
      </c>
      <c r="D939" t="s">
        <v>65</v>
      </c>
      <c r="G939" s="17" t="s">
        <v>48</v>
      </c>
      <c r="H939" s="17">
        <v>1</v>
      </c>
      <c r="K939" t="s">
        <v>380</v>
      </c>
      <c r="L939" t="s">
        <v>381</v>
      </c>
      <c r="M939" t="s">
        <v>131</v>
      </c>
      <c r="N939">
        <v>9</v>
      </c>
      <c r="O939" t="s">
        <v>40</v>
      </c>
      <c r="P939" t="s">
        <v>40</v>
      </c>
      <c r="Q939" t="s">
        <v>40</v>
      </c>
      <c r="R939" t="s">
        <v>40</v>
      </c>
      <c r="S939" t="s">
        <v>40</v>
      </c>
      <c r="V939" t="s">
        <v>41</v>
      </c>
      <c r="W939" t="s">
        <v>49</v>
      </c>
      <c r="X939" t="str">
        <f>"0580552"</f>
        <v>0580552</v>
      </c>
      <c r="Y939" t="s">
        <v>386</v>
      </c>
      <c r="Z939" t="s">
        <v>380</v>
      </c>
      <c r="AA939" t="s">
        <v>381</v>
      </c>
      <c r="AB939" t="s">
        <v>131</v>
      </c>
      <c r="AC939" t="s">
        <v>51</v>
      </c>
      <c r="AD939" t="s">
        <v>45</v>
      </c>
      <c r="AE939" s="1">
        <v>31503</v>
      </c>
      <c r="AF939">
        <v>2</v>
      </c>
      <c r="AG939" t="s">
        <v>381</v>
      </c>
      <c r="AH939" s="36">
        <f t="shared" si="14"/>
        <v>33.205555555555556</v>
      </c>
      <c r="AI939" s="40" t="s">
        <v>1778</v>
      </c>
    </row>
    <row r="940" spans="1:37" x14ac:dyDescent="0.25">
      <c r="A940" s="36">
        <v>99910938</v>
      </c>
      <c r="B940" s="17" t="s">
        <v>56</v>
      </c>
      <c r="C940" t="s">
        <v>79</v>
      </c>
      <c r="D940" t="s">
        <v>80</v>
      </c>
      <c r="G940" s="17" t="s">
        <v>48</v>
      </c>
      <c r="H940" s="17">
        <v>1</v>
      </c>
      <c r="K940" t="s">
        <v>877</v>
      </c>
      <c r="L940" t="s">
        <v>878</v>
      </c>
      <c r="M940" t="s">
        <v>131</v>
      </c>
      <c r="N940">
        <v>18</v>
      </c>
      <c r="O940" t="s">
        <v>40</v>
      </c>
      <c r="P940" t="s">
        <v>40</v>
      </c>
      <c r="Q940" t="s">
        <v>40</v>
      </c>
      <c r="S940" t="s">
        <v>40</v>
      </c>
      <c r="V940" t="s">
        <v>41</v>
      </c>
      <c r="W940" t="s">
        <v>75</v>
      </c>
      <c r="X940" t="str">
        <f>"7541008"</f>
        <v>7541008</v>
      </c>
      <c r="Y940" t="s">
        <v>879</v>
      </c>
      <c r="Z940" t="s">
        <v>877</v>
      </c>
      <c r="AA940" t="s">
        <v>878</v>
      </c>
      <c r="AB940" t="s">
        <v>131</v>
      </c>
      <c r="AC940" t="s">
        <v>51</v>
      </c>
      <c r="AD940" t="s">
        <v>45</v>
      </c>
      <c r="AE940" s="1">
        <v>31499</v>
      </c>
      <c r="AF940">
        <v>1</v>
      </c>
      <c r="AG940" t="s">
        <v>878</v>
      </c>
      <c r="AH940" s="36">
        <f t="shared" si="14"/>
        <v>33.216666666666669</v>
      </c>
      <c r="AI940" s="40" t="s">
        <v>1778</v>
      </c>
    </row>
    <row r="941" spans="1:37" x14ac:dyDescent="0.25">
      <c r="A941" s="36">
        <v>99910939</v>
      </c>
      <c r="B941" s="17" t="s">
        <v>32</v>
      </c>
      <c r="C941" t="s">
        <v>149</v>
      </c>
      <c r="D941" t="s">
        <v>150</v>
      </c>
      <c r="G941" s="17" t="s">
        <v>35</v>
      </c>
      <c r="H941" s="17">
        <v>1</v>
      </c>
      <c r="I941">
        <v>18104</v>
      </c>
      <c r="J941" s="1">
        <v>43344</v>
      </c>
      <c r="K941" t="s">
        <v>345</v>
      </c>
      <c r="L941" t="s">
        <v>346</v>
      </c>
      <c r="M941" t="s">
        <v>131</v>
      </c>
      <c r="N941">
        <v>4</v>
      </c>
      <c r="O941" t="s">
        <v>40</v>
      </c>
      <c r="S941" t="s">
        <v>40</v>
      </c>
      <c r="U941" s="1">
        <v>43344</v>
      </c>
      <c r="V941" t="s">
        <v>41</v>
      </c>
      <c r="W941" t="s">
        <v>367</v>
      </c>
      <c r="X941" t="str">
        <f>"0580655"</f>
        <v>0580655</v>
      </c>
      <c r="Y941" t="s">
        <v>368</v>
      </c>
      <c r="Z941" t="s">
        <v>345</v>
      </c>
      <c r="AA941" t="s">
        <v>346</v>
      </c>
      <c r="AB941" t="s">
        <v>131</v>
      </c>
      <c r="AC941" t="s">
        <v>51</v>
      </c>
      <c r="AD941" t="s">
        <v>45</v>
      </c>
      <c r="AE941" s="1">
        <v>31492</v>
      </c>
      <c r="AF941">
        <v>2</v>
      </c>
      <c r="AG941" t="s">
        <v>346</v>
      </c>
      <c r="AH941" s="36">
        <f t="shared" si="14"/>
        <v>33.236111111111114</v>
      </c>
      <c r="AI941" s="40" t="s">
        <v>1778</v>
      </c>
    </row>
    <row r="942" spans="1:37" x14ac:dyDescent="0.25">
      <c r="A942" s="36">
        <v>99910940</v>
      </c>
      <c r="B942" s="17" t="s">
        <v>32</v>
      </c>
      <c r="C942" t="s">
        <v>90</v>
      </c>
      <c r="D942" t="s">
        <v>91</v>
      </c>
      <c r="G942" s="17" t="s">
        <v>35</v>
      </c>
      <c r="H942" s="17">
        <v>1</v>
      </c>
      <c r="I942" t="s">
        <v>1036</v>
      </c>
      <c r="J942" s="1">
        <v>43354</v>
      </c>
      <c r="K942" t="s">
        <v>1029</v>
      </c>
      <c r="L942" t="s">
        <v>1030</v>
      </c>
      <c r="M942" t="s">
        <v>938</v>
      </c>
      <c r="N942">
        <v>25</v>
      </c>
      <c r="O942" t="s">
        <v>40</v>
      </c>
      <c r="S942" t="s">
        <v>40</v>
      </c>
      <c r="U942" s="1">
        <v>43354</v>
      </c>
      <c r="V942" t="s">
        <v>41</v>
      </c>
      <c r="W942" t="s">
        <v>95</v>
      </c>
      <c r="X942" t="str">
        <f>"7151003"</f>
        <v>7151003</v>
      </c>
      <c r="Y942" t="s">
        <v>1034</v>
      </c>
      <c r="Z942" t="s">
        <v>1029</v>
      </c>
      <c r="AA942" t="s">
        <v>1030</v>
      </c>
      <c r="AB942" t="s">
        <v>938</v>
      </c>
      <c r="AC942" t="s">
        <v>44</v>
      </c>
      <c r="AD942" t="s">
        <v>45</v>
      </c>
      <c r="AE942" s="1">
        <v>31487</v>
      </c>
      <c r="AF942">
        <v>1</v>
      </c>
      <c r="AG942" t="s">
        <v>1030</v>
      </c>
      <c r="AH942" s="36">
        <f t="shared" si="14"/>
        <v>33.25</v>
      </c>
      <c r="AI942" s="40" t="s">
        <v>1778</v>
      </c>
    </row>
    <row r="943" spans="1:37" x14ac:dyDescent="0.25">
      <c r="A943" s="36">
        <v>99910941</v>
      </c>
      <c r="B943" s="17" t="s">
        <v>32</v>
      </c>
      <c r="C943" t="s">
        <v>64</v>
      </c>
      <c r="D943" t="s">
        <v>65</v>
      </c>
      <c r="G943" s="17" t="s">
        <v>48</v>
      </c>
      <c r="H943" s="17">
        <v>1</v>
      </c>
      <c r="K943" t="s">
        <v>1268</v>
      </c>
      <c r="L943" t="s">
        <v>1269</v>
      </c>
      <c r="M943" t="s">
        <v>1270</v>
      </c>
      <c r="N943">
        <v>16</v>
      </c>
      <c r="O943" t="s">
        <v>40</v>
      </c>
      <c r="P943" t="s">
        <v>40</v>
      </c>
      <c r="Q943" t="s">
        <v>40</v>
      </c>
      <c r="R943" t="s">
        <v>40</v>
      </c>
      <c r="S943" t="s">
        <v>40</v>
      </c>
      <c r="X943" t="str">
        <f>""</f>
        <v/>
      </c>
      <c r="AA943" t="s">
        <v>1269</v>
      </c>
      <c r="AB943" t="s">
        <v>1270</v>
      </c>
      <c r="AC943" t="s">
        <v>51</v>
      </c>
      <c r="AD943" t="s">
        <v>45</v>
      </c>
      <c r="AE943" s="1">
        <v>31487</v>
      </c>
      <c r="AF943">
        <v>2</v>
      </c>
      <c r="AG943" t="s">
        <v>1269</v>
      </c>
      <c r="AH943" s="36">
        <f t="shared" si="14"/>
        <v>33.25</v>
      </c>
      <c r="AI943" s="40" t="s">
        <v>1778</v>
      </c>
    </row>
    <row r="944" spans="1:37" x14ac:dyDescent="0.25">
      <c r="A944" s="36">
        <v>99910942</v>
      </c>
      <c r="B944" s="17" t="s">
        <v>32</v>
      </c>
      <c r="C944" t="s">
        <v>61</v>
      </c>
      <c r="D944" t="s">
        <v>62</v>
      </c>
      <c r="G944" s="17" t="s">
        <v>35</v>
      </c>
      <c r="H944" s="17">
        <v>1</v>
      </c>
      <c r="K944" t="s">
        <v>1268</v>
      </c>
      <c r="L944" t="s">
        <v>1269</v>
      </c>
      <c r="M944" t="s">
        <v>1270</v>
      </c>
      <c r="N944">
        <v>21</v>
      </c>
      <c r="O944" t="s">
        <v>40</v>
      </c>
      <c r="P944" t="s">
        <v>40</v>
      </c>
      <c r="Q944" t="s">
        <v>40</v>
      </c>
      <c r="S944" t="s">
        <v>40</v>
      </c>
      <c r="V944" t="s">
        <v>41</v>
      </c>
      <c r="W944" t="s">
        <v>42</v>
      </c>
      <c r="X944" t="str">
        <f>"1990914"</f>
        <v>1990914</v>
      </c>
      <c r="Y944" t="s">
        <v>1275</v>
      </c>
      <c r="Z944" t="s">
        <v>1268</v>
      </c>
      <c r="AA944" t="s">
        <v>1269</v>
      </c>
      <c r="AB944" t="s">
        <v>1270</v>
      </c>
      <c r="AC944" t="s">
        <v>51</v>
      </c>
      <c r="AD944" t="s">
        <v>45</v>
      </c>
      <c r="AE944" s="1">
        <v>31486</v>
      </c>
      <c r="AF944">
        <v>2</v>
      </c>
      <c r="AG944" t="s">
        <v>1269</v>
      </c>
      <c r="AH944" s="36">
        <f t="shared" si="14"/>
        <v>33.25277777777778</v>
      </c>
      <c r="AI944" s="40" t="s">
        <v>1778</v>
      </c>
    </row>
    <row r="945" spans="1:35" x14ac:dyDescent="0.25">
      <c r="A945" s="36">
        <v>99910943</v>
      </c>
      <c r="B945" s="17" t="s">
        <v>32</v>
      </c>
      <c r="C945" t="s">
        <v>46</v>
      </c>
      <c r="D945" t="s">
        <v>47</v>
      </c>
      <c r="G945" s="17" t="s">
        <v>48</v>
      </c>
      <c r="H945" s="17">
        <v>1</v>
      </c>
      <c r="K945" t="s">
        <v>1566</v>
      </c>
      <c r="L945" t="s">
        <v>1567</v>
      </c>
      <c r="M945" t="s">
        <v>1548</v>
      </c>
      <c r="N945">
        <v>15</v>
      </c>
      <c r="O945" t="s">
        <v>40</v>
      </c>
      <c r="P945" t="s">
        <v>40</v>
      </c>
      <c r="Q945" t="s">
        <v>40</v>
      </c>
      <c r="R945" t="s">
        <v>40</v>
      </c>
      <c r="S945" t="s">
        <v>40</v>
      </c>
      <c r="V945" t="s">
        <v>41</v>
      </c>
      <c r="W945" t="s">
        <v>42</v>
      </c>
      <c r="X945" t="str">
        <f>"2961001"</f>
        <v>2961001</v>
      </c>
      <c r="Y945" t="s">
        <v>1568</v>
      </c>
      <c r="Z945" t="s">
        <v>1566</v>
      </c>
      <c r="AA945" t="s">
        <v>1567</v>
      </c>
      <c r="AB945" t="s">
        <v>1548</v>
      </c>
      <c r="AC945" t="s">
        <v>51</v>
      </c>
      <c r="AD945" t="s">
        <v>45</v>
      </c>
      <c r="AE945" s="1">
        <v>31484</v>
      </c>
      <c r="AF945">
        <v>2</v>
      </c>
      <c r="AG945" t="s">
        <v>1567</v>
      </c>
      <c r="AH945" s="36">
        <f t="shared" si="14"/>
        <v>33.258333333333333</v>
      </c>
      <c r="AI945" s="40" t="s">
        <v>1778</v>
      </c>
    </row>
    <row r="946" spans="1:35" x14ac:dyDescent="0.25">
      <c r="A946" s="36">
        <v>99910944</v>
      </c>
      <c r="B946" s="17" t="s">
        <v>32</v>
      </c>
      <c r="C946" t="s">
        <v>79</v>
      </c>
      <c r="D946" t="s">
        <v>80</v>
      </c>
      <c r="G946" s="17" t="s">
        <v>35</v>
      </c>
      <c r="H946" s="17">
        <v>1</v>
      </c>
      <c r="I946" t="s">
        <v>1080</v>
      </c>
      <c r="J946" s="1">
        <v>43344</v>
      </c>
      <c r="K946" t="s">
        <v>1081</v>
      </c>
      <c r="L946" t="s">
        <v>1082</v>
      </c>
      <c r="M946" t="s">
        <v>1053</v>
      </c>
      <c r="N946">
        <v>14</v>
      </c>
      <c r="O946" t="s">
        <v>40</v>
      </c>
      <c r="P946" t="s">
        <v>40</v>
      </c>
      <c r="Q946" t="s">
        <v>40</v>
      </c>
      <c r="R946" t="s">
        <v>40</v>
      </c>
      <c r="S946" t="s">
        <v>40</v>
      </c>
      <c r="U946" s="1">
        <v>43344</v>
      </c>
      <c r="V946" t="s">
        <v>41</v>
      </c>
      <c r="W946" t="s">
        <v>75</v>
      </c>
      <c r="X946" t="str">
        <f>"7201006"</f>
        <v>7201006</v>
      </c>
      <c r="Y946" t="s">
        <v>1083</v>
      </c>
      <c r="Z946" t="s">
        <v>1081</v>
      </c>
      <c r="AA946" t="s">
        <v>1082</v>
      </c>
      <c r="AB946" t="s">
        <v>1053</v>
      </c>
      <c r="AC946" t="s">
        <v>51</v>
      </c>
      <c r="AD946" t="s">
        <v>45</v>
      </c>
      <c r="AE946" s="1">
        <v>31481</v>
      </c>
      <c r="AF946">
        <v>1</v>
      </c>
      <c r="AG946" t="s">
        <v>1082</v>
      </c>
      <c r="AH946" s="36">
        <f t="shared" si="14"/>
        <v>33.266666666666666</v>
      </c>
      <c r="AI946" s="40" t="s">
        <v>1778</v>
      </c>
    </row>
    <row r="947" spans="1:35" x14ac:dyDescent="0.25">
      <c r="A947" s="36">
        <v>99910945</v>
      </c>
      <c r="B947" s="17" t="s">
        <v>56</v>
      </c>
      <c r="C947" t="s">
        <v>111</v>
      </c>
      <c r="D947" t="s">
        <v>112</v>
      </c>
      <c r="G947" s="17" t="s">
        <v>48</v>
      </c>
      <c r="H947" s="17">
        <v>1</v>
      </c>
      <c r="K947" t="s">
        <v>1619</v>
      </c>
      <c r="L947" t="s">
        <v>1620</v>
      </c>
      <c r="M947" t="s">
        <v>1592</v>
      </c>
      <c r="N947">
        <v>23</v>
      </c>
      <c r="O947" t="s">
        <v>40</v>
      </c>
      <c r="P947" t="s">
        <v>40</v>
      </c>
      <c r="Q947" t="s">
        <v>40</v>
      </c>
      <c r="R947" t="s">
        <v>40</v>
      </c>
      <c r="S947" t="s">
        <v>40</v>
      </c>
      <c r="V947" t="s">
        <v>41</v>
      </c>
      <c r="W947" t="s">
        <v>75</v>
      </c>
      <c r="X947" t="str">
        <f>"7281006"</f>
        <v>7281006</v>
      </c>
      <c r="Y947" t="s">
        <v>1618</v>
      </c>
      <c r="Z947" t="s">
        <v>1619</v>
      </c>
      <c r="AA947" t="s">
        <v>1620</v>
      </c>
      <c r="AB947" t="s">
        <v>1592</v>
      </c>
      <c r="AC947" t="s">
        <v>51</v>
      </c>
      <c r="AD947" t="s">
        <v>45</v>
      </c>
      <c r="AE947" s="1">
        <v>31475</v>
      </c>
      <c r="AF947">
        <v>1</v>
      </c>
      <c r="AG947" t="s">
        <v>1620</v>
      </c>
      <c r="AH947" s="36">
        <f t="shared" si="14"/>
        <v>33.283333333333331</v>
      </c>
      <c r="AI947" s="40" t="s">
        <v>1778</v>
      </c>
    </row>
    <row r="948" spans="1:35" x14ac:dyDescent="0.25">
      <c r="A948" s="36">
        <v>99910946</v>
      </c>
      <c r="B948" s="17" t="s">
        <v>32</v>
      </c>
      <c r="C948" t="s">
        <v>58</v>
      </c>
      <c r="D948" t="s">
        <v>59</v>
      </c>
      <c r="G948" s="17" t="s">
        <v>35</v>
      </c>
      <c r="H948" s="17">
        <v>1</v>
      </c>
      <c r="I948" t="s">
        <v>1148</v>
      </c>
      <c r="J948" s="1">
        <v>43355</v>
      </c>
      <c r="K948" t="s">
        <v>1128</v>
      </c>
      <c r="L948" t="s">
        <v>1129</v>
      </c>
      <c r="M948" t="s">
        <v>1130</v>
      </c>
      <c r="N948">
        <v>20</v>
      </c>
      <c r="O948" t="s">
        <v>40</v>
      </c>
      <c r="P948" t="s">
        <v>40</v>
      </c>
      <c r="Q948" t="s">
        <v>40</v>
      </c>
      <c r="R948" t="s">
        <v>40</v>
      </c>
      <c r="S948" t="s">
        <v>40</v>
      </c>
      <c r="U948" s="1">
        <v>43355</v>
      </c>
      <c r="V948" t="s">
        <v>41</v>
      </c>
      <c r="W948" t="s">
        <v>42</v>
      </c>
      <c r="X948" t="str">
        <f>"3180010"</f>
        <v>3180010</v>
      </c>
      <c r="Y948" t="s">
        <v>1132</v>
      </c>
      <c r="Z948" t="s">
        <v>1128</v>
      </c>
      <c r="AA948" t="s">
        <v>1129</v>
      </c>
      <c r="AB948" t="s">
        <v>1130</v>
      </c>
      <c r="AC948" t="s">
        <v>55</v>
      </c>
      <c r="AD948" t="s">
        <v>45</v>
      </c>
      <c r="AE948" s="1">
        <v>31474</v>
      </c>
      <c r="AF948">
        <v>2</v>
      </c>
      <c r="AG948" t="s">
        <v>1129</v>
      </c>
      <c r="AH948" s="36">
        <f t="shared" si="14"/>
        <v>33.286111111111111</v>
      </c>
      <c r="AI948" s="40" t="s">
        <v>1778</v>
      </c>
    </row>
    <row r="949" spans="1:35" x14ac:dyDescent="0.25">
      <c r="A949" s="36">
        <v>99910947</v>
      </c>
      <c r="B949" s="17" t="s">
        <v>32</v>
      </c>
      <c r="C949" t="s">
        <v>46</v>
      </c>
      <c r="D949" t="s">
        <v>47</v>
      </c>
      <c r="G949" s="17" t="s">
        <v>35</v>
      </c>
      <c r="H949" s="17">
        <v>1</v>
      </c>
      <c r="K949" t="s">
        <v>223</v>
      </c>
      <c r="L949" t="s">
        <v>224</v>
      </c>
      <c r="M949" t="s">
        <v>131</v>
      </c>
      <c r="N949">
        <v>23</v>
      </c>
      <c r="O949" t="s">
        <v>40</v>
      </c>
      <c r="P949" t="s">
        <v>40</v>
      </c>
      <c r="Q949" t="s">
        <v>40</v>
      </c>
      <c r="S949" t="s">
        <v>40</v>
      </c>
      <c r="V949" t="s">
        <v>41</v>
      </c>
      <c r="W949" t="s">
        <v>42</v>
      </c>
      <c r="X949" t="str">
        <f>"0590903"</f>
        <v>0590903</v>
      </c>
      <c r="Y949" t="s">
        <v>226</v>
      </c>
      <c r="Z949" t="s">
        <v>223</v>
      </c>
      <c r="AA949" t="s">
        <v>224</v>
      </c>
      <c r="AB949" t="s">
        <v>131</v>
      </c>
      <c r="AC949" t="s">
        <v>51</v>
      </c>
      <c r="AD949" t="s">
        <v>45</v>
      </c>
      <c r="AE949" s="1">
        <v>31452</v>
      </c>
      <c r="AF949">
        <v>2</v>
      </c>
      <c r="AG949" t="s">
        <v>224</v>
      </c>
      <c r="AH949" s="36">
        <f t="shared" si="14"/>
        <v>33.347222222222221</v>
      </c>
      <c r="AI949" s="40" t="s">
        <v>1778</v>
      </c>
    </row>
    <row r="950" spans="1:35" x14ac:dyDescent="0.25">
      <c r="A950" s="36">
        <v>99910948</v>
      </c>
      <c r="B950" s="17" t="s">
        <v>32</v>
      </c>
      <c r="C950" t="s">
        <v>90</v>
      </c>
      <c r="D950" t="s">
        <v>91</v>
      </c>
      <c r="G950" s="17" t="s">
        <v>35</v>
      </c>
      <c r="H950" s="17">
        <v>1</v>
      </c>
      <c r="K950" t="s">
        <v>431</v>
      </c>
      <c r="L950" t="s">
        <v>196</v>
      </c>
      <c r="M950" t="s">
        <v>131</v>
      </c>
      <c r="N950">
        <v>5</v>
      </c>
      <c r="O950" t="s">
        <v>40</v>
      </c>
      <c r="P950" t="s">
        <v>40</v>
      </c>
      <c r="Q950" t="s">
        <v>40</v>
      </c>
      <c r="S950" t="s">
        <v>40</v>
      </c>
      <c r="V950" t="s">
        <v>41</v>
      </c>
      <c r="W950" t="s">
        <v>95</v>
      </c>
      <c r="X950" t="str">
        <f>"7521093"</f>
        <v>7521093</v>
      </c>
      <c r="Y950" t="s">
        <v>556</v>
      </c>
      <c r="Z950" t="s">
        <v>431</v>
      </c>
      <c r="AA950" t="s">
        <v>196</v>
      </c>
      <c r="AB950" t="s">
        <v>131</v>
      </c>
      <c r="AC950" t="s">
        <v>51</v>
      </c>
      <c r="AD950" t="s">
        <v>45</v>
      </c>
      <c r="AE950" s="1">
        <v>31436</v>
      </c>
      <c r="AF950">
        <v>1</v>
      </c>
      <c r="AG950" t="s">
        <v>196</v>
      </c>
      <c r="AH950" s="36">
        <f t="shared" si="14"/>
        <v>33.391666666666666</v>
      </c>
      <c r="AI950" s="40" t="s">
        <v>1778</v>
      </c>
    </row>
    <row r="951" spans="1:35" x14ac:dyDescent="0.25">
      <c r="A951" s="36">
        <v>99910949</v>
      </c>
      <c r="B951" s="17" t="s">
        <v>32</v>
      </c>
      <c r="C951" t="s">
        <v>61</v>
      </c>
      <c r="D951" t="s">
        <v>62</v>
      </c>
      <c r="G951" s="17" t="s">
        <v>35</v>
      </c>
      <c r="H951" s="17">
        <v>1</v>
      </c>
      <c r="I951">
        <v>0</v>
      </c>
      <c r="J951" s="1">
        <v>43344</v>
      </c>
      <c r="K951" t="s">
        <v>223</v>
      </c>
      <c r="L951" t="s">
        <v>224</v>
      </c>
      <c r="M951" t="s">
        <v>131</v>
      </c>
      <c r="N951">
        <v>23</v>
      </c>
      <c r="O951" t="s">
        <v>40</v>
      </c>
      <c r="S951" t="s">
        <v>40</v>
      </c>
      <c r="U951" s="1">
        <v>43344</v>
      </c>
      <c r="V951" t="s">
        <v>41</v>
      </c>
      <c r="W951" t="s">
        <v>42</v>
      </c>
      <c r="X951" t="str">
        <f>"0580206"</f>
        <v>0580206</v>
      </c>
      <c r="Y951" t="s">
        <v>237</v>
      </c>
      <c r="Z951" t="s">
        <v>223</v>
      </c>
      <c r="AA951" t="s">
        <v>224</v>
      </c>
      <c r="AB951" t="s">
        <v>131</v>
      </c>
      <c r="AC951" t="s">
        <v>44</v>
      </c>
      <c r="AD951" t="s">
        <v>45</v>
      </c>
      <c r="AE951" s="1">
        <v>31433</v>
      </c>
      <c r="AF951">
        <v>2</v>
      </c>
      <c r="AG951" t="s">
        <v>224</v>
      </c>
      <c r="AH951" s="36">
        <f t="shared" si="14"/>
        <v>33.4</v>
      </c>
      <c r="AI951" s="40" t="s">
        <v>1778</v>
      </c>
    </row>
    <row r="952" spans="1:35" x14ac:dyDescent="0.25">
      <c r="A952" s="36">
        <v>99910950</v>
      </c>
      <c r="B952" s="17" t="s">
        <v>32</v>
      </c>
      <c r="C952" t="s">
        <v>111</v>
      </c>
      <c r="D952" t="s">
        <v>112</v>
      </c>
      <c r="G952" s="17" t="s">
        <v>35</v>
      </c>
      <c r="H952" s="17">
        <v>1</v>
      </c>
      <c r="K952" t="s">
        <v>268</v>
      </c>
      <c r="L952" t="s">
        <v>269</v>
      </c>
      <c r="M952" t="s">
        <v>131</v>
      </c>
      <c r="N952">
        <v>24</v>
      </c>
      <c r="O952" t="s">
        <v>40</v>
      </c>
      <c r="Q952" t="s">
        <v>40</v>
      </c>
      <c r="S952" t="s">
        <v>40</v>
      </c>
      <c r="V952" t="s">
        <v>41</v>
      </c>
      <c r="W952" t="s">
        <v>75</v>
      </c>
      <c r="X952" t="str">
        <f>"7052028"</f>
        <v>7052028</v>
      </c>
      <c r="Y952" t="s">
        <v>601</v>
      </c>
      <c r="Z952" t="s">
        <v>268</v>
      </c>
      <c r="AA952" t="s">
        <v>269</v>
      </c>
      <c r="AB952" t="s">
        <v>131</v>
      </c>
      <c r="AC952" t="s">
        <v>51</v>
      </c>
      <c r="AD952" t="s">
        <v>45</v>
      </c>
      <c r="AE952" s="1">
        <v>31433</v>
      </c>
      <c r="AF952">
        <v>1</v>
      </c>
      <c r="AG952" t="s">
        <v>269</v>
      </c>
      <c r="AH952" s="36">
        <f t="shared" si="14"/>
        <v>33.4</v>
      </c>
      <c r="AI952" s="40" t="s">
        <v>1778</v>
      </c>
    </row>
    <row r="953" spans="1:35" x14ac:dyDescent="0.25">
      <c r="A953" s="36">
        <v>99910951</v>
      </c>
      <c r="B953" s="17" t="s">
        <v>32</v>
      </c>
      <c r="C953" t="s">
        <v>90</v>
      </c>
      <c r="D953" t="s">
        <v>91</v>
      </c>
      <c r="G953" s="17" t="s">
        <v>35</v>
      </c>
      <c r="H953" s="17">
        <v>1</v>
      </c>
      <c r="K953" t="s">
        <v>877</v>
      </c>
      <c r="L953" t="s">
        <v>878</v>
      </c>
      <c r="M953" t="s">
        <v>131</v>
      </c>
      <c r="N953">
        <v>25</v>
      </c>
      <c r="O953" t="s">
        <v>40</v>
      </c>
      <c r="P953" t="s">
        <v>40</v>
      </c>
      <c r="Q953" t="s">
        <v>40</v>
      </c>
      <c r="S953" t="s">
        <v>40</v>
      </c>
      <c r="V953" t="s">
        <v>41</v>
      </c>
      <c r="W953" t="s">
        <v>95</v>
      </c>
      <c r="X953" t="str">
        <f>"7541023"</f>
        <v>7541023</v>
      </c>
      <c r="Y953" t="s">
        <v>890</v>
      </c>
      <c r="Z953" t="s">
        <v>877</v>
      </c>
      <c r="AA953" t="s">
        <v>878</v>
      </c>
      <c r="AB953" t="s">
        <v>131</v>
      </c>
      <c r="AC953" t="s">
        <v>51</v>
      </c>
      <c r="AD953" t="s">
        <v>45</v>
      </c>
      <c r="AE953" s="1">
        <v>31427</v>
      </c>
      <c r="AF953">
        <v>1</v>
      </c>
      <c r="AG953" t="s">
        <v>878</v>
      </c>
      <c r="AH953" s="36">
        <f t="shared" si="14"/>
        <v>33.416666666666664</v>
      </c>
      <c r="AI953" s="40" t="s">
        <v>1778</v>
      </c>
    </row>
    <row r="954" spans="1:35" x14ac:dyDescent="0.25">
      <c r="A954" s="36">
        <v>99910952</v>
      </c>
      <c r="B954" s="17" t="s">
        <v>32</v>
      </c>
      <c r="C954" t="s">
        <v>90</v>
      </c>
      <c r="D954" t="s">
        <v>91</v>
      </c>
      <c r="G954" s="17" t="s">
        <v>35</v>
      </c>
      <c r="H954" s="17">
        <v>1</v>
      </c>
      <c r="I954">
        <v>1779435</v>
      </c>
      <c r="J954" s="1">
        <v>43344</v>
      </c>
      <c r="K954" t="s">
        <v>268</v>
      </c>
      <c r="L954" t="s">
        <v>269</v>
      </c>
      <c r="M954" t="s">
        <v>131</v>
      </c>
      <c r="N954">
        <v>20</v>
      </c>
      <c r="O954" t="s">
        <v>40</v>
      </c>
      <c r="S954" t="s">
        <v>40</v>
      </c>
      <c r="V954" t="s">
        <v>41</v>
      </c>
      <c r="W954" t="s">
        <v>95</v>
      </c>
      <c r="X954" t="str">
        <f>"7052189"</f>
        <v>7052189</v>
      </c>
      <c r="Y954" t="s">
        <v>585</v>
      </c>
      <c r="Z954" t="s">
        <v>268</v>
      </c>
      <c r="AA954" t="s">
        <v>269</v>
      </c>
      <c r="AB954" t="s">
        <v>131</v>
      </c>
      <c r="AC954" t="s">
        <v>51</v>
      </c>
      <c r="AD954" t="s">
        <v>45</v>
      </c>
      <c r="AE954" s="1">
        <v>31426</v>
      </c>
      <c r="AF954">
        <v>1</v>
      </c>
      <c r="AG954" t="s">
        <v>269</v>
      </c>
      <c r="AH954" s="36">
        <f t="shared" si="14"/>
        <v>33.419444444444444</v>
      </c>
      <c r="AI954" s="40" t="s">
        <v>1778</v>
      </c>
    </row>
    <row r="955" spans="1:35" x14ac:dyDescent="0.25">
      <c r="A955" s="36">
        <v>99910953</v>
      </c>
      <c r="B955" s="17" t="s">
        <v>32</v>
      </c>
      <c r="C955" t="s">
        <v>90</v>
      </c>
      <c r="D955" t="s">
        <v>91</v>
      </c>
      <c r="G955" s="17" t="s">
        <v>35</v>
      </c>
      <c r="H955" s="17">
        <v>1</v>
      </c>
      <c r="I955">
        <v>4978</v>
      </c>
      <c r="J955" s="1">
        <v>43344</v>
      </c>
      <c r="K955" t="s">
        <v>354</v>
      </c>
      <c r="L955" t="s">
        <v>355</v>
      </c>
      <c r="M955" t="s">
        <v>131</v>
      </c>
      <c r="N955">
        <v>25</v>
      </c>
      <c r="O955" t="s">
        <v>40</v>
      </c>
      <c r="P955" t="s">
        <v>40</v>
      </c>
      <c r="Q955" t="s">
        <v>40</v>
      </c>
      <c r="R955" t="s">
        <v>40</v>
      </c>
      <c r="S955" t="s">
        <v>40</v>
      </c>
      <c r="U955" s="1">
        <v>43344</v>
      </c>
      <c r="V955" t="s">
        <v>41</v>
      </c>
      <c r="W955" t="s">
        <v>95</v>
      </c>
      <c r="X955" t="str">
        <f>"7054007"</f>
        <v>7054007</v>
      </c>
      <c r="Y955" t="s">
        <v>775</v>
      </c>
      <c r="Z955" t="s">
        <v>354</v>
      </c>
      <c r="AA955" t="s">
        <v>355</v>
      </c>
      <c r="AB955" t="s">
        <v>131</v>
      </c>
      <c r="AC955" t="s">
        <v>51</v>
      </c>
      <c r="AD955" t="s">
        <v>45</v>
      </c>
      <c r="AE955" s="1">
        <v>31420</v>
      </c>
      <c r="AF955">
        <v>1</v>
      </c>
      <c r="AG955" t="s">
        <v>355</v>
      </c>
      <c r="AH955" s="36">
        <f t="shared" si="14"/>
        <v>33.43611111111111</v>
      </c>
      <c r="AI955" s="40" t="s">
        <v>1778</v>
      </c>
    </row>
    <row r="956" spans="1:35" x14ac:dyDescent="0.25">
      <c r="A956" s="36">
        <v>99910954</v>
      </c>
      <c r="B956" s="17" t="s">
        <v>56</v>
      </c>
      <c r="C956" t="s">
        <v>257</v>
      </c>
      <c r="D956" t="s">
        <v>258</v>
      </c>
      <c r="G956" s="17" t="s">
        <v>35</v>
      </c>
      <c r="H956" s="17">
        <v>1</v>
      </c>
      <c r="I956" t="s">
        <v>277</v>
      </c>
      <c r="J956" s="1">
        <v>43344</v>
      </c>
      <c r="K956" t="s">
        <v>223</v>
      </c>
      <c r="L956" t="s">
        <v>224</v>
      </c>
      <c r="M956" t="s">
        <v>131</v>
      </c>
      <c r="N956">
        <v>15</v>
      </c>
      <c r="O956" t="s">
        <v>40</v>
      </c>
      <c r="P956" t="s">
        <v>40</v>
      </c>
      <c r="Q956" t="s">
        <v>40</v>
      </c>
      <c r="R956" t="s">
        <v>40</v>
      </c>
      <c r="S956" t="s">
        <v>40</v>
      </c>
      <c r="U956" s="1">
        <v>43344</v>
      </c>
      <c r="V956" t="s">
        <v>41</v>
      </c>
      <c r="W956" t="s">
        <v>49</v>
      </c>
      <c r="X956" t="str">
        <f>"0561022"</f>
        <v>0561022</v>
      </c>
      <c r="Y956" t="s">
        <v>225</v>
      </c>
      <c r="Z956" t="s">
        <v>223</v>
      </c>
      <c r="AA956" t="s">
        <v>224</v>
      </c>
      <c r="AB956" t="s">
        <v>131</v>
      </c>
      <c r="AC956" t="s">
        <v>44</v>
      </c>
      <c r="AD956" t="s">
        <v>45</v>
      </c>
      <c r="AE956" s="1">
        <v>31419</v>
      </c>
      <c r="AF956">
        <v>2</v>
      </c>
      <c r="AG956" t="s">
        <v>224</v>
      </c>
      <c r="AH956" s="36">
        <f t="shared" si="14"/>
        <v>33.43888888888889</v>
      </c>
      <c r="AI956" s="40" t="s">
        <v>1778</v>
      </c>
    </row>
    <row r="957" spans="1:35" x14ac:dyDescent="0.25">
      <c r="A957" s="36">
        <v>99910955</v>
      </c>
      <c r="B957" s="17" t="s">
        <v>32</v>
      </c>
      <c r="C957" t="s">
        <v>52</v>
      </c>
      <c r="D957" t="s">
        <v>53</v>
      </c>
      <c r="G957" s="17" t="s">
        <v>35</v>
      </c>
      <c r="H957" s="17">
        <v>1</v>
      </c>
      <c r="I957" t="s">
        <v>272</v>
      </c>
      <c r="J957" s="1">
        <v>43344</v>
      </c>
      <c r="K957" t="s">
        <v>223</v>
      </c>
      <c r="L957" t="s">
        <v>224</v>
      </c>
      <c r="M957" t="s">
        <v>131</v>
      </c>
      <c r="N957">
        <v>20</v>
      </c>
      <c r="O957" t="s">
        <v>40</v>
      </c>
      <c r="P957" t="s">
        <v>40</v>
      </c>
      <c r="S957" t="s">
        <v>40</v>
      </c>
      <c r="U957" s="1">
        <v>43344</v>
      </c>
      <c r="V957" t="s">
        <v>41</v>
      </c>
      <c r="W957" t="s">
        <v>49</v>
      </c>
      <c r="X957" t="str">
        <f>"0581204"</f>
        <v>0581204</v>
      </c>
      <c r="Y957" t="s">
        <v>249</v>
      </c>
      <c r="Z957" t="s">
        <v>223</v>
      </c>
      <c r="AA957" t="s">
        <v>224</v>
      </c>
      <c r="AB957" t="s">
        <v>131</v>
      </c>
      <c r="AC957" t="s">
        <v>44</v>
      </c>
      <c r="AD957" t="s">
        <v>45</v>
      </c>
      <c r="AE957" s="1">
        <v>31413</v>
      </c>
      <c r="AF957">
        <v>2</v>
      </c>
      <c r="AG957" t="s">
        <v>224</v>
      </c>
      <c r="AH957" s="36">
        <f t="shared" si="14"/>
        <v>33.455555555555556</v>
      </c>
      <c r="AI957" s="40" t="s">
        <v>1778</v>
      </c>
    </row>
    <row r="958" spans="1:35" x14ac:dyDescent="0.25">
      <c r="A958" s="36">
        <v>99910956</v>
      </c>
      <c r="B958" s="17" t="s">
        <v>32</v>
      </c>
      <c r="C958" t="s">
        <v>111</v>
      </c>
      <c r="D958" t="s">
        <v>112</v>
      </c>
      <c r="G958" s="17" t="s">
        <v>48</v>
      </c>
      <c r="H958" s="17">
        <v>1</v>
      </c>
      <c r="K958" t="s">
        <v>407</v>
      </c>
      <c r="L958" t="s">
        <v>155</v>
      </c>
      <c r="M958" t="s">
        <v>131</v>
      </c>
      <c r="N958">
        <v>25</v>
      </c>
      <c r="O958" t="s">
        <v>40</v>
      </c>
      <c r="P958" t="s">
        <v>40</v>
      </c>
      <c r="Q958" t="s">
        <v>40</v>
      </c>
      <c r="R958" t="s">
        <v>40</v>
      </c>
      <c r="S958" t="s">
        <v>40</v>
      </c>
      <c r="V958" t="s">
        <v>41</v>
      </c>
      <c r="W958" t="s">
        <v>75</v>
      </c>
      <c r="X958" t="str">
        <f>"7053018"</f>
        <v>7053018</v>
      </c>
      <c r="Y958" t="s">
        <v>408</v>
      </c>
      <c r="Z958" t="s">
        <v>407</v>
      </c>
      <c r="AA958" t="s">
        <v>409</v>
      </c>
      <c r="AB958" t="s">
        <v>131</v>
      </c>
      <c r="AC958" t="s">
        <v>51</v>
      </c>
      <c r="AD958" t="s">
        <v>45</v>
      </c>
      <c r="AE958" s="1">
        <v>31413</v>
      </c>
      <c r="AF958">
        <v>1</v>
      </c>
      <c r="AG958" t="s">
        <v>155</v>
      </c>
      <c r="AH958" s="36">
        <f t="shared" si="14"/>
        <v>33.455555555555556</v>
      </c>
      <c r="AI958" s="40" t="s">
        <v>1778</v>
      </c>
    </row>
    <row r="959" spans="1:35" x14ac:dyDescent="0.25">
      <c r="A959" s="36">
        <v>99910957</v>
      </c>
      <c r="B959" s="17" t="s">
        <v>32</v>
      </c>
      <c r="C959" t="s">
        <v>111</v>
      </c>
      <c r="D959" t="s">
        <v>112</v>
      </c>
      <c r="G959" s="17" t="s">
        <v>48</v>
      </c>
      <c r="H959" s="17">
        <v>1</v>
      </c>
      <c r="K959" t="s">
        <v>354</v>
      </c>
      <c r="L959" t="s">
        <v>155</v>
      </c>
      <c r="M959" t="s">
        <v>131</v>
      </c>
      <c r="N959">
        <v>24</v>
      </c>
      <c r="O959" t="s">
        <v>40</v>
      </c>
      <c r="P959" t="s">
        <v>40</v>
      </c>
      <c r="Q959" t="s">
        <v>40</v>
      </c>
      <c r="R959" t="s">
        <v>40</v>
      </c>
      <c r="S959" t="s">
        <v>40</v>
      </c>
      <c r="V959" t="s">
        <v>41</v>
      </c>
      <c r="W959" t="s">
        <v>75</v>
      </c>
      <c r="X959" t="str">
        <f>"7054038"</f>
        <v>7054038</v>
      </c>
      <c r="Y959" t="s">
        <v>377</v>
      </c>
      <c r="Z959" t="s">
        <v>354</v>
      </c>
      <c r="AA959" t="s">
        <v>355</v>
      </c>
      <c r="AB959" t="s">
        <v>131</v>
      </c>
      <c r="AC959" t="s">
        <v>51</v>
      </c>
      <c r="AD959" t="s">
        <v>45</v>
      </c>
      <c r="AE959" s="1">
        <v>31413</v>
      </c>
      <c r="AF959">
        <v>1</v>
      </c>
      <c r="AG959" t="s">
        <v>155</v>
      </c>
      <c r="AH959" s="36">
        <f t="shared" si="14"/>
        <v>33.455555555555556</v>
      </c>
      <c r="AI959" s="40" t="s">
        <v>1778</v>
      </c>
    </row>
    <row r="960" spans="1:35" x14ac:dyDescent="0.25">
      <c r="A960" s="36">
        <v>99910958</v>
      </c>
      <c r="B960" s="17" t="s">
        <v>32</v>
      </c>
      <c r="C960" t="s">
        <v>111</v>
      </c>
      <c r="D960" t="s">
        <v>112</v>
      </c>
      <c r="G960" s="17" t="s">
        <v>35</v>
      </c>
      <c r="H960" s="17">
        <v>4</v>
      </c>
      <c r="K960" t="s">
        <v>268</v>
      </c>
      <c r="L960" t="s">
        <v>269</v>
      </c>
      <c r="M960" t="s">
        <v>131</v>
      </c>
      <c r="N960">
        <v>24</v>
      </c>
      <c r="O960" t="s">
        <v>40</v>
      </c>
      <c r="P960" t="s">
        <v>40</v>
      </c>
      <c r="Q960" t="s">
        <v>40</v>
      </c>
      <c r="R960" t="s">
        <v>40</v>
      </c>
      <c r="S960" t="s">
        <v>40</v>
      </c>
      <c r="V960" t="s">
        <v>41</v>
      </c>
      <c r="W960" t="s">
        <v>75</v>
      </c>
      <c r="X960" t="str">
        <f>"7052002"</f>
        <v>7052002</v>
      </c>
      <c r="Y960" t="s">
        <v>590</v>
      </c>
      <c r="Z960" t="s">
        <v>268</v>
      </c>
      <c r="AA960" t="s">
        <v>269</v>
      </c>
      <c r="AB960" t="s">
        <v>131</v>
      </c>
      <c r="AC960" t="s">
        <v>51</v>
      </c>
      <c r="AD960" t="s">
        <v>45</v>
      </c>
      <c r="AE960" s="1">
        <v>31413</v>
      </c>
      <c r="AF960">
        <v>1</v>
      </c>
      <c r="AG960" t="s">
        <v>269</v>
      </c>
      <c r="AH960" s="36">
        <f t="shared" si="14"/>
        <v>33.455555555555556</v>
      </c>
      <c r="AI960" s="40" t="s">
        <v>1778</v>
      </c>
    </row>
    <row r="961" spans="1:35" x14ac:dyDescent="0.25">
      <c r="A961" s="36">
        <v>99910959</v>
      </c>
      <c r="B961" s="17" t="s">
        <v>32</v>
      </c>
      <c r="C961" t="s">
        <v>90</v>
      </c>
      <c r="D961" t="s">
        <v>91</v>
      </c>
      <c r="G961" s="17" t="s">
        <v>35</v>
      </c>
      <c r="H961" s="17">
        <v>1</v>
      </c>
      <c r="I961" t="s">
        <v>286</v>
      </c>
      <c r="J961" s="1">
        <v>43344</v>
      </c>
      <c r="K961" t="s">
        <v>268</v>
      </c>
      <c r="L961" t="s">
        <v>269</v>
      </c>
      <c r="M961" t="s">
        <v>131</v>
      </c>
      <c r="N961">
        <v>25</v>
      </c>
      <c r="O961" t="s">
        <v>40</v>
      </c>
      <c r="S961" t="s">
        <v>40</v>
      </c>
      <c r="V961" t="s">
        <v>41</v>
      </c>
      <c r="W961" t="s">
        <v>95</v>
      </c>
      <c r="X961" t="str">
        <f>"7052063"</f>
        <v>7052063</v>
      </c>
      <c r="Y961" t="s">
        <v>642</v>
      </c>
      <c r="Z961" t="s">
        <v>268</v>
      </c>
      <c r="AA961" t="s">
        <v>269</v>
      </c>
      <c r="AB961" t="s">
        <v>131</v>
      </c>
      <c r="AC961" t="s">
        <v>55</v>
      </c>
      <c r="AD961" t="s">
        <v>45</v>
      </c>
      <c r="AE961" s="1">
        <v>31413</v>
      </c>
      <c r="AF961">
        <v>1</v>
      </c>
      <c r="AG961" t="s">
        <v>269</v>
      </c>
      <c r="AH961" s="36">
        <f t="shared" si="14"/>
        <v>33.455555555555556</v>
      </c>
      <c r="AI961" s="40" t="s">
        <v>1778</v>
      </c>
    </row>
    <row r="962" spans="1:35" x14ac:dyDescent="0.25">
      <c r="A962" s="36">
        <v>99910960</v>
      </c>
      <c r="B962" s="17" t="s">
        <v>32</v>
      </c>
      <c r="C962" t="s">
        <v>111</v>
      </c>
      <c r="D962" t="s">
        <v>112</v>
      </c>
      <c r="G962" s="17" t="s">
        <v>48</v>
      </c>
      <c r="H962" s="17">
        <v>1</v>
      </c>
      <c r="I962" t="s">
        <v>532</v>
      </c>
      <c r="J962" s="1">
        <v>41961</v>
      </c>
      <c r="K962" t="s">
        <v>407</v>
      </c>
      <c r="L962" t="s">
        <v>409</v>
      </c>
      <c r="M962" t="s">
        <v>131</v>
      </c>
      <c r="N962">
        <v>24</v>
      </c>
      <c r="O962" t="s">
        <v>40</v>
      </c>
      <c r="P962" t="s">
        <v>40</v>
      </c>
      <c r="Q962" t="s">
        <v>40</v>
      </c>
      <c r="R962" t="s">
        <v>40</v>
      </c>
      <c r="S962" t="s">
        <v>40</v>
      </c>
      <c r="U962" s="1">
        <v>41961</v>
      </c>
      <c r="V962" t="s">
        <v>41</v>
      </c>
      <c r="W962" t="s">
        <v>75</v>
      </c>
      <c r="X962" t="str">
        <f>"7053000"</f>
        <v>7053000</v>
      </c>
      <c r="Y962" t="s">
        <v>754</v>
      </c>
      <c r="Z962" t="s">
        <v>407</v>
      </c>
      <c r="AA962" t="s">
        <v>409</v>
      </c>
      <c r="AB962" t="s">
        <v>131</v>
      </c>
      <c r="AC962" t="s">
        <v>51</v>
      </c>
      <c r="AD962" t="s">
        <v>45</v>
      </c>
      <c r="AE962" s="1">
        <v>31413</v>
      </c>
      <c r="AF962">
        <v>1</v>
      </c>
      <c r="AG962" t="s">
        <v>409</v>
      </c>
      <c r="AH962" s="36">
        <f t="shared" ref="AH962:AH1025" si="15">($AJ$1-AE962)/360</f>
        <v>33.455555555555556</v>
      </c>
      <c r="AI962" s="40" t="s">
        <v>1778</v>
      </c>
    </row>
    <row r="963" spans="1:35" x14ac:dyDescent="0.25">
      <c r="A963" s="36">
        <v>99910961</v>
      </c>
      <c r="B963" s="17" t="s">
        <v>32</v>
      </c>
      <c r="C963" t="s">
        <v>90</v>
      </c>
      <c r="D963" t="s">
        <v>91</v>
      </c>
      <c r="G963" s="17" t="s">
        <v>35</v>
      </c>
      <c r="H963" s="17">
        <v>1</v>
      </c>
      <c r="I963" s="1">
        <v>41520</v>
      </c>
      <c r="J963" s="1">
        <v>43344</v>
      </c>
      <c r="K963" t="s">
        <v>1341</v>
      </c>
      <c r="L963" t="s">
        <v>1342</v>
      </c>
      <c r="M963" t="s">
        <v>1270</v>
      </c>
      <c r="N963">
        <v>24</v>
      </c>
      <c r="O963" t="s">
        <v>40</v>
      </c>
      <c r="P963" t="s">
        <v>40</v>
      </c>
      <c r="Q963" t="s">
        <v>40</v>
      </c>
      <c r="R963" t="s">
        <v>40</v>
      </c>
      <c r="S963" t="s">
        <v>40</v>
      </c>
      <c r="U963" s="1">
        <v>43344</v>
      </c>
      <c r="V963" t="s">
        <v>41</v>
      </c>
      <c r="W963" t="s">
        <v>75</v>
      </c>
      <c r="X963" t="str">
        <f>"7191034"</f>
        <v>7191034</v>
      </c>
      <c r="Y963" t="s">
        <v>1343</v>
      </c>
      <c r="Z963" t="s">
        <v>1341</v>
      </c>
      <c r="AA963" t="s">
        <v>1342</v>
      </c>
      <c r="AB963" t="s">
        <v>1270</v>
      </c>
      <c r="AC963" t="s">
        <v>51</v>
      </c>
      <c r="AD963" t="s">
        <v>45</v>
      </c>
      <c r="AE963" s="1">
        <v>31413</v>
      </c>
      <c r="AF963">
        <v>1</v>
      </c>
      <c r="AG963" t="s">
        <v>1342</v>
      </c>
      <c r="AH963" s="36">
        <f t="shared" si="15"/>
        <v>33.455555555555556</v>
      </c>
      <c r="AI963" s="40" t="s">
        <v>1778</v>
      </c>
    </row>
    <row r="964" spans="1:35" x14ac:dyDescent="0.25">
      <c r="A964" s="36">
        <v>99910962</v>
      </c>
      <c r="B964" s="17" t="s">
        <v>32</v>
      </c>
      <c r="C964" t="s">
        <v>90</v>
      </c>
      <c r="D964" t="s">
        <v>91</v>
      </c>
      <c r="G964" s="17" t="s">
        <v>48</v>
      </c>
      <c r="H964" s="17">
        <v>1</v>
      </c>
      <c r="K964" t="s">
        <v>1581</v>
      </c>
      <c r="L964" t="s">
        <v>1582</v>
      </c>
      <c r="M964" t="s">
        <v>1548</v>
      </c>
      <c r="N964">
        <v>24</v>
      </c>
      <c r="O964" t="s">
        <v>40</v>
      </c>
      <c r="P964" t="s">
        <v>40</v>
      </c>
      <c r="Q964" t="s">
        <v>40</v>
      </c>
      <c r="S964" t="s">
        <v>40</v>
      </c>
      <c r="V964" t="s">
        <v>41</v>
      </c>
      <c r="W964" t="s">
        <v>75</v>
      </c>
      <c r="X964" t="str">
        <f>"7291000"</f>
        <v>7291000</v>
      </c>
      <c r="Y964" t="s">
        <v>1584</v>
      </c>
      <c r="Z964" t="s">
        <v>1581</v>
      </c>
      <c r="AA964" t="s">
        <v>1582</v>
      </c>
      <c r="AB964" t="s">
        <v>1548</v>
      </c>
      <c r="AC964" t="s">
        <v>51</v>
      </c>
      <c r="AD964" t="s">
        <v>45</v>
      </c>
      <c r="AE964" s="1">
        <v>31413</v>
      </c>
      <c r="AF964">
        <v>1</v>
      </c>
      <c r="AG964" t="s">
        <v>1582</v>
      </c>
      <c r="AH964" s="36">
        <f t="shared" si="15"/>
        <v>33.455555555555556</v>
      </c>
      <c r="AI964" s="40" t="s">
        <v>1778</v>
      </c>
    </row>
    <row r="965" spans="1:35" x14ac:dyDescent="0.25">
      <c r="A965" s="36">
        <v>99910963</v>
      </c>
      <c r="B965" s="17" t="s">
        <v>32</v>
      </c>
      <c r="C965" t="s">
        <v>71</v>
      </c>
      <c r="D965" t="s">
        <v>72</v>
      </c>
      <c r="G965" s="17" t="s">
        <v>48</v>
      </c>
      <c r="H965" s="17">
        <v>1</v>
      </c>
      <c r="K965" t="s">
        <v>1590</v>
      </c>
      <c r="L965" t="s">
        <v>1591</v>
      </c>
      <c r="M965" t="s">
        <v>1592</v>
      </c>
      <c r="N965">
        <v>6</v>
      </c>
      <c r="O965" t="s">
        <v>40</v>
      </c>
      <c r="P965" t="s">
        <v>40</v>
      </c>
      <c r="Q965" t="s">
        <v>40</v>
      </c>
      <c r="R965" t="s">
        <v>40</v>
      </c>
      <c r="S965" t="s">
        <v>40</v>
      </c>
      <c r="V965" t="s">
        <v>41</v>
      </c>
      <c r="W965" t="s">
        <v>49</v>
      </c>
      <c r="X965" t="str">
        <f>"0260002"</f>
        <v>0260002</v>
      </c>
      <c r="Y965" t="s">
        <v>1593</v>
      </c>
      <c r="Z965" t="s">
        <v>1590</v>
      </c>
      <c r="AA965" t="s">
        <v>1591</v>
      </c>
      <c r="AB965" t="s">
        <v>1592</v>
      </c>
      <c r="AC965" t="s">
        <v>51</v>
      </c>
      <c r="AD965" t="s">
        <v>45</v>
      </c>
      <c r="AE965" s="1">
        <v>31413</v>
      </c>
      <c r="AF965">
        <v>2</v>
      </c>
      <c r="AG965" t="s">
        <v>1591</v>
      </c>
      <c r="AH965" s="36">
        <f t="shared" si="15"/>
        <v>33.455555555555556</v>
      </c>
      <c r="AI965" s="40" t="s">
        <v>1778</v>
      </c>
    </row>
    <row r="966" spans="1:35" x14ac:dyDescent="0.25">
      <c r="A966" s="36">
        <v>99910964</v>
      </c>
      <c r="B966" s="17" t="s">
        <v>32</v>
      </c>
      <c r="C966" t="s">
        <v>111</v>
      </c>
      <c r="D966" t="s">
        <v>112</v>
      </c>
      <c r="G966" s="17" t="s">
        <v>35</v>
      </c>
      <c r="H966" s="17">
        <v>1</v>
      </c>
      <c r="I966" t="s">
        <v>1585</v>
      </c>
      <c r="J966" s="1">
        <v>43344</v>
      </c>
      <c r="K966" t="s">
        <v>1581</v>
      </c>
      <c r="L966" t="s">
        <v>1582</v>
      </c>
      <c r="M966" t="s">
        <v>1548</v>
      </c>
      <c r="N966">
        <v>24</v>
      </c>
      <c r="O966" t="s">
        <v>40</v>
      </c>
      <c r="S966" t="s">
        <v>40</v>
      </c>
      <c r="U966" s="1">
        <v>43344</v>
      </c>
      <c r="V966" t="s">
        <v>41</v>
      </c>
      <c r="W966" t="s">
        <v>75</v>
      </c>
      <c r="X966" t="str">
        <f>"7291002"</f>
        <v>7291002</v>
      </c>
      <c r="Y966" t="s">
        <v>1583</v>
      </c>
      <c r="Z966" t="s">
        <v>1581</v>
      </c>
      <c r="AA966" t="s">
        <v>1582</v>
      </c>
      <c r="AB966" t="s">
        <v>1548</v>
      </c>
      <c r="AC966" t="s">
        <v>51</v>
      </c>
      <c r="AD966" t="s">
        <v>45</v>
      </c>
      <c r="AE966" s="1">
        <v>31409</v>
      </c>
      <c r="AF966">
        <v>1</v>
      </c>
      <c r="AG966" t="s">
        <v>1582</v>
      </c>
      <c r="AH966" s="36">
        <f t="shared" si="15"/>
        <v>33.466666666666669</v>
      </c>
      <c r="AI966" s="40" t="s">
        <v>1778</v>
      </c>
    </row>
    <row r="967" spans="1:35" x14ac:dyDescent="0.25">
      <c r="A967" s="36">
        <v>99910965</v>
      </c>
      <c r="B967" s="17" t="s">
        <v>32</v>
      </c>
      <c r="C967" t="s">
        <v>143</v>
      </c>
      <c r="D967" t="s">
        <v>144</v>
      </c>
      <c r="G967" s="17" t="s">
        <v>35</v>
      </c>
      <c r="H967" s="17">
        <v>1</v>
      </c>
      <c r="I967">
        <v>21384</v>
      </c>
      <c r="J967" s="1">
        <v>43361</v>
      </c>
      <c r="K967" t="s">
        <v>380</v>
      </c>
      <c r="L967" t="s">
        <v>381</v>
      </c>
      <c r="M967" t="s">
        <v>131</v>
      </c>
      <c r="N967">
        <v>6</v>
      </c>
      <c r="O967" t="s">
        <v>40</v>
      </c>
      <c r="S967" t="s">
        <v>40</v>
      </c>
      <c r="U967" s="1">
        <v>43361</v>
      </c>
      <c r="V967" t="s">
        <v>41</v>
      </c>
      <c r="W967" t="s">
        <v>49</v>
      </c>
      <c r="X967" t="str">
        <f>"0580552"</f>
        <v>0580552</v>
      </c>
      <c r="Y967" t="s">
        <v>386</v>
      </c>
      <c r="Z967" t="s">
        <v>380</v>
      </c>
      <c r="AA967" t="s">
        <v>381</v>
      </c>
      <c r="AB967" t="s">
        <v>131</v>
      </c>
      <c r="AC967" t="s">
        <v>44</v>
      </c>
      <c r="AD967" t="s">
        <v>45</v>
      </c>
      <c r="AE967" s="1">
        <v>31406</v>
      </c>
      <c r="AF967">
        <v>2</v>
      </c>
      <c r="AG967" t="s">
        <v>381</v>
      </c>
      <c r="AH967" s="36">
        <f t="shared" si="15"/>
        <v>33.475000000000001</v>
      </c>
      <c r="AI967" s="40" t="s">
        <v>1778</v>
      </c>
    </row>
    <row r="968" spans="1:35" x14ac:dyDescent="0.25">
      <c r="A968" s="36">
        <v>99910966</v>
      </c>
      <c r="B968" s="17" t="s">
        <v>32</v>
      </c>
      <c r="C968" t="s">
        <v>597</v>
      </c>
      <c r="D968" t="s">
        <v>598</v>
      </c>
      <c r="G968" s="17" t="s">
        <v>35</v>
      </c>
      <c r="H968" s="17">
        <v>1</v>
      </c>
      <c r="I968">
        <v>1</v>
      </c>
      <c r="J968" s="1">
        <v>43406</v>
      </c>
      <c r="K968" t="s">
        <v>1341</v>
      </c>
      <c r="L968" t="s">
        <v>1342</v>
      </c>
      <c r="M968" t="s">
        <v>1270</v>
      </c>
      <c r="N968">
        <v>24</v>
      </c>
      <c r="O968" t="s">
        <v>40</v>
      </c>
      <c r="P968" t="s">
        <v>40</v>
      </c>
      <c r="Q968" t="s">
        <v>40</v>
      </c>
      <c r="R968" t="s">
        <v>40</v>
      </c>
      <c r="S968" t="s">
        <v>40</v>
      </c>
      <c r="U968" s="1">
        <v>43406</v>
      </c>
      <c r="V968" t="s">
        <v>41</v>
      </c>
      <c r="W968" t="s">
        <v>75</v>
      </c>
      <c r="X968" t="str">
        <f>"7700012"</f>
        <v>7700012</v>
      </c>
      <c r="Y968" t="s">
        <v>1357</v>
      </c>
      <c r="Z968" t="s">
        <v>1341</v>
      </c>
      <c r="AA968" t="s">
        <v>1342</v>
      </c>
      <c r="AB968" t="s">
        <v>1270</v>
      </c>
      <c r="AC968" t="s">
        <v>44</v>
      </c>
      <c r="AD968" t="s">
        <v>45</v>
      </c>
      <c r="AE968" s="1">
        <v>31400</v>
      </c>
      <c r="AF968">
        <v>1</v>
      </c>
      <c r="AG968" t="s">
        <v>1342</v>
      </c>
      <c r="AH968" s="36">
        <f t="shared" si="15"/>
        <v>33.491666666666667</v>
      </c>
      <c r="AI968" s="40" t="s">
        <v>1778</v>
      </c>
    </row>
    <row r="969" spans="1:35" x14ac:dyDescent="0.25">
      <c r="A969" s="36">
        <v>99910967</v>
      </c>
      <c r="B969" s="17" t="s">
        <v>32</v>
      </c>
      <c r="C969" t="s">
        <v>111</v>
      </c>
      <c r="D969" t="s">
        <v>112</v>
      </c>
      <c r="G969" s="17" t="s">
        <v>48</v>
      </c>
      <c r="H969" s="17">
        <v>5</v>
      </c>
      <c r="I969" t="s">
        <v>438</v>
      </c>
      <c r="J969" s="1">
        <v>40422</v>
      </c>
      <c r="K969" t="s">
        <v>431</v>
      </c>
      <c r="L969" t="s">
        <v>196</v>
      </c>
      <c r="M969" t="s">
        <v>131</v>
      </c>
      <c r="N969">
        <v>24</v>
      </c>
      <c r="O969" t="s">
        <v>40</v>
      </c>
      <c r="P969" t="s">
        <v>40</v>
      </c>
      <c r="Q969" t="s">
        <v>40</v>
      </c>
      <c r="R969" t="s">
        <v>40</v>
      </c>
      <c r="S969" t="s">
        <v>40</v>
      </c>
      <c r="U969" s="1">
        <v>40422</v>
      </c>
      <c r="V969" t="s">
        <v>41</v>
      </c>
      <c r="W969" t="s">
        <v>75</v>
      </c>
      <c r="X969" t="str">
        <f>"7521012"</f>
        <v>7521012</v>
      </c>
      <c r="Y969" t="s">
        <v>432</v>
      </c>
      <c r="Z969" t="s">
        <v>431</v>
      </c>
      <c r="AA969" t="s">
        <v>196</v>
      </c>
      <c r="AB969" t="s">
        <v>131</v>
      </c>
      <c r="AC969" t="s">
        <v>165</v>
      </c>
      <c r="AD969" t="s">
        <v>45</v>
      </c>
      <c r="AE969" s="1">
        <v>31399</v>
      </c>
      <c r="AF969">
        <v>1</v>
      </c>
      <c r="AG969" t="s">
        <v>196</v>
      </c>
      <c r="AH969" s="36">
        <f t="shared" si="15"/>
        <v>33.494444444444447</v>
      </c>
      <c r="AI969" s="40" t="s">
        <v>1778</v>
      </c>
    </row>
    <row r="970" spans="1:35" x14ac:dyDescent="0.25">
      <c r="A970" s="36">
        <v>99910968</v>
      </c>
      <c r="B970" s="17" t="s">
        <v>32</v>
      </c>
      <c r="C970" t="s">
        <v>90</v>
      </c>
      <c r="D970" t="s">
        <v>91</v>
      </c>
      <c r="G970" s="17" t="s">
        <v>35</v>
      </c>
      <c r="H970" s="17">
        <v>1</v>
      </c>
      <c r="I970" t="s">
        <v>1393</v>
      </c>
      <c r="J970" s="1">
        <v>43344</v>
      </c>
      <c r="K970" t="s">
        <v>1341</v>
      </c>
      <c r="L970" t="s">
        <v>1342</v>
      </c>
      <c r="M970" t="s">
        <v>1270</v>
      </c>
      <c r="N970">
        <v>24</v>
      </c>
      <c r="O970" t="s">
        <v>40</v>
      </c>
      <c r="S970" t="s">
        <v>40</v>
      </c>
      <c r="U970" s="1">
        <v>43344</v>
      </c>
      <c r="V970" t="s">
        <v>41</v>
      </c>
      <c r="W970" t="s">
        <v>95</v>
      </c>
      <c r="X970" t="str">
        <f>"7191059"</f>
        <v>7191059</v>
      </c>
      <c r="Y970" t="s">
        <v>1346</v>
      </c>
      <c r="Z970" t="s">
        <v>1341</v>
      </c>
      <c r="AA970" t="s">
        <v>1342</v>
      </c>
      <c r="AB970" t="s">
        <v>1270</v>
      </c>
      <c r="AC970" t="s">
        <v>51</v>
      </c>
      <c r="AD970" t="s">
        <v>45</v>
      </c>
      <c r="AE970" s="1">
        <v>31399</v>
      </c>
      <c r="AF970">
        <v>1</v>
      </c>
      <c r="AG970" t="s">
        <v>1342</v>
      </c>
      <c r="AH970" s="36">
        <f t="shared" si="15"/>
        <v>33.494444444444447</v>
      </c>
      <c r="AI970" s="40" t="s">
        <v>1778</v>
      </c>
    </row>
    <row r="971" spans="1:35" x14ac:dyDescent="0.25">
      <c r="A971" s="36">
        <v>99910969</v>
      </c>
      <c r="B971" s="17" t="s">
        <v>32</v>
      </c>
      <c r="C971" t="s">
        <v>90</v>
      </c>
      <c r="D971" t="s">
        <v>91</v>
      </c>
      <c r="G971" s="17" t="s">
        <v>48</v>
      </c>
      <c r="H971" s="17">
        <v>1</v>
      </c>
      <c r="K971" t="s">
        <v>1695</v>
      </c>
      <c r="L971" t="s">
        <v>1696</v>
      </c>
      <c r="M971" t="s">
        <v>1592</v>
      </c>
      <c r="N971">
        <v>24</v>
      </c>
      <c r="O971" t="s">
        <v>40</v>
      </c>
      <c r="P971" t="s">
        <v>40</v>
      </c>
      <c r="Q971" t="s">
        <v>40</v>
      </c>
      <c r="S971" t="s">
        <v>40</v>
      </c>
      <c r="V971" t="s">
        <v>41</v>
      </c>
      <c r="W971" t="s">
        <v>75</v>
      </c>
      <c r="X971" t="str">
        <f>"7361000"</f>
        <v>7361000</v>
      </c>
      <c r="Y971" t="s">
        <v>1698</v>
      </c>
      <c r="Z971" t="s">
        <v>1695</v>
      </c>
      <c r="AA971" t="s">
        <v>1696</v>
      </c>
      <c r="AB971" t="s">
        <v>1592</v>
      </c>
      <c r="AC971" t="s">
        <v>51</v>
      </c>
      <c r="AD971" t="s">
        <v>45</v>
      </c>
      <c r="AE971" s="1">
        <v>31398</v>
      </c>
      <c r="AF971">
        <v>1</v>
      </c>
      <c r="AG971" t="s">
        <v>1696</v>
      </c>
      <c r="AH971" s="36">
        <f t="shared" si="15"/>
        <v>33.49722222222222</v>
      </c>
      <c r="AI971" s="40" t="s">
        <v>1778</v>
      </c>
    </row>
    <row r="972" spans="1:35" x14ac:dyDescent="0.25">
      <c r="A972" s="36">
        <v>99910970</v>
      </c>
      <c r="B972" s="17" t="s">
        <v>32</v>
      </c>
      <c r="C972" t="s">
        <v>90</v>
      </c>
      <c r="D972" t="s">
        <v>91</v>
      </c>
      <c r="G972" s="17" t="s">
        <v>35</v>
      </c>
      <c r="H972" s="17">
        <v>1</v>
      </c>
      <c r="I972" t="s">
        <v>625</v>
      </c>
      <c r="J972" s="1">
        <v>43344</v>
      </c>
      <c r="K972" t="s">
        <v>268</v>
      </c>
      <c r="L972" t="s">
        <v>269</v>
      </c>
      <c r="M972" t="s">
        <v>131</v>
      </c>
      <c r="N972">
        <v>30</v>
      </c>
      <c r="O972" t="s">
        <v>40</v>
      </c>
      <c r="S972" t="s">
        <v>40</v>
      </c>
      <c r="U972" s="1">
        <v>43344</v>
      </c>
      <c r="V972" t="s">
        <v>41</v>
      </c>
      <c r="W972" t="s">
        <v>95</v>
      </c>
      <c r="X972" t="str">
        <f>"7052187"</f>
        <v>7052187</v>
      </c>
      <c r="Y972" t="s">
        <v>626</v>
      </c>
      <c r="Z972" t="s">
        <v>268</v>
      </c>
      <c r="AA972" t="s">
        <v>269</v>
      </c>
      <c r="AB972" t="s">
        <v>131</v>
      </c>
      <c r="AC972" t="s">
        <v>44</v>
      </c>
      <c r="AD972" t="s">
        <v>45</v>
      </c>
      <c r="AE972" s="1">
        <v>31396</v>
      </c>
      <c r="AF972">
        <v>1</v>
      </c>
      <c r="AG972" t="s">
        <v>269</v>
      </c>
      <c r="AH972" s="36">
        <f t="shared" si="15"/>
        <v>33.50277777777778</v>
      </c>
      <c r="AI972" s="40" t="s">
        <v>1778</v>
      </c>
    </row>
    <row r="973" spans="1:35" x14ac:dyDescent="0.25">
      <c r="A973" s="36">
        <v>99910971</v>
      </c>
      <c r="B973" s="17" t="s">
        <v>56</v>
      </c>
      <c r="C973" t="s">
        <v>149</v>
      </c>
      <c r="D973" t="s">
        <v>150</v>
      </c>
      <c r="G973" s="17" t="s">
        <v>48</v>
      </c>
      <c r="H973" s="17">
        <v>1</v>
      </c>
      <c r="K973" t="s">
        <v>162</v>
      </c>
      <c r="L973" t="s">
        <v>158</v>
      </c>
      <c r="M973" t="s">
        <v>131</v>
      </c>
      <c r="N973">
        <v>12</v>
      </c>
      <c r="O973" t="s">
        <v>40</v>
      </c>
      <c r="P973" t="s">
        <v>40</v>
      </c>
      <c r="Q973" t="s">
        <v>40</v>
      </c>
      <c r="S973" t="s">
        <v>40</v>
      </c>
      <c r="V973" t="s">
        <v>41</v>
      </c>
      <c r="W973" t="s">
        <v>49</v>
      </c>
      <c r="X973" t="str">
        <f>"0581350"</f>
        <v>0581350</v>
      </c>
      <c r="Y973" t="s">
        <v>187</v>
      </c>
      <c r="Z973" t="s">
        <v>162</v>
      </c>
      <c r="AA973" t="s">
        <v>158</v>
      </c>
      <c r="AB973" t="s">
        <v>131</v>
      </c>
      <c r="AC973" t="s">
        <v>51</v>
      </c>
      <c r="AD973" t="s">
        <v>45</v>
      </c>
      <c r="AE973" s="1">
        <v>31394</v>
      </c>
      <c r="AF973">
        <v>2</v>
      </c>
      <c r="AG973" t="s">
        <v>158</v>
      </c>
      <c r="AH973" s="36">
        <f t="shared" si="15"/>
        <v>33.508333333333333</v>
      </c>
      <c r="AI973" s="40" t="s">
        <v>1778</v>
      </c>
    </row>
    <row r="974" spans="1:35" x14ac:dyDescent="0.25">
      <c r="A974" s="36">
        <v>99910972</v>
      </c>
      <c r="B974" s="17" t="s">
        <v>32</v>
      </c>
      <c r="C974" t="s">
        <v>90</v>
      </c>
      <c r="D974" t="s">
        <v>91</v>
      </c>
      <c r="G974" s="17" t="s">
        <v>35</v>
      </c>
      <c r="H974" s="17">
        <v>1</v>
      </c>
      <c r="K974" t="s">
        <v>1564</v>
      </c>
      <c r="L974" t="s">
        <v>1565</v>
      </c>
      <c r="M974" t="s">
        <v>1548</v>
      </c>
      <c r="N974">
        <v>24</v>
      </c>
      <c r="O974" t="s">
        <v>40</v>
      </c>
      <c r="P974" t="s">
        <v>40</v>
      </c>
      <c r="Q974" t="s">
        <v>40</v>
      </c>
      <c r="S974" t="s">
        <v>40</v>
      </c>
      <c r="V974" t="s">
        <v>41</v>
      </c>
      <c r="W974" t="s">
        <v>95</v>
      </c>
      <c r="X974" t="str">
        <f>"7101001"</f>
        <v>7101001</v>
      </c>
      <c r="Y974" t="s">
        <v>1577</v>
      </c>
      <c r="Z974" t="s">
        <v>1564</v>
      </c>
      <c r="AA974" t="s">
        <v>1565</v>
      </c>
      <c r="AB974" t="s">
        <v>1548</v>
      </c>
      <c r="AC974" t="s">
        <v>51</v>
      </c>
      <c r="AD974" t="s">
        <v>45</v>
      </c>
      <c r="AE974" s="1">
        <v>31392</v>
      </c>
      <c r="AF974">
        <v>1</v>
      </c>
      <c r="AG974" t="s">
        <v>1565</v>
      </c>
      <c r="AH974" s="36">
        <f t="shared" si="15"/>
        <v>33.513888888888886</v>
      </c>
      <c r="AI974" s="40" t="s">
        <v>1778</v>
      </c>
    </row>
    <row r="975" spans="1:35" x14ac:dyDescent="0.25">
      <c r="A975" s="36">
        <v>99910973</v>
      </c>
      <c r="B975" s="17" t="s">
        <v>56</v>
      </c>
      <c r="C975" t="s">
        <v>46</v>
      </c>
      <c r="D975" t="s">
        <v>47</v>
      </c>
      <c r="G975" s="17" t="s">
        <v>35</v>
      </c>
      <c r="H975" s="17">
        <v>1</v>
      </c>
      <c r="I975">
        <v>9265</v>
      </c>
      <c r="J975" s="1">
        <v>43344</v>
      </c>
      <c r="K975" t="s">
        <v>1325</v>
      </c>
      <c r="L975" t="s">
        <v>1326</v>
      </c>
      <c r="M975" t="s">
        <v>1270</v>
      </c>
      <c r="N975">
        <v>23</v>
      </c>
      <c r="O975" t="s">
        <v>40</v>
      </c>
      <c r="P975" t="s">
        <v>40</v>
      </c>
      <c r="Q975" t="s">
        <v>40</v>
      </c>
      <c r="R975" t="s">
        <v>40</v>
      </c>
      <c r="S975" t="s">
        <v>40</v>
      </c>
      <c r="U975" s="1">
        <v>43344</v>
      </c>
      <c r="V975" t="s">
        <v>41</v>
      </c>
      <c r="W975" t="s">
        <v>49</v>
      </c>
      <c r="X975" t="str">
        <f>"3981100"</f>
        <v>3981100</v>
      </c>
      <c r="Y975" t="s">
        <v>1327</v>
      </c>
      <c r="Z975" t="s">
        <v>1325</v>
      </c>
      <c r="AA975" t="s">
        <v>1326</v>
      </c>
      <c r="AB975" t="s">
        <v>1270</v>
      </c>
      <c r="AC975" t="s">
        <v>44</v>
      </c>
      <c r="AD975" t="s">
        <v>45</v>
      </c>
      <c r="AE975" s="1">
        <v>31390</v>
      </c>
      <c r="AF975">
        <v>2</v>
      </c>
      <c r="AG975" t="s">
        <v>1326</v>
      </c>
      <c r="AH975" s="36">
        <f t="shared" si="15"/>
        <v>33.519444444444446</v>
      </c>
      <c r="AI975" s="40" t="s">
        <v>1778</v>
      </c>
    </row>
    <row r="976" spans="1:35" x14ac:dyDescent="0.25">
      <c r="A976" s="36">
        <v>99910974</v>
      </c>
      <c r="B976" s="17" t="s">
        <v>32</v>
      </c>
      <c r="C976" t="s">
        <v>61</v>
      </c>
      <c r="D976" t="s">
        <v>62</v>
      </c>
      <c r="G976" s="17" t="s">
        <v>35</v>
      </c>
      <c r="H976" s="17">
        <v>1</v>
      </c>
      <c r="I976" t="s">
        <v>1610</v>
      </c>
      <c r="J976" s="1">
        <v>43344</v>
      </c>
      <c r="K976" t="s">
        <v>1590</v>
      </c>
      <c r="L976" t="s">
        <v>1591</v>
      </c>
      <c r="M976" t="s">
        <v>1592</v>
      </c>
      <c r="N976">
        <v>6</v>
      </c>
      <c r="O976" t="s">
        <v>40</v>
      </c>
      <c r="P976" t="s">
        <v>40</v>
      </c>
      <c r="Q976" t="s">
        <v>40</v>
      </c>
      <c r="S976" t="s">
        <v>40</v>
      </c>
      <c r="U976" s="1">
        <v>43344</v>
      </c>
      <c r="V976" t="s">
        <v>41</v>
      </c>
      <c r="W976" t="s">
        <v>49</v>
      </c>
      <c r="X976" t="str">
        <f>"0260002"</f>
        <v>0260002</v>
      </c>
      <c r="Y976" t="s">
        <v>1593</v>
      </c>
      <c r="Z976" t="s">
        <v>1590</v>
      </c>
      <c r="AA976" t="s">
        <v>1591</v>
      </c>
      <c r="AB976" t="s">
        <v>1592</v>
      </c>
      <c r="AC976" t="s">
        <v>44</v>
      </c>
      <c r="AD976" t="s">
        <v>45</v>
      </c>
      <c r="AE976" s="1">
        <v>31383</v>
      </c>
      <c r="AF976">
        <v>2</v>
      </c>
      <c r="AG976" t="s">
        <v>1591</v>
      </c>
      <c r="AH976" s="36">
        <f t="shared" si="15"/>
        <v>33.538888888888891</v>
      </c>
      <c r="AI976" s="40" t="s">
        <v>1778</v>
      </c>
    </row>
    <row r="977" spans="1:35" x14ac:dyDescent="0.25">
      <c r="A977" s="36">
        <v>99910975</v>
      </c>
      <c r="B977" s="17" t="s">
        <v>32</v>
      </c>
      <c r="C977" t="s">
        <v>90</v>
      </c>
      <c r="D977" t="s">
        <v>91</v>
      </c>
      <c r="G977" s="17" t="s">
        <v>48</v>
      </c>
      <c r="H977" s="17">
        <v>1</v>
      </c>
      <c r="K977" t="s">
        <v>1695</v>
      </c>
      <c r="L977" t="s">
        <v>1696</v>
      </c>
      <c r="M977" t="s">
        <v>1592</v>
      </c>
      <c r="N977">
        <v>25</v>
      </c>
      <c r="O977" t="s">
        <v>40</v>
      </c>
      <c r="P977" t="s">
        <v>40</v>
      </c>
      <c r="Q977" t="s">
        <v>40</v>
      </c>
      <c r="R977" t="s">
        <v>40</v>
      </c>
      <c r="S977" t="s">
        <v>40</v>
      </c>
      <c r="V977" t="s">
        <v>41</v>
      </c>
      <c r="W977" t="s">
        <v>95</v>
      </c>
      <c r="X977" t="str">
        <f>"7361003"</f>
        <v>7361003</v>
      </c>
      <c r="Y977" t="s">
        <v>1700</v>
      </c>
      <c r="Z977" t="s">
        <v>1695</v>
      </c>
      <c r="AA977" t="s">
        <v>1696</v>
      </c>
      <c r="AB977" t="s">
        <v>1592</v>
      </c>
      <c r="AC977" t="s">
        <v>51</v>
      </c>
      <c r="AD977" t="s">
        <v>45</v>
      </c>
      <c r="AE977" s="1">
        <v>31383</v>
      </c>
      <c r="AF977">
        <v>1</v>
      </c>
      <c r="AG977" t="s">
        <v>1696</v>
      </c>
      <c r="AH977" s="36">
        <f t="shared" si="15"/>
        <v>33.538888888888891</v>
      </c>
      <c r="AI977" s="40" t="s">
        <v>1778</v>
      </c>
    </row>
    <row r="978" spans="1:35" x14ac:dyDescent="0.25">
      <c r="A978" s="36">
        <v>99910976</v>
      </c>
      <c r="B978" s="17" t="s">
        <v>32</v>
      </c>
      <c r="C978" t="s">
        <v>61</v>
      </c>
      <c r="D978" t="s">
        <v>62</v>
      </c>
      <c r="G978" s="17" t="s">
        <v>48</v>
      </c>
      <c r="H978" s="17">
        <v>1</v>
      </c>
      <c r="K978" t="s">
        <v>1341</v>
      </c>
      <c r="L978" t="s">
        <v>1342</v>
      </c>
      <c r="M978" t="s">
        <v>1270</v>
      </c>
      <c r="N978">
        <v>24</v>
      </c>
      <c r="O978" t="s">
        <v>40</v>
      </c>
      <c r="P978" t="s">
        <v>40</v>
      </c>
      <c r="Q978" t="s">
        <v>40</v>
      </c>
      <c r="R978" t="s">
        <v>40</v>
      </c>
      <c r="S978" t="s">
        <v>40</v>
      </c>
      <c r="V978" t="s">
        <v>41</v>
      </c>
      <c r="W978" t="s">
        <v>75</v>
      </c>
      <c r="X978" t="str">
        <f>"7191036"</f>
        <v>7191036</v>
      </c>
      <c r="Y978" t="s">
        <v>1348</v>
      </c>
      <c r="Z978" t="s">
        <v>1341</v>
      </c>
      <c r="AA978" t="s">
        <v>1342</v>
      </c>
      <c r="AB978" t="s">
        <v>1270</v>
      </c>
      <c r="AC978" t="s">
        <v>165</v>
      </c>
      <c r="AD978" t="s">
        <v>45</v>
      </c>
      <c r="AE978" s="1">
        <v>31381</v>
      </c>
      <c r="AF978">
        <v>1</v>
      </c>
      <c r="AG978" t="s">
        <v>1342</v>
      </c>
      <c r="AH978" s="36">
        <f t="shared" si="15"/>
        <v>33.544444444444444</v>
      </c>
      <c r="AI978" s="40" t="s">
        <v>1778</v>
      </c>
    </row>
    <row r="979" spans="1:35" x14ac:dyDescent="0.25">
      <c r="A979" s="36">
        <v>99910977</v>
      </c>
      <c r="B979" s="17" t="s">
        <v>32</v>
      </c>
      <c r="C979" t="s">
        <v>90</v>
      </c>
      <c r="D979" t="s">
        <v>91</v>
      </c>
      <c r="G979" s="17" t="s">
        <v>35</v>
      </c>
      <c r="H979" s="17">
        <v>1</v>
      </c>
      <c r="I979">
        <v>7143</v>
      </c>
      <c r="J979" s="1">
        <v>43344</v>
      </c>
      <c r="K979" t="s">
        <v>354</v>
      </c>
      <c r="L979" t="s">
        <v>355</v>
      </c>
      <c r="M979" t="s">
        <v>131</v>
      </c>
      <c r="N979">
        <v>25</v>
      </c>
      <c r="O979" t="s">
        <v>40</v>
      </c>
      <c r="P979" t="s">
        <v>40</v>
      </c>
      <c r="Q979" t="s">
        <v>40</v>
      </c>
      <c r="R979" t="s">
        <v>40</v>
      </c>
      <c r="S979" t="s">
        <v>40</v>
      </c>
      <c r="U979" s="1">
        <v>43344</v>
      </c>
      <c r="V979" t="s">
        <v>41</v>
      </c>
      <c r="W979" t="s">
        <v>95</v>
      </c>
      <c r="X979" t="str">
        <f>"7054069"</f>
        <v>7054069</v>
      </c>
      <c r="Y979" t="s">
        <v>822</v>
      </c>
      <c r="Z979" t="s">
        <v>354</v>
      </c>
      <c r="AA979" t="s">
        <v>355</v>
      </c>
      <c r="AB979" t="s">
        <v>131</v>
      </c>
      <c r="AC979" t="s">
        <v>44</v>
      </c>
      <c r="AD979" t="s">
        <v>45</v>
      </c>
      <c r="AE979" s="1">
        <v>31379</v>
      </c>
      <c r="AF979">
        <v>1</v>
      </c>
      <c r="AG979" t="s">
        <v>355</v>
      </c>
      <c r="AH979" s="36">
        <f t="shared" si="15"/>
        <v>33.549999999999997</v>
      </c>
      <c r="AI979" s="40" t="s">
        <v>1778</v>
      </c>
    </row>
    <row r="980" spans="1:35" x14ac:dyDescent="0.25">
      <c r="A980" s="36">
        <v>99910978</v>
      </c>
      <c r="B980" s="17" t="s">
        <v>32</v>
      </c>
      <c r="C980" t="s">
        <v>64</v>
      </c>
      <c r="D980" t="s">
        <v>65</v>
      </c>
      <c r="G980" s="17" t="s">
        <v>35</v>
      </c>
      <c r="H980" s="17">
        <v>1</v>
      </c>
      <c r="I980" t="s">
        <v>1061</v>
      </c>
      <c r="J980" s="1">
        <v>43364</v>
      </c>
      <c r="K980" t="s">
        <v>1051</v>
      </c>
      <c r="L980" t="s">
        <v>1052</v>
      </c>
      <c r="M980" t="s">
        <v>1053</v>
      </c>
      <c r="N980">
        <v>12</v>
      </c>
      <c r="O980" t="s">
        <v>40</v>
      </c>
      <c r="S980" t="s">
        <v>40</v>
      </c>
      <c r="U980" s="1">
        <v>43364</v>
      </c>
      <c r="V980" t="s">
        <v>41</v>
      </c>
      <c r="W980" t="s">
        <v>42</v>
      </c>
      <c r="X980" t="str">
        <f>"2061001"</f>
        <v>2061001</v>
      </c>
      <c r="Y980" t="s">
        <v>1058</v>
      </c>
      <c r="Z980" t="s">
        <v>1051</v>
      </c>
      <c r="AA980" t="s">
        <v>1052</v>
      </c>
      <c r="AB980" t="s">
        <v>1053</v>
      </c>
      <c r="AC980" t="s">
        <v>44</v>
      </c>
      <c r="AD980" t="s">
        <v>45</v>
      </c>
      <c r="AE980" s="1">
        <v>31376</v>
      </c>
      <c r="AF980">
        <v>2</v>
      </c>
      <c r="AG980" t="s">
        <v>1052</v>
      </c>
      <c r="AH980" s="36">
        <f t="shared" si="15"/>
        <v>33.55833333333333</v>
      </c>
      <c r="AI980" s="40" t="s">
        <v>1778</v>
      </c>
    </row>
    <row r="981" spans="1:35" x14ac:dyDescent="0.25">
      <c r="A981" s="36">
        <v>99910979</v>
      </c>
      <c r="B981" s="17" t="s">
        <v>32</v>
      </c>
      <c r="C981" t="s">
        <v>139</v>
      </c>
      <c r="D981" t="s">
        <v>140</v>
      </c>
      <c r="G981" s="17" t="s">
        <v>48</v>
      </c>
      <c r="H981" s="17">
        <v>1</v>
      </c>
      <c r="K981" t="s">
        <v>380</v>
      </c>
      <c r="L981" t="s">
        <v>381</v>
      </c>
      <c r="M981" t="s">
        <v>131</v>
      </c>
      <c r="N981">
        <v>8</v>
      </c>
      <c r="O981" t="s">
        <v>40</v>
      </c>
      <c r="P981" t="s">
        <v>40</v>
      </c>
      <c r="Q981" t="s">
        <v>40</v>
      </c>
      <c r="S981" t="s">
        <v>40</v>
      </c>
      <c r="V981" t="s">
        <v>41</v>
      </c>
      <c r="W981" t="s">
        <v>49</v>
      </c>
      <c r="X981" t="str">
        <f>"0591908"</f>
        <v>0591908</v>
      </c>
      <c r="Y981" t="s">
        <v>383</v>
      </c>
      <c r="Z981" t="s">
        <v>380</v>
      </c>
      <c r="AA981" t="s">
        <v>381</v>
      </c>
      <c r="AB981" t="s">
        <v>131</v>
      </c>
      <c r="AC981" t="s">
        <v>44</v>
      </c>
      <c r="AD981" t="s">
        <v>45</v>
      </c>
      <c r="AE981" s="1">
        <v>31373</v>
      </c>
      <c r="AF981">
        <v>2</v>
      </c>
      <c r="AG981" t="s">
        <v>381</v>
      </c>
      <c r="AH981" s="36">
        <f t="shared" si="15"/>
        <v>33.56666666666667</v>
      </c>
      <c r="AI981" s="40" t="s">
        <v>1778</v>
      </c>
    </row>
    <row r="982" spans="1:35" x14ac:dyDescent="0.25">
      <c r="A982" s="36">
        <v>99910980</v>
      </c>
      <c r="B982" s="17" t="s">
        <v>32</v>
      </c>
      <c r="C982" t="s">
        <v>90</v>
      </c>
      <c r="D982" t="s">
        <v>91</v>
      </c>
      <c r="G982" s="17" t="s">
        <v>48</v>
      </c>
      <c r="H982" s="17">
        <v>1</v>
      </c>
      <c r="K982" t="s">
        <v>268</v>
      </c>
      <c r="L982" t="s">
        <v>269</v>
      </c>
      <c r="M982" t="s">
        <v>131</v>
      </c>
      <c r="N982">
        <v>25</v>
      </c>
      <c r="O982" t="s">
        <v>40</v>
      </c>
      <c r="P982" t="s">
        <v>40</v>
      </c>
      <c r="Q982" t="s">
        <v>40</v>
      </c>
      <c r="S982" t="s">
        <v>40</v>
      </c>
      <c r="V982" t="s">
        <v>41</v>
      </c>
      <c r="W982" t="s">
        <v>95</v>
      </c>
      <c r="X982" t="str">
        <f>"7052183"</f>
        <v>7052183</v>
      </c>
      <c r="Y982" t="s">
        <v>634</v>
      </c>
      <c r="Z982" t="s">
        <v>268</v>
      </c>
      <c r="AA982" t="s">
        <v>269</v>
      </c>
      <c r="AB982" t="s">
        <v>131</v>
      </c>
      <c r="AC982" t="s">
        <v>51</v>
      </c>
      <c r="AD982" t="s">
        <v>45</v>
      </c>
      <c r="AE982" s="1">
        <v>31367</v>
      </c>
      <c r="AF982">
        <v>1</v>
      </c>
      <c r="AG982" t="s">
        <v>269</v>
      </c>
      <c r="AH982" s="36">
        <f t="shared" si="15"/>
        <v>33.583333333333336</v>
      </c>
      <c r="AI982" s="40" t="s">
        <v>1778</v>
      </c>
    </row>
    <row r="983" spans="1:35" x14ac:dyDescent="0.25">
      <c r="A983" s="36">
        <v>99910981</v>
      </c>
      <c r="B983" s="17" t="s">
        <v>32</v>
      </c>
      <c r="C983" t="s">
        <v>90</v>
      </c>
      <c r="D983" t="s">
        <v>91</v>
      </c>
      <c r="G983" s="17" t="s">
        <v>35</v>
      </c>
      <c r="H983" s="17">
        <v>1</v>
      </c>
      <c r="I983" t="s">
        <v>1007</v>
      </c>
      <c r="J983" s="1">
        <v>43344</v>
      </c>
      <c r="K983" t="s">
        <v>963</v>
      </c>
      <c r="L983" t="s">
        <v>964</v>
      </c>
      <c r="M983" t="s">
        <v>938</v>
      </c>
      <c r="N983">
        <v>25</v>
      </c>
      <c r="O983" t="s">
        <v>40</v>
      </c>
      <c r="S983" t="s">
        <v>40</v>
      </c>
      <c r="U983" s="1">
        <v>43344</v>
      </c>
      <c r="V983" t="s">
        <v>41</v>
      </c>
      <c r="W983" t="s">
        <v>95</v>
      </c>
      <c r="X983" t="str">
        <f>"7061051"</f>
        <v>7061051</v>
      </c>
      <c r="Y983" t="s">
        <v>1008</v>
      </c>
      <c r="Z983" t="s">
        <v>963</v>
      </c>
      <c r="AA983" t="s">
        <v>964</v>
      </c>
      <c r="AB983" t="s">
        <v>938</v>
      </c>
      <c r="AC983" t="s">
        <v>51</v>
      </c>
      <c r="AD983" t="s">
        <v>45</v>
      </c>
      <c r="AE983" s="1">
        <v>31366</v>
      </c>
      <c r="AF983">
        <v>1</v>
      </c>
      <c r="AG983" t="s">
        <v>964</v>
      </c>
      <c r="AH983" s="36">
        <f t="shared" si="15"/>
        <v>33.586111111111109</v>
      </c>
      <c r="AI983" s="40" t="s">
        <v>1778</v>
      </c>
    </row>
    <row r="984" spans="1:35" x14ac:dyDescent="0.25">
      <c r="A984" s="36">
        <v>99910982</v>
      </c>
      <c r="B984" s="17" t="s">
        <v>32</v>
      </c>
      <c r="C984" t="s">
        <v>46</v>
      </c>
      <c r="D984" t="s">
        <v>47</v>
      </c>
      <c r="G984" s="17" t="s">
        <v>35</v>
      </c>
      <c r="H984" s="17">
        <v>1</v>
      </c>
      <c r="I984">
        <v>8138</v>
      </c>
      <c r="J984" s="1">
        <v>43344</v>
      </c>
      <c r="K984" t="s">
        <v>1051</v>
      </c>
      <c r="L984" t="s">
        <v>1052</v>
      </c>
      <c r="M984" t="s">
        <v>1053</v>
      </c>
      <c r="N984">
        <v>23</v>
      </c>
      <c r="O984" t="s">
        <v>40</v>
      </c>
      <c r="P984" t="s">
        <v>40</v>
      </c>
      <c r="Q984" t="s">
        <v>40</v>
      </c>
      <c r="S984" t="s">
        <v>40</v>
      </c>
      <c r="U984" s="1">
        <v>43344</v>
      </c>
      <c r="V984" t="s">
        <v>41</v>
      </c>
      <c r="W984" t="s">
        <v>49</v>
      </c>
      <c r="X984" t="str">
        <f>"2060004"</f>
        <v>2060004</v>
      </c>
      <c r="Y984" t="s">
        <v>1059</v>
      </c>
      <c r="Z984" t="s">
        <v>1051</v>
      </c>
      <c r="AA984" t="s">
        <v>1052</v>
      </c>
      <c r="AB984" t="s">
        <v>1053</v>
      </c>
      <c r="AC984" t="s">
        <v>51</v>
      </c>
      <c r="AD984" t="s">
        <v>45</v>
      </c>
      <c r="AE984" s="1">
        <v>31366</v>
      </c>
      <c r="AF984">
        <v>2</v>
      </c>
      <c r="AG984" t="s">
        <v>1052</v>
      </c>
      <c r="AH984" s="36">
        <f t="shared" si="15"/>
        <v>33.586111111111109</v>
      </c>
      <c r="AI984" s="40" t="s">
        <v>1778</v>
      </c>
    </row>
    <row r="985" spans="1:35" x14ac:dyDescent="0.25">
      <c r="A985" s="36">
        <v>99910983</v>
      </c>
      <c r="B985" s="17" t="s">
        <v>32</v>
      </c>
      <c r="C985" t="s">
        <v>139</v>
      </c>
      <c r="D985" t="s">
        <v>140</v>
      </c>
      <c r="G985" s="17" t="s">
        <v>48</v>
      </c>
      <c r="H985" s="17">
        <v>1</v>
      </c>
      <c r="K985" t="s">
        <v>1566</v>
      </c>
      <c r="L985" t="s">
        <v>1567</v>
      </c>
      <c r="M985" t="s">
        <v>1548</v>
      </c>
      <c r="N985">
        <v>10</v>
      </c>
      <c r="O985" t="s">
        <v>40</v>
      </c>
      <c r="P985" t="s">
        <v>40</v>
      </c>
      <c r="Q985" t="s">
        <v>40</v>
      </c>
      <c r="R985" t="s">
        <v>40</v>
      </c>
      <c r="S985" t="s">
        <v>40</v>
      </c>
      <c r="V985" t="s">
        <v>41</v>
      </c>
      <c r="W985" t="s">
        <v>49</v>
      </c>
      <c r="X985" t="str">
        <f>"2960001"</f>
        <v>2960001</v>
      </c>
      <c r="Y985" t="s">
        <v>1569</v>
      </c>
      <c r="Z985" t="s">
        <v>1566</v>
      </c>
      <c r="AA985" t="s">
        <v>1567</v>
      </c>
      <c r="AB985" t="s">
        <v>1548</v>
      </c>
      <c r="AC985" t="s">
        <v>51</v>
      </c>
      <c r="AD985" t="s">
        <v>45</v>
      </c>
      <c r="AE985" s="1">
        <v>31362</v>
      </c>
      <c r="AF985">
        <v>2</v>
      </c>
      <c r="AG985" t="s">
        <v>1567</v>
      </c>
      <c r="AH985" s="36">
        <f t="shared" si="15"/>
        <v>33.597222222222221</v>
      </c>
      <c r="AI985" s="40" t="s">
        <v>1778</v>
      </c>
    </row>
    <row r="986" spans="1:35" x14ac:dyDescent="0.25">
      <c r="A986" s="36">
        <v>99910984</v>
      </c>
      <c r="B986" s="17" t="s">
        <v>56</v>
      </c>
      <c r="C986" t="s">
        <v>33</v>
      </c>
      <c r="D986" t="s">
        <v>34</v>
      </c>
      <c r="G986" s="17" t="s">
        <v>35</v>
      </c>
      <c r="H986" s="17">
        <v>1</v>
      </c>
      <c r="I986">
        <v>20587</v>
      </c>
      <c r="J986" s="1">
        <v>43388</v>
      </c>
      <c r="K986" t="s">
        <v>129</v>
      </c>
      <c r="L986" t="s">
        <v>130</v>
      </c>
      <c r="M986" t="s">
        <v>131</v>
      </c>
      <c r="N986">
        <v>17</v>
      </c>
      <c r="O986" t="s">
        <v>40</v>
      </c>
      <c r="P986" t="s">
        <v>40</v>
      </c>
      <c r="Q986" t="s">
        <v>40</v>
      </c>
      <c r="R986" t="s">
        <v>40</v>
      </c>
      <c r="S986" t="s">
        <v>40</v>
      </c>
      <c r="U986" s="1">
        <v>43388</v>
      </c>
      <c r="V986" t="s">
        <v>41</v>
      </c>
      <c r="W986" t="s">
        <v>49</v>
      </c>
      <c r="X986" t="str">
        <f>"0591905"</f>
        <v>0591905</v>
      </c>
      <c r="Y986" t="s">
        <v>135</v>
      </c>
      <c r="Z986" t="s">
        <v>129</v>
      </c>
      <c r="AA986" t="s">
        <v>130</v>
      </c>
      <c r="AB986" t="s">
        <v>131</v>
      </c>
      <c r="AC986" t="s">
        <v>44</v>
      </c>
      <c r="AD986" t="s">
        <v>45</v>
      </c>
      <c r="AE986" s="1">
        <v>31356</v>
      </c>
      <c r="AF986">
        <v>2</v>
      </c>
      <c r="AG986" t="s">
        <v>130</v>
      </c>
      <c r="AH986" s="36">
        <f t="shared" si="15"/>
        <v>33.613888888888887</v>
      </c>
      <c r="AI986" s="40" t="s">
        <v>1778</v>
      </c>
    </row>
    <row r="987" spans="1:35" x14ac:dyDescent="0.25">
      <c r="A987" s="36">
        <v>99910985</v>
      </c>
      <c r="B987" s="17" t="s">
        <v>56</v>
      </c>
      <c r="C987" t="s">
        <v>68</v>
      </c>
      <c r="D987" t="s">
        <v>69</v>
      </c>
      <c r="G987" s="17" t="s">
        <v>35</v>
      </c>
      <c r="H987" s="17">
        <v>1</v>
      </c>
      <c r="I987">
        <v>21384</v>
      </c>
      <c r="J987" s="1">
        <v>43344</v>
      </c>
      <c r="K987" t="s">
        <v>380</v>
      </c>
      <c r="L987" t="s">
        <v>381</v>
      </c>
      <c r="M987" t="s">
        <v>131</v>
      </c>
      <c r="N987">
        <v>7</v>
      </c>
      <c r="O987" t="s">
        <v>40</v>
      </c>
      <c r="P987" t="s">
        <v>40</v>
      </c>
      <c r="Q987" t="s">
        <v>40</v>
      </c>
      <c r="R987" t="s">
        <v>40</v>
      </c>
      <c r="S987" t="s">
        <v>40</v>
      </c>
      <c r="U987" s="1">
        <v>43344</v>
      </c>
      <c r="V987" t="s">
        <v>41</v>
      </c>
      <c r="W987" t="s">
        <v>49</v>
      </c>
      <c r="X987" t="str">
        <f>"0580552"</f>
        <v>0580552</v>
      </c>
      <c r="Y987" t="s">
        <v>386</v>
      </c>
      <c r="Z987" t="s">
        <v>380</v>
      </c>
      <c r="AA987" t="s">
        <v>381</v>
      </c>
      <c r="AB987" t="s">
        <v>131</v>
      </c>
      <c r="AC987" t="s">
        <v>44</v>
      </c>
      <c r="AD987" t="s">
        <v>45</v>
      </c>
      <c r="AE987" s="1">
        <v>31356</v>
      </c>
      <c r="AF987">
        <v>2</v>
      </c>
      <c r="AG987" t="s">
        <v>381</v>
      </c>
      <c r="AH987" s="36">
        <f t="shared" si="15"/>
        <v>33.613888888888887</v>
      </c>
      <c r="AI987" s="40" t="s">
        <v>1778</v>
      </c>
    </row>
    <row r="988" spans="1:35" x14ac:dyDescent="0.25">
      <c r="A988" s="36">
        <v>99910986</v>
      </c>
      <c r="B988" s="17" t="s">
        <v>32</v>
      </c>
      <c r="C988" t="s">
        <v>90</v>
      </c>
      <c r="D988" t="s">
        <v>91</v>
      </c>
      <c r="G988" s="17" t="s">
        <v>35</v>
      </c>
      <c r="H988" s="17">
        <v>1</v>
      </c>
      <c r="I988">
        <v>10395</v>
      </c>
      <c r="J988" s="1">
        <v>43344</v>
      </c>
      <c r="K988" t="s">
        <v>1703</v>
      </c>
      <c r="L988" t="s">
        <v>1704</v>
      </c>
      <c r="M988" t="s">
        <v>1705</v>
      </c>
      <c r="N988">
        <v>25</v>
      </c>
      <c r="O988" t="s">
        <v>40</v>
      </c>
      <c r="S988" t="s">
        <v>40</v>
      </c>
      <c r="U988" s="1">
        <v>43344</v>
      </c>
      <c r="V988" t="s">
        <v>41</v>
      </c>
      <c r="W988" t="s">
        <v>95</v>
      </c>
      <c r="X988" t="str">
        <f>"7071001"</f>
        <v>7071001</v>
      </c>
      <c r="Y988" t="s">
        <v>1706</v>
      </c>
      <c r="Z988" t="s">
        <v>1703</v>
      </c>
      <c r="AA988" t="s">
        <v>1704</v>
      </c>
      <c r="AB988" t="s">
        <v>1705</v>
      </c>
      <c r="AC988" t="s">
        <v>44</v>
      </c>
      <c r="AD988" t="s">
        <v>45</v>
      </c>
      <c r="AE988" s="1">
        <v>31354</v>
      </c>
      <c r="AF988">
        <v>1</v>
      </c>
      <c r="AG988" t="s">
        <v>1704</v>
      </c>
      <c r="AH988" s="36">
        <f t="shared" si="15"/>
        <v>33.619444444444447</v>
      </c>
      <c r="AI988" s="40" t="s">
        <v>1778</v>
      </c>
    </row>
    <row r="989" spans="1:35" x14ac:dyDescent="0.25">
      <c r="A989" s="36">
        <v>99910987</v>
      </c>
      <c r="B989" s="17" t="s">
        <v>56</v>
      </c>
      <c r="C989" t="s">
        <v>111</v>
      </c>
      <c r="D989" t="s">
        <v>112</v>
      </c>
      <c r="G989" s="17" t="s">
        <v>35</v>
      </c>
      <c r="H989" s="17">
        <v>1</v>
      </c>
      <c r="I989" s="1">
        <v>42614</v>
      </c>
      <c r="J989" s="1">
        <v>43344</v>
      </c>
      <c r="K989" t="s">
        <v>1341</v>
      </c>
      <c r="L989" t="s">
        <v>1342</v>
      </c>
      <c r="M989" t="s">
        <v>1270</v>
      </c>
      <c r="N989">
        <v>24</v>
      </c>
      <c r="O989" t="s">
        <v>40</v>
      </c>
      <c r="S989" t="s">
        <v>40</v>
      </c>
      <c r="U989" s="1">
        <v>43344</v>
      </c>
      <c r="V989" t="s">
        <v>41</v>
      </c>
      <c r="W989" t="s">
        <v>75</v>
      </c>
      <c r="X989" t="str">
        <f>"7191000"</f>
        <v>7191000</v>
      </c>
      <c r="Y989" t="s">
        <v>1347</v>
      </c>
      <c r="Z989" t="s">
        <v>1341</v>
      </c>
      <c r="AA989" t="s">
        <v>1342</v>
      </c>
      <c r="AB989" t="s">
        <v>1270</v>
      </c>
      <c r="AC989" t="s">
        <v>51</v>
      </c>
      <c r="AD989" t="s">
        <v>45</v>
      </c>
      <c r="AE989" s="1">
        <v>31353</v>
      </c>
      <c r="AF989">
        <v>1</v>
      </c>
      <c r="AG989" t="s">
        <v>1342</v>
      </c>
      <c r="AH989" s="36">
        <f t="shared" si="15"/>
        <v>33.62222222222222</v>
      </c>
      <c r="AI989" s="40" t="s">
        <v>1778</v>
      </c>
    </row>
    <row r="990" spans="1:35" x14ac:dyDescent="0.25">
      <c r="A990" s="36">
        <v>99910988</v>
      </c>
      <c r="B990" s="17" t="s">
        <v>56</v>
      </c>
      <c r="C990" t="s">
        <v>61</v>
      </c>
      <c r="D990" t="s">
        <v>62</v>
      </c>
      <c r="G990" s="17" t="s">
        <v>35</v>
      </c>
      <c r="H990" s="17">
        <v>1</v>
      </c>
      <c r="I990" t="s">
        <v>1669</v>
      </c>
      <c r="J990" s="1">
        <v>43344</v>
      </c>
      <c r="K990" t="s">
        <v>1619</v>
      </c>
      <c r="L990" t="s">
        <v>1620</v>
      </c>
      <c r="M990" t="s">
        <v>1592</v>
      </c>
      <c r="N990">
        <v>17</v>
      </c>
      <c r="O990" t="s">
        <v>40</v>
      </c>
      <c r="P990" t="s">
        <v>40</v>
      </c>
      <c r="Q990" t="s">
        <v>40</v>
      </c>
      <c r="S990" t="s">
        <v>40</v>
      </c>
      <c r="U990" s="1">
        <v>43344</v>
      </c>
      <c r="V990" t="s">
        <v>41</v>
      </c>
      <c r="W990" t="s">
        <v>75</v>
      </c>
      <c r="X990" t="str">
        <f>"7281000"</f>
        <v>7281000</v>
      </c>
      <c r="Y990" t="s">
        <v>1648</v>
      </c>
      <c r="Z990" t="s">
        <v>1619</v>
      </c>
      <c r="AA990" t="s">
        <v>1620</v>
      </c>
      <c r="AB990" t="s">
        <v>1592</v>
      </c>
      <c r="AC990" t="s">
        <v>51</v>
      </c>
      <c r="AD990" t="s">
        <v>45</v>
      </c>
      <c r="AE990" s="1">
        <v>31350</v>
      </c>
      <c r="AF990">
        <v>1</v>
      </c>
      <c r="AG990" t="s">
        <v>1620</v>
      </c>
      <c r="AH990" s="36">
        <f t="shared" si="15"/>
        <v>33.630555555555553</v>
      </c>
      <c r="AI990" s="40" t="s">
        <v>1778</v>
      </c>
    </row>
    <row r="991" spans="1:35" x14ac:dyDescent="0.25">
      <c r="A991" s="36">
        <v>99910989</v>
      </c>
      <c r="B991" s="17" t="s">
        <v>32</v>
      </c>
      <c r="C991" t="s">
        <v>90</v>
      </c>
      <c r="D991" t="s">
        <v>91</v>
      </c>
      <c r="G991" s="17" t="s">
        <v>48</v>
      </c>
      <c r="H991" s="17">
        <v>1</v>
      </c>
      <c r="K991" t="s">
        <v>1708</v>
      </c>
      <c r="L991" t="s">
        <v>1709</v>
      </c>
      <c r="M991" t="s">
        <v>1705</v>
      </c>
      <c r="N991">
        <v>24</v>
      </c>
      <c r="O991" t="s">
        <v>40</v>
      </c>
      <c r="P991" t="s">
        <v>40</v>
      </c>
      <c r="Q991" t="s">
        <v>40</v>
      </c>
      <c r="S991" t="s">
        <v>40</v>
      </c>
      <c r="V991" t="s">
        <v>41</v>
      </c>
      <c r="W991" t="s">
        <v>75</v>
      </c>
      <c r="X991" t="str">
        <f>"7121000"</f>
        <v>7121000</v>
      </c>
      <c r="Y991" t="s">
        <v>1713</v>
      </c>
      <c r="Z991" t="s">
        <v>1708</v>
      </c>
      <c r="AA991" t="s">
        <v>1709</v>
      </c>
      <c r="AB991" t="s">
        <v>1705</v>
      </c>
      <c r="AC991" t="s">
        <v>51</v>
      </c>
      <c r="AD991" t="s">
        <v>45</v>
      </c>
      <c r="AE991" s="1">
        <v>31344</v>
      </c>
      <c r="AF991">
        <v>1</v>
      </c>
      <c r="AG991" t="s">
        <v>1709</v>
      </c>
      <c r="AH991" s="36">
        <f t="shared" si="15"/>
        <v>33.647222222222226</v>
      </c>
      <c r="AI991" s="40" t="s">
        <v>1778</v>
      </c>
    </row>
    <row r="992" spans="1:35" x14ac:dyDescent="0.25">
      <c r="A992" s="36">
        <v>99910990</v>
      </c>
      <c r="B992" s="17" t="s">
        <v>32</v>
      </c>
      <c r="C992" t="s">
        <v>52</v>
      </c>
      <c r="D992" t="s">
        <v>53</v>
      </c>
      <c r="G992" s="17" t="s">
        <v>48</v>
      </c>
      <c r="H992" s="17">
        <v>1</v>
      </c>
      <c r="K992" t="s">
        <v>1051</v>
      </c>
      <c r="L992" t="s">
        <v>1052</v>
      </c>
      <c r="M992" t="s">
        <v>1053</v>
      </c>
      <c r="N992">
        <v>23</v>
      </c>
      <c r="O992" t="s">
        <v>40</v>
      </c>
      <c r="P992" t="s">
        <v>40</v>
      </c>
      <c r="Q992" t="s">
        <v>40</v>
      </c>
      <c r="R992" t="s">
        <v>40</v>
      </c>
      <c r="S992" t="s">
        <v>40</v>
      </c>
      <c r="V992" t="s">
        <v>41</v>
      </c>
      <c r="W992" t="s">
        <v>49</v>
      </c>
      <c r="X992" t="str">
        <f>"2060005"</f>
        <v>2060005</v>
      </c>
      <c r="Y992" t="s">
        <v>1054</v>
      </c>
      <c r="Z992" t="s">
        <v>1051</v>
      </c>
      <c r="AA992" t="s">
        <v>1052</v>
      </c>
      <c r="AB992" t="s">
        <v>1053</v>
      </c>
      <c r="AC992" t="s">
        <v>51</v>
      </c>
      <c r="AD992" t="s">
        <v>45</v>
      </c>
      <c r="AE992" s="1">
        <v>31340</v>
      </c>
      <c r="AF992">
        <v>2</v>
      </c>
      <c r="AG992" t="s">
        <v>1052</v>
      </c>
      <c r="AH992" s="36">
        <f t="shared" si="15"/>
        <v>33.658333333333331</v>
      </c>
      <c r="AI992" s="40" t="s">
        <v>1778</v>
      </c>
    </row>
    <row r="993" spans="1:35" x14ac:dyDescent="0.25">
      <c r="A993" s="36">
        <v>99910991</v>
      </c>
      <c r="B993" s="17" t="s">
        <v>32</v>
      </c>
      <c r="C993" t="s">
        <v>64</v>
      </c>
      <c r="D993" t="s">
        <v>65</v>
      </c>
      <c r="G993" s="17" t="s">
        <v>48</v>
      </c>
      <c r="H993" s="17">
        <v>1</v>
      </c>
      <c r="K993" t="s">
        <v>380</v>
      </c>
      <c r="L993" t="s">
        <v>381</v>
      </c>
      <c r="M993" t="s">
        <v>131</v>
      </c>
      <c r="N993">
        <v>3</v>
      </c>
      <c r="O993" t="s">
        <v>40</v>
      </c>
      <c r="P993" t="s">
        <v>40</v>
      </c>
      <c r="Q993" t="s">
        <v>40</v>
      </c>
      <c r="S993" t="s">
        <v>40</v>
      </c>
      <c r="V993" t="s">
        <v>41</v>
      </c>
      <c r="W993" t="s">
        <v>49</v>
      </c>
      <c r="X993" t="str">
        <f>"0591908"</f>
        <v>0591908</v>
      </c>
      <c r="Y993" t="s">
        <v>383</v>
      </c>
      <c r="Z993" t="s">
        <v>380</v>
      </c>
      <c r="AA993" t="s">
        <v>381</v>
      </c>
      <c r="AB993" t="s">
        <v>131</v>
      </c>
      <c r="AC993" t="s">
        <v>44</v>
      </c>
      <c r="AD993" t="s">
        <v>45</v>
      </c>
      <c r="AE993" s="1">
        <v>31337</v>
      </c>
      <c r="AF993">
        <v>2</v>
      </c>
      <c r="AG993" t="s">
        <v>381</v>
      </c>
      <c r="AH993" s="36">
        <f t="shared" si="15"/>
        <v>33.666666666666664</v>
      </c>
      <c r="AI993" s="40" t="s">
        <v>1778</v>
      </c>
    </row>
    <row r="994" spans="1:35" x14ac:dyDescent="0.25">
      <c r="A994" s="36">
        <v>99910992</v>
      </c>
      <c r="B994" s="17" t="s">
        <v>32</v>
      </c>
      <c r="C994" t="s">
        <v>46</v>
      </c>
      <c r="D994" t="s">
        <v>47</v>
      </c>
      <c r="G994" s="17" t="s">
        <v>35</v>
      </c>
      <c r="H994" s="17">
        <v>1</v>
      </c>
      <c r="I994">
        <v>18262</v>
      </c>
      <c r="J994" s="1">
        <v>43344</v>
      </c>
      <c r="K994" t="s">
        <v>223</v>
      </c>
      <c r="L994" t="s">
        <v>224</v>
      </c>
      <c r="M994" t="s">
        <v>131</v>
      </c>
      <c r="N994">
        <v>15</v>
      </c>
      <c r="O994" t="s">
        <v>40</v>
      </c>
      <c r="P994" t="s">
        <v>40</v>
      </c>
      <c r="Q994" t="s">
        <v>40</v>
      </c>
      <c r="R994" t="s">
        <v>40</v>
      </c>
      <c r="S994" t="s">
        <v>40</v>
      </c>
      <c r="U994" s="1">
        <v>43344</v>
      </c>
      <c r="V994" t="s">
        <v>41</v>
      </c>
      <c r="W994" t="s">
        <v>49</v>
      </c>
      <c r="X994" t="str">
        <f>"0560008"</f>
        <v>0560008</v>
      </c>
      <c r="Y994" t="s">
        <v>263</v>
      </c>
      <c r="Z994" t="s">
        <v>223</v>
      </c>
      <c r="AA994" t="s">
        <v>224</v>
      </c>
      <c r="AB994" t="s">
        <v>131</v>
      </c>
      <c r="AC994" t="s">
        <v>44</v>
      </c>
      <c r="AD994" t="s">
        <v>45</v>
      </c>
      <c r="AE994" s="1">
        <v>31324</v>
      </c>
      <c r="AF994">
        <v>2</v>
      </c>
      <c r="AG994" t="s">
        <v>224</v>
      </c>
      <c r="AH994" s="36">
        <f t="shared" si="15"/>
        <v>33.702777777777776</v>
      </c>
      <c r="AI994" s="40" t="s">
        <v>1778</v>
      </c>
    </row>
    <row r="995" spans="1:35" x14ac:dyDescent="0.25">
      <c r="A995" s="36">
        <v>99910993</v>
      </c>
      <c r="B995" s="17" t="s">
        <v>56</v>
      </c>
      <c r="C995" t="s">
        <v>52</v>
      </c>
      <c r="D995" t="s">
        <v>53</v>
      </c>
      <c r="G995" s="17" t="s">
        <v>35</v>
      </c>
      <c r="H995" s="17">
        <v>1</v>
      </c>
      <c r="K995" t="s">
        <v>300</v>
      </c>
      <c r="L995" t="s">
        <v>301</v>
      </c>
      <c r="M995" t="s">
        <v>131</v>
      </c>
      <c r="N995">
        <v>17</v>
      </c>
      <c r="O995" t="s">
        <v>40</v>
      </c>
      <c r="P995" t="s">
        <v>40</v>
      </c>
      <c r="Q995" t="s">
        <v>40</v>
      </c>
      <c r="R995" t="s">
        <v>40</v>
      </c>
      <c r="S995" t="s">
        <v>40</v>
      </c>
      <c r="V995" t="s">
        <v>41</v>
      </c>
      <c r="W995" t="s">
        <v>42</v>
      </c>
      <c r="X995" t="str">
        <f>"0580457"</f>
        <v>0580457</v>
      </c>
      <c r="Y995" t="s">
        <v>310</v>
      </c>
      <c r="Z995" t="s">
        <v>300</v>
      </c>
      <c r="AA995" t="s">
        <v>301</v>
      </c>
      <c r="AB995" t="s">
        <v>131</v>
      </c>
      <c r="AC995" t="s">
        <v>51</v>
      </c>
      <c r="AD995" t="s">
        <v>45</v>
      </c>
      <c r="AE995" s="1">
        <v>31321</v>
      </c>
      <c r="AF995">
        <v>2</v>
      </c>
      <c r="AG995" t="s">
        <v>301</v>
      </c>
      <c r="AH995" s="36">
        <f t="shared" si="15"/>
        <v>33.711111111111109</v>
      </c>
      <c r="AI995" s="40" t="s">
        <v>1778</v>
      </c>
    </row>
    <row r="996" spans="1:35" x14ac:dyDescent="0.25">
      <c r="A996" s="36">
        <v>99910994</v>
      </c>
      <c r="B996" s="17" t="s">
        <v>32</v>
      </c>
      <c r="C996" t="s">
        <v>111</v>
      </c>
      <c r="D996" t="s">
        <v>112</v>
      </c>
      <c r="G996" s="17" t="s">
        <v>48</v>
      </c>
      <c r="H996" s="17">
        <v>1</v>
      </c>
      <c r="K996" t="s">
        <v>268</v>
      </c>
      <c r="L996" t="s">
        <v>269</v>
      </c>
      <c r="M996" t="s">
        <v>131</v>
      </c>
      <c r="N996">
        <v>23</v>
      </c>
      <c r="O996" t="s">
        <v>40</v>
      </c>
      <c r="P996" t="s">
        <v>40</v>
      </c>
      <c r="Q996" t="s">
        <v>40</v>
      </c>
      <c r="S996" t="s">
        <v>40</v>
      </c>
      <c r="V996" t="s">
        <v>41</v>
      </c>
      <c r="W996" t="s">
        <v>75</v>
      </c>
      <c r="X996" t="str">
        <f>"7052042"</f>
        <v>7052042</v>
      </c>
      <c r="Y996" t="s">
        <v>583</v>
      </c>
      <c r="Z996" t="s">
        <v>268</v>
      </c>
      <c r="AA996" t="s">
        <v>269</v>
      </c>
      <c r="AB996" t="s">
        <v>131</v>
      </c>
      <c r="AC996" t="s">
        <v>51</v>
      </c>
      <c r="AD996" t="s">
        <v>45</v>
      </c>
      <c r="AE996" s="1">
        <v>31320</v>
      </c>
      <c r="AF996">
        <v>1</v>
      </c>
      <c r="AG996" t="s">
        <v>269</v>
      </c>
      <c r="AH996" s="36">
        <f t="shared" si="15"/>
        <v>33.713888888888889</v>
      </c>
      <c r="AI996" s="40" t="s">
        <v>1778</v>
      </c>
    </row>
    <row r="997" spans="1:35" x14ac:dyDescent="0.25">
      <c r="A997" s="36">
        <v>99910995</v>
      </c>
      <c r="B997" s="17" t="s">
        <v>32</v>
      </c>
      <c r="C997" t="s">
        <v>111</v>
      </c>
      <c r="D997" t="s">
        <v>112</v>
      </c>
      <c r="G997" s="17" t="s">
        <v>35</v>
      </c>
      <c r="H997" s="17">
        <v>1</v>
      </c>
      <c r="I997" t="s">
        <v>1716</v>
      </c>
      <c r="J997" s="1">
        <v>43344</v>
      </c>
      <c r="K997" t="s">
        <v>1708</v>
      </c>
      <c r="L997" t="s">
        <v>1709</v>
      </c>
      <c r="M997" t="s">
        <v>1705</v>
      </c>
      <c r="N997">
        <v>24</v>
      </c>
      <c r="O997" t="s">
        <v>40</v>
      </c>
      <c r="P997" t="s">
        <v>40</v>
      </c>
      <c r="Q997" t="s">
        <v>40</v>
      </c>
      <c r="S997" t="s">
        <v>40</v>
      </c>
      <c r="U997" s="1">
        <v>43344</v>
      </c>
      <c r="V997" t="s">
        <v>41</v>
      </c>
      <c r="W997" t="s">
        <v>75</v>
      </c>
      <c r="X997" t="str">
        <f>"7121000"</f>
        <v>7121000</v>
      </c>
      <c r="Y997" t="s">
        <v>1713</v>
      </c>
      <c r="Z997" t="s">
        <v>1708</v>
      </c>
      <c r="AA997" t="s">
        <v>1709</v>
      </c>
      <c r="AB997" t="s">
        <v>1705</v>
      </c>
      <c r="AC997" t="s">
        <v>44</v>
      </c>
      <c r="AD997" t="s">
        <v>45</v>
      </c>
      <c r="AE997" s="1">
        <v>31318</v>
      </c>
      <c r="AF997">
        <v>1</v>
      </c>
      <c r="AG997" t="s">
        <v>1709</v>
      </c>
      <c r="AH997" s="36">
        <f t="shared" si="15"/>
        <v>33.719444444444441</v>
      </c>
      <c r="AI997" s="40" t="s">
        <v>1778</v>
      </c>
    </row>
    <row r="998" spans="1:35" x14ac:dyDescent="0.25">
      <c r="A998" s="36">
        <v>99910996</v>
      </c>
      <c r="B998" s="17" t="s">
        <v>56</v>
      </c>
      <c r="C998" t="s">
        <v>52</v>
      </c>
      <c r="D998" t="s">
        <v>53</v>
      </c>
      <c r="G998" s="17" t="s">
        <v>35</v>
      </c>
      <c r="H998" s="17">
        <v>1</v>
      </c>
      <c r="I998">
        <v>13814</v>
      </c>
      <c r="J998" s="1">
        <v>43355</v>
      </c>
      <c r="K998" t="s">
        <v>345</v>
      </c>
      <c r="L998" t="s">
        <v>346</v>
      </c>
      <c r="M998" t="s">
        <v>131</v>
      </c>
      <c r="N998">
        <v>4</v>
      </c>
      <c r="O998" t="s">
        <v>40</v>
      </c>
      <c r="Q998" t="s">
        <v>40</v>
      </c>
      <c r="S998" t="s">
        <v>40</v>
      </c>
      <c r="U998" s="1">
        <v>43355</v>
      </c>
      <c r="V998" t="s">
        <v>41</v>
      </c>
      <c r="W998" t="s">
        <v>49</v>
      </c>
      <c r="X998" t="str">
        <f>"0560032"</f>
        <v>0560032</v>
      </c>
      <c r="Y998" t="s">
        <v>347</v>
      </c>
      <c r="Z998" t="s">
        <v>345</v>
      </c>
      <c r="AA998" t="s">
        <v>346</v>
      </c>
      <c r="AB998" t="s">
        <v>131</v>
      </c>
      <c r="AC998" t="s">
        <v>51</v>
      </c>
      <c r="AD998" t="s">
        <v>45</v>
      </c>
      <c r="AE998" s="1">
        <v>31315</v>
      </c>
      <c r="AF998">
        <v>2</v>
      </c>
      <c r="AG998" t="s">
        <v>346</v>
      </c>
      <c r="AH998" s="36">
        <f t="shared" si="15"/>
        <v>33.727777777777774</v>
      </c>
      <c r="AI998" s="40" t="s">
        <v>1778</v>
      </c>
    </row>
    <row r="999" spans="1:35" x14ac:dyDescent="0.25">
      <c r="A999" s="36">
        <v>99910997</v>
      </c>
      <c r="B999" s="17" t="s">
        <v>32</v>
      </c>
      <c r="C999" t="s">
        <v>90</v>
      </c>
      <c r="D999" t="s">
        <v>91</v>
      </c>
      <c r="G999" s="17" t="s">
        <v>35</v>
      </c>
      <c r="H999" s="17">
        <v>1</v>
      </c>
      <c r="K999" t="s">
        <v>927</v>
      </c>
      <c r="L999" t="s">
        <v>928</v>
      </c>
      <c r="M999" t="s">
        <v>921</v>
      </c>
      <c r="N999">
        <v>25</v>
      </c>
      <c r="O999" t="s">
        <v>40</v>
      </c>
      <c r="P999" t="s">
        <v>40</v>
      </c>
      <c r="Q999" t="s">
        <v>40</v>
      </c>
      <c r="S999" t="s">
        <v>40</v>
      </c>
      <c r="V999" t="s">
        <v>41</v>
      </c>
      <c r="W999" t="s">
        <v>95</v>
      </c>
      <c r="X999" t="str">
        <f>"7331003"</f>
        <v>7331003</v>
      </c>
      <c r="Y999" t="s">
        <v>929</v>
      </c>
      <c r="Z999" t="s">
        <v>927</v>
      </c>
      <c r="AA999" t="s">
        <v>928</v>
      </c>
      <c r="AB999" t="s">
        <v>921</v>
      </c>
      <c r="AC999" t="s">
        <v>51</v>
      </c>
      <c r="AD999" t="s">
        <v>45</v>
      </c>
      <c r="AE999" s="1">
        <v>31314</v>
      </c>
      <c r="AF999">
        <v>1</v>
      </c>
      <c r="AG999" t="s">
        <v>928</v>
      </c>
      <c r="AH999" s="36">
        <f t="shared" si="15"/>
        <v>33.730555555555554</v>
      </c>
      <c r="AI999" s="40" t="s">
        <v>1778</v>
      </c>
    </row>
    <row r="1000" spans="1:35" x14ac:dyDescent="0.25">
      <c r="A1000" s="36">
        <v>99910998</v>
      </c>
      <c r="B1000" s="17" t="s">
        <v>32</v>
      </c>
      <c r="C1000" t="s">
        <v>90</v>
      </c>
      <c r="D1000" t="s">
        <v>91</v>
      </c>
      <c r="G1000" s="17" t="s">
        <v>35</v>
      </c>
      <c r="H1000" s="17">
        <v>1</v>
      </c>
      <c r="I1000" t="s">
        <v>1405</v>
      </c>
      <c r="J1000" s="1">
        <v>43344</v>
      </c>
      <c r="K1000" t="s">
        <v>1341</v>
      </c>
      <c r="L1000" t="s">
        <v>1342</v>
      </c>
      <c r="M1000" t="s">
        <v>1270</v>
      </c>
      <c r="N1000">
        <v>24</v>
      </c>
      <c r="O1000" t="s">
        <v>40</v>
      </c>
      <c r="S1000" t="s">
        <v>40</v>
      </c>
      <c r="U1000" s="1">
        <v>43344</v>
      </c>
      <c r="V1000" t="s">
        <v>41</v>
      </c>
      <c r="W1000" t="s">
        <v>95</v>
      </c>
      <c r="X1000" t="str">
        <f>"7191127"</f>
        <v>7191127</v>
      </c>
      <c r="Y1000" t="s">
        <v>1422</v>
      </c>
      <c r="Z1000" t="s">
        <v>1341</v>
      </c>
      <c r="AA1000" t="s">
        <v>1342</v>
      </c>
      <c r="AB1000" t="s">
        <v>1270</v>
      </c>
      <c r="AC1000" t="s">
        <v>44</v>
      </c>
      <c r="AD1000" t="s">
        <v>45</v>
      </c>
      <c r="AE1000" s="1">
        <v>31314</v>
      </c>
      <c r="AF1000">
        <v>1</v>
      </c>
      <c r="AG1000" t="s">
        <v>1342</v>
      </c>
      <c r="AH1000" s="36">
        <f t="shared" si="15"/>
        <v>33.730555555555554</v>
      </c>
      <c r="AI1000" s="40" t="s">
        <v>1778</v>
      </c>
    </row>
    <row r="1001" spans="1:35" x14ac:dyDescent="0.25">
      <c r="A1001" s="36">
        <v>99910999</v>
      </c>
      <c r="B1001" s="17" t="s">
        <v>32</v>
      </c>
      <c r="C1001" t="s">
        <v>111</v>
      </c>
      <c r="D1001" t="s">
        <v>112</v>
      </c>
      <c r="G1001" s="17" t="s">
        <v>35</v>
      </c>
      <c r="H1001" s="17">
        <v>1</v>
      </c>
      <c r="I1001" t="s">
        <v>616</v>
      </c>
      <c r="J1001" s="1">
        <v>43344</v>
      </c>
      <c r="K1001" t="s">
        <v>268</v>
      </c>
      <c r="L1001" t="s">
        <v>269</v>
      </c>
      <c r="M1001" t="s">
        <v>131</v>
      </c>
      <c r="N1001">
        <v>23</v>
      </c>
      <c r="O1001" t="s">
        <v>40</v>
      </c>
      <c r="S1001" t="s">
        <v>40</v>
      </c>
      <c r="U1001" s="1">
        <v>43344</v>
      </c>
      <c r="V1001" t="s">
        <v>41</v>
      </c>
      <c r="W1001" t="s">
        <v>75</v>
      </c>
      <c r="X1001" t="str">
        <f>"7052020"</f>
        <v>7052020</v>
      </c>
      <c r="Y1001" t="s">
        <v>267</v>
      </c>
      <c r="Z1001" t="s">
        <v>268</v>
      </c>
      <c r="AA1001" t="s">
        <v>269</v>
      </c>
      <c r="AB1001" t="s">
        <v>131</v>
      </c>
      <c r="AC1001" t="s">
        <v>51</v>
      </c>
      <c r="AD1001" t="s">
        <v>45</v>
      </c>
      <c r="AE1001" s="1">
        <v>31300</v>
      </c>
      <c r="AF1001">
        <v>1</v>
      </c>
      <c r="AG1001" t="s">
        <v>269</v>
      </c>
      <c r="AH1001" s="36">
        <f t="shared" si="15"/>
        <v>33.769444444444446</v>
      </c>
      <c r="AI1001" s="40" t="s">
        <v>1778</v>
      </c>
    </row>
    <row r="1002" spans="1:35" x14ac:dyDescent="0.25">
      <c r="A1002" s="36">
        <v>99911000</v>
      </c>
      <c r="B1002" s="17" t="s">
        <v>32</v>
      </c>
      <c r="C1002" t="s">
        <v>64</v>
      </c>
      <c r="D1002" t="s">
        <v>65</v>
      </c>
      <c r="G1002" s="17" t="s">
        <v>35</v>
      </c>
      <c r="H1002" s="17">
        <v>1</v>
      </c>
      <c r="I1002">
        <v>0</v>
      </c>
      <c r="J1002" s="1">
        <v>43344</v>
      </c>
      <c r="K1002" t="s">
        <v>223</v>
      </c>
      <c r="L1002" t="s">
        <v>224</v>
      </c>
      <c r="M1002" t="s">
        <v>131</v>
      </c>
      <c r="N1002">
        <v>23</v>
      </c>
      <c r="O1002" t="s">
        <v>40</v>
      </c>
      <c r="S1002" t="s">
        <v>40</v>
      </c>
      <c r="U1002" s="1">
        <v>43344</v>
      </c>
      <c r="V1002" t="s">
        <v>41</v>
      </c>
      <c r="W1002" t="s">
        <v>49</v>
      </c>
      <c r="X1002" t="str">
        <f>"0581265"</f>
        <v>0581265</v>
      </c>
      <c r="Y1002" t="s">
        <v>236</v>
      </c>
      <c r="Z1002" t="s">
        <v>223</v>
      </c>
      <c r="AA1002" t="s">
        <v>224</v>
      </c>
      <c r="AB1002" t="s">
        <v>131</v>
      </c>
      <c r="AC1002" t="s">
        <v>51</v>
      </c>
      <c r="AD1002" t="s">
        <v>45</v>
      </c>
      <c r="AE1002" s="1">
        <v>31298</v>
      </c>
      <c r="AF1002">
        <v>2</v>
      </c>
      <c r="AG1002" t="s">
        <v>224</v>
      </c>
      <c r="AH1002" s="36">
        <f t="shared" si="15"/>
        <v>33.774999999999999</v>
      </c>
      <c r="AI1002" s="40" t="s">
        <v>1778</v>
      </c>
    </row>
    <row r="1003" spans="1:35" x14ac:dyDescent="0.25">
      <c r="A1003" s="36">
        <v>99911001</v>
      </c>
      <c r="B1003" s="17" t="s">
        <v>32</v>
      </c>
      <c r="C1003" t="s">
        <v>90</v>
      </c>
      <c r="D1003" t="s">
        <v>91</v>
      </c>
      <c r="G1003" s="17" t="s">
        <v>48</v>
      </c>
      <c r="H1003" s="17">
        <v>3</v>
      </c>
      <c r="K1003" t="s">
        <v>1619</v>
      </c>
      <c r="L1003" t="s">
        <v>1620</v>
      </c>
      <c r="M1003" t="s">
        <v>1592</v>
      </c>
      <c r="N1003">
        <v>25</v>
      </c>
      <c r="O1003" t="s">
        <v>40</v>
      </c>
      <c r="P1003" t="s">
        <v>40</v>
      </c>
      <c r="Q1003" t="s">
        <v>40</v>
      </c>
      <c r="R1003" t="s">
        <v>40</v>
      </c>
      <c r="S1003" t="s">
        <v>40</v>
      </c>
      <c r="V1003" t="s">
        <v>41</v>
      </c>
      <c r="W1003" t="s">
        <v>95</v>
      </c>
      <c r="X1003" t="str">
        <f>"7281005"</f>
        <v>7281005</v>
      </c>
      <c r="Y1003" t="s">
        <v>1649</v>
      </c>
      <c r="Z1003" t="s">
        <v>1619</v>
      </c>
      <c r="AA1003" t="s">
        <v>1620</v>
      </c>
      <c r="AB1003" t="s">
        <v>1592</v>
      </c>
      <c r="AC1003" t="s">
        <v>51</v>
      </c>
      <c r="AD1003" t="s">
        <v>45</v>
      </c>
      <c r="AE1003" s="1">
        <v>31298</v>
      </c>
      <c r="AF1003">
        <v>1</v>
      </c>
      <c r="AG1003" t="s">
        <v>1620</v>
      </c>
      <c r="AH1003" s="36">
        <f t="shared" si="15"/>
        <v>33.774999999999999</v>
      </c>
      <c r="AI1003" s="40" t="s">
        <v>1778</v>
      </c>
    </row>
    <row r="1004" spans="1:35" x14ac:dyDescent="0.25">
      <c r="A1004" s="36">
        <v>99911002</v>
      </c>
      <c r="B1004" s="17" t="s">
        <v>32</v>
      </c>
      <c r="C1004" t="s">
        <v>90</v>
      </c>
      <c r="D1004" t="s">
        <v>91</v>
      </c>
      <c r="G1004" s="17" t="s">
        <v>48</v>
      </c>
      <c r="H1004" s="17">
        <v>1</v>
      </c>
      <c r="K1004" t="s">
        <v>268</v>
      </c>
      <c r="L1004" t="s">
        <v>269</v>
      </c>
      <c r="M1004" t="s">
        <v>131</v>
      </c>
      <c r="N1004">
        <v>25</v>
      </c>
      <c r="O1004" t="s">
        <v>40</v>
      </c>
      <c r="P1004" t="s">
        <v>40</v>
      </c>
      <c r="Q1004" t="s">
        <v>40</v>
      </c>
      <c r="S1004" t="s">
        <v>40</v>
      </c>
      <c r="V1004" t="s">
        <v>41</v>
      </c>
      <c r="W1004" t="s">
        <v>95</v>
      </c>
      <c r="X1004" t="str">
        <f>"7052011"</f>
        <v>7052011</v>
      </c>
      <c r="Y1004" t="s">
        <v>666</v>
      </c>
      <c r="Z1004" t="s">
        <v>268</v>
      </c>
      <c r="AA1004" t="s">
        <v>269</v>
      </c>
      <c r="AB1004" t="s">
        <v>131</v>
      </c>
      <c r="AC1004" t="s">
        <v>51</v>
      </c>
      <c r="AD1004" t="s">
        <v>45</v>
      </c>
      <c r="AE1004" s="1">
        <v>31294</v>
      </c>
      <c r="AF1004">
        <v>1</v>
      </c>
      <c r="AG1004" t="s">
        <v>269</v>
      </c>
      <c r="AH1004" s="36">
        <f t="shared" si="15"/>
        <v>33.786111111111111</v>
      </c>
      <c r="AI1004" s="40" t="s">
        <v>1778</v>
      </c>
    </row>
    <row r="1005" spans="1:35" x14ac:dyDescent="0.25">
      <c r="A1005" s="36">
        <v>99911003</v>
      </c>
      <c r="B1005" s="17" t="s">
        <v>56</v>
      </c>
      <c r="C1005" t="s">
        <v>52</v>
      </c>
      <c r="D1005" t="s">
        <v>53</v>
      </c>
      <c r="G1005" s="17" t="s">
        <v>35</v>
      </c>
      <c r="H1005" s="17">
        <v>1</v>
      </c>
      <c r="I1005" t="s">
        <v>1133</v>
      </c>
      <c r="J1005" s="1">
        <v>43344</v>
      </c>
      <c r="K1005" t="s">
        <v>1128</v>
      </c>
      <c r="L1005" t="s">
        <v>1129</v>
      </c>
      <c r="M1005" t="s">
        <v>1130</v>
      </c>
      <c r="N1005">
        <v>23</v>
      </c>
      <c r="O1005" t="s">
        <v>40</v>
      </c>
      <c r="P1005" t="s">
        <v>40</v>
      </c>
      <c r="Q1005" t="s">
        <v>40</v>
      </c>
      <c r="R1005" t="s">
        <v>40</v>
      </c>
      <c r="S1005" t="s">
        <v>40</v>
      </c>
      <c r="U1005" s="1">
        <v>43344</v>
      </c>
      <c r="V1005" t="s">
        <v>41</v>
      </c>
      <c r="W1005" t="s">
        <v>49</v>
      </c>
      <c r="X1005" t="str">
        <f>"3181010"</f>
        <v>3181010</v>
      </c>
      <c r="Y1005" t="s">
        <v>1134</v>
      </c>
      <c r="Z1005" t="s">
        <v>1128</v>
      </c>
      <c r="AA1005" t="s">
        <v>1129</v>
      </c>
      <c r="AB1005" t="s">
        <v>1130</v>
      </c>
      <c r="AC1005" t="s">
        <v>51</v>
      </c>
      <c r="AD1005" t="s">
        <v>45</v>
      </c>
      <c r="AE1005" s="1">
        <v>31293</v>
      </c>
      <c r="AF1005">
        <v>2</v>
      </c>
      <c r="AG1005" t="s">
        <v>1129</v>
      </c>
      <c r="AH1005" s="36">
        <f t="shared" si="15"/>
        <v>33.788888888888891</v>
      </c>
      <c r="AI1005" s="40" t="s">
        <v>1778</v>
      </c>
    </row>
    <row r="1006" spans="1:35" x14ac:dyDescent="0.25">
      <c r="A1006" s="36">
        <v>99911004</v>
      </c>
      <c r="B1006" s="17" t="s">
        <v>56</v>
      </c>
      <c r="C1006" t="s">
        <v>61</v>
      </c>
      <c r="D1006" t="s">
        <v>62</v>
      </c>
      <c r="E1006" t="s">
        <v>257</v>
      </c>
      <c r="F1006" t="s">
        <v>258</v>
      </c>
      <c r="G1006" s="17" t="s">
        <v>35</v>
      </c>
      <c r="H1006" s="17">
        <v>1</v>
      </c>
      <c r="I1006">
        <v>0</v>
      </c>
      <c r="J1006" s="1">
        <v>43344</v>
      </c>
      <c r="K1006" t="s">
        <v>223</v>
      </c>
      <c r="L1006" t="s">
        <v>224</v>
      </c>
      <c r="M1006" t="s">
        <v>131</v>
      </c>
      <c r="N1006">
        <v>24</v>
      </c>
      <c r="O1006" t="s">
        <v>40</v>
      </c>
      <c r="P1006" t="s">
        <v>40</v>
      </c>
      <c r="Q1006" t="s">
        <v>40</v>
      </c>
      <c r="R1006" t="s">
        <v>40</v>
      </c>
      <c r="S1006" t="s">
        <v>40</v>
      </c>
      <c r="U1006" s="1">
        <v>43344</v>
      </c>
      <c r="V1006" t="s">
        <v>41</v>
      </c>
      <c r="W1006" t="s">
        <v>49</v>
      </c>
      <c r="X1006" t="str">
        <f>"0581207"</f>
        <v>0581207</v>
      </c>
      <c r="Y1006" t="s">
        <v>233</v>
      </c>
      <c r="Z1006" t="s">
        <v>223</v>
      </c>
      <c r="AA1006" t="s">
        <v>224</v>
      </c>
      <c r="AB1006" t="s">
        <v>131</v>
      </c>
      <c r="AC1006" t="s">
        <v>51</v>
      </c>
      <c r="AD1006" t="s">
        <v>45</v>
      </c>
      <c r="AE1006" s="1">
        <v>31292</v>
      </c>
      <c r="AF1006">
        <v>2</v>
      </c>
      <c r="AG1006" t="s">
        <v>224</v>
      </c>
      <c r="AH1006" s="36">
        <f t="shared" si="15"/>
        <v>33.791666666666664</v>
      </c>
      <c r="AI1006" s="40" t="s">
        <v>1778</v>
      </c>
    </row>
    <row r="1007" spans="1:35" x14ac:dyDescent="0.25">
      <c r="A1007" s="36">
        <v>99911005</v>
      </c>
      <c r="B1007" s="17" t="s">
        <v>56</v>
      </c>
      <c r="C1007" t="s">
        <v>61</v>
      </c>
      <c r="D1007" t="s">
        <v>62</v>
      </c>
      <c r="G1007" s="17" t="s">
        <v>48</v>
      </c>
      <c r="H1007" s="17">
        <v>1</v>
      </c>
      <c r="K1007" t="s">
        <v>223</v>
      </c>
      <c r="L1007" t="s">
        <v>224</v>
      </c>
      <c r="M1007" t="s">
        <v>131</v>
      </c>
      <c r="N1007">
        <v>21</v>
      </c>
      <c r="O1007" t="s">
        <v>40</v>
      </c>
      <c r="P1007" t="s">
        <v>40</v>
      </c>
      <c r="Q1007" t="s">
        <v>40</v>
      </c>
      <c r="R1007" t="s">
        <v>40</v>
      </c>
      <c r="S1007" t="s">
        <v>40</v>
      </c>
      <c r="V1007" t="s">
        <v>41</v>
      </c>
      <c r="W1007" t="s">
        <v>42</v>
      </c>
      <c r="X1007" t="str">
        <f>"0580200"</f>
        <v>0580200</v>
      </c>
      <c r="Y1007" t="s">
        <v>245</v>
      </c>
      <c r="Z1007" t="s">
        <v>223</v>
      </c>
      <c r="AA1007" t="s">
        <v>224</v>
      </c>
      <c r="AB1007" t="s">
        <v>131</v>
      </c>
      <c r="AC1007" t="s">
        <v>51</v>
      </c>
      <c r="AD1007" t="s">
        <v>45</v>
      </c>
      <c r="AE1007" s="1">
        <v>31288</v>
      </c>
      <c r="AF1007">
        <v>2</v>
      </c>
      <c r="AG1007" t="s">
        <v>224</v>
      </c>
      <c r="AH1007" s="36">
        <f t="shared" si="15"/>
        <v>33.802777777777777</v>
      </c>
      <c r="AI1007" s="40" t="s">
        <v>1778</v>
      </c>
    </row>
    <row r="1008" spans="1:35" x14ac:dyDescent="0.25">
      <c r="A1008" s="36">
        <v>99911006</v>
      </c>
      <c r="B1008" s="17" t="s">
        <v>56</v>
      </c>
      <c r="C1008" t="s">
        <v>79</v>
      </c>
      <c r="D1008" t="s">
        <v>80</v>
      </c>
      <c r="G1008" s="17" t="s">
        <v>48</v>
      </c>
      <c r="H1008" s="17">
        <v>1</v>
      </c>
      <c r="K1008" t="s">
        <v>129</v>
      </c>
      <c r="L1008" t="s">
        <v>130</v>
      </c>
      <c r="M1008" t="s">
        <v>131</v>
      </c>
      <c r="N1008">
        <v>7</v>
      </c>
      <c r="O1008" t="s">
        <v>40</v>
      </c>
      <c r="P1008" t="s">
        <v>40</v>
      </c>
      <c r="Q1008" t="s">
        <v>40</v>
      </c>
      <c r="R1008" t="s">
        <v>40</v>
      </c>
      <c r="S1008" t="s">
        <v>40</v>
      </c>
      <c r="V1008" t="s">
        <v>41</v>
      </c>
      <c r="W1008" t="s">
        <v>49</v>
      </c>
      <c r="X1008" t="str">
        <f>"0591905"</f>
        <v>0591905</v>
      </c>
      <c r="Y1008" t="s">
        <v>135</v>
      </c>
      <c r="Z1008" t="s">
        <v>129</v>
      </c>
      <c r="AA1008" t="s">
        <v>130</v>
      </c>
      <c r="AB1008" t="s">
        <v>131</v>
      </c>
      <c r="AC1008" t="s">
        <v>51</v>
      </c>
      <c r="AD1008" t="s">
        <v>45</v>
      </c>
      <c r="AE1008" s="1">
        <v>31282</v>
      </c>
      <c r="AF1008">
        <v>2</v>
      </c>
      <c r="AG1008" t="s">
        <v>130</v>
      </c>
      <c r="AH1008" s="36">
        <f t="shared" si="15"/>
        <v>33.819444444444443</v>
      </c>
      <c r="AI1008" s="40" t="s">
        <v>1778</v>
      </c>
    </row>
    <row r="1009" spans="1:35" x14ac:dyDescent="0.25">
      <c r="A1009" s="36">
        <v>99911007</v>
      </c>
      <c r="B1009" s="17" t="s">
        <v>32</v>
      </c>
      <c r="C1009" t="s">
        <v>90</v>
      </c>
      <c r="D1009" t="s">
        <v>91</v>
      </c>
      <c r="G1009" s="17" t="s">
        <v>48</v>
      </c>
      <c r="H1009" s="17">
        <v>1</v>
      </c>
      <c r="K1009" t="s">
        <v>431</v>
      </c>
      <c r="L1009" t="s">
        <v>196</v>
      </c>
      <c r="M1009" t="s">
        <v>131</v>
      </c>
      <c r="N1009">
        <v>24</v>
      </c>
      <c r="O1009" t="s">
        <v>40</v>
      </c>
      <c r="P1009" t="s">
        <v>40</v>
      </c>
      <c r="Q1009" t="s">
        <v>40</v>
      </c>
      <c r="S1009" t="s">
        <v>40</v>
      </c>
      <c r="V1009" t="s">
        <v>41</v>
      </c>
      <c r="W1009" t="s">
        <v>75</v>
      </c>
      <c r="X1009" t="str">
        <f>"7521016"</f>
        <v>7521016</v>
      </c>
      <c r="Y1009" t="s">
        <v>448</v>
      </c>
      <c r="Z1009" t="s">
        <v>431</v>
      </c>
      <c r="AA1009" t="s">
        <v>196</v>
      </c>
      <c r="AB1009" t="s">
        <v>131</v>
      </c>
      <c r="AC1009" t="s">
        <v>51</v>
      </c>
      <c r="AD1009" t="s">
        <v>45</v>
      </c>
      <c r="AE1009" s="1">
        <v>31279</v>
      </c>
      <c r="AF1009">
        <v>1</v>
      </c>
      <c r="AG1009" t="s">
        <v>196</v>
      </c>
      <c r="AH1009" s="36">
        <f t="shared" si="15"/>
        <v>33.827777777777776</v>
      </c>
      <c r="AI1009" s="40" t="s">
        <v>1778</v>
      </c>
    </row>
    <row r="1010" spans="1:35" x14ac:dyDescent="0.25">
      <c r="A1010" s="36">
        <v>99911008</v>
      </c>
      <c r="B1010" s="17" t="s">
        <v>56</v>
      </c>
      <c r="C1010" t="s">
        <v>68</v>
      </c>
      <c r="D1010" t="s">
        <v>69</v>
      </c>
      <c r="G1010" s="17" t="s">
        <v>35</v>
      </c>
      <c r="H1010" s="17">
        <v>1</v>
      </c>
      <c r="I1010">
        <v>15679</v>
      </c>
      <c r="J1010" s="1">
        <v>43355</v>
      </c>
      <c r="K1010" t="s">
        <v>162</v>
      </c>
      <c r="L1010" t="s">
        <v>158</v>
      </c>
      <c r="M1010" t="s">
        <v>131</v>
      </c>
      <c r="N1010">
        <v>21</v>
      </c>
      <c r="O1010" t="s">
        <v>40</v>
      </c>
      <c r="S1010" t="s">
        <v>40</v>
      </c>
      <c r="U1010" s="1">
        <v>43355</v>
      </c>
      <c r="V1010" t="s">
        <v>41</v>
      </c>
      <c r="W1010" t="s">
        <v>49</v>
      </c>
      <c r="X1010" t="str">
        <f>"0505050"</f>
        <v>0505050</v>
      </c>
      <c r="Y1010" t="s">
        <v>163</v>
      </c>
      <c r="Z1010" t="s">
        <v>162</v>
      </c>
      <c r="AA1010" t="s">
        <v>158</v>
      </c>
      <c r="AB1010" t="s">
        <v>131</v>
      </c>
      <c r="AC1010" t="s">
        <v>55</v>
      </c>
      <c r="AD1010" t="s">
        <v>45</v>
      </c>
      <c r="AE1010" s="1">
        <v>31271</v>
      </c>
      <c r="AF1010">
        <v>2</v>
      </c>
      <c r="AG1010" t="s">
        <v>158</v>
      </c>
      <c r="AH1010" s="36">
        <f t="shared" si="15"/>
        <v>33.85</v>
      </c>
      <c r="AI1010" s="40" t="s">
        <v>1778</v>
      </c>
    </row>
    <row r="1011" spans="1:35" x14ac:dyDescent="0.25">
      <c r="A1011" s="36">
        <v>99911009</v>
      </c>
      <c r="B1011" s="17" t="s">
        <v>32</v>
      </c>
      <c r="C1011" t="s">
        <v>52</v>
      </c>
      <c r="D1011" t="s">
        <v>53</v>
      </c>
      <c r="G1011" s="17" t="s">
        <v>35</v>
      </c>
      <c r="H1011" s="17">
        <v>1</v>
      </c>
      <c r="I1011" t="s">
        <v>1494</v>
      </c>
      <c r="J1011" s="1">
        <v>43041</v>
      </c>
      <c r="K1011" t="s">
        <v>1487</v>
      </c>
      <c r="L1011" t="s">
        <v>1488</v>
      </c>
      <c r="M1011" t="s">
        <v>670</v>
      </c>
      <c r="N1011">
        <v>10</v>
      </c>
      <c r="O1011" t="s">
        <v>40</v>
      </c>
      <c r="P1011" t="s">
        <v>40</v>
      </c>
      <c r="Q1011" t="s">
        <v>40</v>
      </c>
      <c r="R1011" t="s">
        <v>40</v>
      </c>
      <c r="S1011" t="s">
        <v>40</v>
      </c>
      <c r="U1011" s="1">
        <v>43041</v>
      </c>
      <c r="V1011" t="s">
        <v>41</v>
      </c>
      <c r="W1011" t="s">
        <v>42</v>
      </c>
      <c r="X1011" t="str">
        <f>"1780020"</f>
        <v>1780020</v>
      </c>
      <c r="Y1011" t="s">
        <v>1490</v>
      </c>
      <c r="Z1011" t="s">
        <v>1487</v>
      </c>
      <c r="AA1011" t="s">
        <v>1488</v>
      </c>
      <c r="AB1011" t="s">
        <v>670</v>
      </c>
      <c r="AC1011" t="s">
        <v>44</v>
      </c>
      <c r="AD1011" t="s">
        <v>45</v>
      </c>
      <c r="AE1011" s="1">
        <v>31261</v>
      </c>
      <c r="AF1011">
        <v>2</v>
      </c>
      <c r="AG1011" t="s">
        <v>1488</v>
      </c>
      <c r="AH1011" s="36">
        <f t="shared" si="15"/>
        <v>33.87777777777778</v>
      </c>
      <c r="AI1011" s="40" t="s">
        <v>1778</v>
      </c>
    </row>
    <row r="1012" spans="1:35" x14ac:dyDescent="0.25">
      <c r="A1012" s="36">
        <v>99911010</v>
      </c>
      <c r="B1012" s="17" t="s">
        <v>32</v>
      </c>
      <c r="C1012" t="s">
        <v>90</v>
      </c>
      <c r="D1012" t="s">
        <v>91</v>
      </c>
      <c r="G1012" s="17" t="s">
        <v>35</v>
      </c>
      <c r="H1012" s="17">
        <v>1</v>
      </c>
      <c r="I1012" t="s">
        <v>1585</v>
      </c>
      <c r="J1012" s="1">
        <v>43344</v>
      </c>
      <c r="K1012" t="s">
        <v>1587</v>
      </c>
      <c r="L1012" t="s">
        <v>1582</v>
      </c>
      <c r="M1012" t="s">
        <v>1548</v>
      </c>
      <c r="N1012">
        <v>25</v>
      </c>
      <c r="O1012" t="s">
        <v>40</v>
      </c>
      <c r="S1012" t="s">
        <v>40</v>
      </c>
      <c r="U1012" s="1">
        <v>43344</v>
      </c>
      <c r="V1012" t="s">
        <v>41</v>
      </c>
      <c r="W1012" t="s">
        <v>95</v>
      </c>
      <c r="X1012" t="str">
        <f>"7291007"</f>
        <v>7291007</v>
      </c>
      <c r="Y1012" t="s">
        <v>1588</v>
      </c>
      <c r="Z1012" t="s">
        <v>1587</v>
      </c>
      <c r="AA1012" t="s">
        <v>1582</v>
      </c>
      <c r="AB1012" t="s">
        <v>1548</v>
      </c>
      <c r="AC1012" t="s">
        <v>51</v>
      </c>
      <c r="AD1012" t="s">
        <v>45</v>
      </c>
      <c r="AE1012" s="1">
        <v>31260</v>
      </c>
      <c r="AF1012">
        <v>1</v>
      </c>
      <c r="AG1012" t="s">
        <v>1582</v>
      </c>
      <c r="AH1012" s="36">
        <f t="shared" si="15"/>
        <v>33.880555555555553</v>
      </c>
      <c r="AI1012" s="40" t="s">
        <v>1778</v>
      </c>
    </row>
    <row r="1013" spans="1:35" x14ac:dyDescent="0.25">
      <c r="A1013" s="36">
        <v>99911011</v>
      </c>
      <c r="B1013" s="17" t="s">
        <v>32</v>
      </c>
      <c r="C1013" t="s">
        <v>143</v>
      </c>
      <c r="D1013" t="s">
        <v>144</v>
      </c>
      <c r="G1013" s="17" t="s">
        <v>35</v>
      </c>
      <c r="H1013" s="17">
        <v>1</v>
      </c>
      <c r="K1013" t="s">
        <v>963</v>
      </c>
      <c r="L1013" t="s">
        <v>964</v>
      </c>
      <c r="M1013" t="s">
        <v>938</v>
      </c>
      <c r="N1013">
        <v>21</v>
      </c>
      <c r="O1013" t="s">
        <v>40</v>
      </c>
      <c r="P1013" t="s">
        <v>40</v>
      </c>
      <c r="Q1013" t="s">
        <v>40</v>
      </c>
      <c r="R1013" t="s">
        <v>40</v>
      </c>
      <c r="S1013" t="s">
        <v>40</v>
      </c>
      <c r="V1013" t="s">
        <v>41</v>
      </c>
      <c r="W1013" t="s">
        <v>75</v>
      </c>
      <c r="X1013" t="str">
        <f>"7061000"</f>
        <v>7061000</v>
      </c>
      <c r="Y1013" t="s">
        <v>962</v>
      </c>
      <c r="Z1013" t="s">
        <v>963</v>
      </c>
      <c r="AA1013" t="s">
        <v>964</v>
      </c>
      <c r="AB1013" t="s">
        <v>938</v>
      </c>
      <c r="AC1013" t="s">
        <v>51</v>
      </c>
      <c r="AD1013" t="s">
        <v>45</v>
      </c>
      <c r="AE1013" s="1">
        <v>31258</v>
      </c>
      <c r="AF1013">
        <v>1</v>
      </c>
      <c r="AG1013" t="s">
        <v>964</v>
      </c>
      <c r="AH1013" s="36">
        <f t="shared" si="15"/>
        <v>33.886111111111113</v>
      </c>
      <c r="AI1013" s="40" t="s">
        <v>1778</v>
      </c>
    </row>
    <row r="1014" spans="1:35" x14ac:dyDescent="0.25">
      <c r="A1014" s="36">
        <v>99911012</v>
      </c>
      <c r="B1014" s="17" t="s">
        <v>32</v>
      </c>
      <c r="C1014" t="s">
        <v>90</v>
      </c>
      <c r="D1014" t="s">
        <v>91</v>
      </c>
      <c r="G1014" s="17" t="s">
        <v>48</v>
      </c>
      <c r="H1014" s="17">
        <v>1</v>
      </c>
      <c r="K1014" t="s">
        <v>1341</v>
      </c>
      <c r="L1014" t="s">
        <v>1342</v>
      </c>
      <c r="M1014" t="s">
        <v>1270</v>
      </c>
      <c r="N1014">
        <v>25</v>
      </c>
      <c r="O1014" t="s">
        <v>40</v>
      </c>
      <c r="P1014" t="s">
        <v>40</v>
      </c>
      <c r="Q1014" t="s">
        <v>40</v>
      </c>
      <c r="S1014" t="s">
        <v>40</v>
      </c>
      <c r="V1014" t="s">
        <v>41</v>
      </c>
      <c r="W1014" t="s">
        <v>95</v>
      </c>
      <c r="X1014" t="str">
        <f>"7191013"</f>
        <v>7191013</v>
      </c>
      <c r="Y1014" t="s">
        <v>1358</v>
      </c>
      <c r="Z1014" t="s">
        <v>1341</v>
      </c>
      <c r="AA1014" t="s">
        <v>1342</v>
      </c>
      <c r="AB1014" t="s">
        <v>1270</v>
      </c>
      <c r="AC1014" t="s">
        <v>51</v>
      </c>
      <c r="AD1014" t="s">
        <v>45</v>
      </c>
      <c r="AE1014" s="1">
        <v>31254</v>
      </c>
      <c r="AF1014">
        <v>1</v>
      </c>
      <c r="AG1014" t="s">
        <v>1342</v>
      </c>
      <c r="AH1014" s="36">
        <f t="shared" si="15"/>
        <v>33.897222222222226</v>
      </c>
      <c r="AI1014" s="40" t="s">
        <v>1778</v>
      </c>
    </row>
    <row r="1015" spans="1:35" x14ac:dyDescent="0.25">
      <c r="A1015" s="36">
        <v>99911013</v>
      </c>
      <c r="B1015" s="17" t="s">
        <v>32</v>
      </c>
      <c r="C1015" t="s">
        <v>82</v>
      </c>
      <c r="D1015" t="s">
        <v>83</v>
      </c>
      <c r="G1015" s="17" t="s">
        <v>48</v>
      </c>
      <c r="H1015" s="17">
        <v>1</v>
      </c>
      <c r="K1015" t="s">
        <v>936</v>
      </c>
      <c r="L1015" t="s">
        <v>937</v>
      </c>
      <c r="M1015" t="s">
        <v>938</v>
      </c>
      <c r="N1015">
        <v>9</v>
      </c>
      <c r="O1015" t="s">
        <v>40</v>
      </c>
      <c r="P1015" t="s">
        <v>40</v>
      </c>
      <c r="Q1015" t="s">
        <v>40</v>
      </c>
      <c r="R1015" t="s">
        <v>40</v>
      </c>
      <c r="S1015" t="s">
        <v>40</v>
      </c>
      <c r="V1015" t="s">
        <v>41</v>
      </c>
      <c r="W1015" t="s">
        <v>49</v>
      </c>
      <c r="X1015" t="str">
        <f>"0180017"</f>
        <v>0180017</v>
      </c>
      <c r="Y1015" t="s">
        <v>943</v>
      </c>
      <c r="Z1015" t="s">
        <v>936</v>
      </c>
      <c r="AA1015" t="s">
        <v>937</v>
      </c>
      <c r="AB1015" t="s">
        <v>938</v>
      </c>
      <c r="AC1015" t="s">
        <v>51</v>
      </c>
      <c r="AD1015" t="s">
        <v>45</v>
      </c>
      <c r="AE1015" s="1">
        <v>31248</v>
      </c>
      <c r="AF1015">
        <v>2</v>
      </c>
      <c r="AG1015" t="s">
        <v>937</v>
      </c>
      <c r="AH1015" s="36">
        <f t="shared" si="15"/>
        <v>33.913888888888891</v>
      </c>
      <c r="AI1015" s="40" t="s">
        <v>1778</v>
      </c>
    </row>
    <row r="1016" spans="1:35" x14ac:dyDescent="0.25">
      <c r="A1016" s="36">
        <v>99911014</v>
      </c>
      <c r="B1016" s="17" t="s">
        <v>32</v>
      </c>
      <c r="C1016" t="s">
        <v>46</v>
      </c>
      <c r="D1016" t="s">
        <v>47</v>
      </c>
      <c r="G1016" s="17" t="s">
        <v>35</v>
      </c>
      <c r="H1016" s="17">
        <v>1</v>
      </c>
      <c r="K1016" t="s">
        <v>223</v>
      </c>
      <c r="L1016" t="s">
        <v>224</v>
      </c>
      <c r="M1016" t="s">
        <v>131</v>
      </c>
      <c r="N1016">
        <v>21</v>
      </c>
      <c r="O1016" t="s">
        <v>40</v>
      </c>
      <c r="P1016" t="s">
        <v>40</v>
      </c>
      <c r="Q1016" t="s">
        <v>40</v>
      </c>
      <c r="S1016" t="s">
        <v>40</v>
      </c>
      <c r="V1016" t="s">
        <v>41</v>
      </c>
      <c r="W1016" t="s">
        <v>42</v>
      </c>
      <c r="X1016" t="str">
        <f>"0590901"</f>
        <v>0590901</v>
      </c>
      <c r="Y1016" t="s">
        <v>242</v>
      </c>
      <c r="Z1016" t="s">
        <v>223</v>
      </c>
      <c r="AA1016" t="s">
        <v>224</v>
      </c>
      <c r="AB1016" t="s">
        <v>131</v>
      </c>
      <c r="AC1016" t="s">
        <v>51</v>
      </c>
      <c r="AD1016" t="s">
        <v>45</v>
      </c>
      <c r="AE1016" s="1">
        <v>31246</v>
      </c>
      <c r="AF1016">
        <v>2</v>
      </c>
      <c r="AG1016" t="s">
        <v>224</v>
      </c>
      <c r="AH1016" s="36">
        <f t="shared" si="15"/>
        <v>33.919444444444444</v>
      </c>
      <c r="AI1016" s="40" t="s">
        <v>1778</v>
      </c>
    </row>
    <row r="1017" spans="1:35" x14ac:dyDescent="0.25">
      <c r="A1017" s="36">
        <v>99911015</v>
      </c>
      <c r="B1017" s="17" t="s">
        <v>56</v>
      </c>
      <c r="C1017" t="s">
        <v>259</v>
      </c>
      <c r="D1017" t="s">
        <v>260</v>
      </c>
      <c r="G1017" s="17" t="s">
        <v>35</v>
      </c>
      <c r="H1017" s="17">
        <v>1</v>
      </c>
      <c r="I1017">
        <v>0</v>
      </c>
      <c r="J1017" s="1">
        <v>43344</v>
      </c>
      <c r="K1017" t="s">
        <v>223</v>
      </c>
      <c r="L1017" t="s">
        <v>224</v>
      </c>
      <c r="M1017" t="s">
        <v>131</v>
      </c>
      <c r="N1017">
        <v>23</v>
      </c>
      <c r="O1017" t="s">
        <v>40</v>
      </c>
      <c r="S1017" t="s">
        <v>40</v>
      </c>
      <c r="U1017" s="1">
        <v>43344</v>
      </c>
      <c r="V1017" t="s">
        <v>41</v>
      </c>
      <c r="W1017" t="s">
        <v>49</v>
      </c>
      <c r="X1017" t="str">
        <f>"0509999"</f>
        <v>0509999</v>
      </c>
      <c r="Y1017" t="s">
        <v>247</v>
      </c>
      <c r="Z1017" t="s">
        <v>223</v>
      </c>
      <c r="AA1017" t="s">
        <v>224</v>
      </c>
      <c r="AB1017" t="s">
        <v>131</v>
      </c>
      <c r="AC1017" t="s">
        <v>44</v>
      </c>
      <c r="AD1017" t="s">
        <v>45</v>
      </c>
      <c r="AE1017" s="1">
        <v>31245</v>
      </c>
      <c r="AF1017">
        <v>2</v>
      </c>
      <c r="AG1017" t="s">
        <v>224</v>
      </c>
      <c r="AH1017" s="36">
        <f t="shared" si="15"/>
        <v>33.922222222222224</v>
      </c>
      <c r="AI1017" s="40" t="s">
        <v>1778</v>
      </c>
    </row>
    <row r="1018" spans="1:35" x14ac:dyDescent="0.25">
      <c r="A1018" s="36">
        <v>99911016</v>
      </c>
      <c r="B1018" s="17" t="s">
        <v>32</v>
      </c>
      <c r="C1018" t="s">
        <v>85</v>
      </c>
      <c r="D1018" t="s">
        <v>86</v>
      </c>
      <c r="G1018" s="17" t="s">
        <v>35</v>
      </c>
      <c r="H1018" s="17">
        <v>1</v>
      </c>
      <c r="K1018" t="s">
        <v>223</v>
      </c>
      <c r="L1018" t="s">
        <v>224</v>
      </c>
      <c r="M1018" t="s">
        <v>131</v>
      </c>
      <c r="N1018">
        <v>24</v>
      </c>
      <c r="O1018" t="s">
        <v>40</v>
      </c>
      <c r="P1018" t="s">
        <v>40</v>
      </c>
      <c r="Q1018" t="s">
        <v>40</v>
      </c>
      <c r="R1018" t="s">
        <v>40</v>
      </c>
      <c r="S1018" t="s">
        <v>40</v>
      </c>
      <c r="V1018" t="s">
        <v>41</v>
      </c>
      <c r="W1018" t="s">
        <v>49</v>
      </c>
      <c r="X1018" t="str">
        <f>"0591901"</f>
        <v>0591901</v>
      </c>
      <c r="Y1018" t="s">
        <v>230</v>
      </c>
      <c r="Z1018" t="s">
        <v>223</v>
      </c>
      <c r="AA1018" t="s">
        <v>224</v>
      </c>
      <c r="AB1018" t="s">
        <v>131</v>
      </c>
      <c r="AC1018" t="s">
        <v>51</v>
      </c>
      <c r="AD1018" t="s">
        <v>45</v>
      </c>
      <c r="AE1018" s="1">
        <v>31239</v>
      </c>
      <c r="AF1018">
        <v>2</v>
      </c>
      <c r="AG1018" t="s">
        <v>224</v>
      </c>
      <c r="AH1018" s="36">
        <f t="shared" si="15"/>
        <v>33.93888888888889</v>
      </c>
      <c r="AI1018" s="40" t="s">
        <v>1778</v>
      </c>
    </row>
    <row r="1019" spans="1:35" x14ac:dyDescent="0.25">
      <c r="A1019" s="36">
        <v>99911017</v>
      </c>
      <c r="B1019" s="17" t="s">
        <v>32</v>
      </c>
      <c r="C1019" t="s">
        <v>46</v>
      </c>
      <c r="D1019" t="s">
        <v>47</v>
      </c>
      <c r="G1019" s="17" t="s">
        <v>35</v>
      </c>
      <c r="H1019" s="17">
        <v>1</v>
      </c>
      <c r="I1019">
        <v>12095</v>
      </c>
      <c r="J1019" s="1">
        <v>43344</v>
      </c>
      <c r="K1019" t="s">
        <v>345</v>
      </c>
      <c r="L1019" t="s">
        <v>346</v>
      </c>
      <c r="M1019" t="s">
        <v>131</v>
      </c>
      <c r="N1019">
        <v>10</v>
      </c>
      <c r="O1019" t="s">
        <v>40</v>
      </c>
      <c r="Q1019" t="s">
        <v>40</v>
      </c>
      <c r="S1019" t="s">
        <v>40</v>
      </c>
      <c r="U1019" s="1">
        <v>43344</v>
      </c>
      <c r="V1019" t="s">
        <v>41</v>
      </c>
      <c r="W1019" t="s">
        <v>49</v>
      </c>
      <c r="X1019" t="str">
        <f>"0560032"</f>
        <v>0560032</v>
      </c>
      <c r="Y1019" t="s">
        <v>347</v>
      </c>
      <c r="Z1019" t="s">
        <v>345</v>
      </c>
      <c r="AA1019" t="s">
        <v>346</v>
      </c>
      <c r="AB1019" t="s">
        <v>131</v>
      </c>
      <c r="AC1019" t="s">
        <v>44</v>
      </c>
      <c r="AD1019" t="s">
        <v>45</v>
      </c>
      <c r="AE1019" s="1">
        <v>31239</v>
      </c>
      <c r="AF1019">
        <v>2</v>
      </c>
      <c r="AG1019" t="s">
        <v>346</v>
      </c>
      <c r="AH1019" s="36">
        <f t="shared" si="15"/>
        <v>33.93888888888889</v>
      </c>
      <c r="AI1019" s="40" t="s">
        <v>1778</v>
      </c>
    </row>
    <row r="1020" spans="1:35" x14ac:dyDescent="0.25">
      <c r="A1020" s="36">
        <v>99911018</v>
      </c>
      <c r="B1020" s="17" t="s">
        <v>32</v>
      </c>
      <c r="C1020" t="s">
        <v>90</v>
      </c>
      <c r="D1020" t="s">
        <v>91</v>
      </c>
      <c r="G1020" s="17" t="s">
        <v>35</v>
      </c>
      <c r="H1020" s="17">
        <v>1</v>
      </c>
      <c r="K1020" t="s">
        <v>268</v>
      </c>
      <c r="L1020" t="s">
        <v>269</v>
      </c>
      <c r="M1020" t="s">
        <v>131</v>
      </c>
      <c r="N1020">
        <v>24</v>
      </c>
      <c r="O1020" t="s">
        <v>40</v>
      </c>
      <c r="P1020" t="s">
        <v>40</v>
      </c>
      <c r="Q1020" t="s">
        <v>40</v>
      </c>
      <c r="S1020" t="s">
        <v>40</v>
      </c>
      <c r="V1020" t="s">
        <v>41</v>
      </c>
      <c r="W1020" t="s">
        <v>75</v>
      </c>
      <c r="X1020" t="str">
        <f>"7052000"</f>
        <v>7052000</v>
      </c>
      <c r="Y1020" t="s">
        <v>656</v>
      </c>
      <c r="Z1020" t="s">
        <v>268</v>
      </c>
      <c r="AA1020" t="s">
        <v>269</v>
      </c>
      <c r="AB1020" t="s">
        <v>131</v>
      </c>
      <c r="AC1020" t="s">
        <v>51</v>
      </c>
      <c r="AD1020" t="s">
        <v>45</v>
      </c>
      <c r="AE1020" s="1">
        <v>31235</v>
      </c>
      <c r="AF1020">
        <v>1</v>
      </c>
      <c r="AG1020" t="s">
        <v>269</v>
      </c>
      <c r="AH1020" s="36">
        <f t="shared" si="15"/>
        <v>33.950000000000003</v>
      </c>
      <c r="AI1020" s="40" t="s">
        <v>1778</v>
      </c>
    </row>
    <row r="1021" spans="1:35" x14ac:dyDescent="0.25">
      <c r="A1021" s="36">
        <v>99911019</v>
      </c>
      <c r="B1021" s="17" t="s">
        <v>32</v>
      </c>
      <c r="C1021" t="s">
        <v>79</v>
      </c>
      <c r="D1021" t="s">
        <v>80</v>
      </c>
      <c r="G1021" s="17" t="s">
        <v>35</v>
      </c>
      <c r="H1021" s="17">
        <v>1</v>
      </c>
      <c r="I1021">
        <v>11285</v>
      </c>
      <c r="J1021" s="1">
        <v>43344</v>
      </c>
      <c r="K1021" t="s">
        <v>354</v>
      </c>
      <c r="L1021" t="s">
        <v>355</v>
      </c>
      <c r="M1021" t="s">
        <v>131</v>
      </c>
      <c r="N1021">
        <v>23</v>
      </c>
      <c r="O1021" t="s">
        <v>40</v>
      </c>
      <c r="Q1021" t="s">
        <v>40</v>
      </c>
      <c r="S1021" t="s">
        <v>40</v>
      </c>
      <c r="U1021" s="1">
        <v>43344</v>
      </c>
      <c r="V1021" t="s">
        <v>41</v>
      </c>
      <c r="W1021" t="s">
        <v>75</v>
      </c>
      <c r="X1021" t="str">
        <f>"7054006"</f>
        <v>7054006</v>
      </c>
      <c r="Y1021" t="s">
        <v>774</v>
      </c>
      <c r="Z1021" t="s">
        <v>354</v>
      </c>
      <c r="AA1021" t="s">
        <v>355</v>
      </c>
      <c r="AB1021" t="s">
        <v>131</v>
      </c>
      <c r="AC1021" t="s">
        <v>44</v>
      </c>
      <c r="AD1021" t="s">
        <v>45</v>
      </c>
      <c r="AE1021" s="1">
        <v>31234</v>
      </c>
      <c r="AF1021">
        <v>1</v>
      </c>
      <c r="AG1021" t="s">
        <v>355</v>
      </c>
      <c r="AH1021" s="36">
        <f t="shared" si="15"/>
        <v>33.952777777777776</v>
      </c>
      <c r="AI1021" s="40" t="s">
        <v>1778</v>
      </c>
    </row>
    <row r="1022" spans="1:35" x14ac:dyDescent="0.25">
      <c r="A1022" s="36">
        <v>99911020</v>
      </c>
      <c r="B1022" s="17" t="s">
        <v>32</v>
      </c>
      <c r="C1022" t="s">
        <v>90</v>
      </c>
      <c r="D1022" t="s">
        <v>91</v>
      </c>
      <c r="G1022" s="17" t="s">
        <v>48</v>
      </c>
      <c r="H1022" s="17">
        <v>1</v>
      </c>
      <c r="K1022" t="s">
        <v>1245</v>
      </c>
      <c r="L1022" t="s">
        <v>1246</v>
      </c>
      <c r="M1022" t="s">
        <v>1130</v>
      </c>
      <c r="N1022">
        <v>25</v>
      </c>
      <c r="O1022" t="s">
        <v>40</v>
      </c>
      <c r="P1022" t="s">
        <v>40</v>
      </c>
      <c r="Q1022" t="s">
        <v>40</v>
      </c>
      <c r="S1022" t="s">
        <v>40</v>
      </c>
      <c r="V1022" t="s">
        <v>41</v>
      </c>
      <c r="W1022" t="s">
        <v>95</v>
      </c>
      <c r="X1022" t="str">
        <f>"7451007"</f>
        <v>7451007</v>
      </c>
      <c r="Y1022" t="s">
        <v>1256</v>
      </c>
      <c r="Z1022" t="s">
        <v>1245</v>
      </c>
      <c r="AA1022" t="s">
        <v>1246</v>
      </c>
      <c r="AB1022" t="s">
        <v>1130</v>
      </c>
      <c r="AC1022" t="s">
        <v>51</v>
      </c>
      <c r="AD1022" t="s">
        <v>45</v>
      </c>
      <c r="AE1022" s="1">
        <v>31231</v>
      </c>
      <c r="AF1022">
        <v>1</v>
      </c>
      <c r="AG1022" t="s">
        <v>1246</v>
      </c>
      <c r="AH1022" s="36">
        <f t="shared" si="15"/>
        <v>33.961111111111109</v>
      </c>
      <c r="AI1022" s="40" t="s">
        <v>1778</v>
      </c>
    </row>
    <row r="1023" spans="1:35" x14ac:dyDescent="0.25">
      <c r="A1023" s="36">
        <v>99911021</v>
      </c>
      <c r="B1023" s="17" t="s">
        <v>32</v>
      </c>
      <c r="C1023" t="s">
        <v>90</v>
      </c>
      <c r="D1023" t="s">
        <v>91</v>
      </c>
      <c r="G1023" s="17" t="s">
        <v>35</v>
      </c>
      <c r="H1023" s="17">
        <v>1</v>
      </c>
      <c r="I1023">
        <v>12971</v>
      </c>
      <c r="J1023" s="1">
        <v>43344</v>
      </c>
      <c r="K1023" t="s">
        <v>354</v>
      </c>
      <c r="L1023" t="s">
        <v>355</v>
      </c>
      <c r="M1023" t="s">
        <v>131</v>
      </c>
      <c r="N1023">
        <v>25</v>
      </c>
      <c r="O1023" t="s">
        <v>40</v>
      </c>
      <c r="S1023" t="s">
        <v>40</v>
      </c>
      <c r="U1023" s="1">
        <v>43344</v>
      </c>
      <c r="V1023" t="s">
        <v>41</v>
      </c>
      <c r="W1023" t="s">
        <v>95</v>
      </c>
      <c r="X1023" t="str">
        <f>"7054051"</f>
        <v>7054051</v>
      </c>
      <c r="Y1023" t="s">
        <v>853</v>
      </c>
      <c r="Z1023" t="s">
        <v>354</v>
      </c>
      <c r="AA1023" t="s">
        <v>355</v>
      </c>
      <c r="AB1023" t="s">
        <v>131</v>
      </c>
      <c r="AC1023" t="s">
        <v>51</v>
      </c>
      <c r="AD1023" t="s">
        <v>45</v>
      </c>
      <c r="AE1023" s="1">
        <v>31229</v>
      </c>
      <c r="AF1023">
        <v>1</v>
      </c>
      <c r="AG1023" t="s">
        <v>355</v>
      </c>
      <c r="AH1023" s="36">
        <f t="shared" si="15"/>
        <v>33.966666666666669</v>
      </c>
      <c r="AI1023" s="40" t="s">
        <v>1778</v>
      </c>
    </row>
    <row r="1024" spans="1:35" x14ac:dyDescent="0.25">
      <c r="A1024" s="36">
        <v>99911022</v>
      </c>
      <c r="B1024" s="17" t="s">
        <v>32</v>
      </c>
      <c r="C1024" t="s">
        <v>64</v>
      </c>
      <c r="D1024" t="s">
        <v>65</v>
      </c>
      <c r="G1024" s="17" t="s">
        <v>35</v>
      </c>
      <c r="H1024" s="17">
        <v>1</v>
      </c>
      <c r="I1024" t="s">
        <v>1561</v>
      </c>
      <c r="J1024" s="1">
        <v>43344</v>
      </c>
      <c r="K1024" t="s">
        <v>1546</v>
      </c>
      <c r="L1024" t="s">
        <v>1547</v>
      </c>
      <c r="M1024" t="s">
        <v>1548</v>
      </c>
      <c r="N1024">
        <v>24</v>
      </c>
      <c r="O1024" t="s">
        <v>40</v>
      </c>
      <c r="P1024" t="s">
        <v>40</v>
      </c>
      <c r="Q1024" t="s">
        <v>40</v>
      </c>
      <c r="S1024" t="s">
        <v>40</v>
      </c>
      <c r="U1024" s="1">
        <v>43344</v>
      </c>
      <c r="V1024" t="s">
        <v>41</v>
      </c>
      <c r="W1024" t="s">
        <v>42</v>
      </c>
      <c r="X1024" t="str">
        <f>"1080010"</f>
        <v>1080010</v>
      </c>
      <c r="Y1024" t="s">
        <v>1549</v>
      </c>
      <c r="Z1024" t="s">
        <v>1546</v>
      </c>
      <c r="AA1024" t="s">
        <v>1547</v>
      </c>
      <c r="AB1024" t="s">
        <v>1548</v>
      </c>
      <c r="AC1024" t="s">
        <v>44</v>
      </c>
      <c r="AD1024" t="s">
        <v>45</v>
      </c>
      <c r="AE1024" s="1">
        <v>31226</v>
      </c>
      <c r="AF1024">
        <v>2</v>
      </c>
      <c r="AG1024" t="s">
        <v>1547</v>
      </c>
      <c r="AH1024" s="36">
        <f t="shared" si="15"/>
        <v>33.975000000000001</v>
      </c>
      <c r="AI1024" s="40" t="s">
        <v>1778</v>
      </c>
    </row>
    <row r="1025" spans="1:35" x14ac:dyDescent="0.25">
      <c r="A1025" s="36">
        <v>99911023</v>
      </c>
      <c r="B1025" s="17" t="s">
        <v>32</v>
      </c>
      <c r="C1025" t="s">
        <v>90</v>
      </c>
      <c r="D1025" t="s">
        <v>91</v>
      </c>
      <c r="G1025" s="17" t="s">
        <v>48</v>
      </c>
      <c r="H1025" s="17">
        <v>4</v>
      </c>
      <c r="K1025" t="s">
        <v>1619</v>
      </c>
      <c r="L1025" t="s">
        <v>1620</v>
      </c>
      <c r="M1025" t="s">
        <v>1592</v>
      </c>
      <c r="N1025">
        <v>25</v>
      </c>
      <c r="O1025" t="s">
        <v>40</v>
      </c>
      <c r="P1025" t="s">
        <v>40</v>
      </c>
      <c r="Q1025" t="s">
        <v>40</v>
      </c>
      <c r="R1025" t="s">
        <v>40</v>
      </c>
      <c r="S1025" t="s">
        <v>40</v>
      </c>
      <c r="V1025" t="s">
        <v>41</v>
      </c>
      <c r="W1025" t="s">
        <v>95</v>
      </c>
      <c r="X1025" t="str">
        <f>"7281005"</f>
        <v>7281005</v>
      </c>
      <c r="Y1025" t="s">
        <v>1649</v>
      </c>
      <c r="Z1025" t="s">
        <v>1619</v>
      </c>
      <c r="AA1025" t="s">
        <v>1620</v>
      </c>
      <c r="AB1025" t="s">
        <v>1592</v>
      </c>
      <c r="AC1025" t="s">
        <v>51</v>
      </c>
      <c r="AD1025" t="s">
        <v>45</v>
      </c>
      <c r="AE1025" s="1">
        <v>31225</v>
      </c>
      <c r="AF1025">
        <v>1</v>
      </c>
      <c r="AG1025" t="s">
        <v>1620</v>
      </c>
      <c r="AH1025" s="36">
        <f t="shared" si="15"/>
        <v>33.977777777777774</v>
      </c>
      <c r="AI1025" s="40" t="s">
        <v>1778</v>
      </c>
    </row>
    <row r="1026" spans="1:35" x14ac:dyDescent="0.25">
      <c r="A1026" s="36">
        <v>99911024</v>
      </c>
      <c r="B1026" s="17" t="s">
        <v>56</v>
      </c>
      <c r="C1026" t="s">
        <v>64</v>
      </c>
      <c r="D1026" t="s">
        <v>65</v>
      </c>
      <c r="G1026" s="17" t="s">
        <v>35</v>
      </c>
      <c r="H1026" s="17">
        <v>1</v>
      </c>
      <c r="I1026">
        <v>4954</v>
      </c>
      <c r="J1026" s="1">
        <v>43344</v>
      </c>
      <c r="K1026" t="s">
        <v>1695</v>
      </c>
      <c r="L1026" t="s">
        <v>1696</v>
      </c>
      <c r="M1026" t="s">
        <v>1592</v>
      </c>
      <c r="N1026">
        <v>24</v>
      </c>
      <c r="O1026" t="s">
        <v>40</v>
      </c>
      <c r="P1026" t="s">
        <v>40</v>
      </c>
      <c r="Q1026" t="s">
        <v>40</v>
      </c>
      <c r="S1026" t="s">
        <v>40</v>
      </c>
      <c r="U1026" s="1">
        <v>43344</v>
      </c>
      <c r="V1026" t="s">
        <v>41</v>
      </c>
      <c r="W1026" t="s">
        <v>75</v>
      </c>
      <c r="X1026" t="str">
        <f>"7361000"</f>
        <v>7361000</v>
      </c>
      <c r="Y1026" t="s">
        <v>1698</v>
      </c>
      <c r="Z1026" t="s">
        <v>1695</v>
      </c>
      <c r="AA1026" t="s">
        <v>1696</v>
      </c>
      <c r="AB1026" t="s">
        <v>1592</v>
      </c>
      <c r="AC1026" t="s">
        <v>51</v>
      </c>
      <c r="AD1026" t="s">
        <v>45</v>
      </c>
      <c r="AE1026" s="1">
        <v>31225</v>
      </c>
      <c r="AF1026">
        <v>1</v>
      </c>
      <c r="AG1026" t="s">
        <v>1696</v>
      </c>
      <c r="AH1026" s="36">
        <f t="shared" ref="AH1026:AH1089" si="16">($AJ$1-AE1026)/360</f>
        <v>33.977777777777774</v>
      </c>
      <c r="AI1026" s="40" t="s">
        <v>1778</v>
      </c>
    </row>
    <row r="1027" spans="1:35" x14ac:dyDescent="0.25">
      <c r="A1027" s="36">
        <v>99911025</v>
      </c>
      <c r="B1027" s="17" t="s">
        <v>32</v>
      </c>
      <c r="C1027" t="s">
        <v>90</v>
      </c>
      <c r="D1027" t="s">
        <v>91</v>
      </c>
      <c r="G1027" s="17" t="s">
        <v>48</v>
      </c>
      <c r="H1027" s="17">
        <v>1</v>
      </c>
      <c r="K1027" t="s">
        <v>268</v>
      </c>
      <c r="L1027" t="s">
        <v>269</v>
      </c>
      <c r="M1027" t="s">
        <v>131</v>
      </c>
      <c r="N1027">
        <v>20</v>
      </c>
      <c r="O1027" t="s">
        <v>40</v>
      </c>
      <c r="P1027" t="s">
        <v>40</v>
      </c>
      <c r="Q1027" t="s">
        <v>40</v>
      </c>
      <c r="R1027" t="s">
        <v>40</v>
      </c>
      <c r="S1027" t="s">
        <v>40</v>
      </c>
      <c r="V1027" t="s">
        <v>41</v>
      </c>
      <c r="W1027" t="s">
        <v>95</v>
      </c>
      <c r="X1027" t="str">
        <f>"7052117"</f>
        <v>7052117</v>
      </c>
      <c r="Y1027" t="s">
        <v>654</v>
      </c>
      <c r="Z1027" t="s">
        <v>268</v>
      </c>
      <c r="AA1027" t="s">
        <v>269</v>
      </c>
      <c r="AB1027" t="s">
        <v>131</v>
      </c>
      <c r="AC1027" t="s">
        <v>51</v>
      </c>
      <c r="AD1027" t="s">
        <v>45</v>
      </c>
      <c r="AE1027" s="1">
        <v>31224</v>
      </c>
      <c r="AF1027">
        <v>1</v>
      </c>
      <c r="AG1027" t="s">
        <v>269</v>
      </c>
      <c r="AH1027" s="36">
        <f t="shared" si="16"/>
        <v>33.980555555555554</v>
      </c>
      <c r="AI1027" s="40" t="s">
        <v>1778</v>
      </c>
    </row>
    <row r="1028" spans="1:35" x14ac:dyDescent="0.25">
      <c r="A1028" s="36">
        <v>99911026</v>
      </c>
      <c r="B1028" s="17" t="s">
        <v>32</v>
      </c>
      <c r="C1028" t="s">
        <v>61</v>
      </c>
      <c r="D1028" t="s">
        <v>62</v>
      </c>
      <c r="G1028" s="17" t="s">
        <v>35</v>
      </c>
      <c r="H1028" s="17">
        <v>1</v>
      </c>
      <c r="K1028" t="s">
        <v>354</v>
      </c>
      <c r="L1028" t="s">
        <v>355</v>
      </c>
      <c r="M1028" t="s">
        <v>131</v>
      </c>
      <c r="N1028">
        <v>24</v>
      </c>
      <c r="O1028" t="s">
        <v>40</v>
      </c>
      <c r="P1028" t="s">
        <v>40</v>
      </c>
      <c r="Q1028" t="s">
        <v>40</v>
      </c>
      <c r="S1028" t="s">
        <v>40</v>
      </c>
      <c r="V1028" t="s">
        <v>41</v>
      </c>
      <c r="W1028" t="s">
        <v>75</v>
      </c>
      <c r="X1028" t="str">
        <f>"7054022"</f>
        <v>7054022</v>
      </c>
      <c r="Y1028" t="s">
        <v>770</v>
      </c>
      <c r="Z1028" t="s">
        <v>354</v>
      </c>
      <c r="AA1028" t="s">
        <v>355</v>
      </c>
      <c r="AB1028" t="s">
        <v>131</v>
      </c>
      <c r="AC1028" t="s">
        <v>51</v>
      </c>
      <c r="AD1028" t="s">
        <v>45</v>
      </c>
      <c r="AE1028" s="1">
        <v>31223</v>
      </c>
      <c r="AF1028">
        <v>1</v>
      </c>
      <c r="AG1028" t="s">
        <v>355</v>
      </c>
      <c r="AH1028" s="36">
        <f t="shared" si="16"/>
        <v>33.983333333333334</v>
      </c>
      <c r="AI1028" s="40" t="s">
        <v>1778</v>
      </c>
    </row>
    <row r="1029" spans="1:35" x14ac:dyDescent="0.25">
      <c r="A1029" s="36">
        <v>99911027</v>
      </c>
      <c r="B1029" s="17" t="s">
        <v>56</v>
      </c>
      <c r="C1029" t="s">
        <v>141</v>
      </c>
      <c r="D1029" t="s">
        <v>142</v>
      </c>
      <c r="G1029" s="17" t="s">
        <v>48</v>
      </c>
      <c r="H1029" s="17">
        <v>1</v>
      </c>
      <c r="K1029" t="s">
        <v>157</v>
      </c>
      <c r="L1029" t="s">
        <v>158</v>
      </c>
      <c r="M1029" t="s">
        <v>131</v>
      </c>
      <c r="N1029">
        <v>6</v>
      </c>
      <c r="O1029" t="s">
        <v>40</v>
      </c>
      <c r="P1029" t="s">
        <v>40</v>
      </c>
      <c r="Q1029" t="s">
        <v>40</v>
      </c>
      <c r="S1029" t="s">
        <v>40</v>
      </c>
      <c r="V1029" t="s">
        <v>41</v>
      </c>
      <c r="W1029" t="s">
        <v>49</v>
      </c>
      <c r="X1029" t="str">
        <f>"0560019"</f>
        <v>0560019</v>
      </c>
      <c r="Y1029" t="s">
        <v>166</v>
      </c>
      <c r="Z1029" t="s">
        <v>157</v>
      </c>
      <c r="AA1029" t="s">
        <v>158</v>
      </c>
      <c r="AB1029" t="s">
        <v>131</v>
      </c>
      <c r="AC1029" t="s">
        <v>51</v>
      </c>
      <c r="AD1029" t="s">
        <v>45</v>
      </c>
      <c r="AE1029" s="1">
        <v>31217</v>
      </c>
      <c r="AF1029">
        <v>2</v>
      </c>
      <c r="AG1029" t="s">
        <v>158</v>
      </c>
      <c r="AH1029" s="36">
        <f t="shared" si="16"/>
        <v>34</v>
      </c>
      <c r="AI1029" s="40" t="s">
        <v>1778</v>
      </c>
    </row>
    <row r="1030" spans="1:35" x14ac:dyDescent="0.25">
      <c r="A1030" s="36">
        <v>99911028</v>
      </c>
      <c r="B1030" s="17" t="s">
        <v>56</v>
      </c>
      <c r="C1030" t="s">
        <v>61</v>
      </c>
      <c r="D1030" t="s">
        <v>62</v>
      </c>
      <c r="G1030" s="17" t="s">
        <v>48</v>
      </c>
      <c r="H1030" s="17">
        <v>1</v>
      </c>
      <c r="K1030" t="s">
        <v>1051</v>
      </c>
      <c r="L1030" t="s">
        <v>1052</v>
      </c>
      <c r="M1030" t="s">
        <v>1053</v>
      </c>
      <c r="N1030">
        <v>25</v>
      </c>
      <c r="O1030" t="s">
        <v>40</v>
      </c>
      <c r="P1030" t="s">
        <v>40</v>
      </c>
      <c r="Q1030" t="s">
        <v>40</v>
      </c>
      <c r="R1030" t="s">
        <v>40</v>
      </c>
      <c r="S1030" t="s">
        <v>40</v>
      </c>
      <c r="V1030" t="s">
        <v>41</v>
      </c>
      <c r="W1030" t="s">
        <v>42</v>
      </c>
      <c r="X1030" t="str">
        <f>"2061001"</f>
        <v>2061001</v>
      </c>
      <c r="Y1030" t="s">
        <v>1058</v>
      </c>
      <c r="Z1030" t="s">
        <v>1051</v>
      </c>
      <c r="AA1030" t="s">
        <v>1052</v>
      </c>
      <c r="AB1030" t="s">
        <v>1053</v>
      </c>
      <c r="AC1030" t="s">
        <v>51</v>
      </c>
      <c r="AD1030" t="s">
        <v>45</v>
      </c>
      <c r="AE1030" s="1">
        <v>31214</v>
      </c>
      <c r="AF1030">
        <v>2</v>
      </c>
      <c r="AG1030" t="s">
        <v>1052</v>
      </c>
      <c r="AH1030" s="36">
        <f t="shared" si="16"/>
        <v>34.008333333333333</v>
      </c>
      <c r="AI1030" s="40" t="s">
        <v>1778</v>
      </c>
    </row>
    <row r="1031" spans="1:35" x14ac:dyDescent="0.25">
      <c r="A1031" s="36">
        <v>99911029</v>
      </c>
      <c r="B1031" s="17" t="s">
        <v>32</v>
      </c>
      <c r="C1031" t="s">
        <v>46</v>
      </c>
      <c r="D1031" t="s">
        <v>47</v>
      </c>
      <c r="G1031" s="17" t="s">
        <v>35</v>
      </c>
      <c r="H1031" s="17">
        <v>1</v>
      </c>
      <c r="I1031">
        <v>8138</v>
      </c>
      <c r="J1031" s="1">
        <v>43344</v>
      </c>
      <c r="K1031" t="s">
        <v>1051</v>
      </c>
      <c r="L1031" t="s">
        <v>1052</v>
      </c>
      <c r="M1031" t="s">
        <v>1053</v>
      </c>
      <c r="N1031">
        <v>23</v>
      </c>
      <c r="O1031" t="s">
        <v>40</v>
      </c>
      <c r="P1031" t="s">
        <v>40</v>
      </c>
      <c r="Q1031" t="s">
        <v>40</v>
      </c>
      <c r="S1031" t="s">
        <v>40</v>
      </c>
      <c r="U1031" s="1">
        <v>43344</v>
      </c>
      <c r="V1031" t="s">
        <v>41</v>
      </c>
      <c r="W1031" t="s">
        <v>42</v>
      </c>
      <c r="X1031" t="str">
        <f>"2061004"</f>
        <v>2061004</v>
      </c>
      <c r="Y1031" t="s">
        <v>1055</v>
      </c>
      <c r="Z1031" t="s">
        <v>1051</v>
      </c>
      <c r="AA1031" t="s">
        <v>1052</v>
      </c>
      <c r="AB1031" t="s">
        <v>1053</v>
      </c>
      <c r="AC1031" t="s">
        <v>51</v>
      </c>
      <c r="AD1031" t="s">
        <v>45</v>
      </c>
      <c r="AE1031" s="1">
        <v>31212</v>
      </c>
      <c r="AF1031">
        <v>2</v>
      </c>
      <c r="AG1031" t="s">
        <v>1052</v>
      </c>
      <c r="AH1031" s="36">
        <f t="shared" si="16"/>
        <v>34.013888888888886</v>
      </c>
      <c r="AI1031" s="40" t="s">
        <v>1778</v>
      </c>
    </row>
    <row r="1032" spans="1:35" x14ac:dyDescent="0.25">
      <c r="A1032" s="36">
        <v>99911030</v>
      </c>
      <c r="B1032" s="17" t="s">
        <v>56</v>
      </c>
      <c r="C1032" t="s">
        <v>79</v>
      </c>
      <c r="D1032" t="s">
        <v>80</v>
      </c>
      <c r="G1032" s="17" t="s">
        <v>35</v>
      </c>
      <c r="H1032" s="17">
        <v>1</v>
      </c>
      <c r="I1032">
        <v>14666</v>
      </c>
      <c r="J1032" s="1">
        <v>42979</v>
      </c>
      <c r="K1032" t="s">
        <v>1306</v>
      </c>
      <c r="L1032" t="s">
        <v>1307</v>
      </c>
      <c r="M1032" t="s">
        <v>1270</v>
      </c>
      <c r="N1032">
        <v>4</v>
      </c>
      <c r="O1032" t="s">
        <v>40</v>
      </c>
      <c r="P1032" t="s">
        <v>40</v>
      </c>
      <c r="Q1032" t="s">
        <v>40</v>
      </c>
      <c r="R1032" t="s">
        <v>40</v>
      </c>
      <c r="S1032" t="s">
        <v>40</v>
      </c>
      <c r="U1032" s="1">
        <v>42979</v>
      </c>
      <c r="V1032" t="s">
        <v>41</v>
      </c>
      <c r="W1032" t="s">
        <v>49</v>
      </c>
      <c r="X1032" t="str">
        <f>"1991913"</f>
        <v>1991913</v>
      </c>
      <c r="Y1032" t="s">
        <v>1310</v>
      </c>
      <c r="Z1032" t="s">
        <v>1306</v>
      </c>
      <c r="AA1032" t="s">
        <v>1307</v>
      </c>
      <c r="AB1032" t="s">
        <v>1270</v>
      </c>
      <c r="AC1032" t="s">
        <v>44</v>
      </c>
      <c r="AD1032" t="s">
        <v>45</v>
      </c>
      <c r="AE1032" s="1">
        <v>31211</v>
      </c>
      <c r="AF1032">
        <v>2</v>
      </c>
      <c r="AG1032" t="s">
        <v>1307</v>
      </c>
      <c r="AH1032" s="36">
        <f t="shared" si="16"/>
        <v>34.016666666666666</v>
      </c>
      <c r="AI1032" s="40" t="s">
        <v>1778</v>
      </c>
    </row>
    <row r="1033" spans="1:35" x14ac:dyDescent="0.25">
      <c r="A1033" s="36">
        <v>99911031</v>
      </c>
      <c r="B1033" s="17" t="s">
        <v>32</v>
      </c>
      <c r="C1033" t="s">
        <v>90</v>
      </c>
      <c r="D1033" t="s">
        <v>91</v>
      </c>
      <c r="G1033" s="17" t="s">
        <v>35</v>
      </c>
      <c r="H1033" s="17">
        <v>1</v>
      </c>
      <c r="I1033">
        <v>11280</v>
      </c>
      <c r="J1033" s="1">
        <v>43344</v>
      </c>
      <c r="K1033" t="s">
        <v>354</v>
      </c>
      <c r="L1033" t="s">
        <v>355</v>
      </c>
      <c r="M1033" t="s">
        <v>131</v>
      </c>
      <c r="N1033">
        <v>25</v>
      </c>
      <c r="O1033" t="s">
        <v>40</v>
      </c>
      <c r="S1033" t="s">
        <v>40</v>
      </c>
      <c r="U1033" s="1">
        <v>43344</v>
      </c>
      <c r="V1033" t="s">
        <v>41</v>
      </c>
      <c r="W1033" t="s">
        <v>95</v>
      </c>
      <c r="X1033" t="str">
        <f>"7054169"</f>
        <v>7054169</v>
      </c>
      <c r="Y1033" t="s">
        <v>857</v>
      </c>
      <c r="Z1033" t="s">
        <v>354</v>
      </c>
      <c r="AA1033" t="s">
        <v>355</v>
      </c>
      <c r="AB1033" t="s">
        <v>131</v>
      </c>
      <c r="AC1033" t="s">
        <v>51</v>
      </c>
      <c r="AD1033" t="s">
        <v>45</v>
      </c>
      <c r="AE1033" s="1">
        <v>31209</v>
      </c>
      <c r="AF1033">
        <v>1</v>
      </c>
      <c r="AG1033" t="s">
        <v>355</v>
      </c>
      <c r="AH1033" s="36">
        <f t="shared" si="16"/>
        <v>34.022222222222226</v>
      </c>
      <c r="AI1033" s="40" t="s">
        <v>1778</v>
      </c>
    </row>
    <row r="1034" spans="1:35" x14ac:dyDescent="0.25">
      <c r="A1034" s="36">
        <v>99911032</v>
      </c>
      <c r="B1034" s="17" t="s">
        <v>32</v>
      </c>
      <c r="C1034" t="s">
        <v>90</v>
      </c>
      <c r="D1034" t="s">
        <v>91</v>
      </c>
      <c r="G1034" s="17" t="s">
        <v>35</v>
      </c>
      <c r="H1034" s="17">
        <v>1</v>
      </c>
      <c r="I1034" t="s">
        <v>1397</v>
      </c>
      <c r="J1034" s="1">
        <v>43344</v>
      </c>
      <c r="K1034" t="s">
        <v>1341</v>
      </c>
      <c r="L1034" t="s">
        <v>1342</v>
      </c>
      <c r="M1034" t="s">
        <v>1270</v>
      </c>
      <c r="N1034">
        <v>24</v>
      </c>
      <c r="O1034" t="s">
        <v>40</v>
      </c>
      <c r="S1034" t="s">
        <v>40</v>
      </c>
      <c r="U1034" s="1">
        <v>43344</v>
      </c>
      <c r="V1034" t="s">
        <v>41</v>
      </c>
      <c r="W1034" t="s">
        <v>95</v>
      </c>
      <c r="X1034" t="str">
        <f>"7191071"</f>
        <v>7191071</v>
      </c>
      <c r="Y1034" t="s">
        <v>1398</v>
      </c>
      <c r="Z1034" t="s">
        <v>1341</v>
      </c>
      <c r="AA1034" t="s">
        <v>1342</v>
      </c>
      <c r="AB1034" t="s">
        <v>1270</v>
      </c>
      <c r="AC1034" t="s">
        <v>51</v>
      </c>
      <c r="AD1034" t="s">
        <v>45</v>
      </c>
      <c r="AE1034" s="1">
        <v>31208</v>
      </c>
      <c r="AF1034">
        <v>1</v>
      </c>
      <c r="AG1034" t="s">
        <v>1342</v>
      </c>
      <c r="AH1034" s="36">
        <f t="shared" si="16"/>
        <v>34.024999999999999</v>
      </c>
      <c r="AI1034" s="40" t="s">
        <v>1778</v>
      </c>
    </row>
    <row r="1035" spans="1:35" x14ac:dyDescent="0.25">
      <c r="A1035" s="36">
        <v>99911033</v>
      </c>
      <c r="B1035" s="17" t="s">
        <v>32</v>
      </c>
      <c r="C1035" t="s">
        <v>111</v>
      </c>
      <c r="D1035" t="s">
        <v>112</v>
      </c>
      <c r="G1035" s="17" t="s">
        <v>48</v>
      </c>
      <c r="H1035" s="17">
        <v>1</v>
      </c>
      <c r="K1035" t="s">
        <v>268</v>
      </c>
      <c r="L1035" t="s">
        <v>269</v>
      </c>
      <c r="M1035" t="s">
        <v>131</v>
      </c>
      <c r="N1035">
        <v>24</v>
      </c>
      <c r="O1035" t="s">
        <v>40</v>
      </c>
      <c r="P1035" t="s">
        <v>40</v>
      </c>
      <c r="Q1035" t="s">
        <v>40</v>
      </c>
      <c r="S1035" t="s">
        <v>40</v>
      </c>
      <c r="V1035" t="s">
        <v>41</v>
      </c>
      <c r="W1035" t="s">
        <v>75</v>
      </c>
      <c r="X1035" t="str">
        <f>"7052008"</f>
        <v>7052008</v>
      </c>
      <c r="Y1035" t="s">
        <v>274</v>
      </c>
      <c r="Z1035" t="s">
        <v>268</v>
      </c>
      <c r="AA1035" t="s">
        <v>269</v>
      </c>
      <c r="AB1035" t="s">
        <v>131</v>
      </c>
      <c r="AC1035" t="s">
        <v>51</v>
      </c>
      <c r="AD1035" t="s">
        <v>45</v>
      </c>
      <c r="AE1035" s="1">
        <v>31203</v>
      </c>
      <c r="AF1035">
        <v>1</v>
      </c>
      <c r="AG1035" t="s">
        <v>269</v>
      </c>
      <c r="AH1035" s="36">
        <f t="shared" si="16"/>
        <v>34.038888888888891</v>
      </c>
      <c r="AI1035" s="40" t="s">
        <v>1778</v>
      </c>
    </row>
    <row r="1036" spans="1:35" x14ac:dyDescent="0.25">
      <c r="A1036" s="36">
        <v>99911034</v>
      </c>
      <c r="B1036" s="17" t="s">
        <v>32</v>
      </c>
      <c r="C1036" t="s">
        <v>90</v>
      </c>
      <c r="D1036" t="s">
        <v>91</v>
      </c>
      <c r="G1036" s="17" t="s">
        <v>35</v>
      </c>
      <c r="H1036" s="17">
        <v>1</v>
      </c>
      <c r="I1036" t="s">
        <v>1004</v>
      </c>
      <c r="J1036" s="1">
        <v>43344</v>
      </c>
      <c r="K1036" t="s">
        <v>963</v>
      </c>
      <c r="L1036" t="s">
        <v>964</v>
      </c>
      <c r="M1036" t="s">
        <v>938</v>
      </c>
      <c r="N1036">
        <v>24</v>
      </c>
      <c r="O1036" t="s">
        <v>40</v>
      </c>
      <c r="Q1036" t="s">
        <v>40</v>
      </c>
      <c r="S1036" t="s">
        <v>40</v>
      </c>
      <c r="U1036" s="1">
        <v>43344</v>
      </c>
      <c r="X1036" t="str">
        <f>""</f>
        <v/>
      </c>
      <c r="AA1036" t="s">
        <v>964</v>
      </c>
      <c r="AB1036" t="s">
        <v>938</v>
      </c>
      <c r="AC1036" t="s">
        <v>51</v>
      </c>
      <c r="AD1036" t="s">
        <v>45</v>
      </c>
      <c r="AE1036" s="1">
        <v>31203</v>
      </c>
      <c r="AF1036">
        <v>1</v>
      </c>
      <c r="AG1036" t="s">
        <v>964</v>
      </c>
      <c r="AH1036" s="36">
        <f t="shared" si="16"/>
        <v>34.038888888888891</v>
      </c>
      <c r="AI1036" s="40" t="s">
        <v>1778</v>
      </c>
    </row>
    <row r="1037" spans="1:35" x14ac:dyDescent="0.25">
      <c r="A1037" s="36">
        <v>99911035</v>
      </c>
      <c r="B1037" s="17" t="s">
        <v>32</v>
      </c>
      <c r="C1037" t="s">
        <v>90</v>
      </c>
      <c r="D1037" t="s">
        <v>91</v>
      </c>
      <c r="G1037" s="17" t="s">
        <v>35</v>
      </c>
      <c r="H1037" s="17">
        <v>1</v>
      </c>
      <c r="I1037" t="s">
        <v>1370</v>
      </c>
      <c r="J1037" s="1">
        <v>43344</v>
      </c>
      <c r="K1037" t="s">
        <v>1341</v>
      </c>
      <c r="L1037" t="s">
        <v>1342</v>
      </c>
      <c r="M1037" t="s">
        <v>1270</v>
      </c>
      <c r="N1037">
        <v>24</v>
      </c>
      <c r="O1037" t="s">
        <v>40</v>
      </c>
      <c r="S1037" t="s">
        <v>40</v>
      </c>
      <c r="U1037" s="1">
        <v>43344</v>
      </c>
      <c r="V1037" t="s">
        <v>41</v>
      </c>
      <c r="W1037" t="s">
        <v>95</v>
      </c>
      <c r="X1037" t="str">
        <f>"7191129"</f>
        <v>7191129</v>
      </c>
      <c r="Y1037" t="s">
        <v>1371</v>
      </c>
      <c r="Z1037" t="s">
        <v>1341</v>
      </c>
      <c r="AA1037" t="s">
        <v>1342</v>
      </c>
      <c r="AB1037" t="s">
        <v>1270</v>
      </c>
      <c r="AC1037" t="s">
        <v>44</v>
      </c>
      <c r="AD1037" t="s">
        <v>45</v>
      </c>
      <c r="AE1037" s="1">
        <v>31201</v>
      </c>
      <c r="AF1037">
        <v>1</v>
      </c>
      <c r="AG1037" t="s">
        <v>1342</v>
      </c>
      <c r="AH1037" s="36">
        <f t="shared" si="16"/>
        <v>34.044444444444444</v>
      </c>
      <c r="AI1037" s="40" t="s">
        <v>1778</v>
      </c>
    </row>
    <row r="1038" spans="1:35" x14ac:dyDescent="0.25">
      <c r="A1038" s="36">
        <v>99911036</v>
      </c>
      <c r="B1038" s="17" t="s">
        <v>32</v>
      </c>
      <c r="C1038" t="s">
        <v>46</v>
      </c>
      <c r="D1038" t="s">
        <v>47</v>
      </c>
      <c r="G1038" s="17" t="s">
        <v>48</v>
      </c>
      <c r="H1038" s="17">
        <v>1</v>
      </c>
      <c r="K1038" t="s">
        <v>300</v>
      </c>
      <c r="L1038" t="s">
        <v>301</v>
      </c>
      <c r="M1038" t="s">
        <v>131</v>
      </c>
      <c r="N1038">
        <v>21</v>
      </c>
      <c r="O1038" t="s">
        <v>40</v>
      </c>
      <c r="P1038" t="s">
        <v>40</v>
      </c>
      <c r="Q1038" t="s">
        <v>40</v>
      </c>
      <c r="R1038" t="s">
        <v>40</v>
      </c>
      <c r="S1038" t="s">
        <v>40</v>
      </c>
      <c r="V1038" t="s">
        <v>41</v>
      </c>
      <c r="W1038" t="s">
        <v>42</v>
      </c>
      <c r="X1038" t="str">
        <f>"0561001"</f>
        <v>0561001</v>
      </c>
      <c r="Y1038" t="s">
        <v>308</v>
      </c>
      <c r="Z1038" t="s">
        <v>300</v>
      </c>
      <c r="AA1038" t="s">
        <v>301</v>
      </c>
      <c r="AB1038" t="s">
        <v>131</v>
      </c>
      <c r="AC1038" t="s">
        <v>51</v>
      </c>
      <c r="AD1038" t="s">
        <v>45</v>
      </c>
      <c r="AE1038" s="1">
        <v>31191</v>
      </c>
      <c r="AF1038">
        <v>2</v>
      </c>
      <c r="AG1038" t="s">
        <v>301</v>
      </c>
      <c r="AH1038" s="36">
        <f t="shared" si="16"/>
        <v>34.072222222222223</v>
      </c>
      <c r="AI1038" s="40" t="s">
        <v>1778</v>
      </c>
    </row>
    <row r="1039" spans="1:35" x14ac:dyDescent="0.25">
      <c r="A1039" s="36">
        <v>99911037</v>
      </c>
      <c r="B1039" s="17" t="s">
        <v>32</v>
      </c>
      <c r="C1039" t="s">
        <v>79</v>
      </c>
      <c r="D1039" t="s">
        <v>80</v>
      </c>
      <c r="G1039" s="17" t="s">
        <v>48</v>
      </c>
      <c r="H1039" s="17">
        <v>1</v>
      </c>
      <c r="K1039" t="s">
        <v>380</v>
      </c>
      <c r="L1039" t="s">
        <v>381</v>
      </c>
      <c r="M1039" t="s">
        <v>131</v>
      </c>
      <c r="N1039">
        <v>10</v>
      </c>
      <c r="O1039" t="s">
        <v>40</v>
      </c>
      <c r="P1039" t="s">
        <v>40</v>
      </c>
      <c r="Q1039" t="s">
        <v>40</v>
      </c>
      <c r="R1039" t="s">
        <v>40</v>
      </c>
      <c r="S1039" t="s">
        <v>40</v>
      </c>
      <c r="V1039" t="s">
        <v>41</v>
      </c>
      <c r="W1039" t="s">
        <v>42</v>
      </c>
      <c r="X1039" t="str">
        <f>"0561010"</f>
        <v>0561010</v>
      </c>
      <c r="Y1039" t="s">
        <v>387</v>
      </c>
      <c r="Z1039" t="s">
        <v>380</v>
      </c>
      <c r="AA1039" t="s">
        <v>381</v>
      </c>
      <c r="AB1039" t="s">
        <v>131</v>
      </c>
      <c r="AC1039" t="s">
        <v>51</v>
      </c>
      <c r="AD1039" t="s">
        <v>45</v>
      </c>
      <c r="AE1039" s="1">
        <v>31187</v>
      </c>
      <c r="AF1039">
        <v>2</v>
      </c>
      <c r="AG1039" t="s">
        <v>381</v>
      </c>
      <c r="AH1039" s="36">
        <f t="shared" si="16"/>
        <v>34.083333333333336</v>
      </c>
      <c r="AI1039" s="40" t="s">
        <v>1778</v>
      </c>
    </row>
    <row r="1040" spans="1:35" x14ac:dyDescent="0.25">
      <c r="A1040" s="36">
        <v>99911038</v>
      </c>
      <c r="B1040" s="17" t="s">
        <v>32</v>
      </c>
      <c r="C1040" t="s">
        <v>90</v>
      </c>
      <c r="D1040" t="s">
        <v>91</v>
      </c>
      <c r="G1040" s="17" t="s">
        <v>48</v>
      </c>
      <c r="H1040" s="17">
        <v>1</v>
      </c>
      <c r="K1040" t="s">
        <v>865</v>
      </c>
      <c r="L1040" t="s">
        <v>866</v>
      </c>
      <c r="M1040" t="s">
        <v>131</v>
      </c>
      <c r="N1040">
        <v>6</v>
      </c>
      <c r="O1040" t="s">
        <v>40</v>
      </c>
      <c r="P1040" t="s">
        <v>40</v>
      </c>
      <c r="Q1040" t="s">
        <v>40</v>
      </c>
      <c r="S1040" t="s">
        <v>40</v>
      </c>
      <c r="V1040" t="s">
        <v>41</v>
      </c>
      <c r="W1040" t="s">
        <v>95</v>
      </c>
      <c r="X1040" t="str">
        <f>"7531001"</f>
        <v>7531001</v>
      </c>
      <c r="Y1040" t="s">
        <v>876</v>
      </c>
      <c r="Z1040" t="s">
        <v>865</v>
      </c>
      <c r="AA1040" t="s">
        <v>866</v>
      </c>
      <c r="AB1040" t="s">
        <v>131</v>
      </c>
      <c r="AC1040" t="s">
        <v>51</v>
      </c>
      <c r="AD1040" t="s">
        <v>45</v>
      </c>
      <c r="AE1040" s="1">
        <v>31187</v>
      </c>
      <c r="AF1040">
        <v>1</v>
      </c>
      <c r="AG1040" t="s">
        <v>866</v>
      </c>
      <c r="AH1040" s="36">
        <f t="shared" si="16"/>
        <v>34.083333333333336</v>
      </c>
      <c r="AI1040" s="40" t="s">
        <v>1778</v>
      </c>
    </row>
    <row r="1041" spans="1:35" x14ac:dyDescent="0.25">
      <c r="A1041" s="36">
        <v>99911039</v>
      </c>
      <c r="B1041" s="17" t="s">
        <v>32</v>
      </c>
      <c r="C1041" t="s">
        <v>90</v>
      </c>
      <c r="D1041" t="s">
        <v>91</v>
      </c>
      <c r="G1041" s="17" t="s">
        <v>48</v>
      </c>
      <c r="H1041" s="17">
        <v>1</v>
      </c>
      <c r="K1041" t="s">
        <v>1689</v>
      </c>
      <c r="L1041" t="s">
        <v>1690</v>
      </c>
      <c r="M1041" t="s">
        <v>1592</v>
      </c>
      <c r="N1041">
        <v>25</v>
      </c>
      <c r="O1041" t="s">
        <v>40</v>
      </c>
      <c r="P1041" t="s">
        <v>40</v>
      </c>
      <c r="Q1041" t="s">
        <v>40</v>
      </c>
      <c r="R1041" t="s">
        <v>40</v>
      </c>
      <c r="S1041" t="s">
        <v>40</v>
      </c>
      <c r="V1041" t="s">
        <v>41</v>
      </c>
      <c r="W1041" t="s">
        <v>95</v>
      </c>
      <c r="X1041" t="str">
        <f>"7301001"</f>
        <v>7301001</v>
      </c>
      <c r="Y1041" t="s">
        <v>1692</v>
      </c>
      <c r="Z1041" t="s">
        <v>1689</v>
      </c>
      <c r="AA1041" t="s">
        <v>1690</v>
      </c>
      <c r="AB1041" t="s">
        <v>1592</v>
      </c>
      <c r="AC1041" t="s">
        <v>51</v>
      </c>
      <c r="AD1041" t="s">
        <v>45</v>
      </c>
      <c r="AE1041" s="1">
        <v>31183</v>
      </c>
      <c r="AF1041">
        <v>1</v>
      </c>
      <c r="AG1041" t="s">
        <v>1690</v>
      </c>
      <c r="AH1041" s="36">
        <f t="shared" si="16"/>
        <v>34.094444444444441</v>
      </c>
      <c r="AI1041" s="40" t="s">
        <v>1778</v>
      </c>
    </row>
    <row r="1042" spans="1:35" x14ac:dyDescent="0.25">
      <c r="A1042" s="36">
        <v>99911040</v>
      </c>
      <c r="B1042" s="17" t="s">
        <v>32</v>
      </c>
      <c r="C1042" t="s">
        <v>82</v>
      </c>
      <c r="D1042" t="s">
        <v>83</v>
      </c>
      <c r="G1042" s="17" t="s">
        <v>48</v>
      </c>
      <c r="H1042" s="17">
        <v>1</v>
      </c>
      <c r="K1042" t="s">
        <v>300</v>
      </c>
      <c r="L1042" t="s">
        <v>301</v>
      </c>
      <c r="M1042" t="s">
        <v>131</v>
      </c>
      <c r="N1042">
        <v>16</v>
      </c>
      <c r="O1042" t="s">
        <v>40</v>
      </c>
      <c r="P1042" t="s">
        <v>40</v>
      </c>
      <c r="Q1042" t="s">
        <v>40</v>
      </c>
      <c r="R1042" t="s">
        <v>40</v>
      </c>
      <c r="S1042" t="s">
        <v>40</v>
      </c>
      <c r="V1042" t="s">
        <v>41</v>
      </c>
      <c r="W1042" t="s">
        <v>49</v>
      </c>
      <c r="X1042" t="str">
        <f>"0560022"</f>
        <v>0560022</v>
      </c>
      <c r="Y1042" t="s">
        <v>314</v>
      </c>
      <c r="Z1042" t="s">
        <v>300</v>
      </c>
      <c r="AA1042" t="s">
        <v>301</v>
      </c>
      <c r="AB1042" t="s">
        <v>131</v>
      </c>
      <c r="AC1042" t="s">
        <v>51</v>
      </c>
      <c r="AD1042" t="s">
        <v>45</v>
      </c>
      <c r="AE1042" s="1">
        <v>31182</v>
      </c>
      <c r="AF1042">
        <v>2</v>
      </c>
      <c r="AG1042" t="s">
        <v>301</v>
      </c>
      <c r="AH1042" s="36">
        <f t="shared" si="16"/>
        <v>34.097222222222221</v>
      </c>
      <c r="AI1042" s="40" t="s">
        <v>1778</v>
      </c>
    </row>
    <row r="1043" spans="1:35" x14ac:dyDescent="0.25">
      <c r="A1043" s="36">
        <v>99911041</v>
      </c>
      <c r="B1043" s="17" t="s">
        <v>32</v>
      </c>
      <c r="C1043" t="s">
        <v>61</v>
      </c>
      <c r="D1043" t="s">
        <v>62</v>
      </c>
      <c r="G1043" s="17" t="s">
        <v>48</v>
      </c>
      <c r="H1043" s="17">
        <v>1</v>
      </c>
      <c r="K1043" t="s">
        <v>223</v>
      </c>
      <c r="L1043" t="s">
        <v>224</v>
      </c>
      <c r="M1043" t="s">
        <v>131</v>
      </c>
      <c r="N1043">
        <v>11</v>
      </c>
      <c r="O1043" t="s">
        <v>40</v>
      </c>
      <c r="P1043" t="s">
        <v>40</v>
      </c>
      <c r="Q1043" t="s">
        <v>40</v>
      </c>
      <c r="R1043" t="s">
        <v>40</v>
      </c>
      <c r="S1043" t="s">
        <v>40</v>
      </c>
      <c r="V1043" t="s">
        <v>41</v>
      </c>
      <c r="W1043" t="s">
        <v>49</v>
      </c>
      <c r="X1043" t="str">
        <f>"0560018"</f>
        <v>0560018</v>
      </c>
      <c r="Y1043" t="s">
        <v>234</v>
      </c>
      <c r="Z1043" t="s">
        <v>223</v>
      </c>
      <c r="AA1043" t="s">
        <v>224</v>
      </c>
      <c r="AB1043" t="s">
        <v>131</v>
      </c>
      <c r="AC1043" t="s">
        <v>51</v>
      </c>
      <c r="AD1043" t="s">
        <v>45</v>
      </c>
      <c r="AE1043" s="1">
        <v>31180</v>
      </c>
      <c r="AF1043">
        <v>2</v>
      </c>
      <c r="AG1043" t="s">
        <v>224</v>
      </c>
      <c r="AH1043" s="36">
        <f t="shared" si="16"/>
        <v>34.102777777777774</v>
      </c>
      <c r="AI1043" s="40" t="s">
        <v>1778</v>
      </c>
    </row>
    <row r="1044" spans="1:35" x14ac:dyDescent="0.25">
      <c r="A1044" s="36">
        <v>99911042</v>
      </c>
      <c r="B1044" s="17" t="s">
        <v>32</v>
      </c>
      <c r="C1044" t="s">
        <v>46</v>
      </c>
      <c r="D1044" t="s">
        <v>47</v>
      </c>
      <c r="G1044" s="17" t="s">
        <v>48</v>
      </c>
      <c r="H1044" s="17">
        <v>1</v>
      </c>
      <c r="K1044" t="s">
        <v>162</v>
      </c>
      <c r="L1044" t="s">
        <v>158</v>
      </c>
      <c r="M1044" t="s">
        <v>131</v>
      </c>
      <c r="N1044">
        <v>23</v>
      </c>
      <c r="O1044" t="s">
        <v>40</v>
      </c>
      <c r="P1044" t="s">
        <v>40</v>
      </c>
      <c r="Q1044" t="s">
        <v>40</v>
      </c>
      <c r="R1044" t="s">
        <v>40</v>
      </c>
      <c r="S1044" t="s">
        <v>40</v>
      </c>
      <c r="V1044" t="s">
        <v>41</v>
      </c>
      <c r="W1044" t="s">
        <v>42</v>
      </c>
      <c r="X1044" t="str">
        <f>"0580310"</f>
        <v>0580310</v>
      </c>
      <c r="Y1044" t="s">
        <v>173</v>
      </c>
      <c r="Z1044" t="s">
        <v>162</v>
      </c>
      <c r="AA1044" t="s">
        <v>158</v>
      </c>
      <c r="AB1044" t="s">
        <v>131</v>
      </c>
      <c r="AC1044" t="s">
        <v>51</v>
      </c>
      <c r="AD1044" t="s">
        <v>45</v>
      </c>
      <c r="AE1044" s="1">
        <v>31177</v>
      </c>
      <c r="AF1044">
        <v>2</v>
      </c>
      <c r="AG1044" t="s">
        <v>158</v>
      </c>
      <c r="AH1044" s="36">
        <f t="shared" si="16"/>
        <v>34.111111111111114</v>
      </c>
      <c r="AI1044" s="40" t="s">
        <v>1778</v>
      </c>
    </row>
    <row r="1045" spans="1:35" x14ac:dyDescent="0.25">
      <c r="A1045" s="36">
        <v>99911043</v>
      </c>
      <c r="B1045" s="17" t="s">
        <v>32</v>
      </c>
      <c r="C1045" t="s">
        <v>64</v>
      </c>
      <c r="D1045" t="s">
        <v>65</v>
      </c>
      <c r="G1045" s="17" t="s">
        <v>35</v>
      </c>
      <c r="H1045" s="17">
        <v>1</v>
      </c>
      <c r="I1045" s="1">
        <v>43346</v>
      </c>
      <c r="J1045" s="1">
        <v>43344</v>
      </c>
      <c r="K1045" t="s">
        <v>1341</v>
      </c>
      <c r="L1045" t="s">
        <v>1342</v>
      </c>
      <c r="M1045" t="s">
        <v>1270</v>
      </c>
      <c r="N1045">
        <v>22</v>
      </c>
      <c r="O1045" t="s">
        <v>40</v>
      </c>
      <c r="S1045" t="s">
        <v>40</v>
      </c>
      <c r="U1045" s="1">
        <v>43344</v>
      </c>
      <c r="V1045" t="s">
        <v>41</v>
      </c>
      <c r="W1045" t="s">
        <v>75</v>
      </c>
      <c r="X1045" t="str">
        <f>"7191034"</f>
        <v>7191034</v>
      </c>
      <c r="Y1045" t="s">
        <v>1343</v>
      </c>
      <c r="Z1045" t="s">
        <v>1341</v>
      </c>
      <c r="AA1045" t="s">
        <v>1342</v>
      </c>
      <c r="AB1045" t="s">
        <v>1270</v>
      </c>
      <c r="AC1045" t="s">
        <v>44</v>
      </c>
      <c r="AD1045" t="s">
        <v>45</v>
      </c>
      <c r="AE1045" s="1">
        <v>31176</v>
      </c>
      <c r="AF1045">
        <v>1</v>
      </c>
      <c r="AG1045" t="s">
        <v>1342</v>
      </c>
      <c r="AH1045" s="36">
        <f t="shared" si="16"/>
        <v>34.113888888888887</v>
      </c>
      <c r="AI1045" s="40" t="s">
        <v>1778</v>
      </c>
    </row>
    <row r="1046" spans="1:35" x14ac:dyDescent="0.25">
      <c r="A1046" s="36">
        <v>99911044</v>
      </c>
      <c r="B1046" s="17" t="s">
        <v>32</v>
      </c>
      <c r="C1046" t="s">
        <v>90</v>
      </c>
      <c r="D1046" t="s">
        <v>91</v>
      </c>
      <c r="G1046" s="17" t="s">
        <v>35</v>
      </c>
      <c r="H1046" s="17">
        <v>1</v>
      </c>
      <c r="I1046" t="s">
        <v>811</v>
      </c>
      <c r="J1046" s="1">
        <v>43344</v>
      </c>
      <c r="K1046" t="s">
        <v>354</v>
      </c>
      <c r="L1046" t="s">
        <v>355</v>
      </c>
      <c r="M1046" t="s">
        <v>131</v>
      </c>
      <c r="N1046">
        <v>25</v>
      </c>
      <c r="O1046" t="s">
        <v>40</v>
      </c>
      <c r="S1046" t="s">
        <v>40</v>
      </c>
      <c r="U1046" s="1">
        <v>43344</v>
      </c>
      <c r="V1046" t="s">
        <v>41</v>
      </c>
      <c r="W1046" t="s">
        <v>95</v>
      </c>
      <c r="X1046" t="str">
        <f>"7054165"</f>
        <v>7054165</v>
      </c>
      <c r="Y1046" t="s">
        <v>812</v>
      </c>
      <c r="Z1046" t="s">
        <v>354</v>
      </c>
      <c r="AA1046" t="s">
        <v>355</v>
      </c>
      <c r="AB1046" t="s">
        <v>131</v>
      </c>
      <c r="AC1046" t="s">
        <v>51</v>
      </c>
      <c r="AD1046" t="s">
        <v>45</v>
      </c>
      <c r="AE1046" s="1">
        <v>31175</v>
      </c>
      <c r="AF1046">
        <v>1</v>
      </c>
      <c r="AG1046" t="s">
        <v>355</v>
      </c>
      <c r="AH1046" s="36">
        <f t="shared" si="16"/>
        <v>34.116666666666667</v>
      </c>
      <c r="AI1046" s="40" t="s">
        <v>1778</v>
      </c>
    </row>
    <row r="1047" spans="1:35" x14ac:dyDescent="0.25">
      <c r="A1047" s="36">
        <v>99911045</v>
      </c>
      <c r="B1047" s="17" t="s">
        <v>32</v>
      </c>
      <c r="C1047" t="s">
        <v>90</v>
      </c>
      <c r="D1047" t="s">
        <v>91</v>
      </c>
      <c r="G1047" s="17" t="s">
        <v>35</v>
      </c>
      <c r="H1047" s="17">
        <v>1</v>
      </c>
      <c r="K1047" t="s">
        <v>877</v>
      </c>
      <c r="L1047" t="s">
        <v>878</v>
      </c>
      <c r="M1047" t="s">
        <v>131</v>
      </c>
      <c r="N1047">
        <v>6</v>
      </c>
      <c r="O1047" t="s">
        <v>40</v>
      </c>
      <c r="P1047" t="s">
        <v>40</v>
      </c>
      <c r="Q1047" t="s">
        <v>40</v>
      </c>
      <c r="S1047" t="s">
        <v>40</v>
      </c>
      <c r="V1047" t="s">
        <v>41</v>
      </c>
      <c r="W1047" t="s">
        <v>95</v>
      </c>
      <c r="X1047" t="str">
        <f>"7541085"</f>
        <v>7541085</v>
      </c>
      <c r="Y1047" t="s">
        <v>913</v>
      </c>
      <c r="Z1047" t="s">
        <v>877</v>
      </c>
      <c r="AA1047" t="s">
        <v>878</v>
      </c>
      <c r="AB1047" t="s">
        <v>131</v>
      </c>
      <c r="AC1047" t="s">
        <v>165</v>
      </c>
      <c r="AD1047" t="s">
        <v>45</v>
      </c>
      <c r="AE1047" s="1">
        <v>31175</v>
      </c>
      <c r="AF1047">
        <v>1</v>
      </c>
      <c r="AG1047" t="s">
        <v>878</v>
      </c>
      <c r="AH1047" s="36">
        <f t="shared" si="16"/>
        <v>34.116666666666667</v>
      </c>
      <c r="AI1047" s="40" t="s">
        <v>1778</v>
      </c>
    </row>
    <row r="1048" spans="1:35" x14ac:dyDescent="0.25">
      <c r="A1048" s="36">
        <v>99911046</v>
      </c>
      <c r="B1048" s="17" t="s">
        <v>32</v>
      </c>
      <c r="C1048" t="s">
        <v>111</v>
      </c>
      <c r="D1048" t="s">
        <v>112</v>
      </c>
      <c r="G1048" s="17" t="s">
        <v>35</v>
      </c>
      <c r="H1048" s="17">
        <v>1</v>
      </c>
      <c r="K1048" t="s">
        <v>877</v>
      </c>
      <c r="L1048" t="s">
        <v>878</v>
      </c>
      <c r="M1048" t="s">
        <v>131</v>
      </c>
      <c r="N1048">
        <v>24</v>
      </c>
      <c r="O1048" t="s">
        <v>40</v>
      </c>
      <c r="P1048" t="s">
        <v>40</v>
      </c>
      <c r="Q1048" t="s">
        <v>40</v>
      </c>
      <c r="S1048" t="s">
        <v>40</v>
      </c>
      <c r="V1048" t="s">
        <v>41</v>
      </c>
      <c r="W1048" t="s">
        <v>75</v>
      </c>
      <c r="X1048" t="str">
        <f>"7700025"</f>
        <v>7700025</v>
      </c>
      <c r="Y1048" t="s">
        <v>880</v>
      </c>
      <c r="Z1048" t="s">
        <v>877</v>
      </c>
      <c r="AA1048" t="s">
        <v>878</v>
      </c>
      <c r="AB1048" t="s">
        <v>131</v>
      </c>
      <c r="AC1048" t="s">
        <v>51</v>
      </c>
      <c r="AD1048" t="s">
        <v>45</v>
      </c>
      <c r="AE1048" s="1">
        <v>31174</v>
      </c>
      <c r="AF1048">
        <v>1</v>
      </c>
      <c r="AG1048" t="s">
        <v>878</v>
      </c>
      <c r="AH1048" s="36">
        <f t="shared" si="16"/>
        <v>34.119444444444447</v>
      </c>
      <c r="AI1048" s="40" t="s">
        <v>1778</v>
      </c>
    </row>
    <row r="1049" spans="1:35" x14ac:dyDescent="0.25">
      <c r="A1049" s="36">
        <v>99911047</v>
      </c>
      <c r="B1049" s="17" t="s">
        <v>32</v>
      </c>
      <c r="C1049" t="s">
        <v>64</v>
      </c>
      <c r="D1049" t="s">
        <v>65</v>
      </c>
      <c r="G1049" s="17" t="s">
        <v>35</v>
      </c>
      <c r="H1049" s="17">
        <v>1</v>
      </c>
      <c r="I1049" s="1">
        <v>42614</v>
      </c>
      <c r="J1049" s="1">
        <v>43344</v>
      </c>
      <c r="K1049" t="s">
        <v>1341</v>
      </c>
      <c r="L1049" t="s">
        <v>1342</v>
      </c>
      <c r="M1049" t="s">
        <v>1270</v>
      </c>
      <c r="N1049">
        <v>24</v>
      </c>
      <c r="O1049" t="s">
        <v>40</v>
      </c>
      <c r="S1049" t="s">
        <v>40</v>
      </c>
      <c r="U1049" s="1">
        <v>43344</v>
      </c>
      <c r="V1049" t="s">
        <v>41</v>
      </c>
      <c r="W1049" t="s">
        <v>75</v>
      </c>
      <c r="X1049" t="str">
        <f>"7191004"</f>
        <v>7191004</v>
      </c>
      <c r="Y1049" t="s">
        <v>1344</v>
      </c>
      <c r="Z1049" t="s">
        <v>1341</v>
      </c>
      <c r="AA1049" t="s">
        <v>1342</v>
      </c>
      <c r="AB1049" t="s">
        <v>1270</v>
      </c>
      <c r="AC1049" t="s">
        <v>51</v>
      </c>
      <c r="AD1049" t="s">
        <v>45</v>
      </c>
      <c r="AE1049" s="1">
        <v>31171</v>
      </c>
      <c r="AF1049">
        <v>1</v>
      </c>
      <c r="AG1049" t="s">
        <v>1342</v>
      </c>
      <c r="AH1049" s="36">
        <f t="shared" si="16"/>
        <v>34.12777777777778</v>
      </c>
      <c r="AI1049" s="40" t="s">
        <v>1778</v>
      </c>
    </row>
    <row r="1050" spans="1:35" x14ac:dyDescent="0.25">
      <c r="A1050" s="36">
        <v>99911048</v>
      </c>
      <c r="B1050" s="17" t="s">
        <v>56</v>
      </c>
      <c r="C1050" t="s">
        <v>111</v>
      </c>
      <c r="D1050" t="s">
        <v>112</v>
      </c>
      <c r="G1050" s="17" t="s">
        <v>48</v>
      </c>
      <c r="H1050" s="17">
        <v>1</v>
      </c>
      <c r="K1050" t="s">
        <v>1564</v>
      </c>
      <c r="L1050" t="s">
        <v>1565</v>
      </c>
      <c r="M1050" t="s">
        <v>1548</v>
      </c>
      <c r="N1050">
        <v>12</v>
      </c>
      <c r="O1050" t="s">
        <v>40</v>
      </c>
      <c r="P1050" t="s">
        <v>40</v>
      </c>
      <c r="Q1050" t="s">
        <v>40</v>
      </c>
      <c r="S1050" t="s">
        <v>40</v>
      </c>
      <c r="V1050" t="s">
        <v>41</v>
      </c>
      <c r="W1050" t="s">
        <v>75</v>
      </c>
      <c r="X1050" t="str">
        <f>"7101002"</f>
        <v>7101002</v>
      </c>
      <c r="Y1050" t="s">
        <v>1563</v>
      </c>
      <c r="Z1050" t="s">
        <v>1564</v>
      </c>
      <c r="AA1050" t="s">
        <v>1565</v>
      </c>
      <c r="AB1050" t="s">
        <v>1548</v>
      </c>
      <c r="AC1050" t="s">
        <v>51</v>
      </c>
      <c r="AD1050" t="s">
        <v>45</v>
      </c>
      <c r="AE1050" s="1">
        <v>31171</v>
      </c>
      <c r="AF1050">
        <v>1</v>
      </c>
      <c r="AG1050" t="s">
        <v>1565</v>
      </c>
      <c r="AH1050" s="36">
        <f t="shared" si="16"/>
        <v>34.12777777777778</v>
      </c>
      <c r="AI1050" s="40" t="s">
        <v>1778</v>
      </c>
    </row>
    <row r="1051" spans="1:35" x14ac:dyDescent="0.25">
      <c r="A1051" s="36">
        <v>99911049</v>
      </c>
      <c r="B1051" s="17" t="s">
        <v>32</v>
      </c>
      <c r="C1051" t="s">
        <v>85</v>
      </c>
      <c r="D1051" t="s">
        <v>86</v>
      </c>
      <c r="G1051" s="17" t="s">
        <v>35</v>
      </c>
      <c r="H1051" s="17">
        <v>1</v>
      </c>
      <c r="I1051" t="s">
        <v>1554</v>
      </c>
      <c r="J1051" s="1">
        <v>43344</v>
      </c>
      <c r="K1051" t="s">
        <v>1546</v>
      </c>
      <c r="L1051" t="s">
        <v>1547</v>
      </c>
      <c r="M1051" t="s">
        <v>1548</v>
      </c>
      <c r="N1051">
        <v>23</v>
      </c>
      <c r="O1051" t="s">
        <v>40</v>
      </c>
      <c r="P1051" t="s">
        <v>40</v>
      </c>
      <c r="Q1051" t="s">
        <v>40</v>
      </c>
      <c r="R1051" t="s">
        <v>40</v>
      </c>
      <c r="S1051" t="s">
        <v>40</v>
      </c>
      <c r="U1051" s="1">
        <v>43344</v>
      </c>
      <c r="V1051" t="s">
        <v>41</v>
      </c>
      <c r="W1051" t="s">
        <v>49</v>
      </c>
      <c r="X1051" t="str">
        <f>"1081010"</f>
        <v>1081010</v>
      </c>
      <c r="Y1051" t="s">
        <v>1552</v>
      </c>
      <c r="Z1051" t="s">
        <v>1546</v>
      </c>
      <c r="AA1051" t="s">
        <v>1547</v>
      </c>
      <c r="AB1051" t="s">
        <v>1548</v>
      </c>
      <c r="AC1051" t="s">
        <v>44</v>
      </c>
      <c r="AD1051" t="s">
        <v>45</v>
      </c>
      <c r="AE1051" s="1">
        <v>31167</v>
      </c>
      <c r="AF1051">
        <v>2</v>
      </c>
      <c r="AG1051" t="s">
        <v>1547</v>
      </c>
      <c r="AH1051" s="36">
        <f t="shared" si="16"/>
        <v>34.138888888888886</v>
      </c>
      <c r="AI1051" s="40" t="s">
        <v>1778</v>
      </c>
    </row>
    <row r="1052" spans="1:35" x14ac:dyDescent="0.25">
      <c r="A1052" s="36">
        <v>99911050</v>
      </c>
      <c r="B1052" s="17" t="s">
        <v>32</v>
      </c>
      <c r="C1052" t="s">
        <v>90</v>
      </c>
      <c r="D1052" t="s">
        <v>91</v>
      </c>
      <c r="G1052" s="17" t="s">
        <v>35</v>
      </c>
      <c r="H1052" s="17">
        <v>1</v>
      </c>
      <c r="K1052" t="s">
        <v>1564</v>
      </c>
      <c r="L1052" t="s">
        <v>1565</v>
      </c>
      <c r="M1052" t="s">
        <v>1548</v>
      </c>
      <c r="N1052">
        <v>5</v>
      </c>
      <c r="O1052" t="s">
        <v>40</v>
      </c>
      <c r="P1052" t="s">
        <v>40</v>
      </c>
      <c r="Q1052" t="s">
        <v>40</v>
      </c>
      <c r="S1052" t="s">
        <v>40</v>
      </c>
      <c r="V1052" t="s">
        <v>41</v>
      </c>
      <c r="W1052" t="s">
        <v>95</v>
      </c>
      <c r="X1052" t="str">
        <f>"7101007"</f>
        <v>7101007</v>
      </c>
      <c r="Y1052" t="s">
        <v>1576</v>
      </c>
      <c r="Z1052" t="s">
        <v>1564</v>
      </c>
      <c r="AA1052" t="s">
        <v>1565</v>
      </c>
      <c r="AB1052" t="s">
        <v>1548</v>
      </c>
      <c r="AC1052" t="s">
        <v>51</v>
      </c>
      <c r="AD1052" t="s">
        <v>45</v>
      </c>
      <c r="AE1052" s="1">
        <v>31167</v>
      </c>
      <c r="AF1052">
        <v>1</v>
      </c>
      <c r="AG1052" t="s">
        <v>1565</v>
      </c>
      <c r="AH1052" s="36">
        <f t="shared" si="16"/>
        <v>34.138888888888886</v>
      </c>
      <c r="AI1052" s="40" t="s">
        <v>1778</v>
      </c>
    </row>
    <row r="1053" spans="1:35" x14ac:dyDescent="0.25">
      <c r="A1053" s="36">
        <v>99911051</v>
      </c>
      <c r="B1053" s="17" t="s">
        <v>56</v>
      </c>
      <c r="C1053" t="s">
        <v>68</v>
      </c>
      <c r="D1053" t="s">
        <v>69</v>
      </c>
      <c r="G1053" s="17" t="s">
        <v>35</v>
      </c>
      <c r="H1053" s="17">
        <v>1</v>
      </c>
      <c r="I1053" t="s">
        <v>70</v>
      </c>
      <c r="J1053" s="1">
        <v>43361</v>
      </c>
      <c r="K1053" t="s">
        <v>37</v>
      </c>
      <c r="L1053" t="s">
        <v>38</v>
      </c>
      <c r="M1053" t="s">
        <v>39</v>
      </c>
      <c r="N1053">
        <v>18</v>
      </c>
      <c r="O1053" t="s">
        <v>40</v>
      </c>
      <c r="P1053" t="s">
        <v>40</v>
      </c>
      <c r="Q1053" t="s">
        <v>40</v>
      </c>
      <c r="R1053" t="s">
        <v>40</v>
      </c>
      <c r="S1053" t="s">
        <v>40</v>
      </c>
      <c r="U1053" s="1">
        <v>43361</v>
      </c>
      <c r="V1053" t="s">
        <v>41</v>
      </c>
      <c r="W1053" t="s">
        <v>42</v>
      </c>
      <c r="X1053" t="str">
        <f>"3780010"</f>
        <v>3780010</v>
      </c>
      <c r="Y1053" t="s">
        <v>43</v>
      </c>
      <c r="Z1053" t="s">
        <v>37</v>
      </c>
      <c r="AA1053" t="s">
        <v>38</v>
      </c>
      <c r="AB1053" t="s">
        <v>39</v>
      </c>
      <c r="AC1053" t="s">
        <v>44</v>
      </c>
      <c r="AD1053" t="s">
        <v>45</v>
      </c>
      <c r="AE1053" s="1">
        <v>31166</v>
      </c>
      <c r="AF1053">
        <v>2</v>
      </c>
      <c r="AG1053" t="s">
        <v>38</v>
      </c>
      <c r="AH1053" s="36">
        <f t="shared" si="16"/>
        <v>34.141666666666666</v>
      </c>
      <c r="AI1053" s="40" t="s">
        <v>1778</v>
      </c>
    </row>
    <row r="1054" spans="1:35" x14ac:dyDescent="0.25">
      <c r="A1054" s="36">
        <v>99911052</v>
      </c>
      <c r="B1054" s="17" t="s">
        <v>32</v>
      </c>
      <c r="C1054" t="s">
        <v>46</v>
      </c>
      <c r="D1054" t="s">
        <v>47</v>
      </c>
      <c r="G1054" s="17" t="s">
        <v>35</v>
      </c>
      <c r="H1054" s="17">
        <v>1</v>
      </c>
      <c r="I1054" t="s">
        <v>73</v>
      </c>
      <c r="J1054" s="1">
        <v>43362</v>
      </c>
      <c r="K1054" t="s">
        <v>37</v>
      </c>
      <c r="L1054" t="s">
        <v>38</v>
      </c>
      <c r="M1054" t="s">
        <v>39</v>
      </c>
      <c r="N1054">
        <v>23</v>
      </c>
      <c r="O1054" t="s">
        <v>40</v>
      </c>
      <c r="P1054" t="s">
        <v>40</v>
      </c>
      <c r="Q1054" t="s">
        <v>40</v>
      </c>
      <c r="R1054" t="s">
        <v>40</v>
      </c>
      <c r="S1054" t="s">
        <v>40</v>
      </c>
      <c r="U1054" s="1">
        <v>43362</v>
      </c>
      <c r="V1054" t="s">
        <v>41</v>
      </c>
      <c r="W1054" t="s">
        <v>49</v>
      </c>
      <c r="X1054" t="str">
        <f>"3781010"</f>
        <v>3781010</v>
      </c>
      <c r="Y1054" t="s">
        <v>50</v>
      </c>
      <c r="Z1054" t="s">
        <v>37</v>
      </c>
      <c r="AA1054" t="s">
        <v>38</v>
      </c>
      <c r="AB1054" t="s">
        <v>39</v>
      </c>
      <c r="AC1054" t="s">
        <v>44</v>
      </c>
      <c r="AD1054" t="s">
        <v>45</v>
      </c>
      <c r="AE1054" s="1">
        <v>31166</v>
      </c>
      <c r="AF1054">
        <v>2</v>
      </c>
      <c r="AG1054" t="s">
        <v>38</v>
      </c>
      <c r="AH1054" s="36">
        <f t="shared" si="16"/>
        <v>34.141666666666666</v>
      </c>
      <c r="AI1054" s="40" t="s">
        <v>1778</v>
      </c>
    </row>
    <row r="1055" spans="1:35" x14ac:dyDescent="0.25">
      <c r="A1055" s="36">
        <v>99911053</v>
      </c>
      <c r="B1055" s="17" t="s">
        <v>32</v>
      </c>
      <c r="C1055" t="s">
        <v>85</v>
      </c>
      <c r="D1055" t="s">
        <v>86</v>
      </c>
      <c r="G1055" s="17" t="s">
        <v>35</v>
      </c>
      <c r="H1055" s="17">
        <v>1</v>
      </c>
      <c r="I1055" t="s">
        <v>221</v>
      </c>
      <c r="J1055" s="1">
        <v>43354</v>
      </c>
      <c r="K1055" t="s">
        <v>162</v>
      </c>
      <c r="L1055" t="s">
        <v>158</v>
      </c>
      <c r="M1055" t="s">
        <v>131</v>
      </c>
      <c r="N1055">
        <v>2</v>
      </c>
      <c r="O1055" t="s">
        <v>40</v>
      </c>
      <c r="P1055" t="s">
        <v>40</v>
      </c>
      <c r="Q1055" t="s">
        <v>40</v>
      </c>
      <c r="R1055" t="s">
        <v>40</v>
      </c>
      <c r="S1055" t="s">
        <v>40</v>
      </c>
      <c r="U1055" s="1">
        <v>43354</v>
      </c>
      <c r="V1055" t="s">
        <v>41</v>
      </c>
      <c r="W1055" t="s">
        <v>42</v>
      </c>
      <c r="X1055" t="str">
        <f>"0580320"</f>
        <v>0580320</v>
      </c>
      <c r="Y1055" t="s">
        <v>164</v>
      </c>
      <c r="Z1055" t="s">
        <v>162</v>
      </c>
      <c r="AA1055" t="s">
        <v>158</v>
      </c>
      <c r="AB1055" t="s">
        <v>131</v>
      </c>
      <c r="AC1055" t="s">
        <v>44</v>
      </c>
      <c r="AD1055" t="s">
        <v>45</v>
      </c>
      <c r="AE1055" s="1">
        <v>31166</v>
      </c>
      <c r="AF1055">
        <v>2</v>
      </c>
      <c r="AG1055" t="s">
        <v>158</v>
      </c>
      <c r="AH1055" s="36">
        <f t="shared" si="16"/>
        <v>34.141666666666666</v>
      </c>
      <c r="AI1055" s="40" t="s">
        <v>1778</v>
      </c>
    </row>
    <row r="1056" spans="1:35" x14ac:dyDescent="0.25">
      <c r="A1056" s="36">
        <v>99911054</v>
      </c>
      <c r="B1056" s="17" t="s">
        <v>32</v>
      </c>
      <c r="C1056" t="s">
        <v>61</v>
      </c>
      <c r="D1056" t="s">
        <v>62</v>
      </c>
      <c r="G1056" s="17" t="s">
        <v>35</v>
      </c>
      <c r="H1056" s="17">
        <v>1</v>
      </c>
      <c r="I1056" s="1">
        <v>42620</v>
      </c>
      <c r="J1056" s="1">
        <v>43344</v>
      </c>
      <c r="K1056" t="s">
        <v>1341</v>
      </c>
      <c r="L1056" t="s">
        <v>1342</v>
      </c>
      <c r="M1056" t="s">
        <v>1270</v>
      </c>
      <c r="N1056">
        <v>11</v>
      </c>
      <c r="O1056" t="s">
        <v>40</v>
      </c>
      <c r="S1056" t="s">
        <v>40</v>
      </c>
      <c r="U1056" s="1">
        <v>43344</v>
      </c>
      <c r="V1056" t="s">
        <v>41</v>
      </c>
      <c r="W1056" t="s">
        <v>75</v>
      </c>
      <c r="X1056" t="str">
        <f>"7191034"</f>
        <v>7191034</v>
      </c>
      <c r="Y1056" t="s">
        <v>1343</v>
      </c>
      <c r="Z1056" t="s">
        <v>1341</v>
      </c>
      <c r="AA1056" t="s">
        <v>1342</v>
      </c>
      <c r="AB1056" t="s">
        <v>1270</v>
      </c>
      <c r="AC1056" t="s">
        <v>51</v>
      </c>
      <c r="AD1056" t="s">
        <v>45</v>
      </c>
      <c r="AE1056" s="1">
        <v>31166</v>
      </c>
      <c r="AF1056">
        <v>1</v>
      </c>
      <c r="AG1056" t="s">
        <v>1342</v>
      </c>
      <c r="AH1056" s="36">
        <f t="shared" si="16"/>
        <v>34.141666666666666</v>
      </c>
      <c r="AI1056" s="40" t="s">
        <v>1778</v>
      </c>
    </row>
    <row r="1057" spans="1:35" x14ac:dyDescent="0.25">
      <c r="A1057" s="36">
        <v>99911055</v>
      </c>
      <c r="B1057" s="17" t="s">
        <v>32</v>
      </c>
      <c r="C1057" t="s">
        <v>111</v>
      </c>
      <c r="D1057" t="s">
        <v>112</v>
      </c>
      <c r="G1057" s="17" t="s">
        <v>35</v>
      </c>
      <c r="H1057" s="17">
        <v>1</v>
      </c>
      <c r="I1057" s="1">
        <v>40422</v>
      </c>
      <c r="J1057" s="1">
        <v>43344</v>
      </c>
      <c r="K1057" t="s">
        <v>1341</v>
      </c>
      <c r="L1057" t="s">
        <v>1342</v>
      </c>
      <c r="M1057" t="s">
        <v>1270</v>
      </c>
      <c r="N1057">
        <v>24</v>
      </c>
      <c r="O1057" t="s">
        <v>40</v>
      </c>
      <c r="S1057" t="s">
        <v>40</v>
      </c>
      <c r="U1057" s="1">
        <v>43344</v>
      </c>
      <c r="V1057" t="s">
        <v>41</v>
      </c>
      <c r="W1057" t="s">
        <v>75</v>
      </c>
      <c r="X1057" t="str">
        <f>"7191002"</f>
        <v>7191002</v>
      </c>
      <c r="Y1057" t="s">
        <v>1365</v>
      </c>
      <c r="Z1057" t="s">
        <v>1341</v>
      </c>
      <c r="AA1057" t="s">
        <v>1342</v>
      </c>
      <c r="AB1057" t="s">
        <v>1270</v>
      </c>
      <c r="AC1057" t="s">
        <v>51</v>
      </c>
      <c r="AD1057" t="s">
        <v>45</v>
      </c>
      <c r="AE1057" s="1">
        <v>31160</v>
      </c>
      <c r="AF1057">
        <v>1</v>
      </c>
      <c r="AG1057" t="s">
        <v>1342</v>
      </c>
      <c r="AH1057" s="36">
        <f t="shared" si="16"/>
        <v>34.158333333333331</v>
      </c>
      <c r="AI1057" s="40" t="s">
        <v>1778</v>
      </c>
    </row>
    <row r="1058" spans="1:35" x14ac:dyDescent="0.25">
      <c r="A1058" s="36">
        <v>99911056</v>
      </c>
      <c r="B1058" s="17" t="s">
        <v>56</v>
      </c>
      <c r="C1058" t="s">
        <v>61</v>
      </c>
      <c r="D1058" t="s">
        <v>62</v>
      </c>
      <c r="E1058" t="s">
        <v>257</v>
      </c>
      <c r="F1058" t="s">
        <v>258</v>
      </c>
      <c r="G1058" s="17" t="s">
        <v>35</v>
      </c>
      <c r="H1058" s="17">
        <v>1</v>
      </c>
      <c r="I1058" t="s">
        <v>1099</v>
      </c>
      <c r="J1058" s="1">
        <v>43354</v>
      </c>
      <c r="K1058" t="s">
        <v>1081</v>
      </c>
      <c r="L1058" t="s">
        <v>1082</v>
      </c>
      <c r="M1058" t="s">
        <v>1053</v>
      </c>
      <c r="N1058">
        <v>23</v>
      </c>
      <c r="O1058" t="s">
        <v>40</v>
      </c>
      <c r="P1058" t="s">
        <v>40</v>
      </c>
      <c r="Q1058" t="s">
        <v>40</v>
      </c>
      <c r="R1058" t="s">
        <v>40</v>
      </c>
      <c r="S1058" t="s">
        <v>40</v>
      </c>
      <c r="U1058" s="1">
        <v>43354</v>
      </c>
      <c r="V1058" t="s">
        <v>41</v>
      </c>
      <c r="W1058" t="s">
        <v>75</v>
      </c>
      <c r="X1058" t="str">
        <f>"7201006"</f>
        <v>7201006</v>
      </c>
      <c r="Y1058" t="s">
        <v>1083</v>
      </c>
      <c r="Z1058" t="s">
        <v>1081</v>
      </c>
      <c r="AA1058" t="s">
        <v>1082</v>
      </c>
      <c r="AB1058" t="s">
        <v>1053</v>
      </c>
      <c r="AC1058" t="s">
        <v>44</v>
      </c>
      <c r="AD1058" t="s">
        <v>45</v>
      </c>
      <c r="AE1058" s="1">
        <v>31158</v>
      </c>
      <c r="AF1058">
        <v>1</v>
      </c>
      <c r="AG1058" t="s">
        <v>1082</v>
      </c>
      <c r="AH1058" s="36">
        <f t="shared" si="16"/>
        <v>34.163888888888891</v>
      </c>
      <c r="AI1058" s="40" t="s">
        <v>1778</v>
      </c>
    </row>
    <row r="1059" spans="1:35" x14ac:dyDescent="0.25">
      <c r="A1059" s="36">
        <v>99911057</v>
      </c>
      <c r="B1059" s="17" t="s">
        <v>32</v>
      </c>
      <c r="C1059" t="s">
        <v>111</v>
      </c>
      <c r="D1059" t="s">
        <v>112</v>
      </c>
      <c r="G1059" s="17" t="s">
        <v>35</v>
      </c>
      <c r="H1059" s="17">
        <v>1</v>
      </c>
      <c r="I1059">
        <v>653</v>
      </c>
      <c r="J1059" s="1">
        <v>43344</v>
      </c>
      <c r="K1059" t="s">
        <v>1341</v>
      </c>
      <c r="L1059" t="s">
        <v>1342</v>
      </c>
      <c r="M1059" t="s">
        <v>1270</v>
      </c>
      <c r="N1059">
        <v>24</v>
      </c>
      <c r="O1059" t="s">
        <v>40</v>
      </c>
      <c r="P1059" t="s">
        <v>1352</v>
      </c>
      <c r="Q1059" t="s">
        <v>40</v>
      </c>
      <c r="R1059" t="s">
        <v>40</v>
      </c>
      <c r="S1059" t="s">
        <v>40</v>
      </c>
      <c r="U1059" s="1">
        <v>43344</v>
      </c>
      <c r="V1059" t="s">
        <v>41</v>
      </c>
      <c r="W1059" t="s">
        <v>75</v>
      </c>
      <c r="X1059" t="str">
        <f>"7191036"</f>
        <v>7191036</v>
      </c>
      <c r="Y1059" t="s">
        <v>1348</v>
      </c>
      <c r="Z1059" t="s">
        <v>1341</v>
      </c>
      <c r="AA1059" t="s">
        <v>1342</v>
      </c>
      <c r="AB1059" t="s">
        <v>1270</v>
      </c>
      <c r="AC1059" t="s">
        <v>44</v>
      </c>
      <c r="AD1059" t="s">
        <v>45</v>
      </c>
      <c r="AE1059" s="1">
        <v>31156</v>
      </c>
      <c r="AF1059">
        <v>1</v>
      </c>
      <c r="AG1059" t="s">
        <v>1342</v>
      </c>
      <c r="AH1059" s="36">
        <f t="shared" si="16"/>
        <v>34.169444444444444</v>
      </c>
      <c r="AI1059" s="40" t="s">
        <v>1778</v>
      </c>
    </row>
    <row r="1060" spans="1:35" x14ac:dyDescent="0.25">
      <c r="A1060" s="36">
        <v>99911058</v>
      </c>
      <c r="B1060" s="17" t="s">
        <v>56</v>
      </c>
      <c r="C1060" t="s">
        <v>82</v>
      </c>
      <c r="D1060" t="s">
        <v>83</v>
      </c>
      <c r="G1060" s="17" t="s">
        <v>35</v>
      </c>
      <c r="H1060" s="17">
        <v>1</v>
      </c>
      <c r="I1060" t="s">
        <v>1184</v>
      </c>
      <c r="J1060" s="1">
        <v>43354</v>
      </c>
      <c r="K1060" t="s">
        <v>1171</v>
      </c>
      <c r="L1060" t="s">
        <v>1172</v>
      </c>
      <c r="M1060" t="s">
        <v>1130</v>
      </c>
      <c r="N1060">
        <v>12</v>
      </c>
      <c r="O1060" t="s">
        <v>40</v>
      </c>
      <c r="S1060" t="s">
        <v>40</v>
      </c>
      <c r="U1060" s="1">
        <v>43354</v>
      </c>
      <c r="V1060" t="s">
        <v>41</v>
      </c>
      <c r="W1060" t="s">
        <v>42</v>
      </c>
      <c r="X1060" t="str">
        <f>"3561001"</f>
        <v>3561001</v>
      </c>
      <c r="Y1060" t="s">
        <v>1173</v>
      </c>
      <c r="Z1060" t="s">
        <v>1171</v>
      </c>
      <c r="AA1060" t="s">
        <v>1172</v>
      </c>
      <c r="AB1060" t="s">
        <v>1130</v>
      </c>
      <c r="AC1060" t="s">
        <v>44</v>
      </c>
      <c r="AD1060" t="s">
        <v>45</v>
      </c>
      <c r="AE1060" s="1">
        <v>31155</v>
      </c>
      <c r="AF1060">
        <v>2</v>
      </c>
      <c r="AG1060" t="s">
        <v>1172</v>
      </c>
      <c r="AH1060" s="36">
        <f t="shared" si="16"/>
        <v>34.172222222222224</v>
      </c>
      <c r="AI1060" s="40" t="s">
        <v>1778</v>
      </c>
    </row>
    <row r="1061" spans="1:35" x14ac:dyDescent="0.25">
      <c r="A1061" s="36">
        <v>99911059</v>
      </c>
      <c r="B1061" s="17" t="s">
        <v>32</v>
      </c>
      <c r="C1061" t="s">
        <v>61</v>
      </c>
      <c r="D1061" t="s">
        <v>62</v>
      </c>
      <c r="G1061" s="17" t="s">
        <v>48</v>
      </c>
      <c r="H1061" s="17">
        <v>2</v>
      </c>
      <c r="K1061" t="s">
        <v>129</v>
      </c>
      <c r="L1061" t="s">
        <v>130</v>
      </c>
      <c r="M1061" t="s">
        <v>131</v>
      </c>
      <c r="N1061">
        <v>23</v>
      </c>
      <c r="O1061" t="s">
        <v>40</v>
      </c>
      <c r="P1061" t="s">
        <v>40</v>
      </c>
      <c r="Q1061" t="s">
        <v>40</v>
      </c>
      <c r="R1061" t="s">
        <v>40</v>
      </c>
      <c r="S1061" t="s">
        <v>40</v>
      </c>
      <c r="U1061" s="1">
        <v>40071</v>
      </c>
      <c r="V1061" t="s">
        <v>41</v>
      </c>
      <c r="W1061" t="s">
        <v>75</v>
      </c>
      <c r="X1061" t="str">
        <f>"7051022"</f>
        <v>7051022</v>
      </c>
      <c r="Y1061" t="s">
        <v>153</v>
      </c>
      <c r="Z1061" t="s">
        <v>154</v>
      </c>
      <c r="AA1061" t="s">
        <v>155</v>
      </c>
      <c r="AB1061" t="s">
        <v>131</v>
      </c>
      <c r="AC1061" t="s">
        <v>51</v>
      </c>
      <c r="AD1061" t="s">
        <v>45</v>
      </c>
      <c r="AE1061" s="1">
        <v>31150</v>
      </c>
      <c r="AF1061">
        <v>2</v>
      </c>
      <c r="AG1061" t="s">
        <v>130</v>
      </c>
      <c r="AH1061" s="36">
        <f t="shared" si="16"/>
        <v>34.18611111111111</v>
      </c>
      <c r="AI1061" s="40" t="s">
        <v>1778</v>
      </c>
    </row>
    <row r="1062" spans="1:35" x14ac:dyDescent="0.25">
      <c r="A1062" s="36">
        <v>99911060</v>
      </c>
      <c r="B1062" s="17" t="s">
        <v>32</v>
      </c>
      <c r="C1062" t="s">
        <v>90</v>
      </c>
      <c r="D1062" t="s">
        <v>91</v>
      </c>
      <c r="G1062" s="17" t="s">
        <v>35</v>
      </c>
      <c r="H1062" s="17">
        <v>1</v>
      </c>
      <c r="K1062" t="s">
        <v>1502</v>
      </c>
      <c r="L1062" t="s">
        <v>1503</v>
      </c>
      <c r="M1062" t="s">
        <v>670</v>
      </c>
      <c r="N1062">
        <v>6</v>
      </c>
      <c r="O1062" t="s">
        <v>40</v>
      </c>
      <c r="P1062" t="s">
        <v>40</v>
      </c>
      <c r="Q1062" t="s">
        <v>40</v>
      </c>
      <c r="S1062" t="s">
        <v>40</v>
      </c>
      <c r="V1062" t="s">
        <v>41</v>
      </c>
      <c r="W1062" t="s">
        <v>95</v>
      </c>
      <c r="X1062" t="str">
        <f>"7171001"</f>
        <v>7171001</v>
      </c>
      <c r="Y1062" t="s">
        <v>1507</v>
      </c>
      <c r="Z1062" t="s">
        <v>1502</v>
      </c>
      <c r="AA1062" t="s">
        <v>1503</v>
      </c>
      <c r="AB1062" t="s">
        <v>670</v>
      </c>
      <c r="AC1062" t="s">
        <v>165</v>
      </c>
      <c r="AD1062" t="s">
        <v>45</v>
      </c>
      <c r="AE1062" s="1">
        <v>31146</v>
      </c>
      <c r="AF1062">
        <v>1</v>
      </c>
      <c r="AG1062" t="s">
        <v>1503</v>
      </c>
      <c r="AH1062" s="36">
        <f t="shared" si="16"/>
        <v>34.197222222222223</v>
      </c>
      <c r="AI1062" s="40" t="s">
        <v>1778</v>
      </c>
    </row>
    <row r="1063" spans="1:35" x14ac:dyDescent="0.25">
      <c r="A1063" s="36">
        <v>99911061</v>
      </c>
      <c r="B1063" s="17" t="s">
        <v>32</v>
      </c>
      <c r="C1063" t="s">
        <v>33</v>
      </c>
      <c r="D1063" t="s">
        <v>34</v>
      </c>
      <c r="G1063" s="17" t="s">
        <v>48</v>
      </c>
      <c r="H1063" s="17">
        <v>1</v>
      </c>
      <c r="K1063" t="s">
        <v>129</v>
      </c>
      <c r="L1063" t="s">
        <v>130</v>
      </c>
      <c r="M1063" t="s">
        <v>131</v>
      </c>
      <c r="N1063">
        <v>21</v>
      </c>
      <c r="O1063" t="s">
        <v>40</v>
      </c>
      <c r="P1063" t="s">
        <v>40</v>
      </c>
      <c r="Q1063" t="s">
        <v>40</v>
      </c>
      <c r="R1063" t="s">
        <v>40</v>
      </c>
      <c r="S1063" t="s">
        <v>40</v>
      </c>
      <c r="V1063" t="s">
        <v>41</v>
      </c>
      <c r="W1063" t="s">
        <v>42</v>
      </c>
      <c r="X1063" t="str">
        <f>"0590905"</f>
        <v>0590905</v>
      </c>
      <c r="Y1063" t="s">
        <v>133</v>
      </c>
      <c r="Z1063" t="s">
        <v>129</v>
      </c>
      <c r="AA1063" t="s">
        <v>130</v>
      </c>
      <c r="AB1063" t="s">
        <v>131</v>
      </c>
      <c r="AC1063" t="s">
        <v>51</v>
      </c>
      <c r="AD1063" t="s">
        <v>45</v>
      </c>
      <c r="AE1063" s="1">
        <v>31142</v>
      </c>
      <c r="AF1063">
        <v>2</v>
      </c>
      <c r="AG1063" t="s">
        <v>130</v>
      </c>
      <c r="AH1063" s="36">
        <f t="shared" si="16"/>
        <v>34.208333333333336</v>
      </c>
      <c r="AI1063" s="40" t="s">
        <v>1778</v>
      </c>
    </row>
    <row r="1064" spans="1:35" x14ac:dyDescent="0.25">
      <c r="A1064" s="36">
        <v>99911062</v>
      </c>
      <c r="B1064" s="17" t="s">
        <v>32</v>
      </c>
      <c r="C1064" t="s">
        <v>90</v>
      </c>
      <c r="D1064" t="s">
        <v>91</v>
      </c>
      <c r="G1064" s="17" t="s">
        <v>48</v>
      </c>
      <c r="H1064" s="17">
        <v>1</v>
      </c>
      <c r="K1064" t="s">
        <v>268</v>
      </c>
      <c r="L1064" t="s">
        <v>269</v>
      </c>
      <c r="M1064" t="s">
        <v>131</v>
      </c>
      <c r="N1064">
        <v>25</v>
      </c>
      <c r="O1064" t="s">
        <v>40</v>
      </c>
      <c r="P1064" t="s">
        <v>40</v>
      </c>
      <c r="Q1064" t="s">
        <v>40</v>
      </c>
      <c r="S1064" t="s">
        <v>40</v>
      </c>
      <c r="V1064" t="s">
        <v>41</v>
      </c>
      <c r="W1064" t="s">
        <v>95</v>
      </c>
      <c r="X1064" t="str">
        <f>"7052111"</f>
        <v>7052111</v>
      </c>
      <c r="Y1064" t="s">
        <v>600</v>
      </c>
      <c r="Z1064" t="s">
        <v>268</v>
      </c>
      <c r="AA1064" t="s">
        <v>269</v>
      </c>
      <c r="AB1064" t="s">
        <v>131</v>
      </c>
      <c r="AC1064" t="s">
        <v>51</v>
      </c>
      <c r="AD1064" t="s">
        <v>45</v>
      </c>
      <c r="AE1064" s="1">
        <v>31136</v>
      </c>
      <c r="AF1064">
        <v>1</v>
      </c>
      <c r="AG1064" t="s">
        <v>269</v>
      </c>
      <c r="AH1064" s="36">
        <f t="shared" si="16"/>
        <v>34.225000000000001</v>
      </c>
      <c r="AI1064" s="40" t="s">
        <v>1778</v>
      </c>
    </row>
    <row r="1065" spans="1:35" x14ac:dyDescent="0.25">
      <c r="A1065" s="36">
        <v>99911063</v>
      </c>
      <c r="B1065" s="17" t="s">
        <v>32</v>
      </c>
      <c r="C1065" t="s">
        <v>111</v>
      </c>
      <c r="D1065" t="s">
        <v>112</v>
      </c>
      <c r="G1065" s="17" t="s">
        <v>35</v>
      </c>
      <c r="H1065" s="17">
        <v>5</v>
      </c>
      <c r="K1065" t="s">
        <v>268</v>
      </c>
      <c r="L1065" t="s">
        <v>269</v>
      </c>
      <c r="M1065" t="s">
        <v>131</v>
      </c>
      <c r="N1065">
        <v>23</v>
      </c>
      <c r="O1065" t="s">
        <v>40</v>
      </c>
      <c r="P1065" t="s">
        <v>40</v>
      </c>
      <c r="Q1065" t="s">
        <v>40</v>
      </c>
      <c r="R1065" t="s">
        <v>40</v>
      </c>
      <c r="S1065" t="s">
        <v>40</v>
      </c>
      <c r="V1065" t="s">
        <v>41</v>
      </c>
      <c r="W1065" t="s">
        <v>75</v>
      </c>
      <c r="X1065" t="str">
        <f>"7052002"</f>
        <v>7052002</v>
      </c>
      <c r="Y1065" t="s">
        <v>590</v>
      </c>
      <c r="Z1065" t="s">
        <v>268</v>
      </c>
      <c r="AA1065" t="s">
        <v>269</v>
      </c>
      <c r="AB1065" t="s">
        <v>131</v>
      </c>
      <c r="AC1065" t="s">
        <v>51</v>
      </c>
      <c r="AD1065" t="s">
        <v>45</v>
      </c>
      <c r="AE1065" s="1">
        <v>31132</v>
      </c>
      <c r="AF1065">
        <v>1</v>
      </c>
      <c r="AG1065" t="s">
        <v>269</v>
      </c>
      <c r="AH1065" s="36">
        <f t="shared" si="16"/>
        <v>34.236111111111114</v>
      </c>
      <c r="AI1065" s="40" t="s">
        <v>1778</v>
      </c>
    </row>
    <row r="1066" spans="1:35" x14ac:dyDescent="0.25">
      <c r="A1066" s="36">
        <v>99911064</v>
      </c>
      <c r="B1066" s="17" t="s">
        <v>32</v>
      </c>
      <c r="C1066" t="s">
        <v>90</v>
      </c>
      <c r="D1066" t="s">
        <v>91</v>
      </c>
      <c r="G1066" s="17" t="s">
        <v>35</v>
      </c>
      <c r="H1066" s="17">
        <v>1</v>
      </c>
      <c r="I1066">
        <v>15242</v>
      </c>
      <c r="J1066" s="1">
        <v>43346</v>
      </c>
      <c r="K1066" t="s">
        <v>877</v>
      </c>
      <c r="L1066" t="s">
        <v>878</v>
      </c>
      <c r="M1066" t="s">
        <v>131</v>
      </c>
      <c r="N1066">
        <v>25</v>
      </c>
      <c r="O1066" t="s">
        <v>40</v>
      </c>
      <c r="S1066" t="s">
        <v>40</v>
      </c>
      <c r="U1066" s="1">
        <v>43346</v>
      </c>
      <c r="V1066" t="s">
        <v>41</v>
      </c>
      <c r="W1066" t="s">
        <v>95</v>
      </c>
      <c r="X1066" t="str">
        <f>"7541013"</f>
        <v>7541013</v>
      </c>
      <c r="Y1066" t="s">
        <v>897</v>
      </c>
      <c r="Z1066" t="s">
        <v>877</v>
      </c>
      <c r="AA1066" t="s">
        <v>878</v>
      </c>
      <c r="AB1066" t="s">
        <v>131</v>
      </c>
      <c r="AC1066" t="s">
        <v>44</v>
      </c>
      <c r="AD1066" t="s">
        <v>45</v>
      </c>
      <c r="AE1066" s="1">
        <v>31118</v>
      </c>
      <c r="AF1066">
        <v>1</v>
      </c>
      <c r="AG1066" t="s">
        <v>878</v>
      </c>
      <c r="AH1066" s="36">
        <f t="shared" si="16"/>
        <v>34.274999999999999</v>
      </c>
      <c r="AI1066" s="40" t="s">
        <v>1778</v>
      </c>
    </row>
    <row r="1067" spans="1:35" x14ac:dyDescent="0.25">
      <c r="A1067" s="36">
        <v>99911065</v>
      </c>
      <c r="B1067" s="17" t="s">
        <v>32</v>
      </c>
      <c r="C1067" t="s">
        <v>139</v>
      </c>
      <c r="D1067" t="s">
        <v>140</v>
      </c>
      <c r="G1067" s="17" t="s">
        <v>35</v>
      </c>
      <c r="H1067" s="17">
        <v>1</v>
      </c>
      <c r="I1067" t="s">
        <v>1558</v>
      </c>
      <c r="J1067" s="1">
        <v>43344</v>
      </c>
      <c r="K1067" t="s">
        <v>1546</v>
      </c>
      <c r="L1067" t="s">
        <v>1547</v>
      </c>
      <c r="M1067" t="s">
        <v>1548</v>
      </c>
      <c r="N1067">
        <v>21</v>
      </c>
      <c r="O1067" t="s">
        <v>40</v>
      </c>
      <c r="P1067" t="s">
        <v>40</v>
      </c>
      <c r="Q1067" t="s">
        <v>40</v>
      </c>
      <c r="R1067" t="s">
        <v>40</v>
      </c>
      <c r="S1067" t="s">
        <v>40</v>
      </c>
      <c r="U1067" s="1">
        <v>43344</v>
      </c>
      <c r="V1067" t="s">
        <v>41</v>
      </c>
      <c r="W1067" t="s">
        <v>49</v>
      </c>
      <c r="X1067" t="str">
        <f>"1081010"</f>
        <v>1081010</v>
      </c>
      <c r="Y1067" t="s">
        <v>1552</v>
      </c>
      <c r="Z1067" t="s">
        <v>1546</v>
      </c>
      <c r="AA1067" t="s">
        <v>1547</v>
      </c>
      <c r="AB1067" t="s">
        <v>1548</v>
      </c>
      <c r="AC1067" t="s">
        <v>44</v>
      </c>
      <c r="AD1067" t="s">
        <v>45</v>
      </c>
      <c r="AE1067" s="1">
        <v>31115</v>
      </c>
      <c r="AF1067">
        <v>2</v>
      </c>
      <c r="AG1067" t="s">
        <v>1547</v>
      </c>
      <c r="AH1067" s="36">
        <f t="shared" si="16"/>
        <v>34.283333333333331</v>
      </c>
      <c r="AI1067" s="40" t="s">
        <v>1778</v>
      </c>
    </row>
    <row r="1068" spans="1:35" x14ac:dyDescent="0.25">
      <c r="A1068" s="36">
        <v>99911066</v>
      </c>
      <c r="B1068" s="17" t="s">
        <v>32</v>
      </c>
      <c r="C1068" t="s">
        <v>90</v>
      </c>
      <c r="D1068" t="s">
        <v>91</v>
      </c>
      <c r="G1068" s="17" t="s">
        <v>35</v>
      </c>
      <c r="H1068" s="17">
        <v>1</v>
      </c>
      <c r="I1068" t="s">
        <v>1123</v>
      </c>
      <c r="J1068" s="1">
        <v>43344</v>
      </c>
      <c r="K1068" t="s">
        <v>1081</v>
      </c>
      <c r="L1068" t="s">
        <v>1082</v>
      </c>
      <c r="M1068" t="s">
        <v>1053</v>
      </c>
      <c r="N1068">
        <v>24</v>
      </c>
      <c r="O1068" t="s">
        <v>40</v>
      </c>
      <c r="S1068" t="s">
        <v>40</v>
      </c>
      <c r="U1068" s="1">
        <v>43344</v>
      </c>
      <c r="V1068" t="s">
        <v>41</v>
      </c>
      <c r="W1068" t="s">
        <v>75</v>
      </c>
      <c r="X1068" t="str">
        <f>"7201000"</f>
        <v>7201000</v>
      </c>
      <c r="Y1068" t="s">
        <v>1088</v>
      </c>
      <c r="Z1068" t="s">
        <v>1081</v>
      </c>
      <c r="AA1068" t="s">
        <v>1082</v>
      </c>
      <c r="AB1068" t="s">
        <v>1053</v>
      </c>
      <c r="AC1068" t="s">
        <v>44</v>
      </c>
      <c r="AD1068" t="s">
        <v>45</v>
      </c>
      <c r="AE1068" s="1">
        <v>31113</v>
      </c>
      <c r="AF1068">
        <v>1</v>
      </c>
      <c r="AG1068" t="s">
        <v>1082</v>
      </c>
      <c r="AH1068" s="36">
        <f t="shared" si="16"/>
        <v>34.288888888888891</v>
      </c>
      <c r="AI1068" s="40" t="s">
        <v>1778</v>
      </c>
    </row>
    <row r="1069" spans="1:35" x14ac:dyDescent="0.25">
      <c r="A1069" s="36">
        <v>99911067</v>
      </c>
      <c r="B1069" s="17" t="s">
        <v>32</v>
      </c>
      <c r="C1069" t="s">
        <v>90</v>
      </c>
      <c r="D1069" t="s">
        <v>91</v>
      </c>
      <c r="G1069" s="17" t="s">
        <v>35</v>
      </c>
      <c r="H1069" s="17">
        <v>1</v>
      </c>
      <c r="K1069" t="s">
        <v>154</v>
      </c>
      <c r="L1069" t="s">
        <v>155</v>
      </c>
      <c r="M1069" t="s">
        <v>131</v>
      </c>
      <c r="N1069">
        <v>8</v>
      </c>
      <c r="O1069" t="s">
        <v>40</v>
      </c>
      <c r="S1069" t="s">
        <v>40</v>
      </c>
      <c r="V1069" t="s">
        <v>41</v>
      </c>
      <c r="W1069" t="s">
        <v>95</v>
      </c>
      <c r="X1069" t="str">
        <f>"7051055"</f>
        <v>7051055</v>
      </c>
      <c r="Y1069" t="s">
        <v>419</v>
      </c>
      <c r="Z1069" t="s">
        <v>154</v>
      </c>
      <c r="AA1069" t="s">
        <v>155</v>
      </c>
      <c r="AB1069" t="s">
        <v>131</v>
      </c>
      <c r="AC1069" t="s">
        <v>51</v>
      </c>
      <c r="AD1069" t="s">
        <v>45</v>
      </c>
      <c r="AE1069" s="1">
        <v>31108</v>
      </c>
      <c r="AF1069">
        <v>1</v>
      </c>
      <c r="AG1069" t="s">
        <v>155</v>
      </c>
      <c r="AH1069" s="36">
        <f t="shared" si="16"/>
        <v>34.302777777777777</v>
      </c>
      <c r="AI1069" s="40" t="s">
        <v>1778</v>
      </c>
    </row>
    <row r="1070" spans="1:35" x14ac:dyDescent="0.25">
      <c r="A1070" s="36">
        <v>99911068</v>
      </c>
      <c r="B1070" s="17" t="s">
        <v>32</v>
      </c>
      <c r="C1070" t="s">
        <v>111</v>
      </c>
      <c r="D1070" t="s">
        <v>112</v>
      </c>
      <c r="G1070" s="17" t="s">
        <v>48</v>
      </c>
      <c r="H1070" s="17">
        <v>1</v>
      </c>
      <c r="K1070" t="s">
        <v>1619</v>
      </c>
      <c r="L1070" t="s">
        <v>1620</v>
      </c>
      <c r="M1070" t="s">
        <v>1592</v>
      </c>
      <c r="N1070">
        <v>24</v>
      </c>
      <c r="O1070" t="s">
        <v>40</v>
      </c>
      <c r="P1070" t="s">
        <v>40</v>
      </c>
      <c r="Q1070" t="s">
        <v>40</v>
      </c>
      <c r="S1070" t="s">
        <v>40</v>
      </c>
      <c r="V1070" t="s">
        <v>41</v>
      </c>
      <c r="W1070" t="s">
        <v>75</v>
      </c>
      <c r="X1070" t="str">
        <f>"7281004"</f>
        <v>7281004</v>
      </c>
      <c r="Y1070" t="s">
        <v>1651</v>
      </c>
      <c r="Z1070" t="s">
        <v>1619</v>
      </c>
      <c r="AA1070" t="s">
        <v>1620</v>
      </c>
      <c r="AB1070" t="s">
        <v>1592</v>
      </c>
      <c r="AC1070" t="s">
        <v>51</v>
      </c>
      <c r="AD1070" t="s">
        <v>45</v>
      </c>
      <c r="AE1070" s="1">
        <v>31092</v>
      </c>
      <c r="AF1070">
        <v>1</v>
      </c>
      <c r="AG1070" t="s">
        <v>1620</v>
      </c>
      <c r="AH1070" s="36">
        <f t="shared" si="16"/>
        <v>34.347222222222221</v>
      </c>
      <c r="AI1070" s="40" t="s">
        <v>1778</v>
      </c>
    </row>
    <row r="1071" spans="1:35" x14ac:dyDescent="0.25">
      <c r="A1071" s="36">
        <v>99911069</v>
      </c>
      <c r="B1071" s="17" t="s">
        <v>56</v>
      </c>
      <c r="C1071" t="s">
        <v>52</v>
      </c>
      <c r="D1071" t="s">
        <v>53</v>
      </c>
      <c r="G1071" s="17" t="s">
        <v>88</v>
      </c>
      <c r="H1071" s="17">
        <v>3</v>
      </c>
      <c r="K1071" t="s">
        <v>157</v>
      </c>
      <c r="L1071" t="s">
        <v>158</v>
      </c>
      <c r="M1071" t="s">
        <v>131</v>
      </c>
      <c r="N1071">
        <v>17</v>
      </c>
      <c r="O1071" t="s">
        <v>40</v>
      </c>
      <c r="P1071" t="s">
        <v>40</v>
      </c>
      <c r="Q1071" t="s">
        <v>40</v>
      </c>
      <c r="R1071" t="s">
        <v>40</v>
      </c>
      <c r="S1071" t="s">
        <v>40</v>
      </c>
      <c r="V1071" t="s">
        <v>41</v>
      </c>
      <c r="W1071" t="s">
        <v>42</v>
      </c>
      <c r="X1071" t="str">
        <f>"0561004"</f>
        <v>0561004</v>
      </c>
      <c r="Y1071" t="s">
        <v>172</v>
      </c>
      <c r="Z1071" t="s">
        <v>157</v>
      </c>
      <c r="AA1071" t="s">
        <v>158</v>
      </c>
      <c r="AB1071" t="s">
        <v>131</v>
      </c>
      <c r="AC1071" t="s">
        <v>51</v>
      </c>
      <c r="AD1071" t="s">
        <v>45</v>
      </c>
      <c r="AE1071" s="1">
        <v>31086</v>
      </c>
      <c r="AF1071">
        <v>2</v>
      </c>
      <c r="AG1071" t="s">
        <v>158</v>
      </c>
      <c r="AH1071" s="36">
        <f t="shared" si="16"/>
        <v>34.363888888888887</v>
      </c>
      <c r="AI1071" s="40" t="s">
        <v>1778</v>
      </c>
    </row>
    <row r="1072" spans="1:35" x14ac:dyDescent="0.25">
      <c r="A1072" s="36">
        <v>99911070</v>
      </c>
      <c r="B1072" s="17" t="s">
        <v>32</v>
      </c>
      <c r="C1072" t="s">
        <v>85</v>
      </c>
      <c r="D1072" t="s">
        <v>86</v>
      </c>
      <c r="G1072" s="17" t="s">
        <v>35</v>
      </c>
      <c r="H1072" s="17">
        <v>1</v>
      </c>
      <c r="I1072">
        <v>0</v>
      </c>
      <c r="J1072" s="1">
        <v>43344</v>
      </c>
      <c r="K1072" t="s">
        <v>223</v>
      </c>
      <c r="L1072" t="s">
        <v>224</v>
      </c>
      <c r="M1072" t="s">
        <v>131</v>
      </c>
      <c r="N1072">
        <v>16</v>
      </c>
      <c r="O1072" t="s">
        <v>40</v>
      </c>
      <c r="P1072" t="s">
        <v>40</v>
      </c>
      <c r="Q1072" t="s">
        <v>40</v>
      </c>
      <c r="S1072" t="s">
        <v>40</v>
      </c>
      <c r="U1072" s="1">
        <v>43344</v>
      </c>
      <c r="V1072" t="s">
        <v>41</v>
      </c>
      <c r="W1072" t="s">
        <v>49</v>
      </c>
      <c r="X1072" t="str">
        <f>"0509999"</f>
        <v>0509999</v>
      </c>
      <c r="Y1072" t="s">
        <v>247</v>
      </c>
      <c r="Z1072" t="s">
        <v>223</v>
      </c>
      <c r="AA1072" t="s">
        <v>224</v>
      </c>
      <c r="AB1072" t="s">
        <v>131</v>
      </c>
      <c r="AC1072" t="s">
        <v>44</v>
      </c>
      <c r="AD1072" t="s">
        <v>45</v>
      </c>
      <c r="AE1072" s="1">
        <v>31081</v>
      </c>
      <c r="AF1072">
        <v>2</v>
      </c>
      <c r="AG1072" t="s">
        <v>224</v>
      </c>
      <c r="AH1072" s="36">
        <f t="shared" si="16"/>
        <v>34.37777777777778</v>
      </c>
      <c r="AI1072" s="40" t="s">
        <v>1778</v>
      </c>
    </row>
    <row r="1073" spans="1:35" x14ac:dyDescent="0.25">
      <c r="A1073" s="36">
        <v>99911071</v>
      </c>
      <c r="B1073" s="17" t="s">
        <v>32</v>
      </c>
      <c r="C1073" t="s">
        <v>111</v>
      </c>
      <c r="D1073" t="s">
        <v>112</v>
      </c>
      <c r="G1073" s="17" t="s">
        <v>48</v>
      </c>
      <c r="H1073" s="17">
        <v>1</v>
      </c>
      <c r="K1073" t="s">
        <v>1708</v>
      </c>
      <c r="L1073" t="s">
        <v>1709</v>
      </c>
      <c r="M1073" t="s">
        <v>1705</v>
      </c>
      <c r="N1073">
        <v>24</v>
      </c>
      <c r="O1073" t="s">
        <v>40</v>
      </c>
      <c r="P1073" t="s">
        <v>40</v>
      </c>
      <c r="Q1073" t="s">
        <v>40</v>
      </c>
      <c r="S1073" t="s">
        <v>40</v>
      </c>
      <c r="V1073" t="s">
        <v>41</v>
      </c>
      <c r="W1073" t="s">
        <v>75</v>
      </c>
      <c r="X1073" t="str">
        <f>"7121000"</f>
        <v>7121000</v>
      </c>
      <c r="Y1073" t="s">
        <v>1713</v>
      </c>
      <c r="Z1073" t="s">
        <v>1708</v>
      </c>
      <c r="AA1073" t="s">
        <v>1709</v>
      </c>
      <c r="AB1073" t="s">
        <v>1705</v>
      </c>
      <c r="AC1073" t="s">
        <v>51</v>
      </c>
      <c r="AD1073" t="s">
        <v>45</v>
      </c>
      <c r="AE1073" s="1">
        <v>31078</v>
      </c>
      <c r="AF1073">
        <v>1</v>
      </c>
      <c r="AG1073" t="s">
        <v>1709</v>
      </c>
      <c r="AH1073" s="36">
        <f t="shared" si="16"/>
        <v>34.386111111111113</v>
      </c>
      <c r="AI1073" s="40" t="s">
        <v>1778</v>
      </c>
    </row>
    <row r="1074" spans="1:35" x14ac:dyDescent="0.25">
      <c r="A1074" s="36">
        <v>99911072</v>
      </c>
      <c r="B1074" s="17" t="s">
        <v>32</v>
      </c>
      <c r="C1074" t="s">
        <v>46</v>
      </c>
      <c r="D1074" t="s">
        <v>47</v>
      </c>
      <c r="G1074" s="17" t="s">
        <v>35</v>
      </c>
      <c r="H1074" s="17">
        <v>1</v>
      </c>
      <c r="K1074" t="s">
        <v>223</v>
      </c>
      <c r="L1074" t="s">
        <v>224</v>
      </c>
      <c r="M1074" t="s">
        <v>131</v>
      </c>
      <c r="N1074">
        <v>24</v>
      </c>
      <c r="O1074" t="s">
        <v>40</v>
      </c>
      <c r="P1074" t="s">
        <v>40</v>
      </c>
      <c r="Q1074" t="s">
        <v>40</v>
      </c>
      <c r="S1074" t="s">
        <v>40</v>
      </c>
      <c r="V1074" t="s">
        <v>41</v>
      </c>
      <c r="W1074" t="s">
        <v>49</v>
      </c>
      <c r="X1074" t="str">
        <f>"0591901"</f>
        <v>0591901</v>
      </c>
      <c r="Y1074" t="s">
        <v>230</v>
      </c>
      <c r="Z1074" t="s">
        <v>223</v>
      </c>
      <c r="AA1074" t="s">
        <v>224</v>
      </c>
      <c r="AB1074" t="s">
        <v>131</v>
      </c>
      <c r="AC1074" t="s">
        <v>51</v>
      </c>
      <c r="AD1074" t="s">
        <v>45</v>
      </c>
      <c r="AE1074" s="1">
        <v>31077</v>
      </c>
      <c r="AF1074">
        <v>2</v>
      </c>
      <c r="AG1074" t="s">
        <v>224</v>
      </c>
      <c r="AH1074" s="36">
        <f t="shared" si="16"/>
        <v>34.388888888888886</v>
      </c>
      <c r="AI1074" s="40" t="s">
        <v>1778</v>
      </c>
    </row>
    <row r="1075" spans="1:35" x14ac:dyDescent="0.25">
      <c r="A1075" s="36">
        <v>99911073</v>
      </c>
      <c r="B1075" s="17" t="s">
        <v>32</v>
      </c>
      <c r="C1075" t="s">
        <v>90</v>
      </c>
      <c r="D1075" t="s">
        <v>91</v>
      </c>
      <c r="G1075" s="17" t="s">
        <v>35</v>
      </c>
      <c r="H1075" s="17">
        <v>1</v>
      </c>
      <c r="I1075" t="s">
        <v>650</v>
      </c>
      <c r="J1075" s="1">
        <v>43344</v>
      </c>
      <c r="K1075" t="s">
        <v>268</v>
      </c>
      <c r="L1075" t="s">
        <v>269</v>
      </c>
      <c r="M1075" t="s">
        <v>131</v>
      </c>
      <c r="N1075">
        <v>23</v>
      </c>
      <c r="O1075" t="s">
        <v>40</v>
      </c>
      <c r="S1075" t="s">
        <v>40</v>
      </c>
      <c r="U1075" s="1">
        <v>43344</v>
      </c>
      <c r="V1075" t="s">
        <v>41</v>
      </c>
      <c r="W1075" t="s">
        <v>95</v>
      </c>
      <c r="X1075" t="str">
        <f>"7052043"</f>
        <v>7052043</v>
      </c>
      <c r="Y1075" t="s">
        <v>651</v>
      </c>
      <c r="Z1075" t="s">
        <v>268</v>
      </c>
      <c r="AA1075" t="s">
        <v>269</v>
      </c>
      <c r="AB1075" t="s">
        <v>131</v>
      </c>
      <c r="AC1075" t="s">
        <v>51</v>
      </c>
      <c r="AD1075" t="s">
        <v>45</v>
      </c>
      <c r="AE1075" s="1">
        <v>31077</v>
      </c>
      <c r="AF1075">
        <v>1</v>
      </c>
      <c r="AG1075" t="s">
        <v>269</v>
      </c>
      <c r="AH1075" s="36">
        <f t="shared" si="16"/>
        <v>34.388888888888886</v>
      </c>
      <c r="AI1075" s="40" t="s">
        <v>1778</v>
      </c>
    </row>
    <row r="1076" spans="1:35" x14ac:dyDescent="0.25">
      <c r="A1076" s="36">
        <v>99911074</v>
      </c>
      <c r="B1076" s="17" t="s">
        <v>32</v>
      </c>
      <c r="C1076" t="s">
        <v>90</v>
      </c>
      <c r="D1076" t="s">
        <v>91</v>
      </c>
      <c r="G1076" s="17" t="s">
        <v>35</v>
      </c>
      <c r="H1076" s="17">
        <v>1</v>
      </c>
      <c r="I1076">
        <v>28</v>
      </c>
      <c r="J1076" s="1">
        <v>43344</v>
      </c>
      <c r="K1076" t="s">
        <v>268</v>
      </c>
      <c r="L1076" t="s">
        <v>269</v>
      </c>
      <c r="M1076" t="s">
        <v>131</v>
      </c>
      <c r="N1076">
        <v>24</v>
      </c>
      <c r="O1076" t="s">
        <v>40</v>
      </c>
      <c r="S1076" t="s">
        <v>40</v>
      </c>
      <c r="V1076" t="s">
        <v>41</v>
      </c>
      <c r="W1076" t="s">
        <v>95</v>
      </c>
      <c r="X1076" t="str">
        <f>"7052035"</f>
        <v>7052035</v>
      </c>
      <c r="Y1076" t="s">
        <v>661</v>
      </c>
      <c r="Z1076" t="s">
        <v>268</v>
      </c>
      <c r="AA1076" t="s">
        <v>269</v>
      </c>
      <c r="AB1076" t="s">
        <v>131</v>
      </c>
      <c r="AC1076" t="s">
        <v>51</v>
      </c>
      <c r="AD1076" t="s">
        <v>45</v>
      </c>
      <c r="AE1076" s="1">
        <v>31076</v>
      </c>
      <c r="AF1076">
        <v>1</v>
      </c>
      <c r="AG1076" t="s">
        <v>269</v>
      </c>
      <c r="AH1076" s="36">
        <f t="shared" si="16"/>
        <v>34.391666666666666</v>
      </c>
      <c r="AI1076" s="40" t="s">
        <v>1778</v>
      </c>
    </row>
    <row r="1077" spans="1:35" x14ac:dyDescent="0.25">
      <c r="A1077" s="36">
        <v>99911075</v>
      </c>
      <c r="B1077" s="17" t="s">
        <v>32</v>
      </c>
      <c r="C1077" t="s">
        <v>111</v>
      </c>
      <c r="D1077" t="s">
        <v>112</v>
      </c>
      <c r="G1077" s="17" t="s">
        <v>48</v>
      </c>
      <c r="H1077" s="17">
        <v>1</v>
      </c>
      <c r="K1077" t="s">
        <v>268</v>
      </c>
      <c r="L1077" t="s">
        <v>269</v>
      </c>
      <c r="M1077" t="s">
        <v>131</v>
      </c>
      <c r="N1077">
        <v>24</v>
      </c>
      <c r="O1077" t="s">
        <v>40</v>
      </c>
      <c r="P1077" t="s">
        <v>40</v>
      </c>
      <c r="Q1077" t="s">
        <v>40</v>
      </c>
      <c r="S1077" t="s">
        <v>40</v>
      </c>
      <c r="V1077" t="s">
        <v>41</v>
      </c>
      <c r="W1077" t="s">
        <v>75</v>
      </c>
      <c r="X1077" t="str">
        <f>"7052040"</f>
        <v>7052040</v>
      </c>
      <c r="Y1077" t="s">
        <v>591</v>
      </c>
      <c r="Z1077" t="s">
        <v>268</v>
      </c>
      <c r="AA1077" t="s">
        <v>269</v>
      </c>
      <c r="AB1077" t="s">
        <v>131</v>
      </c>
      <c r="AC1077" t="s">
        <v>51</v>
      </c>
      <c r="AD1077" t="s">
        <v>45</v>
      </c>
      <c r="AE1077" s="1">
        <v>31075</v>
      </c>
      <c r="AF1077">
        <v>1</v>
      </c>
      <c r="AG1077" t="s">
        <v>269</v>
      </c>
      <c r="AH1077" s="36">
        <f t="shared" si="16"/>
        <v>34.394444444444446</v>
      </c>
      <c r="AI1077" s="40" t="s">
        <v>1778</v>
      </c>
    </row>
    <row r="1078" spans="1:35" x14ac:dyDescent="0.25">
      <c r="A1078" s="36">
        <v>99911076</v>
      </c>
      <c r="B1078" s="17" t="s">
        <v>32</v>
      </c>
      <c r="C1078" t="s">
        <v>52</v>
      </c>
      <c r="D1078" t="s">
        <v>53</v>
      </c>
      <c r="G1078" s="17" t="s">
        <v>35</v>
      </c>
      <c r="H1078" s="17">
        <v>1</v>
      </c>
      <c r="K1078" t="s">
        <v>157</v>
      </c>
      <c r="L1078" t="s">
        <v>158</v>
      </c>
      <c r="M1078" t="s">
        <v>131</v>
      </c>
      <c r="N1078">
        <v>17</v>
      </c>
      <c r="O1078" t="s">
        <v>40</v>
      </c>
      <c r="P1078" t="s">
        <v>40</v>
      </c>
      <c r="Q1078" t="s">
        <v>40</v>
      </c>
      <c r="R1078" t="s">
        <v>40</v>
      </c>
      <c r="S1078" t="s">
        <v>40</v>
      </c>
      <c r="V1078" t="s">
        <v>41</v>
      </c>
      <c r="W1078" t="s">
        <v>42</v>
      </c>
      <c r="X1078" t="str">
        <f>"0580470"</f>
        <v>0580470</v>
      </c>
      <c r="Y1078" t="s">
        <v>175</v>
      </c>
      <c r="Z1078" t="s">
        <v>157</v>
      </c>
      <c r="AA1078" t="s">
        <v>158</v>
      </c>
      <c r="AB1078" t="s">
        <v>131</v>
      </c>
      <c r="AC1078" t="s">
        <v>165</v>
      </c>
      <c r="AD1078" t="s">
        <v>45</v>
      </c>
      <c r="AE1078" s="1">
        <v>31072</v>
      </c>
      <c r="AF1078">
        <v>2</v>
      </c>
      <c r="AG1078" t="s">
        <v>158</v>
      </c>
      <c r="AH1078" s="36">
        <f t="shared" si="16"/>
        <v>34.402777777777779</v>
      </c>
      <c r="AI1078" s="40" t="s">
        <v>1778</v>
      </c>
    </row>
    <row r="1079" spans="1:35" x14ac:dyDescent="0.25">
      <c r="A1079" s="36">
        <v>99911077</v>
      </c>
      <c r="B1079" s="17" t="s">
        <v>32</v>
      </c>
      <c r="C1079" t="s">
        <v>90</v>
      </c>
      <c r="D1079" t="s">
        <v>91</v>
      </c>
      <c r="G1079" s="17" t="s">
        <v>48</v>
      </c>
      <c r="H1079" s="17">
        <v>1</v>
      </c>
      <c r="K1079" t="s">
        <v>1581</v>
      </c>
      <c r="L1079" t="s">
        <v>1582</v>
      </c>
      <c r="M1079" t="s">
        <v>1548</v>
      </c>
      <c r="N1079">
        <v>25</v>
      </c>
      <c r="O1079" t="s">
        <v>40</v>
      </c>
      <c r="P1079" t="s">
        <v>40</v>
      </c>
      <c r="Q1079" t="s">
        <v>40</v>
      </c>
      <c r="R1079" t="s">
        <v>40</v>
      </c>
      <c r="S1079" t="s">
        <v>40</v>
      </c>
      <c r="V1079" t="s">
        <v>41</v>
      </c>
      <c r="W1079" t="s">
        <v>95</v>
      </c>
      <c r="X1079" t="str">
        <f>"7291005"</f>
        <v>7291005</v>
      </c>
      <c r="Y1079" t="s">
        <v>1589</v>
      </c>
      <c r="Z1079" t="s">
        <v>1581</v>
      </c>
      <c r="AA1079" t="s">
        <v>1582</v>
      </c>
      <c r="AB1079" t="s">
        <v>1548</v>
      </c>
      <c r="AC1079" t="s">
        <v>51</v>
      </c>
      <c r="AD1079" t="s">
        <v>45</v>
      </c>
      <c r="AE1079" s="1">
        <v>31072</v>
      </c>
      <c r="AF1079">
        <v>1</v>
      </c>
      <c r="AG1079" t="s">
        <v>1582</v>
      </c>
      <c r="AH1079" s="36">
        <f t="shared" si="16"/>
        <v>34.402777777777779</v>
      </c>
      <c r="AI1079" s="40" t="s">
        <v>1778</v>
      </c>
    </row>
    <row r="1080" spans="1:35" x14ac:dyDescent="0.25">
      <c r="A1080" s="36">
        <v>99911078</v>
      </c>
      <c r="B1080" s="17" t="s">
        <v>32</v>
      </c>
      <c r="C1080" t="s">
        <v>90</v>
      </c>
      <c r="D1080" t="s">
        <v>91</v>
      </c>
      <c r="G1080" s="17" t="s">
        <v>48</v>
      </c>
      <c r="H1080" s="17">
        <v>1</v>
      </c>
      <c r="K1080" t="s">
        <v>154</v>
      </c>
      <c r="L1080" t="s">
        <v>155</v>
      </c>
      <c r="M1080" t="s">
        <v>131</v>
      </c>
      <c r="N1080">
        <v>30</v>
      </c>
      <c r="O1080" t="s">
        <v>40</v>
      </c>
      <c r="P1080" t="s">
        <v>40</v>
      </c>
      <c r="Q1080" t="s">
        <v>40</v>
      </c>
      <c r="S1080" t="s">
        <v>40</v>
      </c>
      <c r="V1080" t="s">
        <v>41</v>
      </c>
      <c r="W1080" t="s">
        <v>95</v>
      </c>
      <c r="X1080" t="str">
        <f>"7051071"</f>
        <v>7051071</v>
      </c>
      <c r="Y1080" t="s">
        <v>411</v>
      </c>
      <c r="Z1080" t="s">
        <v>154</v>
      </c>
      <c r="AA1080" t="s">
        <v>155</v>
      </c>
      <c r="AB1080" t="s">
        <v>131</v>
      </c>
      <c r="AC1080" t="s">
        <v>51</v>
      </c>
      <c r="AD1080" t="s">
        <v>45</v>
      </c>
      <c r="AE1080" s="1">
        <v>31069</v>
      </c>
      <c r="AF1080">
        <v>1</v>
      </c>
      <c r="AG1080" t="s">
        <v>155</v>
      </c>
      <c r="AH1080" s="36">
        <f t="shared" si="16"/>
        <v>34.411111111111111</v>
      </c>
      <c r="AI1080" s="40" t="s">
        <v>1778</v>
      </c>
    </row>
    <row r="1081" spans="1:35" x14ac:dyDescent="0.25">
      <c r="A1081" s="36">
        <v>99911079</v>
      </c>
      <c r="B1081" s="17" t="s">
        <v>32</v>
      </c>
      <c r="C1081" t="s">
        <v>111</v>
      </c>
      <c r="D1081" t="s">
        <v>112</v>
      </c>
      <c r="G1081" s="17" t="s">
        <v>35</v>
      </c>
      <c r="H1081" s="17">
        <v>1</v>
      </c>
      <c r="K1081" t="s">
        <v>154</v>
      </c>
      <c r="L1081" t="s">
        <v>155</v>
      </c>
      <c r="M1081" t="s">
        <v>131</v>
      </c>
      <c r="N1081">
        <v>24</v>
      </c>
      <c r="O1081" t="s">
        <v>40</v>
      </c>
      <c r="P1081" t="s">
        <v>40</v>
      </c>
      <c r="Q1081" t="s">
        <v>40</v>
      </c>
      <c r="S1081" t="s">
        <v>40</v>
      </c>
      <c r="V1081" t="s">
        <v>41</v>
      </c>
      <c r="W1081" t="s">
        <v>75</v>
      </c>
      <c r="X1081" t="str">
        <f>"7700026"</f>
        <v>7700026</v>
      </c>
      <c r="Y1081" t="s">
        <v>397</v>
      </c>
      <c r="Z1081" t="s">
        <v>154</v>
      </c>
      <c r="AA1081" t="s">
        <v>155</v>
      </c>
      <c r="AB1081" t="s">
        <v>131</v>
      </c>
      <c r="AC1081" t="s">
        <v>51</v>
      </c>
      <c r="AD1081" t="s">
        <v>45</v>
      </c>
      <c r="AE1081" s="1">
        <v>31069</v>
      </c>
      <c r="AF1081">
        <v>1</v>
      </c>
      <c r="AG1081" t="s">
        <v>155</v>
      </c>
      <c r="AH1081" s="36">
        <f t="shared" si="16"/>
        <v>34.411111111111111</v>
      </c>
      <c r="AI1081" s="40" t="s">
        <v>1778</v>
      </c>
    </row>
    <row r="1082" spans="1:35" x14ac:dyDescent="0.25">
      <c r="A1082" s="36">
        <v>99911080</v>
      </c>
      <c r="B1082" s="17" t="s">
        <v>32</v>
      </c>
      <c r="C1082" t="s">
        <v>90</v>
      </c>
      <c r="D1082" t="s">
        <v>91</v>
      </c>
      <c r="G1082" s="17" t="s">
        <v>35</v>
      </c>
      <c r="H1082" s="17">
        <v>1</v>
      </c>
      <c r="K1082" t="s">
        <v>268</v>
      </c>
      <c r="L1082" t="s">
        <v>269</v>
      </c>
      <c r="M1082" t="s">
        <v>131</v>
      </c>
      <c r="N1082">
        <v>24</v>
      </c>
      <c r="O1082" t="s">
        <v>40</v>
      </c>
      <c r="P1082" t="s">
        <v>40</v>
      </c>
      <c r="Q1082" t="s">
        <v>40</v>
      </c>
      <c r="S1082" t="s">
        <v>40</v>
      </c>
      <c r="V1082" t="s">
        <v>41</v>
      </c>
      <c r="W1082" t="s">
        <v>95</v>
      </c>
      <c r="X1082" t="str">
        <f>"7052051"</f>
        <v>7052051</v>
      </c>
      <c r="Y1082" t="s">
        <v>632</v>
      </c>
      <c r="Z1082" t="s">
        <v>268</v>
      </c>
      <c r="AA1082" t="s">
        <v>269</v>
      </c>
      <c r="AB1082" t="s">
        <v>131</v>
      </c>
      <c r="AC1082" t="s">
        <v>51</v>
      </c>
      <c r="AD1082" t="s">
        <v>45</v>
      </c>
      <c r="AE1082" s="1">
        <v>31068</v>
      </c>
      <c r="AF1082">
        <v>1</v>
      </c>
      <c r="AG1082" t="s">
        <v>269</v>
      </c>
      <c r="AH1082" s="36">
        <f t="shared" si="16"/>
        <v>34.413888888888891</v>
      </c>
      <c r="AI1082" s="40" t="s">
        <v>1778</v>
      </c>
    </row>
    <row r="1083" spans="1:35" x14ac:dyDescent="0.25">
      <c r="A1083" s="36">
        <v>99911081</v>
      </c>
      <c r="B1083" s="17" t="s">
        <v>32</v>
      </c>
      <c r="C1083" t="s">
        <v>90</v>
      </c>
      <c r="D1083" t="s">
        <v>91</v>
      </c>
      <c r="G1083" s="17" t="s">
        <v>35</v>
      </c>
      <c r="H1083" s="17">
        <v>1</v>
      </c>
      <c r="I1083">
        <v>4110</v>
      </c>
      <c r="J1083" s="1">
        <v>43344</v>
      </c>
      <c r="K1083" t="s">
        <v>268</v>
      </c>
      <c r="L1083" t="s">
        <v>269</v>
      </c>
      <c r="M1083" t="s">
        <v>131</v>
      </c>
      <c r="N1083">
        <v>30</v>
      </c>
      <c r="O1083" t="s">
        <v>40</v>
      </c>
      <c r="S1083" t="s">
        <v>40</v>
      </c>
      <c r="V1083" t="s">
        <v>41</v>
      </c>
      <c r="W1083" t="s">
        <v>95</v>
      </c>
      <c r="X1083" t="str">
        <f>"7052023"</f>
        <v>7052023</v>
      </c>
      <c r="Y1083" t="s">
        <v>644</v>
      </c>
      <c r="Z1083" t="s">
        <v>268</v>
      </c>
      <c r="AA1083" t="s">
        <v>269</v>
      </c>
      <c r="AB1083" t="s">
        <v>131</v>
      </c>
      <c r="AC1083" t="s">
        <v>51</v>
      </c>
      <c r="AD1083" t="s">
        <v>45</v>
      </c>
      <c r="AE1083" s="1">
        <v>31068</v>
      </c>
      <c r="AF1083">
        <v>1</v>
      </c>
      <c r="AG1083" t="s">
        <v>269</v>
      </c>
      <c r="AH1083" s="36">
        <f t="shared" si="16"/>
        <v>34.413888888888891</v>
      </c>
      <c r="AI1083" s="40" t="s">
        <v>1778</v>
      </c>
    </row>
    <row r="1084" spans="1:35" x14ac:dyDescent="0.25">
      <c r="A1084" s="36">
        <v>99911082</v>
      </c>
      <c r="B1084" s="17" t="s">
        <v>56</v>
      </c>
      <c r="C1084" t="s">
        <v>68</v>
      </c>
      <c r="D1084" t="s">
        <v>69</v>
      </c>
      <c r="G1084" s="17" t="s">
        <v>48</v>
      </c>
      <c r="H1084" s="17">
        <v>1</v>
      </c>
      <c r="K1084" t="s">
        <v>1268</v>
      </c>
      <c r="L1084" t="s">
        <v>1269</v>
      </c>
      <c r="M1084" t="s">
        <v>1270</v>
      </c>
      <c r="N1084">
        <v>30</v>
      </c>
      <c r="O1084" t="s">
        <v>40</v>
      </c>
      <c r="P1084" t="s">
        <v>40</v>
      </c>
      <c r="Q1084" t="s">
        <v>40</v>
      </c>
      <c r="S1084" t="s">
        <v>40</v>
      </c>
      <c r="V1084" t="s">
        <v>41</v>
      </c>
      <c r="W1084" t="s">
        <v>42</v>
      </c>
      <c r="X1084" t="str">
        <f>"1980050"</f>
        <v>1980050</v>
      </c>
      <c r="Y1084" t="s">
        <v>1278</v>
      </c>
      <c r="Z1084" t="s">
        <v>1268</v>
      </c>
      <c r="AA1084" t="s">
        <v>1269</v>
      </c>
      <c r="AB1084" t="s">
        <v>1270</v>
      </c>
      <c r="AC1084" t="s">
        <v>51</v>
      </c>
      <c r="AD1084" t="s">
        <v>45</v>
      </c>
      <c r="AE1084" s="1">
        <v>31067</v>
      </c>
      <c r="AF1084">
        <v>2</v>
      </c>
      <c r="AG1084" t="s">
        <v>1269</v>
      </c>
      <c r="AH1084" s="36">
        <f t="shared" si="16"/>
        <v>34.416666666666664</v>
      </c>
      <c r="AI1084" s="40" t="s">
        <v>1778</v>
      </c>
    </row>
    <row r="1085" spans="1:35" x14ac:dyDescent="0.25">
      <c r="A1085" s="36">
        <v>99911083</v>
      </c>
      <c r="B1085" s="17" t="s">
        <v>32</v>
      </c>
      <c r="C1085" t="s">
        <v>111</v>
      </c>
      <c r="D1085" t="s">
        <v>112</v>
      </c>
      <c r="G1085" s="17" t="s">
        <v>35</v>
      </c>
      <c r="H1085" s="17">
        <v>1</v>
      </c>
      <c r="K1085" t="s">
        <v>877</v>
      </c>
      <c r="L1085" t="s">
        <v>878</v>
      </c>
      <c r="M1085" t="s">
        <v>131</v>
      </c>
      <c r="N1085">
        <v>24</v>
      </c>
      <c r="O1085" t="s">
        <v>40</v>
      </c>
      <c r="P1085" t="s">
        <v>40</v>
      </c>
      <c r="Q1085" t="s">
        <v>40</v>
      </c>
      <c r="S1085" t="s">
        <v>40</v>
      </c>
      <c r="V1085" t="s">
        <v>41</v>
      </c>
      <c r="W1085" t="s">
        <v>75</v>
      </c>
      <c r="X1085" t="str">
        <f>"7700025"</f>
        <v>7700025</v>
      </c>
      <c r="Y1085" t="s">
        <v>880</v>
      </c>
      <c r="Z1085" t="s">
        <v>877</v>
      </c>
      <c r="AA1085" t="s">
        <v>878</v>
      </c>
      <c r="AB1085" t="s">
        <v>131</v>
      </c>
      <c r="AC1085" t="s">
        <v>51</v>
      </c>
      <c r="AD1085" t="s">
        <v>45</v>
      </c>
      <c r="AE1085" s="1">
        <v>31063</v>
      </c>
      <c r="AF1085">
        <v>1</v>
      </c>
      <c r="AG1085" t="s">
        <v>878</v>
      </c>
      <c r="AH1085" s="36">
        <f t="shared" si="16"/>
        <v>34.427777777777777</v>
      </c>
      <c r="AI1085" s="40" t="s">
        <v>1778</v>
      </c>
    </row>
    <row r="1086" spans="1:35" x14ac:dyDescent="0.25">
      <c r="A1086" s="36">
        <v>99911084</v>
      </c>
      <c r="B1086" s="17" t="s">
        <v>32</v>
      </c>
      <c r="C1086" t="s">
        <v>46</v>
      </c>
      <c r="D1086" t="s">
        <v>47</v>
      </c>
      <c r="G1086" s="17" t="s">
        <v>48</v>
      </c>
      <c r="H1086" s="17">
        <v>1</v>
      </c>
      <c r="K1086" t="s">
        <v>380</v>
      </c>
      <c r="L1086" t="s">
        <v>381</v>
      </c>
      <c r="M1086" t="s">
        <v>131</v>
      </c>
      <c r="N1086">
        <v>12</v>
      </c>
      <c r="O1086" t="s">
        <v>40</v>
      </c>
      <c r="P1086" t="s">
        <v>40</v>
      </c>
      <c r="Q1086" t="s">
        <v>40</v>
      </c>
      <c r="S1086" t="s">
        <v>40</v>
      </c>
      <c r="V1086" t="s">
        <v>41</v>
      </c>
      <c r="W1086" t="s">
        <v>49</v>
      </c>
      <c r="X1086" t="str">
        <f>"0580552"</f>
        <v>0580552</v>
      </c>
      <c r="Y1086" t="s">
        <v>386</v>
      </c>
      <c r="Z1086" t="s">
        <v>380</v>
      </c>
      <c r="AA1086" t="s">
        <v>381</v>
      </c>
      <c r="AB1086" t="s">
        <v>131</v>
      </c>
      <c r="AC1086" t="s">
        <v>44</v>
      </c>
      <c r="AD1086" t="s">
        <v>45</v>
      </c>
      <c r="AE1086" s="1">
        <v>31062</v>
      </c>
      <c r="AF1086">
        <v>2</v>
      </c>
      <c r="AG1086" t="s">
        <v>381</v>
      </c>
      <c r="AH1086" s="36">
        <f t="shared" si="16"/>
        <v>34.430555555555557</v>
      </c>
      <c r="AI1086" s="40" t="s">
        <v>1778</v>
      </c>
    </row>
    <row r="1087" spans="1:35" x14ac:dyDescent="0.25">
      <c r="A1087" s="36">
        <v>99911085</v>
      </c>
      <c r="B1087" s="17" t="s">
        <v>32</v>
      </c>
      <c r="C1087" t="s">
        <v>90</v>
      </c>
      <c r="D1087" t="s">
        <v>91</v>
      </c>
      <c r="G1087" s="17" t="s">
        <v>48</v>
      </c>
      <c r="H1087" s="17">
        <v>1</v>
      </c>
      <c r="K1087" t="s">
        <v>431</v>
      </c>
      <c r="L1087" t="s">
        <v>196</v>
      </c>
      <c r="M1087" t="s">
        <v>131</v>
      </c>
      <c r="N1087">
        <v>24</v>
      </c>
      <c r="O1087" t="s">
        <v>40</v>
      </c>
      <c r="P1087" t="s">
        <v>40</v>
      </c>
      <c r="Q1087" t="s">
        <v>40</v>
      </c>
      <c r="S1087" t="s">
        <v>40</v>
      </c>
      <c r="V1087" t="s">
        <v>41</v>
      </c>
      <c r="W1087" t="s">
        <v>95</v>
      </c>
      <c r="X1087" t="str">
        <f>"7521015"</f>
        <v>7521015</v>
      </c>
      <c r="Y1087" t="s">
        <v>527</v>
      </c>
      <c r="Z1087" t="s">
        <v>431</v>
      </c>
      <c r="AA1087" t="s">
        <v>196</v>
      </c>
      <c r="AB1087" t="s">
        <v>131</v>
      </c>
      <c r="AC1087" t="s">
        <v>51</v>
      </c>
      <c r="AD1087" t="s">
        <v>45</v>
      </c>
      <c r="AE1087" s="1">
        <v>31060</v>
      </c>
      <c r="AF1087">
        <v>1</v>
      </c>
      <c r="AG1087" t="s">
        <v>196</v>
      </c>
      <c r="AH1087" s="36">
        <f t="shared" si="16"/>
        <v>34.43611111111111</v>
      </c>
      <c r="AI1087" s="40" t="s">
        <v>1778</v>
      </c>
    </row>
    <row r="1088" spans="1:35" x14ac:dyDescent="0.25">
      <c r="A1088" s="36">
        <v>99911086</v>
      </c>
      <c r="B1088" s="17" t="s">
        <v>32</v>
      </c>
      <c r="C1088" t="s">
        <v>46</v>
      </c>
      <c r="D1088" t="s">
        <v>47</v>
      </c>
      <c r="G1088" s="17" t="s">
        <v>35</v>
      </c>
      <c r="H1088" s="17">
        <v>1</v>
      </c>
      <c r="I1088">
        <v>21384</v>
      </c>
      <c r="J1088" s="1">
        <v>43344</v>
      </c>
      <c r="K1088" t="s">
        <v>380</v>
      </c>
      <c r="L1088" t="s">
        <v>381</v>
      </c>
      <c r="M1088" t="s">
        <v>131</v>
      </c>
      <c r="N1088">
        <v>12</v>
      </c>
      <c r="O1088" t="s">
        <v>40</v>
      </c>
      <c r="P1088" t="s">
        <v>40</v>
      </c>
      <c r="Q1088" t="s">
        <v>40</v>
      </c>
      <c r="S1088" t="s">
        <v>40</v>
      </c>
      <c r="U1088" s="1">
        <v>43344</v>
      </c>
      <c r="V1088" t="s">
        <v>41</v>
      </c>
      <c r="W1088" t="s">
        <v>42</v>
      </c>
      <c r="X1088" t="str">
        <f>"0561010"</f>
        <v>0561010</v>
      </c>
      <c r="Y1088" t="s">
        <v>387</v>
      </c>
      <c r="Z1088" t="s">
        <v>380</v>
      </c>
      <c r="AA1088" t="s">
        <v>381</v>
      </c>
      <c r="AB1088" t="s">
        <v>131</v>
      </c>
      <c r="AC1088" t="s">
        <v>44</v>
      </c>
      <c r="AD1088" t="s">
        <v>45</v>
      </c>
      <c r="AE1088" s="1">
        <v>31059</v>
      </c>
      <c r="AF1088">
        <v>2</v>
      </c>
      <c r="AG1088" t="s">
        <v>381</v>
      </c>
      <c r="AH1088" s="36">
        <f t="shared" si="16"/>
        <v>34.43888888888889</v>
      </c>
      <c r="AI1088" s="40" t="s">
        <v>1778</v>
      </c>
    </row>
    <row r="1089" spans="1:35" x14ac:dyDescent="0.25">
      <c r="A1089" s="36">
        <v>99911087</v>
      </c>
      <c r="B1089" s="17" t="s">
        <v>56</v>
      </c>
      <c r="C1089" t="s">
        <v>111</v>
      </c>
      <c r="D1089" t="s">
        <v>112</v>
      </c>
      <c r="G1089" s="17" t="s">
        <v>48</v>
      </c>
      <c r="H1089" s="17">
        <v>1</v>
      </c>
      <c r="K1089" t="s">
        <v>1564</v>
      </c>
      <c r="L1089" t="s">
        <v>1565</v>
      </c>
      <c r="M1089" t="s">
        <v>1548</v>
      </c>
      <c r="N1089">
        <v>24</v>
      </c>
      <c r="O1089" t="s">
        <v>40</v>
      </c>
      <c r="P1089" t="s">
        <v>40</v>
      </c>
      <c r="Q1089" t="s">
        <v>40</v>
      </c>
      <c r="R1089" t="s">
        <v>40</v>
      </c>
      <c r="S1089" t="s">
        <v>40</v>
      </c>
      <c r="V1089" t="s">
        <v>41</v>
      </c>
      <c r="W1089" t="s">
        <v>75</v>
      </c>
      <c r="X1089" t="str">
        <f>"7101002"</f>
        <v>7101002</v>
      </c>
      <c r="Y1089" t="s">
        <v>1563</v>
      </c>
      <c r="Z1089" t="s">
        <v>1564</v>
      </c>
      <c r="AA1089" t="s">
        <v>1565</v>
      </c>
      <c r="AB1089" t="s">
        <v>1548</v>
      </c>
      <c r="AC1089" t="s">
        <v>51</v>
      </c>
      <c r="AD1089" t="s">
        <v>45</v>
      </c>
      <c r="AE1089" s="1">
        <v>31050</v>
      </c>
      <c r="AF1089">
        <v>1</v>
      </c>
      <c r="AG1089" t="s">
        <v>1565</v>
      </c>
      <c r="AH1089" s="36">
        <f t="shared" si="16"/>
        <v>34.463888888888889</v>
      </c>
      <c r="AI1089" s="40" t="s">
        <v>1778</v>
      </c>
    </row>
    <row r="1090" spans="1:35" x14ac:dyDescent="0.25">
      <c r="A1090" s="36">
        <v>99911088</v>
      </c>
      <c r="B1090" s="17" t="s">
        <v>32</v>
      </c>
      <c r="C1090" t="s">
        <v>79</v>
      </c>
      <c r="D1090" t="s">
        <v>80</v>
      </c>
      <c r="G1090" s="17" t="s">
        <v>35</v>
      </c>
      <c r="H1090" s="17">
        <v>1</v>
      </c>
      <c r="I1090" t="s">
        <v>510</v>
      </c>
      <c r="J1090" s="1">
        <v>42982</v>
      </c>
      <c r="K1090" t="s">
        <v>431</v>
      </c>
      <c r="L1090" t="s">
        <v>196</v>
      </c>
      <c r="M1090" t="s">
        <v>131</v>
      </c>
      <c r="N1090">
        <v>10</v>
      </c>
      <c r="O1090" t="s">
        <v>40</v>
      </c>
      <c r="S1090" t="s">
        <v>40</v>
      </c>
      <c r="U1090" s="1">
        <v>42982</v>
      </c>
      <c r="V1090" t="s">
        <v>41</v>
      </c>
      <c r="W1090" t="s">
        <v>95</v>
      </c>
      <c r="X1090" t="str">
        <f>"7521019"</f>
        <v>7521019</v>
      </c>
      <c r="Y1090" t="s">
        <v>511</v>
      </c>
      <c r="Z1090" t="s">
        <v>431</v>
      </c>
      <c r="AA1090" t="s">
        <v>196</v>
      </c>
      <c r="AB1090" t="s">
        <v>131</v>
      </c>
      <c r="AC1090" t="s">
        <v>44</v>
      </c>
      <c r="AD1090" t="s">
        <v>45</v>
      </c>
      <c r="AE1090" s="1">
        <v>31048</v>
      </c>
      <c r="AF1090">
        <v>1</v>
      </c>
      <c r="AG1090" t="s">
        <v>196</v>
      </c>
      <c r="AH1090" s="36">
        <f t="shared" ref="AH1090:AH1153" si="17">($AJ$1-AE1090)/360</f>
        <v>34.469444444444441</v>
      </c>
      <c r="AI1090" s="40" t="s">
        <v>1778</v>
      </c>
    </row>
    <row r="1091" spans="1:35" x14ac:dyDescent="0.25">
      <c r="A1091" s="36">
        <v>99911089</v>
      </c>
      <c r="B1091" s="17" t="s">
        <v>32</v>
      </c>
      <c r="C1091" t="s">
        <v>111</v>
      </c>
      <c r="D1091" t="s">
        <v>112</v>
      </c>
      <c r="G1091" s="17" t="s">
        <v>35</v>
      </c>
      <c r="H1091" s="17">
        <v>7</v>
      </c>
      <c r="I1091" t="s">
        <v>736</v>
      </c>
      <c r="J1091" s="1">
        <v>43344</v>
      </c>
      <c r="K1091" t="s">
        <v>268</v>
      </c>
      <c r="L1091" t="s">
        <v>269</v>
      </c>
      <c r="M1091" t="s">
        <v>131</v>
      </c>
      <c r="N1091">
        <v>23</v>
      </c>
      <c r="O1091" t="s">
        <v>40</v>
      </c>
      <c r="P1091" t="s">
        <v>40</v>
      </c>
      <c r="Q1091" t="s">
        <v>40</v>
      </c>
      <c r="R1091" t="s">
        <v>40</v>
      </c>
      <c r="S1091" t="s">
        <v>40</v>
      </c>
      <c r="U1091" s="1">
        <v>43344</v>
      </c>
      <c r="V1091" t="s">
        <v>41</v>
      </c>
      <c r="W1091" t="s">
        <v>75</v>
      </c>
      <c r="X1091" t="str">
        <f>"7052006"</f>
        <v>7052006</v>
      </c>
      <c r="Y1091" t="s">
        <v>575</v>
      </c>
      <c r="Z1091" t="s">
        <v>268</v>
      </c>
      <c r="AA1091" t="s">
        <v>269</v>
      </c>
      <c r="AB1091" t="s">
        <v>131</v>
      </c>
      <c r="AC1091" t="s">
        <v>51</v>
      </c>
      <c r="AD1091" t="s">
        <v>45</v>
      </c>
      <c r="AE1091" s="1">
        <v>31048</v>
      </c>
      <c r="AF1091">
        <v>1</v>
      </c>
      <c r="AG1091" t="s">
        <v>269</v>
      </c>
      <c r="AH1091" s="36">
        <f t="shared" si="17"/>
        <v>34.469444444444441</v>
      </c>
      <c r="AI1091" s="40" t="s">
        <v>1778</v>
      </c>
    </row>
    <row r="1092" spans="1:35" x14ac:dyDescent="0.25">
      <c r="A1092" s="36">
        <v>99911090</v>
      </c>
      <c r="B1092" s="17" t="s">
        <v>32</v>
      </c>
      <c r="C1092" t="s">
        <v>111</v>
      </c>
      <c r="D1092" t="s">
        <v>112</v>
      </c>
      <c r="G1092" s="17" t="s">
        <v>35</v>
      </c>
      <c r="H1092" s="17">
        <v>1</v>
      </c>
      <c r="I1092" t="s">
        <v>807</v>
      </c>
      <c r="J1092" s="1">
        <v>43344</v>
      </c>
      <c r="K1092" t="s">
        <v>354</v>
      </c>
      <c r="L1092" t="s">
        <v>355</v>
      </c>
      <c r="M1092" t="s">
        <v>131</v>
      </c>
      <c r="N1092">
        <v>24</v>
      </c>
      <c r="O1092" t="s">
        <v>40</v>
      </c>
      <c r="P1092" t="s">
        <v>40</v>
      </c>
      <c r="Q1092" t="s">
        <v>40</v>
      </c>
      <c r="R1092" t="s">
        <v>40</v>
      </c>
      <c r="S1092" t="s">
        <v>40</v>
      </c>
      <c r="U1092" s="1">
        <v>43344</v>
      </c>
      <c r="V1092" t="s">
        <v>41</v>
      </c>
      <c r="W1092" t="s">
        <v>75</v>
      </c>
      <c r="X1092" t="str">
        <f>"7054042"</f>
        <v>7054042</v>
      </c>
      <c r="Y1092" t="s">
        <v>776</v>
      </c>
      <c r="Z1092" t="s">
        <v>354</v>
      </c>
      <c r="AA1092" t="s">
        <v>355</v>
      </c>
      <c r="AB1092" t="s">
        <v>131</v>
      </c>
      <c r="AC1092" t="s">
        <v>51</v>
      </c>
      <c r="AD1092" t="s">
        <v>45</v>
      </c>
      <c r="AE1092" s="1">
        <v>31048</v>
      </c>
      <c r="AF1092">
        <v>1</v>
      </c>
      <c r="AG1092" t="s">
        <v>355</v>
      </c>
      <c r="AH1092" s="36">
        <f t="shared" si="17"/>
        <v>34.469444444444441</v>
      </c>
      <c r="AI1092" s="40" t="s">
        <v>1778</v>
      </c>
    </row>
    <row r="1093" spans="1:35" x14ac:dyDescent="0.25">
      <c r="A1093" s="36">
        <v>99911091</v>
      </c>
      <c r="B1093" s="17" t="s">
        <v>32</v>
      </c>
      <c r="C1093" t="s">
        <v>111</v>
      </c>
      <c r="D1093" t="s">
        <v>112</v>
      </c>
      <c r="G1093" s="17" t="s">
        <v>48</v>
      </c>
      <c r="H1093" s="17">
        <v>5</v>
      </c>
      <c r="J1093" s="1">
        <v>43344</v>
      </c>
      <c r="K1093" t="s">
        <v>354</v>
      </c>
      <c r="L1093" t="s">
        <v>355</v>
      </c>
      <c r="M1093" t="s">
        <v>131</v>
      </c>
      <c r="N1093">
        <v>24</v>
      </c>
      <c r="O1093" t="s">
        <v>40</v>
      </c>
      <c r="P1093" t="s">
        <v>40</v>
      </c>
      <c r="Q1093" t="s">
        <v>40</v>
      </c>
      <c r="R1093" t="s">
        <v>40</v>
      </c>
      <c r="S1093" t="s">
        <v>40</v>
      </c>
      <c r="U1093" s="1">
        <v>43344</v>
      </c>
      <c r="V1093" t="s">
        <v>41</v>
      </c>
      <c r="W1093" t="s">
        <v>75</v>
      </c>
      <c r="X1093" t="str">
        <f>"7054022"</f>
        <v>7054022</v>
      </c>
      <c r="Y1093" t="s">
        <v>770</v>
      </c>
      <c r="Z1093" t="s">
        <v>354</v>
      </c>
      <c r="AA1093" t="s">
        <v>355</v>
      </c>
      <c r="AB1093" t="s">
        <v>131</v>
      </c>
      <c r="AC1093" t="s">
        <v>51</v>
      </c>
      <c r="AD1093" t="s">
        <v>45</v>
      </c>
      <c r="AE1093" s="1">
        <v>31048</v>
      </c>
      <c r="AF1093">
        <v>1</v>
      </c>
      <c r="AG1093" t="s">
        <v>355</v>
      </c>
      <c r="AH1093" s="36">
        <f t="shared" si="17"/>
        <v>34.469444444444441</v>
      </c>
      <c r="AI1093" s="40" t="s">
        <v>1778</v>
      </c>
    </row>
    <row r="1094" spans="1:35" x14ac:dyDescent="0.25">
      <c r="A1094" s="36">
        <v>99911092</v>
      </c>
      <c r="B1094" s="17" t="s">
        <v>32</v>
      </c>
      <c r="C1094" t="s">
        <v>64</v>
      </c>
      <c r="D1094" t="s">
        <v>65</v>
      </c>
      <c r="G1094" s="17" t="s">
        <v>35</v>
      </c>
      <c r="H1094" s="17">
        <v>3</v>
      </c>
      <c r="K1094" t="s">
        <v>985</v>
      </c>
      <c r="L1094" t="s">
        <v>986</v>
      </c>
      <c r="M1094" t="s">
        <v>938</v>
      </c>
      <c r="N1094">
        <v>24</v>
      </c>
      <c r="O1094" t="s">
        <v>40</v>
      </c>
      <c r="P1094" t="s">
        <v>40</v>
      </c>
      <c r="Q1094" t="s">
        <v>40</v>
      </c>
      <c r="R1094" t="s">
        <v>40</v>
      </c>
      <c r="S1094" t="s">
        <v>40</v>
      </c>
      <c r="V1094" t="s">
        <v>41</v>
      </c>
      <c r="W1094" t="s">
        <v>75</v>
      </c>
      <c r="X1094" t="str">
        <f>"7011004"</f>
        <v>7011004</v>
      </c>
      <c r="Y1094" t="s">
        <v>987</v>
      </c>
      <c r="Z1094" t="s">
        <v>985</v>
      </c>
      <c r="AA1094" t="s">
        <v>986</v>
      </c>
      <c r="AB1094" t="s">
        <v>938</v>
      </c>
      <c r="AC1094" t="s">
        <v>51</v>
      </c>
      <c r="AD1094" t="s">
        <v>45</v>
      </c>
      <c r="AE1094" s="1">
        <v>31048</v>
      </c>
      <c r="AF1094">
        <v>1</v>
      </c>
      <c r="AG1094" t="s">
        <v>986</v>
      </c>
      <c r="AH1094" s="36">
        <f t="shared" si="17"/>
        <v>34.469444444444441</v>
      </c>
      <c r="AI1094" s="40" t="s">
        <v>1778</v>
      </c>
    </row>
    <row r="1095" spans="1:35" x14ac:dyDescent="0.25">
      <c r="A1095" s="36">
        <v>99911093</v>
      </c>
      <c r="B1095" s="17" t="s">
        <v>32</v>
      </c>
      <c r="C1095" t="s">
        <v>111</v>
      </c>
      <c r="D1095" t="s">
        <v>112</v>
      </c>
      <c r="G1095" s="17" t="s">
        <v>35</v>
      </c>
      <c r="H1095" s="17">
        <v>1</v>
      </c>
      <c r="I1095">
        <v>1</v>
      </c>
      <c r="J1095" s="1">
        <v>43344</v>
      </c>
      <c r="K1095" t="s">
        <v>1198</v>
      </c>
      <c r="L1095" t="s">
        <v>1199</v>
      </c>
      <c r="M1095" t="s">
        <v>1130</v>
      </c>
      <c r="N1095">
        <v>24</v>
      </c>
      <c r="O1095" t="s">
        <v>40</v>
      </c>
      <c r="P1095" t="s">
        <v>40</v>
      </c>
      <c r="Q1095" t="s">
        <v>40</v>
      </c>
      <c r="R1095" t="s">
        <v>40</v>
      </c>
      <c r="S1095" t="s">
        <v>40</v>
      </c>
      <c r="U1095" s="1">
        <v>43344</v>
      </c>
      <c r="V1095" t="s">
        <v>41</v>
      </c>
      <c r="W1095" t="s">
        <v>75</v>
      </c>
      <c r="X1095" t="str">
        <f>"7311010"</f>
        <v>7311010</v>
      </c>
      <c r="Y1095" t="s">
        <v>1202</v>
      </c>
      <c r="Z1095" t="s">
        <v>1198</v>
      </c>
      <c r="AA1095" t="s">
        <v>1199</v>
      </c>
      <c r="AB1095" t="s">
        <v>1130</v>
      </c>
      <c r="AC1095" t="s">
        <v>51</v>
      </c>
      <c r="AD1095" t="s">
        <v>45</v>
      </c>
      <c r="AE1095" s="1">
        <v>31048</v>
      </c>
      <c r="AF1095">
        <v>1</v>
      </c>
      <c r="AG1095" t="s">
        <v>1199</v>
      </c>
      <c r="AH1095" s="36">
        <f t="shared" si="17"/>
        <v>34.469444444444441</v>
      </c>
      <c r="AI1095" s="40" t="s">
        <v>1778</v>
      </c>
    </row>
    <row r="1096" spans="1:35" x14ac:dyDescent="0.25">
      <c r="A1096" s="36">
        <v>99911094</v>
      </c>
      <c r="B1096" s="17" t="s">
        <v>32</v>
      </c>
      <c r="C1096" t="s">
        <v>597</v>
      </c>
      <c r="D1096" t="s">
        <v>598</v>
      </c>
      <c r="G1096" s="17" t="s">
        <v>48</v>
      </c>
      <c r="H1096" s="17">
        <v>5</v>
      </c>
      <c r="K1096" t="s">
        <v>1221</v>
      </c>
      <c r="L1096" t="s">
        <v>1222</v>
      </c>
      <c r="M1096" t="s">
        <v>1130</v>
      </c>
      <c r="N1096">
        <v>23</v>
      </c>
      <c r="O1096" t="s">
        <v>40</v>
      </c>
      <c r="P1096" t="s">
        <v>40</v>
      </c>
      <c r="Q1096" t="s">
        <v>40</v>
      </c>
      <c r="R1096" t="s">
        <v>40</v>
      </c>
      <c r="S1096" t="s">
        <v>40</v>
      </c>
      <c r="V1096" t="s">
        <v>41</v>
      </c>
      <c r="W1096" t="s">
        <v>75</v>
      </c>
      <c r="X1096" t="str">
        <f>"7351000"</f>
        <v>7351000</v>
      </c>
      <c r="Y1096" t="s">
        <v>1223</v>
      </c>
      <c r="Z1096" t="s">
        <v>1221</v>
      </c>
      <c r="AA1096" t="s">
        <v>1222</v>
      </c>
      <c r="AB1096" t="s">
        <v>1130</v>
      </c>
      <c r="AC1096" t="s">
        <v>51</v>
      </c>
      <c r="AD1096" t="s">
        <v>45</v>
      </c>
      <c r="AE1096" s="1">
        <v>31048</v>
      </c>
      <c r="AF1096">
        <v>1</v>
      </c>
      <c r="AG1096" t="s">
        <v>1222</v>
      </c>
      <c r="AH1096" s="36">
        <f t="shared" si="17"/>
        <v>34.469444444444441</v>
      </c>
      <c r="AI1096" s="40" t="s">
        <v>1778</v>
      </c>
    </row>
    <row r="1097" spans="1:35" x14ac:dyDescent="0.25">
      <c r="A1097" s="36">
        <v>99911095</v>
      </c>
      <c r="B1097" s="17" t="s">
        <v>32</v>
      </c>
      <c r="C1097" t="s">
        <v>61</v>
      </c>
      <c r="D1097" t="s">
        <v>62</v>
      </c>
      <c r="G1097" s="17" t="s">
        <v>48</v>
      </c>
      <c r="H1097" s="17">
        <v>3</v>
      </c>
      <c r="K1097" t="s">
        <v>1268</v>
      </c>
      <c r="L1097" t="s">
        <v>1269</v>
      </c>
      <c r="M1097" t="s">
        <v>1270</v>
      </c>
      <c r="N1097">
        <v>23</v>
      </c>
      <c r="O1097" t="s">
        <v>40</v>
      </c>
      <c r="P1097" t="s">
        <v>40</v>
      </c>
      <c r="Q1097" t="s">
        <v>40</v>
      </c>
      <c r="R1097" t="s">
        <v>40</v>
      </c>
      <c r="S1097" t="s">
        <v>40</v>
      </c>
      <c r="U1097" s="1">
        <v>43344</v>
      </c>
      <c r="V1097" t="s">
        <v>41</v>
      </c>
      <c r="W1097" t="s">
        <v>42</v>
      </c>
      <c r="X1097" t="str">
        <f>"1980060"</f>
        <v>1980060</v>
      </c>
      <c r="Y1097" t="s">
        <v>1277</v>
      </c>
      <c r="Z1097" t="s">
        <v>1268</v>
      </c>
      <c r="AA1097" t="s">
        <v>1269</v>
      </c>
      <c r="AB1097" t="s">
        <v>1270</v>
      </c>
      <c r="AC1097" t="s">
        <v>51</v>
      </c>
      <c r="AD1097" t="s">
        <v>45</v>
      </c>
      <c r="AE1097" s="1">
        <v>31048</v>
      </c>
      <c r="AF1097">
        <v>2</v>
      </c>
      <c r="AG1097" t="s">
        <v>1269</v>
      </c>
      <c r="AH1097" s="36">
        <f t="shared" si="17"/>
        <v>34.469444444444441</v>
      </c>
      <c r="AI1097" s="40" t="s">
        <v>1778</v>
      </c>
    </row>
    <row r="1098" spans="1:35" x14ac:dyDescent="0.25">
      <c r="A1098" s="36">
        <v>99911096</v>
      </c>
      <c r="B1098" s="17" t="s">
        <v>32</v>
      </c>
      <c r="C1098" t="s">
        <v>71</v>
      </c>
      <c r="D1098" t="s">
        <v>72</v>
      </c>
      <c r="G1098" s="17" t="s">
        <v>48</v>
      </c>
      <c r="H1098" s="17">
        <v>1</v>
      </c>
      <c r="K1098" t="s">
        <v>667</v>
      </c>
      <c r="L1098" t="s">
        <v>669</v>
      </c>
      <c r="M1098" t="s">
        <v>670</v>
      </c>
      <c r="N1098">
        <v>20</v>
      </c>
      <c r="O1098" t="s">
        <v>40</v>
      </c>
      <c r="P1098" t="s">
        <v>40</v>
      </c>
      <c r="Q1098" t="s">
        <v>40</v>
      </c>
      <c r="R1098" t="s">
        <v>40</v>
      </c>
      <c r="S1098" t="s">
        <v>40</v>
      </c>
      <c r="V1098" t="s">
        <v>41</v>
      </c>
      <c r="W1098" t="s">
        <v>75</v>
      </c>
      <c r="X1098" t="str">
        <f>"7501000"</f>
        <v>7501000</v>
      </c>
      <c r="Y1098" t="s">
        <v>668</v>
      </c>
      <c r="Z1098" t="s">
        <v>667</v>
      </c>
      <c r="AA1098" t="s">
        <v>669</v>
      </c>
      <c r="AB1098" t="s">
        <v>670</v>
      </c>
      <c r="AC1098" t="s">
        <v>51</v>
      </c>
      <c r="AD1098" t="s">
        <v>45</v>
      </c>
      <c r="AE1098" s="1">
        <v>31048</v>
      </c>
      <c r="AF1098">
        <v>1</v>
      </c>
      <c r="AG1098" t="s">
        <v>669</v>
      </c>
      <c r="AH1098" s="36">
        <f t="shared" si="17"/>
        <v>34.469444444444441</v>
      </c>
      <c r="AI1098" s="40" t="s">
        <v>1778</v>
      </c>
    </row>
    <row r="1099" spans="1:35" x14ac:dyDescent="0.25">
      <c r="A1099" s="36">
        <v>99911097</v>
      </c>
      <c r="B1099" s="17" t="s">
        <v>32</v>
      </c>
      <c r="C1099" t="s">
        <v>64</v>
      </c>
      <c r="D1099" t="s">
        <v>65</v>
      </c>
      <c r="G1099" s="17" t="s">
        <v>48</v>
      </c>
      <c r="H1099" s="17">
        <v>1</v>
      </c>
      <c r="K1099" t="s">
        <v>1631</v>
      </c>
      <c r="L1099" t="s">
        <v>1632</v>
      </c>
      <c r="M1099" t="s">
        <v>1592</v>
      </c>
      <c r="N1099">
        <v>22</v>
      </c>
      <c r="O1099" t="s">
        <v>40</v>
      </c>
      <c r="P1099" t="s">
        <v>40</v>
      </c>
      <c r="Q1099" t="s">
        <v>40</v>
      </c>
      <c r="R1099" t="s">
        <v>40</v>
      </c>
      <c r="S1099" t="s">
        <v>40</v>
      </c>
      <c r="V1099" t="s">
        <v>41</v>
      </c>
      <c r="W1099" t="s">
        <v>75</v>
      </c>
      <c r="X1099" t="str">
        <f>"7021000"</f>
        <v>7021000</v>
      </c>
      <c r="Y1099" t="s">
        <v>1633</v>
      </c>
      <c r="Z1099" t="s">
        <v>1631</v>
      </c>
      <c r="AA1099" t="s">
        <v>1632</v>
      </c>
      <c r="AB1099" t="s">
        <v>1592</v>
      </c>
      <c r="AC1099" t="s">
        <v>51</v>
      </c>
      <c r="AD1099" t="s">
        <v>45</v>
      </c>
      <c r="AE1099" s="1">
        <v>31048</v>
      </c>
      <c r="AF1099">
        <v>1</v>
      </c>
      <c r="AG1099" t="s">
        <v>1632</v>
      </c>
      <c r="AH1099" s="36">
        <f t="shared" si="17"/>
        <v>34.469444444444441</v>
      </c>
      <c r="AI1099" s="40" t="s">
        <v>1778</v>
      </c>
    </row>
    <row r="1100" spans="1:35" x14ac:dyDescent="0.25">
      <c r="A1100" s="36">
        <v>99911098</v>
      </c>
      <c r="B1100" s="17" t="s">
        <v>56</v>
      </c>
      <c r="C1100" t="s">
        <v>61</v>
      </c>
      <c r="D1100" t="s">
        <v>62</v>
      </c>
      <c r="G1100" s="17" t="s">
        <v>35</v>
      </c>
      <c r="H1100" s="17">
        <v>1</v>
      </c>
      <c r="I1100" t="s">
        <v>1673</v>
      </c>
      <c r="J1100" s="1">
        <v>43344</v>
      </c>
      <c r="K1100" t="s">
        <v>1619</v>
      </c>
      <c r="L1100" t="s">
        <v>1620</v>
      </c>
      <c r="M1100" t="s">
        <v>1592</v>
      </c>
      <c r="N1100">
        <v>4</v>
      </c>
      <c r="O1100" t="s">
        <v>40</v>
      </c>
      <c r="P1100" t="s">
        <v>40</v>
      </c>
      <c r="Q1100" t="s">
        <v>40</v>
      </c>
      <c r="R1100" t="s">
        <v>40</v>
      </c>
      <c r="S1100" t="s">
        <v>40</v>
      </c>
      <c r="U1100" s="1">
        <v>43344</v>
      </c>
      <c r="V1100" t="s">
        <v>41</v>
      </c>
      <c r="W1100" t="s">
        <v>75</v>
      </c>
      <c r="X1100" t="str">
        <f>"7281002"</f>
        <v>7281002</v>
      </c>
      <c r="Y1100" t="s">
        <v>1660</v>
      </c>
      <c r="Z1100" t="s">
        <v>1619</v>
      </c>
      <c r="AA1100" t="s">
        <v>1620</v>
      </c>
      <c r="AB1100" t="s">
        <v>1592</v>
      </c>
      <c r="AC1100" t="s">
        <v>51</v>
      </c>
      <c r="AD1100" t="s">
        <v>45</v>
      </c>
      <c r="AE1100" s="1">
        <v>31048</v>
      </c>
      <c r="AF1100">
        <v>1</v>
      </c>
      <c r="AG1100" t="s">
        <v>1620</v>
      </c>
      <c r="AH1100" s="36">
        <f t="shared" si="17"/>
        <v>34.469444444444441</v>
      </c>
      <c r="AI1100" s="40" t="s">
        <v>1778</v>
      </c>
    </row>
    <row r="1101" spans="1:35" x14ac:dyDescent="0.25">
      <c r="A1101" s="36">
        <v>99911099</v>
      </c>
      <c r="B1101" s="17" t="s">
        <v>56</v>
      </c>
      <c r="C1101" t="s">
        <v>61</v>
      </c>
      <c r="D1101" t="s">
        <v>62</v>
      </c>
      <c r="G1101" s="17" t="s">
        <v>48</v>
      </c>
      <c r="H1101" s="17">
        <v>1</v>
      </c>
      <c r="K1101" t="s">
        <v>380</v>
      </c>
      <c r="L1101" t="s">
        <v>381</v>
      </c>
      <c r="M1101" t="s">
        <v>131</v>
      </c>
      <c r="N1101">
        <v>23</v>
      </c>
      <c r="O1101" t="s">
        <v>40</v>
      </c>
      <c r="P1101" t="s">
        <v>40</v>
      </c>
      <c r="Q1101" t="s">
        <v>40</v>
      </c>
      <c r="R1101" t="s">
        <v>40</v>
      </c>
      <c r="S1101" t="s">
        <v>40</v>
      </c>
      <c r="V1101" t="s">
        <v>41</v>
      </c>
      <c r="W1101" t="s">
        <v>42</v>
      </c>
      <c r="X1101" t="str">
        <f>"0590909"</f>
        <v>0590909</v>
      </c>
      <c r="Y1101" t="s">
        <v>388</v>
      </c>
      <c r="Z1101" t="s">
        <v>380</v>
      </c>
      <c r="AA1101" t="s">
        <v>381</v>
      </c>
      <c r="AB1101" t="s">
        <v>131</v>
      </c>
      <c r="AC1101" t="s">
        <v>51</v>
      </c>
      <c r="AD1101" t="s">
        <v>45</v>
      </c>
      <c r="AE1101" s="1">
        <v>31047</v>
      </c>
      <c r="AF1101">
        <v>2</v>
      </c>
      <c r="AG1101" t="s">
        <v>381</v>
      </c>
      <c r="AH1101" s="36">
        <f t="shared" si="17"/>
        <v>34.472222222222221</v>
      </c>
      <c r="AI1101" s="40" t="s">
        <v>1778</v>
      </c>
    </row>
    <row r="1102" spans="1:35" x14ac:dyDescent="0.25">
      <c r="A1102" s="36">
        <v>99911100</v>
      </c>
      <c r="B1102" s="17" t="s">
        <v>32</v>
      </c>
      <c r="C1102" t="s">
        <v>90</v>
      </c>
      <c r="D1102" t="s">
        <v>91</v>
      </c>
      <c r="G1102" s="17" t="s">
        <v>35</v>
      </c>
      <c r="H1102" s="17">
        <v>1</v>
      </c>
      <c r="K1102" t="s">
        <v>354</v>
      </c>
      <c r="L1102" t="s">
        <v>355</v>
      </c>
      <c r="M1102" t="s">
        <v>131</v>
      </c>
      <c r="N1102">
        <v>25</v>
      </c>
      <c r="O1102" t="s">
        <v>40</v>
      </c>
      <c r="P1102" t="s">
        <v>40</v>
      </c>
      <c r="Q1102" t="s">
        <v>40</v>
      </c>
      <c r="R1102" t="s">
        <v>40</v>
      </c>
      <c r="S1102" t="s">
        <v>40</v>
      </c>
      <c r="V1102" t="s">
        <v>41</v>
      </c>
      <c r="W1102" t="s">
        <v>95</v>
      </c>
      <c r="X1102" t="str">
        <f>"7054137"</f>
        <v>7054137</v>
      </c>
      <c r="Y1102" t="s">
        <v>848</v>
      </c>
      <c r="Z1102" t="s">
        <v>354</v>
      </c>
      <c r="AA1102" t="s">
        <v>355</v>
      </c>
      <c r="AB1102" t="s">
        <v>131</v>
      </c>
      <c r="AC1102" t="s">
        <v>51</v>
      </c>
      <c r="AD1102" t="s">
        <v>45</v>
      </c>
      <c r="AE1102" s="1">
        <v>31046</v>
      </c>
      <c r="AF1102">
        <v>1</v>
      </c>
      <c r="AG1102" t="s">
        <v>355</v>
      </c>
      <c r="AH1102" s="36">
        <f t="shared" si="17"/>
        <v>34.475000000000001</v>
      </c>
      <c r="AI1102" s="40" t="s">
        <v>1778</v>
      </c>
    </row>
    <row r="1103" spans="1:35" x14ac:dyDescent="0.25">
      <c r="A1103" s="36">
        <v>99911101</v>
      </c>
      <c r="B1103" s="17" t="s">
        <v>32</v>
      </c>
      <c r="C1103" t="s">
        <v>79</v>
      </c>
      <c r="D1103" t="s">
        <v>80</v>
      </c>
      <c r="G1103" s="17" t="s">
        <v>35</v>
      </c>
      <c r="H1103" s="17">
        <v>1</v>
      </c>
      <c r="K1103" t="s">
        <v>223</v>
      </c>
      <c r="L1103" t="s">
        <v>224</v>
      </c>
      <c r="M1103" t="s">
        <v>131</v>
      </c>
      <c r="N1103">
        <v>22</v>
      </c>
      <c r="O1103" t="s">
        <v>40</v>
      </c>
      <c r="P1103" t="s">
        <v>40</v>
      </c>
      <c r="Q1103" t="s">
        <v>40</v>
      </c>
      <c r="R1103" t="s">
        <v>40</v>
      </c>
      <c r="S1103" t="s">
        <v>40</v>
      </c>
      <c r="V1103" t="s">
        <v>41</v>
      </c>
      <c r="W1103" t="s">
        <v>49</v>
      </c>
      <c r="X1103" t="str">
        <f>"0591901"</f>
        <v>0591901</v>
      </c>
      <c r="Y1103" t="s">
        <v>230</v>
      </c>
      <c r="Z1103" t="s">
        <v>223</v>
      </c>
      <c r="AA1103" t="s">
        <v>224</v>
      </c>
      <c r="AB1103" t="s">
        <v>131</v>
      </c>
      <c r="AC1103" t="s">
        <v>51</v>
      </c>
      <c r="AD1103" t="s">
        <v>45</v>
      </c>
      <c r="AE1103" s="1">
        <v>31045</v>
      </c>
      <c r="AF1103">
        <v>2</v>
      </c>
      <c r="AG1103" t="s">
        <v>224</v>
      </c>
      <c r="AH1103" s="36">
        <f t="shared" si="17"/>
        <v>34.477777777777774</v>
      </c>
      <c r="AI1103" s="40" t="s">
        <v>1778</v>
      </c>
    </row>
    <row r="1104" spans="1:35" x14ac:dyDescent="0.25">
      <c r="A1104" s="36">
        <v>99911102</v>
      </c>
      <c r="B1104" s="17" t="s">
        <v>56</v>
      </c>
      <c r="C1104" t="s">
        <v>111</v>
      </c>
      <c r="D1104" t="s">
        <v>112</v>
      </c>
      <c r="G1104" s="17" t="s">
        <v>48</v>
      </c>
      <c r="H1104" s="17">
        <v>1</v>
      </c>
      <c r="K1104" t="s">
        <v>1198</v>
      </c>
      <c r="L1104" t="s">
        <v>1199</v>
      </c>
      <c r="M1104" t="s">
        <v>1130</v>
      </c>
      <c r="N1104">
        <v>24</v>
      </c>
      <c r="O1104" t="s">
        <v>40</v>
      </c>
      <c r="P1104" t="s">
        <v>40</v>
      </c>
      <c r="Q1104" t="s">
        <v>40</v>
      </c>
      <c r="R1104" t="s">
        <v>40</v>
      </c>
      <c r="S1104" t="s">
        <v>40</v>
      </c>
      <c r="V1104" t="s">
        <v>41</v>
      </c>
      <c r="W1104" t="s">
        <v>75</v>
      </c>
      <c r="X1104" t="str">
        <f>"7311002"</f>
        <v>7311002</v>
      </c>
      <c r="Y1104" t="s">
        <v>1203</v>
      </c>
      <c r="Z1104" t="s">
        <v>1198</v>
      </c>
      <c r="AA1104" t="s">
        <v>1199</v>
      </c>
      <c r="AB1104" t="s">
        <v>1130</v>
      </c>
      <c r="AC1104" t="s">
        <v>51</v>
      </c>
      <c r="AD1104" t="s">
        <v>45</v>
      </c>
      <c r="AE1104" s="1">
        <v>31043</v>
      </c>
      <c r="AF1104">
        <v>1</v>
      </c>
      <c r="AG1104" t="s">
        <v>1199</v>
      </c>
      <c r="AH1104" s="36">
        <f t="shared" si="17"/>
        <v>34.483333333333334</v>
      </c>
      <c r="AI1104" s="40" t="s">
        <v>1778</v>
      </c>
    </row>
    <row r="1105" spans="1:35" x14ac:dyDescent="0.25">
      <c r="A1105" s="36">
        <v>99911103</v>
      </c>
      <c r="B1105" s="17" t="s">
        <v>32</v>
      </c>
      <c r="C1105" t="s">
        <v>90</v>
      </c>
      <c r="D1105" t="s">
        <v>91</v>
      </c>
      <c r="G1105" s="17" t="s">
        <v>35</v>
      </c>
      <c r="H1105" s="17">
        <v>1</v>
      </c>
      <c r="I1105">
        <v>4978</v>
      </c>
      <c r="J1105" s="1">
        <v>43344</v>
      </c>
      <c r="K1105" t="s">
        <v>354</v>
      </c>
      <c r="L1105" t="s">
        <v>355</v>
      </c>
      <c r="M1105" t="s">
        <v>131</v>
      </c>
      <c r="N1105">
        <v>25</v>
      </c>
      <c r="O1105" t="s">
        <v>40</v>
      </c>
      <c r="S1105" t="s">
        <v>40</v>
      </c>
      <c r="U1105" s="1">
        <v>43344</v>
      </c>
      <c r="V1105" t="s">
        <v>41</v>
      </c>
      <c r="W1105" t="s">
        <v>95</v>
      </c>
      <c r="X1105" t="str">
        <f>"7054041"</f>
        <v>7054041</v>
      </c>
      <c r="Y1105" t="s">
        <v>839</v>
      </c>
      <c r="Z1105" t="s">
        <v>354</v>
      </c>
      <c r="AA1105" t="s">
        <v>355</v>
      </c>
      <c r="AB1105" t="s">
        <v>131</v>
      </c>
      <c r="AC1105" t="s">
        <v>51</v>
      </c>
      <c r="AD1105" t="s">
        <v>45</v>
      </c>
      <c r="AE1105" s="1">
        <v>31042</v>
      </c>
      <c r="AF1105">
        <v>1</v>
      </c>
      <c r="AG1105" t="s">
        <v>355</v>
      </c>
      <c r="AH1105" s="36">
        <f t="shared" si="17"/>
        <v>34.486111111111114</v>
      </c>
      <c r="AI1105" s="40" t="s">
        <v>1778</v>
      </c>
    </row>
    <row r="1106" spans="1:35" x14ac:dyDescent="0.25">
      <c r="A1106" s="36">
        <v>99911104</v>
      </c>
      <c r="B1106" s="17" t="s">
        <v>32</v>
      </c>
      <c r="C1106" t="s">
        <v>259</v>
      </c>
      <c r="D1106" t="s">
        <v>260</v>
      </c>
      <c r="E1106" t="s">
        <v>111</v>
      </c>
      <c r="F1106" t="s">
        <v>112</v>
      </c>
      <c r="G1106" s="17" t="s">
        <v>35</v>
      </c>
      <c r="H1106" s="17">
        <v>1</v>
      </c>
      <c r="I1106">
        <v>18458</v>
      </c>
      <c r="J1106" s="1">
        <v>43361</v>
      </c>
      <c r="K1106" t="s">
        <v>380</v>
      </c>
      <c r="L1106" t="s">
        <v>381</v>
      </c>
      <c r="M1106" t="s">
        <v>131</v>
      </c>
      <c r="N1106">
        <v>6</v>
      </c>
      <c r="O1106" t="s">
        <v>40</v>
      </c>
      <c r="P1106" t="s">
        <v>40</v>
      </c>
      <c r="Q1106" t="s">
        <v>40</v>
      </c>
      <c r="R1106" t="s">
        <v>40</v>
      </c>
      <c r="S1106" t="s">
        <v>40</v>
      </c>
      <c r="U1106" s="1">
        <v>43361</v>
      </c>
      <c r="V1106" t="s">
        <v>41</v>
      </c>
      <c r="W1106" t="s">
        <v>49</v>
      </c>
      <c r="X1106" t="str">
        <f>"0560028"</f>
        <v>0560028</v>
      </c>
      <c r="Y1106" t="s">
        <v>384</v>
      </c>
      <c r="Z1106" t="s">
        <v>380</v>
      </c>
      <c r="AA1106" t="s">
        <v>381</v>
      </c>
      <c r="AB1106" t="s">
        <v>131</v>
      </c>
      <c r="AC1106" t="s">
        <v>44</v>
      </c>
      <c r="AD1106" t="s">
        <v>45</v>
      </c>
      <c r="AE1106" s="1">
        <v>31038</v>
      </c>
      <c r="AF1106">
        <v>2</v>
      </c>
      <c r="AG1106" t="s">
        <v>381</v>
      </c>
      <c r="AH1106" s="36">
        <f t="shared" si="17"/>
        <v>34.49722222222222</v>
      </c>
      <c r="AI1106" s="40" t="s">
        <v>1778</v>
      </c>
    </row>
    <row r="1107" spans="1:35" x14ac:dyDescent="0.25">
      <c r="A1107" s="36">
        <v>99911105</v>
      </c>
      <c r="B1107" s="17" t="s">
        <v>32</v>
      </c>
      <c r="C1107" t="s">
        <v>46</v>
      </c>
      <c r="D1107" t="s">
        <v>47</v>
      </c>
      <c r="G1107" s="17" t="s">
        <v>35</v>
      </c>
      <c r="H1107" s="17">
        <v>1</v>
      </c>
      <c r="I1107" t="s">
        <v>975</v>
      </c>
      <c r="J1107" s="1">
        <v>43362</v>
      </c>
      <c r="K1107" t="s">
        <v>947</v>
      </c>
      <c r="L1107" t="s">
        <v>948</v>
      </c>
      <c r="M1107" t="s">
        <v>938</v>
      </c>
      <c r="N1107">
        <v>8</v>
      </c>
      <c r="O1107" t="s">
        <v>40</v>
      </c>
      <c r="S1107" t="s">
        <v>40</v>
      </c>
      <c r="U1107" s="1">
        <v>43362</v>
      </c>
      <c r="V1107" t="s">
        <v>41</v>
      </c>
      <c r="W1107" t="s">
        <v>953</v>
      </c>
      <c r="X1107" t="str">
        <f>"0610801"</f>
        <v>0610801</v>
      </c>
      <c r="Y1107" t="s">
        <v>954</v>
      </c>
      <c r="Z1107" t="s">
        <v>947</v>
      </c>
      <c r="AA1107" t="s">
        <v>948</v>
      </c>
      <c r="AB1107" t="s">
        <v>938</v>
      </c>
      <c r="AC1107" t="s">
        <v>44</v>
      </c>
      <c r="AD1107" t="s">
        <v>45</v>
      </c>
      <c r="AE1107" s="1">
        <v>31035</v>
      </c>
      <c r="AF1107">
        <v>2</v>
      </c>
      <c r="AG1107" t="s">
        <v>948</v>
      </c>
      <c r="AH1107" s="36">
        <f t="shared" si="17"/>
        <v>34.505555555555553</v>
      </c>
      <c r="AI1107" s="40" t="s">
        <v>1778</v>
      </c>
    </row>
    <row r="1108" spans="1:35" x14ac:dyDescent="0.25">
      <c r="A1108" s="36">
        <v>99911106</v>
      </c>
      <c r="B1108" s="17" t="s">
        <v>56</v>
      </c>
      <c r="C1108" t="s">
        <v>85</v>
      </c>
      <c r="D1108" t="s">
        <v>86</v>
      </c>
      <c r="G1108" s="17" t="s">
        <v>48</v>
      </c>
      <c r="H1108" s="17">
        <v>1</v>
      </c>
      <c r="K1108" t="s">
        <v>380</v>
      </c>
      <c r="L1108" t="s">
        <v>381</v>
      </c>
      <c r="M1108" t="s">
        <v>131</v>
      </c>
      <c r="N1108">
        <v>23</v>
      </c>
      <c r="O1108" t="s">
        <v>40</v>
      </c>
      <c r="P1108" t="s">
        <v>40</v>
      </c>
      <c r="Q1108" t="s">
        <v>40</v>
      </c>
      <c r="R1108" t="s">
        <v>40</v>
      </c>
      <c r="S1108" t="s">
        <v>40</v>
      </c>
      <c r="V1108" t="s">
        <v>41</v>
      </c>
      <c r="W1108" t="s">
        <v>42</v>
      </c>
      <c r="X1108" t="str">
        <f>"0561016"</f>
        <v>0561016</v>
      </c>
      <c r="Y1108" t="s">
        <v>389</v>
      </c>
      <c r="Z1108" t="s">
        <v>380</v>
      </c>
      <c r="AA1108" t="s">
        <v>381</v>
      </c>
      <c r="AB1108" t="s">
        <v>131</v>
      </c>
      <c r="AC1108" t="s">
        <v>51</v>
      </c>
      <c r="AD1108" t="s">
        <v>45</v>
      </c>
      <c r="AE1108" s="1">
        <v>31033</v>
      </c>
      <c r="AF1108">
        <v>2</v>
      </c>
      <c r="AG1108" t="s">
        <v>381</v>
      </c>
      <c r="AH1108" s="36">
        <f t="shared" si="17"/>
        <v>34.511111111111113</v>
      </c>
      <c r="AI1108" s="40" t="s">
        <v>1778</v>
      </c>
    </row>
    <row r="1109" spans="1:35" x14ac:dyDescent="0.25">
      <c r="A1109" s="36">
        <v>99911107</v>
      </c>
      <c r="B1109" s="17" t="s">
        <v>56</v>
      </c>
      <c r="C1109" t="s">
        <v>46</v>
      </c>
      <c r="D1109" t="s">
        <v>47</v>
      </c>
      <c r="G1109" s="17" t="s">
        <v>48</v>
      </c>
      <c r="H1109" s="17">
        <v>1</v>
      </c>
      <c r="K1109" t="s">
        <v>300</v>
      </c>
      <c r="L1109" t="s">
        <v>301</v>
      </c>
      <c r="M1109" t="s">
        <v>131</v>
      </c>
      <c r="N1109">
        <v>2</v>
      </c>
      <c r="O1109" t="s">
        <v>40</v>
      </c>
      <c r="P1109" t="s">
        <v>40</v>
      </c>
      <c r="Q1109" t="s">
        <v>40</v>
      </c>
      <c r="R1109" t="s">
        <v>40</v>
      </c>
      <c r="S1109" t="s">
        <v>40</v>
      </c>
      <c r="V1109" t="s">
        <v>41</v>
      </c>
      <c r="W1109" t="s">
        <v>42</v>
      </c>
      <c r="X1109" t="str">
        <f>"0561001"</f>
        <v>0561001</v>
      </c>
      <c r="Y1109" t="s">
        <v>308</v>
      </c>
      <c r="Z1109" t="s">
        <v>300</v>
      </c>
      <c r="AA1109" t="s">
        <v>301</v>
      </c>
      <c r="AB1109" t="s">
        <v>131</v>
      </c>
      <c r="AC1109" t="s">
        <v>51</v>
      </c>
      <c r="AD1109" t="s">
        <v>45</v>
      </c>
      <c r="AE1109" s="1">
        <v>31031</v>
      </c>
      <c r="AF1109">
        <v>2</v>
      </c>
      <c r="AG1109" t="s">
        <v>301</v>
      </c>
      <c r="AH1109" s="36">
        <f t="shared" si="17"/>
        <v>34.516666666666666</v>
      </c>
      <c r="AI1109" s="40" t="s">
        <v>1778</v>
      </c>
    </row>
    <row r="1110" spans="1:35" x14ac:dyDescent="0.25">
      <c r="A1110" s="36">
        <v>99911108</v>
      </c>
      <c r="B1110" s="17" t="s">
        <v>32</v>
      </c>
      <c r="C1110" t="s">
        <v>90</v>
      </c>
      <c r="D1110" t="s">
        <v>91</v>
      </c>
      <c r="G1110" s="17" t="s">
        <v>35</v>
      </c>
      <c r="H1110" s="17">
        <v>1</v>
      </c>
      <c r="I1110">
        <v>10934</v>
      </c>
      <c r="J1110" s="1">
        <v>43344</v>
      </c>
      <c r="K1110" t="s">
        <v>354</v>
      </c>
      <c r="L1110" t="s">
        <v>355</v>
      </c>
      <c r="M1110" t="s">
        <v>131</v>
      </c>
      <c r="N1110">
        <v>25</v>
      </c>
      <c r="O1110" t="s">
        <v>40</v>
      </c>
      <c r="S1110" t="s">
        <v>40</v>
      </c>
      <c r="U1110" s="1">
        <v>43344</v>
      </c>
      <c r="V1110" t="s">
        <v>41</v>
      </c>
      <c r="W1110" t="s">
        <v>95</v>
      </c>
      <c r="X1110" t="str">
        <f>"7054059"</f>
        <v>7054059</v>
      </c>
      <c r="Y1110" t="s">
        <v>833</v>
      </c>
      <c r="Z1110" t="s">
        <v>354</v>
      </c>
      <c r="AA1110" t="s">
        <v>355</v>
      </c>
      <c r="AB1110" t="s">
        <v>131</v>
      </c>
      <c r="AC1110" t="s">
        <v>51</v>
      </c>
      <c r="AD1110" t="s">
        <v>45</v>
      </c>
      <c r="AE1110" s="1">
        <v>31031</v>
      </c>
      <c r="AF1110">
        <v>1</v>
      </c>
      <c r="AG1110" t="s">
        <v>355</v>
      </c>
      <c r="AH1110" s="36">
        <f t="shared" si="17"/>
        <v>34.516666666666666</v>
      </c>
      <c r="AI1110" s="40" t="s">
        <v>1778</v>
      </c>
    </row>
    <row r="1111" spans="1:35" x14ac:dyDescent="0.25">
      <c r="A1111" s="36">
        <v>99911109</v>
      </c>
      <c r="B1111" s="17" t="s">
        <v>32</v>
      </c>
      <c r="C1111" t="s">
        <v>46</v>
      </c>
      <c r="D1111" t="s">
        <v>47</v>
      </c>
      <c r="G1111" s="17" t="s">
        <v>35</v>
      </c>
      <c r="H1111" s="17">
        <v>1</v>
      </c>
      <c r="I1111" t="s">
        <v>1169</v>
      </c>
      <c r="J1111" s="1">
        <v>43354</v>
      </c>
      <c r="K1111" t="s">
        <v>1128</v>
      </c>
      <c r="L1111" t="s">
        <v>1129</v>
      </c>
      <c r="M1111" t="s">
        <v>1130</v>
      </c>
      <c r="N1111">
        <v>23</v>
      </c>
      <c r="O1111" t="s">
        <v>40</v>
      </c>
      <c r="P1111" t="s">
        <v>40</v>
      </c>
      <c r="Q1111" t="s">
        <v>40</v>
      </c>
      <c r="S1111" t="s">
        <v>40</v>
      </c>
      <c r="U1111" s="1">
        <v>43354</v>
      </c>
      <c r="V1111" t="s">
        <v>41</v>
      </c>
      <c r="W1111" t="s">
        <v>49</v>
      </c>
      <c r="X1111" t="str">
        <f>"3181015"</f>
        <v>3181015</v>
      </c>
      <c r="Y1111" t="s">
        <v>1131</v>
      </c>
      <c r="Z1111" t="s">
        <v>1128</v>
      </c>
      <c r="AA1111" t="s">
        <v>1129</v>
      </c>
      <c r="AB1111" t="s">
        <v>1130</v>
      </c>
      <c r="AC1111" t="s">
        <v>44</v>
      </c>
      <c r="AD1111" t="s">
        <v>45</v>
      </c>
      <c r="AE1111" s="1">
        <v>31027</v>
      </c>
      <c r="AF1111">
        <v>2</v>
      </c>
      <c r="AG1111" t="s">
        <v>1129</v>
      </c>
      <c r="AH1111" s="36">
        <f t="shared" si="17"/>
        <v>34.527777777777779</v>
      </c>
      <c r="AI1111" s="40" t="s">
        <v>1778</v>
      </c>
    </row>
    <row r="1112" spans="1:35" x14ac:dyDescent="0.25">
      <c r="A1112" s="36">
        <v>99911110</v>
      </c>
      <c r="B1112" s="17" t="s">
        <v>56</v>
      </c>
      <c r="C1112" t="s">
        <v>79</v>
      </c>
      <c r="D1112" t="s">
        <v>80</v>
      </c>
      <c r="G1112" s="17" t="s">
        <v>35</v>
      </c>
      <c r="H1112" s="17">
        <v>1</v>
      </c>
      <c r="I1112" s="1">
        <v>40807</v>
      </c>
      <c r="J1112" s="1">
        <v>43344</v>
      </c>
      <c r="K1112" t="s">
        <v>1341</v>
      </c>
      <c r="L1112" t="s">
        <v>1342</v>
      </c>
      <c r="M1112" t="s">
        <v>1270</v>
      </c>
      <c r="N1112">
        <v>18</v>
      </c>
      <c r="O1112" t="s">
        <v>40</v>
      </c>
      <c r="S1112" t="s">
        <v>40</v>
      </c>
      <c r="U1112" s="1">
        <v>43344</v>
      </c>
      <c r="V1112" t="s">
        <v>41</v>
      </c>
      <c r="W1112" t="s">
        <v>75</v>
      </c>
      <c r="X1112" t="str">
        <f>"7191000"</f>
        <v>7191000</v>
      </c>
      <c r="Y1112" t="s">
        <v>1347</v>
      </c>
      <c r="Z1112" t="s">
        <v>1341</v>
      </c>
      <c r="AA1112" t="s">
        <v>1342</v>
      </c>
      <c r="AB1112" t="s">
        <v>1270</v>
      </c>
      <c r="AC1112" t="s">
        <v>51</v>
      </c>
      <c r="AD1112" t="s">
        <v>45</v>
      </c>
      <c r="AE1112" s="1">
        <v>31024</v>
      </c>
      <c r="AF1112">
        <v>1</v>
      </c>
      <c r="AG1112" t="s">
        <v>1342</v>
      </c>
      <c r="AH1112" s="36">
        <f t="shared" si="17"/>
        <v>34.536111111111111</v>
      </c>
      <c r="AI1112" s="40" t="s">
        <v>1778</v>
      </c>
    </row>
    <row r="1113" spans="1:35" x14ac:dyDescent="0.25">
      <c r="A1113" s="36">
        <v>99911111</v>
      </c>
      <c r="B1113" s="17" t="s">
        <v>32</v>
      </c>
      <c r="C1113" t="s">
        <v>61</v>
      </c>
      <c r="D1113" t="s">
        <v>62</v>
      </c>
      <c r="G1113" s="17" t="s">
        <v>35</v>
      </c>
      <c r="H1113" s="17">
        <v>1</v>
      </c>
      <c r="I1113">
        <v>13031</v>
      </c>
      <c r="J1113" s="1">
        <v>43344</v>
      </c>
      <c r="K1113" t="s">
        <v>354</v>
      </c>
      <c r="L1113" t="s">
        <v>355</v>
      </c>
      <c r="M1113" t="s">
        <v>131</v>
      </c>
      <c r="N1113">
        <v>19</v>
      </c>
      <c r="O1113" t="s">
        <v>40</v>
      </c>
      <c r="S1113" t="s">
        <v>40</v>
      </c>
      <c r="U1113" s="1">
        <v>43344</v>
      </c>
      <c r="V1113" t="s">
        <v>41</v>
      </c>
      <c r="W1113" t="s">
        <v>75</v>
      </c>
      <c r="X1113" t="str">
        <f>"7054042"</f>
        <v>7054042</v>
      </c>
      <c r="Y1113" t="s">
        <v>776</v>
      </c>
      <c r="Z1113" t="s">
        <v>354</v>
      </c>
      <c r="AA1113" t="s">
        <v>355</v>
      </c>
      <c r="AB1113" t="s">
        <v>131</v>
      </c>
      <c r="AC1113" t="s">
        <v>51</v>
      </c>
      <c r="AD1113" t="s">
        <v>45</v>
      </c>
      <c r="AE1113" s="1">
        <v>31020</v>
      </c>
      <c r="AF1113">
        <v>1</v>
      </c>
      <c r="AG1113" t="s">
        <v>355</v>
      </c>
      <c r="AH1113" s="36">
        <f t="shared" si="17"/>
        <v>34.547222222222224</v>
      </c>
      <c r="AI1113" s="40" t="s">
        <v>1778</v>
      </c>
    </row>
    <row r="1114" spans="1:35" x14ac:dyDescent="0.25">
      <c r="A1114" s="36">
        <v>99911112</v>
      </c>
      <c r="B1114" s="17" t="s">
        <v>32</v>
      </c>
      <c r="C1114" t="s">
        <v>90</v>
      </c>
      <c r="D1114" t="s">
        <v>91</v>
      </c>
      <c r="G1114" s="17" t="s">
        <v>48</v>
      </c>
      <c r="H1114" s="17">
        <v>1</v>
      </c>
      <c r="K1114" t="s">
        <v>1502</v>
      </c>
      <c r="L1114" t="s">
        <v>1503</v>
      </c>
      <c r="M1114" t="s">
        <v>670</v>
      </c>
      <c r="N1114">
        <v>1</v>
      </c>
      <c r="O1114" t="s">
        <v>40</v>
      </c>
      <c r="P1114" t="s">
        <v>40</v>
      </c>
      <c r="Q1114" t="s">
        <v>40</v>
      </c>
      <c r="S1114" t="s">
        <v>40</v>
      </c>
      <c r="V1114" t="s">
        <v>41</v>
      </c>
      <c r="W1114" t="s">
        <v>95</v>
      </c>
      <c r="X1114" t="str">
        <f>"7171009"</f>
        <v>7171009</v>
      </c>
      <c r="Y1114" t="s">
        <v>1510</v>
      </c>
      <c r="Z1114" t="s">
        <v>1502</v>
      </c>
      <c r="AA1114" t="s">
        <v>1503</v>
      </c>
      <c r="AB1114" t="s">
        <v>670</v>
      </c>
      <c r="AC1114" t="s">
        <v>51</v>
      </c>
      <c r="AD1114" t="s">
        <v>45</v>
      </c>
      <c r="AE1114" s="1">
        <v>31020</v>
      </c>
      <c r="AF1114">
        <v>1</v>
      </c>
      <c r="AG1114" t="s">
        <v>1503</v>
      </c>
      <c r="AH1114" s="36">
        <f t="shared" si="17"/>
        <v>34.547222222222224</v>
      </c>
      <c r="AI1114" s="40" t="s">
        <v>1778</v>
      </c>
    </row>
    <row r="1115" spans="1:35" x14ac:dyDescent="0.25">
      <c r="A1115" s="36">
        <v>99911113</v>
      </c>
      <c r="B1115" s="17" t="s">
        <v>32</v>
      </c>
      <c r="C1115" t="s">
        <v>90</v>
      </c>
      <c r="D1115" t="s">
        <v>91</v>
      </c>
      <c r="G1115" s="17" t="s">
        <v>35</v>
      </c>
      <c r="H1115" s="17">
        <v>1</v>
      </c>
      <c r="J1115" s="1">
        <v>43344</v>
      </c>
      <c r="K1115" t="s">
        <v>354</v>
      </c>
      <c r="L1115" t="s">
        <v>355</v>
      </c>
      <c r="M1115" t="s">
        <v>131</v>
      </c>
      <c r="N1115">
        <v>25</v>
      </c>
      <c r="O1115" t="s">
        <v>40</v>
      </c>
      <c r="P1115" t="s">
        <v>40</v>
      </c>
      <c r="Q1115" t="s">
        <v>40</v>
      </c>
      <c r="R1115" t="s">
        <v>40</v>
      </c>
      <c r="S1115" t="s">
        <v>40</v>
      </c>
      <c r="U1115" s="1">
        <v>43344</v>
      </c>
      <c r="V1115" t="s">
        <v>41</v>
      </c>
      <c r="W1115" t="s">
        <v>95</v>
      </c>
      <c r="X1115" t="str">
        <f>"7054021"</f>
        <v>7054021</v>
      </c>
      <c r="Y1115" t="s">
        <v>783</v>
      </c>
      <c r="Z1115" t="s">
        <v>354</v>
      </c>
      <c r="AA1115" t="s">
        <v>355</v>
      </c>
      <c r="AB1115" t="s">
        <v>131</v>
      </c>
      <c r="AC1115" t="s">
        <v>51</v>
      </c>
      <c r="AD1115" t="s">
        <v>45</v>
      </c>
      <c r="AE1115" s="1">
        <v>31018</v>
      </c>
      <c r="AF1115">
        <v>1</v>
      </c>
      <c r="AG1115" t="s">
        <v>355</v>
      </c>
      <c r="AH1115" s="36">
        <f t="shared" si="17"/>
        <v>34.552777777777777</v>
      </c>
      <c r="AI1115" s="40" t="s">
        <v>1778</v>
      </c>
    </row>
    <row r="1116" spans="1:35" x14ac:dyDescent="0.25">
      <c r="A1116" s="36">
        <v>99911114</v>
      </c>
      <c r="B1116" s="17" t="s">
        <v>32</v>
      </c>
      <c r="C1116" t="s">
        <v>90</v>
      </c>
      <c r="D1116" t="s">
        <v>91</v>
      </c>
      <c r="G1116" s="17" t="s">
        <v>35</v>
      </c>
      <c r="H1116" s="17">
        <v>1</v>
      </c>
      <c r="I1116" t="s">
        <v>683</v>
      </c>
      <c r="J1116" s="1">
        <v>43344</v>
      </c>
      <c r="K1116" t="s">
        <v>268</v>
      </c>
      <c r="L1116" t="s">
        <v>269</v>
      </c>
      <c r="M1116" t="s">
        <v>131</v>
      </c>
      <c r="N1116">
        <v>23</v>
      </c>
      <c r="O1116" t="s">
        <v>40</v>
      </c>
      <c r="S1116" t="s">
        <v>40</v>
      </c>
      <c r="U1116" s="1">
        <v>43344</v>
      </c>
      <c r="V1116" t="s">
        <v>41</v>
      </c>
      <c r="W1116" t="s">
        <v>95</v>
      </c>
      <c r="X1116" t="str">
        <f>"7052043"</f>
        <v>7052043</v>
      </c>
      <c r="Y1116" t="s">
        <v>651</v>
      </c>
      <c r="Z1116" t="s">
        <v>268</v>
      </c>
      <c r="AA1116" t="s">
        <v>269</v>
      </c>
      <c r="AB1116" t="s">
        <v>131</v>
      </c>
      <c r="AC1116" t="s">
        <v>51</v>
      </c>
      <c r="AD1116" t="s">
        <v>45</v>
      </c>
      <c r="AE1116" s="1">
        <v>31016</v>
      </c>
      <c r="AF1116">
        <v>1</v>
      </c>
      <c r="AG1116" t="s">
        <v>269</v>
      </c>
      <c r="AH1116" s="36">
        <f t="shared" si="17"/>
        <v>34.55833333333333</v>
      </c>
      <c r="AI1116" s="40" t="s">
        <v>1778</v>
      </c>
    </row>
    <row r="1117" spans="1:35" x14ac:dyDescent="0.25">
      <c r="A1117" s="36">
        <v>99911115</v>
      </c>
      <c r="B1117" s="17" t="s">
        <v>32</v>
      </c>
      <c r="C1117" t="s">
        <v>85</v>
      </c>
      <c r="D1117" t="s">
        <v>86</v>
      </c>
      <c r="G1117" s="17" t="s">
        <v>35</v>
      </c>
      <c r="H1117" s="17">
        <v>1</v>
      </c>
      <c r="I1117" t="s">
        <v>87</v>
      </c>
      <c r="J1117" s="1">
        <v>43344</v>
      </c>
      <c r="K1117" t="s">
        <v>37</v>
      </c>
      <c r="L1117" t="s">
        <v>38</v>
      </c>
      <c r="M1117" t="s">
        <v>39</v>
      </c>
      <c r="N1117">
        <v>15</v>
      </c>
      <c r="O1117" t="s">
        <v>40</v>
      </c>
      <c r="P1117" t="s">
        <v>40</v>
      </c>
      <c r="Q1117" t="s">
        <v>40</v>
      </c>
      <c r="R1117" t="s">
        <v>40</v>
      </c>
      <c r="S1117" t="s">
        <v>40</v>
      </c>
      <c r="U1117" s="1">
        <v>43344</v>
      </c>
      <c r="V1117" t="s">
        <v>41</v>
      </c>
      <c r="W1117" t="s">
        <v>49</v>
      </c>
      <c r="X1117" t="str">
        <f>"3781010"</f>
        <v>3781010</v>
      </c>
      <c r="Y1117" t="s">
        <v>50</v>
      </c>
      <c r="Z1117" t="s">
        <v>37</v>
      </c>
      <c r="AA1117" t="s">
        <v>38</v>
      </c>
      <c r="AB1117" t="s">
        <v>39</v>
      </c>
      <c r="AC1117" t="s">
        <v>55</v>
      </c>
      <c r="AD1117" t="s">
        <v>45</v>
      </c>
      <c r="AE1117" s="1">
        <v>31003</v>
      </c>
      <c r="AF1117">
        <v>2</v>
      </c>
      <c r="AG1117" t="s">
        <v>38</v>
      </c>
      <c r="AH1117" s="36">
        <f t="shared" si="17"/>
        <v>34.594444444444441</v>
      </c>
      <c r="AI1117" s="40" t="s">
        <v>1778</v>
      </c>
    </row>
    <row r="1118" spans="1:35" x14ac:dyDescent="0.25">
      <c r="A1118" s="36">
        <v>99911116</v>
      </c>
      <c r="B1118" s="17" t="s">
        <v>56</v>
      </c>
      <c r="C1118" t="s">
        <v>46</v>
      </c>
      <c r="D1118" t="s">
        <v>47</v>
      </c>
      <c r="G1118" s="17" t="s">
        <v>48</v>
      </c>
      <c r="H1118" s="17">
        <v>1</v>
      </c>
      <c r="K1118" t="s">
        <v>1613</v>
      </c>
      <c r="L1118" t="s">
        <v>1614</v>
      </c>
      <c r="M1118" t="s">
        <v>1592</v>
      </c>
      <c r="N1118">
        <v>23</v>
      </c>
      <c r="O1118" t="s">
        <v>40</v>
      </c>
      <c r="P1118" t="s">
        <v>40</v>
      </c>
      <c r="Q1118" t="s">
        <v>40</v>
      </c>
      <c r="R1118" t="s">
        <v>40</v>
      </c>
      <c r="S1118" t="s">
        <v>40</v>
      </c>
      <c r="V1118" t="s">
        <v>41</v>
      </c>
      <c r="W1118" t="s">
        <v>49</v>
      </c>
      <c r="X1118" t="str">
        <f>"2860001"</f>
        <v>2860001</v>
      </c>
      <c r="Y1118" t="s">
        <v>1616</v>
      </c>
      <c r="Z1118" t="s">
        <v>1613</v>
      </c>
      <c r="AA1118" t="s">
        <v>1614</v>
      </c>
      <c r="AB1118" t="s">
        <v>1592</v>
      </c>
      <c r="AC1118" t="s">
        <v>51</v>
      </c>
      <c r="AD1118" t="s">
        <v>45</v>
      </c>
      <c r="AE1118" s="1">
        <v>31003</v>
      </c>
      <c r="AF1118">
        <v>2</v>
      </c>
      <c r="AG1118" t="s">
        <v>1614</v>
      </c>
      <c r="AH1118" s="36">
        <f t="shared" si="17"/>
        <v>34.594444444444441</v>
      </c>
      <c r="AI1118" s="40" t="s">
        <v>1778</v>
      </c>
    </row>
    <row r="1119" spans="1:35" x14ac:dyDescent="0.25">
      <c r="A1119" s="36">
        <v>99911117</v>
      </c>
      <c r="B1119" s="17" t="s">
        <v>56</v>
      </c>
      <c r="C1119" t="s">
        <v>68</v>
      </c>
      <c r="D1119" t="s">
        <v>69</v>
      </c>
      <c r="E1119" t="s">
        <v>141</v>
      </c>
      <c r="F1119" t="s">
        <v>142</v>
      </c>
      <c r="G1119" s="17" t="s">
        <v>35</v>
      </c>
      <c r="H1119" s="17">
        <v>1</v>
      </c>
      <c r="K1119" t="s">
        <v>223</v>
      </c>
      <c r="L1119" t="s">
        <v>224</v>
      </c>
      <c r="M1119" t="s">
        <v>131</v>
      </c>
      <c r="N1119">
        <v>22</v>
      </c>
      <c r="O1119" t="s">
        <v>40</v>
      </c>
      <c r="P1119" t="s">
        <v>40</v>
      </c>
      <c r="Q1119" t="s">
        <v>40</v>
      </c>
      <c r="R1119" t="s">
        <v>40</v>
      </c>
      <c r="S1119" t="s">
        <v>40</v>
      </c>
      <c r="V1119" t="s">
        <v>41</v>
      </c>
      <c r="W1119" t="s">
        <v>49</v>
      </c>
      <c r="X1119" t="str">
        <f>"0591901"</f>
        <v>0591901</v>
      </c>
      <c r="Y1119" t="s">
        <v>230</v>
      </c>
      <c r="Z1119" t="s">
        <v>223</v>
      </c>
      <c r="AA1119" t="s">
        <v>224</v>
      </c>
      <c r="AB1119" t="s">
        <v>131</v>
      </c>
      <c r="AC1119" t="s">
        <v>51</v>
      </c>
      <c r="AD1119" t="s">
        <v>45</v>
      </c>
      <c r="AE1119" s="1">
        <v>31000</v>
      </c>
      <c r="AF1119">
        <v>2</v>
      </c>
      <c r="AG1119" t="s">
        <v>224</v>
      </c>
      <c r="AH1119" s="36">
        <f t="shared" si="17"/>
        <v>34.602777777777774</v>
      </c>
      <c r="AI1119" s="40" t="s">
        <v>1778</v>
      </c>
    </row>
    <row r="1120" spans="1:35" x14ac:dyDescent="0.25">
      <c r="A1120" s="36">
        <v>99911118</v>
      </c>
      <c r="B1120" s="17" t="s">
        <v>32</v>
      </c>
      <c r="C1120" t="s">
        <v>46</v>
      </c>
      <c r="D1120" t="s">
        <v>47</v>
      </c>
      <c r="G1120" s="17" t="s">
        <v>35</v>
      </c>
      <c r="H1120" s="17">
        <v>1</v>
      </c>
      <c r="I1120" t="s">
        <v>1183</v>
      </c>
      <c r="J1120" s="1">
        <v>43354</v>
      </c>
      <c r="K1120" t="s">
        <v>1171</v>
      </c>
      <c r="L1120" t="s">
        <v>1172</v>
      </c>
      <c r="M1120" t="s">
        <v>1130</v>
      </c>
      <c r="N1120">
        <v>17</v>
      </c>
      <c r="O1120" t="s">
        <v>40</v>
      </c>
      <c r="S1120" t="s">
        <v>40</v>
      </c>
      <c r="U1120" s="1">
        <v>43354</v>
      </c>
      <c r="V1120" t="s">
        <v>41</v>
      </c>
      <c r="W1120" t="s">
        <v>49</v>
      </c>
      <c r="X1120" t="str">
        <f>"3560001"</f>
        <v>3560001</v>
      </c>
      <c r="Y1120" t="s">
        <v>1179</v>
      </c>
      <c r="Z1120" t="s">
        <v>1171</v>
      </c>
      <c r="AA1120" t="s">
        <v>1172</v>
      </c>
      <c r="AB1120" t="s">
        <v>1130</v>
      </c>
      <c r="AC1120" t="s">
        <v>44</v>
      </c>
      <c r="AD1120" t="s">
        <v>45</v>
      </c>
      <c r="AE1120" s="1">
        <v>30997</v>
      </c>
      <c r="AF1120">
        <v>2</v>
      </c>
      <c r="AG1120" t="s">
        <v>1172</v>
      </c>
      <c r="AH1120" s="36">
        <f t="shared" si="17"/>
        <v>34.611111111111114</v>
      </c>
      <c r="AI1120" s="40" t="s">
        <v>1778</v>
      </c>
    </row>
    <row r="1121" spans="1:35" x14ac:dyDescent="0.25">
      <c r="A1121" s="36">
        <v>99911119</v>
      </c>
      <c r="B1121" s="17" t="s">
        <v>32</v>
      </c>
      <c r="C1121" t="s">
        <v>46</v>
      </c>
      <c r="D1121" t="s">
        <v>47</v>
      </c>
      <c r="G1121" s="17" t="s">
        <v>48</v>
      </c>
      <c r="H1121" s="17">
        <v>1</v>
      </c>
      <c r="K1121" t="s">
        <v>1268</v>
      </c>
      <c r="L1121" t="s">
        <v>1269</v>
      </c>
      <c r="M1121" t="s">
        <v>1270</v>
      </c>
      <c r="N1121">
        <v>30</v>
      </c>
      <c r="O1121" t="s">
        <v>40</v>
      </c>
      <c r="P1121" t="s">
        <v>40</v>
      </c>
      <c r="Q1121" t="s">
        <v>40</v>
      </c>
      <c r="S1121" t="s">
        <v>40</v>
      </c>
      <c r="V1121" t="s">
        <v>41</v>
      </c>
      <c r="W1121" t="s">
        <v>42</v>
      </c>
      <c r="X1121" t="str">
        <f>"1980050"</f>
        <v>1980050</v>
      </c>
      <c r="Y1121" t="s">
        <v>1278</v>
      </c>
      <c r="Z1121" t="s">
        <v>1268</v>
      </c>
      <c r="AA1121" t="s">
        <v>1269</v>
      </c>
      <c r="AB1121" t="s">
        <v>1270</v>
      </c>
      <c r="AC1121" t="s">
        <v>51</v>
      </c>
      <c r="AD1121" t="s">
        <v>45</v>
      </c>
      <c r="AE1121" s="1">
        <v>30993</v>
      </c>
      <c r="AF1121">
        <v>2</v>
      </c>
      <c r="AG1121" t="s">
        <v>1269</v>
      </c>
      <c r="AH1121" s="36">
        <f t="shared" si="17"/>
        <v>34.62222222222222</v>
      </c>
      <c r="AI1121" s="40" t="s">
        <v>1778</v>
      </c>
    </row>
    <row r="1122" spans="1:35" x14ac:dyDescent="0.25">
      <c r="A1122" s="36">
        <v>99911120</v>
      </c>
      <c r="B1122" s="17" t="s">
        <v>32</v>
      </c>
      <c r="C1122" t="s">
        <v>90</v>
      </c>
      <c r="D1122" t="s">
        <v>91</v>
      </c>
      <c r="G1122" s="17" t="s">
        <v>35</v>
      </c>
      <c r="H1122" s="17">
        <v>1</v>
      </c>
      <c r="I1122">
        <v>13438</v>
      </c>
      <c r="J1122" s="1">
        <v>43433</v>
      </c>
      <c r="K1122" t="s">
        <v>877</v>
      </c>
      <c r="L1122" t="s">
        <v>878</v>
      </c>
      <c r="M1122" t="s">
        <v>131</v>
      </c>
      <c r="N1122">
        <v>23</v>
      </c>
      <c r="O1122" t="s">
        <v>40</v>
      </c>
      <c r="S1122" t="s">
        <v>40</v>
      </c>
      <c r="U1122" s="1">
        <v>43433</v>
      </c>
      <c r="V1122" t="s">
        <v>41</v>
      </c>
      <c r="W1122" t="s">
        <v>75</v>
      </c>
      <c r="X1122" t="str">
        <f>"7541024"</f>
        <v>7541024</v>
      </c>
      <c r="Y1122" t="s">
        <v>885</v>
      </c>
      <c r="Z1122" t="s">
        <v>877</v>
      </c>
      <c r="AA1122" t="s">
        <v>878</v>
      </c>
      <c r="AB1122" t="s">
        <v>131</v>
      </c>
      <c r="AC1122" t="s">
        <v>51</v>
      </c>
      <c r="AD1122" t="s">
        <v>45</v>
      </c>
      <c r="AE1122" s="1">
        <v>30992</v>
      </c>
      <c r="AF1122">
        <v>1</v>
      </c>
      <c r="AG1122" t="s">
        <v>878</v>
      </c>
      <c r="AH1122" s="36">
        <f t="shared" si="17"/>
        <v>34.625</v>
      </c>
      <c r="AI1122" s="40" t="s">
        <v>1778</v>
      </c>
    </row>
    <row r="1123" spans="1:35" x14ac:dyDescent="0.25">
      <c r="A1123" s="36">
        <v>99911121</v>
      </c>
      <c r="B1123" s="17" t="s">
        <v>56</v>
      </c>
      <c r="C1123" t="s">
        <v>58</v>
      </c>
      <c r="D1123" t="s">
        <v>59</v>
      </c>
      <c r="G1123" s="17" t="s">
        <v>48</v>
      </c>
      <c r="H1123" s="17">
        <v>1</v>
      </c>
      <c r="K1123" t="s">
        <v>1128</v>
      </c>
      <c r="L1123" t="s">
        <v>1129</v>
      </c>
      <c r="M1123" t="s">
        <v>1130</v>
      </c>
      <c r="N1123">
        <v>18</v>
      </c>
      <c r="O1123" t="s">
        <v>40</v>
      </c>
      <c r="P1123" t="s">
        <v>40</v>
      </c>
      <c r="Q1123" t="s">
        <v>40</v>
      </c>
      <c r="R1123" t="s">
        <v>40</v>
      </c>
      <c r="S1123" t="s">
        <v>40</v>
      </c>
      <c r="V1123" t="s">
        <v>41</v>
      </c>
      <c r="W1123" t="s">
        <v>42</v>
      </c>
      <c r="X1123" t="str">
        <f>"3180015"</f>
        <v>3180015</v>
      </c>
      <c r="Y1123" t="s">
        <v>1139</v>
      </c>
      <c r="Z1123" t="s">
        <v>1128</v>
      </c>
      <c r="AA1123" t="s">
        <v>1129</v>
      </c>
      <c r="AB1123" t="s">
        <v>1130</v>
      </c>
      <c r="AC1123" t="s">
        <v>51</v>
      </c>
      <c r="AD1123" t="s">
        <v>45</v>
      </c>
      <c r="AE1123" s="1">
        <v>30992</v>
      </c>
      <c r="AF1123">
        <v>2</v>
      </c>
      <c r="AG1123" t="s">
        <v>1129</v>
      </c>
      <c r="AH1123" s="36">
        <f t="shared" si="17"/>
        <v>34.625</v>
      </c>
      <c r="AI1123" s="40" t="s">
        <v>1778</v>
      </c>
    </row>
    <row r="1124" spans="1:35" x14ac:dyDescent="0.25">
      <c r="A1124" s="36">
        <v>99911122</v>
      </c>
      <c r="B1124" s="17" t="s">
        <v>32</v>
      </c>
      <c r="C1124" t="s">
        <v>71</v>
      </c>
      <c r="D1124" t="s">
        <v>72</v>
      </c>
      <c r="G1124" s="17" t="s">
        <v>35</v>
      </c>
      <c r="H1124" s="17">
        <v>1</v>
      </c>
      <c r="I1124">
        <v>17539</v>
      </c>
      <c r="J1124" s="1">
        <v>43346</v>
      </c>
      <c r="K1124" t="s">
        <v>380</v>
      </c>
      <c r="L1124" t="s">
        <v>381</v>
      </c>
      <c r="M1124" t="s">
        <v>131</v>
      </c>
      <c r="N1124">
        <v>16</v>
      </c>
      <c r="O1124" t="s">
        <v>40</v>
      </c>
      <c r="P1124" t="s">
        <v>40</v>
      </c>
      <c r="Q1124" t="s">
        <v>40</v>
      </c>
      <c r="R1124" t="s">
        <v>40</v>
      </c>
      <c r="S1124" t="s">
        <v>40</v>
      </c>
      <c r="U1124" s="1">
        <v>43346</v>
      </c>
      <c r="V1124" t="s">
        <v>41</v>
      </c>
      <c r="W1124" t="s">
        <v>49</v>
      </c>
      <c r="X1124" t="str">
        <f>"0560028"</f>
        <v>0560028</v>
      </c>
      <c r="Y1124" t="s">
        <v>384</v>
      </c>
      <c r="Z1124" t="s">
        <v>380</v>
      </c>
      <c r="AA1124" t="s">
        <v>381</v>
      </c>
      <c r="AB1124" t="s">
        <v>131</v>
      </c>
      <c r="AC1124" t="s">
        <v>55</v>
      </c>
      <c r="AD1124" t="s">
        <v>45</v>
      </c>
      <c r="AE1124" s="1">
        <v>30987</v>
      </c>
      <c r="AF1124">
        <v>2</v>
      </c>
      <c r="AG1124" t="s">
        <v>381</v>
      </c>
      <c r="AH1124" s="36">
        <f t="shared" si="17"/>
        <v>34.638888888888886</v>
      </c>
      <c r="AI1124" s="40" t="s">
        <v>1778</v>
      </c>
    </row>
    <row r="1125" spans="1:35" x14ac:dyDescent="0.25">
      <c r="A1125" s="36">
        <v>99911123</v>
      </c>
      <c r="B1125" s="17" t="s">
        <v>32</v>
      </c>
      <c r="C1125" t="s">
        <v>46</v>
      </c>
      <c r="D1125" t="s">
        <v>47</v>
      </c>
      <c r="G1125" s="17" t="s">
        <v>48</v>
      </c>
      <c r="H1125" s="17">
        <v>1</v>
      </c>
      <c r="K1125" t="s">
        <v>129</v>
      </c>
      <c r="L1125" t="s">
        <v>130</v>
      </c>
      <c r="M1125" t="s">
        <v>131</v>
      </c>
      <c r="N1125">
        <v>24</v>
      </c>
      <c r="O1125" t="s">
        <v>40</v>
      </c>
      <c r="P1125" t="s">
        <v>40</v>
      </c>
      <c r="Q1125" t="s">
        <v>40</v>
      </c>
      <c r="S1125" t="s">
        <v>40</v>
      </c>
      <c r="V1125" t="s">
        <v>41</v>
      </c>
      <c r="W1125" t="s">
        <v>49</v>
      </c>
      <c r="X1125" t="str">
        <f>"0560024"</f>
        <v>0560024</v>
      </c>
      <c r="Y1125" t="s">
        <v>138</v>
      </c>
      <c r="Z1125" t="s">
        <v>129</v>
      </c>
      <c r="AA1125" t="s">
        <v>130</v>
      </c>
      <c r="AB1125" t="s">
        <v>131</v>
      </c>
      <c r="AC1125" t="s">
        <v>51</v>
      </c>
      <c r="AD1125" t="s">
        <v>45</v>
      </c>
      <c r="AE1125" s="1">
        <v>30983</v>
      </c>
      <c r="AF1125">
        <v>2</v>
      </c>
      <c r="AG1125" t="s">
        <v>130</v>
      </c>
      <c r="AH1125" s="36">
        <f t="shared" si="17"/>
        <v>34.65</v>
      </c>
      <c r="AI1125" s="40" t="s">
        <v>1778</v>
      </c>
    </row>
    <row r="1126" spans="1:35" x14ac:dyDescent="0.25">
      <c r="A1126" s="36">
        <v>99911124</v>
      </c>
      <c r="B1126" s="17" t="s">
        <v>32</v>
      </c>
      <c r="C1126" t="s">
        <v>46</v>
      </c>
      <c r="D1126" t="s">
        <v>47</v>
      </c>
      <c r="G1126" s="17" t="s">
        <v>48</v>
      </c>
      <c r="H1126" s="17">
        <v>1</v>
      </c>
      <c r="K1126" t="s">
        <v>300</v>
      </c>
      <c r="L1126" t="s">
        <v>301</v>
      </c>
      <c r="M1126" t="s">
        <v>131</v>
      </c>
      <c r="N1126">
        <v>20</v>
      </c>
      <c r="O1126" t="s">
        <v>40</v>
      </c>
      <c r="P1126" t="s">
        <v>40</v>
      </c>
      <c r="Q1126" t="s">
        <v>40</v>
      </c>
      <c r="R1126" t="s">
        <v>40</v>
      </c>
      <c r="S1126" t="s">
        <v>40</v>
      </c>
      <c r="V1126" t="s">
        <v>41</v>
      </c>
      <c r="W1126" t="s">
        <v>49</v>
      </c>
      <c r="X1126" t="str">
        <f>"0560029"</f>
        <v>0560029</v>
      </c>
      <c r="Y1126" t="s">
        <v>309</v>
      </c>
      <c r="Z1126" t="s">
        <v>300</v>
      </c>
      <c r="AA1126" t="s">
        <v>301</v>
      </c>
      <c r="AB1126" t="s">
        <v>131</v>
      </c>
      <c r="AC1126" t="s">
        <v>51</v>
      </c>
      <c r="AD1126" t="s">
        <v>45</v>
      </c>
      <c r="AE1126" s="1">
        <v>30981</v>
      </c>
      <c r="AF1126">
        <v>2</v>
      </c>
      <c r="AG1126" t="s">
        <v>301</v>
      </c>
      <c r="AH1126" s="36">
        <f t="shared" si="17"/>
        <v>34.655555555555559</v>
      </c>
      <c r="AI1126" s="40" t="s">
        <v>1778</v>
      </c>
    </row>
    <row r="1127" spans="1:35" x14ac:dyDescent="0.25">
      <c r="A1127" s="36">
        <v>99911125</v>
      </c>
      <c r="B1127" s="17" t="s">
        <v>32</v>
      </c>
      <c r="C1127" t="s">
        <v>90</v>
      </c>
      <c r="D1127" t="s">
        <v>91</v>
      </c>
      <c r="G1127" s="17" t="s">
        <v>48</v>
      </c>
      <c r="H1127" s="17">
        <v>1</v>
      </c>
      <c r="K1127" t="s">
        <v>195</v>
      </c>
      <c r="L1127" t="s">
        <v>196</v>
      </c>
      <c r="M1127" t="s">
        <v>131</v>
      </c>
      <c r="N1127">
        <v>25</v>
      </c>
      <c r="O1127" t="s">
        <v>40</v>
      </c>
      <c r="P1127" t="s">
        <v>40</v>
      </c>
      <c r="Q1127" t="s">
        <v>40</v>
      </c>
      <c r="S1127" t="s">
        <v>40</v>
      </c>
      <c r="V1127" t="s">
        <v>41</v>
      </c>
      <c r="W1127" t="s">
        <v>95</v>
      </c>
      <c r="X1127" t="str">
        <f>"7521021"</f>
        <v>7521021</v>
      </c>
      <c r="Y1127" t="s">
        <v>458</v>
      </c>
      <c r="Z1127" t="s">
        <v>195</v>
      </c>
      <c r="AA1127" t="s">
        <v>196</v>
      </c>
      <c r="AB1127" t="s">
        <v>131</v>
      </c>
      <c r="AC1127" t="s">
        <v>51</v>
      </c>
      <c r="AD1127" t="s">
        <v>45</v>
      </c>
      <c r="AE1127" s="1">
        <v>30972</v>
      </c>
      <c r="AF1127">
        <v>1</v>
      </c>
      <c r="AG1127" t="s">
        <v>196</v>
      </c>
      <c r="AH1127" s="36">
        <f t="shared" si="17"/>
        <v>34.680555555555557</v>
      </c>
      <c r="AI1127" s="40" t="s">
        <v>1778</v>
      </c>
    </row>
    <row r="1128" spans="1:35" x14ac:dyDescent="0.25">
      <c r="A1128" s="36">
        <v>99911126</v>
      </c>
      <c r="B1128" s="17" t="s">
        <v>32</v>
      </c>
      <c r="C1128" t="s">
        <v>61</v>
      </c>
      <c r="D1128" t="s">
        <v>62</v>
      </c>
      <c r="G1128" s="17" t="s">
        <v>48</v>
      </c>
      <c r="H1128" s="17">
        <v>1</v>
      </c>
      <c r="K1128" t="s">
        <v>354</v>
      </c>
      <c r="L1128" t="s">
        <v>355</v>
      </c>
      <c r="M1128" t="s">
        <v>131</v>
      </c>
      <c r="N1128">
        <v>17</v>
      </c>
      <c r="O1128" t="s">
        <v>40</v>
      </c>
      <c r="P1128" t="s">
        <v>40</v>
      </c>
      <c r="Q1128" t="s">
        <v>40</v>
      </c>
      <c r="R1128" t="s">
        <v>40</v>
      </c>
      <c r="S1128" t="s">
        <v>40</v>
      </c>
      <c r="V1128" t="s">
        <v>41</v>
      </c>
      <c r="W1128" t="s">
        <v>75</v>
      </c>
      <c r="X1128" t="str">
        <f>"7054000"</f>
        <v>7054000</v>
      </c>
      <c r="Y1128" t="s">
        <v>786</v>
      </c>
      <c r="Z1128" t="s">
        <v>354</v>
      </c>
      <c r="AA1128" t="s">
        <v>355</v>
      </c>
      <c r="AB1128" t="s">
        <v>131</v>
      </c>
      <c r="AC1128" t="s">
        <v>51</v>
      </c>
      <c r="AD1128" t="s">
        <v>45</v>
      </c>
      <c r="AE1128" s="1">
        <v>30960</v>
      </c>
      <c r="AF1128">
        <v>1</v>
      </c>
      <c r="AG1128" t="s">
        <v>355</v>
      </c>
      <c r="AH1128" s="36">
        <f t="shared" si="17"/>
        <v>34.713888888888889</v>
      </c>
      <c r="AI1128" s="40" t="s">
        <v>1778</v>
      </c>
    </row>
    <row r="1129" spans="1:35" x14ac:dyDescent="0.25">
      <c r="A1129" s="36">
        <v>99911127</v>
      </c>
      <c r="B1129" s="17" t="s">
        <v>32</v>
      </c>
      <c r="C1129" t="s">
        <v>90</v>
      </c>
      <c r="D1129" t="s">
        <v>91</v>
      </c>
      <c r="G1129" s="17" t="s">
        <v>35</v>
      </c>
      <c r="H1129" s="17">
        <v>1</v>
      </c>
      <c r="I1129">
        <v>1</v>
      </c>
      <c r="J1129" s="1">
        <v>43446</v>
      </c>
      <c r="K1129" t="s">
        <v>1502</v>
      </c>
      <c r="L1129" t="s">
        <v>1503</v>
      </c>
      <c r="M1129" t="s">
        <v>670</v>
      </c>
      <c r="N1129">
        <v>5</v>
      </c>
      <c r="O1129" t="s">
        <v>40</v>
      </c>
      <c r="P1129" t="s">
        <v>40</v>
      </c>
      <c r="Q1129" t="s">
        <v>40</v>
      </c>
      <c r="R1129" t="s">
        <v>40</v>
      </c>
      <c r="S1129" t="s">
        <v>40</v>
      </c>
      <c r="U1129" s="1">
        <v>43446</v>
      </c>
      <c r="X1129" t="str">
        <f>""</f>
        <v/>
      </c>
      <c r="AA1129" t="s">
        <v>1503</v>
      </c>
      <c r="AB1129" t="s">
        <v>670</v>
      </c>
      <c r="AC1129" t="s">
        <v>44</v>
      </c>
      <c r="AD1129" t="s">
        <v>45</v>
      </c>
      <c r="AE1129" s="1">
        <v>30960</v>
      </c>
      <c r="AF1129">
        <v>1</v>
      </c>
      <c r="AG1129" t="s">
        <v>1503</v>
      </c>
      <c r="AH1129" s="36">
        <f t="shared" si="17"/>
        <v>34.713888888888889</v>
      </c>
      <c r="AI1129" s="40" t="s">
        <v>1778</v>
      </c>
    </row>
    <row r="1130" spans="1:35" x14ac:dyDescent="0.25">
      <c r="A1130" s="36">
        <v>99911128</v>
      </c>
      <c r="B1130" s="17" t="s">
        <v>32</v>
      </c>
      <c r="C1130" t="s">
        <v>111</v>
      </c>
      <c r="D1130" t="s">
        <v>112</v>
      </c>
      <c r="G1130" s="17" t="s">
        <v>88</v>
      </c>
      <c r="H1130" s="17">
        <v>2</v>
      </c>
      <c r="J1130" s="1">
        <v>43344</v>
      </c>
      <c r="K1130" t="s">
        <v>354</v>
      </c>
      <c r="L1130" t="s">
        <v>355</v>
      </c>
      <c r="M1130" t="s">
        <v>131</v>
      </c>
      <c r="N1130">
        <v>24</v>
      </c>
      <c r="O1130" t="s">
        <v>40</v>
      </c>
      <c r="P1130" t="s">
        <v>40</v>
      </c>
      <c r="Q1130" t="s">
        <v>40</v>
      </c>
      <c r="R1130" t="s">
        <v>40</v>
      </c>
      <c r="S1130" t="s">
        <v>40</v>
      </c>
      <c r="U1130" s="1">
        <v>43344</v>
      </c>
      <c r="V1130" t="s">
        <v>41</v>
      </c>
      <c r="W1130" t="s">
        <v>75</v>
      </c>
      <c r="X1130" t="str">
        <f>"7054000"</f>
        <v>7054000</v>
      </c>
      <c r="Y1130" t="s">
        <v>786</v>
      </c>
      <c r="Z1130" t="s">
        <v>354</v>
      </c>
      <c r="AA1130" t="s">
        <v>355</v>
      </c>
      <c r="AB1130" t="s">
        <v>131</v>
      </c>
      <c r="AC1130" t="s">
        <v>51</v>
      </c>
      <c r="AD1130" t="s">
        <v>45</v>
      </c>
      <c r="AE1130" s="1">
        <v>30958</v>
      </c>
      <c r="AF1130">
        <v>1</v>
      </c>
      <c r="AG1130" t="s">
        <v>355</v>
      </c>
      <c r="AH1130" s="36">
        <f t="shared" si="17"/>
        <v>34.719444444444441</v>
      </c>
      <c r="AI1130" s="40" t="s">
        <v>1778</v>
      </c>
    </row>
    <row r="1131" spans="1:35" x14ac:dyDescent="0.25">
      <c r="A1131" s="36">
        <v>99911129</v>
      </c>
      <c r="B1131" s="17" t="s">
        <v>32</v>
      </c>
      <c r="C1131" t="s">
        <v>139</v>
      </c>
      <c r="D1131" t="s">
        <v>140</v>
      </c>
      <c r="G1131" s="17" t="s">
        <v>48</v>
      </c>
      <c r="H1131" s="17">
        <v>1</v>
      </c>
      <c r="K1131" t="s">
        <v>300</v>
      </c>
      <c r="L1131" t="s">
        <v>301</v>
      </c>
      <c r="M1131" t="s">
        <v>131</v>
      </c>
      <c r="N1131">
        <v>3</v>
      </c>
      <c r="O1131" t="s">
        <v>40</v>
      </c>
      <c r="P1131" t="s">
        <v>40</v>
      </c>
      <c r="Q1131" t="s">
        <v>40</v>
      </c>
      <c r="R1131" t="s">
        <v>40</v>
      </c>
      <c r="S1131" t="s">
        <v>40</v>
      </c>
      <c r="V1131" t="s">
        <v>41</v>
      </c>
      <c r="W1131" t="s">
        <v>42</v>
      </c>
      <c r="X1131" t="str">
        <f>"0561001"</f>
        <v>0561001</v>
      </c>
      <c r="Y1131" t="s">
        <v>308</v>
      </c>
      <c r="Z1131" t="s">
        <v>300</v>
      </c>
      <c r="AA1131" t="s">
        <v>301</v>
      </c>
      <c r="AB1131" t="s">
        <v>131</v>
      </c>
      <c r="AC1131" t="s">
        <v>51</v>
      </c>
      <c r="AD1131" t="s">
        <v>45</v>
      </c>
      <c r="AE1131" s="1">
        <v>30956</v>
      </c>
      <c r="AF1131">
        <v>2</v>
      </c>
      <c r="AG1131" t="s">
        <v>301</v>
      </c>
      <c r="AH1131" s="36">
        <f t="shared" si="17"/>
        <v>34.725000000000001</v>
      </c>
      <c r="AI1131" s="40" t="s">
        <v>1778</v>
      </c>
    </row>
    <row r="1132" spans="1:35" x14ac:dyDescent="0.25">
      <c r="A1132" s="36">
        <v>99911130</v>
      </c>
      <c r="B1132" s="17" t="s">
        <v>32</v>
      </c>
      <c r="C1132" t="s">
        <v>90</v>
      </c>
      <c r="D1132" t="s">
        <v>91</v>
      </c>
      <c r="G1132" s="17" t="s">
        <v>35</v>
      </c>
      <c r="H1132" s="17">
        <v>1</v>
      </c>
      <c r="I1132" t="s">
        <v>1731</v>
      </c>
      <c r="J1132" s="1">
        <v>43344</v>
      </c>
      <c r="K1132" t="s">
        <v>1725</v>
      </c>
      <c r="L1132" t="s">
        <v>1726</v>
      </c>
      <c r="M1132" t="s">
        <v>1705</v>
      </c>
      <c r="N1132">
        <v>25</v>
      </c>
      <c r="O1132" t="s">
        <v>40</v>
      </c>
      <c r="P1132" t="s">
        <v>40</v>
      </c>
      <c r="Q1132" t="s">
        <v>40</v>
      </c>
      <c r="R1132" t="s">
        <v>40</v>
      </c>
      <c r="S1132" t="s">
        <v>40</v>
      </c>
      <c r="U1132" s="1">
        <v>43344</v>
      </c>
      <c r="V1132" t="s">
        <v>41</v>
      </c>
      <c r="W1132" t="s">
        <v>95</v>
      </c>
      <c r="X1132" t="str">
        <f>"7461017"</f>
        <v>7461017</v>
      </c>
      <c r="Y1132" t="s">
        <v>1732</v>
      </c>
      <c r="Z1132" t="s">
        <v>1725</v>
      </c>
      <c r="AA1132" t="s">
        <v>1726</v>
      </c>
      <c r="AB1132" t="s">
        <v>1705</v>
      </c>
      <c r="AC1132" t="s">
        <v>51</v>
      </c>
      <c r="AD1132" t="s">
        <v>45</v>
      </c>
      <c r="AE1132" s="1">
        <v>30956</v>
      </c>
      <c r="AF1132">
        <v>1</v>
      </c>
      <c r="AG1132" t="s">
        <v>1726</v>
      </c>
      <c r="AH1132" s="36">
        <f t="shared" si="17"/>
        <v>34.725000000000001</v>
      </c>
      <c r="AI1132" s="40" t="s">
        <v>1778</v>
      </c>
    </row>
    <row r="1133" spans="1:35" x14ac:dyDescent="0.25">
      <c r="A1133" s="36">
        <v>99911131</v>
      </c>
      <c r="B1133" s="17" t="s">
        <v>56</v>
      </c>
      <c r="C1133" t="s">
        <v>90</v>
      </c>
      <c r="D1133" t="s">
        <v>91</v>
      </c>
      <c r="G1133" s="17" t="s">
        <v>48</v>
      </c>
      <c r="H1133" s="17">
        <v>1</v>
      </c>
      <c r="K1133" t="s">
        <v>154</v>
      </c>
      <c r="L1133" t="s">
        <v>155</v>
      </c>
      <c r="M1133" t="s">
        <v>131</v>
      </c>
      <c r="N1133">
        <v>30</v>
      </c>
      <c r="O1133" t="s">
        <v>40</v>
      </c>
      <c r="P1133" t="s">
        <v>40</v>
      </c>
      <c r="Q1133" t="s">
        <v>40</v>
      </c>
      <c r="S1133" t="s">
        <v>40</v>
      </c>
      <c r="V1133" t="s">
        <v>41</v>
      </c>
      <c r="W1133" t="s">
        <v>95</v>
      </c>
      <c r="X1133" t="str">
        <f>"7051159"</f>
        <v>7051159</v>
      </c>
      <c r="Y1133" t="s">
        <v>423</v>
      </c>
      <c r="Z1133" t="s">
        <v>154</v>
      </c>
      <c r="AA1133" t="s">
        <v>155</v>
      </c>
      <c r="AB1133" t="s">
        <v>131</v>
      </c>
      <c r="AC1133" t="s">
        <v>51</v>
      </c>
      <c r="AD1133" t="s">
        <v>45</v>
      </c>
      <c r="AE1133" s="1">
        <v>30955</v>
      </c>
      <c r="AF1133">
        <v>1</v>
      </c>
      <c r="AG1133" t="s">
        <v>155</v>
      </c>
      <c r="AH1133" s="36">
        <f t="shared" si="17"/>
        <v>34.727777777777774</v>
      </c>
      <c r="AI1133" s="40" t="s">
        <v>1778</v>
      </c>
    </row>
    <row r="1134" spans="1:35" x14ac:dyDescent="0.25">
      <c r="A1134" s="36">
        <v>99911132</v>
      </c>
      <c r="B1134" s="17" t="s">
        <v>32</v>
      </c>
      <c r="C1134" t="s">
        <v>111</v>
      </c>
      <c r="D1134" t="s">
        <v>112</v>
      </c>
      <c r="G1134" s="17" t="s">
        <v>35</v>
      </c>
      <c r="H1134" s="17">
        <v>5</v>
      </c>
      <c r="K1134" t="s">
        <v>268</v>
      </c>
      <c r="L1134" t="s">
        <v>269</v>
      </c>
      <c r="M1134" t="s">
        <v>131</v>
      </c>
      <c r="N1134">
        <v>23</v>
      </c>
      <c r="O1134" t="s">
        <v>40</v>
      </c>
      <c r="P1134" t="s">
        <v>40</v>
      </c>
      <c r="Q1134" t="s">
        <v>40</v>
      </c>
      <c r="R1134" t="s">
        <v>40</v>
      </c>
      <c r="S1134" t="s">
        <v>40</v>
      </c>
      <c r="V1134" t="s">
        <v>41</v>
      </c>
      <c r="W1134" t="s">
        <v>75</v>
      </c>
      <c r="X1134" t="str">
        <f>"7052006"</f>
        <v>7052006</v>
      </c>
      <c r="Y1134" t="s">
        <v>575</v>
      </c>
      <c r="Z1134" t="s">
        <v>268</v>
      </c>
      <c r="AA1134" t="s">
        <v>269</v>
      </c>
      <c r="AB1134" t="s">
        <v>131</v>
      </c>
      <c r="AC1134" t="s">
        <v>51</v>
      </c>
      <c r="AD1134" t="s">
        <v>45</v>
      </c>
      <c r="AE1134" s="1">
        <v>30955</v>
      </c>
      <c r="AF1134">
        <v>1</v>
      </c>
      <c r="AG1134" t="s">
        <v>269</v>
      </c>
      <c r="AH1134" s="36">
        <f t="shared" si="17"/>
        <v>34.727777777777774</v>
      </c>
      <c r="AI1134" s="40" t="s">
        <v>1778</v>
      </c>
    </row>
    <row r="1135" spans="1:35" x14ac:dyDescent="0.25">
      <c r="A1135" s="36">
        <v>99911133</v>
      </c>
      <c r="B1135" s="17" t="s">
        <v>32</v>
      </c>
      <c r="C1135" t="s">
        <v>90</v>
      </c>
      <c r="D1135" t="s">
        <v>91</v>
      </c>
      <c r="G1135" s="17" t="s">
        <v>48</v>
      </c>
      <c r="H1135" s="17">
        <v>1</v>
      </c>
      <c r="K1135" t="s">
        <v>407</v>
      </c>
      <c r="L1135" t="s">
        <v>409</v>
      </c>
      <c r="M1135" t="s">
        <v>131</v>
      </c>
      <c r="N1135">
        <v>23</v>
      </c>
      <c r="O1135" t="s">
        <v>40</v>
      </c>
      <c r="P1135" t="s">
        <v>40</v>
      </c>
      <c r="Q1135" t="s">
        <v>40</v>
      </c>
      <c r="S1135" t="s">
        <v>40</v>
      </c>
      <c r="V1135" t="s">
        <v>41</v>
      </c>
      <c r="W1135" t="s">
        <v>95</v>
      </c>
      <c r="X1135" t="str">
        <f>"7053007"</f>
        <v>7053007</v>
      </c>
      <c r="Y1135" t="s">
        <v>756</v>
      </c>
      <c r="Z1135" t="s">
        <v>407</v>
      </c>
      <c r="AA1135" t="s">
        <v>409</v>
      </c>
      <c r="AB1135" t="s">
        <v>131</v>
      </c>
      <c r="AC1135" t="s">
        <v>51</v>
      </c>
      <c r="AD1135" t="s">
        <v>45</v>
      </c>
      <c r="AE1135" s="1">
        <v>30955</v>
      </c>
      <c r="AF1135">
        <v>1</v>
      </c>
      <c r="AG1135" t="s">
        <v>409</v>
      </c>
      <c r="AH1135" s="36">
        <f t="shared" si="17"/>
        <v>34.727777777777774</v>
      </c>
      <c r="AI1135" s="40" t="s">
        <v>1778</v>
      </c>
    </row>
    <row r="1136" spans="1:35" x14ac:dyDescent="0.25">
      <c r="A1136" s="36">
        <v>99911134</v>
      </c>
      <c r="B1136" s="17" t="s">
        <v>32</v>
      </c>
      <c r="C1136" t="s">
        <v>61</v>
      </c>
      <c r="D1136" t="s">
        <v>62</v>
      </c>
      <c r="G1136" s="17" t="s">
        <v>35</v>
      </c>
      <c r="H1136" s="17">
        <v>1</v>
      </c>
      <c r="I1136" t="s">
        <v>720</v>
      </c>
      <c r="J1136" s="1">
        <v>43344</v>
      </c>
      <c r="K1136" t="s">
        <v>268</v>
      </c>
      <c r="L1136" t="s">
        <v>269</v>
      </c>
      <c r="M1136" t="s">
        <v>131</v>
      </c>
      <c r="N1136">
        <v>13</v>
      </c>
      <c r="O1136" t="s">
        <v>40</v>
      </c>
      <c r="P1136" t="s">
        <v>40</v>
      </c>
      <c r="Q1136" t="s">
        <v>40</v>
      </c>
      <c r="S1136" t="s">
        <v>40</v>
      </c>
      <c r="U1136" s="1">
        <v>43344</v>
      </c>
      <c r="V1136" t="s">
        <v>41</v>
      </c>
      <c r="W1136" t="s">
        <v>75</v>
      </c>
      <c r="X1136" t="str">
        <f>"7052040"</f>
        <v>7052040</v>
      </c>
      <c r="Y1136" t="s">
        <v>591</v>
      </c>
      <c r="Z1136" t="s">
        <v>268</v>
      </c>
      <c r="AA1136" t="s">
        <v>269</v>
      </c>
      <c r="AB1136" t="s">
        <v>131</v>
      </c>
      <c r="AC1136" t="s">
        <v>44</v>
      </c>
      <c r="AD1136" t="s">
        <v>45</v>
      </c>
      <c r="AE1136" s="1">
        <v>30954</v>
      </c>
      <c r="AF1136">
        <v>1</v>
      </c>
      <c r="AG1136" t="s">
        <v>269</v>
      </c>
      <c r="AH1136" s="36">
        <f t="shared" si="17"/>
        <v>34.730555555555554</v>
      </c>
      <c r="AI1136" s="40" t="s">
        <v>1778</v>
      </c>
    </row>
    <row r="1137" spans="1:35" x14ac:dyDescent="0.25">
      <c r="A1137" s="36">
        <v>99911135</v>
      </c>
      <c r="B1137" s="17" t="s">
        <v>32</v>
      </c>
      <c r="C1137" t="s">
        <v>90</v>
      </c>
      <c r="D1137" t="s">
        <v>91</v>
      </c>
      <c r="G1137" s="17" t="s">
        <v>48</v>
      </c>
      <c r="H1137" s="17">
        <v>1</v>
      </c>
      <c r="K1137" t="s">
        <v>195</v>
      </c>
      <c r="L1137" t="s">
        <v>196</v>
      </c>
      <c r="M1137" t="s">
        <v>131</v>
      </c>
      <c r="N1137">
        <v>25</v>
      </c>
      <c r="O1137" t="s">
        <v>40</v>
      </c>
      <c r="P1137" t="s">
        <v>40</v>
      </c>
      <c r="Q1137" t="s">
        <v>40</v>
      </c>
      <c r="S1137" t="s">
        <v>40</v>
      </c>
      <c r="V1137" t="s">
        <v>41</v>
      </c>
      <c r="W1137" t="s">
        <v>95</v>
      </c>
      <c r="X1137" t="str">
        <f>"7521023"</f>
        <v>7521023</v>
      </c>
      <c r="Y1137" t="s">
        <v>466</v>
      </c>
      <c r="Z1137" t="s">
        <v>195</v>
      </c>
      <c r="AA1137" t="s">
        <v>196</v>
      </c>
      <c r="AB1137" t="s">
        <v>131</v>
      </c>
      <c r="AC1137" t="s">
        <v>51</v>
      </c>
      <c r="AD1137" t="s">
        <v>45</v>
      </c>
      <c r="AE1137" s="1">
        <v>30950</v>
      </c>
      <c r="AF1137">
        <v>1</v>
      </c>
      <c r="AG1137" t="s">
        <v>196</v>
      </c>
      <c r="AH1137" s="36">
        <f t="shared" si="17"/>
        <v>34.741666666666667</v>
      </c>
      <c r="AI1137" s="40" t="s">
        <v>1778</v>
      </c>
    </row>
    <row r="1138" spans="1:35" x14ac:dyDescent="0.25">
      <c r="A1138" s="36">
        <v>99911136</v>
      </c>
      <c r="B1138" s="17" t="s">
        <v>32</v>
      </c>
      <c r="C1138" t="s">
        <v>111</v>
      </c>
      <c r="D1138" t="s">
        <v>112</v>
      </c>
      <c r="G1138" s="17" t="s">
        <v>48</v>
      </c>
      <c r="H1138" s="17">
        <v>5</v>
      </c>
      <c r="J1138" s="1">
        <v>43344</v>
      </c>
      <c r="K1138" t="s">
        <v>354</v>
      </c>
      <c r="L1138" t="s">
        <v>355</v>
      </c>
      <c r="M1138" t="s">
        <v>131</v>
      </c>
      <c r="N1138">
        <v>24</v>
      </c>
      <c r="O1138" t="s">
        <v>40</v>
      </c>
      <c r="P1138" t="s">
        <v>40</v>
      </c>
      <c r="Q1138" t="s">
        <v>40</v>
      </c>
      <c r="R1138" t="s">
        <v>40</v>
      </c>
      <c r="S1138" t="s">
        <v>40</v>
      </c>
      <c r="U1138" s="1">
        <v>43344</v>
      </c>
      <c r="V1138" t="s">
        <v>41</v>
      </c>
      <c r="W1138" t="s">
        <v>75</v>
      </c>
      <c r="X1138" t="str">
        <f>"7054022"</f>
        <v>7054022</v>
      </c>
      <c r="Y1138" t="s">
        <v>770</v>
      </c>
      <c r="Z1138" t="s">
        <v>354</v>
      </c>
      <c r="AA1138" t="s">
        <v>355</v>
      </c>
      <c r="AB1138" t="s">
        <v>131</v>
      </c>
      <c r="AC1138" t="s">
        <v>51</v>
      </c>
      <c r="AD1138" t="s">
        <v>45</v>
      </c>
      <c r="AE1138" s="1">
        <v>30950</v>
      </c>
      <c r="AF1138">
        <v>1</v>
      </c>
      <c r="AG1138" t="s">
        <v>355</v>
      </c>
      <c r="AH1138" s="36">
        <f t="shared" si="17"/>
        <v>34.741666666666667</v>
      </c>
      <c r="AI1138" s="40" t="s">
        <v>1778</v>
      </c>
    </row>
    <row r="1139" spans="1:35" x14ac:dyDescent="0.25">
      <c r="A1139" s="36">
        <v>99911137</v>
      </c>
      <c r="B1139" s="17" t="s">
        <v>32</v>
      </c>
      <c r="C1139" t="s">
        <v>64</v>
      </c>
      <c r="D1139" t="s">
        <v>65</v>
      </c>
      <c r="G1139" s="17" t="s">
        <v>88</v>
      </c>
      <c r="H1139" s="17">
        <v>1</v>
      </c>
      <c r="K1139" t="s">
        <v>157</v>
      </c>
      <c r="L1139" t="s">
        <v>158</v>
      </c>
      <c r="M1139" t="s">
        <v>131</v>
      </c>
      <c r="N1139">
        <v>4</v>
      </c>
      <c r="O1139" t="s">
        <v>40</v>
      </c>
      <c r="P1139" t="s">
        <v>40</v>
      </c>
      <c r="Q1139" t="s">
        <v>40</v>
      </c>
      <c r="R1139" t="s">
        <v>40</v>
      </c>
      <c r="S1139" t="s">
        <v>40</v>
      </c>
      <c r="V1139" t="s">
        <v>41</v>
      </c>
      <c r="W1139" t="s">
        <v>42</v>
      </c>
      <c r="X1139" t="str">
        <f>"0561004"</f>
        <v>0561004</v>
      </c>
      <c r="Y1139" t="s">
        <v>172</v>
      </c>
      <c r="Z1139" t="s">
        <v>157</v>
      </c>
      <c r="AA1139" t="s">
        <v>158</v>
      </c>
      <c r="AB1139" t="s">
        <v>131</v>
      </c>
      <c r="AC1139" t="s">
        <v>51</v>
      </c>
      <c r="AD1139" t="s">
        <v>45</v>
      </c>
      <c r="AE1139" s="1">
        <v>30949</v>
      </c>
      <c r="AF1139">
        <v>2</v>
      </c>
      <c r="AG1139" t="s">
        <v>158</v>
      </c>
      <c r="AH1139" s="36">
        <f t="shared" si="17"/>
        <v>34.744444444444447</v>
      </c>
      <c r="AI1139" s="40" t="s">
        <v>1778</v>
      </c>
    </row>
    <row r="1140" spans="1:35" x14ac:dyDescent="0.25">
      <c r="A1140" s="36">
        <v>99911138</v>
      </c>
      <c r="B1140" s="17" t="s">
        <v>56</v>
      </c>
      <c r="C1140" t="s">
        <v>111</v>
      </c>
      <c r="D1140" t="s">
        <v>112</v>
      </c>
      <c r="G1140" s="17" t="s">
        <v>48</v>
      </c>
      <c r="H1140" s="17">
        <v>1</v>
      </c>
      <c r="K1140" t="s">
        <v>268</v>
      </c>
      <c r="L1140" t="s">
        <v>269</v>
      </c>
      <c r="M1140" t="s">
        <v>131</v>
      </c>
      <c r="N1140">
        <v>24</v>
      </c>
      <c r="O1140" t="s">
        <v>40</v>
      </c>
      <c r="P1140" t="s">
        <v>40</v>
      </c>
      <c r="Q1140" t="s">
        <v>40</v>
      </c>
      <c r="S1140" t="s">
        <v>40</v>
      </c>
      <c r="V1140" t="s">
        <v>41</v>
      </c>
      <c r="W1140" t="s">
        <v>75</v>
      </c>
      <c r="X1140" t="str">
        <f>"7052008"</f>
        <v>7052008</v>
      </c>
      <c r="Y1140" t="s">
        <v>274</v>
      </c>
      <c r="Z1140" t="s">
        <v>268</v>
      </c>
      <c r="AA1140" t="s">
        <v>269</v>
      </c>
      <c r="AB1140" t="s">
        <v>131</v>
      </c>
      <c r="AC1140" t="s">
        <v>51</v>
      </c>
      <c r="AD1140" t="s">
        <v>45</v>
      </c>
      <c r="AE1140" s="1">
        <v>30949</v>
      </c>
      <c r="AF1140">
        <v>1</v>
      </c>
      <c r="AG1140" t="s">
        <v>269</v>
      </c>
      <c r="AH1140" s="36">
        <f t="shared" si="17"/>
        <v>34.744444444444447</v>
      </c>
      <c r="AI1140" s="40" t="s">
        <v>1778</v>
      </c>
    </row>
    <row r="1141" spans="1:35" x14ac:dyDescent="0.25">
      <c r="A1141" s="36">
        <v>99911139</v>
      </c>
      <c r="B1141" s="17" t="s">
        <v>32</v>
      </c>
      <c r="C1141" t="s">
        <v>58</v>
      </c>
      <c r="D1141" t="s">
        <v>59</v>
      </c>
      <c r="G1141" s="17" t="s">
        <v>35</v>
      </c>
      <c r="H1141" s="17">
        <v>1</v>
      </c>
      <c r="K1141" t="s">
        <v>223</v>
      </c>
      <c r="L1141" t="s">
        <v>224</v>
      </c>
      <c r="M1141" t="s">
        <v>131</v>
      </c>
      <c r="N1141">
        <v>16</v>
      </c>
      <c r="O1141" t="s">
        <v>40</v>
      </c>
      <c r="P1141" t="s">
        <v>40</v>
      </c>
      <c r="Q1141" t="s">
        <v>40</v>
      </c>
      <c r="S1141" t="s">
        <v>40</v>
      </c>
      <c r="V1141" t="s">
        <v>41</v>
      </c>
      <c r="W1141" t="s">
        <v>49</v>
      </c>
      <c r="X1141" t="str">
        <f>"0581202"</f>
        <v>0581202</v>
      </c>
      <c r="Y1141" t="s">
        <v>248</v>
      </c>
      <c r="Z1141" t="s">
        <v>223</v>
      </c>
      <c r="AA1141" t="s">
        <v>224</v>
      </c>
      <c r="AB1141" t="s">
        <v>131</v>
      </c>
      <c r="AC1141" t="s">
        <v>51</v>
      </c>
      <c r="AD1141" t="s">
        <v>45</v>
      </c>
      <c r="AE1141" s="1">
        <v>30940</v>
      </c>
      <c r="AF1141">
        <v>2</v>
      </c>
      <c r="AG1141" t="s">
        <v>224</v>
      </c>
      <c r="AH1141" s="36">
        <f t="shared" si="17"/>
        <v>34.769444444444446</v>
      </c>
      <c r="AI1141" s="40" t="s">
        <v>1778</v>
      </c>
    </row>
    <row r="1142" spans="1:35" x14ac:dyDescent="0.25">
      <c r="A1142" s="36">
        <v>99911140</v>
      </c>
      <c r="B1142" s="17" t="s">
        <v>32</v>
      </c>
      <c r="C1142" t="s">
        <v>111</v>
      </c>
      <c r="D1142" t="s">
        <v>112</v>
      </c>
      <c r="G1142" s="17" t="s">
        <v>48</v>
      </c>
      <c r="H1142" s="17">
        <v>5</v>
      </c>
      <c r="K1142" t="s">
        <v>354</v>
      </c>
      <c r="L1142" t="s">
        <v>355</v>
      </c>
      <c r="M1142" t="s">
        <v>131</v>
      </c>
      <c r="N1142">
        <v>24</v>
      </c>
      <c r="O1142" t="s">
        <v>40</v>
      </c>
      <c r="P1142" t="s">
        <v>40</v>
      </c>
      <c r="Q1142" t="s">
        <v>40</v>
      </c>
      <c r="R1142" t="s">
        <v>40</v>
      </c>
      <c r="S1142" t="s">
        <v>40</v>
      </c>
      <c r="V1142" t="s">
        <v>41</v>
      </c>
      <c r="W1142" t="s">
        <v>75</v>
      </c>
      <c r="X1142" t="str">
        <f>"7054022"</f>
        <v>7054022</v>
      </c>
      <c r="Y1142" t="s">
        <v>770</v>
      </c>
      <c r="Z1142" t="s">
        <v>354</v>
      </c>
      <c r="AA1142" t="s">
        <v>355</v>
      </c>
      <c r="AB1142" t="s">
        <v>131</v>
      </c>
      <c r="AC1142" t="s">
        <v>51</v>
      </c>
      <c r="AD1142" t="s">
        <v>45</v>
      </c>
      <c r="AE1142" s="1">
        <v>30936</v>
      </c>
      <c r="AF1142">
        <v>1</v>
      </c>
      <c r="AG1142" t="s">
        <v>355</v>
      </c>
      <c r="AH1142" s="36">
        <f t="shared" si="17"/>
        <v>34.780555555555559</v>
      </c>
      <c r="AI1142" s="40" t="s">
        <v>1778</v>
      </c>
    </row>
    <row r="1143" spans="1:35" x14ac:dyDescent="0.25">
      <c r="A1143" s="36">
        <v>99911141</v>
      </c>
      <c r="B1143" s="17" t="s">
        <v>32</v>
      </c>
      <c r="C1143" t="s">
        <v>90</v>
      </c>
      <c r="D1143" t="s">
        <v>91</v>
      </c>
      <c r="G1143" s="17" t="s">
        <v>35</v>
      </c>
      <c r="H1143" s="17">
        <v>1</v>
      </c>
      <c r="I1143" t="s">
        <v>904</v>
      </c>
      <c r="J1143" s="1">
        <v>43390</v>
      </c>
      <c r="K1143" t="s">
        <v>877</v>
      </c>
      <c r="L1143" t="s">
        <v>878</v>
      </c>
      <c r="M1143" t="s">
        <v>131</v>
      </c>
      <c r="N1143">
        <v>24</v>
      </c>
      <c r="O1143" t="s">
        <v>40</v>
      </c>
      <c r="P1143" t="s">
        <v>40</v>
      </c>
      <c r="Q1143" t="s">
        <v>40</v>
      </c>
      <c r="S1143" t="s">
        <v>40</v>
      </c>
      <c r="U1143" s="1">
        <v>43390</v>
      </c>
      <c r="V1143" t="s">
        <v>41</v>
      </c>
      <c r="W1143" t="s">
        <v>75</v>
      </c>
      <c r="X1143" t="str">
        <f>"7541020"</f>
        <v>7541020</v>
      </c>
      <c r="Y1143" t="s">
        <v>882</v>
      </c>
      <c r="Z1143" t="s">
        <v>877</v>
      </c>
      <c r="AA1143" t="s">
        <v>878</v>
      </c>
      <c r="AB1143" t="s">
        <v>131</v>
      </c>
      <c r="AC1143" t="s">
        <v>44</v>
      </c>
      <c r="AD1143" t="s">
        <v>45</v>
      </c>
      <c r="AE1143" s="1">
        <v>30931</v>
      </c>
      <c r="AF1143">
        <v>1</v>
      </c>
      <c r="AG1143" t="s">
        <v>878</v>
      </c>
      <c r="AH1143" s="36">
        <f t="shared" si="17"/>
        <v>34.794444444444444</v>
      </c>
      <c r="AI1143" s="40" t="s">
        <v>1778</v>
      </c>
    </row>
    <row r="1144" spans="1:35" x14ac:dyDescent="0.25">
      <c r="A1144" s="36">
        <v>99911142</v>
      </c>
      <c r="B1144" s="17" t="s">
        <v>32</v>
      </c>
      <c r="C1144" t="s">
        <v>68</v>
      </c>
      <c r="D1144" t="s">
        <v>69</v>
      </c>
      <c r="G1144" s="17" t="s">
        <v>35</v>
      </c>
      <c r="H1144" s="17">
        <v>1</v>
      </c>
      <c r="I1144">
        <v>20583</v>
      </c>
      <c r="J1144" s="1">
        <v>43344</v>
      </c>
      <c r="K1144" t="s">
        <v>345</v>
      </c>
      <c r="L1144" t="s">
        <v>346</v>
      </c>
      <c r="M1144" t="s">
        <v>131</v>
      </c>
      <c r="N1144">
        <v>5</v>
      </c>
      <c r="O1144" t="s">
        <v>40</v>
      </c>
      <c r="P1144" t="s">
        <v>40</v>
      </c>
      <c r="Q1144" t="s">
        <v>40</v>
      </c>
      <c r="S1144" t="s">
        <v>40</v>
      </c>
      <c r="U1144" s="1">
        <v>43344</v>
      </c>
      <c r="V1144" t="s">
        <v>41</v>
      </c>
      <c r="W1144" t="s">
        <v>49</v>
      </c>
      <c r="X1144" t="str">
        <f>"0581605"</f>
        <v>0581605</v>
      </c>
      <c r="Y1144" t="s">
        <v>366</v>
      </c>
      <c r="Z1144" t="s">
        <v>345</v>
      </c>
      <c r="AA1144" t="s">
        <v>346</v>
      </c>
      <c r="AB1144" t="s">
        <v>131</v>
      </c>
      <c r="AC1144" t="s">
        <v>44</v>
      </c>
      <c r="AD1144" t="s">
        <v>45</v>
      </c>
      <c r="AE1144" s="1">
        <v>30930</v>
      </c>
      <c r="AF1144">
        <v>2</v>
      </c>
      <c r="AG1144" t="s">
        <v>346</v>
      </c>
      <c r="AH1144" s="36">
        <f t="shared" si="17"/>
        <v>34.797222222222224</v>
      </c>
      <c r="AI1144" s="40" t="s">
        <v>1778</v>
      </c>
    </row>
    <row r="1145" spans="1:35" x14ac:dyDescent="0.25">
      <c r="A1145" s="36">
        <v>99911143</v>
      </c>
      <c r="B1145" s="17" t="s">
        <v>32</v>
      </c>
      <c r="C1145" t="s">
        <v>61</v>
      </c>
      <c r="D1145" t="s">
        <v>62</v>
      </c>
      <c r="G1145" s="17" t="s">
        <v>88</v>
      </c>
      <c r="H1145" s="17">
        <v>4</v>
      </c>
      <c r="K1145" t="s">
        <v>1426</v>
      </c>
      <c r="L1145" t="s">
        <v>1427</v>
      </c>
      <c r="M1145" t="s">
        <v>1270</v>
      </c>
      <c r="N1145">
        <v>12</v>
      </c>
      <c r="O1145" t="s">
        <v>40</v>
      </c>
      <c r="P1145" t="s">
        <v>40</v>
      </c>
      <c r="Q1145" t="s">
        <v>40</v>
      </c>
      <c r="R1145" t="s">
        <v>40</v>
      </c>
      <c r="S1145" t="s">
        <v>40</v>
      </c>
      <c r="V1145" t="s">
        <v>41</v>
      </c>
      <c r="W1145" t="s">
        <v>75</v>
      </c>
      <c r="X1145" t="str">
        <f>"7192004"</f>
        <v>7192004</v>
      </c>
      <c r="Y1145" t="s">
        <v>1428</v>
      </c>
      <c r="Z1145" t="s">
        <v>1426</v>
      </c>
      <c r="AA1145" t="s">
        <v>1427</v>
      </c>
      <c r="AB1145" t="s">
        <v>1270</v>
      </c>
      <c r="AC1145" t="s">
        <v>51</v>
      </c>
      <c r="AD1145" t="s">
        <v>45</v>
      </c>
      <c r="AE1145" s="1">
        <v>30930</v>
      </c>
      <c r="AF1145">
        <v>1</v>
      </c>
      <c r="AG1145" t="s">
        <v>1427</v>
      </c>
      <c r="AH1145" s="36">
        <f t="shared" si="17"/>
        <v>34.797222222222224</v>
      </c>
      <c r="AI1145" s="40" t="s">
        <v>1778</v>
      </c>
    </row>
    <row r="1146" spans="1:35" x14ac:dyDescent="0.25">
      <c r="A1146" s="36">
        <v>99911144</v>
      </c>
      <c r="B1146" s="17" t="s">
        <v>32</v>
      </c>
      <c r="C1146" t="s">
        <v>90</v>
      </c>
      <c r="D1146" t="s">
        <v>91</v>
      </c>
      <c r="G1146" s="17" t="s">
        <v>35</v>
      </c>
      <c r="H1146" s="17">
        <v>1</v>
      </c>
      <c r="I1146">
        <v>20393</v>
      </c>
      <c r="J1146" s="1">
        <v>43344</v>
      </c>
      <c r="K1146" t="s">
        <v>354</v>
      </c>
      <c r="L1146" t="s">
        <v>355</v>
      </c>
      <c r="M1146" t="s">
        <v>131</v>
      </c>
      <c r="N1146">
        <v>24</v>
      </c>
      <c r="O1146" t="s">
        <v>40</v>
      </c>
      <c r="S1146" t="s">
        <v>40</v>
      </c>
      <c r="U1146" s="1">
        <v>43344</v>
      </c>
      <c r="V1146" t="s">
        <v>41</v>
      </c>
      <c r="W1146" t="s">
        <v>75</v>
      </c>
      <c r="X1146" t="str">
        <f>"7054042"</f>
        <v>7054042</v>
      </c>
      <c r="Y1146" t="s">
        <v>776</v>
      </c>
      <c r="Z1146" t="s">
        <v>354</v>
      </c>
      <c r="AA1146" t="s">
        <v>355</v>
      </c>
      <c r="AB1146" t="s">
        <v>131</v>
      </c>
      <c r="AC1146" t="s">
        <v>51</v>
      </c>
      <c r="AD1146" t="s">
        <v>45</v>
      </c>
      <c r="AE1146" s="1">
        <v>30929</v>
      </c>
      <c r="AF1146">
        <v>1</v>
      </c>
      <c r="AG1146" t="s">
        <v>355</v>
      </c>
      <c r="AH1146" s="36">
        <f t="shared" si="17"/>
        <v>34.799999999999997</v>
      </c>
      <c r="AI1146" s="40" t="s">
        <v>1778</v>
      </c>
    </row>
    <row r="1147" spans="1:35" x14ac:dyDescent="0.25">
      <c r="A1147" s="36">
        <v>99911145</v>
      </c>
      <c r="B1147" s="17" t="s">
        <v>32</v>
      </c>
      <c r="C1147" t="s">
        <v>90</v>
      </c>
      <c r="D1147" t="s">
        <v>91</v>
      </c>
      <c r="G1147" s="17" t="s">
        <v>48</v>
      </c>
      <c r="H1147" s="17">
        <v>1</v>
      </c>
      <c r="K1147" t="s">
        <v>1631</v>
      </c>
      <c r="L1147" t="s">
        <v>1632</v>
      </c>
      <c r="M1147" t="s">
        <v>1592</v>
      </c>
      <c r="N1147">
        <v>25</v>
      </c>
      <c r="O1147" t="s">
        <v>40</v>
      </c>
      <c r="P1147" t="s">
        <v>40</v>
      </c>
      <c r="Q1147" t="s">
        <v>40</v>
      </c>
      <c r="R1147" t="s">
        <v>40</v>
      </c>
      <c r="S1147" t="s">
        <v>40</v>
      </c>
      <c r="V1147" t="s">
        <v>41</v>
      </c>
      <c r="W1147" t="s">
        <v>95</v>
      </c>
      <c r="X1147" t="str">
        <f>"7021011"</f>
        <v>7021011</v>
      </c>
      <c r="Y1147" t="s">
        <v>1643</v>
      </c>
      <c r="Z1147" t="s">
        <v>1631</v>
      </c>
      <c r="AA1147" t="s">
        <v>1632</v>
      </c>
      <c r="AB1147" t="s">
        <v>1592</v>
      </c>
      <c r="AC1147" t="s">
        <v>51</v>
      </c>
      <c r="AD1147" t="s">
        <v>45</v>
      </c>
      <c r="AE1147" s="1">
        <v>30929</v>
      </c>
      <c r="AF1147">
        <v>1</v>
      </c>
      <c r="AG1147" t="s">
        <v>1632</v>
      </c>
      <c r="AH1147" s="36">
        <f t="shared" si="17"/>
        <v>34.799999999999997</v>
      </c>
      <c r="AI1147" s="40" t="s">
        <v>1778</v>
      </c>
    </row>
    <row r="1148" spans="1:35" x14ac:dyDescent="0.25">
      <c r="A1148" s="36">
        <v>99911146</v>
      </c>
      <c r="B1148" s="17" t="s">
        <v>32</v>
      </c>
      <c r="C1148" t="s">
        <v>33</v>
      </c>
      <c r="D1148" t="s">
        <v>34</v>
      </c>
      <c r="G1148" s="17" t="s">
        <v>48</v>
      </c>
      <c r="H1148" s="17">
        <v>1</v>
      </c>
      <c r="K1148" t="s">
        <v>223</v>
      </c>
      <c r="L1148" t="s">
        <v>224</v>
      </c>
      <c r="M1148" t="s">
        <v>131</v>
      </c>
      <c r="N1148">
        <v>24</v>
      </c>
      <c r="O1148" t="s">
        <v>40</v>
      </c>
      <c r="P1148" t="s">
        <v>40</v>
      </c>
      <c r="Q1148" t="s">
        <v>40</v>
      </c>
      <c r="R1148" t="s">
        <v>40</v>
      </c>
      <c r="S1148" t="s">
        <v>40</v>
      </c>
      <c r="V1148" t="s">
        <v>41</v>
      </c>
      <c r="W1148" t="s">
        <v>49</v>
      </c>
      <c r="X1148" t="str">
        <f>"0591910"</f>
        <v>0591910</v>
      </c>
      <c r="Y1148" t="s">
        <v>228</v>
      </c>
      <c r="Z1148" t="s">
        <v>223</v>
      </c>
      <c r="AA1148" t="s">
        <v>224</v>
      </c>
      <c r="AB1148" t="s">
        <v>131</v>
      </c>
      <c r="AC1148" t="s">
        <v>51</v>
      </c>
      <c r="AD1148" t="s">
        <v>45</v>
      </c>
      <c r="AE1148" s="1">
        <v>30927</v>
      </c>
      <c r="AF1148">
        <v>2</v>
      </c>
      <c r="AG1148" t="s">
        <v>224</v>
      </c>
      <c r="AH1148" s="36">
        <f t="shared" si="17"/>
        <v>34.805555555555557</v>
      </c>
      <c r="AI1148" s="40" t="s">
        <v>1778</v>
      </c>
    </row>
    <row r="1149" spans="1:35" x14ac:dyDescent="0.25">
      <c r="A1149" s="36">
        <v>99911147</v>
      </c>
      <c r="B1149" s="17" t="s">
        <v>32</v>
      </c>
      <c r="C1149" t="s">
        <v>79</v>
      </c>
      <c r="D1149" t="s">
        <v>80</v>
      </c>
      <c r="G1149" s="17" t="s">
        <v>35</v>
      </c>
      <c r="H1149" s="17">
        <v>1</v>
      </c>
      <c r="I1149" t="s">
        <v>1165</v>
      </c>
      <c r="J1149" s="1">
        <v>43367</v>
      </c>
      <c r="K1149" t="s">
        <v>1128</v>
      </c>
      <c r="L1149" t="s">
        <v>1129</v>
      </c>
      <c r="M1149" t="s">
        <v>1130</v>
      </c>
      <c r="N1149">
        <v>4</v>
      </c>
      <c r="O1149" t="s">
        <v>40</v>
      </c>
      <c r="S1149" t="s">
        <v>40</v>
      </c>
      <c r="U1149" s="1">
        <v>43367</v>
      </c>
      <c r="V1149" t="s">
        <v>41</v>
      </c>
      <c r="W1149" t="s">
        <v>49</v>
      </c>
      <c r="X1149" t="str">
        <f>"3181010"</f>
        <v>3181010</v>
      </c>
      <c r="Y1149" t="s">
        <v>1134</v>
      </c>
      <c r="Z1149" t="s">
        <v>1128</v>
      </c>
      <c r="AA1149" t="s">
        <v>1129</v>
      </c>
      <c r="AB1149" t="s">
        <v>1130</v>
      </c>
      <c r="AC1149" t="s">
        <v>44</v>
      </c>
      <c r="AD1149" t="s">
        <v>45</v>
      </c>
      <c r="AE1149" s="1">
        <v>30925</v>
      </c>
      <c r="AF1149">
        <v>2</v>
      </c>
      <c r="AG1149" t="s">
        <v>1129</v>
      </c>
      <c r="AH1149" s="36">
        <f t="shared" si="17"/>
        <v>34.81111111111111</v>
      </c>
      <c r="AI1149" s="40" t="s">
        <v>1778</v>
      </c>
    </row>
    <row r="1150" spans="1:35" x14ac:dyDescent="0.25">
      <c r="A1150" s="36">
        <v>99911148</v>
      </c>
      <c r="B1150" s="17" t="s">
        <v>32</v>
      </c>
      <c r="C1150" t="s">
        <v>90</v>
      </c>
      <c r="D1150" t="s">
        <v>91</v>
      </c>
      <c r="G1150" s="17" t="s">
        <v>48</v>
      </c>
      <c r="H1150" s="17">
        <v>1</v>
      </c>
      <c r="K1150" t="s">
        <v>354</v>
      </c>
      <c r="L1150" t="s">
        <v>355</v>
      </c>
      <c r="M1150" t="s">
        <v>131</v>
      </c>
      <c r="N1150">
        <v>25</v>
      </c>
      <c r="O1150" t="s">
        <v>40</v>
      </c>
      <c r="P1150" t="s">
        <v>40</v>
      </c>
      <c r="Q1150" t="s">
        <v>40</v>
      </c>
      <c r="R1150" t="s">
        <v>40</v>
      </c>
      <c r="S1150" t="s">
        <v>40</v>
      </c>
      <c r="V1150" t="s">
        <v>41</v>
      </c>
      <c r="W1150" t="s">
        <v>95</v>
      </c>
      <c r="X1150" t="str">
        <f>"7054021"</f>
        <v>7054021</v>
      </c>
      <c r="Y1150" t="s">
        <v>783</v>
      </c>
      <c r="Z1150" t="s">
        <v>354</v>
      </c>
      <c r="AA1150" t="s">
        <v>355</v>
      </c>
      <c r="AB1150" t="s">
        <v>131</v>
      </c>
      <c r="AC1150" t="s">
        <v>51</v>
      </c>
      <c r="AD1150" t="s">
        <v>45</v>
      </c>
      <c r="AE1150" s="1">
        <v>30913</v>
      </c>
      <c r="AF1150">
        <v>1</v>
      </c>
      <c r="AG1150" t="s">
        <v>355</v>
      </c>
      <c r="AH1150" s="36">
        <f t="shared" si="17"/>
        <v>34.844444444444441</v>
      </c>
      <c r="AI1150" s="40" t="s">
        <v>1778</v>
      </c>
    </row>
    <row r="1151" spans="1:35" x14ac:dyDescent="0.25">
      <c r="A1151" s="36">
        <v>99911149</v>
      </c>
      <c r="B1151" s="17" t="s">
        <v>32</v>
      </c>
      <c r="C1151" t="s">
        <v>139</v>
      </c>
      <c r="D1151" t="s">
        <v>140</v>
      </c>
      <c r="G1151" s="17" t="s">
        <v>35</v>
      </c>
      <c r="H1151" s="17">
        <v>1</v>
      </c>
      <c r="K1151" t="s">
        <v>1546</v>
      </c>
      <c r="L1151" t="s">
        <v>1547</v>
      </c>
      <c r="M1151" t="s">
        <v>1548</v>
      </c>
      <c r="N1151">
        <v>20</v>
      </c>
      <c r="O1151" t="s">
        <v>40</v>
      </c>
      <c r="P1151" t="s">
        <v>40</v>
      </c>
      <c r="Q1151" t="s">
        <v>40</v>
      </c>
      <c r="R1151" t="s">
        <v>40</v>
      </c>
      <c r="S1151" t="s">
        <v>40</v>
      </c>
      <c r="V1151" t="s">
        <v>41</v>
      </c>
      <c r="W1151" t="s">
        <v>49</v>
      </c>
      <c r="X1151" t="str">
        <f>"1081010"</f>
        <v>1081010</v>
      </c>
      <c r="Y1151" t="s">
        <v>1552</v>
      </c>
      <c r="Z1151" t="s">
        <v>1546</v>
      </c>
      <c r="AA1151" t="s">
        <v>1547</v>
      </c>
      <c r="AB1151" t="s">
        <v>1548</v>
      </c>
      <c r="AC1151" t="s">
        <v>51</v>
      </c>
      <c r="AD1151" t="s">
        <v>45</v>
      </c>
      <c r="AE1151" s="1">
        <v>30913</v>
      </c>
      <c r="AF1151">
        <v>2</v>
      </c>
      <c r="AG1151" t="s">
        <v>1547</v>
      </c>
      <c r="AH1151" s="36">
        <f t="shared" si="17"/>
        <v>34.844444444444441</v>
      </c>
      <c r="AI1151" s="40" t="s">
        <v>1778</v>
      </c>
    </row>
    <row r="1152" spans="1:35" x14ac:dyDescent="0.25">
      <c r="A1152" s="36">
        <v>99911150</v>
      </c>
      <c r="B1152" s="17" t="s">
        <v>32</v>
      </c>
      <c r="C1152" t="s">
        <v>111</v>
      </c>
      <c r="D1152" t="s">
        <v>112</v>
      </c>
      <c r="G1152" s="17" t="s">
        <v>48</v>
      </c>
      <c r="H1152" s="17">
        <v>1</v>
      </c>
      <c r="K1152" t="s">
        <v>431</v>
      </c>
      <c r="L1152" t="s">
        <v>196</v>
      </c>
      <c r="M1152" t="s">
        <v>131</v>
      </c>
      <c r="N1152">
        <v>23</v>
      </c>
      <c r="O1152" t="s">
        <v>40</v>
      </c>
      <c r="P1152" t="s">
        <v>40</v>
      </c>
      <c r="Q1152" t="s">
        <v>40</v>
      </c>
      <c r="S1152" t="s">
        <v>40</v>
      </c>
      <c r="V1152" t="s">
        <v>41</v>
      </c>
      <c r="W1152" t="s">
        <v>75</v>
      </c>
      <c r="X1152" t="str">
        <f>"7521016"</f>
        <v>7521016</v>
      </c>
      <c r="Y1152" t="s">
        <v>448</v>
      </c>
      <c r="Z1152" t="s">
        <v>431</v>
      </c>
      <c r="AA1152" t="s">
        <v>196</v>
      </c>
      <c r="AB1152" t="s">
        <v>131</v>
      </c>
      <c r="AC1152" t="s">
        <v>51</v>
      </c>
      <c r="AD1152" t="s">
        <v>45</v>
      </c>
      <c r="AE1152" s="1">
        <v>30912</v>
      </c>
      <c r="AF1152">
        <v>1</v>
      </c>
      <c r="AG1152" t="s">
        <v>196</v>
      </c>
      <c r="AH1152" s="36">
        <f t="shared" si="17"/>
        <v>34.847222222222221</v>
      </c>
      <c r="AI1152" s="40" t="s">
        <v>1778</v>
      </c>
    </row>
    <row r="1153" spans="1:35" x14ac:dyDescent="0.25">
      <c r="A1153" s="36">
        <v>99911151</v>
      </c>
      <c r="B1153" s="17" t="s">
        <v>32</v>
      </c>
      <c r="C1153" t="s">
        <v>82</v>
      </c>
      <c r="D1153" t="s">
        <v>83</v>
      </c>
      <c r="G1153" s="17" t="s">
        <v>35</v>
      </c>
      <c r="H1153" s="17">
        <v>1</v>
      </c>
      <c r="I1153" t="s">
        <v>1340</v>
      </c>
      <c r="J1153" s="1">
        <v>43364</v>
      </c>
      <c r="K1153" t="s">
        <v>1336</v>
      </c>
      <c r="L1153" t="s">
        <v>1337</v>
      </c>
      <c r="M1153" t="s">
        <v>1270</v>
      </c>
      <c r="N1153">
        <v>17</v>
      </c>
      <c r="O1153" t="s">
        <v>40</v>
      </c>
      <c r="P1153" t="s">
        <v>40</v>
      </c>
      <c r="Q1153" t="s">
        <v>40</v>
      </c>
      <c r="R1153" t="s">
        <v>40</v>
      </c>
      <c r="S1153" t="s">
        <v>40</v>
      </c>
      <c r="U1153" s="1">
        <v>43364</v>
      </c>
      <c r="V1153" t="s">
        <v>41</v>
      </c>
      <c r="W1153" t="s">
        <v>42</v>
      </c>
      <c r="X1153" t="str">
        <f>"4475070"</f>
        <v>4475070</v>
      </c>
      <c r="Y1153" t="s">
        <v>1338</v>
      </c>
      <c r="Z1153" t="s">
        <v>1336</v>
      </c>
      <c r="AA1153" t="s">
        <v>1337</v>
      </c>
      <c r="AB1153" t="s">
        <v>1270</v>
      </c>
      <c r="AC1153" t="s">
        <v>51</v>
      </c>
      <c r="AD1153" t="s">
        <v>45</v>
      </c>
      <c r="AE1153" s="1">
        <v>30912</v>
      </c>
      <c r="AF1153">
        <v>2</v>
      </c>
      <c r="AG1153" t="s">
        <v>1337</v>
      </c>
      <c r="AH1153" s="36">
        <f t="shared" si="17"/>
        <v>34.847222222222221</v>
      </c>
      <c r="AI1153" s="40" t="s">
        <v>1778</v>
      </c>
    </row>
    <row r="1154" spans="1:35" x14ac:dyDescent="0.25">
      <c r="A1154" s="36">
        <v>99911152</v>
      </c>
      <c r="B1154" s="17" t="s">
        <v>32</v>
      </c>
      <c r="C1154" t="s">
        <v>64</v>
      </c>
      <c r="D1154" t="s">
        <v>65</v>
      </c>
      <c r="G1154" s="17" t="s">
        <v>48</v>
      </c>
      <c r="H1154" s="17">
        <v>1</v>
      </c>
      <c r="K1154" t="s">
        <v>1198</v>
      </c>
      <c r="L1154" t="s">
        <v>1199</v>
      </c>
      <c r="M1154" t="s">
        <v>1130</v>
      </c>
      <c r="N1154">
        <v>13</v>
      </c>
      <c r="O1154" t="s">
        <v>40</v>
      </c>
      <c r="P1154" t="s">
        <v>40</v>
      </c>
      <c r="Q1154" t="s">
        <v>40</v>
      </c>
      <c r="R1154" t="s">
        <v>40</v>
      </c>
      <c r="S1154" t="s">
        <v>40</v>
      </c>
      <c r="V1154" t="s">
        <v>41</v>
      </c>
      <c r="W1154" t="s">
        <v>75</v>
      </c>
      <c r="X1154" t="str">
        <f>"7311010"</f>
        <v>7311010</v>
      </c>
      <c r="Y1154" t="s">
        <v>1202</v>
      </c>
      <c r="Z1154" t="s">
        <v>1198</v>
      </c>
      <c r="AA1154" t="s">
        <v>1199</v>
      </c>
      <c r="AB1154" t="s">
        <v>1130</v>
      </c>
      <c r="AC1154" t="s">
        <v>51</v>
      </c>
      <c r="AD1154" t="s">
        <v>45</v>
      </c>
      <c r="AE1154" s="1">
        <v>30909</v>
      </c>
      <c r="AF1154">
        <v>1</v>
      </c>
      <c r="AG1154" t="s">
        <v>1199</v>
      </c>
      <c r="AH1154" s="36">
        <f t="shared" ref="AH1154:AH1217" si="18">($AJ$1-AE1154)/360</f>
        <v>34.855555555555554</v>
      </c>
      <c r="AI1154" s="40" t="s">
        <v>1778</v>
      </c>
    </row>
    <row r="1155" spans="1:35" x14ac:dyDescent="0.25">
      <c r="A1155" s="36">
        <v>99911153</v>
      </c>
      <c r="B1155" s="17" t="s">
        <v>32</v>
      </c>
      <c r="C1155" t="s">
        <v>111</v>
      </c>
      <c r="D1155" t="s">
        <v>112</v>
      </c>
      <c r="G1155" s="17" t="s">
        <v>35</v>
      </c>
      <c r="H1155" s="17">
        <v>1</v>
      </c>
      <c r="K1155" t="s">
        <v>1081</v>
      </c>
      <c r="L1155" t="s">
        <v>1082</v>
      </c>
      <c r="M1155" t="s">
        <v>1053</v>
      </c>
      <c r="N1155">
        <v>24</v>
      </c>
      <c r="O1155" t="s">
        <v>40</v>
      </c>
      <c r="P1155" t="s">
        <v>40</v>
      </c>
      <c r="Q1155" t="s">
        <v>40</v>
      </c>
      <c r="R1155" t="s">
        <v>40</v>
      </c>
      <c r="S1155" t="s">
        <v>40</v>
      </c>
      <c r="V1155" t="s">
        <v>41</v>
      </c>
      <c r="W1155" t="s">
        <v>75</v>
      </c>
      <c r="X1155" t="str">
        <f>"7201006"</f>
        <v>7201006</v>
      </c>
      <c r="Y1155" t="s">
        <v>1083</v>
      </c>
      <c r="Z1155" t="s">
        <v>1081</v>
      </c>
      <c r="AA1155" t="s">
        <v>1082</v>
      </c>
      <c r="AB1155" t="s">
        <v>1053</v>
      </c>
      <c r="AC1155" t="s">
        <v>51</v>
      </c>
      <c r="AD1155" t="s">
        <v>45</v>
      </c>
      <c r="AE1155" s="1">
        <v>30905</v>
      </c>
      <c r="AF1155">
        <v>1</v>
      </c>
      <c r="AG1155" t="s">
        <v>1082</v>
      </c>
      <c r="AH1155" s="36">
        <f t="shared" si="18"/>
        <v>34.866666666666667</v>
      </c>
      <c r="AI1155" s="40" t="s">
        <v>1778</v>
      </c>
    </row>
    <row r="1156" spans="1:35" x14ac:dyDescent="0.25">
      <c r="A1156" s="36">
        <v>99911154</v>
      </c>
      <c r="B1156" s="17" t="s">
        <v>32</v>
      </c>
      <c r="C1156" t="s">
        <v>64</v>
      </c>
      <c r="D1156" t="s">
        <v>65</v>
      </c>
      <c r="G1156" s="17" t="s">
        <v>35</v>
      </c>
      <c r="H1156" s="17">
        <v>4</v>
      </c>
      <c r="K1156" t="s">
        <v>1619</v>
      </c>
      <c r="L1156" t="s">
        <v>1620</v>
      </c>
      <c r="M1156" t="s">
        <v>1592</v>
      </c>
      <c r="N1156">
        <v>15</v>
      </c>
      <c r="O1156" t="s">
        <v>40</v>
      </c>
      <c r="P1156" t="s">
        <v>40</v>
      </c>
      <c r="Q1156" t="s">
        <v>40</v>
      </c>
      <c r="R1156" t="s">
        <v>40</v>
      </c>
      <c r="S1156" t="s">
        <v>40</v>
      </c>
      <c r="V1156" t="s">
        <v>41</v>
      </c>
      <c r="W1156" t="s">
        <v>75</v>
      </c>
      <c r="X1156" t="str">
        <f>"7281000"</f>
        <v>7281000</v>
      </c>
      <c r="Y1156" t="s">
        <v>1648</v>
      </c>
      <c r="Z1156" t="s">
        <v>1619</v>
      </c>
      <c r="AA1156" t="s">
        <v>1620</v>
      </c>
      <c r="AB1156" t="s">
        <v>1592</v>
      </c>
      <c r="AC1156" t="s">
        <v>51</v>
      </c>
      <c r="AD1156" t="s">
        <v>45</v>
      </c>
      <c r="AE1156" s="1">
        <v>30903</v>
      </c>
      <c r="AF1156">
        <v>1</v>
      </c>
      <c r="AG1156" t="s">
        <v>1620</v>
      </c>
      <c r="AH1156" s="36">
        <f t="shared" si="18"/>
        <v>34.87222222222222</v>
      </c>
      <c r="AI1156" s="40" t="s">
        <v>1778</v>
      </c>
    </row>
    <row r="1157" spans="1:35" x14ac:dyDescent="0.25">
      <c r="A1157" s="36">
        <v>99911155</v>
      </c>
      <c r="B1157" s="17" t="s">
        <v>32</v>
      </c>
      <c r="C1157" t="s">
        <v>139</v>
      </c>
      <c r="D1157" t="s">
        <v>140</v>
      </c>
      <c r="G1157" s="17" t="s">
        <v>48</v>
      </c>
      <c r="H1157" s="17">
        <v>1</v>
      </c>
      <c r="K1157" t="s">
        <v>1128</v>
      </c>
      <c r="L1157" t="s">
        <v>1129</v>
      </c>
      <c r="M1157" t="s">
        <v>1130</v>
      </c>
      <c r="N1157">
        <v>23</v>
      </c>
      <c r="O1157" t="s">
        <v>40</v>
      </c>
      <c r="P1157" t="s">
        <v>40</v>
      </c>
      <c r="Q1157" t="s">
        <v>40</v>
      </c>
      <c r="R1157" t="s">
        <v>40</v>
      </c>
      <c r="S1157" t="s">
        <v>40</v>
      </c>
      <c r="V1157" t="s">
        <v>41</v>
      </c>
      <c r="W1157" t="s">
        <v>49</v>
      </c>
      <c r="X1157" t="str">
        <f>"3181010"</f>
        <v>3181010</v>
      </c>
      <c r="Y1157" t="s">
        <v>1134</v>
      </c>
      <c r="Z1157" t="s">
        <v>1128</v>
      </c>
      <c r="AA1157" t="s">
        <v>1129</v>
      </c>
      <c r="AB1157" t="s">
        <v>1130</v>
      </c>
      <c r="AC1157" t="s">
        <v>165</v>
      </c>
      <c r="AD1157" t="s">
        <v>45</v>
      </c>
      <c r="AE1157" s="1">
        <v>30902</v>
      </c>
      <c r="AF1157">
        <v>2</v>
      </c>
      <c r="AG1157" t="s">
        <v>1129</v>
      </c>
      <c r="AH1157" s="36">
        <f t="shared" si="18"/>
        <v>34.875</v>
      </c>
      <c r="AI1157" s="40" t="s">
        <v>1778</v>
      </c>
    </row>
    <row r="1158" spans="1:35" x14ac:dyDescent="0.25">
      <c r="A1158" s="36">
        <v>99911156</v>
      </c>
      <c r="B1158" s="17" t="s">
        <v>32</v>
      </c>
      <c r="C1158" t="s">
        <v>52</v>
      </c>
      <c r="D1158" t="s">
        <v>53</v>
      </c>
      <c r="G1158" s="17" t="s">
        <v>35</v>
      </c>
      <c r="H1158" s="17">
        <v>1</v>
      </c>
      <c r="K1158" t="s">
        <v>300</v>
      </c>
      <c r="L1158" t="s">
        <v>301</v>
      </c>
      <c r="M1158" t="s">
        <v>131</v>
      </c>
      <c r="N1158">
        <v>13</v>
      </c>
      <c r="O1158" t="s">
        <v>40</v>
      </c>
      <c r="P1158" t="s">
        <v>40</v>
      </c>
      <c r="Q1158" t="s">
        <v>40</v>
      </c>
      <c r="R1158" t="s">
        <v>40</v>
      </c>
      <c r="S1158" t="s">
        <v>40</v>
      </c>
      <c r="V1158" t="s">
        <v>41</v>
      </c>
      <c r="W1158" t="s">
        <v>42</v>
      </c>
      <c r="X1158" t="str">
        <f>"0580457"</f>
        <v>0580457</v>
      </c>
      <c r="Y1158" t="s">
        <v>310</v>
      </c>
      <c r="Z1158" t="s">
        <v>300</v>
      </c>
      <c r="AA1158" t="s">
        <v>301</v>
      </c>
      <c r="AB1158" t="s">
        <v>131</v>
      </c>
      <c r="AC1158" t="s">
        <v>51</v>
      </c>
      <c r="AD1158" t="s">
        <v>45</v>
      </c>
      <c r="AE1158" s="1">
        <v>30900</v>
      </c>
      <c r="AF1158">
        <v>2</v>
      </c>
      <c r="AG1158" t="s">
        <v>301</v>
      </c>
      <c r="AH1158" s="36">
        <f t="shared" si="18"/>
        <v>34.880555555555553</v>
      </c>
      <c r="AI1158" s="40" t="s">
        <v>1778</v>
      </c>
    </row>
    <row r="1159" spans="1:35" x14ac:dyDescent="0.25">
      <c r="A1159" s="36">
        <v>99911157</v>
      </c>
      <c r="B1159" s="17" t="s">
        <v>56</v>
      </c>
      <c r="C1159" t="s">
        <v>46</v>
      </c>
      <c r="D1159" t="s">
        <v>47</v>
      </c>
      <c r="G1159" s="17" t="s">
        <v>35</v>
      </c>
      <c r="H1159" s="17">
        <v>1</v>
      </c>
      <c r="K1159" t="s">
        <v>1613</v>
      </c>
      <c r="L1159" t="s">
        <v>1614</v>
      </c>
      <c r="M1159" t="s">
        <v>1592</v>
      </c>
      <c r="N1159">
        <v>4</v>
      </c>
      <c r="O1159" t="s">
        <v>40</v>
      </c>
      <c r="P1159" t="s">
        <v>40</v>
      </c>
      <c r="Q1159" t="s">
        <v>40</v>
      </c>
      <c r="R1159" t="s">
        <v>40</v>
      </c>
      <c r="S1159" t="s">
        <v>40</v>
      </c>
      <c r="V1159" t="s">
        <v>41</v>
      </c>
      <c r="W1159" t="s">
        <v>49</v>
      </c>
      <c r="X1159" t="str">
        <f>"2881020"</f>
        <v>2881020</v>
      </c>
      <c r="Y1159" t="s">
        <v>1615</v>
      </c>
      <c r="Z1159" t="s">
        <v>1613</v>
      </c>
      <c r="AA1159" t="s">
        <v>1614</v>
      </c>
      <c r="AB1159" t="s">
        <v>1592</v>
      </c>
      <c r="AC1159" t="s">
        <v>51</v>
      </c>
      <c r="AD1159" t="s">
        <v>45</v>
      </c>
      <c r="AE1159" s="1">
        <v>30899</v>
      </c>
      <c r="AF1159">
        <v>2</v>
      </c>
      <c r="AG1159" t="s">
        <v>1614</v>
      </c>
      <c r="AH1159" s="36">
        <f t="shared" si="18"/>
        <v>34.883333333333333</v>
      </c>
      <c r="AI1159" s="40" t="s">
        <v>1778</v>
      </c>
    </row>
    <row r="1160" spans="1:35" x14ac:dyDescent="0.25">
      <c r="A1160" s="36">
        <v>99911158</v>
      </c>
      <c r="B1160" s="17" t="s">
        <v>32</v>
      </c>
      <c r="C1160" t="s">
        <v>64</v>
      </c>
      <c r="D1160" t="s">
        <v>65</v>
      </c>
      <c r="G1160" s="17" t="s">
        <v>48</v>
      </c>
      <c r="H1160" s="17">
        <v>1</v>
      </c>
      <c r="K1160" t="s">
        <v>157</v>
      </c>
      <c r="L1160" t="s">
        <v>158</v>
      </c>
      <c r="M1160" t="s">
        <v>131</v>
      </c>
      <c r="N1160">
        <v>21</v>
      </c>
      <c r="O1160" t="s">
        <v>40</v>
      </c>
      <c r="P1160" t="s">
        <v>40</v>
      </c>
      <c r="Q1160" t="s">
        <v>40</v>
      </c>
      <c r="S1160" t="s">
        <v>40</v>
      </c>
      <c r="V1160" t="s">
        <v>41</v>
      </c>
      <c r="W1160" t="s">
        <v>49</v>
      </c>
      <c r="X1160" t="str">
        <f>"0560019"</f>
        <v>0560019</v>
      </c>
      <c r="Y1160" t="s">
        <v>166</v>
      </c>
      <c r="Z1160" t="s">
        <v>157</v>
      </c>
      <c r="AA1160" t="s">
        <v>158</v>
      </c>
      <c r="AB1160" t="s">
        <v>131</v>
      </c>
      <c r="AC1160" t="s">
        <v>51</v>
      </c>
      <c r="AD1160" t="s">
        <v>45</v>
      </c>
      <c r="AE1160" s="1">
        <v>30897</v>
      </c>
      <c r="AF1160">
        <v>2</v>
      </c>
      <c r="AG1160" t="s">
        <v>158</v>
      </c>
      <c r="AH1160" s="36">
        <f t="shared" si="18"/>
        <v>34.888888888888886</v>
      </c>
      <c r="AI1160" s="40" t="s">
        <v>1778</v>
      </c>
    </row>
    <row r="1161" spans="1:35" x14ac:dyDescent="0.25">
      <c r="A1161" s="36">
        <v>99911159</v>
      </c>
      <c r="B1161" s="17" t="s">
        <v>32</v>
      </c>
      <c r="C1161" t="s">
        <v>64</v>
      </c>
      <c r="D1161" t="s">
        <v>65</v>
      </c>
      <c r="G1161" s="17" t="s">
        <v>35</v>
      </c>
      <c r="H1161" s="17">
        <v>1</v>
      </c>
      <c r="I1161" t="s">
        <v>535</v>
      </c>
      <c r="J1161" s="1">
        <v>43344</v>
      </c>
      <c r="K1161" t="s">
        <v>431</v>
      </c>
      <c r="L1161" t="s">
        <v>196</v>
      </c>
      <c r="M1161" t="s">
        <v>131</v>
      </c>
      <c r="N1161">
        <v>24</v>
      </c>
      <c r="O1161" t="s">
        <v>40</v>
      </c>
      <c r="P1161" t="s">
        <v>40</v>
      </c>
      <c r="Q1161" t="s">
        <v>40</v>
      </c>
      <c r="R1161" t="s">
        <v>40</v>
      </c>
      <c r="S1161" t="s">
        <v>40</v>
      </c>
      <c r="U1161" s="1">
        <v>43344</v>
      </c>
      <c r="V1161" t="s">
        <v>41</v>
      </c>
      <c r="W1161" t="s">
        <v>75</v>
      </c>
      <c r="X1161" t="str">
        <f>"7521022"</f>
        <v>7521022</v>
      </c>
      <c r="Y1161" t="s">
        <v>445</v>
      </c>
      <c r="Z1161" t="s">
        <v>431</v>
      </c>
      <c r="AA1161" t="s">
        <v>196</v>
      </c>
      <c r="AB1161" t="s">
        <v>131</v>
      </c>
      <c r="AC1161" t="s">
        <v>55</v>
      </c>
      <c r="AD1161" t="s">
        <v>45</v>
      </c>
      <c r="AE1161" s="1">
        <v>30896</v>
      </c>
      <c r="AF1161">
        <v>1</v>
      </c>
      <c r="AG1161" t="s">
        <v>196</v>
      </c>
      <c r="AH1161" s="36">
        <f t="shared" si="18"/>
        <v>34.891666666666666</v>
      </c>
      <c r="AI1161" s="40" t="s">
        <v>1778</v>
      </c>
    </row>
    <row r="1162" spans="1:35" x14ac:dyDescent="0.25">
      <c r="A1162" s="36">
        <v>99911160</v>
      </c>
      <c r="B1162" s="17" t="s">
        <v>56</v>
      </c>
      <c r="C1162" t="s">
        <v>149</v>
      </c>
      <c r="D1162" t="s">
        <v>150</v>
      </c>
      <c r="G1162" s="17" t="s">
        <v>48</v>
      </c>
      <c r="H1162" s="17">
        <v>1</v>
      </c>
      <c r="K1162" t="s">
        <v>162</v>
      </c>
      <c r="L1162" t="s">
        <v>158</v>
      </c>
      <c r="M1162" t="s">
        <v>131</v>
      </c>
      <c r="N1162">
        <v>7</v>
      </c>
      <c r="O1162" t="s">
        <v>40</v>
      </c>
      <c r="P1162" t="s">
        <v>40</v>
      </c>
      <c r="Q1162" t="s">
        <v>40</v>
      </c>
      <c r="S1162" t="s">
        <v>40</v>
      </c>
      <c r="V1162" t="s">
        <v>41</v>
      </c>
      <c r="W1162" t="s">
        <v>49</v>
      </c>
      <c r="X1162" t="str">
        <f>"0560027"</f>
        <v>0560027</v>
      </c>
      <c r="Y1162" t="s">
        <v>178</v>
      </c>
      <c r="Z1162" t="s">
        <v>162</v>
      </c>
      <c r="AA1162" t="s">
        <v>158</v>
      </c>
      <c r="AB1162" t="s">
        <v>131</v>
      </c>
      <c r="AC1162" t="s">
        <v>51</v>
      </c>
      <c r="AD1162" t="s">
        <v>45</v>
      </c>
      <c r="AE1162" s="1">
        <v>30893</v>
      </c>
      <c r="AF1162">
        <v>2</v>
      </c>
      <c r="AG1162" t="s">
        <v>158</v>
      </c>
      <c r="AH1162" s="36">
        <f t="shared" si="18"/>
        <v>34.9</v>
      </c>
      <c r="AI1162" s="40" t="s">
        <v>1778</v>
      </c>
    </row>
    <row r="1163" spans="1:35" x14ac:dyDescent="0.25">
      <c r="A1163" s="36">
        <v>99911161</v>
      </c>
      <c r="B1163" s="17" t="s">
        <v>32</v>
      </c>
      <c r="C1163" t="s">
        <v>90</v>
      </c>
      <c r="D1163" t="s">
        <v>91</v>
      </c>
      <c r="G1163" s="17" t="s">
        <v>48</v>
      </c>
      <c r="H1163" s="17">
        <v>1</v>
      </c>
      <c r="K1163" t="s">
        <v>865</v>
      </c>
      <c r="L1163" t="s">
        <v>866</v>
      </c>
      <c r="M1163" t="s">
        <v>131</v>
      </c>
      <c r="N1163">
        <v>25</v>
      </c>
      <c r="O1163" t="s">
        <v>40</v>
      </c>
      <c r="P1163" t="s">
        <v>40</v>
      </c>
      <c r="Q1163" t="s">
        <v>40</v>
      </c>
      <c r="R1163" t="s">
        <v>40</v>
      </c>
      <c r="S1163" t="s">
        <v>40</v>
      </c>
      <c r="V1163" t="s">
        <v>41</v>
      </c>
      <c r="W1163" t="s">
        <v>95</v>
      </c>
      <c r="X1163" t="str">
        <f>"7531005"</f>
        <v>7531005</v>
      </c>
      <c r="Y1163" t="s">
        <v>867</v>
      </c>
      <c r="Z1163" t="s">
        <v>865</v>
      </c>
      <c r="AA1163" t="s">
        <v>866</v>
      </c>
      <c r="AB1163" t="s">
        <v>131</v>
      </c>
      <c r="AC1163" t="s">
        <v>51</v>
      </c>
      <c r="AD1163" t="s">
        <v>45</v>
      </c>
      <c r="AE1163" s="1">
        <v>30891</v>
      </c>
      <c r="AF1163">
        <v>1</v>
      </c>
      <c r="AG1163" t="s">
        <v>866</v>
      </c>
      <c r="AH1163" s="36">
        <f t="shared" si="18"/>
        <v>34.905555555555559</v>
      </c>
      <c r="AI1163" s="40" t="s">
        <v>1778</v>
      </c>
    </row>
    <row r="1164" spans="1:35" x14ac:dyDescent="0.25">
      <c r="A1164" s="36">
        <v>99911162</v>
      </c>
      <c r="B1164" s="17" t="s">
        <v>32</v>
      </c>
      <c r="C1164" t="s">
        <v>64</v>
      </c>
      <c r="D1164" t="s">
        <v>65</v>
      </c>
      <c r="G1164" s="17" t="s">
        <v>35</v>
      </c>
      <c r="H1164" s="17">
        <v>3</v>
      </c>
      <c r="I1164" t="s">
        <v>663</v>
      </c>
      <c r="J1164" s="1">
        <v>43344</v>
      </c>
      <c r="K1164" t="s">
        <v>268</v>
      </c>
      <c r="L1164" t="s">
        <v>269</v>
      </c>
      <c r="M1164" t="s">
        <v>131</v>
      </c>
      <c r="N1164">
        <v>24</v>
      </c>
      <c r="O1164" t="s">
        <v>40</v>
      </c>
      <c r="P1164" t="s">
        <v>40</v>
      </c>
      <c r="Q1164" t="s">
        <v>40</v>
      </c>
      <c r="R1164" t="s">
        <v>40</v>
      </c>
      <c r="S1164" t="s">
        <v>40</v>
      </c>
      <c r="U1164" s="1">
        <v>43344</v>
      </c>
      <c r="V1164" t="s">
        <v>41</v>
      </c>
      <c r="W1164" t="s">
        <v>75</v>
      </c>
      <c r="X1164" t="str">
        <f>"7052004"</f>
        <v>7052004</v>
      </c>
      <c r="Y1164" t="s">
        <v>584</v>
      </c>
      <c r="Z1164" t="s">
        <v>268</v>
      </c>
      <c r="AA1164" t="s">
        <v>269</v>
      </c>
      <c r="AB1164" t="s">
        <v>131</v>
      </c>
      <c r="AC1164" t="s">
        <v>51</v>
      </c>
      <c r="AD1164" t="s">
        <v>45</v>
      </c>
      <c r="AE1164" s="1">
        <v>30890</v>
      </c>
      <c r="AF1164">
        <v>1</v>
      </c>
      <c r="AG1164" t="s">
        <v>269</v>
      </c>
      <c r="AH1164" s="36">
        <f t="shared" si="18"/>
        <v>34.908333333333331</v>
      </c>
      <c r="AI1164" s="40" t="s">
        <v>1778</v>
      </c>
    </row>
    <row r="1165" spans="1:35" x14ac:dyDescent="0.25">
      <c r="A1165" s="36">
        <v>99911163</v>
      </c>
      <c r="B1165" s="17" t="s">
        <v>32</v>
      </c>
      <c r="C1165" t="s">
        <v>90</v>
      </c>
      <c r="D1165" t="s">
        <v>91</v>
      </c>
      <c r="G1165" s="17" t="s">
        <v>88</v>
      </c>
      <c r="H1165" s="17">
        <v>3</v>
      </c>
      <c r="J1165" s="1">
        <v>43344</v>
      </c>
      <c r="K1165" t="s">
        <v>354</v>
      </c>
      <c r="L1165" t="s">
        <v>355</v>
      </c>
      <c r="M1165" t="s">
        <v>131</v>
      </c>
      <c r="N1165">
        <v>25</v>
      </c>
      <c r="O1165" t="s">
        <v>40</v>
      </c>
      <c r="P1165" t="s">
        <v>40</v>
      </c>
      <c r="Q1165" t="s">
        <v>40</v>
      </c>
      <c r="R1165" t="s">
        <v>40</v>
      </c>
      <c r="S1165" t="s">
        <v>40</v>
      </c>
      <c r="U1165" s="1">
        <v>43344</v>
      </c>
      <c r="V1165" t="s">
        <v>41</v>
      </c>
      <c r="W1165" t="s">
        <v>95</v>
      </c>
      <c r="X1165" t="str">
        <f>"7054151"</f>
        <v>7054151</v>
      </c>
      <c r="Y1165" t="s">
        <v>796</v>
      </c>
      <c r="Z1165" t="s">
        <v>354</v>
      </c>
      <c r="AA1165" t="s">
        <v>355</v>
      </c>
      <c r="AB1165" t="s">
        <v>131</v>
      </c>
      <c r="AC1165" t="s">
        <v>51</v>
      </c>
      <c r="AD1165" t="s">
        <v>45</v>
      </c>
      <c r="AE1165" s="1">
        <v>30889</v>
      </c>
      <c r="AF1165">
        <v>1</v>
      </c>
      <c r="AG1165" t="s">
        <v>355</v>
      </c>
      <c r="AH1165" s="36">
        <f t="shared" si="18"/>
        <v>34.911111111111111</v>
      </c>
      <c r="AI1165" s="40" t="s">
        <v>1778</v>
      </c>
    </row>
    <row r="1166" spans="1:35" x14ac:dyDescent="0.25">
      <c r="A1166" s="36">
        <v>99911164</v>
      </c>
      <c r="B1166" s="17" t="s">
        <v>56</v>
      </c>
      <c r="C1166" t="s">
        <v>68</v>
      </c>
      <c r="D1166" t="s">
        <v>69</v>
      </c>
      <c r="G1166" s="17" t="s">
        <v>35</v>
      </c>
      <c r="H1166" s="17">
        <v>1</v>
      </c>
      <c r="I1166" t="s">
        <v>1609</v>
      </c>
      <c r="J1166" s="1">
        <v>43344</v>
      </c>
      <c r="K1166" t="s">
        <v>1590</v>
      </c>
      <c r="L1166" t="s">
        <v>1591</v>
      </c>
      <c r="M1166" t="s">
        <v>1592</v>
      </c>
      <c r="N1166">
        <v>15</v>
      </c>
      <c r="O1166" t="s">
        <v>40</v>
      </c>
      <c r="P1166" t="s">
        <v>40</v>
      </c>
      <c r="Q1166" t="s">
        <v>40</v>
      </c>
      <c r="R1166" t="s">
        <v>40</v>
      </c>
      <c r="S1166" t="s">
        <v>40</v>
      </c>
      <c r="U1166" s="1">
        <v>43344</v>
      </c>
      <c r="V1166" t="s">
        <v>41</v>
      </c>
      <c r="W1166" t="s">
        <v>49</v>
      </c>
      <c r="X1166" t="str">
        <f>"0260002"</f>
        <v>0260002</v>
      </c>
      <c r="Y1166" t="s">
        <v>1593</v>
      </c>
      <c r="Z1166" t="s">
        <v>1590</v>
      </c>
      <c r="AA1166" t="s">
        <v>1591</v>
      </c>
      <c r="AB1166" t="s">
        <v>1592</v>
      </c>
      <c r="AC1166" t="s">
        <v>44</v>
      </c>
      <c r="AD1166" t="s">
        <v>45</v>
      </c>
      <c r="AE1166" s="1">
        <v>30887</v>
      </c>
      <c r="AF1166">
        <v>2</v>
      </c>
      <c r="AG1166" t="s">
        <v>1591</v>
      </c>
      <c r="AH1166" s="36">
        <f t="shared" si="18"/>
        <v>34.916666666666664</v>
      </c>
      <c r="AI1166" s="40" t="s">
        <v>1778</v>
      </c>
    </row>
    <row r="1167" spans="1:35" x14ac:dyDescent="0.25">
      <c r="A1167" s="36">
        <v>99911165</v>
      </c>
      <c r="B1167" s="17" t="s">
        <v>32</v>
      </c>
      <c r="C1167" t="s">
        <v>71</v>
      </c>
      <c r="D1167" t="s">
        <v>72</v>
      </c>
      <c r="G1167" s="17" t="s">
        <v>35</v>
      </c>
      <c r="H1167" s="17">
        <v>1</v>
      </c>
      <c r="K1167" t="s">
        <v>877</v>
      </c>
      <c r="L1167" t="s">
        <v>878</v>
      </c>
      <c r="M1167" t="s">
        <v>131</v>
      </c>
      <c r="N1167">
        <v>8</v>
      </c>
      <c r="O1167" t="s">
        <v>40</v>
      </c>
      <c r="P1167" t="s">
        <v>40</v>
      </c>
      <c r="Q1167" t="s">
        <v>40</v>
      </c>
      <c r="R1167" t="s">
        <v>40</v>
      </c>
      <c r="S1167" t="s">
        <v>40</v>
      </c>
      <c r="V1167" t="s">
        <v>41</v>
      </c>
      <c r="W1167" t="s">
        <v>75</v>
      </c>
      <c r="X1167" t="str">
        <f>"7541010"</f>
        <v>7541010</v>
      </c>
      <c r="Y1167" t="s">
        <v>887</v>
      </c>
      <c r="Z1167" t="s">
        <v>877</v>
      </c>
      <c r="AA1167" t="s">
        <v>878</v>
      </c>
      <c r="AB1167" t="s">
        <v>131</v>
      </c>
      <c r="AC1167" t="s">
        <v>51</v>
      </c>
      <c r="AD1167" t="s">
        <v>45</v>
      </c>
      <c r="AE1167" s="1">
        <v>30873</v>
      </c>
      <c r="AF1167">
        <v>1</v>
      </c>
      <c r="AG1167" t="s">
        <v>878</v>
      </c>
      <c r="AH1167" s="36">
        <f t="shared" si="18"/>
        <v>34.955555555555556</v>
      </c>
      <c r="AI1167" s="40" t="s">
        <v>1778</v>
      </c>
    </row>
    <row r="1168" spans="1:35" x14ac:dyDescent="0.25">
      <c r="A1168" s="36">
        <v>99911166</v>
      </c>
      <c r="B1168" s="17" t="s">
        <v>32</v>
      </c>
      <c r="C1168" t="s">
        <v>139</v>
      </c>
      <c r="D1168" t="s">
        <v>140</v>
      </c>
      <c r="G1168" s="17" t="s">
        <v>35</v>
      </c>
      <c r="H1168" s="17">
        <v>1</v>
      </c>
      <c r="I1168">
        <v>4138</v>
      </c>
      <c r="J1168" s="1">
        <v>43344</v>
      </c>
      <c r="K1168" t="s">
        <v>877</v>
      </c>
      <c r="L1168" t="s">
        <v>878</v>
      </c>
      <c r="M1168" t="s">
        <v>131</v>
      </c>
      <c r="N1168">
        <v>4</v>
      </c>
      <c r="O1168" t="s">
        <v>40</v>
      </c>
      <c r="S1168" t="s">
        <v>40</v>
      </c>
      <c r="U1168" s="1">
        <v>43344</v>
      </c>
      <c r="V1168" t="s">
        <v>41</v>
      </c>
      <c r="W1168" t="s">
        <v>75</v>
      </c>
      <c r="X1168" t="str">
        <f>"7541020"</f>
        <v>7541020</v>
      </c>
      <c r="Y1168" t="s">
        <v>882</v>
      </c>
      <c r="Z1168" t="s">
        <v>877</v>
      </c>
      <c r="AA1168" t="s">
        <v>878</v>
      </c>
      <c r="AB1168" t="s">
        <v>131</v>
      </c>
      <c r="AC1168" t="s">
        <v>51</v>
      </c>
      <c r="AD1168" t="s">
        <v>45</v>
      </c>
      <c r="AE1168" s="1">
        <v>30864</v>
      </c>
      <c r="AF1168">
        <v>1</v>
      </c>
      <c r="AG1168" t="s">
        <v>878</v>
      </c>
      <c r="AH1168" s="36">
        <f t="shared" si="18"/>
        <v>34.980555555555554</v>
      </c>
      <c r="AI1168" s="40" t="s">
        <v>1778</v>
      </c>
    </row>
    <row r="1169" spans="1:35" x14ac:dyDescent="0.25">
      <c r="A1169" s="36">
        <v>99911167</v>
      </c>
      <c r="B1169" s="17" t="s">
        <v>32</v>
      </c>
      <c r="C1169" t="s">
        <v>68</v>
      </c>
      <c r="D1169" t="s">
        <v>69</v>
      </c>
      <c r="G1169" s="17" t="s">
        <v>48</v>
      </c>
      <c r="H1169" s="17">
        <v>1</v>
      </c>
      <c r="K1169" t="s">
        <v>1590</v>
      </c>
      <c r="L1169" t="s">
        <v>1591</v>
      </c>
      <c r="M1169" t="s">
        <v>1592</v>
      </c>
      <c r="N1169">
        <v>15</v>
      </c>
      <c r="O1169" t="s">
        <v>40</v>
      </c>
      <c r="P1169" t="s">
        <v>40</v>
      </c>
      <c r="Q1169" t="s">
        <v>40</v>
      </c>
      <c r="S1169" t="s">
        <v>40</v>
      </c>
      <c r="V1169" t="s">
        <v>41</v>
      </c>
      <c r="W1169" t="s">
        <v>49</v>
      </c>
      <c r="X1169" t="str">
        <f>"0260002"</f>
        <v>0260002</v>
      </c>
      <c r="Y1169" t="s">
        <v>1593</v>
      </c>
      <c r="Z1169" t="s">
        <v>1590</v>
      </c>
      <c r="AA1169" t="s">
        <v>1591</v>
      </c>
      <c r="AB1169" t="s">
        <v>1592</v>
      </c>
      <c r="AC1169" t="s">
        <v>51</v>
      </c>
      <c r="AD1169" t="s">
        <v>45</v>
      </c>
      <c r="AE1169" s="1">
        <v>30863</v>
      </c>
      <c r="AF1169">
        <v>2</v>
      </c>
      <c r="AG1169" t="s">
        <v>1591</v>
      </c>
      <c r="AH1169" s="36">
        <f t="shared" si="18"/>
        <v>34.983333333333334</v>
      </c>
      <c r="AI1169" s="40" t="s">
        <v>1778</v>
      </c>
    </row>
    <row r="1170" spans="1:35" x14ac:dyDescent="0.25">
      <c r="A1170" s="36">
        <v>99911168</v>
      </c>
      <c r="B1170" s="17" t="s">
        <v>32</v>
      </c>
      <c r="C1170" t="s">
        <v>64</v>
      </c>
      <c r="D1170" t="s">
        <v>65</v>
      </c>
      <c r="G1170" s="17" t="s">
        <v>48</v>
      </c>
      <c r="H1170" s="17">
        <v>1</v>
      </c>
      <c r="K1170" t="s">
        <v>380</v>
      </c>
      <c r="L1170" t="s">
        <v>381</v>
      </c>
      <c r="M1170" t="s">
        <v>131</v>
      </c>
      <c r="N1170">
        <v>11</v>
      </c>
      <c r="O1170" t="s">
        <v>40</v>
      </c>
      <c r="P1170" t="s">
        <v>40</v>
      </c>
      <c r="Q1170" t="s">
        <v>40</v>
      </c>
      <c r="R1170" t="s">
        <v>40</v>
      </c>
      <c r="S1170" t="s">
        <v>40</v>
      </c>
      <c r="V1170" t="s">
        <v>41</v>
      </c>
      <c r="W1170" t="s">
        <v>49</v>
      </c>
      <c r="X1170" t="str">
        <f>"0581859"</f>
        <v>0581859</v>
      </c>
      <c r="Y1170" t="s">
        <v>394</v>
      </c>
      <c r="Z1170" t="s">
        <v>380</v>
      </c>
      <c r="AA1170" t="s">
        <v>381</v>
      </c>
      <c r="AB1170" t="s">
        <v>131</v>
      </c>
      <c r="AC1170" t="s">
        <v>51</v>
      </c>
      <c r="AD1170" t="s">
        <v>45</v>
      </c>
      <c r="AE1170" s="1">
        <v>30862</v>
      </c>
      <c r="AF1170">
        <v>2</v>
      </c>
      <c r="AG1170" t="s">
        <v>381</v>
      </c>
      <c r="AH1170" s="36">
        <f t="shared" si="18"/>
        <v>34.986111111111114</v>
      </c>
      <c r="AI1170" s="40" t="s">
        <v>1778</v>
      </c>
    </row>
    <row r="1171" spans="1:35" x14ac:dyDescent="0.25">
      <c r="A1171" s="36">
        <v>99911169</v>
      </c>
      <c r="B1171" s="17" t="s">
        <v>32</v>
      </c>
      <c r="C1171" t="s">
        <v>90</v>
      </c>
      <c r="D1171" t="s">
        <v>91</v>
      </c>
      <c r="G1171" s="17" t="s">
        <v>35</v>
      </c>
      <c r="H1171" s="17">
        <v>3</v>
      </c>
      <c r="I1171" t="s">
        <v>1654</v>
      </c>
      <c r="J1171" s="1">
        <v>42051</v>
      </c>
      <c r="K1171" t="s">
        <v>1619</v>
      </c>
      <c r="L1171" t="s">
        <v>1620</v>
      </c>
      <c r="M1171" t="s">
        <v>1592</v>
      </c>
      <c r="N1171">
        <v>25</v>
      </c>
      <c r="O1171" t="s">
        <v>40</v>
      </c>
      <c r="P1171" t="s">
        <v>40</v>
      </c>
      <c r="Q1171" t="s">
        <v>40</v>
      </c>
      <c r="R1171" t="s">
        <v>40</v>
      </c>
      <c r="S1171" t="s">
        <v>40</v>
      </c>
      <c r="U1171" s="1">
        <v>42051</v>
      </c>
      <c r="V1171" t="s">
        <v>41</v>
      </c>
      <c r="W1171" t="s">
        <v>95</v>
      </c>
      <c r="X1171" t="str">
        <f>"7281007"</f>
        <v>7281007</v>
      </c>
      <c r="Y1171" t="s">
        <v>1655</v>
      </c>
      <c r="Z1171" t="s">
        <v>1619</v>
      </c>
      <c r="AA1171" t="s">
        <v>1620</v>
      </c>
      <c r="AB1171" t="s">
        <v>1592</v>
      </c>
      <c r="AC1171" t="s">
        <v>51</v>
      </c>
      <c r="AD1171" t="s">
        <v>45</v>
      </c>
      <c r="AE1171" s="1">
        <v>30861</v>
      </c>
      <c r="AF1171">
        <v>1</v>
      </c>
      <c r="AG1171" t="s">
        <v>1620</v>
      </c>
      <c r="AH1171" s="36">
        <f t="shared" si="18"/>
        <v>34.988888888888887</v>
      </c>
      <c r="AI1171" s="40" t="s">
        <v>1778</v>
      </c>
    </row>
    <row r="1172" spans="1:35" x14ac:dyDescent="0.25">
      <c r="A1172" s="36">
        <v>99911170</v>
      </c>
      <c r="B1172" s="17" t="s">
        <v>32</v>
      </c>
      <c r="C1172" t="s">
        <v>90</v>
      </c>
      <c r="D1172" t="s">
        <v>91</v>
      </c>
      <c r="G1172" s="17" t="s">
        <v>35</v>
      </c>
      <c r="H1172" s="17">
        <v>1</v>
      </c>
      <c r="I1172">
        <v>13084</v>
      </c>
      <c r="J1172" s="1">
        <v>43344</v>
      </c>
      <c r="K1172" t="s">
        <v>354</v>
      </c>
      <c r="L1172" t="s">
        <v>355</v>
      </c>
      <c r="M1172" t="s">
        <v>131</v>
      </c>
      <c r="N1172">
        <v>25</v>
      </c>
      <c r="O1172" t="s">
        <v>40</v>
      </c>
      <c r="P1172" t="s">
        <v>40</v>
      </c>
      <c r="Q1172" t="s">
        <v>40</v>
      </c>
      <c r="R1172" t="s">
        <v>40</v>
      </c>
      <c r="S1172" t="s">
        <v>40</v>
      </c>
      <c r="U1172" s="1">
        <v>43344</v>
      </c>
      <c r="V1172" t="s">
        <v>41</v>
      </c>
      <c r="W1172" t="s">
        <v>95</v>
      </c>
      <c r="X1172" t="str">
        <f>"7054113"</f>
        <v>7054113</v>
      </c>
      <c r="Y1172" t="s">
        <v>817</v>
      </c>
      <c r="Z1172" t="s">
        <v>354</v>
      </c>
      <c r="AA1172" t="s">
        <v>355</v>
      </c>
      <c r="AB1172" t="s">
        <v>131</v>
      </c>
      <c r="AC1172" t="s">
        <v>51</v>
      </c>
      <c r="AD1172" t="s">
        <v>45</v>
      </c>
      <c r="AE1172" s="1">
        <v>30859</v>
      </c>
      <c r="AF1172">
        <v>1</v>
      </c>
      <c r="AG1172" t="s">
        <v>355</v>
      </c>
      <c r="AH1172" s="36">
        <f t="shared" si="18"/>
        <v>34.994444444444447</v>
      </c>
      <c r="AI1172" s="40" t="s">
        <v>1778</v>
      </c>
    </row>
    <row r="1173" spans="1:35" x14ac:dyDescent="0.25">
      <c r="A1173" s="36">
        <v>99911171</v>
      </c>
      <c r="B1173" s="17" t="s">
        <v>56</v>
      </c>
      <c r="C1173" t="s">
        <v>46</v>
      </c>
      <c r="D1173" t="s">
        <v>47</v>
      </c>
      <c r="G1173" s="17" t="s">
        <v>48</v>
      </c>
      <c r="H1173" s="17">
        <v>1</v>
      </c>
      <c r="K1173" t="s">
        <v>1590</v>
      </c>
      <c r="L1173" t="s">
        <v>1591</v>
      </c>
      <c r="M1173" t="s">
        <v>1592</v>
      </c>
      <c r="N1173">
        <v>15</v>
      </c>
      <c r="O1173" t="s">
        <v>40</v>
      </c>
      <c r="P1173" t="s">
        <v>40</v>
      </c>
      <c r="Q1173" t="s">
        <v>40</v>
      </c>
      <c r="R1173" t="s">
        <v>40</v>
      </c>
      <c r="S1173" t="s">
        <v>40</v>
      </c>
      <c r="V1173" t="s">
        <v>41</v>
      </c>
      <c r="W1173" t="s">
        <v>49</v>
      </c>
      <c r="X1173" t="str">
        <f>"0260002"</f>
        <v>0260002</v>
      </c>
      <c r="Y1173" t="s">
        <v>1593</v>
      </c>
      <c r="Z1173" t="s">
        <v>1590</v>
      </c>
      <c r="AA1173" t="s">
        <v>1591</v>
      </c>
      <c r="AB1173" t="s">
        <v>1592</v>
      </c>
      <c r="AC1173" t="s">
        <v>51</v>
      </c>
      <c r="AD1173" t="s">
        <v>45</v>
      </c>
      <c r="AE1173" s="1">
        <v>30855</v>
      </c>
      <c r="AF1173">
        <v>2</v>
      </c>
      <c r="AG1173" t="s">
        <v>1591</v>
      </c>
      <c r="AH1173" s="36">
        <f t="shared" si="18"/>
        <v>35.005555555555553</v>
      </c>
      <c r="AI1173" s="40" t="s">
        <v>1778</v>
      </c>
    </row>
    <row r="1174" spans="1:35" x14ac:dyDescent="0.25">
      <c r="A1174" s="36">
        <v>99911172</v>
      </c>
      <c r="B1174" s="17" t="s">
        <v>32</v>
      </c>
      <c r="C1174" t="s">
        <v>79</v>
      </c>
      <c r="D1174" t="s">
        <v>80</v>
      </c>
      <c r="G1174" s="17" t="s">
        <v>48</v>
      </c>
      <c r="H1174" s="17">
        <v>1</v>
      </c>
      <c r="K1174" t="s">
        <v>1081</v>
      </c>
      <c r="L1174" t="s">
        <v>1082</v>
      </c>
      <c r="M1174" t="s">
        <v>1053</v>
      </c>
      <c r="N1174">
        <v>21</v>
      </c>
      <c r="O1174" t="s">
        <v>40</v>
      </c>
      <c r="P1174" t="s">
        <v>40</v>
      </c>
      <c r="Q1174" t="s">
        <v>40</v>
      </c>
      <c r="R1174" t="s">
        <v>40</v>
      </c>
      <c r="S1174" t="s">
        <v>40</v>
      </c>
      <c r="V1174" t="s">
        <v>41</v>
      </c>
      <c r="W1174" t="s">
        <v>75</v>
      </c>
      <c r="X1174" t="str">
        <f>"7201008"</f>
        <v>7201008</v>
      </c>
      <c r="Y1174" t="s">
        <v>1084</v>
      </c>
      <c r="Z1174" t="s">
        <v>1081</v>
      </c>
      <c r="AA1174" t="s">
        <v>1082</v>
      </c>
      <c r="AB1174" t="s">
        <v>1053</v>
      </c>
      <c r="AC1174" t="s">
        <v>51</v>
      </c>
      <c r="AD1174" t="s">
        <v>45</v>
      </c>
      <c r="AE1174" s="1">
        <v>30854</v>
      </c>
      <c r="AF1174">
        <v>1</v>
      </c>
      <c r="AG1174" t="s">
        <v>1082</v>
      </c>
      <c r="AH1174" s="36">
        <f t="shared" si="18"/>
        <v>35.008333333333333</v>
      </c>
      <c r="AI1174" s="40" t="s">
        <v>1778</v>
      </c>
    </row>
    <row r="1175" spans="1:35" x14ac:dyDescent="0.25">
      <c r="A1175" s="36">
        <v>99911173</v>
      </c>
      <c r="B1175" s="17" t="s">
        <v>32</v>
      </c>
      <c r="C1175" t="s">
        <v>90</v>
      </c>
      <c r="D1175" t="s">
        <v>91</v>
      </c>
      <c r="G1175" s="17" t="s">
        <v>35</v>
      </c>
      <c r="H1175" s="17">
        <v>1</v>
      </c>
      <c r="I1175" t="s">
        <v>671</v>
      </c>
      <c r="J1175" s="1">
        <v>43344</v>
      </c>
      <c r="K1175" t="s">
        <v>268</v>
      </c>
      <c r="L1175" t="s">
        <v>269</v>
      </c>
      <c r="M1175" t="s">
        <v>131</v>
      </c>
      <c r="N1175">
        <v>24</v>
      </c>
      <c r="O1175" t="s">
        <v>40</v>
      </c>
      <c r="S1175" t="s">
        <v>40</v>
      </c>
      <c r="V1175" t="s">
        <v>41</v>
      </c>
      <c r="W1175" t="s">
        <v>95</v>
      </c>
      <c r="X1175" t="str">
        <f>"7052199"</f>
        <v>7052199</v>
      </c>
      <c r="Y1175" t="s">
        <v>672</v>
      </c>
      <c r="Z1175" t="s">
        <v>268</v>
      </c>
      <c r="AA1175" t="s">
        <v>269</v>
      </c>
      <c r="AB1175" t="s">
        <v>131</v>
      </c>
      <c r="AC1175" t="s">
        <v>51</v>
      </c>
      <c r="AD1175" t="s">
        <v>45</v>
      </c>
      <c r="AE1175" s="1">
        <v>30839</v>
      </c>
      <c r="AF1175">
        <v>1</v>
      </c>
      <c r="AG1175" t="s">
        <v>269</v>
      </c>
      <c r="AH1175" s="36">
        <f t="shared" si="18"/>
        <v>35.049999999999997</v>
      </c>
      <c r="AI1175" s="40" t="s">
        <v>1778</v>
      </c>
    </row>
    <row r="1176" spans="1:35" x14ac:dyDescent="0.25">
      <c r="A1176" s="36">
        <v>99911174</v>
      </c>
      <c r="B1176" s="17" t="s">
        <v>32</v>
      </c>
      <c r="C1176" t="s">
        <v>46</v>
      </c>
      <c r="D1176" t="s">
        <v>47</v>
      </c>
      <c r="G1176" s="17" t="s">
        <v>88</v>
      </c>
      <c r="H1176" s="17">
        <v>2</v>
      </c>
      <c r="K1176" t="s">
        <v>1325</v>
      </c>
      <c r="L1176" t="s">
        <v>1326</v>
      </c>
      <c r="M1176" t="s">
        <v>1270</v>
      </c>
      <c r="N1176">
        <v>23</v>
      </c>
      <c r="O1176" t="s">
        <v>40</v>
      </c>
      <c r="P1176" t="s">
        <v>40</v>
      </c>
      <c r="Q1176" t="s">
        <v>40</v>
      </c>
      <c r="R1176" t="s">
        <v>40</v>
      </c>
      <c r="S1176" t="s">
        <v>40</v>
      </c>
      <c r="V1176" t="s">
        <v>41</v>
      </c>
      <c r="W1176" t="s">
        <v>42</v>
      </c>
      <c r="X1176" t="str">
        <f>"3980100"</f>
        <v>3980100</v>
      </c>
      <c r="Y1176" t="s">
        <v>1328</v>
      </c>
      <c r="Z1176" t="s">
        <v>1325</v>
      </c>
      <c r="AA1176" t="s">
        <v>1326</v>
      </c>
      <c r="AB1176" t="s">
        <v>1270</v>
      </c>
      <c r="AC1176" t="s">
        <v>51</v>
      </c>
      <c r="AD1176" t="s">
        <v>45</v>
      </c>
      <c r="AE1176" s="1">
        <v>30838</v>
      </c>
      <c r="AF1176">
        <v>2</v>
      </c>
      <c r="AG1176" t="s">
        <v>1326</v>
      </c>
      <c r="AH1176" s="36">
        <f t="shared" si="18"/>
        <v>35.052777777777777</v>
      </c>
      <c r="AI1176" s="40" t="s">
        <v>1778</v>
      </c>
    </row>
    <row r="1177" spans="1:35" x14ac:dyDescent="0.25">
      <c r="A1177" s="36">
        <v>99911175</v>
      </c>
      <c r="B1177" s="17" t="s">
        <v>32</v>
      </c>
      <c r="C1177" t="s">
        <v>61</v>
      </c>
      <c r="D1177" t="s">
        <v>62</v>
      </c>
      <c r="G1177" s="17" t="s">
        <v>35</v>
      </c>
      <c r="H1177" s="17">
        <v>1</v>
      </c>
      <c r="K1177" t="s">
        <v>223</v>
      </c>
      <c r="L1177" t="s">
        <v>224</v>
      </c>
      <c r="M1177" t="s">
        <v>131</v>
      </c>
      <c r="N1177">
        <v>23</v>
      </c>
      <c r="O1177" t="s">
        <v>40</v>
      </c>
      <c r="P1177" t="s">
        <v>40</v>
      </c>
      <c r="Q1177" t="s">
        <v>40</v>
      </c>
      <c r="S1177" t="s">
        <v>40</v>
      </c>
      <c r="V1177" t="s">
        <v>41</v>
      </c>
      <c r="W1177" t="s">
        <v>42</v>
      </c>
      <c r="X1177" t="str">
        <f>"0590903"</f>
        <v>0590903</v>
      </c>
      <c r="Y1177" t="s">
        <v>226</v>
      </c>
      <c r="Z1177" t="s">
        <v>223</v>
      </c>
      <c r="AA1177" t="s">
        <v>224</v>
      </c>
      <c r="AB1177" t="s">
        <v>131</v>
      </c>
      <c r="AC1177" t="s">
        <v>51</v>
      </c>
      <c r="AD1177" t="s">
        <v>45</v>
      </c>
      <c r="AE1177" s="1">
        <v>30834</v>
      </c>
      <c r="AF1177">
        <v>2</v>
      </c>
      <c r="AG1177" t="s">
        <v>224</v>
      </c>
      <c r="AH1177" s="36">
        <f t="shared" si="18"/>
        <v>35.06388888888889</v>
      </c>
      <c r="AI1177" s="40" t="s">
        <v>1778</v>
      </c>
    </row>
    <row r="1178" spans="1:35" x14ac:dyDescent="0.25">
      <c r="A1178" s="36">
        <v>99911176</v>
      </c>
      <c r="B1178" s="17" t="s">
        <v>32</v>
      </c>
      <c r="C1178" t="s">
        <v>79</v>
      </c>
      <c r="D1178" t="s">
        <v>80</v>
      </c>
      <c r="G1178" s="17" t="s">
        <v>48</v>
      </c>
      <c r="H1178" s="17">
        <v>1</v>
      </c>
      <c r="K1178" t="s">
        <v>1268</v>
      </c>
      <c r="L1178" t="s">
        <v>1269</v>
      </c>
      <c r="M1178" t="s">
        <v>1270</v>
      </c>
      <c r="N1178">
        <v>23</v>
      </c>
      <c r="O1178" t="s">
        <v>40</v>
      </c>
      <c r="P1178" t="s">
        <v>40</v>
      </c>
      <c r="Q1178" t="s">
        <v>40</v>
      </c>
      <c r="S1178" t="s">
        <v>40</v>
      </c>
      <c r="V1178" t="s">
        <v>41</v>
      </c>
      <c r="W1178" t="s">
        <v>42</v>
      </c>
      <c r="X1178" t="str">
        <f>"1980050"</f>
        <v>1980050</v>
      </c>
      <c r="Y1178" t="s">
        <v>1278</v>
      </c>
      <c r="Z1178" t="s">
        <v>1268</v>
      </c>
      <c r="AA1178" t="s">
        <v>1269</v>
      </c>
      <c r="AB1178" t="s">
        <v>1270</v>
      </c>
      <c r="AC1178" t="s">
        <v>51</v>
      </c>
      <c r="AD1178" t="s">
        <v>45</v>
      </c>
      <c r="AE1178" s="1">
        <v>30833</v>
      </c>
      <c r="AF1178">
        <v>2</v>
      </c>
      <c r="AG1178" t="s">
        <v>1269</v>
      </c>
      <c r="AH1178" s="36">
        <f t="shared" si="18"/>
        <v>35.06666666666667</v>
      </c>
      <c r="AI1178" s="40" t="s">
        <v>1778</v>
      </c>
    </row>
    <row r="1179" spans="1:35" x14ac:dyDescent="0.25">
      <c r="A1179" s="36">
        <v>99911177</v>
      </c>
      <c r="B1179" s="17" t="s">
        <v>32</v>
      </c>
      <c r="C1179" t="s">
        <v>90</v>
      </c>
      <c r="D1179" t="s">
        <v>91</v>
      </c>
      <c r="G1179" s="17" t="s">
        <v>35</v>
      </c>
      <c r="H1179" s="17">
        <v>1</v>
      </c>
      <c r="I1179" t="s">
        <v>1711</v>
      </c>
      <c r="J1179" s="1">
        <v>43344</v>
      </c>
      <c r="K1179" t="s">
        <v>1708</v>
      </c>
      <c r="L1179" t="s">
        <v>1709</v>
      </c>
      <c r="M1179" t="s">
        <v>1705</v>
      </c>
      <c r="N1179">
        <v>6</v>
      </c>
      <c r="O1179" t="s">
        <v>40</v>
      </c>
      <c r="P1179" t="s">
        <v>40</v>
      </c>
      <c r="Q1179" t="s">
        <v>40</v>
      </c>
      <c r="S1179" t="s">
        <v>40</v>
      </c>
      <c r="U1179" s="1">
        <v>43344</v>
      </c>
      <c r="V1179" t="s">
        <v>41</v>
      </c>
      <c r="W1179" t="s">
        <v>95</v>
      </c>
      <c r="X1179" t="str">
        <f>"7121019"</f>
        <v>7121019</v>
      </c>
      <c r="Y1179" t="s">
        <v>1712</v>
      </c>
      <c r="Z1179" t="s">
        <v>1708</v>
      </c>
      <c r="AA1179" t="s">
        <v>1709</v>
      </c>
      <c r="AB1179" t="s">
        <v>1705</v>
      </c>
      <c r="AC1179" t="s">
        <v>44</v>
      </c>
      <c r="AD1179" t="s">
        <v>45</v>
      </c>
      <c r="AE1179" s="1">
        <v>30833</v>
      </c>
      <c r="AF1179">
        <v>1</v>
      </c>
      <c r="AG1179" t="s">
        <v>1709</v>
      </c>
      <c r="AH1179" s="36">
        <f t="shared" si="18"/>
        <v>35.06666666666667</v>
      </c>
      <c r="AI1179" s="40" t="s">
        <v>1778</v>
      </c>
    </row>
    <row r="1180" spans="1:35" x14ac:dyDescent="0.25">
      <c r="A1180" s="36">
        <v>99911178</v>
      </c>
      <c r="B1180" s="17" t="s">
        <v>32</v>
      </c>
      <c r="C1180" t="s">
        <v>64</v>
      </c>
      <c r="D1180" t="s">
        <v>65</v>
      </c>
      <c r="G1180" s="17" t="s">
        <v>35</v>
      </c>
      <c r="H1180" s="17">
        <v>1</v>
      </c>
      <c r="I1180">
        <v>1728</v>
      </c>
      <c r="J1180" s="1">
        <v>43344</v>
      </c>
      <c r="K1180" t="s">
        <v>268</v>
      </c>
      <c r="L1180" t="s">
        <v>269</v>
      </c>
      <c r="M1180" t="s">
        <v>131</v>
      </c>
      <c r="N1180">
        <v>24</v>
      </c>
      <c r="O1180" t="s">
        <v>40</v>
      </c>
      <c r="P1180" t="s">
        <v>40</v>
      </c>
      <c r="Q1180" t="s">
        <v>40</v>
      </c>
      <c r="R1180" t="s">
        <v>40</v>
      </c>
      <c r="S1180" t="s">
        <v>40</v>
      </c>
      <c r="U1180" s="1">
        <v>43344</v>
      </c>
      <c r="V1180" t="s">
        <v>41</v>
      </c>
      <c r="W1180" t="s">
        <v>75</v>
      </c>
      <c r="X1180" t="str">
        <f>"7052004"</f>
        <v>7052004</v>
      </c>
      <c r="Y1180" t="s">
        <v>584</v>
      </c>
      <c r="Z1180" t="s">
        <v>268</v>
      </c>
      <c r="AA1180" t="s">
        <v>269</v>
      </c>
      <c r="AB1180" t="s">
        <v>131</v>
      </c>
      <c r="AC1180" t="s">
        <v>55</v>
      </c>
      <c r="AD1180" t="s">
        <v>45</v>
      </c>
      <c r="AE1180" s="1">
        <v>30831</v>
      </c>
      <c r="AF1180">
        <v>1</v>
      </c>
      <c r="AG1180" t="s">
        <v>269</v>
      </c>
      <c r="AH1180" s="36">
        <f t="shared" si="18"/>
        <v>35.072222222222223</v>
      </c>
      <c r="AI1180" s="40" t="s">
        <v>1778</v>
      </c>
    </row>
    <row r="1181" spans="1:35" x14ac:dyDescent="0.25">
      <c r="A1181" s="36">
        <v>99911179</v>
      </c>
      <c r="B1181" s="17" t="s">
        <v>32</v>
      </c>
      <c r="C1181" t="s">
        <v>46</v>
      </c>
      <c r="D1181" t="s">
        <v>47</v>
      </c>
      <c r="G1181" s="17" t="s">
        <v>35</v>
      </c>
      <c r="H1181" s="17">
        <v>1</v>
      </c>
      <c r="I1181">
        <v>4616</v>
      </c>
      <c r="J1181" s="1">
        <v>43350</v>
      </c>
      <c r="K1181" t="s">
        <v>919</v>
      </c>
      <c r="L1181" t="s">
        <v>920</v>
      </c>
      <c r="M1181" t="s">
        <v>921</v>
      </c>
      <c r="N1181">
        <v>11</v>
      </c>
      <c r="O1181" t="s">
        <v>40</v>
      </c>
      <c r="P1181" t="s">
        <v>40</v>
      </c>
      <c r="Q1181" t="s">
        <v>40</v>
      </c>
      <c r="R1181" t="s">
        <v>40</v>
      </c>
      <c r="S1181" t="s">
        <v>40</v>
      </c>
      <c r="U1181" s="1">
        <v>43350</v>
      </c>
      <c r="V1181" t="s">
        <v>41</v>
      </c>
      <c r="W1181" t="s">
        <v>922</v>
      </c>
      <c r="X1181" t="str">
        <f>"5162001"</f>
        <v>5162001</v>
      </c>
      <c r="Y1181" t="s">
        <v>923</v>
      </c>
      <c r="Z1181" t="s">
        <v>919</v>
      </c>
      <c r="AA1181" t="s">
        <v>920</v>
      </c>
      <c r="AB1181" t="s">
        <v>921</v>
      </c>
      <c r="AC1181" t="s">
        <v>44</v>
      </c>
      <c r="AD1181" t="s">
        <v>45</v>
      </c>
      <c r="AE1181" s="1">
        <v>30829</v>
      </c>
      <c r="AF1181">
        <v>2</v>
      </c>
      <c r="AG1181" t="s">
        <v>920</v>
      </c>
      <c r="AH1181" s="36">
        <f t="shared" si="18"/>
        <v>35.077777777777776</v>
      </c>
      <c r="AI1181" s="40" t="s">
        <v>1778</v>
      </c>
    </row>
    <row r="1182" spans="1:35" x14ac:dyDescent="0.25">
      <c r="A1182" s="36">
        <v>99911180</v>
      </c>
      <c r="B1182" s="17" t="s">
        <v>32</v>
      </c>
      <c r="C1182" t="s">
        <v>111</v>
      </c>
      <c r="D1182" t="s">
        <v>112</v>
      </c>
      <c r="G1182" s="17" t="s">
        <v>35</v>
      </c>
      <c r="H1182" s="17">
        <v>1</v>
      </c>
      <c r="K1182" t="s">
        <v>1341</v>
      </c>
      <c r="L1182" t="s">
        <v>1342</v>
      </c>
      <c r="M1182" t="s">
        <v>1270</v>
      </c>
      <c r="N1182">
        <v>23</v>
      </c>
      <c r="O1182" t="s">
        <v>40</v>
      </c>
      <c r="P1182" t="s">
        <v>40</v>
      </c>
      <c r="Q1182" t="s">
        <v>40</v>
      </c>
      <c r="S1182" t="s">
        <v>40</v>
      </c>
      <c r="V1182" t="s">
        <v>41</v>
      </c>
      <c r="W1182" t="s">
        <v>75</v>
      </c>
      <c r="X1182" t="str">
        <f>"7191006"</f>
        <v>7191006</v>
      </c>
      <c r="Y1182" t="s">
        <v>1351</v>
      </c>
      <c r="Z1182" t="s">
        <v>1341</v>
      </c>
      <c r="AA1182" t="s">
        <v>1342</v>
      </c>
      <c r="AB1182" t="s">
        <v>1270</v>
      </c>
      <c r="AC1182" t="s">
        <v>51</v>
      </c>
      <c r="AD1182" t="s">
        <v>45</v>
      </c>
      <c r="AE1182" s="1">
        <v>30828</v>
      </c>
      <c r="AF1182">
        <v>1</v>
      </c>
      <c r="AG1182" t="s">
        <v>1342</v>
      </c>
      <c r="AH1182" s="36">
        <f t="shared" si="18"/>
        <v>35.080555555555556</v>
      </c>
      <c r="AI1182" s="40" t="s">
        <v>1778</v>
      </c>
    </row>
    <row r="1183" spans="1:35" x14ac:dyDescent="0.25">
      <c r="A1183" s="36">
        <v>99911181</v>
      </c>
      <c r="B1183" s="17" t="s">
        <v>32</v>
      </c>
      <c r="C1183" t="s">
        <v>139</v>
      </c>
      <c r="D1183" t="s">
        <v>140</v>
      </c>
      <c r="G1183" s="17" t="s">
        <v>48</v>
      </c>
      <c r="H1183" s="17">
        <v>1</v>
      </c>
      <c r="K1183" t="s">
        <v>154</v>
      </c>
      <c r="L1183" t="s">
        <v>155</v>
      </c>
      <c r="M1183" t="s">
        <v>131</v>
      </c>
      <c r="N1183">
        <v>24</v>
      </c>
      <c r="O1183" t="s">
        <v>40</v>
      </c>
      <c r="P1183" t="s">
        <v>40</v>
      </c>
      <c r="Q1183" t="s">
        <v>40</v>
      </c>
      <c r="S1183" t="s">
        <v>40</v>
      </c>
      <c r="V1183" t="s">
        <v>41</v>
      </c>
      <c r="W1183" t="s">
        <v>75</v>
      </c>
      <c r="X1183" t="str">
        <f>"7051018"</f>
        <v>7051018</v>
      </c>
      <c r="Y1183" t="s">
        <v>401</v>
      </c>
      <c r="Z1183" t="s">
        <v>154</v>
      </c>
      <c r="AA1183" t="s">
        <v>155</v>
      </c>
      <c r="AB1183" t="s">
        <v>131</v>
      </c>
      <c r="AC1183" t="s">
        <v>51</v>
      </c>
      <c r="AD1183" t="s">
        <v>45</v>
      </c>
      <c r="AE1183" s="1">
        <v>30823</v>
      </c>
      <c r="AF1183">
        <v>1</v>
      </c>
      <c r="AG1183" t="s">
        <v>155</v>
      </c>
      <c r="AH1183" s="36">
        <f t="shared" si="18"/>
        <v>35.094444444444441</v>
      </c>
      <c r="AI1183" s="40" t="s">
        <v>1778</v>
      </c>
    </row>
    <row r="1184" spans="1:35" x14ac:dyDescent="0.25">
      <c r="A1184" s="36">
        <v>99911182</v>
      </c>
      <c r="B1184" s="17" t="s">
        <v>32</v>
      </c>
      <c r="C1184" t="s">
        <v>111</v>
      </c>
      <c r="D1184" t="s">
        <v>112</v>
      </c>
      <c r="G1184" s="17" t="s">
        <v>35</v>
      </c>
      <c r="H1184" s="17">
        <v>1</v>
      </c>
      <c r="K1184" t="s">
        <v>431</v>
      </c>
      <c r="L1184" t="s">
        <v>196</v>
      </c>
      <c r="M1184" t="s">
        <v>131</v>
      </c>
      <c r="N1184">
        <v>24</v>
      </c>
      <c r="O1184" t="s">
        <v>40</v>
      </c>
      <c r="P1184" t="s">
        <v>40</v>
      </c>
      <c r="Q1184" t="s">
        <v>40</v>
      </c>
      <c r="S1184" t="s">
        <v>40</v>
      </c>
      <c r="V1184" t="s">
        <v>41</v>
      </c>
      <c r="W1184" t="s">
        <v>75</v>
      </c>
      <c r="X1184" t="str">
        <f>"7521032"</f>
        <v>7521032</v>
      </c>
      <c r="Y1184" t="s">
        <v>462</v>
      </c>
      <c r="Z1184" t="s">
        <v>431</v>
      </c>
      <c r="AA1184" t="s">
        <v>196</v>
      </c>
      <c r="AB1184" t="s">
        <v>131</v>
      </c>
      <c r="AC1184" t="s">
        <v>51</v>
      </c>
      <c r="AD1184" t="s">
        <v>45</v>
      </c>
      <c r="AE1184" s="1">
        <v>30823</v>
      </c>
      <c r="AF1184">
        <v>1</v>
      </c>
      <c r="AG1184" t="s">
        <v>196</v>
      </c>
      <c r="AH1184" s="36">
        <f t="shared" si="18"/>
        <v>35.094444444444441</v>
      </c>
      <c r="AI1184" s="40" t="s">
        <v>1778</v>
      </c>
    </row>
    <row r="1185" spans="1:35" x14ac:dyDescent="0.25">
      <c r="A1185" s="36">
        <v>99911183</v>
      </c>
      <c r="B1185" s="17" t="s">
        <v>32</v>
      </c>
      <c r="C1185" t="s">
        <v>90</v>
      </c>
      <c r="D1185" t="s">
        <v>91</v>
      </c>
      <c r="G1185" s="17" t="s">
        <v>48</v>
      </c>
      <c r="H1185" s="17">
        <v>1</v>
      </c>
      <c r="K1185" t="s">
        <v>407</v>
      </c>
      <c r="L1185" t="s">
        <v>409</v>
      </c>
      <c r="M1185" t="s">
        <v>131</v>
      </c>
      <c r="N1185">
        <v>5</v>
      </c>
      <c r="O1185" t="s">
        <v>40</v>
      </c>
      <c r="P1185" t="s">
        <v>40</v>
      </c>
      <c r="Q1185" t="s">
        <v>40</v>
      </c>
      <c r="S1185" t="s">
        <v>40</v>
      </c>
      <c r="V1185" t="s">
        <v>41</v>
      </c>
      <c r="W1185" t="s">
        <v>95</v>
      </c>
      <c r="X1185" t="str">
        <f>"7053047"</f>
        <v>7053047</v>
      </c>
      <c r="Y1185" t="s">
        <v>753</v>
      </c>
      <c r="Z1185" t="s">
        <v>407</v>
      </c>
      <c r="AA1185" t="s">
        <v>409</v>
      </c>
      <c r="AB1185" t="s">
        <v>131</v>
      </c>
      <c r="AC1185" t="s">
        <v>51</v>
      </c>
      <c r="AD1185" t="s">
        <v>45</v>
      </c>
      <c r="AE1185" s="1">
        <v>30820</v>
      </c>
      <c r="AF1185">
        <v>1</v>
      </c>
      <c r="AG1185" t="s">
        <v>409</v>
      </c>
      <c r="AH1185" s="36">
        <f t="shared" si="18"/>
        <v>35.102777777777774</v>
      </c>
      <c r="AI1185" s="40" t="s">
        <v>1778</v>
      </c>
    </row>
    <row r="1186" spans="1:35" x14ac:dyDescent="0.25">
      <c r="A1186" s="36">
        <v>99911184</v>
      </c>
      <c r="B1186" s="17" t="s">
        <v>32</v>
      </c>
      <c r="C1186" t="s">
        <v>111</v>
      </c>
      <c r="D1186" t="s">
        <v>112</v>
      </c>
      <c r="G1186" s="17" t="s">
        <v>48</v>
      </c>
      <c r="H1186" s="17">
        <v>5</v>
      </c>
      <c r="K1186" t="s">
        <v>1426</v>
      </c>
      <c r="L1186" t="s">
        <v>1427</v>
      </c>
      <c r="M1186" t="s">
        <v>1270</v>
      </c>
      <c r="N1186">
        <v>23</v>
      </c>
      <c r="O1186" t="s">
        <v>40</v>
      </c>
      <c r="P1186" t="s">
        <v>40</v>
      </c>
      <c r="Q1186" t="s">
        <v>40</v>
      </c>
      <c r="R1186" t="s">
        <v>40</v>
      </c>
      <c r="S1186" t="s">
        <v>40</v>
      </c>
      <c r="V1186" t="s">
        <v>41</v>
      </c>
      <c r="W1186" t="s">
        <v>75</v>
      </c>
      <c r="X1186" t="str">
        <f>"7192000"</f>
        <v>7192000</v>
      </c>
      <c r="Y1186" t="s">
        <v>1429</v>
      </c>
      <c r="Z1186" t="s">
        <v>1426</v>
      </c>
      <c r="AA1186" t="s">
        <v>1427</v>
      </c>
      <c r="AB1186" t="s">
        <v>1270</v>
      </c>
      <c r="AC1186" t="s">
        <v>51</v>
      </c>
      <c r="AD1186" t="s">
        <v>45</v>
      </c>
      <c r="AE1186" s="1">
        <v>30818</v>
      </c>
      <c r="AF1186">
        <v>1</v>
      </c>
      <c r="AG1186" t="s">
        <v>1427</v>
      </c>
      <c r="AH1186" s="36">
        <f t="shared" si="18"/>
        <v>35.108333333333334</v>
      </c>
      <c r="AI1186" s="40" t="s">
        <v>1778</v>
      </c>
    </row>
    <row r="1187" spans="1:35" x14ac:dyDescent="0.25">
      <c r="A1187" s="36">
        <v>99911185</v>
      </c>
      <c r="B1187" s="17" t="s">
        <v>32</v>
      </c>
      <c r="C1187" t="s">
        <v>90</v>
      </c>
      <c r="D1187" t="s">
        <v>91</v>
      </c>
      <c r="G1187" s="17" t="s">
        <v>35</v>
      </c>
      <c r="H1187" s="17">
        <v>1</v>
      </c>
      <c r="I1187">
        <v>20468</v>
      </c>
      <c r="J1187" s="1">
        <v>43344</v>
      </c>
      <c r="K1187" t="s">
        <v>354</v>
      </c>
      <c r="L1187" t="s">
        <v>355</v>
      </c>
      <c r="M1187" t="s">
        <v>131</v>
      </c>
      <c r="N1187">
        <v>24</v>
      </c>
      <c r="O1187" t="s">
        <v>40</v>
      </c>
      <c r="S1187" t="s">
        <v>40</v>
      </c>
      <c r="U1187" s="1">
        <v>43344</v>
      </c>
      <c r="V1187" t="s">
        <v>41</v>
      </c>
      <c r="W1187" t="s">
        <v>75</v>
      </c>
      <c r="X1187" t="str">
        <f>"7054016"</f>
        <v>7054016</v>
      </c>
      <c r="Y1187" t="s">
        <v>768</v>
      </c>
      <c r="Z1187" t="s">
        <v>354</v>
      </c>
      <c r="AA1187" t="s">
        <v>355</v>
      </c>
      <c r="AB1187" t="s">
        <v>131</v>
      </c>
      <c r="AC1187" t="s">
        <v>51</v>
      </c>
      <c r="AD1187" t="s">
        <v>45</v>
      </c>
      <c r="AE1187" s="1">
        <v>30806</v>
      </c>
      <c r="AF1187">
        <v>1</v>
      </c>
      <c r="AG1187" t="s">
        <v>355</v>
      </c>
      <c r="AH1187" s="36">
        <f t="shared" si="18"/>
        <v>35.141666666666666</v>
      </c>
      <c r="AI1187" s="40" t="s">
        <v>1778</v>
      </c>
    </row>
    <row r="1188" spans="1:35" x14ac:dyDescent="0.25">
      <c r="A1188" s="36">
        <v>99911186</v>
      </c>
      <c r="B1188" s="17" t="s">
        <v>56</v>
      </c>
      <c r="C1188" t="s">
        <v>61</v>
      </c>
      <c r="D1188" t="s">
        <v>62</v>
      </c>
      <c r="G1188" s="17" t="s">
        <v>35</v>
      </c>
      <c r="H1188" s="17">
        <v>1</v>
      </c>
      <c r="I1188">
        <v>20586</v>
      </c>
      <c r="J1188" s="1">
        <v>43344</v>
      </c>
      <c r="K1188" t="s">
        <v>129</v>
      </c>
      <c r="L1188" t="s">
        <v>130</v>
      </c>
      <c r="M1188" t="s">
        <v>131</v>
      </c>
      <c r="N1188">
        <v>20</v>
      </c>
      <c r="O1188" t="s">
        <v>40</v>
      </c>
      <c r="P1188" t="s">
        <v>40</v>
      </c>
      <c r="Q1188" t="s">
        <v>40</v>
      </c>
      <c r="R1188" t="s">
        <v>40</v>
      </c>
      <c r="S1188" t="s">
        <v>40</v>
      </c>
      <c r="U1188" s="1">
        <v>43344</v>
      </c>
      <c r="V1188" t="s">
        <v>41</v>
      </c>
      <c r="W1188" t="s">
        <v>49</v>
      </c>
      <c r="X1188" t="str">
        <f>"0591905"</f>
        <v>0591905</v>
      </c>
      <c r="Y1188" t="s">
        <v>135</v>
      </c>
      <c r="Z1188" t="s">
        <v>129</v>
      </c>
      <c r="AA1188" t="s">
        <v>130</v>
      </c>
      <c r="AB1188" t="s">
        <v>131</v>
      </c>
      <c r="AC1188" t="s">
        <v>44</v>
      </c>
      <c r="AD1188" t="s">
        <v>45</v>
      </c>
      <c r="AE1188" s="1">
        <v>30804</v>
      </c>
      <c r="AF1188">
        <v>2</v>
      </c>
      <c r="AG1188" t="s">
        <v>130</v>
      </c>
      <c r="AH1188" s="36">
        <f t="shared" si="18"/>
        <v>35.147222222222226</v>
      </c>
      <c r="AI1188" s="40" t="s">
        <v>1778</v>
      </c>
    </row>
    <row r="1189" spans="1:35" x14ac:dyDescent="0.25">
      <c r="A1189" s="36">
        <v>99911187</v>
      </c>
      <c r="B1189" s="17" t="s">
        <v>32</v>
      </c>
      <c r="C1189" t="s">
        <v>90</v>
      </c>
      <c r="D1189" t="s">
        <v>91</v>
      </c>
      <c r="G1189" s="17" t="s">
        <v>48</v>
      </c>
      <c r="H1189" s="17">
        <v>4</v>
      </c>
      <c r="K1189" t="s">
        <v>1426</v>
      </c>
      <c r="L1189" t="s">
        <v>1427</v>
      </c>
      <c r="M1189" t="s">
        <v>1270</v>
      </c>
      <c r="N1189">
        <v>20</v>
      </c>
      <c r="O1189" t="s">
        <v>40</v>
      </c>
      <c r="P1189" t="s">
        <v>40</v>
      </c>
      <c r="Q1189" t="s">
        <v>40</v>
      </c>
      <c r="R1189" t="s">
        <v>40</v>
      </c>
      <c r="S1189" t="s">
        <v>40</v>
      </c>
      <c r="V1189" t="s">
        <v>41</v>
      </c>
      <c r="W1189" t="s">
        <v>95</v>
      </c>
      <c r="X1189" t="str">
        <f>"7192017"</f>
        <v>7192017</v>
      </c>
      <c r="Y1189" t="s">
        <v>1433</v>
      </c>
      <c r="Z1189" t="s">
        <v>1426</v>
      </c>
      <c r="AA1189" t="s">
        <v>1427</v>
      </c>
      <c r="AB1189" t="s">
        <v>1270</v>
      </c>
      <c r="AC1189" t="s">
        <v>51</v>
      </c>
      <c r="AD1189" t="s">
        <v>45</v>
      </c>
      <c r="AE1189" s="1">
        <v>30800</v>
      </c>
      <c r="AF1189">
        <v>1</v>
      </c>
      <c r="AG1189" t="s">
        <v>1427</v>
      </c>
      <c r="AH1189" s="36">
        <f t="shared" si="18"/>
        <v>35.158333333333331</v>
      </c>
      <c r="AI1189" s="40" t="s">
        <v>1778</v>
      </c>
    </row>
    <row r="1190" spans="1:35" x14ac:dyDescent="0.25">
      <c r="A1190" s="36">
        <v>99911188</v>
      </c>
      <c r="B1190" s="17" t="s">
        <v>32</v>
      </c>
      <c r="C1190" t="s">
        <v>90</v>
      </c>
      <c r="D1190" t="s">
        <v>91</v>
      </c>
      <c r="G1190" s="17" t="s">
        <v>35</v>
      </c>
      <c r="H1190" s="17">
        <v>1</v>
      </c>
      <c r="I1190">
        <v>7771</v>
      </c>
      <c r="J1190" s="1">
        <v>43344</v>
      </c>
      <c r="K1190" t="s">
        <v>927</v>
      </c>
      <c r="L1190" t="s">
        <v>928</v>
      </c>
      <c r="M1190" t="s">
        <v>921</v>
      </c>
      <c r="N1190">
        <v>25</v>
      </c>
      <c r="O1190" t="s">
        <v>40</v>
      </c>
      <c r="P1190" t="s">
        <v>40</v>
      </c>
      <c r="Q1190" t="s">
        <v>40</v>
      </c>
      <c r="R1190" t="s">
        <v>40</v>
      </c>
      <c r="S1190" t="s">
        <v>40</v>
      </c>
      <c r="U1190" s="1">
        <v>43344</v>
      </c>
      <c r="V1190" t="s">
        <v>41</v>
      </c>
      <c r="W1190" t="s">
        <v>95</v>
      </c>
      <c r="X1190" t="str">
        <f>"7331001"</f>
        <v>7331001</v>
      </c>
      <c r="Y1190" t="s">
        <v>930</v>
      </c>
      <c r="Z1190" t="s">
        <v>927</v>
      </c>
      <c r="AA1190" t="s">
        <v>928</v>
      </c>
      <c r="AB1190" t="s">
        <v>921</v>
      </c>
      <c r="AC1190" t="s">
        <v>51</v>
      </c>
      <c r="AD1190" t="s">
        <v>45</v>
      </c>
      <c r="AE1190" s="1">
        <v>30799</v>
      </c>
      <c r="AF1190">
        <v>1</v>
      </c>
      <c r="AG1190" t="s">
        <v>928</v>
      </c>
      <c r="AH1190" s="36">
        <f t="shared" si="18"/>
        <v>35.161111111111111</v>
      </c>
      <c r="AI1190" s="40" t="s">
        <v>1778</v>
      </c>
    </row>
    <row r="1191" spans="1:35" x14ac:dyDescent="0.25">
      <c r="A1191" s="36">
        <v>99911189</v>
      </c>
      <c r="B1191" s="17" t="s">
        <v>32</v>
      </c>
      <c r="C1191" t="s">
        <v>90</v>
      </c>
      <c r="D1191" t="s">
        <v>91</v>
      </c>
      <c r="G1191" s="17" t="s">
        <v>35</v>
      </c>
      <c r="H1191" s="17">
        <v>4</v>
      </c>
      <c r="I1191" t="s">
        <v>1671</v>
      </c>
      <c r="J1191" s="1">
        <v>43344</v>
      </c>
      <c r="K1191" t="s">
        <v>1619</v>
      </c>
      <c r="L1191" t="s">
        <v>1620</v>
      </c>
      <c r="M1191" t="s">
        <v>1592</v>
      </c>
      <c r="N1191">
        <v>25</v>
      </c>
      <c r="O1191" t="s">
        <v>40</v>
      </c>
      <c r="P1191" t="s">
        <v>40</v>
      </c>
      <c r="Q1191" t="s">
        <v>40</v>
      </c>
      <c r="R1191" t="s">
        <v>40</v>
      </c>
      <c r="S1191" t="s">
        <v>40</v>
      </c>
      <c r="U1191" s="1">
        <v>43344</v>
      </c>
      <c r="V1191" t="s">
        <v>41</v>
      </c>
      <c r="W1191" t="s">
        <v>95</v>
      </c>
      <c r="X1191" t="str">
        <f>"7281001"</f>
        <v>7281001</v>
      </c>
      <c r="Y1191" t="s">
        <v>1672</v>
      </c>
      <c r="Z1191" t="s">
        <v>1619</v>
      </c>
      <c r="AA1191" t="s">
        <v>1620</v>
      </c>
      <c r="AB1191" t="s">
        <v>1592</v>
      </c>
      <c r="AC1191" t="s">
        <v>51</v>
      </c>
      <c r="AD1191" t="s">
        <v>45</v>
      </c>
      <c r="AE1191" s="1">
        <v>30795</v>
      </c>
      <c r="AF1191">
        <v>1</v>
      </c>
      <c r="AG1191" t="s">
        <v>1620</v>
      </c>
      <c r="AH1191" s="36">
        <f t="shared" si="18"/>
        <v>35.172222222222224</v>
      </c>
      <c r="AI1191" s="40" t="s">
        <v>1778</v>
      </c>
    </row>
    <row r="1192" spans="1:35" x14ac:dyDescent="0.25">
      <c r="A1192" s="36">
        <v>99911190</v>
      </c>
      <c r="B1192" s="17" t="s">
        <v>32</v>
      </c>
      <c r="C1192" t="s">
        <v>46</v>
      </c>
      <c r="D1192" t="s">
        <v>47</v>
      </c>
      <c r="G1192" s="17" t="s">
        <v>48</v>
      </c>
      <c r="H1192" s="17">
        <v>1</v>
      </c>
      <c r="K1192" t="s">
        <v>300</v>
      </c>
      <c r="L1192" t="s">
        <v>301</v>
      </c>
      <c r="M1192" t="s">
        <v>131</v>
      </c>
      <c r="N1192">
        <v>4</v>
      </c>
      <c r="O1192" t="s">
        <v>40</v>
      </c>
      <c r="P1192" t="s">
        <v>40</v>
      </c>
      <c r="Q1192" t="s">
        <v>40</v>
      </c>
      <c r="R1192" t="s">
        <v>40</v>
      </c>
      <c r="S1192" t="s">
        <v>40</v>
      </c>
      <c r="V1192" t="s">
        <v>41</v>
      </c>
      <c r="W1192" t="s">
        <v>42</v>
      </c>
      <c r="X1192" t="str">
        <f>"0580106"</f>
        <v>0580106</v>
      </c>
      <c r="Y1192" t="s">
        <v>306</v>
      </c>
      <c r="Z1192" t="s">
        <v>300</v>
      </c>
      <c r="AA1192" t="s">
        <v>301</v>
      </c>
      <c r="AB1192" t="s">
        <v>131</v>
      </c>
      <c r="AC1192" t="s">
        <v>51</v>
      </c>
      <c r="AD1192" t="s">
        <v>45</v>
      </c>
      <c r="AE1192" s="1">
        <v>30786</v>
      </c>
      <c r="AF1192">
        <v>2</v>
      </c>
      <c r="AG1192" t="s">
        <v>301</v>
      </c>
      <c r="AH1192" s="36">
        <f t="shared" si="18"/>
        <v>35.197222222222223</v>
      </c>
      <c r="AI1192" s="40" t="s">
        <v>1778</v>
      </c>
    </row>
    <row r="1193" spans="1:35" x14ac:dyDescent="0.25">
      <c r="A1193" s="36">
        <v>99911191</v>
      </c>
      <c r="B1193" s="17" t="s">
        <v>32</v>
      </c>
      <c r="C1193" t="s">
        <v>149</v>
      </c>
      <c r="D1193" t="s">
        <v>150</v>
      </c>
      <c r="G1193" s="17" t="s">
        <v>35</v>
      </c>
      <c r="H1193" s="17">
        <v>1</v>
      </c>
      <c r="K1193" t="s">
        <v>936</v>
      </c>
      <c r="L1193" t="s">
        <v>937</v>
      </c>
      <c r="M1193" t="s">
        <v>938</v>
      </c>
      <c r="N1193">
        <v>4</v>
      </c>
      <c r="O1193" t="s">
        <v>40</v>
      </c>
      <c r="P1193" t="s">
        <v>40</v>
      </c>
      <c r="Q1193" t="s">
        <v>40</v>
      </c>
      <c r="R1193" t="s">
        <v>40</v>
      </c>
      <c r="S1193" t="s">
        <v>40</v>
      </c>
      <c r="V1193" t="s">
        <v>41</v>
      </c>
      <c r="W1193" t="s">
        <v>49</v>
      </c>
      <c r="X1193" t="str">
        <f>"0160075"</f>
        <v>0160075</v>
      </c>
      <c r="Y1193" t="s">
        <v>939</v>
      </c>
      <c r="Z1193" t="s">
        <v>936</v>
      </c>
      <c r="AA1193" t="s">
        <v>937</v>
      </c>
      <c r="AB1193" t="s">
        <v>938</v>
      </c>
      <c r="AC1193" t="s">
        <v>51</v>
      </c>
      <c r="AD1193" t="s">
        <v>45</v>
      </c>
      <c r="AE1193" s="1">
        <v>30779</v>
      </c>
      <c r="AF1193">
        <v>2</v>
      </c>
      <c r="AG1193" t="s">
        <v>937</v>
      </c>
      <c r="AH1193" s="36">
        <f t="shared" si="18"/>
        <v>35.216666666666669</v>
      </c>
      <c r="AI1193" s="40" t="s">
        <v>1778</v>
      </c>
    </row>
    <row r="1194" spans="1:35" x14ac:dyDescent="0.25">
      <c r="A1194" s="36">
        <v>99911192</v>
      </c>
      <c r="B1194" s="17" t="s">
        <v>56</v>
      </c>
      <c r="C1194" t="s">
        <v>68</v>
      </c>
      <c r="D1194" t="s">
        <v>69</v>
      </c>
      <c r="G1194" s="17" t="s">
        <v>48</v>
      </c>
      <c r="H1194" s="17">
        <v>1</v>
      </c>
      <c r="K1194" t="s">
        <v>162</v>
      </c>
      <c r="L1194" t="s">
        <v>158</v>
      </c>
      <c r="M1194" t="s">
        <v>131</v>
      </c>
      <c r="N1194">
        <v>23</v>
      </c>
      <c r="O1194" t="s">
        <v>40</v>
      </c>
      <c r="P1194" t="s">
        <v>40</v>
      </c>
      <c r="Q1194" t="s">
        <v>40</v>
      </c>
      <c r="R1194" t="s">
        <v>40</v>
      </c>
      <c r="S1194" t="s">
        <v>40</v>
      </c>
      <c r="V1194" t="s">
        <v>41</v>
      </c>
      <c r="W1194" t="s">
        <v>42</v>
      </c>
      <c r="X1194" t="str">
        <f>"0580310"</f>
        <v>0580310</v>
      </c>
      <c r="Y1194" t="s">
        <v>173</v>
      </c>
      <c r="Z1194" t="s">
        <v>162</v>
      </c>
      <c r="AA1194" t="s">
        <v>158</v>
      </c>
      <c r="AB1194" t="s">
        <v>131</v>
      </c>
      <c r="AC1194" t="s">
        <v>51</v>
      </c>
      <c r="AD1194" t="s">
        <v>45</v>
      </c>
      <c r="AE1194" s="1">
        <v>30775</v>
      </c>
      <c r="AF1194">
        <v>2</v>
      </c>
      <c r="AG1194" t="s">
        <v>158</v>
      </c>
      <c r="AH1194" s="36">
        <f t="shared" si="18"/>
        <v>35.227777777777774</v>
      </c>
      <c r="AI1194" s="40" t="s">
        <v>1778</v>
      </c>
    </row>
    <row r="1195" spans="1:35" x14ac:dyDescent="0.25">
      <c r="A1195" s="36">
        <v>99911193</v>
      </c>
      <c r="B1195" s="17" t="s">
        <v>56</v>
      </c>
      <c r="C1195" t="s">
        <v>61</v>
      </c>
      <c r="D1195" t="s">
        <v>62</v>
      </c>
      <c r="G1195" s="17" t="s">
        <v>48</v>
      </c>
      <c r="H1195" s="17">
        <v>1</v>
      </c>
      <c r="K1195" t="s">
        <v>162</v>
      </c>
      <c r="L1195" t="s">
        <v>158</v>
      </c>
      <c r="M1195" t="s">
        <v>131</v>
      </c>
      <c r="N1195">
        <v>20</v>
      </c>
      <c r="O1195" t="s">
        <v>40</v>
      </c>
      <c r="P1195" t="s">
        <v>40</v>
      </c>
      <c r="Q1195" t="s">
        <v>40</v>
      </c>
      <c r="R1195" t="s">
        <v>40</v>
      </c>
      <c r="S1195" t="s">
        <v>40</v>
      </c>
      <c r="V1195" t="s">
        <v>41</v>
      </c>
      <c r="W1195" t="s">
        <v>42</v>
      </c>
      <c r="X1195" t="str">
        <f>"0580310"</f>
        <v>0580310</v>
      </c>
      <c r="Y1195" t="s">
        <v>173</v>
      </c>
      <c r="Z1195" t="s">
        <v>162</v>
      </c>
      <c r="AA1195" t="s">
        <v>158</v>
      </c>
      <c r="AB1195" t="s">
        <v>131</v>
      </c>
      <c r="AC1195" t="s">
        <v>51</v>
      </c>
      <c r="AD1195" t="s">
        <v>45</v>
      </c>
      <c r="AE1195" s="1">
        <v>30774</v>
      </c>
      <c r="AF1195">
        <v>2</v>
      </c>
      <c r="AG1195" t="s">
        <v>158</v>
      </c>
      <c r="AH1195" s="36">
        <f t="shared" si="18"/>
        <v>35.230555555555554</v>
      </c>
      <c r="AI1195" s="40" t="s">
        <v>1778</v>
      </c>
    </row>
    <row r="1196" spans="1:35" x14ac:dyDescent="0.25">
      <c r="A1196" s="36">
        <v>99911194</v>
      </c>
      <c r="B1196" s="17" t="s">
        <v>56</v>
      </c>
      <c r="C1196" t="s">
        <v>79</v>
      </c>
      <c r="D1196" t="s">
        <v>80</v>
      </c>
      <c r="G1196" s="17" t="s">
        <v>48</v>
      </c>
      <c r="H1196" s="17">
        <v>1</v>
      </c>
      <c r="K1196" t="s">
        <v>354</v>
      </c>
      <c r="L1196" t="s">
        <v>355</v>
      </c>
      <c r="M1196" t="s">
        <v>131</v>
      </c>
      <c r="N1196">
        <v>24</v>
      </c>
      <c r="O1196" t="s">
        <v>40</v>
      </c>
      <c r="P1196" t="s">
        <v>40</v>
      </c>
      <c r="Q1196" t="s">
        <v>40</v>
      </c>
      <c r="S1196" t="s">
        <v>40</v>
      </c>
      <c r="V1196" t="s">
        <v>41</v>
      </c>
      <c r="W1196" t="s">
        <v>75</v>
      </c>
      <c r="X1196" t="str">
        <f>"7054038"</f>
        <v>7054038</v>
      </c>
      <c r="Y1196" t="s">
        <v>377</v>
      </c>
      <c r="Z1196" t="s">
        <v>354</v>
      </c>
      <c r="AA1196" t="s">
        <v>355</v>
      </c>
      <c r="AB1196" t="s">
        <v>131</v>
      </c>
      <c r="AC1196" t="s">
        <v>51</v>
      </c>
      <c r="AD1196" t="s">
        <v>45</v>
      </c>
      <c r="AE1196" s="1">
        <v>30772</v>
      </c>
      <c r="AF1196">
        <v>1</v>
      </c>
      <c r="AG1196" t="s">
        <v>355</v>
      </c>
      <c r="AH1196" s="36">
        <f t="shared" si="18"/>
        <v>35.236111111111114</v>
      </c>
      <c r="AI1196" s="40" t="s">
        <v>1778</v>
      </c>
    </row>
    <row r="1197" spans="1:35" x14ac:dyDescent="0.25">
      <c r="A1197" s="36">
        <v>99911195</v>
      </c>
      <c r="B1197" s="17" t="s">
        <v>32</v>
      </c>
      <c r="C1197" t="s">
        <v>111</v>
      </c>
      <c r="D1197" t="s">
        <v>112</v>
      </c>
      <c r="G1197" s="17" t="s">
        <v>35</v>
      </c>
      <c r="H1197" s="17">
        <v>1</v>
      </c>
      <c r="I1197">
        <v>19057</v>
      </c>
      <c r="J1197" s="1">
        <v>43390</v>
      </c>
      <c r="K1197" t="s">
        <v>877</v>
      </c>
      <c r="L1197" t="s">
        <v>878</v>
      </c>
      <c r="M1197" t="s">
        <v>131</v>
      </c>
      <c r="N1197">
        <v>24</v>
      </c>
      <c r="O1197" t="s">
        <v>40</v>
      </c>
      <c r="S1197" t="s">
        <v>40</v>
      </c>
      <c r="U1197" s="1">
        <v>43390</v>
      </c>
      <c r="V1197" t="s">
        <v>41</v>
      </c>
      <c r="W1197" t="s">
        <v>75</v>
      </c>
      <c r="X1197" t="str">
        <f>"7541008"</f>
        <v>7541008</v>
      </c>
      <c r="Y1197" t="s">
        <v>879</v>
      </c>
      <c r="Z1197" t="s">
        <v>877</v>
      </c>
      <c r="AA1197" t="s">
        <v>878</v>
      </c>
      <c r="AB1197" t="s">
        <v>131</v>
      </c>
      <c r="AC1197" t="s">
        <v>44</v>
      </c>
      <c r="AD1197" t="s">
        <v>45</v>
      </c>
      <c r="AE1197" s="1">
        <v>30772</v>
      </c>
      <c r="AF1197">
        <v>1</v>
      </c>
      <c r="AG1197" t="s">
        <v>878</v>
      </c>
      <c r="AH1197" s="36">
        <f t="shared" si="18"/>
        <v>35.236111111111114</v>
      </c>
      <c r="AI1197" s="40" t="s">
        <v>1778</v>
      </c>
    </row>
    <row r="1198" spans="1:35" x14ac:dyDescent="0.25">
      <c r="A1198" s="36">
        <v>99911196</v>
      </c>
      <c r="B1198" s="17" t="s">
        <v>32</v>
      </c>
      <c r="C1198" t="s">
        <v>90</v>
      </c>
      <c r="D1198" t="s">
        <v>91</v>
      </c>
      <c r="G1198" s="17" t="s">
        <v>35</v>
      </c>
      <c r="H1198" s="17">
        <v>1</v>
      </c>
      <c r="I1198" t="s">
        <v>1425</v>
      </c>
      <c r="J1198" s="1">
        <v>43344</v>
      </c>
      <c r="K1198" t="s">
        <v>1341</v>
      </c>
      <c r="L1198" t="s">
        <v>1342</v>
      </c>
      <c r="M1198" t="s">
        <v>1270</v>
      </c>
      <c r="N1198">
        <v>24</v>
      </c>
      <c r="O1198" t="s">
        <v>40</v>
      </c>
      <c r="S1198" t="s">
        <v>40</v>
      </c>
      <c r="U1198" s="1">
        <v>43344</v>
      </c>
      <c r="V1198" t="s">
        <v>41</v>
      </c>
      <c r="W1198" t="s">
        <v>95</v>
      </c>
      <c r="X1198" t="str">
        <f>"7191101"</f>
        <v>7191101</v>
      </c>
      <c r="Y1198" t="s">
        <v>1377</v>
      </c>
      <c r="Z1198" t="s">
        <v>1341</v>
      </c>
      <c r="AA1198" t="s">
        <v>1342</v>
      </c>
      <c r="AB1198" t="s">
        <v>1270</v>
      </c>
      <c r="AC1198" t="s">
        <v>51</v>
      </c>
      <c r="AD1198" t="s">
        <v>45</v>
      </c>
      <c r="AE1198" s="1">
        <v>30769</v>
      </c>
      <c r="AF1198">
        <v>1</v>
      </c>
      <c r="AG1198" t="s">
        <v>1342</v>
      </c>
      <c r="AH1198" s="36">
        <f t="shared" si="18"/>
        <v>35.244444444444447</v>
      </c>
      <c r="AI1198" s="40" t="s">
        <v>1778</v>
      </c>
    </row>
    <row r="1199" spans="1:35" x14ac:dyDescent="0.25">
      <c r="A1199" s="36">
        <v>99911197</v>
      </c>
      <c r="B1199" s="17" t="s">
        <v>56</v>
      </c>
      <c r="C1199" t="s">
        <v>52</v>
      </c>
      <c r="D1199" t="s">
        <v>53</v>
      </c>
      <c r="G1199" s="17" t="s">
        <v>48</v>
      </c>
      <c r="H1199" s="17">
        <v>1</v>
      </c>
      <c r="K1199" t="s">
        <v>936</v>
      </c>
      <c r="L1199" t="s">
        <v>937</v>
      </c>
      <c r="M1199" t="s">
        <v>938</v>
      </c>
      <c r="N1199">
        <v>21</v>
      </c>
      <c r="O1199" t="s">
        <v>40</v>
      </c>
      <c r="P1199" t="s">
        <v>40</v>
      </c>
      <c r="Q1199" t="s">
        <v>40</v>
      </c>
      <c r="R1199" t="s">
        <v>40</v>
      </c>
      <c r="S1199" t="s">
        <v>40</v>
      </c>
      <c r="V1199" t="s">
        <v>41</v>
      </c>
      <c r="W1199" t="s">
        <v>49</v>
      </c>
      <c r="X1199" t="str">
        <f>"0180017"</f>
        <v>0180017</v>
      </c>
      <c r="Y1199" t="s">
        <v>943</v>
      </c>
      <c r="Z1199" t="s">
        <v>936</v>
      </c>
      <c r="AA1199" t="s">
        <v>937</v>
      </c>
      <c r="AB1199" t="s">
        <v>938</v>
      </c>
      <c r="AC1199" t="s">
        <v>51</v>
      </c>
      <c r="AD1199" t="s">
        <v>45</v>
      </c>
      <c r="AE1199" s="1">
        <v>30767</v>
      </c>
      <c r="AF1199">
        <v>2</v>
      </c>
      <c r="AG1199" t="s">
        <v>937</v>
      </c>
      <c r="AH1199" s="36">
        <f t="shared" si="18"/>
        <v>35.25</v>
      </c>
      <c r="AI1199" s="40" t="s">
        <v>1778</v>
      </c>
    </row>
    <row r="1200" spans="1:35" x14ac:dyDescent="0.25">
      <c r="A1200" s="36">
        <v>99911198</v>
      </c>
      <c r="B1200" s="17" t="s">
        <v>56</v>
      </c>
      <c r="C1200" t="s">
        <v>46</v>
      </c>
      <c r="D1200" t="s">
        <v>47</v>
      </c>
      <c r="G1200" s="17" t="s">
        <v>88</v>
      </c>
      <c r="H1200" s="17">
        <v>4</v>
      </c>
      <c r="K1200" t="s">
        <v>354</v>
      </c>
      <c r="L1200" t="s">
        <v>355</v>
      </c>
      <c r="M1200" t="s">
        <v>131</v>
      </c>
      <c r="N1200">
        <v>24</v>
      </c>
      <c r="O1200" t="s">
        <v>40</v>
      </c>
      <c r="P1200" t="s">
        <v>40</v>
      </c>
      <c r="Q1200" t="s">
        <v>40</v>
      </c>
      <c r="R1200" t="s">
        <v>40</v>
      </c>
      <c r="S1200" t="s">
        <v>40</v>
      </c>
      <c r="V1200" t="s">
        <v>41</v>
      </c>
      <c r="W1200" t="s">
        <v>75</v>
      </c>
      <c r="X1200" t="str">
        <f>"7054028"</f>
        <v>7054028</v>
      </c>
      <c r="Y1200" t="s">
        <v>788</v>
      </c>
      <c r="Z1200" t="s">
        <v>354</v>
      </c>
      <c r="AA1200" t="s">
        <v>355</v>
      </c>
      <c r="AB1200" t="s">
        <v>131</v>
      </c>
      <c r="AC1200" t="s">
        <v>51</v>
      </c>
      <c r="AD1200" t="s">
        <v>45</v>
      </c>
      <c r="AE1200" s="1">
        <v>30766</v>
      </c>
      <c r="AF1200">
        <v>1</v>
      </c>
      <c r="AG1200" t="s">
        <v>355</v>
      </c>
      <c r="AH1200" s="36">
        <f t="shared" si="18"/>
        <v>35.25277777777778</v>
      </c>
      <c r="AI1200" s="40" t="s">
        <v>1778</v>
      </c>
    </row>
    <row r="1201" spans="1:35" x14ac:dyDescent="0.25">
      <c r="A1201" s="36">
        <v>99911199</v>
      </c>
      <c r="B1201" s="17" t="s">
        <v>56</v>
      </c>
      <c r="C1201" t="s">
        <v>79</v>
      </c>
      <c r="D1201" t="s">
        <v>80</v>
      </c>
      <c r="G1201" s="17" t="s">
        <v>48</v>
      </c>
      <c r="H1201" s="17">
        <v>1</v>
      </c>
      <c r="K1201" t="s">
        <v>1619</v>
      </c>
      <c r="L1201" t="s">
        <v>1620</v>
      </c>
      <c r="M1201" t="s">
        <v>1592</v>
      </c>
      <c r="N1201">
        <v>17</v>
      </c>
      <c r="O1201" t="s">
        <v>40</v>
      </c>
      <c r="P1201" t="s">
        <v>40</v>
      </c>
      <c r="Q1201" t="s">
        <v>40</v>
      </c>
      <c r="R1201" t="s">
        <v>40</v>
      </c>
      <c r="S1201" t="s">
        <v>40</v>
      </c>
      <c r="V1201" t="s">
        <v>41</v>
      </c>
      <c r="W1201" t="s">
        <v>75</v>
      </c>
      <c r="X1201" t="str">
        <f>"7281004"</f>
        <v>7281004</v>
      </c>
      <c r="Y1201" t="s">
        <v>1651</v>
      </c>
      <c r="Z1201" t="s">
        <v>1619</v>
      </c>
      <c r="AA1201" t="s">
        <v>1620</v>
      </c>
      <c r="AB1201" t="s">
        <v>1592</v>
      </c>
      <c r="AC1201" t="s">
        <v>51</v>
      </c>
      <c r="AD1201" t="s">
        <v>45</v>
      </c>
      <c r="AE1201" s="1">
        <v>30759</v>
      </c>
      <c r="AF1201">
        <v>1</v>
      </c>
      <c r="AG1201" t="s">
        <v>1620</v>
      </c>
      <c r="AH1201" s="36">
        <f t="shared" si="18"/>
        <v>35.272222222222226</v>
      </c>
      <c r="AI1201" s="40" t="s">
        <v>1778</v>
      </c>
    </row>
    <row r="1202" spans="1:35" x14ac:dyDescent="0.25">
      <c r="A1202" s="36">
        <v>99911200</v>
      </c>
      <c r="B1202" s="17" t="s">
        <v>32</v>
      </c>
      <c r="C1202" t="s">
        <v>61</v>
      </c>
      <c r="D1202" t="s">
        <v>62</v>
      </c>
      <c r="G1202" s="17" t="s">
        <v>35</v>
      </c>
      <c r="H1202" s="17">
        <v>1</v>
      </c>
      <c r="I1202">
        <v>0</v>
      </c>
      <c r="J1202" s="1">
        <v>43344</v>
      </c>
      <c r="K1202" t="s">
        <v>985</v>
      </c>
      <c r="L1202" t="s">
        <v>986</v>
      </c>
      <c r="M1202" t="s">
        <v>938</v>
      </c>
      <c r="N1202">
        <v>18</v>
      </c>
      <c r="O1202" t="s">
        <v>40</v>
      </c>
      <c r="S1202" t="s">
        <v>40</v>
      </c>
      <c r="U1202" s="1">
        <v>43344</v>
      </c>
      <c r="V1202" t="s">
        <v>41</v>
      </c>
      <c r="W1202" t="s">
        <v>75</v>
      </c>
      <c r="X1202" t="str">
        <f>"7011004"</f>
        <v>7011004</v>
      </c>
      <c r="Y1202" t="s">
        <v>987</v>
      </c>
      <c r="Z1202" t="s">
        <v>985</v>
      </c>
      <c r="AA1202" t="s">
        <v>986</v>
      </c>
      <c r="AB1202" t="s">
        <v>938</v>
      </c>
      <c r="AC1202" t="s">
        <v>51</v>
      </c>
      <c r="AD1202" t="s">
        <v>45</v>
      </c>
      <c r="AE1202" s="1">
        <v>30757</v>
      </c>
      <c r="AF1202">
        <v>1</v>
      </c>
      <c r="AG1202" t="s">
        <v>986</v>
      </c>
      <c r="AH1202" s="36">
        <f t="shared" si="18"/>
        <v>35.277777777777779</v>
      </c>
      <c r="AI1202" s="40" t="s">
        <v>1778</v>
      </c>
    </row>
    <row r="1203" spans="1:35" x14ac:dyDescent="0.25">
      <c r="A1203" s="36">
        <v>99911201</v>
      </c>
      <c r="B1203" s="17" t="s">
        <v>32</v>
      </c>
      <c r="C1203" t="s">
        <v>58</v>
      </c>
      <c r="D1203" t="s">
        <v>59</v>
      </c>
      <c r="G1203" s="17" t="s">
        <v>48</v>
      </c>
      <c r="H1203" s="17">
        <v>1</v>
      </c>
      <c r="K1203" t="s">
        <v>162</v>
      </c>
      <c r="L1203" t="s">
        <v>158</v>
      </c>
      <c r="M1203" t="s">
        <v>131</v>
      </c>
      <c r="N1203">
        <v>14</v>
      </c>
      <c r="O1203" t="s">
        <v>40</v>
      </c>
      <c r="P1203" t="s">
        <v>40</v>
      </c>
      <c r="Q1203" t="s">
        <v>40</v>
      </c>
      <c r="S1203" t="s">
        <v>40</v>
      </c>
      <c r="V1203" t="s">
        <v>41</v>
      </c>
      <c r="W1203" t="s">
        <v>49</v>
      </c>
      <c r="X1203" t="str">
        <f>"0560003"</f>
        <v>0560003</v>
      </c>
      <c r="Y1203" t="s">
        <v>181</v>
      </c>
      <c r="Z1203" t="s">
        <v>162</v>
      </c>
      <c r="AA1203" t="s">
        <v>158</v>
      </c>
      <c r="AB1203" t="s">
        <v>131</v>
      </c>
      <c r="AC1203" t="s">
        <v>51</v>
      </c>
      <c r="AD1203" t="s">
        <v>45</v>
      </c>
      <c r="AE1203" s="1">
        <v>30753</v>
      </c>
      <c r="AF1203">
        <v>2</v>
      </c>
      <c r="AG1203" t="s">
        <v>158</v>
      </c>
      <c r="AH1203" s="36">
        <f t="shared" si="18"/>
        <v>35.288888888888891</v>
      </c>
      <c r="AI1203" s="40" t="s">
        <v>1778</v>
      </c>
    </row>
    <row r="1204" spans="1:35" x14ac:dyDescent="0.25">
      <c r="A1204" s="36">
        <v>99911202</v>
      </c>
      <c r="B1204" s="17" t="s">
        <v>32</v>
      </c>
      <c r="C1204" t="s">
        <v>79</v>
      </c>
      <c r="D1204" t="s">
        <v>80</v>
      </c>
      <c r="G1204" s="17" t="s">
        <v>35</v>
      </c>
      <c r="H1204" s="17">
        <v>1</v>
      </c>
      <c r="I1204" t="s">
        <v>1665</v>
      </c>
      <c r="J1204" s="1">
        <v>43344</v>
      </c>
      <c r="K1204" t="s">
        <v>1619</v>
      </c>
      <c r="L1204" t="s">
        <v>1620</v>
      </c>
      <c r="M1204" t="s">
        <v>1592</v>
      </c>
      <c r="N1204">
        <v>11</v>
      </c>
      <c r="O1204" t="s">
        <v>40</v>
      </c>
      <c r="P1204" t="s">
        <v>40</v>
      </c>
      <c r="Q1204" t="s">
        <v>40</v>
      </c>
      <c r="S1204" t="s">
        <v>40</v>
      </c>
      <c r="U1204" s="1">
        <v>43344</v>
      </c>
      <c r="V1204" t="s">
        <v>41</v>
      </c>
      <c r="W1204" t="s">
        <v>75</v>
      </c>
      <c r="X1204" t="str">
        <f>"7281002"</f>
        <v>7281002</v>
      </c>
      <c r="Y1204" t="s">
        <v>1660</v>
      </c>
      <c r="Z1204" t="s">
        <v>1619</v>
      </c>
      <c r="AA1204" t="s">
        <v>1620</v>
      </c>
      <c r="AB1204" t="s">
        <v>1592</v>
      </c>
      <c r="AC1204" t="s">
        <v>44</v>
      </c>
      <c r="AD1204" t="s">
        <v>45</v>
      </c>
      <c r="AE1204" s="1">
        <v>30749</v>
      </c>
      <c r="AF1204">
        <v>1</v>
      </c>
      <c r="AG1204" t="s">
        <v>1620</v>
      </c>
      <c r="AH1204" s="36">
        <f t="shared" si="18"/>
        <v>35.299999999999997</v>
      </c>
      <c r="AI1204" s="40" t="s">
        <v>1778</v>
      </c>
    </row>
    <row r="1205" spans="1:35" x14ac:dyDescent="0.25">
      <c r="A1205" s="36">
        <v>99911203</v>
      </c>
      <c r="B1205" s="17" t="s">
        <v>32</v>
      </c>
      <c r="C1205" t="s">
        <v>82</v>
      </c>
      <c r="D1205" t="s">
        <v>83</v>
      </c>
      <c r="G1205" s="17" t="s">
        <v>48</v>
      </c>
      <c r="H1205" s="17">
        <v>1</v>
      </c>
      <c r="K1205" t="s">
        <v>162</v>
      </c>
      <c r="L1205" t="s">
        <v>158</v>
      </c>
      <c r="M1205" t="s">
        <v>131</v>
      </c>
      <c r="N1205">
        <v>23</v>
      </c>
      <c r="O1205" t="s">
        <v>40</v>
      </c>
      <c r="P1205" t="s">
        <v>40</v>
      </c>
      <c r="Q1205" t="s">
        <v>40</v>
      </c>
      <c r="R1205" t="s">
        <v>40</v>
      </c>
      <c r="S1205" t="s">
        <v>40</v>
      </c>
      <c r="V1205" t="s">
        <v>41</v>
      </c>
      <c r="W1205" t="s">
        <v>49</v>
      </c>
      <c r="X1205" t="str">
        <f>"0560003"</f>
        <v>0560003</v>
      </c>
      <c r="Y1205" t="s">
        <v>181</v>
      </c>
      <c r="Z1205" t="s">
        <v>162</v>
      </c>
      <c r="AA1205" t="s">
        <v>158</v>
      </c>
      <c r="AB1205" t="s">
        <v>131</v>
      </c>
      <c r="AC1205" t="s">
        <v>51</v>
      </c>
      <c r="AD1205" t="s">
        <v>45</v>
      </c>
      <c r="AE1205" s="1">
        <v>30744</v>
      </c>
      <c r="AF1205">
        <v>2</v>
      </c>
      <c r="AG1205" t="s">
        <v>158</v>
      </c>
      <c r="AH1205" s="36">
        <f t="shared" si="18"/>
        <v>35.31388888888889</v>
      </c>
      <c r="AI1205" s="40" t="s">
        <v>1778</v>
      </c>
    </row>
    <row r="1206" spans="1:35" x14ac:dyDescent="0.25">
      <c r="A1206" s="36">
        <v>99911204</v>
      </c>
      <c r="B1206" s="17" t="s">
        <v>32</v>
      </c>
      <c r="C1206" t="s">
        <v>90</v>
      </c>
      <c r="D1206" t="s">
        <v>91</v>
      </c>
      <c r="G1206" s="17" t="s">
        <v>35</v>
      </c>
      <c r="H1206" s="17">
        <v>1</v>
      </c>
      <c r="I1206" t="s">
        <v>1017</v>
      </c>
      <c r="J1206" s="1">
        <v>43344</v>
      </c>
      <c r="K1206" t="s">
        <v>963</v>
      </c>
      <c r="L1206" t="s">
        <v>964</v>
      </c>
      <c r="M1206" t="s">
        <v>938</v>
      </c>
      <c r="N1206">
        <v>25</v>
      </c>
      <c r="O1206" t="s">
        <v>40</v>
      </c>
      <c r="P1206" t="s">
        <v>40</v>
      </c>
      <c r="Q1206" t="s">
        <v>40</v>
      </c>
      <c r="R1206" t="s">
        <v>40</v>
      </c>
      <c r="S1206" t="s">
        <v>40</v>
      </c>
      <c r="U1206" s="1">
        <v>43344</v>
      </c>
      <c r="V1206" t="s">
        <v>41</v>
      </c>
      <c r="W1206" t="s">
        <v>95</v>
      </c>
      <c r="X1206" t="str">
        <f>"7061021"</f>
        <v>7061021</v>
      </c>
      <c r="Y1206" t="s">
        <v>1018</v>
      </c>
      <c r="Z1206" t="s">
        <v>963</v>
      </c>
      <c r="AA1206" t="s">
        <v>964</v>
      </c>
      <c r="AB1206" t="s">
        <v>938</v>
      </c>
      <c r="AC1206" t="s">
        <v>51</v>
      </c>
      <c r="AD1206" t="s">
        <v>45</v>
      </c>
      <c r="AE1206" s="1">
        <v>30738</v>
      </c>
      <c r="AF1206">
        <v>1</v>
      </c>
      <c r="AG1206" t="s">
        <v>964</v>
      </c>
      <c r="AH1206" s="36">
        <f t="shared" si="18"/>
        <v>35.330555555555556</v>
      </c>
      <c r="AI1206" s="40" t="s">
        <v>1778</v>
      </c>
    </row>
    <row r="1207" spans="1:35" x14ac:dyDescent="0.25">
      <c r="A1207" s="36">
        <v>99911205</v>
      </c>
      <c r="B1207" s="17" t="s">
        <v>32</v>
      </c>
      <c r="C1207" t="s">
        <v>61</v>
      </c>
      <c r="D1207" t="s">
        <v>62</v>
      </c>
      <c r="G1207" s="17" t="s">
        <v>48</v>
      </c>
      <c r="H1207" s="17">
        <v>7</v>
      </c>
      <c r="K1207" t="s">
        <v>268</v>
      </c>
      <c r="L1207" t="s">
        <v>269</v>
      </c>
      <c r="M1207" t="s">
        <v>131</v>
      </c>
      <c r="N1207">
        <v>26</v>
      </c>
      <c r="O1207" t="s">
        <v>40</v>
      </c>
      <c r="P1207" t="s">
        <v>40</v>
      </c>
      <c r="Q1207" t="s">
        <v>40</v>
      </c>
      <c r="R1207" t="s">
        <v>40</v>
      </c>
      <c r="S1207" t="s">
        <v>40</v>
      </c>
      <c r="V1207" t="s">
        <v>41</v>
      </c>
      <c r="W1207" t="s">
        <v>75</v>
      </c>
      <c r="X1207" t="str">
        <f>"7052004"</f>
        <v>7052004</v>
      </c>
      <c r="Y1207" t="s">
        <v>584</v>
      </c>
      <c r="Z1207" t="s">
        <v>268</v>
      </c>
      <c r="AA1207" t="s">
        <v>269</v>
      </c>
      <c r="AB1207" t="s">
        <v>131</v>
      </c>
      <c r="AC1207" t="s">
        <v>51</v>
      </c>
      <c r="AD1207" t="s">
        <v>45</v>
      </c>
      <c r="AE1207" s="1">
        <v>30735</v>
      </c>
      <c r="AF1207">
        <v>1</v>
      </c>
      <c r="AG1207" t="s">
        <v>269</v>
      </c>
      <c r="AH1207" s="36">
        <f t="shared" si="18"/>
        <v>35.338888888888889</v>
      </c>
      <c r="AI1207" s="40" t="s">
        <v>1778</v>
      </c>
    </row>
    <row r="1208" spans="1:35" x14ac:dyDescent="0.25">
      <c r="A1208" s="36">
        <v>99911206</v>
      </c>
      <c r="B1208" s="17" t="s">
        <v>32</v>
      </c>
      <c r="C1208" t="s">
        <v>90</v>
      </c>
      <c r="D1208" t="s">
        <v>91</v>
      </c>
      <c r="G1208" s="17" t="s">
        <v>48</v>
      </c>
      <c r="H1208" s="17">
        <v>1</v>
      </c>
      <c r="K1208" t="s">
        <v>101</v>
      </c>
      <c r="L1208" t="s">
        <v>102</v>
      </c>
      <c r="M1208" t="s">
        <v>39</v>
      </c>
      <c r="N1208">
        <v>25</v>
      </c>
      <c r="O1208" t="s">
        <v>40</v>
      </c>
      <c r="P1208" t="s">
        <v>40</v>
      </c>
      <c r="Q1208" t="s">
        <v>40</v>
      </c>
      <c r="R1208" t="s">
        <v>40</v>
      </c>
      <c r="S1208" t="s">
        <v>40</v>
      </c>
      <c r="V1208" t="s">
        <v>41</v>
      </c>
      <c r="W1208" t="s">
        <v>95</v>
      </c>
      <c r="X1208" t="str">
        <f>"7111003"</f>
        <v>7111003</v>
      </c>
      <c r="Y1208" t="s">
        <v>106</v>
      </c>
      <c r="Z1208" t="s">
        <v>101</v>
      </c>
      <c r="AA1208" t="s">
        <v>102</v>
      </c>
      <c r="AB1208" t="s">
        <v>39</v>
      </c>
      <c r="AC1208" t="s">
        <v>51</v>
      </c>
      <c r="AD1208" t="s">
        <v>45</v>
      </c>
      <c r="AE1208" s="1">
        <v>30730</v>
      </c>
      <c r="AF1208">
        <v>1</v>
      </c>
      <c r="AG1208" t="s">
        <v>102</v>
      </c>
      <c r="AH1208" s="36">
        <f t="shared" si="18"/>
        <v>35.352777777777774</v>
      </c>
      <c r="AI1208" s="40" t="s">
        <v>1778</v>
      </c>
    </row>
    <row r="1209" spans="1:35" x14ac:dyDescent="0.25">
      <c r="A1209" s="36">
        <v>99911207</v>
      </c>
      <c r="B1209" s="17" t="s">
        <v>32</v>
      </c>
      <c r="C1209" t="s">
        <v>90</v>
      </c>
      <c r="D1209" t="s">
        <v>91</v>
      </c>
      <c r="G1209" s="17" t="s">
        <v>35</v>
      </c>
      <c r="H1209" s="17">
        <v>1</v>
      </c>
      <c r="I1209" t="s">
        <v>100</v>
      </c>
      <c r="J1209" s="1">
        <v>43344</v>
      </c>
      <c r="K1209" t="s">
        <v>101</v>
      </c>
      <c r="L1209" t="s">
        <v>102</v>
      </c>
      <c r="M1209" t="s">
        <v>39</v>
      </c>
      <c r="N1209">
        <v>25</v>
      </c>
      <c r="O1209" t="s">
        <v>40</v>
      </c>
      <c r="P1209" t="s">
        <v>40</v>
      </c>
      <c r="Q1209" t="s">
        <v>40</v>
      </c>
      <c r="S1209" t="s">
        <v>40</v>
      </c>
      <c r="U1209" s="1">
        <v>43344</v>
      </c>
      <c r="V1209" t="s">
        <v>41</v>
      </c>
      <c r="W1209" t="s">
        <v>95</v>
      </c>
      <c r="X1209" t="str">
        <f>"7111005"</f>
        <v>7111005</v>
      </c>
      <c r="Y1209" t="s">
        <v>103</v>
      </c>
      <c r="Z1209" t="s">
        <v>101</v>
      </c>
      <c r="AA1209" t="s">
        <v>102</v>
      </c>
      <c r="AB1209" t="s">
        <v>39</v>
      </c>
      <c r="AC1209" t="s">
        <v>51</v>
      </c>
      <c r="AD1209" t="s">
        <v>45</v>
      </c>
      <c r="AE1209" s="1">
        <v>30728</v>
      </c>
      <c r="AF1209">
        <v>1</v>
      </c>
      <c r="AG1209" t="s">
        <v>102</v>
      </c>
      <c r="AH1209" s="36">
        <f t="shared" si="18"/>
        <v>35.358333333333334</v>
      </c>
      <c r="AI1209" s="40" t="s">
        <v>1778</v>
      </c>
    </row>
    <row r="1210" spans="1:35" x14ac:dyDescent="0.25">
      <c r="A1210" s="36">
        <v>99911208</v>
      </c>
      <c r="B1210" s="17" t="s">
        <v>56</v>
      </c>
      <c r="C1210" t="s">
        <v>64</v>
      </c>
      <c r="D1210" t="s">
        <v>65</v>
      </c>
      <c r="G1210" s="17" t="s">
        <v>35</v>
      </c>
      <c r="H1210" s="17">
        <v>1</v>
      </c>
      <c r="I1210" t="s">
        <v>1683</v>
      </c>
      <c r="J1210" s="1">
        <v>43344</v>
      </c>
      <c r="K1210" t="s">
        <v>1619</v>
      </c>
      <c r="L1210" t="s">
        <v>1620</v>
      </c>
      <c r="M1210" t="s">
        <v>1592</v>
      </c>
      <c r="N1210">
        <v>12</v>
      </c>
      <c r="O1210" t="s">
        <v>40</v>
      </c>
      <c r="P1210" t="s">
        <v>40</v>
      </c>
      <c r="Q1210" t="s">
        <v>40</v>
      </c>
      <c r="S1210" t="s">
        <v>40</v>
      </c>
      <c r="U1210" s="1">
        <v>43344</v>
      </c>
      <c r="V1210" t="s">
        <v>41</v>
      </c>
      <c r="W1210" t="s">
        <v>75</v>
      </c>
      <c r="X1210" t="str">
        <f>"7281000"</f>
        <v>7281000</v>
      </c>
      <c r="Y1210" t="s">
        <v>1648</v>
      </c>
      <c r="Z1210" t="s">
        <v>1619</v>
      </c>
      <c r="AA1210" t="s">
        <v>1620</v>
      </c>
      <c r="AB1210" t="s">
        <v>1592</v>
      </c>
      <c r="AC1210" t="s">
        <v>44</v>
      </c>
      <c r="AD1210" t="s">
        <v>45</v>
      </c>
      <c r="AE1210" s="1">
        <v>30728</v>
      </c>
      <c r="AF1210">
        <v>1</v>
      </c>
      <c r="AG1210" t="s">
        <v>1620</v>
      </c>
      <c r="AH1210" s="36">
        <f t="shared" si="18"/>
        <v>35.358333333333334</v>
      </c>
      <c r="AI1210" s="40" t="s">
        <v>1778</v>
      </c>
    </row>
    <row r="1211" spans="1:35" x14ac:dyDescent="0.25">
      <c r="A1211" s="36">
        <v>99911209</v>
      </c>
      <c r="B1211" s="17" t="s">
        <v>32</v>
      </c>
      <c r="C1211" t="s">
        <v>90</v>
      </c>
      <c r="D1211" t="s">
        <v>91</v>
      </c>
      <c r="G1211" s="17" t="s">
        <v>35</v>
      </c>
      <c r="H1211" s="17">
        <v>1</v>
      </c>
      <c r="K1211" t="s">
        <v>154</v>
      </c>
      <c r="L1211" t="s">
        <v>155</v>
      </c>
      <c r="M1211" t="s">
        <v>131</v>
      </c>
      <c r="N1211">
        <v>25</v>
      </c>
      <c r="O1211" t="s">
        <v>40</v>
      </c>
      <c r="P1211" t="s">
        <v>40</v>
      </c>
      <c r="Q1211" t="s">
        <v>40</v>
      </c>
      <c r="S1211" t="s">
        <v>40</v>
      </c>
      <c r="V1211" t="s">
        <v>41</v>
      </c>
      <c r="W1211" t="s">
        <v>95</v>
      </c>
      <c r="X1211" t="str">
        <f>"7051027"</f>
        <v>7051027</v>
      </c>
      <c r="Y1211" t="s">
        <v>413</v>
      </c>
      <c r="Z1211" t="s">
        <v>154</v>
      </c>
      <c r="AA1211" t="s">
        <v>155</v>
      </c>
      <c r="AB1211" t="s">
        <v>131</v>
      </c>
      <c r="AC1211" t="s">
        <v>51</v>
      </c>
      <c r="AD1211" t="s">
        <v>45</v>
      </c>
      <c r="AE1211" s="1">
        <v>30718</v>
      </c>
      <c r="AF1211">
        <v>1</v>
      </c>
      <c r="AG1211" t="s">
        <v>155</v>
      </c>
      <c r="AH1211" s="36">
        <f t="shared" si="18"/>
        <v>35.386111111111113</v>
      </c>
      <c r="AI1211" s="40" t="s">
        <v>1778</v>
      </c>
    </row>
    <row r="1212" spans="1:35" x14ac:dyDescent="0.25">
      <c r="A1212" s="36">
        <v>99911210</v>
      </c>
      <c r="B1212" s="17" t="s">
        <v>32</v>
      </c>
      <c r="C1212" t="s">
        <v>90</v>
      </c>
      <c r="D1212" t="s">
        <v>91</v>
      </c>
      <c r="G1212" s="17" t="s">
        <v>35</v>
      </c>
      <c r="H1212" s="17">
        <v>1</v>
      </c>
      <c r="I1212">
        <v>59</v>
      </c>
      <c r="J1212" s="1">
        <v>43344</v>
      </c>
      <c r="K1212" t="s">
        <v>1245</v>
      </c>
      <c r="L1212" t="s">
        <v>1246</v>
      </c>
      <c r="M1212" t="s">
        <v>1130</v>
      </c>
      <c r="N1212">
        <v>25</v>
      </c>
      <c r="O1212" t="s">
        <v>40</v>
      </c>
      <c r="S1212" t="s">
        <v>40</v>
      </c>
      <c r="U1212" s="1">
        <v>43344</v>
      </c>
      <c r="V1212" t="s">
        <v>41</v>
      </c>
      <c r="W1212" t="s">
        <v>95</v>
      </c>
      <c r="X1212" t="str">
        <f>"7451021"</f>
        <v>7451021</v>
      </c>
      <c r="Y1212" t="s">
        <v>1247</v>
      </c>
      <c r="Z1212" t="s">
        <v>1245</v>
      </c>
      <c r="AA1212" t="s">
        <v>1246</v>
      </c>
      <c r="AB1212" t="s">
        <v>1130</v>
      </c>
      <c r="AC1212" t="s">
        <v>51</v>
      </c>
      <c r="AD1212" t="s">
        <v>45</v>
      </c>
      <c r="AE1212" s="1">
        <v>30715</v>
      </c>
      <c r="AF1212">
        <v>1</v>
      </c>
      <c r="AG1212" t="s">
        <v>1246</v>
      </c>
      <c r="AH1212" s="36">
        <f t="shared" si="18"/>
        <v>35.394444444444446</v>
      </c>
      <c r="AI1212" s="40" t="s">
        <v>1778</v>
      </c>
    </row>
    <row r="1213" spans="1:35" x14ac:dyDescent="0.25">
      <c r="A1213" s="36">
        <v>99911211</v>
      </c>
      <c r="B1213" s="17" t="s">
        <v>32</v>
      </c>
      <c r="C1213" t="s">
        <v>79</v>
      </c>
      <c r="D1213" t="s">
        <v>80</v>
      </c>
      <c r="G1213" s="17" t="s">
        <v>35</v>
      </c>
      <c r="H1213" s="17">
        <v>1</v>
      </c>
      <c r="K1213" t="s">
        <v>154</v>
      </c>
      <c r="L1213" t="s">
        <v>155</v>
      </c>
      <c r="M1213" t="s">
        <v>131</v>
      </c>
      <c r="N1213">
        <v>24</v>
      </c>
      <c r="O1213" t="s">
        <v>40</v>
      </c>
      <c r="P1213" t="s">
        <v>40</v>
      </c>
      <c r="Q1213" t="s">
        <v>40</v>
      </c>
      <c r="R1213" t="s">
        <v>40</v>
      </c>
      <c r="S1213" t="s">
        <v>40</v>
      </c>
      <c r="V1213" t="s">
        <v>41</v>
      </c>
      <c r="W1213" t="s">
        <v>75</v>
      </c>
      <c r="X1213" t="str">
        <f>"7700026"</f>
        <v>7700026</v>
      </c>
      <c r="Y1213" t="s">
        <v>397</v>
      </c>
      <c r="Z1213" t="s">
        <v>154</v>
      </c>
      <c r="AA1213" t="s">
        <v>155</v>
      </c>
      <c r="AB1213" t="s">
        <v>131</v>
      </c>
      <c r="AC1213" t="s">
        <v>51</v>
      </c>
      <c r="AD1213" t="s">
        <v>45</v>
      </c>
      <c r="AE1213" s="1">
        <v>30709</v>
      </c>
      <c r="AF1213">
        <v>1</v>
      </c>
      <c r="AG1213" t="s">
        <v>155</v>
      </c>
      <c r="AH1213" s="36">
        <f t="shared" si="18"/>
        <v>35.411111111111111</v>
      </c>
      <c r="AI1213" s="40" t="s">
        <v>1778</v>
      </c>
    </row>
    <row r="1214" spans="1:35" x14ac:dyDescent="0.25">
      <c r="A1214" s="36">
        <v>99911212</v>
      </c>
      <c r="B1214" s="17" t="s">
        <v>32</v>
      </c>
      <c r="C1214" t="s">
        <v>111</v>
      </c>
      <c r="D1214" t="s">
        <v>112</v>
      </c>
      <c r="G1214" s="17" t="s">
        <v>48</v>
      </c>
      <c r="H1214" s="17">
        <v>1</v>
      </c>
      <c r="K1214" t="s">
        <v>268</v>
      </c>
      <c r="L1214" t="s">
        <v>269</v>
      </c>
      <c r="M1214" t="s">
        <v>131</v>
      </c>
      <c r="N1214">
        <v>24</v>
      </c>
      <c r="O1214" t="s">
        <v>40</v>
      </c>
      <c r="P1214" t="s">
        <v>40</v>
      </c>
      <c r="Q1214" t="s">
        <v>40</v>
      </c>
      <c r="S1214" t="s">
        <v>40</v>
      </c>
      <c r="V1214" t="s">
        <v>41</v>
      </c>
      <c r="W1214" t="s">
        <v>75</v>
      </c>
      <c r="X1214" t="str">
        <f>"7052008"</f>
        <v>7052008</v>
      </c>
      <c r="Y1214" t="s">
        <v>274</v>
      </c>
      <c r="Z1214" t="s">
        <v>268</v>
      </c>
      <c r="AA1214" t="s">
        <v>269</v>
      </c>
      <c r="AB1214" t="s">
        <v>131</v>
      </c>
      <c r="AC1214" t="s">
        <v>51</v>
      </c>
      <c r="AD1214" t="s">
        <v>45</v>
      </c>
      <c r="AE1214" s="1">
        <v>30709</v>
      </c>
      <c r="AF1214">
        <v>1</v>
      </c>
      <c r="AG1214" t="s">
        <v>269</v>
      </c>
      <c r="AH1214" s="36">
        <f t="shared" si="18"/>
        <v>35.411111111111111</v>
      </c>
      <c r="AI1214" s="40" t="s">
        <v>1778</v>
      </c>
    </row>
    <row r="1215" spans="1:35" x14ac:dyDescent="0.25">
      <c r="A1215" s="36">
        <v>99911213</v>
      </c>
      <c r="B1215" s="17" t="s">
        <v>56</v>
      </c>
      <c r="C1215" t="s">
        <v>111</v>
      </c>
      <c r="D1215" t="s">
        <v>112</v>
      </c>
      <c r="G1215" s="17" t="s">
        <v>35</v>
      </c>
      <c r="H1215" s="17">
        <v>1</v>
      </c>
      <c r="K1215" t="s">
        <v>431</v>
      </c>
      <c r="L1215" t="s">
        <v>196</v>
      </c>
      <c r="M1215" t="s">
        <v>131</v>
      </c>
      <c r="N1215">
        <v>24</v>
      </c>
      <c r="O1215" t="s">
        <v>40</v>
      </c>
      <c r="P1215" t="s">
        <v>40</v>
      </c>
      <c r="Q1215" t="s">
        <v>40</v>
      </c>
      <c r="S1215" t="s">
        <v>40</v>
      </c>
      <c r="V1215" t="s">
        <v>41</v>
      </c>
      <c r="W1215" t="s">
        <v>75</v>
      </c>
      <c r="X1215" t="str">
        <f>"7521054"</f>
        <v>7521054</v>
      </c>
      <c r="Y1215" t="s">
        <v>476</v>
      </c>
      <c r="Z1215" t="s">
        <v>431</v>
      </c>
      <c r="AA1215" t="s">
        <v>196</v>
      </c>
      <c r="AB1215" t="s">
        <v>131</v>
      </c>
      <c r="AC1215" t="s">
        <v>51</v>
      </c>
      <c r="AD1215" t="s">
        <v>45</v>
      </c>
      <c r="AE1215" s="1">
        <v>30698</v>
      </c>
      <c r="AF1215">
        <v>1</v>
      </c>
      <c r="AG1215" t="s">
        <v>196</v>
      </c>
      <c r="AH1215" s="36">
        <f t="shared" si="18"/>
        <v>35.44166666666667</v>
      </c>
      <c r="AI1215" s="40" t="s">
        <v>1778</v>
      </c>
    </row>
    <row r="1216" spans="1:35" x14ac:dyDescent="0.25">
      <c r="A1216" s="36">
        <v>99911214</v>
      </c>
      <c r="B1216" s="17" t="s">
        <v>32</v>
      </c>
      <c r="C1216" t="s">
        <v>111</v>
      </c>
      <c r="D1216" t="s">
        <v>112</v>
      </c>
      <c r="G1216" s="17" t="s">
        <v>35</v>
      </c>
      <c r="H1216" s="17">
        <v>6</v>
      </c>
      <c r="K1216" t="s">
        <v>268</v>
      </c>
      <c r="L1216" t="s">
        <v>269</v>
      </c>
      <c r="M1216" t="s">
        <v>131</v>
      </c>
      <c r="N1216">
        <v>23</v>
      </c>
      <c r="O1216" t="s">
        <v>40</v>
      </c>
      <c r="P1216" t="s">
        <v>40</v>
      </c>
      <c r="Q1216" t="s">
        <v>40</v>
      </c>
      <c r="R1216" t="s">
        <v>40</v>
      </c>
      <c r="S1216" t="s">
        <v>40</v>
      </c>
      <c r="V1216" t="s">
        <v>41</v>
      </c>
      <c r="W1216" t="s">
        <v>75</v>
      </c>
      <c r="X1216" t="str">
        <f>"7052006"</f>
        <v>7052006</v>
      </c>
      <c r="Y1216" t="s">
        <v>575</v>
      </c>
      <c r="Z1216" t="s">
        <v>268</v>
      </c>
      <c r="AA1216" t="s">
        <v>269</v>
      </c>
      <c r="AB1216" t="s">
        <v>131</v>
      </c>
      <c r="AC1216" t="s">
        <v>51</v>
      </c>
      <c r="AD1216" t="s">
        <v>45</v>
      </c>
      <c r="AE1216" s="1">
        <v>30697</v>
      </c>
      <c r="AF1216">
        <v>1</v>
      </c>
      <c r="AG1216" t="s">
        <v>269</v>
      </c>
      <c r="AH1216" s="36">
        <f t="shared" si="18"/>
        <v>35.444444444444443</v>
      </c>
      <c r="AI1216" s="40" t="s">
        <v>1778</v>
      </c>
    </row>
    <row r="1217" spans="1:35" x14ac:dyDescent="0.25">
      <c r="A1217" s="36">
        <v>99911215</v>
      </c>
      <c r="B1217" s="17" t="s">
        <v>32</v>
      </c>
      <c r="C1217" t="s">
        <v>111</v>
      </c>
      <c r="D1217" t="s">
        <v>112</v>
      </c>
      <c r="G1217" s="17" t="s">
        <v>35</v>
      </c>
      <c r="H1217" s="17">
        <v>1</v>
      </c>
      <c r="K1217" t="s">
        <v>154</v>
      </c>
      <c r="L1217" t="s">
        <v>155</v>
      </c>
      <c r="M1217" t="s">
        <v>131</v>
      </c>
      <c r="N1217">
        <v>23</v>
      </c>
      <c r="O1217" t="s">
        <v>40</v>
      </c>
      <c r="P1217" t="s">
        <v>40</v>
      </c>
      <c r="Q1217" t="s">
        <v>40</v>
      </c>
      <c r="R1217" t="s">
        <v>40</v>
      </c>
      <c r="S1217" t="s">
        <v>40</v>
      </c>
      <c r="V1217" t="s">
        <v>41</v>
      </c>
      <c r="W1217" t="s">
        <v>75</v>
      </c>
      <c r="X1217" t="str">
        <f>"7700026"</f>
        <v>7700026</v>
      </c>
      <c r="Y1217" t="s">
        <v>397</v>
      </c>
      <c r="Z1217" t="s">
        <v>154</v>
      </c>
      <c r="AA1217" t="s">
        <v>155</v>
      </c>
      <c r="AB1217" t="s">
        <v>131</v>
      </c>
      <c r="AC1217" t="s">
        <v>51</v>
      </c>
      <c r="AD1217" t="s">
        <v>45</v>
      </c>
      <c r="AE1217" s="1">
        <v>30696</v>
      </c>
      <c r="AF1217">
        <v>1</v>
      </c>
      <c r="AG1217" t="s">
        <v>155</v>
      </c>
      <c r="AH1217" s="36">
        <f t="shared" si="18"/>
        <v>35.447222222222223</v>
      </c>
      <c r="AI1217" s="40" t="s">
        <v>1778</v>
      </c>
    </row>
    <row r="1218" spans="1:35" x14ac:dyDescent="0.25">
      <c r="A1218" s="36">
        <v>99911216</v>
      </c>
      <c r="B1218" s="17" t="s">
        <v>32</v>
      </c>
      <c r="C1218" t="s">
        <v>64</v>
      </c>
      <c r="D1218" t="s">
        <v>65</v>
      </c>
      <c r="G1218" s="17" t="s">
        <v>88</v>
      </c>
      <c r="H1218" s="17">
        <v>3</v>
      </c>
      <c r="I1218" t="s">
        <v>477</v>
      </c>
      <c r="J1218" s="1">
        <v>41518</v>
      </c>
      <c r="K1218" t="s">
        <v>431</v>
      </c>
      <c r="L1218" t="s">
        <v>196</v>
      </c>
      <c r="M1218" t="s">
        <v>131</v>
      </c>
      <c r="N1218">
        <v>24</v>
      </c>
      <c r="O1218" t="s">
        <v>40</v>
      </c>
      <c r="P1218" t="s">
        <v>40</v>
      </c>
      <c r="Q1218" t="s">
        <v>40</v>
      </c>
      <c r="R1218" t="s">
        <v>40</v>
      </c>
      <c r="S1218" t="s">
        <v>40</v>
      </c>
      <c r="U1218" s="1">
        <v>41518</v>
      </c>
      <c r="V1218" t="s">
        <v>41</v>
      </c>
      <c r="W1218" t="s">
        <v>75</v>
      </c>
      <c r="X1218" t="str">
        <f>"7521012"</f>
        <v>7521012</v>
      </c>
      <c r="Y1218" t="s">
        <v>432</v>
      </c>
      <c r="Z1218" t="s">
        <v>431</v>
      </c>
      <c r="AA1218" t="s">
        <v>196</v>
      </c>
      <c r="AB1218" t="s">
        <v>131</v>
      </c>
      <c r="AC1218" t="s">
        <v>165</v>
      </c>
      <c r="AD1218" t="s">
        <v>45</v>
      </c>
      <c r="AE1218" s="1">
        <v>30694</v>
      </c>
      <c r="AF1218">
        <v>1</v>
      </c>
      <c r="AG1218" t="s">
        <v>196</v>
      </c>
      <c r="AH1218" s="36">
        <f t="shared" ref="AH1218:AH1281" si="19">($AJ$1-AE1218)/360</f>
        <v>35.452777777777776</v>
      </c>
      <c r="AI1218" s="40" t="s">
        <v>1778</v>
      </c>
    </row>
    <row r="1219" spans="1:35" x14ac:dyDescent="0.25">
      <c r="A1219" s="36">
        <v>99911217</v>
      </c>
      <c r="B1219" s="17" t="s">
        <v>32</v>
      </c>
      <c r="C1219" t="s">
        <v>90</v>
      </c>
      <c r="D1219" t="s">
        <v>91</v>
      </c>
      <c r="G1219" s="17" t="s">
        <v>35</v>
      </c>
      <c r="H1219" s="17">
        <v>1</v>
      </c>
      <c r="K1219" t="s">
        <v>431</v>
      </c>
      <c r="L1219" t="s">
        <v>196</v>
      </c>
      <c r="M1219" t="s">
        <v>131</v>
      </c>
      <c r="N1219">
        <v>25</v>
      </c>
      <c r="O1219" t="s">
        <v>40</v>
      </c>
      <c r="P1219" t="s">
        <v>40</v>
      </c>
      <c r="Q1219" t="s">
        <v>40</v>
      </c>
      <c r="S1219" t="s">
        <v>40</v>
      </c>
      <c r="V1219" t="s">
        <v>41</v>
      </c>
      <c r="W1219" t="s">
        <v>95</v>
      </c>
      <c r="X1219" t="str">
        <f>"7521153"</f>
        <v>7521153</v>
      </c>
      <c r="Y1219" t="s">
        <v>538</v>
      </c>
      <c r="Z1219" t="s">
        <v>431</v>
      </c>
      <c r="AA1219" t="s">
        <v>196</v>
      </c>
      <c r="AB1219" t="s">
        <v>131</v>
      </c>
      <c r="AC1219" t="s">
        <v>51</v>
      </c>
      <c r="AD1219" t="s">
        <v>45</v>
      </c>
      <c r="AE1219" s="1">
        <v>30691</v>
      </c>
      <c r="AF1219">
        <v>1</v>
      </c>
      <c r="AG1219" t="s">
        <v>196</v>
      </c>
      <c r="AH1219" s="36">
        <f t="shared" si="19"/>
        <v>35.461111111111109</v>
      </c>
      <c r="AI1219" s="40" t="s">
        <v>1778</v>
      </c>
    </row>
    <row r="1220" spans="1:35" x14ac:dyDescent="0.25">
      <c r="A1220" s="36">
        <v>99911218</v>
      </c>
      <c r="B1220" s="17" t="s">
        <v>32</v>
      </c>
      <c r="C1220" t="s">
        <v>90</v>
      </c>
      <c r="D1220" t="s">
        <v>91</v>
      </c>
      <c r="G1220" s="17" t="s">
        <v>48</v>
      </c>
      <c r="H1220" s="17">
        <v>1</v>
      </c>
      <c r="K1220" t="s">
        <v>431</v>
      </c>
      <c r="L1220" t="s">
        <v>196</v>
      </c>
      <c r="M1220" t="s">
        <v>131</v>
      </c>
      <c r="N1220">
        <v>25</v>
      </c>
      <c r="O1220" t="s">
        <v>40</v>
      </c>
      <c r="P1220" t="s">
        <v>40</v>
      </c>
      <c r="Q1220" t="s">
        <v>40</v>
      </c>
      <c r="R1220" t="s">
        <v>40</v>
      </c>
      <c r="S1220" t="s">
        <v>40</v>
      </c>
      <c r="V1220" t="s">
        <v>41</v>
      </c>
      <c r="W1220" t="s">
        <v>95</v>
      </c>
      <c r="X1220" t="str">
        <f>"7521071"</f>
        <v>7521071</v>
      </c>
      <c r="Y1220" t="s">
        <v>516</v>
      </c>
      <c r="Z1220" t="s">
        <v>431</v>
      </c>
      <c r="AA1220" t="s">
        <v>196</v>
      </c>
      <c r="AB1220" t="s">
        <v>131</v>
      </c>
      <c r="AC1220" t="s">
        <v>51</v>
      </c>
      <c r="AD1220" t="s">
        <v>45</v>
      </c>
      <c r="AE1220" s="1">
        <v>30689</v>
      </c>
      <c r="AF1220">
        <v>1</v>
      </c>
      <c r="AG1220" t="s">
        <v>196</v>
      </c>
      <c r="AH1220" s="36">
        <f t="shared" si="19"/>
        <v>35.466666666666669</v>
      </c>
      <c r="AI1220" s="40" t="s">
        <v>1778</v>
      </c>
    </row>
    <row r="1221" spans="1:35" x14ac:dyDescent="0.25">
      <c r="A1221" s="36">
        <v>99911219</v>
      </c>
      <c r="B1221" s="17" t="s">
        <v>32</v>
      </c>
      <c r="C1221" t="s">
        <v>90</v>
      </c>
      <c r="D1221" t="s">
        <v>91</v>
      </c>
      <c r="G1221" s="17" t="s">
        <v>35</v>
      </c>
      <c r="H1221" s="17">
        <v>1</v>
      </c>
      <c r="K1221" t="s">
        <v>154</v>
      </c>
      <c r="L1221" t="s">
        <v>155</v>
      </c>
      <c r="M1221" t="s">
        <v>131</v>
      </c>
      <c r="N1221">
        <v>4</v>
      </c>
      <c r="O1221" t="s">
        <v>40</v>
      </c>
      <c r="Q1221" t="s">
        <v>40</v>
      </c>
      <c r="S1221" t="s">
        <v>40</v>
      </c>
      <c r="V1221" t="s">
        <v>41</v>
      </c>
      <c r="W1221" t="s">
        <v>95</v>
      </c>
      <c r="X1221" t="str">
        <f>"7051139"</f>
        <v>7051139</v>
      </c>
      <c r="Y1221" t="s">
        <v>426</v>
      </c>
      <c r="Z1221" t="s">
        <v>154</v>
      </c>
      <c r="AA1221" t="s">
        <v>155</v>
      </c>
      <c r="AB1221" t="s">
        <v>131</v>
      </c>
      <c r="AC1221" t="s">
        <v>51</v>
      </c>
      <c r="AD1221" t="s">
        <v>45</v>
      </c>
      <c r="AE1221" s="1">
        <v>30687</v>
      </c>
      <c r="AF1221">
        <v>1</v>
      </c>
      <c r="AG1221" t="s">
        <v>155</v>
      </c>
      <c r="AH1221" s="36">
        <f t="shared" si="19"/>
        <v>35.472222222222221</v>
      </c>
      <c r="AI1221" s="40" t="s">
        <v>1778</v>
      </c>
    </row>
    <row r="1222" spans="1:35" x14ac:dyDescent="0.25">
      <c r="A1222" s="36">
        <v>99911220</v>
      </c>
      <c r="B1222" s="17" t="s">
        <v>32</v>
      </c>
      <c r="C1222" t="s">
        <v>85</v>
      </c>
      <c r="D1222" t="s">
        <v>86</v>
      </c>
      <c r="G1222" s="17" t="s">
        <v>48</v>
      </c>
      <c r="H1222" s="17">
        <v>1</v>
      </c>
      <c r="K1222" t="s">
        <v>1590</v>
      </c>
      <c r="L1222" t="s">
        <v>1591</v>
      </c>
      <c r="M1222" t="s">
        <v>1592</v>
      </c>
      <c r="N1222">
        <v>10</v>
      </c>
      <c r="O1222" t="s">
        <v>40</v>
      </c>
      <c r="P1222" t="s">
        <v>40</v>
      </c>
      <c r="Q1222" t="s">
        <v>40</v>
      </c>
      <c r="S1222" t="s">
        <v>40</v>
      </c>
      <c r="V1222" t="s">
        <v>41</v>
      </c>
      <c r="W1222" t="s">
        <v>49</v>
      </c>
      <c r="X1222" t="str">
        <f>"0260002"</f>
        <v>0260002</v>
      </c>
      <c r="Y1222" t="s">
        <v>1593</v>
      </c>
      <c r="Z1222" t="s">
        <v>1590</v>
      </c>
      <c r="AA1222" t="s">
        <v>1591</v>
      </c>
      <c r="AB1222" t="s">
        <v>1592</v>
      </c>
      <c r="AC1222" t="s">
        <v>51</v>
      </c>
      <c r="AD1222" t="s">
        <v>45</v>
      </c>
      <c r="AE1222" s="1">
        <v>30684</v>
      </c>
      <c r="AF1222">
        <v>2</v>
      </c>
      <c r="AG1222" t="s">
        <v>1591</v>
      </c>
      <c r="AH1222" s="36">
        <f t="shared" si="19"/>
        <v>35.480555555555554</v>
      </c>
      <c r="AI1222" s="40" t="s">
        <v>1778</v>
      </c>
    </row>
    <row r="1223" spans="1:35" x14ac:dyDescent="0.25">
      <c r="A1223" s="36">
        <v>99911221</v>
      </c>
      <c r="B1223" s="17" t="s">
        <v>56</v>
      </c>
      <c r="C1223" t="s">
        <v>259</v>
      </c>
      <c r="D1223" t="s">
        <v>260</v>
      </c>
      <c r="G1223" s="17" t="s">
        <v>35</v>
      </c>
      <c r="H1223" s="17">
        <v>1</v>
      </c>
      <c r="K1223" t="s">
        <v>947</v>
      </c>
      <c r="L1223" t="s">
        <v>948</v>
      </c>
      <c r="M1223" t="s">
        <v>938</v>
      </c>
      <c r="N1223">
        <v>19</v>
      </c>
      <c r="O1223" t="s">
        <v>40</v>
      </c>
      <c r="P1223" t="s">
        <v>40</v>
      </c>
      <c r="Q1223" t="s">
        <v>40</v>
      </c>
      <c r="R1223" t="s">
        <v>40</v>
      </c>
      <c r="S1223" t="s">
        <v>40</v>
      </c>
      <c r="V1223" t="s">
        <v>41</v>
      </c>
      <c r="W1223" t="s">
        <v>49</v>
      </c>
      <c r="X1223" t="str">
        <f>"0605000"</f>
        <v>0605000</v>
      </c>
      <c r="Y1223" t="s">
        <v>950</v>
      </c>
      <c r="Z1223" t="s">
        <v>947</v>
      </c>
      <c r="AA1223" t="s">
        <v>948</v>
      </c>
      <c r="AB1223" t="s">
        <v>938</v>
      </c>
      <c r="AC1223" t="s">
        <v>51</v>
      </c>
      <c r="AD1223" t="s">
        <v>45</v>
      </c>
      <c r="AE1223" s="1">
        <v>30683</v>
      </c>
      <c r="AF1223">
        <v>2</v>
      </c>
      <c r="AG1223" t="s">
        <v>948</v>
      </c>
      <c r="AH1223" s="36">
        <f t="shared" si="19"/>
        <v>35.483333333333334</v>
      </c>
      <c r="AI1223" s="40" t="s">
        <v>1778</v>
      </c>
    </row>
    <row r="1224" spans="1:35" x14ac:dyDescent="0.25">
      <c r="A1224" s="36">
        <v>99911222</v>
      </c>
      <c r="B1224" s="17" t="s">
        <v>32</v>
      </c>
      <c r="C1224" t="s">
        <v>46</v>
      </c>
      <c r="D1224" t="s">
        <v>47</v>
      </c>
      <c r="G1224" s="17" t="s">
        <v>35</v>
      </c>
      <c r="H1224" s="17">
        <v>1</v>
      </c>
      <c r="K1224" t="s">
        <v>223</v>
      </c>
      <c r="L1224" t="s">
        <v>224</v>
      </c>
      <c r="M1224" t="s">
        <v>131</v>
      </c>
      <c r="N1224">
        <v>23</v>
      </c>
      <c r="O1224" t="s">
        <v>40</v>
      </c>
      <c r="P1224" t="s">
        <v>40</v>
      </c>
      <c r="Q1224" t="s">
        <v>40</v>
      </c>
      <c r="S1224" t="s">
        <v>40</v>
      </c>
      <c r="V1224" t="s">
        <v>41</v>
      </c>
      <c r="W1224" t="s">
        <v>42</v>
      </c>
      <c r="X1224" t="str">
        <f>"0580207"</f>
        <v>0580207</v>
      </c>
      <c r="Y1224" t="s">
        <v>229</v>
      </c>
      <c r="Z1224" t="s">
        <v>223</v>
      </c>
      <c r="AA1224" t="s">
        <v>224</v>
      </c>
      <c r="AB1224" t="s">
        <v>131</v>
      </c>
      <c r="AC1224" t="s">
        <v>51</v>
      </c>
      <c r="AD1224" t="s">
        <v>45</v>
      </c>
      <c r="AE1224" s="1">
        <v>30682</v>
      </c>
      <c r="AF1224">
        <v>2</v>
      </c>
      <c r="AG1224" t="s">
        <v>224</v>
      </c>
      <c r="AH1224" s="36">
        <f t="shared" si="19"/>
        <v>35.486111111111114</v>
      </c>
      <c r="AI1224" s="40" t="s">
        <v>1778</v>
      </c>
    </row>
    <row r="1225" spans="1:35" x14ac:dyDescent="0.25">
      <c r="A1225" s="36">
        <v>99911223</v>
      </c>
      <c r="B1225" s="17" t="s">
        <v>56</v>
      </c>
      <c r="C1225" t="s">
        <v>58</v>
      </c>
      <c r="D1225" t="s">
        <v>59</v>
      </c>
      <c r="G1225" s="17" t="s">
        <v>48</v>
      </c>
      <c r="H1225" s="17">
        <v>1</v>
      </c>
      <c r="I1225" t="s">
        <v>212</v>
      </c>
      <c r="J1225" s="1">
        <v>41614</v>
      </c>
      <c r="K1225" t="s">
        <v>345</v>
      </c>
      <c r="L1225" t="s">
        <v>346</v>
      </c>
      <c r="M1225" t="s">
        <v>131</v>
      </c>
      <c r="N1225">
        <v>10</v>
      </c>
      <c r="O1225" t="s">
        <v>40</v>
      </c>
      <c r="P1225" t="s">
        <v>40</v>
      </c>
      <c r="Q1225" t="s">
        <v>40</v>
      </c>
      <c r="R1225" t="s">
        <v>40</v>
      </c>
      <c r="S1225" t="s">
        <v>40</v>
      </c>
      <c r="U1225" s="1">
        <v>41614</v>
      </c>
      <c r="V1225" t="s">
        <v>41</v>
      </c>
      <c r="W1225" t="s">
        <v>49</v>
      </c>
      <c r="X1225" t="str">
        <f>"0581605"</f>
        <v>0581605</v>
      </c>
      <c r="Y1225" t="s">
        <v>366</v>
      </c>
      <c r="Z1225" t="s">
        <v>345</v>
      </c>
      <c r="AA1225" t="s">
        <v>346</v>
      </c>
      <c r="AB1225" t="s">
        <v>131</v>
      </c>
      <c r="AC1225" t="s">
        <v>51</v>
      </c>
      <c r="AD1225" t="s">
        <v>45</v>
      </c>
      <c r="AE1225" s="1">
        <v>30682</v>
      </c>
      <c r="AF1225">
        <v>2</v>
      </c>
      <c r="AG1225" t="s">
        <v>346</v>
      </c>
      <c r="AH1225" s="36">
        <f t="shared" si="19"/>
        <v>35.486111111111114</v>
      </c>
      <c r="AI1225" s="40" t="s">
        <v>1778</v>
      </c>
    </row>
    <row r="1226" spans="1:35" x14ac:dyDescent="0.25">
      <c r="A1226" s="36">
        <v>99911224</v>
      </c>
      <c r="B1226" s="17" t="s">
        <v>32</v>
      </c>
      <c r="C1226" t="s">
        <v>82</v>
      </c>
      <c r="D1226" t="s">
        <v>83</v>
      </c>
      <c r="G1226" s="17" t="s">
        <v>35</v>
      </c>
      <c r="H1226" s="17">
        <v>1</v>
      </c>
      <c r="I1226">
        <v>21384</v>
      </c>
      <c r="J1226" s="1">
        <v>43374</v>
      </c>
      <c r="K1226" t="s">
        <v>380</v>
      </c>
      <c r="L1226" t="s">
        <v>381</v>
      </c>
      <c r="M1226" t="s">
        <v>131</v>
      </c>
      <c r="N1226">
        <v>22</v>
      </c>
      <c r="O1226" t="s">
        <v>40</v>
      </c>
      <c r="S1226" t="s">
        <v>40</v>
      </c>
      <c r="U1226" s="1">
        <v>43374</v>
      </c>
      <c r="V1226" t="s">
        <v>41</v>
      </c>
      <c r="W1226" t="s">
        <v>42</v>
      </c>
      <c r="X1226" t="str">
        <f>"0561010"</f>
        <v>0561010</v>
      </c>
      <c r="Y1226" t="s">
        <v>387</v>
      </c>
      <c r="Z1226" t="s">
        <v>380</v>
      </c>
      <c r="AA1226" t="s">
        <v>381</v>
      </c>
      <c r="AB1226" t="s">
        <v>131</v>
      </c>
      <c r="AC1226" t="s">
        <v>44</v>
      </c>
      <c r="AD1226" t="s">
        <v>45</v>
      </c>
      <c r="AE1226" s="1">
        <v>30682</v>
      </c>
      <c r="AF1226">
        <v>2</v>
      </c>
      <c r="AG1226" t="s">
        <v>381</v>
      </c>
      <c r="AH1226" s="36">
        <f t="shared" si="19"/>
        <v>35.486111111111114</v>
      </c>
      <c r="AI1226" s="40" t="s">
        <v>1778</v>
      </c>
    </row>
    <row r="1227" spans="1:35" x14ac:dyDescent="0.25">
      <c r="A1227" s="36">
        <v>99911225</v>
      </c>
      <c r="B1227" s="17" t="s">
        <v>32</v>
      </c>
      <c r="C1227" t="s">
        <v>58</v>
      </c>
      <c r="D1227" t="s">
        <v>59</v>
      </c>
      <c r="G1227" s="17" t="s">
        <v>35</v>
      </c>
      <c r="H1227" s="17">
        <v>1</v>
      </c>
      <c r="I1227">
        <v>22882</v>
      </c>
      <c r="J1227" s="1">
        <v>43027</v>
      </c>
      <c r="K1227" t="s">
        <v>380</v>
      </c>
      <c r="L1227" t="s">
        <v>381</v>
      </c>
      <c r="M1227" t="s">
        <v>131</v>
      </c>
      <c r="N1227">
        <v>2</v>
      </c>
      <c r="O1227" t="s">
        <v>40</v>
      </c>
      <c r="P1227" t="s">
        <v>40</v>
      </c>
      <c r="Q1227" t="s">
        <v>40</v>
      </c>
      <c r="R1227" t="s">
        <v>40</v>
      </c>
      <c r="S1227" t="s">
        <v>40</v>
      </c>
      <c r="U1227" s="1">
        <v>43027</v>
      </c>
      <c r="V1227" t="s">
        <v>41</v>
      </c>
      <c r="W1227" t="s">
        <v>49</v>
      </c>
      <c r="X1227" t="str">
        <f>"0561020"</f>
        <v>0561020</v>
      </c>
      <c r="Y1227" t="s">
        <v>390</v>
      </c>
      <c r="Z1227" t="s">
        <v>380</v>
      </c>
      <c r="AA1227" t="s">
        <v>381</v>
      </c>
      <c r="AB1227" t="s">
        <v>131</v>
      </c>
      <c r="AC1227" t="s">
        <v>44</v>
      </c>
      <c r="AD1227" t="s">
        <v>45</v>
      </c>
      <c r="AE1227" s="1">
        <v>30682</v>
      </c>
      <c r="AF1227">
        <v>2</v>
      </c>
      <c r="AG1227" t="s">
        <v>381</v>
      </c>
      <c r="AH1227" s="36">
        <f t="shared" si="19"/>
        <v>35.486111111111114</v>
      </c>
      <c r="AI1227" s="40" t="s">
        <v>1778</v>
      </c>
    </row>
    <row r="1228" spans="1:35" x14ac:dyDescent="0.25">
      <c r="A1228" s="36">
        <v>99911226</v>
      </c>
      <c r="B1228" s="17" t="s">
        <v>32</v>
      </c>
      <c r="C1228" t="s">
        <v>111</v>
      </c>
      <c r="D1228" t="s">
        <v>112</v>
      </c>
      <c r="G1228" s="17" t="s">
        <v>48</v>
      </c>
      <c r="H1228" s="17">
        <v>1</v>
      </c>
      <c r="K1228" t="s">
        <v>431</v>
      </c>
      <c r="L1228" t="s">
        <v>196</v>
      </c>
      <c r="M1228" t="s">
        <v>131</v>
      </c>
      <c r="N1228">
        <v>24</v>
      </c>
      <c r="O1228" t="s">
        <v>40</v>
      </c>
      <c r="P1228" t="s">
        <v>40</v>
      </c>
      <c r="Q1228" t="s">
        <v>40</v>
      </c>
      <c r="R1228" t="s">
        <v>40</v>
      </c>
      <c r="S1228" t="s">
        <v>40</v>
      </c>
      <c r="V1228" t="s">
        <v>41</v>
      </c>
      <c r="W1228" t="s">
        <v>75</v>
      </c>
      <c r="X1228" t="str">
        <f>"7521016"</f>
        <v>7521016</v>
      </c>
      <c r="Y1228" t="s">
        <v>448</v>
      </c>
      <c r="Z1228" t="s">
        <v>431</v>
      </c>
      <c r="AA1228" t="s">
        <v>196</v>
      </c>
      <c r="AB1228" t="s">
        <v>131</v>
      </c>
      <c r="AC1228" t="s">
        <v>51</v>
      </c>
      <c r="AD1228" t="s">
        <v>45</v>
      </c>
      <c r="AE1228" s="1">
        <v>30682</v>
      </c>
      <c r="AF1228">
        <v>1</v>
      </c>
      <c r="AG1228" t="s">
        <v>196</v>
      </c>
      <c r="AH1228" s="36">
        <f t="shared" si="19"/>
        <v>35.486111111111114</v>
      </c>
      <c r="AI1228" s="40" t="s">
        <v>1778</v>
      </c>
    </row>
    <row r="1229" spans="1:35" x14ac:dyDescent="0.25">
      <c r="A1229" s="36">
        <v>99911227</v>
      </c>
      <c r="B1229" s="17" t="s">
        <v>56</v>
      </c>
      <c r="C1229" t="s">
        <v>64</v>
      </c>
      <c r="D1229" t="s">
        <v>65</v>
      </c>
      <c r="G1229" s="17" t="s">
        <v>35</v>
      </c>
      <c r="H1229" s="17">
        <v>1</v>
      </c>
      <c r="I1229" t="s">
        <v>537</v>
      </c>
      <c r="J1229" s="1">
        <v>41981</v>
      </c>
      <c r="K1229" t="s">
        <v>431</v>
      </c>
      <c r="L1229" t="s">
        <v>196</v>
      </c>
      <c r="M1229" t="s">
        <v>131</v>
      </c>
      <c r="N1229">
        <v>18</v>
      </c>
      <c r="O1229" t="s">
        <v>40</v>
      </c>
      <c r="P1229" t="s">
        <v>40</v>
      </c>
      <c r="Q1229" t="s">
        <v>40</v>
      </c>
      <c r="R1229" t="s">
        <v>40</v>
      </c>
      <c r="S1229" t="s">
        <v>40</v>
      </c>
      <c r="U1229" s="1">
        <v>41981</v>
      </c>
      <c r="V1229" t="s">
        <v>41</v>
      </c>
      <c r="W1229" t="s">
        <v>75</v>
      </c>
      <c r="X1229" t="str">
        <f>"7521060"</f>
        <v>7521060</v>
      </c>
      <c r="Y1229" t="s">
        <v>501</v>
      </c>
      <c r="Z1229" t="s">
        <v>431</v>
      </c>
      <c r="AA1229" t="s">
        <v>196</v>
      </c>
      <c r="AB1229" t="s">
        <v>131</v>
      </c>
      <c r="AC1229" t="s">
        <v>44</v>
      </c>
      <c r="AD1229" t="s">
        <v>45</v>
      </c>
      <c r="AE1229" s="1">
        <v>30682</v>
      </c>
      <c r="AF1229">
        <v>1</v>
      </c>
      <c r="AG1229" t="s">
        <v>196</v>
      </c>
      <c r="AH1229" s="36">
        <f t="shared" si="19"/>
        <v>35.486111111111114</v>
      </c>
      <c r="AI1229" s="40" t="s">
        <v>1778</v>
      </c>
    </row>
    <row r="1230" spans="1:35" x14ac:dyDescent="0.25">
      <c r="A1230" s="36">
        <v>99911228</v>
      </c>
      <c r="B1230" s="17" t="s">
        <v>32</v>
      </c>
      <c r="C1230" t="s">
        <v>111</v>
      </c>
      <c r="D1230" t="s">
        <v>112</v>
      </c>
      <c r="G1230" s="17" t="s">
        <v>35</v>
      </c>
      <c r="H1230" s="17">
        <v>1</v>
      </c>
      <c r="I1230" t="s">
        <v>542</v>
      </c>
      <c r="J1230" s="1">
        <v>42352</v>
      </c>
      <c r="K1230" t="s">
        <v>431</v>
      </c>
      <c r="L1230" t="s">
        <v>196</v>
      </c>
      <c r="M1230" t="s">
        <v>131</v>
      </c>
      <c r="N1230">
        <v>25</v>
      </c>
      <c r="O1230" t="s">
        <v>40</v>
      </c>
      <c r="P1230" t="s">
        <v>40</v>
      </c>
      <c r="Q1230" t="s">
        <v>40</v>
      </c>
      <c r="R1230" t="s">
        <v>40</v>
      </c>
      <c r="S1230" t="s">
        <v>40</v>
      </c>
      <c r="U1230" s="1">
        <v>42352</v>
      </c>
      <c r="V1230" t="s">
        <v>41</v>
      </c>
      <c r="W1230" t="s">
        <v>75</v>
      </c>
      <c r="X1230" t="str">
        <f>"7521038"</f>
        <v>7521038</v>
      </c>
      <c r="Y1230" t="s">
        <v>543</v>
      </c>
      <c r="Z1230" t="s">
        <v>431</v>
      </c>
      <c r="AA1230" t="s">
        <v>196</v>
      </c>
      <c r="AB1230" t="s">
        <v>131</v>
      </c>
      <c r="AC1230" t="s">
        <v>165</v>
      </c>
      <c r="AD1230" t="s">
        <v>45</v>
      </c>
      <c r="AE1230" s="1">
        <v>30682</v>
      </c>
      <c r="AF1230">
        <v>1</v>
      </c>
      <c r="AG1230" t="s">
        <v>196</v>
      </c>
      <c r="AH1230" s="36">
        <f t="shared" si="19"/>
        <v>35.486111111111114</v>
      </c>
      <c r="AI1230" s="40" t="s">
        <v>1778</v>
      </c>
    </row>
    <row r="1231" spans="1:35" x14ac:dyDescent="0.25">
      <c r="A1231" s="36">
        <v>99911229</v>
      </c>
      <c r="B1231" s="17" t="s">
        <v>32</v>
      </c>
      <c r="C1231" t="s">
        <v>64</v>
      </c>
      <c r="D1231" t="s">
        <v>65</v>
      </c>
      <c r="G1231" s="17" t="s">
        <v>48</v>
      </c>
      <c r="H1231" s="17">
        <v>1</v>
      </c>
      <c r="I1231" t="s">
        <v>582</v>
      </c>
      <c r="J1231" s="1">
        <v>41941</v>
      </c>
      <c r="K1231" t="s">
        <v>268</v>
      </c>
      <c r="L1231" t="s">
        <v>269</v>
      </c>
      <c r="M1231" t="s">
        <v>131</v>
      </c>
      <c r="N1231">
        <v>13</v>
      </c>
      <c r="O1231" t="s">
        <v>40</v>
      </c>
      <c r="P1231" t="s">
        <v>40</v>
      </c>
      <c r="Q1231" t="s">
        <v>40</v>
      </c>
      <c r="R1231" t="s">
        <v>40</v>
      </c>
      <c r="S1231" t="s">
        <v>40</v>
      </c>
      <c r="U1231" s="1">
        <v>41941</v>
      </c>
      <c r="V1231" t="s">
        <v>41</v>
      </c>
      <c r="W1231" t="s">
        <v>75</v>
      </c>
      <c r="X1231" t="str">
        <f>"7052042"</f>
        <v>7052042</v>
      </c>
      <c r="Y1231" t="s">
        <v>583</v>
      </c>
      <c r="Z1231" t="s">
        <v>268</v>
      </c>
      <c r="AA1231" t="s">
        <v>269</v>
      </c>
      <c r="AB1231" t="s">
        <v>131</v>
      </c>
      <c r="AC1231" t="s">
        <v>51</v>
      </c>
      <c r="AD1231" t="s">
        <v>45</v>
      </c>
      <c r="AE1231" s="1">
        <v>30682</v>
      </c>
      <c r="AF1231">
        <v>1</v>
      </c>
      <c r="AG1231" t="s">
        <v>269</v>
      </c>
      <c r="AH1231" s="36">
        <f t="shared" si="19"/>
        <v>35.486111111111114</v>
      </c>
      <c r="AI1231" s="40" t="s">
        <v>1778</v>
      </c>
    </row>
    <row r="1232" spans="1:35" x14ac:dyDescent="0.25">
      <c r="A1232" s="36">
        <v>99911230</v>
      </c>
      <c r="B1232" s="17" t="s">
        <v>32</v>
      </c>
      <c r="C1232" t="s">
        <v>71</v>
      </c>
      <c r="D1232" t="s">
        <v>72</v>
      </c>
      <c r="G1232" s="17" t="s">
        <v>35</v>
      </c>
      <c r="H1232" s="17">
        <v>1</v>
      </c>
      <c r="I1232" t="s">
        <v>286</v>
      </c>
      <c r="J1232" s="1">
        <v>43344</v>
      </c>
      <c r="K1232" t="s">
        <v>268</v>
      </c>
      <c r="L1232" t="s">
        <v>269</v>
      </c>
      <c r="M1232" t="s">
        <v>131</v>
      </c>
      <c r="N1232">
        <v>17</v>
      </c>
      <c r="O1232" t="s">
        <v>40</v>
      </c>
      <c r="P1232" t="s">
        <v>40</v>
      </c>
      <c r="Q1232" t="s">
        <v>40</v>
      </c>
      <c r="R1232" t="s">
        <v>40</v>
      </c>
      <c r="S1232" t="s">
        <v>40</v>
      </c>
      <c r="U1232" s="1">
        <v>43344</v>
      </c>
      <c r="V1232" t="s">
        <v>41</v>
      </c>
      <c r="W1232" t="s">
        <v>75</v>
      </c>
      <c r="X1232" t="str">
        <f>"7052018"</f>
        <v>7052018</v>
      </c>
      <c r="Y1232" t="s">
        <v>577</v>
      </c>
      <c r="Z1232" t="s">
        <v>268</v>
      </c>
      <c r="AA1232" t="s">
        <v>269</v>
      </c>
      <c r="AB1232" t="s">
        <v>131</v>
      </c>
      <c r="AC1232" t="s">
        <v>51</v>
      </c>
      <c r="AD1232" t="s">
        <v>45</v>
      </c>
      <c r="AE1232" s="1">
        <v>30682</v>
      </c>
      <c r="AF1232">
        <v>1</v>
      </c>
      <c r="AG1232" t="s">
        <v>269</v>
      </c>
      <c r="AH1232" s="36">
        <f t="shared" si="19"/>
        <v>35.486111111111114</v>
      </c>
      <c r="AI1232" s="40" t="s">
        <v>1778</v>
      </c>
    </row>
    <row r="1233" spans="1:37" x14ac:dyDescent="0.25">
      <c r="A1233" s="36">
        <v>99911231</v>
      </c>
      <c r="B1233" s="17" t="s">
        <v>32</v>
      </c>
      <c r="C1233" t="s">
        <v>90</v>
      </c>
      <c r="D1233" t="s">
        <v>91</v>
      </c>
      <c r="G1233" s="17" t="s">
        <v>35</v>
      </c>
      <c r="H1233" s="17">
        <v>1</v>
      </c>
      <c r="K1233" t="s">
        <v>268</v>
      </c>
      <c r="L1233" t="s">
        <v>269</v>
      </c>
      <c r="M1233" t="s">
        <v>131</v>
      </c>
      <c r="N1233">
        <v>25</v>
      </c>
      <c r="O1233" t="s">
        <v>40</v>
      </c>
      <c r="P1233" t="s">
        <v>40</v>
      </c>
      <c r="Q1233" t="s">
        <v>40</v>
      </c>
      <c r="R1233" t="s">
        <v>40</v>
      </c>
      <c r="S1233" t="s">
        <v>40</v>
      </c>
      <c r="V1233" t="s">
        <v>41</v>
      </c>
      <c r="W1233" t="s">
        <v>95</v>
      </c>
      <c r="X1233" t="str">
        <f>"7052001"</f>
        <v>7052001</v>
      </c>
      <c r="Y1233" t="s">
        <v>576</v>
      </c>
      <c r="Z1233" t="s">
        <v>268</v>
      </c>
      <c r="AA1233" t="s">
        <v>269</v>
      </c>
      <c r="AB1233" t="s">
        <v>131</v>
      </c>
      <c r="AC1233" t="s">
        <v>51</v>
      </c>
      <c r="AD1233" t="s">
        <v>45</v>
      </c>
      <c r="AE1233" s="1">
        <v>30682</v>
      </c>
      <c r="AF1233">
        <v>1</v>
      </c>
      <c r="AG1233" t="s">
        <v>269</v>
      </c>
      <c r="AH1233" s="36">
        <f t="shared" si="19"/>
        <v>35.486111111111114</v>
      </c>
      <c r="AI1233" s="40" t="s">
        <v>1778</v>
      </c>
    </row>
    <row r="1234" spans="1:37" x14ac:dyDescent="0.25">
      <c r="A1234" s="36">
        <v>99911232</v>
      </c>
      <c r="B1234" s="17" t="s">
        <v>56</v>
      </c>
      <c r="C1234" t="s">
        <v>111</v>
      </c>
      <c r="D1234" t="s">
        <v>112</v>
      </c>
      <c r="G1234" s="17" t="s">
        <v>88</v>
      </c>
      <c r="H1234" s="17">
        <v>4</v>
      </c>
      <c r="I1234" t="s">
        <v>840</v>
      </c>
      <c r="J1234" s="1">
        <v>43344</v>
      </c>
      <c r="K1234" t="s">
        <v>354</v>
      </c>
      <c r="L1234" t="s">
        <v>355</v>
      </c>
      <c r="M1234" t="s">
        <v>131</v>
      </c>
      <c r="N1234">
        <v>24</v>
      </c>
      <c r="O1234" t="s">
        <v>40</v>
      </c>
      <c r="P1234" t="s">
        <v>40</v>
      </c>
      <c r="Q1234" t="s">
        <v>40</v>
      </c>
      <c r="R1234" t="s">
        <v>40</v>
      </c>
      <c r="S1234" t="s">
        <v>40</v>
      </c>
      <c r="U1234" s="1">
        <v>43344</v>
      </c>
      <c r="V1234" t="s">
        <v>41</v>
      </c>
      <c r="W1234" t="s">
        <v>75</v>
      </c>
      <c r="X1234" t="str">
        <f>"7054012"</f>
        <v>7054012</v>
      </c>
      <c r="Y1234" t="s">
        <v>353</v>
      </c>
      <c r="Z1234" t="s">
        <v>354</v>
      </c>
      <c r="AA1234" t="s">
        <v>355</v>
      </c>
      <c r="AB1234" t="s">
        <v>131</v>
      </c>
      <c r="AC1234" t="s">
        <v>51</v>
      </c>
      <c r="AD1234" t="s">
        <v>45</v>
      </c>
      <c r="AE1234" s="1">
        <v>30682</v>
      </c>
      <c r="AF1234">
        <v>1</v>
      </c>
      <c r="AG1234" t="s">
        <v>355</v>
      </c>
      <c r="AH1234" s="36">
        <f t="shared" si="19"/>
        <v>35.486111111111114</v>
      </c>
      <c r="AI1234" s="40" t="s">
        <v>1778</v>
      </c>
    </row>
    <row r="1235" spans="1:37" x14ac:dyDescent="0.25">
      <c r="A1235" s="36">
        <v>99911233</v>
      </c>
      <c r="B1235" s="17" t="s">
        <v>32</v>
      </c>
      <c r="C1235" t="s">
        <v>71</v>
      </c>
      <c r="D1235" t="s">
        <v>72</v>
      </c>
      <c r="G1235" s="17" t="s">
        <v>48</v>
      </c>
      <c r="H1235" s="17">
        <v>1</v>
      </c>
      <c r="K1235" t="s">
        <v>877</v>
      </c>
      <c r="L1235" t="s">
        <v>878</v>
      </c>
      <c r="M1235" t="s">
        <v>131</v>
      </c>
      <c r="N1235">
        <v>20</v>
      </c>
      <c r="O1235" t="s">
        <v>40</v>
      </c>
      <c r="P1235" t="s">
        <v>40</v>
      </c>
      <c r="Q1235" t="s">
        <v>40</v>
      </c>
      <c r="R1235" t="s">
        <v>40</v>
      </c>
      <c r="S1235" t="s">
        <v>40</v>
      </c>
      <c r="V1235" t="s">
        <v>41</v>
      </c>
      <c r="W1235" t="s">
        <v>75</v>
      </c>
      <c r="X1235" t="str">
        <f>"7541008"</f>
        <v>7541008</v>
      </c>
      <c r="Y1235" t="s">
        <v>879</v>
      </c>
      <c r="Z1235" t="s">
        <v>877</v>
      </c>
      <c r="AA1235" t="s">
        <v>878</v>
      </c>
      <c r="AB1235" t="s">
        <v>131</v>
      </c>
      <c r="AC1235" t="s">
        <v>51</v>
      </c>
      <c r="AD1235" t="s">
        <v>45</v>
      </c>
      <c r="AE1235" s="1">
        <v>30682</v>
      </c>
      <c r="AF1235">
        <v>1</v>
      </c>
      <c r="AG1235" t="s">
        <v>878</v>
      </c>
      <c r="AH1235" s="36">
        <f t="shared" si="19"/>
        <v>35.486111111111114</v>
      </c>
      <c r="AI1235" s="40" t="s">
        <v>1778</v>
      </c>
    </row>
    <row r="1236" spans="1:37" x14ac:dyDescent="0.25">
      <c r="A1236" s="36">
        <v>99911234</v>
      </c>
      <c r="B1236" s="17" t="s">
        <v>32</v>
      </c>
      <c r="C1236" t="s">
        <v>71</v>
      </c>
      <c r="D1236" t="s">
        <v>72</v>
      </c>
      <c r="G1236" s="17" t="s">
        <v>35</v>
      </c>
      <c r="H1236" s="17">
        <v>1</v>
      </c>
      <c r="K1236" t="s">
        <v>1051</v>
      </c>
      <c r="L1236" t="s">
        <v>1052</v>
      </c>
      <c r="M1236" t="s">
        <v>1053</v>
      </c>
      <c r="N1236">
        <v>24</v>
      </c>
      <c r="O1236" t="s">
        <v>40</v>
      </c>
      <c r="P1236" t="s">
        <v>40</v>
      </c>
      <c r="Q1236" t="s">
        <v>40</v>
      </c>
      <c r="R1236" t="s">
        <v>40</v>
      </c>
      <c r="S1236" t="s">
        <v>40</v>
      </c>
      <c r="V1236" t="s">
        <v>41</v>
      </c>
      <c r="W1236" t="s">
        <v>49</v>
      </c>
      <c r="X1236" t="str">
        <f>"2060004"</f>
        <v>2060004</v>
      </c>
      <c r="Y1236" t="s">
        <v>1059</v>
      </c>
      <c r="Z1236" t="s">
        <v>1051</v>
      </c>
      <c r="AA1236" t="s">
        <v>1052</v>
      </c>
      <c r="AB1236" t="s">
        <v>1053</v>
      </c>
      <c r="AC1236" t="s">
        <v>51</v>
      </c>
      <c r="AD1236" t="s">
        <v>45</v>
      </c>
      <c r="AE1236" s="1">
        <v>30682</v>
      </c>
      <c r="AF1236">
        <v>2</v>
      </c>
      <c r="AG1236" t="s">
        <v>1052</v>
      </c>
      <c r="AH1236" s="36">
        <f t="shared" si="19"/>
        <v>35.486111111111114</v>
      </c>
      <c r="AI1236" s="40" t="s">
        <v>1778</v>
      </c>
    </row>
    <row r="1237" spans="1:37" x14ac:dyDescent="0.25">
      <c r="A1237" s="36">
        <v>99911235</v>
      </c>
      <c r="B1237" s="17" t="s">
        <v>32</v>
      </c>
      <c r="C1237" t="s">
        <v>52</v>
      </c>
      <c r="D1237" t="s">
        <v>53</v>
      </c>
      <c r="G1237" s="17" t="s">
        <v>35</v>
      </c>
      <c r="H1237" s="17">
        <v>1</v>
      </c>
      <c r="I1237">
        <v>16642</v>
      </c>
      <c r="J1237" s="1">
        <v>43354</v>
      </c>
      <c r="K1237" t="s">
        <v>1306</v>
      </c>
      <c r="L1237" t="s">
        <v>1307</v>
      </c>
      <c r="M1237" t="s">
        <v>1270</v>
      </c>
      <c r="N1237">
        <v>8</v>
      </c>
      <c r="O1237" t="s">
        <v>40</v>
      </c>
      <c r="P1237" t="s">
        <v>40</v>
      </c>
      <c r="Q1237" t="s">
        <v>40</v>
      </c>
      <c r="R1237" t="s">
        <v>40</v>
      </c>
      <c r="S1237" t="s">
        <v>40</v>
      </c>
      <c r="U1237" s="1">
        <v>43354</v>
      </c>
      <c r="V1237" t="s">
        <v>41</v>
      </c>
      <c r="W1237" t="s">
        <v>49</v>
      </c>
      <c r="X1237" t="str">
        <f>"1991915"</f>
        <v>1991915</v>
      </c>
      <c r="Y1237" t="s">
        <v>1316</v>
      </c>
      <c r="Z1237" t="s">
        <v>1306</v>
      </c>
      <c r="AA1237" t="s">
        <v>1307</v>
      </c>
      <c r="AB1237" t="s">
        <v>1270</v>
      </c>
      <c r="AC1237" t="s">
        <v>44</v>
      </c>
      <c r="AD1237" t="s">
        <v>45</v>
      </c>
      <c r="AE1237" s="1">
        <v>30682</v>
      </c>
      <c r="AF1237">
        <v>2</v>
      </c>
      <c r="AG1237" t="s">
        <v>1307</v>
      </c>
      <c r="AH1237" s="36">
        <f t="shared" si="19"/>
        <v>35.486111111111114</v>
      </c>
      <c r="AI1237" s="40" t="s">
        <v>1778</v>
      </c>
    </row>
    <row r="1238" spans="1:37" x14ac:dyDescent="0.25">
      <c r="A1238" s="36">
        <v>99911236</v>
      </c>
      <c r="B1238" s="17" t="s">
        <v>32</v>
      </c>
      <c r="C1238" t="s">
        <v>111</v>
      </c>
      <c r="D1238" t="s">
        <v>112</v>
      </c>
      <c r="G1238" s="17" t="s">
        <v>48</v>
      </c>
      <c r="H1238" s="17">
        <v>1</v>
      </c>
      <c r="K1238" t="s">
        <v>1341</v>
      </c>
      <c r="L1238" t="s">
        <v>1342</v>
      </c>
      <c r="M1238" t="s">
        <v>1270</v>
      </c>
      <c r="N1238">
        <v>24</v>
      </c>
      <c r="O1238" t="s">
        <v>40</v>
      </c>
      <c r="P1238" t="s">
        <v>40</v>
      </c>
      <c r="Q1238" t="s">
        <v>40</v>
      </c>
      <c r="R1238" t="s">
        <v>40</v>
      </c>
      <c r="S1238" t="s">
        <v>40</v>
      </c>
      <c r="V1238" t="s">
        <v>41</v>
      </c>
      <c r="W1238" t="s">
        <v>75</v>
      </c>
      <c r="X1238" t="str">
        <f>"7191036"</f>
        <v>7191036</v>
      </c>
      <c r="Y1238" t="s">
        <v>1348</v>
      </c>
      <c r="Z1238" t="s">
        <v>1341</v>
      </c>
      <c r="AA1238" t="s">
        <v>1342</v>
      </c>
      <c r="AB1238" t="s">
        <v>1270</v>
      </c>
      <c r="AC1238" t="s">
        <v>165</v>
      </c>
      <c r="AD1238" t="s">
        <v>45</v>
      </c>
      <c r="AE1238" s="1">
        <v>30682</v>
      </c>
      <c r="AF1238">
        <v>1</v>
      </c>
      <c r="AG1238" t="s">
        <v>1342</v>
      </c>
      <c r="AH1238" s="36">
        <f t="shared" si="19"/>
        <v>35.486111111111114</v>
      </c>
      <c r="AI1238" s="40" t="s">
        <v>1778</v>
      </c>
    </row>
    <row r="1239" spans="1:37" x14ac:dyDescent="0.25">
      <c r="A1239" s="36">
        <v>99911237</v>
      </c>
      <c r="B1239" s="17" t="s">
        <v>32</v>
      </c>
      <c r="C1239" t="s">
        <v>64</v>
      </c>
      <c r="D1239" t="s">
        <v>65</v>
      </c>
      <c r="G1239" s="17" t="s">
        <v>35</v>
      </c>
      <c r="H1239" s="17">
        <v>1</v>
      </c>
      <c r="I1239" t="s">
        <v>1539</v>
      </c>
      <c r="J1239" s="1">
        <v>43371</v>
      </c>
      <c r="K1239" t="s">
        <v>667</v>
      </c>
      <c r="L1239" t="s">
        <v>669</v>
      </c>
      <c r="M1239" t="s">
        <v>670</v>
      </c>
      <c r="N1239">
        <v>24</v>
      </c>
      <c r="O1239" t="s">
        <v>40</v>
      </c>
      <c r="S1239" t="s">
        <v>40</v>
      </c>
      <c r="U1239" s="1">
        <v>43371</v>
      </c>
      <c r="V1239" t="s">
        <v>41</v>
      </c>
      <c r="W1239" t="s">
        <v>75</v>
      </c>
      <c r="X1239" t="str">
        <f>"7501000"</f>
        <v>7501000</v>
      </c>
      <c r="Y1239" t="s">
        <v>668</v>
      </c>
      <c r="Z1239" t="s">
        <v>667</v>
      </c>
      <c r="AA1239" t="s">
        <v>669</v>
      </c>
      <c r="AB1239" t="s">
        <v>670</v>
      </c>
      <c r="AC1239" t="s">
        <v>44</v>
      </c>
      <c r="AD1239" t="s">
        <v>45</v>
      </c>
      <c r="AE1239" s="1">
        <v>30682</v>
      </c>
      <c r="AF1239">
        <v>1</v>
      </c>
      <c r="AG1239" t="s">
        <v>669</v>
      </c>
      <c r="AH1239" s="36">
        <f t="shared" si="19"/>
        <v>35.486111111111114</v>
      </c>
      <c r="AI1239" s="40" t="s">
        <v>1778</v>
      </c>
    </row>
    <row r="1240" spans="1:37" x14ac:dyDescent="0.25">
      <c r="A1240" s="36">
        <v>99911238</v>
      </c>
      <c r="B1240" s="17" t="s">
        <v>32</v>
      </c>
      <c r="C1240" t="s">
        <v>90</v>
      </c>
      <c r="D1240" t="s">
        <v>91</v>
      </c>
      <c r="G1240" s="17" t="s">
        <v>35</v>
      </c>
      <c r="H1240" s="17">
        <v>1</v>
      </c>
      <c r="K1240" t="s">
        <v>154</v>
      </c>
      <c r="L1240" t="s">
        <v>155</v>
      </c>
      <c r="M1240" t="s">
        <v>131</v>
      </c>
      <c r="N1240">
        <v>6</v>
      </c>
      <c r="O1240" t="s">
        <v>40</v>
      </c>
      <c r="P1240" t="s">
        <v>40</v>
      </c>
      <c r="Q1240" t="s">
        <v>40</v>
      </c>
      <c r="S1240" t="s">
        <v>40</v>
      </c>
      <c r="V1240" t="s">
        <v>41</v>
      </c>
      <c r="W1240" t="s">
        <v>95</v>
      </c>
      <c r="X1240" t="str">
        <f>"7051141"</f>
        <v>7051141</v>
      </c>
      <c r="Y1240" t="s">
        <v>416</v>
      </c>
      <c r="Z1240" t="s">
        <v>154</v>
      </c>
      <c r="AA1240" t="s">
        <v>155</v>
      </c>
      <c r="AB1240" t="s">
        <v>131</v>
      </c>
      <c r="AC1240" t="s">
        <v>51</v>
      </c>
      <c r="AD1240" t="s">
        <v>45</v>
      </c>
      <c r="AE1240" s="1">
        <v>30681</v>
      </c>
      <c r="AF1240">
        <v>1</v>
      </c>
      <c r="AG1240" t="s">
        <v>155</v>
      </c>
      <c r="AH1240" s="36">
        <f t="shared" si="19"/>
        <v>35.488888888888887</v>
      </c>
      <c r="AI1240" s="40" t="s">
        <v>1778</v>
      </c>
    </row>
    <row r="1241" spans="1:37" x14ac:dyDescent="0.25">
      <c r="A1241" s="36">
        <v>99911239</v>
      </c>
      <c r="B1241" s="17" t="s">
        <v>32</v>
      </c>
      <c r="C1241" t="s">
        <v>90</v>
      </c>
      <c r="D1241" t="s">
        <v>91</v>
      </c>
      <c r="G1241" s="17" t="s">
        <v>35</v>
      </c>
      <c r="H1241" s="17">
        <v>1</v>
      </c>
      <c r="K1241" t="s">
        <v>354</v>
      </c>
      <c r="L1241" t="s">
        <v>355</v>
      </c>
      <c r="M1241" t="s">
        <v>131</v>
      </c>
      <c r="N1241">
        <v>24</v>
      </c>
      <c r="O1241" t="s">
        <v>40</v>
      </c>
      <c r="P1241" t="s">
        <v>40</v>
      </c>
      <c r="Q1241" t="s">
        <v>40</v>
      </c>
      <c r="R1241" t="s">
        <v>40</v>
      </c>
      <c r="S1241" t="s">
        <v>40</v>
      </c>
      <c r="V1241" t="s">
        <v>41</v>
      </c>
      <c r="W1241" t="s">
        <v>75</v>
      </c>
      <c r="X1241" t="str">
        <f>"7054028"</f>
        <v>7054028</v>
      </c>
      <c r="Y1241" t="s">
        <v>788</v>
      </c>
      <c r="Z1241" t="s">
        <v>354</v>
      </c>
      <c r="AA1241" t="s">
        <v>355</v>
      </c>
      <c r="AB1241" t="s">
        <v>131</v>
      </c>
      <c r="AC1241" t="s">
        <v>51</v>
      </c>
      <c r="AD1241" t="s">
        <v>45</v>
      </c>
      <c r="AE1241" s="1">
        <v>30679</v>
      </c>
      <c r="AF1241">
        <v>1</v>
      </c>
      <c r="AG1241" t="s">
        <v>355</v>
      </c>
      <c r="AH1241" s="36">
        <f t="shared" si="19"/>
        <v>35.494444444444447</v>
      </c>
      <c r="AI1241" s="40" t="s">
        <v>1778</v>
      </c>
    </row>
    <row r="1242" spans="1:37" x14ac:dyDescent="0.25">
      <c r="A1242" s="36">
        <v>99911240</v>
      </c>
      <c r="B1242" s="17" t="s">
        <v>32</v>
      </c>
      <c r="C1242" t="s">
        <v>90</v>
      </c>
      <c r="D1242" t="s">
        <v>91</v>
      </c>
      <c r="G1242" s="17" t="s">
        <v>35</v>
      </c>
      <c r="H1242" s="17">
        <v>1</v>
      </c>
      <c r="K1242" t="s">
        <v>667</v>
      </c>
      <c r="L1242" t="s">
        <v>669</v>
      </c>
      <c r="M1242" t="s">
        <v>670</v>
      </c>
      <c r="N1242">
        <v>25</v>
      </c>
      <c r="O1242" t="s">
        <v>40</v>
      </c>
      <c r="P1242" t="s">
        <v>40</v>
      </c>
      <c r="Q1242" t="s">
        <v>40</v>
      </c>
      <c r="S1242" t="s">
        <v>40</v>
      </c>
      <c r="V1242" t="s">
        <v>41</v>
      </c>
      <c r="W1242" t="s">
        <v>95</v>
      </c>
      <c r="X1242" t="str">
        <f>"7501001"</f>
        <v>7501001</v>
      </c>
      <c r="Y1242" t="s">
        <v>1525</v>
      </c>
      <c r="Z1242" t="s">
        <v>667</v>
      </c>
      <c r="AA1242" t="s">
        <v>669</v>
      </c>
      <c r="AB1242" t="s">
        <v>670</v>
      </c>
      <c r="AC1242" t="s">
        <v>51</v>
      </c>
      <c r="AD1242" t="s">
        <v>45</v>
      </c>
      <c r="AE1242" s="1">
        <v>30679</v>
      </c>
      <c r="AF1242">
        <v>1</v>
      </c>
      <c r="AG1242" t="s">
        <v>669</v>
      </c>
      <c r="AH1242" s="36">
        <f t="shared" si="19"/>
        <v>35.494444444444447</v>
      </c>
      <c r="AI1242" s="40" t="s">
        <v>1778</v>
      </c>
    </row>
    <row r="1243" spans="1:37" x14ac:dyDescent="0.25">
      <c r="A1243" s="36">
        <v>99911241</v>
      </c>
      <c r="B1243" s="17" t="s">
        <v>32</v>
      </c>
      <c r="C1243" t="s">
        <v>90</v>
      </c>
      <c r="D1243" t="s">
        <v>91</v>
      </c>
      <c r="G1243" s="17" t="s">
        <v>48</v>
      </c>
      <c r="H1243" s="17">
        <v>1</v>
      </c>
      <c r="K1243" t="s">
        <v>407</v>
      </c>
      <c r="L1243" t="s">
        <v>409</v>
      </c>
      <c r="M1243" t="s">
        <v>131</v>
      </c>
      <c r="N1243">
        <v>25</v>
      </c>
      <c r="O1243" t="s">
        <v>40</v>
      </c>
      <c r="P1243" t="s">
        <v>40</v>
      </c>
      <c r="Q1243" t="s">
        <v>40</v>
      </c>
      <c r="S1243" t="s">
        <v>40</v>
      </c>
      <c r="V1243" t="s">
        <v>41</v>
      </c>
      <c r="W1243" t="s">
        <v>95</v>
      </c>
      <c r="X1243" t="str">
        <f>"7053029"</f>
        <v>7053029</v>
      </c>
      <c r="Y1243" t="s">
        <v>755</v>
      </c>
      <c r="Z1243" t="s">
        <v>407</v>
      </c>
      <c r="AA1243" t="s">
        <v>409</v>
      </c>
      <c r="AB1243" t="s">
        <v>131</v>
      </c>
      <c r="AC1243" t="s">
        <v>51</v>
      </c>
      <c r="AD1243" t="s">
        <v>45</v>
      </c>
      <c r="AE1243" s="1">
        <v>30676</v>
      </c>
      <c r="AF1243">
        <v>1</v>
      </c>
      <c r="AG1243" t="s">
        <v>409</v>
      </c>
      <c r="AH1243" s="36">
        <f t="shared" si="19"/>
        <v>35.50277777777778</v>
      </c>
      <c r="AI1243" s="40" t="s">
        <v>1778</v>
      </c>
    </row>
    <row r="1244" spans="1:37" x14ac:dyDescent="0.25">
      <c r="A1244" s="36">
        <v>99911242</v>
      </c>
      <c r="B1244" s="17" t="s">
        <v>32</v>
      </c>
      <c r="C1244" t="s">
        <v>90</v>
      </c>
      <c r="D1244" t="s">
        <v>91</v>
      </c>
      <c r="G1244" s="17" t="s">
        <v>35</v>
      </c>
      <c r="H1244" s="17">
        <v>1</v>
      </c>
      <c r="I1244">
        <v>20323</v>
      </c>
      <c r="J1244" s="1">
        <v>43344</v>
      </c>
      <c r="K1244" t="s">
        <v>354</v>
      </c>
      <c r="L1244" t="s">
        <v>355</v>
      </c>
      <c r="M1244" t="s">
        <v>131</v>
      </c>
      <c r="N1244">
        <v>25</v>
      </c>
      <c r="O1244" t="s">
        <v>40</v>
      </c>
      <c r="S1244" t="s">
        <v>40</v>
      </c>
      <c r="U1244" s="1">
        <v>43344</v>
      </c>
      <c r="V1244" t="s">
        <v>41</v>
      </c>
      <c r="W1244" t="s">
        <v>75</v>
      </c>
      <c r="X1244" t="str">
        <f>"7054024"</f>
        <v>7054024</v>
      </c>
      <c r="Y1244" t="s">
        <v>793</v>
      </c>
      <c r="Z1244" t="s">
        <v>354</v>
      </c>
      <c r="AA1244" t="s">
        <v>355</v>
      </c>
      <c r="AB1244" t="s">
        <v>131</v>
      </c>
      <c r="AC1244" t="s">
        <v>51</v>
      </c>
      <c r="AD1244" t="s">
        <v>45</v>
      </c>
      <c r="AE1244" s="1">
        <v>30671</v>
      </c>
      <c r="AF1244">
        <v>1</v>
      </c>
      <c r="AG1244" t="s">
        <v>355</v>
      </c>
      <c r="AH1244" s="36">
        <f t="shared" si="19"/>
        <v>35.516666666666666</v>
      </c>
      <c r="AI1244" s="40" t="s">
        <v>1778</v>
      </c>
    </row>
    <row r="1245" spans="1:37" x14ac:dyDescent="0.25">
      <c r="A1245" s="36">
        <v>99911243</v>
      </c>
      <c r="B1245" s="17" t="s">
        <v>56</v>
      </c>
      <c r="C1245" t="s">
        <v>79</v>
      </c>
      <c r="D1245" t="s">
        <v>80</v>
      </c>
      <c r="G1245" s="17" t="s">
        <v>48</v>
      </c>
      <c r="H1245" s="17">
        <v>1</v>
      </c>
      <c r="K1245" t="s">
        <v>157</v>
      </c>
      <c r="L1245" t="s">
        <v>158</v>
      </c>
      <c r="M1245" t="s">
        <v>131</v>
      </c>
      <c r="N1245">
        <v>7</v>
      </c>
      <c r="O1245" t="s">
        <v>40</v>
      </c>
      <c r="P1245" t="s">
        <v>40</v>
      </c>
      <c r="Q1245" t="s">
        <v>40</v>
      </c>
      <c r="S1245" t="s">
        <v>40</v>
      </c>
      <c r="V1245" t="s">
        <v>41</v>
      </c>
      <c r="W1245" t="s">
        <v>49</v>
      </c>
      <c r="X1245" t="str">
        <f>"0560019"</f>
        <v>0560019</v>
      </c>
      <c r="Y1245" t="s">
        <v>166</v>
      </c>
      <c r="Z1245" t="s">
        <v>157</v>
      </c>
      <c r="AA1245" t="s">
        <v>158</v>
      </c>
      <c r="AB1245" t="s">
        <v>131</v>
      </c>
      <c r="AC1245" t="s">
        <v>51</v>
      </c>
      <c r="AD1245" t="s">
        <v>45</v>
      </c>
      <c r="AE1245" s="1">
        <v>30670</v>
      </c>
      <c r="AF1245">
        <v>2</v>
      </c>
      <c r="AG1245" t="s">
        <v>158</v>
      </c>
      <c r="AH1245" s="36">
        <f t="shared" si="19"/>
        <v>35.519444444444446</v>
      </c>
      <c r="AI1245" s="40" t="s">
        <v>1778</v>
      </c>
    </row>
    <row r="1246" spans="1:37" x14ac:dyDescent="0.25">
      <c r="A1246" s="36">
        <v>99911244</v>
      </c>
      <c r="B1246" s="17" t="s">
        <v>32</v>
      </c>
      <c r="C1246" t="s">
        <v>46</v>
      </c>
      <c r="D1246" t="s">
        <v>47</v>
      </c>
      <c r="G1246" s="17" t="s">
        <v>35</v>
      </c>
      <c r="H1246" s="17">
        <v>1</v>
      </c>
      <c r="K1246" t="s">
        <v>345</v>
      </c>
      <c r="L1246" t="s">
        <v>346</v>
      </c>
      <c r="M1246" t="s">
        <v>131</v>
      </c>
      <c r="N1246">
        <v>23</v>
      </c>
      <c r="O1246" t="s">
        <v>40</v>
      </c>
      <c r="P1246" t="s">
        <v>40</v>
      </c>
      <c r="Q1246" t="s">
        <v>40</v>
      </c>
      <c r="R1246" t="s">
        <v>40</v>
      </c>
      <c r="S1246" t="s">
        <v>40</v>
      </c>
      <c r="V1246" t="s">
        <v>41</v>
      </c>
      <c r="W1246" t="s">
        <v>42</v>
      </c>
      <c r="X1246" t="str">
        <f>"0580615"</f>
        <v>0580615</v>
      </c>
      <c r="Y1246" t="s">
        <v>364</v>
      </c>
      <c r="Z1246" t="s">
        <v>345</v>
      </c>
      <c r="AA1246" t="s">
        <v>346</v>
      </c>
      <c r="AB1246" t="s">
        <v>131</v>
      </c>
      <c r="AC1246" t="s">
        <v>51</v>
      </c>
      <c r="AD1246" t="s">
        <v>45</v>
      </c>
      <c r="AE1246" s="1">
        <v>30669</v>
      </c>
      <c r="AF1246">
        <v>2</v>
      </c>
      <c r="AG1246" t="s">
        <v>346</v>
      </c>
      <c r="AH1246" s="36">
        <f t="shared" si="19"/>
        <v>35.522222222222226</v>
      </c>
      <c r="AI1246" s="40" t="s">
        <v>1778</v>
      </c>
    </row>
    <row r="1247" spans="1:37" x14ac:dyDescent="0.25">
      <c r="A1247" s="36">
        <v>99911245</v>
      </c>
      <c r="B1247" s="17" t="s">
        <v>32</v>
      </c>
      <c r="C1247" t="s">
        <v>52</v>
      </c>
      <c r="D1247" t="s">
        <v>53</v>
      </c>
      <c r="G1247" s="17" t="s">
        <v>35</v>
      </c>
      <c r="H1247" s="17">
        <v>1</v>
      </c>
      <c r="I1247" t="s">
        <v>54</v>
      </c>
      <c r="J1247" s="1">
        <v>43361</v>
      </c>
      <c r="K1247" t="s">
        <v>37</v>
      </c>
      <c r="L1247" t="s">
        <v>38</v>
      </c>
      <c r="M1247" t="s">
        <v>39</v>
      </c>
      <c r="N1247">
        <v>21</v>
      </c>
      <c r="O1247" t="s">
        <v>40</v>
      </c>
      <c r="P1247" t="s">
        <v>40</v>
      </c>
      <c r="Q1247" t="s">
        <v>40</v>
      </c>
      <c r="R1247" t="s">
        <v>40</v>
      </c>
      <c r="S1247" t="s">
        <v>40</v>
      </c>
      <c r="U1247" s="1">
        <v>43361</v>
      </c>
      <c r="V1247" t="s">
        <v>41</v>
      </c>
      <c r="W1247" t="s">
        <v>49</v>
      </c>
      <c r="X1247" t="str">
        <f>"3781010"</f>
        <v>3781010</v>
      </c>
      <c r="Y1247" t="s">
        <v>50</v>
      </c>
      <c r="Z1247" t="s">
        <v>37</v>
      </c>
      <c r="AA1247" t="s">
        <v>38</v>
      </c>
      <c r="AB1247" t="s">
        <v>39</v>
      </c>
      <c r="AC1247" t="s">
        <v>55</v>
      </c>
      <c r="AD1247" t="s">
        <v>45</v>
      </c>
      <c r="AE1247" s="1">
        <v>30666</v>
      </c>
      <c r="AF1247">
        <v>2</v>
      </c>
      <c r="AG1247" t="s">
        <v>38</v>
      </c>
      <c r="AH1247" s="36">
        <f t="shared" si="19"/>
        <v>35.530555555555559</v>
      </c>
      <c r="AI1247" s="40" t="s">
        <v>1778</v>
      </c>
      <c r="AJ1247" s="37"/>
      <c r="AK1247" s="36"/>
    </row>
    <row r="1248" spans="1:37" x14ac:dyDescent="0.25">
      <c r="A1248" s="36">
        <v>99911246</v>
      </c>
      <c r="B1248" s="17" t="s">
        <v>32</v>
      </c>
      <c r="C1248" t="s">
        <v>68</v>
      </c>
      <c r="D1248" t="s">
        <v>69</v>
      </c>
      <c r="G1248" s="17" t="s">
        <v>35</v>
      </c>
      <c r="H1248" s="17">
        <v>1</v>
      </c>
      <c r="I1248">
        <v>0</v>
      </c>
      <c r="J1248" s="1">
        <v>43344</v>
      </c>
      <c r="K1248" t="s">
        <v>223</v>
      </c>
      <c r="L1248" t="s">
        <v>224</v>
      </c>
      <c r="M1248" t="s">
        <v>131</v>
      </c>
      <c r="N1248">
        <v>23</v>
      </c>
      <c r="O1248" t="s">
        <v>40</v>
      </c>
      <c r="S1248" t="s">
        <v>40</v>
      </c>
      <c r="U1248" s="1">
        <v>43344</v>
      </c>
      <c r="V1248" t="s">
        <v>41</v>
      </c>
      <c r="W1248" t="s">
        <v>42</v>
      </c>
      <c r="X1248" t="str">
        <f>"0580206"</f>
        <v>0580206</v>
      </c>
      <c r="Y1248" t="s">
        <v>237</v>
      </c>
      <c r="Z1248" t="s">
        <v>223</v>
      </c>
      <c r="AA1248" t="s">
        <v>224</v>
      </c>
      <c r="AB1248" t="s">
        <v>131</v>
      </c>
      <c r="AC1248" t="s">
        <v>55</v>
      </c>
      <c r="AD1248" t="s">
        <v>45</v>
      </c>
      <c r="AE1248" s="1">
        <v>30665</v>
      </c>
      <c r="AF1248">
        <v>2</v>
      </c>
      <c r="AG1248" t="s">
        <v>224</v>
      </c>
      <c r="AH1248" s="36">
        <f t="shared" si="19"/>
        <v>35.533333333333331</v>
      </c>
      <c r="AI1248" s="40" t="s">
        <v>1778</v>
      </c>
    </row>
    <row r="1249" spans="1:35" x14ac:dyDescent="0.25">
      <c r="A1249" s="36">
        <v>99911247</v>
      </c>
      <c r="B1249" s="17" t="s">
        <v>56</v>
      </c>
      <c r="C1249" t="s">
        <v>111</v>
      </c>
      <c r="D1249" t="s">
        <v>112</v>
      </c>
      <c r="G1249" s="17" t="s">
        <v>35</v>
      </c>
      <c r="H1249" s="17">
        <v>1</v>
      </c>
      <c r="I1249">
        <v>20324</v>
      </c>
      <c r="J1249" s="1">
        <v>43344</v>
      </c>
      <c r="K1249" t="s">
        <v>354</v>
      </c>
      <c r="L1249" t="s">
        <v>355</v>
      </c>
      <c r="M1249" t="s">
        <v>131</v>
      </c>
      <c r="N1249">
        <v>24</v>
      </c>
      <c r="O1249" t="s">
        <v>40</v>
      </c>
      <c r="S1249" t="s">
        <v>40</v>
      </c>
      <c r="U1249" s="1">
        <v>43344</v>
      </c>
      <c r="V1249" t="s">
        <v>41</v>
      </c>
      <c r="W1249" t="s">
        <v>75</v>
      </c>
      <c r="X1249" t="str">
        <f>"7054042"</f>
        <v>7054042</v>
      </c>
      <c r="Y1249" t="s">
        <v>776</v>
      </c>
      <c r="Z1249" t="s">
        <v>354</v>
      </c>
      <c r="AA1249" t="s">
        <v>355</v>
      </c>
      <c r="AB1249" t="s">
        <v>131</v>
      </c>
      <c r="AC1249" t="s">
        <v>51</v>
      </c>
      <c r="AD1249" t="s">
        <v>45</v>
      </c>
      <c r="AE1249" s="1">
        <v>30665</v>
      </c>
      <c r="AF1249">
        <v>1</v>
      </c>
      <c r="AG1249" t="s">
        <v>355</v>
      </c>
      <c r="AH1249" s="36">
        <f t="shared" si="19"/>
        <v>35.533333333333331</v>
      </c>
      <c r="AI1249" s="40" t="s">
        <v>1778</v>
      </c>
    </row>
    <row r="1250" spans="1:35" x14ac:dyDescent="0.25">
      <c r="A1250" s="36">
        <v>99911248</v>
      </c>
      <c r="B1250" s="17" t="s">
        <v>32</v>
      </c>
      <c r="C1250" t="s">
        <v>90</v>
      </c>
      <c r="D1250" t="s">
        <v>91</v>
      </c>
      <c r="G1250" s="17" t="s">
        <v>48</v>
      </c>
      <c r="H1250" s="17">
        <v>1</v>
      </c>
      <c r="K1250" t="s">
        <v>195</v>
      </c>
      <c r="L1250" t="s">
        <v>196</v>
      </c>
      <c r="M1250" t="s">
        <v>131</v>
      </c>
      <c r="N1250">
        <v>25</v>
      </c>
      <c r="O1250" t="s">
        <v>40</v>
      </c>
      <c r="P1250" t="s">
        <v>40</v>
      </c>
      <c r="Q1250" t="s">
        <v>40</v>
      </c>
      <c r="S1250" t="s">
        <v>40</v>
      </c>
      <c r="V1250" t="s">
        <v>41</v>
      </c>
      <c r="W1250" t="s">
        <v>95</v>
      </c>
      <c r="X1250" t="str">
        <f>"7521023"</f>
        <v>7521023</v>
      </c>
      <c r="Y1250" t="s">
        <v>466</v>
      </c>
      <c r="Z1250" t="s">
        <v>195</v>
      </c>
      <c r="AA1250" t="s">
        <v>196</v>
      </c>
      <c r="AB1250" t="s">
        <v>131</v>
      </c>
      <c r="AC1250" t="s">
        <v>51</v>
      </c>
      <c r="AD1250" t="s">
        <v>45</v>
      </c>
      <c r="AE1250" s="1">
        <v>30661</v>
      </c>
      <c r="AF1250">
        <v>1</v>
      </c>
      <c r="AG1250" t="s">
        <v>196</v>
      </c>
      <c r="AH1250" s="36">
        <f t="shared" si="19"/>
        <v>35.544444444444444</v>
      </c>
      <c r="AI1250" s="40" t="s">
        <v>1778</v>
      </c>
    </row>
    <row r="1251" spans="1:35" x14ac:dyDescent="0.25">
      <c r="A1251" s="36">
        <v>99911249</v>
      </c>
      <c r="B1251" s="17" t="s">
        <v>56</v>
      </c>
      <c r="C1251" t="s">
        <v>58</v>
      </c>
      <c r="D1251" t="s">
        <v>59</v>
      </c>
      <c r="G1251" s="17" t="s">
        <v>35</v>
      </c>
      <c r="H1251" s="17">
        <v>1</v>
      </c>
      <c r="I1251" t="s">
        <v>972</v>
      </c>
      <c r="J1251" s="1">
        <v>43353</v>
      </c>
      <c r="K1251" t="s">
        <v>947</v>
      </c>
      <c r="L1251" t="s">
        <v>948</v>
      </c>
      <c r="M1251" t="s">
        <v>938</v>
      </c>
      <c r="N1251">
        <v>3</v>
      </c>
      <c r="O1251" t="s">
        <v>40</v>
      </c>
      <c r="S1251" t="s">
        <v>40</v>
      </c>
      <c r="U1251" s="1">
        <v>43353</v>
      </c>
      <c r="V1251" t="s">
        <v>41</v>
      </c>
      <c r="W1251" t="s">
        <v>953</v>
      </c>
      <c r="X1251" t="str">
        <f>"0610801"</f>
        <v>0610801</v>
      </c>
      <c r="Y1251" t="s">
        <v>954</v>
      </c>
      <c r="Z1251" t="s">
        <v>947</v>
      </c>
      <c r="AA1251" t="s">
        <v>948</v>
      </c>
      <c r="AB1251" t="s">
        <v>938</v>
      </c>
      <c r="AC1251" t="s">
        <v>44</v>
      </c>
      <c r="AD1251" t="s">
        <v>45</v>
      </c>
      <c r="AE1251" s="1">
        <v>30652</v>
      </c>
      <c r="AF1251">
        <v>2</v>
      </c>
      <c r="AG1251" t="s">
        <v>948</v>
      </c>
      <c r="AH1251" s="36">
        <f t="shared" si="19"/>
        <v>35.569444444444443</v>
      </c>
      <c r="AI1251" s="40" t="s">
        <v>1778</v>
      </c>
    </row>
    <row r="1252" spans="1:35" x14ac:dyDescent="0.25">
      <c r="A1252" s="36">
        <v>99911250</v>
      </c>
      <c r="B1252" s="17" t="s">
        <v>32</v>
      </c>
      <c r="C1252" t="s">
        <v>52</v>
      </c>
      <c r="D1252" t="s">
        <v>53</v>
      </c>
      <c r="G1252" s="17" t="s">
        <v>35</v>
      </c>
      <c r="H1252" s="17">
        <v>1</v>
      </c>
      <c r="K1252" t="s">
        <v>223</v>
      </c>
      <c r="L1252" t="s">
        <v>224</v>
      </c>
      <c r="M1252" t="s">
        <v>131</v>
      </c>
      <c r="N1252">
        <v>25</v>
      </c>
      <c r="O1252" t="s">
        <v>40</v>
      </c>
      <c r="P1252" t="s">
        <v>40</v>
      </c>
      <c r="Q1252" t="s">
        <v>40</v>
      </c>
      <c r="R1252" t="s">
        <v>40</v>
      </c>
      <c r="S1252" t="s">
        <v>40</v>
      </c>
      <c r="V1252" t="s">
        <v>41</v>
      </c>
      <c r="W1252" t="s">
        <v>49</v>
      </c>
      <c r="X1252" t="str">
        <f>"0591901"</f>
        <v>0591901</v>
      </c>
      <c r="Y1252" t="s">
        <v>230</v>
      </c>
      <c r="Z1252" t="s">
        <v>223</v>
      </c>
      <c r="AA1252" t="s">
        <v>224</v>
      </c>
      <c r="AB1252" t="s">
        <v>131</v>
      </c>
      <c r="AC1252" t="s">
        <v>51</v>
      </c>
      <c r="AD1252" t="s">
        <v>45</v>
      </c>
      <c r="AE1252" s="1">
        <v>30650</v>
      </c>
      <c r="AF1252">
        <v>2</v>
      </c>
      <c r="AG1252" t="s">
        <v>224</v>
      </c>
      <c r="AH1252" s="36">
        <f t="shared" si="19"/>
        <v>35.575000000000003</v>
      </c>
      <c r="AI1252" s="40" t="s">
        <v>1778</v>
      </c>
    </row>
    <row r="1253" spans="1:35" x14ac:dyDescent="0.25">
      <c r="A1253" s="36">
        <v>99911251</v>
      </c>
      <c r="B1253" s="17" t="s">
        <v>32</v>
      </c>
      <c r="C1253" t="s">
        <v>90</v>
      </c>
      <c r="D1253" t="s">
        <v>91</v>
      </c>
      <c r="G1253" s="17" t="s">
        <v>48</v>
      </c>
      <c r="H1253" s="17">
        <v>4</v>
      </c>
      <c r="K1253" t="s">
        <v>154</v>
      </c>
      <c r="L1253" t="s">
        <v>155</v>
      </c>
      <c r="M1253" t="s">
        <v>131</v>
      </c>
      <c r="N1253">
        <v>25</v>
      </c>
      <c r="O1253" t="s">
        <v>40</v>
      </c>
      <c r="P1253" t="s">
        <v>40</v>
      </c>
      <c r="Q1253" t="s">
        <v>40</v>
      </c>
      <c r="R1253" t="s">
        <v>40</v>
      </c>
      <c r="S1253" t="s">
        <v>40</v>
      </c>
      <c r="V1253" t="s">
        <v>41</v>
      </c>
      <c r="W1253" t="s">
        <v>95</v>
      </c>
      <c r="X1253" t="str">
        <f>"7051043"</f>
        <v>7051043</v>
      </c>
      <c r="Y1253" t="s">
        <v>422</v>
      </c>
      <c r="Z1253" t="s">
        <v>154</v>
      </c>
      <c r="AA1253" t="s">
        <v>155</v>
      </c>
      <c r="AB1253" t="s">
        <v>131</v>
      </c>
      <c r="AC1253" t="s">
        <v>51</v>
      </c>
      <c r="AD1253" t="s">
        <v>45</v>
      </c>
      <c r="AE1253" s="1">
        <v>30650</v>
      </c>
      <c r="AF1253">
        <v>1</v>
      </c>
      <c r="AG1253" t="s">
        <v>155</v>
      </c>
      <c r="AH1253" s="36">
        <f t="shared" si="19"/>
        <v>35.575000000000003</v>
      </c>
      <c r="AI1253" s="40" t="s">
        <v>1778</v>
      </c>
    </row>
    <row r="1254" spans="1:35" x14ac:dyDescent="0.25">
      <c r="A1254" s="36">
        <v>99911252</v>
      </c>
      <c r="B1254" s="17" t="s">
        <v>56</v>
      </c>
      <c r="C1254" t="s">
        <v>61</v>
      </c>
      <c r="D1254" t="s">
        <v>62</v>
      </c>
      <c r="G1254" s="17" t="s">
        <v>48</v>
      </c>
      <c r="H1254" s="17">
        <v>1</v>
      </c>
      <c r="K1254" t="s">
        <v>300</v>
      </c>
      <c r="L1254" t="s">
        <v>301</v>
      </c>
      <c r="M1254" t="s">
        <v>131</v>
      </c>
      <c r="N1254">
        <v>8</v>
      </c>
      <c r="O1254" t="s">
        <v>40</v>
      </c>
      <c r="P1254" t="s">
        <v>40</v>
      </c>
      <c r="Q1254" t="s">
        <v>40</v>
      </c>
      <c r="R1254" t="s">
        <v>40</v>
      </c>
      <c r="S1254" t="s">
        <v>40</v>
      </c>
      <c r="V1254" t="s">
        <v>41</v>
      </c>
      <c r="W1254" t="s">
        <v>42</v>
      </c>
      <c r="X1254" t="str">
        <f>"0580175"</f>
        <v>0580175</v>
      </c>
      <c r="Y1254" t="s">
        <v>303</v>
      </c>
      <c r="Z1254" t="s">
        <v>300</v>
      </c>
      <c r="AA1254" t="s">
        <v>301</v>
      </c>
      <c r="AB1254" t="s">
        <v>131</v>
      </c>
      <c r="AC1254" t="s">
        <v>51</v>
      </c>
      <c r="AD1254" t="s">
        <v>45</v>
      </c>
      <c r="AE1254" s="1">
        <v>30649</v>
      </c>
      <c r="AF1254">
        <v>2</v>
      </c>
      <c r="AG1254" t="s">
        <v>301</v>
      </c>
      <c r="AH1254" s="36">
        <f t="shared" si="19"/>
        <v>35.577777777777776</v>
      </c>
      <c r="AI1254" s="40" t="s">
        <v>1778</v>
      </c>
    </row>
    <row r="1255" spans="1:35" x14ac:dyDescent="0.25">
      <c r="A1255" s="36">
        <v>99911253</v>
      </c>
      <c r="B1255" s="17" t="s">
        <v>32</v>
      </c>
      <c r="C1255" t="s">
        <v>52</v>
      </c>
      <c r="D1255" t="s">
        <v>53</v>
      </c>
      <c r="G1255" s="17" t="s">
        <v>48</v>
      </c>
      <c r="H1255" s="17">
        <v>1</v>
      </c>
      <c r="K1255" t="s">
        <v>300</v>
      </c>
      <c r="L1255" t="s">
        <v>301</v>
      </c>
      <c r="M1255" t="s">
        <v>131</v>
      </c>
      <c r="N1255">
        <v>20</v>
      </c>
      <c r="O1255" t="s">
        <v>40</v>
      </c>
      <c r="P1255" t="s">
        <v>40</v>
      </c>
      <c r="Q1255" t="s">
        <v>40</v>
      </c>
      <c r="R1255" t="s">
        <v>40</v>
      </c>
      <c r="S1255" t="s">
        <v>40</v>
      </c>
      <c r="V1255" t="s">
        <v>41</v>
      </c>
      <c r="W1255" t="s">
        <v>49</v>
      </c>
      <c r="X1255" t="str">
        <f>"0560022"</f>
        <v>0560022</v>
      </c>
      <c r="Y1255" t="s">
        <v>314</v>
      </c>
      <c r="Z1255" t="s">
        <v>300</v>
      </c>
      <c r="AA1255" t="s">
        <v>301</v>
      </c>
      <c r="AB1255" t="s">
        <v>131</v>
      </c>
      <c r="AC1255" t="s">
        <v>51</v>
      </c>
      <c r="AD1255" t="s">
        <v>45</v>
      </c>
      <c r="AE1255" s="1">
        <v>30648</v>
      </c>
      <c r="AF1255">
        <v>2</v>
      </c>
      <c r="AG1255" t="s">
        <v>301</v>
      </c>
      <c r="AH1255" s="36">
        <f t="shared" si="19"/>
        <v>35.580555555555556</v>
      </c>
      <c r="AI1255" s="40" t="s">
        <v>1778</v>
      </c>
    </row>
    <row r="1256" spans="1:35" x14ac:dyDescent="0.25">
      <c r="A1256" s="36">
        <v>99911254</v>
      </c>
      <c r="B1256" s="17" t="s">
        <v>32</v>
      </c>
      <c r="C1256" t="s">
        <v>111</v>
      </c>
      <c r="D1256" t="s">
        <v>112</v>
      </c>
      <c r="G1256" s="17" t="s">
        <v>35</v>
      </c>
      <c r="H1256" s="17">
        <v>1</v>
      </c>
      <c r="I1256" t="s">
        <v>830</v>
      </c>
      <c r="J1256" s="1">
        <v>43344</v>
      </c>
      <c r="K1256" t="s">
        <v>354</v>
      </c>
      <c r="L1256" t="s">
        <v>355</v>
      </c>
      <c r="M1256" t="s">
        <v>131</v>
      </c>
      <c r="N1256">
        <v>24</v>
      </c>
      <c r="O1256" t="s">
        <v>40</v>
      </c>
      <c r="S1256" t="s">
        <v>40</v>
      </c>
      <c r="U1256" s="1">
        <v>43344</v>
      </c>
      <c r="V1256" t="s">
        <v>41</v>
      </c>
      <c r="W1256" t="s">
        <v>75</v>
      </c>
      <c r="X1256" t="str">
        <f>"7054016"</f>
        <v>7054016</v>
      </c>
      <c r="Y1256" t="s">
        <v>768</v>
      </c>
      <c r="Z1256" t="s">
        <v>354</v>
      </c>
      <c r="AA1256" t="s">
        <v>355</v>
      </c>
      <c r="AB1256" t="s">
        <v>131</v>
      </c>
      <c r="AC1256" t="s">
        <v>51</v>
      </c>
      <c r="AD1256" t="s">
        <v>45</v>
      </c>
      <c r="AE1256" s="1">
        <v>30644</v>
      </c>
      <c r="AF1256">
        <v>1</v>
      </c>
      <c r="AG1256" t="s">
        <v>355</v>
      </c>
      <c r="AH1256" s="36">
        <f t="shared" si="19"/>
        <v>35.591666666666669</v>
      </c>
      <c r="AI1256" s="40" t="s">
        <v>1778</v>
      </c>
    </row>
    <row r="1257" spans="1:35" x14ac:dyDescent="0.25">
      <c r="A1257" s="36">
        <v>99911255</v>
      </c>
      <c r="B1257" s="17" t="s">
        <v>32</v>
      </c>
      <c r="C1257" t="s">
        <v>46</v>
      </c>
      <c r="D1257" t="s">
        <v>47</v>
      </c>
      <c r="G1257" s="17" t="s">
        <v>48</v>
      </c>
      <c r="H1257" s="17">
        <v>5</v>
      </c>
      <c r="K1257" t="s">
        <v>129</v>
      </c>
      <c r="L1257" t="s">
        <v>130</v>
      </c>
      <c r="M1257" t="s">
        <v>131</v>
      </c>
      <c r="N1257">
        <v>14</v>
      </c>
      <c r="O1257" t="s">
        <v>40</v>
      </c>
      <c r="P1257" t="s">
        <v>40</v>
      </c>
      <c r="Q1257" t="s">
        <v>40</v>
      </c>
      <c r="R1257" t="s">
        <v>40</v>
      </c>
      <c r="S1257" t="s">
        <v>40</v>
      </c>
      <c r="U1257" s="1">
        <v>38961</v>
      </c>
      <c r="V1257" t="s">
        <v>41</v>
      </c>
      <c r="W1257" t="s">
        <v>42</v>
      </c>
      <c r="X1257" t="str">
        <f>"0561011"</f>
        <v>0561011</v>
      </c>
      <c r="Y1257" t="s">
        <v>132</v>
      </c>
      <c r="Z1257" t="s">
        <v>129</v>
      </c>
      <c r="AA1257" t="s">
        <v>130</v>
      </c>
      <c r="AB1257" t="s">
        <v>131</v>
      </c>
      <c r="AC1257" t="s">
        <v>51</v>
      </c>
      <c r="AD1257" t="s">
        <v>45</v>
      </c>
      <c r="AE1257" s="1">
        <v>30643</v>
      </c>
      <c r="AF1257">
        <v>2</v>
      </c>
      <c r="AG1257" t="s">
        <v>130</v>
      </c>
      <c r="AH1257" s="36">
        <f t="shared" si="19"/>
        <v>35.594444444444441</v>
      </c>
      <c r="AI1257" s="40" t="s">
        <v>1778</v>
      </c>
    </row>
    <row r="1258" spans="1:35" x14ac:dyDescent="0.25">
      <c r="A1258" s="36">
        <v>99911256</v>
      </c>
      <c r="B1258" s="17" t="s">
        <v>32</v>
      </c>
      <c r="C1258" t="s">
        <v>61</v>
      </c>
      <c r="D1258" t="s">
        <v>62</v>
      </c>
      <c r="G1258" s="17" t="s">
        <v>35</v>
      </c>
      <c r="H1258" s="17">
        <v>1</v>
      </c>
      <c r="K1258" t="s">
        <v>345</v>
      </c>
      <c r="L1258" t="s">
        <v>346</v>
      </c>
      <c r="M1258" t="s">
        <v>131</v>
      </c>
      <c r="N1258">
        <v>23</v>
      </c>
      <c r="O1258" t="s">
        <v>40</v>
      </c>
      <c r="P1258" t="s">
        <v>40</v>
      </c>
      <c r="Q1258" t="s">
        <v>40</v>
      </c>
      <c r="R1258" t="s">
        <v>40</v>
      </c>
      <c r="S1258" t="s">
        <v>40</v>
      </c>
      <c r="V1258" t="s">
        <v>41</v>
      </c>
      <c r="W1258" t="s">
        <v>42</v>
      </c>
      <c r="X1258" t="str">
        <f>"0580931"</f>
        <v>0580931</v>
      </c>
      <c r="Y1258" t="s">
        <v>369</v>
      </c>
      <c r="Z1258" t="s">
        <v>345</v>
      </c>
      <c r="AA1258" t="s">
        <v>346</v>
      </c>
      <c r="AB1258" t="s">
        <v>131</v>
      </c>
      <c r="AC1258" t="s">
        <v>51</v>
      </c>
      <c r="AD1258" t="s">
        <v>45</v>
      </c>
      <c r="AE1258" s="1">
        <v>30642</v>
      </c>
      <c r="AF1258">
        <v>2</v>
      </c>
      <c r="AG1258" t="s">
        <v>346</v>
      </c>
      <c r="AH1258" s="36">
        <f t="shared" si="19"/>
        <v>35.597222222222221</v>
      </c>
      <c r="AI1258" s="40" t="s">
        <v>1778</v>
      </c>
    </row>
    <row r="1259" spans="1:35" x14ac:dyDescent="0.25">
      <c r="A1259" s="36">
        <v>99911257</v>
      </c>
      <c r="B1259" s="17" t="s">
        <v>56</v>
      </c>
      <c r="C1259" t="s">
        <v>52</v>
      </c>
      <c r="D1259" t="s">
        <v>53</v>
      </c>
      <c r="G1259" s="17" t="s">
        <v>35</v>
      </c>
      <c r="H1259" s="17">
        <v>1</v>
      </c>
      <c r="K1259" t="s">
        <v>223</v>
      </c>
      <c r="L1259" t="s">
        <v>224</v>
      </c>
      <c r="M1259" t="s">
        <v>131</v>
      </c>
      <c r="N1259">
        <v>24</v>
      </c>
      <c r="O1259" t="s">
        <v>40</v>
      </c>
      <c r="P1259" t="s">
        <v>40</v>
      </c>
      <c r="Q1259" t="s">
        <v>40</v>
      </c>
      <c r="R1259" t="s">
        <v>40</v>
      </c>
      <c r="S1259" t="s">
        <v>40</v>
      </c>
      <c r="V1259" t="s">
        <v>41</v>
      </c>
      <c r="W1259" t="s">
        <v>42</v>
      </c>
      <c r="X1259" t="str">
        <f>"0590901"</f>
        <v>0590901</v>
      </c>
      <c r="Y1259" t="s">
        <v>242</v>
      </c>
      <c r="Z1259" t="s">
        <v>223</v>
      </c>
      <c r="AA1259" t="s">
        <v>224</v>
      </c>
      <c r="AB1259" t="s">
        <v>131</v>
      </c>
      <c r="AC1259" t="s">
        <v>51</v>
      </c>
      <c r="AD1259" t="s">
        <v>45</v>
      </c>
      <c r="AE1259" s="1">
        <v>30633</v>
      </c>
      <c r="AF1259">
        <v>2</v>
      </c>
      <c r="AG1259" t="s">
        <v>224</v>
      </c>
      <c r="AH1259" s="36">
        <f t="shared" si="19"/>
        <v>35.62222222222222</v>
      </c>
      <c r="AI1259" s="40" t="s">
        <v>1778</v>
      </c>
    </row>
    <row r="1260" spans="1:35" x14ac:dyDescent="0.25">
      <c r="A1260" s="36">
        <v>99911258</v>
      </c>
      <c r="B1260" s="17" t="s">
        <v>32</v>
      </c>
      <c r="C1260" t="s">
        <v>61</v>
      </c>
      <c r="D1260" t="s">
        <v>62</v>
      </c>
      <c r="G1260" s="17" t="s">
        <v>48</v>
      </c>
      <c r="H1260" s="17">
        <v>1</v>
      </c>
      <c r="K1260" t="s">
        <v>380</v>
      </c>
      <c r="L1260" t="s">
        <v>381</v>
      </c>
      <c r="M1260" t="s">
        <v>131</v>
      </c>
      <c r="N1260">
        <v>16</v>
      </c>
      <c r="O1260" t="s">
        <v>40</v>
      </c>
      <c r="P1260" t="s">
        <v>40</v>
      </c>
      <c r="Q1260" t="s">
        <v>40</v>
      </c>
      <c r="R1260" t="s">
        <v>40</v>
      </c>
      <c r="S1260" t="s">
        <v>40</v>
      </c>
      <c r="V1260" t="s">
        <v>41</v>
      </c>
      <c r="W1260" t="s">
        <v>42</v>
      </c>
      <c r="X1260" t="str">
        <f>"0590908"</f>
        <v>0590908</v>
      </c>
      <c r="Y1260" t="s">
        <v>382</v>
      </c>
      <c r="Z1260" t="s">
        <v>380</v>
      </c>
      <c r="AA1260" t="s">
        <v>381</v>
      </c>
      <c r="AB1260" t="s">
        <v>131</v>
      </c>
      <c r="AC1260" t="s">
        <v>51</v>
      </c>
      <c r="AD1260" t="s">
        <v>45</v>
      </c>
      <c r="AE1260" s="1">
        <v>30633</v>
      </c>
      <c r="AF1260">
        <v>2</v>
      </c>
      <c r="AG1260" t="s">
        <v>381</v>
      </c>
      <c r="AH1260" s="36">
        <f t="shared" si="19"/>
        <v>35.62222222222222</v>
      </c>
      <c r="AI1260" s="40" t="s">
        <v>1778</v>
      </c>
    </row>
    <row r="1261" spans="1:35" x14ac:dyDescent="0.25">
      <c r="A1261" s="36">
        <v>99911259</v>
      </c>
      <c r="B1261" s="17" t="s">
        <v>32</v>
      </c>
      <c r="C1261" t="s">
        <v>61</v>
      </c>
      <c r="D1261" t="s">
        <v>62</v>
      </c>
      <c r="G1261" s="17" t="s">
        <v>48</v>
      </c>
      <c r="H1261" s="17">
        <v>1</v>
      </c>
      <c r="I1261" t="s">
        <v>737</v>
      </c>
      <c r="J1261" s="1">
        <v>42639</v>
      </c>
      <c r="K1261" t="s">
        <v>268</v>
      </c>
      <c r="L1261" t="s">
        <v>269</v>
      </c>
      <c r="M1261" t="s">
        <v>131</v>
      </c>
      <c r="N1261">
        <v>12</v>
      </c>
      <c r="O1261" t="s">
        <v>40</v>
      </c>
      <c r="P1261" t="s">
        <v>40</v>
      </c>
      <c r="Q1261" t="s">
        <v>40</v>
      </c>
      <c r="S1261" t="s">
        <v>40</v>
      </c>
      <c r="U1261" s="1">
        <v>42639</v>
      </c>
      <c r="V1261" t="s">
        <v>41</v>
      </c>
      <c r="W1261" t="s">
        <v>75</v>
      </c>
      <c r="X1261" t="str">
        <f>"7052040"</f>
        <v>7052040</v>
      </c>
      <c r="Y1261" t="s">
        <v>591</v>
      </c>
      <c r="Z1261" t="s">
        <v>268</v>
      </c>
      <c r="AA1261" t="s">
        <v>269</v>
      </c>
      <c r="AB1261" t="s">
        <v>131</v>
      </c>
      <c r="AC1261" t="s">
        <v>51</v>
      </c>
      <c r="AD1261" t="s">
        <v>45</v>
      </c>
      <c r="AE1261" s="1">
        <v>30627</v>
      </c>
      <c r="AF1261">
        <v>1</v>
      </c>
      <c r="AG1261" t="s">
        <v>269</v>
      </c>
      <c r="AH1261" s="36">
        <f t="shared" si="19"/>
        <v>35.638888888888886</v>
      </c>
      <c r="AI1261" s="40" t="s">
        <v>1778</v>
      </c>
    </row>
    <row r="1262" spans="1:35" x14ac:dyDescent="0.25">
      <c r="A1262" s="36">
        <v>99911260</v>
      </c>
      <c r="B1262" s="17" t="s">
        <v>32</v>
      </c>
      <c r="C1262" t="s">
        <v>139</v>
      </c>
      <c r="D1262" t="s">
        <v>140</v>
      </c>
      <c r="G1262" s="17" t="s">
        <v>48</v>
      </c>
      <c r="H1262" s="17">
        <v>1</v>
      </c>
      <c r="K1262" t="s">
        <v>345</v>
      </c>
      <c r="L1262" t="s">
        <v>346</v>
      </c>
      <c r="M1262" t="s">
        <v>131</v>
      </c>
      <c r="N1262">
        <v>12</v>
      </c>
      <c r="O1262" t="s">
        <v>40</v>
      </c>
      <c r="P1262" t="s">
        <v>40</v>
      </c>
      <c r="Q1262" t="s">
        <v>40</v>
      </c>
      <c r="R1262" t="s">
        <v>40</v>
      </c>
      <c r="S1262" t="s">
        <v>40</v>
      </c>
      <c r="V1262" t="s">
        <v>41</v>
      </c>
      <c r="W1262" t="s">
        <v>49</v>
      </c>
      <c r="X1262" t="str">
        <f>"0560004"</f>
        <v>0560004</v>
      </c>
      <c r="Y1262" t="s">
        <v>371</v>
      </c>
      <c r="Z1262" t="s">
        <v>345</v>
      </c>
      <c r="AA1262" t="s">
        <v>346</v>
      </c>
      <c r="AB1262" t="s">
        <v>131</v>
      </c>
      <c r="AC1262" t="s">
        <v>55</v>
      </c>
      <c r="AD1262" t="s">
        <v>45</v>
      </c>
      <c r="AE1262" s="1">
        <v>30623</v>
      </c>
      <c r="AF1262">
        <v>2</v>
      </c>
      <c r="AG1262" t="s">
        <v>346</v>
      </c>
      <c r="AH1262" s="36">
        <f t="shared" si="19"/>
        <v>35.65</v>
      </c>
      <c r="AI1262" s="40" t="s">
        <v>1778</v>
      </c>
    </row>
    <row r="1263" spans="1:35" x14ac:dyDescent="0.25">
      <c r="A1263" s="36">
        <v>99911261</v>
      </c>
      <c r="B1263" s="17" t="s">
        <v>32</v>
      </c>
      <c r="C1263" t="s">
        <v>64</v>
      </c>
      <c r="D1263" t="s">
        <v>65</v>
      </c>
      <c r="G1263" s="17" t="s">
        <v>48</v>
      </c>
      <c r="H1263" s="17">
        <v>1</v>
      </c>
      <c r="K1263" t="s">
        <v>936</v>
      </c>
      <c r="L1263" t="s">
        <v>937</v>
      </c>
      <c r="M1263" t="s">
        <v>938</v>
      </c>
      <c r="N1263">
        <v>16</v>
      </c>
      <c r="O1263" t="s">
        <v>40</v>
      </c>
      <c r="P1263" t="s">
        <v>40</v>
      </c>
      <c r="Q1263" t="s">
        <v>40</v>
      </c>
      <c r="R1263" t="s">
        <v>40</v>
      </c>
      <c r="S1263" t="s">
        <v>40</v>
      </c>
      <c r="V1263" t="s">
        <v>41</v>
      </c>
      <c r="W1263" t="s">
        <v>49</v>
      </c>
      <c r="X1263" t="str">
        <f>"0160075"</f>
        <v>0160075</v>
      </c>
      <c r="Y1263" t="s">
        <v>939</v>
      </c>
      <c r="Z1263" t="s">
        <v>936</v>
      </c>
      <c r="AA1263" t="s">
        <v>937</v>
      </c>
      <c r="AB1263" t="s">
        <v>938</v>
      </c>
      <c r="AC1263" t="s">
        <v>51</v>
      </c>
      <c r="AD1263" t="s">
        <v>45</v>
      </c>
      <c r="AE1263" s="1">
        <v>30622</v>
      </c>
      <c r="AF1263">
        <v>2</v>
      </c>
      <c r="AG1263" t="s">
        <v>937</v>
      </c>
      <c r="AH1263" s="36">
        <f t="shared" si="19"/>
        <v>35.652777777777779</v>
      </c>
      <c r="AI1263" s="40" t="s">
        <v>1778</v>
      </c>
    </row>
    <row r="1264" spans="1:35" x14ac:dyDescent="0.25">
      <c r="A1264" s="36">
        <v>99911262</v>
      </c>
      <c r="B1264" s="17" t="s">
        <v>56</v>
      </c>
      <c r="C1264" t="s">
        <v>58</v>
      </c>
      <c r="D1264" t="s">
        <v>59</v>
      </c>
      <c r="G1264" s="17" t="s">
        <v>88</v>
      </c>
      <c r="H1264" s="17">
        <v>4</v>
      </c>
      <c r="K1264" t="s">
        <v>157</v>
      </c>
      <c r="L1264" t="s">
        <v>158</v>
      </c>
      <c r="M1264" t="s">
        <v>131</v>
      </c>
      <c r="N1264">
        <v>15</v>
      </c>
      <c r="O1264" t="s">
        <v>40</v>
      </c>
      <c r="P1264" t="s">
        <v>40</v>
      </c>
      <c r="Q1264" t="s">
        <v>40</v>
      </c>
      <c r="R1264" t="s">
        <v>40</v>
      </c>
      <c r="S1264" t="s">
        <v>40</v>
      </c>
      <c r="V1264" t="s">
        <v>41</v>
      </c>
      <c r="W1264" t="s">
        <v>42</v>
      </c>
      <c r="X1264" t="str">
        <f>"0561004"</f>
        <v>0561004</v>
      </c>
      <c r="Y1264" t="s">
        <v>172</v>
      </c>
      <c r="Z1264" t="s">
        <v>157</v>
      </c>
      <c r="AA1264" t="s">
        <v>158</v>
      </c>
      <c r="AB1264" t="s">
        <v>131</v>
      </c>
      <c r="AC1264" t="s">
        <v>51</v>
      </c>
      <c r="AD1264" t="s">
        <v>45</v>
      </c>
      <c r="AE1264" s="1">
        <v>30621</v>
      </c>
      <c r="AF1264">
        <v>2</v>
      </c>
      <c r="AG1264" t="s">
        <v>158</v>
      </c>
      <c r="AH1264" s="36">
        <f t="shared" si="19"/>
        <v>35.655555555555559</v>
      </c>
      <c r="AI1264" s="40" t="s">
        <v>1778</v>
      </c>
    </row>
    <row r="1265" spans="1:35" x14ac:dyDescent="0.25">
      <c r="A1265" s="36">
        <v>99911263</v>
      </c>
      <c r="B1265" s="17" t="s">
        <v>56</v>
      </c>
      <c r="C1265" t="s">
        <v>79</v>
      </c>
      <c r="D1265" t="s">
        <v>80</v>
      </c>
      <c r="G1265" s="17" t="s">
        <v>48</v>
      </c>
      <c r="H1265" s="17">
        <v>1</v>
      </c>
      <c r="K1265" t="s">
        <v>223</v>
      </c>
      <c r="L1265" t="s">
        <v>224</v>
      </c>
      <c r="M1265" t="s">
        <v>131</v>
      </c>
      <c r="N1265">
        <v>19</v>
      </c>
      <c r="O1265" t="s">
        <v>40</v>
      </c>
      <c r="P1265" t="s">
        <v>40</v>
      </c>
      <c r="Q1265" t="s">
        <v>40</v>
      </c>
      <c r="R1265" t="s">
        <v>40</v>
      </c>
      <c r="S1265" t="s">
        <v>40</v>
      </c>
      <c r="V1265" t="s">
        <v>41</v>
      </c>
      <c r="W1265" t="s">
        <v>49</v>
      </c>
      <c r="X1265" t="str">
        <f>"0581200"</f>
        <v>0581200</v>
      </c>
      <c r="Y1265" t="s">
        <v>238</v>
      </c>
      <c r="Z1265" t="s">
        <v>223</v>
      </c>
      <c r="AA1265" t="s">
        <v>224</v>
      </c>
      <c r="AB1265" t="s">
        <v>131</v>
      </c>
      <c r="AC1265" t="s">
        <v>51</v>
      </c>
      <c r="AD1265" t="s">
        <v>45</v>
      </c>
      <c r="AE1265" s="1">
        <v>30616</v>
      </c>
      <c r="AF1265">
        <v>2</v>
      </c>
      <c r="AG1265" t="s">
        <v>224</v>
      </c>
      <c r="AH1265" s="36">
        <f t="shared" si="19"/>
        <v>35.669444444444444</v>
      </c>
      <c r="AI1265" s="40" t="s">
        <v>1778</v>
      </c>
    </row>
    <row r="1266" spans="1:35" x14ac:dyDescent="0.25">
      <c r="A1266" s="36">
        <v>99911264</v>
      </c>
      <c r="B1266" s="17" t="s">
        <v>56</v>
      </c>
      <c r="C1266" t="s">
        <v>82</v>
      </c>
      <c r="D1266" t="s">
        <v>83</v>
      </c>
      <c r="G1266" s="17" t="s">
        <v>35</v>
      </c>
      <c r="H1266" s="17">
        <v>1</v>
      </c>
      <c r="I1266">
        <v>0</v>
      </c>
      <c r="J1266" s="1">
        <v>43344</v>
      </c>
      <c r="K1266" t="s">
        <v>223</v>
      </c>
      <c r="L1266" t="s">
        <v>224</v>
      </c>
      <c r="M1266" t="s">
        <v>131</v>
      </c>
      <c r="N1266">
        <v>23</v>
      </c>
      <c r="O1266" t="s">
        <v>40</v>
      </c>
      <c r="S1266" t="s">
        <v>40</v>
      </c>
      <c r="U1266" s="1">
        <v>43344</v>
      </c>
      <c r="V1266" t="s">
        <v>41</v>
      </c>
      <c r="W1266" t="s">
        <v>42</v>
      </c>
      <c r="X1266" t="str">
        <f>"0580206"</f>
        <v>0580206</v>
      </c>
      <c r="Y1266" t="s">
        <v>237</v>
      </c>
      <c r="Z1266" t="s">
        <v>223</v>
      </c>
      <c r="AA1266" t="s">
        <v>224</v>
      </c>
      <c r="AB1266" t="s">
        <v>131</v>
      </c>
      <c r="AC1266" t="s">
        <v>44</v>
      </c>
      <c r="AD1266" t="s">
        <v>45</v>
      </c>
      <c r="AE1266" s="1">
        <v>30614</v>
      </c>
      <c r="AF1266">
        <v>2</v>
      </c>
      <c r="AG1266" t="s">
        <v>224</v>
      </c>
      <c r="AH1266" s="36">
        <f t="shared" si="19"/>
        <v>35.674999999999997</v>
      </c>
      <c r="AI1266" s="40" t="s">
        <v>1778</v>
      </c>
    </row>
    <row r="1267" spans="1:35" x14ac:dyDescent="0.25">
      <c r="A1267" s="36">
        <v>99911265</v>
      </c>
      <c r="B1267" s="17" t="s">
        <v>32</v>
      </c>
      <c r="C1267" t="s">
        <v>139</v>
      </c>
      <c r="D1267" t="s">
        <v>140</v>
      </c>
      <c r="G1267" s="17" t="s">
        <v>35</v>
      </c>
      <c r="H1267" s="17">
        <v>1</v>
      </c>
      <c r="I1267">
        <v>15437</v>
      </c>
      <c r="J1267" s="1">
        <v>43344</v>
      </c>
      <c r="K1267" t="s">
        <v>345</v>
      </c>
      <c r="L1267" t="s">
        <v>346</v>
      </c>
      <c r="M1267" t="s">
        <v>131</v>
      </c>
      <c r="N1267">
        <v>12</v>
      </c>
      <c r="O1267" t="s">
        <v>40</v>
      </c>
      <c r="P1267" t="s">
        <v>40</v>
      </c>
      <c r="Q1267" t="s">
        <v>40</v>
      </c>
      <c r="R1267" t="s">
        <v>40</v>
      </c>
      <c r="S1267" t="s">
        <v>40</v>
      </c>
      <c r="U1267" s="1">
        <v>43344</v>
      </c>
      <c r="V1267" t="s">
        <v>41</v>
      </c>
      <c r="W1267" t="s">
        <v>49</v>
      </c>
      <c r="X1267" t="str">
        <f>"0561003"</f>
        <v>0561003</v>
      </c>
      <c r="Y1267" t="s">
        <v>370</v>
      </c>
      <c r="Z1267" t="s">
        <v>345</v>
      </c>
      <c r="AA1267" t="s">
        <v>346</v>
      </c>
      <c r="AB1267" t="s">
        <v>131</v>
      </c>
      <c r="AC1267" t="s">
        <v>44</v>
      </c>
      <c r="AD1267" t="s">
        <v>45</v>
      </c>
      <c r="AE1267" s="1">
        <v>30614</v>
      </c>
      <c r="AF1267">
        <v>2</v>
      </c>
      <c r="AG1267" t="s">
        <v>346</v>
      </c>
      <c r="AH1267" s="36">
        <f t="shared" si="19"/>
        <v>35.674999999999997</v>
      </c>
      <c r="AI1267" s="40" t="s">
        <v>1778</v>
      </c>
    </row>
    <row r="1268" spans="1:35" x14ac:dyDescent="0.25">
      <c r="A1268" s="36">
        <v>99911266</v>
      </c>
      <c r="B1268" s="17" t="s">
        <v>32</v>
      </c>
      <c r="C1268" t="s">
        <v>64</v>
      </c>
      <c r="D1268" t="s">
        <v>65</v>
      </c>
      <c r="G1268" s="17" t="s">
        <v>35</v>
      </c>
      <c r="H1268" s="17">
        <v>1</v>
      </c>
      <c r="I1268">
        <v>11609</v>
      </c>
      <c r="J1268" s="1">
        <v>43344</v>
      </c>
      <c r="K1268" t="s">
        <v>354</v>
      </c>
      <c r="L1268" t="s">
        <v>355</v>
      </c>
      <c r="M1268" t="s">
        <v>131</v>
      </c>
      <c r="N1268">
        <v>13</v>
      </c>
      <c r="O1268" t="s">
        <v>40</v>
      </c>
      <c r="S1268" t="s">
        <v>40</v>
      </c>
      <c r="U1268" s="1">
        <v>43344</v>
      </c>
      <c r="V1268" t="s">
        <v>41</v>
      </c>
      <c r="W1268" t="s">
        <v>75</v>
      </c>
      <c r="X1268" t="str">
        <f>"7054042"</f>
        <v>7054042</v>
      </c>
      <c r="Y1268" t="s">
        <v>776</v>
      </c>
      <c r="Z1268" t="s">
        <v>354</v>
      </c>
      <c r="AA1268" t="s">
        <v>355</v>
      </c>
      <c r="AB1268" t="s">
        <v>131</v>
      </c>
      <c r="AC1268" t="s">
        <v>44</v>
      </c>
      <c r="AD1268" t="s">
        <v>45</v>
      </c>
      <c r="AE1268" s="1">
        <v>30612</v>
      </c>
      <c r="AF1268">
        <v>1</v>
      </c>
      <c r="AG1268" t="s">
        <v>355</v>
      </c>
      <c r="AH1268" s="36">
        <f t="shared" si="19"/>
        <v>35.680555555555557</v>
      </c>
      <c r="AI1268" s="40" t="s">
        <v>1778</v>
      </c>
    </row>
    <row r="1269" spans="1:35" x14ac:dyDescent="0.25">
      <c r="A1269" s="36">
        <v>99911267</v>
      </c>
      <c r="B1269" s="17" t="s">
        <v>32</v>
      </c>
      <c r="C1269" t="s">
        <v>52</v>
      </c>
      <c r="D1269" t="s">
        <v>53</v>
      </c>
      <c r="G1269" s="17" t="s">
        <v>35</v>
      </c>
      <c r="H1269" s="17">
        <v>1</v>
      </c>
      <c r="I1269" t="s">
        <v>970</v>
      </c>
      <c r="J1269" s="1">
        <v>43344</v>
      </c>
      <c r="K1269" t="s">
        <v>947</v>
      </c>
      <c r="L1269" t="s">
        <v>948</v>
      </c>
      <c r="M1269" t="s">
        <v>938</v>
      </c>
      <c r="N1269">
        <v>7</v>
      </c>
      <c r="O1269" t="s">
        <v>40</v>
      </c>
      <c r="P1269" t="s">
        <v>40</v>
      </c>
      <c r="Q1269" t="s">
        <v>40</v>
      </c>
      <c r="S1269" t="s">
        <v>40</v>
      </c>
      <c r="U1269" s="1">
        <v>43344</v>
      </c>
      <c r="V1269" t="s">
        <v>41</v>
      </c>
      <c r="W1269" t="s">
        <v>42</v>
      </c>
      <c r="X1269" t="str">
        <f>"0680039"</f>
        <v>0680039</v>
      </c>
      <c r="Y1269" t="s">
        <v>949</v>
      </c>
      <c r="Z1269" t="s">
        <v>947</v>
      </c>
      <c r="AA1269" t="s">
        <v>948</v>
      </c>
      <c r="AB1269" t="s">
        <v>938</v>
      </c>
      <c r="AC1269" t="s">
        <v>44</v>
      </c>
      <c r="AD1269" t="s">
        <v>45</v>
      </c>
      <c r="AE1269" s="1">
        <v>30611</v>
      </c>
      <c r="AF1269">
        <v>2</v>
      </c>
      <c r="AG1269" t="s">
        <v>948</v>
      </c>
      <c r="AH1269" s="36">
        <f t="shared" si="19"/>
        <v>35.68333333333333</v>
      </c>
      <c r="AI1269" s="40" t="s">
        <v>1778</v>
      </c>
    </row>
    <row r="1270" spans="1:35" x14ac:dyDescent="0.25">
      <c r="A1270" s="36">
        <v>99911268</v>
      </c>
      <c r="B1270" s="17" t="s">
        <v>32</v>
      </c>
      <c r="C1270" t="s">
        <v>90</v>
      </c>
      <c r="D1270" t="s">
        <v>91</v>
      </c>
      <c r="G1270" s="17" t="s">
        <v>35</v>
      </c>
      <c r="H1270" s="17">
        <v>1</v>
      </c>
      <c r="J1270" s="1">
        <v>43344</v>
      </c>
      <c r="K1270" t="s">
        <v>985</v>
      </c>
      <c r="L1270" t="s">
        <v>986</v>
      </c>
      <c r="M1270" t="s">
        <v>938</v>
      </c>
      <c r="N1270">
        <v>24</v>
      </c>
      <c r="O1270" t="s">
        <v>40</v>
      </c>
      <c r="P1270" t="s">
        <v>40</v>
      </c>
      <c r="Q1270" t="s">
        <v>40</v>
      </c>
      <c r="S1270" t="s">
        <v>40</v>
      </c>
      <c r="U1270" s="1">
        <v>43344</v>
      </c>
      <c r="V1270" t="s">
        <v>41</v>
      </c>
      <c r="W1270" t="s">
        <v>75</v>
      </c>
      <c r="X1270" t="str">
        <f>"7011000"</f>
        <v>7011000</v>
      </c>
      <c r="Y1270" t="s">
        <v>989</v>
      </c>
      <c r="Z1270" t="s">
        <v>985</v>
      </c>
      <c r="AA1270" t="s">
        <v>986</v>
      </c>
      <c r="AB1270" t="s">
        <v>938</v>
      </c>
      <c r="AC1270" t="s">
        <v>51</v>
      </c>
      <c r="AD1270" t="s">
        <v>45</v>
      </c>
      <c r="AE1270" s="1">
        <v>30610</v>
      </c>
      <c r="AF1270">
        <v>1</v>
      </c>
      <c r="AG1270" t="s">
        <v>986</v>
      </c>
      <c r="AH1270" s="36">
        <f t="shared" si="19"/>
        <v>35.68611111111111</v>
      </c>
      <c r="AI1270" s="40" t="s">
        <v>1778</v>
      </c>
    </row>
    <row r="1271" spans="1:35" x14ac:dyDescent="0.25">
      <c r="A1271" s="36">
        <v>99911269</v>
      </c>
      <c r="B1271" s="17" t="s">
        <v>56</v>
      </c>
      <c r="C1271" t="s">
        <v>46</v>
      </c>
      <c r="D1271" t="s">
        <v>47</v>
      </c>
      <c r="G1271" s="17" t="s">
        <v>48</v>
      </c>
      <c r="H1271" s="17">
        <v>1</v>
      </c>
      <c r="K1271" t="s">
        <v>1268</v>
      </c>
      <c r="L1271" t="s">
        <v>1269</v>
      </c>
      <c r="M1271" t="s">
        <v>1270</v>
      </c>
      <c r="N1271">
        <v>30</v>
      </c>
      <c r="O1271" t="s">
        <v>40</v>
      </c>
      <c r="P1271" t="s">
        <v>40</v>
      </c>
      <c r="Q1271" t="s">
        <v>40</v>
      </c>
      <c r="S1271" t="s">
        <v>40</v>
      </c>
      <c r="V1271" t="s">
        <v>41</v>
      </c>
      <c r="W1271" t="s">
        <v>42</v>
      </c>
      <c r="X1271" t="str">
        <f>"1980050"</f>
        <v>1980050</v>
      </c>
      <c r="Y1271" t="s">
        <v>1278</v>
      </c>
      <c r="Z1271" t="s">
        <v>1268</v>
      </c>
      <c r="AA1271" t="s">
        <v>1269</v>
      </c>
      <c r="AB1271" t="s">
        <v>1270</v>
      </c>
      <c r="AC1271" t="s">
        <v>51</v>
      </c>
      <c r="AD1271" t="s">
        <v>45</v>
      </c>
      <c r="AE1271" s="1">
        <v>30609</v>
      </c>
      <c r="AF1271">
        <v>2</v>
      </c>
      <c r="AG1271" t="s">
        <v>1269</v>
      </c>
      <c r="AH1271" s="36">
        <f t="shared" si="19"/>
        <v>35.68888888888889</v>
      </c>
      <c r="AI1271" s="40" t="s">
        <v>1778</v>
      </c>
    </row>
    <row r="1272" spans="1:35" x14ac:dyDescent="0.25">
      <c r="A1272" s="36">
        <v>99911270</v>
      </c>
      <c r="B1272" s="17" t="s">
        <v>32</v>
      </c>
      <c r="C1272" t="s">
        <v>111</v>
      </c>
      <c r="D1272" t="s">
        <v>112</v>
      </c>
      <c r="G1272" s="17" t="s">
        <v>35</v>
      </c>
      <c r="H1272" s="17">
        <v>1</v>
      </c>
      <c r="K1272" t="s">
        <v>154</v>
      </c>
      <c r="L1272" t="s">
        <v>155</v>
      </c>
      <c r="M1272" t="s">
        <v>131</v>
      </c>
      <c r="N1272">
        <v>23</v>
      </c>
      <c r="O1272" t="s">
        <v>40</v>
      </c>
      <c r="P1272" t="s">
        <v>40</v>
      </c>
      <c r="Q1272" t="s">
        <v>40</v>
      </c>
      <c r="R1272" t="s">
        <v>40</v>
      </c>
      <c r="S1272" t="s">
        <v>40</v>
      </c>
      <c r="V1272" t="s">
        <v>41</v>
      </c>
      <c r="W1272" t="s">
        <v>75</v>
      </c>
      <c r="X1272" t="str">
        <f>"7700026"</f>
        <v>7700026</v>
      </c>
      <c r="Y1272" t="s">
        <v>397</v>
      </c>
      <c r="Z1272" t="s">
        <v>154</v>
      </c>
      <c r="AA1272" t="s">
        <v>155</v>
      </c>
      <c r="AB1272" t="s">
        <v>131</v>
      </c>
      <c r="AC1272" t="s">
        <v>51</v>
      </c>
      <c r="AD1272" t="s">
        <v>45</v>
      </c>
      <c r="AE1272" s="1">
        <v>30608</v>
      </c>
      <c r="AF1272">
        <v>1</v>
      </c>
      <c r="AG1272" t="s">
        <v>155</v>
      </c>
      <c r="AH1272" s="36">
        <f t="shared" si="19"/>
        <v>35.69166666666667</v>
      </c>
      <c r="AI1272" s="40" t="s">
        <v>1778</v>
      </c>
    </row>
    <row r="1273" spans="1:35" x14ac:dyDescent="0.25">
      <c r="A1273" s="36">
        <v>99911271</v>
      </c>
      <c r="B1273" s="17" t="s">
        <v>32</v>
      </c>
      <c r="C1273" t="s">
        <v>111</v>
      </c>
      <c r="D1273" t="s">
        <v>112</v>
      </c>
      <c r="G1273" s="17" t="s">
        <v>35</v>
      </c>
      <c r="H1273" s="17">
        <v>1</v>
      </c>
      <c r="I1273" t="s">
        <v>641</v>
      </c>
      <c r="J1273" s="1">
        <v>43344</v>
      </c>
      <c r="K1273" t="s">
        <v>268</v>
      </c>
      <c r="L1273" t="s">
        <v>269</v>
      </c>
      <c r="M1273" t="s">
        <v>131</v>
      </c>
      <c r="N1273">
        <v>23</v>
      </c>
      <c r="O1273" t="s">
        <v>40</v>
      </c>
      <c r="S1273" t="s">
        <v>40</v>
      </c>
      <c r="U1273" s="1">
        <v>43344</v>
      </c>
      <c r="V1273" t="s">
        <v>41</v>
      </c>
      <c r="W1273" t="s">
        <v>75</v>
      </c>
      <c r="X1273" t="str">
        <f>"7052020"</f>
        <v>7052020</v>
      </c>
      <c r="Y1273" t="s">
        <v>267</v>
      </c>
      <c r="Z1273" t="s">
        <v>268</v>
      </c>
      <c r="AA1273" t="s">
        <v>269</v>
      </c>
      <c r="AB1273" t="s">
        <v>131</v>
      </c>
      <c r="AC1273" t="s">
        <v>51</v>
      </c>
      <c r="AD1273" t="s">
        <v>45</v>
      </c>
      <c r="AE1273" s="1">
        <v>30608</v>
      </c>
      <c r="AF1273">
        <v>1</v>
      </c>
      <c r="AG1273" t="s">
        <v>269</v>
      </c>
      <c r="AH1273" s="36">
        <f t="shared" si="19"/>
        <v>35.69166666666667</v>
      </c>
      <c r="AI1273" s="40" t="s">
        <v>1778</v>
      </c>
    </row>
    <row r="1274" spans="1:35" x14ac:dyDescent="0.25">
      <c r="A1274" s="36">
        <v>99911272</v>
      </c>
      <c r="B1274" s="17" t="s">
        <v>32</v>
      </c>
      <c r="C1274" t="s">
        <v>61</v>
      </c>
      <c r="D1274" t="s">
        <v>62</v>
      </c>
      <c r="G1274" s="17" t="s">
        <v>48</v>
      </c>
      <c r="H1274" s="17">
        <v>7</v>
      </c>
      <c r="I1274" t="s">
        <v>456</v>
      </c>
      <c r="J1274" s="1">
        <v>40422</v>
      </c>
      <c r="K1274" t="s">
        <v>195</v>
      </c>
      <c r="L1274" t="s">
        <v>196</v>
      </c>
      <c r="M1274" t="s">
        <v>131</v>
      </c>
      <c r="N1274">
        <v>23</v>
      </c>
      <c r="O1274" t="s">
        <v>40</v>
      </c>
      <c r="P1274" t="s">
        <v>40</v>
      </c>
      <c r="Q1274" t="s">
        <v>40</v>
      </c>
      <c r="R1274" t="s">
        <v>40</v>
      </c>
      <c r="S1274" t="s">
        <v>40</v>
      </c>
      <c r="U1274" s="1">
        <v>40422</v>
      </c>
      <c r="V1274" t="s">
        <v>41</v>
      </c>
      <c r="W1274" t="s">
        <v>75</v>
      </c>
      <c r="X1274" t="str">
        <f>"7521044"</f>
        <v>7521044</v>
      </c>
      <c r="Y1274" t="s">
        <v>453</v>
      </c>
      <c r="Z1274" t="s">
        <v>195</v>
      </c>
      <c r="AA1274" t="s">
        <v>196</v>
      </c>
      <c r="AB1274" t="s">
        <v>131</v>
      </c>
      <c r="AC1274" t="s">
        <v>165</v>
      </c>
      <c r="AD1274" t="s">
        <v>45</v>
      </c>
      <c r="AE1274" s="1">
        <v>30606</v>
      </c>
      <c r="AF1274">
        <v>1</v>
      </c>
      <c r="AG1274" t="s">
        <v>196</v>
      </c>
      <c r="AH1274" s="36">
        <f t="shared" si="19"/>
        <v>35.697222222222223</v>
      </c>
      <c r="AI1274" s="40" t="s">
        <v>1778</v>
      </c>
    </row>
    <row r="1275" spans="1:35" x14ac:dyDescent="0.25">
      <c r="A1275" s="36">
        <v>99911273</v>
      </c>
      <c r="B1275" s="17" t="s">
        <v>32</v>
      </c>
      <c r="C1275" t="s">
        <v>46</v>
      </c>
      <c r="D1275" t="s">
        <v>47</v>
      </c>
      <c r="G1275" s="17" t="s">
        <v>35</v>
      </c>
      <c r="H1275" s="17">
        <v>1</v>
      </c>
      <c r="I1275">
        <v>0</v>
      </c>
      <c r="J1275" s="1">
        <v>43344</v>
      </c>
      <c r="K1275" t="s">
        <v>223</v>
      </c>
      <c r="L1275" t="s">
        <v>224</v>
      </c>
      <c r="M1275" t="s">
        <v>131</v>
      </c>
      <c r="N1275">
        <v>24</v>
      </c>
      <c r="O1275" t="s">
        <v>40</v>
      </c>
      <c r="P1275" t="s">
        <v>40</v>
      </c>
      <c r="Q1275" t="s">
        <v>40</v>
      </c>
      <c r="R1275" t="s">
        <v>40</v>
      </c>
      <c r="S1275" t="s">
        <v>40</v>
      </c>
      <c r="U1275" s="1">
        <v>43344</v>
      </c>
      <c r="V1275" t="s">
        <v>41</v>
      </c>
      <c r="W1275" t="s">
        <v>49</v>
      </c>
      <c r="X1275" t="str">
        <f>"0591901"</f>
        <v>0591901</v>
      </c>
      <c r="Y1275" t="s">
        <v>230</v>
      </c>
      <c r="Z1275" t="s">
        <v>223</v>
      </c>
      <c r="AA1275" t="s">
        <v>224</v>
      </c>
      <c r="AB1275" t="s">
        <v>131</v>
      </c>
      <c r="AC1275" t="s">
        <v>44</v>
      </c>
      <c r="AD1275" t="s">
        <v>45</v>
      </c>
      <c r="AE1275" s="1">
        <v>30603</v>
      </c>
      <c r="AF1275">
        <v>2</v>
      </c>
      <c r="AG1275" t="s">
        <v>224</v>
      </c>
      <c r="AH1275" s="36">
        <f t="shared" si="19"/>
        <v>35.705555555555556</v>
      </c>
      <c r="AI1275" s="40" t="s">
        <v>1778</v>
      </c>
    </row>
    <row r="1276" spans="1:35" x14ac:dyDescent="0.25">
      <c r="A1276" s="36">
        <v>99911274</v>
      </c>
      <c r="B1276" s="17" t="s">
        <v>56</v>
      </c>
      <c r="C1276" t="s">
        <v>52</v>
      </c>
      <c r="D1276" t="s">
        <v>53</v>
      </c>
      <c r="G1276" s="17" t="s">
        <v>35</v>
      </c>
      <c r="H1276" s="17">
        <v>1</v>
      </c>
      <c r="I1276" t="s">
        <v>320</v>
      </c>
      <c r="J1276" s="1">
        <v>43344</v>
      </c>
      <c r="K1276" t="s">
        <v>300</v>
      </c>
      <c r="L1276" t="s">
        <v>301</v>
      </c>
      <c r="M1276" t="s">
        <v>131</v>
      </c>
      <c r="N1276">
        <v>20</v>
      </c>
      <c r="O1276" t="s">
        <v>40</v>
      </c>
      <c r="P1276" t="s">
        <v>40</v>
      </c>
      <c r="Q1276" t="s">
        <v>40</v>
      </c>
      <c r="R1276" t="s">
        <v>40</v>
      </c>
      <c r="S1276" t="s">
        <v>40</v>
      </c>
      <c r="U1276" s="1">
        <v>43344</v>
      </c>
      <c r="V1276" t="s">
        <v>41</v>
      </c>
      <c r="W1276" t="s">
        <v>42</v>
      </c>
      <c r="X1276" t="str">
        <f>"0580106"</f>
        <v>0580106</v>
      </c>
      <c r="Y1276" t="s">
        <v>306</v>
      </c>
      <c r="Z1276" t="s">
        <v>300</v>
      </c>
      <c r="AA1276" t="s">
        <v>301</v>
      </c>
      <c r="AB1276" t="s">
        <v>131</v>
      </c>
      <c r="AC1276" t="s">
        <v>51</v>
      </c>
      <c r="AD1276" t="s">
        <v>45</v>
      </c>
      <c r="AE1276" s="1">
        <v>30601</v>
      </c>
      <c r="AF1276">
        <v>2</v>
      </c>
      <c r="AG1276" t="s">
        <v>301</v>
      </c>
      <c r="AH1276" s="36">
        <f t="shared" si="19"/>
        <v>35.711111111111109</v>
      </c>
      <c r="AI1276" s="40" t="s">
        <v>1778</v>
      </c>
    </row>
    <row r="1277" spans="1:35" x14ac:dyDescent="0.25">
      <c r="A1277" s="36">
        <v>99911275</v>
      </c>
      <c r="B1277" s="17" t="s">
        <v>32</v>
      </c>
      <c r="C1277" t="s">
        <v>46</v>
      </c>
      <c r="D1277" t="s">
        <v>47</v>
      </c>
      <c r="G1277" s="17" t="s">
        <v>48</v>
      </c>
      <c r="H1277" s="17">
        <v>1</v>
      </c>
      <c r="K1277" t="s">
        <v>1128</v>
      </c>
      <c r="L1277" t="s">
        <v>1129</v>
      </c>
      <c r="M1277" t="s">
        <v>1130</v>
      </c>
      <c r="N1277">
        <v>23</v>
      </c>
      <c r="O1277" t="s">
        <v>40</v>
      </c>
      <c r="P1277" t="s">
        <v>40</v>
      </c>
      <c r="Q1277" t="s">
        <v>40</v>
      </c>
      <c r="S1277" t="s">
        <v>40</v>
      </c>
      <c r="V1277" t="s">
        <v>41</v>
      </c>
      <c r="W1277" t="s">
        <v>49</v>
      </c>
      <c r="X1277" t="str">
        <f>"3181010"</f>
        <v>3181010</v>
      </c>
      <c r="Y1277" t="s">
        <v>1134</v>
      </c>
      <c r="Z1277" t="s">
        <v>1128</v>
      </c>
      <c r="AA1277" t="s">
        <v>1129</v>
      </c>
      <c r="AB1277" t="s">
        <v>1130</v>
      </c>
      <c r="AC1277" t="s">
        <v>165</v>
      </c>
      <c r="AD1277" t="s">
        <v>45</v>
      </c>
      <c r="AE1277" s="1">
        <v>30601</v>
      </c>
      <c r="AF1277">
        <v>2</v>
      </c>
      <c r="AG1277" t="s">
        <v>1129</v>
      </c>
      <c r="AH1277" s="36">
        <f t="shared" si="19"/>
        <v>35.711111111111109</v>
      </c>
      <c r="AI1277" s="40" t="s">
        <v>1778</v>
      </c>
    </row>
    <row r="1278" spans="1:35" x14ac:dyDescent="0.25">
      <c r="A1278" s="36">
        <v>99911276</v>
      </c>
      <c r="B1278" s="17" t="s">
        <v>32</v>
      </c>
      <c r="C1278" t="s">
        <v>90</v>
      </c>
      <c r="D1278" t="s">
        <v>91</v>
      </c>
      <c r="G1278" s="17" t="s">
        <v>48</v>
      </c>
      <c r="H1278" s="17">
        <v>1</v>
      </c>
      <c r="K1278" t="s">
        <v>431</v>
      </c>
      <c r="L1278" t="s">
        <v>196</v>
      </c>
      <c r="M1278" t="s">
        <v>131</v>
      </c>
      <c r="N1278">
        <v>24</v>
      </c>
      <c r="O1278" t="s">
        <v>40</v>
      </c>
      <c r="P1278" t="s">
        <v>40</v>
      </c>
      <c r="Q1278" t="s">
        <v>40</v>
      </c>
      <c r="S1278" t="s">
        <v>40</v>
      </c>
      <c r="V1278" t="s">
        <v>41</v>
      </c>
      <c r="W1278" t="s">
        <v>75</v>
      </c>
      <c r="X1278" t="str">
        <f>"7521016"</f>
        <v>7521016</v>
      </c>
      <c r="Y1278" t="s">
        <v>448</v>
      </c>
      <c r="Z1278" t="s">
        <v>431</v>
      </c>
      <c r="AA1278" t="s">
        <v>196</v>
      </c>
      <c r="AB1278" t="s">
        <v>131</v>
      </c>
      <c r="AC1278" t="s">
        <v>51</v>
      </c>
      <c r="AD1278" t="s">
        <v>45</v>
      </c>
      <c r="AE1278" s="1">
        <v>30600</v>
      </c>
      <c r="AF1278">
        <v>1</v>
      </c>
      <c r="AG1278" t="s">
        <v>196</v>
      </c>
      <c r="AH1278" s="36">
        <f t="shared" si="19"/>
        <v>35.713888888888889</v>
      </c>
      <c r="AI1278" s="40" t="s">
        <v>1778</v>
      </c>
    </row>
    <row r="1279" spans="1:35" x14ac:dyDescent="0.25">
      <c r="A1279" s="36">
        <v>99911277</v>
      </c>
      <c r="B1279" s="17" t="s">
        <v>32</v>
      </c>
      <c r="C1279" t="s">
        <v>52</v>
      </c>
      <c r="D1279" t="s">
        <v>53</v>
      </c>
      <c r="G1279" s="17" t="s">
        <v>48</v>
      </c>
      <c r="H1279" s="17">
        <v>1</v>
      </c>
      <c r="K1279" t="s">
        <v>223</v>
      </c>
      <c r="L1279" t="s">
        <v>224</v>
      </c>
      <c r="M1279" t="s">
        <v>131</v>
      </c>
      <c r="N1279">
        <v>19</v>
      </c>
      <c r="O1279" t="s">
        <v>40</v>
      </c>
      <c r="P1279" t="s">
        <v>40</v>
      </c>
      <c r="Q1279" t="s">
        <v>40</v>
      </c>
      <c r="R1279" t="s">
        <v>40</v>
      </c>
      <c r="S1279" t="s">
        <v>40</v>
      </c>
      <c r="V1279" t="s">
        <v>41</v>
      </c>
      <c r="W1279" t="s">
        <v>42</v>
      </c>
      <c r="X1279" t="str">
        <f>"0580206"</f>
        <v>0580206</v>
      </c>
      <c r="Y1279" t="s">
        <v>237</v>
      </c>
      <c r="Z1279" t="s">
        <v>223</v>
      </c>
      <c r="AA1279" t="s">
        <v>224</v>
      </c>
      <c r="AB1279" t="s">
        <v>131</v>
      </c>
      <c r="AC1279" t="s">
        <v>51</v>
      </c>
      <c r="AD1279" t="s">
        <v>45</v>
      </c>
      <c r="AE1279" s="1">
        <v>30596</v>
      </c>
      <c r="AF1279">
        <v>2</v>
      </c>
      <c r="AG1279" t="s">
        <v>224</v>
      </c>
      <c r="AH1279" s="36">
        <f t="shared" si="19"/>
        <v>35.725000000000001</v>
      </c>
      <c r="AI1279" s="40" t="s">
        <v>1778</v>
      </c>
    </row>
    <row r="1280" spans="1:35" x14ac:dyDescent="0.25">
      <c r="A1280" s="36">
        <v>99911278</v>
      </c>
      <c r="B1280" s="17" t="s">
        <v>32</v>
      </c>
      <c r="C1280" t="s">
        <v>46</v>
      </c>
      <c r="D1280" t="s">
        <v>47</v>
      </c>
      <c r="G1280" s="17" t="s">
        <v>48</v>
      </c>
      <c r="H1280" s="17">
        <v>1</v>
      </c>
      <c r="K1280" t="s">
        <v>223</v>
      </c>
      <c r="L1280" t="s">
        <v>224</v>
      </c>
      <c r="M1280" t="s">
        <v>131</v>
      </c>
      <c r="N1280">
        <v>20</v>
      </c>
      <c r="O1280" t="s">
        <v>40</v>
      </c>
      <c r="P1280" t="s">
        <v>40</v>
      </c>
      <c r="Q1280" t="s">
        <v>40</v>
      </c>
      <c r="R1280" t="s">
        <v>40</v>
      </c>
      <c r="S1280" t="s">
        <v>40</v>
      </c>
      <c r="V1280" t="s">
        <v>41</v>
      </c>
      <c r="W1280" t="s">
        <v>42</v>
      </c>
      <c r="X1280" t="str">
        <f>"0561014"</f>
        <v>0561014</v>
      </c>
      <c r="Y1280" t="s">
        <v>264</v>
      </c>
      <c r="Z1280" t="s">
        <v>223</v>
      </c>
      <c r="AA1280" t="s">
        <v>224</v>
      </c>
      <c r="AB1280" t="s">
        <v>131</v>
      </c>
      <c r="AC1280" t="s">
        <v>51</v>
      </c>
      <c r="AD1280" t="s">
        <v>45</v>
      </c>
      <c r="AE1280" s="1">
        <v>30587</v>
      </c>
      <c r="AF1280">
        <v>2</v>
      </c>
      <c r="AG1280" t="s">
        <v>224</v>
      </c>
      <c r="AH1280" s="36">
        <f t="shared" si="19"/>
        <v>35.75</v>
      </c>
      <c r="AI1280" s="40" t="s">
        <v>1778</v>
      </c>
    </row>
    <row r="1281" spans="1:35" x14ac:dyDescent="0.25">
      <c r="A1281" s="36">
        <v>99911279</v>
      </c>
      <c r="B1281" s="17" t="s">
        <v>32</v>
      </c>
      <c r="C1281" t="s">
        <v>204</v>
      </c>
      <c r="D1281" t="s">
        <v>205</v>
      </c>
      <c r="G1281" s="17" t="s">
        <v>35</v>
      </c>
      <c r="H1281" s="17">
        <v>1</v>
      </c>
      <c r="K1281" t="s">
        <v>223</v>
      </c>
      <c r="L1281" t="s">
        <v>224</v>
      </c>
      <c r="M1281" t="s">
        <v>131</v>
      </c>
      <c r="N1281">
        <v>8</v>
      </c>
      <c r="O1281" t="s">
        <v>40</v>
      </c>
      <c r="P1281" t="s">
        <v>40</v>
      </c>
      <c r="Q1281" t="s">
        <v>40</v>
      </c>
      <c r="S1281" t="s">
        <v>40</v>
      </c>
      <c r="V1281" t="s">
        <v>41</v>
      </c>
      <c r="W1281" t="s">
        <v>49</v>
      </c>
      <c r="X1281" t="str">
        <f>"0591901"</f>
        <v>0591901</v>
      </c>
      <c r="Y1281" t="s">
        <v>230</v>
      </c>
      <c r="Z1281" t="s">
        <v>223</v>
      </c>
      <c r="AA1281" t="s">
        <v>224</v>
      </c>
      <c r="AB1281" t="s">
        <v>131</v>
      </c>
      <c r="AC1281" t="s">
        <v>51</v>
      </c>
      <c r="AD1281" t="s">
        <v>45</v>
      </c>
      <c r="AE1281" s="1">
        <v>30585</v>
      </c>
      <c r="AF1281">
        <v>2</v>
      </c>
      <c r="AG1281" t="s">
        <v>224</v>
      </c>
      <c r="AH1281" s="36">
        <f t="shared" si="19"/>
        <v>35.755555555555553</v>
      </c>
      <c r="AI1281" s="40" t="s">
        <v>1778</v>
      </c>
    </row>
    <row r="1282" spans="1:35" x14ac:dyDescent="0.25">
      <c r="A1282" s="36">
        <v>99911280</v>
      </c>
      <c r="B1282" s="17" t="s">
        <v>32</v>
      </c>
      <c r="C1282" t="s">
        <v>61</v>
      </c>
      <c r="D1282" t="s">
        <v>62</v>
      </c>
      <c r="G1282" s="17" t="s">
        <v>35</v>
      </c>
      <c r="H1282" s="17">
        <v>1</v>
      </c>
      <c r="I1282" t="s">
        <v>286</v>
      </c>
      <c r="J1282" s="1">
        <v>43344</v>
      </c>
      <c r="K1282" t="s">
        <v>268</v>
      </c>
      <c r="L1282" t="s">
        <v>269</v>
      </c>
      <c r="M1282" t="s">
        <v>131</v>
      </c>
      <c r="N1282">
        <v>24</v>
      </c>
      <c r="O1282" t="s">
        <v>40</v>
      </c>
      <c r="P1282" t="s">
        <v>40</v>
      </c>
      <c r="Q1282" t="s">
        <v>40</v>
      </c>
      <c r="R1282" t="s">
        <v>40</v>
      </c>
      <c r="S1282" t="s">
        <v>40</v>
      </c>
      <c r="U1282" s="1">
        <v>43344</v>
      </c>
      <c r="V1282" t="s">
        <v>41</v>
      </c>
      <c r="W1282" t="s">
        <v>75</v>
      </c>
      <c r="X1282" t="str">
        <f>"7052004"</f>
        <v>7052004</v>
      </c>
      <c r="Y1282" t="s">
        <v>584</v>
      </c>
      <c r="Z1282" t="s">
        <v>268</v>
      </c>
      <c r="AA1282" t="s">
        <v>269</v>
      </c>
      <c r="AB1282" t="s">
        <v>131</v>
      </c>
      <c r="AC1282" t="s">
        <v>55</v>
      </c>
      <c r="AD1282" t="s">
        <v>45</v>
      </c>
      <c r="AE1282" s="1">
        <v>30582</v>
      </c>
      <c r="AF1282">
        <v>1</v>
      </c>
      <c r="AG1282" t="s">
        <v>269</v>
      </c>
      <c r="AH1282" s="36">
        <f t="shared" ref="AH1282:AH1345" si="20">($AJ$1-AE1282)/360</f>
        <v>35.763888888888886</v>
      </c>
      <c r="AI1282" s="40" t="s">
        <v>1778</v>
      </c>
    </row>
    <row r="1283" spans="1:35" x14ac:dyDescent="0.25">
      <c r="A1283" s="36">
        <v>99911281</v>
      </c>
      <c r="B1283" s="17" t="s">
        <v>56</v>
      </c>
      <c r="C1283" t="s">
        <v>143</v>
      </c>
      <c r="D1283" t="s">
        <v>144</v>
      </c>
      <c r="G1283" s="17" t="s">
        <v>35</v>
      </c>
      <c r="H1283" s="17">
        <v>1</v>
      </c>
      <c r="I1283">
        <v>14661</v>
      </c>
      <c r="J1283" s="1">
        <v>43356</v>
      </c>
      <c r="K1283" t="s">
        <v>1306</v>
      </c>
      <c r="L1283" t="s">
        <v>1307</v>
      </c>
      <c r="M1283" t="s">
        <v>1270</v>
      </c>
      <c r="N1283">
        <v>6</v>
      </c>
      <c r="O1283" t="s">
        <v>40</v>
      </c>
      <c r="S1283" t="s">
        <v>40</v>
      </c>
      <c r="U1283" s="1">
        <v>43356</v>
      </c>
      <c r="V1283" t="s">
        <v>41</v>
      </c>
      <c r="W1283" t="s">
        <v>49</v>
      </c>
      <c r="X1283" t="str">
        <f>"1991913"</f>
        <v>1991913</v>
      </c>
      <c r="Y1283" t="s">
        <v>1310</v>
      </c>
      <c r="Z1283" t="s">
        <v>1306</v>
      </c>
      <c r="AA1283" t="s">
        <v>1307</v>
      </c>
      <c r="AB1283" t="s">
        <v>1270</v>
      </c>
      <c r="AC1283" t="s">
        <v>44</v>
      </c>
      <c r="AD1283" t="s">
        <v>45</v>
      </c>
      <c r="AE1283" s="1">
        <v>30582</v>
      </c>
      <c r="AF1283">
        <v>2</v>
      </c>
      <c r="AG1283" t="s">
        <v>1307</v>
      </c>
      <c r="AH1283" s="36">
        <f t="shared" si="20"/>
        <v>35.763888888888886</v>
      </c>
      <c r="AI1283" s="40" t="s">
        <v>1778</v>
      </c>
    </row>
    <row r="1284" spans="1:35" x14ac:dyDescent="0.25">
      <c r="A1284" s="36">
        <v>99911282</v>
      </c>
      <c r="B1284" s="17" t="s">
        <v>56</v>
      </c>
      <c r="C1284" t="s">
        <v>52</v>
      </c>
      <c r="D1284" t="s">
        <v>53</v>
      </c>
      <c r="G1284" s="17" t="s">
        <v>48</v>
      </c>
      <c r="H1284" s="17">
        <v>1</v>
      </c>
      <c r="K1284" t="s">
        <v>223</v>
      </c>
      <c r="L1284" t="s">
        <v>224</v>
      </c>
      <c r="M1284" t="s">
        <v>131</v>
      </c>
      <c r="N1284">
        <v>22</v>
      </c>
      <c r="O1284" t="s">
        <v>40</v>
      </c>
      <c r="P1284" t="s">
        <v>40</v>
      </c>
      <c r="Q1284" t="s">
        <v>40</v>
      </c>
      <c r="R1284" t="s">
        <v>40</v>
      </c>
      <c r="S1284" t="s">
        <v>40</v>
      </c>
      <c r="V1284" t="s">
        <v>41</v>
      </c>
      <c r="W1284" t="s">
        <v>49</v>
      </c>
      <c r="X1284" t="str">
        <f>"0581207"</f>
        <v>0581207</v>
      </c>
      <c r="Y1284" t="s">
        <v>233</v>
      </c>
      <c r="Z1284" t="s">
        <v>223</v>
      </c>
      <c r="AA1284" t="s">
        <v>224</v>
      </c>
      <c r="AB1284" t="s">
        <v>131</v>
      </c>
      <c r="AC1284" t="s">
        <v>51</v>
      </c>
      <c r="AD1284" t="s">
        <v>45</v>
      </c>
      <c r="AE1284" s="1">
        <v>30580</v>
      </c>
      <c r="AF1284">
        <v>2</v>
      </c>
      <c r="AG1284" t="s">
        <v>224</v>
      </c>
      <c r="AH1284" s="36">
        <f t="shared" si="20"/>
        <v>35.769444444444446</v>
      </c>
      <c r="AI1284" s="40" t="s">
        <v>1778</v>
      </c>
    </row>
    <row r="1285" spans="1:35" x14ac:dyDescent="0.25">
      <c r="A1285" s="36">
        <v>99911283</v>
      </c>
      <c r="B1285" s="17" t="s">
        <v>32</v>
      </c>
      <c r="C1285" t="s">
        <v>64</v>
      </c>
      <c r="D1285" t="s">
        <v>65</v>
      </c>
      <c r="G1285" s="17" t="s">
        <v>48</v>
      </c>
      <c r="H1285" s="17">
        <v>1</v>
      </c>
      <c r="K1285" t="s">
        <v>1187</v>
      </c>
      <c r="L1285" t="s">
        <v>1188</v>
      </c>
      <c r="M1285" t="s">
        <v>1130</v>
      </c>
      <c r="N1285">
        <v>12</v>
      </c>
      <c r="O1285" t="s">
        <v>40</v>
      </c>
      <c r="P1285" t="s">
        <v>40</v>
      </c>
      <c r="Q1285" t="s">
        <v>40</v>
      </c>
      <c r="R1285" t="s">
        <v>40</v>
      </c>
      <c r="S1285" t="s">
        <v>40</v>
      </c>
      <c r="V1285" t="s">
        <v>41</v>
      </c>
      <c r="W1285" t="s">
        <v>49</v>
      </c>
      <c r="X1285" t="str">
        <f>"4581015"</f>
        <v>4581015</v>
      </c>
      <c r="Y1285" t="s">
        <v>1190</v>
      </c>
      <c r="Z1285" t="s">
        <v>1187</v>
      </c>
      <c r="AA1285" t="s">
        <v>1188</v>
      </c>
      <c r="AB1285" t="s">
        <v>1130</v>
      </c>
      <c r="AC1285" t="s">
        <v>51</v>
      </c>
      <c r="AD1285" t="s">
        <v>45</v>
      </c>
      <c r="AE1285" s="1">
        <v>30578</v>
      </c>
      <c r="AF1285">
        <v>2</v>
      </c>
      <c r="AG1285" t="s">
        <v>1188</v>
      </c>
      <c r="AH1285" s="36">
        <f t="shared" si="20"/>
        <v>35.774999999999999</v>
      </c>
      <c r="AI1285" s="40" t="s">
        <v>1778</v>
      </c>
    </row>
    <row r="1286" spans="1:35" x14ac:dyDescent="0.25">
      <c r="A1286" s="36">
        <v>99911284</v>
      </c>
      <c r="B1286" s="17" t="s">
        <v>32</v>
      </c>
      <c r="C1286" t="s">
        <v>90</v>
      </c>
      <c r="D1286" t="s">
        <v>91</v>
      </c>
      <c r="G1286" s="17" t="s">
        <v>48</v>
      </c>
      <c r="H1286" s="17">
        <v>1</v>
      </c>
      <c r="K1286" t="s">
        <v>1341</v>
      </c>
      <c r="L1286" t="s">
        <v>1342</v>
      </c>
      <c r="M1286" t="s">
        <v>1270</v>
      </c>
      <c r="N1286">
        <v>25</v>
      </c>
      <c r="O1286" t="s">
        <v>40</v>
      </c>
      <c r="P1286" t="s">
        <v>40</v>
      </c>
      <c r="Q1286" t="s">
        <v>40</v>
      </c>
      <c r="S1286" t="s">
        <v>40</v>
      </c>
      <c r="V1286" t="s">
        <v>41</v>
      </c>
      <c r="W1286" t="s">
        <v>95</v>
      </c>
      <c r="X1286" t="str">
        <f>"7191013"</f>
        <v>7191013</v>
      </c>
      <c r="Y1286" t="s">
        <v>1358</v>
      </c>
      <c r="Z1286" t="s">
        <v>1341</v>
      </c>
      <c r="AA1286" t="s">
        <v>1342</v>
      </c>
      <c r="AB1286" t="s">
        <v>1270</v>
      </c>
      <c r="AC1286" t="s">
        <v>51</v>
      </c>
      <c r="AD1286" t="s">
        <v>45</v>
      </c>
      <c r="AE1286" s="1">
        <v>30566</v>
      </c>
      <c r="AF1286">
        <v>1</v>
      </c>
      <c r="AG1286" t="s">
        <v>1342</v>
      </c>
      <c r="AH1286" s="36">
        <f t="shared" si="20"/>
        <v>35.80833333333333</v>
      </c>
      <c r="AI1286" s="40" t="s">
        <v>1778</v>
      </c>
    </row>
    <row r="1287" spans="1:35" x14ac:dyDescent="0.25">
      <c r="A1287" s="36">
        <v>99911285</v>
      </c>
      <c r="B1287" s="17" t="s">
        <v>32</v>
      </c>
      <c r="C1287" t="s">
        <v>90</v>
      </c>
      <c r="D1287" t="s">
        <v>91</v>
      </c>
      <c r="G1287" s="17" t="s">
        <v>35</v>
      </c>
      <c r="H1287" s="17">
        <v>1</v>
      </c>
      <c r="I1287">
        <v>1581</v>
      </c>
      <c r="J1287" s="1">
        <v>43344</v>
      </c>
      <c r="K1287" t="s">
        <v>407</v>
      </c>
      <c r="L1287" t="s">
        <v>409</v>
      </c>
      <c r="M1287" t="s">
        <v>131</v>
      </c>
      <c r="N1287">
        <v>25</v>
      </c>
      <c r="O1287" t="s">
        <v>40</v>
      </c>
      <c r="Q1287" t="s">
        <v>40</v>
      </c>
      <c r="S1287" t="s">
        <v>40</v>
      </c>
      <c r="U1287" s="1">
        <v>43344</v>
      </c>
      <c r="V1287" t="s">
        <v>41</v>
      </c>
      <c r="W1287" t="s">
        <v>95</v>
      </c>
      <c r="X1287" t="str">
        <f>"7053039"</f>
        <v>7053039</v>
      </c>
      <c r="Y1287" t="s">
        <v>760</v>
      </c>
      <c r="Z1287" t="s">
        <v>407</v>
      </c>
      <c r="AA1287" t="s">
        <v>409</v>
      </c>
      <c r="AB1287" t="s">
        <v>131</v>
      </c>
      <c r="AC1287" t="s">
        <v>51</v>
      </c>
      <c r="AD1287" t="s">
        <v>45</v>
      </c>
      <c r="AE1287" s="1">
        <v>30565</v>
      </c>
      <c r="AF1287">
        <v>1</v>
      </c>
      <c r="AG1287" t="s">
        <v>409</v>
      </c>
      <c r="AH1287" s="36">
        <f t="shared" si="20"/>
        <v>35.81111111111111</v>
      </c>
      <c r="AI1287" s="40" t="s">
        <v>1778</v>
      </c>
    </row>
    <row r="1288" spans="1:35" x14ac:dyDescent="0.25">
      <c r="A1288" s="36">
        <v>99911286</v>
      </c>
      <c r="B1288" s="17" t="s">
        <v>56</v>
      </c>
      <c r="C1288" t="s">
        <v>52</v>
      </c>
      <c r="D1288" t="s">
        <v>53</v>
      </c>
      <c r="G1288" s="17" t="s">
        <v>35</v>
      </c>
      <c r="H1288" s="17">
        <v>1</v>
      </c>
      <c r="I1288" t="s">
        <v>1602</v>
      </c>
      <c r="J1288" s="1">
        <v>43344</v>
      </c>
      <c r="K1288" t="s">
        <v>1590</v>
      </c>
      <c r="L1288" t="s">
        <v>1591</v>
      </c>
      <c r="M1288" t="s">
        <v>1592</v>
      </c>
      <c r="N1288">
        <v>17</v>
      </c>
      <c r="O1288" t="s">
        <v>40</v>
      </c>
      <c r="S1288" t="s">
        <v>40</v>
      </c>
      <c r="U1288" s="1">
        <v>43344</v>
      </c>
      <c r="V1288" t="s">
        <v>41</v>
      </c>
      <c r="W1288" t="s">
        <v>42</v>
      </c>
      <c r="X1288" t="str">
        <f>"0280020"</f>
        <v>0280020</v>
      </c>
      <c r="Y1288" t="s">
        <v>1597</v>
      </c>
      <c r="Z1288" t="s">
        <v>1590</v>
      </c>
      <c r="AA1288" t="s">
        <v>1591</v>
      </c>
      <c r="AB1288" t="s">
        <v>1592</v>
      </c>
      <c r="AC1288" t="s">
        <v>44</v>
      </c>
      <c r="AD1288" t="s">
        <v>45</v>
      </c>
      <c r="AE1288" s="1">
        <v>30565</v>
      </c>
      <c r="AF1288">
        <v>2</v>
      </c>
      <c r="AG1288" t="s">
        <v>1591</v>
      </c>
      <c r="AH1288" s="36">
        <f t="shared" si="20"/>
        <v>35.81111111111111</v>
      </c>
      <c r="AI1288" s="40" t="s">
        <v>1778</v>
      </c>
    </row>
    <row r="1289" spans="1:35" x14ac:dyDescent="0.25">
      <c r="A1289" s="36">
        <v>99911287</v>
      </c>
      <c r="B1289" s="17" t="s">
        <v>32</v>
      </c>
      <c r="C1289" t="s">
        <v>61</v>
      </c>
      <c r="D1289" t="s">
        <v>62</v>
      </c>
      <c r="G1289" s="17" t="s">
        <v>48</v>
      </c>
      <c r="H1289" s="17">
        <v>1</v>
      </c>
      <c r="K1289" t="s">
        <v>345</v>
      </c>
      <c r="L1289" t="s">
        <v>346</v>
      </c>
      <c r="M1289" t="s">
        <v>131</v>
      </c>
      <c r="N1289">
        <v>21</v>
      </c>
      <c r="O1289" t="s">
        <v>40</v>
      </c>
      <c r="P1289" t="s">
        <v>40</v>
      </c>
      <c r="Q1289" t="s">
        <v>40</v>
      </c>
      <c r="R1289" t="s">
        <v>40</v>
      </c>
      <c r="S1289" t="s">
        <v>40</v>
      </c>
      <c r="V1289" t="s">
        <v>41</v>
      </c>
      <c r="W1289" t="s">
        <v>49</v>
      </c>
      <c r="X1289" t="str">
        <f>"0591906"</f>
        <v>0591906</v>
      </c>
      <c r="Y1289" t="s">
        <v>350</v>
      </c>
      <c r="Z1289" t="s">
        <v>345</v>
      </c>
      <c r="AA1289" t="s">
        <v>346</v>
      </c>
      <c r="AB1289" t="s">
        <v>131</v>
      </c>
      <c r="AC1289" t="s">
        <v>51</v>
      </c>
      <c r="AD1289" t="s">
        <v>45</v>
      </c>
      <c r="AE1289" s="1">
        <v>30560</v>
      </c>
      <c r="AF1289">
        <v>2</v>
      </c>
      <c r="AG1289" t="s">
        <v>346</v>
      </c>
      <c r="AH1289" s="36">
        <f t="shared" si="20"/>
        <v>35.825000000000003</v>
      </c>
      <c r="AI1289" s="40" t="s">
        <v>1778</v>
      </c>
    </row>
    <row r="1290" spans="1:35" x14ac:dyDescent="0.25">
      <c r="A1290" s="36">
        <v>99911288</v>
      </c>
      <c r="B1290" s="17" t="s">
        <v>32</v>
      </c>
      <c r="C1290" t="s">
        <v>143</v>
      </c>
      <c r="D1290" t="s">
        <v>144</v>
      </c>
      <c r="G1290" s="17" t="s">
        <v>35</v>
      </c>
      <c r="H1290" s="17">
        <v>1</v>
      </c>
      <c r="K1290" t="s">
        <v>154</v>
      </c>
      <c r="L1290" t="s">
        <v>155</v>
      </c>
      <c r="M1290" t="s">
        <v>131</v>
      </c>
      <c r="N1290">
        <v>24</v>
      </c>
      <c r="O1290" t="s">
        <v>40</v>
      </c>
      <c r="P1290" t="s">
        <v>40</v>
      </c>
      <c r="Q1290" t="s">
        <v>40</v>
      </c>
      <c r="S1290" t="s">
        <v>40</v>
      </c>
      <c r="V1290" t="s">
        <v>41</v>
      </c>
      <c r="W1290" t="s">
        <v>75</v>
      </c>
      <c r="X1290" t="str">
        <f>"7700026"</f>
        <v>7700026</v>
      </c>
      <c r="Y1290" t="s">
        <v>397</v>
      </c>
      <c r="Z1290" t="s">
        <v>154</v>
      </c>
      <c r="AA1290" t="s">
        <v>155</v>
      </c>
      <c r="AB1290" t="s">
        <v>131</v>
      </c>
      <c r="AC1290" t="s">
        <v>51</v>
      </c>
      <c r="AD1290" t="s">
        <v>45</v>
      </c>
      <c r="AE1290" s="1">
        <v>30554</v>
      </c>
      <c r="AF1290">
        <v>1</v>
      </c>
      <c r="AG1290" t="s">
        <v>155</v>
      </c>
      <c r="AH1290" s="36">
        <f t="shared" si="20"/>
        <v>35.841666666666669</v>
      </c>
      <c r="AI1290" s="40" t="s">
        <v>1778</v>
      </c>
    </row>
    <row r="1291" spans="1:35" x14ac:dyDescent="0.25">
      <c r="A1291" s="36">
        <v>99911289</v>
      </c>
      <c r="B1291" s="17" t="s">
        <v>56</v>
      </c>
      <c r="C1291" t="s">
        <v>61</v>
      </c>
      <c r="D1291" t="s">
        <v>62</v>
      </c>
      <c r="G1291" s="17" t="s">
        <v>35</v>
      </c>
      <c r="H1291" s="17">
        <v>1</v>
      </c>
      <c r="I1291">
        <v>0</v>
      </c>
      <c r="J1291" s="1">
        <v>43344</v>
      </c>
      <c r="K1291" t="s">
        <v>223</v>
      </c>
      <c r="L1291" t="s">
        <v>224</v>
      </c>
      <c r="M1291" t="s">
        <v>131</v>
      </c>
      <c r="N1291">
        <v>23</v>
      </c>
      <c r="O1291" t="s">
        <v>40</v>
      </c>
      <c r="S1291" t="s">
        <v>40</v>
      </c>
      <c r="U1291" s="1">
        <v>43344</v>
      </c>
      <c r="V1291" t="s">
        <v>41</v>
      </c>
      <c r="W1291" t="s">
        <v>42</v>
      </c>
      <c r="X1291" t="str">
        <f>"0580206"</f>
        <v>0580206</v>
      </c>
      <c r="Y1291" t="s">
        <v>237</v>
      </c>
      <c r="Z1291" t="s">
        <v>223</v>
      </c>
      <c r="AA1291" t="s">
        <v>224</v>
      </c>
      <c r="AB1291" t="s">
        <v>131</v>
      </c>
      <c r="AC1291" t="s">
        <v>44</v>
      </c>
      <c r="AD1291" t="s">
        <v>45</v>
      </c>
      <c r="AE1291" s="1">
        <v>30552</v>
      </c>
      <c r="AF1291">
        <v>2</v>
      </c>
      <c r="AG1291" t="s">
        <v>224</v>
      </c>
      <c r="AH1291" s="36">
        <f t="shared" si="20"/>
        <v>35.847222222222221</v>
      </c>
      <c r="AI1291" s="40" t="s">
        <v>1778</v>
      </c>
    </row>
    <row r="1292" spans="1:35" x14ac:dyDescent="0.25">
      <c r="A1292" s="36">
        <v>99911290</v>
      </c>
      <c r="B1292" s="17" t="s">
        <v>32</v>
      </c>
      <c r="C1292" t="s">
        <v>46</v>
      </c>
      <c r="D1292" t="s">
        <v>47</v>
      </c>
      <c r="G1292" s="17" t="s">
        <v>48</v>
      </c>
      <c r="H1292" s="17">
        <v>6</v>
      </c>
      <c r="I1292" t="s">
        <v>475</v>
      </c>
      <c r="J1292" s="1">
        <v>42248</v>
      </c>
      <c r="K1292" t="s">
        <v>431</v>
      </c>
      <c r="L1292" t="s">
        <v>196</v>
      </c>
      <c r="M1292" t="s">
        <v>131</v>
      </c>
      <c r="N1292">
        <v>23</v>
      </c>
      <c r="O1292" t="s">
        <v>40</v>
      </c>
      <c r="P1292" t="s">
        <v>40</v>
      </c>
      <c r="Q1292" t="s">
        <v>40</v>
      </c>
      <c r="R1292" t="s">
        <v>40</v>
      </c>
      <c r="S1292" t="s">
        <v>40</v>
      </c>
      <c r="U1292" s="1">
        <v>42248</v>
      </c>
      <c r="V1292" t="s">
        <v>41</v>
      </c>
      <c r="W1292" t="s">
        <v>75</v>
      </c>
      <c r="X1292" t="str">
        <f>"7521022"</f>
        <v>7521022</v>
      </c>
      <c r="Y1292" t="s">
        <v>445</v>
      </c>
      <c r="Z1292" t="s">
        <v>431</v>
      </c>
      <c r="AA1292" t="s">
        <v>196</v>
      </c>
      <c r="AB1292" t="s">
        <v>131</v>
      </c>
      <c r="AC1292" t="s">
        <v>51</v>
      </c>
      <c r="AD1292" t="s">
        <v>45</v>
      </c>
      <c r="AE1292" s="1">
        <v>30550</v>
      </c>
      <c r="AF1292">
        <v>1</v>
      </c>
      <c r="AG1292" t="s">
        <v>196</v>
      </c>
      <c r="AH1292" s="36">
        <f t="shared" si="20"/>
        <v>35.852777777777774</v>
      </c>
      <c r="AI1292" s="40" t="s">
        <v>1778</v>
      </c>
    </row>
    <row r="1293" spans="1:35" x14ac:dyDescent="0.25">
      <c r="A1293" s="36">
        <v>99911291</v>
      </c>
      <c r="B1293" s="17" t="s">
        <v>32</v>
      </c>
      <c r="C1293" t="s">
        <v>111</v>
      </c>
      <c r="D1293" t="s">
        <v>112</v>
      </c>
      <c r="G1293" s="17" t="s">
        <v>48</v>
      </c>
      <c r="H1293" s="17">
        <v>1</v>
      </c>
      <c r="K1293" t="s">
        <v>667</v>
      </c>
      <c r="L1293" t="s">
        <v>669</v>
      </c>
      <c r="M1293" t="s">
        <v>670</v>
      </c>
      <c r="N1293">
        <v>23</v>
      </c>
      <c r="O1293" t="s">
        <v>40</v>
      </c>
      <c r="P1293" t="s">
        <v>40</v>
      </c>
      <c r="Q1293" t="s">
        <v>40</v>
      </c>
      <c r="R1293" t="s">
        <v>40</v>
      </c>
      <c r="S1293" t="s">
        <v>40</v>
      </c>
      <c r="V1293" t="s">
        <v>41</v>
      </c>
      <c r="W1293" t="s">
        <v>75</v>
      </c>
      <c r="X1293" t="str">
        <f>"7501000"</f>
        <v>7501000</v>
      </c>
      <c r="Y1293" t="s">
        <v>668</v>
      </c>
      <c r="Z1293" t="s">
        <v>667</v>
      </c>
      <c r="AA1293" t="s">
        <v>669</v>
      </c>
      <c r="AB1293" t="s">
        <v>670</v>
      </c>
      <c r="AC1293" t="s">
        <v>51</v>
      </c>
      <c r="AD1293" t="s">
        <v>45</v>
      </c>
      <c r="AE1293" s="1">
        <v>30547</v>
      </c>
      <c r="AF1293">
        <v>1</v>
      </c>
      <c r="AG1293" t="s">
        <v>669</v>
      </c>
      <c r="AH1293" s="36">
        <f t="shared" si="20"/>
        <v>35.861111111111114</v>
      </c>
      <c r="AI1293" s="40" t="s">
        <v>1778</v>
      </c>
    </row>
    <row r="1294" spans="1:35" x14ac:dyDescent="0.25">
      <c r="A1294" s="36">
        <v>99911292</v>
      </c>
      <c r="B1294" s="17" t="s">
        <v>32</v>
      </c>
      <c r="C1294" t="s">
        <v>61</v>
      </c>
      <c r="D1294" t="s">
        <v>62</v>
      </c>
      <c r="G1294" s="17" t="s">
        <v>35</v>
      </c>
      <c r="H1294" s="17">
        <v>5</v>
      </c>
      <c r="K1294" t="s">
        <v>268</v>
      </c>
      <c r="L1294" t="s">
        <v>269</v>
      </c>
      <c r="M1294" t="s">
        <v>131</v>
      </c>
      <c r="N1294">
        <v>23</v>
      </c>
      <c r="O1294" t="s">
        <v>40</v>
      </c>
      <c r="P1294" t="s">
        <v>40</v>
      </c>
      <c r="Q1294" t="s">
        <v>40</v>
      </c>
      <c r="R1294" t="s">
        <v>40</v>
      </c>
      <c r="S1294" t="s">
        <v>40</v>
      </c>
      <c r="V1294" t="s">
        <v>41</v>
      </c>
      <c r="W1294" t="s">
        <v>75</v>
      </c>
      <c r="X1294" t="str">
        <f>"7052002"</f>
        <v>7052002</v>
      </c>
      <c r="Y1294" t="s">
        <v>590</v>
      </c>
      <c r="Z1294" t="s">
        <v>268</v>
      </c>
      <c r="AA1294" t="s">
        <v>269</v>
      </c>
      <c r="AB1294" t="s">
        <v>131</v>
      </c>
      <c r="AC1294" t="s">
        <v>51</v>
      </c>
      <c r="AD1294" t="s">
        <v>45</v>
      </c>
      <c r="AE1294" s="1">
        <v>30546</v>
      </c>
      <c r="AF1294">
        <v>1</v>
      </c>
      <c r="AG1294" t="s">
        <v>269</v>
      </c>
      <c r="AH1294" s="36">
        <f t="shared" si="20"/>
        <v>35.863888888888887</v>
      </c>
      <c r="AI1294" s="40" t="s">
        <v>1778</v>
      </c>
    </row>
    <row r="1295" spans="1:35" x14ac:dyDescent="0.25">
      <c r="A1295" s="36">
        <v>99911293</v>
      </c>
      <c r="B1295" s="17" t="s">
        <v>32</v>
      </c>
      <c r="C1295" t="s">
        <v>90</v>
      </c>
      <c r="D1295" t="s">
        <v>91</v>
      </c>
      <c r="G1295" s="17" t="s">
        <v>88</v>
      </c>
      <c r="H1295" s="17">
        <v>2</v>
      </c>
      <c r="J1295" s="1">
        <v>40562</v>
      </c>
      <c r="K1295" t="s">
        <v>354</v>
      </c>
      <c r="L1295" t="s">
        <v>355</v>
      </c>
      <c r="M1295" t="s">
        <v>131</v>
      </c>
      <c r="N1295">
        <v>25</v>
      </c>
      <c r="O1295" t="s">
        <v>40</v>
      </c>
      <c r="P1295" t="s">
        <v>40</v>
      </c>
      <c r="Q1295" t="s">
        <v>40</v>
      </c>
      <c r="R1295" t="s">
        <v>40</v>
      </c>
      <c r="S1295" t="s">
        <v>40</v>
      </c>
      <c r="U1295" s="1">
        <v>40562</v>
      </c>
      <c r="V1295" t="s">
        <v>41</v>
      </c>
      <c r="W1295" t="s">
        <v>95</v>
      </c>
      <c r="X1295" t="str">
        <f>"7054153"</f>
        <v>7054153</v>
      </c>
      <c r="Y1295" t="s">
        <v>790</v>
      </c>
      <c r="Z1295" t="s">
        <v>354</v>
      </c>
      <c r="AA1295" t="s">
        <v>355</v>
      </c>
      <c r="AB1295" t="s">
        <v>131</v>
      </c>
      <c r="AC1295" t="s">
        <v>51</v>
      </c>
      <c r="AD1295" t="s">
        <v>45</v>
      </c>
      <c r="AE1295" s="1">
        <v>30546</v>
      </c>
      <c r="AF1295">
        <v>1</v>
      </c>
      <c r="AG1295" t="s">
        <v>355</v>
      </c>
      <c r="AH1295" s="36">
        <f t="shared" si="20"/>
        <v>35.863888888888887</v>
      </c>
      <c r="AI1295" s="40" t="s">
        <v>1778</v>
      </c>
    </row>
    <row r="1296" spans="1:35" x14ac:dyDescent="0.25">
      <c r="A1296" s="36">
        <v>99911294</v>
      </c>
      <c r="B1296" s="17" t="s">
        <v>32</v>
      </c>
      <c r="C1296" t="s">
        <v>90</v>
      </c>
      <c r="D1296" t="s">
        <v>91</v>
      </c>
      <c r="G1296" s="17" t="s">
        <v>48</v>
      </c>
      <c r="H1296" s="17">
        <v>4</v>
      </c>
      <c r="K1296" t="s">
        <v>1619</v>
      </c>
      <c r="L1296" t="s">
        <v>1620</v>
      </c>
      <c r="M1296" t="s">
        <v>1592</v>
      </c>
      <c r="N1296">
        <v>25</v>
      </c>
      <c r="O1296" t="s">
        <v>40</v>
      </c>
      <c r="P1296" t="s">
        <v>40</v>
      </c>
      <c r="Q1296" t="s">
        <v>40</v>
      </c>
      <c r="R1296" t="s">
        <v>40</v>
      </c>
      <c r="S1296" t="s">
        <v>40</v>
      </c>
      <c r="V1296" t="s">
        <v>41</v>
      </c>
      <c r="W1296" t="s">
        <v>95</v>
      </c>
      <c r="X1296" t="str">
        <f>"7281003"</f>
        <v>7281003</v>
      </c>
      <c r="Y1296" t="s">
        <v>1657</v>
      </c>
      <c r="Z1296" t="s">
        <v>1619</v>
      </c>
      <c r="AA1296" t="s">
        <v>1620</v>
      </c>
      <c r="AB1296" t="s">
        <v>1592</v>
      </c>
      <c r="AC1296" t="s">
        <v>51</v>
      </c>
      <c r="AD1296" t="s">
        <v>45</v>
      </c>
      <c r="AE1296" s="1">
        <v>30546</v>
      </c>
      <c r="AF1296">
        <v>1</v>
      </c>
      <c r="AG1296" t="s">
        <v>1620</v>
      </c>
      <c r="AH1296" s="36">
        <f t="shared" si="20"/>
        <v>35.863888888888887</v>
      </c>
      <c r="AI1296" s="40" t="s">
        <v>1778</v>
      </c>
    </row>
    <row r="1297" spans="1:35" x14ac:dyDescent="0.25">
      <c r="A1297" s="36">
        <v>99911295</v>
      </c>
      <c r="B1297" s="17" t="s">
        <v>32</v>
      </c>
      <c r="C1297" t="s">
        <v>111</v>
      </c>
      <c r="D1297" t="s">
        <v>112</v>
      </c>
      <c r="G1297" s="17" t="s">
        <v>35</v>
      </c>
      <c r="H1297" s="17">
        <v>1</v>
      </c>
      <c r="K1297" t="s">
        <v>354</v>
      </c>
      <c r="L1297" t="s">
        <v>355</v>
      </c>
      <c r="M1297" t="s">
        <v>131</v>
      </c>
      <c r="N1297">
        <v>22</v>
      </c>
      <c r="O1297" t="s">
        <v>40</v>
      </c>
      <c r="P1297" t="s">
        <v>40</v>
      </c>
      <c r="Q1297" t="s">
        <v>40</v>
      </c>
      <c r="R1297" t="s">
        <v>40</v>
      </c>
      <c r="S1297" t="s">
        <v>40</v>
      </c>
      <c r="V1297" t="s">
        <v>41</v>
      </c>
      <c r="W1297" t="s">
        <v>75</v>
      </c>
      <c r="X1297" t="str">
        <f>"7054028"</f>
        <v>7054028</v>
      </c>
      <c r="Y1297" t="s">
        <v>788</v>
      </c>
      <c r="Z1297" t="s">
        <v>354</v>
      </c>
      <c r="AA1297" t="s">
        <v>355</v>
      </c>
      <c r="AB1297" t="s">
        <v>131</v>
      </c>
      <c r="AC1297" t="s">
        <v>51</v>
      </c>
      <c r="AD1297" t="s">
        <v>45</v>
      </c>
      <c r="AE1297" s="1">
        <v>30540</v>
      </c>
      <c r="AF1297">
        <v>1</v>
      </c>
      <c r="AG1297" t="s">
        <v>355</v>
      </c>
      <c r="AH1297" s="36">
        <f t="shared" si="20"/>
        <v>35.880555555555553</v>
      </c>
      <c r="AI1297" s="40" t="s">
        <v>1778</v>
      </c>
    </row>
    <row r="1298" spans="1:35" x14ac:dyDescent="0.25">
      <c r="A1298" s="36">
        <v>99911296</v>
      </c>
      <c r="B1298" s="17" t="s">
        <v>32</v>
      </c>
      <c r="C1298" t="s">
        <v>52</v>
      </c>
      <c r="D1298" t="s">
        <v>53</v>
      </c>
      <c r="G1298" s="17" t="s">
        <v>48</v>
      </c>
      <c r="H1298" s="17">
        <v>1</v>
      </c>
      <c r="K1298" t="s">
        <v>157</v>
      </c>
      <c r="L1298" t="s">
        <v>158</v>
      </c>
      <c r="M1298" t="s">
        <v>131</v>
      </c>
      <c r="N1298">
        <v>1</v>
      </c>
      <c r="O1298" t="s">
        <v>40</v>
      </c>
      <c r="P1298" t="s">
        <v>40</v>
      </c>
      <c r="Q1298" t="s">
        <v>40</v>
      </c>
      <c r="S1298" t="s">
        <v>40</v>
      </c>
      <c r="V1298" t="s">
        <v>41</v>
      </c>
      <c r="W1298" t="s">
        <v>49</v>
      </c>
      <c r="X1298" t="str">
        <f>"0560010"</f>
        <v>0560010</v>
      </c>
      <c r="Y1298" t="s">
        <v>179</v>
      </c>
      <c r="Z1298" t="s">
        <v>157</v>
      </c>
      <c r="AA1298" t="s">
        <v>158</v>
      </c>
      <c r="AB1298" t="s">
        <v>131</v>
      </c>
      <c r="AC1298" t="s">
        <v>51</v>
      </c>
      <c r="AD1298" t="s">
        <v>45</v>
      </c>
      <c r="AE1298" s="1">
        <v>30539</v>
      </c>
      <c r="AF1298">
        <v>2</v>
      </c>
      <c r="AG1298" t="s">
        <v>158</v>
      </c>
      <c r="AH1298" s="36">
        <f t="shared" si="20"/>
        <v>35.883333333333333</v>
      </c>
      <c r="AI1298" s="40" t="s">
        <v>1778</v>
      </c>
    </row>
    <row r="1299" spans="1:35" x14ac:dyDescent="0.25">
      <c r="A1299" s="36">
        <v>99911297</v>
      </c>
      <c r="B1299" s="17" t="s">
        <v>32</v>
      </c>
      <c r="C1299" t="s">
        <v>46</v>
      </c>
      <c r="D1299" t="s">
        <v>47</v>
      </c>
      <c r="G1299" s="17" t="s">
        <v>48</v>
      </c>
      <c r="H1299" s="17">
        <v>1</v>
      </c>
      <c r="K1299" t="s">
        <v>380</v>
      </c>
      <c r="L1299" t="s">
        <v>381</v>
      </c>
      <c r="M1299" t="s">
        <v>131</v>
      </c>
      <c r="N1299">
        <v>11</v>
      </c>
      <c r="O1299" t="s">
        <v>40</v>
      </c>
      <c r="P1299" t="s">
        <v>40</v>
      </c>
      <c r="Q1299" t="s">
        <v>40</v>
      </c>
      <c r="R1299" t="s">
        <v>40</v>
      </c>
      <c r="S1299" t="s">
        <v>40</v>
      </c>
      <c r="V1299" t="s">
        <v>41</v>
      </c>
      <c r="W1299" t="s">
        <v>49</v>
      </c>
      <c r="X1299" t="str">
        <f>"0581575"</f>
        <v>0581575</v>
      </c>
      <c r="Y1299" t="s">
        <v>392</v>
      </c>
      <c r="Z1299" t="s">
        <v>380</v>
      </c>
      <c r="AA1299" t="s">
        <v>381</v>
      </c>
      <c r="AB1299" t="s">
        <v>131</v>
      </c>
      <c r="AC1299" t="s">
        <v>51</v>
      </c>
      <c r="AD1299" t="s">
        <v>45</v>
      </c>
      <c r="AE1299" s="1">
        <v>30539</v>
      </c>
      <c r="AF1299">
        <v>2</v>
      </c>
      <c r="AG1299" t="s">
        <v>381</v>
      </c>
      <c r="AH1299" s="36">
        <f t="shared" si="20"/>
        <v>35.883333333333333</v>
      </c>
      <c r="AI1299" s="40" t="s">
        <v>1778</v>
      </c>
    </row>
    <row r="1300" spans="1:35" x14ac:dyDescent="0.25">
      <c r="A1300" s="36">
        <v>99911298</v>
      </c>
      <c r="B1300" s="17" t="s">
        <v>32</v>
      </c>
      <c r="C1300" t="s">
        <v>111</v>
      </c>
      <c r="D1300" t="s">
        <v>112</v>
      </c>
      <c r="G1300" s="17" t="s">
        <v>35</v>
      </c>
      <c r="H1300" s="17">
        <v>1</v>
      </c>
      <c r="I1300" s="1">
        <v>43013</v>
      </c>
      <c r="J1300" s="1">
        <v>43344</v>
      </c>
      <c r="K1300" t="s">
        <v>1341</v>
      </c>
      <c r="L1300" t="s">
        <v>1342</v>
      </c>
      <c r="M1300" t="s">
        <v>1270</v>
      </c>
      <c r="N1300">
        <v>24</v>
      </c>
      <c r="O1300" t="s">
        <v>40</v>
      </c>
      <c r="S1300" t="s">
        <v>40</v>
      </c>
      <c r="U1300" s="1">
        <v>43344</v>
      </c>
      <c r="V1300" t="s">
        <v>41</v>
      </c>
      <c r="W1300" t="s">
        <v>75</v>
      </c>
      <c r="X1300" t="str">
        <f>"7191034"</f>
        <v>7191034</v>
      </c>
      <c r="Y1300" t="s">
        <v>1343</v>
      </c>
      <c r="Z1300" t="s">
        <v>1341</v>
      </c>
      <c r="AA1300" t="s">
        <v>1342</v>
      </c>
      <c r="AB1300" t="s">
        <v>1270</v>
      </c>
      <c r="AC1300" t="s">
        <v>44</v>
      </c>
      <c r="AD1300" t="s">
        <v>45</v>
      </c>
      <c r="AE1300" s="1">
        <v>30536</v>
      </c>
      <c r="AF1300">
        <v>1</v>
      </c>
      <c r="AG1300" t="s">
        <v>1342</v>
      </c>
      <c r="AH1300" s="36">
        <f t="shared" si="20"/>
        <v>35.891666666666666</v>
      </c>
      <c r="AI1300" s="40" t="s">
        <v>1778</v>
      </c>
    </row>
    <row r="1301" spans="1:35" x14ac:dyDescent="0.25">
      <c r="A1301" s="36">
        <v>99911299</v>
      </c>
      <c r="B1301" s="17" t="s">
        <v>32</v>
      </c>
      <c r="C1301" t="s">
        <v>149</v>
      </c>
      <c r="D1301" t="s">
        <v>150</v>
      </c>
      <c r="G1301" s="17" t="s">
        <v>35</v>
      </c>
      <c r="H1301" s="17">
        <v>1</v>
      </c>
      <c r="I1301">
        <v>8138</v>
      </c>
      <c r="J1301" s="1">
        <v>43344</v>
      </c>
      <c r="K1301" t="s">
        <v>1051</v>
      </c>
      <c r="L1301" t="s">
        <v>1052</v>
      </c>
      <c r="M1301" t="s">
        <v>1053</v>
      </c>
      <c r="N1301">
        <v>6</v>
      </c>
      <c r="O1301" t="s">
        <v>40</v>
      </c>
      <c r="P1301" t="s">
        <v>40</v>
      </c>
      <c r="Q1301" t="s">
        <v>40</v>
      </c>
      <c r="S1301" t="s">
        <v>40</v>
      </c>
      <c r="U1301" s="1">
        <v>43344</v>
      </c>
      <c r="V1301" t="s">
        <v>41</v>
      </c>
      <c r="W1301" t="s">
        <v>49</v>
      </c>
      <c r="X1301" t="str">
        <f>"2060004"</f>
        <v>2060004</v>
      </c>
      <c r="Y1301" t="s">
        <v>1059</v>
      </c>
      <c r="Z1301" t="s">
        <v>1051</v>
      </c>
      <c r="AA1301" t="s">
        <v>1052</v>
      </c>
      <c r="AB1301" t="s">
        <v>1053</v>
      </c>
      <c r="AC1301" t="s">
        <v>51</v>
      </c>
      <c r="AD1301" t="s">
        <v>45</v>
      </c>
      <c r="AE1301" s="1">
        <v>30534</v>
      </c>
      <c r="AF1301">
        <v>2</v>
      </c>
      <c r="AG1301" t="s">
        <v>1052</v>
      </c>
      <c r="AH1301" s="36">
        <f t="shared" si="20"/>
        <v>35.897222222222226</v>
      </c>
      <c r="AI1301" s="40" t="s">
        <v>1778</v>
      </c>
    </row>
    <row r="1302" spans="1:35" x14ac:dyDescent="0.25">
      <c r="A1302" s="36">
        <v>99911300</v>
      </c>
      <c r="B1302" s="17" t="s">
        <v>32</v>
      </c>
      <c r="C1302" t="s">
        <v>90</v>
      </c>
      <c r="D1302" t="s">
        <v>91</v>
      </c>
      <c r="G1302" s="17" t="s">
        <v>35</v>
      </c>
      <c r="H1302" s="17">
        <v>2</v>
      </c>
      <c r="I1302" t="s">
        <v>1652</v>
      </c>
      <c r="J1302" s="1">
        <v>43344</v>
      </c>
      <c r="K1302" t="s">
        <v>1619</v>
      </c>
      <c r="L1302" t="s">
        <v>1620</v>
      </c>
      <c r="M1302" t="s">
        <v>1592</v>
      </c>
      <c r="N1302">
        <v>25</v>
      </c>
      <c r="O1302" t="s">
        <v>40</v>
      </c>
      <c r="P1302" t="s">
        <v>40</v>
      </c>
      <c r="Q1302" t="s">
        <v>40</v>
      </c>
      <c r="R1302" t="s">
        <v>40</v>
      </c>
      <c r="S1302" t="s">
        <v>40</v>
      </c>
      <c r="U1302" s="1">
        <v>43344</v>
      </c>
      <c r="V1302" t="s">
        <v>41</v>
      </c>
      <c r="W1302" t="s">
        <v>95</v>
      </c>
      <c r="X1302" t="str">
        <f>"7281011"</f>
        <v>7281011</v>
      </c>
      <c r="Y1302" t="s">
        <v>1653</v>
      </c>
      <c r="Z1302" t="s">
        <v>1619</v>
      </c>
      <c r="AA1302" t="s">
        <v>1620</v>
      </c>
      <c r="AB1302" t="s">
        <v>1592</v>
      </c>
      <c r="AC1302" t="s">
        <v>51</v>
      </c>
      <c r="AD1302" t="s">
        <v>45</v>
      </c>
      <c r="AE1302" s="1">
        <v>30530</v>
      </c>
      <c r="AF1302">
        <v>1</v>
      </c>
      <c r="AG1302" t="s">
        <v>1620</v>
      </c>
      <c r="AH1302" s="36">
        <f t="shared" si="20"/>
        <v>35.908333333333331</v>
      </c>
      <c r="AI1302" s="40" t="s">
        <v>1778</v>
      </c>
    </row>
    <row r="1303" spans="1:35" x14ac:dyDescent="0.25">
      <c r="A1303" s="36">
        <v>99911301</v>
      </c>
      <c r="B1303" s="17" t="s">
        <v>32</v>
      </c>
      <c r="C1303" t="s">
        <v>111</v>
      </c>
      <c r="D1303" t="s">
        <v>112</v>
      </c>
      <c r="G1303" s="17" t="s">
        <v>88</v>
      </c>
      <c r="H1303" s="17">
        <v>5</v>
      </c>
      <c r="J1303" s="1">
        <v>43344</v>
      </c>
      <c r="K1303" t="s">
        <v>354</v>
      </c>
      <c r="L1303" t="s">
        <v>355</v>
      </c>
      <c r="M1303" t="s">
        <v>131</v>
      </c>
      <c r="N1303">
        <v>24</v>
      </c>
      <c r="O1303" t="s">
        <v>40</v>
      </c>
      <c r="P1303" t="s">
        <v>40</v>
      </c>
      <c r="Q1303" t="s">
        <v>40</v>
      </c>
      <c r="R1303" t="s">
        <v>40</v>
      </c>
      <c r="S1303" t="s">
        <v>40</v>
      </c>
      <c r="U1303" s="1">
        <v>43344</v>
      </c>
      <c r="V1303" t="s">
        <v>41</v>
      </c>
      <c r="W1303" t="s">
        <v>75</v>
      </c>
      <c r="X1303" t="str">
        <f>"7054022"</f>
        <v>7054022</v>
      </c>
      <c r="Y1303" t="s">
        <v>770</v>
      </c>
      <c r="Z1303" t="s">
        <v>354</v>
      </c>
      <c r="AA1303" t="s">
        <v>355</v>
      </c>
      <c r="AB1303" t="s">
        <v>131</v>
      </c>
      <c r="AC1303" t="s">
        <v>51</v>
      </c>
      <c r="AD1303" t="s">
        <v>45</v>
      </c>
      <c r="AE1303" s="1">
        <v>30524</v>
      </c>
      <c r="AF1303">
        <v>1</v>
      </c>
      <c r="AG1303" t="s">
        <v>355</v>
      </c>
      <c r="AH1303" s="36">
        <f t="shared" si="20"/>
        <v>35.924999999999997</v>
      </c>
      <c r="AI1303" s="40" t="s">
        <v>1778</v>
      </c>
    </row>
    <row r="1304" spans="1:35" x14ac:dyDescent="0.25">
      <c r="A1304" s="36">
        <v>99911302</v>
      </c>
      <c r="B1304" s="17" t="s">
        <v>56</v>
      </c>
      <c r="C1304" t="s">
        <v>46</v>
      </c>
      <c r="D1304" t="s">
        <v>47</v>
      </c>
      <c r="G1304" s="17" t="s">
        <v>48</v>
      </c>
      <c r="H1304" s="17">
        <v>9</v>
      </c>
      <c r="K1304" t="s">
        <v>1128</v>
      </c>
      <c r="L1304" t="s">
        <v>1129</v>
      </c>
      <c r="M1304" t="s">
        <v>1130</v>
      </c>
      <c r="N1304">
        <v>21</v>
      </c>
      <c r="O1304" t="s">
        <v>40</v>
      </c>
      <c r="P1304" t="s">
        <v>40</v>
      </c>
      <c r="Q1304" t="s">
        <v>40</v>
      </c>
      <c r="R1304" t="s">
        <v>40</v>
      </c>
      <c r="S1304" t="s">
        <v>40</v>
      </c>
      <c r="V1304" t="s">
        <v>41</v>
      </c>
      <c r="W1304" t="s">
        <v>42</v>
      </c>
      <c r="X1304" t="str">
        <f>"3180015"</f>
        <v>3180015</v>
      </c>
      <c r="Y1304" t="s">
        <v>1139</v>
      </c>
      <c r="Z1304" t="s">
        <v>1128</v>
      </c>
      <c r="AA1304" t="s">
        <v>1129</v>
      </c>
      <c r="AB1304" t="s">
        <v>1130</v>
      </c>
      <c r="AC1304" t="s">
        <v>51</v>
      </c>
      <c r="AD1304" t="s">
        <v>45</v>
      </c>
      <c r="AE1304" s="1">
        <v>30522</v>
      </c>
      <c r="AF1304">
        <v>2</v>
      </c>
      <c r="AG1304" t="s">
        <v>1129</v>
      </c>
      <c r="AH1304" s="36">
        <f t="shared" si="20"/>
        <v>35.930555555555557</v>
      </c>
      <c r="AI1304" s="40" t="s">
        <v>1778</v>
      </c>
    </row>
    <row r="1305" spans="1:35" x14ac:dyDescent="0.25">
      <c r="A1305" s="36">
        <v>99911303</v>
      </c>
      <c r="B1305" s="17" t="s">
        <v>32</v>
      </c>
      <c r="C1305" t="s">
        <v>90</v>
      </c>
      <c r="D1305" t="s">
        <v>91</v>
      </c>
      <c r="G1305" s="17" t="s">
        <v>35</v>
      </c>
      <c r="H1305" s="17">
        <v>1</v>
      </c>
      <c r="K1305" t="s">
        <v>1341</v>
      </c>
      <c r="L1305" t="s">
        <v>1342</v>
      </c>
      <c r="M1305" t="s">
        <v>1270</v>
      </c>
      <c r="N1305">
        <v>25</v>
      </c>
      <c r="O1305" t="s">
        <v>40</v>
      </c>
      <c r="P1305" t="s">
        <v>40</v>
      </c>
      <c r="Q1305" t="s">
        <v>40</v>
      </c>
      <c r="S1305" t="s">
        <v>40</v>
      </c>
      <c r="V1305" t="s">
        <v>41</v>
      </c>
      <c r="W1305" t="s">
        <v>95</v>
      </c>
      <c r="X1305" t="str">
        <f>"7191001"</f>
        <v>7191001</v>
      </c>
      <c r="Y1305" t="s">
        <v>1391</v>
      </c>
      <c r="Z1305" t="s">
        <v>1341</v>
      </c>
      <c r="AA1305" t="s">
        <v>1342</v>
      </c>
      <c r="AB1305" t="s">
        <v>1270</v>
      </c>
      <c r="AC1305" t="s">
        <v>165</v>
      </c>
      <c r="AD1305" t="s">
        <v>45</v>
      </c>
      <c r="AE1305" s="1">
        <v>30508</v>
      </c>
      <c r="AF1305">
        <v>1</v>
      </c>
      <c r="AG1305" t="s">
        <v>1342</v>
      </c>
      <c r="AH1305" s="36">
        <f t="shared" si="20"/>
        <v>35.969444444444441</v>
      </c>
      <c r="AI1305" s="40" t="s">
        <v>1778</v>
      </c>
    </row>
    <row r="1306" spans="1:35" x14ac:dyDescent="0.25">
      <c r="A1306" s="36">
        <v>99911304</v>
      </c>
      <c r="B1306" s="17" t="s">
        <v>32</v>
      </c>
      <c r="C1306" t="s">
        <v>64</v>
      </c>
      <c r="D1306" t="s">
        <v>65</v>
      </c>
      <c r="G1306" s="17" t="s">
        <v>35</v>
      </c>
      <c r="H1306" s="17">
        <v>1</v>
      </c>
      <c r="I1306" t="s">
        <v>1625</v>
      </c>
      <c r="J1306" s="1">
        <v>43344</v>
      </c>
      <c r="K1306" t="s">
        <v>1626</v>
      </c>
      <c r="L1306" t="s">
        <v>1627</v>
      </c>
      <c r="M1306" t="s">
        <v>1592</v>
      </c>
      <c r="N1306">
        <v>19</v>
      </c>
      <c r="O1306" t="s">
        <v>40</v>
      </c>
      <c r="P1306" t="s">
        <v>40</v>
      </c>
      <c r="Q1306" t="s">
        <v>40</v>
      </c>
      <c r="R1306" t="s">
        <v>40</v>
      </c>
      <c r="S1306" t="s">
        <v>40</v>
      </c>
      <c r="U1306" s="1">
        <v>43344</v>
      </c>
      <c r="V1306" t="s">
        <v>41</v>
      </c>
      <c r="W1306" t="s">
        <v>49</v>
      </c>
      <c r="X1306" t="str">
        <f>"3681015"</f>
        <v>3681015</v>
      </c>
      <c r="Y1306" t="s">
        <v>1629</v>
      </c>
      <c r="Z1306" t="s">
        <v>1626</v>
      </c>
      <c r="AA1306" t="s">
        <v>1627</v>
      </c>
      <c r="AB1306" t="s">
        <v>1592</v>
      </c>
      <c r="AC1306" t="s">
        <v>51</v>
      </c>
      <c r="AD1306" t="s">
        <v>45</v>
      </c>
      <c r="AE1306" s="1">
        <v>30508</v>
      </c>
      <c r="AF1306">
        <v>2</v>
      </c>
      <c r="AG1306" t="s">
        <v>1627</v>
      </c>
      <c r="AH1306" s="36">
        <f t="shared" si="20"/>
        <v>35.969444444444441</v>
      </c>
      <c r="AI1306" s="40" t="s">
        <v>1778</v>
      </c>
    </row>
    <row r="1307" spans="1:35" x14ac:dyDescent="0.25">
      <c r="A1307" s="36">
        <v>99911305</v>
      </c>
      <c r="B1307" s="17" t="s">
        <v>32</v>
      </c>
      <c r="C1307" t="s">
        <v>90</v>
      </c>
      <c r="D1307" t="s">
        <v>91</v>
      </c>
      <c r="G1307" s="17" t="s">
        <v>35</v>
      </c>
      <c r="H1307" s="17">
        <v>1</v>
      </c>
      <c r="I1307" t="s">
        <v>286</v>
      </c>
      <c r="J1307" s="1">
        <v>43344</v>
      </c>
      <c r="K1307" t="s">
        <v>268</v>
      </c>
      <c r="L1307" t="s">
        <v>269</v>
      </c>
      <c r="M1307" t="s">
        <v>131</v>
      </c>
      <c r="N1307">
        <v>25</v>
      </c>
      <c r="O1307" t="s">
        <v>40</v>
      </c>
      <c r="S1307" t="s">
        <v>40</v>
      </c>
      <c r="V1307" t="s">
        <v>41</v>
      </c>
      <c r="W1307" t="s">
        <v>95</v>
      </c>
      <c r="X1307" t="str">
        <f>"7052081"</f>
        <v>7052081</v>
      </c>
      <c r="Y1307" t="s">
        <v>700</v>
      </c>
      <c r="Z1307" t="s">
        <v>268</v>
      </c>
      <c r="AA1307" t="s">
        <v>269</v>
      </c>
      <c r="AB1307" t="s">
        <v>131</v>
      </c>
      <c r="AC1307" t="s">
        <v>51</v>
      </c>
      <c r="AD1307" t="s">
        <v>45</v>
      </c>
      <c r="AE1307" s="1">
        <v>30506</v>
      </c>
      <c r="AF1307">
        <v>1</v>
      </c>
      <c r="AG1307" t="s">
        <v>269</v>
      </c>
      <c r="AH1307" s="36">
        <f t="shared" si="20"/>
        <v>35.975000000000001</v>
      </c>
      <c r="AI1307" s="40" t="s">
        <v>1778</v>
      </c>
    </row>
    <row r="1308" spans="1:35" x14ac:dyDescent="0.25">
      <c r="A1308" s="36">
        <v>99911306</v>
      </c>
      <c r="B1308" s="17" t="s">
        <v>32</v>
      </c>
      <c r="C1308" t="s">
        <v>139</v>
      </c>
      <c r="D1308" t="s">
        <v>140</v>
      </c>
      <c r="G1308" s="17" t="s">
        <v>35</v>
      </c>
      <c r="H1308" s="17">
        <v>1</v>
      </c>
      <c r="I1308">
        <v>103</v>
      </c>
      <c r="J1308" s="1">
        <v>43344</v>
      </c>
      <c r="K1308" t="s">
        <v>354</v>
      </c>
      <c r="L1308" t="s">
        <v>355</v>
      </c>
      <c r="M1308" t="s">
        <v>131</v>
      </c>
      <c r="N1308">
        <v>4</v>
      </c>
      <c r="O1308" t="s">
        <v>40</v>
      </c>
      <c r="S1308" t="s">
        <v>40</v>
      </c>
      <c r="U1308" s="1">
        <v>43344</v>
      </c>
      <c r="V1308" t="s">
        <v>41</v>
      </c>
      <c r="W1308" t="s">
        <v>75</v>
      </c>
      <c r="X1308" t="str">
        <f>"7054016"</f>
        <v>7054016</v>
      </c>
      <c r="Y1308" t="s">
        <v>768</v>
      </c>
      <c r="Z1308" t="s">
        <v>354</v>
      </c>
      <c r="AA1308" t="s">
        <v>355</v>
      </c>
      <c r="AB1308" t="s">
        <v>131</v>
      </c>
      <c r="AC1308" t="s">
        <v>44</v>
      </c>
      <c r="AD1308" t="s">
        <v>45</v>
      </c>
      <c r="AE1308" s="1">
        <v>30503</v>
      </c>
      <c r="AF1308">
        <v>1</v>
      </c>
      <c r="AG1308" t="s">
        <v>355</v>
      </c>
      <c r="AH1308" s="36">
        <f t="shared" si="20"/>
        <v>35.983333333333334</v>
      </c>
      <c r="AI1308" s="40" t="s">
        <v>1778</v>
      </c>
    </row>
    <row r="1309" spans="1:35" x14ac:dyDescent="0.25">
      <c r="A1309" s="36">
        <v>99911307</v>
      </c>
      <c r="B1309" s="17" t="s">
        <v>32</v>
      </c>
      <c r="C1309" t="s">
        <v>111</v>
      </c>
      <c r="D1309" t="s">
        <v>112</v>
      </c>
      <c r="G1309" s="17" t="s">
        <v>35</v>
      </c>
      <c r="H1309" s="17">
        <v>1</v>
      </c>
      <c r="I1309" t="s">
        <v>1090</v>
      </c>
      <c r="J1309" s="1">
        <v>43344</v>
      </c>
      <c r="K1309" t="s">
        <v>1081</v>
      </c>
      <c r="L1309" t="s">
        <v>1082</v>
      </c>
      <c r="M1309" t="s">
        <v>1053</v>
      </c>
      <c r="N1309">
        <v>24</v>
      </c>
      <c r="O1309" t="s">
        <v>40</v>
      </c>
      <c r="P1309" t="s">
        <v>40</v>
      </c>
      <c r="Q1309" t="s">
        <v>40</v>
      </c>
      <c r="S1309" t="s">
        <v>40</v>
      </c>
      <c r="U1309" s="1">
        <v>43344</v>
      </c>
      <c r="V1309" t="s">
        <v>41</v>
      </c>
      <c r="W1309" t="s">
        <v>75</v>
      </c>
      <c r="X1309" t="str">
        <f>"7201006"</f>
        <v>7201006</v>
      </c>
      <c r="Y1309" t="s">
        <v>1083</v>
      </c>
      <c r="Z1309" t="s">
        <v>1081</v>
      </c>
      <c r="AA1309" t="s">
        <v>1082</v>
      </c>
      <c r="AB1309" t="s">
        <v>1053</v>
      </c>
      <c r="AC1309" t="s">
        <v>51</v>
      </c>
      <c r="AD1309" t="s">
        <v>45</v>
      </c>
      <c r="AE1309" s="1">
        <v>30501</v>
      </c>
      <c r="AF1309">
        <v>1</v>
      </c>
      <c r="AG1309" t="s">
        <v>1082</v>
      </c>
      <c r="AH1309" s="36">
        <f t="shared" si="20"/>
        <v>35.988888888888887</v>
      </c>
      <c r="AI1309" s="40" t="s">
        <v>1778</v>
      </c>
    </row>
    <row r="1310" spans="1:35" x14ac:dyDescent="0.25">
      <c r="A1310" s="36">
        <v>99911308</v>
      </c>
      <c r="B1310" s="17" t="s">
        <v>32</v>
      </c>
      <c r="C1310" t="s">
        <v>90</v>
      </c>
      <c r="D1310" t="s">
        <v>91</v>
      </c>
      <c r="G1310" s="17" t="s">
        <v>35</v>
      </c>
      <c r="H1310" s="17">
        <v>1</v>
      </c>
      <c r="K1310" t="s">
        <v>195</v>
      </c>
      <c r="L1310" t="s">
        <v>196</v>
      </c>
      <c r="M1310" t="s">
        <v>131</v>
      </c>
      <c r="N1310">
        <v>6</v>
      </c>
      <c r="O1310" t="s">
        <v>40</v>
      </c>
      <c r="P1310" t="s">
        <v>40</v>
      </c>
      <c r="Q1310" t="s">
        <v>40</v>
      </c>
      <c r="R1310" t="s">
        <v>40</v>
      </c>
      <c r="S1310" t="s">
        <v>40</v>
      </c>
      <c r="V1310" t="s">
        <v>41</v>
      </c>
      <c r="W1310" t="s">
        <v>95</v>
      </c>
      <c r="X1310" t="str">
        <f>"7521079"</f>
        <v>7521079</v>
      </c>
      <c r="Y1310" t="s">
        <v>566</v>
      </c>
      <c r="Z1310" t="s">
        <v>195</v>
      </c>
      <c r="AA1310" t="s">
        <v>196</v>
      </c>
      <c r="AB1310" t="s">
        <v>131</v>
      </c>
      <c r="AC1310" t="s">
        <v>51</v>
      </c>
      <c r="AD1310" t="s">
        <v>45</v>
      </c>
      <c r="AE1310" s="1">
        <v>30499</v>
      </c>
      <c r="AF1310">
        <v>1</v>
      </c>
      <c r="AG1310" t="s">
        <v>196</v>
      </c>
      <c r="AH1310" s="36">
        <f t="shared" si="20"/>
        <v>35.994444444444447</v>
      </c>
      <c r="AI1310" s="40" t="s">
        <v>1778</v>
      </c>
    </row>
    <row r="1311" spans="1:35" x14ac:dyDescent="0.25">
      <c r="A1311" s="36">
        <v>99911309</v>
      </c>
      <c r="B1311" s="17" t="s">
        <v>32</v>
      </c>
      <c r="C1311" t="s">
        <v>90</v>
      </c>
      <c r="D1311" t="s">
        <v>91</v>
      </c>
      <c r="G1311" s="17" t="s">
        <v>35</v>
      </c>
      <c r="H1311" s="17">
        <v>1</v>
      </c>
      <c r="K1311" t="s">
        <v>354</v>
      </c>
      <c r="L1311" t="s">
        <v>355</v>
      </c>
      <c r="M1311" t="s">
        <v>131</v>
      </c>
      <c r="N1311">
        <v>25</v>
      </c>
      <c r="O1311" t="s">
        <v>40</v>
      </c>
      <c r="P1311" t="s">
        <v>40</v>
      </c>
      <c r="Q1311" t="s">
        <v>40</v>
      </c>
      <c r="R1311" t="s">
        <v>40</v>
      </c>
      <c r="S1311" t="s">
        <v>40</v>
      </c>
      <c r="V1311" t="s">
        <v>41</v>
      </c>
      <c r="W1311" t="s">
        <v>95</v>
      </c>
      <c r="X1311" t="str">
        <f>"7054029"</f>
        <v>7054029</v>
      </c>
      <c r="Y1311" t="s">
        <v>849</v>
      </c>
      <c r="Z1311" t="s">
        <v>354</v>
      </c>
      <c r="AA1311" t="s">
        <v>355</v>
      </c>
      <c r="AB1311" t="s">
        <v>131</v>
      </c>
      <c r="AC1311" t="s">
        <v>51</v>
      </c>
      <c r="AD1311" t="s">
        <v>45</v>
      </c>
      <c r="AE1311" s="1">
        <v>30494</v>
      </c>
      <c r="AF1311">
        <v>1</v>
      </c>
      <c r="AG1311" t="s">
        <v>355</v>
      </c>
      <c r="AH1311" s="36">
        <f t="shared" si="20"/>
        <v>36.008333333333333</v>
      </c>
      <c r="AI1311" s="40" t="s">
        <v>1778</v>
      </c>
    </row>
    <row r="1312" spans="1:35" x14ac:dyDescent="0.25">
      <c r="A1312" s="36">
        <v>99911310</v>
      </c>
      <c r="B1312" s="17" t="s">
        <v>32</v>
      </c>
      <c r="C1312" t="s">
        <v>90</v>
      </c>
      <c r="D1312" t="s">
        <v>91</v>
      </c>
      <c r="G1312" s="17" t="s">
        <v>35</v>
      </c>
      <c r="H1312" s="17">
        <v>1</v>
      </c>
      <c r="I1312" t="s">
        <v>650</v>
      </c>
      <c r="J1312" s="1">
        <v>43344</v>
      </c>
      <c r="K1312" t="s">
        <v>268</v>
      </c>
      <c r="L1312" t="s">
        <v>269</v>
      </c>
      <c r="M1312" t="s">
        <v>131</v>
      </c>
      <c r="N1312">
        <v>23</v>
      </c>
      <c r="O1312" t="s">
        <v>40</v>
      </c>
      <c r="S1312" t="s">
        <v>40</v>
      </c>
      <c r="U1312" s="1">
        <v>43344</v>
      </c>
      <c r="V1312" t="s">
        <v>41</v>
      </c>
      <c r="W1312" t="s">
        <v>95</v>
      </c>
      <c r="X1312" t="str">
        <f>"7052043"</f>
        <v>7052043</v>
      </c>
      <c r="Y1312" t="s">
        <v>651</v>
      </c>
      <c r="Z1312" t="s">
        <v>268</v>
      </c>
      <c r="AA1312" t="s">
        <v>269</v>
      </c>
      <c r="AB1312" t="s">
        <v>131</v>
      </c>
      <c r="AC1312" t="s">
        <v>51</v>
      </c>
      <c r="AD1312" t="s">
        <v>45</v>
      </c>
      <c r="AE1312" s="1">
        <v>30491</v>
      </c>
      <c r="AF1312">
        <v>1</v>
      </c>
      <c r="AG1312" t="s">
        <v>269</v>
      </c>
      <c r="AH1312" s="36">
        <f t="shared" si="20"/>
        <v>36.016666666666666</v>
      </c>
      <c r="AI1312" s="40" t="s">
        <v>1778</v>
      </c>
    </row>
    <row r="1313" spans="1:35" x14ac:dyDescent="0.25">
      <c r="A1313" s="36">
        <v>99911311</v>
      </c>
      <c r="B1313" s="17" t="s">
        <v>32</v>
      </c>
      <c r="C1313" t="s">
        <v>117</v>
      </c>
      <c r="D1313" t="s">
        <v>118</v>
      </c>
      <c r="G1313" s="17" t="s">
        <v>35</v>
      </c>
      <c r="H1313" s="17">
        <v>1</v>
      </c>
      <c r="I1313">
        <v>0</v>
      </c>
      <c r="J1313" s="1">
        <v>43344</v>
      </c>
      <c r="K1313" t="s">
        <v>223</v>
      </c>
      <c r="L1313" t="s">
        <v>224</v>
      </c>
      <c r="M1313" t="s">
        <v>131</v>
      </c>
      <c r="N1313">
        <v>23</v>
      </c>
      <c r="O1313" t="s">
        <v>40</v>
      </c>
      <c r="P1313" t="s">
        <v>40</v>
      </c>
      <c r="Q1313" t="s">
        <v>40</v>
      </c>
      <c r="S1313" t="s">
        <v>40</v>
      </c>
      <c r="U1313" s="1">
        <v>43344</v>
      </c>
      <c r="V1313" t="s">
        <v>41</v>
      </c>
      <c r="W1313" t="s">
        <v>49</v>
      </c>
      <c r="X1313" t="str">
        <f>"0509999"</f>
        <v>0509999</v>
      </c>
      <c r="Y1313" t="s">
        <v>247</v>
      </c>
      <c r="Z1313" t="s">
        <v>223</v>
      </c>
      <c r="AA1313" t="s">
        <v>224</v>
      </c>
      <c r="AB1313" t="s">
        <v>131</v>
      </c>
      <c r="AC1313" t="s">
        <v>44</v>
      </c>
      <c r="AD1313" t="s">
        <v>45</v>
      </c>
      <c r="AE1313" s="1">
        <v>30489</v>
      </c>
      <c r="AF1313">
        <v>2</v>
      </c>
      <c r="AG1313" t="s">
        <v>224</v>
      </c>
      <c r="AH1313" s="36">
        <f t="shared" si="20"/>
        <v>36.022222222222226</v>
      </c>
      <c r="AI1313" s="40" t="s">
        <v>1778</v>
      </c>
    </row>
    <row r="1314" spans="1:35" x14ac:dyDescent="0.25">
      <c r="A1314" s="36">
        <v>99911312</v>
      </c>
      <c r="B1314" s="17" t="s">
        <v>32</v>
      </c>
      <c r="C1314" t="s">
        <v>79</v>
      </c>
      <c r="D1314" t="s">
        <v>80</v>
      </c>
      <c r="G1314" s="17" t="s">
        <v>48</v>
      </c>
      <c r="H1314" s="17">
        <v>1</v>
      </c>
      <c r="K1314" t="s">
        <v>354</v>
      </c>
      <c r="L1314" t="s">
        <v>355</v>
      </c>
      <c r="M1314" t="s">
        <v>131</v>
      </c>
      <c r="N1314">
        <v>21</v>
      </c>
      <c r="O1314" t="s">
        <v>40</v>
      </c>
      <c r="P1314" t="s">
        <v>40</v>
      </c>
      <c r="Q1314" t="s">
        <v>40</v>
      </c>
      <c r="R1314" t="s">
        <v>40</v>
      </c>
      <c r="S1314" t="s">
        <v>40</v>
      </c>
      <c r="V1314" t="s">
        <v>41</v>
      </c>
      <c r="W1314" t="s">
        <v>75</v>
      </c>
      <c r="X1314" t="str">
        <f>"7054002"</f>
        <v>7054002</v>
      </c>
      <c r="Y1314" t="s">
        <v>376</v>
      </c>
      <c r="Z1314" t="s">
        <v>354</v>
      </c>
      <c r="AA1314" t="s">
        <v>355</v>
      </c>
      <c r="AB1314" t="s">
        <v>131</v>
      </c>
      <c r="AC1314" t="s">
        <v>51</v>
      </c>
      <c r="AD1314" t="s">
        <v>45</v>
      </c>
      <c r="AE1314" s="1">
        <v>30486</v>
      </c>
      <c r="AF1314">
        <v>1</v>
      </c>
      <c r="AG1314" t="s">
        <v>355</v>
      </c>
      <c r="AH1314" s="36">
        <f t="shared" si="20"/>
        <v>36.030555555555559</v>
      </c>
      <c r="AI1314" s="40" t="s">
        <v>1778</v>
      </c>
    </row>
    <row r="1315" spans="1:35" x14ac:dyDescent="0.25">
      <c r="A1315" s="36">
        <v>99911313</v>
      </c>
      <c r="B1315" s="17" t="s">
        <v>32</v>
      </c>
      <c r="C1315" t="s">
        <v>64</v>
      </c>
      <c r="D1315" t="s">
        <v>65</v>
      </c>
      <c r="G1315" s="17" t="s">
        <v>35</v>
      </c>
      <c r="H1315" s="17">
        <v>1</v>
      </c>
      <c r="K1315" t="s">
        <v>1341</v>
      </c>
      <c r="L1315" t="s">
        <v>1342</v>
      </c>
      <c r="M1315" t="s">
        <v>1270</v>
      </c>
      <c r="N1315">
        <v>24</v>
      </c>
      <c r="O1315" t="s">
        <v>40</v>
      </c>
      <c r="P1315" t="s">
        <v>40</v>
      </c>
      <c r="Q1315" t="s">
        <v>40</v>
      </c>
      <c r="S1315" t="s">
        <v>40</v>
      </c>
      <c r="V1315" t="s">
        <v>41</v>
      </c>
      <c r="W1315" t="s">
        <v>75</v>
      </c>
      <c r="X1315" t="str">
        <f>"7191006"</f>
        <v>7191006</v>
      </c>
      <c r="Y1315" t="s">
        <v>1351</v>
      </c>
      <c r="Z1315" t="s">
        <v>1341</v>
      </c>
      <c r="AA1315" t="s">
        <v>1342</v>
      </c>
      <c r="AB1315" t="s">
        <v>1270</v>
      </c>
      <c r="AC1315" t="s">
        <v>51</v>
      </c>
      <c r="AD1315" t="s">
        <v>45</v>
      </c>
      <c r="AE1315" s="1">
        <v>30486</v>
      </c>
      <c r="AF1315">
        <v>1</v>
      </c>
      <c r="AG1315" t="s">
        <v>1342</v>
      </c>
      <c r="AH1315" s="36">
        <f t="shared" si="20"/>
        <v>36.030555555555559</v>
      </c>
      <c r="AI1315" s="40" t="s">
        <v>1778</v>
      </c>
    </row>
    <row r="1316" spans="1:35" x14ac:dyDescent="0.25">
      <c r="A1316" s="36">
        <v>99911314</v>
      </c>
      <c r="B1316" s="17" t="s">
        <v>32</v>
      </c>
      <c r="C1316" t="s">
        <v>71</v>
      </c>
      <c r="D1316" t="s">
        <v>72</v>
      </c>
      <c r="G1316" s="17" t="s">
        <v>35</v>
      </c>
      <c r="H1316" s="17">
        <v>1</v>
      </c>
      <c r="K1316" t="s">
        <v>354</v>
      </c>
      <c r="L1316" t="s">
        <v>355</v>
      </c>
      <c r="M1316" t="s">
        <v>131</v>
      </c>
      <c r="N1316">
        <v>14</v>
      </c>
      <c r="O1316" t="s">
        <v>40</v>
      </c>
      <c r="P1316" t="s">
        <v>40</v>
      </c>
      <c r="Q1316" t="s">
        <v>40</v>
      </c>
      <c r="R1316" t="s">
        <v>40</v>
      </c>
      <c r="S1316" t="s">
        <v>40</v>
      </c>
      <c r="V1316" t="s">
        <v>41</v>
      </c>
      <c r="W1316" t="s">
        <v>75</v>
      </c>
      <c r="X1316" t="str">
        <f>"7054006"</f>
        <v>7054006</v>
      </c>
      <c r="Y1316" t="s">
        <v>774</v>
      </c>
      <c r="Z1316" t="s">
        <v>354</v>
      </c>
      <c r="AA1316" t="s">
        <v>355</v>
      </c>
      <c r="AB1316" t="s">
        <v>131</v>
      </c>
      <c r="AC1316" t="s">
        <v>51</v>
      </c>
      <c r="AD1316" t="s">
        <v>45</v>
      </c>
      <c r="AE1316" s="1">
        <v>30483</v>
      </c>
      <c r="AF1316">
        <v>1</v>
      </c>
      <c r="AG1316" t="s">
        <v>355</v>
      </c>
      <c r="AH1316" s="36">
        <f t="shared" si="20"/>
        <v>36.038888888888891</v>
      </c>
      <c r="AI1316" s="40" t="s">
        <v>1778</v>
      </c>
    </row>
    <row r="1317" spans="1:35" x14ac:dyDescent="0.25">
      <c r="A1317" s="36">
        <v>99911315</v>
      </c>
      <c r="B1317" s="17" t="s">
        <v>56</v>
      </c>
      <c r="C1317" t="s">
        <v>85</v>
      </c>
      <c r="D1317" t="s">
        <v>86</v>
      </c>
      <c r="G1317" s="17" t="s">
        <v>48</v>
      </c>
      <c r="H1317" s="17">
        <v>1</v>
      </c>
      <c r="K1317" t="s">
        <v>1268</v>
      </c>
      <c r="L1317" t="s">
        <v>1269</v>
      </c>
      <c r="M1317" t="s">
        <v>1270</v>
      </c>
      <c r="N1317">
        <v>21</v>
      </c>
      <c r="O1317" t="s">
        <v>40</v>
      </c>
      <c r="P1317" t="s">
        <v>40</v>
      </c>
      <c r="Q1317" t="s">
        <v>40</v>
      </c>
      <c r="R1317" t="s">
        <v>40</v>
      </c>
      <c r="S1317" t="s">
        <v>40</v>
      </c>
      <c r="V1317" t="s">
        <v>41</v>
      </c>
      <c r="W1317" t="s">
        <v>42</v>
      </c>
      <c r="X1317" t="str">
        <f>"1990911"</f>
        <v>1990911</v>
      </c>
      <c r="Y1317" t="s">
        <v>1276</v>
      </c>
      <c r="Z1317" t="s">
        <v>1268</v>
      </c>
      <c r="AA1317" t="s">
        <v>1269</v>
      </c>
      <c r="AB1317" t="s">
        <v>1270</v>
      </c>
      <c r="AC1317" t="s">
        <v>165</v>
      </c>
      <c r="AD1317" t="s">
        <v>45</v>
      </c>
      <c r="AE1317" s="1">
        <v>30482</v>
      </c>
      <c r="AF1317">
        <v>2</v>
      </c>
      <c r="AG1317" t="s">
        <v>1269</v>
      </c>
      <c r="AH1317" s="36">
        <f t="shared" si="20"/>
        <v>36.041666666666664</v>
      </c>
      <c r="AI1317" s="40" t="s">
        <v>1778</v>
      </c>
    </row>
    <row r="1318" spans="1:35" x14ac:dyDescent="0.25">
      <c r="A1318" s="36">
        <v>99911316</v>
      </c>
      <c r="B1318" s="17" t="s">
        <v>32</v>
      </c>
      <c r="C1318" t="s">
        <v>90</v>
      </c>
      <c r="D1318" t="s">
        <v>91</v>
      </c>
      <c r="G1318" s="17" t="s">
        <v>35</v>
      </c>
      <c r="H1318" s="17">
        <v>1</v>
      </c>
      <c r="I1318" s="1">
        <v>41883</v>
      </c>
      <c r="J1318" s="1">
        <v>43344</v>
      </c>
      <c r="K1318" t="s">
        <v>1341</v>
      </c>
      <c r="L1318" t="s">
        <v>1342</v>
      </c>
      <c r="M1318" t="s">
        <v>1270</v>
      </c>
      <c r="N1318">
        <v>24</v>
      </c>
      <c r="O1318" t="s">
        <v>40</v>
      </c>
      <c r="S1318" t="s">
        <v>40</v>
      </c>
      <c r="U1318" s="1">
        <v>43344</v>
      </c>
      <c r="V1318" t="s">
        <v>41</v>
      </c>
      <c r="W1318" t="s">
        <v>75</v>
      </c>
      <c r="X1318" t="str">
        <f>"7191034"</f>
        <v>7191034</v>
      </c>
      <c r="Y1318" t="s">
        <v>1343</v>
      </c>
      <c r="Z1318" t="s">
        <v>1341</v>
      </c>
      <c r="AA1318" t="s">
        <v>1342</v>
      </c>
      <c r="AB1318" t="s">
        <v>1270</v>
      </c>
      <c r="AC1318" t="s">
        <v>51</v>
      </c>
      <c r="AD1318" t="s">
        <v>45</v>
      </c>
      <c r="AE1318" s="1">
        <v>30482</v>
      </c>
      <c r="AF1318">
        <v>1</v>
      </c>
      <c r="AG1318" t="s">
        <v>1342</v>
      </c>
      <c r="AH1318" s="36">
        <f t="shared" si="20"/>
        <v>36.041666666666664</v>
      </c>
      <c r="AI1318" s="40" t="s">
        <v>1778</v>
      </c>
    </row>
    <row r="1319" spans="1:35" x14ac:dyDescent="0.25">
      <c r="A1319" s="36">
        <v>99911317</v>
      </c>
      <c r="B1319" s="17" t="s">
        <v>32</v>
      </c>
      <c r="C1319" t="s">
        <v>82</v>
      </c>
      <c r="D1319" t="s">
        <v>83</v>
      </c>
      <c r="G1319" s="17" t="s">
        <v>35</v>
      </c>
      <c r="H1319" s="17">
        <v>1</v>
      </c>
      <c r="I1319">
        <v>0</v>
      </c>
      <c r="J1319" s="1">
        <v>43344</v>
      </c>
      <c r="K1319" t="s">
        <v>223</v>
      </c>
      <c r="L1319" t="s">
        <v>224</v>
      </c>
      <c r="M1319" t="s">
        <v>131</v>
      </c>
      <c r="N1319">
        <v>11</v>
      </c>
      <c r="O1319" t="s">
        <v>40</v>
      </c>
      <c r="P1319" t="s">
        <v>40</v>
      </c>
      <c r="Q1319" t="s">
        <v>40</v>
      </c>
      <c r="R1319" t="s">
        <v>40</v>
      </c>
      <c r="S1319" t="s">
        <v>40</v>
      </c>
      <c r="U1319" s="1">
        <v>43344</v>
      </c>
      <c r="V1319" t="s">
        <v>41</v>
      </c>
      <c r="W1319" t="s">
        <v>42</v>
      </c>
      <c r="X1319" t="str">
        <f>"0580203"</f>
        <v>0580203</v>
      </c>
      <c r="Y1319" t="s">
        <v>239</v>
      </c>
      <c r="Z1319" t="s">
        <v>223</v>
      </c>
      <c r="AA1319" t="s">
        <v>224</v>
      </c>
      <c r="AB1319" t="s">
        <v>131</v>
      </c>
      <c r="AC1319" t="s">
        <v>44</v>
      </c>
      <c r="AD1319" t="s">
        <v>45</v>
      </c>
      <c r="AE1319" s="1">
        <v>30481</v>
      </c>
      <c r="AF1319">
        <v>2</v>
      </c>
      <c r="AG1319" t="s">
        <v>224</v>
      </c>
      <c r="AH1319" s="36">
        <f t="shared" si="20"/>
        <v>36.044444444444444</v>
      </c>
      <c r="AI1319" s="40" t="s">
        <v>1778</v>
      </c>
    </row>
    <row r="1320" spans="1:35" x14ac:dyDescent="0.25">
      <c r="A1320" s="36">
        <v>99911318</v>
      </c>
      <c r="B1320" s="17" t="s">
        <v>32</v>
      </c>
      <c r="C1320" t="s">
        <v>90</v>
      </c>
      <c r="D1320" t="s">
        <v>91</v>
      </c>
      <c r="G1320" s="17" t="s">
        <v>35</v>
      </c>
      <c r="H1320" s="17">
        <v>5</v>
      </c>
      <c r="K1320" t="s">
        <v>431</v>
      </c>
      <c r="L1320" t="s">
        <v>196</v>
      </c>
      <c r="M1320" t="s">
        <v>131</v>
      </c>
      <c r="N1320">
        <v>25</v>
      </c>
      <c r="O1320" t="s">
        <v>40</v>
      </c>
      <c r="P1320" t="s">
        <v>40</v>
      </c>
      <c r="Q1320" t="s">
        <v>40</v>
      </c>
      <c r="R1320" t="s">
        <v>40</v>
      </c>
      <c r="S1320" t="s">
        <v>40</v>
      </c>
      <c r="V1320" t="s">
        <v>41</v>
      </c>
      <c r="W1320" t="s">
        <v>95</v>
      </c>
      <c r="X1320" t="str">
        <f>"7521047"</f>
        <v>7521047</v>
      </c>
      <c r="Y1320" t="s">
        <v>555</v>
      </c>
      <c r="Z1320" t="s">
        <v>431</v>
      </c>
      <c r="AA1320" t="s">
        <v>196</v>
      </c>
      <c r="AB1320" t="s">
        <v>131</v>
      </c>
      <c r="AC1320" t="s">
        <v>51</v>
      </c>
      <c r="AD1320" t="s">
        <v>45</v>
      </c>
      <c r="AE1320" s="1">
        <v>30479</v>
      </c>
      <c r="AF1320">
        <v>1</v>
      </c>
      <c r="AG1320" t="s">
        <v>196</v>
      </c>
      <c r="AH1320" s="36">
        <f t="shared" si="20"/>
        <v>36.049999999999997</v>
      </c>
      <c r="AI1320" s="40" t="s">
        <v>1778</v>
      </c>
    </row>
    <row r="1321" spans="1:35" x14ac:dyDescent="0.25">
      <c r="A1321" s="36">
        <v>99911319</v>
      </c>
      <c r="B1321" s="17" t="s">
        <v>56</v>
      </c>
      <c r="C1321" t="s">
        <v>61</v>
      </c>
      <c r="D1321" t="s">
        <v>62</v>
      </c>
      <c r="G1321" s="17" t="s">
        <v>48</v>
      </c>
      <c r="H1321" s="17">
        <v>1</v>
      </c>
      <c r="K1321" t="s">
        <v>1325</v>
      </c>
      <c r="L1321" t="s">
        <v>1326</v>
      </c>
      <c r="M1321" t="s">
        <v>1270</v>
      </c>
      <c r="N1321">
        <v>21</v>
      </c>
      <c r="O1321" t="s">
        <v>40</v>
      </c>
      <c r="P1321" t="s">
        <v>40</v>
      </c>
      <c r="Q1321" t="s">
        <v>40</v>
      </c>
      <c r="R1321" t="s">
        <v>40</v>
      </c>
      <c r="S1321" t="s">
        <v>40</v>
      </c>
      <c r="V1321" t="s">
        <v>41</v>
      </c>
      <c r="W1321" t="s">
        <v>75</v>
      </c>
      <c r="X1321" t="str">
        <f>"7391000"</f>
        <v>7391000</v>
      </c>
      <c r="Y1321" t="s">
        <v>1333</v>
      </c>
      <c r="Z1321" t="s">
        <v>1334</v>
      </c>
      <c r="AA1321" t="s">
        <v>1335</v>
      </c>
      <c r="AB1321" t="s">
        <v>1270</v>
      </c>
      <c r="AC1321" t="s">
        <v>51</v>
      </c>
      <c r="AD1321" t="s">
        <v>45</v>
      </c>
      <c r="AE1321" s="1">
        <v>30478</v>
      </c>
      <c r="AF1321">
        <v>2</v>
      </c>
      <c r="AG1321" t="s">
        <v>1326</v>
      </c>
      <c r="AH1321" s="36">
        <f t="shared" si="20"/>
        <v>36.052777777777777</v>
      </c>
      <c r="AI1321" s="40" t="s">
        <v>1778</v>
      </c>
    </row>
    <row r="1322" spans="1:35" x14ac:dyDescent="0.25">
      <c r="A1322" s="36">
        <v>99911320</v>
      </c>
      <c r="B1322" s="17" t="s">
        <v>56</v>
      </c>
      <c r="C1322" t="s">
        <v>71</v>
      </c>
      <c r="D1322" t="s">
        <v>72</v>
      </c>
      <c r="G1322" s="17" t="s">
        <v>35</v>
      </c>
      <c r="H1322" s="17">
        <v>1</v>
      </c>
      <c r="I1322">
        <v>0</v>
      </c>
      <c r="J1322" s="1">
        <v>43344</v>
      </c>
      <c r="K1322" t="s">
        <v>223</v>
      </c>
      <c r="L1322" t="s">
        <v>224</v>
      </c>
      <c r="M1322" t="s">
        <v>131</v>
      </c>
      <c r="N1322">
        <v>9</v>
      </c>
      <c r="O1322" t="s">
        <v>40</v>
      </c>
      <c r="P1322" t="s">
        <v>40</v>
      </c>
      <c r="Q1322" t="s">
        <v>40</v>
      </c>
      <c r="S1322" t="s">
        <v>40</v>
      </c>
      <c r="U1322" s="1">
        <v>43344</v>
      </c>
      <c r="V1322" t="s">
        <v>41</v>
      </c>
      <c r="W1322" t="s">
        <v>49</v>
      </c>
      <c r="X1322" t="str">
        <f>"0591901"</f>
        <v>0591901</v>
      </c>
      <c r="Y1322" t="s">
        <v>230</v>
      </c>
      <c r="Z1322" t="s">
        <v>223</v>
      </c>
      <c r="AA1322" t="s">
        <v>224</v>
      </c>
      <c r="AB1322" t="s">
        <v>131</v>
      </c>
      <c r="AC1322" t="s">
        <v>44</v>
      </c>
      <c r="AD1322" t="s">
        <v>45</v>
      </c>
      <c r="AE1322" s="1">
        <v>30476</v>
      </c>
      <c r="AF1322">
        <v>2</v>
      </c>
      <c r="AG1322" t="s">
        <v>224</v>
      </c>
      <c r="AH1322" s="36">
        <f t="shared" si="20"/>
        <v>36.05833333333333</v>
      </c>
      <c r="AI1322" s="40" t="s">
        <v>1778</v>
      </c>
    </row>
    <row r="1323" spans="1:35" x14ac:dyDescent="0.25">
      <c r="A1323" s="36">
        <v>99911321</v>
      </c>
      <c r="B1323" s="17" t="s">
        <v>32</v>
      </c>
      <c r="C1323" t="s">
        <v>90</v>
      </c>
      <c r="D1323" t="s">
        <v>91</v>
      </c>
      <c r="G1323" s="17" t="s">
        <v>48</v>
      </c>
      <c r="H1323" s="17">
        <v>1</v>
      </c>
      <c r="K1323" t="s">
        <v>268</v>
      </c>
      <c r="L1323" t="s">
        <v>269</v>
      </c>
      <c r="M1323" t="s">
        <v>131</v>
      </c>
      <c r="N1323">
        <v>30</v>
      </c>
      <c r="O1323" t="s">
        <v>40</v>
      </c>
      <c r="P1323" t="s">
        <v>40</v>
      </c>
      <c r="Q1323" t="s">
        <v>40</v>
      </c>
      <c r="S1323" t="s">
        <v>40</v>
      </c>
      <c r="V1323" t="s">
        <v>41</v>
      </c>
      <c r="W1323" t="s">
        <v>95</v>
      </c>
      <c r="X1323" t="str">
        <f>"7052143"</f>
        <v>7052143</v>
      </c>
      <c r="Y1323" t="s">
        <v>711</v>
      </c>
      <c r="Z1323" t="s">
        <v>268</v>
      </c>
      <c r="AA1323" t="s">
        <v>269</v>
      </c>
      <c r="AB1323" t="s">
        <v>131</v>
      </c>
      <c r="AC1323" t="s">
        <v>51</v>
      </c>
      <c r="AD1323" t="s">
        <v>45</v>
      </c>
      <c r="AE1323" s="1">
        <v>30475</v>
      </c>
      <c r="AF1323">
        <v>1</v>
      </c>
      <c r="AG1323" t="s">
        <v>269</v>
      </c>
      <c r="AH1323" s="36">
        <f t="shared" si="20"/>
        <v>36.06111111111111</v>
      </c>
      <c r="AI1323" s="40" t="s">
        <v>1778</v>
      </c>
    </row>
    <row r="1324" spans="1:35" x14ac:dyDescent="0.25">
      <c r="A1324" s="36">
        <v>99911322</v>
      </c>
      <c r="B1324" s="17" t="s">
        <v>32</v>
      </c>
      <c r="C1324" t="s">
        <v>79</v>
      </c>
      <c r="D1324" t="s">
        <v>80</v>
      </c>
      <c r="G1324" s="17" t="s">
        <v>35</v>
      </c>
      <c r="H1324" s="17">
        <v>1</v>
      </c>
      <c r="I1324" s="1">
        <v>42614</v>
      </c>
      <c r="J1324" s="1">
        <v>43344</v>
      </c>
      <c r="K1324" t="s">
        <v>1341</v>
      </c>
      <c r="L1324" t="s">
        <v>1342</v>
      </c>
      <c r="M1324" t="s">
        <v>1270</v>
      </c>
      <c r="N1324">
        <v>24</v>
      </c>
      <c r="O1324" t="s">
        <v>40</v>
      </c>
      <c r="S1324" t="s">
        <v>40</v>
      </c>
      <c r="U1324" s="1">
        <v>43344</v>
      </c>
      <c r="V1324" t="s">
        <v>41</v>
      </c>
      <c r="W1324" t="s">
        <v>75</v>
      </c>
      <c r="X1324" t="str">
        <f>"7191034"</f>
        <v>7191034</v>
      </c>
      <c r="Y1324" t="s">
        <v>1343</v>
      </c>
      <c r="Z1324" t="s">
        <v>1341</v>
      </c>
      <c r="AA1324" t="s">
        <v>1342</v>
      </c>
      <c r="AB1324" t="s">
        <v>1270</v>
      </c>
      <c r="AC1324" t="s">
        <v>51</v>
      </c>
      <c r="AD1324" t="s">
        <v>45</v>
      </c>
      <c r="AE1324" s="1">
        <v>30469</v>
      </c>
      <c r="AF1324">
        <v>1</v>
      </c>
      <c r="AG1324" t="s">
        <v>1342</v>
      </c>
      <c r="AH1324" s="36">
        <f t="shared" si="20"/>
        <v>36.077777777777776</v>
      </c>
      <c r="AI1324" s="40" t="s">
        <v>1778</v>
      </c>
    </row>
    <row r="1325" spans="1:35" x14ac:dyDescent="0.25">
      <c r="A1325" s="36">
        <v>99911323</v>
      </c>
      <c r="B1325" s="17" t="s">
        <v>32</v>
      </c>
      <c r="C1325" t="s">
        <v>58</v>
      </c>
      <c r="D1325" t="s">
        <v>59</v>
      </c>
      <c r="G1325" s="17" t="s">
        <v>48</v>
      </c>
      <c r="H1325" s="17">
        <v>1</v>
      </c>
      <c r="K1325" t="s">
        <v>223</v>
      </c>
      <c r="L1325" t="s">
        <v>224</v>
      </c>
      <c r="M1325" t="s">
        <v>131</v>
      </c>
      <c r="N1325">
        <v>21</v>
      </c>
      <c r="O1325" t="s">
        <v>40</v>
      </c>
      <c r="P1325" t="s">
        <v>40</v>
      </c>
      <c r="Q1325" t="s">
        <v>40</v>
      </c>
      <c r="S1325" t="s">
        <v>40</v>
      </c>
      <c r="V1325" t="s">
        <v>41</v>
      </c>
      <c r="W1325" t="s">
        <v>49</v>
      </c>
      <c r="X1325" t="str">
        <f>"0581206"</f>
        <v>0581206</v>
      </c>
      <c r="Y1325" t="s">
        <v>232</v>
      </c>
      <c r="Z1325" t="s">
        <v>223</v>
      </c>
      <c r="AA1325" t="s">
        <v>224</v>
      </c>
      <c r="AB1325" t="s">
        <v>131</v>
      </c>
      <c r="AC1325" t="s">
        <v>51</v>
      </c>
      <c r="AD1325" t="s">
        <v>45</v>
      </c>
      <c r="AE1325" s="1">
        <v>30468</v>
      </c>
      <c r="AF1325">
        <v>2</v>
      </c>
      <c r="AG1325" t="s">
        <v>224</v>
      </c>
      <c r="AH1325" s="36">
        <f t="shared" si="20"/>
        <v>36.080555555555556</v>
      </c>
      <c r="AI1325" s="40" t="s">
        <v>1778</v>
      </c>
    </row>
    <row r="1326" spans="1:35" x14ac:dyDescent="0.25">
      <c r="A1326" s="36">
        <v>99911324</v>
      </c>
      <c r="B1326" s="17" t="s">
        <v>32</v>
      </c>
      <c r="C1326" t="s">
        <v>90</v>
      </c>
      <c r="D1326" t="s">
        <v>91</v>
      </c>
      <c r="G1326" s="17" t="s">
        <v>35</v>
      </c>
      <c r="H1326" s="17">
        <v>1</v>
      </c>
      <c r="I1326" t="s">
        <v>759</v>
      </c>
      <c r="J1326" s="1">
        <v>42767</v>
      </c>
      <c r="K1326" t="s">
        <v>407</v>
      </c>
      <c r="L1326" t="s">
        <v>409</v>
      </c>
      <c r="M1326" t="s">
        <v>131</v>
      </c>
      <c r="N1326">
        <v>23</v>
      </c>
      <c r="O1326" t="s">
        <v>40</v>
      </c>
      <c r="P1326" t="s">
        <v>40</v>
      </c>
      <c r="Q1326" t="s">
        <v>40</v>
      </c>
      <c r="S1326" t="s">
        <v>40</v>
      </c>
      <c r="U1326" s="1">
        <v>42767</v>
      </c>
      <c r="V1326" t="s">
        <v>41</v>
      </c>
      <c r="W1326" t="s">
        <v>95</v>
      </c>
      <c r="X1326" t="str">
        <f>"7053007"</f>
        <v>7053007</v>
      </c>
      <c r="Y1326" t="s">
        <v>756</v>
      </c>
      <c r="Z1326" t="s">
        <v>407</v>
      </c>
      <c r="AA1326" t="s">
        <v>409</v>
      </c>
      <c r="AB1326" t="s">
        <v>131</v>
      </c>
      <c r="AC1326" t="s">
        <v>51</v>
      </c>
      <c r="AD1326" t="s">
        <v>45</v>
      </c>
      <c r="AE1326" s="1">
        <v>30468</v>
      </c>
      <c r="AF1326">
        <v>1</v>
      </c>
      <c r="AG1326" t="s">
        <v>409</v>
      </c>
      <c r="AH1326" s="36">
        <f t="shared" si="20"/>
        <v>36.080555555555556</v>
      </c>
      <c r="AI1326" s="40" t="s">
        <v>1778</v>
      </c>
    </row>
    <row r="1327" spans="1:35" x14ac:dyDescent="0.25">
      <c r="A1327" s="36">
        <v>99911325</v>
      </c>
      <c r="B1327" s="17" t="s">
        <v>32</v>
      </c>
      <c r="C1327" t="s">
        <v>46</v>
      </c>
      <c r="D1327" t="s">
        <v>47</v>
      </c>
      <c r="G1327" s="17" t="s">
        <v>35</v>
      </c>
      <c r="H1327" s="17">
        <v>1</v>
      </c>
      <c r="I1327" t="s">
        <v>323</v>
      </c>
      <c r="J1327" s="1">
        <v>43353</v>
      </c>
      <c r="K1327" t="s">
        <v>300</v>
      </c>
      <c r="L1327" t="s">
        <v>301</v>
      </c>
      <c r="M1327" t="s">
        <v>131</v>
      </c>
      <c r="N1327">
        <v>5</v>
      </c>
      <c r="O1327" t="s">
        <v>40</v>
      </c>
      <c r="S1327" t="s">
        <v>40</v>
      </c>
      <c r="U1327" s="1">
        <v>43353</v>
      </c>
      <c r="V1327" t="s">
        <v>41</v>
      </c>
      <c r="W1327" t="s">
        <v>42</v>
      </c>
      <c r="X1327" t="str">
        <f>"0580106"</f>
        <v>0580106</v>
      </c>
      <c r="Y1327" t="s">
        <v>306</v>
      </c>
      <c r="Z1327" t="s">
        <v>300</v>
      </c>
      <c r="AA1327" t="s">
        <v>301</v>
      </c>
      <c r="AB1327" t="s">
        <v>131</v>
      </c>
      <c r="AC1327" t="s">
        <v>44</v>
      </c>
      <c r="AD1327" t="s">
        <v>45</v>
      </c>
      <c r="AE1327" s="1">
        <v>30457</v>
      </c>
      <c r="AF1327">
        <v>2</v>
      </c>
      <c r="AG1327" t="s">
        <v>301</v>
      </c>
      <c r="AH1327" s="36">
        <f t="shared" si="20"/>
        <v>36.111111111111114</v>
      </c>
      <c r="AI1327" s="40" t="s">
        <v>1778</v>
      </c>
    </row>
    <row r="1328" spans="1:35" x14ac:dyDescent="0.25">
      <c r="A1328" s="36">
        <v>99911326</v>
      </c>
      <c r="B1328" s="17" t="s">
        <v>32</v>
      </c>
      <c r="C1328" t="s">
        <v>71</v>
      </c>
      <c r="D1328" t="s">
        <v>72</v>
      </c>
      <c r="G1328" s="17" t="s">
        <v>88</v>
      </c>
      <c r="H1328" s="17">
        <v>5</v>
      </c>
      <c r="K1328" t="s">
        <v>431</v>
      </c>
      <c r="L1328" t="s">
        <v>196</v>
      </c>
      <c r="M1328" t="s">
        <v>131</v>
      </c>
      <c r="N1328">
        <v>14</v>
      </c>
      <c r="O1328" t="s">
        <v>40</v>
      </c>
      <c r="P1328" t="s">
        <v>40</v>
      </c>
      <c r="Q1328" t="s">
        <v>40</v>
      </c>
      <c r="R1328" t="s">
        <v>40</v>
      </c>
      <c r="S1328" t="s">
        <v>40</v>
      </c>
      <c r="V1328" t="s">
        <v>41</v>
      </c>
      <c r="W1328" t="s">
        <v>75</v>
      </c>
      <c r="X1328" t="str">
        <f>"7521054"</f>
        <v>7521054</v>
      </c>
      <c r="Y1328" t="s">
        <v>476</v>
      </c>
      <c r="Z1328" t="s">
        <v>431</v>
      </c>
      <c r="AA1328" t="s">
        <v>196</v>
      </c>
      <c r="AB1328" t="s">
        <v>131</v>
      </c>
      <c r="AC1328" t="s">
        <v>51</v>
      </c>
      <c r="AD1328" t="s">
        <v>45</v>
      </c>
      <c r="AE1328" s="1">
        <v>30457</v>
      </c>
      <c r="AF1328">
        <v>1</v>
      </c>
      <c r="AG1328" t="s">
        <v>196</v>
      </c>
      <c r="AH1328" s="36">
        <f t="shared" si="20"/>
        <v>36.111111111111114</v>
      </c>
      <c r="AI1328" s="40" t="s">
        <v>1778</v>
      </c>
    </row>
    <row r="1329" spans="1:35" x14ac:dyDescent="0.25">
      <c r="A1329" s="36">
        <v>99911327</v>
      </c>
      <c r="B1329" s="17" t="s">
        <v>32</v>
      </c>
      <c r="C1329" t="s">
        <v>68</v>
      </c>
      <c r="D1329" t="s">
        <v>69</v>
      </c>
      <c r="G1329" s="17" t="s">
        <v>35</v>
      </c>
      <c r="H1329" s="17">
        <v>1</v>
      </c>
      <c r="I1329">
        <v>0</v>
      </c>
      <c r="J1329" s="1">
        <v>43344</v>
      </c>
      <c r="K1329" t="s">
        <v>223</v>
      </c>
      <c r="L1329" t="s">
        <v>224</v>
      </c>
      <c r="M1329" t="s">
        <v>131</v>
      </c>
      <c r="N1329">
        <v>23</v>
      </c>
      <c r="O1329" t="s">
        <v>40</v>
      </c>
      <c r="S1329" t="s">
        <v>40</v>
      </c>
      <c r="U1329" s="1">
        <v>43344</v>
      </c>
      <c r="V1329" t="s">
        <v>41</v>
      </c>
      <c r="W1329" t="s">
        <v>42</v>
      </c>
      <c r="X1329" t="str">
        <f>"0580206"</f>
        <v>0580206</v>
      </c>
      <c r="Y1329" t="s">
        <v>237</v>
      </c>
      <c r="Z1329" t="s">
        <v>223</v>
      </c>
      <c r="AA1329" t="s">
        <v>224</v>
      </c>
      <c r="AB1329" t="s">
        <v>131</v>
      </c>
      <c r="AC1329" t="s">
        <v>44</v>
      </c>
      <c r="AD1329" t="s">
        <v>45</v>
      </c>
      <c r="AE1329" s="1">
        <v>30456</v>
      </c>
      <c r="AF1329">
        <v>2</v>
      </c>
      <c r="AG1329" t="s">
        <v>224</v>
      </c>
      <c r="AH1329" s="36">
        <f t="shared" si="20"/>
        <v>36.113888888888887</v>
      </c>
      <c r="AI1329" s="40" t="s">
        <v>1778</v>
      </c>
    </row>
    <row r="1330" spans="1:35" x14ac:dyDescent="0.25">
      <c r="A1330" s="36">
        <v>99911328</v>
      </c>
      <c r="B1330" s="17" t="s">
        <v>56</v>
      </c>
      <c r="C1330" t="s">
        <v>61</v>
      </c>
      <c r="D1330" t="s">
        <v>62</v>
      </c>
      <c r="G1330" s="17" t="s">
        <v>48</v>
      </c>
      <c r="H1330" s="17">
        <v>1</v>
      </c>
      <c r="K1330" t="s">
        <v>345</v>
      </c>
      <c r="L1330" t="s">
        <v>346</v>
      </c>
      <c r="M1330" t="s">
        <v>131</v>
      </c>
      <c r="N1330">
        <v>13</v>
      </c>
      <c r="O1330" t="s">
        <v>40</v>
      </c>
      <c r="P1330" t="s">
        <v>40</v>
      </c>
      <c r="Q1330" t="s">
        <v>40</v>
      </c>
      <c r="S1330" t="s">
        <v>40</v>
      </c>
      <c r="V1330" t="s">
        <v>41</v>
      </c>
      <c r="W1330" t="s">
        <v>42</v>
      </c>
      <c r="X1330" t="str">
        <f>"0580605"</f>
        <v>0580605</v>
      </c>
      <c r="Y1330" t="s">
        <v>362</v>
      </c>
      <c r="Z1330" t="s">
        <v>345</v>
      </c>
      <c r="AA1330" t="s">
        <v>346</v>
      </c>
      <c r="AB1330" t="s">
        <v>131</v>
      </c>
      <c r="AC1330" t="s">
        <v>51</v>
      </c>
      <c r="AD1330" t="s">
        <v>45</v>
      </c>
      <c r="AE1330" s="1">
        <v>30454</v>
      </c>
      <c r="AF1330">
        <v>2</v>
      </c>
      <c r="AG1330" t="s">
        <v>346</v>
      </c>
      <c r="AH1330" s="36">
        <f t="shared" si="20"/>
        <v>36.119444444444447</v>
      </c>
      <c r="AI1330" s="40" t="s">
        <v>1778</v>
      </c>
    </row>
    <row r="1331" spans="1:35" x14ac:dyDescent="0.25">
      <c r="A1331" s="36">
        <v>99911329</v>
      </c>
      <c r="B1331" s="17" t="s">
        <v>32</v>
      </c>
      <c r="C1331" t="s">
        <v>90</v>
      </c>
      <c r="D1331" t="s">
        <v>91</v>
      </c>
      <c r="G1331" s="17" t="s">
        <v>48</v>
      </c>
      <c r="H1331" s="17">
        <v>1</v>
      </c>
      <c r="K1331" t="s">
        <v>1081</v>
      </c>
      <c r="L1331" t="s">
        <v>1082</v>
      </c>
      <c r="M1331" t="s">
        <v>1053</v>
      </c>
      <c r="N1331">
        <v>25</v>
      </c>
      <c r="O1331" t="s">
        <v>40</v>
      </c>
      <c r="P1331" t="s">
        <v>40</v>
      </c>
      <c r="Q1331" t="s">
        <v>40</v>
      </c>
      <c r="S1331" t="s">
        <v>40</v>
      </c>
      <c r="V1331" t="s">
        <v>41</v>
      </c>
      <c r="W1331" t="s">
        <v>95</v>
      </c>
      <c r="X1331" t="str">
        <f>"7201007"</f>
        <v>7201007</v>
      </c>
      <c r="Y1331" t="s">
        <v>1095</v>
      </c>
      <c r="Z1331" t="s">
        <v>1081</v>
      </c>
      <c r="AA1331" t="s">
        <v>1082</v>
      </c>
      <c r="AB1331" t="s">
        <v>1053</v>
      </c>
      <c r="AC1331" t="s">
        <v>51</v>
      </c>
      <c r="AD1331" t="s">
        <v>45</v>
      </c>
      <c r="AE1331" s="1">
        <v>30451</v>
      </c>
      <c r="AF1331">
        <v>1</v>
      </c>
      <c r="AG1331" t="s">
        <v>1082</v>
      </c>
      <c r="AH1331" s="36">
        <f t="shared" si="20"/>
        <v>36.12777777777778</v>
      </c>
      <c r="AI1331" s="40" t="s">
        <v>1778</v>
      </c>
    </row>
    <row r="1332" spans="1:35" x14ac:dyDescent="0.25">
      <c r="A1332" s="36">
        <v>99911330</v>
      </c>
      <c r="B1332" s="17" t="s">
        <v>32</v>
      </c>
      <c r="C1332" t="s">
        <v>46</v>
      </c>
      <c r="D1332" t="s">
        <v>47</v>
      </c>
      <c r="G1332" s="17" t="s">
        <v>48</v>
      </c>
      <c r="H1332" s="17">
        <v>1</v>
      </c>
      <c r="K1332" t="s">
        <v>1613</v>
      </c>
      <c r="L1332" t="s">
        <v>1614</v>
      </c>
      <c r="M1332" t="s">
        <v>1592</v>
      </c>
      <c r="N1332">
        <v>20</v>
      </c>
      <c r="O1332" t="s">
        <v>40</v>
      </c>
      <c r="P1332" t="s">
        <v>40</v>
      </c>
      <c r="Q1332" t="s">
        <v>40</v>
      </c>
      <c r="R1332" t="s">
        <v>40</v>
      </c>
      <c r="S1332" t="s">
        <v>40</v>
      </c>
      <c r="V1332" t="s">
        <v>41</v>
      </c>
      <c r="W1332" t="s">
        <v>42</v>
      </c>
      <c r="X1332" t="str">
        <f>"2861001"</f>
        <v>2861001</v>
      </c>
      <c r="Y1332" t="s">
        <v>1621</v>
      </c>
      <c r="Z1332" t="s">
        <v>1613</v>
      </c>
      <c r="AA1332" t="s">
        <v>1614</v>
      </c>
      <c r="AB1332" t="s">
        <v>1592</v>
      </c>
      <c r="AC1332" t="s">
        <v>51</v>
      </c>
      <c r="AD1332" t="s">
        <v>45</v>
      </c>
      <c r="AE1332" s="1">
        <v>30449</v>
      </c>
      <c r="AF1332">
        <v>2</v>
      </c>
      <c r="AG1332" t="s">
        <v>1614</v>
      </c>
      <c r="AH1332" s="36">
        <f t="shared" si="20"/>
        <v>36.133333333333333</v>
      </c>
      <c r="AI1332" s="40" t="s">
        <v>1778</v>
      </c>
    </row>
    <row r="1333" spans="1:35" x14ac:dyDescent="0.25">
      <c r="A1333" s="36">
        <v>99911331</v>
      </c>
      <c r="B1333" s="17" t="s">
        <v>56</v>
      </c>
      <c r="C1333" t="s">
        <v>111</v>
      </c>
      <c r="D1333" t="s">
        <v>112</v>
      </c>
      <c r="G1333" s="17" t="s">
        <v>35</v>
      </c>
      <c r="H1333" s="17">
        <v>1</v>
      </c>
      <c r="I1333" t="s">
        <v>766</v>
      </c>
      <c r="J1333" s="1">
        <v>43344</v>
      </c>
      <c r="K1333" t="s">
        <v>354</v>
      </c>
      <c r="L1333" t="s">
        <v>355</v>
      </c>
      <c r="M1333" t="s">
        <v>131</v>
      </c>
      <c r="N1333">
        <v>24</v>
      </c>
      <c r="O1333" t="s">
        <v>40</v>
      </c>
      <c r="S1333" t="s">
        <v>40</v>
      </c>
      <c r="U1333" s="1">
        <v>43344</v>
      </c>
      <c r="V1333" t="s">
        <v>41</v>
      </c>
      <c r="W1333" t="s">
        <v>75</v>
      </c>
      <c r="X1333" t="str">
        <f>"7054032"</f>
        <v>7054032</v>
      </c>
      <c r="Y1333" t="s">
        <v>767</v>
      </c>
      <c r="Z1333" t="s">
        <v>354</v>
      </c>
      <c r="AA1333" t="s">
        <v>355</v>
      </c>
      <c r="AB1333" t="s">
        <v>131</v>
      </c>
      <c r="AC1333" t="s">
        <v>51</v>
      </c>
      <c r="AD1333" t="s">
        <v>45</v>
      </c>
      <c r="AE1333" s="1">
        <v>30447</v>
      </c>
      <c r="AF1333">
        <v>1</v>
      </c>
      <c r="AG1333" t="s">
        <v>355</v>
      </c>
      <c r="AH1333" s="36">
        <f t="shared" si="20"/>
        <v>36.138888888888886</v>
      </c>
      <c r="AI1333" s="40" t="s">
        <v>1778</v>
      </c>
    </row>
    <row r="1334" spans="1:35" x14ac:dyDescent="0.25">
      <c r="A1334" s="36">
        <v>99911332</v>
      </c>
      <c r="B1334" s="17" t="s">
        <v>32</v>
      </c>
      <c r="C1334" t="s">
        <v>90</v>
      </c>
      <c r="D1334" t="s">
        <v>91</v>
      </c>
      <c r="G1334" s="17" t="s">
        <v>35</v>
      </c>
      <c r="H1334" s="17">
        <v>1</v>
      </c>
      <c r="I1334" t="s">
        <v>286</v>
      </c>
      <c r="J1334" s="1">
        <v>43344</v>
      </c>
      <c r="K1334" t="s">
        <v>268</v>
      </c>
      <c r="L1334" t="s">
        <v>269</v>
      </c>
      <c r="M1334" t="s">
        <v>131</v>
      </c>
      <c r="N1334">
        <v>25</v>
      </c>
      <c r="O1334" t="s">
        <v>40</v>
      </c>
      <c r="S1334" t="s">
        <v>40</v>
      </c>
      <c r="V1334" t="s">
        <v>41</v>
      </c>
      <c r="W1334" t="s">
        <v>95</v>
      </c>
      <c r="X1334" t="str">
        <f>"7052013"</f>
        <v>7052013</v>
      </c>
      <c r="Y1334" t="s">
        <v>620</v>
      </c>
      <c r="Z1334" t="s">
        <v>268</v>
      </c>
      <c r="AA1334" t="s">
        <v>269</v>
      </c>
      <c r="AB1334" t="s">
        <v>131</v>
      </c>
      <c r="AC1334" t="s">
        <v>51</v>
      </c>
      <c r="AD1334" t="s">
        <v>45</v>
      </c>
      <c r="AE1334" s="1">
        <v>30439</v>
      </c>
      <c r="AF1334">
        <v>1</v>
      </c>
      <c r="AG1334" t="s">
        <v>269</v>
      </c>
      <c r="AH1334" s="36">
        <f t="shared" si="20"/>
        <v>36.161111111111111</v>
      </c>
      <c r="AI1334" s="40" t="s">
        <v>1778</v>
      </c>
    </row>
    <row r="1335" spans="1:35" x14ac:dyDescent="0.25">
      <c r="A1335" s="36">
        <v>99911333</v>
      </c>
      <c r="B1335" s="17" t="s">
        <v>56</v>
      </c>
      <c r="C1335" t="s">
        <v>85</v>
      </c>
      <c r="D1335" t="s">
        <v>86</v>
      </c>
      <c r="G1335" s="17" t="s">
        <v>35</v>
      </c>
      <c r="H1335" s="17">
        <v>1</v>
      </c>
      <c r="I1335" t="s">
        <v>1154</v>
      </c>
      <c r="J1335" s="1">
        <v>43344</v>
      </c>
      <c r="K1335" t="s">
        <v>1128</v>
      </c>
      <c r="L1335" t="s">
        <v>1129</v>
      </c>
      <c r="M1335" t="s">
        <v>1130</v>
      </c>
      <c r="N1335">
        <v>23</v>
      </c>
      <c r="O1335" t="s">
        <v>40</v>
      </c>
      <c r="P1335" t="s">
        <v>40</v>
      </c>
      <c r="Q1335" t="s">
        <v>40</v>
      </c>
      <c r="S1335" t="s">
        <v>40</v>
      </c>
      <c r="U1335" s="1">
        <v>43344</v>
      </c>
      <c r="V1335" t="s">
        <v>41</v>
      </c>
      <c r="W1335" t="s">
        <v>49</v>
      </c>
      <c r="X1335" t="str">
        <f>"3181010"</f>
        <v>3181010</v>
      </c>
      <c r="Y1335" t="s">
        <v>1134</v>
      </c>
      <c r="Z1335" t="s">
        <v>1128</v>
      </c>
      <c r="AA1335" t="s">
        <v>1129</v>
      </c>
      <c r="AB1335" t="s">
        <v>1130</v>
      </c>
      <c r="AC1335" t="s">
        <v>51</v>
      </c>
      <c r="AD1335" t="s">
        <v>45</v>
      </c>
      <c r="AE1335" s="1">
        <v>30437</v>
      </c>
      <c r="AF1335">
        <v>2</v>
      </c>
      <c r="AG1335" t="s">
        <v>1129</v>
      </c>
      <c r="AH1335" s="36">
        <f t="shared" si="20"/>
        <v>36.166666666666664</v>
      </c>
      <c r="AI1335" s="40" t="s">
        <v>1778</v>
      </c>
    </row>
    <row r="1336" spans="1:35" x14ac:dyDescent="0.25">
      <c r="A1336" s="36">
        <v>99911334</v>
      </c>
      <c r="B1336" s="17" t="s">
        <v>56</v>
      </c>
      <c r="C1336" t="s">
        <v>82</v>
      </c>
      <c r="D1336" t="s">
        <v>83</v>
      </c>
      <c r="G1336" s="17" t="s">
        <v>35</v>
      </c>
      <c r="H1336" s="17">
        <v>1</v>
      </c>
      <c r="I1336" t="s">
        <v>215</v>
      </c>
      <c r="J1336" s="1">
        <v>43344</v>
      </c>
      <c r="K1336" t="s">
        <v>157</v>
      </c>
      <c r="L1336" t="s">
        <v>158</v>
      </c>
      <c r="M1336" t="s">
        <v>131</v>
      </c>
      <c r="N1336">
        <v>14</v>
      </c>
      <c r="O1336" t="s">
        <v>40</v>
      </c>
      <c r="P1336" t="s">
        <v>40</v>
      </c>
      <c r="Q1336" t="s">
        <v>40</v>
      </c>
      <c r="S1336" t="s">
        <v>40</v>
      </c>
      <c r="U1336" s="1">
        <v>43344</v>
      </c>
      <c r="V1336" t="s">
        <v>41</v>
      </c>
      <c r="W1336" t="s">
        <v>42</v>
      </c>
      <c r="X1336" t="str">
        <f>"0580725"</f>
        <v>0580725</v>
      </c>
      <c r="Y1336" t="s">
        <v>167</v>
      </c>
      <c r="Z1336" t="s">
        <v>157</v>
      </c>
      <c r="AA1336" t="s">
        <v>158</v>
      </c>
      <c r="AB1336" t="s">
        <v>131</v>
      </c>
      <c r="AC1336" t="s">
        <v>55</v>
      </c>
      <c r="AD1336" t="s">
        <v>45</v>
      </c>
      <c r="AE1336" s="1">
        <v>30436</v>
      </c>
      <c r="AF1336">
        <v>2</v>
      </c>
      <c r="AG1336" t="s">
        <v>158</v>
      </c>
      <c r="AH1336" s="36">
        <f t="shared" si="20"/>
        <v>36.169444444444444</v>
      </c>
      <c r="AI1336" s="40" t="s">
        <v>1778</v>
      </c>
    </row>
    <row r="1337" spans="1:35" x14ac:dyDescent="0.25">
      <c r="A1337" s="36">
        <v>99911335</v>
      </c>
      <c r="B1337" s="17" t="s">
        <v>32</v>
      </c>
      <c r="C1337" t="s">
        <v>46</v>
      </c>
      <c r="D1337" t="s">
        <v>47</v>
      </c>
      <c r="G1337" s="17" t="s">
        <v>35</v>
      </c>
      <c r="H1337" s="17">
        <v>1</v>
      </c>
      <c r="K1337" t="s">
        <v>1546</v>
      </c>
      <c r="L1337" t="s">
        <v>1547</v>
      </c>
      <c r="M1337" t="s">
        <v>1548</v>
      </c>
      <c r="N1337">
        <v>21</v>
      </c>
      <c r="O1337" t="s">
        <v>40</v>
      </c>
      <c r="P1337" t="s">
        <v>40</v>
      </c>
      <c r="Q1337" t="s">
        <v>40</v>
      </c>
      <c r="R1337" t="s">
        <v>40</v>
      </c>
      <c r="S1337" t="s">
        <v>40</v>
      </c>
      <c r="V1337" t="s">
        <v>41</v>
      </c>
      <c r="W1337" t="s">
        <v>42</v>
      </c>
      <c r="X1337" t="str">
        <f>"1080010"</f>
        <v>1080010</v>
      </c>
      <c r="Y1337" t="s">
        <v>1549</v>
      </c>
      <c r="Z1337" t="s">
        <v>1546</v>
      </c>
      <c r="AA1337" t="s">
        <v>1547</v>
      </c>
      <c r="AB1337" t="s">
        <v>1548</v>
      </c>
      <c r="AC1337" t="s">
        <v>51</v>
      </c>
      <c r="AD1337" t="s">
        <v>45</v>
      </c>
      <c r="AE1337" s="1">
        <v>30436</v>
      </c>
      <c r="AF1337">
        <v>2</v>
      </c>
      <c r="AG1337" t="s">
        <v>1547</v>
      </c>
      <c r="AH1337" s="36">
        <f t="shared" si="20"/>
        <v>36.169444444444444</v>
      </c>
      <c r="AI1337" s="40" t="s">
        <v>1778</v>
      </c>
    </row>
    <row r="1338" spans="1:35" x14ac:dyDescent="0.25">
      <c r="A1338" s="36">
        <v>99911336</v>
      </c>
      <c r="B1338" s="17" t="s">
        <v>32</v>
      </c>
      <c r="C1338" t="s">
        <v>139</v>
      </c>
      <c r="D1338" t="s">
        <v>140</v>
      </c>
      <c r="G1338" s="17" t="s">
        <v>35</v>
      </c>
      <c r="H1338" s="17">
        <v>1</v>
      </c>
      <c r="I1338">
        <v>22305</v>
      </c>
      <c r="J1338" s="1">
        <v>43344</v>
      </c>
      <c r="K1338" t="s">
        <v>1268</v>
      </c>
      <c r="L1338" t="s">
        <v>1269</v>
      </c>
      <c r="M1338" t="s">
        <v>1270</v>
      </c>
      <c r="N1338">
        <v>23</v>
      </c>
      <c r="O1338" t="s">
        <v>40</v>
      </c>
      <c r="P1338" t="s">
        <v>40</v>
      </c>
      <c r="Q1338" t="s">
        <v>40</v>
      </c>
      <c r="R1338" t="s">
        <v>40</v>
      </c>
      <c r="S1338" t="s">
        <v>40</v>
      </c>
      <c r="U1338" s="1">
        <v>43344</v>
      </c>
      <c r="V1338" t="s">
        <v>41</v>
      </c>
      <c r="W1338" t="s">
        <v>49</v>
      </c>
      <c r="X1338" t="str">
        <f>"1981055"</f>
        <v>1981055</v>
      </c>
      <c r="Y1338" t="s">
        <v>1280</v>
      </c>
      <c r="Z1338" t="s">
        <v>1268</v>
      </c>
      <c r="AA1338" t="s">
        <v>1269</v>
      </c>
      <c r="AB1338" t="s">
        <v>1270</v>
      </c>
      <c r="AC1338" t="s">
        <v>44</v>
      </c>
      <c r="AD1338" t="s">
        <v>45</v>
      </c>
      <c r="AE1338" s="1">
        <v>30435</v>
      </c>
      <c r="AF1338">
        <v>2</v>
      </c>
      <c r="AG1338" t="s">
        <v>1269</v>
      </c>
      <c r="AH1338" s="36">
        <f t="shared" si="20"/>
        <v>36.172222222222224</v>
      </c>
      <c r="AI1338" s="40" t="s">
        <v>1778</v>
      </c>
    </row>
    <row r="1339" spans="1:35" x14ac:dyDescent="0.25">
      <c r="A1339" s="36">
        <v>99911337</v>
      </c>
      <c r="B1339" s="17" t="s">
        <v>32</v>
      </c>
      <c r="C1339" t="s">
        <v>90</v>
      </c>
      <c r="D1339" t="s">
        <v>91</v>
      </c>
      <c r="G1339" s="17" t="s">
        <v>35</v>
      </c>
      <c r="H1339" s="17">
        <v>1</v>
      </c>
      <c r="K1339" t="s">
        <v>667</v>
      </c>
      <c r="L1339" t="s">
        <v>669</v>
      </c>
      <c r="M1339" t="s">
        <v>670</v>
      </c>
      <c r="N1339">
        <v>25</v>
      </c>
      <c r="O1339" t="s">
        <v>40</v>
      </c>
      <c r="P1339" t="s">
        <v>40</v>
      </c>
      <c r="Q1339" t="s">
        <v>40</v>
      </c>
      <c r="S1339" t="s">
        <v>40</v>
      </c>
      <c r="V1339" t="s">
        <v>41</v>
      </c>
      <c r="W1339" t="s">
        <v>95</v>
      </c>
      <c r="X1339" t="str">
        <f>"7501001"</f>
        <v>7501001</v>
      </c>
      <c r="Y1339" t="s">
        <v>1525</v>
      </c>
      <c r="Z1339" t="s">
        <v>667</v>
      </c>
      <c r="AA1339" t="s">
        <v>669</v>
      </c>
      <c r="AB1339" t="s">
        <v>670</v>
      </c>
      <c r="AC1339" t="s">
        <v>51</v>
      </c>
      <c r="AD1339" t="s">
        <v>45</v>
      </c>
      <c r="AE1339" s="1">
        <v>30432</v>
      </c>
      <c r="AF1339">
        <v>1</v>
      </c>
      <c r="AG1339" t="s">
        <v>669</v>
      </c>
      <c r="AH1339" s="36">
        <f t="shared" si="20"/>
        <v>36.180555555555557</v>
      </c>
      <c r="AI1339" s="40" t="s">
        <v>1778</v>
      </c>
    </row>
    <row r="1340" spans="1:35" x14ac:dyDescent="0.25">
      <c r="A1340" s="36">
        <v>99911338</v>
      </c>
      <c r="B1340" s="17" t="s">
        <v>56</v>
      </c>
      <c r="C1340" t="s">
        <v>52</v>
      </c>
      <c r="D1340" t="s">
        <v>53</v>
      </c>
      <c r="G1340" s="17" t="s">
        <v>35</v>
      </c>
      <c r="H1340" s="17">
        <v>1</v>
      </c>
      <c r="K1340" t="s">
        <v>300</v>
      </c>
      <c r="L1340" t="s">
        <v>301</v>
      </c>
      <c r="M1340" t="s">
        <v>131</v>
      </c>
      <c r="N1340">
        <v>16</v>
      </c>
      <c r="O1340" t="s">
        <v>40</v>
      </c>
      <c r="P1340" t="s">
        <v>40</v>
      </c>
      <c r="Q1340" t="s">
        <v>40</v>
      </c>
      <c r="R1340" t="s">
        <v>40</v>
      </c>
      <c r="S1340" t="s">
        <v>40</v>
      </c>
      <c r="V1340" t="s">
        <v>41</v>
      </c>
      <c r="W1340" t="s">
        <v>42</v>
      </c>
      <c r="X1340" t="str">
        <f>"0580457"</f>
        <v>0580457</v>
      </c>
      <c r="Y1340" t="s">
        <v>310</v>
      </c>
      <c r="Z1340" t="s">
        <v>300</v>
      </c>
      <c r="AA1340" t="s">
        <v>301</v>
      </c>
      <c r="AB1340" t="s">
        <v>131</v>
      </c>
      <c r="AC1340" t="s">
        <v>51</v>
      </c>
      <c r="AD1340" t="s">
        <v>45</v>
      </c>
      <c r="AE1340" s="1">
        <v>30429</v>
      </c>
      <c r="AF1340">
        <v>2</v>
      </c>
      <c r="AG1340" t="s">
        <v>301</v>
      </c>
      <c r="AH1340" s="36">
        <f t="shared" si="20"/>
        <v>36.18888888888889</v>
      </c>
      <c r="AI1340" s="40" t="s">
        <v>1778</v>
      </c>
    </row>
    <row r="1341" spans="1:35" x14ac:dyDescent="0.25">
      <c r="A1341" s="36">
        <v>99911339</v>
      </c>
      <c r="B1341" s="17" t="s">
        <v>32</v>
      </c>
      <c r="C1341" t="s">
        <v>61</v>
      </c>
      <c r="D1341" t="s">
        <v>62</v>
      </c>
      <c r="G1341" s="17" t="s">
        <v>35</v>
      </c>
      <c r="H1341" s="17">
        <v>1</v>
      </c>
      <c r="I1341">
        <v>13284</v>
      </c>
      <c r="J1341" s="1">
        <v>43344</v>
      </c>
      <c r="K1341" t="s">
        <v>877</v>
      </c>
      <c r="L1341" t="s">
        <v>878</v>
      </c>
      <c r="M1341" t="s">
        <v>131</v>
      </c>
      <c r="N1341">
        <v>6</v>
      </c>
      <c r="O1341" t="s">
        <v>40</v>
      </c>
      <c r="S1341" t="s">
        <v>40</v>
      </c>
      <c r="U1341" s="1">
        <v>43344</v>
      </c>
      <c r="V1341" t="s">
        <v>41</v>
      </c>
      <c r="W1341" t="s">
        <v>75</v>
      </c>
      <c r="X1341" t="str">
        <f>"7541024"</f>
        <v>7541024</v>
      </c>
      <c r="Y1341" t="s">
        <v>885</v>
      </c>
      <c r="Z1341" t="s">
        <v>877</v>
      </c>
      <c r="AA1341" t="s">
        <v>878</v>
      </c>
      <c r="AB1341" t="s">
        <v>131</v>
      </c>
      <c r="AC1341" t="s">
        <v>51</v>
      </c>
      <c r="AD1341" t="s">
        <v>45</v>
      </c>
      <c r="AE1341" s="1">
        <v>30429</v>
      </c>
      <c r="AF1341">
        <v>1</v>
      </c>
      <c r="AG1341" t="s">
        <v>878</v>
      </c>
      <c r="AH1341" s="36">
        <f t="shared" si="20"/>
        <v>36.18888888888889</v>
      </c>
      <c r="AI1341" s="40" t="s">
        <v>1778</v>
      </c>
    </row>
    <row r="1342" spans="1:35" x14ac:dyDescent="0.25">
      <c r="A1342" s="36">
        <v>99911340</v>
      </c>
      <c r="B1342" s="17" t="s">
        <v>56</v>
      </c>
      <c r="C1342" t="s">
        <v>61</v>
      </c>
      <c r="D1342" t="s">
        <v>62</v>
      </c>
      <c r="G1342" s="17" t="s">
        <v>48</v>
      </c>
      <c r="H1342" s="17">
        <v>1</v>
      </c>
      <c r="K1342" t="s">
        <v>1695</v>
      </c>
      <c r="L1342" t="s">
        <v>1696</v>
      </c>
      <c r="M1342" t="s">
        <v>1592</v>
      </c>
      <c r="N1342">
        <v>24</v>
      </c>
      <c r="O1342" t="s">
        <v>40</v>
      </c>
      <c r="P1342" t="s">
        <v>40</v>
      </c>
      <c r="Q1342" t="s">
        <v>40</v>
      </c>
      <c r="R1342" t="s">
        <v>40</v>
      </c>
      <c r="S1342" t="s">
        <v>40</v>
      </c>
      <c r="V1342" t="s">
        <v>41</v>
      </c>
      <c r="W1342" t="s">
        <v>75</v>
      </c>
      <c r="X1342" t="str">
        <f>"7361000"</f>
        <v>7361000</v>
      </c>
      <c r="Y1342" t="s">
        <v>1698</v>
      </c>
      <c r="Z1342" t="s">
        <v>1695</v>
      </c>
      <c r="AA1342" t="s">
        <v>1696</v>
      </c>
      <c r="AB1342" t="s">
        <v>1592</v>
      </c>
      <c r="AC1342" t="s">
        <v>51</v>
      </c>
      <c r="AD1342" t="s">
        <v>45</v>
      </c>
      <c r="AE1342" s="1">
        <v>30428</v>
      </c>
      <c r="AF1342">
        <v>1</v>
      </c>
      <c r="AG1342" t="s">
        <v>1696</v>
      </c>
      <c r="AH1342" s="36">
        <f t="shared" si="20"/>
        <v>36.19166666666667</v>
      </c>
      <c r="AI1342" s="40" t="s">
        <v>1778</v>
      </c>
    </row>
    <row r="1343" spans="1:35" x14ac:dyDescent="0.25">
      <c r="A1343" s="36">
        <v>99911341</v>
      </c>
      <c r="B1343" s="17" t="s">
        <v>32</v>
      </c>
      <c r="C1343" t="s">
        <v>46</v>
      </c>
      <c r="D1343" t="s">
        <v>47</v>
      </c>
      <c r="G1343" s="17" t="s">
        <v>48</v>
      </c>
      <c r="H1343" s="17">
        <v>1</v>
      </c>
      <c r="K1343" t="s">
        <v>223</v>
      </c>
      <c r="L1343" t="s">
        <v>224</v>
      </c>
      <c r="M1343" t="s">
        <v>131</v>
      </c>
      <c r="N1343">
        <v>21</v>
      </c>
      <c r="O1343" t="s">
        <v>40</v>
      </c>
      <c r="P1343" t="s">
        <v>40</v>
      </c>
      <c r="Q1343" t="s">
        <v>40</v>
      </c>
      <c r="R1343" t="s">
        <v>40</v>
      </c>
      <c r="S1343" t="s">
        <v>40</v>
      </c>
      <c r="V1343" t="s">
        <v>41</v>
      </c>
      <c r="W1343" t="s">
        <v>49</v>
      </c>
      <c r="X1343" t="str">
        <f>"0581265"</f>
        <v>0581265</v>
      </c>
      <c r="Y1343" t="s">
        <v>236</v>
      </c>
      <c r="Z1343" t="s">
        <v>223</v>
      </c>
      <c r="AA1343" t="s">
        <v>224</v>
      </c>
      <c r="AB1343" t="s">
        <v>131</v>
      </c>
      <c r="AC1343" t="s">
        <v>51</v>
      </c>
      <c r="AD1343" t="s">
        <v>45</v>
      </c>
      <c r="AE1343" s="1">
        <v>30424</v>
      </c>
      <c r="AF1343">
        <v>2</v>
      </c>
      <c r="AG1343" t="s">
        <v>224</v>
      </c>
      <c r="AH1343" s="36">
        <f t="shared" si="20"/>
        <v>36.202777777777776</v>
      </c>
      <c r="AI1343" s="40" t="s">
        <v>1778</v>
      </c>
    </row>
    <row r="1344" spans="1:35" x14ac:dyDescent="0.25">
      <c r="A1344" s="36">
        <v>99911342</v>
      </c>
      <c r="B1344" s="17" t="s">
        <v>32</v>
      </c>
      <c r="C1344" t="s">
        <v>136</v>
      </c>
      <c r="D1344" t="s">
        <v>137</v>
      </c>
      <c r="G1344" s="17" t="s">
        <v>88</v>
      </c>
      <c r="H1344" s="17">
        <v>2</v>
      </c>
      <c r="I1344" t="s">
        <v>455</v>
      </c>
      <c r="J1344" s="1">
        <v>41518</v>
      </c>
      <c r="K1344" t="s">
        <v>195</v>
      </c>
      <c r="L1344" t="s">
        <v>196</v>
      </c>
      <c r="M1344" t="s">
        <v>131</v>
      </c>
      <c r="N1344">
        <v>9</v>
      </c>
      <c r="O1344" t="s">
        <v>40</v>
      </c>
      <c r="P1344" t="s">
        <v>40</v>
      </c>
      <c r="Q1344" t="s">
        <v>40</v>
      </c>
      <c r="R1344" t="s">
        <v>40</v>
      </c>
      <c r="S1344" t="s">
        <v>40</v>
      </c>
      <c r="U1344" s="1">
        <v>41518</v>
      </c>
      <c r="V1344" t="s">
        <v>41</v>
      </c>
      <c r="W1344" t="s">
        <v>75</v>
      </c>
      <c r="X1344" t="str">
        <f>"7521050"</f>
        <v>7521050</v>
      </c>
      <c r="Y1344" t="s">
        <v>194</v>
      </c>
      <c r="Z1344" t="s">
        <v>195</v>
      </c>
      <c r="AA1344" t="s">
        <v>196</v>
      </c>
      <c r="AB1344" t="s">
        <v>131</v>
      </c>
      <c r="AC1344" t="s">
        <v>51</v>
      </c>
      <c r="AD1344" t="s">
        <v>45</v>
      </c>
      <c r="AE1344" s="1">
        <v>30423</v>
      </c>
      <c r="AF1344">
        <v>1</v>
      </c>
      <c r="AG1344" t="s">
        <v>196</v>
      </c>
      <c r="AH1344" s="36">
        <f t="shared" si="20"/>
        <v>36.205555555555556</v>
      </c>
      <c r="AI1344" s="40" t="s">
        <v>1778</v>
      </c>
    </row>
    <row r="1345" spans="1:35" x14ac:dyDescent="0.25">
      <c r="A1345" s="36">
        <v>99911343</v>
      </c>
      <c r="B1345" s="17" t="s">
        <v>32</v>
      </c>
      <c r="C1345" t="s">
        <v>90</v>
      </c>
      <c r="D1345" t="s">
        <v>91</v>
      </c>
      <c r="G1345" s="17" t="s">
        <v>48</v>
      </c>
      <c r="H1345" s="17">
        <v>1</v>
      </c>
      <c r="K1345" t="s">
        <v>407</v>
      </c>
      <c r="L1345" t="s">
        <v>409</v>
      </c>
      <c r="M1345" t="s">
        <v>131</v>
      </c>
      <c r="N1345">
        <v>24</v>
      </c>
      <c r="O1345" t="s">
        <v>40</v>
      </c>
      <c r="P1345" t="s">
        <v>40</v>
      </c>
      <c r="Q1345" t="s">
        <v>40</v>
      </c>
      <c r="S1345" t="s">
        <v>40</v>
      </c>
      <c r="V1345" t="s">
        <v>41</v>
      </c>
      <c r="W1345" t="s">
        <v>95</v>
      </c>
      <c r="X1345" t="str">
        <f>"7053001"</f>
        <v>7053001</v>
      </c>
      <c r="Y1345" t="s">
        <v>762</v>
      </c>
      <c r="Z1345" t="s">
        <v>407</v>
      </c>
      <c r="AA1345" t="s">
        <v>409</v>
      </c>
      <c r="AB1345" t="s">
        <v>131</v>
      </c>
      <c r="AC1345" t="s">
        <v>51</v>
      </c>
      <c r="AD1345" t="s">
        <v>45</v>
      </c>
      <c r="AE1345" s="1">
        <v>30413</v>
      </c>
      <c r="AF1345">
        <v>1</v>
      </c>
      <c r="AG1345" t="s">
        <v>409</v>
      </c>
      <c r="AH1345" s="36">
        <f t="shared" si="20"/>
        <v>36.233333333333334</v>
      </c>
      <c r="AI1345" s="40" t="s">
        <v>1778</v>
      </c>
    </row>
    <row r="1346" spans="1:35" x14ac:dyDescent="0.25">
      <c r="A1346" s="36">
        <v>99911344</v>
      </c>
      <c r="B1346" s="17" t="s">
        <v>56</v>
      </c>
      <c r="C1346" t="s">
        <v>61</v>
      </c>
      <c r="D1346" t="s">
        <v>62</v>
      </c>
      <c r="G1346" s="17" t="s">
        <v>35</v>
      </c>
      <c r="H1346" s="17">
        <v>1</v>
      </c>
      <c r="I1346" t="s">
        <v>1715</v>
      </c>
      <c r="J1346" s="1">
        <v>43385</v>
      </c>
      <c r="K1346" t="s">
        <v>1708</v>
      </c>
      <c r="L1346" t="s">
        <v>1709</v>
      </c>
      <c r="M1346" t="s">
        <v>1705</v>
      </c>
      <c r="N1346">
        <v>6</v>
      </c>
      <c r="O1346" t="s">
        <v>40</v>
      </c>
      <c r="P1346" t="s">
        <v>40</v>
      </c>
      <c r="Q1346" t="s">
        <v>40</v>
      </c>
      <c r="S1346" t="s">
        <v>40</v>
      </c>
      <c r="U1346" s="1">
        <v>43385</v>
      </c>
      <c r="V1346" t="s">
        <v>41</v>
      </c>
      <c r="W1346" t="s">
        <v>75</v>
      </c>
      <c r="X1346" t="str">
        <f>"7121000"</f>
        <v>7121000</v>
      </c>
      <c r="Y1346" t="s">
        <v>1713</v>
      </c>
      <c r="Z1346" t="s">
        <v>1708</v>
      </c>
      <c r="AA1346" t="s">
        <v>1709</v>
      </c>
      <c r="AB1346" t="s">
        <v>1705</v>
      </c>
      <c r="AC1346" t="s">
        <v>44</v>
      </c>
      <c r="AD1346" t="s">
        <v>45</v>
      </c>
      <c r="AE1346" s="1">
        <v>30413</v>
      </c>
      <c r="AF1346">
        <v>1</v>
      </c>
      <c r="AG1346" t="s">
        <v>1709</v>
      </c>
      <c r="AH1346" s="36">
        <f t="shared" ref="AH1346:AH1409" si="21">($AJ$1-AE1346)/360</f>
        <v>36.233333333333334</v>
      </c>
      <c r="AI1346" s="40" t="s">
        <v>1778</v>
      </c>
    </row>
    <row r="1347" spans="1:35" x14ac:dyDescent="0.25">
      <c r="A1347" s="36">
        <v>99911345</v>
      </c>
      <c r="B1347" s="17" t="s">
        <v>32</v>
      </c>
      <c r="C1347" t="s">
        <v>46</v>
      </c>
      <c r="D1347" t="s">
        <v>47</v>
      </c>
      <c r="G1347" s="17" t="s">
        <v>35</v>
      </c>
      <c r="H1347" s="17">
        <v>1</v>
      </c>
      <c r="K1347" t="s">
        <v>162</v>
      </c>
      <c r="L1347" t="s">
        <v>158</v>
      </c>
      <c r="M1347" t="s">
        <v>131</v>
      </c>
      <c r="N1347">
        <v>21</v>
      </c>
      <c r="O1347" t="s">
        <v>40</v>
      </c>
      <c r="P1347" t="s">
        <v>40</v>
      </c>
      <c r="Q1347" t="s">
        <v>40</v>
      </c>
      <c r="R1347" t="s">
        <v>40</v>
      </c>
      <c r="S1347" t="s">
        <v>40</v>
      </c>
      <c r="V1347" t="s">
        <v>41</v>
      </c>
      <c r="W1347" t="s">
        <v>49</v>
      </c>
      <c r="X1347" t="str">
        <f>"0505050"</f>
        <v>0505050</v>
      </c>
      <c r="Y1347" t="s">
        <v>163</v>
      </c>
      <c r="Z1347" t="s">
        <v>162</v>
      </c>
      <c r="AA1347" t="s">
        <v>158</v>
      </c>
      <c r="AB1347" t="s">
        <v>131</v>
      </c>
      <c r="AC1347" t="s">
        <v>51</v>
      </c>
      <c r="AD1347" t="s">
        <v>45</v>
      </c>
      <c r="AE1347" s="1">
        <v>30411</v>
      </c>
      <c r="AF1347">
        <v>2</v>
      </c>
      <c r="AG1347" t="s">
        <v>158</v>
      </c>
      <c r="AH1347" s="36">
        <f t="shared" si="21"/>
        <v>36.238888888888887</v>
      </c>
      <c r="AI1347" s="40" t="s">
        <v>1778</v>
      </c>
    </row>
    <row r="1348" spans="1:35" x14ac:dyDescent="0.25">
      <c r="A1348" s="36">
        <v>99911346</v>
      </c>
      <c r="B1348" s="17" t="s">
        <v>32</v>
      </c>
      <c r="C1348" t="s">
        <v>139</v>
      </c>
      <c r="D1348" t="s">
        <v>140</v>
      </c>
      <c r="G1348" s="17" t="s">
        <v>35</v>
      </c>
      <c r="H1348" s="17">
        <v>1</v>
      </c>
      <c r="I1348" s="1">
        <v>43344</v>
      </c>
      <c r="J1348" s="1">
        <v>43344</v>
      </c>
      <c r="K1348" t="s">
        <v>1341</v>
      </c>
      <c r="L1348" t="s">
        <v>1342</v>
      </c>
      <c r="M1348" t="s">
        <v>1270</v>
      </c>
      <c r="N1348">
        <v>18</v>
      </c>
      <c r="O1348" t="s">
        <v>40</v>
      </c>
      <c r="S1348" t="s">
        <v>40</v>
      </c>
      <c r="U1348" s="1">
        <v>43344</v>
      </c>
      <c r="V1348" t="s">
        <v>41</v>
      </c>
      <c r="W1348" t="s">
        <v>75</v>
      </c>
      <c r="X1348" t="str">
        <f>"7191004"</f>
        <v>7191004</v>
      </c>
      <c r="Y1348" t="s">
        <v>1344</v>
      </c>
      <c r="Z1348" t="s">
        <v>1341</v>
      </c>
      <c r="AA1348" t="s">
        <v>1342</v>
      </c>
      <c r="AB1348" t="s">
        <v>1270</v>
      </c>
      <c r="AC1348" t="s">
        <v>44</v>
      </c>
      <c r="AD1348" t="s">
        <v>45</v>
      </c>
      <c r="AE1348" s="1">
        <v>30410</v>
      </c>
      <c r="AF1348">
        <v>1</v>
      </c>
      <c r="AG1348" t="s">
        <v>1342</v>
      </c>
      <c r="AH1348" s="36">
        <f t="shared" si="21"/>
        <v>36.241666666666667</v>
      </c>
      <c r="AI1348" s="40" t="s">
        <v>1778</v>
      </c>
    </row>
    <row r="1349" spans="1:35" x14ac:dyDescent="0.25">
      <c r="A1349" s="36">
        <v>99911347</v>
      </c>
      <c r="B1349" s="17" t="s">
        <v>32</v>
      </c>
      <c r="C1349" t="s">
        <v>257</v>
      </c>
      <c r="D1349" t="s">
        <v>258</v>
      </c>
      <c r="G1349" s="17" t="s">
        <v>35</v>
      </c>
      <c r="H1349" s="17">
        <v>1</v>
      </c>
      <c r="I1349">
        <v>17752</v>
      </c>
      <c r="J1349" s="1">
        <v>43344</v>
      </c>
      <c r="K1349" t="s">
        <v>223</v>
      </c>
      <c r="L1349" t="s">
        <v>224</v>
      </c>
      <c r="M1349" t="s">
        <v>131</v>
      </c>
      <c r="N1349">
        <v>21</v>
      </c>
      <c r="O1349" t="s">
        <v>40</v>
      </c>
      <c r="S1349" t="s">
        <v>40</v>
      </c>
      <c r="U1349" s="1">
        <v>43344</v>
      </c>
      <c r="V1349" t="s">
        <v>41</v>
      </c>
      <c r="W1349" t="s">
        <v>49</v>
      </c>
      <c r="X1349" t="str">
        <f>"0581202"</f>
        <v>0581202</v>
      </c>
      <c r="Y1349" t="s">
        <v>248</v>
      </c>
      <c r="Z1349" t="s">
        <v>223</v>
      </c>
      <c r="AA1349" t="s">
        <v>224</v>
      </c>
      <c r="AB1349" t="s">
        <v>131</v>
      </c>
      <c r="AC1349" t="s">
        <v>51</v>
      </c>
      <c r="AD1349" t="s">
        <v>45</v>
      </c>
      <c r="AE1349" s="1">
        <v>30408</v>
      </c>
      <c r="AF1349">
        <v>2</v>
      </c>
      <c r="AG1349" t="s">
        <v>224</v>
      </c>
      <c r="AH1349" s="36">
        <f t="shared" si="21"/>
        <v>36.24722222222222</v>
      </c>
      <c r="AI1349" s="40" t="s">
        <v>1778</v>
      </c>
    </row>
    <row r="1350" spans="1:35" x14ac:dyDescent="0.25">
      <c r="A1350" s="36">
        <v>99911348</v>
      </c>
      <c r="B1350" s="17" t="s">
        <v>32</v>
      </c>
      <c r="C1350" t="s">
        <v>61</v>
      </c>
      <c r="D1350" t="s">
        <v>62</v>
      </c>
      <c r="G1350" s="17" t="s">
        <v>48</v>
      </c>
      <c r="H1350" s="17">
        <v>5</v>
      </c>
      <c r="K1350" t="s">
        <v>1426</v>
      </c>
      <c r="L1350" t="s">
        <v>1427</v>
      </c>
      <c r="M1350" t="s">
        <v>1270</v>
      </c>
      <c r="N1350">
        <v>16</v>
      </c>
      <c r="O1350" t="s">
        <v>40</v>
      </c>
      <c r="P1350" t="s">
        <v>40</v>
      </c>
      <c r="Q1350" t="s">
        <v>40</v>
      </c>
      <c r="R1350" t="s">
        <v>40</v>
      </c>
      <c r="S1350" t="s">
        <v>40</v>
      </c>
      <c r="V1350" t="s">
        <v>41</v>
      </c>
      <c r="W1350" t="s">
        <v>75</v>
      </c>
      <c r="X1350" t="str">
        <f>"7192000"</f>
        <v>7192000</v>
      </c>
      <c r="Y1350" t="s">
        <v>1429</v>
      </c>
      <c r="Z1350" t="s">
        <v>1426</v>
      </c>
      <c r="AA1350" t="s">
        <v>1427</v>
      </c>
      <c r="AB1350" t="s">
        <v>1270</v>
      </c>
      <c r="AC1350" t="s">
        <v>51</v>
      </c>
      <c r="AD1350" t="s">
        <v>45</v>
      </c>
      <c r="AE1350" s="1">
        <v>30407</v>
      </c>
      <c r="AF1350">
        <v>1</v>
      </c>
      <c r="AG1350" t="s">
        <v>1427</v>
      </c>
      <c r="AH1350" s="36">
        <f t="shared" si="21"/>
        <v>36.25</v>
      </c>
      <c r="AI1350" s="40" t="s">
        <v>1778</v>
      </c>
    </row>
    <row r="1351" spans="1:35" x14ac:dyDescent="0.25">
      <c r="A1351" s="36">
        <v>99911349</v>
      </c>
      <c r="B1351" s="17" t="s">
        <v>32</v>
      </c>
      <c r="C1351" t="s">
        <v>90</v>
      </c>
      <c r="D1351" t="s">
        <v>91</v>
      </c>
      <c r="G1351" s="17" t="s">
        <v>35</v>
      </c>
      <c r="H1351" s="17">
        <v>1</v>
      </c>
      <c r="K1351" t="s">
        <v>1081</v>
      </c>
      <c r="L1351" t="s">
        <v>1082</v>
      </c>
      <c r="M1351" t="s">
        <v>1053</v>
      </c>
      <c r="N1351">
        <v>8</v>
      </c>
      <c r="O1351" t="s">
        <v>40</v>
      </c>
      <c r="P1351" t="s">
        <v>40</v>
      </c>
      <c r="Q1351" t="s">
        <v>40</v>
      </c>
      <c r="S1351" t="s">
        <v>40</v>
      </c>
      <c r="V1351" t="s">
        <v>41</v>
      </c>
      <c r="W1351" t="s">
        <v>95</v>
      </c>
      <c r="X1351" t="str">
        <f>"7201019"</f>
        <v>7201019</v>
      </c>
      <c r="Y1351" t="s">
        <v>1104</v>
      </c>
      <c r="Z1351" t="s">
        <v>1081</v>
      </c>
      <c r="AA1351" t="s">
        <v>1082</v>
      </c>
      <c r="AB1351" t="s">
        <v>1053</v>
      </c>
      <c r="AC1351" t="s">
        <v>51</v>
      </c>
      <c r="AD1351" t="s">
        <v>45</v>
      </c>
      <c r="AE1351" s="1">
        <v>30406</v>
      </c>
      <c r="AF1351">
        <v>1</v>
      </c>
      <c r="AG1351" t="s">
        <v>1082</v>
      </c>
      <c r="AH1351" s="36">
        <f t="shared" si="21"/>
        <v>36.25277777777778</v>
      </c>
      <c r="AI1351" s="40" t="s">
        <v>1778</v>
      </c>
    </row>
    <row r="1352" spans="1:35" x14ac:dyDescent="0.25">
      <c r="A1352" s="36">
        <v>99911350</v>
      </c>
      <c r="B1352" s="17" t="s">
        <v>32</v>
      </c>
      <c r="C1352" t="s">
        <v>64</v>
      </c>
      <c r="D1352" t="s">
        <v>65</v>
      </c>
      <c r="G1352" s="17" t="s">
        <v>35</v>
      </c>
      <c r="H1352" s="17">
        <v>1</v>
      </c>
      <c r="K1352" t="s">
        <v>1268</v>
      </c>
      <c r="L1352" t="s">
        <v>1269</v>
      </c>
      <c r="M1352" t="s">
        <v>1270</v>
      </c>
      <c r="N1352">
        <v>6</v>
      </c>
      <c r="O1352" t="s">
        <v>40</v>
      </c>
      <c r="P1352" t="s">
        <v>40</v>
      </c>
      <c r="Q1352" t="s">
        <v>40</v>
      </c>
      <c r="R1352" t="s">
        <v>40</v>
      </c>
      <c r="S1352" t="s">
        <v>40</v>
      </c>
      <c r="V1352" t="s">
        <v>41</v>
      </c>
      <c r="W1352" t="s">
        <v>49</v>
      </c>
      <c r="X1352" t="str">
        <f>"1981912"</f>
        <v>1981912</v>
      </c>
      <c r="Y1352" t="s">
        <v>1279</v>
      </c>
      <c r="Z1352" t="s">
        <v>1268</v>
      </c>
      <c r="AA1352" t="s">
        <v>1269</v>
      </c>
      <c r="AB1352" t="s">
        <v>1270</v>
      </c>
      <c r="AC1352" t="s">
        <v>51</v>
      </c>
      <c r="AD1352" t="s">
        <v>45</v>
      </c>
      <c r="AE1352" s="1">
        <v>30405</v>
      </c>
      <c r="AF1352">
        <v>2</v>
      </c>
      <c r="AG1352" t="s">
        <v>1269</v>
      </c>
      <c r="AH1352" s="36">
        <f t="shared" si="21"/>
        <v>36.255555555555553</v>
      </c>
      <c r="AI1352" s="40" t="s">
        <v>1778</v>
      </c>
    </row>
    <row r="1353" spans="1:35" x14ac:dyDescent="0.25">
      <c r="A1353" s="36">
        <v>99911351</v>
      </c>
      <c r="B1353" s="17" t="s">
        <v>32</v>
      </c>
      <c r="C1353" t="s">
        <v>68</v>
      </c>
      <c r="D1353" t="s">
        <v>69</v>
      </c>
      <c r="G1353" s="17" t="s">
        <v>35</v>
      </c>
      <c r="H1353" s="17">
        <v>1</v>
      </c>
      <c r="K1353" t="s">
        <v>345</v>
      </c>
      <c r="L1353" t="s">
        <v>346</v>
      </c>
      <c r="M1353" t="s">
        <v>131</v>
      </c>
      <c r="N1353">
        <v>23</v>
      </c>
      <c r="O1353" t="s">
        <v>40</v>
      </c>
      <c r="P1353" t="s">
        <v>40</v>
      </c>
      <c r="Q1353" t="s">
        <v>40</v>
      </c>
      <c r="S1353" t="s">
        <v>40</v>
      </c>
      <c r="V1353" t="s">
        <v>41</v>
      </c>
      <c r="W1353" t="s">
        <v>42</v>
      </c>
      <c r="X1353" t="str">
        <f>"0561006"</f>
        <v>0561006</v>
      </c>
      <c r="Y1353" t="s">
        <v>360</v>
      </c>
      <c r="Z1353" t="s">
        <v>345</v>
      </c>
      <c r="AA1353" t="s">
        <v>346</v>
      </c>
      <c r="AB1353" t="s">
        <v>131</v>
      </c>
      <c r="AC1353" t="s">
        <v>51</v>
      </c>
      <c r="AD1353" t="s">
        <v>45</v>
      </c>
      <c r="AE1353" s="1">
        <v>30401</v>
      </c>
      <c r="AF1353">
        <v>2</v>
      </c>
      <c r="AG1353" t="s">
        <v>346</v>
      </c>
      <c r="AH1353" s="36">
        <f t="shared" si="21"/>
        <v>36.266666666666666</v>
      </c>
      <c r="AI1353" s="40" t="s">
        <v>1778</v>
      </c>
    </row>
    <row r="1354" spans="1:35" x14ac:dyDescent="0.25">
      <c r="A1354" s="36">
        <v>99911352</v>
      </c>
      <c r="B1354" s="17" t="s">
        <v>32</v>
      </c>
      <c r="C1354" t="s">
        <v>46</v>
      </c>
      <c r="D1354" t="s">
        <v>47</v>
      </c>
      <c r="G1354" s="17" t="s">
        <v>48</v>
      </c>
      <c r="H1354" s="17">
        <v>1</v>
      </c>
      <c r="K1354" t="s">
        <v>1268</v>
      </c>
      <c r="L1354" t="s">
        <v>1269</v>
      </c>
      <c r="M1354" t="s">
        <v>1270</v>
      </c>
      <c r="N1354">
        <v>21</v>
      </c>
      <c r="O1354" t="s">
        <v>40</v>
      </c>
      <c r="P1354" t="s">
        <v>40</v>
      </c>
      <c r="Q1354" t="s">
        <v>40</v>
      </c>
      <c r="R1354" t="s">
        <v>40</v>
      </c>
      <c r="S1354" t="s">
        <v>40</v>
      </c>
      <c r="V1354" t="s">
        <v>41</v>
      </c>
      <c r="W1354" t="s">
        <v>49</v>
      </c>
      <c r="X1354" t="str">
        <f>"1981912"</f>
        <v>1981912</v>
      </c>
      <c r="Y1354" t="s">
        <v>1279</v>
      </c>
      <c r="Z1354" t="s">
        <v>1268</v>
      </c>
      <c r="AA1354" t="s">
        <v>1269</v>
      </c>
      <c r="AB1354" t="s">
        <v>1270</v>
      </c>
      <c r="AC1354" t="s">
        <v>51</v>
      </c>
      <c r="AD1354" t="s">
        <v>45</v>
      </c>
      <c r="AE1354" s="1">
        <v>30399</v>
      </c>
      <c r="AF1354">
        <v>2</v>
      </c>
      <c r="AG1354" t="s">
        <v>1269</v>
      </c>
      <c r="AH1354" s="36">
        <f t="shared" si="21"/>
        <v>36.272222222222226</v>
      </c>
      <c r="AI1354" s="40" t="s">
        <v>1778</v>
      </c>
    </row>
    <row r="1355" spans="1:35" x14ac:dyDescent="0.25">
      <c r="A1355" s="36">
        <v>99911353</v>
      </c>
      <c r="B1355" s="17" t="s">
        <v>32</v>
      </c>
      <c r="C1355" t="s">
        <v>90</v>
      </c>
      <c r="D1355" t="s">
        <v>91</v>
      </c>
      <c r="G1355" s="17" t="s">
        <v>48</v>
      </c>
      <c r="H1355" s="17">
        <v>3</v>
      </c>
      <c r="K1355" t="s">
        <v>1221</v>
      </c>
      <c r="L1355" t="s">
        <v>1222</v>
      </c>
      <c r="M1355" t="s">
        <v>1130</v>
      </c>
      <c r="N1355">
        <v>25</v>
      </c>
      <c r="O1355" t="s">
        <v>40</v>
      </c>
      <c r="P1355" t="s">
        <v>40</v>
      </c>
      <c r="Q1355" t="s">
        <v>40</v>
      </c>
      <c r="R1355" t="s">
        <v>40</v>
      </c>
      <c r="S1355" t="s">
        <v>40</v>
      </c>
      <c r="V1355" t="s">
        <v>41</v>
      </c>
      <c r="W1355" t="s">
        <v>95</v>
      </c>
      <c r="X1355" t="str">
        <f>"7351021"</f>
        <v>7351021</v>
      </c>
      <c r="Y1355" t="s">
        <v>1227</v>
      </c>
      <c r="Z1355" t="s">
        <v>1221</v>
      </c>
      <c r="AA1355" t="s">
        <v>1222</v>
      </c>
      <c r="AB1355" t="s">
        <v>1130</v>
      </c>
      <c r="AC1355" t="s">
        <v>51</v>
      </c>
      <c r="AD1355" t="s">
        <v>45</v>
      </c>
      <c r="AE1355" s="1">
        <v>30398</v>
      </c>
      <c r="AF1355">
        <v>1</v>
      </c>
      <c r="AG1355" t="s">
        <v>1222</v>
      </c>
      <c r="AH1355" s="36">
        <f t="shared" si="21"/>
        <v>36.274999999999999</v>
      </c>
      <c r="AI1355" s="40" t="s">
        <v>1778</v>
      </c>
    </row>
    <row r="1356" spans="1:35" x14ac:dyDescent="0.25">
      <c r="A1356" s="36">
        <v>99911354</v>
      </c>
      <c r="B1356" s="17" t="s">
        <v>56</v>
      </c>
      <c r="C1356" t="s">
        <v>61</v>
      </c>
      <c r="D1356" t="s">
        <v>62</v>
      </c>
      <c r="G1356" s="17" t="s">
        <v>35</v>
      </c>
      <c r="H1356" s="17">
        <v>1</v>
      </c>
      <c r="K1356" t="s">
        <v>1546</v>
      </c>
      <c r="L1356" t="s">
        <v>1547</v>
      </c>
      <c r="M1356" t="s">
        <v>1548</v>
      </c>
      <c r="N1356">
        <v>9</v>
      </c>
      <c r="O1356" t="s">
        <v>40</v>
      </c>
      <c r="P1356" t="s">
        <v>40</v>
      </c>
      <c r="Q1356" t="s">
        <v>40</v>
      </c>
      <c r="R1356" t="s">
        <v>40</v>
      </c>
      <c r="S1356" t="s">
        <v>40</v>
      </c>
      <c r="V1356" t="s">
        <v>41</v>
      </c>
      <c r="W1356" t="s">
        <v>42</v>
      </c>
      <c r="X1356" t="str">
        <f>"1080010"</f>
        <v>1080010</v>
      </c>
      <c r="Y1356" t="s">
        <v>1549</v>
      </c>
      <c r="Z1356" t="s">
        <v>1546</v>
      </c>
      <c r="AA1356" t="s">
        <v>1547</v>
      </c>
      <c r="AB1356" t="s">
        <v>1548</v>
      </c>
      <c r="AC1356" t="s">
        <v>51</v>
      </c>
      <c r="AD1356" t="s">
        <v>45</v>
      </c>
      <c r="AE1356" s="1">
        <v>30398</v>
      </c>
      <c r="AF1356">
        <v>2</v>
      </c>
      <c r="AG1356" t="s">
        <v>1547</v>
      </c>
      <c r="AH1356" s="36">
        <f t="shared" si="21"/>
        <v>36.274999999999999</v>
      </c>
      <c r="AI1356" s="40" t="s">
        <v>1778</v>
      </c>
    </row>
    <row r="1357" spans="1:35" x14ac:dyDescent="0.25">
      <c r="A1357" s="36">
        <v>99911355</v>
      </c>
      <c r="B1357" s="17" t="s">
        <v>32</v>
      </c>
      <c r="C1357" t="s">
        <v>143</v>
      </c>
      <c r="D1357" t="s">
        <v>144</v>
      </c>
      <c r="G1357" s="17" t="s">
        <v>35</v>
      </c>
      <c r="H1357" s="17">
        <v>1</v>
      </c>
      <c r="I1357" t="s">
        <v>250</v>
      </c>
      <c r="J1357" s="1">
        <v>43344</v>
      </c>
      <c r="K1357" t="s">
        <v>223</v>
      </c>
      <c r="L1357" t="s">
        <v>224</v>
      </c>
      <c r="M1357" t="s">
        <v>131</v>
      </c>
      <c r="N1357">
        <v>21</v>
      </c>
      <c r="O1357" t="s">
        <v>40</v>
      </c>
      <c r="P1357" t="s">
        <v>40</v>
      </c>
      <c r="Q1357" t="s">
        <v>40</v>
      </c>
      <c r="R1357" t="s">
        <v>40</v>
      </c>
      <c r="S1357" t="s">
        <v>40</v>
      </c>
      <c r="U1357" s="1">
        <v>43344</v>
      </c>
      <c r="V1357" t="s">
        <v>41</v>
      </c>
      <c r="W1357" t="s">
        <v>49</v>
      </c>
      <c r="X1357" t="str">
        <f>"0581207"</f>
        <v>0581207</v>
      </c>
      <c r="Y1357" t="s">
        <v>233</v>
      </c>
      <c r="Z1357" t="s">
        <v>223</v>
      </c>
      <c r="AA1357" t="s">
        <v>224</v>
      </c>
      <c r="AB1357" t="s">
        <v>131</v>
      </c>
      <c r="AC1357" t="s">
        <v>44</v>
      </c>
      <c r="AD1357" t="s">
        <v>45</v>
      </c>
      <c r="AE1357" s="1">
        <v>30387</v>
      </c>
      <c r="AF1357">
        <v>2</v>
      </c>
      <c r="AG1357" t="s">
        <v>224</v>
      </c>
      <c r="AH1357" s="36">
        <f t="shared" si="21"/>
        <v>36.305555555555557</v>
      </c>
      <c r="AI1357" s="40" t="s">
        <v>1778</v>
      </c>
    </row>
    <row r="1358" spans="1:35" x14ac:dyDescent="0.25">
      <c r="A1358" s="36">
        <v>99911356</v>
      </c>
      <c r="B1358" s="17" t="s">
        <v>56</v>
      </c>
      <c r="C1358" t="s">
        <v>52</v>
      </c>
      <c r="D1358" t="s">
        <v>53</v>
      </c>
      <c r="G1358" s="17" t="s">
        <v>35</v>
      </c>
      <c r="H1358" s="17">
        <v>1</v>
      </c>
      <c r="I1358">
        <v>10085</v>
      </c>
      <c r="J1358" s="1">
        <v>43344</v>
      </c>
      <c r="K1358" t="s">
        <v>1051</v>
      </c>
      <c r="L1358" t="s">
        <v>1052</v>
      </c>
      <c r="M1358" t="s">
        <v>1053</v>
      </c>
      <c r="N1358">
        <v>17</v>
      </c>
      <c r="O1358" t="s">
        <v>40</v>
      </c>
      <c r="P1358" t="s">
        <v>40</v>
      </c>
      <c r="Q1358" t="s">
        <v>40</v>
      </c>
      <c r="S1358" t="s">
        <v>40</v>
      </c>
      <c r="U1358" s="1">
        <v>43344</v>
      </c>
      <c r="V1358" t="s">
        <v>41</v>
      </c>
      <c r="W1358" t="s">
        <v>42</v>
      </c>
      <c r="X1358" t="str">
        <f>"2061004"</f>
        <v>2061004</v>
      </c>
      <c r="Y1358" t="s">
        <v>1055</v>
      </c>
      <c r="Z1358" t="s">
        <v>1051</v>
      </c>
      <c r="AA1358" t="s">
        <v>1052</v>
      </c>
      <c r="AB1358" t="s">
        <v>1053</v>
      </c>
      <c r="AC1358" t="s">
        <v>44</v>
      </c>
      <c r="AD1358" t="s">
        <v>45</v>
      </c>
      <c r="AE1358" s="1">
        <v>30386</v>
      </c>
      <c r="AF1358">
        <v>2</v>
      </c>
      <c r="AG1358" t="s">
        <v>1052</v>
      </c>
      <c r="AH1358" s="36">
        <f t="shared" si="21"/>
        <v>36.30833333333333</v>
      </c>
      <c r="AI1358" s="40" t="s">
        <v>1778</v>
      </c>
    </row>
    <row r="1359" spans="1:35" x14ac:dyDescent="0.25">
      <c r="A1359" s="36">
        <v>99911357</v>
      </c>
      <c r="B1359" s="17" t="s">
        <v>32</v>
      </c>
      <c r="C1359" t="s">
        <v>46</v>
      </c>
      <c r="D1359" t="s">
        <v>47</v>
      </c>
      <c r="G1359" s="17" t="s">
        <v>48</v>
      </c>
      <c r="H1359" s="17">
        <v>1</v>
      </c>
      <c r="K1359" t="s">
        <v>223</v>
      </c>
      <c r="L1359" t="s">
        <v>224</v>
      </c>
      <c r="M1359" t="s">
        <v>131</v>
      </c>
      <c r="N1359">
        <v>22</v>
      </c>
      <c r="O1359" t="s">
        <v>40</v>
      </c>
      <c r="P1359" t="s">
        <v>40</v>
      </c>
      <c r="Q1359" t="s">
        <v>40</v>
      </c>
      <c r="R1359" t="s">
        <v>40</v>
      </c>
      <c r="S1359" t="s">
        <v>40</v>
      </c>
      <c r="V1359" t="s">
        <v>41</v>
      </c>
      <c r="W1359" t="s">
        <v>49</v>
      </c>
      <c r="X1359" t="str">
        <f>"0591910"</f>
        <v>0591910</v>
      </c>
      <c r="Y1359" t="s">
        <v>228</v>
      </c>
      <c r="Z1359" t="s">
        <v>223</v>
      </c>
      <c r="AA1359" t="s">
        <v>224</v>
      </c>
      <c r="AB1359" t="s">
        <v>131</v>
      </c>
      <c r="AC1359" t="s">
        <v>51</v>
      </c>
      <c r="AD1359" t="s">
        <v>45</v>
      </c>
      <c r="AE1359" s="1">
        <v>30385</v>
      </c>
      <c r="AF1359">
        <v>2</v>
      </c>
      <c r="AG1359" t="s">
        <v>224</v>
      </c>
      <c r="AH1359" s="36">
        <f t="shared" si="21"/>
        <v>36.31111111111111</v>
      </c>
      <c r="AI1359" s="40" t="s">
        <v>1778</v>
      </c>
    </row>
    <row r="1360" spans="1:35" x14ac:dyDescent="0.25">
      <c r="A1360" s="36">
        <v>99911358</v>
      </c>
      <c r="B1360" s="17" t="s">
        <v>32</v>
      </c>
      <c r="C1360" t="s">
        <v>90</v>
      </c>
      <c r="D1360" t="s">
        <v>91</v>
      </c>
      <c r="G1360" s="17" t="s">
        <v>48</v>
      </c>
      <c r="H1360" s="17">
        <v>1</v>
      </c>
      <c r="K1360" t="s">
        <v>1341</v>
      </c>
      <c r="L1360" t="s">
        <v>1342</v>
      </c>
      <c r="M1360" t="s">
        <v>1270</v>
      </c>
      <c r="N1360">
        <v>25</v>
      </c>
      <c r="O1360" t="s">
        <v>40</v>
      </c>
      <c r="P1360" t="s">
        <v>40</v>
      </c>
      <c r="Q1360" t="s">
        <v>40</v>
      </c>
      <c r="S1360" t="s">
        <v>40</v>
      </c>
      <c r="V1360" t="s">
        <v>41</v>
      </c>
      <c r="W1360" t="s">
        <v>95</v>
      </c>
      <c r="X1360" t="str">
        <f>"7191027"</f>
        <v>7191027</v>
      </c>
      <c r="Y1360" t="s">
        <v>1363</v>
      </c>
      <c r="Z1360" t="s">
        <v>1341</v>
      </c>
      <c r="AA1360" t="s">
        <v>1342</v>
      </c>
      <c r="AB1360" t="s">
        <v>1270</v>
      </c>
      <c r="AC1360" t="s">
        <v>51</v>
      </c>
      <c r="AD1360" t="s">
        <v>45</v>
      </c>
      <c r="AE1360" s="1">
        <v>30383</v>
      </c>
      <c r="AF1360">
        <v>1</v>
      </c>
      <c r="AG1360" t="s">
        <v>1342</v>
      </c>
      <c r="AH1360" s="36">
        <f t="shared" si="21"/>
        <v>36.31666666666667</v>
      </c>
      <c r="AI1360" s="40" t="s">
        <v>1778</v>
      </c>
    </row>
    <row r="1361" spans="1:35" x14ac:dyDescent="0.25">
      <c r="A1361" s="36">
        <v>99911359</v>
      </c>
      <c r="B1361" s="17" t="s">
        <v>32</v>
      </c>
      <c r="C1361" t="s">
        <v>46</v>
      </c>
      <c r="D1361" t="s">
        <v>47</v>
      </c>
      <c r="G1361" s="17" t="s">
        <v>35</v>
      </c>
      <c r="H1361" s="17">
        <v>1</v>
      </c>
      <c r="I1361" t="s">
        <v>944</v>
      </c>
      <c r="J1361" s="1">
        <v>43361</v>
      </c>
      <c r="K1361" t="s">
        <v>936</v>
      </c>
      <c r="L1361" t="s">
        <v>937</v>
      </c>
      <c r="M1361" t="s">
        <v>938</v>
      </c>
      <c r="N1361">
        <v>8</v>
      </c>
      <c r="O1361" t="s">
        <v>40</v>
      </c>
      <c r="S1361" t="s">
        <v>40</v>
      </c>
      <c r="U1361" s="1">
        <v>43361</v>
      </c>
      <c r="V1361" t="s">
        <v>41</v>
      </c>
      <c r="W1361" t="s">
        <v>49</v>
      </c>
      <c r="X1361" t="str">
        <f>"0160075"</f>
        <v>0160075</v>
      </c>
      <c r="Y1361" t="s">
        <v>939</v>
      </c>
      <c r="Z1361" t="s">
        <v>936</v>
      </c>
      <c r="AA1361" t="s">
        <v>937</v>
      </c>
      <c r="AB1361" t="s">
        <v>938</v>
      </c>
      <c r="AC1361" t="s">
        <v>44</v>
      </c>
      <c r="AD1361" t="s">
        <v>45</v>
      </c>
      <c r="AE1361" s="1">
        <v>30380</v>
      </c>
      <c r="AF1361">
        <v>2</v>
      </c>
      <c r="AG1361" t="s">
        <v>937</v>
      </c>
      <c r="AH1361" s="36">
        <f t="shared" si="21"/>
        <v>36.325000000000003</v>
      </c>
      <c r="AI1361" s="40" t="s">
        <v>1778</v>
      </c>
    </row>
    <row r="1362" spans="1:35" x14ac:dyDescent="0.25">
      <c r="A1362" s="36">
        <v>99911360</v>
      </c>
      <c r="B1362" s="17" t="s">
        <v>56</v>
      </c>
      <c r="C1362" t="s">
        <v>61</v>
      </c>
      <c r="D1362" t="s">
        <v>62</v>
      </c>
      <c r="G1362" s="17" t="s">
        <v>35</v>
      </c>
      <c r="H1362" s="17">
        <v>1</v>
      </c>
      <c r="K1362" t="s">
        <v>1564</v>
      </c>
      <c r="L1362" t="s">
        <v>1565</v>
      </c>
      <c r="M1362" t="s">
        <v>1548</v>
      </c>
      <c r="N1362">
        <v>16</v>
      </c>
      <c r="O1362" t="s">
        <v>40</v>
      </c>
      <c r="P1362" t="s">
        <v>40</v>
      </c>
      <c r="Q1362" t="s">
        <v>40</v>
      </c>
      <c r="R1362" t="s">
        <v>40</v>
      </c>
      <c r="S1362" t="s">
        <v>40</v>
      </c>
      <c r="V1362" t="s">
        <v>41</v>
      </c>
      <c r="W1362" t="s">
        <v>75</v>
      </c>
      <c r="X1362" t="str">
        <f>"7101000"</f>
        <v>7101000</v>
      </c>
      <c r="Y1362" t="s">
        <v>1572</v>
      </c>
      <c r="Z1362" t="s">
        <v>1564</v>
      </c>
      <c r="AA1362" t="s">
        <v>1565</v>
      </c>
      <c r="AB1362" t="s">
        <v>1548</v>
      </c>
      <c r="AC1362" t="s">
        <v>51</v>
      </c>
      <c r="AD1362" t="s">
        <v>45</v>
      </c>
      <c r="AE1362" s="1">
        <v>30378</v>
      </c>
      <c r="AF1362">
        <v>1</v>
      </c>
      <c r="AG1362" t="s">
        <v>1565</v>
      </c>
      <c r="AH1362" s="36">
        <f t="shared" si="21"/>
        <v>36.330555555555556</v>
      </c>
      <c r="AI1362" s="40" t="s">
        <v>1778</v>
      </c>
    </row>
    <row r="1363" spans="1:35" x14ac:dyDescent="0.25">
      <c r="A1363" s="36">
        <v>99911361</v>
      </c>
      <c r="B1363" s="17" t="s">
        <v>32</v>
      </c>
      <c r="C1363" t="s">
        <v>90</v>
      </c>
      <c r="D1363" t="s">
        <v>91</v>
      </c>
      <c r="G1363" s="17" t="s">
        <v>35</v>
      </c>
      <c r="H1363" s="17">
        <v>1</v>
      </c>
      <c r="I1363">
        <v>4604</v>
      </c>
      <c r="J1363" s="1">
        <v>43344</v>
      </c>
      <c r="K1363" t="s">
        <v>268</v>
      </c>
      <c r="L1363" t="s">
        <v>269</v>
      </c>
      <c r="M1363" t="s">
        <v>131</v>
      </c>
      <c r="N1363">
        <v>30</v>
      </c>
      <c r="O1363" t="s">
        <v>40</v>
      </c>
      <c r="Q1363" t="s">
        <v>40</v>
      </c>
      <c r="S1363" t="s">
        <v>40</v>
      </c>
      <c r="U1363" s="1">
        <v>43344</v>
      </c>
      <c r="V1363" t="s">
        <v>41</v>
      </c>
      <c r="W1363" t="s">
        <v>95</v>
      </c>
      <c r="X1363" t="str">
        <f>"7052085"</f>
        <v>7052085</v>
      </c>
      <c r="Y1363" t="s">
        <v>602</v>
      </c>
      <c r="Z1363" t="s">
        <v>268</v>
      </c>
      <c r="AA1363" t="s">
        <v>269</v>
      </c>
      <c r="AB1363" t="s">
        <v>131</v>
      </c>
      <c r="AC1363" t="s">
        <v>51</v>
      </c>
      <c r="AD1363" t="s">
        <v>45</v>
      </c>
      <c r="AE1363" s="1">
        <v>30375</v>
      </c>
      <c r="AF1363">
        <v>1</v>
      </c>
      <c r="AG1363" t="s">
        <v>269</v>
      </c>
      <c r="AH1363" s="36">
        <f t="shared" si="21"/>
        <v>36.338888888888889</v>
      </c>
      <c r="AI1363" s="40" t="s">
        <v>1778</v>
      </c>
    </row>
    <row r="1364" spans="1:35" x14ac:dyDescent="0.25">
      <c r="A1364" s="36">
        <v>99911362</v>
      </c>
      <c r="B1364" s="17" t="s">
        <v>32</v>
      </c>
      <c r="C1364" t="s">
        <v>90</v>
      </c>
      <c r="D1364" t="s">
        <v>91</v>
      </c>
      <c r="G1364" s="17" t="s">
        <v>35</v>
      </c>
      <c r="H1364" s="17">
        <v>1</v>
      </c>
      <c r="I1364">
        <v>9383</v>
      </c>
      <c r="J1364" s="1">
        <v>43344</v>
      </c>
      <c r="K1364" t="s">
        <v>268</v>
      </c>
      <c r="L1364" t="s">
        <v>269</v>
      </c>
      <c r="M1364" t="s">
        <v>131</v>
      </c>
      <c r="N1364">
        <v>24</v>
      </c>
      <c r="O1364" t="s">
        <v>40</v>
      </c>
      <c r="S1364" t="s">
        <v>40</v>
      </c>
      <c r="V1364" t="s">
        <v>41</v>
      </c>
      <c r="W1364" t="s">
        <v>95</v>
      </c>
      <c r="X1364" t="str">
        <f>"7052029"</f>
        <v>7052029</v>
      </c>
      <c r="Y1364" t="s">
        <v>629</v>
      </c>
      <c r="Z1364" t="s">
        <v>268</v>
      </c>
      <c r="AA1364" t="s">
        <v>269</v>
      </c>
      <c r="AB1364" t="s">
        <v>131</v>
      </c>
      <c r="AC1364" t="s">
        <v>55</v>
      </c>
      <c r="AD1364" t="s">
        <v>45</v>
      </c>
      <c r="AE1364" s="1">
        <v>30373</v>
      </c>
      <c r="AF1364">
        <v>1</v>
      </c>
      <c r="AG1364" t="s">
        <v>269</v>
      </c>
      <c r="AH1364" s="36">
        <f t="shared" si="21"/>
        <v>36.344444444444441</v>
      </c>
      <c r="AI1364" s="40" t="s">
        <v>1778</v>
      </c>
    </row>
    <row r="1365" spans="1:35" x14ac:dyDescent="0.25">
      <c r="A1365" s="36">
        <v>99911363</v>
      </c>
      <c r="B1365" s="17" t="s">
        <v>32</v>
      </c>
      <c r="C1365" t="s">
        <v>79</v>
      </c>
      <c r="D1365" t="s">
        <v>80</v>
      </c>
      <c r="G1365" s="17" t="s">
        <v>48</v>
      </c>
      <c r="H1365" s="17">
        <v>1</v>
      </c>
      <c r="K1365" t="s">
        <v>1619</v>
      </c>
      <c r="L1365" t="s">
        <v>1620</v>
      </c>
      <c r="M1365" t="s">
        <v>1592</v>
      </c>
      <c r="N1365">
        <v>24</v>
      </c>
      <c r="O1365" t="s">
        <v>40</v>
      </c>
      <c r="P1365" t="s">
        <v>40</v>
      </c>
      <c r="Q1365" t="s">
        <v>40</v>
      </c>
      <c r="R1365" t="s">
        <v>40</v>
      </c>
      <c r="S1365" t="s">
        <v>40</v>
      </c>
      <c r="V1365" t="s">
        <v>41</v>
      </c>
      <c r="W1365" t="s">
        <v>75</v>
      </c>
      <c r="X1365" t="str">
        <f>"7281006"</f>
        <v>7281006</v>
      </c>
      <c r="Y1365" t="s">
        <v>1618</v>
      </c>
      <c r="Z1365" t="s">
        <v>1619</v>
      </c>
      <c r="AA1365" t="s">
        <v>1620</v>
      </c>
      <c r="AB1365" t="s">
        <v>1592</v>
      </c>
      <c r="AC1365" t="s">
        <v>51</v>
      </c>
      <c r="AD1365" t="s">
        <v>45</v>
      </c>
      <c r="AE1365" s="1">
        <v>30373</v>
      </c>
      <c r="AF1365">
        <v>1</v>
      </c>
      <c r="AG1365" t="s">
        <v>1620</v>
      </c>
      <c r="AH1365" s="36">
        <f t="shared" si="21"/>
        <v>36.344444444444441</v>
      </c>
      <c r="AI1365" s="40" t="s">
        <v>1778</v>
      </c>
    </row>
    <row r="1366" spans="1:35" x14ac:dyDescent="0.25">
      <c r="A1366" s="36">
        <v>99911364</v>
      </c>
      <c r="B1366" s="17" t="s">
        <v>32</v>
      </c>
      <c r="C1366" t="s">
        <v>145</v>
      </c>
      <c r="D1366" t="s">
        <v>146</v>
      </c>
      <c r="G1366" s="17" t="s">
        <v>48</v>
      </c>
      <c r="H1366" s="17">
        <v>1</v>
      </c>
      <c r="K1366" t="s">
        <v>162</v>
      </c>
      <c r="L1366" t="s">
        <v>158</v>
      </c>
      <c r="M1366" t="s">
        <v>131</v>
      </c>
      <c r="N1366">
        <v>6</v>
      </c>
      <c r="O1366" t="s">
        <v>40</v>
      </c>
      <c r="P1366" t="s">
        <v>40</v>
      </c>
      <c r="Q1366" t="s">
        <v>40</v>
      </c>
      <c r="S1366" t="s">
        <v>40</v>
      </c>
      <c r="V1366" t="s">
        <v>41</v>
      </c>
      <c r="W1366" t="s">
        <v>49</v>
      </c>
      <c r="X1366" t="str">
        <f>"0560003"</f>
        <v>0560003</v>
      </c>
      <c r="Y1366" t="s">
        <v>181</v>
      </c>
      <c r="Z1366" t="s">
        <v>162</v>
      </c>
      <c r="AA1366" t="s">
        <v>158</v>
      </c>
      <c r="AB1366" t="s">
        <v>131</v>
      </c>
      <c r="AC1366" t="s">
        <v>51</v>
      </c>
      <c r="AD1366" t="s">
        <v>45</v>
      </c>
      <c r="AE1366" s="1">
        <v>30372</v>
      </c>
      <c r="AF1366">
        <v>2</v>
      </c>
      <c r="AG1366" t="s">
        <v>158</v>
      </c>
      <c r="AH1366" s="36">
        <f t="shared" si="21"/>
        <v>36.347222222222221</v>
      </c>
      <c r="AI1366" s="40" t="s">
        <v>1778</v>
      </c>
    </row>
    <row r="1367" spans="1:35" x14ac:dyDescent="0.25">
      <c r="A1367" s="36">
        <v>99911365</v>
      </c>
      <c r="B1367" s="17" t="s">
        <v>32</v>
      </c>
      <c r="C1367" t="s">
        <v>90</v>
      </c>
      <c r="D1367" t="s">
        <v>91</v>
      </c>
      <c r="G1367" s="17" t="s">
        <v>35</v>
      </c>
      <c r="H1367" s="17">
        <v>1</v>
      </c>
      <c r="K1367" t="s">
        <v>195</v>
      </c>
      <c r="L1367" t="s">
        <v>196</v>
      </c>
      <c r="M1367" t="s">
        <v>131</v>
      </c>
      <c r="N1367">
        <v>26</v>
      </c>
      <c r="O1367" t="s">
        <v>40</v>
      </c>
      <c r="P1367" t="s">
        <v>40</v>
      </c>
      <c r="Q1367" t="s">
        <v>40</v>
      </c>
      <c r="R1367" t="s">
        <v>40</v>
      </c>
      <c r="S1367" t="s">
        <v>40</v>
      </c>
      <c r="V1367" t="s">
        <v>41</v>
      </c>
      <c r="W1367" t="s">
        <v>95</v>
      </c>
      <c r="X1367" t="str">
        <f>"7521105"</f>
        <v>7521105</v>
      </c>
      <c r="Y1367" t="s">
        <v>478</v>
      </c>
      <c r="Z1367" t="s">
        <v>195</v>
      </c>
      <c r="AA1367" t="s">
        <v>196</v>
      </c>
      <c r="AB1367" t="s">
        <v>131</v>
      </c>
      <c r="AC1367" t="s">
        <v>51</v>
      </c>
      <c r="AD1367" t="s">
        <v>45</v>
      </c>
      <c r="AE1367" s="1">
        <v>30371</v>
      </c>
      <c r="AF1367">
        <v>1</v>
      </c>
      <c r="AG1367" t="s">
        <v>196</v>
      </c>
      <c r="AH1367" s="36">
        <f t="shared" si="21"/>
        <v>36.35</v>
      </c>
      <c r="AI1367" s="40" t="s">
        <v>1778</v>
      </c>
    </row>
    <row r="1368" spans="1:35" x14ac:dyDescent="0.25">
      <c r="A1368" s="36">
        <v>99911366</v>
      </c>
      <c r="B1368" s="17" t="s">
        <v>56</v>
      </c>
      <c r="C1368" t="s">
        <v>61</v>
      </c>
      <c r="D1368" t="s">
        <v>62</v>
      </c>
      <c r="G1368" s="17" t="s">
        <v>48</v>
      </c>
      <c r="H1368" s="17">
        <v>1</v>
      </c>
      <c r="K1368" t="s">
        <v>223</v>
      </c>
      <c r="L1368" t="s">
        <v>224</v>
      </c>
      <c r="M1368" t="s">
        <v>131</v>
      </c>
      <c r="N1368">
        <v>21</v>
      </c>
      <c r="O1368" t="s">
        <v>40</v>
      </c>
      <c r="P1368" t="s">
        <v>40</v>
      </c>
      <c r="Q1368" t="s">
        <v>40</v>
      </c>
      <c r="S1368" t="s">
        <v>40</v>
      </c>
      <c r="V1368" t="s">
        <v>41</v>
      </c>
      <c r="W1368" t="s">
        <v>49</v>
      </c>
      <c r="X1368" t="str">
        <f>"0581206"</f>
        <v>0581206</v>
      </c>
      <c r="Y1368" t="s">
        <v>232</v>
      </c>
      <c r="Z1368" t="s">
        <v>223</v>
      </c>
      <c r="AA1368" t="s">
        <v>224</v>
      </c>
      <c r="AB1368" t="s">
        <v>131</v>
      </c>
      <c r="AC1368" t="s">
        <v>51</v>
      </c>
      <c r="AD1368" t="s">
        <v>45</v>
      </c>
      <c r="AE1368" s="1">
        <v>30364</v>
      </c>
      <c r="AF1368">
        <v>2</v>
      </c>
      <c r="AG1368" t="s">
        <v>224</v>
      </c>
      <c r="AH1368" s="36">
        <f t="shared" si="21"/>
        <v>36.369444444444447</v>
      </c>
      <c r="AI1368" s="40" t="s">
        <v>1778</v>
      </c>
    </row>
    <row r="1369" spans="1:35" x14ac:dyDescent="0.25">
      <c r="A1369" s="36">
        <v>99911367</v>
      </c>
      <c r="B1369" s="17" t="s">
        <v>32</v>
      </c>
      <c r="C1369" t="s">
        <v>139</v>
      </c>
      <c r="D1369" t="s">
        <v>140</v>
      </c>
      <c r="G1369" s="17" t="s">
        <v>48</v>
      </c>
      <c r="H1369" s="17">
        <v>1</v>
      </c>
      <c r="K1369" t="s">
        <v>223</v>
      </c>
      <c r="L1369" t="s">
        <v>224</v>
      </c>
      <c r="M1369" t="s">
        <v>131</v>
      </c>
      <c r="N1369">
        <v>13</v>
      </c>
      <c r="O1369" t="s">
        <v>40</v>
      </c>
      <c r="P1369" t="s">
        <v>40</v>
      </c>
      <c r="Q1369" t="s">
        <v>40</v>
      </c>
      <c r="R1369" t="s">
        <v>40</v>
      </c>
      <c r="S1369" t="s">
        <v>40</v>
      </c>
      <c r="V1369" t="s">
        <v>41</v>
      </c>
      <c r="W1369" t="s">
        <v>49</v>
      </c>
      <c r="X1369" t="str">
        <f>"0540902"</f>
        <v>0540902</v>
      </c>
      <c r="Y1369" t="s">
        <v>256</v>
      </c>
      <c r="Z1369" t="s">
        <v>223</v>
      </c>
      <c r="AA1369" t="s">
        <v>224</v>
      </c>
      <c r="AB1369" t="s">
        <v>131</v>
      </c>
      <c r="AC1369" t="s">
        <v>51</v>
      </c>
      <c r="AD1369" t="s">
        <v>45</v>
      </c>
      <c r="AE1369" s="1">
        <v>30361</v>
      </c>
      <c r="AF1369">
        <v>2</v>
      </c>
      <c r="AG1369" t="s">
        <v>224</v>
      </c>
      <c r="AH1369" s="36">
        <f t="shared" si="21"/>
        <v>36.37777777777778</v>
      </c>
      <c r="AI1369" s="40" t="s">
        <v>1778</v>
      </c>
    </row>
    <row r="1370" spans="1:35" x14ac:dyDescent="0.25">
      <c r="A1370" s="36">
        <v>99911368</v>
      </c>
      <c r="B1370" s="17" t="s">
        <v>32</v>
      </c>
      <c r="C1370" t="s">
        <v>46</v>
      </c>
      <c r="D1370" t="s">
        <v>47</v>
      </c>
      <c r="G1370" s="17" t="s">
        <v>35</v>
      </c>
      <c r="H1370" s="17">
        <v>1</v>
      </c>
      <c r="I1370">
        <v>17756</v>
      </c>
      <c r="J1370" s="1">
        <v>43344</v>
      </c>
      <c r="K1370" t="s">
        <v>1306</v>
      </c>
      <c r="L1370" t="s">
        <v>1307</v>
      </c>
      <c r="M1370" t="s">
        <v>1270</v>
      </c>
      <c r="N1370">
        <v>8</v>
      </c>
      <c r="O1370" t="s">
        <v>40</v>
      </c>
      <c r="P1370" t="s">
        <v>40</v>
      </c>
      <c r="Q1370" t="s">
        <v>40</v>
      </c>
      <c r="R1370" t="s">
        <v>40</v>
      </c>
      <c r="S1370" t="s">
        <v>40</v>
      </c>
      <c r="U1370" s="1">
        <v>43344</v>
      </c>
      <c r="V1370" t="s">
        <v>41</v>
      </c>
      <c r="W1370" t="s">
        <v>42</v>
      </c>
      <c r="X1370" t="str">
        <f>"1990913"</f>
        <v>1990913</v>
      </c>
      <c r="Y1370" t="s">
        <v>1312</v>
      </c>
      <c r="Z1370" t="s">
        <v>1306</v>
      </c>
      <c r="AA1370" t="s">
        <v>1307</v>
      </c>
      <c r="AB1370" t="s">
        <v>1270</v>
      </c>
      <c r="AC1370" t="s">
        <v>44</v>
      </c>
      <c r="AD1370" t="s">
        <v>45</v>
      </c>
      <c r="AE1370" s="1">
        <v>30360</v>
      </c>
      <c r="AF1370">
        <v>2</v>
      </c>
      <c r="AG1370" t="s">
        <v>1307</v>
      </c>
      <c r="AH1370" s="36">
        <f t="shared" si="21"/>
        <v>36.380555555555553</v>
      </c>
      <c r="AI1370" s="40" t="s">
        <v>1778</v>
      </c>
    </row>
    <row r="1371" spans="1:35" x14ac:dyDescent="0.25">
      <c r="A1371" s="36">
        <v>99911369</v>
      </c>
      <c r="B1371" s="17" t="s">
        <v>56</v>
      </c>
      <c r="C1371" t="s">
        <v>111</v>
      </c>
      <c r="D1371" t="s">
        <v>112</v>
      </c>
      <c r="G1371" s="17" t="s">
        <v>35</v>
      </c>
      <c r="H1371" s="17">
        <v>1</v>
      </c>
      <c r="I1371" t="s">
        <v>402</v>
      </c>
      <c r="J1371" s="1">
        <v>43344</v>
      </c>
      <c r="K1371" t="s">
        <v>154</v>
      </c>
      <c r="L1371" t="s">
        <v>155</v>
      </c>
      <c r="M1371" t="s">
        <v>131</v>
      </c>
      <c r="N1371">
        <v>24</v>
      </c>
      <c r="O1371" t="s">
        <v>40</v>
      </c>
      <c r="S1371" t="s">
        <v>40</v>
      </c>
      <c r="U1371" s="1">
        <v>43344</v>
      </c>
      <c r="V1371" t="s">
        <v>41</v>
      </c>
      <c r="W1371" t="s">
        <v>75</v>
      </c>
      <c r="X1371" t="str">
        <f>"7051010"</f>
        <v>7051010</v>
      </c>
      <c r="Y1371" t="s">
        <v>403</v>
      </c>
      <c r="Z1371" t="s">
        <v>154</v>
      </c>
      <c r="AA1371" t="s">
        <v>155</v>
      </c>
      <c r="AB1371" t="s">
        <v>131</v>
      </c>
      <c r="AC1371" t="s">
        <v>55</v>
      </c>
      <c r="AD1371" t="s">
        <v>45</v>
      </c>
      <c r="AE1371" s="1">
        <v>30355</v>
      </c>
      <c r="AF1371">
        <v>1</v>
      </c>
      <c r="AG1371" t="s">
        <v>155</v>
      </c>
      <c r="AH1371" s="36">
        <f t="shared" si="21"/>
        <v>36.394444444444446</v>
      </c>
      <c r="AI1371" s="40" t="s">
        <v>1778</v>
      </c>
    </row>
    <row r="1372" spans="1:35" x14ac:dyDescent="0.25">
      <c r="A1372" s="36">
        <v>99911370</v>
      </c>
      <c r="B1372" s="17" t="s">
        <v>32</v>
      </c>
      <c r="C1372" t="s">
        <v>151</v>
      </c>
      <c r="D1372" t="s">
        <v>152</v>
      </c>
      <c r="G1372" s="17" t="s">
        <v>35</v>
      </c>
      <c r="H1372" s="17">
        <v>1</v>
      </c>
      <c r="K1372" t="s">
        <v>1128</v>
      </c>
      <c r="L1372" t="s">
        <v>1129</v>
      </c>
      <c r="M1372" t="s">
        <v>1130</v>
      </c>
      <c r="N1372">
        <v>3</v>
      </c>
      <c r="O1372" t="s">
        <v>40</v>
      </c>
      <c r="P1372" t="s">
        <v>40</v>
      </c>
      <c r="Q1372" t="s">
        <v>40</v>
      </c>
      <c r="R1372" t="s">
        <v>40</v>
      </c>
      <c r="S1372" t="s">
        <v>40</v>
      </c>
      <c r="V1372" t="s">
        <v>41</v>
      </c>
      <c r="W1372" t="s">
        <v>49</v>
      </c>
      <c r="X1372" t="str">
        <f>"3160002"</f>
        <v>3160002</v>
      </c>
      <c r="Y1372" t="s">
        <v>1143</v>
      </c>
      <c r="Z1372" t="s">
        <v>1128</v>
      </c>
      <c r="AA1372" t="s">
        <v>1129</v>
      </c>
      <c r="AB1372" t="s">
        <v>1130</v>
      </c>
      <c r="AC1372" t="s">
        <v>51</v>
      </c>
      <c r="AD1372" t="s">
        <v>45</v>
      </c>
      <c r="AE1372" s="1">
        <v>30352</v>
      </c>
      <c r="AF1372">
        <v>2</v>
      </c>
      <c r="AG1372" t="s">
        <v>1129</v>
      </c>
      <c r="AH1372" s="36">
        <f t="shared" si="21"/>
        <v>36.402777777777779</v>
      </c>
      <c r="AI1372" s="40" t="s">
        <v>1778</v>
      </c>
    </row>
    <row r="1373" spans="1:35" x14ac:dyDescent="0.25">
      <c r="A1373" s="36">
        <v>99911371</v>
      </c>
      <c r="B1373" s="17" t="s">
        <v>32</v>
      </c>
      <c r="C1373" t="s">
        <v>46</v>
      </c>
      <c r="D1373" t="s">
        <v>47</v>
      </c>
      <c r="G1373" s="17" t="s">
        <v>88</v>
      </c>
      <c r="H1373" s="17">
        <v>3</v>
      </c>
      <c r="I1373" t="s">
        <v>470</v>
      </c>
      <c r="J1373" s="1">
        <v>42248</v>
      </c>
      <c r="K1373" t="s">
        <v>431</v>
      </c>
      <c r="L1373" t="s">
        <v>196</v>
      </c>
      <c r="M1373" t="s">
        <v>131</v>
      </c>
      <c r="N1373">
        <v>24</v>
      </c>
      <c r="O1373" t="s">
        <v>40</v>
      </c>
      <c r="P1373" t="s">
        <v>40</v>
      </c>
      <c r="Q1373" t="s">
        <v>40</v>
      </c>
      <c r="R1373" t="s">
        <v>40</v>
      </c>
      <c r="S1373" t="s">
        <v>40</v>
      </c>
      <c r="U1373" s="1">
        <v>42248</v>
      </c>
      <c r="V1373" t="s">
        <v>41</v>
      </c>
      <c r="W1373" t="s">
        <v>75</v>
      </c>
      <c r="X1373" t="str">
        <f>"7521016"</f>
        <v>7521016</v>
      </c>
      <c r="Y1373" t="s">
        <v>448</v>
      </c>
      <c r="Z1373" t="s">
        <v>431</v>
      </c>
      <c r="AA1373" t="s">
        <v>196</v>
      </c>
      <c r="AB1373" t="s">
        <v>131</v>
      </c>
      <c r="AC1373" t="s">
        <v>51</v>
      </c>
      <c r="AD1373" t="s">
        <v>45</v>
      </c>
      <c r="AE1373" s="1">
        <v>30351</v>
      </c>
      <c r="AF1373">
        <v>1</v>
      </c>
      <c r="AG1373" t="s">
        <v>196</v>
      </c>
      <c r="AH1373" s="36">
        <f t="shared" si="21"/>
        <v>36.405555555555559</v>
      </c>
      <c r="AI1373" s="40" t="s">
        <v>1778</v>
      </c>
    </row>
    <row r="1374" spans="1:35" x14ac:dyDescent="0.25">
      <c r="A1374" s="36">
        <v>99911372</v>
      </c>
      <c r="B1374" s="17" t="s">
        <v>56</v>
      </c>
      <c r="C1374" t="s">
        <v>111</v>
      </c>
      <c r="D1374" t="s">
        <v>112</v>
      </c>
      <c r="G1374" s="17" t="s">
        <v>35</v>
      </c>
      <c r="H1374" s="17">
        <v>1</v>
      </c>
      <c r="I1374" t="s">
        <v>797</v>
      </c>
      <c r="J1374" s="1">
        <v>43344</v>
      </c>
      <c r="K1374" t="s">
        <v>354</v>
      </c>
      <c r="L1374" t="s">
        <v>355</v>
      </c>
      <c r="M1374" t="s">
        <v>131</v>
      </c>
      <c r="N1374">
        <v>24</v>
      </c>
      <c r="O1374" t="s">
        <v>40</v>
      </c>
      <c r="S1374" t="s">
        <v>40</v>
      </c>
      <c r="U1374" s="1">
        <v>43344</v>
      </c>
      <c r="V1374" t="s">
        <v>41</v>
      </c>
      <c r="W1374" t="s">
        <v>75</v>
      </c>
      <c r="X1374" t="str">
        <f>"7054016"</f>
        <v>7054016</v>
      </c>
      <c r="Y1374" t="s">
        <v>768</v>
      </c>
      <c r="Z1374" t="s">
        <v>354</v>
      </c>
      <c r="AA1374" t="s">
        <v>355</v>
      </c>
      <c r="AB1374" t="s">
        <v>131</v>
      </c>
      <c r="AC1374" t="s">
        <v>51</v>
      </c>
      <c r="AD1374" t="s">
        <v>45</v>
      </c>
      <c r="AE1374" s="1">
        <v>30341</v>
      </c>
      <c r="AF1374">
        <v>1</v>
      </c>
      <c r="AG1374" t="s">
        <v>355</v>
      </c>
      <c r="AH1374" s="36">
        <f t="shared" si="21"/>
        <v>36.43333333333333</v>
      </c>
      <c r="AI1374" s="40" t="s">
        <v>1778</v>
      </c>
    </row>
    <row r="1375" spans="1:35" x14ac:dyDescent="0.25">
      <c r="A1375" s="36">
        <v>99911373</v>
      </c>
      <c r="B1375" s="17" t="s">
        <v>32</v>
      </c>
      <c r="C1375" t="s">
        <v>82</v>
      </c>
      <c r="D1375" t="s">
        <v>83</v>
      </c>
      <c r="G1375" s="17" t="s">
        <v>35</v>
      </c>
      <c r="H1375" s="17">
        <v>1</v>
      </c>
      <c r="I1375">
        <v>19763</v>
      </c>
      <c r="J1375" s="1">
        <v>43433</v>
      </c>
      <c r="K1375" t="s">
        <v>157</v>
      </c>
      <c r="L1375" t="s">
        <v>158</v>
      </c>
      <c r="M1375" t="s">
        <v>131</v>
      </c>
      <c r="N1375">
        <v>18</v>
      </c>
      <c r="O1375" t="s">
        <v>40</v>
      </c>
      <c r="P1375" t="s">
        <v>40</v>
      </c>
      <c r="Q1375" t="s">
        <v>40</v>
      </c>
      <c r="R1375" t="s">
        <v>40</v>
      </c>
      <c r="S1375" t="s">
        <v>40</v>
      </c>
      <c r="U1375" s="1">
        <v>43433</v>
      </c>
      <c r="V1375" t="s">
        <v>41</v>
      </c>
      <c r="W1375" t="s">
        <v>49</v>
      </c>
      <c r="X1375" t="str">
        <f>"0580505"</f>
        <v>0580505</v>
      </c>
      <c r="Y1375" t="s">
        <v>168</v>
      </c>
      <c r="Z1375" t="s">
        <v>157</v>
      </c>
      <c r="AA1375" t="s">
        <v>158</v>
      </c>
      <c r="AB1375" t="s">
        <v>131</v>
      </c>
      <c r="AC1375" t="s">
        <v>44</v>
      </c>
      <c r="AD1375" t="s">
        <v>45</v>
      </c>
      <c r="AE1375" s="1">
        <v>30338</v>
      </c>
      <c r="AF1375">
        <v>2</v>
      </c>
      <c r="AG1375" t="s">
        <v>158</v>
      </c>
      <c r="AH1375" s="36">
        <f t="shared" si="21"/>
        <v>36.44166666666667</v>
      </c>
      <c r="AI1375" s="40" t="s">
        <v>1778</v>
      </c>
    </row>
    <row r="1376" spans="1:35" x14ac:dyDescent="0.25">
      <c r="A1376" s="36">
        <v>99911374</v>
      </c>
      <c r="B1376" s="17" t="s">
        <v>32</v>
      </c>
      <c r="C1376" t="s">
        <v>139</v>
      </c>
      <c r="D1376" t="s">
        <v>140</v>
      </c>
      <c r="G1376" s="17" t="s">
        <v>35</v>
      </c>
      <c r="H1376" s="17">
        <v>1</v>
      </c>
      <c r="I1376">
        <v>13030</v>
      </c>
      <c r="J1376" s="1">
        <v>43344</v>
      </c>
      <c r="K1376" t="s">
        <v>354</v>
      </c>
      <c r="L1376" t="s">
        <v>355</v>
      </c>
      <c r="M1376" t="s">
        <v>131</v>
      </c>
      <c r="N1376">
        <v>24</v>
      </c>
      <c r="O1376" t="s">
        <v>40</v>
      </c>
      <c r="S1376" t="s">
        <v>40</v>
      </c>
      <c r="U1376" s="1">
        <v>43344</v>
      </c>
      <c r="V1376" t="s">
        <v>41</v>
      </c>
      <c r="W1376" t="s">
        <v>75</v>
      </c>
      <c r="X1376" t="str">
        <f>"7054042"</f>
        <v>7054042</v>
      </c>
      <c r="Y1376" t="s">
        <v>776</v>
      </c>
      <c r="Z1376" t="s">
        <v>354</v>
      </c>
      <c r="AA1376" t="s">
        <v>355</v>
      </c>
      <c r="AB1376" t="s">
        <v>131</v>
      </c>
      <c r="AC1376" t="s">
        <v>51</v>
      </c>
      <c r="AD1376" t="s">
        <v>45</v>
      </c>
      <c r="AE1376" s="1">
        <v>30332</v>
      </c>
      <c r="AF1376">
        <v>1</v>
      </c>
      <c r="AG1376" t="s">
        <v>355</v>
      </c>
      <c r="AH1376" s="36">
        <f t="shared" si="21"/>
        <v>36.458333333333336</v>
      </c>
      <c r="AI1376" s="40" t="s">
        <v>1778</v>
      </c>
    </row>
    <row r="1377" spans="1:35" x14ac:dyDescent="0.25">
      <c r="A1377" s="36">
        <v>99911375</v>
      </c>
      <c r="B1377" s="17" t="s">
        <v>56</v>
      </c>
      <c r="C1377" t="s">
        <v>68</v>
      </c>
      <c r="D1377" t="s">
        <v>69</v>
      </c>
      <c r="G1377" s="17" t="s">
        <v>48</v>
      </c>
      <c r="H1377" s="17">
        <v>1</v>
      </c>
      <c r="K1377" t="s">
        <v>223</v>
      </c>
      <c r="L1377" t="s">
        <v>224</v>
      </c>
      <c r="M1377" t="s">
        <v>131</v>
      </c>
      <c r="N1377">
        <v>20</v>
      </c>
      <c r="O1377" t="s">
        <v>40</v>
      </c>
      <c r="P1377" t="s">
        <v>40</v>
      </c>
      <c r="Q1377" t="s">
        <v>40</v>
      </c>
      <c r="R1377" t="s">
        <v>40</v>
      </c>
      <c r="S1377" t="s">
        <v>40</v>
      </c>
      <c r="V1377" t="s">
        <v>41</v>
      </c>
      <c r="W1377" t="s">
        <v>49</v>
      </c>
      <c r="X1377" t="str">
        <f>"0581202"</f>
        <v>0581202</v>
      </c>
      <c r="Y1377" t="s">
        <v>248</v>
      </c>
      <c r="Z1377" t="s">
        <v>223</v>
      </c>
      <c r="AA1377" t="s">
        <v>224</v>
      </c>
      <c r="AB1377" t="s">
        <v>131</v>
      </c>
      <c r="AC1377" t="s">
        <v>51</v>
      </c>
      <c r="AD1377" t="s">
        <v>45</v>
      </c>
      <c r="AE1377" s="1">
        <v>30329</v>
      </c>
      <c r="AF1377">
        <v>2</v>
      </c>
      <c r="AG1377" t="s">
        <v>224</v>
      </c>
      <c r="AH1377" s="36">
        <f t="shared" si="21"/>
        <v>36.466666666666669</v>
      </c>
      <c r="AI1377" s="40" t="s">
        <v>1778</v>
      </c>
    </row>
    <row r="1378" spans="1:35" x14ac:dyDescent="0.25">
      <c r="A1378" s="36">
        <v>99911376</v>
      </c>
      <c r="B1378" s="17" t="s">
        <v>56</v>
      </c>
      <c r="C1378" t="s">
        <v>85</v>
      </c>
      <c r="D1378" t="s">
        <v>86</v>
      </c>
      <c r="G1378" s="17" t="s">
        <v>35</v>
      </c>
      <c r="H1378" s="17">
        <v>3</v>
      </c>
      <c r="I1378">
        <v>17125</v>
      </c>
      <c r="J1378" s="1">
        <v>43344</v>
      </c>
      <c r="K1378" t="s">
        <v>1268</v>
      </c>
      <c r="L1378" t="s">
        <v>1269</v>
      </c>
      <c r="M1378" t="s">
        <v>1270</v>
      </c>
      <c r="N1378">
        <v>23</v>
      </c>
      <c r="O1378" t="s">
        <v>40</v>
      </c>
      <c r="P1378" t="s">
        <v>40</v>
      </c>
      <c r="Q1378" t="s">
        <v>40</v>
      </c>
      <c r="R1378" t="s">
        <v>40</v>
      </c>
      <c r="S1378" t="s">
        <v>40</v>
      </c>
      <c r="U1378" s="1">
        <v>43344</v>
      </c>
      <c r="V1378" t="s">
        <v>41</v>
      </c>
      <c r="W1378" t="s">
        <v>49</v>
      </c>
      <c r="X1378" t="str">
        <f>"1981055"</f>
        <v>1981055</v>
      </c>
      <c r="Y1378" t="s">
        <v>1280</v>
      </c>
      <c r="Z1378" t="s">
        <v>1268</v>
      </c>
      <c r="AA1378" t="s">
        <v>1269</v>
      </c>
      <c r="AB1378" t="s">
        <v>1270</v>
      </c>
      <c r="AC1378" t="s">
        <v>44</v>
      </c>
      <c r="AD1378" t="s">
        <v>45</v>
      </c>
      <c r="AE1378" s="1">
        <v>30327</v>
      </c>
      <c r="AF1378">
        <v>2</v>
      </c>
      <c r="AG1378" t="s">
        <v>1269</v>
      </c>
      <c r="AH1378" s="36">
        <f t="shared" si="21"/>
        <v>36.472222222222221</v>
      </c>
      <c r="AI1378" s="40" t="s">
        <v>1778</v>
      </c>
    </row>
    <row r="1379" spans="1:35" x14ac:dyDescent="0.25">
      <c r="A1379" s="36">
        <v>99911377</v>
      </c>
      <c r="B1379" s="17" t="s">
        <v>32</v>
      </c>
      <c r="C1379" t="s">
        <v>46</v>
      </c>
      <c r="D1379" t="s">
        <v>47</v>
      </c>
      <c r="G1379" s="17" t="s">
        <v>35</v>
      </c>
      <c r="H1379" s="17">
        <v>1</v>
      </c>
      <c r="I1379">
        <v>1</v>
      </c>
      <c r="J1379" s="1">
        <v>43406</v>
      </c>
      <c r="K1379" t="s">
        <v>1341</v>
      </c>
      <c r="L1379" t="s">
        <v>1342</v>
      </c>
      <c r="M1379" t="s">
        <v>1270</v>
      </c>
      <c r="N1379">
        <v>24</v>
      </c>
      <c r="O1379" t="s">
        <v>40</v>
      </c>
      <c r="S1379" t="s">
        <v>40</v>
      </c>
      <c r="U1379" s="1">
        <v>43406</v>
      </c>
      <c r="V1379" t="s">
        <v>41</v>
      </c>
      <c r="W1379" t="s">
        <v>75</v>
      </c>
      <c r="X1379" t="str">
        <f>"7700012"</f>
        <v>7700012</v>
      </c>
      <c r="Y1379" t="s">
        <v>1357</v>
      </c>
      <c r="Z1379" t="s">
        <v>1341</v>
      </c>
      <c r="AA1379" t="s">
        <v>1342</v>
      </c>
      <c r="AB1379" t="s">
        <v>1270</v>
      </c>
      <c r="AC1379" t="s">
        <v>51</v>
      </c>
      <c r="AD1379" t="s">
        <v>45</v>
      </c>
      <c r="AE1379" s="1">
        <v>30325</v>
      </c>
      <c r="AF1379">
        <v>1</v>
      </c>
      <c r="AG1379" t="s">
        <v>1342</v>
      </c>
      <c r="AH1379" s="36">
        <f t="shared" si="21"/>
        <v>36.477777777777774</v>
      </c>
      <c r="AI1379" s="40" t="s">
        <v>1778</v>
      </c>
    </row>
    <row r="1380" spans="1:35" x14ac:dyDescent="0.25">
      <c r="A1380" s="36">
        <v>99911378</v>
      </c>
      <c r="B1380" s="17" t="s">
        <v>32</v>
      </c>
      <c r="C1380" t="s">
        <v>139</v>
      </c>
      <c r="D1380" t="s">
        <v>140</v>
      </c>
      <c r="G1380" s="17" t="s">
        <v>35</v>
      </c>
      <c r="H1380" s="17">
        <v>1</v>
      </c>
      <c r="I1380">
        <v>18424</v>
      </c>
      <c r="J1380" s="1">
        <v>43344</v>
      </c>
      <c r="K1380" t="s">
        <v>380</v>
      </c>
      <c r="L1380" t="s">
        <v>381</v>
      </c>
      <c r="M1380" t="s">
        <v>131</v>
      </c>
      <c r="N1380">
        <v>17</v>
      </c>
      <c r="O1380" t="s">
        <v>40</v>
      </c>
      <c r="P1380" t="s">
        <v>40</v>
      </c>
      <c r="Q1380" t="s">
        <v>40</v>
      </c>
      <c r="S1380" t="s">
        <v>40</v>
      </c>
      <c r="U1380" s="1">
        <v>43344</v>
      </c>
      <c r="V1380" t="s">
        <v>41</v>
      </c>
      <c r="W1380" t="s">
        <v>49</v>
      </c>
      <c r="X1380" t="str">
        <f>"0560028"</f>
        <v>0560028</v>
      </c>
      <c r="Y1380" t="s">
        <v>384</v>
      </c>
      <c r="Z1380" t="s">
        <v>380</v>
      </c>
      <c r="AA1380" t="s">
        <v>381</v>
      </c>
      <c r="AB1380" t="s">
        <v>131</v>
      </c>
      <c r="AC1380" t="s">
        <v>51</v>
      </c>
      <c r="AD1380" t="s">
        <v>45</v>
      </c>
      <c r="AE1380" s="1">
        <v>30319</v>
      </c>
      <c r="AF1380">
        <v>2</v>
      </c>
      <c r="AG1380" t="s">
        <v>381</v>
      </c>
      <c r="AH1380" s="36">
        <f t="shared" si="21"/>
        <v>36.494444444444447</v>
      </c>
      <c r="AI1380" s="40" t="s">
        <v>1778</v>
      </c>
    </row>
    <row r="1381" spans="1:35" x14ac:dyDescent="0.25">
      <c r="A1381" s="36">
        <v>99911379</v>
      </c>
      <c r="B1381" s="17" t="s">
        <v>32</v>
      </c>
      <c r="C1381" t="s">
        <v>33</v>
      </c>
      <c r="D1381" t="s">
        <v>34</v>
      </c>
      <c r="G1381" s="17" t="s">
        <v>88</v>
      </c>
      <c r="H1381" s="17">
        <v>7</v>
      </c>
      <c r="I1381" t="s">
        <v>201</v>
      </c>
      <c r="J1381" s="1">
        <v>43344</v>
      </c>
      <c r="K1381" t="s">
        <v>157</v>
      </c>
      <c r="L1381" t="s">
        <v>158</v>
      </c>
      <c r="M1381" t="s">
        <v>131</v>
      </c>
      <c r="N1381">
        <v>9</v>
      </c>
      <c r="O1381" t="s">
        <v>40</v>
      </c>
      <c r="P1381" t="s">
        <v>40</v>
      </c>
      <c r="Q1381" t="s">
        <v>40</v>
      </c>
      <c r="R1381" t="s">
        <v>40</v>
      </c>
      <c r="S1381" t="s">
        <v>40</v>
      </c>
      <c r="U1381" s="1">
        <v>43344</v>
      </c>
      <c r="V1381" t="s">
        <v>41</v>
      </c>
      <c r="W1381" t="s">
        <v>42</v>
      </c>
      <c r="X1381" t="str">
        <f>"0561004"</f>
        <v>0561004</v>
      </c>
      <c r="Y1381" t="s">
        <v>172</v>
      </c>
      <c r="Z1381" t="s">
        <v>157</v>
      </c>
      <c r="AA1381" t="s">
        <v>158</v>
      </c>
      <c r="AB1381" t="s">
        <v>131</v>
      </c>
      <c r="AC1381" t="s">
        <v>44</v>
      </c>
      <c r="AD1381" t="s">
        <v>45</v>
      </c>
      <c r="AE1381" s="1">
        <v>30317</v>
      </c>
      <c r="AF1381">
        <v>2</v>
      </c>
      <c r="AG1381" t="s">
        <v>158</v>
      </c>
      <c r="AH1381" s="36">
        <f t="shared" si="21"/>
        <v>36.5</v>
      </c>
      <c r="AI1381" s="40" t="s">
        <v>1778</v>
      </c>
    </row>
    <row r="1382" spans="1:35" x14ac:dyDescent="0.25">
      <c r="A1382" s="36">
        <v>99911380</v>
      </c>
      <c r="B1382" s="17" t="s">
        <v>32</v>
      </c>
      <c r="C1382" t="s">
        <v>64</v>
      </c>
      <c r="D1382" t="s">
        <v>65</v>
      </c>
      <c r="G1382" s="17" t="s">
        <v>35</v>
      </c>
      <c r="H1382" s="17">
        <v>2</v>
      </c>
      <c r="I1382" t="s">
        <v>211</v>
      </c>
      <c r="J1382" s="1">
        <v>43344</v>
      </c>
      <c r="K1382" t="s">
        <v>157</v>
      </c>
      <c r="L1382" t="s">
        <v>158</v>
      </c>
      <c r="M1382" t="s">
        <v>131</v>
      </c>
      <c r="N1382">
        <v>11</v>
      </c>
      <c r="O1382" t="s">
        <v>40</v>
      </c>
      <c r="P1382" t="s">
        <v>40</v>
      </c>
      <c r="Q1382" t="s">
        <v>40</v>
      </c>
      <c r="R1382" t="s">
        <v>40</v>
      </c>
      <c r="S1382" t="s">
        <v>40</v>
      </c>
      <c r="U1382" s="1">
        <v>43344</v>
      </c>
      <c r="V1382" t="s">
        <v>41</v>
      </c>
      <c r="W1382" t="s">
        <v>49</v>
      </c>
      <c r="X1382" t="str">
        <f>"0560026"</f>
        <v>0560026</v>
      </c>
      <c r="Y1382" t="s">
        <v>184</v>
      </c>
      <c r="Z1382" t="s">
        <v>157</v>
      </c>
      <c r="AA1382" t="s">
        <v>158</v>
      </c>
      <c r="AB1382" t="s">
        <v>131</v>
      </c>
      <c r="AC1382" t="s">
        <v>44</v>
      </c>
      <c r="AD1382" t="s">
        <v>45</v>
      </c>
      <c r="AE1382" s="1">
        <v>30317</v>
      </c>
      <c r="AF1382">
        <v>2</v>
      </c>
      <c r="AG1382" t="s">
        <v>158</v>
      </c>
      <c r="AH1382" s="36">
        <f t="shared" si="21"/>
        <v>36.5</v>
      </c>
      <c r="AI1382" s="40" t="s">
        <v>1778</v>
      </c>
    </row>
    <row r="1383" spans="1:35" x14ac:dyDescent="0.25">
      <c r="A1383" s="36">
        <v>99911381</v>
      </c>
      <c r="B1383" s="17" t="s">
        <v>32</v>
      </c>
      <c r="C1383" t="s">
        <v>61</v>
      </c>
      <c r="D1383" t="s">
        <v>62</v>
      </c>
      <c r="G1383" s="17" t="s">
        <v>48</v>
      </c>
      <c r="H1383" s="17">
        <v>1</v>
      </c>
      <c r="I1383" t="s">
        <v>293</v>
      </c>
      <c r="J1383" s="1">
        <v>42291</v>
      </c>
      <c r="K1383" t="s">
        <v>223</v>
      </c>
      <c r="L1383" t="s">
        <v>224</v>
      </c>
      <c r="M1383" t="s">
        <v>131</v>
      </c>
      <c r="N1383">
        <v>23</v>
      </c>
      <c r="O1383" t="s">
        <v>40</v>
      </c>
      <c r="P1383" t="s">
        <v>40</v>
      </c>
      <c r="Q1383" t="s">
        <v>40</v>
      </c>
      <c r="R1383" t="s">
        <v>40</v>
      </c>
      <c r="S1383" t="s">
        <v>40</v>
      </c>
      <c r="U1383" s="1">
        <v>42292</v>
      </c>
      <c r="V1383" t="s">
        <v>41</v>
      </c>
      <c r="W1383" t="s">
        <v>49</v>
      </c>
      <c r="X1383" t="str">
        <f>"0581206"</f>
        <v>0581206</v>
      </c>
      <c r="Y1383" t="s">
        <v>232</v>
      </c>
      <c r="Z1383" t="s">
        <v>223</v>
      </c>
      <c r="AA1383" t="s">
        <v>224</v>
      </c>
      <c r="AB1383" t="s">
        <v>131</v>
      </c>
      <c r="AC1383" t="s">
        <v>51</v>
      </c>
      <c r="AD1383" t="s">
        <v>45</v>
      </c>
      <c r="AE1383" s="1">
        <v>30317</v>
      </c>
      <c r="AF1383">
        <v>2</v>
      </c>
      <c r="AG1383" t="s">
        <v>224</v>
      </c>
      <c r="AH1383" s="36">
        <f t="shared" si="21"/>
        <v>36.5</v>
      </c>
      <c r="AI1383" s="40" t="s">
        <v>1778</v>
      </c>
    </row>
    <row r="1384" spans="1:35" x14ac:dyDescent="0.25">
      <c r="A1384" s="36">
        <v>99911382</v>
      </c>
      <c r="B1384" s="17" t="s">
        <v>56</v>
      </c>
      <c r="C1384" t="s">
        <v>61</v>
      </c>
      <c r="D1384" t="s">
        <v>62</v>
      </c>
      <c r="G1384" s="17" t="s">
        <v>35</v>
      </c>
      <c r="H1384" s="17">
        <v>1</v>
      </c>
      <c r="I1384" t="s">
        <v>317</v>
      </c>
      <c r="J1384" s="1">
        <v>43344</v>
      </c>
      <c r="K1384" t="s">
        <v>300</v>
      </c>
      <c r="L1384" t="s">
        <v>301</v>
      </c>
      <c r="M1384" t="s">
        <v>131</v>
      </c>
      <c r="N1384">
        <v>4</v>
      </c>
      <c r="O1384" t="s">
        <v>40</v>
      </c>
      <c r="P1384" t="s">
        <v>40</v>
      </c>
      <c r="Q1384" t="s">
        <v>40</v>
      </c>
      <c r="R1384" t="s">
        <v>40</v>
      </c>
      <c r="S1384" t="s">
        <v>40</v>
      </c>
      <c r="U1384" s="1">
        <v>43344</v>
      </c>
      <c r="V1384" t="s">
        <v>41</v>
      </c>
      <c r="W1384" t="s">
        <v>42</v>
      </c>
      <c r="X1384" t="str">
        <f>"0580106"</f>
        <v>0580106</v>
      </c>
      <c r="Y1384" t="s">
        <v>306</v>
      </c>
      <c r="Z1384" t="s">
        <v>300</v>
      </c>
      <c r="AA1384" t="s">
        <v>301</v>
      </c>
      <c r="AB1384" t="s">
        <v>131</v>
      </c>
      <c r="AC1384" t="s">
        <v>51</v>
      </c>
      <c r="AD1384" t="s">
        <v>45</v>
      </c>
      <c r="AE1384" s="1">
        <v>30317</v>
      </c>
      <c r="AF1384">
        <v>2</v>
      </c>
      <c r="AG1384" t="s">
        <v>301</v>
      </c>
      <c r="AH1384" s="36">
        <f t="shared" si="21"/>
        <v>36.5</v>
      </c>
      <c r="AI1384" s="40" t="s">
        <v>1778</v>
      </c>
    </row>
    <row r="1385" spans="1:35" x14ac:dyDescent="0.25">
      <c r="A1385" s="36">
        <v>99911383</v>
      </c>
      <c r="B1385" s="17" t="s">
        <v>32</v>
      </c>
      <c r="C1385" t="s">
        <v>33</v>
      </c>
      <c r="D1385" t="s">
        <v>34</v>
      </c>
      <c r="G1385" s="17" t="s">
        <v>35</v>
      </c>
      <c r="H1385" s="17">
        <v>1</v>
      </c>
      <c r="I1385" t="s">
        <v>330</v>
      </c>
      <c r="J1385" s="1">
        <v>43344</v>
      </c>
      <c r="K1385" t="s">
        <v>300</v>
      </c>
      <c r="L1385" t="s">
        <v>301</v>
      </c>
      <c r="M1385" t="s">
        <v>131</v>
      </c>
      <c r="N1385">
        <v>8</v>
      </c>
      <c r="O1385" t="s">
        <v>40</v>
      </c>
      <c r="P1385" t="s">
        <v>40</v>
      </c>
      <c r="Q1385" t="s">
        <v>40</v>
      </c>
      <c r="R1385" t="s">
        <v>40</v>
      </c>
      <c r="S1385" t="s">
        <v>40</v>
      </c>
      <c r="U1385" s="1">
        <v>43344</v>
      </c>
      <c r="V1385" t="s">
        <v>41</v>
      </c>
      <c r="W1385" t="s">
        <v>49</v>
      </c>
      <c r="X1385" t="str">
        <f>"0560020"</f>
        <v>0560020</v>
      </c>
      <c r="Y1385" t="s">
        <v>302</v>
      </c>
      <c r="Z1385" t="s">
        <v>300</v>
      </c>
      <c r="AA1385" t="s">
        <v>301</v>
      </c>
      <c r="AB1385" t="s">
        <v>131</v>
      </c>
      <c r="AC1385" t="s">
        <v>51</v>
      </c>
      <c r="AD1385" t="s">
        <v>45</v>
      </c>
      <c r="AE1385" s="1">
        <v>30317</v>
      </c>
      <c r="AF1385">
        <v>2</v>
      </c>
      <c r="AG1385" t="s">
        <v>301</v>
      </c>
      <c r="AH1385" s="36">
        <f t="shared" si="21"/>
        <v>36.5</v>
      </c>
      <c r="AI1385" s="40" t="s">
        <v>1778</v>
      </c>
    </row>
    <row r="1386" spans="1:35" x14ac:dyDescent="0.25">
      <c r="A1386" s="36">
        <v>99911384</v>
      </c>
      <c r="B1386" s="17" t="s">
        <v>32</v>
      </c>
      <c r="C1386" t="s">
        <v>68</v>
      </c>
      <c r="D1386" t="s">
        <v>69</v>
      </c>
      <c r="G1386" s="17" t="s">
        <v>35</v>
      </c>
      <c r="H1386" s="17">
        <v>1</v>
      </c>
      <c r="I1386">
        <v>13814</v>
      </c>
      <c r="J1386" s="1">
        <v>43355</v>
      </c>
      <c r="K1386" t="s">
        <v>345</v>
      </c>
      <c r="L1386" t="s">
        <v>346</v>
      </c>
      <c r="M1386" t="s">
        <v>131</v>
      </c>
      <c r="N1386">
        <v>23</v>
      </c>
      <c r="O1386" t="s">
        <v>40</v>
      </c>
      <c r="P1386" t="s">
        <v>40</v>
      </c>
      <c r="Q1386" t="s">
        <v>40</v>
      </c>
      <c r="R1386" t="s">
        <v>40</v>
      </c>
      <c r="S1386" t="s">
        <v>40</v>
      </c>
      <c r="U1386" s="1">
        <v>43355</v>
      </c>
      <c r="V1386" t="s">
        <v>41</v>
      </c>
      <c r="W1386" t="s">
        <v>49</v>
      </c>
      <c r="X1386" t="str">
        <f>"0581155"</f>
        <v>0581155</v>
      </c>
      <c r="Y1386" t="s">
        <v>349</v>
      </c>
      <c r="Z1386" t="s">
        <v>345</v>
      </c>
      <c r="AA1386" t="s">
        <v>346</v>
      </c>
      <c r="AB1386" t="s">
        <v>131</v>
      </c>
      <c r="AC1386" t="s">
        <v>51</v>
      </c>
      <c r="AD1386" t="s">
        <v>45</v>
      </c>
      <c r="AE1386" s="1">
        <v>30317</v>
      </c>
      <c r="AF1386">
        <v>2</v>
      </c>
      <c r="AG1386" t="s">
        <v>346</v>
      </c>
      <c r="AH1386" s="36">
        <f t="shared" si="21"/>
        <v>36.5</v>
      </c>
      <c r="AI1386" s="40" t="s">
        <v>1778</v>
      </c>
    </row>
    <row r="1387" spans="1:35" x14ac:dyDescent="0.25">
      <c r="A1387" s="36">
        <v>99911385</v>
      </c>
      <c r="B1387" s="17" t="s">
        <v>32</v>
      </c>
      <c r="C1387" t="s">
        <v>68</v>
      </c>
      <c r="D1387" t="s">
        <v>69</v>
      </c>
      <c r="G1387" s="17" t="s">
        <v>35</v>
      </c>
      <c r="H1387" s="17">
        <v>1</v>
      </c>
      <c r="I1387">
        <v>18104</v>
      </c>
      <c r="J1387" s="1">
        <v>43344</v>
      </c>
      <c r="K1387" t="s">
        <v>345</v>
      </c>
      <c r="L1387" t="s">
        <v>346</v>
      </c>
      <c r="M1387" t="s">
        <v>131</v>
      </c>
      <c r="N1387">
        <v>21</v>
      </c>
      <c r="O1387" t="s">
        <v>40</v>
      </c>
      <c r="P1387" t="s">
        <v>40</v>
      </c>
      <c r="Q1387" t="s">
        <v>40</v>
      </c>
      <c r="R1387" t="s">
        <v>40</v>
      </c>
      <c r="S1387" t="s">
        <v>40</v>
      </c>
      <c r="U1387" s="1">
        <v>43344</v>
      </c>
      <c r="V1387" t="s">
        <v>41</v>
      </c>
      <c r="W1387" t="s">
        <v>367</v>
      </c>
      <c r="X1387" t="str">
        <f>"0580655"</f>
        <v>0580655</v>
      </c>
      <c r="Y1387" t="s">
        <v>368</v>
      </c>
      <c r="Z1387" t="s">
        <v>345</v>
      </c>
      <c r="AA1387" t="s">
        <v>346</v>
      </c>
      <c r="AB1387" t="s">
        <v>131</v>
      </c>
      <c r="AC1387" t="s">
        <v>51</v>
      </c>
      <c r="AD1387" t="s">
        <v>45</v>
      </c>
      <c r="AE1387" s="1">
        <v>30317</v>
      </c>
      <c r="AF1387">
        <v>2</v>
      </c>
      <c r="AG1387" t="s">
        <v>346</v>
      </c>
      <c r="AH1387" s="36">
        <f t="shared" si="21"/>
        <v>36.5</v>
      </c>
      <c r="AI1387" s="40" t="s">
        <v>1778</v>
      </c>
    </row>
    <row r="1388" spans="1:35" x14ac:dyDescent="0.25">
      <c r="A1388" s="36">
        <v>99911386</v>
      </c>
      <c r="B1388" s="17" t="s">
        <v>32</v>
      </c>
      <c r="C1388" t="s">
        <v>64</v>
      </c>
      <c r="D1388" t="s">
        <v>65</v>
      </c>
      <c r="G1388" s="17" t="s">
        <v>35</v>
      </c>
      <c r="H1388" s="17">
        <v>1</v>
      </c>
      <c r="I1388">
        <v>21456</v>
      </c>
      <c r="J1388" s="1">
        <v>43344</v>
      </c>
      <c r="K1388" t="s">
        <v>380</v>
      </c>
      <c r="L1388" t="s">
        <v>381</v>
      </c>
      <c r="M1388" t="s">
        <v>131</v>
      </c>
      <c r="N1388">
        <v>11</v>
      </c>
      <c r="O1388" t="s">
        <v>40</v>
      </c>
      <c r="P1388" t="s">
        <v>40</v>
      </c>
      <c r="Q1388" t="s">
        <v>40</v>
      </c>
      <c r="R1388" t="s">
        <v>40</v>
      </c>
      <c r="S1388" t="s">
        <v>40</v>
      </c>
      <c r="U1388" s="1">
        <v>43344</v>
      </c>
      <c r="V1388" t="s">
        <v>41</v>
      </c>
      <c r="W1388" t="s">
        <v>49</v>
      </c>
      <c r="X1388" t="str">
        <f>"0591908"</f>
        <v>0591908</v>
      </c>
      <c r="Y1388" t="s">
        <v>383</v>
      </c>
      <c r="Z1388" t="s">
        <v>380</v>
      </c>
      <c r="AA1388" t="s">
        <v>381</v>
      </c>
      <c r="AB1388" t="s">
        <v>131</v>
      </c>
      <c r="AC1388" t="s">
        <v>44</v>
      </c>
      <c r="AD1388" t="s">
        <v>45</v>
      </c>
      <c r="AE1388" s="1">
        <v>30317</v>
      </c>
      <c r="AF1388">
        <v>2</v>
      </c>
      <c r="AG1388" t="s">
        <v>381</v>
      </c>
      <c r="AH1388" s="36">
        <f t="shared" si="21"/>
        <v>36.5</v>
      </c>
      <c r="AI1388" s="40" t="s">
        <v>1778</v>
      </c>
    </row>
    <row r="1389" spans="1:35" x14ac:dyDescent="0.25">
      <c r="A1389" s="36">
        <v>99911387</v>
      </c>
      <c r="B1389" s="17" t="s">
        <v>32</v>
      </c>
      <c r="C1389" t="s">
        <v>64</v>
      </c>
      <c r="D1389" t="s">
        <v>65</v>
      </c>
      <c r="G1389" s="17" t="s">
        <v>48</v>
      </c>
      <c r="H1389" s="17">
        <v>1</v>
      </c>
      <c r="K1389" t="s">
        <v>380</v>
      </c>
      <c r="L1389" t="s">
        <v>381</v>
      </c>
      <c r="M1389" t="s">
        <v>131</v>
      </c>
      <c r="N1389">
        <v>19</v>
      </c>
      <c r="O1389" t="s">
        <v>40</v>
      </c>
      <c r="P1389" t="s">
        <v>40</v>
      </c>
      <c r="Q1389" t="s">
        <v>40</v>
      </c>
      <c r="R1389" t="s">
        <v>40</v>
      </c>
      <c r="S1389" t="s">
        <v>40</v>
      </c>
      <c r="V1389" t="s">
        <v>41</v>
      </c>
      <c r="W1389" t="s">
        <v>49</v>
      </c>
      <c r="X1389" t="str">
        <f>"0560028"</f>
        <v>0560028</v>
      </c>
      <c r="Y1389" t="s">
        <v>384</v>
      </c>
      <c r="Z1389" t="s">
        <v>380</v>
      </c>
      <c r="AA1389" t="s">
        <v>381</v>
      </c>
      <c r="AB1389" t="s">
        <v>131</v>
      </c>
      <c r="AC1389" t="s">
        <v>51</v>
      </c>
      <c r="AD1389" t="s">
        <v>45</v>
      </c>
      <c r="AE1389" s="1">
        <v>30317</v>
      </c>
      <c r="AF1389">
        <v>2</v>
      </c>
      <c r="AG1389" t="s">
        <v>381</v>
      </c>
      <c r="AH1389" s="36">
        <f t="shared" si="21"/>
        <v>36.5</v>
      </c>
      <c r="AI1389" s="40" t="s">
        <v>1778</v>
      </c>
    </row>
    <row r="1390" spans="1:35" x14ac:dyDescent="0.25">
      <c r="A1390" s="36">
        <v>99911388</v>
      </c>
      <c r="B1390" s="17" t="s">
        <v>32</v>
      </c>
      <c r="C1390" t="s">
        <v>111</v>
      </c>
      <c r="D1390" t="s">
        <v>112</v>
      </c>
      <c r="G1390" s="17" t="s">
        <v>48</v>
      </c>
      <c r="H1390" s="17">
        <v>1</v>
      </c>
      <c r="K1390" t="s">
        <v>268</v>
      </c>
      <c r="L1390" t="s">
        <v>269</v>
      </c>
      <c r="M1390" t="s">
        <v>131</v>
      </c>
      <c r="N1390">
        <v>24</v>
      </c>
      <c r="O1390" t="s">
        <v>40</v>
      </c>
      <c r="P1390" t="s">
        <v>40</v>
      </c>
      <c r="Q1390" t="s">
        <v>40</v>
      </c>
      <c r="R1390" t="s">
        <v>40</v>
      </c>
      <c r="S1390" t="s">
        <v>40</v>
      </c>
      <c r="V1390" t="s">
        <v>41</v>
      </c>
      <c r="W1390" t="s">
        <v>75</v>
      </c>
      <c r="X1390" t="str">
        <f>"7052040"</f>
        <v>7052040</v>
      </c>
      <c r="Y1390" t="s">
        <v>591</v>
      </c>
      <c r="Z1390" t="s">
        <v>268</v>
      </c>
      <c r="AA1390" t="s">
        <v>269</v>
      </c>
      <c r="AB1390" t="s">
        <v>131</v>
      </c>
      <c r="AC1390" t="s">
        <v>51</v>
      </c>
      <c r="AD1390" t="s">
        <v>45</v>
      </c>
      <c r="AE1390" s="1">
        <v>30317</v>
      </c>
      <c r="AF1390">
        <v>1</v>
      </c>
      <c r="AG1390" t="s">
        <v>269</v>
      </c>
      <c r="AH1390" s="36">
        <f t="shared" si="21"/>
        <v>36.5</v>
      </c>
      <c r="AI1390" s="40" t="s">
        <v>1778</v>
      </c>
    </row>
    <row r="1391" spans="1:35" x14ac:dyDescent="0.25">
      <c r="A1391" s="36">
        <v>99911389</v>
      </c>
      <c r="B1391" s="17" t="s">
        <v>32</v>
      </c>
      <c r="C1391" t="s">
        <v>61</v>
      </c>
      <c r="D1391" t="s">
        <v>62</v>
      </c>
      <c r="G1391" s="17" t="s">
        <v>48</v>
      </c>
      <c r="H1391" s="17">
        <v>1</v>
      </c>
      <c r="K1391" t="s">
        <v>268</v>
      </c>
      <c r="L1391" t="s">
        <v>269</v>
      </c>
      <c r="M1391" t="s">
        <v>131</v>
      </c>
      <c r="N1391">
        <v>21</v>
      </c>
      <c r="O1391" t="s">
        <v>40</v>
      </c>
      <c r="P1391" t="s">
        <v>40</v>
      </c>
      <c r="Q1391" t="s">
        <v>40</v>
      </c>
      <c r="R1391" t="s">
        <v>40</v>
      </c>
      <c r="S1391" t="s">
        <v>40</v>
      </c>
      <c r="V1391" t="s">
        <v>41</v>
      </c>
      <c r="W1391" t="s">
        <v>75</v>
      </c>
      <c r="X1391" t="str">
        <f>"7052016"</f>
        <v>7052016</v>
      </c>
      <c r="Y1391" t="s">
        <v>588</v>
      </c>
      <c r="Z1391" t="s">
        <v>268</v>
      </c>
      <c r="AA1391" t="s">
        <v>269</v>
      </c>
      <c r="AB1391" t="s">
        <v>131</v>
      </c>
      <c r="AC1391" t="s">
        <v>51</v>
      </c>
      <c r="AD1391" t="s">
        <v>45</v>
      </c>
      <c r="AE1391" s="1">
        <v>30317</v>
      </c>
      <c r="AF1391">
        <v>1</v>
      </c>
      <c r="AG1391" t="s">
        <v>269</v>
      </c>
      <c r="AH1391" s="36">
        <f t="shared" si="21"/>
        <v>36.5</v>
      </c>
      <c r="AI1391" s="40" t="s">
        <v>1778</v>
      </c>
    </row>
    <row r="1392" spans="1:35" x14ac:dyDescent="0.25">
      <c r="A1392" s="36">
        <v>99911390</v>
      </c>
      <c r="B1392" s="17" t="s">
        <v>32</v>
      </c>
      <c r="C1392" t="s">
        <v>136</v>
      </c>
      <c r="D1392" t="s">
        <v>137</v>
      </c>
      <c r="G1392" s="17" t="s">
        <v>35</v>
      </c>
      <c r="H1392" s="17">
        <v>1</v>
      </c>
      <c r="I1392" t="s">
        <v>273</v>
      </c>
      <c r="J1392" s="1">
        <v>41900</v>
      </c>
      <c r="K1392" t="s">
        <v>354</v>
      </c>
      <c r="L1392" t="s">
        <v>355</v>
      </c>
      <c r="M1392" t="s">
        <v>131</v>
      </c>
      <c r="N1392">
        <v>16</v>
      </c>
      <c r="O1392" t="s">
        <v>40</v>
      </c>
      <c r="P1392" t="s">
        <v>40</v>
      </c>
      <c r="Q1392" t="s">
        <v>40</v>
      </c>
      <c r="R1392" t="s">
        <v>40</v>
      </c>
      <c r="S1392" t="s">
        <v>40</v>
      </c>
      <c r="U1392" s="1">
        <v>41900</v>
      </c>
      <c r="V1392" t="s">
        <v>41</v>
      </c>
      <c r="W1392" t="s">
        <v>75</v>
      </c>
      <c r="X1392" t="str">
        <f>"7054020"</f>
        <v>7054020</v>
      </c>
      <c r="Y1392" t="s">
        <v>765</v>
      </c>
      <c r="Z1392" t="s">
        <v>354</v>
      </c>
      <c r="AA1392" t="s">
        <v>355</v>
      </c>
      <c r="AB1392" t="s">
        <v>131</v>
      </c>
      <c r="AC1392" t="s">
        <v>51</v>
      </c>
      <c r="AD1392" t="s">
        <v>45</v>
      </c>
      <c r="AE1392" s="1">
        <v>30317</v>
      </c>
      <c r="AF1392">
        <v>1</v>
      </c>
      <c r="AG1392" t="s">
        <v>355</v>
      </c>
      <c r="AH1392" s="36">
        <f t="shared" si="21"/>
        <v>36.5</v>
      </c>
      <c r="AI1392" s="40" t="s">
        <v>1778</v>
      </c>
    </row>
    <row r="1393" spans="1:35" x14ac:dyDescent="0.25">
      <c r="A1393" s="36">
        <v>99911391</v>
      </c>
      <c r="B1393" s="17" t="s">
        <v>56</v>
      </c>
      <c r="C1393" t="s">
        <v>111</v>
      </c>
      <c r="D1393" t="s">
        <v>112</v>
      </c>
      <c r="G1393" s="17" t="s">
        <v>35</v>
      </c>
      <c r="H1393" s="17">
        <v>1</v>
      </c>
      <c r="I1393">
        <v>10934</v>
      </c>
      <c r="J1393" s="1">
        <v>43344</v>
      </c>
      <c r="K1393" t="s">
        <v>354</v>
      </c>
      <c r="L1393" t="s">
        <v>355</v>
      </c>
      <c r="M1393" t="s">
        <v>131</v>
      </c>
      <c r="N1393">
        <v>24</v>
      </c>
      <c r="O1393" t="s">
        <v>40</v>
      </c>
      <c r="P1393" t="s">
        <v>40</v>
      </c>
      <c r="Q1393" t="s">
        <v>40</v>
      </c>
      <c r="R1393" t="s">
        <v>40</v>
      </c>
      <c r="S1393" t="s">
        <v>40</v>
      </c>
      <c r="U1393" s="1">
        <v>43344</v>
      </c>
      <c r="V1393" t="s">
        <v>41</v>
      </c>
      <c r="W1393" t="s">
        <v>75</v>
      </c>
      <c r="X1393" t="str">
        <f>"7054042"</f>
        <v>7054042</v>
      </c>
      <c r="Y1393" t="s">
        <v>776</v>
      </c>
      <c r="Z1393" t="s">
        <v>354</v>
      </c>
      <c r="AA1393" t="s">
        <v>355</v>
      </c>
      <c r="AB1393" t="s">
        <v>131</v>
      </c>
      <c r="AC1393" t="s">
        <v>51</v>
      </c>
      <c r="AD1393" t="s">
        <v>45</v>
      </c>
      <c r="AE1393" s="1">
        <v>30317</v>
      </c>
      <c r="AF1393">
        <v>1</v>
      </c>
      <c r="AG1393" t="s">
        <v>355</v>
      </c>
      <c r="AH1393" s="36">
        <f t="shared" si="21"/>
        <v>36.5</v>
      </c>
      <c r="AI1393" s="40" t="s">
        <v>1778</v>
      </c>
    </row>
    <row r="1394" spans="1:35" x14ac:dyDescent="0.25">
      <c r="A1394" s="36">
        <v>99911392</v>
      </c>
      <c r="B1394" s="17" t="s">
        <v>56</v>
      </c>
      <c r="C1394" t="s">
        <v>61</v>
      </c>
      <c r="D1394" t="s">
        <v>62</v>
      </c>
      <c r="E1394" t="s">
        <v>257</v>
      </c>
      <c r="F1394" t="s">
        <v>258</v>
      </c>
      <c r="G1394" s="17" t="s">
        <v>48</v>
      </c>
      <c r="H1394" s="17">
        <v>1</v>
      </c>
      <c r="K1394" t="s">
        <v>936</v>
      </c>
      <c r="L1394" t="s">
        <v>937</v>
      </c>
      <c r="M1394" t="s">
        <v>938</v>
      </c>
      <c r="N1394">
        <v>17</v>
      </c>
      <c r="O1394" t="s">
        <v>40</v>
      </c>
      <c r="P1394" t="s">
        <v>40</v>
      </c>
      <c r="Q1394" t="s">
        <v>40</v>
      </c>
      <c r="S1394" t="s">
        <v>40</v>
      </c>
      <c r="V1394" t="s">
        <v>41</v>
      </c>
      <c r="W1394" t="s">
        <v>49</v>
      </c>
      <c r="X1394" t="str">
        <f>"0180017"</f>
        <v>0180017</v>
      </c>
      <c r="Y1394" t="s">
        <v>943</v>
      </c>
      <c r="Z1394" t="s">
        <v>936</v>
      </c>
      <c r="AA1394" t="s">
        <v>937</v>
      </c>
      <c r="AB1394" t="s">
        <v>938</v>
      </c>
      <c r="AC1394" t="s">
        <v>51</v>
      </c>
      <c r="AD1394" t="s">
        <v>45</v>
      </c>
      <c r="AE1394" s="1">
        <v>30317</v>
      </c>
      <c r="AF1394">
        <v>2</v>
      </c>
      <c r="AG1394" t="s">
        <v>937</v>
      </c>
      <c r="AH1394" s="36">
        <f t="shared" si="21"/>
        <v>36.5</v>
      </c>
      <c r="AI1394" s="40" t="s">
        <v>1778</v>
      </c>
    </row>
    <row r="1395" spans="1:35" x14ac:dyDescent="0.25">
      <c r="A1395" s="36">
        <v>99911393</v>
      </c>
      <c r="B1395" s="17" t="s">
        <v>32</v>
      </c>
      <c r="C1395" t="s">
        <v>136</v>
      </c>
      <c r="D1395" t="s">
        <v>137</v>
      </c>
      <c r="G1395" s="17" t="s">
        <v>35</v>
      </c>
      <c r="H1395" s="17">
        <v>1</v>
      </c>
      <c r="K1395" t="s">
        <v>947</v>
      </c>
      <c r="L1395" t="s">
        <v>948</v>
      </c>
      <c r="M1395" t="s">
        <v>938</v>
      </c>
      <c r="N1395">
        <v>19</v>
      </c>
      <c r="O1395" t="s">
        <v>40</v>
      </c>
      <c r="P1395" t="s">
        <v>40</v>
      </c>
      <c r="Q1395" t="s">
        <v>40</v>
      </c>
      <c r="R1395" t="s">
        <v>40</v>
      </c>
      <c r="S1395" t="s">
        <v>40</v>
      </c>
      <c r="V1395" t="s">
        <v>41</v>
      </c>
      <c r="W1395" t="s">
        <v>75</v>
      </c>
      <c r="X1395" t="str">
        <f>"7061000"</f>
        <v>7061000</v>
      </c>
      <c r="Y1395" t="s">
        <v>962</v>
      </c>
      <c r="Z1395" t="s">
        <v>963</v>
      </c>
      <c r="AA1395" t="s">
        <v>964</v>
      </c>
      <c r="AB1395" t="s">
        <v>938</v>
      </c>
      <c r="AC1395" t="s">
        <v>51</v>
      </c>
      <c r="AD1395" t="s">
        <v>45</v>
      </c>
      <c r="AE1395" s="1">
        <v>30317</v>
      </c>
      <c r="AF1395">
        <v>2</v>
      </c>
      <c r="AG1395" t="s">
        <v>948</v>
      </c>
      <c r="AH1395" s="36">
        <f t="shared" si="21"/>
        <v>36.5</v>
      </c>
      <c r="AI1395" s="40" t="s">
        <v>1778</v>
      </c>
    </row>
    <row r="1396" spans="1:35" x14ac:dyDescent="0.25">
      <c r="A1396" s="36">
        <v>99911394</v>
      </c>
      <c r="B1396" s="17" t="s">
        <v>32</v>
      </c>
      <c r="C1396" t="s">
        <v>64</v>
      </c>
      <c r="D1396" t="s">
        <v>65</v>
      </c>
      <c r="G1396" s="17" t="s">
        <v>35</v>
      </c>
      <c r="H1396" s="17">
        <v>1</v>
      </c>
      <c r="I1396" t="s">
        <v>971</v>
      </c>
      <c r="J1396" s="1">
        <v>43371</v>
      </c>
      <c r="K1396" t="s">
        <v>947</v>
      </c>
      <c r="L1396" t="s">
        <v>948</v>
      </c>
      <c r="M1396" t="s">
        <v>938</v>
      </c>
      <c r="N1396">
        <v>17</v>
      </c>
      <c r="O1396" t="s">
        <v>40</v>
      </c>
      <c r="P1396" t="s">
        <v>40</v>
      </c>
      <c r="Q1396" t="s">
        <v>40</v>
      </c>
      <c r="R1396" t="s">
        <v>40</v>
      </c>
      <c r="S1396" t="s">
        <v>40</v>
      </c>
      <c r="U1396" s="1">
        <v>43371</v>
      </c>
      <c r="V1396" t="s">
        <v>41</v>
      </c>
      <c r="W1396" t="s">
        <v>49</v>
      </c>
      <c r="X1396" t="str">
        <f>"0605000"</f>
        <v>0605000</v>
      </c>
      <c r="Y1396" t="s">
        <v>950</v>
      </c>
      <c r="Z1396" t="s">
        <v>947</v>
      </c>
      <c r="AA1396" t="s">
        <v>948</v>
      </c>
      <c r="AB1396" t="s">
        <v>938</v>
      </c>
      <c r="AC1396" t="s">
        <v>51</v>
      </c>
      <c r="AD1396" t="s">
        <v>45</v>
      </c>
      <c r="AE1396" s="1">
        <v>30317</v>
      </c>
      <c r="AF1396">
        <v>2</v>
      </c>
      <c r="AG1396" t="s">
        <v>948</v>
      </c>
      <c r="AH1396" s="36">
        <f t="shared" si="21"/>
        <v>36.5</v>
      </c>
      <c r="AI1396" s="40" t="s">
        <v>1778</v>
      </c>
    </row>
    <row r="1397" spans="1:35" x14ac:dyDescent="0.25">
      <c r="A1397" s="36">
        <v>99911395</v>
      </c>
      <c r="B1397" s="17" t="s">
        <v>32</v>
      </c>
      <c r="C1397" t="s">
        <v>139</v>
      </c>
      <c r="D1397" t="s">
        <v>140</v>
      </c>
      <c r="G1397" s="17" t="s">
        <v>35</v>
      </c>
      <c r="H1397" s="17">
        <v>1</v>
      </c>
      <c r="I1397" t="s">
        <v>973</v>
      </c>
      <c r="J1397" s="1">
        <v>43344</v>
      </c>
      <c r="K1397" t="s">
        <v>947</v>
      </c>
      <c r="L1397" t="s">
        <v>948</v>
      </c>
      <c r="M1397" t="s">
        <v>938</v>
      </c>
      <c r="N1397">
        <v>17</v>
      </c>
      <c r="O1397" t="s">
        <v>40</v>
      </c>
      <c r="P1397" t="s">
        <v>40</v>
      </c>
      <c r="Q1397" t="s">
        <v>40</v>
      </c>
      <c r="R1397" t="s">
        <v>40</v>
      </c>
      <c r="S1397" t="s">
        <v>40</v>
      </c>
      <c r="U1397" s="1">
        <v>43344</v>
      </c>
      <c r="V1397" t="s">
        <v>41</v>
      </c>
      <c r="W1397" t="s">
        <v>49</v>
      </c>
      <c r="X1397" t="str">
        <f>"0645053"</f>
        <v>0645053</v>
      </c>
      <c r="Y1397" t="s">
        <v>957</v>
      </c>
      <c r="Z1397" t="s">
        <v>947</v>
      </c>
      <c r="AA1397" t="s">
        <v>948</v>
      </c>
      <c r="AB1397" t="s">
        <v>938</v>
      </c>
      <c r="AC1397" t="s">
        <v>51</v>
      </c>
      <c r="AD1397" t="s">
        <v>45</v>
      </c>
      <c r="AE1397" s="1">
        <v>30317</v>
      </c>
      <c r="AF1397">
        <v>2</v>
      </c>
      <c r="AG1397" t="s">
        <v>948</v>
      </c>
      <c r="AH1397" s="36">
        <f t="shared" si="21"/>
        <v>36.5</v>
      </c>
      <c r="AI1397" s="40" t="s">
        <v>1778</v>
      </c>
    </row>
    <row r="1398" spans="1:35" x14ac:dyDescent="0.25">
      <c r="A1398" s="36">
        <v>99911396</v>
      </c>
      <c r="B1398" s="17" t="s">
        <v>32</v>
      </c>
      <c r="C1398" t="s">
        <v>33</v>
      </c>
      <c r="D1398" t="s">
        <v>34</v>
      </c>
      <c r="G1398" s="17" t="s">
        <v>35</v>
      </c>
      <c r="H1398" s="17">
        <v>1</v>
      </c>
      <c r="I1398" t="s">
        <v>1056</v>
      </c>
      <c r="J1398" s="1">
        <v>42986</v>
      </c>
      <c r="K1398" t="s">
        <v>1051</v>
      </c>
      <c r="L1398" t="s">
        <v>1052</v>
      </c>
      <c r="M1398" t="s">
        <v>1053</v>
      </c>
      <c r="N1398">
        <v>13</v>
      </c>
      <c r="O1398" t="s">
        <v>40</v>
      </c>
      <c r="P1398" t="s">
        <v>40</v>
      </c>
      <c r="Q1398" t="s">
        <v>40</v>
      </c>
      <c r="R1398" t="s">
        <v>40</v>
      </c>
      <c r="S1398" t="s">
        <v>40</v>
      </c>
      <c r="U1398" s="1">
        <v>42986</v>
      </c>
      <c r="V1398" t="s">
        <v>41</v>
      </c>
      <c r="W1398" t="s">
        <v>42</v>
      </c>
      <c r="X1398" t="str">
        <f>"2061004"</f>
        <v>2061004</v>
      </c>
      <c r="Y1398" t="s">
        <v>1055</v>
      </c>
      <c r="Z1398" t="s">
        <v>1051</v>
      </c>
      <c r="AA1398" t="s">
        <v>1052</v>
      </c>
      <c r="AB1398" t="s">
        <v>1053</v>
      </c>
      <c r="AC1398" t="s">
        <v>44</v>
      </c>
      <c r="AD1398" t="s">
        <v>45</v>
      </c>
      <c r="AE1398" s="1">
        <v>30317</v>
      </c>
      <c r="AF1398">
        <v>2</v>
      </c>
      <c r="AG1398" t="s">
        <v>1052</v>
      </c>
      <c r="AH1398" s="36">
        <f t="shared" si="21"/>
        <v>36.5</v>
      </c>
      <c r="AI1398" s="40" t="s">
        <v>1778</v>
      </c>
    </row>
    <row r="1399" spans="1:35" x14ac:dyDescent="0.25">
      <c r="A1399" s="36">
        <v>99911397</v>
      </c>
      <c r="B1399" s="17" t="s">
        <v>32</v>
      </c>
      <c r="C1399" t="s">
        <v>64</v>
      </c>
      <c r="D1399" t="s">
        <v>65</v>
      </c>
      <c r="G1399" s="17" t="s">
        <v>35</v>
      </c>
      <c r="H1399" s="17">
        <v>1</v>
      </c>
      <c r="I1399" t="s">
        <v>1067</v>
      </c>
      <c r="J1399" s="1">
        <v>43344</v>
      </c>
      <c r="K1399" t="s">
        <v>1051</v>
      </c>
      <c r="L1399" t="s">
        <v>1052</v>
      </c>
      <c r="M1399" t="s">
        <v>1053</v>
      </c>
      <c r="N1399">
        <v>21</v>
      </c>
      <c r="O1399" t="s">
        <v>40</v>
      </c>
      <c r="P1399" t="s">
        <v>40</v>
      </c>
      <c r="Q1399" t="s">
        <v>40</v>
      </c>
      <c r="R1399" t="s">
        <v>40</v>
      </c>
      <c r="S1399" t="s">
        <v>40</v>
      </c>
      <c r="U1399" s="1">
        <v>43344</v>
      </c>
      <c r="V1399" t="s">
        <v>41</v>
      </c>
      <c r="W1399" t="s">
        <v>49</v>
      </c>
      <c r="X1399" t="str">
        <f>"2060004"</f>
        <v>2060004</v>
      </c>
      <c r="Y1399" t="s">
        <v>1059</v>
      </c>
      <c r="Z1399" t="s">
        <v>1051</v>
      </c>
      <c r="AA1399" t="s">
        <v>1052</v>
      </c>
      <c r="AB1399" t="s">
        <v>1053</v>
      </c>
      <c r="AC1399" t="s">
        <v>51</v>
      </c>
      <c r="AD1399" t="s">
        <v>45</v>
      </c>
      <c r="AE1399" s="1">
        <v>30317</v>
      </c>
      <c r="AF1399">
        <v>2</v>
      </c>
      <c r="AG1399" t="s">
        <v>1052</v>
      </c>
      <c r="AH1399" s="36">
        <f t="shared" si="21"/>
        <v>36.5</v>
      </c>
      <c r="AI1399" s="40" t="s">
        <v>1778</v>
      </c>
    </row>
    <row r="1400" spans="1:35" x14ac:dyDescent="0.25">
      <c r="A1400" s="36">
        <v>99911398</v>
      </c>
      <c r="B1400" s="17" t="s">
        <v>56</v>
      </c>
      <c r="C1400" t="s">
        <v>111</v>
      </c>
      <c r="D1400" t="s">
        <v>112</v>
      </c>
      <c r="E1400" t="s">
        <v>61</v>
      </c>
      <c r="F1400" t="s">
        <v>62</v>
      </c>
      <c r="G1400" s="17" t="s">
        <v>48</v>
      </c>
      <c r="H1400" s="17">
        <v>1</v>
      </c>
      <c r="I1400" t="s">
        <v>911</v>
      </c>
      <c r="J1400" s="1">
        <v>42436</v>
      </c>
      <c r="K1400" t="s">
        <v>1081</v>
      </c>
      <c r="L1400" t="s">
        <v>1082</v>
      </c>
      <c r="M1400" t="s">
        <v>1053</v>
      </c>
      <c r="N1400">
        <v>24</v>
      </c>
      <c r="O1400" t="s">
        <v>40</v>
      </c>
      <c r="P1400" t="s">
        <v>40</v>
      </c>
      <c r="Q1400" t="s">
        <v>40</v>
      </c>
      <c r="R1400" t="s">
        <v>40</v>
      </c>
      <c r="S1400" t="s">
        <v>40</v>
      </c>
      <c r="U1400" s="1">
        <v>42436</v>
      </c>
      <c r="V1400" t="s">
        <v>41</v>
      </c>
      <c r="W1400" t="s">
        <v>75</v>
      </c>
      <c r="X1400" t="str">
        <f>"7201008"</f>
        <v>7201008</v>
      </c>
      <c r="Y1400" t="s">
        <v>1084</v>
      </c>
      <c r="Z1400" t="s">
        <v>1081</v>
      </c>
      <c r="AA1400" t="s">
        <v>1082</v>
      </c>
      <c r="AB1400" t="s">
        <v>1053</v>
      </c>
      <c r="AC1400" t="s">
        <v>51</v>
      </c>
      <c r="AD1400" t="s">
        <v>45</v>
      </c>
      <c r="AE1400" s="1">
        <v>30317</v>
      </c>
      <c r="AF1400">
        <v>1</v>
      </c>
      <c r="AG1400" t="s">
        <v>1082</v>
      </c>
      <c r="AH1400" s="36">
        <f t="shared" si="21"/>
        <v>36.5</v>
      </c>
      <c r="AI1400" s="40" t="s">
        <v>1778</v>
      </c>
    </row>
    <row r="1401" spans="1:35" x14ac:dyDescent="0.25">
      <c r="A1401" s="36">
        <v>99911399</v>
      </c>
      <c r="B1401" s="17" t="s">
        <v>32</v>
      </c>
      <c r="C1401" t="s">
        <v>46</v>
      </c>
      <c r="D1401" t="s">
        <v>47</v>
      </c>
      <c r="G1401" s="17" t="s">
        <v>35</v>
      </c>
      <c r="H1401" s="17">
        <v>1</v>
      </c>
      <c r="K1401" t="s">
        <v>1128</v>
      </c>
      <c r="L1401" t="s">
        <v>1129</v>
      </c>
      <c r="M1401" t="s">
        <v>1130</v>
      </c>
      <c r="N1401">
        <v>23</v>
      </c>
      <c r="O1401" t="s">
        <v>40</v>
      </c>
      <c r="P1401" t="s">
        <v>40</v>
      </c>
      <c r="Q1401" t="s">
        <v>40</v>
      </c>
      <c r="R1401" t="s">
        <v>40</v>
      </c>
      <c r="S1401" t="s">
        <v>40</v>
      </c>
      <c r="V1401" t="s">
        <v>41</v>
      </c>
      <c r="W1401" t="s">
        <v>49</v>
      </c>
      <c r="X1401" t="str">
        <f>"3160002"</f>
        <v>3160002</v>
      </c>
      <c r="Y1401" t="s">
        <v>1143</v>
      </c>
      <c r="Z1401" t="s">
        <v>1128</v>
      </c>
      <c r="AA1401" t="s">
        <v>1129</v>
      </c>
      <c r="AB1401" t="s">
        <v>1130</v>
      </c>
      <c r="AC1401" t="s">
        <v>51</v>
      </c>
      <c r="AD1401" t="s">
        <v>45</v>
      </c>
      <c r="AE1401" s="1">
        <v>30317</v>
      </c>
      <c r="AF1401">
        <v>2</v>
      </c>
      <c r="AG1401" t="s">
        <v>1129</v>
      </c>
      <c r="AH1401" s="36">
        <f t="shared" si="21"/>
        <v>36.5</v>
      </c>
      <c r="AI1401" s="40" t="s">
        <v>1778</v>
      </c>
    </row>
    <row r="1402" spans="1:35" x14ac:dyDescent="0.25">
      <c r="A1402" s="36">
        <v>99911400</v>
      </c>
      <c r="B1402" s="17" t="s">
        <v>32</v>
      </c>
      <c r="C1402" t="s">
        <v>597</v>
      </c>
      <c r="D1402" t="s">
        <v>598</v>
      </c>
      <c r="G1402" s="17" t="s">
        <v>35</v>
      </c>
      <c r="H1402" s="17">
        <v>8</v>
      </c>
      <c r="K1402" t="s">
        <v>1221</v>
      </c>
      <c r="L1402" t="s">
        <v>1222</v>
      </c>
      <c r="M1402" t="s">
        <v>1130</v>
      </c>
      <c r="N1402">
        <v>23</v>
      </c>
      <c r="O1402" t="s">
        <v>40</v>
      </c>
      <c r="P1402" t="s">
        <v>40</v>
      </c>
      <c r="Q1402" t="s">
        <v>40</v>
      </c>
      <c r="R1402" t="s">
        <v>40</v>
      </c>
      <c r="S1402" t="s">
        <v>40</v>
      </c>
      <c r="V1402" t="s">
        <v>41</v>
      </c>
      <c r="W1402" t="s">
        <v>75</v>
      </c>
      <c r="X1402" t="str">
        <f>"7351000"</f>
        <v>7351000</v>
      </c>
      <c r="Y1402" t="s">
        <v>1223</v>
      </c>
      <c r="Z1402" t="s">
        <v>1221</v>
      </c>
      <c r="AA1402" t="s">
        <v>1222</v>
      </c>
      <c r="AB1402" t="s">
        <v>1130</v>
      </c>
      <c r="AC1402" t="s">
        <v>51</v>
      </c>
      <c r="AD1402" t="s">
        <v>45</v>
      </c>
      <c r="AE1402" s="1">
        <v>30317</v>
      </c>
      <c r="AF1402">
        <v>1</v>
      </c>
      <c r="AG1402" t="s">
        <v>1222</v>
      </c>
      <c r="AH1402" s="36">
        <f t="shared" si="21"/>
        <v>36.5</v>
      </c>
      <c r="AI1402" s="40" t="s">
        <v>1778</v>
      </c>
    </row>
    <row r="1403" spans="1:35" x14ac:dyDescent="0.25">
      <c r="A1403" s="36">
        <v>99911401</v>
      </c>
      <c r="B1403" s="17" t="s">
        <v>32</v>
      </c>
      <c r="C1403" t="s">
        <v>111</v>
      </c>
      <c r="D1403" t="s">
        <v>112</v>
      </c>
      <c r="G1403" s="17" t="s">
        <v>35</v>
      </c>
      <c r="H1403" s="17">
        <v>1</v>
      </c>
      <c r="I1403" s="1">
        <v>43344</v>
      </c>
      <c r="J1403" s="1">
        <v>43344</v>
      </c>
      <c r="K1403" t="s">
        <v>1341</v>
      </c>
      <c r="L1403" t="s">
        <v>1342</v>
      </c>
      <c r="M1403" t="s">
        <v>1270</v>
      </c>
      <c r="N1403">
        <v>24</v>
      </c>
      <c r="O1403" t="s">
        <v>40</v>
      </c>
      <c r="P1403" t="s">
        <v>40</v>
      </c>
      <c r="Q1403" t="s">
        <v>40</v>
      </c>
      <c r="R1403" t="s">
        <v>40</v>
      </c>
      <c r="S1403" t="s">
        <v>40</v>
      </c>
      <c r="U1403" s="1">
        <v>43344</v>
      </c>
      <c r="V1403" t="s">
        <v>41</v>
      </c>
      <c r="W1403" t="s">
        <v>75</v>
      </c>
      <c r="X1403" t="str">
        <f>"7191004"</f>
        <v>7191004</v>
      </c>
      <c r="Y1403" t="s">
        <v>1344</v>
      </c>
      <c r="Z1403" t="s">
        <v>1341</v>
      </c>
      <c r="AA1403" t="s">
        <v>1342</v>
      </c>
      <c r="AB1403" t="s">
        <v>1270</v>
      </c>
      <c r="AC1403" t="s">
        <v>44</v>
      </c>
      <c r="AD1403" t="s">
        <v>45</v>
      </c>
      <c r="AE1403" s="1">
        <v>30317</v>
      </c>
      <c r="AF1403">
        <v>1</v>
      </c>
      <c r="AG1403" t="s">
        <v>1342</v>
      </c>
      <c r="AH1403" s="36">
        <f t="shared" si="21"/>
        <v>36.5</v>
      </c>
      <c r="AI1403" s="40" t="s">
        <v>1778</v>
      </c>
    </row>
    <row r="1404" spans="1:35" x14ac:dyDescent="0.25">
      <c r="A1404" s="36">
        <v>99911402</v>
      </c>
      <c r="B1404" s="17" t="s">
        <v>32</v>
      </c>
      <c r="C1404" t="s">
        <v>111</v>
      </c>
      <c r="D1404" t="s">
        <v>112</v>
      </c>
      <c r="G1404" s="17" t="s">
        <v>35</v>
      </c>
      <c r="H1404" s="17">
        <v>1</v>
      </c>
      <c r="I1404" s="1">
        <v>43349</v>
      </c>
      <c r="J1404" s="1">
        <v>43349</v>
      </c>
      <c r="K1404" t="s">
        <v>1341</v>
      </c>
      <c r="L1404" t="s">
        <v>1342</v>
      </c>
      <c r="M1404" t="s">
        <v>1270</v>
      </c>
      <c r="N1404">
        <v>22</v>
      </c>
      <c r="O1404" t="s">
        <v>40</v>
      </c>
      <c r="P1404" t="s">
        <v>40</v>
      </c>
      <c r="Q1404" t="s">
        <v>40</v>
      </c>
      <c r="R1404" t="s">
        <v>40</v>
      </c>
      <c r="S1404" t="s">
        <v>40</v>
      </c>
      <c r="U1404" s="1">
        <v>43349</v>
      </c>
      <c r="V1404" t="s">
        <v>41</v>
      </c>
      <c r="W1404" t="s">
        <v>75</v>
      </c>
      <c r="X1404" t="str">
        <f>"7191002"</f>
        <v>7191002</v>
      </c>
      <c r="Y1404" t="s">
        <v>1365</v>
      </c>
      <c r="Z1404" t="s">
        <v>1341</v>
      </c>
      <c r="AA1404" t="s">
        <v>1342</v>
      </c>
      <c r="AB1404" t="s">
        <v>1270</v>
      </c>
      <c r="AC1404" t="s">
        <v>44</v>
      </c>
      <c r="AD1404" t="s">
        <v>45</v>
      </c>
      <c r="AE1404" s="1">
        <v>30317</v>
      </c>
      <c r="AF1404">
        <v>1</v>
      </c>
      <c r="AG1404" t="s">
        <v>1342</v>
      </c>
      <c r="AH1404" s="36">
        <f t="shared" si="21"/>
        <v>36.5</v>
      </c>
      <c r="AI1404" s="40" t="s">
        <v>1778</v>
      </c>
    </row>
    <row r="1405" spans="1:35" x14ac:dyDescent="0.25">
      <c r="A1405" s="36">
        <v>99911403</v>
      </c>
      <c r="B1405" s="17" t="s">
        <v>56</v>
      </c>
      <c r="C1405" t="s">
        <v>61</v>
      </c>
      <c r="D1405" t="s">
        <v>62</v>
      </c>
      <c r="G1405" s="17" t="s">
        <v>48</v>
      </c>
      <c r="H1405" s="17">
        <v>1</v>
      </c>
      <c r="K1405" t="s">
        <v>1496</v>
      </c>
      <c r="L1405" t="s">
        <v>1497</v>
      </c>
      <c r="M1405" t="s">
        <v>670</v>
      </c>
      <c r="N1405">
        <v>20</v>
      </c>
      <c r="O1405" t="s">
        <v>40</v>
      </c>
      <c r="P1405" t="s">
        <v>40</v>
      </c>
      <c r="Q1405" t="s">
        <v>40</v>
      </c>
      <c r="R1405" t="s">
        <v>40</v>
      </c>
      <c r="S1405" t="s">
        <v>40</v>
      </c>
      <c r="V1405" t="s">
        <v>41</v>
      </c>
      <c r="W1405" t="s">
        <v>42</v>
      </c>
      <c r="X1405" t="str">
        <f>"5080015"</f>
        <v>5080015</v>
      </c>
      <c r="Y1405" t="s">
        <v>1498</v>
      </c>
      <c r="Z1405" t="s">
        <v>1496</v>
      </c>
      <c r="AA1405" t="s">
        <v>1497</v>
      </c>
      <c r="AB1405" t="s">
        <v>670</v>
      </c>
      <c r="AC1405" t="s">
        <v>51</v>
      </c>
      <c r="AD1405" t="s">
        <v>45</v>
      </c>
      <c r="AE1405" s="1">
        <v>30317</v>
      </c>
      <c r="AF1405">
        <v>2</v>
      </c>
      <c r="AG1405" t="s">
        <v>1497</v>
      </c>
      <c r="AH1405" s="36">
        <f t="shared" si="21"/>
        <v>36.5</v>
      </c>
      <c r="AI1405" s="40" t="s">
        <v>1778</v>
      </c>
    </row>
    <row r="1406" spans="1:35" x14ac:dyDescent="0.25">
      <c r="A1406" s="36">
        <v>99911404</v>
      </c>
      <c r="B1406" s="17" t="s">
        <v>32</v>
      </c>
      <c r="C1406" t="s">
        <v>139</v>
      </c>
      <c r="D1406" t="s">
        <v>140</v>
      </c>
      <c r="G1406" s="17" t="s">
        <v>48</v>
      </c>
      <c r="H1406" s="17">
        <v>1</v>
      </c>
      <c r="K1406" t="s">
        <v>667</v>
      </c>
      <c r="L1406" t="s">
        <v>669</v>
      </c>
      <c r="M1406" t="s">
        <v>670</v>
      </c>
      <c r="N1406">
        <v>6</v>
      </c>
      <c r="O1406" t="s">
        <v>40</v>
      </c>
      <c r="P1406" t="s">
        <v>40</v>
      </c>
      <c r="Q1406" t="s">
        <v>40</v>
      </c>
      <c r="R1406" t="s">
        <v>40</v>
      </c>
      <c r="S1406" t="s">
        <v>40</v>
      </c>
      <c r="V1406" t="s">
        <v>41</v>
      </c>
      <c r="W1406" t="s">
        <v>75</v>
      </c>
      <c r="X1406" t="str">
        <f>"7501002"</f>
        <v>7501002</v>
      </c>
      <c r="Y1406" t="s">
        <v>1519</v>
      </c>
      <c r="Z1406" t="s">
        <v>667</v>
      </c>
      <c r="AA1406" t="s">
        <v>669</v>
      </c>
      <c r="AB1406" t="s">
        <v>670</v>
      </c>
      <c r="AC1406" t="s">
        <v>51</v>
      </c>
      <c r="AD1406" t="s">
        <v>45</v>
      </c>
      <c r="AE1406" s="1">
        <v>30317</v>
      </c>
      <c r="AF1406">
        <v>1</v>
      </c>
      <c r="AG1406" t="s">
        <v>669</v>
      </c>
      <c r="AH1406" s="36">
        <f t="shared" si="21"/>
        <v>36.5</v>
      </c>
      <c r="AI1406" s="40" t="s">
        <v>1778</v>
      </c>
    </row>
    <row r="1407" spans="1:35" x14ac:dyDescent="0.25">
      <c r="A1407" s="36">
        <v>99911405</v>
      </c>
      <c r="B1407" s="17" t="s">
        <v>32</v>
      </c>
      <c r="C1407" t="s">
        <v>46</v>
      </c>
      <c r="D1407" t="s">
        <v>47</v>
      </c>
      <c r="G1407" s="17" t="s">
        <v>48</v>
      </c>
      <c r="H1407" s="17">
        <v>1</v>
      </c>
      <c r="K1407" t="s">
        <v>1566</v>
      </c>
      <c r="L1407" t="s">
        <v>1567</v>
      </c>
      <c r="M1407" t="s">
        <v>1548</v>
      </c>
      <c r="N1407">
        <v>6</v>
      </c>
      <c r="O1407" t="s">
        <v>40</v>
      </c>
      <c r="P1407" t="s">
        <v>40</v>
      </c>
      <c r="Q1407" t="s">
        <v>40</v>
      </c>
      <c r="R1407" t="s">
        <v>40</v>
      </c>
      <c r="S1407" t="s">
        <v>40</v>
      </c>
      <c r="V1407" t="s">
        <v>41</v>
      </c>
      <c r="W1407" t="s">
        <v>49</v>
      </c>
      <c r="X1407" t="str">
        <f>"2960001"</f>
        <v>2960001</v>
      </c>
      <c r="Y1407" t="s">
        <v>1569</v>
      </c>
      <c r="Z1407" t="s">
        <v>1566</v>
      </c>
      <c r="AA1407" t="s">
        <v>1567</v>
      </c>
      <c r="AB1407" t="s">
        <v>1548</v>
      </c>
      <c r="AC1407" t="s">
        <v>51</v>
      </c>
      <c r="AD1407" t="s">
        <v>45</v>
      </c>
      <c r="AE1407" s="1">
        <v>30317</v>
      </c>
      <c r="AF1407">
        <v>2</v>
      </c>
      <c r="AG1407" t="s">
        <v>1567</v>
      </c>
      <c r="AH1407" s="36">
        <f t="shared" si="21"/>
        <v>36.5</v>
      </c>
      <c r="AI1407" s="40" t="s">
        <v>1778</v>
      </c>
    </row>
    <row r="1408" spans="1:35" x14ac:dyDescent="0.25">
      <c r="A1408" s="36">
        <v>99911406</v>
      </c>
      <c r="B1408" s="17" t="s">
        <v>32</v>
      </c>
      <c r="C1408" t="s">
        <v>52</v>
      </c>
      <c r="D1408" t="s">
        <v>53</v>
      </c>
      <c r="G1408" s="17" t="s">
        <v>48</v>
      </c>
      <c r="H1408" s="17">
        <v>1</v>
      </c>
      <c r="K1408" t="s">
        <v>1566</v>
      </c>
      <c r="L1408" t="s">
        <v>1567</v>
      </c>
      <c r="M1408" t="s">
        <v>1548</v>
      </c>
      <c r="N1408">
        <v>18</v>
      </c>
      <c r="O1408" t="s">
        <v>40</v>
      </c>
      <c r="P1408" t="s">
        <v>40</v>
      </c>
      <c r="Q1408" t="s">
        <v>40</v>
      </c>
      <c r="R1408" t="s">
        <v>40</v>
      </c>
      <c r="S1408" t="s">
        <v>40</v>
      </c>
      <c r="V1408" t="s">
        <v>41</v>
      </c>
      <c r="W1408" t="s">
        <v>49</v>
      </c>
      <c r="X1408" t="str">
        <f>"2960001"</f>
        <v>2960001</v>
      </c>
      <c r="Y1408" t="s">
        <v>1569</v>
      </c>
      <c r="Z1408" t="s">
        <v>1566</v>
      </c>
      <c r="AA1408" t="s">
        <v>1567</v>
      </c>
      <c r="AB1408" t="s">
        <v>1548</v>
      </c>
      <c r="AC1408" t="s">
        <v>51</v>
      </c>
      <c r="AD1408" t="s">
        <v>45</v>
      </c>
      <c r="AE1408" s="1">
        <v>30317</v>
      </c>
      <c r="AF1408">
        <v>2</v>
      </c>
      <c r="AG1408" t="s">
        <v>1567</v>
      </c>
      <c r="AH1408" s="36">
        <f t="shared" si="21"/>
        <v>36.5</v>
      </c>
      <c r="AI1408" s="40" t="s">
        <v>1778</v>
      </c>
    </row>
    <row r="1409" spans="1:35" x14ac:dyDescent="0.25">
      <c r="A1409" s="36">
        <v>99911407</v>
      </c>
      <c r="B1409" s="17" t="s">
        <v>32</v>
      </c>
      <c r="C1409" t="s">
        <v>90</v>
      </c>
      <c r="D1409" t="s">
        <v>91</v>
      </c>
      <c r="G1409" s="17" t="s">
        <v>35</v>
      </c>
      <c r="H1409" s="17">
        <v>1</v>
      </c>
      <c r="I1409">
        <v>20315</v>
      </c>
      <c r="J1409" s="1">
        <v>43344</v>
      </c>
      <c r="K1409" t="s">
        <v>354</v>
      </c>
      <c r="L1409" t="s">
        <v>355</v>
      </c>
      <c r="M1409" t="s">
        <v>131</v>
      </c>
      <c r="N1409">
        <v>24</v>
      </c>
      <c r="O1409" t="s">
        <v>40</v>
      </c>
      <c r="Q1409" t="s">
        <v>40</v>
      </c>
      <c r="S1409" t="s">
        <v>40</v>
      </c>
      <c r="U1409" s="1">
        <v>43344</v>
      </c>
      <c r="V1409" t="s">
        <v>41</v>
      </c>
      <c r="W1409" t="s">
        <v>75</v>
      </c>
      <c r="X1409" t="str">
        <f>"7054038"</f>
        <v>7054038</v>
      </c>
      <c r="Y1409" t="s">
        <v>377</v>
      </c>
      <c r="Z1409" t="s">
        <v>354</v>
      </c>
      <c r="AA1409" t="s">
        <v>355</v>
      </c>
      <c r="AB1409" t="s">
        <v>131</v>
      </c>
      <c r="AC1409" t="s">
        <v>51</v>
      </c>
      <c r="AD1409" t="s">
        <v>45</v>
      </c>
      <c r="AE1409" s="1">
        <v>30314</v>
      </c>
      <c r="AF1409">
        <v>1</v>
      </c>
      <c r="AG1409" t="s">
        <v>355</v>
      </c>
      <c r="AH1409" s="36">
        <f t="shared" si="21"/>
        <v>36.508333333333333</v>
      </c>
      <c r="AI1409" s="40" t="s">
        <v>1778</v>
      </c>
    </row>
    <row r="1410" spans="1:35" x14ac:dyDescent="0.25">
      <c r="A1410" s="36">
        <v>99911408</v>
      </c>
      <c r="B1410" s="17" t="s">
        <v>56</v>
      </c>
      <c r="C1410" t="s">
        <v>46</v>
      </c>
      <c r="D1410" t="s">
        <v>47</v>
      </c>
      <c r="G1410" s="17" t="s">
        <v>48</v>
      </c>
      <c r="H1410" s="17">
        <v>1</v>
      </c>
      <c r="K1410" t="s">
        <v>1128</v>
      </c>
      <c r="L1410" t="s">
        <v>1129</v>
      </c>
      <c r="M1410" t="s">
        <v>1130</v>
      </c>
      <c r="N1410">
        <v>21</v>
      </c>
      <c r="O1410" t="s">
        <v>40</v>
      </c>
      <c r="P1410" t="s">
        <v>40</v>
      </c>
      <c r="Q1410" t="s">
        <v>40</v>
      </c>
      <c r="R1410" t="s">
        <v>40</v>
      </c>
      <c r="S1410" t="s">
        <v>40</v>
      </c>
      <c r="V1410" t="s">
        <v>41</v>
      </c>
      <c r="W1410" t="s">
        <v>42</v>
      </c>
      <c r="X1410" t="str">
        <f>"3180015"</f>
        <v>3180015</v>
      </c>
      <c r="Y1410" t="s">
        <v>1139</v>
      </c>
      <c r="Z1410" t="s">
        <v>1128</v>
      </c>
      <c r="AA1410" t="s">
        <v>1129</v>
      </c>
      <c r="AB1410" t="s">
        <v>1130</v>
      </c>
      <c r="AC1410" t="s">
        <v>51</v>
      </c>
      <c r="AD1410" t="s">
        <v>45</v>
      </c>
      <c r="AE1410" s="1">
        <v>30314</v>
      </c>
      <c r="AF1410">
        <v>2</v>
      </c>
      <c r="AG1410" t="s">
        <v>1129</v>
      </c>
      <c r="AH1410" s="36">
        <f t="shared" ref="AH1410:AH1473" si="22">($AJ$1-AE1410)/360</f>
        <v>36.508333333333333</v>
      </c>
      <c r="AI1410" s="40" t="s">
        <v>1778</v>
      </c>
    </row>
    <row r="1411" spans="1:35" x14ac:dyDescent="0.25">
      <c r="A1411" s="36">
        <v>99911409</v>
      </c>
      <c r="B1411" s="17" t="s">
        <v>32</v>
      </c>
      <c r="C1411" t="s">
        <v>90</v>
      </c>
      <c r="D1411" t="s">
        <v>91</v>
      </c>
      <c r="G1411" s="17" t="s">
        <v>35</v>
      </c>
      <c r="H1411" s="17">
        <v>1</v>
      </c>
      <c r="K1411" t="s">
        <v>877</v>
      </c>
      <c r="L1411" t="s">
        <v>878</v>
      </c>
      <c r="M1411" t="s">
        <v>131</v>
      </c>
      <c r="N1411">
        <v>5</v>
      </c>
      <c r="O1411" t="s">
        <v>40</v>
      </c>
      <c r="P1411" t="s">
        <v>40</v>
      </c>
      <c r="Q1411" t="s">
        <v>40</v>
      </c>
      <c r="S1411" t="s">
        <v>40</v>
      </c>
      <c r="V1411" t="s">
        <v>41</v>
      </c>
      <c r="W1411" t="s">
        <v>95</v>
      </c>
      <c r="X1411" t="str">
        <f>"7541097"</f>
        <v>7541097</v>
      </c>
      <c r="Y1411" t="s">
        <v>903</v>
      </c>
      <c r="Z1411" t="s">
        <v>877</v>
      </c>
      <c r="AA1411" t="s">
        <v>878</v>
      </c>
      <c r="AB1411" t="s">
        <v>131</v>
      </c>
      <c r="AC1411" t="s">
        <v>51</v>
      </c>
      <c r="AD1411" t="s">
        <v>45</v>
      </c>
      <c r="AE1411" s="1">
        <v>30308</v>
      </c>
      <c r="AF1411">
        <v>1</v>
      </c>
      <c r="AG1411" t="s">
        <v>878</v>
      </c>
      <c r="AH1411" s="36">
        <f t="shared" si="22"/>
        <v>36.524999999999999</v>
      </c>
      <c r="AI1411" s="40" t="s">
        <v>1778</v>
      </c>
    </row>
    <row r="1412" spans="1:35" x14ac:dyDescent="0.25">
      <c r="A1412" s="36">
        <v>99911410</v>
      </c>
      <c r="B1412" s="17" t="s">
        <v>32</v>
      </c>
      <c r="C1412" t="s">
        <v>33</v>
      </c>
      <c r="D1412" t="s">
        <v>34</v>
      </c>
      <c r="G1412" s="17" t="s">
        <v>35</v>
      </c>
      <c r="H1412" s="17">
        <v>1</v>
      </c>
      <c r="I1412">
        <v>0</v>
      </c>
      <c r="J1412" s="1">
        <v>43344</v>
      </c>
      <c r="K1412" t="s">
        <v>223</v>
      </c>
      <c r="L1412" t="s">
        <v>224</v>
      </c>
      <c r="M1412" t="s">
        <v>131</v>
      </c>
      <c r="N1412">
        <v>21</v>
      </c>
      <c r="O1412" t="s">
        <v>40</v>
      </c>
      <c r="S1412" t="s">
        <v>40</v>
      </c>
      <c r="U1412" s="1">
        <v>43344</v>
      </c>
      <c r="V1412" t="s">
        <v>41</v>
      </c>
      <c r="W1412" t="s">
        <v>42</v>
      </c>
      <c r="X1412" t="str">
        <f>"0580206"</f>
        <v>0580206</v>
      </c>
      <c r="Y1412" t="s">
        <v>237</v>
      </c>
      <c r="Z1412" t="s">
        <v>223</v>
      </c>
      <c r="AA1412" t="s">
        <v>224</v>
      </c>
      <c r="AB1412" t="s">
        <v>131</v>
      </c>
      <c r="AC1412" t="s">
        <v>51</v>
      </c>
      <c r="AD1412" t="s">
        <v>45</v>
      </c>
      <c r="AE1412" s="1">
        <v>30306</v>
      </c>
      <c r="AF1412">
        <v>2</v>
      </c>
      <c r="AG1412" t="s">
        <v>224</v>
      </c>
      <c r="AH1412" s="36">
        <f t="shared" si="22"/>
        <v>36.530555555555559</v>
      </c>
      <c r="AI1412" s="40" t="s">
        <v>1778</v>
      </c>
    </row>
    <row r="1413" spans="1:35" x14ac:dyDescent="0.25">
      <c r="A1413" s="36">
        <v>99911411</v>
      </c>
      <c r="B1413" s="17" t="s">
        <v>32</v>
      </c>
      <c r="C1413" t="s">
        <v>90</v>
      </c>
      <c r="D1413" t="s">
        <v>91</v>
      </c>
      <c r="G1413" s="17" t="s">
        <v>35</v>
      </c>
      <c r="H1413" s="17">
        <v>1</v>
      </c>
      <c r="K1413" t="s">
        <v>1502</v>
      </c>
      <c r="L1413" t="s">
        <v>1503</v>
      </c>
      <c r="M1413" t="s">
        <v>670</v>
      </c>
      <c r="N1413">
        <v>6</v>
      </c>
      <c r="O1413" t="s">
        <v>40</v>
      </c>
      <c r="P1413" t="s">
        <v>40</v>
      </c>
      <c r="Q1413" t="s">
        <v>40</v>
      </c>
      <c r="S1413" t="s">
        <v>40</v>
      </c>
      <c r="V1413" t="s">
        <v>41</v>
      </c>
      <c r="W1413" t="s">
        <v>95</v>
      </c>
      <c r="X1413" t="str">
        <f>"7171001"</f>
        <v>7171001</v>
      </c>
      <c r="Y1413" t="s">
        <v>1507</v>
      </c>
      <c r="Z1413" t="s">
        <v>1502</v>
      </c>
      <c r="AA1413" t="s">
        <v>1503</v>
      </c>
      <c r="AB1413" t="s">
        <v>670</v>
      </c>
      <c r="AC1413" t="s">
        <v>51</v>
      </c>
      <c r="AD1413" t="s">
        <v>45</v>
      </c>
      <c r="AE1413" s="1">
        <v>30298</v>
      </c>
      <c r="AF1413">
        <v>1</v>
      </c>
      <c r="AG1413" t="s">
        <v>1503</v>
      </c>
      <c r="AH1413" s="36">
        <f t="shared" si="22"/>
        <v>36.552777777777777</v>
      </c>
      <c r="AI1413" s="40" t="s">
        <v>1778</v>
      </c>
    </row>
    <row r="1414" spans="1:35" x14ac:dyDescent="0.25">
      <c r="A1414" s="36">
        <v>99911412</v>
      </c>
      <c r="B1414" s="17" t="s">
        <v>32</v>
      </c>
      <c r="C1414" t="s">
        <v>68</v>
      </c>
      <c r="D1414" t="s">
        <v>69</v>
      </c>
      <c r="G1414" s="17" t="s">
        <v>48</v>
      </c>
      <c r="H1414" s="17">
        <v>1</v>
      </c>
      <c r="K1414" t="s">
        <v>1546</v>
      </c>
      <c r="L1414" t="s">
        <v>1547</v>
      </c>
      <c r="M1414" t="s">
        <v>1548</v>
      </c>
      <c r="N1414">
        <v>21</v>
      </c>
      <c r="O1414" t="s">
        <v>40</v>
      </c>
      <c r="P1414" t="s">
        <v>40</v>
      </c>
      <c r="Q1414" t="s">
        <v>40</v>
      </c>
      <c r="R1414" t="s">
        <v>40</v>
      </c>
      <c r="S1414" t="s">
        <v>40</v>
      </c>
      <c r="V1414" t="s">
        <v>41</v>
      </c>
      <c r="W1414" t="s">
        <v>49</v>
      </c>
      <c r="X1414" t="str">
        <f>"1060001"</f>
        <v>1060001</v>
      </c>
      <c r="Y1414" t="s">
        <v>1553</v>
      </c>
      <c r="Z1414" t="s">
        <v>1546</v>
      </c>
      <c r="AA1414" t="s">
        <v>1547</v>
      </c>
      <c r="AB1414" t="s">
        <v>1548</v>
      </c>
      <c r="AC1414" t="s">
        <v>51</v>
      </c>
      <c r="AD1414" t="s">
        <v>45</v>
      </c>
      <c r="AE1414" s="1">
        <v>30296</v>
      </c>
      <c r="AF1414">
        <v>2</v>
      </c>
      <c r="AG1414" t="s">
        <v>1547</v>
      </c>
      <c r="AH1414" s="36">
        <f t="shared" si="22"/>
        <v>36.55833333333333</v>
      </c>
      <c r="AI1414" s="40" t="s">
        <v>1778</v>
      </c>
    </row>
    <row r="1415" spans="1:35" x14ac:dyDescent="0.25">
      <c r="A1415" s="36">
        <v>99911413</v>
      </c>
      <c r="B1415" s="17" t="s">
        <v>32</v>
      </c>
      <c r="C1415" t="s">
        <v>90</v>
      </c>
      <c r="D1415" t="s">
        <v>91</v>
      </c>
      <c r="G1415" s="17" t="s">
        <v>35</v>
      </c>
      <c r="H1415" s="17">
        <v>1</v>
      </c>
      <c r="K1415" t="s">
        <v>1502</v>
      </c>
      <c r="L1415" t="s">
        <v>1503</v>
      </c>
      <c r="M1415" t="s">
        <v>670</v>
      </c>
      <c r="N1415">
        <v>5</v>
      </c>
      <c r="O1415" t="s">
        <v>40</v>
      </c>
      <c r="P1415" t="s">
        <v>40</v>
      </c>
      <c r="Q1415" t="s">
        <v>40</v>
      </c>
      <c r="S1415" t="s">
        <v>40</v>
      </c>
      <c r="V1415" t="s">
        <v>41</v>
      </c>
      <c r="W1415" t="s">
        <v>95</v>
      </c>
      <c r="X1415" t="str">
        <f>"7171017"</f>
        <v>7171017</v>
      </c>
      <c r="Y1415" t="s">
        <v>1509</v>
      </c>
      <c r="Z1415" t="s">
        <v>1502</v>
      </c>
      <c r="AA1415" t="s">
        <v>1503</v>
      </c>
      <c r="AB1415" t="s">
        <v>670</v>
      </c>
      <c r="AC1415" t="s">
        <v>51</v>
      </c>
      <c r="AD1415" t="s">
        <v>45</v>
      </c>
      <c r="AE1415" s="1">
        <v>30294</v>
      </c>
      <c r="AF1415">
        <v>1</v>
      </c>
      <c r="AG1415" t="s">
        <v>1503</v>
      </c>
      <c r="AH1415" s="36">
        <f t="shared" si="22"/>
        <v>36.56388888888889</v>
      </c>
      <c r="AI1415" s="40" t="s">
        <v>1778</v>
      </c>
    </row>
    <row r="1416" spans="1:35" x14ac:dyDescent="0.25">
      <c r="A1416" s="36">
        <v>99911414</v>
      </c>
      <c r="B1416" s="17" t="s">
        <v>32</v>
      </c>
      <c r="C1416" t="s">
        <v>90</v>
      </c>
      <c r="D1416" t="s">
        <v>91</v>
      </c>
      <c r="G1416" s="17" t="s">
        <v>35</v>
      </c>
      <c r="H1416" s="17">
        <v>5</v>
      </c>
      <c r="K1416" t="s">
        <v>1221</v>
      </c>
      <c r="L1416" t="s">
        <v>1222</v>
      </c>
      <c r="M1416" t="s">
        <v>1130</v>
      </c>
      <c r="N1416">
        <v>25</v>
      </c>
      <c r="O1416" t="s">
        <v>40</v>
      </c>
      <c r="P1416" t="s">
        <v>40</v>
      </c>
      <c r="Q1416" t="s">
        <v>40</v>
      </c>
      <c r="R1416" t="s">
        <v>40</v>
      </c>
      <c r="S1416" t="s">
        <v>40</v>
      </c>
      <c r="V1416" t="s">
        <v>41</v>
      </c>
      <c r="W1416" t="s">
        <v>95</v>
      </c>
      <c r="X1416" t="str">
        <f>"7351007"</f>
        <v>7351007</v>
      </c>
      <c r="Y1416" t="s">
        <v>1243</v>
      </c>
      <c r="Z1416" t="s">
        <v>1221</v>
      </c>
      <c r="AA1416" t="s">
        <v>1222</v>
      </c>
      <c r="AB1416" t="s">
        <v>1130</v>
      </c>
      <c r="AC1416" t="s">
        <v>51</v>
      </c>
      <c r="AD1416" t="s">
        <v>45</v>
      </c>
      <c r="AE1416" s="1">
        <v>30287</v>
      </c>
      <c r="AF1416">
        <v>1</v>
      </c>
      <c r="AG1416" t="s">
        <v>1222</v>
      </c>
      <c r="AH1416" s="36">
        <f t="shared" si="22"/>
        <v>36.583333333333336</v>
      </c>
      <c r="AI1416" s="40" t="s">
        <v>1778</v>
      </c>
    </row>
    <row r="1417" spans="1:35" x14ac:dyDescent="0.25">
      <c r="A1417" s="36">
        <v>99911415</v>
      </c>
      <c r="B1417" s="17" t="s">
        <v>32</v>
      </c>
      <c r="C1417" t="s">
        <v>90</v>
      </c>
      <c r="D1417" t="s">
        <v>91</v>
      </c>
      <c r="G1417" s="17" t="s">
        <v>35</v>
      </c>
      <c r="H1417" s="17">
        <v>5</v>
      </c>
      <c r="I1417" t="s">
        <v>1244</v>
      </c>
      <c r="J1417" s="1">
        <v>43344</v>
      </c>
      <c r="K1417" t="s">
        <v>1221</v>
      </c>
      <c r="L1417" t="s">
        <v>1222</v>
      </c>
      <c r="M1417" t="s">
        <v>1130</v>
      </c>
      <c r="N1417">
        <v>25</v>
      </c>
      <c r="O1417" t="s">
        <v>40</v>
      </c>
      <c r="P1417" t="s">
        <v>40</v>
      </c>
      <c r="Q1417" t="s">
        <v>40</v>
      </c>
      <c r="R1417" t="s">
        <v>40</v>
      </c>
      <c r="S1417" t="s">
        <v>40</v>
      </c>
      <c r="U1417" s="1">
        <v>43344</v>
      </c>
      <c r="V1417" t="s">
        <v>41</v>
      </c>
      <c r="W1417" t="s">
        <v>95</v>
      </c>
      <c r="X1417" t="str">
        <f>"7351007"</f>
        <v>7351007</v>
      </c>
      <c r="Y1417" t="s">
        <v>1243</v>
      </c>
      <c r="Z1417" t="s">
        <v>1221</v>
      </c>
      <c r="AA1417" t="s">
        <v>1222</v>
      </c>
      <c r="AB1417" t="s">
        <v>1130</v>
      </c>
      <c r="AC1417" t="s">
        <v>51</v>
      </c>
      <c r="AD1417" t="s">
        <v>45</v>
      </c>
      <c r="AE1417" s="1">
        <v>30287</v>
      </c>
      <c r="AF1417">
        <v>1</v>
      </c>
      <c r="AG1417" t="s">
        <v>1222</v>
      </c>
      <c r="AH1417" s="36">
        <f t="shared" si="22"/>
        <v>36.583333333333336</v>
      </c>
      <c r="AI1417" s="40" t="s">
        <v>1778</v>
      </c>
    </row>
    <row r="1418" spans="1:35" x14ac:dyDescent="0.25">
      <c r="A1418" s="36">
        <v>99911416</v>
      </c>
      <c r="B1418" s="17" t="s">
        <v>32</v>
      </c>
      <c r="C1418" t="s">
        <v>90</v>
      </c>
      <c r="D1418" t="s">
        <v>91</v>
      </c>
      <c r="G1418" s="17" t="s">
        <v>35</v>
      </c>
      <c r="H1418" s="17">
        <v>1</v>
      </c>
      <c r="I1418">
        <v>10476</v>
      </c>
      <c r="J1418" s="1">
        <v>43344</v>
      </c>
      <c r="K1418" t="s">
        <v>354</v>
      </c>
      <c r="L1418" t="s">
        <v>355</v>
      </c>
      <c r="M1418" t="s">
        <v>131</v>
      </c>
      <c r="N1418">
        <v>25</v>
      </c>
      <c r="O1418" t="s">
        <v>40</v>
      </c>
      <c r="S1418" t="s">
        <v>40</v>
      </c>
      <c r="U1418" s="1">
        <v>43344</v>
      </c>
      <c r="V1418" t="s">
        <v>41</v>
      </c>
      <c r="W1418" t="s">
        <v>95</v>
      </c>
      <c r="X1418" t="str">
        <f>"7054071"</f>
        <v>7054071</v>
      </c>
      <c r="Y1418" t="s">
        <v>819</v>
      </c>
      <c r="Z1418" t="s">
        <v>354</v>
      </c>
      <c r="AA1418" t="s">
        <v>355</v>
      </c>
      <c r="AB1418" t="s">
        <v>131</v>
      </c>
      <c r="AC1418" t="s">
        <v>51</v>
      </c>
      <c r="AD1418" t="s">
        <v>45</v>
      </c>
      <c r="AE1418" s="1">
        <v>30284</v>
      </c>
      <c r="AF1418">
        <v>1</v>
      </c>
      <c r="AG1418" t="s">
        <v>355</v>
      </c>
      <c r="AH1418" s="36">
        <f t="shared" si="22"/>
        <v>36.591666666666669</v>
      </c>
      <c r="AI1418" s="40" t="s">
        <v>1778</v>
      </c>
    </row>
    <row r="1419" spans="1:35" x14ac:dyDescent="0.25">
      <c r="A1419" s="36">
        <v>99911417</v>
      </c>
      <c r="B1419" s="17" t="s">
        <v>32</v>
      </c>
      <c r="C1419" t="s">
        <v>46</v>
      </c>
      <c r="D1419" t="s">
        <v>47</v>
      </c>
      <c r="G1419" s="17" t="s">
        <v>48</v>
      </c>
      <c r="H1419" s="17">
        <v>1</v>
      </c>
      <c r="K1419" t="s">
        <v>162</v>
      </c>
      <c r="L1419" t="s">
        <v>158</v>
      </c>
      <c r="M1419" t="s">
        <v>131</v>
      </c>
      <c r="N1419">
        <v>10</v>
      </c>
      <c r="O1419" t="s">
        <v>40</v>
      </c>
      <c r="P1419" t="s">
        <v>40</v>
      </c>
      <c r="Q1419" t="s">
        <v>40</v>
      </c>
      <c r="S1419" t="s">
        <v>40</v>
      </c>
      <c r="V1419" t="s">
        <v>41</v>
      </c>
      <c r="W1419" t="s">
        <v>49</v>
      </c>
      <c r="X1419" t="str">
        <f>"0581350"</f>
        <v>0581350</v>
      </c>
      <c r="Y1419" t="s">
        <v>187</v>
      </c>
      <c r="Z1419" t="s">
        <v>162</v>
      </c>
      <c r="AA1419" t="s">
        <v>158</v>
      </c>
      <c r="AB1419" t="s">
        <v>131</v>
      </c>
      <c r="AC1419" t="s">
        <v>51</v>
      </c>
      <c r="AD1419" t="s">
        <v>45</v>
      </c>
      <c r="AE1419" s="1">
        <v>30272</v>
      </c>
      <c r="AF1419">
        <v>2</v>
      </c>
      <c r="AG1419" t="s">
        <v>158</v>
      </c>
      <c r="AH1419" s="36">
        <f t="shared" si="22"/>
        <v>36.625</v>
      </c>
      <c r="AI1419" s="40" t="s">
        <v>1778</v>
      </c>
    </row>
    <row r="1420" spans="1:35" x14ac:dyDescent="0.25">
      <c r="A1420" s="36">
        <v>99911418</v>
      </c>
      <c r="B1420" s="17" t="s">
        <v>32</v>
      </c>
      <c r="C1420" t="s">
        <v>52</v>
      </c>
      <c r="D1420" t="s">
        <v>53</v>
      </c>
      <c r="G1420" s="17" t="s">
        <v>35</v>
      </c>
      <c r="H1420" s="17">
        <v>1</v>
      </c>
      <c r="K1420" t="s">
        <v>1268</v>
      </c>
      <c r="L1420" t="s">
        <v>1269</v>
      </c>
      <c r="M1420" t="s">
        <v>1270</v>
      </c>
      <c r="N1420">
        <v>19</v>
      </c>
      <c r="O1420" t="s">
        <v>40</v>
      </c>
      <c r="P1420" t="s">
        <v>40</v>
      </c>
      <c r="Q1420" t="s">
        <v>40</v>
      </c>
      <c r="R1420" t="s">
        <v>40</v>
      </c>
      <c r="S1420" t="s">
        <v>40</v>
      </c>
      <c r="V1420" t="s">
        <v>41</v>
      </c>
      <c r="W1420" t="s">
        <v>922</v>
      </c>
      <c r="X1420" t="str">
        <f>"1950001"</f>
        <v>1950001</v>
      </c>
      <c r="Y1420" t="s">
        <v>1284</v>
      </c>
      <c r="Z1420" t="s">
        <v>1268</v>
      </c>
      <c r="AA1420" t="s">
        <v>1269</v>
      </c>
      <c r="AB1420" t="s">
        <v>1270</v>
      </c>
      <c r="AC1420" t="s">
        <v>51</v>
      </c>
      <c r="AD1420" t="s">
        <v>45</v>
      </c>
      <c r="AE1420" s="1">
        <v>30271</v>
      </c>
      <c r="AF1420">
        <v>2</v>
      </c>
      <c r="AG1420" t="s">
        <v>1269</v>
      </c>
      <c r="AH1420" s="36">
        <f t="shared" si="22"/>
        <v>36.62777777777778</v>
      </c>
      <c r="AI1420" s="40" t="s">
        <v>1778</v>
      </c>
    </row>
    <row r="1421" spans="1:35" x14ac:dyDescent="0.25">
      <c r="A1421" s="36">
        <v>99911419</v>
      </c>
      <c r="B1421" s="17" t="s">
        <v>32</v>
      </c>
      <c r="C1421" t="s">
        <v>111</v>
      </c>
      <c r="D1421" t="s">
        <v>112</v>
      </c>
      <c r="G1421" s="17" t="s">
        <v>35</v>
      </c>
      <c r="H1421" s="17">
        <v>1</v>
      </c>
      <c r="K1421" t="s">
        <v>154</v>
      </c>
      <c r="L1421" t="s">
        <v>155</v>
      </c>
      <c r="M1421" t="s">
        <v>131</v>
      </c>
      <c r="N1421">
        <v>24</v>
      </c>
      <c r="O1421" t="s">
        <v>40</v>
      </c>
      <c r="P1421" t="s">
        <v>40</v>
      </c>
      <c r="Q1421" t="s">
        <v>40</v>
      </c>
      <c r="S1421" t="s">
        <v>40</v>
      </c>
      <c r="V1421" t="s">
        <v>41</v>
      </c>
      <c r="W1421" t="s">
        <v>75</v>
      </c>
      <c r="X1421" t="str">
        <f>"7700026"</f>
        <v>7700026</v>
      </c>
      <c r="Y1421" t="s">
        <v>397</v>
      </c>
      <c r="Z1421" t="s">
        <v>154</v>
      </c>
      <c r="AA1421" t="s">
        <v>155</v>
      </c>
      <c r="AB1421" t="s">
        <v>131</v>
      </c>
      <c r="AC1421" t="s">
        <v>51</v>
      </c>
      <c r="AD1421" t="s">
        <v>45</v>
      </c>
      <c r="AE1421" s="1">
        <v>30269</v>
      </c>
      <c r="AF1421">
        <v>1</v>
      </c>
      <c r="AG1421" t="s">
        <v>155</v>
      </c>
      <c r="AH1421" s="36">
        <f t="shared" si="22"/>
        <v>36.633333333333333</v>
      </c>
      <c r="AI1421" s="40" t="s">
        <v>1778</v>
      </c>
    </row>
    <row r="1422" spans="1:35" x14ac:dyDescent="0.25">
      <c r="A1422" s="36">
        <v>99911420</v>
      </c>
      <c r="B1422" s="17" t="s">
        <v>56</v>
      </c>
      <c r="C1422" t="s">
        <v>71</v>
      </c>
      <c r="D1422" t="s">
        <v>72</v>
      </c>
      <c r="G1422" s="17" t="s">
        <v>35</v>
      </c>
      <c r="H1422" s="17">
        <v>1</v>
      </c>
      <c r="I1422" t="s">
        <v>1158</v>
      </c>
      <c r="J1422" s="1">
        <v>43344</v>
      </c>
      <c r="K1422" t="s">
        <v>1128</v>
      </c>
      <c r="L1422" t="s">
        <v>1129</v>
      </c>
      <c r="M1422" t="s">
        <v>1130</v>
      </c>
      <c r="N1422">
        <v>10</v>
      </c>
      <c r="O1422" t="s">
        <v>40</v>
      </c>
      <c r="P1422" t="s">
        <v>40</v>
      </c>
      <c r="Q1422" t="s">
        <v>40</v>
      </c>
      <c r="R1422" t="s">
        <v>40</v>
      </c>
      <c r="S1422" t="s">
        <v>40</v>
      </c>
      <c r="U1422" s="1">
        <v>43344</v>
      </c>
      <c r="V1422" t="s">
        <v>41</v>
      </c>
      <c r="W1422" t="s">
        <v>49</v>
      </c>
      <c r="X1422" t="str">
        <f>"3160002"</f>
        <v>3160002</v>
      </c>
      <c r="Y1422" t="s">
        <v>1143</v>
      </c>
      <c r="Z1422" t="s">
        <v>1128</v>
      </c>
      <c r="AA1422" t="s">
        <v>1129</v>
      </c>
      <c r="AB1422" t="s">
        <v>1130</v>
      </c>
      <c r="AC1422" t="s">
        <v>44</v>
      </c>
      <c r="AD1422" t="s">
        <v>45</v>
      </c>
      <c r="AE1422" s="1">
        <v>30264</v>
      </c>
      <c r="AF1422">
        <v>2</v>
      </c>
      <c r="AG1422" t="s">
        <v>1129</v>
      </c>
      <c r="AH1422" s="36">
        <f t="shared" si="22"/>
        <v>36.647222222222226</v>
      </c>
      <c r="AI1422" s="40" t="s">
        <v>1778</v>
      </c>
    </row>
    <row r="1423" spans="1:35" x14ac:dyDescent="0.25">
      <c r="A1423" s="36">
        <v>99911421</v>
      </c>
      <c r="B1423" s="17" t="s">
        <v>32</v>
      </c>
      <c r="C1423" t="s">
        <v>79</v>
      </c>
      <c r="D1423" t="s">
        <v>80</v>
      </c>
      <c r="G1423" s="17" t="s">
        <v>48</v>
      </c>
      <c r="H1423" s="17">
        <v>1</v>
      </c>
      <c r="K1423" t="s">
        <v>380</v>
      </c>
      <c r="L1423" t="s">
        <v>381</v>
      </c>
      <c r="M1423" t="s">
        <v>131</v>
      </c>
      <c r="N1423">
        <v>8</v>
      </c>
      <c r="O1423" t="s">
        <v>40</v>
      </c>
      <c r="P1423" t="s">
        <v>40</v>
      </c>
      <c r="Q1423" t="s">
        <v>40</v>
      </c>
      <c r="S1423" t="s">
        <v>40</v>
      </c>
      <c r="V1423" t="s">
        <v>41</v>
      </c>
      <c r="W1423" t="s">
        <v>49</v>
      </c>
      <c r="X1423" t="str">
        <f>"0560028"</f>
        <v>0560028</v>
      </c>
      <c r="Y1423" t="s">
        <v>384</v>
      </c>
      <c r="Z1423" t="s">
        <v>380</v>
      </c>
      <c r="AA1423" t="s">
        <v>381</v>
      </c>
      <c r="AB1423" t="s">
        <v>131</v>
      </c>
      <c r="AC1423" t="s">
        <v>51</v>
      </c>
      <c r="AD1423" t="s">
        <v>45</v>
      </c>
      <c r="AE1423" s="1">
        <v>30258</v>
      </c>
      <c r="AF1423">
        <v>2</v>
      </c>
      <c r="AG1423" t="s">
        <v>381</v>
      </c>
      <c r="AH1423" s="36">
        <f t="shared" si="22"/>
        <v>36.663888888888891</v>
      </c>
      <c r="AI1423" s="40" t="s">
        <v>1778</v>
      </c>
    </row>
    <row r="1424" spans="1:35" x14ac:dyDescent="0.25">
      <c r="A1424" s="36">
        <v>99911422</v>
      </c>
      <c r="B1424" s="17" t="s">
        <v>32</v>
      </c>
      <c r="C1424" t="s">
        <v>111</v>
      </c>
      <c r="D1424" t="s">
        <v>112</v>
      </c>
      <c r="G1424" s="17" t="s">
        <v>48</v>
      </c>
      <c r="H1424" s="17">
        <v>1</v>
      </c>
      <c r="K1424" t="s">
        <v>268</v>
      </c>
      <c r="L1424" t="s">
        <v>269</v>
      </c>
      <c r="M1424" t="s">
        <v>131</v>
      </c>
      <c r="N1424">
        <v>23</v>
      </c>
      <c r="O1424" t="s">
        <v>40</v>
      </c>
      <c r="P1424" t="s">
        <v>40</v>
      </c>
      <c r="Q1424" t="s">
        <v>40</v>
      </c>
      <c r="S1424" t="s">
        <v>40</v>
      </c>
      <c r="V1424" t="s">
        <v>41</v>
      </c>
      <c r="W1424" t="s">
        <v>75</v>
      </c>
      <c r="X1424" t="str">
        <f>"7052044"</f>
        <v>7052044</v>
      </c>
      <c r="Y1424" t="s">
        <v>589</v>
      </c>
      <c r="Z1424" t="s">
        <v>268</v>
      </c>
      <c r="AA1424" t="s">
        <v>269</v>
      </c>
      <c r="AB1424" t="s">
        <v>131</v>
      </c>
      <c r="AC1424" t="s">
        <v>51</v>
      </c>
      <c r="AD1424" t="s">
        <v>45</v>
      </c>
      <c r="AE1424" s="1">
        <v>30254</v>
      </c>
      <c r="AF1424">
        <v>1</v>
      </c>
      <c r="AG1424" t="s">
        <v>269</v>
      </c>
      <c r="AH1424" s="36">
        <f t="shared" si="22"/>
        <v>36.674999999999997</v>
      </c>
      <c r="AI1424" s="40" t="s">
        <v>1778</v>
      </c>
    </row>
    <row r="1425" spans="1:35" x14ac:dyDescent="0.25">
      <c r="A1425" s="36">
        <v>99911423</v>
      </c>
      <c r="B1425" s="17" t="s">
        <v>32</v>
      </c>
      <c r="C1425" t="s">
        <v>46</v>
      </c>
      <c r="D1425" t="s">
        <v>47</v>
      </c>
      <c r="G1425" s="17" t="s">
        <v>48</v>
      </c>
      <c r="H1425" s="17">
        <v>1</v>
      </c>
      <c r="K1425" t="s">
        <v>380</v>
      </c>
      <c r="L1425" t="s">
        <v>381</v>
      </c>
      <c r="M1425" t="s">
        <v>131</v>
      </c>
      <c r="N1425">
        <v>23</v>
      </c>
      <c r="O1425" t="s">
        <v>40</v>
      </c>
      <c r="P1425" t="s">
        <v>40</v>
      </c>
      <c r="Q1425" t="s">
        <v>40</v>
      </c>
      <c r="R1425" t="s">
        <v>40</v>
      </c>
      <c r="S1425" t="s">
        <v>40</v>
      </c>
      <c r="V1425" t="s">
        <v>41</v>
      </c>
      <c r="W1425" t="s">
        <v>49</v>
      </c>
      <c r="X1425" t="str">
        <f>"0560028"</f>
        <v>0560028</v>
      </c>
      <c r="Y1425" t="s">
        <v>384</v>
      </c>
      <c r="Z1425" t="s">
        <v>380</v>
      </c>
      <c r="AA1425" t="s">
        <v>381</v>
      </c>
      <c r="AB1425" t="s">
        <v>131</v>
      </c>
      <c r="AC1425" t="s">
        <v>51</v>
      </c>
      <c r="AD1425" t="s">
        <v>45</v>
      </c>
      <c r="AE1425" s="1">
        <v>30243</v>
      </c>
      <c r="AF1425">
        <v>2</v>
      </c>
      <c r="AG1425" t="s">
        <v>381</v>
      </c>
      <c r="AH1425" s="36">
        <f t="shared" si="22"/>
        <v>36.705555555555556</v>
      </c>
      <c r="AI1425" s="40" t="s">
        <v>1778</v>
      </c>
    </row>
    <row r="1426" spans="1:35" x14ac:dyDescent="0.25">
      <c r="A1426" s="36">
        <v>99911424</v>
      </c>
      <c r="B1426" s="17" t="s">
        <v>56</v>
      </c>
      <c r="C1426" t="s">
        <v>90</v>
      </c>
      <c r="D1426" t="s">
        <v>91</v>
      </c>
      <c r="G1426" s="17" t="s">
        <v>35</v>
      </c>
      <c r="H1426" s="17">
        <v>1</v>
      </c>
      <c r="K1426" t="s">
        <v>963</v>
      </c>
      <c r="L1426" t="s">
        <v>964</v>
      </c>
      <c r="M1426" t="s">
        <v>938</v>
      </c>
      <c r="N1426">
        <v>25</v>
      </c>
      <c r="O1426" t="s">
        <v>40</v>
      </c>
      <c r="P1426" t="s">
        <v>40</v>
      </c>
      <c r="Q1426" t="s">
        <v>40</v>
      </c>
      <c r="R1426" t="s">
        <v>40</v>
      </c>
      <c r="S1426" t="s">
        <v>40</v>
      </c>
      <c r="V1426" t="s">
        <v>41</v>
      </c>
      <c r="W1426" t="s">
        <v>95</v>
      </c>
      <c r="X1426" t="str">
        <f>"7061049"</f>
        <v>7061049</v>
      </c>
      <c r="Y1426" t="s">
        <v>1000</v>
      </c>
      <c r="Z1426" t="s">
        <v>963</v>
      </c>
      <c r="AA1426" t="s">
        <v>964</v>
      </c>
      <c r="AB1426" t="s">
        <v>938</v>
      </c>
      <c r="AC1426" t="s">
        <v>51</v>
      </c>
      <c r="AD1426" t="s">
        <v>45</v>
      </c>
      <c r="AE1426" s="1">
        <v>30240</v>
      </c>
      <c r="AF1426">
        <v>1</v>
      </c>
      <c r="AG1426" t="s">
        <v>964</v>
      </c>
      <c r="AH1426" s="36">
        <f t="shared" si="22"/>
        <v>36.713888888888889</v>
      </c>
      <c r="AI1426" s="40" t="s">
        <v>1778</v>
      </c>
    </row>
    <row r="1427" spans="1:35" x14ac:dyDescent="0.25">
      <c r="A1427" s="36">
        <v>99911425</v>
      </c>
      <c r="B1427" s="17" t="s">
        <v>32</v>
      </c>
      <c r="C1427" t="s">
        <v>90</v>
      </c>
      <c r="D1427" t="s">
        <v>91</v>
      </c>
      <c r="G1427" s="17" t="s">
        <v>35</v>
      </c>
      <c r="H1427" s="17">
        <v>1</v>
      </c>
      <c r="I1427" t="s">
        <v>1194</v>
      </c>
      <c r="J1427" s="1">
        <v>43346</v>
      </c>
      <c r="K1427" t="s">
        <v>1191</v>
      </c>
      <c r="L1427" t="s">
        <v>1192</v>
      </c>
      <c r="M1427" t="s">
        <v>1130</v>
      </c>
      <c r="N1427">
        <v>25</v>
      </c>
      <c r="O1427" t="s">
        <v>40</v>
      </c>
      <c r="S1427" t="s">
        <v>40</v>
      </c>
      <c r="U1427" s="1">
        <v>43346</v>
      </c>
      <c r="V1427" t="s">
        <v>41</v>
      </c>
      <c r="W1427" t="s">
        <v>95</v>
      </c>
      <c r="X1427" t="str">
        <f>"7221005"</f>
        <v>7221005</v>
      </c>
      <c r="Y1427" t="s">
        <v>1195</v>
      </c>
      <c r="Z1427" t="s">
        <v>1191</v>
      </c>
      <c r="AA1427" t="s">
        <v>1192</v>
      </c>
      <c r="AB1427" t="s">
        <v>1130</v>
      </c>
      <c r="AC1427" t="s">
        <v>44</v>
      </c>
      <c r="AD1427" t="s">
        <v>45</v>
      </c>
      <c r="AE1427" s="1">
        <v>30240</v>
      </c>
      <c r="AF1427">
        <v>1</v>
      </c>
      <c r="AG1427" t="s">
        <v>1192</v>
      </c>
      <c r="AH1427" s="36">
        <f t="shared" si="22"/>
        <v>36.713888888888889</v>
      </c>
      <c r="AI1427" s="40" t="s">
        <v>1778</v>
      </c>
    </row>
    <row r="1428" spans="1:35" x14ac:dyDescent="0.25">
      <c r="A1428" s="36">
        <v>99911426</v>
      </c>
      <c r="B1428" s="17" t="s">
        <v>56</v>
      </c>
      <c r="C1428" t="s">
        <v>61</v>
      </c>
      <c r="D1428" t="s">
        <v>62</v>
      </c>
      <c r="G1428" s="17" t="s">
        <v>35</v>
      </c>
      <c r="H1428" s="17">
        <v>1</v>
      </c>
      <c r="I1428" t="s">
        <v>946</v>
      </c>
      <c r="J1428" s="1">
        <v>43371</v>
      </c>
      <c r="K1428" t="s">
        <v>936</v>
      </c>
      <c r="L1428" t="s">
        <v>937</v>
      </c>
      <c r="M1428" t="s">
        <v>938</v>
      </c>
      <c r="N1428">
        <v>9</v>
      </c>
      <c r="O1428" t="s">
        <v>40</v>
      </c>
      <c r="S1428" t="s">
        <v>40</v>
      </c>
      <c r="U1428" s="1">
        <v>43371</v>
      </c>
      <c r="V1428" t="s">
        <v>41</v>
      </c>
      <c r="W1428" t="s">
        <v>42</v>
      </c>
      <c r="X1428" t="str">
        <f>"0161003"</f>
        <v>0161003</v>
      </c>
      <c r="Y1428" t="s">
        <v>942</v>
      </c>
      <c r="Z1428" t="s">
        <v>936</v>
      </c>
      <c r="AA1428" t="s">
        <v>937</v>
      </c>
      <c r="AB1428" t="s">
        <v>938</v>
      </c>
      <c r="AC1428" t="s">
        <v>44</v>
      </c>
      <c r="AD1428" t="s">
        <v>45</v>
      </c>
      <c r="AE1428" s="1">
        <v>30236</v>
      </c>
      <c r="AF1428">
        <v>2</v>
      </c>
      <c r="AG1428" t="s">
        <v>937</v>
      </c>
      <c r="AH1428" s="36">
        <f t="shared" si="22"/>
        <v>36.725000000000001</v>
      </c>
      <c r="AI1428" s="40" t="s">
        <v>1778</v>
      </c>
    </row>
    <row r="1429" spans="1:35" x14ac:dyDescent="0.25">
      <c r="A1429" s="36">
        <v>99911427</v>
      </c>
      <c r="B1429" s="17" t="s">
        <v>32</v>
      </c>
      <c r="C1429" t="s">
        <v>82</v>
      </c>
      <c r="D1429" t="s">
        <v>83</v>
      </c>
      <c r="G1429" s="17" t="s">
        <v>35</v>
      </c>
      <c r="H1429" s="17">
        <v>1</v>
      </c>
      <c r="I1429">
        <v>0</v>
      </c>
      <c r="J1429" s="1">
        <v>43344</v>
      </c>
      <c r="K1429" t="s">
        <v>223</v>
      </c>
      <c r="L1429" t="s">
        <v>224</v>
      </c>
      <c r="M1429" t="s">
        <v>131</v>
      </c>
      <c r="N1429">
        <v>23</v>
      </c>
      <c r="O1429" t="s">
        <v>40</v>
      </c>
      <c r="S1429" t="s">
        <v>40</v>
      </c>
      <c r="U1429" s="1">
        <v>43344</v>
      </c>
      <c r="V1429" t="s">
        <v>41</v>
      </c>
      <c r="W1429" t="s">
        <v>49</v>
      </c>
      <c r="X1429" t="str">
        <f>"0561022"</f>
        <v>0561022</v>
      </c>
      <c r="Y1429" t="s">
        <v>225</v>
      </c>
      <c r="Z1429" t="s">
        <v>223</v>
      </c>
      <c r="AA1429" t="s">
        <v>224</v>
      </c>
      <c r="AB1429" t="s">
        <v>131</v>
      </c>
      <c r="AC1429" t="s">
        <v>44</v>
      </c>
      <c r="AD1429" t="s">
        <v>45</v>
      </c>
      <c r="AE1429" s="1">
        <v>30235</v>
      </c>
      <c r="AF1429">
        <v>2</v>
      </c>
      <c r="AG1429" t="s">
        <v>224</v>
      </c>
      <c r="AH1429" s="36">
        <f t="shared" si="22"/>
        <v>36.727777777777774</v>
      </c>
      <c r="AI1429" s="40" t="s">
        <v>1778</v>
      </c>
    </row>
    <row r="1430" spans="1:35" x14ac:dyDescent="0.25">
      <c r="A1430" s="36">
        <v>99911428</v>
      </c>
      <c r="B1430" s="17" t="s">
        <v>32</v>
      </c>
      <c r="C1430" t="s">
        <v>85</v>
      </c>
      <c r="D1430" t="s">
        <v>86</v>
      </c>
      <c r="G1430" s="17" t="s">
        <v>48</v>
      </c>
      <c r="H1430" s="17">
        <v>2</v>
      </c>
      <c r="K1430" t="s">
        <v>129</v>
      </c>
      <c r="L1430" t="s">
        <v>130</v>
      </c>
      <c r="M1430" t="s">
        <v>131</v>
      </c>
      <c r="N1430">
        <v>6</v>
      </c>
      <c r="O1430" t="s">
        <v>40</v>
      </c>
      <c r="P1430" t="s">
        <v>40</v>
      </c>
      <c r="Q1430" t="s">
        <v>40</v>
      </c>
      <c r="R1430" t="s">
        <v>40</v>
      </c>
      <c r="S1430" t="s">
        <v>40</v>
      </c>
      <c r="U1430" s="1">
        <v>38603</v>
      </c>
      <c r="V1430" t="s">
        <v>41</v>
      </c>
      <c r="W1430" t="s">
        <v>49</v>
      </c>
      <c r="X1430" t="str">
        <f>"0580150"</f>
        <v>0580150</v>
      </c>
      <c r="Y1430" t="s">
        <v>134</v>
      </c>
      <c r="Z1430" t="s">
        <v>129</v>
      </c>
      <c r="AA1430" t="s">
        <v>130</v>
      </c>
      <c r="AB1430" t="s">
        <v>131</v>
      </c>
      <c r="AC1430" t="s">
        <v>51</v>
      </c>
      <c r="AD1430" t="s">
        <v>45</v>
      </c>
      <c r="AE1430" s="1">
        <v>30233</v>
      </c>
      <c r="AF1430">
        <v>2</v>
      </c>
      <c r="AG1430" t="s">
        <v>130</v>
      </c>
      <c r="AH1430" s="36">
        <f t="shared" si="22"/>
        <v>36.733333333333334</v>
      </c>
      <c r="AI1430" s="40" t="s">
        <v>1778</v>
      </c>
    </row>
    <row r="1431" spans="1:35" x14ac:dyDescent="0.25">
      <c r="A1431" s="36">
        <v>99911429</v>
      </c>
      <c r="B1431" s="17" t="s">
        <v>32</v>
      </c>
      <c r="C1431" t="s">
        <v>64</v>
      </c>
      <c r="D1431" t="s">
        <v>65</v>
      </c>
      <c r="G1431" s="17" t="s">
        <v>35</v>
      </c>
      <c r="H1431" s="17">
        <v>1</v>
      </c>
      <c r="I1431" t="s">
        <v>739</v>
      </c>
      <c r="J1431" s="1">
        <v>43344</v>
      </c>
      <c r="K1431" t="s">
        <v>268</v>
      </c>
      <c r="L1431" t="s">
        <v>269</v>
      </c>
      <c r="M1431" t="s">
        <v>131</v>
      </c>
      <c r="N1431">
        <v>10</v>
      </c>
      <c r="O1431" t="s">
        <v>40</v>
      </c>
      <c r="S1431" t="s">
        <v>40</v>
      </c>
      <c r="U1431" s="1">
        <v>43344</v>
      </c>
      <c r="V1431" t="s">
        <v>41</v>
      </c>
      <c r="W1431" t="s">
        <v>75</v>
      </c>
      <c r="X1431" t="str">
        <f>"7052020"</f>
        <v>7052020</v>
      </c>
      <c r="Y1431" t="s">
        <v>267</v>
      </c>
      <c r="Z1431" t="s">
        <v>268</v>
      </c>
      <c r="AA1431" t="s">
        <v>269</v>
      </c>
      <c r="AB1431" t="s">
        <v>131</v>
      </c>
      <c r="AC1431" t="s">
        <v>51</v>
      </c>
      <c r="AD1431" t="s">
        <v>45</v>
      </c>
      <c r="AE1431" s="1">
        <v>30233</v>
      </c>
      <c r="AF1431">
        <v>1</v>
      </c>
      <c r="AG1431" t="s">
        <v>269</v>
      </c>
      <c r="AH1431" s="36">
        <f t="shared" si="22"/>
        <v>36.733333333333334</v>
      </c>
      <c r="AI1431" s="40" t="s">
        <v>1778</v>
      </c>
    </row>
    <row r="1432" spans="1:35" x14ac:dyDescent="0.25">
      <c r="A1432" s="36">
        <v>99911430</v>
      </c>
      <c r="B1432" s="17" t="s">
        <v>32</v>
      </c>
      <c r="C1432" t="s">
        <v>111</v>
      </c>
      <c r="D1432" t="s">
        <v>112</v>
      </c>
      <c r="G1432" s="17" t="s">
        <v>48</v>
      </c>
      <c r="H1432" s="17">
        <v>1</v>
      </c>
      <c r="K1432" t="s">
        <v>877</v>
      </c>
      <c r="L1432" t="s">
        <v>878</v>
      </c>
      <c r="M1432" t="s">
        <v>131</v>
      </c>
      <c r="N1432">
        <v>24</v>
      </c>
      <c r="O1432" t="s">
        <v>40</v>
      </c>
      <c r="P1432" t="s">
        <v>40</v>
      </c>
      <c r="Q1432" t="s">
        <v>40</v>
      </c>
      <c r="R1432" t="s">
        <v>40</v>
      </c>
      <c r="S1432" t="s">
        <v>40</v>
      </c>
      <c r="V1432" t="s">
        <v>41</v>
      </c>
      <c r="W1432" t="s">
        <v>75</v>
      </c>
      <c r="X1432" t="str">
        <f>"7541004"</f>
        <v>7541004</v>
      </c>
      <c r="Y1432" t="s">
        <v>889</v>
      </c>
      <c r="Z1432" t="s">
        <v>877</v>
      </c>
      <c r="AA1432" t="s">
        <v>878</v>
      </c>
      <c r="AB1432" t="s">
        <v>131</v>
      </c>
      <c r="AC1432" t="s">
        <v>51</v>
      </c>
      <c r="AD1432" t="s">
        <v>45</v>
      </c>
      <c r="AE1432" s="1">
        <v>30231</v>
      </c>
      <c r="AF1432">
        <v>1</v>
      </c>
      <c r="AG1432" t="s">
        <v>878</v>
      </c>
      <c r="AH1432" s="36">
        <f t="shared" si="22"/>
        <v>36.738888888888887</v>
      </c>
      <c r="AI1432" s="40" t="s">
        <v>1778</v>
      </c>
    </row>
    <row r="1433" spans="1:35" x14ac:dyDescent="0.25">
      <c r="A1433" s="36">
        <v>99911431</v>
      </c>
      <c r="B1433" s="17" t="s">
        <v>32</v>
      </c>
      <c r="C1433" t="s">
        <v>90</v>
      </c>
      <c r="D1433" t="s">
        <v>91</v>
      </c>
      <c r="G1433" s="17" t="s">
        <v>35</v>
      </c>
      <c r="H1433" s="17">
        <v>1</v>
      </c>
      <c r="I1433">
        <v>8163</v>
      </c>
      <c r="J1433" s="1">
        <v>43344</v>
      </c>
      <c r="K1433" t="s">
        <v>1198</v>
      </c>
      <c r="L1433" t="s">
        <v>1199</v>
      </c>
      <c r="M1433" t="s">
        <v>1130</v>
      </c>
      <c r="N1433">
        <v>25</v>
      </c>
      <c r="O1433" t="s">
        <v>40</v>
      </c>
      <c r="P1433" t="s">
        <v>40</v>
      </c>
      <c r="Q1433" t="s">
        <v>40</v>
      </c>
      <c r="R1433" t="s">
        <v>40</v>
      </c>
      <c r="S1433" t="s">
        <v>40</v>
      </c>
      <c r="U1433" s="1">
        <v>43344</v>
      </c>
      <c r="V1433" t="s">
        <v>41</v>
      </c>
      <c r="W1433" t="s">
        <v>95</v>
      </c>
      <c r="X1433" t="str">
        <f>"7311005"</f>
        <v>7311005</v>
      </c>
      <c r="Y1433" t="s">
        <v>1206</v>
      </c>
      <c r="Z1433" t="s">
        <v>1198</v>
      </c>
      <c r="AA1433" t="s">
        <v>1199</v>
      </c>
      <c r="AB1433" t="s">
        <v>1130</v>
      </c>
      <c r="AC1433" t="s">
        <v>44</v>
      </c>
      <c r="AD1433" t="s">
        <v>45</v>
      </c>
      <c r="AE1433" s="1">
        <v>30231</v>
      </c>
      <c r="AF1433">
        <v>1</v>
      </c>
      <c r="AG1433" t="s">
        <v>1199</v>
      </c>
      <c r="AH1433" s="36">
        <f t="shared" si="22"/>
        <v>36.738888888888887</v>
      </c>
      <c r="AI1433" s="40" t="s">
        <v>1778</v>
      </c>
    </row>
    <row r="1434" spans="1:35" x14ac:dyDescent="0.25">
      <c r="A1434" s="36">
        <v>99911432</v>
      </c>
      <c r="B1434" s="17" t="s">
        <v>32</v>
      </c>
      <c r="C1434" t="s">
        <v>46</v>
      </c>
      <c r="D1434" t="s">
        <v>47</v>
      </c>
      <c r="G1434" s="17" t="s">
        <v>48</v>
      </c>
      <c r="H1434" s="17">
        <v>1</v>
      </c>
      <c r="K1434" t="s">
        <v>129</v>
      </c>
      <c r="L1434" t="s">
        <v>130</v>
      </c>
      <c r="M1434" t="s">
        <v>131</v>
      </c>
      <c r="N1434">
        <v>20</v>
      </c>
      <c r="O1434" t="s">
        <v>40</v>
      </c>
      <c r="P1434" t="s">
        <v>40</v>
      </c>
      <c r="Q1434" t="s">
        <v>40</v>
      </c>
      <c r="R1434" t="s">
        <v>40</v>
      </c>
      <c r="S1434" t="s">
        <v>40</v>
      </c>
      <c r="V1434" t="s">
        <v>41</v>
      </c>
      <c r="W1434" t="s">
        <v>49</v>
      </c>
      <c r="X1434" t="str">
        <f>"0591905"</f>
        <v>0591905</v>
      </c>
      <c r="Y1434" t="s">
        <v>135</v>
      </c>
      <c r="Z1434" t="s">
        <v>129</v>
      </c>
      <c r="AA1434" t="s">
        <v>130</v>
      </c>
      <c r="AB1434" t="s">
        <v>131</v>
      </c>
      <c r="AC1434" t="s">
        <v>51</v>
      </c>
      <c r="AD1434" t="s">
        <v>45</v>
      </c>
      <c r="AE1434" s="1">
        <v>30230</v>
      </c>
      <c r="AF1434">
        <v>2</v>
      </c>
      <c r="AG1434" t="s">
        <v>130</v>
      </c>
      <c r="AH1434" s="36">
        <f t="shared" si="22"/>
        <v>36.741666666666667</v>
      </c>
      <c r="AI1434" s="40" t="s">
        <v>1778</v>
      </c>
    </row>
    <row r="1435" spans="1:35" x14ac:dyDescent="0.25">
      <c r="A1435" s="36">
        <v>99911433</v>
      </c>
      <c r="B1435" s="17" t="s">
        <v>56</v>
      </c>
      <c r="C1435" t="s">
        <v>52</v>
      </c>
      <c r="D1435" t="s">
        <v>53</v>
      </c>
      <c r="G1435" s="17" t="s">
        <v>35</v>
      </c>
      <c r="H1435" s="17">
        <v>1</v>
      </c>
      <c r="I1435">
        <v>0</v>
      </c>
      <c r="J1435" s="1">
        <v>43344</v>
      </c>
      <c r="K1435" t="s">
        <v>223</v>
      </c>
      <c r="L1435" t="s">
        <v>224</v>
      </c>
      <c r="M1435" t="s">
        <v>131</v>
      </c>
      <c r="N1435">
        <v>21</v>
      </c>
      <c r="O1435" t="s">
        <v>40</v>
      </c>
      <c r="P1435" t="s">
        <v>40</v>
      </c>
      <c r="Q1435" t="s">
        <v>40</v>
      </c>
      <c r="R1435" t="s">
        <v>40</v>
      </c>
      <c r="S1435" t="s">
        <v>40</v>
      </c>
      <c r="U1435" s="1">
        <v>43344</v>
      </c>
      <c r="V1435" t="s">
        <v>41</v>
      </c>
      <c r="W1435" t="s">
        <v>49</v>
      </c>
      <c r="X1435" t="str">
        <f>"0581207"</f>
        <v>0581207</v>
      </c>
      <c r="Y1435" t="s">
        <v>233</v>
      </c>
      <c r="Z1435" t="s">
        <v>223</v>
      </c>
      <c r="AA1435" t="s">
        <v>224</v>
      </c>
      <c r="AB1435" t="s">
        <v>131</v>
      </c>
      <c r="AC1435" t="s">
        <v>44</v>
      </c>
      <c r="AD1435" t="s">
        <v>45</v>
      </c>
      <c r="AE1435" s="1">
        <v>30230</v>
      </c>
      <c r="AF1435">
        <v>2</v>
      </c>
      <c r="AG1435" t="s">
        <v>224</v>
      </c>
      <c r="AH1435" s="36">
        <f t="shared" si="22"/>
        <v>36.741666666666667</v>
      </c>
      <c r="AI1435" s="40" t="s">
        <v>1778</v>
      </c>
    </row>
    <row r="1436" spans="1:35" x14ac:dyDescent="0.25">
      <c r="A1436" s="36">
        <v>99911434</v>
      </c>
      <c r="B1436" s="17" t="s">
        <v>32</v>
      </c>
      <c r="C1436" t="s">
        <v>85</v>
      </c>
      <c r="D1436" t="s">
        <v>86</v>
      </c>
      <c r="G1436" s="17" t="s">
        <v>35</v>
      </c>
      <c r="H1436" s="17">
        <v>1</v>
      </c>
      <c r="I1436">
        <v>18104</v>
      </c>
      <c r="J1436" s="1">
        <v>43344</v>
      </c>
      <c r="K1436" t="s">
        <v>345</v>
      </c>
      <c r="L1436" t="s">
        <v>346</v>
      </c>
      <c r="M1436" t="s">
        <v>131</v>
      </c>
      <c r="N1436">
        <v>7</v>
      </c>
      <c r="O1436" t="s">
        <v>40</v>
      </c>
      <c r="S1436" t="s">
        <v>40</v>
      </c>
      <c r="U1436" s="1">
        <v>43344</v>
      </c>
      <c r="V1436" t="s">
        <v>41</v>
      </c>
      <c r="W1436" t="s">
        <v>367</v>
      </c>
      <c r="X1436" t="str">
        <f>"0580655"</f>
        <v>0580655</v>
      </c>
      <c r="Y1436" t="s">
        <v>368</v>
      </c>
      <c r="Z1436" t="s">
        <v>345</v>
      </c>
      <c r="AA1436" t="s">
        <v>346</v>
      </c>
      <c r="AB1436" t="s">
        <v>131</v>
      </c>
      <c r="AC1436" t="s">
        <v>51</v>
      </c>
      <c r="AD1436" t="s">
        <v>45</v>
      </c>
      <c r="AE1436" s="1">
        <v>30228</v>
      </c>
      <c r="AF1436">
        <v>2</v>
      </c>
      <c r="AG1436" t="s">
        <v>346</v>
      </c>
      <c r="AH1436" s="36">
        <f t="shared" si="22"/>
        <v>36.74722222222222</v>
      </c>
      <c r="AI1436" s="40" t="s">
        <v>1778</v>
      </c>
    </row>
    <row r="1437" spans="1:35" x14ac:dyDescent="0.25">
      <c r="A1437" s="36">
        <v>99911435</v>
      </c>
      <c r="B1437" s="17" t="s">
        <v>32</v>
      </c>
      <c r="C1437" t="s">
        <v>79</v>
      </c>
      <c r="D1437" t="s">
        <v>80</v>
      </c>
      <c r="G1437" s="17" t="s">
        <v>35</v>
      </c>
      <c r="H1437" s="17">
        <v>1</v>
      </c>
      <c r="K1437" t="s">
        <v>431</v>
      </c>
      <c r="L1437" t="s">
        <v>196</v>
      </c>
      <c r="M1437" t="s">
        <v>131</v>
      </c>
      <c r="N1437">
        <v>24</v>
      </c>
      <c r="O1437" t="s">
        <v>40</v>
      </c>
      <c r="P1437" t="s">
        <v>40</v>
      </c>
      <c r="Q1437" t="s">
        <v>40</v>
      </c>
      <c r="R1437" t="s">
        <v>40</v>
      </c>
      <c r="S1437" t="s">
        <v>40</v>
      </c>
      <c r="V1437" t="s">
        <v>41</v>
      </c>
      <c r="W1437" t="s">
        <v>75</v>
      </c>
      <c r="X1437" t="str">
        <f>"7521032"</f>
        <v>7521032</v>
      </c>
      <c r="Y1437" t="s">
        <v>462</v>
      </c>
      <c r="Z1437" t="s">
        <v>431</v>
      </c>
      <c r="AA1437" t="s">
        <v>196</v>
      </c>
      <c r="AB1437" t="s">
        <v>131</v>
      </c>
      <c r="AC1437" t="s">
        <v>51</v>
      </c>
      <c r="AD1437" t="s">
        <v>45</v>
      </c>
      <c r="AE1437" s="1">
        <v>30227</v>
      </c>
      <c r="AF1437">
        <v>1</v>
      </c>
      <c r="AG1437" t="s">
        <v>196</v>
      </c>
      <c r="AH1437" s="36">
        <f t="shared" si="22"/>
        <v>36.75</v>
      </c>
      <c r="AI1437" s="40" t="s">
        <v>1778</v>
      </c>
    </row>
    <row r="1438" spans="1:35" x14ac:dyDescent="0.25">
      <c r="A1438" s="36">
        <v>99911436</v>
      </c>
      <c r="B1438" s="17" t="s">
        <v>32</v>
      </c>
      <c r="C1438" t="s">
        <v>90</v>
      </c>
      <c r="D1438" t="s">
        <v>91</v>
      </c>
      <c r="G1438" s="17" t="s">
        <v>48</v>
      </c>
      <c r="H1438" s="17">
        <v>3</v>
      </c>
      <c r="I1438" t="s">
        <v>1432</v>
      </c>
      <c r="J1438" s="1">
        <v>42051</v>
      </c>
      <c r="K1438" t="s">
        <v>1426</v>
      </c>
      <c r="L1438" t="s">
        <v>1427</v>
      </c>
      <c r="M1438" t="s">
        <v>1270</v>
      </c>
      <c r="N1438">
        <v>24</v>
      </c>
      <c r="O1438" t="s">
        <v>40</v>
      </c>
      <c r="P1438" t="s">
        <v>40</v>
      </c>
      <c r="Q1438" t="s">
        <v>40</v>
      </c>
      <c r="R1438" t="s">
        <v>40</v>
      </c>
      <c r="S1438" t="s">
        <v>40</v>
      </c>
      <c r="U1438" s="1">
        <v>42051</v>
      </c>
      <c r="V1438" t="s">
        <v>41</v>
      </c>
      <c r="W1438" t="s">
        <v>95</v>
      </c>
      <c r="X1438" t="str">
        <f>"7192017"</f>
        <v>7192017</v>
      </c>
      <c r="Y1438" t="s">
        <v>1433</v>
      </c>
      <c r="Z1438" t="s">
        <v>1426</v>
      </c>
      <c r="AA1438" t="s">
        <v>1427</v>
      </c>
      <c r="AB1438" t="s">
        <v>1270</v>
      </c>
      <c r="AC1438" t="s">
        <v>51</v>
      </c>
      <c r="AD1438" t="s">
        <v>45</v>
      </c>
      <c r="AE1438" s="1">
        <v>30225</v>
      </c>
      <c r="AF1438">
        <v>1</v>
      </c>
      <c r="AG1438" t="s">
        <v>1427</v>
      </c>
      <c r="AH1438" s="36">
        <f t="shared" si="22"/>
        <v>36.755555555555553</v>
      </c>
      <c r="AI1438" s="40" t="s">
        <v>1778</v>
      </c>
    </row>
    <row r="1439" spans="1:35" x14ac:dyDescent="0.25">
      <c r="A1439" s="36">
        <v>99911437</v>
      </c>
      <c r="B1439" s="17" t="s">
        <v>32</v>
      </c>
      <c r="C1439" t="s">
        <v>145</v>
      </c>
      <c r="D1439" t="s">
        <v>146</v>
      </c>
      <c r="G1439" s="17" t="s">
        <v>35</v>
      </c>
      <c r="H1439" s="17">
        <v>1</v>
      </c>
      <c r="I1439">
        <v>0</v>
      </c>
      <c r="J1439" s="1">
        <v>43344</v>
      </c>
      <c r="K1439" t="s">
        <v>223</v>
      </c>
      <c r="L1439" t="s">
        <v>224</v>
      </c>
      <c r="M1439" t="s">
        <v>131</v>
      </c>
      <c r="N1439">
        <v>21</v>
      </c>
      <c r="O1439" t="s">
        <v>40</v>
      </c>
      <c r="Q1439" t="s">
        <v>40</v>
      </c>
      <c r="S1439" t="s">
        <v>40</v>
      </c>
      <c r="U1439" s="1">
        <v>43344</v>
      </c>
      <c r="V1439" t="s">
        <v>41</v>
      </c>
      <c r="W1439" t="s">
        <v>49</v>
      </c>
      <c r="X1439" t="str">
        <f>"0581207"</f>
        <v>0581207</v>
      </c>
      <c r="Y1439" t="s">
        <v>233</v>
      </c>
      <c r="Z1439" t="s">
        <v>223</v>
      </c>
      <c r="AA1439" t="s">
        <v>224</v>
      </c>
      <c r="AB1439" t="s">
        <v>131</v>
      </c>
      <c r="AC1439" t="s">
        <v>51</v>
      </c>
      <c r="AD1439" t="s">
        <v>45</v>
      </c>
      <c r="AE1439" s="1">
        <v>30224</v>
      </c>
      <c r="AF1439">
        <v>2</v>
      </c>
      <c r="AG1439" t="s">
        <v>224</v>
      </c>
      <c r="AH1439" s="36">
        <f t="shared" si="22"/>
        <v>36.758333333333333</v>
      </c>
      <c r="AI1439" s="40" t="s">
        <v>1778</v>
      </c>
    </row>
    <row r="1440" spans="1:35" x14ac:dyDescent="0.25">
      <c r="A1440" s="36">
        <v>99911438</v>
      </c>
      <c r="B1440" s="17" t="s">
        <v>32</v>
      </c>
      <c r="C1440" t="s">
        <v>61</v>
      </c>
      <c r="D1440" t="s">
        <v>62</v>
      </c>
      <c r="G1440" s="17" t="s">
        <v>48</v>
      </c>
      <c r="H1440" s="17">
        <v>1</v>
      </c>
      <c r="I1440" t="s">
        <v>1617</v>
      </c>
      <c r="J1440" s="1">
        <v>41684</v>
      </c>
      <c r="K1440" t="s">
        <v>1613</v>
      </c>
      <c r="L1440" t="s">
        <v>1614</v>
      </c>
      <c r="M1440" t="s">
        <v>1592</v>
      </c>
      <c r="N1440">
        <v>12</v>
      </c>
      <c r="O1440" t="s">
        <v>40</v>
      </c>
      <c r="P1440" t="s">
        <v>40</v>
      </c>
      <c r="Q1440" t="s">
        <v>40</v>
      </c>
      <c r="R1440" t="s">
        <v>40</v>
      </c>
      <c r="S1440" t="s">
        <v>40</v>
      </c>
      <c r="U1440" s="1">
        <v>41684</v>
      </c>
      <c r="V1440" t="s">
        <v>41</v>
      </c>
      <c r="W1440" t="s">
        <v>75</v>
      </c>
      <c r="X1440" t="str">
        <f>"7281006"</f>
        <v>7281006</v>
      </c>
      <c r="Y1440" t="s">
        <v>1618</v>
      </c>
      <c r="Z1440" t="s">
        <v>1619</v>
      </c>
      <c r="AA1440" t="s">
        <v>1620</v>
      </c>
      <c r="AB1440" t="s">
        <v>1592</v>
      </c>
      <c r="AC1440" t="s">
        <v>51</v>
      </c>
      <c r="AD1440" t="s">
        <v>45</v>
      </c>
      <c r="AE1440" s="1">
        <v>30222</v>
      </c>
      <c r="AF1440">
        <v>2</v>
      </c>
      <c r="AG1440" t="s">
        <v>1614</v>
      </c>
      <c r="AH1440" s="36">
        <f t="shared" si="22"/>
        <v>36.763888888888886</v>
      </c>
      <c r="AI1440" s="40" t="s">
        <v>1778</v>
      </c>
    </row>
    <row r="1441" spans="1:35" x14ac:dyDescent="0.25">
      <c r="A1441" s="36">
        <v>99911439</v>
      </c>
      <c r="B1441" s="17" t="s">
        <v>32</v>
      </c>
      <c r="C1441" t="s">
        <v>71</v>
      </c>
      <c r="D1441" t="s">
        <v>72</v>
      </c>
      <c r="G1441" s="17" t="s">
        <v>35</v>
      </c>
      <c r="H1441" s="17">
        <v>1</v>
      </c>
      <c r="I1441" t="s">
        <v>278</v>
      </c>
      <c r="J1441" s="1">
        <v>43344</v>
      </c>
      <c r="K1441" t="s">
        <v>223</v>
      </c>
      <c r="L1441" t="s">
        <v>224</v>
      </c>
      <c r="M1441" t="s">
        <v>131</v>
      </c>
      <c r="N1441">
        <v>9</v>
      </c>
      <c r="O1441" t="s">
        <v>40</v>
      </c>
      <c r="P1441" t="s">
        <v>40</v>
      </c>
      <c r="Q1441" t="s">
        <v>40</v>
      </c>
      <c r="R1441" t="s">
        <v>40</v>
      </c>
      <c r="S1441" t="s">
        <v>40</v>
      </c>
      <c r="U1441" s="1">
        <v>43344</v>
      </c>
      <c r="V1441" t="s">
        <v>41</v>
      </c>
      <c r="W1441" t="s">
        <v>49</v>
      </c>
      <c r="X1441" t="str">
        <f>"0591901"</f>
        <v>0591901</v>
      </c>
      <c r="Y1441" t="s">
        <v>230</v>
      </c>
      <c r="Z1441" t="s">
        <v>223</v>
      </c>
      <c r="AA1441" t="s">
        <v>224</v>
      </c>
      <c r="AB1441" t="s">
        <v>131</v>
      </c>
      <c r="AC1441" t="s">
        <v>44</v>
      </c>
      <c r="AD1441" t="s">
        <v>45</v>
      </c>
      <c r="AE1441" s="1">
        <v>30218</v>
      </c>
      <c r="AF1441">
        <v>2</v>
      </c>
      <c r="AG1441" t="s">
        <v>224</v>
      </c>
      <c r="AH1441" s="36">
        <f t="shared" si="22"/>
        <v>36.774999999999999</v>
      </c>
      <c r="AI1441" s="40" t="s">
        <v>1778</v>
      </c>
    </row>
    <row r="1442" spans="1:35" x14ac:dyDescent="0.25">
      <c r="A1442" s="36">
        <v>99911440</v>
      </c>
      <c r="B1442" s="17" t="s">
        <v>32</v>
      </c>
      <c r="C1442" t="s">
        <v>111</v>
      </c>
      <c r="D1442" t="s">
        <v>112</v>
      </c>
      <c r="G1442" s="17" t="s">
        <v>48</v>
      </c>
      <c r="H1442" s="17">
        <v>6</v>
      </c>
      <c r="I1442" t="s">
        <v>442</v>
      </c>
      <c r="J1442" s="1">
        <v>40422</v>
      </c>
      <c r="K1442" t="s">
        <v>195</v>
      </c>
      <c r="L1442" t="s">
        <v>196</v>
      </c>
      <c r="M1442" t="s">
        <v>131</v>
      </c>
      <c r="N1442">
        <v>23</v>
      </c>
      <c r="O1442" t="s">
        <v>40</v>
      </c>
      <c r="P1442" t="s">
        <v>40</v>
      </c>
      <c r="Q1442" t="s">
        <v>40</v>
      </c>
      <c r="R1442" t="s">
        <v>40</v>
      </c>
      <c r="S1442" t="s">
        <v>40</v>
      </c>
      <c r="U1442" s="1">
        <v>40422</v>
      </c>
      <c r="V1442" t="s">
        <v>41</v>
      </c>
      <c r="W1442" t="s">
        <v>75</v>
      </c>
      <c r="X1442" t="str">
        <f>"7521050"</f>
        <v>7521050</v>
      </c>
      <c r="Y1442" t="s">
        <v>194</v>
      </c>
      <c r="Z1442" t="s">
        <v>195</v>
      </c>
      <c r="AA1442" t="s">
        <v>196</v>
      </c>
      <c r="AB1442" t="s">
        <v>131</v>
      </c>
      <c r="AC1442" t="s">
        <v>51</v>
      </c>
      <c r="AD1442" t="s">
        <v>45</v>
      </c>
      <c r="AE1442" s="1">
        <v>30214</v>
      </c>
      <c r="AF1442">
        <v>1</v>
      </c>
      <c r="AG1442" t="s">
        <v>196</v>
      </c>
      <c r="AH1442" s="36">
        <f t="shared" si="22"/>
        <v>36.786111111111111</v>
      </c>
      <c r="AI1442" s="40" t="s">
        <v>1778</v>
      </c>
    </row>
    <row r="1443" spans="1:35" x14ac:dyDescent="0.25">
      <c r="A1443" s="36">
        <v>99911441</v>
      </c>
      <c r="B1443" s="17" t="s">
        <v>56</v>
      </c>
      <c r="C1443" t="s">
        <v>46</v>
      </c>
      <c r="D1443" t="s">
        <v>47</v>
      </c>
      <c r="G1443" s="17" t="s">
        <v>48</v>
      </c>
      <c r="H1443" s="17">
        <v>1</v>
      </c>
      <c r="K1443" t="s">
        <v>223</v>
      </c>
      <c r="L1443" t="s">
        <v>224</v>
      </c>
      <c r="M1443" t="s">
        <v>131</v>
      </c>
      <c r="N1443">
        <v>21</v>
      </c>
      <c r="O1443" t="s">
        <v>40</v>
      </c>
      <c r="P1443" t="s">
        <v>40</v>
      </c>
      <c r="Q1443" t="s">
        <v>40</v>
      </c>
      <c r="S1443" t="s">
        <v>40</v>
      </c>
      <c r="V1443" t="s">
        <v>41</v>
      </c>
      <c r="W1443" t="s">
        <v>49</v>
      </c>
      <c r="X1443" t="str">
        <f>"0581265"</f>
        <v>0581265</v>
      </c>
      <c r="Y1443" t="s">
        <v>236</v>
      </c>
      <c r="Z1443" t="s">
        <v>223</v>
      </c>
      <c r="AA1443" t="s">
        <v>224</v>
      </c>
      <c r="AB1443" t="s">
        <v>131</v>
      </c>
      <c r="AC1443" t="s">
        <v>51</v>
      </c>
      <c r="AD1443" t="s">
        <v>45</v>
      </c>
      <c r="AE1443" s="1">
        <v>30207</v>
      </c>
      <c r="AF1443">
        <v>2</v>
      </c>
      <c r="AG1443" t="s">
        <v>224</v>
      </c>
      <c r="AH1443" s="36">
        <f t="shared" si="22"/>
        <v>36.805555555555557</v>
      </c>
      <c r="AI1443" s="40" t="s">
        <v>1778</v>
      </c>
    </row>
    <row r="1444" spans="1:35" x14ac:dyDescent="0.25">
      <c r="A1444" s="36">
        <v>99911442</v>
      </c>
      <c r="B1444" s="17" t="s">
        <v>32</v>
      </c>
      <c r="C1444" t="s">
        <v>90</v>
      </c>
      <c r="D1444" t="s">
        <v>91</v>
      </c>
      <c r="G1444" s="17" t="s">
        <v>35</v>
      </c>
      <c r="H1444" s="17">
        <v>1</v>
      </c>
      <c r="K1444" t="s">
        <v>1191</v>
      </c>
      <c r="L1444" t="s">
        <v>1192</v>
      </c>
      <c r="M1444" t="s">
        <v>1130</v>
      </c>
      <c r="N1444">
        <v>25</v>
      </c>
      <c r="O1444" t="s">
        <v>40</v>
      </c>
      <c r="P1444" t="s">
        <v>40</v>
      </c>
      <c r="Q1444" t="s">
        <v>40</v>
      </c>
      <c r="S1444" t="s">
        <v>40</v>
      </c>
      <c r="V1444" t="s">
        <v>41</v>
      </c>
      <c r="W1444" t="s">
        <v>95</v>
      </c>
      <c r="X1444" t="str">
        <f>"7221001"</f>
        <v>7221001</v>
      </c>
      <c r="Y1444" t="s">
        <v>1193</v>
      </c>
      <c r="Z1444" t="s">
        <v>1191</v>
      </c>
      <c r="AA1444" t="s">
        <v>1192</v>
      </c>
      <c r="AB1444" t="s">
        <v>1130</v>
      </c>
      <c r="AC1444" t="s">
        <v>51</v>
      </c>
      <c r="AD1444" t="s">
        <v>45</v>
      </c>
      <c r="AE1444" s="1">
        <v>30205</v>
      </c>
      <c r="AF1444">
        <v>1</v>
      </c>
      <c r="AG1444" t="s">
        <v>1192</v>
      </c>
      <c r="AH1444" s="36">
        <f t="shared" si="22"/>
        <v>36.81111111111111</v>
      </c>
      <c r="AI1444" s="40" t="s">
        <v>1778</v>
      </c>
    </row>
    <row r="1445" spans="1:35" x14ac:dyDescent="0.25">
      <c r="A1445" s="36">
        <v>99911443</v>
      </c>
      <c r="B1445" s="17" t="s">
        <v>32</v>
      </c>
      <c r="C1445" t="s">
        <v>64</v>
      </c>
      <c r="D1445" t="s">
        <v>65</v>
      </c>
      <c r="G1445" s="17" t="s">
        <v>35</v>
      </c>
      <c r="H1445" s="17">
        <v>1</v>
      </c>
      <c r="I1445" t="s">
        <v>1137</v>
      </c>
      <c r="J1445" s="1">
        <v>43344</v>
      </c>
      <c r="K1445" t="s">
        <v>1128</v>
      </c>
      <c r="L1445" t="s">
        <v>1129</v>
      </c>
      <c r="M1445" t="s">
        <v>1130</v>
      </c>
      <c r="N1445">
        <v>10</v>
      </c>
      <c r="O1445" t="s">
        <v>40</v>
      </c>
      <c r="P1445" t="s">
        <v>40</v>
      </c>
      <c r="Q1445" t="s">
        <v>40</v>
      </c>
      <c r="R1445" t="s">
        <v>40</v>
      </c>
      <c r="S1445" t="s">
        <v>40</v>
      </c>
      <c r="U1445" s="1">
        <v>43344</v>
      </c>
      <c r="V1445" t="s">
        <v>41</v>
      </c>
      <c r="W1445" t="s">
        <v>49</v>
      </c>
      <c r="X1445" t="str">
        <f>"3181015"</f>
        <v>3181015</v>
      </c>
      <c r="Y1445" t="s">
        <v>1131</v>
      </c>
      <c r="Z1445" t="s">
        <v>1128</v>
      </c>
      <c r="AA1445" t="s">
        <v>1129</v>
      </c>
      <c r="AB1445" t="s">
        <v>1130</v>
      </c>
      <c r="AC1445" t="s">
        <v>51</v>
      </c>
      <c r="AD1445" t="s">
        <v>45</v>
      </c>
      <c r="AE1445" s="1">
        <v>30200</v>
      </c>
      <c r="AF1445">
        <v>2</v>
      </c>
      <c r="AG1445" t="s">
        <v>1129</v>
      </c>
      <c r="AH1445" s="36">
        <f t="shared" si="22"/>
        <v>36.825000000000003</v>
      </c>
      <c r="AI1445" s="40" t="s">
        <v>1778</v>
      </c>
    </row>
    <row r="1446" spans="1:35" x14ac:dyDescent="0.25">
      <c r="A1446" s="36">
        <v>99911444</v>
      </c>
      <c r="B1446" s="17" t="s">
        <v>56</v>
      </c>
      <c r="C1446" t="s">
        <v>64</v>
      </c>
      <c r="D1446" t="s">
        <v>65</v>
      </c>
      <c r="G1446" s="17" t="s">
        <v>35</v>
      </c>
      <c r="H1446" s="17">
        <v>1</v>
      </c>
      <c r="I1446">
        <v>8138</v>
      </c>
      <c r="J1446" s="1">
        <v>43350</v>
      </c>
      <c r="K1446" t="s">
        <v>1051</v>
      </c>
      <c r="L1446" t="s">
        <v>1052</v>
      </c>
      <c r="M1446" t="s">
        <v>1053</v>
      </c>
      <c r="N1446">
        <v>19</v>
      </c>
      <c r="O1446" t="s">
        <v>40</v>
      </c>
      <c r="P1446" t="s">
        <v>40</v>
      </c>
      <c r="Q1446" t="s">
        <v>40</v>
      </c>
      <c r="S1446" t="s">
        <v>40</v>
      </c>
      <c r="U1446" s="1">
        <v>43350</v>
      </c>
      <c r="V1446" t="s">
        <v>41</v>
      </c>
      <c r="W1446" t="s">
        <v>49</v>
      </c>
      <c r="X1446" t="str">
        <f>"2060004"</f>
        <v>2060004</v>
      </c>
      <c r="Y1446" t="s">
        <v>1059</v>
      </c>
      <c r="Z1446" t="s">
        <v>1051</v>
      </c>
      <c r="AA1446" t="s">
        <v>1052</v>
      </c>
      <c r="AB1446" t="s">
        <v>1053</v>
      </c>
      <c r="AC1446" t="s">
        <v>51</v>
      </c>
      <c r="AD1446" t="s">
        <v>45</v>
      </c>
      <c r="AE1446" s="1">
        <v>30197</v>
      </c>
      <c r="AF1446">
        <v>2</v>
      </c>
      <c r="AG1446" t="s">
        <v>1052</v>
      </c>
      <c r="AH1446" s="36">
        <f t="shared" si="22"/>
        <v>36.833333333333336</v>
      </c>
      <c r="AI1446" s="40" t="s">
        <v>1778</v>
      </c>
    </row>
    <row r="1447" spans="1:35" x14ac:dyDescent="0.25">
      <c r="A1447" s="36">
        <v>99911445</v>
      </c>
      <c r="B1447" s="17" t="s">
        <v>32</v>
      </c>
      <c r="C1447" t="s">
        <v>111</v>
      </c>
      <c r="D1447" t="s">
        <v>112</v>
      </c>
      <c r="G1447" s="17" t="s">
        <v>35</v>
      </c>
      <c r="H1447" s="17">
        <v>1</v>
      </c>
      <c r="I1447" s="1">
        <v>40422</v>
      </c>
      <c r="J1447" s="1">
        <v>43344</v>
      </c>
      <c r="K1447" t="s">
        <v>1341</v>
      </c>
      <c r="L1447" t="s">
        <v>1342</v>
      </c>
      <c r="M1447" t="s">
        <v>1270</v>
      </c>
      <c r="N1447">
        <v>24</v>
      </c>
      <c r="O1447" t="s">
        <v>40</v>
      </c>
      <c r="S1447" t="s">
        <v>40</v>
      </c>
      <c r="U1447" s="1">
        <v>43344</v>
      </c>
      <c r="V1447" t="s">
        <v>41</v>
      </c>
      <c r="W1447" t="s">
        <v>75</v>
      </c>
      <c r="X1447" t="str">
        <f>"7191002"</f>
        <v>7191002</v>
      </c>
      <c r="Y1447" t="s">
        <v>1365</v>
      </c>
      <c r="Z1447" t="s">
        <v>1341</v>
      </c>
      <c r="AA1447" t="s">
        <v>1342</v>
      </c>
      <c r="AB1447" t="s">
        <v>1270</v>
      </c>
      <c r="AC1447" t="s">
        <v>51</v>
      </c>
      <c r="AD1447" t="s">
        <v>45</v>
      </c>
      <c r="AE1447" s="1">
        <v>30195</v>
      </c>
      <c r="AF1447">
        <v>1</v>
      </c>
      <c r="AG1447" t="s">
        <v>1342</v>
      </c>
      <c r="AH1447" s="36">
        <f t="shared" si="22"/>
        <v>36.838888888888889</v>
      </c>
      <c r="AI1447" s="40" t="s">
        <v>1778</v>
      </c>
    </row>
    <row r="1448" spans="1:35" x14ac:dyDescent="0.25">
      <c r="A1448" s="36">
        <v>99911446</v>
      </c>
      <c r="B1448" s="17" t="s">
        <v>32</v>
      </c>
      <c r="C1448" t="s">
        <v>52</v>
      </c>
      <c r="D1448" t="s">
        <v>53</v>
      </c>
      <c r="G1448" s="17" t="s">
        <v>35</v>
      </c>
      <c r="H1448" s="17">
        <v>1</v>
      </c>
      <c r="K1448" t="s">
        <v>1546</v>
      </c>
      <c r="L1448" t="s">
        <v>1547</v>
      </c>
      <c r="M1448" t="s">
        <v>1548</v>
      </c>
      <c r="N1448">
        <v>10</v>
      </c>
      <c r="O1448" t="s">
        <v>40</v>
      </c>
      <c r="P1448" t="s">
        <v>40</v>
      </c>
      <c r="Q1448" t="s">
        <v>40</v>
      </c>
      <c r="R1448" t="s">
        <v>40</v>
      </c>
      <c r="S1448" t="s">
        <v>40</v>
      </c>
      <c r="V1448" t="s">
        <v>41</v>
      </c>
      <c r="W1448" t="s">
        <v>49</v>
      </c>
      <c r="X1448" t="str">
        <f>"1081010"</f>
        <v>1081010</v>
      </c>
      <c r="Y1448" t="s">
        <v>1552</v>
      </c>
      <c r="Z1448" t="s">
        <v>1546</v>
      </c>
      <c r="AA1448" t="s">
        <v>1547</v>
      </c>
      <c r="AB1448" t="s">
        <v>1548</v>
      </c>
      <c r="AC1448" t="s">
        <v>51</v>
      </c>
      <c r="AD1448" t="s">
        <v>45</v>
      </c>
      <c r="AE1448" s="1">
        <v>30194</v>
      </c>
      <c r="AF1448">
        <v>2</v>
      </c>
      <c r="AG1448" t="s">
        <v>1547</v>
      </c>
      <c r="AH1448" s="36">
        <f t="shared" si="22"/>
        <v>36.841666666666669</v>
      </c>
      <c r="AI1448" s="40" t="s">
        <v>1778</v>
      </c>
    </row>
    <row r="1449" spans="1:35" x14ac:dyDescent="0.25">
      <c r="A1449" s="36">
        <v>99911447</v>
      </c>
      <c r="B1449" s="17" t="s">
        <v>32</v>
      </c>
      <c r="C1449" t="s">
        <v>64</v>
      </c>
      <c r="D1449" t="s">
        <v>65</v>
      </c>
      <c r="G1449" s="17" t="s">
        <v>35</v>
      </c>
      <c r="H1449" s="17">
        <v>1</v>
      </c>
      <c r="I1449">
        <v>24050</v>
      </c>
      <c r="J1449" s="1">
        <v>43344</v>
      </c>
      <c r="K1449" t="s">
        <v>380</v>
      </c>
      <c r="L1449" t="s">
        <v>381</v>
      </c>
      <c r="M1449" t="s">
        <v>131</v>
      </c>
      <c r="N1449">
        <v>3</v>
      </c>
      <c r="O1449" t="s">
        <v>40</v>
      </c>
      <c r="S1449" t="s">
        <v>40</v>
      </c>
      <c r="U1449" s="1">
        <v>43344</v>
      </c>
      <c r="V1449" t="s">
        <v>41</v>
      </c>
      <c r="W1449" t="s">
        <v>49</v>
      </c>
      <c r="X1449" t="str">
        <f>"0591908"</f>
        <v>0591908</v>
      </c>
      <c r="Y1449" t="s">
        <v>383</v>
      </c>
      <c r="Z1449" t="s">
        <v>380</v>
      </c>
      <c r="AA1449" t="s">
        <v>381</v>
      </c>
      <c r="AB1449" t="s">
        <v>131</v>
      </c>
      <c r="AC1449" t="s">
        <v>44</v>
      </c>
      <c r="AD1449" t="s">
        <v>45</v>
      </c>
      <c r="AE1449" s="1">
        <v>30193</v>
      </c>
      <c r="AF1449">
        <v>2</v>
      </c>
      <c r="AG1449" t="s">
        <v>381</v>
      </c>
      <c r="AH1449" s="36">
        <f t="shared" si="22"/>
        <v>36.844444444444441</v>
      </c>
      <c r="AI1449" s="40" t="s">
        <v>1778</v>
      </c>
    </row>
    <row r="1450" spans="1:35" x14ac:dyDescent="0.25">
      <c r="A1450" s="36">
        <v>99911448</v>
      </c>
      <c r="B1450" s="17" t="s">
        <v>32</v>
      </c>
      <c r="C1450" t="s">
        <v>64</v>
      </c>
      <c r="D1450" t="s">
        <v>65</v>
      </c>
      <c r="G1450" s="17" t="s">
        <v>48</v>
      </c>
      <c r="H1450" s="17">
        <v>1</v>
      </c>
      <c r="K1450" t="s">
        <v>431</v>
      </c>
      <c r="L1450" t="s">
        <v>196</v>
      </c>
      <c r="M1450" t="s">
        <v>131</v>
      </c>
      <c r="N1450">
        <v>24</v>
      </c>
      <c r="O1450" t="s">
        <v>40</v>
      </c>
      <c r="P1450" t="s">
        <v>40</v>
      </c>
      <c r="Q1450" t="s">
        <v>40</v>
      </c>
      <c r="S1450" t="s">
        <v>40</v>
      </c>
      <c r="V1450" t="s">
        <v>41</v>
      </c>
      <c r="W1450" t="s">
        <v>75</v>
      </c>
      <c r="X1450" t="str">
        <f>"7521016"</f>
        <v>7521016</v>
      </c>
      <c r="Y1450" t="s">
        <v>448</v>
      </c>
      <c r="Z1450" t="s">
        <v>431</v>
      </c>
      <c r="AA1450" t="s">
        <v>196</v>
      </c>
      <c r="AB1450" t="s">
        <v>131</v>
      </c>
      <c r="AC1450" t="s">
        <v>51</v>
      </c>
      <c r="AD1450" t="s">
        <v>45</v>
      </c>
      <c r="AE1450" s="1">
        <v>30193</v>
      </c>
      <c r="AF1450">
        <v>1</v>
      </c>
      <c r="AG1450" t="s">
        <v>196</v>
      </c>
      <c r="AH1450" s="36">
        <f t="shared" si="22"/>
        <v>36.844444444444441</v>
      </c>
      <c r="AI1450" s="40" t="s">
        <v>1778</v>
      </c>
    </row>
    <row r="1451" spans="1:35" x14ac:dyDescent="0.25">
      <c r="A1451" s="36">
        <v>99911449</v>
      </c>
      <c r="B1451" s="17" t="s">
        <v>32</v>
      </c>
      <c r="C1451" t="s">
        <v>111</v>
      </c>
      <c r="D1451" t="s">
        <v>112</v>
      </c>
      <c r="G1451" s="17" t="s">
        <v>48</v>
      </c>
      <c r="H1451" s="17">
        <v>1</v>
      </c>
      <c r="I1451" t="s">
        <v>565</v>
      </c>
      <c r="J1451" s="1">
        <v>42081</v>
      </c>
      <c r="K1451" t="s">
        <v>431</v>
      </c>
      <c r="L1451" t="s">
        <v>196</v>
      </c>
      <c r="M1451" t="s">
        <v>131</v>
      </c>
      <c r="N1451">
        <v>24</v>
      </c>
      <c r="O1451" t="s">
        <v>40</v>
      </c>
      <c r="P1451" t="s">
        <v>40</v>
      </c>
      <c r="Q1451" t="s">
        <v>40</v>
      </c>
      <c r="R1451" t="s">
        <v>40</v>
      </c>
      <c r="S1451" t="s">
        <v>40</v>
      </c>
      <c r="U1451" s="1">
        <v>42081</v>
      </c>
      <c r="V1451" t="s">
        <v>41</v>
      </c>
      <c r="W1451" t="s">
        <v>75</v>
      </c>
      <c r="X1451" t="str">
        <f>"7521016"</f>
        <v>7521016</v>
      </c>
      <c r="Y1451" t="s">
        <v>448</v>
      </c>
      <c r="Z1451" t="s">
        <v>431</v>
      </c>
      <c r="AA1451" t="s">
        <v>196</v>
      </c>
      <c r="AB1451" t="s">
        <v>131</v>
      </c>
      <c r="AC1451" t="s">
        <v>51</v>
      </c>
      <c r="AD1451" t="s">
        <v>45</v>
      </c>
      <c r="AE1451" s="1">
        <v>30191</v>
      </c>
      <c r="AF1451">
        <v>1</v>
      </c>
      <c r="AG1451" t="s">
        <v>196</v>
      </c>
      <c r="AH1451" s="36">
        <f t="shared" si="22"/>
        <v>36.85</v>
      </c>
      <c r="AI1451" s="40" t="s">
        <v>1778</v>
      </c>
    </row>
    <row r="1452" spans="1:35" x14ac:dyDescent="0.25">
      <c r="A1452" s="36">
        <v>99911450</v>
      </c>
      <c r="B1452" s="17" t="s">
        <v>56</v>
      </c>
      <c r="C1452" t="s">
        <v>61</v>
      </c>
      <c r="D1452" t="s">
        <v>62</v>
      </c>
      <c r="G1452" s="17" t="s">
        <v>35</v>
      </c>
      <c r="H1452" s="17">
        <v>3</v>
      </c>
      <c r="I1452" t="s">
        <v>508</v>
      </c>
      <c r="J1452" s="1">
        <v>42614</v>
      </c>
      <c r="K1452" t="s">
        <v>431</v>
      </c>
      <c r="L1452" t="s">
        <v>196</v>
      </c>
      <c r="M1452" t="s">
        <v>131</v>
      </c>
      <c r="N1452">
        <v>9</v>
      </c>
      <c r="O1452" t="s">
        <v>40</v>
      </c>
      <c r="P1452" t="s">
        <v>40</v>
      </c>
      <c r="Q1452" t="s">
        <v>40</v>
      </c>
      <c r="R1452" t="s">
        <v>40</v>
      </c>
      <c r="S1452" t="s">
        <v>40</v>
      </c>
      <c r="U1452" s="1">
        <v>42614</v>
      </c>
      <c r="V1452" t="s">
        <v>41</v>
      </c>
      <c r="W1452" t="s">
        <v>75</v>
      </c>
      <c r="X1452" t="str">
        <f>"7521054"</f>
        <v>7521054</v>
      </c>
      <c r="Y1452" t="s">
        <v>476</v>
      </c>
      <c r="Z1452" t="s">
        <v>431</v>
      </c>
      <c r="AA1452" t="s">
        <v>196</v>
      </c>
      <c r="AB1452" t="s">
        <v>131</v>
      </c>
      <c r="AC1452" t="s">
        <v>51</v>
      </c>
      <c r="AD1452" t="s">
        <v>45</v>
      </c>
      <c r="AE1452" s="1">
        <v>30187</v>
      </c>
      <c r="AF1452">
        <v>1</v>
      </c>
      <c r="AG1452" t="s">
        <v>196</v>
      </c>
      <c r="AH1452" s="36">
        <f t="shared" si="22"/>
        <v>36.861111111111114</v>
      </c>
      <c r="AI1452" s="40" t="s">
        <v>1778</v>
      </c>
    </row>
    <row r="1453" spans="1:35" x14ac:dyDescent="0.25">
      <c r="A1453" s="36">
        <v>99911451</v>
      </c>
      <c r="B1453" s="17" t="s">
        <v>32</v>
      </c>
      <c r="C1453" t="s">
        <v>46</v>
      </c>
      <c r="D1453" t="s">
        <v>47</v>
      </c>
      <c r="G1453" s="17" t="s">
        <v>48</v>
      </c>
      <c r="H1453" s="17">
        <v>1</v>
      </c>
      <c r="K1453" t="s">
        <v>157</v>
      </c>
      <c r="L1453" t="s">
        <v>158</v>
      </c>
      <c r="M1453" t="s">
        <v>131</v>
      </c>
      <c r="N1453">
        <v>22</v>
      </c>
      <c r="O1453" t="s">
        <v>40</v>
      </c>
      <c r="P1453" t="s">
        <v>40</v>
      </c>
      <c r="Q1453" t="s">
        <v>40</v>
      </c>
      <c r="S1453" t="s">
        <v>40</v>
      </c>
      <c r="V1453" t="s">
        <v>41</v>
      </c>
      <c r="W1453" t="s">
        <v>49</v>
      </c>
      <c r="X1453" t="str">
        <f>"0560019"</f>
        <v>0560019</v>
      </c>
      <c r="Y1453" t="s">
        <v>166</v>
      </c>
      <c r="Z1453" t="s">
        <v>157</v>
      </c>
      <c r="AA1453" t="s">
        <v>158</v>
      </c>
      <c r="AB1453" t="s">
        <v>131</v>
      </c>
      <c r="AC1453" t="s">
        <v>51</v>
      </c>
      <c r="AD1453" t="s">
        <v>45</v>
      </c>
      <c r="AE1453" s="1">
        <v>30183</v>
      </c>
      <c r="AF1453">
        <v>2</v>
      </c>
      <c r="AG1453" t="s">
        <v>158</v>
      </c>
      <c r="AH1453" s="36">
        <f t="shared" si="22"/>
        <v>36.87222222222222</v>
      </c>
      <c r="AI1453" s="40" t="s">
        <v>1778</v>
      </c>
    </row>
    <row r="1454" spans="1:35" x14ac:dyDescent="0.25">
      <c r="A1454" s="36">
        <v>99911452</v>
      </c>
      <c r="B1454" s="17" t="s">
        <v>32</v>
      </c>
      <c r="C1454" t="s">
        <v>111</v>
      </c>
      <c r="D1454" t="s">
        <v>112</v>
      </c>
      <c r="G1454" s="17" t="s">
        <v>35</v>
      </c>
      <c r="H1454" s="17">
        <v>1</v>
      </c>
      <c r="K1454" t="s">
        <v>154</v>
      </c>
      <c r="L1454" t="s">
        <v>155</v>
      </c>
      <c r="M1454" t="s">
        <v>131</v>
      </c>
      <c r="N1454">
        <v>23</v>
      </c>
      <c r="O1454" t="s">
        <v>40</v>
      </c>
      <c r="P1454" t="s">
        <v>40</v>
      </c>
      <c r="Q1454" t="s">
        <v>40</v>
      </c>
      <c r="S1454" t="s">
        <v>40</v>
      </c>
      <c r="V1454" t="s">
        <v>41</v>
      </c>
      <c r="W1454" t="s">
        <v>75</v>
      </c>
      <c r="X1454" t="str">
        <f>"7051014"</f>
        <v>7051014</v>
      </c>
      <c r="Y1454" t="s">
        <v>398</v>
      </c>
      <c r="Z1454" t="s">
        <v>154</v>
      </c>
      <c r="AA1454" t="s">
        <v>155</v>
      </c>
      <c r="AB1454" t="s">
        <v>131</v>
      </c>
      <c r="AC1454" t="s">
        <v>165</v>
      </c>
      <c r="AD1454" t="s">
        <v>45</v>
      </c>
      <c r="AE1454" s="1">
        <v>30182</v>
      </c>
      <c r="AF1454">
        <v>1</v>
      </c>
      <c r="AG1454" t="s">
        <v>155</v>
      </c>
      <c r="AH1454" s="36">
        <f t="shared" si="22"/>
        <v>36.875</v>
      </c>
      <c r="AI1454" s="40" t="s">
        <v>1778</v>
      </c>
    </row>
    <row r="1455" spans="1:35" x14ac:dyDescent="0.25">
      <c r="A1455" s="36">
        <v>99911453</v>
      </c>
      <c r="B1455" s="17" t="s">
        <v>32</v>
      </c>
      <c r="C1455" t="s">
        <v>111</v>
      </c>
      <c r="D1455" t="s">
        <v>112</v>
      </c>
      <c r="G1455" s="17" t="s">
        <v>35</v>
      </c>
      <c r="H1455" s="17">
        <v>1</v>
      </c>
      <c r="I1455" t="s">
        <v>664</v>
      </c>
      <c r="J1455" s="1">
        <v>43344</v>
      </c>
      <c r="K1455" t="s">
        <v>268</v>
      </c>
      <c r="L1455" t="s">
        <v>269</v>
      </c>
      <c r="M1455" t="s">
        <v>131</v>
      </c>
      <c r="N1455">
        <v>24</v>
      </c>
      <c r="O1455" t="s">
        <v>40</v>
      </c>
      <c r="S1455" t="s">
        <v>40</v>
      </c>
      <c r="U1455" s="1">
        <v>43344</v>
      </c>
      <c r="V1455" t="s">
        <v>41</v>
      </c>
      <c r="W1455" t="s">
        <v>75</v>
      </c>
      <c r="X1455" t="str">
        <f>"7052018"</f>
        <v>7052018</v>
      </c>
      <c r="Y1455" t="s">
        <v>577</v>
      </c>
      <c r="Z1455" t="s">
        <v>268</v>
      </c>
      <c r="AA1455" t="s">
        <v>269</v>
      </c>
      <c r="AB1455" t="s">
        <v>131</v>
      </c>
      <c r="AC1455" t="s">
        <v>44</v>
      </c>
      <c r="AD1455" t="s">
        <v>45</v>
      </c>
      <c r="AE1455" s="1">
        <v>30179</v>
      </c>
      <c r="AF1455">
        <v>1</v>
      </c>
      <c r="AG1455" t="s">
        <v>269</v>
      </c>
      <c r="AH1455" s="36">
        <f t="shared" si="22"/>
        <v>36.883333333333333</v>
      </c>
      <c r="AI1455" s="40" t="s">
        <v>1778</v>
      </c>
    </row>
    <row r="1456" spans="1:35" x14ac:dyDescent="0.25">
      <c r="A1456" s="36">
        <v>99911454</v>
      </c>
      <c r="B1456" s="17" t="s">
        <v>32</v>
      </c>
      <c r="C1456" t="s">
        <v>52</v>
      </c>
      <c r="D1456" t="s">
        <v>53</v>
      </c>
      <c r="G1456" s="17" t="s">
        <v>48</v>
      </c>
      <c r="H1456" s="17">
        <v>1</v>
      </c>
      <c r="K1456" t="s">
        <v>1268</v>
      </c>
      <c r="L1456" t="s">
        <v>1269</v>
      </c>
      <c r="M1456" t="s">
        <v>1270</v>
      </c>
      <c r="N1456">
        <v>21</v>
      </c>
      <c r="O1456" t="s">
        <v>40</v>
      </c>
      <c r="P1456" t="s">
        <v>40</v>
      </c>
      <c r="Q1456" t="s">
        <v>40</v>
      </c>
      <c r="S1456" t="s">
        <v>40</v>
      </c>
      <c r="V1456" t="s">
        <v>41</v>
      </c>
      <c r="W1456" t="s">
        <v>49</v>
      </c>
      <c r="X1456" t="str">
        <f>"1981914"</f>
        <v>1981914</v>
      </c>
      <c r="Y1456" t="s">
        <v>1287</v>
      </c>
      <c r="Z1456" t="s">
        <v>1268</v>
      </c>
      <c r="AA1456" t="s">
        <v>1269</v>
      </c>
      <c r="AB1456" t="s">
        <v>1270</v>
      </c>
      <c r="AC1456" t="s">
        <v>51</v>
      </c>
      <c r="AD1456" t="s">
        <v>45</v>
      </c>
      <c r="AE1456" s="1">
        <v>30179</v>
      </c>
      <c r="AF1456">
        <v>2</v>
      </c>
      <c r="AG1456" t="s">
        <v>1269</v>
      </c>
      <c r="AH1456" s="36">
        <f t="shared" si="22"/>
        <v>36.883333333333333</v>
      </c>
      <c r="AI1456" s="40" t="s">
        <v>1778</v>
      </c>
    </row>
    <row r="1457" spans="1:38" x14ac:dyDescent="0.25">
      <c r="A1457" s="36">
        <v>99911455</v>
      </c>
      <c r="B1457" s="17" t="s">
        <v>32</v>
      </c>
      <c r="C1457" t="s">
        <v>64</v>
      </c>
      <c r="D1457" t="s">
        <v>65</v>
      </c>
      <c r="G1457" s="17" t="s">
        <v>35</v>
      </c>
      <c r="H1457" s="17">
        <v>6</v>
      </c>
      <c r="I1457" t="s">
        <v>706</v>
      </c>
      <c r="J1457" s="1">
        <v>43388</v>
      </c>
      <c r="K1457" t="s">
        <v>268</v>
      </c>
      <c r="L1457" t="s">
        <v>269</v>
      </c>
      <c r="M1457" t="s">
        <v>131</v>
      </c>
      <c r="N1457">
        <v>24</v>
      </c>
      <c r="O1457" t="s">
        <v>40</v>
      </c>
      <c r="P1457" t="s">
        <v>40</v>
      </c>
      <c r="Q1457" t="s">
        <v>40</v>
      </c>
      <c r="R1457" t="s">
        <v>40</v>
      </c>
      <c r="S1457" t="s">
        <v>40</v>
      </c>
      <c r="U1457" s="1">
        <v>43388</v>
      </c>
      <c r="V1457" t="s">
        <v>41</v>
      </c>
      <c r="W1457" t="s">
        <v>75</v>
      </c>
      <c r="X1457" t="str">
        <f>"7052004"</f>
        <v>7052004</v>
      </c>
      <c r="Y1457" t="s">
        <v>584</v>
      </c>
      <c r="Z1457" t="s">
        <v>268</v>
      </c>
      <c r="AA1457" t="s">
        <v>269</v>
      </c>
      <c r="AB1457" t="s">
        <v>131</v>
      </c>
      <c r="AC1457" t="s">
        <v>51</v>
      </c>
      <c r="AD1457" t="s">
        <v>45</v>
      </c>
      <c r="AE1457" s="1">
        <v>30175</v>
      </c>
      <c r="AF1457">
        <v>1</v>
      </c>
      <c r="AG1457" t="s">
        <v>269</v>
      </c>
      <c r="AH1457" s="36">
        <f t="shared" si="22"/>
        <v>36.894444444444446</v>
      </c>
      <c r="AI1457" s="40" t="s">
        <v>1778</v>
      </c>
    </row>
    <row r="1458" spans="1:38" x14ac:dyDescent="0.25">
      <c r="A1458" s="36">
        <v>99911456</v>
      </c>
      <c r="B1458" s="17" t="s">
        <v>32</v>
      </c>
      <c r="C1458" t="s">
        <v>136</v>
      </c>
      <c r="D1458" t="s">
        <v>137</v>
      </c>
      <c r="G1458" s="17" t="s">
        <v>35</v>
      </c>
      <c r="H1458" s="17">
        <v>2</v>
      </c>
      <c r="K1458" t="s">
        <v>268</v>
      </c>
      <c r="L1458" t="s">
        <v>269</v>
      </c>
      <c r="M1458" t="s">
        <v>131</v>
      </c>
      <c r="N1458">
        <v>24</v>
      </c>
      <c r="O1458" t="s">
        <v>40</v>
      </c>
      <c r="P1458" t="s">
        <v>40</v>
      </c>
      <c r="Q1458" t="s">
        <v>40</v>
      </c>
      <c r="R1458" t="s">
        <v>40</v>
      </c>
      <c r="S1458" t="s">
        <v>40</v>
      </c>
      <c r="V1458" t="s">
        <v>41</v>
      </c>
      <c r="W1458" t="s">
        <v>75</v>
      </c>
      <c r="X1458" t="str">
        <f>"7052002"</f>
        <v>7052002</v>
      </c>
      <c r="Y1458" t="s">
        <v>590</v>
      </c>
      <c r="Z1458" t="s">
        <v>268</v>
      </c>
      <c r="AA1458" t="s">
        <v>269</v>
      </c>
      <c r="AB1458" t="s">
        <v>131</v>
      </c>
      <c r="AC1458" t="s">
        <v>51</v>
      </c>
      <c r="AD1458" t="s">
        <v>45</v>
      </c>
      <c r="AE1458" s="1">
        <v>30172</v>
      </c>
      <c r="AF1458">
        <v>1</v>
      </c>
      <c r="AG1458" t="s">
        <v>269</v>
      </c>
      <c r="AH1458" s="36">
        <f t="shared" si="22"/>
        <v>36.902777777777779</v>
      </c>
      <c r="AI1458" s="40" t="s">
        <v>1778</v>
      </c>
    </row>
    <row r="1459" spans="1:38" x14ac:dyDescent="0.25">
      <c r="A1459" s="36">
        <v>99911457</v>
      </c>
      <c r="B1459" s="17" t="s">
        <v>32</v>
      </c>
      <c r="C1459" t="s">
        <v>46</v>
      </c>
      <c r="D1459" t="s">
        <v>47</v>
      </c>
      <c r="G1459" s="17" t="s">
        <v>35</v>
      </c>
      <c r="H1459" s="17">
        <v>1</v>
      </c>
      <c r="K1459" t="s">
        <v>1268</v>
      </c>
      <c r="L1459" t="s">
        <v>1269</v>
      </c>
      <c r="M1459" t="s">
        <v>1270</v>
      </c>
      <c r="N1459">
        <v>21</v>
      </c>
      <c r="O1459" t="s">
        <v>40</v>
      </c>
      <c r="P1459" t="s">
        <v>40</v>
      </c>
      <c r="Q1459" t="s">
        <v>40</v>
      </c>
      <c r="R1459" t="s">
        <v>40</v>
      </c>
      <c r="S1459" t="s">
        <v>40</v>
      </c>
      <c r="V1459" t="s">
        <v>41</v>
      </c>
      <c r="W1459" t="s">
        <v>42</v>
      </c>
      <c r="X1459" t="str">
        <f>"1990001"</f>
        <v>1990001</v>
      </c>
      <c r="Y1459" t="s">
        <v>1294</v>
      </c>
      <c r="Z1459" t="s">
        <v>1268</v>
      </c>
      <c r="AA1459" t="s">
        <v>1269</v>
      </c>
      <c r="AB1459" t="s">
        <v>1270</v>
      </c>
      <c r="AC1459" t="s">
        <v>51</v>
      </c>
      <c r="AD1459" t="s">
        <v>45</v>
      </c>
      <c r="AE1459" s="1">
        <v>30170</v>
      </c>
      <c r="AF1459">
        <v>2</v>
      </c>
      <c r="AG1459" t="s">
        <v>1269</v>
      </c>
      <c r="AH1459" s="36">
        <f t="shared" si="22"/>
        <v>36.908333333333331</v>
      </c>
      <c r="AI1459" s="40" t="s">
        <v>1778</v>
      </c>
    </row>
    <row r="1460" spans="1:38" x14ac:dyDescent="0.25">
      <c r="A1460" s="36">
        <v>99911458</v>
      </c>
      <c r="B1460" s="17" t="s">
        <v>32</v>
      </c>
      <c r="C1460" t="s">
        <v>71</v>
      </c>
      <c r="D1460" t="s">
        <v>72</v>
      </c>
      <c r="G1460" s="17" t="s">
        <v>88</v>
      </c>
      <c r="H1460" s="17">
        <v>2</v>
      </c>
      <c r="I1460" t="s">
        <v>488</v>
      </c>
      <c r="J1460" s="1">
        <v>41883</v>
      </c>
      <c r="K1460" t="s">
        <v>195</v>
      </c>
      <c r="L1460" t="s">
        <v>196</v>
      </c>
      <c r="M1460" t="s">
        <v>131</v>
      </c>
      <c r="N1460">
        <v>19</v>
      </c>
      <c r="O1460" t="s">
        <v>40</v>
      </c>
      <c r="P1460" t="s">
        <v>40</v>
      </c>
      <c r="Q1460" t="s">
        <v>40</v>
      </c>
      <c r="R1460" t="s">
        <v>40</v>
      </c>
      <c r="S1460" t="s">
        <v>40</v>
      </c>
      <c r="U1460" s="1">
        <v>41883</v>
      </c>
      <c r="V1460" t="s">
        <v>41</v>
      </c>
      <c r="W1460" t="s">
        <v>75</v>
      </c>
      <c r="X1460" t="str">
        <f>"7521050"</f>
        <v>7521050</v>
      </c>
      <c r="Y1460" t="s">
        <v>194</v>
      </c>
      <c r="Z1460" t="s">
        <v>195</v>
      </c>
      <c r="AA1460" t="s">
        <v>196</v>
      </c>
      <c r="AB1460" t="s">
        <v>131</v>
      </c>
      <c r="AC1460" t="s">
        <v>51</v>
      </c>
      <c r="AD1460" t="s">
        <v>45</v>
      </c>
      <c r="AE1460" s="1">
        <v>30168</v>
      </c>
      <c r="AF1460">
        <v>1</v>
      </c>
      <c r="AG1460" t="s">
        <v>196</v>
      </c>
      <c r="AH1460" s="36">
        <f t="shared" si="22"/>
        <v>36.913888888888891</v>
      </c>
      <c r="AI1460" s="40" t="s">
        <v>1778</v>
      </c>
    </row>
    <row r="1461" spans="1:38" x14ac:dyDescent="0.25">
      <c r="A1461" s="36">
        <v>99911459</v>
      </c>
      <c r="B1461" s="17" t="s">
        <v>32</v>
      </c>
      <c r="C1461" t="s">
        <v>46</v>
      </c>
      <c r="D1461" t="s">
        <v>47</v>
      </c>
      <c r="G1461" s="17" t="s">
        <v>48</v>
      </c>
      <c r="H1461" s="17">
        <v>1</v>
      </c>
      <c r="K1461" t="s">
        <v>1268</v>
      </c>
      <c r="L1461" t="s">
        <v>1269</v>
      </c>
      <c r="M1461" t="s">
        <v>1270</v>
      </c>
      <c r="N1461">
        <v>21</v>
      </c>
      <c r="O1461" t="s">
        <v>40</v>
      </c>
      <c r="P1461" t="s">
        <v>40</v>
      </c>
      <c r="Q1461" t="s">
        <v>40</v>
      </c>
      <c r="R1461" t="s">
        <v>40</v>
      </c>
      <c r="S1461" t="s">
        <v>40</v>
      </c>
      <c r="V1461" t="s">
        <v>41</v>
      </c>
      <c r="W1461" t="s">
        <v>42</v>
      </c>
      <c r="X1461" t="str">
        <f>"1990911"</f>
        <v>1990911</v>
      </c>
      <c r="Y1461" t="s">
        <v>1276</v>
      </c>
      <c r="Z1461" t="s">
        <v>1268</v>
      </c>
      <c r="AA1461" t="s">
        <v>1269</v>
      </c>
      <c r="AB1461" t="s">
        <v>1270</v>
      </c>
      <c r="AC1461" t="s">
        <v>51</v>
      </c>
      <c r="AD1461" t="s">
        <v>45</v>
      </c>
      <c r="AE1461" s="1">
        <v>30168</v>
      </c>
      <c r="AF1461">
        <v>2</v>
      </c>
      <c r="AG1461" t="s">
        <v>1269</v>
      </c>
      <c r="AH1461" s="36">
        <f t="shared" si="22"/>
        <v>36.913888888888891</v>
      </c>
      <c r="AI1461" s="40" t="s">
        <v>1778</v>
      </c>
    </row>
    <row r="1462" spans="1:38" x14ac:dyDescent="0.25">
      <c r="A1462" s="36">
        <v>99911460</v>
      </c>
      <c r="B1462" s="17" t="s">
        <v>56</v>
      </c>
      <c r="C1462" t="s">
        <v>68</v>
      </c>
      <c r="D1462" t="s">
        <v>69</v>
      </c>
      <c r="G1462" s="17" t="s">
        <v>35</v>
      </c>
      <c r="H1462" s="17">
        <v>1</v>
      </c>
      <c r="K1462" t="s">
        <v>300</v>
      </c>
      <c r="L1462" t="s">
        <v>301</v>
      </c>
      <c r="M1462" t="s">
        <v>131</v>
      </c>
      <c r="N1462">
        <v>10</v>
      </c>
      <c r="O1462" t="s">
        <v>40</v>
      </c>
      <c r="P1462" t="s">
        <v>40</v>
      </c>
      <c r="Q1462" t="s">
        <v>40</v>
      </c>
      <c r="R1462" t="s">
        <v>40</v>
      </c>
      <c r="S1462" t="s">
        <v>40</v>
      </c>
      <c r="V1462" t="s">
        <v>41</v>
      </c>
      <c r="W1462" t="s">
        <v>42</v>
      </c>
      <c r="X1462" t="str">
        <f>"0580457"</f>
        <v>0580457</v>
      </c>
      <c r="Y1462" t="s">
        <v>310</v>
      </c>
      <c r="Z1462" t="s">
        <v>300</v>
      </c>
      <c r="AA1462" t="s">
        <v>301</v>
      </c>
      <c r="AB1462" t="s">
        <v>131</v>
      </c>
      <c r="AC1462" t="s">
        <v>51</v>
      </c>
      <c r="AD1462" t="s">
        <v>45</v>
      </c>
      <c r="AE1462" s="1">
        <v>30167</v>
      </c>
      <c r="AF1462">
        <v>2</v>
      </c>
      <c r="AG1462" t="s">
        <v>301</v>
      </c>
      <c r="AH1462" s="36">
        <f t="shared" si="22"/>
        <v>36.916666666666664</v>
      </c>
      <c r="AI1462" s="40" t="s">
        <v>1778</v>
      </c>
    </row>
    <row r="1463" spans="1:38" x14ac:dyDescent="0.25">
      <c r="A1463" s="36">
        <v>99911461</v>
      </c>
      <c r="B1463" s="17" t="s">
        <v>32</v>
      </c>
      <c r="C1463" t="s">
        <v>46</v>
      </c>
      <c r="D1463" t="s">
        <v>47</v>
      </c>
      <c r="G1463" s="17" t="s">
        <v>48</v>
      </c>
      <c r="H1463" s="17">
        <v>7</v>
      </c>
      <c r="K1463" t="s">
        <v>37</v>
      </c>
      <c r="L1463" t="s">
        <v>38</v>
      </c>
      <c r="M1463" t="s">
        <v>39</v>
      </c>
      <c r="N1463">
        <v>21</v>
      </c>
      <c r="O1463" t="s">
        <v>40</v>
      </c>
      <c r="P1463" t="s">
        <v>40</v>
      </c>
      <c r="Q1463" t="s">
        <v>40</v>
      </c>
      <c r="R1463" t="s">
        <v>40</v>
      </c>
      <c r="S1463" t="s">
        <v>40</v>
      </c>
      <c r="V1463" t="s">
        <v>41</v>
      </c>
      <c r="W1463" t="s">
        <v>49</v>
      </c>
      <c r="X1463" t="str">
        <f>"3781010"</f>
        <v>3781010</v>
      </c>
      <c r="Y1463" t="s">
        <v>50</v>
      </c>
      <c r="Z1463" t="s">
        <v>37</v>
      </c>
      <c r="AA1463" t="s">
        <v>38</v>
      </c>
      <c r="AB1463" t="s">
        <v>39</v>
      </c>
      <c r="AC1463" t="s">
        <v>51</v>
      </c>
      <c r="AD1463" t="s">
        <v>45</v>
      </c>
      <c r="AE1463" s="1">
        <v>30159</v>
      </c>
      <c r="AF1463">
        <v>2</v>
      </c>
      <c r="AG1463" t="s">
        <v>38</v>
      </c>
      <c r="AH1463" s="36">
        <f t="shared" si="22"/>
        <v>36.93888888888889</v>
      </c>
      <c r="AI1463" s="40" t="s">
        <v>1778</v>
      </c>
      <c r="AJ1463" s="37"/>
      <c r="AK1463" s="36"/>
      <c r="AL1463" s="36"/>
    </row>
    <row r="1464" spans="1:38" x14ac:dyDescent="0.25">
      <c r="A1464" s="36">
        <v>99911462</v>
      </c>
      <c r="B1464" s="17" t="s">
        <v>32</v>
      </c>
      <c r="C1464" t="s">
        <v>111</v>
      </c>
      <c r="D1464" t="s">
        <v>112</v>
      </c>
      <c r="G1464" s="17" t="s">
        <v>35</v>
      </c>
      <c r="H1464" s="17">
        <v>1</v>
      </c>
      <c r="I1464">
        <v>0</v>
      </c>
      <c r="J1464" s="1">
        <v>43344</v>
      </c>
      <c r="K1464" t="s">
        <v>985</v>
      </c>
      <c r="L1464" t="s">
        <v>986</v>
      </c>
      <c r="M1464" t="s">
        <v>938</v>
      </c>
      <c r="N1464">
        <v>22</v>
      </c>
      <c r="O1464" t="s">
        <v>40</v>
      </c>
      <c r="S1464" t="s">
        <v>40</v>
      </c>
      <c r="U1464" s="1">
        <v>43344</v>
      </c>
      <c r="V1464" t="s">
        <v>41</v>
      </c>
      <c r="W1464" t="s">
        <v>75</v>
      </c>
      <c r="X1464" t="str">
        <f>"7011004"</f>
        <v>7011004</v>
      </c>
      <c r="Y1464" t="s">
        <v>987</v>
      </c>
      <c r="Z1464" t="s">
        <v>985</v>
      </c>
      <c r="AA1464" t="s">
        <v>986</v>
      </c>
      <c r="AB1464" t="s">
        <v>938</v>
      </c>
      <c r="AC1464" t="s">
        <v>51</v>
      </c>
      <c r="AD1464" t="s">
        <v>45</v>
      </c>
      <c r="AE1464" s="1">
        <v>30146</v>
      </c>
      <c r="AF1464">
        <v>1</v>
      </c>
      <c r="AG1464" t="s">
        <v>986</v>
      </c>
      <c r="AH1464" s="36">
        <f t="shared" si="22"/>
        <v>36.975000000000001</v>
      </c>
      <c r="AI1464" s="40" t="s">
        <v>1778</v>
      </c>
    </row>
    <row r="1465" spans="1:38" x14ac:dyDescent="0.25">
      <c r="A1465" s="36">
        <v>99911463</v>
      </c>
      <c r="B1465" s="17" t="s">
        <v>56</v>
      </c>
      <c r="C1465" t="s">
        <v>111</v>
      </c>
      <c r="D1465" t="s">
        <v>112</v>
      </c>
      <c r="G1465" s="17" t="s">
        <v>35</v>
      </c>
      <c r="H1465" s="17">
        <v>1</v>
      </c>
      <c r="I1465" s="1">
        <v>42979</v>
      </c>
      <c r="J1465" s="1">
        <v>43344</v>
      </c>
      <c r="K1465" t="s">
        <v>1341</v>
      </c>
      <c r="L1465" t="s">
        <v>1342</v>
      </c>
      <c r="M1465" t="s">
        <v>1270</v>
      </c>
      <c r="N1465">
        <v>24</v>
      </c>
      <c r="O1465" t="s">
        <v>40</v>
      </c>
      <c r="S1465" t="s">
        <v>40</v>
      </c>
      <c r="U1465" s="1">
        <v>43344</v>
      </c>
      <c r="V1465" t="s">
        <v>41</v>
      </c>
      <c r="W1465" t="s">
        <v>75</v>
      </c>
      <c r="X1465" t="str">
        <f>"7191034"</f>
        <v>7191034</v>
      </c>
      <c r="Y1465" t="s">
        <v>1343</v>
      </c>
      <c r="Z1465" t="s">
        <v>1341</v>
      </c>
      <c r="AA1465" t="s">
        <v>1342</v>
      </c>
      <c r="AB1465" t="s">
        <v>1270</v>
      </c>
      <c r="AC1465" t="s">
        <v>44</v>
      </c>
      <c r="AD1465" t="s">
        <v>45</v>
      </c>
      <c r="AE1465" s="1">
        <v>30146</v>
      </c>
      <c r="AF1465">
        <v>1</v>
      </c>
      <c r="AG1465" t="s">
        <v>1342</v>
      </c>
      <c r="AH1465" s="36">
        <f t="shared" si="22"/>
        <v>36.975000000000001</v>
      </c>
      <c r="AI1465" s="40" t="s">
        <v>1778</v>
      </c>
    </row>
    <row r="1466" spans="1:38" x14ac:dyDescent="0.25">
      <c r="A1466" s="36">
        <v>99911464</v>
      </c>
      <c r="B1466" s="17" t="s">
        <v>32</v>
      </c>
      <c r="C1466" t="s">
        <v>61</v>
      </c>
      <c r="D1466" t="s">
        <v>62</v>
      </c>
      <c r="G1466" s="17" t="s">
        <v>35</v>
      </c>
      <c r="H1466" s="17">
        <v>6</v>
      </c>
      <c r="I1466" t="s">
        <v>734</v>
      </c>
      <c r="J1466" s="1">
        <v>43344</v>
      </c>
      <c r="K1466" t="s">
        <v>268</v>
      </c>
      <c r="L1466" t="s">
        <v>269</v>
      </c>
      <c r="M1466" t="s">
        <v>131</v>
      </c>
      <c r="N1466">
        <v>24</v>
      </c>
      <c r="O1466" t="s">
        <v>40</v>
      </c>
      <c r="P1466" t="s">
        <v>40</v>
      </c>
      <c r="Q1466" t="s">
        <v>40</v>
      </c>
      <c r="R1466" t="s">
        <v>40</v>
      </c>
      <c r="S1466" t="s">
        <v>40</v>
      </c>
      <c r="U1466" s="1">
        <v>43344</v>
      </c>
      <c r="V1466" t="s">
        <v>41</v>
      </c>
      <c r="W1466" t="s">
        <v>75</v>
      </c>
      <c r="X1466" t="str">
        <f>"7052002"</f>
        <v>7052002</v>
      </c>
      <c r="Y1466" t="s">
        <v>590</v>
      </c>
      <c r="Z1466" t="s">
        <v>268</v>
      </c>
      <c r="AA1466" t="s">
        <v>269</v>
      </c>
      <c r="AB1466" t="s">
        <v>131</v>
      </c>
      <c r="AC1466" t="s">
        <v>51</v>
      </c>
      <c r="AD1466" t="s">
        <v>45</v>
      </c>
      <c r="AE1466" s="1">
        <v>30141</v>
      </c>
      <c r="AF1466">
        <v>1</v>
      </c>
      <c r="AG1466" t="s">
        <v>269</v>
      </c>
      <c r="AH1466" s="36">
        <f t="shared" si="22"/>
        <v>36.988888888888887</v>
      </c>
      <c r="AI1466" s="40" t="s">
        <v>1778</v>
      </c>
    </row>
    <row r="1467" spans="1:38" x14ac:dyDescent="0.25">
      <c r="A1467" s="36">
        <v>99911465</v>
      </c>
      <c r="B1467" s="17" t="s">
        <v>32</v>
      </c>
      <c r="C1467" t="s">
        <v>139</v>
      </c>
      <c r="D1467" t="s">
        <v>140</v>
      </c>
      <c r="G1467" s="17" t="s">
        <v>48</v>
      </c>
      <c r="H1467" s="17">
        <v>1</v>
      </c>
      <c r="K1467" t="s">
        <v>1546</v>
      </c>
      <c r="L1467" t="s">
        <v>1547</v>
      </c>
      <c r="M1467" t="s">
        <v>1548</v>
      </c>
      <c r="N1467">
        <v>21</v>
      </c>
      <c r="O1467" t="s">
        <v>40</v>
      </c>
      <c r="P1467" t="s">
        <v>40</v>
      </c>
      <c r="Q1467" t="s">
        <v>40</v>
      </c>
      <c r="S1467" t="s">
        <v>40</v>
      </c>
      <c r="V1467" t="s">
        <v>41</v>
      </c>
      <c r="W1467" t="s">
        <v>49</v>
      </c>
      <c r="X1467" t="str">
        <f>"1060001"</f>
        <v>1060001</v>
      </c>
      <c r="Y1467" t="s">
        <v>1553</v>
      </c>
      <c r="Z1467" t="s">
        <v>1546</v>
      </c>
      <c r="AA1467" t="s">
        <v>1547</v>
      </c>
      <c r="AB1467" t="s">
        <v>1548</v>
      </c>
      <c r="AC1467" t="s">
        <v>51</v>
      </c>
      <c r="AD1467" t="s">
        <v>45</v>
      </c>
      <c r="AE1467" s="1">
        <v>30137</v>
      </c>
      <c r="AF1467">
        <v>2</v>
      </c>
      <c r="AG1467" t="s">
        <v>1547</v>
      </c>
      <c r="AH1467" s="36">
        <f t="shared" si="22"/>
        <v>37</v>
      </c>
      <c r="AI1467" s="40" t="s">
        <v>1778</v>
      </c>
    </row>
    <row r="1468" spans="1:38" x14ac:dyDescent="0.25">
      <c r="A1468" s="36">
        <v>99911466</v>
      </c>
      <c r="B1468" s="17" t="s">
        <v>56</v>
      </c>
      <c r="C1468" t="s">
        <v>111</v>
      </c>
      <c r="D1468" t="s">
        <v>112</v>
      </c>
      <c r="G1468" s="17" t="s">
        <v>35</v>
      </c>
      <c r="H1468" s="17">
        <v>1</v>
      </c>
      <c r="I1468" t="s">
        <v>1025</v>
      </c>
      <c r="J1468" s="1">
        <v>43344</v>
      </c>
      <c r="K1468" t="s">
        <v>963</v>
      </c>
      <c r="L1468" t="s">
        <v>964</v>
      </c>
      <c r="M1468" t="s">
        <v>938</v>
      </c>
      <c r="N1468">
        <v>24</v>
      </c>
      <c r="O1468" t="s">
        <v>40</v>
      </c>
      <c r="P1468" t="s">
        <v>40</v>
      </c>
      <c r="Q1468" t="s">
        <v>40</v>
      </c>
      <c r="R1468" t="s">
        <v>40</v>
      </c>
      <c r="S1468" t="s">
        <v>40</v>
      </c>
      <c r="U1468" s="1">
        <v>43344</v>
      </c>
      <c r="V1468" t="s">
        <v>41</v>
      </c>
      <c r="W1468" t="s">
        <v>75</v>
      </c>
      <c r="X1468" t="str">
        <f>"7061004"</f>
        <v>7061004</v>
      </c>
      <c r="Y1468" t="s">
        <v>1002</v>
      </c>
      <c r="Z1468" t="s">
        <v>963</v>
      </c>
      <c r="AA1468" t="s">
        <v>964</v>
      </c>
      <c r="AB1468" t="s">
        <v>938</v>
      </c>
      <c r="AC1468" t="s">
        <v>44</v>
      </c>
      <c r="AD1468" t="s">
        <v>45</v>
      </c>
      <c r="AE1468" s="1">
        <v>30135</v>
      </c>
      <c r="AF1468">
        <v>1</v>
      </c>
      <c r="AG1468" t="s">
        <v>964</v>
      </c>
      <c r="AH1468" s="36">
        <f t="shared" si="22"/>
        <v>37.005555555555553</v>
      </c>
      <c r="AI1468" s="40" t="s">
        <v>1778</v>
      </c>
    </row>
    <row r="1469" spans="1:38" x14ac:dyDescent="0.25">
      <c r="A1469" s="36">
        <v>99911467</v>
      </c>
      <c r="B1469" s="17" t="s">
        <v>32</v>
      </c>
      <c r="C1469" t="s">
        <v>90</v>
      </c>
      <c r="D1469" t="s">
        <v>91</v>
      </c>
      <c r="G1469" s="17" t="s">
        <v>48</v>
      </c>
      <c r="H1469" s="17">
        <v>1</v>
      </c>
      <c r="K1469" t="s">
        <v>1081</v>
      </c>
      <c r="L1469" t="s">
        <v>1082</v>
      </c>
      <c r="M1469" t="s">
        <v>1053</v>
      </c>
      <c r="N1469">
        <v>25</v>
      </c>
      <c r="O1469" t="s">
        <v>40</v>
      </c>
      <c r="P1469" t="s">
        <v>40</v>
      </c>
      <c r="Q1469" t="s">
        <v>40</v>
      </c>
      <c r="S1469" t="s">
        <v>40</v>
      </c>
      <c r="V1469" t="s">
        <v>41</v>
      </c>
      <c r="W1469" t="s">
        <v>95</v>
      </c>
      <c r="X1469" t="str">
        <f>"7201017"</f>
        <v>7201017</v>
      </c>
      <c r="Y1469" t="s">
        <v>1101</v>
      </c>
      <c r="Z1469" t="s">
        <v>1081</v>
      </c>
      <c r="AA1469" t="s">
        <v>1082</v>
      </c>
      <c r="AB1469" t="s">
        <v>1053</v>
      </c>
      <c r="AC1469" t="s">
        <v>51</v>
      </c>
      <c r="AD1469" t="s">
        <v>45</v>
      </c>
      <c r="AE1469" s="1">
        <v>30135</v>
      </c>
      <c r="AF1469">
        <v>1</v>
      </c>
      <c r="AG1469" t="s">
        <v>1082</v>
      </c>
      <c r="AH1469" s="36">
        <f t="shared" si="22"/>
        <v>37.005555555555553</v>
      </c>
      <c r="AI1469" s="40" t="s">
        <v>1778</v>
      </c>
    </row>
    <row r="1470" spans="1:38" x14ac:dyDescent="0.25">
      <c r="A1470" s="36">
        <v>99911468</v>
      </c>
      <c r="B1470" s="17" t="s">
        <v>32</v>
      </c>
      <c r="C1470" t="s">
        <v>90</v>
      </c>
      <c r="D1470" t="s">
        <v>91</v>
      </c>
      <c r="G1470" s="17" t="s">
        <v>48</v>
      </c>
      <c r="H1470" s="17">
        <v>1</v>
      </c>
      <c r="K1470" t="s">
        <v>1725</v>
      </c>
      <c r="L1470" t="s">
        <v>1726</v>
      </c>
      <c r="M1470" t="s">
        <v>1705</v>
      </c>
      <c r="N1470">
        <v>25</v>
      </c>
      <c r="O1470" t="s">
        <v>40</v>
      </c>
      <c r="P1470" t="s">
        <v>40</v>
      </c>
      <c r="Q1470" t="s">
        <v>40</v>
      </c>
      <c r="S1470" t="s">
        <v>40</v>
      </c>
      <c r="V1470" t="s">
        <v>41</v>
      </c>
      <c r="W1470" t="s">
        <v>95</v>
      </c>
      <c r="X1470" t="str">
        <f>"7461011"</f>
        <v>7461011</v>
      </c>
      <c r="Y1470" t="s">
        <v>1733</v>
      </c>
      <c r="Z1470" t="s">
        <v>1725</v>
      </c>
      <c r="AA1470" t="s">
        <v>1726</v>
      </c>
      <c r="AB1470" t="s">
        <v>1705</v>
      </c>
      <c r="AC1470" t="s">
        <v>51</v>
      </c>
      <c r="AD1470" t="s">
        <v>45</v>
      </c>
      <c r="AE1470" s="1">
        <v>30133</v>
      </c>
      <c r="AF1470">
        <v>1</v>
      </c>
      <c r="AG1470" t="s">
        <v>1726</v>
      </c>
      <c r="AH1470" s="36">
        <f t="shared" si="22"/>
        <v>37.011111111111113</v>
      </c>
      <c r="AI1470" s="40" t="s">
        <v>1778</v>
      </c>
    </row>
    <row r="1471" spans="1:38" x14ac:dyDescent="0.25">
      <c r="A1471" s="36">
        <v>99911469</v>
      </c>
      <c r="B1471" s="17" t="s">
        <v>32</v>
      </c>
      <c r="C1471" t="s">
        <v>1686</v>
      </c>
      <c r="D1471" t="s">
        <v>1687</v>
      </c>
      <c r="G1471" s="17" t="s">
        <v>35</v>
      </c>
      <c r="H1471" s="17">
        <v>1</v>
      </c>
      <c r="I1471" t="s">
        <v>1688</v>
      </c>
      <c r="J1471" s="1">
        <v>43344</v>
      </c>
      <c r="K1471" t="s">
        <v>1619</v>
      </c>
      <c r="L1471" t="s">
        <v>1620</v>
      </c>
      <c r="M1471" t="s">
        <v>1592</v>
      </c>
      <c r="N1471">
        <v>7</v>
      </c>
      <c r="O1471" t="s">
        <v>40</v>
      </c>
      <c r="P1471" t="s">
        <v>40</v>
      </c>
      <c r="Q1471" t="s">
        <v>40</v>
      </c>
      <c r="R1471" t="s">
        <v>40</v>
      </c>
      <c r="S1471" t="s">
        <v>40</v>
      </c>
      <c r="U1471" s="1">
        <v>43344</v>
      </c>
      <c r="V1471" t="s">
        <v>41</v>
      </c>
      <c r="W1471" t="s">
        <v>75</v>
      </c>
      <c r="X1471" t="str">
        <f>"7281000"</f>
        <v>7281000</v>
      </c>
      <c r="Y1471" t="s">
        <v>1648</v>
      </c>
      <c r="Z1471" t="s">
        <v>1619</v>
      </c>
      <c r="AA1471" t="s">
        <v>1620</v>
      </c>
      <c r="AB1471" t="s">
        <v>1592</v>
      </c>
      <c r="AC1471" t="s">
        <v>44</v>
      </c>
      <c r="AD1471" t="s">
        <v>45</v>
      </c>
      <c r="AE1471" s="1">
        <v>30131</v>
      </c>
      <c r="AF1471">
        <v>1</v>
      </c>
      <c r="AG1471" t="s">
        <v>1620</v>
      </c>
      <c r="AH1471" s="36">
        <f t="shared" si="22"/>
        <v>37.016666666666666</v>
      </c>
      <c r="AI1471" s="40" t="s">
        <v>1778</v>
      </c>
    </row>
    <row r="1472" spans="1:38" x14ac:dyDescent="0.25">
      <c r="A1472" s="36">
        <v>99911470</v>
      </c>
      <c r="B1472" s="17" t="s">
        <v>32</v>
      </c>
      <c r="C1472" t="s">
        <v>90</v>
      </c>
      <c r="D1472" t="s">
        <v>91</v>
      </c>
      <c r="G1472" s="17" t="s">
        <v>48</v>
      </c>
      <c r="H1472" s="17">
        <v>1</v>
      </c>
      <c r="K1472" t="s">
        <v>268</v>
      </c>
      <c r="L1472" t="s">
        <v>269</v>
      </c>
      <c r="M1472" t="s">
        <v>131</v>
      </c>
      <c r="N1472">
        <v>30</v>
      </c>
      <c r="O1472" t="s">
        <v>40</v>
      </c>
      <c r="P1472" t="s">
        <v>40</v>
      </c>
      <c r="Q1472" t="s">
        <v>40</v>
      </c>
      <c r="R1472" t="s">
        <v>40</v>
      </c>
      <c r="S1472" t="s">
        <v>40</v>
      </c>
      <c r="V1472" t="s">
        <v>41</v>
      </c>
      <c r="W1472" t="s">
        <v>95</v>
      </c>
      <c r="X1472" t="str">
        <f>"7052077"</f>
        <v>7052077</v>
      </c>
      <c r="Y1472" t="s">
        <v>745</v>
      </c>
      <c r="Z1472" t="s">
        <v>268</v>
      </c>
      <c r="AA1472" t="s">
        <v>269</v>
      </c>
      <c r="AB1472" t="s">
        <v>131</v>
      </c>
      <c r="AC1472" t="s">
        <v>51</v>
      </c>
      <c r="AD1472" t="s">
        <v>45</v>
      </c>
      <c r="AE1472" s="1">
        <v>30127</v>
      </c>
      <c r="AF1472">
        <v>1</v>
      </c>
      <c r="AG1472" t="s">
        <v>269</v>
      </c>
      <c r="AH1472" s="36">
        <f t="shared" si="22"/>
        <v>37.027777777777779</v>
      </c>
      <c r="AI1472" s="40" t="s">
        <v>1778</v>
      </c>
    </row>
    <row r="1473" spans="1:35" x14ac:dyDescent="0.25">
      <c r="A1473" s="36">
        <v>99911471</v>
      </c>
      <c r="B1473" s="17" t="s">
        <v>32</v>
      </c>
      <c r="C1473" t="s">
        <v>71</v>
      </c>
      <c r="D1473" t="s">
        <v>72</v>
      </c>
      <c r="G1473" s="17" t="s">
        <v>35</v>
      </c>
      <c r="H1473" s="17">
        <v>1</v>
      </c>
      <c r="K1473" t="s">
        <v>223</v>
      </c>
      <c r="L1473" t="s">
        <v>224</v>
      </c>
      <c r="M1473" t="s">
        <v>131</v>
      </c>
      <c r="N1473">
        <v>6</v>
      </c>
      <c r="O1473" t="s">
        <v>40</v>
      </c>
      <c r="P1473" t="s">
        <v>40</v>
      </c>
      <c r="Q1473" t="s">
        <v>40</v>
      </c>
      <c r="R1473" t="s">
        <v>40</v>
      </c>
      <c r="S1473" t="s">
        <v>40</v>
      </c>
      <c r="V1473" t="s">
        <v>41</v>
      </c>
      <c r="W1473" t="s">
        <v>49</v>
      </c>
      <c r="X1473" t="str">
        <f>"0560018"</f>
        <v>0560018</v>
      </c>
      <c r="Y1473" t="s">
        <v>234</v>
      </c>
      <c r="Z1473" t="s">
        <v>223</v>
      </c>
      <c r="AA1473" t="s">
        <v>224</v>
      </c>
      <c r="AB1473" t="s">
        <v>131</v>
      </c>
      <c r="AC1473" t="s">
        <v>51</v>
      </c>
      <c r="AD1473" t="s">
        <v>45</v>
      </c>
      <c r="AE1473" s="1">
        <v>30125</v>
      </c>
      <c r="AF1473">
        <v>2</v>
      </c>
      <c r="AG1473" t="s">
        <v>224</v>
      </c>
      <c r="AH1473" s="36">
        <f t="shared" si="22"/>
        <v>37.033333333333331</v>
      </c>
      <c r="AI1473" s="40" t="s">
        <v>1778</v>
      </c>
    </row>
    <row r="1474" spans="1:35" x14ac:dyDescent="0.25">
      <c r="A1474" s="36">
        <v>99911472</v>
      </c>
      <c r="B1474" s="17" t="s">
        <v>32</v>
      </c>
      <c r="C1474" t="s">
        <v>143</v>
      </c>
      <c r="D1474" t="s">
        <v>144</v>
      </c>
      <c r="G1474" s="17" t="s">
        <v>35</v>
      </c>
      <c r="H1474" s="17">
        <v>1</v>
      </c>
      <c r="K1474" t="s">
        <v>431</v>
      </c>
      <c r="L1474" t="s">
        <v>196</v>
      </c>
      <c r="M1474" t="s">
        <v>131</v>
      </c>
      <c r="N1474">
        <v>15</v>
      </c>
      <c r="O1474" t="s">
        <v>40</v>
      </c>
      <c r="P1474" t="s">
        <v>40</v>
      </c>
      <c r="Q1474" t="s">
        <v>40</v>
      </c>
      <c r="R1474" t="s">
        <v>40</v>
      </c>
      <c r="S1474" t="s">
        <v>40</v>
      </c>
      <c r="V1474" t="s">
        <v>41</v>
      </c>
      <c r="W1474" t="s">
        <v>75</v>
      </c>
      <c r="X1474" t="str">
        <f>"7521032"</f>
        <v>7521032</v>
      </c>
      <c r="Y1474" t="s">
        <v>462</v>
      </c>
      <c r="Z1474" t="s">
        <v>431</v>
      </c>
      <c r="AA1474" t="s">
        <v>196</v>
      </c>
      <c r="AB1474" t="s">
        <v>131</v>
      </c>
      <c r="AC1474" t="s">
        <v>51</v>
      </c>
      <c r="AD1474" t="s">
        <v>45</v>
      </c>
      <c r="AE1474" s="1">
        <v>30122</v>
      </c>
      <c r="AF1474">
        <v>1</v>
      </c>
      <c r="AG1474" t="s">
        <v>196</v>
      </c>
      <c r="AH1474" s="36">
        <f t="shared" ref="AH1474:AH1537" si="23">($AJ$1-AE1474)/360</f>
        <v>37.041666666666664</v>
      </c>
      <c r="AI1474" s="40" t="s">
        <v>1778</v>
      </c>
    </row>
    <row r="1475" spans="1:35" x14ac:dyDescent="0.25">
      <c r="A1475" s="36">
        <v>99911473</v>
      </c>
      <c r="B1475" s="17" t="s">
        <v>32</v>
      </c>
      <c r="C1475" t="s">
        <v>90</v>
      </c>
      <c r="D1475" t="s">
        <v>91</v>
      </c>
      <c r="G1475" s="17" t="s">
        <v>35</v>
      </c>
      <c r="H1475" s="17">
        <v>1</v>
      </c>
      <c r="K1475" t="s">
        <v>877</v>
      </c>
      <c r="L1475" t="s">
        <v>878</v>
      </c>
      <c r="M1475" t="s">
        <v>131</v>
      </c>
      <c r="N1475">
        <v>5</v>
      </c>
      <c r="O1475" t="s">
        <v>40</v>
      </c>
      <c r="P1475" t="s">
        <v>40</v>
      </c>
      <c r="Q1475" t="s">
        <v>40</v>
      </c>
      <c r="S1475" t="s">
        <v>40</v>
      </c>
      <c r="V1475" t="s">
        <v>41</v>
      </c>
      <c r="W1475" t="s">
        <v>95</v>
      </c>
      <c r="X1475" t="str">
        <f>"7541039"</f>
        <v>7541039</v>
      </c>
      <c r="Y1475" t="s">
        <v>891</v>
      </c>
      <c r="Z1475" t="s">
        <v>877</v>
      </c>
      <c r="AA1475" t="s">
        <v>878</v>
      </c>
      <c r="AB1475" t="s">
        <v>131</v>
      </c>
      <c r="AC1475" t="s">
        <v>165</v>
      </c>
      <c r="AD1475" t="s">
        <v>45</v>
      </c>
      <c r="AE1475" s="1">
        <v>30111</v>
      </c>
      <c r="AF1475">
        <v>1</v>
      </c>
      <c r="AG1475" t="s">
        <v>878</v>
      </c>
      <c r="AH1475" s="36">
        <f t="shared" si="23"/>
        <v>37.072222222222223</v>
      </c>
      <c r="AI1475" s="40" t="s">
        <v>1778</v>
      </c>
    </row>
    <row r="1476" spans="1:35" x14ac:dyDescent="0.25">
      <c r="A1476" s="36">
        <v>99911474</v>
      </c>
      <c r="B1476" s="17" t="s">
        <v>32</v>
      </c>
      <c r="C1476" t="s">
        <v>64</v>
      </c>
      <c r="D1476" t="s">
        <v>65</v>
      </c>
      <c r="G1476" s="17" t="s">
        <v>35</v>
      </c>
      <c r="H1476" s="17">
        <v>1</v>
      </c>
      <c r="I1476" t="s">
        <v>342</v>
      </c>
      <c r="J1476" s="1">
        <v>43344</v>
      </c>
      <c r="K1476" t="s">
        <v>300</v>
      </c>
      <c r="L1476" t="s">
        <v>301</v>
      </c>
      <c r="M1476" t="s">
        <v>131</v>
      </c>
      <c r="N1476">
        <v>7</v>
      </c>
      <c r="O1476" t="s">
        <v>40</v>
      </c>
      <c r="P1476" t="s">
        <v>40</v>
      </c>
      <c r="Q1476" t="s">
        <v>40</v>
      </c>
      <c r="S1476" t="s">
        <v>40</v>
      </c>
      <c r="U1476" s="1">
        <v>43344</v>
      </c>
      <c r="V1476" t="s">
        <v>41</v>
      </c>
      <c r="W1476" t="s">
        <v>49</v>
      </c>
      <c r="X1476" t="str">
        <f>"0560020"</f>
        <v>0560020</v>
      </c>
      <c r="Y1476" t="s">
        <v>302</v>
      </c>
      <c r="Z1476" t="s">
        <v>300</v>
      </c>
      <c r="AA1476" t="s">
        <v>301</v>
      </c>
      <c r="AB1476" t="s">
        <v>131</v>
      </c>
      <c r="AC1476" t="s">
        <v>44</v>
      </c>
      <c r="AD1476" t="s">
        <v>45</v>
      </c>
      <c r="AE1476" s="1">
        <v>30106</v>
      </c>
      <c r="AF1476">
        <v>2</v>
      </c>
      <c r="AG1476" t="s">
        <v>301</v>
      </c>
      <c r="AH1476" s="36">
        <f t="shared" si="23"/>
        <v>37.086111111111109</v>
      </c>
      <c r="AI1476" s="40" t="s">
        <v>1778</v>
      </c>
    </row>
    <row r="1477" spans="1:35" x14ac:dyDescent="0.25">
      <c r="A1477" s="36">
        <v>99911475</v>
      </c>
      <c r="B1477" s="17" t="s">
        <v>32</v>
      </c>
      <c r="C1477" t="s">
        <v>90</v>
      </c>
      <c r="D1477" t="s">
        <v>91</v>
      </c>
      <c r="G1477" s="17" t="s">
        <v>35</v>
      </c>
      <c r="H1477" s="17">
        <v>1</v>
      </c>
      <c r="K1477" t="s">
        <v>154</v>
      </c>
      <c r="L1477" t="s">
        <v>155</v>
      </c>
      <c r="M1477" t="s">
        <v>131</v>
      </c>
      <c r="N1477">
        <v>25</v>
      </c>
      <c r="O1477" t="s">
        <v>40</v>
      </c>
      <c r="P1477" t="s">
        <v>40</v>
      </c>
      <c r="Q1477" t="s">
        <v>40</v>
      </c>
      <c r="S1477" t="s">
        <v>40</v>
      </c>
      <c r="V1477" t="s">
        <v>41</v>
      </c>
      <c r="W1477" t="s">
        <v>95</v>
      </c>
      <c r="X1477" t="str">
        <f>"7051155"</f>
        <v>7051155</v>
      </c>
      <c r="Y1477" t="s">
        <v>412</v>
      </c>
      <c r="Z1477" t="s">
        <v>154</v>
      </c>
      <c r="AA1477" t="s">
        <v>155</v>
      </c>
      <c r="AB1477" t="s">
        <v>131</v>
      </c>
      <c r="AC1477" t="s">
        <v>51</v>
      </c>
      <c r="AD1477" t="s">
        <v>45</v>
      </c>
      <c r="AE1477" s="1">
        <v>30100</v>
      </c>
      <c r="AF1477">
        <v>1</v>
      </c>
      <c r="AG1477" t="s">
        <v>155</v>
      </c>
      <c r="AH1477" s="36">
        <f t="shared" si="23"/>
        <v>37.102777777777774</v>
      </c>
      <c r="AI1477" s="40" t="s">
        <v>1778</v>
      </c>
    </row>
    <row r="1478" spans="1:35" x14ac:dyDescent="0.25">
      <c r="A1478" s="36">
        <v>99911476</v>
      </c>
      <c r="B1478" s="17" t="s">
        <v>56</v>
      </c>
      <c r="C1478" t="s">
        <v>111</v>
      </c>
      <c r="D1478" t="s">
        <v>112</v>
      </c>
      <c r="G1478" s="17" t="s">
        <v>48</v>
      </c>
      <c r="H1478" s="17">
        <v>7</v>
      </c>
      <c r="K1478" t="s">
        <v>1426</v>
      </c>
      <c r="L1478" t="s">
        <v>1427</v>
      </c>
      <c r="M1478" t="s">
        <v>1270</v>
      </c>
      <c r="N1478">
        <v>23</v>
      </c>
      <c r="O1478" t="s">
        <v>40</v>
      </c>
      <c r="P1478" t="s">
        <v>40</v>
      </c>
      <c r="Q1478" t="s">
        <v>40</v>
      </c>
      <c r="R1478" t="s">
        <v>40</v>
      </c>
      <c r="S1478" t="s">
        <v>40</v>
      </c>
      <c r="V1478" t="s">
        <v>41</v>
      </c>
      <c r="W1478" t="s">
        <v>75</v>
      </c>
      <c r="X1478" t="str">
        <f>"7192000"</f>
        <v>7192000</v>
      </c>
      <c r="Y1478" t="s">
        <v>1429</v>
      </c>
      <c r="Z1478" t="s">
        <v>1426</v>
      </c>
      <c r="AA1478" t="s">
        <v>1427</v>
      </c>
      <c r="AB1478" t="s">
        <v>1270</v>
      </c>
      <c r="AC1478" t="s">
        <v>51</v>
      </c>
      <c r="AD1478" t="s">
        <v>45</v>
      </c>
      <c r="AE1478" s="1">
        <v>30100</v>
      </c>
      <c r="AF1478">
        <v>1</v>
      </c>
      <c r="AG1478" t="s">
        <v>1427</v>
      </c>
      <c r="AH1478" s="36">
        <f t="shared" si="23"/>
        <v>37.102777777777774</v>
      </c>
      <c r="AI1478" s="40" t="s">
        <v>1778</v>
      </c>
    </row>
    <row r="1479" spans="1:35" x14ac:dyDescent="0.25">
      <c r="A1479" s="36">
        <v>99911477</v>
      </c>
      <c r="B1479" s="17" t="s">
        <v>56</v>
      </c>
      <c r="C1479" t="s">
        <v>259</v>
      </c>
      <c r="D1479" t="s">
        <v>260</v>
      </c>
      <c r="G1479" s="17" t="s">
        <v>48</v>
      </c>
      <c r="H1479" s="17">
        <v>1</v>
      </c>
      <c r="K1479" t="s">
        <v>223</v>
      </c>
      <c r="L1479" t="s">
        <v>224</v>
      </c>
      <c r="M1479" t="s">
        <v>131</v>
      </c>
      <c r="N1479">
        <v>17</v>
      </c>
      <c r="O1479" t="s">
        <v>40</v>
      </c>
      <c r="P1479" t="s">
        <v>40</v>
      </c>
      <c r="Q1479" t="s">
        <v>40</v>
      </c>
      <c r="R1479" t="s">
        <v>40</v>
      </c>
      <c r="S1479" t="s">
        <v>40</v>
      </c>
      <c r="V1479" t="s">
        <v>41</v>
      </c>
      <c r="W1479" t="s">
        <v>49</v>
      </c>
      <c r="X1479" t="str">
        <f>"0591910"</f>
        <v>0591910</v>
      </c>
      <c r="Y1479" t="s">
        <v>228</v>
      </c>
      <c r="Z1479" t="s">
        <v>223</v>
      </c>
      <c r="AA1479" t="s">
        <v>224</v>
      </c>
      <c r="AB1479" t="s">
        <v>131</v>
      </c>
      <c r="AC1479" t="s">
        <v>51</v>
      </c>
      <c r="AD1479" t="s">
        <v>45</v>
      </c>
      <c r="AE1479" s="1">
        <v>30094</v>
      </c>
      <c r="AF1479">
        <v>2</v>
      </c>
      <c r="AG1479" t="s">
        <v>224</v>
      </c>
      <c r="AH1479" s="36">
        <f t="shared" si="23"/>
        <v>37.119444444444447</v>
      </c>
      <c r="AI1479" s="40" t="s">
        <v>1778</v>
      </c>
    </row>
    <row r="1480" spans="1:35" x14ac:dyDescent="0.25">
      <c r="A1480" s="36">
        <v>99911478</v>
      </c>
      <c r="B1480" s="17" t="s">
        <v>32</v>
      </c>
      <c r="C1480" t="s">
        <v>90</v>
      </c>
      <c r="D1480" t="s">
        <v>91</v>
      </c>
      <c r="G1480" s="17" t="s">
        <v>35</v>
      </c>
      <c r="H1480" s="17">
        <v>1</v>
      </c>
      <c r="K1480" t="s">
        <v>431</v>
      </c>
      <c r="L1480" t="s">
        <v>196</v>
      </c>
      <c r="M1480" t="s">
        <v>131</v>
      </c>
      <c r="N1480">
        <v>23</v>
      </c>
      <c r="O1480" t="s">
        <v>40</v>
      </c>
      <c r="P1480" t="s">
        <v>40</v>
      </c>
      <c r="Q1480" t="s">
        <v>40</v>
      </c>
      <c r="S1480" t="s">
        <v>40</v>
      </c>
      <c r="V1480" t="s">
        <v>41</v>
      </c>
      <c r="W1480" t="s">
        <v>75</v>
      </c>
      <c r="X1480" t="str">
        <f>"7521032"</f>
        <v>7521032</v>
      </c>
      <c r="Y1480" t="s">
        <v>462</v>
      </c>
      <c r="Z1480" t="s">
        <v>431</v>
      </c>
      <c r="AA1480" t="s">
        <v>196</v>
      </c>
      <c r="AB1480" t="s">
        <v>131</v>
      </c>
      <c r="AC1480" t="s">
        <v>51</v>
      </c>
      <c r="AD1480" t="s">
        <v>45</v>
      </c>
      <c r="AE1480" s="1">
        <v>30093</v>
      </c>
      <c r="AF1480">
        <v>1</v>
      </c>
      <c r="AG1480" t="s">
        <v>196</v>
      </c>
      <c r="AH1480" s="36">
        <f t="shared" si="23"/>
        <v>37.12222222222222</v>
      </c>
      <c r="AI1480" s="40" t="s">
        <v>1778</v>
      </c>
    </row>
    <row r="1481" spans="1:35" x14ac:dyDescent="0.25">
      <c r="A1481" s="36">
        <v>99911479</v>
      </c>
      <c r="B1481" s="17" t="s">
        <v>32</v>
      </c>
      <c r="C1481" t="s">
        <v>52</v>
      </c>
      <c r="D1481" t="s">
        <v>53</v>
      </c>
      <c r="G1481" s="17" t="s">
        <v>35</v>
      </c>
      <c r="H1481" s="17">
        <v>1</v>
      </c>
      <c r="K1481" t="s">
        <v>1546</v>
      </c>
      <c r="L1481" t="s">
        <v>1547</v>
      </c>
      <c r="M1481" t="s">
        <v>1548</v>
      </c>
      <c r="N1481">
        <v>15</v>
      </c>
      <c r="O1481" t="s">
        <v>40</v>
      </c>
      <c r="P1481" t="s">
        <v>40</v>
      </c>
      <c r="Q1481" t="s">
        <v>40</v>
      </c>
      <c r="R1481" t="s">
        <v>40</v>
      </c>
      <c r="S1481" t="s">
        <v>40</v>
      </c>
      <c r="V1481" t="s">
        <v>41</v>
      </c>
      <c r="W1481" t="s">
        <v>49</v>
      </c>
      <c r="X1481" t="str">
        <f>"1081010"</f>
        <v>1081010</v>
      </c>
      <c r="Y1481" t="s">
        <v>1552</v>
      </c>
      <c r="Z1481" t="s">
        <v>1546</v>
      </c>
      <c r="AA1481" t="s">
        <v>1547</v>
      </c>
      <c r="AB1481" t="s">
        <v>1548</v>
      </c>
      <c r="AC1481" t="s">
        <v>51</v>
      </c>
      <c r="AD1481" t="s">
        <v>45</v>
      </c>
      <c r="AE1481" s="1">
        <v>30093</v>
      </c>
      <c r="AF1481">
        <v>2</v>
      </c>
      <c r="AG1481" t="s">
        <v>1547</v>
      </c>
      <c r="AH1481" s="36">
        <f t="shared" si="23"/>
        <v>37.12222222222222</v>
      </c>
      <c r="AI1481" s="40" t="s">
        <v>1778</v>
      </c>
    </row>
    <row r="1482" spans="1:35" x14ac:dyDescent="0.25">
      <c r="A1482" s="36">
        <v>99911480</v>
      </c>
      <c r="B1482" s="17" t="s">
        <v>32</v>
      </c>
      <c r="C1482" t="s">
        <v>85</v>
      </c>
      <c r="D1482" t="s">
        <v>86</v>
      </c>
      <c r="G1482" s="17" t="s">
        <v>88</v>
      </c>
      <c r="H1482" s="17">
        <v>3</v>
      </c>
      <c r="I1482" t="s">
        <v>89</v>
      </c>
      <c r="J1482" s="1">
        <v>43344</v>
      </c>
      <c r="K1482" t="s">
        <v>37</v>
      </c>
      <c r="L1482" t="s">
        <v>38</v>
      </c>
      <c r="M1482" t="s">
        <v>39</v>
      </c>
      <c r="N1482">
        <v>20</v>
      </c>
      <c r="O1482" t="s">
        <v>40</v>
      </c>
      <c r="P1482" t="s">
        <v>40</v>
      </c>
      <c r="Q1482" t="s">
        <v>40</v>
      </c>
      <c r="R1482" t="s">
        <v>40</v>
      </c>
      <c r="S1482" t="s">
        <v>40</v>
      </c>
      <c r="U1482" s="1">
        <v>43344</v>
      </c>
      <c r="V1482" t="s">
        <v>41</v>
      </c>
      <c r="W1482" t="s">
        <v>49</v>
      </c>
      <c r="X1482" t="str">
        <f>"3781010"</f>
        <v>3781010</v>
      </c>
      <c r="Y1482" t="s">
        <v>50</v>
      </c>
      <c r="Z1482" t="s">
        <v>37</v>
      </c>
      <c r="AA1482" t="s">
        <v>38</v>
      </c>
      <c r="AB1482" t="s">
        <v>39</v>
      </c>
      <c r="AC1482" t="s">
        <v>51</v>
      </c>
      <c r="AD1482" t="s">
        <v>45</v>
      </c>
      <c r="AE1482" s="1">
        <v>30092</v>
      </c>
      <c r="AF1482">
        <v>2</v>
      </c>
      <c r="AG1482" t="s">
        <v>38</v>
      </c>
      <c r="AH1482" s="36">
        <f t="shared" si="23"/>
        <v>37.125</v>
      </c>
      <c r="AI1482" s="40" t="s">
        <v>1778</v>
      </c>
    </row>
    <row r="1483" spans="1:35" x14ac:dyDescent="0.25">
      <c r="A1483" s="36">
        <v>99911481</v>
      </c>
      <c r="B1483" s="17" t="s">
        <v>32</v>
      </c>
      <c r="C1483" t="s">
        <v>64</v>
      </c>
      <c r="D1483" t="s">
        <v>65</v>
      </c>
      <c r="G1483" s="17" t="s">
        <v>35</v>
      </c>
      <c r="H1483" s="17">
        <v>1</v>
      </c>
      <c r="I1483" t="s">
        <v>965</v>
      </c>
      <c r="J1483" s="1">
        <v>43353</v>
      </c>
      <c r="K1483" t="s">
        <v>947</v>
      </c>
      <c r="L1483" t="s">
        <v>948</v>
      </c>
      <c r="M1483" t="s">
        <v>938</v>
      </c>
      <c r="N1483">
        <v>4</v>
      </c>
      <c r="O1483" t="s">
        <v>40</v>
      </c>
      <c r="P1483" t="s">
        <v>40</v>
      </c>
      <c r="Q1483" t="s">
        <v>40</v>
      </c>
      <c r="R1483" t="s">
        <v>40</v>
      </c>
      <c r="S1483" t="s">
        <v>40</v>
      </c>
      <c r="U1483" s="1">
        <v>43353</v>
      </c>
      <c r="V1483" t="s">
        <v>41</v>
      </c>
      <c r="W1483" t="s">
        <v>953</v>
      </c>
      <c r="X1483" t="str">
        <f>"0610801"</f>
        <v>0610801</v>
      </c>
      <c r="Y1483" t="s">
        <v>954</v>
      </c>
      <c r="Z1483" t="s">
        <v>947</v>
      </c>
      <c r="AA1483" t="s">
        <v>948</v>
      </c>
      <c r="AB1483" t="s">
        <v>938</v>
      </c>
      <c r="AC1483" t="s">
        <v>44</v>
      </c>
      <c r="AD1483" t="s">
        <v>45</v>
      </c>
      <c r="AE1483" s="1">
        <v>30092</v>
      </c>
      <c r="AF1483">
        <v>2</v>
      </c>
      <c r="AG1483" t="s">
        <v>948</v>
      </c>
      <c r="AH1483" s="36">
        <f t="shared" si="23"/>
        <v>37.125</v>
      </c>
      <c r="AI1483" s="40" t="s">
        <v>1778</v>
      </c>
    </row>
    <row r="1484" spans="1:35" x14ac:dyDescent="0.25">
      <c r="A1484" s="36">
        <v>99911482</v>
      </c>
      <c r="B1484" s="17" t="s">
        <v>32</v>
      </c>
      <c r="C1484" t="s">
        <v>111</v>
      </c>
      <c r="D1484" t="s">
        <v>112</v>
      </c>
      <c r="G1484" s="17" t="s">
        <v>48</v>
      </c>
      <c r="H1484" s="17">
        <v>1</v>
      </c>
      <c r="K1484" t="s">
        <v>1198</v>
      </c>
      <c r="L1484" t="s">
        <v>1199</v>
      </c>
      <c r="M1484" t="s">
        <v>1130</v>
      </c>
      <c r="N1484">
        <v>24</v>
      </c>
      <c r="O1484" t="s">
        <v>40</v>
      </c>
      <c r="P1484" t="s">
        <v>40</v>
      </c>
      <c r="Q1484" t="s">
        <v>40</v>
      </c>
      <c r="R1484" t="s">
        <v>40</v>
      </c>
      <c r="S1484" t="s">
        <v>40</v>
      </c>
      <c r="V1484" t="s">
        <v>41</v>
      </c>
      <c r="W1484" t="s">
        <v>75</v>
      </c>
      <c r="X1484" t="str">
        <f>"7311008"</f>
        <v>7311008</v>
      </c>
      <c r="Y1484" t="s">
        <v>1205</v>
      </c>
      <c r="Z1484" t="s">
        <v>1198</v>
      </c>
      <c r="AA1484" t="s">
        <v>1199</v>
      </c>
      <c r="AB1484" t="s">
        <v>1130</v>
      </c>
      <c r="AC1484" t="s">
        <v>51</v>
      </c>
      <c r="AD1484" t="s">
        <v>45</v>
      </c>
      <c r="AE1484" s="1">
        <v>30092</v>
      </c>
      <c r="AF1484">
        <v>1</v>
      </c>
      <c r="AG1484" t="s">
        <v>1199</v>
      </c>
      <c r="AH1484" s="36">
        <f t="shared" si="23"/>
        <v>37.125</v>
      </c>
      <c r="AI1484" s="40" t="s">
        <v>1778</v>
      </c>
    </row>
    <row r="1485" spans="1:35" x14ac:dyDescent="0.25">
      <c r="A1485" s="36">
        <v>99911483</v>
      </c>
      <c r="B1485" s="17" t="s">
        <v>32</v>
      </c>
      <c r="C1485" t="s">
        <v>46</v>
      </c>
      <c r="D1485" t="s">
        <v>47</v>
      </c>
      <c r="G1485" s="17" t="s">
        <v>48</v>
      </c>
      <c r="H1485" s="17">
        <v>1</v>
      </c>
      <c r="K1485" t="s">
        <v>380</v>
      </c>
      <c r="L1485" t="s">
        <v>381</v>
      </c>
      <c r="M1485" t="s">
        <v>131</v>
      </c>
      <c r="N1485">
        <v>23</v>
      </c>
      <c r="O1485" t="s">
        <v>40</v>
      </c>
      <c r="P1485" t="s">
        <v>40</v>
      </c>
      <c r="Q1485" t="s">
        <v>40</v>
      </c>
      <c r="R1485" t="s">
        <v>40</v>
      </c>
      <c r="S1485" t="s">
        <v>40</v>
      </c>
      <c r="V1485" t="s">
        <v>41</v>
      </c>
      <c r="W1485" t="s">
        <v>49</v>
      </c>
      <c r="X1485" t="str">
        <f>"0560028"</f>
        <v>0560028</v>
      </c>
      <c r="Y1485" t="s">
        <v>384</v>
      </c>
      <c r="Z1485" t="s">
        <v>380</v>
      </c>
      <c r="AA1485" t="s">
        <v>381</v>
      </c>
      <c r="AB1485" t="s">
        <v>131</v>
      </c>
      <c r="AC1485" t="s">
        <v>51</v>
      </c>
      <c r="AD1485" t="s">
        <v>45</v>
      </c>
      <c r="AE1485" s="1">
        <v>30090</v>
      </c>
      <c r="AF1485">
        <v>2</v>
      </c>
      <c r="AG1485" t="s">
        <v>381</v>
      </c>
      <c r="AH1485" s="36">
        <f t="shared" si="23"/>
        <v>37.130555555555553</v>
      </c>
      <c r="AI1485" s="40" t="s">
        <v>1778</v>
      </c>
    </row>
    <row r="1486" spans="1:35" x14ac:dyDescent="0.25">
      <c r="A1486" s="36">
        <v>99911484</v>
      </c>
      <c r="B1486" s="17" t="s">
        <v>32</v>
      </c>
      <c r="C1486" t="s">
        <v>71</v>
      </c>
      <c r="D1486" t="s">
        <v>72</v>
      </c>
      <c r="G1486" s="17" t="s">
        <v>35</v>
      </c>
      <c r="H1486" s="17">
        <v>1</v>
      </c>
      <c r="I1486" t="s">
        <v>500</v>
      </c>
      <c r="J1486" s="1">
        <v>42828</v>
      </c>
      <c r="K1486" t="s">
        <v>431</v>
      </c>
      <c r="L1486" t="s">
        <v>196</v>
      </c>
      <c r="M1486" t="s">
        <v>131</v>
      </c>
      <c r="N1486">
        <v>24</v>
      </c>
      <c r="O1486" t="s">
        <v>40</v>
      </c>
      <c r="P1486" t="s">
        <v>40</v>
      </c>
      <c r="Q1486" t="s">
        <v>40</v>
      </c>
      <c r="R1486" t="s">
        <v>40</v>
      </c>
      <c r="S1486" t="s">
        <v>40</v>
      </c>
      <c r="U1486" s="1">
        <v>42829</v>
      </c>
      <c r="V1486" t="s">
        <v>41</v>
      </c>
      <c r="W1486" t="s">
        <v>75</v>
      </c>
      <c r="X1486" t="str">
        <f>"7521060"</f>
        <v>7521060</v>
      </c>
      <c r="Y1486" t="s">
        <v>501</v>
      </c>
      <c r="Z1486" t="s">
        <v>431</v>
      </c>
      <c r="AA1486" t="s">
        <v>196</v>
      </c>
      <c r="AB1486" t="s">
        <v>131</v>
      </c>
      <c r="AC1486" t="s">
        <v>44</v>
      </c>
      <c r="AD1486" t="s">
        <v>45</v>
      </c>
      <c r="AE1486" s="1">
        <v>30088</v>
      </c>
      <c r="AF1486">
        <v>1</v>
      </c>
      <c r="AG1486" t="s">
        <v>196</v>
      </c>
      <c r="AH1486" s="36">
        <f t="shared" si="23"/>
        <v>37.136111111111113</v>
      </c>
      <c r="AI1486" s="40" t="s">
        <v>1778</v>
      </c>
    </row>
    <row r="1487" spans="1:35" x14ac:dyDescent="0.25">
      <c r="A1487" s="36">
        <v>99911485</v>
      </c>
      <c r="B1487" s="17" t="s">
        <v>32</v>
      </c>
      <c r="C1487" t="s">
        <v>79</v>
      </c>
      <c r="D1487" t="s">
        <v>80</v>
      </c>
      <c r="G1487" s="17" t="s">
        <v>35</v>
      </c>
      <c r="H1487" s="17">
        <v>1</v>
      </c>
      <c r="I1487">
        <v>22306</v>
      </c>
      <c r="J1487" s="1">
        <v>43344</v>
      </c>
      <c r="K1487" t="s">
        <v>300</v>
      </c>
      <c r="L1487" t="s">
        <v>301</v>
      </c>
      <c r="M1487" t="s">
        <v>131</v>
      </c>
      <c r="N1487">
        <v>18</v>
      </c>
      <c r="O1487" t="s">
        <v>40</v>
      </c>
      <c r="P1487" t="s">
        <v>40</v>
      </c>
      <c r="Q1487" t="s">
        <v>40</v>
      </c>
      <c r="S1487" t="s">
        <v>40</v>
      </c>
      <c r="U1487" s="1">
        <v>43344</v>
      </c>
      <c r="V1487" t="s">
        <v>41</v>
      </c>
      <c r="W1487" t="s">
        <v>49</v>
      </c>
      <c r="X1487" t="str">
        <f>"0560020"</f>
        <v>0560020</v>
      </c>
      <c r="Y1487" t="s">
        <v>302</v>
      </c>
      <c r="Z1487" t="s">
        <v>300</v>
      </c>
      <c r="AA1487" t="s">
        <v>301</v>
      </c>
      <c r="AB1487" t="s">
        <v>131</v>
      </c>
      <c r="AC1487" t="s">
        <v>51</v>
      </c>
      <c r="AD1487" t="s">
        <v>45</v>
      </c>
      <c r="AE1487" s="1">
        <v>30087</v>
      </c>
      <c r="AF1487">
        <v>2</v>
      </c>
      <c r="AG1487" t="s">
        <v>301</v>
      </c>
      <c r="AH1487" s="36">
        <f t="shared" si="23"/>
        <v>37.138888888888886</v>
      </c>
      <c r="AI1487" s="40" t="s">
        <v>1778</v>
      </c>
    </row>
    <row r="1488" spans="1:35" x14ac:dyDescent="0.25">
      <c r="A1488" s="36">
        <v>99911486</v>
      </c>
      <c r="B1488" s="17" t="s">
        <v>32</v>
      </c>
      <c r="C1488" t="s">
        <v>46</v>
      </c>
      <c r="D1488" t="s">
        <v>47</v>
      </c>
      <c r="G1488" s="17" t="s">
        <v>35</v>
      </c>
      <c r="H1488" s="17">
        <v>4</v>
      </c>
      <c r="I1488" t="s">
        <v>1300</v>
      </c>
      <c r="J1488" s="1">
        <v>43344</v>
      </c>
      <c r="K1488" t="s">
        <v>1268</v>
      </c>
      <c r="L1488" t="s">
        <v>1269</v>
      </c>
      <c r="M1488" t="s">
        <v>1270</v>
      </c>
      <c r="N1488">
        <v>23</v>
      </c>
      <c r="O1488" t="s">
        <v>40</v>
      </c>
      <c r="P1488" t="s">
        <v>40</v>
      </c>
      <c r="Q1488" t="s">
        <v>40</v>
      </c>
      <c r="R1488" t="s">
        <v>40</v>
      </c>
      <c r="S1488" t="s">
        <v>40</v>
      </c>
      <c r="U1488" s="1">
        <v>43344</v>
      </c>
      <c r="V1488" t="s">
        <v>41</v>
      </c>
      <c r="W1488" t="s">
        <v>49</v>
      </c>
      <c r="X1488" t="str">
        <f>"1981055"</f>
        <v>1981055</v>
      </c>
      <c r="Y1488" t="s">
        <v>1280</v>
      </c>
      <c r="Z1488" t="s">
        <v>1268</v>
      </c>
      <c r="AA1488" t="s">
        <v>1269</v>
      </c>
      <c r="AB1488" t="s">
        <v>1270</v>
      </c>
      <c r="AC1488" t="s">
        <v>44</v>
      </c>
      <c r="AD1488" t="s">
        <v>45</v>
      </c>
      <c r="AE1488" s="1">
        <v>30086</v>
      </c>
      <c r="AF1488">
        <v>2</v>
      </c>
      <c r="AG1488" t="s">
        <v>1269</v>
      </c>
      <c r="AH1488" s="36">
        <f t="shared" si="23"/>
        <v>37.141666666666666</v>
      </c>
      <c r="AI1488" s="40" t="s">
        <v>1778</v>
      </c>
    </row>
    <row r="1489" spans="1:35" x14ac:dyDescent="0.25">
      <c r="A1489" s="36">
        <v>99911487</v>
      </c>
      <c r="B1489" s="17" t="s">
        <v>32</v>
      </c>
      <c r="C1489" t="s">
        <v>111</v>
      </c>
      <c r="D1489" t="s">
        <v>112</v>
      </c>
      <c r="G1489" s="17" t="s">
        <v>48</v>
      </c>
      <c r="H1489" s="17">
        <v>8</v>
      </c>
      <c r="K1489" t="s">
        <v>195</v>
      </c>
      <c r="L1489" t="s">
        <v>196</v>
      </c>
      <c r="M1489" t="s">
        <v>131</v>
      </c>
      <c r="N1489">
        <v>23</v>
      </c>
      <c r="O1489" t="s">
        <v>40</v>
      </c>
      <c r="P1489" t="s">
        <v>40</v>
      </c>
      <c r="Q1489" t="s">
        <v>40</v>
      </c>
      <c r="R1489" t="s">
        <v>40</v>
      </c>
      <c r="S1489" t="s">
        <v>40</v>
      </c>
      <c r="U1489" s="1">
        <v>40422</v>
      </c>
      <c r="V1489" t="s">
        <v>41</v>
      </c>
      <c r="W1489" t="s">
        <v>75</v>
      </c>
      <c r="X1489" t="str">
        <f>"7521044"</f>
        <v>7521044</v>
      </c>
      <c r="Y1489" t="s">
        <v>453</v>
      </c>
      <c r="Z1489" t="s">
        <v>195</v>
      </c>
      <c r="AA1489" t="s">
        <v>196</v>
      </c>
      <c r="AB1489" t="s">
        <v>131</v>
      </c>
      <c r="AC1489" t="s">
        <v>165</v>
      </c>
      <c r="AD1489" t="s">
        <v>45</v>
      </c>
      <c r="AE1489" s="1">
        <v>30085</v>
      </c>
      <c r="AF1489">
        <v>1</v>
      </c>
      <c r="AG1489" t="s">
        <v>196</v>
      </c>
      <c r="AH1489" s="36">
        <f t="shared" si="23"/>
        <v>37.144444444444446</v>
      </c>
      <c r="AI1489" s="40" t="s">
        <v>1778</v>
      </c>
    </row>
    <row r="1490" spans="1:35" x14ac:dyDescent="0.25">
      <c r="A1490" s="36">
        <v>99911488</v>
      </c>
      <c r="B1490" s="17" t="s">
        <v>32</v>
      </c>
      <c r="C1490" t="s">
        <v>46</v>
      </c>
      <c r="D1490" t="s">
        <v>47</v>
      </c>
      <c r="G1490" s="17" t="s">
        <v>48</v>
      </c>
      <c r="H1490" s="17">
        <v>1</v>
      </c>
      <c r="K1490" t="s">
        <v>223</v>
      </c>
      <c r="L1490" t="s">
        <v>224</v>
      </c>
      <c r="M1490" t="s">
        <v>131</v>
      </c>
      <c r="N1490">
        <v>21</v>
      </c>
      <c r="O1490" t="s">
        <v>40</v>
      </c>
      <c r="P1490" t="s">
        <v>40</v>
      </c>
      <c r="Q1490" t="s">
        <v>40</v>
      </c>
      <c r="S1490" t="s">
        <v>40</v>
      </c>
      <c r="V1490" t="s">
        <v>41</v>
      </c>
      <c r="W1490" t="s">
        <v>49</v>
      </c>
      <c r="X1490" t="str">
        <f>"0581206"</f>
        <v>0581206</v>
      </c>
      <c r="Y1490" t="s">
        <v>232</v>
      </c>
      <c r="Z1490" t="s">
        <v>223</v>
      </c>
      <c r="AA1490" t="s">
        <v>224</v>
      </c>
      <c r="AB1490" t="s">
        <v>131</v>
      </c>
      <c r="AC1490" t="s">
        <v>51</v>
      </c>
      <c r="AD1490" t="s">
        <v>45</v>
      </c>
      <c r="AE1490" s="1">
        <v>30084</v>
      </c>
      <c r="AF1490">
        <v>2</v>
      </c>
      <c r="AG1490" t="s">
        <v>224</v>
      </c>
      <c r="AH1490" s="36">
        <f t="shared" si="23"/>
        <v>37.147222222222226</v>
      </c>
      <c r="AI1490" s="40" t="s">
        <v>1778</v>
      </c>
    </row>
    <row r="1491" spans="1:35" x14ac:dyDescent="0.25">
      <c r="A1491" s="36">
        <v>99911489</v>
      </c>
      <c r="B1491" s="17" t="s">
        <v>32</v>
      </c>
      <c r="C1491" t="s">
        <v>46</v>
      </c>
      <c r="D1491" t="s">
        <v>47</v>
      </c>
      <c r="G1491" s="17" t="s">
        <v>35</v>
      </c>
      <c r="H1491" s="17">
        <v>1</v>
      </c>
      <c r="K1491" t="s">
        <v>1626</v>
      </c>
      <c r="L1491" t="s">
        <v>1627</v>
      </c>
      <c r="M1491" t="s">
        <v>1592</v>
      </c>
      <c r="N1491">
        <v>24</v>
      </c>
      <c r="O1491" t="s">
        <v>40</v>
      </c>
      <c r="P1491" t="s">
        <v>40</v>
      </c>
      <c r="Q1491" t="s">
        <v>40</v>
      </c>
      <c r="R1491" t="s">
        <v>40</v>
      </c>
      <c r="S1491" t="s">
        <v>40</v>
      </c>
      <c r="V1491" t="s">
        <v>41</v>
      </c>
      <c r="W1491" t="s">
        <v>49</v>
      </c>
      <c r="X1491" t="str">
        <f>"3681015"</f>
        <v>3681015</v>
      </c>
      <c r="Y1491" t="s">
        <v>1629</v>
      </c>
      <c r="Z1491" t="s">
        <v>1626</v>
      </c>
      <c r="AA1491" t="s">
        <v>1627</v>
      </c>
      <c r="AB1491" t="s">
        <v>1592</v>
      </c>
      <c r="AC1491" t="s">
        <v>51</v>
      </c>
      <c r="AD1491" t="s">
        <v>45</v>
      </c>
      <c r="AE1491" s="1">
        <v>30080</v>
      </c>
      <c r="AF1491">
        <v>2</v>
      </c>
      <c r="AG1491" t="s">
        <v>1627</v>
      </c>
      <c r="AH1491" s="36">
        <f t="shared" si="23"/>
        <v>37.158333333333331</v>
      </c>
      <c r="AI1491" s="40" t="s">
        <v>1778</v>
      </c>
    </row>
    <row r="1492" spans="1:35" x14ac:dyDescent="0.25">
      <c r="A1492" s="36">
        <v>99911490</v>
      </c>
      <c r="B1492" s="17" t="s">
        <v>32</v>
      </c>
      <c r="C1492" t="s">
        <v>71</v>
      </c>
      <c r="D1492" t="s">
        <v>72</v>
      </c>
      <c r="G1492" s="17" t="s">
        <v>35</v>
      </c>
      <c r="H1492" s="17">
        <v>1</v>
      </c>
      <c r="I1492" t="s">
        <v>250</v>
      </c>
      <c r="J1492" s="1">
        <v>43344</v>
      </c>
      <c r="K1492" t="s">
        <v>223</v>
      </c>
      <c r="L1492" t="s">
        <v>224</v>
      </c>
      <c r="M1492" t="s">
        <v>131</v>
      </c>
      <c r="N1492">
        <v>22</v>
      </c>
      <c r="O1492" t="s">
        <v>40</v>
      </c>
      <c r="P1492" t="s">
        <v>40</v>
      </c>
      <c r="Q1492" t="s">
        <v>40</v>
      </c>
      <c r="R1492" t="s">
        <v>40</v>
      </c>
      <c r="S1492" t="s">
        <v>40</v>
      </c>
      <c r="U1492" s="1">
        <v>43344</v>
      </c>
      <c r="V1492" t="s">
        <v>41</v>
      </c>
      <c r="W1492" t="s">
        <v>49</v>
      </c>
      <c r="X1492" t="str">
        <f>"0560016"</f>
        <v>0560016</v>
      </c>
      <c r="Y1492" t="s">
        <v>254</v>
      </c>
      <c r="Z1492" t="s">
        <v>223</v>
      </c>
      <c r="AA1492" t="s">
        <v>224</v>
      </c>
      <c r="AB1492" t="s">
        <v>131</v>
      </c>
      <c r="AC1492" t="s">
        <v>44</v>
      </c>
      <c r="AD1492" t="s">
        <v>45</v>
      </c>
      <c r="AE1492" s="1">
        <v>30074</v>
      </c>
      <c r="AF1492">
        <v>2</v>
      </c>
      <c r="AG1492" t="s">
        <v>224</v>
      </c>
      <c r="AH1492" s="36">
        <f t="shared" si="23"/>
        <v>37.174999999999997</v>
      </c>
      <c r="AI1492" s="40" t="s">
        <v>1778</v>
      </c>
    </row>
    <row r="1493" spans="1:35" x14ac:dyDescent="0.25">
      <c r="A1493" s="36">
        <v>99911491</v>
      </c>
      <c r="B1493" s="17" t="s">
        <v>32</v>
      </c>
      <c r="C1493" t="s">
        <v>111</v>
      </c>
      <c r="D1493" t="s">
        <v>112</v>
      </c>
      <c r="G1493" s="17" t="s">
        <v>48</v>
      </c>
      <c r="H1493" s="17">
        <v>6</v>
      </c>
      <c r="I1493" t="s">
        <v>474</v>
      </c>
      <c r="J1493" s="1">
        <v>40422</v>
      </c>
      <c r="K1493" t="s">
        <v>431</v>
      </c>
      <c r="L1493" t="s">
        <v>196</v>
      </c>
      <c r="M1493" t="s">
        <v>131</v>
      </c>
      <c r="N1493">
        <v>23</v>
      </c>
      <c r="O1493" t="s">
        <v>40</v>
      </c>
      <c r="P1493" t="s">
        <v>40</v>
      </c>
      <c r="Q1493" t="s">
        <v>40</v>
      </c>
      <c r="R1493" t="s">
        <v>40</v>
      </c>
      <c r="S1493" t="s">
        <v>40</v>
      </c>
      <c r="U1493" s="1">
        <v>40422</v>
      </c>
      <c r="V1493" t="s">
        <v>41</v>
      </c>
      <c r="W1493" t="s">
        <v>75</v>
      </c>
      <c r="X1493" t="str">
        <f>"7521012"</f>
        <v>7521012</v>
      </c>
      <c r="Y1493" t="s">
        <v>432</v>
      </c>
      <c r="Z1493" t="s">
        <v>431</v>
      </c>
      <c r="AA1493" t="s">
        <v>196</v>
      </c>
      <c r="AB1493" t="s">
        <v>131</v>
      </c>
      <c r="AC1493" t="s">
        <v>165</v>
      </c>
      <c r="AD1493" t="s">
        <v>45</v>
      </c>
      <c r="AE1493" s="1">
        <v>30074</v>
      </c>
      <c r="AF1493">
        <v>1</v>
      </c>
      <c r="AG1493" t="s">
        <v>196</v>
      </c>
      <c r="AH1493" s="36">
        <f t="shared" si="23"/>
        <v>37.174999999999997</v>
      </c>
      <c r="AI1493" s="40" t="s">
        <v>1778</v>
      </c>
    </row>
    <row r="1494" spans="1:35" x14ac:dyDescent="0.25">
      <c r="A1494" s="36">
        <v>99911492</v>
      </c>
      <c r="B1494" s="17" t="s">
        <v>32</v>
      </c>
      <c r="C1494" t="s">
        <v>64</v>
      </c>
      <c r="D1494" t="s">
        <v>65</v>
      </c>
      <c r="G1494" s="17" t="s">
        <v>48</v>
      </c>
      <c r="H1494" s="17">
        <v>1</v>
      </c>
      <c r="K1494" t="s">
        <v>300</v>
      </c>
      <c r="L1494" t="s">
        <v>301</v>
      </c>
      <c r="M1494" t="s">
        <v>131</v>
      </c>
      <c r="N1494">
        <v>21</v>
      </c>
      <c r="O1494" t="s">
        <v>40</v>
      </c>
      <c r="P1494" t="s">
        <v>40</v>
      </c>
      <c r="Q1494" t="s">
        <v>40</v>
      </c>
      <c r="R1494" t="s">
        <v>40</v>
      </c>
      <c r="S1494" t="s">
        <v>40</v>
      </c>
      <c r="V1494" t="s">
        <v>41</v>
      </c>
      <c r="W1494" t="s">
        <v>49</v>
      </c>
      <c r="X1494" t="str">
        <f>"0560001"</f>
        <v>0560001</v>
      </c>
      <c r="Y1494" t="s">
        <v>304</v>
      </c>
      <c r="Z1494" t="s">
        <v>300</v>
      </c>
      <c r="AA1494" t="s">
        <v>301</v>
      </c>
      <c r="AB1494" t="s">
        <v>131</v>
      </c>
      <c r="AC1494" t="s">
        <v>51</v>
      </c>
      <c r="AD1494" t="s">
        <v>45</v>
      </c>
      <c r="AE1494" s="1">
        <v>30072</v>
      </c>
      <c r="AF1494">
        <v>2</v>
      </c>
      <c r="AG1494" t="s">
        <v>301</v>
      </c>
      <c r="AH1494" s="36">
        <f t="shared" si="23"/>
        <v>37.180555555555557</v>
      </c>
      <c r="AI1494" s="40" t="s">
        <v>1778</v>
      </c>
    </row>
    <row r="1495" spans="1:35" x14ac:dyDescent="0.25">
      <c r="A1495" s="36">
        <v>99911493</v>
      </c>
      <c r="B1495" s="17" t="s">
        <v>32</v>
      </c>
      <c r="C1495" t="s">
        <v>111</v>
      </c>
      <c r="D1495" t="s">
        <v>112</v>
      </c>
      <c r="G1495" s="17" t="s">
        <v>35</v>
      </c>
      <c r="H1495" s="17">
        <v>1</v>
      </c>
      <c r="I1495" t="s">
        <v>828</v>
      </c>
      <c r="J1495" s="1">
        <v>43344</v>
      </c>
      <c r="K1495" t="s">
        <v>354</v>
      </c>
      <c r="L1495" t="s">
        <v>355</v>
      </c>
      <c r="M1495" t="s">
        <v>131</v>
      </c>
      <c r="N1495">
        <v>24</v>
      </c>
      <c r="O1495" t="s">
        <v>40</v>
      </c>
      <c r="S1495" t="s">
        <v>40</v>
      </c>
      <c r="U1495" s="1">
        <v>43344</v>
      </c>
      <c r="V1495" t="s">
        <v>41</v>
      </c>
      <c r="W1495" t="s">
        <v>75</v>
      </c>
      <c r="X1495" t="str">
        <f>"7054028"</f>
        <v>7054028</v>
      </c>
      <c r="Y1495" t="s">
        <v>788</v>
      </c>
      <c r="Z1495" t="s">
        <v>354</v>
      </c>
      <c r="AA1495" t="s">
        <v>355</v>
      </c>
      <c r="AB1495" t="s">
        <v>131</v>
      </c>
      <c r="AC1495" t="s">
        <v>51</v>
      </c>
      <c r="AD1495" t="s">
        <v>45</v>
      </c>
      <c r="AE1495" s="1">
        <v>30070</v>
      </c>
      <c r="AF1495">
        <v>1</v>
      </c>
      <c r="AG1495" t="s">
        <v>355</v>
      </c>
      <c r="AH1495" s="36">
        <f t="shared" si="23"/>
        <v>37.18611111111111</v>
      </c>
      <c r="AI1495" s="40" t="s">
        <v>1778</v>
      </c>
    </row>
    <row r="1496" spans="1:35" x14ac:dyDescent="0.25">
      <c r="A1496" s="36">
        <v>99911494</v>
      </c>
      <c r="B1496" s="17" t="s">
        <v>56</v>
      </c>
      <c r="C1496" t="s">
        <v>33</v>
      </c>
      <c r="D1496" t="s">
        <v>34</v>
      </c>
      <c r="G1496" s="17" t="s">
        <v>48</v>
      </c>
      <c r="H1496" s="17">
        <v>6</v>
      </c>
      <c r="K1496" t="s">
        <v>345</v>
      </c>
      <c r="L1496" t="s">
        <v>346</v>
      </c>
      <c r="M1496" t="s">
        <v>131</v>
      </c>
      <c r="N1496">
        <v>21</v>
      </c>
      <c r="O1496" t="s">
        <v>40</v>
      </c>
      <c r="P1496" t="s">
        <v>40</v>
      </c>
      <c r="Q1496" t="s">
        <v>40</v>
      </c>
      <c r="R1496" t="s">
        <v>40</v>
      </c>
      <c r="S1496" t="s">
        <v>40</v>
      </c>
      <c r="V1496" t="s">
        <v>41</v>
      </c>
      <c r="W1496" t="s">
        <v>42</v>
      </c>
      <c r="X1496" t="str">
        <f>"0590906"</f>
        <v>0590906</v>
      </c>
      <c r="Y1496" t="s">
        <v>361</v>
      </c>
      <c r="Z1496" t="s">
        <v>345</v>
      </c>
      <c r="AA1496" t="s">
        <v>346</v>
      </c>
      <c r="AB1496" t="s">
        <v>131</v>
      </c>
      <c r="AC1496" t="s">
        <v>51</v>
      </c>
      <c r="AD1496" t="s">
        <v>45</v>
      </c>
      <c r="AE1496" s="1">
        <v>30065</v>
      </c>
      <c r="AF1496">
        <v>2</v>
      </c>
      <c r="AG1496" t="s">
        <v>346</v>
      </c>
      <c r="AH1496" s="36">
        <f t="shared" si="23"/>
        <v>37.200000000000003</v>
      </c>
      <c r="AI1496" s="40" t="s">
        <v>1778</v>
      </c>
    </row>
    <row r="1497" spans="1:35" x14ac:dyDescent="0.25">
      <c r="A1497" s="36">
        <v>99911495</v>
      </c>
      <c r="B1497" s="17" t="s">
        <v>32</v>
      </c>
      <c r="C1497" t="s">
        <v>64</v>
      </c>
      <c r="D1497" t="s">
        <v>65</v>
      </c>
      <c r="G1497" s="17" t="s">
        <v>35</v>
      </c>
      <c r="H1497" s="17">
        <v>2</v>
      </c>
      <c r="K1497" t="s">
        <v>431</v>
      </c>
      <c r="L1497" t="s">
        <v>196</v>
      </c>
      <c r="M1497" t="s">
        <v>131</v>
      </c>
      <c r="N1497">
        <v>18</v>
      </c>
      <c r="O1497" t="s">
        <v>40</v>
      </c>
      <c r="P1497" t="s">
        <v>40</v>
      </c>
      <c r="Q1497" t="s">
        <v>40</v>
      </c>
      <c r="R1497" t="s">
        <v>40</v>
      </c>
      <c r="S1497" t="s">
        <v>40</v>
      </c>
      <c r="V1497" t="s">
        <v>41</v>
      </c>
      <c r="W1497" t="s">
        <v>75</v>
      </c>
      <c r="X1497" t="str">
        <f>"7521054"</f>
        <v>7521054</v>
      </c>
      <c r="Y1497" t="s">
        <v>476</v>
      </c>
      <c r="Z1497" t="s">
        <v>431</v>
      </c>
      <c r="AA1497" t="s">
        <v>196</v>
      </c>
      <c r="AB1497" t="s">
        <v>131</v>
      </c>
      <c r="AC1497" t="s">
        <v>51</v>
      </c>
      <c r="AD1497" t="s">
        <v>45</v>
      </c>
      <c r="AE1497" s="1">
        <v>30064</v>
      </c>
      <c r="AF1497">
        <v>1</v>
      </c>
      <c r="AG1497" t="s">
        <v>196</v>
      </c>
      <c r="AH1497" s="36">
        <f t="shared" si="23"/>
        <v>37.202777777777776</v>
      </c>
      <c r="AI1497" s="40" t="s">
        <v>1778</v>
      </c>
    </row>
    <row r="1498" spans="1:35" x14ac:dyDescent="0.25">
      <c r="A1498" s="36">
        <v>99911496</v>
      </c>
      <c r="B1498" s="17" t="s">
        <v>32</v>
      </c>
      <c r="C1498" t="s">
        <v>90</v>
      </c>
      <c r="D1498" t="s">
        <v>91</v>
      </c>
      <c r="G1498" s="17" t="s">
        <v>48</v>
      </c>
      <c r="H1498" s="17">
        <v>1</v>
      </c>
      <c r="K1498" t="s">
        <v>1695</v>
      </c>
      <c r="L1498" t="s">
        <v>1696</v>
      </c>
      <c r="M1498" t="s">
        <v>1592</v>
      </c>
      <c r="N1498">
        <v>25</v>
      </c>
      <c r="O1498" t="s">
        <v>40</v>
      </c>
      <c r="P1498" t="s">
        <v>40</v>
      </c>
      <c r="Q1498" t="s">
        <v>40</v>
      </c>
      <c r="R1498" t="s">
        <v>40</v>
      </c>
      <c r="S1498" t="s">
        <v>40</v>
      </c>
      <c r="V1498" t="s">
        <v>41</v>
      </c>
      <c r="W1498" t="s">
        <v>95</v>
      </c>
      <c r="X1498" t="str">
        <f>"7361003"</f>
        <v>7361003</v>
      </c>
      <c r="Y1498" t="s">
        <v>1700</v>
      </c>
      <c r="Z1498" t="s">
        <v>1695</v>
      </c>
      <c r="AA1498" t="s">
        <v>1696</v>
      </c>
      <c r="AB1498" t="s">
        <v>1592</v>
      </c>
      <c r="AC1498" t="s">
        <v>51</v>
      </c>
      <c r="AD1498" t="s">
        <v>45</v>
      </c>
      <c r="AE1498" s="1">
        <v>30062</v>
      </c>
      <c r="AF1498">
        <v>1</v>
      </c>
      <c r="AG1498" t="s">
        <v>1696</v>
      </c>
      <c r="AH1498" s="36">
        <f t="shared" si="23"/>
        <v>37.208333333333336</v>
      </c>
      <c r="AI1498" s="40" t="s">
        <v>1778</v>
      </c>
    </row>
    <row r="1499" spans="1:35" x14ac:dyDescent="0.25">
      <c r="A1499" s="36">
        <v>99911497</v>
      </c>
      <c r="B1499" s="17" t="s">
        <v>56</v>
      </c>
      <c r="C1499" t="s">
        <v>90</v>
      </c>
      <c r="D1499" t="s">
        <v>91</v>
      </c>
      <c r="G1499" s="17" t="s">
        <v>48</v>
      </c>
      <c r="H1499" s="17">
        <v>4</v>
      </c>
      <c r="K1499" t="s">
        <v>877</v>
      </c>
      <c r="L1499" t="s">
        <v>878</v>
      </c>
      <c r="M1499" t="s">
        <v>131</v>
      </c>
      <c r="N1499">
        <v>24</v>
      </c>
      <c r="O1499" t="s">
        <v>40</v>
      </c>
      <c r="P1499" t="s">
        <v>40</v>
      </c>
      <c r="Q1499" t="s">
        <v>40</v>
      </c>
      <c r="R1499" t="s">
        <v>40</v>
      </c>
      <c r="S1499" t="s">
        <v>40</v>
      </c>
      <c r="V1499" t="s">
        <v>41</v>
      </c>
      <c r="W1499" t="s">
        <v>75</v>
      </c>
      <c r="X1499" t="str">
        <f>"7541004"</f>
        <v>7541004</v>
      </c>
      <c r="Y1499" t="s">
        <v>889</v>
      </c>
      <c r="Z1499" t="s">
        <v>877</v>
      </c>
      <c r="AA1499" t="s">
        <v>878</v>
      </c>
      <c r="AB1499" t="s">
        <v>131</v>
      </c>
      <c r="AC1499" t="s">
        <v>51</v>
      </c>
      <c r="AD1499" t="s">
        <v>45</v>
      </c>
      <c r="AE1499" s="1">
        <v>30061</v>
      </c>
      <c r="AF1499">
        <v>1</v>
      </c>
      <c r="AG1499" t="s">
        <v>878</v>
      </c>
      <c r="AH1499" s="36">
        <f t="shared" si="23"/>
        <v>37.211111111111109</v>
      </c>
      <c r="AI1499" s="40" t="s">
        <v>1778</v>
      </c>
    </row>
    <row r="1500" spans="1:35" x14ac:dyDescent="0.25">
      <c r="A1500" s="36">
        <v>99911498</v>
      </c>
      <c r="B1500" s="17" t="s">
        <v>32</v>
      </c>
      <c r="C1500" t="s">
        <v>46</v>
      </c>
      <c r="D1500" t="s">
        <v>47</v>
      </c>
      <c r="G1500" s="17" t="s">
        <v>35</v>
      </c>
      <c r="H1500" s="17">
        <v>1</v>
      </c>
      <c r="I1500" t="s">
        <v>1603</v>
      </c>
      <c r="J1500" s="1">
        <v>43344</v>
      </c>
      <c r="K1500" t="s">
        <v>1590</v>
      </c>
      <c r="L1500" t="s">
        <v>1591</v>
      </c>
      <c r="M1500" t="s">
        <v>1592</v>
      </c>
      <c r="N1500">
        <v>16</v>
      </c>
      <c r="O1500" t="s">
        <v>40</v>
      </c>
      <c r="S1500" t="s">
        <v>40</v>
      </c>
      <c r="U1500" s="1">
        <v>43344</v>
      </c>
      <c r="V1500" t="s">
        <v>41</v>
      </c>
      <c r="W1500" t="s">
        <v>49</v>
      </c>
      <c r="X1500" t="str">
        <f>"0260001"</f>
        <v>0260001</v>
      </c>
      <c r="Y1500" t="s">
        <v>1595</v>
      </c>
      <c r="Z1500" t="s">
        <v>1590</v>
      </c>
      <c r="AA1500" t="s">
        <v>1591</v>
      </c>
      <c r="AB1500" t="s">
        <v>1592</v>
      </c>
      <c r="AC1500" t="s">
        <v>51</v>
      </c>
      <c r="AD1500" t="s">
        <v>45</v>
      </c>
      <c r="AE1500" s="1">
        <v>30061</v>
      </c>
      <c r="AF1500">
        <v>2</v>
      </c>
      <c r="AG1500" t="s">
        <v>1591</v>
      </c>
      <c r="AH1500" s="36">
        <f t="shared" si="23"/>
        <v>37.211111111111109</v>
      </c>
      <c r="AI1500" s="40" t="s">
        <v>1778</v>
      </c>
    </row>
    <row r="1501" spans="1:35" x14ac:dyDescent="0.25">
      <c r="A1501" s="36">
        <v>99911499</v>
      </c>
      <c r="B1501" s="17" t="s">
        <v>32</v>
      </c>
      <c r="C1501" t="s">
        <v>79</v>
      </c>
      <c r="D1501" t="s">
        <v>80</v>
      </c>
      <c r="G1501" s="17" t="s">
        <v>35</v>
      </c>
      <c r="H1501" s="17">
        <v>1</v>
      </c>
      <c r="I1501">
        <v>0</v>
      </c>
      <c r="J1501" s="1">
        <v>43344</v>
      </c>
      <c r="K1501" t="s">
        <v>223</v>
      </c>
      <c r="L1501" t="s">
        <v>224</v>
      </c>
      <c r="M1501" t="s">
        <v>131</v>
      </c>
      <c r="N1501">
        <v>16</v>
      </c>
      <c r="O1501" t="s">
        <v>40</v>
      </c>
      <c r="P1501" t="s">
        <v>40</v>
      </c>
      <c r="Q1501" t="s">
        <v>40</v>
      </c>
      <c r="R1501" t="s">
        <v>40</v>
      </c>
      <c r="S1501" t="s">
        <v>40</v>
      </c>
      <c r="U1501" s="1">
        <v>43344</v>
      </c>
      <c r="V1501" t="s">
        <v>41</v>
      </c>
      <c r="W1501" t="s">
        <v>49</v>
      </c>
      <c r="X1501" t="str">
        <f>"0591901"</f>
        <v>0591901</v>
      </c>
      <c r="Y1501" t="s">
        <v>230</v>
      </c>
      <c r="Z1501" t="s">
        <v>223</v>
      </c>
      <c r="AA1501" t="s">
        <v>224</v>
      </c>
      <c r="AB1501" t="s">
        <v>131</v>
      </c>
      <c r="AC1501" t="s">
        <v>44</v>
      </c>
      <c r="AD1501" t="s">
        <v>45</v>
      </c>
      <c r="AE1501" s="1">
        <v>30058</v>
      </c>
      <c r="AF1501">
        <v>2</v>
      </c>
      <c r="AG1501" t="s">
        <v>224</v>
      </c>
      <c r="AH1501" s="36">
        <f t="shared" si="23"/>
        <v>37.219444444444441</v>
      </c>
      <c r="AI1501" s="40" t="s">
        <v>1778</v>
      </c>
    </row>
    <row r="1502" spans="1:35" x14ac:dyDescent="0.25">
      <c r="A1502" s="36">
        <v>99911500</v>
      </c>
      <c r="B1502" s="17" t="s">
        <v>32</v>
      </c>
      <c r="C1502" t="s">
        <v>64</v>
      </c>
      <c r="D1502" t="s">
        <v>65</v>
      </c>
      <c r="G1502" s="17" t="s">
        <v>35</v>
      </c>
      <c r="H1502" s="17">
        <v>1</v>
      </c>
      <c r="K1502" t="s">
        <v>1268</v>
      </c>
      <c r="L1502" t="s">
        <v>1269</v>
      </c>
      <c r="M1502" t="s">
        <v>1270</v>
      </c>
      <c r="N1502">
        <v>23</v>
      </c>
      <c r="O1502" t="s">
        <v>40</v>
      </c>
      <c r="P1502" t="s">
        <v>40</v>
      </c>
      <c r="Q1502" t="s">
        <v>40</v>
      </c>
      <c r="S1502" t="s">
        <v>40</v>
      </c>
      <c r="V1502" t="s">
        <v>41</v>
      </c>
      <c r="W1502" t="s">
        <v>42</v>
      </c>
      <c r="X1502" t="str">
        <f>"1990910"</f>
        <v>1990910</v>
      </c>
      <c r="Y1502" t="s">
        <v>1281</v>
      </c>
      <c r="Z1502" t="s">
        <v>1268</v>
      </c>
      <c r="AA1502" t="s">
        <v>1269</v>
      </c>
      <c r="AB1502" t="s">
        <v>1270</v>
      </c>
      <c r="AC1502" t="s">
        <v>165</v>
      </c>
      <c r="AD1502" t="s">
        <v>45</v>
      </c>
      <c r="AE1502" s="1">
        <v>30047</v>
      </c>
      <c r="AF1502">
        <v>2</v>
      </c>
      <c r="AG1502" t="s">
        <v>1269</v>
      </c>
      <c r="AH1502" s="36">
        <f t="shared" si="23"/>
        <v>37.25</v>
      </c>
      <c r="AI1502" s="40" t="s">
        <v>1778</v>
      </c>
    </row>
    <row r="1503" spans="1:35" x14ac:dyDescent="0.25">
      <c r="A1503" s="36">
        <v>99911501</v>
      </c>
      <c r="B1503" s="17" t="s">
        <v>56</v>
      </c>
      <c r="C1503" t="s">
        <v>79</v>
      </c>
      <c r="D1503" t="s">
        <v>80</v>
      </c>
      <c r="G1503" s="17" t="s">
        <v>35</v>
      </c>
      <c r="H1503" s="17">
        <v>1</v>
      </c>
      <c r="I1503" t="s">
        <v>621</v>
      </c>
      <c r="J1503" s="1">
        <v>43344</v>
      </c>
      <c r="K1503" t="s">
        <v>268</v>
      </c>
      <c r="L1503" t="s">
        <v>269</v>
      </c>
      <c r="M1503" t="s">
        <v>131</v>
      </c>
      <c r="N1503">
        <v>18</v>
      </c>
      <c r="O1503" t="s">
        <v>40</v>
      </c>
      <c r="S1503" t="s">
        <v>40</v>
      </c>
      <c r="U1503" s="1">
        <v>43344</v>
      </c>
      <c r="V1503" t="s">
        <v>41</v>
      </c>
      <c r="W1503" t="s">
        <v>75</v>
      </c>
      <c r="X1503" t="str">
        <f>"7052020"</f>
        <v>7052020</v>
      </c>
      <c r="Y1503" t="s">
        <v>267</v>
      </c>
      <c r="Z1503" t="s">
        <v>268</v>
      </c>
      <c r="AA1503" t="s">
        <v>269</v>
      </c>
      <c r="AB1503" t="s">
        <v>131</v>
      </c>
      <c r="AC1503" t="s">
        <v>51</v>
      </c>
      <c r="AD1503" t="s">
        <v>45</v>
      </c>
      <c r="AE1503" s="1">
        <v>30044</v>
      </c>
      <c r="AF1503">
        <v>1</v>
      </c>
      <c r="AG1503" t="s">
        <v>269</v>
      </c>
      <c r="AH1503" s="36">
        <f t="shared" si="23"/>
        <v>37.258333333333333</v>
      </c>
      <c r="AI1503" s="40" t="s">
        <v>1778</v>
      </c>
    </row>
    <row r="1504" spans="1:35" x14ac:dyDescent="0.25">
      <c r="A1504" s="36">
        <v>99911502</v>
      </c>
      <c r="B1504" s="17" t="s">
        <v>56</v>
      </c>
      <c r="C1504" t="s">
        <v>61</v>
      </c>
      <c r="D1504" t="s">
        <v>62</v>
      </c>
      <c r="G1504" s="17" t="s">
        <v>48</v>
      </c>
      <c r="H1504" s="17">
        <v>1</v>
      </c>
      <c r="K1504" t="s">
        <v>431</v>
      </c>
      <c r="L1504" t="s">
        <v>196</v>
      </c>
      <c r="M1504" t="s">
        <v>131</v>
      </c>
      <c r="N1504">
        <v>26</v>
      </c>
      <c r="O1504" t="s">
        <v>40</v>
      </c>
      <c r="P1504" t="s">
        <v>40</v>
      </c>
      <c r="Q1504" t="s">
        <v>40</v>
      </c>
      <c r="R1504" t="s">
        <v>40</v>
      </c>
      <c r="S1504" t="s">
        <v>40</v>
      </c>
      <c r="V1504" t="s">
        <v>41</v>
      </c>
      <c r="W1504" t="s">
        <v>75</v>
      </c>
      <c r="X1504" t="str">
        <f>"7521016"</f>
        <v>7521016</v>
      </c>
      <c r="Y1504" t="s">
        <v>448</v>
      </c>
      <c r="Z1504" t="s">
        <v>431</v>
      </c>
      <c r="AA1504" t="s">
        <v>196</v>
      </c>
      <c r="AB1504" t="s">
        <v>131</v>
      </c>
      <c r="AC1504" t="s">
        <v>51</v>
      </c>
      <c r="AD1504" t="s">
        <v>45</v>
      </c>
      <c r="AE1504" s="1">
        <v>30034</v>
      </c>
      <c r="AF1504">
        <v>1</v>
      </c>
      <c r="AG1504" t="s">
        <v>196</v>
      </c>
      <c r="AH1504" s="36">
        <f t="shared" si="23"/>
        <v>37.286111111111111</v>
      </c>
      <c r="AI1504" s="40" t="s">
        <v>1778</v>
      </c>
    </row>
    <row r="1505" spans="1:35" x14ac:dyDescent="0.25">
      <c r="A1505" s="36">
        <v>99911503</v>
      </c>
      <c r="B1505" s="17" t="s">
        <v>32</v>
      </c>
      <c r="C1505" t="s">
        <v>46</v>
      </c>
      <c r="D1505" t="s">
        <v>47</v>
      </c>
      <c r="G1505" s="17" t="s">
        <v>48</v>
      </c>
      <c r="H1505" s="17">
        <v>1</v>
      </c>
      <c r="K1505" t="s">
        <v>300</v>
      </c>
      <c r="L1505" t="s">
        <v>301</v>
      </c>
      <c r="M1505" t="s">
        <v>131</v>
      </c>
      <c r="N1505">
        <v>22</v>
      </c>
      <c r="O1505" t="s">
        <v>40</v>
      </c>
      <c r="P1505" t="s">
        <v>40</v>
      </c>
      <c r="Q1505" t="s">
        <v>40</v>
      </c>
      <c r="R1505" t="s">
        <v>40</v>
      </c>
      <c r="S1505" t="s">
        <v>40</v>
      </c>
      <c r="V1505" t="s">
        <v>41</v>
      </c>
      <c r="W1505" t="s">
        <v>49</v>
      </c>
      <c r="X1505" t="str">
        <f>"0560013"</f>
        <v>0560013</v>
      </c>
      <c r="Y1505" t="s">
        <v>324</v>
      </c>
      <c r="Z1505" t="s">
        <v>300</v>
      </c>
      <c r="AA1505" t="s">
        <v>301</v>
      </c>
      <c r="AB1505" t="s">
        <v>131</v>
      </c>
      <c r="AC1505" t="s">
        <v>51</v>
      </c>
      <c r="AD1505" t="s">
        <v>45</v>
      </c>
      <c r="AE1505" s="1">
        <v>30032</v>
      </c>
      <c r="AF1505">
        <v>2</v>
      </c>
      <c r="AG1505" t="s">
        <v>301</v>
      </c>
      <c r="AH1505" s="36">
        <f t="shared" si="23"/>
        <v>37.291666666666664</v>
      </c>
      <c r="AI1505" s="40" t="s">
        <v>1778</v>
      </c>
    </row>
    <row r="1506" spans="1:35" x14ac:dyDescent="0.25">
      <c r="A1506" s="36">
        <v>99911504</v>
      </c>
      <c r="B1506" s="17" t="s">
        <v>56</v>
      </c>
      <c r="C1506" t="s">
        <v>111</v>
      </c>
      <c r="D1506" t="s">
        <v>112</v>
      </c>
      <c r="G1506" s="17" t="s">
        <v>48</v>
      </c>
      <c r="H1506" s="17">
        <v>6</v>
      </c>
      <c r="I1506" t="s">
        <v>434</v>
      </c>
      <c r="J1506" s="1">
        <v>40422</v>
      </c>
      <c r="K1506" t="s">
        <v>195</v>
      </c>
      <c r="L1506" t="s">
        <v>196</v>
      </c>
      <c r="M1506" t="s">
        <v>131</v>
      </c>
      <c r="N1506">
        <v>23</v>
      </c>
      <c r="O1506" t="s">
        <v>40</v>
      </c>
      <c r="P1506" t="s">
        <v>40</v>
      </c>
      <c r="Q1506" t="s">
        <v>40</v>
      </c>
      <c r="R1506" t="s">
        <v>40</v>
      </c>
      <c r="S1506" t="s">
        <v>40</v>
      </c>
      <c r="U1506" s="1">
        <v>40422</v>
      </c>
      <c r="V1506" t="s">
        <v>41</v>
      </c>
      <c r="W1506" t="s">
        <v>75</v>
      </c>
      <c r="X1506" t="str">
        <f>"7521050"</f>
        <v>7521050</v>
      </c>
      <c r="Y1506" t="s">
        <v>194</v>
      </c>
      <c r="Z1506" t="s">
        <v>195</v>
      </c>
      <c r="AA1506" t="s">
        <v>196</v>
      </c>
      <c r="AB1506" t="s">
        <v>131</v>
      </c>
      <c r="AC1506" t="s">
        <v>51</v>
      </c>
      <c r="AD1506" t="s">
        <v>45</v>
      </c>
      <c r="AE1506" s="1">
        <v>30028</v>
      </c>
      <c r="AF1506">
        <v>1</v>
      </c>
      <c r="AG1506" t="s">
        <v>196</v>
      </c>
      <c r="AH1506" s="36">
        <f t="shared" si="23"/>
        <v>37.302777777777777</v>
      </c>
      <c r="AI1506" s="40" t="s">
        <v>1778</v>
      </c>
    </row>
    <row r="1507" spans="1:35" x14ac:dyDescent="0.25">
      <c r="A1507" s="36">
        <v>99911505</v>
      </c>
      <c r="B1507" s="17" t="s">
        <v>32</v>
      </c>
      <c r="C1507" t="s">
        <v>204</v>
      </c>
      <c r="D1507" t="s">
        <v>205</v>
      </c>
      <c r="G1507" s="17" t="s">
        <v>35</v>
      </c>
      <c r="H1507" s="17">
        <v>1</v>
      </c>
      <c r="K1507" t="s">
        <v>223</v>
      </c>
      <c r="L1507" t="s">
        <v>224</v>
      </c>
      <c r="M1507" t="s">
        <v>131</v>
      </c>
      <c r="N1507">
        <v>8</v>
      </c>
      <c r="O1507" t="s">
        <v>40</v>
      </c>
      <c r="P1507" t="s">
        <v>40</v>
      </c>
      <c r="Q1507" t="s">
        <v>40</v>
      </c>
      <c r="S1507" t="s">
        <v>40</v>
      </c>
      <c r="V1507" t="s">
        <v>41</v>
      </c>
      <c r="W1507" t="s">
        <v>49</v>
      </c>
      <c r="X1507" t="str">
        <f>"0591901"</f>
        <v>0591901</v>
      </c>
      <c r="Y1507" t="s">
        <v>230</v>
      </c>
      <c r="Z1507" t="s">
        <v>223</v>
      </c>
      <c r="AA1507" t="s">
        <v>224</v>
      </c>
      <c r="AB1507" t="s">
        <v>131</v>
      </c>
      <c r="AC1507" t="s">
        <v>51</v>
      </c>
      <c r="AD1507" t="s">
        <v>45</v>
      </c>
      <c r="AE1507" s="1">
        <v>30009</v>
      </c>
      <c r="AF1507">
        <v>2</v>
      </c>
      <c r="AG1507" t="s">
        <v>224</v>
      </c>
      <c r="AH1507" s="36">
        <f t="shared" si="23"/>
        <v>37.355555555555554</v>
      </c>
      <c r="AI1507" s="40" t="s">
        <v>1778</v>
      </c>
    </row>
    <row r="1508" spans="1:35" x14ac:dyDescent="0.25">
      <c r="A1508" s="36">
        <v>99911506</v>
      </c>
      <c r="B1508" s="17" t="s">
        <v>32</v>
      </c>
      <c r="C1508" t="s">
        <v>111</v>
      </c>
      <c r="D1508" t="s">
        <v>112</v>
      </c>
      <c r="G1508" s="17" t="s">
        <v>35</v>
      </c>
      <c r="H1508" s="17">
        <v>1</v>
      </c>
      <c r="K1508" t="s">
        <v>154</v>
      </c>
      <c r="L1508" t="s">
        <v>155</v>
      </c>
      <c r="M1508" t="s">
        <v>131</v>
      </c>
      <c r="N1508">
        <v>20</v>
      </c>
      <c r="O1508" t="s">
        <v>40</v>
      </c>
      <c r="P1508" t="s">
        <v>40</v>
      </c>
      <c r="Q1508" t="s">
        <v>40</v>
      </c>
      <c r="S1508" t="s">
        <v>40</v>
      </c>
      <c r="V1508" t="s">
        <v>41</v>
      </c>
      <c r="W1508" t="s">
        <v>75</v>
      </c>
      <c r="X1508" t="str">
        <f>"7051032"</f>
        <v>7051032</v>
      </c>
      <c r="Y1508" t="s">
        <v>400</v>
      </c>
      <c r="Z1508" t="s">
        <v>154</v>
      </c>
      <c r="AA1508" t="s">
        <v>155</v>
      </c>
      <c r="AB1508" t="s">
        <v>131</v>
      </c>
      <c r="AC1508" t="s">
        <v>51</v>
      </c>
      <c r="AD1508" t="s">
        <v>45</v>
      </c>
      <c r="AE1508" s="1">
        <v>30006</v>
      </c>
      <c r="AF1508">
        <v>1</v>
      </c>
      <c r="AG1508" t="s">
        <v>155</v>
      </c>
      <c r="AH1508" s="36">
        <f t="shared" si="23"/>
        <v>37.363888888888887</v>
      </c>
      <c r="AI1508" s="40" t="s">
        <v>1778</v>
      </c>
    </row>
    <row r="1509" spans="1:35" x14ac:dyDescent="0.25">
      <c r="A1509" s="36">
        <v>99911507</v>
      </c>
      <c r="B1509" s="17" t="s">
        <v>32</v>
      </c>
      <c r="C1509" t="s">
        <v>79</v>
      </c>
      <c r="D1509" t="s">
        <v>80</v>
      </c>
      <c r="G1509" s="17" t="s">
        <v>35</v>
      </c>
      <c r="H1509" s="17">
        <v>1</v>
      </c>
      <c r="K1509" t="s">
        <v>223</v>
      </c>
      <c r="L1509" t="s">
        <v>224</v>
      </c>
      <c r="M1509" t="s">
        <v>131</v>
      </c>
      <c r="N1509">
        <v>11</v>
      </c>
      <c r="O1509" t="s">
        <v>40</v>
      </c>
      <c r="P1509" t="s">
        <v>40</v>
      </c>
      <c r="Q1509" t="s">
        <v>40</v>
      </c>
      <c r="R1509" t="s">
        <v>40</v>
      </c>
      <c r="S1509" t="s">
        <v>40</v>
      </c>
      <c r="V1509" t="s">
        <v>41</v>
      </c>
      <c r="W1509" t="s">
        <v>49</v>
      </c>
      <c r="X1509" t="str">
        <f>"0540902"</f>
        <v>0540902</v>
      </c>
      <c r="Y1509" t="s">
        <v>256</v>
      </c>
      <c r="Z1509" t="s">
        <v>223</v>
      </c>
      <c r="AA1509" t="s">
        <v>224</v>
      </c>
      <c r="AB1509" t="s">
        <v>131</v>
      </c>
      <c r="AC1509" t="s">
        <v>51</v>
      </c>
      <c r="AD1509" t="s">
        <v>45</v>
      </c>
      <c r="AE1509" s="1">
        <v>30003</v>
      </c>
      <c r="AF1509">
        <v>2</v>
      </c>
      <c r="AG1509" t="s">
        <v>224</v>
      </c>
      <c r="AH1509" s="36">
        <f t="shared" si="23"/>
        <v>37.37222222222222</v>
      </c>
      <c r="AI1509" s="40" t="s">
        <v>1778</v>
      </c>
    </row>
    <row r="1510" spans="1:35" x14ac:dyDescent="0.25">
      <c r="A1510" s="36">
        <v>99911508</v>
      </c>
      <c r="B1510" s="17" t="s">
        <v>56</v>
      </c>
      <c r="C1510" t="s">
        <v>79</v>
      </c>
      <c r="D1510" t="s">
        <v>80</v>
      </c>
      <c r="G1510" s="17" t="s">
        <v>35</v>
      </c>
      <c r="H1510" s="17">
        <v>1</v>
      </c>
      <c r="K1510" t="s">
        <v>223</v>
      </c>
      <c r="L1510" t="s">
        <v>224</v>
      </c>
      <c r="M1510" t="s">
        <v>131</v>
      </c>
      <c r="N1510">
        <v>22</v>
      </c>
      <c r="O1510" t="s">
        <v>40</v>
      </c>
      <c r="P1510" t="s">
        <v>40</v>
      </c>
      <c r="Q1510" t="s">
        <v>40</v>
      </c>
      <c r="R1510" t="s">
        <v>40</v>
      </c>
      <c r="S1510" t="s">
        <v>40</v>
      </c>
      <c r="V1510" t="s">
        <v>41</v>
      </c>
      <c r="W1510" t="s">
        <v>42</v>
      </c>
      <c r="X1510" t="str">
        <f>"0590901"</f>
        <v>0590901</v>
      </c>
      <c r="Y1510" t="s">
        <v>242</v>
      </c>
      <c r="Z1510" t="s">
        <v>223</v>
      </c>
      <c r="AA1510" t="s">
        <v>224</v>
      </c>
      <c r="AB1510" t="s">
        <v>131</v>
      </c>
      <c r="AC1510" t="s">
        <v>51</v>
      </c>
      <c r="AD1510" t="s">
        <v>45</v>
      </c>
      <c r="AE1510" s="1">
        <v>29994</v>
      </c>
      <c r="AF1510">
        <v>2</v>
      </c>
      <c r="AG1510" t="s">
        <v>224</v>
      </c>
      <c r="AH1510" s="36">
        <f t="shared" si="23"/>
        <v>37.397222222222226</v>
      </c>
      <c r="AI1510" s="40" t="s">
        <v>1778</v>
      </c>
    </row>
    <row r="1511" spans="1:35" x14ac:dyDescent="0.25">
      <c r="A1511" s="36">
        <v>99911509</v>
      </c>
      <c r="B1511" s="17" t="s">
        <v>32</v>
      </c>
      <c r="C1511" t="s">
        <v>143</v>
      </c>
      <c r="D1511" t="s">
        <v>144</v>
      </c>
      <c r="G1511" s="17" t="s">
        <v>88</v>
      </c>
      <c r="H1511" s="17">
        <v>3</v>
      </c>
      <c r="I1511" t="s">
        <v>512</v>
      </c>
      <c r="J1511" s="1">
        <v>41518</v>
      </c>
      <c r="K1511" t="s">
        <v>195</v>
      </c>
      <c r="L1511" t="s">
        <v>196</v>
      </c>
      <c r="M1511" t="s">
        <v>131</v>
      </c>
      <c r="N1511">
        <v>18</v>
      </c>
      <c r="O1511" t="s">
        <v>40</v>
      </c>
      <c r="P1511" t="s">
        <v>40</v>
      </c>
      <c r="Q1511" t="s">
        <v>40</v>
      </c>
      <c r="R1511" t="s">
        <v>40</v>
      </c>
      <c r="S1511" t="s">
        <v>40</v>
      </c>
      <c r="U1511" s="1">
        <v>41518</v>
      </c>
      <c r="V1511" t="s">
        <v>41</v>
      </c>
      <c r="W1511" t="s">
        <v>75</v>
      </c>
      <c r="X1511" t="str">
        <f>"7521050"</f>
        <v>7521050</v>
      </c>
      <c r="Y1511" t="s">
        <v>194</v>
      </c>
      <c r="Z1511" t="s">
        <v>195</v>
      </c>
      <c r="AA1511" t="s">
        <v>196</v>
      </c>
      <c r="AB1511" t="s">
        <v>131</v>
      </c>
      <c r="AC1511" t="s">
        <v>51</v>
      </c>
      <c r="AD1511" t="s">
        <v>45</v>
      </c>
      <c r="AE1511" s="1">
        <v>29989</v>
      </c>
      <c r="AF1511">
        <v>1</v>
      </c>
      <c r="AG1511" t="s">
        <v>196</v>
      </c>
      <c r="AH1511" s="36">
        <f t="shared" si="23"/>
        <v>37.411111111111111</v>
      </c>
      <c r="AI1511" s="40" t="s">
        <v>1778</v>
      </c>
    </row>
    <row r="1512" spans="1:35" x14ac:dyDescent="0.25">
      <c r="A1512" s="36">
        <v>99911510</v>
      </c>
      <c r="B1512" s="17" t="s">
        <v>32</v>
      </c>
      <c r="C1512" t="s">
        <v>64</v>
      </c>
      <c r="D1512" t="s">
        <v>65</v>
      </c>
      <c r="G1512" s="17" t="s">
        <v>35</v>
      </c>
      <c r="H1512" s="17">
        <v>1</v>
      </c>
      <c r="I1512">
        <v>14141</v>
      </c>
      <c r="J1512" s="1">
        <v>43344</v>
      </c>
      <c r="K1512" t="s">
        <v>354</v>
      </c>
      <c r="L1512" t="s">
        <v>355</v>
      </c>
      <c r="M1512" t="s">
        <v>131</v>
      </c>
      <c r="N1512">
        <v>15</v>
      </c>
      <c r="O1512" t="s">
        <v>40</v>
      </c>
      <c r="P1512" t="s">
        <v>40</v>
      </c>
      <c r="Q1512" t="s">
        <v>40</v>
      </c>
      <c r="R1512" t="s">
        <v>40</v>
      </c>
      <c r="S1512" t="s">
        <v>40</v>
      </c>
      <c r="U1512" s="1">
        <v>43344</v>
      </c>
      <c r="V1512" t="s">
        <v>41</v>
      </c>
      <c r="W1512" t="s">
        <v>75</v>
      </c>
      <c r="X1512" t="str">
        <f>"7054000"</f>
        <v>7054000</v>
      </c>
      <c r="Y1512" t="s">
        <v>786</v>
      </c>
      <c r="Z1512" t="s">
        <v>354</v>
      </c>
      <c r="AA1512" t="s">
        <v>355</v>
      </c>
      <c r="AB1512" t="s">
        <v>131</v>
      </c>
      <c r="AC1512" t="s">
        <v>51</v>
      </c>
      <c r="AD1512" t="s">
        <v>45</v>
      </c>
      <c r="AE1512" s="1">
        <v>29989</v>
      </c>
      <c r="AF1512">
        <v>1</v>
      </c>
      <c r="AG1512" t="s">
        <v>355</v>
      </c>
      <c r="AH1512" s="36">
        <f t="shared" si="23"/>
        <v>37.411111111111111</v>
      </c>
      <c r="AI1512" s="40" t="s">
        <v>1778</v>
      </c>
    </row>
    <row r="1513" spans="1:35" x14ac:dyDescent="0.25">
      <c r="A1513" s="36">
        <v>99911511</v>
      </c>
      <c r="B1513" s="17" t="s">
        <v>32</v>
      </c>
      <c r="C1513" t="s">
        <v>71</v>
      </c>
      <c r="D1513" t="s">
        <v>72</v>
      </c>
      <c r="G1513" s="17" t="s">
        <v>48</v>
      </c>
      <c r="H1513" s="17">
        <v>1</v>
      </c>
      <c r="K1513" t="s">
        <v>268</v>
      </c>
      <c r="L1513" t="s">
        <v>269</v>
      </c>
      <c r="M1513" t="s">
        <v>131</v>
      </c>
      <c r="N1513">
        <v>9</v>
      </c>
      <c r="O1513" t="s">
        <v>40</v>
      </c>
      <c r="P1513" t="s">
        <v>40</v>
      </c>
      <c r="Q1513" t="s">
        <v>40</v>
      </c>
      <c r="S1513" t="s">
        <v>40</v>
      </c>
      <c r="V1513" t="s">
        <v>41</v>
      </c>
      <c r="W1513" t="s">
        <v>75</v>
      </c>
      <c r="X1513" t="str">
        <f>"7052016"</f>
        <v>7052016</v>
      </c>
      <c r="Y1513" t="s">
        <v>588</v>
      </c>
      <c r="Z1513" t="s">
        <v>268</v>
      </c>
      <c r="AA1513" t="s">
        <v>269</v>
      </c>
      <c r="AB1513" t="s">
        <v>131</v>
      </c>
      <c r="AC1513" t="s">
        <v>51</v>
      </c>
      <c r="AD1513" t="s">
        <v>45</v>
      </c>
      <c r="AE1513" s="1">
        <v>29983</v>
      </c>
      <c r="AF1513">
        <v>1</v>
      </c>
      <c r="AG1513" t="s">
        <v>269</v>
      </c>
      <c r="AH1513" s="36">
        <f t="shared" si="23"/>
        <v>37.427777777777777</v>
      </c>
      <c r="AI1513" s="40" t="s">
        <v>1778</v>
      </c>
    </row>
    <row r="1514" spans="1:35" x14ac:dyDescent="0.25">
      <c r="A1514" s="36">
        <v>99911512</v>
      </c>
      <c r="B1514" s="17" t="s">
        <v>32</v>
      </c>
      <c r="C1514" t="s">
        <v>90</v>
      </c>
      <c r="D1514" t="s">
        <v>91</v>
      </c>
      <c r="G1514" s="17" t="s">
        <v>35</v>
      </c>
      <c r="H1514" s="17">
        <v>1</v>
      </c>
      <c r="I1514" t="s">
        <v>991</v>
      </c>
      <c r="J1514" s="1">
        <v>43344</v>
      </c>
      <c r="K1514" t="s">
        <v>985</v>
      </c>
      <c r="L1514" t="s">
        <v>986</v>
      </c>
      <c r="M1514" t="s">
        <v>938</v>
      </c>
      <c r="N1514">
        <v>25</v>
      </c>
      <c r="O1514" t="s">
        <v>40</v>
      </c>
      <c r="S1514" t="s">
        <v>40</v>
      </c>
      <c r="U1514" s="1">
        <v>43344</v>
      </c>
      <c r="V1514" t="s">
        <v>41</v>
      </c>
      <c r="W1514" t="s">
        <v>95</v>
      </c>
      <c r="X1514" t="str">
        <f>"7011009"</f>
        <v>7011009</v>
      </c>
      <c r="Y1514" t="s">
        <v>988</v>
      </c>
      <c r="Z1514" t="s">
        <v>985</v>
      </c>
      <c r="AA1514" t="s">
        <v>986</v>
      </c>
      <c r="AB1514" t="s">
        <v>938</v>
      </c>
      <c r="AC1514" t="s">
        <v>51</v>
      </c>
      <c r="AD1514" t="s">
        <v>45</v>
      </c>
      <c r="AE1514" s="1">
        <v>29976</v>
      </c>
      <c r="AF1514">
        <v>1</v>
      </c>
      <c r="AG1514" t="s">
        <v>986</v>
      </c>
      <c r="AH1514" s="36">
        <f t="shared" si="23"/>
        <v>37.447222222222223</v>
      </c>
      <c r="AI1514" s="40" t="s">
        <v>1778</v>
      </c>
    </row>
    <row r="1515" spans="1:35" x14ac:dyDescent="0.25">
      <c r="A1515" s="36">
        <v>99911513</v>
      </c>
      <c r="B1515" s="17" t="s">
        <v>32</v>
      </c>
      <c r="C1515" t="s">
        <v>111</v>
      </c>
      <c r="D1515" t="s">
        <v>112</v>
      </c>
      <c r="G1515" s="17" t="s">
        <v>48</v>
      </c>
      <c r="H1515" s="17">
        <v>8</v>
      </c>
      <c r="K1515" t="s">
        <v>195</v>
      </c>
      <c r="L1515" t="s">
        <v>196</v>
      </c>
      <c r="M1515" t="s">
        <v>131</v>
      </c>
      <c r="N1515">
        <v>23</v>
      </c>
      <c r="O1515" t="s">
        <v>40</v>
      </c>
      <c r="P1515" t="s">
        <v>40</v>
      </c>
      <c r="Q1515" t="s">
        <v>40</v>
      </c>
      <c r="R1515" t="s">
        <v>40</v>
      </c>
      <c r="S1515" t="s">
        <v>40</v>
      </c>
      <c r="U1515" s="1">
        <v>40529</v>
      </c>
      <c r="V1515" t="s">
        <v>41</v>
      </c>
      <c r="W1515" t="s">
        <v>75</v>
      </c>
      <c r="X1515" t="str">
        <f>"7521044"</f>
        <v>7521044</v>
      </c>
      <c r="Y1515" t="s">
        <v>453</v>
      </c>
      <c r="Z1515" t="s">
        <v>195</v>
      </c>
      <c r="AA1515" t="s">
        <v>196</v>
      </c>
      <c r="AB1515" t="s">
        <v>131</v>
      </c>
      <c r="AC1515" t="s">
        <v>165</v>
      </c>
      <c r="AD1515" t="s">
        <v>45</v>
      </c>
      <c r="AE1515" s="1">
        <v>29973</v>
      </c>
      <c r="AF1515">
        <v>1</v>
      </c>
      <c r="AG1515" t="s">
        <v>196</v>
      </c>
      <c r="AH1515" s="36">
        <f t="shared" si="23"/>
        <v>37.455555555555556</v>
      </c>
      <c r="AI1515" s="40" t="s">
        <v>1778</v>
      </c>
    </row>
    <row r="1516" spans="1:35" x14ac:dyDescent="0.25">
      <c r="A1516" s="36">
        <v>99911514</v>
      </c>
      <c r="B1516" s="17" t="s">
        <v>32</v>
      </c>
      <c r="C1516" t="s">
        <v>139</v>
      </c>
      <c r="D1516" t="s">
        <v>140</v>
      </c>
      <c r="G1516" s="17" t="s">
        <v>48</v>
      </c>
      <c r="H1516" s="17">
        <v>1</v>
      </c>
      <c r="K1516" t="s">
        <v>154</v>
      </c>
      <c r="L1516" t="s">
        <v>155</v>
      </c>
      <c r="M1516" t="s">
        <v>131</v>
      </c>
      <c r="N1516">
        <v>8</v>
      </c>
      <c r="O1516" t="s">
        <v>40</v>
      </c>
      <c r="P1516" t="s">
        <v>40</v>
      </c>
      <c r="Q1516" t="s">
        <v>40</v>
      </c>
      <c r="S1516" t="s">
        <v>40</v>
      </c>
      <c r="V1516" t="s">
        <v>41</v>
      </c>
      <c r="W1516" t="s">
        <v>75</v>
      </c>
      <c r="X1516" t="str">
        <f>"7051002"</f>
        <v>7051002</v>
      </c>
      <c r="Y1516" t="s">
        <v>395</v>
      </c>
      <c r="Z1516" t="s">
        <v>154</v>
      </c>
      <c r="AA1516" t="s">
        <v>155</v>
      </c>
      <c r="AB1516" t="s">
        <v>131</v>
      </c>
      <c r="AC1516" t="s">
        <v>51</v>
      </c>
      <c r="AD1516" t="s">
        <v>45</v>
      </c>
      <c r="AE1516" s="1">
        <v>29971</v>
      </c>
      <c r="AF1516">
        <v>1</v>
      </c>
      <c r="AG1516" t="s">
        <v>155</v>
      </c>
      <c r="AH1516" s="36">
        <f t="shared" si="23"/>
        <v>37.461111111111109</v>
      </c>
      <c r="AI1516" s="40" t="s">
        <v>1778</v>
      </c>
    </row>
    <row r="1517" spans="1:35" x14ac:dyDescent="0.25">
      <c r="A1517" s="36">
        <v>99911515</v>
      </c>
      <c r="B1517" s="17" t="s">
        <v>32</v>
      </c>
      <c r="C1517" t="s">
        <v>90</v>
      </c>
      <c r="D1517" t="s">
        <v>91</v>
      </c>
      <c r="G1517" s="17" t="s">
        <v>35</v>
      </c>
      <c r="H1517" s="17">
        <v>1</v>
      </c>
      <c r="K1517" t="s">
        <v>877</v>
      </c>
      <c r="L1517" t="s">
        <v>878</v>
      </c>
      <c r="M1517" t="s">
        <v>131</v>
      </c>
      <c r="N1517">
        <v>25</v>
      </c>
      <c r="O1517" t="s">
        <v>40</v>
      </c>
      <c r="P1517" t="s">
        <v>40</v>
      </c>
      <c r="Q1517" t="s">
        <v>40</v>
      </c>
      <c r="R1517" t="s">
        <v>40</v>
      </c>
      <c r="S1517" t="s">
        <v>40</v>
      </c>
      <c r="V1517" t="s">
        <v>41</v>
      </c>
      <c r="W1517" t="s">
        <v>95</v>
      </c>
      <c r="X1517" t="str">
        <f>"7541061"</f>
        <v>7541061</v>
      </c>
      <c r="Y1517" t="s">
        <v>914</v>
      </c>
      <c r="Z1517" t="s">
        <v>877</v>
      </c>
      <c r="AA1517" t="s">
        <v>878</v>
      </c>
      <c r="AB1517" t="s">
        <v>131</v>
      </c>
      <c r="AC1517" t="s">
        <v>51</v>
      </c>
      <c r="AD1517" t="s">
        <v>45</v>
      </c>
      <c r="AE1517" s="1">
        <v>29970</v>
      </c>
      <c r="AF1517">
        <v>1</v>
      </c>
      <c r="AG1517" t="s">
        <v>878</v>
      </c>
      <c r="AH1517" s="36">
        <f t="shared" si="23"/>
        <v>37.463888888888889</v>
      </c>
      <c r="AI1517" s="40" t="s">
        <v>1778</v>
      </c>
    </row>
    <row r="1518" spans="1:35" x14ac:dyDescent="0.25">
      <c r="A1518" s="36">
        <v>99911516</v>
      </c>
      <c r="B1518" s="17" t="s">
        <v>32</v>
      </c>
      <c r="C1518" t="s">
        <v>46</v>
      </c>
      <c r="D1518" t="s">
        <v>47</v>
      </c>
      <c r="G1518" s="17" t="s">
        <v>35</v>
      </c>
      <c r="H1518" s="17">
        <v>1</v>
      </c>
      <c r="I1518" t="s">
        <v>1161</v>
      </c>
      <c r="J1518" s="1">
        <v>43347</v>
      </c>
      <c r="K1518" t="s">
        <v>1128</v>
      </c>
      <c r="L1518" t="s">
        <v>1129</v>
      </c>
      <c r="M1518" t="s">
        <v>1130</v>
      </c>
      <c r="N1518">
        <v>22</v>
      </c>
      <c r="O1518" t="s">
        <v>40</v>
      </c>
      <c r="P1518" t="s">
        <v>40</v>
      </c>
      <c r="Q1518" t="s">
        <v>40</v>
      </c>
      <c r="R1518" t="s">
        <v>40</v>
      </c>
      <c r="S1518" t="s">
        <v>40</v>
      </c>
      <c r="U1518" s="1">
        <v>43347</v>
      </c>
      <c r="V1518" t="s">
        <v>41</v>
      </c>
      <c r="W1518" t="s">
        <v>49</v>
      </c>
      <c r="X1518" t="str">
        <f>"3181010"</f>
        <v>3181010</v>
      </c>
      <c r="Y1518" t="s">
        <v>1134</v>
      </c>
      <c r="Z1518" t="s">
        <v>1128</v>
      </c>
      <c r="AA1518" t="s">
        <v>1129</v>
      </c>
      <c r="AB1518" t="s">
        <v>1130</v>
      </c>
      <c r="AC1518" t="s">
        <v>55</v>
      </c>
      <c r="AD1518" t="s">
        <v>45</v>
      </c>
      <c r="AE1518" s="1">
        <v>29970</v>
      </c>
      <c r="AF1518">
        <v>2</v>
      </c>
      <c r="AG1518" t="s">
        <v>1129</v>
      </c>
      <c r="AH1518" s="36">
        <f t="shared" si="23"/>
        <v>37.463888888888889</v>
      </c>
      <c r="AI1518" s="40" t="s">
        <v>1778</v>
      </c>
    </row>
    <row r="1519" spans="1:35" x14ac:dyDescent="0.25">
      <c r="A1519" s="36">
        <v>99911517</v>
      </c>
      <c r="B1519" s="17" t="s">
        <v>32</v>
      </c>
      <c r="C1519" t="s">
        <v>90</v>
      </c>
      <c r="D1519" t="s">
        <v>91</v>
      </c>
      <c r="G1519" s="17" t="s">
        <v>35</v>
      </c>
      <c r="H1519" s="17">
        <v>1</v>
      </c>
      <c r="I1519">
        <v>10836</v>
      </c>
      <c r="J1519" s="1">
        <v>43344</v>
      </c>
      <c r="K1519" t="s">
        <v>268</v>
      </c>
      <c r="L1519" t="s">
        <v>269</v>
      </c>
      <c r="M1519" t="s">
        <v>131</v>
      </c>
      <c r="N1519">
        <v>25</v>
      </c>
      <c r="O1519" t="s">
        <v>40</v>
      </c>
      <c r="S1519" t="s">
        <v>40</v>
      </c>
      <c r="U1519" s="1">
        <v>43344</v>
      </c>
      <c r="V1519" t="s">
        <v>41</v>
      </c>
      <c r="W1519" t="s">
        <v>95</v>
      </c>
      <c r="X1519" t="str">
        <f>"7052019"</f>
        <v>7052019</v>
      </c>
      <c r="Y1519" t="s">
        <v>747</v>
      </c>
      <c r="Z1519" t="s">
        <v>268</v>
      </c>
      <c r="AA1519" t="s">
        <v>269</v>
      </c>
      <c r="AB1519" t="s">
        <v>131</v>
      </c>
      <c r="AC1519" t="s">
        <v>51</v>
      </c>
      <c r="AD1519" t="s">
        <v>45</v>
      </c>
      <c r="AE1519" s="1">
        <v>29969</v>
      </c>
      <c r="AF1519">
        <v>1</v>
      </c>
      <c r="AG1519" t="s">
        <v>269</v>
      </c>
      <c r="AH1519" s="36">
        <f t="shared" si="23"/>
        <v>37.466666666666669</v>
      </c>
      <c r="AI1519" s="40" t="s">
        <v>1778</v>
      </c>
    </row>
    <row r="1520" spans="1:35" x14ac:dyDescent="0.25">
      <c r="A1520" s="36">
        <v>99911518</v>
      </c>
      <c r="B1520" s="17" t="s">
        <v>56</v>
      </c>
      <c r="C1520" t="s">
        <v>79</v>
      </c>
      <c r="D1520" t="s">
        <v>80</v>
      </c>
      <c r="G1520" s="17" t="s">
        <v>48</v>
      </c>
      <c r="H1520" s="17">
        <v>1</v>
      </c>
      <c r="K1520" t="s">
        <v>157</v>
      </c>
      <c r="L1520" t="s">
        <v>158</v>
      </c>
      <c r="M1520" t="s">
        <v>131</v>
      </c>
      <c r="N1520">
        <v>22</v>
      </c>
      <c r="O1520" t="s">
        <v>40</v>
      </c>
      <c r="P1520" t="s">
        <v>40</v>
      </c>
      <c r="Q1520" t="s">
        <v>40</v>
      </c>
      <c r="S1520" t="s">
        <v>40</v>
      </c>
      <c r="V1520" t="s">
        <v>41</v>
      </c>
      <c r="W1520" t="s">
        <v>49</v>
      </c>
      <c r="X1520" t="str">
        <f>"0560019"</f>
        <v>0560019</v>
      </c>
      <c r="Y1520" t="s">
        <v>166</v>
      </c>
      <c r="Z1520" t="s">
        <v>157</v>
      </c>
      <c r="AA1520" t="s">
        <v>158</v>
      </c>
      <c r="AB1520" t="s">
        <v>131</v>
      </c>
      <c r="AC1520" t="s">
        <v>51</v>
      </c>
      <c r="AD1520" t="s">
        <v>45</v>
      </c>
      <c r="AE1520" s="1">
        <v>29967</v>
      </c>
      <c r="AF1520">
        <v>2</v>
      </c>
      <c r="AG1520" t="s">
        <v>158</v>
      </c>
      <c r="AH1520" s="36">
        <f t="shared" si="23"/>
        <v>37.472222222222221</v>
      </c>
      <c r="AI1520" s="40" t="s">
        <v>1778</v>
      </c>
    </row>
    <row r="1521" spans="1:35" x14ac:dyDescent="0.25">
      <c r="A1521" s="36">
        <v>99911519</v>
      </c>
      <c r="B1521" s="17" t="s">
        <v>32</v>
      </c>
      <c r="C1521" t="s">
        <v>46</v>
      </c>
      <c r="D1521" t="s">
        <v>47</v>
      </c>
      <c r="G1521" s="17" t="s">
        <v>48</v>
      </c>
      <c r="H1521" s="17">
        <v>1</v>
      </c>
      <c r="K1521" t="s">
        <v>162</v>
      </c>
      <c r="L1521" t="s">
        <v>158</v>
      </c>
      <c r="M1521" t="s">
        <v>131</v>
      </c>
      <c r="N1521">
        <v>21</v>
      </c>
      <c r="O1521" t="s">
        <v>40</v>
      </c>
      <c r="P1521" t="s">
        <v>40</v>
      </c>
      <c r="Q1521" t="s">
        <v>40</v>
      </c>
      <c r="R1521" t="s">
        <v>40</v>
      </c>
      <c r="S1521" t="s">
        <v>40</v>
      </c>
      <c r="V1521" t="s">
        <v>41</v>
      </c>
      <c r="W1521" t="s">
        <v>49</v>
      </c>
      <c r="X1521" t="str">
        <f>"0560003"</f>
        <v>0560003</v>
      </c>
      <c r="Y1521" t="s">
        <v>181</v>
      </c>
      <c r="Z1521" t="s">
        <v>162</v>
      </c>
      <c r="AA1521" t="s">
        <v>158</v>
      </c>
      <c r="AB1521" t="s">
        <v>131</v>
      </c>
      <c r="AC1521" t="s">
        <v>51</v>
      </c>
      <c r="AD1521" t="s">
        <v>45</v>
      </c>
      <c r="AE1521" s="1">
        <v>29959</v>
      </c>
      <c r="AF1521">
        <v>2</v>
      </c>
      <c r="AG1521" t="s">
        <v>158</v>
      </c>
      <c r="AH1521" s="36">
        <f t="shared" si="23"/>
        <v>37.494444444444447</v>
      </c>
      <c r="AI1521" s="40" t="s">
        <v>1778</v>
      </c>
    </row>
    <row r="1522" spans="1:35" x14ac:dyDescent="0.25">
      <c r="A1522" s="36">
        <v>99911520</v>
      </c>
      <c r="B1522" s="17" t="s">
        <v>32</v>
      </c>
      <c r="C1522" t="s">
        <v>90</v>
      </c>
      <c r="D1522" t="s">
        <v>91</v>
      </c>
      <c r="G1522" s="17" t="s">
        <v>35</v>
      </c>
      <c r="H1522" s="17">
        <v>1</v>
      </c>
      <c r="I1522" t="s">
        <v>1349</v>
      </c>
      <c r="J1522" s="1">
        <v>43344</v>
      </c>
      <c r="K1522" t="s">
        <v>1341</v>
      </c>
      <c r="L1522" t="s">
        <v>1342</v>
      </c>
      <c r="M1522" t="s">
        <v>1270</v>
      </c>
      <c r="N1522">
        <v>24</v>
      </c>
      <c r="O1522" t="s">
        <v>40</v>
      </c>
      <c r="S1522" t="s">
        <v>40</v>
      </c>
      <c r="U1522" s="1">
        <v>43344</v>
      </c>
      <c r="V1522" t="s">
        <v>41</v>
      </c>
      <c r="W1522" t="s">
        <v>95</v>
      </c>
      <c r="X1522" t="str">
        <f>"7191071"</f>
        <v>7191071</v>
      </c>
      <c r="Y1522" t="s">
        <v>1398</v>
      </c>
      <c r="Z1522" t="s">
        <v>1341</v>
      </c>
      <c r="AA1522" t="s">
        <v>1342</v>
      </c>
      <c r="AB1522" t="s">
        <v>1270</v>
      </c>
      <c r="AC1522" t="s">
        <v>165</v>
      </c>
      <c r="AD1522" t="s">
        <v>45</v>
      </c>
      <c r="AE1522" s="1">
        <v>29957</v>
      </c>
      <c r="AF1522">
        <v>1</v>
      </c>
      <c r="AG1522" t="s">
        <v>1342</v>
      </c>
      <c r="AH1522" s="36">
        <f t="shared" si="23"/>
        <v>37.5</v>
      </c>
      <c r="AI1522" s="40" t="s">
        <v>1778</v>
      </c>
    </row>
    <row r="1523" spans="1:35" x14ac:dyDescent="0.25">
      <c r="A1523" s="36">
        <v>99911521</v>
      </c>
      <c r="B1523" s="17" t="s">
        <v>56</v>
      </c>
      <c r="C1523" t="s">
        <v>61</v>
      </c>
      <c r="D1523" t="s">
        <v>62</v>
      </c>
      <c r="G1523" s="17" t="s">
        <v>35</v>
      </c>
      <c r="H1523" s="17">
        <v>1</v>
      </c>
      <c r="K1523" t="s">
        <v>157</v>
      </c>
      <c r="L1523" t="s">
        <v>158</v>
      </c>
      <c r="M1523" t="s">
        <v>131</v>
      </c>
      <c r="N1523">
        <v>30</v>
      </c>
      <c r="O1523" t="s">
        <v>40</v>
      </c>
      <c r="P1523" t="s">
        <v>40</v>
      </c>
      <c r="Q1523" t="s">
        <v>40</v>
      </c>
      <c r="R1523" t="s">
        <v>40</v>
      </c>
      <c r="S1523" t="s">
        <v>40</v>
      </c>
      <c r="V1523" t="s">
        <v>41</v>
      </c>
      <c r="W1523" t="s">
        <v>49</v>
      </c>
      <c r="X1523" t="str">
        <f>"0581725"</f>
        <v>0581725</v>
      </c>
      <c r="Y1523" t="s">
        <v>161</v>
      </c>
      <c r="Z1523" t="s">
        <v>157</v>
      </c>
      <c r="AA1523" t="s">
        <v>158</v>
      </c>
      <c r="AB1523" t="s">
        <v>131</v>
      </c>
      <c r="AC1523" t="s">
        <v>51</v>
      </c>
      <c r="AD1523" t="s">
        <v>45</v>
      </c>
      <c r="AE1523" s="1">
        <v>29952</v>
      </c>
      <c r="AF1523">
        <v>2</v>
      </c>
      <c r="AG1523" t="s">
        <v>158</v>
      </c>
      <c r="AH1523" s="36">
        <f t="shared" si="23"/>
        <v>37.513888888888886</v>
      </c>
      <c r="AI1523" s="40" t="s">
        <v>1778</v>
      </c>
    </row>
    <row r="1524" spans="1:35" x14ac:dyDescent="0.25">
      <c r="A1524" s="36">
        <v>99911522</v>
      </c>
      <c r="B1524" s="17" t="s">
        <v>32</v>
      </c>
      <c r="C1524" t="s">
        <v>71</v>
      </c>
      <c r="D1524" t="s">
        <v>72</v>
      </c>
      <c r="G1524" s="17" t="s">
        <v>35</v>
      </c>
      <c r="H1524" s="17">
        <v>1</v>
      </c>
      <c r="I1524">
        <v>0</v>
      </c>
      <c r="J1524" s="1">
        <v>43344</v>
      </c>
      <c r="K1524" t="s">
        <v>223</v>
      </c>
      <c r="L1524" t="s">
        <v>224</v>
      </c>
      <c r="M1524" t="s">
        <v>131</v>
      </c>
      <c r="N1524">
        <v>6</v>
      </c>
      <c r="O1524" t="s">
        <v>40</v>
      </c>
      <c r="P1524" t="s">
        <v>40</v>
      </c>
      <c r="Q1524" t="s">
        <v>40</v>
      </c>
      <c r="R1524" t="s">
        <v>40</v>
      </c>
      <c r="S1524" t="s">
        <v>40</v>
      </c>
      <c r="U1524" s="1">
        <v>43344</v>
      </c>
      <c r="V1524" t="s">
        <v>41</v>
      </c>
      <c r="W1524" t="s">
        <v>49</v>
      </c>
      <c r="X1524" t="str">
        <f>"0591901"</f>
        <v>0591901</v>
      </c>
      <c r="Y1524" t="s">
        <v>230</v>
      </c>
      <c r="Z1524" t="s">
        <v>223</v>
      </c>
      <c r="AA1524" t="s">
        <v>224</v>
      </c>
      <c r="AB1524" t="s">
        <v>131</v>
      </c>
      <c r="AC1524" t="s">
        <v>44</v>
      </c>
      <c r="AD1524" t="s">
        <v>45</v>
      </c>
      <c r="AE1524" s="1">
        <v>29952</v>
      </c>
      <c r="AF1524">
        <v>2</v>
      </c>
      <c r="AG1524" t="s">
        <v>224</v>
      </c>
      <c r="AH1524" s="36">
        <f t="shared" si="23"/>
        <v>37.513888888888886</v>
      </c>
      <c r="AI1524" s="40" t="s">
        <v>1778</v>
      </c>
    </row>
    <row r="1525" spans="1:35" x14ac:dyDescent="0.25">
      <c r="A1525" s="36">
        <v>99911523</v>
      </c>
      <c r="B1525" s="17" t="s">
        <v>32</v>
      </c>
      <c r="C1525" t="s">
        <v>52</v>
      </c>
      <c r="D1525" t="s">
        <v>53</v>
      </c>
      <c r="G1525" s="17" t="s">
        <v>35</v>
      </c>
      <c r="H1525" s="17">
        <v>1</v>
      </c>
      <c r="I1525">
        <v>0</v>
      </c>
      <c r="J1525" s="1">
        <v>43344</v>
      </c>
      <c r="K1525" t="s">
        <v>223</v>
      </c>
      <c r="L1525" t="s">
        <v>224</v>
      </c>
      <c r="M1525" t="s">
        <v>131</v>
      </c>
      <c r="N1525">
        <v>21</v>
      </c>
      <c r="O1525" t="s">
        <v>40</v>
      </c>
      <c r="P1525" t="s">
        <v>40</v>
      </c>
      <c r="Q1525" t="s">
        <v>40</v>
      </c>
      <c r="R1525" t="s">
        <v>40</v>
      </c>
      <c r="S1525" t="s">
        <v>40</v>
      </c>
      <c r="U1525" s="1">
        <v>43344</v>
      </c>
      <c r="V1525" t="s">
        <v>41</v>
      </c>
      <c r="W1525" t="s">
        <v>42</v>
      </c>
      <c r="X1525" t="str">
        <f>"0580206"</f>
        <v>0580206</v>
      </c>
      <c r="Y1525" t="s">
        <v>237</v>
      </c>
      <c r="Z1525" t="s">
        <v>223</v>
      </c>
      <c r="AA1525" t="s">
        <v>224</v>
      </c>
      <c r="AB1525" t="s">
        <v>131</v>
      </c>
      <c r="AC1525" t="s">
        <v>51</v>
      </c>
      <c r="AD1525" t="s">
        <v>45</v>
      </c>
      <c r="AE1525" s="1">
        <v>29952</v>
      </c>
      <c r="AF1525">
        <v>2</v>
      </c>
      <c r="AG1525" t="s">
        <v>224</v>
      </c>
      <c r="AH1525" s="36">
        <f t="shared" si="23"/>
        <v>37.513888888888886</v>
      </c>
      <c r="AI1525" s="40" t="s">
        <v>1778</v>
      </c>
    </row>
    <row r="1526" spans="1:35" x14ac:dyDescent="0.25">
      <c r="A1526" s="36">
        <v>99911524</v>
      </c>
      <c r="B1526" s="17" t="s">
        <v>32</v>
      </c>
      <c r="C1526" t="s">
        <v>64</v>
      </c>
      <c r="D1526" t="s">
        <v>65</v>
      </c>
      <c r="G1526" s="17" t="s">
        <v>35</v>
      </c>
      <c r="H1526" s="17">
        <v>1</v>
      </c>
      <c r="I1526" t="s">
        <v>280</v>
      </c>
      <c r="J1526" s="1">
        <v>43344</v>
      </c>
      <c r="K1526" t="s">
        <v>223</v>
      </c>
      <c r="L1526" t="s">
        <v>224</v>
      </c>
      <c r="M1526" t="s">
        <v>131</v>
      </c>
      <c r="N1526">
        <v>9</v>
      </c>
      <c r="O1526" t="s">
        <v>40</v>
      </c>
      <c r="P1526" t="s">
        <v>40</v>
      </c>
      <c r="Q1526" t="s">
        <v>40</v>
      </c>
      <c r="R1526" t="s">
        <v>40</v>
      </c>
      <c r="S1526" t="s">
        <v>40</v>
      </c>
      <c r="U1526" s="1">
        <v>43344</v>
      </c>
      <c r="V1526" t="s">
        <v>41</v>
      </c>
      <c r="W1526" t="s">
        <v>49</v>
      </c>
      <c r="X1526" t="str">
        <f>"0591901"</f>
        <v>0591901</v>
      </c>
      <c r="Y1526" t="s">
        <v>230</v>
      </c>
      <c r="Z1526" t="s">
        <v>223</v>
      </c>
      <c r="AA1526" t="s">
        <v>224</v>
      </c>
      <c r="AB1526" t="s">
        <v>131</v>
      </c>
      <c r="AC1526" t="s">
        <v>44</v>
      </c>
      <c r="AD1526" t="s">
        <v>45</v>
      </c>
      <c r="AE1526" s="1">
        <v>29952</v>
      </c>
      <c r="AF1526">
        <v>2</v>
      </c>
      <c r="AG1526" t="s">
        <v>224</v>
      </c>
      <c r="AH1526" s="36">
        <f t="shared" si="23"/>
        <v>37.513888888888886</v>
      </c>
      <c r="AI1526" s="40" t="s">
        <v>1778</v>
      </c>
    </row>
    <row r="1527" spans="1:35" x14ac:dyDescent="0.25">
      <c r="A1527" s="36">
        <v>99911525</v>
      </c>
      <c r="B1527" s="17" t="s">
        <v>32</v>
      </c>
      <c r="C1527" t="s">
        <v>68</v>
      </c>
      <c r="D1527" t="s">
        <v>69</v>
      </c>
      <c r="G1527" s="17" t="s">
        <v>35</v>
      </c>
      <c r="H1527" s="17">
        <v>1</v>
      </c>
      <c r="I1527">
        <v>0</v>
      </c>
      <c r="J1527" s="1">
        <v>43344</v>
      </c>
      <c r="K1527" t="s">
        <v>223</v>
      </c>
      <c r="L1527" t="s">
        <v>224</v>
      </c>
      <c r="M1527" t="s">
        <v>131</v>
      </c>
      <c r="N1527">
        <v>23</v>
      </c>
      <c r="O1527" t="s">
        <v>40</v>
      </c>
      <c r="P1527" t="s">
        <v>40</v>
      </c>
      <c r="Q1527" t="s">
        <v>40</v>
      </c>
      <c r="R1527" t="s">
        <v>40</v>
      </c>
      <c r="S1527" t="s">
        <v>40</v>
      </c>
      <c r="U1527" s="1">
        <v>43344</v>
      </c>
      <c r="V1527" t="s">
        <v>41</v>
      </c>
      <c r="W1527" t="s">
        <v>49</v>
      </c>
      <c r="X1527" t="str">
        <f>"0560016"</f>
        <v>0560016</v>
      </c>
      <c r="Y1527" t="s">
        <v>254</v>
      </c>
      <c r="Z1527" t="s">
        <v>223</v>
      </c>
      <c r="AA1527" t="s">
        <v>224</v>
      </c>
      <c r="AB1527" t="s">
        <v>131</v>
      </c>
      <c r="AC1527" t="s">
        <v>51</v>
      </c>
      <c r="AD1527" t="s">
        <v>45</v>
      </c>
      <c r="AE1527" s="1">
        <v>29952</v>
      </c>
      <c r="AF1527">
        <v>2</v>
      </c>
      <c r="AG1527" t="s">
        <v>224</v>
      </c>
      <c r="AH1527" s="36">
        <f t="shared" si="23"/>
        <v>37.513888888888886</v>
      </c>
      <c r="AI1527" s="40" t="s">
        <v>1778</v>
      </c>
    </row>
    <row r="1528" spans="1:35" x14ac:dyDescent="0.25">
      <c r="A1528" s="36">
        <v>99911526</v>
      </c>
      <c r="B1528" s="17" t="s">
        <v>56</v>
      </c>
      <c r="C1528" t="s">
        <v>64</v>
      </c>
      <c r="D1528" t="s">
        <v>65</v>
      </c>
      <c r="G1528" s="17" t="s">
        <v>48</v>
      </c>
      <c r="H1528" s="17">
        <v>1</v>
      </c>
      <c r="K1528" t="s">
        <v>300</v>
      </c>
      <c r="L1528" t="s">
        <v>301</v>
      </c>
      <c r="M1528" t="s">
        <v>131</v>
      </c>
      <c r="N1528">
        <v>19</v>
      </c>
      <c r="O1528" t="s">
        <v>40</v>
      </c>
      <c r="P1528" t="s">
        <v>40</v>
      </c>
      <c r="Q1528" t="s">
        <v>40</v>
      </c>
      <c r="R1528" t="s">
        <v>40</v>
      </c>
      <c r="S1528" t="s">
        <v>40</v>
      </c>
      <c r="V1528" t="s">
        <v>41</v>
      </c>
      <c r="W1528" t="s">
        <v>49</v>
      </c>
      <c r="X1528" t="str">
        <f>"0560020"</f>
        <v>0560020</v>
      </c>
      <c r="Y1528" t="s">
        <v>302</v>
      </c>
      <c r="Z1528" t="s">
        <v>300</v>
      </c>
      <c r="AA1528" t="s">
        <v>301</v>
      </c>
      <c r="AB1528" t="s">
        <v>131</v>
      </c>
      <c r="AC1528" t="s">
        <v>51</v>
      </c>
      <c r="AD1528" t="s">
        <v>45</v>
      </c>
      <c r="AE1528" s="1">
        <v>29952</v>
      </c>
      <c r="AF1528">
        <v>2</v>
      </c>
      <c r="AG1528" t="s">
        <v>301</v>
      </c>
      <c r="AH1528" s="36">
        <f t="shared" si="23"/>
        <v>37.513888888888886</v>
      </c>
      <c r="AI1528" s="40" t="s">
        <v>1778</v>
      </c>
    </row>
    <row r="1529" spans="1:35" x14ac:dyDescent="0.25">
      <c r="A1529" s="36">
        <v>99911527</v>
      </c>
      <c r="B1529" s="17" t="s">
        <v>32</v>
      </c>
      <c r="C1529" t="s">
        <v>64</v>
      </c>
      <c r="D1529" t="s">
        <v>65</v>
      </c>
      <c r="G1529" s="17" t="s">
        <v>48</v>
      </c>
      <c r="H1529" s="17">
        <v>1</v>
      </c>
      <c r="K1529" t="s">
        <v>345</v>
      </c>
      <c r="L1529" t="s">
        <v>346</v>
      </c>
      <c r="M1529" t="s">
        <v>131</v>
      </c>
      <c r="N1529">
        <v>8</v>
      </c>
      <c r="O1529" t="s">
        <v>40</v>
      </c>
      <c r="P1529" t="s">
        <v>40</v>
      </c>
      <c r="Q1529" t="s">
        <v>40</v>
      </c>
      <c r="R1529" t="s">
        <v>40</v>
      </c>
      <c r="S1529" t="s">
        <v>40</v>
      </c>
      <c r="V1529" t="s">
        <v>41</v>
      </c>
      <c r="W1529" t="s">
        <v>49</v>
      </c>
      <c r="X1529" t="str">
        <f>"0560004"</f>
        <v>0560004</v>
      </c>
      <c r="Y1529" t="s">
        <v>371</v>
      </c>
      <c r="Z1529" t="s">
        <v>345</v>
      </c>
      <c r="AA1529" t="s">
        <v>346</v>
      </c>
      <c r="AB1529" t="s">
        <v>131</v>
      </c>
      <c r="AC1529" t="s">
        <v>55</v>
      </c>
      <c r="AD1529" t="s">
        <v>45</v>
      </c>
      <c r="AE1529" s="1">
        <v>29952</v>
      </c>
      <c r="AF1529">
        <v>2</v>
      </c>
      <c r="AG1529" t="s">
        <v>346</v>
      </c>
      <c r="AH1529" s="36">
        <f t="shared" si="23"/>
        <v>37.513888888888886</v>
      </c>
      <c r="AI1529" s="40" t="s">
        <v>1778</v>
      </c>
    </row>
    <row r="1530" spans="1:35" x14ac:dyDescent="0.25">
      <c r="A1530" s="36">
        <v>99911528</v>
      </c>
      <c r="B1530" s="17" t="s">
        <v>32</v>
      </c>
      <c r="C1530" t="s">
        <v>46</v>
      </c>
      <c r="D1530" t="s">
        <v>47</v>
      </c>
      <c r="G1530" s="17" t="s">
        <v>35</v>
      </c>
      <c r="H1530" s="17">
        <v>1</v>
      </c>
      <c r="I1530">
        <v>14427</v>
      </c>
      <c r="J1530" s="1">
        <v>43368</v>
      </c>
      <c r="K1530" t="s">
        <v>345</v>
      </c>
      <c r="L1530" t="s">
        <v>346</v>
      </c>
      <c r="M1530" t="s">
        <v>131</v>
      </c>
      <c r="N1530">
        <v>23</v>
      </c>
      <c r="O1530" t="s">
        <v>40</v>
      </c>
      <c r="P1530" t="s">
        <v>40</v>
      </c>
      <c r="Q1530" t="s">
        <v>40</v>
      </c>
      <c r="R1530" t="s">
        <v>40</v>
      </c>
      <c r="S1530" t="s">
        <v>40</v>
      </c>
      <c r="U1530" s="1">
        <v>43368</v>
      </c>
      <c r="V1530" t="s">
        <v>41</v>
      </c>
      <c r="W1530" t="s">
        <v>49</v>
      </c>
      <c r="X1530" t="str">
        <f>"0591906"</f>
        <v>0591906</v>
      </c>
      <c r="Y1530" t="s">
        <v>350</v>
      </c>
      <c r="Z1530" t="s">
        <v>345</v>
      </c>
      <c r="AA1530" t="s">
        <v>346</v>
      </c>
      <c r="AB1530" t="s">
        <v>131</v>
      </c>
      <c r="AC1530" t="s">
        <v>55</v>
      </c>
      <c r="AD1530" t="s">
        <v>45</v>
      </c>
      <c r="AE1530" s="1">
        <v>29952</v>
      </c>
      <c r="AF1530">
        <v>2</v>
      </c>
      <c r="AG1530" t="s">
        <v>346</v>
      </c>
      <c r="AH1530" s="36">
        <f t="shared" si="23"/>
        <v>37.513888888888886</v>
      </c>
      <c r="AI1530" s="40" t="s">
        <v>1778</v>
      </c>
    </row>
    <row r="1531" spans="1:35" x14ac:dyDescent="0.25">
      <c r="A1531" s="36">
        <v>99911529</v>
      </c>
      <c r="B1531" s="17" t="s">
        <v>32</v>
      </c>
      <c r="C1531" t="s">
        <v>82</v>
      </c>
      <c r="D1531" t="s">
        <v>83</v>
      </c>
      <c r="G1531" s="17" t="s">
        <v>48</v>
      </c>
      <c r="H1531" s="17">
        <v>1</v>
      </c>
      <c r="K1531" t="s">
        <v>345</v>
      </c>
      <c r="L1531" t="s">
        <v>346</v>
      </c>
      <c r="M1531" t="s">
        <v>131</v>
      </c>
      <c r="N1531">
        <v>21</v>
      </c>
      <c r="O1531" t="s">
        <v>40</v>
      </c>
      <c r="P1531" t="s">
        <v>40</v>
      </c>
      <c r="Q1531" t="s">
        <v>40</v>
      </c>
      <c r="R1531" t="s">
        <v>40</v>
      </c>
      <c r="S1531" t="s">
        <v>40</v>
      </c>
      <c r="V1531" t="s">
        <v>41</v>
      </c>
      <c r="W1531" t="s">
        <v>42</v>
      </c>
      <c r="X1531" t="str">
        <f>"0590906"</f>
        <v>0590906</v>
      </c>
      <c r="Y1531" t="s">
        <v>361</v>
      </c>
      <c r="Z1531" t="s">
        <v>345</v>
      </c>
      <c r="AA1531" t="s">
        <v>346</v>
      </c>
      <c r="AB1531" t="s">
        <v>131</v>
      </c>
      <c r="AC1531" t="s">
        <v>51</v>
      </c>
      <c r="AD1531" t="s">
        <v>45</v>
      </c>
      <c r="AE1531" s="1">
        <v>29952</v>
      </c>
      <c r="AF1531">
        <v>2</v>
      </c>
      <c r="AG1531" t="s">
        <v>346</v>
      </c>
      <c r="AH1531" s="36">
        <f t="shared" si="23"/>
        <v>37.513888888888886</v>
      </c>
      <c r="AI1531" s="40" t="s">
        <v>1778</v>
      </c>
    </row>
    <row r="1532" spans="1:35" x14ac:dyDescent="0.25">
      <c r="A1532" s="36">
        <v>99911530</v>
      </c>
      <c r="B1532" s="17" t="s">
        <v>32</v>
      </c>
      <c r="C1532" t="s">
        <v>295</v>
      </c>
      <c r="D1532" t="s">
        <v>296</v>
      </c>
      <c r="G1532" s="17" t="s">
        <v>35</v>
      </c>
      <c r="H1532" s="17">
        <v>1</v>
      </c>
      <c r="I1532" t="s">
        <v>379</v>
      </c>
      <c r="J1532" s="1">
        <v>42979</v>
      </c>
      <c r="K1532" t="s">
        <v>345</v>
      </c>
      <c r="L1532" t="s">
        <v>346</v>
      </c>
      <c r="M1532" t="s">
        <v>131</v>
      </c>
      <c r="N1532">
        <v>15</v>
      </c>
      <c r="O1532" t="s">
        <v>40</v>
      </c>
      <c r="P1532" t="s">
        <v>40</v>
      </c>
      <c r="Q1532" t="s">
        <v>40</v>
      </c>
      <c r="R1532" t="s">
        <v>40</v>
      </c>
      <c r="S1532" t="s">
        <v>40</v>
      </c>
      <c r="U1532" s="1">
        <v>42979</v>
      </c>
      <c r="V1532" t="s">
        <v>41</v>
      </c>
      <c r="W1532" t="s">
        <v>49</v>
      </c>
      <c r="X1532" t="str">
        <f>"0560032"</f>
        <v>0560032</v>
      </c>
      <c r="Y1532" t="s">
        <v>347</v>
      </c>
      <c r="Z1532" t="s">
        <v>345</v>
      </c>
      <c r="AA1532" t="s">
        <v>346</v>
      </c>
      <c r="AB1532" t="s">
        <v>131</v>
      </c>
      <c r="AC1532" t="s">
        <v>51</v>
      </c>
      <c r="AD1532" t="s">
        <v>45</v>
      </c>
      <c r="AE1532" s="1">
        <v>29952</v>
      </c>
      <c r="AF1532">
        <v>2</v>
      </c>
      <c r="AG1532" t="s">
        <v>346</v>
      </c>
      <c r="AH1532" s="36">
        <f t="shared" si="23"/>
        <v>37.513888888888886</v>
      </c>
      <c r="AI1532" s="40" t="s">
        <v>1778</v>
      </c>
    </row>
    <row r="1533" spans="1:35" x14ac:dyDescent="0.25">
      <c r="A1533" s="36">
        <v>99911531</v>
      </c>
      <c r="B1533" s="17" t="s">
        <v>32</v>
      </c>
      <c r="C1533" t="s">
        <v>71</v>
      </c>
      <c r="D1533" t="s">
        <v>72</v>
      </c>
      <c r="G1533" s="17" t="s">
        <v>35</v>
      </c>
      <c r="H1533" s="17">
        <v>1</v>
      </c>
      <c r="I1533">
        <v>24505</v>
      </c>
      <c r="J1533" s="1">
        <v>43344</v>
      </c>
      <c r="K1533" t="s">
        <v>380</v>
      </c>
      <c r="L1533" t="s">
        <v>381</v>
      </c>
      <c r="M1533" t="s">
        <v>131</v>
      </c>
      <c r="N1533">
        <v>6</v>
      </c>
      <c r="O1533" t="s">
        <v>40</v>
      </c>
      <c r="P1533" t="s">
        <v>40</v>
      </c>
      <c r="Q1533" t="s">
        <v>40</v>
      </c>
      <c r="R1533" t="s">
        <v>40</v>
      </c>
      <c r="S1533" t="s">
        <v>40</v>
      </c>
      <c r="U1533" s="1">
        <v>43344</v>
      </c>
      <c r="V1533" t="s">
        <v>41</v>
      </c>
      <c r="W1533" t="s">
        <v>49</v>
      </c>
      <c r="X1533" t="str">
        <f>"0580552"</f>
        <v>0580552</v>
      </c>
      <c r="Y1533" t="s">
        <v>386</v>
      </c>
      <c r="Z1533" t="s">
        <v>380</v>
      </c>
      <c r="AA1533" t="s">
        <v>381</v>
      </c>
      <c r="AB1533" t="s">
        <v>131</v>
      </c>
      <c r="AC1533" t="s">
        <v>51</v>
      </c>
      <c r="AD1533" t="s">
        <v>45</v>
      </c>
      <c r="AE1533" s="1">
        <v>29952</v>
      </c>
      <c r="AF1533">
        <v>2</v>
      </c>
      <c r="AG1533" t="s">
        <v>381</v>
      </c>
      <c r="AH1533" s="36">
        <f t="shared" si="23"/>
        <v>37.513888888888886</v>
      </c>
      <c r="AI1533" s="40" t="s">
        <v>1778</v>
      </c>
    </row>
    <row r="1534" spans="1:35" x14ac:dyDescent="0.25">
      <c r="A1534" s="36">
        <v>99911532</v>
      </c>
      <c r="B1534" s="17" t="s">
        <v>32</v>
      </c>
      <c r="C1534" t="s">
        <v>111</v>
      </c>
      <c r="D1534" t="s">
        <v>112</v>
      </c>
      <c r="G1534" s="17" t="s">
        <v>48</v>
      </c>
      <c r="H1534" s="17">
        <v>1</v>
      </c>
      <c r="K1534" t="s">
        <v>431</v>
      </c>
      <c r="L1534" t="s">
        <v>196</v>
      </c>
      <c r="M1534" t="s">
        <v>131</v>
      </c>
      <c r="N1534">
        <v>24</v>
      </c>
      <c r="O1534" t="s">
        <v>40</v>
      </c>
      <c r="P1534" t="s">
        <v>40</v>
      </c>
      <c r="Q1534" t="s">
        <v>40</v>
      </c>
      <c r="R1534" t="s">
        <v>40</v>
      </c>
      <c r="S1534" t="s">
        <v>40</v>
      </c>
      <c r="V1534" t="s">
        <v>41</v>
      </c>
      <c r="W1534" t="s">
        <v>75</v>
      </c>
      <c r="X1534" t="str">
        <f>"7521016"</f>
        <v>7521016</v>
      </c>
      <c r="Y1534" t="s">
        <v>448</v>
      </c>
      <c r="Z1534" t="s">
        <v>431</v>
      </c>
      <c r="AA1534" t="s">
        <v>196</v>
      </c>
      <c r="AB1534" t="s">
        <v>131</v>
      </c>
      <c r="AC1534" t="s">
        <v>51</v>
      </c>
      <c r="AD1534" t="s">
        <v>45</v>
      </c>
      <c r="AE1534" s="1">
        <v>29952</v>
      </c>
      <c r="AF1534">
        <v>1</v>
      </c>
      <c r="AG1534" t="s">
        <v>196</v>
      </c>
      <c r="AH1534" s="36">
        <f t="shared" si="23"/>
        <v>37.513888888888886</v>
      </c>
      <c r="AI1534" s="40" t="s">
        <v>1778</v>
      </c>
    </row>
    <row r="1535" spans="1:35" x14ac:dyDescent="0.25">
      <c r="A1535" s="36">
        <v>99911533</v>
      </c>
      <c r="B1535" s="17" t="s">
        <v>32</v>
      </c>
      <c r="C1535" t="s">
        <v>64</v>
      </c>
      <c r="D1535" t="s">
        <v>65</v>
      </c>
      <c r="G1535" s="17" t="s">
        <v>48</v>
      </c>
      <c r="H1535" s="17">
        <v>1</v>
      </c>
      <c r="K1535" t="s">
        <v>431</v>
      </c>
      <c r="L1535" t="s">
        <v>196</v>
      </c>
      <c r="M1535" t="s">
        <v>131</v>
      </c>
      <c r="N1535">
        <v>24</v>
      </c>
      <c r="O1535" t="s">
        <v>40</v>
      </c>
      <c r="P1535" t="s">
        <v>40</v>
      </c>
      <c r="Q1535" t="s">
        <v>40</v>
      </c>
      <c r="R1535" t="s">
        <v>40</v>
      </c>
      <c r="S1535" t="s">
        <v>40</v>
      </c>
      <c r="V1535" t="s">
        <v>41</v>
      </c>
      <c r="W1535" t="s">
        <v>75</v>
      </c>
      <c r="X1535" t="str">
        <f>"7521012"</f>
        <v>7521012</v>
      </c>
      <c r="Y1535" t="s">
        <v>432</v>
      </c>
      <c r="Z1535" t="s">
        <v>431</v>
      </c>
      <c r="AA1535" t="s">
        <v>196</v>
      </c>
      <c r="AB1535" t="s">
        <v>131</v>
      </c>
      <c r="AC1535" t="s">
        <v>51</v>
      </c>
      <c r="AD1535" t="s">
        <v>45</v>
      </c>
      <c r="AE1535" s="1">
        <v>29952</v>
      </c>
      <c r="AF1535">
        <v>1</v>
      </c>
      <c r="AG1535" t="s">
        <v>196</v>
      </c>
      <c r="AH1535" s="36">
        <f t="shared" si="23"/>
        <v>37.513888888888886</v>
      </c>
      <c r="AI1535" s="40" t="s">
        <v>1778</v>
      </c>
    </row>
    <row r="1536" spans="1:35" x14ac:dyDescent="0.25">
      <c r="A1536" s="36">
        <v>99911534</v>
      </c>
      <c r="B1536" s="17" t="s">
        <v>56</v>
      </c>
      <c r="C1536" t="s">
        <v>61</v>
      </c>
      <c r="D1536" t="s">
        <v>62</v>
      </c>
      <c r="G1536" s="17" t="s">
        <v>35</v>
      </c>
      <c r="H1536" s="17">
        <v>1</v>
      </c>
      <c r="I1536" t="s">
        <v>691</v>
      </c>
      <c r="J1536" s="1">
        <v>43344</v>
      </c>
      <c r="K1536" t="s">
        <v>268</v>
      </c>
      <c r="L1536" t="s">
        <v>269</v>
      </c>
      <c r="M1536" t="s">
        <v>131</v>
      </c>
      <c r="N1536">
        <v>24</v>
      </c>
      <c r="O1536" t="s">
        <v>40</v>
      </c>
      <c r="P1536" t="s">
        <v>40</v>
      </c>
      <c r="Q1536" t="s">
        <v>40</v>
      </c>
      <c r="R1536" t="s">
        <v>40</v>
      </c>
      <c r="S1536" t="s">
        <v>40</v>
      </c>
      <c r="U1536" s="1">
        <v>43344</v>
      </c>
      <c r="V1536" t="s">
        <v>41</v>
      </c>
      <c r="W1536" t="s">
        <v>75</v>
      </c>
      <c r="X1536" t="str">
        <f>"7052020"</f>
        <v>7052020</v>
      </c>
      <c r="Y1536" t="s">
        <v>267</v>
      </c>
      <c r="Z1536" t="s">
        <v>268</v>
      </c>
      <c r="AA1536" t="s">
        <v>269</v>
      </c>
      <c r="AB1536" t="s">
        <v>131</v>
      </c>
      <c r="AC1536" t="s">
        <v>51</v>
      </c>
      <c r="AD1536" t="s">
        <v>45</v>
      </c>
      <c r="AE1536" s="1">
        <v>29952</v>
      </c>
      <c r="AF1536">
        <v>1</v>
      </c>
      <c r="AG1536" t="s">
        <v>269</v>
      </c>
      <c r="AH1536" s="36">
        <f t="shared" si="23"/>
        <v>37.513888888888886</v>
      </c>
      <c r="AI1536" s="40" t="s">
        <v>1778</v>
      </c>
    </row>
    <row r="1537" spans="1:35" x14ac:dyDescent="0.25">
      <c r="A1537" s="36">
        <v>99911535</v>
      </c>
      <c r="B1537" s="17" t="s">
        <v>32</v>
      </c>
      <c r="C1537" t="s">
        <v>46</v>
      </c>
      <c r="D1537" t="s">
        <v>47</v>
      </c>
      <c r="G1537" s="17" t="s">
        <v>35</v>
      </c>
      <c r="H1537" s="17">
        <v>1</v>
      </c>
      <c r="I1537" t="s">
        <v>717</v>
      </c>
      <c r="J1537" s="1">
        <v>43344</v>
      </c>
      <c r="K1537" t="s">
        <v>268</v>
      </c>
      <c r="L1537" t="s">
        <v>269</v>
      </c>
      <c r="M1537" t="s">
        <v>131</v>
      </c>
      <c r="N1537">
        <v>24</v>
      </c>
      <c r="O1537" t="s">
        <v>40</v>
      </c>
      <c r="S1537" t="s">
        <v>40</v>
      </c>
      <c r="V1537" t="s">
        <v>41</v>
      </c>
      <c r="W1537" t="s">
        <v>75</v>
      </c>
      <c r="X1537" t="str">
        <f>"7052012"</f>
        <v>7052012</v>
      </c>
      <c r="Y1537" t="s">
        <v>270</v>
      </c>
      <c r="Z1537" t="s">
        <v>268</v>
      </c>
      <c r="AA1537" t="s">
        <v>269</v>
      </c>
      <c r="AB1537" t="s">
        <v>131</v>
      </c>
      <c r="AC1537" t="s">
        <v>51</v>
      </c>
      <c r="AD1537" t="s">
        <v>45</v>
      </c>
      <c r="AE1537" s="1">
        <v>29952</v>
      </c>
      <c r="AF1537">
        <v>1</v>
      </c>
      <c r="AG1537" t="s">
        <v>269</v>
      </c>
      <c r="AH1537" s="36">
        <f t="shared" si="23"/>
        <v>37.513888888888886</v>
      </c>
      <c r="AI1537" s="40" t="s">
        <v>1778</v>
      </c>
    </row>
    <row r="1538" spans="1:35" x14ac:dyDescent="0.25">
      <c r="A1538" s="36">
        <v>99911536</v>
      </c>
      <c r="B1538" s="17" t="s">
        <v>32</v>
      </c>
      <c r="C1538" t="s">
        <v>71</v>
      </c>
      <c r="D1538" t="s">
        <v>72</v>
      </c>
      <c r="G1538" s="17" t="s">
        <v>48</v>
      </c>
      <c r="H1538" s="17">
        <v>1</v>
      </c>
      <c r="K1538" t="s">
        <v>407</v>
      </c>
      <c r="L1538" t="s">
        <v>409</v>
      </c>
      <c r="M1538" t="s">
        <v>131</v>
      </c>
      <c r="N1538">
        <v>6</v>
      </c>
      <c r="O1538" t="s">
        <v>40</v>
      </c>
      <c r="P1538" t="s">
        <v>40</v>
      </c>
      <c r="Q1538" t="s">
        <v>40</v>
      </c>
      <c r="R1538" t="s">
        <v>40</v>
      </c>
      <c r="S1538" t="s">
        <v>40</v>
      </c>
      <c r="V1538" t="s">
        <v>41</v>
      </c>
      <c r="W1538" t="s">
        <v>75</v>
      </c>
      <c r="X1538" t="str">
        <f>"7053000"</f>
        <v>7053000</v>
      </c>
      <c r="Y1538" t="s">
        <v>754</v>
      </c>
      <c r="Z1538" t="s">
        <v>407</v>
      </c>
      <c r="AA1538" t="s">
        <v>409</v>
      </c>
      <c r="AB1538" t="s">
        <v>131</v>
      </c>
      <c r="AC1538" t="s">
        <v>51</v>
      </c>
      <c r="AD1538" t="s">
        <v>45</v>
      </c>
      <c r="AE1538" s="1">
        <v>29952</v>
      </c>
      <c r="AF1538">
        <v>1</v>
      </c>
      <c r="AG1538" t="s">
        <v>409</v>
      </c>
      <c r="AH1538" s="36">
        <f t="shared" ref="AH1538:AH1601" si="24">($AJ$1-AE1538)/360</f>
        <v>37.513888888888886</v>
      </c>
      <c r="AI1538" s="40" t="s">
        <v>1778</v>
      </c>
    </row>
    <row r="1539" spans="1:35" x14ac:dyDescent="0.25">
      <c r="A1539" s="36">
        <v>99911537</v>
      </c>
      <c r="B1539" s="17" t="s">
        <v>32</v>
      </c>
      <c r="C1539" t="s">
        <v>90</v>
      </c>
      <c r="D1539" t="s">
        <v>91</v>
      </c>
      <c r="G1539" s="17" t="s">
        <v>48</v>
      </c>
      <c r="H1539" s="17">
        <v>5</v>
      </c>
      <c r="J1539" s="1">
        <v>43344</v>
      </c>
      <c r="K1539" t="s">
        <v>354</v>
      </c>
      <c r="L1539" t="s">
        <v>355</v>
      </c>
      <c r="M1539" t="s">
        <v>131</v>
      </c>
      <c r="N1539">
        <v>25</v>
      </c>
      <c r="O1539" t="s">
        <v>40</v>
      </c>
      <c r="P1539" t="s">
        <v>40</v>
      </c>
      <c r="Q1539" t="s">
        <v>40</v>
      </c>
      <c r="R1539" t="s">
        <v>40</v>
      </c>
      <c r="S1539" t="s">
        <v>40</v>
      </c>
      <c r="U1539" s="1">
        <v>43344</v>
      </c>
      <c r="V1539" t="s">
        <v>41</v>
      </c>
      <c r="W1539" t="s">
        <v>95</v>
      </c>
      <c r="X1539" t="str">
        <f>"7054025"</f>
        <v>7054025</v>
      </c>
      <c r="Y1539" t="s">
        <v>794</v>
      </c>
      <c r="Z1539" t="s">
        <v>354</v>
      </c>
      <c r="AA1539" t="s">
        <v>355</v>
      </c>
      <c r="AB1539" t="s">
        <v>131</v>
      </c>
      <c r="AC1539" t="s">
        <v>51</v>
      </c>
      <c r="AD1539" t="s">
        <v>45</v>
      </c>
      <c r="AE1539" s="1">
        <v>29952</v>
      </c>
      <c r="AF1539">
        <v>1</v>
      </c>
      <c r="AG1539" t="s">
        <v>355</v>
      </c>
      <c r="AH1539" s="36">
        <f t="shared" si="24"/>
        <v>37.513888888888886</v>
      </c>
      <c r="AI1539" s="40" t="s">
        <v>1778</v>
      </c>
    </row>
    <row r="1540" spans="1:35" x14ac:dyDescent="0.25">
      <c r="A1540" s="36">
        <v>99911538</v>
      </c>
      <c r="B1540" s="17" t="s">
        <v>32</v>
      </c>
      <c r="C1540" t="s">
        <v>71</v>
      </c>
      <c r="D1540" t="s">
        <v>72</v>
      </c>
      <c r="G1540" s="17" t="s">
        <v>35</v>
      </c>
      <c r="H1540" s="17">
        <v>1</v>
      </c>
      <c r="I1540">
        <v>16870</v>
      </c>
      <c r="J1540" s="1">
        <v>43344</v>
      </c>
      <c r="K1540" t="s">
        <v>354</v>
      </c>
      <c r="L1540" t="s">
        <v>355</v>
      </c>
      <c r="M1540" t="s">
        <v>131</v>
      </c>
      <c r="N1540">
        <v>10</v>
      </c>
      <c r="O1540" t="s">
        <v>40</v>
      </c>
      <c r="P1540" t="s">
        <v>40</v>
      </c>
      <c r="Q1540" t="s">
        <v>40</v>
      </c>
      <c r="R1540" t="s">
        <v>40</v>
      </c>
      <c r="S1540" t="s">
        <v>40</v>
      </c>
      <c r="U1540" s="1">
        <v>43344</v>
      </c>
      <c r="V1540" t="s">
        <v>41</v>
      </c>
      <c r="W1540" t="s">
        <v>75</v>
      </c>
      <c r="X1540" t="str">
        <f>"7054012"</f>
        <v>7054012</v>
      </c>
      <c r="Y1540" t="s">
        <v>353</v>
      </c>
      <c r="Z1540" t="s">
        <v>354</v>
      </c>
      <c r="AA1540" t="s">
        <v>355</v>
      </c>
      <c r="AB1540" t="s">
        <v>131</v>
      </c>
      <c r="AC1540" t="s">
        <v>51</v>
      </c>
      <c r="AD1540" t="s">
        <v>45</v>
      </c>
      <c r="AE1540" s="1">
        <v>29952</v>
      </c>
      <c r="AF1540">
        <v>1</v>
      </c>
      <c r="AG1540" t="s">
        <v>355</v>
      </c>
      <c r="AH1540" s="36">
        <f t="shared" si="24"/>
        <v>37.513888888888886</v>
      </c>
      <c r="AI1540" s="40" t="s">
        <v>1778</v>
      </c>
    </row>
    <row r="1541" spans="1:35" x14ac:dyDescent="0.25">
      <c r="A1541" s="36">
        <v>99911539</v>
      </c>
      <c r="B1541" s="17" t="s">
        <v>32</v>
      </c>
      <c r="C1541" t="s">
        <v>64</v>
      </c>
      <c r="D1541" t="s">
        <v>65</v>
      </c>
      <c r="G1541" s="17" t="s">
        <v>35</v>
      </c>
      <c r="H1541" s="17">
        <v>1</v>
      </c>
      <c r="I1541">
        <v>12560</v>
      </c>
      <c r="J1541" s="1">
        <v>43344</v>
      </c>
      <c r="K1541" t="s">
        <v>354</v>
      </c>
      <c r="L1541" t="s">
        <v>355</v>
      </c>
      <c r="M1541" t="s">
        <v>131</v>
      </c>
      <c r="N1541">
        <v>20</v>
      </c>
      <c r="O1541" t="s">
        <v>40</v>
      </c>
      <c r="P1541" t="s">
        <v>40</v>
      </c>
      <c r="Q1541" t="s">
        <v>40</v>
      </c>
      <c r="R1541" t="s">
        <v>40</v>
      </c>
      <c r="S1541" t="s">
        <v>40</v>
      </c>
      <c r="U1541" s="1">
        <v>43344</v>
      </c>
      <c r="V1541" t="s">
        <v>41</v>
      </c>
      <c r="W1541" t="s">
        <v>75</v>
      </c>
      <c r="X1541" t="str">
        <f>"7054042"</f>
        <v>7054042</v>
      </c>
      <c r="Y1541" t="s">
        <v>776</v>
      </c>
      <c r="Z1541" t="s">
        <v>354</v>
      </c>
      <c r="AA1541" t="s">
        <v>355</v>
      </c>
      <c r="AB1541" t="s">
        <v>131</v>
      </c>
      <c r="AC1541" t="s">
        <v>51</v>
      </c>
      <c r="AD1541" t="s">
        <v>45</v>
      </c>
      <c r="AE1541" s="1">
        <v>29952</v>
      </c>
      <c r="AF1541">
        <v>1</v>
      </c>
      <c r="AG1541" t="s">
        <v>355</v>
      </c>
      <c r="AH1541" s="36">
        <f t="shared" si="24"/>
        <v>37.513888888888886</v>
      </c>
      <c r="AI1541" s="40" t="s">
        <v>1778</v>
      </c>
    </row>
    <row r="1542" spans="1:35" x14ac:dyDescent="0.25">
      <c r="A1542" s="36">
        <v>99911540</v>
      </c>
      <c r="B1542" s="17" t="s">
        <v>32</v>
      </c>
      <c r="C1542" t="s">
        <v>64</v>
      </c>
      <c r="D1542" t="s">
        <v>65</v>
      </c>
      <c r="G1542" s="17" t="s">
        <v>35</v>
      </c>
      <c r="H1542" s="17">
        <v>1</v>
      </c>
      <c r="I1542">
        <v>4138</v>
      </c>
      <c r="J1542" s="1">
        <v>43344</v>
      </c>
      <c r="K1542" t="s">
        <v>877</v>
      </c>
      <c r="L1542" t="s">
        <v>878</v>
      </c>
      <c r="M1542" t="s">
        <v>131</v>
      </c>
      <c r="N1542">
        <v>12</v>
      </c>
      <c r="O1542" t="s">
        <v>40</v>
      </c>
      <c r="P1542" t="s">
        <v>40</v>
      </c>
      <c r="Q1542" t="s">
        <v>40</v>
      </c>
      <c r="R1542" t="s">
        <v>40</v>
      </c>
      <c r="S1542" t="s">
        <v>40</v>
      </c>
      <c r="U1542" s="1">
        <v>43344</v>
      </c>
      <c r="V1542" t="s">
        <v>41</v>
      </c>
      <c r="W1542" t="s">
        <v>75</v>
      </c>
      <c r="X1542" t="str">
        <f>"7541020"</f>
        <v>7541020</v>
      </c>
      <c r="Y1542" t="s">
        <v>882</v>
      </c>
      <c r="Z1542" t="s">
        <v>877</v>
      </c>
      <c r="AA1542" t="s">
        <v>878</v>
      </c>
      <c r="AB1542" t="s">
        <v>131</v>
      </c>
      <c r="AC1542" t="s">
        <v>51</v>
      </c>
      <c r="AD1542" t="s">
        <v>45</v>
      </c>
      <c r="AE1542" s="1">
        <v>29952</v>
      </c>
      <c r="AF1542">
        <v>1</v>
      </c>
      <c r="AG1542" t="s">
        <v>878</v>
      </c>
      <c r="AH1542" s="36">
        <f t="shared" si="24"/>
        <v>37.513888888888886</v>
      </c>
      <c r="AI1542" s="40" t="s">
        <v>1778</v>
      </c>
    </row>
    <row r="1543" spans="1:35" x14ac:dyDescent="0.25">
      <c r="A1543" s="36">
        <v>99911541</v>
      </c>
      <c r="B1543" s="17" t="s">
        <v>32</v>
      </c>
      <c r="C1543" t="s">
        <v>46</v>
      </c>
      <c r="D1543" t="s">
        <v>47</v>
      </c>
      <c r="G1543" s="17" t="s">
        <v>35</v>
      </c>
      <c r="H1543" s="17">
        <v>1</v>
      </c>
      <c r="I1543">
        <v>4616</v>
      </c>
      <c r="J1543" s="1">
        <v>43350</v>
      </c>
      <c r="K1543" t="s">
        <v>919</v>
      </c>
      <c r="L1543" t="s">
        <v>920</v>
      </c>
      <c r="M1543" t="s">
        <v>921</v>
      </c>
      <c r="N1543">
        <v>11</v>
      </c>
      <c r="O1543" t="s">
        <v>40</v>
      </c>
      <c r="P1543" t="s">
        <v>40</v>
      </c>
      <c r="Q1543" t="s">
        <v>40</v>
      </c>
      <c r="R1543" t="s">
        <v>40</v>
      </c>
      <c r="S1543" t="s">
        <v>40</v>
      </c>
      <c r="U1543" s="1">
        <v>43350</v>
      </c>
      <c r="V1543" t="s">
        <v>41</v>
      </c>
      <c r="W1543" t="s">
        <v>922</v>
      </c>
      <c r="X1543" t="str">
        <f>"5162001"</f>
        <v>5162001</v>
      </c>
      <c r="Y1543" t="s">
        <v>923</v>
      </c>
      <c r="Z1543" t="s">
        <v>919</v>
      </c>
      <c r="AA1543" t="s">
        <v>920</v>
      </c>
      <c r="AB1543" t="s">
        <v>921</v>
      </c>
      <c r="AC1543" t="s">
        <v>44</v>
      </c>
      <c r="AD1543" t="s">
        <v>45</v>
      </c>
      <c r="AE1543" s="1">
        <v>29952</v>
      </c>
      <c r="AF1543">
        <v>2</v>
      </c>
      <c r="AG1543" t="s">
        <v>920</v>
      </c>
      <c r="AH1543" s="36">
        <f t="shared" si="24"/>
        <v>37.513888888888886</v>
      </c>
      <c r="AI1543" s="40" t="s">
        <v>1778</v>
      </c>
    </row>
    <row r="1544" spans="1:35" x14ac:dyDescent="0.25">
      <c r="A1544" s="36">
        <v>99911542</v>
      </c>
      <c r="B1544" s="17" t="s">
        <v>56</v>
      </c>
      <c r="C1544" t="s">
        <v>52</v>
      </c>
      <c r="D1544" t="s">
        <v>53</v>
      </c>
      <c r="G1544" s="17" t="s">
        <v>48</v>
      </c>
      <c r="H1544" s="17">
        <v>1</v>
      </c>
      <c r="K1544" t="s">
        <v>936</v>
      </c>
      <c r="L1544" t="s">
        <v>937</v>
      </c>
      <c r="M1544" t="s">
        <v>938</v>
      </c>
      <c r="N1544">
        <v>23</v>
      </c>
      <c r="O1544" t="s">
        <v>40</v>
      </c>
      <c r="P1544" t="s">
        <v>40</v>
      </c>
      <c r="Q1544" t="s">
        <v>40</v>
      </c>
      <c r="R1544" t="s">
        <v>40</v>
      </c>
      <c r="S1544" t="s">
        <v>40</v>
      </c>
      <c r="V1544" t="s">
        <v>41</v>
      </c>
      <c r="W1544" t="s">
        <v>49</v>
      </c>
      <c r="X1544" t="str">
        <f>"0160075"</f>
        <v>0160075</v>
      </c>
      <c r="Y1544" t="s">
        <v>939</v>
      </c>
      <c r="Z1544" t="s">
        <v>936</v>
      </c>
      <c r="AA1544" t="s">
        <v>937</v>
      </c>
      <c r="AB1544" t="s">
        <v>938</v>
      </c>
      <c r="AC1544" t="s">
        <v>51</v>
      </c>
      <c r="AD1544" t="s">
        <v>45</v>
      </c>
      <c r="AE1544" s="1">
        <v>29952</v>
      </c>
      <c r="AF1544">
        <v>2</v>
      </c>
      <c r="AG1544" t="s">
        <v>937</v>
      </c>
      <c r="AH1544" s="36">
        <f t="shared" si="24"/>
        <v>37.513888888888886</v>
      </c>
      <c r="AI1544" s="40" t="s">
        <v>1778</v>
      </c>
    </row>
    <row r="1545" spans="1:35" x14ac:dyDescent="0.25">
      <c r="A1545" s="36">
        <v>99911543</v>
      </c>
      <c r="B1545" s="17" t="s">
        <v>32</v>
      </c>
      <c r="C1545" t="s">
        <v>111</v>
      </c>
      <c r="D1545" t="s">
        <v>112</v>
      </c>
      <c r="G1545" s="17" t="s">
        <v>35</v>
      </c>
      <c r="H1545" s="17">
        <v>1</v>
      </c>
      <c r="I1545">
        <v>0</v>
      </c>
      <c r="J1545" s="1">
        <v>43344</v>
      </c>
      <c r="K1545" t="s">
        <v>985</v>
      </c>
      <c r="L1545" t="s">
        <v>986</v>
      </c>
      <c r="M1545" t="s">
        <v>938</v>
      </c>
      <c r="N1545">
        <v>24</v>
      </c>
      <c r="O1545" t="s">
        <v>40</v>
      </c>
      <c r="P1545" t="s">
        <v>40</v>
      </c>
      <c r="Q1545" t="s">
        <v>40</v>
      </c>
      <c r="R1545" t="s">
        <v>40</v>
      </c>
      <c r="S1545" t="s">
        <v>40</v>
      </c>
      <c r="U1545" s="1">
        <v>43344</v>
      </c>
      <c r="V1545" t="s">
        <v>41</v>
      </c>
      <c r="W1545" t="s">
        <v>75</v>
      </c>
      <c r="X1545" t="str">
        <f>"7011004"</f>
        <v>7011004</v>
      </c>
      <c r="Y1545" t="s">
        <v>987</v>
      </c>
      <c r="Z1545" t="s">
        <v>985</v>
      </c>
      <c r="AA1545" t="s">
        <v>986</v>
      </c>
      <c r="AB1545" t="s">
        <v>938</v>
      </c>
      <c r="AC1545" t="s">
        <v>51</v>
      </c>
      <c r="AD1545" t="s">
        <v>45</v>
      </c>
      <c r="AE1545" s="1">
        <v>29952</v>
      </c>
      <c r="AF1545">
        <v>1</v>
      </c>
      <c r="AG1545" t="s">
        <v>986</v>
      </c>
      <c r="AH1545" s="36">
        <f t="shared" si="24"/>
        <v>37.513888888888886</v>
      </c>
      <c r="AI1545" s="40" t="s">
        <v>1778</v>
      </c>
    </row>
    <row r="1546" spans="1:35" x14ac:dyDescent="0.25">
      <c r="A1546" s="36">
        <v>99911544</v>
      </c>
      <c r="B1546" s="17" t="s">
        <v>32</v>
      </c>
      <c r="C1546" t="s">
        <v>64</v>
      </c>
      <c r="D1546" t="s">
        <v>65</v>
      </c>
      <c r="G1546" s="17" t="s">
        <v>35</v>
      </c>
      <c r="H1546" s="17">
        <v>1</v>
      </c>
      <c r="K1546" t="s">
        <v>963</v>
      </c>
      <c r="L1546" t="s">
        <v>964</v>
      </c>
      <c r="M1546" t="s">
        <v>938</v>
      </c>
      <c r="N1546">
        <v>21</v>
      </c>
      <c r="O1546" t="s">
        <v>40</v>
      </c>
      <c r="P1546" t="s">
        <v>40</v>
      </c>
      <c r="Q1546" t="s">
        <v>40</v>
      </c>
      <c r="R1546" t="s">
        <v>40</v>
      </c>
      <c r="S1546" t="s">
        <v>40</v>
      </c>
      <c r="V1546" t="s">
        <v>41</v>
      </c>
      <c r="W1546" t="s">
        <v>75</v>
      </c>
      <c r="X1546" t="str">
        <f>"7061000"</f>
        <v>7061000</v>
      </c>
      <c r="Y1546" t="s">
        <v>962</v>
      </c>
      <c r="Z1546" t="s">
        <v>963</v>
      </c>
      <c r="AA1546" t="s">
        <v>964</v>
      </c>
      <c r="AB1546" t="s">
        <v>938</v>
      </c>
      <c r="AC1546" t="s">
        <v>165</v>
      </c>
      <c r="AD1546" t="s">
        <v>45</v>
      </c>
      <c r="AE1546" s="1">
        <v>29952</v>
      </c>
      <c r="AF1546">
        <v>1</v>
      </c>
      <c r="AG1546" t="s">
        <v>964</v>
      </c>
      <c r="AH1546" s="36">
        <f t="shared" si="24"/>
        <v>37.513888888888886</v>
      </c>
      <c r="AI1546" s="40" t="s">
        <v>1778</v>
      </c>
    </row>
    <row r="1547" spans="1:35" x14ac:dyDescent="0.25">
      <c r="A1547" s="36">
        <v>99911545</v>
      </c>
      <c r="B1547" s="17" t="s">
        <v>32</v>
      </c>
      <c r="C1547" t="s">
        <v>111</v>
      </c>
      <c r="D1547" t="s">
        <v>112</v>
      </c>
      <c r="G1547" s="17" t="s">
        <v>35</v>
      </c>
      <c r="H1547" s="17">
        <v>1</v>
      </c>
      <c r="I1547" t="s">
        <v>1092</v>
      </c>
      <c r="J1547" s="1">
        <v>42334</v>
      </c>
      <c r="K1547" t="s">
        <v>1081</v>
      </c>
      <c r="L1547" t="s">
        <v>1082</v>
      </c>
      <c r="M1547" t="s">
        <v>1053</v>
      </c>
      <c r="N1547">
        <v>24</v>
      </c>
      <c r="O1547" t="s">
        <v>40</v>
      </c>
      <c r="P1547" t="s">
        <v>40</v>
      </c>
      <c r="Q1547" t="s">
        <v>40</v>
      </c>
      <c r="R1547" t="s">
        <v>40</v>
      </c>
      <c r="S1547" t="s">
        <v>40</v>
      </c>
      <c r="U1547" s="1">
        <v>42334</v>
      </c>
      <c r="V1547" t="s">
        <v>41</v>
      </c>
      <c r="W1547" t="s">
        <v>75</v>
      </c>
      <c r="X1547" t="str">
        <f>"7201006"</f>
        <v>7201006</v>
      </c>
      <c r="Y1547" t="s">
        <v>1083</v>
      </c>
      <c r="Z1547" t="s">
        <v>1081</v>
      </c>
      <c r="AA1547" t="s">
        <v>1082</v>
      </c>
      <c r="AB1547" t="s">
        <v>1053</v>
      </c>
      <c r="AC1547" t="s">
        <v>44</v>
      </c>
      <c r="AD1547" t="s">
        <v>45</v>
      </c>
      <c r="AE1547" s="1">
        <v>29952</v>
      </c>
      <c r="AF1547">
        <v>1</v>
      </c>
      <c r="AG1547" t="s">
        <v>1082</v>
      </c>
      <c r="AH1547" s="36">
        <f t="shared" si="24"/>
        <v>37.513888888888886</v>
      </c>
      <c r="AI1547" s="40" t="s">
        <v>1778</v>
      </c>
    </row>
    <row r="1548" spans="1:35" x14ac:dyDescent="0.25">
      <c r="A1548" s="36">
        <v>99911546</v>
      </c>
      <c r="B1548" s="17" t="s">
        <v>32</v>
      </c>
      <c r="C1548" t="s">
        <v>46</v>
      </c>
      <c r="D1548" t="s">
        <v>47</v>
      </c>
      <c r="G1548" s="17" t="s">
        <v>35</v>
      </c>
      <c r="H1548" s="17">
        <v>1</v>
      </c>
      <c r="K1548" t="s">
        <v>1198</v>
      </c>
      <c r="L1548" t="s">
        <v>1199</v>
      </c>
      <c r="M1548" t="s">
        <v>1130</v>
      </c>
      <c r="N1548">
        <v>24</v>
      </c>
      <c r="O1548" t="s">
        <v>40</v>
      </c>
      <c r="P1548" t="s">
        <v>40</v>
      </c>
      <c r="Q1548" t="s">
        <v>40</v>
      </c>
      <c r="R1548" t="s">
        <v>40</v>
      </c>
      <c r="S1548" t="s">
        <v>40</v>
      </c>
      <c r="V1548" t="s">
        <v>41</v>
      </c>
      <c r="W1548" t="s">
        <v>75</v>
      </c>
      <c r="X1548" t="str">
        <f>"7311006"</f>
        <v>7311006</v>
      </c>
      <c r="Y1548" t="s">
        <v>1200</v>
      </c>
      <c r="Z1548" t="s">
        <v>1198</v>
      </c>
      <c r="AA1548" t="s">
        <v>1199</v>
      </c>
      <c r="AB1548" t="s">
        <v>1130</v>
      </c>
      <c r="AC1548" t="s">
        <v>51</v>
      </c>
      <c r="AD1548" t="s">
        <v>45</v>
      </c>
      <c r="AE1548" s="1">
        <v>29952</v>
      </c>
      <c r="AF1548">
        <v>1</v>
      </c>
      <c r="AG1548" t="s">
        <v>1199</v>
      </c>
      <c r="AH1548" s="36">
        <f t="shared" si="24"/>
        <v>37.513888888888886</v>
      </c>
      <c r="AI1548" s="40" t="s">
        <v>1778</v>
      </c>
    </row>
    <row r="1549" spans="1:35" x14ac:dyDescent="0.25">
      <c r="A1549" s="36">
        <v>99911547</v>
      </c>
      <c r="B1549" s="17" t="s">
        <v>32</v>
      </c>
      <c r="C1549" t="s">
        <v>111</v>
      </c>
      <c r="D1549" t="s">
        <v>112</v>
      </c>
      <c r="G1549" s="17" t="s">
        <v>48</v>
      </c>
      <c r="H1549" s="17">
        <v>1</v>
      </c>
      <c r="I1549" t="s">
        <v>1212</v>
      </c>
      <c r="J1549" s="1">
        <v>41941</v>
      </c>
      <c r="K1549" t="s">
        <v>1198</v>
      </c>
      <c r="L1549" t="s">
        <v>1199</v>
      </c>
      <c r="M1549" t="s">
        <v>1130</v>
      </c>
      <c r="N1549">
        <v>24</v>
      </c>
      <c r="O1549" t="s">
        <v>40</v>
      </c>
      <c r="P1549" t="s">
        <v>40</v>
      </c>
      <c r="Q1549" t="s">
        <v>40</v>
      </c>
      <c r="R1549" t="s">
        <v>40</v>
      </c>
      <c r="S1549" t="s">
        <v>40</v>
      </c>
      <c r="U1549" s="1">
        <v>41941</v>
      </c>
      <c r="V1549" t="s">
        <v>41</v>
      </c>
      <c r="W1549" t="s">
        <v>75</v>
      </c>
      <c r="X1549" t="str">
        <f>"7311008"</f>
        <v>7311008</v>
      </c>
      <c r="Y1549" t="s">
        <v>1205</v>
      </c>
      <c r="Z1549" t="s">
        <v>1198</v>
      </c>
      <c r="AA1549" t="s">
        <v>1199</v>
      </c>
      <c r="AB1549" t="s">
        <v>1130</v>
      </c>
      <c r="AC1549" t="s">
        <v>51</v>
      </c>
      <c r="AD1549" t="s">
        <v>45</v>
      </c>
      <c r="AE1549" s="1">
        <v>29952</v>
      </c>
      <c r="AF1549">
        <v>1</v>
      </c>
      <c r="AG1549" t="s">
        <v>1199</v>
      </c>
      <c r="AH1549" s="36">
        <f t="shared" si="24"/>
        <v>37.513888888888886</v>
      </c>
      <c r="AI1549" s="40" t="s">
        <v>1778</v>
      </c>
    </row>
    <row r="1550" spans="1:35" x14ac:dyDescent="0.25">
      <c r="A1550" s="36">
        <v>99911548</v>
      </c>
      <c r="B1550" s="17" t="s">
        <v>32</v>
      </c>
      <c r="C1550" t="s">
        <v>71</v>
      </c>
      <c r="D1550" t="s">
        <v>72</v>
      </c>
      <c r="G1550" s="17" t="s">
        <v>48</v>
      </c>
      <c r="H1550" s="17">
        <v>2</v>
      </c>
      <c r="K1550" t="s">
        <v>1268</v>
      </c>
      <c r="L1550" t="s">
        <v>1269</v>
      </c>
      <c r="M1550" t="s">
        <v>1270</v>
      </c>
      <c r="N1550">
        <v>23</v>
      </c>
      <c r="O1550" t="s">
        <v>40</v>
      </c>
      <c r="P1550" t="s">
        <v>40</v>
      </c>
      <c r="Q1550" t="s">
        <v>40</v>
      </c>
      <c r="R1550" t="s">
        <v>40</v>
      </c>
      <c r="S1550" t="s">
        <v>40</v>
      </c>
      <c r="V1550" t="s">
        <v>41</v>
      </c>
      <c r="W1550" t="s">
        <v>49</v>
      </c>
      <c r="X1550" t="str">
        <f>"1960001"</f>
        <v>1960001</v>
      </c>
      <c r="Y1550" t="s">
        <v>1272</v>
      </c>
      <c r="Z1550" t="s">
        <v>1268</v>
      </c>
      <c r="AA1550" t="s">
        <v>1269</v>
      </c>
      <c r="AB1550" t="s">
        <v>1270</v>
      </c>
      <c r="AC1550" t="s">
        <v>51</v>
      </c>
      <c r="AD1550" t="s">
        <v>45</v>
      </c>
      <c r="AE1550" s="1">
        <v>29952</v>
      </c>
      <c r="AF1550">
        <v>2</v>
      </c>
      <c r="AG1550" t="s">
        <v>1269</v>
      </c>
      <c r="AH1550" s="36">
        <f t="shared" si="24"/>
        <v>37.513888888888886</v>
      </c>
      <c r="AI1550" s="40" t="s">
        <v>1778</v>
      </c>
    </row>
    <row r="1551" spans="1:35" x14ac:dyDescent="0.25">
      <c r="A1551" s="36">
        <v>99911549</v>
      </c>
      <c r="B1551" s="17" t="s">
        <v>32</v>
      </c>
      <c r="C1551" t="s">
        <v>64</v>
      </c>
      <c r="D1551" t="s">
        <v>65</v>
      </c>
      <c r="G1551" s="17" t="s">
        <v>35</v>
      </c>
      <c r="H1551" s="17">
        <v>1</v>
      </c>
      <c r="I1551" s="1">
        <v>42614</v>
      </c>
      <c r="J1551" s="1">
        <v>43344</v>
      </c>
      <c r="K1551" t="s">
        <v>1341</v>
      </c>
      <c r="L1551" t="s">
        <v>1342</v>
      </c>
      <c r="M1551" t="s">
        <v>1270</v>
      </c>
      <c r="N1551">
        <v>24</v>
      </c>
      <c r="O1551" t="s">
        <v>40</v>
      </c>
      <c r="P1551" t="s">
        <v>40</v>
      </c>
      <c r="Q1551" t="s">
        <v>40</v>
      </c>
      <c r="R1551" t="s">
        <v>40</v>
      </c>
      <c r="S1551" t="s">
        <v>40</v>
      </c>
      <c r="U1551" s="1">
        <v>43344</v>
      </c>
      <c r="V1551" t="s">
        <v>41</v>
      </c>
      <c r="W1551" t="s">
        <v>75</v>
      </c>
      <c r="X1551" t="str">
        <f>"7191004"</f>
        <v>7191004</v>
      </c>
      <c r="Y1551" t="s">
        <v>1344</v>
      </c>
      <c r="Z1551" t="s">
        <v>1341</v>
      </c>
      <c r="AA1551" t="s">
        <v>1342</v>
      </c>
      <c r="AB1551" t="s">
        <v>1270</v>
      </c>
      <c r="AC1551" t="s">
        <v>51</v>
      </c>
      <c r="AD1551" t="s">
        <v>45</v>
      </c>
      <c r="AE1551" s="1">
        <v>29952</v>
      </c>
      <c r="AF1551">
        <v>1</v>
      </c>
      <c r="AG1551" t="s">
        <v>1342</v>
      </c>
      <c r="AH1551" s="36">
        <f t="shared" si="24"/>
        <v>37.513888888888886</v>
      </c>
      <c r="AI1551" s="40" t="s">
        <v>1778</v>
      </c>
    </row>
    <row r="1552" spans="1:35" x14ac:dyDescent="0.25">
      <c r="A1552" s="36">
        <v>99911550</v>
      </c>
      <c r="B1552" s="17" t="s">
        <v>32</v>
      </c>
      <c r="C1552" t="s">
        <v>90</v>
      </c>
      <c r="D1552" t="s">
        <v>91</v>
      </c>
      <c r="G1552" s="17" t="s">
        <v>35</v>
      </c>
      <c r="H1552" s="17">
        <v>1</v>
      </c>
      <c r="I1552" s="1">
        <v>42614</v>
      </c>
      <c r="J1552" s="1">
        <v>43344</v>
      </c>
      <c r="K1552" t="s">
        <v>1341</v>
      </c>
      <c r="L1552" t="s">
        <v>1342</v>
      </c>
      <c r="M1552" t="s">
        <v>1270</v>
      </c>
      <c r="N1552">
        <v>24</v>
      </c>
      <c r="O1552" t="s">
        <v>40</v>
      </c>
      <c r="P1552" t="s">
        <v>40</v>
      </c>
      <c r="Q1552" t="s">
        <v>40</v>
      </c>
      <c r="R1552" t="s">
        <v>40</v>
      </c>
      <c r="S1552" t="s">
        <v>40</v>
      </c>
      <c r="U1552" s="1">
        <v>43344</v>
      </c>
      <c r="V1552" t="s">
        <v>41</v>
      </c>
      <c r="W1552" t="s">
        <v>95</v>
      </c>
      <c r="X1552" t="str">
        <f>"7191005"</f>
        <v>7191005</v>
      </c>
      <c r="Y1552" t="s">
        <v>1356</v>
      </c>
      <c r="Z1552" t="s">
        <v>1341</v>
      </c>
      <c r="AA1552" t="s">
        <v>1342</v>
      </c>
      <c r="AB1552" t="s">
        <v>1270</v>
      </c>
      <c r="AC1552" t="s">
        <v>51</v>
      </c>
      <c r="AD1552" t="s">
        <v>45</v>
      </c>
      <c r="AE1552" s="1">
        <v>29952</v>
      </c>
      <c r="AF1552">
        <v>1</v>
      </c>
      <c r="AG1552" t="s">
        <v>1342</v>
      </c>
      <c r="AH1552" s="36">
        <f t="shared" si="24"/>
        <v>37.513888888888886</v>
      </c>
      <c r="AI1552" s="40" t="s">
        <v>1778</v>
      </c>
    </row>
    <row r="1553" spans="1:35" x14ac:dyDescent="0.25">
      <c r="A1553" s="36">
        <v>99911551</v>
      </c>
      <c r="B1553" s="17" t="s">
        <v>32</v>
      </c>
      <c r="C1553" t="s">
        <v>139</v>
      </c>
      <c r="D1553" t="s">
        <v>140</v>
      </c>
      <c r="G1553" s="17" t="s">
        <v>35</v>
      </c>
      <c r="H1553" s="17">
        <v>1</v>
      </c>
      <c r="I1553" s="1">
        <v>42688</v>
      </c>
      <c r="J1553" s="1">
        <v>43344</v>
      </c>
      <c r="K1553" t="s">
        <v>1341</v>
      </c>
      <c r="L1553" t="s">
        <v>1342</v>
      </c>
      <c r="M1553" t="s">
        <v>1270</v>
      </c>
      <c r="N1553">
        <v>24</v>
      </c>
      <c r="O1553" t="s">
        <v>40</v>
      </c>
      <c r="P1553" t="s">
        <v>40</v>
      </c>
      <c r="Q1553" t="s">
        <v>40</v>
      </c>
      <c r="R1553" t="s">
        <v>40</v>
      </c>
      <c r="S1553" t="s">
        <v>40</v>
      </c>
      <c r="U1553" s="1">
        <v>43344</v>
      </c>
      <c r="V1553" t="s">
        <v>41</v>
      </c>
      <c r="W1553" t="s">
        <v>75</v>
      </c>
      <c r="X1553" t="str">
        <f>"7191000"</f>
        <v>7191000</v>
      </c>
      <c r="Y1553" t="s">
        <v>1347</v>
      </c>
      <c r="Z1553" t="s">
        <v>1341</v>
      </c>
      <c r="AA1553" t="s">
        <v>1342</v>
      </c>
      <c r="AB1553" t="s">
        <v>1270</v>
      </c>
      <c r="AC1553" t="s">
        <v>51</v>
      </c>
      <c r="AD1553" t="s">
        <v>45</v>
      </c>
      <c r="AE1553" s="1">
        <v>29952</v>
      </c>
      <c r="AF1553">
        <v>1</v>
      </c>
      <c r="AG1553" t="s">
        <v>1342</v>
      </c>
      <c r="AH1553" s="36">
        <f t="shared" si="24"/>
        <v>37.513888888888886</v>
      </c>
      <c r="AI1553" s="40" t="s">
        <v>1778</v>
      </c>
    </row>
    <row r="1554" spans="1:35" x14ac:dyDescent="0.25">
      <c r="A1554" s="36">
        <v>99911552</v>
      </c>
      <c r="B1554" s="17" t="s">
        <v>32</v>
      </c>
      <c r="C1554" t="s">
        <v>71</v>
      </c>
      <c r="D1554" t="s">
        <v>72</v>
      </c>
      <c r="G1554" s="17" t="s">
        <v>35</v>
      </c>
      <c r="H1554" s="17">
        <v>1</v>
      </c>
      <c r="I1554" s="1">
        <v>42688</v>
      </c>
      <c r="J1554" s="1">
        <v>43344</v>
      </c>
      <c r="K1554" t="s">
        <v>1341</v>
      </c>
      <c r="L1554" t="s">
        <v>1342</v>
      </c>
      <c r="M1554" t="s">
        <v>1270</v>
      </c>
      <c r="N1554">
        <v>24</v>
      </c>
      <c r="O1554" t="s">
        <v>40</v>
      </c>
      <c r="P1554" t="s">
        <v>40</v>
      </c>
      <c r="Q1554" t="s">
        <v>40</v>
      </c>
      <c r="R1554" t="s">
        <v>40</v>
      </c>
      <c r="S1554" t="s">
        <v>40</v>
      </c>
      <c r="U1554" s="1">
        <v>43344</v>
      </c>
      <c r="V1554" t="s">
        <v>41</v>
      </c>
      <c r="W1554" t="s">
        <v>75</v>
      </c>
      <c r="X1554" t="str">
        <f>"7191000"</f>
        <v>7191000</v>
      </c>
      <c r="Y1554" t="s">
        <v>1347</v>
      </c>
      <c r="Z1554" t="s">
        <v>1341</v>
      </c>
      <c r="AA1554" t="s">
        <v>1342</v>
      </c>
      <c r="AB1554" t="s">
        <v>1270</v>
      </c>
      <c r="AC1554" t="s">
        <v>51</v>
      </c>
      <c r="AD1554" t="s">
        <v>45</v>
      </c>
      <c r="AE1554" s="1">
        <v>29952</v>
      </c>
      <c r="AF1554">
        <v>1</v>
      </c>
      <c r="AG1554" t="s">
        <v>1342</v>
      </c>
      <c r="AH1554" s="36">
        <f t="shared" si="24"/>
        <v>37.513888888888886</v>
      </c>
      <c r="AI1554" s="40" t="s">
        <v>1778</v>
      </c>
    </row>
    <row r="1555" spans="1:35" x14ac:dyDescent="0.25">
      <c r="A1555" s="36">
        <v>99911553</v>
      </c>
      <c r="B1555" s="17" t="s">
        <v>32</v>
      </c>
      <c r="C1555" t="s">
        <v>71</v>
      </c>
      <c r="D1555" t="s">
        <v>72</v>
      </c>
      <c r="G1555" s="17" t="s">
        <v>48</v>
      </c>
      <c r="H1555" s="17">
        <v>1</v>
      </c>
      <c r="I1555" t="s">
        <v>1027</v>
      </c>
      <c r="J1555" s="1">
        <v>41983</v>
      </c>
      <c r="K1555" t="s">
        <v>1496</v>
      </c>
      <c r="L1555" t="s">
        <v>1497</v>
      </c>
      <c r="M1555" t="s">
        <v>670</v>
      </c>
      <c r="N1555">
        <v>12</v>
      </c>
      <c r="O1555" t="s">
        <v>40</v>
      </c>
      <c r="P1555" t="s">
        <v>40</v>
      </c>
      <c r="Q1555" t="s">
        <v>40</v>
      </c>
      <c r="R1555" t="s">
        <v>40</v>
      </c>
      <c r="S1555" t="s">
        <v>40</v>
      </c>
      <c r="U1555" s="1">
        <v>41983</v>
      </c>
      <c r="V1555" t="s">
        <v>41</v>
      </c>
      <c r="W1555" t="s">
        <v>49</v>
      </c>
      <c r="X1555" t="str">
        <f>"5060001"</f>
        <v>5060001</v>
      </c>
      <c r="Y1555" t="s">
        <v>1499</v>
      </c>
      <c r="Z1555" t="s">
        <v>1496</v>
      </c>
      <c r="AA1555" t="s">
        <v>1497</v>
      </c>
      <c r="AB1555" t="s">
        <v>670</v>
      </c>
      <c r="AC1555" t="s">
        <v>51</v>
      </c>
      <c r="AD1555" t="s">
        <v>45</v>
      </c>
      <c r="AE1555" s="1">
        <v>29952</v>
      </c>
      <c r="AF1555">
        <v>2</v>
      </c>
      <c r="AG1555" t="s">
        <v>1497</v>
      </c>
      <c r="AH1555" s="36">
        <f t="shared" si="24"/>
        <v>37.513888888888886</v>
      </c>
      <c r="AI1555" s="40" t="s">
        <v>1778</v>
      </c>
    </row>
    <row r="1556" spans="1:35" x14ac:dyDescent="0.25">
      <c r="A1556" s="36">
        <v>99911554</v>
      </c>
      <c r="B1556" s="17" t="s">
        <v>32</v>
      </c>
      <c r="C1556" t="s">
        <v>111</v>
      </c>
      <c r="D1556" t="s">
        <v>112</v>
      </c>
      <c r="G1556" s="17" t="s">
        <v>48</v>
      </c>
      <c r="H1556" s="17">
        <v>1</v>
      </c>
      <c r="K1556" t="s">
        <v>1564</v>
      </c>
      <c r="L1556" t="s">
        <v>1565</v>
      </c>
      <c r="M1556" t="s">
        <v>1548</v>
      </c>
      <c r="N1556">
        <v>23</v>
      </c>
      <c r="O1556" t="s">
        <v>40</v>
      </c>
      <c r="P1556" t="s">
        <v>40</v>
      </c>
      <c r="Q1556" t="s">
        <v>40</v>
      </c>
      <c r="R1556" t="s">
        <v>40</v>
      </c>
      <c r="S1556" t="s">
        <v>40</v>
      </c>
      <c r="V1556" t="s">
        <v>41</v>
      </c>
      <c r="W1556" t="s">
        <v>75</v>
      </c>
      <c r="X1556" t="str">
        <f>"7101002"</f>
        <v>7101002</v>
      </c>
      <c r="Y1556" t="s">
        <v>1563</v>
      </c>
      <c r="Z1556" t="s">
        <v>1564</v>
      </c>
      <c r="AA1556" t="s">
        <v>1565</v>
      </c>
      <c r="AB1556" t="s">
        <v>1548</v>
      </c>
      <c r="AC1556" t="s">
        <v>51</v>
      </c>
      <c r="AD1556" t="s">
        <v>45</v>
      </c>
      <c r="AE1556" s="1">
        <v>29952</v>
      </c>
      <c r="AF1556">
        <v>1</v>
      </c>
      <c r="AG1556" t="s">
        <v>1565</v>
      </c>
      <c r="AH1556" s="36">
        <f t="shared" si="24"/>
        <v>37.513888888888886</v>
      </c>
      <c r="AI1556" s="40" t="s">
        <v>1778</v>
      </c>
    </row>
    <row r="1557" spans="1:35" x14ac:dyDescent="0.25">
      <c r="A1557" s="36">
        <v>99911555</v>
      </c>
      <c r="B1557" s="17" t="s">
        <v>32</v>
      </c>
      <c r="C1557" t="s">
        <v>71</v>
      </c>
      <c r="D1557" t="s">
        <v>72</v>
      </c>
      <c r="G1557" s="17" t="s">
        <v>35</v>
      </c>
      <c r="H1557" s="17">
        <v>3</v>
      </c>
      <c r="I1557" t="s">
        <v>1679</v>
      </c>
      <c r="J1557" s="1">
        <v>43354</v>
      </c>
      <c r="K1557" t="s">
        <v>1619</v>
      </c>
      <c r="L1557" t="s">
        <v>1620</v>
      </c>
      <c r="M1557" t="s">
        <v>1592</v>
      </c>
      <c r="N1557">
        <v>10</v>
      </c>
      <c r="O1557" t="s">
        <v>40</v>
      </c>
      <c r="P1557" t="s">
        <v>40</v>
      </c>
      <c r="Q1557" t="s">
        <v>40</v>
      </c>
      <c r="R1557" t="s">
        <v>40</v>
      </c>
      <c r="S1557" t="s">
        <v>40</v>
      </c>
      <c r="U1557" s="1">
        <v>43354</v>
      </c>
      <c r="V1557" t="s">
        <v>41</v>
      </c>
      <c r="W1557" t="s">
        <v>75</v>
      </c>
      <c r="X1557" t="str">
        <f>"7281004"</f>
        <v>7281004</v>
      </c>
      <c r="Y1557" t="s">
        <v>1651</v>
      </c>
      <c r="Z1557" t="s">
        <v>1619</v>
      </c>
      <c r="AA1557" t="s">
        <v>1620</v>
      </c>
      <c r="AB1557" t="s">
        <v>1592</v>
      </c>
      <c r="AC1557" t="s">
        <v>51</v>
      </c>
      <c r="AD1557" t="s">
        <v>45</v>
      </c>
      <c r="AE1557" s="1">
        <v>29952</v>
      </c>
      <c r="AF1557">
        <v>1</v>
      </c>
      <c r="AG1557" t="s">
        <v>1620</v>
      </c>
      <c r="AH1557" s="36">
        <f t="shared" si="24"/>
        <v>37.513888888888886</v>
      </c>
      <c r="AI1557" s="40" t="s">
        <v>1778</v>
      </c>
    </row>
    <row r="1558" spans="1:35" x14ac:dyDescent="0.25">
      <c r="A1558" s="36">
        <v>99911556</v>
      </c>
      <c r="B1558" s="17" t="s">
        <v>32</v>
      </c>
      <c r="C1558" t="s">
        <v>141</v>
      </c>
      <c r="D1558" t="s">
        <v>142</v>
      </c>
      <c r="G1558" s="17" t="s">
        <v>48</v>
      </c>
      <c r="H1558" s="17">
        <v>1</v>
      </c>
      <c r="K1558" t="s">
        <v>380</v>
      </c>
      <c r="L1558" t="s">
        <v>381</v>
      </c>
      <c r="M1558" t="s">
        <v>131</v>
      </c>
      <c r="N1558">
        <v>6</v>
      </c>
      <c r="O1558" t="s">
        <v>40</v>
      </c>
      <c r="P1558" t="s">
        <v>40</v>
      </c>
      <c r="Q1558" t="s">
        <v>40</v>
      </c>
      <c r="R1558" t="s">
        <v>40</v>
      </c>
      <c r="S1558" t="s">
        <v>40</v>
      </c>
      <c r="V1558" t="s">
        <v>41</v>
      </c>
      <c r="W1558" t="s">
        <v>49</v>
      </c>
      <c r="X1558" t="str">
        <f>"0580552"</f>
        <v>0580552</v>
      </c>
      <c r="Y1558" t="s">
        <v>386</v>
      </c>
      <c r="Z1558" t="s">
        <v>380</v>
      </c>
      <c r="AA1558" t="s">
        <v>381</v>
      </c>
      <c r="AB1558" t="s">
        <v>131</v>
      </c>
      <c r="AC1558" t="s">
        <v>51</v>
      </c>
      <c r="AD1558" t="s">
        <v>45</v>
      </c>
      <c r="AE1558" s="1">
        <v>29949</v>
      </c>
      <c r="AF1558">
        <v>2</v>
      </c>
      <c r="AG1558" t="s">
        <v>381</v>
      </c>
      <c r="AH1558" s="36">
        <f t="shared" si="24"/>
        <v>37.522222222222226</v>
      </c>
      <c r="AI1558" s="40" t="s">
        <v>1778</v>
      </c>
    </row>
    <row r="1559" spans="1:35" x14ac:dyDescent="0.25">
      <c r="A1559" s="36">
        <v>99911557</v>
      </c>
      <c r="B1559" s="17" t="s">
        <v>32</v>
      </c>
      <c r="C1559" t="s">
        <v>111</v>
      </c>
      <c r="D1559" t="s">
        <v>112</v>
      </c>
      <c r="G1559" s="17" t="s">
        <v>35</v>
      </c>
      <c r="H1559" s="17">
        <v>6</v>
      </c>
      <c r="K1559" t="s">
        <v>268</v>
      </c>
      <c r="L1559" t="s">
        <v>269</v>
      </c>
      <c r="M1559" t="s">
        <v>131</v>
      </c>
      <c r="N1559">
        <v>23</v>
      </c>
      <c r="O1559" t="s">
        <v>40</v>
      </c>
      <c r="P1559" t="s">
        <v>40</v>
      </c>
      <c r="Q1559" t="s">
        <v>40</v>
      </c>
      <c r="R1559" t="s">
        <v>40</v>
      </c>
      <c r="S1559" t="s">
        <v>40</v>
      </c>
      <c r="V1559" t="s">
        <v>41</v>
      </c>
      <c r="W1559" t="s">
        <v>75</v>
      </c>
      <c r="X1559" t="str">
        <f>"7052006"</f>
        <v>7052006</v>
      </c>
      <c r="Y1559" t="s">
        <v>575</v>
      </c>
      <c r="Z1559" t="s">
        <v>268</v>
      </c>
      <c r="AA1559" t="s">
        <v>269</v>
      </c>
      <c r="AB1559" t="s">
        <v>131</v>
      </c>
      <c r="AC1559" t="s">
        <v>165</v>
      </c>
      <c r="AD1559" t="s">
        <v>45</v>
      </c>
      <c r="AE1559" s="1">
        <v>29945</v>
      </c>
      <c r="AF1559">
        <v>1</v>
      </c>
      <c r="AG1559" t="s">
        <v>269</v>
      </c>
      <c r="AH1559" s="36">
        <f t="shared" si="24"/>
        <v>37.533333333333331</v>
      </c>
      <c r="AI1559" s="40" t="s">
        <v>1778</v>
      </c>
    </row>
    <row r="1560" spans="1:35" x14ac:dyDescent="0.25">
      <c r="A1560" s="36">
        <v>99911558</v>
      </c>
      <c r="B1560" s="17" t="s">
        <v>32</v>
      </c>
      <c r="C1560" t="s">
        <v>111</v>
      </c>
      <c r="D1560" t="s">
        <v>112</v>
      </c>
      <c r="G1560" s="17" t="s">
        <v>48</v>
      </c>
      <c r="H1560" s="17">
        <v>7</v>
      </c>
      <c r="K1560" t="s">
        <v>1221</v>
      </c>
      <c r="L1560" t="s">
        <v>1222</v>
      </c>
      <c r="M1560" t="s">
        <v>1130</v>
      </c>
      <c r="N1560">
        <v>22</v>
      </c>
      <c r="O1560" t="s">
        <v>40</v>
      </c>
      <c r="P1560" t="s">
        <v>40</v>
      </c>
      <c r="Q1560" t="s">
        <v>40</v>
      </c>
      <c r="R1560" t="s">
        <v>40</v>
      </c>
      <c r="S1560" t="s">
        <v>40</v>
      </c>
      <c r="V1560" t="s">
        <v>41</v>
      </c>
      <c r="W1560" t="s">
        <v>75</v>
      </c>
      <c r="X1560" t="str">
        <f>"7351000"</f>
        <v>7351000</v>
      </c>
      <c r="Y1560" t="s">
        <v>1223</v>
      </c>
      <c r="Z1560" t="s">
        <v>1221</v>
      </c>
      <c r="AA1560" t="s">
        <v>1222</v>
      </c>
      <c r="AB1560" t="s">
        <v>1130</v>
      </c>
      <c r="AC1560" t="s">
        <v>51</v>
      </c>
      <c r="AD1560" t="s">
        <v>45</v>
      </c>
      <c r="AE1560" s="1">
        <v>29940</v>
      </c>
      <c r="AF1560">
        <v>1</v>
      </c>
      <c r="AG1560" t="s">
        <v>1222</v>
      </c>
      <c r="AH1560" s="36">
        <f t="shared" si="24"/>
        <v>37.547222222222224</v>
      </c>
      <c r="AI1560" s="40" t="s">
        <v>1778</v>
      </c>
    </row>
    <row r="1561" spans="1:35" x14ac:dyDescent="0.25">
      <c r="A1561" s="36">
        <v>99911559</v>
      </c>
      <c r="B1561" s="17" t="s">
        <v>56</v>
      </c>
      <c r="C1561" t="s">
        <v>139</v>
      </c>
      <c r="D1561" t="s">
        <v>140</v>
      </c>
      <c r="G1561" s="17" t="s">
        <v>48</v>
      </c>
      <c r="H1561" s="17">
        <v>1</v>
      </c>
      <c r="J1561" s="1">
        <v>43344</v>
      </c>
      <c r="K1561" t="s">
        <v>354</v>
      </c>
      <c r="L1561" t="s">
        <v>355</v>
      </c>
      <c r="M1561" t="s">
        <v>131</v>
      </c>
      <c r="N1561">
        <v>23</v>
      </c>
      <c r="O1561" t="s">
        <v>40</v>
      </c>
      <c r="P1561" t="s">
        <v>40</v>
      </c>
      <c r="Q1561" t="s">
        <v>40</v>
      </c>
      <c r="R1561" t="s">
        <v>40</v>
      </c>
      <c r="S1561" t="s">
        <v>40</v>
      </c>
      <c r="U1561" s="1">
        <v>43344</v>
      </c>
      <c r="V1561" t="s">
        <v>41</v>
      </c>
      <c r="W1561" t="s">
        <v>75</v>
      </c>
      <c r="X1561" t="str">
        <f>"7054038"</f>
        <v>7054038</v>
      </c>
      <c r="Y1561" t="s">
        <v>377</v>
      </c>
      <c r="Z1561" t="s">
        <v>354</v>
      </c>
      <c r="AA1561" t="s">
        <v>355</v>
      </c>
      <c r="AB1561" t="s">
        <v>131</v>
      </c>
      <c r="AC1561" t="s">
        <v>51</v>
      </c>
      <c r="AD1561" t="s">
        <v>45</v>
      </c>
      <c r="AE1561" s="1">
        <v>29935</v>
      </c>
      <c r="AF1561">
        <v>1</v>
      </c>
      <c r="AG1561" t="s">
        <v>355</v>
      </c>
      <c r="AH1561" s="36">
        <f t="shared" si="24"/>
        <v>37.56111111111111</v>
      </c>
      <c r="AI1561" s="40" t="s">
        <v>1778</v>
      </c>
    </row>
    <row r="1562" spans="1:35" x14ac:dyDescent="0.25">
      <c r="A1562" s="36">
        <v>99911560</v>
      </c>
      <c r="B1562" s="17" t="s">
        <v>32</v>
      </c>
      <c r="C1562" t="s">
        <v>61</v>
      </c>
      <c r="D1562" t="s">
        <v>62</v>
      </c>
      <c r="G1562" s="17" t="s">
        <v>35</v>
      </c>
      <c r="H1562" s="17">
        <v>1</v>
      </c>
      <c r="K1562" t="s">
        <v>223</v>
      </c>
      <c r="L1562" t="s">
        <v>224</v>
      </c>
      <c r="M1562" t="s">
        <v>131</v>
      </c>
      <c r="N1562">
        <v>23</v>
      </c>
      <c r="O1562" t="s">
        <v>40</v>
      </c>
      <c r="P1562" t="s">
        <v>40</v>
      </c>
      <c r="Q1562" t="s">
        <v>40</v>
      </c>
      <c r="R1562" t="s">
        <v>40</v>
      </c>
      <c r="S1562" t="s">
        <v>40</v>
      </c>
      <c r="V1562" t="s">
        <v>41</v>
      </c>
      <c r="W1562" t="s">
        <v>49</v>
      </c>
      <c r="X1562" t="str">
        <f>"0581207"</f>
        <v>0581207</v>
      </c>
      <c r="Y1562" t="s">
        <v>233</v>
      </c>
      <c r="Z1562" t="s">
        <v>223</v>
      </c>
      <c r="AA1562" t="s">
        <v>224</v>
      </c>
      <c r="AB1562" t="s">
        <v>131</v>
      </c>
      <c r="AC1562" t="s">
        <v>165</v>
      </c>
      <c r="AD1562" t="s">
        <v>45</v>
      </c>
      <c r="AE1562" s="1">
        <v>29934</v>
      </c>
      <c r="AF1562">
        <v>2</v>
      </c>
      <c r="AG1562" t="s">
        <v>224</v>
      </c>
      <c r="AH1562" s="36">
        <f t="shared" si="24"/>
        <v>37.56388888888889</v>
      </c>
      <c r="AI1562" s="40" t="s">
        <v>1778</v>
      </c>
    </row>
    <row r="1563" spans="1:35" x14ac:dyDescent="0.25">
      <c r="A1563" s="36">
        <v>99911561</v>
      </c>
      <c r="B1563" s="17" t="s">
        <v>32</v>
      </c>
      <c r="C1563" t="s">
        <v>90</v>
      </c>
      <c r="D1563" t="s">
        <v>91</v>
      </c>
      <c r="G1563" s="17" t="s">
        <v>48</v>
      </c>
      <c r="H1563" s="17">
        <v>1</v>
      </c>
      <c r="K1563" t="s">
        <v>1198</v>
      </c>
      <c r="L1563" t="s">
        <v>1199</v>
      </c>
      <c r="M1563" t="s">
        <v>1130</v>
      </c>
      <c r="N1563">
        <v>25</v>
      </c>
      <c r="O1563" t="s">
        <v>40</v>
      </c>
      <c r="P1563" t="s">
        <v>40</v>
      </c>
      <c r="Q1563" t="s">
        <v>40</v>
      </c>
      <c r="S1563" t="s">
        <v>40</v>
      </c>
      <c r="V1563" t="s">
        <v>41</v>
      </c>
      <c r="W1563" t="s">
        <v>95</v>
      </c>
      <c r="X1563" t="str">
        <f>"7311009"</f>
        <v>7311009</v>
      </c>
      <c r="Y1563" t="s">
        <v>1220</v>
      </c>
      <c r="Z1563" t="s">
        <v>1198</v>
      </c>
      <c r="AA1563" t="s">
        <v>1199</v>
      </c>
      <c r="AB1563" t="s">
        <v>1130</v>
      </c>
      <c r="AC1563" t="s">
        <v>51</v>
      </c>
      <c r="AD1563" t="s">
        <v>45</v>
      </c>
      <c r="AE1563" s="1">
        <v>29931</v>
      </c>
      <c r="AF1563">
        <v>1</v>
      </c>
      <c r="AG1563" t="s">
        <v>1199</v>
      </c>
      <c r="AH1563" s="36">
        <f t="shared" si="24"/>
        <v>37.572222222222223</v>
      </c>
      <c r="AI1563" s="40" t="s">
        <v>1778</v>
      </c>
    </row>
    <row r="1564" spans="1:35" x14ac:dyDescent="0.25">
      <c r="A1564" s="36">
        <v>99911562</v>
      </c>
      <c r="B1564" s="17" t="s">
        <v>32</v>
      </c>
      <c r="C1564" t="s">
        <v>46</v>
      </c>
      <c r="D1564" t="s">
        <v>47</v>
      </c>
      <c r="G1564" s="17" t="s">
        <v>35</v>
      </c>
      <c r="H1564" s="17">
        <v>1</v>
      </c>
      <c r="I1564">
        <v>0</v>
      </c>
      <c r="J1564" s="1">
        <v>43344</v>
      </c>
      <c r="K1564" t="s">
        <v>223</v>
      </c>
      <c r="L1564" t="s">
        <v>224</v>
      </c>
      <c r="M1564" t="s">
        <v>131</v>
      </c>
      <c r="N1564">
        <v>21</v>
      </c>
      <c r="O1564" t="s">
        <v>40</v>
      </c>
      <c r="P1564" t="s">
        <v>40</v>
      </c>
      <c r="Q1564" t="s">
        <v>40</v>
      </c>
      <c r="R1564" t="s">
        <v>40</v>
      </c>
      <c r="S1564" t="s">
        <v>40</v>
      </c>
      <c r="U1564" s="1">
        <v>43344</v>
      </c>
      <c r="V1564" t="s">
        <v>41</v>
      </c>
      <c r="W1564" t="s">
        <v>49</v>
      </c>
      <c r="X1564" t="str">
        <f>"0581207"</f>
        <v>0581207</v>
      </c>
      <c r="Y1564" t="s">
        <v>233</v>
      </c>
      <c r="Z1564" t="s">
        <v>223</v>
      </c>
      <c r="AA1564" t="s">
        <v>224</v>
      </c>
      <c r="AB1564" t="s">
        <v>131</v>
      </c>
      <c r="AC1564" t="s">
        <v>51</v>
      </c>
      <c r="AD1564" t="s">
        <v>45</v>
      </c>
      <c r="AE1564" s="1">
        <v>29928</v>
      </c>
      <c r="AF1564">
        <v>2</v>
      </c>
      <c r="AG1564" t="s">
        <v>224</v>
      </c>
      <c r="AH1564" s="36">
        <f t="shared" si="24"/>
        <v>37.580555555555556</v>
      </c>
      <c r="AI1564" s="40" t="s">
        <v>1778</v>
      </c>
    </row>
    <row r="1565" spans="1:35" x14ac:dyDescent="0.25">
      <c r="A1565" s="36">
        <v>99911563</v>
      </c>
      <c r="B1565" s="17" t="s">
        <v>56</v>
      </c>
      <c r="C1565" t="s">
        <v>64</v>
      </c>
      <c r="D1565" t="s">
        <v>65</v>
      </c>
      <c r="G1565" s="17" t="s">
        <v>35</v>
      </c>
      <c r="H1565" s="17">
        <v>1</v>
      </c>
      <c r="I1565">
        <v>0</v>
      </c>
      <c r="J1565" s="1">
        <v>43344</v>
      </c>
      <c r="K1565" t="s">
        <v>223</v>
      </c>
      <c r="L1565" t="s">
        <v>224</v>
      </c>
      <c r="M1565" t="s">
        <v>131</v>
      </c>
      <c r="N1565">
        <v>18</v>
      </c>
      <c r="O1565" t="s">
        <v>40</v>
      </c>
      <c r="P1565" t="s">
        <v>40</v>
      </c>
      <c r="Q1565" t="s">
        <v>40</v>
      </c>
      <c r="R1565" t="s">
        <v>40</v>
      </c>
      <c r="S1565" t="s">
        <v>40</v>
      </c>
      <c r="U1565" s="1">
        <v>43344</v>
      </c>
      <c r="V1565" t="s">
        <v>41</v>
      </c>
      <c r="W1565" t="s">
        <v>42</v>
      </c>
      <c r="X1565" t="str">
        <f>"0580203"</f>
        <v>0580203</v>
      </c>
      <c r="Y1565" t="s">
        <v>239</v>
      </c>
      <c r="Z1565" t="s">
        <v>223</v>
      </c>
      <c r="AA1565" t="s">
        <v>224</v>
      </c>
      <c r="AB1565" t="s">
        <v>131</v>
      </c>
      <c r="AC1565" t="s">
        <v>44</v>
      </c>
      <c r="AD1565" t="s">
        <v>45</v>
      </c>
      <c r="AE1565" s="1">
        <v>29916</v>
      </c>
      <c r="AF1565">
        <v>2</v>
      </c>
      <c r="AG1565" t="s">
        <v>224</v>
      </c>
      <c r="AH1565" s="36">
        <f t="shared" si="24"/>
        <v>37.613888888888887</v>
      </c>
      <c r="AI1565" s="40" t="s">
        <v>1778</v>
      </c>
    </row>
    <row r="1566" spans="1:35" x14ac:dyDescent="0.25">
      <c r="A1566" s="36">
        <v>99911564</v>
      </c>
      <c r="B1566" s="17" t="s">
        <v>32</v>
      </c>
      <c r="C1566" t="s">
        <v>139</v>
      </c>
      <c r="D1566" t="s">
        <v>140</v>
      </c>
      <c r="G1566" s="17" t="s">
        <v>35</v>
      </c>
      <c r="H1566" s="17">
        <v>1</v>
      </c>
      <c r="I1566" t="s">
        <v>433</v>
      </c>
      <c r="J1566" s="1">
        <v>40422</v>
      </c>
      <c r="K1566" t="s">
        <v>431</v>
      </c>
      <c r="L1566" t="s">
        <v>196</v>
      </c>
      <c r="M1566" t="s">
        <v>131</v>
      </c>
      <c r="N1566">
        <v>8</v>
      </c>
      <c r="O1566" t="s">
        <v>40</v>
      </c>
      <c r="P1566" t="s">
        <v>40</v>
      </c>
      <c r="Q1566" t="s">
        <v>40</v>
      </c>
      <c r="R1566" t="s">
        <v>40</v>
      </c>
      <c r="S1566" t="s">
        <v>40</v>
      </c>
      <c r="U1566" s="1">
        <v>40422</v>
      </c>
      <c r="V1566" t="s">
        <v>41</v>
      </c>
      <c r="W1566" t="s">
        <v>75</v>
      </c>
      <c r="X1566" t="str">
        <f>"7521012"</f>
        <v>7521012</v>
      </c>
      <c r="Y1566" t="s">
        <v>432</v>
      </c>
      <c r="Z1566" t="s">
        <v>431</v>
      </c>
      <c r="AA1566" t="s">
        <v>196</v>
      </c>
      <c r="AB1566" t="s">
        <v>131</v>
      </c>
      <c r="AC1566" t="s">
        <v>165</v>
      </c>
      <c r="AD1566" t="s">
        <v>45</v>
      </c>
      <c r="AE1566" s="1">
        <v>29913</v>
      </c>
      <c r="AF1566">
        <v>1</v>
      </c>
      <c r="AG1566" t="s">
        <v>196</v>
      </c>
      <c r="AH1566" s="36">
        <f t="shared" si="24"/>
        <v>37.62222222222222</v>
      </c>
      <c r="AI1566" s="40" t="s">
        <v>1778</v>
      </c>
    </row>
    <row r="1567" spans="1:35" x14ac:dyDescent="0.25">
      <c r="A1567" s="36">
        <v>99911565</v>
      </c>
      <c r="B1567" s="17" t="s">
        <v>56</v>
      </c>
      <c r="C1567" t="s">
        <v>52</v>
      </c>
      <c r="D1567" t="s">
        <v>53</v>
      </c>
      <c r="G1567" s="17" t="s">
        <v>48</v>
      </c>
      <c r="H1567" s="17">
        <v>1</v>
      </c>
      <c r="K1567" t="s">
        <v>223</v>
      </c>
      <c r="L1567" t="s">
        <v>224</v>
      </c>
      <c r="M1567" t="s">
        <v>131</v>
      </c>
      <c r="N1567">
        <v>21</v>
      </c>
      <c r="O1567" t="s">
        <v>40</v>
      </c>
      <c r="P1567" t="s">
        <v>40</v>
      </c>
      <c r="Q1567" t="s">
        <v>40</v>
      </c>
      <c r="R1567" t="s">
        <v>40</v>
      </c>
      <c r="S1567" t="s">
        <v>40</v>
      </c>
      <c r="V1567" t="s">
        <v>41</v>
      </c>
      <c r="W1567" t="s">
        <v>49</v>
      </c>
      <c r="X1567" t="str">
        <f>"0581202"</f>
        <v>0581202</v>
      </c>
      <c r="Y1567" t="s">
        <v>248</v>
      </c>
      <c r="Z1567" t="s">
        <v>223</v>
      </c>
      <c r="AA1567" t="s">
        <v>224</v>
      </c>
      <c r="AB1567" t="s">
        <v>131</v>
      </c>
      <c r="AC1567" t="s">
        <v>51</v>
      </c>
      <c r="AD1567" t="s">
        <v>45</v>
      </c>
      <c r="AE1567" s="1">
        <v>29912</v>
      </c>
      <c r="AF1567">
        <v>2</v>
      </c>
      <c r="AG1567" t="s">
        <v>224</v>
      </c>
      <c r="AH1567" s="36">
        <f t="shared" si="24"/>
        <v>37.625</v>
      </c>
      <c r="AI1567" s="40" t="s">
        <v>1778</v>
      </c>
    </row>
    <row r="1568" spans="1:35" x14ac:dyDescent="0.25">
      <c r="A1568" s="36">
        <v>99911566</v>
      </c>
      <c r="B1568" s="17" t="s">
        <v>32</v>
      </c>
      <c r="C1568" t="s">
        <v>64</v>
      </c>
      <c r="D1568" t="s">
        <v>65</v>
      </c>
      <c r="G1568" s="17" t="s">
        <v>35</v>
      </c>
      <c r="H1568" s="17">
        <v>1</v>
      </c>
      <c r="I1568" t="s">
        <v>1069</v>
      </c>
      <c r="J1568" s="1">
        <v>43344</v>
      </c>
      <c r="K1568" t="s">
        <v>1051</v>
      </c>
      <c r="L1568" t="s">
        <v>1052</v>
      </c>
      <c r="M1568" t="s">
        <v>1053</v>
      </c>
      <c r="N1568">
        <v>21</v>
      </c>
      <c r="O1568" t="s">
        <v>40</v>
      </c>
      <c r="P1568" t="s">
        <v>40</v>
      </c>
      <c r="Q1568" t="s">
        <v>40</v>
      </c>
      <c r="R1568" t="s">
        <v>40</v>
      </c>
      <c r="S1568" t="s">
        <v>40</v>
      </c>
      <c r="U1568" s="1">
        <v>43344</v>
      </c>
      <c r="V1568" t="s">
        <v>41</v>
      </c>
      <c r="W1568" t="s">
        <v>49</v>
      </c>
      <c r="X1568" t="str">
        <f>"2060004"</f>
        <v>2060004</v>
      </c>
      <c r="Y1568" t="s">
        <v>1059</v>
      </c>
      <c r="Z1568" t="s">
        <v>1051</v>
      </c>
      <c r="AA1568" t="s">
        <v>1052</v>
      </c>
      <c r="AB1568" t="s">
        <v>1053</v>
      </c>
      <c r="AC1568" t="s">
        <v>55</v>
      </c>
      <c r="AD1568" t="s">
        <v>45</v>
      </c>
      <c r="AE1568" s="1">
        <v>29910</v>
      </c>
      <c r="AF1568">
        <v>2</v>
      </c>
      <c r="AG1568" t="s">
        <v>1052</v>
      </c>
      <c r="AH1568" s="36">
        <f t="shared" si="24"/>
        <v>37.630555555555553</v>
      </c>
      <c r="AI1568" s="40" t="s">
        <v>1778</v>
      </c>
    </row>
    <row r="1569" spans="1:35" x14ac:dyDescent="0.25">
      <c r="A1569" s="36">
        <v>99911567</v>
      </c>
      <c r="B1569" s="17" t="s">
        <v>32</v>
      </c>
      <c r="C1569" t="s">
        <v>52</v>
      </c>
      <c r="D1569" t="s">
        <v>53</v>
      </c>
      <c r="G1569" s="17" t="s">
        <v>48</v>
      </c>
      <c r="H1569" s="17">
        <v>1</v>
      </c>
      <c r="K1569" t="s">
        <v>1268</v>
      </c>
      <c r="L1569" t="s">
        <v>1269</v>
      </c>
      <c r="M1569" t="s">
        <v>1270</v>
      </c>
      <c r="N1569">
        <v>12</v>
      </c>
      <c r="O1569" t="s">
        <v>40</v>
      </c>
      <c r="P1569" t="s">
        <v>40</v>
      </c>
      <c r="Q1569" t="s">
        <v>40</v>
      </c>
      <c r="S1569" t="s">
        <v>40</v>
      </c>
      <c r="V1569" t="s">
        <v>41</v>
      </c>
      <c r="W1569" t="s">
        <v>49</v>
      </c>
      <c r="X1569" t="str">
        <f>"1981912"</f>
        <v>1981912</v>
      </c>
      <c r="Y1569" t="s">
        <v>1279</v>
      </c>
      <c r="Z1569" t="s">
        <v>1268</v>
      </c>
      <c r="AA1569" t="s">
        <v>1269</v>
      </c>
      <c r="AB1569" t="s">
        <v>1270</v>
      </c>
      <c r="AC1569" t="s">
        <v>51</v>
      </c>
      <c r="AD1569" t="s">
        <v>45</v>
      </c>
      <c r="AE1569" s="1">
        <v>29905</v>
      </c>
      <c r="AF1569">
        <v>2</v>
      </c>
      <c r="AG1569" t="s">
        <v>1269</v>
      </c>
      <c r="AH1569" s="36">
        <f t="shared" si="24"/>
        <v>37.644444444444446</v>
      </c>
      <c r="AI1569" s="40" t="s">
        <v>1778</v>
      </c>
    </row>
    <row r="1570" spans="1:35" x14ac:dyDescent="0.25">
      <c r="A1570" s="36">
        <v>99911568</v>
      </c>
      <c r="B1570" s="17" t="s">
        <v>56</v>
      </c>
      <c r="C1570" t="s">
        <v>52</v>
      </c>
      <c r="D1570" t="s">
        <v>53</v>
      </c>
      <c r="G1570" s="17" t="s">
        <v>48</v>
      </c>
      <c r="H1570" s="17">
        <v>1</v>
      </c>
      <c r="K1570" t="s">
        <v>1496</v>
      </c>
      <c r="L1570" t="s">
        <v>1497</v>
      </c>
      <c r="M1570" t="s">
        <v>670</v>
      </c>
      <c r="N1570">
        <v>23</v>
      </c>
      <c r="O1570" t="s">
        <v>40</v>
      </c>
      <c r="P1570" t="s">
        <v>40</v>
      </c>
      <c r="Q1570" t="s">
        <v>40</v>
      </c>
      <c r="R1570" t="s">
        <v>40</v>
      </c>
      <c r="S1570" t="s">
        <v>40</v>
      </c>
      <c r="V1570" t="s">
        <v>41</v>
      </c>
      <c r="W1570" t="s">
        <v>42</v>
      </c>
      <c r="X1570" t="str">
        <f>"5080015"</f>
        <v>5080015</v>
      </c>
      <c r="Y1570" t="s">
        <v>1498</v>
      </c>
      <c r="Z1570" t="s">
        <v>1496</v>
      </c>
      <c r="AA1570" t="s">
        <v>1497</v>
      </c>
      <c r="AB1570" t="s">
        <v>670</v>
      </c>
      <c r="AC1570" t="s">
        <v>51</v>
      </c>
      <c r="AD1570" t="s">
        <v>45</v>
      </c>
      <c r="AE1570" s="1">
        <v>29901</v>
      </c>
      <c r="AF1570">
        <v>2</v>
      </c>
      <c r="AG1570" t="s">
        <v>1497</v>
      </c>
      <c r="AH1570" s="36">
        <f t="shared" si="24"/>
        <v>37.655555555555559</v>
      </c>
      <c r="AI1570" s="40" t="s">
        <v>1778</v>
      </c>
    </row>
    <row r="1571" spans="1:35" x14ac:dyDescent="0.25">
      <c r="A1571" s="36">
        <v>99911569</v>
      </c>
      <c r="B1571" s="17" t="s">
        <v>32</v>
      </c>
      <c r="C1571" t="s">
        <v>139</v>
      </c>
      <c r="D1571" t="s">
        <v>140</v>
      </c>
      <c r="G1571" s="17" t="s">
        <v>48</v>
      </c>
      <c r="H1571" s="17">
        <v>3</v>
      </c>
      <c r="K1571" t="s">
        <v>129</v>
      </c>
      <c r="L1571" t="s">
        <v>130</v>
      </c>
      <c r="M1571" t="s">
        <v>131</v>
      </c>
      <c r="N1571">
        <v>23</v>
      </c>
      <c r="O1571" t="s">
        <v>40</v>
      </c>
      <c r="P1571" t="s">
        <v>40</v>
      </c>
      <c r="Q1571" t="s">
        <v>40</v>
      </c>
      <c r="R1571" t="s">
        <v>40</v>
      </c>
      <c r="S1571" t="s">
        <v>40</v>
      </c>
      <c r="U1571" s="1">
        <v>41519</v>
      </c>
      <c r="V1571" t="s">
        <v>41</v>
      </c>
      <c r="W1571" t="s">
        <v>49</v>
      </c>
      <c r="X1571" t="str">
        <f>"0580150"</f>
        <v>0580150</v>
      </c>
      <c r="Y1571" t="s">
        <v>134</v>
      </c>
      <c r="Z1571" t="s">
        <v>129</v>
      </c>
      <c r="AA1571" t="s">
        <v>130</v>
      </c>
      <c r="AB1571" t="s">
        <v>131</v>
      </c>
      <c r="AC1571" t="s">
        <v>51</v>
      </c>
      <c r="AD1571" t="s">
        <v>45</v>
      </c>
      <c r="AE1571" s="1">
        <v>29897</v>
      </c>
      <c r="AF1571">
        <v>2</v>
      </c>
      <c r="AG1571" t="s">
        <v>130</v>
      </c>
      <c r="AH1571" s="36">
        <f t="shared" si="24"/>
        <v>37.666666666666664</v>
      </c>
      <c r="AI1571" s="40" t="s">
        <v>1778</v>
      </c>
    </row>
    <row r="1572" spans="1:35" x14ac:dyDescent="0.25">
      <c r="A1572" s="36">
        <v>99911570</v>
      </c>
      <c r="B1572" s="17" t="s">
        <v>32</v>
      </c>
      <c r="C1572" t="s">
        <v>46</v>
      </c>
      <c r="D1572" t="s">
        <v>47</v>
      </c>
      <c r="G1572" s="17" t="s">
        <v>35</v>
      </c>
      <c r="H1572" s="17">
        <v>1</v>
      </c>
      <c r="K1572" t="s">
        <v>1546</v>
      </c>
      <c r="L1572" t="s">
        <v>1547</v>
      </c>
      <c r="M1572" t="s">
        <v>1548</v>
      </c>
      <c r="N1572">
        <v>20</v>
      </c>
      <c r="O1572" t="s">
        <v>40</v>
      </c>
      <c r="P1572" t="s">
        <v>40</v>
      </c>
      <c r="Q1572" t="s">
        <v>40</v>
      </c>
      <c r="S1572" t="s">
        <v>40</v>
      </c>
      <c r="V1572" t="s">
        <v>41</v>
      </c>
      <c r="W1572" t="s">
        <v>49</v>
      </c>
      <c r="X1572" t="str">
        <f>"1081010"</f>
        <v>1081010</v>
      </c>
      <c r="Y1572" t="s">
        <v>1552</v>
      </c>
      <c r="Z1572" t="s">
        <v>1546</v>
      </c>
      <c r="AA1572" t="s">
        <v>1547</v>
      </c>
      <c r="AB1572" t="s">
        <v>1548</v>
      </c>
      <c r="AC1572" t="s">
        <v>51</v>
      </c>
      <c r="AD1572" t="s">
        <v>45</v>
      </c>
      <c r="AE1572" s="1">
        <v>29897</v>
      </c>
      <c r="AF1572">
        <v>2</v>
      </c>
      <c r="AG1572" t="s">
        <v>1547</v>
      </c>
      <c r="AH1572" s="36">
        <f t="shared" si="24"/>
        <v>37.666666666666664</v>
      </c>
      <c r="AI1572" s="40" t="s">
        <v>1778</v>
      </c>
    </row>
    <row r="1573" spans="1:35" x14ac:dyDescent="0.25">
      <c r="A1573" s="36">
        <v>99911571</v>
      </c>
      <c r="B1573" s="17" t="s">
        <v>56</v>
      </c>
      <c r="C1573" t="s">
        <v>52</v>
      </c>
      <c r="D1573" t="s">
        <v>53</v>
      </c>
      <c r="G1573" s="17" t="s">
        <v>48</v>
      </c>
      <c r="H1573" s="17">
        <v>1</v>
      </c>
      <c r="K1573" t="s">
        <v>1268</v>
      </c>
      <c r="L1573" t="s">
        <v>1269</v>
      </c>
      <c r="M1573" t="s">
        <v>1270</v>
      </c>
      <c r="N1573">
        <v>23</v>
      </c>
      <c r="O1573" t="s">
        <v>40</v>
      </c>
      <c r="P1573" t="s">
        <v>40</v>
      </c>
      <c r="Q1573" t="s">
        <v>40</v>
      </c>
      <c r="S1573" t="s">
        <v>40</v>
      </c>
      <c r="V1573" t="s">
        <v>41</v>
      </c>
      <c r="W1573" t="s">
        <v>42</v>
      </c>
      <c r="X1573" t="str">
        <f>"1980050"</f>
        <v>1980050</v>
      </c>
      <c r="Y1573" t="s">
        <v>1278</v>
      </c>
      <c r="Z1573" t="s">
        <v>1268</v>
      </c>
      <c r="AA1573" t="s">
        <v>1269</v>
      </c>
      <c r="AB1573" t="s">
        <v>1270</v>
      </c>
      <c r="AC1573" t="s">
        <v>51</v>
      </c>
      <c r="AD1573" t="s">
        <v>45</v>
      </c>
      <c r="AE1573" s="1">
        <v>29896</v>
      </c>
      <c r="AF1573">
        <v>2</v>
      </c>
      <c r="AG1573" t="s">
        <v>1269</v>
      </c>
      <c r="AH1573" s="36">
        <f t="shared" si="24"/>
        <v>37.669444444444444</v>
      </c>
      <c r="AI1573" s="40" t="s">
        <v>1778</v>
      </c>
    </row>
    <row r="1574" spans="1:35" x14ac:dyDescent="0.25">
      <c r="A1574" s="36">
        <v>99911572</v>
      </c>
      <c r="B1574" s="17" t="s">
        <v>32</v>
      </c>
      <c r="C1574" t="s">
        <v>90</v>
      </c>
      <c r="D1574" t="s">
        <v>91</v>
      </c>
      <c r="G1574" s="17" t="s">
        <v>48</v>
      </c>
      <c r="H1574" s="17">
        <v>1</v>
      </c>
      <c r="K1574" t="s">
        <v>268</v>
      </c>
      <c r="L1574" t="s">
        <v>269</v>
      </c>
      <c r="M1574" t="s">
        <v>131</v>
      </c>
      <c r="N1574">
        <v>30</v>
      </c>
      <c r="O1574" t="s">
        <v>40</v>
      </c>
      <c r="P1574" t="s">
        <v>40</v>
      </c>
      <c r="Q1574" t="s">
        <v>40</v>
      </c>
      <c r="S1574" t="s">
        <v>40</v>
      </c>
      <c r="V1574" t="s">
        <v>41</v>
      </c>
      <c r="W1574" t="s">
        <v>95</v>
      </c>
      <c r="X1574" t="str">
        <f>"7052055"</f>
        <v>7052055</v>
      </c>
      <c r="Y1574" t="s">
        <v>733</v>
      </c>
      <c r="Z1574" t="s">
        <v>268</v>
      </c>
      <c r="AA1574" t="s">
        <v>269</v>
      </c>
      <c r="AB1574" t="s">
        <v>131</v>
      </c>
      <c r="AC1574" t="s">
        <v>51</v>
      </c>
      <c r="AD1574" t="s">
        <v>45</v>
      </c>
      <c r="AE1574" s="1">
        <v>29887</v>
      </c>
      <c r="AF1574">
        <v>1</v>
      </c>
      <c r="AG1574" t="s">
        <v>269</v>
      </c>
      <c r="AH1574" s="36">
        <f t="shared" si="24"/>
        <v>37.694444444444443</v>
      </c>
      <c r="AI1574" s="40" t="s">
        <v>1778</v>
      </c>
    </row>
    <row r="1575" spans="1:35" x14ac:dyDescent="0.25">
      <c r="A1575" s="36">
        <v>99911573</v>
      </c>
      <c r="B1575" s="17" t="s">
        <v>56</v>
      </c>
      <c r="C1575" t="s">
        <v>136</v>
      </c>
      <c r="D1575" t="s">
        <v>137</v>
      </c>
      <c r="G1575" s="17" t="s">
        <v>35</v>
      </c>
      <c r="H1575" s="17">
        <v>1</v>
      </c>
      <c r="I1575" t="s">
        <v>193</v>
      </c>
      <c r="J1575" s="1">
        <v>43344</v>
      </c>
      <c r="K1575" t="s">
        <v>162</v>
      </c>
      <c r="L1575" t="s">
        <v>158</v>
      </c>
      <c r="M1575" t="s">
        <v>131</v>
      </c>
      <c r="N1575">
        <v>19</v>
      </c>
      <c r="O1575" t="s">
        <v>40</v>
      </c>
      <c r="P1575" t="s">
        <v>40</v>
      </c>
      <c r="Q1575" t="s">
        <v>40</v>
      </c>
      <c r="R1575" t="s">
        <v>40</v>
      </c>
      <c r="S1575" t="s">
        <v>40</v>
      </c>
      <c r="U1575" s="1">
        <v>43344</v>
      </c>
      <c r="V1575" t="s">
        <v>41</v>
      </c>
      <c r="W1575" t="s">
        <v>49</v>
      </c>
      <c r="X1575" t="str">
        <f>"0581325"</f>
        <v>0581325</v>
      </c>
      <c r="Y1575" t="s">
        <v>169</v>
      </c>
      <c r="Z1575" t="s">
        <v>162</v>
      </c>
      <c r="AA1575" t="s">
        <v>158</v>
      </c>
      <c r="AB1575" t="s">
        <v>131</v>
      </c>
      <c r="AC1575" t="s">
        <v>44</v>
      </c>
      <c r="AD1575" t="s">
        <v>45</v>
      </c>
      <c r="AE1575" s="1">
        <v>29886</v>
      </c>
      <c r="AF1575">
        <v>2</v>
      </c>
      <c r="AG1575" t="s">
        <v>158</v>
      </c>
      <c r="AH1575" s="36">
        <f t="shared" si="24"/>
        <v>37.697222222222223</v>
      </c>
      <c r="AI1575" s="40" t="s">
        <v>1778</v>
      </c>
    </row>
    <row r="1576" spans="1:35" x14ac:dyDescent="0.25">
      <c r="A1576" s="36">
        <v>99911574</v>
      </c>
      <c r="B1576" s="17" t="s">
        <v>56</v>
      </c>
      <c r="C1576" t="s">
        <v>52</v>
      </c>
      <c r="D1576" t="s">
        <v>53</v>
      </c>
      <c r="G1576" s="17" t="s">
        <v>35</v>
      </c>
      <c r="H1576" s="17">
        <v>1</v>
      </c>
      <c r="I1576">
        <v>17757</v>
      </c>
      <c r="J1576" s="1">
        <v>43344</v>
      </c>
      <c r="K1576" t="s">
        <v>1306</v>
      </c>
      <c r="L1576" t="s">
        <v>1307</v>
      </c>
      <c r="M1576" t="s">
        <v>1270</v>
      </c>
      <c r="N1576">
        <v>15</v>
      </c>
      <c r="O1576" t="s">
        <v>40</v>
      </c>
      <c r="P1576" t="s">
        <v>40</v>
      </c>
      <c r="Q1576" t="s">
        <v>40</v>
      </c>
      <c r="R1576" t="s">
        <v>40</v>
      </c>
      <c r="S1576" t="s">
        <v>40</v>
      </c>
      <c r="U1576" s="1">
        <v>43344</v>
      </c>
      <c r="V1576" t="s">
        <v>41</v>
      </c>
      <c r="W1576" t="s">
        <v>49</v>
      </c>
      <c r="X1576" t="str">
        <f>"1991913"</f>
        <v>1991913</v>
      </c>
      <c r="Y1576" t="s">
        <v>1310</v>
      </c>
      <c r="Z1576" t="s">
        <v>1306</v>
      </c>
      <c r="AA1576" t="s">
        <v>1307</v>
      </c>
      <c r="AB1576" t="s">
        <v>1270</v>
      </c>
      <c r="AC1576" t="s">
        <v>44</v>
      </c>
      <c r="AD1576" t="s">
        <v>45</v>
      </c>
      <c r="AE1576" s="1">
        <v>29883</v>
      </c>
      <c r="AF1576">
        <v>2</v>
      </c>
      <c r="AG1576" t="s">
        <v>1307</v>
      </c>
      <c r="AH1576" s="36">
        <f t="shared" si="24"/>
        <v>37.705555555555556</v>
      </c>
      <c r="AI1576" s="40" t="s">
        <v>1778</v>
      </c>
    </row>
    <row r="1577" spans="1:35" x14ac:dyDescent="0.25">
      <c r="A1577" s="36">
        <v>99911575</v>
      </c>
      <c r="B1577" s="17" t="s">
        <v>56</v>
      </c>
      <c r="C1577" t="s">
        <v>33</v>
      </c>
      <c r="D1577" t="s">
        <v>34</v>
      </c>
      <c r="G1577" s="17" t="s">
        <v>35</v>
      </c>
      <c r="H1577" s="17">
        <v>1</v>
      </c>
      <c r="I1577" t="s">
        <v>1177</v>
      </c>
      <c r="J1577" s="1">
        <v>42989</v>
      </c>
      <c r="K1577" t="s">
        <v>1171</v>
      </c>
      <c r="L1577" t="s">
        <v>1172</v>
      </c>
      <c r="M1577" t="s">
        <v>1130</v>
      </c>
      <c r="N1577">
        <v>18</v>
      </c>
      <c r="O1577" t="s">
        <v>40</v>
      </c>
      <c r="P1577" t="s">
        <v>40</v>
      </c>
      <c r="Q1577" t="s">
        <v>40</v>
      </c>
      <c r="R1577" t="s">
        <v>40</v>
      </c>
      <c r="S1577" t="s">
        <v>40</v>
      </c>
      <c r="U1577" s="1">
        <v>42989</v>
      </c>
      <c r="V1577" t="s">
        <v>41</v>
      </c>
      <c r="W1577" t="s">
        <v>42</v>
      </c>
      <c r="X1577" t="str">
        <f>"3561001"</f>
        <v>3561001</v>
      </c>
      <c r="Y1577" t="s">
        <v>1173</v>
      </c>
      <c r="Z1577" t="s">
        <v>1171</v>
      </c>
      <c r="AA1577" t="s">
        <v>1172</v>
      </c>
      <c r="AB1577" t="s">
        <v>1130</v>
      </c>
      <c r="AC1577" t="s">
        <v>44</v>
      </c>
      <c r="AD1577" t="s">
        <v>45</v>
      </c>
      <c r="AE1577" s="1">
        <v>29874</v>
      </c>
      <c r="AF1577">
        <v>2</v>
      </c>
      <c r="AG1577" t="s">
        <v>1172</v>
      </c>
      <c r="AH1577" s="36">
        <f t="shared" si="24"/>
        <v>37.730555555555554</v>
      </c>
      <c r="AI1577" s="40" t="s">
        <v>1778</v>
      </c>
    </row>
    <row r="1578" spans="1:35" x14ac:dyDescent="0.25">
      <c r="A1578" s="36">
        <v>99911576</v>
      </c>
      <c r="B1578" s="17" t="s">
        <v>32</v>
      </c>
      <c r="C1578" t="s">
        <v>139</v>
      </c>
      <c r="D1578" t="s">
        <v>140</v>
      </c>
      <c r="G1578" s="17" t="s">
        <v>48</v>
      </c>
      <c r="H1578" s="17">
        <v>1</v>
      </c>
      <c r="K1578" t="s">
        <v>380</v>
      </c>
      <c r="L1578" t="s">
        <v>381</v>
      </c>
      <c r="M1578" t="s">
        <v>131</v>
      </c>
      <c r="N1578">
        <v>14</v>
      </c>
      <c r="O1578" t="s">
        <v>40</v>
      </c>
      <c r="P1578" t="s">
        <v>40</v>
      </c>
      <c r="Q1578" t="s">
        <v>40</v>
      </c>
      <c r="S1578" t="s">
        <v>40</v>
      </c>
      <c r="V1578" t="s">
        <v>41</v>
      </c>
      <c r="W1578" t="s">
        <v>49</v>
      </c>
      <c r="X1578" t="str">
        <f>"0591909"</f>
        <v>0591909</v>
      </c>
      <c r="Y1578" t="s">
        <v>385</v>
      </c>
      <c r="Z1578" t="s">
        <v>380</v>
      </c>
      <c r="AA1578" t="s">
        <v>381</v>
      </c>
      <c r="AB1578" t="s">
        <v>131</v>
      </c>
      <c r="AC1578" t="s">
        <v>51</v>
      </c>
      <c r="AD1578" t="s">
        <v>45</v>
      </c>
      <c r="AE1578" s="1">
        <v>29872</v>
      </c>
      <c r="AF1578">
        <v>2</v>
      </c>
      <c r="AG1578" t="s">
        <v>381</v>
      </c>
      <c r="AH1578" s="36">
        <f t="shared" si="24"/>
        <v>37.736111111111114</v>
      </c>
      <c r="AI1578" s="40" t="s">
        <v>1778</v>
      </c>
    </row>
    <row r="1579" spans="1:35" x14ac:dyDescent="0.25">
      <c r="A1579" s="36">
        <v>99911577</v>
      </c>
      <c r="B1579" s="17" t="s">
        <v>32</v>
      </c>
      <c r="C1579" t="s">
        <v>139</v>
      </c>
      <c r="D1579" t="s">
        <v>140</v>
      </c>
      <c r="G1579" s="17" t="s">
        <v>48</v>
      </c>
      <c r="H1579" s="17">
        <v>5</v>
      </c>
      <c r="I1579" t="s">
        <v>552</v>
      </c>
      <c r="J1579" s="1">
        <v>42248</v>
      </c>
      <c r="K1579" t="s">
        <v>431</v>
      </c>
      <c r="L1579" t="s">
        <v>196</v>
      </c>
      <c r="M1579" t="s">
        <v>131</v>
      </c>
      <c r="N1579">
        <v>24</v>
      </c>
      <c r="O1579" t="s">
        <v>40</v>
      </c>
      <c r="P1579" t="s">
        <v>40</v>
      </c>
      <c r="Q1579" t="s">
        <v>40</v>
      </c>
      <c r="R1579" t="s">
        <v>40</v>
      </c>
      <c r="S1579" t="s">
        <v>40</v>
      </c>
      <c r="U1579" s="1">
        <v>42248</v>
      </c>
      <c r="V1579" t="s">
        <v>41</v>
      </c>
      <c r="W1579" t="s">
        <v>75</v>
      </c>
      <c r="X1579" t="str">
        <f>"7521022"</f>
        <v>7521022</v>
      </c>
      <c r="Y1579" t="s">
        <v>445</v>
      </c>
      <c r="Z1579" t="s">
        <v>431</v>
      </c>
      <c r="AA1579" t="s">
        <v>196</v>
      </c>
      <c r="AB1579" t="s">
        <v>131</v>
      </c>
      <c r="AC1579" t="s">
        <v>51</v>
      </c>
      <c r="AD1579" t="s">
        <v>45</v>
      </c>
      <c r="AE1579" s="1">
        <v>29872</v>
      </c>
      <c r="AF1579">
        <v>1</v>
      </c>
      <c r="AG1579" t="s">
        <v>196</v>
      </c>
      <c r="AH1579" s="36">
        <f t="shared" si="24"/>
        <v>37.736111111111114</v>
      </c>
      <c r="AI1579" s="40" t="s">
        <v>1778</v>
      </c>
    </row>
    <row r="1580" spans="1:35" x14ac:dyDescent="0.25">
      <c r="A1580" s="36">
        <v>99911578</v>
      </c>
      <c r="B1580" s="17" t="s">
        <v>56</v>
      </c>
      <c r="C1580" t="s">
        <v>79</v>
      </c>
      <c r="D1580" t="s">
        <v>80</v>
      </c>
      <c r="G1580" s="17" t="s">
        <v>48</v>
      </c>
      <c r="H1580" s="17">
        <v>1</v>
      </c>
      <c r="K1580" t="s">
        <v>1268</v>
      </c>
      <c r="L1580" t="s">
        <v>1269</v>
      </c>
      <c r="M1580" t="s">
        <v>1270</v>
      </c>
      <c r="N1580">
        <v>23</v>
      </c>
      <c r="O1580" t="s">
        <v>40</v>
      </c>
      <c r="P1580" t="s">
        <v>40</v>
      </c>
      <c r="Q1580" t="s">
        <v>40</v>
      </c>
      <c r="S1580" t="s">
        <v>40</v>
      </c>
      <c r="V1580" t="s">
        <v>41</v>
      </c>
      <c r="W1580" t="s">
        <v>42</v>
      </c>
      <c r="X1580" t="str">
        <f>"1980050"</f>
        <v>1980050</v>
      </c>
      <c r="Y1580" t="s">
        <v>1278</v>
      </c>
      <c r="Z1580" t="s">
        <v>1268</v>
      </c>
      <c r="AA1580" t="s">
        <v>1269</v>
      </c>
      <c r="AB1580" t="s">
        <v>1270</v>
      </c>
      <c r="AC1580" t="s">
        <v>51</v>
      </c>
      <c r="AD1580" t="s">
        <v>45</v>
      </c>
      <c r="AE1580" s="1">
        <v>29868</v>
      </c>
      <c r="AF1580">
        <v>2</v>
      </c>
      <c r="AG1580" t="s">
        <v>1269</v>
      </c>
      <c r="AH1580" s="36">
        <f t="shared" si="24"/>
        <v>37.74722222222222</v>
      </c>
      <c r="AI1580" s="40" t="s">
        <v>1778</v>
      </c>
    </row>
    <row r="1581" spans="1:35" x14ac:dyDescent="0.25">
      <c r="A1581" s="36">
        <v>99911579</v>
      </c>
      <c r="B1581" s="17" t="s">
        <v>32</v>
      </c>
      <c r="C1581" t="s">
        <v>46</v>
      </c>
      <c r="D1581" t="s">
        <v>47</v>
      </c>
      <c r="G1581" s="17" t="s">
        <v>35</v>
      </c>
      <c r="H1581" s="17">
        <v>1</v>
      </c>
      <c r="I1581">
        <v>15901</v>
      </c>
      <c r="J1581" s="1">
        <v>43344</v>
      </c>
      <c r="K1581" t="s">
        <v>354</v>
      </c>
      <c r="L1581" t="s">
        <v>355</v>
      </c>
      <c r="M1581" t="s">
        <v>131</v>
      </c>
      <c r="N1581">
        <v>24</v>
      </c>
      <c r="O1581" t="s">
        <v>40</v>
      </c>
      <c r="S1581" t="s">
        <v>40</v>
      </c>
      <c r="U1581" s="1">
        <v>43344</v>
      </c>
      <c r="V1581" t="s">
        <v>41</v>
      </c>
      <c r="W1581" t="s">
        <v>75</v>
      </c>
      <c r="X1581" t="str">
        <f>"7054006"</f>
        <v>7054006</v>
      </c>
      <c r="Y1581" t="s">
        <v>774</v>
      </c>
      <c r="Z1581" t="s">
        <v>354</v>
      </c>
      <c r="AA1581" t="s">
        <v>355</v>
      </c>
      <c r="AB1581" t="s">
        <v>131</v>
      </c>
      <c r="AC1581" t="s">
        <v>51</v>
      </c>
      <c r="AD1581" t="s">
        <v>45</v>
      </c>
      <c r="AE1581" s="1">
        <v>29866</v>
      </c>
      <c r="AF1581">
        <v>1</v>
      </c>
      <c r="AG1581" t="s">
        <v>355</v>
      </c>
      <c r="AH1581" s="36">
        <f t="shared" si="24"/>
        <v>37.75277777777778</v>
      </c>
      <c r="AI1581" s="40" t="s">
        <v>1778</v>
      </c>
    </row>
    <row r="1582" spans="1:35" x14ac:dyDescent="0.25">
      <c r="A1582" s="36">
        <v>99911580</v>
      </c>
      <c r="B1582" s="17" t="s">
        <v>32</v>
      </c>
      <c r="C1582" t="s">
        <v>68</v>
      </c>
      <c r="D1582" t="s">
        <v>69</v>
      </c>
      <c r="G1582" s="17" t="s">
        <v>48</v>
      </c>
      <c r="H1582" s="17">
        <v>1</v>
      </c>
      <c r="K1582" t="s">
        <v>1613</v>
      </c>
      <c r="L1582" t="s">
        <v>1614</v>
      </c>
      <c r="M1582" t="s">
        <v>1592</v>
      </c>
      <c r="N1582">
        <v>4</v>
      </c>
      <c r="O1582" t="s">
        <v>40</v>
      </c>
      <c r="P1582" t="s">
        <v>40</v>
      </c>
      <c r="Q1582" t="s">
        <v>40</v>
      </c>
      <c r="R1582" t="s">
        <v>40</v>
      </c>
      <c r="S1582" t="s">
        <v>40</v>
      </c>
      <c r="V1582" t="s">
        <v>41</v>
      </c>
      <c r="W1582" t="s">
        <v>49</v>
      </c>
      <c r="X1582" t="str">
        <f>"2860001"</f>
        <v>2860001</v>
      </c>
      <c r="Y1582" t="s">
        <v>1616</v>
      </c>
      <c r="Z1582" t="s">
        <v>1613</v>
      </c>
      <c r="AA1582" t="s">
        <v>1614</v>
      </c>
      <c r="AB1582" t="s">
        <v>1592</v>
      </c>
      <c r="AC1582" t="s">
        <v>51</v>
      </c>
      <c r="AD1582" t="s">
        <v>45</v>
      </c>
      <c r="AE1582" s="1">
        <v>29865</v>
      </c>
      <c r="AF1582">
        <v>2</v>
      </c>
      <c r="AG1582" t="s">
        <v>1614</v>
      </c>
      <c r="AH1582" s="36">
        <f t="shared" si="24"/>
        <v>37.755555555555553</v>
      </c>
      <c r="AI1582" s="40" t="s">
        <v>1778</v>
      </c>
    </row>
    <row r="1583" spans="1:35" x14ac:dyDescent="0.25">
      <c r="A1583" s="36">
        <v>99911581</v>
      </c>
      <c r="B1583" s="17" t="s">
        <v>56</v>
      </c>
      <c r="C1583" t="s">
        <v>46</v>
      </c>
      <c r="D1583" t="s">
        <v>47</v>
      </c>
      <c r="G1583" s="17" t="s">
        <v>48</v>
      </c>
      <c r="H1583" s="17">
        <v>1</v>
      </c>
      <c r="K1583" t="s">
        <v>1268</v>
      </c>
      <c r="L1583" t="s">
        <v>1269</v>
      </c>
      <c r="M1583" t="s">
        <v>1270</v>
      </c>
      <c r="N1583">
        <v>23</v>
      </c>
      <c r="O1583" t="s">
        <v>40</v>
      </c>
      <c r="P1583" t="s">
        <v>40</v>
      </c>
      <c r="Q1583" t="s">
        <v>40</v>
      </c>
      <c r="S1583" t="s">
        <v>40</v>
      </c>
      <c r="V1583" t="s">
        <v>41</v>
      </c>
      <c r="W1583" t="s">
        <v>42</v>
      </c>
      <c r="X1583" t="str">
        <f>"1980050"</f>
        <v>1980050</v>
      </c>
      <c r="Y1583" t="s">
        <v>1278</v>
      </c>
      <c r="Z1583" t="s">
        <v>1268</v>
      </c>
      <c r="AA1583" t="s">
        <v>1269</v>
      </c>
      <c r="AB1583" t="s">
        <v>1270</v>
      </c>
      <c r="AC1583" t="s">
        <v>51</v>
      </c>
      <c r="AD1583" t="s">
        <v>45</v>
      </c>
      <c r="AE1583" s="1">
        <v>29864</v>
      </c>
      <c r="AF1583">
        <v>2</v>
      </c>
      <c r="AG1583" t="s">
        <v>1269</v>
      </c>
      <c r="AH1583" s="36">
        <f t="shared" si="24"/>
        <v>37.758333333333333</v>
      </c>
      <c r="AI1583" s="40" t="s">
        <v>1778</v>
      </c>
    </row>
    <row r="1584" spans="1:35" x14ac:dyDescent="0.25">
      <c r="A1584" s="36">
        <v>99911582</v>
      </c>
      <c r="B1584" s="17" t="s">
        <v>32</v>
      </c>
      <c r="C1584" t="s">
        <v>139</v>
      </c>
      <c r="D1584" t="s">
        <v>140</v>
      </c>
      <c r="G1584" s="17" t="s">
        <v>48</v>
      </c>
      <c r="H1584" s="17">
        <v>1</v>
      </c>
      <c r="K1584" t="s">
        <v>1613</v>
      </c>
      <c r="L1584" t="s">
        <v>1614</v>
      </c>
      <c r="M1584" t="s">
        <v>1592</v>
      </c>
      <c r="N1584">
        <v>6</v>
      </c>
      <c r="O1584" t="s">
        <v>40</v>
      </c>
      <c r="P1584" t="s">
        <v>40</v>
      </c>
      <c r="Q1584" t="s">
        <v>40</v>
      </c>
      <c r="R1584" t="s">
        <v>40</v>
      </c>
      <c r="S1584" t="s">
        <v>40</v>
      </c>
      <c r="V1584" t="s">
        <v>41</v>
      </c>
      <c r="W1584" t="s">
        <v>49</v>
      </c>
      <c r="X1584" t="str">
        <f>"2860001"</f>
        <v>2860001</v>
      </c>
      <c r="Y1584" t="s">
        <v>1616</v>
      </c>
      <c r="Z1584" t="s">
        <v>1613</v>
      </c>
      <c r="AA1584" t="s">
        <v>1614</v>
      </c>
      <c r="AB1584" t="s">
        <v>1592</v>
      </c>
      <c r="AC1584" t="s">
        <v>51</v>
      </c>
      <c r="AD1584" t="s">
        <v>45</v>
      </c>
      <c r="AE1584" s="1">
        <v>29863</v>
      </c>
      <c r="AF1584">
        <v>2</v>
      </c>
      <c r="AG1584" t="s">
        <v>1614</v>
      </c>
      <c r="AH1584" s="36">
        <f t="shared" si="24"/>
        <v>37.761111111111113</v>
      </c>
      <c r="AI1584" s="40" t="s">
        <v>1778</v>
      </c>
    </row>
    <row r="1585" spans="1:35" x14ac:dyDescent="0.25">
      <c r="A1585" s="36">
        <v>99911583</v>
      </c>
      <c r="B1585" s="17" t="s">
        <v>32</v>
      </c>
      <c r="C1585" t="s">
        <v>111</v>
      </c>
      <c r="D1585" t="s">
        <v>112</v>
      </c>
      <c r="G1585" s="17" t="s">
        <v>48</v>
      </c>
      <c r="H1585" s="17">
        <v>1</v>
      </c>
      <c r="K1585" t="s">
        <v>268</v>
      </c>
      <c r="L1585" t="s">
        <v>269</v>
      </c>
      <c r="M1585" t="s">
        <v>131</v>
      </c>
      <c r="N1585">
        <v>24</v>
      </c>
      <c r="O1585" t="s">
        <v>40</v>
      </c>
      <c r="P1585" t="s">
        <v>40</v>
      </c>
      <c r="Q1585" t="s">
        <v>40</v>
      </c>
      <c r="S1585" t="s">
        <v>40</v>
      </c>
      <c r="V1585" t="s">
        <v>41</v>
      </c>
      <c r="W1585" t="s">
        <v>75</v>
      </c>
      <c r="X1585" t="str">
        <f>"7052042"</f>
        <v>7052042</v>
      </c>
      <c r="Y1585" t="s">
        <v>583</v>
      </c>
      <c r="Z1585" t="s">
        <v>268</v>
      </c>
      <c r="AA1585" t="s">
        <v>269</v>
      </c>
      <c r="AB1585" t="s">
        <v>131</v>
      </c>
      <c r="AC1585" t="s">
        <v>51</v>
      </c>
      <c r="AD1585" t="s">
        <v>45</v>
      </c>
      <c r="AE1585" s="1">
        <v>29860</v>
      </c>
      <c r="AF1585">
        <v>1</v>
      </c>
      <c r="AG1585" t="s">
        <v>269</v>
      </c>
      <c r="AH1585" s="36">
        <f t="shared" si="24"/>
        <v>37.769444444444446</v>
      </c>
      <c r="AI1585" s="40" t="s">
        <v>1778</v>
      </c>
    </row>
    <row r="1586" spans="1:35" x14ac:dyDescent="0.25">
      <c r="A1586" s="36">
        <v>99911584</v>
      </c>
      <c r="B1586" s="17" t="s">
        <v>32</v>
      </c>
      <c r="C1586" t="s">
        <v>64</v>
      </c>
      <c r="D1586" t="s">
        <v>65</v>
      </c>
      <c r="G1586" s="17" t="s">
        <v>48</v>
      </c>
      <c r="H1586" s="17">
        <v>1</v>
      </c>
      <c r="K1586" t="s">
        <v>667</v>
      </c>
      <c r="L1586" t="s">
        <v>669</v>
      </c>
      <c r="M1586" t="s">
        <v>670</v>
      </c>
      <c r="N1586">
        <v>23</v>
      </c>
      <c r="O1586" t="s">
        <v>40</v>
      </c>
      <c r="P1586" t="s">
        <v>40</v>
      </c>
      <c r="Q1586" t="s">
        <v>40</v>
      </c>
      <c r="R1586" t="s">
        <v>40</v>
      </c>
      <c r="S1586" t="s">
        <v>40</v>
      </c>
      <c r="V1586" t="s">
        <v>41</v>
      </c>
      <c r="W1586" t="s">
        <v>75</v>
      </c>
      <c r="X1586" t="str">
        <f>"7501000"</f>
        <v>7501000</v>
      </c>
      <c r="Y1586" t="s">
        <v>668</v>
      </c>
      <c r="Z1586" t="s">
        <v>667</v>
      </c>
      <c r="AA1586" t="s">
        <v>669</v>
      </c>
      <c r="AB1586" t="s">
        <v>670</v>
      </c>
      <c r="AC1586" t="s">
        <v>51</v>
      </c>
      <c r="AD1586" t="s">
        <v>45</v>
      </c>
      <c r="AE1586" s="1">
        <v>29860</v>
      </c>
      <c r="AF1586">
        <v>1</v>
      </c>
      <c r="AG1586" t="s">
        <v>669</v>
      </c>
      <c r="AH1586" s="36">
        <f t="shared" si="24"/>
        <v>37.769444444444446</v>
      </c>
      <c r="AI1586" s="40" t="s">
        <v>1778</v>
      </c>
    </row>
    <row r="1587" spans="1:35" x14ac:dyDescent="0.25">
      <c r="A1587" s="36">
        <v>99911585</v>
      </c>
      <c r="B1587" s="17" t="s">
        <v>56</v>
      </c>
      <c r="C1587" t="s">
        <v>79</v>
      </c>
      <c r="D1587" t="s">
        <v>80</v>
      </c>
      <c r="G1587" s="17" t="s">
        <v>48</v>
      </c>
      <c r="H1587" s="17">
        <v>1</v>
      </c>
      <c r="K1587" t="s">
        <v>380</v>
      </c>
      <c r="L1587" t="s">
        <v>381</v>
      </c>
      <c r="M1587" t="s">
        <v>131</v>
      </c>
      <c r="N1587">
        <v>16</v>
      </c>
      <c r="O1587" t="s">
        <v>40</v>
      </c>
      <c r="P1587" t="s">
        <v>40</v>
      </c>
      <c r="Q1587" t="s">
        <v>40</v>
      </c>
      <c r="R1587" t="s">
        <v>40</v>
      </c>
      <c r="S1587" t="s">
        <v>40</v>
      </c>
      <c r="V1587" t="s">
        <v>41</v>
      </c>
      <c r="W1587" t="s">
        <v>49</v>
      </c>
      <c r="X1587" t="str">
        <f>"0580552"</f>
        <v>0580552</v>
      </c>
      <c r="Y1587" t="s">
        <v>386</v>
      </c>
      <c r="Z1587" t="s">
        <v>380</v>
      </c>
      <c r="AA1587" t="s">
        <v>381</v>
      </c>
      <c r="AB1587" t="s">
        <v>131</v>
      </c>
      <c r="AC1587" t="s">
        <v>51</v>
      </c>
      <c r="AD1587" t="s">
        <v>45</v>
      </c>
      <c r="AE1587" s="1">
        <v>29858</v>
      </c>
      <c r="AF1587">
        <v>2</v>
      </c>
      <c r="AG1587" t="s">
        <v>381</v>
      </c>
      <c r="AH1587" s="36">
        <f t="shared" si="24"/>
        <v>37.774999999999999</v>
      </c>
      <c r="AI1587" s="40" t="s">
        <v>1778</v>
      </c>
    </row>
    <row r="1588" spans="1:35" x14ac:dyDescent="0.25">
      <c r="A1588" s="36">
        <v>99911586</v>
      </c>
      <c r="B1588" s="17" t="s">
        <v>56</v>
      </c>
      <c r="C1588" t="s">
        <v>111</v>
      </c>
      <c r="D1588" t="s">
        <v>112</v>
      </c>
      <c r="G1588" s="17" t="s">
        <v>35</v>
      </c>
      <c r="H1588" s="17">
        <v>6</v>
      </c>
      <c r="K1588" t="s">
        <v>268</v>
      </c>
      <c r="L1588" t="s">
        <v>269</v>
      </c>
      <c r="M1588" t="s">
        <v>131</v>
      </c>
      <c r="N1588">
        <v>23</v>
      </c>
      <c r="O1588" t="s">
        <v>40</v>
      </c>
      <c r="P1588" t="s">
        <v>40</v>
      </c>
      <c r="Q1588" t="s">
        <v>40</v>
      </c>
      <c r="R1588" t="s">
        <v>40</v>
      </c>
      <c r="S1588" t="s">
        <v>40</v>
      </c>
      <c r="V1588" t="s">
        <v>41</v>
      </c>
      <c r="W1588" t="s">
        <v>75</v>
      </c>
      <c r="X1588" t="str">
        <f>"7052004"</f>
        <v>7052004</v>
      </c>
      <c r="Y1588" t="s">
        <v>584</v>
      </c>
      <c r="Z1588" t="s">
        <v>268</v>
      </c>
      <c r="AA1588" t="s">
        <v>269</v>
      </c>
      <c r="AB1588" t="s">
        <v>131</v>
      </c>
      <c r="AC1588" t="s">
        <v>51</v>
      </c>
      <c r="AD1588" t="s">
        <v>45</v>
      </c>
      <c r="AE1588" s="1">
        <v>29855</v>
      </c>
      <c r="AF1588">
        <v>1</v>
      </c>
      <c r="AG1588" t="s">
        <v>269</v>
      </c>
      <c r="AH1588" s="36">
        <f t="shared" si="24"/>
        <v>37.783333333333331</v>
      </c>
      <c r="AI1588" s="40" t="s">
        <v>1778</v>
      </c>
    </row>
    <row r="1589" spans="1:35" x14ac:dyDescent="0.25">
      <c r="A1589" s="36">
        <v>99911587</v>
      </c>
      <c r="B1589" s="17" t="s">
        <v>56</v>
      </c>
      <c r="C1589" t="s">
        <v>71</v>
      </c>
      <c r="D1589" t="s">
        <v>72</v>
      </c>
      <c r="G1589" s="17" t="s">
        <v>35</v>
      </c>
      <c r="H1589" s="17">
        <v>1</v>
      </c>
      <c r="I1589" t="s">
        <v>326</v>
      </c>
      <c r="J1589" s="1">
        <v>43344</v>
      </c>
      <c r="K1589" t="s">
        <v>300</v>
      </c>
      <c r="L1589" t="s">
        <v>301</v>
      </c>
      <c r="M1589" t="s">
        <v>131</v>
      </c>
      <c r="N1589">
        <v>4</v>
      </c>
      <c r="O1589" t="s">
        <v>40</v>
      </c>
      <c r="P1589" t="s">
        <v>40</v>
      </c>
      <c r="Q1589" t="s">
        <v>40</v>
      </c>
      <c r="R1589" t="s">
        <v>40</v>
      </c>
      <c r="S1589" t="s">
        <v>40</v>
      </c>
      <c r="U1589" s="1">
        <v>43344</v>
      </c>
      <c r="V1589" t="s">
        <v>41</v>
      </c>
      <c r="W1589" t="s">
        <v>49</v>
      </c>
      <c r="X1589" t="str">
        <f>"0560002"</f>
        <v>0560002</v>
      </c>
      <c r="Y1589" t="s">
        <v>315</v>
      </c>
      <c r="Z1589" t="s">
        <v>300</v>
      </c>
      <c r="AA1589" t="s">
        <v>301</v>
      </c>
      <c r="AB1589" t="s">
        <v>131</v>
      </c>
      <c r="AC1589" t="s">
        <v>51</v>
      </c>
      <c r="AD1589" t="s">
        <v>45</v>
      </c>
      <c r="AE1589" s="1">
        <v>29853</v>
      </c>
      <c r="AF1589">
        <v>2</v>
      </c>
      <c r="AG1589" t="s">
        <v>301</v>
      </c>
      <c r="AH1589" s="36">
        <f t="shared" si="24"/>
        <v>37.788888888888891</v>
      </c>
      <c r="AI1589" s="40" t="s">
        <v>1778</v>
      </c>
    </row>
    <row r="1590" spans="1:35" x14ac:dyDescent="0.25">
      <c r="A1590" s="36">
        <v>99911588</v>
      </c>
      <c r="B1590" s="17" t="s">
        <v>32</v>
      </c>
      <c r="C1590" t="s">
        <v>46</v>
      </c>
      <c r="D1590" t="s">
        <v>47</v>
      </c>
      <c r="G1590" s="17" t="s">
        <v>35</v>
      </c>
      <c r="H1590" s="17">
        <v>1</v>
      </c>
      <c r="K1590" t="s">
        <v>1325</v>
      </c>
      <c r="L1590" t="s">
        <v>1326</v>
      </c>
      <c r="M1590" t="s">
        <v>1270</v>
      </c>
      <c r="N1590">
        <v>22</v>
      </c>
      <c r="O1590" t="s">
        <v>40</v>
      </c>
      <c r="P1590" t="s">
        <v>40</v>
      </c>
      <c r="Q1590" t="s">
        <v>40</v>
      </c>
      <c r="R1590" t="s">
        <v>40</v>
      </c>
      <c r="S1590" t="s">
        <v>40</v>
      </c>
      <c r="V1590" t="s">
        <v>41</v>
      </c>
      <c r="W1590" t="s">
        <v>49</v>
      </c>
      <c r="X1590" t="str">
        <f>"3981100"</f>
        <v>3981100</v>
      </c>
      <c r="Y1590" t="s">
        <v>1327</v>
      </c>
      <c r="Z1590" t="s">
        <v>1325</v>
      </c>
      <c r="AA1590" t="s">
        <v>1326</v>
      </c>
      <c r="AB1590" t="s">
        <v>1270</v>
      </c>
      <c r="AC1590" t="s">
        <v>51</v>
      </c>
      <c r="AD1590" t="s">
        <v>45</v>
      </c>
      <c r="AE1590" s="1">
        <v>29853</v>
      </c>
      <c r="AF1590">
        <v>2</v>
      </c>
      <c r="AG1590" t="s">
        <v>1326</v>
      </c>
      <c r="AH1590" s="36">
        <f t="shared" si="24"/>
        <v>37.788888888888891</v>
      </c>
      <c r="AI1590" s="40" t="s">
        <v>1778</v>
      </c>
    </row>
    <row r="1591" spans="1:35" x14ac:dyDescent="0.25">
      <c r="A1591" s="36">
        <v>99911589</v>
      </c>
      <c r="B1591" s="17" t="s">
        <v>32</v>
      </c>
      <c r="C1591" t="s">
        <v>52</v>
      </c>
      <c r="D1591" t="s">
        <v>53</v>
      </c>
      <c r="G1591" s="17" t="s">
        <v>48</v>
      </c>
      <c r="H1591" s="17">
        <v>1</v>
      </c>
      <c r="K1591" t="s">
        <v>223</v>
      </c>
      <c r="L1591" t="s">
        <v>224</v>
      </c>
      <c r="M1591" t="s">
        <v>131</v>
      </c>
      <c r="N1591">
        <v>21</v>
      </c>
      <c r="O1591" t="s">
        <v>40</v>
      </c>
      <c r="P1591" t="s">
        <v>40</v>
      </c>
      <c r="Q1591" t="s">
        <v>40</v>
      </c>
      <c r="R1591" t="s">
        <v>40</v>
      </c>
      <c r="S1591" t="s">
        <v>40</v>
      </c>
      <c r="V1591" t="s">
        <v>41</v>
      </c>
      <c r="W1591" t="s">
        <v>49</v>
      </c>
      <c r="X1591" t="str">
        <f>"0581200"</f>
        <v>0581200</v>
      </c>
      <c r="Y1591" t="s">
        <v>238</v>
      </c>
      <c r="Z1591" t="s">
        <v>223</v>
      </c>
      <c r="AA1591" t="s">
        <v>224</v>
      </c>
      <c r="AB1591" t="s">
        <v>131</v>
      </c>
      <c r="AC1591" t="s">
        <v>51</v>
      </c>
      <c r="AD1591" t="s">
        <v>45</v>
      </c>
      <c r="AE1591" s="1">
        <v>29850</v>
      </c>
      <c r="AF1591">
        <v>2</v>
      </c>
      <c r="AG1591" t="s">
        <v>224</v>
      </c>
      <c r="AH1591" s="36">
        <f t="shared" si="24"/>
        <v>37.797222222222224</v>
      </c>
      <c r="AI1591" s="40" t="s">
        <v>1778</v>
      </c>
    </row>
    <row r="1592" spans="1:35" x14ac:dyDescent="0.25">
      <c r="A1592" s="36">
        <v>99911590</v>
      </c>
      <c r="B1592" s="17" t="s">
        <v>32</v>
      </c>
      <c r="C1592" t="s">
        <v>90</v>
      </c>
      <c r="D1592" t="s">
        <v>91</v>
      </c>
      <c r="G1592" s="17" t="s">
        <v>35</v>
      </c>
      <c r="H1592" s="17">
        <v>1</v>
      </c>
      <c r="I1592" s="1">
        <v>42614</v>
      </c>
      <c r="J1592" s="1">
        <v>43344</v>
      </c>
      <c r="K1592" t="s">
        <v>1341</v>
      </c>
      <c r="L1592" t="s">
        <v>1342</v>
      </c>
      <c r="M1592" t="s">
        <v>1270</v>
      </c>
      <c r="N1592">
        <v>24</v>
      </c>
      <c r="O1592" t="s">
        <v>40</v>
      </c>
      <c r="S1592" t="s">
        <v>40</v>
      </c>
      <c r="U1592" s="1">
        <v>43344</v>
      </c>
      <c r="V1592" t="s">
        <v>41</v>
      </c>
      <c r="W1592" t="s">
        <v>95</v>
      </c>
      <c r="X1592" t="str">
        <f>"7191121"</f>
        <v>7191121</v>
      </c>
      <c r="Y1592" t="s">
        <v>1369</v>
      </c>
      <c r="Z1592" t="s">
        <v>1341</v>
      </c>
      <c r="AA1592" t="s">
        <v>1342</v>
      </c>
      <c r="AB1592" t="s">
        <v>1270</v>
      </c>
      <c r="AC1592" t="s">
        <v>51</v>
      </c>
      <c r="AD1592" t="s">
        <v>45</v>
      </c>
      <c r="AE1592" s="1">
        <v>29850</v>
      </c>
      <c r="AF1592">
        <v>1</v>
      </c>
      <c r="AG1592" t="s">
        <v>1342</v>
      </c>
      <c r="AH1592" s="36">
        <f t="shared" si="24"/>
        <v>37.797222222222224</v>
      </c>
      <c r="AI1592" s="40" t="s">
        <v>1778</v>
      </c>
    </row>
    <row r="1593" spans="1:35" x14ac:dyDescent="0.25">
      <c r="A1593" s="36">
        <v>99911591</v>
      </c>
      <c r="B1593" s="17" t="s">
        <v>32</v>
      </c>
      <c r="C1593" t="s">
        <v>143</v>
      </c>
      <c r="D1593" t="s">
        <v>144</v>
      </c>
      <c r="G1593" s="17" t="s">
        <v>35</v>
      </c>
      <c r="H1593" s="17">
        <v>1</v>
      </c>
      <c r="I1593" t="s">
        <v>286</v>
      </c>
      <c r="J1593" s="1">
        <v>43344</v>
      </c>
      <c r="K1593" t="s">
        <v>268</v>
      </c>
      <c r="L1593" t="s">
        <v>269</v>
      </c>
      <c r="M1593" t="s">
        <v>131</v>
      </c>
      <c r="N1593">
        <v>16</v>
      </c>
      <c r="O1593" t="s">
        <v>40</v>
      </c>
      <c r="S1593" t="s">
        <v>40</v>
      </c>
      <c r="V1593" t="s">
        <v>41</v>
      </c>
      <c r="W1593" t="s">
        <v>75</v>
      </c>
      <c r="X1593" t="str">
        <f>"7052018"</f>
        <v>7052018</v>
      </c>
      <c r="Y1593" t="s">
        <v>577</v>
      </c>
      <c r="Z1593" t="s">
        <v>268</v>
      </c>
      <c r="AA1593" t="s">
        <v>269</v>
      </c>
      <c r="AB1593" t="s">
        <v>131</v>
      </c>
      <c r="AC1593" t="s">
        <v>51</v>
      </c>
      <c r="AD1593" t="s">
        <v>45</v>
      </c>
      <c r="AE1593" s="1">
        <v>29848</v>
      </c>
      <c r="AF1593">
        <v>1</v>
      </c>
      <c r="AG1593" t="s">
        <v>269</v>
      </c>
      <c r="AH1593" s="36">
        <f t="shared" si="24"/>
        <v>37.802777777777777</v>
      </c>
      <c r="AI1593" s="40" t="s">
        <v>1778</v>
      </c>
    </row>
    <row r="1594" spans="1:35" x14ac:dyDescent="0.25">
      <c r="A1594" s="36">
        <v>99911592</v>
      </c>
      <c r="B1594" s="17" t="s">
        <v>56</v>
      </c>
      <c r="C1594" t="s">
        <v>52</v>
      </c>
      <c r="D1594" t="s">
        <v>53</v>
      </c>
      <c r="G1594" s="17" t="s">
        <v>35</v>
      </c>
      <c r="H1594" s="17">
        <v>1</v>
      </c>
      <c r="I1594">
        <v>19729</v>
      </c>
      <c r="J1594" s="1">
        <v>43344</v>
      </c>
      <c r="K1594" t="s">
        <v>1128</v>
      </c>
      <c r="L1594" t="s">
        <v>1129</v>
      </c>
      <c r="M1594" t="s">
        <v>1130</v>
      </c>
      <c r="N1594">
        <v>6</v>
      </c>
      <c r="O1594" t="s">
        <v>40</v>
      </c>
      <c r="P1594" t="s">
        <v>40</v>
      </c>
      <c r="Q1594" t="s">
        <v>40</v>
      </c>
      <c r="R1594" t="s">
        <v>40</v>
      </c>
      <c r="S1594" t="s">
        <v>40</v>
      </c>
      <c r="U1594" s="1">
        <v>43344</v>
      </c>
      <c r="V1594" t="s">
        <v>41</v>
      </c>
      <c r="W1594" t="s">
        <v>42</v>
      </c>
      <c r="X1594" t="str">
        <f>"3180010"</f>
        <v>3180010</v>
      </c>
      <c r="Y1594" t="s">
        <v>1132</v>
      </c>
      <c r="Z1594" t="s">
        <v>1128</v>
      </c>
      <c r="AA1594" t="s">
        <v>1129</v>
      </c>
      <c r="AB1594" t="s">
        <v>1130</v>
      </c>
      <c r="AC1594" t="s">
        <v>55</v>
      </c>
      <c r="AD1594" t="s">
        <v>45</v>
      </c>
      <c r="AE1594" s="1">
        <v>29848</v>
      </c>
      <c r="AF1594">
        <v>2</v>
      </c>
      <c r="AG1594" t="s">
        <v>1129</v>
      </c>
      <c r="AH1594" s="36">
        <f t="shared" si="24"/>
        <v>37.802777777777777</v>
      </c>
      <c r="AI1594" s="40" t="s">
        <v>1778</v>
      </c>
    </row>
    <row r="1595" spans="1:35" x14ac:dyDescent="0.25">
      <c r="A1595" s="36">
        <v>99911593</v>
      </c>
      <c r="B1595" s="17" t="s">
        <v>32</v>
      </c>
      <c r="C1595" t="s">
        <v>58</v>
      </c>
      <c r="D1595" t="s">
        <v>59</v>
      </c>
      <c r="G1595" s="17" t="s">
        <v>48</v>
      </c>
      <c r="H1595" s="17">
        <v>7</v>
      </c>
      <c r="K1595" t="s">
        <v>1268</v>
      </c>
      <c r="L1595" t="s">
        <v>1269</v>
      </c>
      <c r="M1595" t="s">
        <v>1270</v>
      </c>
      <c r="N1595">
        <v>21</v>
      </c>
      <c r="O1595" t="s">
        <v>40</v>
      </c>
      <c r="P1595" t="s">
        <v>40</v>
      </c>
      <c r="Q1595" t="s">
        <v>40</v>
      </c>
      <c r="R1595" t="s">
        <v>40</v>
      </c>
      <c r="S1595" t="s">
        <v>40</v>
      </c>
      <c r="U1595" s="1">
        <v>43344</v>
      </c>
      <c r="V1595" t="s">
        <v>41</v>
      </c>
      <c r="W1595" t="s">
        <v>42</v>
      </c>
      <c r="X1595" t="str">
        <f>"1980055"</f>
        <v>1980055</v>
      </c>
      <c r="Y1595" t="s">
        <v>1285</v>
      </c>
      <c r="Z1595" t="s">
        <v>1268</v>
      </c>
      <c r="AA1595" t="s">
        <v>1269</v>
      </c>
      <c r="AB1595" t="s">
        <v>1270</v>
      </c>
      <c r="AC1595" t="s">
        <v>51</v>
      </c>
      <c r="AD1595" t="s">
        <v>45</v>
      </c>
      <c r="AE1595" s="1">
        <v>29846</v>
      </c>
      <c r="AF1595">
        <v>2</v>
      </c>
      <c r="AG1595" t="s">
        <v>1269</v>
      </c>
      <c r="AH1595" s="36">
        <f t="shared" si="24"/>
        <v>37.80833333333333</v>
      </c>
      <c r="AI1595" s="40" t="s">
        <v>1778</v>
      </c>
    </row>
    <row r="1596" spans="1:35" x14ac:dyDescent="0.25">
      <c r="A1596" s="36">
        <v>99911594</v>
      </c>
      <c r="B1596" s="17" t="s">
        <v>32</v>
      </c>
      <c r="C1596" t="s">
        <v>71</v>
      </c>
      <c r="D1596" t="s">
        <v>72</v>
      </c>
      <c r="G1596" s="17" t="s">
        <v>35</v>
      </c>
      <c r="H1596" s="17">
        <v>1</v>
      </c>
      <c r="I1596" t="s">
        <v>220</v>
      </c>
      <c r="J1596" s="1">
        <v>43344</v>
      </c>
      <c r="K1596" t="s">
        <v>162</v>
      </c>
      <c r="L1596" t="s">
        <v>158</v>
      </c>
      <c r="M1596" t="s">
        <v>131</v>
      </c>
      <c r="N1596">
        <v>20</v>
      </c>
      <c r="O1596" t="s">
        <v>40</v>
      </c>
      <c r="P1596" t="s">
        <v>40</v>
      </c>
      <c r="Q1596" t="s">
        <v>40</v>
      </c>
      <c r="R1596" t="s">
        <v>40</v>
      </c>
      <c r="S1596" t="s">
        <v>40</v>
      </c>
      <c r="U1596" s="1">
        <v>43344</v>
      </c>
      <c r="V1596" t="s">
        <v>41</v>
      </c>
      <c r="W1596" t="s">
        <v>49</v>
      </c>
      <c r="X1596" t="str">
        <f>"0505050"</f>
        <v>0505050</v>
      </c>
      <c r="Y1596" t="s">
        <v>163</v>
      </c>
      <c r="Z1596" t="s">
        <v>162</v>
      </c>
      <c r="AA1596" t="s">
        <v>158</v>
      </c>
      <c r="AB1596" t="s">
        <v>131</v>
      </c>
      <c r="AC1596" t="s">
        <v>165</v>
      </c>
      <c r="AD1596" t="s">
        <v>45</v>
      </c>
      <c r="AE1596" s="1">
        <v>29842</v>
      </c>
      <c r="AF1596">
        <v>2</v>
      </c>
      <c r="AG1596" t="s">
        <v>158</v>
      </c>
      <c r="AH1596" s="36">
        <f t="shared" si="24"/>
        <v>37.819444444444443</v>
      </c>
      <c r="AI1596" s="40" t="s">
        <v>1778</v>
      </c>
    </row>
    <row r="1597" spans="1:35" x14ac:dyDescent="0.25">
      <c r="A1597" s="36">
        <v>99911595</v>
      </c>
      <c r="B1597" s="17" t="s">
        <v>56</v>
      </c>
      <c r="C1597" t="s">
        <v>61</v>
      </c>
      <c r="D1597" t="s">
        <v>62</v>
      </c>
      <c r="G1597" s="17" t="s">
        <v>35</v>
      </c>
      <c r="H1597" s="17">
        <v>1</v>
      </c>
      <c r="I1597" t="s">
        <v>674</v>
      </c>
      <c r="J1597" s="1">
        <v>43344</v>
      </c>
      <c r="K1597" t="s">
        <v>268</v>
      </c>
      <c r="L1597" t="s">
        <v>269</v>
      </c>
      <c r="M1597" t="s">
        <v>131</v>
      </c>
      <c r="N1597">
        <v>6</v>
      </c>
      <c r="O1597" t="s">
        <v>40</v>
      </c>
      <c r="P1597" t="s">
        <v>40</v>
      </c>
      <c r="Q1597" t="s">
        <v>40</v>
      </c>
      <c r="R1597" t="s">
        <v>40</v>
      </c>
      <c r="S1597" t="s">
        <v>40</v>
      </c>
      <c r="U1597" s="1">
        <v>43344</v>
      </c>
      <c r="V1597" t="s">
        <v>41</v>
      </c>
      <c r="W1597" t="s">
        <v>75</v>
      </c>
      <c r="X1597" t="str">
        <f>"7052010"</f>
        <v>7052010</v>
      </c>
      <c r="Y1597" t="s">
        <v>615</v>
      </c>
      <c r="Z1597" t="s">
        <v>268</v>
      </c>
      <c r="AA1597" t="s">
        <v>269</v>
      </c>
      <c r="AB1597" t="s">
        <v>131</v>
      </c>
      <c r="AC1597" t="s">
        <v>51</v>
      </c>
      <c r="AD1597" t="s">
        <v>45</v>
      </c>
      <c r="AE1597" s="1">
        <v>29838</v>
      </c>
      <c r="AF1597">
        <v>1</v>
      </c>
      <c r="AG1597" t="s">
        <v>269</v>
      </c>
      <c r="AH1597" s="36">
        <f t="shared" si="24"/>
        <v>37.830555555555556</v>
      </c>
      <c r="AI1597" s="40" t="s">
        <v>1778</v>
      </c>
    </row>
    <row r="1598" spans="1:35" x14ac:dyDescent="0.25">
      <c r="A1598" s="36">
        <v>99911596</v>
      </c>
      <c r="B1598" s="17" t="s">
        <v>32</v>
      </c>
      <c r="C1598" t="s">
        <v>46</v>
      </c>
      <c r="D1598" t="s">
        <v>47</v>
      </c>
      <c r="G1598" s="17" t="s">
        <v>35</v>
      </c>
      <c r="H1598" s="17">
        <v>1</v>
      </c>
      <c r="I1598">
        <v>8647</v>
      </c>
      <c r="J1598" s="1">
        <v>42978</v>
      </c>
      <c r="K1598" t="s">
        <v>1325</v>
      </c>
      <c r="L1598" t="s">
        <v>1326</v>
      </c>
      <c r="M1598" t="s">
        <v>1270</v>
      </c>
      <c r="N1598">
        <v>23</v>
      </c>
      <c r="O1598" t="s">
        <v>40</v>
      </c>
      <c r="P1598" t="s">
        <v>40</v>
      </c>
      <c r="Q1598" t="s">
        <v>40</v>
      </c>
      <c r="R1598" t="s">
        <v>40</v>
      </c>
      <c r="S1598" t="s">
        <v>40</v>
      </c>
      <c r="U1598" s="1">
        <v>42979</v>
      </c>
      <c r="V1598" t="s">
        <v>41</v>
      </c>
      <c r="W1598" t="s">
        <v>49</v>
      </c>
      <c r="X1598" t="str">
        <f>"3981100"</f>
        <v>3981100</v>
      </c>
      <c r="Y1598" t="s">
        <v>1327</v>
      </c>
      <c r="Z1598" t="s">
        <v>1325</v>
      </c>
      <c r="AA1598" t="s">
        <v>1326</v>
      </c>
      <c r="AB1598" t="s">
        <v>1270</v>
      </c>
      <c r="AC1598" t="s">
        <v>51</v>
      </c>
      <c r="AD1598" t="s">
        <v>45</v>
      </c>
      <c r="AE1598" s="1">
        <v>29838</v>
      </c>
      <c r="AF1598">
        <v>2</v>
      </c>
      <c r="AG1598" t="s">
        <v>1326</v>
      </c>
      <c r="AH1598" s="36">
        <f t="shared" si="24"/>
        <v>37.830555555555556</v>
      </c>
      <c r="AI1598" s="40" t="s">
        <v>1778</v>
      </c>
    </row>
    <row r="1599" spans="1:35" x14ac:dyDescent="0.25">
      <c r="A1599" s="36">
        <v>99911597</v>
      </c>
      <c r="B1599" s="17" t="s">
        <v>32</v>
      </c>
      <c r="C1599" t="s">
        <v>64</v>
      </c>
      <c r="D1599" t="s">
        <v>65</v>
      </c>
      <c r="G1599" s="17" t="s">
        <v>48</v>
      </c>
      <c r="H1599" s="17">
        <v>7</v>
      </c>
      <c r="I1599" t="s">
        <v>563</v>
      </c>
      <c r="J1599" s="1">
        <v>40422</v>
      </c>
      <c r="K1599" t="s">
        <v>431</v>
      </c>
      <c r="L1599" t="s">
        <v>196</v>
      </c>
      <c r="M1599" t="s">
        <v>131</v>
      </c>
      <c r="N1599">
        <v>23</v>
      </c>
      <c r="O1599" t="s">
        <v>40</v>
      </c>
      <c r="P1599" t="s">
        <v>40</v>
      </c>
      <c r="Q1599" t="s">
        <v>40</v>
      </c>
      <c r="R1599" t="s">
        <v>40</v>
      </c>
      <c r="S1599" t="s">
        <v>40</v>
      </c>
      <c r="U1599" s="1">
        <v>40422</v>
      </c>
      <c r="V1599" t="s">
        <v>41</v>
      </c>
      <c r="W1599" t="s">
        <v>75</v>
      </c>
      <c r="X1599" t="str">
        <f>"7521022"</f>
        <v>7521022</v>
      </c>
      <c r="Y1599" t="s">
        <v>445</v>
      </c>
      <c r="Z1599" t="s">
        <v>431</v>
      </c>
      <c r="AA1599" t="s">
        <v>196</v>
      </c>
      <c r="AB1599" t="s">
        <v>131</v>
      </c>
      <c r="AC1599" t="s">
        <v>51</v>
      </c>
      <c r="AD1599" t="s">
        <v>45</v>
      </c>
      <c r="AE1599" s="1">
        <v>29836</v>
      </c>
      <c r="AF1599">
        <v>1</v>
      </c>
      <c r="AG1599" t="s">
        <v>196</v>
      </c>
      <c r="AH1599" s="36">
        <f t="shared" si="24"/>
        <v>37.836111111111109</v>
      </c>
      <c r="AI1599" s="40" t="s">
        <v>1778</v>
      </c>
    </row>
    <row r="1600" spans="1:35" x14ac:dyDescent="0.25">
      <c r="A1600" s="36">
        <v>99911598</v>
      </c>
      <c r="B1600" s="17" t="s">
        <v>32</v>
      </c>
      <c r="C1600" t="s">
        <v>46</v>
      </c>
      <c r="D1600" t="s">
        <v>47</v>
      </c>
      <c r="G1600" s="17" t="s">
        <v>48</v>
      </c>
      <c r="H1600" s="17">
        <v>1</v>
      </c>
      <c r="K1600" t="s">
        <v>129</v>
      </c>
      <c r="L1600" t="s">
        <v>130</v>
      </c>
      <c r="M1600" t="s">
        <v>131</v>
      </c>
      <c r="N1600">
        <v>20</v>
      </c>
      <c r="O1600" t="s">
        <v>40</v>
      </c>
      <c r="P1600" t="s">
        <v>40</v>
      </c>
      <c r="Q1600" t="s">
        <v>40</v>
      </c>
      <c r="R1600" t="s">
        <v>40</v>
      </c>
      <c r="S1600" t="s">
        <v>40</v>
      </c>
      <c r="V1600" t="s">
        <v>41</v>
      </c>
      <c r="W1600" t="s">
        <v>49</v>
      </c>
      <c r="X1600" t="str">
        <f>"0591905"</f>
        <v>0591905</v>
      </c>
      <c r="Y1600" t="s">
        <v>135</v>
      </c>
      <c r="Z1600" t="s">
        <v>129</v>
      </c>
      <c r="AA1600" t="s">
        <v>130</v>
      </c>
      <c r="AB1600" t="s">
        <v>131</v>
      </c>
      <c r="AC1600" t="s">
        <v>51</v>
      </c>
      <c r="AD1600" t="s">
        <v>45</v>
      </c>
      <c r="AE1600" s="1">
        <v>29834</v>
      </c>
      <c r="AF1600">
        <v>2</v>
      </c>
      <c r="AG1600" t="s">
        <v>130</v>
      </c>
      <c r="AH1600" s="36">
        <f t="shared" si="24"/>
        <v>37.841666666666669</v>
      </c>
      <c r="AI1600" s="40" t="s">
        <v>1778</v>
      </c>
    </row>
    <row r="1601" spans="1:35" x14ac:dyDescent="0.25">
      <c r="A1601" s="36">
        <v>99911599</v>
      </c>
      <c r="B1601" s="17" t="s">
        <v>32</v>
      </c>
      <c r="C1601" t="s">
        <v>71</v>
      </c>
      <c r="D1601" t="s">
        <v>72</v>
      </c>
      <c r="G1601" s="17" t="s">
        <v>48</v>
      </c>
      <c r="H1601" s="17">
        <v>1</v>
      </c>
      <c r="K1601" t="s">
        <v>268</v>
      </c>
      <c r="L1601" t="s">
        <v>269</v>
      </c>
      <c r="M1601" t="s">
        <v>131</v>
      </c>
      <c r="N1601">
        <v>4</v>
      </c>
      <c r="O1601" t="s">
        <v>40</v>
      </c>
      <c r="P1601" t="s">
        <v>40</v>
      </c>
      <c r="Q1601" t="s">
        <v>40</v>
      </c>
      <c r="S1601" t="s">
        <v>40</v>
      </c>
      <c r="V1601" t="s">
        <v>41</v>
      </c>
      <c r="W1601" t="s">
        <v>75</v>
      </c>
      <c r="X1601" t="str">
        <f>"7052042"</f>
        <v>7052042</v>
      </c>
      <c r="Y1601" t="s">
        <v>583</v>
      </c>
      <c r="Z1601" t="s">
        <v>268</v>
      </c>
      <c r="AA1601" t="s">
        <v>269</v>
      </c>
      <c r="AB1601" t="s">
        <v>131</v>
      </c>
      <c r="AC1601" t="s">
        <v>51</v>
      </c>
      <c r="AD1601" t="s">
        <v>45</v>
      </c>
      <c r="AE1601" s="1">
        <v>29832</v>
      </c>
      <c r="AF1601">
        <v>1</v>
      </c>
      <c r="AG1601" t="s">
        <v>269</v>
      </c>
      <c r="AH1601" s="36">
        <f t="shared" si="24"/>
        <v>37.847222222222221</v>
      </c>
      <c r="AI1601" s="40" t="s">
        <v>1778</v>
      </c>
    </row>
    <row r="1602" spans="1:35" x14ac:dyDescent="0.25">
      <c r="A1602" s="36">
        <v>99911600</v>
      </c>
      <c r="B1602" s="17" t="s">
        <v>32</v>
      </c>
      <c r="C1602" t="s">
        <v>64</v>
      </c>
      <c r="D1602" t="s">
        <v>65</v>
      </c>
      <c r="G1602" s="17" t="s">
        <v>48</v>
      </c>
      <c r="H1602" s="17">
        <v>1</v>
      </c>
      <c r="K1602" t="s">
        <v>1566</v>
      </c>
      <c r="L1602" t="s">
        <v>1567</v>
      </c>
      <c r="M1602" t="s">
        <v>1548</v>
      </c>
      <c r="N1602">
        <v>18</v>
      </c>
      <c r="O1602" t="s">
        <v>40</v>
      </c>
      <c r="P1602" t="s">
        <v>40</v>
      </c>
      <c r="Q1602" t="s">
        <v>40</v>
      </c>
      <c r="R1602" t="s">
        <v>40</v>
      </c>
      <c r="S1602" t="s">
        <v>40</v>
      </c>
      <c r="V1602" t="s">
        <v>41</v>
      </c>
      <c r="W1602" t="s">
        <v>49</v>
      </c>
      <c r="X1602" t="str">
        <f>"2960001"</f>
        <v>2960001</v>
      </c>
      <c r="Y1602" t="s">
        <v>1569</v>
      </c>
      <c r="Z1602" t="s">
        <v>1566</v>
      </c>
      <c r="AA1602" t="s">
        <v>1567</v>
      </c>
      <c r="AB1602" t="s">
        <v>1548</v>
      </c>
      <c r="AC1602" t="s">
        <v>51</v>
      </c>
      <c r="AD1602" t="s">
        <v>45</v>
      </c>
      <c r="AE1602" s="1">
        <v>29832</v>
      </c>
      <c r="AF1602">
        <v>2</v>
      </c>
      <c r="AG1602" t="s">
        <v>1567</v>
      </c>
      <c r="AH1602" s="36">
        <f t="shared" ref="AH1602:AH1665" si="25">($AJ$1-AE1602)/360</f>
        <v>37.847222222222221</v>
      </c>
      <c r="AI1602" s="40" t="s">
        <v>1778</v>
      </c>
    </row>
    <row r="1603" spans="1:35" x14ac:dyDescent="0.25">
      <c r="A1603" s="36">
        <v>99911601</v>
      </c>
      <c r="B1603" s="17" t="s">
        <v>32</v>
      </c>
      <c r="C1603" t="s">
        <v>46</v>
      </c>
      <c r="D1603" t="s">
        <v>47</v>
      </c>
      <c r="G1603" s="17" t="s">
        <v>48</v>
      </c>
      <c r="H1603" s="17">
        <v>1</v>
      </c>
      <c r="K1603" t="s">
        <v>300</v>
      </c>
      <c r="L1603" t="s">
        <v>301</v>
      </c>
      <c r="M1603" t="s">
        <v>131</v>
      </c>
      <c r="N1603">
        <v>22</v>
      </c>
      <c r="O1603" t="s">
        <v>40</v>
      </c>
      <c r="P1603" t="s">
        <v>40</v>
      </c>
      <c r="Q1603" t="s">
        <v>40</v>
      </c>
      <c r="R1603" t="s">
        <v>40</v>
      </c>
      <c r="S1603" t="s">
        <v>40</v>
      </c>
      <c r="V1603" t="s">
        <v>41</v>
      </c>
      <c r="W1603" t="s">
        <v>49</v>
      </c>
      <c r="X1603" t="str">
        <f>"0560020"</f>
        <v>0560020</v>
      </c>
      <c r="Y1603" t="s">
        <v>302</v>
      </c>
      <c r="Z1603" t="s">
        <v>300</v>
      </c>
      <c r="AA1603" t="s">
        <v>301</v>
      </c>
      <c r="AB1603" t="s">
        <v>131</v>
      </c>
      <c r="AC1603" t="s">
        <v>51</v>
      </c>
      <c r="AD1603" t="s">
        <v>45</v>
      </c>
      <c r="AE1603" s="1">
        <v>29831</v>
      </c>
      <c r="AF1603">
        <v>2</v>
      </c>
      <c r="AG1603" t="s">
        <v>301</v>
      </c>
      <c r="AH1603" s="36">
        <f t="shared" si="25"/>
        <v>37.85</v>
      </c>
      <c r="AI1603" s="40" t="s">
        <v>1778</v>
      </c>
    </row>
    <row r="1604" spans="1:35" x14ac:dyDescent="0.25">
      <c r="A1604" s="36">
        <v>99911602</v>
      </c>
      <c r="B1604" s="17" t="s">
        <v>32</v>
      </c>
      <c r="C1604" t="s">
        <v>64</v>
      </c>
      <c r="D1604" t="s">
        <v>65</v>
      </c>
      <c r="G1604" s="17" t="s">
        <v>48</v>
      </c>
      <c r="H1604" s="17">
        <v>1</v>
      </c>
      <c r="K1604" t="s">
        <v>162</v>
      </c>
      <c r="L1604" t="s">
        <v>158</v>
      </c>
      <c r="M1604" t="s">
        <v>131</v>
      </c>
      <c r="N1604">
        <v>21</v>
      </c>
      <c r="O1604" t="s">
        <v>40</v>
      </c>
      <c r="P1604" t="s">
        <v>40</v>
      </c>
      <c r="Q1604" t="s">
        <v>40</v>
      </c>
      <c r="R1604" t="s">
        <v>40</v>
      </c>
      <c r="S1604" t="s">
        <v>40</v>
      </c>
      <c r="V1604" t="s">
        <v>41</v>
      </c>
      <c r="W1604" t="s">
        <v>49</v>
      </c>
      <c r="X1604" t="str">
        <f>"0581325"</f>
        <v>0581325</v>
      </c>
      <c r="Y1604" t="s">
        <v>169</v>
      </c>
      <c r="Z1604" t="s">
        <v>162</v>
      </c>
      <c r="AA1604" t="s">
        <v>158</v>
      </c>
      <c r="AB1604" t="s">
        <v>131</v>
      </c>
      <c r="AC1604" t="s">
        <v>51</v>
      </c>
      <c r="AD1604" t="s">
        <v>45</v>
      </c>
      <c r="AE1604" s="1">
        <v>29830</v>
      </c>
      <c r="AF1604">
        <v>2</v>
      </c>
      <c r="AG1604" t="s">
        <v>158</v>
      </c>
      <c r="AH1604" s="36">
        <f t="shared" si="25"/>
        <v>37.852777777777774</v>
      </c>
      <c r="AI1604" s="40" t="s">
        <v>1778</v>
      </c>
    </row>
    <row r="1605" spans="1:35" x14ac:dyDescent="0.25">
      <c r="A1605" s="36">
        <v>99911603</v>
      </c>
      <c r="B1605" s="17" t="s">
        <v>56</v>
      </c>
      <c r="C1605" t="s">
        <v>85</v>
      </c>
      <c r="D1605" t="s">
        <v>86</v>
      </c>
      <c r="G1605" s="17" t="s">
        <v>48</v>
      </c>
      <c r="H1605" s="17">
        <v>4</v>
      </c>
      <c r="K1605" t="s">
        <v>345</v>
      </c>
      <c r="L1605" t="s">
        <v>346</v>
      </c>
      <c r="M1605" t="s">
        <v>131</v>
      </c>
      <c r="N1605">
        <v>21</v>
      </c>
      <c r="O1605" t="s">
        <v>40</v>
      </c>
      <c r="P1605" t="s">
        <v>40</v>
      </c>
      <c r="Q1605" t="s">
        <v>40</v>
      </c>
      <c r="R1605" t="s">
        <v>40</v>
      </c>
      <c r="S1605" t="s">
        <v>40</v>
      </c>
      <c r="V1605" t="s">
        <v>41</v>
      </c>
      <c r="W1605" t="s">
        <v>49</v>
      </c>
      <c r="X1605" t="str">
        <f>"0591906"</f>
        <v>0591906</v>
      </c>
      <c r="Y1605" t="s">
        <v>350</v>
      </c>
      <c r="Z1605" t="s">
        <v>345</v>
      </c>
      <c r="AA1605" t="s">
        <v>346</v>
      </c>
      <c r="AB1605" t="s">
        <v>131</v>
      </c>
      <c r="AC1605" t="s">
        <v>51</v>
      </c>
      <c r="AD1605" t="s">
        <v>45</v>
      </c>
      <c r="AE1605" s="1">
        <v>29830</v>
      </c>
      <c r="AF1605">
        <v>2</v>
      </c>
      <c r="AG1605" t="s">
        <v>346</v>
      </c>
      <c r="AH1605" s="36">
        <f t="shared" si="25"/>
        <v>37.852777777777774</v>
      </c>
      <c r="AI1605" s="40" t="s">
        <v>1778</v>
      </c>
    </row>
    <row r="1606" spans="1:35" x14ac:dyDescent="0.25">
      <c r="A1606" s="36">
        <v>99911604</v>
      </c>
      <c r="B1606" s="17" t="s">
        <v>32</v>
      </c>
      <c r="C1606" t="s">
        <v>85</v>
      </c>
      <c r="D1606" t="s">
        <v>86</v>
      </c>
      <c r="G1606" s="17" t="s">
        <v>48</v>
      </c>
      <c r="H1606" s="17">
        <v>1</v>
      </c>
      <c r="K1606" t="s">
        <v>129</v>
      </c>
      <c r="L1606" t="s">
        <v>130</v>
      </c>
      <c r="M1606" t="s">
        <v>131</v>
      </c>
      <c r="N1606">
        <v>20</v>
      </c>
      <c r="O1606" t="s">
        <v>40</v>
      </c>
      <c r="P1606" t="s">
        <v>40</v>
      </c>
      <c r="Q1606" t="s">
        <v>40</v>
      </c>
      <c r="R1606" t="s">
        <v>40</v>
      </c>
      <c r="S1606" t="s">
        <v>40</v>
      </c>
      <c r="V1606" t="s">
        <v>41</v>
      </c>
      <c r="W1606" t="s">
        <v>49</v>
      </c>
      <c r="X1606" t="str">
        <f>"0591905"</f>
        <v>0591905</v>
      </c>
      <c r="Y1606" t="s">
        <v>135</v>
      </c>
      <c r="Z1606" t="s">
        <v>129</v>
      </c>
      <c r="AA1606" t="s">
        <v>130</v>
      </c>
      <c r="AB1606" t="s">
        <v>131</v>
      </c>
      <c r="AC1606" t="s">
        <v>51</v>
      </c>
      <c r="AD1606" t="s">
        <v>45</v>
      </c>
      <c r="AE1606" s="1">
        <v>29828</v>
      </c>
      <c r="AF1606">
        <v>2</v>
      </c>
      <c r="AG1606" t="s">
        <v>130</v>
      </c>
      <c r="AH1606" s="36">
        <f t="shared" si="25"/>
        <v>37.858333333333334</v>
      </c>
      <c r="AI1606" s="40" t="s">
        <v>1778</v>
      </c>
    </row>
    <row r="1607" spans="1:35" x14ac:dyDescent="0.25">
      <c r="A1607" s="36">
        <v>99911605</v>
      </c>
      <c r="B1607" s="17" t="s">
        <v>32</v>
      </c>
      <c r="C1607" t="s">
        <v>141</v>
      </c>
      <c r="D1607" t="s">
        <v>142</v>
      </c>
      <c r="G1607" s="17" t="s">
        <v>88</v>
      </c>
      <c r="H1607" s="17">
        <v>3</v>
      </c>
      <c r="I1607" t="s">
        <v>435</v>
      </c>
      <c r="J1607" s="1">
        <v>41518</v>
      </c>
      <c r="K1607" t="s">
        <v>195</v>
      </c>
      <c r="L1607" t="s">
        <v>196</v>
      </c>
      <c r="M1607" t="s">
        <v>131</v>
      </c>
      <c r="N1607">
        <v>24</v>
      </c>
      <c r="O1607" t="s">
        <v>40</v>
      </c>
      <c r="P1607" t="s">
        <v>40</v>
      </c>
      <c r="Q1607" t="s">
        <v>40</v>
      </c>
      <c r="R1607" t="s">
        <v>40</v>
      </c>
      <c r="S1607" t="s">
        <v>40</v>
      </c>
      <c r="U1607" s="1">
        <v>41518</v>
      </c>
      <c r="V1607" t="s">
        <v>41</v>
      </c>
      <c r="W1607" t="s">
        <v>75</v>
      </c>
      <c r="X1607" t="str">
        <f>"7521046"</f>
        <v>7521046</v>
      </c>
      <c r="Y1607" t="s">
        <v>436</v>
      </c>
      <c r="Z1607" t="s">
        <v>195</v>
      </c>
      <c r="AA1607" t="s">
        <v>196</v>
      </c>
      <c r="AB1607" t="s">
        <v>131</v>
      </c>
      <c r="AC1607" t="s">
        <v>165</v>
      </c>
      <c r="AD1607" t="s">
        <v>45</v>
      </c>
      <c r="AE1607" s="1">
        <v>29827</v>
      </c>
      <c r="AF1607">
        <v>1</v>
      </c>
      <c r="AG1607" t="s">
        <v>196</v>
      </c>
      <c r="AH1607" s="36">
        <f t="shared" si="25"/>
        <v>37.861111111111114</v>
      </c>
      <c r="AI1607" s="40" t="s">
        <v>1778</v>
      </c>
    </row>
    <row r="1608" spans="1:35" x14ac:dyDescent="0.25">
      <c r="A1608" s="36">
        <v>99911606</v>
      </c>
      <c r="B1608" s="17" t="s">
        <v>32</v>
      </c>
      <c r="C1608" t="s">
        <v>64</v>
      </c>
      <c r="D1608" t="s">
        <v>65</v>
      </c>
      <c r="G1608" s="17" t="s">
        <v>35</v>
      </c>
      <c r="H1608" s="17">
        <v>1</v>
      </c>
      <c r="I1608">
        <v>22882</v>
      </c>
      <c r="J1608" s="1">
        <v>43027</v>
      </c>
      <c r="K1608" t="s">
        <v>380</v>
      </c>
      <c r="L1608" t="s">
        <v>381</v>
      </c>
      <c r="M1608" t="s">
        <v>131</v>
      </c>
      <c r="N1608">
        <v>8</v>
      </c>
      <c r="O1608" t="s">
        <v>40</v>
      </c>
      <c r="P1608" t="s">
        <v>40</v>
      </c>
      <c r="Q1608" t="s">
        <v>40</v>
      </c>
      <c r="R1608" t="s">
        <v>40</v>
      </c>
      <c r="S1608" t="s">
        <v>40</v>
      </c>
      <c r="U1608" s="1">
        <v>43027</v>
      </c>
      <c r="V1608" t="s">
        <v>41</v>
      </c>
      <c r="W1608" t="s">
        <v>49</v>
      </c>
      <c r="X1608" t="str">
        <f>"0561020"</f>
        <v>0561020</v>
      </c>
      <c r="Y1608" t="s">
        <v>390</v>
      </c>
      <c r="Z1608" t="s">
        <v>380</v>
      </c>
      <c r="AA1608" t="s">
        <v>381</v>
      </c>
      <c r="AB1608" t="s">
        <v>131</v>
      </c>
      <c r="AC1608" t="s">
        <v>44</v>
      </c>
      <c r="AD1608" t="s">
        <v>45</v>
      </c>
      <c r="AE1608" s="1">
        <v>29826</v>
      </c>
      <c r="AF1608">
        <v>2</v>
      </c>
      <c r="AG1608" t="s">
        <v>381</v>
      </c>
      <c r="AH1608" s="36">
        <f t="shared" si="25"/>
        <v>37.863888888888887</v>
      </c>
      <c r="AI1608" s="40" t="s">
        <v>1778</v>
      </c>
    </row>
    <row r="1609" spans="1:35" x14ac:dyDescent="0.25">
      <c r="A1609" s="36">
        <v>99911607</v>
      </c>
      <c r="B1609" s="17" t="s">
        <v>56</v>
      </c>
      <c r="C1609" t="s">
        <v>64</v>
      </c>
      <c r="D1609" t="s">
        <v>65</v>
      </c>
      <c r="G1609" s="17" t="s">
        <v>48</v>
      </c>
      <c r="H1609" s="17">
        <v>6</v>
      </c>
      <c r="I1609" t="s">
        <v>497</v>
      </c>
      <c r="J1609" s="1">
        <v>42331</v>
      </c>
      <c r="K1609" t="s">
        <v>431</v>
      </c>
      <c r="L1609" t="s">
        <v>196</v>
      </c>
      <c r="M1609" t="s">
        <v>131</v>
      </c>
      <c r="N1609">
        <v>24</v>
      </c>
      <c r="O1609" t="s">
        <v>40</v>
      </c>
      <c r="P1609" t="s">
        <v>40</v>
      </c>
      <c r="Q1609" t="s">
        <v>40</v>
      </c>
      <c r="R1609" t="s">
        <v>40</v>
      </c>
      <c r="S1609" t="s">
        <v>40</v>
      </c>
      <c r="U1609" s="1">
        <v>42331</v>
      </c>
      <c r="V1609" t="s">
        <v>41</v>
      </c>
      <c r="W1609" t="s">
        <v>75</v>
      </c>
      <c r="X1609" t="str">
        <f>"7521012"</f>
        <v>7521012</v>
      </c>
      <c r="Y1609" t="s">
        <v>432</v>
      </c>
      <c r="Z1609" t="s">
        <v>431</v>
      </c>
      <c r="AA1609" t="s">
        <v>196</v>
      </c>
      <c r="AB1609" t="s">
        <v>131</v>
      </c>
      <c r="AC1609" t="s">
        <v>165</v>
      </c>
      <c r="AD1609" t="s">
        <v>45</v>
      </c>
      <c r="AE1609" s="1">
        <v>29824</v>
      </c>
      <c r="AF1609">
        <v>1</v>
      </c>
      <c r="AG1609" t="s">
        <v>196</v>
      </c>
      <c r="AH1609" s="36">
        <f t="shared" si="25"/>
        <v>37.869444444444447</v>
      </c>
      <c r="AI1609" s="40" t="s">
        <v>1778</v>
      </c>
    </row>
    <row r="1610" spans="1:35" x14ac:dyDescent="0.25">
      <c r="A1610" s="36">
        <v>99911608</v>
      </c>
      <c r="B1610" s="17" t="s">
        <v>32</v>
      </c>
      <c r="C1610" t="s">
        <v>90</v>
      </c>
      <c r="D1610" t="s">
        <v>91</v>
      </c>
      <c r="G1610" s="17" t="s">
        <v>48</v>
      </c>
      <c r="H1610" s="17">
        <v>1</v>
      </c>
      <c r="K1610" t="s">
        <v>268</v>
      </c>
      <c r="L1610" t="s">
        <v>269</v>
      </c>
      <c r="M1610" t="s">
        <v>131</v>
      </c>
      <c r="N1610">
        <v>30</v>
      </c>
      <c r="O1610" t="s">
        <v>40</v>
      </c>
      <c r="P1610" t="s">
        <v>40</v>
      </c>
      <c r="Q1610" t="s">
        <v>40</v>
      </c>
      <c r="R1610" t="s">
        <v>40</v>
      </c>
      <c r="S1610" t="s">
        <v>40</v>
      </c>
      <c r="V1610" t="s">
        <v>41</v>
      </c>
      <c r="W1610" t="s">
        <v>95</v>
      </c>
      <c r="X1610" t="str">
        <f>"7052027"</f>
        <v>7052027</v>
      </c>
      <c r="Y1610" t="s">
        <v>694</v>
      </c>
      <c r="Z1610" t="s">
        <v>268</v>
      </c>
      <c r="AA1610" t="s">
        <v>269</v>
      </c>
      <c r="AB1610" t="s">
        <v>131</v>
      </c>
      <c r="AC1610" t="s">
        <v>51</v>
      </c>
      <c r="AD1610" t="s">
        <v>45</v>
      </c>
      <c r="AE1610" s="1">
        <v>29821</v>
      </c>
      <c r="AF1610">
        <v>1</v>
      </c>
      <c r="AG1610" t="s">
        <v>269</v>
      </c>
      <c r="AH1610" s="36">
        <f t="shared" si="25"/>
        <v>37.87777777777778</v>
      </c>
      <c r="AI1610" s="40" t="s">
        <v>1778</v>
      </c>
    </row>
    <row r="1611" spans="1:35" x14ac:dyDescent="0.25">
      <c r="A1611" s="36">
        <v>99911609</v>
      </c>
      <c r="B1611" s="17" t="s">
        <v>32</v>
      </c>
      <c r="C1611" t="s">
        <v>46</v>
      </c>
      <c r="D1611" t="s">
        <v>47</v>
      </c>
      <c r="G1611" s="17" t="s">
        <v>35</v>
      </c>
      <c r="H1611" s="17">
        <v>1</v>
      </c>
      <c r="I1611" t="s">
        <v>1004</v>
      </c>
      <c r="J1611" s="1">
        <v>43344</v>
      </c>
      <c r="K1611" t="s">
        <v>963</v>
      </c>
      <c r="L1611" t="s">
        <v>964</v>
      </c>
      <c r="M1611" t="s">
        <v>938</v>
      </c>
      <c r="N1611">
        <v>24</v>
      </c>
      <c r="O1611" t="s">
        <v>40</v>
      </c>
      <c r="Q1611" t="s">
        <v>40</v>
      </c>
      <c r="S1611" t="s">
        <v>40</v>
      </c>
      <c r="U1611" s="1">
        <v>43344</v>
      </c>
      <c r="X1611" t="str">
        <f>""</f>
        <v/>
      </c>
      <c r="AA1611" t="s">
        <v>964</v>
      </c>
      <c r="AB1611" t="s">
        <v>938</v>
      </c>
      <c r="AC1611" t="s">
        <v>51</v>
      </c>
      <c r="AD1611" t="s">
        <v>45</v>
      </c>
      <c r="AE1611" s="1">
        <v>29816</v>
      </c>
      <c r="AF1611">
        <v>1</v>
      </c>
      <c r="AG1611" t="s">
        <v>964</v>
      </c>
      <c r="AH1611" s="36">
        <f t="shared" si="25"/>
        <v>37.891666666666666</v>
      </c>
      <c r="AI1611" s="40" t="s">
        <v>1778</v>
      </c>
    </row>
    <row r="1612" spans="1:35" x14ac:dyDescent="0.25">
      <c r="A1612" s="36">
        <v>99911610</v>
      </c>
      <c r="B1612" s="17" t="s">
        <v>32</v>
      </c>
      <c r="C1612" t="s">
        <v>90</v>
      </c>
      <c r="D1612" t="s">
        <v>91</v>
      </c>
      <c r="G1612" s="17" t="s">
        <v>35</v>
      </c>
      <c r="H1612" s="17">
        <v>1</v>
      </c>
      <c r="I1612">
        <v>0</v>
      </c>
      <c r="J1612" s="1">
        <v>43344</v>
      </c>
      <c r="K1612" t="s">
        <v>985</v>
      </c>
      <c r="L1612" t="s">
        <v>986</v>
      </c>
      <c r="M1612" t="s">
        <v>938</v>
      </c>
      <c r="N1612">
        <v>24</v>
      </c>
      <c r="O1612" t="s">
        <v>40</v>
      </c>
      <c r="S1612" t="s">
        <v>40</v>
      </c>
      <c r="U1612" s="1">
        <v>43344</v>
      </c>
      <c r="V1612" t="s">
        <v>41</v>
      </c>
      <c r="W1612" t="s">
        <v>95</v>
      </c>
      <c r="X1612" t="str">
        <f>"7011009"</f>
        <v>7011009</v>
      </c>
      <c r="Y1612" t="s">
        <v>988</v>
      </c>
      <c r="Z1612" t="s">
        <v>985</v>
      </c>
      <c r="AA1612" t="s">
        <v>986</v>
      </c>
      <c r="AB1612" t="s">
        <v>938</v>
      </c>
      <c r="AC1612" t="s">
        <v>44</v>
      </c>
      <c r="AD1612" t="s">
        <v>45</v>
      </c>
      <c r="AE1612" s="1">
        <v>29814</v>
      </c>
      <c r="AF1612">
        <v>1</v>
      </c>
      <c r="AG1612" t="s">
        <v>986</v>
      </c>
      <c r="AH1612" s="36">
        <f t="shared" si="25"/>
        <v>37.897222222222226</v>
      </c>
      <c r="AI1612" s="40" t="s">
        <v>1778</v>
      </c>
    </row>
    <row r="1613" spans="1:35" x14ac:dyDescent="0.25">
      <c r="A1613" s="36">
        <v>99911611</v>
      </c>
      <c r="B1613" s="17" t="s">
        <v>56</v>
      </c>
      <c r="C1613" t="s">
        <v>46</v>
      </c>
      <c r="D1613" t="s">
        <v>47</v>
      </c>
      <c r="G1613" s="17" t="s">
        <v>35</v>
      </c>
      <c r="H1613" s="17">
        <v>3</v>
      </c>
      <c r="K1613" t="s">
        <v>157</v>
      </c>
      <c r="L1613" t="s">
        <v>158</v>
      </c>
      <c r="M1613" t="s">
        <v>131</v>
      </c>
      <c r="N1613">
        <v>9</v>
      </c>
      <c r="O1613" t="s">
        <v>40</v>
      </c>
      <c r="P1613" t="s">
        <v>40</v>
      </c>
      <c r="Q1613" t="s">
        <v>40</v>
      </c>
      <c r="R1613" t="s">
        <v>40</v>
      </c>
      <c r="S1613" t="s">
        <v>40</v>
      </c>
      <c r="V1613" t="s">
        <v>41</v>
      </c>
      <c r="W1613" t="s">
        <v>42</v>
      </c>
      <c r="X1613" t="str">
        <f>"0561004"</f>
        <v>0561004</v>
      </c>
      <c r="Y1613" t="s">
        <v>172</v>
      </c>
      <c r="Z1613" t="s">
        <v>157</v>
      </c>
      <c r="AA1613" t="s">
        <v>158</v>
      </c>
      <c r="AB1613" t="s">
        <v>131</v>
      </c>
      <c r="AC1613" t="s">
        <v>51</v>
      </c>
      <c r="AD1613" t="s">
        <v>45</v>
      </c>
      <c r="AE1613" s="1">
        <v>29809</v>
      </c>
      <c r="AF1613">
        <v>2</v>
      </c>
      <c r="AG1613" t="s">
        <v>158</v>
      </c>
      <c r="AH1613" s="36">
        <f t="shared" si="25"/>
        <v>37.911111111111111</v>
      </c>
      <c r="AI1613" s="40" t="s">
        <v>1778</v>
      </c>
    </row>
    <row r="1614" spans="1:35" x14ac:dyDescent="0.25">
      <c r="A1614" s="36">
        <v>99911612</v>
      </c>
      <c r="B1614" s="17" t="s">
        <v>56</v>
      </c>
      <c r="C1614" t="s">
        <v>46</v>
      </c>
      <c r="D1614" t="s">
        <v>47</v>
      </c>
      <c r="G1614" s="17" t="s">
        <v>35</v>
      </c>
      <c r="H1614" s="17">
        <v>1</v>
      </c>
      <c r="I1614">
        <v>0</v>
      </c>
      <c r="J1614" s="1">
        <v>43344</v>
      </c>
      <c r="K1614" t="s">
        <v>223</v>
      </c>
      <c r="L1614" t="s">
        <v>224</v>
      </c>
      <c r="M1614" t="s">
        <v>131</v>
      </c>
      <c r="N1614">
        <v>20</v>
      </c>
      <c r="O1614" t="s">
        <v>40</v>
      </c>
      <c r="P1614" t="s">
        <v>40</v>
      </c>
      <c r="Q1614" t="s">
        <v>40</v>
      </c>
      <c r="R1614" t="s">
        <v>40</v>
      </c>
      <c r="S1614" t="s">
        <v>40</v>
      </c>
      <c r="U1614" s="1">
        <v>43344</v>
      </c>
      <c r="V1614" t="s">
        <v>41</v>
      </c>
      <c r="W1614" t="s">
        <v>42</v>
      </c>
      <c r="X1614" t="str">
        <f>"0580204"</f>
        <v>0580204</v>
      </c>
      <c r="Y1614" t="s">
        <v>235</v>
      </c>
      <c r="Z1614" t="s">
        <v>223</v>
      </c>
      <c r="AA1614" t="s">
        <v>224</v>
      </c>
      <c r="AB1614" t="s">
        <v>131</v>
      </c>
      <c r="AC1614" t="s">
        <v>44</v>
      </c>
      <c r="AD1614" t="s">
        <v>45</v>
      </c>
      <c r="AE1614" s="1">
        <v>29809</v>
      </c>
      <c r="AF1614">
        <v>2</v>
      </c>
      <c r="AG1614" t="s">
        <v>224</v>
      </c>
      <c r="AH1614" s="36">
        <f t="shared" si="25"/>
        <v>37.911111111111111</v>
      </c>
      <c r="AI1614" s="40" t="s">
        <v>1778</v>
      </c>
    </row>
    <row r="1615" spans="1:35" x14ac:dyDescent="0.25">
      <c r="A1615" s="36">
        <v>99911613</v>
      </c>
      <c r="B1615" s="17" t="s">
        <v>32</v>
      </c>
      <c r="C1615" t="s">
        <v>58</v>
      </c>
      <c r="D1615" t="s">
        <v>59</v>
      </c>
      <c r="G1615" s="17" t="s">
        <v>48</v>
      </c>
      <c r="H1615" s="17">
        <v>1</v>
      </c>
      <c r="K1615" t="s">
        <v>380</v>
      </c>
      <c r="L1615" t="s">
        <v>381</v>
      </c>
      <c r="M1615" t="s">
        <v>131</v>
      </c>
      <c r="N1615">
        <v>16</v>
      </c>
      <c r="O1615" t="s">
        <v>40</v>
      </c>
      <c r="P1615" t="s">
        <v>40</v>
      </c>
      <c r="Q1615" t="s">
        <v>40</v>
      </c>
      <c r="R1615" t="s">
        <v>40</v>
      </c>
      <c r="S1615" t="s">
        <v>40</v>
      </c>
      <c r="V1615" t="s">
        <v>41</v>
      </c>
      <c r="W1615" t="s">
        <v>42</v>
      </c>
      <c r="X1615" t="str">
        <f>"0590908"</f>
        <v>0590908</v>
      </c>
      <c r="Y1615" t="s">
        <v>382</v>
      </c>
      <c r="Z1615" t="s">
        <v>380</v>
      </c>
      <c r="AA1615" t="s">
        <v>381</v>
      </c>
      <c r="AB1615" t="s">
        <v>131</v>
      </c>
      <c r="AC1615" t="s">
        <v>51</v>
      </c>
      <c r="AD1615" t="s">
        <v>45</v>
      </c>
      <c r="AE1615" s="1">
        <v>29805</v>
      </c>
      <c r="AF1615">
        <v>2</v>
      </c>
      <c r="AG1615" t="s">
        <v>381</v>
      </c>
      <c r="AH1615" s="36">
        <f t="shared" si="25"/>
        <v>37.922222222222224</v>
      </c>
      <c r="AI1615" s="40" t="s">
        <v>1778</v>
      </c>
    </row>
    <row r="1616" spans="1:35" x14ac:dyDescent="0.25">
      <c r="A1616" s="36">
        <v>99911614</v>
      </c>
      <c r="B1616" s="17" t="s">
        <v>56</v>
      </c>
      <c r="C1616" t="s">
        <v>79</v>
      </c>
      <c r="D1616" t="s">
        <v>80</v>
      </c>
      <c r="G1616" s="17" t="s">
        <v>35</v>
      </c>
      <c r="H1616" s="17">
        <v>1</v>
      </c>
      <c r="I1616" t="s">
        <v>1174</v>
      </c>
      <c r="J1616" s="1">
        <v>43354</v>
      </c>
      <c r="K1616" t="s">
        <v>1171</v>
      </c>
      <c r="L1616" t="s">
        <v>1172</v>
      </c>
      <c r="M1616" t="s">
        <v>1130</v>
      </c>
      <c r="N1616">
        <v>14</v>
      </c>
      <c r="O1616" t="s">
        <v>40</v>
      </c>
      <c r="S1616" t="s">
        <v>40</v>
      </c>
      <c r="U1616" s="1">
        <v>43354</v>
      </c>
      <c r="V1616" t="s">
        <v>41</v>
      </c>
      <c r="W1616" t="s">
        <v>42</v>
      </c>
      <c r="X1616" t="str">
        <f>"3561001"</f>
        <v>3561001</v>
      </c>
      <c r="Y1616" t="s">
        <v>1173</v>
      </c>
      <c r="Z1616" t="s">
        <v>1171</v>
      </c>
      <c r="AA1616" t="s">
        <v>1172</v>
      </c>
      <c r="AB1616" t="s">
        <v>1130</v>
      </c>
      <c r="AC1616" t="s">
        <v>44</v>
      </c>
      <c r="AD1616" t="s">
        <v>45</v>
      </c>
      <c r="AE1616" s="1">
        <v>29804</v>
      </c>
      <c r="AF1616">
        <v>2</v>
      </c>
      <c r="AG1616" t="s">
        <v>1172</v>
      </c>
      <c r="AH1616" s="36">
        <f t="shared" si="25"/>
        <v>37.924999999999997</v>
      </c>
      <c r="AI1616" s="40" t="s">
        <v>1778</v>
      </c>
    </row>
    <row r="1617" spans="1:35" x14ac:dyDescent="0.25">
      <c r="A1617" s="36">
        <v>99911615</v>
      </c>
      <c r="B1617" s="17" t="s">
        <v>56</v>
      </c>
      <c r="C1617" t="s">
        <v>52</v>
      </c>
      <c r="D1617" t="s">
        <v>53</v>
      </c>
      <c r="G1617" s="17" t="s">
        <v>48</v>
      </c>
      <c r="H1617" s="17">
        <v>1</v>
      </c>
      <c r="K1617" t="s">
        <v>223</v>
      </c>
      <c r="L1617" t="s">
        <v>224</v>
      </c>
      <c r="M1617" t="s">
        <v>131</v>
      </c>
      <c r="N1617">
        <v>21</v>
      </c>
      <c r="O1617" t="s">
        <v>40</v>
      </c>
      <c r="P1617" t="s">
        <v>40</v>
      </c>
      <c r="Q1617" t="s">
        <v>40</v>
      </c>
      <c r="S1617" t="s">
        <v>40</v>
      </c>
      <c r="V1617" t="s">
        <v>41</v>
      </c>
      <c r="W1617" t="s">
        <v>42</v>
      </c>
      <c r="X1617" t="str">
        <f>"0580204"</f>
        <v>0580204</v>
      </c>
      <c r="Y1617" t="s">
        <v>235</v>
      </c>
      <c r="Z1617" t="s">
        <v>223</v>
      </c>
      <c r="AA1617" t="s">
        <v>224</v>
      </c>
      <c r="AB1617" t="s">
        <v>131</v>
      </c>
      <c r="AC1617" t="s">
        <v>51</v>
      </c>
      <c r="AD1617" t="s">
        <v>45</v>
      </c>
      <c r="AE1617" s="1">
        <v>29798</v>
      </c>
      <c r="AF1617">
        <v>2</v>
      </c>
      <c r="AG1617" t="s">
        <v>224</v>
      </c>
      <c r="AH1617" s="36">
        <f t="shared" si="25"/>
        <v>37.94166666666667</v>
      </c>
      <c r="AI1617" s="40" t="s">
        <v>1778</v>
      </c>
    </row>
    <row r="1618" spans="1:35" x14ac:dyDescent="0.25">
      <c r="A1618" s="36">
        <v>99911616</v>
      </c>
      <c r="B1618" s="17" t="s">
        <v>32</v>
      </c>
      <c r="C1618" t="s">
        <v>64</v>
      </c>
      <c r="D1618" t="s">
        <v>65</v>
      </c>
      <c r="G1618" s="17" t="s">
        <v>35</v>
      </c>
      <c r="H1618" s="17">
        <v>1</v>
      </c>
      <c r="I1618" t="s">
        <v>375</v>
      </c>
      <c r="J1618" s="1">
        <v>43344</v>
      </c>
      <c r="K1618" t="s">
        <v>345</v>
      </c>
      <c r="L1618" t="s">
        <v>346</v>
      </c>
      <c r="M1618" t="s">
        <v>131</v>
      </c>
      <c r="N1618">
        <v>10</v>
      </c>
      <c r="O1618" t="s">
        <v>40</v>
      </c>
      <c r="P1618" t="s">
        <v>40</v>
      </c>
      <c r="Q1618" t="s">
        <v>40</v>
      </c>
      <c r="S1618" t="s">
        <v>40</v>
      </c>
      <c r="U1618" s="1">
        <v>43344</v>
      </c>
      <c r="V1618" t="s">
        <v>41</v>
      </c>
      <c r="W1618" t="s">
        <v>49</v>
      </c>
      <c r="X1618" t="str">
        <f>"0561021"</f>
        <v>0561021</v>
      </c>
      <c r="Y1618" t="s">
        <v>352</v>
      </c>
      <c r="Z1618" t="s">
        <v>345</v>
      </c>
      <c r="AA1618" t="s">
        <v>346</v>
      </c>
      <c r="AB1618" t="s">
        <v>131</v>
      </c>
      <c r="AC1618" t="s">
        <v>51</v>
      </c>
      <c r="AD1618" t="s">
        <v>45</v>
      </c>
      <c r="AE1618" s="1">
        <v>29798</v>
      </c>
      <c r="AF1618">
        <v>2</v>
      </c>
      <c r="AG1618" t="s">
        <v>346</v>
      </c>
      <c r="AH1618" s="36">
        <f t="shared" si="25"/>
        <v>37.94166666666667</v>
      </c>
      <c r="AI1618" s="40" t="s">
        <v>1778</v>
      </c>
    </row>
    <row r="1619" spans="1:35" x14ac:dyDescent="0.25">
      <c r="A1619" s="36">
        <v>99911617</v>
      </c>
      <c r="B1619" s="17" t="s">
        <v>32</v>
      </c>
      <c r="C1619" t="s">
        <v>64</v>
      </c>
      <c r="D1619" t="s">
        <v>65</v>
      </c>
      <c r="G1619" s="17" t="s">
        <v>35</v>
      </c>
      <c r="H1619" s="17">
        <v>1</v>
      </c>
      <c r="I1619" s="1">
        <v>40057</v>
      </c>
      <c r="J1619" s="1">
        <v>43344</v>
      </c>
      <c r="K1619" t="s">
        <v>1341</v>
      </c>
      <c r="L1619" t="s">
        <v>1342</v>
      </c>
      <c r="M1619" t="s">
        <v>1270</v>
      </c>
      <c r="N1619">
        <v>22</v>
      </c>
      <c r="O1619" t="s">
        <v>40</v>
      </c>
      <c r="S1619" t="s">
        <v>40</v>
      </c>
      <c r="U1619" s="1">
        <v>43344</v>
      </c>
      <c r="V1619" t="s">
        <v>41</v>
      </c>
      <c r="W1619" t="s">
        <v>75</v>
      </c>
      <c r="X1619" t="str">
        <f>"7191004"</f>
        <v>7191004</v>
      </c>
      <c r="Y1619" t="s">
        <v>1344</v>
      </c>
      <c r="Z1619" t="s">
        <v>1341</v>
      </c>
      <c r="AA1619" t="s">
        <v>1342</v>
      </c>
      <c r="AB1619" t="s">
        <v>1270</v>
      </c>
      <c r="AC1619" t="s">
        <v>51</v>
      </c>
      <c r="AD1619" t="s">
        <v>45</v>
      </c>
      <c r="AE1619" s="1">
        <v>29797</v>
      </c>
      <c r="AF1619">
        <v>1</v>
      </c>
      <c r="AG1619" t="s">
        <v>1342</v>
      </c>
      <c r="AH1619" s="36">
        <f t="shared" si="25"/>
        <v>37.944444444444443</v>
      </c>
      <c r="AI1619" s="40" t="s">
        <v>1778</v>
      </c>
    </row>
    <row r="1620" spans="1:35" x14ac:dyDescent="0.25">
      <c r="A1620" s="36">
        <v>99911618</v>
      </c>
      <c r="B1620" s="17" t="s">
        <v>56</v>
      </c>
      <c r="C1620" t="s">
        <v>143</v>
      </c>
      <c r="D1620" t="s">
        <v>144</v>
      </c>
      <c r="G1620" s="17" t="s">
        <v>35</v>
      </c>
      <c r="H1620" s="17">
        <v>1</v>
      </c>
      <c r="I1620" t="s">
        <v>572</v>
      </c>
      <c r="J1620" s="1">
        <v>42298</v>
      </c>
      <c r="K1620" t="s">
        <v>195</v>
      </c>
      <c r="L1620" t="s">
        <v>196</v>
      </c>
      <c r="M1620" t="s">
        <v>131</v>
      </c>
      <c r="N1620">
        <v>16</v>
      </c>
      <c r="O1620" t="s">
        <v>40</v>
      </c>
      <c r="P1620" t="s">
        <v>40</v>
      </c>
      <c r="Q1620" t="s">
        <v>40</v>
      </c>
      <c r="R1620" t="s">
        <v>40</v>
      </c>
      <c r="S1620" t="s">
        <v>40</v>
      </c>
      <c r="U1620" s="1">
        <v>42298</v>
      </c>
      <c r="V1620" t="s">
        <v>41</v>
      </c>
      <c r="W1620" t="s">
        <v>75</v>
      </c>
      <c r="X1620" t="str">
        <f>"7521050"</f>
        <v>7521050</v>
      </c>
      <c r="Y1620" t="s">
        <v>194</v>
      </c>
      <c r="Z1620" t="s">
        <v>195</v>
      </c>
      <c r="AA1620" t="s">
        <v>196</v>
      </c>
      <c r="AB1620" t="s">
        <v>131</v>
      </c>
      <c r="AC1620" t="s">
        <v>51</v>
      </c>
      <c r="AD1620" t="s">
        <v>45</v>
      </c>
      <c r="AE1620" s="1">
        <v>29790</v>
      </c>
      <c r="AF1620">
        <v>1</v>
      </c>
      <c r="AG1620" t="s">
        <v>196</v>
      </c>
      <c r="AH1620" s="36">
        <f t="shared" si="25"/>
        <v>37.963888888888889</v>
      </c>
      <c r="AI1620" s="40" t="s">
        <v>1778</v>
      </c>
    </row>
    <row r="1621" spans="1:35" x14ac:dyDescent="0.25">
      <c r="A1621" s="36">
        <v>99911619</v>
      </c>
      <c r="B1621" s="17" t="s">
        <v>32</v>
      </c>
      <c r="C1621" t="s">
        <v>79</v>
      </c>
      <c r="D1621" t="s">
        <v>80</v>
      </c>
      <c r="G1621" s="17" t="s">
        <v>35</v>
      </c>
      <c r="H1621" s="17">
        <v>1</v>
      </c>
      <c r="I1621" t="s">
        <v>1598</v>
      </c>
      <c r="J1621" s="1">
        <v>43344</v>
      </c>
      <c r="K1621" t="s">
        <v>1590</v>
      </c>
      <c r="L1621" t="s">
        <v>1591</v>
      </c>
      <c r="M1621" t="s">
        <v>1592</v>
      </c>
      <c r="N1621">
        <v>6</v>
      </c>
      <c r="O1621" t="s">
        <v>40</v>
      </c>
      <c r="P1621" t="s">
        <v>40</v>
      </c>
      <c r="Q1621" t="s">
        <v>40</v>
      </c>
      <c r="S1621" t="s">
        <v>40</v>
      </c>
      <c r="U1621" s="1">
        <v>43344</v>
      </c>
      <c r="V1621" t="s">
        <v>41</v>
      </c>
      <c r="W1621" t="s">
        <v>49</v>
      </c>
      <c r="X1621" t="str">
        <f>"0260002"</f>
        <v>0260002</v>
      </c>
      <c r="Y1621" t="s">
        <v>1593</v>
      </c>
      <c r="Z1621" t="s">
        <v>1590</v>
      </c>
      <c r="AA1621" t="s">
        <v>1591</v>
      </c>
      <c r="AB1621" t="s">
        <v>1592</v>
      </c>
      <c r="AC1621" t="s">
        <v>44</v>
      </c>
      <c r="AD1621" t="s">
        <v>45</v>
      </c>
      <c r="AE1621" s="1">
        <v>29789</v>
      </c>
      <c r="AF1621">
        <v>2</v>
      </c>
      <c r="AG1621" t="s">
        <v>1591</v>
      </c>
      <c r="AH1621" s="36">
        <f t="shared" si="25"/>
        <v>37.966666666666669</v>
      </c>
      <c r="AI1621" s="40" t="s">
        <v>1778</v>
      </c>
    </row>
    <row r="1622" spans="1:35" x14ac:dyDescent="0.25">
      <c r="A1622" s="36">
        <v>99911620</v>
      </c>
      <c r="B1622" s="17" t="s">
        <v>56</v>
      </c>
      <c r="C1622" t="s">
        <v>79</v>
      </c>
      <c r="D1622" t="s">
        <v>80</v>
      </c>
      <c r="G1622" s="17" t="s">
        <v>88</v>
      </c>
      <c r="H1622" s="17">
        <v>2</v>
      </c>
      <c r="I1622" t="s">
        <v>484</v>
      </c>
      <c r="J1622" s="1">
        <v>42614</v>
      </c>
      <c r="K1622" t="s">
        <v>195</v>
      </c>
      <c r="L1622" t="s">
        <v>196</v>
      </c>
      <c r="M1622" t="s">
        <v>131</v>
      </c>
      <c r="N1622">
        <v>20</v>
      </c>
      <c r="O1622" t="s">
        <v>40</v>
      </c>
      <c r="P1622" t="s">
        <v>40</v>
      </c>
      <c r="Q1622" t="s">
        <v>40</v>
      </c>
      <c r="R1622" t="s">
        <v>40</v>
      </c>
      <c r="S1622" t="s">
        <v>40</v>
      </c>
      <c r="U1622" s="1">
        <v>42614</v>
      </c>
      <c r="V1622" t="s">
        <v>41</v>
      </c>
      <c r="W1622" t="s">
        <v>75</v>
      </c>
      <c r="X1622" t="str">
        <f>"7521050"</f>
        <v>7521050</v>
      </c>
      <c r="Y1622" t="s">
        <v>194</v>
      </c>
      <c r="Z1622" t="s">
        <v>195</v>
      </c>
      <c r="AA1622" t="s">
        <v>196</v>
      </c>
      <c r="AB1622" t="s">
        <v>131</v>
      </c>
      <c r="AC1622" t="s">
        <v>51</v>
      </c>
      <c r="AD1622" t="s">
        <v>45</v>
      </c>
      <c r="AE1622" s="1">
        <v>29775</v>
      </c>
      <c r="AF1622">
        <v>1</v>
      </c>
      <c r="AG1622" t="s">
        <v>196</v>
      </c>
      <c r="AH1622" s="36">
        <f t="shared" si="25"/>
        <v>38.005555555555553</v>
      </c>
      <c r="AI1622" s="40" t="s">
        <v>1778</v>
      </c>
    </row>
    <row r="1623" spans="1:35" x14ac:dyDescent="0.25">
      <c r="A1623" s="36">
        <v>99911621</v>
      </c>
      <c r="B1623" s="17" t="s">
        <v>32</v>
      </c>
      <c r="C1623" t="s">
        <v>46</v>
      </c>
      <c r="D1623" t="s">
        <v>47</v>
      </c>
      <c r="G1623" s="17" t="s">
        <v>35</v>
      </c>
      <c r="H1623" s="17">
        <v>1</v>
      </c>
      <c r="I1623">
        <v>15576</v>
      </c>
      <c r="J1623" s="1">
        <v>43353</v>
      </c>
      <c r="K1623" t="s">
        <v>300</v>
      </c>
      <c r="L1623" t="s">
        <v>301</v>
      </c>
      <c r="M1623" t="s">
        <v>131</v>
      </c>
      <c r="N1623">
        <v>21</v>
      </c>
      <c r="O1623" t="s">
        <v>40</v>
      </c>
      <c r="S1623" t="s">
        <v>40</v>
      </c>
      <c r="U1623" s="1">
        <v>43353</v>
      </c>
      <c r="V1623" t="s">
        <v>41</v>
      </c>
      <c r="W1623" t="s">
        <v>42</v>
      </c>
      <c r="X1623" t="str">
        <f>"0580106"</f>
        <v>0580106</v>
      </c>
      <c r="Y1623" t="s">
        <v>306</v>
      </c>
      <c r="Z1623" t="s">
        <v>300</v>
      </c>
      <c r="AA1623" t="s">
        <v>301</v>
      </c>
      <c r="AB1623" t="s">
        <v>131</v>
      </c>
      <c r="AC1623" t="s">
        <v>55</v>
      </c>
      <c r="AD1623" t="s">
        <v>45</v>
      </c>
      <c r="AE1623" s="1">
        <v>29771</v>
      </c>
      <c r="AF1623">
        <v>2</v>
      </c>
      <c r="AG1623" t="s">
        <v>301</v>
      </c>
      <c r="AH1623" s="36">
        <f t="shared" si="25"/>
        <v>38.016666666666666</v>
      </c>
      <c r="AI1623" s="40" t="s">
        <v>1778</v>
      </c>
    </row>
    <row r="1624" spans="1:35" x14ac:dyDescent="0.25">
      <c r="A1624" s="36">
        <v>99911622</v>
      </c>
      <c r="B1624" s="17" t="s">
        <v>56</v>
      </c>
      <c r="C1624" t="s">
        <v>52</v>
      </c>
      <c r="D1624" t="s">
        <v>53</v>
      </c>
      <c r="G1624" s="17" t="s">
        <v>35</v>
      </c>
      <c r="H1624" s="17">
        <v>1</v>
      </c>
      <c r="I1624">
        <v>18104</v>
      </c>
      <c r="J1624" s="1">
        <v>43344</v>
      </c>
      <c r="K1624" t="s">
        <v>345</v>
      </c>
      <c r="L1624" t="s">
        <v>346</v>
      </c>
      <c r="M1624" t="s">
        <v>131</v>
      </c>
      <c r="N1624">
        <v>12</v>
      </c>
      <c r="O1624" t="s">
        <v>40</v>
      </c>
      <c r="S1624" t="s">
        <v>40</v>
      </c>
      <c r="U1624" s="1">
        <v>43344</v>
      </c>
      <c r="V1624" t="s">
        <v>41</v>
      </c>
      <c r="W1624" t="s">
        <v>367</v>
      </c>
      <c r="X1624" t="str">
        <f>"0580655"</f>
        <v>0580655</v>
      </c>
      <c r="Y1624" t="s">
        <v>368</v>
      </c>
      <c r="Z1624" t="s">
        <v>345</v>
      </c>
      <c r="AA1624" t="s">
        <v>346</v>
      </c>
      <c r="AB1624" t="s">
        <v>131</v>
      </c>
      <c r="AC1624" t="s">
        <v>51</v>
      </c>
      <c r="AD1624" t="s">
        <v>45</v>
      </c>
      <c r="AE1624" s="1">
        <v>29764</v>
      </c>
      <c r="AF1624">
        <v>2</v>
      </c>
      <c r="AG1624" t="s">
        <v>346</v>
      </c>
      <c r="AH1624" s="36">
        <f t="shared" si="25"/>
        <v>38.036111111111111</v>
      </c>
      <c r="AI1624" s="40" t="s">
        <v>1778</v>
      </c>
    </row>
    <row r="1625" spans="1:35" x14ac:dyDescent="0.25">
      <c r="A1625" s="36">
        <v>99911623</v>
      </c>
      <c r="B1625" s="17" t="s">
        <v>32</v>
      </c>
      <c r="C1625" t="s">
        <v>46</v>
      </c>
      <c r="D1625" t="s">
        <v>47</v>
      </c>
      <c r="G1625" s="17" t="s">
        <v>35</v>
      </c>
      <c r="H1625" s="17">
        <v>1</v>
      </c>
      <c r="I1625">
        <v>19725</v>
      </c>
      <c r="J1625" s="1">
        <v>43347</v>
      </c>
      <c r="K1625" t="s">
        <v>1128</v>
      </c>
      <c r="L1625" t="s">
        <v>1129</v>
      </c>
      <c r="M1625" t="s">
        <v>1130</v>
      </c>
      <c r="N1625">
        <v>22</v>
      </c>
      <c r="O1625" t="s">
        <v>40</v>
      </c>
      <c r="S1625" t="s">
        <v>40</v>
      </c>
      <c r="U1625" s="1">
        <v>43347</v>
      </c>
      <c r="V1625" t="s">
        <v>41</v>
      </c>
      <c r="W1625" t="s">
        <v>42</v>
      </c>
      <c r="X1625" t="str">
        <f>"3180010"</f>
        <v>3180010</v>
      </c>
      <c r="Y1625" t="s">
        <v>1132</v>
      </c>
      <c r="Z1625" t="s">
        <v>1128</v>
      </c>
      <c r="AA1625" t="s">
        <v>1129</v>
      </c>
      <c r="AB1625" t="s">
        <v>1130</v>
      </c>
      <c r="AC1625" t="s">
        <v>55</v>
      </c>
      <c r="AD1625" t="s">
        <v>45</v>
      </c>
      <c r="AE1625" s="1">
        <v>29761</v>
      </c>
      <c r="AF1625">
        <v>2</v>
      </c>
      <c r="AG1625" t="s">
        <v>1129</v>
      </c>
      <c r="AH1625" s="36">
        <f t="shared" si="25"/>
        <v>38.044444444444444</v>
      </c>
      <c r="AI1625" s="40" t="s">
        <v>1778</v>
      </c>
    </row>
    <row r="1626" spans="1:35" x14ac:dyDescent="0.25">
      <c r="A1626" s="36">
        <v>99911624</v>
      </c>
      <c r="B1626" s="17" t="s">
        <v>32</v>
      </c>
      <c r="C1626" t="s">
        <v>111</v>
      </c>
      <c r="D1626" t="s">
        <v>112</v>
      </c>
      <c r="G1626" s="17" t="s">
        <v>35</v>
      </c>
      <c r="H1626" s="17">
        <v>1</v>
      </c>
      <c r="K1626" t="s">
        <v>1341</v>
      </c>
      <c r="L1626" t="s">
        <v>1342</v>
      </c>
      <c r="M1626" t="s">
        <v>1270</v>
      </c>
      <c r="N1626">
        <v>22</v>
      </c>
      <c r="O1626" t="s">
        <v>40</v>
      </c>
      <c r="P1626" t="s">
        <v>40</v>
      </c>
      <c r="Q1626" t="s">
        <v>40</v>
      </c>
      <c r="S1626" t="s">
        <v>40</v>
      </c>
      <c r="V1626" t="s">
        <v>41</v>
      </c>
      <c r="W1626" t="s">
        <v>75</v>
      </c>
      <c r="X1626" t="str">
        <f>"7191006"</f>
        <v>7191006</v>
      </c>
      <c r="Y1626" t="s">
        <v>1351</v>
      </c>
      <c r="Z1626" t="s">
        <v>1341</v>
      </c>
      <c r="AA1626" t="s">
        <v>1342</v>
      </c>
      <c r="AB1626" t="s">
        <v>1270</v>
      </c>
      <c r="AC1626" t="s">
        <v>51</v>
      </c>
      <c r="AD1626" t="s">
        <v>45</v>
      </c>
      <c r="AE1626" s="1">
        <v>29761</v>
      </c>
      <c r="AF1626">
        <v>1</v>
      </c>
      <c r="AG1626" t="s">
        <v>1342</v>
      </c>
      <c r="AH1626" s="36">
        <f t="shared" si="25"/>
        <v>38.044444444444444</v>
      </c>
      <c r="AI1626" s="40" t="s">
        <v>1778</v>
      </c>
    </row>
    <row r="1627" spans="1:35" x14ac:dyDescent="0.25">
      <c r="A1627" s="36">
        <v>99911625</v>
      </c>
      <c r="B1627" s="17" t="s">
        <v>56</v>
      </c>
      <c r="C1627" t="s">
        <v>85</v>
      </c>
      <c r="D1627" t="s">
        <v>86</v>
      </c>
      <c r="G1627" s="17" t="s">
        <v>35</v>
      </c>
      <c r="H1627" s="17">
        <v>1</v>
      </c>
      <c r="I1627">
        <v>8819</v>
      </c>
      <c r="J1627" s="1">
        <v>43344</v>
      </c>
      <c r="K1627" t="s">
        <v>223</v>
      </c>
      <c r="L1627" t="s">
        <v>224</v>
      </c>
      <c r="M1627" t="s">
        <v>131</v>
      </c>
      <c r="N1627">
        <v>8</v>
      </c>
      <c r="O1627" t="s">
        <v>40</v>
      </c>
      <c r="Q1627" t="s">
        <v>40</v>
      </c>
      <c r="S1627" t="s">
        <v>40</v>
      </c>
      <c r="U1627" s="1">
        <v>43344</v>
      </c>
      <c r="V1627" t="s">
        <v>41</v>
      </c>
      <c r="W1627" t="s">
        <v>49</v>
      </c>
      <c r="X1627" t="str">
        <f>"0581204"</f>
        <v>0581204</v>
      </c>
      <c r="Y1627" t="s">
        <v>249</v>
      </c>
      <c r="Z1627" t="s">
        <v>223</v>
      </c>
      <c r="AA1627" t="s">
        <v>224</v>
      </c>
      <c r="AB1627" t="s">
        <v>131</v>
      </c>
      <c r="AC1627" t="s">
        <v>44</v>
      </c>
      <c r="AD1627" t="s">
        <v>45</v>
      </c>
      <c r="AE1627" s="1">
        <v>29756</v>
      </c>
      <c r="AF1627">
        <v>2</v>
      </c>
      <c r="AG1627" t="s">
        <v>224</v>
      </c>
      <c r="AH1627" s="36">
        <f t="shared" si="25"/>
        <v>38.05833333333333</v>
      </c>
      <c r="AI1627" s="40" t="s">
        <v>1778</v>
      </c>
    </row>
    <row r="1628" spans="1:35" x14ac:dyDescent="0.25">
      <c r="A1628" s="36">
        <v>99911626</v>
      </c>
      <c r="B1628" s="17" t="s">
        <v>32</v>
      </c>
      <c r="C1628" t="s">
        <v>143</v>
      </c>
      <c r="D1628" t="s">
        <v>144</v>
      </c>
      <c r="G1628" s="17" t="s">
        <v>48</v>
      </c>
      <c r="H1628" s="17">
        <v>1</v>
      </c>
      <c r="K1628" t="s">
        <v>162</v>
      </c>
      <c r="L1628" t="s">
        <v>158</v>
      </c>
      <c r="M1628" t="s">
        <v>131</v>
      </c>
      <c r="N1628">
        <v>20</v>
      </c>
      <c r="O1628" t="s">
        <v>40</v>
      </c>
      <c r="P1628" t="s">
        <v>40</v>
      </c>
      <c r="Q1628" t="s">
        <v>40</v>
      </c>
      <c r="R1628" t="s">
        <v>40</v>
      </c>
      <c r="S1628" t="s">
        <v>40</v>
      </c>
      <c r="V1628" t="s">
        <v>41</v>
      </c>
      <c r="W1628" t="s">
        <v>49</v>
      </c>
      <c r="X1628" t="str">
        <f>"0505050"</f>
        <v>0505050</v>
      </c>
      <c r="Y1628" t="s">
        <v>163</v>
      </c>
      <c r="Z1628" t="s">
        <v>162</v>
      </c>
      <c r="AA1628" t="s">
        <v>158</v>
      </c>
      <c r="AB1628" t="s">
        <v>131</v>
      </c>
      <c r="AC1628" t="s">
        <v>51</v>
      </c>
      <c r="AD1628" t="s">
        <v>45</v>
      </c>
      <c r="AE1628" s="1">
        <v>29752</v>
      </c>
      <c r="AF1628">
        <v>2</v>
      </c>
      <c r="AG1628" t="s">
        <v>158</v>
      </c>
      <c r="AH1628" s="36">
        <f t="shared" si="25"/>
        <v>38.069444444444443</v>
      </c>
      <c r="AI1628" s="40" t="s">
        <v>1778</v>
      </c>
    </row>
    <row r="1629" spans="1:35" x14ac:dyDescent="0.25">
      <c r="A1629" s="36">
        <v>99911627</v>
      </c>
      <c r="B1629" s="17" t="s">
        <v>56</v>
      </c>
      <c r="C1629" t="s">
        <v>68</v>
      </c>
      <c r="D1629" t="s">
        <v>69</v>
      </c>
      <c r="G1629" s="17" t="s">
        <v>48</v>
      </c>
      <c r="H1629" s="17">
        <v>1</v>
      </c>
      <c r="K1629" t="s">
        <v>345</v>
      </c>
      <c r="L1629" t="s">
        <v>346</v>
      </c>
      <c r="M1629" t="s">
        <v>131</v>
      </c>
      <c r="N1629">
        <v>3</v>
      </c>
      <c r="O1629" t="s">
        <v>40</v>
      </c>
      <c r="P1629" t="s">
        <v>40</v>
      </c>
      <c r="Q1629" t="s">
        <v>40</v>
      </c>
      <c r="R1629" t="s">
        <v>40</v>
      </c>
      <c r="S1629" t="s">
        <v>40</v>
      </c>
      <c r="V1629" t="s">
        <v>41</v>
      </c>
      <c r="W1629" t="s">
        <v>49</v>
      </c>
      <c r="X1629" t="str">
        <f>"0561003"</f>
        <v>0561003</v>
      </c>
      <c r="Y1629" t="s">
        <v>370</v>
      </c>
      <c r="Z1629" t="s">
        <v>345</v>
      </c>
      <c r="AA1629" t="s">
        <v>346</v>
      </c>
      <c r="AB1629" t="s">
        <v>131</v>
      </c>
      <c r="AC1629" t="s">
        <v>51</v>
      </c>
      <c r="AD1629" t="s">
        <v>45</v>
      </c>
      <c r="AE1629" s="1">
        <v>29746</v>
      </c>
      <c r="AF1629">
        <v>2</v>
      </c>
      <c r="AG1629" t="s">
        <v>346</v>
      </c>
      <c r="AH1629" s="36">
        <f t="shared" si="25"/>
        <v>38.086111111111109</v>
      </c>
      <c r="AI1629" s="40" t="s">
        <v>1778</v>
      </c>
    </row>
    <row r="1630" spans="1:35" x14ac:dyDescent="0.25">
      <c r="A1630" s="36">
        <v>99911628</v>
      </c>
      <c r="B1630" s="17" t="s">
        <v>32</v>
      </c>
      <c r="C1630" t="s">
        <v>71</v>
      </c>
      <c r="D1630" t="s">
        <v>72</v>
      </c>
      <c r="G1630" s="17" t="s">
        <v>35</v>
      </c>
      <c r="H1630" s="17">
        <v>3</v>
      </c>
      <c r="K1630" t="s">
        <v>268</v>
      </c>
      <c r="L1630" t="s">
        <v>269</v>
      </c>
      <c r="M1630" t="s">
        <v>131</v>
      </c>
      <c r="N1630">
        <v>23</v>
      </c>
      <c r="O1630" t="s">
        <v>40</v>
      </c>
      <c r="P1630" t="s">
        <v>40</v>
      </c>
      <c r="Q1630" t="s">
        <v>40</v>
      </c>
      <c r="R1630" t="s">
        <v>40</v>
      </c>
      <c r="S1630" t="s">
        <v>40</v>
      </c>
      <c r="V1630" t="s">
        <v>41</v>
      </c>
      <c r="W1630" t="s">
        <v>75</v>
      </c>
      <c r="X1630" t="str">
        <f>"7052002"</f>
        <v>7052002</v>
      </c>
      <c r="Y1630" t="s">
        <v>590</v>
      </c>
      <c r="Z1630" t="s">
        <v>268</v>
      </c>
      <c r="AA1630" t="s">
        <v>269</v>
      </c>
      <c r="AB1630" t="s">
        <v>131</v>
      </c>
      <c r="AC1630" t="s">
        <v>51</v>
      </c>
      <c r="AD1630" t="s">
        <v>45</v>
      </c>
      <c r="AE1630" s="1">
        <v>29745</v>
      </c>
      <c r="AF1630">
        <v>1</v>
      </c>
      <c r="AG1630" t="s">
        <v>269</v>
      </c>
      <c r="AH1630" s="36">
        <f t="shared" si="25"/>
        <v>38.088888888888889</v>
      </c>
      <c r="AI1630" s="40" t="s">
        <v>1778</v>
      </c>
    </row>
    <row r="1631" spans="1:35" x14ac:dyDescent="0.25">
      <c r="A1631" s="36">
        <v>99911629</v>
      </c>
      <c r="B1631" s="17" t="s">
        <v>56</v>
      </c>
      <c r="C1631" t="s">
        <v>82</v>
      </c>
      <c r="D1631" t="s">
        <v>83</v>
      </c>
      <c r="G1631" s="17" t="s">
        <v>48</v>
      </c>
      <c r="H1631" s="17">
        <v>1</v>
      </c>
      <c r="I1631" t="s">
        <v>1319</v>
      </c>
      <c r="K1631" t="s">
        <v>1306</v>
      </c>
      <c r="L1631" t="s">
        <v>1307</v>
      </c>
      <c r="M1631" t="s">
        <v>1270</v>
      </c>
      <c r="N1631">
        <v>16</v>
      </c>
      <c r="O1631" t="s">
        <v>40</v>
      </c>
      <c r="P1631" t="s">
        <v>40</v>
      </c>
      <c r="Q1631" t="s">
        <v>40</v>
      </c>
      <c r="R1631" t="s">
        <v>40</v>
      </c>
      <c r="S1631" t="s">
        <v>40</v>
      </c>
      <c r="V1631" t="s">
        <v>41</v>
      </c>
      <c r="W1631" t="s">
        <v>42</v>
      </c>
      <c r="X1631" t="str">
        <f>"1990913"</f>
        <v>1990913</v>
      </c>
      <c r="Y1631" t="s">
        <v>1312</v>
      </c>
      <c r="Z1631" t="s">
        <v>1306</v>
      </c>
      <c r="AA1631" t="s">
        <v>1307</v>
      </c>
      <c r="AB1631" t="s">
        <v>1270</v>
      </c>
      <c r="AC1631" t="s">
        <v>51</v>
      </c>
      <c r="AD1631" t="s">
        <v>45</v>
      </c>
      <c r="AE1631" s="1">
        <v>29743</v>
      </c>
      <c r="AF1631">
        <v>2</v>
      </c>
      <c r="AG1631" t="s">
        <v>1307</v>
      </c>
      <c r="AH1631" s="36">
        <f t="shared" si="25"/>
        <v>38.094444444444441</v>
      </c>
      <c r="AI1631" s="40" t="s">
        <v>1778</v>
      </c>
    </row>
    <row r="1632" spans="1:35" x14ac:dyDescent="0.25">
      <c r="A1632" s="36">
        <v>99911630</v>
      </c>
      <c r="B1632" s="17" t="s">
        <v>32</v>
      </c>
      <c r="C1632" t="s">
        <v>111</v>
      </c>
      <c r="D1632" t="s">
        <v>112</v>
      </c>
      <c r="G1632" s="17" t="s">
        <v>35</v>
      </c>
      <c r="H1632" s="17">
        <v>1</v>
      </c>
      <c r="I1632" s="1">
        <v>37909</v>
      </c>
      <c r="J1632" s="1">
        <v>43344</v>
      </c>
      <c r="K1632" t="s">
        <v>1341</v>
      </c>
      <c r="L1632" t="s">
        <v>1342</v>
      </c>
      <c r="M1632" t="s">
        <v>1270</v>
      </c>
      <c r="N1632">
        <v>24</v>
      </c>
      <c r="O1632" t="s">
        <v>40</v>
      </c>
      <c r="S1632" t="s">
        <v>40</v>
      </c>
      <c r="U1632" s="1">
        <v>43344</v>
      </c>
      <c r="V1632" t="s">
        <v>41</v>
      </c>
      <c r="W1632" t="s">
        <v>75</v>
      </c>
      <c r="X1632" t="str">
        <f>"7191004"</f>
        <v>7191004</v>
      </c>
      <c r="Y1632" t="s">
        <v>1344</v>
      </c>
      <c r="Z1632" t="s">
        <v>1341</v>
      </c>
      <c r="AA1632" t="s">
        <v>1342</v>
      </c>
      <c r="AB1632" t="s">
        <v>1270</v>
      </c>
      <c r="AC1632" t="s">
        <v>51</v>
      </c>
      <c r="AD1632" t="s">
        <v>45</v>
      </c>
      <c r="AE1632" s="1">
        <v>29741</v>
      </c>
      <c r="AF1632">
        <v>1</v>
      </c>
      <c r="AG1632" t="s">
        <v>1342</v>
      </c>
      <c r="AH1632" s="36">
        <f t="shared" si="25"/>
        <v>38.1</v>
      </c>
      <c r="AI1632" s="40" t="s">
        <v>1778</v>
      </c>
    </row>
    <row r="1633" spans="1:35" x14ac:dyDescent="0.25">
      <c r="A1633" s="36">
        <v>99911631</v>
      </c>
      <c r="B1633" s="17" t="s">
        <v>32</v>
      </c>
      <c r="C1633" t="s">
        <v>139</v>
      </c>
      <c r="D1633" t="s">
        <v>140</v>
      </c>
      <c r="G1633" s="17" t="s">
        <v>35</v>
      </c>
      <c r="H1633" s="17">
        <v>1</v>
      </c>
      <c r="I1633">
        <v>19677</v>
      </c>
      <c r="J1633" s="1">
        <v>43362</v>
      </c>
      <c r="K1633" t="s">
        <v>380</v>
      </c>
      <c r="L1633" t="s">
        <v>381</v>
      </c>
      <c r="M1633" t="s">
        <v>131</v>
      </c>
      <c r="N1633">
        <v>13</v>
      </c>
      <c r="O1633" t="s">
        <v>40</v>
      </c>
      <c r="Q1633" t="s">
        <v>40</v>
      </c>
      <c r="S1633" t="s">
        <v>40</v>
      </c>
      <c r="U1633" s="1">
        <v>43362</v>
      </c>
      <c r="V1633" t="s">
        <v>41</v>
      </c>
      <c r="W1633" t="s">
        <v>49</v>
      </c>
      <c r="X1633" t="str">
        <f>"0591909"</f>
        <v>0591909</v>
      </c>
      <c r="Y1633" t="s">
        <v>385</v>
      </c>
      <c r="Z1633" t="s">
        <v>380</v>
      </c>
      <c r="AA1633" t="s">
        <v>381</v>
      </c>
      <c r="AB1633" t="s">
        <v>131</v>
      </c>
      <c r="AC1633" t="s">
        <v>44</v>
      </c>
      <c r="AD1633" t="s">
        <v>45</v>
      </c>
      <c r="AE1633" s="1">
        <v>29735</v>
      </c>
      <c r="AF1633">
        <v>2</v>
      </c>
      <c r="AG1633" t="s">
        <v>381</v>
      </c>
      <c r="AH1633" s="36">
        <f t="shared" si="25"/>
        <v>38.116666666666667</v>
      </c>
      <c r="AI1633" s="40" t="s">
        <v>1778</v>
      </c>
    </row>
    <row r="1634" spans="1:35" x14ac:dyDescent="0.25">
      <c r="A1634" s="36">
        <v>99911632</v>
      </c>
      <c r="B1634" s="17" t="s">
        <v>32</v>
      </c>
      <c r="C1634" t="s">
        <v>90</v>
      </c>
      <c r="D1634" t="s">
        <v>91</v>
      </c>
      <c r="G1634" s="17" t="s">
        <v>48</v>
      </c>
      <c r="H1634" s="17">
        <v>1</v>
      </c>
      <c r="K1634" t="s">
        <v>268</v>
      </c>
      <c r="L1634" t="s">
        <v>269</v>
      </c>
      <c r="M1634" t="s">
        <v>131</v>
      </c>
      <c r="N1634">
        <v>25</v>
      </c>
      <c r="O1634" t="s">
        <v>40</v>
      </c>
      <c r="P1634" t="s">
        <v>40</v>
      </c>
      <c r="Q1634" t="s">
        <v>40</v>
      </c>
      <c r="R1634" t="s">
        <v>40</v>
      </c>
      <c r="S1634" t="s">
        <v>40</v>
      </c>
      <c r="V1634" t="s">
        <v>41</v>
      </c>
      <c r="W1634" t="s">
        <v>95</v>
      </c>
      <c r="X1634" t="str">
        <f>"7052217"</f>
        <v>7052217</v>
      </c>
      <c r="Y1634" t="s">
        <v>732</v>
      </c>
      <c r="Z1634" t="s">
        <v>268</v>
      </c>
      <c r="AA1634" t="s">
        <v>269</v>
      </c>
      <c r="AB1634" t="s">
        <v>131</v>
      </c>
      <c r="AC1634" t="s">
        <v>51</v>
      </c>
      <c r="AD1634" t="s">
        <v>45</v>
      </c>
      <c r="AE1634" s="1">
        <v>29735</v>
      </c>
      <c r="AF1634">
        <v>1</v>
      </c>
      <c r="AG1634" t="s">
        <v>269</v>
      </c>
      <c r="AH1634" s="36">
        <f t="shared" si="25"/>
        <v>38.116666666666667</v>
      </c>
      <c r="AI1634" s="40" t="s">
        <v>1778</v>
      </c>
    </row>
    <row r="1635" spans="1:35" x14ac:dyDescent="0.25">
      <c r="A1635" s="36">
        <v>99911633</v>
      </c>
      <c r="B1635" s="17" t="s">
        <v>32</v>
      </c>
      <c r="C1635" t="s">
        <v>58</v>
      </c>
      <c r="D1635" t="s">
        <v>59</v>
      </c>
      <c r="G1635" s="17" t="s">
        <v>35</v>
      </c>
      <c r="H1635" s="17">
        <v>1</v>
      </c>
      <c r="K1635" t="s">
        <v>1613</v>
      </c>
      <c r="L1635" t="s">
        <v>1614</v>
      </c>
      <c r="M1635" t="s">
        <v>1592</v>
      </c>
      <c r="N1635">
        <v>2</v>
      </c>
      <c r="O1635" t="s">
        <v>40</v>
      </c>
      <c r="P1635" t="s">
        <v>40</v>
      </c>
      <c r="Q1635" t="s">
        <v>40</v>
      </c>
      <c r="S1635" t="s">
        <v>40</v>
      </c>
      <c r="V1635" t="s">
        <v>41</v>
      </c>
      <c r="W1635" t="s">
        <v>49</v>
      </c>
      <c r="X1635" t="str">
        <f>"2881020"</f>
        <v>2881020</v>
      </c>
      <c r="Y1635" t="s">
        <v>1615</v>
      </c>
      <c r="Z1635" t="s">
        <v>1613</v>
      </c>
      <c r="AA1635" t="s">
        <v>1614</v>
      </c>
      <c r="AB1635" t="s">
        <v>1592</v>
      </c>
      <c r="AC1635" t="s">
        <v>51</v>
      </c>
      <c r="AD1635" t="s">
        <v>45</v>
      </c>
      <c r="AE1635" s="1">
        <v>29727</v>
      </c>
      <c r="AF1635">
        <v>2</v>
      </c>
      <c r="AG1635" t="s">
        <v>1614</v>
      </c>
      <c r="AH1635" s="36">
        <f t="shared" si="25"/>
        <v>38.138888888888886</v>
      </c>
      <c r="AI1635" s="40" t="s">
        <v>1778</v>
      </c>
    </row>
    <row r="1636" spans="1:35" x14ac:dyDescent="0.25">
      <c r="A1636" s="36">
        <v>99911634</v>
      </c>
      <c r="B1636" s="17" t="s">
        <v>56</v>
      </c>
      <c r="C1636" t="s">
        <v>79</v>
      </c>
      <c r="D1636" t="s">
        <v>80</v>
      </c>
      <c r="G1636" s="17" t="s">
        <v>35</v>
      </c>
      <c r="H1636" s="17">
        <v>1</v>
      </c>
      <c r="K1636" t="s">
        <v>223</v>
      </c>
      <c r="L1636" t="s">
        <v>224</v>
      </c>
      <c r="M1636" t="s">
        <v>131</v>
      </c>
      <c r="N1636">
        <v>21</v>
      </c>
      <c r="O1636" t="s">
        <v>40</v>
      </c>
      <c r="P1636" t="s">
        <v>40</v>
      </c>
      <c r="Q1636" t="s">
        <v>40</v>
      </c>
      <c r="S1636" t="s">
        <v>40</v>
      </c>
      <c r="V1636" t="s">
        <v>41</v>
      </c>
      <c r="W1636" t="s">
        <v>49</v>
      </c>
      <c r="X1636" t="str">
        <f>"0591901"</f>
        <v>0591901</v>
      </c>
      <c r="Y1636" t="s">
        <v>230</v>
      </c>
      <c r="Z1636" t="s">
        <v>223</v>
      </c>
      <c r="AA1636" t="s">
        <v>224</v>
      </c>
      <c r="AB1636" t="s">
        <v>131</v>
      </c>
      <c r="AC1636" t="s">
        <v>51</v>
      </c>
      <c r="AD1636" t="s">
        <v>45</v>
      </c>
      <c r="AE1636" s="1">
        <v>29726</v>
      </c>
      <c r="AF1636">
        <v>2</v>
      </c>
      <c r="AG1636" t="s">
        <v>224</v>
      </c>
      <c r="AH1636" s="36">
        <f t="shared" si="25"/>
        <v>38.141666666666666</v>
      </c>
      <c r="AI1636" s="40" t="s">
        <v>1778</v>
      </c>
    </row>
    <row r="1637" spans="1:35" x14ac:dyDescent="0.25">
      <c r="A1637" s="36">
        <v>99911635</v>
      </c>
      <c r="B1637" s="17" t="s">
        <v>32</v>
      </c>
      <c r="C1637" t="s">
        <v>90</v>
      </c>
      <c r="D1637" t="s">
        <v>91</v>
      </c>
      <c r="G1637" s="17" t="s">
        <v>35</v>
      </c>
      <c r="H1637" s="17">
        <v>1</v>
      </c>
      <c r="I1637" t="s">
        <v>1026</v>
      </c>
      <c r="J1637" s="1">
        <v>43344</v>
      </c>
      <c r="K1637" t="s">
        <v>963</v>
      </c>
      <c r="L1637" t="s">
        <v>964</v>
      </c>
      <c r="M1637" t="s">
        <v>938</v>
      </c>
      <c r="N1637">
        <v>25</v>
      </c>
      <c r="O1637" t="s">
        <v>40</v>
      </c>
      <c r="P1637" t="s">
        <v>40</v>
      </c>
      <c r="Q1637" t="s">
        <v>40</v>
      </c>
      <c r="R1637" t="s">
        <v>40</v>
      </c>
      <c r="S1637" t="s">
        <v>40</v>
      </c>
      <c r="U1637" s="1">
        <v>43344</v>
      </c>
      <c r="V1637" t="s">
        <v>41</v>
      </c>
      <c r="W1637" t="s">
        <v>95</v>
      </c>
      <c r="X1637" t="str">
        <f>"7061007"</f>
        <v>7061007</v>
      </c>
      <c r="Y1637" t="s">
        <v>1021</v>
      </c>
      <c r="Z1637" t="s">
        <v>963</v>
      </c>
      <c r="AA1637" t="s">
        <v>964</v>
      </c>
      <c r="AB1637" t="s">
        <v>938</v>
      </c>
      <c r="AC1637" t="s">
        <v>44</v>
      </c>
      <c r="AD1637" t="s">
        <v>45</v>
      </c>
      <c r="AE1637" s="1">
        <v>29726</v>
      </c>
      <c r="AF1637">
        <v>1</v>
      </c>
      <c r="AG1637" t="s">
        <v>964</v>
      </c>
      <c r="AH1637" s="36">
        <f t="shared" si="25"/>
        <v>38.141666666666666</v>
      </c>
      <c r="AI1637" s="40" t="s">
        <v>1778</v>
      </c>
    </row>
    <row r="1638" spans="1:35" x14ac:dyDescent="0.25">
      <c r="A1638" s="36">
        <v>99911636</v>
      </c>
      <c r="B1638" s="17" t="s">
        <v>32</v>
      </c>
      <c r="C1638" t="s">
        <v>90</v>
      </c>
      <c r="D1638" t="s">
        <v>91</v>
      </c>
      <c r="G1638" s="17" t="s">
        <v>48</v>
      </c>
      <c r="H1638" s="17">
        <v>1</v>
      </c>
      <c r="K1638" t="s">
        <v>195</v>
      </c>
      <c r="L1638" t="s">
        <v>196</v>
      </c>
      <c r="M1638" t="s">
        <v>131</v>
      </c>
      <c r="N1638">
        <v>25</v>
      </c>
      <c r="O1638" t="s">
        <v>40</v>
      </c>
      <c r="P1638" t="s">
        <v>40</v>
      </c>
      <c r="Q1638" t="s">
        <v>40</v>
      </c>
      <c r="R1638" t="s">
        <v>40</v>
      </c>
      <c r="S1638" t="s">
        <v>40</v>
      </c>
      <c r="V1638" t="s">
        <v>41</v>
      </c>
      <c r="W1638" t="s">
        <v>95</v>
      </c>
      <c r="X1638" t="str">
        <f>"7521021"</f>
        <v>7521021</v>
      </c>
      <c r="Y1638" t="s">
        <v>458</v>
      </c>
      <c r="Z1638" t="s">
        <v>195</v>
      </c>
      <c r="AA1638" t="s">
        <v>196</v>
      </c>
      <c r="AB1638" t="s">
        <v>131</v>
      </c>
      <c r="AC1638" t="s">
        <v>51</v>
      </c>
      <c r="AD1638" t="s">
        <v>45</v>
      </c>
      <c r="AE1638" s="1">
        <v>29725</v>
      </c>
      <c r="AF1638">
        <v>1</v>
      </c>
      <c r="AG1638" t="s">
        <v>196</v>
      </c>
      <c r="AH1638" s="36">
        <f t="shared" si="25"/>
        <v>38.144444444444446</v>
      </c>
      <c r="AI1638" s="40" t="s">
        <v>1778</v>
      </c>
    </row>
    <row r="1639" spans="1:35" x14ac:dyDescent="0.25">
      <c r="A1639" s="36">
        <v>99911637</v>
      </c>
      <c r="B1639" s="17" t="s">
        <v>32</v>
      </c>
      <c r="C1639" t="s">
        <v>46</v>
      </c>
      <c r="D1639" t="s">
        <v>47</v>
      </c>
      <c r="G1639" s="17" t="s">
        <v>48</v>
      </c>
      <c r="H1639" s="17">
        <v>1</v>
      </c>
      <c r="K1639" t="s">
        <v>129</v>
      </c>
      <c r="L1639" t="s">
        <v>130</v>
      </c>
      <c r="M1639" t="s">
        <v>131</v>
      </c>
      <c r="N1639">
        <v>20</v>
      </c>
      <c r="O1639" t="s">
        <v>40</v>
      </c>
      <c r="P1639" t="s">
        <v>40</v>
      </c>
      <c r="Q1639" t="s">
        <v>40</v>
      </c>
      <c r="R1639" t="s">
        <v>40</v>
      </c>
      <c r="S1639" t="s">
        <v>40</v>
      </c>
      <c r="V1639" t="s">
        <v>41</v>
      </c>
      <c r="W1639" t="s">
        <v>49</v>
      </c>
      <c r="X1639" t="str">
        <f>"0591905"</f>
        <v>0591905</v>
      </c>
      <c r="Y1639" t="s">
        <v>135</v>
      </c>
      <c r="Z1639" t="s">
        <v>129</v>
      </c>
      <c r="AA1639" t="s">
        <v>130</v>
      </c>
      <c r="AB1639" t="s">
        <v>131</v>
      </c>
      <c r="AC1639" t="s">
        <v>51</v>
      </c>
      <c r="AD1639" t="s">
        <v>45</v>
      </c>
      <c r="AE1639" s="1">
        <v>29724</v>
      </c>
      <c r="AF1639">
        <v>2</v>
      </c>
      <c r="AG1639" t="s">
        <v>130</v>
      </c>
      <c r="AH1639" s="36">
        <f t="shared" si="25"/>
        <v>38.147222222222226</v>
      </c>
      <c r="AI1639" s="40" t="s">
        <v>1778</v>
      </c>
    </row>
    <row r="1640" spans="1:35" x14ac:dyDescent="0.25">
      <c r="A1640" s="36">
        <v>99911638</v>
      </c>
      <c r="B1640" s="17" t="s">
        <v>32</v>
      </c>
      <c r="C1640" t="s">
        <v>71</v>
      </c>
      <c r="D1640" t="s">
        <v>72</v>
      </c>
      <c r="G1640" s="17" t="s">
        <v>35</v>
      </c>
      <c r="H1640" s="17">
        <v>1</v>
      </c>
      <c r="I1640" t="s">
        <v>286</v>
      </c>
      <c r="J1640" s="1">
        <v>43354</v>
      </c>
      <c r="K1640" t="s">
        <v>223</v>
      </c>
      <c r="L1640" t="s">
        <v>224</v>
      </c>
      <c r="M1640" t="s">
        <v>131</v>
      </c>
      <c r="N1640">
        <v>18</v>
      </c>
      <c r="O1640" t="s">
        <v>40</v>
      </c>
      <c r="P1640" t="s">
        <v>40</v>
      </c>
      <c r="Q1640" t="s">
        <v>40</v>
      </c>
      <c r="R1640" t="s">
        <v>40</v>
      </c>
      <c r="S1640" t="s">
        <v>40</v>
      </c>
      <c r="U1640" s="1">
        <v>43354</v>
      </c>
      <c r="V1640" t="s">
        <v>41</v>
      </c>
      <c r="W1640" t="s">
        <v>49</v>
      </c>
      <c r="X1640" t="str">
        <f>"0581204"</f>
        <v>0581204</v>
      </c>
      <c r="Y1640" t="s">
        <v>249</v>
      </c>
      <c r="Z1640" t="s">
        <v>223</v>
      </c>
      <c r="AA1640" t="s">
        <v>224</v>
      </c>
      <c r="AB1640" t="s">
        <v>131</v>
      </c>
      <c r="AC1640" t="s">
        <v>44</v>
      </c>
      <c r="AD1640" t="s">
        <v>45</v>
      </c>
      <c r="AE1640" s="1">
        <v>29722</v>
      </c>
      <c r="AF1640">
        <v>2</v>
      </c>
      <c r="AG1640" t="s">
        <v>224</v>
      </c>
      <c r="AH1640" s="36">
        <f t="shared" si="25"/>
        <v>38.152777777777779</v>
      </c>
      <c r="AI1640" s="40" t="s">
        <v>1778</v>
      </c>
    </row>
    <row r="1641" spans="1:35" x14ac:dyDescent="0.25">
      <c r="A1641" s="36">
        <v>99911639</v>
      </c>
      <c r="B1641" s="17" t="s">
        <v>32</v>
      </c>
      <c r="C1641" t="s">
        <v>79</v>
      </c>
      <c r="D1641" t="s">
        <v>80</v>
      </c>
      <c r="G1641" s="17" t="s">
        <v>48</v>
      </c>
      <c r="H1641" s="17">
        <v>1</v>
      </c>
      <c r="K1641" t="s">
        <v>223</v>
      </c>
      <c r="L1641" t="s">
        <v>224</v>
      </c>
      <c r="M1641" t="s">
        <v>131</v>
      </c>
      <c r="N1641">
        <v>14</v>
      </c>
      <c r="O1641" t="s">
        <v>40</v>
      </c>
      <c r="P1641" t="s">
        <v>40</v>
      </c>
      <c r="Q1641" t="s">
        <v>40</v>
      </c>
      <c r="S1641" t="s">
        <v>40</v>
      </c>
      <c r="V1641" t="s">
        <v>41</v>
      </c>
      <c r="W1641" t="s">
        <v>49</v>
      </c>
      <c r="X1641" t="str">
        <f>"0509999"</f>
        <v>0509999</v>
      </c>
      <c r="Y1641" t="s">
        <v>247</v>
      </c>
      <c r="Z1641" t="s">
        <v>223</v>
      </c>
      <c r="AA1641" t="s">
        <v>224</v>
      </c>
      <c r="AB1641" t="s">
        <v>131</v>
      </c>
      <c r="AC1641" t="s">
        <v>51</v>
      </c>
      <c r="AD1641" t="s">
        <v>45</v>
      </c>
      <c r="AE1641" s="1">
        <v>29713</v>
      </c>
      <c r="AF1641">
        <v>2</v>
      </c>
      <c r="AG1641" t="s">
        <v>224</v>
      </c>
      <c r="AH1641" s="36">
        <f t="shared" si="25"/>
        <v>38.177777777777777</v>
      </c>
      <c r="AI1641" s="40" t="s">
        <v>1778</v>
      </c>
    </row>
    <row r="1642" spans="1:35" x14ac:dyDescent="0.25">
      <c r="A1642" s="36">
        <v>99911640</v>
      </c>
      <c r="B1642" s="17" t="s">
        <v>32</v>
      </c>
      <c r="C1642" t="s">
        <v>90</v>
      </c>
      <c r="D1642" t="s">
        <v>91</v>
      </c>
      <c r="G1642" s="17" t="s">
        <v>35</v>
      </c>
      <c r="H1642" s="17">
        <v>1</v>
      </c>
      <c r="I1642">
        <v>21058</v>
      </c>
      <c r="J1642" s="1">
        <v>43344</v>
      </c>
      <c r="K1642" t="s">
        <v>354</v>
      </c>
      <c r="L1642" t="s">
        <v>355</v>
      </c>
      <c r="M1642" t="s">
        <v>131</v>
      </c>
      <c r="N1642">
        <v>25</v>
      </c>
      <c r="O1642" t="s">
        <v>40</v>
      </c>
      <c r="S1642" t="s">
        <v>40</v>
      </c>
      <c r="U1642" s="1">
        <v>43344</v>
      </c>
      <c r="V1642" t="s">
        <v>41</v>
      </c>
      <c r="W1642" t="s">
        <v>95</v>
      </c>
      <c r="X1642" t="str">
        <f>"7054159"</f>
        <v>7054159</v>
      </c>
      <c r="Y1642" t="s">
        <v>785</v>
      </c>
      <c r="Z1642" t="s">
        <v>354</v>
      </c>
      <c r="AA1642" t="s">
        <v>355</v>
      </c>
      <c r="AB1642" t="s">
        <v>131</v>
      </c>
      <c r="AC1642" t="s">
        <v>51</v>
      </c>
      <c r="AD1642" t="s">
        <v>45</v>
      </c>
      <c r="AE1642" s="1">
        <v>29712</v>
      </c>
      <c r="AF1642">
        <v>1</v>
      </c>
      <c r="AG1642" t="s">
        <v>355</v>
      </c>
      <c r="AH1642" s="36">
        <f t="shared" si="25"/>
        <v>38.180555555555557</v>
      </c>
      <c r="AI1642" s="40" t="s">
        <v>1778</v>
      </c>
    </row>
    <row r="1643" spans="1:35" x14ac:dyDescent="0.25">
      <c r="A1643" s="36">
        <v>99911641</v>
      </c>
      <c r="B1643" s="17" t="s">
        <v>32</v>
      </c>
      <c r="C1643" t="s">
        <v>52</v>
      </c>
      <c r="D1643" t="s">
        <v>53</v>
      </c>
      <c r="G1643" s="17" t="s">
        <v>35</v>
      </c>
      <c r="H1643" s="17">
        <v>1</v>
      </c>
      <c r="I1643" t="s">
        <v>1150</v>
      </c>
      <c r="J1643" s="1">
        <v>43344</v>
      </c>
      <c r="K1643" t="s">
        <v>1128</v>
      </c>
      <c r="L1643" t="s">
        <v>1129</v>
      </c>
      <c r="M1643" t="s">
        <v>1130</v>
      </c>
      <c r="N1643">
        <v>23</v>
      </c>
      <c r="O1643" t="s">
        <v>40</v>
      </c>
      <c r="P1643" t="s">
        <v>40</v>
      </c>
      <c r="Q1643" t="s">
        <v>40</v>
      </c>
      <c r="R1643" t="s">
        <v>40</v>
      </c>
      <c r="S1643" t="s">
        <v>40</v>
      </c>
      <c r="U1643" s="1">
        <v>43344</v>
      </c>
      <c r="V1643" t="s">
        <v>41</v>
      </c>
      <c r="W1643" t="s">
        <v>49</v>
      </c>
      <c r="X1643" t="str">
        <f>"3181015"</f>
        <v>3181015</v>
      </c>
      <c r="Y1643" t="s">
        <v>1131</v>
      </c>
      <c r="Z1643" t="s">
        <v>1128</v>
      </c>
      <c r="AA1643" t="s">
        <v>1129</v>
      </c>
      <c r="AB1643" t="s">
        <v>1130</v>
      </c>
      <c r="AC1643" t="s">
        <v>51</v>
      </c>
      <c r="AD1643" t="s">
        <v>45</v>
      </c>
      <c r="AE1643" s="1">
        <v>29712</v>
      </c>
      <c r="AF1643">
        <v>2</v>
      </c>
      <c r="AG1643" t="s">
        <v>1129</v>
      </c>
      <c r="AH1643" s="36">
        <f t="shared" si="25"/>
        <v>38.180555555555557</v>
      </c>
      <c r="AI1643" s="40" t="s">
        <v>1778</v>
      </c>
    </row>
    <row r="1644" spans="1:35" x14ac:dyDescent="0.25">
      <c r="A1644" s="36">
        <v>99911642</v>
      </c>
      <c r="B1644" s="17" t="s">
        <v>56</v>
      </c>
      <c r="C1644" t="s">
        <v>145</v>
      </c>
      <c r="D1644" t="s">
        <v>146</v>
      </c>
      <c r="G1644" s="17" t="s">
        <v>48</v>
      </c>
      <c r="H1644" s="17">
        <v>1</v>
      </c>
      <c r="K1644" t="s">
        <v>223</v>
      </c>
      <c r="L1644" t="s">
        <v>224</v>
      </c>
      <c r="M1644" t="s">
        <v>131</v>
      </c>
      <c r="N1644">
        <v>23</v>
      </c>
      <c r="O1644" t="s">
        <v>40</v>
      </c>
      <c r="P1644" t="s">
        <v>40</v>
      </c>
      <c r="Q1644" t="s">
        <v>40</v>
      </c>
      <c r="S1644" t="s">
        <v>40</v>
      </c>
      <c r="V1644" t="s">
        <v>41</v>
      </c>
      <c r="W1644" t="s">
        <v>42</v>
      </c>
      <c r="X1644" t="str">
        <f>"0580207"</f>
        <v>0580207</v>
      </c>
      <c r="Y1644" t="s">
        <v>229</v>
      </c>
      <c r="Z1644" t="s">
        <v>223</v>
      </c>
      <c r="AA1644" t="s">
        <v>224</v>
      </c>
      <c r="AB1644" t="s">
        <v>131</v>
      </c>
      <c r="AC1644" t="s">
        <v>51</v>
      </c>
      <c r="AD1644" t="s">
        <v>45</v>
      </c>
      <c r="AE1644" s="1">
        <v>29711</v>
      </c>
      <c r="AF1644">
        <v>2</v>
      </c>
      <c r="AG1644" t="s">
        <v>224</v>
      </c>
      <c r="AH1644" s="36">
        <f t="shared" si="25"/>
        <v>38.18333333333333</v>
      </c>
      <c r="AI1644" s="40" t="s">
        <v>1778</v>
      </c>
    </row>
    <row r="1645" spans="1:35" x14ac:dyDescent="0.25">
      <c r="A1645" s="36">
        <v>99911643</v>
      </c>
      <c r="B1645" s="17" t="s">
        <v>32</v>
      </c>
      <c r="C1645" t="s">
        <v>64</v>
      </c>
      <c r="D1645" t="s">
        <v>65</v>
      </c>
      <c r="G1645" s="17" t="s">
        <v>35</v>
      </c>
      <c r="H1645" s="17">
        <v>1</v>
      </c>
      <c r="I1645">
        <v>6768</v>
      </c>
      <c r="J1645" s="1">
        <v>43344</v>
      </c>
      <c r="K1645" t="s">
        <v>1198</v>
      </c>
      <c r="L1645" t="s">
        <v>1199</v>
      </c>
      <c r="M1645" t="s">
        <v>1130</v>
      </c>
      <c r="N1645">
        <v>20</v>
      </c>
      <c r="O1645" t="s">
        <v>40</v>
      </c>
      <c r="P1645" t="s">
        <v>40</v>
      </c>
      <c r="Q1645" t="s">
        <v>40</v>
      </c>
      <c r="R1645" t="s">
        <v>40</v>
      </c>
      <c r="S1645" t="s">
        <v>40</v>
      </c>
      <c r="U1645" s="1">
        <v>43344</v>
      </c>
      <c r="V1645" t="s">
        <v>41</v>
      </c>
      <c r="W1645" t="s">
        <v>75</v>
      </c>
      <c r="X1645" t="str">
        <f>"7311006"</f>
        <v>7311006</v>
      </c>
      <c r="Y1645" t="s">
        <v>1200</v>
      </c>
      <c r="Z1645" t="s">
        <v>1198</v>
      </c>
      <c r="AA1645" t="s">
        <v>1199</v>
      </c>
      <c r="AB1645" t="s">
        <v>1130</v>
      </c>
      <c r="AC1645" t="s">
        <v>51</v>
      </c>
      <c r="AD1645" t="s">
        <v>45</v>
      </c>
      <c r="AE1645" s="1">
        <v>29711</v>
      </c>
      <c r="AF1645">
        <v>1</v>
      </c>
      <c r="AG1645" t="s">
        <v>1199</v>
      </c>
      <c r="AH1645" s="36">
        <f t="shared" si="25"/>
        <v>38.18333333333333</v>
      </c>
      <c r="AI1645" s="40" t="s">
        <v>1778</v>
      </c>
    </row>
    <row r="1646" spans="1:35" x14ac:dyDescent="0.25">
      <c r="A1646" s="36">
        <v>99911644</v>
      </c>
      <c r="B1646" s="17" t="s">
        <v>32</v>
      </c>
      <c r="C1646" t="s">
        <v>111</v>
      </c>
      <c r="D1646" t="s">
        <v>112</v>
      </c>
      <c r="G1646" s="17" t="s">
        <v>35</v>
      </c>
      <c r="H1646" s="17">
        <v>7</v>
      </c>
      <c r="K1646" t="s">
        <v>268</v>
      </c>
      <c r="L1646" t="s">
        <v>269</v>
      </c>
      <c r="M1646" t="s">
        <v>131</v>
      </c>
      <c r="N1646">
        <v>22</v>
      </c>
      <c r="O1646" t="s">
        <v>40</v>
      </c>
      <c r="P1646" t="s">
        <v>40</v>
      </c>
      <c r="Q1646" t="s">
        <v>40</v>
      </c>
      <c r="R1646" t="s">
        <v>40</v>
      </c>
      <c r="S1646" t="s">
        <v>40</v>
      </c>
      <c r="V1646" t="s">
        <v>41</v>
      </c>
      <c r="W1646" t="s">
        <v>75</v>
      </c>
      <c r="X1646" t="str">
        <f>"7052006"</f>
        <v>7052006</v>
      </c>
      <c r="Y1646" t="s">
        <v>575</v>
      </c>
      <c r="Z1646" t="s">
        <v>268</v>
      </c>
      <c r="AA1646" t="s">
        <v>269</v>
      </c>
      <c r="AB1646" t="s">
        <v>131</v>
      </c>
      <c r="AC1646" t="s">
        <v>165</v>
      </c>
      <c r="AD1646" t="s">
        <v>45</v>
      </c>
      <c r="AE1646" s="1">
        <v>29705</v>
      </c>
      <c r="AF1646">
        <v>1</v>
      </c>
      <c r="AG1646" t="s">
        <v>269</v>
      </c>
      <c r="AH1646" s="36">
        <f t="shared" si="25"/>
        <v>38.200000000000003</v>
      </c>
      <c r="AI1646" s="40" t="s">
        <v>1778</v>
      </c>
    </row>
    <row r="1647" spans="1:35" x14ac:dyDescent="0.25">
      <c r="A1647" s="36">
        <v>99911645</v>
      </c>
      <c r="B1647" s="17" t="s">
        <v>32</v>
      </c>
      <c r="C1647" t="s">
        <v>79</v>
      </c>
      <c r="D1647" t="s">
        <v>80</v>
      </c>
      <c r="G1647" s="17" t="s">
        <v>35</v>
      </c>
      <c r="H1647" s="17">
        <v>2</v>
      </c>
      <c r="K1647" t="s">
        <v>1426</v>
      </c>
      <c r="L1647" t="s">
        <v>1427</v>
      </c>
      <c r="M1647" t="s">
        <v>1270</v>
      </c>
      <c r="N1647">
        <v>18</v>
      </c>
      <c r="O1647" t="s">
        <v>40</v>
      </c>
      <c r="P1647" t="s">
        <v>40</v>
      </c>
      <c r="Q1647" t="s">
        <v>40</v>
      </c>
      <c r="R1647" t="s">
        <v>40</v>
      </c>
      <c r="S1647" t="s">
        <v>40</v>
      </c>
      <c r="V1647" t="s">
        <v>41</v>
      </c>
      <c r="W1647" t="s">
        <v>75</v>
      </c>
      <c r="X1647" t="str">
        <f>"7192000"</f>
        <v>7192000</v>
      </c>
      <c r="Y1647" t="s">
        <v>1429</v>
      </c>
      <c r="Z1647" t="s">
        <v>1426</v>
      </c>
      <c r="AA1647" t="s">
        <v>1427</v>
      </c>
      <c r="AB1647" t="s">
        <v>1270</v>
      </c>
      <c r="AC1647" t="s">
        <v>51</v>
      </c>
      <c r="AD1647" t="s">
        <v>45</v>
      </c>
      <c r="AE1647" s="1">
        <v>29699</v>
      </c>
      <c r="AF1647">
        <v>1</v>
      </c>
      <c r="AG1647" t="s">
        <v>1427</v>
      </c>
      <c r="AH1647" s="36">
        <f t="shared" si="25"/>
        <v>38.216666666666669</v>
      </c>
      <c r="AI1647" s="40" t="s">
        <v>1778</v>
      </c>
    </row>
    <row r="1648" spans="1:35" x14ac:dyDescent="0.25">
      <c r="A1648" s="36">
        <v>99911646</v>
      </c>
      <c r="B1648" s="17" t="s">
        <v>32</v>
      </c>
      <c r="C1648" t="s">
        <v>90</v>
      </c>
      <c r="D1648" t="s">
        <v>91</v>
      </c>
      <c r="G1648" s="17" t="s">
        <v>35</v>
      </c>
      <c r="H1648" s="17">
        <v>1</v>
      </c>
      <c r="K1648" t="s">
        <v>1703</v>
      </c>
      <c r="L1648" t="s">
        <v>1704</v>
      </c>
      <c r="M1648" t="s">
        <v>1705</v>
      </c>
      <c r="N1648">
        <v>25</v>
      </c>
      <c r="O1648" t="s">
        <v>40</v>
      </c>
      <c r="P1648" t="s">
        <v>40</v>
      </c>
      <c r="Q1648" t="s">
        <v>40</v>
      </c>
      <c r="R1648" t="s">
        <v>40</v>
      </c>
      <c r="S1648" t="s">
        <v>40</v>
      </c>
      <c r="V1648" t="s">
        <v>41</v>
      </c>
      <c r="W1648" t="s">
        <v>95</v>
      </c>
      <c r="X1648" t="str">
        <f>"7071003"</f>
        <v>7071003</v>
      </c>
      <c r="Y1648" t="s">
        <v>1707</v>
      </c>
      <c r="Z1648" t="s">
        <v>1703</v>
      </c>
      <c r="AA1648" t="s">
        <v>1704</v>
      </c>
      <c r="AB1648" t="s">
        <v>1705</v>
      </c>
      <c r="AC1648" t="s">
        <v>51</v>
      </c>
      <c r="AD1648" t="s">
        <v>45</v>
      </c>
      <c r="AE1648" s="1">
        <v>29697</v>
      </c>
      <c r="AF1648">
        <v>1</v>
      </c>
      <c r="AG1648" t="s">
        <v>1704</v>
      </c>
      <c r="AH1648" s="36">
        <f t="shared" si="25"/>
        <v>38.222222222222221</v>
      </c>
      <c r="AI1648" s="40" t="s">
        <v>1778</v>
      </c>
    </row>
    <row r="1649" spans="1:35" x14ac:dyDescent="0.25">
      <c r="A1649" s="36">
        <v>99911647</v>
      </c>
      <c r="B1649" s="17" t="s">
        <v>32</v>
      </c>
      <c r="C1649" t="s">
        <v>82</v>
      </c>
      <c r="D1649" t="s">
        <v>83</v>
      </c>
      <c r="G1649" s="17" t="s">
        <v>48</v>
      </c>
      <c r="H1649" s="17">
        <v>1</v>
      </c>
      <c r="K1649" t="s">
        <v>300</v>
      </c>
      <c r="L1649" t="s">
        <v>301</v>
      </c>
      <c r="M1649" t="s">
        <v>131</v>
      </c>
      <c r="N1649">
        <v>18</v>
      </c>
      <c r="O1649" t="s">
        <v>40</v>
      </c>
      <c r="P1649" t="s">
        <v>40</v>
      </c>
      <c r="Q1649" t="s">
        <v>40</v>
      </c>
      <c r="R1649" t="s">
        <v>40</v>
      </c>
      <c r="S1649" t="s">
        <v>40</v>
      </c>
      <c r="V1649" t="s">
        <v>41</v>
      </c>
      <c r="W1649" t="s">
        <v>42</v>
      </c>
      <c r="X1649" t="str">
        <f>"0580106"</f>
        <v>0580106</v>
      </c>
      <c r="Y1649" t="s">
        <v>306</v>
      </c>
      <c r="Z1649" t="s">
        <v>300</v>
      </c>
      <c r="AA1649" t="s">
        <v>301</v>
      </c>
      <c r="AB1649" t="s">
        <v>131</v>
      </c>
      <c r="AC1649" t="s">
        <v>51</v>
      </c>
      <c r="AD1649" t="s">
        <v>45</v>
      </c>
      <c r="AE1649" s="1">
        <v>29693</v>
      </c>
      <c r="AF1649">
        <v>2</v>
      </c>
      <c r="AG1649" t="s">
        <v>301</v>
      </c>
      <c r="AH1649" s="36">
        <f t="shared" si="25"/>
        <v>38.233333333333334</v>
      </c>
      <c r="AI1649" s="40" t="s">
        <v>1778</v>
      </c>
    </row>
    <row r="1650" spans="1:35" x14ac:dyDescent="0.25">
      <c r="A1650" s="36">
        <v>99911648</v>
      </c>
      <c r="B1650" s="17" t="s">
        <v>32</v>
      </c>
      <c r="C1650" t="s">
        <v>71</v>
      </c>
      <c r="D1650" t="s">
        <v>72</v>
      </c>
      <c r="G1650" s="17" t="s">
        <v>35</v>
      </c>
      <c r="H1650" s="17">
        <v>1</v>
      </c>
      <c r="I1650" t="s">
        <v>286</v>
      </c>
      <c r="J1650" s="1">
        <v>43344</v>
      </c>
      <c r="K1650" t="s">
        <v>268</v>
      </c>
      <c r="L1650" t="s">
        <v>269</v>
      </c>
      <c r="M1650" t="s">
        <v>131</v>
      </c>
      <c r="N1650">
        <v>24</v>
      </c>
      <c r="O1650" t="s">
        <v>40</v>
      </c>
      <c r="S1650" t="s">
        <v>40</v>
      </c>
      <c r="V1650" t="s">
        <v>41</v>
      </c>
      <c r="W1650" t="s">
        <v>75</v>
      </c>
      <c r="X1650" t="str">
        <f>"7052018"</f>
        <v>7052018</v>
      </c>
      <c r="Y1650" t="s">
        <v>577</v>
      </c>
      <c r="Z1650" t="s">
        <v>268</v>
      </c>
      <c r="AA1650" t="s">
        <v>269</v>
      </c>
      <c r="AB1650" t="s">
        <v>131</v>
      </c>
      <c r="AC1650" t="s">
        <v>51</v>
      </c>
      <c r="AD1650" t="s">
        <v>45</v>
      </c>
      <c r="AE1650" s="1">
        <v>29692</v>
      </c>
      <c r="AF1650">
        <v>1</v>
      </c>
      <c r="AG1650" t="s">
        <v>269</v>
      </c>
      <c r="AH1650" s="36">
        <f t="shared" si="25"/>
        <v>38.236111111111114</v>
      </c>
      <c r="AI1650" s="40" t="s">
        <v>1778</v>
      </c>
    </row>
    <row r="1651" spans="1:35" x14ac:dyDescent="0.25">
      <c r="A1651" s="36">
        <v>99911649</v>
      </c>
      <c r="B1651" s="17" t="s">
        <v>32</v>
      </c>
      <c r="C1651" t="s">
        <v>85</v>
      </c>
      <c r="D1651" t="s">
        <v>86</v>
      </c>
      <c r="G1651" s="17" t="s">
        <v>35</v>
      </c>
      <c r="H1651" s="17">
        <v>1</v>
      </c>
      <c r="K1651" t="s">
        <v>1546</v>
      </c>
      <c r="L1651" t="s">
        <v>1547</v>
      </c>
      <c r="M1651" t="s">
        <v>1548</v>
      </c>
      <c r="N1651">
        <v>21</v>
      </c>
      <c r="O1651" t="s">
        <v>40</v>
      </c>
      <c r="P1651" t="s">
        <v>40</v>
      </c>
      <c r="Q1651" t="s">
        <v>40</v>
      </c>
      <c r="R1651" t="s">
        <v>40</v>
      </c>
      <c r="S1651" t="s">
        <v>40</v>
      </c>
      <c r="V1651" t="s">
        <v>41</v>
      </c>
      <c r="W1651" t="s">
        <v>42</v>
      </c>
      <c r="X1651" t="str">
        <f>"1080010"</f>
        <v>1080010</v>
      </c>
      <c r="Y1651" t="s">
        <v>1549</v>
      </c>
      <c r="Z1651" t="s">
        <v>1546</v>
      </c>
      <c r="AA1651" t="s">
        <v>1547</v>
      </c>
      <c r="AB1651" t="s">
        <v>1548</v>
      </c>
      <c r="AC1651" t="s">
        <v>51</v>
      </c>
      <c r="AD1651" t="s">
        <v>45</v>
      </c>
      <c r="AE1651" s="1">
        <v>29691</v>
      </c>
      <c r="AF1651">
        <v>2</v>
      </c>
      <c r="AG1651" t="s">
        <v>1547</v>
      </c>
      <c r="AH1651" s="36">
        <f t="shared" si="25"/>
        <v>38.238888888888887</v>
      </c>
      <c r="AI1651" s="40" t="s">
        <v>1778</v>
      </c>
    </row>
    <row r="1652" spans="1:35" x14ac:dyDescent="0.25">
      <c r="A1652" s="36">
        <v>99911650</v>
      </c>
      <c r="B1652" s="17" t="s">
        <v>32</v>
      </c>
      <c r="C1652" t="s">
        <v>71</v>
      </c>
      <c r="D1652" t="s">
        <v>72</v>
      </c>
      <c r="G1652" s="17" t="s">
        <v>48</v>
      </c>
      <c r="H1652" s="17">
        <v>1</v>
      </c>
      <c r="K1652" t="s">
        <v>162</v>
      </c>
      <c r="L1652" t="s">
        <v>158</v>
      </c>
      <c r="M1652" t="s">
        <v>131</v>
      </c>
      <c r="N1652">
        <v>3</v>
      </c>
      <c r="O1652" t="s">
        <v>40</v>
      </c>
      <c r="P1652" t="s">
        <v>40</v>
      </c>
      <c r="Q1652" t="s">
        <v>40</v>
      </c>
      <c r="R1652" t="s">
        <v>40</v>
      </c>
      <c r="S1652" t="s">
        <v>40</v>
      </c>
      <c r="V1652" t="s">
        <v>41</v>
      </c>
      <c r="W1652" t="s">
        <v>49</v>
      </c>
      <c r="X1652" t="str">
        <f>"0560027"</f>
        <v>0560027</v>
      </c>
      <c r="Y1652" t="s">
        <v>178</v>
      </c>
      <c r="Z1652" t="s">
        <v>162</v>
      </c>
      <c r="AA1652" t="s">
        <v>158</v>
      </c>
      <c r="AB1652" t="s">
        <v>131</v>
      </c>
      <c r="AC1652" t="s">
        <v>51</v>
      </c>
      <c r="AD1652" t="s">
        <v>45</v>
      </c>
      <c r="AE1652" s="1">
        <v>29689</v>
      </c>
      <c r="AF1652">
        <v>2</v>
      </c>
      <c r="AG1652" t="s">
        <v>158</v>
      </c>
      <c r="AH1652" s="36">
        <f t="shared" si="25"/>
        <v>38.244444444444447</v>
      </c>
      <c r="AI1652" s="40" t="s">
        <v>1778</v>
      </c>
    </row>
    <row r="1653" spans="1:35" x14ac:dyDescent="0.25">
      <c r="A1653" s="36">
        <v>99911651</v>
      </c>
      <c r="B1653" s="17" t="s">
        <v>56</v>
      </c>
      <c r="C1653" t="s">
        <v>46</v>
      </c>
      <c r="D1653" t="s">
        <v>47</v>
      </c>
      <c r="G1653" s="17" t="s">
        <v>48</v>
      </c>
      <c r="H1653" s="17">
        <v>1</v>
      </c>
      <c r="K1653" t="s">
        <v>345</v>
      </c>
      <c r="L1653" t="s">
        <v>346</v>
      </c>
      <c r="M1653" t="s">
        <v>131</v>
      </c>
      <c r="N1653">
        <v>21</v>
      </c>
      <c r="O1653" t="s">
        <v>40</v>
      </c>
      <c r="P1653" t="s">
        <v>40</v>
      </c>
      <c r="Q1653" t="s">
        <v>40</v>
      </c>
      <c r="R1653" t="s">
        <v>40</v>
      </c>
      <c r="S1653" t="s">
        <v>40</v>
      </c>
      <c r="V1653" t="s">
        <v>41</v>
      </c>
      <c r="W1653" t="s">
        <v>42</v>
      </c>
      <c r="X1653" t="str">
        <f>"0590906"</f>
        <v>0590906</v>
      </c>
      <c r="Y1653" t="s">
        <v>361</v>
      </c>
      <c r="Z1653" t="s">
        <v>345</v>
      </c>
      <c r="AA1653" t="s">
        <v>346</v>
      </c>
      <c r="AB1653" t="s">
        <v>131</v>
      </c>
      <c r="AC1653" t="s">
        <v>51</v>
      </c>
      <c r="AD1653" t="s">
        <v>45</v>
      </c>
      <c r="AE1653" s="1">
        <v>29689</v>
      </c>
      <c r="AF1653">
        <v>2</v>
      </c>
      <c r="AG1653" t="s">
        <v>346</v>
      </c>
      <c r="AH1653" s="36">
        <f t="shared" si="25"/>
        <v>38.244444444444447</v>
      </c>
      <c r="AI1653" s="40" t="s">
        <v>1778</v>
      </c>
    </row>
    <row r="1654" spans="1:35" x14ac:dyDescent="0.25">
      <c r="A1654" s="36">
        <v>99911652</v>
      </c>
      <c r="B1654" s="17" t="s">
        <v>32</v>
      </c>
      <c r="C1654" t="s">
        <v>52</v>
      </c>
      <c r="D1654" t="s">
        <v>53</v>
      </c>
      <c r="G1654" s="17" t="s">
        <v>35</v>
      </c>
      <c r="H1654" s="17">
        <v>1</v>
      </c>
      <c r="K1654" t="s">
        <v>162</v>
      </c>
      <c r="L1654" t="s">
        <v>158</v>
      </c>
      <c r="M1654" t="s">
        <v>131</v>
      </c>
      <c r="N1654">
        <v>21</v>
      </c>
      <c r="O1654" t="s">
        <v>40</v>
      </c>
      <c r="P1654" t="s">
        <v>40</v>
      </c>
      <c r="Q1654" t="s">
        <v>40</v>
      </c>
      <c r="R1654" t="s">
        <v>40</v>
      </c>
      <c r="S1654" t="s">
        <v>40</v>
      </c>
      <c r="V1654" t="s">
        <v>41</v>
      </c>
      <c r="W1654" t="s">
        <v>49</v>
      </c>
      <c r="X1654" t="str">
        <f>"0505050"</f>
        <v>0505050</v>
      </c>
      <c r="Y1654" t="s">
        <v>163</v>
      </c>
      <c r="Z1654" t="s">
        <v>162</v>
      </c>
      <c r="AA1654" t="s">
        <v>158</v>
      </c>
      <c r="AB1654" t="s">
        <v>131</v>
      </c>
      <c r="AC1654" t="s">
        <v>51</v>
      </c>
      <c r="AD1654" t="s">
        <v>45</v>
      </c>
      <c r="AE1654" s="1">
        <v>29686</v>
      </c>
      <c r="AF1654">
        <v>2</v>
      </c>
      <c r="AG1654" t="s">
        <v>158</v>
      </c>
      <c r="AH1654" s="36">
        <f t="shared" si="25"/>
        <v>38.25277777777778</v>
      </c>
      <c r="AI1654" s="40" t="s">
        <v>1778</v>
      </c>
    </row>
    <row r="1655" spans="1:35" x14ac:dyDescent="0.25">
      <c r="A1655" s="36">
        <v>99911653</v>
      </c>
      <c r="B1655" s="17" t="s">
        <v>32</v>
      </c>
      <c r="C1655" t="s">
        <v>90</v>
      </c>
      <c r="D1655" t="s">
        <v>91</v>
      </c>
      <c r="G1655" s="17" t="s">
        <v>48</v>
      </c>
      <c r="H1655" s="17">
        <v>5</v>
      </c>
      <c r="I1655" t="s">
        <v>475</v>
      </c>
      <c r="J1655" s="1">
        <v>42248</v>
      </c>
      <c r="K1655" t="s">
        <v>431</v>
      </c>
      <c r="L1655" t="s">
        <v>196</v>
      </c>
      <c r="M1655" t="s">
        <v>131</v>
      </c>
      <c r="N1655">
        <v>23</v>
      </c>
      <c r="O1655" t="s">
        <v>40</v>
      </c>
      <c r="P1655" t="s">
        <v>40</v>
      </c>
      <c r="Q1655" t="s">
        <v>40</v>
      </c>
      <c r="R1655" t="s">
        <v>40</v>
      </c>
      <c r="S1655" t="s">
        <v>40</v>
      </c>
      <c r="U1655" s="1">
        <v>42248</v>
      </c>
      <c r="V1655" t="s">
        <v>41</v>
      </c>
      <c r="W1655" t="s">
        <v>75</v>
      </c>
      <c r="X1655" t="str">
        <f>"7521022"</f>
        <v>7521022</v>
      </c>
      <c r="Y1655" t="s">
        <v>445</v>
      </c>
      <c r="Z1655" t="s">
        <v>431</v>
      </c>
      <c r="AA1655" t="s">
        <v>196</v>
      </c>
      <c r="AB1655" t="s">
        <v>131</v>
      </c>
      <c r="AC1655" t="s">
        <v>51</v>
      </c>
      <c r="AD1655" t="s">
        <v>45</v>
      </c>
      <c r="AE1655" s="1">
        <v>29684</v>
      </c>
      <c r="AF1655">
        <v>1</v>
      </c>
      <c r="AG1655" t="s">
        <v>196</v>
      </c>
      <c r="AH1655" s="36">
        <f t="shared" si="25"/>
        <v>38.258333333333333</v>
      </c>
      <c r="AI1655" s="40" t="s">
        <v>1778</v>
      </c>
    </row>
    <row r="1656" spans="1:35" x14ac:dyDescent="0.25">
      <c r="A1656" s="36">
        <v>99911654</v>
      </c>
      <c r="B1656" s="17" t="s">
        <v>32</v>
      </c>
      <c r="C1656" t="s">
        <v>46</v>
      </c>
      <c r="D1656" t="s">
        <v>47</v>
      </c>
      <c r="G1656" s="17" t="s">
        <v>35</v>
      </c>
      <c r="H1656" s="17">
        <v>1</v>
      </c>
      <c r="I1656" t="s">
        <v>1559</v>
      </c>
      <c r="J1656" s="1">
        <v>43344</v>
      </c>
      <c r="K1656" t="s">
        <v>1546</v>
      </c>
      <c r="L1656" t="s">
        <v>1547</v>
      </c>
      <c r="M1656" t="s">
        <v>1548</v>
      </c>
      <c r="N1656">
        <v>21</v>
      </c>
      <c r="O1656" t="s">
        <v>40</v>
      </c>
      <c r="P1656" t="s">
        <v>40</v>
      </c>
      <c r="Q1656" t="s">
        <v>40</v>
      </c>
      <c r="R1656" t="s">
        <v>40</v>
      </c>
      <c r="S1656" t="s">
        <v>40</v>
      </c>
      <c r="U1656" s="1">
        <v>43344</v>
      </c>
      <c r="V1656" t="s">
        <v>41</v>
      </c>
      <c r="W1656" t="s">
        <v>49</v>
      </c>
      <c r="X1656" t="str">
        <f>"1060001"</f>
        <v>1060001</v>
      </c>
      <c r="Y1656" t="s">
        <v>1553</v>
      </c>
      <c r="Z1656" t="s">
        <v>1546</v>
      </c>
      <c r="AA1656" t="s">
        <v>1547</v>
      </c>
      <c r="AB1656" t="s">
        <v>1548</v>
      </c>
      <c r="AC1656" t="s">
        <v>44</v>
      </c>
      <c r="AD1656" t="s">
        <v>45</v>
      </c>
      <c r="AE1656" s="1">
        <v>29683</v>
      </c>
      <c r="AF1656">
        <v>2</v>
      </c>
      <c r="AG1656" t="s">
        <v>1547</v>
      </c>
      <c r="AH1656" s="36">
        <f t="shared" si="25"/>
        <v>38.261111111111113</v>
      </c>
      <c r="AI1656" s="40" t="s">
        <v>1778</v>
      </c>
    </row>
    <row r="1657" spans="1:35" x14ac:dyDescent="0.25">
      <c r="A1657" s="36">
        <v>99911655</v>
      </c>
      <c r="B1657" s="17" t="s">
        <v>56</v>
      </c>
      <c r="C1657" t="s">
        <v>61</v>
      </c>
      <c r="D1657" t="s">
        <v>62</v>
      </c>
      <c r="G1657" s="17" t="s">
        <v>35</v>
      </c>
      <c r="H1657" s="17">
        <v>1</v>
      </c>
      <c r="I1657" t="s">
        <v>1491</v>
      </c>
      <c r="J1657" s="1">
        <v>43038</v>
      </c>
      <c r="K1657" t="s">
        <v>1487</v>
      </c>
      <c r="L1657" t="s">
        <v>1488</v>
      </c>
      <c r="M1657" t="s">
        <v>670</v>
      </c>
      <c r="N1657">
        <v>7</v>
      </c>
      <c r="O1657" t="s">
        <v>40</v>
      </c>
      <c r="P1657" t="s">
        <v>40</v>
      </c>
      <c r="Q1657" t="s">
        <v>40</v>
      </c>
      <c r="R1657" t="s">
        <v>40</v>
      </c>
      <c r="S1657" t="s">
        <v>40</v>
      </c>
      <c r="U1657" s="1">
        <v>43344</v>
      </c>
      <c r="V1657" t="s">
        <v>41</v>
      </c>
      <c r="W1657" t="s">
        <v>42</v>
      </c>
      <c r="X1657" t="str">
        <f>"1780020"</f>
        <v>1780020</v>
      </c>
      <c r="Y1657" t="s">
        <v>1490</v>
      </c>
      <c r="Z1657" t="s">
        <v>1487</v>
      </c>
      <c r="AA1657" t="s">
        <v>1488</v>
      </c>
      <c r="AB1657" t="s">
        <v>670</v>
      </c>
      <c r="AC1657" t="s">
        <v>44</v>
      </c>
      <c r="AD1657" t="s">
        <v>45</v>
      </c>
      <c r="AE1657" s="1">
        <v>29678</v>
      </c>
      <c r="AF1657">
        <v>2</v>
      </c>
      <c r="AG1657" t="s">
        <v>1488</v>
      </c>
      <c r="AH1657" s="36">
        <f t="shared" si="25"/>
        <v>38.274999999999999</v>
      </c>
      <c r="AI1657" s="40" t="s">
        <v>1778</v>
      </c>
    </row>
    <row r="1658" spans="1:35" x14ac:dyDescent="0.25">
      <c r="A1658" s="36">
        <v>99911656</v>
      </c>
      <c r="B1658" s="17" t="s">
        <v>56</v>
      </c>
      <c r="C1658" t="s">
        <v>33</v>
      </c>
      <c r="D1658" t="s">
        <v>34</v>
      </c>
      <c r="G1658" s="17" t="s">
        <v>48</v>
      </c>
      <c r="H1658" s="17">
        <v>1</v>
      </c>
      <c r="K1658" t="s">
        <v>162</v>
      </c>
      <c r="L1658" t="s">
        <v>158</v>
      </c>
      <c r="M1658" t="s">
        <v>131</v>
      </c>
      <c r="N1658">
        <v>21</v>
      </c>
      <c r="O1658" t="s">
        <v>40</v>
      </c>
      <c r="P1658" t="s">
        <v>40</v>
      </c>
      <c r="Q1658" t="s">
        <v>40</v>
      </c>
      <c r="R1658" t="s">
        <v>40</v>
      </c>
      <c r="S1658" t="s">
        <v>40</v>
      </c>
      <c r="V1658" t="s">
        <v>41</v>
      </c>
      <c r="W1658" t="s">
        <v>42</v>
      </c>
      <c r="X1658" t="str">
        <f>"0580310"</f>
        <v>0580310</v>
      </c>
      <c r="Y1658" t="s">
        <v>173</v>
      </c>
      <c r="Z1658" t="s">
        <v>162</v>
      </c>
      <c r="AA1658" t="s">
        <v>158</v>
      </c>
      <c r="AB1658" t="s">
        <v>131</v>
      </c>
      <c r="AC1658" t="s">
        <v>51</v>
      </c>
      <c r="AD1658" t="s">
        <v>45</v>
      </c>
      <c r="AE1658" s="1">
        <v>29671</v>
      </c>
      <c r="AF1658">
        <v>2</v>
      </c>
      <c r="AG1658" t="s">
        <v>158</v>
      </c>
      <c r="AH1658" s="36">
        <f t="shared" si="25"/>
        <v>38.294444444444444</v>
      </c>
      <c r="AI1658" s="40" t="s">
        <v>1778</v>
      </c>
    </row>
    <row r="1659" spans="1:35" x14ac:dyDescent="0.25">
      <c r="A1659" s="36">
        <v>99911657</v>
      </c>
      <c r="B1659" s="17" t="s">
        <v>56</v>
      </c>
      <c r="C1659" t="s">
        <v>85</v>
      </c>
      <c r="D1659" t="s">
        <v>86</v>
      </c>
      <c r="G1659" s="17" t="s">
        <v>35</v>
      </c>
      <c r="H1659" s="17">
        <v>1</v>
      </c>
      <c r="I1659" t="s">
        <v>983</v>
      </c>
      <c r="J1659" s="1">
        <v>43363</v>
      </c>
      <c r="K1659" t="s">
        <v>947</v>
      </c>
      <c r="L1659" t="s">
        <v>948</v>
      </c>
      <c r="M1659" t="s">
        <v>938</v>
      </c>
      <c r="N1659">
        <v>1</v>
      </c>
      <c r="O1659" t="s">
        <v>40</v>
      </c>
      <c r="S1659" t="s">
        <v>40</v>
      </c>
      <c r="U1659" s="1">
        <v>43363</v>
      </c>
      <c r="V1659" t="s">
        <v>41</v>
      </c>
      <c r="W1659" t="s">
        <v>953</v>
      </c>
      <c r="X1659" t="str">
        <f>"0610801"</f>
        <v>0610801</v>
      </c>
      <c r="Y1659" t="s">
        <v>954</v>
      </c>
      <c r="Z1659" t="s">
        <v>947</v>
      </c>
      <c r="AA1659" t="s">
        <v>948</v>
      </c>
      <c r="AB1659" t="s">
        <v>938</v>
      </c>
      <c r="AC1659" t="s">
        <v>44</v>
      </c>
      <c r="AD1659" t="s">
        <v>45</v>
      </c>
      <c r="AE1659" s="1">
        <v>29670</v>
      </c>
      <c r="AF1659">
        <v>2</v>
      </c>
      <c r="AG1659" t="s">
        <v>948</v>
      </c>
      <c r="AH1659" s="36">
        <f t="shared" si="25"/>
        <v>38.297222222222224</v>
      </c>
      <c r="AI1659" s="40" t="s">
        <v>1778</v>
      </c>
    </row>
    <row r="1660" spans="1:35" x14ac:dyDescent="0.25">
      <c r="A1660" s="36">
        <v>99911658</v>
      </c>
      <c r="B1660" s="17" t="s">
        <v>32</v>
      </c>
      <c r="C1660" t="s">
        <v>64</v>
      </c>
      <c r="D1660" t="s">
        <v>65</v>
      </c>
      <c r="G1660" s="17" t="s">
        <v>35</v>
      </c>
      <c r="H1660" s="17">
        <v>1</v>
      </c>
      <c r="I1660">
        <v>0</v>
      </c>
      <c r="J1660" s="1">
        <v>43344</v>
      </c>
      <c r="K1660" t="s">
        <v>223</v>
      </c>
      <c r="L1660" t="s">
        <v>224</v>
      </c>
      <c r="M1660" t="s">
        <v>131</v>
      </c>
      <c r="N1660">
        <v>23</v>
      </c>
      <c r="O1660" t="s">
        <v>40</v>
      </c>
      <c r="S1660" t="s">
        <v>40</v>
      </c>
      <c r="U1660" s="1">
        <v>43344</v>
      </c>
      <c r="V1660" t="s">
        <v>41</v>
      </c>
      <c r="W1660" t="s">
        <v>42</v>
      </c>
      <c r="X1660" t="str">
        <f>"0580206"</f>
        <v>0580206</v>
      </c>
      <c r="Y1660" t="s">
        <v>237</v>
      </c>
      <c r="Z1660" t="s">
        <v>223</v>
      </c>
      <c r="AA1660" t="s">
        <v>224</v>
      </c>
      <c r="AB1660" t="s">
        <v>131</v>
      </c>
      <c r="AC1660" t="s">
        <v>44</v>
      </c>
      <c r="AD1660" t="s">
        <v>45</v>
      </c>
      <c r="AE1660" s="1">
        <v>29667</v>
      </c>
      <c r="AF1660">
        <v>2</v>
      </c>
      <c r="AG1660" t="s">
        <v>224</v>
      </c>
      <c r="AH1660" s="36">
        <f t="shared" si="25"/>
        <v>38.305555555555557</v>
      </c>
      <c r="AI1660" s="40" t="s">
        <v>1778</v>
      </c>
    </row>
    <row r="1661" spans="1:35" x14ac:dyDescent="0.25">
      <c r="A1661" s="36">
        <v>99911659</v>
      </c>
      <c r="B1661" s="17" t="s">
        <v>32</v>
      </c>
      <c r="C1661" t="s">
        <v>90</v>
      </c>
      <c r="D1661" t="s">
        <v>91</v>
      </c>
      <c r="G1661" s="17" t="s">
        <v>35</v>
      </c>
      <c r="H1661" s="17">
        <v>1</v>
      </c>
      <c r="K1661" t="s">
        <v>195</v>
      </c>
      <c r="L1661" t="s">
        <v>196</v>
      </c>
      <c r="M1661" t="s">
        <v>131</v>
      </c>
      <c r="N1661">
        <v>25</v>
      </c>
      <c r="O1661" t="s">
        <v>40</v>
      </c>
      <c r="P1661" t="s">
        <v>40</v>
      </c>
      <c r="Q1661" t="s">
        <v>40</v>
      </c>
      <c r="S1661" t="s">
        <v>40</v>
      </c>
      <c r="V1661" t="s">
        <v>41</v>
      </c>
      <c r="W1661" t="s">
        <v>95</v>
      </c>
      <c r="X1661" t="str">
        <f>"7521105"</f>
        <v>7521105</v>
      </c>
      <c r="Y1661" t="s">
        <v>478</v>
      </c>
      <c r="Z1661" t="s">
        <v>195</v>
      </c>
      <c r="AA1661" t="s">
        <v>196</v>
      </c>
      <c r="AB1661" t="s">
        <v>131</v>
      </c>
      <c r="AC1661" t="s">
        <v>51</v>
      </c>
      <c r="AD1661" t="s">
        <v>45</v>
      </c>
      <c r="AE1661" s="1">
        <v>29665</v>
      </c>
      <c r="AF1661">
        <v>1</v>
      </c>
      <c r="AG1661" t="s">
        <v>196</v>
      </c>
      <c r="AH1661" s="36">
        <f t="shared" si="25"/>
        <v>38.31111111111111</v>
      </c>
      <c r="AI1661" s="40" t="s">
        <v>1778</v>
      </c>
    </row>
    <row r="1662" spans="1:35" x14ac:dyDescent="0.25">
      <c r="A1662" s="36">
        <v>99911660</v>
      </c>
      <c r="B1662" s="17" t="s">
        <v>56</v>
      </c>
      <c r="C1662" t="s">
        <v>79</v>
      </c>
      <c r="D1662" t="s">
        <v>80</v>
      </c>
      <c r="G1662" s="17" t="s">
        <v>48</v>
      </c>
      <c r="H1662" s="17">
        <v>1</v>
      </c>
      <c r="K1662" t="s">
        <v>1631</v>
      </c>
      <c r="L1662" t="s">
        <v>1632</v>
      </c>
      <c r="M1662" t="s">
        <v>1592</v>
      </c>
      <c r="N1662">
        <v>16</v>
      </c>
      <c r="O1662" t="s">
        <v>40</v>
      </c>
      <c r="P1662" t="s">
        <v>40</v>
      </c>
      <c r="Q1662" t="s">
        <v>40</v>
      </c>
      <c r="S1662" t="s">
        <v>40</v>
      </c>
      <c r="V1662" t="s">
        <v>41</v>
      </c>
      <c r="W1662" t="s">
        <v>75</v>
      </c>
      <c r="X1662" t="str">
        <f>"7021000"</f>
        <v>7021000</v>
      </c>
      <c r="Y1662" t="s">
        <v>1633</v>
      </c>
      <c r="Z1662" t="s">
        <v>1631</v>
      </c>
      <c r="AA1662" t="s">
        <v>1632</v>
      </c>
      <c r="AB1662" t="s">
        <v>1592</v>
      </c>
      <c r="AC1662" t="s">
        <v>51</v>
      </c>
      <c r="AD1662" t="s">
        <v>45</v>
      </c>
      <c r="AE1662" s="1">
        <v>29661</v>
      </c>
      <c r="AF1662">
        <v>1</v>
      </c>
      <c r="AG1662" t="s">
        <v>1632</v>
      </c>
      <c r="AH1662" s="36">
        <f t="shared" si="25"/>
        <v>38.322222222222223</v>
      </c>
      <c r="AI1662" s="40" t="s">
        <v>1778</v>
      </c>
    </row>
    <row r="1663" spans="1:35" x14ac:dyDescent="0.25">
      <c r="A1663" s="36">
        <v>99911661</v>
      </c>
      <c r="B1663" s="17" t="s">
        <v>32</v>
      </c>
      <c r="C1663" t="s">
        <v>141</v>
      </c>
      <c r="D1663" t="s">
        <v>142</v>
      </c>
      <c r="G1663" s="17" t="s">
        <v>35</v>
      </c>
      <c r="H1663" s="17">
        <v>1</v>
      </c>
      <c r="I1663" t="s">
        <v>1103</v>
      </c>
      <c r="J1663" s="1">
        <v>42984</v>
      </c>
      <c r="K1663" t="s">
        <v>1081</v>
      </c>
      <c r="L1663" t="s">
        <v>1082</v>
      </c>
      <c r="M1663" t="s">
        <v>1053</v>
      </c>
      <c r="N1663">
        <v>24</v>
      </c>
      <c r="O1663" t="s">
        <v>40</v>
      </c>
      <c r="P1663" t="s">
        <v>40</v>
      </c>
      <c r="Q1663" t="s">
        <v>40</v>
      </c>
      <c r="R1663" t="s">
        <v>40</v>
      </c>
      <c r="S1663" t="s">
        <v>40</v>
      </c>
      <c r="U1663" s="1">
        <v>42984</v>
      </c>
      <c r="V1663" t="s">
        <v>41</v>
      </c>
      <c r="W1663" t="s">
        <v>75</v>
      </c>
      <c r="X1663" t="str">
        <f>"7201006"</f>
        <v>7201006</v>
      </c>
      <c r="Y1663" t="s">
        <v>1083</v>
      </c>
      <c r="Z1663" t="s">
        <v>1081</v>
      </c>
      <c r="AA1663" t="s">
        <v>1082</v>
      </c>
      <c r="AB1663" t="s">
        <v>1053</v>
      </c>
      <c r="AC1663" t="s">
        <v>51</v>
      </c>
      <c r="AD1663" t="s">
        <v>45</v>
      </c>
      <c r="AE1663" s="1">
        <v>29657</v>
      </c>
      <c r="AF1663">
        <v>1</v>
      </c>
      <c r="AG1663" t="s">
        <v>1082</v>
      </c>
      <c r="AH1663" s="36">
        <f t="shared" si="25"/>
        <v>38.333333333333336</v>
      </c>
      <c r="AI1663" s="40" t="s">
        <v>1778</v>
      </c>
    </row>
    <row r="1664" spans="1:35" x14ac:dyDescent="0.25">
      <c r="A1664" s="36">
        <v>99911662</v>
      </c>
      <c r="B1664" s="17" t="s">
        <v>56</v>
      </c>
      <c r="C1664" t="s">
        <v>52</v>
      </c>
      <c r="D1664" t="s">
        <v>53</v>
      </c>
      <c r="G1664" s="17" t="s">
        <v>48</v>
      </c>
      <c r="H1664" s="17">
        <v>1</v>
      </c>
      <c r="K1664" t="s">
        <v>223</v>
      </c>
      <c r="L1664" t="s">
        <v>224</v>
      </c>
      <c r="M1664" t="s">
        <v>131</v>
      </c>
      <c r="N1664">
        <v>21</v>
      </c>
      <c r="O1664" t="s">
        <v>40</v>
      </c>
      <c r="P1664" t="s">
        <v>40</v>
      </c>
      <c r="Q1664" t="s">
        <v>40</v>
      </c>
      <c r="R1664" t="s">
        <v>40</v>
      </c>
      <c r="S1664" t="s">
        <v>40</v>
      </c>
      <c r="V1664" t="s">
        <v>41</v>
      </c>
      <c r="W1664" t="s">
        <v>49</v>
      </c>
      <c r="X1664" t="str">
        <f>"0581200"</f>
        <v>0581200</v>
      </c>
      <c r="Y1664" t="s">
        <v>238</v>
      </c>
      <c r="Z1664" t="s">
        <v>223</v>
      </c>
      <c r="AA1664" t="s">
        <v>224</v>
      </c>
      <c r="AB1664" t="s">
        <v>131</v>
      </c>
      <c r="AC1664" t="s">
        <v>51</v>
      </c>
      <c r="AD1664" t="s">
        <v>45</v>
      </c>
      <c r="AE1664" s="1">
        <v>29652</v>
      </c>
      <c r="AF1664">
        <v>2</v>
      </c>
      <c r="AG1664" t="s">
        <v>224</v>
      </c>
      <c r="AH1664" s="36">
        <f t="shared" si="25"/>
        <v>38.347222222222221</v>
      </c>
      <c r="AI1664" s="40" t="s">
        <v>1778</v>
      </c>
    </row>
    <row r="1665" spans="1:35" x14ac:dyDescent="0.25">
      <c r="A1665" s="36">
        <v>99911663</v>
      </c>
      <c r="B1665" s="17" t="s">
        <v>32</v>
      </c>
      <c r="C1665" t="s">
        <v>64</v>
      </c>
      <c r="D1665" t="s">
        <v>65</v>
      </c>
      <c r="G1665" s="17" t="s">
        <v>48</v>
      </c>
      <c r="H1665" s="17">
        <v>1</v>
      </c>
      <c r="K1665" t="s">
        <v>1268</v>
      </c>
      <c r="L1665" t="s">
        <v>1269</v>
      </c>
      <c r="M1665" t="s">
        <v>1270</v>
      </c>
      <c r="N1665">
        <v>19</v>
      </c>
      <c r="O1665" t="s">
        <v>40</v>
      </c>
      <c r="P1665" t="s">
        <v>40</v>
      </c>
      <c r="Q1665" t="s">
        <v>40</v>
      </c>
      <c r="R1665" t="s">
        <v>40</v>
      </c>
      <c r="S1665" t="s">
        <v>40</v>
      </c>
      <c r="V1665" t="s">
        <v>41</v>
      </c>
      <c r="W1665" t="s">
        <v>49</v>
      </c>
      <c r="X1665" t="str">
        <f>"1981912"</f>
        <v>1981912</v>
      </c>
      <c r="Y1665" t="s">
        <v>1279</v>
      </c>
      <c r="Z1665" t="s">
        <v>1268</v>
      </c>
      <c r="AA1665" t="s">
        <v>1269</v>
      </c>
      <c r="AB1665" t="s">
        <v>1270</v>
      </c>
      <c r="AC1665" t="s">
        <v>51</v>
      </c>
      <c r="AD1665" t="s">
        <v>45</v>
      </c>
      <c r="AE1665" s="1">
        <v>29649</v>
      </c>
      <c r="AF1665">
        <v>2</v>
      </c>
      <c r="AG1665" t="s">
        <v>1269</v>
      </c>
      <c r="AH1665" s="36">
        <f t="shared" si="25"/>
        <v>38.355555555555554</v>
      </c>
      <c r="AI1665" s="40" t="s">
        <v>1778</v>
      </c>
    </row>
    <row r="1666" spans="1:35" x14ac:dyDescent="0.25">
      <c r="A1666" s="36">
        <v>99911664</v>
      </c>
      <c r="B1666" s="17" t="s">
        <v>32</v>
      </c>
      <c r="C1666" t="s">
        <v>46</v>
      </c>
      <c r="D1666" t="s">
        <v>47</v>
      </c>
      <c r="G1666" s="17" t="s">
        <v>88</v>
      </c>
      <c r="H1666" s="17">
        <v>1</v>
      </c>
      <c r="I1666" t="s">
        <v>1324</v>
      </c>
      <c r="K1666" t="s">
        <v>1306</v>
      </c>
      <c r="L1666" t="s">
        <v>1307</v>
      </c>
      <c r="M1666" t="s">
        <v>1270</v>
      </c>
      <c r="N1666">
        <v>23</v>
      </c>
      <c r="O1666" t="s">
        <v>40</v>
      </c>
      <c r="P1666" t="s">
        <v>40</v>
      </c>
      <c r="Q1666" t="s">
        <v>40</v>
      </c>
      <c r="R1666" t="s">
        <v>40</v>
      </c>
      <c r="S1666" t="s">
        <v>40</v>
      </c>
      <c r="V1666" t="s">
        <v>41</v>
      </c>
      <c r="W1666" t="s">
        <v>49</v>
      </c>
      <c r="X1666" t="str">
        <f>"1991913"</f>
        <v>1991913</v>
      </c>
      <c r="Y1666" t="s">
        <v>1310</v>
      </c>
      <c r="Z1666" t="s">
        <v>1306</v>
      </c>
      <c r="AA1666" t="s">
        <v>1307</v>
      </c>
      <c r="AB1666" t="s">
        <v>1270</v>
      </c>
      <c r="AC1666" t="s">
        <v>51</v>
      </c>
      <c r="AD1666" t="s">
        <v>45</v>
      </c>
      <c r="AE1666" s="1">
        <v>29646</v>
      </c>
      <c r="AF1666">
        <v>2</v>
      </c>
      <c r="AG1666" t="s">
        <v>1307</v>
      </c>
      <c r="AH1666" s="36">
        <f t="shared" ref="AH1666:AH1729" si="26">($AJ$1-AE1666)/360</f>
        <v>38.363888888888887</v>
      </c>
      <c r="AI1666" s="40" t="s">
        <v>1778</v>
      </c>
    </row>
    <row r="1667" spans="1:35" x14ac:dyDescent="0.25">
      <c r="A1667" s="36">
        <v>99911665</v>
      </c>
      <c r="B1667" s="17" t="s">
        <v>32</v>
      </c>
      <c r="C1667" t="s">
        <v>46</v>
      </c>
      <c r="D1667" t="s">
        <v>47</v>
      </c>
      <c r="G1667" s="17" t="s">
        <v>35</v>
      </c>
      <c r="H1667" s="17">
        <v>1</v>
      </c>
      <c r="I1667">
        <v>0</v>
      </c>
      <c r="J1667" s="1">
        <v>43344</v>
      </c>
      <c r="K1667" t="s">
        <v>223</v>
      </c>
      <c r="L1667" t="s">
        <v>224</v>
      </c>
      <c r="M1667" t="s">
        <v>131</v>
      </c>
      <c r="N1667">
        <v>9</v>
      </c>
      <c r="O1667" t="s">
        <v>40</v>
      </c>
      <c r="P1667" t="s">
        <v>40</v>
      </c>
      <c r="Q1667" t="s">
        <v>40</v>
      </c>
      <c r="S1667" t="s">
        <v>40</v>
      </c>
      <c r="U1667" s="1">
        <v>43344</v>
      </c>
      <c r="V1667" t="s">
        <v>41</v>
      </c>
      <c r="W1667" t="s">
        <v>49</v>
      </c>
      <c r="X1667" t="str">
        <f>"0581265"</f>
        <v>0581265</v>
      </c>
      <c r="Y1667" t="s">
        <v>236</v>
      </c>
      <c r="Z1667" t="s">
        <v>223</v>
      </c>
      <c r="AA1667" t="s">
        <v>224</v>
      </c>
      <c r="AB1667" t="s">
        <v>131</v>
      </c>
      <c r="AC1667" t="s">
        <v>44</v>
      </c>
      <c r="AD1667" t="s">
        <v>45</v>
      </c>
      <c r="AE1667" s="1">
        <v>29645</v>
      </c>
      <c r="AF1667">
        <v>2</v>
      </c>
      <c r="AG1667" t="s">
        <v>224</v>
      </c>
      <c r="AH1667" s="36">
        <f t="shared" si="26"/>
        <v>38.366666666666667</v>
      </c>
      <c r="AI1667" s="40" t="s">
        <v>1778</v>
      </c>
    </row>
    <row r="1668" spans="1:35" x14ac:dyDescent="0.25">
      <c r="A1668" s="36">
        <v>99911666</v>
      </c>
      <c r="B1668" s="17" t="s">
        <v>32</v>
      </c>
      <c r="C1668" t="s">
        <v>46</v>
      </c>
      <c r="D1668" t="s">
        <v>47</v>
      </c>
      <c r="G1668" s="17" t="s">
        <v>35</v>
      </c>
      <c r="H1668" s="17">
        <v>1</v>
      </c>
      <c r="K1668" t="s">
        <v>223</v>
      </c>
      <c r="L1668" t="s">
        <v>224</v>
      </c>
      <c r="M1668" t="s">
        <v>131</v>
      </c>
      <c r="N1668">
        <v>21</v>
      </c>
      <c r="O1668" t="s">
        <v>40</v>
      </c>
      <c r="P1668" t="s">
        <v>40</v>
      </c>
      <c r="Q1668" t="s">
        <v>40</v>
      </c>
      <c r="S1668" t="s">
        <v>40</v>
      </c>
      <c r="V1668" t="s">
        <v>41</v>
      </c>
      <c r="W1668" t="s">
        <v>42</v>
      </c>
      <c r="X1668" t="str">
        <f>"0590903"</f>
        <v>0590903</v>
      </c>
      <c r="Y1668" t="s">
        <v>226</v>
      </c>
      <c r="Z1668" t="s">
        <v>223</v>
      </c>
      <c r="AA1668" t="s">
        <v>224</v>
      </c>
      <c r="AB1668" t="s">
        <v>131</v>
      </c>
      <c r="AC1668" t="s">
        <v>51</v>
      </c>
      <c r="AD1668" t="s">
        <v>45</v>
      </c>
      <c r="AE1668" s="1">
        <v>29645</v>
      </c>
      <c r="AF1668">
        <v>2</v>
      </c>
      <c r="AG1668" t="s">
        <v>224</v>
      </c>
      <c r="AH1668" s="36">
        <f t="shared" si="26"/>
        <v>38.366666666666667</v>
      </c>
      <c r="AI1668" s="40" t="s">
        <v>1778</v>
      </c>
    </row>
    <row r="1669" spans="1:35" x14ac:dyDescent="0.25">
      <c r="A1669" s="36">
        <v>99911667</v>
      </c>
      <c r="B1669" s="17" t="s">
        <v>32</v>
      </c>
      <c r="C1669" t="s">
        <v>52</v>
      </c>
      <c r="D1669" t="s">
        <v>53</v>
      </c>
      <c r="G1669" s="17" t="s">
        <v>35</v>
      </c>
      <c r="H1669" s="17">
        <v>1</v>
      </c>
      <c r="K1669" t="s">
        <v>223</v>
      </c>
      <c r="L1669" t="s">
        <v>224</v>
      </c>
      <c r="M1669" t="s">
        <v>131</v>
      </c>
      <c r="N1669">
        <v>4</v>
      </c>
      <c r="O1669" t="s">
        <v>40</v>
      </c>
      <c r="P1669" t="s">
        <v>40</v>
      </c>
      <c r="Q1669" t="s">
        <v>40</v>
      </c>
      <c r="S1669" t="s">
        <v>40</v>
      </c>
      <c r="V1669" t="s">
        <v>41</v>
      </c>
      <c r="W1669" t="s">
        <v>42</v>
      </c>
      <c r="X1669" t="str">
        <f>"0590901"</f>
        <v>0590901</v>
      </c>
      <c r="Y1669" t="s">
        <v>242</v>
      </c>
      <c r="Z1669" t="s">
        <v>223</v>
      </c>
      <c r="AA1669" t="s">
        <v>224</v>
      </c>
      <c r="AB1669" t="s">
        <v>131</v>
      </c>
      <c r="AC1669" t="s">
        <v>51</v>
      </c>
      <c r="AD1669" t="s">
        <v>45</v>
      </c>
      <c r="AE1669" s="1">
        <v>29642</v>
      </c>
      <c r="AF1669">
        <v>2</v>
      </c>
      <c r="AG1669" t="s">
        <v>224</v>
      </c>
      <c r="AH1669" s="36">
        <f t="shared" si="26"/>
        <v>38.375</v>
      </c>
      <c r="AI1669" s="40" t="s">
        <v>1778</v>
      </c>
    </row>
    <row r="1670" spans="1:35" x14ac:dyDescent="0.25">
      <c r="A1670" s="36">
        <v>99911668</v>
      </c>
      <c r="B1670" s="17" t="s">
        <v>32</v>
      </c>
      <c r="C1670" t="s">
        <v>64</v>
      </c>
      <c r="D1670" t="s">
        <v>65</v>
      </c>
      <c r="G1670" s="17" t="s">
        <v>48</v>
      </c>
      <c r="H1670" s="17">
        <v>1</v>
      </c>
      <c r="K1670" t="s">
        <v>1198</v>
      </c>
      <c r="L1670" t="s">
        <v>1199</v>
      </c>
      <c r="M1670" t="s">
        <v>1130</v>
      </c>
      <c r="N1670">
        <v>10</v>
      </c>
      <c r="O1670" t="s">
        <v>40</v>
      </c>
      <c r="P1670" t="s">
        <v>40</v>
      </c>
      <c r="Q1670" t="s">
        <v>40</v>
      </c>
      <c r="R1670" t="s">
        <v>40</v>
      </c>
      <c r="S1670" t="s">
        <v>40</v>
      </c>
      <c r="V1670" t="s">
        <v>41</v>
      </c>
      <c r="W1670" t="s">
        <v>75</v>
      </c>
      <c r="X1670" t="str">
        <f>"7311008"</f>
        <v>7311008</v>
      </c>
      <c r="Y1670" t="s">
        <v>1205</v>
      </c>
      <c r="Z1670" t="s">
        <v>1198</v>
      </c>
      <c r="AA1670" t="s">
        <v>1199</v>
      </c>
      <c r="AB1670" t="s">
        <v>1130</v>
      </c>
      <c r="AC1670" t="s">
        <v>51</v>
      </c>
      <c r="AD1670" t="s">
        <v>45</v>
      </c>
      <c r="AE1670" s="1">
        <v>29642</v>
      </c>
      <c r="AF1670">
        <v>1</v>
      </c>
      <c r="AG1670" t="s">
        <v>1199</v>
      </c>
      <c r="AH1670" s="36">
        <f t="shared" si="26"/>
        <v>38.375</v>
      </c>
      <c r="AI1670" s="40" t="s">
        <v>1778</v>
      </c>
    </row>
    <row r="1671" spans="1:35" x14ac:dyDescent="0.25">
      <c r="A1671" s="36">
        <v>99911669</v>
      </c>
      <c r="B1671" s="17" t="s">
        <v>56</v>
      </c>
      <c r="C1671" t="s">
        <v>111</v>
      </c>
      <c r="D1671" t="s">
        <v>112</v>
      </c>
      <c r="G1671" s="17" t="s">
        <v>35</v>
      </c>
      <c r="H1671" s="17">
        <v>1</v>
      </c>
      <c r="K1671" t="s">
        <v>1341</v>
      </c>
      <c r="L1671" t="s">
        <v>1342</v>
      </c>
      <c r="M1671" t="s">
        <v>1270</v>
      </c>
      <c r="N1671">
        <v>23</v>
      </c>
      <c r="O1671" t="s">
        <v>40</v>
      </c>
      <c r="P1671" t="s">
        <v>40</v>
      </c>
      <c r="Q1671" t="s">
        <v>40</v>
      </c>
      <c r="S1671" t="s">
        <v>40</v>
      </c>
      <c r="V1671" t="s">
        <v>41</v>
      </c>
      <c r="W1671" t="s">
        <v>75</v>
      </c>
      <c r="X1671" t="str">
        <f>"7191006"</f>
        <v>7191006</v>
      </c>
      <c r="Y1671" t="s">
        <v>1351</v>
      </c>
      <c r="Z1671" t="s">
        <v>1341</v>
      </c>
      <c r="AA1671" t="s">
        <v>1342</v>
      </c>
      <c r="AB1671" t="s">
        <v>1270</v>
      </c>
      <c r="AC1671" t="s">
        <v>51</v>
      </c>
      <c r="AD1671" t="s">
        <v>45</v>
      </c>
      <c r="AE1671" s="1">
        <v>29636</v>
      </c>
      <c r="AF1671">
        <v>1</v>
      </c>
      <c r="AG1671" t="s">
        <v>1342</v>
      </c>
      <c r="AH1671" s="36">
        <f t="shared" si="26"/>
        <v>38.391666666666666</v>
      </c>
      <c r="AI1671" s="40" t="s">
        <v>1778</v>
      </c>
    </row>
    <row r="1672" spans="1:35" x14ac:dyDescent="0.25">
      <c r="A1672" s="36">
        <v>99911670</v>
      </c>
      <c r="B1672" s="17" t="s">
        <v>32</v>
      </c>
      <c r="C1672" t="s">
        <v>64</v>
      </c>
      <c r="D1672" t="s">
        <v>65</v>
      </c>
      <c r="G1672" s="17" t="s">
        <v>35</v>
      </c>
      <c r="H1672" s="17">
        <v>1</v>
      </c>
      <c r="I1672">
        <v>282</v>
      </c>
      <c r="J1672" s="1">
        <v>43344</v>
      </c>
      <c r="K1672" t="s">
        <v>354</v>
      </c>
      <c r="L1672" t="s">
        <v>355</v>
      </c>
      <c r="M1672" t="s">
        <v>131</v>
      </c>
      <c r="N1672">
        <v>24</v>
      </c>
      <c r="O1672" t="s">
        <v>40</v>
      </c>
      <c r="S1672" t="s">
        <v>40</v>
      </c>
      <c r="U1672" s="1">
        <v>43344</v>
      </c>
      <c r="V1672" t="s">
        <v>41</v>
      </c>
      <c r="W1672" t="s">
        <v>75</v>
      </c>
      <c r="X1672" t="str">
        <f>"7054016"</f>
        <v>7054016</v>
      </c>
      <c r="Y1672" t="s">
        <v>768</v>
      </c>
      <c r="Z1672" t="s">
        <v>354</v>
      </c>
      <c r="AA1672" t="s">
        <v>355</v>
      </c>
      <c r="AB1672" t="s">
        <v>131</v>
      </c>
      <c r="AC1672" t="s">
        <v>51</v>
      </c>
      <c r="AD1672" t="s">
        <v>45</v>
      </c>
      <c r="AE1672" s="1">
        <v>29630</v>
      </c>
      <c r="AF1672">
        <v>1</v>
      </c>
      <c r="AG1672" t="s">
        <v>355</v>
      </c>
      <c r="AH1672" s="36">
        <f t="shared" si="26"/>
        <v>38.408333333333331</v>
      </c>
      <c r="AI1672" s="40" t="s">
        <v>1778</v>
      </c>
    </row>
    <row r="1673" spans="1:35" x14ac:dyDescent="0.25">
      <c r="A1673" s="36">
        <v>99911671</v>
      </c>
      <c r="B1673" s="17" t="s">
        <v>32</v>
      </c>
      <c r="C1673" t="s">
        <v>111</v>
      </c>
      <c r="D1673" t="s">
        <v>112</v>
      </c>
      <c r="G1673" s="17" t="s">
        <v>35</v>
      </c>
      <c r="H1673" s="17">
        <v>1</v>
      </c>
      <c r="I1673" s="1">
        <v>42614</v>
      </c>
      <c r="J1673" s="1">
        <v>43344</v>
      </c>
      <c r="K1673" t="s">
        <v>1341</v>
      </c>
      <c r="L1673" t="s">
        <v>1342</v>
      </c>
      <c r="M1673" t="s">
        <v>1270</v>
      </c>
      <c r="N1673">
        <v>24</v>
      </c>
      <c r="O1673" t="s">
        <v>40</v>
      </c>
      <c r="S1673" t="s">
        <v>40</v>
      </c>
      <c r="U1673" s="1">
        <v>43344</v>
      </c>
      <c r="V1673" t="s">
        <v>41</v>
      </c>
      <c r="W1673" t="s">
        <v>75</v>
      </c>
      <c r="X1673" t="str">
        <f>"7191000"</f>
        <v>7191000</v>
      </c>
      <c r="Y1673" t="s">
        <v>1347</v>
      </c>
      <c r="Z1673" t="s">
        <v>1341</v>
      </c>
      <c r="AA1673" t="s">
        <v>1342</v>
      </c>
      <c r="AB1673" t="s">
        <v>1270</v>
      </c>
      <c r="AC1673" t="s">
        <v>51</v>
      </c>
      <c r="AD1673" t="s">
        <v>45</v>
      </c>
      <c r="AE1673" s="1">
        <v>29629</v>
      </c>
      <c r="AF1673">
        <v>1</v>
      </c>
      <c r="AG1673" t="s">
        <v>1342</v>
      </c>
      <c r="AH1673" s="36">
        <f t="shared" si="26"/>
        <v>38.411111111111111</v>
      </c>
      <c r="AI1673" s="40" t="s">
        <v>1778</v>
      </c>
    </row>
    <row r="1674" spans="1:35" x14ac:dyDescent="0.25">
      <c r="A1674" s="36">
        <v>99911672</v>
      </c>
      <c r="B1674" s="17" t="s">
        <v>32</v>
      </c>
      <c r="C1674" t="s">
        <v>46</v>
      </c>
      <c r="D1674" t="s">
        <v>47</v>
      </c>
      <c r="G1674" s="17" t="s">
        <v>35</v>
      </c>
      <c r="H1674" s="17">
        <v>1</v>
      </c>
      <c r="I1674">
        <v>20392</v>
      </c>
      <c r="J1674" s="1">
        <v>43344</v>
      </c>
      <c r="K1674" t="s">
        <v>354</v>
      </c>
      <c r="L1674" t="s">
        <v>355</v>
      </c>
      <c r="M1674" t="s">
        <v>131</v>
      </c>
      <c r="N1674">
        <v>24</v>
      </c>
      <c r="O1674" t="s">
        <v>40</v>
      </c>
      <c r="S1674" t="s">
        <v>40</v>
      </c>
      <c r="U1674" s="1">
        <v>43344</v>
      </c>
      <c r="V1674" t="s">
        <v>41</v>
      </c>
      <c r="W1674" t="s">
        <v>75</v>
      </c>
      <c r="X1674" t="str">
        <f>"7054042"</f>
        <v>7054042</v>
      </c>
      <c r="Y1674" t="s">
        <v>776</v>
      </c>
      <c r="Z1674" t="s">
        <v>354</v>
      </c>
      <c r="AA1674" t="s">
        <v>355</v>
      </c>
      <c r="AB1674" t="s">
        <v>131</v>
      </c>
      <c r="AC1674" t="s">
        <v>51</v>
      </c>
      <c r="AD1674" t="s">
        <v>45</v>
      </c>
      <c r="AE1674" s="1">
        <v>29609</v>
      </c>
      <c r="AF1674">
        <v>1</v>
      </c>
      <c r="AG1674" t="s">
        <v>355</v>
      </c>
      <c r="AH1674" s="36">
        <f t="shared" si="26"/>
        <v>38.466666666666669</v>
      </c>
      <c r="AI1674" s="40" t="s">
        <v>1778</v>
      </c>
    </row>
    <row r="1675" spans="1:35" x14ac:dyDescent="0.25">
      <c r="A1675" s="36">
        <v>99911673</v>
      </c>
      <c r="B1675" s="17" t="s">
        <v>32</v>
      </c>
      <c r="C1675" t="s">
        <v>90</v>
      </c>
      <c r="D1675" t="s">
        <v>91</v>
      </c>
      <c r="G1675" s="17" t="s">
        <v>35</v>
      </c>
      <c r="H1675" s="17">
        <v>1</v>
      </c>
      <c r="I1675" t="s">
        <v>1516</v>
      </c>
      <c r="J1675" s="1">
        <v>42979</v>
      </c>
      <c r="K1675" t="s">
        <v>1513</v>
      </c>
      <c r="L1675" t="s">
        <v>1511</v>
      </c>
      <c r="M1675" t="s">
        <v>670</v>
      </c>
      <c r="N1675">
        <v>25</v>
      </c>
      <c r="O1675" t="s">
        <v>40</v>
      </c>
      <c r="P1675" t="s">
        <v>40</v>
      </c>
      <c r="Q1675" t="s">
        <v>40</v>
      </c>
      <c r="R1675" t="s">
        <v>40</v>
      </c>
      <c r="S1675" t="s">
        <v>40</v>
      </c>
      <c r="U1675" s="1">
        <v>43344</v>
      </c>
      <c r="V1675" t="s">
        <v>41</v>
      </c>
      <c r="W1675" t="s">
        <v>95</v>
      </c>
      <c r="X1675" t="str">
        <f>"7411007"</f>
        <v>7411007</v>
      </c>
      <c r="Y1675" t="s">
        <v>1514</v>
      </c>
      <c r="Z1675" t="s">
        <v>1513</v>
      </c>
      <c r="AA1675" t="s">
        <v>1511</v>
      </c>
      <c r="AB1675" t="s">
        <v>670</v>
      </c>
      <c r="AC1675" t="s">
        <v>44</v>
      </c>
      <c r="AD1675" t="s">
        <v>45</v>
      </c>
      <c r="AE1675" s="1">
        <v>29608</v>
      </c>
      <c r="AF1675">
        <v>1</v>
      </c>
      <c r="AG1675" t="s">
        <v>1511</v>
      </c>
      <c r="AH1675" s="36">
        <f t="shared" si="26"/>
        <v>38.469444444444441</v>
      </c>
      <c r="AI1675" s="40" t="s">
        <v>1778</v>
      </c>
    </row>
    <row r="1676" spans="1:35" x14ac:dyDescent="0.25">
      <c r="A1676" s="36">
        <v>99911674</v>
      </c>
      <c r="B1676" s="17" t="s">
        <v>56</v>
      </c>
      <c r="C1676" t="s">
        <v>61</v>
      </c>
      <c r="D1676" t="s">
        <v>62</v>
      </c>
      <c r="E1676" t="s">
        <v>52</v>
      </c>
      <c r="F1676" t="s">
        <v>53</v>
      </c>
      <c r="G1676" s="17" t="s">
        <v>35</v>
      </c>
      <c r="H1676" s="17">
        <v>1</v>
      </c>
      <c r="K1676" t="s">
        <v>1268</v>
      </c>
      <c r="L1676" t="s">
        <v>1269</v>
      </c>
      <c r="M1676" t="s">
        <v>1270</v>
      </c>
      <c r="N1676">
        <v>23</v>
      </c>
      <c r="O1676" t="s">
        <v>40</v>
      </c>
      <c r="P1676" t="s">
        <v>40</v>
      </c>
      <c r="Q1676" t="s">
        <v>40</v>
      </c>
      <c r="R1676" t="s">
        <v>40</v>
      </c>
      <c r="S1676" t="s">
        <v>40</v>
      </c>
      <c r="V1676" t="s">
        <v>41</v>
      </c>
      <c r="W1676" t="s">
        <v>42</v>
      </c>
      <c r="X1676" t="str">
        <f>"1990001"</f>
        <v>1990001</v>
      </c>
      <c r="Y1676" t="s">
        <v>1294</v>
      </c>
      <c r="Z1676" t="s">
        <v>1268</v>
      </c>
      <c r="AA1676" t="s">
        <v>1269</v>
      </c>
      <c r="AB1676" t="s">
        <v>1270</v>
      </c>
      <c r="AC1676" t="s">
        <v>51</v>
      </c>
      <c r="AD1676" t="s">
        <v>45</v>
      </c>
      <c r="AE1676" s="1">
        <v>29607</v>
      </c>
      <c r="AF1676">
        <v>2</v>
      </c>
      <c r="AG1676" t="s">
        <v>1269</v>
      </c>
      <c r="AH1676" s="36">
        <f t="shared" si="26"/>
        <v>38.472222222222221</v>
      </c>
      <c r="AI1676" s="40" t="s">
        <v>1778</v>
      </c>
    </row>
    <row r="1677" spans="1:35" x14ac:dyDescent="0.25">
      <c r="A1677" s="36">
        <v>99911675</v>
      </c>
      <c r="B1677" s="17" t="s">
        <v>56</v>
      </c>
      <c r="C1677" t="s">
        <v>61</v>
      </c>
      <c r="D1677" t="s">
        <v>62</v>
      </c>
      <c r="G1677" s="17" t="s">
        <v>35</v>
      </c>
      <c r="H1677" s="17">
        <v>1</v>
      </c>
      <c r="I1677" t="s">
        <v>1612</v>
      </c>
      <c r="J1677" s="1">
        <v>43344</v>
      </c>
      <c r="K1677" t="s">
        <v>1590</v>
      </c>
      <c r="L1677" t="s">
        <v>1591</v>
      </c>
      <c r="M1677" t="s">
        <v>1592</v>
      </c>
      <c r="N1677">
        <v>15</v>
      </c>
      <c r="O1677" t="s">
        <v>40</v>
      </c>
      <c r="S1677" t="s">
        <v>40</v>
      </c>
      <c r="U1677" s="1">
        <v>43344</v>
      </c>
      <c r="V1677" t="s">
        <v>41</v>
      </c>
      <c r="W1677" t="s">
        <v>42</v>
      </c>
      <c r="X1677" t="str">
        <f>"0280020"</f>
        <v>0280020</v>
      </c>
      <c r="Y1677" t="s">
        <v>1597</v>
      </c>
      <c r="Z1677" t="s">
        <v>1590</v>
      </c>
      <c r="AA1677" t="s">
        <v>1591</v>
      </c>
      <c r="AB1677" t="s">
        <v>1592</v>
      </c>
      <c r="AC1677" t="s">
        <v>51</v>
      </c>
      <c r="AD1677" t="s">
        <v>45</v>
      </c>
      <c r="AE1677" s="1">
        <v>29607</v>
      </c>
      <c r="AF1677">
        <v>2</v>
      </c>
      <c r="AG1677" t="s">
        <v>1591</v>
      </c>
      <c r="AH1677" s="36">
        <f t="shared" si="26"/>
        <v>38.472222222222221</v>
      </c>
      <c r="AI1677" s="40" t="s">
        <v>1778</v>
      </c>
    </row>
    <row r="1678" spans="1:35" x14ac:dyDescent="0.25">
      <c r="A1678" s="36">
        <v>99911676</v>
      </c>
      <c r="B1678" s="17" t="s">
        <v>56</v>
      </c>
      <c r="C1678" t="s">
        <v>58</v>
      </c>
      <c r="D1678" t="s">
        <v>59</v>
      </c>
      <c r="G1678" s="17" t="s">
        <v>48</v>
      </c>
      <c r="H1678" s="17">
        <v>1</v>
      </c>
      <c r="K1678" t="s">
        <v>223</v>
      </c>
      <c r="L1678" t="s">
        <v>224</v>
      </c>
      <c r="M1678" t="s">
        <v>131</v>
      </c>
      <c r="N1678">
        <v>21</v>
      </c>
      <c r="O1678" t="s">
        <v>40</v>
      </c>
      <c r="P1678" t="s">
        <v>40</v>
      </c>
      <c r="Q1678" t="s">
        <v>40</v>
      </c>
      <c r="R1678" t="s">
        <v>40</v>
      </c>
      <c r="S1678" t="s">
        <v>40</v>
      </c>
      <c r="V1678" t="s">
        <v>41</v>
      </c>
      <c r="W1678" t="s">
        <v>42</v>
      </c>
      <c r="X1678" t="str">
        <f>"0580200"</f>
        <v>0580200</v>
      </c>
      <c r="Y1678" t="s">
        <v>245</v>
      </c>
      <c r="Z1678" t="s">
        <v>223</v>
      </c>
      <c r="AA1678" t="s">
        <v>224</v>
      </c>
      <c r="AB1678" t="s">
        <v>131</v>
      </c>
      <c r="AC1678" t="s">
        <v>51</v>
      </c>
      <c r="AD1678" t="s">
        <v>45</v>
      </c>
      <c r="AE1678" s="1">
        <v>29603</v>
      </c>
      <c r="AF1678">
        <v>2</v>
      </c>
      <c r="AG1678" t="s">
        <v>224</v>
      </c>
      <c r="AH1678" s="36">
        <f t="shared" si="26"/>
        <v>38.483333333333334</v>
      </c>
      <c r="AI1678" s="40" t="s">
        <v>1778</v>
      </c>
    </row>
    <row r="1679" spans="1:35" x14ac:dyDescent="0.25">
      <c r="A1679" s="36">
        <v>99911677</v>
      </c>
      <c r="B1679" s="17" t="s">
        <v>56</v>
      </c>
      <c r="C1679" t="s">
        <v>46</v>
      </c>
      <c r="D1679" t="s">
        <v>47</v>
      </c>
      <c r="G1679" s="17" t="s">
        <v>48</v>
      </c>
      <c r="H1679" s="17">
        <v>1</v>
      </c>
      <c r="K1679" t="s">
        <v>223</v>
      </c>
      <c r="L1679" t="s">
        <v>224</v>
      </c>
      <c r="M1679" t="s">
        <v>131</v>
      </c>
      <c r="N1679">
        <v>21</v>
      </c>
      <c r="O1679" t="s">
        <v>40</v>
      </c>
      <c r="P1679" t="s">
        <v>40</v>
      </c>
      <c r="Q1679" t="s">
        <v>40</v>
      </c>
      <c r="S1679" t="s">
        <v>40</v>
      </c>
      <c r="V1679" t="s">
        <v>41</v>
      </c>
      <c r="W1679" t="s">
        <v>49</v>
      </c>
      <c r="X1679" t="str">
        <f>"0581206"</f>
        <v>0581206</v>
      </c>
      <c r="Y1679" t="s">
        <v>232</v>
      </c>
      <c r="Z1679" t="s">
        <v>223</v>
      </c>
      <c r="AA1679" t="s">
        <v>224</v>
      </c>
      <c r="AB1679" t="s">
        <v>131</v>
      </c>
      <c r="AC1679" t="s">
        <v>51</v>
      </c>
      <c r="AD1679" t="s">
        <v>45</v>
      </c>
      <c r="AE1679" s="1">
        <v>29602</v>
      </c>
      <c r="AF1679">
        <v>2</v>
      </c>
      <c r="AG1679" t="s">
        <v>224</v>
      </c>
      <c r="AH1679" s="36">
        <f t="shared" si="26"/>
        <v>38.486111111111114</v>
      </c>
      <c r="AI1679" s="40" t="s">
        <v>1778</v>
      </c>
    </row>
    <row r="1680" spans="1:35" x14ac:dyDescent="0.25">
      <c r="A1680" s="36">
        <v>99911678</v>
      </c>
      <c r="B1680" s="17" t="s">
        <v>32</v>
      </c>
      <c r="C1680" t="s">
        <v>85</v>
      </c>
      <c r="D1680" t="s">
        <v>86</v>
      </c>
      <c r="G1680" s="17" t="s">
        <v>35</v>
      </c>
      <c r="H1680" s="17">
        <v>1</v>
      </c>
      <c r="I1680">
        <v>11613</v>
      </c>
      <c r="J1680" s="1">
        <v>43395</v>
      </c>
      <c r="K1680" t="s">
        <v>1325</v>
      </c>
      <c r="L1680" t="s">
        <v>1326</v>
      </c>
      <c r="M1680" t="s">
        <v>1270</v>
      </c>
      <c r="N1680">
        <v>16</v>
      </c>
      <c r="O1680" t="s">
        <v>40</v>
      </c>
      <c r="S1680" t="s">
        <v>40</v>
      </c>
      <c r="U1680" s="1">
        <v>43395</v>
      </c>
      <c r="V1680" t="s">
        <v>41</v>
      </c>
      <c r="W1680" t="s">
        <v>49</v>
      </c>
      <c r="X1680" t="str">
        <f>"3981100"</f>
        <v>3981100</v>
      </c>
      <c r="Y1680" t="s">
        <v>1327</v>
      </c>
      <c r="Z1680" t="s">
        <v>1325</v>
      </c>
      <c r="AA1680" t="s">
        <v>1326</v>
      </c>
      <c r="AB1680" t="s">
        <v>1270</v>
      </c>
      <c r="AC1680" t="s">
        <v>44</v>
      </c>
      <c r="AD1680" t="s">
        <v>45</v>
      </c>
      <c r="AE1680" s="1">
        <v>29594</v>
      </c>
      <c r="AF1680">
        <v>2</v>
      </c>
      <c r="AG1680" t="s">
        <v>1326</v>
      </c>
      <c r="AH1680" s="36">
        <f t="shared" si="26"/>
        <v>38.508333333333333</v>
      </c>
      <c r="AI1680" s="40" t="s">
        <v>1778</v>
      </c>
    </row>
    <row r="1681" spans="1:35" x14ac:dyDescent="0.25">
      <c r="A1681" s="36">
        <v>99911679</v>
      </c>
      <c r="B1681" s="17" t="s">
        <v>32</v>
      </c>
      <c r="C1681" t="s">
        <v>111</v>
      </c>
      <c r="D1681" t="s">
        <v>112</v>
      </c>
      <c r="G1681" s="17" t="s">
        <v>48</v>
      </c>
      <c r="H1681" s="17">
        <v>6</v>
      </c>
      <c r="I1681" t="s">
        <v>475</v>
      </c>
      <c r="J1681" s="1">
        <v>42248</v>
      </c>
      <c r="K1681" t="s">
        <v>431</v>
      </c>
      <c r="L1681" t="s">
        <v>196</v>
      </c>
      <c r="M1681" t="s">
        <v>131</v>
      </c>
      <c r="N1681">
        <v>23</v>
      </c>
      <c r="O1681" t="s">
        <v>40</v>
      </c>
      <c r="P1681" t="s">
        <v>40</v>
      </c>
      <c r="Q1681" t="s">
        <v>40</v>
      </c>
      <c r="R1681" t="s">
        <v>40</v>
      </c>
      <c r="S1681" t="s">
        <v>40</v>
      </c>
      <c r="U1681" s="1">
        <v>42248</v>
      </c>
      <c r="V1681" t="s">
        <v>41</v>
      </c>
      <c r="W1681" t="s">
        <v>75</v>
      </c>
      <c r="X1681" t="str">
        <f>"7521022"</f>
        <v>7521022</v>
      </c>
      <c r="Y1681" t="s">
        <v>445</v>
      </c>
      <c r="Z1681" t="s">
        <v>431</v>
      </c>
      <c r="AA1681" t="s">
        <v>196</v>
      </c>
      <c r="AB1681" t="s">
        <v>131</v>
      </c>
      <c r="AC1681" t="s">
        <v>51</v>
      </c>
      <c r="AD1681" t="s">
        <v>45</v>
      </c>
      <c r="AE1681" s="1">
        <v>29593</v>
      </c>
      <c r="AF1681">
        <v>1</v>
      </c>
      <c r="AG1681" t="s">
        <v>196</v>
      </c>
      <c r="AH1681" s="36">
        <f t="shared" si="26"/>
        <v>38.511111111111113</v>
      </c>
      <c r="AI1681" s="40" t="s">
        <v>1778</v>
      </c>
    </row>
    <row r="1682" spans="1:35" x14ac:dyDescent="0.25">
      <c r="A1682" s="36">
        <v>99911680</v>
      </c>
      <c r="B1682" s="17" t="s">
        <v>32</v>
      </c>
      <c r="C1682" t="s">
        <v>117</v>
      </c>
      <c r="D1682" t="s">
        <v>118</v>
      </c>
      <c r="G1682" s="17" t="s">
        <v>35</v>
      </c>
      <c r="H1682" s="17">
        <v>1</v>
      </c>
      <c r="I1682" t="s">
        <v>883</v>
      </c>
      <c r="J1682" s="1">
        <v>43344</v>
      </c>
      <c r="K1682" t="s">
        <v>877</v>
      </c>
      <c r="L1682" t="s">
        <v>878</v>
      </c>
      <c r="M1682" t="s">
        <v>131</v>
      </c>
      <c r="N1682">
        <v>7</v>
      </c>
      <c r="O1682" t="s">
        <v>40</v>
      </c>
      <c r="S1682" t="s">
        <v>40</v>
      </c>
      <c r="U1682" s="1">
        <v>43344</v>
      </c>
      <c r="V1682" t="s">
        <v>41</v>
      </c>
      <c r="W1682" t="s">
        <v>75</v>
      </c>
      <c r="X1682" t="str">
        <f>"7541020"</f>
        <v>7541020</v>
      </c>
      <c r="Y1682" t="s">
        <v>882</v>
      </c>
      <c r="Z1682" t="s">
        <v>877</v>
      </c>
      <c r="AA1682" t="s">
        <v>878</v>
      </c>
      <c r="AB1682" t="s">
        <v>131</v>
      </c>
      <c r="AC1682" t="s">
        <v>51</v>
      </c>
      <c r="AD1682" t="s">
        <v>45</v>
      </c>
      <c r="AE1682" s="1">
        <v>29593</v>
      </c>
      <c r="AF1682">
        <v>1</v>
      </c>
      <c r="AG1682" t="s">
        <v>878</v>
      </c>
      <c r="AH1682" s="36">
        <f t="shared" si="26"/>
        <v>38.511111111111113</v>
      </c>
      <c r="AI1682" s="40" t="s">
        <v>1778</v>
      </c>
    </row>
    <row r="1683" spans="1:35" x14ac:dyDescent="0.25">
      <c r="A1683" s="36">
        <v>99911681</v>
      </c>
      <c r="B1683" s="17" t="s">
        <v>32</v>
      </c>
      <c r="C1683" t="s">
        <v>79</v>
      </c>
      <c r="D1683" t="s">
        <v>80</v>
      </c>
      <c r="G1683" s="17" t="s">
        <v>48</v>
      </c>
      <c r="H1683" s="17">
        <v>6</v>
      </c>
      <c r="I1683" t="s">
        <v>473</v>
      </c>
      <c r="J1683" s="1">
        <v>40422</v>
      </c>
      <c r="K1683" t="s">
        <v>195</v>
      </c>
      <c r="L1683" t="s">
        <v>196</v>
      </c>
      <c r="M1683" t="s">
        <v>131</v>
      </c>
      <c r="N1683">
        <v>23</v>
      </c>
      <c r="O1683" t="s">
        <v>40</v>
      </c>
      <c r="P1683" t="s">
        <v>40</v>
      </c>
      <c r="Q1683" t="s">
        <v>40</v>
      </c>
      <c r="R1683" t="s">
        <v>40</v>
      </c>
      <c r="S1683" t="s">
        <v>40</v>
      </c>
      <c r="U1683" s="1">
        <v>40422</v>
      </c>
      <c r="V1683" t="s">
        <v>41</v>
      </c>
      <c r="W1683" t="s">
        <v>75</v>
      </c>
      <c r="X1683" t="str">
        <f>"7521050"</f>
        <v>7521050</v>
      </c>
      <c r="Y1683" t="s">
        <v>194</v>
      </c>
      <c r="Z1683" t="s">
        <v>195</v>
      </c>
      <c r="AA1683" t="s">
        <v>196</v>
      </c>
      <c r="AB1683" t="s">
        <v>131</v>
      </c>
      <c r="AC1683" t="s">
        <v>51</v>
      </c>
      <c r="AD1683" t="s">
        <v>45</v>
      </c>
      <c r="AE1683" s="1">
        <v>29591</v>
      </c>
      <c r="AF1683">
        <v>1</v>
      </c>
      <c r="AG1683" t="s">
        <v>196</v>
      </c>
      <c r="AH1683" s="36">
        <f t="shared" si="26"/>
        <v>38.516666666666666</v>
      </c>
      <c r="AI1683" s="40" t="s">
        <v>1778</v>
      </c>
    </row>
    <row r="1684" spans="1:35" x14ac:dyDescent="0.25">
      <c r="A1684" s="36">
        <v>99911682</v>
      </c>
      <c r="B1684" s="17" t="s">
        <v>32</v>
      </c>
      <c r="C1684" t="s">
        <v>85</v>
      </c>
      <c r="D1684" t="s">
        <v>86</v>
      </c>
      <c r="G1684" s="17" t="s">
        <v>35</v>
      </c>
      <c r="H1684" s="17">
        <v>1</v>
      </c>
      <c r="I1684">
        <v>19020</v>
      </c>
      <c r="J1684" s="1">
        <v>43376</v>
      </c>
      <c r="K1684" t="s">
        <v>129</v>
      </c>
      <c r="L1684" t="s">
        <v>130</v>
      </c>
      <c r="M1684" t="s">
        <v>131</v>
      </c>
      <c r="N1684">
        <v>23</v>
      </c>
      <c r="O1684" t="s">
        <v>40</v>
      </c>
      <c r="P1684" t="s">
        <v>40</v>
      </c>
      <c r="Q1684" t="s">
        <v>40</v>
      </c>
      <c r="R1684" t="s">
        <v>40</v>
      </c>
      <c r="S1684" t="s">
        <v>40</v>
      </c>
      <c r="U1684" s="1">
        <v>43376</v>
      </c>
      <c r="V1684" t="s">
        <v>41</v>
      </c>
      <c r="W1684" t="s">
        <v>42</v>
      </c>
      <c r="X1684" t="str">
        <f>"0590905"</f>
        <v>0590905</v>
      </c>
      <c r="Y1684" t="s">
        <v>133</v>
      </c>
      <c r="Z1684" t="s">
        <v>129</v>
      </c>
      <c r="AA1684" t="s">
        <v>130</v>
      </c>
      <c r="AB1684" t="s">
        <v>131</v>
      </c>
      <c r="AC1684" t="s">
        <v>44</v>
      </c>
      <c r="AD1684" t="s">
        <v>45</v>
      </c>
      <c r="AE1684" s="1">
        <v>29587</v>
      </c>
      <c r="AF1684">
        <v>2</v>
      </c>
      <c r="AG1684" t="s">
        <v>130</v>
      </c>
      <c r="AH1684" s="36">
        <f t="shared" si="26"/>
        <v>38.527777777777779</v>
      </c>
      <c r="AI1684" s="40" t="s">
        <v>1778</v>
      </c>
    </row>
    <row r="1685" spans="1:35" x14ac:dyDescent="0.25">
      <c r="A1685" s="36">
        <v>99911683</v>
      </c>
      <c r="B1685" s="17" t="s">
        <v>32</v>
      </c>
      <c r="C1685" t="s">
        <v>61</v>
      </c>
      <c r="D1685" t="s">
        <v>62</v>
      </c>
      <c r="G1685" s="17" t="s">
        <v>35</v>
      </c>
      <c r="H1685" s="17">
        <v>1</v>
      </c>
      <c r="K1685" t="s">
        <v>157</v>
      </c>
      <c r="L1685" t="s">
        <v>158</v>
      </c>
      <c r="M1685" t="s">
        <v>131</v>
      </c>
      <c r="N1685">
        <v>26</v>
      </c>
      <c r="O1685" t="s">
        <v>40</v>
      </c>
      <c r="P1685" t="s">
        <v>40</v>
      </c>
      <c r="Q1685" t="s">
        <v>40</v>
      </c>
      <c r="R1685" t="s">
        <v>40</v>
      </c>
      <c r="S1685" t="s">
        <v>40</v>
      </c>
      <c r="V1685" t="s">
        <v>41</v>
      </c>
      <c r="W1685" t="s">
        <v>42</v>
      </c>
      <c r="X1685" t="str">
        <f>"0561005"</f>
        <v>0561005</v>
      </c>
      <c r="Y1685" t="s">
        <v>174</v>
      </c>
      <c r="Z1685" t="s">
        <v>157</v>
      </c>
      <c r="AA1685" t="s">
        <v>158</v>
      </c>
      <c r="AB1685" t="s">
        <v>131</v>
      </c>
      <c r="AC1685" t="s">
        <v>51</v>
      </c>
      <c r="AD1685" t="s">
        <v>45</v>
      </c>
      <c r="AE1685" s="1">
        <v>29587</v>
      </c>
      <c r="AF1685">
        <v>2</v>
      </c>
      <c r="AG1685" t="s">
        <v>158</v>
      </c>
      <c r="AH1685" s="36">
        <f t="shared" si="26"/>
        <v>38.527777777777779</v>
      </c>
      <c r="AI1685" s="40" t="s">
        <v>1778</v>
      </c>
    </row>
    <row r="1686" spans="1:35" x14ac:dyDescent="0.25">
      <c r="A1686" s="36">
        <v>99911684</v>
      </c>
      <c r="B1686" s="17" t="s">
        <v>32</v>
      </c>
      <c r="C1686" t="s">
        <v>71</v>
      </c>
      <c r="D1686" t="s">
        <v>72</v>
      </c>
      <c r="G1686" s="17" t="s">
        <v>35</v>
      </c>
      <c r="H1686" s="17">
        <v>1</v>
      </c>
      <c r="I1686">
        <v>19764</v>
      </c>
      <c r="J1686" s="1">
        <v>43433</v>
      </c>
      <c r="K1686" t="s">
        <v>157</v>
      </c>
      <c r="L1686" t="s">
        <v>158</v>
      </c>
      <c r="M1686" t="s">
        <v>131</v>
      </c>
      <c r="N1686">
        <v>15</v>
      </c>
      <c r="O1686" t="s">
        <v>40</v>
      </c>
      <c r="P1686" t="s">
        <v>40</v>
      </c>
      <c r="Q1686" t="s">
        <v>40</v>
      </c>
      <c r="R1686" t="s">
        <v>40</v>
      </c>
      <c r="S1686" t="s">
        <v>40</v>
      </c>
      <c r="U1686" s="1">
        <v>43433</v>
      </c>
      <c r="V1686" t="s">
        <v>41</v>
      </c>
      <c r="W1686" t="s">
        <v>49</v>
      </c>
      <c r="X1686" t="str">
        <f>"0580505"</f>
        <v>0580505</v>
      </c>
      <c r="Y1686" t="s">
        <v>168</v>
      </c>
      <c r="Z1686" t="s">
        <v>157</v>
      </c>
      <c r="AA1686" t="s">
        <v>158</v>
      </c>
      <c r="AB1686" t="s">
        <v>131</v>
      </c>
      <c r="AC1686" t="s">
        <v>44</v>
      </c>
      <c r="AD1686" t="s">
        <v>45</v>
      </c>
      <c r="AE1686" s="1">
        <v>29587</v>
      </c>
      <c r="AF1686">
        <v>2</v>
      </c>
      <c r="AG1686" t="s">
        <v>158</v>
      </c>
      <c r="AH1686" s="36">
        <f t="shared" si="26"/>
        <v>38.527777777777779</v>
      </c>
      <c r="AI1686" s="40" t="s">
        <v>1778</v>
      </c>
    </row>
    <row r="1687" spans="1:35" x14ac:dyDescent="0.25">
      <c r="A1687" s="36">
        <v>99911685</v>
      </c>
      <c r="B1687" s="17" t="s">
        <v>32</v>
      </c>
      <c r="C1687" t="s">
        <v>71</v>
      </c>
      <c r="D1687" t="s">
        <v>72</v>
      </c>
      <c r="G1687" s="17" t="s">
        <v>48</v>
      </c>
      <c r="H1687" s="17">
        <v>1</v>
      </c>
      <c r="K1687" t="s">
        <v>157</v>
      </c>
      <c r="L1687" t="s">
        <v>158</v>
      </c>
      <c r="M1687" t="s">
        <v>131</v>
      </c>
      <c r="N1687">
        <v>6</v>
      </c>
      <c r="O1687" t="s">
        <v>40</v>
      </c>
      <c r="P1687" t="s">
        <v>40</v>
      </c>
      <c r="Q1687" t="s">
        <v>40</v>
      </c>
      <c r="R1687" t="s">
        <v>40</v>
      </c>
      <c r="S1687" t="s">
        <v>40</v>
      </c>
      <c r="V1687" t="s">
        <v>41</v>
      </c>
      <c r="W1687" t="s">
        <v>49</v>
      </c>
      <c r="X1687" t="str">
        <f>"0560019"</f>
        <v>0560019</v>
      </c>
      <c r="Y1687" t="s">
        <v>166</v>
      </c>
      <c r="Z1687" t="s">
        <v>157</v>
      </c>
      <c r="AA1687" t="s">
        <v>158</v>
      </c>
      <c r="AB1687" t="s">
        <v>131</v>
      </c>
      <c r="AC1687" t="s">
        <v>51</v>
      </c>
      <c r="AD1687" t="s">
        <v>45</v>
      </c>
      <c r="AE1687" s="1">
        <v>29587</v>
      </c>
      <c r="AF1687">
        <v>2</v>
      </c>
      <c r="AG1687" t="s">
        <v>158</v>
      </c>
      <c r="AH1687" s="36">
        <f t="shared" si="26"/>
        <v>38.527777777777779</v>
      </c>
      <c r="AI1687" s="40" t="s">
        <v>1778</v>
      </c>
    </row>
    <row r="1688" spans="1:35" x14ac:dyDescent="0.25">
      <c r="A1688" s="36">
        <v>99911686</v>
      </c>
      <c r="B1688" s="17" t="s">
        <v>32</v>
      </c>
      <c r="C1688" t="s">
        <v>46</v>
      </c>
      <c r="D1688" t="s">
        <v>47</v>
      </c>
      <c r="G1688" s="17" t="s">
        <v>48</v>
      </c>
      <c r="H1688" s="17">
        <v>1</v>
      </c>
      <c r="K1688" t="s">
        <v>300</v>
      </c>
      <c r="L1688" t="s">
        <v>301</v>
      </c>
      <c r="M1688" t="s">
        <v>131</v>
      </c>
      <c r="N1688">
        <v>21</v>
      </c>
      <c r="O1688" t="s">
        <v>40</v>
      </c>
      <c r="P1688" t="s">
        <v>40</v>
      </c>
      <c r="Q1688" t="s">
        <v>40</v>
      </c>
      <c r="R1688" t="s">
        <v>40</v>
      </c>
      <c r="S1688" t="s">
        <v>40</v>
      </c>
      <c r="V1688" t="s">
        <v>41</v>
      </c>
      <c r="W1688" t="s">
        <v>49</v>
      </c>
      <c r="X1688" t="str">
        <f>"0560022"</f>
        <v>0560022</v>
      </c>
      <c r="Y1688" t="s">
        <v>314</v>
      </c>
      <c r="Z1688" t="s">
        <v>300</v>
      </c>
      <c r="AA1688" t="s">
        <v>301</v>
      </c>
      <c r="AB1688" t="s">
        <v>131</v>
      </c>
      <c r="AC1688" t="s">
        <v>51</v>
      </c>
      <c r="AD1688" t="s">
        <v>45</v>
      </c>
      <c r="AE1688" s="1">
        <v>29587</v>
      </c>
      <c r="AF1688">
        <v>2</v>
      </c>
      <c r="AG1688" t="s">
        <v>301</v>
      </c>
      <c r="AH1688" s="36">
        <f t="shared" si="26"/>
        <v>38.527777777777779</v>
      </c>
      <c r="AI1688" s="40" t="s">
        <v>1778</v>
      </c>
    </row>
    <row r="1689" spans="1:35" x14ac:dyDescent="0.25">
      <c r="A1689" s="36">
        <v>99911687</v>
      </c>
      <c r="B1689" s="17" t="s">
        <v>32</v>
      </c>
      <c r="C1689" t="s">
        <v>71</v>
      </c>
      <c r="D1689" t="s">
        <v>72</v>
      </c>
      <c r="G1689" s="17" t="s">
        <v>35</v>
      </c>
      <c r="H1689" s="17">
        <v>1</v>
      </c>
      <c r="I1689" t="s">
        <v>334</v>
      </c>
      <c r="J1689" s="1">
        <v>43392</v>
      </c>
      <c r="K1689" t="s">
        <v>300</v>
      </c>
      <c r="L1689" t="s">
        <v>301</v>
      </c>
      <c r="M1689" t="s">
        <v>131</v>
      </c>
      <c r="N1689">
        <v>8</v>
      </c>
      <c r="O1689" t="s">
        <v>40</v>
      </c>
      <c r="P1689" t="s">
        <v>40</v>
      </c>
      <c r="Q1689" t="s">
        <v>40</v>
      </c>
      <c r="R1689" t="s">
        <v>40</v>
      </c>
      <c r="S1689" t="s">
        <v>40</v>
      </c>
      <c r="U1689" s="1">
        <v>43392</v>
      </c>
      <c r="V1689" t="s">
        <v>41</v>
      </c>
      <c r="W1689" t="s">
        <v>49</v>
      </c>
      <c r="X1689" t="str">
        <f>"0560020"</f>
        <v>0560020</v>
      </c>
      <c r="Y1689" t="s">
        <v>302</v>
      </c>
      <c r="Z1689" t="s">
        <v>300</v>
      </c>
      <c r="AA1689" t="s">
        <v>301</v>
      </c>
      <c r="AB1689" t="s">
        <v>131</v>
      </c>
      <c r="AC1689" t="s">
        <v>51</v>
      </c>
      <c r="AD1689" t="s">
        <v>45</v>
      </c>
      <c r="AE1689" s="1">
        <v>29587</v>
      </c>
      <c r="AF1689">
        <v>2</v>
      </c>
      <c r="AG1689" t="s">
        <v>301</v>
      </c>
      <c r="AH1689" s="36">
        <f t="shared" si="26"/>
        <v>38.527777777777779</v>
      </c>
      <c r="AI1689" s="40" t="s">
        <v>1778</v>
      </c>
    </row>
    <row r="1690" spans="1:35" x14ac:dyDescent="0.25">
      <c r="A1690" s="36">
        <v>99911688</v>
      </c>
      <c r="B1690" s="17" t="s">
        <v>32</v>
      </c>
      <c r="C1690" t="s">
        <v>139</v>
      </c>
      <c r="D1690" t="s">
        <v>140</v>
      </c>
      <c r="G1690" s="17" t="s">
        <v>35</v>
      </c>
      <c r="H1690" s="17">
        <v>4</v>
      </c>
      <c r="I1690">
        <v>23648</v>
      </c>
      <c r="J1690" s="1">
        <v>42716</v>
      </c>
      <c r="K1690" t="s">
        <v>345</v>
      </c>
      <c r="L1690" t="s">
        <v>346</v>
      </c>
      <c r="M1690" t="s">
        <v>131</v>
      </c>
      <c r="N1690">
        <v>23</v>
      </c>
      <c r="O1690" t="s">
        <v>40</v>
      </c>
      <c r="P1690" t="s">
        <v>40</v>
      </c>
      <c r="Q1690" t="s">
        <v>40</v>
      </c>
      <c r="R1690" t="s">
        <v>40</v>
      </c>
      <c r="S1690" t="s">
        <v>40</v>
      </c>
      <c r="U1690" s="1">
        <v>42716</v>
      </c>
      <c r="V1690" t="s">
        <v>41</v>
      </c>
      <c r="W1690" t="s">
        <v>42</v>
      </c>
      <c r="X1690" t="str">
        <f>"0590906"</f>
        <v>0590906</v>
      </c>
      <c r="Y1690" t="s">
        <v>361</v>
      </c>
      <c r="Z1690" t="s">
        <v>345</v>
      </c>
      <c r="AA1690" t="s">
        <v>346</v>
      </c>
      <c r="AB1690" t="s">
        <v>131</v>
      </c>
      <c r="AC1690" t="s">
        <v>51</v>
      </c>
      <c r="AD1690" t="s">
        <v>45</v>
      </c>
      <c r="AE1690" s="1">
        <v>29587</v>
      </c>
      <c r="AF1690">
        <v>2</v>
      </c>
      <c r="AG1690" t="s">
        <v>346</v>
      </c>
      <c r="AH1690" s="36">
        <f t="shared" si="26"/>
        <v>38.527777777777779</v>
      </c>
      <c r="AI1690" s="40" t="s">
        <v>1778</v>
      </c>
    </row>
    <row r="1691" spans="1:35" x14ac:dyDescent="0.25">
      <c r="A1691" s="36">
        <v>99911689</v>
      </c>
      <c r="B1691" s="17" t="s">
        <v>32</v>
      </c>
      <c r="C1691" t="s">
        <v>143</v>
      </c>
      <c r="D1691" t="s">
        <v>144</v>
      </c>
      <c r="G1691" s="17" t="s">
        <v>48</v>
      </c>
      <c r="H1691" s="17">
        <v>5</v>
      </c>
      <c r="K1691" t="s">
        <v>195</v>
      </c>
      <c r="L1691" t="s">
        <v>196</v>
      </c>
      <c r="M1691" t="s">
        <v>131</v>
      </c>
      <c r="N1691">
        <v>23</v>
      </c>
      <c r="O1691" t="s">
        <v>40</v>
      </c>
      <c r="P1691" t="s">
        <v>40</v>
      </c>
      <c r="Q1691" t="s">
        <v>40</v>
      </c>
      <c r="R1691" t="s">
        <v>40</v>
      </c>
      <c r="S1691" t="s">
        <v>40</v>
      </c>
      <c r="U1691" s="1">
        <v>40422</v>
      </c>
      <c r="V1691" t="s">
        <v>41</v>
      </c>
      <c r="W1691" t="s">
        <v>75</v>
      </c>
      <c r="X1691" t="str">
        <f>"7521042"</f>
        <v>7521042</v>
      </c>
      <c r="Y1691" t="s">
        <v>440</v>
      </c>
      <c r="Z1691" t="s">
        <v>195</v>
      </c>
      <c r="AA1691" t="s">
        <v>196</v>
      </c>
      <c r="AB1691" t="s">
        <v>131</v>
      </c>
      <c r="AC1691" t="s">
        <v>51</v>
      </c>
      <c r="AD1691" t="s">
        <v>45</v>
      </c>
      <c r="AE1691" s="1">
        <v>29587</v>
      </c>
      <c r="AF1691">
        <v>1</v>
      </c>
      <c r="AG1691" t="s">
        <v>196</v>
      </c>
      <c r="AH1691" s="36">
        <f t="shared" si="26"/>
        <v>38.527777777777779</v>
      </c>
      <c r="AI1691" s="40" t="s">
        <v>1778</v>
      </c>
    </row>
    <row r="1692" spans="1:35" x14ac:dyDescent="0.25">
      <c r="A1692" s="36">
        <v>99911690</v>
      </c>
      <c r="B1692" s="17" t="s">
        <v>32</v>
      </c>
      <c r="C1692" t="s">
        <v>136</v>
      </c>
      <c r="D1692" t="s">
        <v>137</v>
      </c>
      <c r="G1692" s="17" t="s">
        <v>35</v>
      </c>
      <c r="H1692" s="17">
        <v>1</v>
      </c>
      <c r="K1692" t="s">
        <v>431</v>
      </c>
      <c r="L1692" t="s">
        <v>196</v>
      </c>
      <c r="M1692" t="s">
        <v>131</v>
      </c>
      <c r="N1692">
        <v>11</v>
      </c>
      <c r="O1692" t="s">
        <v>40</v>
      </c>
      <c r="P1692" t="s">
        <v>40</v>
      </c>
      <c r="Q1692" t="s">
        <v>40</v>
      </c>
      <c r="R1692" t="s">
        <v>40</v>
      </c>
      <c r="S1692" t="s">
        <v>40</v>
      </c>
      <c r="V1692" t="s">
        <v>41</v>
      </c>
      <c r="W1692" t="s">
        <v>75</v>
      </c>
      <c r="X1692" t="str">
        <f>"7521032"</f>
        <v>7521032</v>
      </c>
      <c r="Y1692" t="s">
        <v>462</v>
      </c>
      <c r="Z1692" t="s">
        <v>431</v>
      </c>
      <c r="AA1692" t="s">
        <v>196</v>
      </c>
      <c r="AB1692" t="s">
        <v>131</v>
      </c>
      <c r="AC1692" t="s">
        <v>51</v>
      </c>
      <c r="AD1692" t="s">
        <v>45</v>
      </c>
      <c r="AE1692" s="1">
        <v>29587</v>
      </c>
      <c r="AF1692">
        <v>1</v>
      </c>
      <c r="AG1692" t="s">
        <v>196</v>
      </c>
      <c r="AH1692" s="36">
        <f t="shared" si="26"/>
        <v>38.527777777777779</v>
      </c>
      <c r="AI1692" s="40" t="s">
        <v>1778</v>
      </c>
    </row>
    <row r="1693" spans="1:35" x14ac:dyDescent="0.25">
      <c r="A1693" s="36">
        <v>99911691</v>
      </c>
      <c r="B1693" s="17" t="s">
        <v>32</v>
      </c>
      <c r="C1693" t="s">
        <v>46</v>
      </c>
      <c r="D1693" t="s">
        <v>47</v>
      </c>
      <c r="E1693" t="s">
        <v>111</v>
      </c>
      <c r="F1693" t="s">
        <v>112</v>
      </c>
      <c r="G1693" s="17" t="s">
        <v>35</v>
      </c>
      <c r="H1693" s="17">
        <v>1</v>
      </c>
      <c r="K1693" t="s">
        <v>268</v>
      </c>
      <c r="L1693" t="s">
        <v>269</v>
      </c>
      <c r="M1693" t="s">
        <v>131</v>
      </c>
      <c r="N1693">
        <v>23</v>
      </c>
      <c r="O1693" t="s">
        <v>40</v>
      </c>
      <c r="P1693" t="s">
        <v>40</v>
      </c>
      <c r="Q1693" t="s">
        <v>40</v>
      </c>
      <c r="R1693" t="s">
        <v>40</v>
      </c>
      <c r="S1693" t="s">
        <v>40</v>
      </c>
      <c r="V1693" t="s">
        <v>41</v>
      </c>
      <c r="W1693" t="s">
        <v>75</v>
      </c>
      <c r="X1693" t="str">
        <f>"7052028"</f>
        <v>7052028</v>
      </c>
      <c r="Y1693" t="s">
        <v>601</v>
      </c>
      <c r="Z1693" t="s">
        <v>268</v>
      </c>
      <c r="AA1693" t="s">
        <v>269</v>
      </c>
      <c r="AB1693" t="s">
        <v>131</v>
      </c>
      <c r="AC1693" t="s">
        <v>51</v>
      </c>
      <c r="AD1693" t="s">
        <v>45</v>
      </c>
      <c r="AE1693" s="1">
        <v>29587</v>
      </c>
      <c r="AF1693">
        <v>1</v>
      </c>
      <c r="AG1693" t="s">
        <v>269</v>
      </c>
      <c r="AH1693" s="36">
        <f t="shared" si="26"/>
        <v>38.527777777777779</v>
      </c>
      <c r="AI1693" s="40" t="s">
        <v>1778</v>
      </c>
    </row>
    <row r="1694" spans="1:35" x14ac:dyDescent="0.25">
      <c r="A1694" s="36">
        <v>99911692</v>
      </c>
      <c r="B1694" s="17" t="s">
        <v>32</v>
      </c>
      <c r="C1694" t="s">
        <v>79</v>
      </c>
      <c r="D1694" t="s">
        <v>80</v>
      </c>
      <c r="G1694" s="17" t="s">
        <v>35</v>
      </c>
      <c r="H1694" s="17">
        <v>1</v>
      </c>
      <c r="I1694" t="s">
        <v>684</v>
      </c>
      <c r="J1694" s="1">
        <v>43344</v>
      </c>
      <c r="K1694" t="s">
        <v>268</v>
      </c>
      <c r="L1694" t="s">
        <v>269</v>
      </c>
      <c r="M1694" t="s">
        <v>131</v>
      </c>
      <c r="N1694">
        <v>23</v>
      </c>
      <c r="O1694" t="s">
        <v>40</v>
      </c>
      <c r="S1694" t="s">
        <v>40</v>
      </c>
      <c r="U1694" s="1">
        <v>43344</v>
      </c>
      <c r="V1694" t="s">
        <v>41</v>
      </c>
      <c r="W1694" t="s">
        <v>75</v>
      </c>
      <c r="X1694" t="str">
        <f>"7052020"</f>
        <v>7052020</v>
      </c>
      <c r="Y1694" t="s">
        <v>267</v>
      </c>
      <c r="Z1694" t="s">
        <v>268</v>
      </c>
      <c r="AA1694" t="s">
        <v>269</v>
      </c>
      <c r="AB1694" t="s">
        <v>131</v>
      </c>
      <c r="AC1694" t="s">
        <v>51</v>
      </c>
      <c r="AD1694" t="s">
        <v>45</v>
      </c>
      <c r="AE1694" s="1">
        <v>29587</v>
      </c>
      <c r="AF1694">
        <v>1</v>
      </c>
      <c r="AG1694" t="s">
        <v>269</v>
      </c>
      <c r="AH1694" s="36">
        <f t="shared" si="26"/>
        <v>38.527777777777779</v>
      </c>
      <c r="AI1694" s="40" t="s">
        <v>1778</v>
      </c>
    </row>
    <row r="1695" spans="1:35" x14ac:dyDescent="0.25">
      <c r="A1695" s="36">
        <v>99911693</v>
      </c>
      <c r="B1695" s="17" t="s">
        <v>32</v>
      </c>
      <c r="C1695" t="s">
        <v>64</v>
      </c>
      <c r="D1695" t="s">
        <v>65</v>
      </c>
      <c r="G1695" s="17" t="s">
        <v>35</v>
      </c>
      <c r="H1695" s="17">
        <v>1</v>
      </c>
      <c r="K1695" t="s">
        <v>354</v>
      </c>
      <c r="L1695" t="s">
        <v>355</v>
      </c>
      <c r="M1695" t="s">
        <v>131</v>
      </c>
      <c r="N1695">
        <v>23</v>
      </c>
      <c r="O1695" t="s">
        <v>40</v>
      </c>
      <c r="P1695" t="s">
        <v>40</v>
      </c>
      <c r="Q1695" t="s">
        <v>40</v>
      </c>
      <c r="R1695" t="s">
        <v>40</v>
      </c>
      <c r="S1695" t="s">
        <v>40</v>
      </c>
      <c r="V1695" t="s">
        <v>41</v>
      </c>
      <c r="W1695" t="s">
        <v>75</v>
      </c>
      <c r="X1695" t="str">
        <f>"7054020"</f>
        <v>7054020</v>
      </c>
      <c r="Y1695" t="s">
        <v>765</v>
      </c>
      <c r="Z1695" t="s">
        <v>354</v>
      </c>
      <c r="AA1695" t="s">
        <v>355</v>
      </c>
      <c r="AB1695" t="s">
        <v>131</v>
      </c>
      <c r="AC1695" t="s">
        <v>51</v>
      </c>
      <c r="AD1695" t="s">
        <v>45</v>
      </c>
      <c r="AE1695" s="1">
        <v>29587</v>
      </c>
      <c r="AF1695">
        <v>1</v>
      </c>
      <c r="AG1695" t="s">
        <v>355</v>
      </c>
      <c r="AH1695" s="36">
        <f t="shared" si="26"/>
        <v>38.527777777777779</v>
      </c>
      <c r="AI1695" s="40" t="s">
        <v>1778</v>
      </c>
    </row>
    <row r="1696" spans="1:35" x14ac:dyDescent="0.25">
      <c r="A1696" s="36">
        <v>99911694</v>
      </c>
      <c r="B1696" s="17" t="s">
        <v>32</v>
      </c>
      <c r="C1696" t="s">
        <v>71</v>
      </c>
      <c r="D1696" t="s">
        <v>72</v>
      </c>
      <c r="G1696" s="17" t="s">
        <v>35</v>
      </c>
      <c r="H1696" s="17">
        <v>1</v>
      </c>
      <c r="I1696" t="s">
        <v>837</v>
      </c>
      <c r="J1696" s="1">
        <v>43344</v>
      </c>
      <c r="K1696" t="s">
        <v>354</v>
      </c>
      <c r="L1696" t="s">
        <v>355</v>
      </c>
      <c r="M1696" t="s">
        <v>131</v>
      </c>
      <c r="N1696">
        <v>6</v>
      </c>
      <c r="O1696" t="s">
        <v>40</v>
      </c>
      <c r="P1696" t="s">
        <v>40</v>
      </c>
      <c r="Q1696" t="s">
        <v>40</v>
      </c>
      <c r="R1696" t="s">
        <v>40</v>
      </c>
      <c r="S1696" t="s">
        <v>40</v>
      </c>
      <c r="U1696" s="1">
        <v>43344</v>
      </c>
      <c r="V1696" t="s">
        <v>41</v>
      </c>
      <c r="W1696" t="s">
        <v>75</v>
      </c>
      <c r="X1696" t="str">
        <f>"7054016"</f>
        <v>7054016</v>
      </c>
      <c r="Y1696" t="s">
        <v>768</v>
      </c>
      <c r="Z1696" t="s">
        <v>354</v>
      </c>
      <c r="AA1696" t="s">
        <v>355</v>
      </c>
      <c r="AB1696" t="s">
        <v>131</v>
      </c>
      <c r="AC1696" t="s">
        <v>51</v>
      </c>
      <c r="AD1696" t="s">
        <v>45</v>
      </c>
      <c r="AE1696" s="1">
        <v>29587</v>
      </c>
      <c r="AF1696">
        <v>1</v>
      </c>
      <c r="AG1696" t="s">
        <v>355</v>
      </c>
      <c r="AH1696" s="36">
        <f t="shared" si="26"/>
        <v>38.527777777777779</v>
      </c>
      <c r="AI1696" s="40" t="s">
        <v>1778</v>
      </c>
    </row>
    <row r="1697" spans="1:35" x14ac:dyDescent="0.25">
      <c r="A1697" s="36">
        <v>99911695</v>
      </c>
      <c r="B1697" s="17" t="s">
        <v>32</v>
      </c>
      <c r="C1697" t="s">
        <v>61</v>
      </c>
      <c r="D1697" t="s">
        <v>62</v>
      </c>
      <c r="G1697" s="17" t="s">
        <v>35</v>
      </c>
      <c r="H1697" s="17">
        <v>1</v>
      </c>
      <c r="I1697" t="s">
        <v>497</v>
      </c>
      <c r="J1697" s="1">
        <v>42331</v>
      </c>
      <c r="K1697" t="s">
        <v>354</v>
      </c>
      <c r="L1697" t="s">
        <v>355</v>
      </c>
      <c r="M1697" t="s">
        <v>131</v>
      </c>
      <c r="N1697">
        <v>24</v>
      </c>
      <c r="O1697" t="s">
        <v>40</v>
      </c>
      <c r="P1697" t="s">
        <v>40</v>
      </c>
      <c r="Q1697" t="s">
        <v>40</v>
      </c>
      <c r="R1697" t="s">
        <v>40</v>
      </c>
      <c r="S1697" t="s">
        <v>40</v>
      </c>
      <c r="U1697" s="1">
        <v>42331</v>
      </c>
      <c r="V1697" t="s">
        <v>41</v>
      </c>
      <c r="W1697" t="s">
        <v>75</v>
      </c>
      <c r="X1697" t="str">
        <f>"7054020"</f>
        <v>7054020</v>
      </c>
      <c r="Y1697" t="s">
        <v>765</v>
      </c>
      <c r="Z1697" t="s">
        <v>354</v>
      </c>
      <c r="AA1697" t="s">
        <v>355</v>
      </c>
      <c r="AB1697" t="s">
        <v>131</v>
      </c>
      <c r="AC1697" t="s">
        <v>51</v>
      </c>
      <c r="AD1697" t="s">
        <v>45</v>
      </c>
      <c r="AE1697" s="1">
        <v>29587</v>
      </c>
      <c r="AF1697">
        <v>1</v>
      </c>
      <c r="AG1697" t="s">
        <v>355</v>
      </c>
      <c r="AH1697" s="36">
        <f t="shared" si="26"/>
        <v>38.527777777777779</v>
      </c>
      <c r="AI1697" s="40" t="s">
        <v>1778</v>
      </c>
    </row>
    <row r="1698" spans="1:35" x14ac:dyDescent="0.25">
      <c r="A1698" s="36">
        <v>99911696</v>
      </c>
      <c r="B1698" s="17" t="s">
        <v>32</v>
      </c>
      <c r="C1698" t="s">
        <v>64</v>
      </c>
      <c r="D1698" t="s">
        <v>65</v>
      </c>
      <c r="G1698" s="17" t="s">
        <v>35</v>
      </c>
      <c r="H1698" s="17">
        <v>1</v>
      </c>
      <c r="I1698">
        <v>10934</v>
      </c>
      <c r="J1698" s="1">
        <v>43344</v>
      </c>
      <c r="K1698" t="s">
        <v>354</v>
      </c>
      <c r="L1698" t="s">
        <v>355</v>
      </c>
      <c r="M1698" t="s">
        <v>131</v>
      </c>
      <c r="N1698">
        <v>24</v>
      </c>
      <c r="O1698" t="s">
        <v>40</v>
      </c>
      <c r="P1698" t="s">
        <v>40</v>
      </c>
      <c r="Q1698" t="s">
        <v>40</v>
      </c>
      <c r="R1698" t="s">
        <v>40</v>
      </c>
      <c r="S1698" t="s">
        <v>40</v>
      </c>
      <c r="U1698" s="1">
        <v>43344</v>
      </c>
      <c r="V1698" t="s">
        <v>41</v>
      </c>
      <c r="W1698" t="s">
        <v>75</v>
      </c>
      <c r="X1698" t="str">
        <f>"7054032"</f>
        <v>7054032</v>
      </c>
      <c r="Y1698" t="s">
        <v>767</v>
      </c>
      <c r="Z1698" t="s">
        <v>354</v>
      </c>
      <c r="AA1698" t="s">
        <v>355</v>
      </c>
      <c r="AB1698" t="s">
        <v>131</v>
      </c>
      <c r="AC1698" t="s">
        <v>51</v>
      </c>
      <c r="AD1698" t="s">
        <v>45</v>
      </c>
      <c r="AE1698" s="1">
        <v>29587</v>
      </c>
      <c r="AF1698">
        <v>1</v>
      </c>
      <c r="AG1698" t="s">
        <v>355</v>
      </c>
      <c r="AH1698" s="36">
        <f t="shared" si="26"/>
        <v>38.527777777777779</v>
      </c>
      <c r="AI1698" s="40" t="s">
        <v>1778</v>
      </c>
    </row>
    <row r="1699" spans="1:35" x14ac:dyDescent="0.25">
      <c r="A1699" s="36">
        <v>99911697</v>
      </c>
      <c r="B1699" s="17" t="s">
        <v>32</v>
      </c>
      <c r="C1699" t="s">
        <v>90</v>
      </c>
      <c r="D1699" t="s">
        <v>91</v>
      </c>
      <c r="G1699" s="17" t="s">
        <v>35</v>
      </c>
      <c r="H1699" s="17">
        <v>1</v>
      </c>
      <c r="I1699" t="s">
        <v>893</v>
      </c>
      <c r="J1699" s="1">
        <v>43390</v>
      </c>
      <c r="K1699" t="s">
        <v>877</v>
      </c>
      <c r="L1699" t="s">
        <v>878</v>
      </c>
      <c r="M1699" t="s">
        <v>131</v>
      </c>
      <c r="N1699">
        <v>24</v>
      </c>
      <c r="O1699" t="s">
        <v>40</v>
      </c>
      <c r="P1699" t="s">
        <v>40</v>
      </c>
      <c r="Q1699" t="s">
        <v>40</v>
      </c>
      <c r="R1699" t="s">
        <v>40</v>
      </c>
      <c r="S1699" t="s">
        <v>40</v>
      </c>
      <c r="U1699" s="1">
        <v>43390</v>
      </c>
      <c r="V1699" t="s">
        <v>41</v>
      </c>
      <c r="W1699" t="s">
        <v>75</v>
      </c>
      <c r="X1699" t="str">
        <f>"7541020"</f>
        <v>7541020</v>
      </c>
      <c r="Y1699" t="s">
        <v>882</v>
      </c>
      <c r="Z1699" t="s">
        <v>877</v>
      </c>
      <c r="AA1699" t="s">
        <v>878</v>
      </c>
      <c r="AB1699" t="s">
        <v>131</v>
      </c>
      <c r="AC1699" t="s">
        <v>44</v>
      </c>
      <c r="AD1699" t="s">
        <v>45</v>
      </c>
      <c r="AE1699" s="1">
        <v>29587</v>
      </c>
      <c r="AF1699">
        <v>1</v>
      </c>
      <c r="AG1699" t="s">
        <v>878</v>
      </c>
      <c r="AH1699" s="36">
        <f t="shared" si="26"/>
        <v>38.527777777777779</v>
      </c>
      <c r="AI1699" s="40" t="s">
        <v>1778</v>
      </c>
    </row>
    <row r="1700" spans="1:35" x14ac:dyDescent="0.25">
      <c r="A1700" s="36">
        <v>99911698</v>
      </c>
      <c r="B1700" s="17" t="s">
        <v>32</v>
      </c>
      <c r="C1700" t="s">
        <v>68</v>
      </c>
      <c r="D1700" t="s">
        <v>69</v>
      </c>
      <c r="G1700" s="17" t="s">
        <v>48</v>
      </c>
      <c r="H1700" s="17">
        <v>1</v>
      </c>
      <c r="K1700" t="s">
        <v>936</v>
      </c>
      <c r="L1700" t="s">
        <v>937</v>
      </c>
      <c r="M1700" t="s">
        <v>938</v>
      </c>
      <c r="N1700">
        <v>16</v>
      </c>
      <c r="O1700" t="s">
        <v>40</v>
      </c>
      <c r="P1700" t="s">
        <v>40</v>
      </c>
      <c r="Q1700" t="s">
        <v>40</v>
      </c>
      <c r="R1700" t="s">
        <v>40</v>
      </c>
      <c r="S1700" t="s">
        <v>40</v>
      </c>
      <c r="V1700" t="s">
        <v>41</v>
      </c>
      <c r="W1700" t="s">
        <v>42</v>
      </c>
      <c r="X1700" t="str">
        <f>"0161003"</f>
        <v>0161003</v>
      </c>
      <c r="Y1700" t="s">
        <v>942</v>
      </c>
      <c r="Z1700" t="s">
        <v>936</v>
      </c>
      <c r="AA1700" t="s">
        <v>937</v>
      </c>
      <c r="AB1700" t="s">
        <v>938</v>
      </c>
      <c r="AC1700" t="s">
        <v>51</v>
      </c>
      <c r="AD1700" t="s">
        <v>45</v>
      </c>
      <c r="AE1700" s="1">
        <v>29587</v>
      </c>
      <c r="AF1700">
        <v>2</v>
      </c>
      <c r="AG1700" t="s">
        <v>937</v>
      </c>
      <c r="AH1700" s="36">
        <f t="shared" si="26"/>
        <v>38.527777777777779</v>
      </c>
      <c r="AI1700" s="40" t="s">
        <v>1778</v>
      </c>
    </row>
    <row r="1701" spans="1:35" x14ac:dyDescent="0.25">
      <c r="A1701" s="36">
        <v>99911699</v>
      </c>
      <c r="B1701" s="17" t="s">
        <v>32</v>
      </c>
      <c r="G1701" s="17" t="s">
        <v>35</v>
      </c>
      <c r="H1701" s="17">
        <v>1</v>
      </c>
      <c r="I1701" t="s">
        <v>1004</v>
      </c>
      <c r="J1701" s="1">
        <v>43344</v>
      </c>
      <c r="K1701" t="s">
        <v>963</v>
      </c>
      <c r="L1701" t="s">
        <v>964</v>
      </c>
      <c r="M1701" t="s">
        <v>938</v>
      </c>
      <c r="N1701">
        <v>24</v>
      </c>
      <c r="O1701" t="s">
        <v>40</v>
      </c>
      <c r="P1701" t="s">
        <v>40</v>
      </c>
      <c r="Q1701" t="s">
        <v>40</v>
      </c>
      <c r="R1701" t="s">
        <v>40</v>
      </c>
      <c r="S1701" t="s">
        <v>40</v>
      </c>
      <c r="U1701" s="1">
        <v>43344</v>
      </c>
      <c r="X1701" t="str">
        <f>""</f>
        <v/>
      </c>
      <c r="AA1701" t="s">
        <v>964</v>
      </c>
      <c r="AB1701" t="s">
        <v>938</v>
      </c>
      <c r="AC1701" t="s">
        <v>51</v>
      </c>
      <c r="AD1701" t="s">
        <v>45</v>
      </c>
      <c r="AE1701" s="1">
        <v>29587</v>
      </c>
      <c r="AF1701">
        <v>1</v>
      </c>
      <c r="AG1701" t="s">
        <v>964</v>
      </c>
      <c r="AH1701" s="36">
        <f t="shared" si="26"/>
        <v>38.527777777777779</v>
      </c>
      <c r="AI1701" s="40" t="s">
        <v>1778</v>
      </c>
    </row>
    <row r="1702" spans="1:35" x14ac:dyDescent="0.25">
      <c r="A1702" s="36">
        <v>99911700</v>
      </c>
      <c r="B1702" s="17" t="s">
        <v>56</v>
      </c>
      <c r="C1702" t="s">
        <v>61</v>
      </c>
      <c r="D1702" t="s">
        <v>62</v>
      </c>
      <c r="G1702" s="17" t="s">
        <v>35</v>
      </c>
      <c r="H1702" s="17">
        <v>1</v>
      </c>
      <c r="K1702" t="s">
        <v>1128</v>
      </c>
      <c r="L1702" t="s">
        <v>1129</v>
      </c>
      <c r="M1702" t="s">
        <v>1130</v>
      </c>
      <c r="N1702">
        <v>21</v>
      </c>
      <c r="O1702" t="s">
        <v>40</v>
      </c>
      <c r="P1702" t="s">
        <v>40</v>
      </c>
      <c r="Q1702" t="s">
        <v>40</v>
      </c>
      <c r="R1702" t="s">
        <v>40</v>
      </c>
      <c r="S1702" t="s">
        <v>40</v>
      </c>
      <c r="V1702" t="s">
        <v>41</v>
      </c>
      <c r="W1702" t="s">
        <v>42</v>
      </c>
      <c r="X1702" t="str">
        <f>"3180010"</f>
        <v>3180010</v>
      </c>
      <c r="Y1702" t="s">
        <v>1132</v>
      </c>
      <c r="Z1702" t="s">
        <v>1128</v>
      </c>
      <c r="AA1702" t="s">
        <v>1129</v>
      </c>
      <c r="AB1702" t="s">
        <v>1130</v>
      </c>
      <c r="AC1702" t="s">
        <v>51</v>
      </c>
      <c r="AD1702" t="s">
        <v>45</v>
      </c>
      <c r="AE1702" s="1">
        <v>29587</v>
      </c>
      <c r="AF1702">
        <v>2</v>
      </c>
      <c r="AG1702" t="s">
        <v>1129</v>
      </c>
      <c r="AH1702" s="36">
        <f t="shared" si="26"/>
        <v>38.527777777777779</v>
      </c>
      <c r="AI1702" s="40" t="s">
        <v>1778</v>
      </c>
    </row>
    <row r="1703" spans="1:35" x14ac:dyDescent="0.25">
      <c r="A1703" s="36">
        <v>99911701</v>
      </c>
      <c r="B1703" s="17" t="s">
        <v>32</v>
      </c>
      <c r="C1703" t="s">
        <v>82</v>
      </c>
      <c r="D1703" t="s">
        <v>83</v>
      </c>
      <c r="G1703" s="17" t="s">
        <v>35</v>
      </c>
      <c r="H1703" s="17">
        <v>1</v>
      </c>
      <c r="K1703" t="s">
        <v>1187</v>
      </c>
      <c r="L1703" t="s">
        <v>1188</v>
      </c>
      <c r="M1703" t="s">
        <v>1130</v>
      </c>
      <c r="N1703">
        <v>12</v>
      </c>
      <c r="O1703" t="s">
        <v>40</v>
      </c>
      <c r="P1703" t="s">
        <v>40</v>
      </c>
      <c r="Q1703" t="s">
        <v>40</v>
      </c>
      <c r="R1703" t="s">
        <v>40</v>
      </c>
      <c r="S1703" t="s">
        <v>40</v>
      </c>
      <c r="V1703" t="s">
        <v>41</v>
      </c>
      <c r="W1703" t="s">
        <v>42</v>
      </c>
      <c r="X1703" t="str">
        <f>"4580015"</f>
        <v>4580015</v>
      </c>
      <c r="Y1703" t="s">
        <v>1189</v>
      </c>
      <c r="Z1703" t="s">
        <v>1187</v>
      </c>
      <c r="AA1703" t="s">
        <v>1188</v>
      </c>
      <c r="AB1703" t="s">
        <v>1130</v>
      </c>
      <c r="AC1703" t="s">
        <v>51</v>
      </c>
      <c r="AD1703" t="s">
        <v>45</v>
      </c>
      <c r="AE1703" s="1">
        <v>29587</v>
      </c>
      <c r="AF1703">
        <v>2</v>
      </c>
      <c r="AG1703" t="s">
        <v>1188</v>
      </c>
      <c r="AH1703" s="36">
        <f t="shared" si="26"/>
        <v>38.527777777777779</v>
      </c>
      <c r="AI1703" s="40" t="s">
        <v>1778</v>
      </c>
    </row>
    <row r="1704" spans="1:35" x14ac:dyDescent="0.25">
      <c r="A1704" s="36">
        <v>99911702</v>
      </c>
      <c r="B1704" s="17" t="s">
        <v>32</v>
      </c>
      <c r="C1704" t="s">
        <v>61</v>
      </c>
      <c r="D1704" t="s">
        <v>62</v>
      </c>
      <c r="G1704" s="17" t="s">
        <v>35</v>
      </c>
      <c r="H1704" s="17">
        <v>1</v>
      </c>
      <c r="I1704">
        <v>1</v>
      </c>
      <c r="J1704" s="1">
        <v>43344</v>
      </c>
      <c r="K1704" t="s">
        <v>1198</v>
      </c>
      <c r="L1704" t="s">
        <v>1199</v>
      </c>
      <c r="M1704" t="s">
        <v>1130</v>
      </c>
      <c r="N1704">
        <v>10</v>
      </c>
      <c r="O1704" t="s">
        <v>40</v>
      </c>
      <c r="P1704" t="s">
        <v>40</v>
      </c>
      <c r="Q1704" t="s">
        <v>40</v>
      </c>
      <c r="R1704" t="s">
        <v>40</v>
      </c>
      <c r="S1704" t="s">
        <v>40</v>
      </c>
      <c r="U1704" s="1">
        <v>43344</v>
      </c>
      <c r="V1704" t="s">
        <v>41</v>
      </c>
      <c r="W1704" t="s">
        <v>75</v>
      </c>
      <c r="X1704" t="str">
        <f>"7311010"</f>
        <v>7311010</v>
      </c>
      <c r="Y1704" t="s">
        <v>1202</v>
      </c>
      <c r="Z1704" t="s">
        <v>1198</v>
      </c>
      <c r="AA1704" t="s">
        <v>1199</v>
      </c>
      <c r="AB1704" t="s">
        <v>1130</v>
      </c>
      <c r="AC1704" t="s">
        <v>44</v>
      </c>
      <c r="AD1704" t="s">
        <v>45</v>
      </c>
      <c r="AE1704" s="1">
        <v>29587</v>
      </c>
      <c r="AF1704">
        <v>1</v>
      </c>
      <c r="AG1704" t="s">
        <v>1199</v>
      </c>
      <c r="AH1704" s="36">
        <f t="shared" si="26"/>
        <v>38.527777777777779</v>
      </c>
      <c r="AI1704" s="40" t="s">
        <v>1778</v>
      </c>
    </row>
    <row r="1705" spans="1:35" x14ac:dyDescent="0.25">
      <c r="A1705" s="36">
        <v>99911703</v>
      </c>
      <c r="B1705" s="17" t="s">
        <v>32</v>
      </c>
      <c r="C1705" t="s">
        <v>71</v>
      </c>
      <c r="D1705" t="s">
        <v>72</v>
      </c>
      <c r="G1705" s="17" t="s">
        <v>35</v>
      </c>
      <c r="H1705" s="17">
        <v>1</v>
      </c>
      <c r="I1705">
        <v>1</v>
      </c>
      <c r="J1705" s="1">
        <v>43344</v>
      </c>
      <c r="K1705" t="s">
        <v>1198</v>
      </c>
      <c r="L1705" t="s">
        <v>1199</v>
      </c>
      <c r="M1705" t="s">
        <v>1130</v>
      </c>
      <c r="N1705">
        <v>10</v>
      </c>
      <c r="O1705" t="s">
        <v>40</v>
      </c>
      <c r="P1705" t="s">
        <v>40</v>
      </c>
      <c r="Q1705" t="s">
        <v>40</v>
      </c>
      <c r="R1705" t="s">
        <v>40</v>
      </c>
      <c r="S1705" t="s">
        <v>40</v>
      </c>
      <c r="U1705" s="1">
        <v>43344</v>
      </c>
      <c r="V1705" t="s">
        <v>41</v>
      </c>
      <c r="W1705" t="s">
        <v>75</v>
      </c>
      <c r="X1705" t="str">
        <f>"7311010"</f>
        <v>7311010</v>
      </c>
      <c r="Y1705" t="s">
        <v>1202</v>
      </c>
      <c r="Z1705" t="s">
        <v>1198</v>
      </c>
      <c r="AA1705" t="s">
        <v>1199</v>
      </c>
      <c r="AB1705" t="s">
        <v>1130</v>
      </c>
      <c r="AC1705" t="s">
        <v>51</v>
      </c>
      <c r="AD1705" t="s">
        <v>45</v>
      </c>
      <c r="AE1705" s="1">
        <v>29587</v>
      </c>
      <c r="AF1705">
        <v>1</v>
      </c>
      <c r="AG1705" t="s">
        <v>1199</v>
      </c>
      <c r="AH1705" s="36">
        <f t="shared" si="26"/>
        <v>38.527777777777779</v>
      </c>
      <c r="AI1705" s="40" t="s">
        <v>1778</v>
      </c>
    </row>
    <row r="1706" spans="1:35" x14ac:dyDescent="0.25">
      <c r="A1706" s="36">
        <v>99911704</v>
      </c>
      <c r="B1706" s="17" t="s">
        <v>32</v>
      </c>
      <c r="C1706" t="s">
        <v>64</v>
      </c>
      <c r="D1706" t="s">
        <v>65</v>
      </c>
      <c r="G1706" s="17" t="s">
        <v>35</v>
      </c>
      <c r="H1706" s="17">
        <v>1</v>
      </c>
      <c r="I1706">
        <v>5009</v>
      </c>
      <c r="J1706" s="1">
        <v>43344</v>
      </c>
      <c r="K1706" t="s">
        <v>1245</v>
      </c>
      <c r="L1706" t="s">
        <v>1246</v>
      </c>
      <c r="M1706" t="s">
        <v>1130</v>
      </c>
      <c r="N1706">
        <v>24</v>
      </c>
      <c r="O1706" t="s">
        <v>40</v>
      </c>
      <c r="P1706" t="s">
        <v>40</v>
      </c>
      <c r="Q1706" t="s">
        <v>40</v>
      </c>
      <c r="R1706" t="s">
        <v>40</v>
      </c>
      <c r="S1706" t="s">
        <v>40</v>
      </c>
      <c r="U1706" s="1">
        <v>43344</v>
      </c>
      <c r="V1706" t="s">
        <v>41</v>
      </c>
      <c r="W1706" t="s">
        <v>75</v>
      </c>
      <c r="X1706" t="str">
        <f>"7451000"</f>
        <v>7451000</v>
      </c>
      <c r="Y1706" t="s">
        <v>1250</v>
      </c>
      <c r="Z1706" t="s">
        <v>1245</v>
      </c>
      <c r="AA1706" t="s">
        <v>1246</v>
      </c>
      <c r="AB1706" t="s">
        <v>1130</v>
      </c>
      <c r="AC1706" t="s">
        <v>51</v>
      </c>
      <c r="AD1706" t="s">
        <v>45</v>
      </c>
      <c r="AE1706" s="1">
        <v>29587</v>
      </c>
      <c r="AF1706">
        <v>1</v>
      </c>
      <c r="AG1706" t="s">
        <v>1246</v>
      </c>
      <c r="AH1706" s="36">
        <f t="shared" si="26"/>
        <v>38.527777777777779</v>
      </c>
      <c r="AI1706" s="40" t="s">
        <v>1778</v>
      </c>
    </row>
    <row r="1707" spans="1:35" x14ac:dyDescent="0.25">
      <c r="A1707" s="36">
        <v>99911705</v>
      </c>
      <c r="B1707" s="17" t="s">
        <v>32</v>
      </c>
      <c r="C1707" t="s">
        <v>71</v>
      </c>
      <c r="D1707" t="s">
        <v>72</v>
      </c>
      <c r="G1707" s="17" t="s">
        <v>48</v>
      </c>
      <c r="H1707" s="17">
        <v>6</v>
      </c>
      <c r="K1707" t="s">
        <v>1268</v>
      </c>
      <c r="L1707" t="s">
        <v>1269</v>
      </c>
      <c r="M1707" t="s">
        <v>1270</v>
      </c>
      <c r="N1707">
        <v>21</v>
      </c>
      <c r="O1707" t="s">
        <v>40</v>
      </c>
      <c r="P1707" t="s">
        <v>40</v>
      </c>
      <c r="Q1707" t="s">
        <v>40</v>
      </c>
      <c r="R1707" t="s">
        <v>40</v>
      </c>
      <c r="S1707" t="s">
        <v>40</v>
      </c>
      <c r="U1707" s="1">
        <v>43344</v>
      </c>
      <c r="V1707" t="s">
        <v>41</v>
      </c>
      <c r="W1707" t="s">
        <v>49</v>
      </c>
      <c r="X1707" t="str">
        <f>"1981055"</f>
        <v>1981055</v>
      </c>
      <c r="Y1707" t="s">
        <v>1280</v>
      </c>
      <c r="Z1707" t="s">
        <v>1268</v>
      </c>
      <c r="AA1707" t="s">
        <v>1269</v>
      </c>
      <c r="AB1707" t="s">
        <v>1270</v>
      </c>
      <c r="AC1707" t="s">
        <v>51</v>
      </c>
      <c r="AD1707" t="s">
        <v>45</v>
      </c>
      <c r="AE1707" s="1">
        <v>29587</v>
      </c>
      <c r="AF1707">
        <v>2</v>
      </c>
      <c r="AG1707" t="s">
        <v>1269</v>
      </c>
      <c r="AH1707" s="36">
        <f t="shared" si="26"/>
        <v>38.527777777777779</v>
      </c>
      <c r="AI1707" s="40" t="s">
        <v>1778</v>
      </c>
    </row>
    <row r="1708" spans="1:35" x14ac:dyDescent="0.25">
      <c r="A1708" s="36">
        <v>99911706</v>
      </c>
      <c r="B1708" s="17" t="s">
        <v>32</v>
      </c>
      <c r="C1708" t="s">
        <v>46</v>
      </c>
      <c r="D1708" t="s">
        <v>47</v>
      </c>
      <c r="G1708" s="17" t="s">
        <v>35</v>
      </c>
      <c r="H1708" s="17">
        <v>1</v>
      </c>
      <c r="K1708" t="s">
        <v>1268</v>
      </c>
      <c r="L1708" t="s">
        <v>1269</v>
      </c>
      <c r="M1708" t="s">
        <v>1270</v>
      </c>
      <c r="N1708">
        <v>21</v>
      </c>
      <c r="O1708" t="s">
        <v>40</v>
      </c>
      <c r="P1708" t="s">
        <v>40</v>
      </c>
      <c r="Q1708" t="s">
        <v>40</v>
      </c>
      <c r="R1708" t="s">
        <v>40</v>
      </c>
      <c r="S1708" t="s">
        <v>40</v>
      </c>
      <c r="V1708" t="s">
        <v>41</v>
      </c>
      <c r="W1708" t="s">
        <v>49</v>
      </c>
      <c r="X1708" t="str">
        <f>"1960007"</f>
        <v>1960007</v>
      </c>
      <c r="Y1708" t="s">
        <v>1303</v>
      </c>
      <c r="Z1708" t="s">
        <v>1268</v>
      </c>
      <c r="AA1708" t="s">
        <v>1269</v>
      </c>
      <c r="AB1708" t="s">
        <v>1270</v>
      </c>
      <c r="AC1708" t="s">
        <v>51</v>
      </c>
      <c r="AD1708" t="s">
        <v>45</v>
      </c>
      <c r="AE1708" s="1">
        <v>29587</v>
      </c>
      <c r="AF1708">
        <v>2</v>
      </c>
      <c r="AG1708" t="s">
        <v>1269</v>
      </c>
      <c r="AH1708" s="36">
        <f t="shared" si="26"/>
        <v>38.527777777777779</v>
      </c>
      <c r="AI1708" s="40" t="s">
        <v>1778</v>
      </c>
    </row>
    <row r="1709" spans="1:35" x14ac:dyDescent="0.25">
      <c r="A1709" s="36">
        <v>99911707</v>
      </c>
      <c r="B1709" s="17" t="s">
        <v>32</v>
      </c>
      <c r="C1709" t="s">
        <v>71</v>
      </c>
      <c r="D1709" t="s">
        <v>72</v>
      </c>
      <c r="G1709" s="17" t="s">
        <v>35</v>
      </c>
      <c r="H1709" s="17">
        <v>1</v>
      </c>
      <c r="I1709" t="s">
        <v>1493</v>
      </c>
      <c r="J1709" s="1">
        <v>43344</v>
      </c>
      <c r="K1709" t="s">
        <v>1487</v>
      </c>
      <c r="L1709" t="s">
        <v>1488</v>
      </c>
      <c r="M1709" t="s">
        <v>670</v>
      </c>
      <c r="N1709">
        <v>10</v>
      </c>
      <c r="O1709" t="s">
        <v>40</v>
      </c>
      <c r="P1709" t="s">
        <v>40</v>
      </c>
      <c r="Q1709" t="s">
        <v>40</v>
      </c>
      <c r="R1709" t="s">
        <v>40</v>
      </c>
      <c r="S1709" t="s">
        <v>40</v>
      </c>
      <c r="U1709" s="1">
        <v>43344</v>
      </c>
      <c r="V1709" t="s">
        <v>41</v>
      </c>
      <c r="W1709" t="s">
        <v>49</v>
      </c>
      <c r="X1709" t="str">
        <f>"1760001"</f>
        <v>1760001</v>
      </c>
      <c r="Y1709" t="s">
        <v>1489</v>
      </c>
      <c r="Z1709" t="s">
        <v>1487</v>
      </c>
      <c r="AA1709" t="s">
        <v>1488</v>
      </c>
      <c r="AB1709" t="s">
        <v>670</v>
      </c>
      <c r="AC1709" t="s">
        <v>51</v>
      </c>
      <c r="AD1709" t="s">
        <v>45</v>
      </c>
      <c r="AE1709" s="1">
        <v>29587</v>
      </c>
      <c r="AF1709">
        <v>2</v>
      </c>
      <c r="AG1709" t="s">
        <v>1488</v>
      </c>
      <c r="AH1709" s="36">
        <f t="shared" si="26"/>
        <v>38.527777777777779</v>
      </c>
      <c r="AI1709" s="40" t="s">
        <v>1778</v>
      </c>
    </row>
    <row r="1710" spans="1:35" x14ac:dyDescent="0.25">
      <c r="A1710" s="36">
        <v>99911708</v>
      </c>
      <c r="B1710" s="17" t="s">
        <v>32</v>
      </c>
      <c r="C1710" t="s">
        <v>71</v>
      </c>
      <c r="D1710" t="s">
        <v>72</v>
      </c>
      <c r="G1710" s="17" t="s">
        <v>35</v>
      </c>
      <c r="H1710" s="17">
        <v>1</v>
      </c>
      <c r="I1710">
        <v>4549</v>
      </c>
      <c r="J1710" s="1">
        <v>43362</v>
      </c>
      <c r="K1710" t="s">
        <v>1631</v>
      </c>
      <c r="L1710" t="s">
        <v>1632</v>
      </c>
      <c r="M1710" t="s">
        <v>1592</v>
      </c>
      <c r="N1710">
        <v>5</v>
      </c>
      <c r="O1710" t="s">
        <v>40</v>
      </c>
      <c r="P1710" t="s">
        <v>40</v>
      </c>
      <c r="Q1710" t="s">
        <v>40</v>
      </c>
      <c r="R1710" t="s">
        <v>40</v>
      </c>
      <c r="S1710" t="s">
        <v>40</v>
      </c>
      <c r="U1710" s="1">
        <v>43362</v>
      </c>
      <c r="X1710" t="str">
        <f>""</f>
        <v/>
      </c>
      <c r="AA1710" t="s">
        <v>1632</v>
      </c>
      <c r="AB1710" t="s">
        <v>1592</v>
      </c>
      <c r="AC1710" t="s">
        <v>44</v>
      </c>
      <c r="AD1710" t="s">
        <v>45</v>
      </c>
      <c r="AE1710" s="1">
        <v>29587</v>
      </c>
      <c r="AF1710">
        <v>1</v>
      </c>
      <c r="AG1710" t="s">
        <v>1632</v>
      </c>
      <c r="AH1710" s="36">
        <f t="shared" si="26"/>
        <v>38.527777777777779</v>
      </c>
      <c r="AI1710" s="40" t="s">
        <v>1778</v>
      </c>
    </row>
    <row r="1711" spans="1:35" x14ac:dyDescent="0.25">
      <c r="A1711" s="36">
        <v>99911709</v>
      </c>
      <c r="B1711" s="17" t="s">
        <v>32</v>
      </c>
      <c r="C1711" t="s">
        <v>71</v>
      </c>
      <c r="D1711" t="s">
        <v>72</v>
      </c>
      <c r="G1711" s="17" t="s">
        <v>35</v>
      </c>
      <c r="H1711" s="17">
        <v>1</v>
      </c>
      <c r="K1711" t="s">
        <v>1502</v>
      </c>
      <c r="L1711" t="s">
        <v>1503</v>
      </c>
      <c r="M1711" t="s">
        <v>670</v>
      </c>
      <c r="N1711">
        <v>4</v>
      </c>
      <c r="O1711" t="s">
        <v>40</v>
      </c>
      <c r="P1711" t="s">
        <v>40</v>
      </c>
      <c r="Q1711" t="s">
        <v>40</v>
      </c>
      <c r="R1711" t="s">
        <v>40</v>
      </c>
      <c r="S1711" t="s">
        <v>40</v>
      </c>
      <c r="V1711" t="s">
        <v>41</v>
      </c>
      <c r="W1711" t="s">
        <v>75</v>
      </c>
      <c r="X1711" t="str">
        <f>"7171002"</f>
        <v>7171002</v>
      </c>
      <c r="Y1711" t="s">
        <v>1505</v>
      </c>
      <c r="Z1711" t="s">
        <v>1502</v>
      </c>
      <c r="AA1711" t="s">
        <v>1503</v>
      </c>
      <c r="AB1711" t="s">
        <v>670</v>
      </c>
      <c r="AC1711" t="s">
        <v>51</v>
      </c>
      <c r="AD1711" t="s">
        <v>45</v>
      </c>
      <c r="AE1711" s="1">
        <v>29583</v>
      </c>
      <c r="AF1711">
        <v>1</v>
      </c>
      <c r="AG1711" t="s">
        <v>1503</v>
      </c>
      <c r="AH1711" s="36">
        <f t="shared" si="26"/>
        <v>38.538888888888891</v>
      </c>
      <c r="AI1711" s="40" t="s">
        <v>1778</v>
      </c>
    </row>
    <row r="1712" spans="1:35" x14ac:dyDescent="0.25">
      <c r="A1712" s="36">
        <v>99911710</v>
      </c>
      <c r="B1712" s="17" t="s">
        <v>32</v>
      </c>
      <c r="C1712" t="s">
        <v>90</v>
      </c>
      <c r="D1712" t="s">
        <v>91</v>
      </c>
      <c r="G1712" s="17" t="s">
        <v>35</v>
      </c>
      <c r="H1712" s="17">
        <v>1</v>
      </c>
      <c r="I1712" s="1">
        <v>42614</v>
      </c>
      <c r="J1712" s="1">
        <v>43344</v>
      </c>
      <c r="K1712" t="s">
        <v>1341</v>
      </c>
      <c r="L1712" t="s">
        <v>1342</v>
      </c>
      <c r="M1712" t="s">
        <v>1270</v>
      </c>
      <c r="N1712">
        <v>24</v>
      </c>
      <c r="O1712" t="s">
        <v>40</v>
      </c>
      <c r="S1712" t="s">
        <v>40</v>
      </c>
      <c r="U1712" s="1">
        <v>43344</v>
      </c>
      <c r="V1712" t="s">
        <v>41</v>
      </c>
      <c r="W1712" t="s">
        <v>75</v>
      </c>
      <c r="X1712" t="str">
        <f>"7191002"</f>
        <v>7191002</v>
      </c>
      <c r="Y1712" t="s">
        <v>1365</v>
      </c>
      <c r="Z1712" t="s">
        <v>1341</v>
      </c>
      <c r="AA1712" t="s">
        <v>1342</v>
      </c>
      <c r="AB1712" t="s">
        <v>1270</v>
      </c>
      <c r="AC1712" t="s">
        <v>51</v>
      </c>
      <c r="AD1712" t="s">
        <v>45</v>
      </c>
      <c r="AE1712" s="1">
        <v>29579</v>
      </c>
      <c r="AF1712">
        <v>1</v>
      </c>
      <c r="AG1712" t="s">
        <v>1342</v>
      </c>
      <c r="AH1712" s="36">
        <f t="shared" si="26"/>
        <v>38.549999999999997</v>
      </c>
      <c r="AI1712" s="40" t="s">
        <v>1778</v>
      </c>
    </row>
    <row r="1713" spans="1:35" x14ac:dyDescent="0.25">
      <c r="A1713" s="36">
        <v>99911711</v>
      </c>
      <c r="B1713" s="17" t="s">
        <v>32</v>
      </c>
      <c r="C1713" t="s">
        <v>64</v>
      </c>
      <c r="D1713" t="s">
        <v>65</v>
      </c>
      <c r="G1713" s="17" t="s">
        <v>48</v>
      </c>
      <c r="H1713" s="17">
        <v>1</v>
      </c>
      <c r="K1713" t="s">
        <v>268</v>
      </c>
      <c r="L1713" t="s">
        <v>269</v>
      </c>
      <c r="M1713" t="s">
        <v>131</v>
      </c>
      <c r="N1713">
        <v>14</v>
      </c>
      <c r="O1713" t="s">
        <v>40</v>
      </c>
      <c r="P1713" t="s">
        <v>40</v>
      </c>
      <c r="Q1713" t="s">
        <v>40</v>
      </c>
      <c r="S1713" t="s">
        <v>40</v>
      </c>
      <c r="V1713" t="s">
        <v>41</v>
      </c>
      <c r="W1713" t="s">
        <v>75</v>
      </c>
      <c r="X1713" t="str">
        <f>"7052016"</f>
        <v>7052016</v>
      </c>
      <c r="Y1713" t="s">
        <v>588</v>
      </c>
      <c r="Z1713" t="s">
        <v>268</v>
      </c>
      <c r="AA1713" t="s">
        <v>269</v>
      </c>
      <c r="AB1713" t="s">
        <v>131</v>
      </c>
      <c r="AC1713" t="s">
        <v>51</v>
      </c>
      <c r="AD1713" t="s">
        <v>45</v>
      </c>
      <c r="AE1713" s="1">
        <v>29572</v>
      </c>
      <c r="AF1713">
        <v>1</v>
      </c>
      <c r="AG1713" t="s">
        <v>269</v>
      </c>
      <c r="AH1713" s="36">
        <f t="shared" si="26"/>
        <v>38.569444444444443</v>
      </c>
      <c r="AI1713" s="40" t="s">
        <v>1778</v>
      </c>
    </row>
    <row r="1714" spans="1:35" x14ac:dyDescent="0.25">
      <c r="A1714" s="36">
        <v>99911712</v>
      </c>
      <c r="B1714" s="17" t="s">
        <v>56</v>
      </c>
      <c r="C1714" t="s">
        <v>111</v>
      </c>
      <c r="D1714" t="s">
        <v>112</v>
      </c>
      <c r="G1714" s="17" t="s">
        <v>35</v>
      </c>
      <c r="H1714" s="17">
        <v>1</v>
      </c>
      <c r="K1714" t="s">
        <v>431</v>
      </c>
      <c r="L1714" t="s">
        <v>196</v>
      </c>
      <c r="M1714" t="s">
        <v>131</v>
      </c>
      <c r="N1714">
        <v>24</v>
      </c>
      <c r="O1714" t="s">
        <v>40</v>
      </c>
      <c r="P1714" t="s">
        <v>40</v>
      </c>
      <c r="Q1714" t="s">
        <v>40</v>
      </c>
      <c r="S1714" t="s">
        <v>40</v>
      </c>
      <c r="V1714" t="s">
        <v>41</v>
      </c>
      <c r="W1714" t="s">
        <v>75</v>
      </c>
      <c r="X1714" t="str">
        <f>"7521060"</f>
        <v>7521060</v>
      </c>
      <c r="Y1714" t="s">
        <v>501</v>
      </c>
      <c r="Z1714" t="s">
        <v>431</v>
      </c>
      <c r="AA1714" t="s">
        <v>196</v>
      </c>
      <c r="AB1714" t="s">
        <v>131</v>
      </c>
      <c r="AC1714" t="s">
        <v>44</v>
      </c>
      <c r="AD1714" t="s">
        <v>45</v>
      </c>
      <c r="AE1714" s="1">
        <v>29569</v>
      </c>
      <c r="AF1714">
        <v>1</v>
      </c>
      <c r="AG1714" t="s">
        <v>196</v>
      </c>
      <c r="AH1714" s="36">
        <f t="shared" si="26"/>
        <v>38.577777777777776</v>
      </c>
      <c r="AI1714" s="40" t="s">
        <v>1778</v>
      </c>
    </row>
    <row r="1715" spans="1:35" x14ac:dyDescent="0.25">
      <c r="A1715" s="36">
        <v>99911713</v>
      </c>
      <c r="B1715" s="17" t="s">
        <v>32</v>
      </c>
      <c r="C1715" t="s">
        <v>61</v>
      </c>
      <c r="D1715" t="s">
        <v>62</v>
      </c>
      <c r="G1715" s="17" t="s">
        <v>48</v>
      </c>
      <c r="H1715" s="17">
        <v>7</v>
      </c>
      <c r="I1715" t="s">
        <v>433</v>
      </c>
      <c r="J1715" s="1">
        <v>40422</v>
      </c>
      <c r="K1715" t="s">
        <v>431</v>
      </c>
      <c r="L1715" t="s">
        <v>196</v>
      </c>
      <c r="M1715" t="s">
        <v>131</v>
      </c>
      <c r="N1715">
        <v>23</v>
      </c>
      <c r="O1715" t="s">
        <v>40</v>
      </c>
      <c r="P1715" t="s">
        <v>40</v>
      </c>
      <c r="Q1715" t="s">
        <v>40</v>
      </c>
      <c r="R1715" t="s">
        <v>40</v>
      </c>
      <c r="S1715" t="s">
        <v>40</v>
      </c>
      <c r="U1715" s="1">
        <v>40422</v>
      </c>
      <c r="V1715" t="s">
        <v>41</v>
      </c>
      <c r="W1715" t="s">
        <v>75</v>
      </c>
      <c r="X1715" t="str">
        <f>"7521012"</f>
        <v>7521012</v>
      </c>
      <c r="Y1715" t="s">
        <v>432</v>
      </c>
      <c r="Z1715" t="s">
        <v>431</v>
      </c>
      <c r="AA1715" t="s">
        <v>196</v>
      </c>
      <c r="AB1715" t="s">
        <v>131</v>
      </c>
      <c r="AC1715" t="s">
        <v>165</v>
      </c>
      <c r="AD1715" t="s">
        <v>45</v>
      </c>
      <c r="AE1715" s="1">
        <v>29568</v>
      </c>
      <c r="AF1715">
        <v>1</v>
      </c>
      <c r="AG1715" t="s">
        <v>196</v>
      </c>
      <c r="AH1715" s="36">
        <f t="shared" si="26"/>
        <v>38.580555555555556</v>
      </c>
      <c r="AI1715" s="40" t="s">
        <v>1778</v>
      </c>
    </row>
    <row r="1716" spans="1:35" x14ac:dyDescent="0.25">
      <c r="A1716" s="36">
        <v>99911714</v>
      </c>
      <c r="B1716" s="17" t="s">
        <v>56</v>
      </c>
      <c r="C1716" t="s">
        <v>82</v>
      </c>
      <c r="D1716" t="s">
        <v>83</v>
      </c>
      <c r="G1716" s="17" t="s">
        <v>35</v>
      </c>
      <c r="H1716" s="17">
        <v>1</v>
      </c>
      <c r="K1716" t="s">
        <v>223</v>
      </c>
      <c r="L1716" t="s">
        <v>224</v>
      </c>
      <c r="M1716" t="s">
        <v>131</v>
      </c>
      <c r="N1716">
        <v>21</v>
      </c>
      <c r="O1716" t="s">
        <v>40</v>
      </c>
      <c r="P1716" t="s">
        <v>40</v>
      </c>
      <c r="Q1716" t="s">
        <v>40</v>
      </c>
      <c r="R1716" t="s">
        <v>40</v>
      </c>
      <c r="S1716" t="s">
        <v>40</v>
      </c>
      <c r="V1716" t="s">
        <v>41</v>
      </c>
      <c r="W1716" t="s">
        <v>42</v>
      </c>
      <c r="X1716" t="str">
        <f>"0590901"</f>
        <v>0590901</v>
      </c>
      <c r="Y1716" t="s">
        <v>242</v>
      </c>
      <c r="Z1716" t="s">
        <v>223</v>
      </c>
      <c r="AA1716" t="s">
        <v>224</v>
      </c>
      <c r="AB1716" t="s">
        <v>131</v>
      </c>
      <c r="AC1716" t="s">
        <v>51</v>
      </c>
      <c r="AD1716" t="s">
        <v>45</v>
      </c>
      <c r="AE1716" s="1">
        <v>29567</v>
      </c>
      <c r="AF1716">
        <v>2</v>
      </c>
      <c r="AG1716" t="s">
        <v>224</v>
      </c>
      <c r="AH1716" s="36">
        <f t="shared" si="26"/>
        <v>38.583333333333336</v>
      </c>
      <c r="AI1716" s="40" t="s">
        <v>1778</v>
      </c>
    </row>
    <row r="1717" spans="1:35" x14ac:dyDescent="0.25">
      <c r="A1717" s="36">
        <v>99911715</v>
      </c>
      <c r="B1717" s="17" t="s">
        <v>32</v>
      </c>
      <c r="C1717" t="s">
        <v>64</v>
      </c>
      <c r="D1717" t="s">
        <v>65</v>
      </c>
      <c r="G1717" s="17" t="s">
        <v>35</v>
      </c>
      <c r="H1717" s="17">
        <v>1</v>
      </c>
      <c r="I1717">
        <v>0</v>
      </c>
      <c r="J1717" s="1">
        <v>43344</v>
      </c>
      <c r="K1717" t="s">
        <v>223</v>
      </c>
      <c r="L1717" t="s">
        <v>224</v>
      </c>
      <c r="M1717" t="s">
        <v>131</v>
      </c>
      <c r="N1717">
        <v>21</v>
      </c>
      <c r="O1717" t="s">
        <v>40</v>
      </c>
      <c r="S1717" t="s">
        <v>40</v>
      </c>
      <c r="U1717" s="1">
        <v>43344</v>
      </c>
      <c r="V1717" t="s">
        <v>41</v>
      </c>
      <c r="W1717" t="s">
        <v>42</v>
      </c>
      <c r="X1717" t="str">
        <f>"0580206"</f>
        <v>0580206</v>
      </c>
      <c r="Y1717" t="s">
        <v>237</v>
      </c>
      <c r="Z1717" t="s">
        <v>223</v>
      </c>
      <c r="AA1717" t="s">
        <v>224</v>
      </c>
      <c r="AB1717" t="s">
        <v>131</v>
      </c>
      <c r="AC1717" t="s">
        <v>51</v>
      </c>
      <c r="AD1717" t="s">
        <v>45</v>
      </c>
      <c r="AE1717" s="1">
        <v>29566</v>
      </c>
      <c r="AF1717">
        <v>2</v>
      </c>
      <c r="AG1717" t="s">
        <v>224</v>
      </c>
      <c r="AH1717" s="36">
        <f t="shared" si="26"/>
        <v>38.586111111111109</v>
      </c>
      <c r="AI1717" s="40" t="s">
        <v>1778</v>
      </c>
    </row>
    <row r="1718" spans="1:35" x14ac:dyDescent="0.25">
      <c r="A1718" s="36">
        <v>99911716</v>
      </c>
      <c r="B1718" s="17" t="s">
        <v>32</v>
      </c>
      <c r="C1718" t="s">
        <v>111</v>
      </c>
      <c r="D1718" t="s">
        <v>112</v>
      </c>
      <c r="G1718" s="17" t="s">
        <v>48</v>
      </c>
      <c r="H1718" s="17">
        <v>7</v>
      </c>
      <c r="I1718" t="s">
        <v>469</v>
      </c>
      <c r="J1718" s="1">
        <v>43344</v>
      </c>
      <c r="K1718" t="s">
        <v>195</v>
      </c>
      <c r="L1718" t="s">
        <v>196</v>
      </c>
      <c r="M1718" t="s">
        <v>131</v>
      </c>
      <c r="N1718">
        <v>23</v>
      </c>
      <c r="O1718" t="s">
        <v>40</v>
      </c>
      <c r="P1718" t="s">
        <v>40</v>
      </c>
      <c r="Q1718" t="s">
        <v>40</v>
      </c>
      <c r="R1718" t="s">
        <v>40</v>
      </c>
      <c r="S1718" t="s">
        <v>40</v>
      </c>
      <c r="U1718" s="1">
        <v>43344</v>
      </c>
      <c r="V1718" t="s">
        <v>41</v>
      </c>
      <c r="W1718" t="s">
        <v>75</v>
      </c>
      <c r="X1718" t="str">
        <f>"7521042"</f>
        <v>7521042</v>
      </c>
      <c r="Y1718" t="s">
        <v>440</v>
      </c>
      <c r="Z1718" t="s">
        <v>195</v>
      </c>
      <c r="AA1718" t="s">
        <v>196</v>
      </c>
      <c r="AB1718" t="s">
        <v>131</v>
      </c>
      <c r="AC1718" t="s">
        <v>165</v>
      </c>
      <c r="AD1718" t="s">
        <v>45</v>
      </c>
      <c r="AE1718" s="1">
        <v>29563</v>
      </c>
      <c r="AF1718">
        <v>1</v>
      </c>
      <c r="AG1718" t="s">
        <v>196</v>
      </c>
      <c r="AH1718" s="36">
        <f t="shared" si="26"/>
        <v>38.594444444444441</v>
      </c>
      <c r="AI1718" s="40" t="s">
        <v>1778</v>
      </c>
    </row>
    <row r="1719" spans="1:35" x14ac:dyDescent="0.25">
      <c r="A1719" s="36">
        <v>99911717</v>
      </c>
      <c r="B1719" s="17" t="s">
        <v>32</v>
      </c>
      <c r="C1719" t="s">
        <v>111</v>
      </c>
      <c r="D1719" t="s">
        <v>112</v>
      </c>
      <c r="G1719" s="17" t="s">
        <v>35</v>
      </c>
      <c r="H1719" s="17">
        <v>6</v>
      </c>
      <c r="K1719" t="s">
        <v>268</v>
      </c>
      <c r="L1719" t="s">
        <v>269</v>
      </c>
      <c r="M1719" t="s">
        <v>131</v>
      </c>
      <c r="N1719">
        <v>23</v>
      </c>
      <c r="O1719" t="s">
        <v>40</v>
      </c>
      <c r="P1719" t="s">
        <v>40</v>
      </c>
      <c r="Q1719" t="s">
        <v>40</v>
      </c>
      <c r="R1719" t="s">
        <v>40</v>
      </c>
      <c r="S1719" t="s">
        <v>40</v>
      </c>
      <c r="V1719" t="s">
        <v>41</v>
      </c>
      <c r="W1719" t="s">
        <v>75</v>
      </c>
      <c r="X1719" t="str">
        <f>"7052004"</f>
        <v>7052004</v>
      </c>
      <c r="Y1719" t="s">
        <v>584</v>
      </c>
      <c r="Z1719" t="s">
        <v>268</v>
      </c>
      <c r="AA1719" t="s">
        <v>269</v>
      </c>
      <c r="AB1719" t="s">
        <v>131</v>
      </c>
      <c r="AC1719" t="s">
        <v>165</v>
      </c>
      <c r="AD1719" t="s">
        <v>45</v>
      </c>
      <c r="AE1719" s="1">
        <v>29560</v>
      </c>
      <c r="AF1719">
        <v>1</v>
      </c>
      <c r="AG1719" t="s">
        <v>269</v>
      </c>
      <c r="AH1719" s="36">
        <f t="shared" si="26"/>
        <v>38.602777777777774</v>
      </c>
      <c r="AI1719" s="40" t="s">
        <v>1778</v>
      </c>
    </row>
    <row r="1720" spans="1:35" x14ac:dyDescent="0.25">
      <c r="A1720" s="36">
        <v>99911718</v>
      </c>
      <c r="B1720" s="17" t="s">
        <v>32</v>
      </c>
      <c r="C1720" t="s">
        <v>143</v>
      </c>
      <c r="D1720" t="s">
        <v>144</v>
      </c>
      <c r="G1720" s="17" t="s">
        <v>48</v>
      </c>
      <c r="H1720" s="17">
        <v>1</v>
      </c>
      <c r="K1720" t="s">
        <v>354</v>
      </c>
      <c r="L1720" t="s">
        <v>355</v>
      </c>
      <c r="M1720" t="s">
        <v>131</v>
      </c>
      <c r="N1720">
        <v>24</v>
      </c>
      <c r="O1720" t="s">
        <v>40</v>
      </c>
      <c r="P1720" t="s">
        <v>40</v>
      </c>
      <c r="Q1720" t="s">
        <v>40</v>
      </c>
      <c r="S1720" t="s">
        <v>40</v>
      </c>
      <c r="V1720" t="s">
        <v>41</v>
      </c>
      <c r="W1720" t="s">
        <v>75</v>
      </c>
      <c r="X1720" t="str">
        <f>"7054022"</f>
        <v>7054022</v>
      </c>
      <c r="Y1720" t="s">
        <v>770</v>
      </c>
      <c r="Z1720" t="s">
        <v>354</v>
      </c>
      <c r="AA1720" t="s">
        <v>355</v>
      </c>
      <c r="AB1720" t="s">
        <v>131</v>
      </c>
      <c r="AC1720" t="s">
        <v>51</v>
      </c>
      <c r="AD1720" t="s">
        <v>45</v>
      </c>
      <c r="AE1720" s="1">
        <v>29551</v>
      </c>
      <c r="AF1720">
        <v>1</v>
      </c>
      <c r="AG1720" t="s">
        <v>355</v>
      </c>
      <c r="AH1720" s="36">
        <f t="shared" si="26"/>
        <v>38.62777777777778</v>
      </c>
      <c r="AI1720" s="40" t="s">
        <v>1778</v>
      </c>
    </row>
    <row r="1721" spans="1:35" x14ac:dyDescent="0.25">
      <c r="A1721" s="36">
        <v>99911719</v>
      </c>
      <c r="B1721" s="17" t="s">
        <v>56</v>
      </c>
      <c r="C1721" t="s">
        <v>52</v>
      </c>
      <c r="D1721" t="s">
        <v>53</v>
      </c>
      <c r="G1721" s="17" t="s">
        <v>35</v>
      </c>
      <c r="H1721" s="17">
        <v>1</v>
      </c>
      <c r="I1721">
        <v>13814</v>
      </c>
      <c r="J1721" s="1">
        <v>43355</v>
      </c>
      <c r="K1721" t="s">
        <v>345</v>
      </c>
      <c r="L1721" t="s">
        <v>346</v>
      </c>
      <c r="M1721" t="s">
        <v>131</v>
      </c>
      <c r="N1721">
        <v>23</v>
      </c>
      <c r="O1721" t="s">
        <v>40</v>
      </c>
      <c r="P1721" t="s">
        <v>40</v>
      </c>
      <c r="Q1721" t="s">
        <v>40</v>
      </c>
      <c r="S1721" t="s">
        <v>40</v>
      </c>
      <c r="U1721" s="1">
        <v>43355</v>
      </c>
      <c r="V1721" t="s">
        <v>41</v>
      </c>
      <c r="W1721" t="s">
        <v>42</v>
      </c>
      <c r="X1721" t="str">
        <f>"0590906"</f>
        <v>0590906</v>
      </c>
      <c r="Y1721" t="s">
        <v>361</v>
      </c>
      <c r="Z1721" t="s">
        <v>345</v>
      </c>
      <c r="AA1721" t="s">
        <v>346</v>
      </c>
      <c r="AB1721" t="s">
        <v>131</v>
      </c>
      <c r="AC1721" t="s">
        <v>51</v>
      </c>
      <c r="AD1721" t="s">
        <v>45</v>
      </c>
      <c r="AE1721" s="1">
        <v>29544</v>
      </c>
      <c r="AF1721">
        <v>2</v>
      </c>
      <c r="AG1721" t="s">
        <v>346</v>
      </c>
      <c r="AH1721" s="36">
        <f t="shared" si="26"/>
        <v>38.647222222222226</v>
      </c>
      <c r="AI1721" s="40" t="s">
        <v>1778</v>
      </c>
    </row>
    <row r="1722" spans="1:35" x14ac:dyDescent="0.25">
      <c r="A1722" s="36">
        <v>99911720</v>
      </c>
      <c r="B1722" s="17" t="s">
        <v>32</v>
      </c>
      <c r="C1722" t="s">
        <v>64</v>
      </c>
      <c r="D1722" t="s">
        <v>65</v>
      </c>
      <c r="G1722" s="17" t="s">
        <v>48</v>
      </c>
      <c r="H1722" s="17">
        <v>1</v>
      </c>
      <c r="K1722" t="s">
        <v>1546</v>
      </c>
      <c r="L1722" t="s">
        <v>1547</v>
      </c>
      <c r="M1722" t="s">
        <v>1548</v>
      </c>
      <c r="N1722">
        <v>23</v>
      </c>
      <c r="O1722" t="s">
        <v>40</v>
      </c>
      <c r="P1722" t="s">
        <v>40</v>
      </c>
      <c r="Q1722" t="s">
        <v>40</v>
      </c>
      <c r="R1722" t="s">
        <v>40</v>
      </c>
      <c r="S1722" t="s">
        <v>40</v>
      </c>
      <c r="V1722" t="s">
        <v>41</v>
      </c>
      <c r="W1722" t="s">
        <v>49</v>
      </c>
      <c r="X1722" t="str">
        <f>"1060001"</f>
        <v>1060001</v>
      </c>
      <c r="Y1722" t="s">
        <v>1553</v>
      </c>
      <c r="Z1722" t="s">
        <v>1546</v>
      </c>
      <c r="AA1722" t="s">
        <v>1547</v>
      </c>
      <c r="AB1722" t="s">
        <v>1548</v>
      </c>
      <c r="AC1722" t="s">
        <v>51</v>
      </c>
      <c r="AD1722" t="s">
        <v>45</v>
      </c>
      <c r="AE1722" s="1">
        <v>29540</v>
      </c>
      <c r="AF1722">
        <v>2</v>
      </c>
      <c r="AG1722" t="s">
        <v>1547</v>
      </c>
      <c r="AH1722" s="36">
        <f t="shared" si="26"/>
        <v>38.658333333333331</v>
      </c>
      <c r="AI1722" s="40" t="s">
        <v>1778</v>
      </c>
    </row>
    <row r="1723" spans="1:35" x14ac:dyDescent="0.25">
      <c r="A1723" s="36">
        <v>99911721</v>
      </c>
      <c r="B1723" s="17" t="s">
        <v>56</v>
      </c>
      <c r="C1723" t="s">
        <v>79</v>
      </c>
      <c r="D1723" t="s">
        <v>80</v>
      </c>
      <c r="G1723" s="17" t="s">
        <v>35</v>
      </c>
      <c r="H1723" s="17">
        <v>1</v>
      </c>
      <c r="K1723" t="s">
        <v>354</v>
      </c>
      <c r="L1723" t="s">
        <v>355</v>
      </c>
      <c r="M1723" t="s">
        <v>131</v>
      </c>
      <c r="N1723">
        <v>9</v>
      </c>
      <c r="O1723" t="s">
        <v>40</v>
      </c>
      <c r="P1723" t="s">
        <v>40</v>
      </c>
      <c r="Q1723" t="s">
        <v>40</v>
      </c>
      <c r="S1723" t="s">
        <v>40</v>
      </c>
      <c r="V1723" t="s">
        <v>41</v>
      </c>
      <c r="W1723" t="s">
        <v>75</v>
      </c>
      <c r="X1723" t="str">
        <f>"7054020"</f>
        <v>7054020</v>
      </c>
      <c r="Y1723" t="s">
        <v>765</v>
      </c>
      <c r="Z1723" t="s">
        <v>354</v>
      </c>
      <c r="AA1723" t="s">
        <v>355</v>
      </c>
      <c r="AB1723" t="s">
        <v>131</v>
      </c>
      <c r="AC1723" t="s">
        <v>51</v>
      </c>
      <c r="AD1723" t="s">
        <v>45</v>
      </c>
      <c r="AE1723" s="1">
        <v>29509</v>
      </c>
      <c r="AF1723">
        <v>1</v>
      </c>
      <c r="AG1723" t="s">
        <v>355</v>
      </c>
      <c r="AH1723" s="36">
        <f t="shared" si="26"/>
        <v>38.744444444444447</v>
      </c>
      <c r="AI1723" s="40" t="s">
        <v>1778</v>
      </c>
    </row>
    <row r="1724" spans="1:35" x14ac:dyDescent="0.25">
      <c r="A1724" s="36">
        <v>99911722</v>
      </c>
      <c r="B1724" s="17" t="s">
        <v>32</v>
      </c>
      <c r="C1724" t="s">
        <v>111</v>
      </c>
      <c r="D1724" t="s">
        <v>112</v>
      </c>
      <c r="G1724" s="17" t="s">
        <v>35</v>
      </c>
      <c r="H1724" s="17">
        <v>1</v>
      </c>
      <c r="I1724" s="1">
        <v>37909</v>
      </c>
      <c r="J1724" s="1">
        <v>43344</v>
      </c>
      <c r="K1724" t="s">
        <v>1341</v>
      </c>
      <c r="L1724" t="s">
        <v>1342</v>
      </c>
      <c r="M1724" t="s">
        <v>1270</v>
      </c>
      <c r="N1724">
        <v>24</v>
      </c>
      <c r="O1724" t="s">
        <v>40</v>
      </c>
      <c r="S1724" t="s">
        <v>40</v>
      </c>
      <c r="U1724" s="1">
        <v>43344</v>
      </c>
      <c r="V1724" t="s">
        <v>41</v>
      </c>
      <c r="W1724" t="s">
        <v>75</v>
      </c>
      <c r="X1724" t="str">
        <f>"7191004"</f>
        <v>7191004</v>
      </c>
      <c r="Y1724" t="s">
        <v>1344</v>
      </c>
      <c r="Z1724" t="s">
        <v>1341</v>
      </c>
      <c r="AA1724" t="s">
        <v>1342</v>
      </c>
      <c r="AB1724" t="s">
        <v>1270</v>
      </c>
      <c r="AC1724" t="s">
        <v>51</v>
      </c>
      <c r="AD1724" t="s">
        <v>45</v>
      </c>
      <c r="AE1724" s="1">
        <v>29506</v>
      </c>
      <c r="AF1724">
        <v>1</v>
      </c>
      <c r="AG1724" t="s">
        <v>1342</v>
      </c>
      <c r="AH1724" s="36">
        <f t="shared" si="26"/>
        <v>38.75277777777778</v>
      </c>
      <c r="AI1724" s="40" t="s">
        <v>1778</v>
      </c>
    </row>
    <row r="1725" spans="1:35" x14ac:dyDescent="0.25">
      <c r="A1725" s="36">
        <v>99911723</v>
      </c>
      <c r="B1725" s="17" t="s">
        <v>56</v>
      </c>
      <c r="C1725" t="s">
        <v>82</v>
      </c>
      <c r="D1725" t="s">
        <v>83</v>
      </c>
      <c r="G1725" s="17" t="s">
        <v>35</v>
      </c>
      <c r="H1725" s="17">
        <v>1</v>
      </c>
      <c r="I1725" t="s">
        <v>213</v>
      </c>
      <c r="J1725" s="1">
        <v>41900</v>
      </c>
      <c r="K1725" t="s">
        <v>223</v>
      </c>
      <c r="L1725" t="s">
        <v>224</v>
      </c>
      <c r="M1725" t="s">
        <v>131</v>
      </c>
      <c r="N1725">
        <v>22</v>
      </c>
      <c r="O1725" t="s">
        <v>40</v>
      </c>
      <c r="P1725" t="s">
        <v>40</v>
      </c>
      <c r="Q1725" t="s">
        <v>40</v>
      </c>
      <c r="R1725" t="s">
        <v>40</v>
      </c>
      <c r="S1725" t="s">
        <v>40</v>
      </c>
      <c r="U1725" s="1">
        <v>41900</v>
      </c>
      <c r="V1725" t="s">
        <v>41</v>
      </c>
      <c r="W1725" t="s">
        <v>42</v>
      </c>
      <c r="X1725" t="str">
        <f>"0590901"</f>
        <v>0590901</v>
      </c>
      <c r="Y1725" t="s">
        <v>242</v>
      </c>
      <c r="Z1725" t="s">
        <v>223</v>
      </c>
      <c r="AA1725" t="s">
        <v>224</v>
      </c>
      <c r="AB1725" t="s">
        <v>131</v>
      </c>
      <c r="AC1725" t="s">
        <v>51</v>
      </c>
      <c r="AD1725" t="s">
        <v>45</v>
      </c>
      <c r="AE1725" s="1">
        <v>29504</v>
      </c>
      <c r="AF1725">
        <v>2</v>
      </c>
      <c r="AG1725" t="s">
        <v>224</v>
      </c>
      <c r="AH1725" s="36">
        <f t="shared" si="26"/>
        <v>38.758333333333333</v>
      </c>
      <c r="AI1725" s="40" t="s">
        <v>1778</v>
      </c>
    </row>
    <row r="1726" spans="1:35" x14ac:dyDescent="0.25">
      <c r="A1726" s="36">
        <v>99911724</v>
      </c>
      <c r="B1726" s="17" t="s">
        <v>32</v>
      </c>
      <c r="C1726" t="s">
        <v>64</v>
      </c>
      <c r="D1726" t="s">
        <v>65</v>
      </c>
      <c r="G1726" s="17" t="s">
        <v>35</v>
      </c>
      <c r="H1726" s="17">
        <v>1</v>
      </c>
      <c r="I1726">
        <v>11620</v>
      </c>
      <c r="J1726" s="1">
        <v>43344</v>
      </c>
      <c r="K1726" t="s">
        <v>354</v>
      </c>
      <c r="L1726" t="s">
        <v>355</v>
      </c>
      <c r="M1726" t="s">
        <v>131</v>
      </c>
      <c r="N1726">
        <v>16</v>
      </c>
      <c r="O1726" t="s">
        <v>40</v>
      </c>
      <c r="P1726" t="s">
        <v>40</v>
      </c>
      <c r="Q1726" t="s">
        <v>40</v>
      </c>
      <c r="S1726" t="s">
        <v>40</v>
      </c>
      <c r="U1726" s="1">
        <v>43344</v>
      </c>
      <c r="V1726" t="s">
        <v>41</v>
      </c>
      <c r="W1726" t="s">
        <v>75</v>
      </c>
      <c r="X1726" t="str">
        <f>"7054038"</f>
        <v>7054038</v>
      </c>
      <c r="Y1726" t="s">
        <v>377</v>
      </c>
      <c r="Z1726" t="s">
        <v>354</v>
      </c>
      <c r="AA1726" t="s">
        <v>355</v>
      </c>
      <c r="AB1726" t="s">
        <v>131</v>
      </c>
      <c r="AC1726" t="s">
        <v>44</v>
      </c>
      <c r="AD1726" t="s">
        <v>45</v>
      </c>
      <c r="AE1726" s="1">
        <v>29504</v>
      </c>
      <c r="AF1726">
        <v>1</v>
      </c>
      <c r="AG1726" t="s">
        <v>355</v>
      </c>
      <c r="AH1726" s="36">
        <f t="shared" si="26"/>
        <v>38.758333333333333</v>
      </c>
      <c r="AI1726" s="40" t="s">
        <v>1778</v>
      </c>
    </row>
    <row r="1727" spans="1:35" x14ac:dyDescent="0.25">
      <c r="A1727" s="36">
        <v>99911725</v>
      </c>
      <c r="B1727" s="17" t="s">
        <v>32</v>
      </c>
      <c r="C1727" t="s">
        <v>139</v>
      </c>
      <c r="D1727" t="s">
        <v>140</v>
      </c>
      <c r="G1727" s="17" t="s">
        <v>35</v>
      </c>
      <c r="H1727" s="17">
        <v>1</v>
      </c>
      <c r="K1727" t="s">
        <v>154</v>
      </c>
      <c r="L1727" t="s">
        <v>155</v>
      </c>
      <c r="M1727" t="s">
        <v>131</v>
      </c>
      <c r="N1727">
        <v>9</v>
      </c>
      <c r="O1727" t="s">
        <v>40</v>
      </c>
      <c r="P1727" t="s">
        <v>40</v>
      </c>
      <c r="Q1727" t="s">
        <v>40</v>
      </c>
      <c r="S1727" t="s">
        <v>40</v>
      </c>
      <c r="V1727" t="s">
        <v>41</v>
      </c>
      <c r="W1727" t="s">
        <v>75</v>
      </c>
      <c r="X1727" t="str">
        <f>"7051026"</f>
        <v>7051026</v>
      </c>
      <c r="Y1727" t="s">
        <v>396</v>
      </c>
      <c r="Z1727" t="s">
        <v>154</v>
      </c>
      <c r="AA1727" t="s">
        <v>155</v>
      </c>
      <c r="AB1727" t="s">
        <v>131</v>
      </c>
      <c r="AC1727" t="s">
        <v>51</v>
      </c>
      <c r="AD1727" t="s">
        <v>45</v>
      </c>
      <c r="AE1727" s="1">
        <v>29502</v>
      </c>
      <c r="AF1727">
        <v>1</v>
      </c>
      <c r="AG1727" t="s">
        <v>155</v>
      </c>
      <c r="AH1727" s="36">
        <f t="shared" si="26"/>
        <v>38.763888888888886</v>
      </c>
      <c r="AI1727" s="40" t="s">
        <v>1778</v>
      </c>
    </row>
    <row r="1728" spans="1:35" x14ac:dyDescent="0.25">
      <c r="A1728" s="36">
        <v>99911726</v>
      </c>
      <c r="B1728" s="17" t="s">
        <v>56</v>
      </c>
      <c r="C1728" t="s">
        <v>111</v>
      </c>
      <c r="D1728" t="s">
        <v>112</v>
      </c>
      <c r="G1728" s="17" t="s">
        <v>35</v>
      </c>
      <c r="H1728" s="17">
        <v>1</v>
      </c>
      <c r="I1728">
        <v>19056</v>
      </c>
      <c r="J1728" s="1">
        <v>43374</v>
      </c>
      <c r="K1728" t="s">
        <v>877</v>
      </c>
      <c r="L1728" t="s">
        <v>878</v>
      </c>
      <c r="M1728" t="s">
        <v>131</v>
      </c>
      <c r="N1728">
        <v>24</v>
      </c>
      <c r="O1728" t="s">
        <v>40</v>
      </c>
      <c r="P1728" t="s">
        <v>40</v>
      </c>
      <c r="Q1728" t="s">
        <v>40</v>
      </c>
      <c r="R1728" t="s">
        <v>40</v>
      </c>
      <c r="S1728" t="s">
        <v>40</v>
      </c>
      <c r="U1728" s="1">
        <v>43374</v>
      </c>
      <c r="V1728" t="s">
        <v>41</v>
      </c>
      <c r="W1728" t="s">
        <v>75</v>
      </c>
      <c r="X1728" t="str">
        <f>"7541008"</f>
        <v>7541008</v>
      </c>
      <c r="Y1728" t="s">
        <v>879</v>
      </c>
      <c r="Z1728" t="s">
        <v>877</v>
      </c>
      <c r="AA1728" t="s">
        <v>878</v>
      </c>
      <c r="AB1728" t="s">
        <v>131</v>
      </c>
      <c r="AC1728" t="s">
        <v>44</v>
      </c>
      <c r="AD1728" t="s">
        <v>45</v>
      </c>
      <c r="AE1728" s="1">
        <v>29502</v>
      </c>
      <c r="AF1728">
        <v>1</v>
      </c>
      <c r="AG1728" t="s">
        <v>878</v>
      </c>
      <c r="AH1728" s="36">
        <f t="shared" si="26"/>
        <v>38.763888888888886</v>
      </c>
      <c r="AI1728" s="40" t="s">
        <v>1778</v>
      </c>
    </row>
    <row r="1729" spans="1:35" x14ac:dyDescent="0.25">
      <c r="A1729" s="36">
        <v>99911727</v>
      </c>
      <c r="B1729" s="17" t="s">
        <v>32</v>
      </c>
      <c r="C1729" t="s">
        <v>46</v>
      </c>
      <c r="D1729" t="s">
        <v>47</v>
      </c>
      <c r="G1729" s="17" t="s">
        <v>35</v>
      </c>
      <c r="H1729" s="17">
        <v>1</v>
      </c>
      <c r="I1729" t="s">
        <v>1145</v>
      </c>
      <c r="J1729" s="1">
        <v>43356</v>
      </c>
      <c r="K1729" t="s">
        <v>1128</v>
      </c>
      <c r="L1729" t="s">
        <v>1129</v>
      </c>
      <c r="M1729" t="s">
        <v>1130</v>
      </c>
      <c r="N1729">
        <v>10</v>
      </c>
      <c r="O1729" t="s">
        <v>40</v>
      </c>
      <c r="S1729" t="s">
        <v>40</v>
      </c>
      <c r="U1729" s="1">
        <v>43356</v>
      </c>
      <c r="V1729" t="s">
        <v>41</v>
      </c>
      <c r="W1729" t="s">
        <v>49</v>
      </c>
      <c r="X1729" t="str">
        <f>"3160003"</f>
        <v>3160003</v>
      </c>
      <c r="Y1729" t="s">
        <v>1146</v>
      </c>
      <c r="Z1729" t="s">
        <v>1128</v>
      </c>
      <c r="AA1729" t="s">
        <v>1129</v>
      </c>
      <c r="AB1729" t="s">
        <v>1130</v>
      </c>
      <c r="AC1729" t="s">
        <v>44</v>
      </c>
      <c r="AD1729" t="s">
        <v>45</v>
      </c>
      <c r="AE1729" s="1">
        <v>29502</v>
      </c>
      <c r="AF1729">
        <v>2</v>
      </c>
      <c r="AG1729" t="s">
        <v>1129</v>
      </c>
      <c r="AH1729" s="36">
        <f t="shared" si="26"/>
        <v>38.763888888888886</v>
      </c>
      <c r="AI1729" s="40" t="s">
        <v>1778</v>
      </c>
    </row>
    <row r="1730" spans="1:35" x14ac:dyDescent="0.25">
      <c r="A1730" s="36">
        <v>99911728</v>
      </c>
      <c r="B1730" s="17" t="s">
        <v>56</v>
      </c>
      <c r="C1730" t="s">
        <v>52</v>
      </c>
      <c r="D1730" t="s">
        <v>53</v>
      </c>
      <c r="G1730" s="17" t="s">
        <v>35</v>
      </c>
      <c r="H1730" s="17">
        <v>1</v>
      </c>
      <c r="I1730" t="s">
        <v>1153</v>
      </c>
      <c r="J1730" s="1">
        <v>42979</v>
      </c>
      <c r="K1730" t="s">
        <v>1128</v>
      </c>
      <c r="L1730" t="s">
        <v>1129</v>
      </c>
      <c r="M1730" t="s">
        <v>1130</v>
      </c>
      <c r="N1730">
        <v>8</v>
      </c>
      <c r="O1730" t="s">
        <v>40</v>
      </c>
      <c r="P1730" t="s">
        <v>40</v>
      </c>
      <c r="Q1730" t="s">
        <v>40</v>
      </c>
      <c r="R1730" t="s">
        <v>40</v>
      </c>
      <c r="S1730" t="s">
        <v>40</v>
      </c>
      <c r="U1730" s="1">
        <v>42979</v>
      </c>
      <c r="V1730" t="s">
        <v>41</v>
      </c>
      <c r="W1730" t="s">
        <v>49</v>
      </c>
      <c r="X1730" t="str">
        <f>"3160002"</f>
        <v>3160002</v>
      </c>
      <c r="Y1730" t="s">
        <v>1143</v>
      </c>
      <c r="Z1730" t="s">
        <v>1128</v>
      </c>
      <c r="AA1730" t="s">
        <v>1129</v>
      </c>
      <c r="AB1730" t="s">
        <v>1130</v>
      </c>
      <c r="AC1730" t="s">
        <v>44</v>
      </c>
      <c r="AD1730" t="s">
        <v>45</v>
      </c>
      <c r="AE1730" s="1">
        <v>29494</v>
      </c>
      <c r="AF1730">
        <v>2</v>
      </c>
      <c r="AG1730" t="s">
        <v>1129</v>
      </c>
      <c r="AH1730" s="36">
        <f t="shared" ref="AH1730:AH1793" si="27">($AJ$1-AE1730)/360</f>
        <v>38.786111111111111</v>
      </c>
      <c r="AI1730" s="40" t="s">
        <v>1778</v>
      </c>
    </row>
    <row r="1731" spans="1:35" x14ac:dyDescent="0.25">
      <c r="A1731" s="36">
        <v>99911729</v>
      </c>
      <c r="B1731" s="17" t="s">
        <v>32</v>
      </c>
      <c r="C1731" t="s">
        <v>90</v>
      </c>
      <c r="D1731" t="s">
        <v>91</v>
      </c>
      <c r="G1731" s="17" t="s">
        <v>48</v>
      </c>
      <c r="H1731" s="17">
        <v>4</v>
      </c>
      <c r="I1731" t="s">
        <v>1017</v>
      </c>
      <c r="J1731" s="1">
        <v>43344</v>
      </c>
      <c r="K1731" t="s">
        <v>963</v>
      </c>
      <c r="L1731" t="s">
        <v>964</v>
      </c>
      <c r="M1731" t="s">
        <v>938</v>
      </c>
      <c r="N1731">
        <v>25</v>
      </c>
      <c r="O1731" t="s">
        <v>40</v>
      </c>
      <c r="P1731" t="s">
        <v>40</v>
      </c>
      <c r="Q1731" t="s">
        <v>40</v>
      </c>
      <c r="R1731" t="s">
        <v>40</v>
      </c>
      <c r="S1731" t="s">
        <v>40</v>
      </c>
      <c r="U1731" s="1">
        <v>43344</v>
      </c>
      <c r="V1731" t="s">
        <v>41</v>
      </c>
      <c r="W1731" t="s">
        <v>95</v>
      </c>
      <c r="X1731" t="str">
        <f>"7061027"</f>
        <v>7061027</v>
      </c>
      <c r="Y1731" t="s">
        <v>1022</v>
      </c>
      <c r="Z1731" t="s">
        <v>963</v>
      </c>
      <c r="AA1731" t="s">
        <v>964</v>
      </c>
      <c r="AB1731" t="s">
        <v>938</v>
      </c>
      <c r="AC1731" t="s">
        <v>51</v>
      </c>
      <c r="AD1731" t="s">
        <v>45</v>
      </c>
      <c r="AE1731" s="1">
        <v>29487</v>
      </c>
      <c r="AF1731">
        <v>1</v>
      </c>
      <c r="AG1731" t="s">
        <v>964</v>
      </c>
      <c r="AH1731" s="36">
        <f t="shared" si="27"/>
        <v>38.805555555555557</v>
      </c>
      <c r="AI1731" s="40" t="s">
        <v>1778</v>
      </c>
    </row>
    <row r="1732" spans="1:35" x14ac:dyDescent="0.25">
      <c r="A1732" s="36">
        <v>99911730</v>
      </c>
      <c r="B1732" s="17" t="s">
        <v>56</v>
      </c>
      <c r="C1732" t="s">
        <v>46</v>
      </c>
      <c r="D1732" t="s">
        <v>47</v>
      </c>
      <c r="G1732" s="17" t="s">
        <v>48</v>
      </c>
      <c r="H1732" s="17">
        <v>1</v>
      </c>
      <c r="K1732" t="s">
        <v>223</v>
      </c>
      <c r="L1732" t="s">
        <v>224</v>
      </c>
      <c r="M1732" t="s">
        <v>131</v>
      </c>
      <c r="N1732">
        <v>21</v>
      </c>
      <c r="O1732" t="s">
        <v>40</v>
      </c>
      <c r="P1732" t="s">
        <v>40</v>
      </c>
      <c r="Q1732" t="s">
        <v>40</v>
      </c>
      <c r="S1732" t="s">
        <v>40</v>
      </c>
      <c r="V1732" t="s">
        <v>41</v>
      </c>
      <c r="W1732" t="s">
        <v>49</v>
      </c>
      <c r="X1732" t="str">
        <f>"0581200"</f>
        <v>0581200</v>
      </c>
      <c r="Y1732" t="s">
        <v>238</v>
      </c>
      <c r="Z1732" t="s">
        <v>223</v>
      </c>
      <c r="AA1732" t="s">
        <v>224</v>
      </c>
      <c r="AB1732" t="s">
        <v>131</v>
      </c>
      <c r="AC1732" t="s">
        <v>51</v>
      </c>
      <c r="AD1732" t="s">
        <v>45</v>
      </c>
      <c r="AE1732" s="1">
        <v>29478</v>
      </c>
      <c r="AF1732">
        <v>2</v>
      </c>
      <c r="AG1732" t="s">
        <v>224</v>
      </c>
      <c r="AH1732" s="36">
        <f t="shared" si="27"/>
        <v>38.830555555555556</v>
      </c>
      <c r="AI1732" s="40" t="s">
        <v>1778</v>
      </c>
    </row>
    <row r="1733" spans="1:35" x14ac:dyDescent="0.25">
      <c r="A1733" s="36">
        <v>99911731</v>
      </c>
      <c r="B1733" s="17" t="s">
        <v>32</v>
      </c>
      <c r="C1733" t="s">
        <v>64</v>
      </c>
      <c r="D1733" t="s">
        <v>65</v>
      </c>
      <c r="G1733" s="17" t="s">
        <v>48</v>
      </c>
      <c r="H1733" s="17">
        <v>7</v>
      </c>
      <c r="I1733" t="s">
        <v>449</v>
      </c>
      <c r="J1733" s="1">
        <v>40787</v>
      </c>
      <c r="K1733" t="s">
        <v>431</v>
      </c>
      <c r="L1733" t="s">
        <v>196</v>
      </c>
      <c r="M1733" t="s">
        <v>131</v>
      </c>
      <c r="N1733">
        <v>24</v>
      </c>
      <c r="O1733" t="s">
        <v>40</v>
      </c>
      <c r="P1733" t="s">
        <v>40</v>
      </c>
      <c r="Q1733" t="s">
        <v>40</v>
      </c>
      <c r="R1733" t="s">
        <v>40</v>
      </c>
      <c r="S1733" t="s">
        <v>40</v>
      </c>
      <c r="U1733" s="1">
        <v>40787</v>
      </c>
      <c r="V1733" t="s">
        <v>41</v>
      </c>
      <c r="W1733" t="s">
        <v>75</v>
      </c>
      <c r="X1733" t="str">
        <f>"7521012"</f>
        <v>7521012</v>
      </c>
      <c r="Y1733" t="s">
        <v>432</v>
      </c>
      <c r="Z1733" t="s">
        <v>431</v>
      </c>
      <c r="AA1733" t="s">
        <v>196</v>
      </c>
      <c r="AB1733" t="s">
        <v>131</v>
      </c>
      <c r="AC1733" t="s">
        <v>165</v>
      </c>
      <c r="AD1733" t="s">
        <v>45</v>
      </c>
      <c r="AE1733" s="1">
        <v>29477</v>
      </c>
      <c r="AF1733">
        <v>1</v>
      </c>
      <c r="AG1733" t="s">
        <v>196</v>
      </c>
      <c r="AH1733" s="36">
        <f t="shared" si="27"/>
        <v>38.833333333333336</v>
      </c>
      <c r="AI1733" s="40" t="s">
        <v>1778</v>
      </c>
    </row>
    <row r="1734" spans="1:35" x14ac:dyDescent="0.25">
      <c r="A1734" s="36">
        <v>99911732</v>
      </c>
      <c r="B1734" s="17" t="s">
        <v>32</v>
      </c>
      <c r="C1734" t="s">
        <v>90</v>
      </c>
      <c r="D1734" t="s">
        <v>91</v>
      </c>
      <c r="G1734" s="17" t="s">
        <v>35</v>
      </c>
      <c r="H1734" s="17">
        <v>1</v>
      </c>
      <c r="I1734" t="s">
        <v>1299</v>
      </c>
      <c r="J1734" s="1">
        <v>42394</v>
      </c>
      <c r="K1734" t="s">
        <v>1513</v>
      </c>
      <c r="L1734" t="s">
        <v>1511</v>
      </c>
      <c r="M1734" t="s">
        <v>670</v>
      </c>
      <c r="N1734">
        <v>25</v>
      </c>
      <c r="O1734" t="s">
        <v>40</v>
      </c>
      <c r="P1734" t="s">
        <v>40</v>
      </c>
      <c r="Q1734" t="s">
        <v>40</v>
      </c>
      <c r="R1734" t="s">
        <v>40</v>
      </c>
      <c r="S1734" t="s">
        <v>40</v>
      </c>
      <c r="U1734" s="1">
        <v>42394</v>
      </c>
      <c r="V1734" t="s">
        <v>41</v>
      </c>
      <c r="W1734" t="s">
        <v>95</v>
      </c>
      <c r="X1734" t="str">
        <f>"7411005"</f>
        <v>7411005</v>
      </c>
      <c r="Y1734" t="s">
        <v>1515</v>
      </c>
      <c r="Z1734" t="s">
        <v>1513</v>
      </c>
      <c r="AA1734" t="s">
        <v>1511</v>
      </c>
      <c r="AB1734" t="s">
        <v>670</v>
      </c>
      <c r="AC1734" t="s">
        <v>51</v>
      </c>
      <c r="AD1734" t="s">
        <v>45</v>
      </c>
      <c r="AE1734" s="1">
        <v>29477</v>
      </c>
      <c r="AF1734">
        <v>1</v>
      </c>
      <c r="AG1734" t="s">
        <v>1511</v>
      </c>
      <c r="AH1734" s="36">
        <f t="shared" si="27"/>
        <v>38.833333333333336</v>
      </c>
      <c r="AI1734" s="40" t="s">
        <v>1778</v>
      </c>
    </row>
    <row r="1735" spans="1:35" x14ac:dyDescent="0.25">
      <c r="A1735" s="36">
        <v>99911733</v>
      </c>
      <c r="B1735" s="17" t="s">
        <v>56</v>
      </c>
      <c r="C1735" t="s">
        <v>58</v>
      </c>
      <c r="D1735" t="s">
        <v>59</v>
      </c>
      <c r="G1735" s="17" t="s">
        <v>35</v>
      </c>
      <c r="H1735" s="17">
        <v>1</v>
      </c>
      <c r="I1735" t="s">
        <v>1181</v>
      </c>
      <c r="J1735" s="1">
        <v>43370</v>
      </c>
      <c r="K1735" t="s">
        <v>1171</v>
      </c>
      <c r="L1735" t="s">
        <v>1172</v>
      </c>
      <c r="M1735" t="s">
        <v>1130</v>
      </c>
      <c r="N1735">
        <v>19</v>
      </c>
      <c r="O1735" t="s">
        <v>40</v>
      </c>
      <c r="S1735" t="s">
        <v>40</v>
      </c>
      <c r="U1735" s="1">
        <v>43370</v>
      </c>
      <c r="V1735" t="s">
        <v>41</v>
      </c>
      <c r="W1735" t="s">
        <v>42</v>
      </c>
      <c r="X1735" t="str">
        <f>"3561001"</f>
        <v>3561001</v>
      </c>
      <c r="Y1735" t="s">
        <v>1173</v>
      </c>
      <c r="Z1735" t="s">
        <v>1171</v>
      </c>
      <c r="AA1735" t="s">
        <v>1172</v>
      </c>
      <c r="AB1735" t="s">
        <v>1130</v>
      </c>
      <c r="AC1735" t="s">
        <v>44</v>
      </c>
      <c r="AD1735" t="s">
        <v>45</v>
      </c>
      <c r="AE1735" s="1">
        <v>29474</v>
      </c>
      <c r="AF1735">
        <v>2</v>
      </c>
      <c r="AG1735" t="s">
        <v>1172</v>
      </c>
      <c r="AH1735" s="36">
        <f t="shared" si="27"/>
        <v>38.841666666666669</v>
      </c>
      <c r="AI1735" s="40" t="s">
        <v>1778</v>
      </c>
    </row>
    <row r="1736" spans="1:35" x14ac:dyDescent="0.25">
      <c r="A1736" s="36">
        <v>99911734</v>
      </c>
      <c r="B1736" s="17" t="s">
        <v>32</v>
      </c>
      <c r="C1736" t="s">
        <v>52</v>
      </c>
      <c r="D1736" t="s">
        <v>53</v>
      </c>
      <c r="G1736" s="17" t="s">
        <v>35</v>
      </c>
      <c r="H1736" s="17">
        <v>1</v>
      </c>
      <c r="K1736" t="s">
        <v>1502</v>
      </c>
      <c r="L1736" t="s">
        <v>1503</v>
      </c>
      <c r="M1736" t="s">
        <v>670</v>
      </c>
      <c r="N1736">
        <v>24</v>
      </c>
      <c r="O1736" t="s">
        <v>40</v>
      </c>
      <c r="P1736" t="s">
        <v>40</v>
      </c>
      <c r="Q1736" t="s">
        <v>40</v>
      </c>
      <c r="R1736" t="s">
        <v>40</v>
      </c>
      <c r="S1736" t="s">
        <v>40</v>
      </c>
      <c r="V1736" t="s">
        <v>41</v>
      </c>
      <c r="W1736" t="s">
        <v>75</v>
      </c>
      <c r="X1736" t="str">
        <f>"7171000"</f>
        <v>7171000</v>
      </c>
      <c r="Y1736" t="s">
        <v>1506</v>
      </c>
      <c r="Z1736" t="s">
        <v>1502</v>
      </c>
      <c r="AA1736" t="s">
        <v>1503</v>
      </c>
      <c r="AB1736" t="s">
        <v>670</v>
      </c>
      <c r="AC1736" t="s">
        <v>51</v>
      </c>
      <c r="AD1736" t="s">
        <v>45</v>
      </c>
      <c r="AE1736" s="1">
        <v>29471</v>
      </c>
      <c r="AF1736">
        <v>1</v>
      </c>
      <c r="AG1736" t="s">
        <v>1503</v>
      </c>
      <c r="AH1736" s="36">
        <f t="shared" si="27"/>
        <v>38.85</v>
      </c>
      <c r="AI1736" s="40" t="s">
        <v>1778</v>
      </c>
    </row>
    <row r="1737" spans="1:35" x14ac:dyDescent="0.25">
      <c r="A1737" s="36">
        <v>99911735</v>
      </c>
      <c r="B1737" s="17" t="s">
        <v>32</v>
      </c>
      <c r="C1737" t="s">
        <v>90</v>
      </c>
      <c r="D1737" t="s">
        <v>91</v>
      </c>
      <c r="G1737" s="17" t="s">
        <v>48</v>
      </c>
      <c r="H1737" s="17">
        <v>1</v>
      </c>
      <c r="K1737" t="s">
        <v>431</v>
      </c>
      <c r="L1737" t="s">
        <v>196</v>
      </c>
      <c r="M1737" t="s">
        <v>131</v>
      </c>
      <c r="N1737">
        <v>20</v>
      </c>
      <c r="O1737" t="s">
        <v>40</v>
      </c>
      <c r="P1737" t="s">
        <v>40</v>
      </c>
      <c r="Q1737" t="s">
        <v>40</v>
      </c>
      <c r="S1737" t="s">
        <v>40</v>
      </c>
      <c r="V1737" t="s">
        <v>41</v>
      </c>
      <c r="W1737" t="s">
        <v>95</v>
      </c>
      <c r="X1737" t="str">
        <f>"7521011"</f>
        <v>7521011</v>
      </c>
      <c r="Y1737" t="s">
        <v>506</v>
      </c>
      <c r="Z1737" t="s">
        <v>431</v>
      </c>
      <c r="AA1737" t="s">
        <v>196</v>
      </c>
      <c r="AB1737" t="s">
        <v>131</v>
      </c>
      <c r="AC1737" t="s">
        <v>51</v>
      </c>
      <c r="AD1737" t="s">
        <v>45</v>
      </c>
      <c r="AE1737" s="1">
        <v>29470</v>
      </c>
      <c r="AF1737">
        <v>1</v>
      </c>
      <c r="AG1737" t="s">
        <v>196</v>
      </c>
      <c r="AH1737" s="36">
        <f t="shared" si="27"/>
        <v>38.852777777777774</v>
      </c>
      <c r="AI1737" s="40" t="s">
        <v>1778</v>
      </c>
    </row>
    <row r="1738" spans="1:35" x14ac:dyDescent="0.25">
      <c r="A1738" s="36">
        <v>99911736</v>
      </c>
      <c r="B1738" s="17" t="s">
        <v>32</v>
      </c>
      <c r="C1738" t="s">
        <v>64</v>
      </c>
      <c r="D1738" t="s">
        <v>65</v>
      </c>
      <c r="G1738" s="17" t="s">
        <v>35</v>
      </c>
      <c r="H1738" s="17">
        <v>1</v>
      </c>
      <c r="I1738" t="s">
        <v>740</v>
      </c>
      <c r="J1738" s="1">
        <v>43344</v>
      </c>
      <c r="K1738" t="s">
        <v>268</v>
      </c>
      <c r="L1738" t="s">
        <v>269</v>
      </c>
      <c r="M1738" t="s">
        <v>131</v>
      </c>
      <c r="N1738">
        <v>22</v>
      </c>
      <c r="O1738" t="s">
        <v>40</v>
      </c>
      <c r="P1738" t="s">
        <v>40</v>
      </c>
      <c r="Q1738" t="s">
        <v>40</v>
      </c>
      <c r="R1738" t="s">
        <v>40</v>
      </c>
      <c r="S1738" t="s">
        <v>40</v>
      </c>
      <c r="U1738" s="1">
        <v>43344</v>
      </c>
      <c r="V1738" t="s">
        <v>41</v>
      </c>
      <c r="W1738" t="s">
        <v>75</v>
      </c>
      <c r="X1738" t="str">
        <f>"7052018"</f>
        <v>7052018</v>
      </c>
      <c r="Y1738" t="s">
        <v>577</v>
      </c>
      <c r="Z1738" t="s">
        <v>268</v>
      </c>
      <c r="AA1738" t="s">
        <v>269</v>
      </c>
      <c r="AB1738" t="s">
        <v>131</v>
      </c>
      <c r="AC1738" t="s">
        <v>44</v>
      </c>
      <c r="AD1738" t="s">
        <v>45</v>
      </c>
      <c r="AE1738" s="1">
        <v>29460</v>
      </c>
      <c r="AF1738">
        <v>1</v>
      </c>
      <c r="AG1738" t="s">
        <v>269</v>
      </c>
      <c r="AH1738" s="36">
        <f t="shared" si="27"/>
        <v>38.880555555555553</v>
      </c>
      <c r="AI1738" s="40" t="s">
        <v>1778</v>
      </c>
    </row>
    <row r="1739" spans="1:35" x14ac:dyDescent="0.25">
      <c r="A1739" s="36">
        <v>99911737</v>
      </c>
      <c r="B1739" s="17" t="s">
        <v>56</v>
      </c>
      <c r="C1739" t="s">
        <v>79</v>
      </c>
      <c r="D1739" t="s">
        <v>80</v>
      </c>
      <c r="G1739" s="17" t="s">
        <v>48</v>
      </c>
      <c r="H1739" s="17">
        <v>1</v>
      </c>
      <c r="K1739" t="s">
        <v>1198</v>
      </c>
      <c r="L1739" t="s">
        <v>1199</v>
      </c>
      <c r="M1739" t="s">
        <v>1130</v>
      </c>
      <c r="N1739">
        <v>23</v>
      </c>
      <c r="O1739" t="s">
        <v>40</v>
      </c>
      <c r="P1739" t="s">
        <v>40</v>
      </c>
      <c r="Q1739" t="s">
        <v>40</v>
      </c>
      <c r="R1739" t="s">
        <v>40</v>
      </c>
      <c r="S1739" t="s">
        <v>40</v>
      </c>
      <c r="V1739" t="s">
        <v>41</v>
      </c>
      <c r="W1739" t="s">
        <v>75</v>
      </c>
      <c r="X1739" t="str">
        <f>"7311008"</f>
        <v>7311008</v>
      </c>
      <c r="Y1739" t="s">
        <v>1205</v>
      </c>
      <c r="Z1739" t="s">
        <v>1198</v>
      </c>
      <c r="AA1739" t="s">
        <v>1199</v>
      </c>
      <c r="AB1739" t="s">
        <v>1130</v>
      </c>
      <c r="AC1739" t="s">
        <v>51</v>
      </c>
      <c r="AD1739" t="s">
        <v>45</v>
      </c>
      <c r="AE1739" s="1">
        <v>29460</v>
      </c>
      <c r="AF1739">
        <v>1</v>
      </c>
      <c r="AG1739" t="s">
        <v>1199</v>
      </c>
      <c r="AH1739" s="36">
        <f t="shared" si="27"/>
        <v>38.880555555555553</v>
      </c>
      <c r="AI1739" s="40" t="s">
        <v>1778</v>
      </c>
    </row>
    <row r="1740" spans="1:35" x14ac:dyDescent="0.25">
      <c r="A1740" s="36">
        <v>99911738</v>
      </c>
      <c r="B1740" s="17" t="s">
        <v>56</v>
      </c>
      <c r="C1740" t="s">
        <v>46</v>
      </c>
      <c r="D1740" t="s">
        <v>47</v>
      </c>
      <c r="G1740" s="17" t="s">
        <v>48</v>
      </c>
      <c r="H1740" s="17">
        <v>1</v>
      </c>
      <c r="K1740" t="s">
        <v>223</v>
      </c>
      <c r="L1740" t="s">
        <v>224</v>
      </c>
      <c r="M1740" t="s">
        <v>131</v>
      </c>
      <c r="N1740">
        <v>21</v>
      </c>
      <c r="O1740" t="s">
        <v>40</v>
      </c>
      <c r="P1740" t="s">
        <v>40</v>
      </c>
      <c r="Q1740" t="s">
        <v>40</v>
      </c>
      <c r="S1740" t="s">
        <v>40</v>
      </c>
      <c r="V1740" t="s">
        <v>41</v>
      </c>
      <c r="W1740" t="s">
        <v>49</v>
      </c>
      <c r="X1740" t="str">
        <f>"0581206"</f>
        <v>0581206</v>
      </c>
      <c r="Y1740" t="s">
        <v>232</v>
      </c>
      <c r="Z1740" t="s">
        <v>223</v>
      </c>
      <c r="AA1740" t="s">
        <v>224</v>
      </c>
      <c r="AB1740" t="s">
        <v>131</v>
      </c>
      <c r="AC1740" t="s">
        <v>51</v>
      </c>
      <c r="AD1740" t="s">
        <v>45</v>
      </c>
      <c r="AE1740" s="1">
        <v>29459</v>
      </c>
      <c r="AF1740">
        <v>2</v>
      </c>
      <c r="AG1740" t="s">
        <v>224</v>
      </c>
      <c r="AH1740" s="36">
        <f t="shared" si="27"/>
        <v>38.883333333333333</v>
      </c>
      <c r="AI1740" s="40" t="s">
        <v>1778</v>
      </c>
    </row>
    <row r="1741" spans="1:35" x14ac:dyDescent="0.25">
      <c r="A1741" s="36">
        <v>99911739</v>
      </c>
      <c r="B1741" s="17" t="s">
        <v>32</v>
      </c>
      <c r="C1741" t="s">
        <v>64</v>
      </c>
      <c r="D1741" t="s">
        <v>65</v>
      </c>
      <c r="G1741" s="17" t="s">
        <v>88</v>
      </c>
      <c r="H1741" s="17">
        <v>5</v>
      </c>
      <c r="I1741" t="s">
        <v>1013</v>
      </c>
      <c r="J1741" s="1">
        <v>43344</v>
      </c>
      <c r="K1741" t="s">
        <v>963</v>
      </c>
      <c r="L1741" t="s">
        <v>964</v>
      </c>
      <c r="M1741" t="s">
        <v>938</v>
      </c>
      <c r="N1741">
        <v>14</v>
      </c>
      <c r="O1741" t="s">
        <v>40</v>
      </c>
      <c r="P1741" t="s">
        <v>40</v>
      </c>
      <c r="Q1741" t="s">
        <v>40</v>
      </c>
      <c r="R1741" t="s">
        <v>40</v>
      </c>
      <c r="S1741" t="s">
        <v>40</v>
      </c>
      <c r="U1741" s="1">
        <v>43344</v>
      </c>
      <c r="V1741" t="s">
        <v>41</v>
      </c>
      <c r="W1741" t="s">
        <v>75</v>
      </c>
      <c r="X1741" t="str">
        <f>"7061004"</f>
        <v>7061004</v>
      </c>
      <c r="Y1741" t="s">
        <v>1002</v>
      </c>
      <c r="Z1741" t="s">
        <v>963</v>
      </c>
      <c r="AA1741" t="s">
        <v>964</v>
      </c>
      <c r="AB1741" t="s">
        <v>938</v>
      </c>
      <c r="AC1741" t="s">
        <v>44</v>
      </c>
      <c r="AD1741" t="s">
        <v>45</v>
      </c>
      <c r="AE1741" s="1">
        <v>29454</v>
      </c>
      <c r="AF1741">
        <v>1</v>
      </c>
      <c r="AG1741" t="s">
        <v>964</v>
      </c>
      <c r="AH1741" s="36">
        <f t="shared" si="27"/>
        <v>38.897222222222226</v>
      </c>
      <c r="AI1741" s="40" t="s">
        <v>1778</v>
      </c>
    </row>
    <row r="1742" spans="1:35" x14ac:dyDescent="0.25">
      <c r="A1742" s="36">
        <v>99911740</v>
      </c>
      <c r="B1742" s="17" t="s">
        <v>56</v>
      </c>
      <c r="C1742" t="s">
        <v>117</v>
      </c>
      <c r="D1742" t="s">
        <v>118</v>
      </c>
      <c r="G1742" s="17" t="s">
        <v>35</v>
      </c>
      <c r="H1742" s="17">
        <v>1</v>
      </c>
      <c r="I1742" s="1">
        <v>40057</v>
      </c>
      <c r="J1742" s="1">
        <v>43344</v>
      </c>
      <c r="K1742" t="s">
        <v>1341</v>
      </c>
      <c r="L1742" t="s">
        <v>1342</v>
      </c>
      <c r="M1742" t="s">
        <v>1270</v>
      </c>
      <c r="N1742">
        <v>20</v>
      </c>
      <c r="O1742" t="s">
        <v>40</v>
      </c>
      <c r="S1742" t="s">
        <v>40</v>
      </c>
      <c r="U1742" s="1">
        <v>43344</v>
      </c>
      <c r="V1742" t="s">
        <v>41</v>
      </c>
      <c r="W1742" t="s">
        <v>75</v>
      </c>
      <c r="X1742" t="str">
        <f>"7191004"</f>
        <v>7191004</v>
      </c>
      <c r="Y1742" t="s">
        <v>1344</v>
      </c>
      <c r="Z1742" t="s">
        <v>1341</v>
      </c>
      <c r="AA1742" t="s">
        <v>1342</v>
      </c>
      <c r="AB1742" t="s">
        <v>1270</v>
      </c>
      <c r="AC1742" t="s">
        <v>51</v>
      </c>
      <c r="AD1742" t="s">
        <v>45</v>
      </c>
      <c r="AE1742" s="1">
        <v>29454</v>
      </c>
      <c r="AF1742">
        <v>1</v>
      </c>
      <c r="AG1742" t="s">
        <v>1342</v>
      </c>
      <c r="AH1742" s="36">
        <f t="shared" si="27"/>
        <v>38.897222222222226</v>
      </c>
      <c r="AI1742" s="40" t="s">
        <v>1778</v>
      </c>
    </row>
    <row r="1743" spans="1:35" x14ac:dyDescent="0.25">
      <c r="A1743" s="36">
        <v>99911741</v>
      </c>
      <c r="B1743" s="17" t="s">
        <v>32</v>
      </c>
      <c r="C1743" t="s">
        <v>85</v>
      </c>
      <c r="D1743" t="s">
        <v>86</v>
      </c>
      <c r="G1743" s="17" t="s">
        <v>48</v>
      </c>
      <c r="H1743" s="17">
        <v>1</v>
      </c>
      <c r="K1743" t="s">
        <v>1546</v>
      </c>
      <c r="L1743" t="s">
        <v>1547</v>
      </c>
      <c r="M1743" t="s">
        <v>1548</v>
      </c>
      <c r="N1743">
        <v>21</v>
      </c>
      <c r="O1743" t="s">
        <v>40</v>
      </c>
      <c r="P1743" t="s">
        <v>40</v>
      </c>
      <c r="Q1743" t="s">
        <v>40</v>
      </c>
      <c r="R1743" t="s">
        <v>40</v>
      </c>
      <c r="S1743" t="s">
        <v>40</v>
      </c>
      <c r="V1743" t="s">
        <v>41</v>
      </c>
      <c r="W1743" t="s">
        <v>49</v>
      </c>
      <c r="X1743" t="str">
        <f>"1060001"</f>
        <v>1060001</v>
      </c>
      <c r="Y1743" t="s">
        <v>1553</v>
      </c>
      <c r="Z1743" t="s">
        <v>1546</v>
      </c>
      <c r="AA1743" t="s">
        <v>1547</v>
      </c>
      <c r="AB1743" t="s">
        <v>1548</v>
      </c>
      <c r="AC1743" t="s">
        <v>51</v>
      </c>
      <c r="AD1743" t="s">
        <v>45</v>
      </c>
      <c r="AE1743" s="1">
        <v>29451</v>
      </c>
      <c r="AF1743">
        <v>2</v>
      </c>
      <c r="AG1743" t="s">
        <v>1547</v>
      </c>
      <c r="AH1743" s="36">
        <f t="shared" si="27"/>
        <v>38.905555555555559</v>
      </c>
      <c r="AI1743" s="40" t="s">
        <v>1778</v>
      </c>
    </row>
    <row r="1744" spans="1:35" x14ac:dyDescent="0.25">
      <c r="A1744" s="36">
        <v>99911742</v>
      </c>
      <c r="B1744" s="17" t="s">
        <v>32</v>
      </c>
      <c r="C1744" t="s">
        <v>64</v>
      </c>
      <c r="D1744" t="s">
        <v>65</v>
      </c>
      <c r="G1744" s="17" t="s">
        <v>35</v>
      </c>
      <c r="H1744" s="17">
        <v>1</v>
      </c>
      <c r="I1744" s="1">
        <v>39728</v>
      </c>
      <c r="J1744" s="1">
        <v>43344</v>
      </c>
      <c r="K1744" t="s">
        <v>1341</v>
      </c>
      <c r="L1744" t="s">
        <v>1342</v>
      </c>
      <c r="M1744" t="s">
        <v>1270</v>
      </c>
      <c r="N1744">
        <v>24</v>
      </c>
      <c r="O1744" t="s">
        <v>40</v>
      </c>
      <c r="S1744" t="s">
        <v>40</v>
      </c>
      <c r="U1744" s="1">
        <v>43344</v>
      </c>
      <c r="V1744" t="s">
        <v>41</v>
      </c>
      <c r="W1744" t="s">
        <v>75</v>
      </c>
      <c r="X1744" t="str">
        <f>"7191004"</f>
        <v>7191004</v>
      </c>
      <c r="Y1744" t="s">
        <v>1344</v>
      </c>
      <c r="Z1744" t="s">
        <v>1341</v>
      </c>
      <c r="AA1744" t="s">
        <v>1342</v>
      </c>
      <c r="AB1744" t="s">
        <v>1270</v>
      </c>
      <c r="AC1744" t="s">
        <v>51</v>
      </c>
      <c r="AD1744" t="s">
        <v>45</v>
      </c>
      <c r="AE1744" s="1">
        <v>29449</v>
      </c>
      <c r="AF1744">
        <v>1</v>
      </c>
      <c r="AG1744" t="s">
        <v>1342</v>
      </c>
      <c r="AH1744" s="36">
        <f t="shared" si="27"/>
        <v>38.911111111111111</v>
      </c>
      <c r="AI1744" s="40" t="s">
        <v>1778</v>
      </c>
    </row>
    <row r="1745" spans="1:35" x14ac:dyDescent="0.25">
      <c r="A1745" s="36">
        <v>99911743</v>
      </c>
      <c r="B1745" s="17" t="s">
        <v>56</v>
      </c>
      <c r="C1745" t="s">
        <v>82</v>
      </c>
      <c r="D1745" t="s">
        <v>83</v>
      </c>
      <c r="G1745" s="17" t="s">
        <v>35</v>
      </c>
      <c r="H1745" s="17">
        <v>1</v>
      </c>
      <c r="I1745" t="s">
        <v>327</v>
      </c>
      <c r="J1745" s="1">
        <v>43344</v>
      </c>
      <c r="K1745" t="s">
        <v>300</v>
      </c>
      <c r="L1745" t="s">
        <v>301</v>
      </c>
      <c r="M1745" t="s">
        <v>131</v>
      </c>
      <c r="N1745">
        <v>17</v>
      </c>
      <c r="O1745" t="s">
        <v>40</v>
      </c>
      <c r="P1745" t="s">
        <v>40</v>
      </c>
      <c r="Q1745" t="s">
        <v>40</v>
      </c>
      <c r="S1745" t="s">
        <v>40</v>
      </c>
      <c r="U1745" s="1">
        <v>43344</v>
      </c>
      <c r="V1745" t="s">
        <v>41</v>
      </c>
      <c r="W1745" t="s">
        <v>49</v>
      </c>
      <c r="X1745" t="str">
        <f>"0560020"</f>
        <v>0560020</v>
      </c>
      <c r="Y1745" t="s">
        <v>302</v>
      </c>
      <c r="Z1745" t="s">
        <v>300</v>
      </c>
      <c r="AA1745" t="s">
        <v>301</v>
      </c>
      <c r="AB1745" t="s">
        <v>131</v>
      </c>
      <c r="AC1745" t="s">
        <v>51</v>
      </c>
      <c r="AD1745" t="s">
        <v>45</v>
      </c>
      <c r="AE1745" s="1">
        <v>29447</v>
      </c>
      <c r="AF1745">
        <v>2</v>
      </c>
      <c r="AG1745" t="s">
        <v>301</v>
      </c>
      <c r="AH1745" s="36">
        <f t="shared" si="27"/>
        <v>38.916666666666664</v>
      </c>
      <c r="AI1745" s="40" t="s">
        <v>1778</v>
      </c>
    </row>
    <row r="1746" spans="1:35" x14ac:dyDescent="0.25">
      <c r="A1746" s="36">
        <v>99911744</v>
      </c>
      <c r="B1746" s="17" t="s">
        <v>32</v>
      </c>
      <c r="C1746" t="s">
        <v>136</v>
      </c>
      <c r="D1746" t="s">
        <v>137</v>
      </c>
      <c r="G1746" s="17" t="s">
        <v>35</v>
      </c>
      <c r="H1746" s="17">
        <v>4</v>
      </c>
      <c r="K1746" t="s">
        <v>268</v>
      </c>
      <c r="L1746" t="s">
        <v>269</v>
      </c>
      <c r="M1746" t="s">
        <v>131</v>
      </c>
      <c r="N1746">
        <v>24</v>
      </c>
      <c r="O1746" t="s">
        <v>40</v>
      </c>
      <c r="P1746" t="s">
        <v>40</v>
      </c>
      <c r="Q1746" t="s">
        <v>40</v>
      </c>
      <c r="R1746" t="s">
        <v>40</v>
      </c>
      <c r="S1746" t="s">
        <v>40</v>
      </c>
      <c r="V1746" t="s">
        <v>41</v>
      </c>
      <c r="W1746" t="s">
        <v>75</v>
      </c>
      <c r="X1746" t="str">
        <f>"7052004"</f>
        <v>7052004</v>
      </c>
      <c r="Y1746" t="s">
        <v>584</v>
      </c>
      <c r="Z1746" t="s">
        <v>268</v>
      </c>
      <c r="AA1746" t="s">
        <v>269</v>
      </c>
      <c r="AB1746" t="s">
        <v>131</v>
      </c>
      <c r="AC1746" t="s">
        <v>51</v>
      </c>
      <c r="AD1746" t="s">
        <v>45</v>
      </c>
      <c r="AE1746" s="1">
        <v>29446</v>
      </c>
      <c r="AF1746">
        <v>1</v>
      </c>
      <c r="AG1746" t="s">
        <v>269</v>
      </c>
      <c r="AH1746" s="36">
        <f t="shared" si="27"/>
        <v>38.919444444444444</v>
      </c>
      <c r="AI1746" s="40" t="s">
        <v>1778</v>
      </c>
    </row>
    <row r="1747" spans="1:35" x14ac:dyDescent="0.25">
      <c r="A1747" s="36">
        <v>99911745</v>
      </c>
      <c r="B1747" s="17" t="s">
        <v>32</v>
      </c>
      <c r="C1747" t="s">
        <v>79</v>
      </c>
      <c r="D1747" t="s">
        <v>80</v>
      </c>
      <c r="G1747" s="17" t="s">
        <v>48</v>
      </c>
      <c r="H1747" s="17">
        <v>1</v>
      </c>
      <c r="K1747" t="s">
        <v>268</v>
      </c>
      <c r="L1747" t="s">
        <v>269</v>
      </c>
      <c r="M1747" t="s">
        <v>131</v>
      </c>
      <c r="N1747">
        <v>23</v>
      </c>
      <c r="O1747" t="s">
        <v>40</v>
      </c>
      <c r="P1747" t="s">
        <v>40</v>
      </c>
      <c r="Q1747" t="s">
        <v>40</v>
      </c>
      <c r="S1747" t="s">
        <v>40</v>
      </c>
      <c r="V1747" t="s">
        <v>41</v>
      </c>
      <c r="W1747" t="s">
        <v>75</v>
      </c>
      <c r="X1747" t="str">
        <f>"7052040"</f>
        <v>7052040</v>
      </c>
      <c r="Y1747" t="s">
        <v>591</v>
      </c>
      <c r="Z1747" t="s">
        <v>268</v>
      </c>
      <c r="AA1747" t="s">
        <v>269</v>
      </c>
      <c r="AB1747" t="s">
        <v>131</v>
      </c>
      <c r="AC1747" t="s">
        <v>51</v>
      </c>
      <c r="AD1747" t="s">
        <v>45</v>
      </c>
      <c r="AE1747" s="1">
        <v>29445</v>
      </c>
      <c r="AF1747">
        <v>1</v>
      </c>
      <c r="AG1747" t="s">
        <v>269</v>
      </c>
      <c r="AH1747" s="36">
        <f t="shared" si="27"/>
        <v>38.922222222222224</v>
      </c>
      <c r="AI1747" s="40" t="s">
        <v>1778</v>
      </c>
    </row>
    <row r="1748" spans="1:35" x14ac:dyDescent="0.25">
      <c r="A1748" s="36">
        <v>99911746</v>
      </c>
      <c r="B1748" s="17" t="s">
        <v>32</v>
      </c>
      <c r="C1748" t="s">
        <v>64</v>
      </c>
      <c r="D1748" t="s">
        <v>65</v>
      </c>
      <c r="G1748" s="17" t="s">
        <v>35</v>
      </c>
      <c r="H1748" s="17">
        <v>1</v>
      </c>
      <c r="I1748" t="s">
        <v>1121</v>
      </c>
      <c r="J1748" s="1">
        <v>43344</v>
      </c>
      <c r="K1748" t="s">
        <v>1081</v>
      </c>
      <c r="L1748" t="s">
        <v>1082</v>
      </c>
      <c r="M1748" t="s">
        <v>1053</v>
      </c>
      <c r="N1748">
        <v>24</v>
      </c>
      <c r="O1748" t="s">
        <v>40</v>
      </c>
      <c r="P1748" t="s">
        <v>40</v>
      </c>
      <c r="Q1748" t="s">
        <v>40</v>
      </c>
      <c r="R1748" t="s">
        <v>40</v>
      </c>
      <c r="S1748" t="s">
        <v>40</v>
      </c>
      <c r="U1748" s="1">
        <v>43344</v>
      </c>
      <c r="V1748" t="s">
        <v>41</v>
      </c>
      <c r="W1748" t="s">
        <v>75</v>
      </c>
      <c r="X1748" t="str">
        <f>"7201008"</f>
        <v>7201008</v>
      </c>
      <c r="Y1748" t="s">
        <v>1084</v>
      </c>
      <c r="Z1748" t="s">
        <v>1081</v>
      </c>
      <c r="AA1748" t="s">
        <v>1082</v>
      </c>
      <c r="AB1748" t="s">
        <v>1053</v>
      </c>
      <c r="AC1748" t="s">
        <v>51</v>
      </c>
      <c r="AD1748" t="s">
        <v>45</v>
      </c>
      <c r="AE1748" s="1">
        <v>29445</v>
      </c>
      <c r="AF1748">
        <v>1</v>
      </c>
      <c r="AG1748" t="s">
        <v>1082</v>
      </c>
      <c r="AH1748" s="36">
        <f t="shared" si="27"/>
        <v>38.922222222222224</v>
      </c>
      <c r="AI1748" s="40" t="s">
        <v>1778</v>
      </c>
    </row>
    <row r="1749" spans="1:35" x14ac:dyDescent="0.25">
      <c r="A1749" s="36">
        <v>99911747</v>
      </c>
      <c r="B1749" s="17" t="s">
        <v>56</v>
      </c>
      <c r="C1749" t="s">
        <v>143</v>
      </c>
      <c r="D1749" t="s">
        <v>144</v>
      </c>
      <c r="G1749" s="17" t="s">
        <v>48</v>
      </c>
      <c r="H1749" s="17">
        <v>5</v>
      </c>
      <c r="I1749" t="s">
        <v>456</v>
      </c>
      <c r="J1749" s="1">
        <v>40422</v>
      </c>
      <c r="K1749" t="s">
        <v>195</v>
      </c>
      <c r="L1749" t="s">
        <v>196</v>
      </c>
      <c r="M1749" t="s">
        <v>131</v>
      </c>
      <c r="N1749">
        <v>23</v>
      </c>
      <c r="O1749" t="s">
        <v>40</v>
      </c>
      <c r="P1749" t="s">
        <v>40</v>
      </c>
      <c r="Q1749" t="s">
        <v>40</v>
      </c>
      <c r="R1749" t="s">
        <v>40</v>
      </c>
      <c r="S1749" t="s">
        <v>40</v>
      </c>
      <c r="U1749" s="1">
        <v>40422</v>
      </c>
      <c r="V1749" t="s">
        <v>41</v>
      </c>
      <c r="W1749" t="s">
        <v>75</v>
      </c>
      <c r="X1749" t="str">
        <f>"7521042"</f>
        <v>7521042</v>
      </c>
      <c r="Y1749" t="s">
        <v>440</v>
      </c>
      <c r="Z1749" t="s">
        <v>195</v>
      </c>
      <c r="AA1749" t="s">
        <v>196</v>
      </c>
      <c r="AB1749" t="s">
        <v>131</v>
      </c>
      <c r="AC1749" t="s">
        <v>165</v>
      </c>
      <c r="AD1749" t="s">
        <v>45</v>
      </c>
      <c r="AE1749" s="1">
        <v>29444</v>
      </c>
      <c r="AF1749">
        <v>1</v>
      </c>
      <c r="AG1749" t="s">
        <v>196</v>
      </c>
      <c r="AH1749" s="36">
        <f t="shared" si="27"/>
        <v>38.924999999999997</v>
      </c>
      <c r="AI1749" s="40" t="s">
        <v>1778</v>
      </c>
    </row>
    <row r="1750" spans="1:35" x14ac:dyDescent="0.25">
      <c r="A1750" s="36">
        <v>99911748</v>
      </c>
      <c r="B1750" s="17" t="s">
        <v>56</v>
      </c>
      <c r="C1750" t="s">
        <v>33</v>
      </c>
      <c r="D1750" t="s">
        <v>34</v>
      </c>
      <c r="G1750" s="17" t="s">
        <v>35</v>
      </c>
      <c r="H1750" s="17">
        <v>1</v>
      </c>
      <c r="K1750" t="s">
        <v>223</v>
      </c>
      <c r="L1750" t="s">
        <v>224</v>
      </c>
      <c r="M1750" t="s">
        <v>131</v>
      </c>
      <c r="N1750">
        <v>20</v>
      </c>
      <c r="O1750" t="s">
        <v>40</v>
      </c>
      <c r="P1750" t="s">
        <v>40</v>
      </c>
      <c r="Q1750" t="s">
        <v>40</v>
      </c>
      <c r="R1750" t="s">
        <v>40</v>
      </c>
      <c r="S1750" t="s">
        <v>40</v>
      </c>
      <c r="V1750" t="s">
        <v>41</v>
      </c>
      <c r="W1750" t="s">
        <v>42</v>
      </c>
      <c r="X1750" t="str">
        <f>"0590901"</f>
        <v>0590901</v>
      </c>
      <c r="Y1750" t="s">
        <v>242</v>
      </c>
      <c r="Z1750" t="s">
        <v>223</v>
      </c>
      <c r="AA1750" t="s">
        <v>224</v>
      </c>
      <c r="AB1750" t="s">
        <v>131</v>
      </c>
      <c r="AC1750" t="s">
        <v>51</v>
      </c>
      <c r="AD1750" t="s">
        <v>45</v>
      </c>
      <c r="AE1750" s="1">
        <v>29441</v>
      </c>
      <c r="AF1750">
        <v>2</v>
      </c>
      <c r="AG1750" t="s">
        <v>224</v>
      </c>
      <c r="AH1750" s="36">
        <f t="shared" si="27"/>
        <v>38.93333333333333</v>
      </c>
      <c r="AI1750" s="40" t="s">
        <v>1778</v>
      </c>
    </row>
    <row r="1751" spans="1:35" x14ac:dyDescent="0.25">
      <c r="A1751" s="36">
        <v>99911749</v>
      </c>
      <c r="B1751" s="17" t="s">
        <v>32</v>
      </c>
      <c r="C1751" t="s">
        <v>111</v>
      </c>
      <c r="D1751" t="s">
        <v>112</v>
      </c>
      <c r="G1751" s="17" t="s">
        <v>35</v>
      </c>
      <c r="H1751" s="17">
        <v>7</v>
      </c>
      <c r="K1751" t="s">
        <v>268</v>
      </c>
      <c r="L1751" t="s">
        <v>269</v>
      </c>
      <c r="M1751" t="s">
        <v>131</v>
      </c>
      <c r="N1751">
        <v>23</v>
      </c>
      <c r="O1751" t="s">
        <v>40</v>
      </c>
      <c r="P1751" t="s">
        <v>40</v>
      </c>
      <c r="Q1751" t="s">
        <v>40</v>
      </c>
      <c r="R1751" t="s">
        <v>40</v>
      </c>
      <c r="S1751" t="s">
        <v>40</v>
      </c>
      <c r="V1751" t="s">
        <v>41</v>
      </c>
      <c r="W1751" t="s">
        <v>75</v>
      </c>
      <c r="X1751" t="str">
        <f>"7052002"</f>
        <v>7052002</v>
      </c>
      <c r="Y1751" t="s">
        <v>590</v>
      </c>
      <c r="Z1751" t="s">
        <v>268</v>
      </c>
      <c r="AA1751" t="s">
        <v>269</v>
      </c>
      <c r="AB1751" t="s">
        <v>131</v>
      </c>
      <c r="AC1751" t="s">
        <v>165</v>
      </c>
      <c r="AD1751" t="s">
        <v>45</v>
      </c>
      <c r="AE1751" s="1">
        <v>29438</v>
      </c>
      <c r="AF1751">
        <v>1</v>
      </c>
      <c r="AG1751" t="s">
        <v>269</v>
      </c>
      <c r="AH1751" s="36">
        <f t="shared" si="27"/>
        <v>38.94166666666667</v>
      </c>
      <c r="AI1751" s="40" t="s">
        <v>1778</v>
      </c>
    </row>
    <row r="1752" spans="1:35" x14ac:dyDescent="0.25">
      <c r="A1752" s="36">
        <v>99911750</v>
      </c>
      <c r="B1752" s="17" t="s">
        <v>32</v>
      </c>
      <c r="C1752" t="s">
        <v>90</v>
      </c>
      <c r="D1752" t="s">
        <v>91</v>
      </c>
      <c r="G1752" s="17" t="s">
        <v>48</v>
      </c>
      <c r="H1752" s="17">
        <v>1</v>
      </c>
      <c r="K1752" t="s">
        <v>268</v>
      </c>
      <c r="L1752" t="s">
        <v>269</v>
      </c>
      <c r="M1752" t="s">
        <v>131</v>
      </c>
      <c r="N1752">
        <v>17</v>
      </c>
      <c r="O1752" t="s">
        <v>40</v>
      </c>
      <c r="P1752" t="s">
        <v>40</v>
      </c>
      <c r="Q1752" t="s">
        <v>40</v>
      </c>
      <c r="S1752" t="s">
        <v>40</v>
      </c>
      <c r="V1752" t="s">
        <v>41</v>
      </c>
      <c r="W1752" t="s">
        <v>95</v>
      </c>
      <c r="X1752" t="str">
        <f>"7052001"</f>
        <v>7052001</v>
      </c>
      <c r="Y1752" t="s">
        <v>576</v>
      </c>
      <c r="Z1752" t="s">
        <v>268</v>
      </c>
      <c r="AA1752" t="s">
        <v>269</v>
      </c>
      <c r="AB1752" t="s">
        <v>131</v>
      </c>
      <c r="AC1752" t="s">
        <v>51</v>
      </c>
      <c r="AD1752" t="s">
        <v>45</v>
      </c>
      <c r="AE1752" s="1">
        <v>29437</v>
      </c>
      <c r="AF1752">
        <v>1</v>
      </c>
      <c r="AG1752" t="s">
        <v>269</v>
      </c>
      <c r="AH1752" s="36">
        <f t="shared" si="27"/>
        <v>38.944444444444443</v>
      </c>
      <c r="AI1752" s="40" t="s">
        <v>1778</v>
      </c>
    </row>
    <row r="1753" spans="1:35" x14ac:dyDescent="0.25">
      <c r="A1753" s="36">
        <v>99911751</v>
      </c>
      <c r="B1753" s="17" t="s">
        <v>32</v>
      </c>
      <c r="C1753" t="s">
        <v>82</v>
      </c>
      <c r="D1753" t="s">
        <v>83</v>
      </c>
      <c r="G1753" s="17" t="s">
        <v>35</v>
      </c>
      <c r="H1753" s="17">
        <v>1</v>
      </c>
      <c r="I1753" t="s">
        <v>969</v>
      </c>
      <c r="J1753" s="1">
        <v>43344</v>
      </c>
      <c r="K1753" t="s">
        <v>947</v>
      </c>
      <c r="L1753" t="s">
        <v>948</v>
      </c>
      <c r="M1753" t="s">
        <v>938</v>
      </c>
      <c r="N1753">
        <v>17</v>
      </c>
      <c r="O1753" t="s">
        <v>40</v>
      </c>
      <c r="P1753" t="s">
        <v>40</v>
      </c>
      <c r="Q1753" t="s">
        <v>40</v>
      </c>
      <c r="S1753" t="s">
        <v>40</v>
      </c>
      <c r="U1753" s="1">
        <v>43344</v>
      </c>
      <c r="V1753" t="s">
        <v>41</v>
      </c>
      <c r="W1753" t="s">
        <v>49</v>
      </c>
      <c r="X1753" t="str">
        <f>"0645053"</f>
        <v>0645053</v>
      </c>
      <c r="Y1753" t="s">
        <v>957</v>
      </c>
      <c r="Z1753" t="s">
        <v>947</v>
      </c>
      <c r="AA1753" t="s">
        <v>948</v>
      </c>
      <c r="AB1753" t="s">
        <v>938</v>
      </c>
      <c r="AC1753" t="s">
        <v>51</v>
      </c>
      <c r="AD1753" t="s">
        <v>45</v>
      </c>
      <c r="AE1753" s="1">
        <v>29436</v>
      </c>
      <c r="AF1753">
        <v>2</v>
      </c>
      <c r="AG1753" t="s">
        <v>948</v>
      </c>
      <c r="AH1753" s="36">
        <f t="shared" si="27"/>
        <v>38.947222222222223</v>
      </c>
      <c r="AI1753" s="40" t="s">
        <v>1778</v>
      </c>
    </row>
    <row r="1754" spans="1:35" x14ac:dyDescent="0.25">
      <c r="A1754" s="36">
        <v>99911752</v>
      </c>
      <c r="B1754" s="17" t="s">
        <v>32</v>
      </c>
      <c r="C1754" t="s">
        <v>61</v>
      </c>
      <c r="D1754" t="s">
        <v>62</v>
      </c>
      <c r="G1754" s="17" t="s">
        <v>35</v>
      </c>
      <c r="H1754" s="17">
        <v>5</v>
      </c>
      <c r="K1754" t="s">
        <v>268</v>
      </c>
      <c r="L1754" t="s">
        <v>269</v>
      </c>
      <c r="M1754" t="s">
        <v>131</v>
      </c>
      <c r="N1754">
        <v>23</v>
      </c>
      <c r="O1754" t="s">
        <v>40</v>
      </c>
      <c r="P1754" t="s">
        <v>40</v>
      </c>
      <c r="Q1754" t="s">
        <v>40</v>
      </c>
      <c r="R1754" t="s">
        <v>40</v>
      </c>
      <c r="S1754" t="s">
        <v>40</v>
      </c>
      <c r="V1754" t="s">
        <v>41</v>
      </c>
      <c r="W1754" t="s">
        <v>75</v>
      </c>
      <c r="X1754" t="str">
        <f>"7052006"</f>
        <v>7052006</v>
      </c>
      <c r="Y1754" t="s">
        <v>575</v>
      </c>
      <c r="Z1754" t="s">
        <v>268</v>
      </c>
      <c r="AA1754" t="s">
        <v>269</v>
      </c>
      <c r="AB1754" t="s">
        <v>131</v>
      </c>
      <c r="AC1754" t="s">
        <v>51</v>
      </c>
      <c r="AD1754" t="s">
        <v>45</v>
      </c>
      <c r="AE1754" s="1">
        <v>29435</v>
      </c>
      <c r="AF1754">
        <v>1</v>
      </c>
      <c r="AG1754" t="s">
        <v>269</v>
      </c>
      <c r="AH1754" s="36">
        <f t="shared" si="27"/>
        <v>38.950000000000003</v>
      </c>
      <c r="AI1754" s="40" t="s">
        <v>1778</v>
      </c>
    </row>
    <row r="1755" spans="1:35" x14ac:dyDescent="0.25">
      <c r="A1755" s="36">
        <v>99911753</v>
      </c>
      <c r="B1755" s="17" t="s">
        <v>32</v>
      </c>
      <c r="C1755" t="s">
        <v>90</v>
      </c>
      <c r="D1755" t="s">
        <v>91</v>
      </c>
      <c r="G1755" s="17" t="s">
        <v>35</v>
      </c>
      <c r="H1755" s="17">
        <v>1</v>
      </c>
      <c r="I1755" t="s">
        <v>1116</v>
      </c>
      <c r="J1755" s="1">
        <v>43347</v>
      </c>
      <c r="K1755" t="s">
        <v>1081</v>
      </c>
      <c r="L1755" t="s">
        <v>1082</v>
      </c>
      <c r="M1755" t="s">
        <v>1053</v>
      </c>
      <c r="N1755">
        <v>25</v>
      </c>
      <c r="O1755" t="s">
        <v>40</v>
      </c>
      <c r="P1755" t="s">
        <v>40</v>
      </c>
      <c r="Q1755" t="s">
        <v>40</v>
      </c>
      <c r="R1755" t="s">
        <v>40</v>
      </c>
      <c r="S1755" t="s">
        <v>40</v>
      </c>
      <c r="U1755" s="1">
        <v>43347</v>
      </c>
      <c r="V1755" t="s">
        <v>41</v>
      </c>
      <c r="W1755" t="s">
        <v>95</v>
      </c>
      <c r="X1755" t="str">
        <f>"7201025"</f>
        <v>7201025</v>
      </c>
      <c r="Y1755" t="s">
        <v>1117</v>
      </c>
      <c r="Z1755" t="s">
        <v>1081</v>
      </c>
      <c r="AA1755" t="s">
        <v>1082</v>
      </c>
      <c r="AB1755" t="s">
        <v>1053</v>
      </c>
      <c r="AC1755" t="s">
        <v>44</v>
      </c>
      <c r="AD1755" t="s">
        <v>45</v>
      </c>
      <c r="AE1755" s="1">
        <v>29435</v>
      </c>
      <c r="AF1755">
        <v>1</v>
      </c>
      <c r="AG1755" t="s">
        <v>1082</v>
      </c>
      <c r="AH1755" s="36">
        <f t="shared" si="27"/>
        <v>38.950000000000003</v>
      </c>
      <c r="AI1755" s="40" t="s">
        <v>1778</v>
      </c>
    </row>
    <row r="1756" spans="1:35" x14ac:dyDescent="0.25">
      <c r="A1756" s="36">
        <v>99911754</v>
      </c>
      <c r="B1756" s="17" t="s">
        <v>56</v>
      </c>
      <c r="C1756" t="s">
        <v>46</v>
      </c>
      <c r="D1756" t="s">
        <v>47</v>
      </c>
      <c r="G1756" s="17" t="s">
        <v>48</v>
      </c>
      <c r="H1756" s="17">
        <v>1</v>
      </c>
      <c r="K1756" t="s">
        <v>345</v>
      </c>
      <c r="L1756" t="s">
        <v>346</v>
      </c>
      <c r="M1756" t="s">
        <v>131</v>
      </c>
      <c r="N1756">
        <v>21</v>
      </c>
      <c r="O1756" t="s">
        <v>40</v>
      </c>
      <c r="P1756" t="s">
        <v>40</v>
      </c>
      <c r="Q1756" t="s">
        <v>40</v>
      </c>
      <c r="R1756" t="s">
        <v>40</v>
      </c>
      <c r="S1756" t="s">
        <v>40</v>
      </c>
      <c r="V1756" t="s">
        <v>41</v>
      </c>
      <c r="W1756" t="s">
        <v>49</v>
      </c>
      <c r="X1756" t="str">
        <f>"0591906"</f>
        <v>0591906</v>
      </c>
      <c r="Y1756" t="s">
        <v>350</v>
      </c>
      <c r="Z1756" t="s">
        <v>345</v>
      </c>
      <c r="AA1756" t="s">
        <v>346</v>
      </c>
      <c r="AB1756" t="s">
        <v>131</v>
      </c>
      <c r="AC1756" t="s">
        <v>51</v>
      </c>
      <c r="AD1756" t="s">
        <v>45</v>
      </c>
      <c r="AE1756" s="1">
        <v>29432</v>
      </c>
      <c r="AF1756">
        <v>2</v>
      </c>
      <c r="AG1756" t="s">
        <v>346</v>
      </c>
      <c r="AH1756" s="36">
        <f t="shared" si="27"/>
        <v>38.958333333333336</v>
      </c>
      <c r="AI1756" s="40" t="s">
        <v>1778</v>
      </c>
    </row>
    <row r="1757" spans="1:35" x14ac:dyDescent="0.25">
      <c r="A1757" s="36">
        <v>99911755</v>
      </c>
      <c r="B1757" s="17" t="s">
        <v>32</v>
      </c>
      <c r="C1757" t="s">
        <v>58</v>
      </c>
      <c r="D1757" t="s">
        <v>59</v>
      </c>
      <c r="G1757" s="17" t="s">
        <v>48</v>
      </c>
      <c r="H1757" s="17">
        <v>1</v>
      </c>
      <c r="K1757" t="s">
        <v>345</v>
      </c>
      <c r="L1757" t="s">
        <v>346</v>
      </c>
      <c r="M1757" t="s">
        <v>131</v>
      </c>
      <c r="N1757">
        <v>23</v>
      </c>
      <c r="O1757" t="s">
        <v>40</v>
      </c>
      <c r="P1757" t="s">
        <v>40</v>
      </c>
      <c r="Q1757" t="s">
        <v>40</v>
      </c>
      <c r="R1757" t="s">
        <v>40</v>
      </c>
      <c r="S1757" t="s">
        <v>40</v>
      </c>
      <c r="V1757" t="s">
        <v>41</v>
      </c>
      <c r="W1757" t="s">
        <v>49</v>
      </c>
      <c r="X1757" t="str">
        <f>"0560004"</f>
        <v>0560004</v>
      </c>
      <c r="Y1757" t="s">
        <v>371</v>
      </c>
      <c r="Z1757" t="s">
        <v>345</v>
      </c>
      <c r="AA1757" t="s">
        <v>346</v>
      </c>
      <c r="AB1757" t="s">
        <v>131</v>
      </c>
      <c r="AC1757" t="s">
        <v>51</v>
      </c>
      <c r="AD1757" t="s">
        <v>45</v>
      </c>
      <c r="AE1757" s="1">
        <v>29427</v>
      </c>
      <c r="AF1757">
        <v>2</v>
      </c>
      <c r="AG1757" t="s">
        <v>346</v>
      </c>
      <c r="AH1757" s="36">
        <f t="shared" si="27"/>
        <v>38.972222222222221</v>
      </c>
      <c r="AI1757" s="40" t="s">
        <v>1778</v>
      </c>
    </row>
    <row r="1758" spans="1:35" x14ac:dyDescent="0.25">
      <c r="A1758" s="36">
        <v>99911756</v>
      </c>
      <c r="B1758" s="17" t="s">
        <v>32</v>
      </c>
      <c r="C1758" t="s">
        <v>90</v>
      </c>
      <c r="D1758" t="s">
        <v>91</v>
      </c>
      <c r="G1758" s="17" t="s">
        <v>35</v>
      </c>
      <c r="H1758" s="17">
        <v>1</v>
      </c>
      <c r="I1758" t="s">
        <v>1362</v>
      </c>
      <c r="J1758" s="1">
        <v>43344</v>
      </c>
      <c r="K1758" t="s">
        <v>1341</v>
      </c>
      <c r="L1758" t="s">
        <v>1342</v>
      </c>
      <c r="M1758" t="s">
        <v>1270</v>
      </c>
      <c r="N1758">
        <v>24</v>
      </c>
      <c r="O1758" t="s">
        <v>40</v>
      </c>
      <c r="S1758" t="s">
        <v>40</v>
      </c>
      <c r="U1758" s="1">
        <v>43344</v>
      </c>
      <c r="V1758" t="s">
        <v>41</v>
      </c>
      <c r="W1758" t="s">
        <v>95</v>
      </c>
      <c r="X1758" t="str">
        <f>"7191015"</f>
        <v>7191015</v>
      </c>
      <c r="Y1758" t="s">
        <v>1368</v>
      </c>
      <c r="Z1758" t="s">
        <v>1341</v>
      </c>
      <c r="AA1758" t="s">
        <v>1342</v>
      </c>
      <c r="AB1758" t="s">
        <v>1270</v>
      </c>
      <c r="AC1758" t="s">
        <v>51</v>
      </c>
      <c r="AD1758" t="s">
        <v>45</v>
      </c>
      <c r="AE1758" s="1">
        <v>29427</v>
      </c>
      <c r="AF1758">
        <v>1</v>
      </c>
      <c r="AG1758" t="s">
        <v>1342</v>
      </c>
      <c r="AH1758" s="36">
        <f t="shared" si="27"/>
        <v>38.972222222222221</v>
      </c>
      <c r="AI1758" s="40" t="s">
        <v>1778</v>
      </c>
    </row>
    <row r="1759" spans="1:35" x14ac:dyDescent="0.25">
      <c r="A1759" s="36">
        <v>99911757</v>
      </c>
      <c r="B1759" s="17" t="s">
        <v>32</v>
      </c>
      <c r="C1759" t="s">
        <v>111</v>
      </c>
      <c r="D1759" t="s">
        <v>112</v>
      </c>
      <c r="G1759" s="17" t="s">
        <v>35</v>
      </c>
      <c r="H1759" s="17">
        <v>1</v>
      </c>
      <c r="K1759" t="s">
        <v>195</v>
      </c>
      <c r="L1759" t="s">
        <v>196</v>
      </c>
      <c r="M1759" t="s">
        <v>131</v>
      </c>
      <c r="N1759">
        <v>24</v>
      </c>
      <c r="O1759" t="s">
        <v>40</v>
      </c>
      <c r="Q1759" t="s">
        <v>40</v>
      </c>
      <c r="S1759" t="s">
        <v>40</v>
      </c>
      <c r="V1759" t="s">
        <v>41</v>
      </c>
      <c r="W1759" t="s">
        <v>75</v>
      </c>
      <c r="X1759" t="str">
        <f>"7521000"</f>
        <v>7521000</v>
      </c>
      <c r="Y1759" t="s">
        <v>450</v>
      </c>
      <c r="Z1759" t="s">
        <v>195</v>
      </c>
      <c r="AA1759" t="s">
        <v>196</v>
      </c>
      <c r="AB1759" t="s">
        <v>131</v>
      </c>
      <c r="AC1759" t="s">
        <v>51</v>
      </c>
      <c r="AD1759" t="s">
        <v>45</v>
      </c>
      <c r="AE1759" s="1">
        <v>29423</v>
      </c>
      <c r="AF1759">
        <v>1</v>
      </c>
      <c r="AG1759" t="s">
        <v>196</v>
      </c>
      <c r="AH1759" s="36">
        <f t="shared" si="27"/>
        <v>38.983333333333334</v>
      </c>
      <c r="AI1759" s="40" t="s">
        <v>1778</v>
      </c>
    </row>
    <row r="1760" spans="1:35" x14ac:dyDescent="0.25">
      <c r="A1760" s="36">
        <v>99911758</v>
      </c>
      <c r="B1760" s="17" t="s">
        <v>32</v>
      </c>
      <c r="C1760" t="s">
        <v>111</v>
      </c>
      <c r="D1760" t="s">
        <v>112</v>
      </c>
      <c r="G1760" s="17" t="s">
        <v>48</v>
      </c>
      <c r="H1760" s="17">
        <v>6</v>
      </c>
      <c r="I1760" t="s">
        <v>442</v>
      </c>
      <c r="J1760" s="1">
        <v>40422</v>
      </c>
      <c r="K1760" t="s">
        <v>195</v>
      </c>
      <c r="L1760" t="s">
        <v>196</v>
      </c>
      <c r="M1760" t="s">
        <v>131</v>
      </c>
      <c r="N1760">
        <v>23</v>
      </c>
      <c r="O1760" t="s">
        <v>40</v>
      </c>
      <c r="P1760" t="s">
        <v>40</v>
      </c>
      <c r="Q1760" t="s">
        <v>40</v>
      </c>
      <c r="R1760" t="s">
        <v>40</v>
      </c>
      <c r="S1760" t="s">
        <v>40</v>
      </c>
      <c r="U1760" s="1">
        <v>40422</v>
      </c>
      <c r="V1760" t="s">
        <v>41</v>
      </c>
      <c r="W1760" t="s">
        <v>75</v>
      </c>
      <c r="X1760" t="str">
        <f>"7521052"</f>
        <v>7521052</v>
      </c>
      <c r="Y1760" t="s">
        <v>443</v>
      </c>
      <c r="Z1760" t="s">
        <v>195</v>
      </c>
      <c r="AA1760" t="s">
        <v>196</v>
      </c>
      <c r="AB1760" t="s">
        <v>131</v>
      </c>
      <c r="AC1760" t="s">
        <v>51</v>
      </c>
      <c r="AD1760" t="s">
        <v>45</v>
      </c>
      <c r="AE1760" s="1">
        <v>29416</v>
      </c>
      <c r="AF1760">
        <v>1</v>
      </c>
      <c r="AG1760" t="s">
        <v>196</v>
      </c>
      <c r="AH1760" s="36">
        <f t="shared" si="27"/>
        <v>39.00277777777778</v>
      </c>
      <c r="AI1760" s="40" t="s">
        <v>1778</v>
      </c>
    </row>
    <row r="1761" spans="1:35" x14ac:dyDescent="0.25">
      <c r="A1761" s="36">
        <v>99911759</v>
      </c>
      <c r="B1761" s="17" t="s">
        <v>56</v>
      </c>
      <c r="C1761" t="s">
        <v>85</v>
      </c>
      <c r="D1761" t="s">
        <v>86</v>
      </c>
      <c r="G1761" s="17" t="s">
        <v>35</v>
      </c>
      <c r="H1761" s="17">
        <v>1</v>
      </c>
      <c r="I1761">
        <v>22626</v>
      </c>
      <c r="J1761" s="1">
        <v>43357</v>
      </c>
      <c r="K1761" t="s">
        <v>380</v>
      </c>
      <c r="L1761" t="s">
        <v>381</v>
      </c>
      <c r="M1761" t="s">
        <v>131</v>
      </c>
      <c r="N1761">
        <v>6</v>
      </c>
      <c r="O1761" t="s">
        <v>40</v>
      </c>
      <c r="S1761" t="s">
        <v>40</v>
      </c>
      <c r="U1761" s="1">
        <v>43357</v>
      </c>
      <c r="V1761" t="s">
        <v>41</v>
      </c>
      <c r="W1761" t="s">
        <v>49</v>
      </c>
      <c r="X1761" t="str">
        <f>"0581859"</f>
        <v>0581859</v>
      </c>
      <c r="Y1761" t="s">
        <v>394</v>
      </c>
      <c r="Z1761" t="s">
        <v>380</v>
      </c>
      <c r="AA1761" t="s">
        <v>381</v>
      </c>
      <c r="AB1761" t="s">
        <v>131</v>
      </c>
      <c r="AC1761" t="s">
        <v>44</v>
      </c>
      <c r="AD1761" t="s">
        <v>45</v>
      </c>
      <c r="AE1761" s="1">
        <v>29412</v>
      </c>
      <c r="AF1761">
        <v>2</v>
      </c>
      <c r="AG1761" t="s">
        <v>381</v>
      </c>
      <c r="AH1761" s="36">
        <f t="shared" si="27"/>
        <v>39.013888888888886</v>
      </c>
      <c r="AI1761" s="40" t="s">
        <v>1778</v>
      </c>
    </row>
    <row r="1762" spans="1:35" x14ac:dyDescent="0.25">
      <c r="A1762" s="36">
        <v>99911760</v>
      </c>
      <c r="B1762" s="17" t="s">
        <v>32</v>
      </c>
      <c r="C1762" t="s">
        <v>82</v>
      </c>
      <c r="D1762" t="s">
        <v>83</v>
      </c>
      <c r="E1762" t="s">
        <v>1301</v>
      </c>
      <c r="F1762" t="s">
        <v>1302</v>
      </c>
      <c r="G1762" s="17" t="s">
        <v>35</v>
      </c>
      <c r="H1762" s="17">
        <v>1</v>
      </c>
      <c r="K1762" t="s">
        <v>1268</v>
      </c>
      <c r="L1762" t="s">
        <v>1269</v>
      </c>
      <c r="M1762" t="s">
        <v>1270</v>
      </c>
      <c r="N1762">
        <v>23</v>
      </c>
      <c r="O1762" t="s">
        <v>40</v>
      </c>
      <c r="P1762" t="s">
        <v>40</v>
      </c>
      <c r="Q1762" t="s">
        <v>40</v>
      </c>
      <c r="R1762" t="s">
        <v>40</v>
      </c>
      <c r="S1762" t="s">
        <v>40</v>
      </c>
      <c r="V1762" t="s">
        <v>41</v>
      </c>
      <c r="W1762" t="s">
        <v>42</v>
      </c>
      <c r="X1762" t="str">
        <f>"1990001"</f>
        <v>1990001</v>
      </c>
      <c r="Y1762" t="s">
        <v>1294</v>
      </c>
      <c r="Z1762" t="s">
        <v>1268</v>
      </c>
      <c r="AA1762" t="s">
        <v>1269</v>
      </c>
      <c r="AB1762" t="s">
        <v>1270</v>
      </c>
      <c r="AC1762" t="s">
        <v>51</v>
      </c>
      <c r="AD1762" t="s">
        <v>45</v>
      </c>
      <c r="AE1762" s="1">
        <v>29410</v>
      </c>
      <c r="AF1762">
        <v>2</v>
      </c>
      <c r="AG1762" t="s">
        <v>1269</v>
      </c>
      <c r="AH1762" s="36">
        <f t="shared" si="27"/>
        <v>39.019444444444446</v>
      </c>
      <c r="AI1762" s="40" t="s">
        <v>1778</v>
      </c>
    </row>
    <row r="1763" spans="1:35" x14ac:dyDescent="0.25">
      <c r="A1763" s="36">
        <v>99911761</v>
      </c>
      <c r="B1763" s="17" t="s">
        <v>32</v>
      </c>
      <c r="C1763" t="s">
        <v>46</v>
      </c>
      <c r="D1763" t="s">
        <v>47</v>
      </c>
      <c r="G1763" s="17" t="s">
        <v>48</v>
      </c>
      <c r="H1763" s="17">
        <v>1</v>
      </c>
      <c r="I1763" t="s">
        <v>1311</v>
      </c>
      <c r="K1763" t="s">
        <v>1306</v>
      </c>
      <c r="L1763" t="s">
        <v>1307</v>
      </c>
      <c r="M1763" t="s">
        <v>1270</v>
      </c>
      <c r="N1763">
        <v>21</v>
      </c>
      <c r="O1763" t="s">
        <v>40</v>
      </c>
      <c r="P1763" t="s">
        <v>40</v>
      </c>
      <c r="Q1763" t="s">
        <v>40</v>
      </c>
      <c r="R1763" t="s">
        <v>40</v>
      </c>
      <c r="S1763" t="s">
        <v>40</v>
      </c>
      <c r="V1763" t="s">
        <v>41</v>
      </c>
      <c r="W1763" t="s">
        <v>49</v>
      </c>
      <c r="X1763" t="str">
        <f>"1991913"</f>
        <v>1991913</v>
      </c>
      <c r="Y1763" t="s">
        <v>1310</v>
      </c>
      <c r="Z1763" t="s">
        <v>1306</v>
      </c>
      <c r="AA1763" t="s">
        <v>1307</v>
      </c>
      <c r="AB1763" t="s">
        <v>1270</v>
      </c>
      <c r="AC1763" t="s">
        <v>51</v>
      </c>
      <c r="AD1763" t="s">
        <v>45</v>
      </c>
      <c r="AE1763" s="1">
        <v>29407</v>
      </c>
      <c r="AF1763">
        <v>2</v>
      </c>
      <c r="AG1763" t="s">
        <v>1307</v>
      </c>
      <c r="AH1763" s="36">
        <f t="shared" si="27"/>
        <v>39.027777777777779</v>
      </c>
      <c r="AI1763" s="40" t="s">
        <v>1778</v>
      </c>
    </row>
    <row r="1764" spans="1:35" x14ac:dyDescent="0.25">
      <c r="A1764" s="36">
        <v>99911762</v>
      </c>
      <c r="B1764" s="17" t="s">
        <v>32</v>
      </c>
      <c r="C1764" t="s">
        <v>52</v>
      </c>
      <c r="D1764" t="s">
        <v>53</v>
      </c>
      <c r="G1764" s="17" t="s">
        <v>48</v>
      </c>
      <c r="H1764" s="17">
        <v>1</v>
      </c>
      <c r="K1764" t="s">
        <v>223</v>
      </c>
      <c r="L1764" t="s">
        <v>224</v>
      </c>
      <c r="M1764" t="s">
        <v>131</v>
      </c>
      <c r="N1764">
        <v>20</v>
      </c>
      <c r="O1764" t="s">
        <v>40</v>
      </c>
      <c r="P1764" t="s">
        <v>40</v>
      </c>
      <c r="Q1764" t="s">
        <v>40</v>
      </c>
      <c r="R1764" t="s">
        <v>40</v>
      </c>
      <c r="S1764" t="s">
        <v>40</v>
      </c>
      <c r="V1764" t="s">
        <v>41</v>
      </c>
      <c r="W1764" t="s">
        <v>49</v>
      </c>
      <c r="X1764" t="str">
        <f>"0581204"</f>
        <v>0581204</v>
      </c>
      <c r="Y1764" t="s">
        <v>249</v>
      </c>
      <c r="Z1764" t="s">
        <v>223</v>
      </c>
      <c r="AA1764" t="s">
        <v>224</v>
      </c>
      <c r="AB1764" t="s">
        <v>131</v>
      </c>
      <c r="AC1764" t="s">
        <v>51</v>
      </c>
      <c r="AD1764" t="s">
        <v>45</v>
      </c>
      <c r="AE1764" s="1">
        <v>29406</v>
      </c>
      <c r="AF1764">
        <v>2</v>
      </c>
      <c r="AG1764" t="s">
        <v>224</v>
      </c>
      <c r="AH1764" s="36">
        <f t="shared" si="27"/>
        <v>39.030555555555559</v>
      </c>
      <c r="AI1764" s="40" t="s">
        <v>1778</v>
      </c>
    </row>
    <row r="1765" spans="1:35" x14ac:dyDescent="0.25">
      <c r="A1765" s="36">
        <v>99911763</v>
      </c>
      <c r="B1765" s="17" t="s">
        <v>32</v>
      </c>
      <c r="C1765" t="s">
        <v>52</v>
      </c>
      <c r="D1765" t="s">
        <v>53</v>
      </c>
      <c r="G1765" s="17" t="s">
        <v>48</v>
      </c>
      <c r="H1765" s="17">
        <v>1</v>
      </c>
      <c r="I1765" t="s">
        <v>393</v>
      </c>
      <c r="J1765" s="1">
        <v>41981</v>
      </c>
      <c r="K1765" t="s">
        <v>380</v>
      </c>
      <c r="L1765" t="s">
        <v>381</v>
      </c>
      <c r="M1765" t="s">
        <v>131</v>
      </c>
      <c r="N1765">
        <v>21</v>
      </c>
      <c r="O1765" t="s">
        <v>40</v>
      </c>
      <c r="P1765" t="s">
        <v>40</v>
      </c>
      <c r="Q1765" t="s">
        <v>40</v>
      </c>
      <c r="R1765" t="s">
        <v>40</v>
      </c>
      <c r="S1765" t="s">
        <v>40</v>
      </c>
      <c r="U1765" s="1">
        <v>41981</v>
      </c>
      <c r="V1765" t="s">
        <v>41</v>
      </c>
      <c r="W1765" t="s">
        <v>42</v>
      </c>
      <c r="X1765" t="str">
        <f>"0590909"</f>
        <v>0590909</v>
      </c>
      <c r="Y1765" t="s">
        <v>388</v>
      </c>
      <c r="Z1765" t="s">
        <v>380</v>
      </c>
      <c r="AA1765" t="s">
        <v>381</v>
      </c>
      <c r="AB1765" t="s">
        <v>131</v>
      </c>
      <c r="AC1765" t="s">
        <v>51</v>
      </c>
      <c r="AD1765" t="s">
        <v>45</v>
      </c>
      <c r="AE1765" s="1">
        <v>29405</v>
      </c>
      <c r="AF1765">
        <v>2</v>
      </c>
      <c r="AG1765" t="s">
        <v>381</v>
      </c>
      <c r="AH1765" s="36">
        <f t="shared" si="27"/>
        <v>39.033333333333331</v>
      </c>
      <c r="AI1765" s="40" t="s">
        <v>1778</v>
      </c>
    </row>
    <row r="1766" spans="1:35" x14ac:dyDescent="0.25">
      <c r="A1766" s="36">
        <v>99911764</v>
      </c>
      <c r="B1766" s="17" t="s">
        <v>32</v>
      </c>
      <c r="C1766" t="s">
        <v>149</v>
      </c>
      <c r="D1766" t="s">
        <v>150</v>
      </c>
      <c r="G1766" s="17" t="s">
        <v>35</v>
      </c>
      <c r="H1766" s="17">
        <v>1</v>
      </c>
      <c r="I1766" t="s">
        <v>1149</v>
      </c>
      <c r="J1766" s="1">
        <v>43346</v>
      </c>
      <c r="K1766" t="s">
        <v>1128</v>
      </c>
      <c r="L1766" t="s">
        <v>1129</v>
      </c>
      <c r="M1766" t="s">
        <v>1130</v>
      </c>
      <c r="N1766">
        <v>7</v>
      </c>
      <c r="O1766" t="s">
        <v>40</v>
      </c>
      <c r="S1766" t="s">
        <v>40</v>
      </c>
      <c r="U1766" s="1">
        <v>43346</v>
      </c>
      <c r="V1766" t="s">
        <v>41</v>
      </c>
      <c r="W1766" t="s">
        <v>49</v>
      </c>
      <c r="X1766" t="str">
        <f>"3181010"</f>
        <v>3181010</v>
      </c>
      <c r="Y1766" t="s">
        <v>1134</v>
      </c>
      <c r="Z1766" t="s">
        <v>1128</v>
      </c>
      <c r="AA1766" t="s">
        <v>1129</v>
      </c>
      <c r="AB1766" t="s">
        <v>1130</v>
      </c>
      <c r="AC1766" t="s">
        <v>44</v>
      </c>
      <c r="AD1766" t="s">
        <v>45</v>
      </c>
      <c r="AE1766" s="1">
        <v>29403</v>
      </c>
      <c r="AF1766">
        <v>2</v>
      </c>
      <c r="AG1766" t="s">
        <v>1129</v>
      </c>
      <c r="AH1766" s="36">
        <f t="shared" si="27"/>
        <v>39.038888888888891</v>
      </c>
      <c r="AI1766" s="40" t="s">
        <v>1778</v>
      </c>
    </row>
    <row r="1767" spans="1:35" x14ac:dyDescent="0.25">
      <c r="A1767" s="36">
        <v>99911765</v>
      </c>
      <c r="B1767" s="17" t="s">
        <v>32</v>
      </c>
      <c r="C1767" t="s">
        <v>143</v>
      </c>
      <c r="D1767" t="s">
        <v>144</v>
      </c>
      <c r="G1767" s="17" t="s">
        <v>35</v>
      </c>
      <c r="H1767" s="17">
        <v>1</v>
      </c>
      <c r="I1767">
        <v>0</v>
      </c>
      <c r="J1767" s="1">
        <v>43344</v>
      </c>
      <c r="K1767" t="s">
        <v>223</v>
      </c>
      <c r="L1767" t="s">
        <v>224</v>
      </c>
      <c r="M1767" t="s">
        <v>131</v>
      </c>
      <c r="N1767">
        <v>3</v>
      </c>
      <c r="O1767" t="s">
        <v>40</v>
      </c>
      <c r="P1767" t="s">
        <v>40</v>
      </c>
      <c r="Q1767" t="s">
        <v>40</v>
      </c>
      <c r="R1767" t="s">
        <v>40</v>
      </c>
      <c r="S1767" t="s">
        <v>40</v>
      </c>
      <c r="U1767" s="1">
        <v>43344</v>
      </c>
      <c r="V1767" t="s">
        <v>41</v>
      </c>
      <c r="W1767" t="s">
        <v>49</v>
      </c>
      <c r="X1767" t="str">
        <f>"0560034"</f>
        <v>0560034</v>
      </c>
      <c r="Y1767" t="s">
        <v>266</v>
      </c>
      <c r="Z1767" t="s">
        <v>223</v>
      </c>
      <c r="AA1767" t="s">
        <v>224</v>
      </c>
      <c r="AB1767" t="s">
        <v>131</v>
      </c>
      <c r="AC1767" t="s">
        <v>44</v>
      </c>
      <c r="AD1767" t="s">
        <v>45</v>
      </c>
      <c r="AE1767" s="1">
        <v>29402</v>
      </c>
      <c r="AF1767">
        <v>2</v>
      </c>
      <c r="AG1767" t="s">
        <v>224</v>
      </c>
      <c r="AH1767" s="36">
        <f t="shared" si="27"/>
        <v>39.041666666666664</v>
      </c>
      <c r="AI1767" s="40" t="s">
        <v>1778</v>
      </c>
    </row>
    <row r="1768" spans="1:35" x14ac:dyDescent="0.25">
      <c r="A1768" s="36">
        <v>99911766</v>
      </c>
      <c r="B1768" s="17" t="s">
        <v>32</v>
      </c>
      <c r="C1768" t="s">
        <v>90</v>
      </c>
      <c r="D1768" t="s">
        <v>91</v>
      </c>
      <c r="G1768" s="17" t="s">
        <v>35</v>
      </c>
      <c r="H1768" s="17">
        <v>1</v>
      </c>
      <c r="I1768" t="s">
        <v>648</v>
      </c>
      <c r="J1768" s="1">
        <v>43344</v>
      </c>
      <c r="K1768" t="s">
        <v>268</v>
      </c>
      <c r="L1768" t="s">
        <v>269</v>
      </c>
      <c r="M1768" t="s">
        <v>131</v>
      </c>
      <c r="N1768">
        <v>23</v>
      </c>
      <c r="O1768" t="s">
        <v>40</v>
      </c>
      <c r="S1768" t="s">
        <v>40</v>
      </c>
      <c r="U1768" s="1">
        <v>43344</v>
      </c>
      <c r="V1768" t="s">
        <v>41</v>
      </c>
      <c r="W1768" t="s">
        <v>95</v>
      </c>
      <c r="X1768" t="str">
        <f>"7052041"</f>
        <v>7052041</v>
      </c>
      <c r="Y1768" t="s">
        <v>579</v>
      </c>
      <c r="Z1768" t="s">
        <v>268</v>
      </c>
      <c r="AA1768" t="s">
        <v>269</v>
      </c>
      <c r="AB1768" t="s">
        <v>131</v>
      </c>
      <c r="AC1768" t="s">
        <v>51</v>
      </c>
      <c r="AD1768" t="s">
        <v>45</v>
      </c>
      <c r="AE1768" s="1">
        <v>29400</v>
      </c>
      <c r="AF1768">
        <v>1</v>
      </c>
      <c r="AG1768" t="s">
        <v>269</v>
      </c>
      <c r="AH1768" s="36">
        <f t="shared" si="27"/>
        <v>39.047222222222224</v>
      </c>
      <c r="AI1768" s="40" t="s">
        <v>1778</v>
      </c>
    </row>
    <row r="1769" spans="1:35" x14ac:dyDescent="0.25">
      <c r="A1769" s="36">
        <v>99911767</v>
      </c>
      <c r="B1769" s="17" t="s">
        <v>56</v>
      </c>
      <c r="C1769" t="s">
        <v>79</v>
      </c>
      <c r="D1769" t="s">
        <v>80</v>
      </c>
      <c r="G1769" s="17" t="s">
        <v>35</v>
      </c>
      <c r="H1769" s="17">
        <v>1</v>
      </c>
      <c r="K1769" t="s">
        <v>1268</v>
      </c>
      <c r="L1769" t="s">
        <v>1269</v>
      </c>
      <c r="M1769" t="s">
        <v>1270</v>
      </c>
      <c r="N1769">
        <v>23</v>
      </c>
      <c r="O1769" t="s">
        <v>40</v>
      </c>
      <c r="P1769" t="s">
        <v>40</v>
      </c>
      <c r="Q1769" t="s">
        <v>40</v>
      </c>
      <c r="S1769" t="s">
        <v>40</v>
      </c>
      <c r="V1769" t="s">
        <v>41</v>
      </c>
      <c r="W1769" t="s">
        <v>42</v>
      </c>
      <c r="X1769" t="str">
        <f>"1990914"</f>
        <v>1990914</v>
      </c>
      <c r="Y1769" t="s">
        <v>1275</v>
      </c>
      <c r="Z1769" t="s">
        <v>1268</v>
      </c>
      <c r="AA1769" t="s">
        <v>1269</v>
      </c>
      <c r="AB1769" t="s">
        <v>1270</v>
      </c>
      <c r="AC1769" t="s">
        <v>51</v>
      </c>
      <c r="AD1769" t="s">
        <v>45</v>
      </c>
      <c r="AE1769" s="1">
        <v>29397</v>
      </c>
      <c r="AF1769">
        <v>2</v>
      </c>
      <c r="AG1769" t="s">
        <v>1269</v>
      </c>
      <c r="AH1769" s="36">
        <f t="shared" si="27"/>
        <v>39.055555555555557</v>
      </c>
      <c r="AI1769" s="40" t="s">
        <v>1778</v>
      </c>
    </row>
    <row r="1770" spans="1:35" x14ac:dyDescent="0.25">
      <c r="A1770" s="36">
        <v>99911768</v>
      </c>
      <c r="B1770" s="17" t="s">
        <v>32</v>
      </c>
      <c r="C1770" t="s">
        <v>64</v>
      </c>
      <c r="D1770" t="s">
        <v>65</v>
      </c>
      <c r="G1770" s="17" t="s">
        <v>35</v>
      </c>
      <c r="H1770" s="17">
        <v>1</v>
      </c>
      <c r="I1770" s="1">
        <v>42614</v>
      </c>
      <c r="J1770" s="1">
        <v>43344</v>
      </c>
      <c r="K1770" t="s">
        <v>1341</v>
      </c>
      <c r="L1770" t="s">
        <v>1342</v>
      </c>
      <c r="M1770" t="s">
        <v>1270</v>
      </c>
      <c r="N1770">
        <v>22</v>
      </c>
      <c r="O1770" t="s">
        <v>40</v>
      </c>
      <c r="S1770" t="s">
        <v>40</v>
      </c>
      <c r="U1770" s="1">
        <v>43344</v>
      </c>
      <c r="V1770" t="s">
        <v>41</v>
      </c>
      <c r="W1770" t="s">
        <v>75</v>
      </c>
      <c r="X1770" t="str">
        <f>"7191034"</f>
        <v>7191034</v>
      </c>
      <c r="Y1770" t="s">
        <v>1343</v>
      </c>
      <c r="Z1770" t="s">
        <v>1341</v>
      </c>
      <c r="AA1770" t="s">
        <v>1342</v>
      </c>
      <c r="AB1770" t="s">
        <v>1270</v>
      </c>
      <c r="AC1770" t="s">
        <v>44</v>
      </c>
      <c r="AD1770" t="s">
        <v>45</v>
      </c>
      <c r="AE1770" s="1">
        <v>29397</v>
      </c>
      <c r="AF1770">
        <v>1</v>
      </c>
      <c r="AG1770" t="s">
        <v>1342</v>
      </c>
      <c r="AH1770" s="36">
        <f t="shared" si="27"/>
        <v>39.055555555555557</v>
      </c>
      <c r="AI1770" s="40" t="s">
        <v>1778</v>
      </c>
    </row>
    <row r="1771" spans="1:35" x14ac:dyDescent="0.25">
      <c r="A1771" s="36">
        <v>99911769</v>
      </c>
      <c r="B1771" s="17" t="s">
        <v>32</v>
      </c>
      <c r="C1771" t="s">
        <v>141</v>
      </c>
      <c r="D1771" t="s">
        <v>142</v>
      </c>
      <c r="G1771" s="17" t="s">
        <v>35</v>
      </c>
      <c r="H1771" s="17">
        <v>1</v>
      </c>
      <c r="K1771" t="s">
        <v>223</v>
      </c>
      <c r="L1771" t="s">
        <v>224</v>
      </c>
      <c r="M1771" t="s">
        <v>131</v>
      </c>
      <c r="N1771">
        <v>4</v>
      </c>
      <c r="O1771" t="s">
        <v>40</v>
      </c>
      <c r="P1771" t="s">
        <v>40</v>
      </c>
      <c r="Q1771" t="s">
        <v>40</v>
      </c>
      <c r="R1771" t="s">
        <v>40</v>
      </c>
      <c r="S1771" t="s">
        <v>40</v>
      </c>
      <c r="V1771" t="s">
        <v>41</v>
      </c>
      <c r="W1771" t="s">
        <v>49</v>
      </c>
      <c r="X1771" t="str">
        <f>"0560018"</f>
        <v>0560018</v>
      </c>
      <c r="Y1771" t="s">
        <v>234</v>
      </c>
      <c r="Z1771" t="s">
        <v>223</v>
      </c>
      <c r="AA1771" t="s">
        <v>224</v>
      </c>
      <c r="AB1771" t="s">
        <v>131</v>
      </c>
      <c r="AC1771" t="s">
        <v>51</v>
      </c>
      <c r="AD1771" t="s">
        <v>45</v>
      </c>
      <c r="AE1771" s="1">
        <v>29393</v>
      </c>
      <c r="AF1771">
        <v>2</v>
      </c>
      <c r="AG1771" t="s">
        <v>224</v>
      </c>
      <c r="AH1771" s="36">
        <f t="shared" si="27"/>
        <v>39.06666666666667</v>
      </c>
      <c r="AI1771" s="40" t="s">
        <v>1778</v>
      </c>
    </row>
    <row r="1772" spans="1:35" x14ac:dyDescent="0.25">
      <c r="A1772" s="36">
        <v>99911770</v>
      </c>
      <c r="B1772" s="17" t="s">
        <v>56</v>
      </c>
      <c r="C1772" t="s">
        <v>82</v>
      </c>
      <c r="D1772" t="s">
        <v>83</v>
      </c>
      <c r="G1772" s="17" t="s">
        <v>35</v>
      </c>
      <c r="H1772" s="17">
        <v>1</v>
      </c>
      <c r="K1772" t="s">
        <v>157</v>
      </c>
      <c r="L1772" t="s">
        <v>158</v>
      </c>
      <c r="M1772" t="s">
        <v>131</v>
      </c>
      <c r="N1772">
        <v>8</v>
      </c>
      <c r="O1772" t="s">
        <v>40</v>
      </c>
      <c r="P1772" t="s">
        <v>40</v>
      </c>
      <c r="Q1772" t="s">
        <v>40</v>
      </c>
      <c r="R1772" t="s">
        <v>40</v>
      </c>
      <c r="S1772" t="s">
        <v>40</v>
      </c>
      <c r="V1772" t="s">
        <v>41</v>
      </c>
      <c r="W1772" t="s">
        <v>42</v>
      </c>
      <c r="X1772" t="str">
        <f>"0561004"</f>
        <v>0561004</v>
      </c>
      <c r="Y1772" t="s">
        <v>172</v>
      </c>
      <c r="Z1772" t="s">
        <v>157</v>
      </c>
      <c r="AA1772" t="s">
        <v>158</v>
      </c>
      <c r="AB1772" t="s">
        <v>131</v>
      </c>
      <c r="AC1772" t="s">
        <v>51</v>
      </c>
      <c r="AD1772" t="s">
        <v>45</v>
      </c>
      <c r="AE1772" s="1">
        <v>29389</v>
      </c>
      <c r="AF1772">
        <v>2</v>
      </c>
      <c r="AG1772" t="s">
        <v>158</v>
      </c>
      <c r="AH1772" s="36">
        <f t="shared" si="27"/>
        <v>39.077777777777776</v>
      </c>
      <c r="AI1772" s="40" t="s">
        <v>1778</v>
      </c>
    </row>
    <row r="1773" spans="1:35" x14ac:dyDescent="0.25">
      <c r="A1773" s="36">
        <v>99911771</v>
      </c>
      <c r="B1773" s="17" t="s">
        <v>32</v>
      </c>
      <c r="C1773" t="s">
        <v>33</v>
      </c>
      <c r="D1773" t="s">
        <v>34</v>
      </c>
      <c r="G1773" s="17" t="s">
        <v>35</v>
      </c>
      <c r="H1773" s="17">
        <v>1</v>
      </c>
      <c r="I1773">
        <v>0</v>
      </c>
      <c r="J1773" s="1">
        <v>43344</v>
      </c>
      <c r="K1773" t="s">
        <v>223</v>
      </c>
      <c r="L1773" t="s">
        <v>224</v>
      </c>
      <c r="M1773" t="s">
        <v>131</v>
      </c>
      <c r="N1773">
        <v>4</v>
      </c>
      <c r="O1773" t="s">
        <v>40</v>
      </c>
      <c r="P1773" t="s">
        <v>40</v>
      </c>
      <c r="Q1773" t="s">
        <v>40</v>
      </c>
      <c r="R1773" t="s">
        <v>40</v>
      </c>
      <c r="S1773" t="s">
        <v>40</v>
      </c>
      <c r="U1773" s="1">
        <v>43344</v>
      </c>
      <c r="V1773" t="s">
        <v>41</v>
      </c>
      <c r="W1773" t="s">
        <v>49</v>
      </c>
      <c r="X1773" t="str">
        <f>"0560034"</f>
        <v>0560034</v>
      </c>
      <c r="Y1773" t="s">
        <v>266</v>
      </c>
      <c r="Z1773" t="s">
        <v>223</v>
      </c>
      <c r="AA1773" t="s">
        <v>224</v>
      </c>
      <c r="AB1773" t="s">
        <v>131</v>
      </c>
      <c r="AC1773" t="s">
        <v>44</v>
      </c>
      <c r="AD1773" t="s">
        <v>45</v>
      </c>
      <c r="AE1773" s="1">
        <v>29385</v>
      </c>
      <c r="AF1773">
        <v>2</v>
      </c>
      <c r="AG1773" t="s">
        <v>224</v>
      </c>
      <c r="AH1773" s="36">
        <f t="shared" si="27"/>
        <v>39.088888888888889</v>
      </c>
      <c r="AI1773" s="40" t="s">
        <v>1778</v>
      </c>
    </row>
    <row r="1774" spans="1:35" x14ac:dyDescent="0.25">
      <c r="A1774" s="36">
        <v>99911772</v>
      </c>
      <c r="B1774" s="17" t="s">
        <v>32</v>
      </c>
      <c r="C1774" t="s">
        <v>46</v>
      </c>
      <c r="D1774" t="s">
        <v>47</v>
      </c>
      <c r="G1774" s="17" t="s">
        <v>35</v>
      </c>
      <c r="H1774" s="17">
        <v>1</v>
      </c>
      <c r="I1774" t="s">
        <v>331</v>
      </c>
      <c r="J1774" s="1">
        <v>43344</v>
      </c>
      <c r="K1774" t="s">
        <v>300</v>
      </c>
      <c r="L1774" t="s">
        <v>301</v>
      </c>
      <c r="M1774" t="s">
        <v>131</v>
      </c>
      <c r="N1774">
        <v>15</v>
      </c>
      <c r="O1774" t="s">
        <v>40</v>
      </c>
      <c r="S1774" t="s">
        <v>40</v>
      </c>
      <c r="U1774" s="1">
        <v>43344</v>
      </c>
      <c r="V1774" t="s">
        <v>41</v>
      </c>
      <c r="W1774" t="s">
        <v>42</v>
      </c>
      <c r="X1774" t="str">
        <f>"0580023"</f>
        <v>0580023</v>
      </c>
      <c r="Y1774" t="s">
        <v>313</v>
      </c>
      <c r="Z1774" t="s">
        <v>300</v>
      </c>
      <c r="AA1774" t="s">
        <v>301</v>
      </c>
      <c r="AB1774" t="s">
        <v>131</v>
      </c>
      <c r="AC1774" t="s">
        <v>51</v>
      </c>
      <c r="AD1774" t="s">
        <v>45</v>
      </c>
      <c r="AE1774" s="1">
        <v>29382</v>
      </c>
      <c r="AF1774">
        <v>2</v>
      </c>
      <c r="AG1774" t="s">
        <v>301</v>
      </c>
      <c r="AH1774" s="36">
        <f t="shared" si="27"/>
        <v>39.097222222222221</v>
      </c>
      <c r="AI1774" s="40" t="s">
        <v>1778</v>
      </c>
    </row>
    <row r="1775" spans="1:35" x14ac:dyDescent="0.25">
      <c r="A1775" s="36">
        <v>99911773</v>
      </c>
      <c r="B1775" s="17" t="s">
        <v>32</v>
      </c>
      <c r="C1775" t="s">
        <v>79</v>
      </c>
      <c r="D1775" t="s">
        <v>80</v>
      </c>
      <c r="G1775" s="17" t="s">
        <v>35</v>
      </c>
      <c r="H1775" s="17">
        <v>1</v>
      </c>
      <c r="I1775" t="s">
        <v>1390</v>
      </c>
      <c r="J1775" s="1">
        <v>43344</v>
      </c>
      <c r="K1775" t="s">
        <v>1341</v>
      </c>
      <c r="L1775" t="s">
        <v>1342</v>
      </c>
      <c r="M1775" t="s">
        <v>1270</v>
      </c>
      <c r="N1775">
        <v>4</v>
      </c>
      <c r="O1775" t="s">
        <v>40</v>
      </c>
      <c r="S1775" t="s">
        <v>40</v>
      </c>
      <c r="U1775" s="1">
        <v>43344</v>
      </c>
      <c r="V1775" t="s">
        <v>41</v>
      </c>
      <c r="W1775" t="s">
        <v>95</v>
      </c>
      <c r="X1775" t="str">
        <f>"7191001"</f>
        <v>7191001</v>
      </c>
      <c r="Y1775" t="s">
        <v>1391</v>
      </c>
      <c r="Z1775" t="s">
        <v>1341</v>
      </c>
      <c r="AA1775" t="s">
        <v>1342</v>
      </c>
      <c r="AB1775" t="s">
        <v>1270</v>
      </c>
      <c r="AC1775" t="s">
        <v>51</v>
      </c>
      <c r="AD1775" t="s">
        <v>45</v>
      </c>
      <c r="AE1775" s="1">
        <v>29375</v>
      </c>
      <c r="AF1775">
        <v>1</v>
      </c>
      <c r="AG1775" t="s">
        <v>1342</v>
      </c>
      <c r="AH1775" s="36">
        <f t="shared" si="27"/>
        <v>39.116666666666667</v>
      </c>
      <c r="AI1775" s="40" t="s">
        <v>1778</v>
      </c>
    </row>
    <row r="1776" spans="1:35" x14ac:dyDescent="0.25">
      <c r="A1776" s="36">
        <v>99911774</v>
      </c>
      <c r="B1776" s="17" t="s">
        <v>32</v>
      </c>
      <c r="C1776" t="s">
        <v>46</v>
      </c>
      <c r="D1776" t="s">
        <v>47</v>
      </c>
      <c r="G1776" s="17" t="s">
        <v>48</v>
      </c>
      <c r="H1776" s="17">
        <v>1</v>
      </c>
      <c r="K1776" t="s">
        <v>162</v>
      </c>
      <c r="L1776" t="s">
        <v>158</v>
      </c>
      <c r="M1776" t="s">
        <v>131</v>
      </c>
      <c r="N1776">
        <v>19</v>
      </c>
      <c r="O1776" t="s">
        <v>40</v>
      </c>
      <c r="P1776" t="s">
        <v>40</v>
      </c>
      <c r="Q1776" t="s">
        <v>40</v>
      </c>
      <c r="R1776" t="s">
        <v>40</v>
      </c>
      <c r="S1776" t="s">
        <v>40</v>
      </c>
      <c r="V1776" t="s">
        <v>41</v>
      </c>
      <c r="W1776" t="s">
        <v>49</v>
      </c>
      <c r="X1776" t="str">
        <f>"0581325"</f>
        <v>0581325</v>
      </c>
      <c r="Y1776" t="s">
        <v>169</v>
      </c>
      <c r="Z1776" t="s">
        <v>162</v>
      </c>
      <c r="AA1776" t="s">
        <v>158</v>
      </c>
      <c r="AB1776" t="s">
        <v>131</v>
      </c>
      <c r="AC1776" t="s">
        <v>51</v>
      </c>
      <c r="AD1776" t="s">
        <v>45</v>
      </c>
      <c r="AE1776" s="1">
        <v>29373</v>
      </c>
      <c r="AF1776">
        <v>2</v>
      </c>
      <c r="AG1776" t="s">
        <v>158</v>
      </c>
      <c r="AH1776" s="36">
        <f t="shared" si="27"/>
        <v>39.12222222222222</v>
      </c>
      <c r="AI1776" s="40" t="s">
        <v>1778</v>
      </c>
    </row>
    <row r="1777" spans="1:35" x14ac:dyDescent="0.25">
      <c r="A1777" s="36">
        <v>99911775</v>
      </c>
      <c r="B1777" s="17" t="s">
        <v>32</v>
      </c>
      <c r="C1777" t="s">
        <v>52</v>
      </c>
      <c r="D1777" t="s">
        <v>53</v>
      </c>
      <c r="G1777" s="17" t="s">
        <v>48</v>
      </c>
      <c r="H1777" s="17">
        <v>1</v>
      </c>
      <c r="K1777" t="s">
        <v>223</v>
      </c>
      <c r="L1777" t="s">
        <v>224</v>
      </c>
      <c r="M1777" t="s">
        <v>131</v>
      </c>
      <c r="N1777">
        <v>16</v>
      </c>
      <c r="O1777" t="s">
        <v>40</v>
      </c>
      <c r="P1777" t="s">
        <v>40</v>
      </c>
      <c r="Q1777" t="s">
        <v>40</v>
      </c>
      <c r="R1777" t="s">
        <v>40</v>
      </c>
      <c r="S1777" t="s">
        <v>40</v>
      </c>
      <c r="V1777" t="s">
        <v>41</v>
      </c>
      <c r="W1777" t="s">
        <v>49</v>
      </c>
      <c r="X1777" t="str">
        <f>"0581207"</f>
        <v>0581207</v>
      </c>
      <c r="Y1777" t="s">
        <v>233</v>
      </c>
      <c r="Z1777" t="s">
        <v>223</v>
      </c>
      <c r="AA1777" t="s">
        <v>224</v>
      </c>
      <c r="AB1777" t="s">
        <v>131</v>
      </c>
      <c r="AC1777" t="s">
        <v>51</v>
      </c>
      <c r="AD1777" t="s">
        <v>45</v>
      </c>
      <c r="AE1777" s="1">
        <v>29372</v>
      </c>
      <c r="AF1777">
        <v>2</v>
      </c>
      <c r="AG1777" t="s">
        <v>224</v>
      </c>
      <c r="AH1777" s="36">
        <f t="shared" si="27"/>
        <v>39.125</v>
      </c>
      <c r="AI1777" s="40" t="s">
        <v>1778</v>
      </c>
    </row>
    <row r="1778" spans="1:35" x14ac:dyDescent="0.25">
      <c r="A1778" s="36">
        <v>99911776</v>
      </c>
      <c r="B1778" s="17" t="s">
        <v>32</v>
      </c>
      <c r="C1778" t="s">
        <v>90</v>
      </c>
      <c r="D1778" t="s">
        <v>91</v>
      </c>
      <c r="G1778" s="17" t="s">
        <v>35</v>
      </c>
      <c r="H1778" s="17">
        <v>1</v>
      </c>
      <c r="I1778">
        <v>4978</v>
      </c>
      <c r="J1778" s="1">
        <v>43344</v>
      </c>
      <c r="K1778" t="s">
        <v>354</v>
      </c>
      <c r="L1778" t="s">
        <v>355</v>
      </c>
      <c r="M1778" t="s">
        <v>131</v>
      </c>
      <c r="N1778">
        <v>25</v>
      </c>
      <c r="O1778" t="s">
        <v>40</v>
      </c>
      <c r="S1778" t="s">
        <v>40</v>
      </c>
      <c r="U1778" s="1">
        <v>43344</v>
      </c>
      <c r="V1778" t="s">
        <v>41</v>
      </c>
      <c r="W1778" t="s">
        <v>95</v>
      </c>
      <c r="X1778" t="str">
        <f>"7054047"</f>
        <v>7054047</v>
      </c>
      <c r="Y1778" t="s">
        <v>806</v>
      </c>
      <c r="Z1778" t="s">
        <v>354</v>
      </c>
      <c r="AA1778" t="s">
        <v>355</v>
      </c>
      <c r="AB1778" t="s">
        <v>131</v>
      </c>
      <c r="AC1778" t="s">
        <v>51</v>
      </c>
      <c r="AD1778" t="s">
        <v>45</v>
      </c>
      <c r="AE1778" s="1">
        <v>29372</v>
      </c>
      <c r="AF1778">
        <v>1</v>
      </c>
      <c r="AG1778" t="s">
        <v>355</v>
      </c>
      <c r="AH1778" s="36">
        <f t="shared" si="27"/>
        <v>39.125</v>
      </c>
      <c r="AI1778" s="40" t="s">
        <v>1778</v>
      </c>
    </row>
    <row r="1779" spans="1:35" x14ac:dyDescent="0.25">
      <c r="A1779" s="36">
        <v>99911777</v>
      </c>
      <c r="B1779" s="17" t="s">
        <v>32</v>
      </c>
      <c r="C1779" t="s">
        <v>111</v>
      </c>
      <c r="D1779" t="s">
        <v>112</v>
      </c>
      <c r="G1779" s="17" t="s">
        <v>48</v>
      </c>
      <c r="H1779" s="17">
        <v>9</v>
      </c>
      <c r="K1779" t="s">
        <v>1221</v>
      </c>
      <c r="L1779" t="s">
        <v>1222</v>
      </c>
      <c r="M1779" t="s">
        <v>1130</v>
      </c>
      <c r="N1779">
        <v>22</v>
      </c>
      <c r="O1779" t="s">
        <v>40</v>
      </c>
      <c r="P1779" t="s">
        <v>40</v>
      </c>
      <c r="Q1779" t="s">
        <v>40</v>
      </c>
      <c r="R1779" t="s">
        <v>40</v>
      </c>
      <c r="S1779" t="s">
        <v>40</v>
      </c>
      <c r="V1779" t="s">
        <v>41</v>
      </c>
      <c r="W1779" t="s">
        <v>75</v>
      </c>
      <c r="X1779" t="str">
        <f>"7351000"</f>
        <v>7351000</v>
      </c>
      <c r="Y1779" t="s">
        <v>1223</v>
      </c>
      <c r="Z1779" t="s">
        <v>1221</v>
      </c>
      <c r="AA1779" t="s">
        <v>1222</v>
      </c>
      <c r="AB1779" t="s">
        <v>1130</v>
      </c>
      <c r="AC1779" t="s">
        <v>51</v>
      </c>
      <c r="AD1779" t="s">
        <v>45</v>
      </c>
      <c r="AE1779" s="1">
        <v>29372</v>
      </c>
      <c r="AF1779">
        <v>1</v>
      </c>
      <c r="AG1779" t="s">
        <v>1222</v>
      </c>
      <c r="AH1779" s="36">
        <f t="shared" si="27"/>
        <v>39.125</v>
      </c>
      <c r="AI1779" s="40" t="s">
        <v>1778</v>
      </c>
    </row>
    <row r="1780" spans="1:35" x14ac:dyDescent="0.25">
      <c r="A1780" s="36">
        <v>99911778</v>
      </c>
      <c r="B1780" s="17" t="s">
        <v>32</v>
      </c>
      <c r="C1780" t="s">
        <v>46</v>
      </c>
      <c r="D1780" t="s">
        <v>47</v>
      </c>
      <c r="G1780" s="17" t="s">
        <v>48</v>
      </c>
      <c r="H1780" s="17">
        <v>7</v>
      </c>
      <c r="K1780" t="s">
        <v>1268</v>
      </c>
      <c r="L1780" t="s">
        <v>1269</v>
      </c>
      <c r="M1780" t="s">
        <v>1270</v>
      </c>
      <c r="N1780">
        <v>20</v>
      </c>
      <c r="O1780" t="s">
        <v>40</v>
      </c>
      <c r="P1780" t="s">
        <v>40</v>
      </c>
      <c r="Q1780" t="s">
        <v>40</v>
      </c>
      <c r="R1780" t="s">
        <v>40</v>
      </c>
      <c r="S1780" t="s">
        <v>40</v>
      </c>
      <c r="V1780" t="s">
        <v>41</v>
      </c>
      <c r="W1780" t="s">
        <v>49</v>
      </c>
      <c r="X1780" t="str">
        <f>"1981912"</f>
        <v>1981912</v>
      </c>
      <c r="Y1780" t="s">
        <v>1279</v>
      </c>
      <c r="Z1780" t="s">
        <v>1268</v>
      </c>
      <c r="AA1780" t="s">
        <v>1269</v>
      </c>
      <c r="AB1780" t="s">
        <v>1270</v>
      </c>
      <c r="AC1780" t="s">
        <v>51</v>
      </c>
      <c r="AD1780" t="s">
        <v>45</v>
      </c>
      <c r="AE1780" s="1">
        <v>29372</v>
      </c>
      <c r="AF1780">
        <v>2</v>
      </c>
      <c r="AG1780" t="s">
        <v>1269</v>
      </c>
      <c r="AH1780" s="36">
        <f t="shared" si="27"/>
        <v>39.125</v>
      </c>
      <c r="AI1780" s="40" t="s">
        <v>1778</v>
      </c>
    </row>
    <row r="1781" spans="1:35" x14ac:dyDescent="0.25">
      <c r="A1781" s="36">
        <v>99911779</v>
      </c>
      <c r="B1781" s="17" t="s">
        <v>32</v>
      </c>
      <c r="C1781" t="s">
        <v>46</v>
      </c>
      <c r="D1781" t="s">
        <v>47</v>
      </c>
      <c r="G1781" s="17" t="s">
        <v>35</v>
      </c>
      <c r="H1781" s="17">
        <v>3</v>
      </c>
      <c r="I1781">
        <v>14176</v>
      </c>
      <c r="J1781" s="1">
        <v>43344</v>
      </c>
      <c r="K1781" t="s">
        <v>1268</v>
      </c>
      <c r="L1781" t="s">
        <v>1269</v>
      </c>
      <c r="M1781" t="s">
        <v>1270</v>
      </c>
      <c r="N1781">
        <v>23</v>
      </c>
      <c r="O1781" t="s">
        <v>40</v>
      </c>
      <c r="P1781" t="s">
        <v>40</v>
      </c>
      <c r="Q1781" t="s">
        <v>40</v>
      </c>
      <c r="R1781" t="s">
        <v>40</v>
      </c>
      <c r="S1781" t="s">
        <v>40</v>
      </c>
      <c r="U1781" s="1">
        <v>43344</v>
      </c>
      <c r="V1781" t="s">
        <v>41</v>
      </c>
      <c r="W1781" t="s">
        <v>42</v>
      </c>
      <c r="X1781" t="str">
        <f>"1980055"</f>
        <v>1980055</v>
      </c>
      <c r="Y1781" t="s">
        <v>1285</v>
      </c>
      <c r="Z1781" t="s">
        <v>1268</v>
      </c>
      <c r="AA1781" t="s">
        <v>1269</v>
      </c>
      <c r="AB1781" t="s">
        <v>1270</v>
      </c>
      <c r="AC1781" t="s">
        <v>55</v>
      </c>
      <c r="AD1781" t="s">
        <v>45</v>
      </c>
      <c r="AE1781" s="1">
        <v>29372</v>
      </c>
      <c r="AF1781">
        <v>2</v>
      </c>
      <c r="AG1781" t="s">
        <v>1269</v>
      </c>
      <c r="AH1781" s="36">
        <f t="shared" si="27"/>
        <v>39.125</v>
      </c>
      <c r="AI1781" s="40" t="s">
        <v>1778</v>
      </c>
    </row>
    <row r="1782" spans="1:35" x14ac:dyDescent="0.25">
      <c r="A1782" s="36">
        <v>99911780</v>
      </c>
      <c r="B1782" s="17" t="s">
        <v>32</v>
      </c>
      <c r="C1782" t="s">
        <v>64</v>
      </c>
      <c r="D1782" t="s">
        <v>65</v>
      </c>
      <c r="G1782" s="17" t="s">
        <v>48</v>
      </c>
      <c r="H1782" s="17">
        <v>1</v>
      </c>
      <c r="K1782" t="s">
        <v>300</v>
      </c>
      <c r="L1782" t="s">
        <v>301</v>
      </c>
      <c r="M1782" t="s">
        <v>131</v>
      </c>
      <c r="N1782">
        <v>13</v>
      </c>
      <c r="O1782" t="s">
        <v>40</v>
      </c>
      <c r="P1782" t="s">
        <v>40</v>
      </c>
      <c r="Q1782" t="s">
        <v>40</v>
      </c>
      <c r="R1782" t="s">
        <v>40</v>
      </c>
      <c r="S1782" t="s">
        <v>40</v>
      </c>
      <c r="V1782" t="s">
        <v>41</v>
      </c>
      <c r="W1782" t="s">
        <v>49</v>
      </c>
      <c r="X1782" t="str">
        <f>"0560020"</f>
        <v>0560020</v>
      </c>
      <c r="Y1782" t="s">
        <v>302</v>
      </c>
      <c r="Z1782" t="s">
        <v>300</v>
      </c>
      <c r="AA1782" t="s">
        <v>301</v>
      </c>
      <c r="AB1782" t="s">
        <v>131</v>
      </c>
      <c r="AC1782" t="s">
        <v>51</v>
      </c>
      <c r="AD1782" t="s">
        <v>45</v>
      </c>
      <c r="AE1782" s="1">
        <v>29369</v>
      </c>
      <c r="AF1782">
        <v>2</v>
      </c>
      <c r="AG1782" t="s">
        <v>301</v>
      </c>
      <c r="AH1782" s="36">
        <f t="shared" si="27"/>
        <v>39.133333333333333</v>
      </c>
      <c r="AI1782" s="40" t="s">
        <v>1778</v>
      </c>
    </row>
    <row r="1783" spans="1:35" x14ac:dyDescent="0.25">
      <c r="A1783" s="36">
        <v>99911781</v>
      </c>
      <c r="B1783" s="17" t="s">
        <v>56</v>
      </c>
      <c r="C1783" t="s">
        <v>79</v>
      </c>
      <c r="D1783" t="s">
        <v>80</v>
      </c>
      <c r="G1783" s="17" t="s">
        <v>35</v>
      </c>
      <c r="H1783" s="17">
        <v>1</v>
      </c>
      <c r="I1783">
        <v>8702</v>
      </c>
      <c r="J1783" s="1">
        <v>42978</v>
      </c>
      <c r="K1783" t="s">
        <v>1325</v>
      </c>
      <c r="L1783" t="s">
        <v>1326</v>
      </c>
      <c r="M1783" t="s">
        <v>1270</v>
      </c>
      <c r="N1783">
        <v>18</v>
      </c>
      <c r="O1783" t="s">
        <v>40</v>
      </c>
      <c r="P1783" t="s">
        <v>40</v>
      </c>
      <c r="Q1783" t="s">
        <v>40</v>
      </c>
      <c r="R1783" t="s">
        <v>40</v>
      </c>
      <c r="S1783" t="s">
        <v>40</v>
      </c>
      <c r="U1783" s="1">
        <v>42979</v>
      </c>
      <c r="V1783" t="s">
        <v>41</v>
      </c>
      <c r="W1783" t="s">
        <v>49</v>
      </c>
      <c r="X1783" t="str">
        <f>"3981100"</f>
        <v>3981100</v>
      </c>
      <c r="Y1783" t="s">
        <v>1327</v>
      </c>
      <c r="Z1783" t="s">
        <v>1325</v>
      </c>
      <c r="AA1783" t="s">
        <v>1326</v>
      </c>
      <c r="AB1783" t="s">
        <v>1270</v>
      </c>
      <c r="AC1783" t="s">
        <v>51</v>
      </c>
      <c r="AD1783" t="s">
        <v>45</v>
      </c>
      <c r="AE1783" s="1">
        <v>29363</v>
      </c>
      <c r="AF1783">
        <v>2</v>
      </c>
      <c r="AG1783" t="s">
        <v>1326</v>
      </c>
      <c r="AH1783" s="36">
        <f t="shared" si="27"/>
        <v>39.15</v>
      </c>
      <c r="AI1783" s="40" t="s">
        <v>1778</v>
      </c>
    </row>
    <row r="1784" spans="1:35" x14ac:dyDescent="0.25">
      <c r="A1784" s="36">
        <v>99911782</v>
      </c>
      <c r="B1784" s="17" t="s">
        <v>32</v>
      </c>
      <c r="C1784" t="s">
        <v>64</v>
      </c>
      <c r="D1784" t="s">
        <v>65</v>
      </c>
      <c r="G1784" s="17" t="s">
        <v>48</v>
      </c>
      <c r="H1784" s="17">
        <v>1</v>
      </c>
      <c r="K1784" t="s">
        <v>223</v>
      </c>
      <c r="L1784" t="s">
        <v>224</v>
      </c>
      <c r="M1784" t="s">
        <v>131</v>
      </c>
      <c r="N1784">
        <v>22</v>
      </c>
      <c r="O1784" t="s">
        <v>40</v>
      </c>
      <c r="P1784" t="s">
        <v>40</v>
      </c>
      <c r="Q1784" t="s">
        <v>40</v>
      </c>
      <c r="R1784" t="s">
        <v>40</v>
      </c>
      <c r="S1784" t="s">
        <v>40</v>
      </c>
      <c r="V1784" t="s">
        <v>41</v>
      </c>
      <c r="W1784" t="s">
        <v>42</v>
      </c>
      <c r="X1784" t="str">
        <f>"0580206"</f>
        <v>0580206</v>
      </c>
      <c r="Y1784" t="s">
        <v>237</v>
      </c>
      <c r="Z1784" t="s">
        <v>223</v>
      </c>
      <c r="AA1784" t="s">
        <v>224</v>
      </c>
      <c r="AB1784" t="s">
        <v>131</v>
      </c>
      <c r="AC1784" t="s">
        <v>51</v>
      </c>
      <c r="AD1784" t="s">
        <v>45</v>
      </c>
      <c r="AE1784" s="1">
        <v>29361</v>
      </c>
      <c r="AF1784">
        <v>2</v>
      </c>
      <c r="AG1784" t="s">
        <v>224</v>
      </c>
      <c r="AH1784" s="36">
        <f t="shared" si="27"/>
        <v>39.155555555555559</v>
      </c>
      <c r="AI1784" s="40" t="s">
        <v>1778</v>
      </c>
    </row>
    <row r="1785" spans="1:35" x14ac:dyDescent="0.25">
      <c r="A1785" s="36">
        <v>99911783</v>
      </c>
      <c r="B1785" s="17" t="s">
        <v>32</v>
      </c>
      <c r="C1785" t="s">
        <v>79</v>
      </c>
      <c r="D1785" t="s">
        <v>80</v>
      </c>
      <c r="G1785" s="17" t="s">
        <v>48</v>
      </c>
      <c r="H1785" s="17">
        <v>1</v>
      </c>
      <c r="K1785" t="s">
        <v>354</v>
      </c>
      <c r="L1785" t="s">
        <v>355</v>
      </c>
      <c r="M1785" t="s">
        <v>131</v>
      </c>
      <c r="N1785">
        <v>24</v>
      </c>
      <c r="O1785" t="s">
        <v>40</v>
      </c>
      <c r="P1785" t="s">
        <v>40</v>
      </c>
      <c r="Q1785" t="s">
        <v>40</v>
      </c>
      <c r="S1785" t="s">
        <v>40</v>
      </c>
      <c r="V1785" t="s">
        <v>41</v>
      </c>
      <c r="W1785" t="s">
        <v>75</v>
      </c>
      <c r="X1785" t="str">
        <f>"7054022"</f>
        <v>7054022</v>
      </c>
      <c r="Y1785" t="s">
        <v>770</v>
      </c>
      <c r="Z1785" t="s">
        <v>354</v>
      </c>
      <c r="AA1785" t="s">
        <v>355</v>
      </c>
      <c r="AB1785" t="s">
        <v>131</v>
      </c>
      <c r="AC1785" t="s">
        <v>51</v>
      </c>
      <c r="AD1785" t="s">
        <v>45</v>
      </c>
      <c r="AE1785" s="1">
        <v>29360</v>
      </c>
      <c r="AF1785">
        <v>1</v>
      </c>
      <c r="AG1785" t="s">
        <v>355</v>
      </c>
      <c r="AH1785" s="36">
        <f t="shared" si="27"/>
        <v>39.158333333333331</v>
      </c>
      <c r="AI1785" s="40" t="s">
        <v>1778</v>
      </c>
    </row>
    <row r="1786" spans="1:35" x14ac:dyDescent="0.25">
      <c r="A1786" s="36">
        <v>99911784</v>
      </c>
      <c r="B1786" s="17" t="s">
        <v>32</v>
      </c>
      <c r="C1786" t="s">
        <v>46</v>
      </c>
      <c r="D1786" t="s">
        <v>47</v>
      </c>
      <c r="G1786" s="17" t="s">
        <v>48</v>
      </c>
      <c r="H1786" s="17">
        <v>1</v>
      </c>
      <c r="K1786" t="s">
        <v>223</v>
      </c>
      <c r="L1786" t="s">
        <v>224</v>
      </c>
      <c r="M1786" t="s">
        <v>131</v>
      </c>
      <c r="N1786">
        <v>23</v>
      </c>
      <c r="O1786" t="s">
        <v>40</v>
      </c>
      <c r="P1786" t="s">
        <v>40</v>
      </c>
      <c r="Q1786" t="s">
        <v>40</v>
      </c>
      <c r="S1786" t="s">
        <v>40</v>
      </c>
      <c r="V1786" t="s">
        <v>41</v>
      </c>
      <c r="W1786" t="s">
        <v>49</v>
      </c>
      <c r="X1786" t="str">
        <f>"0581200"</f>
        <v>0581200</v>
      </c>
      <c r="Y1786" t="s">
        <v>238</v>
      </c>
      <c r="Z1786" t="s">
        <v>223</v>
      </c>
      <c r="AA1786" t="s">
        <v>224</v>
      </c>
      <c r="AB1786" t="s">
        <v>131</v>
      </c>
      <c r="AC1786" t="s">
        <v>51</v>
      </c>
      <c r="AD1786" t="s">
        <v>45</v>
      </c>
      <c r="AE1786" s="1">
        <v>29352</v>
      </c>
      <c r="AF1786">
        <v>2</v>
      </c>
      <c r="AG1786" t="s">
        <v>224</v>
      </c>
      <c r="AH1786" s="36">
        <f t="shared" si="27"/>
        <v>39.180555555555557</v>
      </c>
      <c r="AI1786" s="40" t="s">
        <v>1778</v>
      </c>
    </row>
    <row r="1787" spans="1:35" x14ac:dyDescent="0.25">
      <c r="A1787" s="36">
        <v>99911785</v>
      </c>
      <c r="B1787" s="17" t="s">
        <v>32</v>
      </c>
      <c r="C1787" t="s">
        <v>58</v>
      </c>
      <c r="D1787" t="s">
        <v>59</v>
      </c>
      <c r="G1787" s="17" t="s">
        <v>35</v>
      </c>
      <c r="H1787" s="17">
        <v>1</v>
      </c>
      <c r="K1787" t="s">
        <v>1626</v>
      </c>
      <c r="L1787" t="s">
        <v>1627</v>
      </c>
      <c r="M1787" t="s">
        <v>1592</v>
      </c>
      <c r="N1787">
        <v>22</v>
      </c>
      <c r="O1787" t="s">
        <v>40</v>
      </c>
      <c r="P1787" t="s">
        <v>40</v>
      </c>
      <c r="Q1787" t="s">
        <v>40</v>
      </c>
      <c r="R1787" t="s">
        <v>40</v>
      </c>
      <c r="S1787" t="s">
        <v>40</v>
      </c>
      <c r="V1787" t="s">
        <v>41</v>
      </c>
      <c r="W1787" t="s">
        <v>42</v>
      </c>
      <c r="X1787" t="str">
        <f>"3680015"</f>
        <v>3680015</v>
      </c>
      <c r="Y1787" t="s">
        <v>1628</v>
      </c>
      <c r="Z1787" t="s">
        <v>1626</v>
      </c>
      <c r="AA1787" t="s">
        <v>1627</v>
      </c>
      <c r="AB1787" t="s">
        <v>1592</v>
      </c>
      <c r="AC1787" t="s">
        <v>51</v>
      </c>
      <c r="AD1787" t="s">
        <v>45</v>
      </c>
      <c r="AE1787" s="1">
        <v>29350</v>
      </c>
      <c r="AF1787">
        <v>2</v>
      </c>
      <c r="AG1787" t="s">
        <v>1627</v>
      </c>
      <c r="AH1787" s="36">
        <f t="shared" si="27"/>
        <v>39.18611111111111</v>
      </c>
      <c r="AI1787" s="40" t="s">
        <v>1778</v>
      </c>
    </row>
    <row r="1788" spans="1:35" x14ac:dyDescent="0.25">
      <c r="A1788" s="36">
        <v>99911786</v>
      </c>
      <c r="B1788" s="17" t="s">
        <v>32</v>
      </c>
      <c r="C1788" t="s">
        <v>61</v>
      </c>
      <c r="D1788" t="s">
        <v>62</v>
      </c>
      <c r="G1788" s="17" t="s">
        <v>48</v>
      </c>
      <c r="H1788" s="17">
        <v>7</v>
      </c>
      <c r="I1788" t="s">
        <v>456</v>
      </c>
      <c r="J1788" s="1">
        <v>40422</v>
      </c>
      <c r="K1788" t="s">
        <v>195</v>
      </c>
      <c r="L1788" t="s">
        <v>196</v>
      </c>
      <c r="M1788" t="s">
        <v>131</v>
      </c>
      <c r="N1788">
        <v>23</v>
      </c>
      <c r="O1788" t="s">
        <v>40</v>
      </c>
      <c r="P1788" t="s">
        <v>40</v>
      </c>
      <c r="Q1788" t="s">
        <v>40</v>
      </c>
      <c r="R1788" t="s">
        <v>40</v>
      </c>
      <c r="S1788" t="s">
        <v>40</v>
      </c>
      <c r="U1788" s="1">
        <v>40422</v>
      </c>
      <c r="V1788" t="s">
        <v>41</v>
      </c>
      <c r="W1788" t="s">
        <v>75</v>
      </c>
      <c r="X1788" t="str">
        <f>"7521042"</f>
        <v>7521042</v>
      </c>
      <c r="Y1788" t="s">
        <v>440</v>
      </c>
      <c r="Z1788" t="s">
        <v>195</v>
      </c>
      <c r="AA1788" t="s">
        <v>196</v>
      </c>
      <c r="AB1788" t="s">
        <v>131</v>
      </c>
      <c r="AC1788" t="s">
        <v>165</v>
      </c>
      <c r="AD1788" t="s">
        <v>45</v>
      </c>
      <c r="AE1788" s="1">
        <v>29349</v>
      </c>
      <c r="AF1788">
        <v>1</v>
      </c>
      <c r="AG1788" t="s">
        <v>196</v>
      </c>
      <c r="AH1788" s="36">
        <f t="shared" si="27"/>
        <v>39.18888888888889</v>
      </c>
      <c r="AI1788" s="40" t="s">
        <v>1778</v>
      </c>
    </row>
    <row r="1789" spans="1:35" x14ac:dyDescent="0.25">
      <c r="A1789" s="36">
        <v>99911787</v>
      </c>
      <c r="B1789" s="17" t="s">
        <v>56</v>
      </c>
      <c r="C1789" t="s">
        <v>79</v>
      </c>
      <c r="D1789" t="s">
        <v>80</v>
      </c>
      <c r="G1789" s="17" t="s">
        <v>48</v>
      </c>
      <c r="H1789" s="17">
        <v>1</v>
      </c>
      <c r="K1789" t="s">
        <v>431</v>
      </c>
      <c r="L1789" t="s">
        <v>196</v>
      </c>
      <c r="M1789" t="s">
        <v>131</v>
      </c>
      <c r="N1789">
        <v>6</v>
      </c>
      <c r="O1789" t="s">
        <v>40</v>
      </c>
      <c r="P1789" t="s">
        <v>40</v>
      </c>
      <c r="Q1789" t="s">
        <v>40</v>
      </c>
      <c r="R1789" t="s">
        <v>40</v>
      </c>
      <c r="S1789" t="s">
        <v>40</v>
      </c>
      <c r="V1789" t="s">
        <v>41</v>
      </c>
      <c r="W1789" t="s">
        <v>75</v>
      </c>
      <c r="X1789" t="str">
        <f>"7521012"</f>
        <v>7521012</v>
      </c>
      <c r="Y1789" t="s">
        <v>432</v>
      </c>
      <c r="Z1789" t="s">
        <v>431</v>
      </c>
      <c r="AA1789" t="s">
        <v>196</v>
      </c>
      <c r="AB1789" t="s">
        <v>131</v>
      </c>
      <c r="AC1789" t="s">
        <v>51</v>
      </c>
      <c r="AD1789" t="s">
        <v>45</v>
      </c>
      <c r="AE1789" s="1">
        <v>29346</v>
      </c>
      <c r="AF1789">
        <v>1</v>
      </c>
      <c r="AG1789" t="s">
        <v>196</v>
      </c>
      <c r="AH1789" s="36">
        <f t="shared" si="27"/>
        <v>39.197222222222223</v>
      </c>
      <c r="AI1789" s="40" t="s">
        <v>1778</v>
      </c>
    </row>
    <row r="1790" spans="1:35" x14ac:dyDescent="0.25">
      <c r="A1790" s="36">
        <v>99911788</v>
      </c>
      <c r="B1790" s="17" t="s">
        <v>32</v>
      </c>
      <c r="C1790" t="s">
        <v>46</v>
      </c>
      <c r="D1790" t="s">
        <v>47</v>
      </c>
      <c r="G1790" s="17" t="s">
        <v>35</v>
      </c>
      <c r="H1790" s="17">
        <v>1</v>
      </c>
      <c r="I1790">
        <v>13814</v>
      </c>
      <c r="J1790" s="1">
        <v>43355</v>
      </c>
      <c r="K1790" t="s">
        <v>345</v>
      </c>
      <c r="L1790" t="s">
        <v>346</v>
      </c>
      <c r="M1790" t="s">
        <v>131</v>
      </c>
      <c r="N1790">
        <v>23</v>
      </c>
      <c r="O1790" t="s">
        <v>40</v>
      </c>
      <c r="P1790" t="s">
        <v>40</v>
      </c>
      <c r="Q1790" t="s">
        <v>40</v>
      </c>
      <c r="S1790" t="s">
        <v>40</v>
      </c>
      <c r="U1790" s="1">
        <v>43355</v>
      </c>
      <c r="V1790" t="s">
        <v>41</v>
      </c>
      <c r="W1790" t="s">
        <v>49</v>
      </c>
      <c r="X1790" t="str">
        <f>"0591906"</f>
        <v>0591906</v>
      </c>
      <c r="Y1790" t="s">
        <v>350</v>
      </c>
      <c r="Z1790" t="s">
        <v>345</v>
      </c>
      <c r="AA1790" t="s">
        <v>346</v>
      </c>
      <c r="AB1790" t="s">
        <v>131</v>
      </c>
      <c r="AC1790" t="s">
        <v>51</v>
      </c>
      <c r="AD1790" t="s">
        <v>45</v>
      </c>
      <c r="AE1790" s="1">
        <v>29342</v>
      </c>
      <c r="AF1790">
        <v>2</v>
      </c>
      <c r="AG1790" t="s">
        <v>346</v>
      </c>
      <c r="AH1790" s="36">
        <f t="shared" si="27"/>
        <v>39.208333333333336</v>
      </c>
      <c r="AI1790" s="40" t="s">
        <v>1778</v>
      </c>
    </row>
    <row r="1791" spans="1:35" x14ac:dyDescent="0.25">
      <c r="A1791" s="36">
        <v>99911789</v>
      </c>
      <c r="B1791" s="17" t="s">
        <v>32</v>
      </c>
      <c r="C1791" t="s">
        <v>111</v>
      </c>
      <c r="D1791" t="s">
        <v>112</v>
      </c>
      <c r="G1791" s="17" t="s">
        <v>35</v>
      </c>
      <c r="H1791" s="17">
        <v>1</v>
      </c>
      <c r="I1791" t="s">
        <v>1118</v>
      </c>
      <c r="J1791" s="1">
        <v>42857</v>
      </c>
      <c r="K1791" t="s">
        <v>1081</v>
      </c>
      <c r="L1791" t="s">
        <v>1082</v>
      </c>
      <c r="M1791" t="s">
        <v>1053</v>
      </c>
      <c r="N1791">
        <v>24</v>
      </c>
      <c r="O1791" t="s">
        <v>40</v>
      </c>
      <c r="P1791" t="s">
        <v>40</v>
      </c>
      <c r="Q1791" t="s">
        <v>40</v>
      </c>
      <c r="R1791" t="s">
        <v>40</v>
      </c>
      <c r="S1791" t="s">
        <v>40</v>
      </c>
      <c r="U1791" s="1">
        <v>42857</v>
      </c>
      <c r="V1791" t="s">
        <v>41</v>
      </c>
      <c r="W1791" t="s">
        <v>75</v>
      </c>
      <c r="X1791" t="str">
        <f>"7201008"</f>
        <v>7201008</v>
      </c>
      <c r="Y1791" t="s">
        <v>1084</v>
      </c>
      <c r="Z1791" t="s">
        <v>1081</v>
      </c>
      <c r="AA1791" t="s">
        <v>1082</v>
      </c>
      <c r="AB1791" t="s">
        <v>1053</v>
      </c>
      <c r="AC1791" t="s">
        <v>51</v>
      </c>
      <c r="AD1791" t="s">
        <v>45</v>
      </c>
      <c r="AE1791" s="1">
        <v>29342</v>
      </c>
      <c r="AF1791">
        <v>1</v>
      </c>
      <c r="AG1791" t="s">
        <v>1082</v>
      </c>
      <c r="AH1791" s="36">
        <f t="shared" si="27"/>
        <v>39.208333333333336</v>
      </c>
      <c r="AI1791" s="40" t="s">
        <v>1778</v>
      </c>
    </row>
    <row r="1792" spans="1:35" x14ac:dyDescent="0.25">
      <c r="A1792" s="36">
        <v>99911790</v>
      </c>
      <c r="B1792" s="17" t="s">
        <v>32</v>
      </c>
      <c r="C1792" t="s">
        <v>64</v>
      </c>
      <c r="D1792" t="s">
        <v>65</v>
      </c>
      <c r="G1792" s="17" t="s">
        <v>35</v>
      </c>
      <c r="H1792" s="17">
        <v>1</v>
      </c>
      <c r="I1792" s="1">
        <v>42688</v>
      </c>
      <c r="J1792" s="1">
        <v>43344</v>
      </c>
      <c r="K1792" t="s">
        <v>1341</v>
      </c>
      <c r="L1792" t="s">
        <v>1342</v>
      </c>
      <c r="M1792" t="s">
        <v>1270</v>
      </c>
      <c r="N1792">
        <v>24</v>
      </c>
      <c r="O1792" t="s">
        <v>40</v>
      </c>
      <c r="S1792" t="s">
        <v>40</v>
      </c>
      <c r="U1792" s="1">
        <v>43344</v>
      </c>
      <c r="V1792" t="s">
        <v>41</v>
      </c>
      <c r="W1792" t="s">
        <v>75</v>
      </c>
      <c r="X1792" t="str">
        <f>"7191000"</f>
        <v>7191000</v>
      </c>
      <c r="Y1792" t="s">
        <v>1347</v>
      </c>
      <c r="Z1792" t="s">
        <v>1341</v>
      </c>
      <c r="AA1792" t="s">
        <v>1342</v>
      </c>
      <c r="AB1792" t="s">
        <v>1270</v>
      </c>
      <c r="AC1792" t="s">
        <v>51</v>
      </c>
      <c r="AD1792" t="s">
        <v>45</v>
      </c>
      <c r="AE1792" s="1">
        <v>29342</v>
      </c>
      <c r="AF1792">
        <v>1</v>
      </c>
      <c r="AG1792" t="s">
        <v>1342</v>
      </c>
      <c r="AH1792" s="36">
        <f t="shared" si="27"/>
        <v>39.208333333333336</v>
      </c>
      <c r="AI1792" s="40" t="s">
        <v>1778</v>
      </c>
    </row>
    <row r="1793" spans="1:35" x14ac:dyDescent="0.25">
      <c r="A1793" s="36">
        <v>99911791</v>
      </c>
      <c r="B1793" s="17" t="s">
        <v>32</v>
      </c>
      <c r="C1793" t="s">
        <v>111</v>
      </c>
      <c r="D1793" t="s">
        <v>112</v>
      </c>
      <c r="G1793" s="17" t="s">
        <v>48</v>
      </c>
      <c r="H1793" s="17">
        <v>7</v>
      </c>
      <c r="J1793" s="1">
        <v>43344</v>
      </c>
      <c r="K1793" t="s">
        <v>354</v>
      </c>
      <c r="L1793" t="s">
        <v>355</v>
      </c>
      <c r="M1793" t="s">
        <v>131</v>
      </c>
      <c r="N1793">
        <v>23</v>
      </c>
      <c r="O1793" t="s">
        <v>40</v>
      </c>
      <c r="P1793" t="s">
        <v>40</v>
      </c>
      <c r="Q1793" t="s">
        <v>40</v>
      </c>
      <c r="R1793" t="s">
        <v>40</v>
      </c>
      <c r="S1793" t="s">
        <v>40</v>
      </c>
      <c r="U1793" s="1">
        <v>43344</v>
      </c>
      <c r="V1793" t="s">
        <v>41</v>
      </c>
      <c r="W1793" t="s">
        <v>75</v>
      </c>
      <c r="X1793" t="str">
        <f>"7054022"</f>
        <v>7054022</v>
      </c>
      <c r="Y1793" t="s">
        <v>770</v>
      </c>
      <c r="Z1793" t="s">
        <v>354</v>
      </c>
      <c r="AA1793" t="s">
        <v>355</v>
      </c>
      <c r="AB1793" t="s">
        <v>131</v>
      </c>
      <c r="AC1793" t="s">
        <v>51</v>
      </c>
      <c r="AD1793" t="s">
        <v>45</v>
      </c>
      <c r="AE1793" s="1">
        <v>29337</v>
      </c>
      <c r="AF1793">
        <v>1</v>
      </c>
      <c r="AG1793" t="s">
        <v>355</v>
      </c>
      <c r="AH1793" s="36">
        <f t="shared" si="27"/>
        <v>39.222222222222221</v>
      </c>
      <c r="AI1793" s="40" t="s">
        <v>1778</v>
      </c>
    </row>
    <row r="1794" spans="1:35" x14ac:dyDescent="0.25">
      <c r="A1794" s="36">
        <v>99911792</v>
      </c>
      <c r="B1794" s="17" t="s">
        <v>56</v>
      </c>
      <c r="C1794" t="s">
        <v>79</v>
      </c>
      <c r="D1794" t="s">
        <v>80</v>
      </c>
      <c r="G1794" s="17" t="s">
        <v>48</v>
      </c>
      <c r="H1794" s="17">
        <v>1</v>
      </c>
      <c r="K1794" t="s">
        <v>985</v>
      </c>
      <c r="L1794" t="s">
        <v>986</v>
      </c>
      <c r="M1794" t="s">
        <v>938</v>
      </c>
      <c r="N1794">
        <v>24</v>
      </c>
      <c r="O1794" t="s">
        <v>40</v>
      </c>
      <c r="P1794" t="s">
        <v>40</v>
      </c>
      <c r="Q1794" t="s">
        <v>40</v>
      </c>
      <c r="R1794" t="s">
        <v>40</v>
      </c>
      <c r="S1794" t="s">
        <v>40</v>
      </c>
      <c r="V1794" t="s">
        <v>41</v>
      </c>
      <c r="W1794" t="s">
        <v>75</v>
      </c>
      <c r="X1794" t="str">
        <f>"7011004"</f>
        <v>7011004</v>
      </c>
      <c r="Y1794" t="s">
        <v>987</v>
      </c>
      <c r="Z1794" t="s">
        <v>985</v>
      </c>
      <c r="AA1794" t="s">
        <v>986</v>
      </c>
      <c r="AB1794" t="s">
        <v>938</v>
      </c>
      <c r="AC1794" t="s">
        <v>51</v>
      </c>
      <c r="AD1794" t="s">
        <v>45</v>
      </c>
      <c r="AE1794" s="1">
        <v>29335</v>
      </c>
      <c r="AF1794">
        <v>1</v>
      </c>
      <c r="AG1794" t="s">
        <v>986</v>
      </c>
      <c r="AH1794" s="36">
        <f t="shared" ref="AH1794:AH1857" si="28">($AJ$1-AE1794)/360</f>
        <v>39.227777777777774</v>
      </c>
      <c r="AI1794" s="40" t="s">
        <v>1778</v>
      </c>
    </row>
    <row r="1795" spans="1:35" x14ac:dyDescent="0.25">
      <c r="A1795" s="36">
        <v>99911793</v>
      </c>
      <c r="B1795" s="17" t="s">
        <v>32</v>
      </c>
      <c r="C1795" t="s">
        <v>52</v>
      </c>
      <c r="D1795" t="s">
        <v>53</v>
      </c>
      <c r="G1795" s="17" t="s">
        <v>48</v>
      </c>
      <c r="H1795" s="17">
        <v>1</v>
      </c>
      <c r="K1795" t="s">
        <v>223</v>
      </c>
      <c r="L1795" t="s">
        <v>224</v>
      </c>
      <c r="M1795" t="s">
        <v>131</v>
      </c>
      <c r="N1795">
        <v>17</v>
      </c>
      <c r="O1795" t="s">
        <v>40</v>
      </c>
      <c r="P1795" t="s">
        <v>40</v>
      </c>
      <c r="Q1795" t="s">
        <v>40</v>
      </c>
      <c r="R1795" t="s">
        <v>40</v>
      </c>
      <c r="S1795" t="s">
        <v>40</v>
      </c>
      <c r="V1795" t="s">
        <v>41</v>
      </c>
      <c r="W1795" t="s">
        <v>49</v>
      </c>
      <c r="X1795" t="str">
        <f>"0581200"</f>
        <v>0581200</v>
      </c>
      <c r="Y1795" t="s">
        <v>238</v>
      </c>
      <c r="Z1795" t="s">
        <v>223</v>
      </c>
      <c r="AA1795" t="s">
        <v>224</v>
      </c>
      <c r="AB1795" t="s">
        <v>131</v>
      </c>
      <c r="AC1795" t="s">
        <v>51</v>
      </c>
      <c r="AD1795" t="s">
        <v>45</v>
      </c>
      <c r="AE1795" s="1">
        <v>29334</v>
      </c>
      <c r="AF1795">
        <v>2</v>
      </c>
      <c r="AG1795" t="s">
        <v>224</v>
      </c>
      <c r="AH1795" s="36">
        <f t="shared" si="28"/>
        <v>39.230555555555554</v>
      </c>
      <c r="AI1795" s="40" t="s">
        <v>1778</v>
      </c>
    </row>
    <row r="1796" spans="1:35" x14ac:dyDescent="0.25">
      <c r="A1796" s="36">
        <v>99911794</v>
      </c>
      <c r="B1796" s="17" t="s">
        <v>32</v>
      </c>
      <c r="C1796" t="s">
        <v>143</v>
      </c>
      <c r="D1796" t="s">
        <v>144</v>
      </c>
      <c r="G1796" s="17" t="s">
        <v>35</v>
      </c>
      <c r="H1796" s="17">
        <v>1</v>
      </c>
      <c r="I1796">
        <v>0</v>
      </c>
      <c r="J1796" s="1">
        <v>43344</v>
      </c>
      <c r="K1796" t="s">
        <v>223</v>
      </c>
      <c r="L1796" t="s">
        <v>224</v>
      </c>
      <c r="M1796" t="s">
        <v>131</v>
      </c>
      <c r="N1796">
        <v>21</v>
      </c>
      <c r="O1796" t="s">
        <v>40</v>
      </c>
      <c r="S1796" t="s">
        <v>40</v>
      </c>
      <c r="U1796" s="1">
        <v>43344</v>
      </c>
      <c r="V1796" t="s">
        <v>41</v>
      </c>
      <c r="W1796" t="s">
        <v>42</v>
      </c>
      <c r="X1796" t="str">
        <f>"0580206"</f>
        <v>0580206</v>
      </c>
      <c r="Y1796" t="s">
        <v>237</v>
      </c>
      <c r="Z1796" t="s">
        <v>223</v>
      </c>
      <c r="AA1796" t="s">
        <v>224</v>
      </c>
      <c r="AB1796" t="s">
        <v>131</v>
      </c>
      <c r="AC1796" t="s">
        <v>51</v>
      </c>
      <c r="AD1796" t="s">
        <v>45</v>
      </c>
      <c r="AE1796" s="1">
        <v>29333</v>
      </c>
      <c r="AF1796">
        <v>2</v>
      </c>
      <c r="AG1796" t="s">
        <v>224</v>
      </c>
      <c r="AH1796" s="36">
        <f t="shared" si="28"/>
        <v>39.233333333333334</v>
      </c>
      <c r="AI1796" s="40" t="s">
        <v>1778</v>
      </c>
    </row>
    <row r="1797" spans="1:35" x14ac:dyDescent="0.25">
      <c r="A1797" s="36">
        <v>99911795</v>
      </c>
      <c r="B1797" s="17" t="s">
        <v>56</v>
      </c>
      <c r="C1797" t="s">
        <v>52</v>
      </c>
      <c r="D1797" t="s">
        <v>53</v>
      </c>
      <c r="G1797" s="17" t="s">
        <v>35</v>
      </c>
      <c r="H1797" s="17">
        <v>1</v>
      </c>
      <c r="I1797" t="s">
        <v>372</v>
      </c>
      <c r="J1797" s="1">
        <v>43344</v>
      </c>
      <c r="K1797" t="s">
        <v>345</v>
      </c>
      <c r="L1797" t="s">
        <v>346</v>
      </c>
      <c r="M1797" t="s">
        <v>131</v>
      </c>
      <c r="N1797">
        <v>23</v>
      </c>
      <c r="O1797" t="s">
        <v>40</v>
      </c>
      <c r="P1797" t="s">
        <v>40</v>
      </c>
      <c r="Q1797" t="s">
        <v>40</v>
      </c>
      <c r="S1797" t="s">
        <v>40</v>
      </c>
      <c r="U1797" s="1">
        <v>43344</v>
      </c>
      <c r="V1797" t="s">
        <v>41</v>
      </c>
      <c r="W1797" t="s">
        <v>42</v>
      </c>
      <c r="X1797" t="str">
        <f>"0561006"</f>
        <v>0561006</v>
      </c>
      <c r="Y1797" t="s">
        <v>360</v>
      </c>
      <c r="Z1797" t="s">
        <v>345</v>
      </c>
      <c r="AA1797" t="s">
        <v>346</v>
      </c>
      <c r="AB1797" t="s">
        <v>131</v>
      </c>
      <c r="AC1797" t="s">
        <v>51</v>
      </c>
      <c r="AD1797" t="s">
        <v>45</v>
      </c>
      <c r="AE1797" s="1">
        <v>29333</v>
      </c>
      <c r="AF1797">
        <v>2</v>
      </c>
      <c r="AG1797" t="s">
        <v>346</v>
      </c>
      <c r="AH1797" s="36">
        <f t="shared" si="28"/>
        <v>39.233333333333334</v>
      </c>
      <c r="AI1797" s="40" t="s">
        <v>1778</v>
      </c>
    </row>
    <row r="1798" spans="1:35" x14ac:dyDescent="0.25">
      <c r="A1798" s="36">
        <v>99911796</v>
      </c>
      <c r="B1798" s="17" t="s">
        <v>32</v>
      </c>
      <c r="C1798" t="s">
        <v>139</v>
      </c>
      <c r="D1798" t="s">
        <v>140</v>
      </c>
      <c r="G1798" s="17" t="s">
        <v>35</v>
      </c>
      <c r="H1798" s="17">
        <v>1</v>
      </c>
      <c r="I1798">
        <v>20192</v>
      </c>
      <c r="J1798" s="1">
        <v>43344</v>
      </c>
      <c r="K1798" t="s">
        <v>380</v>
      </c>
      <c r="L1798" t="s">
        <v>381</v>
      </c>
      <c r="M1798" t="s">
        <v>131</v>
      </c>
      <c r="N1798">
        <v>14</v>
      </c>
      <c r="O1798" t="s">
        <v>40</v>
      </c>
      <c r="P1798" t="s">
        <v>40</v>
      </c>
      <c r="Q1798" t="s">
        <v>40</v>
      </c>
      <c r="S1798" t="s">
        <v>40</v>
      </c>
      <c r="U1798" s="1">
        <v>43344</v>
      </c>
      <c r="V1798" t="s">
        <v>41</v>
      </c>
      <c r="W1798" t="s">
        <v>49</v>
      </c>
      <c r="X1798" t="str">
        <f>"0591909"</f>
        <v>0591909</v>
      </c>
      <c r="Y1798" t="s">
        <v>385</v>
      </c>
      <c r="Z1798" t="s">
        <v>380</v>
      </c>
      <c r="AA1798" t="s">
        <v>381</v>
      </c>
      <c r="AB1798" t="s">
        <v>131</v>
      </c>
      <c r="AC1798" t="s">
        <v>55</v>
      </c>
      <c r="AD1798" t="s">
        <v>45</v>
      </c>
      <c r="AE1798" s="1">
        <v>29333</v>
      </c>
      <c r="AF1798">
        <v>2</v>
      </c>
      <c r="AG1798" t="s">
        <v>381</v>
      </c>
      <c r="AH1798" s="36">
        <f t="shared" si="28"/>
        <v>39.233333333333334</v>
      </c>
      <c r="AI1798" s="40" t="s">
        <v>1778</v>
      </c>
    </row>
    <row r="1799" spans="1:35" x14ac:dyDescent="0.25">
      <c r="A1799" s="36">
        <v>99911797</v>
      </c>
      <c r="B1799" s="17" t="s">
        <v>32</v>
      </c>
      <c r="C1799" t="s">
        <v>79</v>
      </c>
      <c r="D1799" t="s">
        <v>80</v>
      </c>
      <c r="G1799" s="17" t="s">
        <v>48</v>
      </c>
      <c r="H1799" s="17">
        <v>5</v>
      </c>
      <c r="K1799" t="s">
        <v>195</v>
      </c>
      <c r="L1799" t="s">
        <v>196</v>
      </c>
      <c r="M1799" t="s">
        <v>131</v>
      </c>
      <c r="N1799">
        <v>23</v>
      </c>
      <c r="O1799" t="s">
        <v>40</v>
      </c>
      <c r="P1799" t="s">
        <v>40</v>
      </c>
      <c r="Q1799" t="s">
        <v>40</v>
      </c>
      <c r="R1799" t="s">
        <v>40</v>
      </c>
      <c r="S1799" t="s">
        <v>40</v>
      </c>
      <c r="U1799" s="1">
        <v>40422</v>
      </c>
      <c r="V1799" t="s">
        <v>41</v>
      </c>
      <c r="W1799" t="s">
        <v>75</v>
      </c>
      <c r="X1799" t="str">
        <f>"7521046"</f>
        <v>7521046</v>
      </c>
      <c r="Y1799" t="s">
        <v>436</v>
      </c>
      <c r="Z1799" t="s">
        <v>195</v>
      </c>
      <c r="AA1799" t="s">
        <v>196</v>
      </c>
      <c r="AB1799" t="s">
        <v>131</v>
      </c>
      <c r="AC1799" t="s">
        <v>51</v>
      </c>
      <c r="AD1799" t="s">
        <v>45</v>
      </c>
      <c r="AE1799" s="1">
        <v>29331</v>
      </c>
      <c r="AF1799">
        <v>1</v>
      </c>
      <c r="AG1799" t="s">
        <v>196</v>
      </c>
      <c r="AH1799" s="36">
        <f t="shared" si="28"/>
        <v>39.238888888888887</v>
      </c>
      <c r="AI1799" s="40" t="s">
        <v>1778</v>
      </c>
    </row>
    <row r="1800" spans="1:35" x14ac:dyDescent="0.25">
      <c r="A1800" s="36">
        <v>99911798</v>
      </c>
      <c r="B1800" s="17" t="s">
        <v>32</v>
      </c>
      <c r="C1800" t="s">
        <v>79</v>
      </c>
      <c r="D1800" t="s">
        <v>80</v>
      </c>
      <c r="G1800" s="17" t="s">
        <v>35</v>
      </c>
      <c r="H1800" s="17">
        <v>1</v>
      </c>
      <c r="I1800">
        <v>13011</v>
      </c>
      <c r="J1800" s="1">
        <v>43344</v>
      </c>
      <c r="K1800" t="s">
        <v>354</v>
      </c>
      <c r="L1800" t="s">
        <v>355</v>
      </c>
      <c r="M1800" t="s">
        <v>131</v>
      </c>
      <c r="N1800">
        <v>4</v>
      </c>
      <c r="O1800" t="s">
        <v>40</v>
      </c>
      <c r="S1800" t="s">
        <v>40</v>
      </c>
      <c r="U1800" s="1">
        <v>43344</v>
      </c>
      <c r="V1800" t="s">
        <v>41</v>
      </c>
      <c r="W1800" t="s">
        <v>95</v>
      </c>
      <c r="X1800" t="str">
        <f>"7054025"</f>
        <v>7054025</v>
      </c>
      <c r="Y1800" t="s">
        <v>794</v>
      </c>
      <c r="Z1800" t="s">
        <v>354</v>
      </c>
      <c r="AA1800" t="s">
        <v>355</v>
      </c>
      <c r="AB1800" t="s">
        <v>131</v>
      </c>
      <c r="AC1800" t="s">
        <v>51</v>
      </c>
      <c r="AD1800" t="s">
        <v>45</v>
      </c>
      <c r="AE1800" s="1">
        <v>29330</v>
      </c>
      <c r="AF1800">
        <v>1</v>
      </c>
      <c r="AG1800" t="s">
        <v>355</v>
      </c>
      <c r="AH1800" s="36">
        <f t="shared" si="28"/>
        <v>39.241666666666667</v>
      </c>
      <c r="AI1800" s="40" t="s">
        <v>1778</v>
      </c>
    </row>
    <row r="1801" spans="1:35" x14ac:dyDescent="0.25">
      <c r="A1801" s="36">
        <v>99911799</v>
      </c>
      <c r="B1801" s="17" t="s">
        <v>32</v>
      </c>
      <c r="C1801" t="s">
        <v>90</v>
      </c>
      <c r="D1801" t="s">
        <v>91</v>
      </c>
      <c r="G1801" s="17" t="s">
        <v>35</v>
      </c>
      <c r="H1801" s="17">
        <v>1</v>
      </c>
      <c r="K1801" t="s">
        <v>431</v>
      </c>
      <c r="L1801" t="s">
        <v>196</v>
      </c>
      <c r="M1801" t="s">
        <v>131</v>
      </c>
      <c r="N1801">
        <v>6</v>
      </c>
      <c r="O1801" t="s">
        <v>40</v>
      </c>
      <c r="P1801" t="s">
        <v>40</v>
      </c>
      <c r="Q1801" t="s">
        <v>40</v>
      </c>
      <c r="S1801" t="s">
        <v>40</v>
      </c>
      <c r="V1801" t="s">
        <v>41</v>
      </c>
      <c r="W1801" t="s">
        <v>95</v>
      </c>
      <c r="X1801" t="str">
        <f>"7521091"</f>
        <v>7521091</v>
      </c>
      <c r="Y1801" t="s">
        <v>562</v>
      </c>
      <c r="Z1801" t="s">
        <v>431</v>
      </c>
      <c r="AA1801" t="s">
        <v>196</v>
      </c>
      <c r="AB1801" t="s">
        <v>131</v>
      </c>
      <c r="AC1801" t="s">
        <v>51</v>
      </c>
      <c r="AD1801" t="s">
        <v>45</v>
      </c>
      <c r="AE1801" s="1">
        <v>29326</v>
      </c>
      <c r="AF1801">
        <v>1</v>
      </c>
      <c r="AG1801" t="s">
        <v>196</v>
      </c>
      <c r="AH1801" s="36">
        <f t="shared" si="28"/>
        <v>39.25277777777778</v>
      </c>
      <c r="AI1801" s="40" t="s">
        <v>1778</v>
      </c>
    </row>
    <row r="1802" spans="1:35" x14ac:dyDescent="0.25">
      <c r="A1802" s="36">
        <v>99911800</v>
      </c>
      <c r="B1802" s="17" t="s">
        <v>32</v>
      </c>
      <c r="C1802" t="s">
        <v>64</v>
      </c>
      <c r="D1802" t="s">
        <v>65</v>
      </c>
      <c r="G1802" s="17" t="s">
        <v>35</v>
      </c>
      <c r="H1802" s="17">
        <v>1</v>
      </c>
      <c r="K1802" t="s">
        <v>223</v>
      </c>
      <c r="L1802" t="s">
        <v>224</v>
      </c>
      <c r="M1802" t="s">
        <v>131</v>
      </c>
      <c r="N1802">
        <v>10</v>
      </c>
      <c r="O1802" t="s">
        <v>40</v>
      </c>
      <c r="P1802" t="s">
        <v>40</v>
      </c>
      <c r="Q1802" t="s">
        <v>40</v>
      </c>
      <c r="R1802" t="s">
        <v>40</v>
      </c>
      <c r="S1802" t="s">
        <v>40</v>
      </c>
      <c r="V1802" t="s">
        <v>41</v>
      </c>
      <c r="W1802" t="s">
        <v>49</v>
      </c>
      <c r="X1802" t="str">
        <f>"0540902"</f>
        <v>0540902</v>
      </c>
      <c r="Y1802" t="s">
        <v>256</v>
      </c>
      <c r="Z1802" t="s">
        <v>223</v>
      </c>
      <c r="AA1802" t="s">
        <v>224</v>
      </c>
      <c r="AB1802" t="s">
        <v>131</v>
      </c>
      <c r="AC1802" t="s">
        <v>51</v>
      </c>
      <c r="AD1802" t="s">
        <v>45</v>
      </c>
      <c r="AE1802" s="1">
        <v>29325</v>
      </c>
      <c r="AF1802">
        <v>2</v>
      </c>
      <c r="AG1802" t="s">
        <v>224</v>
      </c>
      <c r="AH1802" s="36">
        <f t="shared" si="28"/>
        <v>39.255555555555553</v>
      </c>
      <c r="AI1802" s="40" t="s">
        <v>1778</v>
      </c>
    </row>
    <row r="1803" spans="1:35" x14ac:dyDescent="0.25">
      <c r="A1803" s="36">
        <v>99911801</v>
      </c>
      <c r="B1803" s="17" t="s">
        <v>56</v>
      </c>
      <c r="C1803" t="s">
        <v>61</v>
      </c>
      <c r="D1803" t="s">
        <v>62</v>
      </c>
      <c r="G1803" s="17" t="s">
        <v>35</v>
      </c>
      <c r="H1803" s="17">
        <v>1</v>
      </c>
      <c r="I1803">
        <v>10957</v>
      </c>
      <c r="J1803" s="1">
        <v>43410</v>
      </c>
      <c r="K1803" t="s">
        <v>1051</v>
      </c>
      <c r="L1803" t="s">
        <v>1052</v>
      </c>
      <c r="M1803" t="s">
        <v>1053</v>
      </c>
      <c r="N1803">
        <v>8</v>
      </c>
      <c r="O1803" t="s">
        <v>40</v>
      </c>
      <c r="S1803" t="s">
        <v>40</v>
      </c>
      <c r="U1803" s="1">
        <v>43410</v>
      </c>
      <c r="V1803" t="s">
        <v>41</v>
      </c>
      <c r="W1803" t="s">
        <v>42</v>
      </c>
      <c r="X1803" t="str">
        <f>"2061003"</f>
        <v>2061003</v>
      </c>
      <c r="Y1803" t="s">
        <v>1060</v>
      </c>
      <c r="Z1803" t="s">
        <v>1051</v>
      </c>
      <c r="AA1803" t="s">
        <v>1052</v>
      </c>
      <c r="AB1803" t="s">
        <v>1053</v>
      </c>
      <c r="AC1803" t="s">
        <v>44</v>
      </c>
      <c r="AD1803" t="s">
        <v>45</v>
      </c>
      <c r="AE1803" s="1">
        <v>29323</v>
      </c>
      <c r="AF1803">
        <v>2</v>
      </c>
      <c r="AG1803" t="s">
        <v>1052</v>
      </c>
      <c r="AH1803" s="36">
        <f t="shared" si="28"/>
        <v>39.261111111111113</v>
      </c>
      <c r="AI1803" s="40" t="s">
        <v>1778</v>
      </c>
    </row>
    <row r="1804" spans="1:35" x14ac:dyDescent="0.25">
      <c r="A1804" s="36">
        <v>99911802</v>
      </c>
      <c r="B1804" s="17" t="s">
        <v>56</v>
      </c>
      <c r="C1804" t="s">
        <v>79</v>
      </c>
      <c r="D1804" t="s">
        <v>80</v>
      </c>
      <c r="G1804" s="17" t="s">
        <v>35</v>
      </c>
      <c r="H1804" s="17">
        <v>1</v>
      </c>
      <c r="I1804" t="s">
        <v>1594</v>
      </c>
      <c r="J1804" s="1">
        <v>43344</v>
      </c>
      <c r="K1804" t="s">
        <v>1590</v>
      </c>
      <c r="L1804" t="s">
        <v>1591</v>
      </c>
      <c r="M1804" t="s">
        <v>1592</v>
      </c>
      <c r="N1804">
        <v>12</v>
      </c>
      <c r="O1804" t="s">
        <v>40</v>
      </c>
      <c r="S1804" t="s">
        <v>40</v>
      </c>
      <c r="U1804" s="1">
        <v>43344</v>
      </c>
      <c r="V1804" t="s">
        <v>41</v>
      </c>
      <c r="W1804" t="s">
        <v>49</v>
      </c>
      <c r="X1804" t="str">
        <f>"0260001"</f>
        <v>0260001</v>
      </c>
      <c r="Y1804" t="s">
        <v>1595</v>
      </c>
      <c r="Z1804" t="s">
        <v>1590</v>
      </c>
      <c r="AA1804" t="s">
        <v>1591</v>
      </c>
      <c r="AB1804" t="s">
        <v>1592</v>
      </c>
      <c r="AC1804" t="s">
        <v>51</v>
      </c>
      <c r="AD1804" t="s">
        <v>45</v>
      </c>
      <c r="AE1804" s="1">
        <v>29317</v>
      </c>
      <c r="AF1804">
        <v>2</v>
      </c>
      <c r="AG1804" t="s">
        <v>1591</v>
      </c>
      <c r="AH1804" s="36">
        <f t="shared" si="28"/>
        <v>39.277777777777779</v>
      </c>
      <c r="AI1804" s="40" t="s">
        <v>1778</v>
      </c>
    </row>
    <row r="1805" spans="1:35" x14ac:dyDescent="0.25">
      <c r="A1805" s="36">
        <v>99911803</v>
      </c>
      <c r="B1805" s="17" t="s">
        <v>32</v>
      </c>
      <c r="C1805" t="s">
        <v>111</v>
      </c>
      <c r="D1805" t="s">
        <v>112</v>
      </c>
      <c r="G1805" s="17" t="s">
        <v>48</v>
      </c>
      <c r="H1805" s="17">
        <v>8</v>
      </c>
      <c r="J1805" s="1">
        <v>42979</v>
      </c>
      <c r="K1805" t="s">
        <v>431</v>
      </c>
      <c r="L1805" t="s">
        <v>196</v>
      </c>
      <c r="M1805" t="s">
        <v>131</v>
      </c>
      <c r="N1805">
        <v>22</v>
      </c>
      <c r="O1805" t="s">
        <v>40</v>
      </c>
      <c r="P1805" t="s">
        <v>40</v>
      </c>
      <c r="Q1805" t="s">
        <v>40</v>
      </c>
      <c r="R1805" t="s">
        <v>40</v>
      </c>
      <c r="S1805" t="s">
        <v>40</v>
      </c>
      <c r="U1805" s="1">
        <v>42979</v>
      </c>
      <c r="V1805" t="s">
        <v>41</v>
      </c>
      <c r="W1805" t="s">
        <v>75</v>
      </c>
      <c r="X1805" t="str">
        <f>"7521012"</f>
        <v>7521012</v>
      </c>
      <c r="Y1805" t="s">
        <v>432</v>
      </c>
      <c r="Z1805" t="s">
        <v>431</v>
      </c>
      <c r="AA1805" t="s">
        <v>196</v>
      </c>
      <c r="AB1805" t="s">
        <v>131</v>
      </c>
      <c r="AC1805" t="s">
        <v>165</v>
      </c>
      <c r="AD1805" t="s">
        <v>45</v>
      </c>
      <c r="AE1805" s="1">
        <v>29310</v>
      </c>
      <c r="AF1805">
        <v>1</v>
      </c>
      <c r="AG1805" t="s">
        <v>196</v>
      </c>
      <c r="AH1805" s="36">
        <f t="shared" si="28"/>
        <v>39.297222222222224</v>
      </c>
      <c r="AI1805" s="40" t="s">
        <v>1778</v>
      </c>
    </row>
    <row r="1806" spans="1:35" x14ac:dyDescent="0.25">
      <c r="A1806" s="36">
        <v>99911804</v>
      </c>
      <c r="B1806" s="17" t="s">
        <v>32</v>
      </c>
      <c r="C1806" t="s">
        <v>64</v>
      </c>
      <c r="D1806" t="s">
        <v>65</v>
      </c>
      <c r="G1806" s="17" t="s">
        <v>48</v>
      </c>
      <c r="H1806" s="17">
        <v>1</v>
      </c>
      <c r="K1806" t="s">
        <v>877</v>
      </c>
      <c r="L1806" t="s">
        <v>878</v>
      </c>
      <c r="M1806" t="s">
        <v>131</v>
      </c>
      <c r="N1806">
        <v>24</v>
      </c>
      <c r="O1806" t="s">
        <v>40</v>
      </c>
      <c r="P1806" t="s">
        <v>40</v>
      </c>
      <c r="Q1806" t="s">
        <v>40</v>
      </c>
      <c r="S1806" t="s">
        <v>40</v>
      </c>
      <c r="V1806" t="s">
        <v>41</v>
      </c>
      <c r="W1806" t="s">
        <v>75</v>
      </c>
      <c r="X1806" t="str">
        <f>"7541008"</f>
        <v>7541008</v>
      </c>
      <c r="Y1806" t="s">
        <v>879</v>
      </c>
      <c r="Z1806" t="s">
        <v>877</v>
      </c>
      <c r="AA1806" t="s">
        <v>878</v>
      </c>
      <c r="AB1806" t="s">
        <v>131</v>
      </c>
      <c r="AC1806" t="s">
        <v>51</v>
      </c>
      <c r="AD1806" t="s">
        <v>45</v>
      </c>
      <c r="AE1806" s="1">
        <v>29309</v>
      </c>
      <c r="AF1806">
        <v>1</v>
      </c>
      <c r="AG1806" t="s">
        <v>878</v>
      </c>
      <c r="AH1806" s="36">
        <f t="shared" si="28"/>
        <v>39.299999999999997</v>
      </c>
      <c r="AI1806" s="40" t="s">
        <v>1778</v>
      </c>
    </row>
    <row r="1807" spans="1:35" x14ac:dyDescent="0.25">
      <c r="A1807" s="36">
        <v>99911805</v>
      </c>
      <c r="B1807" s="17" t="s">
        <v>32</v>
      </c>
      <c r="C1807" t="s">
        <v>90</v>
      </c>
      <c r="D1807" t="s">
        <v>91</v>
      </c>
      <c r="G1807" s="17" t="s">
        <v>48</v>
      </c>
      <c r="H1807" s="17">
        <v>1</v>
      </c>
      <c r="K1807" t="s">
        <v>1695</v>
      </c>
      <c r="L1807" t="s">
        <v>1696</v>
      </c>
      <c r="M1807" t="s">
        <v>1592</v>
      </c>
      <c r="N1807">
        <v>24</v>
      </c>
      <c r="O1807" t="s">
        <v>40</v>
      </c>
      <c r="P1807" t="s">
        <v>40</v>
      </c>
      <c r="Q1807" t="s">
        <v>40</v>
      </c>
      <c r="R1807" t="s">
        <v>40</v>
      </c>
      <c r="S1807" t="s">
        <v>40</v>
      </c>
      <c r="V1807" t="s">
        <v>41</v>
      </c>
      <c r="W1807" t="s">
        <v>75</v>
      </c>
      <c r="X1807" t="str">
        <f>"7361000"</f>
        <v>7361000</v>
      </c>
      <c r="Y1807" t="s">
        <v>1698</v>
      </c>
      <c r="Z1807" t="s">
        <v>1695</v>
      </c>
      <c r="AA1807" t="s">
        <v>1696</v>
      </c>
      <c r="AB1807" t="s">
        <v>1592</v>
      </c>
      <c r="AC1807" t="s">
        <v>51</v>
      </c>
      <c r="AD1807" t="s">
        <v>45</v>
      </c>
      <c r="AE1807" s="1">
        <v>29304</v>
      </c>
      <c r="AF1807">
        <v>1</v>
      </c>
      <c r="AG1807" t="s">
        <v>1696</v>
      </c>
      <c r="AH1807" s="36">
        <f t="shared" si="28"/>
        <v>39.31388888888889</v>
      </c>
      <c r="AI1807" s="40" t="s">
        <v>1778</v>
      </c>
    </row>
    <row r="1808" spans="1:35" x14ac:dyDescent="0.25">
      <c r="A1808" s="36">
        <v>99911806</v>
      </c>
      <c r="B1808" s="17" t="s">
        <v>56</v>
      </c>
      <c r="C1808" t="s">
        <v>61</v>
      </c>
      <c r="D1808" t="s">
        <v>62</v>
      </c>
      <c r="E1808" t="s">
        <v>151</v>
      </c>
      <c r="F1808" t="s">
        <v>152</v>
      </c>
      <c r="G1808" s="17" t="s">
        <v>35</v>
      </c>
      <c r="H1808" s="17">
        <v>1</v>
      </c>
      <c r="I1808" t="s">
        <v>348</v>
      </c>
      <c r="J1808" s="1">
        <v>43344</v>
      </c>
      <c r="K1808" t="s">
        <v>345</v>
      </c>
      <c r="L1808" t="s">
        <v>346</v>
      </c>
      <c r="M1808" t="s">
        <v>131</v>
      </c>
      <c r="N1808">
        <v>21</v>
      </c>
      <c r="O1808" t="s">
        <v>40</v>
      </c>
      <c r="S1808" t="s">
        <v>40</v>
      </c>
      <c r="U1808" s="1">
        <v>43344</v>
      </c>
      <c r="V1808" t="s">
        <v>41</v>
      </c>
      <c r="W1808" t="s">
        <v>49</v>
      </c>
      <c r="X1808" t="str">
        <f>"0581155"</f>
        <v>0581155</v>
      </c>
      <c r="Y1808" t="s">
        <v>349</v>
      </c>
      <c r="Z1808" t="s">
        <v>345</v>
      </c>
      <c r="AA1808" t="s">
        <v>346</v>
      </c>
      <c r="AB1808" t="s">
        <v>131</v>
      </c>
      <c r="AC1808" t="s">
        <v>51</v>
      </c>
      <c r="AD1808" t="s">
        <v>45</v>
      </c>
      <c r="AE1808" s="1">
        <v>29302</v>
      </c>
      <c r="AF1808">
        <v>2</v>
      </c>
      <c r="AG1808" t="s">
        <v>346</v>
      </c>
      <c r="AH1808" s="36">
        <f t="shared" si="28"/>
        <v>39.319444444444443</v>
      </c>
      <c r="AI1808" s="40" t="s">
        <v>1778</v>
      </c>
    </row>
    <row r="1809" spans="1:35" x14ac:dyDescent="0.25">
      <c r="A1809" s="36">
        <v>99911807</v>
      </c>
      <c r="B1809" s="17" t="s">
        <v>32</v>
      </c>
      <c r="C1809" t="s">
        <v>90</v>
      </c>
      <c r="D1809" t="s">
        <v>91</v>
      </c>
      <c r="G1809" s="17" t="s">
        <v>48</v>
      </c>
      <c r="H1809" s="17">
        <v>4</v>
      </c>
      <c r="K1809" t="s">
        <v>1426</v>
      </c>
      <c r="L1809" t="s">
        <v>1427</v>
      </c>
      <c r="M1809" t="s">
        <v>1270</v>
      </c>
      <c r="N1809">
        <v>25</v>
      </c>
      <c r="O1809" t="s">
        <v>40</v>
      </c>
      <c r="P1809" t="s">
        <v>40</v>
      </c>
      <c r="Q1809" t="s">
        <v>40</v>
      </c>
      <c r="R1809" t="s">
        <v>40</v>
      </c>
      <c r="S1809" t="s">
        <v>40</v>
      </c>
      <c r="V1809" t="s">
        <v>41</v>
      </c>
      <c r="W1809" t="s">
        <v>95</v>
      </c>
      <c r="X1809" t="str">
        <f>"7192011"</f>
        <v>7192011</v>
      </c>
      <c r="Y1809" t="s">
        <v>1431</v>
      </c>
      <c r="Z1809" t="s">
        <v>1426</v>
      </c>
      <c r="AA1809" t="s">
        <v>1427</v>
      </c>
      <c r="AB1809" t="s">
        <v>1270</v>
      </c>
      <c r="AC1809" t="s">
        <v>51</v>
      </c>
      <c r="AD1809" t="s">
        <v>45</v>
      </c>
      <c r="AE1809" s="1">
        <v>29297</v>
      </c>
      <c r="AF1809">
        <v>1</v>
      </c>
      <c r="AG1809" t="s">
        <v>1427</v>
      </c>
      <c r="AH1809" s="36">
        <f t="shared" si="28"/>
        <v>39.333333333333336</v>
      </c>
      <c r="AI1809" s="40" t="s">
        <v>1778</v>
      </c>
    </row>
    <row r="1810" spans="1:35" x14ac:dyDescent="0.25">
      <c r="A1810" s="36">
        <v>99911808</v>
      </c>
      <c r="B1810" s="17" t="s">
        <v>56</v>
      </c>
      <c r="C1810" t="s">
        <v>52</v>
      </c>
      <c r="D1810" t="s">
        <v>53</v>
      </c>
      <c r="G1810" s="17" t="s">
        <v>35</v>
      </c>
      <c r="H1810" s="17">
        <v>1</v>
      </c>
      <c r="I1810">
        <v>0</v>
      </c>
      <c r="J1810" s="1">
        <v>43344</v>
      </c>
      <c r="K1810" t="s">
        <v>223</v>
      </c>
      <c r="L1810" t="s">
        <v>224</v>
      </c>
      <c r="M1810" t="s">
        <v>131</v>
      </c>
      <c r="N1810">
        <v>22</v>
      </c>
      <c r="O1810" t="s">
        <v>40</v>
      </c>
      <c r="P1810" t="s">
        <v>40</v>
      </c>
      <c r="Q1810" t="s">
        <v>40</v>
      </c>
      <c r="R1810" t="s">
        <v>40</v>
      </c>
      <c r="S1810" t="s">
        <v>40</v>
      </c>
      <c r="U1810" s="1">
        <v>43344</v>
      </c>
      <c r="V1810" t="s">
        <v>41</v>
      </c>
      <c r="W1810" t="s">
        <v>42</v>
      </c>
      <c r="X1810" t="str">
        <f>"0580202"</f>
        <v>0580202</v>
      </c>
      <c r="Y1810" t="s">
        <v>240</v>
      </c>
      <c r="Z1810" t="s">
        <v>223</v>
      </c>
      <c r="AA1810" t="s">
        <v>224</v>
      </c>
      <c r="AB1810" t="s">
        <v>131</v>
      </c>
      <c r="AC1810" t="s">
        <v>44</v>
      </c>
      <c r="AD1810" t="s">
        <v>45</v>
      </c>
      <c r="AE1810" s="1">
        <v>29295</v>
      </c>
      <c r="AF1810">
        <v>2</v>
      </c>
      <c r="AG1810" t="s">
        <v>224</v>
      </c>
      <c r="AH1810" s="36">
        <f t="shared" si="28"/>
        <v>39.338888888888889</v>
      </c>
      <c r="AI1810" s="40" t="s">
        <v>1778</v>
      </c>
    </row>
    <row r="1811" spans="1:35" x14ac:dyDescent="0.25">
      <c r="A1811" s="36">
        <v>99911809</v>
      </c>
      <c r="B1811" s="17" t="s">
        <v>32</v>
      </c>
      <c r="C1811" t="s">
        <v>111</v>
      </c>
      <c r="D1811" t="s">
        <v>112</v>
      </c>
      <c r="G1811" s="17" t="s">
        <v>35</v>
      </c>
      <c r="H1811" s="17">
        <v>1</v>
      </c>
      <c r="I1811">
        <v>0</v>
      </c>
      <c r="J1811" s="1">
        <v>43344</v>
      </c>
      <c r="K1811" t="s">
        <v>985</v>
      </c>
      <c r="L1811" t="s">
        <v>986</v>
      </c>
      <c r="M1811" t="s">
        <v>938</v>
      </c>
      <c r="N1811">
        <v>24</v>
      </c>
      <c r="O1811" t="s">
        <v>40</v>
      </c>
      <c r="S1811" t="s">
        <v>40</v>
      </c>
      <c r="U1811" s="1">
        <v>43344</v>
      </c>
      <c r="V1811" t="s">
        <v>41</v>
      </c>
      <c r="W1811" t="s">
        <v>75</v>
      </c>
      <c r="X1811" t="str">
        <f>"7011004"</f>
        <v>7011004</v>
      </c>
      <c r="Y1811" t="s">
        <v>987</v>
      </c>
      <c r="Z1811" t="s">
        <v>985</v>
      </c>
      <c r="AA1811" t="s">
        <v>986</v>
      </c>
      <c r="AB1811" t="s">
        <v>938</v>
      </c>
      <c r="AC1811" t="s">
        <v>44</v>
      </c>
      <c r="AD1811" t="s">
        <v>45</v>
      </c>
      <c r="AE1811" s="1">
        <v>29292</v>
      </c>
      <c r="AF1811">
        <v>1</v>
      </c>
      <c r="AG1811" t="s">
        <v>986</v>
      </c>
      <c r="AH1811" s="36">
        <f t="shared" si="28"/>
        <v>39.347222222222221</v>
      </c>
      <c r="AI1811" s="40" t="s">
        <v>1778</v>
      </c>
    </row>
    <row r="1812" spans="1:35" x14ac:dyDescent="0.25">
      <c r="A1812" s="36">
        <v>99911810</v>
      </c>
      <c r="B1812" s="17" t="s">
        <v>32</v>
      </c>
      <c r="C1812" t="s">
        <v>79</v>
      </c>
      <c r="D1812" t="s">
        <v>80</v>
      </c>
      <c r="G1812" s="17" t="s">
        <v>35</v>
      </c>
      <c r="H1812" s="17">
        <v>1</v>
      </c>
      <c r="K1812" t="s">
        <v>223</v>
      </c>
      <c r="L1812" t="s">
        <v>224</v>
      </c>
      <c r="M1812" t="s">
        <v>131</v>
      </c>
      <c r="N1812">
        <v>18</v>
      </c>
      <c r="O1812" t="s">
        <v>40</v>
      </c>
      <c r="P1812" t="s">
        <v>40</v>
      </c>
      <c r="Q1812" t="s">
        <v>40</v>
      </c>
      <c r="S1812" t="s">
        <v>40</v>
      </c>
      <c r="V1812" t="s">
        <v>41</v>
      </c>
      <c r="W1812" t="s">
        <v>42</v>
      </c>
      <c r="X1812" t="str">
        <f>"0590903"</f>
        <v>0590903</v>
      </c>
      <c r="Y1812" t="s">
        <v>226</v>
      </c>
      <c r="Z1812" t="s">
        <v>223</v>
      </c>
      <c r="AA1812" t="s">
        <v>224</v>
      </c>
      <c r="AB1812" t="s">
        <v>131</v>
      </c>
      <c r="AC1812" t="s">
        <v>51</v>
      </c>
      <c r="AD1812" t="s">
        <v>45</v>
      </c>
      <c r="AE1812" s="1">
        <v>29288</v>
      </c>
      <c r="AF1812">
        <v>2</v>
      </c>
      <c r="AG1812" t="s">
        <v>224</v>
      </c>
      <c r="AH1812" s="36">
        <f t="shared" si="28"/>
        <v>39.358333333333334</v>
      </c>
      <c r="AI1812" s="40" t="s">
        <v>1778</v>
      </c>
    </row>
    <row r="1813" spans="1:35" x14ac:dyDescent="0.25">
      <c r="A1813" s="36">
        <v>99911811</v>
      </c>
      <c r="B1813" s="17" t="s">
        <v>56</v>
      </c>
      <c r="C1813" t="s">
        <v>68</v>
      </c>
      <c r="D1813" t="s">
        <v>69</v>
      </c>
      <c r="G1813" s="17" t="s">
        <v>48</v>
      </c>
      <c r="H1813" s="17">
        <v>1</v>
      </c>
      <c r="K1813" t="s">
        <v>300</v>
      </c>
      <c r="L1813" t="s">
        <v>301</v>
      </c>
      <c r="M1813" t="s">
        <v>131</v>
      </c>
      <c r="N1813">
        <v>19</v>
      </c>
      <c r="O1813" t="s">
        <v>40</v>
      </c>
      <c r="P1813" t="s">
        <v>40</v>
      </c>
      <c r="Q1813" t="s">
        <v>40</v>
      </c>
      <c r="R1813" t="s">
        <v>40</v>
      </c>
      <c r="S1813" t="s">
        <v>40</v>
      </c>
      <c r="V1813" t="s">
        <v>41</v>
      </c>
      <c r="W1813" t="s">
        <v>49</v>
      </c>
      <c r="X1813" t="str">
        <f>"0560020"</f>
        <v>0560020</v>
      </c>
      <c r="Y1813" t="s">
        <v>302</v>
      </c>
      <c r="Z1813" t="s">
        <v>300</v>
      </c>
      <c r="AA1813" t="s">
        <v>301</v>
      </c>
      <c r="AB1813" t="s">
        <v>131</v>
      </c>
      <c r="AC1813" t="s">
        <v>51</v>
      </c>
      <c r="AD1813" t="s">
        <v>45</v>
      </c>
      <c r="AE1813" s="1">
        <v>29286</v>
      </c>
      <c r="AF1813">
        <v>2</v>
      </c>
      <c r="AG1813" t="s">
        <v>301</v>
      </c>
      <c r="AH1813" s="36">
        <f t="shared" si="28"/>
        <v>39.363888888888887</v>
      </c>
      <c r="AI1813" s="40" t="s">
        <v>1778</v>
      </c>
    </row>
    <row r="1814" spans="1:35" x14ac:dyDescent="0.25">
      <c r="A1814" s="36">
        <v>99911812</v>
      </c>
      <c r="B1814" s="17" t="s">
        <v>32</v>
      </c>
      <c r="C1814" t="s">
        <v>111</v>
      </c>
      <c r="D1814" t="s">
        <v>112</v>
      </c>
      <c r="G1814" s="17" t="s">
        <v>35</v>
      </c>
      <c r="H1814" s="17">
        <v>10</v>
      </c>
      <c r="K1814" t="s">
        <v>268</v>
      </c>
      <c r="L1814" t="s">
        <v>269</v>
      </c>
      <c r="M1814" t="s">
        <v>131</v>
      </c>
      <c r="N1814">
        <v>24</v>
      </c>
      <c r="O1814" t="s">
        <v>40</v>
      </c>
      <c r="P1814" t="s">
        <v>40</v>
      </c>
      <c r="Q1814" t="s">
        <v>40</v>
      </c>
      <c r="R1814" t="s">
        <v>40</v>
      </c>
      <c r="S1814" t="s">
        <v>40</v>
      </c>
      <c r="V1814" t="s">
        <v>41</v>
      </c>
      <c r="W1814" t="s">
        <v>75</v>
      </c>
      <c r="X1814" t="str">
        <f>"7052004"</f>
        <v>7052004</v>
      </c>
      <c r="Y1814" t="s">
        <v>584</v>
      </c>
      <c r="Z1814" t="s">
        <v>268</v>
      </c>
      <c r="AA1814" t="s">
        <v>269</v>
      </c>
      <c r="AB1814" t="s">
        <v>131</v>
      </c>
      <c r="AC1814" t="s">
        <v>51</v>
      </c>
      <c r="AD1814" t="s">
        <v>45</v>
      </c>
      <c r="AE1814" s="1">
        <v>29286</v>
      </c>
      <c r="AF1814">
        <v>1</v>
      </c>
      <c r="AG1814" t="s">
        <v>269</v>
      </c>
      <c r="AH1814" s="36">
        <f t="shared" si="28"/>
        <v>39.363888888888887</v>
      </c>
      <c r="AI1814" s="40" t="s">
        <v>1778</v>
      </c>
    </row>
    <row r="1815" spans="1:35" x14ac:dyDescent="0.25">
      <c r="A1815" s="36">
        <v>99911813</v>
      </c>
      <c r="B1815" s="17" t="s">
        <v>56</v>
      </c>
      <c r="C1815" t="s">
        <v>61</v>
      </c>
      <c r="D1815" t="s">
        <v>62</v>
      </c>
      <c r="G1815" s="17" t="s">
        <v>48</v>
      </c>
      <c r="H1815" s="17">
        <v>1</v>
      </c>
      <c r="K1815" t="s">
        <v>162</v>
      </c>
      <c r="L1815" t="s">
        <v>158</v>
      </c>
      <c r="M1815" t="s">
        <v>131</v>
      </c>
      <c r="N1815">
        <v>17</v>
      </c>
      <c r="O1815" t="s">
        <v>40</v>
      </c>
      <c r="P1815" t="s">
        <v>40</v>
      </c>
      <c r="Q1815" t="s">
        <v>40</v>
      </c>
      <c r="S1815" t="s">
        <v>40</v>
      </c>
      <c r="V1815" t="s">
        <v>41</v>
      </c>
      <c r="W1815" t="s">
        <v>49</v>
      </c>
      <c r="X1815" t="str">
        <f>"0560027"</f>
        <v>0560027</v>
      </c>
      <c r="Y1815" t="s">
        <v>178</v>
      </c>
      <c r="Z1815" t="s">
        <v>162</v>
      </c>
      <c r="AA1815" t="s">
        <v>158</v>
      </c>
      <c r="AB1815" t="s">
        <v>131</v>
      </c>
      <c r="AC1815" t="s">
        <v>51</v>
      </c>
      <c r="AD1815" t="s">
        <v>45</v>
      </c>
      <c r="AE1815" s="1">
        <v>29281</v>
      </c>
      <c r="AF1815">
        <v>2</v>
      </c>
      <c r="AG1815" t="s">
        <v>158</v>
      </c>
      <c r="AH1815" s="36">
        <f t="shared" si="28"/>
        <v>39.37777777777778</v>
      </c>
      <c r="AI1815" s="40" t="s">
        <v>1778</v>
      </c>
    </row>
    <row r="1816" spans="1:35" x14ac:dyDescent="0.25">
      <c r="A1816" s="36">
        <v>99911814</v>
      </c>
      <c r="B1816" s="17" t="s">
        <v>56</v>
      </c>
      <c r="C1816" t="s">
        <v>90</v>
      </c>
      <c r="D1816" t="s">
        <v>91</v>
      </c>
      <c r="G1816" s="17" t="s">
        <v>48</v>
      </c>
      <c r="H1816" s="17">
        <v>1</v>
      </c>
      <c r="K1816" t="s">
        <v>1502</v>
      </c>
      <c r="L1816" t="s">
        <v>1503</v>
      </c>
      <c r="M1816" t="s">
        <v>670</v>
      </c>
      <c r="N1816">
        <v>24</v>
      </c>
      <c r="O1816" t="s">
        <v>40</v>
      </c>
      <c r="P1816" t="s">
        <v>40</v>
      </c>
      <c r="Q1816" t="s">
        <v>40</v>
      </c>
      <c r="S1816" t="s">
        <v>40</v>
      </c>
      <c r="V1816" t="s">
        <v>41</v>
      </c>
      <c r="W1816" t="s">
        <v>75</v>
      </c>
      <c r="X1816" t="str">
        <f>"7171002"</f>
        <v>7171002</v>
      </c>
      <c r="Y1816" t="s">
        <v>1505</v>
      </c>
      <c r="Z1816" t="s">
        <v>1502</v>
      </c>
      <c r="AA1816" t="s">
        <v>1503</v>
      </c>
      <c r="AB1816" t="s">
        <v>670</v>
      </c>
      <c r="AC1816" t="s">
        <v>51</v>
      </c>
      <c r="AD1816" t="s">
        <v>45</v>
      </c>
      <c r="AE1816" s="1">
        <v>29278</v>
      </c>
      <c r="AF1816">
        <v>1</v>
      </c>
      <c r="AG1816" t="s">
        <v>1503</v>
      </c>
      <c r="AH1816" s="36">
        <f t="shared" si="28"/>
        <v>39.386111111111113</v>
      </c>
      <c r="AI1816" s="40" t="s">
        <v>1778</v>
      </c>
    </row>
    <row r="1817" spans="1:35" x14ac:dyDescent="0.25">
      <c r="A1817" s="36">
        <v>99911815</v>
      </c>
      <c r="B1817" s="17" t="s">
        <v>32</v>
      </c>
      <c r="C1817" t="s">
        <v>64</v>
      </c>
      <c r="D1817" t="s">
        <v>65</v>
      </c>
      <c r="G1817" s="17" t="s">
        <v>48</v>
      </c>
      <c r="H1817" s="17">
        <v>5</v>
      </c>
      <c r="I1817" t="s">
        <v>433</v>
      </c>
      <c r="J1817" s="1">
        <v>40422</v>
      </c>
      <c r="K1817" t="s">
        <v>431</v>
      </c>
      <c r="L1817" t="s">
        <v>196</v>
      </c>
      <c r="M1817" t="s">
        <v>131</v>
      </c>
      <c r="N1817">
        <v>23</v>
      </c>
      <c r="O1817" t="s">
        <v>40</v>
      </c>
      <c r="P1817" t="s">
        <v>40</v>
      </c>
      <c r="Q1817" t="s">
        <v>40</v>
      </c>
      <c r="R1817" t="s">
        <v>40</v>
      </c>
      <c r="S1817" t="s">
        <v>40</v>
      </c>
      <c r="U1817" s="1">
        <v>40422</v>
      </c>
      <c r="V1817" t="s">
        <v>41</v>
      </c>
      <c r="W1817" t="s">
        <v>75</v>
      </c>
      <c r="X1817" t="str">
        <f>"7521012"</f>
        <v>7521012</v>
      </c>
      <c r="Y1817" t="s">
        <v>432</v>
      </c>
      <c r="Z1817" t="s">
        <v>431</v>
      </c>
      <c r="AA1817" t="s">
        <v>196</v>
      </c>
      <c r="AB1817" t="s">
        <v>131</v>
      </c>
      <c r="AC1817" t="s">
        <v>165</v>
      </c>
      <c r="AD1817" t="s">
        <v>45</v>
      </c>
      <c r="AE1817" s="1">
        <v>29276</v>
      </c>
      <c r="AF1817">
        <v>1</v>
      </c>
      <c r="AG1817" t="s">
        <v>196</v>
      </c>
      <c r="AH1817" s="36">
        <f t="shared" si="28"/>
        <v>39.391666666666666</v>
      </c>
      <c r="AI1817" s="40" t="s">
        <v>1778</v>
      </c>
    </row>
    <row r="1818" spans="1:35" x14ac:dyDescent="0.25">
      <c r="A1818" s="36">
        <v>99911816</v>
      </c>
      <c r="B1818" s="17" t="s">
        <v>32</v>
      </c>
      <c r="C1818" t="s">
        <v>46</v>
      </c>
      <c r="D1818" t="s">
        <v>47</v>
      </c>
      <c r="G1818" s="17" t="s">
        <v>35</v>
      </c>
      <c r="H1818" s="17">
        <v>1</v>
      </c>
      <c r="I1818">
        <v>0</v>
      </c>
      <c r="J1818" s="1">
        <v>43344</v>
      </c>
      <c r="K1818" t="s">
        <v>223</v>
      </c>
      <c r="L1818" t="s">
        <v>224</v>
      </c>
      <c r="M1818" t="s">
        <v>131</v>
      </c>
      <c r="N1818">
        <v>20</v>
      </c>
      <c r="O1818" t="s">
        <v>40</v>
      </c>
      <c r="S1818" t="s">
        <v>40</v>
      </c>
      <c r="U1818" s="1">
        <v>43344</v>
      </c>
      <c r="V1818" t="s">
        <v>41</v>
      </c>
      <c r="W1818" t="s">
        <v>42</v>
      </c>
      <c r="X1818" t="str">
        <f>"0580206"</f>
        <v>0580206</v>
      </c>
      <c r="Y1818" t="s">
        <v>237</v>
      </c>
      <c r="Z1818" t="s">
        <v>223</v>
      </c>
      <c r="AA1818" t="s">
        <v>224</v>
      </c>
      <c r="AB1818" t="s">
        <v>131</v>
      </c>
      <c r="AC1818" t="s">
        <v>51</v>
      </c>
      <c r="AD1818" t="s">
        <v>45</v>
      </c>
      <c r="AE1818" s="1">
        <v>29273</v>
      </c>
      <c r="AF1818">
        <v>2</v>
      </c>
      <c r="AG1818" t="s">
        <v>224</v>
      </c>
      <c r="AH1818" s="36">
        <f t="shared" si="28"/>
        <v>39.4</v>
      </c>
      <c r="AI1818" s="40" t="s">
        <v>1778</v>
      </c>
    </row>
    <row r="1819" spans="1:35" x14ac:dyDescent="0.25">
      <c r="A1819" s="36">
        <v>99911817</v>
      </c>
      <c r="B1819" s="17" t="s">
        <v>56</v>
      </c>
      <c r="C1819" t="s">
        <v>61</v>
      </c>
      <c r="D1819" t="s">
        <v>62</v>
      </c>
      <c r="G1819" s="17" t="s">
        <v>35</v>
      </c>
      <c r="H1819" s="17">
        <v>1</v>
      </c>
      <c r="I1819" t="s">
        <v>712</v>
      </c>
      <c r="J1819" s="1">
        <v>43344</v>
      </c>
      <c r="K1819" t="s">
        <v>268</v>
      </c>
      <c r="L1819" t="s">
        <v>269</v>
      </c>
      <c r="M1819" t="s">
        <v>131</v>
      </c>
      <c r="N1819">
        <v>6</v>
      </c>
      <c r="O1819" t="s">
        <v>40</v>
      </c>
      <c r="P1819" t="s">
        <v>40</v>
      </c>
      <c r="Q1819" t="s">
        <v>40</v>
      </c>
      <c r="R1819" t="s">
        <v>40</v>
      </c>
      <c r="S1819" t="s">
        <v>40</v>
      </c>
      <c r="U1819" s="1">
        <v>43344</v>
      </c>
      <c r="V1819" t="s">
        <v>41</v>
      </c>
      <c r="W1819" t="s">
        <v>75</v>
      </c>
      <c r="X1819" t="str">
        <f>"7052034"</f>
        <v>7052034</v>
      </c>
      <c r="Y1819" t="s">
        <v>604</v>
      </c>
      <c r="Z1819" t="s">
        <v>268</v>
      </c>
      <c r="AA1819" t="s">
        <v>269</v>
      </c>
      <c r="AB1819" t="s">
        <v>131</v>
      </c>
      <c r="AC1819" t="s">
        <v>51</v>
      </c>
      <c r="AD1819" t="s">
        <v>45</v>
      </c>
      <c r="AE1819" s="1">
        <v>29271</v>
      </c>
      <c r="AF1819">
        <v>1</v>
      </c>
      <c r="AG1819" t="s">
        <v>269</v>
      </c>
      <c r="AH1819" s="36">
        <f t="shared" si="28"/>
        <v>39.405555555555559</v>
      </c>
      <c r="AI1819" s="40" t="s">
        <v>1778</v>
      </c>
    </row>
    <row r="1820" spans="1:35" x14ac:dyDescent="0.25">
      <c r="A1820" s="36">
        <v>99911818</v>
      </c>
      <c r="B1820" s="17" t="s">
        <v>32</v>
      </c>
      <c r="C1820" t="s">
        <v>82</v>
      </c>
      <c r="D1820" t="s">
        <v>83</v>
      </c>
      <c r="G1820" s="17" t="s">
        <v>48</v>
      </c>
      <c r="H1820" s="17">
        <v>9</v>
      </c>
      <c r="K1820" t="s">
        <v>1268</v>
      </c>
      <c r="L1820" t="s">
        <v>1269</v>
      </c>
      <c r="M1820" t="s">
        <v>1270</v>
      </c>
      <c r="N1820">
        <v>10</v>
      </c>
      <c r="O1820" t="s">
        <v>40</v>
      </c>
      <c r="P1820" t="s">
        <v>40</v>
      </c>
      <c r="Q1820" t="s">
        <v>40</v>
      </c>
      <c r="R1820" t="s">
        <v>40</v>
      </c>
      <c r="S1820" t="s">
        <v>40</v>
      </c>
      <c r="V1820" t="s">
        <v>41</v>
      </c>
      <c r="W1820" t="s">
        <v>49</v>
      </c>
      <c r="X1820" t="str">
        <f>"1981911"</f>
        <v>1981911</v>
      </c>
      <c r="Y1820" t="s">
        <v>1286</v>
      </c>
      <c r="Z1820" t="s">
        <v>1268</v>
      </c>
      <c r="AA1820" t="s">
        <v>1269</v>
      </c>
      <c r="AB1820" t="s">
        <v>1270</v>
      </c>
      <c r="AC1820" t="s">
        <v>51</v>
      </c>
      <c r="AD1820" t="s">
        <v>45</v>
      </c>
      <c r="AE1820" s="1">
        <v>29270</v>
      </c>
      <c r="AF1820">
        <v>2</v>
      </c>
      <c r="AG1820" t="s">
        <v>1269</v>
      </c>
      <c r="AH1820" s="36">
        <f t="shared" si="28"/>
        <v>39.408333333333331</v>
      </c>
      <c r="AI1820" s="40" t="s">
        <v>1778</v>
      </c>
    </row>
    <row r="1821" spans="1:35" x14ac:dyDescent="0.25">
      <c r="A1821" s="36">
        <v>99911819</v>
      </c>
      <c r="B1821" s="17" t="s">
        <v>32</v>
      </c>
      <c r="C1821" t="s">
        <v>46</v>
      </c>
      <c r="D1821" t="s">
        <v>47</v>
      </c>
      <c r="G1821" s="17" t="s">
        <v>35</v>
      </c>
      <c r="H1821" s="17">
        <v>1</v>
      </c>
      <c r="K1821" t="s">
        <v>1626</v>
      </c>
      <c r="L1821" t="s">
        <v>1627</v>
      </c>
      <c r="M1821" t="s">
        <v>1592</v>
      </c>
      <c r="N1821">
        <v>22</v>
      </c>
      <c r="O1821" t="s">
        <v>40</v>
      </c>
      <c r="P1821" t="s">
        <v>40</v>
      </c>
      <c r="Q1821" t="s">
        <v>40</v>
      </c>
      <c r="R1821" t="s">
        <v>40</v>
      </c>
      <c r="S1821" t="s">
        <v>40</v>
      </c>
      <c r="V1821" t="s">
        <v>41</v>
      </c>
      <c r="W1821" t="s">
        <v>49</v>
      </c>
      <c r="X1821" t="str">
        <f>"3681015"</f>
        <v>3681015</v>
      </c>
      <c r="Y1821" t="s">
        <v>1629</v>
      </c>
      <c r="Z1821" t="s">
        <v>1626</v>
      </c>
      <c r="AA1821" t="s">
        <v>1627</v>
      </c>
      <c r="AB1821" t="s">
        <v>1592</v>
      </c>
      <c r="AC1821" t="s">
        <v>51</v>
      </c>
      <c r="AD1821" t="s">
        <v>45</v>
      </c>
      <c r="AE1821" s="1">
        <v>29269</v>
      </c>
      <c r="AF1821">
        <v>2</v>
      </c>
      <c r="AG1821" t="s">
        <v>1627</v>
      </c>
      <c r="AH1821" s="36">
        <f t="shared" si="28"/>
        <v>39.411111111111111</v>
      </c>
      <c r="AI1821" s="40" t="s">
        <v>1778</v>
      </c>
    </row>
    <row r="1822" spans="1:35" x14ac:dyDescent="0.25">
      <c r="A1822" s="36">
        <v>99911820</v>
      </c>
      <c r="B1822" s="17" t="s">
        <v>32</v>
      </c>
      <c r="C1822" t="s">
        <v>52</v>
      </c>
      <c r="D1822" t="s">
        <v>53</v>
      </c>
      <c r="G1822" s="17" t="s">
        <v>35</v>
      </c>
      <c r="H1822" s="17">
        <v>1</v>
      </c>
      <c r="I1822" t="s">
        <v>960</v>
      </c>
      <c r="J1822" s="1">
        <v>43344</v>
      </c>
      <c r="K1822" t="s">
        <v>947</v>
      </c>
      <c r="L1822" t="s">
        <v>948</v>
      </c>
      <c r="M1822" t="s">
        <v>938</v>
      </c>
      <c r="N1822">
        <v>24</v>
      </c>
      <c r="O1822" t="s">
        <v>40</v>
      </c>
      <c r="P1822" t="s">
        <v>40</v>
      </c>
      <c r="Q1822" t="s">
        <v>40</v>
      </c>
      <c r="R1822" t="s">
        <v>40</v>
      </c>
      <c r="S1822" t="s">
        <v>40</v>
      </c>
      <c r="U1822" s="1">
        <v>43344</v>
      </c>
      <c r="V1822" t="s">
        <v>41</v>
      </c>
      <c r="W1822" t="s">
        <v>42</v>
      </c>
      <c r="X1822" t="str">
        <f>"0680039"</f>
        <v>0680039</v>
      </c>
      <c r="Y1822" t="s">
        <v>949</v>
      </c>
      <c r="Z1822" t="s">
        <v>947</v>
      </c>
      <c r="AA1822" t="s">
        <v>948</v>
      </c>
      <c r="AB1822" t="s">
        <v>938</v>
      </c>
      <c r="AC1822" t="s">
        <v>51</v>
      </c>
      <c r="AD1822" t="s">
        <v>45</v>
      </c>
      <c r="AE1822" s="1">
        <v>29267</v>
      </c>
      <c r="AF1822">
        <v>2</v>
      </c>
      <c r="AG1822" t="s">
        <v>948</v>
      </c>
      <c r="AH1822" s="36">
        <f t="shared" si="28"/>
        <v>39.416666666666664</v>
      </c>
      <c r="AI1822" s="40" t="s">
        <v>1778</v>
      </c>
    </row>
    <row r="1823" spans="1:35" x14ac:dyDescent="0.25">
      <c r="A1823" s="36">
        <v>99911821</v>
      </c>
      <c r="B1823" s="17" t="s">
        <v>32</v>
      </c>
      <c r="C1823" t="s">
        <v>64</v>
      </c>
      <c r="D1823" t="s">
        <v>65</v>
      </c>
      <c r="G1823" s="17" t="s">
        <v>35</v>
      </c>
      <c r="H1823" s="17">
        <v>1</v>
      </c>
      <c r="K1823" t="s">
        <v>1626</v>
      </c>
      <c r="L1823" t="s">
        <v>1627</v>
      </c>
      <c r="M1823" t="s">
        <v>1592</v>
      </c>
      <c r="N1823">
        <v>21</v>
      </c>
      <c r="O1823" t="s">
        <v>40</v>
      </c>
      <c r="P1823" t="s">
        <v>40</v>
      </c>
      <c r="Q1823" t="s">
        <v>40</v>
      </c>
      <c r="R1823" t="s">
        <v>40</v>
      </c>
      <c r="S1823" t="s">
        <v>40</v>
      </c>
      <c r="V1823" t="s">
        <v>41</v>
      </c>
      <c r="W1823" t="s">
        <v>49</v>
      </c>
      <c r="X1823" t="str">
        <f>"3681015"</f>
        <v>3681015</v>
      </c>
      <c r="Y1823" t="s">
        <v>1629</v>
      </c>
      <c r="Z1823" t="s">
        <v>1626</v>
      </c>
      <c r="AA1823" t="s">
        <v>1627</v>
      </c>
      <c r="AB1823" t="s">
        <v>1592</v>
      </c>
      <c r="AC1823" t="s">
        <v>51</v>
      </c>
      <c r="AD1823" t="s">
        <v>45</v>
      </c>
      <c r="AE1823" s="1">
        <v>29267</v>
      </c>
      <c r="AF1823">
        <v>2</v>
      </c>
      <c r="AG1823" t="s">
        <v>1627</v>
      </c>
      <c r="AH1823" s="36">
        <f t="shared" si="28"/>
        <v>39.416666666666664</v>
      </c>
      <c r="AI1823" s="40" t="s">
        <v>1778</v>
      </c>
    </row>
    <row r="1824" spans="1:35" x14ac:dyDescent="0.25">
      <c r="A1824" s="36">
        <v>99911822</v>
      </c>
      <c r="B1824" s="17" t="s">
        <v>32</v>
      </c>
      <c r="C1824" t="s">
        <v>46</v>
      </c>
      <c r="D1824" t="s">
        <v>47</v>
      </c>
      <c r="G1824" s="17" t="s">
        <v>48</v>
      </c>
      <c r="H1824" s="17">
        <v>1</v>
      </c>
      <c r="K1824" t="s">
        <v>223</v>
      </c>
      <c r="L1824" t="s">
        <v>224</v>
      </c>
      <c r="M1824" t="s">
        <v>131</v>
      </c>
      <c r="N1824">
        <v>7</v>
      </c>
      <c r="O1824" t="s">
        <v>40</v>
      </c>
      <c r="P1824" t="s">
        <v>40</v>
      </c>
      <c r="Q1824" t="s">
        <v>40</v>
      </c>
      <c r="R1824" t="s">
        <v>40</v>
      </c>
      <c r="S1824" t="s">
        <v>40</v>
      </c>
      <c r="V1824" t="s">
        <v>41</v>
      </c>
      <c r="W1824" t="s">
        <v>42</v>
      </c>
      <c r="X1824" t="str">
        <f>"0590910"</f>
        <v>0590910</v>
      </c>
      <c r="Y1824" t="s">
        <v>227</v>
      </c>
      <c r="Z1824" t="s">
        <v>223</v>
      </c>
      <c r="AA1824" t="s">
        <v>224</v>
      </c>
      <c r="AB1824" t="s">
        <v>131</v>
      </c>
      <c r="AC1824" t="s">
        <v>51</v>
      </c>
      <c r="AD1824" t="s">
        <v>45</v>
      </c>
      <c r="AE1824" s="1">
        <v>29266</v>
      </c>
      <c r="AF1824">
        <v>2</v>
      </c>
      <c r="AG1824" t="s">
        <v>224</v>
      </c>
      <c r="AH1824" s="36">
        <f t="shared" si="28"/>
        <v>39.419444444444444</v>
      </c>
      <c r="AI1824" s="40" t="s">
        <v>1778</v>
      </c>
    </row>
    <row r="1825" spans="1:35" x14ac:dyDescent="0.25">
      <c r="A1825" s="36">
        <v>99911823</v>
      </c>
      <c r="B1825" s="17" t="s">
        <v>56</v>
      </c>
      <c r="C1825" t="s">
        <v>79</v>
      </c>
      <c r="D1825" t="s">
        <v>80</v>
      </c>
      <c r="G1825" s="17" t="s">
        <v>35</v>
      </c>
      <c r="H1825" s="17">
        <v>1</v>
      </c>
      <c r="I1825" t="s">
        <v>183</v>
      </c>
      <c r="J1825" s="1">
        <v>43344</v>
      </c>
      <c r="K1825" t="s">
        <v>157</v>
      </c>
      <c r="L1825" t="s">
        <v>158</v>
      </c>
      <c r="M1825" t="s">
        <v>131</v>
      </c>
      <c r="N1825">
        <v>11</v>
      </c>
      <c r="O1825" t="s">
        <v>40</v>
      </c>
      <c r="P1825" t="s">
        <v>40</v>
      </c>
      <c r="Q1825" t="s">
        <v>40</v>
      </c>
      <c r="R1825" t="s">
        <v>40</v>
      </c>
      <c r="S1825" t="s">
        <v>40</v>
      </c>
      <c r="U1825" s="1">
        <v>43344</v>
      </c>
      <c r="V1825" t="s">
        <v>41</v>
      </c>
      <c r="W1825" t="s">
        <v>49</v>
      </c>
      <c r="X1825" t="str">
        <f>"0560026"</f>
        <v>0560026</v>
      </c>
      <c r="Y1825" t="s">
        <v>184</v>
      </c>
      <c r="Z1825" t="s">
        <v>157</v>
      </c>
      <c r="AA1825" t="s">
        <v>158</v>
      </c>
      <c r="AB1825" t="s">
        <v>131</v>
      </c>
      <c r="AC1825" t="s">
        <v>44</v>
      </c>
      <c r="AD1825" t="s">
        <v>45</v>
      </c>
      <c r="AE1825" s="1">
        <v>29262</v>
      </c>
      <c r="AF1825">
        <v>2</v>
      </c>
      <c r="AG1825" t="s">
        <v>158</v>
      </c>
      <c r="AH1825" s="36">
        <f t="shared" si="28"/>
        <v>39.430555555555557</v>
      </c>
      <c r="AI1825" s="40" t="s">
        <v>1778</v>
      </c>
    </row>
    <row r="1826" spans="1:35" x14ac:dyDescent="0.25">
      <c r="A1826" s="36">
        <v>99911824</v>
      </c>
      <c r="B1826" s="17" t="s">
        <v>56</v>
      </c>
      <c r="C1826" t="s">
        <v>61</v>
      </c>
      <c r="D1826" t="s">
        <v>62</v>
      </c>
      <c r="G1826" s="17" t="s">
        <v>48</v>
      </c>
      <c r="H1826" s="17">
        <v>1</v>
      </c>
      <c r="K1826" t="s">
        <v>1198</v>
      </c>
      <c r="L1826" t="s">
        <v>1199</v>
      </c>
      <c r="M1826" t="s">
        <v>1130</v>
      </c>
      <c r="N1826">
        <v>19</v>
      </c>
      <c r="O1826" t="s">
        <v>40</v>
      </c>
      <c r="P1826" t="s">
        <v>40</v>
      </c>
      <c r="Q1826" t="s">
        <v>40</v>
      </c>
      <c r="R1826" t="s">
        <v>40</v>
      </c>
      <c r="S1826" t="s">
        <v>40</v>
      </c>
      <c r="V1826" t="s">
        <v>41</v>
      </c>
      <c r="W1826" t="s">
        <v>75</v>
      </c>
      <c r="X1826" t="str">
        <f>"7311006"</f>
        <v>7311006</v>
      </c>
      <c r="Y1826" t="s">
        <v>1200</v>
      </c>
      <c r="Z1826" t="s">
        <v>1198</v>
      </c>
      <c r="AA1826" t="s">
        <v>1199</v>
      </c>
      <c r="AB1826" t="s">
        <v>1130</v>
      </c>
      <c r="AC1826" t="s">
        <v>51</v>
      </c>
      <c r="AD1826" t="s">
        <v>45</v>
      </c>
      <c r="AE1826" s="1">
        <v>29260</v>
      </c>
      <c r="AF1826">
        <v>1</v>
      </c>
      <c r="AG1826" t="s">
        <v>1199</v>
      </c>
      <c r="AH1826" s="36">
        <f t="shared" si="28"/>
        <v>39.43611111111111</v>
      </c>
      <c r="AI1826" s="40" t="s">
        <v>1778</v>
      </c>
    </row>
    <row r="1827" spans="1:35" x14ac:dyDescent="0.25">
      <c r="A1827" s="36">
        <v>99911825</v>
      </c>
      <c r="B1827" s="17" t="s">
        <v>56</v>
      </c>
      <c r="C1827" t="s">
        <v>58</v>
      </c>
      <c r="D1827" t="s">
        <v>59</v>
      </c>
      <c r="G1827" s="17" t="s">
        <v>48</v>
      </c>
      <c r="H1827" s="17">
        <v>1</v>
      </c>
      <c r="K1827" t="s">
        <v>1268</v>
      </c>
      <c r="L1827" t="s">
        <v>1269</v>
      </c>
      <c r="M1827" t="s">
        <v>1270</v>
      </c>
      <c r="N1827">
        <v>23</v>
      </c>
      <c r="O1827" t="s">
        <v>40</v>
      </c>
      <c r="P1827" t="s">
        <v>40</v>
      </c>
      <c r="Q1827" t="s">
        <v>40</v>
      </c>
      <c r="S1827" t="s">
        <v>40</v>
      </c>
      <c r="V1827" t="s">
        <v>41</v>
      </c>
      <c r="W1827" t="s">
        <v>42</v>
      </c>
      <c r="X1827" t="str">
        <f>"1980050"</f>
        <v>1980050</v>
      </c>
      <c r="Y1827" t="s">
        <v>1278</v>
      </c>
      <c r="Z1827" t="s">
        <v>1268</v>
      </c>
      <c r="AA1827" t="s">
        <v>1269</v>
      </c>
      <c r="AB1827" t="s">
        <v>1270</v>
      </c>
      <c r="AC1827" t="s">
        <v>51</v>
      </c>
      <c r="AD1827" t="s">
        <v>45</v>
      </c>
      <c r="AE1827" s="1">
        <v>29259</v>
      </c>
      <c r="AF1827">
        <v>2</v>
      </c>
      <c r="AG1827" t="s">
        <v>1269</v>
      </c>
      <c r="AH1827" s="36">
        <f t="shared" si="28"/>
        <v>39.43888888888889</v>
      </c>
      <c r="AI1827" s="40" t="s">
        <v>1778</v>
      </c>
    </row>
    <row r="1828" spans="1:35" x14ac:dyDescent="0.25">
      <c r="A1828" s="36">
        <v>99911826</v>
      </c>
      <c r="B1828" s="17" t="s">
        <v>56</v>
      </c>
      <c r="C1828" t="s">
        <v>61</v>
      </c>
      <c r="D1828" t="s">
        <v>62</v>
      </c>
      <c r="G1828" s="17" t="s">
        <v>35</v>
      </c>
      <c r="H1828" s="17">
        <v>1</v>
      </c>
      <c r="I1828" t="s">
        <v>74</v>
      </c>
      <c r="J1828" s="1">
        <v>43362</v>
      </c>
      <c r="K1828" t="s">
        <v>37</v>
      </c>
      <c r="L1828" t="s">
        <v>38</v>
      </c>
      <c r="M1828" t="s">
        <v>39</v>
      </c>
      <c r="N1828">
        <v>20</v>
      </c>
      <c r="O1828" t="s">
        <v>40</v>
      </c>
      <c r="P1828" t="s">
        <v>40</v>
      </c>
      <c r="Q1828" t="s">
        <v>40</v>
      </c>
      <c r="R1828" t="s">
        <v>40</v>
      </c>
      <c r="S1828" t="s">
        <v>40</v>
      </c>
      <c r="U1828" s="1">
        <v>43362</v>
      </c>
      <c r="V1828" t="s">
        <v>41</v>
      </c>
      <c r="W1828" t="s">
        <v>75</v>
      </c>
      <c r="X1828" t="str">
        <f>"7371000"</f>
        <v>7371000</v>
      </c>
      <c r="Y1828" t="s">
        <v>76</v>
      </c>
      <c r="Z1828" t="s">
        <v>77</v>
      </c>
      <c r="AA1828" t="s">
        <v>78</v>
      </c>
      <c r="AB1828" t="s">
        <v>39</v>
      </c>
      <c r="AC1828" t="s">
        <v>55</v>
      </c>
      <c r="AD1828" t="s">
        <v>45</v>
      </c>
      <c r="AE1828" s="1">
        <v>29257</v>
      </c>
      <c r="AF1828">
        <v>2</v>
      </c>
      <c r="AG1828" t="s">
        <v>38</v>
      </c>
      <c r="AH1828" s="36">
        <f t="shared" si="28"/>
        <v>39.444444444444443</v>
      </c>
      <c r="AI1828" s="40" t="s">
        <v>1778</v>
      </c>
    </row>
    <row r="1829" spans="1:35" x14ac:dyDescent="0.25">
      <c r="A1829" s="36">
        <v>99911827</v>
      </c>
      <c r="B1829" s="17" t="s">
        <v>32</v>
      </c>
      <c r="C1829" t="s">
        <v>46</v>
      </c>
      <c r="D1829" t="s">
        <v>47</v>
      </c>
      <c r="G1829" s="17" t="s">
        <v>48</v>
      </c>
      <c r="H1829" s="17">
        <v>1</v>
      </c>
      <c r="K1829" t="s">
        <v>223</v>
      </c>
      <c r="L1829" t="s">
        <v>224</v>
      </c>
      <c r="M1829" t="s">
        <v>131</v>
      </c>
      <c r="N1829">
        <v>21</v>
      </c>
      <c r="O1829" t="s">
        <v>40</v>
      </c>
      <c r="P1829" t="s">
        <v>40</v>
      </c>
      <c r="Q1829" t="s">
        <v>40</v>
      </c>
      <c r="S1829" t="s">
        <v>40</v>
      </c>
      <c r="V1829" t="s">
        <v>41</v>
      </c>
      <c r="W1829" t="s">
        <v>49</v>
      </c>
      <c r="X1829" t="str">
        <f>"0581200"</f>
        <v>0581200</v>
      </c>
      <c r="Y1829" t="s">
        <v>238</v>
      </c>
      <c r="Z1829" t="s">
        <v>223</v>
      </c>
      <c r="AA1829" t="s">
        <v>224</v>
      </c>
      <c r="AB1829" t="s">
        <v>131</v>
      </c>
      <c r="AC1829" t="s">
        <v>51</v>
      </c>
      <c r="AD1829" t="s">
        <v>45</v>
      </c>
      <c r="AE1829" s="1">
        <v>29251</v>
      </c>
      <c r="AF1829">
        <v>2</v>
      </c>
      <c r="AG1829" t="s">
        <v>224</v>
      </c>
      <c r="AH1829" s="36">
        <f t="shared" si="28"/>
        <v>39.461111111111109</v>
      </c>
      <c r="AI1829" s="40" t="s">
        <v>1778</v>
      </c>
    </row>
    <row r="1830" spans="1:35" x14ac:dyDescent="0.25">
      <c r="A1830" s="36">
        <v>99911828</v>
      </c>
      <c r="B1830" s="17" t="s">
        <v>32</v>
      </c>
      <c r="C1830" t="s">
        <v>111</v>
      </c>
      <c r="D1830" t="s">
        <v>112</v>
      </c>
      <c r="G1830" s="17" t="s">
        <v>48</v>
      </c>
      <c r="H1830" s="17">
        <v>7</v>
      </c>
      <c r="I1830" t="s">
        <v>475</v>
      </c>
      <c r="J1830" s="1">
        <v>42248</v>
      </c>
      <c r="K1830" t="s">
        <v>431</v>
      </c>
      <c r="L1830" t="s">
        <v>196</v>
      </c>
      <c r="M1830" t="s">
        <v>131</v>
      </c>
      <c r="N1830">
        <v>23</v>
      </c>
      <c r="O1830" t="s">
        <v>40</v>
      </c>
      <c r="P1830" t="s">
        <v>40</v>
      </c>
      <c r="Q1830" t="s">
        <v>40</v>
      </c>
      <c r="R1830" t="s">
        <v>40</v>
      </c>
      <c r="S1830" t="s">
        <v>40</v>
      </c>
      <c r="U1830" s="1">
        <v>42248</v>
      </c>
      <c r="V1830" t="s">
        <v>41</v>
      </c>
      <c r="W1830" t="s">
        <v>75</v>
      </c>
      <c r="X1830" t="str">
        <f>"7521022"</f>
        <v>7521022</v>
      </c>
      <c r="Y1830" t="s">
        <v>445</v>
      </c>
      <c r="Z1830" t="s">
        <v>431</v>
      </c>
      <c r="AA1830" t="s">
        <v>196</v>
      </c>
      <c r="AB1830" t="s">
        <v>131</v>
      </c>
      <c r="AC1830" t="s">
        <v>51</v>
      </c>
      <c r="AD1830" t="s">
        <v>45</v>
      </c>
      <c r="AE1830" s="1">
        <v>29250</v>
      </c>
      <c r="AF1830">
        <v>1</v>
      </c>
      <c r="AG1830" t="s">
        <v>196</v>
      </c>
      <c r="AH1830" s="36">
        <f t="shared" si="28"/>
        <v>39.463888888888889</v>
      </c>
      <c r="AI1830" s="40" t="s">
        <v>1778</v>
      </c>
    </row>
    <row r="1831" spans="1:35" x14ac:dyDescent="0.25">
      <c r="A1831" s="36">
        <v>99911829</v>
      </c>
      <c r="B1831" s="17" t="s">
        <v>56</v>
      </c>
      <c r="C1831" t="s">
        <v>46</v>
      </c>
      <c r="D1831" t="s">
        <v>47</v>
      </c>
      <c r="G1831" s="17" t="s">
        <v>35</v>
      </c>
      <c r="H1831" s="17">
        <v>1</v>
      </c>
      <c r="I1831">
        <v>0</v>
      </c>
      <c r="J1831" s="1">
        <v>43344</v>
      </c>
      <c r="K1831" t="s">
        <v>223</v>
      </c>
      <c r="L1831" t="s">
        <v>224</v>
      </c>
      <c r="M1831" t="s">
        <v>131</v>
      </c>
      <c r="N1831">
        <v>21</v>
      </c>
      <c r="O1831" t="s">
        <v>40</v>
      </c>
      <c r="S1831" t="s">
        <v>40</v>
      </c>
      <c r="U1831" s="1">
        <v>43344</v>
      </c>
      <c r="V1831" t="s">
        <v>41</v>
      </c>
      <c r="W1831" t="s">
        <v>42</v>
      </c>
      <c r="X1831" t="str">
        <f>"0580206"</f>
        <v>0580206</v>
      </c>
      <c r="Y1831" t="s">
        <v>237</v>
      </c>
      <c r="Z1831" t="s">
        <v>223</v>
      </c>
      <c r="AA1831" t="s">
        <v>224</v>
      </c>
      <c r="AB1831" t="s">
        <v>131</v>
      </c>
      <c r="AC1831" t="s">
        <v>51</v>
      </c>
      <c r="AD1831" t="s">
        <v>45</v>
      </c>
      <c r="AE1831" s="1">
        <v>29249</v>
      </c>
      <c r="AF1831">
        <v>2</v>
      </c>
      <c r="AG1831" t="s">
        <v>224</v>
      </c>
      <c r="AH1831" s="36">
        <f t="shared" si="28"/>
        <v>39.466666666666669</v>
      </c>
      <c r="AI1831" s="40" t="s">
        <v>1778</v>
      </c>
    </row>
    <row r="1832" spans="1:35" x14ac:dyDescent="0.25">
      <c r="A1832" s="36">
        <v>99911830</v>
      </c>
      <c r="B1832" s="17" t="s">
        <v>56</v>
      </c>
      <c r="C1832" t="s">
        <v>79</v>
      </c>
      <c r="D1832" t="s">
        <v>80</v>
      </c>
      <c r="G1832" s="17" t="s">
        <v>48</v>
      </c>
      <c r="H1832" s="17">
        <v>3</v>
      </c>
      <c r="K1832" t="s">
        <v>129</v>
      </c>
      <c r="L1832" t="s">
        <v>130</v>
      </c>
      <c r="M1832" t="s">
        <v>131</v>
      </c>
      <c r="N1832">
        <v>22</v>
      </c>
      <c r="O1832" t="s">
        <v>40</v>
      </c>
      <c r="P1832" t="s">
        <v>40</v>
      </c>
      <c r="Q1832" t="s">
        <v>40</v>
      </c>
      <c r="R1832" t="s">
        <v>40</v>
      </c>
      <c r="S1832" t="s">
        <v>40</v>
      </c>
      <c r="U1832" s="1">
        <v>40066</v>
      </c>
      <c r="V1832" t="s">
        <v>41</v>
      </c>
      <c r="W1832" t="s">
        <v>49</v>
      </c>
      <c r="X1832" t="str">
        <f>"0580150"</f>
        <v>0580150</v>
      </c>
      <c r="Y1832" t="s">
        <v>134</v>
      </c>
      <c r="Z1832" t="s">
        <v>129</v>
      </c>
      <c r="AA1832" t="s">
        <v>130</v>
      </c>
      <c r="AB1832" t="s">
        <v>131</v>
      </c>
      <c r="AC1832" t="s">
        <v>51</v>
      </c>
      <c r="AD1832" t="s">
        <v>45</v>
      </c>
      <c r="AE1832" s="1">
        <v>29248</v>
      </c>
      <c r="AF1832">
        <v>2</v>
      </c>
      <c r="AG1832" t="s">
        <v>130</v>
      </c>
      <c r="AH1832" s="36">
        <f t="shared" si="28"/>
        <v>39.469444444444441</v>
      </c>
      <c r="AI1832" s="40" t="s">
        <v>1778</v>
      </c>
    </row>
    <row r="1833" spans="1:35" x14ac:dyDescent="0.25">
      <c r="A1833" s="36">
        <v>99911831</v>
      </c>
      <c r="B1833" s="17" t="s">
        <v>56</v>
      </c>
      <c r="C1833" t="s">
        <v>46</v>
      </c>
      <c r="D1833" t="s">
        <v>47</v>
      </c>
      <c r="G1833" s="17" t="s">
        <v>35</v>
      </c>
      <c r="H1833" s="17">
        <v>1</v>
      </c>
      <c r="I1833">
        <v>0</v>
      </c>
      <c r="J1833" s="1">
        <v>43344</v>
      </c>
      <c r="K1833" t="s">
        <v>223</v>
      </c>
      <c r="L1833" t="s">
        <v>224</v>
      </c>
      <c r="M1833" t="s">
        <v>131</v>
      </c>
      <c r="N1833">
        <v>21</v>
      </c>
      <c r="O1833" t="s">
        <v>40</v>
      </c>
      <c r="S1833" t="s">
        <v>40</v>
      </c>
      <c r="U1833" s="1">
        <v>43344</v>
      </c>
      <c r="V1833" t="s">
        <v>41</v>
      </c>
      <c r="W1833" t="s">
        <v>42</v>
      </c>
      <c r="X1833" t="str">
        <f>"0580206"</f>
        <v>0580206</v>
      </c>
      <c r="Y1833" t="s">
        <v>237</v>
      </c>
      <c r="Z1833" t="s">
        <v>223</v>
      </c>
      <c r="AA1833" t="s">
        <v>224</v>
      </c>
      <c r="AB1833" t="s">
        <v>131</v>
      </c>
      <c r="AC1833" t="s">
        <v>51</v>
      </c>
      <c r="AD1833" t="s">
        <v>45</v>
      </c>
      <c r="AE1833" s="1">
        <v>29246</v>
      </c>
      <c r="AF1833">
        <v>2</v>
      </c>
      <c r="AG1833" t="s">
        <v>224</v>
      </c>
      <c r="AH1833" s="36">
        <f t="shared" si="28"/>
        <v>39.475000000000001</v>
      </c>
      <c r="AI1833" s="40" t="s">
        <v>1778</v>
      </c>
    </row>
    <row r="1834" spans="1:35" x14ac:dyDescent="0.25">
      <c r="A1834" s="36">
        <v>99911832</v>
      </c>
      <c r="B1834" s="17" t="s">
        <v>56</v>
      </c>
      <c r="C1834" t="s">
        <v>61</v>
      </c>
      <c r="D1834" t="s">
        <v>62</v>
      </c>
      <c r="G1834" s="17" t="s">
        <v>48</v>
      </c>
      <c r="H1834" s="17">
        <v>6</v>
      </c>
      <c r="K1834" t="s">
        <v>431</v>
      </c>
      <c r="L1834" t="s">
        <v>196</v>
      </c>
      <c r="M1834" t="s">
        <v>131</v>
      </c>
      <c r="N1834">
        <v>20</v>
      </c>
      <c r="O1834" t="s">
        <v>40</v>
      </c>
      <c r="P1834" t="s">
        <v>40</v>
      </c>
      <c r="Q1834" t="s">
        <v>40</v>
      </c>
      <c r="R1834" t="s">
        <v>40</v>
      </c>
      <c r="S1834" t="s">
        <v>40</v>
      </c>
      <c r="V1834" t="s">
        <v>41</v>
      </c>
      <c r="W1834" t="s">
        <v>75</v>
      </c>
      <c r="X1834" t="str">
        <f>"7521054"</f>
        <v>7521054</v>
      </c>
      <c r="Y1834" t="s">
        <v>476</v>
      </c>
      <c r="Z1834" t="s">
        <v>431</v>
      </c>
      <c r="AA1834" t="s">
        <v>196</v>
      </c>
      <c r="AB1834" t="s">
        <v>131</v>
      </c>
      <c r="AC1834" t="s">
        <v>51</v>
      </c>
      <c r="AD1834" t="s">
        <v>45</v>
      </c>
      <c r="AE1834" s="1">
        <v>29230</v>
      </c>
      <c r="AF1834">
        <v>1</v>
      </c>
      <c r="AG1834" t="s">
        <v>196</v>
      </c>
      <c r="AH1834" s="36">
        <f t="shared" si="28"/>
        <v>39.519444444444446</v>
      </c>
      <c r="AI1834" s="40" t="s">
        <v>1778</v>
      </c>
    </row>
    <row r="1835" spans="1:35" x14ac:dyDescent="0.25">
      <c r="A1835" s="36">
        <v>99911833</v>
      </c>
      <c r="B1835" s="17" t="s">
        <v>32</v>
      </c>
      <c r="C1835" t="s">
        <v>46</v>
      </c>
      <c r="D1835" t="s">
        <v>47</v>
      </c>
      <c r="G1835" s="17" t="s">
        <v>35</v>
      </c>
      <c r="H1835" s="17">
        <v>1</v>
      </c>
      <c r="K1835" t="s">
        <v>223</v>
      </c>
      <c r="L1835" t="s">
        <v>224</v>
      </c>
      <c r="M1835" t="s">
        <v>131</v>
      </c>
      <c r="N1835">
        <v>22</v>
      </c>
      <c r="O1835" t="s">
        <v>40</v>
      </c>
      <c r="P1835" t="s">
        <v>40</v>
      </c>
      <c r="Q1835" t="s">
        <v>40</v>
      </c>
      <c r="R1835" t="s">
        <v>40</v>
      </c>
      <c r="S1835" t="s">
        <v>40</v>
      </c>
      <c r="V1835" t="s">
        <v>41</v>
      </c>
      <c r="W1835" t="s">
        <v>49</v>
      </c>
      <c r="X1835" t="str">
        <f>"0591901"</f>
        <v>0591901</v>
      </c>
      <c r="Y1835" t="s">
        <v>230</v>
      </c>
      <c r="Z1835" t="s">
        <v>223</v>
      </c>
      <c r="AA1835" t="s">
        <v>224</v>
      </c>
      <c r="AB1835" t="s">
        <v>131</v>
      </c>
      <c r="AC1835" t="s">
        <v>51</v>
      </c>
      <c r="AD1835" t="s">
        <v>45</v>
      </c>
      <c r="AE1835" s="1">
        <v>29229</v>
      </c>
      <c r="AF1835">
        <v>2</v>
      </c>
      <c r="AG1835" t="s">
        <v>224</v>
      </c>
      <c r="AH1835" s="36">
        <f t="shared" si="28"/>
        <v>39.522222222222226</v>
      </c>
      <c r="AI1835" s="40" t="s">
        <v>1778</v>
      </c>
    </row>
    <row r="1836" spans="1:35" x14ac:dyDescent="0.25">
      <c r="A1836" s="36">
        <v>99911834</v>
      </c>
      <c r="B1836" s="17" t="s">
        <v>56</v>
      </c>
      <c r="C1836" t="s">
        <v>111</v>
      </c>
      <c r="D1836" t="s">
        <v>112</v>
      </c>
      <c r="G1836" s="17" t="s">
        <v>88</v>
      </c>
      <c r="H1836" s="17">
        <v>4</v>
      </c>
      <c r="I1836" t="s">
        <v>514</v>
      </c>
      <c r="J1836" s="1">
        <v>41518</v>
      </c>
      <c r="K1836" t="s">
        <v>195</v>
      </c>
      <c r="L1836" t="s">
        <v>196</v>
      </c>
      <c r="M1836" t="s">
        <v>131</v>
      </c>
      <c r="N1836">
        <v>24</v>
      </c>
      <c r="O1836" t="s">
        <v>40</v>
      </c>
      <c r="P1836" t="s">
        <v>40</v>
      </c>
      <c r="Q1836" t="s">
        <v>40</v>
      </c>
      <c r="R1836" t="s">
        <v>40</v>
      </c>
      <c r="S1836" t="s">
        <v>40</v>
      </c>
      <c r="U1836" s="1">
        <v>41518</v>
      </c>
      <c r="V1836" t="s">
        <v>41</v>
      </c>
      <c r="W1836" t="s">
        <v>75</v>
      </c>
      <c r="X1836" t="str">
        <f>"7521050"</f>
        <v>7521050</v>
      </c>
      <c r="Y1836" t="s">
        <v>194</v>
      </c>
      <c r="Z1836" t="s">
        <v>195</v>
      </c>
      <c r="AA1836" t="s">
        <v>196</v>
      </c>
      <c r="AB1836" t="s">
        <v>131</v>
      </c>
      <c r="AC1836" t="s">
        <v>51</v>
      </c>
      <c r="AD1836" t="s">
        <v>45</v>
      </c>
      <c r="AE1836" s="1">
        <v>29224</v>
      </c>
      <c r="AF1836">
        <v>1</v>
      </c>
      <c r="AG1836" t="s">
        <v>196</v>
      </c>
      <c r="AH1836" s="36">
        <f t="shared" si="28"/>
        <v>39.536111111111111</v>
      </c>
      <c r="AI1836" s="40" t="s">
        <v>1778</v>
      </c>
    </row>
    <row r="1837" spans="1:35" x14ac:dyDescent="0.25">
      <c r="A1837" s="36">
        <v>99911835</v>
      </c>
      <c r="B1837" s="17" t="s">
        <v>32</v>
      </c>
      <c r="C1837" t="s">
        <v>64</v>
      </c>
      <c r="D1837" t="s">
        <v>65</v>
      </c>
      <c r="G1837" s="17" t="s">
        <v>35</v>
      </c>
      <c r="H1837" s="17">
        <v>1</v>
      </c>
      <c r="K1837" t="s">
        <v>1564</v>
      </c>
      <c r="L1837" t="s">
        <v>1565</v>
      </c>
      <c r="M1837" t="s">
        <v>1548</v>
      </c>
      <c r="N1837">
        <v>24</v>
      </c>
      <c r="O1837" t="s">
        <v>40</v>
      </c>
      <c r="P1837" t="s">
        <v>40</v>
      </c>
      <c r="Q1837" t="s">
        <v>40</v>
      </c>
      <c r="R1837" t="s">
        <v>40</v>
      </c>
      <c r="S1837" t="s">
        <v>40</v>
      </c>
      <c r="V1837" t="s">
        <v>41</v>
      </c>
      <c r="W1837" t="s">
        <v>75</v>
      </c>
      <c r="X1837" t="str">
        <f>"7101000"</f>
        <v>7101000</v>
      </c>
      <c r="Y1837" t="s">
        <v>1572</v>
      </c>
      <c r="Z1837" t="s">
        <v>1564</v>
      </c>
      <c r="AA1837" t="s">
        <v>1565</v>
      </c>
      <c r="AB1837" t="s">
        <v>1548</v>
      </c>
      <c r="AC1837" t="s">
        <v>51</v>
      </c>
      <c r="AD1837" t="s">
        <v>45</v>
      </c>
      <c r="AE1837" s="1">
        <v>29223</v>
      </c>
      <c r="AF1837">
        <v>1</v>
      </c>
      <c r="AG1837" t="s">
        <v>1565</v>
      </c>
      <c r="AH1837" s="36">
        <f t="shared" si="28"/>
        <v>39.538888888888891</v>
      </c>
      <c r="AI1837" s="40" t="s">
        <v>1778</v>
      </c>
    </row>
    <row r="1838" spans="1:35" x14ac:dyDescent="0.25">
      <c r="A1838" s="36">
        <v>99911836</v>
      </c>
      <c r="B1838" s="17" t="s">
        <v>32</v>
      </c>
      <c r="C1838" t="s">
        <v>64</v>
      </c>
      <c r="D1838" t="s">
        <v>65</v>
      </c>
      <c r="G1838" s="17" t="s">
        <v>48</v>
      </c>
      <c r="H1838" s="17">
        <v>1</v>
      </c>
      <c r="K1838" t="s">
        <v>877</v>
      </c>
      <c r="L1838" t="s">
        <v>878</v>
      </c>
      <c r="M1838" t="s">
        <v>131</v>
      </c>
      <c r="N1838">
        <v>24</v>
      </c>
      <c r="O1838" t="s">
        <v>40</v>
      </c>
      <c r="P1838" t="s">
        <v>40</v>
      </c>
      <c r="Q1838" t="s">
        <v>40</v>
      </c>
      <c r="R1838" t="s">
        <v>40</v>
      </c>
      <c r="S1838" t="s">
        <v>40</v>
      </c>
      <c r="V1838" t="s">
        <v>41</v>
      </c>
      <c r="W1838" t="s">
        <v>75</v>
      </c>
      <c r="X1838" t="str">
        <f>"7700025"</f>
        <v>7700025</v>
      </c>
      <c r="Y1838" t="s">
        <v>880</v>
      </c>
      <c r="Z1838" t="s">
        <v>877</v>
      </c>
      <c r="AA1838" t="s">
        <v>878</v>
      </c>
      <c r="AB1838" t="s">
        <v>131</v>
      </c>
      <c r="AC1838" t="s">
        <v>51</v>
      </c>
      <c r="AD1838" t="s">
        <v>45</v>
      </c>
      <c r="AE1838" s="1">
        <v>29222</v>
      </c>
      <c r="AF1838">
        <v>1</v>
      </c>
      <c r="AG1838" t="s">
        <v>878</v>
      </c>
      <c r="AH1838" s="36">
        <f t="shared" si="28"/>
        <v>39.541666666666664</v>
      </c>
      <c r="AI1838" s="40" t="s">
        <v>1778</v>
      </c>
    </row>
    <row r="1839" spans="1:35" x14ac:dyDescent="0.25">
      <c r="A1839" s="36">
        <v>99911837</v>
      </c>
      <c r="B1839" s="17" t="s">
        <v>32</v>
      </c>
      <c r="C1839" t="s">
        <v>139</v>
      </c>
      <c r="D1839" t="s">
        <v>140</v>
      </c>
      <c r="G1839" s="17" t="s">
        <v>48</v>
      </c>
      <c r="H1839" s="17">
        <v>1</v>
      </c>
      <c r="K1839" t="s">
        <v>157</v>
      </c>
      <c r="L1839" t="s">
        <v>158</v>
      </c>
      <c r="M1839" t="s">
        <v>131</v>
      </c>
      <c r="N1839">
        <v>6</v>
      </c>
      <c r="O1839" t="s">
        <v>40</v>
      </c>
      <c r="P1839" t="s">
        <v>40</v>
      </c>
      <c r="Q1839" t="s">
        <v>40</v>
      </c>
      <c r="R1839" t="s">
        <v>40</v>
      </c>
      <c r="S1839" t="s">
        <v>40</v>
      </c>
      <c r="V1839" t="s">
        <v>41</v>
      </c>
      <c r="W1839" t="s">
        <v>49</v>
      </c>
      <c r="X1839" t="str">
        <f>"0560019"</f>
        <v>0560019</v>
      </c>
      <c r="Y1839" t="s">
        <v>166</v>
      </c>
      <c r="Z1839" t="s">
        <v>157</v>
      </c>
      <c r="AA1839" t="s">
        <v>158</v>
      </c>
      <c r="AB1839" t="s">
        <v>131</v>
      </c>
      <c r="AC1839" t="s">
        <v>51</v>
      </c>
      <c r="AD1839" t="s">
        <v>45</v>
      </c>
      <c r="AE1839" s="1">
        <v>29221</v>
      </c>
      <c r="AF1839">
        <v>2</v>
      </c>
      <c r="AG1839" t="s">
        <v>158</v>
      </c>
      <c r="AH1839" s="36">
        <f t="shared" si="28"/>
        <v>39.544444444444444</v>
      </c>
      <c r="AI1839" s="40" t="s">
        <v>1778</v>
      </c>
    </row>
    <row r="1840" spans="1:35" x14ac:dyDescent="0.25">
      <c r="A1840" s="36">
        <v>99911838</v>
      </c>
      <c r="B1840" s="17" t="s">
        <v>32</v>
      </c>
      <c r="C1840" t="s">
        <v>68</v>
      </c>
      <c r="D1840" t="s">
        <v>69</v>
      </c>
      <c r="G1840" s="17" t="s">
        <v>35</v>
      </c>
      <c r="H1840" s="17">
        <v>1</v>
      </c>
      <c r="K1840" t="s">
        <v>157</v>
      </c>
      <c r="L1840" t="s">
        <v>158</v>
      </c>
      <c r="M1840" t="s">
        <v>131</v>
      </c>
      <c r="N1840">
        <v>18</v>
      </c>
      <c r="O1840" t="s">
        <v>40</v>
      </c>
      <c r="P1840" t="s">
        <v>40</v>
      </c>
      <c r="Q1840" t="s">
        <v>40</v>
      </c>
      <c r="R1840" t="s">
        <v>40</v>
      </c>
      <c r="S1840" t="s">
        <v>40</v>
      </c>
      <c r="V1840" t="s">
        <v>41</v>
      </c>
      <c r="W1840" t="s">
        <v>49</v>
      </c>
      <c r="X1840" t="str">
        <f>"0581725"</f>
        <v>0581725</v>
      </c>
      <c r="Y1840" t="s">
        <v>161</v>
      </c>
      <c r="Z1840" t="s">
        <v>157</v>
      </c>
      <c r="AA1840" t="s">
        <v>158</v>
      </c>
      <c r="AB1840" t="s">
        <v>131</v>
      </c>
      <c r="AC1840" t="s">
        <v>51</v>
      </c>
      <c r="AD1840" t="s">
        <v>45</v>
      </c>
      <c r="AE1840" s="1">
        <v>29221</v>
      </c>
      <c r="AF1840">
        <v>2</v>
      </c>
      <c r="AG1840" t="s">
        <v>158</v>
      </c>
      <c r="AH1840" s="36">
        <f t="shared" si="28"/>
        <v>39.544444444444444</v>
      </c>
      <c r="AI1840" s="40" t="s">
        <v>1778</v>
      </c>
    </row>
    <row r="1841" spans="1:35" x14ac:dyDescent="0.25">
      <c r="A1841" s="36">
        <v>99911839</v>
      </c>
      <c r="B1841" s="17" t="s">
        <v>56</v>
      </c>
      <c r="C1841" t="s">
        <v>46</v>
      </c>
      <c r="D1841" t="s">
        <v>47</v>
      </c>
      <c r="G1841" s="17" t="s">
        <v>48</v>
      </c>
      <c r="H1841" s="17">
        <v>1</v>
      </c>
      <c r="K1841" t="s">
        <v>157</v>
      </c>
      <c r="L1841" t="s">
        <v>158</v>
      </c>
      <c r="M1841" t="s">
        <v>131</v>
      </c>
      <c r="N1841">
        <v>16</v>
      </c>
      <c r="O1841" t="s">
        <v>40</v>
      </c>
      <c r="P1841" t="s">
        <v>40</v>
      </c>
      <c r="Q1841" t="s">
        <v>40</v>
      </c>
      <c r="R1841" t="s">
        <v>40</v>
      </c>
      <c r="S1841" t="s">
        <v>40</v>
      </c>
      <c r="V1841" t="s">
        <v>41</v>
      </c>
      <c r="W1841" t="s">
        <v>42</v>
      </c>
      <c r="X1841" t="str">
        <f>"0580735"</f>
        <v>0580735</v>
      </c>
      <c r="Y1841" t="s">
        <v>180</v>
      </c>
      <c r="Z1841" t="s">
        <v>157</v>
      </c>
      <c r="AA1841" t="s">
        <v>158</v>
      </c>
      <c r="AB1841" t="s">
        <v>131</v>
      </c>
      <c r="AC1841" t="s">
        <v>51</v>
      </c>
      <c r="AD1841" t="s">
        <v>45</v>
      </c>
      <c r="AE1841" s="1">
        <v>29221</v>
      </c>
      <c r="AF1841">
        <v>2</v>
      </c>
      <c r="AG1841" t="s">
        <v>158</v>
      </c>
      <c r="AH1841" s="36">
        <f t="shared" si="28"/>
        <v>39.544444444444444</v>
      </c>
      <c r="AI1841" s="40" t="s">
        <v>1778</v>
      </c>
    </row>
    <row r="1842" spans="1:35" x14ac:dyDescent="0.25">
      <c r="A1842" s="36">
        <v>99911840</v>
      </c>
      <c r="B1842" s="17" t="s">
        <v>32</v>
      </c>
      <c r="C1842" t="s">
        <v>71</v>
      </c>
      <c r="D1842" t="s">
        <v>72</v>
      </c>
      <c r="G1842" s="17" t="s">
        <v>35</v>
      </c>
      <c r="H1842" s="17">
        <v>1</v>
      </c>
      <c r="I1842">
        <v>18253</v>
      </c>
      <c r="J1842" s="1">
        <v>43344</v>
      </c>
      <c r="K1842" t="s">
        <v>223</v>
      </c>
      <c r="L1842" t="s">
        <v>224</v>
      </c>
      <c r="M1842" t="s">
        <v>131</v>
      </c>
      <c r="N1842">
        <v>6</v>
      </c>
      <c r="O1842" t="s">
        <v>40</v>
      </c>
      <c r="P1842" t="s">
        <v>40</v>
      </c>
      <c r="Q1842" t="s">
        <v>40</v>
      </c>
      <c r="R1842" t="s">
        <v>40</v>
      </c>
      <c r="S1842" t="s">
        <v>40</v>
      </c>
      <c r="U1842" s="1">
        <v>43344</v>
      </c>
      <c r="V1842" t="s">
        <v>41</v>
      </c>
      <c r="W1842" t="s">
        <v>49</v>
      </c>
      <c r="X1842" t="str">
        <f>"0560008"</f>
        <v>0560008</v>
      </c>
      <c r="Y1842" t="s">
        <v>263</v>
      </c>
      <c r="Z1842" t="s">
        <v>223</v>
      </c>
      <c r="AA1842" t="s">
        <v>224</v>
      </c>
      <c r="AB1842" t="s">
        <v>131</v>
      </c>
      <c r="AC1842" t="s">
        <v>51</v>
      </c>
      <c r="AD1842" t="s">
        <v>45</v>
      </c>
      <c r="AE1842" s="1">
        <v>29221</v>
      </c>
      <c r="AF1842">
        <v>2</v>
      </c>
      <c r="AG1842" t="s">
        <v>224</v>
      </c>
      <c r="AH1842" s="36">
        <f t="shared" si="28"/>
        <v>39.544444444444444</v>
      </c>
      <c r="AI1842" s="40" t="s">
        <v>1778</v>
      </c>
    </row>
    <row r="1843" spans="1:35" x14ac:dyDescent="0.25">
      <c r="A1843" s="36">
        <v>99911841</v>
      </c>
      <c r="B1843" s="17" t="s">
        <v>32</v>
      </c>
      <c r="C1843" t="s">
        <v>46</v>
      </c>
      <c r="D1843" t="s">
        <v>47</v>
      </c>
      <c r="G1843" s="17" t="s">
        <v>35</v>
      </c>
      <c r="H1843" s="17">
        <v>1</v>
      </c>
      <c r="I1843">
        <v>0</v>
      </c>
      <c r="J1843" s="1">
        <v>43344</v>
      </c>
      <c r="K1843" t="s">
        <v>223</v>
      </c>
      <c r="L1843" t="s">
        <v>224</v>
      </c>
      <c r="M1843" t="s">
        <v>131</v>
      </c>
      <c r="N1843">
        <v>21</v>
      </c>
      <c r="O1843" t="s">
        <v>40</v>
      </c>
      <c r="P1843" t="s">
        <v>40</v>
      </c>
      <c r="Q1843" t="s">
        <v>40</v>
      </c>
      <c r="R1843" t="s">
        <v>40</v>
      </c>
      <c r="S1843" t="s">
        <v>40</v>
      </c>
      <c r="U1843" s="1">
        <v>43344</v>
      </c>
      <c r="V1843" t="s">
        <v>41</v>
      </c>
      <c r="W1843" t="s">
        <v>42</v>
      </c>
      <c r="X1843" t="str">
        <f>"0580206"</f>
        <v>0580206</v>
      </c>
      <c r="Y1843" t="s">
        <v>237</v>
      </c>
      <c r="Z1843" t="s">
        <v>223</v>
      </c>
      <c r="AA1843" t="s">
        <v>224</v>
      </c>
      <c r="AB1843" t="s">
        <v>131</v>
      </c>
      <c r="AC1843" t="s">
        <v>51</v>
      </c>
      <c r="AD1843" t="s">
        <v>45</v>
      </c>
      <c r="AE1843" s="1">
        <v>29221</v>
      </c>
      <c r="AF1843">
        <v>2</v>
      </c>
      <c r="AG1843" t="s">
        <v>224</v>
      </c>
      <c r="AH1843" s="36">
        <f t="shared" si="28"/>
        <v>39.544444444444444</v>
      </c>
      <c r="AI1843" s="40" t="s">
        <v>1778</v>
      </c>
    </row>
    <row r="1844" spans="1:35" x14ac:dyDescent="0.25">
      <c r="A1844" s="36">
        <v>99911842</v>
      </c>
      <c r="B1844" s="17" t="s">
        <v>32</v>
      </c>
      <c r="C1844" t="s">
        <v>64</v>
      </c>
      <c r="D1844" t="s">
        <v>65</v>
      </c>
      <c r="G1844" s="17" t="s">
        <v>48</v>
      </c>
      <c r="H1844" s="17">
        <v>1</v>
      </c>
      <c r="K1844" t="s">
        <v>300</v>
      </c>
      <c r="L1844" t="s">
        <v>301</v>
      </c>
      <c r="M1844" t="s">
        <v>131</v>
      </c>
      <c r="N1844">
        <v>22</v>
      </c>
      <c r="O1844" t="s">
        <v>40</v>
      </c>
      <c r="P1844" t="s">
        <v>40</v>
      </c>
      <c r="Q1844" t="s">
        <v>40</v>
      </c>
      <c r="R1844" t="s">
        <v>40</v>
      </c>
      <c r="S1844" t="s">
        <v>40</v>
      </c>
      <c r="V1844" t="s">
        <v>41</v>
      </c>
      <c r="W1844" t="s">
        <v>42</v>
      </c>
      <c r="X1844" t="str">
        <f>"0561001"</f>
        <v>0561001</v>
      </c>
      <c r="Y1844" t="s">
        <v>308</v>
      </c>
      <c r="Z1844" t="s">
        <v>300</v>
      </c>
      <c r="AA1844" t="s">
        <v>301</v>
      </c>
      <c r="AB1844" t="s">
        <v>131</v>
      </c>
      <c r="AC1844" t="s">
        <v>51</v>
      </c>
      <c r="AD1844" t="s">
        <v>45</v>
      </c>
      <c r="AE1844" s="1">
        <v>29221</v>
      </c>
      <c r="AF1844">
        <v>2</v>
      </c>
      <c r="AG1844" t="s">
        <v>301</v>
      </c>
      <c r="AH1844" s="36">
        <f t="shared" si="28"/>
        <v>39.544444444444444</v>
      </c>
      <c r="AI1844" s="40" t="s">
        <v>1778</v>
      </c>
    </row>
    <row r="1845" spans="1:35" x14ac:dyDescent="0.25">
      <c r="A1845" s="36">
        <v>99911843</v>
      </c>
      <c r="B1845" s="17" t="s">
        <v>32</v>
      </c>
      <c r="C1845" t="s">
        <v>290</v>
      </c>
      <c r="D1845" t="s">
        <v>291</v>
      </c>
      <c r="G1845" s="17" t="s">
        <v>48</v>
      </c>
      <c r="H1845" s="17">
        <v>1</v>
      </c>
      <c r="K1845" t="s">
        <v>300</v>
      </c>
      <c r="L1845" t="s">
        <v>301</v>
      </c>
      <c r="M1845" t="s">
        <v>131</v>
      </c>
      <c r="N1845">
        <v>8</v>
      </c>
      <c r="O1845" t="s">
        <v>40</v>
      </c>
      <c r="P1845" t="s">
        <v>40</v>
      </c>
      <c r="Q1845" t="s">
        <v>40</v>
      </c>
      <c r="R1845" t="s">
        <v>40</v>
      </c>
      <c r="S1845" t="s">
        <v>40</v>
      </c>
      <c r="V1845" t="s">
        <v>41</v>
      </c>
      <c r="W1845" t="s">
        <v>49</v>
      </c>
      <c r="X1845" t="str">
        <f>"0560020"</f>
        <v>0560020</v>
      </c>
      <c r="Y1845" t="s">
        <v>302</v>
      </c>
      <c r="Z1845" t="s">
        <v>300</v>
      </c>
      <c r="AA1845" t="s">
        <v>301</v>
      </c>
      <c r="AB1845" t="s">
        <v>131</v>
      </c>
      <c r="AC1845" t="s">
        <v>51</v>
      </c>
      <c r="AD1845" t="s">
        <v>45</v>
      </c>
      <c r="AE1845" s="1">
        <v>29221</v>
      </c>
      <c r="AF1845">
        <v>2</v>
      </c>
      <c r="AG1845" t="s">
        <v>301</v>
      </c>
      <c r="AH1845" s="36">
        <f t="shared" si="28"/>
        <v>39.544444444444444</v>
      </c>
      <c r="AI1845" s="40" t="s">
        <v>1778</v>
      </c>
    </row>
    <row r="1846" spans="1:35" x14ac:dyDescent="0.25">
      <c r="A1846" s="36">
        <v>99911844</v>
      </c>
      <c r="B1846" s="17" t="s">
        <v>32</v>
      </c>
      <c r="C1846" t="s">
        <v>68</v>
      </c>
      <c r="D1846" t="s">
        <v>69</v>
      </c>
      <c r="G1846" s="17" t="s">
        <v>48</v>
      </c>
      <c r="H1846" s="17">
        <v>1</v>
      </c>
      <c r="K1846" t="s">
        <v>300</v>
      </c>
      <c r="L1846" t="s">
        <v>301</v>
      </c>
      <c r="M1846" t="s">
        <v>131</v>
      </c>
      <c r="N1846">
        <v>2</v>
      </c>
      <c r="O1846" t="s">
        <v>40</v>
      </c>
      <c r="P1846" t="s">
        <v>40</v>
      </c>
      <c r="Q1846" t="s">
        <v>40</v>
      </c>
      <c r="R1846" t="s">
        <v>40</v>
      </c>
      <c r="S1846" t="s">
        <v>40</v>
      </c>
      <c r="V1846" t="s">
        <v>41</v>
      </c>
      <c r="W1846" t="s">
        <v>42</v>
      </c>
      <c r="X1846" t="str">
        <f>"0561001"</f>
        <v>0561001</v>
      </c>
      <c r="Y1846" t="s">
        <v>308</v>
      </c>
      <c r="Z1846" t="s">
        <v>300</v>
      </c>
      <c r="AA1846" t="s">
        <v>301</v>
      </c>
      <c r="AB1846" t="s">
        <v>131</v>
      </c>
      <c r="AC1846" t="s">
        <v>51</v>
      </c>
      <c r="AD1846" t="s">
        <v>45</v>
      </c>
      <c r="AE1846" s="1">
        <v>29221</v>
      </c>
      <c r="AF1846">
        <v>2</v>
      </c>
      <c r="AG1846" t="s">
        <v>301</v>
      </c>
      <c r="AH1846" s="36">
        <f t="shared" si="28"/>
        <v>39.544444444444444</v>
      </c>
      <c r="AI1846" s="40" t="s">
        <v>1778</v>
      </c>
    </row>
    <row r="1847" spans="1:35" x14ac:dyDescent="0.25">
      <c r="A1847" s="36">
        <v>99911845</v>
      </c>
      <c r="B1847" s="17" t="s">
        <v>56</v>
      </c>
      <c r="C1847" t="s">
        <v>68</v>
      </c>
      <c r="D1847" t="s">
        <v>69</v>
      </c>
      <c r="G1847" s="17" t="s">
        <v>48</v>
      </c>
      <c r="H1847" s="17">
        <v>1</v>
      </c>
      <c r="K1847" t="s">
        <v>300</v>
      </c>
      <c r="L1847" t="s">
        <v>301</v>
      </c>
      <c r="M1847" t="s">
        <v>131</v>
      </c>
      <c r="N1847">
        <v>24</v>
      </c>
      <c r="O1847" t="s">
        <v>40</v>
      </c>
      <c r="P1847" t="s">
        <v>40</v>
      </c>
      <c r="Q1847" t="s">
        <v>40</v>
      </c>
      <c r="R1847" t="s">
        <v>40</v>
      </c>
      <c r="S1847" t="s">
        <v>40</v>
      </c>
      <c r="V1847" t="s">
        <v>41</v>
      </c>
      <c r="W1847" t="s">
        <v>42</v>
      </c>
      <c r="X1847" t="str">
        <f>"0580176"</f>
        <v>0580176</v>
      </c>
      <c r="Y1847" t="s">
        <v>305</v>
      </c>
      <c r="Z1847" t="s">
        <v>300</v>
      </c>
      <c r="AA1847" t="s">
        <v>301</v>
      </c>
      <c r="AB1847" t="s">
        <v>131</v>
      </c>
      <c r="AC1847" t="s">
        <v>51</v>
      </c>
      <c r="AD1847" t="s">
        <v>45</v>
      </c>
      <c r="AE1847" s="1">
        <v>29221</v>
      </c>
      <c r="AF1847">
        <v>2</v>
      </c>
      <c r="AG1847" t="s">
        <v>301</v>
      </c>
      <c r="AH1847" s="36">
        <f t="shared" si="28"/>
        <v>39.544444444444444</v>
      </c>
      <c r="AI1847" s="40" t="s">
        <v>1778</v>
      </c>
    </row>
    <row r="1848" spans="1:35" x14ac:dyDescent="0.25">
      <c r="A1848" s="36">
        <v>99911846</v>
      </c>
      <c r="B1848" s="17" t="s">
        <v>32</v>
      </c>
      <c r="C1848" t="s">
        <v>46</v>
      </c>
      <c r="D1848" t="s">
        <v>47</v>
      </c>
      <c r="G1848" s="17" t="s">
        <v>48</v>
      </c>
      <c r="H1848" s="17">
        <v>1</v>
      </c>
      <c r="K1848" t="s">
        <v>300</v>
      </c>
      <c r="L1848" t="s">
        <v>301</v>
      </c>
      <c r="M1848" t="s">
        <v>131</v>
      </c>
      <c r="N1848">
        <v>19</v>
      </c>
      <c r="O1848" t="s">
        <v>40</v>
      </c>
      <c r="P1848" t="s">
        <v>40</v>
      </c>
      <c r="Q1848" t="s">
        <v>40</v>
      </c>
      <c r="R1848" t="s">
        <v>40</v>
      </c>
      <c r="S1848" t="s">
        <v>40</v>
      </c>
      <c r="V1848" t="s">
        <v>41</v>
      </c>
      <c r="W1848" t="s">
        <v>49</v>
      </c>
      <c r="X1848" t="str">
        <f>"0560022"</f>
        <v>0560022</v>
      </c>
      <c r="Y1848" t="s">
        <v>314</v>
      </c>
      <c r="Z1848" t="s">
        <v>300</v>
      </c>
      <c r="AA1848" t="s">
        <v>301</v>
      </c>
      <c r="AB1848" t="s">
        <v>131</v>
      </c>
      <c r="AC1848" t="s">
        <v>51</v>
      </c>
      <c r="AD1848" t="s">
        <v>45</v>
      </c>
      <c r="AE1848" s="1">
        <v>29221</v>
      </c>
      <c r="AF1848">
        <v>2</v>
      </c>
      <c r="AG1848" t="s">
        <v>301</v>
      </c>
      <c r="AH1848" s="36">
        <f t="shared" si="28"/>
        <v>39.544444444444444</v>
      </c>
      <c r="AI1848" s="40" t="s">
        <v>1778</v>
      </c>
    </row>
    <row r="1849" spans="1:35" x14ac:dyDescent="0.25">
      <c r="A1849" s="36">
        <v>99911847</v>
      </c>
      <c r="B1849" s="17" t="s">
        <v>32</v>
      </c>
      <c r="C1849" t="s">
        <v>52</v>
      </c>
      <c r="D1849" t="s">
        <v>53</v>
      </c>
      <c r="G1849" s="17" t="s">
        <v>35</v>
      </c>
      <c r="H1849" s="17">
        <v>1</v>
      </c>
      <c r="I1849">
        <v>17327</v>
      </c>
      <c r="J1849" s="1">
        <v>43346</v>
      </c>
      <c r="K1849" t="s">
        <v>345</v>
      </c>
      <c r="L1849" t="s">
        <v>346</v>
      </c>
      <c r="M1849" t="s">
        <v>131</v>
      </c>
      <c r="N1849">
        <v>12</v>
      </c>
      <c r="O1849" t="s">
        <v>40</v>
      </c>
      <c r="P1849" t="s">
        <v>40</v>
      </c>
      <c r="Q1849" t="s">
        <v>40</v>
      </c>
      <c r="R1849" t="s">
        <v>40</v>
      </c>
      <c r="S1849" t="s">
        <v>40</v>
      </c>
      <c r="U1849" s="1">
        <v>43346</v>
      </c>
      <c r="V1849" t="s">
        <v>41</v>
      </c>
      <c r="W1849" t="s">
        <v>42</v>
      </c>
      <c r="X1849" t="str">
        <f>"0561019"</f>
        <v>0561019</v>
      </c>
      <c r="Y1849" t="s">
        <v>351</v>
      </c>
      <c r="Z1849" t="s">
        <v>345</v>
      </c>
      <c r="AA1849" t="s">
        <v>346</v>
      </c>
      <c r="AB1849" t="s">
        <v>131</v>
      </c>
      <c r="AC1849" t="s">
        <v>55</v>
      </c>
      <c r="AD1849" t="s">
        <v>45</v>
      </c>
      <c r="AE1849" s="1">
        <v>29221</v>
      </c>
      <c r="AF1849">
        <v>2</v>
      </c>
      <c r="AG1849" t="s">
        <v>346</v>
      </c>
      <c r="AH1849" s="36">
        <f t="shared" si="28"/>
        <v>39.544444444444444</v>
      </c>
      <c r="AI1849" s="40" t="s">
        <v>1778</v>
      </c>
    </row>
    <row r="1850" spans="1:35" x14ac:dyDescent="0.25">
      <c r="A1850" s="36">
        <v>99911848</v>
      </c>
      <c r="B1850" s="17" t="s">
        <v>32</v>
      </c>
      <c r="C1850" t="s">
        <v>46</v>
      </c>
      <c r="D1850" t="s">
        <v>47</v>
      </c>
      <c r="G1850" s="17" t="s">
        <v>48</v>
      </c>
      <c r="H1850" s="17">
        <v>1</v>
      </c>
      <c r="K1850" t="s">
        <v>345</v>
      </c>
      <c r="L1850" t="s">
        <v>346</v>
      </c>
      <c r="M1850" t="s">
        <v>131</v>
      </c>
      <c r="N1850">
        <v>21</v>
      </c>
      <c r="O1850" t="s">
        <v>40</v>
      </c>
      <c r="P1850" t="s">
        <v>40</v>
      </c>
      <c r="Q1850" t="s">
        <v>40</v>
      </c>
      <c r="R1850" t="s">
        <v>40</v>
      </c>
      <c r="S1850" t="s">
        <v>40</v>
      </c>
      <c r="V1850" t="s">
        <v>41</v>
      </c>
      <c r="W1850" t="s">
        <v>49</v>
      </c>
      <c r="X1850" t="str">
        <f>"0591906"</f>
        <v>0591906</v>
      </c>
      <c r="Y1850" t="s">
        <v>350</v>
      </c>
      <c r="Z1850" t="s">
        <v>345</v>
      </c>
      <c r="AA1850" t="s">
        <v>346</v>
      </c>
      <c r="AB1850" t="s">
        <v>131</v>
      </c>
      <c r="AC1850" t="s">
        <v>51</v>
      </c>
      <c r="AD1850" t="s">
        <v>45</v>
      </c>
      <c r="AE1850" s="1">
        <v>29221</v>
      </c>
      <c r="AF1850">
        <v>2</v>
      </c>
      <c r="AG1850" t="s">
        <v>346</v>
      </c>
      <c r="AH1850" s="36">
        <f t="shared" si="28"/>
        <v>39.544444444444444</v>
      </c>
      <c r="AI1850" s="40" t="s">
        <v>1778</v>
      </c>
    </row>
    <row r="1851" spans="1:35" x14ac:dyDescent="0.25">
      <c r="A1851" s="36">
        <v>99911849</v>
      </c>
      <c r="B1851" s="17" t="s">
        <v>56</v>
      </c>
      <c r="C1851" t="s">
        <v>143</v>
      </c>
      <c r="D1851" t="s">
        <v>144</v>
      </c>
      <c r="G1851" s="17" t="s">
        <v>48</v>
      </c>
      <c r="H1851" s="17">
        <v>1</v>
      </c>
      <c r="K1851" t="s">
        <v>345</v>
      </c>
      <c r="L1851" t="s">
        <v>346</v>
      </c>
      <c r="M1851" t="s">
        <v>131</v>
      </c>
      <c r="N1851">
        <v>7</v>
      </c>
      <c r="O1851" t="s">
        <v>40</v>
      </c>
      <c r="P1851" t="s">
        <v>40</v>
      </c>
      <c r="Q1851" t="s">
        <v>40</v>
      </c>
      <c r="R1851" t="s">
        <v>40</v>
      </c>
      <c r="S1851" t="s">
        <v>40</v>
      </c>
      <c r="V1851" t="s">
        <v>41</v>
      </c>
      <c r="W1851" t="s">
        <v>42</v>
      </c>
      <c r="X1851" t="str">
        <f>"0580650"</f>
        <v>0580650</v>
      </c>
      <c r="Y1851" t="s">
        <v>356</v>
      </c>
      <c r="Z1851" t="s">
        <v>345</v>
      </c>
      <c r="AA1851" t="s">
        <v>346</v>
      </c>
      <c r="AB1851" t="s">
        <v>131</v>
      </c>
      <c r="AC1851" t="s">
        <v>51</v>
      </c>
      <c r="AD1851" t="s">
        <v>45</v>
      </c>
      <c r="AE1851" s="1">
        <v>29221</v>
      </c>
      <c r="AF1851">
        <v>2</v>
      </c>
      <c r="AG1851" t="s">
        <v>346</v>
      </c>
      <c r="AH1851" s="36">
        <f t="shared" si="28"/>
        <v>39.544444444444444</v>
      </c>
      <c r="AI1851" s="40" t="s">
        <v>1778</v>
      </c>
    </row>
    <row r="1852" spans="1:35" x14ac:dyDescent="0.25">
      <c r="A1852" s="36">
        <v>99911850</v>
      </c>
      <c r="B1852" s="17" t="s">
        <v>32</v>
      </c>
      <c r="C1852" t="s">
        <v>141</v>
      </c>
      <c r="D1852" t="s">
        <v>142</v>
      </c>
      <c r="G1852" s="17" t="s">
        <v>35</v>
      </c>
      <c r="H1852" s="17">
        <v>1</v>
      </c>
      <c r="I1852" t="s">
        <v>420</v>
      </c>
      <c r="J1852" s="1">
        <v>41652</v>
      </c>
      <c r="K1852" t="s">
        <v>154</v>
      </c>
      <c r="L1852" t="s">
        <v>155</v>
      </c>
      <c r="M1852" t="s">
        <v>131</v>
      </c>
      <c r="N1852">
        <v>12</v>
      </c>
      <c r="O1852" t="s">
        <v>40</v>
      </c>
      <c r="P1852" t="s">
        <v>40</v>
      </c>
      <c r="Q1852" t="s">
        <v>40</v>
      </c>
      <c r="R1852" t="s">
        <v>40</v>
      </c>
      <c r="S1852" t="s">
        <v>40</v>
      </c>
      <c r="U1852" s="1">
        <v>41652</v>
      </c>
      <c r="V1852" t="s">
        <v>41</v>
      </c>
      <c r="W1852" t="s">
        <v>75</v>
      </c>
      <c r="X1852" t="str">
        <f>"7051014"</f>
        <v>7051014</v>
      </c>
      <c r="Y1852" t="s">
        <v>398</v>
      </c>
      <c r="Z1852" t="s">
        <v>154</v>
      </c>
      <c r="AA1852" t="s">
        <v>155</v>
      </c>
      <c r="AB1852" t="s">
        <v>131</v>
      </c>
      <c r="AC1852" t="s">
        <v>165</v>
      </c>
      <c r="AD1852" t="s">
        <v>45</v>
      </c>
      <c r="AE1852" s="1">
        <v>29221</v>
      </c>
      <c r="AF1852">
        <v>1</v>
      </c>
      <c r="AG1852" t="s">
        <v>155</v>
      </c>
      <c r="AH1852" s="36">
        <f t="shared" si="28"/>
        <v>39.544444444444444</v>
      </c>
      <c r="AI1852" s="40" t="s">
        <v>1778</v>
      </c>
    </row>
    <row r="1853" spans="1:35" x14ac:dyDescent="0.25">
      <c r="A1853" s="36">
        <v>99911851</v>
      </c>
      <c r="B1853" s="17" t="s">
        <v>32</v>
      </c>
      <c r="C1853" t="s">
        <v>64</v>
      </c>
      <c r="D1853" t="s">
        <v>65</v>
      </c>
      <c r="G1853" s="17" t="s">
        <v>35</v>
      </c>
      <c r="H1853" s="17">
        <v>1</v>
      </c>
      <c r="K1853" t="s">
        <v>431</v>
      </c>
      <c r="L1853" t="s">
        <v>196</v>
      </c>
      <c r="M1853" t="s">
        <v>131</v>
      </c>
      <c r="N1853">
        <v>20</v>
      </c>
      <c r="O1853" t="s">
        <v>40</v>
      </c>
      <c r="P1853" t="s">
        <v>40</v>
      </c>
      <c r="Q1853" t="s">
        <v>40</v>
      </c>
      <c r="R1853" t="s">
        <v>40</v>
      </c>
      <c r="S1853" t="s">
        <v>40</v>
      </c>
      <c r="V1853" t="s">
        <v>41</v>
      </c>
      <c r="W1853" t="s">
        <v>75</v>
      </c>
      <c r="X1853" t="str">
        <f>"7521032"</f>
        <v>7521032</v>
      </c>
      <c r="Y1853" t="s">
        <v>462</v>
      </c>
      <c r="Z1853" t="s">
        <v>431</v>
      </c>
      <c r="AA1853" t="s">
        <v>196</v>
      </c>
      <c r="AB1853" t="s">
        <v>131</v>
      </c>
      <c r="AC1853" t="s">
        <v>51</v>
      </c>
      <c r="AD1853" t="s">
        <v>45</v>
      </c>
      <c r="AE1853" s="1">
        <v>29221</v>
      </c>
      <c r="AF1853">
        <v>1</v>
      </c>
      <c r="AG1853" t="s">
        <v>196</v>
      </c>
      <c r="AH1853" s="36">
        <f t="shared" si="28"/>
        <v>39.544444444444444</v>
      </c>
      <c r="AI1853" s="40" t="s">
        <v>1778</v>
      </c>
    </row>
    <row r="1854" spans="1:35" x14ac:dyDescent="0.25">
      <c r="A1854" s="36">
        <v>99911852</v>
      </c>
      <c r="B1854" s="17" t="s">
        <v>32</v>
      </c>
      <c r="C1854" t="s">
        <v>90</v>
      </c>
      <c r="D1854" t="s">
        <v>91</v>
      </c>
      <c r="G1854" s="17" t="s">
        <v>48</v>
      </c>
      <c r="H1854" s="17">
        <v>1</v>
      </c>
      <c r="K1854" t="s">
        <v>431</v>
      </c>
      <c r="L1854" t="s">
        <v>196</v>
      </c>
      <c r="M1854" t="s">
        <v>131</v>
      </c>
      <c r="N1854">
        <v>23</v>
      </c>
      <c r="O1854" t="s">
        <v>40</v>
      </c>
      <c r="P1854" t="s">
        <v>40</v>
      </c>
      <c r="Q1854" t="s">
        <v>40</v>
      </c>
      <c r="S1854" t="s">
        <v>40</v>
      </c>
      <c r="V1854" t="s">
        <v>41</v>
      </c>
      <c r="W1854" t="s">
        <v>95</v>
      </c>
      <c r="X1854" t="str">
        <f>"7521011"</f>
        <v>7521011</v>
      </c>
      <c r="Y1854" t="s">
        <v>506</v>
      </c>
      <c r="Z1854" t="s">
        <v>431</v>
      </c>
      <c r="AA1854" t="s">
        <v>196</v>
      </c>
      <c r="AB1854" t="s">
        <v>131</v>
      </c>
      <c r="AC1854" t="s">
        <v>51</v>
      </c>
      <c r="AD1854" t="s">
        <v>45</v>
      </c>
      <c r="AE1854" s="1">
        <v>29221</v>
      </c>
      <c r="AF1854">
        <v>1</v>
      </c>
      <c r="AG1854" t="s">
        <v>196</v>
      </c>
      <c r="AH1854" s="36">
        <f t="shared" si="28"/>
        <v>39.544444444444444</v>
      </c>
      <c r="AI1854" s="40" t="s">
        <v>1778</v>
      </c>
    </row>
    <row r="1855" spans="1:35" x14ac:dyDescent="0.25">
      <c r="A1855" s="36">
        <v>99911853</v>
      </c>
      <c r="B1855" s="17" t="s">
        <v>32</v>
      </c>
      <c r="C1855" t="s">
        <v>139</v>
      </c>
      <c r="D1855" t="s">
        <v>140</v>
      </c>
      <c r="G1855" s="17" t="s">
        <v>48</v>
      </c>
      <c r="H1855" s="17">
        <v>1</v>
      </c>
      <c r="K1855" t="s">
        <v>268</v>
      </c>
      <c r="L1855" t="s">
        <v>269</v>
      </c>
      <c r="M1855" t="s">
        <v>131</v>
      </c>
      <c r="N1855">
        <v>3</v>
      </c>
      <c r="O1855" t="s">
        <v>40</v>
      </c>
      <c r="P1855" t="s">
        <v>40</v>
      </c>
      <c r="Q1855" t="s">
        <v>40</v>
      </c>
      <c r="R1855" t="s">
        <v>40</v>
      </c>
      <c r="S1855" t="s">
        <v>40</v>
      </c>
      <c r="V1855" t="s">
        <v>41</v>
      </c>
      <c r="W1855" t="s">
        <v>75</v>
      </c>
      <c r="X1855" t="str">
        <f>"7052040"</f>
        <v>7052040</v>
      </c>
      <c r="Y1855" t="s">
        <v>591</v>
      </c>
      <c r="Z1855" t="s">
        <v>268</v>
      </c>
      <c r="AA1855" t="s">
        <v>269</v>
      </c>
      <c r="AB1855" t="s">
        <v>131</v>
      </c>
      <c r="AC1855" t="s">
        <v>51</v>
      </c>
      <c r="AD1855" t="s">
        <v>45</v>
      </c>
      <c r="AE1855" s="1">
        <v>29221</v>
      </c>
      <c r="AF1855">
        <v>1</v>
      </c>
      <c r="AG1855" t="s">
        <v>269</v>
      </c>
      <c r="AH1855" s="36">
        <f t="shared" si="28"/>
        <v>39.544444444444444</v>
      </c>
      <c r="AI1855" s="40" t="s">
        <v>1778</v>
      </c>
    </row>
    <row r="1856" spans="1:35" x14ac:dyDescent="0.25">
      <c r="A1856" s="36">
        <v>99911854</v>
      </c>
      <c r="B1856" s="17" t="s">
        <v>32</v>
      </c>
      <c r="C1856" t="s">
        <v>90</v>
      </c>
      <c r="D1856" t="s">
        <v>91</v>
      </c>
      <c r="G1856" s="17" t="s">
        <v>48</v>
      </c>
      <c r="H1856" s="17">
        <v>1</v>
      </c>
      <c r="I1856" t="s">
        <v>622</v>
      </c>
      <c r="J1856" s="1">
        <v>42027</v>
      </c>
      <c r="K1856" t="s">
        <v>268</v>
      </c>
      <c r="L1856" t="s">
        <v>269</v>
      </c>
      <c r="M1856" t="s">
        <v>131</v>
      </c>
      <c r="N1856">
        <v>6</v>
      </c>
      <c r="O1856" t="s">
        <v>40</v>
      </c>
      <c r="P1856" t="s">
        <v>40</v>
      </c>
      <c r="Q1856" t="s">
        <v>40</v>
      </c>
      <c r="S1856" t="s">
        <v>40</v>
      </c>
      <c r="U1856" s="1">
        <v>42031</v>
      </c>
      <c r="V1856" t="s">
        <v>41</v>
      </c>
      <c r="W1856" t="s">
        <v>95</v>
      </c>
      <c r="X1856" t="str">
        <f>"7052029"</f>
        <v>7052029</v>
      </c>
      <c r="Y1856" t="s">
        <v>629</v>
      </c>
      <c r="Z1856" t="s">
        <v>268</v>
      </c>
      <c r="AA1856" t="s">
        <v>269</v>
      </c>
      <c r="AB1856" t="s">
        <v>131</v>
      </c>
      <c r="AC1856" t="s">
        <v>51</v>
      </c>
      <c r="AD1856" t="s">
        <v>45</v>
      </c>
      <c r="AE1856" s="1">
        <v>29221</v>
      </c>
      <c r="AF1856">
        <v>1</v>
      </c>
      <c r="AG1856" t="s">
        <v>269</v>
      </c>
      <c r="AH1856" s="36">
        <f t="shared" si="28"/>
        <v>39.544444444444444</v>
      </c>
      <c r="AI1856" s="40" t="s">
        <v>1778</v>
      </c>
    </row>
    <row r="1857" spans="1:35" x14ac:dyDescent="0.25">
      <c r="A1857" s="36">
        <v>99911855</v>
      </c>
      <c r="B1857" s="17" t="s">
        <v>32</v>
      </c>
      <c r="C1857" t="s">
        <v>64</v>
      </c>
      <c r="D1857" t="s">
        <v>65</v>
      </c>
      <c r="G1857" s="17" t="s">
        <v>35</v>
      </c>
      <c r="H1857" s="17">
        <v>1</v>
      </c>
      <c r="K1857" t="s">
        <v>268</v>
      </c>
      <c r="L1857" t="s">
        <v>269</v>
      </c>
      <c r="M1857" t="s">
        <v>131</v>
      </c>
      <c r="N1857">
        <v>18</v>
      </c>
      <c r="O1857" t="s">
        <v>40</v>
      </c>
      <c r="P1857" t="s">
        <v>40</v>
      </c>
      <c r="Q1857" t="s">
        <v>40</v>
      </c>
      <c r="R1857" t="s">
        <v>40</v>
      </c>
      <c r="S1857" t="s">
        <v>40</v>
      </c>
      <c r="V1857" t="s">
        <v>41</v>
      </c>
      <c r="W1857" t="s">
        <v>75</v>
      </c>
      <c r="X1857" t="str">
        <f>"7052036"</f>
        <v>7052036</v>
      </c>
      <c r="Y1857" t="s">
        <v>679</v>
      </c>
      <c r="Z1857" t="s">
        <v>268</v>
      </c>
      <c r="AA1857" t="s">
        <v>269</v>
      </c>
      <c r="AB1857" t="s">
        <v>131</v>
      </c>
      <c r="AC1857" t="s">
        <v>51</v>
      </c>
      <c r="AD1857" t="s">
        <v>45</v>
      </c>
      <c r="AE1857" s="1">
        <v>29221</v>
      </c>
      <c r="AF1857">
        <v>1</v>
      </c>
      <c r="AG1857" t="s">
        <v>269</v>
      </c>
      <c r="AH1857" s="36">
        <f t="shared" si="28"/>
        <v>39.544444444444444</v>
      </c>
      <c r="AI1857" s="40" t="s">
        <v>1778</v>
      </c>
    </row>
    <row r="1858" spans="1:35" x14ac:dyDescent="0.25">
      <c r="A1858" s="36">
        <v>99911856</v>
      </c>
      <c r="B1858" s="17" t="s">
        <v>56</v>
      </c>
      <c r="C1858" t="s">
        <v>111</v>
      </c>
      <c r="D1858" t="s">
        <v>112</v>
      </c>
      <c r="G1858" s="17" t="s">
        <v>48</v>
      </c>
      <c r="H1858" s="17">
        <v>3</v>
      </c>
      <c r="K1858" t="s">
        <v>877</v>
      </c>
      <c r="L1858" t="s">
        <v>878</v>
      </c>
      <c r="M1858" t="s">
        <v>131</v>
      </c>
      <c r="N1858">
        <v>24</v>
      </c>
      <c r="O1858" t="s">
        <v>40</v>
      </c>
      <c r="P1858" t="s">
        <v>40</v>
      </c>
      <c r="Q1858" t="s">
        <v>40</v>
      </c>
      <c r="R1858" t="s">
        <v>40</v>
      </c>
      <c r="S1858" t="s">
        <v>40</v>
      </c>
      <c r="V1858" t="s">
        <v>41</v>
      </c>
      <c r="W1858" t="s">
        <v>75</v>
      </c>
      <c r="X1858" t="str">
        <f>"7541004"</f>
        <v>7541004</v>
      </c>
      <c r="Y1858" t="s">
        <v>889</v>
      </c>
      <c r="Z1858" t="s">
        <v>877</v>
      </c>
      <c r="AA1858" t="s">
        <v>878</v>
      </c>
      <c r="AB1858" t="s">
        <v>131</v>
      </c>
      <c r="AC1858" t="s">
        <v>51</v>
      </c>
      <c r="AD1858" t="s">
        <v>45</v>
      </c>
      <c r="AE1858" s="1">
        <v>29221</v>
      </c>
      <c r="AF1858">
        <v>1</v>
      </c>
      <c r="AG1858" t="s">
        <v>878</v>
      </c>
      <c r="AH1858" s="36">
        <f t="shared" ref="AH1858:AH1921" si="29">($AJ$1-AE1858)/360</f>
        <v>39.544444444444444</v>
      </c>
      <c r="AI1858" s="40" t="s">
        <v>1778</v>
      </c>
    </row>
    <row r="1859" spans="1:35" x14ac:dyDescent="0.25">
      <c r="A1859" s="36">
        <v>99911857</v>
      </c>
      <c r="B1859" s="17" t="s">
        <v>32</v>
      </c>
      <c r="C1859" t="s">
        <v>64</v>
      </c>
      <c r="D1859" t="s">
        <v>65</v>
      </c>
      <c r="G1859" s="17" t="s">
        <v>35</v>
      </c>
      <c r="H1859" s="17">
        <v>1</v>
      </c>
      <c r="I1859" t="s">
        <v>918</v>
      </c>
      <c r="J1859" s="1">
        <v>43350</v>
      </c>
      <c r="K1859" t="s">
        <v>919</v>
      </c>
      <c r="L1859" t="s">
        <v>920</v>
      </c>
      <c r="M1859" t="s">
        <v>921</v>
      </c>
      <c r="N1859">
        <v>8</v>
      </c>
      <c r="O1859" t="s">
        <v>40</v>
      </c>
      <c r="P1859" t="s">
        <v>40</v>
      </c>
      <c r="Q1859" t="s">
        <v>40</v>
      </c>
      <c r="R1859" t="s">
        <v>40</v>
      </c>
      <c r="S1859" t="s">
        <v>40</v>
      </c>
      <c r="U1859" s="1">
        <v>43350</v>
      </c>
      <c r="V1859" t="s">
        <v>41</v>
      </c>
      <c r="W1859" t="s">
        <v>922</v>
      </c>
      <c r="X1859" t="str">
        <f>"5162001"</f>
        <v>5162001</v>
      </c>
      <c r="Y1859" t="s">
        <v>923</v>
      </c>
      <c r="Z1859" t="s">
        <v>919</v>
      </c>
      <c r="AA1859" t="s">
        <v>920</v>
      </c>
      <c r="AB1859" t="s">
        <v>921</v>
      </c>
      <c r="AC1859" t="s">
        <v>44</v>
      </c>
      <c r="AD1859" t="s">
        <v>45</v>
      </c>
      <c r="AE1859" s="1">
        <v>29221</v>
      </c>
      <c r="AF1859">
        <v>2</v>
      </c>
      <c r="AG1859" t="s">
        <v>920</v>
      </c>
      <c r="AH1859" s="36">
        <f t="shared" si="29"/>
        <v>39.544444444444444</v>
      </c>
      <c r="AI1859" s="40" t="s">
        <v>1778</v>
      </c>
    </row>
    <row r="1860" spans="1:35" x14ac:dyDescent="0.25">
      <c r="A1860" s="36">
        <v>99911858</v>
      </c>
      <c r="B1860" s="17" t="s">
        <v>32</v>
      </c>
      <c r="C1860" t="s">
        <v>139</v>
      </c>
      <c r="D1860" t="s">
        <v>140</v>
      </c>
      <c r="G1860" s="17" t="s">
        <v>35</v>
      </c>
      <c r="H1860" s="17">
        <v>1</v>
      </c>
      <c r="I1860" t="s">
        <v>966</v>
      </c>
      <c r="J1860" s="1">
        <v>43344</v>
      </c>
      <c r="K1860" t="s">
        <v>947</v>
      </c>
      <c r="L1860" t="s">
        <v>948</v>
      </c>
      <c r="M1860" t="s">
        <v>938</v>
      </c>
      <c r="N1860">
        <v>23</v>
      </c>
      <c r="O1860" t="s">
        <v>40</v>
      </c>
      <c r="P1860" t="s">
        <v>40</v>
      </c>
      <c r="Q1860" t="s">
        <v>40</v>
      </c>
      <c r="R1860" t="s">
        <v>40</v>
      </c>
      <c r="S1860" t="s">
        <v>40</v>
      </c>
      <c r="U1860" s="1">
        <v>43344</v>
      </c>
      <c r="V1860" t="s">
        <v>41</v>
      </c>
      <c r="W1860" t="s">
        <v>49</v>
      </c>
      <c r="X1860" t="str">
        <f>"0605000"</f>
        <v>0605000</v>
      </c>
      <c r="Y1860" t="s">
        <v>950</v>
      </c>
      <c r="Z1860" t="s">
        <v>947</v>
      </c>
      <c r="AA1860" t="s">
        <v>948</v>
      </c>
      <c r="AB1860" t="s">
        <v>938</v>
      </c>
      <c r="AC1860" t="s">
        <v>51</v>
      </c>
      <c r="AD1860" t="s">
        <v>45</v>
      </c>
      <c r="AE1860" s="1">
        <v>29221</v>
      </c>
      <c r="AF1860">
        <v>2</v>
      </c>
      <c r="AG1860" t="s">
        <v>948</v>
      </c>
      <c r="AH1860" s="36">
        <f t="shared" si="29"/>
        <v>39.544444444444444</v>
      </c>
      <c r="AI1860" s="40" t="s">
        <v>1778</v>
      </c>
    </row>
    <row r="1861" spans="1:35" x14ac:dyDescent="0.25">
      <c r="A1861" s="36">
        <v>99911859</v>
      </c>
      <c r="B1861" s="17" t="s">
        <v>32</v>
      </c>
      <c r="C1861" t="s">
        <v>46</v>
      </c>
      <c r="D1861" t="s">
        <v>47</v>
      </c>
      <c r="G1861" s="17" t="s">
        <v>35</v>
      </c>
      <c r="H1861" s="17">
        <v>1</v>
      </c>
      <c r="I1861" t="s">
        <v>978</v>
      </c>
      <c r="J1861" s="1">
        <v>43368</v>
      </c>
      <c r="K1861" t="s">
        <v>947</v>
      </c>
      <c r="L1861" t="s">
        <v>948</v>
      </c>
      <c r="M1861" t="s">
        <v>938</v>
      </c>
      <c r="N1861">
        <v>23</v>
      </c>
      <c r="O1861" t="s">
        <v>40</v>
      </c>
      <c r="P1861" t="s">
        <v>40</v>
      </c>
      <c r="Q1861" t="s">
        <v>40</v>
      </c>
      <c r="R1861" t="s">
        <v>40</v>
      </c>
      <c r="S1861" t="s">
        <v>40</v>
      </c>
      <c r="U1861" s="1">
        <v>43368</v>
      </c>
      <c r="V1861" t="s">
        <v>41</v>
      </c>
      <c r="W1861" t="s">
        <v>42</v>
      </c>
      <c r="X1861" t="str">
        <f>"0680030"</f>
        <v>0680030</v>
      </c>
      <c r="Y1861" t="s">
        <v>951</v>
      </c>
      <c r="Z1861" t="s">
        <v>947</v>
      </c>
      <c r="AA1861" t="s">
        <v>948</v>
      </c>
      <c r="AB1861" t="s">
        <v>938</v>
      </c>
      <c r="AC1861" t="s">
        <v>51</v>
      </c>
      <c r="AD1861" t="s">
        <v>45</v>
      </c>
      <c r="AE1861" s="1">
        <v>29221</v>
      </c>
      <c r="AF1861">
        <v>2</v>
      </c>
      <c r="AG1861" t="s">
        <v>948</v>
      </c>
      <c r="AH1861" s="36">
        <f t="shared" si="29"/>
        <v>39.544444444444444</v>
      </c>
      <c r="AI1861" s="40" t="s">
        <v>1778</v>
      </c>
    </row>
    <row r="1862" spans="1:35" x14ac:dyDescent="0.25">
      <c r="A1862" s="36">
        <v>99911860</v>
      </c>
      <c r="B1862" s="17" t="s">
        <v>56</v>
      </c>
      <c r="C1862" t="s">
        <v>68</v>
      </c>
      <c r="D1862" t="s">
        <v>69</v>
      </c>
      <c r="G1862" s="17" t="s">
        <v>35</v>
      </c>
      <c r="H1862" s="17">
        <v>1</v>
      </c>
      <c r="I1862" t="s">
        <v>984</v>
      </c>
      <c r="J1862" s="1">
        <v>43344</v>
      </c>
      <c r="K1862" t="s">
        <v>947</v>
      </c>
      <c r="L1862" t="s">
        <v>948</v>
      </c>
      <c r="M1862" t="s">
        <v>938</v>
      </c>
      <c r="N1862">
        <v>23</v>
      </c>
      <c r="O1862" t="s">
        <v>40</v>
      </c>
      <c r="P1862" t="s">
        <v>40</v>
      </c>
      <c r="Q1862" t="s">
        <v>40</v>
      </c>
      <c r="R1862" t="s">
        <v>40</v>
      </c>
      <c r="S1862" t="s">
        <v>40</v>
      </c>
      <c r="U1862" s="1">
        <v>43344</v>
      </c>
      <c r="V1862" t="s">
        <v>41</v>
      </c>
      <c r="W1862" t="s">
        <v>42</v>
      </c>
      <c r="X1862" t="str">
        <f>"0680030"</f>
        <v>0680030</v>
      </c>
      <c r="Y1862" t="s">
        <v>951</v>
      </c>
      <c r="Z1862" t="s">
        <v>947</v>
      </c>
      <c r="AA1862" t="s">
        <v>948</v>
      </c>
      <c r="AB1862" t="s">
        <v>938</v>
      </c>
      <c r="AC1862" t="s">
        <v>51</v>
      </c>
      <c r="AD1862" t="s">
        <v>45</v>
      </c>
      <c r="AE1862" s="1">
        <v>29221</v>
      </c>
      <c r="AF1862">
        <v>2</v>
      </c>
      <c r="AG1862" t="s">
        <v>948</v>
      </c>
      <c r="AH1862" s="36">
        <f t="shared" si="29"/>
        <v>39.544444444444444</v>
      </c>
      <c r="AI1862" s="40" t="s">
        <v>1778</v>
      </c>
    </row>
    <row r="1863" spans="1:35" x14ac:dyDescent="0.25">
      <c r="A1863" s="36">
        <v>99911861</v>
      </c>
      <c r="B1863" s="17" t="s">
        <v>56</v>
      </c>
      <c r="C1863" t="s">
        <v>46</v>
      </c>
      <c r="D1863" t="s">
        <v>47</v>
      </c>
      <c r="G1863" s="17" t="s">
        <v>35</v>
      </c>
      <c r="H1863" s="17">
        <v>1</v>
      </c>
      <c r="I1863">
        <v>10085</v>
      </c>
      <c r="J1863" s="1">
        <v>43344</v>
      </c>
      <c r="K1863" t="s">
        <v>1051</v>
      </c>
      <c r="L1863" t="s">
        <v>1052</v>
      </c>
      <c r="M1863" t="s">
        <v>1053</v>
      </c>
      <c r="N1863">
        <v>23</v>
      </c>
      <c r="O1863" t="s">
        <v>40</v>
      </c>
      <c r="P1863" t="s">
        <v>40</v>
      </c>
      <c r="Q1863" t="s">
        <v>40</v>
      </c>
      <c r="R1863" t="s">
        <v>40</v>
      </c>
      <c r="S1863" t="s">
        <v>40</v>
      </c>
      <c r="U1863" s="1">
        <v>43344</v>
      </c>
      <c r="V1863" t="s">
        <v>41</v>
      </c>
      <c r="W1863" t="s">
        <v>42</v>
      </c>
      <c r="X1863" t="str">
        <f>"2061004"</f>
        <v>2061004</v>
      </c>
      <c r="Y1863" t="s">
        <v>1055</v>
      </c>
      <c r="Z1863" t="s">
        <v>1051</v>
      </c>
      <c r="AA1863" t="s">
        <v>1052</v>
      </c>
      <c r="AB1863" t="s">
        <v>1053</v>
      </c>
      <c r="AC1863" t="s">
        <v>44</v>
      </c>
      <c r="AD1863" t="s">
        <v>45</v>
      </c>
      <c r="AE1863" s="1">
        <v>29221</v>
      </c>
      <c r="AF1863">
        <v>2</v>
      </c>
      <c r="AG1863" t="s">
        <v>1052</v>
      </c>
      <c r="AH1863" s="36">
        <f t="shared" si="29"/>
        <v>39.544444444444444</v>
      </c>
      <c r="AI1863" s="40" t="s">
        <v>1778</v>
      </c>
    </row>
    <row r="1864" spans="1:35" x14ac:dyDescent="0.25">
      <c r="A1864" s="36">
        <v>99911862</v>
      </c>
      <c r="B1864" s="17" t="s">
        <v>32</v>
      </c>
      <c r="C1864" t="s">
        <v>141</v>
      </c>
      <c r="D1864" t="s">
        <v>142</v>
      </c>
      <c r="G1864" s="17" t="s">
        <v>35</v>
      </c>
      <c r="H1864" s="17">
        <v>1</v>
      </c>
      <c r="I1864">
        <v>1</v>
      </c>
      <c r="J1864" s="1">
        <v>43344</v>
      </c>
      <c r="K1864" t="s">
        <v>1198</v>
      </c>
      <c r="L1864" t="s">
        <v>1199</v>
      </c>
      <c r="M1864" t="s">
        <v>1130</v>
      </c>
      <c r="N1864">
        <v>17</v>
      </c>
      <c r="O1864" t="s">
        <v>40</v>
      </c>
      <c r="P1864" t="s">
        <v>40</v>
      </c>
      <c r="Q1864" t="s">
        <v>40</v>
      </c>
      <c r="R1864" t="s">
        <v>40</v>
      </c>
      <c r="S1864" t="s">
        <v>40</v>
      </c>
      <c r="U1864" s="1">
        <v>43344</v>
      </c>
      <c r="V1864" t="s">
        <v>41</v>
      </c>
      <c r="W1864" t="s">
        <v>75</v>
      </c>
      <c r="X1864" t="str">
        <f>"7311010"</f>
        <v>7311010</v>
      </c>
      <c r="Y1864" t="s">
        <v>1202</v>
      </c>
      <c r="Z1864" t="s">
        <v>1198</v>
      </c>
      <c r="AA1864" t="s">
        <v>1199</v>
      </c>
      <c r="AB1864" t="s">
        <v>1130</v>
      </c>
      <c r="AC1864" t="s">
        <v>51</v>
      </c>
      <c r="AD1864" t="s">
        <v>45</v>
      </c>
      <c r="AE1864" s="1">
        <v>29221</v>
      </c>
      <c r="AF1864">
        <v>1</v>
      </c>
      <c r="AG1864" t="s">
        <v>1199</v>
      </c>
      <c r="AH1864" s="36">
        <f t="shared" si="29"/>
        <v>39.544444444444444</v>
      </c>
      <c r="AI1864" s="40" t="s">
        <v>1778</v>
      </c>
    </row>
    <row r="1865" spans="1:35" x14ac:dyDescent="0.25">
      <c r="A1865" s="36">
        <v>99911863</v>
      </c>
      <c r="B1865" s="17" t="s">
        <v>32</v>
      </c>
      <c r="C1865" t="s">
        <v>61</v>
      </c>
      <c r="D1865" t="s">
        <v>62</v>
      </c>
      <c r="G1865" s="17" t="s">
        <v>35</v>
      </c>
      <c r="H1865" s="17">
        <v>2</v>
      </c>
      <c r="I1865" t="s">
        <v>1240</v>
      </c>
      <c r="J1865" s="1">
        <v>43344</v>
      </c>
      <c r="K1865" t="s">
        <v>1221</v>
      </c>
      <c r="L1865" t="s">
        <v>1222</v>
      </c>
      <c r="M1865" t="s">
        <v>1130</v>
      </c>
      <c r="N1865">
        <v>10</v>
      </c>
      <c r="O1865" t="s">
        <v>40</v>
      </c>
      <c r="P1865" t="s">
        <v>40</v>
      </c>
      <c r="Q1865" t="s">
        <v>40</v>
      </c>
      <c r="R1865" t="s">
        <v>40</v>
      </c>
      <c r="S1865" t="s">
        <v>40</v>
      </c>
      <c r="U1865" s="1">
        <v>43344</v>
      </c>
      <c r="V1865" t="s">
        <v>41</v>
      </c>
      <c r="W1865" t="s">
        <v>75</v>
      </c>
      <c r="X1865" t="str">
        <f>"7351000"</f>
        <v>7351000</v>
      </c>
      <c r="Y1865" t="s">
        <v>1223</v>
      </c>
      <c r="Z1865" t="s">
        <v>1221</v>
      </c>
      <c r="AA1865" t="s">
        <v>1222</v>
      </c>
      <c r="AB1865" t="s">
        <v>1130</v>
      </c>
      <c r="AC1865" t="s">
        <v>51</v>
      </c>
      <c r="AD1865" t="s">
        <v>45</v>
      </c>
      <c r="AE1865" s="1">
        <v>29221</v>
      </c>
      <c r="AF1865">
        <v>1</v>
      </c>
      <c r="AG1865" t="s">
        <v>1222</v>
      </c>
      <c r="AH1865" s="36">
        <f t="shared" si="29"/>
        <v>39.544444444444444</v>
      </c>
      <c r="AI1865" s="40" t="s">
        <v>1778</v>
      </c>
    </row>
    <row r="1866" spans="1:35" x14ac:dyDescent="0.25">
      <c r="A1866" s="36">
        <v>99911864</v>
      </c>
      <c r="B1866" s="17" t="s">
        <v>32</v>
      </c>
      <c r="C1866" t="s">
        <v>64</v>
      </c>
      <c r="D1866" t="s">
        <v>65</v>
      </c>
      <c r="G1866" s="17" t="s">
        <v>48</v>
      </c>
      <c r="H1866" s="17">
        <v>1</v>
      </c>
      <c r="K1866" t="s">
        <v>1268</v>
      </c>
      <c r="L1866" t="s">
        <v>1269</v>
      </c>
      <c r="M1866" t="s">
        <v>1270</v>
      </c>
      <c r="N1866">
        <v>23</v>
      </c>
      <c r="O1866" t="s">
        <v>40</v>
      </c>
      <c r="P1866" t="s">
        <v>40</v>
      </c>
      <c r="Q1866" t="s">
        <v>40</v>
      </c>
      <c r="R1866" t="s">
        <v>40</v>
      </c>
      <c r="S1866" t="s">
        <v>40</v>
      </c>
      <c r="V1866" t="s">
        <v>41</v>
      </c>
      <c r="W1866" t="s">
        <v>42</v>
      </c>
      <c r="X1866" t="str">
        <f>"1980050"</f>
        <v>1980050</v>
      </c>
      <c r="Y1866" t="s">
        <v>1278</v>
      </c>
      <c r="Z1866" t="s">
        <v>1268</v>
      </c>
      <c r="AA1866" t="s">
        <v>1269</v>
      </c>
      <c r="AB1866" t="s">
        <v>1270</v>
      </c>
      <c r="AC1866" t="s">
        <v>51</v>
      </c>
      <c r="AD1866" t="s">
        <v>45</v>
      </c>
      <c r="AE1866" s="1">
        <v>29221</v>
      </c>
      <c r="AF1866">
        <v>2</v>
      </c>
      <c r="AG1866" t="s">
        <v>1269</v>
      </c>
      <c r="AH1866" s="36">
        <f t="shared" si="29"/>
        <v>39.544444444444444</v>
      </c>
      <c r="AI1866" s="40" t="s">
        <v>1778</v>
      </c>
    </row>
    <row r="1867" spans="1:35" x14ac:dyDescent="0.25">
      <c r="A1867" s="36">
        <v>99911865</v>
      </c>
      <c r="B1867" s="17" t="s">
        <v>56</v>
      </c>
      <c r="C1867" t="s">
        <v>46</v>
      </c>
      <c r="D1867" t="s">
        <v>47</v>
      </c>
      <c r="G1867" s="17" t="s">
        <v>48</v>
      </c>
      <c r="H1867" s="17">
        <v>1</v>
      </c>
      <c r="K1867" t="s">
        <v>1268</v>
      </c>
      <c r="L1867" t="s">
        <v>1269</v>
      </c>
      <c r="M1867" t="s">
        <v>1270</v>
      </c>
      <c r="N1867">
        <v>30</v>
      </c>
      <c r="O1867" t="s">
        <v>40</v>
      </c>
      <c r="P1867" t="s">
        <v>40</v>
      </c>
      <c r="Q1867" t="s">
        <v>40</v>
      </c>
      <c r="R1867" t="s">
        <v>40</v>
      </c>
      <c r="S1867" t="s">
        <v>40</v>
      </c>
      <c r="V1867" t="s">
        <v>41</v>
      </c>
      <c r="W1867" t="s">
        <v>49</v>
      </c>
      <c r="X1867" t="str">
        <f>"1981913"</f>
        <v>1981913</v>
      </c>
      <c r="Y1867" t="s">
        <v>1295</v>
      </c>
      <c r="Z1867" t="s">
        <v>1268</v>
      </c>
      <c r="AA1867" t="s">
        <v>1269</v>
      </c>
      <c r="AB1867" t="s">
        <v>1270</v>
      </c>
      <c r="AC1867" t="s">
        <v>51</v>
      </c>
      <c r="AD1867" t="s">
        <v>45</v>
      </c>
      <c r="AE1867" s="1">
        <v>29221</v>
      </c>
      <c r="AF1867">
        <v>2</v>
      </c>
      <c r="AG1867" t="s">
        <v>1269</v>
      </c>
      <c r="AH1867" s="36">
        <f t="shared" si="29"/>
        <v>39.544444444444444</v>
      </c>
      <c r="AI1867" s="40" t="s">
        <v>1778</v>
      </c>
    </row>
    <row r="1868" spans="1:35" x14ac:dyDescent="0.25">
      <c r="A1868" s="36">
        <v>99911866</v>
      </c>
      <c r="B1868" s="17" t="s">
        <v>32</v>
      </c>
      <c r="C1868" t="s">
        <v>33</v>
      </c>
      <c r="D1868" t="s">
        <v>34</v>
      </c>
      <c r="G1868" s="17" t="s">
        <v>48</v>
      </c>
      <c r="H1868" s="17">
        <v>1</v>
      </c>
      <c r="K1868" t="s">
        <v>1268</v>
      </c>
      <c r="L1868" t="s">
        <v>1269</v>
      </c>
      <c r="M1868" t="s">
        <v>1270</v>
      </c>
      <c r="N1868">
        <v>21</v>
      </c>
      <c r="O1868" t="s">
        <v>40</v>
      </c>
      <c r="P1868" t="s">
        <v>40</v>
      </c>
      <c r="Q1868" t="s">
        <v>40</v>
      </c>
      <c r="R1868" t="s">
        <v>40</v>
      </c>
      <c r="S1868" t="s">
        <v>40</v>
      </c>
      <c r="V1868" t="s">
        <v>41</v>
      </c>
      <c r="W1868" t="s">
        <v>49</v>
      </c>
      <c r="X1868" t="str">
        <f>"1981912"</f>
        <v>1981912</v>
      </c>
      <c r="Y1868" t="s">
        <v>1279</v>
      </c>
      <c r="Z1868" t="s">
        <v>1268</v>
      </c>
      <c r="AA1868" t="s">
        <v>1269</v>
      </c>
      <c r="AB1868" t="s">
        <v>1270</v>
      </c>
      <c r="AC1868" t="s">
        <v>51</v>
      </c>
      <c r="AD1868" t="s">
        <v>45</v>
      </c>
      <c r="AE1868" s="1">
        <v>29221</v>
      </c>
      <c r="AF1868">
        <v>2</v>
      </c>
      <c r="AG1868" t="s">
        <v>1269</v>
      </c>
      <c r="AH1868" s="36">
        <f t="shared" si="29"/>
        <v>39.544444444444444</v>
      </c>
      <c r="AI1868" s="40" t="s">
        <v>1778</v>
      </c>
    </row>
    <row r="1869" spans="1:35" x14ac:dyDescent="0.25">
      <c r="A1869" s="36">
        <v>99911867</v>
      </c>
      <c r="B1869" s="17" t="s">
        <v>32</v>
      </c>
      <c r="C1869" t="s">
        <v>46</v>
      </c>
      <c r="D1869" t="s">
        <v>47</v>
      </c>
      <c r="G1869" s="17" t="s">
        <v>48</v>
      </c>
      <c r="H1869" s="17">
        <v>4</v>
      </c>
      <c r="I1869" t="s">
        <v>1299</v>
      </c>
      <c r="J1869" s="1">
        <v>43344</v>
      </c>
      <c r="K1869" t="s">
        <v>1268</v>
      </c>
      <c r="L1869" t="s">
        <v>1269</v>
      </c>
      <c r="M1869" t="s">
        <v>1270</v>
      </c>
      <c r="N1869">
        <v>21</v>
      </c>
      <c r="O1869" t="s">
        <v>40</v>
      </c>
      <c r="P1869" t="s">
        <v>40</v>
      </c>
      <c r="Q1869" t="s">
        <v>40</v>
      </c>
      <c r="R1869" t="s">
        <v>40</v>
      </c>
      <c r="S1869" t="s">
        <v>40</v>
      </c>
      <c r="U1869" s="1">
        <v>43344</v>
      </c>
      <c r="V1869" t="s">
        <v>41</v>
      </c>
      <c r="W1869" t="s">
        <v>42</v>
      </c>
      <c r="X1869" t="str">
        <f>"1980060"</f>
        <v>1980060</v>
      </c>
      <c r="Y1869" t="s">
        <v>1277</v>
      </c>
      <c r="Z1869" t="s">
        <v>1268</v>
      </c>
      <c r="AA1869" t="s">
        <v>1269</v>
      </c>
      <c r="AB1869" t="s">
        <v>1270</v>
      </c>
      <c r="AC1869" t="s">
        <v>51</v>
      </c>
      <c r="AD1869" t="s">
        <v>45</v>
      </c>
      <c r="AE1869" s="1">
        <v>29221</v>
      </c>
      <c r="AF1869">
        <v>2</v>
      </c>
      <c r="AG1869" t="s">
        <v>1269</v>
      </c>
      <c r="AH1869" s="36">
        <f t="shared" si="29"/>
        <v>39.544444444444444</v>
      </c>
      <c r="AI1869" s="40" t="s">
        <v>1778</v>
      </c>
    </row>
    <row r="1870" spans="1:35" x14ac:dyDescent="0.25">
      <c r="A1870" s="36">
        <v>99911868</v>
      </c>
      <c r="B1870" s="17" t="s">
        <v>32</v>
      </c>
      <c r="C1870" t="s">
        <v>52</v>
      </c>
      <c r="D1870" t="s">
        <v>53</v>
      </c>
      <c r="G1870" s="17" t="s">
        <v>48</v>
      </c>
      <c r="H1870" s="17">
        <v>1</v>
      </c>
      <c r="K1870" t="s">
        <v>1268</v>
      </c>
      <c r="L1870" t="s">
        <v>1269</v>
      </c>
      <c r="M1870" t="s">
        <v>1270</v>
      </c>
      <c r="N1870">
        <v>23</v>
      </c>
      <c r="O1870" t="s">
        <v>40</v>
      </c>
      <c r="P1870" t="s">
        <v>40</v>
      </c>
      <c r="Q1870" t="s">
        <v>40</v>
      </c>
      <c r="R1870" t="s">
        <v>40</v>
      </c>
      <c r="S1870" t="s">
        <v>40</v>
      </c>
      <c r="V1870" t="s">
        <v>41</v>
      </c>
      <c r="W1870" t="s">
        <v>42</v>
      </c>
      <c r="X1870" t="str">
        <f>"1990912"</f>
        <v>1990912</v>
      </c>
      <c r="Y1870" t="s">
        <v>1271</v>
      </c>
      <c r="Z1870" t="s">
        <v>1268</v>
      </c>
      <c r="AA1870" t="s">
        <v>1269</v>
      </c>
      <c r="AB1870" t="s">
        <v>1270</v>
      </c>
      <c r="AC1870" t="s">
        <v>51</v>
      </c>
      <c r="AD1870" t="s">
        <v>45</v>
      </c>
      <c r="AE1870" s="1">
        <v>29221</v>
      </c>
      <c r="AF1870">
        <v>2</v>
      </c>
      <c r="AG1870" t="s">
        <v>1269</v>
      </c>
      <c r="AH1870" s="36">
        <f t="shared" si="29"/>
        <v>39.544444444444444</v>
      </c>
      <c r="AI1870" s="40" t="s">
        <v>1778</v>
      </c>
    </row>
    <row r="1871" spans="1:35" x14ac:dyDescent="0.25">
      <c r="A1871" s="36">
        <v>99911869</v>
      </c>
      <c r="B1871" s="17" t="s">
        <v>56</v>
      </c>
      <c r="C1871" t="s">
        <v>61</v>
      </c>
      <c r="D1871" t="s">
        <v>62</v>
      </c>
      <c r="G1871" s="17" t="s">
        <v>48</v>
      </c>
      <c r="H1871" s="17">
        <v>1</v>
      </c>
      <c r="K1871" t="s">
        <v>1268</v>
      </c>
      <c r="L1871" t="s">
        <v>1269</v>
      </c>
      <c r="M1871" t="s">
        <v>1270</v>
      </c>
      <c r="N1871">
        <v>23</v>
      </c>
      <c r="O1871" t="s">
        <v>40</v>
      </c>
      <c r="P1871" t="s">
        <v>40</v>
      </c>
      <c r="Q1871" t="s">
        <v>40</v>
      </c>
      <c r="R1871" t="s">
        <v>40</v>
      </c>
      <c r="S1871" t="s">
        <v>40</v>
      </c>
      <c r="V1871" t="s">
        <v>41</v>
      </c>
      <c r="W1871" t="s">
        <v>42</v>
      </c>
      <c r="X1871" t="str">
        <f>"1980050"</f>
        <v>1980050</v>
      </c>
      <c r="Y1871" t="s">
        <v>1278</v>
      </c>
      <c r="Z1871" t="s">
        <v>1268</v>
      </c>
      <c r="AA1871" t="s">
        <v>1269</v>
      </c>
      <c r="AB1871" t="s">
        <v>1270</v>
      </c>
      <c r="AC1871" t="s">
        <v>51</v>
      </c>
      <c r="AD1871" t="s">
        <v>45</v>
      </c>
      <c r="AE1871" s="1">
        <v>29221</v>
      </c>
      <c r="AF1871">
        <v>2</v>
      </c>
      <c r="AG1871" t="s">
        <v>1269</v>
      </c>
      <c r="AH1871" s="36">
        <f t="shared" si="29"/>
        <v>39.544444444444444</v>
      </c>
      <c r="AI1871" s="40" t="s">
        <v>1778</v>
      </c>
    </row>
    <row r="1872" spans="1:35" x14ac:dyDescent="0.25">
      <c r="A1872" s="36">
        <v>99911870</v>
      </c>
      <c r="B1872" s="17" t="s">
        <v>32</v>
      </c>
      <c r="C1872" t="s">
        <v>46</v>
      </c>
      <c r="D1872" t="s">
        <v>47</v>
      </c>
      <c r="G1872" s="17" t="s">
        <v>35</v>
      </c>
      <c r="H1872" s="17">
        <v>1</v>
      </c>
      <c r="I1872">
        <v>23901</v>
      </c>
      <c r="J1872" s="1">
        <v>43089</v>
      </c>
      <c r="K1872" t="s">
        <v>1306</v>
      </c>
      <c r="L1872" t="s">
        <v>1307</v>
      </c>
      <c r="M1872" t="s">
        <v>1270</v>
      </c>
      <c r="N1872">
        <v>23</v>
      </c>
      <c r="O1872" t="s">
        <v>40</v>
      </c>
      <c r="P1872" t="s">
        <v>40</v>
      </c>
      <c r="Q1872" t="s">
        <v>40</v>
      </c>
      <c r="R1872" t="s">
        <v>40</v>
      </c>
      <c r="S1872" t="s">
        <v>40</v>
      </c>
      <c r="U1872" s="1">
        <v>43089</v>
      </c>
      <c r="V1872" t="s">
        <v>41</v>
      </c>
      <c r="W1872" t="s">
        <v>42</v>
      </c>
      <c r="X1872" t="str">
        <f>"1990913"</f>
        <v>1990913</v>
      </c>
      <c r="Y1872" t="s">
        <v>1312</v>
      </c>
      <c r="Z1872" t="s">
        <v>1306</v>
      </c>
      <c r="AA1872" t="s">
        <v>1307</v>
      </c>
      <c r="AB1872" t="s">
        <v>1270</v>
      </c>
      <c r="AC1872" t="s">
        <v>55</v>
      </c>
      <c r="AD1872" t="s">
        <v>45</v>
      </c>
      <c r="AE1872" s="1">
        <v>29221</v>
      </c>
      <c r="AF1872">
        <v>2</v>
      </c>
      <c r="AG1872" t="s">
        <v>1307</v>
      </c>
      <c r="AH1872" s="36">
        <f t="shared" si="29"/>
        <v>39.544444444444444</v>
      </c>
      <c r="AI1872" s="40" t="s">
        <v>1778</v>
      </c>
    </row>
    <row r="1873" spans="1:35" x14ac:dyDescent="0.25">
      <c r="A1873" s="36">
        <v>99911871</v>
      </c>
      <c r="B1873" s="17" t="s">
        <v>32</v>
      </c>
      <c r="C1873" t="s">
        <v>46</v>
      </c>
      <c r="D1873" t="s">
        <v>47</v>
      </c>
      <c r="G1873" s="17" t="s">
        <v>48</v>
      </c>
      <c r="H1873" s="17">
        <v>1</v>
      </c>
      <c r="K1873" t="s">
        <v>1566</v>
      </c>
      <c r="L1873" t="s">
        <v>1567</v>
      </c>
      <c r="M1873" t="s">
        <v>1548</v>
      </c>
      <c r="N1873">
        <v>13</v>
      </c>
      <c r="O1873" t="s">
        <v>40</v>
      </c>
      <c r="P1873" t="s">
        <v>40</v>
      </c>
      <c r="Q1873" t="s">
        <v>40</v>
      </c>
      <c r="R1873" t="s">
        <v>40</v>
      </c>
      <c r="S1873" t="s">
        <v>40</v>
      </c>
      <c r="V1873" t="s">
        <v>41</v>
      </c>
      <c r="W1873" t="s">
        <v>42</v>
      </c>
      <c r="X1873" t="str">
        <f>"2961001"</f>
        <v>2961001</v>
      </c>
      <c r="Y1873" t="s">
        <v>1568</v>
      </c>
      <c r="Z1873" t="s">
        <v>1566</v>
      </c>
      <c r="AA1873" t="s">
        <v>1567</v>
      </c>
      <c r="AB1873" t="s">
        <v>1548</v>
      </c>
      <c r="AC1873" t="s">
        <v>51</v>
      </c>
      <c r="AD1873" t="s">
        <v>45</v>
      </c>
      <c r="AE1873" s="1">
        <v>29221</v>
      </c>
      <c r="AF1873">
        <v>2</v>
      </c>
      <c r="AG1873" t="s">
        <v>1567</v>
      </c>
      <c r="AH1873" s="36">
        <f t="shared" si="29"/>
        <v>39.544444444444444</v>
      </c>
      <c r="AI1873" s="40" t="s">
        <v>1778</v>
      </c>
    </row>
    <row r="1874" spans="1:35" x14ac:dyDescent="0.25">
      <c r="A1874" s="36">
        <v>99911872</v>
      </c>
      <c r="B1874" s="17" t="s">
        <v>32</v>
      </c>
      <c r="C1874" t="s">
        <v>46</v>
      </c>
      <c r="D1874" t="s">
        <v>47</v>
      </c>
      <c r="G1874" s="17" t="s">
        <v>48</v>
      </c>
      <c r="H1874" s="17">
        <v>1</v>
      </c>
      <c r="K1874" t="s">
        <v>1566</v>
      </c>
      <c r="L1874" t="s">
        <v>1567</v>
      </c>
      <c r="M1874" t="s">
        <v>1548</v>
      </c>
      <c r="N1874">
        <v>16</v>
      </c>
      <c r="O1874" t="s">
        <v>40</v>
      </c>
      <c r="P1874" t="s">
        <v>40</v>
      </c>
      <c r="Q1874" t="s">
        <v>40</v>
      </c>
      <c r="R1874" t="s">
        <v>40</v>
      </c>
      <c r="S1874" t="s">
        <v>40</v>
      </c>
      <c r="V1874" t="s">
        <v>41</v>
      </c>
      <c r="W1874" t="s">
        <v>42</v>
      </c>
      <c r="X1874" t="str">
        <f>"2961001"</f>
        <v>2961001</v>
      </c>
      <c r="Y1874" t="s">
        <v>1568</v>
      </c>
      <c r="Z1874" t="s">
        <v>1566</v>
      </c>
      <c r="AA1874" t="s">
        <v>1567</v>
      </c>
      <c r="AB1874" t="s">
        <v>1548</v>
      </c>
      <c r="AC1874" t="s">
        <v>51</v>
      </c>
      <c r="AD1874" t="s">
        <v>45</v>
      </c>
      <c r="AE1874" s="1">
        <v>29221</v>
      </c>
      <c r="AF1874">
        <v>2</v>
      </c>
      <c r="AG1874" t="s">
        <v>1567</v>
      </c>
      <c r="AH1874" s="36">
        <f t="shared" si="29"/>
        <v>39.544444444444444</v>
      </c>
      <c r="AI1874" s="40" t="s">
        <v>1778</v>
      </c>
    </row>
    <row r="1875" spans="1:35" x14ac:dyDescent="0.25">
      <c r="A1875" s="36">
        <v>99911873</v>
      </c>
      <c r="B1875" s="17" t="s">
        <v>32</v>
      </c>
      <c r="C1875" t="s">
        <v>79</v>
      </c>
      <c r="D1875" t="s">
        <v>80</v>
      </c>
      <c r="G1875" s="17" t="s">
        <v>35</v>
      </c>
      <c r="H1875" s="17">
        <v>1</v>
      </c>
      <c r="I1875">
        <v>1978</v>
      </c>
      <c r="J1875" s="1">
        <v>43344</v>
      </c>
      <c r="K1875" t="s">
        <v>1245</v>
      </c>
      <c r="L1875" t="s">
        <v>1246</v>
      </c>
      <c r="M1875" t="s">
        <v>1130</v>
      </c>
      <c r="N1875">
        <v>8</v>
      </c>
      <c r="O1875" t="s">
        <v>40</v>
      </c>
      <c r="P1875" t="s">
        <v>40</v>
      </c>
      <c r="Q1875" t="s">
        <v>40</v>
      </c>
      <c r="R1875" t="s">
        <v>40</v>
      </c>
      <c r="S1875" t="s">
        <v>40</v>
      </c>
      <c r="U1875" s="1">
        <v>43344</v>
      </c>
      <c r="V1875" t="s">
        <v>41</v>
      </c>
      <c r="W1875" t="s">
        <v>75</v>
      </c>
      <c r="X1875" t="str">
        <f>"7451000"</f>
        <v>7451000</v>
      </c>
      <c r="Y1875" t="s">
        <v>1250</v>
      </c>
      <c r="Z1875" t="s">
        <v>1245</v>
      </c>
      <c r="AA1875" t="s">
        <v>1246</v>
      </c>
      <c r="AB1875" t="s">
        <v>1130</v>
      </c>
      <c r="AC1875" t="s">
        <v>51</v>
      </c>
      <c r="AD1875" t="s">
        <v>45</v>
      </c>
      <c r="AE1875" s="1">
        <v>29217</v>
      </c>
      <c r="AF1875">
        <v>1</v>
      </c>
      <c r="AG1875" t="s">
        <v>1246</v>
      </c>
      <c r="AH1875" s="36">
        <f t="shared" si="29"/>
        <v>39.555555555555557</v>
      </c>
      <c r="AI1875" s="40" t="s">
        <v>1778</v>
      </c>
    </row>
    <row r="1876" spans="1:35" x14ac:dyDescent="0.25">
      <c r="A1876" s="36">
        <v>99911874</v>
      </c>
      <c r="B1876" s="17" t="s">
        <v>32</v>
      </c>
      <c r="C1876" t="s">
        <v>111</v>
      </c>
      <c r="D1876" t="s">
        <v>112</v>
      </c>
      <c r="G1876" s="17" t="s">
        <v>48</v>
      </c>
      <c r="H1876" s="17">
        <v>1</v>
      </c>
      <c r="K1876" t="s">
        <v>154</v>
      </c>
      <c r="L1876" t="s">
        <v>155</v>
      </c>
      <c r="M1876" t="s">
        <v>131</v>
      </c>
      <c r="N1876">
        <v>23</v>
      </c>
      <c r="O1876" t="s">
        <v>40</v>
      </c>
      <c r="P1876" t="s">
        <v>40</v>
      </c>
      <c r="Q1876" t="s">
        <v>40</v>
      </c>
      <c r="S1876" t="s">
        <v>40</v>
      </c>
      <c r="V1876" t="s">
        <v>41</v>
      </c>
      <c r="W1876" t="s">
        <v>75</v>
      </c>
      <c r="X1876" t="str">
        <f>"7051022"</f>
        <v>7051022</v>
      </c>
      <c r="Y1876" t="s">
        <v>153</v>
      </c>
      <c r="Z1876" t="s">
        <v>154</v>
      </c>
      <c r="AA1876" t="s">
        <v>155</v>
      </c>
      <c r="AB1876" t="s">
        <v>131</v>
      </c>
      <c r="AC1876" t="s">
        <v>51</v>
      </c>
      <c r="AD1876" t="s">
        <v>45</v>
      </c>
      <c r="AE1876" s="1">
        <v>29209</v>
      </c>
      <c r="AF1876">
        <v>1</v>
      </c>
      <c r="AG1876" t="s">
        <v>155</v>
      </c>
      <c r="AH1876" s="36">
        <f t="shared" si="29"/>
        <v>39.577777777777776</v>
      </c>
      <c r="AI1876" s="40" t="s">
        <v>1778</v>
      </c>
    </row>
    <row r="1877" spans="1:35" x14ac:dyDescent="0.25">
      <c r="A1877" s="36">
        <v>99911875</v>
      </c>
      <c r="B1877" s="17" t="s">
        <v>32</v>
      </c>
      <c r="C1877" t="s">
        <v>64</v>
      </c>
      <c r="D1877" t="s">
        <v>65</v>
      </c>
      <c r="G1877" s="17" t="s">
        <v>48</v>
      </c>
      <c r="H1877" s="17">
        <v>4</v>
      </c>
      <c r="K1877" t="s">
        <v>1268</v>
      </c>
      <c r="L1877" t="s">
        <v>1269</v>
      </c>
      <c r="M1877" t="s">
        <v>1270</v>
      </c>
      <c r="N1877">
        <v>22</v>
      </c>
      <c r="O1877" t="s">
        <v>40</v>
      </c>
      <c r="P1877" t="s">
        <v>40</v>
      </c>
      <c r="Q1877" t="s">
        <v>40</v>
      </c>
      <c r="R1877" t="s">
        <v>40</v>
      </c>
      <c r="S1877" t="s">
        <v>40</v>
      </c>
      <c r="V1877" t="s">
        <v>41</v>
      </c>
      <c r="W1877" t="s">
        <v>49</v>
      </c>
      <c r="X1877" t="str">
        <f>"1981912"</f>
        <v>1981912</v>
      </c>
      <c r="Y1877" t="s">
        <v>1279</v>
      </c>
      <c r="Z1877" t="s">
        <v>1268</v>
      </c>
      <c r="AA1877" t="s">
        <v>1269</v>
      </c>
      <c r="AB1877" t="s">
        <v>1270</v>
      </c>
      <c r="AC1877" t="s">
        <v>51</v>
      </c>
      <c r="AD1877" t="s">
        <v>45</v>
      </c>
      <c r="AE1877" s="1">
        <v>29209</v>
      </c>
      <c r="AF1877">
        <v>2</v>
      </c>
      <c r="AG1877" t="s">
        <v>1269</v>
      </c>
      <c r="AH1877" s="36">
        <f t="shared" si="29"/>
        <v>39.577777777777776</v>
      </c>
      <c r="AI1877" s="40" t="s">
        <v>1778</v>
      </c>
    </row>
    <row r="1878" spans="1:35" x14ac:dyDescent="0.25">
      <c r="A1878" s="36">
        <v>99911876</v>
      </c>
      <c r="B1878" s="17" t="s">
        <v>56</v>
      </c>
      <c r="C1878" t="s">
        <v>52</v>
      </c>
      <c r="D1878" t="s">
        <v>53</v>
      </c>
      <c r="G1878" s="17" t="s">
        <v>48</v>
      </c>
      <c r="H1878" s="17">
        <v>5</v>
      </c>
      <c r="J1878" s="1">
        <v>41518</v>
      </c>
      <c r="K1878" t="s">
        <v>1268</v>
      </c>
      <c r="L1878" t="s">
        <v>1269</v>
      </c>
      <c r="M1878" t="s">
        <v>1270</v>
      </c>
      <c r="N1878">
        <v>30</v>
      </c>
      <c r="O1878" t="s">
        <v>40</v>
      </c>
      <c r="P1878" t="s">
        <v>40</v>
      </c>
      <c r="Q1878" t="s">
        <v>40</v>
      </c>
      <c r="R1878" t="s">
        <v>40</v>
      </c>
      <c r="S1878" t="s">
        <v>40</v>
      </c>
      <c r="U1878" s="1">
        <v>41518</v>
      </c>
      <c r="V1878" t="s">
        <v>41</v>
      </c>
      <c r="W1878" t="s">
        <v>42</v>
      </c>
      <c r="X1878" t="str">
        <f>"1980050"</f>
        <v>1980050</v>
      </c>
      <c r="Y1878" t="s">
        <v>1278</v>
      </c>
      <c r="Z1878" t="s">
        <v>1268</v>
      </c>
      <c r="AA1878" t="s">
        <v>1269</v>
      </c>
      <c r="AB1878" t="s">
        <v>1270</v>
      </c>
      <c r="AC1878" t="s">
        <v>51</v>
      </c>
      <c r="AD1878" t="s">
        <v>45</v>
      </c>
      <c r="AE1878" s="1">
        <v>29208</v>
      </c>
      <c r="AF1878">
        <v>2</v>
      </c>
      <c r="AG1878" t="s">
        <v>1269</v>
      </c>
      <c r="AH1878" s="36">
        <f t="shared" si="29"/>
        <v>39.580555555555556</v>
      </c>
      <c r="AI1878" s="40" t="s">
        <v>1778</v>
      </c>
    </row>
    <row r="1879" spans="1:35" x14ac:dyDescent="0.25">
      <c r="A1879" s="36">
        <v>99911877</v>
      </c>
      <c r="B1879" s="17" t="s">
        <v>32</v>
      </c>
      <c r="C1879" t="s">
        <v>85</v>
      </c>
      <c r="D1879" t="s">
        <v>86</v>
      </c>
      <c r="G1879" s="17" t="s">
        <v>48</v>
      </c>
      <c r="H1879" s="17">
        <v>1</v>
      </c>
      <c r="K1879" t="s">
        <v>345</v>
      </c>
      <c r="L1879" t="s">
        <v>346</v>
      </c>
      <c r="M1879" t="s">
        <v>131</v>
      </c>
      <c r="N1879">
        <v>23</v>
      </c>
      <c r="O1879" t="s">
        <v>40</v>
      </c>
      <c r="P1879" t="s">
        <v>40</v>
      </c>
      <c r="Q1879" t="s">
        <v>40</v>
      </c>
      <c r="R1879" t="s">
        <v>40</v>
      </c>
      <c r="S1879" t="s">
        <v>40</v>
      </c>
      <c r="V1879" t="s">
        <v>41</v>
      </c>
      <c r="W1879" t="s">
        <v>49</v>
      </c>
      <c r="X1879" t="str">
        <f>"0561021"</f>
        <v>0561021</v>
      </c>
      <c r="Y1879" t="s">
        <v>352</v>
      </c>
      <c r="Z1879" t="s">
        <v>345</v>
      </c>
      <c r="AA1879" t="s">
        <v>346</v>
      </c>
      <c r="AB1879" t="s">
        <v>131</v>
      </c>
      <c r="AC1879" t="s">
        <v>51</v>
      </c>
      <c r="AD1879" t="s">
        <v>45</v>
      </c>
      <c r="AE1879" s="1">
        <v>29204</v>
      </c>
      <c r="AF1879">
        <v>2</v>
      </c>
      <c r="AG1879" t="s">
        <v>346</v>
      </c>
      <c r="AH1879" s="36">
        <f t="shared" si="29"/>
        <v>39.591666666666669</v>
      </c>
      <c r="AI1879" s="40" t="s">
        <v>1778</v>
      </c>
    </row>
    <row r="1880" spans="1:35" x14ac:dyDescent="0.25">
      <c r="A1880" s="36">
        <v>99911878</v>
      </c>
      <c r="B1880" s="17" t="s">
        <v>32</v>
      </c>
      <c r="C1880" t="s">
        <v>143</v>
      </c>
      <c r="D1880" t="s">
        <v>144</v>
      </c>
      <c r="G1880" s="17" t="s">
        <v>48</v>
      </c>
      <c r="H1880" s="17">
        <v>1</v>
      </c>
      <c r="K1880" t="s">
        <v>345</v>
      </c>
      <c r="L1880" t="s">
        <v>346</v>
      </c>
      <c r="M1880" t="s">
        <v>131</v>
      </c>
      <c r="N1880">
        <v>9</v>
      </c>
      <c r="O1880" t="s">
        <v>40</v>
      </c>
      <c r="P1880" t="s">
        <v>40</v>
      </c>
      <c r="Q1880" t="s">
        <v>40</v>
      </c>
      <c r="R1880" t="s">
        <v>40</v>
      </c>
      <c r="S1880" t="s">
        <v>40</v>
      </c>
      <c r="V1880" t="s">
        <v>41</v>
      </c>
      <c r="W1880" t="s">
        <v>49</v>
      </c>
      <c r="X1880" t="str">
        <f>"0581605"</f>
        <v>0581605</v>
      </c>
      <c r="Y1880" t="s">
        <v>366</v>
      </c>
      <c r="Z1880" t="s">
        <v>345</v>
      </c>
      <c r="AA1880" t="s">
        <v>346</v>
      </c>
      <c r="AB1880" t="s">
        <v>131</v>
      </c>
      <c r="AC1880" t="s">
        <v>51</v>
      </c>
      <c r="AD1880" t="s">
        <v>45</v>
      </c>
      <c r="AE1880" s="1">
        <v>29204</v>
      </c>
      <c r="AF1880">
        <v>2</v>
      </c>
      <c r="AG1880" t="s">
        <v>346</v>
      </c>
      <c r="AH1880" s="36">
        <f t="shared" si="29"/>
        <v>39.591666666666669</v>
      </c>
      <c r="AI1880" s="40" t="s">
        <v>1778</v>
      </c>
    </row>
    <row r="1881" spans="1:35" x14ac:dyDescent="0.25">
      <c r="A1881" s="36">
        <v>99911879</v>
      </c>
      <c r="B1881" s="17" t="s">
        <v>32</v>
      </c>
      <c r="C1881" t="s">
        <v>90</v>
      </c>
      <c r="D1881" t="s">
        <v>91</v>
      </c>
      <c r="G1881" s="17" t="s">
        <v>35</v>
      </c>
      <c r="H1881" s="17">
        <v>1</v>
      </c>
      <c r="I1881">
        <v>10934</v>
      </c>
      <c r="J1881" s="1">
        <v>43344</v>
      </c>
      <c r="K1881" t="s">
        <v>354</v>
      </c>
      <c r="L1881" t="s">
        <v>355</v>
      </c>
      <c r="M1881" t="s">
        <v>131</v>
      </c>
      <c r="N1881">
        <v>25</v>
      </c>
      <c r="O1881" t="s">
        <v>40</v>
      </c>
      <c r="S1881" t="s">
        <v>40</v>
      </c>
      <c r="U1881" s="1">
        <v>43344</v>
      </c>
      <c r="V1881" t="s">
        <v>41</v>
      </c>
      <c r="W1881" t="s">
        <v>95</v>
      </c>
      <c r="X1881" t="str">
        <f>"7054083"</f>
        <v>7054083</v>
      </c>
      <c r="Y1881" t="s">
        <v>801</v>
      </c>
      <c r="Z1881" t="s">
        <v>354</v>
      </c>
      <c r="AA1881" t="s">
        <v>355</v>
      </c>
      <c r="AB1881" t="s">
        <v>131</v>
      </c>
      <c r="AC1881" t="s">
        <v>51</v>
      </c>
      <c r="AD1881" t="s">
        <v>45</v>
      </c>
      <c r="AE1881" s="1">
        <v>29200</v>
      </c>
      <c r="AF1881">
        <v>1</v>
      </c>
      <c r="AG1881" t="s">
        <v>355</v>
      </c>
      <c r="AH1881" s="36">
        <f t="shared" si="29"/>
        <v>39.602777777777774</v>
      </c>
      <c r="AI1881" s="40" t="s">
        <v>1778</v>
      </c>
    </row>
    <row r="1882" spans="1:35" x14ac:dyDescent="0.25">
      <c r="A1882" s="36">
        <v>99911880</v>
      </c>
      <c r="B1882" s="17" t="s">
        <v>32</v>
      </c>
      <c r="C1882" t="s">
        <v>90</v>
      </c>
      <c r="D1882" t="s">
        <v>91</v>
      </c>
      <c r="G1882" s="17" t="s">
        <v>48</v>
      </c>
      <c r="H1882" s="17">
        <v>1</v>
      </c>
      <c r="K1882" t="s">
        <v>1043</v>
      </c>
      <c r="L1882" t="s">
        <v>1044</v>
      </c>
      <c r="M1882" t="s">
        <v>1041</v>
      </c>
      <c r="N1882">
        <v>25</v>
      </c>
      <c r="O1882" t="s">
        <v>40</v>
      </c>
      <c r="P1882" t="s">
        <v>40</v>
      </c>
      <c r="Q1882" t="s">
        <v>40</v>
      </c>
      <c r="S1882" t="s">
        <v>40</v>
      </c>
      <c r="V1882" t="s">
        <v>41</v>
      </c>
      <c r="W1882" t="s">
        <v>95</v>
      </c>
      <c r="X1882" t="str">
        <f>"7271007"</f>
        <v>7271007</v>
      </c>
      <c r="Y1882" t="s">
        <v>1049</v>
      </c>
      <c r="Z1882" t="s">
        <v>1043</v>
      </c>
      <c r="AA1882" t="s">
        <v>1044</v>
      </c>
      <c r="AB1882" t="s">
        <v>1041</v>
      </c>
      <c r="AC1882" t="s">
        <v>51</v>
      </c>
      <c r="AD1882" t="s">
        <v>45</v>
      </c>
      <c r="AE1882" s="1">
        <v>29195</v>
      </c>
      <c r="AF1882">
        <v>1</v>
      </c>
      <c r="AG1882" t="s">
        <v>1044</v>
      </c>
      <c r="AH1882" s="36">
        <f t="shared" si="29"/>
        <v>39.616666666666667</v>
      </c>
      <c r="AI1882" s="40" t="s">
        <v>1778</v>
      </c>
    </row>
    <row r="1883" spans="1:35" x14ac:dyDescent="0.25">
      <c r="A1883" s="36">
        <v>99911881</v>
      </c>
      <c r="B1883" s="17" t="s">
        <v>32</v>
      </c>
      <c r="C1883" t="s">
        <v>46</v>
      </c>
      <c r="D1883" t="s">
        <v>47</v>
      </c>
      <c r="G1883" s="17" t="s">
        <v>48</v>
      </c>
      <c r="H1883" s="17">
        <v>1</v>
      </c>
      <c r="K1883" t="s">
        <v>223</v>
      </c>
      <c r="L1883" t="s">
        <v>224</v>
      </c>
      <c r="M1883" t="s">
        <v>131</v>
      </c>
      <c r="N1883">
        <v>20</v>
      </c>
      <c r="O1883" t="s">
        <v>40</v>
      </c>
      <c r="P1883" t="s">
        <v>40</v>
      </c>
      <c r="Q1883" t="s">
        <v>40</v>
      </c>
      <c r="S1883" t="s">
        <v>40</v>
      </c>
      <c r="V1883" t="s">
        <v>41</v>
      </c>
      <c r="W1883" t="s">
        <v>49</v>
      </c>
      <c r="X1883" t="str">
        <f>"0581204"</f>
        <v>0581204</v>
      </c>
      <c r="Y1883" t="s">
        <v>249</v>
      </c>
      <c r="Z1883" t="s">
        <v>223</v>
      </c>
      <c r="AA1883" t="s">
        <v>224</v>
      </c>
      <c r="AB1883" t="s">
        <v>131</v>
      </c>
      <c r="AC1883" t="s">
        <v>165</v>
      </c>
      <c r="AD1883" t="s">
        <v>45</v>
      </c>
      <c r="AE1883" s="1">
        <v>29193</v>
      </c>
      <c r="AF1883">
        <v>2</v>
      </c>
      <c r="AG1883" t="s">
        <v>224</v>
      </c>
      <c r="AH1883" s="36">
        <f t="shared" si="29"/>
        <v>39.62222222222222</v>
      </c>
      <c r="AI1883" s="40" t="s">
        <v>1778</v>
      </c>
    </row>
    <row r="1884" spans="1:35" x14ac:dyDescent="0.25">
      <c r="A1884" s="36">
        <v>99911882</v>
      </c>
      <c r="B1884" s="17" t="s">
        <v>32</v>
      </c>
      <c r="C1884" t="s">
        <v>46</v>
      </c>
      <c r="D1884" t="s">
        <v>47</v>
      </c>
      <c r="E1884" t="s">
        <v>85</v>
      </c>
      <c r="F1884" t="s">
        <v>86</v>
      </c>
      <c r="G1884" s="17" t="s">
        <v>35</v>
      </c>
      <c r="H1884" s="17">
        <v>1</v>
      </c>
      <c r="K1884" t="s">
        <v>1613</v>
      </c>
      <c r="L1884" t="s">
        <v>1614</v>
      </c>
      <c r="M1884" t="s">
        <v>1592</v>
      </c>
      <c r="N1884">
        <v>20</v>
      </c>
      <c r="O1884" t="s">
        <v>40</v>
      </c>
      <c r="P1884" t="s">
        <v>40</v>
      </c>
      <c r="Q1884" t="s">
        <v>40</v>
      </c>
      <c r="S1884" t="s">
        <v>40</v>
      </c>
      <c r="V1884" t="s">
        <v>41</v>
      </c>
      <c r="W1884" t="s">
        <v>49</v>
      </c>
      <c r="X1884" t="str">
        <f>"2881020"</f>
        <v>2881020</v>
      </c>
      <c r="Y1884" t="s">
        <v>1615</v>
      </c>
      <c r="Z1884" t="s">
        <v>1613</v>
      </c>
      <c r="AA1884" t="s">
        <v>1614</v>
      </c>
      <c r="AB1884" t="s">
        <v>1592</v>
      </c>
      <c r="AC1884" t="s">
        <v>51</v>
      </c>
      <c r="AD1884" t="s">
        <v>45</v>
      </c>
      <c r="AE1884" s="1">
        <v>29187</v>
      </c>
      <c r="AF1884">
        <v>2</v>
      </c>
      <c r="AG1884" t="s">
        <v>1614</v>
      </c>
      <c r="AH1884" s="36">
        <f t="shared" si="29"/>
        <v>39.638888888888886</v>
      </c>
      <c r="AI1884" s="40" t="s">
        <v>1778</v>
      </c>
    </row>
    <row r="1885" spans="1:35" x14ac:dyDescent="0.25">
      <c r="A1885" s="36">
        <v>99911883</v>
      </c>
      <c r="B1885" s="17" t="s">
        <v>56</v>
      </c>
      <c r="C1885" t="s">
        <v>204</v>
      </c>
      <c r="D1885" t="s">
        <v>205</v>
      </c>
      <c r="G1885" s="17" t="s">
        <v>48</v>
      </c>
      <c r="H1885" s="17">
        <v>1</v>
      </c>
      <c r="K1885" t="s">
        <v>223</v>
      </c>
      <c r="L1885" t="s">
        <v>224</v>
      </c>
      <c r="M1885" t="s">
        <v>131</v>
      </c>
      <c r="N1885">
        <v>14</v>
      </c>
      <c r="O1885" t="s">
        <v>40</v>
      </c>
      <c r="P1885" t="s">
        <v>40</v>
      </c>
      <c r="Q1885" t="s">
        <v>40</v>
      </c>
      <c r="R1885" t="s">
        <v>40</v>
      </c>
      <c r="S1885" t="s">
        <v>40</v>
      </c>
      <c r="V1885" t="s">
        <v>41</v>
      </c>
      <c r="W1885" t="s">
        <v>49</v>
      </c>
      <c r="X1885" t="str">
        <f>"0581200"</f>
        <v>0581200</v>
      </c>
      <c r="Y1885" t="s">
        <v>238</v>
      </c>
      <c r="Z1885" t="s">
        <v>223</v>
      </c>
      <c r="AA1885" t="s">
        <v>224</v>
      </c>
      <c r="AB1885" t="s">
        <v>131</v>
      </c>
      <c r="AC1885" t="s">
        <v>51</v>
      </c>
      <c r="AD1885" t="s">
        <v>45</v>
      </c>
      <c r="AE1885" s="1">
        <v>29186</v>
      </c>
      <c r="AF1885">
        <v>2</v>
      </c>
      <c r="AG1885" t="s">
        <v>224</v>
      </c>
      <c r="AH1885" s="36">
        <f t="shared" si="29"/>
        <v>39.641666666666666</v>
      </c>
      <c r="AI1885" s="40" t="s">
        <v>1778</v>
      </c>
    </row>
    <row r="1886" spans="1:35" x14ac:dyDescent="0.25">
      <c r="A1886" s="36">
        <v>99911884</v>
      </c>
      <c r="B1886" s="17" t="s">
        <v>32</v>
      </c>
      <c r="C1886" t="s">
        <v>90</v>
      </c>
      <c r="D1886" t="s">
        <v>91</v>
      </c>
      <c r="G1886" s="17" t="s">
        <v>35</v>
      </c>
      <c r="H1886" s="17">
        <v>1</v>
      </c>
      <c r="K1886" t="s">
        <v>877</v>
      </c>
      <c r="L1886" t="s">
        <v>878</v>
      </c>
      <c r="M1886" t="s">
        <v>131</v>
      </c>
      <c r="N1886">
        <v>5</v>
      </c>
      <c r="O1886" t="s">
        <v>40</v>
      </c>
      <c r="P1886" t="s">
        <v>40</v>
      </c>
      <c r="Q1886" t="s">
        <v>40</v>
      </c>
      <c r="S1886" t="s">
        <v>40</v>
      </c>
      <c r="V1886" t="s">
        <v>41</v>
      </c>
      <c r="W1886" t="s">
        <v>95</v>
      </c>
      <c r="X1886" t="str">
        <f>"7541039"</f>
        <v>7541039</v>
      </c>
      <c r="Y1886" t="s">
        <v>891</v>
      </c>
      <c r="Z1886" t="s">
        <v>877</v>
      </c>
      <c r="AA1886" t="s">
        <v>878</v>
      </c>
      <c r="AB1886" t="s">
        <v>131</v>
      </c>
      <c r="AC1886" t="s">
        <v>165</v>
      </c>
      <c r="AD1886" t="s">
        <v>45</v>
      </c>
      <c r="AE1886" s="1">
        <v>29186</v>
      </c>
      <c r="AF1886">
        <v>1</v>
      </c>
      <c r="AG1886" t="s">
        <v>878</v>
      </c>
      <c r="AH1886" s="36">
        <f t="shared" si="29"/>
        <v>39.641666666666666</v>
      </c>
      <c r="AI1886" s="40" t="s">
        <v>1778</v>
      </c>
    </row>
    <row r="1887" spans="1:35" x14ac:dyDescent="0.25">
      <c r="A1887" s="36">
        <v>99911885</v>
      </c>
      <c r="B1887" s="17" t="s">
        <v>32</v>
      </c>
      <c r="C1887" t="s">
        <v>46</v>
      </c>
      <c r="D1887" t="s">
        <v>47</v>
      </c>
      <c r="G1887" s="17" t="s">
        <v>35</v>
      </c>
      <c r="H1887" s="17">
        <v>1</v>
      </c>
      <c r="K1887" t="s">
        <v>936</v>
      </c>
      <c r="L1887" t="s">
        <v>937</v>
      </c>
      <c r="M1887" t="s">
        <v>938</v>
      </c>
      <c r="N1887">
        <v>23</v>
      </c>
      <c r="O1887" t="s">
        <v>40</v>
      </c>
      <c r="P1887" t="s">
        <v>40</v>
      </c>
      <c r="Q1887" t="s">
        <v>40</v>
      </c>
      <c r="R1887" t="s">
        <v>40</v>
      </c>
      <c r="S1887" t="s">
        <v>40</v>
      </c>
      <c r="V1887" t="s">
        <v>41</v>
      </c>
      <c r="W1887" t="s">
        <v>49</v>
      </c>
      <c r="X1887" t="str">
        <f>"0160075"</f>
        <v>0160075</v>
      </c>
      <c r="Y1887" t="s">
        <v>939</v>
      </c>
      <c r="Z1887" t="s">
        <v>936</v>
      </c>
      <c r="AA1887" t="s">
        <v>937</v>
      </c>
      <c r="AB1887" t="s">
        <v>938</v>
      </c>
      <c r="AC1887" t="s">
        <v>51</v>
      </c>
      <c r="AD1887" t="s">
        <v>45</v>
      </c>
      <c r="AE1887" s="1">
        <v>29177</v>
      </c>
      <c r="AF1887">
        <v>2</v>
      </c>
      <c r="AG1887" t="s">
        <v>937</v>
      </c>
      <c r="AH1887" s="36">
        <f t="shared" si="29"/>
        <v>39.666666666666664</v>
      </c>
      <c r="AI1887" s="40" t="s">
        <v>1778</v>
      </c>
    </row>
    <row r="1888" spans="1:35" x14ac:dyDescent="0.25">
      <c r="A1888" s="36">
        <v>99911886</v>
      </c>
      <c r="B1888" s="17" t="s">
        <v>56</v>
      </c>
      <c r="C1888" t="s">
        <v>68</v>
      </c>
      <c r="D1888" t="s">
        <v>69</v>
      </c>
      <c r="G1888" s="17" t="s">
        <v>48</v>
      </c>
      <c r="H1888" s="17">
        <v>1</v>
      </c>
      <c r="K1888" t="s">
        <v>1613</v>
      </c>
      <c r="L1888" t="s">
        <v>1614</v>
      </c>
      <c r="M1888" t="s">
        <v>1592</v>
      </c>
      <c r="N1888">
        <v>10</v>
      </c>
      <c r="O1888" t="s">
        <v>40</v>
      </c>
      <c r="P1888" t="s">
        <v>40</v>
      </c>
      <c r="Q1888" t="s">
        <v>40</v>
      </c>
      <c r="R1888" t="s">
        <v>40</v>
      </c>
      <c r="S1888" t="s">
        <v>40</v>
      </c>
      <c r="V1888" t="s">
        <v>41</v>
      </c>
      <c r="W1888" t="s">
        <v>42</v>
      </c>
      <c r="X1888" t="str">
        <f>"2861001"</f>
        <v>2861001</v>
      </c>
      <c r="Y1888" t="s">
        <v>1621</v>
      </c>
      <c r="Z1888" t="s">
        <v>1613</v>
      </c>
      <c r="AA1888" t="s">
        <v>1614</v>
      </c>
      <c r="AB1888" t="s">
        <v>1592</v>
      </c>
      <c r="AC1888" t="s">
        <v>51</v>
      </c>
      <c r="AD1888" t="s">
        <v>45</v>
      </c>
      <c r="AE1888" s="1">
        <v>29176</v>
      </c>
      <c r="AF1888">
        <v>2</v>
      </c>
      <c r="AG1888" t="s">
        <v>1614</v>
      </c>
      <c r="AH1888" s="36">
        <f t="shared" si="29"/>
        <v>39.669444444444444</v>
      </c>
      <c r="AI1888" s="40" t="s">
        <v>1778</v>
      </c>
    </row>
    <row r="1889" spans="1:35" x14ac:dyDescent="0.25">
      <c r="A1889" s="36">
        <v>99911887</v>
      </c>
      <c r="B1889" s="17" t="s">
        <v>32</v>
      </c>
      <c r="C1889" t="s">
        <v>90</v>
      </c>
      <c r="D1889" t="s">
        <v>91</v>
      </c>
      <c r="G1889" s="17" t="s">
        <v>48</v>
      </c>
      <c r="H1889" s="17">
        <v>1</v>
      </c>
      <c r="K1889" t="s">
        <v>268</v>
      </c>
      <c r="L1889" t="s">
        <v>269</v>
      </c>
      <c r="M1889" t="s">
        <v>131</v>
      </c>
      <c r="N1889">
        <v>21</v>
      </c>
      <c r="O1889" t="s">
        <v>40</v>
      </c>
      <c r="P1889" t="s">
        <v>40</v>
      </c>
      <c r="Q1889" t="s">
        <v>40</v>
      </c>
      <c r="S1889" t="s">
        <v>40</v>
      </c>
      <c r="V1889" t="s">
        <v>41</v>
      </c>
      <c r="W1889" t="s">
        <v>95</v>
      </c>
      <c r="X1889" t="str">
        <f>"7052001"</f>
        <v>7052001</v>
      </c>
      <c r="Y1889" t="s">
        <v>576</v>
      </c>
      <c r="Z1889" t="s">
        <v>268</v>
      </c>
      <c r="AA1889" t="s">
        <v>269</v>
      </c>
      <c r="AB1889" t="s">
        <v>131</v>
      </c>
      <c r="AC1889" t="s">
        <v>51</v>
      </c>
      <c r="AD1889" t="s">
        <v>45</v>
      </c>
      <c r="AE1889" s="1">
        <v>29174</v>
      </c>
      <c r="AF1889">
        <v>1</v>
      </c>
      <c r="AG1889" t="s">
        <v>269</v>
      </c>
      <c r="AH1889" s="36">
        <f t="shared" si="29"/>
        <v>39.674999999999997</v>
      </c>
      <c r="AI1889" s="40" t="s">
        <v>1778</v>
      </c>
    </row>
    <row r="1890" spans="1:35" x14ac:dyDescent="0.25">
      <c r="A1890" s="36">
        <v>99911888</v>
      </c>
      <c r="B1890" s="17" t="s">
        <v>56</v>
      </c>
      <c r="C1890" t="s">
        <v>85</v>
      </c>
      <c r="D1890" t="s">
        <v>86</v>
      </c>
      <c r="G1890" s="17" t="s">
        <v>48</v>
      </c>
      <c r="H1890" s="17">
        <v>1</v>
      </c>
      <c r="K1890" t="s">
        <v>223</v>
      </c>
      <c r="L1890" t="s">
        <v>224</v>
      </c>
      <c r="M1890" t="s">
        <v>131</v>
      </c>
      <c r="N1890">
        <v>20</v>
      </c>
      <c r="O1890" t="s">
        <v>40</v>
      </c>
      <c r="P1890" t="s">
        <v>40</v>
      </c>
      <c r="Q1890" t="s">
        <v>40</v>
      </c>
      <c r="R1890" t="s">
        <v>40</v>
      </c>
      <c r="S1890" t="s">
        <v>40</v>
      </c>
      <c r="V1890" t="s">
        <v>41</v>
      </c>
      <c r="W1890" t="s">
        <v>42</v>
      </c>
      <c r="X1890" t="str">
        <f>"0580206"</f>
        <v>0580206</v>
      </c>
      <c r="Y1890" t="s">
        <v>237</v>
      </c>
      <c r="Z1890" t="s">
        <v>223</v>
      </c>
      <c r="AA1890" t="s">
        <v>224</v>
      </c>
      <c r="AB1890" t="s">
        <v>131</v>
      </c>
      <c r="AC1890" t="s">
        <v>51</v>
      </c>
      <c r="AD1890" t="s">
        <v>45</v>
      </c>
      <c r="AE1890" s="1">
        <v>29171</v>
      </c>
      <c r="AF1890">
        <v>2</v>
      </c>
      <c r="AG1890" t="s">
        <v>224</v>
      </c>
      <c r="AH1890" s="36">
        <f t="shared" si="29"/>
        <v>39.68333333333333</v>
      </c>
      <c r="AI1890" s="40" t="s">
        <v>1778</v>
      </c>
    </row>
    <row r="1891" spans="1:35" x14ac:dyDescent="0.25">
      <c r="A1891" s="36">
        <v>99911889</v>
      </c>
      <c r="B1891" s="17" t="s">
        <v>32</v>
      </c>
      <c r="C1891" t="s">
        <v>61</v>
      </c>
      <c r="D1891" t="s">
        <v>62</v>
      </c>
      <c r="G1891" s="17" t="s">
        <v>48</v>
      </c>
      <c r="H1891" s="17">
        <v>7</v>
      </c>
      <c r="K1891" t="s">
        <v>345</v>
      </c>
      <c r="L1891" t="s">
        <v>346</v>
      </c>
      <c r="M1891" t="s">
        <v>131</v>
      </c>
      <c r="N1891">
        <v>20</v>
      </c>
      <c r="O1891" t="s">
        <v>40</v>
      </c>
      <c r="P1891" t="s">
        <v>40</v>
      </c>
      <c r="Q1891" t="s">
        <v>40</v>
      </c>
      <c r="R1891" t="s">
        <v>40</v>
      </c>
      <c r="S1891" t="s">
        <v>40</v>
      </c>
      <c r="V1891" t="s">
        <v>41</v>
      </c>
      <c r="W1891" t="s">
        <v>49</v>
      </c>
      <c r="X1891" t="str">
        <f>"0561021"</f>
        <v>0561021</v>
      </c>
      <c r="Y1891" t="s">
        <v>352</v>
      </c>
      <c r="Z1891" t="s">
        <v>345</v>
      </c>
      <c r="AA1891" t="s">
        <v>346</v>
      </c>
      <c r="AB1891" t="s">
        <v>131</v>
      </c>
      <c r="AC1891" t="s">
        <v>51</v>
      </c>
      <c r="AD1891" t="s">
        <v>45</v>
      </c>
      <c r="AE1891" s="1">
        <v>29170</v>
      </c>
      <c r="AF1891">
        <v>2</v>
      </c>
      <c r="AG1891" t="s">
        <v>346</v>
      </c>
      <c r="AH1891" s="36">
        <f t="shared" si="29"/>
        <v>39.68611111111111</v>
      </c>
      <c r="AI1891" s="40" t="s">
        <v>1778</v>
      </c>
    </row>
    <row r="1892" spans="1:35" x14ac:dyDescent="0.25">
      <c r="A1892" s="36">
        <v>99911890</v>
      </c>
      <c r="B1892" s="17" t="s">
        <v>32</v>
      </c>
      <c r="C1892" t="s">
        <v>139</v>
      </c>
      <c r="D1892" t="s">
        <v>140</v>
      </c>
      <c r="G1892" s="17" t="s">
        <v>48</v>
      </c>
      <c r="H1892" s="17">
        <v>1</v>
      </c>
      <c r="K1892" t="s">
        <v>1487</v>
      </c>
      <c r="L1892" t="s">
        <v>1488</v>
      </c>
      <c r="M1892" t="s">
        <v>670</v>
      </c>
      <c r="N1892">
        <v>10</v>
      </c>
      <c r="O1892" t="s">
        <v>40</v>
      </c>
      <c r="P1892" t="s">
        <v>40</v>
      </c>
      <c r="Q1892" t="s">
        <v>40</v>
      </c>
      <c r="R1892" t="s">
        <v>40</v>
      </c>
      <c r="S1892" t="s">
        <v>40</v>
      </c>
      <c r="V1892" t="s">
        <v>41</v>
      </c>
      <c r="W1892" t="s">
        <v>49</v>
      </c>
      <c r="X1892" t="str">
        <f>"1760001"</f>
        <v>1760001</v>
      </c>
      <c r="Y1892" t="s">
        <v>1489</v>
      </c>
      <c r="Z1892" t="s">
        <v>1487</v>
      </c>
      <c r="AA1892" t="s">
        <v>1488</v>
      </c>
      <c r="AB1892" t="s">
        <v>670</v>
      </c>
      <c r="AC1892" t="s">
        <v>51</v>
      </c>
      <c r="AD1892" t="s">
        <v>45</v>
      </c>
      <c r="AE1892" s="1">
        <v>29170</v>
      </c>
      <c r="AF1892">
        <v>2</v>
      </c>
      <c r="AG1892" t="s">
        <v>1488</v>
      </c>
      <c r="AH1892" s="36">
        <f t="shared" si="29"/>
        <v>39.68611111111111</v>
      </c>
      <c r="AI1892" s="40" t="s">
        <v>1778</v>
      </c>
    </row>
    <row r="1893" spans="1:35" x14ac:dyDescent="0.25">
      <c r="A1893" s="36">
        <v>99911891</v>
      </c>
      <c r="B1893" s="17" t="s">
        <v>56</v>
      </c>
      <c r="C1893" t="s">
        <v>82</v>
      </c>
      <c r="D1893" t="s">
        <v>83</v>
      </c>
      <c r="G1893" s="17" t="s">
        <v>48</v>
      </c>
      <c r="H1893" s="17">
        <v>1</v>
      </c>
      <c r="K1893" t="s">
        <v>223</v>
      </c>
      <c r="L1893" t="s">
        <v>224</v>
      </c>
      <c r="M1893" t="s">
        <v>131</v>
      </c>
      <c r="N1893">
        <v>15</v>
      </c>
      <c r="O1893" t="s">
        <v>40</v>
      </c>
      <c r="P1893" t="s">
        <v>40</v>
      </c>
      <c r="Q1893" t="s">
        <v>40</v>
      </c>
      <c r="S1893" t="s">
        <v>40</v>
      </c>
      <c r="V1893" t="s">
        <v>41</v>
      </c>
      <c r="W1893" t="s">
        <v>42</v>
      </c>
      <c r="X1893" t="str">
        <f>"0580395"</f>
        <v>0580395</v>
      </c>
      <c r="Y1893" t="s">
        <v>265</v>
      </c>
      <c r="Z1893" t="s">
        <v>223</v>
      </c>
      <c r="AA1893" t="s">
        <v>224</v>
      </c>
      <c r="AB1893" t="s">
        <v>131</v>
      </c>
      <c r="AC1893" t="s">
        <v>51</v>
      </c>
      <c r="AD1893" t="s">
        <v>45</v>
      </c>
      <c r="AE1893" s="1">
        <v>29162</v>
      </c>
      <c r="AF1893">
        <v>2</v>
      </c>
      <c r="AG1893" t="s">
        <v>224</v>
      </c>
      <c r="AH1893" s="36">
        <f t="shared" si="29"/>
        <v>39.708333333333336</v>
      </c>
      <c r="AI1893" s="40" t="s">
        <v>1778</v>
      </c>
    </row>
    <row r="1894" spans="1:35" x14ac:dyDescent="0.25">
      <c r="A1894" s="36">
        <v>99911892</v>
      </c>
      <c r="B1894" s="17" t="s">
        <v>32</v>
      </c>
      <c r="C1894" t="s">
        <v>64</v>
      </c>
      <c r="D1894" t="s">
        <v>65</v>
      </c>
      <c r="G1894" s="17" t="s">
        <v>35</v>
      </c>
      <c r="H1894" s="17">
        <v>1</v>
      </c>
      <c r="I1894" t="s">
        <v>358</v>
      </c>
      <c r="J1894" s="1">
        <v>43344</v>
      </c>
      <c r="K1894" t="s">
        <v>345</v>
      </c>
      <c r="L1894" t="s">
        <v>346</v>
      </c>
      <c r="M1894" t="s">
        <v>131</v>
      </c>
      <c r="N1894">
        <v>20</v>
      </c>
      <c r="O1894" t="s">
        <v>40</v>
      </c>
      <c r="S1894" t="s">
        <v>40</v>
      </c>
      <c r="U1894" s="1">
        <v>43344</v>
      </c>
      <c r="V1894" t="s">
        <v>41</v>
      </c>
      <c r="W1894" t="s">
        <v>49</v>
      </c>
      <c r="X1894" t="str">
        <f>"0581660"</f>
        <v>0581660</v>
      </c>
      <c r="Y1894" t="s">
        <v>359</v>
      </c>
      <c r="Z1894" t="s">
        <v>345</v>
      </c>
      <c r="AA1894" t="s">
        <v>346</v>
      </c>
      <c r="AB1894" t="s">
        <v>131</v>
      </c>
      <c r="AC1894" t="s">
        <v>51</v>
      </c>
      <c r="AD1894" t="s">
        <v>45</v>
      </c>
      <c r="AE1894" s="1">
        <v>29154</v>
      </c>
      <c r="AF1894">
        <v>2</v>
      </c>
      <c r="AG1894" t="s">
        <v>346</v>
      </c>
      <c r="AH1894" s="36">
        <f t="shared" si="29"/>
        <v>39.730555555555554</v>
      </c>
      <c r="AI1894" s="40" t="s">
        <v>1778</v>
      </c>
    </row>
    <row r="1895" spans="1:35" x14ac:dyDescent="0.25">
      <c r="A1895" s="36">
        <v>99911893</v>
      </c>
      <c r="B1895" s="17" t="s">
        <v>32</v>
      </c>
      <c r="C1895" t="s">
        <v>46</v>
      </c>
      <c r="D1895" t="s">
        <v>47</v>
      </c>
      <c r="G1895" s="17" t="s">
        <v>48</v>
      </c>
      <c r="H1895" s="17">
        <v>1</v>
      </c>
      <c r="K1895" t="s">
        <v>223</v>
      </c>
      <c r="L1895" t="s">
        <v>224</v>
      </c>
      <c r="M1895" t="s">
        <v>131</v>
      </c>
      <c r="N1895">
        <v>21</v>
      </c>
      <c r="O1895" t="s">
        <v>40</v>
      </c>
      <c r="P1895" t="s">
        <v>40</v>
      </c>
      <c r="Q1895" t="s">
        <v>40</v>
      </c>
      <c r="S1895" t="s">
        <v>40</v>
      </c>
      <c r="V1895" t="s">
        <v>41</v>
      </c>
      <c r="W1895" t="s">
        <v>49</v>
      </c>
      <c r="X1895" t="str">
        <f>"0581204"</f>
        <v>0581204</v>
      </c>
      <c r="Y1895" t="s">
        <v>249</v>
      </c>
      <c r="Z1895" t="s">
        <v>223</v>
      </c>
      <c r="AA1895" t="s">
        <v>224</v>
      </c>
      <c r="AB1895" t="s">
        <v>131</v>
      </c>
      <c r="AC1895" t="s">
        <v>51</v>
      </c>
      <c r="AD1895" t="s">
        <v>45</v>
      </c>
      <c r="AE1895" s="1">
        <v>29152</v>
      </c>
      <c r="AF1895">
        <v>2</v>
      </c>
      <c r="AG1895" t="s">
        <v>224</v>
      </c>
      <c r="AH1895" s="36">
        <f t="shared" si="29"/>
        <v>39.736111111111114</v>
      </c>
      <c r="AI1895" s="40" t="s">
        <v>1778</v>
      </c>
    </row>
    <row r="1896" spans="1:35" x14ac:dyDescent="0.25">
      <c r="A1896" s="36">
        <v>99911894</v>
      </c>
      <c r="B1896" s="17" t="s">
        <v>32</v>
      </c>
      <c r="C1896" t="s">
        <v>85</v>
      </c>
      <c r="D1896" t="s">
        <v>86</v>
      </c>
      <c r="G1896" s="17" t="s">
        <v>35</v>
      </c>
      <c r="H1896" s="17">
        <v>1</v>
      </c>
      <c r="K1896" t="s">
        <v>1268</v>
      </c>
      <c r="L1896" t="s">
        <v>1269</v>
      </c>
      <c r="M1896" t="s">
        <v>1270</v>
      </c>
      <c r="N1896">
        <v>18</v>
      </c>
      <c r="O1896" t="s">
        <v>40</v>
      </c>
      <c r="P1896" t="s">
        <v>40</v>
      </c>
      <c r="Q1896" t="s">
        <v>40</v>
      </c>
      <c r="R1896" t="s">
        <v>40</v>
      </c>
      <c r="S1896" t="s">
        <v>40</v>
      </c>
      <c r="V1896" t="s">
        <v>41</v>
      </c>
      <c r="W1896" t="s">
        <v>42</v>
      </c>
      <c r="X1896" t="str">
        <f>"1990001"</f>
        <v>1990001</v>
      </c>
      <c r="Y1896" t="s">
        <v>1294</v>
      </c>
      <c r="Z1896" t="s">
        <v>1268</v>
      </c>
      <c r="AA1896" t="s">
        <v>1269</v>
      </c>
      <c r="AB1896" t="s">
        <v>1270</v>
      </c>
      <c r="AC1896" t="s">
        <v>51</v>
      </c>
      <c r="AD1896" t="s">
        <v>45</v>
      </c>
      <c r="AE1896" s="1">
        <v>29148</v>
      </c>
      <c r="AF1896">
        <v>2</v>
      </c>
      <c r="AG1896" t="s">
        <v>1269</v>
      </c>
      <c r="AH1896" s="36">
        <f t="shared" si="29"/>
        <v>39.74722222222222</v>
      </c>
      <c r="AI1896" s="40" t="s">
        <v>1778</v>
      </c>
    </row>
    <row r="1897" spans="1:35" x14ac:dyDescent="0.25">
      <c r="A1897" s="36">
        <v>99911895</v>
      </c>
      <c r="B1897" s="17" t="s">
        <v>56</v>
      </c>
      <c r="C1897" t="s">
        <v>68</v>
      </c>
      <c r="D1897" t="s">
        <v>69</v>
      </c>
      <c r="G1897" s="17" t="s">
        <v>35</v>
      </c>
      <c r="H1897" s="17">
        <v>1</v>
      </c>
      <c r="I1897">
        <v>4616</v>
      </c>
      <c r="J1897" s="1">
        <v>43350</v>
      </c>
      <c r="K1897" t="s">
        <v>919</v>
      </c>
      <c r="L1897" t="s">
        <v>920</v>
      </c>
      <c r="M1897" t="s">
        <v>921</v>
      </c>
      <c r="N1897">
        <v>11</v>
      </c>
      <c r="O1897" t="s">
        <v>40</v>
      </c>
      <c r="P1897" t="s">
        <v>40</v>
      </c>
      <c r="Q1897" t="s">
        <v>40</v>
      </c>
      <c r="R1897" t="s">
        <v>40</v>
      </c>
      <c r="S1897" t="s">
        <v>40</v>
      </c>
      <c r="U1897" s="1">
        <v>43350</v>
      </c>
      <c r="V1897" t="s">
        <v>41</v>
      </c>
      <c r="W1897" t="s">
        <v>922</v>
      </c>
      <c r="X1897" t="str">
        <f>"5162001"</f>
        <v>5162001</v>
      </c>
      <c r="Y1897" t="s">
        <v>923</v>
      </c>
      <c r="Z1897" t="s">
        <v>919</v>
      </c>
      <c r="AA1897" t="s">
        <v>920</v>
      </c>
      <c r="AB1897" t="s">
        <v>921</v>
      </c>
      <c r="AC1897" t="s">
        <v>44</v>
      </c>
      <c r="AD1897" t="s">
        <v>45</v>
      </c>
      <c r="AE1897" s="1">
        <v>29143</v>
      </c>
      <c r="AF1897">
        <v>2</v>
      </c>
      <c r="AG1897" t="s">
        <v>920</v>
      </c>
      <c r="AH1897" s="36">
        <f t="shared" si="29"/>
        <v>39.761111111111113</v>
      </c>
      <c r="AI1897" s="40" t="s">
        <v>1778</v>
      </c>
    </row>
    <row r="1898" spans="1:35" x14ac:dyDescent="0.25">
      <c r="A1898" s="36">
        <v>99911896</v>
      </c>
      <c r="B1898" s="17" t="s">
        <v>56</v>
      </c>
      <c r="C1898" t="s">
        <v>85</v>
      </c>
      <c r="D1898" t="s">
        <v>86</v>
      </c>
      <c r="G1898" s="17" t="s">
        <v>48</v>
      </c>
      <c r="H1898" s="17">
        <v>6</v>
      </c>
      <c r="J1898" s="1">
        <v>40787</v>
      </c>
      <c r="K1898" t="s">
        <v>1268</v>
      </c>
      <c r="L1898" t="s">
        <v>1269</v>
      </c>
      <c r="M1898" t="s">
        <v>1270</v>
      </c>
      <c r="N1898">
        <v>23</v>
      </c>
      <c r="O1898" t="s">
        <v>40</v>
      </c>
      <c r="P1898" t="s">
        <v>40</v>
      </c>
      <c r="Q1898" t="s">
        <v>40</v>
      </c>
      <c r="R1898" t="s">
        <v>40</v>
      </c>
      <c r="S1898" t="s">
        <v>40</v>
      </c>
      <c r="U1898" s="1">
        <v>40787</v>
      </c>
      <c r="V1898" t="s">
        <v>41</v>
      </c>
      <c r="W1898" t="s">
        <v>42</v>
      </c>
      <c r="X1898" t="str">
        <f>"1980050"</f>
        <v>1980050</v>
      </c>
      <c r="Y1898" t="s">
        <v>1278</v>
      </c>
      <c r="Z1898" t="s">
        <v>1268</v>
      </c>
      <c r="AA1898" t="s">
        <v>1269</v>
      </c>
      <c r="AB1898" t="s">
        <v>1270</v>
      </c>
      <c r="AC1898" t="s">
        <v>51</v>
      </c>
      <c r="AD1898" t="s">
        <v>45</v>
      </c>
      <c r="AE1898" s="1">
        <v>29142</v>
      </c>
      <c r="AF1898">
        <v>2</v>
      </c>
      <c r="AG1898" t="s">
        <v>1269</v>
      </c>
      <c r="AH1898" s="36">
        <f t="shared" si="29"/>
        <v>39.763888888888886</v>
      </c>
      <c r="AI1898" s="40" t="s">
        <v>1778</v>
      </c>
    </row>
    <row r="1899" spans="1:35" x14ac:dyDescent="0.25">
      <c r="A1899" s="36">
        <v>99911897</v>
      </c>
      <c r="B1899" s="17" t="s">
        <v>32</v>
      </c>
      <c r="C1899" t="s">
        <v>141</v>
      </c>
      <c r="D1899" t="s">
        <v>142</v>
      </c>
      <c r="G1899" s="17" t="s">
        <v>48</v>
      </c>
      <c r="H1899" s="17">
        <v>6</v>
      </c>
      <c r="K1899" t="s">
        <v>195</v>
      </c>
      <c r="L1899" t="s">
        <v>196</v>
      </c>
      <c r="M1899" t="s">
        <v>131</v>
      </c>
      <c r="N1899">
        <v>23</v>
      </c>
      <c r="O1899" t="s">
        <v>40</v>
      </c>
      <c r="P1899" t="s">
        <v>40</v>
      </c>
      <c r="Q1899" t="s">
        <v>40</v>
      </c>
      <c r="R1899" t="s">
        <v>40</v>
      </c>
      <c r="S1899" t="s">
        <v>40</v>
      </c>
      <c r="U1899" s="1">
        <v>41153</v>
      </c>
      <c r="V1899" t="s">
        <v>41</v>
      </c>
      <c r="W1899" t="s">
        <v>75</v>
      </c>
      <c r="X1899" t="str">
        <f>"7521044"</f>
        <v>7521044</v>
      </c>
      <c r="Y1899" t="s">
        <v>453</v>
      </c>
      <c r="Z1899" t="s">
        <v>195</v>
      </c>
      <c r="AA1899" t="s">
        <v>196</v>
      </c>
      <c r="AB1899" t="s">
        <v>131</v>
      </c>
      <c r="AC1899" t="s">
        <v>51</v>
      </c>
      <c r="AD1899" t="s">
        <v>45</v>
      </c>
      <c r="AE1899" s="1">
        <v>29141</v>
      </c>
      <c r="AF1899">
        <v>1</v>
      </c>
      <c r="AG1899" t="s">
        <v>196</v>
      </c>
      <c r="AH1899" s="36">
        <f t="shared" si="29"/>
        <v>39.766666666666666</v>
      </c>
      <c r="AI1899" s="40" t="s">
        <v>1778</v>
      </c>
    </row>
    <row r="1900" spans="1:35" x14ac:dyDescent="0.25">
      <c r="A1900" s="36">
        <v>99911898</v>
      </c>
      <c r="B1900" s="17" t="s">
        <v>32</v>
      </c>
      <c r="C1900" t="s">
        <v>111</v>
      </c>
      <c r="D1900" t="s">
        <v>112</v>
      </c>
      <c r="G1900" s="17" t="s">
        <v>48</v>
      </c>
      <c r="H1900" s="17">
        <v>1</v>
      </c>
      <c r="K1900" t="s">
        <v>154</v>
      </c>
      <c r="L1900" t="s">
        <v>355</v>
      </c>
      <c r="M1900" t="s">
        <v>131</v>
      </c>
      <c r="N1900">
        <v>23</v>
      </c>
      <c r="O1900" t="s">
        <v>40</v>
      </c>
      <c r="P1900" t="s">
        <v>40</v>
      </c>
      <c r="Q1900" t="s">
        <v>40</v>
      </c>
      <c r="R1900" t="s">
        <v>40</v>
      </c>
      <c r="S1900" t="s">
        <v>40</v>
      </c>
      <c r="V1900" t="s">
        <v>41</v>
      </c>
      <c r="W1900" t="s">
        <v>75</v>
      </c>
      <c r="X1900" t="str">
        <f>"7051022"</f>
        <v>7051022</v>
      </c>
      <c r="Y1900" t="s">
        <v>153</v>
      </c>
      <c r="Z1900" t="s">
        <v>154</v>
      </c>
      <c r="AA1900" t="s">
        <v>155</v>
      </c>
      <c r="AB1900" t="s">
        <v>131</v>
      </c>
      <c r="AC1900" t="s">
        <v>51</v>
      </c>
      <c r="AD1900" t="s">
        <v>45</v>
      </c>
      <c r="AE1900" s="1">
        <v>29141</v>
      </c>
      <c r="AF1900">
        <v>1</v>
      </c>
      <c r="AG1900" t="s">
        <v>355</v>
      </c>
      <c r="AH1900" s="36">
        <f t="shared" si="29"/>
        <v>39.766666666666666</v>
      </c>
      <c r="AI1900" s="40" t="s">
        <v>1778</v>
      </c>
    </row>
    <row r="1901" spans="1:35" x14ac:dyDescent="0.25">
      <c r="A1901" s="36">
        <v>99911899</v>
      </c>
      <c r="B1901" s="17" t="s">
        <v>32</v>
      </c>
      <c r="C1901" t="s">
        <v>64</v>
      </c>
      <c r="D1901" t="s">
        <v>65</v>
      </c>
      <c r="G1901" s="17" t="s">
        <v>35</v>
      </c>
      <c r="H1901" s="17">
        <v>1</v>
      </c>
      <c r="I1901">
        <v>0</v>
      </c>
      <c r="J1901" s="1">
        <v>43344</v>
      </c>
      <c r="K1901" t="s">
        <v>223</v>
      </c>
      <c r="L1901" t="s">
        <v>224</v>
      </c>
      <c r="M1901" t="s">
        <v>131</v>
      </c>
      <c r="N1901">
        <v>13</v>
      </c>
      <c r="O1901" t="s">
        <v>40</v>
      </c>
      <c r="P1901" t="s">
        <v>40</v>
      </c>
      <c r="Q1901" t="s">
        <v>40</v>
      </c>
      <c r="R1901" t="s">
        <v>40</v>
      </c>
      <c r="S1901" t="s">
        <v>40</v>
      </c>
      <c r="U1901" s="1">
        <v>43344</v>
      </c>
      <c r="V1901" t="s">
        <v>41</v>
      </c>
      <c r="W1901" t="s">
        <v>49</v>
      </c>
      <c r="X1901" t="str">
        <f>"0591901"</f>
        <v>0591901</v>
      </c>
      <c r="Y1901" t="s">
        <v>230</v>
      </c>
      <c r="Z1901" t="s">
        <v>223</v>
      </c>
      <c r="AA1901" t="s">
        <v>224</v>
      </c>
      <c r="AB1901" t="s">
        <v>131</v>
      </c>
      <c r="AC1901" t="s">
        <v>44</v>
      </c>
      <c r="AD1901" t="s">
        <v>45</v>
      </c>
      <c r="AE1901" s="1">
        <v>29138</v>
      </c>
      <c r="AF1901">
        <v>2</v>
      </c>
      <c r="AG1901" t="s">
        <v>224</v>
      </c>
      <c r="AH1901" s="36">
        <f t="shared" si="29"/>
        <v>39.774999999999999</v>
      </c>
      <c r="AI1901" s="40" t="s">
        <v>1778</v>
      </c>
    </row>
    <row r="1902" spans="1:35" x14ac:dyDescent="0.25">
      <c r="A1902" s="36">
        <v>99911900</v>
      </c>
      <c r="B1902" s="17" t="s">
        <v>56</v>
      </c>
      <c r="C1902" t="s">
        <v>111</v>
      </c>
      <c r="D1902" t="s">
        <v>112</v>
      </c>
      <c r="G1902" s="17" t="s">
        <v>35</v>
      </c>
      <c r="H1902" s="17">
        <v>1</v>
      </c>
      <c r="I1902" t="s">
        <v>613</v>
      </c>
      <c r="J1902" s="1">
        <v>43344</v>
      </c>
      <c r="K1902" t="s">
        <v>268</v>
      </c>
      <c r="L1902" t="s">
        <v>269</v>
      </c>
      <c r="M1902" t="s">
        <v>131</v>
      </c>
      <c r="N1902">
        <v>23</v>
      </c>
      <c r="O1902" t="s">
        <v>40</v>
      </c>
      <c r="S1902" t="s">
        <v>40</v>
      </c>
      <c r="U1902" s="1">
        <v>43344</v>
      </c>
      <c r="V1902" t="s">
        <v>41</v>
      </c>
      <c r="W1902" t="s">
        <v>75</v>
      </c>
      <c r="X1902" t="str">
        <f>"7052020"</f>
        <v>7052020</v>
      </c>
      <c r="Y1902" t="s">
        <v>267</v>
      </c>
      <c r="Z1902" t="s">
        <v>268</v>
      </c>
      <c r="AA1902" t="s">
        <v>269</v>
      </c>
      <c r="AB1902" t="s">
        <v>131</v>
      </c>
      <c r="AC1902" t="s">
        <v>51</v>
      </c>
      <c r="AD1902" t="s">
        <v>45</v>
      </c>
      <c r="AE1902" s="1">
        <v>29138</v>
      </c>
      <c r="AF1902">
        <v>1</v>
      </c>
      <c r="AG1902" t="s">
        <v>269</v>
      </c>
      <c r="AH1902" s="36">
        <f t="shared" si="29"/>
        <v>39.774999999999999</v>
      </c>
      <c r="AI1902" s="40" t="s">
        <v>1778</v>
      </c>
    </row>
    <row r="1903" spans="1:35" x14ac:dyDescent="0.25">
      <c r="A1903" s="36">
        <v>99911901</v>
      </c>
      <c r="B1903" s="17" t="s">
        <v>56</v>
      </c>
      <c r="C1903" t="s">
        <v>79</v>
      </c>
      <c r="D1903" t="s">
        <v>80</v>
      </c>
      <c r="G1903" s="17" t="s">
        <v>35</v>
      </c>
      <c r="H1903" s="17">
        <v>1</v>
      </c>
      <c r="I1903">
        <v>18429</v>
      </c>
      <c r="J1903" s="1">
        <v>43344</v>
      </c>
      <c r="K1903" t="s">
        <v>380</v>
      </c>
      <c r="L1903" t="s">
        <v>381</v>
      </c>
      <c r="M1903" t="s">
        <v>131</v>
      </c>
      <c r="N1903">
        <v>11</v>
      </c>
      <c r="O1903" t="s">
        <v>40</v>
      </c>
      <c r="P1903" t="s">
        <v>40</v>
      </c>
      <c r="Q1903" t="s">
        <v>40</v>
      </c>
      <c r="S1903" t="s">
        <v>40</v>
      </c>
      <c r="U1903" s="1">
        <v>43344</v>
      </c>
      <c r="V1903" t="s">
        <v>41</v>
      </c>
      <c r="W1903" t="s">
        <v>49</v>
      </c>
      <c r="X1903" t="str">
        <f>"0560028"</f>
        <v>0560028</v>
      </c>
      <c r="Y1903" t="s">
        <v>384</v>
      </c>
      <c r="Z1903" t="s">
        <v>380</v>
      </c>
      <c r="AA1903" t="s">
        <v>381</v>
      </c>
      <c r="AB1903" t="s">
        <v>131</v>
      </c>
      <c r="AC1903" t="s">
        <v>51</v>
      </c>
      <c r="AD1903" t="s">
        <v>45</v>
      </c>
      <c r="AE1903" s="1">
        <v>29137</v>
      </c>
      <c r="AF1903">
        <v>2</v>
      </c>
      <c r="AG1903" t="s">
        <v>381</v>
      </c>
      <c r="AH1903" s="36">
        <f t="shared" si="29"/>
        <v>39.777777777777779</v>
      </c>
      <c r="AI1903" s="40" t="s">
        <v>1778</v>
      </c>
    </row>
    <row r="1904" spans="1:35" x14ac:dyDescent="0.25">
      <c r="A1904" s="36">
        <v>99911902</v>
      </c>
      <c r="B1904" s="17" t="s">
        <v>32</v>
      </c>
      <c r="C1904" t="s">
        <v>149</v>
      </c>
      <c r="D1904" t="s">
        <v>150</v>
      </c>
      <c r="G1904" s="17" t="s">
        <v>48</v>
      </c>
      <c r="H1904" s="17">
        <v>1</v>
      </c>
      <c r="K1904" t="s">
        <v>223</v>
      </c>
      <c r="L1904" t="s">
        <v>224</v>
      </c>
      <c r="M1904" t="s">
        <v>131</v>
      </c>
      <c r="N1904">
        <v>2</v>
      </c>
      <c r="O1904" t="s">
        <v>40</v>
      </c>
      <c r="P1904" t="s">
        <v>40</v>
      </c>
      <c r="Q1904" t="s">
        <v>40</v>
      </c>
      <c r="R1904" t="s">
        <v>40</v>
      </c>
      <c r="S1904" t="s">
        <v>40</v>
      </c>
      <c r="V1904" t="s">
        <v>41</v>
      </c>
      <c r="W1904" t="s">
        <v>42</v>
      </c>
      <c r="X1904" t="str">
        <f>"0580200"</f>
        <v>0580200</v>
      </c>
      <c r="Y1904" t="s">
        <v>245</v>
      </c>
      <c r="Z1904" t="s">
        <v>223</v>
      </c>
      <c r="AA1904" t="s">
        <v>224</v>
      </c>
      <c r="AB1904" t="s">
        <v>131</v>
      </c>
      <c r="AC1904" t="s">
        <v>51</v>
      </c>
      <c r="AD1904" t="s">
        <v>45</v>
      </c>
      <c r="AE1904" s="1">
        <v>29134</v>
      </c>
      <c r="AF1904">
        <v>2</v>
      </c>
      <c r="AG1904" t="s">
        <v>224</v>
      </c>
      <c r="AH1904" s="36">
        <f t="shared" si="29"/>
        <v>39.786111111111111</v>
      </c>
      <c r="AI1904" s="40" t="s">
        <v>1778</v>
      </c>
    </row>
    <row r="1905" spans="1:35" x14ac:dyDescent="0.25">
      <c r="A1905" s="36">
        <v>99911903</v>
      </c>
      <c r="B1905" s="17" t="s">
        <v>32</v>
      </c>
      <c r="C1905" t="s">
        <v>79</v>
      </c>
      <c r="D1905" t="s">
        <v>80</v>
      </c>
      <c r="G1905" s="17" t="s">
        <v>48</v>
      </c>
      <c r="H1905" s="17">
        <v>1</v>
      </c>
      <c r="K1905" t="s">
        <v>268</v>
      </c>
      <c r="L1905" t="s">
        <v>269</v>
      </c>
      <c r="M1905" t="s">
        <v>131</v>
      </c>
      <c r="N1905">
        <v>17</v>
      </c>
      <c r="O1905" t="s">
        <v>40</v>
      </c>
      <c r="P1905" t="s">
        <v>40</v>
      </c>
      <c r="Q1905" t="s">
        <v>40</v>
      </c>
      <c r="R1905" t="s">
        <v>40</v>
      </c>
      <c r="S1905" t="s">
        <v>40</v>
      </c>
      <c r="V1905" t="s">
        <v>41</v>
      </c>
      <c r="W1905" t="s">
        <v>75</v>
      </c>
      <c r="X1905" t="str">
        <f>"7052040"</f>
        <v>7052040</v>
      </c>
      <c r="Y1905" t="s">
        <v>591</v>
      </c>
      <c r="Z1905" t="s">
        <v>268</v>
      </c>
      <c r="AA1905" t="s">
        <v>269</v>
      </c>
      <c r="AB1905" t="s">
        <v>131</v>
      </c>
      <c r="AC1905" t="s">
        <v>51</v>
      </c>
      <c r="AD1905" t="s">
        <v>45</v>
      </c>
      <c r="AE1905" s="1">
        <v>29129</v>
      </c>
      <c r="AF1905">
        <v>1</v>
      </c>
      <c r="AG1905" t="s">
        <v>269</v>
      </c>
      <c r="AH1905" s="36">
        <f t="shared" si="29"/>
        <v>39.799999999999997</v>
      </c>
      <c r="AI1905" s="40" t="s">
        <v>1778</v>
      </c>
    </row>
    <row r="1906" spans="1:35" x14ac:dyDescent="0.25">
      <c r="A1906" s="36">
        <v>99911904</v>
      </c>
      <c r="B1906" s="17" t="s">
        <v>56</v>
      </c>
      <c r="C1906" t="s">
        <v>79</v>
      </c>
      <c r="D1906" t="s">
        <v>80</v>
      </c>
      <c r="G1906" s="17" t="s">
        <v>35</v>
      </c>
      <c r="H1906" s="17">
        <v>1</v>
      </c>
      <c r="K1906" t="s">
        <v>1426</v>
      </c>
      <c r="L1906" t="s">
        <v>1427</v>
      </c>
      <c r="M1906" t="s">
        <v>1270</v>
      </c>
      <c r="N1906">
        <v>4</v>
      </c>
      <c r="O1906" t="s">
        <v>40</v>
      </c>
      <c r="P1906" t="s">
        <v>40</v>
      </c>
      <c r="Q1906" t="s">
        <v>40</v>
      </c>
      <c r="R1906" t="s">
        <v>40</v>
      </c>
      <c r="S1906" t="s">
        <v>40</v>
      </c>
      <c r="V1906" t="s">
        <v>41</v>
      </c>
      <c r="W1906" t="s">
        <v>75</v>
      </c>
      <c r="X1906" t="str">
        <f>"7192004"</f>
        <v>7192004</v>
      </c>
      <c r="Y1906" t="s">
        <v>1428</v>
      </c>
      <c r="Z1906" t="s">
        <v>1426</v>
      </c>
      <c r="AA1906" t="s">
        <v>1427</v>
      </c>
      <c r="AB1906" t="s">
        <v>1270</v>
      </c>
      <c r="AC1906" t="s">
        <v>51</v>
      </c>
      <c r="AD1906" t="s">
        <v>45</v>
      </c>
      <c r="AE1906" s="1">
        <v>29128</v>
      </c>
      <c r="AF1906">
        <v>1</v>
      </c>
      <c r="AG1906" t="s">
        <v>1427</v>
      </c>
      <c r="AH1906" s="36">
        <f t="shared" si="29"/>
        <v>39.802777777777777</v>
      </c>
      <c r="AI1906" s="40" t="s">
        <v>1778</v>
      </c>
    </row>
    <row r="1907" spans="1:35" x14ac:dyDescent="0.25">
      <c r="A1907" s="36">
        <v>99911905</v>
      </c>
      <c r="B1907" s="17" t="s">
        <v>32</v>
      </c>
      <c r="C1907" t="s">
        <v>111</v>
      </c>
      <c r="D1907" t="s">
        <v>112</v>
      </c>
      <c r="G1907" s="17" t="s">
        <v>48</v>
      </c>
      <c r="H1907" s="17">
        <v>6</v>
      </c>
      <c r="K1907" t="s">
        <v>354</v>
      </c>
      <c r="L1907" t="s">
        <v>355</v>
      </c>
      <c r="M1907" t="s">
        <v>131</v>
      </c>
      <c r="N1907">
        <v>23</v>
      </c>
      <c r="O1907" t="s">
        <v>40</v>
      </c>
      <c r="P1907" t="s">
        <v>40</v>
      </c>
      <c r="Q1907" t="s">
        <v>40</v>
      </c>
      <c r="R1907" t="s">
        <v>40</v>
      </c>
      <c r="S1907" t="s">
        <v>40</v>
      </c>
      <c r="V1907" t="s">
        <v>41</v>
      </c>
      <c r="W1907" t="s">
        <v>75</v>
      </c>
      <c r="X1907" t="str">
        <f>"7054022"</f>
        <v>7054022</v>
      </c>
      <c r="Y1907" t="s">
        <v>770</v>
      </c>
      <c r="Z1907" t="s">
        <v>354</v>
      </c>
      <c r="AA1907" t="s">
        <v>355</v>
      </c>
      <c r="AB1907" t="s">
        <v>131</v>
      </c>
      <c r="AC1907" t="s">
        <v>51</v>
      </c>
      <c r="AD1907" t="s">
        <v>45</v>
      </c>
      <c r="AE1907" s="1">
        <v>29127</v>
      </c>
      <c r="AF1907">
        <v>1</v>
      </c>
      <c r="AG1907" t="s">
        <v>355</v>
      </c>
      <c r="AH1907" s="36">
        <f t="shared" si="29"/>
        <v>39.805555555555557</v>
      </c>
      <c r="AI1907" s="40" t="s">
        <v>1778</v>
      </c>
    </row>
    <row r="1908" spans="1:35" x14ac:dyDescent="0.25">
      <c r="A1908" s="36">
        <v>99911906</v>
      </c>
      <c r="B1908" s="17" t="s">
        <v>56</v>
      </c>
      <c r="C1908" t="s">
        <v>85</v>
      </c>
      <c r="D1908" t="s">
        <v>86</v>
      </c>
      <c r="G1908" s="17" t="s">
        <v>35</v>
      </c>
      <c r="H1908" s="17">
        <v>1</v>
      </c>
      <c r="K1908" t="s">
        <v>1051</v>
      </c>
      <c r="L1908" t="s">
        <v>1052</v>
      </c>
      <c r="M1908" t="s">
        <v>1053</v>
      </c>
      <c r="N1908">
        <v>10</v>
      </c>
      <c r="O1908" t="s">
        <v>40</v>
      </c>
      <c r="P1908" t="s">
        <v>40</v>
      </c>
      <c r="Q1908" t="s">
        <v>40</v>
      </c>
      <c r="S1908" t="s">
        <v>40</v>
      </c>
      <c r="V1908" t="s">
        <v>41</v>
      </c>
      <c r="W1908" t="s">
        <v>49</v>
      </c>
      <c r="X1908" t="str">
        <f>"2060001"</f>
        <v>2060001</v>
      </c>
      <c r="Y1908" t="s">
        <v>1066</v>
      </c>
      <c r="Z1908" t="s">
        <v>1051</v>
      </c>
      <c r="AA1908" t="s">
        <v>1052</v>
      </c>
      <c r="AB1908" t="s">
        <v>1053</v>
      </c>
      <c r="AC1908" t="s">
        <v>51</v>
      </c>
      <c r="AD1908" t="s">
        <v>45</v>
      </c>
      <c r="AE1908" s="1">
        <v>29127</v>
      </c>
      <c r="AF1908">
        <v>2</v>
      </c>
      <c r="AG1908" t="s">
        <v>1052</v>
      </c>
      <c r="AH1908" s="36">
        <f t="shared" si="29"/>
        <v>39.805555555555557</v>
      </c>
      <c r="AI1908" s="40" t="s">
        <v>1778</v>
      </c>
    </row>
    <row r="1909" spans="1:35" x14ac:dyDescent="0.25">
      <c r="A1909" s="36">
        <v>99911907</v>
      </c>
      <c r="B1909" s="17" t="s">
        <v>32</v>
      </c>
      <c r="C1909" t="s">
        <v>46</v>
      </c>
      <c r="D1909" t="s">
        <v>47</v>
      </c>
      <c r="G1909" s="17" t="s">
        <v>35</v>
      </c>
      <c r="H1909" s="17">
        <v>1</v>
      </c>
      <c r="K1909" t="s">
        <v>1546</v>
      </c>
      <c r="L1909" t="s">
        <v>1547</v>
      </c>
      <c r="M1909" t="s">
        <v>1548</v>
      </c>
      <c r="N1909">
        <v>21</v>
      </c>
      <c r="O1909" t="s">
        <v>40</v>
      </c>
      <c r="P1909" t="s">
        <v>40</v>
      </c>
      <c r="Q1909" t="s">
        <v>40</v>
      </c>
      <c r="R1909" t="s">
        <v>40</v>
      </c>
      <c r="S1909" t="s">
        <v>40</v>
      </c>
      <c r="V1909" t="s">
        <v>41</v>
      </c>
      <c r="W1909" t="s">
        <v>42</v>
      </c>
      <c r="X1909" t="str">
        <f>"1080010"</f>
        <v>1080010</v>
      </c>
      <c r="Y1909" t="s">
        <v>1549</v>
      </c>
      <c r="Z1909" t="s">
        <v>1546</v>
      </c>
      <c r="AA1909" t="s">
        <v>1547</v>
      </c>
      <c r="AB1909" t="s">
        <v>1548</v>
      </c>
      <c r="AC1909" t="s">
        <v>51</v>
      </c>
      <c r="AD1909" t="s">
        <v>45</v>
      </c>
      <c r="AE1909" s="1">
        <v>29121</v>
      </c>
      <c r="AF1909">
        <v>2</v>
      </c>
      <c r="AG1909" t="s">
        <v>1547</v>
      </c>
      <c r="AH1909" s="36">
        <f t="shared" si="29"/>
        <v>39.822222222222223</v>
      </c>
      <c r="AI1909" s="40" t="s">
        <v>1778</v>
      </c>
    </row>
    <row r="1910" spans="1:35" x14ac:dyDescent="0.25">
      <c r="A1910" s="36">
        <v>99911908</v>
      </c>
      <c r="B1910" s="17" t="s">
        <v>32</v>
      </c>
      <c r="C1910" t="s">
        <v>71</v>
      </c>
      <c r="D1910" t="s">
        <v>72</v>
      </c>
      <c r="G1910" s="17" t="s">
        <v>35</v>
      </c>
      <c r="H1910" s="17">
        <v>1</v>
      </c>
      <c r="K1910" t="s">
        <v>431</v>
      </c>
      <c r="L1910" t="s">
        <v>196</v>
      </c>
      <c r="M1910" t="s">
        <v>131</v>
      </c>
      <c r="N1910">
        <v>7</v>
      </c>
      <c r="O1910" t="s">
        <v>40</v>
      </c>
      <c r="P1910" t="s">
        <v>40</v>
      </c>
      <c r="Q1910" t="s">
        <v>40</v>
      </c>
      <c r="S1910" t="s">
        <v>40</v>
      </c>
      <c r="V1910" t="s">
        <v>41</v>
      </c>
      <c r="W1910" t="s">
        <v>75</v>
      </c>
      <c r="X1910" t="str">
        <f>"7521060"</f>
        <v>7521060</v>
      </c>
      <c r="Y1910" t="s">
        <v>501</v>
      </c>
      <c r="Z1910" t="s">
        <v>431</v>
      </c>
      <c r="AA1910" t="s">
        <v>196</v>
      </c>
      <c r="AB1910" t="s">
        <v>131</v>
      </c>
      <c r="AC1910" t="s">
        <v>44</v>
      </c>
      <c r="AD1910" t="s">
        <v>45</v>
      </c>
      <c r="AE1910" s="1">
        <v>29120</v>
      </c>
      <c r="AF1910">
        <v>1</v>
      </c>
      <c r="AG1910" t="s">
        <v>196</v>
      </c>
      <c r="AH1910" s="36">
        <f t="shared" si="29"/>
        <v>39.825000000000003</v>
      </c>
      <c r="AI1910" s="40" t="s">
        <v>1778</v>
      </c>
    </row>
    <row r="1911" spans="1:35" x14ac:dyDescent="0.25">
      <c r="A1911" s="36">
        <v>99911909</v>
      </c>
      <c r="B1911" s="17" t="s">
        <v>32</v>
      </c>
      <c r="C1911" t="s">
        <v>82</v>
      </c>
      <c r="D1911" t="s">
        <v>83</v>
      </c>
      <c r="G1911" s="17" t="s">
        <v>35</v>
      </c>
      <c r="H1911" s="17">
        <v>1</v>
      </c>
      <c r="K1911" t="s">
        <v>223</v>
      </c>
      <c r="L1911" t="s">
        <v>224</v>
      </c>
      <c r="M1911" t="s">
        <v>131</v>
      </c>
      <c r="N1911">
        <v>21</v>
      </c>
      <c r="O1911" t="s">
        <v>40</v>
      </c>
      <c r="P1911" t="s">
        <v>40</v>
      </c>
      <c r="Q1911" t="s">
        <v>40</v>
      </c>
      <c r="S1911" t="s">
        <v>40</v>
      </c>
      <c r="V1911" t="s">
        <v>41</v>
      </c>
      <c r="W1911" t="s">
        <v>49</v>
      </c>
      <c r="X1911" t="str">
        <f>"0581207"</f>
        <v>0581207</v>
      </c>
      <c r="Y1911" t="s">
        <v>233</v>
      </c>
      <c r="Z1911" t="s">
        <v>223</v>
      </c>
      <c r="AA1911" t="s">
        <v>224</v>
      </c>
      <c r="AB1911" t="s">
        <v>131</v>
      </c>
      <c r="AC1911" t="s">
        <v>165</v>
      </c>
      <c r="AD1911" t="s">
        <v>45</v>
      </c>
      <c r="AE1911" s="1">
        <v>29116</v>
      </c>
      <c r="AF1911">
        <v>2</v>
      </c>
      <c r="AG1911" t="s">
        <v>224</v>
      </c>
      <c r="AH1911" s="36">
        <f t="shared" si="29"/>
        <v>39.836111111111109</v>
      </c>
      <c r="AI1911" s="40" t="s">
        <v>1778</v>
      </c>
    </row>
    <row r="1912" spans="1:35" x14ac:dyDescent="0.25">
      <c r="A1912" s="36">
        <v>99911910</v>
      </c>
      <c r="B1912" s="17" t="s">
        <v>56</v>
      </c>
      <c r="C1912" t="s">
        <v>61</v>
      </c>
      <c r="D1912" t="s">
        <v>62</v>
      </c>
      <c r="G1912" s="17" t="s">
        <v>48</v>
      </c>
      <c r="H1912" s="17">
        <v>1</v>
      </c>
      <c r="K1912" t="s">
        <v>1268</v>
      </c>
      <c r="L1912" t="s">
        <v>1269</v>
      </c>
      <c r="M1912" t="s">
        <v>1270</v>
      </c>
      <c r="N1912">
        <v>30</v>
      </c>
      <c r="O1912" t="s">
        <v>40</v>
      </c>
      <c r="P1912" t="s">
        <v>40</v>
      </c>
      <c r="Q1912" t="s">
        <v>40</v>
      </c>
      <c r="S1912" t="s">
        <v>40</v>
      </c>
      <c r="V1912" t="s">
        <v>41</v>
      </c>
      <c r="W1912" t="s">
        <v>42</v>
      </c>
      <c r="X1912" t="str">
        <f>"1980050"</f>
        <v>1980050</v>
      </c>
      <c r="Y1912" t="s">
        <v>1278</v>
      </c>
      <c r="Z1912" t="s">
        <v>1268</v>
      </c>
      <c r="AA1912" t="s">
        <v>1269</v>
      </c>
      <c r="AB1912" t="s">
        <v>1270</v>
      </c>
      <c r="AC1912" t="s">
        <v>51</v>
      </c>
      <c r="AD1912" t="s">
        <v>45</v>
      </c>
      <c r="AE1912" s="1">
        <v>29112</v>
      </c>
      <c r="AF1912">
        <v>2</v>
      </c>
      <c r="AG1912" t="s">
        <v>1269</v>
      </c>
      <c r="AH1912" s="36">
        <f t="shared" si="29"/>
        <v>39.847222222222221</v>
      </c>
      <c r="AI1912" s="40" t="s">
        <v>1778</v>
      </c>
    </row>
    <row r="1913" spans="1:35" x14ac:dyDescent="0.25">
      <c r="A1913" s="36">
        <v>99911911</v>
      </c>
      <c r="B1913" s="17" t="s">
        <v>56</v>
      </c>
      <c r="C1913" t="s">
        <v>111</v>
      </c>
      <c r="D1913" t="s">
        <v>112</v>
      </c>
      <c r="G1913" s="17" t="s">
        <v>35</v>
      </c>
      <c r="H1913" s="17">
        <v>1</v>
      </c>
      <c r="K1913" t="s">
        <v>268</v>
      </c>
      <c r="L1913" t="s">
        <v>269</v>
      </c>
      <c r="M1913" t="s">
        <v>131</v>
      </c>
      <c r="N1913">
        <v>22</v>
      </c>
      <c r="O1913" t="s">
        <v>40</v>
      </c>
      <c r="Q1913" t="s">
        <v>40</v>
      </c>
      <c r="S1913" t="s">
        <v>40</v>
      </c>
      <c r="V1913" t="s">
        <v>41</v>
      </c>
      <c r="W1913" t="s">
        <v>75</v>
      </c>
      <c r="X1913" t="str">
        <f>"7052028"</f>
        <v>7052028</v>
      </c>
      <c r="Y1913" t="s">
        <v>601</v>
      </c>
      <c r="Z1913" t="s">
        <v>268</v>
      </c>
      <c r="AA1913" t="s">
        <v>269</v>
      </c>
      <c r="AB1913" t="s">
        <v>131</v>
      </c>
      <c r="AC1913" t="s">
        <v>51</v>
      </c>
      <c r="AD1913" t="s">
        <v>45</v>
      </c>
      <c r="AE1913" s="1">
        <v>29105</v>
      </c>
      <c r="AF1913">
        <v>1</v>
      </c>
      <c r="AG1913" t="s">
        <v>269</v>
      </c>
      <c r="AH1913" s="36">
        <f t="shared" si="29"/>
        <v>39.866666666666667</v>
      </c>
      <c r="AI1913" s="40" t="s">
        <v>1778</v>
      </c>
    </row>
    <row r="1914" spans="1:35" x14ac:dyDescent="0.25">
      <c r="A1914" s="36">
        <v>99911912</v>
      </c>
      <c r="B1914" s="17" t="s">
        <v>56</v>
      </c>
      <c r="C1914" t="s">
        <v>111</v>
      </c>
      <c r="D1914" t="s">
        <v>112</v>
      </c>
      <c r="G1914" s="17" t="s">
        <v>48</v>
      </c>
      <c r="H1914" s="17">
        <v>7</v>
      </c>
      <c r="K1914" t="s">
        <v>1426</v>
      </c>
      <c r="L1914" t="s">
        <v>1427</v>
      </c>
      <c r="M1914" t="s">
        <v>1270</v>
      </c>
      <c r="N1914">
        <v>23</v>
      </c>
      <c r="O1914" t="s">
        <v>40</v>
      </c>
      <c r="P1914" t="s">
        <v>40</v>
      </c>
      <c r="Q1914" t="s">
        <v>40</v>
      </c>
      <c r="R1914" t="s">
        <v>40</v>
      </c>
      <c r="S1914" t="s">
        <v>40</v>
      </c>
      <c r="V1914" t="s">
        <v>41</v>
      </c>
      <c r="W1914" t="s">
        <v>75</v>
      </c>
      <c r="X1914" t="str">
        <f>"7192000"</f>
        <v>7192000</v>
      </c>
      <c r="Y1914" t="s">
        <v>1429</v>
      </c>
      <c r="Z1914" t="s">
        <v>1426</v>
      </c>
      <c r="AA1914" t="s">
        <v>1427</v>
      </c>
      <c r="AB1914" t="s">
        <v>1270</v>
      </c>
      <c r="AC1914" t="s">
        <v>51</v>
      </c>
      <c r="AD1914" t="s">
        <v>45</v>
      </c>
      <c r="AE1914" s="1">
        <v>29099</v>
      </c>
      <c r="AF1914">
        <v>1</v>
      </c>
      <c r="AG1914" t="s">
        <v>1427</v>
      </c>
      <c r="AH1914" s="36">
        <f t="shared" si="29"/>
        <v>39.883333333333333</v>
      </c>
      <c r="AI1914" s="40" t="s">
        <v>1778</v>
      </c>
    </row>
    <row r="1915" spans="1:35" x14ac:dyDescent="0.25">
      <c r="A1915" s="36">
        <v>99911913</v>
      </c>
      <c r="B1915" s="17" t="s">
        <v>32</v>
      </c>
      <c r="C1915" t="s">
        <v>111</v>
      </c>
      <c r="D1915" t="s">
        <v>112</v>
      </c>
      <c r="G1915" s="17" t="s">
        <v>35</v>
      </c>
      <c r="H1915" s="17">
        <v>1</v>
      </c>
      <c r="I1915" s="1">
        <v>37928</v>
      </c>
      <c r="J1915" s="1">
        <v>43344</v>
      </c>
      <c r="K1915" t="s">
        <v>1341</v>
      </c>
      <c r="L1915" t="s">
        <v>1342</v>
      </c>
      <c r="M1915" t="s">
        <v>1270</v>
      </c>
      <c r="N1915">
        <v>24</v>
      </c>
      <c r="O1915" t="s">
        <v>40</v>
      </c>
      <c r="S1915" t="s">
        <v>40</v>
      </c>
      <c r="U1915" s="1">
        <v>43344</v>
      </c>
      <c r="V1915" t="s">
        <v>41</v>
      </c>
      <c r="W1915" t="s">
        <v>75</v>
      </c>
      <c r="X1915" t="str">
        <f>"7191004"</f>
        <v>7191004</v>
      </c>
      <c r="Y1915" t="s">
        <v>1344</v>
      </c>
      <c r="Z1915" t="s">
        <v>1341</v>
      </c>
      <c r="AA1915" t="s">
        <v>1342</v>
      </c>
      <c r="AB1915" t="s">
        <v>1270</v>
      </c>
      <c r="AC1915" t="s">
        <v>51</v>
      </c>
      <c r="AD1915" t="s">
        <v>45</v>
      </c>
      <c r="AE1915" s="1">
        <v>29095</v>
      </c>
      <c r="AF1915">
        <v>1</v>
      </c>
      <c r="AG1915" t="s">
        <v>1342</v>
      </c>
      <c r="AH1915" s="36">
        <f t="shared" si="29"/>
        <v>39.894444444444446</v>
      </c>
      <c r="AI1915" s="40" t="s">
        <v>1778</v>
      </c>
    </row>
    <row r="1916" spans="1:35" x14ac:dyDescent="0.25">
      <c r="A1916" s="36">
        <v>99911914</v>
      </c>
      <c r="B1916" s="17" t="s">
        <v>32</v>
      </c>
      <c r="C1916" t="s">
        <v>111</v>
      </c>
      <c r="D1916" t="s">
        <v>112</v>
      </c>
      <c r="G1916" s="17" t="s">
        <v>35</v>
      </c>
      <c r="H1916" s="17">
        <v>7</v>
      </c>
      <c r="K1916" t="s">
        <v>268</v>
      </c>
      <c r="L1916" t="s">
        <v>269</v>
      </c>
      <c r="M1916" t="s">
        <v>131</v>
      </c>
      <c r="N1916">
        <v>23</v>
      </c>
      <c r="O1916" t="s">
        <v>40</v>
      </c>
      <c r="P1916" t="s">
        <v>40</v>
      </c>
      <c r="Q1916" t="s">
        <v>40</v>
      </c>
      <c r="R1916" t="s">
        <v>40</v>
      </c>
      <c r="S1916" t="s">
        <v>40</v>
      </c>
      <c r="V1916" t="s">
        <v>41</v>
      </c>
      <c r="W1916" t="s">
        <v>75</v>
      </c>
      <c r="X1916" t="str">
        <f>"7052004"</f>
        <v>7052004</v>
      </c>
      <c r="Y1916" t="s">
        <v>584</v>
      </c>
      <c r="Z1916" t="s">
        <v>268</v>
      </c>
      <c r="AA1916" t="s">
        <v>269</v>
      </c>
      <c r="AB1916" t="s">
        <v>131</v>
      </c>
      <c r="AC1916" t="s">
        <v>51</v>
      </c>
      <c r="AD1916" t="s">
        <v>45</v>
      </c>
      <c r="AE1916" s="1">
        <v>29088</v>
      </c>
      <c r="AF1916">
        <v>1</v>
      </c>
      <c r="AG1916" t="s">
        <v>269</v>
      </c>
      <c r="AH1916" s="36">
        <f t="shared" si="29"/>
        <v>39.913888888888891</v>
      </c>
      <c r="AI1916" s="40" t="s">
        <v>1778</v>
      </c>
    </row>
    <row r="1917" spans="1:35" x14ac:dyDescent="0.25">
      <c r="A1917" s="36">
        <v>99911915</v>
      </c>
      <c r="B1917" s="17" t="s">
        <v>32</v>
      </c>
      <c r="C1917" t="s">
        <v>111</v>
      </c>
      <c r="D1917" t="s">
        <v>112</v>
      </c>
      <c r="G1917" s="17" t="s">
        <v>48</v>
      </c>
      <c r="H1917" s="17">
        <v>1</v>
      </c>
      <c r="K1917" t="s">
        <v>268</v>
      </c>
      <c r="L1917" t="s">
        <v>269</v>
      </c>
      <c r="M1917" t="s">
        <v>131</v>
      </c>
      <c r="N1917">
        <v>23</v>
      </c>
      <c r="O1917" t="s">
        <v>40</v>
      </c>
      <c r="P1917" t="s">
        <v>40</v>
      </c>
      <c r="Q1917" t="s">
        <v>40</v>
      </c>
      <c r="S1917" t="s">
        <v>40</v>
      </c>
      <c r="V1917" t="s">
        <v>41</v>
      </c>
      <c r="W1917" t="s">
        <v>75</v>
      </c>
      <c r="X1917" t="str">
        <f>"7052044"</f>
        <v>7052044</v>
      </c>
      <c r="Y1917" t="s">
        <v>589</v>
      </c>
      <c r="Z1917" t="s">
        <v>268</v>
      </c>
      <c r="AA1917" t="s">
        <v>269</v>
      </c>
      <c r="AB1917" t="s">
        <v>131</v>
      </c>
      <c r="AC1917" t="s">
        <v>51</v>
      </c>
      <c r="AD1917" t="s">
        <v>45</v>
      </c>
      <c r="AE1917" s="1">
        <v>29088</v>
      </c>
      <c r="AF1917">
        <v>1</v>
      </c>
      <c r="AG1917" t="s">
        <v>269</v>
      </c>
      <c r="AH1917" s="36">
        <f t="shared" si="29"/>
        <v>39.913888888888891</v>
      </c>
      <c r="AI1917" s="40" t="s">
        <v>1778</v>
      </c>
    </row>
    <row r="1918" spans="1:35" x14ac:dyDescent="0.25">
      <c r="A1918" s="36">
        <v>99911916</v>
      </c>
      <c r="B1918" s="17" t="s">
        <v>56</v>
      </c>
      <c r="C1918" t="s">
        <v>111</v>
      </c>
      <c r="D1918" t="s">
        <v>112</v>
      </c>
      <c r="G1918" s="17" t="s">
        <v>48</v>
      </c>
      <c r="H1918" s="17">
        <v>6</v>
      </c>
      <c r="K1918" t="s">
        <v>354</v>
      </c>
      <c r="L1918" t="s">
        <v>355</v>
      </c>
      <c r="M1918" t="s">
        <v>131</v>
      </c>
      <c r="N1918">
        <v>24</v>
      </c>
      <c r="O1918" t="s">
        <v>40</v>
      </c>
      <c r="P1918" t="s">
        <v>40</v>
      </c>
      <c r="Q1918" t="s">
        <v>40</v>
      </c>
      <c r="R1918" t="s">
        <v>40</v>
      </c>
      <c r="S1918" t="s">
        <v>40</v>
      </c>
      <c r="V1918" t="s">
        <v>41</v>
      </c>
      <c r="W1918" t="s">
        <v>75</v>
      </c>
      <c r="X1918" t="str">
        <f>"7054006"</f>
        <v>7054006</v>
      </c>
      <c r="Y1918" t="s">
        <v>774</v>
      </c>
      <c r="Z1918" t="s">
        <v>354</v>
      </c>
      <c r="AA1918" t="s">
        <v>355</v>
      </c>
      <c r="AB1918" t="s">
        <v>131</v>
      </c>
      <c r="AC1918" t="s">
        <v>51</v>
      </c>
      <c r="AD1918" t="s">
        <v>45</v>
      </c>
      <c r="AE1918" s="1">
        <v>29082</v>
      </c>
      <c r="AF1918">
        <v>1</v>
      </c>
      <c r="AG1918" t="s">
        <v>355</v>
      </c>
      <c r="AH1918" s="36">
        <f t="shared" si="29"/>
        <v>39.930555555555557</v>
      </c>
      <c r="AI1918" s="40" t="s">
        <v>1778</v>
      </c>
    </row>
    <row r="1919" spans="1:35" x14ac:dyDescent="0.25">
      <c r="A1919" s="36">
        <v>99911917</v>
      </c>
      <c r="B1919" s="17" t="s">
        <v>32</v>
      </c>
      <c r="C1919" t="s">
        <v>52</v>
      </c>
      <c r="D1919" t="s">
        <v>53</v>
      </c>
      <c r="G1919" s="17" t="s">
        <v>48</v>
      </c>
      <c r="H1919" s="17">
        <v>1</v>
      </c>
      <c r="K1919" t="s">
        <v>380</v>
      </c>
      <c r="L1919" t="s">
        <v>381</v>
      </c>
      <c r="M1919" t="s">
        <v>131</v>
      </c>
      <c r="N1919">
        <v>21</v>
      </c>
      <c r="O1919" t="s">
        <v>40</v>
      </c>
      <c r="P1919" t="s">
        <v>40</v>
      </c>
      <c r="Q1919" t="s">
        <v>40</v>
      </c>
      <c r="R1919" t="s">
        <v>40</v>
      </c>
      <c r="S1919" t="s">
        <v>40</v>
      </c>
      <c r="V1919" t="s">
        <v>41</v>
      </c>
      <c r="W1919" t="s">
        <v>49</v>
      </c>
      <c r="X1919" t="str">
        <f>"0591908"</f>
        <v>0591908</v>
      </c>
      <c r="Y1919" t="s">
        <v>383</v>
      </c>
      <c r="Z1919" t="s">
        <v>380</v>
      </c>
      <c r="AA1919" t="s">
        <v>381</v>
      </c>
      <c r="AB1919" t="s">
        <v>131</v>
      </c>
      <c r="AC1919" t="s">
        <v>51</v>
      </c>
      <c r="AD1919" t="s">
        <v>45</v>
      </c>
      <c r="AE1919" s="1">
        <v>29078</v>
      </c>
      <c r="AF1919">
        <v>2</v>
      </c>
      <c r="AG1919" t="s">
        <v>381</v>
      </c>
      <c r="AH1919" s="36">
        <f t="shared" si="29"/>
        <v>39.94166666666667</v>
      </c>
      <c r="AI1919" s="40" t="s">
        <v>1778</v>
      </c>
    </row>
    <row r="1920" spans="1:35" x14ac:dyDescent="0.25">
      <c r="A1920" s="36">
        <v>99911918</v>
      </c>
      <c r="B1920" s="17" t="s">
        <v>32</v>
      </c>
      <c r="C1920" t="s">
        <v>145</v>
      </c>
      <c r="D1920" t="s">
        <v>146</v>
      </c>
      <c r="G1920" s="17" t="s">
        <v>48</v>
      </c>
      <c r="H1920" s="17">
        <v>1</v>
      </c>
      <c r="K1920" t="s">
        <v>129</v>
      </c>
      <c r="L1920" t="s">
        <v>130</v>
      </c>
      <c r="M1920" t="s">
        <v>131</v>
      </c>
      <c r="N1920">
        <v>23</v>
      </c>
      <c r="O1920" t="s">
        <v>40</v>
      </c>
      <c r="P1920" t="s">
        <v>40</v>
      </c>
      <c r="Q1920" t="s">
        <v>40</v>
      </c>
      <c r="R1920" t="s">
        <v>40</v>
      </c>
      <c r="S1920" t="s">
        <v>40</v>
      </c>
      <c r="V1920" t="s">
        <v>41</v>
      </c>
      <c r="W1920" t="s">
        <v>42</v>
      </c>
      <c r="X1920" t="str">
        <f>"0580715"</f>
        <v>0580715</v>
      </c>
      <c r="Y1920" t="s">
        <v>147</v>
      </c>
      <c r="Z1920" t="s">
        <v>129</v>
      </c>
      <c r="AA1920" t="s">
        <v>130</v>
      </c>
      <c r="AB1920" t="s">
        <v>131</v>
      </c>
      <c r="AC1920" t="s">
        <v>51</v>
      </c>
      <c r="AD1920" t="s">
        <v>45</v>
      </c>
      <c r="AE1920" s="1">
        <v>29076</v>
      </c>
      <c r="AF1920">
        <v>2</v>
      </c>
      <c r="AG1920" t="s">
        <v>130</v>
      </c>
      <c r="AH1920" s="36">
        <f t="shared" si="29"/>
        <v>39.947222222222223</v>
      </c>
      <c r="AI1920" s="40" t="s">
        <v>1778</v>
      </c>
    </row>
    <row r="1921" spans="1:35" x14ac:dyDescent="0.25">
      <c r="A1921" s="36">
        <v>99911919</v>
      </c>
      <c r="B1921" s="17" t="s">
        <v>56</v>
      </c>
      <c r="C1921" t="s">
        <v>46</v>
      </c>
      <c r="D1921" t="s">
        <v>47</v>
      </c>
      <c r="G1921" s="17" t="s">
        <v>48</v>
      </c>
      <c r="H1921" s="17">
        <v>1</v>
      </c>
      <c r="K1921" t="s">
        <v>223</v>
      </c>
      <c r="L1921" t="s">
        <v>224</v>
      </c>
      <c r="M1921" t="s">
        <v>131</v>
      </c>
      <c r="N1921">
        <v>21</v>
      </c>
      <c r="O1921" t="s">
        <v>40</v>
      </c>
      <c r="P1921" t="s">
        <v>40</v>
      </c>
      <c r="Q1921" t="s">
        <v>40</v>
      </c>
      <c r="S1921" t="s">
        <v>40</v>
      </c>
      <c r="V1921" t="s">
        <v>41</v>
      </c>
      <c r="W1921" t="s">
        <v>49</v>
      </c>
      <c r="X1921" t="str">
        <f>"0581200"</f>
        <v>0581200</v>
      </c>
      <c r="Y1921" t="s">
        <v>238</v>
      </c>
      <c r="Z1921" t="s">
        <v>223</v>
      </c>
      <c r="AA1921" t="s">
        <v>224</v>
      </c>
      <c r="AB1921" t="s">
        <v>131</v>
      </c>
      <c r="AC1921" t="s">
        <v>51</v>
      </c>
      <c r="AD1921" t="s">
        <v>45</v>
      </c>
      <c r="AE1921" s="1">
        <v>29075</v>
      </c>
      <c r="AF1921">
        <v>2</v>
      </c>
      <c r="AG1921" t="s">
        <v>224</v>
      </c>
      <c r="AH1921" s="36">
        <f t="shared" si="29"/>
        <v>39.950000000000003</v>
      </c>
      <c r="AI1921" s="40" t="s">
        <v>1778</v>
      </c>
    </row>
    <row r="1922" spans="1:35" x14ac:dyDescent="0.25">
      <c r="A1922" s="36">
        <v>99911920</v>
      </c>
      <c r="B1922" s="17" t="s">
        <v>56</v>
      </c>
      <c r="C1922" t="s">
        <v>79</v>
      </c>
      <c r="D1922" t="s">
        <v>80</v>
      </c>
      <c r="G1922" s="17" t="s">
        <v>35</v>
      </c>
      <c r="H1922" s="17">
        <v>3</v>
      </c>
      <c r="K1922" t="s">
        <v>431</v>
      </c>
      <c r="L1922" t="s">
        <v>196</v>
      </c>
      <c r="M1922" t="s">
        <v>131</v>
      </c>
      <c r="N1922">
        <v>21</v>
      </c>
      <c r="O1922" t="s">
        <v>40</v>
      </c>
      <c r="P1922" t="s">
        <v>40</v>
      </c>
      <c r="Q1922" t="s">
        <v>40</v>
      </c>
      <c r="R1922" t="s">
        <v>40</v>
      </c>
      <c r="S1922" t="s">
        <v>40</v>
      </c>
      <c r="V1922" t="s">
        <v>41</v>
      </c>
      <c r="W1922" t="s">
        <v>75</v>
      </c>
      <c r="X1922" t="str">
        <f>"7521054"</f>
        <v>7521054</v>
      </c>
      <c r="Y1922" t="s">
        <v>476</v>
      </c>
      <c r="Z1922" t="s">
        <v>431</v>
      </c>
      <c r="AA1922" t="s">
        <v>196</v>
      </c>
      <c r="AB1922" t="s">
        <v>131</v>
      </c>
      <c r="AC1922" t="s">
        <v>51</v>
      </c>
      <c r="AD1922" t="s">
        <v>45</v>
      </c>
      <c r="AE1922" s="1">
        <v>29073</v>
      </c>
      <c r="AF1922">
        <v>1</v>
      </c>
      <c r="AG1922" t="s">
        <v>196</v>
      </c>
      <c r="AH1922" s="36">
        <f t="shared" ref="AH1922:AH1985" si="30">($AJ$1-AE1922)/360</f>
        <v>39.955555555555556</v>
      </c>
      <c r="AI1922" s="40" t="s">
        <v>1778</v>
      </c>
    </row>
    <row r="1923" spans="1:35" x14ac:dyDescent="0.25">
      <c r="A1923" s="36">
        <v>99911921</v>
      </c>
      <c r="B1923" s="17" t="s">
        <v>32</v>
      </c>
      <c r="C1923" t="s">
        <v>139</v>
      </c>
      <c r="D1923" t="s">
        <v>140</v>
      </c>
      <c r="G1923" s="17" t="s">
        <v>35</v>
      </c>
      <c r="H1923" s="17">
        <v>1</v>
      </c>
      <c r="K1923" t="s">
        <v>354</v>
      </c>
      <c r="L1923" t="s">
        <v>355</v>
      </c>
      <c r="M1923" t="s">
        <v>131</v>
      </c>
      <c r="N1923">
        <v>6</v>
      </c>
      <c r="O1923" t="s">
        <v>40</v>
      </c>
      <c r="P1923" t="s">
        <v>40</v>
      </c>
      <c r="Q1923" t="s">
        <v>40</v>
      </c>
      <c r="R1923" t="s">
        <v>40</v>
      </c>
      <c r="S1923" t="s">
        <v>40</v>
      </c>
      <c r="V1923" t="s">
        <v>41</v>
      </c>
      <c r="W1923" t="s">
        <v>49</v>
      </c>
      <c r="X1923" t="str">
        <f>"0560004"</f>
        <v>0560004</v>
      </c>
      <c r="Y1923" t="s">
        <v>371</v>
      </c>
      <c r="Z1923" t="s">
        <v>345</v>
      </c>
      <c r="AA1923" t="s">
        <v>346</v>
      </c>
      <c r="AB1923" t="s">
        <v>131</v>
      </c>
      <c r="AC1923" t="s">
        <v>51</v>
      </c>
      <c r="AD1923" t="s">
        <v>45</v>
      </c>
      <c r="AE1923" s="1">
        <v>29069</v>
      </c>
      <c r="AF1923">
        <v>1</v>
      </c>
      <c r="AG1923" t="s">
        <v>355</v>
      </c>
      <c r="AH1923" s="36">
        <f t="shared" si="30"/>
        <v>39.966666666666669</v>
      </c>
      <c r="AI1923" s="40" t="s">
        <v>1778</v>
      </c>
    </row>
    <row r="1924" spans="1:35" x14ac:dyDescent="0.25">
      <c r="A1924" s="36">
        <v>99911922</v>
      </c>
      <c r="B1924" s="17" t="s">
        <v>56</v>
      </c>
      <c r="C1924" t="s">
        <v>58</v>
      </c>
      <c r="D1924" t="s">
        <v>59</v>
      </c>
      <c r="G1924" s="17" t="s">
        <v>48</v>
      </c>
      <c r="H1924" s="17">
        <v>1</v>
      </c>
      <c r="K1924" t="s">
        <v>936</v>
      </c>
      <c r="L1924" t="s">
        <v>937</v>
      </c>
      <c r="M1924" t="s">
        <v>938</v>
      </c>
      <c r="N1924">
        <v>21</v>
      </c>
      <c r="O1924" t="s">
        <v>40</v>
      </c>
      <c r="P1924" t="s">
        <v>40</v>
      </c>
      <c r="Q1924" t="s">
        <v>40</v>
      </c>
      <c r="R1924" t="s">
        <v>40</v>
      </c>
      <c r="S1924" t="s">
        <v>40</v>
      </c>
      <c r="V1924" t="s">
        <v>41</v>
      </c>
      <c r="W1924" t="s">
        <v>42</v>
      </c>
      <c r="X1924" t="str">
        <f>"0161003"</f>
        <v>0161003</v>
      </c>
      <c r="Y1924" t="s">
        <v>942</v>
      </c>
      <c r="Z1924" t="s">
        <v>936</v>
      </c>
      <c r="AA1924" t="s">
        <v>937</v>
      </c>
      <c r="AB1924" t="s">
        <v>938</v>
      </c>
      <c r="AC1924" t="s">
        <v>51</v>
      </c>
      <c r="AD1924" t="s">
        <v>45</v>
      </c>
      <c r="AE1924" s="1">
        <v>29069</v>
      </c>
      <c r="AF1924">
        <v>2</v>
      </c>
      <c r="AG1924" t="s">
        <v>937</v>
      </c>
      <c r="AH1924" s="36">
        <f t="shared" si="30"/>
        <v>39.966666666666669</v>
      </c>
      <c r="AI1924" s="40" t="s">
        <v>1778</v>
      </c>
    </row>
    <row r="1925" spans="1:35" x14ac:dyDescent="0.25">
      <c r="A1925" s="36">
        <v>99911923</v>
      </c>
      <c r="B1925" s="17" t="s">
        <v>32</v>
      </c>
      <c r="C1925" t="s">
        <v>139</v>
      </c>
      <c r="D1925" t="s">
        <v>140</v>
      </c>
      <c r="G1925" s="17" t="s">
        <v>35</v>
      </c>
      <c r="H1925" s="17">
        <v>1</v>
      </c>
      <c r="I1925" s="1">
        <v>43362</v>
      </c>
      <c r="J1925" s="1">
        <v>43344</v>
      </c>
      <c r="K1925" t="s">
        <v>1341</v>
      </c>
      <c r="L1925" t="s">
        <v>1342</v>
      </c>
      <c r="M1925" t="s">
        <v>1270</v>
      </c>
      <c r="N1925">
        <v>4</v>
      </c>
      <c r="O1925" t="s">
        <v>40</v>
      </c>
      <c r="P1925" t="s">
        <v>40</v>
      </c>
      <c r="Q1925" t="s">
        <v>40</v>
      </c>
      <c r="R1925" t="s">
        <v>40</v>
      </c>
      <c r="S1925" t="s">
        <v>40</v>
      </c>
      <c r="U1925" s="1">
        <v>43344</v>
      </c>
      <c r="V1925" t="s">
        <v>41</v>
      </c>
      <c r="W1925" t="s">
        <v>75</v>
      </c>
      <c r="X1925" t="str">
        <f>"7191034"</f>
        <v>7191034</v>
      </c>
      <c r="Y1925" t="s">
        <v>1343</v>
      </c>
      <c r="Z1925" t="s">
        <v>1341</v>
      </c>
      <c r="AA1925" t="s">
        <v>1342</v>
      </c>
      <c r="AB1925" t="s">
        <v>1270</v>
      </c>
      <c r="AC1925" t="s">
        <v>44</v>
      </c>
      <c r="AD1925" t="s">
        <v>45</v>
      </c>
      <c r="AE1925" s="1">
        <v>29068</v>
      </c>
      <c r="AF1925">
        <v>1</v>
      </c>
      <c r="AG1925" t="s">
        <v>1342</v>
      </c>
      <c r="AH1925" s="36">
        <f t="shared" si="30"/>
        <v>39.969444444444441</v>
      </c>
      <c r="AI1925" s="40" t="s">
        <v>1778</v>
      </c>
    </row>
    <row r="1926" spans="1:35" x14ac:dyDescent="0.25">
      <c r="A1926" s="36">
        <v>99911924</v>
      </c>
      <c r="B1926" s="17" t="s">
        <v>32</v>
      </c>
      <c r="C1926" t="s">
        <v>64</v>
      </c>
      <c r="D1926" t="s">
        <v>65</v>
      </c>
      <c r="G1926" s="17" t="s">
        <v>35</v>
      </c>
      <c r="H1926" s="17">
        <v>1</v>
      </c>
      <c r="I1926" s="1">
        <v>42614</v>
      </c>
      <c r="J1926" s="1">
        <v>43344</v>
      </c>
      <c r="K1926" t="s">
        <v>1341</v>
      </c>
      <c r="L1926" t="s">
        <v>1342</v>
      </c>
      <c r="M1926" t="s">
        <v>1270</v>
      </c>
      <c r="N1926">
        <v>24</v>
      </c>
      <c r="O1926" t="s">
        <v>40</v>
      </c>
      <c r="S1926" t="s">
        <v>40</v>
      </c>
      <c r="U1926" s="1">
        <v>43344</v>
      </c>
      <c r="V1926" t="s">
        <v>41</v>
      </c>
      <c r="W1926" t="s">
        <v>75</v>
      </c>
      <c r="X1926" t="str">
        <f>"7191004"</f>
        <v>7191004</v>
      </c>
      <c r="Y1926" t="s">
        <v>1344</v>
      </c>
      <c r="Z1926" t="s">
        <v>1341</v>
      </c>
      <c r="AA1926" t="s">
        <v>1342</v>
      </c>
      <c r="AB1926" t="s">
        <v>1270</v>
      </c>
      <c r="AC1926" t="s">
        <v>51</v>
      </c>
      <c r="AD1926" t="s">
        <v>45</v>
      </c>
      <c r="AE1926" s="1">
        <v>29065</v>
      </c>
      <c r="AF1926">
        <v>1</v>
      </c>
      <c r="AG1926" t="s">
        <v>1342</v>
      </c>
      <c r="AH1926" s="36">
        <f t="shared" si="30"/>
        <v>39.977777777777774</v>
      </c>
      <c r="AI1926" s="40" t="s">
        <v>1778</v>
      </c>
    </row>
    <row r="1927" spans="1:35" x14ac:dyDescent="0.25">
      <c r="A1927" s="36">
        <v>99911925</v>
      </c>
      <c r="B1927" s="17" t="s">
        <v>32</v>
      </c>
      <c r="C1927" t="s">
        <v>46</v>
      </c>
      <c r="D1927" t="s">
        <v>47</v>
      </c>
      <c r="G1927" s="17" t="s">
        <v>35</v>
      </c>
      <c r="H1927" s="17">
        <v>1</v>
      </c>
      <c r="I1927" t="s">
        <v>1559</v>
      </c>
      <c r="J1927" s="1">
        <v>43344</v>
      </c>
      <c r="K1927" t="s">
        <v>1546</v>
      </c>
      <c r="L1927" t="s">
        <v>1547</v>
      </c>
      <c r="M1927" t="s">
        <v>1548</v>
      </c>
      <c r="N1927">
        <v>23</v>
      </c>
      <c r="O1927" t="s">
        <v>40</v>
      </c>
      <c r="P1927" t="s">
        <v>40</v>
      </c>
      <c r="Q1927" t="s">
        <v>40</v>
      </c>
      <c r="R1927" t="s">
        <v>40</v>
      </c>
      <c r="S1927" t="s">
        <v>40</v>
      </c>
      <c r="U1927" s="1">
        <v>43344</v>
      </c>
      <c r="V1927" t="s">
        <v>41</v>
      </c>
      <c r="W1927" t="s">
        <v>42</v>
      </c>
      <c r="X1927" t="str">
        <f>"1061001"</f>
        <v>1061001</v>
      </c>
      <c r="Y1927" t="s">
        <v>1550</v>
      </c>
      <c r="Z1927" t="s">
        <v>1546</v>
      </c>
      <c r="AA1927" t="s">
        <v>1547</v>
      </c>
      <c r="AB1927" t="s">
        <v>1548</v>
      </c>
      <c r="AC1927" t="s">
        <v>44</v>
      </c>
      <c r="AD1927" t="s">
        <v>45</v>
      </c>
      <c r="AE1927" s="1">
        <v>29065</v>
      </c>
      <c r="AF1927">
        <v>2</v>
      </c>
      <c r="AG1927" t="s">
        <v>1547</v>
      </c>
      <c r="AH1927" s="36">
        <f t="shared" si="30"/>
        <v>39.977777777777774</v>
      </c>
      <c r="AI1927" s="40" t="s">
        <v>1778</v>
      </c>
    </row>
    <row r="1928" spans="1:35" x14ac:dyDescent="0.25">
      <c r="A1928" s="36">
        <v>99911926</v>
      </c>
      <c r="B1928" s="17" t="s">
        <v>56</v>
      </c>
      <c r="C1928" t="s">
        <v>46</v>
      </c>
      <c r="D1928" t="s">
        <v>47</v>
      </c>
      <c r="G1928" s="17" t="s">
        <v>48</v>
      </c>
      <c r="H1928" s="17">
        <v>1</v>
      </c>
      <c r="K1928" t="s">
        <v>300</v>
      </c>
      <c r="L1928" t="s">
        <v>301</v>
      </c>
      <c r="M1928" t="s">
        <v>131</v>
      </c>
      <c r="N1928">
        <v>21</v>
      </c>
      <c r="O1928" t="s">
        <v>40</v>
      </c>
      <c r="P1928" t="s">
        <v>40</v>
      </c>
      <c r="Q1928" t="s">
        <v>40</v>
      </c>
      <c r="R1928" t="s">
        <v>40</v>
      </c>
      <c r="S1928" t="s">
        <v>40</v>
      </c>
      <c r="V1928" t="s">
        <v>41</v>
      </c>
      <c r="W1928" t="s">
        <v>49</v>
      </c>
      <c r="X1928" t="str">
        <f>"0560022"</f>
        <v>0560022</v>
      </c>
      <c r="Y1928" t="s">
        <v>314</v>
      </c>
      <c r="Z1928" t="s">
        <v>300</v>
      </c>
      <c r="AA1928" t="s">
        <v>301</v>
      </c>
      <c r="AB1928" t="s">
        <v>131</v>
      </c>
      <c r="AC1928" t="s">
        <v>51</v>
      </c>
      <c r="AD1928" t="s">
        <v>45</v>
      </c>
      <c r="AE1928" s="1">
        <v>29063</v>
      </c>
      <c r="AF1928">
        <v>2</v>
      </c>
      <c r="AG1928" t="s">
        <v>301</v>
      </c>
      <c r="AH1928" s="36">
        <f t="shared" si="30"/>
        <v>39.983333333333334</v>
      </c>
      <c r="AI1928" s="40" t="s">
        <v>1778</v>
      </c>
    </row>
    <row r="1929" spans="1:35" x14ac:dyDescent="0.25">
      <c r="A1929" s="36">
        <v>99911927</v>
      </c>
      <c r="B1929" s="17" t="s">
        <v>56</v>
      </c>
      <c r="C1929" t="s">
        <v>79</v>
      </c>
      <c r="D1929" t="s">
        <v>80</v>
      </c>
      <c r="G1929" s="17" t="s">
        <v>48</v>
      </c>
      <c r="H1929" s="17">
        <v>1</v>
      </c>
      <c r="K1929" t="s">
        <v>1341</v>
      </c>
      <c r="L1929" t="s">
        <v>1342</v>
      </c>
      <c r="M1929" t="s">
        <v>1270</v>
      </c>
      <c r="N1929">
        <v>24</v>
      </c>
      <c r="O1929" t="s">
        <v>40</v>
      </c>
      <c r="P1929" t="s">
        <v>40</v>
      </c>
      <c r="Q1929" t="s">
        <v>40</v>
      </c>
      <c r="R1929" t="s">
        <v>40</v>
      </c>
      <c r="S1929" t="s">
        <v>40</v>
      </c>
      <c r="V1929" t="s">
        <v>41</v>
      </c>
      <c r="W1929" t="s">
        <v>75</v>
      </c>
      <c r="X1929" t="str">
        <f>"7191036"</f>
        <v>7191036</v>
      </c>
      <c r="Y1929" t="s">
        <v>1348</v>
      </c>
      <c r="Z1929" t="s">
        <v>1341</v>
      </c>
      <c r="AA1929" t="s">
        <v>1342</v>
      </c>
      <c r="AB1929" t="s">
        <v>1270</v>
      </c>
      <c r="AC1929" t="s">
        <v>165</v>
      </c>
      <c r="AD1929" t="s">
        <v>45</v>
      </c>
      <c r="AE1929" s="1">
        <v>29063</v>
      </c>
      <c r="AF1929">
        <v>1</v>
      </c>
      <c r="AG1929" t="s">
        <v>1342</v>
      </c>
      <c r="AH1929" s="36">
        <f t="shared" si="30"/>
        <v>39.983333333333334</v>
      </c>
      <c r="AI1929" s="40" t="s">
        <v>1778</v>
      </c>
    </row>
    <row r="1930" spans="1:35" x14ac:dyDescent="0.25">
      <c r="A1930" s="36">
        <v>99911928</v>
      </c>
      <c r="B1930" s="17" t="s">
        <v>32</v>
      </c>
      <c r="C1930" t="s">
        <v>90</v>
      </c>
      <c r="D1930" t="s">
        <v>91</v>
      </c>
      <c r="G1930" s="17" t="s">
        <v>35</v>
      </c>
      <c r="H1930" s="17">
        <v>1</v>
      </c>
      <c r="K1930" t="s">
        <v>1725</v>
      </c>
      <c r="L1930" t="s">
        <v>1726</v>
      </c>
      <c r="M1930" t="s">
        <v>1705</v>
      </c>
      <c r="N1930">
        <v>25</v>
      </c>
      <c r="O1930" t="s">
        <v>40</v>
      </c>
      <c r="P1930" t="s">
        <v>40</v>
      </c>
      <c r="Q1930" t="s">
        <v>40</v>
      </c>
      <c r="R1930" t="s">
        <v>40</v>
      </c>
      <c r="S1930" t="s">
        <v>40</v>
      </c>
      <c r="V1930" t="s">
        <v>41</v>
      </c>
      <c r="W1930" t="s">
        <v>95</v>
      </c>
      <c r="X1930" t="str">
        <f>"7461027"</f>
        <v>7461027</v>
      </c>
      <c r="Y1930" t="s">
        <v>1738</v>
      </c>
      <c r="Z1930" t="s">
        <v>1725</v>
      </c>
      <c r="AA1930" t="s">
        <v>1726</v>
      </c>
      <c r="AB1930" t="s">
        <v>1705</v>
      </c>
      <c r="AC1930" t="s">
        <v>51</v>
      </c>
      <c r="AD1930" t="s">
        <v>45</v>
      </c>
      <c r="AE1930" s="1">
        <v>29062</v>
      </c>
      <c r="AF1930">
        <v>1</v>
      </c>
      <c r="AG1930" t="s">
        <v>1726</v>
      </c>
      <c r="AH1930" s="36">
        <f t="shared" si="30"/>
        <v>39.986111111111114</v>
      </c>
      <c r="AI1930" s="40" t="s">
        <v>1778</v>
      </c>
    </row>
    <row r="1931" spans="1:35" x14ac:dyDescent="0.25">
      <c r="A1931" s="36">
        <v>99911929</v>
      </c>
      <c r="B1931" s="17" t="s">
        <v>32</v>
      </c>
      <c r="C1931" t="s">
        <v>46</v>
      </c>
      <c r="D1931" t="s">
        <v>47</v>
      </c>
      <c r="G1931" s="17" t="s">
        <v>35</v>
      </c>
      <c r="H1931" s="17">
        <v>1</v>
      </c>
      <c r="K1931" t="s">
        <v>380</v>
      </c>
      <c r="L1931" t="s">
        <v>381</v>
      </c>
      <c r="M1931" t="s">
        <v>131</v>
      </c>
      <c r="N1931">
        <v>11</v>
      </c>
      <c r="O1931" t="s">
        <v>40</v>
      </c>
      <c r="P1931" t="s">
        <v>40</v>
      </c>
      <c r="Q1931" t="s">
        <v>40</v>
      </c>
      <c r="R1931" t="s">
        <v>40</v>
      </c>
      <c r="S1931" t="s">
        <v>40</v>
      </c>
      <c r="V1931" t="s">
        <v>41</v>
      </c>
      <c r="W1931" t="s">
        <v>49</v>
      </c>
      <c r="X1931" t="str">
        <f>"0591909"</f>
        <v>0591909</v>
      </c>
      <c r="Y1931" t="s">
        <v>385</v>
      </c>
      <c r="Z1931" t="s">
        <v>380</v>
      </c>
      <c r="AA1931" t="s">
        <v>381</v>
      </c>
      <c r="AB1931" t="s">
        <v>131</v>
      </c>
      <c r="AC1931" t="s">
        <v>55</v>
      </c>
      <c r="AD1931" t="s">
        <v>45</v>
      </c>
      <c r="AE1931" s="1">
        <v>29061</v>
      </c>
      <c r="AF1931">
        <v>2</v>
      </c>
      <c r="AG1931" t="s">
        <v>381</v>
      </c>
      <c r="AH1931" s="36">
        <f t="shared" si="30"/>
        <v>39.988888888888887</v>
      </c>
      <c r="AI1931" s="40" t="s">
        <v>1778</v>
      </c>
    </row>
    <row r="1932" spans="1:35" x14ac:dyDescent="0.25">
      <c r="A1932" s="36">
        <v>99911930</v>
      </c>
      <c r="B1932" s="17" t="s">
        <v>56</v>
      </c>
      <c r="C1932" t="s">
        <v>79</v>
      </c>
      <c r="D1932" t="s">
        <v>80</v>
      </c>
      <c r="G1932" s="17" t="s">
        <v>48</v>
      </c>
      <c r="H1932" s="17">
        <v>1</v>
      </c>
      <c r="K1932" t="s">
        <v>1051</v>
      </c>
      <c r="L1932" t="s">
        <v>1052</v>
      </c>
      <c r="M1932" t="s">
        <v>1053</v>
      </c>
      <c r="N1932">
        <v>11</v>
      </c>
      <c r="O1932" t="s">
        <v>40</v>
      </c>
      <c r="P1932" t="s">
        <v>40</v>
      </c>
      <c r="Q1932" t="s">
        <v>40</v>
      </c>
      <c r="R1932" t="s">
        <v>40</v>
      </c>
      <c r="S1932" t="s">
        <v>40</v>
      </c>
      <c r="V1932" t="s">
        <v>41</v>
      </c>
      <c r="W1932" t="s">
        <v>49</v>
      </c>
      <c r="X1932" t="str">
        <f>"2060004"</f>
        <v>2060004</v>
      </c>
      <c r="Y1932" t="s">
        <v>1059</v>
      </c>
      <c r="Z1932" t="s">
        <v>1051</v>
      </c>
      <c r="AA1932" t="s">
        <v>1052</v>
      </c>
      <c r="AB1932" t="s">
        <v>1053</v>
      </c>
      <c r="AC1932" t="s">
        <v>51</v>
      </c>
      <c r="AD1932" t="s">
        <v>45</v>
      </c>
      <c r="AE1932" s="1">
        <v>29060</v>
      </c>
      <c r="AF1932">
        <v>2</v>
      </c>
      <c r="AG1932" t="s">
        <v>1052</v>
      </c>
      <c r="AH1932" s="36">
        <f t="shared" si="30"/>
        <v>39.991666666666667</v>
      </c>
      <c r="AI1932" s="40" t="s">
        <v>1778</v>
      </c>
    </row>
    <row r="1933" spans="1:35" x14ac:dyDescent="0.25">
      <c r="A1933" s="36">
        <v>99911931</v>
      </c>
      <c r="B1933" s="17" t="s">
        <v>32</v>
      </c>
      <c r="C1933" t="s">
        <v>64</v>
      </c>
      <c r="D1933" t="s">
        <v>65</v>
      </c>
      <c r="G1933" s="17" t="s">
        <v>48</v>
      </c>
      <c r="H1933" s="17">
        <v>1</v>
      </c>
      <c r="K1933" t="s">
        <v>1268</v>
      </c>
      <c r="L1933" t="s">
        <v>1269</v>
      </c>
      <c r="M1933" t="s">
        <v>1270</v>
      </c>
      <c r="N1933">
        <v>21</v>
      </c>
      <c r="O1933" t="s">
        <v>40</v>
      </c>
      <c r="P1933" t="s">
        <v>40</v>
      </c>
      <c r="Q1933" t="s">
        <v>40</v>
      </c>
      <c r="R1933" t="s">
        <v>40</v>
      </c>
      <c r="S1933" t="s">
        <v>40</v>
      </c>
      <c r="V1933" t="s">
        <v>41</v>
      </c>
      <c r="W1933" t="s">
        <v>42</v>
      </c>
      <c r="X1933" t="str">
        <f>"1990911"</f>
        <v>1990911</v>
      </c>
      <c r="Y1933" t="s">
        <v>1276</v>
      </c>
      <c r="Z1933" t="s">
        <v>1268</v>
      </c>
      <c r="AA1933" t="s">
        <v>1269</v>
      </c>
      <c r="AB1933" t="s">
        <v>1270</v>
      </c>
      <c r="AC1933" t="s">
        <v>165</v>
      </c>
      <c r="AD1933" t="s">
        <v>45</v>
      </c>
      <c r="AE1933" s="1">
        <v>29060</v>
      </c>
      <c r="AF1933">
        <v>2</v>
      </c>
      <c r="AG1933" t="s">
        <v>1269</v>
      </c>
      <c r="AH1933" s="36">
        <f t="shared" si="30"/>
        <v>39.991666666666667</v>
      </c>
      <c r="AI1933" s="40" t="s">
        <v>1778</v>
      </c>
    </row>
    <row r="1934" spans="1:35" x14ac:dyDescent="0.25">
      <c r="A1934" s="36">
        <v>99911932</v>
      </c>
      <c r="B1934" s="17" t="s">
        <v>32</v>
      </c>
      <c r="C1934" t="s">
        <v>111</v>
      </c>
      <c r="D1934" t="s">
        <v>112</v>
      </c>
      <c r="G1934" s="17" t="s">
        <v>48</v>
      </c>
      <c r="H1934" s="17">
        <v>1</v>
      </c>
      <c r="K1934" t="s">
        <v>268</v>
      </c>
      <c r="L1934" t="s">
        <v>269</v>
      </c>
      <c r="M1934" t="s">
        <v>131</v>
      </c>
      <c r="N1934">
        <v>23</v>
      </c>
      <c r="O1934" t="s">
        <v>40</v>
      </c>
      <c r="P1934" t="s">
        <v>40</v>
      </c>
      <c r="Q1934" t="s">
        <v>40</v>
      </c>
      <c r="R1934" t="s">
        <v>40</v>
      </c>
      <c r="S1934" t="s">
        <v>40</v>
      </c>
      <c r="V1934" t="s">
        <v>41</v>
      </c>
      <c r="W1934" t="s">
        <v>75</v>
      </c>
      <c r="X1934" t="str">
        <f>"7052034"</f>
        <v>7052034</v>
      </c>
      <c r="Y1934" t="s">
        <v>604</v>
      </c>
      <c r="Z1934" t="s">
        <v>268</v>
      </c>
      <c r="AA1934" t="s">
        <v>269</v>
      </c>
      <c r="AB1934" t="s">
        <v>131</v>
      </c>
      <c r="AC1934" t="s">
        <v>51</v>
      </c>
      <c r="AD1934" t="s">
        <v>45</v>
      </c>
      <c r="AE1934" s="1">
        <v>29059</v>
      </c>
      <c r="AF1934">
        <v>1</v>
      </c>
      <c r="AG1934" t="s">
        <v>269</v>
      </c>
      <c r="AH1934" s="36">
        <f t="shared" si="30"/>
        <v>39.994444444444447</v>
      </c>
      <c r="AI1934" s="40" t="s">
        <v>1778</v>
      </c>
    </row>
    <row r="1935" spans="1:35" x14ac:dyDescent="0.25">
      <c r="A1935" s="36">
        <v>99911933</v>
      </c>
      <c r="B1935" s="17" t="s">
        <v>56</v>
      </c>
      <c r="C1935" t="s">
        <v>58</v>
      </c>
      <c r="D1935" t="s">
        <v>59</v>
      </c>
      <c r="G1935" s="17" t="s">
        <v>48</v>
      </c>
      <c r="H1935" s="17">
        <v>1</v>
      </c>
      <c r="K1935" t="s">
        <v>1613</v>
      </c>
      <c r="L1935" t="s">
        <v>1614</v>
      </c>
      <c r="M1935" t="s">
        <v>1592</v>
      </c>
      <c r="N1935">
        <v>7</v>
      </c>
      <c r="O1935" t="s">
        <v>40</v>
      </c>
      <c r="P1935" t="s">
        <v>40</v>
      </c>
      <c r="Q1935" t="s">
        <v>40</v>
      </c>
      <c r="R1935" t="s">
        <v>40</v>
      </c>
      <c r="S1935" t="s">
        <v>40</v>
      </c>
      <c r="V1935" t="s">
        <v>41</v>
      </c>
      <c r="W1935" t="s">
        <v>42</v>
      </c>
      <c r="X1935" t="str">
        <f>"2861001"</f>
        <v>2861001</v>
      </c>
      <c r="Y1935" t="s">
        <v>1621</v>
      </c>
      <c r="Z1935" t="s">
        <v>1613</v>
      </c>
      <c r="AA1935" t="s">
        <v>1614</v>
      </c>
      <c r="AB1935" t="s">
        <v>1592</v>
      </c>
      <c r="AC1935" t="s">
        <v>51</v>
      </c>
      <c r="AD1935" t="s">
        <v>45</v>
      </c>
      <c r="AE1935" s="1">
        <v>29055</v>
      </c>
      <c r="AF1935">
        <v>2</v>
      </c>
      <c r="AG1935" t="s">
        <v>1614</v>
      </c>
      <c r="AH1935" s="36">
        <f t="shared" si="30"/>
        <v>40.005555555555553</v>
      </c>
      <c r="AI1935" s="40" t="s">
        <v>1778</v>
      </c>
    </row>
    <row r="1936" spans="1:35" x14ac:dyDescent="0.25">
      <c r="A1936" s="36">
        <v>99911934</v>
      </c>
      <c r="B1936" s="17" t="s">
        <v>56</v>
      </c>
      <c r="C1936" t="s">
        <v>52</v>
      </c>
      <c r="D1936" t="s">
        <v>53</v>
      </c>
      <c r="G1936" s="17" t="s">
        <v>35</v>
      </c>
      <c r="H1936" s="17">
        <v>1</v>
      </c>
      <c r="I1936">
        <v>19765</v>
      </c>
      <c r="J1936" s="1">
        <v>43433</v>
      </c>
      <c r="K1936" t="s">
        <v>157</v>
      </c>
      <c r="L1936" t="s">
        <v>158</v>
      </c>
      <c r="M1936" t="s">
        <v>131</v>
      </c>
      <c r="N1936">
        <v>6</v>
      </c>
      <c r="O1936" t="s">
        <v>40</v>
      </c>
      <c r="S1936" t="s">
        <v>40</v>
      </c>
      <c r="U1936" s="1">
        <v>43433</v>
      </c>
      <c r="V1936" t="s">
        <v>41</v>
      </c>
      <c r="W1936" t="s">
        <v>42</v>
      </c>
      <c r="X1936" t="str">
        <f>"0561005"</f>
        <v>0561005</v>
      </c>
      <c r="Y1936" t="s">
        <v>174</v>
      </c>
      <c r="Z1936" t="s">
        <v>157</v>
      </c>
      <c r="AA1936" t="s">
        <v>158</v>
      </c>
      <c r="AB1936" t="s">
        <v>131</v>
      </c>
      <c r="AC1936" t="s">
        <v>44</v>
      </c>
      <c r="AD1936" t="s">
        <v>45</v>
      </c>
      <c r="AE1936" s="1">
        <v>29053</v>
      </c>
      <c r="AF1936">
        <v>2</v>
      </c>
      <c r="AG1936" t="s">
        <v>158</v>
      </c>
      <c r="AH1936" s="36">
        <f t="shared" si="30"/>
        <v>40.011111111111113</v>
      </c>
      <c r="AI1936" s="40" t="s">
        <v>1778</v>
      </c>
    </row>
    <row r="1937" spans="1:35" x14ac:dyDescent="0.25">
      <c r="A1937" s="36">
        <v>99911935</v>
      </c>
      <c r="B1937" s="17" t="s">
        <v>56</v>
      </c>
      <c r="C1937" t="s">
        <v>61</v>
      </c>
      <c r="D1937" t="s">
        <v>62</v>
      </c>
      <c r="G1937" s="17" t="s">
        <v>35</v>
      </c>
      <c r="H1937" s="17">
        <v>1</v>
      </c>
      <c r="K1937" t="s">
        <v>223</v>
      </c>
      <c r="L1937" t="s">
        <v>224</v>
      </c>
      <c r="M1937" t="s">
        <v>131</v>
      </c>
      <c r="N1937">
        <v>23</v>
      </c>
      <c r="O1937" t="s">
        <v>40</v>
      </c>
      <c r="P1937" t="s">
        <v>40</v>
      </c>
      <c r="Q1937" t="s">
        <v>40</v>
      </c>
      <c r="S1937" t="s">
        <v>40</v>
      </c>
      <c r="V1937" t="s">
        <v>41</v>
      </c>
      <c r="W1937" t="s">
        <v>42</v>
      </c>
      <c r="X1937" t="str">
        <f>"0580345"</f>
        <v>0580345</v>
      </c>
      <c r="Y1937" t="s">
        <v>261</v>
      </c>
      <c r="Z1937" t="s">
        <v>223</v>
      </c>
      <c r="AA1937" t="s">
        <v>224</v>
      </c>
      <c r="AB1937" t="s">
        <v>131</v>
      </c>
      <c r="AC1937" t="s">
        <v>51</v>
      </c>
      <c r="AD1937" t="s">
        <v>45</v>
      </c>
      <c r="AE1937" s="1">
        <v>29051</v>
      </c>
      <c r="AF1937">
        <v>2</v>
      </c>
      <c r="AG1937" t="s">
        <v>224</v>
      </c>
      <c r="AH1937" s="36">
        <f t="shared" si="30"/>
        <v>40.016666666666666</v>
      </c>
      <c r="AI1937" s="40" t="s">
        <v>1778</v>
      </c>
    </row>
    <row r="1938" spans="1:35" x14ac:dyDescent="0.25">
      <c r="A1938" s="36">
        <v>99911936</v>
      </c>
      <c r="B1938" s="17" t="s">
        <v>32</v>
      </c>
      <c r="C1938" t="s">
        <v>82</v>
      </c>
      <c r="D1938" t="s">
        <v>83</v>
      </c>
      <c r="G1938" s="17" t="s">
        <v>35</v>
      </c>
      <c r="H1938" s="17">
        <v>1</v>
      </c>
      <c r="K1938" t="s">
        <v>300</v>
      </c>
      <c r="L1938" t="s">
        <v>301</v>
      </c>
      <c r="M1938" t="s">
        <v>131</v>
      </c>
      <c r="N1938">
        <v>24</v>
      </c>
      <c r="O1938" t="s">
        <v>40</v>
      </c>
      <c r="P1938" t="s">
        <v>40</v>
      </c>
      <c r="Q1938" t="s">
        <v>40</v>
      </c>
      <c r="R1938" t="s">
        <v>40</v>
      </c>
      <c r="S1938" t="s">
        <v>40</v>
      </c>
      <c r="V1938" t="s">
        <v>41</v>
      </c>
      <c r="W1938" t="s">
        <v>42</v>
      </c>
      <c r="X1938" t="str">
        <f>"0580457"</f>
        <v>0580457</v>
      </c>
      <c r="Y1938" t="s">
        <v>310</v>
      </c>
      <c r="Z1938" t="s">
        <v>300</v>
      </c>
      <c r="AA1938" t="s">
        <v>301</v>
      </c>
      <c r="AB1938" t="s">
        <v>131</v>
      </c>
      <c r="AC1938" t="s">
        <v>51</v>
      </c>
      <c r="AD1938" t="s">
        <v>45</v>
      </c>
      <c r="AE1938" s="1">
        <v>29051</v>
      </c>
      <c r="AF1938">
        <v>2</v>
      </c>
      <c r="AG1938" t="s">
        <v>301</v>
      </c>
      <c r="AH1938" s="36">
        <f t="shared" si="30"/>
        <v>40.016666666666666</v>
      </c>
      <c r="AI1938" s="40" t="s">
        <v>1778</v>
      </c>
    </row>
    <row r="1939" spans="1:35" x14ac:dyDescent="0.25">
      <c r="A1939" s="36">
        <v>99911937</v>
      </c>
      <c r="B1939" s="17" t="s">
        <v>32</v>
      </c>
      <c r="C1939" t="s">
        <v>139</v>
      </c>
      <c r="D1939" t="s">
        <v>140</v>
      </c>
      <c r="G1939" s="17" t="s">
        <v>35</v>
      </c>
      <c r="H1939" s="17">
        <v>1</v>
      </c>
      <c r="I1939">
        <v>0</v>
      </c>
      <c r="J1939" s="1">
        <v>43344</v>
      </c>
      <c r="K1939" t="s">
        <v>985</v>
      </c>
      <c r="L1939" t="s">
        <v>986</v>
      </c>
      <c r="M1939" t="s">
        <v>938</v>
      </c>
      <c r="N1939">
        <v>19</v>
      </c>
      <c r="O1939" t="s">
        <v>40</v>
      </c>
      <c r="P1939" t="s">
        <v>40</v>
      </c>
      <c r="Q1939" t="s">
        <v>40</v>
      </c>
      <c r="R1939" t="s">
        <v>40</v>
      </c>
      <c r="S1939" t="s">
        <v>40</v>
      </c>
      <c r="U1939" s="1">
        <v>43344</v>
      </c>
      <c r="V1939" t="s">
        <v>41</v>
      </c>
      <c r="W1939" t="s">
        <v>75</v>
      </c>
      <c r="X1939" t="str">
        <f>"7011000"</f>
        <v>7011000</v>
      </c>
      <c r="Y1939" t="s">
        <v>989</v>
      </c>
      <c r="Z1939" t="s">
        <v>985</v>
      </c>
      <c r="AA1939" t="s">
        <v>986</v>
      </c>
      <c r="AB1939" t="s">
        <v>938</v>
      </c>
      <c r="AC1939" t="s">
        <v>51</v>
      </c>
      <c r="AD1939" t="s">
        <v>45</v>
      </c>
      <c r="AE1939" s="1">
        <v>29051</v>
      </c>
      <c r="AF1939">
        <v>1</v>
      </c>
      <c r="AG1939" t="s">
        <v>986</v>
      </c>
      <c r="AH1939" s="36">
        <f t="shared" si="30"/>
        <v>40.016666666666666</v>
      </c>
      <c r="AI1939" s="40" t="s">
        <v>1778</v>
      </c>
    </row>
    <row r="1940" spans="1:35" x14ac:dyDescent="0.25">
      <c r="A1940" s="36">
        <v>99911938</v>
      </c>
      <c r="B1940" s="17" t="s">
        <v>32</v>
      </c>
      <c r="C1940" t="s">
        <v>188</v>
      </c>
      <c r="D1940" t="s">
        <v>189</v>
      </c>
      <c r="G1940" s="17" t="s">
        <v>35</v>
      </c>
      <c r="H1940" s="17">
        <v>1</v>
      </c>
      <c r="I1940">
        <v>18264</v>
      </c>
      <c r="J1940" s="1">
        <v>43344</v>
      </c>
      <c r="K1940" t="s">
        <v>223</v>
      </c>
      <c r="L1940" t="s">
        <v>224</v>
      </c>
      <c r="M1940" t="s">
        <v>131</v>
      </c>
      <c r="N1940">
        <v>4</v>
      </c>
      <c r="O1940" t="s">
        <v>40</v>
      </c>
      <c r="S1940" t="s">
        <v>40</v>
      </c>
      <c r="U1940" s="1">
        <v>43344</v>
      </c>
      <c r="V1940" t="s">
        <v>41</v>
      </c>
      <c r="W1940" t="s">
        <v>49</v>
      </c>
      <c r="X1940" t="str">
        <f>"0560008"</f>
        <v>0560008</v>
      </c>
      <c r="Y1940" t="s">
        <v>263</v>
      </c>
      <c r="Z1940" t="s">
        <v>223</v>
      </c>
      <c r="AA1940" t="s">
        <v>224</v>
      </c>
      <c r="AB1940" t="s">
        <v>131</v>
      </c>
      <c r="AC1940" t="s">
        <v>44</v>
      </c>
      <c r="AD1940" t="s">
        <v>45</v>
      </c>
      <c r="AE1940" s="1">
        <v>29047</v>
      </c>
      <c r="AF1940">
        <v>2</v>
      </c>
      <c r="AG1940" t="s">
        <v>224</v>
      </c>
      <c r="AH1940" s="36">
        <f t="shared" si="30"/>
        <v>40.027777777777779</v>
      </c>
      <c r="AI1940" s="40" t="s">
        <v>1778</v>
      </c>
    </row>
    <row r="1941" spans="1:35" x14ac:dyDescent="0.25">
      <c r="A1941" s="36">
        <v>99911939</v>
      </c>
      <c r="B1941" s="17" t="s">
        <v>32</v>
      </c>
      <c r="C1941" t="s">
        <v>90</v>
      </c>
      <c r="D1941" t="s">
        <v>91</v>
      </c>
      <c r="G1941" s="17" t="s">
        <v>35</v>
      </c>
      <c r="H1941" s="17">
        <v>1</v>
      </c>
      <c r="I1941">
        <v>14596</v>
      </c>
      <c r="J1941" s="1">
        <v>43344</v>
      </c>
      <c r="K1941" t="s">
        <v>354</v>
      </c>
      <c r="L1941" t="s">
        <v>355</v>
      </c>
      <c r="M1941" t="s">
        <v>131</v>
      </c>
      <c r="N1941">
        <v>24</v>
      </c>
      <c r="O1941" t="s">
        <v>40</v>
      </c>
      <c r="P1941" t="s">
        <v>40</v>
      </c>
      <c r="Q1941" t="s">
        <v>40</v>
      </c>
      <c r="R1941" t="s">
        <v>40</v>
      </c>
      <c r="S1941" t="s">
        <v>40</v>
      </c>
      <c r="U1941" s="1">
        <v>43344</v>
      </c>
      <c r="V1941" t="s">
        <v>41</v>
      </c>
      <c r="W1941" t="s">
        <v>75</v>
      </c>
      <c r="X1941" t="str">
        <f>"7054006"</f>
        <v>7054006</v>
      </c>
      <c r="Y1941" t="s">
        <v>774</v>
      </c>
      <c r="Z1941" t="s">
        <v>354</v>
      </c>
      <c r="AA1941" t="s">
        <v>355</v>
      </c>
      <c r="AB1941" t="s">
        <v>131</v>
      </c>
      <c r="AC1941" t="s">
        <v>51</v>
      </c>
      <c r="AD1941" t="s">
        <v>45</v>
      </c>
      <c r="AE1941" s="1">
        <v>29047</v>
      </c>
      <c r="AF1941">
        <v>1</v>
      </c>
      <c r="AG1941" t="s">
        <v>355</v>
      </c>
      <c r="AH1941" s="36">
        <f t="shared" si="30"/>
        <v>40.027777777777779</v>
      </c>
      <c r="AI1941" s="40" t="s">
        <v>1778</v>
      </c>
    </row>
    <row r="1942" spans="1:35" x14ac:dyDescent="0.25">
      <c r="A1942" s="36">
        <v>99911940</v>
      </c>
      <c r="B1942" s="17" t="s">
        <v>32</v>
      </c>
      <c r="C1942" t="s">
        <v>46</v>
      </c>
      <c r="D1942" t="s">
        <v>47</v>
      </c>
      <c r="G1942" s="17" t="s">
        <v>35</v>
      </c>
      <c r="H1942" s="17">
        <v>1</v>
      </c>
      <c r="K1942" t="s">
        <v>223</v>
      </c>
      <c r="L1942" t="s">
        <v>224</v>
      </c>
      <c r="M1942" t="s">
        <v>131</v>
      </c>
      <c r="N1942">
        <v>23</v>
      </c>
      <c r="O1942" t="s">
        <v>40</v>
      </c>
      <c r="P1942" t="s">
        <v>40</v>
      </c>
      <c r="Q1942" t="s">
        <v>40</v>
      </c>
      <c r="R1942" t="s">
        <v>40</v>
      </c>
      <c r="S1942" t="s">
        <v>40</v>
      </c>
      <c r="V1942" t="s">
        <v>41</v>
      </c>
      <c r="W1942" t="s">
        <v>49</v>
      </c>
      <c r="X1942" t="str">
        <f>"0591901"</f>
        <v>0591901</v>
      </c>
      <c r="Y1942" t="s">
        <v>230</v>
      </c>
      <c r="Z1942" t="s">
        <v>223</v>
      </c>
      <c r="AA1942" t="s">
        <v>224</v>
      </c>
      <c r="AB1942" t="s">
        <v>131</v>
      </c>
      <c r="AC1942" t="s">
        <v>51</v>
      </c>
      <c r="AD1942" t="s">
        <v>45</v>
      </c>
      <c r="AE1942" s="1">
        <v>29043</v>
      </c>
      <c r="AF1942">
        <v>2</v>
      </c>
      <c r="AG1942" t="s">
        <v>224</v>
      </c>
      <c r="AH1942" s="36">
        <f t="shared" si="30"/>
        <v>40.038888888888891</v>
      </c>
      <c r="AI1942" s="40" t="s">
        <v>1778</v>
      </c>
    </row>
    <row r="1943" spans="1:35" x14ac:dyDescent="0.25">
      <c r="A1943" s="36">
        <v>99911941</v>
      </c>
      <c r="B1943" s="17" t="s">
        <v>56</v>
      </c>
      <c r="C1943" t="s">
        <v>68</v>
      </c>
      <c r="D1943" t="s">
        <v>69</v>
      </c>
      <c r="G1943" s="17" t="s">
        <v>35</v>
      </c>
      <c r="H1943" s="17">
        <v>1</v>
      </c>
      <c r="K1943" t="s">
        <v>1546</v>
      </c>
      <c r="L1943" t="s">
        <v>1547</v>
      </c>
      <c r="M1943" t="s">
        <v>1548</v>
      </c>
      <c r="N1943">
        <v>13</v>
      </c>
      <c r="O1943" t="s">
        <v>40</v>
      </c>
      <c r="P1943" t="s">
        <v>40</v>
      </c>
      <c r="Q1943" t="s">
        <v>40</v>
      </c>
      <c r="R1943" t="s">
        <v>40</v>
      </c>
      <c r="S1943" t="s">
        <v>40</v>
      </c>
      <c r="V1943" t="s">
        <v>41</v>
      </c>
      <c r="W1943" t="s">
        <v>42</v>
      </c>
      <c r="X1943" t="str">
        <f>"1080010"</f>
        <v>1080010</v>
      </c>
      <c r="Y1943" t="s">
        <v>1549</v>
      </c>
      <c r="Z1943" t="s">
        <v>1546</v>
      </c>
      <c r="AA1943" t="s">
        <v>1547</v>
      </c>
      <c r="AB1943" t="s">
        <v>1548</v>
      </c>
      <c r="AC1943" t="s">
        <v>51</v>
      </c>
      <c r="AD1943" t="s">
        <v>45</v>
      </c>
      <c r="AE1943" s="1">
        <v>29043</v>
      </c>
      <c r="AF1943">
        <v>2</v>
      </c>
      <c r="AG1943" t="s">
        <v>1547</v>
      </c>
      <c r="AH1943" s="36">
        <f t="shared" si="30"/>
        <v>40.038888888888891</v>
      </c>
      <c r="AI1943" s="40" t="s">
        <v>1778</v>
      </c>
    </row>
    <row r="1944" spans="1:35" x14ac:dyDescent="0.25">
      <c r="A1944" s="36">
        <v>99911942</v>
      </c>
      <c r="B1944" s="17" t="s">
        <v>32</v>
      </c>
      <c r="C1944" t="s">
        <v>90</v>
      </c>
      <c r="D1944" t="s">
        <v>91</v>
      </c>
      <c r="G1944" s="17" t="s">
        <v>35</v>
      </c>
      <c r="H1944" s="17">
        <v>1</v>
      </c>
      <c r="I1944" t="s">
        <v>872</v>
      </c>
      <c r="J1944" s="1">
        <v>43344</v>
      </c>
      <c r="K1944" t="s">
        <v>865</v>
      </c>
      <c r="L1944" t="s">
        <v>866</v>
      </c>
      <c r="M1944" t="s">
        <v>131</v>
      </c>
      <c r="N1944">
        <v>25</v>
      </c>
      <c r="O1944" t="s">
        <v>40</v>
      </c>
      <c r="S1944" t="s">
        <v>40</v>
      </c>
      <c r="U1944" s="1">
        <v>43344</v>
      </c>
      <c r="V1944" t="s">
        <v>41</v>
      </c>
      <c r="W1944" t="s">
        <v>95</v>
      </c>
      <c r="X1944" t="str">
        <f>"7531009"</f>
        <v>7531009</v>
      </c>
      <c r="Y1944" t="s">
        <v>873</v>
      </c>
      <c r="Z1944" t="s">
        <v>865</v>
      </c>
      <c r="AA1944" t="s">
        <v>866</v>
      </c>
      <c r="AB1944" t="s">
        <v>131</v>
      </c>
      <c r="AC1944" t="s">
        <v>51</v>
      </c>
      <c r="AD1944" t="s">
        <v>45</v>
      </c>
      <c r="AE1944" s="1">
        <v>29036</v>
      </c>
      <c r="AF1944">
        <v>1</v>
      </c>
      <c r="AG1944" t="s">
        <v>866</v>
      </c>
      <c r="AH1944" s="36">
        <f t="shared" si="30"/>
        <v>40.05833333333333</v>
      </c>
      <c r="AI1944" s="40" t="s">
        <v>1778</v>
      </c>
    </row>
    <row r="1945" spans="1:35" x14ac:dyDescent="0.25">
      <c r="A1945" s="36">
        <v>99911943</v>
      </c>
      <c r="B1945" s="17" t="s">
        <v>56</v>
      </c>
      <c r="C1945" t="s">
        <v>79</v>
      </c>
      <c r="D1945" t="s">
        <v>80</v>
      </c>
      <c r="G1945" s="17" t="s">
        <v>48</v>
      </c>
      <c r="H1945" s="17">
        <v>5</v>
      </c>
      <c r="K1945" t="s">
        <v>345</v>
      </c>
      <c r="L1945" t="s">
        <v>346</v>
      </c>
      <c r="M1945" t="s">
        <v>131</v>
      </c>
      <c r="N1945">
        <v>21</v>
      </c>
      <c r="O1945" t="s">
        <v>40</v>
      </c>
      <c r="P1945" t="s">
        <v>40</v>
      </c>
      <c r="Q1945" t="s">
        <v>40</v>
      </c>
      <c r="R1945" t="s">
        <v>40</v>
      </c>
      <c r="S1945" t="s">
        <v>40</v>
      </c>
      <c r="V1945" t="s">
        <v>41</v>
      </c>
      <c r="W1945" t="s">
        <v>49</v>
      </c>
      <c r="X1945" t="str">
        <f>"0591906"</f>
        <v>0591906</v>
      </c>
      <c r="Y1945" t="s">
        <v>350</v>
      </c>
      <c r="Z1945" t="s">
        <v>345</v>
      </c>
      <c r="AA1945" t="s">
        <v>346</v>
      </c>
      <c r="AB1945" t="s">
        <v>131</v>
      </c>
      <c r="AC1945" t="s">
        <v>51</v>
      </c>
      <c r="AD1945" t="s">
        <v>45</v>
      </c>
      <c r="AE1945" s="1">
        <v>29032</v>
      </c>
      <c r="AF1945">
        <v>2</v>
      </c>
      <c r="AG1945" t="s">
        <v>346</v>
      </c>
      <c r="AH1945" s="36">
        <f t="shared" si="30"/>
        <v>40.069444444444443</v>
      </c>
      <c r="AI1945" s="40" t="s">
        <v>1778</v>
      </c>
    </row>
    <row r="1946" spans="1:35" x14ac:dyDescent="0.25">
      <c r="A1946" s="36">
        <v>99911944</v>
      </c>
      <c r="B1946" s="17" t="s">
        <v>32</v>
      </c>
      <c r="C1946" t="s">
        <v>46</v>
      </c>
      <c r="D1946" t="s">
        <v>47</v>
      </c>
      <c r="G1946" s="17" t="s">
        <v>48</v>
      </c>
      <c r="H1946" s="17">
        <v>1</v>
      </c>
      <c r="K1946" t="s">
        <v>300</v>
      </c>
      <c r="L1946" t="s">
        <v>301</v>
      </c>
      <c r="M1946" t="s">
        <v>131</v>
      </c>
      <c r="N1946">
        <v>12</v>
      </c>
      <c r="O1946" t="s">
        <v>40</v>
      </c>
      <c r="P1946" t="s">
        <v>40</v>
      </c>
      <c r="Q1946" t="s">
        <v>40</v>
      </c>
      <c r="R1946" t="s">
        <v>40</v>
      </c>
      <c r="S1946" t="s">
        <v>40</v>
      </c>
      <c r="V1946" t="s">
        <v>41</v>
      </c>
      <c r="W1946" t="s">
        <v>42</v>
      </c>
      <c r="X1946" t="str">
        <f>"0580175"</f>
        <v>0580175</v>
      </c>
      <c r="Y1946" t="s">
        <v>303</v>
      </c>
      <c r="Z1946" t="s">
        <v>300</v>
      </c>
      <c r="AA1946" t="s">
        <v>301</v>
      </c>
      <c r="AB1946" t="s">
        <v>131</v>
      </c>
      <c r="AC1946" t="s">
        <v>51</v>
      </c>
      <c r="AD1946" t="s">
        <v>45</v>
      </c>
      <c r="AE1946" s="1">
        <v>29031</v>
      </c>
      <c r="AF1946">
        <v>2</v>
      </c>
      <c r="AG1946" t="s">
        <v>301</v>
      </c>
      <c r="AH1946" s="36">
        <f t="shared" si="30"/>
        <v>40.072222222222223</v>
      </c>
      <c r="AI1946" s="40" t="s">
        <v>1778</v>
      </c>
    </row>
    <row r="1947" spans="1:35" x14ac:dyDescent="0.25">
      <c r="A1947" s="36">
        <v>99911945</v>
      </c>
      <c r="B1947" s="17" t="s">
        <v>56</v>
      </c>
      <c r="C1947" t="s">
        <v>82</v>
      </c>
      <c r="D1947" t="s">
        <v>83</v>
      </c>
      <c r="G1947" s="17" t="s">
        <v>48</v>
      </c>
      <c r="H1947" s="17">
        <v>1</v>
      </c>
      <c r="K1947" t="s">
        <v>1268</v>
      </c>
      <c r="L1947" t="s">
        <v>1269</v>
      </c>
      <c r="M1947" t="s">
        <v>1270</v>
      </c>
      <c r="N1947">
        <v>21</v>
      </c>
      <c r="O1947" t="s">
        <v>40</v>
      </c>
      <c r="P1947" t="s">
        <v>40</v>
      </c>
      <c r="Q1947" t="s">
        <v>40</v>
      </c>
      <c r="S1947" t="s">
        <v>40</v>
      </c>
      <c r="V1947" t="s">
        <v>41</v>
      </c>
      <c r="W1947" t="s">
        <v>42</v>
      </c>
      <c r="X1947" t="str">
        <f>"1980050"</f>
        <v>1980050</v>
      </c>
      <c r="Y1947" t="s">
        <v>1278</v>
      </c>
      <c r="Z1947" t="s">
        <v>1268</v>
      </c>
      <c r="AA1947" t="s">
        <v>1269</v>
      </c>
      <c r="AB1947" t="s">
        <v>1270</v>
      </c>
      <c r="AC1947" t="s">
        <v>51</v>
      </c>
      <c r="AD1947" t="s">
        <v>45</v>
      </c>
      <c r="AE1947" s="1">
        <v>29031</v>
      </c>
      <c r="AF1947">
        <v>2</v>
      </c>
      <c r="AG1947" t="s">
        <v>1269</v>
      </c>
      <c r="AH1947" s="36">
        <f t="shared" si="30"/>
        <v>40.072222222222223</v>
      </c>
      <c r="AI1947" s="40" t="s">
        <v>1778</v>
      </c>
    </row>
    <row r="1948" spans="1:35" x14ac:dyDescent="0.25">
      <c r="A1948" s="36">
        <v>99911946</v>
      </c>
      <c r="B1948" s="17" t="s">
        <v>32</v>
      </c>
      <c r="C1948" t="s">
        <v>71</v>
      </c>
      <c r="D1948" t="s">
        <v>72</v>
      </c>
      <c r="G1948" s="17" t="s">
        <v>35</v>
      </c>
      <c r="H1948" s="17">
        <v>1</v>
      </c>
      <c r="K1948" t="s">
        <v>345</v>
      </c>
      <c r="L1948" t="s">
        <v>346</v>
      </c>
      <c r="M1948" t="s">
        <v>131</v>
      </c>
      <c r="N1948">
        <v>23</v>
      </c>
      <c r="O1948" t="s">
        <v>40</v>
      </c>
      <c r="P1948" t="s">
        <v>40</v>
      </c>
      <c r="Q1948" t="s">
        <v>40</v>
      </c>
      <c r="S1948" t="s">
        <v>40</v>
      </c>
      <c r="V1948" t="s">
        <v>41</v>
      </c>
      <c r="W1948" t="s">
        <v>49</v>
      </c>
      <c r="X1948" t="str">
        <f>"0560007"</f>
        <v>0560007</v>
      </c>
      <c r="Y1948" t="s">
        <v>357</v>
      </c>
      <c r="Z1948" t="s">
        <v>345</v>
      </c>
      <c r="AA1948" t="s">
        <v>346</v>
      </c>
      <c r="AB1948" t="s">
        <v>131</v>
      </c>
      <c r="AC1948" t="s">
        <v>51</v>
      </c>
      <c r="AD1948" t="s">
        <v>45</v>
      </c>
      <c r="AE1948" s="1">
        <v>29029</v>
      </c>
      <c r="AF1948">
        <v>2</v>
      </c>
      <c r="AG1948" t="s">
        <v>346</v>
      </c>
      <c r="AH1948" s="36">
        <f t="shared" si="30"/>
        <v>40.077777777777776</v>
      </c>
      <c r="AI1948" s="40" t="s">
        <v>1778</v>
      </c>
    </row>
    <row r="1949" spans="1:35" x14ac:dyDescent="0.25">
      <c r="A1949" s="36">
        <v>99911947</v>
      </c>
      <c r="B1949" s="17" t="s">
        <v>32</v>
      </c>
      <c r="C1949" t="s">
        <v>90</v>
      </c>
      <c r="D1949" t="s">
        <v>91</v>
      </c>
      <c r="G1949" s="17" t="s">
        <v>35</v>
      </c>
      <c r="H1949" s="17">
        <v>1</v>
      </c>
      <c r="I1949" t="s">
        <v>1349</v>
      </c>
      <c r="J1949" s="1">
        <v>43344</v>
      </c>
      <c r="K1949" t="s">
        <v>1341</v>
      </c>
      <c r="L1949" t="s">
        <v>1342</v>
      </c>
      <c r="M1949" t="s">
        <v>1270</v>
      </c>
      <c r="N1949">
        <v>24</v>
      </c>
      <c r="O1949" t="s">
        <v>40</v>
      </c>
      <c r="S1949" t="s">
        <v>40</v>
      </c>
      <c r="U1949" s="1">
        <v>43344</v>
      </c>
      <c r="V1949" t="s">
        <v>41</v>
      </c>
      <c r="W1949" t="s">
        <v>95</v>
      </c>
      <c r="X1949" t="str">
        <f>"7191057"</f>
        <v>7191057</v>
      </c>
      <c r="Y1949" t="s">
        <v>1409</v>
      </c>
      <c r="Z1949" t="s">
        <v>1341</v>
      </c>
      <c r="AA1949" t="s">
        <v>1342</v>
      </c>
      <c r="AB1949" t="s">
        <v>1270</v>
      </c>
      <c r="AC1949" t="s">
        <v>51</v>
      </c>
      <c r="AD1949" t="s">
        <v>45</v>
      </c>
      <c r="AE1949" s="1">
        <v>29027</v>
      </c>
      <c r="AF1949">
        <v>1</v>
      </c>
      <c r="AG1949" t="s">
        <v>1342</v>
      </c>
      <c r="AH1949" s="36">
        <f t="shared" si="30"/>
        <v>40.083333333333336</v>
      </c>
      <c r="AI1949" s="40" t="s">
        <v>1778</v>
      </c>
    </row>
    <row r="1950" spans="1:35" x14ac:dyDescent="0.25">
      <c r="A1950" s="36">
        <v>99911948</v>
      </c>
      <c r="B1950" s="17" t="s">
        <v>32</v>
      </c>
      <c r="C1950" t="s">
        <v>46</v>
      </c>
      <c r="D1950" t="s">
        <v>47</v>
      </c>
      <c r="G1950" s="17" t="s">
        <v>48</v>
      </c>
      <c r="H1950" s="17">
        <v>1</v>
      </c>
      <c r="K1950" t="s">
        <v>380</v>
      </c>
      <c r="L1950" t="s">
        <v>381</v>
      </c>
      <c r="M1950" t="s">
        <v>131</v>
      </c>
      <c r="N1950">
        <v>21</v>
      </c>
      <c r="O1950" t="s">
        <v>40</v>
      </c>
      <c r="P1950" t="s">
        <v>40</v>
      </c>
      <c r="Q1950" t="s">
        <v>40</v>
      </c>
      <c r="S1950" t="s">
        <v>40</v>
      </c>
      <c r="V1950" t="s">
        <v>41</v>
      </c>
      <c r="W1950" t="s">
        <v>49</v>
      </c>
      <c r="X1950" t="str">
        <f>"0581575"</f>
        <v>0581575</v>
      </c>
      <c r="Y1950" t="s">
        <v>392</v>
      </c>
      <c r="Z1950" t="s">
        <v>380</v>
      </c>
      <c r="AA1950" t="s">
        <v>381</v>
      </c>
      <c r="AB1950" t="s">
        <v>131</v>
      </c>
      <c r="AC1950" t="s">
        <v>51</v>
      </c>
      <c r="AD1950" t="s">
        <v>45</v>
      </c>
      <c r="AE1950" s="1">
        <v>29026</v>
      </c>
      <c r="AF1950">
        <v>2</v>
      </c>
      <c r="AG1950" t="s">
        <v>381</v>
      </c>
      <c r="AH1950" s="36">
        <f t="shared" si="30"/>
        <v>40.086111111111109</v>
      </c>
      <c r="AI1950" s="40" t="s">
        <v>1778</v>
      </c>
    </row>
    <row r="1951" spans="1:35" x14ac:dyDescent="0.25">
      <c r="A1951" s="36">
        <v>99911949</v>
      </c>
      <c r="B1951" s="17" t="s">
        <v>56</v>
      </c>
      <c r="C1951" t="s">
        <v>52</v>
      </c>
      <c r="D1951" t="s">
        <v>53</v>
      </c>
      <c r="G1951" s="17" t="s">
        <v>48</v>
      </c>
      <c r="H1951" s="17">
        <v>1</v>
      </c>
      <c r="K1951" t="s">
        <v>223</v>
      </c>
      <c r="L1951" t="s">
        <v>224</v>
      </c>
      <c r="M1951" t="s">
        <v>131</v>
      </c>
      <c r="N1951">
        <v>21</v>
      </c>
      <c r="O1951" t="s">
        <v>40</v>
      </c>
      <c r="P1951" t="s">
        <v>40</v>
      </c>
      <c r="Q1951" t="s">
        <v>40</v>
      </c>
      <c r="R1951" t="s">
        <v>40</v>
      </c>
      <c r="S1951" t="s">
        <v>40</v>
      </c>
      <c r="V1951" t="s">
        <v>41</v>
      </c>
      <c r="W1951" t="s">
        <v>42</v>
      </c>
      <c r="X1951" t="str">
        <f>"0580207"</f>
        <v>0580207</v>
      </c>
      <c r="Y1951" t="s">
        <v>229</v>
      </c>
      <c r="Z1951" t="s">
        <v>223</v>
      </c>
      <c r="AA1951" t="s">
        <v>224</v>
      </c>
      <c r="AB1951" t="s">
        <v>131</v>
      </c>
      <c r="AC1951" t="s">
        <v>51</v>
      </c>
      <c r="AD1951" t="s">
        <v>45</v>
      </c>
      <c r="AE1951" s="1">
        <v>29025</v>
      </c>
      <c r="AF1951">
        <v>2</v>
      </c>
      <c r="AG1951" t="s">
        <v>224</v>
      </c>
      <c r="AH1951" s="36">
        <f t="shared" si="30"/>
        <v>40.088888888888889</v>
      </c>
      <c r="AI1951" s="40" t="s">
        <v>1778</v>
      </c>
    </row>
    <row r="1952" spans="1:35" x14ac:dyDescent="0.25">
      <c r="A1952" s="36">
        <v>99911950</v>
      </c>
      <c r="B1952" s="17" t="s">
        <v>32</v>
      </c>
      <c r="C1952" t="s">
        <v>111</v>
      </c>
      <c r="D1952" t="s">
        <v>112</v>
      </c>
      <c r="G1952" s="17" t="s">
        <v>48</v>
      </c>
      <c r="H1952" s="17">
        <v>1</v>
      </c>
      <c r="K1952" t="s">
        <v>268</v>
      </c>
      <c r="L1952" t="s">
        <v>269</v>
      </c>
      <c r="M1952" t="s">
        <v>131</v>
      </c>
      <c r="N1952">
        <v>22</v>
      </c>
      <c r="O1952" t="s">
        <v>40</v>
      </c>
      <c r="P1952" t="s">
        <v>40</v>
      </c>
      <c r="Q1952" t="s">
        <v>40</v>
      </c>
      <c r="S1952" t="s">
        <v>40</v>
      </c>
      <c r="V1952" t="s">
        <v>41</v>
      </c>
      <c r="W1952" t="s">
        <v>75</v>
      </c>
      <c r="X1952" t="str">
        <f>"7052016"</f>
        <v>7052016</v>
      </c>
      <c r="Y1952" t="s">
        <v>588</v>
      </c>
      <c r="Z1952" t="s">
        <v>268</v>
      </c>
      <c r="AA1952" t="s">
        <v>269</v>
      </c>
      <c r="AB1952" t="s">
        <v>131</v>
      </c>
      <c r="AC1952" t="s">
        <v>51</v>
      </c>
      <c r="AD1952" t="s">
        <v>45</v>
      </c>
      <c r="AE1952" s="1">
        <v>29025</v>
      </c>
      <c r="AF1952">
        <v>1</v>
      </c>
      <c r="AG1952" t="s">
        <v>269</v>
      </c>
      <c r="AH1952" s="36">
        <f t="shared" si="30"/>
        <v>40.088888888888889</v>
      </c>
      <c r="AI1952" s="40" t="s">
        <v>1778</v>
      </c>
    </row>
    <row r="1953" spans="1:35" x14ac:dyDescent="0.25">
      <c r="A1953" s="36">
        <v>99911951</v>
      </c>
      <c r="B1953" s="17" t="s">
        <v>56</v>
      </c>
      <c r="C1953" t="s">
        <v>46</v>
      </c>
      <c r="D1953" t="s">
        <v>47</v>
      </c>
      <c r="G1953" s="17" t="s">
        <v>35</v>
      </c>
      <c r="H1953" s="17">
        <v>1</v>
      </c>
      <c r="K1953" t="s">
        <v>947</v>
      </c>
      <c r="L1953" t="s">
        <v>948</v>
      </c>
      <c r="M1953" t="s">
        <v>938</v>
      </c>
      <c r="N1953">
        <v>20</v>
      </c>
      <c r="O1953" t="s">
        <v>40</v>
      </c>
      <c r="P1953" t="s">
        <v>40</v>
      </c>
      <c r="Q1953" t="s">
        <v>40</v>
      </c>
      <c r="R1953" t="s">
        <v>40</v>
      </c>
      <c r="S1953" t="s">
        <v>40</v>
      </c>
      <c r="V1953" t="s">
        <v>41</v>
      </c>
      <c r="W1953" t="s">
        <v>49</v>
      </c>
      <c r="X1953" t="str">
        <f>"0645053"</f>
        <v>0645053</v>
      </c>
      <c r="Y1953" t="s">
        <v>957</v>
      </c>
      <c r="Z1953" t="s">
        <v>947</v>
      </c>
      <c r="AA1953" t="s">
        <v>948</v>
      </c>
      <c r="AB1953" t="s">
        <v>938</v>
      </c>
      <c r="AC1953" t="s">
        <v>51</v>
      </c>
      <c r="AD1953" t="s">
        <v>45</v>
      </c>
      <c r="AE1953" s="1">
        <v>29024</v>
      </c>
      <c r="AF1953">
        <v>2</v>
      </c>
      <c r="AG1953" t="s">
        <v>948</v>
      </c>
      <c r="AH1953" s="36">
        <f t="shared" si="30"/>
        <v>40.091666666666669</v>
      </c>
      <c r="AI1953" s="40" t="s">
        <v>1778</v>
      </c>
    </row>
    <row r="1954" spans="1:35" x14ac:dyDescent="0.25">
      <c r="A1954" s="36">
        <v>99911952</v>
      </c>
      <c r="B1954" s="17" t="s">
        <v>56</v>
      </c>
      <c r="C1954" t="s">
        <v>71</v>
      </c>
      <c r="D1954" t="s">
        <v>72</v>
      </c>
      <c r="G1954" s="17" t="s">
        <v>48</v>
      </c>
      <c r="H1954" s="17">
        <v>1</v>
      </c>
      <c r="K1954" t="s">
        <v>985</v>
      </c>
      <c r="L1954" t="s">
        <v>986</v>
      </c>
      <c r="M1954" t="s">
        <v>938</v>
      </c>
      <c r="N1954">
        <v>13</v>
      </c>
      <c r="O1954" t="s">
        <v>40</v>
      </c>
      <c r="P1954" t="s">
        <v>40</v>
      </c>
      <c r="Q1954" t="s">
        <v>40</v>
      </c>
      <c r="R1954" t="s">
        <v>40</v>
      </c>
      <c r="S1954" t="s">
        <v>40</v>
      </c>
      <c r="V1954" t="s">
        <v>41</v>
      </c>
      <c r="W1954" t="s">
        <v>75</v>
      </c>
      <c r="X1954" t="str">
        <f>"7011000"</f>
        <v>7011000</v>
      </c>
      <c r="Y1954" t="s">
        <v>989</v>
      </c>
      <c r="Z1954" t="s">
        <v>985</v>
      </c>
      <c r="AA1954" t="s">
        <v>986</v>
      </c>
      <c r="AB1954" t="s">
        <v>938</v>
      </c>
      <c r="AC1954" t="s">
        <v>51</v>
      </c>
      <c r="AD1954" t="s">
        <v>45</v>
      </c>
      <c r="AE1954" s="1">
        <v>29024</v>
      </c>
      <c r="AF1954">
        <v>1</v>
      </c>
      <c r="AG1954" t="s">
        <v>986</v>
      </c>
      <c r="AH1954" s="36">
        <f t="shared" si="30"/>
        <v>40.091666666666669</v>
      </c>
      <c r="AI1954" s="40" t="s">
        <v>1778</v>
      </c>
    </row>
    <row r="1955" spans="1:35" x14ac:dyDescent="0.25">
      <c r="A1955" s="36">
        <v>99911953</v>
      </c>
      <c r="B1955" s="17" t="s">
        <v>32</v>
      </c>
      <c r="C1955" t="s">
        <v>139</v>
      </c>
      <c r="D1955" t="s">
        <v>140</v>
      </c>
      <c r="G1955" s="17" t="s">
        <v>35</v>
      </c>
      <c r="H1955" s="17">
        <v>1</v>
      </c>
      <c r="I1955">
        <v>11039</v>
      </c>
      <c r="J1955" s="1">
        <v>43344</v>
      </c>
      <c r="K1955" t="s">
        <v>1051</v>
      </c>
      <c r="L1955" t="s">
        <v>1052</v>
      </c>
      <c r="M1955" t="s">
        <v>1053</v>
      </c>
      <c r="N1955">
        <v>12</v>
      </c>
      <c r="O1955" t="s">
        <v>40</v>
      </c>
      <c r="P1955" t="s">
        <v>40</v>
      </c>
      <c r="Q1955" t="s">
        <v>40</v>
      </c>
      <c r="S1955" t="s">
        <v>40</v>
      </c>
      <c r="U1955" s="1">
        <v>43344</v>
      </c>
      <c r="V1955" t="s">
        <v>41</v>
      </c>
      <c r="W1955" t="s">
        <v>49</v>
      </c>
      <c r="X1955" t="str">
        <f>"2060004"</f>
        <v>2060004</v>
      </c>
      <c r="Y1955" t="s">
        <v>1059</v>
      </c>
      <c r="Z1955" t="s">
        <v>1051</v>
      </c>
      <c r="AA1955" t="s">
        <v>1052</v>
      </c>
      <c r="AB1955" t="s">
        <v>1053</v>
      </c>
      <c r="AC1955" t="s">
        <v>44</v>
      </c>
      <c r="AD1955" t="s">
        <v>45</v>
      </c>
      <c r="AE1955" s="1">
        <v>29024</v>
      </c>
      <c r="AF1955">
        <v>2</v>
      </c>
      <c r="AG1955" t="s">
        <v>1052</v>
      </c>
      <c r="AH1955" s="36">
        <f t="shared" si="30"/>
        <v>40.091666666666669</v>
      </c>
      <c r="AI1955" s="40" t="s">
        <v>1778</v>
      </c>
    </row>
    <row r="1956" spans="1:35" x14ac:dyDescent="0.25">
      <c r="A1956" s="36">
        <v>99911954</v>
      </c>
      <c r="B1956" s="17" t="s">
        <v>32</v>
      </c>
      <c r="C1956" t="s">
        <v>90</v>
      </c>
      <c r="D1956" t="s">
        <v>91</v>
      </c>
      <c r="G1956" s="17" t="s">
        <v>35</v>
      </c>
      <c r="H1956" s="17">
        <v>1</v>
      </c>
      <c r="K1956" t="s">
        <v>1198</v>
      </c>
      <c r="L1956" t="s">
        <v>1199</v>
      </c>
      <c r="M1956" t="s">
        <v>1130</v>
      </c>
      <c r="N1956">
        <v>25</v>
      </c>
      <c r="O1956" t="s">
        <v>40</v>
      </c>
      <c r="P1956" t="s">
        <v>40</v>
      </c>
      <c r="Q1956" t="s">
        <v>40</v>
      </c>
      <c r="S1956" t="s">
        <v>40</v>
      </c>
      <c r="V1956" t="s">
        <v>41</v>
      </c>
      <c r="W1956" t="s">
        <v>95</v>
      </c>
      <c r="X1956" t="str">
        <f>"7311027"</f>
        <v>7311027</v>
      </c>
      <c r="Y1956" t="s">
        <v>1216</v>
      </c>
      <c r="Z1956" t="s">
        <v>1198</v>
      </c>
      <c r="AA1956" t="s">
        <v>1199</v>
      </c>
      <c r="AB1956" t="s">
        <v>1130</v>
      </c>
      <c r="AC1956" t="s">
        <v>51</v>
      </c>
      <c r="AD1956" t="s">
        <v>45</v>
      </c>
      <c r="AE1956" s="1">
        <v>29024</v>
      </c>
      <c r="AF1956">
        <v>1</v>
      </c>
      <c r="AG1956" t="s">
        <v>1199</v>
      </c>
      <c r="AH1956" s="36">
        <f t="shared" si="30"/>
        <v>40.091666666666669</v>
      </c>
      <c r="AI1956" s="40" t="s">
        <v>1778</v>
      </c>
    </row>
    <row r="1957" spans="1:35" x14ac:dyDescent="0.25">
      <c r="A1957" s="36">
        <v>99911955</v>
      </c>
      <c r="B1957" s="17" t="s">
        <v>32</v>
      </c>
      <c r="C1957" t="s">
        <v>46</v>
      </c>
      <c r="D1957" t="s">
        <v>47</v>
      </c>
      <c r="G1957" s="17" t="s">
        <v>48</v>
      </c>
      <c r="H1957" s="17">
        <v>1</v>
      </c>
      <c r="K1957" t="s">
        <v>223</v>
      </c>
      <c r="L1957" t="s">
        <v>224</v>
      </c>
      <c r="M1957" t="s">
        <v>131</v>
      </c>
      <c r="N1957">
        <v>20</v>
      </c>
      <c r="O1957" t="s">
        <v>40</v>
      </c>
      <c r="P1957" t="s">
        <v>40</v>
      </c>
      <c r="Q1957" t="s">
        <v>40</v>
      </c>
      <c r="R1957" t="s">
        <v>40</v>
      </c>
      <c r="S1957" t="s">
        <v>40</v>
      </c>
      <c r="V1957" t="s">
        <v>41</v>
      </c>
      <c r="W1957" t="s">
        <v>42</v>
      </c>
      <c r="X1957" t="str">
        <f>"0580206"</f>
        <v>0580206</v>
      </c>
      <c r="Y1957" t="s">
        <v>237</v>
      </c>
      <c r="Z1957" t="s">
        <v>223</v>
      </c>
      <c r="AA1957" t="s">
        <v>224</v>
      </c>
      <c r="AB1957" t="s">
        <v>131</v>
      </c>
      <c r="AC1957" t="s">
        <v>51</v>
      </c>
      <c r="AD1957" t="s">
        <v>45</v>
      </c>
      <c r="AE1957" s="1">
        <v>29022</v>
      </c>
      <c r="AF1957">
        <v>2</v>
      </c>
      <c r="AG1957" t="s">
        <v>224</v>
      </c>
      <c r="AH1957" s="36">
        <f t="shared" si="30"/>
        <v>40.097222222222221</v>
      </c>
      <c r="AI1957" s="40" t="s">
        <v>1778</v>
      </c>
    </row>
    <row r="1958" spans="1:35" x14ac:dyDescent="0.25">
      <c r="A1958" s="36">
        <v>99911956</v>
      </c>
      <c r="B1958" s="17" t="s">
        <v>56</v>
      </c>
      <c r="C1958" t="s">
        <v>68</v>
      </c>
      <c r="D1958" t="s">
        <v>69</v>
      </c>
      <c r="G1958" s="17" t="s">
        <v>35</v>
      </c>
      <c r="H1958" s="17">
        <v>1</v>
      </c>
      <c r="K1958" t="s">
        <v>223</v>
      </c>
      <c r="L1958" t="s">
        <v>224</v>
      </c>
      <c r="M1958" t="s">
        <v>131</v>
      </c>
      <c r="N1958">
        <v>21</v>
      </c>
      <c r="O1958" t="s">
        <v>40</v>
      </c>
      <c r="P1958" t="s">
        <v>40</v>
      </c>
      <c r="Q1958" t="s">
        <v>40</v>
      </c>
      <c r="S1958" t="s">
        <v>40</v>
      </c>
      <c r="V1958" t="s">
        <v>41</v>
      </c>
      <c r="W1958" t="s">
        <v>49</v>
      </c>
      <c r="X1958" t="str">
        <f>"0591907"</f>
        <v>0591907</v>
      </c>
      <c r="Y1958" t="s">
        <v>243</v>
      </c>
      <c r="Z1958" t="s">
        <v>223</v>
      </c>
      <c r="AA1958" t="s">
        <v>224</v>
      </c>
      <c r="AB1958" t="s">
        <v>131</v>
      </c>
      <c r="AC1958" t="s">
        <v>51</v>
      </c>
      <c r="AD1958" t="s">
        <v>45</v>
      </c>
      <c r="AE1958" s="1">
        <v>29022</v>
      </c>
      <c r="AF1958">
        <v>2</v>
      </c>
      <c r="AG1958" t="s">
        <v>224</v>
      </c>
      <c r="AH1958" s="36">
        <f t="shared" si="30"/>
        <v>40.097222222222221</v>
      </c>
      <c r="AI1958" s="40" t="s">
        <v>1778</v>
      </c>
    </row>
    <row r="1959" spans="1:35" x14ac:dyDescent="0.25">
      <c r="A1959" s="36">
        <v>99911957</v>
      </c>
      <c r="B1959" s="17" t="s">
        <v>56</v>
      </c>
      <c r="C1959" t="s">
        <v>61</v>
      </c>
      <c r="D1959" t="s">
        <v>62</v>
      </c>
      <c r="G1959" s="17" t="s">
        <v>48</v>
      </c>
      <c r="H1959" s="17">
        <v>5</v>
      </c>
      <c r="K1959" t="s">
        <v>1128</v>
      </c>
      <c r="L1959" t="s">
        <v>1129</v>
      </c>
      <c r="M1959" t="s">
        <v>1130</v>
      </c>
      <c r="N1959">
        <v>21</v>
      </c>
      <c r="O1959" t="s">
        <v>40</v>
      </c>
      <c r="P1959" t="s">
        <v>40</v>
      </c>
      <c r="Q1959" t="s">
        <v>40</v>
      </c>
      <c r="R1959" t="s">
        <v>40</v>
      </c>
      <c r="S1959" t="s">
        <v>40</v>
      </c>
      <c r="V1959" t="s">
        <v>41</v>
      </c>
      <c r="W1959" t="s">
        <v>42</v>
      </c>
      <c r="X1959" t="str">
        <f>"3180015"</f>
        <v>3180015</v>
      </c>
      <c r="Y1959" t="s">
        <v>1139</v>
      </c>
      <c r="Z1959" t="s">
        <v>1128</v>
      </c>
      <c r="AA1959" t="s">
        <v>1129</v>
      </c>
      <c r="AB1959" t="s">
        <v>1130</v>
      </c>
      <c r="AC1959" t="s">
        <v>51</v>
      </c>
      <c r="AD1959" t="s">
        <v>45</v>
      </c>
      <c r="AE1959" s="1">
        <v>29022</v>
      </c>
      <c r="AF1959">
        <v>2</v>
      </c>
      <c r="AG1959" t="s">
        <v>1129</v>
      </c>
      <c r="AH1959" s="36">
        <f t="shared" si="30"/>
        <v>40.097222222222221</v>
      </c>
      <c r="AI1959" s="40" t="s">
        <v>1778</v>
      </c>
    </row>
    <row r="1960" spans="1:35" x14ac:dyDescent="0.25">
      <c r="A1960" s="36">
        <v>99911958</v>
      </c>
      <c r="B1960" s="17" t="s">
        <v>56</v>
      </c>
      <c r="C1960" t="s">
        <v>141</v>
      </c>
      <c r="D1960" t="s">
        <v>142</v>
      </c>
      <c r="G1960" s="17" t="s">
        <v>35</v>
      </c>
      <c r="H1960" s="17">
        <v>1</v>
      </c>
      <c r="I1960">
        <v>12562</v>
      </c>
      <c r="J1960" s="1">
        <v>43344</v>
      </c>
      <c r="K1960" t="s">
        <v>354</v>
      </c>
      <c r="L1960" t="s">
        <v>355</v>
      </c>
      <c r="M1960" t="s">
        <v>131</v>
      </c>
      <c r="N1960">
        <v>15</v>
      </c>
      <c r="O1960" t="s">
        <v>40</v>
      </c>
      <c r="P1960" t="s">
        <v>40</v>
      </c>
      <c r="Q1960" t="s">
        <v>40</v>
      </c>
      <c r="R1960" t="s">
        <v>40</v>
      </c>
      <c r="S1960" t="s">
        <v>40</v>
      </c>
      <c r="U1960" s="1">
        <v>43344</v>
      </c>
      <c r="V1960" t="s">
        <v>41</v>
      </c>
      <c r="W1960" t="s">
        <v>75</v>
      </c>
      <c r="X1960" t="str">
        <f>"7054038"</f>
        <v>7054038</v>
      </c>
      <c r="Y1960" t="s">
        <v>377</v>
      </c>
      <c r="Z1960" t="s">
        <v>354</v>
      </c>
      <c r="AA1960" t="s">
        <v>355</v>
      </c>
      <c r="AB1960" t="s">
        <v>131</v>
      </c>
      <c r="AC1960" t="s">
        <v>51</v>
      </c>
      <c r="AD1960" t="s">
        <v>45</v>
      </c>
      <c r="AE1960" s="1">
        <v>29021</v>
      </c>
      <c r="AF1960">
        <v>1</v>
      </c>
      <c r="AG1960" t="s">
        <v>355</v>
      </c>
      <c r="AH1960" s="36">
        <f t="shared" si="30"/>
        <v>40.1</v>
      </c>
      <c r="AI1960" s="40" t="s">
        <v>1778</v>
      </c>
    </row>
    <row r="1961" spans="1:35" x14ac:dyDescent="0.25">
      <c r="A1961" s="36">
        <v>99911959</v>
      </c>
      <c r="B1961" s="17" t="s">
        <v>32</v>
      </c>
      <c r="C1961" t="s">
        <v>64</v>
      </c>
      <c r="D1961" t="s">
        <v>65</v>
      </c>
      <c r="G1961" s="17" t="s">
        <v>35</v>
      </c>
      <c r="H1961" s="17">
        <v>3</v>
      </c>
      <c r="I1961" s="1">
        <v>42625</v>
      </c>
      <c r="J1961" s="1">
        <v>43344</v>
      </c>
      <c r="K1961" t="s">
        <v>129</v>
      </c>
      <c r="L1961" t="s">
        <v>130</v>
      </c>
      <c r="M1961" t="s">
        <v>131</v>
      </c>
      <c r="N1961">
        <v>10</v>
      </c>
      <c r="O1961" t="s">
        <v>40</v>
      </c>
      <c r="P1961" t="s">
        <v>40</v>
      </c>
      <c r="Q1961" t="s">
        <v>40</v>
      </c>
      <c r="R1961" t="s">
        <v>40</v>
      </c>
      <c r="S1961" t="s">
        <v>40</v>
      </c>
      <c r="U1961" s="1">
        <v>43344</v>
      </c>
      <c r="V1961" t="s">
        <v>41</v>
      </c>
      <c r="W1961" t="s">
        <v>49</v>
      </c>
      <c r="X1961" t="str">
        <f>"0580150"</f>
        <v>0580150</v>
      </c>
      <c r="Y1961" t="s">
        <v>134</v>
      </c>
      <c r="Z1961" t="s">
        <v>129</v>
      </c>
      <c r="AA1961" t="s">
        <v>130</v>
      </c>
      <c r="AB1961" t="s">
        <v>131</v>
      </c>
      <c r="AC1961" t="s">
        <v>51</v>
      </c>
      <c r="AD1961" t="s">
        <v>45</v>
      </c>
      <c r="AE1961" s="1">
        <v>29012</v>
      </c>
      <c r="AF1961">
        <v>2</v>
      </c>
      <c r="AG1961" t="s">
        <v>130</v>
      </c>
      <c r="AH1961" s="36">
        <f t="shared" si="30"/>
        <v>40.125</v>
      </c>
      <c r="AI1961" s="40" t="s">
        <v>1778</v>
      </c>
    </row>
    <row r="1962" spans="1:35" x14ac:dyDescent="0.25">
      <c r="A1962" s="36">
        <v>99911960</v>
      </c>
      <c r="B1962" s="17" t="s">
        <v>32</v>
      </c>
      <c r="C1962" t="s">
        <v>46</v>
      </c>
      <c r="D1962" t="s">
        <v>47</v>
      </c>
      <c r="G1962" s="17" t="s">
        <v>35</v>
      </c>
      <c r="H1962" s="17">
        <v>1</v>
      </c>
      <c r="I1962" t="s">
        <v>348</v>
      </c>
      <c r="J1962" s="1">
        <v>43344</v>
      </c>
      <c r="K1962" t="s">
        <v>345</v>
      </c>
      <c r="L1962" t="s">
        <v>346</v>
      </c>
      <c r="M1962" t="s">
        <v>131</v>
      </c>
      <c r="N1962">
        <v>20</v>
      </c>
      <c r="O1962" t="s">
        <v>40</v>
      </c>
      <c r="S1962" t="s">
        <v>40</v>
      </c>
      <c r="U1962" s="1">
        <v>43344</v>
      </c>
      <c r="V1962" t="s">
        <v>41</v>
      </c>
      <c r="W1962" t="s">
        <v>42</v>
      </c>
      <c r="X1962" t="str">
        <f>"0580155"</f>
        <v>0580155</v>
      </c>
      <c r="Y1962" t="s">
        <v>365</v>
      </c>
      <c r="Z1962" t="s">
        <v>345</v>
      </c>
      <c r="AA1962" t="s">
        <v>346</v>
      </c>
      <c r="AB1962" t="s">
        <v>131</v>
      </c>
      <c r="AC1962" t="s">
        <v>51</v>
      </c>
      <c r="AD1962" t="s">
        <v>45</v>
      </c>
      <c r="AE1962" s="1">
        <v>29011</v>
      </c>
      <c r="AF1962">
        <v>2</v>
      </c>
      <c r="AG1962" t="s">
        <v>346</v>
      </c>
      <c r="AH1962" s="36">
        <f t="shared" si="30"/>
        <v>40.12777777777778</v>
      </c>
      <c r="AI1962" s="40" t="s">
        <v>1778</v>
      </c>
    </row>
    <row r="1963" spans="1:35" x14ac:dyDescent="0.25">
      <c r="A1963" s="36">
        <v>99911961</v>
      </c>
      <c r="B1963" s="17" t="s">
        <v>32</v>
      </c>
      <c r="C1963" t="s">
        <v>46</v>
      </c>
      <c r="D1963" t="s">
        <v>47</v>
      </c>
      <c r="G1963" s="17" t="s">
        <v>35</v>
      </c>
      <c r="H1963" s="17">
        <v>1</v>
      </c>
      <c r="K1963" t="s">
        <v>223</v>
      </c>
      <c r="L1963" t="s">
        <v>224</v>
      </c>
      <c r="M1963" t="s">
        <v>131</v>
      </c>
      <c r="N1963">
        <v>21</v>
      </c>
      <c r="O1963" t="s">
        <v>40</v>
      </c>
      <c r="P1963" t="s">
        <v>40</v>
      </c>
      <c r="Q1963" t="s">
        <v>40</v>
      </c>
      <c r="S1963" t="s">
        <v>40</v>
      </c>
      <c r="V1963" t="s">
        <v>41</v>
      </c>
      <c r="W1963" t="s">
        <v>49</v>
      </c>
      <c r="X1963" t="str">
        <f>"0540902"</f>
        <v>0540902</v>
      </c>
      <c r="Y1963" t="s">
        <v>256</v>
      </c>
      <c r="Z1963" t="s">
        <v>223</v>
      </c>
      <c r="AA1963" t="s">
        <v>224</v>
      </c>
      <c r="AB1963" t="s">
        <v>131</v>
      </c>
      <c r="AC1963" t="s">
        <v>51</v>
      </c>
      <c r="AD1963" t="s">
        <v>45</v>
      </c>
      <c r="AE1963" s="1">
        <v>29010</v>
      </c>
      <c r="AF1963">
        <v>2</v>
      </c>
      <c r="AG1963" t="s">
        <v>224</v>
      </c>
      <c r="AH1963" s="36">
        <f t="shared" si="30"/>
        <v>40.130555555555553</v>
      </c>
      <c r="AI1963" s="40" t="s">
        <v>1778</v>
      </c>
    </row>
    <row r="1964" spans="1:35" x14ac:dyDescent="0.25">
      <c r="A1964" s="36">
        <v>99911962</v>
      </c>
      <c r="B1964" s="17" t="s">
        <v>32</v>
      </c>
      <c r="C1964" t="s">
        <v>71</v>
      </c>
      <c r="D1964" t="s">
        <v>72</v>
      </c>
      <c r="G1964" s="17" t="s">
        <v>48</v>
      </c>
      <c r="H1964" s="17">
        <v>1</v>
      </c>
      <c r="K1964" t="s">
        <v>345</v>
      </c>
      <c r="L1964" t="s">
        <v>346</v>
      </c>
      <c r="M1964" t="s">
        <v>131</v>
      </c>
      <c r="N1964">
        <v>4</v>
      </c>
      <c r="O1964" t="s">
        <v>40</v>
      </c>
      <c r="P1964" t="s">
        <v>40</v>
      </c>
      <c r="Q1964" t="s">
        <v>40</v>
      </c>
      <c r="R1964" t="s">
        <v>40</v>
      </c>
      <c r="S1964" t="s">
        <v>40</v>
      </c>
      <c r="V1964" t="s">
        <v>41</v>
      </c>
      <c r="W1964" t="s">
        <v>49</v>
      </c>
      <c r="X1964" t="str">
        <f>"0581605"</f>
        <v>0581605</v>
      </c>
      <c r="Y1964" t="s">
        <v>366</v>
      </c>
      <c r="Z1964" t="s">
        <v>345</v>
      </c>
      <c r="AA1964" t="s">
        <v>346</v>
      </c>
      <c r="AB1964" t="s">
        <v>131</v>
      </c>
      <c r="AC1964" t="s">
        <v>51</v>
      </c>
      <c r="AD1964" t="s">
        <v>45</v>
      </c>
      <c r="AE1964" s="1">
        <v>29010</v>
      </c>
      <c r="AF1964">
        <v>2</v>
      </c>
      <c r="AG1964" t="s">
        <v>346</v>
      </c>
      <c r="AH1964" s="36">
        <f t="shared" si="30"/>
        <v>40.130555555555553</v>
      </c>
      <c r="AI1964" s="40" t="s">
        <v>1778</v>
      </c>
    </row>
    <row r="1965" spans="1:35" x14ac:dyDescent="0.25">
      <c r="A1965" s="36">
        <v>99911963</v>
      </c>
      <c r="B1965" s="17" t="s">
        <v>56</v>
      </c>
      <c r="C1965" t="s">
        <v>46</v>
      </c>
      <c r="D1965" t="s">
        <v>47</v>
      </c>
      <c r="G1965" s="17" t="s">
        <v>35</v>
      </c>
      <c r="H1965" s="17">
        <v>1</v>
      </c>
      <c r="I1965">
        <v>0</v>
      </c>
      <c r="J1965" s="1">
        <v>43344</v>
      </c>
      <c r="K1965" t="s">
        <v>223</v>
      </c>
      <c r="L1965" t="s">
        <v>224</v>
      </c>
      <c r="M1965" t="s">
        <v>131</v>
      </c>
      <c r="N1965">
        <v>23</v>
      </c>
      <c r="O1965" t="s">
        <v>40</v>
      </c>
      <c r="P1965" t="s">
        <v>40</v>
      </c>
      <c r="Q1965" t="s">
        <v>40</v>
      </c>
      <c r="S1965" t="s">
        <v>40</v>
      </c>
      <c r="U1965" s="1">
        <v>43344</v>
      </c>
      <c r="V1965" t="s">
        <v>41</v>
      </c>
      <c r="W1965" t="s">
        <v>49</v>
      </c>
      <c r="X1965" t="str">
        <f>"0581207"</f>
        <v>0581207</v>
      </c>
      <c r="Y1965" t="s">
        <v>233</v>
      </c>
      <c r="Z1965" t="s">
        <v>223</v>
      </c>
      <c r="AA1965" t="s">
        <v>224</v>
      </c>
      <c r="AB1965" t="s">
        <v>131</v>
      </c>
      <c r="AC1965" t="s">
        <v>44</v>
      </c>
      <c r="AD1965" t="s">
        <v>45</v>
      </c>
      <c r="AE1965" s="1">
        <v>29007</v>
      </c>
      <c r="AF1965">
        <v>2</v>
      </c>
      <c r="AG1965" t="s">
        <v>224</v>
      </c>
      <c r="AH1965" s="36">
        <f t="shared" si="30"/>
        <v>40.138888888888886</v>
      </c>
      <c r="AI1965" s="40" t="s">
        <v>1778</v>
      </c>
    </row>
    <row r="1966" spans="1:35" x14ac:dyDescent="0.25">
      <c r="A1966" s="36">
        <v>99911964</v>
      </c>
      <c r="B1966" s="17" t="s">
        <v>56</v>
      </c>
      <c r="C1966" t="s">
        <v>64</v>
      </c>
      <c r="D1966" t="s">
        <v>65</v>
      </c>
      <c r="G1966" s="17" t="s">
        <v>48</v>
      </c>
      <c r="H1966" s="17">
        <v>1</v>
      </c>
      <c r="K1966" t="s">
        <v>300</v>
      </c>
      <c r="L1966" t="s">
        <v>301</v>
      </c>
      <c r="M1966" t="s">
        <v>131</v>
      </c>
      <c r="N1966">
        <v>25</v>
      </c>
      <c r="O1966" t="s">
        <v>40</v>
      </c>
      <c r="P1966" t="s">
        <v>40</v>
      </c>
      <c r="Q1966" t="s">
        <v>40</v>
      </c>
      <c r="R1966" t="s">
        <v>40</v>
      </c>
      <c r="S1966" t="s">
        <v>40</v>
      </c>
      <c r="V1966" t="s">
        <v>41</v>
      </c>
      <c r="W1966" t="s">
        <v>49</v>
      </c>
      <c r="X1966" t="str">
        <f>"0560002"</f>
        <v>0560002</v>
      </c>
      <c r="Y1966" t="s">
        <v>315</v>
      </c>
      <c r="Z1966" t="s">
        <v>300</v>
      </c>
      <c r="AA1966" t="s">
        <v>301</v>
      </c>
      <c r="AB1966" t="s">
        <v>131</v>
      </c>
      <c r="AC1966" t="s">
        <v>51</v>
      </c>
      <c r="AD1966" t="s">
        <v>45</v>
      </c>
      <c r="AE1966" s="1">
        <v>29007</v>
      </c>
      <c r="AF1966">
        <v>2</v>
      </c>
      <c r="AG1966" t="s">
        <v>301</v>
      </c>
      <c r="AH1966" s="36">
        <f t="shared" si="30"/>
        <v>40.138888888888886</v>
      </c>
      <c r="AI1966" s="40" t="s">
        <v>1778</v>
      </c>
    </row>
    <row r="1967" spans="1:35" x14ac:dyDescent="0.25">
      <c r="A1967" s="36">
        <v>99911965</v>
      </c>
      <c r="B1967" s="17" t="s">
        <v>32</v>
      </c>
      <c r="C1967" t="s">
        <v>111</v>
      </c>
      <c r="D1967" t="s">
        <v>112</v>
      </c>
      <c r="G1967" s="17" t="s">
        <v>48</v>
      </c>
      <c r="H1967" s="17">
        <v>1</v>
      </c>
      <c r="K1967" t="s">
        <v>154</v>
      </c>
      <c r="L1967" t="s">
        <v>155</v>
      </c>
      <c r="M1967" t="s">
        <v>131</v>
      </c>
      <c r="N1967">
        <v>24</v>
      </c>
      <c r="O1967" t="s">
        <v>40</v>
      </c>
      <c r="P1967" t="s">
        <v>40</v>
      </c>
      <c r="Q1967" t="s">
        <v>40</v>
      </c>
      <c r="R1967" t="s">
        <v>40</v>
      </c>
      <c r="S1967" t="s">
        <v>40</v>
      </c>
      <c r="V1967" t="s">
        <v>41</v>
      </c>
      <c r="W1967" t="s">
        <v>75</v>
      </c>
      <c r="X1967" t="str">
        <f>"7051012"</f>
        <v>7051012</v>
      </c>
      <c r="Y1967" t="s">
        <v>405</v>
      </c>
      <c r="Z1967" t="s">
        <v>154</v>
      </c>
      <c r="AA1967" t="s">
        <v>155</v>
      </c>
      <c r="AB1967" t="s">
        <v>131</v>
      </c>
      <c r="AC1967" t="s">
        <v>51</v>
      </c>
      <c r="AD1967" t="s">
        <v>45</v>
      </c>
      <c r="AE1967" s="1">
        <v>29004</v>
      </c>
      <c r="AF1967">
        <v>1</v>
      </c>
      <c r="AG1967" t="s">
        <v>155</v>
      </c>
      <c r="AH1967" s="36">
        <f t="shared" si="30"/>
        <v>40.147222222222226</v>
      </c>
      <c r="AI1967" s="40" t="s">
        <v>1778</v>
      </c>
    </row>
    <row r="1968" spans="1:35" x14ac:dyDescent="0.25">
      <c r="A1968" s="36">
        <v>99911966</v>
      </c>
      <c r="B1968" s="17" t="s">
        <v>32</v>
      </c>
      <c r="C1968" t="s">
        <v>64</v>
      </c>
      <c r="D1968" t="s">
        <v>65</v>
      </c>
      <c r="G1968" s="17" t="s">
        <v>35</v>
      </c>
      <c r="H1968" s="17">
        <v>1</v>
      </c>
      <c r="I1968">
        <v>0</v>
      </c>
      <c r="J1968" s="1">
        <v>43344</v>
      </c>
      <c r="K1968" t="s">
        <v>223</v>
      </c>
      <c r="L1968" t="s">
        <v>224</v>
      </c>
      <c r="M1968" t="s">
        <v>131</v>
      </c>
      <c r="N1968">
        <v>20</v>
      </c>
      <c r="O1968" t="s">
        <v>40</v>
      </c>
      <c r="P1968" t="s">
        <v>40</v>
      </c>
      <c r="Q1968" t="s">
        <v>40</v>
      </c>
      <c r="R1968" t="s">
        <v>40</v>
      </c>
      <c r="S1968" t="s">
        <v>40</v>
      </c>
      <c r="U1968" s="1">
        <v>43344</v>
      </c>
      <c r="V1968" t="s">
        <v>41</v>
      </c>
      <c r="W1968" t="s">
        <v>49</v>
      </c>
      <c r="X1968" t="str">
        <f>"0581207"</f>
        <v>0581207</v>
      </c>
      <c r="Y1968" t="s">
        <v>233</v>
      </c>
      <c r="Z1968" t="s">
        <v>223</v>
      </c>
      <c r="AA1968" t="s">
        <v>224</v>
      </c>
      <c r="AB1968" t="s">
        <v>131</v>
      </c>
      <c r="AC1968" t="s">
        <v>165</v>
      </c>
      <c r="AD1968" t="s">
        <v>45</v>
      </c>
      <c r="AE1968" s="1">
        <v>28996</v>
      </c>
      <c r="AF1968">
        <v>2</v>
      </c>
      <c r="AG1968" t="s">
        <v>224</v>
      </c>
      <c r="AH1968" s="36">
        <f t="shared" si="30"/>
        <v>40.169444444444444</v>
      </c>
      <c r="AI1968" s="40" t="s">
        <v>1778</v>
      </c>
    </row>
    <row r="1969" spans="1:35" x14ac:dyDescent="0.25">
      <c r="A1969" s="36">
        <v>99911967</v>
      </c>
      <c r="B1969" s="17" t="s">
        <v>56</v>
      </c>
      <c r="C1969" t="s">
        <v>64</v>
      </c>
      <c r="D1969" t="s">
        <v>65</v>
      </c>
      <c r="G1969" s="17" t="s">
        <v>48</v>
      </c>
      <c r="H1969" s="17">
        <v>1</v>
      </c>
      <c r="K1969" t="s">
        <v>223</v>
      </c>
      <c r="L1969" t="s">
        <v>224</v>
      </c>
      <c r="M1969" t="s">
        <v>131</v>
      </c>
      <c r="N1969">
        <v>21</v>
      </c>
      <c r="O1969" t="s">
        <v>40</v>
      </c>
      <c r="P1969" t="s">
        <v>40</v>
      </c>
      <c r="Q1969" t="s">
        <v>40</v>
      </c>
      <c r="R1969" t="s">
        <v>40</v>
      </c>
      <c r="S1969" t="s">
        <v>40</v>
      </c>
      <c r="V1969" t="s">
        <v>41</v>
      </c>
      <c r="W1969" t="s">
        <v>49</v>
      </c>
      <c r="X1969" t="str">
        <f>"0581200"</f>
        <v>0581200</v>
      </c>
      <c r="Y1969" t="s">
        <v>238</v>
      </c>
      <c r="Z1969" t="s">
        <v>223</v>
      </c>
      <c r="AA1969" t="s">
        <v>224</v>
      </c>
      <c r="AB1969" t="s">
        <v>131</v>
      </c>
      <c r="AC1969" t="s">
        <v>51</v>
      </c>
      <c r="AD1969" t="s">
        <v>45</v>
      </c>
      <c r="AE1969" s="1">
        <v>28989</v>
      </c>
      <c r="AF1969">
        <v>2</v>
      </c>
      <c r="AG1969" t="s">
        <v>224</v>
      </c>
      <c r="AH1969" s="36">
        <f t="shared" si="30"/>
        <v>40.18888888888889</v>
      </c>
      <c r="AI1969" s="40" t="s">
        <v>1778</v>
      </c>
    </row>
    <row r="1970" spans="1:35" x14ac:dyDescent="0.25">
      <c r="A1970" s="36">
        <v>99911968</v>
      </c>
      <c r="B1970" s="17" t="s">
        <v>32</v>
      </c>
      <c r="C1970" t="s">
        <v>46</v>
      </c>
      <c r="D1970" t="s">
        <v>47</v>
      </c>
      <c r="G1970" s="17" t="s">
        <v>48</v>
      </c>
      <c r="H1970" s="17">
        <v>1</v>
      </c>
      <c r="K1970" t="s">
        <v>162</v>
      </c>
      <c r="L1970" t="s">
        <v>158</v>
      </c>
      <c r="M1970" t="s">
        <v>131</v>
      </c>
      <c r="N1970">
        <v>20</v>
      </c>
      <c r="O1970" t="s">
        <v>40</v>
      </c>
      <c r="P1970" t="s">
        <v>40</v>
      </c>
      <c r="Q1970" t="s">
        <v>40</v>
      </c>
      <c r="R1970" t="s">
        <v>40</v>
      </c>
      <c r="S1970" t="s">
        <v>40</v>
      </c>
      <c r="V1970" t="s">
        <v>41</v>
      </c>
      <c r="W1970" t="s">
        <v>49</v>
      </c>
      <c r="X1970" t="str">
        <f>"0581325"</f>
        <v>0581325</v>
      </c>
      <c r="Y1970" t="s">
        <v>169</v>
      </c>
      <c r="Z1970" t="s">
        <v>162</v>
      </c>
      <c r="AA1970" t="s">
        <v>158</v>
      </c>
      <c r="AB1970" t="s">
        <v>131</v>
      </c>
      <c r="AC1970" t="s">
        <v>51</v>
      </c>
      <c r="AD1970" t="s">
        <v>45</v>
      </c>
      <c r="AE1970" s="1">
        <v>28988</v>
      </c>
      <c r="AF1970">
        <v>2</v>
      </c>
      <c r="AG1970" t="s">
        <v>158</v>
      </c>
      <c r="AH1970" s="36">
        <f t="shared" si="30"/>
        <v>40.19166666666667</v>
      </c>
      <c r="AI1970" s="40" t="s">
        <v>1778</v>
      </c>
    </row>
    <row r="1971" spans="1:35" x14ac:dyDescent="0.25">
      <c r="A1971" s="36">
        <v>99911969</v>
      </c>
      <c r="B1971" s="17" t="s">
        <v>32</v>
      </c>
      <c r="C1971" t="s">
        <v>64</v>
      </c>
      <c r="D1971" t="s">
        <v>65</v>
      </c>
      <c r="G1971" s="17" t="s">
        <v>35</v>
      </c>
      <c r="H1971" s="17">
        <v>1</v>
      </c>
      <c r="I1971">
        <v>18253</v>
      </c>
      <c r="J1971" s="1">
        <v>43344</v>
      </c>
      <c r="K1971" t="s">
        <v>223</v>
      </c>
      <c r="L1971" t="s">
        <v>224</v>
      </c>
      <c r="M1971" t="s">
        <v>131</v>
      </c>
      <c r="N1971">
        <v>15</v>
      </c>
      <c r="O1971" t="s">
        <v>40</v>
      </c>
      <c r="P1971" t="s">
        <v>40</v>
      </c>
      <c r="Q1971" t="s">
        <v>40</v>
      </c>
      <c r="R1971" t="s">
        <v>40</v>
      </c>
      <c r="S1971" t="s">
        <v>40</v>
      </c>
      <c r="U1971" s="1">
        <v>43344</v>
      </c>
      <c r="V1971" t="s">
        <v>41</v>
      </c>
      <c r="W1971" t="s">
        <v>42</v>
      </c>
      <c r="X1971" t="str">
        <f>"0580345"</f>
        <v>0580345</v>
      </c>
      <c r="Y1971" t="s">
        <v>261</v>
      </c>
      <c r="Z1971" t="s">
        <v>223</v>
      </c>
      <c r="AA1971" t="s">
        <v>224</v>
      </c>
      <c r="AB1971" t="s">
        <v>131</v>
      </c>
      <c r="AC1971" t="s">
        <v>51</v>
      </c>
      <c r="AD1971" t="s">
        <v>45</v>
      </c>
      <c r="AE1971" s="1">
        <v>28985</v>
      </c>
      <c r="AF1971">
        <v>2</v>
      </c>
      <c r="AG1971" t="s">
        <v>224</v>
      </c>
      <c r="AH1971" s="36">
        <f t="shared" si="30"/>
        <v>40.200000000000003</v>
      </c>
      <c r="AI1971" s="40" t="s">
        <v>1778</v>
      </c>
    </row>
    <row r="1972" spans="1:35" x14ac:dyDescent="0.25">
      <c r="A1972" s="36">
        <v>99911970</v>
      </c>
      <c r="B1972" s="17" t="s">
        <v>32</v>
      </c>
      <c r="C1972" t="s">
        <v>149</v>
      </c>
      <c r="D1972" t="s">
        <v>150</v>
      </c>
      <c r="G1972" s="17" t="s">
        <v>35</v>
      </c>
      <c r="H1972" s="17">
        <v>3</v>
      </c>
      <c r="I1972">
        <v>13104</v>
      </c>
      <c r="J1972" s="1">
        <v>43344</v>
      </c>
      <c r="K1972" t="s">
        <v>1268</v>
      </c>
      <c r="L1972" t="s">
        <v>1269</v>
      </c>
      <c r="M1972" t="s">
        <v>1270</v>
      </c>
      <c r="N1972">
        <v>23</v>
      </c>
      <c r="O1972" t="s">
        <v>40</v>
      </c>
      <c r="P1972" t="s">
        <v>40</v>
      </c>
      <c r="Q1972" t="s">
        <v>40</v>
      </c>
      <c r="R1972" t="s">
        <v>40</v>
      </c>
      <c r="S1972" t="s">
        <v>40</v>
      </c>
      <c r="U1972" s="1">
        <v>43344</v>
      </c>
      <c r="V1972" t="s">
        <v>41</v>
      </c>
      <c r="W1972" t="s">
        <v>49</v>
      </c>
      <c r="X1972" t="str">
        <f>"1981055"</f>
        <v>1981055</v>
      </c>
      <c r="Y1972" t="s">
        <v>1280</v>
      </c>
      <c r="Z1972" t="s">
        <v>1268</v>
      </c>
      <c r="AA1972" t="s">
        <v>1269</v>
      </c>
      <c r="AB1972" t="s">
        <v>1270</v>
      </c>
      <c r="AC1972" t="s">
        <v>51</v>
      </c>
      <c r="AD1972" t="s">
        <v>45</v>
      </c>
      <c r="AE1972" s="1">
        <v>28984</v>
      </c>
      <c r="AF1972">
        <v>2</v>
      </c>
      <c r="AG1972" t="s">
        <v>1269</v>
      </c>
      <c r="AH1972" s="36">
        <f t="shared" si="30"/>
        <v>40.202777777777776</v>
      </c>
      <c r="AI1972" s="40" t="s">
        <v>1778</v>
      </c>
    </row>
    <row r="1973" spans="1:35" x14ac:dyDescent="0.25">
      <c r="A1973" s="36">
        <v>99911971</v>
      </c>
      <c r="B1973" s="17" t="s">
        <v>32</v>
      </c>
      <c r="C1973" t="s">
        <v>111</v>
      </c>
      <c r="D1973" t="s">
        <v>112</v>
      </c>
      <c r="G1973" s="17" t="s">
        <v>35</v>
      </c>
      <c r="H1973" s="17">
        <v>1</v>
      </c>
      <c r="I1973" t="s">
        <v>824</v>
      </c>
      <c r="J1973" s="1">
        <v>42761</v>
      </c>
      <c r="K1973" t="s">
        <v>354</v>
      </c>
      <c r="L1973" t="s">
        <v>355</v>
      </c>
      <c r="M1973" t="s">
        <v>131</v>
      </c>
      <c r="N1973">
        <v>24</v>
      </c>
      <c r="O1973" t="s">
        <v>40</v>
      </c>
      <c r="P1973" t="s">
        <v>40</v>
      </c>
      <c r="Q1973" t="s">
        <v>40</v>
      </c>
      <c r="S1973" t="s">
        <v>40</v>
      </c>
      <c r="U1973" s="1">
        <v>42761</v>
      </c>
      <c r="V1973" t="s">
        <v>41</v>
      </c>
      <c r="W1973" t="s">
        <v>75</v>
      </c>
      <c r="X1973" t="str">
        <f>"7054004"</f>
        <v>7054004</v>
      </c>
      <c r="Y1973" t="s">
        <v>798</v>
      </c>
      <c r="Z1973" t="s">
        <v>354</v>
      </c>
      <c r="AA1973" t="s">
        <v>355</v>
      </c>
      <c r="AB1973" t="s">
        <v>131</v>
      </c>
      <c r="AC1973" t="s">
        <v>44</v>
      </c>
      <c r="AD1973" t="s">
        <v>45</v>
      </c>
      <c r="AE1973" s="1">
        <v>28979</v>
      </c>
      <c r="AF1973">
        <v>1</v>
      </c>
      <c r="AG1973" t="s">
        <v>355</v>
      </c>
      <c r="AH1973" s="36">
        <f t="shared" si="30"/>
        <v>40.216666666666669</v>
      </c>
      <c r="AI1973" s="40" t="s">
        <v>1778</v>
      </c>
    </row>
    <row r="1974" spans="1:35" x14ac:dyDescent="0.25">
      <c r="A1974" s="36">
        <v>99911972</v>
      </c>
      <c r="B1974" s="17" t="s">
        <v>32</v>
      </c>
      <c r="C1974" t="s">
        <v>111</v>
      </c>
      <c r="D1974" t="s">
        <v>112</v>
      </c>
      <c r="G1974" s="17" t="s">
        <v>35</v>
      </c>
      <c r="H1974" s="17">
        <v>1</v>
      </c>
      <c r="I1974">
        <v>2668</v>
      </c>
      <c r="J1974" s="1">
        <v>43344</v>
      </c>
      <c r="K1974" t="s">
        <v>877</v>
      </c>
      <c r="L1974" t="s">
        <v>878</v>
      </c>
      <c r="M1974" t="s">
        <v>131</v>
      </c>
      <c r="N1974">
        <v>23</v>
      </c>
      <c r="O1974" t="s">
        <v>40</v>
      </c>
      <c r="S1974" t="s">
        <v>40</v>
      </c>
      <c r="U1974" s="1">
        <v>43344</v>
      </c>
      <c r="V1974" t="s">
        <v>41</v>
      </c>
      <c r="W1974" t="s">
        <v>75</v>
      </c>
      <c r="X1974" t="str">
        <f>"7541024"</f>
        <v>7541024</v>
      </c>
      <c r="Y1974" t="s">
        <v>885</v>
      </c>
      <c r="Z1974" t="s">
        <v>877</v>
      </c>
      <c r="AA1974" t="s">
        <v>878</v>
      </c>
      <c r="AB1974" t="s">
        <v>131</v>
      </c>
      <c r="AC1974" t="s">
        <v>51</v>
      </c>
      <c r="AD1974" t="s">
        <v>45</v>
      </c>
      <c r="AE1974" s="1">
        <v>28978</v>
      </c>
      <c r="AF1974">
        <v>1</v>
      </c>
      <c r="AG1974" t="s">
        <v>878</v>
      </c>
      <c r="AH1974" s="36">
        <f t="shared" si="30"/>
        <v>40.219444444444441</v>
      </c>
      <c r="AI1974" s="40" t="s">
        <v>1778</v>
      </c>
    </row>
    <row r="1975" spans="1:35" x14ac:dyDescent="0.25">
      <c r="A1975" s="36">
        <v>99911973</v>
      </c>
      <c r="B1975" s="17" t="s">
        <v>32</v>
      </c>
      <c r="C1975" t="s">
        <v>64</v>
      </c>
      <c r="D1975" t="s">
        <v>65</v>
      </c>
      <c r="G1975" s="17" t="s">
        <v>48</v>
      </c>
      <c r="H1975" s="17">
        <v>1</v>
      </c>
      <c r="K1975" t="s">
        <v>1198</v>
      </c>
      <c r="L1975" t="s">
        <v>1199</v>
      </c>
      <c r="M1975" t="s">
        <v>1130</v>
      </c>
      <c r="N1975">
        <v>23</v>
      </c>
      <c r="O1975" t="s">
        <v>40</v>
      </c>
      <c r="P1975" t="s">
        <v>40</v>
      </c>
      <c r="Q1975" t="s">
        <v>40</v>
      </c>
      <c r="R1975" t="s">
        <v>40</v>
      </c>
      <c r="S1975" t="s">
        <v>40</v>
      </c>
      <c r="V1975" t="s">
        <v>41</v>
      </c>
      <c r="W1975" t="s">
        <v>75</v>
      </c>
      <c r="X1975" t="str">
        <f>"7311006"</f>
        <v>7311006</v>
      </c>
      <c r="Y1975" t="s">
        <v>1200</v>
      </c>
      <c r="Z1975" t="s">
        <v>1198</v>
      </c>
      <c r="AA1975" t="s">
        <v>1199</v>
      </c>
      <c r="AB1975" t="s">
        <v>1130</v>
      </c>
      <c r="AC1975" t="s">
        <v>51</v>
      </c>
      <c r="AD1975" t="s">
        <v>45</v>
      </c>
      <c r="AE1975" s="1">
        <v>28976</v>
      </c>
      <c r="AF1975">
        <v>1</v>
      </c>
      <c r="AG1975" t="s">
        <v>1199</v>
      </c>
      <c r="AH1975" s="36">
        <f t="shared" si="30"/>
        <v>40.225000000000001</v>
      </c>
      <c r="AI1975" s="40" t="s">
        <v>1778</v>
      </c>
    </row>
    <row r="1976" spans="1:35" x14ac:dyDescent="0.25">
      <c r="A1976" s="36">
        <v>99911974</v>
      </c>
      <c r="B1976" s="17" t="s">
        <v>32</v>
      </c>
      <c r="C1976" t="s">
        <v>111</v>
      </c>
      <c r="D1976" t="s">
        <v>112</v>
      </c>
      <c r="G1976" s="17" t="s">
        <v>48</v>
      </c>
      <c r="H1976" s="17">
        <v>1</v>
      </c>
      <c r="K1976" t="s">
        <v>268</v>
      </c>
      <c r="L1976" t="s">
        <v>269</v>
      </c>
      <c r="M1976" t="s">
        <v>131</v>
      </c>
      <c r="N1976">
        <v>23</v>
      </c>
      <c r="O1976" t="s">
        <v>40</v>
      </c>
      <c r="P1976" t="s">
        <v>40</v>
      </c>
      <c r="Q1976" t="s">
        <v>40</v>
      </c>
      <c r="S1976" t="s">
        <v>40</v>
      </c>
      <c r="V1976" t="s">
        <v>41</v>
      </c>
      <c r="W1976" t="s">
        <v>75</v>
      </c>
      <c r="X1976" t="str">
        <f>"7052044"</f>
        <v>7052044</v>
      </c>
      <c r="Y1976" t="s">
        <v>589</v>
      </c>
      <c r="Z1976" t="s">
        <v>268</v>
      </c>
      <c r="AA1976" t="s">
        <v>269</v>
      </c>
      <c r="AB1976" t="s">
        <v>131</v>
      </c>
      <c r="AC1976" t="s">
        <v>51</v>
      </c>
      <c r="AD1976" t="s">
        <v>45</v>
      </c>
      <c r="AE1976" s="1">
        <v>28974</v>
      </c>
      <c r="AF1976">
        <v>1</v>
      </c>
      <c r="AG1976" t="s">
        <v>269</v>
      </c>
      <c r="AH1976" s="36">
        <f t="shared" si="30"/>
        <v>40.230555555555554</v>
      </c>
      <c r="AI1976" s="40" t="s">
        <v>1778</v>
      </c>
    </row>
    <row r="1977" spans="1:35" x14ac:dyDescent="0.25">
      <c r="A1977" s="36">
        <v>99911975</v>
      </c>
      <c r="B1977" s="17" t="s">
        <v>32</v>
      </c>
      <c r="C1977" t="s">
        <v>90</v>
      </c>
      <c r="D1977" t="s">
        <v>91</v>
      </c>
      <c r="G1977" s="17" t="s">
        <v>48</v>
      </c>
      <c r="H1977" s="17">
        <v>5</v>
      </c>
      <c r="I1977" t="s">
        <v>483</v>
      </c>
      <c r="J1977" s="1">
        <v>42248</v>
      </c>
      <c r="K1977" t="s">
        <v>195</v>
      </c>
      <c r="L1977" t="s">
        <v>196</v>
      </c>
      <c r="M1977" t="s">
        <v>131</v>
      </c>
      <c r="N1977">
        <v>24</v>
      </c>
      <c r="O1977" t="s">
        <v>40</v>
      </c>
      <c r="P1977" t="s">
        <v>40</v>
      </c>
      <c r="Q1977" t="s">
        <v>40</v>
      </c>
      <c r="R1977" t="s">
        <v>40</v>
      </c>
      <c r="S1977" t="s">
        <v>40</v>
      </c>
      <c r="U1977" s="1">
        <v>42248</v>
      </c>
      <c r="V1977" t="s">
        <v>41</v>
      </c>
      <c r="W1977" t="s">
        <v>75</v>
      </c>
      <c r="X1977" t="str">
        <f>"7521052"</f>
        <v>7521052</v>
      </c>
      <c r="Y1977" t="s">
        <v>443</v>
      </c>
      <c r="Z1977" t="s">
        <v>195</v>
      </c>
      <c r="AA1977" t="s">
        <v>196</v>
      </c>
      <c r="AB1977" t="s">
        <v>131</v>
      </c>
      <c r="AC1977" t="s">
        <v>51</v>
      </c>
      <c r="AD1977" t="s">
        <v>45</v>
      </c>
      <c r="AE1977" s="1">
        <v>28973</v>
      </c>
      <c r="AF1977">
        <v>1</v>
      </c>
      <c r="AG1977" t="s">
        <v>196</v>
      </c>
      <c r="AH1977" s="36">
        <f t="shared" si="30"/>
        <v>40.233333333333334</v>
      </c>
      <c r="AI1977" s="40" t="s">
        <v>1778</v>
      </c>
    </row>
    <row r="1978" spans="1:35" x14ac:dyDescent="0.25">
      <c r="A1978" s="36">
        <v>99911976</v>
      </c>
      <c r="B1978" s="17" t="s">
        <v>32</v>
      </c>
      <c r="C1978" t="s">
        <v>139</v>
      </c>
      <c r="D1978" t="s">
        <v>140</v>
      </c>
      <c r="G1978" s="17" t="s">
        <v>35</v>
      </c>
      <c r="H1978" s="17">
        <v>1</v>
      </c>
      <c r="K1978" t="s">
        <v>1051</v>
      </c>
      <c r="L1978" t="s">
        <v>1052</v>
      </c>
      <c r="M1978" t="s">
        <v>1053</v>
      </c>
      <c r="N1978">
        <v>6</v>
      </c>
      <c r="O1978" t="s">
        <v>40</v>
      </c>
      <c r="P1978" t="s">
        <v>40</v>
      </c>
      <c r="Q1978" t="s">
        <v>40</v>
      </c>
      <c r="R1978" t="s">
        <v>40</v>
      </c>
      <c r="S1978" t="s">
        <v>40</v>
      </c>
      <c r="V1978" t="s">
        <v>41</v>
      </c>
      <c r="W1978" t="s">
        <v>49</v>
      </c>
      <c r="X1978" t="str">
        <f>"2060005"</f>
        <v>2060005</v>
      </c>
      <c r="Y1978" t="s">
        <v>1054</v>
      </c>
      <c r="Z1978" t="s">
        <v>1051</v>
      </c>
      <c r="AA1978" t="s">
        <v>1052</v>
      </c>
      <c r="AB1978" t="s">
        <v>1053</v>
      </c>
      <c r="AC1978" t="s">
        <v>51</v>
      </c>
      <c r="AD1978" t="s">
        <v>45</v>
      </c>
      <c r="AE1978" s="1">
        <v>28961</v>
      </c>
      <c r="AF1978">
        <v>2</v>
      </c>
      <c r="AG1978" t="s">
        <v>1052</v>
      </c>
      <c r="AH1978" s="36">
        <f t="shared" si="30"/>
        <v>40.266666666666666</v>
      </c>
      <c r="AI1978" s="40" t="s">
        <v>1778</v>
      </c>
    </row>
    <row r="1979" spans="1:35" x14ac:dyDescent="0.25">
      <c r="A1979" s="36">
        <v>99911977</v>
      </c>
      <c r="B1979" s="17" t="s">
        <v>32</v>
      </c>
      <c r="C1979" t="s">
        <v>90</v>
      </c>
      <c r="D1979" t="s">
        <v>91</v>
      </c>
      <c r="G1979" s="17" t="s">
        <v>48</v>
      </c>
      <c r="H1979" s="17">
        <v>1</v>
      </c>
      <c r="K1979" t="s">
        <v>1708</v>
      </c>
      <c r="L1979" t="s">
        <v>1709</v>
      </c>
      <c r="M1979" t="s">
        <v>1705</v>
      </c>
      <c r="N1979">
        <v>25</v>
      </c>
      <c r="O1979" t="s">
        <v>40</v>
      </c>
      <c r="P1979" t="s">
        <v>40</v>
      </c>
      <c r="Q1979" t="s">
        <v>40</v>
      </c>
      <c r="S1979" t="s">
        <v>40</v>
      </c>
      <c r="V1979" t="s">
        <v>41</v>
      </c>
      <c r="W1979" t="s">
        <v>95</v>
      </c>
      <c r="X1979" t="str">
        <f>"7121009"</f>
        <v>7121009</v>
      </c>
      <c r="Y1979" t="s">
        <v>1724</v>
      </c>
      <c r="Z1979" t="s">
        <v>1708</v>
      </c>
      <c r="AA1979" t="s">
        <v>1709</v>
      </c>
      <c r="AB1979" t="s">
        <v>1705</v>
      </c>
      <c r="AC1979" t="s">
        <v>51</v>
      </c>
      <c r="AD1979" t="s">
        <v>45</v>
      </c>
      <c r="AE1979" s="1">
        <v>28958</v>
      </c>
      <c r="AF1979">
        <v>1</v>
      </c>
      <c r="AG1979" t="s">
        <v>1709</v>
      </c>
      <c r="AH1979" s="36">
        <f t="shared" si="30"/>
        <v>40.274999999999999</v>
      </c>
      <c r="AI1979" s="40" t="s">
        <v>1778</v>
      </c>
    </row>
    <row r="1980" spans="1:35" x14ac:dyDescent="0.25">
      <c r="A1980" s="36">
        <v>99911978</v>
      </c>
      <c r="B1980" s="17" t="s">
        <v>32</v>
      </c>
      <c r="C1980" t="s">
        <v>79</v>
      </c>
      <c r="D1980" t="s">
        <v>80</v>
      </c>
      <c r="G1980" s="17" t="s">
        <v>35</v>
      </c>
      <c r="H1980" s="17">
        <v>1</v>
      </c>
      <c r="I1980" t="s">
        <v>1142</v>
      </c>
      <c r="J1980" s="1">
        <v>43344</v>
      </c>
      <c r="K1980" t="s">
        <v>1128</v>
      </c>
      <c r="L1980" t="s">
        <v>1129</v>
      </c>
      <c r="M1980" t="s">
        <v>1130</v>
      </c>
      <c r="N1980">
        <v>13</v>
      </c>
      <c r="O1980" t="s">
        <v>40</v>
      </c>
      <c r="P1980" t="s">
        <v>40</v>
      </c>
      <c r="Q1980" t="s">
        <v>40</v>
      </c>
      <c r="R1980" t="s">
        <v>40</v>
      </c>
      <c r="S1980" t="s">
        <v>40</v>
      </c>
      <c r="U1980" s="1">
        <v>43344</v>
      </c>
      <c r="V1980" t="s">
        <v>41</v>
      </c>
      <c r="W1980" t="s">
        <v>42</v>
      </c>
      <c r="X1980" t="str">
        <f>"3180015"</f>
        <v>3180015</v>
      </c>
      <c r="Y1980" t="s">
        <v>1139</v>
      </c>
      <c r="Z1980" t="s">
        <v>1128</v>
      </c>
      <c r="AA1980" t="s">
        <v>1129</v>
      </c>
      <c r="AB1980" t="s">
        <v>1130</v>
      </c>
      <c r="AC1980" t="s">
        <v>51</v>
      </c>
      <c r="AD1980" t="s">
        <v>45</v>
      </c>
      <c r="AE1980" s="1">
        <v>28957</v>
      </c>
      <c r="AF1980">
        <v>2</v>
      </c>
      <c r="AG1980" t="s">
        <v>1129</v>
      </c>
      <c r="AH1980" s="36">
        <f t="shared" si="30"/>
        <v>40.277777777777779</v>
      </c>
      <c r="AI1980" s="40" t="s">
        <v>1778</v>
      </c>
    </row>
    <row r="1981" spans="1:35" x14ac:dyDescent="0.25">
      <c r="A1981" s="36">
        <v>99911979</v>
      </c>
      <c r="B1981" s="17" t="s">
        <v>32</v>
      </c>
      <c r="C1981" t="s">
        <v>90</v>
      </c>
      <c r="D1981" t="s">
        <v>91</v>
      </c>
      <c r="G1981" s="17" t="s">
        <v>48</v>
      </c>
      <c r="H1981" s="17">
        <v>1</v>
      </c>
      <c r="K1981" t="s">
        <v>1071</v>
      </c>
      <c r="L1981" t="s">
        <v>1072</v>
      </c>
      <c r="M1981" t="s">
        <v>1053</v>
      </c>
      <c r="N1981">
        <v>25</v>
      </c>
      <c r="O1981" t="s">
        <v>40</v>
      </c>
      <c r="P1981" t="s">
        <v>40</v>
      </c>
      <c r="Q1981" t="s">
        <v>40</v>
      </c>
      <c r="S1981" t="s">
        <v>40</v>
      </c>
      <c r="V1981" t="s">
        <v>41</v>
      </c>
      <c r="W1981" t="s">
        <v>95</v>
      </c>
      <c r="X1981" t="str">
        <f>"7041001"</f>
        <v>7041001</v>
      </c>
      <c r="Y1981" t="s">
        <v>1073</v>
      </c>
      <c r="Z1981" t="s">
        <v>1071</v>
      </c>
      <c r="AA1981" t="s">
        <v>1072</v>
      </c>
      <c r="AB1981" t="s">
        <v>1053</v>
      </c>
      <c r="AC1981" t="s">
        <v>165</v>
      </c>
      <c r="AD1981" t="s">
        <v>45</v>
      </c>
      <c r="AE1981" s="1">
        <v>28952</v>
      </c>
      <c r="AF1981">
        <v>1</v>
      </c>
      <c r="AG1981" t="s">
        <v>1072</v>
      </c>
      <c r="AH1981" s="36">
        <f t="shared" si="30"/>
        <v>40.291666666666664</v>
      </c>
      <c r="AI1981" s="40" t="s">
        <v>1778</v>
      </c>
    </row>
    <row r="1982" spans="1:35" x14ac:dyDescent="0.25">
      <c r="A1982" s="36">
        <v>99911980</v>
      </c>
      <c r="B1982" s="17" t="s">
        <v>32</v>
      </c>
      <c r="C1982" t="s">
        <v>111</v>
      </c>
      <c r="D1982" t="s">
        <v>112</v>
      </c>
      <c r="G1982" s="17" t="s">
        <v>48</v>
      </c>
      <c r="H1982" s="17">
        <v>1</v>
      </c>
      <c r="K1982" t="s">
        <v>667</v>
      </c>
      <c r="L1982" t="s">
        <v>669</v>
      </c>
      <c r="M1982" t="s">
        <v>670</v>
      </c>
      <c r="N1982">
        <v>23</v>
      </c>
      <c r="O1982" t="s">
        <v>40</v>
      </c>
      <c r="P1982" t="s">
        <v>40</v>
      </c>
      <c r="Q1982" t="s">
        <v>40</v>
      </c>
      <c r="R1982" t="s">
        <v>40</v>
      </c>
      <c r="S1982" t="s">
        <v>40</v>
      </c>
      <c r="V1982" t="s">
        <v>41</v>
      </c>
      <c r="W1982" t="s">
        <v>75</v>
      </c>
      <c r="X1982" t="str">
        <f>"7501000"</f>
        <v>7501000</v>
      </c>
      <c r="Y1982" t="s">
        <v>668</v>
      </c>
      <c r="Z1982" t="s">
        <v>667</v>
      </c>
      <c r="AA1982" t="s">
        <v>669</v>
      </c>
      <c r="AB1982" t="s">
        <v>670</v>
      </c>
      <c r="AC1982" t="s">
        <v>51</v>
      </c>
      <c r="AD1982" t="s">
        <v>45</v>
      </c>
      <c r="AE1982" s="1">
        <v>28947</v>
      </c>
      <c r="AF1982">
        <v>1</v>
      </c>
      <c r="AG1982" t="s">
        <v>669</v>
      </c>
      <c r="AH1982" s="36">
        <f t="shared" si="30"/>
        <v>40.305555555555557</v>
      </c>
      <c r="AI1982" s="40" t="s">
        <v>1778</v>
      </c>
    </row>
    <row r="1983" spans="1:35" x14ac:dyDescent="0.25">
      <c r="A1983" s="36">
        <v>99911981</v>
      </c>
      <c r="B1983" s="17" t="s">
        <v>32</v>
      </c>
      <c r="C1983" t="s">
        <v>139</v>
      </c>
      <c r="D1983" t="s">
        <v>140</v>
      </c>
      <c r="G1983" s="17" t="s">
        <v>48</v>
      </c>
      <c r="H1983" s="17">
        <v>1</v>
      </c>
      <c r="K1983" t="s">
        <v>300</v>
      </c>
      <c r="L1983" t="s">
        <v>301</v>
      </c>
      <c r="M1983" t="s">
        <v>131</v>
      </c>
      <c r="N1983">
        <v>8</v>
      </c>
      <c r="O1983" t="s">
        <v>40</v>
      </c>
      <c r="P1983" t="s">
        <v>40</v>
      </c>
      <c r="Q1983" t="s">
        <v>40</v>
      </c>
      <c r="S1983" t="s">
        <v>40</v>
      </c>
      <c r="V1983" t="s">
        <v>41</v>
      </c>
      <c r="W1983" t="s">
        <v>49</v>
      </c>
      <c r="X1983" t="str">
        <f>"0560020"</f>
        <v>0560020</v>
      </c>
      <c r="Y1983" t="s">
        <v>302</v>
      </c>
      <c r="Z1983" t="s">
        <v>300</v>
      </c>
      <c r="AA1983" t="s">
        <v>301</v>
      </c>
      <c r="AB1983" t="s">
        <v>131</v>
      </c>
      <c r="AC1983" t="s">
        <v>51</v>
      </c>
      <c r="AD1983" t="s">
        <v>45</v>
      </c>
      <c r="AE1983" s="1">
        <v>28942</v>
      </c>
      <c r="AF1983">
        <v>2</v>
      </c>
      <c r="AG1983" t="s">
        <v>301</v>
      </c>
      <c r="AH1983" s="36">
        <f t="shared" si="30"/>
        <v>40.319444444444443</v>
      </c>
      <c r="AI1983" s="40" t="s">
        <v>1778</v>
      </c>
    </row>
    <row r="1984" spans="1:35" x14ac:dyDescent="0.25">
      <c r="A1984" s="36">
        <v>99911982</v>
      </c>
      <c r="B1984" s="17" t="s">
        <v>32</v>
      </c>
      <c r="C1984" t="s">
        <v>46</v>
      </c>
      <c r="D1984" t="s">
        <v>47</v>
      </c>
      <c r="G1984" s="17" t="s">
        <v>48</v>
      </c>
      <c r="H1984" s="17">
        <v>1</v>
      </c>
      <c r="K1984" t="s">
        <v>380</v>
      </c>
      <c r="L1984" t="s">
        <v>381</v>
      </c>
      <c r="M1984" t="s">
        <v>131</v>
      </c>
      <c r="N1984">
        <v>21</v>
      </c>
      <c r="O1984" t="s">
        <v>40</v>
      </c>
      <c r="P1984" t="s">
        <v>40</v>
      </c>
      <c r="Q1984" t="s">
        <v>40</v>
      </c>
      <c r="R1984" t="s">
        <v>40</v>
      </c>
      <c r="S1984" t="s">
        <v>40</v>
      </c>
      <c r="V1984" t="s">
        <v>41</v>
      </c>
      <c r="W1984" t="s">
        <v>49</v>
      </c>
      <c r="X1984" t="str">
        <f>"0580552"</f>
        <v>0580552</v>
      </c>
      <c r="Y1984" t="s">
        <v>386</v>
      </c>
      <c r="Z1984" t="s">
        <v>380</v>
      </c>
      <c r="AA1984" t="s">
        <v>381</v>
      </c>
      <c r="AB1984" t="s">
        <v>131</v>
      </c>
      <c r="AC1984" t="s">
        <v>51</v>
      </c>
      <c r="AD1984" t="s">
        <v>45</v>
      </c>
      <c r="AE1984" s="1">
        <v>28941</v>
      </c>
      <c r="AF1984">
        <v>2</v>
      </c>
      <c r="AG1984" t="s">
        <v>381</v>
      </c>
      <c r="AH1984" s="36">
        <f t="shared" si="30"/>
        <v>40.322222222222223</v>
      </c>
      <c r="AI1984" s="40" t="s">
        <v>1778</v>
      </c>
    </row>
    <row r="1985" spans="1:35" x14ac:dyDescent="0.25">
      <c r="A1985" s="36">
        <v>99911983</v>
      </c>
      <c r="B1985" s="17" t="s">
        <v>32</v>
      </c>
      <c r="C1985" t="s">
        <v>90</v>
      </c>
      <c r="D1985" t="s">
        <v>91</v>
      </c>
      <c r="G1985" s="17" t="s">
        <v>48</v>
      </c>
      <c r="H1985" s="17">
        <v>1</v>
      </c>
      <c r="K1985" t="s">
        <v>1695</v>
      </c>
      <c r="L1985" t="s">
        <v>1696</v>
      </c>
      <c r="M1985" t="s">
        <v>1592</v>
      </c>
      <c r="N1985">
        <v>25</v>
      </c>
      <c r="O1985" t="s">
        <v>40</v>
      </c>
      <c r="P1985" t="s">
        <v>40</v>
      </c>
      <c r="Q1985" t="s">
        <v>40</v>
      </c>
      <c r="R1985" t="s">
        <v>40</v>
      </c>
      <c r="S1985" t="s">
        <v>40</v>
      </c>
      <c r="V1985" t="s">
        <v>41</v>
      </c>
      <c r="W1985" t="s">
        <v>95</v>
      </c>
      <c r="X1985" t="str">
        <f>"7361003"</f>
        <v>7361003</v>
      </c>
      <c r="Y1985" t="s">
        <v>1700</v>
      </c>
      <c r="Z1985" t="s">
        <v>1695</v>
      </c>
      <c r="AA1985" t="s">
        <v>1696</v>
      </c>
      <c r="AB1985" t="s">
        <v>1592</v>
      </c>
      <c r="AC1985" t="s">
        <v>51</v>
      </c>
      <c r="AD1985" t="s">
        <v>45</v>
      </c>
      <c r="AE1985" s="1">
        <v>28938</v>
      </c>
      <c r="AF1985">
        <v>1</v>
      </c>
      <c r="AG1985" t="s">
        <v>1696</v>
      </c>
      <c r="AH1985" s="36">
        <f t="shared" si="30"/>
        <v>40.330555555555556</v>
      </c>
      <c r="AI1985" s="40" t="s">
        <v>1778</v>
      </c>
    </row>
    <row r="1986" spans="1:35" x14ac:dyDescent="0.25">
      <c r="A1986" s="36">
        <v>99911984</v>
      </c>
      <c r="B1986" s="17" t="s">
        <v>32</v>
      </c>
      <c r="C1986" t="s">
        <v>64</v>
      </c>
      <c r="D1986" t="s">
        <v>65</v>
      </c>
      <c r="G1986" s="17" t="s">
        <v>35</v>
      </c>
      <c r="H1986" s="17">
        <v>1</v>
      </c>
      <c r="I1986">
        <v>231</v>
      </c>
      <c r="J1986" s="1">
        <v>38960</v>
      </c>
      <c r="K1986" t="s">
        <v>223</v>
      </c>
      <c r="L1986" t="s">
        <v>224</v>
      </c>
      <c r="M1986" t="s">
        <v>131</v>
      </c>
      <c r="N1986">
        <v>21</v>
      </c>
      <c r="O1986" t="s">
        <v>40</v>
      </c>
      <c r="P1986" t="s">
        <v>40</v>
      </c>
      <c r="Q1986" t="s">
        <v>40</v>
      </c>
      <c r="R1986" t="s">
        <v>40</v>
      </c>
      <c r="S1986" t="s">
        <v>40</v>
      </c>
      <c r="U1986" s="1">
        <v>38960</v>
      </c>
      <c r="V1986" t="s">
        <v>41</v>
      </c>
      <c r="W1986" t="s">
        <v>49</v>
      </c>
      <c r="X1986" t="str">
        <f>"0581207"</f>
        <v>0581207</v>
      </c>
      <c r="Y1986" t="s">
        <v>233</v>
      </c>
      <c r="Z1986" t="s">
        <v>223</v>
      </c>
      <c r="AA1986" t="s">
        <v>224</v>
      </c>
      <c r="AB1986" t="s">
        <v>131</v>
      </c>
      <c r="AC1986" t="s">
        <v>165</v>
      </c>
      <c r="AD1986" t="s">
        <v>45</v>
      </c>
      <c r="AE1986" s="1">
        <v>28935</v>
      </c>
      <c r="AF1986">
        <v>2</v>
      </c>
      <c r="AG1986" t="s">
        <v>224</v>
      </c>
      <c r="AH1986" s="36">
        <f t="shared" ref="AH1986:AH2049" si="31">($AJ$1-AE1986)/360</f>
        <v>40.338888888888889</v>
      </c>
      <c r="AI1986" s="40" t="s">
        <v>1778</v>
      </c>
    </row>
    <row r="1987" spans="1:35" x14ac:dyDescent="0.25">
      <c r="A1987" s="36">
        <v>99911985</v>
      </c>
      <c r="B1987" s="17" t="s">
        <v>32</v>
      </c>
      <c r="C1987" t="s">
        <v>64</v>
      </c>
      <c r="D1987" t="s">
        <v>65</v>
      </c>
      <c r="G1987" s="17" t="s">
        <v>48</v>
      </c>
      <c r="H1987" s="17">
        <v>7</v>
      </c>
      <c r="K1987" t="s">
        <v>345</v>
      </c>
      <c r="L1987" t="s">
        <v>346</v>
      </c>
      <c r="M1987" t="s">
        <v>131</v>
      </c>
      <c r="N1987">
        <v>21</v>
      </c>
      <c r="O1987" t="s">
        <v>40</v>
      </c>
      <c r="P1987" t="s">
        <v>40</v>
      </c>
      <c r="Q1987" t="s">
        <v>40</v>
      </c>
      <c r="R1987" t="s">
        <v>40</v>
      </c>
      <c r="S1987" t="s">
        <v>40</v>
      </c>
      <c r="V1987" t="s">
        <v>41</v>
      </c>
      <c r="W1987" t="s">
        <v>49</v>
      </c>
      <c r="X1987" t="str">
        <f>"0591906"</f>
        <v>0591906</v>
      </c>
      <c r="Y1987" t="s">
        <v>350</v>
      </c>
      <c r="Z1987" t="s">
        <v>345</v>
      </c>
      <c r="AA1987" t="s">
        <v>346</v>
      </c>
      <c r="AB1987" t="s">
        <v>131</v>
      </c>
      <c r="AC1987" t="s">
        <v>51</v>
      </c>
      <c r="AD1987" t="s">
        <v>45</v>
      </c>
      <c r="AE1987" s="1">
        <v>28934</v>
      </c>
      <c r="AF1987">
        <v>2</v>
      </c>
      <c r="AG1987" t="s">
        <v>346</v>
      </c>
      <c r="AH1987" s="36">
        <f t="shared" si="31"/>
        <v>40.341666666666669</v>
      </c>
      <c r="AI1987" s="40" t="s">
        <v>1778</v>
      </c>
    </row>
    <row r="1988" spans="1:35" x14ac:dyDescent="0.25">
      <c r="A1988" s="36">
        <v>99911986</v>
      </c>
      <c r="B1988" s="17" t="s">
        <v>32</v>
      </c>
      <c r="C1988" t="s">
        <v>79</v>
      </c>
      <c r="D1988" t="s">
        <v>80</v>
      </c>
      <c r="G1988" s="17" t="s">
        <v>48</v>
      </c>
      <c r="H1988" s="17">
        <v>6</v>
      </c>
      <c r="K1988" t="s">
        <v>1268</v>
      </c>
      <c r="L1988" t="s">
        <v>1269</v>
      </c>
      <c r="M1988" t="s">
        <v>1270</v>
      </c>
      <c r="N1988">
        <v>21</v>
      </c>
      <c r="O1988" t="s">
        <v>40</v>
      </c>
      <c r="P1988" t="s">
        <v>40</v>
      </c>
      <c r="Q1988" t="s">
        <v>40</v>
      </c>
      <c r="R1988" t="s">
        <v>40</v>
      </c>
      <c r="S1988" t="s">
        <v>40</v>
      </c>
      <c r="V1988" t="s">
        <v>41</v>
      </c>
      <c r="W1988" t="s">
        <v>42</v>
      </c>
      <c r="X1988" t="str">
        <f>"1990911"</f>
        <v>1990911</v>
      </c>
      <c r="Y1988" t="s">
        <v>1276</v>
      </c>
      <c r="Z1988" t="s">
        <v>1268</v>
      </c>
      <c r="AA1988" t="s">
        <v>1269</v>
      </c>
      <c r="AB1988" t="s">
        <v>1270</v>
      </c>
      <c r="AC1988" t="s">
        <v>51</v>
      </c>
      <c r="AD1988" t="s">
        <v>45</v>
      </c>
      <c r="AE1988" s="1">
        <v>28934</v>
      </c>
      <c r="AF1988">
        <v>2</v>
      </c>
      <c r="AG1988" t="s">
        <v>1269</v>
      </c>
      <c r="AH1988" s="36">
        <f t="shared" si="31"/>
        <v>40.341666666666669</v>
      </c>
      <c r="AI1988" s="40" t="s">
        <v>1778</v>
      </c>
    </row>
    <row r="1989" spans="1:35" x14ac:dyDescent="0.25">
      <c r="A1989" s="36">
        <v>99911987</v>
      </c>
      <c r="B1989" s="17" t="s">
        <v>32</v>
      </c>
      <c r="C1989" t="s">
        <v>46</v>
      </c>
      <c r="D1989" t="s">
        <v>47</v>
      </c>
      <c r="G1989" s="17" t="s">
        <v>35</v>
      </c>
      <c r="H1989" s="17">
        <v>1</v>
      </c>
      <c r="K1989" t="s">
        <v>157</v>
      </c>
      <c r="L1989" t="s">
        <v>158</v>
      </c>
      <c r="M1989" t="s">
        <v>131</v>
      </c>
      <c r="N1989">
        <v>20</v>
      </c>
      <c r="O1989" t="s">
        <v>40</v>
      </c>
      <c r="P1989" t="s">
        <v>40</v>
      </c>
      <c r="Q1989" t="s">
        <v>40</v>
      </c>
      <c r="R1989" t="s">
        <v>40</v>
      </c>
      <c r="S1989" t="s">
        <v>40</v>
      </c>
      <c r="V1989" t="s">
        <v>41</v>
      </c>
      <c r="W1989" t="s">
        <v>42</v>
      </c>
      <c r="X1989" t="str">
        <f>"0580470"</f>
        <v>0580470</v>
      </c>
      <c r="Y1989" t="s">
        <v>175</v>
      </c>
      <c r="Z1989" t="s">
        <v>157</v>
      </c>
      <c r="AA1989" t="s">
        <v>158</v>
      </c>
      <c r="AB1989" t="s">
        <v>131</v>
      </c>
      <c r="AC1989" t="s">
        <v>51</v>
      </c>
      <c r="AD1989" t="s">
        <v>45</v>
      </c>
      <c r="AE1989" s="1">
        <v>28929</v>
      </c>
      <c r="AF1989">
        <v>2</v>
      </c>
      <c r="AG1989" t="s">
        <v>158</v>
      </c>
      <c r="AH1989" s="36">
        <f t="shared" si="31"/>
        <v>40.355555555555554</v>
      </c>
      <c r="AI1989" s="40" t="s">
        <v>1778</v>
      </c>
    </row>
    <row r="1990" spans="1:35" x14ac:dyDescent="0.25">
      <c r="A1990" s="36">
        <v>99911988</v>
      </c>
      <c r="B1990" s="17" t="s">
        <v>32</v>
      </c>
      <c r="C1990" t="s">
        <v>46</v>
      </c>
      <c r="D1990" t="s">
        <v>47</v>
      </c>
      <c r="G1990" s="17" t="s">
        <v>48</v>
      </c>
      <c r="H1990" s="17">
        <v>1</v>
      </c>
      <c r="K1990" t="s">
        <v>1128</v>
      </c>
      <c r="L1990" t="s">
        <v>1129</v>
      </c>
      <c r="M1990" t="s">
        <v>1130</v>
      </c>
      <c r="N1990">
        <v>21</v>
      </c>
      <c r="O1990" t="s">
        <v>40</v>
      </c>
      <c r="P1990" t="s">
        <v>40</v>
      </c>
      <c r="Q1990" t="s">
        <v>40</v>
      </c>
      <c r="R1990" t="s">
        <v>40</v>
      </c>
      <c r="S1990" t="s">
        <v>40</v>
      </c>
      <c r="V1990" t="s">
        <v>41</v>
      </c>
      <c r="W1990" t="s">
        <v>49</v>
      </c>
      <c r="X1990" t="str">
        <f>"3181015"</f>
        <v>3181015</v>
      </c>
      <c r="Y1990" t="s">
        <v>1131</v>
      </c>
      <c r="Z1990" t="s">
        <v>1128</v>
      </c>
      <c r="AA1990" t="s">
        <v>1129</v>
      </c>
      <c r="AB1990" t="s">
        <v>1130</v>
      </c>
      <c r="AC1990" t="s">
        <v>51</v>
      </c>
      <c r="AD1990" t="s">
        <v>45</v>
      </c>
      <c r="AE1990" s="1">
        <v>28929</v>
      </c>
      <c r="AF1990">
        <v>2</v>
      </c>
      <c r="AG1990" t="s">
        <v>1129</v>
      </c>
      <c r="AH1990" s="36">
        <f t="shared" si="31"/>
        <v>40.355555555555554</v>
      </c>
      <c r="AI1990" s="40" t="s">
        <v>1778</v>
      </c>
    </row>
    <row r="1991" spans="1:35" x14ac:dyDescent="0.25">
      <c r="A1991" s="36">
        <v>99911989</v>
      </c>
      <c r="B1991" s="17" t="s">
        <v>32</v>
      </c>
      <c r="C1991" t="s">
        <v>46</v>
      </c>
      <c r="D1991" t="s">
        <v>47</v>
      </c>
      <c r="G1991" s="17" t="s">
        <v>35</v>
      </c>
      <c r="H1991" s="17">
        <v>1</v>
      </c>
      <c r="I1991">
        <v>0</v>
      </c>
      <c r="J1991" s="1">
        <v>43344</v>
      </c>
      <c r="K1991" t="s">
        <v>223</v>
      </c>
      <c r="L1991" t="s">
        <v>224</v>
      </c>
      <c r="M1991" t="s">
        <v>131</v>
      </c>
      <c r="N1991">
        <v>21</v>
      </c>
      <c r="O1991" t="s">
        <v>40</v>
      </c>
      <c r="S1991" t="s">
        <v>40</v>
      </c>
      <c r="U1991" s="1">
        <v>43344</v>
      </c>
      <c r="V1991" t="s">
        <v>41</v>
      </c>
      <c r="W1991" t="s">
        <v>42</v>
      </c>
      <c r="X1991" t="str">
        <f>"0580207"</f>
        <v>0580207</v>
      </c>
      <c r="Y1991" t="s">
        <v>229</v>
      </c>
      <c r="Z1991" t="s">
        <v>223</v>
      </c>
      <c r="AA1991" t="s">
        <v>224</v>
      </c>
      <c r="AB1991" t="s">
        <v>131</v>
      </c>
      <c r="AC1991" t="s">
        <v>51</v>
      </c>
      <c r="AD1991" t="s">
        <v>45</v>
      </c>
      <c r="AE1991" s="1">
        <v>28925</v>
      </c>
      <c r="AF1991">
        <v>2</v>
      </c>
      <c r="AG1991" t="s">
        <v>224</v>
      </c>
      <c r="AH1991" s="36">
        <f t="shared" si="31"/>
        <v>40.366666666666667</v>
      </c>
      <c r="AI1991" s="40" t="s">
        <v>1778</v>
      </c>
    </row>
    <row r="1992" spans="1:35" x14ac:dyDescent="0.25">
      <c r="A1992" s="36">
        <v>99911990</v>
      </c>
      <c r="B1992" s="17" t="s">
        <v>32</v>
      </c>
      <c r="C1992" t="s">
        <v>64</v>
      </c>
      <c r="D1992" t="s">
        <v>65</v>
      </c>
      <c r="G1992" s="17" t="s">
        <v>48</v>
      </c>
      <c r="H1992" s="17">
        <v>1</v>
      </c>
      <c r="K1992" t="s">
        <v>300</v>
      </c>
      <c r="L1992" t="s">
        <v>301</v>
      </c>
      <c r="M1992" t="s">
        <v>131</v>
      </c>
      <c r="N1992">
        <v>21</v>
      </c>
      <c r="O1992" t="s">
        <v>40</v>
      </c>
      <c r="P1992" t="s">
        <v>40</v>
      </c>
      <c r="Q1992" t="s">
        <v>40</v>
      </c>
      <c r="R1992" t="s">
        <v>40</v>
      </c>
      <c r="S1992" t="s">
        <v>40</v>
      </c>
      <c r="V1992" t="s">
        <v>41</v>
      </c>
      <c r="W1992" t="s">
        <v>49</v>
      </c>
      <c r="X1992" t="str">
        <f>"0560001"</f>
        <v>0560001</v>
      </c>
      <c r="Y1992" t="s">
        <v>304</v>
      </c>
      <c r="Z1992" t="s">
        <v>300</v>
      </c>
      <c r="AA1992" t="s">
        <v>301</v>
      </c>
      <c r="AB1992" t="s">
        <v>131</v>
      </c>
      <c r="AC1992" t="s">
        <v>51</v>
      </c>
      <c r="AD1992" t="s">
        <v>45</v>
      </c>
      <c r="AE1992" s="1">
        <v>28921</v>
      </c>
      <c r="AF1992">
        <v>2</v>
      </c>
      <c r="AG1992" t="s">
        <v>301</v>
      </c>
      <c r="AH1992" s="36">
        <f t="shared" si="31"/>
        <v>40.37777777777778</v>
      </c>
      <c r="AI1992" s="40" t="s">
        <v>1778</v>
      </c>
    </row>
    <row r="1993" spans="1:35" x14ac:dyDescent="0.25">
      <c r="A1993" s="36">
        <v>99911991</v>
      </c>
      <c r="B1993" s="17" t="s">
        <v>32</v>
      </c>
      <c r="C1993" t="s">
        <v>90</v>
      </c>
      <c r="D1993" t="s">
        <v>91</v>
      </c>
      <c r="G1993" s="17" t="s">
        <v>48</v>
      </c>
      <c r="H1993" s="17">
        <v>1</v>
      </c>
      <c r="K1993" t="s">
        <v>407</v>
      </c>
      <c r="L1993" t="s">
        <v>409</v>
      </c>
      <c r="M1993" t="s">
        <v>131</v>
      </c>
      <c r="N1993">
        <v>25</v>
      </c>
      <c r="O1993" t="s">
        <v>40</v>
      </c>
      <c r="P1993" t="s">
        <v>40</v>
      </c>
      <c r="Q1993" t="s">
        <v>40</v>
      </c>
      <c r="R1993" t="s">
        <v>40</v>
      </c>
      <c r="S1993" t="s">
        <v>40</v>
      </c>
      <c r="V1993" t="s">
        <v>41</v>
      </c>
      <c r="W1993" t="s">
        <v>95</v>
      </c>
      <c r="X1993" t="str">
        <f>"7053021"</f>
        <v>7053021</v>
      </c>
      <c r="Y1993" t="s">
        <v>758</v>
      </c>
      <c r="Z1993" t="s">
        <v>407</v>
      </c>
      <c r="AA1993" t="s">
        <v>409</v>
      </c>
      <c r="AB1993" t="s">
        <v>131</v>
      </c>
      <c r="AC1993" t="s">
        <v>51</v>
      </c>
      <c r="AD1993" t="s">
        <v>45</v>
      </c>
      <c r="AE1993" s="1">
        <v>28914</v>
      </c>
      <c r="AF1993">
        <v>1</v>
      </c>
      <c r="AG1993" t="s">
        <v>409</v>
      </c>
      <c r="AH1993" s="36">
        <f t="shared" si="31"/>
        <v>40.397222222222226</v>
      </c>
      <c r="AI1993" s="40" t="s">
        <v>1778</v>
      </c>
    </row>
    <row r="1994" spans="1:35" x14ac:dyDescent="0.25">
      <c r="A1994" s="36">
        <v>99911992</v>
      </c>
      <c r="B1994" s="17" t="s">
        <v>32</v>
      </c>
      <c r="C1994" t="s">
        <v>79</v>
      </c>
      <c r="D1994" t="s">
        <v>80</v>
      </c>
      <c r="G1994" s="17" t="s">
        <v>35</v>
      </c>
      <c r="H1994" s="17">
        <v>1</v>
      </c>
      <c r="I1994" s="1">
        <v>40787</v>
      </c>
      <c r="J1994" s="1">
        <v>43344</v>
      </c>
      <c r="K1994" t="s">
        <v>1341</v>
      </c>
      <c r="L1994" t="s">
        <v>1342</v>
      </c>
      <c r="M1994" t="s">
        <v>1270</v>
      </c>
      <c r="N1994">
        <v>3</v>
      </c>
      <c r="O1994" t="s">
        <v>40</v>
      </c>
      <c r="S1994" t="s">
        <v>40</v>
      </c>
      <c r="U1994" s="1">
        <v>43344</v>
      </c>
      <c r="V1994" t="s">
        <v>41</v>
      </c>
      <c r="W1994" t="s">
        <v>75</v>
      </c>
      <c r="X1994" t="str">
        <f>"7191004"</f>
        <v>7191004</v>
      </c>
      <c r="Y1994" t="s">
        <v>1344</v>
      </c>
      <c r="Z1994" t="s">
        <v>1341</v>
      </c>
      <c r="AA1994" t="s">
        <v>1342</v>
      </c>
      <c r="AB1994" t="s">
        <v>1270</v>
      </c>
      <c r="AC1994" t="s">
        <v>51</v>
      </c>
      <c r="AD1994" t="s">
        <v>45</v>
      </c>
      <c r="AE1994" s="1">
        <v>28909</v>
      </c>
      <c r="AF1994">
        <v>1</v>
      </c>
      <c r="AG1994" t="s">
        <v>1342</v>
      </c>
      <c r="AH1994" s="36">
        <f t="shared" si="31"/>
        <v>40.411111111111111</v>
      </c>
      <c r="AI1994" s="40" t="s">
        <v>1778</v>
      </c>
    </row>
    <row r="1995" spans="1:35" x14ac:dyDescent="0.25">
      <c r="A1995" s="36">
        <v>99911993</v>
      </c>
      <c r="B1995" s="17" t="s">
        <v>32</v>
      </c>
      <c r="C1995" t="s">
        <v>111</v>
      </c>
      <c r="D1995" t="s">
        <v>112</v>
      </c>
      <c r="G1995" s="17" t="s">
        <v>35</v>
      </c>
      <c r="H1995" s="17">
        <v>1</v>
      </c>
      <c r="K1995" t="s">
        <v>154</v>
      </c>
      <c r="L1995" t="s">
        <v>155</v>
      </c>
      <c r="M1995" t="s">
        <v>131</v>
      </c>
      <c r="N1995">
        <v>22</v>
      </c>
      <c r="O1995" t="s">
        <v>40</v>
      </c>
      <c r="P1995" t="s">
        <v>40</v>
      </c>
      <c r="Q1995" t="s">
        <v>40</v>
      </c>
      <c r="R1995" t="s">
        <v>40</v>
      </c>
      <c r="S1995" t="s">
        <v>40</v>
      </c>
      <c r="V1995" t="s">
        <v>41</v>
      </c>
      <c r="W1995" t="s">
        <v>75</v>
      </c>
      <c r="X1995" t="str">
        <f>"7700026"</f>
        <v>7700026</v>
      </c>
      <c r="Y1995" t="s">
        <v>397</v>
      </c>
      <c r="Z1995" t="s">
        <v>154</v>
      </c>
      <c r="AA1995" t="s">
        <v>155</v>
      </c>
      <c r="AB1995" t="s">
        <v>131</v>
      </c>
      <c r="AC1995" t="s">
        <v>51</v>
      </c>
      <c r="AD1995" t="s">
        <v>45</v>
      </c>
      <c r="AE1995" s="1">
        <v>28902</v>
      </c>
      <c r="AF1995">
        <v>1</v>
      </c>
      <c r="AG1995" t="s">
        <v>155</v>
      </c>
      <c r="AH1995" s="36">
        <f t="shared" si="31"/>
        <v>40.430555555555557</v>
      </c>
      <c r="AI1995" s="40" t="s">
        <v>1778</v>
      </c>
    </row>
    <row r="1996" spans="1:35" x14ac:dyDescent="0.25">
      <c r="A1996" s="36">
        <v>99911994</v>
      </c>
      <c r="B1996" s="17" t="s">
        <v>32</v>
      </c>
      <c r="C1996" t="s">
        <v>139</v>
      </c>
      <c r="D1996" t="s">
        <v>140</v>
      </c>
      <c r="G1996" s="17" t="s">
        <v>48</v>
      </c>
      <c r="H1996" s="17">
        <v>1</v>
      </c>
      <c r="K1996" t="s">
        <v>354</v>
      </c>
      <c r="L1996" t="s">
        <v>355</v>
      </c>
      <c r="M1996" t="s">
        <v>131</v>
      </c>
      <c r="N1996">
        <v>23</v>
      </c>
      <c r="O1996" t="s">
        <v>40</v>
      </c>
      <c r="P1996" t="s">
        <v>40</v>
      </c>
      <c r="Q1996" t="s">
        <v>40</v>
      </c>
      <c r="S1996" t="s">
        <v>40</v>
      </c>
      <c r="V1996" t="s">
        <v>41</v>
      </c>
      <c r="W1996" t="s">
        <v>75</v>
      </c>
      <c r="X1996" t="str">
        <f>"7054022"</f>
        <v>7054022</v>
      </c>
      <c r="Y1996" t="s">
        <v>770</v>
      </c>
      <c r="Z1996" t="s">
        <v>354</v>
      </c>
      <c r="AA1996" t="s">
        <v>355</v>
      </c>
      <c r="AB1996" t="s">
        <v>131</v>
      </c>
      <c r="AC1996" t="s">
        <v>51</v>
      </c>
      <c r="AD1996" t="s">
        <v>45</v>
      </c>
      <c r="AE1996" s="1">
        <v>28898</v>
      </c>
      <c r="AF1996">
        <v>1</v>
      </c>
      <c r="AG1996" t="s">
        <v>355</v>
      </c>
      <c r="AH1996" s="36">
        <f t="shared" si="31"/>
        <v>40.44166666666667</v>
      </c>
      <c r="AI1996" s="40" t="s">
        <v>1778</v>
      </c>
    </row>
    <row r="1997" spans="1:35" x14ac:dyDescent="0.25">
      <c r="A1997" s="36">
        <v>99911995</v>
      </c>
      <c r="B1997" s="17" t="s">
        <v>32</v>
      </c>
      <c r="C1997" t="s">
        <v>139</v>
      </c>
      <c r="D1997" t="s">
        <v>140</v>
      </c>
      <c r="G1997" s="17" t="s">
        <v>48</v>
      </c>
      <c r="H1997" s="17">
        <v>1</v>
      </c>
      <c r="K1997" t="s">
        <v>354</v>
      </c>
      <c r="L1997" t="s">
        <v>355</v>
      </c>
      <c r="M1997" t="s">
        <v>131</v>
      </c>
      <c r="N1997">
        <v>24</v>
      </c>
      <c r="O1997" t="s">
        <v>40</v>
      </c>
      <c r="P1997" t="s">
        <v>40</v>
      </c>
      <c r="Q1997" t="s">
        <v>40</v>
      </c>
      <c r="S1997" t="s">
        <v>40</v>
      </c>
      <c r="V1997" t="s">
        <v>41</v>
      </c>
      <c r="W1997" t="s">
        <v>75</v>
      </c>
      <c r="X1997" t="str">
        <f>"7054022"</f>
        <v>7054022</v>
      </c>
      <c r="Y1997" t="s">
        <v>770</v>
      </c>
      <c r="Z1997" t="s">
        <v>354</v>
      </c>
      <c r="AA1997" t="s">
        <v>355</v>
      </c>
      <c r="AB1997" t="s">
        <v>131</v>
      </c>
      <c r="AC1997" t="s">
        <v>51</v>
      </c>
      <c r="AD1997" t="s">
        <v>45</v>
      </c>
      <c r="AE1997" s="1">
        <v>28895</v>
      </c>
      <c r="AF1997">
        <v>1</v>
      </c>
      <c r="AG1997" t="s">
        <v>355</v>
      </c>
      <c r="AH1997" s="36">
        <f t="shared" si="31"/>
        <v>40.450000000000003</v>
      </c>
      <c r="AI1997" s="40" t="s">
        <v>1778</v>
      </c>
    </row>
    <row r="1998" spans="1:35" x14ac:dyDescent="0.25">
      <c r="A1998" s="36">
        <v>99911996</v>
      </c>
      <c r="B1998" s="17" t="s">
        <v>56</v>
      </c>
      <c r="C1998" t="s">
        <v>149</v>
      </c>
      <c r="D1998" t="s">
        <v>150</v>
      </c>
      <c r="G1998" s="17" t="s">
        <v>35</v>
      </c>
      <c r="H1998" s="17">
        <v>1</v>
      </c>
      <c r="I1998">
        <v>10309</v>
      </c>
      <c r="J1998" s="1">
        <v>43397</v>
      </c>
      <c r="K1998" t="s">
        <v>1051</v>
      </c>
      <c r="L1998" t="s">
        <v>1052</v>
      </c>
      <c r="M1998" t="s">
        <v>1053</v>
      </c>
      <c r="N1998">
        <v>3</v>
      </c>
      <c r="O1998" t="s">
        <v>40</v>
      </c>
      <c r="S1998" t="s">
        <v>40</v>
      </c>
      <c r="U1998" s="1">
        <v>43397</v>
      </c>
      <c r="V1998" t="s">
        <v>41</v>
      </c>
      <c r="W1998" t="s">
        <v>49</v>
      </c>
      <c r="X1998" t="str">
        <f>"2060005"</f>
        <v>2060005</v>
      </c>
      <c r="Y1998" t="s">
        <v>1054</v>
      </c>
      <c r="Z1998" t="s">
        <v>1051</v>
      </c>
      <c r="AA1998" t="s">
        <v>1052</v>
      </c>
      <c r="AB1998" t="s">
        <v>1053</v>
      </c>
      <c r="AC1998" t="s">
        <v>51</v>
      </c>
      <c r="AD1998" t="s">
        <v>45</v>
      </c>
      <c r="AE1998" s="1">
        <v>28894</v>
      </c>
      <c r="AF1998">
        <v>2</v>
      </c>
      <c r="AG1998" t="s">
        <v>1052</v>
      </c>
      <c r="AH1998" s="36">
        <f t="shared" si="31"/>
        <v>40.452777777777776</v>
      </c>
      <c r="AI1998" s="40" t="s">
        <v>1778</v>
      </c>
    </row>
    <row r="1999" spans="1:35" x14ac:dyDescent="0.25">
      <c r="A1999" s="36">
        <v>99911997</v>
      </c>
      <c r="B1999" s="17" t="s">
        <v>32</v>
      </c>
      <c r="C1999" t="s">
        <v>82</v>
      </c>
      <c r="D1999" t="s">
        <v>83</v>
      </c>
      <c r="G1999" s="17" t="s">
        <v>35</v>
      </c>
      <c r="H1999" s="17">
        <v>1</v>
      </c>
      <c r="I1999" t="s">
        <v>1156</v>
      </c>
      <c r="J1999" s="1">
        <v>43344</v>
      </c>
      <c r="K1999" t="s">
        <v>1128</v>
      </c>
      <c r="L1999" t="s">
        <v>1129</v>
      </c>
      <c r="M1999" t="s">
        <v>1130</v>
      </c>
      <c r="N1999">
        <v>6</v>
      </c>
      <c r="O1999" t="s">
        <v>40</v>
      </c>
      <c r="P1999" t="s">
        <v>40</v>
      </c>
      <c r="Q1999" t="s">
        <v>40</v>
      </c>
      <c r="R1999" t="s">
        <v>40</v>
      </c>
      <c r="S1999" t="s">
        <v>40</v>
      </c>
      <c r="U1999" s="1">
        <v>43344</v>
      </c>
      <c r="V1999" t="s">
        <v>41</v>
      </c>
      <c r="W1999" t="s">
        <v>49</v>
      </c>
      <c r="X1999" t="str">
        <f>"3181015"</f>
        <v>3181015</v>
      </c>
      <c r="Y1999" t="s">
        <v>1131</v>
      </c>
      <c r="Z1999" t="s">
        <v>1128</v>
      </c>
      <c r="AA1999" t="s">
        <v>1129</v>
      </c>
      <c r="AB1999" t="s">
        <v>1130</v>
      </c>
      <c r="AC1999" t="s">
        <v>51</v>
      </c>
      <c r="AD1999" t="s">
        <v>45</v>
      </c>
      <c r="AE1999" s="1">
        <v>28894</v>
      </c>
      <c r="AF1999">
        <v>2</v>
      </c>
      <c r="AG1999" t="s">
        <v>1129</v>
      </c>
      <c r="AH1999" s="36">
        <f t="shared" si="31"/>
        <v>40.452777777777776</v>
      </c>
      <c r="AI1999" s="40" t="s">
        <v>1778</v>
      </c>
    </row>
    <row r="2000" spans="1:35" x14ac:dyDescent="0.25">
      <c r="A2000" s="36">
        <v>99911998</v>
      </c>
      <c r="B2000" s="17" t="s">
        <v>32</v>
      </c>
      <c r="C2000" t="s">
        <v>46</v>
      </c>
      <c r="D2000" t="s">
        <v>47</v>
      </c>
      <c r="G2000" s="17" t="s">
        <v>35</v>
      </c>
      <c r="H2000" s="17">
        <v>1</v>
      </c>
      <c r="I2000" t="s">
        <v>1140</v>
      </c>
      <c r="J2000" s="1">
        <v>43346</v>
      </c>
      <c r="K2000" t="s">
        <v>1128</v>
      </c>
      <c r="L2000" t="s">
        <v>1129</v>
      </c>
      <c r="M2000" t="s">
        <v>1130</v>
      </c>
      <c r="N2000">
        <v>23</v>
      </c>
      <c r="O2000" t="s">
        <v>40</v>
      </c>
      <c r="P2000" t="s">
        <v>40</v>
      </c>
      <c r="Q2000" t="s">
        <v>40</v>
      </c>
      <c r="R2000" t="s">
        <v>40</v>
      </c>
      <c r="S2000" t="s">
        <v>40</v>
      </c>
      <c r="U2000" s="1">
        <v>43346</v>
      </c>
      <c r="V2000" t="s">
        <v>41</v>
      </c>
      <c r="W2000" t="s">
        <v>49</v>
      </c>
      <c r="X2000" t="str">
        <f>"3181010"</f>
        <v>3181010</v>
      </c>
      <c r="Y2000" t="s">
        <v>1134</v>
      </c>
      <c r="Z2000" t="s">
        <v>1128</v>
      </c>
      <c r="AA2000" t="s">
        <v>1129</v>
      </c>
      <c r="AB2000" t="s">
        <v>1130</v>
      </c>
      <c r="AC2000" t="s">
        <v>44</v>
      </c>
      <c r="AD2000" t="s">
        <v>45</v>
      </c>
      <c r="AE2000" s="1">
        <v>28887</v>
      </c>
      <c r="AF2000">
        <v>2</v>
      </c>
      <c r="AG2000" t="s">
        <v>1129</v>
      </c>
      <c r="AH2000" s="36">
        <f t="shared" si="31"/>
        <v>40.472222222222221</v>
      </c>
      <c r="AI2000" s="40" t="s">
        <v>1778</v>
      </c>
    </row>
    <row r="2001" spans="1:35" x14ac:dyDescent="0.25">
      <c r="A2001" s="36">
        <v>99911999</v>
      </c>
      <c r="B2001" s="17" t="s">
        <v>32</v>
      </c>
      <c r="C2001" t="s">
        <v>111</v>
      </c>
      <c r="D2001" t="s">
        <v>112</v>
      </c>
      <c r="G2001" s="17" t="s">
        <v>48</v>
      </c>
      <c r="H2001" s="17">
        <v>7</v>
      </c>
      <c r="K2001" t="s">
        <v>354</v>
      </c>
      <c r="L2001" t="s">
        <v>355</v>
      </c>
      <c r="M2001" t="s">
        <v>131</v>
      </c>
      <c r="N2001">
        <v>23</v>
      </c>
      <c r="O2001" t="s">
        <v>40</v>
      </c>
      <c r="P2001" t="s">
        <v>40</v>
      </c>
      <c r="Q2001" t="s">
        <v>40</v>
      </c>
      <c r="R2001" t="s">
        <v>40</v>
      </c>
      <c r="S2001" t="s">
        <v>40</v>
      </c>
      <c r="V2001" t="s">
        <v>41</v>
      </c>
      <c r="W2001" t="s">
        <v>75</v>
      </c>
      <c r="X2001" t="str">
        <f>"7054020"</f>
        <v>7054020</v>
      </c>
      <c r="Y2001" t="s">
        <v>765</v>
      </c>
      <c r="Z2001" t="s">
        <v>354</v>
      </c>
      <c r="AA2001" t="s">
        <v>355</v>
      </c>
      <c r="AB2001" t="s">
        <v>131</v>
      </c>
      <c r="AC2001" t="s">
        <v>51</v>
      </c>
      <c r="AD2001" t="s">
        <v>45</v>
      </c>
      <c r="AE2001" s="1">
        <v>28884</v>
      </c>
      <c r="AF2001">
        <v>1</v>
      </c>
      <c r="AG2001" t="s">
        <v>355</v>
      </c>
      <c r="AH2001" s="36">
        <f t="shared" si="31"/>
        <v>40.480555555555554</v>
      </c>
      <c r="AI2001" s="40" t="s">
        <v>1778</v>
      </c>
    </row>
    <row r="2002" spans="1:35" x14ac:dyDescent="0.25">
      <c r="A2002" s="36">
        <v>99912000</v>
      </c>
      <c r="B2002" s="17" t="s">
        <v>32</v>
      </c>
      <c r="C2002" t="s">
        <v>136</v>
      </c>
      <c r="D2002" t="s">
        <v>137</v>
      </c>
      <c r="G2002" s="17" t="s">
        <v>48</v>
      </c>
      <c r="H2002" s="17">
        <v>1</v>
      </c>
      <c r="K2002" t="s">
        <v>129</v>
      </c>
      <c r="L2002" t="s">
        <v>130</v>
      </c>
      <c r="M2002" t="s">
        <v>131</v>
      </c>
      <c r="N2002">
        <v>10</v>
      </c>
      <c r="O2002" t="s">
        <v>40</v>
      </c>
      <c r="P2002" t="s">
        <v>40</v>
      </c>
      <c r="Q2002" t="s">
        <v>40</v>
      </c>
      <c r="R2002" t="s">
        <v>40</v>
      </c>
      <c r="S2002" t="s">
        <v>40</v>
      </c>
      <c r="V2002" t="s">
        <v>41</v>
      </c>
      <c r="W2002" t="s">
        <v>42</v>
      </c>
      <c r="X2002" t="str">
        <f>"0590905"</f>
        <v>0590905</v>
      </c>
      <c r="Y2002" t="s">
        <v>133</v>
      </c>
      <c r="Z2002" t="s">
        <v>129</v>
      </c>
      <c r="AA2002" t="s">
        <v>130</v>
      </c>
      <c r="AB2002" t="s">
        <v>131</v>
      </c>
      <c r="AC2002" t="s">
        <v>51</v>
      </c>
      <c r="AD2002" t="s">
        <v>45</v>
      </c>
      <c r="AE2002" s="1">
        <v>28883</v>
      </c>
      <c r="AF2002">
        <v>2</v>
      </c>
      <c r="AG2002" t="s">
        <v>130</v>
      </c>
      <c r="AH2002" s="36">
        <f t="shared" si="31"/>
        <v>40.483333333333334</v>
      </c>
      <c r="AI2002" s="40" t="s">
        <v>1778</v>
      </c>
    </row>
    <row r="2003" spans="1:35" x14ac:dyDescent="0.25">
      <c r="A2003" s="36">
        <v>99912001</v>
      </c>
      <c r="B2003" s="17" t="s">
        <v>32</v>
      </c>
      <c r="C2003" t="s">
        <v>139</v>
      </c>
      <c r="D2003" t="s">
        <v>140</v>
      </c>
      <c r="G2003" s="17" t="s">
        <v>35</v>
      </c>
      <c r="H2003" s="17">
        <v>1</v>
      </c>
      <c r="I2003" s="1">
        <v>42625</v>
      </c>
      <c r="J2003" s="1">
        <v>43344</v>
      </c>
      <c r="K2003" t="s">
        <v>1341</v>
      </c>
      <c r="L2003" t="s">
        <v>1342</v>
      </c>
      <c r="M2003" t="s">
        <v>1270</v>
      </c>
      <c r="N2003">
        <v>24</v>
      </c>
      <c r="O2003" t="s">
        <v>40</v>
      </c>
      <c r="S2003" t="s">
        <v>40</v>
      </c>
      <c r="U2003" s="1">
        <v>43344</v>
      </c>
      <c r="V2003" t="s">
        <v>41</v>
      </c>
      <c r="W2003" t="s">
        <v>75</v>
      </c>
      <c r="X2003" t="str">
        <f>"7191000"</f>
        <v>7191000</v>
      </c>
      <c r="Y2003" t="s">
        <v>1347</v>
      </c>
      <c r="Z2003" t="s">
        <v>1341</v>
      </c>
      <c r="AA2003" t="s">
        <v>1342</v>
      </c>
      <c r="AB2003" t="s">
        <v>1270</v>
      </c>
      <c r="AC2003" t="s">
        <v>51</v>
      </c>
      <c r="AD2003" t="s">
        <v>45</v>
      </c>
      <c r="AE2003" s="1">
        <v>28882</v>
      </c>
      <c r="AF2003">
        <v>1</v>
      </c>
      <c r="AG2003" t="s">
        <v>1342</v>
      </c>
      <c r="AH2003" s="36">
        <f t="shared" si="31"/>
        <v>40.486111111111114</v>
      </c>
      <c r="AI2003" s="40" t="s">
        <v>1778</v>
      </c>
    </row>
    <row r="2004" spans="1:35" x14ac:dyDescent="0.25">
      <c r="A2004" s="36">
        <v>99912002</v>
      </c>
      <c r="B2004" s="17" t="s">
        <v>32</v>
      </c>
      <c r="C2004" t="s">
        <v>111</v>
      </c>
      <c r="D2004" t="s">
        <v>112</v>
      </c>
      <c r="G2004" s="17" t="s">
        <v>35</v>
      </c>
      <c r="H2004" s="17">
        <v>1</v>
      </c>
      <c r="K2004" t="s">
        <v>154</v>
      </c>
      <c r="L2004" t="s">
        <v>155</v>
      </c>
      <c r="M2004" t="s">
        <v>131</v>
      </c>
      <c r="N2004">
        <v>23</v>
      </c>
      <c r="O2004" t="s">
        <v>40</v>
      </c>
      <c r="P2004" t="s">
        <v>40</v>
      </c>
      <c r="Q2004" t="s">
        <v>40</v>
      </c>
      <c r="S2004" t="s">
        <v>40</v>
      </c>
      <c r="V2004" t="s">
        <v>41</v>
      </c>
      <c r="W2004" t="s">
        <v>75</v>
      </c>
      <c r="X2004" t="str">
        <f>"7700026"</f>
        <v>7700026</v>
      </c>
      <c r="Y2004" t="s">
        <v>397</v>
      </c>
      <c r="Z2004" t="s">
        <v>154</v>
      </c>
      <c r="AA2004" t="s">
        <v>155</v>
      </c>
      <c r="AB2004" t="s">
        <v>131</v>
      </c>
      <c r="AC2004" t="s">
        <v>51</v>
      </c>
      <c r="AD2004" t="s">
        <v>45</v>
      </c>
      <c r="AE2004" s="1">
        <v>28877</v>
      </c>
      <c r="AF2004">
        <v>1</v>
      </c>
      <c r="AG2004" t="s">
        <v>155</v>
      </c>
      <c r="AH2004" s="36">
        <f t="shared" si="31"/>
        <v>40.5</v>
      </c>
      <c r="AI2004" s="41" t="s">
        <v>1779</v>
      </c>
    </row>
    <row r="2005" spans="1:35" x14ac:dyDescent="0.25">
      <c r="A2005" s="36">
        <v>99912003</v>
      </c>
      <c r="B2005" s="17" t="s">
        <v>56</v>
      </c>
      <c r="C2005" t="s">
        <v>61</v>
      </c>
      <c r="D2005" t="s">
        <v>62</v>
      </c>
      <c r="G2005" s="17" t="s">
        <v>35</v>
      </c>
      <c r="H2005" s="17">
        <v>1</v>
      </c>
      <c r="K2005" t="s">
        <v>947</v>
      </c>
      <c r="L2005" t="s">
        <v>948</v>
      </c>
      <c r="M2005" t="s">
        <v>938</v>
      </c>
      <c r="N2005">
        <v>7</v>
      </c>
      <c r="O2005" t="s">
        <v>40</v>
      </c>
      <c r="P2005" t="s">
        <v>40</v>
      </c>
      <c r="Q2005" t="s">
        <v>40</v>
      </c>
      <c r="R2005" t="s">
        <v>40</v>
      </c>
      <c r="S2005" t="s">
        <v>40</v>
      </c>
      <c r="V2005" t="s">
        <v>41</v>
      </c>
      <c r="W2005" t="s">
        <v>42</v>
      </c>
      <c r="X2005" t="str">
        <f>"0680039"</f>
        <v>0680039</v>
      </c>
      <c r="Y2005" t="s">
        <v>949</v>
      </c>
      <c r="Z2005" t="s">
        <v>947</v>
      </c>
      <c r="AA2005" t="s">
        <v>948</v>
      </c>
      <c r="AB2005" t="s">
        <v>938</v>
      </c>
      <c r="AC2005" t="s">
        <v>51</v>
      </c>
      <c r="AD2005" t="s">
        <v>45</v>
      </c>
      <c r="AE2005" s="1">
        <v>28877</v>
      </c>
      <c r="AF2005">
        <v>2</v>
      </c>
      <c r="AG2005" t="s">
        <v>948</v>
      </c>
      <c r="AH2005" s="36">
        <f t="shared" si="31"/>
        <v>40.5</v>
      </c>
      <c r="AI2005" s="41" t="s">
        <v>1779</v>
      </c>
    </row>
    <row r="2006" spans="1:35" x14ac:dyDescent="0.25">
      <c r="A2006" s="36">
        <v>99912004</v>
      </c>
      <c r="B2006" s="17" t="s">
        <v>32</v>
      </c>
      <c r="C2006" t="s">
        <v>46</v>
      </c>
      <c r="D2006" t="s">
        <v>47</v>
      </c>
      <c r="G2006" s="17" t="s">
        <v>48</v>
      </c>
      <c r="H2006" s="17">
        <v>1</v>
      </c>
      <c r="K2006" t="s">
        <v>223</v>
      </c>
      <c r="L2006" t="s">
        <v>224</v>
      </c>
      <c r="M2006" t="s">
        <v>131</v>
      </c>
      <c r="N2006">
        <v>4</v>
      </c>
      <c r="O2006" t="s">
        <v>40</v>
      </c>
      <c r="P2006" t="s">
        <v>40</v>
      </c>
      <c r="Q2006" t="s">
        <v>40</v>
      </c>
      <c r="R2006" t="s">
        <v>40</v>
      </c>
      <c r="S2006" t="s">
        <v>40</v>
      </c>
      <c r="V2006" t="s">
        <v>41</v>
      </c>
      <c r="W2006" t="s">
        <v>42</v>
      </c>
      <c r="X2006" t="str">
        <f>"0561007"</f>
        <v>0561007</v>
      </c>
      <c r="Y2006" t="s">
        <v>262</v>
      </c>
      <c r="Z2006" t="s">
        <v>223</v>
      </c>
      <c r="AA2006" t="s">
        <v>224</v>
      </c>
      <c r="AB2006" t="s">
        <v>131</v>
      </c>
      <c r="AC2006" t="s">
        <v>51</v>
      </c>
      <c r="AD2006" t="s">
        <v>45</v>
      </c>
      <c r="AE2006" s="1">
        <v>28871</v>
      </c>
      <c r="AF2006">
        <v>2</v>
      </c>
      <c r="AG2006" t="s">
        <v>224</v>
      </c>
      <c r="AH2006" s="36">
        <f t="shared" si="31"/>
        <v>40.516666666666666</v>
      </c>
      <c r="AI2006" s="41" t="s">
        <v>1779</v>
      </c>
    </row>
    <row r="2007" spans="1:35" x14ac:dyDescent="0.25">
      <c r="A2007" s="36">
        <v>99912005</v>
      </c>
      <c r="B2007" s="17" t="s">
        <v>32</v>
      </c>
      <c r="C2007" t="s">
        <v>90</v>
      </c>
      <c r="D2007" t="s">
        <v>91</v>
      </c>
      <c r="G2007" s="17" t="s">
        <v>35</v>
      </c>
      <c r="H2007" s="17">
        <v>1</v>
      </c>
      <c r="I2007" s="1">
        <v>37642</v>
      </c>
      <c r="J2007" s="1">
        <v>43344</v>
      </c>
      <c r="K2007" t="s">
        <v>1341</v>
      </c>
      <c r="L2007" t="s">
        <v>1342</v>
      </c>
      <c r="M2007" t="s">
        <v>1270</v>
      </c>
      <c r="N2007">
        <v>24</v>
      </c>
      <c r="O2007" t="s">
        <v>40</v>
      </c>
      <c r="S2007" t="s">
        <v>40</v>
      </c>
      <c r="U2007" s="1">
        <v>43344</v>
      </c>
      <c r="V2007" t="s">
        <v>41</v>
      </c>
      <c r="W2007" t="s">
        <v>95</v>
      </c>
      <c r="X2007" t="str">
        <f>"7191121"</f>
        <v>7191121</v>
      </c>
      <c r="Y2007" t="s">
        <v>1369</v>
      </c>
      <c r="Z2007" t="s">
        <v>1341</v>
      </c>
      <c r="AA2007" t="s">
        <v>1342</v>
      </c>
      <c r="AB2007" t="s">
        <v>1270</v>
      </c>
      <c r="AC2007" t="s">
        <v>51</v>
      </c>
      <c r="AD2007" t="s">
        <v>45</v>
      </c>
      <c r="AE2007" s="1">
        <v>28860</v>
      </c>
      <c r="AF2007">
        <v>1</v>
      </c>
      <c r="AG2007" t="s">
        <v>1342</v>
      </c>
      <c r="AH2007" s="36">
        <f t="shared" si="31"/>
        <v>40.547222222222224</v>
      </c>
      <c r="AI2007" s="41" t="s">
        <v>1779</v>
      </c>
    </row>
    <row r="2008" spans="1:35" x14ac:dyDescent="0.25">
      <c r="A2008" s="36">
        <v>99912006</v>
      </c>
      <c r="B2008" s="17" t="s">
        <v>32</v>
      </c>
      <c r="C2008" t="s">
        <v>46</v>
      </c>
      <c r="D2008" t="s">
        <v>47</v>
      </c>
      <c r="G2008" s="17" t="s">
        <v>48</v>
      </c>
      <c r="H2008" s="17">
        <v>8</v>
      </c>
      <c r="K2008" t="s">
        <v>1268</v>
      </c>
      <c r="L2008" t="s">
        <v>1269</v>
      </c>
      <c r="M2008" t="s">
        <v>1270</v>
      </c>
      <c r="N2008">
        <v>20</v>
      </c>
      <c r="O2008" t="s">
        <v>40</v>
      </c>
      <c r="P2008" t="s">
        <v>40</v>
      </c>
      <c r="Q2008" t="s">
        <v>40</v>
      </c>
      <c r="R2008" t="s">
        <v>40</v>
      </c>
      <c r="S2008" t="s">
        <v>40</v>
      </c>
      <c r="U2008" s="1">
        <v>43344</v>
      </c>
      <c r="V2008" t="s">
        <v>41</v>
      </c>
      <c r="W2008" t="s">
        <v>49</v>
      </c>
      <c r="X2008" t="str">
        <f>"1960001"</f>
        <v>1960001</v>
      </c>
      <c r="Y2008" t="s">
        <v>1272</v>
      </c>
      <c r="Z2008" t="s">
        <v>1268</v>
      </c>
      <c r="AA2008" t="s">
        <v>1269</v>
      </c>
      <c r="AB2008" t="s">
        <v>1270</v>
      </c>
      <c r="AC2008" t="s">
        <v>51</v>
      </c>
      <c r="AD2008" t="s">
        <v>45</v>
      </c>
      <c r="AE2008" s="1">
        <v>28857</v>
      </c>
      <c r="AF2008">
        <v>2</v>
      </c>
      <c r="AG2008" t="s">
        <v>1269</v>
      </c>
      <c r="AH2008" s="36">
        <f t="shared" si="31"/>
        <v>40.555555555555557</v>
      </c>
      <c r="AI2008" s="41" t="s">
        <v>1779</v>
      </c>
    </row>
    <row r="2009" spans="1:35" x14ac:dyDescent="0.25">
      <c r="A2009" s="36">
        <v>99912007</v>
      </c>
      <c r="B2009" s="17" t="s">
        <v>32</v>
      </c>
      <c r="C2009" t="s">
        <v>139</v>
      </c>
      <c r="D2009" t="s">
        <v>140</v>
      </c>
      <c r="G2009" s="17" t="s">
        <v>35</v>
      </c>
      <c r="H2009" s="17">
        <v>1</v>
      </c>
      <c r="I2009">
        <v>18525</v>
      </c>
      <c r="J2009" s="1">
        <v>43344</v>
      </c>
      <c r="K2009" t="s">
        <v>129</v>
      </c>
      <c r="L2009" t="s">
        <v>130</v>
      </c>
      <c r="M2009" t="s">
        <v>131</v>
      </c>
      <c r="N2009">
        <v>20</v>
      </c>
      <c r="O2009" t="s">
        <v>40</v>
      </c>
      <c r="P2009" t="s">
        <v>40</v>
      </c>
      <c r="Q2009" t="s">
        <v>40</v>
      </c>
      <c r="R2009" t="s">
        <v>40</v>
      </c>
      <c r="S2009" t="s">
        <v>40</v>
      </c>
      <c r="U2009" s="1">
        <v>43344</v>
      </c>
      <c r="V2009" t="s">
        <v>41</v>
      </c>
      <c r="W2009" t="s">
        <v>49</v>
      </c>
      <c r="X2009" t="str">
        <f>"0591905"</f>
        <v>0591905</v>
      </c>
      <c r="Y2009" t="s">
        <v>135</v>
      </c>
      <c r="Z2009" t="s">
        <v>129</v>
      </c>
      <c r="AA2009" t="s">
        <v>130</v>
      </c>
      <c r="AB2009" t="s">
        <v>131</v>
      </c>
      <c r="AC2009" t="s">
        <v>44</v>
      </c>
      <c r="AD2009" t="s">
        <v>45</v>
      </c>
      <c r="AE2009" s="1">
        <v>28856</v>
      </c>
      <c r="AF2009">
        <v>2</v>
      </c>
      <c r="AG2009" t="s">
        <v>130</v>
      </c>
      <c r="AH2009" s="36">
        <f t="shared" si="31"/>
        <v>40.55833333333333</v>
      </c>
      <c r="AI2009" s="41" t="s">
        <v>1779</v>
      </c>
    </row>
    <row r="2010" spans="1:35" x14ac:dyDescent="0.25">
      <c r="A2010" s="36">
        <v>99912008</v>
      </c>
      <c r="B2010" s="17" t="s">
        <v>56</v>
      </c>
      <c r="C2010" t="s">
        <v>46</v>
      </c>
      <c r="D2010" t="s">
        <v>47</v>
      </c>
      <c r="G2010" s="17" t="s">
        <v>48</v>
      </c>
      <c r="H2010" s="17">
        <v>1</v>
      </c>
      <c r="K2010" t="s">
        <v>157</v>
      </c>
      <c r="L2010" t="s">
        <v>158</v>
      </c>
      <c r="M2010" t="s">
        <v>131</v>
      </c>
      <c r="N2010">
        <v>21</v>
      </c>
      <c r="O2010" t="s">
        <v>40</v>
      </c>
      <c r="P2010" t="s">
        <v>40</v>
      </c>
      <c r="Q2010" t="s">
        <v>40</v>
      </c>
      <c r="R2010" t="s">
        <v>40</v>
      </c>
      <c r="S2010" t="s">
        <v>40</v>
      </c>
      <c r="V2010" t="s">
        <v>41</v>
      </c>
      <c r="W2010" t="s">
        <v>42</v>
      </c>
      <c r="X2010" t="str">
        <f>"0580470"</f>
        <v>0580470</v>
      </c>
      <c r="Y2010" t="s">
        <v>175</v>
      </c>
      <c r="Z2010" t="s">
        <v>157</v>
      </c>
      <c r="AA2010" t="s">
        <v>158</v>
      </c>
      <c r="AB2010" t="s">
        <v>131</v>
      </c>
      <c r="AC2010" t="s">
        <v>51</v>
      </c>
      <c r="AD2010" t="s">
        <v>45</v>
      </c>
      <c r="AE2010" s="1">
        <v>28856</v>
      </c>
      <c r="AF2010">
        <v>2</v>
      </c>
      <c r="AG2010" t="s">
        <v>158</v>
      </c>
      <c r="AH2010" s="36">
        <f t="shared" si="31"/>
        <v>40.55833333333333</v>
      </c>
      <c r="AI2010" s="41" t="s">
        <v>1779</v>
      </c>
    </row>
    <row r="2011" spans="1:35" x14ac:dyDescent="0.25">
      <c r="A2011" s="36">
        <v>99912009</v>
      </c>
      <c r="B2011" s="17" t="s">
        <v>32</v>
      </c>
      <c r="C2011" t="s">
        <v>71</v>
      </c>
      <c r="D2011" t="s">
        <v>72</v>
      </c>
      <c r="G2011" s="17" t="s">
        <v>48</v>
      </c>
      <c r="H2011" s="17">
        <v>1</v>
      </c>
      <c r="K2011" t="s">
        <v>157</v>
      </c>
      <c r="L2011" t="s">
        <v>158</v>
      </c>
      <c r="M2011" t="s">
        <v>131</v>
      </c>
      <c r="N2011">
        <v>6</v>
      </c>
      <c r="O2011" t="s">
        <v>40</v>
      </c>
      <c r="P2011" t="s">
        <v>40</v>
      </c>
      <c r="Q2011" t="s">
        <v>40</v>
      </c>
      <c r="R2011" t="s">
        <v>40</v>
      </c>
      <c r="S2011" t="s">
        <v>40</v>
      </c>
      <c r="V2011" t="s">
        <v>41</v>
      </c>
      <c r="W2011" t="s">
        <v>49</v>
      </c>
      <c r="X2011" t="str">
        <f>"0560019"</f>
        <v>0560019</v>
      </c>
      <c r="Y2011" t="s">
        <v>166</v>
      </c>
      <c r="Z2011" t="s">
        <v>157</v>
      </c>
      <c r="AA2011" t="s">
        <v>158</v>
      </c>
      <c r="AB2011" t="s">
        <v>131</v>
      </c>
      <c r="AC2011" t="s">
        <v>51</v>
      </c>
      <c r="AD2011" t="s">
        <v>45</v>
      </c>
      <c r="AE2011" s="1">
        <v>28856</v>
      </c>
      <c r="AF2011">
        <v>2</v>
      </c>
      <c r="AG2011" t="s">
        <v>158</v>
      </c>
      <c r="AH2011" s="36">
        <f t="shared" si="31"/>
        <v>40.55833333333333</v>
      </c>
      <c r="AI2011" s="41" t="s">
        <v>1779</v>
      </c>
    </row>
    <row r="2012" spans="1:35" x14ac:dyDescent="0.25">
      <c r="A2012" s="36">
        <v>99912010</v>
      </c>
      <c r="B2012" s="17" t="s">
        <v>56</v>
      </c>
      <c r="C2012" t="s">
        <v>46</v>
      </c>
      <c r="D2012" t="s">
        <v>47</v>
      </c>
      <c r="G2012" s="17" t="s">
        <v>48</v>
      </c>
      <c r="H2012" s="17">
        <v>1</v>
      </c>
      <c r="I2012">
        <v>588</v>
      </c>
      <c r="J2012" s="1">
        <v>40778</v>
      </c>
      <c r="K2012" t="s">
        <v>223</v>
      </c>
      <c r="L2012" t="s">
        <v>224</v>
      </c>
      <c r="M2012" t="s">
        <v>131</v>
      </c>
      <c r="N2012">
        <v>21</v>
      </c>
      <c r="O2012" t="s">
        <v>40</v>
      </c>
      <c r="P2012" t="s">
        <v>40</v>
      </c>
      <c r="Q2012" t="s">
        <v>40</v>
      </c>
      <c r="R2012" t="s">
        <v>40</v>
      </c>
      <c r="S2012" t="s">
        <v>40</v>
      </c>
      <c r="U2012" s="1">
        <v>40778</v>
      </c>
      <c r="V2012" t="s">
        <v>41</v>
      </c>
      <c r="W2012" t="s">
        <v>49</v>
      </c>
      <c r="X2012" t="str">
        <f>"0509999"</f>
        <v>0509999</v>
      </c>
      <c r="Y2012" t="s">
        <v>247</v>
      </c>
      <c r="Z2012" t="s">
        <v>223</v>
      </c>
      <c r="AA2012" t="s">
        <v>224</v>
      </c>
      <c r="AB2012" t="s">
        <v>131</v>
      </c>
      <c r="AC2012" t="s">
        <v>51</v>
      </c>
      <c r="AD2012" t="s">
        <v>45</v>
      </c>
      <c r="AE2012" s="1">
        <v>28856</v>
      </c>
      <c r="AF2012">
        <v>2</v>
      </c>
      <c r="AG2012" t="s">
        <v>224</v>
      </c>
      <c r="AH2012" s="36">
        <f t="shared" si="31"/>
        <v>40.55833333333333</v>
      </c>
      <c r="AI2012" s="41" t="s">
        <v>1779</v>
      </c>
    </row>
    <row r="2013" spans="1:35" x14ac:dyDescent="0.25">
      <c r="A2013" s="36">
        <v>99912011</v>
      </c>
      <c r="B2013" s="17" t="s">
        <v>32</v>
      </c>
      <c r="C2013" t="s">
        <v>46</v>
      </c>
      <c r="D2013" t="s">
        <v>47</v>
      </c>
      <c r="G2013" s="17" t="s">
        <v>48</v>
      </c>
      <c r="H2013" s="17">
        <v>1</v>
      </c>
      <c r="K2013" t="s">
        <v>300</v>
      </c>
      <c r="L2013" t="s">
        <v>301</v>
      </c>
      <c r="M2013" t="s">
        <v>131</v>
      </c>
      <c r="N2013">
        <v>20</v>
      </c>
      <c r="O2013" t="s">
        <v>40</v>
      </c>
      <c r="P2013" t="s">
        <v>40</v>
      </c>
      <c r="Q2013" t="s">
        <v>40</v>
      </c>
      <c r="R2013" t="s">
        <v>40</v>
      </c>
      <c r="S2013" t="s">
        <v>40</v>
      </c>
      <c r="V2013" t="s">
        <v>41</v>
      </c>
      <c r="W2013" t="s">
        <v>49</v>
      </c>
      <c r="X2013" t="str">
        <f>"0560022"</f>
        <v>0560022</v>
      </c>
      <c r="Y2013" t="s">
        <v>314</v>
      </c>
      <c r="Z2013" t="s">
        <v>300</v>
      </c>
      <c r="AA2013" t="s">
        <v>301</v>
      </c>
      <c r="AB2013" t="s">
        <v>131</v>
      </c>
      <c r="AC2013" t="s">
        <v>51</v>
      </c>
      <c r="AD2013" t="s">
        <v>45</v>
      </c>
      <c r="AE2013" s="1">
        <v>28856</v>
      </c>
      <c r="AF2013">
        <v>2</v>
      </c>
      <c r="AG2013" t="s">
        <v>301</v>
      </c>
      <c r="AH2013" s="36">
        <f t="shared" si="31"/>
        <v>40.55833333333333</v>
      </c>
      <c r="AI2013" s="41" t="s">
        <v>1779</v>
      </c>
    </row>
    <row r="2014" spans="1:35" x14ac:dyDescent="0.25">
      <c r="A2014" s="36">
        <v>99912012</v>
      </c>
      <c r="B2014" s="17" t="s">
        <v>32</v>
      </c>
      <c r="C2014" t="s">
        <v>46</v>
      </c>
      <c r="D2014" t="s">
        <v>47</v>
      </c>
      <c r="G2014" s="17" t="s">
        <v>48</v>
      </c>
      <c r="H2014" s="17">
        <v>1</v>
      </c>
      <c r="K2014" t="s">
        <v>300</v>
      </c>
      <c r="L2014" t="s">
        <v>301</v>
      </c>
      <c r="M2014" t="s">
        <v>131</v>
      </c>
      <c r="N2014">
        <v>6</v>
      </c>
      <c r="O2014" t="s">
        <v>40</v>
      </c>
      <c r="P2014" t="s">
        <v>40</v>
      </c>
      <c r="Q2014" t="s">
        <v>40</v>
      </c>
      <c r="R2014" t="s">
        <v>40</v>
      </c>
      <c r="S2014" t="s">
        <v>40</v>
      </c>
      <c r="V2014" t="s">
        <v>41</v>
      </c>
      <c r="W2014" t="s">
        <v>49</v>
      </c>
      <c r="X2014" t="str">
        <f>"0560020"</f>
        <v>0560020</v>
      </c>
      <c r="Y2014" t="s">
        <v>302</v>
      </c>
      <c r="Z2014" t="s">
        <v>300</v>
      </c>
      <c r="AA2014" t="s">
        <v>301</v>
      </c>
      <c r="AB2014" t="s">
        <v>131</v>
      </c>
      <c r="AC2014" t="s">
        <v>51</v>
      </c>
      <c r="AD2014" t="s">
        <v>45</v>
      </c>
      <c r="AE2014" s="1">
        <v>28856</v>
      </c>
      <c r="AF2014">
        <v>2</v>
      </c>
      <c r="AG2014" t="s">
        <v>301</v>
      </c>
      <c r="AH2014" s="36">
        <f t="shared" si="31"/>
        <v>40.55833333333333</v>
      </c>
      <c r="AI2014" s="41" t="s">
        <v>1779</v>
      </c>
    </row>
    <row r="2015" spans="1:35" x14ac:dyDescent="0.25">
      <c r="A2015" s="36">
        <v>99912013</v>
      </c>
      <c r="B2015" s="17" t="s">
        <v>56</v>
      </c>
      <c r="C2015" t="s">
        <v>46</v>
      </c>
      <c r="D2015" t="s">
        <v>47</v>
      </c>
      <c r="G2015" s="17" t="s">
        <v>48</v>
      </c>
      <c r="H2015" s="17">
        <v>5</v>
      </c>
      <c r="K2015" t="s">
        <v>345</v>
      </c>
      <c r="L2015" t="s">
        <v>346</v>
      </c>
      <c r="M2015" t="s">
        <v>131</v>
      </c>
      <c r="N2015">
        <v>23</v>
      </c>
      <c r="O2015" t="s">
        <v>40</v>
      </c>
      <c r="P2015" t="s">
        <v>40</v>
      </c>
      <c r="Q2015" t="s">
        <v>40</v>
      </c>
      <c r="R2015" t="s">
        <v>40</v>
      </c>
      <c r="S2015" t="s">
        <v>40</v>
      </c>
      <c r="V2015" t="s">
        <v>41</v>
      </c>
      <c r="W2015" t="s">
        <v>42</v>
      </c>
      <c r="X2015" t="str">
        <f>"0590906"</f>
        <v>0590906</v>
      </c>
      <c r="Y2015" t="s">
        <v>361</v>
      </c>
      <c r="Z2015" t="s">
        <v>345</v>
      </c>
      <c r="AA2015" t="s">
        <v>346</v>
      </c>
      <c r="AB2015" t="s">
        <v>131</v>
      </c>
      <c r="AC2015" t="s">
        <v>51</v>
      </c>
      <c r="AD2015" t="s">
        <v>45</v>
      </c>
      <c r="AE2015" s="1">
        <v>28856</v>
      </c>
      <c r="AF2015">
        <v>2</v>
      </c>
      <c r="AG2015" t="s">
        <v>346</v>
      </c>
      <c r="AH2015" s="36">
        <f t="shared" si="31"/>
        <v>40.55833333333333</v>
      </c>
      <c r="AI2015" s="41" t="s">
        <v>1779</v>
      </c>
    </row>
    <row r="2016" spans="1:35" x14ac:dyDescent="0.25">
      <c r="A2016" s="36">
        <v>99912014</v>
      </c>
      <c r="B2016" s="17" t="s">
        <v>56</v>
      </c>
      <c r="C2016" t="s">
        <v>68</v>
      </c>
      <c r="D2016" t="s">
        <v>69</v>
      </c>
      <c r="G2016" s="17" t="s">
        <v>35</v>
      </c>
      <c r="H2016" s="17">
        <v>1</v>
      </c>
      <c r="I2016">
        <v>22882</v>
      </c>
      <c r="J2016" s="1">
        <v>43027</v>
      </c>
      <c r="K2016" t="s">
        <v>380</v>
      </c>
      <c r="L2016" t="s">
        <v>381</v>
      </c>
      <c r="M2016" t="s">
        <v>131</v>
      </c>
      <c r="N2016">
        <v>7</v>
      </c>
      <c r="O2016" t="s">
        <v>40</v>
      </c>
      <c r="P2016" t="s">
        <v>40</v>
      </c>
      <c r="Q2016" t="s">
        <v>40</v>
      </c>
      <c r="R2016" t="s">
        <v>40</v>
      </c>
      <c r="S2016" t="s">
        <v>40</v>
      </c>
      <c r="U2016" s="1">
        <v>43027</v>
      </c>
      <c r="V2016" t="s">
        <v>41</v>
      </c>
      <c r="W2016" t="s">
        <v>49</v>
      </c>
      <c r="X2016" t="str">
        <f>"0561020"</f>
        <v>0561020</v>
      </c>
      <c r="Y2016" t="s">
        <v>390</v>
      </c>
      <c r="Z2016" t="s">
        <v>380</v>
      </c>
      <c r="AA2016" t="s">
        <v>381</v>
      </c>
      <c r="AB2016" t="s">
        <v>131</v>
      </c>
      <c r="AC2016" t="s">
        <v>44</v>
      </c>
      <c r="AD2016" t="s">
        <v>45</v>
      </c>
      <c r="AE2016" s="1">
        <v>28856</v>
      </c>
      <c r="AF2016">
        <v>2</v>
      </c>
      <c r="AG2016" t="s">
        <v>381</v>
      </c>
      <c r="AH2016" s="36">
        <f t="shared" si="31"/>
        <v>40.55833333333333</v>
      </c>
      <c r="AI2016" s="41" t="s">
        <v>1779</v>
      </c>
    </row>
    <row r="2017" spans="1:35" x14ac:dyDescent="0.25">
      <c r="A2017" s="36">
        <v>99912015</v>
      </c>
      <c r="B2017" s="17" t="s">
        <v>56</v>
      </c>
      <c r="C2017" t="s">
        <v>33</v>
      </c>
      <c r="D2017" t="s">
        <v>34</v>
      </c>
      <c r="G2017" s="17" t="s">
        <v>48</v>
      </c>
      <c r="H2017" s="17">
        <v>1</v>
      </c>
      <c r="K2017" t="s">
        <v>380</v>
      </c>
      <c r="L2017" t="s">
        <v>381</v>
      </c>
      <c r="M2017" t="s">
        <v>131</v>
      </c>
      <c r="N2017">
        <v>16</v>
      </c>
      <c r="O2017" t="s">
        <v>40</v>
      </c>
      <c r="P2017" t="s">
        <v>40</v>
      </c>
      <c r="Q2017" t="s">
        <v>40</v>
      </c>
      <c r="R2017" t="s">
        <v>40</v>
      </c>
      <c r="S2017" t="s">
        <v>40</v>
      </c>
      <c r="V2017" t="s">
        <v>41</v>
      </c>
      <c r="W2017" t="s">
        <v>42</v>
      </c>
      <c r="X2017" t="str">
        <f>"0561010"</f>
        <v>0561010</v>
      </c>
      <c r="Y2017" t="s">
        <v>387</v>
      </c>
      <c r="Z2017" t="s">
        <v>380</v>
      </c>
      <c r="AA2017" t="s">
        <v>381</v>
      </c>
      <c r="AB2017" t="s">
        <v>131</v>
      </c>
      <c r="AC2017" t="s">
        <v>51</v>
      </c>
      <c r="AD2017" t="s">
        <v>45</v>
      </c>
      <c r="AE2017" s="1">
        <v>28856</v>
      </c>
      <c r="AF2017">
        <v>2</v>
      </c>
      <c r="AG2017" t="s">
        <v>381</v>
      </c>
      <c r="AH2017" s="36">
        <f t="shared" si="31"/>
        <v>40.55833333333333</v>
      </c>
      <c r="AI2017" s="41" t="s">
        <v>1779</v>
      </c>
    </row>
    <row r="2018" spans="1:35" x14ac:dyDescent="0.25">
      <c r="A2018" s="36">
        <v>99912016</v>
      </c>
      <c r="B2018" s="17" t="s">
        <v>32</v>
      </c>
      <c r="C2018" t="s">
        <v>71</v>
      </c>
      <c r="D2018" t="s">
        <v>72</v>
      </c>
      <c r="G2018" s="17" t="s">
        <v>35</v>
      </c>
      <c r="H2018" s="17">
        <v>1</v>
      </c>
      <c r="I2018" t="s">
        <v>703</v>
      </c>
      <c r="J2018" s="1">
        <v>43344</v>
      </c>
      <c r="K2018" t="s">
        <v>268</v>
      </c>
      <c r="L2018" t="s">
        <v>269</v>
      </c>
      <c r="M2018" t="s">
        <v>131</v>
      </c>
      <c r="N2018">
        <v>9</v>
      </c>
      <c r="O2018" t="s">
        <v>40</v>
      </c>
      <c r="P2018" t="s">
        <v>40</v>
      </c>
      <c r="Q2018" t="s">
        <v>40</v>
      </c>
      <c r="R2018" t="s">
        <v>40</v>
      </c>
      <c r="S2018" t="s">
        <v>40</v>
      </c>
      <c r="U2018" s="1">
        <v>43344</v>
      </c>
      <c r="V2018" t="s">
        <v>41</v>
      </c>
      <c r="W2018" t="s">
        <v>75</v>
      </c>
      <c r="X2018" t="str">
        <f>"7052012"</f>
        <v>7052012</v>
      </c>
      <c r="Y2018" t="s">
        <v>270</v>
      </c>
      <c r="Z2018" t="s">
        <v>268</v>
      </c>
      <c r="AA2018" t="s">
        <v>269</v>
      </c>
      <c r="AB2018" t="s">
        <v>131</v>
      </c>
      <c r="AC2018" t="s">
        <v>51</v>
      </c>
      <c r="AD2018" t="s">
        <v>45</v>
      </c>
      <c r="AE2018" s="1">
        <v>28856</v>
      </c>
      <c r="AF2018">
        <v>1</v>
      </c>
      <c r="AG2018" t="s">
        <v>269</v>
      </c>
      <c r="AH2018" s="36">
        <f t="shared" si="31"/>
        <v>40.55833333333333</v>
      </c>
      <c r="AI2018" s="41" t="s">
        <v>1779</v>
      </c>
    </row>
    <row r="2019" spans="1:35" x14ac:dyDescent="0.25">
      <c r="A2019" s="36">
        <v>99912017</v>
      </c>
      <c r="B2019" s="17" t="s">
        <v>56</v>
      </c>
      <c r="C2019" t="s">
        <v>52</v>
      </c>
      <c r="D2019" t="s">
        <v>53</v>
      </c>
      <c r="G2019" s="17" t="s">
        <v>35</v>
      </c>
      <c r="H2019" s="17">
        <v>1</v>
      </c>
      <c r="I2019">
        <v>4616</v>
      </c>
      <c r="J2019" s="1">
        <v>43350</v>
      </c>
      <c r="K2019" t="s">
        <v>919</v>
      </c>
      <c r="L2019" t="s">
        <v>920</v>
      </c>
      <c r="M2019" t="s">
        <v>921</v>
      </c>
      <c r="N2019">
        <v>10</v>
      </c>
      <c r="O2019" t="s">
        <v>40</v>
      </c>
      <c r="P2019" t="s">
        <v>40</v>
      </c>
      <c r="Q2019" t="s">
        <v>40</v>
      </c>
      <c r="R2019" t="s">
        <v>40</v>
      </c>
      <c r="S2019" t="s">
        <v>40</v>
      </c>
      <c r="U2019" s="1">
        <v>43350</v>
      </c>
      <c r="V2019" t="s">
        <v>41</v>
      </c>
      <c r="W2019" t="s">
        <v>922</v>
      </c>
      <c r="X2019" t="str">
        <f>"5162001"</f>
        <v>5162001</v>
      </c>
      <c r="Y2019" t="s">
        <v>923</v>
      </c>
      <c r="Z2019" t="s">
        <v>919</v>
      </c>
      <c r="AA2019" t="s">
        <v>920</v>
      </c>
      <c r="AB2019" t="s">
        <v>921</v>
      </c>
      <c r="AC2019" t="s">
        <v>44</v>
      </c>
      <c r="AD2019" t="s">
        <v>45</v>
      </c>
      <c r="AE2019" s="1">
        <v>28856</v>
      </c>
      <c r="AF2019">
        <v>2</v>
      </c>
      <c r="AG2019" t="s">
        <v>920</v>
      </c>
      <c r="AH2019" s="36">
        <f t="shared" si="31"/>
        <v>40.55833333333333</v>
      </c>
      <c r="AI2019" s="41" t="s">
        <v>1779</v>
      </c>
    </row>
    <row r="2020" spans="1:35" x14ac:dyDescent="0.25">
      <c r="A2020" s="36">
        <v>99912018</v>
      </c>
      <c r="B2020" s="17" t="s">
        <v>32</v>
      </c>
      <c r="C2020" t="s">
        <v>139</v>
      </c>
      <c r="D2020" t="s">
        <v>140</v>
      </c>
      <c r="G2020" s="17" t="s">
        <v>35</v>
      </c>
      <c r="H2020" s="17">
        <v>1</v>
      </c>
      <c r="K2020" t="s">
        <v>1198</v>
      </c>
      <c r="L2020" t="s">
        <v>1199</v>
      </c>
      <c r="M2020" t="s">
        <v>1130</v>
      </c>
      <c r="N2020">
        <v>10</v>
      </c>
      <c r="O2020" t="s">
        <v>40</v>
      </c>
      <c r="P2020" t="s">
        <v>40</v>
      </c>
      <c r="Q2020" t="s">
        <v>40</v>
      </c>
      <c r="R2020" t="s">
        <v>40</v>
      </c>
      <c r="S2020" t="s">
        <v>40</v>
      </c>
      <c r="V2020" t="s">
        <v>41</v>
      </c>
      <c r="W2020" t="s">
        <v>75</v>
      </c>
      <c r="X2020" t="str">
        <f>"7311010"</f>
        <v>7311010</v>
      </c>
      <c r="Y2020" t="s">
        <v>1202</v>
      </c>
      <c r="Z2020" t="s">
        <v>1198</v>
      </c>
      <c r="AA2020" t="s">
        <v>1199</v>
      </c>
      <c r="AB2020" t="s">
        <v>1130</v>
      </c>
      <c r="AC2020" t="s">
        <v>51</v>
      </c>
      <c r="AD2020" t="s">
        <v>45</v>
      </c>
      <c r="AE2020" s="1">
        <v>28856</v>
      </c>
      <c r="AF2020">
        <v>1</v>
      </c>
      <c r="AG2020" t="s">
        <v>1199</v>
      </c>
      <c r="AH2020" s="36">
        <f t="shared" si="31"/>
        <v>40.55833333333333</v>
      </c>
      <c r="AI2020" s="41" t="s">
        <v>1779</v>
      </c>
    </row>
    <row r="2021" spans="1:35" x14ac:dyDescent="0.25">
      <c r="A2021" s="36">
        <v>99912019</v>
      </c>
      <c r="B2021" s="17" t="s">
        <v>32</v>
      </c>
      <c r="C2021" t="s">
        <v>64</v>
      </c>
      <c r="D2021" t="s">
        <v>65</v>
      </c>
      <c r="G2021" s="17" t="s">
        <v>35</v>
      </c>
      <c r="H2021" s="17">
        <v>1</v>
      </c>
      <c r="I2021">
        <v>8038</v>
      </c>
      <c r="J2021" s="1">
        <v>43344</v>
      </c>
      <c r="K2021" t="s">
        <v>1198</v>
      </c>
      <c r="L2021" t="s">
        <v>1199</v>
      </c>
      <c r="M2021" t="s">
        <v>1130</v>
      </c>
      <c r="N2021">
        <v>18</v>
      </c>
      <c r="O2021" t="s">
        <v>40</v>
      </c>
      <c r="P2021" t="s">
        <v>40</v>
      </c>
      <c r="Q2021" t="s">
        <v>40</v>
      </c>
      <c r="R2021" t="s">
        <v>40</v>
      </c>
      <c r="S2021" t="s">
        <v>40</v>
      </c>
      <c r="U2021" s="1">
        <v>43344</v>
      </c>
      <c r="V2021" t="s">
        <v>41</v>
      </c>
      <c r="W2021" t="s">
        <v>75</v>
      </c>
      <c r="X2021" t="str">
        <f>"7311002"</f>
        <v>7311002</v>
      </c>
      <c r="Y2021" t="s">
        <v>1203</v>
      </c>
      <c r="Z2021" t="s">
        <v>1198</v>
      </c>
      <c r="AA2021" t="s">
        <v>1199</v>
      </c>
      <c r="AB2021" t="s">
        <v>1130</v>
      </c>
      <c r="AC2021" t="s">
        <v>51</v>
      </c>
      <c r="AD2021" t="s">
        <v>45</v>
      </c>
      <c r="AE2021" s="1">
        <v>28856</v>
      </c>
      <c r="AF2021">
        <v>1</v>
      </c>
      <c r="AG2021" t="s">
        <v>1199</v>
      </c>
      <c r="AH2021" s="36">
        <f t="shared" si="31"/>
        <v>40.55833333333333</v>
      </c>
      <c r="AI2021" s="41" t="s">
        <v>1779</v>
      </c>
    </row>
    <row r="2022" spans="1:35" x14ac:dyDescent="0.25">
      <c r="A2022" s="36">
        <v>99912020</v>
      </c>
      <c r="B2022" s="17" t="s">
        <v>32</v>
      </c>
      <c r="C2022" t="s">
        <v>111</v>
      </c>
      <c r="D2022" t="s">
        <v>112</v>
      </c>
      <c r="G2022" s="17" t="s">
        <v>35</v>
      </c>
      <c r="H2022" s="17">
        <v>1</v>
      </c>
      <c r="I2022">
        <v>935</v>
      </c>
      <c r="J2022" s="1">
        <v>43344</v>
      </c>
      <c r="K2022" t="s">
        <v>1198</v>
      </c>
      <c r="L2022" t="s">
        <v>1199</v>
      </c>
      <c r="M2022" t="s">
        <v>1130</v>
      </c>
      <c r="N2022">
        <v>24</v>
      </c>
      <c r="O2022" t="s">
        <v>40</v>
      </c>
      <c r="P2022" t="s">
        <v>40</v>
      </c>
      <c r="Q2022" t="s">
        <v>40</v>
      </c>
      <c r="R2022" t="s">
        <v>40</v>
      </c>
      <c r="S2022" t="s">
        <v>40</v>
      </c>
      <c r="U2022" s="1">
        <v>43344</v>
      </c>
      <c r="V2022" t="s">
        <v>41</v>
      </c>
      <c r="W2022" t="s">
        <v>75</v>
      </c>
      <c r="X2022" t="str">
        <f>"7311002"</f>
        <v>7311002</v>
      </c>
      <c r="Y2022" t="s">
        <v>1203</v>
      </c>
      <c r="Z2022" t="s">
        <v>1198</v>
      </c>
      <c r="AA2022" t="s">
        <v>1199</v>
      </c>
      <c r="AB2022" t="s">
        <v>1130</v>
      </c>
      <c r="AC2022" t="s">
        <v>51</v>
      </c>
      <c r="AD2022" t="s">
        <v>45</v>
      </c>
      <c r="AE2022" s="1">
        <v>28856</v>
      </c>
      <c r="AF2022">
        <v>1</v>
      </c>
      <c r="AG2022" t="s">
        <v>1199</v>
      </c>
      <c r="AH2022" s="36">
        <f t="shared" si="31"/>
        <v>40.55833333333333</v>
      </c>
      <c r="AI2022" s="41" t="s">
        <v>1779</v>
      </c>
    </row>
    <row r="2023" spans="1:35" x14ac:dyDescent="0.25">
      <c r="A2023" s="36">
        <v>99912021</v>
      </c>
      <c r="B2023" s="17" t="s">
        <v>56</v>
      </c>
      <c r="C2023" t="s">
        <v>143</v>
      </c>
      <c r="D2023" t="s">
        <v>144</v>
      </c>
      <c r="G2023" s="17" t="s">
        <v>48</v>
      </c>
      <c r="H2023" s="17">
        <v>1</v>
      </c>
      <c r="K2023" t="s">
        <v>1268</v>
      </c>
      <c r="L2023" t="s">
        <v>1269</v>
      </c>
      <c r="M2023" t="s">
        <v>1270</v>
      </c>
      <c r="N2023">
        <v>21</v>
      </c>
      <c r="O2023" t="s">
        <v>40</v>
      </c>
      <c r="P2023" t="s">
        <v>40</v>
      </c>
      <c r="Q2023" t="s">
        <v>40</v>
      </c>
      <c r="R2023" t="s">
        <v>40</v>
      </c>
      <c r="S2023" t="s">
        <v>40</v>
      </c>
      <c r="V2023" t="s">
        <v>41</v>
      </c>
      <c r="W2023" t="s">
        <v>49</v>
      </c>
      <c r="X2023" t="str">
        <f>"1981913"</f>
        <v>1981913</v>
      </c>
      <c r="Y2023" t="s">
        <v>1295</v>
      </c>
      <c r="Z2023" t="s">
        <v>1268</v>
      </c>
      <c r="AA2023" t="s">
        <v>1269</v>
      </c>
      <c r="AB2023" t="s">
        <v>1270</v>
      </c>
      <c r="AC2023" t="s">
        <v>51</v>
      </c>
      <c r="AD2023" t="s">
        <v>45</v>
      </c>
      <c r="AE2023" s="1">
        <v>28856</v>
      </c>
      <c r="AF2023">
        <v>2</v>
      </c>
      <c r="AG2023" t="s">
        <v>1269</v>
      </c>
      <c r="AH2023" s="36">
        <f t="shared" si="31"/>
        <v>40.55833333333333</v>
      </c>
      <c r="AI2023" s="41" t="s">
        <v>1779</v>
      </c>
    </row>
    <row r="2024" spans="1:35" x14ac:dyDescent="0.25">
      <c r="A2024" s="36">
        <v>99912022</v>
      </c>
      <c r="B2024" s="17" t="s">
        <v>56</v>
      </c>
      <c r="C2024" t="s">
        <v>111</v>
      </c>
      <c r="D2024" t="s">
        <v>112</v>
      </c>
      <c r="G2024" s="17" t="s">
        <v>35</v>
      </c>
      <c r="H2024" s="17">
        <v>1</v>
      </c>
      <c r="I2024" s="1">
        <v>40787</v>
      </c>
      <c r="J2024" s="1">
        <v>43344</v>
      </c>
      <c r="K2024" t="s">
        <v>1341</v>
      </c>
      <c r="L2024" t="s">
        <v>1342</v>
      </c>
      <c r="M2024" t="s">
        <v>1270</v>
      </c>
      <c r="N2024">
        <v>24</v>
      </c>
      <c r="O2024" t="s">
        <v>40</v>
      </c>
      <c r="P2024" t="s">
        <v>40</v>
      </c>
      <c r="Q2024" t="s">
        <v>40</v>
      </c>
      <c r="R2024" t="s">
        <v>40</v>
      </c>
      <c r="S2024" t="s">
        <v>40</v>
      </c>
      <c r="U2024" s="1">
        <v>43344</v>
      </c>
      <c r="V2024" t="s">
        <v>41</v>
      </c>
      <c r="W2024" t="s">
        <v>75</v>
      </c>
      <c r="X2024" t="str">
        <f>"7191000"</f>
        <v>7191000</v>
      </c>
      <c r="Y2024" t="s">
        <v>1347</v>
      </c>
      <c r="Z2024" t="s">
        <v>1341</v>
      </c>
      <c r="AA2024" t="s">
        <v>1342</v>
      </c>
      <c r="AB2024" t="s">
        <v>1270</v>
      </c>
      <c r="AC2024" t="s">
        <v>51</v>
      </c>
      <c r="AD2024" t="s">
        <v>45</v>
      </c>
      <c r="AE2024" s="1">
        <v>28856</v>
      </c>
      <c r="AF2024">
        <v>1</v>
      </c>
      <c r="AG2024" t="s">
        <v>1342</v>
      </c>
      <c r="AH2024" s="36">
        <f t="shared" si="31"/>
        <v>40.55833333333333</v>
      </c>
      <c r="AI2024" s="41" t="s">
        <v>1779</v>
      </c>
    </row>
    <row r="2025" spans="1:35" x14ac:dyDescent="0.25">
      <c r="A2025" s="36">
        <v>99912023</v>
      </c>
      <c r="B2025" s="17" t="s">
        <v>56</v>
      </c>
      <c r="C2025" t="s">
        <v>85</v>
      </c>
      <c r="D2025" t="s">
        <v>86</v>
      </c>
      <c r="E2025" t="s">
        <v>46</v>
      </c>
      <c r="F2025" t="s">
        <v>47</v>
      </c>
      <c r="G2025" s="17" t="s">
        <v>48</v>
      </c>
      <c r="H2025" s="17">
        <v>1</v>
      </c>
      <c r="K2025" t="s">
        <v>1487</v>
      </c>
      <c r="L2025" t="s">
        <v>1488</v>
      </c>
      <c r="M2025" t="s">
        <v>670</v>
      </c>
      <c r="N2025">
        <v>18</v>
      </c>
      <c r="O2025" t="s">
        <v>40</v>
      </c>
      <c r="P2025" t="s">
        <v>40</v>
      </c>
      <c r="Q2025" t="s">
        <v>40</v>
      </c>
      <c r="R2025" t="s">
        <v>40</v>
      </c>
      <c r="S2025" t="s">
        <v>40</v>
      </c>
      <c r="V2025" t="s">
        <v>41</v>
      </c>
      <c r="W2025" t="s">
        <v>49</v>
      </c>
      <c r="X2025" t="str">
        <f>"1760001"</f>
        <v>1760001</v>
      </c>
      <c r="Y2025" t="s">
        <v>1489</v>
      </c>
      <c r="Z2025" t="s">
        <v>1487</v>
      </c>
      <c r="AA2025" t="s">
        <v>1488</v>
      </c>
      <c r="AB2025" t="s">
        <v>670</v>
      </c>
      <c r="AC2025" t="s">
        <v>51</v>
      </c>
      <c r="AD2025" t="s">
        <v>45</v>
      </c>
      <c r="AE2025" s="1">
        <v>28856</v>
      </c>
      <c r="AF2025">
        <v>2</v>
      </c>
      <c r="AG2025" t="s">
        <v>1488</v>
      </c>
      <c r="AH2025" s="36">
        <f t="shared" si="31"/>
        <v>40.55833333333333</v>
      </c>
      <c r="AI2025" s="41" t="s">
        <v>1779</v>
      </c>
    </row>
    <row r="2026" spans="1:35" x14ac:dyDescent="0.25">
      <c r="A2026" s="36">
        <v>99912024</v>
      </c>
      <c r="B2026" s="17" t="s">
        <v>56</v>
      </c>
      <c r="C2026" t="s">
        <v>111</v>
      </c>
      <c r="D2026" t="s">
        <v>112</v>
      </c>
      <c r="G2026" s="17" t="s">
        <v>48</v>
      </c>
      <c r="H2026" s="17">
        <v>1</v>
      </c>
      <c r="K2026" t="s">
        <v>667</v>
      </c>
      <c r="L2026" t="s">
        <v>1511</v>
      </c>
      <c r="M2026" t="s">
        <v>670</v>
      </c>
      <c r="N2026">
        <v>24</v>
      </c>
      <c r="O2026" t="s">
        <v>40</v>
      </c>
      <c r="P2026" t="s">
        <v>40</v>
      </c>
      <c r="Q2026" t="s">
        <v>40</v>
      </c>
      <c r="R2026" t="s">
        <v>40</v>
      </c>
      <c r="S2026" t="s">
        <v>40</v>
      </c>
      <c r="V2026" t="s">
        <v>41</v>
      </c>
      <c r="W2026" t="s">
        <v>75</v>
      </c>
      <c r="X2026" t="str">
        <f>"7501000"</f>
        <v>7501000</v>
      </c>
      <c r="Y2026" t="s">
        <v>668</v>
      </c>
      <c r="Z2026" t="s">
        <v>667</v>
      </c>
      <c r="AA2026" t="s">
        <v>669</v>
      </c>
      <c r="AB2026" t="s">
        <v>670</v>
      </c>
      <c r="AC2026" t="s">
        <v>51</v>
      </c>
      <c r="AD2026" t="s">
        <v>45</v>
      </c>
      <c r="AE2026" s="1">
        <v>28856</v>
      </c>
      <c r="AF2026">
        <v>1</v>
      </c>
      <c r="AG2026" t="s">
        <v>1511</v>
      </c>
      <c r="AH2026" s="36">
        <f t="shared" si="31"/>
        <v>40.55833333333333</v>
      </c>
      <c r="AI2026" s="41" t="s">
        <v>1779</v>
      </c>
    </row>
    <row r="2027" spans="1:35" x14ac:dyDescent="0.25">
      <c r="A2027" s="36">
        <v>99912025</v>
      </c>
      <c r="B2027" s="17" t="s">
        <v>32</v>
      </c>
      <c r="C2027" t="s">
        <v>64</v>
      </c>
      <c r="D2027" t="s">
        <v>65</v>
      </c>
      <c r="G2027" s="17" t="s">
        <v>48</v>
      </c>
      <c r="H2027" s="17">
        <v>1</v>
      </c>
      <c r="K2027" t="s">
        <v>667</v>
      </c>
      <c r="L2027" t="s">
        <v>669</v>
      </c>
      <c r="M2027" t="s">
        <v>670</v>
      </c>
      <c r="N2027">
        <v>23</v>
      </c>
      <c r="O2027" t="s">
        <v>40</v>
      </c>
      <c r="P2027" t="s">
        <v>40</v>
      </c>
      <c r="Q2027" t="s">
        <v>40</v>
      </c>
      <c r="R2027" t="s">
        <v>40</v>
      </c>
      <c r="S2027" t="s">
        <v>40</v>
      </c>
      <c r="V2027" t="s">
        <v>41</v>
      </c>
      <c r="W2027" t="s">
        <v>75</v>
      </c>
      <c r="X2027" t="str">
        <f>"7501002"</f>
        <v>7501002</v>
      </c>
      <c r="Y2027" t="s">
        <v>1519</v>
      </c>
      <c r="Z2027" t="s">
        <v>667</v>
      </c>
      <c r="AA2027" t="s">
        <v>669</v>
      </c>
      <c r="AB2027" t="s">
        <v>670</v>
      </c>
      <c r="AC2027" t="s">
        <v>51</v>
      </c>
      <c r="AD2027" t="s">
        <v>45</v>
      </c>
      <c r="AE2027" s="1">
        <v>28856</v>
      </c>
      <c r="AF2027">
        <v>1</v>
      </c>
      <c r="AG2027" t="s">
        <v>669</v>
      </c>
      <c r="AH2027" s="36">
        <f t="shared" si="31"/>
        <v>40.55833333333333</v>
      </c>
      <c r="AI2027" s="41" t="s">
        <v>1779</v>
      </c>
    </row>
    <row r="2028" spans="1:35" x14ac:dyDescent="0.25">
      <c r="A2028" s="36">
        <v>99912026</v>
      </c>
      <c r="B2028" s="17" t="s">
        <v>32</v>
      </c>
      <c r="C2028" t="s">
        <v>111</v>
      </c>
      <c r="D2028" t="s">
        <v>112</v>
      </c>
      <c r="G2028" s="17" t="s">
        <v>35</v>
      </c>
      <c r="H2028" s="17">
        <v>1</v>
      </c>
      <c r="K2028" t="s">
        <v>1581</v>
      </c>
      <c r="L2028" t="s">
        <v>1582</v>
      </c>
      <c r="M2028" t="s">
        <v>1548</v>
      </c>
      <c r="N2028">
        <v>23</v>
      </c>
      <c r="O2028" t="s">
        <v>40</v>
      </c>
      <c r="P2028" t="s">
        <v>40</v>
      </c>
      <c r="Q2028" t="s">
        <v>40</v>
      </c>
      <c r="R2028" t="s">
        <v>40</v>
      </c>
      <c r="S2028" t="s">
        <v>40</v>
      </c>
      <c r="V2028" t="s">
        <v>41</v>
      </c>
      <c r="W2028" t="s">
        <v>75</v>
      </c>
      <c r="X2028" t="str">
        <f>"7291002"</f>
        <v>7291002</v>
      </c>
      <c r="Y2028" t="s">
        <v>1583</v>
      </c>
      <c r="Z2028" t="s">
        <v>1581</v>
      </c>
      <c r="AA2028" t="s">
        <v>1582</v>
      </c>
      <c r="AB2028" t="s">
        <v>1548</v>
      </c>
      <c r="AC2028" t="s">
        <v>51</v>
      </c>
      <c r="AD2028" t="s">
        <v>45</v>
      </c>
      <c r="AE2028" s="1">
        <v>28856</v>
      </c>
      <c r="AF2028">
        <v>1</v>
      </c>
      <c r="AG2028" t="s">
        <v>1582</v>
      </c>
      <c r="AH2028" s="36">
        <f t="shared" si="31"/>
        <v>40.55833333333333</v>
      </c>
      <c r="AI2028" s="41" t="s">
        <v>1779</v>
      </c>
    </row>
    <row r="2029" spans="1:35" x14ac:dyDescent="0.25">
      <c r="A2029" s="36">
        <v>99912027</v>
      </c>
      <c r="B2029" s="17" t="s">
        <v>32</v>
      </c>
      <c r="C2029" t="s">
        <v>52</v>
      </c>
      <c r="D2029" t="s">
        <v>53</v>
      </c>
      <c r="G2029" s="17" t="s">
        <v>35</v>
      </c>
      <c r="H2029" s="17">
        <v>1</v>
      </c>
      <c r="K2029" t="s">
        <v>1590</v>
      </c>
      <c r="L2029" t="s">
        <v>1591</v>
      </c>
      <c r="M2029" t="s">
        <v>1592</v>
      </c>
      <c r="N2029">
        <v>15</v>
      </c>
      <c r="O2029" t="s">
        <v>40</v>
      </c>
      <c r="P2029" t="s">
        <v>40</v>
      </c>
      <c r="Q2029" t="s">
        <v>40</v>
      </c>
      <c r="R2029" t="s">
        <v>40</v>
      </c>
      <c r="S2029" t="s">
        <v>40</v>
      </c>
      <c r="V2029" t="s">
        <v>41</v>
      </c>
      <c r="W2029" t="s">
        <v>49</v>
      </c>
      <c r="X2029" t="str">
        <f>"0260002"</f>
        <v>0260002</v>
      </c>
      <c r="Y2029" t="s">
        <v>1593</v>
      </c>
      <c r="Z2029" t="s">
        <v>1590</v>
      </c>
      <c r="AA2029" t="s">
        <v>1591</v>
      </c>
      <c r="AB2029" t="s">
        <v>1592</v>
      </c>
      <c r="AC2029" t="s">
        <v>51</v>
      </c>
      <c r="AD2029" t="s">
        <v>45</v>
      </c>
      <c r="AE2029" s="1">
        <v>28856</v>
      </c>
      <c r="AF2029">
        <v>2</v>
      </c>
      <c r="AG2029" t="s">
        <v>1591</v>
      </c>
      <c r="AH2029" s="36">
        <f t="shared" si="31"/>
        <v>40.55833333333333</v>
      </c>
      <c r="AI2029" s="41" t="s">
        <v>1779</v>
      </c>
    </row>
    <row r="2030" spans="1:35" x14ac:dyDescent="0.25">
      <c r="A2030" s="36">
        <v>99912028</v>
      </c>
      <c r="B2030" s="17" t="s">
        <v>32</v>
      </c>
      <c r="C2030" t="s">
        <v>71</v>
      </c>
      <c r="D2030" t="s">
        <v>72</v>
      </c>
      <c r="G2030" s="17" t="s">
        <v>35</v>
      </c>
      <c r="H2030" s="17">
        <v>1</v>
      </c>
      <c r="I2030" t="s">
        <v>1605</v>
      </c>
      <c r="J2030" s="1">
        <v>43360</v>
      </c>
      <c r="K2030" t="s">
        <v>1590</v>
      </c>
      <c r="L2030" t="s">
        <v>1591</v>
      </c>
      <c r="M2030" t="s">
        <v>1592</v>
      </c>
      <c r="N2030">
        <v>6</v>
      </c>
      <c r="O2030" t="s">
        <v>40</v>
      </c>
      <c r="P2030" t="s">
        <v>40</v>
      </c>
      <c r="Q2030" t="s">
        <v>40</v>
      </c>
      <c r="R2030" t="s">
        <v>40</v>
      </c>
      <c r="S2030" t="s">
        <v>40</v>
      </c>
      <c r="U2030" s="1">
        <v>43360</v>
      </c>
      <c r="V2030" t="s">
        <v>41</v>
      </c>
      <c r="W2030" t="s">
        <v>49</v>
      </c>
      <c r="X2030" t="str">
        <f>"0260001"</f>
        <v>0260001</v>
      </c>
      <c r="Y2030" t="s">
        <v>1595</v>
      </c>
      <c r="Z2030" t="s">
        <v>1590</v>
      </c>
      <c r="AA2030" t="s">
        <v>1591</v>
      </c>
      <c r="AB2030" t="s">
        <v>1592</v>
      </c>
      <c r="AC2030" t="s">
        <v>44</v>
      </c>
      <c r="AD2030" t="s">
        <v>45</v>
      </c>
      <c r="AE2030" s="1">
        <v>28856</v>
      </c>
      <c r="AF2030">
        <v>2</v>
      </c>
      <c r="AG2030" t="s">
        <v>1591</v>
      </c>
      <c r="AH2030" s="36">
        <f t="shared" si="31"/>
        <v>40.55833333333333</v>
      </c>
      <c r="AI2030" s="41" t="s">
        <v>1779</v>
      </c>
    </row>
    <row r="2031" spans="1:35" x14ac:dyDescent="0.25">
      <c r="A2031" s="36">
        <v>99912029</v>
      </c>
      <c r="B2031" s="17" t="s">
        <v>32</v>
      </c>
      <c r="C2031" t="s">
        <v>46</v>
      </c>
      <c r="D2031" t="s">
        <v>47</v>
      </c>
      <c r="G2031" s="17" t="s">
        <v>48</v>
      </c>
      <c r="H2031" s="17">
        <v>1</v>
      </c>
      <c r="K2031" t="s">
        <v>1613</v>
      </c>
      <c r="L2031" t="s">
        <v>1614</v>
      </c>
      <c r="M2031" t="s">
        <v>1592</v>
      </c>
      <c r="N2031">
        <v>2</v>
      </c>
      <c r="O2031" t="s">
        <v>40</v>
      </c>
      <c r="P2031" t="s">
        <v>40</v>
      </c>
      <c r="Q2031" t="s">
        <v>40</v>
      </c>
      <c r="R2031" t="s">
        <v>40</v>
      </c>
      <c r="S2031" t="s">
        <v>40</v>
      </c>
      <c r="V2031" t="s">
        <v>41</v>
      </c>
      <c r="W2031" t="s">
        <v>49</v>
      </c>
      <c r="X2031" t="str">
        <f>"2881010"</f>
        <v>2881010</v>
      </c>
      <c r="Y2031" t="s">
        <v>1622</v>
      </c>
      <c r="Z2031" t="s">
        <v>1613</v>
      </c>
      <c r="AA2031" t="s">
        <v>1614</v>
      </c>
      <c r="AB2031" t="s">
        <v>1592</v>
      </c>
      <c r="AC2031" t="s">
        <v>51</v>
      </c>
      <c r="AD2031" t="s">
        <v>45</v>
      </c>
      <c r="AE2031" s="1">
        <v>28856</v>
      </c>
      <c r="AF2031">
        <v>2</v>
      </c>
      <c r="AG2031" t="s">
        <v>1614</v>
      </c>
      <c r="AH2031" s="36">
        <f t="shared" si="31"/>
        <v>40.55833333333333</v>
      </c>
      <c r="AI2031" s="41" t="s">
        <v>1779</v>
      </c>
    </row>
    <row r="2032" spans="1:35" x14ac:dyDescent="0.25">
      <c r="A2032" s="36">
        <v>99912030</v>
      </c>
      <c r="B2032" s="17" t="s">
        <v>32</v>
      </c>
      <c r="C2032" t="s">
        <v>71</v>
      </c>
      <c r="D2032" t="s">
        <v>72</v>
      </c>
      <c r="G2032" s="17" t="s">
        <v>48</v>
      </c>
      <c r="H2032" s="17">
        <v>1</v>
      </c>
      <c r="K2032" t="s">
        <v>1631</v>
      </c>
      <c r="L2032" t="s">
        <v>1632</v>
      </c>
      <c r="M2032" t="s">
        <v>1592</v>
      </c>
      <c r="N2032">
        <v>5</v>
      </c>
      <c r="O2032" t="s">
        <v>40</v>
      </c>
      <c r="P2032" t="s">
        <v>40</v>
      </c>
      <c r="Q2032" t="s">
        <v>40</v>
      </c>
      <c r="R2032" t="s">
        <v>40</v>
      </c>
      <c r="S2032" t="s">
        <v>40</v>
      </c>
      <c r="V2032" t="s">
        <v>41</v>
      </c>
      <c r="W2032" t="s">
        <v>75</v>
      </c>
      <c r="X2032" t="str">
        <f>"7021000"</f>
        <v>7021000</v>
      </c>
      <c r="Y2032" t="s">
        <v>1633</v>
      </c>
      <c r="Z2032" t="s">
        <v>1631</v>
      </c>
      <c r="AA2032" t="s">
        <v>1632</v>
      </c>
      <c r="AB2032" t="s">
        <v>1592</v>
      </c>
      <c r="AC2032" t="s">
        <v>51</v>
      </c>
      <c r="AD2032" t="s">
        <v>45</v>
      </c>
      <c r="AE2032" s="1">
        <v>28856</v>
      </c>
      <c r="AF2032">
        <v>1</v>
      </c>
      <c r="AG2032" t="s">
        <v>1632</v>
      </c>
      <c r="AH2032" s="36">
        <f t="shared" si="31"/>
        <v>40.55833333333333</v>
      </c>
      <c r="AI2032" s="41" t="s">
        <v>1779</v>
      </c>
    </row>
    <row r="2033" spans="1:35" x14ac:dyDescent="0.25">
      <c r="A2033" s="36">
        <v>99912031</v>
      </c>
      <c r="B2033" s="17" t="s">
        <v>56</v>
      </c>
      <c r="C2033" t="s">
        <v>111</v>
      </c>
      <c r="D2033" t="s">
        <v>112</v>
      </c>
      <c r="G2033" s="17" t="s">
        <v>35</v>
      </c>
      <c r="H2033" s="17">
        <v>1</v>
      </c>
      <c r="I2033" t="s">
        <v>662</v>
      </c>
      <c r="J2033" s="1">
        <v>43344</v>
      </c>
      <c r="K2033" t="s">
        <v>268</v>
      </c>
      <c r="L2033" t="s">
        <v>269</v>
      </c>
      <c r="M2033" t="s">
        <v>131</v>
      </c>
      <c r="N2033">
        <v>24</v>
      </c>
      <c r="O2033" t="s">
        <v>40</v>
      </c>
      <c r="S2033" t="s">
        <v>40</v>
      </c>
      <c r="U2033" s="1">
        <v>43344</v>
      </c>
      <c r="V2033" t="s">
        <v>41</v>
      </c>
      <c r="W2033" t="s">
        <v>75</v>
      </c>
      <c r="X2033" t="str">
        <f>"7052020"</f>
        <v>7052020</v>
      </c>
      <c r="Y2033" t="s">
        <v>267</v>
      </c>
      <c r="Z2033" t="s">
        <v>268</v>
      </c>
      <c r="AA2033" t="s">
        <v>269</v>
      </c>
      <c r="AB2033" t="s">
        <v>131</v>
      </c>
      <c r="AC2033" t="s">
        <v>51</v>
      </c>
      <c r="AD2033" t="s">
        <v>45</v>
      </c>
      <c r="AE2033" s="1">
        <v>28854</v>
      </c>
      <c r="AF2033">
        <v>1</v>
      </c>
      <c r="AG2033" t="s">
        <v>269</v>
      </c>
      <c r="AH2033" s="36">
        <f t="shared" si="31"/>
        <v>40.56388888888889</v>
      </c>
      <c r="AI2033" s="41" t="s">
        <v>1779</v>
      </c>
    </row>
    <row r="2034" spans="1:35" x14ac:dyDescent="0.25">
      <c r="A2034" s="36">
        <v>99912032</v>
      </c>
      <c r="B2034" s="17" t="s">
        <v>56</v>
      </c>
      <c r="C2034" t="s">
        <v>46</v>
      </c>
      <c r="D2034" t="s">
        <v>47</v>
      </c>
      <c r="G2034" s="17" t="s">
        <v>48</v>
      </c>
      <c r="H2034" s="17">
        <v>1</v>
      </c>
      <c r="K2034" t="s">
        <v>223</v>
      </c>
      <c r="L2034" t="s">
        <v>224</v>
      </c>
      <c r="M2034" t="s">
        <v>131</v>
      </c>
      <c r="N2034">
        <v>21</v>
      </c>
      <c r="O2034" t="s">
        <v>40</v>
      </c>
      <c r="P2034" t="s">
        <v>40</v>
      </c>
      <c r="Q2034" t="s">
        <v>40</v>
      </c>
      <c r="S2034" t="s">
        <v>40</v>
      </c>
      <c r="V2034" t="s">
        <v>41</v>
      </c>
      <c r="W2034" t="s">
        <v>49</v>
      </c>
      <c r="X2034" t="str">
        <f>"0581265"</f>
        <v>0581265</v>
      </c>
      <c r="Y2034" t="s">
        <v>236</v>
      </c>
      <c r="Z2034" t="s">
        <v>223</v>
      </c>
      <c r="AA2034" t="s">
        <v>224</v>
      </c>
      <c r="AB2034" t="s">
        <v>131</v>
      </c>
      <c r="AC2034" t="s">
        <v>51</v>
      </c>
      <c r="AD2034" t="s">
        <v>45</v>
      </c>
      <c r="AE2034" s="1">
        <v>28852</v>
      </c>
      <c r="AF2034">
        <v>2</v>
      </c>
      <c r="AG2034" t="s">
        <v>224</v>
      </c>
      <c r="AH2034" s="36">
        <f t="shared" si="31"/>
        <v>40.569444444444443</v>
      </c>
      <c r="AI2034" s="41" t="s">
        <v>1779</v>
      </c>
    </row>
    <row r="2035" spans="1:35" x14ac:dyDescent="0.25">
      <c r="A2035" s="36">
        <v>99912033</v>
      </c>
      <c r="B2035" s="17" t="s">
        <v>32</v>
      </c>
      <c r="C2035" t="s">
        <v>111</v>
      </c>
      <c r="D2035" t="s">
        <v>112</v>
      </c>
      <c r="G2035" s="17" t="s">
        <v>35</v>
      </c>
      <c r="H2035" s="17">
        <v>1</v>
      </c>
      <c r="I2035">
        <v>10939</v>
      </c>
      <c r="J2035" s="1">
        <v>43344</v>
      </c>
      <c r="K2035" t="s">
        <v>354</v>
      </c>
      <c r="L2035" t="s">
        <v>355</v>
      </c>
      <c r="M2035" t="s">
        <v>131</v>
      </c>
      <c r="N2035">
        <v>24</v>
      </c>
      <c r="O2035" t="s">
        <v>40</v>
      </c>
      <c r="S2035" t="s">
        <v>40</v>
      </c>
      <c r="U2035" s="1">
        <v>43344</v>
      </c>
      <c r="V2035" t="s">
        <v>41</v>
      </c>
      <c r="W2035" t="s">
        <v>75</v>
      </c>
      <c r="X2035" t="str">
        <f>"7054042"</f>
        <v>7054042</v>
      </c>
      <c r="Y2035" t="s">
        <v>776</v>
      </c>
      <c r="Z2035" t="s">
        <v>354</v>
      </c>
      <c r="AA2035" t="s">
        <v>355</v>
      </c>
      <c r="AB2035" t="s">
        <v>131</v>
      </c>
      <c r="AC2035" t="s">
        <v>51</v>
      </c>
      <c r="AD2035" t="s">
        <v>45</v>
      </c>
      <c r="AE2035" s="1">
        <v>28850</v>
      </c>
      <c r="AF2035">
        <v>1</v>
      </c>
      <c r="AG2035" t="s">
        <v>355</v>
      </c>
      <c r="AH2035" s="36">
        <f t="shared" si="31"/>
        <v>40.575000000000003</v>
      </c>
      <c r="AI2035" s="41" t="s">
        <v>1779</v>
      </c>
    </row>
    <row r="2036" spans="1:35" x14ac:dyDescent="0.25">
      <c r="A2036" s="36">
        <v>99912034</v>
      </c>
      <c r="B2036" s="17" t="s">
        <v>56</v>
      </c>
      <c r="C2036" t="s">
        <v>46</v>
      </c>
      <c r="D2036" t="s">
        <v>47</v>
      </c>
      <c r="G2036" s="17" t="s">
        <v>35</v>
      </c>
      <c r="H2036" s="17">
        <v>1</v>
      </c>
      <c r="I2036" t="s">
        <v>316</v>
      </c>
      <c r="J2036" s="1">
        <v>43425</v>
      </c>
      <c r="K2036" t="s">
        <v>300</v>
      </c>
      <c r="L2036" t="s">
        <v>301</v>
      </c>
      <c r="M2036" t="s">
        <v>131</v>
      </c>
      <c r="N2036">
        <v>20</v>
      </c>
      <c r="O2036" t="s">
        <v>40</v>
      </c>
      <c r="P2036" t="s">
        <v>40</v>
      </c>
      <c r="Q2036" t="s">
        <v>40</v>
      </c>
      <c r="R2036" t="s">
        <v>40</v>
      </c>
      <c r="S2036" t="s">
        <v>40</v>
      </c>
      <c r="U2036" s="1">
        <v>43425</v>
      </c>
      <c r="V2036" t="s">
        <v>41</v>
      </c>
      <c r="W2036" t="s">
        <v>49</v>
      </c>
      <c r="X2036" t="str">
        <f>"0560020"</f>
        <v>0560020</v>
      </c>
      <c r="Y2036" t="s">
        <v>302</v>
      </c>
      <c r="Z2036" t="s">
        <v>300</v>
      </c>
      <c r="AA2036" t="s">
        <v>301</v>
      </c>
      <c r="AB2036" t="s">
        <v>131</v>
      </c>
      <c r="AC2036" t="s">
        <v>55</v>
      </c>
      <c r="AD2036" t="s">
        <v>45</v>
      </c>
      <c r="AE2036" s="1">
        <v>28843</v>
      </c>
      <c r="AF2036">
        <v>2</v>
      </c>
      <c r="AG2036" t="s">
        <v>301</v>
      </c>
      <c r="AH2036" s="36">
        <f t="shared" si="31"/>
        <v>40.594444444444441</v>
      </c>
      <c r="AI2036" s="41" t="s">
        <v>1779</v>
      </c>
    </row>
    <row r="2037" spans="1:35" x14ac:dyDescent="0.25">
      <c r="A2037" s="36">
        <v>99912035</v>
      </c>
      <c r="B2037" s="17" t="s">
        <v>32</v>
      </c>
      <c r="C2037" t="s">
        <v>52</v>
      </c>
      <c r="D2037" t="s">
        <v>53</v>
      </c>
      <c r="G2037" s="17" t="s">
        <v>35</v>
      </c>
      <c r="H2037" s="17">
        <v>1</v>
      </c>
      <c r="K2037" t="s">
        <v>223</v>
      </c>
      <c r="L2037" t="s">
        <v>224</v>
      </c>
      <c r="M2037" t="s">
        <v>131</v>
      </c>
      <c r="N2037">
        <v>20</v>
      </c>
      <c r="O2037" t="s">
        <v>40</v>
      </c>
      <c r="P2037" t="s">
        <v>40</v>
      </c>
      <c r="Q2037" t="s">
        <v>40</v>
      </c>
      <c r="S2037" t="s">
        <v>40</v>
      </c>
      <c r="V2037" t="s">
        <v>41</v>
      </c>
      <c r="W2037" t="s">
        <v>49</v>
      </c>
      <c r="X2037" t="str">
        <f>"0591907"</f>
        <v>0591907</v>
      </c>
      <c r="Y2037" t="s">
        <v>243</v>
      </c>
      <c r="Z2037" t="s">
        <v>223</v>
      </c>
      <c r="AA2037" t="s">
        <v>224</v>
      </c>
      <c r="AB2037" t="s">
        <v>131</v>
      </c>
      <c r="AC2037" t="s">
        <v>51</v>
      </c>
      <c r="AD2037" t="s">
        <v>45</v>
      </c>
      <c r="AE2037" s="1">
        <v>28840</v>
      </c>
      <c r="AF2037">
        <v>2</v>
      </c>
      <c r="AG2037" t="s">
        <v>224</v>
      </c>
      <c r="AH2037" s="36">
        <f t="shared" si="31"/>
        <v>40.602777777777774</v>
      </c>
      <c r="AI2037" s="41" t="s">
        <v>1779</v>
      </c>
    </row>
    <row r="2038" spans="1:35" x14ac:dyDescent="0.25">
      <c r="A2038" s="36">
        <v>99912036</v>
      </c>
      <c r="B2038" s="17" t="s">
        <v>56</v>
      </c>
      <c r="C2038" t="s">
        <v>61</v>
      </c>
      <c r="D2038" t="s">
        <v>62</v>
      </c>
      <c r="G2038" s="17" t="s">
        <v>48</v>
      </c>
      <c r="H2038" s="17">
        <v>1</v>
      </c>
      <c r="K2038" t="s">
        <v>223</v>
      </c>
      <c r="L2038" t="s">
        <v>224</v>
      </c>
      <c r="M2038" t="s">
        <v>131</v>
      </c>
      <c r="N2038">
        <v>21</v>
      </c>
      <c r="O2038" t="s">
        <v>40</v>
      </c>
      <c r="P2038" t="s">
        <v>40</v>
      </c>
      <c r="Q2038" t="s">
        <v>40</v>
      </c>
      <c r="R2038" t="s">
        <v>40</v>
      </c>
      <c r="S2038" t="s">
        <v>40</v>
      </c>
      <c r="V2038" t="s">
        <v>41</v>
      </c>
      <c r="W2038" t="s">
        <v>42</v>
      </c>
      <c r="X2038" t="str">
        <f>"0580200"</f>
        <v>0580200</v>
      </c>
      <c r="Y2038" t="s">
        <v>245</v>
      </c>
      <c r="Z2038" t="s">
        <v>223</v>
      </c>
      <c r="AA2038" t="s">
        <v>224</v>
      </c>
      <c r="AB2038" t="s">
        <v>131</v>
      </c>
      <c r="AC2038" t="s">
        <v>51</v>
      </c>
      <c r="AD2038" t="s">
        <v>45</v>
      </c>
      <c r="AE2038" s="1">
        <v>28838</v>
      </c>
      <c r="AF2038">
        <v>2</v>
      </c>
      <c r="AG2038" t="s">
        <v>224</v>
      </c>
      <c r="AH2038" s="36">
        <f t="shared" si="31"/>
        <v>40.608333333333334</v>
      </c>
      <c r="AI2038" s="41" t="s">
        <v>1779</v>
      </c>
    </row>
    <row r="2039" spans="1:35" x14ac:dyDescent="0.25">
      <c r="A2039" s="36">
        <v>99912037</v>
      </c>
      <c r="B2039" s="17" t="s">
        <v>56</v>
      </c>
      <c r="C2039" t="s">
        <v>141</v>
      </c>
      <c r="D2039" t="s">
        <v>142</v>
      </c>
      <c r="G2039" s="17" t="s">
        <v>35</v>
      </c>
      <c r="H2039" s="17">
        <v>1</v>
      </c>
      <c r="I2039">
        <v>0</v>
      </c>
      <c r="J2039" s="1">
        <v>43344</v>
      </c>
      <c r="K2039" t="s">
        <v>223</v>
      </c>
      <c r="L2039" t="s">
        <v>224</v>
      </c>
      <c r="M2039" t="s">
        <v>131</v>
      </c>
      <c r="N2039">
        <v>23</v>
      </c>
      <c r="O2039" t="s">
        <v>40</v>
      </c>
      <c r="S2039" t="s">
        <v>40</v>
      </c>
      <c r="U2039" s="1">
        <v>43344</v>
      </c>
      <c r="V2039" t="s">
        <v>41</v>
      </c>
      <c r="W2039" t="s">
        <v>49</v>
      </c>
      <c r="X2039" t="str">
        <f>"0561022"</f>
        <v>0561022</v>
      </c>
      <c r="Y2039" t="s">
        <v>225</v>
      </c>
      <c r="Z2039" t="s">
        <v>223</v>
      </c>
      <c r="AA2039" t="s">
        <v>224</v>
      </c>
      <c r="AB2039" t="s">
        <v>131</v>
      </c>
      <c r="AC2039" t="s">
        <v>44</v>
      </c>
      <c r="AD2039" t="s">
        <v>45</v>
      </c>
      <c r="AE2039" s="1">
        <v>28837</v>
      </c>
      <c r="AF2039">
        <v>2</v>
      </c>
      <c r="AG2039" t="s">
        <v>224</v>
      </c>
      <c r="AH2039" s="36">
        <f t="shared" si="31"/>
        <v>40.611111111111114</v>
      </c>
      <c r="AI2039" s="41" t="s">
        <v>1779</v>
      </c>
    </row>
    <row r="2040" spans="1:35" x14ac:dyDescent="0.25">
      <c r="A2040" s="36">
        <v>99912038</v>
      </c>
      <c r="B2040" s="17" t="s">
        <v>32</v>
      </c>
      <c r="C2040" t="s">
        <v>139</v>
      </c>
      <c r="D2040" t="s">
        <v>140</v>
      </c>
      <c r="G2040" s="17" t="s">
        <v>88</v>
      </c>
      <c r="H2040" s="17">
        <v>2</v>
      </c>
      <c r="I2040" t="s">
        <v>433</v>
      </c>
      <c r="J2040" s="1">
        <v>40422</v>
      </c>
      <c r="K2040" t="s">
        <v>431</v>
      </c>
      <c r="L2040" t="s">
        <v>196</v>
      </c>
      <c r="M2040" t="s">
        <v>131</v>
      </c>
      <c r="N2040">
        <v>8</v>
      </c>
      <c r="O2040" t="s">
        <v>40</v>
      </c>
      <c r="P2040" t="s">
        <v>40</v>
      </c>
      <c r="Q2040" t="s">
        <v>40</v>
      </c>
      <c r="R2040" t="s">
        <v>40</v>
      </c>
      <c r="S2040" t="s">
        <v>40</v>
      </c>
      <c r="U2040" s="1">
        <v>40422</v>
      </c>
      <c r="V2040" t="s">
        <v>41</v>
      </c>
      <c r="W2040" t="s">
        <v>75</v>
      </c>
      <c r="X2040" t="str">
        <f>"7521012"</f>
        <v>7521012</v>
      </c>
      <c r="Y2040" t="s">
        <v>432</v>
      </c>
      <c r="Z2040" t="s">
        <v>431</v>
      </c>
      <c r="AA2040" t="s">
        <v>196</v>
      </c>
      <c r="AB2040" t="s">
        <v>131</v>
      </c>
      <c r="AC2040" t="s">
        <v>165</v>
      </c>
      <c r="AD2040" t="s">
        <v>45</v>
      </c>
      <c r="AE2040" s="1">
        <v>28827</v>
      </c>
      <c r="AF2040">
        <v>1</v>
      </c>
      <c r="AG2040" t="s">
        <v>196</v>
      </c>
      <c r="AH2040" s="36">
        <f t="shared" si="31"/>
        <v>40.638888888888886</v>
      </c>
      <c r="AI2040" s="41" t="s">
        <v>1779</v>
      </c>
    </row>
    <row r="2041" spans="1:35" x14ac:dyDescent="0.25">
      <c r="A2041" s="36">
        <v>99912039</v>
      </c>
      <c r="B2041" s="17" t="s">
        <v>32</v>
      </c>
      <c r="C2041" t="s">
        <v>79</v>
      </c>
      <c r="D2041" t="s">
        <v>80</v>
      </c>
      <c r="G2041" s="17" t="s">
        <v>48</v>
      </c>
      <c r="H2041" s="17">
        <v>7</v>
      </c>
      <c r="I2041" t="s">
        <v>541</v>
      </c>
      <c r="J2041" s="1">
        <v>43344</v>
      </c>
      <c r="K2041" t="s">
        <v>195</v>
      </c>
      <c r="L2041" t="s">
        <v>196</v>
      </c>
      <c r="M2041" t="s">
        <v>131</v>
      </c>
      <c r="N2041">
        <v>23</v>
      </c>
      <c r="O2041" t="s">
        <v>40</v>
      </c>
      <c r="P2041" t="s">
        <v>40</v>
      </c>
      <c r="Q2041" t="s">
        <v>40</v>
      </c>
      <c r="R2041" t="s">
        <v>40</v>
      </c>
      <c r="S2041" t="s">
        <v>40</v>
      </c>
      <c r="U2041" s="1">
        <v>43344</v>
      </c>
      <c r="V2041" t="s">
        <v>41</v>
      </c>
      <c r="W2041" t="s">
        <v>75</v>
      </c>
      <c r="X2041" t="str">
        <f>"7521042"</f>
        <v>7521042</v>
      </c>
      <c r="Y2041" t="s">
        <v>440</v>
      </c>
      <c r="Z2041" t="s">
        <v>195</v>
      </c>
      <c r="AA2041" t="s">
        <v>196</v>
      </c>
      <c r="AB2041" t="s">
        <v>131</v>
      </c>
      <c r="AC2041" t="s">
        <v>165</v>
      </c>
      <c r="AD2041" t="s">
        <v>45</v>
      </c>
      <c r="AE2041" s="1">
        <v>28826</v>
      </c>
      <c r="AF2041">
        <v>1</v>
      </c>
      <c r="AG2041" t="s">
        <v>196</v>
      </c>
      <c r="AH2041" s="36">
        <f t="shared" si="31"/>
        <v>40.641666666666666</v>
      </c>
      <c r="AI2041" s="41" t="s">
        <v>1779</v>
      </c>
    </row>
    <row r="2042" spans="1:35" x14ac:dyDescent="0.25">
      <c r="A2042" s="36">
        <v>99912040</v>
      </c>
      <c r="B2042" s="17" t="s">
        <v>32</v>
      </c>
      <c r="C2042" t="s">
        <v>46</v>
      </c>
      <c r="D2042" t="s">
        <v>47</v>
      </c>
      <c r="G2042" s="17" t="s">
        <v>48</v>
      </c>
      <c r="H2042" s="17">
        <v>1</v>
      </c>
      <c r="K2042" t="s">
        <v>300</v>
      </c>
      <c r="L2042" t="s">
        <v>301</v>
      </c>
      <c r="M2042" t="s">
        <v>131</v>
      </c>
      <c r="N2042">
        <v>22</v>
      </c>
      <c r="O2042" t="s">
        <v>40</v>
      </c>
      <c r="P2042" t="s">
        <v>40</v>
      </c>
      <c r="Q2042" t="s">
        <v>40</v>
      </c>
      <c r="R2042" t="s">
        <v>40</v>
      </c>
      <c r="S2042" t="s">
        <v>40</v>
      </c>
      <c r="V2042" t="s">
        <v>41</v>
      </c>
      <c r="W2042" t="s">
        <v>49</v>
      </c>
      <c r="X2042" t="str">
        <f>"0560020"</f>
        <v>0560020</v>
      </c>
      <c r="Y2042" t="s">
        <v>302</v>
      </c>
      <c r="Z2042" t="s">
        <v>300</v>
      </c>
      <c r="AA2042" t="s">
        <v>301</v>
      </c>
      <c r="AB2042" t="s">
        <v>131</v>
      </c>
      <c r="AC2042" t="s">
        <v>51</v>
      </c>
      <c r="AD2042" t="s">
        <v>45</v>
      </c>
      <c r="AE2042" s="1">
        <v>28824</v>
      </c>
      <c r="AF2042">
        <v>2</v>
      </c>
      <c r="AG2042" t="s">
        <v>301</v>
      </c>
      <c r="AH2042" s="36">
        <f t="shared" si="31"/>
        <v>40.647222222222226</v>
      </c>
      <c r="AI2042" s="41" t="s">
        <v>1779</v>
      </c>
    </row>
    <row r="2043" spans="1:35" x14ac:dyDescent="0.25">
      <c r="A2043" s="36">
        <v>99912041</v>
      </c>
      <c r="B2043" s="17" t="s">
        <v>56</v>
      </c>
      <c r="C2043" t="s">
        <v>64</v>
      </c>
      <c r="D2043" t="s">
        <v>65</v>
      </c>
      <c r="G2043" s="17" t="s">
        <v>48</v>
      </c>
      <c r="H2043" s="17">
        <v>1</v>
      </c>
      <c r="K2043" t="s">
        <v>407</v>
      </c>
      <c r="L2043" t="s">
        <v>409</v>
      </c>
      <c r="M2043" t="s">
        <v>131</v>
      </c>
      <c r="N2043">
        <v>12</v>
      </c>
      <c r="O2043" t="s">
        <v>40</v>
      </c>
      <c r="P2043" t="s">
        <v>40</v>
      </c>
      <c r="Q2043" t="s">
        <v>40</v>
      </c>
      <c r="S2043" t="s">
        <v>40</v>
      </c>
      <c r="V2043" t="s">
        <v>41</v>
      </c>
      <c r="W2043" t="s">
        <v>75</v>
      </c>
      <c r="X2043" t="str">
        <f>"7053018"</f>
        <v>7053018</v>
      </c>
      <c r="Y2043" t="s">
        <v>408</v>
      </c>
      <c r="Z2043" t="s">
        <v>407</v>
      </c>
      <c r="AA2043" t="s">
        <v>409</v>
      </c>
      <c r="AB2043" t="s">
        <v>131</v>
      </c>
      <c r="AC2043" t="s">
        <v>51</v>
      </c>
      <c r="AD2043" t="s">
        <v>45</v>
      </c>
      <c r="AE2043" s="1">
        <v>28824</v>
      </c>
      <c r="AF2043">
        <v>1</v>
      </c>
      <c r="AG2043" t="s">
        <v>409</v>
      </c>
      <c r="AH2043" s="36">
        <f t="shared" si="31"/>
        <v>40.647222222222226</v>
      </c>
      <c r="AI2043" s="41" t="s">
        <v>1779</v>
      </c>
    </row>
    <row r="2044" spans="1:35" x14ac:dyDescent="0.25">
      <c r="A2044" s="36">
        <v>99912042</v>
      </c>
      <c r="B2044" s="17" t="s">
        <v>32</v>
      </c>
      <c r="C2044" t="s">
        <v>111</v>
      </c>
      <c r="D2044" t="s">
        <v>112</v>
      </c>
      <c r="G2044" s="17" t="s">
        <v>48</v>
      </c>
      <c r="H2044" s="17">
        <v>1</v>
      </c>
      <c r="K2044" t="s">
        <v>1198</v>
      </c>
      <c r="L2044" t="s">
        <v>1199</v>
      </c>
      <c r="M2044" t="s">
        <v>1130</v>
      </c>
      <c r="N2044">
        <v>23</v>
      </c>
      <c r="O2044" t="s">
        <v>40</v>
      </c>
      <c r="P2044" t="s">
        <v>40</v>
      </c>
      <c r="Q2044" t="s">
        <v>40</v>
      </c>
      <c r="R2044" t="s">
        <v>40</v>
      </c>
      <c r="S2044" t="s">
        <v>40</v>
      </c>
      <c r="V2044" t="s">
        <v>41</v>
      </c>
      <c r="W2044" t="s">
        <v>75</v>
      </c>
      <c r="X2044" t="str">
        <f>"7311008"</f>
        <v>7311008</v>
      </c>
      <c r="Y2044" t="s">
        <v>1205</v>
      </c>
      <c r="Z2044" t="s">
        <v>1198</v>
      </c>
      <c r="AA2044" t="s">
        <v>1199</v>
      </c>
      <c r="AB2044" t="s">
        <v>1130</v>
      </c>
      <c r="AC2044" t="s">
        <v>51</v>
      </c>
      <c r="AD2044" t="s">
        <v>45</v>
      </c>
      <c r="AE2044" s="1">
        <v>28822</v>
      </c>
      <c r="AF2044">
        <v>1</v>
      </c>
      <c r="AG2044" t="s">
        <v>1199</v>
      </c>
      <c r="AH2044" s="36">
        <f t="shared" si="31"/>
        <v>40.652777777777779</v>
      </c>
      <c r="AI2044" s="41" t="s">
        <v>1779</v>
      </c>
    </row>
    <row r="2045" spans="1:35" x14ac:dyDescent="0.25">
      <c r="A2045" s="36">
        <v>99912043</v>
      </c>
      <c r="B2045" s="17" t="s">
        <v>56</v>
      </c>
      <c r="C2045" t="s">
        <v>46</v>
      </c>
      <c r="D2045" t="s">
        <v>47</v>
      </c>
      <c r="G2045" s="17" t="s">
        <v>48</v>
      </c>
      <c r="H2045" s="17">
        <v>1</v>
      </c>
      <c r="K2045" t="s">
        <v>1546</v>
      </c>
      <c r="L2045" t="s">
        <v>1547</v>
      </c>
      <c r="M2045" t="s">
        <v>1548</v>
      </c>
      <c r="N2045">
        <v>23</v>
      </c>
      <c r="O2045" t="s">
        <v>40</v>
      </c>
      <c r="P2045" t="s">
        <v>40</v>
      </c>
      <c r="Q2045" t="s">
        <v>40</v>
      </c>
      <c r="S2045" t="s">
        <v>40</v>
      </c>
      <c r="V2045" t="s">
        <v>41</v>
      </c>
      <c r="W2045" t="s">
        <v>42</v>
      </c>
      <c r="X2045" t="str">
        <f>"1061001"</f>
        <v>1061001</v>
      </c>
      <c r="Y2045" t="s">
        <v>1550</v>
      </c>
      <c r="Z2045" t="s">
        <v>1546</v>
      </c>
      <c r="AA2045" t="s">
        <v>1547</v>
      </c>
      <c r="AB2045" t="s">
        <v>1548</v>
      </c>
      <c r="AC2045" t="s">
        <v>51</v>
      </c>
      <c r="AD2045" t="s">
        <v>45</v>
      </c>
      <c r="AE2045" s="1">
        <v>28822</v>
      </c>
      <c r="AF2045">
        <v>2</v>
      </c>
      <c r="AG2045" t="s">
        <v>1547</v>
      </c>
      <c r="AH2045" s="36">
        <f t="shared" si="31"/>
        <v>40.652777777777779</v>
      </c>
      <c r="AI2045" s="41" t="s">
        <v>1779</v>
      </c>
    </row>
    <row r="2046" spans="1:35" x14ac:dyDescent="0.25">
      <c r="A2046" s="36">
        <v>99912044</v>
      </c>
      <c r="B2046" s="17" t="s">
        <v>32</v>
      </c>
      <c r="C2046" t="s">
        <v>90</v>
      </c>
      <c r="D2046" t="s">
        <v>91</v>
      </c>
      <c r="G2046" s="17" t="s">
        <v>35</v>
      </c>
      <c r="H2046" s="17">
        <v>1</v>
      </c>
      <c r="K2046" t="s">
        <v>1124</v>
      </c>
      <c r="L2046" t="s">
        <v>1125</v>
      </c>
      <c r="M2046" t="s">
        <v>1053</v>
      </c>
      <c r="N2046">
        <v>25</v>
      </c>
      <c r="O2046" t="s">
        <v>40</v>
      </c>
      <c r="P2046" t="s">
        <v>40</v>
      </c>
      <c r="Q2046" t="s">
        <v>40</v>
      </c>
      <c r="R2046" t="s">
        <v>40</v>
      </c>
      <c r="S2046" t="s">
        <v>40</v>
      </c>
      <c r="V2046" t="s">
        <v>41</v>
      </c>
      <c r="W2046" t="s">
        <v>95</v>
      </c>
      <c r="X2046" t="str">
        <f>"7401003"</f>
        <v>7401003</v>
      </c>
      <c r="Y2046" t="s">
        <v>1126</v>
      </c>
      <c r="Z2046" t="s">
        <v>1124</v>
      </c>
      <c r="AA2046" t="s">
        <v>1125</v>
      </c>
      <c r="AB2046" t="s">
        <v>1053</v>
      </c>
      <c r="AC2046" t="s">
        <v>51</v>
      </c>
      <c r="AD2046" t="s">
        <v>45</v>
      </c>
      <c r="AE2046" s="1">
        <v>28819</v>
      </c>
      <c r="AF2046">
        <v>1</v>
      </c>
      <c r="AG2046" t="s">
        <v>1125</v>
      </c>
      <c r="AH2046" s="36">
        <f t="shared" si="31"/>
        <v>40.661111111111111</v>
      </c>
      <c r="AI2046" s="41" t="s">
        <v>1779</v>
      </c>
    </row>
    <row r="2047" spans="1:35" x14ac:dyDescent="0.25">
      <c r="A2047" s="36">
        <v>99912045</v>
      </c>
      <c r="B2047" s="17" t="s">
        <v>56</v>
      </c>
      <c r="C2047" t="s">
        <v>143</v>
      </c>
      <c r="D2047" t="s">
        <v>144</v>
      </c>
      <c r="G2047" s="17" t="s">
        <v>48</v>
      </c>
      <c r="H2047" s="17">
        <v>3</v>
      </c>
      <c r="K2047" t="s">
        <v>1268</v>
      </c>
      <c r="L2047" t="s">
        <v>1269</v>
      </c>
      <c r="M2047" t="s">
        <v>1270</v>
      </c>
      <c r="N2047">
        <v>21</v>
      </c>
      <c r="O2047" t="s">
        <v>40</v>
      </c>
      <c r="P2047" t="s">
        <v>40</v>
      </c>
      <c r="Q2047" t="s">
        <v>40</v>
      </c>
      <c r="R2047" t="s">
        <v>40</v>
      </c>
      <c r="S2047" t="s">
        <v>40</v>
      </c>
      <c r="U2047" s="1">
        <v>43344</v>
      </c>
      <c r="V2047" t="s">
        <v>41</v>
      </c>
      <c r="W2047" t="s">
        <v>49</v>
      </c>
      <c r="X2047" t="str">
        <f>"1981055"</f>
        <v>1981055</v>
      </c>
      <c r="Y2047" t="s">
        <v>1280</v>
      </c>
      <c r="Z2047" t="s">
        <v>1268</v>
      </c>
      <c r="AA2047" t="s">
        <v>1269</v>
      </c>
      <c r="AB2047" t="s">
        <v>1270</v>
      </c>
      <c r="AC2047" t="s">
        <v>51</v>
      </c>
      <c r="AD2047" t="s">
        <v>45</v>
      </c>
      <c r="AE2047" s="1">
        <v>28818</v>
      </c>
      <c r="AF2047">
        <v>2</v>
      </c>
      <c r="AG2047" t="s">
        <v>1269</v>
      </c>
      <c r="AH2047" s="36">
        <f t="shared" si="31"/>
        <v>40.663888888888891</v>
      </c>
      <c r="AI2047" s="41" t="s">
        <v>1779</v>
      </c>
    </row>
    <row r="2048" spans="1:35" x14ac:dyDescent="0.25">
      <c r="A2048" s="36">
        <v>99912046</v>
      </c>
      <c r="B2048" s="17" t="s">
        <v>56</v>
      </c>
      <c r="C2048" t="s">
        <v>61</v>
      </c>
      <c r="D2048" t="s">
        <v>62</v>
      </c>
      <c r="G2048" s="17" t="s">
        <v>48</v>
      </c>
      <c r="H2048" s="17">
        <v>7</v>
      </c>
      <c r="I2048" t="s">
        <v>1314</v>
      </c>
      <c r="K2048" t="s">
        <v>1306</v>
      </c>
      <c r="L2048" t="s">
        <v>1307</v>
      </c>
      <c r="M2048" t="s">
        <v>1270</v>
      </c>
      <c r="N2048">
        <v>21</v>
      </c>
      <c r="O2048" t="s">
        <v>40</v>
      </c>
      <c r="P2048" t="s">
        <v>40</v>
      </c>
      <c r="Q2048" t="s">
        <v>40</v>
      </c>
      <c r="R2048" t="s">
        <v>40</v>
      </c>
      <c r="S2048" t="s">
        <v>40</v>
      </c>
      <c r="V2048" t="s">
        <v>41</v>
      </c>
      <c r="W2048" t="s">
        <v>49</v>
      </c>
      <c r="X2048" t="str">
        <f>"1991913"</f>
        <v>1991913</v>
      </c>
      <c r="Y2048" t="s">
        <v>1310</v>
      </c>
      <c r="Z2048" t="s">
        <v>1306</v>
      </c>
      <c r="AA2048" t="s">
        <v>1307</v>
      </c>
      <c r="AB2048" t="s">
        <v>1270</v>
      </c>
      <c r="AC2048" t="s">
        <v>51</v>
      </c>
      <c r="AD2048" t="s">
        <v>45</v>
      </c>
      <c r="AE2048" s="1">
        <v>28818</v>
      </c>
      <c r="AF2048">
        <v>2</v>
      </c>
      <c r="AG2048" t="s">
        <v>1307</v>
      </c>
      <c r="AH2048" s="36">
        <f t="shared" si="31"/>
        <v>40.663888888888891</v>
      </c>
      <c r="AI2048" s="41" t="s">
        <v>1779</v>
      </c>
    </row>
    <row r="2049" spans="1:35" x14ac:dyDescent="0.25">
      <c r="A2049" s="36">
        <v>99912047</v>
      </c>
      <c r="B2049" s="17" t="s">
        <v>56</v>
      </c>
      <c r="C2049" t="s">
        <v>46</v>
      </c>
      <c r="D2049" t="s">
        <v>47</v>
      </c>
      <c r="G2049" s="17" t="s">
        <v>48</v>
      </c>
      <c r="H2049" s="17">
        <v>1</v>
      </c>
      <c r="K2049" t="s">
        <v>129</v>
      </c>
      <c r="L2049" t="s">
        <v>130</v>
      </c>
      <c r="M2049" t="s">
        <v>131</v>
      </c>
      <c r="N2049">
        <v>21</v>
      </c>
      <c r="O2049" t="s">
        <v>40</v>
      </c>
      <c r="P2049" t="s">
        <v>40</v>
      </c>
      <c r="Q2049" t="s">
        <v>40</v>
      </c>
      <c r="R2049" t="s">
        <v>40</v>
      </c>
      <c r="S2049" t="s">
        <v>40</v>
      </c>
      <c r="V2049" t="s">
        <v>41</v>
      </c>
      <c r="W2049" t="s">
        <v>42</v>
      </c>
      <c r="X2049" t="str">
        <f>"0590905"</f>
        <v>0590905</v>
      </c>
      <c r="Y2049" t="s">
        <v>133</v>
      </c>
      <c r="Z2049" t="s">
        <v>129</v>
      </c>
      <c r="AA2049" t="s">
        <v>130</v>
      </c>
      <c r="AB2049" t="s">
        <v>131</v>
      </c>
      <c r="AC2049" t="s">
        <v>51</v>
      </c>
      <c r="AD2049" t="s">
        <v>45</v>
      </c>
      <c r="AE2049" s="1">
        <v>28812</v>
      </c>
      <c r="AF2049">
        <v>2</v>
      </c>
      <c r="AG2049" t="s">
        <v>130</v>
      </c>
      <c r="AH2049" s="36">
        <f t="shared" si="31"/>
        <v>40.680555555555557</v>
      </c>
      <c r="AI2049" s="41" t="s">
        <v>1779</v>
      </c>
    </row>
    <row r="2050" spans="1:35" x14ac:dyDescent="0.25">
      <c r="A2050" s="36">
        <v>99912048</v>
      </c>
      <c r="B2050" s="17" t="s">
        <v>32</v>
      </c>
      <c r="C2050" t="s">
        <v>46</v>
      </c>
      <c r="D2050" t="s">
        <v>47</v>
      </c>
      <c r="G2050" s="17" t="s">
        <v>35</v>
      </c>
      <c r="H2050" s="17">
        <v>1</v>
      </c>
      <c r="I2050">
        <v>10638</v>
      </c>
      <c r="J2050" s="1">
        <v>43371</v>
      </c>
      <c r="K2050" t="s">
        <v>1325</v>
      </c>
      <c r="L2050" t="s">
        <v>1326</v>
      </c>
      <c r="M2050" t="s">
        <v>1270</v>
      </c>
      <c r="N2050">
        <v>22</v>
      </c>
      <c r="O2050" t="s">
        <v>40</v>
      </c>
      <c r="P2050" t="s">
        <v>40</v>
      </c>
      <c r="Q2050" t="s">
        <v>40</v>
      </c>
      <c r="S2050" t="s">
        <v>40</v>
      </c>
      <c r="U2050" s="1">
        <v>43371</v>
      </c>
      <c r="V2050" t="s">
        <v>41</v>
      </c>
      <c r="W2050" t="s">
        <v>42</v>
      </c>
      <c r="X2050" t="str">
        <f>"3980100"</f>
        <v>3980100</v>
      </c>
      <c r="Y2050" t="s">
        <v>1328</v>
      </c>
      <c r="Z2050" t="s">
        <v>1325</v>
      </c>
      <c r="AA2050" t="s">
        <v>1326</v>
      </c>
      <c r="AB2050" t="s">
        <v>1270</v>
      </c>
      <c r="AC2050" t="s">
        <v>44</v>
      </c>
      <c r="AD2050" t="s">
        <v>45</v>
      </c>
      <c r="AE2050" s="1">
        <v>28812</v>
      </c>
      <c r="AF2050">
        <v>2</v>
      </c>
      <c r="AG2050" t="s">
        <v>1326</v>
      </c>
      <c r="AH2050" s="36">
        <f t="shared" ref="AH2050:AH2113" si="32">($AJ$1-AE2050)/360</f>
        <v>40.680555555555557</v>
      </c>
      <c r="AI2050" s="41" t="s">
        <v>1779</v>
      </c>
    </row>
    <row r="2051" spans="1:35" x14ac:dyDescent="0.25">
      <c r="A2051" s="36">
        <v>99912049</v>
      </c>
      <c r="B2051" s="17" t="s">
        <v>32</v>
      </c>
      <c r="C2051" t="s">
        <v>151</v>
      </c>
      <c r="D2051" t="s">
        <v>152</v>
      </c>
      <c r="G2051" s="17" t="s">
        <v>48</v>
      </c>
      <c r="H2051" s="17">
        <v>1</v>
      </c>
      <c r="K2051" t="s">
        <v>1613</v>
      </c>
      <c r="L2051" t="s">
        <v>1614</v>
      </c>
      <c r="M2051" t="s">
        <v>1592</v>
      </c>
      <c r="N2051">
        <v>6</v>
      </c>
      <c r="O2051" t="s">
        <v>40</v>
      </c>
      <c r="P2051" t="s">
        <v>40</v>
      </c>
      <c r="Q2051" t="s">
        <v>40</v>
      </c>
      <c r="R2051" t="s">
        <v>40</v>
      </c>
      <c r="S2051" t="s">
        <v>40</v>
      </c>
      <c r="V2051" t="s">
        <v>41</v>
      </c>
      <c r="W2051" t="s">
        <v>49</v>
      </c>
      <c r="X2051" t="str">
        <f>"2881010"</f>
        <v>2881010</v>
      </c>
      <c r="Y2051" t="s">
        <v>1622</v>
      </c>
      <c r="Z2051" t="s">
        <v>1613</v>
      </c>
      <c r="AA2051" t="s">
        <v>1614</v>
      </c>
      <c r="AB2051" t="s">
        <v>1592</v>
      </c>
      <c r="AC2051" t="s">
        <v>51</v>
      </c>
      <c r="AD2051" t="s">
        <v>45</v>
      </c>
      <c r="AE2051" s="1">
        <v>28812</v>
      </c>
      <c r="AF2051">
        <v>2</v>
      </c>
      <c r="AG2051" t="s">
        <v>1614</v>
      </c>
      <c r="AH2051" s="36">
        <f t="shared" si="32"/>
        <v>40.680555555555557</v>
      </c>
      <c r="AI2051" s="41" t="s">
        <v>1779</v>
      </c>
    </row>
    <row r="2052" spans="1:35" x14ac:dyDescent="0.25">
      <c r="A2052" s="36">
        <v>99912050</v>
      </c>
      <c r="B2052" s="17" t="s">
        <v>56</v>
      </c>
      <c r="C2052" t="s">
        <v>46</v>
      </c>
      <c r="D2052" t="s">
        <v>47</v>
      </c>
      <c r="G2052" s="17" t="s">
        <v>48</v>
      </c>
      <c r="H2052" s="17">
        <v>1</v>
      </c>
      <c r="K2052" t="s">
        <v>157</v>
      </c>
      <c r="L2052" t="s">
        <v>158</v>
      </c>
      <c r="M2052" t="s">
        <v>131</v>
      </c>
      <c r="N2052">
        <v>21</v>
      </c>
      <c r="O2052" t="s">
        <v>40</v>
      </c>
      <c r="P2052" t="s">
        <v>40</v>
      </c>
      <c r="Q2052" t="s">
        <v>40</v>
      </c>
      <c r="S2052" t="s">
        <v>40</v>
      </c>
      <c r="V2052" t="s">
        <v>41</v>
      </c>
      <c r="W2052" t="s">
        <v>42</v>
      </c>
      <c r="X2052" t="str">
        <f>"0580735"</f>
        <v>0580735</v>
      </c>
      <c r="Y2052" t="s">
        <v>180</v>
      </c>
      <c r="Z2052" t="s">
        <v>157</v>
      </c>
      <c r="AA2052" t="s">
        <v>158</v>
      </c>
      <c r="AB2052" t="s">
        <v>131</v>
      </c>
      <c r="AC2052" t="s">
        <v>51</v>
      </c>
      <c r="AD2052" t="s">
        <v>45</v>
      </c>
      <c r="AE2052" s="1">
        <v>28805</v>
      </c>
      <c r="AF2052">
        <v>2</v>
      </c>
      <c r="AG2052" t="s">
        <v>158</v>
      </c>
      <c r="AH2052" s="36">
        <f t="shared" si="32"/>
        <v>40.700000000000003</v>
      </c>
      <c r="AI2052" s="41" t="s">
        <v>1779</v>
      </c>
    </row>
    <row r="2053" spans="1:35" x14ac:dyDescent="0.25">
      <c r="A2053" s="36">
        <v>99912051</v>
      </c>
      <c r="B2053" s="17" t="s">
        <v>56</v>
      </c>
      <c r="C2053" t="s">
        <v>141</v>
      </c>
      <c r="D2053" t="s">
        <v>142</v>
      </c>
      <c r="G2053" s="17" t="s">
        <v>35</v>
      </c>
      <c r="H2053" s="17">
        <v>1</v>
      </c>
      <c r="K2053" t="s">
        <v>431</v>
      </c>
      <c r="L2053" t="s">
        <v>196</v>
      </c>
      <c r="M2053" t="s">
        <v>131</v>
      </c>
      <c r="N2053">
        <v>11</v>
      </c>
      <c r="O2053" t="s">
        <v>40</v>
      </c>
      <c r="P2053" t="s">
        <v>40</v>
      </c>
      <c r="Q2053" t="s">
        <v>40</v>
      </c>
      <c r="S2053" t="s">
        <v>40</v>
      </c>
      <c r="V2053" t="s">
        <v>41</v>
      </c>
      <c r="W2053" t="s">
        <v>75</v>
      </c>
      <c r="X2053" t="str">
        <f>"7521032"</f>
        <v>7521032</v>
      </c>
      <c r="Y2053" t="s">
        <v>462</v>
      </c>
      <c r="Z2053" t="s">
        <v>431</v>
      </c>
      <c r="AA2053" t="s">
        <v>196</v>
      </c>
      <c r="AB2053" t="s">
        <v>131</v>
      </c>
      <c r="AC2053" t="s">
        <v>51</v>
      </c>
      <c r="AD2053" t="s">
        <v>45</v>
      </c>
      <c r="AE2053" s="1">
        <v>28805</v>
      </c>
      <c r="AF2053">
        <v>1</v>
      </c>
      <c r="AG2053" t="s">
        <v>196</v>
      </c>
      <c r="AH2053" s="36">
        <f t="shared" si="32"/>
        <v>40.700000000000003</v>
      </c>
      <c r="AI2053" s="41" t="s">
        <v>1779</v>
      </c>
    </row>
    <row r="2054" spans="1:35" x14ac:dyDescent="0.25">
      <c r="A2054" s="36">
        <v>99912052</v>
      </c>
      <c r="B2054" s="17" t="s">
        <v>56</v>
      </c>
      <c r="C2054" t="s">
        <v>52</v>
      </c>
      <c r="D2054" t="s">
        <v>53</v>
      </c>
      <c r="G2054" s="17" t="s">
        <v>35</v>
      </c>
      <c r="H2054" s="17">
        <v>1</v>
      </c>
      <c r="I2054" t="s">
        <v>328</v>
      </c>
      <c r="J2054" s="1">
        <v>43344</v>
      </c>
      <c r="K2054" t="s">
        <v>300</v>
      </c>
      <c r="L2054" t="s">
        <v>301</v>
      </c>
      <c r="M2054" t="s">
        <v>131</v>
      </c>
      <c r="N2054">
        <v>19</v>
      </c>
      <c r="O2054" t="s">
        <v>40</v>
      </c>
      <c r="P2054" t="s">
        <v>40</v>
      </c>
      <c r="Q2054" t="s">
        <v>40</v>
      </c>
      <c r="R2054" t="s">
        <v>40</v>
      </c>
      <c r="S2054" t="s">
        <v>40</v>
      </c>
      <c r="U2054" s="1">
        <v>43344</v>
      </c>
      <c r="V2054" t="s">
        <v>41</v>
      </c>
      <c r="W2054" t="s">
        <v>42</v>
      </c>
      <c r="X2054" t="str">
        <f>"0580106"</f>
        <v>0580106</v>
      </c>
      <c r="Y2054" t="s">
        <v>306</v>
      </c>
      <c r="Z2054" t="s">
        <v>300</v>
      </c>
      <c r="AA2054" t="s">
        <v>301</v>
      </c>
      <c r="AB2054" t="s">
        <v>131</v>
      </c>
      <c r="AC2054" t="s">
        <v>165</v>
      </c>
      <c r="AD2054" t="s">
        <v>45</v>
      </c>
      <c r="AE2054" s="1">
        <v>28803</v>
      </c>
      <c r="AF2054">
        <v>2</v>
      </c>
      <c r="AG2054" t="s">
        <v>301</v>
      </c>
      <c r="AH2054" s="36">
        <f t="shared" si="32"/>
        <v>40.705555555555556</v>
      </c>
      <c r="AI2054" s="41" t="s">
        <v>1779</v>
      </c>
    </row>
    <row r="2055" spans="1:35" x14ac:dyDescent="0.25">
      <c r="A2055" s="36">
        <v>99912053</v>
      </c>
      <c r="B2055" s="17" t="s">
        <v>32</v>
      </c>
      <c r="C2055" t="s">
        <v>79</v>
      </c>
      <c r="D2055" t="s">
        <v>80</v>
      </c>
      <c r="G2055" s="17" t="s">
        <v>48</v>
      </c>
      <c r="H2055" s="17">
        <v>1</v>
      </c>
      <c r="K2055" t="s">
        <v>300</v>
      </c>
      <c r="L2055" t="s">
        <v>301</v>
      </c>
      <c r="M2055" t="s">
        <v>131</v>
      </c>
      <c r="N2055">
        <v>13</v>
      </c>
      <c r="O2055" t="s">
        <v>40</v>
      </c>
      <c r="P2055" t="s">
        <v>40</v>
      </c>
      <c r="Q2055" t="s">
        <v>40</v>
      </c>
      <c r="R2055" t="s">
        <v>40</v>
      </c>
      <c r="S2055" t="s">
        <v>40</v>
      </c>
      <c r="V2055" t="s">
        <v>41</v>
      </c>
      <c r="W2055" t="s">
        <v>49</v>
      </c>
      <c r="X2055" t="str">
        <f>"0560001"</f>
        <v>0560001</v>
      </c>
      <c r="Y2055" t="s">
        <v>304</v>
      </c>
      <c r="Z2055" t="s">
        <v>300</v>
      </c>
      <c r="AA2055" t="s">
        <v>301</v>
      </c>
      <c r="AB2055" t="s">
        <v>131</v>
      </c>
      <c r="AC2055" t="s">
        <v>51</v>
      </c>
      <c r="AD2055" t="s">
        <v>45</v>
      </c>
      <c r="AE2055" s="1">
        <v>28800</v>
      </c>
      <c r="AF2055">
        <v>2</v>
      </c>
      <c r="AG2055" t="s">
        <v>301</v>
      </c>
      <c r="AH2055" s="36">
        <f t="shared" si="32"/>
        <v>40.713888888888889</v>
      </c>
      <c r="AI2055" s="41" t="s">
        <v>1779</v>
      </c>
    </row>
    <row r="2056" spans="1:35" x14ac:dyDescent="0.25">
      <c r="A2056" s="36">
        <v>99912054</v>
      </c>
      <c r="B2056" s="17" t="s">
        <v>56</v>
      </c>
      <c r="C2056" t="s">
        <v>46</v>
      </c>
      <c r="D2056" t="s">
        <v>47</v>
      </c>
      <c r="G2056" s="17" t="s">
        <v>48</v>
      </c>
      <c r="H2056" s="17">
        <v>1</v>
      </c>
      <c r="K2056" t="s">
        <v>1268</v>
      </c>
      <c r="L2056" t="s">
        <v>1269</v>
      </c>
      <c r="M2056" t="s">
        <v>1270</v>
      </c>
      <c r="N2056">
        <v>23</v>
      </c>
      <c r="O2056" t="s">
        <v>40</v>
      </c>
      <c r="P2056" t="s">
        <v>40</v>
      </c>
      <c r="Q2056" t="s">
        <v>40</v>
      </c>
      <c r="S2056" t="s">
        <v>40</v>
      </c>
      <c r="V2056" t="s">
        <v>41</v>
      </c>
      <c r="W2056" t="s">
        <v>42</v>
      </c>
      <c r="X2056" t="str">
        <f>"1980050"</f>
        <v>1980050</v>
      </c>
      <c r="Y2056" t="s">
        <v>1278</v>
      </c>
      <c r="Z2056" t="s">
        <v>1268</v>
      </c>
      <c r="AA2056" t="s">
        <v>1269</v>
      </c>
      <c r="AB2056" t="s">
        <v>1270</v>
      </c>
      <c r="AC2056" t="s">
        <v>51</v>
      </c>
      <c r="AD2056" t="s">
        <v>45</v>
      </c>
      <c r="AE2056" s="1">
        <v>28800</v>
      </c>
      <c r="AF2056">
        <v>2</v>
      </c>
      <c r="AG2056" t="s">
        <v>1269</v>
      </c>
      <c r="AH2056" s="36">
        <f t="shared" si="32"/>
        <v>40.713888888888889</v>
      </c>
      <c r="AI2056" s="41" t="s">
        <v>1779</v>
      </c>
    </row>
    <row r="2057" spans="1:35" x14ac:dyDescent="0.25">
      <c r="A2057" s="36">
        <v>99912055</v>
      </c>
      <c r="B2057" s="17" t="s">
        <v>56</v>
      </c>
      <c r="C2057" t="s">
        <v>85</v>
      </c>
      <c r="D2057" t="s">
        <v>86</v>
      </c>
      <c r="G2057" s="17" t="s">
        <v>48</v>
      </c>
      <c r="H2057" s="17">
        <v>1</v>
      </c>
      <c r="K2057" t="s">
        <v>1613</v>
      </c>
      <c r="L2057" t="s">
        <v>1614</v>
      </c>
      <c r="M2057" t="s">
        <v>1592</v>
      </c>
      <c r="N2057">
        <v>19</v>
      </c>
      <c r="O2057" t="s">
        <v>40</v>
      </c>
      <c r="P2057" t="s">
        <v>40</v>
      </c>
      <c r="Q2057" t="s">
        <v>40</v>
      </c>
      <c r="R2057" t="s">
        <v>40</v>
      </c>
      <c r="S2057" t="s">
        <v>40</v>
      </c>
      <c r="V2057" t="s">
        <v>41</v>
      </c>
      <c r="W2057" t="s">
        <v>49</v>
      </c>
      <c r="X2057" t="str">
        <f>"2860001"</f>
        <v>2860001</v>
      </c>
      <c r="Y2057" t="s">
        <v>1616</v>
      </c>
      <c r="Z2057" t="s">
        <v>1613</v>
      </c>
      <c r="AA2057" t="s">
        <v>1614</v>
      </c>
      <c r="AB2057" t="s">
        <v>1592</v>
      </c>
      <c r="AC2057" t="s">
        <v>51</v>
      </c>
      <c r="AD2057" t="s">
        <v>45</v>
      </c>
      <c r="AE2057" s="1">
        <v>28797</v>
      </c>
      <c r="AF2057">
        <v>2</v>
      </c>
      <c r="AG2057" t="s">
        <v>1614</v>
      </c>
      <c r="AH2057" s="36">
        <f t="shared" si="32"/>
        <v>40.722222222222221</v>
      </c>
      <c r="AI2057" s="41" t="s">
        <v>1779</v>
      </c>
    </row>
    <row r="2058" spans="1:35" x14ac:dyDescent="0.25">
      <c r="A2058" s="36">
        <v>99912056</v>
      </c>
      <c r="B2058" s="17" t="s">
        <v>56</v>
      </c>
      <c r="C2058" t="s">
        <v>33</v>
      </c>
      <c r="D2058" t="s">
        <v>34</v>
      </c>
      <c r="G2058" s="17" t="s">
        <v>35</v>
      </c>
      <c r="H2058" s="17">
        <v>1</v>
      </c>
      <c r="I2058" t="s">
        <v>336</v>
      </c>
      <c r="J2058" s="1">
        <v>43344</v>
      </c>
      <c r="K2058" t="s">
        <v>300</v>
      </c>
      <c r="L2058" t="s">
        <v>301</v>
      </c>
      <c r="M2058" t="s">
        <v>131</v>
      </c>
      <c r="N2058">
        <v>8</v>
      </c>
      <c r="O2058" t="s">
        <v>40</v>
      </c>
      <c r="P2058" t="s">
        <v>40</v>
      </c>
      <c r="Q2058" t="s">
        <v>40</v>
      </c>
      <c r="S2058" t="s">
        <v>40</v>
      </c>
      <c r="U2058" s="1">
        <v>43344</v>
      </c>
      <c r="V2058" t="s">
        <v>41</v>
      </c>
      <c r="W2058" t="s">
        <v>49</v>
      </c>
      <c r="X2058" t="str">
        <f>"0560020"</f>
        <v>0560020</v>
      </c>
      <c r="Y2058" t="s">
        <v>302</v>
      </c>
      <c r="Z2058" t="s">
        <v>300</v>
      </c>
      <c r="AA2058" t="s">
        <v>301</v>
      </c>
      <c r="AB2058" t="s">
        <v>131</v>
      </c>
      <c r="AC2058" t="s">
        <v>51</v>
      </c>
      <c r="AD2058" t="s">
        <v>45</v>
      </c>
      <c r="AE2058" s="1">
        <v>28796</v>
      </c>
      <c r="AF2058">
        <v>2</v>
      </c>
      <c r="AG2058" t="s">
        <v>301</v>
      </c>
      <c r="AH2058" s="36">
        <f t="shared" si="32"/>
        <v>40.725000000000001</v>
      </c>
      <c r="AI2058" s="41" t="s">
        <v>1779</v>
      </c>
    </row>
    <row r="2059" spans="1:35" x14ac:dyDescent="0.25">
      <c r="A2059" s="36">
        <v>99912057</v>
      </c>
      <c r="B2059" s="17" t="s">
        <v>32</v>
      </c>
      <c r="C2059" t="s">
        <v>139</v>
      </c>
      <c r="D2059" t="s">
        <v>140</v>
      </c>
      <c r="G2059" s="17" t="s">
        <v>35</v>
      </c>
      <c r="H2059" s="17">
        <v>1</v>
      </c>
      <c r="I2059" s="1">
        <v>42625</v>
      </c>
      <c r="J2059" s="1">
        <v>43344</v>
      </c>
      <c r="K2059" t="s">
        <v>1341</v>
      </c>
      <c r="L2059" t="s">
        <v>1342</v>
      </c>
      <c r="M2059" t="s">
        <v>1270</v>
      </c>
      <c r="N2059">
        <v>24</v>
      </c>
      <c r="O2059" t="s">
        <v>40</v>
      </c>
      <c r="S2059" t="s">
        <v>40</v>
      </c>
      <c r="U2059" s="1">
        <v>43344</v>
      </c>
      <c r="V2059" t="s">
        <v>41</v>
      </c>
      <c r="W2059" t="s">
        <v>75</v>
      </c>
      <c r="X2059" t="str">
        <f>"7191000"</f>
        <v>7191000</v>
      </c>
      <c r="Y2059" t="s">
        <v>1347</v>
      </c>
      <c r="Z2059" t="s">
        <v>1341</v>
      </c>
      <c r="AA2059" t="s">
        <v>1342</v>
      </c>
      <c r="AB2059" t="s">
        <v>1270</v>
      </c>
      <c r="AC2059" t="s">
        <v>51</v>
      </c>
      <c r="AD2059" t="s">
        <v>45</v>
      </c>
      <c r="AE2059" s="1">
        <v>28796</v>
      </c>
      <c r="AF2059">
        <v>1</v>
      </c>
      <c r="AG2059" t="s">
        <v>1342</v>
      </c>
      <c r="AH2059" s="36">
        <f t="shared" si="32"/>
        <v>40.725000000000001</v>
      </c>
      <c r="AI2059" s="41" t="s">
        <v>1779</v>
      </c>
    </row>
    <row r="2060" spans="1:35" x14ac:dyDescent="0.25">
      <c r="A2060" s="36">
        <v>99912058</v>
      </c>
      <c r="B2060" s="17" t="s">
        <v>32</v>
      </c>
      <c r="C2060" t="s">
        <v>111</v>
      </c>
      <c r="D2060" t="s">
        <v>112</v>
      </c>
      <c r="G2060" s="17" t="s">
        <v>48</v>
      </c>
      <c r="H2060" s="17">
        <v>8</v>
      </c>
      <c r="J2060" s="1">
        <v>43344</v>
      </c>
      <c r="K2060" t="s">
        <v>354</v>
      </c>
      <c r="L2060" t="s">
        <v>355</v>
      </c>
      <c r="M2060" t="s">
        <v>131</v>
      </c>
      <c r="N2060">
        <v>22</v>
      </c>
      <c r="O2060" t="s">
        <v>40</v>
      </c>
      <c r="P2060" t="s">
        <v>40</v>
      </c>
      <c r="Q2060" t="s">
        <v>40</v>
      </c>
      <c r="R2060" t="s">
        <v>40</v>
      </c>
      <c r="S2060" t="s">
        <v>40</v>
      </c>
      <c r="U2060" s="1">
        <v>43344</v>
      </c>
      <c r="V2060" t="s">
        <v>41</v>
      </c>
      <c r="W2060" t="s">
        <v>75</v>
      </c>
      <c r="X2060" t="str">
        <f>"7054020"</f>
        <v>7054020</v>
      </c>
      <c r="Y2060" t="s">
        <v>765</v>
      </c>
      <c r="Z2060" t="s">
        <v>354</v>
      </c>
      <c r="AA2060" t="s">
        <v>355</v>
      </c>
      <c r="AB2060" t="s">
        <v>131</v>
      </c>
      <c r="AC2060" t="s">
        <v>51</v>
      </c>
      <c r="AD2060" t="s">
        <v>45</v>
      </c>
      <c r="AE2060" s="1">
        <v>28795</v>
      </c>
      <c r="AF2060">
        <v>1</v>
      </c>
      <c r="AG2060" t="s">
        <v>355</v>
      </c>
      <c r="AH2060" s="36">
        <f t="shared" si="32"/>
        <v>40.727777777777774</v>
      </c>
      <c r="AI2060" s="41" t="s">
        <v>1779</v>
      </c>
    </row>
    <row r="2061" spans="1:35" x14ac:dyDescent="0.25">
      <c r="A2061" s="36">
        <v>99912059</v>
      </c>
      <c r="B2061" s="17" t="s">
        <v>32</v>
      </c>
      <c r="C2061" t="s">
        <v>90</v>
      </c>
      <c r="D2061" t="s">
        <v>91</v>
      </c>
      <c r="G2061" s="17" t="s">
        <v>48</v>
      </c>
      <c r="H2061" s="17">
        <v>1</v>
      </c>
      <c r="K2061" t="s">
        <v>268</v>
      </c>
      <c r="L2061" t="s">
        <v>269</v>
      </c>
      <c r="M2061" t="s">
        <v>131</v>
      </c>
      <c r="N2061">
        <v>22</v>
      </c>
      <c r="O2061" t="s">
        <v>40</v>
      </c>
      <c r="P2061" t="s">
        <v>40</v>
      </c>
      <c r="Q2061" t="s">
        <v>40</v>
      </c>
      <c r="S2061" t="s">
        <v>40</v>
      </c>
      <c r="V2061" t="s">
        <v>41</v>
      </c>
      <c r="W2061" t="s">
        <v>95</v>
      </c>
      <c r="X2061" t="str">
        <f>"7052001"</f>
        <v>7052001</v>
      </c>
      <c r="Y2061" t="s">
        <v>576</v>
      </c>
      <c r="Z2061" t="s">
        <v>268</v>
      </c>
      <c r="AA2061" t="s">
        <v>269</v>
      </c>
      <c r="AB2061" t="s">
        <v>131</v>
      </c>
      <c r="AC2061" t="s">
        <v>51</v>
      </c>
      <c r="AD2061" t="s">
        <v>45</v>
      </c>
      <c r="AE2061" s="1">
        <v>28792</v>
      </c>
      <c r="AF2061">
        <v>1</v>
      </c>
      <c r="AG2061" t="s">
        <v>269</v>
      </c>
      <c r="AH2061" s="36">
        <f t="shared" si="32"/>
        <v>40.736111111111114</v>
      </c>
      <c r="AI2061" s="41" t="s">
        <v>1779</v>
      </c>
    </row>
    <row r="2062" spans="1:35" x14ac:dyDescent="0.25">
      <c r="A2062" s="36">
        <v>99912060</v>
      </c>
      <c r="B2062" s="17" t="s">
        <v>32</v>
      </c>
      <c r="C2062" t="s">
        <v>68</v>
      </c>
      <c r="D2062" t="s">
        <v>69</v>
      </c>
      <c r="G2062" s="17" t="s">
        <v>35</v>
      </c>
      <c r="H2062" s="17">
        <v>1</v>
      </c>
      <c r="I2062">
        <v>8819</v>
      </c>
      <c r="J2062" s="1">
        <v>42979</v>
      </c>
      <c r="K2062" t="s">
        <v>345</v>
      </c>
      <c r="L2062" t="s">
        <v>346</v>
      </c>
      <c r="M2062" t="s">
        <v>131</v>
      </c>
      <c r="N2062">
        <v>3</v>
      </c>
      <c r="O2062" t="s">
        <v>40</v>
      </c>
      <c r="Q2062" t="s">
        <v>40</v>
      </c>
      <c r="S2062" t="s">
        <v>40</v>
      </c>
      <c r="U2062" s="1">
        <v>42979</v>
      </c>
      <c r="V2062" t="s">
        <v>41</v>
      </c>
      <c r="W2062" t="s">
        <v>49</v>
      </c>
      <c r="X2062" t="str">
        <f>"0560032"</f>
        <v>0560032</v>
      </c>
      <c r="Y2062" t="s">
        <v>347</v>
      </c>
      <c r="Z2062" t="s">
        <v>345</v>
      </c>
      <c r="AA2062" t="s">
        <v>346</v>
      </c>
      <c r="AB2062" t="s">
        <v>131</v>
      </c>
      <c r="AC2062" t="s">
        <v>51</v>
      </c>
      <c r="AD2062" t="s">
        <v>45</v>
      </c>
      <c r="AE2062" s="1">
        <v>28788</v>
      </c>
      <c r="AF2062">
        <v>2</v>
      </c>
      <c r="AG2062" t="s">
        <v>346</v>
      </c>
      <c r="AH2062" s="36">
        <f t="shared" si="32"/>
        <v>40.74722222222222</v>
      </c>
      <c r="AI2062" s="41" t="s">
        <v>1779</v>
      </c>
    </row>
    <row r="2063" spans="1:35" x14ac:dyDescent="0.25">
      <c r="A2063" s="36">
        <v>99912061</v>
      </c>
      <c r="B2063" s="17" t="s">
        <v>32</v>
      </c>
      <c r="C2063" t="s">
        <v>64</v>
      </c>
      <c r="D2063" t="s">
        <v>65</v>
      </c>
      <c r="G2063" s="17" t="s">
        <v>48</v>
      </c>
      <c r="H2063" s="17">
        <v>1</v>
      </c>
      <c r="K2063" t="s">
        <v>936</v>
      </c>
      <c r="L2063" t="s">
        <v>937</v>
      </c>
      <c r="M2063" t="s">
        <v>938</v>
      </c>
      <c r="N2063">
        <v>12</v>
      </c>
      <c r="O2063" t="s">
        <v>40</v>
      </c>
      <c r="P2063" t="s">
        <v>40</v>
      </c>
      <c r="Q2063" t="s">
        <v>40</v>
      </c>
      <c r="S2063" t="s">
        <v>40</v>
      </c>
      <c r="V2063" t="s">
        <v>41</v>
      </c>
      <c r="W2063" t="s">
        <v>49</v>
      </c>
      <c r="X2063" t="str">
        <f>"0180017"</f>
        <v>0180017</v>
      </c>
      <c r="Y2063" t="s">
        <v>943</v>
      </c>
      <c r="Z2063" t="s">
        <v>936</v>
      </c>
      <c r="AA2063" t="s">
        <v>937</v>
      </c>
      <c r="AB2063" t="s">
        <v>938</v>
      </c>
      <c r="AC2063" t="s">
        <v>51</v>
      </c>
      <c r="AD2063" t="s">
        <v>45</v>
      </c>
      <c r="AE2063" s="1">
        <v>28784</v>
      </c>
      <c r="AF2063">
        <v>2</v>
      </c>
      <c r="AG2063" t="s">
        <v>937</v>
      </c>
      <c r="AH2063" s="36">
        <f t="shared" si="32"/>
        <v>40.758333333333333</v>
      </c>
      <c r="AI2063" s="41" t="s">
        <v>1779</v>
      </c>
    </row>
    <row r="2064" spans="1:35" x14ac:dyDescent="0.25">
      <c r="A2064" s="36">
        <v>99912062</v>
      </c>
      <c r="B2064" s="17" t="s">
        <v>56</v>
      </c>
      <c r="C2064" t="s">
        <v>61</v>
      </c>
      <c r="D2064" t="s">
        <v>62</v>
      </c>
      <c r="E2064" t="s">
        <v>257</v>
      </c>
      <c r="F2064" t="s">
        <v>258</v>
      </c>
      <c r="G2064" s="17" t="s">
        <v>48</v>
      </c>
      <c r="H2064" s="17">
        <v>1</v>
      </c>
      <c r="K2064" t="s">
        <v>223</v>
      </c>
      <c r="L2064" t="s">
        <v>224</v>
      </c>
      <c r="M2064" t="s">
        <v>131</v>
      </c>
      <c r="N2064">
        <v>21</v>
      </c>
      <c r="O2064" t="s">
        <v>40</v>
      </c>
      <c r="P2064" t="s">
        <v>40</v>
      </c>
      <c r="Q2064" t="s">
        <v>40</v>
      </c>
      <c r="R2064" t="s">
        <v>40</v>
      </c>
      <c r="S2064" t="s">
        <v>40</v>
      </c>
      <c r="V2064" t="s">
        <v>41</v>
      </c>
      <c r="W2064" t="s">
        <v>42</v>
      </c>
      <c r="X2064" t="str">
        <f>"0580207"</f>
        <v>0580207</v>
      </c>
      <c r="Y2064" t="s">
        <v>229</v>
      </c>
      <c r="Z2064" t="s">
        <v>223</v>
      </c>
      <c r="AA2064" t="s">
        <v>224</v>
      </c>
      <c r="AB2064" t="s">
        <v>131</v>
      </c>
      <c r="AC2064" t="s">
        <v>51</v>
      </c>
      <c r="AD2064" t="s">
        <v>45</v>
      </c>
      <c r="AE2064" s="1">
        <v>28777</v>
      </c>
      <c r="AF2064">
        <v>2</v>
      </c>
      <c r="AG2064" t="s">
        <v>224</v>
      </c>
      <c r="AH2064" s="36">
        <f t="shared" si="32"/>
        <v>40.777777777777779</v>
      </c>
      <c r="AI2064" s="41" t="s">
        <v>1779</v>
      </c>
    </row>
    <row r="2065" spans="1:35" x14ac:dyDescent="0.25">
      <c r="A2065" s="36">
        <v>99912063</v>
      </c>
      <c r="B2065" s="17" t="s">
        <v>32</v>
      </c>
      <c r="C2065" t="s">
        <v>111</v>
      </c>
      <c r="D2065" t="s">
        <v>112</v>
      </c>
      <c r="G2065" s="17" t="s">
        <v>48</v>
      </c>
      <c r="H2065" s="17">
        <v>1</v>
      </c>
      <c r="K2065" t="s">
        <v>354</v>
      </c>
      <c r="L2065" t="s">
        <v>355</v>
      </c>
      <c r="M2065" t="s">
        <v>131</v>
      </c>
      <c r="N2065">
        <v>23</v>
      </c>
      <c r="O2065" t="s">
        <v>40</v>
      </c>
      <c r="P2065" t="s">
        <v>40</v>
      </c>
      <c r="Q2065" t="s">
        <v>40</v>
      </c>
      <c r="S2065" t="s">
        <v>40</v>
      </c>
      <c r="V2065" t="s">
        <v>41</v>
      </c>
      <c r="W2065" t="s">
        <v>75</v>
      </c>
      <c r="X2065" t="str">
        <f>"7054022"</f>
        <v>7054022</v>
      </c>
      <c r="Y2065" t="s">
        <v>770</v>
      </c>
      <c r="Z2065" t="s">
        <v>354</v>
      </c>
      <c r="AA2065" t="s">
        <v>355</v>
      </c>
      <c r="AB2065" t="s">
        <v>131</v>
      </c>
      <c r="AC2065" t="s">
        <v>51</v>
      </c>
      <c r="AD2065" t="s">
        <v>45</v>
      </c>
      <c r="AE2065" s="1">
        <v>28776</v>
      </c>
      <c r="AF2065">
        <v>1</v>
      </c>
      <c r="AG2065" t="s">
        <v>355</v>
      </c>
      <c r="AH2065" s="36">
        <f t="shared" si="32"/>
        <v>40.780555555555559</v>
      </c>
      <c r="AI2065" s="41" t="s">
        <v>1779</v>
      </c>
    </row>
    <row r="2066" spans="1:35" x14ac:dyDescent="0.25">
      <c r="A2066" s="36">
        <v>99912064</v>
      </c>
      <c r="B2066" s="17" t="s">
        <v>56</v>
      </c>
      <c r="C2066" t="s">
        <v>82</v>
      </c>
      <c r="D2066" t="s">
        <v>83</v>
      </c>
      <c r="G2066" s="17" t="s">
        <v>48</v>
      </c>
      <c r="H2066" s="17">
        <v>1</v>
      </c>
      <c r="K2066" t="s">
        <v>300</v>
      </c>
      <c r="L2066" t="s">
        <v>301</v>
      </c>
      <c r="M2066" t="s">
        <v>131</v>
      </c>
      <c r="N2066">
        <v>22</v>
      </c>
      <c r="O2066" t="s">
        <v>40</v>
      </c>
      <c r="P2066" t="s">
        <v>40</v>
      </c>
      <c r="Q2066" t="s">
        <v>40</v>
      </c>
      <c r="R2066" t="s">
        <v>40</v>
      </c>
      <c r="S2066" t="s">
        <v>40</v>
      </c>
      <c r="V2066" t="s">
        <v>41</v>
      </c>
      <c r="W2066" t="s">
        <v>42</v>
      </c>
      <c r="X2066" t="str">
        <f>"0580176"</f>
        <v>0580176</v>
      </c>
      <c r="Y2066" t="s">
        <v>305</v>
      </c>
      <c r="Z2066" t="s">
        <v>300</v>
      </c>
      <c r="AA2066" t="s">
        <v>301</v>
      </c>
      <c r="AB2066" t="s">
        <v>131</v>
      </c>
      <c r="AC2066" t="s">
        <v>51</v>
      </c>
      <c r="AD2066" t="s">
        <v>45</v>
      </c>
      <c r="AE2066" s="1">
        <v>28767</v>
      </c>
      <c r="AF2066">
        <v>2</v>
      </c>
      <c r="AG2066" t="s">
        <v>301</v>
      </c>
      <c r="AH2066" s="36">
        <f t="shared" si="32"/>
        <v>40.805555555555557</v>
      </c>
      <c r="AI2066" s="41" t="s">
        <v>1779</v>
      </c>
    </row>
    <row r="2067" spans="1:35" x14ac:dyDescent="0.25">
      <c r="A2067" s="36">
        <v>99912065</v>
      </c>
      <c r="B2067" s="17" t="s">
        <v>32</v>
      </c>
      <c r="C2067" t="s">
        <v>71</v>
      </c>
      <c r="D2067" t="s">
        <v>72</v>
      </c>
      <c r="G2067" s="17" t="s">
        <v>48</v>
      </c>
      <c r="H2067" s="17">
        <v>1</v>
      </c>
      <c r="K2067" t="s">
        <v>1128</v>
      </c>
      <c r="L2067" t="s">
        <v>1129</v>
      </c>
      <c r="M2067" t="s">
        <v>1130</v>
      </c>
      <c r="N2067">
        <v>18</v>
      </c>
      <c r="O2067" t="s">
        <v>40</v>
      </c>
      <c r="P2067" t="s">
        <v>40</v>
      </c>
      <c r="Q2067" t="s">
        <v>40</v>
      </c>
      <c r="R2067" t="s">
        <v>40</v>
      </c>
      <c r="S2067" t="s">
        <v>40</v>
      </c>
      <c r="V2067" t="s">
        <v>41</v>
      </c>
      <c r="W2067" t="s">
        <v>49</v>
      </c>
      <c r="X2067" t="str">
        <f>"3181010"</f>
        <v>3181010</v>
      </c>
      <c r="Y2067" t="s">
        <v>1134</v>
      </c>
      <c r="Z2067" t="s">
        <v>1128</v>
      </c>
      <c r="AA2067" t="s">
        <v>1129</v>
      </c>
      <c r="AB2067" t="s">
        <v>1130</v>
      </c>
      <c r="AC2067" t="s">
        <v>165</v>
      </c>
      <c r="AD2067" t="s">
        <v>45</v>
      </c>
      <c r="AE2067" s="1">
        <v>28763</v>
      </c>
      <c r="AF2067">
        <v>2</v>
      </c>
      <c r="AG2067" t="s">
        <v>1129</v>
      </c>
      <c r="AH2067" s="36">
        <f t="shared" si="32"/>
        <v>40.81666666666667</v>
      </c>
      <c r="AI2067" s="41" t="s">
        <v>1779</v>
      </c>
    </row>
    <row r="2068" spans="1:35" x14ac:dyDescent="0.25">
      <c r="A2068" s="36">
        <v>99912066</v>
      </c>
      <c r="B2068" s="17" t="s">
        <v>32</v>
      </c>
      <c r="C2068" t="s">
        <v>46</v>
      </c>
      <c r="D2068" t="s">
        <v>47</v>
      </c>
      <c r="G2068" s="17" t="s">
        <v>35</v>
      </c>
      <c r="H2068" s="17">
        <v>7</v>
      </c>
      <c r="I2068">
        <v>13814</v>
      </c>
      <c r="J2068" s="1">
        <v>43355</v>
      </c>
      <c r="K2068" t="s">
        <v>345</v>
      </c>
      <c r="L2068" t="s">
        <v>346</v>
      </c>
      <c r="M2068" t="s">
        <v>131</v>
      </c>
      <c r="N2068">
        <v>20</v>
      </c>
      <c r="O2068" t="s">
        <v>40</v>
      </c>
      <c r="P2068" t="s">
        <v>40</v>
      </c>
      <c r="Q2068" t="s">
        <v>40</v>
      </c>
      <c r="R2068" t="s">
        <v>40</v>
      </c>
      <c r="S2068" t="s">
        <v>40</v>
      </c>
      <c r="U2068" s="1">
        <v>43355</v>
      </c>
      <c r="V2068" t="s">
        <v>41</v>
      </c>
      <c r="W2068" t="s">
        <v>49</v>
      </c>
      <c r="X2068" t="str">
        <f>"0591906"</f>
        <v>0591906</v>
      </c>
      <c r="Y2068" t="s">
        <v>350</v>
      </c>
      <c r="Z2068" t="s">
        <v>345</v>
      </c>
      <c r="AA2068" t="s">
        <v>346</v>
      </c>
      <c r="AB2068" t="s">
        <v>131</v>
      </c>
      <c r="AC2068" t="s">
        <v>51</v>
      </c>
      <c r="AD2068" t="s">
        <v>45</v>
      </c>
      <c r="AE2068" s="1">
        <v>28761</v>
      </c>
      <c r="AF2068">
        <v>2</v>
      </c>
      <c r="AG2068" t="s">
        <v>346</v>
      </c>
      <c r="AH2068" s="36">
        <f t="shared" si="32"/>
        <v>40.822222222222223</v>
      </c>
      <c r="AI2068" s="41" t="s">
        <v>1779</v>
      </c>
    </row>
    <row r="2069" spans="1:35" x14ac:dyDescent="0.25">
      <c r="A2069" s="36">
        <v>99912067</v>
      </c>
      <c r="B2069" s="17" t="s">
        <v>32</v>
      </c>
      <c r="C2069" t="s">
        <v>46</v>
      </c>
      <c r="D2069" t="s">
        <v>47</v>
      </c>
      <c r="G2069" s="17" t="s">
        <v>48</v>
      </c>
      <c r="H2069" s="17">
        <v>1</v>
      </c>
      <c r="K2069" t="s">
        <v>936</v>
      </c>
      <c r="L2069" t="s">
        <v>937</v>
      </c>
      <c r="M2069" t="s">
        <v>938</v>
      </c>
      <c r="N2069">
        <v>20</v>
      </c>
      <c r="O2069" t="s">
        <v>40</v>
      </c>
      <c r="P2069" t="s">
        <v>40</v>
      </c>
      <c r="Q2069" t="s">
        <v>40</v>
      </c>
      <c r="R2069" t="s">
        <v>40</v>
      </c>
      <c r="S2069" t="s">
        <v>40</v>
      </c>
      <c r="V2069" t="s">
        <v>41</v>
      </c>
      <c r="W2069" t="s">
        <v>49</v>
      </c>
      <c r="X2069" t="str">
        <f>"0180017"</f>
        <v>0180017</v>
      </c>
      <c r="Y2069" t="s">
        <v>943</v>
      </c>
      <c r="Z2069" t="s">
        <v>936</v>
      </c>
      <c r="AA2069" t="s">
        <v>937</v>
      </c>
      <c r="AB2069" t="s">
        <v>938</v>
      </c>
      <c r="AC2069" t="s">
        <v>51</v>
      </c>
      <c r="AD2069" t="s">
        <v>45</v>
      </c>
      <c r="AE2069" s="1">
        <v>28761</v>
      </c>
      <c r="AF2069">
        <v>2</v>
      </c>
      <c r="AG2069" t="s">
        <v>937</v>
      </c>
      <c r="AH2069" s="36">
        <f t="shared" si="32"/>
        <v>40.822222222222223</v>
      </c>
      <c r="AI2069" s="41" t="s">
        <v>1779</v>
      </c>
    </row>
    <row r="2070" spans="1:35" x14ac:dyDescent="0.25">
      <c r="A2070" s="36">
        <v>99912068</v>
      </c>
      <c r="B2070" s="17" t="s">
        <v>56</v>
      </c>
      <c r="C2070" t="s">
        <v>46</v>
      </c>
      <c r="D2070" t="s">
        <v>47</v>
      </c>
      <c r="G2070" s="17" t="s">
        <v>35</v>
      </c>
      <c r="H2070" s="17">
        <v>1</v>
      </c>
      <c r="K2070" t="s">
        <v>223</v>
      </c>
      <c r="L2070" t="s">
        <v>224</v>
      </c>
      <c r="M2070" t="s">
        <v>131</v>
      </c>
      <c r="N2070">
        <v>23</v>
      </c>
      <c r="O2070" t="s">
        <v>40</v>
      </c>
      <c r="P2070" t="s">
        <v>40</v>
      </c>
      <c r="Q2070" t="s">
        <v>40</v>
      </c>
      <c r="S2070" t="s">
        <v>40</v>
      </c>
      <c r="V2070" t="s">
        <v>41</v>
      </c>
      <c r="W2070" t="s">
        <v>49</v>
      </c>
      <c r="X2070" t="str">
        <f>"0581207"</f>
        <v>0581207</v>
      </c>
      <c r="Y2070" t="s">
        <v>233</v>
      </c>
      <c r="Z2070" t="s">
        <v>223</v>
      </c>
      <c r="AA2070" t="s">
        <v>224</v>
      </c>
      <c r="AB2070" t="s">
        <v>131</v>
      </c>
      <c r="AC2070" t="s">
        <v>51</v>
      </c>
      <c r="AD2070" t="s">
        <v>45</v>
      </c>
      <c r="AE2070" s="1">
        <v>28760</v>
      </c>
      <c r="AF2070">
        <v>2</v>
      </c>
      <c r="AG2070" t="s">
        <v>224</v>
      </c>
      <c r="AH2070" s="36">
        <f t="shared" si="32"/>
        <v>40.825000000000003</v>
      </c>
      <c r="AI2070" s="41" t="s">
        <v>1779</v>
      </c>
    </row>
    <row r="2071" spans="1:35" x14ac:dyDescent="0.25">
      <c r="A2071" s="36">
        <v>99912069</v>
      </c>
      <c r="B2071" s="17" t="s">
        <v>32</v>
      </c>
      <c r="C2071" t="s">
        <v>46</v>
      </c>
      <c r="D2071" t="s">
        <v>47</v>
      </c>
      <c r="G2071" s="17" t="s">
        <v>35</v>
      </c>
      <c r="H2071" s="17">
        <v>1</v>
      </c>
      <c r="K2071" t="s">
        <v>223</v>
      </c>
      <c r="L2071" t="s">
        <v>224</v>
      </c>
      <c r="M2071" t="s">
        <v>131</v>
      </c>
      <c r="N2071">
        <v>21</v>
      </c>
      <c r="O2071" t="s">
        <v>40</v>
      </c>
      <c r="P2071" t="s">
        <v>40</v>
      </c>
      <c r="Q2071" t="s">
        <v>40</v>
      </c>
      <c r="S2071" t="s">
        <v>40</v>
      </c>
      <c r="V2071" t="s">
        <v>41</v>
      </c>
      <c r="W2071" t="s">
        <v>42</v>
      </c>
      <c r="X2071" t="str">
        <f>"0590903"</f>
        <v>0590903</v>
      </c>
      <c r="Y2071" t="s">
        <v>226</v>
      </c>
      <c r="Z2071" t="s">
        <v>223</v>
      </c>
      <c r="AA2071" t="s">
        <v>224</v>
      </c>
      <c r="AB2071" t="s">
        <v>131</v>
      </c>
      <c r="AC2071" t="s">
        <v>51</v>
      </c>
      <c r="AD2071" t="s">
        <v>45</v>
      </c>
      <c r="AE2071" s="1">
        <v>28758</v>
      </c>
      <c r="AF2071">
        <v>2</v>
      </c>
      <c r="AG2071" t="s">
        <v>224</v>
      </c>
      <c r="AH2071" s="36">
        <f t="shared" si="32"/>
        <v>40.830555555555556</v>
      </c>
      <c r="AI2071" s="41" t="s">
        <v>1779</v>
      </c>
    </row>
    <row r="2072" spans="1:35" x14ac:dyDescent="0.25">
      <c r="A2072" s="36">
        <v>99912070</v>
      </c>
      <c r="B2072" s="17" t="s">
        <v>32</v>
      </c>
      <c r="C2072" t="s">
        <v>64</v>
      </c>
      <c r="D2072" t="s">
        <v>65</v>
      </c>
      <c r="G2072" s="17" t="s">
        <v>35</v>
      </c>
      <c r="H2072" s="17">
        <v>1</v>
      </c>
      <c r="I2072">
        <v>10934</v>
      </c>
      <c r="J2072" s="1">
        <v>43344</v>
      </c>
      <c r="K2072" t="s">
        <v>354</v>
      </c>
      <c r="L2072" t="s">
        <v>355</v>
      </c>
      <c r="M2072" t="s">
        <v>131</v>
      </c>
      <c r="N2072">
        <v>12</v>
      </c>
      <c r="O2072" t="s">
        <v>40</v>
      </c>
      <c r="P2072" t="s">
        <v>40</v>
      </c>
      <c r="Q2072" t="s">
        <v>40</v>
      </c>
      <c r="R2072" t="s">
        <v>40</v>
      </c>
      <c r="S2072" t="s">
        <v>40</v>
      </c>
      <c r="U2072" s="1">
        <v>43344</v>
      </c>
      <c r="V2072" t="s">
        <v>41</v>
      </c>
      <c r="W2072" t="s">
        <v>75</v>
      </c>
      <c r="X2072" t="str">
        <f>"7054032"</f>
        <v>7054032</v>
      </c>
      <c r="Y2072" t="s">
        <v>767</v>
      </c>
      <c r="Z2072" t="s">
        <v>354</v>
      </c>
      <c r="AA2072" t="s">
        <v>355</v>
      </c>
      <c r="AB2072" t="s">
        <v>131</v>
      </c>
      <c r="AC2072" t="s">
        <v>51</v>
      </c>
      <c r="AD2072" t="s">
        <v>45</v>
      </c>
      <c r="AE2072" s="1">
        <v>28757</v>
      </c>
      <c r="AF2072">
        <v>1</v>
      </c>
      <c r="AG2072" t="s">
        <v>355</v>
      </c>
      <c r="AH2072" s="36">
        <f t="shared" si="32"/>
        <v>40.833333333333336</v>
      </c>
      <c r="AI2072" s="41" t="s">
        <v>1779</v>
      </c>
    </row>
    <row r="2073" spans="1:35" x14ac:dyDescent="0.25">
      <c r="A2073" s="36">
        <v>99912071</v>
      </c>
      <c r="B2073" s="17" t="s">
        <v>32</v>
      </c>
      <c r="C2073" t="s">
        <v>64</v>
      </c>
      <c r="D2073" t="s">
        <v>65</v>
      </c>
      <c r="G2073" s="17" t="s">
        <v>48</v>
      </c>
      <c r="H2073" s="17">
        <v>7</v>
      </c>
      <c r="I2073" t="s">
        <v>525</v>
      </c>
      <c r="J2073" s="1">
        <v>42979</v>
      </c>
      <c r="K2073" t="s">
        <v>431</v>
      </c>
      <c r="L2073" t="s">
        <v>196</v>
      </c>
      <c r="M2073" t="s">
        <v>131</v>
      </c>
      <c r="N2073">
        <v>23</v>
      </c>
      <c r="O2073" t="s">
        <v>40</v>
      </c>
      <c r="P2073" t="s">
        <v>40</v>
      </c>
      <c r="Q2073" t="s">
        <v>40</v>
      </c>
      <c r="R2073" t="s">
        <v>40</v>
      </c>
      <c r="S2073" t="s">
        <v>40</v>
      </c>
      <c r="U2073" s="1">
        <v>42979</v>
      </c>
      <c r="V2073" t="s">
        <v>41</v>
      </c>
      <c r="W2073" t="s">
        <v>75</v>
      </c>
      <c r="X2073" t="str">
        <f>"7521022"</f>
        <v>7521022</v>
      </c>
      <c r="Y2073" t="s">
        <v>445</v>
      </c>
      <c r="Z2073" t="s">
        <v>431</v>
      </c>
      <c r="AA2073" t="s">
        <v>196</v>
      </c>
      <c r="AB2073" t="s">
        <v>131</v>
      </c>
      <c r="AC2073" t="s">
        <v>51</v>
      </c>
      <c r="AD2073" t="s">
        <v>45</v>
      </c>
      <c r="AE2073" s="1">
        <v>28756</v>
      </c>
      <c r="AF2073">
        <v>1</v>
      </c>
      <c r="AG2073" t="s">
        <v>196</v>
      </c>
      <c r="AH2073" s="36">
        <f t="shared" si="32"/>
        <v>40.836111111111109</v>
      </c>
      <c r="AI2073" s="41" t="s">
        <v>1779</v>
      </c>
    </row>
    <row r="2074" spans="1:35" x14ac:dyDescent="0.25">
      <c r="A2074" s="36">
        <v>99912072</v>
      </c>
      <c r="B2074" s="17" t="s">
        <v>32</v>
      </c>
      <c r="C2074" t="s">
        <v>111</v>
      </c>
      <c r="D2074" t="s">
        <v>112</v>
      </c>
      <c r="G2074" s="17" t="s">
        <v>48</v>
      </c>
      <c r="H2074" s="17">
        <v>6</v>
      </c>
      <c r="J2074" s="1">
        <v>43344</v>
      </c>
      <c r="K2074" t="s">
        <v>354</v>
      </c>
      <c r="L2074" t="s">
        <v>355</v>
      </c>
      <c r="M2074" t="s">
        <v>131</v>
      </c>
      <c r="N2074">
        <v>23</v>
      </c>
      <c r="O2074" t="s">
        <v>40</v>
      </c>
      <c r="P2074" t="s">
        <v>40</v>
      </c>
      <c r="Q2074" t="s">
        <v>40</v>
      </c>
      <c r="R2074" t="s">
        <v>40</v>
      </c>
      <c r="S2074" t="s">
        <v>40</v>
      </c>
      <c r="U2074" s="1">
        <v>43344</v>
      </c>
      <c r="V2074" t="s">
        <v>41</v>
      </c>
      <c r="W2074" t="s">
        <v>75</v>
      </c>
      <c r="X2074" t="str">
        <f>"7054020"</f>
        <v>7054020</v>
      </c>
      <c r="Y2074" t="s">
        <v>765</v>
      </c>
      <c r="Z2074" t="s">
        <v>354</v>
      </c>
      <c r="AA2074" t="s">
        <v>355</v>
      </c>
      <c r="AB2074" t="s">
        <v>131</v>
      </c>
      <c r="AC2074" t="s">
        <v>51</v>
      </c>
      <c r="AD2074" t="s">
        <v>45</v>
      </c>
      <c r="AE2074" s="1">
        <v>28752</v>
      </c>
      <c r="AF2074">
        <v>1</v>
      </c>
      <c r="AG2074" t="s">
        <v>355</v>
      </c>
      <c r="AH2074" s="36">
        <f t="shared" si="32"/>
        <v>40.847222222222221</v>
      </c>
      <c r="AI2074" s="41" t="s">
        <v>1779</v>
      </c>
    </row>
    <row r="2075" spans="1:35" x14ac:dyDescent="0.25">
      <c r="A2075" s="36">
        <v>99912073</v>
      </c>
      <c r="B2075" s="17" t="s">
        <v>56</v>
      </c>
      <c r="C2075" t="s">
        <v>111</v>
      </c>
      <c r="D2075" t="s">
        <v>112</v>
      </c>
      <c r="G2075" s="17" t="s">
        <v>35</v>
      </c>
      <c r="H2075" s="17">
        <v>1</v>
      </c>
      <c r="K2075" t="s">
        <v>1564</v>
      </c>
      <c r="L2075" t="s">
        <v>1565</v>
      </c>
      <c r="M2075" t="s">
        <v>1548</v>
      </c>
      <c r="N2075">
        <v>23</v>
      </c>
      <c r="O2075" t="s">
        <v>40</v>
      </c>
      <c r="P2075" t="s">
        <v>40</v>
      </c>
      <c r="Q2075" t="s">
        <v>40</v>
      </c>
      <c r="S2075" t="s">
        <v>40</v>
      </c>
      <c r="V2075" t="s">
        <v>41</v>
      </c>
      <c r="W2075" t="s">
        <v>75</v>
      </c>
      <c r="X2075" t="str">
        <f>"7101000"</f>
        <v>7101000</v>
      </c>
      <c r="Y2075" t="s">
        <v>1572</v>
      </c>
      <c r="Z2075" t="s">
        <v>1564</v>
      </c>
      <c r="AA2075" t="s">
        <v>1565</v>
      </c>
      <c r="AB2075" t="s">
        <v>1548</v>
      </c>
      <c r="AC2075" t="s">
        <v>51</v>
      </c>
      <c r="AD2075" t="s">
        <v>45</v>
      </c>
      <c r="AE2075" s="1">
        <v>28741</v>
      </c>
      <c r="AF2075">
        <v>1</v>
      </c>
      <c r="AG2075" t="s">
        <v>1565</v>
      </c>
      <c r="AH2075" s="36">
        <f t="shared" si="32"/>
        <v>40.87777777777778</v>
      </c>
      <c r="AI2075" s="41" t="s">
        <v>1779</v>
      </c>
    </row>
    <row r="2076" spans="1:35" x14ac:dyDescent="0.25">
      <c r="A2076" s="36">
        <v>99912074</v>
      </c>
      <c r="B2076" s="17" t="s">
        <v>56</v>
      </c>
      <c r="C2076" t="s">
        <v>79</v>
      </c>
      <c r="D2076" t="s">
        <v>80</v>
      </c>
      <c r="G2076" s="17" t="s">
        <v>48</v>
      </c>
      <c r="H2076" s="17">
        <v>1</v>
      </c>
      <c r="K2076" t="s">
        <v>877</v>
      </c>
      <c r="L2076" t="s">
        <v>878</v>
      </c>
      <c r="M2076" t="s">
        <v>131</v>
      </c>
      <c r="N2076">
        <v>22</v>
      </c>
      <c r="O2076" t="s">
        <v>40</v>
      </c>
      <c r="P2076" t="s">
        <v>40</v>
      </c>
      <c r="Q2076" t="s">
        <v>40</v>
      </c>
      <c r="R2076" t="s">
        <v>40</v>
      </c>
      <c r="S2076" t="s">
        <v>40</v>
      </c>
      <c r="V2076" t="s">
        <v>41</v>
      </c>
      <c r="W2076" t="s">
        <v>75</v>
      </c>
      <c r="X2076" t="str">
        <f>"7541010"</f>
        <v>7541010</v>
      </c>
      <c r="Y2076" t="s">
        <v>887</v>
      </c>
      <c r="Z2076" t="s">
        <v>877</v>
      </c>
      <c r="AA2076" t="s">
        <v>878</v>
      </c>
      <c r="AB2076" t="s">
        <v>131</v>
      </c>
      <c r="AC2076" t="s">
        <v>51</v>
      </c>
      <c r="AD2076" t="s">
        <v>45</v>
      </c>
      <c r="AE2076" s="1">
        <v>28737</v>
      </c>
      <c r="AF2076">
        <v>1</v>
      </c>
      <c r="AG2076" t="s">
        <v>878</v>
      </c>
      <c r="AH2076" s="36">
        <f t="shared" si="32"/>
        <v>40.888888888888886</v>
      </c>
      <c r="AI2076" s="41" t="s">
        <v>1779</v>
      </c>
    </row>
    <row r="2077" spans="1:35" x14ac:dyDescent="0.25">
      <c r="A2077" s="36">
        <v>99912075</v>
      </c>
      <c r="B2077" s="17" t="s">
        <v>32</v>
      </c>
      <c r="C2077" t="s">
        <v>82</v>
      </c>
      <c r="D2077" t="s">
        <v>83</v>
      </c>
      <c r="G2077" s="17" t="s">
        <v>48</v>
      </c>
      <c r="H2077" s="17">
        <v>1</v>
      </c>
      <c r="K2077" t="s">
        <v>223</v>
      </c>
      <c r="L2077" t="s">
        <v>224</v>
      </c>
      <c r="M2077" t="s">
        <v>131</v>
      </c>
      <c r="N2077">
        <v>21</v>
      </c>
      <c r="O2077" t="s">
        <v>40</v>
      </c>
      <c r="P2077" t="s">
        <v>40</v>
      </c>
      <c r="Q2077" t="s">
        <v>40</v>
      </c>
      <c r="R2077" t="s">
        <v>40</v>
      </c>
      <c r="S2077" t="s">
        <v>40</v>
      </c>
      <c r="V2077" t="s">
        <v>41</v>
      </c>
      <c r="W2077" t="s">
        <v>42</v>
      </c>
      <c r="X2077" t="str">
        <f>"0590910"</f>
        <v>0590910</v>
      </c>
      <c r="Y2077" t="s">
        <v>227</v>
      </c>
      <c r="Z2077" t="s">
        <v>223</v>
      </c>
      <c r="AA2077" t="s">
        <v>224</v>
      </c>
      <c r="AB2077" t="s">
        <v>131</v>
      </c>
      <c r="AC2077" t="s">
        <v>51</v>
      </c>
      <c r="AD2077" t="s">
        <v>45</v>
      </c>
      <c r="AE2077" s="1">
        <v>28726</v>
      </c>
      <c r="AF2077">
        <v>2</v>
      </c>
      <c r="AG2077" t="s">
        <v>224</v>
      </c>
      <c r="AH2077" s="36">
        <f t="shared" si="32"/>
        <v>40.919444444444444</v>
      </c>
      <c r="AI2077" s="41" t="s">
        <v>1779</v>
      </c>
    </row>
    <row r="2078" spans="1:35" x14ac:dyDescent="0.25">
      <c r="A2078" s="36">
        <v>99912076</v>
      </c>
      <c r="B2078" s="17" t="s">
        <v>32</v>
      </c>
      <c r="C2078" t="s">
        <v>111</v>
      </c>
      <c r="D2078" t="s">
        <v>112</v>
      </c>
      <c r="G2078" s="17" t="s">
        <v>48</v>
      </c>
      <c r="H2078" s="17">
        <v>7</v>
      </c>
      <c r="K2078" t="s">
        <v>195</v>
      </c>
      <c r="L2078" t="s">
        <v>196</v>
      </c>
      <c r="M2078" t="s">
        <v>131</v>
      </c>
      <c r="N2078">
        <v>22</v>
      </c>
      <c r="O2078" t="s">
        <v>40</v>
      </c>
      <c r="P2078" t="s">
        <v>40</v>
      </c>
      <c r="Q2078" t="s">
        <v>40</v>
      </c>
      <c r="R2078" t="s">
        <v>40</v>
      </c>
      <c r="S2078" t="s">
        <v>40</v>
      </c>
      <c r="U2078" s="1">
        <v>39780</v>
      </c>
      <c r="V2078" t="s">
        <v>41</v>
      </c>
      <c r="W2078" t="s">
        <v>75</v>
      </c>
      <c r="X2078" t="str">
        <f>"7521046"</f>
        <v>7521046</v>
      </c>
      <c r="Y2078" t="s">
        <v>436</v>
      </c>
      <c r="Z2078" t="s">
        <v>195</v>
      </c>
      <c r="AA2078" t="s">
        <v>196</v>
      </c>
      <c r="AB2078" t="s">
        <v>131</v>
      </c>
      <c r="AC2078" t="s">
        <v>165</v>
      </c>
      <c r="AD2078" t="s">
        <v>45</v>
      </c>
      <c r="AE2078" s="1">
        <v>28726</v>
      </c>
      <c r="AF2078">
        <v>1</v>
      </c>
      <c r="AG2078" t="s">
        <v>196</v>
      </c>
      <c r="AH2078" s="36">
        <f t="shared" si="32"/>
        <v>40.919444444444444</v>
      </c>
      <c r="AI2078" s="41" t="s">
        <v>1779</v>
      </c>
    </row>
    <row r="2079" spans="1:35" x14ac:dyDescent="0.25">
      <c r="A2079" s="36">
        <v>99912077</v>
      </c>
      <c r="B2079" s="17" t="s">
        <v>56</v>
      </c>
      <c r="C2079" t="s">
        <v>46</v>
      </c>
      <c r="D2079" t="s">
        <v>47</v>
      </c>
      <c r="G2079" s="17" t="s">
        <v>48</v>
      </c>
      <c r="H2079" s="17">
        <v>1</v>
      </c>
      <c r="K2079" t="s">
        <v>1051</v>
      </c>
      <c r="L2079" t="s">
        <v>1052</v>
      </c>
      <c r="M2079" t="s">
        <v>1053</v>
      </c>
      <c r="N2079">
        <v>11</v>
      </c>
      <c r="O2079" t="s">
        <v>40</v>
      </c>
      <c r="P2079" t="s">
        <v>40</v>
      </c>
      <c r="Q2079" t="s">
        <v>40</v>
      </c>
      <c r="R2079" t="s">
        <v>40</v>
      </c>
      <c r="S2079" t="s">
        <v>40</v>
      </c>
      <c r="V2079" t="s">
        <v>41</v>
      </c>
      <c r="W2079" t="s">
        <v>42</v>
      </c>
      <c r="X2079" t="str">
        <f>"2061004"</f>
        <v>2061004</v>
      </c>
      <c r="Y2079" t="s">
        <v>1055</v>
      </c>
      <c r="Z2079" t="s">
        <v>1051</v>
      </c>
      <c r="AA2079" t="s">
        <v>1052</v>
      </c>
      <c r="AB2079" t="s">
        <v>1053</v>
      </c>
      <c r="AC2079" t="s">
        <v>51</v>
      </c>
      <c r="AD2079" t="s">
        <v>45</v>
      </c>
      <c r="AE2079" s="1">
        <v>28720</v>
      </c>
      <c r="AF2079">
        <v>2</v>
      </c>
      <c r="AG2079" t="s">
        <v>1052</v>
      </c>
      <c r="AH2079" s="36">
        <f t="shared" si="32"/>
        <v>40.93611111111111</v>
      </c>
      <c r="AI2079" s="41" t="s">
        <v>1779</v>
      </c>
    </row>
    <row r="2080" spans="1:35" x14ac:dyDescent="0.25">
      <c r="A2080" s="36">
        <v>99912078</v>
      </c>
      <c r="B2080" s="17" t="s">
        <v>56</v>
      </c>
      <c r="C2080" t="s">
        <v>82</v>
      </c>
      <c r="D2080" t="s">
        <v>83</v>
      </c>
      <c r="G2080" s="17" t="s">
        <v>48</v>
      </c>
      <c r="H2080" s="17">
        <v>1</v>
      </c>
      <c r="K2080" t="s">
        <v>300</v>
      </c>
      <c r="L2080" t="s">
        <v>301</v>
      </c>
      <c r="M2080" t="s">
        <v>131</v>
      </c>
      <c r="N2080">
        <v>23</v>
      </c>
      <c r="O2080" t="s">
        <v>40</v>
      </c>
      <c r="P2080" t="s">
        <v>40</v>
      </c>
      <c r="Q2080" t="s">
        <v>40</v>
      </c>
      <c r="R2080" t="s">
        <v>40</v>
      </c>
      <c r="S2080" t="s">
        <v>40</v>
      </c>
      <c r="V2080" t="s">
        <v>41</v>
      </c>
      <c r="W2080" t="s">
        <v>42</v>
      </c>
      <c r="X2080" t="str">
        <f>"0580176"</f>
        <v>0580176</v>
      </c>
      <c r="Y2080" t="s">
        <v>305</v>
      </c>
      <c r="Z2080" t="s">
        <v>300</v>
      </c>
      <c r="AA2080" t="s">
        <v>301</v>
      </c>
      <c r="AB2080" t="s">
        <v>131</v>
      </c>
      <c r="AC2080" t="s">
        <v>51</v>
      </c>
      <c r="AD2080" t="s">
        <v>45</v>
      </c>
      <c r="AE2080" s="1">
        <v>28716</v>
      </c>
      <c r="AF2080">
        <v>2</v>
      </c>
      <c r="AG2080" t="s">
        <v>301</v>
      </c>
      <c r="AH2080" s="36">
        <f t="shared" si="32"/>
        <v>40.947222222222223</v>
      </c>
      <c r="AI2080" s="41" t="s">
        <v>1779</v>
      </c>
    </row>
    <row r="2081" spans="1:35" x14ac:dyDescent="0.25">
      <c r="A2081" s="36">
        <v>99912079</v>
      </c>
      <c r="B2081" s="17" t="s">
        <v>32</v>
      </c>
      <c r="C2081" t="s">
        <v>64</v>
      </c>
      <c r="D2081" t="s">
        <v>65</v>
      </c>
      <c r="G2081" s="17" t="s">
        <v>35</v>
      </c>
      <c r="H2081" s="17">
        <v>1</v>
      </c>
      <c r="I2081" t="s">
        <v>1662</v>
      </c>
      <c r="J2081" s="1">
        <v>43344</v>
      </c>
      <c r="K2081" t="s">
        <v>1619</v>
      </c>
      <c r="L2081" t="s">
        <v>1620</v>
      </c>
      <c r="M2081" t="s">
        <v>1592</v>
      </c>
      <c r="N2081">
        <v>14</v>
      </c>
      <c r="O2081" t="s">
        <v>40</v>
      </c>
      <c r="P2081" t="s">
        <v>40</v>
      </c>
      <c r="Q2081" t="s">
        <v>40</v>
      </c>
      <c r="R2081" t="s">
        <v>40</v>
      </c>
      <c r="S2081" t="s">
        <v>40</v>
      </c>
      <c r="U2081" s="1">
        <v>43344</v>
      </c>
      <c r="V2081" t="s">
        <v>41</v>
      </c>
      <c r="W2081" t="s">
        <v>75</v>
      </c>
      <c r="X2081" t="str">
        <f>"7281004"</f>
        <v>7281004</v>
      </c>
      <c r="Y2081" t="s">
        <v>1651</v>
      </c>
      <c r="Z2081" t="s">
        <v>1619</v>
      </c>
      <c r="AA2081" t="s">
        <v>1620</v>
      </c>
      <c r="AB2081" t="s">
        <v>1592</v>
      </c>
      <c r="AC2081" t="s">
        <v>51</v>
      </c>
      <c r="AD2081" t="s">
        <v>45</v>
      </c>
      <c r="AE2081" s="1">
        <v>28711</v>
      </c>
      <c r="AF2081">
        <v>1</v>
      </c>
      <c r="AG2081" t="s">
        <v>1620</v>
      </c>
      <c r="AH2081" s="36">
        <f t="shared" si="32"/>
        <v>40.961111111111109</v>
      </c>
      <c r="AI2081" s="41" t="s">
        <v>1779</v>
      </c>
    </row>
    <row r="2082" spans="1:35" x14ac:dyDescent="0.25">
      <c r="A2082" s="36">
        <v>99912080</v>
      </c>
      <c r="B2082" s="17" t="s">
        <v>56</v>
      </c>
      <c r="C2082" t="s">
        <v>79</v>
      </c>
      <c r="D2082" t="s">
        <v>80</v>
      </c>
      <c r="G2082" s="17" t="s">
        <v>35</v>
      </c>
      <c r="H2082" s="17">
        <v>1</v>
      </c>
      <c r="K2082" t="s">
        <v>154</v>
      </c>
      <c r="L2082" t="s">
        <v>155</v>
      </c>
      <c r="M2082" t="s">
        <v>131</v>
      </c>
      <c r="N2082">
        <v>24</v>
      </c>
      <c r="O2082" t="s">
        <v>40</v>
      </c>
      <c r="P2082" t="s">
        <v>40</v>
      </c>
      <c r="Q2082" t="s">
        <v>40</v>
      </c>
      <c r="S2082" t="s">
        <v>40</v>
      </c>
      <c r="V2082" t="s">
        <v>41</v>
      </c>
      <c r="W2082" t="s">
        <v>75</v>
      </c>
      <c r="X2082" t="str">
        <f>"7700026"</f>
        <v>7700026</v>
      </c>
      <c r="Y2082" t="s">
        <v>397</v>
      </c>
      <c r="Z2082" t="s">
        <v>154</v>
      </c>
      <c r="AA2082" t="s">
        <v>155</v>
      </c>
      <c r="AB2082" t="s">
        <v>131</v>
      </c>
      <c r="AC2082" t="s">
        <v>51</v>
      </c>
      <c r="AD2082" t="s">
        <v>45</v>
      </c>
      <c r="AE2082" s="1">
        <v>28706</v>
      </c>
      <c r="AF2082">
        <v>1</v>
      </c>
      <c r="AG2082" t="s">
        <v>155</v>
      </c>
      <c r="AH2082" s="36">
        <f t="shared" si="32"/>
        <v>40.975000000000001</v>
      </c>
      <c r="AI2082" s="41" t="s">
        <v>1779</v>
      </c>
    </row>
    <row r="2083" spans="1:35" x14ac:dyDescent="0.25">
      <c r="A2083" s="36">
        <v>99912081</v>
      </c>
      <c r="B2083" s="17" t="s">
        <v>56</v>
      </c>
      <c r="C2083" t="s">
        <v>111</v>
      </c>
      <c r="D2083" t="s">
        <v>112</v>
      </c>
      <c r="G2083" s="17" t="s">
        <v>48</v>
      </c>
      <c r="H2083" s="17">
        <v>6</v>
      </c>
      <c r="I2083" t="s">
        <v>551</v>
      </c>
      <c r="J2083" s="1">
        <v>40422</v>
      </c>
      <c r="K2083" t="s">
        <v>195</v>
      </c>
      <c r="L2083" t="s">
        <v>196</v>
      </c>
      <c r="M2083" t="s">
        <v>131</v>
      </c>
      <c r="N2083">
        <v>23</v>
      </c>
      <c r="O2083" t="s">
        <v>40</v>
      </c>
      <c r="P2083" t="s">
        <v>40</v>
      </c>
      <c r="Q2083" t="s">
        <v>40</v>
      </c>
      <c r="R2083" t="s">
        <v>40</v>
      </c>
      <c r="S2083" t="s">
        <v>40</v>
      </c>
      <c r="U2083" s="1">
        <v>40422</v>
      </c>
      <c r="V2083" t="s">
        <v>41</v>
      </c>
      <c r="W2083" t="s">
        <v>75</v>
      </c>
      <c r="X2083" t="str">
        <f>"7521052"</f>
        <v>7521052</v>
      </c>
      <c r="Y2083" t="s">
        <v>443</v>
      </c>
      <c r="Z2083" t="s">
        <v>195</v>
      </c>
      <c r="AA2083" t="s">
        <v>196</v>
      </c>
      <c r="AB2083" t="s">
        <v>131</v>
      </c>
      <c r="AC2083" t="s">
        <v>51</v>
      </c>
      <c r="AD2083" t="s">
        <v>45</v>
      </c>
      <c r="AE2083" s="1">
        <v>28706</v>
      </c>
      <c r="AF2083">
        <v>1</v>
      </c>
      <c r="AG2083" t="s">
        <v>196</v>
      </c>
      <c r="AH2083" s="36">
        <f t="shared" si="32"/>
        <v>40.975000000000001</v>
      </c>
      <c r="AI2083" s="41" t="s">
        <v>1779</v>
      </c>
    </row>
    <row r="2084" spans="1:35" x14ac:dyDescent="0.25">
      <c r="A2084" s="36">
        <v>99912082</v>
      </c>
      <c r="B2084" s="17" t="s">
        <v>32</v>
      </c>
      <c r="C2084" t="s">
        <v>111</v>
      </c>
      <c r="D2084" t="s">
        <v>112</v>
      </c>
      <c r="G2084" s="17" t="s">
        <v>35</v>
      </c>
      <c r="H2084" s="17">
        <v>1</v>
      </c>
      <c r="I2084" s="1">
        <v>37865</v>
      </c>
      <c r="J2084" s="1">
        <v>43344</v>
      </c>
      <c r="K2084" t="s">
        <v>1341</v>
      </c>
      <c r="L2084" t="s">
        <v>1342</v>
      </c>
      <c r="M2084" t="s">
        <v>1270</v>
      </c>
      <c r="N2084">
        <v>24</v>
      </c>
      <c r="O2084" t="s">
        <v>40</v>
      </c>
      <c r="S2084" t="s">
        <v>40</v>
      </c>
      <c r="U2084" s="1">
        <v>43344</v>
      </c>
      <c r="V2084" t="s">
        <v>41</v>
      </c>
      <c r="W2084" t="s">
        <v>75</v>
      </c>
      <c r="X2084" t="str">
        <f>"7191004"</f>
        <v>7191004</v>
      </c>
      <c r="Y2084" t="s">
        <v>1344</v>
      </c>
      <c r="Z2084" t="s">
        <v>1341</v>
      </c>
      <c r="AA2084" t="s">
        <v>1342</v>
      </c>
      <c r="AB2084" t="s">
        <v>1270</v>
      </c>
      <c r="AC2084" t="s">
        <v>51</v>
      </c>
      <c r="AD2084" t="s">
        <v>45</v>
      </c>
      <c r="AE2084" s="1">
        <v>28702</v>
      </c>
      <c r="AF2084">
        <v>1</v>
      </c>
      <c r="AG2084" t="s">
        <v>1342</v>
      </c>
      <c r="AH2084" s="36">
        <f t="shared" si="32"/>
        <v>40.986111111111114</v>
      </c>
      <c r="AI2084" s="41" t="s">
        <v>1779</v>
      </c>
    </row>
    <row r="2085" spans="1:35" x14ac:dyDescent="0.25">
      <c r="A2085" s="36">
        <v>99912083</v>
      </c>
      <c r="B2085" s="17" t="s">
        <v>32</v>
      </c>
      <c r="C2085" t="s">
        <v>46</v>
      </c>
      <c r="D2085" t="s">
        <v>47</v>
      </c>
      <c r="G2085" s="17" t="s">
        <v>35</v>
      </c>
      <c r="H2085" s="17">
        <v>1</v>
      </c>
      <c r="I2085">
        <v>0</v>
      </c>
      <c r="J2085" s="1">
        <v>43344</v>
      </c>
      <c r="K2085" t="s">
        <v>223</v>
      </c>
      <c r="L2085" t="s">
        <v>224</v>
      </c>
      <c r="M2085" t="s">
        <v>131</v>
      </c>
      <c r="N2085">
        <v>5</v>
      </c>
      <c r="O2085" t="s">
        <v>40</v>
      </c>
      <c r="P2085" t="s">
        <v>40</v>
      </c>
      <c r="Q2085" t="s">
        <v>40</v>
      </c>
      <c r="R2085" t="s">
        <v>40</v>
      </c>
      <c r="S2085" t="s">
        <v>40</v>
      </c>
      <c r="U2085" s="1">
        <v>43344</v>
      </c>
      <c r="V2085" t="s">
        <v>41</v>
      </c>
      <c r="W2085" t="s">
        <v>49</v>
      </c>
      <c r="X2085" t="str">
        <f>"0591901"</f>
        <v>0591901</v>
      </c>
      <c r="Y2085" t="s">
        <v>230</v>
      </c>
      <c r="Z2085" t="s">
        <v>223</v>
      </c>
      <c r="AA2085" t="s">
        <v>224</v>
      </c>
      <c r="AB2085" t="s">
        <v>131</v>
      </c>
      <c r="AC2085" t="s">
        <v>44</v>
      </c>
      <c r="AD2085" t="s">
        <v>45</v>
      </c>
      <c r="AE2085" s="1">
        <v>28700</v>
      </c>
      <c r="AF2085">
        <v>2</v>
      </c>
      <c r="AG2085" t="s">
        <v>224</v>
      </c>
      <c r="AH2085" s="36">
        <f t="shared" si="32"/>
        <v>40.991666666666667</v>
      </c>
      <c r="AI2085" s="41" t="s">
        <v>1779</v>
      </c>
    </row>
    <row r="2086" spans="1:35" x14ac:dyDescent="0.25">
      <c r="A2086" s="36">
        <v>99912084</v>
      </c>
      <c r="B2086" s="17" t="s">
        <v>56</v>
      </c>
      <c r="C2086" t="s">
        <v>79</v>
      </c>
      <c r="D2086" t="s">
        <v>80</v>
      </c>
      <c r="G2086" s="17" t="s">
        <v>48</v>
      </c>
      <c r="H2086" s="17">
        <v>1</v>
      </c>
      <c r="K2086" t="s">
        <v>129</v>
      </c>
      <c r="L2086" t="s">
        <v>130</v>
      </c>
      <c r="M2086" t="s">
        <v>131</v>
      </c>
      <c r="N2086">
        <v>23</v>
      </c>
      <c r="O2086" t="s">
        <v>40</v>
      </c>
      <c r="P2086" t="s">
        <v>40</v>
      </c>
      <c r="Q2086" t="s">
        <v>40</v>
      </c>
      <c r="R2086" t="s">
        <v>40</v>
      </c>
      <c r="S2086" t="s">
        <v>40</v>
      </c>
      <c r="V2086" t="s">
        <v>41</v>
      </c>
      <c r="W2086" t="s">
        <v>49</v>
      </c>
      <c r="X2086" t="str">
        <f>"0560024"</f>
        <v>0560024</v>
      </c>
      <c r="Y2086" t="s">
        <v>138</v>
      </c>
      <c r="Z2086" t="s">
        <v>129</v>
      </c>
      <c r="AA2086" t="s">
        <v>130</v>
      </c>
      <c r="AB2086" t="s">
        <v>131</v>
      </c>
      <c r="AC2086" t="s">
        <v>51</v>
      </c>
      <c r="AD2086" t="s">
        <v>45</v>
      </c>
      <c r="AE2086" s="1">
        <v>28689</v>
      </c>
      <c r="AF2086">
        <v>2</v>
      </c>
      <c r="AG2086" t="s">
        <v>130</v>
      </c>
      <c r="AH2086" s="36">
        <f t="shared" si="32"/>
        <v>41.022222222222226</v>
      </c>
      <c r="AI2086" s="41" t="s">
        <v>1779</v>
      </c>
    </row>
    <row r="2087" spans="1:35" x14ac:dyDescent="0.25">
      <c r="A2087" s="36">
        <v>99912085</v>
      </c>
      <c r="B2087" s="17" t="s">
        <v>32</v>
      </c>
      <c r="C2087" t="s">
        <v>46</v>
      </c>
      <c r="D2087" t="s">
        <v>47</v>
      </c>
      <c r="G2087" s="17" t="s">
        <v>48</v>
      </c>
      <c r="H2087" s="17">
        <v>1</v>
      </c>
      <c r="K2087" t="s">
        <v>380</v>
      </c>
      <c r="L2087" t="s">
        <v>381</v>
      </c>
      <c r="M2087" t="s">
        <v>131</v>
      </c>
      <c r="N2087">
        <v>21</v>
      </c>
      <c r="O2087" t="s">
        <v>40</v>
      </c>
      <c r="P2087" t="s">
        <v>40</v>
      </c>
      <c r="Q2087" t="s">
        <v>40</v>
      </c>
      <c r="R2087" t="s">
        <v>40</v>
      </c>
      <c r="S2087" t="s">
        <v>40</v>
      </c>
      <c r="V2087" t="s">
        <v>41</v>
      </c>
      <c r="W2087" t="s">
        <v>49</v>
      </c>
      <c r="X2087" t="str">
        <f>"0591908"</f>
        <v>0591908</v>
      </c>
      <c r="Y2087" t="s">
        <v>383</v>
      </c>
      <c r="Z2087" t="s">
        <v>380</v>
      </c>
      <c r="AA2087" t="s">
        <v>381</v>
      </c>
      <c r="AB2087" t="s">
        <v>131</v>
      </c>
      <c r="AC2087" t="s">
        <v>51</v>
      </c>
      <c r="AD2087" t="s">
        <v>45</v>
      </c>
      <c r="AE2087" s="1">
        <v>28688</v>
      </c>
      <c r="AF2087">
        <v>2</v>
      </c>
      <c r="AG2087" t="s">
        <v>381</v>
      </c>
      <c r="AH2087" s="36">
        <f t="shared" si="32"/>
        <v>41.024999999999999</v>
      </c>
      <c r="AI2087" s="41" t="s">
        <v>1779</v>
      </c>
    </row>
    <row r="2088" spans="1:35" x14ac:dyDescent="0.25">
      <c r="A2088" s="36">
        <v>99912086</v>
      </c>
      <c r="B2088" s="17" t="s">
        <v>32</v>
      </c>
      <c r="C2088" t="s">
        <v>33</v>
      </c>
      <c r="D2088" t="s">
        <v>34</v>
      </c>
      <c r="G2088" s="17" t="s">
        <v>48</v>
      </c>
      <c r="H2088" s="17">
        <v>1</v>
      </c>
      <c r="K2088" t="s">
        <v>223</v>
      </c>
      <c r="L2088" t="s">
        <v>224</v>
      </c>
      <c r="M2088" t="s">
        <v>131</v>
      </c>
      <c r="N2088">
        <v>21</v>
      </c>
      <c r="O2088" t="s">
        <v>40</v>
      </c>
      <c r="P2088" t="s">
        <v>40</v>
      </c>
      <c r="Q2088" t="s">
        <v>40</v>
      </c>
      <c r="R2088" t="s">
        <v>40</v>
      </c>
      <c r="S2088" t="s">
        <v>40</v>
      </c>
      <c r="V2088" t="s">
        <v>41</v>
      </c>
      <c r="W2088" t="s">
        <v>49</v>
      </c>
      <c r="X2088" t="str">
        <f>"0581200"</f>
        <v>0581200</v>
      </c>
      <c r="Y2088" t="s">
        <v>238</v>
      </c>
      <c r="Z2088" t="s">
        <v>223</v>
      </c>
      <c r="AA2088" t="s">
        <v>224</v>
      </c>
      <c r="AB2088" t="s">
        <v>131</v>
      </c>
      <c r="AC2088" t="s">
        <v>51</v>
      </c>
      <c r="AD2088" t="s">
        <v>45</v>
      </c>
      <c r="AE2088" s="1">
        <v>28685</v>
      </c>
      <c r="AF2088">
        <v>2</v>
      </c>
      <c r="AG2088" t="s">
        <v>224</v>
      </c>
      <c r="AH2088" s="36">
        <f t="shared" si="32"/>
        <v>41.033333333333331</v>
      </c>
      <c r="AI2088" s="41" t="s">
        <v>1779</v>
      </c>
    </row>
    <row r="2089" spans="1:35" x14ac:dyDescent="0.25">
      <c r="A2089" s="36">
        <v>99912087</v>
      </c>
      <c r="B2089" s="17" t="s">
        <v>56</v>
      </c>
      <c r="C2089" t="s">
        <v>111</v>
      </c>
      <c r="D2089" t="s">
        <v>112</v>
      </c>
      <c r="G2089" s="17" t="s">
        <v>35</v>
      </c>
      <c r="H2089" s="17">
        <v>1</v>
      </c>
      <c r="I2089" s="1">
        <v>38596</v>
      </c>
      <c r="J2089" s="1">
        <v>43344</v>
      </c>
      <c r="K2089" t="s">
        <v>1341</v>
      </c>
      <c r="L2089" t="s">
        <v>1342</v>
      </c>
      <c r="M2089" t="s">
        <v>1270</v>
      </c>
      <c r="N2089">
        <v>24</v>
      </c>
      <c r="O2089" t="s">
        <v>40</v>
      </c>
      <c r="S2089" t="s">
        <v>40</v>
      </c>
      <c r="U2089" s="1">
        <v>43344</v>
      </c>
      <c r="V2089" t="s">
        <v>41</v>
      </c>
      <c r="W2089" t="s">
        <v>75</v>
      </c>
      <c r="X2089" t="str">
        <f>"7191004"</f>
        <v>7191004</v>
      </c>
      <c r="Y2089" t="s">
        <v>1344</v>
      </c>
      <c r="Z2089" t="s">
        <v>1341</v>
      </c>
      <c r="AA2089" t="s">
        <v>1342</v>
      </c>
      <c r="AB2089" t="s">
        <v>1270</v>
      </c>
      <c r="AC2089" t="s">
        <v>51</v>
      </c>
      <c r="AD2089" t="s">
        <v>45</v>
      </c>
      <c r="AE2089" s="1">
        <v>28679</v>
      </c>
      <c r="AF2089">
        <v>1</v>
      </c>
      <c r="AG2089" t="s">
        <v>1342</v>
      </c>
      <c r="AH2089" s="36">
        <f t="shared" si="32"/>
        <v>41.05</v>
      </c>
      <c r="AI2089" s="41" t="s">
        <v>1779</v>
      </c>
    </row>
    <row r="2090" spans="1:35" x14ac:dyDescent="0.25">
      <c r="A2090" s="36">
        <v>99912088</v>
      </c>
      <c r="B2090" s="17" t="s">
        <v>32</v>
      </c>
      <c r="C2090" t="s">
        <v>64</v>
      </c>
      <c r="D2090" t="s">
        <v>65</v>
      </c>
      <c r="G2090" s="17" t="s">
        <v>35</v>
      </c>
      <c r="H2090" s="17">
        <v>1</v>
      </c>
      <c r="I2090">
        <v>4012</v>
      </c>
      <c r="J2090" s="1">
        <v>43344</v>
      </c>
      <c r="K2090" t="s">
        <v>354</v>
      </c>
      <c r="L2090" t="s">
        <v>355</v>
      </c>
      <c r="M2090" t="s">
        <v>131</v>
      </c>
      <c r="N2090">
        <v>22</v>
      </c>
      <c r="O2090" t="s">
        <v>40</v>
      </c>
      <c r="S2090" t="s">
        <v>40</v>
      </c>
      <c r="U2090" s="1">
        <v>43344</v>
      </c>
      <c r="V2090" t="s">
        <v>41</v>
      </c>
      <c r="W2090" t="s">
        <v>75</v>
      </c>
      <c r="X2090" t="str">
        <f>"7054012"</f>
        <v>7054012</v>
      </c>
      <c r="Y2090" t="s">
        <v>353</v>
      </c>
      <c r="Z2090" t="s">
        <v>354</v>
      </c>
      <c r="AA2090" t="s">
        <v>355</v>
      </c>
      <c r="AB2090" t="s">
        <v>131</v>
      </c>
      <c r="AC2090" t="s">
        <v>51</v>
      </c>
      <c r="AD2090" t="s">
        <v>45</v>
      </c>
      <c r="AE2090" s="1">
        <v>28678</v>
      </c>
      <c r="AF2090">
        <v>1</v>
      </c>
      <c r="AG2090" t="s">
        <v>355</v>
      </c>
      <c r="AH2090" s="36">
        <f t="shared" si="32"/>
        <v>41.052777777777777</v>
      </c>
      <c r="AI2090" s="41" t="s">
        <v>1779</v>
      </c>
    </row>
    <row r="2091" spans="1:35" x14ac:dyDescent="0.25">
      <c r="A2091" s="36">
        <v>99912089</v>
      </c>
      <c r="B2091" s="17" t="s">
        <v>32</v>
      </c>
      <c r="C2091" t="s">
        <v>111</v>
      </c>
      <c r="D2091" t="s">
        <v>112</v>
      </c>
      <c r="G2091" s="17" t="s">
        <v>35</v>
      </c>
      <c r="H2091" s="17">
        <v>1</v>
      </c>
      <c r="I2091" t="s">
        <v>893</v>
      </c>
      <c r="J2091" s="1">
        <v>43390</v>
      </c>
      <c r="K2091" t="s">
        <v>877</v>
      </c>
      <c r="L2091" t="s">
        <v>878</v>
      </c>
      <c r="M2091" t="s">
        <v>131</v>
      </c>
      <c r="N2091">
        <v>24</v>
      </c>
      <c r="O2091" t="s">
        <v>40</v>
      </c>
      <c r="P2091" t="s">
        <v>40</v>
      </c>
      <c r="Q2091" t="s">
        <v>40</v>
      </c>
      <c r="S2091" t="s">
        <v>40</v>
      </c>
      <c r="U2091" s="1">
        <v>43390</v>
      </c>
      <c r="V2091" t="s">
        <v>41</v>
      </c>
      <c r="W2091" t="s">
        <v>75</v>
      </c>
      <c r="X2091" t="str">
        <f>"7541020"</f>
        <v>7541020</v>
      </c>
      <c r="Y2091" t="s">
        <v>882</v>
      </c>
      <c r="Z2091" t="s">
        <v>877</v>
      </c>
      <c r="AA2091" t="s">
        <v>878</v>
      </c>
      <c r="AB2091" t="s">
        <v>131</v>
      </c>
      <c r="AC2091" t="s">
        <v>44</v>
      </c>
      <c r="AD2091" t="s">
        <v>45</v>
      </c>
      <c r="AE2091" s="1">
        <v>28678</v>
      </c>
      <c r="AF2091">
        <v>1</v>
      </c>
      <c r="AG2091" t="s">
        <v>878</v>
      </c>
      <c r="AH2091" s="36">
        <f t="shared" si="32"/>
        <v>41.052777777777777</v>
      </c>
      <c r="AI2091" s="41" t="s">
        <v>1779</v>
      </c>
    </row>
    <row r="2092" spans="1:35" x14ac:dyDescent="0.25">
      <c r="A2092" s="36">
        <v>99912090</v>
      </c>
      <c r="B2092" s="17" t="s">
        <v>32</v>
      </c>
      <c r="C2092" t="s">
        <v>46</v>
      </c>
      <c r="D2092" t="s">
        <v>47</v>
      </c>
      <c r="G2092" s="17" t="s">
        <v>48</v>
      </c>
      <c r="H2092" s="17">
        <v>5</v>
      </c>
      <c r="K2092" t="s">
        <v>37</v>
      </c>
      <c r="L2092" t="s">
        <v>38</v>
      </c>
      <c r="M2092" t="s">
        <v>39</v>
      </c>
      <c r="N2092">
        <v>21</v>
      </c>
      <c r="O2092" t="s">
        <v>40</v>
      </c>
      <c r="P2092" t="s">
        <v>40</v>
      </c>
      <c r="Q2092" t="s">
        <v>40</v>
      </c>
      <c r="R2092" t="s">
        <v>40</v>
      </c>
      <c r="S2092" t="s">
        <v>40</v>
      </c>
      <c r="V2092" t="s">
        <v>41</v>
      </c>
      <c r="W2092" t="s">
        <v>42</v>
      </c>
      <c r="X2092" t="str">
        <f>"3780010"</f>
        <v>3780010</v>
      </c>
      <c r="Y2092" t="s">
        <v>43</v>
      </c>
      <c r="Z2092" t="s">
        <v>37</v>
      </c>
      <c r="AA2092" t="s">
        <v>38</v>
      </c>
      <c r="AB2092" t="s">
        <v>39</v>
      </c>
      <c r="AC2092" t="s">
        <v>51</v>
      </c>
      <c r="AD2092" t="s">
        <v>45</v>
      </c>
      <c r="AE2092" s="1">
        <v>28677</v>
      </c>
      <c r="AF2092">
        <v>2</v>
      </c>
      <c r="AG2092" t="s">
        <v>38</v>
      </c>
      <c r="AH2092" s="36">
        <f t="shared" si="32"/>
        <v>41.055555555555557</v>
      </c>
      <c r="AI2092" s="41" t="s">
        <v>1779</v>
      </c>
    </row>
    <row r="2093" spans="1:35" x14ac:dyDescent="0.25">
      <c r="A2093" s="36">
        <v>99912091</v>
      </c>
      <c r="B2093" s="17" t="s">
        <v>32</v>
      </c>
      <c r="C2093" t="s">
        <v>111</v>
      </c>
      <c r="D2093" t="s">
        <v>112</v>
      </c>
      <c r="G2093" s="17" t="s">
        <v>48</v>
      </c>
      <c r="H2093" s="17">
        <v>1</v>
      </c>
      <c r="K2093" t="s">
        <v>431</v>
      </c>
      <c r="L2093" t="s">
        <v>196</v>
      </c>
      <c r="M2093" t="s">
        <v>131</v>
      </c>
      <c r="N2093">
        <v>23</v>
      </c>
      <c r="O2093" t="s">
        <v>40</v>
      </c>
      <c r="P2093" t="s">
        <v>40</v>
      </c>
      <c r="Q2093" t="s">
        <v>40</v>
      </c>
      <c r="R2093" t="s">
        <v>40</v>
      </c>
      <c r="S2093" t="s">
        <v>40</v>
      </c>
      <c r="V2093" t="s">
        <v>41</v>
      </c>
      <c r="W2093" t="s">
        <v>75</v>
      </c>
      <c r="X2093" t="str">
        <f>"7521016"</f>
        <v>7521016</v>
      </c>
      <c r="Y2093" t="s">
        <v>448</v>
      </c>
      <c r="Z2093" t="s">
        <v>431</v>
      </c>
      <c r="AA2093" t="s">
        <v>196</v>
      </c>
      <c r="AB2093" t="s">
        <v>131</v>
      </c>
      <c r="AC2093" t="s">
        <v>51</v>
      </c>
      <c r="AD2093" t="s">
        <v>45</v>
      </c>
      <c r="AE2093" s="1">
        <v>28675</v>
      </c>
      <c r="AF2093">
        <v>1</v>
      </c>
      <c r="AG2093" t="s">
        <v>196</v>
      </c>
      <c r="AH2093" s="36">
        <f t="shared" si="32"/>
        <v>41.06111111111111</v>
      </c>
      <c r="AI2093" s="41" t="s">
        <v>1779</v>
      </c>
    </row>
    <row r="2094" spans="1:35" x14ac:dyDescent="0.25">
      <c r="A2094" s="36">
        <v>99912092</v>
      </c>
      <c r="B2094" s="17" t="s">
        <v>32</v>
      </c>
      <c r="C2094" t="s">
        <v>64</v>
      </c>
      <c r="D2094" t="s">
        <v>65</v>
      </c>
      <c r="G2094" s="17" t="s">
        <v>35</v>
      </c>
      <c r="H2094" s="17">
        <v>1</v>
      </c>
      <c r="K2094" t="s">
        <v>223</v>
      </c>
      <c r="L2094" t="s">
        <v>224</v>
      </c>
      <c r="M2094" t="s">
        <v>131</v>
      </c>
      <c r="N2094">
        <v>20</v>
      </c>
      <c r="O2094" t="s">
        <v>40</v>
      </c>
      <c r="P2094" t="s">
        <v>40</v>
      </c>
      <c r="Q2094" t="s">
        <v>40</v>
      </c>
      <c r="R2094" t="s">
        <v>40</v>
      </c>
      <c r="S2094" t="s">
        <v>40</v>
      </c>
      <c r="V2094" t="s">
        <v>41</v>
      </c>
      <c r="W2094" t="s">
        <v>49</v>
      </c>
      <c r="X2094" t="str">
        <f>"0560018"</f>
        <v>0560018</v>
      </c>
      <c r="Y2094" t="s">
        <v>234</v>
      </c>
      <c r="Z2094" t="s">
        <v>223</v>
      </c>
      <c r="AA2094" t="s">
        <v>224</v>
      </c>
      <c r="AB2094" t="s">
        <v>131</v>
      </c>
      <c r="AC2094" t="s">
        <v>51</v>
      </c>
      <c r="AD2094" t="s">
        <v>45</v>
      </c>
      <c r="AE2094" s="1">
        <v>28674</v>
      </c>
      <c r="AF2094">
        <v>2</v>
      </c>
      <c r="AG2094" t="s">
        <v>224</v>
      </c>
      <c r="AH2094" s="36">
        <f t="shared" si="32"/>
        <v>41.06388888888889</v>
      </c>
      <c r="AI2094" s="41" t="s">
        <v>1779</v>
      </c>
    </row>
    <row r="2095" spans="1:35" x14ac:dyDescent="0.25">
      <c r="A2095" s="36">
        <v>99912093</v>
      </c>
      <c r="B2095" s="17" t="s">
        <v>32</v>
      </c>
      <c r="C2095" t="s">
        <v>85</v>
      </c>
      <c r="D2095" t="s">
        <v>86</v>
      </c>
      <c r="G2095" s="17" t="s">
        <v>35</v>
      </c>
      <c r="H2095" s="17">
        <v>1</v>
      </c>
      <c r="K2095" t="s">
        <v>1325</v>
      </c>
      <c r="L2095" t="s">
        <v>1326</v>
      </c>
      <c r="M2095" t="s">
        <v>1270</v>
      </c>
      <c r="N2095">
        <v>19</v>
      </c>
      <c r="O2095" t="s">
        <v>40</v>
      </c>
      <c r="P2095" t="s">
        <v>40</v>
      </c>
      <c r="Q2095" t="s">
        <v>40</v>
      </c>
      <c r="R2095" t="s">
        <v>40</v>
      </c>
      <c r="S2095" t="s">
        <v>40</v>
      </c>
      <c r="V2095" t="s">
        <v>41</v>
      </c>
      <c r="W2095" t="s">
        <v>42</v>
      </c>
      <c r="X2095" t="str">
        <f>"3980100"</f>
        <v>3980100</v>
      </c>
      <c r="Y2095" t="s">
        <v>1328</v>
      </c>
      <c r="Z2095" t="s">
        <v>1325</v>
      </c>
      <c r="AA2095" t="s">
        <v>1326</v>
      </c>
      <c r="AB2095" t="s">
        <v>1270</v>
      </c>
      <c r="AC2095" t="s">
        <v>51</v>
      </c>
      <c r="AD2095" t="s">
        <v>45</v>
      </c>
      <c r="AE2095" s="1">
        <v>28670</v>
      </c>
      <c r="AF2095">
        <v>2</v>
      </c>
      <c r="AG2095" t="s">
        <v>1326</v>
      </c>
      <c r="AH2095" s="36">
        <f t="shared" si="32"/>
        <v>41.075000000000003</v>
      </c>
      <c r="AI2095" s="41" t="s">
        <v>1779</v>
      </c>
    </row>
    <row r="2096" spans="1:35" x14ac:dyDescent="0.25">
      <c r="A2096" s="36">
        <v>99912094</v>
      </c>
      <c r="B2096" s="17" t="s">
        <v>56</v>
      </c>
      <c r="C2096" t="s">
        <v>85</v>
      </c>
      <c r="D2096" t="s">
        <v>86</v>
      </c>
      <c r="G2096" s="17" t="s">
        <v>35</v>
      </c>
      <c r="H2096" s="17">
        <v>1</v>
      </c>
      <c r="I2096">
        <v>15800</v>
      </c>
      <c r="J2096" s="1">
        <v>43344</v>
      </c>
      <c r="K2096" t="s">
        <v>345</v>
      </c>
      <c r="L2096" t="s">
        <v>346</v>
      </c>
      <c r="M2096" t="s">
        <v>131</v>
      </c>
      <c r="N2096">
        <v>21</v>
      </c>
      <c r="O2096" t="s">
        <v>40</v>
      </c>
      <c r="P2096" t="s">
        <v>40</v>
      </c>
      <c r="Q2096" t="s">
        <v>40</v>
      </c>
      <c r="S2096" t="s">
        <v>40</v>
      </c>
      <c r="U2096" s="1">
        <v>43344</v>
      </c>
      <c r="V2096" t="s">
        <v>41</v>
      </c>
      <c r="W2096" t="s">
        <v>49</v>
      </c>
      <c r="X2096" t="str">
        <f>"0591906"</f>
        <v>0591906</v>
      </c>
      <c r="Y2096" t="s">
        <v>350</v>
      </c>
      <c r="Z2096" t="s">
        <v>345</v>
      </c>
      <c r="AA2096" t="s">
        <v>346</v>
      </c>
      <c r="AB2096" t="s">
        <v>131</v>
      </c>
      <c r="AC2096" t="s">
        <v>55</v>
      </c>
      <c r="AD2096" t="s">
        <v>45</v>
      </c>
      <c r="AE2096" s="1">
        <v>28667</v>
      </c>
      <c r="AF2096">
        <v>2</v>
      </c>
      <c r="AG2096" t="s">
        <v>346</v>
      </c>
      <c r="AH2096" s="36">
        <f t="shared" si="32"/>
        <v>41.083333333333336</v>
      </c>
      <c r="AI2096" s="41" t="s">
        <v>1779</v>
      </c>
    </row>
    <row r="2097" spans="1:35" x14ac:dyDescent="0.25">
      <c r="A2097" s="36">
        <v>99912095</v>
      </c>
      <c r="B2097" s="17" t="s">
        <v>32</v>
      </c>
      <c r="C2097" t="s">
        <v>139</v>
      </c>
      <c r="D2097" t="s">
        <v>140</v>
      </c>
      <c r="G2097" s="17" t="s">
        <v>35</v>
      </c>
      <c r="H2097" s="17">
        <v>1</v>
      </c>
      <c r="K2097" t="s">
        <v>877</v>
      </c>
      <c r="L2097" t="s">
        <v>878</v>
      </c>
      <c r="M2097" t="s">
        <v>131</v>
      </c>
      <c r="N2097">
        <v>12</v>
      </c>
      <c r="O2097" t="s">
        <v>40</v>
      </c>
      <c r="P2097" t="s">
        <v>40</v>
      </c>
      <c r="Q2097" t="s">
        <v>40</v>
      </c>
      <c r="R2097" t="s">
        <v>40</v>
      </c>
      <c r="S2097" t="s">
        <v>40</v>
      </c>
      <c r="V2097" t="s">
        <v>41</v>
      </c>
      <c r="W2097" t="s">
        <v>75</v>
      </c>
      <c r="X2097" t="str">
        <f>"7541010"</f>
        <v>7541010</v>
      </c>
      <c r="Y2097" t="s">
        <v>887</v>
      </c>
      <c r="Z2097" t="s">
        <v>877</v>
      </c>
      <c r="AA2097" t="s">
        <v>878</v>
      </c>
      <c r="AB2097" t="s">
        <v>131</v>
      </c>
      <c r="AC2097" t="s">
        <v>51</v>
      </c>
      <c r="AD2097" t="s">
        <v>45</v>
      </c>
      <c r="AE2097" s="1">
        <v>28667</v>
      </c>
      <c r="AF2097">
        <v>1</v>
      </c>
      <c r="AG2097" t="s">
        <v>878</v>
      </c>
      <c r="AH2097" s="36">
        <f t="shared" si="32"/>
        <v>41.083333333333336</v>
      </c>
      <c r="AI2097" s="41" t="s">
        <v>1779</v>
      </c>
    </row>
    <row r="2098" spans="1:35" x14ac:dyDescent="0.25">
      <c r="A2098" s="36">
        <v>99912096</v>
      </c>
      <c r="B2098" s="17" t="s">
        <v>32</v>
      </c>
      <c r="C2098" t="s">
        <v>139</v>
      </c>
      <c r="D2098" t="s">
        <v>140</v>
      </c>
      <c r="G2098" s="17" t="s">
        <v>35</v>
      </c>
      <c r="H2098" s="17">
        <v>1</v>
      </c>
      <c r="I2098">
        <v>0</v>
      </c>
      <c r="J2098" s="1">
        <v>43344</v>
      </c>
      <c r="K2098" t="s">
        <v>223</v>
      </c>
      <c r="L2098" t="s">
        <v>224</v>
      </c>
      <c r="M2098" t="s">
        <v>131</v>
      </c>
      <c r="N2098">
        <v>6</v>
      </c>
      <c r="O2098" t="s">
        <v>40</v>
      </c>
      <c r="P2098" t="s">
        <v>40</v>
      </c>
      <c r="Q2098" t="s">
        <v>40</v>
      </c>
      <c r="R2098" t="s">
        <v>40</v>
      </c>
      <c r="S2098" t="s">
        <v>40</v>
      </c>
      <c r="U2098" s="1">
        <v>43344</v>
      </c>
      <c r="V2098" t="s">
        <v>41</v>
      </c>
      <c r="W2098" t="s">
        <v>49</v>
      </c>
      <c r="X2098" t="str">
        <f>"0591901"</f>
        <v>0591901</v>
      </c>
      <c r="Y2098" t="s">
        <v>230</v>
      </c>
      <c r="Z2098" t="s">
        <v>223</v>
      </c>
      <c r="AA2098" t="s">
        <v>224</v>
      </c>
      <c r="AB2098" t="s">
        <v>131</v>
      </c>
      <c r="AC2098" t="s">
        <v>44</v>
      </c>
      <c r="AD2098" t="s">
        <v>45</v>
      </c>
      <c r="AE2098" s="1">
        <v>28665</v>
      </c>
      <c r="AF2098">
        <v>2</v>
      </c>
      <c r="AG2098" t="s">
        <v>224</v>
      </c>
      <c r="AH2098" s="36">
        <f t="shared" si="32"/>
        <v>41.088888888888889</v>
      </c>
      <c r="AI2098" s="41" t="s">
        <v>1779</v>
      </c>
    </row>
    <row r="2099" spans="1:35" x14ac:dyDescent="0.25">
      <c r="A2099" s="36">
        <v>99912097</v>
      </c>
      <c r="B2099" s="17" t="s">
        <v>32</v>
      </c>
      <c r="C2099" t="s">
        <v>64</v>
      </c>
      <c r="D2099" t="s">
        <v>65</v>
      </c>
      <c r="G2099" s="17" t="s">
        <v>35</v>
      </c>
      <c r="H2099" s="17">
        <v>1</v>
      </c>
      <c r="I2099">
        <v>113826256</v>
      </c>
      <c r="J2099" s="1">
        <v>43378</v>
      </c>
      <c r="K2099" t="s">
        <v>877</v>
      </c>
      <c r="L2099" t="s">
        <v>878</v>
      </c>
      <c r="M2099" t="s">
        <v>131</v>
      </c>
      <c r="N2099">
        <v>11</v>
      </c>
      <c r="O2099" t="s">
        <v>40</v>
      </c>
      <c r="P2099" t="s">
        <v>40</v>
      </c>
      <c r="Q2099" t="s">
        <v>40</v>
      </c>
      <c r="R2099" t="s">
        <v>40</v>
      </c>
      <c r="S2099" t="s">
        <v>40</v>
      </c>
      <c r="U2099" s="1">
        <v>43378</v>
      </c>
      <c r="V2099" t="s">
        <v>41</v>
      </c>
      <c r="W2099" t="s">
        <v>75</v>
      </c>
      <c r="X2099" t="str">
        <f>"7541020"</f>
        <v>7541020</v>
      </c>
      <c r="Y2099" t="s">
        <v>882</v>
      </c>
      <c r="Z2099" t="s">
        <v>877</v>
      </c>
      <c r="AA2099" t="s">
        <v>878</v>
      </c>
      <c r="AB2099" t="s">
        <v>131</v>
      </c>
      <c r="AC2099" t="s">
        <v>44</v>
      </c>
      <c r="AD2099" t="s">
        <v>45</v>
      </c>
      <c r="AE2099" s="1">
        <v>28662</v>
      </c>
      <c r="AF2099">
        <v>1</v>
      </c>
      <c r="AG2099" t="s">
        <v>878</v>
      </c>
      <c r="AH2099" s="36">
        <f t="shared" si="32"/>
        <v>41.097222222222221</v>
      </c>
      <c r="AI2099" s="41" t="s">
        <v>1779</v>
      </c>
    </row>
    <row r="2100" spans="1:35" x14ac:dyDescent="0.25">
      <c r="A2100" s="36">
        <v>99912098</v>
      </c>
      <c r="B2100" s="17" t="s">
        <v>56</v>
      </c>
      <c r="C2100" t="s">
        <v>52</v>
      </c>
      <c r="D2100" t="s">
        <v>53</v>
      </c>
      <c r="G2100" s="17" t="s">
        <v>35</v>
      </c>
      <c r="H2100" s="17">
        <v>1</v>
      </c>
      <c r="I2100">
        <v>13814</v>
      </c>
      <c r="J2100" s="1">
        <v>43355</v>
      </c>
      <c r="K2100" t="s">
        <v>345</v>
      </c>
      <c r="L2100" t="s">
        <v>346</v>
      </c>
      <c r="M2100" t="s">
        <v>131</v>
      </c>
      <c r="N2100">
        <v>21</v>
      </c>
      <c r="O2100" t="s">
        <v>40</v>
      </c>
      <c r="P2100" t="s">
        <v>40</v>
      </c>
      <c r="Q2100" t="s">
        <v>40</v>
      </c>
      <c r="R2100" t="s">
        <v>40</v>
      </c>
      <c r="S2100" t="s">
        <v>40</v>
      </c>
      <c r="U2100" s="1">
        <v>43355</v>
      </c>
      <c r="V2100" t="s">
        <v>41</v>
      </c>
      <c r="W2100" t="s">
        <v>42</v>
      </c>
      <c r="X2100" t="str">
        <f>"0590906"</f>
        <v>0590906</v>
      </c>
      <c r="Y2100" t="s">
        <v>361</v>
      </c>
      <c r="Z2100" t="s">
        <v>345</v>
      </c>
      <c r="AA2100" t="s">
        <v>346</v>
      </c>
      <c r="AB2100" t="s">
        <v>131</v>
      </c>
      <c r="AC2100" t="s">
        <v>51</v>
      </c>
      <c r="AD2100" t="s">
        <v>45</v>
      </c>
      <c r="AE2100" s="1">
        <v>28661</v>
      </c>
      <c r="AF2100">
        <v>2</v>
      </c>
      <c r="AG2100" t="s">
        <v>346</v>
      </c>
      <c r="AH2100" s="36">
        <f t="shared" si="32"/>
        <v>41.1</v>
      </c>
      <c r="AI2100" s="41" t="s">
        <v>1779</v>
      </c>
    </row>
    <row r="2101" spans="1:35" x14ac:dyDescent="0.25">
      <c r="A2101" s="36">
        <v>99912099</v>
      </c>
      <c r="B2101" s="17" t="s">
        <v>56</v>
      </c>
      <c r="C2101" t="s">
        <v>79</v>
      </c>
      <c r="D2101" t="s">
        <v>80</v>
      </c>
      <c r="G2101" s="17" t="s">
        <v>35</v>
      </c>
      <c r="H2101" s="17">
        <v>1</v>
      </c>
      <c r="I2101">
        <v>13036</v>
      </c>
      <c r="J2101" s="1">
        <v>43344</v>
      </c>
      <c r="K2101" t="s">
        <v>354</v>
      </c>
      <c r="L2101" t="s">
        <v>355</v>
      </c>
      <c r="M2101" t="s">
        <v>131</v>
      </c>
      <c r="N2101">
        <v>24</v>
      </c>
      <c r="O2101" t="s">
        <v>40</v>
      </c>
      <c r="S2101" t="s">
        <v>40</v>
      </c>
      <c r="U2101" s="1">
        <v>43344</v>
      </c>
      <c r="V2101" t="s">
        <v>41</v>
      </c>
      <c r="W2101" t="s">
        <v>75</v>
      </c>
      <c r="X2101" t="str">
        <f>"7054042"</f>
        <v>7054042</v>
      </c>
      <c r="Y2101" t="s">
        <v>776</v>
      </c>
      <c r="Z2101" t="s">
        <v>354</v>
      </c>
      <c r="AA2101" t="s">
        <v>355</v>
      </c>
      <c r="AB2101" t="s">
        <v>131</v>
      </c>
      <c r="AC2101" t="s">
        <v>51</v>
      </c>
      <c r="AD2101" t="s">
        <v>45</v>
      </c>
      <c r="AE2101" s="1">
        <v>28661</v>
      </c>
      <c r="AF2101">
        <v>1</v>
      </c>
      <c r="AG2101" t="s">
        <v>355</v>
      </c>
      <c r="AH2101" s="36">
        <f t="shared" si="32"/>
        <v>41.1</v>
      </c>
      <c r="AI2101" s="41" t="s">
        <v>1779</v>
      </c>
    </row>
    <row r="2102" spans="1:35" x14ac:dyDescent="0.25">
      <c r="A2102" s="36">
        <v>99912100</v>
      </c>
      <c r="B2102" s="17" t="s">
        <v>56</v>
      </c>
      <c r="C2102" t="s">
        <v>46</v>
      </c>
      <c r="D2102" t="s">
        <v>47</v>
      </c>
      <c r="G2102" s="17" t="s">
        <v>48</v>
      </c>
      <c r="H2102" s="17">
        <v>1</v>
      </c>
      <c r="K2102" t="s">
        <v>300</v>
      </c>
      <c r="L2102" t="s">
        <v>301</v>
      </c>
      <c r="M2102" t="s">
        <v>131</v>
      </c>
      <c r="N2102">
        <v>21</v>
      </c>
      <c r="O2102" t="s">
        <v>40</v>
      </c>
      <c r="P2102" t="s">
        <v>40</v>
      </c>
      <c r="Q2102" t="s">
        <v>40</v>
      </c>
      <c r="R2102" t="s">
        <v>40</v>
      </c>
      <c r="S2102" t="s">
        <v>40</v>
      </c>
      <c r="V2102" t="s">
        <v>41</v>
      </c>
      <c r="W2102" t="s">
        <v>42</v>
      </c>
      <c r="X2102" t="str">
        <f>"0580106"</f>
        <v>0580106</v>
      </c>
      <c r="Y2102" t="s">
        <v>306</v>
      </c>
      <c r="Z2102" t="s">
        <v>300</v>
      </c>
      <c r="AA2102" t="s">
        <v>301</v>
      </c>
      <c r="AB2102" t="s">
        <v>131</v>
      </c>
      <c r="AC2102" t="s">
        <v>51</v>
      </c>
      <c r="AD2102" t="s">
        <v>45</v>
      </c>
      <c r="AE2102" s="1">
        <v>28658</v>
      </c>
      <c r="AF2102">
        <v>2</v>
      </c>
      <c r="AG2102" t="s">
        <v>301</v>
      </c>
      <c r="AH2102" s="36">
        <f t="shared" si="32"/>
        <v>41.108333333333334</v>
      </c>
      <c r="AI2102" s="41" t="s">
        <v>1779</v>
      </c>
    </row>
    <row r="2103" spans="1:35" x14ac:dyDescent="0.25">
      <c r="A2103" s="36">
        <v>99912101</v>
      </c>
      <c r="B2103" s="17" t="s">
        <v>56</v>
      </c>
      <c r="C2103" t="s">
        <v>61</v>
      </c>
      <c r="D2103" t="s">
        <v>62</v>
      </c>
      <c r="G2103" s="17" t="s">
        <v>48</v>
      </c>
      <c r="H2103" s="17">
        <v>1</v>
      </c>
      <c r="K2103" t="s">
        <v>300</v>
      </c>
      <c r="L2103" t="s">
        <v>301</v>
      </c>
      <c r="M2103" t="s">
        <v>131</v>
      </c>
      <c r="N2103">
        <v>19</v>
      </c>
      <c r="O2103" t="s">
        <v>40</v>
      </c>
      <c r="P2103" t="s">
        <v>40</v>
      </c>
      <c r="Q2103" t="s">
        <v>40</v>
      </c>
      <c r="R2103" t="s">
        <v>40</v>
      </c>
      <c r="S2103" t="s">
        <v>40</v>
      </c>
      <c r="V2103" t="s">
        <v>41</v>
      </c>
      <c r="W2103" t="s">
        <v>49</v>
      </c>
      <c r="X2103" t="str">
        <f>"0560002"</f>
        <v>0560002</v>
      </c>
      <c r="Y2103" t="s">
        <v>315</v>
      </c>
      <c r="Z2103" t="s">
        <v>300</v>
      </c>
      <c r="AA2103" t="s">
        <v>301</v>
      </c>
      <c r="AB2103" t="s">
        <v>131</v>
      </c>
      <c r="AC2103" t="s">
        <v>165</v>
      </c>
      <c r="AD2103" t="s">
        <v>45</v>
      </c>
      <c r="AE2103" s="1">
        <v>28655</v>
      </c>
      <c r="AF2103">
        <v>2</v>
      </c>
      <c r="AG2103" t="s">
        <v>301</v>
      </c>
      <c r="AH2103" s="36">
        <f t="shared" si="32"/>
        <v>41.116666666666667</v>
      </c>
      <c r="AI2103" s="41" t="s">
        <v>1779</v>
      </c>
    </row>
    <row r="2104" spans="1:35" x14ac:dyDescent="0.25">
      <c r="A2104" s="36">
        <v>99912102</v>
      </c>
      <c r="B2104" s="17" t="s">
        <v>32</v>
      </c>
      <c r="C2104" t="s">
        <v>111</v>
      </c>
      <c r="D2104" t="s">
        <v>112</v>
      </c>
      <c r="G2104" s="17" t="s">
        <v>35</v>
      </c>
      <c r="H2104" s="17">
        <v>1</v>
      </c>
      <c r="I2104" t="s">
        <v>888</v>
      </c>
      <c r="J2104" s="1">
        <v>43390</v>
      </c>
      <c r="K2104" t="s">
        <v>877</v>
      </c>
      <c r="L2104" t="s">
        <v>878</v>
      </c>
      <c r="M2104" t="s">
        <v>131</v>
      </c>
      <c r="N2104">
        <v>24</v>
      </c>
      <c r="O2104" t="s">
        <v>40</v>
      </c>
      <c r="P2104" t="s">
        <v>40</v>
      </c>
      <c r="Q2104" t="s">
        <v>40</v>
      </c>
      <c r="S2104" t="s">
        <v>40</v>
      </c>
      <c r="U2104" s="1">
        <v>43390</v>
      </c>
      <c r="V2104" t="s">
        <v>41</v>
      </c>
      <c r="W2104" t="s">
        <v>75</v>
      </c>
      <c r="X2104" t="str">
        <f>"7541020"</f>
        <v>7541020</v>
      </c>
      <c r="Y2104" t="s">
        <v>882</v>
      </c>
      <c r="Z2104" t="s">
        <v>877</v>
      </c>
      <c r="AA2104" t="s">
        <v>878</v>
      </c>
      <c r="AB2104" t="s">
        <v>131</v>
      </c>
      <c r="AC2104" t="s">
        <v>44</v>
      </c>
      <c r="AD2104" t="s">
        <v>45</v>
      </c>
      <c r="AE2104" s="1">
        <v>28654</v>
      </c>
      <c r="AF2104">
        <v>1</v>
      </c>
      <c r="AG2104" t="s">
        <v>878</v>
      </c>
      <c r="AH2104" s="36">
        <f t="shared" si="32"/>
        <v>41.119444444444447</v>
      </c>
      <c r="AI2104" s="41" t="s">
        <v>1779</v>
      </c>
    </row>
    <row r="2105" spans="1:35" x14ac:dyDescent="0.25">
      <c r="A2105" s="36">
        <v>99912103</v>
      </c>
      <c r="B2105" s="17" t="s">
        <v>32</v>
      </c>
      <c r="C2105" t="s">
        <v>46</v>
      </c>
      <c r="D2105" t="s">
        <v>47</v>
      </c>
      <c r="G2105" s="17" t="s">
        <v>48</v>
      </c>
      <c r="H2105" s="17">
        <v>1</v>
      </c>
      <c r="K2105" t="s">
        <v>345</v>
      </c>
      <c r="L2105" t="s">
        <v>346</v>
      </c>
      <c r="M2105" t="s">
        <v>131</v>
      </c>
      <c r="N2105">
        <v>20</v>
      </c>
      <c r="O2105" t="s">
        <v>40</v>
      </c>
      <c r="P2105" t="s">
        <v>40</v>
      </c>
      <c r="Q2105" t="s">
        <v>40</v>
      </c>
      <c r="R2105" t="s">
        <v>40</v>
      </c>
      <c r="S2105" t="s">
        <v>40</v>
      </c>
      <c r="V2105" t="s">
        <v>41</v>
      </c>
      <c r="W2105" t="s">
        <v>49</v>
      </c>
      <c r="X2105" t="str">
        <f>"0591906"</f>
        <v>0591906</v>
      </c>
      <c r="Y2105" t="s">
        <v>350</v>
      </c>
      <c r="Z2105" t="s">
        <v>345</v>
      </c>
      <c r="AA2105" t="s">
        <v>346</v>
      </c>
      <c r="AB2105" t="s">
        <v>131</v>
      </c>
      <c r="AC2105" t="s">
        <v>51</v>
      </c>
      <c r="AD2105" t="s">
        <v>45</v>
      </c>
      <c r="AE2105" s="1">
        <v>28651</v>
      </c>
      <c r="AF2105">
        <v>2</v>
      </c>
      <c r="AG2105" t="s">
        <v>346</v>
      </c>
      <c r="AH2105" s="36">
        <f t="shared" si="32"/>
        <v>41.12777777777778</v>
      </c>
      <c r="AI2105" s="41" t="s">
        <v>1779</v>
      </c>
    </row>
    <row r="2106" spans="1:35" x14ac:dyDescent="0.25">
      <c r="A2106" s="36">
        <v>99912104</v>
      </c>
      <c r="B2106" s="17" t="s">
        <v>32</v>
      </c>
      <c r="C2106" t="s">
        <v>141</v>
      </c>
      <c r="D2106" t="s">
        <v>142</v>
      </c>
      <c r="G2106" s="17" t="s">
        <v>88</v>
      </c>
      <c r="H2106" s="17">
        <v>2</v>
      </c>
      <c r="I2106" t="s">
        <v>564</v>
      </c>
      <c r="J2106" s="1">
        <v>42614</v>
      </c>
      <c r="K2106" t="s">
        <v>431</v>
      </c>
      <c r="L2106" t="s">
        <v>196</v>
      </c>
      <c r="M2106" t="s">
        <v>131</v>
      </c>
      <c r="N2106">
        <v>21</v>
      </c>
      <c r="O2106" t="s">
        <v>40</v>
      </c>
      <c r="P2106" t="s">
        <v>40</v>
      </c>
      <c r="Q2106" t="s">
        <v>40</v>
      </c>
      <c r="R2106" t="s">
        <v>40</v>
      </c>
      <c r="S2106" t="s">
        <v>40</v>
      </c>
      <c r="U2106" s="1">
        <v>42614</v>
      </c>
      <c r="V2106" t="s">
        <v>41</v>
      </c>
      <c r="W2106" t="s">
        <v>75</v>
      </c>
      <c r="X2106" t="str">
        <f>"7521022"</f>
        <v>7521022</v>
      </c>
      <c r="Y2106" t="s">
        <v>445</v>
      </c>
      <c r="Z2106" t="s">
        <v>431</v>
      </c>
      <c r="AA2106" t="s">
        <v>196</v>
      </c>
      <c r="AB2106" t="s">
        <v>131</v>
      </c>
      <c r="AC2106" t="s">
        <v>51</v>
      </c>
      <c r="AD2106" t="s">
        <v>45</v>
      </c>
      <c r="AE2106" s="1">
        <v>28651</v>
      </c>
      <c r="AF2106">
        <v>1</v>
      </c>
      <c r="AG2106" t="s">
        <v>196</v>
      </c>
      <c r="AH2106" s="36">
        <f t="shared" si="32"/>
        <v>41.12777777777778</v>
      </c>
      <c r="AI2106" s="41" t="s">
        <v>1779</v>
      </c>
    </row>
    <row r="2107" spans="1:35" x14ac:dyDescent="0.25">
      <c r="A2107" s="36">
        <v>99912105</v>
      </c>
      <c r="B2107" s="17" t="s">
        <v>32</v>
      </c>
      <c r="C2107" t="s">
        <v>52</v>
      </c>
      <c r="D2107" t="s">
        <v>53</v>
      </c>
      <c r="G2107" s="17" t="s">
        <v>35</v>
      </c>
      <c r="H2107" s="17">
        <v>1</v>
      </c>
      <c r="I2107" t="s">
        <v>1600</v>
      </c>
      <c r="J2107" s="1">
        <v>43354</v>
      </c>
      <c r="K2107" t="s">
        <v>1590</v>
      </c>
      <c r="L2107" t="s">
        <v>1591</v>
      </c>
      <c r="M2107" t="s">
        <v>1592</v>
      </c>
      <c r="N2107">
        <v>6</v>
      </c>
      <c r="O2107" t="s">
        <v>40</v>
      </c>
      <c r="S2107" t="s">
        <v>40</v>
      </c>
      <c r="U2107" s="1">
        <v>43354</v>
      </c>
      <c r="V2107" t="s">
        <v>41</v>
      </c>
      <c r="W2107" t="s">
        <v>49</v>
      </c>
      <c r="X2107" t="str">
        <f>"0260001"</f>
        <v>0260001</v>
      </c>
      <c r="Y2107" t="s">
        <v>1595</v>
      </c>
      <c r="Z2107" t="s">
        <v>1590</v>
      </c>
      <c r="AA2107" t="s">
        <v>1591</v>
      </c>
      <c r="AB2107" t="s">
        <v>1592</v>
      </c>
      <c r="AC2107" t="s">
        <v>44</v>
      </c>
      <c r="AD2107" t="s">
        <v>45</v>
      </c>
      <c r="AE2107" s="1">
        <v>28643</v>
      </c>
      <c r="AF2107">
        <v>2</v>
      </c>
      <c r="AG2107" t="s">
        <v>1591</v>
      </c>
      <c r="AH2107" s="36">
        <f t="shared" si="32"/>
        <v>41.15</v>
      </c>
      <c r="AI2107" s="41" t="s">
        <v>1779</v>
      </c>
    </row>
    <row r="2108" spans="1:35" x14ac:dyDescent="0.25">
      <c r="A2108" s="36">
        <v>99912106</v>
      </c>
      <c r="B2108" s="17" t="s">
        <v>32</v>
      </c>
      <c r="C2108" t="s">
        <v>64</v>
      </c>
      <c r="D2108" t="s">
        <v>65</v>
      </c>
      <c r="G2108" s="17" t="s">
        <v>35</v>
      </c>
      <c r="H2108" s="17">
        <v>1</v>
      </c>
      <c r="I2108" t="s">
        <v>1340</v>
      </c>
      <c r="J2108" s="1">
        <v>43364</v>
      </c>
      <c r="K2108" t="s">
        <v>1336</v>
      </c>
      <c r="L2108" t="s">
        <v>1337</v>
      </c>
      <c r="M2108" t="s">
        <v>1270</v>
      </c>
      <c r="N2108">
        <v>12</v>
      </c>
      <c r="O2108" t="s">
        <v>40</v>
      </c>
      <c r="P2108" t="s">
        <v>40</v>
      </c>
      <c r="Q2108" t="s">
        <v>40</v>
      </c>
      <c r="R2108" t="s">
        <v>40</v>
      </c>
      <c r="S2108" t="s">
        <v>40</v>
      </c>
      <c r="U2108" s="1">
        <v>43364</v>
      </c>
      <c r="V2108" t="s">
        <v>41</v>
      </c>
      <c r="W2108" t="s">
        <v>42</v>
      </c>
      <c r="X2108" t="str">
        <f>"4475070"</f>
        <v>4475070</v>
      </c>
      <c r="Y2108" t="s">
        <v>1338</v>
      </c>
      <c r="Z2108" t="s">
        <v>1336</v>
      </c>
      <c r="AA2108" t="s">
        <v>1337</v>
      </c>
      <c r="AB2108" t="s">
        <v>1270</v>
      </c>
      <c r="AC2108" t="s">
        <v>51</v>
      </c>
      <c r="AD2108" t="s">
        <v>45</v>
      </c>
      <c r="AE2108" s="1">
        <v>28641</v>
      </c>
      <c r="AF2108">
        <v>2</v>
      </c>
      <c r="AG2108" t="s">
        <v>1337</v>
      </c>
      <c r="AH2108" s="36">
        <f t="shared" si="32"/>
        <v>41.155555555555559</v>
      </c>
      <c r="AI2108" s="41" t="s">
        <v>1779</v>
      </c>
    </row>
    <row r="2109" spans="1:35" x14ac:dyDescent="0.25">
      <c r="A2109" s="36">
        <v>99912107</v>
      </c>
      <c r="B2109" s="17" t="s">
        <v>56</v>
      </c>
      <c r="C2109" t="s">
        <v>61</v>
      </c>
      <c r="D2109" t="s">
        <v>62</v>
      </c>
      <c r="G2109" s="17" t="s">
        <v>48</v>
      </c>
      <c r="H2109" s="17">
        <v>1</v>
      </c>
      <c r="K2109" t="s">
        <v>1613</v>
      </c>
      <c r="L2109" t="s">
        <v>1614</v>
      </c>
      <c r="M2109" t="s">
        <v>1592</v>
      </c>
      <c r="N2109">
        <v>8</v>
      </c>
      <c r="O2109" t="s">
        <v>40</v>
      </c>
      <c r="P2109" t="s">
        <v>40</v>
      </c>
      <c r="Q2109" t="s">
        <v>40</v>
      </c>
      <c r="R2109" t="s">
        <v>40</v>
      </c>
      <c r="S2109" t="s">
        <v>40</v>
      </c>
      <c r="V2109" t="s">
        <v>41</v>
      </c>
      <c r="W2109" t="s">
        <v>49</v>
      </c>
      <c r="X2109" t="str">
        <f>"2881010"</f>
        <v>2881010</v>
      </c>
      <c r="Y2109" t="s">
        <v>1622</v>
      </c>
      <c r="Z2109" t="s">
        <v>1613</v>
      </c>
      <c r="AA2109" t="s">
        <v>1614</v>
      </c>
      <c r="AB2109" t="s">
        <v>1592</v>
      </c>
      <c r="AC2109" t="s">
        <v>51</v>
      </c>
      <c r="AD2109" t="s">
        <v>45</v>
      </c>
      <c r="AE2109" s="1">
        <v>28641</v>
      </c>
      <c r="AF2109">
        <v>2</v>
      </c>
      <c r="AG2109" t="s">
        <v>1614</v>
      </c>
      <c r="AH2109" s="36">
        <f t="shared" si="32"/>
        <v>41.155555555555559</v>
      </c>
      <c r="AI2109" s="41" t="s">
        <v>1779</v>
      </c>
    </row>
    <row r="2110" spans="1:35" x14ac:dyDescent="0.25">
      <c r="A2110" s="36">
        <v>99912108</v>
      </c>
      <c r="B2110" s="17" t="s">
        <v>56</v>
      </c>
      <c r="C2110" t="s">
        <v>52</v>
      </c>
      <c r="D2110" t="s">
        <v>53</v>
      </c>
      <c r="G2110" s="17" t="s">
        <v>48</v>
      </c>
      <c r="H2110" s="17">
        <v>1</v>
      </c>
      <c r="K2110" t="s">
        <v>345</v>
      </c>
      <c r="L2110" t="s">
        <v>346</v>
      </c>
      <c r="M2110" t="s">
        <v>131</v>
      </c>
      <c r="N2110">
        <v>21</v>
      </c>
      <c r="O2110" t="s">
        <v>40</v>
      </c>
      <c r="P2110" t="s">
        <v>40</v>
      </c>
      <c r="Q2110" t="s">
        <v>40</v>
      </c>
      <c r="R2110" t="s">
        <v>40</v>
      </c>
      <c r="S2110" t="s">
        <v>40</v>
      </c>
      <c r="V2110" t="s">
        <v>41</v>
      </c>
      <c r="W2110" t="s">
        <v>49</v>
      </c>
      <c r="X2110" t="str">
        <f>"0561021"</f>
        <v>0561021</v>
      </c>
      <c r="Y2110" t="s">
        <v>352</v>
      </c>
      <c r="Z2110" t="s">
        <v>345</v>
      </c>
      <c r="AA2110" t="s">
        <v>346</v>
      </c>
      <c r="AB2110" t="s">
        <v>131</v>
      </c>
      <c r="AC2110" t="s">
        <v>51</v>
      </c>
      <c r="AD2110" t="s">
        <v>45</v>
      </c>
      <c r="AE2110" s="1">
        <v>28637</v>
      </c>
      <c r="AF2110">
        <v>2</v>
      </c>
      <c r="AG2110" t="s">
        <v>346</v>
      </c>
      <c r="AH2110" s="36">
        <f t="shared" si="32"/>
        <v>41.166666666666664</v>
      </c>
      <c r="AI2110" s="41" t="s">
        <v>1779</v>
      </c>
    </row>
    <row r="2111" spans="1:35" x14ac:dyDescent="0.25">
      <c r="A2111" s="36">
        <v>99912109</v>
      </c>
      <c r="B2111" s="17" t="s">
        <v>56</v>
      </c>
      <c r="C2111" t="s">
        <v>79</v>
      </c>
      <c r="D2111" t="s">
        <v>80</v>
      </c>
      <c r="G2111" s="17" t="s">
        <v>48</v>
      </c>
      <c r="H2111" s="17">
        <v>1</v>
      </c>
      <c r="K2111" t="s">
        <v>157</v>
      </c>
      <c r="L2111" t="s">
        <v>158</v>
      </c>
      <c r="M2111" t="s">
        <v>131</v>
      </c>
      <c r="N2111">
        <v>24</v>
      </c>
      <c r="O2111" t="s">
        <v>40</v>
      </c>
      <c r="P2111" t="s">
        <v>40</v>
      </c>
      <c r="Q2111" t="s">
        <v>40</v>
      </c>
      <c r="R2111" t="s">
        <v>40</v>
      </c>
      <c r="S2111" t="s">
        <v>40</v>
      </c>
      <c r="V2111" t="s">
        <v>41</v>
      </c>
      <c r="W2111" t="s">
        <v>49</v>
      </c>
      <c r="X2111" t="str">
        <f>"0560010"</f>
        <v>0560010</v>
      </c>
      <c r="Y2111" t="s">
        <v>179</v>
      </c>
      <c r="Z2111" t="s">
        <v>157</v>
      </c>
      <c r="AA2111" t="s">
        <v>158</v>
      </c>
      <c r="AB2111" t="s">
        <v>131</v>
      </c>
      <c r="AC2111" t="s">
        <v>51</v>
      </c>
      <c r="AD2111" t="s">
        <v>45</v>
      </c>
      <c r="AE2111" s="1">
        <v>28633</v>
      </c>
      <c r="AF2111">
        <v>2</v>
      </c>
      <c r="AG2111" t="s">
        <v>158</v>
      </c>
      <c r="AH2111" s="36">
        <f t="shared" si="32"/>
        <v>41.177777777777777</v>
      </c>
      <c r="AI2111" s="41" t="s">
        <v>1779</v>
      </c>
    </row>
    <row r="2112" spans="1:35" x14ac:dyDescent="0.25">
      <c r="A2112" s="36">
        <v>99912110</v>
      </c>
      <c r="B2112" s="17" t="s">
        <v>32</v>
      </c>
      <c r="C2112" t="s">
        <v>90</v>
      </c>
      <c r="D2112" t="s">
        <v>91</v>
      </c>
      <c r="G2112" s="17" t="s">
        <v>35</v>
      </c>
      <c r="H2112" s="17">
        <v>1</v>
      </c>
      <c r="I2112">
        <v>6326</v>
      </c>
      <c r="J2112" s="1">
        <v>43344</v>
      </c>
      <c r="K2112" t="s">
        <v>1564</v>
      </c>
      <c r="L2112" t="s">
        <v>1565</v>
      </c>
      <c r="M2112" t="s">
        <v>1548</v>
      </c>
      <c r="N2112">
        <v>25</v>
      </c>
      <c r="O2112" t="s">
        <v>40</v>
      </c>
      <c r="P2112" t="s">
        <v>40</v>
      </c>
      <c r="Q2112" t="s">
        <v>40</v>
      </c>
      <c r="S2112" t="s">
        <v>40</v>
      </c>
      <c r="U2112" s="1">
        <v>43344</v>
      </c>
      <c r="V2112" t="s">
        <v>41</v>
      </c>
      <c r="W2112" t="s">
        <v>95</v>
      </c>
      <c r="X2112" t="str">
        <f>"7101007"</f>
        <v>7101007</v>
      </c>
      <c r="Y2112" t="s">
        <v>1576</v>
      </c>
      <c r="Z2112" t="s">
        <v>1564</v>
      </c>
      <c r="AA2112" t="s">
        <v>1565</v>
      </c>
      <c r="AB2112" t="s">
        <v>1548</v>
      </c>
      <c r="AC2112" t="s">
        <v>51</v>
      </c>
      <c r="AD2112" t="s">
        <v>45</v>
      </c>
      <c r="AE2112" s="1">
        <v>28633</v>
      </c>
      <c r="AF2112">
        <v>1</v>
      </c>
      <c r="AG2112" t="s">
        <v>1565</v>
      </c>
      <c r="AH2112" s="36">
        <f t="shared" si="32"/>
        <v>41.177777777777777</v>
      </c>
      <c r="AI2112" s="41" t="s">
        <v>1779</v>
      </c>
    </row>
    <row r="2113" spans="1:35" x14ac:dyDescent="0.25">
      <c r="A2113" s="36">
        <v>99912111</v>
      </c>
      <c r="B2113" s="17" t="s">
        <v>32</v>
      </c>
      <c r="C2113" t="s">
        <v>117</v>
      </c>
      <c r="D2113" t="s">
        <v>118</v>
      </c>
      <c r="G2113" s="17" t="s">
        <v>35</v>
      </c>
      <c r="H2113" s="17">
        <v>1</v>
      </c>
      <c r="I2113">
        <v>2325</v>
      </c>
      <c r="J2113" s="1">
        <v>43344</v>
      </c>
      <c r="K2113" t="s">
        <v>354</v>
      </c>
      <c r="L2113" t="s">
        <v>355</v>
      </c>
      <c r="M2113" t="s">
        <v>131</v>
      </c>
      <c r="N2113">
        <v>19</v>
      </c>
      <c r="O2113" t="s">
        <v>40</v>
      </c>
      <c r="P2113" t="s">
        <v>40</v>
      </c>
      <c r="Q2113" t="s">
        <v>40</v>
      </c>
      <c r="R2113" t="s">
        <v>40</v>
      </c>
      <c r="S2113" t="s">
        <v>40</v>
      </c>
      <c r="U2113" s="1">
        <v>43344</v>
      </c>
      <c r="V2113" t="s">
        <v>41</v>
      </c>
      <c r="W2113" t="s">
        <v>75</v>
      </c>
      <c r="X2113" t="str">
        <f>"7054042"</f>
        <v>7054042</v>
      </c>
      <c r="Y2113" t="s">
        <v>776</v>
      </c>
      <c r="Z2113" t="s">
        <v>354</v>
      </c>
      <c r="AA2113" t="s">
        <v>355</v>
      </c>
      <c r="AB2113" t="s">
        <v>131</v>
      </c>
      <c r="AC2113" t="s">
        <v>51</v>
      </c>
      <c r="AD2113" t="s">
        <v>45</v>
      </c>
      <c r="AE2113" s="1">
        <v>28625</v>
      </c>
      <c r="AF2113">
        <v>1</v>
      </c>
      <c r="AG2113" t="s">
        <v>355</v>
      </c>
      <c r="AH2113" s="36">
        <f t="shared" si="32"/>
        <v>41.2</v>
      </c>
      <c r="AI2113" s="41" t="s">
        <v>1779</v>
      </c>
    </row>
    <row r="2114" spans="1:35" x14ac:dyDescent="0.25">
      <c r="A2114" s="36">
        <v>99912112</v>
      </c>
      <c r="B2114" s="17" t="s">
        <v>32</v>
      </c>
      <c r="C2114" t="s">
        <v>46</v>
      </c>
      <c r="D2114" t="s">
        <v>47</v>
      </c>
      <c r="G2114" s="17" t="s">
        <v>35</v>
      </c>
      <c r="H2114" s="17">
        <v>1</v>
      </c>
      <c r="I2114" t="s">
        <v>378</v>
      </c>
      <c r="J2114" s="1">
        <v>43344</v>
      </c>
      <c r="K2114" t="s">
        <v>345</v>
      </c>
      <c r="L2114" t="s">
        <v>346</v>
      </c>
      <c r="M2114" t="s">
        <v>131</v>
      </c>
      <c r="N2114">
        <v>20</v>
      </c>
      <c r="O2114" t="s">
        <v>40</v>
      </c>
      <c r="S2114" t="s">
        <v>40</v>
      </c>
      <c r="U2114" s="1">
        <v>43344</v>
      </c>
      <c r="V2114" t="s">
        <v>41</v>
      </c>
      <c r="W2114" t="s">
        <v>49</v>
      </c>
      <c r="X2114" t="str">
        <f>"0581155"</f>
        <v>0581155</v>
      </c>
      <c r="Y2114" t="s">
        <v>349</v>
      </c>
      <c r="Z2114" t="s">
        <v>345</v>
      </c>
      <c r="AA2114" t="s">
        <v>346</v>
      </c>
      <c r="AB2114" t="s">
        <v>131</v>
      </c>
      <c r="AC2114" t="s">
        <v>51</v>
      </c>
      <c r="AD2114" t="s">
        <v>45</v>
      </c>
      <c r="AE2114" s="1">
        <v>28621</v>
      </c>
      <c r="AF2114">
        <v>2</v>
      </c>
      <c r="AG2114" t="s">
        <v>346</v>
      </c>
      <c r="AH2114" s="36">
        <f t="shared" ref="AH2114:AH2177" si="33">($AJ$1-AE2114)/360</f>
        <v>41.211111111111109</v>
      </c>
      <c r="AI2114" s="41" t="s">
        <v>1779</v>
      </c>
    </row>
    <row r="2115" spans="1:35" x14ac:dyDescent="0.25">
      <c r="A2115" s="36">
        <v>99912113</v>
      </c>
      <c r="B2115" s="17" t="s">
        <v>32</v>
      </c>
      <c r="C2115" t="s">
        <v>64</v>
      </c>
      <c r="D2115" t="s">
        <v>65</v>
      </c>
      <c r="G2115" s="17" t="s">
        <v>35</v>
      </c>
      <c r="H2115" s="17">
        <v>1</v>
      </c>
      <c r="I2115">
        <v>4178</v>
      </c>
      <c r="J2115" s="1">
        <v>43353</v>
      </c>
      <c r="K2115" t="s">
        <v>1631</v>
      </c>
      <c r="L2115" t="s">
        <v>1632</v>
      </c>
      <c r="M2115" t="s">
        <v>1592</v>
      </c>
      <c r="N2115">
        <v>2</v>
      </c>
      <c r="O2115" t="s">
        <v>40</v>
      </c>
      <c r="S2115" t="s">
        <v>40</v>
      </c>
      <c r="U2115" s="1">
        <v>43353</v>
      </c>
      <c r="V2115" t="s">
        <v>41</v>
      </c>
      <c r="W2115" t="s">
        <v>95</v>
      </c>
      <c r="X2115" t="str">
        <f>"7021011"</f>
        <v>7021011</v>
      </c>
      <c r="Y2115" t="s">
        <v>1643</v>
      </c>
      <c r="Z2115" t="s">
        <v>1631</v>
      </c>
      <c r="AA2115" t="s">
        <v>1632</v>
      </c>
      <c r="AB2115" t="s">
        <v>1592</v>
      </c>
      <c r="AC2115" t="s">
        <v>44</v>
      </c>
      <c r="AD2115" t="s">
        <v>45</v>
      </c>
      <c r="AE2115" s="1">
        <v>28621</v>
      </c>
      <c r="AF2115">
        <v>1</v>
      </c>
      <c r="AG2115" t="s">
        <v>1632</v>
      </c>
      <c r="AH2115" s="36">
        <f t="shared" si="33"/>
        <v>41.211111111111109</v>
      </c>
      <c r="AI2115" s="41" t="s">
        <v>1779</v>
      </c>
    </row>
    <row r="2116" spans="1:35" x14ac:dyDescent="0.25">
      <c r="A2116" s="36">
        <v>99912114</v>
      </c>
      <c r="B2116" s="17" t="s">
        <v>32</v>
      </c>
      <c r="C2116" t="s">
        <v>141</v>
      </c>
      <c r="D2116" t="s">
        <v>142</v>
      </c>
      <c r="G2116" s="17" t="s">
        <v>48</v>
      </c>
      <c r="H2116" s="17">
        <v>1</v>
      </c>
      <c r="K2116" t="s">
        <v>1128</v>
      </c>
      <c r="L2116" t="s">
        <v>1129</v>
      </c>
      <c r="M2116" t="s">
        <v>1130</v>
      </c>
      <c r="N2116">
        <v>23</v>
      </c>
      <c r="O2116" t="s">
        <v>40</v>
      </c>
      <c r="P2116" t="s">
        <v>40</v>
      </c>
      <c r="Q2116" t="s">
        <v>40</v>
      </c>
      <c r="S2116" t="s">
        <v>40</v>
      </c>
      <c r="V2116" t="s">
        <v>41</v>
      </c>
      <c r="W2116" t="s">
        <v>49</v>
      </c>
      <c r="X2116" t="str">
        <f>"3181010"</f>
        <v>3181010</v>
      </c>
      <c r="Y2116" t="s">
        <v>1134</v>
      </c>
      <c r="Z2116" t="s">
        <v>1128</v>
      </c>
      <c r="AA2116" t="s">
        <v>1129</v>
      </c>
      <c r="AB2116" t="s">
        <v>1130</v>
      </c>
      <c r="AC2116" t="s">
        <v>165</v>
      </c>
      <c r="AD2116" t="s">
        <v>45</v>
      </c>
      <c r="AE2116" s="1">
        <v>28616</v>
      </c>
      <c r="AF2116">
        <v>2</v>
      </c>
      <c r="AG2116" t="s">
        <v>1129</v>
      </c>
      <c r="AH2116" s="36">
        <f t="shared" si="33"/>
        <v>41.225000000000001</v>
      </c>
      <c r="AI2116" s="41" t="s">
        <v>1779</v>
      </c>
    </row>
    <row r="2117" spans="1:35" x14ac:dyDescent="0.25">
      <c r="A2117" s="36">
        <v>99912115</v>
      </c>
      <c r="B2117" s="17" t="s">
        <v>32</v>
      </c>
      <c r="C2117" t="s">
        <v>71</v>
      </c>
      <c r="D2117" t="s">
        <v>72</v>
      </c>
      <c r="G2117" s="17" t="s">
        <v>35</v>
      </c>
      <c r="H2117" s="17">
        <v>1</v>
      </c>
      <c r="K2117" t="s">
        <v>223</v>
      </c>
      <c r="L2117" t="s">
        <v>224</v>
      </c>
      <c r="M2117" t="s">
        <v>131</v>
      </c>
      <c r="N2117">
        <v>8</v>
      </c>
      <c r="O2117" t="s">
        <v>40</v>
      </c>
      <c r="P2117" t="s">
        <v>40</v>
      </c>
      <c r="Q2117" t="s">
        <v>40</v>
      </c>
      <c r="R2117" t="s">
        <v>40</v>
      </c>
      <c r="S2117" t="s">
        <v>40</v>
      </c>
      <c r="V2117" t="s">
        <v>41</v>
      </c>
      <c r="W2117" t="s">
        <v>49</v>
      </c>
      <c r="X2117" t="str">
        <f>"0591901"</f>
        <v>0591901</v>
      </c>
      <c r="Y2117" t="s">
        <v>230</v>
      </c>
      <c r="Z2117" t="s">
        <v>223</v>
      </c>
      <c r="AA2117" t="s">
        <v>224</v>
      </c>
      <c r="AB2117" t="s">
        <v>131</v>
      </c>
      <c r="AC2117" t="s">
        <v>51</v>
      </c>
      <c r="AD2117" t="s">
        <v>45</v>
      </c>
      <c r="AE2117" s="1">
        <v>28609</v>
      </c>
      <c r="AF2117">
        <v>2</v>
      </c>
      <c r="AG2117" t="s">
        <v>224</v>
      </c>
      <c r="AH2117" s="36">
        <f t="shared" si="33"/>
        <v>41.244444444444447</v>
      </c>
      <c r="AI2117" s="41" t="s">
        <v>1779</v>
      </c>
    </row>
    <row r="2118" spans="1:35" x14ac:dyDescent="0.25">
      <c r="A2118" s="36">
        <v>99912116</v>
      </c>
      <c r="B2118" s="17" t="s">
        <v>32</v>
      </c>
      <c r="C2118" t="s">
        <v>90</v>
      </c>
      <c r="D2118" t="s">
        <v>91</v>
      </c>
      <c r="G2118" s="17" t="s">
        <v>35</v>
      </c>
      <c r="H2118" s="17">
        <v>1</v>
      </c>
      <c r="I2118">
        <v>20411</v>
      </c>
      <c r="J2118" s="1">
        <v>43344</v>
      </c>
      <c r="K2118" t="s">
        <v>354</v>
      </c>
      <c r="L2118" t="s">
        <v>355</v>
      </c>
      <c r="M2118" t="s">
        <v>131</v>
      </c>
      <c r="N2118">
        <v>24</v>
      </c>
      <c r="O2118" t="s">
        <v>40</v>
      </c>
      <c r="S2118" t="s">
        <v>40</v>
      </c>
      <c r="U2118" s="1">
        <v>43344</v>
      </c>
      <c r="V2118" t="s">
        <v>41</v>
      </c>
      <c r="W2118" t="s">
        <v>75</v>
      </c>
      <c r="X2118" t="str">
        <f>"7054016"</f>
        <v>7054016</v>
      </c>
      <c r="Y2118" t="s">
        <v>768</v>
      </c>
      <c r="Z2118" t="s">
        <v>354</v>
      </c>
      <c r="AA2118" t="s">
        <v>355</v>
      </c>
      <c r="AB2118" t="s">
        <v>131</v>
      </c>
      <c r="AC2118" t="s">
        <v>51</v>
      </c>
      <c r="AD2118" t="s">
        <v>45</v>
      </c>
      <c r="AE2118" s="1">
        <v>28609</v>
      </c>
      <c r="AF2118">
        <v>1</v>
      </c>
      <c r="AG2118" t="s">
        <v>355</v>
      </c>
      <c r="AH2118" s="36">
        <f t="shared" si="33"/>
        <v>41.244444444444447</v>
      </c>
      <c r="AI2118" s="41" t="s">
        <v>1779</v>
      </c>
    </row>
    <row r="2119" spans="1:35" x14ac:dyDescent="0.25">
      <c r="A2119" s="36">
        <v>99912117</v>
      </c>
      <c r="B2119" s="17" t="s">
        <v>32</v>
      </c>
      <c r="C2119" t="s">
        <v>143</v>
      </c>
      <c r="D2119" t="s">
        <v>144</v>
      </c>
      <c r="G2119" s="17" t="s">
        <v>48</v>
      </c>
      <c r="H2119" s="17">
        <v>1</v>
      </c>
      <c r="K2119" t="s">
        <v>223</v>
      </c>
      <c r="L2119" t="s">
        <v>224</v>
      </c>
      <c r="M2119" t="s">
        <v>131</v>
      </c>
      <c r="N2119">
        <v>15</v>
      </c>
      <c r="O2119" t="s">
        <v>40</v>
      </c>
      <c r="P2119" t="s">
        <v>40</v>
      </c>
      <c r="Q2119" t="s">
        <v>40</v>
      </c>
      <c r="R2119" t="s">
        <v>40</v>
      </c>
      <c r="S2119" t="s">
        <v>40</v>
      </c>
      <c r="V2119" t="s">
        <v>41</v>
      </c>
      <c r="W2119" t="s">
        <v>49</v>
      </c>
      <c r="X2119" t="str">
        <f>"0591910"</f>
        <v>0591910</v>
      </c>
      <c r="Y2119" t="s">
        <v>228</v>
      </c>
      <c r="Z2119" t="s">
        <v>223</v>
      </c>
      <c r="AA2119" t="s">
        <v>224</v>
      </c>
      <c r="AB2119" t="s">
        <v>131</v>
      </c>
      <c r="AC2119" t="s">
        <v>51</v>
      </c>
      <c r="AD2119" t="s">
        <v>45</v>
      </c>
      <c r="AE2119" s="1">
        <v>28605</v>
      </c>
      <c r="AF2119">
        <v>2</v>
      </c>
      <c r="AG2119" t="s">
        <v>224</v>
      </c>
      <c r="AH2119" s="36">
        <f t="shared" si="33"/>
        <v>41.255555555555553</v>
      </c>
      <c r="AI2119" s="41" t="s">
        <v>1779</v>
      </c>
    </row>
    <row r="2120" spans="1:35" x14ac:dyDescent="0.25">
      <c r="A2120" s="36">
        <v>99912118</v>
      </c>
      <c r="B2120" s="17" t="s">
        <v>32</v>
      </c>
      <c r="C2120" t="s">
        <v>139</v>
      </c>
      <c r="D2120" t="s">
        <v>140</v>
      </c>
      <c r="G2120" s="17" t="s">
        <v>48</v>
      </c>
      <c r="H2120" s="17">
        <v>4</v>
      </c>
      <c r="K2120" t="s">
        <v>1221</v>
      </c>
      <c r="L2120" t="s">
        <v>1222</v>
      </c>
      <c r="M2120" t="s">
        <v>1130</v>
      </c>
      <c r="N2120">
        <v>8</v>
      </c>
      <c r="O2120" t="s">
        <v>40</v>
      </c>
      <c r="P2120" t="s">
        <v>40</v>
      </c>
      <c r="Q2120" t="s">
        <v>40</v>
      </c>
      <c r="R2120" t="s">
        <v>40</v>
      </c>
      <c r="S2120" t="s">
        <v>40</v>
      </c>
      <c r="V2120" t="s">
        <v>41</v>
      </c>
      <c r="W2120" t="s">
        <v>75</v>
      </c>
      <c r="X2120" t="str">
        <f>"7351000"</f>
        <v>7351000</v>
      </c>
      <c r="Y2120" t="s">
        <v>1223</v>
      </c>
      <c r="Z2120" t="s">
        <v>1221</v>
      </c>
      <c r="AA2120" t="s">
        <v>1222</v>
      </c>
      <c r="AB2120" t="s">
        <v>1130</v>
      </c>
      <c r="AC2120" t="s">
        <v>51</v>
      </c>
      <c r="AD2120" t="s">
        <v>45</v>
      </c>
      <c r="AE2120" s="1">
        <v>28605</v>
      </c>
      <c r="AF2120">
        <v>1</v>
      </c>
      <c r="AG2120" t="s">
        <v>1222</v>
      </c>
      <c r="AH2120" s="36">
        <f t="shared" si="33"/>
        <v>41.255555555555553</v>
      </c>
      <c r="AI2120" s="41" t="s">
        <v>1779</v>
      </c>
    </row>
    <row r="2121" spans="1:35" x14ac:dyDescent="0.25">
      <c r="A2121" s="36">
        <v>99912119</v>
      </c>
      <c r="B2121" s="17" t="s">
        <v>56</v>
      </c>
      <c r="C2121" t="s">
        <v>85</v>
      </c>
      <c r="D2121" t="s">
        <v>86</v>
      </c>
      <c r="G2121" s="17" t="s">
        <v>48</v>
      </c>
      <c r="H2121" s="17">
        <v>1</v>
      </c>
      <c r="K2121" t="s">
        <v>1128</v>
      </c>
      <c r="L2121" t="s">
        <v>1129</v>
      </c>
      <c r="M2121" t="s">
        <v>1130</v>
      </c>
      <c r="N2121">
        <v>21</v>
      </c>
      <c r="O2121" t="s">
        <v>40</v>
      </c>
      <c r="P2121" t="s">
        <v>40</v>
      </c>
      <c r="Q2121" t="s">
        <v>40</v>
      </c>
      <c r="R2121" t="s">
        <v>40</v>
      </c>
      <c r="S2121" t="s">
        <v>40</v>
      </c>
      <c r="V2121" t="s">
        <v>41</v>
      </c>
      <c r="W2121" t="s">
        <v>49</v>
      </c>
      <c r="X2121" t="str">
        <f>"3181015"</f>
        <v>3181015</v>
      </c>
      <c r="Y2121" t="s">
        <v>1131</v>
      </c>
      <c r="Z2121" t="s">
        <v>1128</v>
      </c>
      <c r="AA2121" t="s">
        <v>1129</v>
      </c>
      <c r="AB2121" t="s">
        <v>1130</v>
      </c>
      <c r="AC2121" t="s">
        <v>51</v>
      </c>
      <c r="AD2121" t="s">
        <v>45</v>
      </c>
      <c r="AE2121" s="1">
        <v>28601</v>
      </c>
      <c r="AF2121">
        <v>2</v>
      </c>
      <c r="AG2121" t="s">
        <v>1129</v>
      </c>
      <c r="AH2121" s="36">
        <f t="shared" si="33"/>
        <v>41.266666666666666</v>
      </c>
      <c r="AI2121" s="41" t="s">
        <v>1779</v>
      </c>
    </row>
    <row r="2122" spans="1:35" x14ac:dyDescent="0.25">
      <c r="A2122" s="36">
        <v>99912120</v>
      </c>
      <c r="B2122" s="17" t="s">
        <v>56</v>
      </c>
      <c r="C2122" t="s">
        <v>46</v>
      </c>
      <c r="D2122" t="s">
        <v>47</v>
      </c>
      <c r="G2122" s="17" t="s">
        <v>48</v>
      </c>
      <c r="H2122" s="17">
        <v>1</v>
      </c>
      <c r="K2122" t="s">
        <v>345</v>
      </c>
      <c r="L2122" t="s">
        <v>346</v>
      </c>
      <c r="M2122" t="s">
        <v>131</v>
      </c>
      <c r="N2122">
        <v>21</v>
      </c>
      <c r="O2122" t="s">
        <v>40</v>
      </c>
      <c r="P2122" t="s">
        <v>40</v>
      </c>
      <c r="Q2122" t="s">
        <v>40</v>
      </c>
      <c r="R2122" t="s">
        <v>40</v>
      </c>
      <c r="S2122" t="s">
        <v>40</v>
      </c>
      <c r="V2122" t="s">
        <v>41</v>
      </c>
      <c r="W2122" t="s">
        <v>49</v>
      </c>
      <c r="X2122" t="str">
        <f>"0561021"</f>
        <v>0561021</v>
      </c>
      <c r="Y2122" t="s">
        <v>352</v>
      </c>
      <c r="Z2122" t="s">
        <v>345</v>
      </c>
      <c r="AA2122" t="s">
        <v>346</v>
      </c>
      <c r="AB2122" t="s">
        <v>131</v>
      </c>
      <c r="AC2122" t="s">
        <v>51</v>
      </c>
      <c r="AD2122" t="s">
        <v>45</v>
      </c>
      <c r="AE2122" s="1">
        <v>28600</v>
      </c>
      <c r="AF2122">
        <v>2</v>
      </c>
      <c r="AG2122" t="s">
        <v>346</v>
      </c>
      <c r="AH2122" s="36">
        <f t="shared" si="33"/>
        <v>41.269444444444446</v>
      </c>
      <c r="AI2122" s="41" t="s">
        <v>1779</v>
      </c>
    </row>
    <row r="2123" spans="1:35" x14ac:dyDescent="0.25">
      <c r="A2123" s="36">
        <v>99912121</v>
      </c>
      <c r="B2123" s="17" t="s">
        <v>32</v>
      </c>
      <c r="C2123" t="s">
        <v>111</v>
      </c>
      <c r="D2123" t="s">
        <v>112</v>
      </c>
      <c r="G2123" s="17" t="s">
        <v>48</v>
      </c>
      <c r="H2123" s="17">
        <v>1</v>
      </c>
      <c r="K2123" t="s">
        <v>354</v>
      </c>
      <c r="L2123" t="s">
        <v>355</v>
      </c>
      <c r="M2123" t="s">
        <v>131</v>
      </c>
      <c r="N2123">
        <v>23</v>
      </c>
      <c r="O2123" t="s">
        <v>40</v>
      </c>
      <c r="P2123" t="s">
        <v>40</v>
      </c>
      <c r="Q2123" t="s">
        <v>40</v>
      </c>
      <c r="S2123" t="s">
        <v>40</v>
      </c>
      <c r="V2123" t="s">
        <v>41</v>
      </c>
      <c r="W2123" t="s">
        <v>75</v>
      </c>
      <c r="X2123" t="str">
        <f>"7054022"</f>
        <v>7054022</v>
      </c>
      <c r="Y2123" t="s">
        <v>770</v>
      </c>
      <c r="Z2123" t="s">
        <v>354</v>
      </c>
      <c r="AA2123" t="s">
        <v>355</v>
      </c>
      <c r="AB2123" t="s">
        <v>131</v>
      </c>
      <c r="AC2123" t="s">
        <v>51</v>
      </c>
      <c r="AD2123" t="s">
        <v>45</v>
      </c>
      <c r="AE2123" s="1">
        <v>28595</v>
      </c>
      <c r="AF2123">
        <v>1</v>
      </c>
      <c r="AG2123" t="s">
        <v>355</v>
      </c>
      <c r="AH2123" s="36">
        <f t="shared" si="33"/>
        <v>41.283333333333331</v>
      </c>
      <c r="AI2123" s="41" t="s">
        <v>1779</v>
      </c>
    </row>
    <row r="2124" spans="1:35" x14ac:dyDescent="0.25">
      <c r="A2124" s="36">
        <v>99912122</v>
      </c>
      <c r="B2124" s="17" t="s">
        <v>32</v>
      </c>
      <c r="C2124" t="s">
        <v>79</v>
      </c>
      <c r="D2124" t="s">
        <v>80</v>
      </c>
      <c r="G2124" s="17" t="s">
        <v>48</v>
      </c>
      <c r="H2124" s="17">
        <v>1</v>
      </c>
      <c r="K2124" t="s">
        <v>1268</v>
      </c>
      <c r="L2124" t="s">
        <v>1269</v>
      </c>
      <c r="M2124" t="s">
        <v>1270</v>
      </c>
      <c r="N2124">
        <v>21</v>
      </c>
      <c r="O2124" t="s">
        <v>40</v>
      </c>
      <c r="P2124" t="s">
        <v>40</v>
      </c>
      <c r="Q2124" t="s">
        <v>40</v>
      </c>
      <c r="S2124" t="s">
        <v>40</v>
      </c>
      <c r="V2124" t="s">
        <v>41</v>
      </c>
      <c r="W2124" t="s">
        <v>49</v>
      </c>
      <c r="X2124" t="str">
        <f>"1981914"</f>
        <v>1981914</v>
      </c>
      <c r="Y2124" t="s">
        <v>1287</v>
      </c>
      <c r="Z2124" t="s">
        <v>1268</v>
      </c>
      <c r="AA2124" t="s">
        <v>1269</v>
      </c>
      <c r="AB2124" t="s">
        <v>1270</v>
      </c>
      <c r="AC2124" t="s">
        <v>51</v>
      </c>
      <c r="AD2124" t="s">
        <v>45</v>
      </c>
      <c r="AE2124" s="1">
        <v>28590</v>
      </c>
      <c r="AF2124">
        <v>2</v>
      </c>
      <c r="AG2124" t="s">
        <v>1269</v>
      </c>
      <c r="AH2124" s="36">
        <f t="shared" si="33"/>
        <v>41.297222222222224</v>
      </c>
      <c r="AI2124" s="41" t="s">
        <v>1779</v>
      </c>
    </row>
    <row r="2125" spans="1:35" x14ac:dyDescent="0.25">
      <c r="A2125" s="36">
        <v>99912123</v>
      </c>
      <c r="B2125" s="17" t="s">
        <v>32</v>
      </c>
      <c r="C2125" t="s">
        <v>141</v>
      </c>
      <c r="D2125" t="s">
        <v>142</v>
      </c>
      <c r="G2125" s="17" t="s">
        <v>48</v>
      </c>
      <c r="H2125" s="17">
        <v>1</v>
      </c>
      <c r="K2125" t="s">
        <v>268</v>
      </c>
      <c r="L2125" t="s">
        <v>269</v>
      </c>
      <c r="M2125" t="s">
        <v>131</v>
      </c>
      <c r="N2125">
        <v>9</v>
      </c>
      <c r="O2125" t="s">
        <v>40</v>
      </c>
      <c r="P2125" t="s">
        <v>40</v>
      </c>
      <c r="Q2125" t="s">
        <v>40</v>
      </c>
      <c r="S2125" t="s">
        <v>40</v>
      </c>
      <c r="V2125" t="s">
        <v>41</v>
      </c>
      <c r="W2125" t="s">
        <v>75</v>
      </c>
      <c r="X2125" t="str">
        <f>"7052016"</f>
        <v>7052016</v>
      </c>
      <c r="Y2125" t="s">
        <v>588</v>
      </c>
      <c r="Z2125" t="s">
        <v>268</v>
      </c>
      <c r="AA2125" t="s">
        <v>269</v>
      </c>
      <c r="AB2125" t="s">
        <v>131</v>
      </c>
      <c r="AC2125" t="s">
        <v>51</v>
      </c>
      <c r="AD2125" t="s">
        <v>45</v>
      </c>
      <c r="AE2125" s="1">
        <v>28587</v>
      </c>
      <c r="AF2125">
        <v>1</v>
      </c>
      <c r="AG2125" t="s">
        <v>269</v>
      </c>
      <c r="AH2125" s="36">
        <f t="shared" si="33"/>
        <v>41.305555555555557</v>
      </c>
      <c r="AI2125" s="41" t="s">
        <v>1779</v>
      </c>
    </row>
    <row r="2126" spans="1:35" x14ac:dyDescent="0.25">
      <c r="A2126" s="36">
        <v>99912124</v>
      </c>
      <c r="B2126" s="17" t="s">
        <v>56</v>
      </c>
      <c r="C2126" t="s">
        <v>79</v>
      </c>
      <c r="D2126" t="s">
        <v>80</v>
      </c>
      <c r="G2126" s="17" t="s">
        <v>48</v>
      </c>
      <c r="H2126" s="17">
        <v>1</v>
      </c>
      <c r="K2126" t="s">
        <v>223</v>
      </c>
      <c r="L2126" t="s">
        <v>224</v>
      </c>
      <c r="M2126" t="s">
        <v>131</v>
      </c>
      <c r="N2126">
        <v>19</v>
      </c>
      <c r="O2126" t="s">
        <v>40</v>
      </c>
      <c r="P2126" t="s">
        <v>40</v>
      </c>
      <c r="Q2126" t="s">
        <v>40</v>
      </c>
      <c r="R2126" t="s">
        <v>40</v>
      </c>
      <c r="S2126" t="s">
        <v>40</v>
      </c>
      <c r="V2126" t="s">
        <v>41</v>
      </c>
      <c r="W2126" t="s">
        <v>42</v>
      </c>
      <c r="X2126" t="str">
        <f>"0580200"</f>
        <v>0580200</v>
      </c>
      <c r="Y2126" t="s">
        <v>245</v>
      </c>
      <c r="Z2126" t="s">
        <v>223</v>
      </c>
      <c r="AA2126" t="s">
        <v>224</v>
      </c>
      <c r="AB2126" t="s">
        <v>131</v>
      </c>
      <c r="AC2126" t="s">
        <v>51</v>
      </c>
      <c r="AD2126" t="s">
        <v>45</v>
      </c>
      <c r="AE2126" s="1">
        <v>28586</v>
      </c>
      <c r="AF2126">
        <v>2</v>
      </c>
      <c r="AG2126" t="s">
        <v>224</v>
      </c>
      <c r="AH2126" s="36">
        <f t="shared" si="33"/>
        <v>41.30833333333333</v>
      </c>
      <c r="AI2126" s="41" t="s">
        <v>1779</v>
      </c>
    </row>
    <row r="2127" spans="1:35" x14ac:dyDescent="0.25">
      <c r="A2127" s="36">
        <v>99912125</v>
      </c>
      <c r="B2127" s="17" t="s">
        <v>32</v>
      </c>
      <c r="C2127" t="s">
        <v>61</v>
      </c>
      <c r="D2127" t="s">
        <v>62</v>
      </c>
      <c r="G2127" s="17" t="s">
        <v>35</v>
      </c>
      <c r="H2127" s="17">
        <v>1</v>
      </c>
      <c r="I2127">
        <v>0</v>
      </c>
      <c r="J2127" s="1">
        <v>43344</v>
      </c>
      <c r="K2127" t="s">
        <v>223</v>
      </c>
      <c r="L2127" t="s">
        <v>224</v>
      </c>
      <c r="M2127" t="s">
        <v>131</v>
      </c>
      <c r="N2127">
        <v>23</v>
      </c>
      <c r="O2127" t="s">
        <v>40</v>
      </c>
      <c r="S2127" t="s">
        <v>40</v>
      </c>
      <c r="U2127" s="1">
        <v>43344</v>
      </c>
      <c r="V2127" t="s">
        <v>41</v>
      </c>
      <c r="W2127" t="s">
        <v>49</v>
      </c>
      <c r="X2127" t="str">
        <f>"0561022"</f>
        <v>0561022</v>
      </c>
      <c r="Y2127" t="s">
        <v>225</v>
      </c>
      <c r="Z2127" t="s">
        <v>223</v>
      </c>
      <c r="AA2127" t="s">
        <v>224</v>
      </c>
      <c r="AB2127" t="s">
        <v>131</v>
      </c>
      <c r="AC2127" t="s">
        <v>44</v>
      </c>
      <c r="AD2127" t="s">
        <v>45</v>
      </c>
      <c r="AE2127" s="1">
        <v>28585</v>
      </c>
      <c r="AF2127">
        <v>2</v>
      </c>
      <c r="AG2127" t="s">
        <v>224</v>
      </c>
      <c r="AH2127" s="36">
        <f t="shared" si="33"/>
        <v>41.31111111111111</v>
      </c>
      <c r="AI2127" s="41" t="s">
        <v>1779</v>
      </c>
    </row>
    <row r="2128" spans="1:35" x14ac:dyDescent="0.25">
      <c r="A2128" s="36">
        <v>99912126</v>
      </c>
      <c r="B2128" s="17" t="s">
        <v>32</v>
      </c>
      <c r="C2128" t="s">
        <v>58</v>
      </c>
      <c r="D2128" t="s">
        <v>59</v>
      </c>
      <c r="G2128" s="17" t="s">
        <v>35</v>
      </c>
      <c r="H2128" s="17">
        <v>1</v>
      </c>
      <c r="I2128">
        <v>0</v>
      </c>
      <c r="J2128" s="1">
        <v>43344</v>
      </c>
      <c r="K2128" t="s">
        <v>223</v>
      </c>
      <c r="L2128" t="s">
        <v>224</v>
      </c>
      <c r="M2128" t="s">
        <v>131</v>
      </c>
      <c r="N2128">
        <v>21</v>
      </c>
      <c r="O2128" t="s">
        <v>40</v>
      </c>
      <c r="S2128" t="s">
        <v>40</v>
      </c>
      <c r="U2128" s="1">
        <v>43344</v>
      </c>
      <c r="V2128" t="s">
        <v>41</v>
      </c>
      <c r="W2128" t="s">
        <v>42</v>
      </c>
      <c r="X2128" t="str">
        <f>"0580206"</f>
        <v>0580206</v>
      </c>
      <c r="Y2128" t="s">
        <v>237</v>
      </c>
      <c r="Z2128" t="s">
        <v>223</v>
      </c>
      <c r="AA2128" t="s">
        <v>224</v>
      </c>
      <c r="AB2128" t="s">
        <v>131</v>
      </c>
      <c r="AC2128" t="s">
        <v>51</v>
      </c>
      <c r="AD2128" t="s">
        <v>45</v>
      </c>
      <c r="AE2128" s="1">
        <v>28583</v>
      </c>
      <c r="AF2128">
        <v>2</v>
      </c>
      <c r="AG2128" t="s">
        <v>224</v>
      </c>
      <c r="AH2128" s="36">
        <f t="shared" si="33"/>
        <v>41.31666666666667</v>
      </c>
      <c r="AI2128" s="41" t="s">
        <v>1779</v>
      </c>
    </row>
    <row r="2129" spans="1:35" x14ac:dyDescent="0.25">
      <c r="A2129" s="36">
        <v>99912127</v>
      </c>
      <c r="B2129" s="17" t="s">
        <v>56</v>
      </c>
      <c r="C2129" t="s">
        <v>61</v>
      </c>
      <c r="D2129" t="s">
        <v>62</v>
      </c>
      <c r="G2129" s="17" t="s">
        <v>35</v>
      </c>
      <c r="H2129" s="17">
        <v>1</v>
      </c>
      <c r="K2129" t="s">
        <v>223</v>
      </c>
      <c r="L2129" t="s">
        <v>224</v>
      </c>
      <c r="M2129" t="s">
        <v>131</v>
      </c>
      <c r="N2129">
        <v>22</v>
      </c>
      <c r="O2129" t="s">
        <v>40</v>
      </c>
      <c r="P2129" t="s">
        <v>40</v>
      </c>
      <c r="Q2129" t="s">
        <v>40</v>
      </c>
      <c r="R2129" t="s">
        <v>40</v>
      </c>
      <c r="S2129" t="s">
        <v>40</v>
      </c>
      <c r="V2129" t="s">
        <v>41</v>
      </c>
      <c r="W2129" t="s">
        <v>49</v>
      </c>
      <c r="X2129" t="str">
        <f>"0591901"</f>
        <v>0591901</v>
      </c>
      <c r="Y2129" t="s">
        <v>230</v>
      </c>
      <c r="Z2129" t="s">
        <v>223</v>
      </c>
      <c r="AA2129" t="s">
        <v>224</v>
      </c>
      <c r="AB2129" t="s">
        <v>131</v>
      </c>
      <c r="AC2129" t="s">
        <v>51</v>
      </c>
      <c r="AD2129" t="s">
        <v>45</v>
      </c>
      <c r="AE2129" s="1">
        <v>28582</v>
      </c>
      <c r="AF2129">
        <v>2</v>
      </c>
      <c r="AG2129" t="s">
        <v>224</v>
      </c>
      <c r="AH2129" s="36">
        <f t="shared" si="33"/>
        <v>41.319444444444443</v>
      </c>
      <c r="AI2129" s="41" t="s">
        <v>1779</v>
      </c>
    </row>
    <row r="2130" spans="1:35" x14ac:dyDescent="0.25">
      <c r="A2130" s="36">
        <v>99912128</v>
      </c>
      <c r="B2130" s="17" t="s">
        <v>32</v>
      </c>
      <c r="C2130" t="s">
        <v>111</v>
      </c>
      <c r="D2130" t="s">
        <v>112</v>
      </c>
      <c r="G2130" s="17" t="s">
        <v>35</v>
      </c>
      <c r="H2130" s="17">
        <v>1</v>
      </c>
      <c r="K2130" t="s">
        <v>1502</v>
      </c>
      <c r="L2130" t="s">
        <v>1503</v>
      </c>
      <c r="M2130" t="s">
        <v>670</v>
      </c>
      <c r="N2130">
        <v>22</v>
      </c>
      <c r="O2130" t="s">
        <v>40</v>
      </c>
      <c r="P2130" t="s">
        <v>40</v>
      </c>
      <c r="Q2130" t="s">
        <v>40</v>
      </c>
      <c r="R2130" t="s">
        <v>40</v>
      </c>
      <c r="S2130" t="s">
        <v>40</v>
      </c>
      <c r="V2130" t="s">
        <v>41</v>
      </c>
      <c r="W2130" t="s">
        <v>75</v>
      </c>
      <c r="X2130" t="str">
        <f>"7171000"</f>
        <v>7171000</v>
      </c>
      <c r="Y2130" t="s">
        <v>1506</v>
      </c>
      <c r="Z2130" t="s">
        <v>1502</v>
      </c>
      <c r="AA2130" t="s">
        <v>1503</v>
      </c>
      <c r="AB2130" t="s">
        <v>670</v>
      </c>
      <c r="AC2130" t="s">
        <v>51</v>
      </c>
      <c r="AD2130" t="s">
        <v>45</v>
      </c>
      <c r="AE2130" s="1">
        <v>28572</v>
      </c>
      <c r="AF2130">
        <v>1</v>
      </c>
      <c r="AG2130" t="s">
        <v>1503</v>
      </c>
      <c r="AH2130" s="36">
        <f t="shared" si="33"/>
        <v>41.347222222222221</v>
      </c>
      <c r="AI2130" s="41" t="s">
        <v>1779</v>
      </c>
    </row>
    <row r="2131" spans="1:35" x14ac:dyDescent="0.25">
      <c r="A2131" s="36">
        <v>99912129</v>
      </c>
      <c r="B2131" s="17" t="s">
        <v>32</v>
      </c>
      <c r="C2131" t="s">
        <v>79</v>
      </c>
      <c r="D2131" t="s">
        <v>80</v>
      </c>
      <c r="G2131" s="17" t="s">
        <v>35</v>
      </c>
      <c r="H2131" s="17">
        <v>1</v>
      </c>
      <c r="I2131" t="s">
        <v>958</v>
      </c>
      <c r="J2131" s="1">
        <v>43371</v>
      </c>
      <c r="K2131" t="s">
        <v>947</v>
      </c>
      <c r="L2131" t="s">
        <v>948</v>
      </c>
      <c r="M2131" t="s">
        <v>938</v>
      </c>
      <c r="N2131">
        <v>11</v>
      </c>
      <c r="O2131" t="s">
        <v>40</v>
      </c>
      <c r="P2131" t="s">
        <v>40</v>
      </c>
      <c r="Q2131" t="s">
        <v>40</v>
      </c>
      <c r="R2131" t="s">
        <v>40</v>
      </c>
      <c r="S2131" t="s">
        <v>40</v>
      </c>
      <c r="U2131" s="1">
        <v>43371</v>
      </c>
      <c r="V2131" t="s">
        <v>41</v>
      </c>
      <c r="W2131" t="s">
        <v>49</v>
      </c>
      <c r="X2131" t="str">
        <f>"0645053"</f>
        <v>0645053</v>
      </c>
      <c r="Y2131" t="s">
        <v>957</v>
      </c>
      <c r="Z2131" t="s">
        <v>947</v>
      </c>
      <c r="AA2131" t="s">
        <v>948</v>
      </c>
      <c r="AB2131" t="s">
        <v>938</v>
      </c>
      <c r="AC2131" t="s">
        <v>51</v>
      </c>
      <c r="AD2131" t="s">
        <v>45</v>
      </c>
      <c r="AE2131" s="1">
        <v>28570</v>
      </c>
      <c r="AF2131">
        <v>2</v>
      </c>
      <c r="AG2131" t="s">
        <v>948</v>
      </c>
      <c r="AH2131" s="36">
        <f t="shared" si="33"/>
        <v>41.352777777777774</v>
      </c>
      <c r="AI2131" s="41" t="s">
        <v>1779</v>
      </c>
    </row>
    <row r="2132" spans="1:35" x14ac:dyDescent="0.25">
      <c r="A2132" s="36">
        <v>99912130</v>
      </c>
      <c r="B2132" s="17" t="s">
        <v>56</v>
      </c>
      <c r="C2132" t="s">
        <v>145</v>
      </c>
      <c r="D2132" t="s">
        <v>146</v>
      </c>
      <c r="G2132" s="17" t="s">
        <v>35</v>
      </c>
      <c r="H2132" s="17">
        <v>1</v>
      </c>
      <c r="I2132" t="s">
        <v>271</v>
      </c>
      <c r="J2132" s="1">
        <v>43344</v>
      </c>
      <c r="K2132" t="s">
        <v>223</v>
      </c>
      <c r="L2132" t="s">
        <v>224</v>
      </c>
      <c r="M2132" t="s">
        <v>131</v>
      </c>
      <c r="N2132">
        <v>21</v>
      </c>
      <c r="O2132" t="s">
        <v>40</v>
      </c>
      <c r="P2132" t="s">
        <v>40</v>
      </c>
      <c r="Q2132" t="s">
        <v>40</v>
      </c>
      <c r="R2132" t="s">
        <v>40</v>
      </c>
      <c r="S2132" t="s">
        <v>40</v>
      </c>
      <c r="U2132" s="1">
        <v>43344</v>
      </c>
      <c r="V2132" t="s">
        <v>41</v>
      </c>
      <c r="W2132" t="s">
        <v>49</v>
      </c>
      <c r="X2132" t="str">
        <f>"0581207"</f>
        <v>0581207</v>
      </c>
      <c r="Y2132" t="s">
        <v>233</v>
      </c>
      <c r="Z2132" t="s">
        <v>223</v>
      </c>
      <c r="AA2132" t="s">
        <v>224</v>
      </c>
      <c r="AB2132" t="s">
        <v>131</v>
      </c>
      <c r="AC2132" t="s">
        <v>44</v>
      </c>
      <c r="AD2132" t="s">
        <v>45</v>
      </c>
      <c r="AE2132" s="1">
        <v>28569</v>
      </c>
      <c r="AF2132">
        <v>2</v>
      </c>
      <c r="AG2132" t="s">
        <v>224</v>
      </c>
      <c r="AH2132" s="36">
        <f t="shared" si="33"/>
        <v>41.355555555555554</v>
      </c>
      <c r="AI2132" s="41" t="s">
        <v>1779</v>
      </c>
    </row>
    <row r="2133" spans="1:35" x14ac:dyDescent="0.25">
      <c r="A2133" s="36">
        <v>99912131</v>
      </c>
      <c r="B2133" s="17" t="s">
        <v>56</v>
      </c>
      <c r="C2133" t="s">
        <v>111</v>
      </c>
      <c r="D2133" t="s">
        <v>112</v>
      </c>
      <c r="G2133" s="17" t="s">
        <v>48</v>
      </c>
      <c r="H2133" s="17">
        <v>7</v>
      </c>
      <c r="I2133" t="s">
        <v>484</v>
      </c>
      <c r="J2133" s="1">
        <v>42614</v>
      </c>
      <c r="K2133" t="s">
        <v>195</v>
      </c>
      <c r="L2133" t="s">
        <v>196</v>
      </c>
      <c r="M2133" t="s">
        <v>131</v>
      </c>
      <c r="N2133">
        <v>23</v>
      </c>
      <c r="O2133" t="s">
        <v>40</v>
      </c>
      <c r="P2133" t="s">
        <v>40</v>
      </c>
      <c r="Q2133" t="s">
        <v>40</v>
      </c>
      <c r="R2133" t="s">
        <v>40</v>
      </c>
      <c r="S2133" t="s">
        <v>40</v>
      </c>
      <c r="U2133" s="1">
        <v>42614</v>
      </c>
      <c r="V2133" t="s">
        <v>41</v>
      </c>
      <c r="W2133" t="s">
        <v>75</v>
      </c>
      <c r="X2133" t="str">
        <f>"7521050"</f>
        <v>7521050</v>
      </c>
      <c r="Y2133" t="s">
        <v>194</v>
      </c>
      <c r="Z2133" t="s">
        <v>195</v>
      </c>
      <c r="AA2133" t="s">
        <v>196</v>
      </c>
      <c r="AB2133" t="s">
        <v>131</v>
      </c>
      <c r="AC2133" t="s">
        <v>51</v>
      </c>
      <c r="AD2133" t="s">
        <v>45</v>
      </c>
      <c r="AE2133" s="1">
        <v>28567</v>
      </c>
      <c r="AF2133">
        <v>1</v>
      </c>
      <c r="AG2133" t="s">
        <v>196</v>
      </c>
      <c r="AH2133" s="36">
        <f t="shared" si="33"/>
        <v>41.361111111111114</v>
      </c>
      <c r="AI2133" s="41" t="s">
        <v>1779</v>
      </c>
    </row>
    <row r="2134" spans="1:35" x14ac:dyDescent="0.25">
      <c r="A2134" s="36">
        <v>99912132</v>
      </c>
      <c r="B2134" s="17" t="s">
        <v>32</v>
      </c>
      <c r="C2134" t="s">
        <v>46</v>
      </c>
      <c r="D2134" t="s">
        <v>47</v>
      </c>
      <c r="G2134" s="17" t="s">
        <v>35</v>
      </c>
      <c r="H2134" s="17">
        <v>1</v>
      </c>
      <c r="K2134" t="s">
        <v>223</v>
      </c>
      <c r="L2134" t="s">
        <v>224</v>
      </c>
      <c r="M2134" t="s">
        <v>131</v>
      </c>
      <c r="N2134">
        <v>22</v>
      </c>
      <c r="O2134" t="s">
        <v>40</v>
      </c>
      <c r="P2134" t="s">
        <v>40</v>
      </c>
      <c r="Q2134" t="s">
        <v>40</v>
      </c>
      <c r="R2134" t="s">
        <v>40</v>
      </c>
      <c r="S2134" t="s">
        <v>40</v>
      </c>
      <c r="V2134" t="s">
        <v>41</v>
      </c>
      <c r="W2134" t="s">
        <v>49</v>
      </c>
      <c r="X2134" t="str">
        <f>"0591901"</f>
        <v>0591901</v>
      </c>
      <c r="Y2134" t="s">
        <v>230</v>
      </c>
      <c r="Z2134" t="s">
        <v>223</v>
      </c>
      <c r="AA2134" t="s">
        <v>224</v>
      </c>
      <c r="AB2134" t="s">
        <v>131</v>
      </c>
      <c r="AC2134" t="s">
        <v>51</v>
      </c>
      <c r="AD2134" t="s">
        <v>45</v>
      </c>
      <c r="AE2134" s="1">
        <v>28566</v>
      </c>
      <c r="AF2134">
        <v>2</v>
      </c>
      <c r="AG2134" t="s">
        <v>224</v>
      </c>
      <c r="AH2134" s="36">
        <f t="shared" si="33"/>
        <v>41.363888888888887</v>
      </c>
      <c r="AI2134" s="41" t="s">
        <v>1779</v>
      </c>
    </row>
    <row r="2135" spans="1:35" x14ac:dyDescent="0.25">
      <c r="A2135" s="36">
        <v>99912133</v>
      </c>
      <c r="B2135" s="17" t="s">
        <v>32</v>
      </c>
      <c r="C2135" t="s">
        <v>58</v>
      </c>
      <c r="D2135" t="s">
        <v>59</v>
      </c>
      <c r="G2135" s="17" t="s">
        <v>48</v>
      </c>
      <c r="H2135" s="17">
        <v>1</v>
      </c>
      <c r="K2135" t="s">
        <v>223</v>
      </c>
      <c r="L2135" t="s">
        <v>224</v>
      </c>
      <c r="M2135" t="s">
        <v>131</v>
      </c>
      <c r="N2135">
        <v>20</v>
      </c>
      <c r="O2135" t="s">
        <v>40</v>
      </c>
      <c r="P2135" t="s">
        <v>40</v>
      </c>
      <c r="Q2135" t="s">
        <v>40</v>
      </c>
      <c r="R2135" t="s">
        <v>40</v>
      </c>
      <c r="S2135" t="s">
        <v>40</v>
      </c>
      <c r="V2135" t="s">
        <v>41</v>
      </c>
      <c r="W2135" t="s">
        <v>49</v>
      </c>
      <c r="X2135" t="str">
        <f>"0581200"</f>
        <v>0581200</v>
      </c>
      <c r="Y2135" t="s">
        <v>238</v>
      </c>
      <c r="Z2135" t="s">
        <v>223</v>
      </c>
      <c r="AA2135" t="s">
        <v>224</v>
      </c>
      <c r="AB2135" t="s">
        <v>131</v>
      </c>
      <c r="AC2135" t="s">
        <v>51</v>
      </c>
      <c r="AD2135" t="s">
        <v>45</v>
      </c>
      <c r="AE2135" s="1">
        <v>28562</v>
      </c>
      <c r="AF2135">
        <v>2</v>
      </c>
      <c r="AG2135" t="s">
        <v>224</v>
      </c>
      <c r="AH2135" s="36">
        <f t="shared" si="33"/>
        <v>41.375</v>
      </c>
      <c r="AI2135" s="41" t="s">
        <v>1779</v>
      </c>
    </row>
    <row r="2136" spans="1:35" x14ac:dyDescent="0.25">
      <c r="A2136" s="36">
        <v>99912134</v>
      </c>
      <c r="B2136" s="17" t="s">
        <v>32</v>
      </c>
      <c r="C2136" t="s">
        <v>141</v>
      </c>
      <c r="D2136" t="s">
        <v>142</v>
      </c>
      <c r="G2136" s="17" t="s">
        <v>48</v>
      </c>
      <c r="H2136" s="17">
        <v>1</v>
      </c>
      <c r="K2136" t="s">
        <v>1268</v>
      </c>
      <c r="L2136" t="s">
        <v>1269</v>
      </c>
      <c r="M2136" t="s">
        <v>1270</v>
      </c>
      <c r="N2136">
        <v>12</v>
      </c>
      <c r="O2136" t="s">
        <v>40</v>
      </c>
      <c r="P2136" t="s">
        <v>40</v>
      </c>
      <c r="Q2136" t="s">
        <v>40</v>
      </c>
      <c r="R2136" t="s">
        <v>40</v>
      </c>
      <c r="S2136" t="s">
        <v>40</v>
      </c>
      <c r="V2136" t="s">
        <v>41</v>
      </c>
      <c r="W2136" t="s">
        <v>49</v>
      </c>
      <c r="X2136" t="str">
        <f>"1981912"</f>
        <v>1981912</v>
      </c>
      <c r="Y2136" t="s">
        <v>1279</v>
      </c>
      <c r="Z2136" t="s">
        <v>1268</v>
      </c>
      <c r="AA2136" t="s">
        <v>1269</v>
      </c>
      <c r="AB2136" t="s">
        <v>1270</v>
      </c>
      <c r="AC2136" t="s">
        <v>51</v>
      </c>
      <c r="AD2136" t="s">
        <v>45</v>
      </c>
      <c r="AE2136" s="1">
        <v>28560</v>
      </c>
      <c r="AF2136">
        <v>2</v>
      </c>
      <c r="AG2136" t="s">
        <v>1269</v>
      </c>
      <c r="AH2136" s="36">
        <f t="shared" si="33"/>
        <v>41.380555555555553</v>
      </c>
      <c r="AI2136" s="41" t="s">
        <v>1779</v>
      </c>
    </row>
    <row r="2137" spans="1:35" x14ac:dyDescent="0.25">
      <c r="A2137" s="36">
        <v>99912135</v>
      </c>
      <c r="B2137" s="17" t="s">
        <v>32</v>
      </c>
      <c r="C2137" t="s">
        <v>111</v>
      </c>
      <c r="D2137" t="s">
        <v>112</v>
      </c>
      <c r="G2137" s="17" t="s">
        <v>48</v>
      </c>
      <c r="H2137" s="17">
        <v>1</v>
      </c>
      <c r="K2137" t="s">
        <v>268</v>
      </c>
      <c r="L2137" t="s">
        <v>269</v>
      </c>
      <c r="M2137" t="s">
        <v>131</v>
      </c>
      <c r="N2137">
        <v>24</v>
      </c>
      <c r="O2137" t="s">
        <v>40</v>
      </c>
      <c r="P2137" t="s">
        <v>40</v>
      </c>
      <c r="Q2137" t="s">
        <v>40</v>
      </c>
      <c r="S2137" t="s">
        <v>40</v>
      </c>
      <c r="V2137" t="s">
        <v>41</v>
      </c>
      <c r="W2137" t="s">
        <v>75</v>
      </c>
      <c r="X2137" t="str">
        <f>"7052008"</f>
        <v>7052008</v>
      </c>
      <c r="Y2137" t="s">
        <v>274</v>
      </c>
      <c r="Z2137" t="s">
        <v>268</v>
      </c>
      <c r="AA2137" t="s">
        <v>269</v>
      </c>
      <c r="AB2137" t="s">
        <v>131</v>
      </c>
      <c r="AC2137" t="s">
        <v>51</v>
      </c>
      <c r="AD2137" t="s">
        <v>45</v>
      </c>
      <c r="AE2137" s="1">
        <v>28559</v>
      </c>
      <c r="AF2137">
        <v>1</v>
      </c>
      <c r="AG2137" t="s">
        <v>269</v>
      </c>
      <c r="AH2137" s="36">
        <f t="shared" si="33"/>
        <v>41.383333333333333</v>
      </c>
      <c r="AI2137" s="41" t="s">
        <v>1779</v>
      </c>
    </row>
    <row r="2138" spans="1:35" x14ac:dyDescent="0.25">
      <c r="A2138" s="36">
        <v>99912136</v>
      </c>
      <c r="B2138" s="17" t="s">
        <v>32</v>
      </c>
      <c r="C2138" t="s">
        <v>139</v>
      </c>
      <c r="D2138" t="s">
        <v>140</v>
      </c>
      <c r="G2138" s="17" t="s">
        <v>35</v>
      </c>
      <c r="H2138" s="17">
        <v>1</v>
      </c>
      <c r="K2138" t="s">
        <v>268</v>
      </c>
      <c r="L2138" t="s">
        <v>269</v>
      </c>
      <c r="M2138" t="s">
        <v>131</v>
      </c>
      <c r="N2138">
        <v>4</v>
      </c>
      <c r="O2138" t="s">
        <v>40</v>
      </c>
      <c r="P2138" t="s">
        <v>40</v>
      </c>
      <c r="Q2138" t="s">
        <v>40</v>
      </c>
      <c r="R2138" t="s">
        <v>40</v>
      </c>
      <c r="S2138" t="s">
        <v>40</v>
      </c>
      <c r="V2138" t="s">
        <v>41</v>
      </c>
      <c r="W2138" t="s">
        <v>75</v>
      </c>
      <c r="X2138" t="str">
        <f>"7052000"</f>
        <v>7052000</v>
      </c>
      <c r="Y2138" t="s">
        <v>656</v>
      </c>
      <c r="Z2138" t="s">
        <v>268</v>
      </c>
      <c r="AA2138" t="s">
        <v>269</v>
      </c>
      <c r="AB2138" t="s">
        <v>131</v>
      </c>
      <c r="AC2138" t="s">
        <v>51</v>
      </c>
      <c r="AD2138" t="s">
        <v>45</v>
      </c>
      <c r="AE2138" s="1">
        <v>28558</v>
      </c>
      <c r="AF2138">
        <v>1</v>
      </c>
      <c r="AG2138" t="s">
        <v>269</v>
      </c>
      <c r="AH2138" s="36">
        <f t="shared" si="33"/>
        <v>41.386111111111113</v>
      </c>
      <c r="AI2138" s="41" t="s">
        <v>1779</v>
      </c>
    </row>
    <row r="2139" spans="1:35" x14ac:dyDescent="0.25">
      <c r="A2139" s="36">
        <v>99912137</v>
      </c>
      <c r="B2139" s="17" t="s">
        <v>56</v>
      </c>
      <c r="C2139" t="s">
        <v>82</v>
      </c>
      <c r="D2139" t="s">
        <v>83</v>
      </c>
      <c r="G2139" s="17" t="s">
        <v>48</v>
      </c>
      <c r="H2139" s="17">
        <v>1</v>
      </c>
      <c r="K2139" t="s">
        <v>223</v>
      </c>
      <c r="L2139" t="s">
        <v>224</v>
      </c>
      <c r="M2139" t="s">
        <v>131</v>
      </c>
      <c r="N2139">
        <v>22</v>
      </c>
      <c r="O2139" t="s">
        <v>40</v>
      </c>
      <c r="P2139" t="s">
        <v>40</v>
      </c>
      <c r="Q2139" t="s">
        <v>40</v>
      </c>
      <c r="R2139" t="s">
        <v>40</v>
      </c>
      <c r="S2139" t="s">
        <v>40</v>
      </c>
      <c r="V2139" t="s">
        <v>41</v>
      </c>
      <c r="W2139" t="s">
        <v>42</v>
      </c>
      <c r="X2139" t="str">
        <f>"0580204"</f>
        <v>0580204</v>
      </c>
      <c r="Y2139" t="s">
        <v>235</v>
      </c>
      <c r="Z2139" t="s">
        <v>223</v>
      </c>
      <c r="AA2139" t="s">
        <v>224</v>
      </c>
      <c r="AB2139" t="s">
        <v>131</v>
      </c>
      <c r="AC2139" t="s">
        <v>51</v>
      </c>
      <c r="AD2139" t="s">
        <v>45</v>
      </c>
      <c r="AE2139" s="1">
        <v>28556</v>
      </c>
      <c r="AF2139">
        <v>2</v>
      </c>
      <c r="AG2139" t="s">
        <v>224</v>
      </c>
      <c r="AH2139" s="36">
        <f t="shared" si="33"/>
        <v>41.391666666666666</v>
      </c>
      <c r="AI2139" s="41" t="s">
        <v>1779</v>
      </c>
    </row>
    <row r="2140" spans="1:35" x14ac:dyDescent="0.25">
      <c r="A2140" s="36">
        <v>99912138</v>
      </c>
      <c r="B2140" s="17" t="s">
        <v>32</v>
      </c>
      <c r="C2140" t="s">
        <v>79</v>
      </c>
      <c r="D2140" t="s">
        <v>80</v>
      </c>
      <c r="G2140" s="17" t="s">
        <v>48</v>
      </c>
      <c r="H2140" s="17">
        <v>1</v>
      </c>
      <c r="K2140" t="s">
        <v>431</v>
      </c>
      <c r="L2140" t="s">
        <v>196</v>
      </c>
      <c r="M2140" t="s">
        <v>131</v>
      </c>
      <c r="N2140">
        <v>10</v>
      </c>
      <c r="O2140" t="s">
        <v>40</v>
      </c>
      <c r="P2140" t="s">
        <v>40</v>
      </c>
      <c r="Q2140" t="s">
        <v>40</v>
      </c>
      <c r="R2140" t="s">
        <v>40</v>
      </c>
      <c r="S2140" t="s">
        <v>40</v>
      </c>
      <c r="V2140" t="s">
        <v>41</v>
      </c>
      <c r="W2140" t="s">
        <v>75</v>
      </c>
      <c r="X2140" t="str">
        <f>"7521012"</f>
        <v>7521012</v>
      </c>
      <c r="Y2140" t="s">
        <v>432</v>
      </c>
      <c r="Z2140" t="s">
        <v>431</v>
      </c>
      <c r="AA2140" t="s">
        <v>196</v>
      </c>
      <c r="AB2140" t="s">
        <v>131</v>
      </c>
      <c r="AC2140" t="s">
        <v>51</v>
      </c>
      <c r="AD2140" t="s">
        <v>45</v>
      </c>
      <c r="AE2140" s="1">
        <v>28548</v>
      </c>
      <c r="AF2140">
        <v>1</v>
      </c>
      <c r="AG2140" t="s">
        <v>196</v>
      </c>
      <c r="AH2140" s="36">
        <f t="shared" si="33"/>
        <v>41.413888888888891</v>
      </c>
      <c r="AI2140" s="41" t="s">
        <v>1779</v>
      </c>
    </row>
    <row r="2141" spans="1:35" x14ac:dyDescent="0.25">
      <c r="A2141" s="36">
        <v>99912139</v>
      </c>
      <c r="B2141" s="17" t="s">
        <v>32</v>
      </c>
      <c r="C2141" t="s">
        <v>145</v>
      </c>
      <c r="D2141" t="s">
        <v>146</v>
      </c>
      <c r="G2141" s="17" t="s">
        <v>48</v>
      </c>
      <c r="H2141" s="17">
        <v>1</v>
      </c>
      <c r="K2141" t="s">
        <v>300</v>
      </c>
      <c r="L2141" t="s">
        <v>301</v>
      </c>
      <c r="M2141" t="s">
        <v>131</v>
      </c>
      <c r="N2141">
        <v>17</v>
      </c>
      <c r="O2141" t="s">
        <v>40</v>
      </c>
      <c r="P2141" t="s">
        <v>40</v>
      </c>
      <c r="Q2141" t="s">
        <v>40</v>
      </c>
      <c r="R2141" t="s">
        <v>40</v>
      </c>
      <c r="S2141" t="s">
        <v>40</v>
      </c>
      <c r="V2141" t="s">
        <v>41</v>
      </c>
      <c r="W2141" t="s">
        <v>49</v>
      </c>
      <c r="X2141" t="str">
        <f>"0560013"</f>
        <v>0560013</v>
      </c>
      <c r="Y2141" t="s">
        <v>324</v>
      </c>
      <c r="Z2141" t="s">
        <v>300</v>
      </c>
      <c r="AA2141" t="s">
        <v>301</v>
      </c>
      <c r="AB2141" t="s">
        <v>131</v>
      </c>
      <c r="AC2141" t="s">
        <v>51</v>
      </c>
      <c r="AD2141" t="s">
        <v>45</v>
      </c>
      <c r="AE2141" s="1">
        <v>28545</v>
      </c>
      <c r="AF2141">
        <v>2</v>
      </c>
      <c r="AG2141" t="s">
        <v>301</v>
      </c>
      <c r="AH2141" s="36">
        <f t="shared" si="33"/>
        <v>41.422222222222224</v>
      </c>
      <c r="AI2141" s="41" t="s">
        <v>1779</v>
      </c>
    </row>
    <row r="2142" spans="1:35" x14ac:dyDescent="0.25">
      <c r="A2142" s="36">
        <v>99912140</v>
      </c>
      <c r="B2142" s="17" t="s">
        <v>32</v>
      </c>
      <c r="C2142" t="s">
        <v>141</v>
      </c>
      <c r="D2142" t="s">
        <v>142</v>
      </c>
      <c r="G2142" s="17" t="s">
        <v>48</v>
      </c>
      <c r="H2142" s="17">
        <v>1</v>
      </c>
      <c r="K2142" t="s">
        <v>223</v>
      </c>
      <c r="L2142" t="s">
        <v>224</v>
      </c>
      <c r="M2142" t="s">
        <v>131</v>
      </c>
      <c r="N2142">
        <v>18</v>
      </c>
      <c r="O2142" t="s">
        <v>40</v>
      </c>
      <c r="P2142" t="s">
        <v>40</v>
      </c>
      <c r="Q2142" t="s">
        <v>40</v>
      </c>
      <c r="R2142" t="s">
        <v>40</v>
      </c>
      <c r="S2142" t="s">
        <v>40</v>
      </c>
      <c r="V2142" t="s">
        <v>41</v>
      </c>
      <c r="W2142" t="s">
        <v>49</v>
      </c>
      <c r="X2142" t="str">
        <f>"0581204"</f>
        <v>0581204</v>
      </c>
      <c r="Y2142" t="s">
        <v>249</v>
      </c>
      <c r="Z2142" t="s">
        <v>223</v>
      </c>
      <c r="AA2142" t="s">
        <v>224</v>
      </c>
      <c r="AB2142" t="s">
        <v>131</v>
      </c>
      <c r="AC2142" t="s">
        <v>51</v>
      </c>
      <c r="AD2142" t="s">
        <v>45</v>
      </c>
      <c r="AE2142" s="1">
        <v>28542</v>
      </c>
      <c r="AF2142">
        <v>2</v>
      </c>
      <c r="AG2142" t="s">
        <v>224</v>
      </c>
      <c r="AH2142" s="36">
        <f t="shared" si="33"/>
        <v>41.430555555555557</v>
      </c>
      <c r="AI2142" s="41" t="s">
        <v>1779</v>
      </c>
    </row>
    <row r="2143" spans="1:35" x14ac:dyDescent="0.25">
      <c r="A2143" s="36">
        <v>99912141</v>
      </c>
      <c r="B2143" s="17" t="s">
        <v>32</v>
      </c>
      <c r="C2143" t="s">
        <v>143</v>
      </c>
      <c r="D2143" t="s">
        <v>144</v>
      </c>
      <c r="G2143" s="17" t="s">
        <v>35</v>
      </c>
      <c r="H2143" s="17">
        <v>1</v>
      </c>
      <c r="K2143" t="s">
        <v>223</v>
      </c>
      <c r="L2143" t="s">
        <v>224</v>
      </c>
      <c r="M2143" t="s">
        <v>131</v>
      </c>
      <c r="N2143">
        <v>21</v>
      </c>
      <c r="O2143" t="s">
        <v>40</v>
      </c>
      <c r="P2143" t="s">
        <v>40</v>
      </c>
      <c r="Q2143" t="s">
        <v>40</v>
      </c>
      <c r="S2143" t="s">
        <v>40</v>
      </c>
      <c r="V2143" t="s">
        <v>41</v>
      </c>
      <c r="W2143" t="s">
        <v>75</v>
      </c>
      <c r="X2143" t="str">
        <f>"7052020"</f>
        <v>7052020</v>
      </c>
      <c r="Y2143" t="s">
        <v>267</v>
      </c>
      <c r="Z2143" t="s">
        <v>268</v>
      </c>
      <c r="AA2143" t="s">
        <v>269</v>
      </c>
      <c r="AB2143" t="s">
        <v>131</v>
      </c>
      <c r="AC2143" t="s">
        <v>51</v>
      </c>
      <c r="AD2143" t="s">
        <v>45</v>
      </c>
      <c r="AE2143" s="1">
        <v>28541</v>
      </c>
      <c r="AF2143">
        <v>2</v>
      </c>
      <c r="AG2143" t="s">
        <v>224</v>
      </c>
      <c r="AH2143" s="36">
        <f t="shared" si="33"/>
        <v>41.43333333333333</v>
      </c>
      <c r="AI2143" s="41" t="s">
        <v>1779</v>
      </c>
    </row>
    <row r="2144" spans="1:35" x14ac:dyDescent="0.25">
      <c r="A2144" s="36">
        <v>99912142</v>
      </c>
      <c r="B2144" s="17" t="s">
        <v>32</v>
      </c>
      <c r="C2144" t="s">
        <v>46</v>
      </c>
      <c r="D2144" t="s">
        <v>47</v>
      </c>
      <c r="G2144" s="17" t="s">
        <v>48</v>
      </c>
      <c r="H2144" s="17">
        <v>1</v>
      </c>
      <c r="K2144" t="s">
        <v>300</v>
      </c>
      <c r="L2144" t="s">
        <v>301</v>
      </c>
      <c r="M2144" t="s">
        <v>131</v>
      </c>
      <c r="N2144">
        <v>21</v>
      </c>
      <c r="O2144" t="s">
        <v>40</v>
      </c>
      <c r="P2144" t="s">
        <v>40</v>
      </c>
      <c r="Q2144" t="s">
        <v>40</v>
      </c>
      <c r="R2144" t="s">
        <v>40</v>
      </c>
      <c r="S2144" t="s">
        <v>40</v>
      </c>
      <c r="V2144" t="s">
        <v>41</v>
      </c>
      <c r="W2144" t="s">
        <v>49</v>
      </c>
      <c r="X2144" t="str">
        <f>"0560001"</f>
        <v>0560001</v>
      </c>
      <c r="Y2144" t="s">
        <v>304</v>
      </c>
      <c r="Z2144" t="s">
        <v>300</v>
      </c>
      <c r="AA2144" t="s">
        <v>301</v>
      </c>
      <c r="AB2144" t="s">
        <v>131</v>
      </c>
      <c r="AC2144" t="s">
        <v>51</v>
      </c>
      <c r="AD2144" t="s">
        <v>45</v>
      </c>
      <c r="AE2144" s="1">
        <v>28541</v>
      </c>
      <c r="AF2144">
        <v>2</v>
      </c>
      <c r="AG2144" t="s">
        <v>301</v>
      </c>
      <c r="AH2144" s="36">
        <f t="shared" si="33"/>
        <v>41.43333333333333</v>
      </c>
      <c r="AI2144" s="41" t="s">
        <v>1779</v>
      </c>
    </row>
    <row r="2145" spans="1:35" x14ac:dyDescent="0.25">
      <c r="A2145" s="36">
        <v>99912143</v>
      </c>
      <c r="B2145" s="17" t="s">
        <v>32</v>
      </c>
      <c r="C2145" t="s">
        <v>141</v>
      </c>
      <c r="D2145" t="s">
        <v>142</v>
      </c>
      <c r="G2145" s="17" t="s">
        <v>48</v>
      </c>
      <c r="H2145" s="17">
        <v>1</v>
      </c>
      <c r="K2145" t="s">
        <v>407</v>
      </c>
      <c r="L2145" t="s">
        <v>409</v>
      </c>
      <c r="M2145" t="s">
        <v>131</v>
      </c>
      <c r="N2145">
        <v>6</v>
      </c>
      <c r="O2145" t="s">
        <v>40</v>
      </c>
      <c r="P2145" t="s">
        <v>40</v>
      </c>
      <c r="Q2145" t="s">
        <v>40</v>
      </c>
      <c r="S2145" t="s">
        <v>40</v>
      </c>
      <c r="V2145" t="s">
        <v>41</v>
      </c>
      <c r="W2145" t="s">
        <v>75</v>
      </c>
      <c r="X2145" t="str">
        <f>"7053018"</f>
        <v>7053018</v>
      </c>
      <c r="Y2145" t="s">
        <v>408</v>
      </c>
      <c r="Z2145" t="s">
        <v>407</v>
      </c>
      <c r="AA2145" t="s">
        <v>409</v>
      </c>
      <c r="AB2145" t="s">
        <v>131</v>
      </c>
      <c r="AC2145" t="s">
        <v>51</v>
      </c>
      <c r="AD2145" t="s">
        <v>45</v>
      </c>
      <c r="AE2145" s="1">
        <v>28541</v>
      </c>
      <c r="AF2145">
        <v>1</v>
      </c>
      <c r="AG2145" t="s">
        <v>409</v>
      </c>
      <c r="AH2145" s="36">
        <f t="shared" si="33"/>
        <v>41.43333333333333</v>
      </c>
      <c r="AI2145" s="41" t="s">
        <v>1779</v>
      </c>
    </row>
    <row r="2146" spans="1:35" x14ac:dyDescent="0.25">
      <c r="A2146" s="36">
        <v>99912144</v>
      </c>
      <c r="B2146" s="17" t="s">
        <v>56</v>
      </c>
      <c r="C2146" t="s">
        <v>111</v>
      </c>
      <c r="D2146" t="s">
        <v>112</v>
      </c>
      <c r="G2146" s="17" t="s">
        <v>48</v>
      </c>
      <c r="H2146" s="17">
        <v>1</v>
      </c>
      <c r="K2146" t="s">
        <v>268</v>
      </c>
      <c r="L2146" t="s">
        <v>269</v>
      </c>
      <c r="M2146" t="s">
        <v>131</v>
      </c>
      <c r="N2146">
        <v>23</v>
      </c>
      <c r="O2146" t="s">
        <v>40</v>
      </c>
      <c r="P2146" t="s">
        <v>40</v>
      </c>
      <c r="Q2146" t="s">
        <v>40</v>
      </c>
      <c r="S2146" t="s">
        <v>40</v>
      </c>
      <c r="V2146" t="s">
        <v>41</v>
      </c>
      <c r="W2146" t="s">
        <v>75</v>
      </c>
      <c r="X2146" t="str">
        <f>"7052008"</f>
        <v>7052008</v>
      </c>
      <c r="Y2146" t="s">
        <v>274</v>
      </c>
      <c r="Z2146" t="s">
        <v>268</v>
      </c>
      <c r="AA2146" t="s">
        <v>269</v>
      </c>
      <c r="AB2146" t="s">
        <v>131</v>
      </c>
      <c r="AC2146" t="s">
        <v>51</v>
      </c>
      <c r="AD2146" t="s">
        <v>45</v>
      </c>
      <c r="AE2146" s="1">
        <v>28536</v>
      </c>
      <c r="AF2146">
        <v>1</v>
      </c>
      <c r="AG2146" t="s">
        <v>269</v>
      </c>
      <c r="AH2146" s="36">
        <f t="shared" si="33"/>
        <v>41.447222222222223</v>
      </c>
      <c r="AI2146" s="41" t="s">
        <v>1779</v>
      </c>
    </row>
    <row r="2147" spans="1:35" x14ac:dyDescent="0.25">
      <c r="A2147" s="36">
        <v>99912145</v>
      </c>
      <c r="B2147" s="17" t="s">
        <v>32</v>
      </c>
      <c r="C2147" t="s">
        <v>46</v>
      </c>
      <c r="D2147" t="s">
        <v>47</v>
      </c>
      <c r="G2147" s="17" t="s">
        <v>48</v>
      </c>
      <c r="H2147" s="17">
        <v>1</v>
      </c>
      <c r="K2147" t="s">
        <v>1268</v>
      </c>
      <c r="L2147" t="s">
        <v>1269</v>
      </c>
      <c r="M2147" t="s">
        <v>1270</v>
      </c>
      <c r="N2147">
        <v>20</v>
      </c>
      <c r="O2147" t="s">
        <v>40</v>
      </c>
      <c r="P2147" t="s">
        <v>40</v>
      </c>
      <c r="Q2147" t="s">
        <v>40</v>
      </c>
      <c r="S2147" t="s">
        <v>40</v>
      </c>
      <c r="V2147" t="s">
        <v>41</v>
      </c>
      <c r="W2147" t="s">
        <v>49</v>
      </c>
      <c r="X2147" t="str">
        <f>"1981912"</f>
        <v>1981912</v>
      </c>
      <c r="Y2147" t="s">
        <v>1279</v>
      </c>
      <c r="Z2147" t="s">
        <v>1268</v>
      </c>
      <c r="AA2147" t="s">
        <v>1269</v>
      </c>
      <c r="AB2147" t="s">
        <v>1270</v>
      </c>
      <c r="AC2147" t="s">
        <v>51</v>
      </c>
      <c r="AD2147" t="s">
        <v>45</v>
      </c>
      <c r="AE2147" s="1">
        <v>28536</v>
      </c>
      <c r="AF2147">
        <v>2</v>
      </c>
      <c r="AG2147" t="s">
        <v>1269</v>
      </c>
      <c r="AH2147" s="36">
        <f t="shared" si="33"/>
        <v>41.447222222222223</v>
      </c>
      <c r="AI2147" s="41" t="s">
        <v>1779</v>
      </c>
    </row>
    <row r="2148" spans="1:35" x14ac:dyDescent="0.25">
      <c r="A2148" s="36">
        <v>99912146</v>
      </c>
      <c r="B2148" s="17" t="s">
        <v>56</v>
      </c>
      <c r="C2148" t="s">
        <v>61</v>
      </c>
      <c r="D2148" t="s">
        <v>62</v>
      </c>
      <c r="G2148" s="17" t="s">
        <v>35</v>
      </c>
      <c r="H2148" s="17">
        <v>1</v>
      </c>
      <c r="I2148" t="s">
        <v>1115</v>
      </c>
      <c r="J2148" s="1">
        <v>43344</v>
      </c>
      <c r="K2148" t="s">
        <v>1081</v>
      </c>
      <c r="L2148" t="s">
        <v>1082</v>
      </c>
      <c r="M2148" t="s">
        <v>1053</v>
      </c>
      <c r="N2148">
        <v>6</v>
      </c>
      <c r="O2148" t="s">
        <v>40</v>
      </c>
      <c r="P2148" t="s">
        <v>40</v>
      </c>
      <c r="Q2148" t="s">
        <v>40</v>
      </c>
      <c r="R2148" t="s">
        <v>40</v>
      </c>
      <c r="S2148" t="s">
        <v>40</v>
      </c>
      <c r="U2148" s="1">
        <v>43344</v>
      </c>
      <c r="V2148" t="s">
        <v>41</v>
      </c>
      <c r="W2148" t="s">
        <v>75</v>
      </c>
      <c r="X2148" t="str">
        <f>"7201000"</f>
        <v>7201000</v>
      </c>
      <c r="Y2148" t="s">
        <v>1088</v>
      </c>
      <c r="Z2148" t="s">
        <v>1081</v>
      </c>
      <c r="AA2148" t="s">
        <v>1082</v>
      </c>
      <c r="AB2148" t="s">
        <v>1053</v>
      </c>
      <c r="AC2148" t="s">
        <v>51</v>
      </c>
      <c r="AD2148" t="s">
        <v>45</v>
      </c>
      <c r="AE2148" s="1">
        <v>28533</v>
      </c>
      <c r="AF2148">
        <v>1</v>
      </c>
      <c r="AG2148" t="s">
        <v>1082</v>
      </c>
      <c r="AH2148" s="36">
        <f t="shared" si="33"/>
        <v>41.455555555555556</v>
      </c>
      <c r="AI2148" s="41" t="s">
        <v>1779</v>
      </c>
    </row>
    <row r="2149" spans="1:35" x14ac:dyDescent="0.25">
      <c r="A2149" s="36">
        <v>99912147</v>
      </c>
      <c r="B2149" s="17" t="s">
        <v>56</v>
      </c>
      <c r="C2149" t="s">
        <v>46</v>
      </c>
      <c r="D2149" t="s">
        <v>47</v>
      </c>
      <c r="G2149" s="17" t="s">
        <v>48</v>
      </c>
      <c r="H2149" s="17">
        <v>1</v>
      </c>
      <c r="K2149" t="s">
        <v>1268</v>
      </c>
      <c r="L2149" t="s">
        <v>1269</v>
      </c>
      <c r="M2149" t="s">
        <v>1270</v>
      </c>
      <c r="N2149">
        <v>21</v>
      </c>
      <c r="O2149" t="s">
        <v>40</v>
      </c>
      <c r="P2149" t="s">
        <v>40</v>
      </c>
      <c r="Q2149" t="s">
        <v>40</v>
      </c>
      <c r="S2149" t="s">
        <v>40</v>
      </c>
      <c r="V2149" t="s">
        <v>41</v>
      </c>
      <c r="W2149" t="s">
        <v>49</v>
      </c>
      <c r="X2149" t="str">
        <f>"1981914"</f>
        <v>1981914</v>
      </c>
      <c r="Y2149" t="s">
        <v>1287</v>
      </c>
      <c r="Z2149" t="s">
        <v>1268</v>
      </c>
      <c r="AA2149" t="s">
        <v>1269</v>
      </c>
      <c r="AB2149" t="s">
        <v>1270</v>
      </c>
      <c r="AC2149" t="s">
        <v>51</v>
      </c>
      <c r="AD2149" t="s">
        <v>45</v>
      </c>
      <c r="AE2149" s="1">
        <v>28532</v>
      </c>
      <c r="AF2149">
        <v>2</v>
      </c>
      <c r="AG2149" t="s">
        <v>1269</v>
      </c>
      <c r="AH2149" s="36">
        <f t="shared" si="33"/>
        <v>41.458333333333336</v>
      </c>
      <c r="AI2149" s="41" t="s">
        <v>1779</v>
      </c>
    </row>
    <row r="2150" spans="1:35" x14ac:dyDescent="0.25">
      <c r="A2150" s="36">
        <v>99912148</v>
      </c>
      <c r="B2150" s="17" t="s">
        <v>56</v>
      </c>
      <c r="C2150" t="s">
        <v>61</v>
      </c>
      <c r="D2150" t="s">
        <v>62</v>
      </c>
      <c r="G2150" s="17" t="s">
        <v>48</v>
      </c>
      <c r="H2150" s="17">
        <v>1</v>
      </c>
      <c r="K2150" t="s">
        <v>223</v>
      </c>
      <c r="L2150" t="s">
        <v>224</v>
      </c>
      <c r="M2150" t="s">
        <v>131</v>
      </c>
      <c r="N2150">
        <v>21</v>
      </c>
      <c r="O2150" t="s">
        <v>40</v>
      </c>
      <c r="P2150" t="s">
        <v>40</v>
      </c>
      <c r="Q2150" t="s">
        <v>40</v>
      </c>
      <c r="S2150" t="s">
        <v>40</v>
      </c>
      <c r="V2150" t="s">
        <v>41</v>
      </c>
      <c r="W2150" t="s">
        <v>42</v>
      </c>
      <c r="X2150" t="str">
        <f>"0580206"</f>
        <v>0580206</v>
      </c>
      <c r="Y2150" t="s">
        <v>237</v>
      </c>
      <c r="Z2150" t="s">
        <v>223</v>
      </c>
      <c r="AA2150" t="s">
        <v>224</v>
      </c>
      <c r="AB2150" t="s">
        <v>131</v>
      </c>
      <c r="AC2150" t="s">
        <v>51</v>
      </c>
      <c r="AD2150" t="s">
        <v>45</v>
      </c>
      <c r="AE2150" s="1">
        <v>28527</v>
      </c>
      <c r="AF2150">
        <v>2</v>
      </c>
      <c r="AG2150" t="s">
        <v>224</v>
      </c>
      <c r="AH2150" s="36">
        <f t="shared" si="33"/>
        <v>41.472222222222221</v>
      </c>
      <c r="AI2150" s="41" t="s">
        <v>1779</v>
      </c>
    </row>
    <row r="2151" spans="1:35" x14ac:dyDescent="0.25">
      <c r="A2151" s="36">
        <v>99912149</v>
      </c>
      <c r="B2151" s="17" t="s">
        <v>32</v>
      </c>
      <c r="C2151" t="s">
        <v>111</v>
      </c>
      <c r="D2151" t="s">
        <v>112</v>
      </c>
      <c r="G2151" s="17" t="s">
        <v>48</v>
      </c>
      <c r="H2151" s="17">
        <v>6</v>
      </c>
      <c r="I2151">
        <v>1172</v>
      </c>
      <c r="J2151" s="1">
        <v>43344</v>
      </c>
      <c r="K2151" t="s">
        <v>1426</v>
      </c>
      <c r="L2151" t="s">
        <v>1427</v>
      </c>
      <c r="M2151" t="s">
        <v>1270</v>
      </c>
      <c r="N2151">
        <v>23</v>
      </c>
      <c r="O2151" t="s">
        <v>40</v>
      </c>
      <c r="P2151" t="s">
        <v>40</v>
      </c>
      <c r="Q2151" t="s">
        <v>40</v>
      </c>
      <c r="R2151" t="s">
        <v>40</v>
      </c>
      <c r="S2151" t="s">
        <v>40</v>
      </c>
      <c r="U2151" s="1">
        <v>43344</v>
      </c>
      <c r="V2151" t="s">
        <v>41</v>
      </c>
      <c r="W2151" t="s">
        <v>75</v>
      </c>
      <c r="X2151" t="str">
        <f>"7192002"</f>
        <v>7192002</v>
      </c>
      <c r="Y2151" t="s">
        <v>1438</v>
      </c>
      <c r="Z2151" t="s">
        <v>1426</v>
      </c>
      <c r="AA2151" t="s">
        <v>1427</v>
      </c>
      <c r="AB2151" t="s">
        <v>1270</v>
      </c>
      <c r="AC2151" t="s">
        <v>51</v>
      </c>
      <c r="AD2151" t="s">
        <v>45</v>
      </c>
      <c r="AE2151" s="1">
        <v>28527</v>
      </c>
      <c r="AF2151">
        <v>1</v>
      </c>
      <c r="AG2151" t="s">
        <v>1427</v>
      </c>
      <c r="AH2151" s="36">
        <f t="shared" si="33"/>
        <v>41.472222222222221</v>
      </c>
      <c r="AI2151" s="41" t="s">
        <v>1779</v>
      </c>
    </row>
    <row r="2152" spans="1:35" x14ac:dyDescent="0.25">
      <c r="A2152" s="36">
        <v>99912150</v>
      </c>
      <c r="B2152" s="17" t="s">
        <v>32</v>
      </c>
      <c r="C2152" t="s">
        <v>82</v>
      </c>
      <c r="D2152" t="s">
        <v>83</v>
      </c>
      <c r="G2152" s="17" t="s">
        <v>48</v>
      </c>
      <c r="H2152" s="17">
        <v>1</v>
      </c>
      <c r="K2152" t="s">
        <v>345</v>
      </c>
      <c r="L2152" t="s">
        <v>346</v>
      </c>
      <c r="M2152" t="s">
        <v>131</v>
      </c>
      <c r="N2152">
        <v>20</v>
      </c>
      <c r="O2152" t="s">
        <v>40</v>
      </c>
      <c r="P2152" t="s">
        <v>40</v>
      </c>
      <c r="Q2152" t="s">
        <v>40</v>
      </c>
      <c r="R2152" t="s">
        <v>40</v>
      </c>
      <c r="S2152" t="s">
        <v>40</v>
      </c>
      <c r="V2152" t="s">
        <v>41</v>
      </c>
      <c r="W2152" t="s">
        <v>42</v>
      </c>
      <c r="X2152" t="str">
        <f>"0580931"</f>
        <v>0580931</v>
      </c>
      <c r="Y2152" t="s">
        <v>369</v>
      </c>
      <c r="Z2152" t="s">
        <v>345</v>
      </c>
      <c r="AA2152" t="s">
        <v>346</v>
      </c>
      <c r="AB2152" t="s">
        <v>131</v>
      </c>
      <c r="AC2152" t="s">
        <v>51</v>
      </c>
      <c r="AD2152" t="s">
        <v>45</v>
      </c>
      <c r="AE2152" s="1">
        <v>28526</v>
      </c>
      <c r="AF2152">
        <v>2</v>
      </c>
      <c r="AG2152" t="s">
        <v>346</v>
      </c>
      <c r="AH2152" s="36">
        <f t="shared" si="33"/>
        <v>41.475000000000001</v>
      </c>
      <c r="AI2152" s="41" t="s">
        <v>1779</v>
      </c>
    </row>
    <row r="2153" spans="1:35" x14ac:dyDescent="0.25">
      <c r="A2153" s="36">
        <v>99912151</v>
      </c>
      <c r="B2153" s="17" t="s">
        <v>56</v>
      </c>
      <c r="C2153" t="s">
        <v>71</v>
      </c>
      <c r="D2153" t="s">
        <v>72</v>
      </c>
      <c r="G2153" s="17" t="s">
        <v>35</v>
      </c>
      <c r="H2153" s="17">
        <v>1</v>
      </c>
      <c r="J2153" s="1">
        <v>38975</v>
      </c>
      <c r="K2153" t="s">
        <v>1336</v>
      </c>
      <c r="L2153" t="s">
        <v>1337</v>
      </c>
      <c r="M2153" t="s">
        <v>1270</v>
      </c>
      <c r="N2153">
        <v>10</v>
      </c>
      <c r="O2153" t="s">
        <v>40</v>
      </c>
      <c r="P2153" t="s">
        <v>40</v>
      </c>
      <c r="Q2153" t="s">
        <v>40</v>
      </c>
      <c r="R2153" t="s">
        <v>40</v>
      </c>
      <c r="S2153" t="s">
        <v>40</v>
      </c>
      <c r="U2153" s="1">
        <v>38975</v>
      </c>
      <c r="V2153" t="s">
        <v>41</v>
      </c>
      <c r="W2153" t="s">
        <v>49</v>
      </c>
      <c r="X2153" t="str">
        <f>"4475075"</f>
        <v>4475075</v>
      </c>
      <c r="Y2153" t="s">
        <v>1339</v>
      </c>
      <c r="Z2153" t="s">
        <v>1336</v>
      </c>
      <c r="AA2153" t="s">
        <v>1337</v>
      </c>
      <c r="AB2153" t="s">
        <v>1270</v>
      </c>
      <c r="AC2153" t="s">
        <v>51</v>
      </c>
      <c r="AD2153" t="s">
        <v>45</v>
      </c>
      <c r="AE2153" s="1">
        <v>28525</v>
      </c>
      <c r="AF2153">
        <v>2</v>
      </c>
      <c r="AG2153" t="s">
        <v>1337</v>
      </c>
      <c r="AH2153" s="36">
        <f t="shared" si="33"/>
        <v>41.477777777777774</v>
      </c>
      <c r="AI2153" s="41" t="s">
        <v>1779</v>
      </c>
    </row>
    <row r="2154" spans="1:35" x14ac:dyDescent="0.25">
      <c r="A2154" s="36">
        <v>99912152</v>
      </c>
      <c r="B2154" s="17" t="s">
        <v>32</v>
      </c>
      <c r="C2154" t="s">
        <v>79</v>
      </c>
      <c r="D2154" t="s">
        <v>80</v>
      </c>
      <c r="G2154" s="17" t="s">
        <v>48</v>
      </c>
      <c r="H2154" s="17">
        <v>1</v>
      </c>
      <c r="K2154" t="s">
        <v>1695</v>
      </c>
      <c r="L2154" t="s">
        <v>1696</v>
      </c>
      <c r="M2154" t="s">
        <v>1592</v>
      </c>
      <c r="N2154">
        <v>23</v>
      </c>
      <c r="O2154" t="s">
        <v>40</v>
      </c>
      <c r="P2154" t="s">
        <v>40</v>
      </c>
      <c r="Q2154" t="s">
        <v>40</v>
      </c>
      <c r="S2154" t="s">
        <v>40</v>
      </c>
      <c r="V2154" t="s">
        <v>41</v>
      </c>
      <c r="W2154" t="s">
        <v>75</v>
      </c>
      <c r="X2154" t="str">
        <f>"7361000"</f>
        <v>7361000</v>
      </c>
      <c r="Y2154" t="s">
        <v>1698</v>
      </c>
      <c r="Z2154" t="s">
        <v>1695</v>
      </c>
      <c r="AA2154" t="s">
        <v>1696</v>
      </c>
      <c r="AB2154" t="s">
        <v>1592</v>
      </c>
      <c r="AC2154" t="s">
        <v>51</v>
      </c>
      <c r="AD2154" t="s">
        <v>45</v>
      </c>
      <c r="AE2154" s="1">
        <v>28525</v>
      </c>
      <c r="AF2154">
        <v>1</v>
      </c>
      <c r="AG2154" t="s">
        <v>1696</v>
      </c>
      <c r="AH2154" s="36">
        <f t="shared" si="33"/>
        <v>41.477777777777774</v>
      </c>
      <c r="AI2154" s="41" t="s">
        <v>1779</v>
      </c>
    </row>
    <row r="2155" spans="1:35" x14ac:dyDescent="0.25">
      <c r="A2155" s="36">
        <v>99912153</v>
      </c>
      <c r="B2155" s="17" t="s">
        <v>32</v>
      </c>
      <c r="C2155" t="s">
        <v>61</v>
      </c>
      <c r="D2155" t="s">
        <v>62</v>
      </c>
      <c r="G2155" s="17" t="s">
        <v>48</v>
      </c>
      <c r="H2155" s="17">
        <v>1</v>
      </c>
      <c r="K2155" t="s">
        <v>1502</v>
      </c>
      <c r="L2155" t="s">
        <v>1503</v>
      </c>
      <c r="M2155" t="s">
        <v>670</v>
      </c>
      <c r="N2155">
        <v>9</v>
      </c>
      <c r="O2155" t="s">
        <v>40</v>
      </c>
      <c r="P2155" t="s">
        <v>40</v>
      </c>
      <c r="Q2155" t="s">
        <v>40</v>
      </c>
      <c r="S2155" t="s">
        <v>40</v>
      </c>
      <c r="V2155" t="s">
        <v>41</v>
      </c>
      <c r="W2155" t="s">
        <v>75</v>
      </c>
      <c r="X2155" t="str">
        <f>"7171002"</f>
        <v>7171002</v>
      </c>
      <c r="Y2155" t="s">
        <v>1505</v>
      </c>
      <c r="Z2155" t="s">
        <v>1502</v>
      </c>
      <c r="AA2155" t="s">
        <v>1503</v>
      </c>
      <c r="AB2155" t="s">
        <v>670</v>
      </c>
      <c r="AC2155" t="s">
        <v>51</v>
      </c>
      <c r="AD2155" t="s">
        <v>45</v>
      </c>
      <c r="AE2155" s="1">
        <v>28523</v>
      </c>
      <c r="AF2155">
        <v>1</v>
      </c>
      <c r="AG2155" t="s">
        <v>1503</v>
      </c>
      <c r="AH2155" s="36">
        <f t="shared" si="33"/>
        <v>41.483333333333334</v>
      </c>
      <c r="AI2155" s="41" t="s">
        <v>1779</v>
      </c>
    </row>
    <row r="2156" spans="1:35" x14ac:dyDescent="0.25">
      <c r="A2156" s="36">
        <v>99912154</v>
      </c>
      <c r="B2156" s="17" t="s">
        <v>32</v>
      </c>
      <c r="C2156" t="s">
        <v>1570</v>
      </c>
      <c r="D2156" t="s">
        <v>1571</v>
      </c>
      <c r="G2156" s="17" t="s">
        <v>48</v>
      </c>
      <c r="H2156" s="17">
        <v>1</v>
      </c>
      <c r="K2156" t="s">
        <v>1566</v>
      </c>
      <c r="L2156" t="s">
        <v>1567</v>
      </c>
      <c r="M2156" t="s">
        <v>1548</v>
      </c>
      <c r="N2156">
        <v>12</v>
      </c>
      <c r="O2156" t="s">
        <v>40</v>
      </c>
      <c r="P2156" t="s">
        <v>40</v>
      </c>
      <c r="Q2156" t="s">
        <v>40</v>
      </c>
      <c r="R2156" t="s">
        <v>40</v>
      </c>
      <c r="S2156" t="s">
        <v>40</v>
      </c>
      <c r="V2156" t="s">
        <v>41</v>
      </c>
      <c r="W2156" t="s">
        <v>49</v>
      </c>
      <c r="X2156" t="str">
        <f>"2960001"</f>
        <v>2960001</v>
      </c>
      <c r="Y2156" t="s">
        <v>1569</v>
      </c>
      <c r="Z2156" t="s">
        <v>1566</v>
      </c>
      <c r="AA2156" t="s">
        <v>1567</v>
      </c>
      <c r="AB2156" t="s">
        <v>1548</v>
      </c>
      <c r="AC2156" t="s">
        <v>51</v>
      </c>
      <c r="AD2156" t="s">
        <v>45</v>
      </c>
      <c r="AE2156" s="1">
        <v>28523</v>
      </c>
      <c r="AF2156">
        <v>2</v>
      </c>
      <c r="AG2156" t="s">
        <v>1567</v>
      </c>
      <c r="AH2156" s="36">
        <f t="shared" si="33"/>
        <v>41.483333333333334</v>
      </c>
      <c r="AI2156" s="41" t="s">
        <v>1779</v>
      </c>
    </row>
    <row r="2157" spans="1:35" x14ac:dyDescent="0.25">
      <c r="A2157" s="36">
        <v>99912155</v>
      </c>
      <c r="B2157" s="17" t="s">
        <v>56</v>
      </c>
      <c r="C2157" t="s">
        <v>61</v>
      </c>
      <c r="D2157" t="s">
        <v>62</v>
      </c>
      <c r="G2157" s="17" t="s">
        <v>48</v>
      </c>
      <c r="H2157" s="17">
        <v>1</v>
      </c>
      <c r="K2157" t="s">
        <v>345</v>
      </c>
      <c r="L2157" t="s">
        <v>346</v>
      </c>
      <c r="M2157" t="s">
        <v>131</v>
      </c>
      <c r="N2157">
        <v>18</v>
      </c>
      <c r="O2157" t="s">
        <v>40</v>
      </c>
      <c r="P2157" t="s">
        <v>40</v>
      </c>
      <c r="Q2157" t="s">
        <v>40</v>
      </c>
      <c r="R2157" t="s">
        <v>40</v>
      </c>
      <c r="S2157" t="s">
        <v>40</v>
      </c>
      <c r="V2157" t="s">
        <v>41</v>
      </c>
      <c r="W2157" t="s">
        <v>42</v>
      </c>
      <c r="X2157" t="str">
        <f>"0580650"</f>
        <v>0580650</v>
      </c>
      <c r="Y2157" t="s">
        <v>356</v>
      </c>
      <c r="Z2157" t="s">
        <v>345</v>
      </c>
      <c r="AA2157" t="s">
        <v>346</v>
      </c>
      <c r="AB2157" t="s">
        <v>131</v>
      </c>
      <c r="AC2157" t="s">
        <v>51</v>
      </c>
      <c r="AD2157" t="s">
        <v>45</v>
      </c>
      <c r="AE2157" s="1">
        <v>28521</v>
      </c>
      <c r="AF2157">
        <v>2</v>
      </c>
      <c r="AG2157" t="s">
        <v>346</v>
      </c>
      <c r="AH2157" s="36">
        <f t="shared" si="33"/>
        <v>41.488888888888887</v>
      </c>
      <c r="AI2157" s="41" t="s">
        <v>1779</v>
      </c>
    </row>
    <row r="2158" spans="1:35" x14ac:dyDescent="0.25">
      <c r="A2158" s="36">
        <v>99912156</v>
      </c>
      <c r="B2158" s="17" t="s">
        <v>56</v>
      </c>
      <c r="C2158" t="s">
        <v>68</v>
      </c>
      <c r="D2158" t="s">
        <v>69</v>
      </c>
      <c r="G2158" s="17" t="s">
        <v>48</v>
      </c>
      <c r="H2158" s="17">
        <v>1</v>
      </c>
      <c r="K2158" t="s">
        <v>154</v>
      </c>
      <c r="L2158" t="s">
        <v>155</v>
      </c>
      <c r="M2158" t="s">
        <v>131</v>
      </c>
      <c r="N2158">
        <v>24</v>
      </c>
      <c r="O2158" t="s">
        <v>40</v>
      </c>
      <c r="P2158" t="s">
        <v>40</v>
      </c>
      <c r="Q2158" t="s">
        <v>40</v>
      </c>
      <c r="R2158" t="s">
        <v>40</v>
      </c>
      <c r="S2158" t="s">
        <v>40</v>
      </c>
      <c r="V2158" t="s">
        <v>41</v>
      </c>
      <c r="W2158" t="s">
        <v>75</v>
      </c>
      <c r="X2158" t="str">
        <f>"7051012"</f>
        <v>7051012</v>
      </c>
      <c r="Y2158" t="s">
        <v>405</v>
      </c>
      <c r="Z2158" t="s">
        <v>154</v>
      </c>
      <c r="AA2158" t="s">
        <v>155</v>
      </c>
      <c r="AB2158" t="s">
        <v>131</v>
      </c>
      <c r="AC2158" t="s">
        <v>51</v>
      </c>
      <c r="AD2158" t="s">
        <v>45</v>
      </c>
      <c r="AE2158" s="1">
        <v>28520</v>
      </c>
      <c r="AF2158">
        <v>1</v>
      </c>
      <c r="AG2158" t="s">
        <v>155</v>
      </c>
      <c r="AH2158" s="36">
        <f t="shared" si="33"/>
        <v>41.491666666666667</v>
      </c>
      <c r="AI2158" s="41" t="s">
        <v>1779</v>
      </c>
    </row>
    <row r="2159" spans="1:35" x14ac:dyDescent="0.25">
      <c r="A2159" s="36">
        <v>99912157</v>
      </c>
      <c r="B2159" s="17" t="s">
        <v>32</v>
      </c>
      <c r="C2159" t="s">
        <v>71</v>
      </c>
      <c r="D2159" t="s">
        <v>72</v>
      </c>
      <c r="G2159" s="17" t="s">
        <v>48</v>
      </c>
      <c r="H2159" s="17">
        <v>1</v>
      </c>
      <c r="K2159" t="s">
        <v>154</v>
      </c>
      <c r="L2159" t="s">
        <v>155</v>
      </c>
      <c r="M2159" t="s">
        <v>131</v>
      </c>
      <c r="N2159">
        <v>8</v>
      </c>
      <c r="O2159" t="s">
        <v>40</v>
      </c>
      <c r="P2159" t="s">
        <v>40</v>
      </c>
      <c r="Q2159" t="s">
        <v>40</v>
      </c>
      <c r="S2159" t="s">
        <v>40</v>
      </c>
      <c r="V2159" t="s">
        <v>41</v>
      </c>
      <c r="W2159" t="s">
        <v>75</v>
      </c>
      <c r="X2159" t="str">
        <f>"7051002"</f>
        <v>7051002</v>
      </c>
      <c r="Y2159" t="s">
        <v>395</v>
      </c>
      <c r="Z2159" t="s">
        <v>154</v>
      </c>
      <c r="AA2159" t="s">
        <v>155</v>
      </c>
      <c r="AB2159" t="s">
        <v>131</v>
      </c>
      <c r="AC2159" t="s">
        <v>51</v>
      </c>
      <c r="AD2159" t="s">
        <v>45</v>
      </c>
      <c r="AE2159" s="1">
        <v>28518</v>
      </c>
      <c r="AF2159">
        <v>1</v>
      </c>
      <c r="AG2159" t="s">
        <v>155</v>
      </c>
      <c r="AH2159" s="36">
        <f t="shared" si="33"/>
        <v>41.49722222222222</v>
      </c>
      <c r="AI2159" s="41" t="s">
        <v>1779</v>
      </c>
    </row>
    <row r="2160" spans="1:35" x14ac:dyDescent="0.25">
      <c r="A2160" s="36">
        <v>99912158</v>
      </c>
      <c r="B2160" s="17" t="s">
        <v>56</v>
      </c>
      <c r="C2160" t="s">
        <v>82</v>
      </c>
      <c r="D2160" t="s">
        <v>83</v>
      </c>
      <c r="G2160" s="17" t="s">
        <v>48</v>
      </c>
      <c r="H2160" s="17">
        <v>1</v>
      </c>
      <c r="K2160" t="s">
        <v>223</v>
      </c>
      <c r="L2160" t="s">
        <v>224</v>
      </c>
      <c r="M2160" t="s">
        <v>131</v>
      </c>
      <c r="N2160">
        <v>27</v>
      </c>
      <c r="O2160" t="s">
        <v>40</v>
      </c>
      <c r="P2160" t="s">
        <v>40</v>
      </c>
      <c r="Q2160" t="s">
        <v>40</v>
      </c>
      <c r="R2160" t="s">
        <v>40</v>
      </c>
      <c r="S2160" t="s">
        <v>40</v>
      </c>
      <c r="V2160" t="s">
        <v>41</v>
      </c>
      <c r="W2160" t="s">
        <v>42</v>
      </c>
      <c r="X2160" t="str">
        <f>"0580315"</f>
        <v>0580315</v>
      </c>
      <c r="Y2160" t="s">
        <v>246</v>
      </c>
      <c r="Z2160" t="s">
        <v>223</v>
      </c>
      <c r="AA2160" t="s">
        <v>224</v>
      </c>
      <c r="AB2160" t="s">
        <v>131</v>
      </c>
      <c r="AC2160" t="s">
        <v>51</v>
      </c>
      <c r="AD2160" t="s">
        <v>45</v>
      </c>
      <c r="AE2160" s="1">
        <v>28517</v>
      </c>
      <c r="AF2160">
        <v>2</v>
      </c>
      <c r="AG2160" t="s">
        <v>224</v>
      </c>
      <c r="AH2160" s="36">
        <f t="shared" si="33"/>
        <v>41.5</v>
      </c>
      <c r="AI2160" s="41" t="s">
        <v>1779</v>
      </c>
    </row>
    <row r="2161" spans="1:35" x14ac:dyDescent="0.25">
      <c r="A2161" s="36">
        <v>99912159</v>
      </c>
      <c r="B2161" s="17" t="s">
        <v>56</v>
      </c>
      <c r="C2161" t="s">
        <v>143</v>
      </c>
      <c r="D2161" t="s">
        <v>144</v>
      </c>
      <c r="G2161" s="17" t="s">
        <v>35</v>
      </c>
      <c r="H2161" s="17">
        <v>1</v>
      </c>
      <c r="I2161" t="s">
        <v>662</v>
      </c>
      <c r="J2161" s="1">
        <v>43344</v>
      </c>
      <c r="K2161" t="s">
        <v>268</v>
      </c>
      <c r="L2161" t="s">
        <v>269</v>
      </c>
      <c r="M2161" t="s">
        <v>131</v>
      </c>
      <c r="N2161">
        <v>18</v>
      </c>
      <c r="O2161" t="s">
        <v>40</v>
      </c>
      <c r="S2161" t="s">
        <v>40</v>
      </c>
      <c r="U2161" s="1">
        <v>43344</v>
      </c>
      <c r="V2161" t="s">
        <v>41</v>
      </c>
      <c r="W2161" t="s">
        <v>75</v>
      </c>
      <c r="X2161" t="str">
        <f>"7052020"</f>
        <v>7052020</v>
      </c>
      <c r="Y2161" t="s">
        <v>267</v>
      </c>
      <c r="Z2161" t="s">
        <v>268</v>
      </c>
      <c r="AA2161" t="s">
        <v>269</v>
      </c>
      <c r="AB2161" t="s">
        <v>131</v>
      </c>
      <c r="AC2161" t="s">
        <v>51</v>
      </c>
      <c r="AD2161" t="s">
        <v>45</v>
      </c>
      <c r="AE2161" s="1">
        <v>28517</v>
      </c>
      <c r="AF2161">
        <v>1</v>
      </c>
      <c r="AG2161" t="s">
        <v>269</v>
      </c>
      <c r="AH2161" s="36">
        <f t="shared" si="33"/>
        <v>41.5</v>
      </c>
      <c r="AI2161" s="41" t="s">
        <v>1779</v>
      </c>
    </row>
    <row r="2162" spans="1:35" x14ac:dyDescent="0.25">
      <c r="A2162" s="36">
        <v>99912160</v>
      </c>
      <c r="B2162" s="17" t="s">
        <v>32</v>
      </c>
      <c r="C2162" t="s">
        <v>90</v>
      </c>
      <c r="D2162" t="s">
        <v>91</v>
      </c>
      <c r="G2162" s="17" t="s">
        <v>35</v>
      </c>
      <c r="H2162" s="17">
        <v>1</v>
      </c>
      <c r="I2162" t="s">
        <v>115</v>
      </c>
      <c r="J2162" s="1">
        <v>43344</v>
      </c>
      <c r="K2162" t="s">
        <v>77</v>
      </c>
      <c r="L2162" t="s">
        <v>78</v>
      </c>
      <c r="M2162" t="s">
        <v>39</v>
      </c>
      <c r="N2162">
        <v>25</v>
      </c>
      <c r="O2162" t="s">
        <v>40</v>
      </c>
      <c r="S2162" t="s">
        <v>40</v>
      </c>
      <c r="U2162" s="1">
        <v>43344</v>
      </c>
      <c r="V2162" t="s">
        <v>41</v>
      </c>
      <c r="W2162" t="s">
        <v>95</v>
      </c>
      <c r="X2162" t="str">
        <f>"7371001"</f>
        <v>7371001</v>
      </c>
      <c r="Y2162" t="s">
        <v>116</v>
      </c>
      <c r="Z2162" t="s">
        <v>77</v>
      </c>
      <c r="AA2162" t="s">
        <v>78</v>
      </c>
      <c r="AB2162" t="s">
        <v>39</v>
      </c>
      <c r="AC2162" t="s">
        <v>51</v>
      </c>
      <c r="AD2162" t="s">
        <v>45</v>
      </c>
      <c r="AE2162" s="1">
        <v>28515</v>
      </c>
      <c r="AF2162">
        <v>1</v>
      </c>
      <c r="AG2162" t="s">
        <v>78</v>
      </c>
      <c r="AH2162" s="36">
        <f t="shared" si="33"/>
        <v>41.505555555555553</v>
      </c>
      <c r="AI2162" s="41" t="s">
        <v>1779</v>
      </c>
    </row>
    <row r="2163" spans="1:35" x14ac:dyDescent="0.25">
      <c r="A2163" s="36">
        <v>99912161</v>
      </c>
      <c r="B2163" s="17" t="s">
        <v>56</v>
      </c>
      <c r="C2163" t="s">
        <v>52</v>
      </c>
      <c r="D2163" t="s">
        <v>53</v>
      </c>
      <c r="G2163" s="17" t="s">
        <v>35</v>
      </c>
      <c r="H2163" s="17">
        <v>1</v>
      </c>
      <c r="K2163" t="s">
        <v>223</v>
      </c>
      <c r="L2163" t="s">
        <v>224</v>
      </c>
      <c r="M2163" t="s">
        <v>131</v>
      </c>
      <c r="N2163">
        <v>7</v>
      </c>
      <c r="O2163" t="s">
        <v>40</v>
      </c>
      <c r="P2163" t="s">
        <v>40</v>
      </c>
      <c r="Q2163" t="s">
        <v>40</v>
      </c>
      <c r="S2163" t="s">
        <v>40</v>
      </c>
      <c r="V2163" t="s">
        <v>41</v>
      </c>
      <c r="W2163" t="s">
        <v>42</v>
      </c>
      <c r="X2163" t="str">
        <f>"0580396"</f>
        <v>0580396</v>
      </c>
      <c r="Y2163" t="s">
        <v>255</v>
      </c>
      <c r="Z2163" t="s">
        <v>223</v>
      </c>
      <c r="AA2163" t="s">
        <v>224</v>
      </c>
      <c r="AB2163" t="s">
        <v>131</v>
      </c>
      <c r="AC2163" t="s">
        <v>51</v>
      </c>
      <c r="AD2163" t="s">
        <v>45</v>
      </c>
      <c r="AE2163" s="1">
        <v>28509</v>
      </c>
      <c r="AF2163">
        <v>2</v>
      </c>
      <c r="AG2163" t="s">
        <v>224</v>
      </c>
      <c r="AH2163" s="36">
        <f t="shared" si="33"/>
        <v>41.522222222222226</v>
      </c>
      <c r="AI2163" s="41" t="s">
        <v>1779</v>
      </c>
    </row>
    <row r="2164" spans="1:35" x14ac:dyDescent="0.25">
      <c r="A2164" s="36">
        <v>99912162</v>
      </c>
      <c r="B2164" s="17" t="s">
        <v>32</v>
      </c>
      <c r="C2164" t="s">
        <v>139</v>
      </c>
      <c r="D2164" t="s">
        <v>140</v>
      </c>
      <c r="G2164" s="17" t="s">
        <v>48</v>
      </c>
      <c r="H2164" s="17">
        <v>1</v>
      </c>
      <c r="K2164" t="s">
        <v>985</v>
      </c>
      <c r="L2164" t="s">
        <v>986</v>
      </c>
      <c r="M2164" t="s">
        <v>938</v>
      </c>
      <c r="N2164">
        <v>21</v>
      </c>
      <c r="O2164" t="s">
        <v>40</v>
      </c>
      <c r="P2164" t="s">
        <v>40</v>
      </c>
      <c r="Q2164" t="s">
        <v>40</v>
      </c>
      <c r="R2164" t="s">
        <v>40</v>
      </c>
      <c r="S2164" t="s">
        <v>40</v>
      </c>
      <c r="V2164" t="s">
        <v>41</v>
      </c>
      <c r="W2164" t="s">
        <v>75</v>
      </c>
      <c r="X2164" t="str">
        <f>"7011004"</f>
        <v>7011004</v>
      </c>
      <c r="Y2164" t="s">
        <v>987</v>
      </c>
      <c r="Z2164" t="s">
        <v>985</v>
      </c>
      <c r="AA2164" t="s">
        <v>986</v>
      </c>
      <c r="AB2164" t="s">
        <v>938</v>
      </c>
      <c r="AC2164" t="s">
        <v>51</v>
      </c>
      <c r="AD2164" t="s">
        <v>45</v>
      </c>
      <c r="AE2164" s="1">
        <v>28509</v>
      </c>
      <c r="AF2164">
        <v>1</v>
      </c>
      <c r="AG2164" t="s">
        <v>986</v>
      </c>
      <c r="AH2164" s="36">
        <f t="shared" si="33"/>
        <v>41.522222222222226</v>
      </c>
      <c r="AI2164" s="41" t="s">
        <v>1779</v>
      </c>
    </row>
    <row r="2165" spans="1:35" x14ac:dyDescent="0.25">
      <c r="A2165" s="36">
        <v>99912163</v>
      </c>
      <c r="B2165" s="17" t="s">
        <v>32</v>
      </c>
      <c r="C2165" t="s">
        <v>71</v>
      </c>
      <c r="D2165" t="s">
        <v>72</v>
      </c>
      <c r="G2165" s="17" t="s">
        <v>35</v>
      </c>
      <c r="H2165" s="17">
        <v>1</v>
      </c>
      <c r="K2165" t="s">
        <v>223</v>
      </c>
      <c r="L2165" t="s">
        <v>224</v>
      </c>
      <c r="M2165" t="s">
        <v>131</v>
      </c>
      <c r="N2165">
        <v>8</v>
      </c>
      <c r="O2165" t="s">
        <v>40</v>
      </c>
      <c r="P2165" t="s">
        <v>40</v>
      </c>
      <c r="Q2165" t="s">
        <v>40</v>
      </c>
      <c r="S2165" t="s">
        <v>40</v>
      </c>
      <c r="V2165" t="s">
        <v>41</v>
      </c>
      <c r="W2165" t="s">
        <v>49</v>
      </c>
      <c r="X2165" t="str">
        <f>"0591901"</f>
        <v>0591901</v>
      </c>
      <c r="Y2165" t="s">
        <v>230</v>
      </c>
      <c r="Z2165" t="s">
        <v>223</v>
      </c>
      <c r="AA2165" t="s">
        <v>224</v>
      </c>
      <c r="AB2165" t="s">
        <v>131</v>
      </c>
      <c r="AC2165" t="s">
        <v>51</v>
      </c>
      <c r="AD2165" t="s">
        <v>45</v>
      </c>
      <c r="AE2165" s="1">
        <v>28508</v>
      </c>
      <c r="AF2165">
        <v>2</v>
      </c>
      <c r="AG2165" t="s">
        <v>224</v>
      </c>
      <c r="AH2165" s="36">
        <f t="shared" si="33"/>
        <v>41.524999999999999</v>
      </c>
      <c r="AI2165" s="41" t="s">
        <v>1779</v>
      </c>
    </row>
    <row r="2166" spans="1:35" x14ac:dyDescent="0.25">
      <c r="A2166" s="36">
        <v>99912164</v>
      </c>
      <c r="B2166" s="17" t="s">
        <v>32</v>
      </c>
      <c r="C2166" t="s">
        <v>79</v>
      </c>
      <c r="D2166" t="s">
        <v>80</v>
      </c>
      <c r="G2166" s="17" t="s">
        <v>35</v>
      </c>
      <c r="H2166" s="17">
        <v>1</v>
      </c>
      <c r="K2166" t="s">
        <v>268</v>
      </c>
      <c r="L2166" t="s">
        <v>269</v>
      </c>
      <c r="M2166" t="s">
        <v>131</v>
      </c>
      <c r="N2166">
        <v>27</v>
      </c>
      <c r="O2166" t="s">
        <v>40</v>
      </c>
      <c r="P2166" t="s">
        <v>40</v>
      </c>
      <c r="Q2166" t="s">
        <v>40</v>
      </c>
      <c r="R2166" t="s">
        <v>40</v>
      </c>
      <c r="S2166" t="s">
        <v>40</v>
      </c>
      <c r="V2166" t="s">
        <v>41</v>
      </c>
      <c r="W2166" t="s">
        <v>75</v>
      </c>
      <c r="X2166" t="str">
        <f>"7052048"</f>
        <v>7052048</v>
      </c>
      <c r="Y2166" t="s">
        <v>685</v>
      </c>
      <c r="Z2166" t="s">
        <v>268</v>
      </c>
      <c r="AA2166" t="s">
        <v>269</v>
      </c>
      <c r="AB2166" t="s">
        <v>131</v>
      </c>
      <c r="AC2166" t="s">
        <v>51</v>
      </c>
      <c r="AD2166" t="s">
        <v>45</v>
      </c>
      <c r="AE2166" s="1">
        <v>28508</v>
      </c>
      <c r="AF2166">
        <v>1</v>
      </c>
      <c r="AG2166" t="s">
        <v>269</v>
      </c>
      <c r="AH2166" s="36">
        <f t="shared" si="33"/>
        <v>41.524999999999999</v>
      </c>
      <c r="AI2166" s="41" t="s">
        <v>1779</v>
      </c>
    </row>
    <row r="2167" spans="1:35" x14ac:dyDescent="0.25">
      <c r="A2167" s="36">
        <v>99912165</v>
      </c>
      <c r="B2167" s="17" t="s">
        <v>56</v>
      </c>
      <c r="C2167" t="s">
        <v>61</v>
      </c>
      <c r="D2167" t="s">
        <v>62</v>
      </c>
      <c r="G2167" s="17" t="s">
        <v>48</v>
      </c>
      <c r="H2167" s="17">
        <v>1</v>
      </c>
      <c r="K2167" t="s">
        <v>300</v>
      </c>
      <c r="L2167" t="s">
        <v>301</v>
      </c>
      <c r="M2167" t="s">
        <v>131</v>
      </c>
      <c r="N2167">
        <v>26</v>
      </c>
      <c r="O2167" t="s">
        <v>40</v>
      </c>
      <c r="P2167" t="s">
        <v>40</v>
      </c>
      <c r="Q2167" t="s">
        <v>40</v>
      </c>
      <c r="R2167" t="s">
        <v>40</v>
      </c>
      <c r="S2167" t="s">
        <v>40</v>
      </c>
      <c r="V2167" t="s">
        <v>41</v>
      </c>
      <c r="W2167" t="s">
        <v>42</v>
      </c>
      <c r="X2167" t="str">
        <f>"0580176"</f>
        <v>0580176</v>
      </c>
      <c r="Y2167" t="s">
        <v>305</v>
      </c>
      <c r="Z2167" t="s">
        <v>300</v>
      </c>
      <c r="AA2167" t="s">
        <v>301</v>
      </c>
      <c r="AB2167" t="s">
        <v>131</v>
      </c>
      <c r="AC2167" t="s">
        <v>51</v>
      </c>
      <c r="AD2167" t="s">
        <v>45</v>
      </c>
      <c r="AE2167" s="1">
        <v>28507</v>
      </c>
      <c r="AF2167">
        <v>2</v>
      </c>
      <c r="AG2167" t="s">
        <v>301</v>
      </c>
      <c r="AH2167" s="36">
        <f t="shared" si="33"/>
        <v>41.527777777777779</v>
      </c>
      <c r="AI2167" s="41" t="s">
        <v>1779</v>
      </c>
    </row>
    <row r="2168" spans="1:35" x14ac:dyDescent="0.25">
      <c r="A2168" s="36">
        <v>99912166</v>
      </c>
      <c r="B2168" s="17" t="s">
        <v>32</v>
      </c>
      <c r="C2168" t="s">
        <v>58</v>
      </c>
      <c r="D2168" t="s">
        <v>59</v>
      </c>
      <c r="G2168" s="17" t="s">
        <v>35</v>
      </c>
      <c r="H2168" s="17">
        <v>1</v>
      </c>
      <c r="K2168" t="s">
        <v>1546</v>
      </c>
      <c r="L2168" t="s">
        <v>1547</v>
      </c>
      <c r="M2168" t="s">
        <v>1548</v>
      </c>
      <c r="N2168">
        <v>19</v>
      </c>
      <c r="O2168" t="s">
        <v>40</v>
      </c>
      <c r="P2168" t="s">
        <v>40</v>
      </c>
      <c r="Q2168" t="s">
        <v>40</v>
      </c>
      <c r="R2168" t="s">
        <v>40</v>
      </c>
      <c r="S2168" t="s">
        <v>40</v>
      </c>
      <c r="V2168" t="s">
        <v>41</v>
      </c>
      <c r="W2168" t="s">
        <v>42</v>
      </c>
      <c r="X2168" t="str">
        <f>"1080010"</f>
        <v>1080010</v>
      </c>
      <c r="Y2168" t="s">
        <v>1549</v>
      </c>
      <c r="Z2168" t="s">
        <v>1546</v>
      </c>
      <c r="AA2168" t="s">
        <v>1547</v>
      </c>
      <c r="AB2168" t="s">
        <v>1548</v>
      </c>
      <c r="AC2168" t="s">
        <v>51</v>
      </c>
      <c r="AD2168" t="s">
        <v>45</v>
      </c>
      <c r="AE2168" s="1">
        <v>28505</v>
      </c>
      <c r="AF2168">
        <v>2</v>
      </c>
      <c r="AG2168" t="s">
        <v>1547</v>
      </c>
      <c r="AH2168" s="36">
        <f t="shared" si="33"/>
        <v>41.533333333333331</v>
      </c>
      <c r="AI2168" s="41" t="s">
        <v>1779</v>
      </c>
    </row>
    <row r="2169" spans="1:35" x14ac:dyDescent="0.25">
      <c r="A2169" s="36">
        <v>99912167</v>
      </c>
      <c r="B2169" s="17" t="s">
        <v>32</v>
      </c>
      <c r="C2169" t="s">
        <v>68</v>
      </c>
      <c r="D2169" t="s">
        <v>69</v>
      </c>
      <c r="G2169" s="17" t="s">
        <v>48</v>
      </c>
      <c r="H2169" s="17">
        <v>1</v>
      </c>
      <c r="K2169" t="s">
        <v>300</v>
      </c>
      <c r="L2169" t="s">
        <v>301</v>
      </c>
      <c r="M2169" t="s">
        <v>131</v>
      </c>
      <c r="N2169">
        <v>8</v>
      </c>
      <c r="O2169" t="s">
        <v>40</v>
      </c>
      <c r="P2169" t="s">
        <v>40</v>
      </c>
      <c r="Q2169" t="s">
        <v>40</v>
      </c>
      <c r="R2169" t="s">
        <v>40</v>
      </c>
      <c r="S2169" t="s">
        <v>40</v>
      </c>
      <c r="V2169" t="s">
        <v>41</v>
      </c>
      <c r="W2169" t="s">
        <v>42</v>
      </c>
      <c r="X2169" t="str">
        <f>"0561001"</f>
        <v>0561001</v>
      </c>
      <c r="Y2169" t="s">
        <v>308</v>
      </c>
      <c r="Z2169" t="s">
        <v>300</v>
      </c>
      <c r="AA2169" t="s">
        <v>301</v>
      </c>
      <c r="AB2169" t="s">
        <v>131</v>
      </c>
      <c r="AC2169" t="s">
        <v>51</v>
      </c>
      <c r="AD2169" t="s">
        <v>45</v>
      </c>
      <c r="AE2169" s="1">
        <v>28503</v>
      </c>
      <c r="AF2169">
        <v>2</v>
      </c>
      <c r="AG2169" t="s">
        <v>301</v>
      </c>
      <c r="AH2169" s="36">
        <f t="shared" si="33"/>
        <v>41.538888888888891</v>
      </c>
      <c r="AI2169" s="41" t="s">
        <v>1779</v>
      </c>
    </row>
    <row r="2170" spans="1:35" x14ac:dyDescent="0.25">
      <c r="A2170" s="36">
        <v>99912168</v>
      </c>
      <c r="B2170" s="17" t="s">
        <v>32</v>
      </c>
      <c r="C2170" t="s">
        <v>139</v>
      </c>
      <c r="D2170" t="s">
        <v>140</v>
      </c>
      <c r="G2170" s="17" t="s">
        <v>88</v>
      </c>
      <c r="H2170" s="17">
        <v>2</v>
      </c>
      <c r="I2170" t="s">
        <v>433</v>
      </c>
      <c r="J2170" s="1">
        <v>40422</v>
      </c>
      <c r="K2170" t="s">
        <v>431</v>
      </c>
      <c r="L2170" t="s">
        <v>196</v>
      </c>
      <c r="M2170" t="s">
        <v>131</v>
      </c>
      <c r="N2170">
        <v>8</v>
      </c>
      <c r="O2170" t="s">
        <v>40</v>
      </c>
      <c r="P2170" t="s">
        <v>40</v>
      </c>
      <c r="Q2170" t="s">
        <v>40</v>
      </c>
      <c r="R2170" t="s">
        <v>40</v>
      </c>
      <c r="S2170" t="s">
        <v>40</v>
      </c>
      <c r="U2170" s="1">
        <v>40422</v>
      </c>
      <c r="V2170" t="s">
        <v>41</v>
      </c>
      <c r="W2170" t="s">
        <v>75</v>
      </c>
      <c r="X2170" t="str">
        <f>"7521012"</f>
        <v>7521012</v>
      </c>
      <c r="Y2170" t="s">
        <v>432</v>
      </c>
      <c r="Z2170" t="s">
        <v>431</v>
      </c>
      <c r="AA2170" t="s">
        <v>196</v>
      </c>
      <c r="AB2170" t="s">
        <v>131</v>
      </c>
      <c r="AC2170" t="s">
        <v>165</v>
      </c>
      <c r="AD2170" t="s">
        <v>45</v>
      </c>
      <c r="AE2170" s="1">
        <v>28503</v>
      </c>
      <c r="AF2170">
        <v>1</v>
      </c>
      <c r="AG2170" t="s">
        <v>196</v>
      </c>
      <c r="AH2170" s="36">
        <f t="shared" si="33"/>
        <v>41.538888888888891</v>
      </c>
      <c r="AI2170" s="41" t="s">
        <v>1779</v>
      </c>
    </row>
    <row r="2171" spans="1:35" x14ac:dyDescent="0.25">
      <c r="A2171" s="36">
        <v>99912169</v>
      </c>
      <c r="B2171" s="17" t="s">
        <v>56</v>
      </c>
      <c r="C2171" t="s">
        <v>52</v>
      </c>
      <c r="D2171" t="s">
        <v>53</v>
      </c>
      <c r="G2171" s="17" t="s">
        <v>35</v>
      </c>
      <c r="H2171" s="17">
        <v>1</v>
      </c>
      <c r="K2171" t="s">
        <v>223</v>
      </c>
      <c r="L2171" t="s">
        <v>224</v>
      </c>
      <c r="M2171" t="s">
        <v>131</v>
      </c>
      <c r="N2171">
        <v>23</v>
      </c>
      <c r="O2171" t="s">
        <v>40</v>
      </c>
      <c r="P2171" t="s">
        <v>40</v>
      </c>
      <c r="Q2171" t="s">
        <v>40</v>
      </c>
      <c r="R2171" t="s">
        <v>40</v>
      </c>
      <c r="S2171" t="s">
        <v>40</v>
      </c>
      <c r="V2171" t="s">
        <v>41</v>
      </c>
      <c r="W2171" t="s">
        <v>42</v>
      </c>
      <c r="X2171" t="str">
        <f>"0590901"</f>
        <v>0590901</v>
      </c>
      <c r="Y2171" t="s">
        <v>242</v>
      </c>
      <c r="Z2171" t="s">
        <v>223</v>
      </c>
      <c r="AA2171" t="s">
        <v>224</v>
      </c>
      <c r="AB2171" t="s">
        <v>131</v>
      </c>
      <c r="AC2171" t="s">
        <v>51</v>
      </c>
      <c r="AD2171" t="s">
        <v>45</v>
      </c>
      <c r="AE2171" s="1">
        <v>28499</v>
      </c>
      <c r="AF2171">
        <v>2</v>
      </c>
      <c r="AG2171" t="s">
        <v>224</v>
      </c>
      <c r="AH2171" s="36">
        <f t="shared" si="33"/>
        <v>41.55</v>
      </c>
      <c r="AI2171" s="41" t="s">
        <v>1779</v>
      </c>
    </row>
    <row r="2172" spans="1:35" x14ac:dyDescent="0.25">
      <c r="A2172" s="36">
        <v>99912170</v>
      </c>
      <c r="B2172" s="17" t="s">
        <v>56</v>
      </c>
      <c r="C2172" t="s">
        <v>46</v>
      </c>
      <c r="D2172" t="s">
        <v>47</v>
      </c>
      <c r="G2172" s="17" t="s">
        <v>48</v>
      </c>
      <c r="H2172" s="17">
        <v>1</v>
      </c>
      <c r="K2172" t="s">
        <v>223</v>
      </c>
      <c r="L2172" t="s">
        <v>224</v>
      </c>
      <c r="M2172" t="s">
        <v>131</v>
      </c>
      <c r="N2172">
        <v>21</v>
      </c>
      <c r="O2172" t="s">
        <v>40</v>
      </c>
      <c r="P2172" t="s">
        <v>40</v>
      </c>
      <c r="Q2172" t="s">
        <v>40</v>
      </c>
      <c r="S2172" t="s">
        <v>40</v>
      </c>
      <c r="V2172" t="s">
        <v>41</v>
      </c>
      <c r="W2172" t="s">
        <v>42</v>
      </c>
      <c r="X2172" t="str">
        <f>"0580200"</f>
        <v>0580200</v>
      </c>
      <c r="Y2172" t="s">
        <v>245</v>
      </c>
      <c r="Z2172" t="s">
        <v>223</v>
      </c>
      <c r="AA2172" t="s">
        <v>224</v>
      </c>
      <c r="AB2172" t="s">
        <v>131</v>
      </c>
      <c r="AC2172" t="s">
        <v>51</v>
      </c>
      <c r="AD2172" t="s">
        <v>45</v>
      </c>
      <c r="AE2172" s="1">
        <v>28499</v>
      </c>
      <c r="AF2172">
        <v>2</v>
      </c>
      <c r="AG2172" t="s">
        <v>224</v>
      </c>
      <c r="AH2172" s="36">
        <f t="shared" si="33"/>
        <v>41.55</v>
      </c>
      <c r="AI2172" s="41" t="s">
        <v>1779</v>
      </c>
    </row>
    <row r="2173" spans="1:35" x14ac:dyDescent="0.25">
      <c r="A2173" s="36">
        <v>99912171</v>
      </c>
      <c r="B2173" s="17" t="s">
        <v>32</v>
      </c>
      <c r="C2173" t="s">
        <v>46</v>
      </c>
      <c r="D2173" t="s">
        <v>47</v>
      </c>
      <c r="G2173" s="17" t="s">
        <v>48</v>
      </c>
      <c r="H2173" s="17">
        <v>1</v>
      </c>
      <c r="K2173" t="s">
        <v>77</v>
      </c>
      <c r="L2173" t="s">
        <v>78</v>
      </c>
      <c r="M2173" t="s">
        <v>39</v>
      </c>
      <c r="N2173">
        <v>24</v>
      </c>
      <c r="O2173" t="s">
        <v>40</v>
      </c>
      <c r="P2173" t="s">
        <v>40</v>
      </c>
      <c r="Q2173" t="s">
        <v>40</v>
      </c>
      <c r="R2173" t="s">
        <v>40</v>
      </c>
      <c r="S2173" t="s">
        <v>40</v>
      </c>
      <c r="V2173" t="s">
        <v>41</v>
      </c>
      <c r="W2173" t="s">
        <v>75</v>
      </c>
      <c r="X2173" t="str">
        <f>"7371000"</f>
        <v>7371000</v>
      </c>
      <c r="Y2173" t="s">
        <v>76</v>
      </c>
      <c r="Z2173" t="s">
        <v>77</v>
      </c>
      <c r="AA2173" t="s">
        <v>78</v>
      </c>
      <c r="AB2173" t="s">
        <v>39</v>
      </c>
      <c r="AC2173" t="s">
        <v>51</v>
      </c>
      <c r="AD2173" t="s">
        <v>45</v>
      </c>
      <c r="AE2173" s="1">
        <v>28491</v>
      </c>
      <c r="AF2173">
        <v>1</v>
      </c>
      <c r="AG2173" t="s">
        <v>78</v>
      </c>
      <c r="AH2173" s="36">
        <f t="shared" si="33"/>
        <v>41.572222222222223</v>
      </c>
      <c r="AI2173" s="41" t="s">
        <v>1779</v>
      </c>
    </row>
    <row r="2174" spans="1:35" x14ac:dyDescent="0.25">
      <c r="A2174" s="36">
        <v>99912172</v>
      </c>
      <c r="B2174" s="17" t="s">
        <v>32</v>
      </c>
      <c r="C2174" t="s">
        <v>46</v>
      </c>
      <c r="D2174" t="s">
        <v>47</v>
      </c>
      <c r="G2174" s="17" t="s">
        <v>35</v>
      </c>
      <c r="H2174" s="17">
        <v>1</v>
      </c>
      <c r="K2174" t="s">
        <v>157</v>
      </c>
      <c r="L2174" t="s">
        <v>158</v>
      </c>
      <c r="M2174" t="s">
        <v>131</v>
      </c>
      <c r="N2174">
        <v>23</v>
      </c>
      <c r="O2174" t="s">
        <v>40</v>
      </c>
      <c r="P2174" t="s">
        <v>40</v>
      </c>
      <c r="Q2174" t="s">
        <v>40</v>
      </c>
      <c r="R2174" t="s">
        <v>40</v>
      </c>
      <c r="S2174" t="s">
        <v>40</v>
      </c>
      <c r="V2174" t="s">
        <v>41</v>
      </c>
      <c r="W2174" t="s">
        <v>42</v>
      </c>
      <c r="X2174" t="str">
        <f>"0580250"</f>
        <v>0580250</v>
      </c>
      <c r="Y2174" t="s">
        <v>160</v>
      </c>
      <c r="Z2174" t="s">
        <v>157</v>
      </c>
      <c r="AA2174" t="s">
        <v>158</v>
      </c>
      <c r="AB2174" t="s">
        <v>131</v>
      </c>
      <c r="AC2174" t="s">
        <v>51</v>
      </c>
      <c r="AD2174" t="s">
        <v>45</v>
      </c>
      <c r="AE2174" s="1">
        <v>28491</v>
      </c>
      <c r="AF2174">
        <v>2</v>
      </c>
      <c r="AG2174" t="s">
        <v>158</v>
      </c>
      <c r="AH2174" s="36">
        <f t="shared" si="33"/>
        <v>41.572222222222223</v>
      </c>
      <c r="AI2174" s="41" t="s">
        <v>1779</v>
      </c>
    </row>
    <row r="2175" spans="1:35" x14ac:dyDescent="0.25">
      <c r="A2175" s="36">
        <v>99912173</v>
      </c>
      <c r="B2175" s="17" t="s">
        <v>32</v>
      </c>
      <c r="C2175" t="s">
        <v>46</v>
      </c>
      <c r="D2175" t="s">
        <v>47</v>
      </c>
      <c r="G2175" s="17" t="s">
        <v>48</v>
      </c>
      <c r="H2175" s="17">
        <v>1</v>
      </c>
      <c r="K2175" t="s">
        <v>223</v>
      </c>
      <c r="L2175" t="s">
        <v>224</v>
      </c>
      <c r="M2175" t="s">
        <v>131</v>
      </c>
      <c r="N2175">
        <v>21</v>
      </c>
      <c r="O2175" t="s">
        <v>40</v>
      </c>
      <c r="P2175" t="s">
        <v>40</v>
      </c>
      <c r="Q2175" t="s">
        <v>40</v>
      </c>
      <c r="R2175" t="s">
        <v>40</v>
      </c>
      <c r="S2175" t="s">
        <v>40</v>
      </c>
      <c r="V2175" t="s">
        <v>41</v>
      </c>
      <c r="W2175" t="s">
        <v>49</v>
      </c>
      <c r="X2175" t="str">
        <f>"0540902"</f>
        <v>0540902</v>
      </c>
      <c r="Y2175" t="s">
        <v>256</v>
      </c>
      <c r="Z2175" t="s">
        <v>223</v>
      </c>
      <c r="AA2175" t="s">
        <v>224</v>
      </c>
      <c r="AB2175" t="s">
        <v>131</v>
      </c>
      <c r="AC2175" t="s">
        <v>51</v>
      </c>
      <c r="AD2175" t="s">
        <v>45</v>
      </c>
      <c r="AE2175" s="1">
        <v>28491</v>
      </c>
      <c r="AF2175">
        <v>2</v>
      </c>
      <c r="AG2175" t="s">
        <v>224</v>
      </c>
      <c r="AH2175" s="36">
        <f t="shared" si="33"/>
        <v>41.572222222222223</v>
      </c>
      <c r="AI2175" s="41" t="s">
        <v>1779</v>
      </c>
    </row>
    <row r="2176" spans="1:35" x14ac:dyDescent="0.25">
      <c r="A2176" s="36">
        <v>99912174</v>
      </c>
      <c r="B2176" s="17" t="s">
        <v>56</v>
      </c>
      <c r="C2176" t="s">
        <v>52</v>
      </c>
      <c r="D2176" t="s">
        <v>53</v>
      </c>
      <c r="G2176" s="17" t="s">
        <v>35</v>
      </c>
      <c r="H2176" s="17">
        <v>1</v>
      </c>
      <c r="K2176" t="s">
        <v>345</v>
      </c>
      <c r="L2176" t="s">
        <v>346</v>
      </c>
      <c r="M2176" t="s">
        <v>131</v>
      </c>
      <c r="N2176">
        <v>21</v>
      </c>
      <c r="O2176" t="s">
        <v>40</v>
      </c>
      <c r="P2176" t="s">
        <v>40</v>
      </c>
      <c r="Q2176" t="s">
        <v>40</v>
      </c>
      <c r="R2176" t="s">
        <v>40</v>
      </c>
      <c r="S2176" t="s">
        <v>40</v>
      </c>
      <c r="V2176" t="s">
        <v>41</v>
      </c>
      <c r="W2176" t="s">
        <v>42</v>
      </c>
      <c r="X2176" t="str">
        <f>"0561006"</f>
        <v>0561006</v>
      </c>
      <c r="Y2176" t="s">
        <v>360</v>
      </c>
      <c r="Z2176" t="s">
        <v>345</v>
      </c>
      <c r="AA2176" t="s">
        <v>346</v>
      </c>
      <c r="AB2176" t="s">
        <v>131</v>
      </c>
      <c r="AC2176" t="s">
        <v>51</v>
      </c>
      <c r="AD2176" t="s">
        <v>45</v>
      </c>
      <c r="AE2176" s="1">
        <v>28491</v>
      </c>
      <c r="AF2176">
        <v>2</v>
      </c>
      <c r="AG2176" t="s">
        <v>346</v>
      </c>
      <c r="AH2176" s="36">
        <f t="shared" si="33"/>
        <v>41.572222222222223</v>
      </c>
      <c r="AI2176" s="41" t="s">
        <v>1779</v>
      </c>
    </row>
    <row r="2177" spans="1:35" x14ac:dyDescent="0.25">
      <c r="A2177" s="36">
        <v>99912175</v>
      </c>
      <c r="B2177" s="17" t="s">
        <v>32</v>
      </c>
      <c r="C2177" t="s">
        <v>79</v>
      </c>
      <c r="D2177" t="s">
        <v>80</v>
      </c>
      <c r="G2177" s="17" t="s">
        <v>48</v>
      </c>
      <c r="H2177" s="17">
        <v>1</v>
      </c>
      <c r="K2177" t="s">
        <v>345</v>
      </c>
      <c r="L2177" t="s">
        <v>346</v>
      </c>
      <c r="M2177" t="s">
        <v>131</v>
      </c>
      <c r="N2177">
        <v>12</v>
      </c>
      <c r="O2177" t="s">
        <v>40</v>
      </c>
      <c r="P2177" t="s">
        <v>40</v>
      </c>
      <c r="Q2177" t="s">
        <v>40</v>
      </c>
      <c r="R2177" t="s">
        <v>40</v>
      </c>
      <c r="S2177" t="s">
        <v>40</v>
      </c>
      <c r="V2177" t="s">
        <v>41</v>
      </c>
      <c r="W2177" t="s">
        <v>75</v>
      </c>
      <c r="X2177" t="str">
        <f>"7054038"</f>
        <v>7054038</v>
      </c>
      <c r="Y2177" t="s">
        <v>377</v>
      </c>
      <c r="Z2177" t="s">
        <v>354</v>
      </c>
      <c r="AA2177" t="s">
        <v>355</v>
      </c>
      <c r="AB2177" t="s">
        <v>131</v>
      </c>
      <c r="AC2177" t="s">
        <v>51</v>
      </c>
      <c r="AD2177" t="s">
        <v>45</v>
      </c>
      <c r="AE2177" s="1">
        <v>28491</v>
      </c>
      <c r="AF2177">
        <v>2</v>
      </c>
      <c r="AG2177" t="s">
        <v>346</v>
      </c>
      <c r="AH2177" s="36">
        <f t="shared" si="33"/>
        <v>41.572222222222223</v>
      </c>
      <c r="AI2177" s="41" t="s">
        <v>1779</v>
      </c>
    </row>
    <row r="2178" spans="1:35" x14ac:dyDescent="0.25">
      <c r="A2178" s="36">
        <v>99912176</v>
      </c>
      <c r="B2178" s="17" t="s">
        <v>32</v>
      </c>
      <c r="C2178" t="s">
        <v>46</v>
      </c>
      <c r="D2178" t="s">
        <v>47</v>
      </c>
      <c r="G2178" s="17" t="s">
        <v>48</v>
      </c>
      <c r="H2178" s="17">
        <v>1</v>
      </c>
      <c r="K2178" t="s">
        <v>380</v>
      </c>
      <c r="L2178" t="s">
        <v>381</v>
      </c>
      <c r="M2178" t="s">
        <v>131</v>
      </c>
      <c r="N2178">
        <v>22</v>
      </c>
      <c r="O2178" t="s">
        <v>40</v>
      </c>
      <c r="P2178" t="s">
        <v>40</v>
      </c>
      <c r="Q2178" t="s">
        <v>40</v>
      </c>
      <c r="R2178" t="s">
        <v>40</v>
      </c>
      <c r="S2178" t="s">
        <v>40</v>
      </c>
      <c r="V2178" t="s">
        <v>41</v>
      </c>
      <c r="W2178" t="s">
        <v>49</v>
      </c>
      <c r="X2178" t="str">
        <f>"0580552"</f>
        <v>0580552</v>
      </c>
      <c r="Y2178" t="s">
        <v>386</v>
      </c>
      <c r="Z2178" t="s">
        <v>380</v>
      </c>
      <c r="AA2178" t="s">
        <v>381</v>
      </c>
      <c r="AB2178" t="s">
        <v>131</v>
      </c>
      <c r="AC2178" t="s">
        <v>51</v>
      </c>
      <c r="AD2178" t="s">
        <v>45</v>
      </c>
      <c r="AE2178" s="1">
        <v>28491</v>
      </c>
      <c r="AF2178">
        <v>2</v>
      </c>
      <c r="AG2178" t="s">
        <v>381</v>
      </c>
      <c r="AH2178" s="36">
        <f t="shared" ref="AH2178:AH2241" si="34">($AJ$1-AE2178)/360</f>
        <v>41.572222222222223</v>
      </c>
      <c r="AI2178" s="41" t="s">
        <v>1779</v>
      </c>
    </row>
    <row r="2179" spans="1:35" x14ac:dyDescent="0.25">
      <c r="A2179" s="36">
        <v>99912177</v>
      </c>
      <c r="B2179" s="17" t="s">
        <v>32</v>
      </c>
      <c r="C2179" t="s">
        <v>71</v>
      </c>
      <c r="D2179" t="s">
        <v>72</v>
      </c>
      <c r="G2179" s="17" t="s">
        <v>48</v>
      </c>
      <c r="H2179" s="17">
        <v>1</v>
      </c>
      <c r="K2179" t="s">
        <v>380</v>
      </c>
      <c r="L2179" t="s">
        <v>381</v>
      </c>
      <c r="M2179" t="s">
        <v>131</v>
      </c>
      <c r="N2179">
        <v>6</v>
      </c>
      <c r="O2179" t="s">
        <v>40</v>
      </c>
      <c r="P2179" t="s">
        <v>40</v>
      </c>
      <c r="Q2179" t="s">
        <v>40</v>
      </c>
      <c r="R2179" t="s">
        <v>40</v>
      </c>
      <c r="S2179" t="s">
        <v>40</v>
      </c>
      <c r="V2179" t="s">
        <v>41</v>
      </c>
      <c r="W2179" t="s">
        <v>49</v>
      </c>
      <c r="X2179" t="str">
        <f>"0581575"</f>
        <v>0581575</v>
      </c>
      <c r="Y2179" t="s">
        <v>392</v>
      </c>
      <c r="Z2179" t="s">
        <v>380</v>
      </c>
      <c r="AA2179" t="s">
        <v>381</v>
      </c>
      <c r="AB2179" t="s">
        <v>131</v>
      </c>
      <c r="AC2179" t="s">
        <v>51</v>
      </c>
      <c r="AD2179" t="s">
        <v>45</v>
      </c>
      <c r="AE2179" s="1">
        <v>28491</v>
      </c>
      <c r="AF2179">
        <v>2</v>
      </c>
      <c r="AG2179" t="s">
        <v>381</v>
      </c>
      <c r="AH2179" s="36">
        <f t="shared" si="34"/>
        <v>41.572222222222223</v>
      </c>
      <c r="AI2179" s="41" t="s">
        <v>1779</v>
      </c>
    </row>
    <row r="2180" spans="1:35" x14ac:dyDescent="0.25">
      <c r="A2180" s="36">
        <v>99912178</v>
      </c>
      <c r="B2180" s="17" t="s">
        <v>32</v>
      </c>
      <c r="C2180" t="s">
        <v>204</v>
      </c>
      <c r="D2180" t="s">
        <v>205</v>
      </c>
      <c r="G2180" s="17" t="s">
        <v>35</v>
      </c>
      <c r="H2180" s="17">
        <v>1</v>
      </c>
      <c r="K2180" t="s">
        <v>431</v>
      </c>
      <c r="L2180" t="s">
        <v>196</v>
      </c>
      <c r="M2180" t="s">
        <v>131</v>
      </c>
      <c r="N2180">
        <v>6</v>
      </c>
      <c r="O2180" t="s">
        <v>40</v>
      </c>
      <c r="P2180" t="s">
        <v>40</v>
      </c>
      <c r="Q2180" t="s">
        <v>40</v>
      </c>
      <c r="R2180" t="s">
        <v>40</v>
      </c>
      <c r="S2180" t="s">
        <v>40</v>
      </c>
      <c r="V2180" t="s">
        <v>41</v>
      </c>
      <c r="W2180" t="s">
        <v>75</v>
      </c>
      <c r="X2180" t="str">
        <f>"7521056"</f>
        <v>7521056</v>
      </c>
      <c r="Y2180" t="s">
        <v>437</v>
      </c>
      <c r="Z2180" t="s">
        <v>431</v>
      </c>
      <c r="AA2180" t="s">
        <v>196</v>
      </c>
      <c r="AB2180" t="s">
        <v>131</v>
      </c>
      <c r="AC2180" t="s">
        <v>51</v>
      </c>
      <c r="AD2180" t="s">
        <v>45</v>
      </c>
      <c r="AE2180" s="1">
        <v>28491</v>
      </c>
      <c r="AF2180">
        <v>1</v>
      </c>
      <c r="AG2180" t="s">
        <v>196</v>
      </c>
      <c r="AH2180" s="36">
        <f t="shared" si="34"/>
        <v>41.572222222222223</v>
      </c>
      <c r="AI2180" s="41" t="s">
        <v>1779</v>
      </c>
    </row>
    <row r="2181" spans="1:35" x14ac:dyDescent="0.25">
      <c r="A2181" s="36">
        <v>99912179</v>
      </c>
      <c r="B2181" s="17" t="s">
        <v>32</v>
      </c>
      <c r="C2181" t="s">
        <v>111</v>
      </c>
      <c r="D2181" t="s">
        <v>112</v>
      </c>
      <c r="G2181" s="17" t="s">
        <v>35</v>
      </c>
      <c r="H2181" s="17">
        <v>1</v>
      </c>
      <c r="I2181">
        <v>2172</v>
      </c>
      <c r="J2181" s="1">
        <v>43344</v>
      </c>
      <c r="K2181" t="s">
        <v>268</v>
      </c>
      <c r="L2181" t="s">
        <v>269</v>
      </c>
      <c r="M2181" t="s">
        <v>131</v>
      </c>
      <c r="N2181">
        <v>22</v>
      </c>
      <c r="O2181" t="s">
        <v>40</v>
      </c>
      <c r="S2181" t="s">
        <v>40</v>
      </c>
      <c r="V2181" t="s">
        <v>41</v>
      </c>
      <c r="W2181" t="s">
        <v>75</v>
      </c>
      <c r="X2181" t="str">
        <f>"7052012"</f>
        <v>7052012</v>
      </c>
      <c r="Y2181" t="s">
        <v>270</v>
      </c>
      <c r="Z2181" t="s">
        <v>268</v>
      </c>
      <c r="AA2181" t="s">
        <v>269</v>
      </c>
      <c r="AB2181" t="s">
        <v>131</v>
      </c>
      <c r="AC2181" t="s">
        <v>51</v>
      </c>
      <c r="AD2181" t="s">
        <v>45</v>
      </c>
      <c r="AE2181" s="1">
        <v>28491</v>
      </c>
      <c r="AF2181">
        <v>1</v>
      </c>
      <c r="AG2181" t="s">
        <v>269</v>
      </c>
      <c r="AH2181" s="36">
        <f t="shared" si="34"/>
        <v>41.572222222222223</v>
      </c>
      <c r="AI2181" s="41" t="s">
        <v>1779</v>
      </c>
    </row>
    <row r="2182" spans="1:35" x14ac:dyDescent="0.25">
      <c r="A2182" s="36">
        <v>99912180</v>
      </c>
      <c r="B2182" s="17" t="s">
        <v>32</v>
      </c>
      <c r="C2182" t="s">
        <v>64</v>
      </c>
      <c r="D2182" t="s">
        <v>65</v>
      </c>
      <c r="G2182" s="17" t="s">
        <v>35</v>
      </c>
      <c r="H2182" s="17">
        <v>1</v>
      </c>
      <c r="I2182">
        <v>13224</v>
      </c>
      <c r="J2182" s="1">
        <v>43344</v>
      </c>
      <c r="K2182" t="s">
        <v>354</v>
      </c>
      <c r="L2182" t="s">
        <v>355</v>
      </c>
      <c r="M2182" t="s">
        <v>131</v>
      </c>
      <c r="N2182">
        <v>24</v>
      </c>
      <c r="O2182" t="s">
        <v>40</v>
      </c>
      <c r="P2182" t="s">
        <v>40</v>
      </c>
      <c r="Q2182" t="s">
        <v>40</v>
      </c>
      <c r="R2182" t="s">
        <v>40</v>
      </c>
      <c r="S2182" t="s">
        <v>40</v>
      </c>
      <c r="U2182" s="1">
        <v>43344</v>
      </c>
      <c r="V2182" t="s">
        <v>41</v>
      </c>
      <c r="W2182" t="s">
        <v>75</v>
      </c>
      <c r="X2182" t="str">
        <f>"7054042"</f>
        <v>7054042</v>
      </c>
      <c r="Y2182" t="s">
        <v>776</v>
      </c>
      <c r="Z2182" t="s">
        <v>354</v>
      </c>
      <c r="AA2182" t="s">
        <v>355</v>
      </c>
      <c r="AB2182" t="s">
        <v>131</v>
      </c>
      <c r="AC2182" t="s">
        <v>55</v>
      </c>
      <c r="AD2182" t="s">
        <v>45</v>
      </c>
      <c r="AE2182" s="1">
        <v>28491</v>
      </c>
      <c r="AF2182">
        <v>1</v>
      </c>
      <c r="AG2182" t="s">
        <v>355</v>
      </c>
      <c r="AH2182" s="36">
        <f t="shared" si="34"/>
        <v>41.572222222222223</v>
      </c>
      <c r="AI2182" s="41" t="s">
        <v>1779</v>
      </c>
    </row>
    <row r="2183" spans="1:35" x14ac:dyDescent="0.25">
      <c r="A2183" s="36">
        <v>99912181</v>
      </c>
      <c r="B2183" s="17" t="s">
        <v>32</v>
      </c>
      <c r="C2183" t="s">
        <v>64</v>
      </c>
      <c r="D2183" t="s">
        <v>65</v>
      </c>
      <c r="G2183" s="17" t="s">
        <v>35</v>
      </c>
      <c r="H2183" s="17">
        <v>1</v>
      </c>
      <c r="I2183">
        <v>13024</v>
      </c>
      <c r="J2183" s="1">
        <v>43344</v>
      </c>
      <c r="K2183" t="s">
        <v>354</v>
      </c>
      <c r="L2183" t="s">
        <v>355</v>
      </c>
      <c r="M2183" t="s">
        <v>131</v>
      </c>
      <c r="N2183">
        <v>24</v>
      </c>
      <c r="O2183" t="s">
        <v>40</v>
      </c>
      <c r="P2183" t="s">
        <v>40</v>
      </c>
      <c r="Q2183" t="s">
        <v>40</v>
      </c>
      <c r="R2183" t="s">
        <v>40</v>
      </c>
      <c r="S2183" t="s">
        <v>40</v>
      </c>
      <c r="U2183" s="1">
        <v>43344</v>
      </c>
      <c r="V2183" t="s">
        <v>41</v>
      </c>
      <c r="W2183" t="s">
        <v>75</v>
      </c>
      <c r="X2183" t="str">
        <f>"7054042"</f>
        <v>7054042</v>
      </c>
      <c r="Y2183" t="s">
        <v>776</v>
      </c>
      <c r="Z2183" t="s">
        <v>354</v>
      </c>
      <c r="AA2183" t="s">
        <v>355</v>
      </c>
      <c r="AB2183" t="s">
        <v>131</v>
      </c>
      <c r="AC2183" t="s">
        <v>51</v>
      </c>
      <c r="AD2183" t="s">
        <v>45</v>
      </c>
      <c r="AE2183" s="1">
        <v>28491</v>
      </c>
      <c r="AF2183">
        <v>1</v>
      </c>
      <c r="AG2183" t="s">
        <v>355</v>
      </c>
      <c r="AH2183" s="36">
        <f t="shared" si="34"/>
        <v>41.572222222222223</v>
      </c>
      <c r="AI2183" s="41" t="s">
        <v>1779</v>
      </c>
    </row>
    <row r="2184" spans="1:35" x14ac:dyDescent="0.25">
      <c r="A2184" s="36">
        <v>99912182</v>
      </c>
      <c r="B2184" s="17" t="s">
        <v>32</v>
      </c>
      <c r="C2184" t="s">
        <v>64</v>
      </c>
      <c r="D2184" t="s">
        <v>65</v>
      </c>
      <c r="G2184" s="17" t="s">
        <v>35</v>
      </c>
      <c r="H2184" s="17">
        <v>1</v>
      </c>
      <c r="I2184" t="s">
        <v>279</v>
      </c>
      <c r="J2184" s="1">
        <v>41599</v>
      </c>
      <c r="K2184" t="s">
        <v>354</v>
      </c>
      <c r="L2184" t="s">
        <v>355</v>
      </c>
      <c r="M2184" t="s">
        <v>131</v>
      </c>
      <c r="N2184">
        <v>20</v>
      </c>
      <c r="O2184" t="s">
        <v>40</v>
      </c>
      <c r="P2184" t="s">
        <v>40</v>
      </c>
      <c r="Q2184" t="s">
        <v>40</v>
      </c>
      <c r="R2184" t="s">
        <v>40</v>
      </c>
      <c r="S2184" t="s">
        <v>40</v>
      </c>
      <c r="U2184" s="1">
        <v>41599</v>
      </c>
      <c r="V2184" t="s">
        <v>41</v>
      </c>
      <c r="W2184" t="s">
        <v>75</v>
      </c>
      <c r="X2184" t="str">
        <f>"7054000"</f>
        <v>7054000</v>
      </c>
      <c r="Y2184" t="s">
        <v>786</v>
      </c>
      <c r="Z2184" t="s">
        <v>354</v>
      </c>
      <c r="AA2184" t="s">
        <v>355</v>
      </c>
      <c r="AB2184" t="s">
        <v>131</v>
      </c>
      <c r="AC2184" t="s">
        <v>51</v>
      </c>
      <c r="AD2184" t="s">
        <v>45</v>
      </c>
      <c r="AE2184" s="1">
        <v>28491</v>
      </c>
      <c r="AF2184">
        <v>1</v>
      </c>
      <c r="AG2184" t="s">
        <v>355</v>
      </c>
      <c r="AH2184" s="36">
        <f t="shared" si="34"/>
        <v>41.572222222222223</v>
      </c>
      <c r="AI2184" s="41" t="s">
        <v>1779</v>
      </c>
    </row>
    <row r="2185" spans="1:35" x14ac:dyDescent="0.25">
      <c r="A2185" s="36">
        <v>99912183</v>
      </c>
      <c r="B2185" s="17" t="s">
        <v>32</v>
      </c>
      <c r="C2185" t="s">
        <v>141</v>
      </c>
      <c r="D2185" t="s">
        <v>142</v>
      </c>
      <c r="G2185" s="17" t="s">
        <v>35</v>
      </c>
      <c r="H2185" s="17">
        <v>1</v>
      </c>
      <c r="I2185">
        <v>2688</v>
      </c>
      <c r="J2185" s="1">
        <v>43344</v>
      </c>
      <c r="K2185" t="s">
        <v>354</v>
      </c>
      <c r="L2185" t="s">
        <v>355</v>
      </c>
      <c r="M2185" t="s">
        <v>131</v>
      </c>
      <c r="N2185">
        <v>24</v>
      </c>
      <c r="O2185" t="s">
        <v>40</v>
      </c>
      <c r="S2185" t="s">
        <v>40</v>
      </c>
      <c r="U2185" s="1">
        <v>43344</v>
      </c>
      <c r="V2185" t="s">
        <v>41</v>
      </c>
      <c r="W2185" t="s">
        <v>75</v>
      </c>
      <c r="X2185" t="str">
        <f>"7054024"</f>
        <v>7054024</v>
      </c>
      <c r="Y2185" t="s">
        <v>793</v>
      </c>
      <c r="Z2185" t="s">
        <v>354</v>
      </c>
      <c r="AA2185" t="s">
        <v>355</v>
      </c>
      <c r="AB2185" t="s">
        <v>131</v>
      </c>
      <c r="AC2185" t="s">
        <v>51</v>
      </c>
      <c r="AD2185" t="s">
        <v>45</v>
      </c>
      <c r="AE2185" s="1">
        <v>28491</v>
      </c>
      <c r="AF2185">
        <v>1</v>
      </c>
      <c r="AG2185" t="s">
        <v>355</v>
      </c>
      <c r="AH2185" s="36">
        <f t="shared" si="34"/>
        <v>41.572222222222223</v>
      </c>
      <c r="AI2185" s="41" t="s">
        <v>1779</v>
      </c>
    </row>
    <row r="2186" spans="1:35" x14ac:dyDescent="0.25">
      <c r="A2186" s="36">
        <v>99912184</v>
      </c>
      <c r="B2186" s="17" t="s">
        <v>32</v>
      </c>
      <c r="C2186" t="s">
        <v>64</v>
      </c>
      <c r="D2186" t="s">
        <v>65</v>
      </c>
      <c r="G2186" s="17" t="s">
        <v>35</v>
      </c>
      <c r="H2186" s="17">
        <v>1</v>
      </c>
      <c r="I2186">
        <v>991</v>
      </c>
      <c r="J2186" s="1">
        <v>43344</v>
      </c>
      <c r="K2186" t="s">
        <v>354</v>
      </c>
      <c r="L2186" t="s">
        <v>355</v>
      </c>
      <c r="M2186" t="s">
        <v>131</v>
      </c>
      <c r="N2186">
        <v>24</v>
      </c>
      <c r="O2186" t="s">
        <v>40</v>
      </c>
      <c r="P2186" t="s">
        <v>40</v>
      </c>
      <c r="Q2186" t="s">
        <v>40</v>
      </c>
      <c r="R2186" t="s">
        <v>40</v>
      </c>
      <c r="S2186" t="s">
        <v>40</v>
      </c>
      <c r="U2186" s="1">
        <v>43344</v>
      </c>
      <c r="V2186" t="s">
        <v>41</v>
      </c>
      <c r="W2186" t="s">
        <v>75</v>
      </c>
      <c r="X2186" t="str">
        <f>"7054024"</f>
        <v>7054024</v>
      </c>
      <c r="Y2186" t="s">
        <v>793</v>
      </c>
      <c r="Z2186" t="s">
        <v>354</v>
      </c>
      <c r="AA2186" t="s">
        <v>355</v>
      </c>
      <c r="AB2186" t="s">
        <v>131</v>
      </c>
      <c r="AC2186" t="s">
        <v>51</v>
      </c>
      <c r="AD2186" t="s">
        <v>45</v>
      </c>
      <c r="AE2186" s="1">
        <v>28491</v>
      </c>
      <c r="AF2186">
        <v>1</v>
      </c>
      <c r="AG2186" t="s">
        <v>355</v>
      </c>
      <c r="AH2186" s="36">
        <f t="shared" si="34"/>
        <v>41.572222222222223</v>
      </c>
      <c r="AI2186" s="41" t="s">
        <v>1779</v>
      </c>
    </row>
    <row r="2187" spans="1:35" x14ac:dyDescent="0.25">
      <c r="A2187" s="36">
        <v>99912185</v>
      </c>
      <c r="B2187" s="17" t="s">
        <v>32</v>
      </c>
      <c r="C2187" t="s">
        <v>90</v>
      </c>
      <c r="D2187" t="s">
        <v>91</v>
      </c>
      <c r="G2187" s="17" t="s">
        <v>35</v>
      </c>
      <c r="H2187" s="17">
        <v>1</v>
      </c>
      <c r="I2187">
        <v>0</v>
      </c>
      <c r="J2187" s="1">
        <v>43344</v>
      </c>
      <c r="K2187" t="s">
        <v>985</v>
      </c>
      <c r="L2187" t="s">
        <v>986</v>
      </c>
      <c r="M2187" t="s">
        <v>938</v>
      </c>
      <c r="N2187">
        <v>24</v>
      </c>
      <c r="O2187" t="s">
        <v>40</v>
      </c>
      <c r="P2187" t="s">
        <v>40</v>
      </c>
      <c r="Q2187" t="s">
        <v>40</v>
      </c>
      <c r="R2187" t="s">
        <v>40</v>
      </c>
      <c r="S2187" t="s">
        <v>40</v>
      </c>
      <c r="U2187" s="1">
        <v>43344</v>
      </c>
      <c r="V2187" t="s">
        <v>41</v>
      </c>
      <c r="W2187" t="s">
        <v>95</v>
      </c>
      <c r="X2187" t="str">
        <f>"7011009"</f>
        <v>7011009</v>
      </c>
      <c r="Y2187" t="s">
        <v>988</v>
      </c>
      <c r="Z2187" t="s">
        <v>985</v>
      </c>
      <c r="AA2187" t="s">
        <v>986</v>
      </c>
      <c r="AB2187" t="s">
        <v>938</v>
      </c>
      <c r="AC2187" t="s">
        <v>51</v>
      </c>
      <c r="AD2187" t="s">
        <v>45</v>
      </c>
      <c r="AE2187" s="1">
        <v>28491</v>
      </c>
      <c r="AF2187">
        <v>1</v>
      </c>
      <c r="AG2187" t="s">
        <v>986</v>
      </c>
      <c r="AH2187" s="36">
        <f t="shared" si="34"/>
        <v>41.572222222222223</v>
      </c>
      <c r="AI2187" s="41" t="s">
        <v>1779</v>
      </c>
    </row>
    <row r="2188" spans="1:35" x14ac:dyDescent="0.25">
      <c r="A2188" s="36">
        <v>99912186</v>
      </c>
      <c r="B2188" s="17" t="s">
        <v>32</v>
      </c>
      <c r="C2188" t="s">
        <v>71</v>
      </c>
      <c r="D2188" t="s">
        <v>72</v>
      </c>
      <c r="G2188" s="17" t="s">
        <v>35</v>
      </c>
      <c r="H2188" s="17">
        <v>1</v>
      </c>
      <c r="I2188" t="s">
        <v>1027</v>
      </c>
      <c r="J2188" s="1">
        <v>41983</v>
      </c>
      <c r="K2188" t="s">
        <v>963</v>
      </c>
      <c r="L2188" t="s">
        <v>964</v>
      </c>
      <c r="M2188" t="s">
        <v>938</v>
      </c>
      <c r="N2188">
        <v>17</v>
      </c>
      <c r="O2188" t="s">
        <v>40</v>
      </c>
      <c r="P2188" t="s">
        <v>40</v>
      </c>
      <c r="Q2188" t="s">
        <v>40</v>
      </c>
      <c r="R2188" t="s">
        <v>40</v>
      </c>
      <c r="S2188" t="s">
        <v>40</v>
      </c>
      <c r="U2188" s="1">
        <v>41983</v>
      </c>
      <c r="V2188" t="s">
        <v>41</v>
      </c>
      <c r="W2188" t="s">
        <v>75</v>
      </c>
      <c r="X2188" t="str">
        <f>"7061000"</f>
        <v>7061000</v>
      </c>
      <c r="Y2188" t="s">
        <v>962</v>
      </c>
      <c r="Z2188" t="s">
        <v>963</v>
      </c>
      <c r="AA2188" t="s">
        <v>964</v>
      </c>
      <c r="AB2188" t="s">
        <v>938</v>
      </c>
      <c r="AC2188" t="s">
        <v>51</v>
      </c>
      <c r="AD2188" t="s">
        <v>45</v>
      </c>
      <c r="AE2188" s="1">
        <v>28491</v>
      </c>
      <c r="AF2188">
        <v>1</v>
      </c>
      <c r="AG2188" t="s">
        <v>964</v>
      </c>
      <c r="AH2188" s="36">
        <f t="shared" si="34"/>
        <v>41.572222222222223</v>
      </c>
      <c r="AI2188" s="41" t="s">
        <v>1779</v>
      </c>
    </row>
    <row r="2189" spans="1:35" x14ac:dyDescent="0.25">
      <c r="A2189" s="36">
        <v>99912187</v>
      </c>
      <c r="B2189" s="17" t="s">
        <v>56</v>
      </c>
      <c r="C2189" t="s">
        <v>52</v>
      </c>
      <c r="D2189" t="s">
        <v>53</v>
      </c>
      <c r="G2189" s="17" t="s">
        <v>35</v>
      </c>
      <c r="H2189" s="17">
        <v>1</v>
      </c>
      <c r="I2189">
        <v>10761</v>
      </c>
      <c r="J2189" s="1">
        <v>43344</v>
      </c>
      <c r="K2189" t="s">
        <v>1051</v>
      </c>
      <c r="L2189" t="s">
        <v>1052</v>
      </c>
      <c r="M2189" t="s">
        <v>1053</v>
      </c>
      <c r="N2189">
        <v>23</v>
      </c>
      <c r="O2189" t="s">
        <v>40</v>
      </c>
      <c r="P2189" t="s">
        <v>40</v>
      </c>
      <c r="Q2189" t="s">
        <v>40</v>
      </c>
      <c r="R2189" t="s">
        <v>40</v>
      </c>
      <c r="S2189" t="s">
        <v>40</v>
      </c>
      <c r="U2189" s="1">
        <v>43344</v>
      </c>
      <c r="V2189" t="s">
        <v>41</v>
      </c>
      <c r="W2189" t="s">
        <v>42</v>
      </c>
      <c r="X2189" t="str">
        <f>"2061004"</f>
        <v>2061004</v>
      </c>
      <c r="Y2189" t="s">
        <v>1055</v>
      </c>
      <c r="Z2189" t="s">
        <v>1051</v>
      </c>
      <c r="AA2189" t="s">
        <v>1052</v>
      </c>
      <c r="AB2189" t="s">
        <v>1053</v>
      </c>
      <c r="AC2189" t="s">
        <v>51</v>
      </c>
      <c r="AD2189" t="s">
        <v>45</v>
      </c>
      <c r="AE2189" s="1">
        <v>28491</v>
      </c>
      <c r="AF2189">
        <v>2</v>
      </c>
      <c r="AG2189" t="s">
        <v>1052</v>
      </c>
      <c r="AH2189" s="36">
        <f t="shared" si="34"/>
        <v>41.572222222222223</v>
      </c>
      <c r="AI2189" s="41" t="s">
        <v>1779</v>
      </c>
    </row>
    <row r="2190" spans="1:35" x14ac:dyDescent="0.25">
      <c r="A2190" s="36">
        <v>99912188</v>
      </c>
      <c r="B2190" s="17" t="s">
        <v>32</v>
      </c>
      <c r="C2190" t="s">
        <v>71</v>
      </c>
      <c r="D2190" t="s">
        <v>72</v>
      </c>
      <c r="G2190" s="17" t="s">
        <v>35</v>
      </c>
      <c r="H2190" s="17">
        <v>1</v>
      </c>
      <c r="I2190" t="s">
        <v>674</v>
      </c>
      <c r="J2190" s="1">
        <v>43377</v>
      </c>
      <c r="K2190" t="s">
        <v>1051</v>
      </c>
      <c r="L2190" t="s">
        <v>1052</v>
      </c>
      <c r="M2190" t="s">
        <v>1053</v>
      </c>
      <c r="N2190">
        <v>24</v>
      </c>
      <c r="O2190" t="s">
        <v>40</v>
      </c>
      <c r="P2190" t="s">
        <v>40</v>
      </c>
      <c r="Q2190" t="s">
        <v>40</v>
      </c>
      <c r="R2190" t="s">
        <v>40</v>
      </c>
      <c r="S2190" t="s">
        <v>40</v>
      </c>
      <c r="U2190" s="1">
        <v>43377</v>
      </c>
      <c r="V2190" t="s">
        <v>41</v>
      </c>
      <c r="W2190" t="s">
        <v>49</v>
      </c>
      <c r="X2190" t="str">
        <f>"2060004"</f>
        <v>2060004</v>
      </c>
      <c r="Y2190" t="s">
        <v>1059</v>
      </c>
      <c r="Z2190" t="s">
        <v>1051</v>
      </c>
      <c r="AA2190" t="s">
        <v>1052</v>
      </c>
      <c r="AB2190" t="s">
        <v>1053</v>
      </c>
      <c r="AC2190" t="s">
        <v>55</v>
      </c>
      <c r="AD2190" t="s">
        <v>45</v>
      </c>
      <c r="AE2190" s="1">
        <v>28491</v>
      </c>
      <c r="AF2190">
        <v>2</v>
      </c>
      <c r="AG2190" t="s">
        <v>1052</v>
      </c>
      <c r="AH2190" s="36">
        <f t="shared" si="34"/>
        <v>41.572222222222223</v>
      </c>
      <c r="AI2190" s="41" t="s">
        <v>1779</v>
      </c>
    </row>
    <row r="2191" spans="1:35" x14ac:dyDescent="0.25">
      <c r="A2191" s="36">
        <v>99912189</v>
      </c>
      <c r="B2191" s="17" t="s">
        <v>32</v>
      </c>
      <c r="C2191" t="s">
        <v>64</v>
      </c>
      <c r="D2191" t="s">
        <v>65</v>
      </c>
      <c r="G2191" s="17" t="s">
        <v>35</v>
      </c>
      <c r="H2191" s="17">
        <v>1</v>
      </c>
      <c r="I2191" t="s">
        <v>1214</v>
      </c>
      <c r="J2191" s="1">
        <v>43344</v>
      </c>
      <c r="K2191" t="s">
        <v>1198</v>
      </c>
      <c r="L2191" t="s">
        <v>1199</v>
      </c>
      <c r="M2191" t="s">
        <v>1130</v>
      </c>
      <c r="N2191">
        <v>24</v>
      </c>
      <c r="O2191" t="s">
        <v>40</v>
      </c>
      <c r="P2191" t="s">
        <v>40</v>
      </c>
      <c r="Q2191" t="s">
        <v>40</v>
      </c>
      <c r="R2191" t="s">
        <v>40</v>
      </c>
      <c r="S2191" t="s">
        <v>40</v>
      </c>
      <c r="U2191" s="1">
        <v>43344</v>
      </c>
      <c r="V2191" t="s">
        <v>41</v>
      </c>
      <c r="W2191" t="s">
        <v>75</v>
      </c>
      <c r="X2191" t="str">
        <f>"7311002"</f>
        <v>7311002</v>
      </c>
      <c r="Y2191" t="s">
        <v>1203</v>
      </c>
      <c r="Z2191" t="s">
        <v>1198</v>
      </c>
      <c r="AA2191" t="s">
        <v>1199</v>
      </c>
      <c r="AB2191" t="s">
        <v>1130</v>
      </c>
      <c r="AC2191" t="s">
        <v>51</v>
      </c>
      <c r="AD2191" t="s">
        <v>45</v>
      </c>
      <c r="AE2191" s="1">
        <v>28491</v>
      </c>
      <c r="AF2191">
        <v>1</v>
      </c>
      <c r="AG2191" t="s">
        <v>1199</v>
      </c>
      <c r="AH2191" s="36">
        <f t="shared" si="34"/>
        <v>41.572222222222223</v>
      </c>
      <c r="AI2191" s="41" t="s">
        <v>1779</v>
      </c>
    </row>
    <row r="2192" spans="1:35" x14ac:dyDescent="0.25">
      <c r="A2192" s="36">
        <v>99912190</v>
      </c>
      <c r="B2192" s="17" t="s">
        <v>32</v>
      </c>
      <c r="C2192" t="s">
        <v>33</v>
      </c>
      <c r="D2192" t="s">
        <v>34</v>
      </c>
      <c r="G2192" s="17" t="s">
        <v>48</v>
      </c>
      <c r="H2192" s="17">
        <v>1</v>
      </c>
      <c r="K2192" t="s">
        <v>1268</v>
      </c>
      <c r="L2192" t="s">
        <v>1269</v>
      </c>
      <c r="M2192" t="s">
        <v>1270</v>
      </c>
      <c r="N2192">
        <v>19</v>
      </c>
      <c r="O2192" t="s">
        <v>40</v>
      </c>
      <c r="P2192" t="s">
        <v>40</v>
      </c>
      <c r="Q2192" t="s">
        <v>40</v>
      </c>
      <c r="R2192" t="s">
        <v>40</v>
      </c>
      <c r="S2192" t="s">
        <v>40</v>
      </c>
      <c r="V2192" t="s">
        <v>41</v>
      </c>
      <c r="W2192" t="s">
        <v>42</v>
      </c>
      <c r="X2192" t="str">
        <f>"1990911"</f>
        <v>1990911</v>
      </c>
      <c r="Y2192" t="s">
        <v>1276</v>
      </c>
      <c r="Z2192" t="s">
        <v>1268</v>
      </c>
      <c r="AA2192" t="s">
        <v>1269</v>
      </c>
      <c r="AB2192" t="s">
        <v>1270</v>
      </c>
      <c r="AC2192" t="s">
        <v>165</v>
      </c>
      <c r="AD2192" t="s">
        <v>45</v>
      </c>
      <c r="AE2192" s="1">
        <v>28491</v>
      </c>
      <c r="AF2192">
        <v>2</v>
      </c>
      <c r="AG2192" t="s">
        <v>1269</v>
      </c>
      <c r="AH2192" s="36">
        <f t="shared" si="34"/>
        <v>41.572222222222223</v>
      </c>
      <c r="AI2192" s="41" t="s">
        <v>1779</v>
      </c>
    </row>
    <row r="2193" spans="1:35" x14ac:dyDescent="0.25">
      <c r="A2193" s="36">
        <v>99912191</v>
      </c>
      <c r="B2193" s="17" t="s">
        <v>32</v>
      </c>
      <c r="C2193" t="s">
        <v>46</v>
      </c>
      <c r="D2193" t="s">
        <v>47</v>
      </c>
      <c r="G2193" s="17" t="s">
        <v>48</v>
      </c>
      <c r="H2193" s="17">
        <v>1</v>
      </c>
      <c r="I2193" t="s">
        <v>1296</v>
      </c>
      <c r="J2193" s="1">
        <v>41718</v>
      </c>
      <c r="K2193" t="s">
        <v>1268</v>
      </c>
      <c r="L2193" t="s">
        <v>1269</v>
      </c>
      <c r="M2193" t="s">
        <v>1270</v>
      </c>
      <c r="N2193">
        <v>23</v>
      </c>
      <c r="O2193" t="s">
        <v>40</v>
      </c>
      <c r="P2193" t="s">
        <v>40</v>
      </c>
      <c r="Q2193" t="s">
        <v>40</v>
      </c>
      <c r="R2193" t="s">
        <v>40</v>
      </c>
      <c r="S2193" t="s">
        <v>40</v>
      </c>
      <c r="U2193" s="1">
        <v>41718</v>
      </c>
      <c r="V2193" t="s">
        <v>41</v>
      </c>
      <c r="W2193" t="s">
        <v>49</v>
      </c>
      <c r="X2193" t="str">
        <f>"1981913"</f>
        <v>1981913</v>
      </c>
      <c r="Y2193" t="s">
        <v>1295</v>
      </c>
      <c r="Z2193" t="s">
        <v>1268</v>
      </c>
      <c r="AA2193" t="s">
        <v>1269</v>
      </c>
      <c r="AB2193" t="s">
        <v>1270</v>
      </c>
      <c r="AC2193" t="s">
        <v>51</v>
      </c>
      <c r="AD2193" t="s">
        <v>45</v>
      </c>
      <c r="AE2193" s="1">
        <v>28491</v>
      </c>
      <c r="AF2193">
        <v>2</v>
      </c>
      <c r="AG2193" t="s">
        <v>1269</v>
      </c>
      <c r="AH2193" s="36">
        <f t="shared" si="34"/>
        <v>41.572222222222223</v>
      </c>
      <c r="AI2193" s="41" t="s">
        <v>1779</v>
      </c>
    </row>
    <row r="2194" spans="1:35" x14ac:dyDescent="0.25">
      <c r="A2194" s="36">
        <v>99912192</v>
      </c>
      <c r="B2194" s="17" t="s">
        <v>32</v>
      </c>
      <c r="C2194" t="s">
        <v>61</v>
      </c>
      <c r="D2194" t="s">
        <v>62</v>
      </c>
      <c r="G2194" s="17" t="s">
        <v>48</v>
      </c>
      <c r="H2194" s="17">
        <v>1</v>
      </c>
      <c r="K2194" t="s">
        <v>1268</v>
      </c>
      <c r="L2194" t="s">
        <v>1269</v>
      </c>
      <c r="M2194" t="s">
        <v>1270</v>
      </c>
      <c r="N2194">
        <v>20</v>
      </c>
      <c r="O2194" t="s">
        <v>40</v>
      </c>
      <c r="P2194" t="s">
        <v>40</v>
      </c>
      <c r="Q2194" t="s">
        <v>40</v>
      </c>
      <c r="R2194" t="s">
        <v>40</v>
      </c>
      <c r="S2194" t="s">
        <v>40</v>
      </c>
      <c r="V2194" t="s">
        <v>41</v>
      </c>
      <c r="W2194" t="s">
        <v>49</v>
      </c>
      <c r="X2194" t="str">
        <f>"1981912"</f>
        <v>1981912</v>
      </c>
      <c r="Y2194" t="s">
        <v>1279</v>
      </c>
      <c r="Z2194" t="s">
        <v>1268</v>
      </c>
      <c r="AA2194" t="s">
        <v>1269</v>
      </c>
      <c r="AB2194" t="s">
        <v>1270</v>
      </c>
      <c r="AC2194" t="s">
        <v>51</v>
      </c>
      <c r="AD2194" t="s">
        <v>45</v>
      </c>
      <c r="AE2194" s="1">
        <v>28491</v>
      </c>
      <c r="AF2194">
        <v>2</v>
      </c>
      <c r="AG2194" t="s">
        <v>1269</v>
      </c>
      <c r="AH2194" s="36">
        <f t="shared" si="34"/>
        <v>41.572222222222223</v>
      </c>
      <c r="AI2194" s="41" t="s">
        <v>1779</v>
      </c>
    </row>
    <row r="2195" spans="1:35" x14ac:dyDescent="0.25">
      <c r="A2195" s="36">
        <v>99912193</v>
      </c>
      <c r="B2195" s="17" t="s">
        <v>56</v>
      </c>
      <c r="C2195" t="s">
        <v>117</v>
      </c>
      <c r="D2195" t="s">
        <v>118</v>
      </c>
      <c r="G2195" s="17" t="s">
        <v>48</v>
      </c>
      <c r="H2195" s="17">
        <v>3</v>
      </c>
      <c r="K2195" t="s">
        <v>1268</v>
      </c>
      <c r="L2195" t="s">
        <v>1269</v>
      </c>
      <c r="M2195" t="s">
        <v>1270</v>
      </c>
      <c r="N2195">
        <v>23</v>
      </c>
      <c r="O2195" t="s">
        <v>40</v>
      </c>
      <c r="P2195" t="s">
        <v>40</v>
      </c>
      <c r="Q2195" t="s">
        <v>40</v>
      </c>
      <c r="R2195" t="s">
        <v>40</v>
      </c>
      <c r="S2195" t="s">
        <v>40</v>
      </c>
      <c r="U2195" s="1">
        <v>43344</v>
      </c>
      <c r="V2195" t="s">
        <v>41</v>
      </c>
      <c r="W2195" t="s">
        <v>49</v>
      </c>
      <c r="X2195" t="str">
        <f>"1960001"</f>
        <v>1960001</v>
      </c>
      <c r="Y2195" t="s">
        <v>1272</v>
      </c>
      <c r="Z2195" t="s">
        <v>1268</v>
      </c>
      <c r="AA2195" t="s">
        <v>1269</v>
      </c>
      <c r="AB2195" t="s">
        <v>1270</v>
      </c>
      <c r="AC2195" t="s">
        <v>51</v>
      </c>
      <c r="AD2195" t="s">
        <v>45</v>
      </c>
      <c r="AE2195" s="1">
        <v>28491</v>
      </c>
      <c r="AF2195">
        <v>2</v>
      </c>
      <c r="AG2195" t="s">
        <v>1269</v>
      </c>
      <c r="AH2195" s="36">
        <f t="shared" si="34"/>
        <v>41.572222222222223</v>
      </c>
      <c r="AI2195" s="41" t="s">
        <v>1779</v>
      </c>
    </row>
    <row r="2196" spans="1:35" x14ac:dyDescent="0.25">
      <c r="A2196" s="36">
        <v>99912194</v>
      </c>
      <c r="B2196" s="17" t="s">
        <v>56</v>
      </c>
      <c r="C2196" t="s">
        <v>82</v>
      </c>
      <c r="D2196" t="s">
        <v>83</v>
      </c>
      <c r="G2196" s="17" t="s">
        <v>35</v>
      </c>
      <c r="H2196" s="17">
        <v>1</v>
      </c>
      <c r="I2196" t="s">
        <v>1332</v>
      </c>
      <c r="J2196" s="1">
        <v>43344</v>
      </c>
      <c r="K2196" t="s">
        <v>1325</v>
      </c>
      <c r="L2196" t="s">
        <v>1326</v>
      </c>
      <c r="M2196" t="s">
        <v>1270</v>
      </c>
      <c r="N2196">
        <v>19</v>
      </c>
      <c r="O2196" t="s">
        <v>40</v>
      </c>
      <c r="P2196" t="s">
        <v>40</v>
      </c>
      <c r="Q2196" t="s">
        <v>40</v>
      </c>
      <c r="R2196" t="s">
        <v>40</v>
      </c>
      <c r="S2196" t="s">
        <v>40</v>
      </c>
      <c r="U2196" s="1">
        <v>43344</v>
      </c>
      <c r="V2196" t="s">
        <v>41</v>
      </c>
      <c r="W2196" t="s">
        <v>42</v>
      </c>
      <c r="X2196" t="str">
        <f>"3980100"</f>
        <v>3980100</v>
      </c>
      <c r="Y2196" t="s">
        <v>1328</v>
      </c>
      <c r="Z2196" t="s">
        <v>1325</v>
      </c>
      <c r="AA2196" t="s">
        <v>1326</v>
      </c>
      <c r="AB2196" t="s">
        <v>1270</v>
      </c>
      <c r="AC2196" t="s">
        <v>51</v>
      </c>
      <c r="AD2196" t="s">
        <v>45</v>
      </c>
      <c r="AE2196" s="1">
        <v>28491</v>
      </c>
      <c r="AF2196">
        <v>2</v>
      </c>
      <c r="AG2196" t="s">
        <v>1326</v>
      </c>
      <c r="AH2196" s="36">
        <f t="shared" si="34"/>
        <v>41.572222222222223</v>
      </c>
      <c r="AI2196" s="41" t="s">
        <v>1779</v>
      </c>
    </row>
    <row r="2197" spans="1:35" x14ac:dyDescent="0.25">
      <c r="A2197" s="36">
        <v>99912195</v>
      </c>
      <c r="B2197" s="17" t="s">
        <v>32</v>
      </c>
      <c r="C2197" t="s">
        <v>139</v>
      </c>
      <c r="D2197" t="s">
        <v>140</v>
      </c>
      <c r="G2197" s="17" t="s">
        <v>48</v>
      </c>
      <c r="H2197" s="17">
        <v>1</v>
      </c>
      <c r="K2197" t="s">
        <v>1496</v>
      </c>
      <c r="L2197" t="s">
        <v>1497</v>
      </c>
      <c r="M2197" t="s">
        <v>670</v>
      </c>
      <c r="N2197">
        <v>12</v>
      </c>
      <c r="O2197" t="s">
        <v>40</v>
      </c>
      <c r="P2197" t="s">
        <v>40</v>
      </c>
      <c r="Q2197" t="s">
        <v>40</v>
      </c>
      <c r="R2197" t="s">
        <v>40</v>
      </c>
      <c r="S2197" t="s">
        <v>40</v>
      </c>
      <c r="V2197" t="s">
        <v>41</v>
      </c>
      <c r="W2197" t="s">
        <v>49</v>
      </c>
      <c r="X2197" t="str">
        <f>"5060001"</f>
        <v>5060001</v>
      </c>
      <c r="Y2197" t="s">
        <v>1499</v>
      </c>
      <c r="Z2197" t="s">
        <v>1496</v>
      </c>
      <c r="AA2197" t="s">
        <v>1497</v>
      </c>
      <c r="AB2197" t="s">
        <v>670</v>
      </c>
      <c r="AC2197" t="s">
        <v>51</v>
      </c>
      <c r="AD2197" t="s">
        <v>45</v>
      </c>
      <c r="AE2197" s="1">
        <v>28491</v>
      </c>
      <c r="AF2197">
        <v>2</v>
      </c>
      <c r="AG2197" t="s">
        <v>1497</v>
      </c>
      <c r="AH2197" s="36">
        <f t="shared" si="34"/>
        <v>41.572222222222223</v>
      </c>
      <c r="AI2197" s="41" t="s">
        <v>1779</v>
      </c>
    </row>
    <row r="2198" spans="1:35" x14ac:dyDescent="0.25">
      <c r="A2198" s="36">
        <v>99912196</v>
      </c>
      <c r="B2198" s="17" t="s">
        <v>32</v>
      </c>
      <c r="C2198" t="s">
        <v>111</v>
      </c>
      <c r="D2198" t="s">
        <v>112</v>
      </c>
      <c r="G2198" s="17" t="s">
        <v>35</v>
      </c>
      <c r="H2198" s="17">
        <v>1</v>
      </c>
      <c r="K2198" t="s">
        <v>1581</v>
      </c>
      <c r="L2198" t="s">
        <v>1582</v>
      </c>
      <c r="M2198" t="s">
        <v>1548</v>
      </c>
      <c r="N2198">
        <v>23</v>
      </c>
      <c r="O2198" t="s">
        <v>40</v>
      </c>
      <c r="P2198" t="s">
        <v>40</v>
      </c>
      <c r="Q2198" t="s">
        <v>40</v>
      </c>
      <c r="R2198" t="s">
        <v>40</v>
      </c>
      <c r="S2198" t="s">
        <v>40</v>
      </c>
      <c r="V2198" t="s">
        <v>41</v>
      </c>
      <c r="W2198" t="s">
        <v>75</v>
      </c>
      <c r="X2198" t="str">
        <f>"7291002"</f>
        <v>7291002</v>
      </c>
      <c r="Y2198" t="s">
        <v>1583</v>
      </c>
      <c r="Z2198" t="s">
        <v>1581</v>
      </c>
      <c r="AA2198" t="s">
        <v>1582</v>
      </c>
      <c r="AB2198" t="s">
        <v>1548</v>
      </c>
      <c r="AC2198" t="s">
        <v>51</v>
      </c>
      <c r="AD2198" t="s">
        <v>45</v>
      </c>
      <c r="AE2198" s="1">
        <v>28491</v>
      </c>
      <c r="AF2198">
        <v>1</v>
      </c>
      <c r="AG2198" t="s">
        <v>1582</v>
      </c>
      <c r="AH2198" s="36">
        <f t="shared" si="34"/>
        <v>41.572222222222223</v>
      </c>
      <c r="AI2198" s="41" t="s">
        <v>1779</v>
      </c>
    </row>
    <row r="2199" spans="1:35" x14ac:dyDescent="0.25">
      <c r="A2199" s="36">
        <v>99912197</v>
      </c>
      <c r="B2199" s="17" t="s">
        <v>32</v>
      </c>
      <c r="C2199" t="s">
        <v>117</v>
      </c>
      <c r="D2199" t="s">
        <v>118</v>
      </c>
      <c r="G2199" s="17" t="s">
        <v>35</v>
      </c>
      <c r="H2199" s="17">
        <v>1</v>
      </c>
      <c r="K2199" t="s">
        <v>1581</v>
      </c>
      <c r="L2199" t="s">
        <v>1582</v>
      </c>
      <c r="M2199" t="s">
        <v>1548</v>
      </c>
      <c r="N2199">
        <v>6</v>
      </c>
      <c r="O2199" t="s">
        <v>40</v>
      </c>
      <c r="P2199" t="s">
        <v>40</v>
      </c>
      <c r="Q2199" t="s">
        <v>40</v>
      </c>
      <c r="R2199" t="s">
        <v>40</v>
      </c>
      <c r="S2199" t="s">
        <v>40</v>
      </c>
      <c r="V2199" t="s">
        <v>41</v>
      </c>
      <c r="W2199" t="s">
        <v>75</v>
      </c>
      <c r="X2199" t="str">
        <f>"7291002"</f>
        <v>7291002</v>
      </c>
      <c r="Y2199" t="s">
        <v>1583</v>
      </c>
      <c r="Z2199" t="s">
        <v>1581</v>
      </c>
      <c r="AA2199" t="s">
        <v>1582</v>
      </c>
      <c r="AB2199" t="s">
        <v>1548</v>
      </c>
      <c r="AC2199" t="s">
        <v>51</v>
      </c>
      <c r="AD2199" t="s">
        <v>45</v>
      </c>
      <c r="AE2199" s="1">
        <v>28491</v>
      </c>
      <c r="AF2199">
        <v>1</v>
      </c>
      <c r="AG2199" t="s">
        <v>1582</v>
      </c>
      <c r="AH2199" s="36">
        <f t="shared" si="34"/>
        <v>41.572222222222223</v>
      </c>
      <c r="AI2199" s="41" t="s">
        <v>1779</v>
      </c>
    </row>
    <row r="2200" spans="1:35" x14ac:dyDescent="0.25">
      <c r="A2200" s="36">
        <v>99912198</v>
      </c>
      <c r="B2200" s="17" t="s">
        <v>32</v>
      </c>
      <c r="C2200" t="s">
        <v>61</v>
      </c>
      <c r="D2200" t="s">
        <v>62</v>
      </c>
      <c r="E2200" t="s">
        <v>257</v>
      </c>
      <c r="F2200" t="s">
        <v>258</v>
      </c>
      <c r="G2200" s="17" t="s">
        <v>48</v>
      </c>
      <c r="H2200" s="17">
        <v>1</v>
      </c>
      <c r="K2200" t="s">
        <v>223</v>
      </c>
      <c r="L2200" t="s">
        <v>224</v>
      </c>
      <c r="M2200" t="s">
        <v>131</v>
      </c>
      <c r="N2200">
        <v>19</v>
      </c>
      <c r="O2200" t="s">
        <v>40</v>
      </c>
      <c r="P2200" t="s">
        <v>40</v>
      </c>
      <c r="Q2200" t="s">
        <v>40</v>
      </c>
      <c r="R2200" t="s">
        <v>40</v>
      </c>
      <c r="S2200" t="s">
        <v>40</v>
      </c>
      <c r="V2200" t="s">
        <v>41</v>
      </c>
      <c r="W2200" t="s">
        <v>49</v>
      </c>
      <c r="X2200" t="str">
        <f>"0581207"</f>
        <v>0581207</v>
      </c>
      <c r="Y2200" t="s">
        <v>233</v>
      </c>
      <c r="Z2200" t="s">
        <v>223</v>
      </c>
      <c r="AA2200" t="s">
        <v>224</v>
      </c>
      <c r="AB2200" t="s">
        <v>131</v>
      </c>
      <c r="AC2200" t="s">
        <v>51</v>
      </c>
      <c r="AD2200" t="s">
        <v>45</v>
      </c>
      <c r="AE2200" s="1">
        <v>28490</v>
      </c>
      <c r="AF2200">
        <v>2</v>
      </c>
      <c r="AG2200" t="s">
        <v>224</v>
      </c>
      <c r="AH2200" s="36">
        <f t="shared" si="34"/>
        <v>41.575000000000003</v>
      </c>
      <c r="AI2200" s="41" t="s">
        <v>1779</v>
      </c>
    </row>
    <row r="2201" spans="1:35" x14ac:dyDescent="0.25">
      <c r="A2201" s="36">
        <v>99912199</v>
      </c>
      <c r="B2201" s="17" t="s">
        <v>56</v>
      </c>
      <c r="C2201" t="s">
        <v>111</v>
      </c>
      <c r="D2201" t="s">
        <v>112</v>
      </c>
      <c r="G2201" s="17" t="s">
        <v>35</v>
      </c>
      <c r="H2201" s="17">
        <v>1</v>
      </c>
      <c r="I2201" t="s">
        <v>613</v>
      </c>
      <c r="J2201" s="1">
        <v>43344</v>
      </c>
      <c r="K2201" t="s">
        <v>268</v>
      </c>
      <c r="L2201" t="s">
        <v>269</v>
      </c>
      <c r="M2201" t="s">
        <v>131</v>
      </c>
      <c r="N2201">
        <v>23</v>
      </c>
      <c r="O2201" t="s">
        <v>40</v>
      </c>
      <c r="S2201" t="s">
        <v>40</v>
      </c>
      <c r="U2201" s="1">
        <v>43344</v>
      </c>
      <c r="V2201" t="s">
        <v>41</v>
      </c>
      <c r="W2201" t="s">
        <v>75</v>
      </c>
      <c r="X2201" t="str">
        <f>"7052020"</f>
        <v>7052020</v>
      </c>
      <c r="Y2201" t="s">
        <v>267</v>
      </c>
      <c r="Z2201" t="s">
        <v>268</v>
      </c>
      <c r="AA2201" t="s">
        <v>269</v>
      </c>
      <c r="AB2201" t="s">
        <v>131</v>
      </c>
      <c r="AC2201" t="s">
        <v>51</v>
      </c>
      <c r="AD2201" t="s">
        <v>45</v>
      </c>
      <c r="AE2201" s="1">
        <v>28486</v>
      </c>
      <c r="AF2201">
        <v>1</v>
      </c>
      <c r="AG2201" t="s">
        <v>269</v>
      </c>
      <c r="AH2201" s="36">
        <f t="shared" si="34"/>
        <v>41.586111111111109</v>
      </c>
      <c r="AI2201" s="41" t="s">
        <v>1779</v>
      </c>
    </row>
    <row r="2202" spans="1:35" x14ac:dyDescent="0.25">
      <c r="A2202" s="36">
        <v>99912200</v>
      </c>
      <c r="B2202" s="17" t="s">
        <v>32</v>
      </c>
      <c r="C2202" t="s">
        <v>145</v>
      </c>
      <c r="D2202" t="s">
        <v>146</v>
      </c>
      <c r="G2202" s="17" t="s">
        <v>48</v>
      </c>
      <c r="H2202" s="17">
        <v>1</v>
      </c>
      <c r="K2202" t="s">
        <v>223</v>
      </c>
      <c r="L2202" t="s">
        <v>224</v>
      </c>
      <c r="M2202" t="s">
        <v>131</v>
      </c>
      <c r="N2202">
        <v>23</v>
      </c>
      <c r="O2202" t="s">
        <v>40</v>
      </c>
      <c r="P2202" t="s">
        <v>40</v>
      </c>
      <c r="Q2202" t="s">
        <v>40</v>
      </c>
      <c r="R2202" t="s">
        <v>40</v>
      </c>
      <c r="S2202" t="s">
        <v>40</v>
      </c>
      <c r="V2202" t="s">
        <v>41</v>
      </c>
      <c r="W2202" t="s">
        <v>42</v>
      </c>
      <c r="X2202" t="str">
        <f>"0590902"</f>
        <v>0590902</v>
      </c>
      <c r="Y2202" t="s">
        <v>241</v>
      </c>
      <c r="Z2202" t="s">
        <v>223</v>
      </c>
      <c r="AA2202" t="s">
        <v>224</v>
      </c>
      <c r="AB2202" t="s">
        <v>131</v>
      </c>
      <c r="AC2202" t="s">
        <v>51</v>
      </c>
      <c r="AD2202" t="s">
        <v>45</v>
      </c>
      <c r="AE2202" s="1">
        <v>28484</v>
      </c>
      <c r="AF2202">
        <v>2</v>
      </c>
      <c r="AG2202" t="s">
        <v>224</v>
      </c>
      <c r="AH2202" s="36">
        <f t="shared" si="34"/>
        <v>41.591666666666669</v>
      </c>
      <c r="AI2202" s="41" t="s">
        <v>1779</v>
      </c>
    </row>
    <row r="2203" spans="1:35" x14ac:dyDescent="0.25">
      <c r="A2203" s="36">
        <v>99912201</v>
      </c>
      <c r="B2203" s="17" t="s">
        <v>32</v>
      </c>
      <c r="C2203" t="s">
        <v>143</v>
      </c>
      <c r="D2203" t="s">
        <v>144</v>
      </c>
      <c r="G2203" s="17" t="s">
        <v>48</v>
      </c>
      <c r="H2203" s="17">
        <v>6</v>
      </c>
      <c r="K2203" t="s">
        <v>195</v>
      </c>
      <c r="L2203" t="s">
        <v>196</v>
      </c>
      <c r="M2203" t="s">
        <v>131</v>
      </c>
      <c r="N2203">
        <v>23</v>
      </c>
      <c r="O2203" t="s">
        <v>40</v>
      </c>
      <c r="P2203" t="s">
        <v>40</v>
      </c>
      <c r="Q2203" t="s">
        <v>40</v>
      </c>
      <c r="R2203" t="s">
        <v>40</v>
      </c>
      <c r="S2203" t="s">
        <v>40</v>
      </c>
      <c r="U2203" s="1">
        <v>40422</v>
      </c>
      <c r="V2203" t="s">
        <v>41</v>
      </c>
      <c r="W2203" t="s">
        <v>75</v>
      </c>
      <c r="X2203" t="str">
        <f>"7521044"</f>
        <v>7521044</v>
      </c>
      <c r="Y2203" t="s">
        <v>453</v>
      </c>
      <c r="Z2203" t="s">
        <v>195</v>
      </c>
      <c r="AA2203" t="s">
        <v>196</v>
      </c>
      <c r="AB2203" t="s">
        <v>131</v>
      </c>
      <c r="AC2203" t="s">
        <v>51</v>
      </c>
      <c r="AD2203" t="s">
        <v>45</v>
      </c>
      <c r="AE2203" s="1">
        <v>28476</v>
      </c>
      <c r="AF2203">
        <v>1</v>
      </c>
      <c r="AG2203" t="s">
        <v>196</v>
      </c>
      <c r="AH2203" s="36">
        <f t="shared" si="34"/>
        <v>41.613888888888887</v>
      </c>
      <c r="AI2203" s="41" t="s">
        <v>1779</v>
      </c>
    </row>
    <row r="2204" spans="1:35" x14ac:dyDescent="0.25">
      <c r="A2204" s="36">
        <v>99912202</v>
      </c>
      <c r="B2204" s="17" t="s">
        <v>32</v>
      </c>
      <c r="C2204" t="s">
        <v>46</v>
      </c>
      <c r="D2204" t="s">
        <v>47</v>
      </c>
      <c r="G2204" s="17" t="s">
        <v>48</v>
      </c>
      <c r="H2204" s="17">
        <v>1</v>
      </c>
      <c r="K2204" t="s">
        <v>300</v>
      </c>
      <c r="L2204" t="s">
        <v>301</v>
      </c>
      <c r="M2204" t="s">
        <v>131</v>
      </c>
      <c r="N2204">
        <v>22</v>
      </c>
      <c r="O2204" t="s">
        <v>40</v>
      </c>
      <c r="P2204" t="s">
        <v>40</v>
      </c>
      <c r="Q2204" t="s">
        <v>40</v>
      </c>
      <c r="R2204" t="s">
        <v>40</v>
      </c>
      <c r="S2204" t="s">
        <v>40</v>
      </c>
      <c r="V2204" t="s">
        <v>41</v>
      </c>
      <c r="W2204" t="s">
        <v>49</v>
      </c>
      <c r="X2204" t="str">
        <f>"0560020"</f>
        <v>0560020</v>
      </c>
      <c r="Y2204" t="s">
        <v>302</v>
      </c>
      <c r="Z2204" t="s">
        <v>300</v>
      </c>
      <c r="AA2204" t="s">
        <v>301</v>
      </c>
      <c r="AB2204" t="s">
        <v>131</v>
      </c>
      <c r="AC2204" t="s">
        <v>51</v>
      </c>
      <c r="AD2204" t="s">
        <v>45</v>
      </c>
      <c r="AE2204" s="1">
        <v>28475</v>
      </c>
      <c r="AF2204">
        <v>2</v>
      </c>
      <c r="AG2204" t="s">
        <v>301</v>
      </c>
      <c r="AH2204" s="36">
        <f t="shared" si="34"/>
        <v>41.616666666666667</v>
      </c>
      <c r="AI2204" s="41" t="s">
        <v>1779</v>
      </c>
    </row>
    <row r="2205" spans="1:35" x14ac:dyDescent="0.25">
      <c r="A2205" s="36">
        <v>99912203</v>
      </c>
      <c r="B2205" s="17" t="s">
        <v>32</v>
      </c>
      <c r="C2205" t="s">
        <v>79</v>
      </c>
      <c r="D2205" t="s">
        <v>80</v>
      </c>
      <c r="G2205" s="17" t="s">
        <v>35</v>
      </c>
      <c r="H2205" s="17">
        <v>1</v>
      </c>
      <c r="I2205">
        <v>2668</v>
      </c>
      <c r="J2205" s="1">
        <v>43344</v>
      </c>
      <c r="K2205" t="s">
        <v>877</v>
      </c>
      <c r="L2205" t="s">
        <v>878</v>
      </c>
      <c r="M2205" t="s">
        <v>131</v>
      </c>
      <c r="N2205">
        <v>8</v>
      </c>
      <c r="O2205" t="s">
        <v>40</v>
      </c>
      <c r="S2205" t="s">
        <v>40</v>
      </c>
      <c r="U2205" s="1">
        <v>43344</v>
      </c>
      <c r="V2205" t="s">
        <v>41</v>
      </c>
      <c r="W2205" t="s">
        <v>75</v>
      </c>
      <c r="X2205" t="str">
        <f>"7541020"</f>
        <v>7541020</v>
      </c>
      <c r="Y2205" t="s">
        <v>882</v>
      </c>
      <c r="Z2205" t="s">
        <v>877</v>
      </c>
      <c r="AA2205" t="s">
        <v>878</v>
      </c>
      <c r="AB2205" t="s">
        <v>131</v>
      </c>
      <c r="AC2205" t="s">
        <v>51</v>
      </c>
      <c r="AD2205" t="s">
        <v>45</v>
      </c>
      <c r="AE2205" s="1">
        <v>28475</v>
      </c>
      <c r="AF2205">
        <v>1</v>
      </c>
      <c r="AG2205" t="s">
        <v>878</v>
      </c>
      <c r="AH2205" s="36">
        <f t="shared" si="34"/>
        <v>41.616666666666667</v>
      </c>
      <c r="AI2205" s="41" t="s">
        <v>1779</v>
      </c>
    </row>
    <row r="2206" spans="1:35" x14ac:dyDescent="0.25">
      <c r="A2206" s="36">
        <v>99912204</v>
      </c>
      <c r="B2206" s="17" t="s">
        <v>32</v>
      </c>
      <c r="C2206" t="s">
        <v>64</v>
      </c>
      <c r="D2206" t="s">
        <v>65</v>
      </c>
      <c r="G2206" s="17" t="s">
        <v>35</v>
      </c>
      <c r="H2206" s="17">
        <v>1</v>
      </c>
      <c r="I2206" s="1">
        <v>42979</v>
      </c>
      <c r="J2206" s="1">
        <v>43344</v>
      </c>
      <c r="K2206" t="s">
        <v>1341</v>
      </c>
      <c r="L2206" t="s">
        <v>1342</v>
      </c>
      <c r="M2206" t="s">
        <v>1270</v>
      </c>
      <c r="N2206">
        <v>6</v>
      </c>
      <c r="O2206" t="s">
        <v>40</v>
      </c>
      <c r="P2206" t="s">
        <v>40</v>
      </c>
      <c r="Q2206" t="s">
        <v>40</v>
      </c>
      <c r="R2206" t="s">
        <v>40</v>
      </c>
      <c r="S2206" t="s">
        <v>40</v>
      </c>
      <c r="U2206" s="1">
        <v>43344</v>
      </c>
      <c r="V2206" t="s">
        <v>41</v>
      </c>
      <c r="W2206" t="s">
        <v>75</v>
      </c>
      <c r="X2206" t="str">
        <f>"7191034"</f>
        <v>7191034</v>
      </c>
      <c r="Y2206" t="s">
        <v>1343</v>
      </c>
      <c r="Z2206" t="s">
        <v>1341</v>
      </c>
      <c r="AA2206" t="s">
        <v>1342</v>
      </c>
      <c r="AB2206" t="s">
        <v>1270</v>
      </c>
      <c r="AC2206" t="s">
        <v>44</v>
      </c>
      <c r="AD2206" t="s">
        <v>45</v>
      </c>
      <c r="AE2206" s="1">
        <v>28474</v>
      </c>
      <c r="AF2206">
        <v>1</v>
      </c>
      <c r="AG2206" t="s">
        <v>1342</v>
      </c>
      <c r="AH2206" s="36">
        <f t="shared" si="34"/>
        <v>41.619444444444447</v>
      </c>
      <c r="AI2206" s="41" t="s">
        <v>1779</v>
      </c>
    </row>
    <row r="2207" spans="1:35" x14ac:dyDescent="0.25">
      <c r="A2207" s="36">
        <v>99912205</v>
      </c>
      <c r="B2207" s="17" t="s">
        <v>32</v>
      </c>
      <c r="C2207" t="s">
        <v>82</v>
      </c>
      <c r="D2207" t="s">
        <v>83</v>
      </c>
      <c r="G2207" s="17" t="s">
        <v>48</v>
      </c>
      <c r="H2207" s="17">
        <v>1</v>
      </c>
      <c r="K2207" t="s">
        <v>1051</v>
      </c>
      <c r="L2207" t="s">
        <v>1052</v>
      </c>
      <c r="M2207" t="s">
        <v>1053</v>
      </c>
      <c r="N2207">
        <v>23</v>
      </c>
      <c r="O2207" t="s">
        <v>40</v>
      </c>
      <c r="P2207" t="s">
        <v>40</v>
      </c>
      <c r="Q2207" t="s">
        <v>40</v>
      </c>
      <c r="R2207" t="s">
        <v>40</v>
      </c>
      <c r="S2207" t="s">
        <v>40</v>
      </c>
      <c r="V2207" t="s">
        <v>41</v>
      </c>
      <c r="W2207" t="s">
        <v>42</v>
      </c>
      <c r="X2207" t="str">
        <f>"2061001"</f>
        <v>2061001</v>
      </c>
      <c r="Y2207" t="s">
        <v>1058</v>
      </c>
      <c r="Z2207" t="s">
        <v>1051</v>
      </c>
      <c r="AA2207" t="s">
        <v>1052</v>
      </c>
      <c r="AB2207" t="s">
        <v>1053</v>
      </c>
      <c r="AC2207" t="s">
        <v>51</v>
      </c>
      <c r="AD2207" t="s">
        <v>45</v>
      </c>
      <c r="AE2207" s="1">
        <v>28469</v>
      </c>
      <c r="AF2207">
        <v>2</v>
      </c>
      <c r="AG2207" t="s">
        <v>1052</v>
      </c>
      <c r="AH2207" s="36">
        <f t="shared" si="34"/>
        <v>41.633333333333333</v>
      </c>
      <c r="AI2207" s="41" t="s">
        <v>1779</v>
      </c>
    </row>
    <row r="2208" spans="1:35" x14ac:dyDescent="0.25">
      <c r="A2208" s="36">
        <v>99912206</v>
      </c>
      <c r="B2208" s="17" t="s">
        <v>56</v>
      </c>
      <c r="C2208" t="s">
        <v>46</v>
      </c>
      <c r="D2208" t="s">
        <v>47</v>
      </c>
      <c r="G2208" s="17" t="s">
        <v>48</v>
      </c>
      <c r="H2208" s="17">
        <v>1</v>
      </c>
      <c r="K2208" t="s">
        <v>223</v>
      </c>
      <c r="L2208" t="s">
        <v>224</v>
      </c>
      <c r="M2208" t="s">
        <v>131</v>
      </c>
      <c r="N2208">
        <v>21</v>
      </c>
      <c r="O2208" t="s">
        <v>40</v>
      </c>
      <c r="P2208" t="s">
        <v>40</v>
      </c>
      <c r="Q2208" t="s">
        <v>40</v>
      </c>
      <c r="S2208" t="s">
        <v>40</v>
      </c>
      <c r="V2208" t="s">
        <v>41</v>
      </c>
      <c r="W2208" t="s">
        <v>42</v>
      </c>
      <c r="X2208" t="str">
        <f>"0580200"</f>
        <v>0580200</v>
      </c>
      <c r="Y2208" t="s">
        <v>245</v>
      </c>
      <c r="Z2208" t="s">
        <v>223</v>
      </c>
      <c r="AA2208" t="s">
        <v>224</v>
      </c>
      <c r="AB2208" t="s">
        <v>131</v>
      </c>
      <c r="AC2208" t="s">
        <v>51</v>
      </c>
      <c r="AD2208" t="s">
        <v>45</v>
      </c>
      <c r="AE2208" s="1">
        <v>28468</v>
      </c>
      <c r="AF2208">
        <v>2</v>
      </c>
      <c r="AG2208" t="s">
        <v>224</v>
      </c>
      <c r="AH2208" s="36">
        <f t="shared" si="34"/>
        <v>41.636111111111113</v>
      </c>
      <c r="AI2208" s="41" t="s">
        <v>1779</v>
      </c>
    </row>
    <row r="2209" spans="1:35" x14ac:dyDescent="0.25">
      <c r="A2209" s="36">
        <v>99912207</v>
      </c>
      <c r="B2209" s="17" t="s">
        <v>32</v>
      </c>
      <c r="C2209" t="s">
        <v>139</v>
      </c>
      <c r="D2209" t="s">
        <v>140</v>
      </c>
      <c r="G2209" s="17" t="s">
        <v>35</v>
      </c>
      <c r="H2209" s="17">
        <v>1</v>
      </c>
      <c r="K2209" t="s">
        <v>154</v>
      </c>
      <c r="L2209" t="s">
        <v>155</v>
      </c>
      <c r="M2209" t="s">
        <v>131</v>
      </c>
      <c r="N2209">
        <v>12</v>
      </c>
      <c r="O2209" t="s">
        <v>40</v>
      </c>
      <c r="P2209" t="s">
        <v>40</v>
      </c>
      <c r="Q2209" t="s">
        <v>40</v>
      </c>
      <c r="R2209" t="s">
        <v>40</v>
      </c>
      <c r="S2209" t="s">
        <v>40</v>
      </c>
      <c r="V2209" t="s">
        <v>41</v>
      </c>
      <c r="W2209" t="s">
        <v>75</v>
      </c>
      <c r="X2209" t="str">
        <f>"7700026"</f>
        <v>7700026</v>
      </c>
      <c r="Y2209" t="s">
        <v>397</v>
      </c>
      <c r="Z2209" t="s">
        <v>154</v>
      </c>
      <c r="AA2209" t="s">
        <v>155</v>
      </c>
      <c r="AB2209" t="s">
        <v>131</v>
      </c>
      <c r="AC2209" t="s">
        <v>51</v>
      </c>
      <c r="AD2209" t="s">
        <v>45</v>
      </c>
      <c r="AE2209" s="1">
        <v>28468</v>
      </c>
      <c r="AF2209">
        <v>1</v>
      </c>
      <c r="AG2209" t="s">
        <v>155</v>
      </c>
      <c r="AH2209" s="36">
        <f t="shared" si="34"/>
        <v>41.636111111111113</v>
      </c>
      <c r="AI2209" s="41" t="s">
        <v>1779</v>
      </c>
    </row>
    <row r="2210" spans="1:35" x14ac:dyDescent="0.25">
      <c r="A2210" s="36">
        <v>99912208</v>
      </c>
      <c r="B2210" s="17" t="s">
        <v>32</v>
      </c>
      <c r="C2210" t="s">
        <v>46</v>
      </c>
      <c r="D2210" t="s">
        <v>47</v>
      </c>
      <c r="G2210" s="17" t="s">
        <v>48</v>
      </c>
      <c r="H2210" s="17">
        <v>1</v>
      </c>
      <c r="K2210" t="s">
        <v>380</v>
      </c>
      <c r="L2210" t="s">
        <v>381</v>
      </c>
      <c r="M2210" t="s">
        <v>131</v>
      </c>
      <c r="N2210">
        <v>9</v>
      </c>
      <c r="O2210" t="s">
        <v>40</v>
      </c>
      <c r="P2210" t="s">
        <v>40</v>
      </c>
      <c r="Q2210" t="s">
        <v>40</v>
      </c>
      <c r="R2210" t="s">
        <v>40</v>
      </c>
      <c r="S2210" t="s">
        <v>40</v>
      </c>
      <c r="V2210" t="s">
        <v>41</v>
      </c>
      <c r="W2210" t="s">
        <v>49</v>
      </c>
      <c r="X2210" t="str">
        <f>"0591909"</f>
        <v>0591909</v>
      </c>
      <c r="Y2210" t="s">
        <v>385</v>
      </c>
      <c r="Z2210" t="s">
        <v>380</v>
      </c>
      <c r="AA2210" t="s">
        <v>381</v>
      </c>
      <c r="AB2210" t="s">
        <v>131</v>
      </c>
      <c r="AC2210" t="s">
        <v>51</v>
      </c>
      <c r="AD2210" t="s">
        <v>45</v>
      </c>
      <c r="AE2210" s="1">
        <v>28465</v>
      </c>
      <c r="AF2210">
        <v>2</v>
      </c>
      <c r="AG2210" t="s">
        <v>381</v>
      </c>
      <c r="AH2210" s="36">
        <f t="shared" si="34"/>
        <v>41.644444444444446</v>
      </c>
      <c r="AI2210" s="41" t="s">
        <v>1779</v>
      </c>
    </row>
    <row r="2211" spans="1:35" x14ac:dyDescent="0.25">
      <c r="A2211" s="36">
        <v>99912209</v>
      </c>
      <c r="B2211" s="17" t="s">
        <v>32</v>
      </c>
      <c r="C2211" t="s">
        <v>111</v>
      </c>
      <c r="D2211" t="s">
        <v>112</v>
      </c>
      <c r="G2211" s="17" t="s">
        <v>35</v>
      </c>
      <c r="H2211" s="17">
        <v>5</v>
      </c>
      <c r="K2211" t="s">
        <v>268</v>
      </c>
      <c r="L2211" t="s">
        <v>269</v>
      </c>
      <c r="M2211" t="s">
        <v>131</v>
      </c>
      <c r="N2211">
        <v>23</v>
      </c>
      <c r="O2211" t="s">
        <v>40</v>
      </c>
      <c r="P2211" t="s">
        <v>40</v>
      </c>
      <c r="Q2211" t="s">
        <v>40</v>
      </c>
      <c r="R2211" t="s">
        <v>40</v>
      </c>
      <c r="S2211" t="s">
        <v>40</v>
      </c>
      <c r="V2211" t="s">
        <v>41</v>
      </c>
      <c r="W2211" t="s">
        <v>75</v>
      </c>
      <c r="X2211" t="str">
        <f>"7052002"</f>
        <v>7052002</v>
      </c>
      <c r="Y2211" t="s">
        <v>590</v>
      </c>
      <c r="Z2211" t="s">
        <v>268</v>
      </c>
      <c r="AA2211" t="s">
        <v>269</v>
      </c>
      <c r="AB2211" t="s">
        <v>131</v>
      </c>
      <c r="AC2211" t="s">
        <v>51</v>
      </c>
      <c r="AD2211" t="s">
        <v>45</v>
      </c>
      <c r="AE2211" s="1">
        <v>28465</v>
      </c>
      <c r="AF2211">
        <v>1</v>
      </c>
      <c r="AG2211" t="s">
        <v>269</v>
      </c>
      <c r="AH2211" s="36">
        <f t="shared" si="34"/>
        <v>41.644444444444446</v>
      </c>
      <c r="AI2211" s="41" t="s">
        <v>1779</v>
      </c>
    </row>
    <row r="2212" spans="1:35" x14ac:dyDescent="0.25">
      <c r="A2212" s="36">
        <v>99912210</v>
      </c>
      <c r="B2212" s="17" t="s">
        <v>32</v>
      </c>
      <c r="C2212" t="s">
        <v>61</v>
      </c>
      <c r="D2212" t="s">
        <v>62</v>
      </c>
      <c r="G2212" s="17" t="s">
        <v>35</v>
      </c>
      <c r="H2212" s="17">
        <v>1</v>
      </c>
      <c r="K2212" t="s">
        <v>223</v>
      </c>
      <c r="L2212" t="s">
        <v>224</v>
      </c>
      <c r="M2212" t="s">
        <v>131</v>
      </c>
      <c r="N2212">
        <v>21</v>
      </c>
      <c r="O2212" t="s">
        <v>40</v>
      </c>
      <c r="P2212" t="s">
        <v>40</v>
      </c>
      <c r="Q2212" t="s">
        <v>40</v>
      </c>
      <c r="S2212" t="s">
        <v>40</v>
      </c>
      <c r="V2212" t="s">
        <v>41</v>
      </c>
      <c r="W2212" t="s">
        <v>49</v>
      </c>
      <c r="X2212" t="str">
        <f>"0591907"</f>
        <v>0591907</v>
      </c>
      <c r="Y2212" t="s">
        <v>243</v>
      </c>
      <c r="Z2212" t="s">
        <v>223</v>
      </c>
      <c r="AA2212" t="s">
        <v>224</v>
      </c>
      <c r="AB2212" t="s">
        <v>131</v>
      </c>
      <c r="AC2212" t="s">
        <v>51</v>
      </c>
      <c r="AD2212" t="s">
        <v>45</v>
      </c>
      <c r="AE2212" s="1">
        <v>28462</v>
      </c>
      <c r="AF2212">
        <v>2</v>
      </c>
      <c r="AG2212" t="s">
        <v>224</v>
      </c>
      <c r="AH2212" s="36">
        <f t="shared" si="34"/>
        <v>41.652777777777779</v>
      </c>
      <c r="AI2212" s="41" t="s">
        <v>1779</v>
      </c>
    </row>
    <row r="2213" spans="1:35" x14ac:dyDescent="0.25">
      <c r="A2213" s="36">
        <v>99912211</v>
      </c>
      <c r="B2213" s="17" t="s">
        <v>32</v>
      </c>
      <c r="C2213" t="s">
        <v>139</v>
      </c>
      <c r="D2213" t="s">
        <v>140</v>
      </c>
      <c r="G2213" s="17" t="s">
        <v>35</v>
      </c>
      <c r="H2213" s="17">
        <v>1</v>
      </c>
      <c r="I2213" t="s">
        <v>608</v>
      </c>
      <c r="J2213" s="1">
        <v>43344</v>
      </c>
      <c r="K2213" t="s">
        <v>268</v>
      </c>
      <c r="L2213" t="s">
        <v>269</v>
      </c>
      <c r="M2213" t="s">
        <v>131</v>
      </c>
      <c r="N2213">
        <v>10</v>
      </c>
      <c r="O2213" t="s">
        <v>40</v>
      </c>
      <c r="S2213" t="s">
        <v>40</v>
      </c>
      <c r="U2213" s="1">
        <v>43344</v>
      </c>
      <c r="V2213" t="s">
        <v>41</v>
      </c>
      <c r="W2213" t="s">
        <v>75</v>
      </c>
      <c r="X2213" t="str">
        <f>"7052020"</f>
        <v>7052020</v>
      </c>
      <c r="Y2213" t="s">
        <v>267</v>
      </c>
      <c r="Z2213" t="s">
        <v>268</v>
      </c>
      <c r="AA2213" t="s">
        <v>269</v>
      </c>
      <c r="AB2213" t="s">
        <v>131</v>
      </c>
      <c r="AC2213" t="s">
        <v>51</v>
      </c>
      <c r="AD2213" t="s">
        <v>45</v>
      </c>
      <c r="AE2213" s="1">
        <v>28462</v>
      </c>
      <c r="AF2213">
        <v>1</v>
      </c>
      <c r="AG2213" t="s">
        <v>269</v>
      </c>
      <c r="AH2213" s="36">
        <f t="shared" si="34"/>
        <v>41.652777777777779</v>
      </c>
      <c r="AI2213" s="41" t="s">
        <v>1779</v>
      </c>
    </row>
    <row r="2214" spans="1:35" x14ac:dyDescent="0.25">
      <c r="A2214" s="36">
        <v>99912212</v>
      </c>
      <c r="B2214" s="17" t="s">
        <v>56</v>
      </c>
      <c r="C2214" t="s">
        <v>52</v>
      </c>
      <c r="D2214" t="s">
        <v>53</v>
      </c>
      <c r="G2214" s="17" t="s">
        <v>35</v>
      </c>
      <c r="H2214" s="17">
        <v>1</v>
      </c>
      <c r="I2214">
        <v>7844</v>
      </c>
      <c r="J2214" s="1">
        <v>43354</v>
      </c>
      <c r="K2214" t="s">
        <v>1187</v>
      </c>
      <c r="L2214" t="s">
        <v>1188</v>
      </c>
      <c r="M2214" t="s">
        <v>1130</v>
      </c>
      <c r="N2214">
        <v>10</v>
      </c>
      <c r="O2214" t="s">
        <v>40</v>
      </c>
      <c r="P2214" t="s">
        <v>40</v>
      </c>
      <c r="Q2214" t="s">
        <v>40</v>
      </c>
      <c r="R2214" t="s">
        <v>40</v>
      </c>
      <c r="S2214" t="s">
        <v>40</v>
      </c>
      <c r="U2214" s="1">
        <v>43354</v>
      </c>
      <c r="V2214" t="s">
        <v>41</v>
      </c>
      <c r="W2214" t="s">
        <v>49</v>
      </c>
      <c r="X2214" t="str">
        <f>"4581015"</f>
        <v>4581015</v>
      </c>
      <c r="Y2214" t="s">
        <v>1190</v>
      </c>
      <c r="Z2214" t="s">
        <v>1187</v>
      </c>
      <c r="AA2214" t="s">
        <v>1188</v>
      </c>
      <c r="AB2214" t="s">
        <v>1130</v>
      </c>
      <c r="AC2214" t="s">
        <v>44</v>
      </c>
      <c r="AD2214" t="s">
        <v>45</v>
      </c>
      <c r="AE2214" s="1">
        <v>28458</v>
      </c>
      <c r="AF2214">
        <v>2</v>
      </c>
      <c r="AG2214" t="s">
        <v>1188</v>
      </c>
      <c r="AH2214" s="36">
        <f t="shared" si="34"/>
        <v>41.663888888888891</v>
      </c>
      <c r="AI2214" s="41" t="s">
        <v>1779</v>
      </c>
    </row>
    <row r="2215" spans="1:35" x14ac:dyDescent="0.25">
      <c r="A2215" s="36">
        <v>99912213</v>
      </c>
      <c r="B2215" s="17" t="s">
        <v>32</v>
      </c>
      <c r="C2215" t="s">
        <v>46</v>
      </c>
      <c r="D2215" t="s">
        <v>47</v>
      </c>
      <c r="G2215" s="17" t="s">
        <v>48</v>
      </c>
      <c r="H2215" s="17">
        <v>1</v>
      </c>
      <c r="K2215" t="s">
        <v>936</v>
      </c>
      <c r="L2215" t="s">
        <v>937</v>
      </c>
      <c r="M2215" t="s">
        <v>938</v>
      </c>
      <c r="N2215">
        <v>23</v>
      </c>
      <c r="O2215" t="s">
        <v>40</v>
      </c>
      <c r="P2215" t="s">
        <v>40</v>
      </c>
      <c r="Q2215" t="s">
        <v>40</v>
      </c>
      <c r="R2215" t="s">
        <v>40</v>
      </c>
      <c r="S2215" t="s">
        <v>40</v>
      </c>
      <c r="V2215" t="s">
        <v>41</v>
      </c>
      <c r="W2215" t="s">
        <v>42</v>
      </c>
      <c r="X2215" t="str">
        <f>"0161002"</f>
        <v>0161002</v>
      </c>
      <c r="Y2215" t="s">
        <v>941</v>
      </c>
      <c r="Z2215" t="s">
        <v>936</v>
      </c>
      <c r="AA2215" t="s">
        <v>937</v>
      </c>
      <c r="AB2215" t="s">
        <v>938</v>
      </c>
      <c r="AC2215" t="s">
        <v>51</v>
      </c>
      <c r="AD2215" t="s">
        <v>45</v>
      </c>
      <c r="AE2215" s="1">
        <v>28454</v>
      </c>
      <c r="AF2215">
        <v>2</v>
      </c>
      <c r="AG2215" t="s">
        <v>937</v>
      </c>
      <c r="AH2215" s="36">
        <f t="shared" si="34"/>
        <v>41.674999999999997</v>
      </c>
      <c r="AI2215" s="41" t="s">
        <v>1779</v>
      </c>
    </row>
    <row r="2216" spans="1:35" x14ac:dyDescent="0.25">
      <c r="A2216" s="36">
        <v>99912214</v>
      </c>
      <c r="B2216" s="17" t="s">
        <v>32</v>
      </c>
      <c r="C2216" t="s">
        <v>64</v>
      </c>
      <c r="D2216" t="s">
        <v>65</v>
      </c>
      <c r="G2216" s="17" t="s">
        <v>35</v>
      </c>
      <c r="H2216" s="17">
        <v>1</v>
      </c>
      <c r="K2216" t="s">
        <v>1341</v>
      </c>
      <c r="L2216" t="s">
        <v>1342</v>
      </c>
      <c r="M2216" t="s">
        <v>1270</v>
      </c>
      <c r="N2216">
        <v>22</v>
      </c>
      <c r="O2216" t="s">
        <v>40</v>
      </c>
      <c r="P2216" t="s">
        <v>40</v>
      </c>
      <c r="Q2216" t="s">
        <v>40</v>
      </c>
      <c r="S2216" t="s">
        <v>40</v>
      </c>
      <c r="V2216" t="s">
        <v>41</v>
      </c>
      <c r="W2216" t="s">
        <v>75</v>
      </c>
      <c r="X2216" t="str">
        <f>"7191006"</f>
        <v>7191006</v>
      </c>
      <c r="Y2216" t="s">
        <v>1351</v>
      </c>
      <c r="Z2216" t="s">
        <v>1341</v>
      </c>
      <c r="AA2216" t="s">
        <v>1342</v>
      </c>
      <c r="AB2216" t="s">
        <v>1270</v>
      </c>
      <c r="AC2216" t="s">
        <v>51</v>
      </c>
      <c r="AD2216" t="s">
        <v>45</v>
      </c>
      <c r="AE2216" s="1">
        <v>28452</v>
      </c>
      <c r="AF2216">
        <v>1</v>
      </c>
      <c r="AG2216" t="s">
        <v>1342</v>
      </c>
      <c r="AH2216" s="36">
        <f t="shared" si="34"/>
        <v>41.680555555555557</v>
      </c>
      <c r="AI2216" s="41" t="s">
        <v>1779</v>
      </c>
    </row>
    <row r="2217" spans="1:35" x14ac:dyDescent="0.25">
      <c r="A2217" s="36">
        <v>99912215</v>
      </c>
      <c r="B2217" s="17" t="s">
        <v>32</v>
      </c>
      <c r="C2217" t="s">
        <v>64</v>
      </c>
      <c r="D2217" t="s">
        <v>65</v>
      </c>
      <c r="G2217" s="17" t="s">
        <v>48</v>
      </c>
      <c r="H2217" s="17">
        <v>1</v>
      </c>
      <c r="K2217" t="s">
        <v>223</v>
      </c>
      <c r="L2217" t="s">
        <v>224</v>
      </c>
      <c r="M2217" t="s">
        <v>131</v>
      </c>
      <c r="N2217">
        <v>23</v>
      </c>
      <c r="O2217" t="s">
        <v>40</v>
      </c>
      <c r="P2217" t="s">
        <v>40</v>
      </c>
      <c r="Q2217" t="s">
        <v>40</v>
      </c>
      <c r="S2217" t="s">
        <v>40</v>
      </c>
      <c r="V2217" t="s">
        <v>41</v>
      </c>
      <c r="W2217" t="s">
        <v>49</v>
      </c>
      <c r="X2217" t="str">
        <f>"0581206"</f>
        <v>0581206</v>
      </c>
      <c r="Y2217" t="s">
        <v>232</v>
      </c>
      <c r="Z2217" t="s">
        <v>223</v>
      </c>
      <c r="AA2217" t="s">
        <v>224</v>
      </c>
      <c r="AB2217" t="s">
        <v>131</v>
      </c>
      <c r="AC2217" t="s">
        <v>51</v>
      </c>
      <c r="AD2217" t="s">
        <v>45</v>
      </c>
      <c r="AE2217" s="1">
        <v>28443</v>
      </c>
      <c r="AF2217">
        <v>2</v>
      </c>
      <c r="AG2217" t="s">
        <v>224</v>
      </c>
      <c r="AH2217" s="36">
        <f t="shared" si="34"/>
        <v>41.705555555555556</v>
      </c>
      <c r="AI2217" s="41" t="s">
        <v>1779</v>
      </c>
    </row>
    <row r="2218" spans="1:35" x14ac:dyDescent="0.25">
      <c r="A2218" s="36">
        <v>99912216</v>
      </c>
      <c r="B2218" s="17" t="s">
        <v>32</v>
      </c>
      <c r="C2218" t="s">
        <v>111</v>
      </c>
      <c r="D2218" t="s">
        <v>112</v>
      </c>
      <c r="G2218" s="17" t="s">
        <v>35</v>
      </c>
      <c r="H2218" s="17">
        <v>1</v>
      </c>
      <c r="K2218" t="s">
        <v>963</v>
      </c>
      <c r="L2218" t="s">
        <v>964</v>
      </c>
      <c r="M2218" t="s">
        <v>938</v>
      </c>
      <c r="N2218">
        <v>22</v>
      </c>
      <c r="O2218" t="s">
        <v>40</v>
      </c>
      <c r="P2218" t="s">
        <v>40</v>
      </c>
      <c r="Q2218" t="s">
        <v>40</v>
      </c>
      <c r="S2218" t="s">
        <v>40</v>
      </c>
      <c r="V2218" t="s">
        <v>41</v>
      </c>
      <c r="W2218" t="s">
        <v>75</v>
      </c>
      <c r="X2218" t="str">
        <f>"7061000"</f>
        <v>7061000</v>
      </c>
      <c r="Y2218" t="s">
        <v>962</v>
      </c>
      <c r="Z2218" t="s">
        <v>963</v>
      </c>
      <c r="AA2218" t="s">
        <v>964</v>
      </c>
      <c r="AB2218" t="s">
        <v>938</v>
      </c>
      <c r="AC2218" t="s">
        <v>165</v>
      </c>
      <c r="AD2218" t="s">
        <v>45</v>
      </c>
      <c r="AE2218" s="1">
        <v>28436</v>
      </c>
      <c r="AF2218">
        <v>1</v>
      </c>
      <c r="AG2218" t="s">
        <v>964</v>
      </c>
      <c r="AH2218" s="36">
        <f t="shared" si="34"/>
        <v>41.725000000000001</v>
      </c>
      <c r="AI2218" s="41" t="s">
        <v>1779</v>
      </c>
    </row>
    <row r="2219" spans="1:35" x14ac:dyDescent="0.25">
      <c r="A2219" s="36">
        <v>99912217</v>
      </c>
      <c r="B2219" s="17" t="s">
        <v>56</v>
      </c>
      <c r="C2219" t="s">
        <v>111</v>
      </c>
      <c r="D2219" t="s">
        <v>112</v>
      </c>
      <c r="G2219" s="17" t="s">
        <v>35</v>
      </c>
      <c r="H2219" s="17">
        <v>1</v>
      </c>
      <c r="I2219" t="s">
        <v>532</v>
      </c>
      <c r="J2219" s="1">
        <v>41961</v>
      </c>
      <c r="K2219" t="s">
        <v>1564</v>
      </c>
      <c r="L2219" t="s">
        <v>1565</v>
      </c>
      <c r="M2219" t="s">
        <v>1548</v>
      </c>
      <c r="N2219">
        <v>24</v>
      </c>
      <c r="O2219" t="s">
        <v>40</v>
      </c>
      <c r="P2219" t="s">
        <v>40</v>
      </c>
      <c r="Q2219" t="s">
        <v>40</v>
      </c>
      <c r="R2219" t="s">
        <v>40</v>
      </c>
      <c r="S2219" t="s">
        <v>40</v>
      </c>
      <c r="U2219" s="1">
        <v>41961</v>
      </c>
      <c r="V2219" t="s">
        <v>41</v>
      </c>
      <c r="W2219" t="s">
        <v>75</v>
      </c>
      <c r="X2219" t="str">
        <f>"7101000"</f>
        <v>7101000</v>
      </c>
      <c r="Y2219" t="s">
        <v>1572</v>
      </c>
      <c r="Z2219" t="s">
        <v>1564</v>
      </c>
      <c r="AA2219" t="s">
        <v>1565</v>
      </c>
      <c r="AB2219" t="s">
        <v>1548</v>
      </c>
      <c r="AC2219" t="s">
        <v>51</v>
      </c>
      <c r="AD2219" t="s">
        <v>45</v>
      </c>
      <c r="AE2219" s="1">
        <v>28434</v>
      </c>
      <c r="AF2219">
        <v>1</v>
      </c>
      <c r="AG2219" t="s">
        <v>1565</v>
      </c>
      <c r="AH2219" s="36">
        <f t="shared" si="34"/>
        <v>41.730555555555554</v>
      </c>
      <c r="AI2219" s="41" t="s">
        <v>1779</v>
      </c>
    </row>
    <row r="2220" spans="1:35" x14ac:dyDescent="0.25">
      <c r="A2220" s="36">
        <v>99912218</v>
      </c>
      <c r="B2220" s="17" t="s">
        <v>32</v>
      </c>
      <c r="C2220" t="s">
        <v>46</v>
      </c>
      <c r="D2220" t="s">
        <v>47</v>
      </c>
      <c r="G2220" s="17" t="s">
        <v>48</v>
      </c>
      <c r="H2220" s="17">
        <v>1</v>
      </c>
      <c r="K2220" t="s">
        <v>223</v>
      </c>
      <c r="L2220" t="s">
        <v>224</v>
      </c>
      <c r="M2220" t="s">
        <v>131</v>
      </c>
      <c r="N2220">
        <v>21</v>
      </c>
      <c r="O2220" t="s">
        <v>40</v>
      </c>
      <c r="P2220" t="s">
        <v>40</v>
      </c>
      <c r="Q2220" t="s">
        <v>40</v>
      </c>
      <c r="S2220" t="s">
        <v>40</v>
      </c>
      <c r="V2220" t="s">
        <v>41</v>
      </c>
      <c r="W2220" t="s">
        <v>49</v>
      </c>
      <c r="X2220" t="str">
        <f>"0581204"</f>
        <v>0581204</v>
      </c>
      <c r="Y2220" t="s">
        <v>249</v>
      </c>
      <c r="Z2220" t="s">
        <v>223</v>
      </c>
      <c r="AA2220" t="s">
        <v>224</v>
      </c>
      <c r="AB2220" t="s">
        <v>131</v>
      </c>
      <c r="AC2220" t="s">
        <v>51</v>
      </c>
      <c r="AD2220" t="s">
        <v>45</v>
      </c>
      <c r="AE2220" s="1">
        <v>28433</v>
      </c>
      <c r="AF2220">
        <v>2</v>
      </c>
      <c r="AG2220" t="s">
        <v>224</v>
      </c>
      <c r="AH2220" s="36">
        <f t="shared" si="34"/>
        <v>41.733333333333334</v>
      </c>
      <c r="AI2220" s="41" t="s">
        <v>1779</v>
      </c>
    </row>
    <row r="2221" spans="1:35" x14ac:dyDescent="0.25">
      <c r="A2221" s="36">
        <v>99912219</v>
      </c>
      <c r="B2221" s="17" t="s">
        <v>32</v>
      </c>
      <c r="C2221" t="s">
        <v>139</v>
      </c>
      <c r="D2221" t="s">
        <v>140</v>
      </c>
      <c r="G2221" s="17" t="s">
        <v>88</v>
      </c>
      <c r="H2221" s="17">
        <v>2</v>
      </c>
      <c r="K2221" t="s">
        <v>354</v>
      </c>
      <c r="L2221" t="s">
        <v>355</v>
      </c>
      <c r="M2221" t="s">
        <v>131</v>
      </c>
      <c r="N2221">
        <v>14</v>
      </c>
      <c r="O2221" t="s">
        <v>40</v>
      </c>
      <c r="P2221" t="s">
        <v>40</v>
      </c>
      <c r="Q2221" t="s">
        <v>40</v>
      </c>
      <c r="R2221" t="s">
        <v>40</v>
      </c>
      <c r="S2221" t="s">
        <v>40</v>
      </c>
      <c r="V2221" t="s">
        <v>41</v>
      </c>
      <c r="W2221" t="s">
        <v>75</v>
      </c>
      <c r="X2221" t="str">
        <f>"7054006"</f>
        <v>7054006</v>
      </c>
      <c r="Y2221" t="s">
        <v>774</v>
      </c>
      <c r="Z2221" t="s">
        <v>354</v>
      </c>
      <c r="AA2221" t="s">
        <v>355</v>
      </c>
      <c r="AB2221" t="s">
        <v>131</v>
      </c>
      <c r="AC2221" t="s">
        <v>51</v>
      </c>
      <c r="AD2221" t="s">
        <v>45</v>
      </c>
      <c r="AE2221" s="1">
        <v>28433</v>
      </c>
      <c r="AF2221">
        <v>1</v>
      </c>
      <c r="AG2221" t="s">
        <v>355</v>
      </c>
      <c r="AH2221" s="36">
        <f t="shared" si="34"/>
        <v>41.733333333333334</v>
      </c>
      <c r="AI2221" s="41" t="s">
        <v>1779</v>
      </c>
    </row>
    <row r="2222" spans="1:35" x14ac:dyDescent="0.25">
      <c r="A2222" s="36">
        <v>99912220</v>
      </c>
      <c r="B2222" s="17" t="s">
        <v>56</v>
      </c>
      <c r="C2222" t="s">
        <v>85</v>
      </c>
      <c r="D2222" t="s">
        <v>86</v>
      </c>
      <c r="G2222" s="17" t="s">
        <v>48</v>
      </c>
      <c r="H2222" s="17">
        <v>1</v>
      </c>
      <c r="K2222" t="s">
        <v>1613</v>
      </c>
      <c r="L2222" t="s">
        <v>1614</v>
      </c>
      <c r="M2222" t="s">
        <v>1592</v>
      </c>
      <c r="N2222">
        <v>13</v>
      </c>
      <c r="O2222" t="s">
        <v>40</v>
      </c>
      <c r="P2222" t="s">
        <v>40</v>
      </c>
      <c r="Q2222" t="s">
        <v>40</v>
      </c>
      <c r="R2222" t="s">
        <v>40</v>
      </c>
      <c r="S2222" t="s">
        <v>40</v>
      </c>
      <c r="V2222" t="s">
        <v>41</v>
      </c>
      <c r="W2222" t="s">
        <v>49</v>
      </c>
      <c r="X2222" t="str">
        <f>"2860001"</f>
        <v>2860001</v>
      </c>
      <c r="Y2222" t="s">
        <v>1616</v>
      </c>
      <c r="Z2222" t="s">
        <v>1613</v>
      </c>
      <c r="AA2222" t="s">
        <v>1614</v>
      </c>
      <c r="AB2222" t="s">
        <v>1592</v>
      </c>
      <c r="AC2222" t="s">
        <v>51</v>
      </c>
      <c r="AD2222" t="s">
        <v>45</v>
      </c>
      <c r="AE2222" s="1">
        <v>28432</v>
      </c>
      <c r="AF2222">
        <v>2</v>
      </c>
      <c r="AG2222" t="s">
        <v>1614</v>
      </c>
      <c r="AH2222" s="36">
        <f t="shared" si="34"/>
        <v>41.736111111111114</v>
      </c>
      <c r="AI2222" s="41" t="s">
        <v>1779</v>
      </c>
    </row>
    <row r="2223" spans="1:35" x14ac:dyDescent="0.25">
      <c r="A2223" s="36">
        <v>99912221</v>
      </c>
      <c r="B2223" s="17" t="s">
        <v>32</v>
      </c>
      <c r="C2223" t="s">
        <v>141</v>
      </c>
      <c r="D2223" t="s">
        <v>142</v>
      </c>
      <c r="G2223" s="17" t="s">
        <v>35</v>
      </c>
      <c r="H2223" s="17">
        <v>1</v>
      </c>
      <c r="K2223" t="s">
        <v>947</v>
      </c>
      <c r="L2223" t="s">
        <v>948</v>
      </c>
      <c r="M2223" t="s">
        <v>938</v>
      </c>
      <c r="N2223">
        <v>16</v>
      </c>
      <c r="O2223" t="s">
        <v>40</v>
      </c>
      <c r="P2223" t="s">
        <v>40</v>
      </c>
      <c r="Q2223" t="s">
        <v>40</v>
      </c>
      <c r="R2223" t="s">
        <v>40</v>
      </c>
      <c r="S2223" t="s">
        <v>40</v>
      </c>
      <c r="V2223" t="s">
        <v>41</v>
      </c>
      <c r="W2223" t="s">
        <v>49</v>
      </c>
      <c r="X2223" t="str">
        <f>"0605000"</f>
        <v>0605000</v>
      </c>
      <c r="Y2223" t="s">
        <v>950</v>
      </c>
      <c r="Z2223" t="s">
        <v>947</v>
      </c>
      <c r="AA2223" t="s">
        <v>948</v>
      </c>
      <c r="AB2223" t="s">
        <v>938</v>
      </c>
      <c r="AC2223" t="s">
        <v>51</v>
      </c>
      <c r="AD2223" t="s">
        <v>45</v>
      </c>
      <c r="AE2223" s="1">
        <v>28430</v>
      </c>
      <c r="AF2223">
        <v>2</v>
      </c>
      <c r="AG2223" t="s">
        <v>948</v>
      </c>
      <c r="AH2223" s="36">
        <f t="shared" si="34"/>
        <v>41.741666666666667</v>
      </c>
      <c r="AI2223" s="41" t="s">
        <v>1779</v>
      </c>
    </row>
    <row r="2224" spans="1:35" x14ac:dyDescent="0.25">
      <c r="A2224" s="36">
        <v>99912222</v>
      </c>
      <c r="B2224" s="17" t="s">
        <v>32</v>
      </c>
      <c r="C2224" t="s">
        <v>46</v>
      </c>
      <c r="D2224" t="s">
        <v>47</v>
      </c>
      <c r="G2224" s="17" t="s">
        <v>35</v>
      </c>
      <c r="H2224" s="17">
        <v>1</v>
      </c>
      <c r="K2224" t="s">
        <v>223</v>
      </c>
      <c r="L2224" t="s">
        <v>224</v>
      </c>
      <c r="M2224" t="s">
        <v>131</v>
      </c>
      <c r="N2224">
        <v>20</v>
      </c>
      <c r="O2224" t="s">
        <v>40</v>
      </c>
      <c r="P2224" t="s">
        <v>40</v>
      </c>
      <c r="Q2224" t="s">
        <v>40</v>
      </c>
      <c r="R2224" t="s">
        <v>40</v>
      </c>
      <c r="S2224" t="s">
        <v>40</v>
      </c>
      <c r="V2224" t="s">
        <v>41</v>
      </c>
      <c r="W2224" t="s">
        <v>42</v>
      </c>
      <c r="X2224" t="str">
        <f>"0580345"</f>
        <v>0580345</v>
      </c>
      <c r="Y2224" t="s">
        <v>261</v>
      </c>
      <c r="Z2224" t="s">
        <v>223</v>
      </c>
      <c r="AA2224" t="s">
        <v>224</v>
      </c>
      <c r="AB2224" t="s">
        <v>131</v>
      </c>
      <c r="AC2224" t="s">
        <v>51</v>
      </c>
      <c r="AD2224" t="s">
        <v>45</v>
      </c>
      <c r="AE2224" s="1">
        <v>28428</v>
      </c>
      <c r="AF2224">
        <v>2</v>
      </c>
      <c r="AG2224" t="s">
        <v>224</v>
      </c>
      <c r="AH2224" s="36">
        <f t="shared" si="34"/>
        <v>41.74722222222222</v>
      </c>
      <c r="AI2224" s="41" t="s">
        <v>1779</v>
      </c>
    </row>
    <row r="2225" spans="1:35" x14ac:dyDescent="0.25">
      <c r="A2225" s="36">
        <v>99912223</v>
      </c>
      <c r="B2225" s="17" t="s">
        <v>32</v>
      </c>
      <c r="C2225" t="s">
        <v>52</v>
      </c>
      <c r="D2225" t="s">
        <v>53</v>
      </c>
      <c r="G2225" s="17" t="s">
        <v>48</v>
      </c>
      <c r="H2225" s="17">
        <v>1</v>
      </c>
      <c r="K2225" t="s">
        <v>162</v>
      </c>
      <c r="L2225" t="s">
        <v>158</v>
      </c>
      <c r="M2225" t="s">
        <v>131</v>
      </c>
      <c r="N2225">
        <v>13</v>
      </c>
      <c r="O2225" t="s">
        <v>40</v>
      </c>
      <c r="P2225" t="s">
        <v>40</v>
      </c>
      <c r="Q2225" t="s">
        <v>40</v>
      </c>
      <c r="S2225" t="s">
        <v>40</v>
      </c>
      <c r="V2225" t="s">
        <v>41</v>
      </c>
      <c r="W2225" t="s">
        <v>49</v>
      </c>
      <c r="X2225" t="str">
        <f>"0560027"</f>
        <v>0560027</v>
      </c>
      <c r="Y2225" t="s">
        <v>178</v>
      </c>
      <c r="Z2225" t="s">
        <v>162</v>
      </c>
      <c r="AA2225" t="s">
        <v>158</v>
      </c>
      <c r="AB2225" t="s">
        <v>131</v>
      </c>
      <c r="AC2225" t="s">
        <v>51</v>
      </c>
      <c r="AD2225" t="s">
        <v>45</v>
      </c>
      <c r="AE2225" s="1">
        <v>28424</v>
      </c>
      <c r="AF2225">
        <v>2</v>
      </c>
      <c r="AG2225" t="s">
        <v>158</v>
      </c>
      <c r="AH2225" s="36">
        <f t="shared" si="34"/>
        <v>41.758333333333333</v>
      </c>
      <c r="AI2225" s="41" t="s">
        <v>1779</v>
      </c>
    </row>
    <row r="2226" spans="1:35" x14ac:dyDescent="0.25">
      <c r="A2226" s="36">
        <v>99912224</v>
      </c>
      <c r="B2226" s="17" t="s">
        <v>32</v>
      </c>
      <c r="C2226" t="s">
        <v>64</v>
      </c>
      <c r="D2226" t="s">
        <v>65</v>
      </c>
      <c r="G2226" s="17" t="s">
        <v>48</v>
      </c>
      <c r="H2226" s="17">
        <v>10</v>
      </c>
      <c r="K2226" t="s">
        <v>1221</v>
      </c>
      <c r="L2226" t="s">
        <v>1222</v>
      </c>
      <c r="M2226" t="s">
        <v>1130</v>
      </c>
      <c r="N2226">
        <v>23</v>
      </c>
      <c r="O2226" t="s">
        <v>40</v>
      </c>
      <c r="P2226" t="s">
        <v>40</v>
      </c>
      <c r="Q2226" t="s">
        <v>40</v>
      </c>
      <c r="R2226" t="s">
        <v>40</v>
      </c>
      <c r="S2226" t="s">
        <v>40</v>
      </c>
      <c r="V2226" t="s">
        <v>41</v>
      </c>
      <c r="W2226" t="s">
        <v>75</v>
      </c>
      <c r="X2226" t="str">
        <f>"7351000"</f>
        <v>7351000</v>
      </c>
      <c r="Y2226" t="s">
        <v>1223</v>
      </c>
      <c r="Z2226" t="s">
        <v>1221</v>
      </c>
      <c r="AA2226" t="s">
        <v>1222</v>
      </c>
      <c r="AB2226" t="s">
        <v>1130</v>
      </c>
      <c r="AC2226" t="s">
        <v>51</v>
      </c>
      <c r="AD2226" t="s">
        <v>45</v>
      </c>
      <c r="AE2226" s="1">
        <v>28423</v>
      </c>
      <c r="AF2226">
        <v>1</v>
      </c>
      <c r="AG2226" t="s">
        <v>1222</v>
      </c>
      <c r="AH2226" s="36">
        <f t="shared" si="34"/>
        <v>41.761111111111113</v>
      </c>
      <c r="AI2226" s="41" t="s">
        <v>1779</v>
      </c>
    </row>
    <row r="2227" spans="1:35" x14ac:dyDescent="0.25">
      <c r="A2227" s="36">
        <v>99912225</v>
      </c>
      <c r="B2227" s="17" t="s">
        <v>56</v>
      </c>
      <c r="C2227" t="s">
        <v>33</v>
      </c>
      <c r="D2227" t="s">
        <v>34</v>
      </c>
      <c r="G2227" s="17" t="s">
        <v>48</v>
      </c>
      <c r="H2227" s="17">
        <v>1</v>
      </c>
      <c r="K2227" t="s">
        <v>129</v>
      </c>
      <c r="L2227" t="s">
        <v>130</v>
      </c>
      <c r="M2227" t="s">
        <v>131</v>
      </c>
      <c r="N2227">
        <v>23</v>
      </c>
      <c r="O2227" t="s">
        <v>40</v>
      </c>
      <c r="P2227" t="s">
        <v>40</v>
      </c>
      <c r="Q2227" t="s">
        <v>40</v>
      </c>
      <c r="R2227" t="s">
        <v>40</v>
      </c>
      <c r="S2227" t="s">
        <v>40</v>
      </c>
      <c r="V2227" t="s">
        <v>41</v>
      </c>
      <c r="W2227" t="s">
        <v>49</v>
      </c>
      <c r="X2227" t="str">
        <f>"0560024"</f>
        <v>0560024</v>
      </c>
      <c r="Y2227" t="s">
        <v>138</v>
      </c>
      <c r="Z2227" t="s">
        <v>129</v>
      </c>
      <c r="AA2227" t="s">
        <v>130</v>
      </c>
      <c r="AB2227" t="s">
        <v>131</v>
      </c>
      <c r="AC2227" t="s">
        <v>51</v>
      </c>
      <c r="AD2227" t="s">
        <v>45</v>
      </c>
      <c r="AE2227" s="1">
        <v>28419</v>
      </c>
      <c r="AF2227">
        <v>2</v>
      </c>
      <c r="AG2227" t="s">
        <v>130</v>
      </c>
      <c r="AH2227" s="36">
        <f t="shared" si="34"/>
        <v>41.772222222222226</v>
      </c>
      <c r="AI2227" s="41" t="s">
        <v>1779</v>
      </c>
    </row>
    <row r="2228" spans="1:35" x14ac:dyDescent="0.25">
      <c r="A2228" s="36">
        <v>99912226</v>
      </c>
      <c r="B2228" s="17" t="s">
        <v>32</v>
      </c>
      <c r="C2228" t="s">
        <v>79</v>
      </c>
      <c r="D2228" t="s">
        <v>80</v>
      </c>
      <c r="G2228" s="17" t="s">
        <v>48</v>
      </c>
      <c r="H2228" s="17">
        <v>5</v>
      </c>
      <c r="K2228" t="s">
        <v>195</v>
      </c>
      <c r="L2228" t="s">
        <v>196</v>
      </c>
      <c r="M2228" t="s">
        <v>131</v>
      </c>
      <c r="N2228">
        <v>24</v>
      </c>
      <c r="O2228" t="s">
        <v>40</v>
      </c>
      <c r="P2228" t="s">
        <v>40</v>
      </c>
      <c r="Q2228" t="s">
        <v>40</v>
      </c>
      <c r="R2228" t="s">
        <v>40</v>
      </c>
      <c r="S2228" t="s">
        <v>40</v>
      </c>
      <c r="U2228" s="1">
        <v>40422</v>
      </c>
      <c r="V2228" t="s">
        <v>41</v>
      </c>
      <c r="W2228" t="s">
        <v>75</v>
      </c>
      <c r="X2228" t="str">
        <f>"7521044"</f>
        <v>7521044</v>
      </c>
      <c r="Y2228" t="s">
        <v>453</v>
      </c>
      <c r="Z2228" t="s">
        <v>195</v>
      </c>
      <c r="AA2228" t="s">
        <v>196</v>
      </c>
      <c r="AB2228" t="s">
        <v>131</v>
      </c>
      <c r="AC2228" t="s">
        <v>51</v>
      </c>
      <c r="AD2228" t="s">
        <v>45</v>
      </c>
      <c r="AE2228" s="1">
        <v>28412</v>
      </c>
      <c r="AF2228">
        <v>1</v>
      </c>
      <c r="AG2228" t="s">
        <v>196</v>
      </c>
      <c r="AH2228" s="36">
        <f t="shared" si="34"/>
        <v>41.791666666666664</v>
      </c>
      <c r="AI2228" s="41" t="s">
        <v>1779</v>
      </c>
    </row>
    <row r="2229" spans="1:35" x14ac:dyDescent="0.25">
      <c r="A2229" s="36">
        <v>99912227</v>
      </c>
      <c r="B2229" s="17" t="s">
        <v>32</v>
      </c>
      <c r="C2229" t="s">
        <v>111</v>
      </c>
      <c r="D2229" t="s">
        <v>112</v>
      </c>
      <c r="G2229" s="17" t="s">
        <v>35</v>
      </c>
      <c r="H2229" s="17">
        <v>1</v>
      </c>
      <c r="K2229" t="s">
        <v>354</v>
      </c>
      <c r="L2229" t="s">
        <v>355</v>
      </c>
      <c r="M2229" t="s">
        <v>131</v>
      </c>
      <c r="N2229">
        <v>24</v>
      </c>
      <c r="O2229" t="s">
        <v>40</v>
      </c>
      <c r="P2229" t="s">
        <v>40</v>
      </c>
      <c r="Q2229" t="s">
        <v>40</v>
      </c>
      <c r="S2229" t="s">
        <v>40</v>
      </c>
      <c r="V2229" t="s">
        <v>41</v>
      </c>
      <c r="W2229" t="s">
        <v>75</v>
      </c>
      <c r="X2229" t="str">
        <f>"7054022"</f>
        <v>7054022</v>
      </c>
      <c r="Y2229" t="s">
        <v>770</v>
      </c>
      <c r="Z2229" t="s">
        <v>354</v>
      </c>
      <c r="AA2229" t="s">
        <v>355</v>
      </c>
      <c r="AB2229" t="s">
        <v>131</v>
      </c>
      <c r="AC2229" t="s">
        <v>51</v>
      </c>
      <c r="AD2229" t="s">
        <v>45</v>
      </c>
      <c r="AE2229" s="1">
        <v>28410</v>
      </c>
      <c r="AF2229">
        <v>1</v>
      </c>
      <c r="AG2229" t="s">
        <v>355</v>
      </c>
      <c r="AH2229" s="36">
        <f t="shared" si="34"/>
        <v>41.797222222222224</v>
      </c>
      <c r="AI2229" s="41" t="s">
        <v>1779</v>
      </c>
    </row>
    <row r="2230" spans="1:35" x14ac:dyDescent="0.25">
      <c r="A2230" s="36">
        <v>99912228</v>
      </c>
      <c r="B2230" s="17" t="s">
        <v>56</v>
      </c>
      <c r="C2230" t="s">
        <v>64</v>
      </c>
      <c r="D2230" t="s">
        <v>65</v>
      </c>
      <c r="G2230" s="17" t="s">
        <v>35</v>
      </c>
      <c r="H2230" s="17">
        <v>1</v>
      </c>
      <c r="I2230">
        <v>0</v>
      </c>
      <c r="J2230" s="1">
        <v>43344</v>
      </c>
      <c r="K2230" t="s">
        <v>223</v>
      </c>
      <c r="L2230" t="s">
        <v>224</v>
      </c>
      <c r="M2230" t="s">
        <v>131</v>
      </c>
      <c r="N2230">
        <v>12</v>
      </c>
      <c r="O2230" t="s">
        <v>40</v>
      </c>
      <c r="P2230" t="s">
        <v>40</v>
      </c>
      <c r="Q2230" t="s">
        <v>40</v>
      </c>
      <c r="R2230" t="s">
        <v>40</v>
      </c>
      <c r="S2230" t="s">
        <v>40</v>
      </c>
      <c r="U2230" s="1">
        <v>43344</v>
      </c>
      <c r="V2230" t="s">
        <v>41</v>
      </c>
      <c r="W2230" t="s">
        <v>49</v>
      </c>
      <c r="X2230" t="str">
        <f>"0591901"</f>
        <v>0591901</v>
      </c>
      <c r="Y2230" t="s">
        <v>230</v>
      </c>
      <c r="Z2230" t="s">
        <v>223</v>
      </c>
      <c r="AA2230" t="s">
        <v>224</v>
      </c>
      <c r="AB2230" t="s">
        <v>131</v>
      </c>
      <c r="AC2230" t="s">
        <v>44</v>
      </c>
      <c r="AD2230" t="s">
        <v>45</v>
      </c>
      <c r="AE2230" s="1">
        <v>28408</v>
      </c>
      <c r="AF2230">
        <v>2</v>
      </c>
      <c r="AG2230" t="s">
        <v>224</v>
      </c>
      <c r="AH2230" s="36">
        <f t="shared" si="34"/>
        <v>41.802777777777777</v>
      </c>
      <c r="AI2230" s="41" t="s">
        <v>1779</v>
      </c>
    </row>
    <row r="2231" spans="1:35" x14ac:dyDescent="0.25">
      <c r="A2231" s="36">
        <v>99912229</v>
      </c>
      <c r="B2231" s="17" t="s">
        <v>56</v>
      </c>
      <c r="C2231" t="s">
        <v>139</v>
      </c>
      <c r="D2231" t="s">
        <v>140</v>
      </c>
      <c r="G2231" s="17" t="s">
        <v>48</v>
      </c>
      <c r="H2231" s="17">
        <v>1</v>
      </c>
      <c r="K2231" t="s">
        <v>345</v>
      </c>
      <c r="L2231" t="s">
        <v>346</v>
      </c>
      <c r="M2231" t="s">
        <v>131</v>
      </c>
      <c r="N2231">
        <v>21</v>
      </c>
      <c r="O2231" t="s">
        <v>40</v>
      </c>
      <c r="P2231" t="s">
        <v>40</v>
      </c>
      <c r="Q2231" t="s">
        <v>40</v>
      </c>
      <c r="R2231" t="s">
        <v>40</v>
      </c>
      <c r="S2231" t="s">
        <v>40</v>
      </c>
      <c r="V2231" t="s">
        <v>41</v>
      </c>
      <c r="W2231" t="s">
        <v>49</v>
      </c>
      <c r="X2231" t="str">
        <f>"0591906"</f>
        <v>0591906</v>
      </c>
      <c r="Y2231" t="s">
        <v>350</v>
      </c>
      <c r="Z2231" t="s">
        <v>345</v>
      </c>
      <c r="AA2231" t="s">
        <v>346</v>
      </c>
      <c r="AB2231" t="s">
        <v>131</v>
      </c>
      <c r="AC2231" t="s">
        <v>51</v>
      </c>
      <c r="AD2231" t="s">
        <v>45</v>
      </c>
      <c r="AE2231" s="1">
        <v>28408</v>
      </c>
      <c r="AF2231">
        <v>2</v>
      </c>
      <c r="AG2231" t="s">
        <v>346</v>
      </c>
      <c r="AH2231" s="36">
        <f t="shared" si="34"/>
        <v>41.802777777777777</v>
      </c>
      <c r="AI2231" s="41" t="s">
        <v>1779</v>
      </c>
    </row>
    <row r="2232" spans="1:35" x14ac:dyDescent="0.25">
      <c r="A2232" s="36">
        <v>99912230</v>
      </c>
      <c r="B2232" s="17" t="s">
        <v>32</v>
      </c>
      <c r="C2232" t="s">
        <v>64</v>
      </c>
      <c r="D2232" t="s">
        <v>65</v>
      </c>
      <c r="G2232" s="17" t="s">
        <v>35</v>
      </c>
      <c r="H2232" s="17">
        <v>1</v>
      </c>
      <c r="I2232" s="1">
        <v>42688</v>
      </c>
      <c r="J2232" s="1">
        <v>43344</v>
      </c>
      <c r="K2232" t="s">
        <v>1341</v>
      </c>
      <c r="L2232" t="s">
        <v>1342</v>
      </c>
      <c r="M2232" t="s">
        <v>1270</v>
      </c>
      <c r="N2232">
        <v>21</v>
      </c>
      <c r="O2232" t="s">
        <v>40</v>
      </c>
      <c r="S2232" t="s">
        <v>40</v>
      </c>
      <c r="U2232" s="1">
        <v>43344</v>
      </c>
      <c r="V2232" t="s">
        <v>41</v>
      </c>
      <c r="W2232" t="s">
        <v>75</v>
      </c>
      <c r="X2232" t="str">
        <f>"7191000"</f>
        <v>7191000</v>
      </c>
      <c r="Y2232" t="s">
        <v>1347</v>
      </c>
      <c r="Z2232" t="s">
        <v>1341</v>
      </c>
      <c r="AA2232" t="s">
        <v>1342</v>
      </c>
      <c r="AB2232" t="s">
        <v>1270</v>
      </c>
      <c r="AC2232" t="s">
        <v>51</v>
      </c>
      <c r="AD2232" t="s">
        <v>45</v>
      </c>
      <c r="AE2232" s="1">
        <v>28406</v>
      </c>
      <c r="AF2232">
        <v>1</v>
      </c>
      <c r="AG2232" t="s">
        <v>1342</v>
      </c>
      <c r="AH2232" s="36">
        <f t="shared" si="34"/>
        <v>41.80833333333333</v>
      </c>
      <c r="AI2232" s="41" t="s">
        <v>1779</v>
      </c>
    </row>
    <row r="2233" spans="1:35" x14ac:dyDescent="0.25">
      <c r="A2233" s="36">
        <v>99912231</v>
      </c>
      <c r="B2233" s="17" t="s">
        <v>56</v>
      </c>
      <c r="C2233" t="s">
        <v>64</v>
      </c>
      <c r="D2233" t="s">
        <v>65</v>
      </c>
      <c r="G2233" s="17" t="s">
        <v>35</v>
      </c>
      <c r="H2233" s="17">
        <v>1</v>
      </c>
      <c r="K2233" t="s">
        <v>1502</v>
      </c>
      <c r="L2233" t="s">
        <v>1503</v>
      </c>
      <c r="M2233" t="s">
        <v>670</v>
      </c>
      <c r="N2233">
        <v>23</v>
      </c>
      <c r="O2233" t="s">
        <v>40</v>
      </c>
      <c r="P2233" t="s">
        <v>40</v>
      </c>
      <c r="Q2233" t="s">
        <v>40</v>
      </c>
      <c r="R2233" t="s">
        <v>40</v>
      </c>
      <c r="S2233" t="s">
        <v>40</v>
      </c>
      <c r="V2233" t="s">
        <v>41</v>
      </c>
      <c r="W2233" t="s">
        <v>75</v>
      </c>
      <c r="X2233" t="str">
        <f>"7171000"</f>
        <v>7171000</v>
      </c>
      <c r="Y2233" t="s">
        <v>1506</v>
      </c>
      <c r="Z2233" t="s">
        <v>1502</v>
      </c>
      <c r="AA2233" t="s">
        <v>1503</v>
      </c>
      <c r="AB2233" t="s">
        <v>670</v>
      </c>
      <c r="AC2233" t="s">
        <v>51</v>
      </c>
      <c r="AD2233" t="s">
        <v>45</v>
      </c>
      <c r="AE2233" s="1">
        <v>28406</v>
      </c>
      <c r="AF2233">
        <v>1</v>
      </c>
      <c r="AG2233" t="s">
        <v>1503</v>
      </c>
      <c r="AH2233" s="36">
        <f t="shared" si="34"/>
        <v>41.80833333333333</v>
      </c>
      <c r="AI2233" s="41" t="s">
        <v>1779</v>
      </c>
    </row>
    <row r="2234" spans="1:35" x14ac:dyDescent="0.25">
      <c r="A2234" s="36">
        <v>99912232</v>
      </c>
      <c r="B2234" s="17" t="s">
        <v>32</v>
      </c>
      <c r="C2234" t="s">
        <v>139</v>
      </c>
      <c r="D2234" t="s">
        <v>140</v>
      </c>
      <c r="G2234" s="17" t="s">
        <v>48</v>
      </c>
      <c r="H2234" s="17">
        <v>1</v>
      </c>
      <c r="K2234" t="s">
        <v>195</v>
      </c>
      <c r="L2234" t="s">
        <v>196</v>
      </c>
      <c r="M2234" t="s">
        <v>131</v>
      </c>
      <c r="N2234">
        <v>27</v>
      </c>
      <c r="O2234" t="s">
        <v>40</v>
      </c>
      <c r="P2234" t="s">
        <v>40</v>
      </c>
      <c r="Q2234" t="s">
        <v>40</v>
      </c>
      <c r="R2234" t="s">
        <v>40</v>
      </c>
      <c r="S2234" t="s">
        <v>40</v>
      </c>
      <c r="V2234" t="s">
        <v>41</v>
      </c>
      <c r="W2234" t="s">
        <v>75</v>
      </c>
      <c r="X2234" t="str">
        <f>"7521050"</f>
        <v>7521050</v>
      </c>
      <c r="Y2234" t="s">
        <v>194</v>
      </c>
      <c r="Z2234" t="s">
        <v>195</v>
      </c>
      <c r="AA2234" t="s">
        <v>196</v>
      </c>
      <c r="AB2234" t="s">
        <v>131</v>
      </c>
      <c r="AC2234" t="s">
        <v>51</v>
      </c>
      <c r="AD2234" t="s">
        <v>45</v>
      </c>
      <c r="AE2234" s="1">
        <v>28405</v>
      </c>
      <c r="AF2234">
        <v>1</v>
      </c>
      <c r="AG2234" t="s">
        <v>196</v>
      </c>
      <c r="AH2234" s="36">
        <f t="shared" si="34"/>
        <v>41.81111111111111</v>
      </c>
      <c r="AI2234" s="41" t="s">
        <v>1779</v>
      </c>
    </row>
    <row r="2235" spans="1:35" x14ac:dyDescent="0.25">
      <c r="A2235" s="36">
        <v>99912233</v>
      </c>
      <c r="B2235" s="17" t="s">
        <v>32</v>
      </c>
      <c r="C2235" t="s">
        <v>90</v>
      </c>
      <c r="D2235" t="s">
        <v>91</v>
      </c>
      <c r="G2235" s="17" t="s">
        <v>48</v>
      </c>
      <c r="H2235" s="17">
        <v>1</v>
      </c>
      <c r="K2235" t="s">
        <v>1695</v>
      </c>
      <c r="L2235" t="s">
        <v>1696</v>
      </c>
      <c r="M2235" t="s">
        <v>1592</v>
      </c>
      <c r="N2235">
        <v>23</v>
      </c>
      <c r="O2235" t="s">
        <v>40</v>
      </c>
      <c r="P2235" t="s">
        <v>40</v>
      </c>
      <c r="Q2235" t="s">
        <v>40</v>
      </c>
      <c r="S2235" t="s">
        <v>40</v>
      </c>
      <c r="V2235" t="s">
        <v>41</v>
      </c>
      <c r="W2235" t="s">
        <v>75</v>
      </c>
      <c r="X2235" t="str">
        <f>"7361000"</f>
        <v>7361000</v>
      </c>
      <c r="Y2235" t="s">
        <v>1698</v>
      </c>
      <c r="Z2235" t="s">
        <v>1695</v>
      </c>
      <c r="AA2235" t="s">
        <v>1696</v>
      </c>
      <c r="AB2235" t="s">
        <v>1592</v>
      </c>
      <c r="AC2235" t="s">
        <v>51</v>
      </c>
      <c r="AD2235" t="s">
        <v>45</v>
      </c>
      <c r="AE2235" s="1">
        <v>28404</v>
      </c>
      <c r="AF2235">
        <v>1</v>
      </c>
      <c r="AG2235" t="s">
        <v>1696</v>
      </c>
      <c r="AH2235" s="36">
        <f t="shared" si="34"/>
        <v>41.81388888888889</v>
      </c>
      <c r="AI2235" s="41" t="s">
        <v>1779</v>
      </c>
    </row>
    <row r="2236" spans="1:35" x14ac:dyDescent="0.25">
      <c r="A2236" s="36">
        <v>99912234</v>
      </c>
      <c r="B2236" s="17" t="s">
        <v>32</v>
      </c>
      <c r="C2236" t="s">
        <v>82</v>
      </c>
      <c r="D2236" t="s">
        <v>83</v>
      </c>
      <c r="G2236" s="17" t="s">
        <v>35</v>
      </c>
      <c r="H2236" s="17">
        <v>1</v>
      </c>
      <c r="I2236">
        <v>0</v>
      </c>
      <c r="J2236" s="1">
        <v>43344</v>
      </c>
      <c r="K2236" t="s">
        <v>223</v>
      </c>
      <c r="L2236" t="s">
        <v>224</v>
      </c>
      <c r="M2236" t="s">
        <v>131</v>
      </c>
      <c r="N2236">
        <v>11</v>
      </c>
      <c r="O2236" t="s">
        <v>40</v>
      </c>
      <c r="P2236" t="s">
        <v>40</v>
      </c>
      <c r="Q2236" t="s">
        <v>40</v>
      </c>
      <c r="S2236" t="s">
        <v>40</v>
      </c>
      <c r="U2236" s="1">
        <v>43344</v>
      </c>
      <c r="V2236" t="s">
        <v>41</v>
      </c>
      <c r="W2236" t="s">
        <v>49</v>
      </c>
      <c r="X2236" t="str">
        <f>"0591901"</f>
        <v>0591901</v>
      </c>
      <c r="Y2236" t="s">
        <v>230</v>
      </c>
      <c r="Z2236" t="s">
        <v>223</v>
      </c>
      <c r="AA2236" t="s">
        <v>224</v>
      </c>
      <c r="AB2236" t="s">
        <v>131</v>
      </c>
      <c r="AC2236" t="s">
        <v>44</v>
      </c>
      <c r="AD2236" t="s">
        <v>45</v>
      </c>
      <c r="AE2236" s="1">
        <v>28402</v>
      </c>
      <c r="AF2236">
        <v>2</v>
      </c>
      <c r="AG2236" t="s">
        <v>224</v>
      </c>
      <c r="AH2236" s="36">
        <f t="shared" si="34"/>
        <v>41.819444444444443</v>
      </c>
      <c r="AI2236" s="41" t="s">
        <v>1779</v>
      </c>
    </row>
    <row r="2237" spans="1:35" x14ac:dyDescent="0.25">
      <c r="A2237" s="36">
        <v>99912235</v>
      </c>
      <c r="B2237" s="17" t="s">
        <v>56</v>
      </c>
      <c r="C2237" t="s">
        <v>68</v>
      </c>
      <c r="D2237" t="s">
        <v>69</v>
      </c>
      <c r="G2237" s="17" t="s">
        <v>48</v>
      </c>
      <c r="H2237" s="17">
        <v>1</v>
      </c>
      <c r="K2237" t="s">
        <v>300</v>
      </c>
      <c r="L2237" t="s">
        <v>301</v>
      </c>
      <c r="M2237" t="s">
        <v>131</v>
      </c>
      <c r="N2237">
        <v>25</v>
      </c>
      <c r="O2237" t="s">
        <v>40</v>
      </c>
      <c r="P2237" t="s">
        <v>40</v>
      </c>
      <c r="Q2237" t="s">
        <v>40</v>
      </c>
      <c r="R2237" t="s">
        <v>40</v>
      </c>
      <c r="S2237" t="s">
        <v>40</v>
      </c>
      <c r="V2237" t="s">
        <v>41</v>
      </c>
      <c r="W2237" t="s">
        <v>42</v>
      </c>
      <c r="X2237" t="str">
        <f>"0580176"</f>
        <v>0580176</v>
      </c>
      <c r="Y2237" t="s">
        <v>305</v>
      </c>
      <c r="Z2237" t="s">
        <v>300</v>
      </c>
      <c r="AA2237" t="s">
        <v>301</v>
      </c>
      <c r="AB2237" t="s">
        <v>131</v>
      </c>
      <c r="AC2237" t="s">
        <v>51</v>
      </c>
      <c r="AD2237" t="s">
        <v>45</v>
      </c>
      <c r="AE2237" s="1">
        <v>28399</v>
      </c>
      <c r="AF2237">
        <v>2</v>
      </c>
      <c r="AG2237" t="s">
        <v>301</v>
      </c>
      <c r="AH2237" s="36">
        <f t="shared" si="34"/>
        <v>41.827777777777776</v>
      </c>
      <c r="AI2237" s="41" t="s">
        <v>1779</v>
      </c>
    </row>
    <row r="2238" spans="1:35" x14ac:dyDescent="0.25">
      <c r="A2238" s="36">
        <v>99912236</v>
      </c>
      <c r="B2238" s="17" t="s">
        <v>32</v>
      </c>
      <c r="C2238" t="s">
        <v>90</v>
      </c>
      <c r="D2238" t="s">
        <v>91</v>
      </c>
      <c r="G2238" s="17" t="s">
        <v>35</v>
      </c>
      <c r="H2238" s="17">
        <v>1</v>
      </c>
      <c r="I2238">
        <v>3229</v>
      </c>
      <c r="J2238" s="1">
        <v>43344</v>
      </c>
      <c r="K2238" t="s">
        <v>1198</v>
      </c>
      <c r="L2238" t="s">
        <v>1199</v>
      </c>
      <c r="M2238" t="s">
        <v>1130</v>
      </c>
      <c r="N2238">
        <v>25</v>
      </c>
      <c r="O2238" t="s">
        <v>40</v>
      </c>
      <c r="S2238" t="s">
        <v>40</v>
      </c>
      <c r="U2238" s="1">
        <v>43344</v>
      </c>
      <c r="V2238" t="s">
        <v>41</v>
      </c>
      <c r="W2238" t="s">
        <v>95</v>
      </c>
      <c r="X2238" t="str">
        <f>"7311029"</f>
        <v>7311029</v>
      </c>
      <c r="Y2238" t="s">
        <v>1204</v>
      </c>
      <c r="Z2238" t="s">
        <v>1198</v>
      </c>
      <c r="AA2238" t="s">
        <v>1199</v>
      </c>
      <c r="AB2238" t="s">
        <v>1130</v>
      </c>
      <c r="AC2238" t="s">
        <v>51</v>
      </c>
      <c r="AD2238" t="s">
        <v>45</v>
      </c>
      <c r="AE2238" s="1">
        <v>28397</v>
      </c>
      <c r="AF2238">
        <v>1</v>
      </c>
      <c r="AG2238" t="s">
        <v>1199</v>
      </c>
      <c r="AH2238" s="36">
        <f t="shared" si="34"/>
        <v>41.833333333333336</v>
      </c>
      <c r="AI2238" s="41" t="s">
        <v>1779</v>
      </c>
    </row>
    <row r="2239" spans="1:35" x14ac:dyDescent="0.25">
      <c r="A2239" s="36">
        <v>99912237</v>
      </c>
      <c r="B2239" s="17" t="s">
        <v>56</v>
      </c>
      <c r="C2239" t="s">
        <v>61</v>
      </c>
      <c r="D2239" t="s">
        <v>62</v>
      </c>
      <c r="G2239" s="17" t="s">
        <v>48</v>
      </c>
      <c r="H2239" s="17">
        <v>1</v>
      </c>
      <c r="K2239" t="s">
        <v>1546</v>
      </c>
      <c r="L2239" t="s">
        <v>1547</v>
      </c>
      <c r="M2239" t="s">
        <v>1548</v>
      </c>
      <c r="N2239">
        <v>21</v>
      </c>
      <c r="O2239" t="s">
        <v>40</v>
      </c>
      <c r="P2239" t="s">
        <v>40</v>
      </c>
      <c r="Q2239" t="s">
        <v>40</v>
      </c>
      <c r="R2239" t="s">
        <v>40</v>
      </c>
      <c r="S2239" t="s">
        <v>40</v>
      </c>
      <c r="V2239" t="s">
        <v>41</v>
      </c>
      <c r="W2239" t="s">
        <v>75</v>
      </c>
      <c r="X2239" t="str">
        <f>"7101002"</f>
        <v>7101002</v>
      </c>
      <c r="Y2239" t="s">
        <v>1563</v>
      </c>
      <c r="Z2239" t="s">
        <v>1564</v>
      </c>
      <c r="AA2239" t="s">
        <v>1565</v>
      </c>
      <c r="AB2239" t="s">
        <v>1548</v>
      </c>
      <c r="AC2239" t="s">
        <v>51</v>
      </c>
      <c r="AD2239" t="s">
        <v>45</v>
      </c>
      <c r="AE2239" s="1">
        <v>28388</v>
      </c>
      <c r="AF2239">
        <v>2</v>
      </c>
      <c r="AG2239" t="s">
        <v>1547</v>
      </c>
      <c r="AH2239" s="36">
        <f t="shared" si="34"/>
        <v>41.858333333333334</v>
      </c>
      <c r="AI2239" s="41" t="s">
        <v>1779</v>
      </c>
    </row>
    <row r="2240" spans="1:35" x14ac:dyDescent="0.25">
      <c r="A2240" s="36">
        <v>99912238</v>
      </c>
      <c r="B2240" s="17" t="s">
        <v>32</v>
      </c>
      <c r="C2240" t="s">
        <v>139</v>
      </c>
      <c r="D2240" t="s">
        <v>140</v>
      </c>
      <c r="G2240" s="17" t="s">
        <v>35</v>
      </c>
      <c r="H2240" s="17">
        <v>1</v>
      </c>
      <c r="I2240" t="s">
        <v>608</v>
      </c>
      <c r="J2240" s="1">
        <v>43344</v>
      </c>
      <c r="K2240" t="s">
        <v>268</v>
      </c>
      <c r="L2240" t="s">
        <v>269</v>
      </c>
      <c r="M2240" t="s">
        <v>131</v>
      </c>
      <c r="N2240">
        <v>10</v>
      </c>
      <c r="O2240" t="s">
        <v>40</v>
      </c>
      <c r="S2240" t="s">
        <v>40</v>
      </c>
      <c r="U2240" s="1">
        <v>43344</v>
      </c>
      <c r="V2240" t="s">
        <v>41</v>
      </c>
      <c r="W2240" t="s">
        <v>75</v>
      </c>
      <c r="X2240" t="str">
        <f>"7052020"</f>
        <v>7052020</v>
      </c>
      <c r="Y2240" t="s">
        <v>267</v>
      </c>
      <c r="Z2240" t="s">
        <v>268</v>
      </c>
      <c r="AA2240" t="s">
        <v>269</v>
      </c>
      <c r="AB2240" t="s">
        <v>131</v>
      </c>
      <c r="AC2240" t="s">
        <v>51</v>
      </c>
      <c r="AD2240" t="s">
        <v>45</v>
      </c>
      <c r="AE2240" s="1">
        <v>28384</v>
      </c>
      <c r="AF2240">
        <v>1</v>
      </c>
      <c r="AG2240" t="s">
        <v>269</v>
      </c>
      <c r="AH2240" s="36">
        <f t="shared" si="34"/>
        <v>41.869444444444447</v>
      </c>
      <c r="AI2240" s="41" t="s">
        <v>1779</v>
      </c>
    </row>
    <row r="2241" spans="1:35" x14ac:dyDescent="0.25">
      <c r="A2241" s="36">
        <v>99912239</v>
      </c>
      <c r="B2241" s="17" t="s">
        <v>32</v>
      </c>
      <c r="C2241" t="s">
        <v>90</v>
      </c>
      <c r="D2241" t="s">
        <v>91</v>
      </c>
      <c r="G2241" s="17" t="s">
        <v>48</v>
      </c>
      <c r="H2241" s="17">
        <v>1</v>
      </c>
      <c r="K2241" t="s">
        <v>1631</v>
      </c>
      <c r="L2241" t="s">
        <v>1632</v>
      </c>
      <c r="M2241" t="s">
        <v>1592</v>
      </c>
      <c r="N2241">
        <v>5</v>
      </c>
      <c r="O2241" t="s">
        <v>40</v>
      </c>
      <c r="P2241" t="s">
        <v>40</v>
      </c>
      <c r="Q2241" t="s">
        <v>40</v>
      </c>
      <c r="S2241" t="s">
        <v>40</v>
      </c>
      <c r="V2241" t="s">
        <v>41</v>
      </c>
      <c r="W2241" t="s">
        <v>95</v>
      </c>
      <c r="X2241" t="str">
        <f>"7021005"</f>
        <v>7021005</v>
      </c>
      <c r="Y2241" t="s">
        <v>1638</v>
      </c>
      <c r="Z2241" t="s">
        <v>1631</v>
      </c>
      <c r="AA2241" t="s">
        <v>1632</v>
      </c>
      <c r="AB2241" t="s">
        <v>1592</v>
      </c>
      <c r="AC2241" t="s">
        <v>51</v>
      </c>
      <c r="AD2241" t="s">
        <v>45</v>
      </c>
      <c r="AE2241" s="1">
        <v>28383</v>
      </c>
      <c r="AF2241">
        <v>1</v>
      </c>
      <c r="AG2241" t="s">
        <v>1632</v>
      </c>
      <c r="AH2241" s="36">
        <f t="shared" si="34"/>
        <v>41.87222222222222</v>
      </c>
      <c r="AI2241" s="41" t="s">
        <v>1779</v>
      </c>
    </row>
    <row r="2242" spans="1:35" x14ac:dyDescent="0.25">
      <c r="A2242" s="36">
        <v>99912240</v>
      </c>
      <c r="B2242" s="17" t="s">
        <v>32</v>
      </c>
      <c r="C2242" t="s">
        <v>46</v>
      </c>
      <c r="D2242" t="s">
        <v>47</v>
      </c>
      <c r="G2242" s="17" t="s">
        <v>48</v>
      </c>
      <c r="H2242" s="17">
        <v>1</v>
      </c>
      <c r="K2242" t="s">
        <v>162</v>
      </c>
      <c r="L2242" t="s">
        <v>158</v>
      </c>
      <c r="M2242" t="s">
        <v>131</v>
      </c>
      <c r="N2242">
        <v>14</v>
      </c>
      <c r="O2242" t="s">
        <v>40</v>
      </c>
      <c r="P2242" t="s">
        <v>40</v>
      </c>
      <c r="Q2242" t="s">
        <v>40</v>
      </c>
      <c r="S2242" t="s">
        <v>40</v>
      </c>
      <c r="V2242" t="s">
        <v>41</v>
      </c>
      <c r="W2242" t="s">
        <v>49</v>
      </c>
      <c r="X2242" t="str">
        <f>"0581350"</f>
        <v>0581350</v>
      </c>
      <c r="Y2242" t="s">
        <v>187</v>
      </c>
      <c r="Z2242" t="s">
        <v>162</v>
      </c>
      <c r="AA2242" t="s">
        <v>158</v>
      </c>
      <c r="AB2242" t="s">
        <v>131</v>
      </c>
      <c r="AC2242" t="s">
        <v>51</v>
      </c>
      <c r="AD2242" t="s">
        <v>45</v>
      </c>
      <c r="AE2242" s="1">
        <v>28382</v>
      </c>
      <c r="AF2242">
        <v>2</v>
      </c>
      <c r="AG2242" t="s">
        <v>158</v>
      </c>
      <c r="AH2242" s="36">
        <f t="shared" ref="AH2242:AH2305" si="35">($AJ$1-AE2242)/360</f>
        <v>41.875</v>
      </c>
      <c r="AI2242" s="41" t="s">
        <v>1779</v>
      </c>
    </row>
    <row r="2243" spans="1:35" x14ac:dyDescent="0.25">
      <c r="A2243" s="36">
        <v>99912241</v>
      </c>
      <c r="B2243" s="17" t="s">
        <v>32</v>
      </c>
      <c r="C2243" t="s">
        <v>136</v>
      </c>
      <c r="D2243" t="s">
        <v>137</v>
      </c>
      <c r="G2243" s="17" t="s">
        <v>48</v>
      </c>
      <c r="H2243" s="17">
        <v>4</v>
      </c>
      <c r="K2243" t="s">
        <v>195</v>
      </c>
      <c r="L2243" t="s">
        <v>196</v>
      </c>
      <c r="M2243" t="s">
        <v>131</v>
      </c>
      <c r="N2243">
        <v>16</v>
      </c>
      <c r="O2243" t="s">
        <v>40</v>
      </c>
      <c r="P2243" t="s">
        <v>40</v>
      </c>
      <c r="Q2243" t="s">
        <v>40</v>
      </c>
      <c r="R2243" t="s">
        <v>40</v>
      </c>
      <c r="S2243" t="s">
        <v>40</v>
      </c>
      <c r="U2243" s="1">
        <v>40422</v>
      </c>
      <c r="V2243" t="s">
        <v>41</v>
      </c>
      <c r="W2243" t="s">
        <v>75</v>
      </c>
      <c r="X2243" t="str">
        <f>"7521046"</f>
        <v>7521046</v>
      </c>
      <c r="Y2243" t="s">
        <v>436</v>
      </c>
      <c r="Z2243" t="s">
        <v>195</v>
      </c>
      <c r="AA2243" t="s">
        <v>196</v>
      </c>
      <c r="AB2243" t="s">
        <v>131</v>
      </c>
      <c r="AC2243" t="s">
        <v>51</v>
      </c>
      <c r="AD2243" t="s">
        <v>45</v>
      </c>
      <c r="AE2243" s="1">
        <v>28380</v>
      </c>
      <c r="AF2243">
        <v>1</v>
      </c>
      <c r="AG2243" t="s">
        <v>196</v>
      </c>
      <c r="AH2243" s="36">
        <f t="shared" si="35"/>
        <v>41.880555555555553</v>
      </c>
      <c r="AI2243" s="41" t="s">
        <v>1779</v>
      </c>
    </row>
    <row r="2244" spans="1:35" x14ac:dyDescent="0.25">
      <c r="A2244" s="36">
        <v>99912242</v>
      </c>
      <c r="B2244" s="17" t="s">
        <v>32</v>
      </c>
      <c r="C2244" t="s">
        <v>139</v>
      </c>
      <c r="D2244" t="s">
        <v>140</v>
      </c>
      <c r="G2244" s="17" t="s">
        <v>48</v>
      </c>
      <c r="H2244" s="17">
        <v>1</v>
      </c>
      <c r="K2244" t="s">
        <v>380</v>
      </c>
      <c r="L2244" t="s">
        <v>381</v>
      </c>
      <c r="M2244" t="s">
        <v>131</v>
      </c>
      <c r="N2244">
        <v>13</v>
      </c>
      <c r="O2244" t="s">
        <v>40</v>
      </c>
      <c r="P2244" t="s">
        <v>40</v>
      </c>
      <c r="Q2244" t="s">
        <v>40</v>
      </c>
      <c r="R2244" t="s">
        <v>40</v>
      </c>
      <c r="S2244" t="s">
        <v>40</v>
      </c>
      <c r="V2244" t="s">
        <v>41</v>
      </c>
      <c r="W2244" t="s">
        <v>49</v>
      </c>
      <c r="X2244" t="str">
        <f>"0591908"</f>
        <v>0591908</v>
      </c>
      <c r="Y2244" t="s">
        <v>383</v>
      </c>
      <c r="Z2244" t="s">
        <v>380</v>
      </c>
      <c r="AA2244" t="s">
        <v>381</v>
      </c>
      <c r="AB2244" t="s">
        <v>131</v>
      </c>
      <c r="AC2244" t="s">
        <v>51</v>
      </c>
      <c r="AD2244" t="s">
        <v>45</v>
      </c>
      <c r="AE2244" s="1">
        <v>28374</v>
      </c>
      <c r="AF2244">
        <v>2</v>
      </c>
      <c r="AG2244" t="s">
        <v>381</v>
      </c>
      <c r="AH2244" s="36">
        <f t="shared" si="35"/>
        <v>41.897222222222226</v>
      </c>
      <c r="AI2244" s="41" t="s">
        <v>1779</v>
      </c>
    </row>
    <row r="2245" spans="1:35" x14ac:dyDescent="0.25">
      <c r="A2245" s="36">
        <v>99912243</v>
      </c>
      <c r="B2245" s="17" t="s">
        <v>32</v>
      </c>
      <c r="C2245" t="s">
        <v>46</v>
      </c>
      <c r="D2245" t="s">
        <v>47</v>
      </c>
      <c r="G2245" s="17" t="s">
        <v>35</v>
      </c>
      <c r="H2245" s="17">
        <v>1</v>
      </c>
      <c r="K2245" t="s">
        <v>223</v>
      </c>
      <c r="L2245" t="s">
        <v>224</v>
      </c>
      <c r="M2245" t="s">
        <v>131</v>
      </c>
      <c r="N2245">
        <v>20</v>
      </c>
      <c r="O2245" t="s">
        <v>40</v>
      </c>
      <c r="P2245" t="s">
        <v>40</v>
      </c>
      <c r="Q2245" t="s">
        <v>40</v>
      </c>
      <c r="R2245" t="s">
        <v>40</v>
      </c>
      <c r="S2245" t="s">
        <v>40</v>
      </c>
      <c r="V2245" t="s">
        <v>41</v>
      </c>
      <c r="W2245" t="s">
        <v>49</v>
      </c>
      <c r="X2245" t="str">
        <f>"0581207"</f>
        <v>0581207</v>
      </c>
      <c r="Y2245" t="s">
        <v>233</v>
      </c>
      <c r="Z2245" t="s">
        <v>223</v>
      </c>
      <c r="AA2245" t="s">
        <v>224</v>
      </c>
      <c r="AB2245" t="s">
        <v>131</v>
      </c>
      <c r="AC2245" t="s">
        <v>165</v>
      </c>
      <c r="AD2245" t="s">
        <v>45</v>
      </c>
      <c r="AE2245" s="1">
        <v>28373</v>
      </c>
      <c r="AF2245">
        <v>2</v>
      </c>
      <c r="AG2245" t="s">
        <v>224</v>
      </c>
      <c r="AH2245" s="36">
        <f t="shared" si="35"/>
        <v>41.9</v>
      </c>
      <c r="AI2245" s="41" t="s">
        <v>1779</v>
      </c>
    </row>
    <row r="2246" spans="1:35" x14ac:dyDescent="0.25">
      <c r="A2246" s="36">
        <v>99912244</v>
      </c>
      <c r="B2246" s="17" t="s">
        <v>32</v>
      </c>
      <c r="C2246" t="s">
        <v>90</v>
      </c>
      <c r="D2246" t="s">
        <v>91</v>
      </c>
      <c r="G2246" s="17" t="s">
        <v>35</v>
      </c>
      <c r="H2246" s="17">
        <v>1</v>
      </c>
      <c r="K2246" t="s">
        <v>354</v>
      </c>
      <c r="L2246" t="s">
        <v>355</v>
      </c>
      <c r="M2246" t="s">
        <v>131</v>
      </c>
      <c r="N2246">
        <v>25</v>
      </c>
      <c r="O2246" t="s">
        <v>40</v>
      </c>
      <c r="P2246" t="s">
        <v>40</v>
      </c>
      <c r="Q2246" t="s">
        <v>40</v>
      </c>
      <c r="R2246" t="s">
        <v>40</v>
      </c>
      <c r="S2246" t="s">
        <v>40</v>
      </c>
      <c r="V2246" t="s">
        <v>41</v>
      </c>
      <c r="W2246" t="s">
        <v>95</v>
      </c>
      <c r="X2246" t="str">
        <f>"7054119"</f>
        <v>7054119</v>
      </c>
      <c r="Y2246" t="s">
        <v>804</v>
      </c>
      <c r="Z2246" t="s">
        <v>354</v>
      </c>
      <c r="AA2246" t="s">
        <v>355</v>
      </c>
      <c r="AB2246" t="s">
        <v>131</v>
      </c>
      <c r="AC2246" t="s">
        <v>51</v>
      </c>
      <c r="AD2246" t="s">
        <v>45</v>
      </c>
      <c r="AE2246" s="1">
        <v>28370</v>
      </c>
      <c r="AF2246">
        <v>1</v>
      </c>
      <c r="AG2246" t="s">
        <v>355</v>
      </c>
      <c r="AH2246" s="36">
        <f t="shared" si="35"/>
        <v>41.908333333333331</v>
      </c>
      <c r="AI2246" s="41" t="s">
        <v>1779</v>
      </c>
    </row>
    <row r="2247" spans="1:35" x14ac:dyDescent="0.25">
      <c r="A2247" s="36">
        <v>99912245</v>
      </c>
      <c r="B2247" s="17" t="s">
        <v>32</v>
      </c>
      <c r="C2247" t="s">
        <v>143</v>
      </c>
      <c r="D2247" t="s">
        <v>144</v>
      </c>
      <c r="G2247" s="17" t="s">
        <v>35</v>
      </c>
      <c r="H2247" s="17">
        <v>7</v>
      </c>
      <c r="I2247">
        <v>14975</v>
      </c>
      <c r="J2247" s="1">
        <v>43344</v>
      </c>
      <c r="K2247" t="s">
        <v>268</v>
      </c>
      <c r="L2247" t="s">
        <v>269</v>
      </c>
      <c r="M2247" t="s">
        <v>131</v>
      </c>
      <c r="N2247">
        <v>22</v>
      </c>
      <c r="O2247" t="s">
        <v>40</v>
      </c>
      <c r="P2247" t="s">
        <v>40</v>
      </c>
      <c r="Q2247" t="s">
        <v>40</v>
      </c>
      <c r="R2247" t="s">
        <v>40</v>
      </c>
      <c r="S2247" t="s">
        <v>40</v>
      </c>
      <c r="U2247" s="1">
        <v>43344</v>
      </c>
      <c r="V2247" t="s">
        <v>41</v>
      </c>
      <c r="W2247" t="s">
        <v>75</v>
      </c>
      <c r="X2247" t="str">
        <f>"7052006"</f>
        <v>7052006</v>
      </c>
      <c r="Y2247" t="s">
        <v>575</v>
      </c>
      <c r="Z2247" t="s">
        <v>268</v>
      </c>
      <c r="AA2247" t="s">
        <v>269</v>
      </c>
      <c r="AB2247" t="s">
        <v>131</v>
      </c>
      <c r="AC2247" t="s">
        <v>51</v>
      </c>
      <c r="AD2247" t="s">
        <v>45</v>
      </c>
      <c r="AE2247" s="1">
        <v>28369</v>
      </c>
      <c r="AF2247">
        <v>1</v>
      </c>
      <c r="AG2247" t="s">
        <v>269</v>
      </c>
      <c r="AH2247" s="36">
        <f t="shared" si="35"/>
        <v>41.911111111111111</v>
      </c>
      <c r="AI2247" s="41" t="s">
        <v>1779</v>
      </c>
    </row>
    <row r="2248" spans="1:35" x14ac:dyDescent="0.25">
      <c r="A2248" s="36">
        <v>99912246</v>
      </c>
      <c r="B2248" s="17" t="s">
        <v>56</v>
      </c>
      <c r="C2248" t="s">
        <v>33</v>
      </c>
      <c r="D2248" t="s">
        <v>34</v>
      </c>
      <c r="G2248" s="17" t="s">
        <v>48</v>
      </c>
      <c r="H2248" s="17">
        <v>1</v>
      </c>
      <c r="K2248" t="s">
        <v>1613</v>
      </c>
      <c r="L2248" t="s">
        <v>1614</v>
      </c>
      <c r="M2248" t="s">
        <v>1592</v>
      </c>
      <c r="N2248">
        <v>11</v>
      </c>
      <c r="O2248" t="s">
        <v>40</v>
      </c>
      <c r="P2248" t="s">
        <v>40</v>
      </c>
      <c r="Q2248" t="s">
        <v>40</v>
      </c>
      <c r="R2248" t="s">
        <v>40</v>
      </c>
      <c r="S2248" t="s">
        <v>40</v>
      </c>
      <c r="V2248" t="s">
        <v>41</v>
      </c>
      <c r="W2248" t="s">
        <v>49</v>
      </c>
      <c r="X2248" t="str">
        <f>"2860001"</f>
        <v>2860001</v>
      </c>
      <c r="Y2248" t="s">
        <v>1616</v>
      </c>
      <c r="Z2248" t="s">
        <v>1613</v>
      </c>
      <c r="AA2248" t="s">
        <v>1614</v>
      </c>
      <c r="AB2248" t="s">
        <v>1592</v>
      </c>
      <c r="AC2248" t="s">
        <v>51</v>
      </c>
      <c r="AD2248" t="s">
        <v>45</v>
      </c>
      <c r="AE2248" s="1">
        <v>28369</v>
      </c>
      <c r="AF2248">
        <v>2</v>
      </c>
      <c r="AG2248" t="s">
        <v>1614</v>
      </c>
      <c r="AH2248" s="36">
        <f t="shared" si="35"/>
        <v>41.911111111111111</v>
      </c>
      <c r="AI2248" s="41" t="s">
        <v>1779</v>
      </c>
    </row>
    <row r="2249" spans="1:35" x14ac:dyDescent="0.25">
      <c r="A2249" s="36">
        <v>99912247</v>
      </c>
      <c r="B2249" s="17" t="s">
        <v>32</v>
      </c>
      <c r="C2249" t="s">
        <v>79</v>
      </c>
      <c r="D2249" t="s">
        <v>80</v>
      </c>
      <c r="G2249" s="17" t="s">
        <v>35</v>
      </c>
      <c r="H2249" s="17">
        <v>1</v>
      </c>
      <c r="K2249" t="s">
        <v>354</v>
      </c>
      <c r="L2249" t="s">
        <v>355</v>
      </c>
      <c r="M2249" t="s">
        <v>131</v>
      </c>
      <c r="N2249">
        <v>23</v>
      </c>
      <c r="O2249" t="s">
        <v>40</v>
      </c>
      <c r="P2249" t="s">
        <v>40</v>
      </c>
      <c r="Q2249" t="s">
        <v>40</v>
      </c>
      <c r="S2249" t="s">
        <v>40</v>
      </c>
      <c r="V2249" t="s">
        <v>41</v>
      </c>
      <c r="W2249" t="s">
        <v>75</v>
      </c>
      <c r="X2249" t="str">
        <f>"7054020"</f>
        <v>7054020</v>
      </c>
      <c r="Y2249" t="s">
        <v>765</v>
      </c>
      <c r="Z2249" t="s">
        <v>354</v>
      </c>
      <c r="AA2249" t="s">
        <v>355</v>
      </c>
      <c r="AB2249" t="s">
        <v>131</v>
      </c>
      <c r="AC2249" t="s">
        <v>51</v>
      </c>
      <c r="AD2249" t="s">
        <v>45</v>
      </c>
      <c r="AE2249" s="1">
        <v>28363</v>
      </c>
      <c r="AF2249">
        <v>1</v>
      </c>
      <c r="AG2249" t="s">
        <v>355</v>
      </c>
      <c r="AH2249" s="36">
        <f t="shared" si="35"/>
        <v>41.927777777777777</v>
      </c>
      <c r="AI2249" s="41" t="s">
        <v>1779</v>
      </c>
    </row>
    <row r="2250" spans="1:35" x14ac:dyDescent="0.25">
      <c r="A2250" s="36">
        <v>99912248</v>
      </c>
      <c r="B2250" s="17" t="s">
        <v>56</v>
      </c>
      <c r="C2250" t="s">
        <v>68</v>
      </c>
      <c r="D2250" t="s">
        <v>69</v>
      </c>
      <c r="G2250" s="17" t="s">
        <v>35</v>
      </c>
      <c r="H2250" s="17">
        <v>1</v>
      </c>
      <c r="K2250" t="s">
        <v>162</v>
      </c>
      <c r="L2250" t="s">
        <v>158</v>
      </c>
      <c r="M2250" t="s">
        <v>131</v>
      </c>
      <c r="N2250">
        <v>23</v>
      </c>
      <c r="O2250" t="s">
        <v>40</v>
      </c>
      <c r="P2250" t="s">
        <v>40</v>
      </c>
      <c r="Q2250" t="s">
        <v>40</v>
      </c>
      <c r="R2250" t="s">
        <v>40</v>
      </c>
      <c r="S2250" t="s">
        <v>40</v>
      </c>
      <c r="V2250" t="s">
        <v>41</v>
      </c>
      <c r="W2250" t="s">
        <v>42</v>
      </c>
      <c r="X2250" t="str">
        <f>"0580310"</f>
        <v>0580310</v>
      </c>
      <c r="Y2250" t="s">
        <v>173</v>
      </c>
      <c r="Z2250" t="s">
        <v>162</v>
      </c>
      <c r="AA2250" t="s">
        <v>158</v>
      </c>
      <c r="AB2250" t="s">
        <v>131</v>
      </c>
      <c r="AC2250" t="s">
        <v>51</v>
      </c>
      <c r="AD2250" t="s">
        <v>45</v>
      </c>
      <c r="AE2250" s="1">
        <v>28362</v>
      </c>
      <c r="AF2250">
        <v>2</v>
      </c>
      <c r="AG2250" t="s">
        <v>158</v>
      </c>
      <c r="AH2250" s="36">
        <f t="shared" si="35"/>
        <v>41.930555555555557</v>
      </c>
      <c r="AI2250" s="41" t="s">
        <v>1779</v>
      </c>
    </row>
    <row r="2251" spans="1:35" x14ac:dyDescent="0.25">
      <c r="A2251" s="36">
        <v>99912249</v>
      </c>
      <c r="B2251" s="17" t="s">
        <v>32</v>
      </c>
      <c r="C2251" t="s">
        <v>111</v>
      </c>
      <c r="D2251" t="s">
        <v>112</v>
      </c>
      <c r="G2251" s="17" t="s">
        <v>35</v>
      </c>
      <c r="H2251" s="17">
        <v>1</v>
      </c>
      <c r="I2251" s="1">
        <v>37137</v>
      </c>
      <c r="J2251" s="1">
        <v>43344</v>
      </c>
      <c r="K2251" t="s">
        <v>1341</v>
      </c>
      <c r="L2251" t="s">
        <v>1342</v>
      </c>
      <c r="M2251" t="s">
        <v>1270</v>
      </c>
      <c r="N2251">
        <v>24</v>
      </c>
      <c r="O2251" t="s">
        <v>40</v>
      </c>
      <c r="S2251" t="s">
        <v>40</v>
      </c>
      <c r="U2251" s="1">
        <v>43344</v>
      </c>
      <c r="V2251" t="s">
        <v>41</v>
      </c>
      <c r="W2251" t="s">
        <v>75</v>
      </c>
      <c r="X2251" t="str">
        <f>"7191004"</f>
        <v>7191004</v>
      </c>
      <c r="Y2251" t="s">
        <v>1344</v>
      </c>
      <c r="Z2251" t="s">
        <v>1341</v>
      </c>
      <c r="AA2251" t="s">
        <v>1342</v>
      </c>
      <c r="AB2251" t="s">
        <v>1270</v>
      </c>
      <c r="AC2251" t="s">
        <v>51</v>
      </c>
      <c r="AD2251" t="s">
        <v>45</v>
      </c>
      <c r="AE2251" s="1">
        <v>28360</v>
      </c>
      <c r="AF2251">
        <v>1</v>
      </c>
      <c r="AG2251" t="s">
        <v>1342</v>
      </c>
      <c r="AH2251" s="36">
        <f t="shared" si="35"/>
        <v>41.93611111111111</v>
      </c>
      <c r="AI2251" s="41" t="s">
        <v>1779</v>
      </c>
    </row>
    <row r="2252" spans="1:35" x14ac:dyDescent="0.25">
      <c r="A2252" s="36">
        <v>99912250</v>
      </c>
      <c r="B2252" s="17" t="s">
        <v>32</v>
      </c>
      <c r="C2252" t="s">
        <v>46</v>
      </c>
      <c r="D2252" t="s">
        <v>47</v>
      </c>
      <c r="G2252" s="17" t="s">
        <v>35</v>
      </c>
      <c r="H2252" s="17">
        <v>1</v>
      </c>
      <c r="K2252" t="s">
        <v>223</v>
      </c>
      <c r="L2252" t="s">
        <v>224</v>
      </c>
      <c r="M2252" t="s">
        <v>131</v>
      </c>
      <c r="N2252">
        <v>20</v>
      </c>
      <c r="O2252" t="s">
        <v>40</v>
      </c>
      <c r="P2252" t="s">
        <v>40</v>
      </c>
      <c r="Q2252" t="s">
        <v>40</v>
      </c>
      <c r="R2252" t="s">
        <v>40</v>
      </c>
      <c r="S2252" t="s">
        <v>40</v>
      </c>
      <c r="V2252" t="s">
        <v>41</v>
      </c>
      <c r="W2252" t="s">
        <v>49</v>
      </c>
      <c r="X2252" t="str">
        <f>"0591901"</f>
        <v>0591901</v>
      </c>
      <c r="Y2252" t="s">
        <v>230</v>
      </c>
      <c r="Z2252" t="s">
        <v>223</v>
      </c>
      <c r="AA2252" t="s">
        <v>224</v>
      </c>
      <c r="AB2252" t="s">
        <v>131</v>
      </c>
      <c r="AC2252" t="s">
        <v>51</v>
      </c>
      <c r="AD2252" t="s">
        <v>45</v>
      </c>
      <c r="AE2252" s="1">
        <v>28359</v>
      </c>
      <c r="AF2252">
        <v>2</v>
      </c>
      <c r="AG2252" t="s">
        <v>224</v>
      </c>
      <c r="AH2252" s="36">
        <f t="shared" si="35"/>
        <v>41.93888888888889</v>
      </c>
      <c r="AI2252" s="41" t="s">
        <v>1779</v>
      </c>
    </row>
    <row r="2253" spans="1:35" x14ac:dyDescent="0.25">
      <c r="A2253" s="36">
        <v>99912251</v>
      </c>
      <c r="B2253" s="17" t="s">
        <v>32</v>
      </c>
      <c r="C2253" t="s">
        <v>111</v>
      </c>
      <c r="D2253" t="s">
        <v>112</v>
      </c>
      <c r="G2253" s="17" t="s">
        <v>35</v>
      </c>
      <c r="H2253" s="17">
        <v>1</v>
      </c>
      <c r="K2253" t="s">
        <v>1564</v>
      </c>
      <c r="L2253" t="s">
        <v>1565</v>
      </c>
      <c r="M2253" t="s">
        <v>1548</v>
      </c>
      <c r="N2253">
        <v>24</v>
      </c>
      <c r="O2253" t="s">
        <v>40</v>
      </c>
      <c r="P2253" t="s">
        <v>40</v>
      </c>
      <c r="Q2253" t="s">
        <v>40</v>
      </c>
      <c r="R2253" t="s">
        <v>40</v>
      </c>
      <c r="S2253" t="s">
        <v>40</v>
      </c>
      <c r="V2253" t="s">
        <v>41</v>
      </c>
      <c r="W2253" t="s">
        <v>75</v>
      </c>
      <c r="X2253" t="str">
        <f>"7101000"</f>
        <v>7101000</v>
      </c>
      <c r="Y2253" t="s">
        <v>1572</v>
      </c>
      <c r="Z2253" t="s">
        <v>1564</v>
      </c>
      <c r="AA2253" t="s">
        <v>1565</v>
      </c>
      <c r="AB2253" t="s">
        <v>1548</v>
      </c>
      <c r="AC2253" t="s">
        <v>51</v>
      </c>
      <c r="AD2253" t="s">
        <v>45</v>
      </c>
      <c r="AE2253" s="1">
        <v>28356</v>
      </c>
      <c r="AF2253">
        <v>1</v>
      </c>
      <c r="AG2253" t="s">
        <v>1565</v>
      </c>
      <c r="AH2253" s="36">
        <f t="shared" si="35"/>
        <v>41.947222222222223</v>
      </c>
      <c r="AI2253" s="41" t="s">
        <v>1779</v>
      </c>
    </row>
    <row r="2254" spans="1:35" x14ac:dyDescent="0.25">
      <c r="A2254" s="36">
        <v>99912252</v>
      </c>
      <c r="B2254" s="17" t="s">
        <v>56</v>
      </c>
      <c r="C2254" t="s">
        <v>64</v>
      </c>
      <c r="D2254" t="s">
        <v>65</v>
      </c>
      <c r="G2254" s="17" t="s">
        <v>35</v>
      </c>
      <c r="H2254" s="17">
        <v>1</v>
      </c>
      <c r="K2254" t="s">
        <v>223</v>
      </c>
      <c r="L2254" t="s">
        <v>224</v>
      </c>
      <c r="M2254" t="s">
        <v>131</v>
      </c>
      <c r="N2254">
        <v>23</v>
      </c>
      <c r="O2254" t="s">
        <v>40</v>
      </c>
      <c r="P2254" t="s">
        <v>40</v>
      </c>
      <c r="Q2254" t="s">
        <v>40</v>
      </c>
      <c r="S2254" t="s">
        <v>40</v>
      </c>
      <c r="V2254" t="s">
        <v>41</v>
      </c>
      <c r="W2254" t="s">
        <v>49</v>
      </c>
      <c r="X2254" t="str">
        <f>"0581207"</f>
        <v>0581207</v>
      </c>
      <c r="Y2254" t="s">
        <v>233</v>
      </c>
      <c r="Z2254" t="s">
        <v>223</v>
      </c>
      <c r="AA2254" t="s">
        <v>224</v>
      </c>
      <c r="AB2254" t="s">
        <v>131</v>
      </c>
      <c r="AC2254" t="s">
        <v>51</v>
      </c>
      <c r="AD2254" t="s">
        <v>45</v>
      </c>
      <c r="AE2254" s="1">
        <v>28352</v>
      </c>
      <c r="AF2254">
        <v>2</v>
      </c>
      <c r="AG2254" t="s">
        <v>224</v>
      </c>
      <c r="AH2254" s="36">
        <f t="shared" si="35"/>
        <v>41.958333333333336</v>
      </c>
      <c r="AI2254" s="41" t="s">
        <v>1779</v>
      </c>
    </row>
    <row r="2255" spans="1:35" x14ac:dyDescent="0.25">
      <c r="A2255" s="36">
        <v>99912253</v>
      </c>
      <c r="B2255" s="17" t="s">
        <v>56</v>
      </c>
      <c r="C2255" t="s">
        <v>46</v>
      </c>
      <c r="D2255" t="s">
        <v>47</v>
      </c>
      <c r="G2255" s="17" t="s">
        <v>48</v>
      </c>
      <c r="H2255" s="17">
        <v>1</v>
      </c>
      <c r="K2255" t="s">
        <v>877</v>
      </c>
      <c r="L2255" t="s">
        <v>878</v>
      </c>
      <c r="M2255" t="s">
        <v>131</v>
      </c>
      <c r="N2255">
        <v>24</v>
      </c>
      <c r="O2255" t="s">
        <v>40</v>
      </c>
      <c r="P2255" t="s">
        <v>40</v>
      </c>
      <c r="Q2255" t="s">
        <v>40</v>
      </c>
      <c r="S2255" t="s">
        <v>40</v>
      </c>
      <c r="V2255" t="s">
        <v>41</v>
      </c>
      <c r="W2255" t="s">
        <v>75</v>
      </c>
      <c r="X2255" t="str">
        <f>"7541008"</f>
        <v>7541008</v>
      </c>
      <c r="Y2255" t="s">
        <v>879</v>
      </c>
      <c r="Z2255" t="s">
        <v>877</v>
      </c>
      <c r="AA2255" t="s">
        <v>878</v>
      </c>
      <c r="AB2255" t="s">
        <v>131</v>
      </c>
      <c r="AC2255" t="s">
        <v>51</v>
      </c>
      <c r="AD2255" t="s">
        <v>45</v>
      </c>
      <c r="AE2255" s="1">
        <v>28352</v>
      </c>
      <c r="AF2255">
        <v>1</v>
      </c>
      <c r="AG2255" t="s">
        <v>878</v>
      </c>
      <c r="AH2255" s="36">
        <f t="shared" si="35"/>
        <v>41.958333333333336</v>
      </c>
      <c r="AI2255" s="41" t="s">
        <v>1779</v>
      </c>
    </row>
    <row r="2256" spans="1:35" x14ac:dyDescent="0.25">
      <c r="A2256" s="36">
        <v>99912254</v>
      </c>
      <c r="B2256" s="17" t="s">
        <v>32</v>
      </c>
      <c r="C2256" t="s">
        <v>82</v>
      </c>
      <c r="D2256" t="s">
        <v>83</v>
      </c>
      <c r="G2256" s="17" t="s">
        <v>48</v>
      </c>
      <c r="H2256" s="17">
        <v>1</v>
      </c>
      <c r="K2256" t="s">
        <v>223</v>
      </c>
      <c r="L2256" t="s">
        <v>224</v>
      </c>
      <c r="M2256" t="s">
        <v>131</v>
      </c>
      <c r="N2256">
        <v>21</v>
      </c>
      <c r="O2256" t="s">
        <v>40</v>
      </c>
      <c r="P2256" t="s">
        <v>40</v>
      </c>
      <c r="Q2256" t="s">
        <v>40</v>
      </c>
      <c r="S2256" t="s">
        <v>40</v>
      </c>
      <c r="V2256" t="s">
        <v>41</v>
      </c>
      <c r="W2256" t="s">
        <v>42</v>
      </c>
      <c r="X2256" t="str">
        <f>"0580206"</f>
        <v>0580206</v>
      </c>
      <c r="Y2256" t="s">
        <v>237</v>
      </c>
      <c r="Z2256" t="s">
        <v>223</v>
      </c>
      <c r="AA2256" t="s">
        <v>224</v>
      </c>
      <c r="AB2256" t="s">
        <v>131</v>
      </c>
      <c r="AC2256" t="s">
        <v>51</v>
      </c>
      <c r="AD2256" t="s">
        <v>45</v>
      </c>
      <c r="AE2256" s="1">
        <v>28350</v>
      </c>
      <c r="AF2256">
        <v>2</v>
      </c>
      <c r="AG2256" t="s">
        <v>224</v>
      </c>
      <c r="AH2256" s="36">
        <f t="shared" si="35"/>
        <v>41.963888888888889</v>
      </c>
      <c r="AI2256" s="41" t="s">
        <v>1779</v>
      </c>
    </row>
    <row r="2257" spans="1:35" x14ac:dyDescent="0.25">
      <c r="A2257" s="36">
        <v>99912255</v>
      </c>
      <c r="B2257" s="17" t="s">
        <v>32</v>
      </c>
      <c r="C2257" t="s">
        <v>46</v>
      </c>
      <c r="D2257" t="s">
        <v>47</v>
      </c>
      <c r="G2257" s="17" t="s">
        <v>48</v>
      </c>
      <c r="H2257" s="17">
        <v>1</v>
      </c>
      <c r="K2257" t="s">
        <v>380</v>
      </c>
      <c r="L2257" t="s">
        <v>381</v>
      </c>
      <c r="M2257" t="s">
        <v>131</v>
      </c>
      <c r="N2257">
        <v>23</v>
      </c>
      <c r="O2257" t="s">
        <v>40</v>
      </c>
      <c r="P2257" t="s">
        <v>40</v>
      </c>
      <c r="Q2257" t="s">
        <v>40</v>
      </c>
      <c r="R2257" t="s">
        <v>40</v>
      </c>
      <c r="S2257" t="s">
        <v>40</v>
      </c>
      <c r="V2257" t="s">
        <v>41</v>
      </c>
      <c r="W2257" t="s">
        <v>49</v>
      </c>
      <c r="X2257" t="str">
        <f>"0560028"</f>
        <v>0560028</v>
      </c>
      <c r="Y2257" t="s">
        <v>384</v>
      </c>
      <c r="Z2257" t="s">
        <v>380</v>
      </c>
      <c r="AA2257" t="s">
        <v>381</v>
      </c>
      <c r="AB2257" t="s">
        <v>131</v>
      </c>
      <c r="AC2257" t="s">
        <v>51</v>
      </c>
      <c r="AD2257" t="s">
        <v>45</v>
      </c>
      <c r="AE2257" s="1">
        <v>28347</v>
      </c>
      <c r="AF2257">
        <v>2</v>
      </c>
      <c r="AG2257" t="s">
        <v>381</v>
      </c>
      <c r="AH2257" s="36">
        <f t="shared" si="35"/>
        <v>41.972222222222221</v>
      </c>
      <c r="AI2257" s="41" t="s">
        <v>1779</v>
      </c>
    </row>
    <row r="2258" spans="1:35" x14ac:dyDescent="0.25">
      <c r="A2258" s="36">
        <v>99912256</v>
      </c>
      <c r="B2258" s="17" t="s">
        <v>56</v>
      </c>
      <c r="C2258" t="s">
        <v>52</v>
      </c>
      <c r="D2258" t="s">
        <v>53</v>
      </c>
      <c r="G2258" s="17" t="s">
        <v>48</v>
      </c>
      <c r="H2258" s="17">
        <v>1</v>
      </c>
      <c r="K2258" t="s">
        <v>1268</v>
      </c>
      <c r="L2258" t="s">
        <v>1269</v>
      </c>
      <c r="M2258" t="s">
        <v>1270</v>
      </c>
      <c r="N2258">
        <v>14</v>
      </c>
      <c r="O2258" t="s">
        <v>40</v>
      </c>
      <c r="P2258" t="s">
        <v>40</v>
      </c>
      <c r="Q2258" t="s">
        <v>40</v>
      </c>
      <c r="S2258" t="s">
        <v>40</v>
      </c>
      <c r="V2258" t="s">
        <v>41</v>
      </c>
      <c r="W2258" t="s">
        <v>49</v>
      </c>
      <c r="X2258" t="str">
        <f>"1981914"</f>
        <v>1981914</v>
      </c>
      <c r="Y2258" t="s">
        <v>1287</v>
      </c>
      <c r="Z2258" t="s">
        <v>1268</v>
      </c>
      <c r="AA2258" t="s">
        <v>1269</v>
      </c>
      <c r="AB2258" t="s">
        <v>1270</v>
      </c>
      <c r="AC2258" t="s">
        <v>51</v>
      </c>
      <c r="AD2258" t="s">
        <v>45</v>
      </c>
      <c r="AE2258" s="1">
        <v>28347</v>
      </c>
      <c r="AF2258">
        <v>2</v>
      </c>
      <c r="AG2258" t="s">
        <v>1269</v>
      </c>
      <c r="AH2258" s="36">
        <f t="shared" si="35"/>
        <v>41.972222222222221</v>
      </c>
      <c r="AI2258" s="41" t="s">
        <v>1779</v>
      </c>
    </row>
    <row r="2259" spans="1:35" x14ac:dyDescent="0.25">
      <c r="A2259" s="36">
        <v>99912257</v>
      </c>
      <c r="B2259" s="17" t="s">
        <v>56</v>
      </c>
      <c r="C2259" t="s">
        <v>117</v>
      </c>
      <c r="D2259" t="s">
        <v>118</v>
      </c>
      <c r="G2259" s="17" t="s">
        <v>35</v>
      </c>
      <c r="H2259" s="17">
        <v>1</v>
      </c>
      <c r="I2259" t="s">
        <v>1555</v>
      </c>
      <c r="J2259" s="1">
        <v>43344</v>
      </c>
      <c r="K2259" t="s">
        <v>1546</v>
      </c>
      <c r="L2259" t="s">
        <v>1547</v>
      </c>
      <c r="M2259" t="s">
        <v>1548</v>
      </c>
      <c r="N2259">
        <v>8</v>
      </c>
      <c r="O2259" t="s">
        <v>40</v>
      </c>
      <c r="P2259" t="s">
        <v>40</v>
      </c>
      <c r="Q2259" t="s">
        <v>40</v>
      </c>
      <c r="R2259" t="s">
        <v>40</v>
      </c>
      <c r="S2259" t="s">
        <v>40</v>
      </c>
      <c r="U2259" s="1">
        <v>43344</v>
      </c>
      <c r="V2259" t="s">
        <v>41</v>
      </c>
      <c r="W2259" t="s">
        <v>49</v>
      </c>
      <c r="X2259" t="str">
        <f>"1081010"</f>
        <v>1081010</v>
      </c>
      <c r="Y2259" t="s">
        <v>1552</v>
      </c>
      <c r="Z2259" t="s">
        <v>1546</v>
      </c>
      <c r="AA2259" t="s">
        <v>1547</v>
      </c>
      <c r="AB2259" t="s">
        <v>1548</v>
      </c>
      <c r="AC2259" t="s">
        <v>44</v>
      </c>
      <c r="AD2259" t="s">
        <v>45</v>
      </c>
      <c r="AE2259" s="1">
        <v>28346</v>
      </c>
      <c r="AF2259">
        <v>2</v>
      </c>
      <c r="AG2259" t="s">
        <v>1547</v>
      </c>
      <c r="AH2259" s="36">
        <f t="shared" si="35"/>
        <v>41.975000000000001</v>
      </c>
      <c r="AI2259" s="41" t="s">
        <v>1779</v>
      </c>
    </row>
    <row r="2260" spans="1:35" x14ac:dyDescent="0.25">
      <c r="A2260" s="36">
        <v>99912258</v>
      </c>
      <c r="B2260" s="17" t="s">
        <v>32</v>
      </c>
      <c r="C2260" t="s">
        <v>46</v>
      </c>
      <c r="D2260" t="s">
        <v>47</v>
      </c>
      <c r="G2260" s="17" t="s">
        <v>35</v>
      </c>
      <c r="H2260" s="17">
        <v>1</v>
      </c>
      <c r="K2260" t="s">
        <v>157</v>
      </c>
      <c r="L2260" t="s">
        <v>158</v>
      </c>
      <c r="M2260" t="s">
        <v>131</v>
      </c>
      <c r="N2260">
        <v>21</v>
      </c>
      <c r="O2260" t="s">
        <v>40</v>
      </c>
      <c r="P2260" t="s">
        <v>40</v>
      </c>
      <c r="Q2260" t="s">
        <v>40</v>
      </c>
      <c r="R2260" t="s">
        <v>40</v>
      </c>
      <c r="S2260" t="s">
        <v>40</v>
      </c>
      <c r="V2260" t="s">
        <v>41</v>
      </c>
      <c r="W2260" t="s">
        <v>49</v>
      </c>
      <c r="X2260" t="str">
        <f>"0580505"</f>
        <v>0580505</v>
      </c>
      <c r="Y2260" t="s">
        <v>168</v>
      </c>
      <c r="Z2260" t="s">
        <v>157</v>
      </c>
      <c r="AA2260" t="s">
        <v>158</v>
      </c>
      <c r="AB2260" t="s">
        <v>131</v>
      </c>
      <c r="AC2260" t="s">
        <v>51</v>
      </c>
      <c r="AD2260" t="s">
        <v>45</v>
      </c>
      <c r="AE2260" s="1">
        <v>28342</v>
      </c>
      <c r="AF2260">
        <v>2</v>
      </c>
      <c r="AG2260" t="s">
        <v>158</v>
      </c>
      <c r="AH2260" s="36">
        <f t="shared" si="35"/>
        <v>41.986111111111114</v>
      </c>
      <c r="AI2260" s="41" t="s">
        <v>1779</v>
      </c>
    </row>
    <row r="2261" spans="1:35" x14ac:dyDescent="0.25">
      <c r="A2261" s="36">
        <v>99912259</v>
      </c>
      <c r="B2261" s="17" t="s">
        <v>32</v>
      </c>
      <c r="C2261" t="s">
        <v>46</v>
      </c>
      <c r="D2261" t="s">
        <v>47</v>
      </c>
      <c r="G2261" s="17" t="s">
        <v>48</v>
      </c>
      <c r="H2261" s="17">
        <v>1</v>
      </c>
      <c r="K2261" t="s">
        <v>345</v>
      </c>
      <c r="L2261" t="s">
        <v>346</v>
      </c>
      <c r="M2261" t="s">
        <v>131</v>
      </c>
      <c r="N2261">
        <v>21</v>
      </c>
      <c r="O2261" t="s">
        <v>40</v>
      </c>
      <c r="P2261" t="s">
        <v>40</v>
      </c>
      <c r="Q2261" t="s">
        <v>40</v>
      </c>
      <c r="R2261" t="s">
        <v>40</v>
      </c>
      <c r="S2261" t="s">
        <v>40</v>
      </c>
      <c r="V2261" t="s">
        <v>41</v>
      </c>
      <c r="W2261" t="s">
        <v>42</v>
      </c>
      <c r="X2261" t="str">
        <f>"0590906"</f>
        <v>0590906</v>
      </c>
      <c r="Y2261" t="s">
        <v>361</v>
      </c>
      <c r="Z2261" t="s">
        <v>345</v>
      </c>
      <c r="AA2261" t="s">
        <v>346</v>
      </c>
      <c r="AB2261" t="s">
        <v>131</v>
      </c>
      <c r="AC2261" t="s">
        <v>51</v>
      </c>
      <c r="AD2261" t="s">
        <v>45</v>
      </c>
      <c r="AE2261" s="1">
        <v>28342</v>
      </c>
      <c r="AF2261">
        <v>2</v>
      </c>
      <c r="AG2261" t="s">
        <v>346</v>
      </c>
      <c r="AH2261" s="36">
        <f t="shared" si="35"/>
        <v>41.986111111111114</v>
      </c>
      <c r="AI2261" s="41" t="s">
        <v>1779</v>
      </c>
    </row>
    <row r="2262" spans="1:35" x14ac:dyDescent="0.25">
      <c r="A2262" s="36">
        <v>99912260</v>
      </c>
      <c r="B2262" s="17" t="s">
        <v>56</v>
      </c>
      <c r="C2262" t="s">
        <v>79</v>
      </c>
      <c r="D2262" t="s">
        <v>80</v>
      </c>
      <c r="G2262" s="17" t="s">
        <v>48</v>
      </c>
      <c r="H2262" s="17">
        <v>1</v>
      </c>
      <c r="K2262" t="s">
        <v>431</v>
      </c>
      <c r="L2262" t="s">
        <v>196</v>
      </c>
      <c r="M2262" t="s">
        <v>131</v>
      </c>
      <c r="N2262">
        <v>24</v>
      </c>
      <c r="O2262" t="s">
        <v>40</v>
      </c>
      <c r="P2262" t="s">
        <v>40</v>
      </c>
      <c r="Q2262" t="s">
        <v>40</v>
      </c>
      <c r="R2262" t="s">
        <v>40</v>
      </c>
      <c r="S2262" t="s">
        <v>40</v>
      </c>
      <c r="V2262" t="s">
        <v>41</v>
      </c>
      <c r="W2262" t="s">
        <v>75</v>
      </c>
      <c r="X2262" t="str">
        <f>"7521012"</f>
        <v>7521012</v>
      </c>
      <c r="Y2262" t="s">
        <v>432</v>
      </c>
      <c r="Z2262" t="s">
        <v>431</v>
      </c>
      <c r="AA2262" t="s">
        <v>196</v>
      </c>
      <c r="AB2262" t="s">
        <v>131</v>
      </c>
      <c r="AC2262" t="s">
        <v>51</v>
      </c>
      <c r="AD2262" t="s">
        <v>45</v>
      </c>
      <c r="AE2262" s="1">
        <v>28337</v>
      </c>
      <c r="AF2262">
        <v>1</v>
      </c>
      <c r="AG2262" t="s">
        <v>196</v>
      </c>
      <c r="AH2262" s="36">
        <f t="shared" si="35"/>
        <v>42</v>
      </c>
      <c r="AI2262" s="41" t="s">
        <v>1779</v>
      </c>
    </row>
    <row r="2263" spans="1:35" x14ac:dyDescent="0.25">
      <c r="A2263" s="36">
        <v>99912261</v>
      </c>
      <c r="B2263" s="17" t="s">
        <v>56</v>
      </c>
      <c r="C2263" t="s">
        <v>141</v>
      </c>
      <c r="D2263" t="s">
        <v>142</v>
      </c>
      <c r="G2263" s="17" t="s">
        <v>35</v>
      </c>
      <c r="H2263" s="17">
        <v>1</v>
      </c>
      <c r="K2263" t="s">
        <v>1502</v>
      </c>
      <c r="L2263" t="s">
        <v>1503</v>
      </c>
      <c r="M2263" t="s">
        <v>670</v>
      </c>
      <c r="N2263">
        <v>24</v>
      </c>
      <c r="O2263" t="s">
        <v>40</v>
      </c>
      <c r="P2263" t="s">
        <v>40</v>
      </c>
      <c r="Q2263" t="s">
        <v>40</v>
      </c>
      <c r="R2263" t="s">
        <v>40</v>
      </c>
      <c r="S2263" t="s">
        <v>40</v>
      </c>
      <c r="V2263" t="s">
        <v>41</v>
      </c>
      <c r="W2263" t="s">
        <v>75</v>
      </c>
      <c r="X2263" t="str">
        <f>"7171000"</f>
        <v>7171000</v>
      </c>
      <c r="Y2263" t="s">
        <v>1506</v>
      </c>
      <c r="Z2263" t="s">
        <v>1502</v>
      </c>
      <c r="AA2263" t="s">
        <v>1503</v>
      </c>
      <c r="AB2263" t="s">
        <v>670</v>
      </c>
      <c r="AC2263" t="s">
        <v>51</v>
      </c>
      <c r="AD2263" t="s">
        <v>45</v>
      </c>
      <c r="AE2263" s="1">
        <v>28336</v>
      </c>
      <c r="AF2263">
        <v>1</v>
      </c>
      <c r="AG2263" t="s">
        <v>1503</v>
      </c>
      <c r="AH2263" s="36">
        <f t="shared" si="35"/>
        <v>42.00277777777778</v>
      </c>
      <c r="AI2263" s="41" t="s">
        <v>1779</v>
      </c>
    </row>
    <row r="2264" spans="1:35" x14ac:dyDescent="0.25">
      <c r="A2264" s="36">
        <v>99912262</v>
      </c>
      <c r="B2264" s="17" t="s">
        <v>32</v>
      </c>
      <c r="C2264" t="s">
        <v>143</v>
      </c>
      <c r="D2264" t="s">
        <v>144</v>
      </c>
      <c r="G2264" s="17" t="s">
        <v>35</v>
      </c>
      <c r="H2264" s="17">
        <v>1</v>
      </c>
      <c r="K2264" t="s">
        <v>354</v>
      </c>
      <c r="L2264" t="s">
        <v>355</v>
      </c>
      <c r="M2264" t="s">
        <v>131</v>
      </c>
      <c r="N2264">
        <v>23</v>
      </c>
      <c r="O2264" t="s">
        <v>40</v>
      </c>
      <c r="P2264" t="s">
        <v>40</v>
      </c>
      <c r="Q2264" t="s">
        <v>40</v>
      </c>
      <c r="S2264" t="s">
        <v>40</v>
      </c>
      <c r="V2264" t="s">
        <v>41</v>
      </c>
      <c r="W2264" t="s">
        <v>75</v>
      </c>
      <c r="X2264" t="str">
        <f>"7054020"</f>
        <v>7054020</v>
      </c>
      <c r="Y2264" t="s">
        <v>765</v>
      </c>
      <c r="Z2264" t="s">
        <v>354</v>
      </c>
      <c r="AA2264" t="s">
        <v>355</v>
      </c>
      <c r="AB2264" t="s">
        <v>131</v>
      </c>
      <c r="AC2264" t="s">
        <v>51</v>
      </c>
      <c r="AD2264" t="s">
        <v>45</v>
      </c>
      <c r="AE2264" s="1">
        <v>28333</v>
      </c>
      <c r="AF2264">
        <v>1</v>
      </c>
      <c r="AG2264" t="s">
        <v>355</v>
      </c>
      <c r="AH2264" s="36">
        <f t="shared" si="35"/>
        <v>42.011111111111113</v>
      </c>
      <c r="AI2264" s="41" t="s">
        <v>1779</v>
      </c>
    </row>
    <row r="2265" spans="1:35" x14ac:dyDescent="0.25">
      <c r="A2265" s="36">
        <v>99912263</v>
      </c>
      <c r="B2265" s="17" t="s">
        <v>56</v>
      </c>
      <c r="C2265" t="s">
        <v>143</v>
      </c>
      <c r="D2265" t="s">
        <v>144</v>
      </c>
      <c r="G2265" s="17" t="s">
        <v>35</v>
      </c>
      <c r="H2265" s="17">
        <v>2</v>
      </c>
      <c r="I2265">
        <v>13814</v>
      </c>
      <c r="J2265" s="1">
        <v>43355</v>
      </c>
      <c r="K2265" t="s">
        <v>345</v>
      </c>
      <c r="L2265" t="s">
        <v>346</v>
      </c>
      <c r="M2265" t="s">
        <v>131</v>
      </c>
      <c r="N2265">
        <v>23</v>
      </c>
      <c r="O2265" t="s">
        <v>40</v>
      </c>
      <c r="P2265" t="s">
        <v>40</v>
      </c>
      <c r="Q2265" t="s">
        <v>40</v>
      </c>
      <c r="R2265" t="s">
        <v>40</v>
      </c>
      <c r="S2265" t="s">
        <v>40</v>
      </c>
      <c r="U2265" s="1">
        <v>43355</v>
      </c>
      <c r="V2265" t="s">
        <v>41</v>
      </c>
      <c r="W2265" t="s">
        <v>49</v>
      </c>
      <c r="X2265" t="str">
        <f>"0591906"</f>
        <v>0591906</v>
      </c>
      <c r="Y2265" t="s">
        <v>350</v>
      </c>
      <c r="Z2265" t="s">
        <v>345</v>
      </c>
      <c r="AA2265" t="s">
        <v>346</v>
      </c>
      <c r="AB2265" t="s">
        <v>131</v>
      </c>
      <c r="AC2265" t="s">
        <v>51</v>
      </c>
      <c r="AD2265" t="s">
        <v>45</v>
      </c>
      <c r="AE2265" s="1">
        <v>28332</v>
      </c>
      <c r="AF2265">
        <v>2</v>
      </c>
      <c r="AG2265" t="s">
        <v>346</v>
      </c>
      <c r="AH2265" s="36">
        <f t="shared" si="35"/>
        <v>42.013888888888886</v>
      </c>
      <c r="AI2265" s="41" t="s">
        <v>1779</v>
      </c>
    </row>
    <row r="2266" spans="1:35" x14ac:dyDescent="0.25">
      <c r="A2266" s="36">
        <v>99912264</v>
      </c>
      <c r="B2266" s="17" t="s">
        <v>56</v>
      </c>
      <c r="C2266" t="s">
        <v>46</v>
      </c>
      <c r="D2266" t="s">
        <v>47</v>
      </c>
      <c r="G2266" s="17" t="s">
        <v>48</v>
      </c>
      <c r="H2266" s="17">
        <v>7</v>
      </c>
      <c r="K2266" t="s">
        <v>345</v>
      </c>
      <c r="L2266" t="s">
        <v>346</v>
      </c>
      <c r="M2266" t="s">
        <v>131</v>
      </c>
      <c r="N2266">
        <v>20</v>
      </c>
      <c r="O2266" t="s">
        <v>40</v>
      </c>
      <c r="P2266" t="s">
        <v>40</v>
      </c>
      <c r="Q2266" t="s">
        <v>40</v>
      </c>
      <c r="R2266" t="s">
        <v>40</v>
      </c>
      <c r="S2266" t="s">
        <v>40</v>
      </c>
      <c r="V2266" t="s">
        <v>41</v>
      </c>
      <c r="W2266" t="s">
        <v>42</v>
      </c>
      <c r="X2266" t="str">
        <f>"0590906"</f>
        <v>0590906</v>
      </c>
      <c r="Y2266" t="s">
        <v>361</v>
      </c>
      <c r="Z2266" t="s">
        <v>345</v>
      </c>
      <c r="AA2266" t="s">
        <v>346</v>
      </c>
      <c r="AB2266" t="s">
        <v>131</v>
      </c>
      <c r="AC2266" t="s">
        <v>51</v>
      </c>
      <c r="AD2266" t="s">
        <v>45</v>
      </c>
      <c r="AE2266" s="1">
        <v>28332</v>
      </c>
      <c r="AF2266">
        <v>2</v>
      </c>
      <c r="AG2266" t="s">
        <v>346</v>
      </c>
      <c r="AH2266" s="36">
        <f t="shared" si="35"/>
        <v>42.013888888888886</v>
      </c>
      <c r="AI2266" s="41" t="s">
        <v>1779</v>
      </c>
    </row>
    <row r="2267" spans="1:35" x14ac:dyDescent="0.25">
      <c r="A2267" s="36">
        <v>99912265</v>
      </c>
      <c r="B2267" s="17" t="s">
        <v>32</v>
      </c>
      <c r="C2267" t="s">
        <v>46</v>
      </c>
      <c r="D2267" t="s">
        <v>47</v>
      </c>
      <c r="G2267" s="17" t="s">
        <v>48</v>
      </c>
      <c r="H2267" s="17">
        <v>1</v>
      </c>
      <c r="K2267" t="s">
        <v>380</v>
      </c>
      <c r="L2267" t="s">
        <v>381</v>
      </c>
      <c r="M2267" t="s">
        <v>131</v>
      </c>
      <c r="N2267">
        <v>21</v>
      </c>
      <c r="O2267" t="s">
        <v>40</v>
      </c>
      <c r="P2267" t="s">
        <v>40</v>
      </c>
      <c r="Q2267" t="s">
        <v>40</v>
      </c>
      <c r="R2267" t="s">
        <v>40</v>
      </c>
      <c r="S2267" t="s">
        <v>40</v>
      </c>
      <c r="V2267" t="s">
        <v>41</v>
      </c>
      <c r="W2267" t="s">
        <v>49</v>
      </c>
      <c r="X2267" t="str">
        <f>"0591908"</f>
        <v>0591908</v>
      </c>
      <c r="Y2267" t="s">
        <v>383</v>
      </c>
      <c r="Z2267" t="s">
        <v>380</v>
      </c>
      <c r="AA2267" t="s">
        <v>381</v>
      </c>
      <c r="AB2267" t="s">
        <v>131</v>
      </c>
      <c r="AC2267" t="s">
        <v>51</v>
      </c>
      <c r="AD2267" t="s">
        <v>45</v>
      </c>
      <c r="AE2267" s="1">
        <v>28330</v>
      </c>
      <c r="AF2267">
        <v>2</v>
      </c>
      <c r="AG2267" t="s">
        <v>381</v>
      </c>
      <c r="AH2267" s="36">
        <f t="shared" si="35"/>
        <v>42.019444444444446</v>
      </c>
      <c r="AI2267" s="41" t="s">
        <v>1779</v>
      </c>
    </row>
    <row r="2268" spans="1:35" x14ac:dyDescent="0.25">
      <c r="A2268" s="36">
        <v>99912266</v>
      </c>
      <c r="B2268" s="17" t="s">
        <v>56</v>
      </c>
      <c r="C2268" t="s">
        <v>64</v>
      </c>
      <c r="D2268" t="s">
        <v>65</v>
      </c>
      <c r="G2268" s="17" t="s">
        <v>48</v>
      </c>
      <c r="H2268" s="17">
        <v>1</v>
      </c>
      <c r="K2268" t="s">
        <v>354</v>
      </c>
      <c r="L2268" t="s">
        <v>355</v>
      </c>
      <c r="M2268" t="s">
        <v>131</v>
      </c>
      <c r="N2268">
        <v>24</v>
      </c>
      <c r="O2268" t="s">
        <v>40</v>
      </c>
      <c r="P2268" t="s">
        <v>40</v>
      </c>
      <c r="Q2268" t="s">
        <v>40</v>
      </c>
      <c r="R2268" t="s">
        <v>40</v>
      </c>
      <c r="S2268" t="s">
        <v>40</v>
      </c>
      <c r="V2268" t="s">
        <v>41</v>
      </c>
      <c r="W2268" t="s">
        <v>75</v>
      </c>
      <c r="X2268" t="str">
        <f>"7054038"</f>
        <v>7054038</v>
      </c>
      <c r="Y2268" t="s">
        <v>377</v>
      </c>
      <c r="Z2268" t="s">
        <v>354</v>
      </c>
      <c r="AA2268" t="s">
        <v>355</v>
      </c>
      <c r="AB2268" t="s">
        <v>131</v>
      </c>
      <c r="AC2268" t="s">
        <v>51</v>
      </c>
      <c r="AD2268" t="s">
        <v>45</v>
      </c>
      <c r="AE2268" s="1">
        <v>28329</v>
      </c>
      <c r="AF2268">
        <v>1</v>
      </c>
      <c r="AG2268" t="s">
        <v>355</v>
      </c>
      <c r="AH2268" s="36">
        <f t="shared" si="35"/>
        <v>42.022222222222226</v>
      </c>
      <c r="AI2268" s="41" t="s">
        <v>1779</v>
      </c>
    </row>
    <row r="2269" spans="1:35" x14ac:dyDescent="0.25">
      <c r="A2269" s="36">
        <v>99912267</v>
      </c>
      <c r="B2269" s="17" t="s">
        <v>32</v>
      </c>
      <c r="C2269" t="s">
        <v>61</v>
      </c>
      <c r="D2269" t="s">
        <v>62</v>
      </c>
      <c r="G2269" s="17" t="s">
        <v>48</v>
      </c>
      <c r="H2269" s="17">
        <v>8</v>
      </c>
      <c r="K2269" t="s">
        <v>1268</v>
      </c>
      <c r="L2269" t="s">
        <v>1269</v>
      </c>
      <c r="M2269" t="s">
        <v>1270</v>
      </c>
      <c r="N2269">
        <v>20</v>
      </c>
      <c r="O2269" t="s">
        <v>40</v>
      </c>
      <c r="P2269" t="s">
        <v>40</v>
      </c>
      <c r="Q2269" t="s">
        <v>40</v>
      </c>
      <c r="R2269" t="s">
        <v>40</v>
      </c>
      <c r="S2269" t="s">
        <v>40</v>
      </c>
      <c r="V2269" t="s">
        <v>41</v>
      </c>
      <c r="W2269" t="s">
        <v>49</v>
      </c>
      <c r="X2269" t="str">
        <f>"1981912"</f>
        <v>1981912</v>
      </c>
      <c r="Y2269" t="s">
        <v>1279</v>
      </c>
      <c r="Z2269" t="s">
        <v>1268</v>
      </c>
      <c r="AA2269" t="s">
        <v>1269</v>
      </c>
      <c r="AB2269" t="s">
        <v>1270</v>
      </c>
      <c r="AC2269" t="s">
        <v>51</v>
      </c>
      <c r="AD2269" t="s">
        <v>45</v>
      </c>
      <c r="AE2269" s="1">
        <v>28329</v>
      </c>
      <c r="AF2269">
        <v>2</v>
      </c>
      <c r="AG2269" t="s">
        <v>1269</v>
      </c>
      <c r="AH2269" s="36">
        <f t="shared" si="35"/>
        <v>42.022222222222226</v>
      </c>
      <c r="AI2269" s="41" t="s">
        <v>1779</v>
      </c>
    </row>
    <row r="2270" spans="1:35" x14ac:dyDescent="0.25">
      <c r="A2270" s="36">
        <v>99912268</v>
      </c>
      <c r="B2270" s="17" t="s">
        <v>32</v>
      </c>
      <c r="C2270" t="s">
        <v>64</v>
      </c>
      <c r="D2270" t="s">
        <v>65</v>
      </c>
      <c r="G2270" s="17" t="s">
        <v>48</v>
      </c>
      <c r="H2270" s="17">
        <v>1</v>
      </c>
      <c r="K2270" t="s">
        <v>223</v>
      </c>
      <c r="L2270" t="s">
        <v>224</v>
      </c>
      <c r="M2270" t="s">
        <v>131</v>
      </c>
      <c r="N2270">
        <v>20</v>
      </c>
      <c r="O2270" t="s">
        <v>40</v>
      </c>
      <c r="P2270" t="s">
        <v>40</v>
      </c>
      <c r="Q2270" t="s">
        <v>40</v>
      </c>
      <c r="S2270" t="s">
        <v>40</v>
      </c>
      <c r="V2270" t="s">
        <v>41</v>
      </c>
      <c r="W2270" t="s">
        <v>49</v>
      </c>
      <c r="X2270" t="str">
        <f>"0581206"</f>
        <v>0581206</v>
      </c>
      <c r="Y2270" t="s">
        <v>232</v>
      </c>
      <c r="Z2270" t="s">
        <v>223</v>
      </c>
      <c r="AA2270" t="s">
        <v>224</v>
      </c>
      <c r="AB2270" t="s">
        <v>131</v>
      </c>
      <c r="AC2270" t="s">
        <v>51</v>
      </c>
      <c r="AD2270" t="s">
        <v>45</v>
      </c>
      <c r="AE2270" s="1">
        <v>28327</v>
      </c>
      <c r="AF2270">
        <v>2</v>
      </c>
      <c r="AG2270" t="s">
        <v>224</v>
      </c>
      <c r="AH2270" s="36">
        <f t="shared" si="35"/>
        <v>42.027777777777779</v>
      </c>
      <c r="AI2270" s="41" t="s">
        <v>1779</v>
      </c>
    </row>
    <row r="2271" spans="1:35" x14ac:dyDescent="0.25">
      <c r="A2271" s="36">
        <v>99912269</v>
      </c>
      <c r="B2271" s="17" t="s">
        <v>32</v>
      </c>
      <c r="C2271" t="s">
        <v>52</v>
      </c>
      <c r="D2271" t="s">
        <v>53</v>
      </c>
      <c r="G2271" s="17" t="s">
        <v>35</v>
      </c>
      <c r="H2271" s="17">
        <v>1</v>
      </c>
      <c r="I2271" t="s">
        <v>926</v>
      </c>
      <c r="J2271" s="1">
        <v>43350</v>
      </c>
      <c r="K2271" t="s">
        <v>919</v>
      </c>
      <c r="L2271" t="s">
        <v>920</v>
      </c>
      <c r="M2271" t="s">
        <v>921</v>
      </c>
      <c r="N2271">
        <v>10</v>
      </c>
      <c r="O2271" t="s">
        <v>40</v>
      </c>
      <c r="P2271" t="s">
        <v>40</v>
      </c>
      <c r="Q2271" t="s">
        <v>40</v>
      </c>
      <c r="R2271" t="s">
        <v>40</v>
      </c>
      <c r="S2271" t="s">
        <v>40</v>
      </c>
      <c r="U2271" s="1">
        <v>43350</v>
      </c>
      <c r="V2271" t="s">
        <v>41</v>
      </c>
      <c r="W2271" t="s">
        <v>922</v>
      </c>
      <c r="X2271" t="str">
        <f>"5162001"</f>
        <v>5162001</v>
      </c>
      <c r="Y2271" t="s">
        <v>923</v>
      </c>
      <c r="Z2271" t="s">
        <v>919</v>
      </c>
      <c r="AA2271" t="s">
        <v>920</v>
      </c>
      <c r="AB2271" t="s">
        <v>921</v>
      </c>
      <c r="AC2271" t="s">
        <v>44</v>
      </c>
      <c r="AD2271" t="s">
        <v>45</v>
      </c>
      <c r="AE2271" s="1">
        <v>28323</v>
      </c>
      <c r="AF2271">
        <v>2</v>
      </c>
      <c r="AG2271" t="s">
        <v>920</v>
      </c>
      <c r="AH2271" s="36">
        <f t="shared" si="35"/>
        <v>42.038888888888891</v>
      </c>
      <c r="AI2271" s="41" t="s">
        <v>1779</v>
      </c>
    </row>
    <row r="2272" spans="1:35" x14ac:dyDescent="0.25">
      <c r="A2272" s="36">
        <v>99912270</v>
      </c>
      <c r="B2272" s="17" t="s">
        <v>32</v>
      </c>
      <c r="C2272" t="s">
        <v>111</v>
      </c>
      <c r="D2272" t="s">
        <v>112</v>
      </c>
      <c r="G2272" s="17" t="s">
        <v>35</v>
      </c>
      <c r="H2272" s="17">
        <v>1</v>
      </c>
      <c r="I2272" s="1">
        <v>43080</v>
      </c>
      <c r="J2272" s="1">
        <v>43344</v>
      </c>
      <c r="K2272" t="s">
        <v>1341</v>
      </c>
      <c r="L2272" t="s">
        <v>1342</v>
      </c>
      <c r="M2272" t="s">
        <v>1270</v>
      </c>
      <c r="N2272">
        <v>24</v>
      </c>
      <c r="O2272" t="s">
        <v>40</v>
      </c>
      <c r="S2272" t="s">
        <v>40</v>
      </c>
      <c r="U2272" s="1">
        <v>43344</v>
      </c>
      <c r="V2272" t="s">
        <v>41</v>
      </c>
      <c r="W2272" t="s">
        <v>75</v>
      </c>
      <c r="X2272" t="str">
        <f>"7191034"</f>
        <v>7191034</v>
      </c>
      <c r="Y2272" t="s">
        <v>1343</v>
      </c>
      <c r="Z2272" t="s">
        <v>1341</v>
      </c>
      <c r="AA2272" t="s">
        <v>1342</v>
      </c>
      <c r="AB2272" t="s">
        <v>1270</v>
      </c>
      <c r="AC2272" t="s">
        <v>44</v>
      </c>
      <c r="AD2272" t="s">
        <v>45</v>
      </c>
      <c r="AE2272" s="1">
        <v>28323</v>
      </c>
      <c r="AF2272">
        <v>1</v>
      </c>
      <c r="AG2272" t="s">
        <v>1342</v>
      </c>
      <c r="AH2272" s="36">
        <f t="shared" si="35"/>
        <v>42.038888888888891</v>
      </c>
      <c r="AI2272" s="41" t="s">
        <v>1779</v>
      </c>
    </row>
    <row r="2273" spans="1:37" x14ac:dyDescent="0.25">
      <c r="A2273" s="36">
        <v>99912271</v>
      </c>
      <c r="B2273" s="17" t="s">
        <v>32</v>
      </c>
      <c r="C2273" t="s">
        <v>46</v>
      </c>
      <c r="D2273" t="s">
        <v>47</v>
      </c>
      <c r="G2273" s="17" t="s">
        <v>88</v>
      </c>
      <c r="H2273" s="17">
        <v>4</v>
      </c>
      <c r="K2273" t="s">
        <v>157</v>
      </c>
      <c r="L2273" t="s">
        <v>158</v>
      </c>
      <c r="M2273" t="s">
        <v>131</v>
      </c>
      <c r="N2273">
        <v>21</v>
      </c>
      <c r="O2273" t="s">
        <v>40</v>
      </c>
      <c r="P2273" t="s">
        <v>40</v>
      </c>
      <c r="Q2273" t="s">
        <v>40</v>
      </c>
      <c r="R2273" t="s">
        <v>40</v>
      </c>
      <c r="S2273" t="s">
        <v>40</v>
      </c>
      <c r="V2273" t="s">
        <v>41</v>
      </c>
      <c r="W2273" t="s">
        <v>49</v>
      </c>
      <c r="X2273" t="str">
        <f>"0560026"</f>
        <v>0560026</v>
      </c>
      <c r="Y2273" t="s">
        <v>184</v>
      </c>
      <c r="Z2273" t="s">
        <v>157</v>
      </c>
      <c r="AA2273" t="s">
        <v>158</v>
      </c>
      <c r="AB2273" t="s">
        <v>131</v>
      </c>
      <c r="AC2273" t="s">
        <v>51</v>
      </c>
      <c r="AD2273" t="s">
        <v>45</v>
      </c>
      <c r="AE2273" s="1">
        <v>28322</v>
      </c>
      <c r="AF2273">
        <v>2</v>
      </c>
      <c r="AG2273" t="s">
        <v>158</v>
      </c>
      <c r="AH2273" s="36">
        <f t="shared" si="35"/>
        <v>42.041666666666664</v>
      </c>
      <c r="AI2273" s="41" t="s">
        <v>1779</v>
      </c>
    </row>
    <row r="2274" spans="1:37" x14ac:dyDescent="0.25">
      <c r="A2274" s="36">
        <v>99912272</v>
      </c>
      <c r="B2274" s="17" t="s">
        <v>32</v>
      </c>
      <c r="C2274" t="s">
        <v>79</v>
      </c>
      <c r="D2274" t="s">
        <v>80</v>
      </c>
      <c r="G2274" s="17" t="s">
        <v>48</v>
      </c>
      <c r="H2274" s="17">
        <v>1</v>
      </c>
      <c r="K2274" t="s">
        <v>162</v>
      </c>
      <c r="L2274" t="s">
        <v>158</v>
      </c>
      <c r="M2274" t="s">
        <v>131</v>
      </c>
      <c r="N2274">
        <v>10</v>
      </c>
      <c r="O2274" t="s">
        <v>40</v>
      </c>
      <c r="P2274" t="s">
        <v>40</v>
      </c>
      <c r="Q2274" t="s">
        <v>40</v>
      </c>
      <c r="S2274" t="s">
        <v>40</v>
      </c>
      <c r="V2274" t="s">
        <v>41</v>
      </c>
      <c r="W2274" t="s">
        <v>42</v>
      </c>
      <c r="X2274" t="str">
        <f>"0580325"</f>
        <v>0580325</v>
      </c>
      <c r="Y2274" t="s">
        <v>170</v>
      </c>
      <c r="Z2274" t="s">
        <v>162</v>
      </c>
      <c r="AA2274" t="s">
        <v>158</v>
      </c>
      <c r="AB2274" t="s">
        <v>131</v>
      </c>
      <c r="AC2274" t="s">
        <v>51</v>
      </c>
      <c r="AD2274" t="s">
        <v>45</v>
      </c>
      <c r="AE2274" s="1">
        <v>28321</v>
      </c>
      <c r="AF2274">
        <v>2</v>
      </c>
      <c r="AG2274" t="s">
        <v>158</v>
      </c>
      <c r="AH2274" s="36">
        <f t="shared" si="35"/>
        <v>42.044444444444444</v>
      </c>
      <c r="AI2274" s="41" t="s">
        <v>1779</v>
      </c>
    </row>
    <row r="2275" spans="1:37" x14ac:dyDescent="0.25">
      <c r="A2275" s="36">
        <v>99912273</v>
      </c>
      <c r="B2275" s="17" t="s">
        <v>32</v>
      </c>
      <c r="C2275" t="s">
        <v>58</v>
      </c>
      <c r="D2275" t="s">
        <v>59</v>
      </c>
      <c r="G2275" s="17" t="s">
        <v>48</v>
      </c>
      <c r="H2275" s="17">
        <v>1</v>
      </c>
      <c r="K2275" t="s">
        <v>223</v>
      </c>
      <c r="L2275" t="s">
        <v>224</v>
      </c>
      <c r="M2275" t="s">
        <v>131</v>
      </c>
      <c r="N2275">
        <v>23</v>
      </c>
      <c r="O2275" t="s">
        <v>40</v>
      </c>
      <c r="P2275" t="s">
        <v>40</v>
      </c>
      <c r="Q2275" t="s">
        <v>40</v>
      </c>
      <c r="S2275" t="s">
        <v>40</v>
      </c>
      <c r="V2275" t="s">
        <v>41</v>
      </c>
      <c r="W2275" t="s">
        <v>42</v>
      </c>
      <c r="X2275" t="str">
        <f>"0580395"</f>
        <v>0580395</v>
      </c>
      <c r="Y2275" t="s">
        <v>265</v>
      </c>
      <c r="Z2275" t="s">
        <v>223</v>
      </c>
      <c r="AA2275" t="s">
        <v>224</v>
      </c>
      <c r="AB2275" t="s">
        <v>131</v>
      </c>
      <c r="AC2275" t="s">
        <v>51</v>
      </c>
      <c r="AD2275" t="s">
        <v>45</v>
      </c>
      <c r="AE2275" s="1">
        <v>28321</v>
      </c>
      <c r="AF2275">
        <v>2</v>
      </c>
      <c r="AG2275" t="s">
        <v>224</v>
      </c>
      <c r="AH2275" s="36">
        <f t="shared" si="35"/>
        <v>42.044444444444444</v>
      </c>
      <c r="AI2275" s="41" t="s">
        <v>1779</v>
      </c>
    </row>
    <row r="2276" spans="1:37" x14ac:dyDescent="0.25">
      <c r="A2276" s="36">
        <v>99912274</v>
      </c>
      <c r="B2276" s="17" t="s">
        <v>32</v>
      </c>
      <c r="C2276" t="s">
        <v>111</v>
      </c>
      <c r="D2276" t="s">
        <v>112</v>
      </c>
      <c r="G2276" s="17" t="s">
        <v>35</v>
      </c>
      <c r="H2276" s="17">
        <v>1</v>
      </c>
      <c r="I2276" s="1">
        <v>38961</v>
      </c>
      <c r="J2276" s="1">
        <v>43344</v>
      </c>
      <c r="K2276" t="s">
        <v>1341</v>
      </c>
      <c r="L2276" t="s">
        <v>1342</v>
      </c>
      <c r="M2276" t="s">
        <v>1270</v>
      </c>
      <c r="N2276">
        <v>24</v>
      </c>
      <c r="O2276" t="s">
        <v>40</v>
      </c>
      <c r="S2276" t="s">
        <v>40</v>
      </c>
      <c r="U2276" s="1">
        <v>43344</v>
      </c>
      <c r="V2276" t="s">
        <v>41</v>
      </c>
      <c r="W2276" t="s">
        <v>75</v>
      </c>
      <c r="X2276" t="str">
        <f>"7191004"</f>
        <v>7191004</v>
      </c>
      <c r="Y2276" t="s">
        <v>1344</v>
      </c>
      <c r="Z2276" t="s">
        <v>1341</v>
      </c>
      <c r="AA2276" t="s">
        <v>1342</v>
      </c>
      <c r="AB2276" t="s">
        <v>1270</v>
      </c>
      <c r="AC2276" t="s">
        <v>51</v>
      </c>
      <c r="AD2276" t="s">
        <v>45</v>
      </c>
      <c r="AE2276" s="1">
        <v>28318</v>
      </c>
      <c r="AF2276">
        <v>1</v>
      </c>
      <c r="AG2276" t="s">
        <v>1342</v>
      </c>
      <c r="AH2276" s="36">
        <f t="shared" si="35"/>
        <v>42.052777777777777</v>
      </c>
      <c r="AI2276" s="41" t="s">
        <v>1779</v>
      </c>
    </row>
    <row r="2277" spans="1:37" x14ac:dyDescent="0.25">
      <c r="A2277" s="36">
        <v>99912275</v>
      </c>
      <c r="B2277" s="17" t="s">
        <v>56</v>
      </c>
      <c r="C2277" t="s">
        <v>58</v>
      </c>
      <c r="D2277" t="s">
        <v>59</v>
      </c>
      <c r="G2277" s="17" t="s">
        <v>35</v>
      </c>
      <c r="H2277" s="17">
        <v>1</v>
      </c>
      <c r="K2277" t="s">
        <v>300</v>
      </c>
      <c r="L2277" t="s">
        <v>301</v>
      </c>
      <c r="M2277" t="s">
        <v>131</v>
      </c>
      <c r="N2277">
        <v>30</v>
      </c>
      <c r="O2277" t="s">
        <v>40</v>
      </c>
      <c r="P2277" t="s">
        <v>40</v>
      </c>
      <c r="Q2277" t="s">
        <v>40</v>
      </c>
      <c r="R2277" t="s">
        <v>40</v>
      </c>
      <c r="S2277" t="s">
        <v>40</v>
      </c>
      <c r="V2277" t="s">
        <v>41</v>
      </c>
      <c r="W2277" t="s">
        <v>42</v>
      </c>
      <c r="X2277" t="str">
        <f>"0580457"</f>
        <v>0580457</v>
      </c>
      <c r="Y2277" t="s">
        <v>310</v>
      </c>
      <c r="Z2277" t="s">
        <v>300</v>
      </c>
      <c r="AA2277" t="s">
        <v>301</v>
      </c>
      <c r="AB2277" t="s">
        <v>131</v>
      </c>
      <c r="AC2277" t="s">
        <v>51</v>
      </c>
      <c r="AD2277" t="s">
        <v>45</v>
      </c>
      <c r="AE2277" s="1">
        <v>28317</v>
      </c>
      <c r="AF2277">
        <v>2</v>
      </c>
      <c r="AG2277" t="s">
        <v>301</v>
      </c>
      <c r="AH2277" s="36">
        <f t="shared" si="35"/>
        <v>42.055555555555557</v>
      </c>
      <c r="AI2277" s="41" t="s">
        <v>1779</v>
      </c>
    </row>
    <row r="2278" spans="1:37" x14ac:dyDescent="0.25">
      <c r="A2278" s="36">
        <v>99912276</v>
      </c>
      <c r="B2278" s="17" t="s">
        <v>56</v>
      </c>
      <c r="C2278" t="s">
        <v>61</v>
      </c>
      <c r="D2278" t="s">
        <v>62</v>
      </c>
      <c r="G2278" s="17" t="s">
        <v>35</v>
      </c>
      <c r="H2278" s="17">
        <v>1</v>
      </c>
      <c r="I2278">
        <v>0</v>
      </c>
      <c r="J2278" s="1">
        <v>43344</v>
      </c>
      <c r="K2278" t="s">
        <v>223</v>
      </c>
      <c r="L2278" t="s">
        <v>224</v>
      </c>
      <c r="M2278" t="s">
        <v>131</v>
      </c>
      <c r="N2278">
        <v>21</v>
      </c>
      <c r="O2278" t="s">
        <v>40</v>
      </c>
      <c r="P2278" t="s">
        <v>40</v>
      </c>
      <c r="Q2278" t="s">
        <v>40</v>
      </c>
      <c r="R2278" t="s">
        <v>40</v>
      </c>
      <c r="S2278" t="s">
        <v>40</v>
      </c>
      <c r="U2278" s="1">
        <v>43344</v>
      </c>
      <c r="V2278" t="s">
        <v>41</v>
      </c>
      <c r="W2278" t="s">
        <v>49</v>
      </c>
      <c r="X2278" t="str">
        <f>"0591901"</f>
        <v>0591901</v>
      </c>
      <c r="Y2278" t="s">
        <v>230</v>
      </c>
      <c r="Z2278" t="s">
        <v>223</v>
      </c>
      <c r="AA2278" t="s">
        <v>224</v>
      </c>
      <c r="AB2278" t="s">
        <v>131</v>
      </c>
      <c r="AC2278" t="s">
        <v>44</v>
      </c>
      <c r="AD2278" t="s">
        <v>45</v>
      </c>
      <c r="AE2278" s="1">
        <v>28314</v>
      </c>
      <c r="AF2278">
        <v>2</v>
      </c>
      <c r="AG2278" t="s">
        <v>224</v>
      </c>
      <c r="AH2278" s="36">
        <f t="shared" si="35"/>
        <v>42.06388888888889</v>
      </c>
      <c r="AI2278" s="41" t="s">
        <v>1779</v>
      </c>
    </row>
    <row r="2279" spans="1:37" x14ac:dyDescent="0.25">
      <c r="A2279" s="36">
        <v>99912277</v>
      </c>
      <c r="B2279" s="17" t="s">
        <v>32</v>
      </c>
      <c r="C2279" t="s">
        <v>46</v>
      </c>
      <c r="D2279" t="s">
        <v>47</v>
      </c>
      <c r="G2279" s="17" t="s">
        <v>35</v>
      </c>
      <c r="H2279" s="17">
        <v>1</v>
      </c>
      <c r="I2279" t="s">
        <v>348</v>
      </c>
      <c r="J2279" s="1">
        <v>43344</v>
      </c>
      <c r="K2279" t="s">
        <v>345</v>
      </c>
      <c r="L2279" t="s">
        <v>346</v>
      </c>
      <c r="M2279" t="s">
        <v>131</v>
      </c>
      <c r="N2279">
        <v>21</v>
      </c>
      <c r="O2279" t="s">
        <v>40</v>
      </c>
      <c r="S2279" t="s">
        <v>40</v>
      </c>
      <c r="U2279" s="1">
        <v>43344</v>
      </c>
      <c r="V2279" t="s">
        <v>41</v>
      </c>
      <c r="W2279" t="s">
        <v>49</v>
      </c>
      <c r="X2279" t="str">
        <f>"0581155"</f>
        <v>0581155</v>
      </c>
      <c r="Y2279" t="s">
        <v>349</v>
      </c>
      <c r="Z2279" t="s">
        <v>345</v>
      </c>
      <c r="AA2279" t="s">
        <v>346</v>
      </c>
      <c r="AB2279" t="s">
        <v>131</v>
      </c>
      <c r="AC2279" t="s">
        <v>51</v>
      </c>
      <c r="AD2279" t="s">
        <v>45</v>
      </c>
      <c r="AE2279" s="1">
        <v>28314</v>
      </c>
      <c r="AF2279">
        <v>2</v>
      </c>
      <c r="AG2279" t="s">
        <v>346</v>
      </c>
      <c r="AH2279" s="36">
        <f t="shared" si="35"/>
        <v>42.06388888888889</v>
      </c>
      <c r="AI2279" s="41" t="s">
        <v>1779</v>
      </c>
    </row>
    <row r="2280" spans="1:37" x14ac:dyDescent="0.25">
      <c r="A2280" s="36">
        <v>99912278</v>
      </c>
      <c r="B2280" s="17" t="s">
        <v>32</v>
      </c>
      <c r="C2280" t="s">
        <v>139</v>
      </c>
      <c r="D2280" t="s">
        <v>140</v>
      </c>
      <c r="G2280" s="17" t="s">
        <v>35</v>
      </c>
      <c r="H2280" s="17">
        <v>1</v>
      </c>
      <c r="K2280" t="s">
        <v>154</v>
      </c>
      <c r="L2280" t="s">
        <v>155</v>
      </c>
      <c r="M2280" t="s">
        <v>131</v>
      </c>
      <c r="N2280">
        <v>20</v>
      </c>
      <c r="O2280" t="s">
        <v>40</v>
      </c>
      <c r="P2280" t="s">
        <v>40</v>
      </c>
      <c r="Q2280" t="s">
        <v>40</v>
      </c>
      <c r="R2280" t="s">
        <v>40</v>
      </c>
      <c r="S2280" t="s">
        <v>40</v>
      </c>
      <c r="V2280" t="s">
        <v>41</v>
      </c>
      <c r="W2280" t="s">
        <v>75</v>
      </c>
      <c r="X2280" t="str">
        <f>"7700026"</f>
        <v>7700026</v>
      </c>
      <c r="Y2280" t="s">
        <v>397</v>
      </c>
      <c r="Z2280" t="s">
        <v>154</v>
      </c>
      <c r="AA2280" t="s">
        <v>155</v>
      </c>
      <c r="AB2280" t="s">
        <v>131</v>
      </c>
      <c r="AC2280" t="s">
        <v>51</v>
      </c>
      <c r="AD2280" t="s">
        <v>45</v>
      </c>
      <c r="AE2280" s="1">
        <v>28314</v>
      </c>
      <c r="AF2280">
        <v>1</v>
      </c>
      <c r="AG2280" t="s">
        <v>155</v>
      </c>
      <c r="AH2280" s="36">
        <f t="shared" si="35"/>
        <v>42.06388888888889</v>
      </c>
      <c r="AI2280" s="41" t="s">
        <v>1779</v>
      </c>
    </row>
    <row r="2281" spans="1:37" x14ac:dyDescent="0.25">
      <c r="A2281" s="36">
        <v>99912279</v>
      </c>
      <c r="B2281" s="17" t="s">
        <v>56</v>
      </c>
      <c r="C2281" t="s">
        <v>58</v>
      </c>
      <c r="D2281" t="s">
        <v>59</v>
      </c>
      <c r="G2281" s="17" t="s">
        <v>35</v>
      </c>
      <c r="H2281" s="17">
        <v>1</v>
      </c>
      <c r="I2281" t="s">
        <v>60</v>
      </c>
      <c r="J2281" s="1">
        <v>42989</v>
      </c>
      <c r="K2281" t="s">
        <v>37</v>
      </c>
      <c r="L2281" t="s">
        <v>38</v>
      </c>
      <c r="M2281" t="s">
        <v>39</v>
      </c>
      <c r="N2281">
        <v>13</v>
      </c>
      <c r="O2281" t="s">
        <v>40</v>
      </c>
      <c r="P2281" t="s">
        <v>40</v>
      </c>
      <c r="Q2281" t="s">
        <v>40</v>
      </c>
      <c r="R2281" t="s">
        <v>40</v>
      </c>
      <c r="S2281" t="s">
        <v>40</v>
      </c>
      <c r="U2281" s="1">
        <v>42989</v>
      </c>
      <c r="V2281" t="s">
        <v>41</v>
      </c>
      <c r="W2281" t="s">
        <v>42</v>
      </c>
      <c r="X2281" t="str">
        <f>"3780010"</f>
        <v>3780010</v>
      </c>
      <c r="Y2281" t="s">
        <v>43</v>
      </c>
      <c r="Z2281" t="s">
        <v>37</v>
      </c>
      <c r="AA2281" t="s">
        <v>38</v>
      </c>
      <c r="AB2281" t="s">
        <v>39</v>
      </c>
      <c r="AC2281" t="s">
        <v>44</v>
      </c>
      <c r="AD2281" t="s">
        <v>45</v>
      </c>
      <c r="AE2281" s="1">
        <v>28313</v>
      </c>
      <c r="AF2281">
        <v>2</v>
      </c>
      <c r="AG2281" t="s">
        <v>38</v>
      </c>
      <c r="AH2281" s="36">
        <f t="shared" si="35"/>
        <v>42.06666666666667</v>
      </c>
      <c r="AI2281" s="41" t="s">
        <v>1779</v>
      </c>
      <c r="AJ2281" s="37"/>
      <c r="AK2281" s="36"/>
    </row>
    <row r="2282" spans="1:37" x14ac:dyDescent="0.25">
      <c r="A2282" s="36">
        <v>99912280</v>
      </c>
      <c r="B2282" s="17" t="s">
        <v>32</v>
      </c>
      <c r="C2282" t="s">
        <v>64</v>
      </c>
      <c r="D2282" t="s">
        <v>65</v>
      </c>
      <c r="G2282" s="17" t="s">
        <v>35</v>
      </c>
      <c r="H2282" s="17">
        <v>1</v>
      </c>
      <c r="I2282">
        <v>2078634</v>
      </c>
      <c r="J2282" s="1">
        <v>43377</v>
      </c>
      <c r="K2282" t="s">
        <v>268</v>
      </c>
      <c r="L2282" t="s">
        <v>269</v>
      </c>
      <c r="M2282" t="s">
        <v>131</v>
      </c>
      <c r="N2282">
        <v>6</v>
      </c>
      <c r="O2282" t="s">
        <v>40</v>
      </c>
      <c r="P2282" t="s">
        <v>40</v>
      </c>
      <c r="Q2282" t="s">
        <v>40</v>
      </c>
      <c r="R2282" t="s">
        <v>40</v>
      </c>
      <c r="S2282" t="s">
        <v>40</v>
      </c>
      <c r="U2282" s="1">
        <v>43377</v>
      </c>
      <c r="V2282" t="s">
        <v>41</v>
      </c>
      <c r="W2282" t="s">
        <v>95</v>
      </c>
      <c r="X2282" t="str">
        <f>"7052169"</f>
        <v>7052169</v>
      </c>
      <c r="Y2282" t="s">
        <v>708</v>
      </c>
      <c r="Z2282" t="s">
        <v>268</v>
      </c>
      <c r="AA2282" t="s">
        <v>269</v>
      </c>
      <c r="AB2282" t="s">
        <v>131</v>
      </c>
      <c r="AC2282" t="s">
        <v>44</v>
      </c>
      <c r="AD2282" t="s">
        <v>45</v>
      </c>
      <c r="AE2282" s="1">
        <v>28309</v>
      </c>
      <c r="AF2282">
        <v>1</v>
      </c>
      <c r="AG2282" t="s">
        <v>269</v>
      </c>
      <c r="AH2282" s="36">
        <f t="shared" si="35"/>
        <v>42.077777777777776</v>
      </c>
      <c r="AI2282" s="41" t="s">
        <v>1779</v>
      </c>
    </row>
    <row r="2283" spans="1:37" x14ac:dyDescent="0.25">
      <c r="A2283" s="36">
        <v>99912281</v>
      </c>
      <c r="B2283" s="17" t="s">
        <v>32</v>
      </c>
      <c r="C2283" t="s">
        <v>90</v>
      </c>
      <c r="D2283" t="s">
        <v>91</v>
      </c>
      <c r="G2283" s="17" t="s">
        <v>35</v>
      </c>
      <c r="H2283" s="17">
        <v>1</v>
      </c>
      <c r="I2283" t="s">
        <v>1394</v>
      </c>
      <c r="J2283" s="1">
        <v>43344</v>
      </c>
      <c r="K2283" t="s">
        <v>1341</v>
      </c>
      <c r="L2283" t="s">
        <v>1342</v>
      </c>
      <c r="M2283" t="s">
        <v>1270</v>
      </c>
      <c r="N2283">
        <v>24</v>
      </c>
      <c r="O2283" t="s">
        <v>40</v>
      </c>
      <c r="S2283" t="s">
        <v>40</v>
      </c>
      <c r="U2283" s="1">
        <v>43344</v>
      </c>
      <c r="V2283" t="s">
        <v>41</v>
      </c>
      <c r="W2283" t="s">
        <v>95</v>
      </c>
      <c r="X2283" t="str">
        <f>"7191075"</f>
        <v>7191075</v>
      </c>
      <c r="Y2283" t="s">
        <v>1395</v>
      </c>
      <c r="Z2283" t="s">
        <v>1341</v>
      </c>
      <c r="AA2283" t="s">
        <v>1342</v>
      </c>
      <c r="AB2283" t="s">
        <v>1270</v>
      </c>
      <c r="AC2283" t="s">
        <v>51</v>
      </c>
      <c r="AD2283" t="s">
        <v>45</v>
      </c>
      <c r="AE2283" s="1">
        <v>28306</v>
      </c>
      <c r="AF2283">
        <v>1</v>
      </c>
      <c r="AG2283" t="s">
        <v>1342</v>
      </c>
      <c r="AH2283" s="36">
        <f t="shared" si="35"/>
        <v>42.086111111111109</v>
      </c>
      <c r="AI2283" s="41" t="s">
        <v>1779</v>
      </c>
    </row>
    <row r="2284" spans="1:37" x14ac:dyDescent="0.25">
      <c r="A2284" s="36">
        <v>99912282</v>
      </c>
      <c r="B2284" s="17" t="s">
        <v>56</v>
      </c>
      <c r="C2284" t="s">
        <v>143</v>
      </c>
      <c r="D2284" t="s">
        <v>144</v>
      </c>
      <c r="G2284" s="17" t="s">
        <v>48</v>
      </c>
      <c r="H2284" s="17">
        <v>1</v>
      </c>
      <c r="K2284" t="s">
        <v>877</v>
      </c>
      <c r="L2284" t="s">
        <v>878</v>
      </c>
      <c r="M2284" t="s">
        <v>131</v>
      </c>
      <c r="N2284">
        <v>21</v>
      </c>
      <c r="O2284" t="s">
        <v>40</v>
      </c>
      <c r="P2284" t="s">
        <v>40</v>
      </c>
      <c r="Q2284" t="s">
        <v>40</v>
      </c>
      <c r="R2284" t="s">
        <v>40</v>
      </c>
      <c r="S2284" t="s">
        <v>40</v>
      </c>
      <c r="V2284" t="s">
        <v>41</v>
      </c>
      <c r="W2284" t="s">
        <v>75</v>
      </c>
      <c r="X2284" t="str">
        <f>"7700025"</f>
        <v>7700025</v>
      </c>
      <c r="Y2284" t="s">
        <v>880</v>
      </c>
      <c r="Z2284" t="s">
        <v>877</v>
      </c>
      <c r="AA2284" t="s">
        <v>878</v>
      </c>
      <c r="AB2284" t="s">
        <v>131</v>
      </c>
      <c r="AC2284" t="s">
        <v>51</v>
      </c>
      <c r="AD2284" t="s">
        <v>45</v>
      </c>
      <c r="AE2284" s="1">
        <v>28300</v>
      </c>
      <c r="AF2284">
        <v>1</v>
      </c>
      <c r="AG2284" t="s">
        <v>878</v>
      </c>
      <c r="AH2284" s="36">
        <f t="shared" si="35"/>
        <v>42.102777777777774</v>
      </c>
      <c r="AI2284" s="41" t="s">
        <v>1779</v>
      </c>
    </row>
    <row r="2285" spans="1:37" x14ac:dyDescent="0.25">
      <c r="A2285" s="36">
        <v>99912283</v>
      </c>
      <c r="B2285" s="17" t="s">
        <v>32</v>
      </c>
      <c r="C2285" t="s">
        <v>46</v>
      </c>
      <c r="D2285" t="s">
        <v>47</v>
      </c>
      <c r="G2285" s="17" t="s">
        <v>48</v>
      </c>
      <c r="H2285" s="17">
        <v>1</v>
      </c>
      <c r="K2285" t="s">
        <v>345</v>
      </c>
      <c r="L2285" t="s">
        <v>346</v>
      </c>
      <c r="M2285" t="s">
        <v>131</v>
      </c>
      <c r="N2285">
        <v>23</v>
      </c>
      <c r="O2285" t="s">
        <v>40</v>
      </c>
      <c r="P2285" t="s">
        <v>40</v>
      </c>
      <c r="Q2285" t="s">
        <v>40</v>
      </c>
      <c r="R2285" t="s">
        <v>40</v>
      </c>
      <c r="S2285" t="s">
        <v>40</v>
      </c>
      <c r="V2285" t="s">
        <v>41</v>
      </c>
      <c r="W2285" t="s">
        <v>49</v>
      </c>
      <c r="X2285" t="str">
        <f>"0561021"</f>
        <v>0561021</v>
      </c>
      <c r="Y2285" t="s">
        <v>352</v>
      </c>
      <c r="Z2285" t="s">
        <v>345</v>
      </c>
      <c r="AA2285" t="s">
        <v>346</v>
      </c>
      <c r="AB2285" t="s">
        <v>131</v>
      </c>
      <c r="AC2285" t="s">
        <v>51</v>
      </c>
      <c r="AD2285" t="s">
        <v>45</v>
      </c>
      <c r="AE2285" s="1">
        <v>28299</v>
      </c>
      <c r="AF2285">
        <v>2</v>
      </c>
      <c r="AG2285" t="s">
        <v>346</v>
      </c>
      <c r="AH2285" s="36">
        <f t="shared" si="35"/>
        <v>42.105555555555554</v>
      </c>
      <c r="AI2285" s="41" t="s">
        <v>1779</v>
      </c>
    </row>
    <row r="2286" spans="1:37" x14ac:dyDescent="0.25">
      <c r="A2286" s="36">
        <v>99912284</v>
      </c>
      <c r="B2286" s="17" t="s">
        <v>56</v>
      </c>
      <c r="C2286" t="s">
        <v>52</v>
      </c>
      <c r="D2286" t="s">
        <v>53</v>
      </c>
      <c r="G2286" s="17" t="s">
        <v>48</v>
      </c>
      <c r="H2286" s="17">
        <v>1</v>
      </c>
      <c r="K2286" t="s">
        <v>162</v>
      </c>
      <c r="L2286" t="s">
        <v>158</v>
      </c>
      <c r="M2286" t="s">
        <v>131</v>
      </c>
      <c r="N2286">
        <v>20</v>
      </c>
      <c r="O2286" t="s">
        <v>40</v>
      </c>
      <c r="P2286" t="s">
        <v>40</v>
      </c>
      <c r="Q2286" t="s">
        <v>40</v>
      </c>
      <c r="R2286" t="s">
        <v>40</v>
      </c>
      <c r="S2286" t="s">
        <v>40</v>
      </c>
      <c r="V2286" t="s">
        <v>41</v>
      </c>
      <c r="W2286" t="s">
        <v>42</v>
      </c>
      <c r="X2286" t="str">
        <f>"0580325"</f>
        <v>0580325</v>
      </c>
      <c r="Y2286" t="s">
        <v>170</v>
      </c>
      <c r="Z2286" t="s">
        <v>162</v>
      </c>
      <c r="AA2286" t="s">
        <v>158</v>
      </c>
      <c r="AB2286" t="s">
        <v>131</v>
      </c>
      <c r="AC2286" t="s">
        <v>51</v>
      </c>
      <c r="AD2286" t="s">
        <v>45</v>
      </c>
      <c r="AE2286" s="1">
        <v>28297</v>
      </c>
      <c r="AF2286">
        <v>2</v>
      </c>
      <c r="AG2286" t="s">
        <v>158</v>
      </c>
      <c r="AH2286" s="36">
        <f t="shared" si="35"/>
        <v>42.111111111111114</v>
      </c>
      <c r="AI2286" s="41" t="s">
        <v>1779</v>
      </c>
    </row>
    <row r="2287" spans="1:37" x14ac:dyDescent="0.25">
      <c r="A2287" s="36">
        <v>99912285</v>
      </c>
      <c r="B2287" s="17" t="s">
        <v>32</v>
      </c>
      <c r="C2287" t="s">
        <v>64</v>
      </c>
      <c r="D2287" t="s">
        <v>65</v>
      </c>
      <c r="G2287" s="17" t="s">
        <v>35</v>
      </c>
      <c r="H2287" s="17">
        <v>1</v>
      </c>
      <c r="I2287">
        <v>1350</v>
      </c>
      <c r="J2287" s="1">
        <v>42732</v>
      </c>
      <c r="K2287" t="s">
        <v>223</v>
      </c>
      <c r="L2287" t="s">
        <v>224</v>
      </c>
      <c r="M2287" t="s">
        <v>131</v>
      </c>
      <c r="N2287">
        <v>21</v>
      </c>
      <c r="O2287" t="s">
        <v>40</v>
      </c>
      <c r="P2287" t="s">
        <v>40</v>
      </c>
      <c r="Q2287" t="s">
        <v>40</v>
      </c>
      <c r="R2287" t="s">
        <v>40</v>
      </c>
      <c r="S2287" t="s">
        <v>40</v>
      </c>
      <c r="U2287" s="1">
        <v>42734</v>
      </c>
      <c r="V2287" t="s">
        <v>41</v>
      </c>
      <c r="W2287" t="s">
        <v>49</v>
      </c>
      <c r="X2287" t="str">
        <f>"0591901"</f>
        <v>0591901</v>
      </c>
      <c r="Y2287" t="s">
        <v>230</v>
      </c>
      <c r="Z2287" t="s">
        <v>223</v>
      </c>
      <c r="AA2287" t="s">
        <v>224</v>
      </c>
      <c r="AB2287" t="s">
        <v>131</v>
      </c>
      <c r="AC2287" t="s">
        <v>51</v>
      </c>
      <c r="AD2287" t="s">
        <v>45</v>
      </c>
      <c r="AE2287" s="1">
        <v>28293</v>
      </c>
      <c r="AF2287">
        <v>2</v>
      </c>
      <c r="AG2287" t="s">
        <v>224</v>
      </c>
      <c r="AH2287" s="36">
        <f t="shared" si="35"/>
        <v>42.12222222222222</v>
      </c>
      <c r="AI2287" s="41" t="s">
        <v>1779</v>
      </c>
    </row>
    <row r="2288" spans="1:37" x14ac:dyDescent="0.25">
      <c r="A2288" s="36">
        <v>99912286</v>
      </c>
      <c r="B2288" s="17" t="s">
        <v>56</v>
      </c>
      <c r="C2288" t="s">
        <v>46</v>
      </c>
      <c r="D2288" t="s">
        <v>47</v>
      </c>
      <c r="G2288" s="17" t="s">
        <v>35</v>
      </c>
      <c r="H2288" s="17">
        <v>1</v>
      </c>
      <c r="I2288">
        <v>0</v>
      </c>
      <c r="J2288" s="1">
        <v>43344</v>
      </c>
      <c r="K2288" t="s">
        <v>223</v>
      </c>
      <c r="L2288" t="s">
        <v>224</v>
      </c>
      <c r="M2288" t="s">
        <v>131</v>
      </c>
      <c r="N2288">
        <v>21</v>
      </c>
      <c r="O2288" t="s">
        <v>40</v>
      </c>
      <c r="S2288" t="s">
        <v>40</v>
      </c>
      <c r="U2288" s="1">
        <v>43344</v>
      </c>
      <c r="V2288" t="s">
        <v>41</v>
      </c>
      <c r="W2288" t="s">
        <v>42</v>
      </c>
      <c r="X2288" t="str">
        <f>"0580206"</f>
        <v>0580206</v>
      </c>
      <c r="Y2288" t="s">
        <v>237</v>
      </c>
      <c r="Z2288" t="s">
        <v>223</v>
      </c>
      <c r="AA2288" t="s">
        <v>224</v>
      </c>
      <c r="AB2288" t="s">
        <v>131</v>
      </c>
      <c r="AC2288" t="s">
        <v>51</v>
      </c>
      <c r="AD2288" t="s">
        <v>45</v>
      </c>
      <c r="AE2288" s="1">
        <v>28293</v>
      </c>
      <c r="AF2288">
        <v>2</v>
      </c>
      <c r="AG2288" t="s">
        <v>224</v>
      </c>
      <c r="AH2288" s="36">
        <f t="shared" si="35"/>
        <v>42.12222222222222</v>
      </c>
      <c r="AI2288" s="41" t="s">
        <v>1779</v>
      </c>
    </row>
    <row r="2289" spans="1:35" x14ac:dyDescent="0.25">
      <c r="A2289" s="36">
        <v>99912287</v>
      </c>
      <c r="B2289" s="17" t="s">
        <v>56</v>
      </c>
      <c r="C2289" t="s">
        <v>52</v>
      </c>
      <c r="D2289" t="s">
        <v>53</v>
      </c>
      <c r="G2289" s="17" t="s">
        <v>35</v>
      </c>
      <c r="H2289" s="17">
        <v>1</v>
      </c>
      <c r="K2289" t="s">
        <v>223</v>
      </c>
      <c r="L2289" t="s">
        <v>224</v>
      </c>
      <c r="M2289" t="s">
        <v>131</v>
      </c>
      <c r="N2289">
        <v>23</v>
      </c>
      <c r="O2289" t="s">
        <v>40</v>
      </c>
      <c r="P2289" t="s">
        <v>40</v>
      </c>
      <c r="Q2289" t="s">
        <v>40</v>
      </c>
      <c r="R2289" t="s">
        <v>40</v>
      </c>
      <c r="S2289" t="s">
        <v>40</v>
      </c>
      <c r="V2289" t="s">
        <v>41</v>
      </c>
      <c r="W2289" t="s">
        <v>42</v>
      </c>
      <c r="X2289" t="str">
        <f>"0580345"</f>
        <v>0580345</v>
      </c>
      <c r="Y2289" t="s">
        <v>261</v>
      </c>
      <c r="Z2289" t="s">
        <v>223</v>
      </c>
      <c r="AA2289" t="s">
        <v>224</v>
      </c>
      <c r="AB2289" t="s">
        <v>131</v>
      </c>
      <c r="AC2289" t="s">
        <v>51</v>
      </c>
      <c r="AD2289" t="s">
        <v>45</v>
      </c>
      <c r="AE2289" s="1">
        <v>28292</v>
      </c>
      <c r="AF2289">
        <v>2</v>
      </c>
      <c r="AG2289" t="s">
        <v>224</v>
      </c>
      <c r="AH2289" s="36">
        <f t="shared" si="35"/>
        <v>42.125</v>
      </c>
      <c r="AI2289" s="41" t="s">
        <v>1779</v>
      </c>
    </row>
    <row r="2290" spans="1:35" x14ac:dyDescent="0.25">
      <c r="A2290" s="36">
        <v>99912288</v>
      </c>
      <c r="B2290" s="17" t="s">
        <v>32</v>
      </c>
      <c r="C2290" t="s">
        <v>52</v>
      </c>
      <c r="D2290" t="s">
        <v>53</v>
      </c>
      <c r="G2290" s="17" t="s">
        <v>35</v>
      </c>
      <c r="H2290" s="17">
        <v>1</v>
      </c>
      <c r="I2290" t="s">
        <v>955</v>
      </c>
      <c r="J2290" s="1">
        <v>43353</v>
      </c>
      <c r="K2290" t="s">
        <v>947</v>
      </c>
      <c r="L2290" t="s">
        <v>948</v>
      </c>
      <c r="M2290" t="s">
        <v>938</v>
      </c>
      <c r="N2290">
        <v>7</v>
      </c>
      <c r="O2290" t="s">
        <v>40</v>
      </c>
      <c r="S2290" t="s">
        <v>40</v>
      </c>
      <c r="U2290" s="1">
        <v>43353</v>
      </c>
      <c r="V2290" t="s">
        <v>41</v>
      </c>
      <c r="W2290" t="s">
        <v>953</v>
      </c>
      <c r="X2290" t="str">
        <f>"0610801"</f>
        <v>0610801</v>
      </c>
      <c r="Y2290" t="s">
        <v>954</v>
      </c>
      <c r="Z2290" t="s">
        <v>947</v>
      </c>
      <c r="AA2290" t="s">
        <v>948</v>
      </c>
      <c r="AB2290" t="s">
        <v>938</v>
      </c>
      <c r="AC2290" t="s">
        <v>44</v>
      </c>
      <c r="AD2290" t="s">
        <v>45</v>
      </c>
      <c r="AE2290" s="1">
        <v>28292</v>
      </c>
      <c r="AF2290">
        <v>2</v>
      </c>
      <c r="AG2290" t="s">
        <v>948</v>
      </c>
      <c r="AH2290" s="36">
        <f t="shared" si="35"/>
        <v>42.125</v>
      </c>
      <c r="AI2290" s="41" t="s">
        <v>1779</v>
      </c>
    </row>
    <row r="2291" spans="1:35" x14ac:dyDescent="0.25">
      <c r="A2291" s="36">
        <v>99912289</v>
      </c>
      <c r="B2291" s="17" t="s">
        <v>32</v>
      </c>
      <c r="C2291" t="s">
        <v>46</v>
      </c>
      <c r="D2291" t="s">
        <v>47</v>
      </c>
      <c r="G2291" s="17" t="s">
        <v>35</v>
      </c>
      <c r="H2291" s="17">
        <v>1</v>
      </c>
      <c r="K2291" t="s">
        <v>1051</v>
      </c>
      <c r="L2291" t="s">
        <v>1052</v>
      </c>
      <c r="M2291" t="s">
        <v>1053</v>
      </c>
      <c r="N2291">
        <v>23</v>
      </c>
      <c r="O2291" t="s">
        <v>40</v>
      </c>
      <c r="P2291" t="s">
        <v>40</v>
      </c>
      <c r="Q2291" t="s">
        <v>40</v>
      </c>
      <c r="R2291" t="s">
        <v>40</v>
      </c>
      <c r="S2291" t="s">
        <v>40</v>
      </c>
      <c r="V2291" t="s">
        <v>41</v>
      </c>
      <c r="W2291" t="s">
        <v>42</v>
      </c>
      <c r="X2291" t="str">
        <f>"2061003"</f>
        <v>2061003</v>
      </c>
      <c r="Y2291" t="s">
        <v>1060</v>
      </c>
      <c r="Z2291" t="s">
        <v>1051</v>
      </c>
      <c r="AA2291" t="s">
        <v>1052</v>
      </c>
      <c r="AB2291" t="s">
        <v>1053</v>
      </c>
      <c r="AC2291" t="s">
        <v>51</v>
      </c>
      <c r="AD2291" t="s">
        <v>45</v>
      </c>
      <c r="AE2291" s="1">
        <v>28291</v>
      </c>
      <c r="AF2291">
        <v>2</v>
      </c>
      <c r="AG2291" t="s">
        <v>1052</v>
      </c>
      <c r="AH2291" s="36">
        <f t="shared" si="35"/>
        <v>42.12777777777778</v>
      </c>
      <c r="AI2291" s="41" t="s">
        <v>1779</v>
      </c>
    </row>
    <row r="2292" spans="1:35" x14ac:dyDescent="0.25">
      <c r="A2292" s="36">
        <v>99912290</v>
      </c>
      <c r="B2292" s="17" t="s">
        <v>56</v>
      </c>
      <c r="C2292" t="s">
        <v>79</v>
      </c>
      <c r="D2292" t="s">
        <v>80</v>
      </c>
      <c r="G2292" s="17" t="s">
        <v>48</v>
      </c>
      <c r="H2292" s="17">
        <v>1</v>
      </c>
      <c r="K2292" t="s">
        <v>162</v>
      </c>
      <c r="L2292" t="s">
        <v>158</v>
      </c>
      <c r="M2292" t="s">
        <v>131</v>
      </c>
      <c r="N2292">
        <v>19</v>
      </c>
      <c r="O2292" t="s">
        <v>40</v>
      </c>
      <c r="P2292" t="s">
        <v>40</v>
      </c>
      <c r="Q2292" t="s">
        <v>40</v>
      </c>
      <c r="R2292" t="s">
        <v>40</v>
      </c>
      <c r="S2292" t="s">
        <v>40</v>
      </c>
      <c r="V2292" t="s">
        <v>41</v>
      </c>
      <c r="W2292" t="s">
        <v>49</v>
      </c>
      <c r="X2292" t="str">
        <f>"0581325"</f>
        <v>0581325</v>
      </c>
      <c r="Y2292" t="s">
        <v>169</v>
      </c>
      <c r="Z2292" t="s">
        <v>162</v>
      </c>
      <c r="AA2292" t="s">
        <v>158</v>
      </c>
      <c r="AB2292" t="s">
        <v>131</v>
      </c>
      <c r="AC2292" t="s">
        <v>51</v>
      </c>
      <c r="AD2292" t="s">
        <v>45</v>
      </c>
      <c r="AE2292" s="1">
        <v>28280</v>
      </c>
      <c r="AF2292">
        <v>2</v>
      </c>
      <c r="AG2292" t="s">
        <v>158</v>
      </c>
      <c r="AH2292" s="36">
        <f t="shared" si="35"/>
        <v>42.158333333333331</v>
      </c>
      <c r="AI2292" s="41" t="s">
        <v>1779</v>
      </c>
    </row>
    <row r="2293" spans="1:35" x14ac:dyDescent="0.25">
      <c r="A2293" s="36">
        <v>99912291</v>
      </c>
      <c r="B2293" s="17" t="s">
        <v>32</v>
      </c>
      <c r="C2293" t="s">
        <v>111</v>
      </c>
      <c r="D2293" t="s">
        <v>112</v>
      </c>
      <c r="G2293" s="17" t="s">
        <v>48</v>
      </c>
      <c r="H2293" s="17">
        <v>1</v>
      </c>
      <c r="K2293" t="s">
        <v>407</v>
      </c>
      <c r="L2293" t="s">
        <v>409</v>
      </c>
      <c r="M2293" t="s">
        <v>131</v>
      </c>
      <c r="N2293">
        <v>25</v>
      </c>
      <c r="O2293" t="s">
        <v>40</v>
      </c>
      <c r="P2293" t="s">
        <v>40</v>
      </c>
      <c r="Q2293" t="s">
        <v>40</v>
      </c>
      <c r="S2293" t="s">
        <v>40</v>
      </c>
      <c r="V2293" t="s">
        <v>41</v>
      </c>
      <c r="W2293" t="s">
        <v>75</v>
      </c>
      <c r="X2293" t="str">
        <f>"7053018"</f>
        <v>7053018</v>
      </c>
      <c r="Y2293" t="s">
        <v>408</v>
      </c>
      <c r="Z2293" t="s">
        <v>407</v>
      </c>
      <c r="AA2293" t="s">
        <v>409</v>
      </c>
      <c r="AB2293" t="s">
        <v>131</v>
      </c>
      <c r="AC2293" t="s">
        <v>51</v>
      </c>
      <c r="AD2293" t="s">
        <v>45</v>
      </c>
      <c r="AE2293" s="1">
        <v>28280</v>
      </c>
      <c r="AF2293">
        <v>1</v>
      </c>
      <c r="AG2293" t="s">
        <v>409</v>
      </c>
      <c r="AH2293" s="36">
        <f t="shared" si="35"/>
        <v>42.158333333333331</v>
      </c>
      <c r="AI2293" s="41" t="s">
        <v>1779</v>
      </c>
    </row>
    <row r="2294" spans="1:35" x14ac:dyDescent="0.25">
      <c r="A2294" s="36">
        <v>99912292</v>
      </c>
      <c r="B2294" s="17" t="s">
        <v>32</v>
      </c>
      <c r="C2294" t="s">
        <v>111</v>
      </c>
      <c r="D2294" t="s">
        <v>112</v>
      </c>
      <c r="G2294" s="17" t="s">
        <v>35</v>
      </c>
      <c r="H2294" s="17">
        <v>8</v>
      </c>
      <c r="I2294" t="s">
        <v>1230</v>
      </c>
      <c r="J2294" s="1">
        <v>43344</v>
      </c>
      <c r="K2294" t="s">
        <v>1221</v>
      </c>
      <c r="L2294" t="s">
        <v>1222</v>
      </c>
      <c r="M2294" t="s">
        <v>1130</v>
      </c>
      <c r="N2294">
        <v>22</v>
      </c>
      <c r="O2294" t="s">
        <v>40</v>
      </c>
      <c r="P2294" t="s">
        <v>40</v>
      </c>
      <c r="Q2294" t="s">
        <v>40</v>
      </c>
      <c r="R2294" t="s">
        <v>40</v>
      </c>
      <c r="S2294" t="s">
        <v>40</v>
      </c>
      <c r="U2294" s="1">
        <v>43344</v>
      </c>
      <c r="V2294" t="s">
        <v>41</v>
      </c>
      <c r="W2294" t="s">
        <v>75</v>
      </c>
      <c r="X2294" t="str">
        <f>"7351000"</f>
        <v>7351000</v>
      </c>
      <c r="Y2294" t="s">
        <v>1223</v>
      </c>
      <c r="Z2294" t="s">
        <v>1221</v>
      </c>
      <c r="AA2294" t="s">
        <v>1222</v>
      </c>
      <c r="AB2294" t="s">
        <v>1130</v>
      </c>
      <c r="AC2294" t="s">
        <v>51</v>
      </c>
      <c r="AD2294" t="s">
        <v>45</v>
      </c>
      <c r="AE2294" s="1">
        <v>28280</v>
      </c>
      <c r="AF2294">
        <v>1</v>
      </c>
      <c r="AG2294" t="s">
        <v>1222</v>
      </c>
      <c r="AH2294" s="36">
        <f t="shared" si="35"/>
        <v>42.158333333333331</v>
      </c>
      <c r="AI2294" s="41" t="s">
        <v>1779</v>
      </c>
    </row>
    <row r="2295" spans="1:35" x14ac:dyDescent="0.25">
      <c r="A2295" s="36">
        <v>99912293</v>
      </c>
      <c r="B2295" s="17" t="s">
        <v>56</v>
      </c>
      <c r="C2295" t="s">
        <v>52</v>
      </c>
      <c r="D2295" t="s">
        <v>53</v>
      </c>
      <c r="G2295" s="17" t="s">
        <v>48</v>
      </c>
      <c r="H2295" s="17">
        <v>1</v>
      </c>
      <c r="K2295" t="s">
        <v>300</v>
      </c>
      <c r="L2295" t="s">
        <v>301</v>
      </c>
      <c r="M2295" t="s">
        <v>131</v>
      </c>
      <c r="N2295">
        <v>17</v>
      </c>
      <c r="O2295" t="s">
        <v>40</v>
      </c>
      <c r="P2295" t="s">
        <v>40</v>
      </c>
      <c r="Q2295" t="s">
        <v>40</v>
      </c>
      <c r="R2295" t="s">
        <v>40</v>
      </c>
      <c r="S2295" t="s">
        <v>40</v>
      </c>
      <c r="V2295" t="s">
        <v>41</v>
      </c>
      <c r="W2295" t="s">
        <v>49</v>
      </c>
      <c r="X2295" t="str">
        <f>"0560013"</f>
        <v>0560013</v>
      </c>
      <c r="Y2295" t="s">
        <v>324</v>
      </c>
      <c r="Z2295" t="s">
        <v>300</v>
      </c>
      <c r="AA2295" t="s">
        <v>301</v>
      </c>
      <c r="AB2295" t="s">
        <v>131</v>
      </c>
      <c r="AC2295" t="s">
        <v>51</v>
      </c>
      <c r="AD2295" t="s">
        <v>45</v>
      </c>
      <c r="AE2295" s="1">
        <v>28278</v>
      </c>
      <c r="AF2295">
        <v>2</v>
      </c>
      <c r="AG2295" t="s">
        <v>301</v>
      </c>
      <c r="AH2295" s="36">
        <f t="shared" si="35"/>
        <v>42.163888888888891</v>
      </c>
      <c r="AI2295" s="41" t="s">
        <v>1779</v>
      </c>
    </row>
    <row r="2296" spans="1:35" x14ac:dyDescent="0.25">
      <c r="A2296" s="36">
        <v>99912294</v>
      </c>
      <c r="B2296" s="17" t="s">
        <v>32</v>
      </c>
      <c r="C2296" t="s">
        <v>68</v>
      </c>
      <c r="D2296" t="s">
        <v>69</v>
      </c>
      <c r="G2296" s="17" t="s">
        <v>48</v>
      </c>
      <c r="H2296" s="17">
        <v>1</v>
      </c>
      <c r="K2296" t="s">
        <v>1051</v>
      </c>
      <c r="L2296" t="s">
        <v>1052</v>
      </c>
      <c r="M2296" t="s">
        <v>1053</v>
      </c>
      <c r="N2296">
        <v>10</v>
      </c>
      <c r="O2296" t="s">
        <v>40</v>
      </c>
      <c r="P2296" t="s">
        <v>40</v>
      </c>
      <c r="Q2296" t="s">
        <v>40</v>
      </c>
      <c r="S2296" t="s">
        <v>40</v>
      </c>
      <c r="V2296" t="s">
        <v>41</v>
      </c>
      <c r="W2296" t="s">
        <v>42</v>
      </c>
      <c r="X2296" t="str">
        <f>"2061004"</f>
        <v>2061004</v>
      </c>
      <c r="Y2296" t="s">
        <v>1055</v>
      </c>
      <c r="Z2296" t="s">
        <v>1051</v>
      </c>
      <c r="AA2296" t="s">
        <v>1052</v>
      </c>
      <c r="AB2296" t="s">
        <v>1053</v>
      </c>
      <c r="AC2296" t="s">
        <v>51</v>
      </c>
      <c r="AD2296" t="s">
        <v>45</v>
      </c>
      <c r="AE2296" s="1">
        <v>28277</v>
      </c>
      <c r="AF2296">
        <v>2</v>
      </c>
      <c r="AG2296" t="s">
        <v>1052</v>
      </c>
      <c r="AH2296" s="36">
        <f t="shared" si="35"/>
        <v>42.166666666666664</v>
      </c>
      <c r="AI2296" s="41" t="s">
        <v>1779</v>
      </c>
    </row>
    <row r="2297" spans="1:35" x14ac:dyDescent="0.25">
      <c r="A2297" s="36">
        <v>99912295</v>
      </c>
      <c r="B2297" s="17" t="s">
        <v>32</v>
      </c>
      <c r="C2297" t="s">
        <v>61</v>
      </c>
      <c r="D2297" t="s">
        <v>62</v>
      </c>
      <c r="G2297" s="17" t="s">
        <v>48</v>
      </c>
      <c r="H2297" s="17">
        <v>1</v>
      </c>
      <c r="K2297" t="s">
        <v>223</v>
      </c>
      <c r="L2297" t="s">
        <v>224</v>
      </c>
      <c r="M2297" t="s">
        <v>131</v>
      </c>
      <c r="N2297">
        <v>23</v>
      </c>
      <c r="O2297" t="s">
        <v>40</v>
      </c>
      <c r="P2297" t="s">
        <v>40</v>
      </c>
      <c r="Q2297" t="s">
        <v>40</v>
      </c>
      <c r="R2297" t="s">
        <v>40</v>
      </c>
      <c r="S2297" t="s">
        <v>40</v>
      </c>
      <c r="V2297" t="s">
        <v>41</v>
      </c>
      <c r="W2297" t="s">
        <v>42</v>
      </c>
      <c r="X2297" t="str">
        <f>"0580395"</f>
        <v>0580395</v>
      </c>
      <c r="Y2297" t="s">
        <v>265</v>
      </c>
      <c r="Z2297" t="s">
        <v>223</v>
      </c>
      <c r="AA2297" t="s">
        <v>224</v>
      </c>
      <c r="AB2297" t="s">
        <v>131</v>
      </c>
      <c r="AC2297" t="s">
        <v>51</v>
      </c>
      <c r="AD2297" t="s">
        <v>45</v>
      </c>
      <c r="AE2297" s="1">
        <v>28276</v>
      </c>
      <c r="AF2297">
        <v>2</v>
      </c>
      <c r="AG2297" t="s">
        <v>224</v>
      </c>
      <c r="AH2297" s="36">
        <f t="shared" si="35"/>
        <v>42.169444444444444</v>
      </c>
      <c r="AI2297" s="41" t="s">
        <v>1779</v>
      </c>
    </row>
    <row r="2298" spans="1:35" x14ac:dyDescent="0.25">
      <c r="A2298" s="36">
        <v>99912296</v>
      </c>
      <c r="B2298" s="17" t="s">
        <v>56</v>
      </c>
      <c r="C2298" t="s">
        <v>68</v>
      </c>
      <c r="D2298" t="s">
        <v>69</v>
      </c>
      <c r="G2298" s="17" t="s">
        <v>35</v>
      </c>
      <c r="H2298" s="17">
        <v>3</v>
      </c>
      <c r="I2298">
        <v>15986</v>
      </c>
      <c r="J2298" s="1">
        <v>43354</v>
      </c>
      <c r="K2298" t="s">
        <v>1268</v>
      </c>
      <c r="L2298" t="s">
        <v>1269</v>
      </c>
      <c r="M2298" t="s">
        <v>1270</v>
      </c>
      <c r="N2298">
        <v>23</v>
      </c>
      <c r="O2298" t="s">
        <v>40</v>
      </c>
      <c r="P2298" t="s">
        <v>40</v>
      </c>
      <c r="Q2298" t="s">
        <v>40</v>
      </c>
      <c r="R2298" t="s">
        <v>40</v>
      </c>
      <c r="S2298" t="s">
        <v>40</v>
      </c>
      <c r="U2298" s="1">
        <v>43354</v>
      </c>
      <c r="V2298" t="s">
        <v>41</v>
      </c>
      <c r="W2298" t="s">
        <v>42</v>
      </c>
      <c r="X2298" t="str">
        <f>"1980055"</f>
        <v>1980055</v>
      </c>
      <c r="Y2298" t="s">
        <v>1285</v>
      </c>
      <c r="Z2298" t="s">
        <v>1268</v>
      </c>
      <c r="AA2298" t="s">
        <v>1269</v>
      </c>
      <c r="AB2298" t="s">
        <v>1270</v>
      </c>
      <c r="AC2298" t="s">
        <v>44</v>
      </c>
      <c r="AD2298" t="s">
        <v>45</v>
      </c>
      <c r="AE2298" s="1">
        <v>28274</v>
      </c>
      <c r="AF2298">
        <v>2</v>
      </c>
      <c r="AG2298" t="s">
        <v>1269</v>
      </c>
      <c r="AH2298" s="36">
        <f t="shared" si="35"/>
        <v>42.174999999999997</v>
      </c>
      <c r="AI2298" s="41" t="s">
        <v>1779</v>
      </c>
    </row>
    <row r="2299" spans="1:35" x14ac:dyDescent="0.25">
      <c r="A2299" s="36">
        <v>99912297</v>
      </c>
      <c r="B2299" s="17" t="s">
        <v>56</v>
      </c>
      <c r="C2299" t="s">
        <v>68</v>
      </c>
      <c r="D2299" t="s">
        <v>69</v>
      </c>
      <c r="G2299" s="17" t="s">
        <v>48</v>
      </c>
      <c r="H2299" s="17">
        <v>1</v>
      </c>
      <c r="K2299" t="s">
        <v>223</v>
      </c>
      <c r="L2299" t="s">
        <v>224</v>
      </c>
      <c r="M2299" t="s">
        <v>131</v>
      </c>
      <c r="N2299">
        <v>21</v>
      </c>
      <c r="O2299" t="s">
        <v>40</v>
      </c>
      <c r="P2299" t="s">
        <v>40</v>
      </c>
      <c r="Q2299" t="s">
        <v>40</v>
      </c>
      <c r="R2299" t="s">
        <v>40</v>
      </c>
      <c r="S2299" t="s">
        <v>40</v>
      </c>
      <c r="V2299" t="s">
        <v>41</v>
      </c>
      <c r="W2299" t="s">
        <v>42</v>
      </c>
      <c r="X2299" t="str">
        <f>"0580200"</f>
        <v>0580200</v>
      </c>
      <c r="Y2299" t="s">
        <v>245</v>
      </c>
      <c r="Z2299" t="s">
        <v>223</v>
      </c>
      <c r="AA2299" t="s">
        <v>224</v>
      </c>
      <c r="AB2299" t="s">
        <v>131</v>
      </c>
      <c r="AC2299" t="s">
        <v>51</v>
      </c>
      <c r="AD2299" t="s">
        <v>45</v>
      </c>
      <c r="AE2299" s="1">
        <v>28273</v>
      </c>
      <c r="AF2299">
        <v>2</v>
      </c>
      <c r="AG2299" t="s">
        <v>224</v>
      </c>
      <c r="AH2299" s="36">
        <f t="shared" si="35"/>
        <v>42.177777777777777</v>
      </c>
      <c r="AI2299" s="41" t="s">
        <v>1779</v>
      </c>
    </row>
    <row r="2300" spans="1:35" x14ac:dyDescent="0.25">
      <c r="A2300" s="36">
        <v>99912298</v>
      </c>
      <c r="B2300" s="17" t="s">
        <v>32</v>
      </c>
      <c r="C2300" t="s">
        <v>145</v>
      </c>
      <c r="D2300" t="s">
        <v>146</v>
      </c>
      <c r="G2300" s="17" t="s">
        <v>48</v>
      </c>
      <c r="H2300" s="17">
        <v>1</v>
      </c>
      <c r="K2300" t="s">
        <v>157</v>
      </c>
      <c r="L2300" t="s">
        <v>158</v>
      </c>
      <c r="M2300" t="s">
        <v>131</v>
      </c>
      <c r="N2300">
        <v>20</v>
      </c>
      <c r="O2300" t="s">
        <v>40</v>
      </c>
      <c r="P2300" t="s">
        <v>40</v>
      </c>
      <c r="Q2300" t="s">
        <v>40</v>
      </c>
      <c r="S2300" t="s">
        <v>40</v>
      </c>
      <c r="V2300" t="s">
        <v>41</v>
      </c>
      <c r="W2300" t="s">
        <v>49</v>
      </c>
      <c r="X2300" t="str">
        <f>"0560019"</f>
        <v>0560019</v>
      </c>
      <c r="Y2300" t="s">
        <v>166</v>
      </c>
      <c r="Z2300" t="s">
        <v>157</v>
      </c>
      <c r="AA2300" t="s">
        <v>158</v>
      </c>
      <c r="AB2300" t="s">
        <v>131</v>
      </c>
      <c r="AC2300" t="s">
        <v>51</v>
      </c>
      <c r="AD2300" t="s">
        <v>45</v>
      </c>
      <c r="AE2300" s="1">
        <v>28270</v>
      </c>
      <c r="AF2300">
        <v>2</v>
      </c>
      <c r="AG2300" t="s">
        <v>158</v>
      </c>
      <c r="AH2300" s="36">
        <f t="shared" si="35"/>
        <v>42.18611111111111</v>
      </c>
      <c r="AI2300" s="41" t="s">
        <v>1779</v>
      </c>
    </row>
    <row r="2301" spans="1:35" x14ac:dyDescent="0.25">
      <c r="A2301" s="36">
        <v>99912299</v>
      </c>
      <c r="B2301" s="17" t="s">
        <v>32</v>
      </c>
      <c r="C2301" t="s">
        <v>46</v>
      </c>
      <c r="D2301" t="s">
        <v>47</v>
      </c>
      <c r="G2301" s="17" t="s">
        <v>35</v>
      </c>
      <c r="H2301" s="17">
        <v>1</v>
      </c>
      <c r="K2301" t="s">
        <v>223</v>
      </c>
      <c r="L2301" t="s">
        <v>224</v>
      </c>
      <c r="M2301" t="s">
        <v>131</v>
      </c>
      <c r="N2301">
        <v>18</v>
      </c>
      <c r="O2301" t="s">
        <v>40</v>
      </c>
      <c r="P2301" t="s">
        <v>40</v>
      </c>
      <c r="Q2301" t="s">
        <v>40</v>
      </c>
      <c r="R2301" t="s">
        <v>40</v>
      </c>
      <c r="S2301" t="s">
        <v>40</v>
      </c>
      <c r="V2301" t="s">
        <v>41</v>
      </c>
      <c r="W2301" t="s">
        <v>49</v>
      </c>
      <c r="X2301" t="str">
        <f>"0591901"</f>
        <v>0591901</v>
      </c>
      <c r="Y2301" t="s">
        <v>230</v>
      </c>
      <c r="Z2301" t="s">
        <v>223</v>
      </c>
      <c r="AA2301" t="s">
        <v>224</v>
      </c>
      <c r="AB2301" t="s">
        <v>131</v>
      </c>
      <c r="AC2301" t="s">
        <v>51</v>
      </c>
      <c r="AD2301" t="s">
        <v>45</v>
      </c>
      <c r="AE2301" s="1">
        <v>28268</v>
      </c>
      <c r="AF2301">
        <v>2</v>
      </c>
      <c r="AG2301" t="s">
        <v>224</v>
      </c>
      <c r="AH2301" s="36">
        <f t="shared" si="35"/>
        <v>42.19166666666667</v>
      </c>
      <c r="AI2301" s="41" t="s">
        <v>1779</v>
      </c>
    </row>
    <row r="2302" spans="1:35" x14ac:dyDescent="0.25">
      <c r="A2302" s="36">
        <v>99912300</v>
      </c>
      <c r="B2302" s="17" t="s">
        <v>32</v>
      </c>
      <c r="C2302" t="s">
        <v>139</v>
      </c>
      <c r="D2302" t="s">
        <v>140</v>
      </c>
      <c r="G2302" s="17" t="s">
        <v>35</v>
      </c>
      <c r="H2302" s="17">
        <v>1</v>
      </c>
      <c r="I2302">
        <v>3393</v>
      </c>
      <c r="J2302" s="1">
        <v>43344</v>
      </c>
      <c r="K2302" t="s">
        <v>380</v>
      </c>
      <c r="L2302" t="s">
        <v>381</v>
      </c>
      <c r="M2302" t="s">
        <v>131</v>
      </c>
      <c r="N2302">
        <v>17</v>
      </c>
      <c r="O2302" t="s">
        <v>40</v>
      </c>
      <c r="S2302" t="s">
        <v>40</v>
      </c>
      <c r="U2302" s="1">
        <v>43344</v>
      </c>
      <c r="V2302" t="s">
        <v>41</v>
      </c>
      <c r="W2302" t="s">
        <v>49</v>
      </c>
      <c r="X2302" t="str">
        <f>"0560028"</f>
        <v>0560028</v>
      </c>
      <c r="Y2302" t="s">
        <v>384</v>
      </c>
      <c r="Z2302" t="s">
        <v>380</v>
      </c>
      <c r="AA2302" t="s">
        <v>381</v>
      </c>
      <c r="AB2302" t="s">
        <v>131</v>
      </c>
      <c r="AC2302" t="s">
        <v>51</v>
      </c>
      <c r="AD2302" t="s">
        <v>45</v>
      </c>
      <c r="AE2302" s="1">
        <v>28265</v>
      </c>
      <c r="AF2302">
        <v>2</v>
      </c>
      <c r="AG2302" t="s">
        <v>381</v>
      </c>
      <c r="AH2302" s="36">
        <f t="shared" si="35"/>
        <v>42.2</v>
      </c>
      <c r="AI2302" s="41" t="s">
        <v>1779</v>
      </c>
    </row>
    <row r="2303" spans="1:35" x14ac:dyDescent="0.25">
      <c r="A2303" s="36">
        <v>99912301</v>
      </c>
      <c r="B2303" s="17" t="s">
        <v>56</v>
      </c>
      <c r="C2303" t="s">
        <v>151</v>
      </c>
      <c r="D2303" t="s">
        <v>152</v>
      </c>
      <c r="G2303" s="17" t="s">
        <v>35</v>
      </c>
      <c r="H2303" s="17">
        <v>2</v>
      </c>
      <c r="I2303" s="1">
        <v>42629</v>
      </c>
      <c r="J2303" s="1">
        <v>43344</v>
      </c>
      <c r="K2303" t="s">
        <v>129</v>
      </c>
      <c r="L2303" t="s">
        <v>130</v>
      </c>
      <c r="M2303" t="s">
        <v>131</v>
      </c>
      <c r="N2303">
        <v>9</v>
      </c>
      <c r="O2303" t="s">
        <v>40</v>
      </c>
      <c r="P2303" t="s">
        <v>40</v>
      </c>
      <c r="Q2303" t="s">
        <v>40</v>
      </c>
      <c r="R2303" t="s">
        <v>40</v>
      </c>
      <c r="S2303" t="s">
        <v>40</v>
      </c>
      <c r="U2303" s="1">
        <v>43344</v>
      </c>
      <c r="V2303" t="s">
        <v>41</v>
      </c>
      <c r="W2303" t="s">
        <v>49</v>
      </c>
      <c r="X2303" t="str">
        <f>"0580150"</f>
        <v>0580150</v>
      </c>
      <c r="Y2303" t="s">
        <v>134</v>
      </c>
      <c r="Z2303" t="s">
        <v>129</v>
      </c>
      <c r="AA2303" t="s">
        <v>130</v>
      </c>
      <c r="AB2303" t="s">
        <v>131</v>
      </c>
      <c r="AC2303" t="s">
        <v>44</v>
      </c>
      <c r="AD2303" t="s">
        <v>45</v>
      </c>
      <c r="AE2303" s="1">
        <v>28264</v>
      </c>
      <c r="AF2303">
        <v>2</v>
      </c>
      <c r="AG2303" t="s">
        <v>130</v>
      </c>
      <c r="AH2303" s="36">
        <f t="shared" si="35"/>
        <v>42.202777777777776</v>
      </c>
      <c r="AI2303" s="41" t="s">
        <v>1779</v>
      </c>
    </row>
    <row r="2304" spans="1:35" x14ac:dyDescent="0.25">
      <c r="A2304" s="36">
        <v>99912302</v>
      </c>
      <c r="B2304" s="17" t="s">
        <v>32</v>
      </c>
      <c r="C2304" t="s">
        <v>111</v>
      </c>
      <c r="D2304" t="s">
        <v>112</v>
      </c>
      <c r="G2304" s="17" t="s">
        <v>48</v>
      </c>
      <c r="H2304" s="17">
        <v>1</v>
      </c>
      <c r="K2304" t="s">
        <v>407</v>
      </c>
      <c r="L2304" t="s">
        <v>409</v>
      </c>
      <c r="M2304" t="s">
        <v>131</v>
      </c>
      <c r="N2304">
        <v>25</v>
      </c>
      <c r="O2304" t="s">
        <v>40</v>
      </c>
      <c r="P2304" t="s">
        <v>40</v>
      </c>
      <c r="Q2304" t="s">
        <v>40</v>
      </c>
      <c r="S2304" t="s">
        <v>40</v>
      </c>
      <c r="V2304" t="s">
        <v>41</v>
      </c>
      <c r="W2304" t="s">
        <v>75</v>
      </c>
      <c r="X2304" t="str">
        <f>"7053018"</f>
        <v>7053018</v>
      </c>
      <c r="Y2304" t="s">
        <v>408</v>
      </c>
      <c r="Z2304" t="s">
        <v>407</v>
      </c>
      <c r="AA2304" t="s">
        <v>409</v>
      </c>
      <c r="AB2304" t="s">
        <v>131</v>
      </c>
      <c r="AC2304" t="s">
        <v>51</v>
      </c>
      <c r="AD2304" t="s">
        <v>45</v>
      </c>
      <c r="AE2304" s="1">
        <v>28263</v>
      </c>
      <c r="AF2304">
        <v>1</v>
      </c>
      <c r="AG2304" t="s">
        <v>409</v>
      </c>
      <c r="AH2304" s="36">
        <f t="shared" si="35"/>
        <v>42.205555555555556</v>
      </c>
      <c r="AI2304" s="41" t="s">
        <v>1779</v>
      </c>
    </row>
    <row r="2305" spans="1:35" x14ac:dyDescent="0.25">
      <c r="A2305" s="36">
        <v>99912303</v>
      </c>
      <c r="B2305" s="17" t="s">
        <v>32</v>
      </c>
      <c r="C2305" t="s">
        <v>111</v>
      </c>
      <c r="D2305" t="s">
        <v>112</v>
      </c>
      <c r="G2305" s="17" t="s">
        <v>35</v>
      </c>
      <c r="H2305" s="17">
        <v>1</v>
      </c>
      <c r="I2305">
        <v>14591</v>
      </c>
      <c r="J2305" s="1">
        <v>43344</v>
      </c>
      <c r="K2305" t="s">
        <v>354</v>
      </c>
      <c r="L2305" t="s">
        <v>355</v>
      </c>
      <c r="M2305" t="s">
        <v>131</v>
      </c>
      <c r="N2305">
        <v>24</v>
      </c>
      <c r="O2305" t="s">
        <v>40</v>
      </c>
      <c r="P2305" t="s">
        <v>40</v>
      </c>
      <c r="Q2305" t="s">
        <v>40</v>
      </c>
      <c r="S2305" t="s">
        <v>40</v>
      </c>
      <c r="U2305" s="1">
        <v>43344</v>
      </c>
      <c r="V2305" t="s">
        <v>41</v>
      </c>
      <c r="W2305" t="s">
        <v>75</v>
      </c>
      <c r="X2305" t="str">
        <f>"7054006"</f>
        <v>7054006</v>
      </c>
      <c r="Y2305" t="s">
        <v>774</v>
      </c>
      <c r="Z2305" t="s">
        <v>354</v>
      </c>
      <c r="AA2305" t="s">
        <v>355</v>
      </c>
      <c r="AB2305" t="s">
        <v>131</v>
      </c>
      <c r="AC2305" t="s">
        <v>51</v>
      </c>
      <c r="AD2305" t="s">
        <v>45</v>
      </c>
      <c r="AE2305" s="1">
        <v>28262</v>
      </c>
      <c r="AF2305">
        <v>1</v>
      </c>
      <c r="AG2305" t="s">
        <v>355</v>
      </c>
      <c r="AH2305" s="36">
        <f t="shared" si="35"/>
        <v>42.208333333333336</v>
      </c>
      <c r="AI2305" s="41" t="s">
        <v>1779</v>
      </c>
    </row>
    <row r="2306" spans="1:35" x14ac:dyDescent="0.25">
      <c r="A2306" s="36">
        <v>99912304</v>
      </c>
      <c r="B2306" s="17" t="s">
        <v>32</v>
      </c>
      <c r="C2306" t="s">
        <v>61</v>
      </c>
      <c r="D2306" t="s">
        <v>62</v>
      </c>
      <c r="G2306" s="17" t="s">
        <v>35</v>
      </c>
      <c r="H2306" s="17">
        <v>1</v>
      </c>
      <c r="I2306">
        <v>0</v>
      </c>
      <c r="J2306" s="1">
        <v>43344</v>
      </c>
      <c r="K2306" t="s">
        <v>223</v>
      </c>
      <c r="L2306" t="s">
        <v>224</v>
      </c>
      <c r="M2306" t="s">
        <v>131</v>
      </c>
      <c r="N2306">
        <v>23</v>
      </c>
      <c r="O2306" t="s">
        <v>40</v>
      </c>
      <c r="P2306" t="s">
        <v>40</v>
      </c>
      <c r="Q2306" t="s">
        <v>40</v>
      </c>
      <c r="R2306" t="s">
        <v>40</v>
      </c>
      <c r="S2306" t="s">
        <v>40</v>
      </c>
      <c r="U2306" s="1">
        <v>43344</v>
      </c>
      <c r="V2306" t="s">
        <v>41</v>
      </c>
      <c r="W2306" t="s">
        <v>49</v>
      </c>
      <c r="X2306" t="str">
        <f>"0591901"</f>
        <v>0591901</v>
      </c>
      <c r="Y2306" t="s">
        <v>230</v>
      </c>
      <c r="Z2306" t="s">
        <v>223</v>
      </c>
      <c r="AA2306" t="s">
        <v>224</v>
      </c>
      <c r="AB2306" t="s">
        <v>131</v>
      </c>
      <c r="AC2306" t="s">
        <v>44</v>
      </c>
      <c r="AD2306" t="s">
        <v>45</v>
      </c>
      <c r="AE2306" s="1">
        <v>28260</v>
      </c>
      <c r="AF2306">
        <v>2</v>
      </c>
      <c r="AG2306" t="s">
        <v>224</v>
      </c>
      <c r="AH2306" s="36">
        <f t="shared" ref="AH2306:AH2369" si="36">($AJ$1-AE2306)/360</f>
        <v>42.213888888888889</v>
      </c>
      <c r="AI2306" s="41" t="s">
        <v>1779</v>
      </c>
    </row>
    <row r="2307" spans="1:35" x14ac:dyDescent="0.25">
      <c r="A2307" s="36">
        <v>99912305</v>
      </c>
      <c r="B2307" s="17" t="s">
        <v>32</v>
      </c>
      <c r="C2307" t="s">
        <v>145</v>
      </c>
      <c r="D2307" t="s">
        <v>146</v>
      </c>
      <c r="G2307" s="17" t="s">
        <v>35</v>
      </c>
      <c r="H2307" s="17">
        <v>1</v>
      </c>
      <c r="I2307" t="s">
        <v>1155</v>
      </c>
      <c r="J2307" s="1">
        <v>43385</v>
      </c>
      <c r="K2307" t="s">
        <v>1128</v>
      </c>
      <c r="L2307" t="s">
        <v>1129</v>
      </c>
      <c r="M2307" t="s">
        <v>1130</v>
      </c>
      <c r="N2307">
        <v>2</v>
      </c>
      <c r="O2307" t="s">
        <v>40</v>
      </c>
      <c r="S2307" t="s">
        <v>40</v>
      </c>
      <c r="U2307" s="1">
        <v>43385</v>
      </c>
      <c r="V2307" t="s">
        <v>41</v>
      </c>
      <c r="W2307" t="s">
        <v>49</v>
      </c>
      <c r="X2307" t="str">
        <f>"3160002"</f>
        <v>3160002</v>
      </c>
      <c r="Y2307" t="s">
        <v>1143</v>
      </c>
      <c r="Z2307" t="s">
        <v>1128</v>
      </c>
      <c r="AA2307" t="s">
        <v>1129</v>
      </c>
      <c r="AB2307" t="s">
        <v>1130</v>
      </c>
      <c r="AC2307" t="s">
        <v>55</v>
      </c>
      <c r="AD2307" t="s">
        <v>45</v>
      </c>
      <c r="AE2307" s="1">
        <v>28256</v>
      </c>
      <c r="AF2307">
        <v>2</v>
      </c>
      <c r="AG2307" t="s">
        <v>1129</v>
      </c>
      <c r="AH2307" s="36">
        <f t="shared" si="36"/>
        <v>42.225000000000001</v>
      </c>
      <c r="AI2307" s="41" t="s">
        <v>1779</v>
      </c>
    </row>
    <row r="2308" spans="1:35" x14ac:dyDescent="0.25">
      <c r="A2308" s="36">
        <v>99912306</v>
      </c>
      <c r="B2308" s="17" t="s">
        <v>56</v>
      </c>
      <c r="C2308" t="s">
        <v>58</v>
      </c>
      <c r="D2308" t="s">
        <v>59</v>
      </c>
      <c r="G2308" s="17" t="s">
        <v>35</v>
      </c>
      <c r="H2308" s="17">
        <v>5</v>
      </c>
      <c r="K2308" t="s">
        <v>345</v>
      </c>
      <c r="L2308" t="s">
        <v>346</v>
      </c>
      <c r="M2308" t="s">
        <v>131</v>
      </c>
      <c r="N2308">
        <v>21</v>
      </c>
      <c r="O2308" t="s">
        <v>40</v>
      </c>
      <c r="P2308" t="s">
        <v>40</v>
      </c>
      <c r="Q2308" t="s">
        <v>40</v>
      </c>
      <c r="R2308" t="s">
        <v>40</v>
      </c>
      <c r="S2308" t="s">
        <v>40</v>
      </c>
      <c r="V2308" t="s">
        <v>41</v>
      </c>
      <c r="W2308" t="s">
        <v>42</v>
      </c>
      <c r="X2308" t="str">
        <f>"0561006"</f>
        <v>0561006</v>
      </c>
      <c r="Y2308" t="s">
        <v>360</v>
      </c>
      <c r="Z2308" t="s">
        <v>345</v>
      </c>
      <c r="AA2308" t="s">
        <v>346</v>
      </c>
      <c r="AB2308" t="s">
        <v>131</v>
      </c>
      <c r="AC2308" t="s">
        <v>51</v>
      </c>
      <c r="AD2308" t="s">
        <v>45</v>
      </c>
      <c r="AE2308" s="1">
        <v>28250</v>
      </c>
      <c r="AF2308">
        <v>2</v>
      </c>
      <c r="AG2308" t="s">
        <v>346</v>
      </c>
      <c r="AH2308" s="36">
        <f t="shared" si="36"/>
        <v>42.241666666666667</v>
      </c>
      <c r="AI2308" s="41" t="s">
        <v>1779</v>
      </c>
    </row>
    <row r="2309" spans="1:35" x14ac:dyDescent="0.25">
      <c r="A2309" s="36">
        <v>99912307</v>
      </c>
      <c r="B2309" s="17" t="s">
        <v>32</v>
      </c>
      <c r="C2309" t="s">
        <v>71</v>
      </c>
      <c r="D2309" t="s">
        <v>72</v>
      </c>
      <c r="G2309" s="17" t="s">
        <v>35</v>
      </c>
      <c r="H2309" s="17">
        <v>1</v>
      </c>
      <c r="I2309" s="1">
        <v>42688</v>
      </c>
      <c r="J2309" s="1">
        <v>43344</v>
      </c>
      <c r="K2309" t="s">
        <v>1341</v>
      </c>
      <c r="L2309" t="s">
        <v>1342</v>
      </c>
      <c r="M2309" t="s">
        <v>1270</v>
      </c>
      <c r="N2309">
        <v>24</v>
      </c>
      <c r="O2309" t="s">
        <v>40</v>
      </c>
      <c r="S2309" t="s">
        <v>40</v>
      </c>
      <c r="U2309" s="1">
        <v>43344</v>
      </c>
      <c r="V2309" t="s">
        <v>41</v>
      </c>
      <c r="W2309" t="s">
        <v>75</v>
      </c>
      <c r="X2309" t="str">
        <f>"7191000"</f>
        <v>7191000</v>
      </c>
      <c r="Y2309" t="s">
        <v>1347</v>
      </c>
      <c r="Z2309" t="s">
        <v>1341</v>
      </c>
      <c r="AA2309" t="s">
        <v>1342</v>
      </c>
      <c r="AB2309" t="s">
        <v>1270</v>
      </c>
      <c r="AC2309" t="s">
        <v>51</v>
      </c>
      <c r="AD2309" t="s">
        <v>45</v>
      </c>
      <c r="AE2309" s="1">
        <v>28249</v>
      </c>
      <c r="AF2309">
        <v>1</v>
      </c>
      <c r="AG2309" t="s">
        <v>1342</v>
      </c>
      <c r="AH2309" s="36">
        <f t="shared" si="36"/>
        <v>42.244444444444447</v>
      </c>
      <c r="AI2309" s="41" t="s">
        <v>1779</v>
      </c>
    </row>
    <row r="2310" spans="1:35" x14ac:dyDescent="0.25">
      <c r="A2310" s="36">
        <v>99912308</v>
      </c>
      <c r="B2310" s="17" t="s">
        <v>32</v>
      </c>
      <c r="C2310" t="s">
        <v>46</v>
      </c>
      <c r="D2310" t="s">
        <v>47</v>
      </c>
      <c r="G2310" s="17" t="s">
        <v>48</v>
      </c>
      <c r="H2310" s="17">
        <v>7</v>
      </c>
      <c r="K2310" t="s">
        <v>1268</v>
      </c>
      <c r="L2310" t="s">
        <v>1269</v>
      </c>
      <c r="M2310" t="s">
        <v>1270</v>
      </c>
      <c r="N2310">
        <v>20</v>
      </c>
      <c r="O2310" t="s">
        <v>40</v>
      </c>
      <c r="P2310" t="s">
        <v>40</v>
      </c>
      <c r="Q2310" t="s">
        <v>40</v>
      </c>
      <c r="R2310" t="s">
        <v>40</v>
      </c>
      <c r="S2310" t="s">
        <v>40</v>
      </c>
      <c r="V2310" t="s">
        <v>41</v>
      </c>
      <c r="W2310" t="s">
        <v>49</v>
      </c>
      <c r="X2310" t="str">
        <f>"1981912"</f>
        <v>1981912</v>
      </c>
      <c r="Y2310" t="s">
        <v>1279</v>
      </c>
      <c r="Z2310" t="s">
        <v>1268</v>
      </c>
      <c r="AA2310" t="s">
        <v>1269</v>
      </c>
      <c r="AB2310" t="s">
        <v>1270</v>
      </c>
      <c r="AC2310" t="s">
        <v>51</v>
      </c>
      <c r="AD2310" t="s">
        <v>45</v>
      </c>
      <c r="AE2310" s="1">
        <v>28241</v>
      </c>
      <c r="AF2310">
        <v>2</v>
      </c>
      <c r="AG2310" t="s">
        <v>1269</v>
      </c>
      <c r="AH2310" s="36">
        <f t="shared" si="36"/>
        <v>42.266666666666666</v>
      </c>
      <c r="AI2310" s="41" t="s">
        <v>1779</v>
      </c>
    </row>
    <row r="2311" spans="1:35" x14ac:dyDescent="0.25">
      <c r="A2311" s="36">
        <v>99912309</v>
      </c>
      <c r="B2311" s="17" t="s">
        <v>32</v>
      </c>
      <c r="C2311" t="s">
        <v>71</v>
      </c>
      <c r="D2311" t="s">
        <v>72</v>
      </c>
      <c r="G2311" s="17" t="s">
        <v>35</v>
      </c>
      <c r="H2311" s="17">
        <v>1</v>
      </c>
      <c r="K2311" t="s">
        <v>300</v>
      </c>
      <c r="L2311" t="s">
        <v>301</v>
      </c>
      <c r="M2311" t="s">
        <v>131</v>
      </c>
      <c r="N2311">
        <v>9</v>
      </c>
      <c r="O2311" t="s">
        <v>40</v>
      </c>
      <c r="P2311" t="s">
        <v>40</v>
      </c>
      <c r="Q2311" t="s">
        <v>40</v>
      </c>
      <c r="R2311" t="s">
        <v>40</v>
      </c>
      <c r="S2311" t="s">
        <v>40</v>
      </c>
      <c r="V2311" t="s">
        <v>41</v>
      </c>
      <c r="W2311" t="s">
        <v>49</v>
      </c>
      <c r="X2311" t="str">
        <f>"0560002"</f>
        <v>0560002</v>
      </c>
      <c r="Y2311" t="s">
        <v>315</v>
      </c>
      <c r="Z2311" t="s">
        <v>300</v>
      </c>
      <c r="AA2311" t="s">
        <v>301</v>
      </c>
      <c r="AB2311" t="s">
        <v>131</v>
      </c>
      <c r="AC2311" t="s">
        <v>165</v>
      </c>
      <c r="AD2311" t="s">
        <v>45</v>
      </c>
      <c r="AE2311" s="1">
        <v>28236</v>
      </c>
      <c r="AF2311">
        <v>2</v>
      </c>
      <c r="AG2311" t="s">
        <v>301</v>
      </c>
      <c r="AH2311" s="36">
        <f t="shared" si="36"/>
        <v>42.280555555555559</v>
      </c>
      <c r="AI2311" s="41" t="s">
        <v>1779</v>
      </c>
    </row>
    <row r="2312" spans="1:35" x14ac:dyDescent="0.25">
      <c r="A2312" s="36">
        <v>99912310</v>
      </c>
      <c r="B2312" s="17" t="s">
        <v>32</v>
      </c>
      <c r="C2312" t="s">
        <v>139</v>
      </c>
      <c r="D2312" t="s">
        <v>140</v>
      </c>
      <c r="G2312" s="17" t="s">
        <v>48</v>
      </c>
      <c r="H2312" s="17">
        <v>1</v>
      </c>
      <c r="K2312" t="s">
        <v>162</v>
      </c>
      <c r="L2312" t="s">
        <v>158</v>
      </c>
      <c r="M2312" t="s">
        <v>131</v>
      </c>
      <c r="N2312">
        <v>6</v>
      </c>
      <c r="O2312" t="s">
        <v>40</v>
      </c>
      <c r="P2312" t="s">
        <v>40</v>
      </c>
      <c r="Q2312" t="s">
        <v>40</v>
      </c>
      <c r="S2312" t="s">
        <v>40</v>
      </c>
      <c r="V2312" t="s">
        <v>41</v>
      </c>
      <c r="W2312" t="s">
        <v>49</v>
      </c>
      <c r="X2312" t="str">
        <f>"0581350"</f>
        <v>0581350</v>
      </c>
      <c r="Y2312" t="s">
        <v>187</v>
      </c>
      <c r="Z2312" t="s">
        <v>162</v>
      </c>
      <c r="AA2312" t="s">
        <v>158</v>
      </c>
      <c r="AB2312" t="s">
        <v>131</v>
      </c>
      <c r="AC2312" t="s">
        <v>51</v>
      </c>
      <c r="AD2312" t="s">
        <v>45</v>
      </c>
      <c r="AE2312" s="1">
        <v>28235</v>
      </c>
      <c r="AF2312">
        <v>2</v>
      </c>
      <c r="AG2312" t="s">
        <v>158</v>
      </c>
      <c r="AH2312" s="36">
        <f t="shared" si="36"/>
        <v>42.283333333333331</v>
      </c>
      <c r="AI2312" s="41" t="s">
        <v>1779</v>
      </c>
    </row>
    <row r="2313" spans="1:35" x14ac:dyDescent="0.25">
      <c r="A2313" s="36">
        <v>99912311</v>
      </c>
      <c r="B2313" s="17" t="s">
        <v>32</v>
      </c>
      <c r="C2313" t="s">
        <v>90</v>
      </c>
      <c r="D2313" t="s">
        <v>91</v>
      </c>
      <c r="G2313" s="17" t="s">
        <v>35</v>
      </c>
      <c r="H2313" s="17">
        <v>1</v>
      </c>
      <c r="K2313" t="s">
        <v>268</v>
      </c>
      <c r="L2313" t="s">
        <v>269</v>
      </c>
      <c r="M2313" t="s">
        <v>131</v>
      </c>
      <c r="N2313">
        <v>25</v>
      </c>
      <c r="O2313" t="s">
        <v>40</v>
      </c>
      <c r="P2313" t="s">
        <v>40</v>
      </c>
      <c r="Q2313" t="s">
        <v>40</v>
      </c>
      <c r="R2313" t="s">
        <v>40</v>
      </c>
      <c r="S2313" t="s">
        <v>40</v>
      </c>
      <c r="V2313" t="s">
        <v>41</v>
      </c>
      <c r="W2313" t="s">
        <v>95</v>
      </c>
      <c r="X2313" t="str">
        <f>"7052155"</f>
        <v>7052155</v>
      </c>
      <c r="Y2313" t="s">
        <v>677</v>
      </c>
      <c r="Z2313" t="s">
        <v>268</v>
      </c>
      <c r="AA2313" t="s">
        <v>269</v>
      </c>
      <c r="AB2313" t="s">
        <v>131</v>
      </c>
      <c r="AC2313" t="s">
        <v>51</v>
      </c>
      <c r="AD2313" t="s">
        <v>45</v>
      </c>
      <c r="AE2313" s="1">
        <v>28223</v>
      </c>
      <c r="AF2313">
        <v>1</v>
      </c>
      <c r="AG2313" t="s">
        <v>269</v>
      </c>
      <c r="AH2313" s="36">
        <f t="shared" si="36"/>
        <v>42.31666666666667</v>
      </c>
      <c r="AI2313" s="41" t="s">
        <v>1779</v>
      </c>
    </row>
    <row r="2314" spans="1:35" x14ac:dyDescent="0.25">
      <c r="A2314" s="36">
        <v>99912312</v>
      </c>
      <c r="B2314" s="17" t="s">
        <v>32</v>
      </c>
      <c r="C2314" t="s">
        <v>117</v>
      </c>
      <c r="D2314" t="s">
        <v>118</v>
      </c>
      <c r="G2314" s="17" t="s">
        <v>35</v>
      </c>
      <c r="H2314" s="17">
        <v>1</v>
      </c>
      <c r="I2314" t="s">
        <v>658</v>
      </c>
      <c r="J2314" s="1">
        <v>43344</v>
      </c>
      <c r="K2314" t="s">
        <v>268</v>
      </c>
      <c r="L2314" t="s">
        <v>269</v>
      </c>
      <c r="M2314" t="s">
        <v>131</v>
      </c>
      <c r="N2314">
        <v>9</v>
      </c>
      <c r="O2314" t="s">
        <v>40</v>
      </c>
      <c r="S2314" t="s">
        <v>40</v>
      </c>
      <c r="U2314" s="1">
        <v>43344</v>
      </c>
      <c r="V2314" t="s">
        <v>41</v>
      </c>
      <c r="W2314" t="s">
        <v>75</v>
      </c>
      <c r="X2314" t="str">
        <f>"7052020"</f>
        <v>7052020</v>
      </c>
      <c r="Y2314" t="s">
        <v>267</v>
      </c>
      <c r="Z2314" t="s">
        <v>268</v>
      </c>
      <c r="AA2314" t="s">
        <v>269</v>
      </c>
      <c r="AB2314" t="s">
        <v>131</v>
      </c>
      <c r="AC2314" t="s">
        <v>51</v>
      </c>
      <c r="AD2314" t="s">
        <v>45</v>
      </c>
      <c r="AE2314" s="1">
        <v>28222</v>
      </c>
      <c r="AF2314">
        <v>1</v>
      </c>
      <c r="AG2314" t="s">
        <v>269</v>
      </c>
      <c r="AH2314" s="36">
        <f t="shared" si="36"/>
        <v>42.319444444444443</v>
      </c>
      <c r="AI2314" s="41" t="s">
        <v>1779</v>
      </c>
    </row>
    <row r="2315" spans="1:35" x14ac:dyDescent="0.25">
      <c r="A2315" s="36">
        <v>99912313</v>
      </c>
      <c r="B2315" s="17" t="s">
        <v>56</v>
      </c>
      <c r="C2315" t="s">
        <v>68</v>
      </c>
      <c r="D2315" t="s">
        <v>69</v>
      </c>
      <c r="G2315" s="17" t="s">
        <v>35</v>
      </c>
      <c r="H2315" s="17">
        <v>1</v>
      </c>
      <c r="K2315" t="s">
        <v>223</v>
      </c>
      <c r="L2315" t="s">
        <v>224</v>
      </c>
      <c r="M2315" t="s">
        <v>131</v>
      </c>
      <c r="N2315">
        <v>19</v>
      </c>
      <c r="O2315" t="s">
        <v>40</v>
      </c>
      <c r="P2315" t="s">
        <v>40</v>
      </c>
      <c r="Q2315" t="s">
        <v>40</v>
      </c>
      <c r="R2315" t="s">
        <v>40</v>
      </c>
      <c r="S2315" t="s">
        <v>40</v>
      </c>
      <c r="V2315" t="s">
        <v>41</v>
      </c>
      <c r="W2315" t="s">
        <v>49</v>
      </c>
      <c r="X2315" t="str">
        <f>"0591901"</f>
        <v>0591901</v>
      </c>
      <c r="Y2315" t="s">
        <v>230</v>
      </c>
      <c r="Z2315" t="s">
        <v>223</v>
      </c>
      <c r="AA2315" t="s">
        <v>224</v>
      </c>
      <c r="AB2315" t="s">
        <v>131</v>
      </c>
      <c r="AC2315" t="s">
        <v>51</v>
      </c>
      <c r="AD2315" t="s">
        <v>45</v>
      </c>
      <c r="AE2315" s="1">
        <v>28221</v>
      </c>
      <c r="AF2315">
        <v>2</v>
      </c>
      <c r="AG2315" t="s">
        <v>224</v>
      </c>
      <c r="AH2315" s="36">
        <f t="shared" si="36"/>
        <v>42.322222222222223</v>
      </c>
      <c r="AI2315" s="41" t="s">
        <v>1779</v>
      </c>
    </row>
    <row r="2316" spans="1:35" x14ac:dyDescent="0.25">
      <c r="A2316" s="36">
        <v>99912314</v>
      </c>
      <c r="B2316" s="17" t="s">
        <v>32</v>
      </c>
      <c r="C2316" t="s">
        <v>46</v>
      </c>
      <c r="D2316" t="s">
        <v>47</v>
      </c>
      <c r="G2316" s="17" t="s">
        <v>35</v>
      </c>
      <c r="H2316" s="17">
        <v>1</v>
      </c>
      <c r="K2316" t="s">
        <v>162</v>
      </c>
      <c r="L2316" t="s">
        <v>158</v>
      </c>
      <c r="M2316" t="s">
        <v>131</v>
      </c>
      <c r="N2316">
        <v>20</v>
      </c>
      <c r="O2316" t="s">
        <v>40</v>
      </c>
      <c r="P2316" t="s">
        <v>40</v>
      </c>
      <c r="Q2316" t="s">
        <v>40</v>
      </c>
      <c r="R2316" t="s">
        <v>40</v>
      </c>
      <c r="S2316" t="s">
        <v>40</v>
      </c>
      <c r="V2316" t="s">
        <v>41</v>
      </c>
      <c r="W2316" t="s">
        <v>49</v>
      </c>
      <c r="X2316" t="str">
        <f>"0505050"</f>
        <v>0505050</v>
      </c>
      <c r="Y2316" t="s">
        <v>163</v>
      </c>
      <c r="Z2316" t="s">
        <v>162</v>
      </c>
      <c r="AA2316" t="s">
        <v>158</v>
      </c>
      <c r="AB2316" t="s">
        <v>131</v>
      </c>
      <c r="AC2316" t="s">
        <v>165</v>
      </c>
      <c r="AD2316" t="s">
        <v>45</v>
      </c>
      <c r="AE2316" s="1">
        <v>28220</v>
      </c>
      <c r="AF2316">
        <v>2</v>
      </c>
      <c r="AG2316" t="s">
        <v>158</v>
      </c>
      <c r="AH2316" s="36">
        <f t="shared" si="36"/>
        <v>42.325000000000003</v>
      </c>
      <c r="AI2316" s="41" t="s">
        <v>1779</v>
      </c>
    </row>
    <row r="2317" spans="1:35" x14ac:dyDescent="0.25">
      <c r="A2317" s="36">
        <v>99912315</v>
      </c>
      <c r="B2317" s="17" t="s">
        <v>32</v>
      </c>
      <c r="C2317" t="s">
        <v>71</v>
      </c>
      <c r="D2317" t="s">
        <v>72</v>
      </c>
      <c r="G2317" s="17" t="s">
        <v>35</v>
      </c>
      <c r="H2317" s="17">
        <v>1</v>
      </c>
      <c r="I2317" t="s">
        <v>1167</v>
      </c>
      <c r="J2317" s="1">
        <v>43346</v>
      </c>
      <c r="K2317" t="s">
        <v>1128</v>
      </c>
      <c r="L2317" t="s">
        <v>1129</v>
      </c>
      <c r="M2317" t="s">
        <v>1130</v>
      </c>
      <c r="N2317">
        <v>3</v>
      </c>
      <c r="O2317" t="s">
        <v>40</v>
      </c>
      <c r="S2317" t="s">
        <v>40</v>
      </c>
      <c r="U2317" s="1">
        <v>43346</v>
      </c>
      <c r="V2317" t="s">
        <v>41</v>
      </c>
      <c r="W2317" t="s">
        <v>49</v>
      </c>
      <c r="X2317" t="str">
        <f>"3181010"</f>
        <v>3181010</v>
      </c>
      <c r="Y2317" t="s">
        <v>1134</v>
      </c>
      <c r="Z2317" t="s">
        <v>1128</v>
      </c>
      <c r="AA2317" t="s">
        <v>1129</v>
      </c>
      <c r="AB2317" t="s">
        <v>1130</v>
      </c>
      <c r="AC2317" t="s">
        <v>44</v>
      </c>
      <c r="AD2317" t="s">
        <v>45</v>
      </c>
      <c r="AE2317" s="1">
        <v>28220</v>
      </c>
      <c r="AF2317">
        <v>2</v>
      </c>
      <c r="AG2317" t="s">
        <v>1129</v>
      </c>
      <c r="AH2317" s="36">
        <f t="shared" si="36"/>
        <v>42.325000000000003</v>
      </c>
      <c r="AI2317" s="41" t="s">
        <v>1779</v>
      </c>
    </row>
    <row r="2318" spans="1:35" x14ac:dyDescent="0.25">
      <c r="A2318" s="36">
        <v>99912316</v>
      </c>
      <c r="B2318" s="17" t="s">
        <v>32</v>
      </c>
      <c r="C2318" t="s">
        <v>79</v>
      </c>
      <c r="D2318" t="s">
        <v>80</v>
      </c>
      <c r="G2318" s="17" t="s">
        <v>35</v>
      </c>
      <c r="H2318" s="17">
        <v>1</v>
      </c>
      <c r="K2318" t="s">
        <v>1198</v>
      </c>
      <c r="L2318" t="s">
        <v>1199</v>
      </c>
      <c r="M2318" t="s">
        <v>1130</v>
      </c>
      <c r="N2318">
        <v>23</v>
      </c>
      <c r="O2318" t="s">
        <v>40</v>
      </c>
      <c r="P2318" t="s">
        <v>40</v>
      </c>
      <c r="Q2318" t="s">
        <v>40</v>
      </c>
      <c r="S2318" t="s">
        <v>40</v>
      </c>
      <c r="V2318" t="s">
        <v>41</v>
      </c>
      <c r="W2318" t="s">
        <v>75</v>
      </c>
      <c r="X2318" t="str">
        <f>"7311002"</f>
        <v>7311002</v>
      </c>
      <c r="Y2318" t="s">
        <v>1203</v>
      </c>
      <c r="Z2318" t="s">
        <v>1198</v>
      </c>
      <c r="AA2318" t="s">
        <v>1199</v>
      </c>
      <c r="AB2318" t="s">
        <v>1130</v>
      </c>
      <c r="AC2318" t="s">
        <v>51</v>
      </c>
      <c r="AD2318" t="s">
        <v>45</v>
      </c>
      <c r="AE2318" s="1">
        <v>28219</v>
      </c>
      <c r="AF2318">
        <v>1</v>
      </c>
      <c r="AG2318" t="s">
        <v>1199</v>
      </c>
      <c r="AH2318" s="36">
        <f t="shared" si="36"/>
        <v>42.327777777777776</v>
      </c>
      <c r="AI2318" s="41" t="s">
        <v>1779</v>
      </c>
    </row>
    <row r="2319" spans="1:35" x14ac:dyDescent="0.25">
      <c r="A2319" s="36">
        <v>99912317</v>
      </c>
      <c r="B2319" s="17" t="s">
        <v>32</v>
      </c>
      <c r="C2319" t="s">
        <v>111</v>
      </c>
      <c r="D2319" t="s">
        <v>112</v>
      </c>
      <c r="G2319" s="17" t="s">
        <v>48</v>
      </c>
      <c r="H2319" s="17">
        <v>1</v>
      </c>
      <c r="K2319" t="s">
        <v>268</v>
      </c>
      <c r="L2319" t="s">
        <v>269</v>
      </c>
      <c r="M2319" t="s">
        <v>131</v>
      </c>
      <c r="N2319">
        <v>22</v>
      </c>
      <c r="O2319" t="s">
        <v>40</v>
      </c>
      <c r="P2319" t="s">
        <v>40</v>
      </c>
      <c r="Q2319" t="s">
        <v>40</v>
      </c>
      <c r="S2319" t="s">
        <v>40</v>
      </c>
      <c r="V2319" t="s">
        <v>41</v>
      </c>
      <c r="W2319" t="s">
        <v>75</v>
      </c>
      <c r="X2319" t="str">
        <f>"7052040"</f>
        <v>7052040</v>
      </c>
      <c r="Y2319" t="s">
        <v>591</v>
      </c>
      <c r="Z2319" t="s">
        <v>268</v>
      </c>
      <c r="AA2319" t="s">
        <v>269</v>
      </c>
      <c r="AB2319" t="s">
        <v>131</v>
      </c>
      <c r="AC2319" t="s">
        <v>51</v>
      </c>
      <c r="AD2319" t="s">
        <v>45</v>
      </c>
      <c r="AE2319" s="1">
        <v>28214</v>
      </c>
      <c r="AF2319">
        <v>1</v>
      </c>
      <c r="AG2319" t="s">
        <v>269</v>
      </c>
      <c r="AH2319" s="36">
        <f t="shared" si="36"/>
        <v>42.341666666666669</v>
      </c>
      <c r="AI2319" s="41" t="s">
        <v>1779</v>
      </c>
    </row>
    <row r="2320" spans="1:35" x14ac:dyDescent="0.25">
      <c r="A2320" s="36">
        <v>99912318</v>
      </c>
      <c r="B2320" s="17" t="s">
        <v>32</v>
      </c>
      <c r="C2320" t="s">
        <v>90</v>
      </c>
      <c r="D2320" t="s">
        <v>91</v>
      </c>
      <c r="G2320" s="17" t="s">
        <v>48</v>
      </c>
      <c r="H2320" s="17">
        <v>1</v>
      </c>
      <c r="K2320" t="s">
        <v>268</v>
      </c>
      <c r="L2320" t="s">
        <v>269</v>
      </c>
      <c r="M2320" t="s">
        <v>131</v>
      </c>
      <c r="N2320">
        <v>25</v>
      </c>
      <c r="O2320" t="s">
        <v>40</v>
      </c>
      <c r="P2320" t="s">
        <v>40</v>
      </c>
      <c r="Q2320" t="s">
        <v>40</v>
      </c>
      <c r="R2320" t="s">
        <v>40</v>
      </c>
      <c r="S2320" t="s">
        <v>40</v>
      </c>
      <c r="V2320" t="s">
        <v>41</v>
      </c>
      <c r="W2320" t="s">
        <v>95</v>
      </c>
      <c r="X2320" t="str">
        <f>"7052027"</f>
        <v>7052027</v>
      </c>
      <c r="Y2320" t="s">
        <v>694</v>
      </c>
      <c r="Z2320" t="s">
        <v>268</v>
      </c>
      <c r="AA2320" t="s">
        <v>269</v>
      </c>
      <c r="AB2320" t="s">
        <v>131</v>
      </c>
      <c r="AC2320" t="s">
        <v>51</v>
      </c>
      <c r="AD2320" t="s">
        <v>45</v>
      </c>
      <c r="AE2320" s="1">
        <v>28209</v>
      </c>
      <c r="AF2320">
        <v>1</v>
      </c>
      <c r="AG2320" t="s">
        <v>269</v>
      </c>
      <c r="AH2320" s="36">
        <f t="shared" si="36"/>
        <v>42.355555555555554</v>
      </c>
      <c r="AI2320" s="41" t="s">
        <v>1779</v>
      </c>
    </row>
    <row r="2321" spans="1:35" x14ac:dyDescent="0.25">
      <c r="A2321" s="36">
        <v>99912319</v>
      </c>
      <c r="B2321" s="17" t="s">
        <v>56</v>
      </c>
      <c r="C2321" t="s">
        <v>139</v>
      </c>
      <c r="D2321" t="s">
        <v>140</v>
      </c>
      <c r="G2321" s="17" t="s">
        <v>88</v>
      </c>
      <c r="H2321" s="17">
        <v>1</v>
      </c>
      <c r="I2321" t="s">
        <v>1322</v>
      </c>
      <c r="K2321" t="s">
        <v>1306</v>
      </c>
      <c r="L2321" t="s">
        <v>1307</v>
      </c>
      <c r="M2321" t="s">
        <v>1270</v>
      </c>
      <c r="N2321">
        <v>12</v>
      </c>
      <c r="O2321" t="s">
        <v>40</v>
      </c>
      <c r="P2321" t="s">
        <v>40</v>
      </c>
      <c r="Q2321" t="s">
        <v>40</v>
      </c>
      <c r="R2321" t="s">
        <v>40</v>
      </c>
      <c r="S2321" t="s">
        <v>40</v>
      </c>
      <c r="V2321" t="s">
        <v>41</v>
      </c>
      <c r="W2321" t="s">
        <v>49</v>
      </c>
      <c r="X2321" t="str">
        <f>"1991913"</f>
        <v>1991913</v>
      </c>
      <c r="Y2321" t="s">
        <v>1310</v>
      </c>
      <c r="Z2321" t="s">
        <v>1306</v>
      </c>
      <c r="AA2321" t="s">
        <v>1307</v>
      </c>
      <c r="AB2321" t="s">
        <v>1270</v>
      </c>
      <c r="AC2321" t="s">
        <v>51</v>
      </c>
      <c r="AD2321" t="s">
        <v>45</v>
      </c>
      <c r="AE2321" s="1">
        <v>28209</v>
      </c>
      <c r="AF2321">
        <v>2</v>
      </c>
      <c r="AG2321" t="s">
        <v>1307</v>
      </c>
      <c r="AH2321" s="36">
        <f t="shared" si="36"/>
        <v>42.355555555555554</v>
      </c>
      <c r="AI2321" s="41" t="s">
        <v>1779</v>
      </c>
    </row>
    <row r="2322" spans="1:35" x14ac:dyDescent="0.25">
      <c r="A2322" s="36">
        <v>99912320</v>
      </c>
      <c r="B2322" s="17" t="s">
        <v>32</v>
      </c>
      <c r="C2322" t="s">
        <v>33</v>
      </c>
      <c r="D2322" t="s">
        <v>34</v>
      </c>
      <c r="G2322" s="17" t="s">
        <v>88</v>
      </c>
      <c r="H2322" s="17">
        <v>4</v>
      </c>
      <c r="I2322" t="s">
        <v>186</v>
      </c>
      <c r="J2322" s="1">
        <v>42647</v>
      </c>
      <c r="K2322" t="s">
        <v>157</v>
      </c>
      <c r="L2322" t="s">
        <v>158</v>
      </c>
      <c r="M2322" t="s">
        <v>131</v>
      </c>
      <c r="N2322">
        <v>8</v>
      </c>
      <c r="O2322" t="s">
        <v>40</v>
      </c>
      <c r="P2322" t="s">
        <v>40</v>
      </c>
      <c r="Q2322" t="s">
        <v>40</v>
      </c>
      <c r="R2322" t="s">
        <v>40</v>
      </c>
      <c r="S2322" t="s">
        <v>40</v>
      </c>
      <c r="U2322" s="1">
        <v>42647</v>
      </c>
      <c r="V2322" t="s">
        <v>41</v>
      </c>
      <c r="W2322" t="s">
        <v>42</v>
      </c>
      <c r="X2322" t="str">
        <f>"0561004"</f>
        <v>0561004</v>
      </c>
      <c r="Y2322" t="s">
        <v>172</v>
      </c>
      <c r="Z2322" t="s">
        <v>157</v>
      </c>
      <c r="AA2322" t="s">
        <v>158</v>
      </c>
      <c r="AB2322" t="s">
        <v>131</v>
      </c>
      <c r="AC2322" t="s">
        <v>51</v>
      </c>
      <c r="AD2322" t="s">
        <v>45</v>
      </c>
      <c r="AE2322" s="1">
        <v>28208</v>
      </c>
      <c r="AF2322">
        <v>2</v>
      </c>
      <c r="AG2322" t="s">
        <v>158</v>
      </c>
      <c r="AH2322" s="36">
        <f t="shared" si="36"/>
        <v>42.358333333333334</v>
      </c>
      <c r="AI2322" s="41" t="s">
        <v>1779</v>
      </c>
    </row>
    <row r="2323" spans="1:35" x14ac:dyDescent="0.25">
      <c r="A2323" s="36">
        <v>99912321</v>
      </c>
      <c r="B2323" s="17" t="s">
        <v>56</v>
      </c>
      <c r="C2323" t="s">
        <v>141</v>
      </c>
      <c r="D2323" t="s">
        <v>142</v>
      </c>
      <c r="G2323" s="17" t="s">
        <v>88</v>
      </c>
      <c r="H2323" s="17">
        <v>4</v>
      </c>
      <c r="I2323" t="s">
        <v>507</v>
      </c>
      <c r="J2323" s="1">
        <v>40422</v>
      </c>
      <c r="K2323" t="s">
        <v>195</v>
      </c>
      <c r="L2323" t="s">
        <v>196</v>
      </c>
      <c r="M2323" t="s">
        <v>131</v>
      </c>
      <c r="N2323">
        <v>24</v>
      </c>
      <c r="O2323" t="s">
        <v>40</v>
      </c>
      <c r="P2323" t="s">
        <v>40</v>
      </c>
      <c r="Q2323" t="s">
        <v>40</v>
      </c>
      <c r="R2323" t="s">
        <v>40</v>
      </c>
      <c r="S2323" t="s">
        <v>40</v>
      </c>
      <c r="U2323" s="1">
        <v>40422</v>
      </c>
      <c r="V2323" t="s">
        <v>41</v>
      </c>
      <c r="W2323" t="s">
        <v>75</v>
      </c>
      <c r="X2323" t="str">
        <f>"7521050"</f>
        <v>7521050</v>
      </c>
      <c r="Y2323" t="s">
        <v>194</v>
      </c>
      <c r="Z2323" t="s">
        <v>195</v>
      </c>
      <c r="AA2323" t="s">
        <v>196</v>
      </c>
      <c r="AB2323" t="s">
        <v>131</v>
      </c>
      <c r="AC2323" t="s">
        <v>51</v>
      </c>
      <c r="AD2323" t="s">
        <v>45</v>
      </c>
      <c r="AE2323" s="1">
        <v>28208</v>
      </c>
      <c r="AF2323">
        <v>1</v>
      </c>
      <c r="AG2323" t="s">
        <v>196</v>
      </c>
      <c r="AH2323" s="36">
        <f t="shared" si="36"/>
        <v>42.358333333333334</v>
      </c>
      <c r="AI2323" s="41" t="s">
        <v>1779</v>
      </c>
    </row>
    <row r="2324" spans="1:35" x14ac:dyDescent="0.25">
      <c r="A2324" s="36">
        <v>99912322</v>
      </c>
      <c r="B2324" s="17" t="s">
        <v>56</v>
      </c>
      <c r="C2324" t="s">
        <v>52</v>
      </c>
      <c r="D2324" t="s">
        <v>53</v>
      </c>
      <c r="G2324" s="17" t="s">
        <v>48</v>
      </c>
      <c r="H2324" s="17">
        <v>1</v>
      </c>
      <c r="K2324" t="s">
        <v>162</v>
      </c>
      <c r="L2324" t="s">
        <v>158</v>
      </c>
      <c r="M2324" t="s">
        <v>131</v>
      </c>
      <c r="N2324">
        <v>21</v>
      </c>
      <c r="O2324" t="s">
        <v>40</v>
      </c>
      <c r="P2324" t="s">
        <v>40</v>
      </c>
      <c r="Q2324" t="s">
        <v>40</v>
      </c>
      <c r="R2324" t="s">
        <v>40</v>
      </c>
      <c r="S2324" t="s">
        <v>40</v>
      </c>
      <c r="V2324" t="s">
        <v>41</v>
      </c>
      <c r="W2324" t="s">
        <v>49</v>
      </c>
      <c r="X2324" t="str">
        <f>"0581325"</f>
        <v>0581325</v>
      </c>
      <c r="Y2324" t="s">
        <v>169</v>
      </c>
      <c r="Z2324" t="s">
        <v>162</v>
      </c>
      <c r="AA2324" t="s">
        <v>158</v>
      </c>
      <c r="AB2324" t="s">
        <v>131</v>
      </c>
      <c r="AC2324" t="s">
        <v>51</v>
      </c>
      <c r="AD2324" t="s">
        <v>45</v>
      </c>
      <c r="AE2324" s="1">
        <v>28206</v>
      </c>
      <c r="AF2324">
        <v>2</v>
      </c>
      <c r="AG2324" t="s">
        <v>158</v>
      </c>
      <c r="AH2324" s="36">
        <f t="shared" si="36"/>
        <v>42.363888888888887</v>
      </c>
      <c r="AI2324" s="41" t="s">
        <v>1779</v>
      </c>
    </row>
    <row r="2325" spans="1:35" x14ac:dyDescent="0.25">
      <c r="A2325" s="36">
        <v>99912323</v>
      </c>
      <c r="B2325" s="17" t="s">
        <v>56</v>
      </c>
      <c r="C2325" t="s">
        <v>52</v>
      </c>
      <c r="D2325" t="s">
        <v>53</v>
      </c>
      <c r="G2325" s="17" t="s">
        <v>48</v>
      </c>
      <c r="H2325" s="17">
        <v>1</v>
      </c>
      <c r="K2325" t="s">
        <v>162</v>
      </c>
      <c r="L2325" t="s">
        <v>158</v>
      </c>
      <c r="M2325" t="s">
        <v>131</v>
      </c>
      <c r="N2325">
        <v>21</v>
      </c>
      <c r="O2325" t="s">
        <v>40</v>
      </c>
      <c r="P2325" t="s">
        <v>40</v>
      </c>
      <c r="Q2325" t="s">
        <v>40</v>
      </c>
      <c r="R2325" t="s">
        <v>40</v>
      </c>
      <c r="S2325" t="s">
        <v>40</v>
      </c>
      <c r="V2325" t="s">
        <v>41</v>
      </c>
      <c r="W2325" t="s">
        <v>49</v>
      </c>
      <c r="X2325" t="str">
        <f>"0505050"</f>
        <v>0505050</v>
      </c>
      <c r="Y2325" t="s">
        <v>163</v>
      </c>
      <c r="Z2325" t="s">
        <v>162</v>
      </c>
      <c r="AA2325" t="s">
        <v>158</v>
      </c>
      <c r="AB2325" t="s">
        <v>131</v>
      </c>
      <c r="AC2325" t="s">
        <v>51</v>
      </c>
      <c r="AD2325" t="s">
        <v>45</v>
      </c>
      <c r="AE2325" s="1">
        <v>28197</v>
      </c>
      <c r="AF2325">
        <v>2</v>
      </c>
      <c r="AG2325" t="s">
        <v>158</v>
      </c>
      <c r="AH2325" s="36">
        <f t="shared" si="36"/>
        <v>42.388888888888886</v>
      </c>
      <c r="AI2325" s="41" t="s">
        <v>1779</v>
      </c>
    </row>
    <row r="2326" spans="1:35" x14ac:dyDescent="0.25">
      <c r="A2326" s="36">
        <v>99912324</v>
      </c>
      <c r="B2326" s="17" t="s">
        <v>32</v>
      </c>
      <c r="C2326" t="s">
        <v>111</v>
      </c>
      <c r="D2326" t="s">
        <v>112</v>
      </c>
      <c r="G2326" s="17" t="s">
        <v>48</v>
      </c>
      <c r="H2326" s="17">
        <v>7</v>
      </c>
      <c r="I2326" t="s">
        <v>469</v>
      </c>
      <c r="J2326" s="1">
        <v>43344</v>
      </c>
      <c r="K2326" t="s">
        <v>195</v>
      </c>
      <c r="L2326" t="s">
        <v>196</v>
      </c>
      <c r="M2326" t="s">
        <v>131</v>
      </c>
      <c r="N2326">
        <v>21</v>
      </c>
      <c r="O2326" t="s">
        <v>40</v>
      </c>
      <c r="P2326" t="s">
        <v>40</v>
      </c>
      <c r="Q2326" t="s">
        <v>40</v>
      </c>
      <c r="R2326" t="s">
        <v>40</v>
      </c>
      <c r="S2326" t="s">
        <v>40</v>
      </c>
      <c r="U2326" s="1">
        <v>43344</v>
      </c>
      <c r="V2326" t="s">
        <v>41</v>
      </c>
      <c r="W2326" t="s">
        <v>75</v>
      </c>
      <c r="X2326" t="str">
        <f>"7521046"</f>
        <v>7521046</v>
      </c>
      <c r="Y2326" t="s">
        <v>436</v>
      </c>
      <c r="Z2326" t="s">
        <v>195</v>
      </c>
      <c r="AA2326" t="s">
        <v>196</v>
      </c>
      <c r="AB2326" t="s">
        <v>131</v>
      </c>
      <c r="AC2326" t="s">
        <v>165</v>
      </c>
      <c r="AD2326" t="s">
        <v>45</v>
      </c>
      <c r="AE2326" s="1">
        <v>28195</v>
      </c>
      <c r="AF2326">
        <v>1</v>
      </c>
      <c r="AG2326" t="s">
        <v>196</v>
      </c>
      <c r="AH2326" s="36">
        <f t="shared" si="36"/>
        <v>42.394444444444446</v>
      </c>
      <c r="AI2326" s="41" t="s">
        <v>1779</v>
      </c>
    </row>
    <row r="2327" spans="1:35" x14ac:dyDescent="0.25">
      <c r="A2327" s="36">
        <v>99912325</v>
      </c>
      <c r="B2327" s="17" t="s">
        <v>32</v>
      </c>
      <c r="C2327" t="s">
        <v>79</v>
      </c>
      <c r="D2327" t="s">
        <v>80</v>
      </c>
      <c r="G2327" s="17" t="s">
        <v>48</v>
      </c>
      <c r="H2327" s="17">
        <v>1</v>
      </c>
      <c r="K2327" t="s">
        <v>300</v>
      </c>
      <c r="L2327" t="s">
        <v>301</v>
      </c>
      <c r="M2327" t="s">
        <v>131</v>
      </c>
      <c r="N2327">
        <v>10</v>
      </c>
      <c r="O2327" t="s">
        <v>40</v>
      </c>
      <c r="P2327" t="s">
        <v>40</v>
      </c>
      <c r="Q2327" t="s">
        <v>40</v>
      </c>
      <c r="R2327" t="s">
        <v>40</v>
      </c>
      <c r="S2327" t="s">
        <v>40</v>
      </c>
      <c r="V2327" t="s">
        <v>41</v>
      </c>
      <c r="W2327" t="s">
        <v>49</v>
      </c>
      <c r="X2327" t="str">
        <f>"0560029"</f>
        <v>0560029</v>
      </c>
      <c r="Y2327" t="s">
        <v>309</v>
      </c>
      <c r="Z2327" t="s">
        <v>300</v>
      </c>
      <c r="AA2327" t="s">
        <v>301</v>
      </c>
      <c r="AB2327" t="s">
        <v>131</v>
      </c>
      <c r="AC2327" t="s">
        <v>51</v>
      </c>
      <c r="AD2327" t="s">
        <v>45</v>
      </c>
      <c r="AE2327" s="1">
        <v>28191</v>
      </c>
      <c r="AF2327">
        <v>2</v>
      </c>
      <c r="AG2327" t="s">
        <v>301</v>
      </c>
      <c r="AH2327" s="36">
        <f t="shared" si="36"/>
        <v>42.405555555555559</v>
      </c>
      <c r="AI2327" s="41" t="s">
        <v>1779</v>
      </c>
    </row>
    <row r="2328" spans="1:35" x14ac:dyDescent="0.25">
      <c r="A2328" s="36">
        <v>99912326</v>
      </c>
      <c r="B2328" s="17" t="s">
        <v>32</v>
      </c>
      <c r="C2328" t="s">
        <v>90</v>
      </c>
      <c r="D2328" t="s">
        <v>91</v>
      </c>
      <c r="G2328" s="17" t="s">
        <v>48</v>
      </c>
      <c r="H2328" s="17">
        <v>1</v>
      </c>
      <c r="K2328" t="s">
        <v>354</v>
      </c>
      <c r="L2328" t="s">
        <v>355</v>
      </c>
      <c r="M2328" t="s">
        <v>131</v>
      </c>
      <c r="N2328">
        <v>25</v>
      </c>
      <c r="O2328" t="s">
        <v>40</v>
      </c>
      <c r="P2328" t="s">
        <v>40</v>
      </c>
      <c r="Q2328" t="s">
        <v>40</v>
      </c>
      <c r="R2328" t="s">
        <v>40</v>
      </c>
      <c r="S2328" t="s">
        <v>40</v>
      </c>
      <c r="V2328" t="s">
        <v>41</v>
      </c>
      <c r="W2328" t="s">
        <v>95</v>
      </c>
      <c r="X2328" t="str">
        <f>"7054135"</f>
        <v>7054135</v>
      </c>
      <c r="Y2328" t="s">
        <v>862</v>
      </c>
      <c r="Z2328" t="s">
        <v>354</v>
      </c>
      <c r="AA2328" t="s">
        <v>355</v>
      </c>
      <c r="AB2328" t="s">
        <v>131</v>
      </c>
      <c r="AC2328" t="s">
        <v>51</v>
      </c>
      <c r="AD2328" t="s">
        <v>45</v>
      </c>
      <c r="AE2328" s="1">
        <v>28187</v>
      </c>
      <c r="AF2328">
        <v>1</v>
      </c>
      <c r="AG2328" t="s">
        <v>355</v>
      </c>
      <c r="AH2328" s="36">
        <f t="shared" si="36"/>
        <v>42.416666666666664</v>
      </c>
      <c r="AI2328" s="41" t="s">
        <v>1779</v>
      </c>
    </row>
    <row r="2329" spans="1:35" x14ac:dyDescent="0.25">
      <c r="A2329" s="36">
        <v>99912327</v>
      </c>
      <c r="B2329" s="17" t="s">
        <v>32</v>
      </c>
      <c r="C2329" t="s">
        <v>64</v>
      </c>
      <c r="D2329" t="s">
        <v>65</v>
      </c>
      <c r="G2329" s="17" t="s">
        <v>35</v>
      </c>
      <c r="H2329" s="17">
        <v>1</v>
      </c>
      <c r="K2329" t="s">
        <v>223</v>
      </c>
      <c r="L2329" t="s">
        <v>224</v>
      </c>
      <c r="M2329" t="s">
        <v>131</v>
      </c>
      <c r="N2329">
        <v>11</v>
      </c>
      <c r="O2329" t="s">
        <v>40</v>
      </c>
      <c r="P2329" t="s">
        <v>40</v>
      </c>
      <c r="Q2329" t="s">
        <v>40</v>
      </c>
      <c r="R2329" t="s">
        <v>40</v>
      </c>
      <c r="S2329" t="s">
        <v>40</v>
      </c>
      <c r="V2329" t="s">
        <v>41</v>
      </c>
      <c r="W2329" t="s">
        <v>49</v>
      </c>
      <c r="X2329" t="str">
        <f>"0591901"</f>
        <v>0591901</v>
      </c>
      <c r="Y2329" t="s">
        <v>230</v>
      </c>
      <c r="Z2329" t="s">
        <v>223</v>
      </c>
      <c r="AA2329" t="s">
        <v>224</v>
      </c>
      <c r="AB2329" t="s">
        <v>131</v>
      </c>
      <c r="AC2329" t="s">
        <v>51</v>
      </c>
      <c r="AD2329" t="s">
        <v>45</v>
      </c>
      <c r="AE2329" s="1">
        <v>28176</v>
      </c>
      <c r="AF2329">
        <v>2</v>
      </c>
      <c r="AG2329" t="s">
        <v>224</v>
      </c>
      <c r="AH2329" s="36">
        <f t="shared" si="36"/>
        <v>42.447222222222223</v>
      </c>
      <c r="AI2329" s="41" t="s">
        <v>1779</v>
      </c>
    </row>
    <row r="2330" spans="1:35" x14ac:dyDescent="0.25">
      <c r="A2330" s="36">
        <v>99912328</v>
      </c>
      <c r="B2330" s="17" t="s">
        <v>56</v>
      </c>
      <c r="C2330" t="s">
        <v>46</v>
      </c>
      <c r="D2330" t="s">
        <v>47</v>
      </c>
      <c r="G2330" s="17" t="s">
        <v>48</v>
      </c>
      <c r="H2330" s="17">
        <v>1</v>
      </c>
      <c r="K2330" t="s">
        <v>1268</v>
      </c>
      <c r="L2330" t="s">
        <v>1269</v>
      </c>
      <c r="M2330" t="s">
        <v>1270</v>
      </c>
      <c r="N2330">
        <v>14</v>
      </c>
      <c r="O2330" t="s">
        <v>40</v>
      </c>
      <c r="P2330" t="s">
        <v>40</v>
      </c>
      <c r="Q2330" t="s">
        <v>40</v>
      </c>
      <c r="R2330" t="s">
        <v>40</v>
      </c>
      <c r="S2330" t="s">
        <v>40</v>
      </c>
      <c r="V2330" t="s">
        <v>41</v>
      </c>
      <c r="W2330" t="s">
        <v>42</v>
      </c>
      <c r="X2330" t="str">
        <f>"1990910"</f>
        <v>1990910</v>
      </c>
      <c r="Y2330" t="s">
        <v>1281</v>
      </c>
      <c r="Z2330" t="s">
        <v>1268</v>
      </c>
      <c r="AA2330" t="s">
        <v>1269</v>
      </c>
      <c r="AB2330" t="s">
        <v>1270</v>
      </c>
      <c r="AC2330" t="s">
        <v>165</v>
      </c>
      <c r="AD2330" t="s">
        <v>45</v>
      </c>
      <c r="AE2330" s="1">
        <v>28175</v>
      </c>
      <c r="AF2330">
        <v>2</v>
      </c>
      <c r="AG2330" t="s">
        <v>1269</v>
      </c>
      <c r="AH2330" s="36">
        <f t="shared" si="36"/>
        <v>42.45</v>
      </c>
      <c r="AI2330" s="41" t="s">
        <v>1779</v>
      </c>
    </row>
    <row r="2331" spans="1:35" x14ac:dyDescent="0.25">
      <c r="A2331" s="36">
        <v>99912329</v>
      </c>
      <c r="B2331" s="17" t="s">
        <v>32</v>
      </c>
      <c r="C2331" t="s">
        <v>64</v>
      </c>
      <c r="D2331" t="s">
        <v>65</v>
      </c>
      <c r="G2331" s="17" t="s">
        <v>35</v>
      </c>
      <c r="H2331" s="17">
        <v>1</v>
      </c>
      <c r="I2331">
        <v>0</v>
      </c>
      <c r="J2331" s="1">
        <v>43344</v>
      </c>
      <c r="K2331" t="s">
        <v>223</v>
      </c>
      <c r="L2331" t="s">
        <v>224</v>
      </c>
      <c r="M2331" t="s">
        <v>131</v>
      </c>
      <c r="N2331">
        <v>21</v>
      </c>
      <c r="O2331" t="s">
        <v>40</v>
      </c>
      <c r="P2331" t="s">
        <v>40</v>
      </c>
      <c r="Q2331" t="s">
        <v>40</v>
      </c>
      <c r="R2331" t="s">
        <v>40</v>
      </c>
      <c r="S2331" t="s">
        <v>40</v>
      </c>
      <c r="U2331" s="1">
        <v>43344</v>
      </c>
      <c r="V2331" t="s">
        <v>41</v>
      </c>
      <c r="W2331" t="s">
        <v>42</v>
      </c>
      <c r="X2331" t="str">
        <f>"0580202"</f>
        <v>0580202</v>
      </c>
      <c r="Y2331" t="s">
        <v>240</v>
      </c>
      <c r="Z2331" t="s">
        <v>223</v>
      </c>
      <c r="AA2331" t="s">
        <v>224</v>
      </c>
      <c r="AB2331" t="s">
        <v>131</v>
      </c>
      <c r="AC2331" t="s">
        <v>44</v>
      </c>
      <c r="AD2331" t="s">
        <v>45</v>
      </c>
      <c r="AE2331" s="1">
        <v>28174</v>
      </c>
      <c r="AF2331">
        <v>2</v>
      </c>
      <c r="AG2331" t="s">
        <v>224</v>
      </c>
      <c r="AH2331" s="36">
        <f t="shared" si="36"/>
        <v>42.452777777777776</v>
      </c>
      <c r="AI2331" s="41" t="s">
        <v>1779</v>
      </c>
    </row>
    <row r="2332" spans="1:35" x14ac:dyDescent="0.25">
      <c r="A2332" s="36">
        <v>99912330</v>
      </c>
      <c r="B2332" s="17" t="s">
        <v>32</v>
      </c>
      <c r="C2332" t="s">
        <v>90</v>
      </c>
      <c r="D2332" t="s">
        <v>91</v>
      </c>
      <c r="G2332" s="17" t="s">
        <v>35</v>
      </c>
      <c r="H2332" s="17">
        <v>1</v>
      </c>
      <c r="I2332" t="s">
        <v>650</v>
      </c>
      <c r="J2332" s="1">
        <v>43344</v>
      </c>
      <c r="K2332" t="s">
        <v>268</v>
      </c>
      <c r="L2332" t="s">
        <v>269</v>
      </c>
      <c r="M2332" t="s">
        <v>131</v>
      </c>
      <c r="N2332">
        <v>23</v>
      </c>
      <c r="O2332" t="s">
        <v>40</v>
      </c>
      <c r="S2332" t="s">
        <v>40</v>
      </c>
      <c r="U2332" s="1">
        <v>43344</v>
      </c>
      <c r="V2332" t="s">
        <v>41</v>
      </c>
      <c r="W2332" t="s">
        <v>95</v>
      </c>
      <c r="X2332" t="str">
        <f>"7052043"</f>
        <v>7052043</v>
      </c>
      <c r="Y2332" t="s">
        <v>651</v>
      </c>
      <c r="Z2332" t="s">
        <v>268</v>
      </c>
      <c r="AA2332" t="s">
        <v>269</v>
      </c>
      <c r="AB2332" t="s">
        <v>131</v>
      </c>
      <c r="AC2332" t="s">
        <v>51</v>
      </c>
      <c r="AD2332" t="s">
        <v>45</v>
      </c>
      <c r="AE2332" s="1">
        <v>28173</v>
      </c>
      <c r="AF2332">
        <v>1</v>
      </c>
      <c r="AG2332" t="s">
        <v>269</v>
      </c>
      <c r="AH2332" s="36">
        <f t="shared" si="36"/>
        <v>42.455555555555556</v>
      </c>
      <c r="AI2332" s="41" t="s">
        <v>1779</v>
      </c>
    </row>
    <row r="2333" spans="1:35" x14ac:dyDescent="0.25">
      <c r="A2333" s="36">
        <v>99912331</v>
      </c>
      <c r="B2333" s="17" t="s">
        <v>32</v>
      </c>
      <c r="C2333" t="s">
        <v>64</v>
      </c>
      <c r="D2333" t="s">
        <v>65</v>
      </c>
      <c r="G2333" s="17" t="s">
        <v>48</v>
      </c>
      <c r="H2333" s="17">
        <v>1</v>
      </c>
      <c r="K2333" t="s">
        <v>1268</v>
      </c>
      <c r="L2333" t="s">
        <v>1269</v>
      </c>
      <c r="M2333" t="s">
        <v>1270</v>
      </c>
      <c r="N2333">
        <v>20</v>
      </c>
      <c r="O2333" t="s">
        <v>40</v>
      </c>
      <c r="P2333" t="s">
        <v>40</v>
      </c>
      <c r="Q2333" t="s">
        <v>40</v>
      </c>
      <c r="R2333" t="s">
        <v>40</v>
      </c>
      <c r="S2333" t="s">
        <v>40</v>
      </c>
      <c r="V2333" t="s">
        <v>41</v>
      </c>
      <c r="W2333" t="s">
        <v>42</v>
      </c>
      <c r="X2333" t="str">
        <f>"1990911"</f>
        <v>1990911</v>
      </c>
      <c r="Y2333" t="s">
        <v>1276</v>
      </c>
      <c r="Z2333" t="s">
        <v>1268</v>
      </c>
      <c r="AA2333" t="s">
        <v>1269</v>
      </c>
      <c r="AB2333" t="s">
        <v>1270</v>
      </c>
      <c r="AC2333" t="s">
        <v>51</v>
      </c>
      <c r="AD2333" t="s">
        <v>45</v>
      </c>
      <c r="AE2333" s="1">
        <v>28169</v>
      </c>
      <c r="AF2333">
        <v>2</v>
      </c>
      <c r="AG2333" t="s">
        <v>1269</v>
      </c>
      <c r="AH2333" s="36">
        <f t="shared" si="36"/>
        <v>42.466666666666669</v>
      </c>
      <c r="AI2333" s="41" t="s">
        <v>1779</v>
      </c>
    </row>
    <row r="2334" spans="1:35" x14ac:dyDescent="0.25">
      <c r="A2334" s="36">
        <v>99912332</v>
      </c>
      <c r="B2334" s="17" t="s">
        <v>56</v>
      </c>
      <c r="C2334" t="s">
        <v>46</v>
      </c>
      <c r="D2334" t="s">
        <v>47</v>
      </c>
      <c r="G2334" s="17" t="s">
        <v>35</v>
      </c>
      <c r="H2334" s="17">
        <v>1</v>
      </c>
      <c r="K2334" t="s">
        <v>223</v>
      </c>
      <c r="L2334" t="s">
        <v>224</v>
      </c>
      <c r="M2334" t="s">
        <v>131</v>
      </c>
      <c r="N2334">
        <v>18</v>
      </c>
      <c r="O2334" t="s">
        <v>40</v>
      </c>
      <c r="P2334" t="s">
        <v>40</v>
      </c>
      <c r="Q2334" t="s">
        <v>40</v>
      </c>
      <c r="S2334" t="s">
        <v>40</v>
      </c>
      <c r="V2334" t="s">
        <v>41</v>
      </c>
      <c r="W2334" t="s">
        <v>42</v>
      </c>
      <c r="X2334" t="str">
        <f>"0590903"</f>
        <v>0590903</v>
      </c>
      <c r="Y2334" t="s">
        <v>226</v>
      </c>
      <c r="Z2334" t="s">
        <v>223</v>
      </c>
      <c r="AA2334" t="s">
        <v>224</v>
      </c>
      <c r="AB2334" t="s">
        <v>131</v>
      </c>
      <c r="AC2334" t="s">
        <v>51</v>
      </c>
      <c r="AD2334" t="s">
        <v>45</v>
      </c>
      <c r="AE2334" s="1">
        <v>28161</v>
      </c>
      <c r="AF2334">
        <v>2</v>
      </c>
      <c r="AG2334" t="s">
        <v>224</v>
      </c>
      <c r="AH2334" s="36">
        <f t="shared" si="36"/>
        <v>42.488888888888887</v>
      </c>
      <c r="AI2334" s="41" t="s">
        <v>1779</v>
      </c>
    </row>
    <row r="2335" spans="1:35" x14ac:dyDescent="0.25">
      <c r="A2335" s="36">
        <v>99912333</v>
      </c>
      <c r="B2335" s="17" t="s">
        <v>56</v>
      </c>
      <c r="C2335" t="s">
        <v>151</v>
      </c>
      <c r="D2335" t="s">
        <v>152</v>
      </c>
      <c r="G2335" s="17" t="s">
        <v>48</v>
      </c>
      <c r="H2335" s="17">
        <v>1</v>
      </c>
      <c r="K2335" t="s">
        <v>380</v>
      </c>
      <c r="L2335" t="s">
        <v>381</v>
      </c>
      <c r="M2335" t="s">
        <v>131</v>
      </c>
      <c r="N2335">
        <v>8</v>
      </c>
      <c r="O2335" t="s">
        <v>40</v>
      </c>
      <c r="P2335" t="s">
        <v>40</v>
      </c>
      <c r="Q2335" t="s">
        <v>40</v>
      </c>
      <c r="R2335" t="s">
        <v>40</v>
      </c>
      <c r="S2335" t="s">
        <v>40</v>
      </c>
      <c r="V2335" t="s">
        <v>41</v>
      </c>
      <c r="W2335" t="s">
        <v>49</v>
      </c>
      <c r="X2335" t="str">
        <f>"0580552"</f>
        <v>0580552</v>
      </c>
      <c r="Y2335" t="s">
        <v>386</v>
      </c>
      <c r="Z2335" t="s">
        <v>380</v>
      </c>
      <c r="AA2335" t="s">
        <v>381</v>
      </c>
      <c r="AB2335" t="s">
        <v>131</v>
      </c>
      <c r="AC2335" t="s">
        <v>51</v>
      </c>
      <c r="AD2335" t="s">
        <v>45</v>
      </c>
      <c r="AE2335" s="1">
        <v>28158</v>
      </c>
      <c r="AF2335">
        <v>2</v>
      </c>
      <c r="AG2335" t="s">
        <v>381</v>
      </c>
      <c r="AH2335" s="36">
        <f t="shared" si="36"/>
        <v>42.49722222222222</v>
      </c>
      <c r="AI2335" s="41" t="s">
        <v>1779</v>
      </c>
    </row>
    <row r="2336" spans="1:35" x14ac:dyDescent="0.25">
      <c r="A2336" s="36">
        <v>99912334</v>
      </c>
      <c r="B2336" s="17" t="s">
        <v>56</v>
      </c>
      <c r="C2336" t="s">
        <v>111</v>
      </c>
      <c r="D2336" t="s">
        <v>112</v>
      </c>
      <c r="G2336" s="17" t="s">
        <v>35</v>
      </c>
      <c r="H2336" s="17">
        <v>7</v>
      </c>
      <c r="K2336" t="s">
        <v>268</v>
      </c>
      <c r="L2336" t="s">
        <v>269</v>
      </c>
      <c r="M2336" t="s">
        <v>131</v>
      </c>
      <c r="N2336">
        <v>22</v>
      </c>
      <c r="O2336" t="s">
        <v>40</v>
      </c>
      <c r="P2336" t="s">
        <v>40</v>
      </c>
      <c r="Q2336" t="s">
        <v>40</v>
      </c>
      <c r="R2336" t="s">
        <v>40</v>
      </c>
      <c r="S2336" t="s">
        <v>40</v>
      </c>
      <c r="V2336" t="s">
        <v>41</v>
      </c>
      <c r="W2336" t="s">
        <v>75</v>
      </c>
      <c r="X2336" t="str">
        <f>"7052004"</f>
        <v>7052004</v>
      </c>
      <c r="Y2336" t="s">
        <v>584</v>
      </c>
      <c r="Z2336" t="s">
        <v>268</v>
      </c>
      <c r="AA2336" t="s">
        <v>269</v>
      </c>
      <c r="AB2336" t="s">
        <v>131</v>
      </c>
      <c r="AC2336" t="s">
        <v>165</v>
      </c>
      <c r="AD2336" t="s">
        <v>45</v>
      </c>
      <c r="AE2336" s="1">
        <v>28157</v>
      </c>
      <c r="AF2336">
        <v>1</v>
      </c>
      <c r="AG2336" t="s">
        <v>269</v>
      </c>
      <c r="AH2336" s="36">
        <f t="shared" si="36"/>
        <v>42.5</v>
      </c>
      <c r="AI2336" s="41" t="s">
        <v>1779</v>
      </c>
    </row>
    <row r="2337" spans="1:35" x14ac:dyDescent="0.25">
      <c r="A2337" s="36">
        <v>99912335</v>
      </c>
      <c r="B2337" s="17" t="s">
        <v>32</v>
      </c>
      <c r="C2337" t="s">
        <v>52</v>
      </c>
      <c r="D2337" t="s">
        <v>53</v>
      </c>
      <c r="G2337" s="17" t="s">
        <v>35</v>
      </c>
      <c r="H2337" s="17">
        <v>1</v>
      </c>
      <c r="I2337" t="s">
        <v>288</v>
      </c>
      <c r="J2337" s="1">
        <v>42676</v>
      </c>
      <c r="K2337" t="s">
        <v>223</v>
      </c>
      <c r="L2337" t="s">
        <v>224</v>
      </c>
      <c r="M2337" t="s">
        <v>131</v>
      </c>
      <c r="N2337">
        <v>21</v>
      </c>
      <c r="O2337" t="s">
        <v>40</v>
      </c>
      <c r="P2337" t="s">
        <v>40</v>
      </c>
      <c r="Q2337" t="s">
        <v>40</v>
      </c>
      <c r="R2337" t="s">
        <v>40</v>
      </c>
      <c r="S2337" t="s">
        <v>40</v>
      </c>
      <c r="U2337" s="1">
        <v>42676</v>
      </c>
      <c r="V2337" t="s">
        <v>41</v>
      </c>
      <c r="W2337" t="s">
        <v>49</v>
      </c>
      <c r="X2337" t="str">
        <f>"0591907"</f>
        <v>0591907</v>
      </c>
      <c r="Y2337" t="s">
        <v>243</v>
      </c>
      <c r="Z2337" t="s">
        <v>223</v>
      </c>
      <c r="AA2337" t="s">
        <v>224</v>
      </c>
      <c r="AB2337" t="s">
        <v>131</v>
      </c>
      <c r="AC2337" t="s">
        <v>165</v>
      </c>
      <c r="AD2337" t="s">
        <v>45</v>
      </c>
      <c r="AE2337" s="1">
        <v>28155</v>
      </c>
      <c r="AF2337">
        <v>2</v>
      </c>
      <c r="AG2337" t="s">
        <v>224</v>
      </c>
      <c r="AH2337" s="36">
        <f t="shared" si="36"/>
        <v>42.505555555555553</v>
      </c>
      <c r="AI2337" s="41" t="s">
        <v>1779</v>
      </c>
    </row>
    <row r="2338" spans="1:35" x14ac:dyDescent="0.25">
      <c r="A2338" s="36">
        <v>99912336</v>
      </c>
      <c r="B2338" s="17" t="s">
        <v>32</v>
      </c>
      <c r="C2338" t="s">
        <v>111</v>
      </c>
      <c r="D2338" t="s">
        <v>112</v>
      </c>
      <c r="G2338" s="17" t="s">
        <v>48</v>
      </c>
      <c r="H2338" s="17">
        <v>7</v>
      </c>
      <c r="K2338" t="s">
        <v>1426</v>
      </c>
      <c r="L2338" t="s">
        <v>1427</v>
      </c>
      <c r="M2338" t="s">
        <v>1270</v>
      </c>
      <c r="N2338">
        <v>22</v>
      </c>
      <c r="O2338" t="s">
        <v>40</v>
      </c>
      <c r="P2338" t="s">
        <v>40</v>
      </c>
      <c r="Q2338" t="s">
        <v>40</v>
      </c>
      <c r="R2338" t="s">
        <v>40</v>
      </c>
      <c r="S2338" t="s">
        <v>40</v>
      </c>
      <c r="V2338" t="s">
        <v>41</v>
      </c>
      <c r="W2338" t="s">
        <v>75</v>
      </c>
      <c r="X2338" t="str">
        <f>"7192000"</f>
        <v>7192000</v>
      </c>
      <c r="Y2338" t="s">
        <v>1429</v>
      </c>
      <c r="Z2338" t="s">
        <v>1426</v>
      </c>
      <c r="AA2338" t="s">
        <v>1427</v>
      </c>
      <c r="AB2338" t="s">
        <v>1270</v>
      </c>
      <c r="AC2338" t="s">
        <v>51</v>
      </c>
      <c r="AD2338" t="s">
        <v>45</v>
      </c>
      <c r="AE2338" s="1">
        <v>28151</v>
      </c>
      <c r="AF2338">
        <v>1</v>
      </c>
      <c r="AG2338" t="s">
        <v>1427</v>
      </c>
      <c r="AH2338" s="36">
        <f t="shared" si="36"/>
        <v>42.516666666666666</v>
      </c>
      <c r="AI2338" s="41" t="s">
        <v>1779</v>
      </c>
    </row>
    <row r="2339" spans="1:35" x14ac:dyDescent="0.25">
      <c r="A2339" s="36">
        <v>99912337</v>
      </c>
      <c r="B2339" s="17" t="s">
        <v>32</v>
      </c>
      <c r="C2339" t="s">
        <v>204</v>
      </c>
      <c r="D2339" t="s">
        <v>205</v>
      </c>
      <c r="G2339" s="17" t="s">
        <v>35</v>
      </c>
      <c r="H2339" s="17">
        <v>1</v>
      </c>
      <c r="I2339" t="s">
        <v>340</v>
      </c>
      <c r="J2339" s="1">
        <v>43368</v>
      </c>
      <c r="K2339" t="s">
        <v>300</v>
      </c>
      <c r="L2339" t="s">
        <v>301</v>
      </c>
      <c r="M2339" t="s">
        <v>131</v>
      </c>
      <c r="N2339">
        <v>8</v>
      </c>
      <c r="O2339" t="s">
        <v>40</v>
      </c>
      <c r="S2339" t="s">
        <v>40</v>
      </c>
      <c r="U2339" s="1">
        <v>43368</v>
      </c>
      <c r="V2339" t="s">
        <v>41</v>
      </c>
      <c r="W2339" t="s">
        <v>49</v>
      </c>
      <c r="X2339" t="str">
        <f>"0560020"</f>
        <v>0560020</v>
      </c>
      <c r="Y2339" t="s">
        <v>302</v>
      </c>
      <c r="Z2339" t="s">
        <v>300</v>
      </c>
      <c r="AA2339" t="s">
        <v>301</v>
      </c>
      <c r="AB2339" t="s">
        <v>131</v>
      </c>
      <c r="AC2339" t="s">
        <v>44</v>
      </c>
      <c r="AD2339" t="s">
        <v>45</v>
      </c>
      <c r="AE2339" s="1">
        <v>28144</v>
      </c>
      <c r="AF2339">
        <v>2</v>
      </c>
      <c r="AG2339" t="s">
        <v>301</v>
      </c>
      <c r="AH2339" s="36">
        <f t="shared" si="36"/>
        <v>42.536111111111111</v>
      </c>
      <c r="AI2339" s="41" t="s">
        <v>1779</v>
      </c>
    </row>
    <row r="2340" spans="1:35" x14ac:dyDescent="0.25">
      <c r="A2340" s="36">
        <v>99912338</v>
      </c>
      <c r="B2340" s="17" t="s">
        <v>56</v>
      </c>
      <c r="C2340" t="s">
        <v>52</v>
      </c>
      <c r="D2340" t="s">
        <v>53</v>
      </c>
      <c r="G2340" s="17" t="s">
        <v>35</v>
      </c>
      <c r="H2340" s="17">
        <v>1</v>
      </c>
      <c r="I2340">
        <v>0</v>
      </c>
      <c r="J2340" s="1">
        <v>43344</v>
      </c>
      <c r="K2340" t="s">
        <v>223</v>
      </c>
      <c r="L2340" t="s">
        <v>224</v>
      </c>
      <c r="M2340" t="s">
        <v>131</v>
      </c>
      <c r="N2340">
        <v>8</v>
      </c>
      <c r="O2340" t="s">
        <v>40</v>
      </c>
      <c r="P2340" t="s">
        <v>40</v>
      </c>
      <c r="Q2340" t="s">
        <v>40</v>
      </c>
      <c r="R2340" t="s">
        <v>40</v>
      </c>
      <c r="S2340" t="s">
        <v>40</v>
      </c>
      <c r="U2340" s="1">
        <v>43344</v>
      </c>
      <c r="V2340" t="s">
        <v>41</v>
      </c>
      <c r="W2340" t="s">
        <v>49</v>
      </c>
      <c r="X2340" t="str">
        <f>"0591901"</f>
        <v>0591901</v>
      </c>
      <c r="Y2340" t="s">
        <v>230</v>
      </c>
      <c r="Z2340" t="s">
        <v>223</v>
      </c>
      <c r="AA2340" t="s">
        <v>224</v>
      </c>
      <c r="AB2340" t="s">
        <v>131</v>
      </c>
      <c r="AC2340" t="s">
        <v>44</v>
      </c>
      <c r="AD2340" t="s">
        <v>45</v>
      </c>
      <c r="AE2340" s="1">
        <v>28141</v>
      </c>
      <c r="AF2340">
        <v>2</v>
      </c>
      <c r="AG2340" t="s">
        <v>224</v>
      </c>
      <c r="AH2340" s="36">
        <f t="shared" si="36"/>
        <v>42.544444444444444</v>
      </c>
      <c r="AI2340" s="41" t="s">
        <v>1779</v>
      </c>
    </row>
    <row r="2341" spans="1:35" x14ac:dyDescent="0.25">
      <c r="A2341" s="36">
        <v>99912339</v>
      </c>
      <c r="B2341" s="17" t="s">
        <v>56</v>
      </c>
      <c r="C2341" t="s">
        <v>79</v>
      </c>
      <c r="D2341" t="s">
        <v>80</v>
      </c>
      <c r="G2341" s="17" t="s">
        <v>48</v>
      </c>
      <c r="H2341" s="17">
        <v>1</v>
      </c>
      <c r="K2341" t="s">
        <v>431</v>
      </c>
      <c r="L2341" t="s">
        <v>196</v>
      </c>
      <c r="M2341" t="s">
        <v>131</v>
      </c>
      <c r="N2341">
        <v>4</v>
      </c>
      <c r="O2341" t="s">
        <v>40</v>
      </c>
      <c r="P2341" t="s">
        <v>40</v>
      </c>
      <c r="Q2341" t="s">
        <v>40</v>
      </c>
      <c r="R2341" t="s">
        <v>40</v>
      </c>
      <c r="S2341" t="s">
        <v>40</v>
      </c>
      <c r="V2341" t="s">
        <v>41</v>
      </c>
      <c r="W2341" t="s">
        <v>75</v>
      </c>
      <c r="X2341" t="str">
        <f>"7521012"</f>
        <v>7521012</v>
      </c>
      <c r="Y2341" t="s">
        <v>432</v>
      </c>
      <c r="Z2341" t="s">
        <v>431</v>
      </c>
      <c r="AA2341" t="s">
        <v>196</v>
      </c>
      <c r="AB2341" t="s">
        <v>131</v>
      </c>
      <c r="AC2341" t="s">
        <v>51</v>
      </c>
      <c r="AD2341" t="s">
        <v>45</v>
      </c>
      <c r="AE2341" s="1">
        <v>28138</v>
      </c>
      <c r="AF2341">
        <v>1</v>
      </c>
      <c r="AG2341" t="s">
        <v>196</v>
      </c>
      <c r="AH2341" s="36">
        <f t="shared" si="36"/>
        <v>42.552777777777777</v>
      </c>
      <c r="AI2341" s="41" t="s">
        <v>1779</v>
      </c>
    </row>
    <row r="2342" spans="1:35" x14ac:dyDescent="0.25">
      <c r="A2342" s="36">
        <v>99912340</v>
      </c>
      <c r="B2342" s="17" t="s">
        <v>56</v>
      </c>
      <c r="C2342" t="s">
        <v>79</v>
      </c>
      <c r="D2342" t="s">
        <v>80</v>
      </c>
      <c r="G2342" s="17" t="s">
        <v>35</v>
      </c>
      <c r="H2342" s="17">
        <v>1</v>
      </c>
      <c r="K2342" t="s">
        <v>154</v>
      </c>
      <c r="L2342" t="s">
        <v>155</v>
      </c>
      <c r="M2342" t="s">
        <v>131</v>
      </c>
      <c r="N2342">
        <v>23</v>
      </c>
      <c r="O2342" t="s">
        <v>40</v>
      </c>
      <c r="P2342" t="s">
        <v>40</v>
      </c>
      <c r="Q2342" t="s">
        <v>40</v>
      </c>
      <c r="S2342" t="s">
        <v>40</v>
      </c>
      <c r="V2342" t="s">
        <v>41</v>
      </c>
      <c r="W2342" t="s">
        <v>75</v>
      </c>
      <c r="X2342" t="str">
        <f>"7700026"</f>
        <v>7700026</v>
      </c>
      <c r="Y2342" t="s">
        <v>397</v>
      </c>
      <c r="Z2342" t="s">
        <v>154</v>
      </c>
      <c r="AA2342" t="s">
        <v>155</v>
      </c>
      <c r="AB2342" t="s">
        <v>131</v>
      </c>
      <c r="AC2342" t="s">
        <v>51</v>
      </c>
      <c r="AD2342" t="s">
        <v>45</v>
      </c>
      <c r="AE2342" s="1">
        <v>28137</v>
      </c>
      <c r="AF2342">
        <v>1</v>
      </c>
      <c r="AG2342" t="s">
        <v>155</v>
      </c>
      <c r="AH2342" s="36">
        <f t="shared" si="36"/>
        <v>42.555555555555557</v>
      </c>
      <c r="AI2342" s="41" t="s">
        <v>1779</v>
      </c>
    </row>
    <row r="2343" spans="1:35" x14ac:dyDescent="0.25">
      <c r="A2343" s="36">
        <v>99912341</v>
      </c>
      <c r="B2343" s="17" t="s">
        <v>32</v>
      </c>
      <c r="C2343" t="s">
        <v>64</v>
      </c>
      <c r="D2343" t="s">
        <v>65</v>
      </c>
      <c r="G2343" s="17" t="s">
        <v>35</v>
      </c>
      <c r="H2343" s="17">
        <v>1</v>
      </c>
      <c r="K2343" t="s">
        <v>1341</v>
      </c>
      <c r="L2343" t="s">
        <v>1342</v>
      </c>
      <c r="M2343" t="s">
        <v>1270</v>
      </c>
      <c r="N2343">
        <v>23</v>
      </c>
      <c r="O2343" t="s">
        <v>40</v>
      </c>
      <c r="P2343" t="s">
        <v>40</v>
      </c>
      <c r="Q2343" t="s">
        <v>40</v>
      </c>
      <c r="S2343" t="s">
        <v>40</v>
      </c>
      <c r="V2343" t="s">
        <v>41</v>
      </c>
      <c r="W2343" t="s">
        <v>75</v>
      </c>
      <c r="X2343" t="str">
        <f>"7191006"</f>
        <v>7191006</v>
      </c>
      <c r="Y2343" t="s">
        <v>1351</v>
      </c>
      <c r="Z2343" t="s">
        <v>1341</v>
      </c>
      <c r="AA2343" t="s">
        <v>1342</v>
      </c>
      <c r="AB2343" t="s">
        <v>1270</v>
      </c>
      <c r="AC2343" t="s">
        <v>51</v>
      </c>
      <c r="AD2343" t="s">
        <v>45</v>
      </c>
      <c r="AE2343" s="1">
        <v>28137</v>
      </c>
      <c r="AF2343">
        <v>1</v>
      </c>
      <c r="AG2343" t="s">
        <v>1342</v>
      </c>
      <c r="AH2343" s="36">
        <f t="shared" si="36"/>
        <v>42.555555555555557</v>
      </c>
      <c r="AI2343" s="41" t="s">
        <v>1779</v>
      </c>
    </row>
    <row r="2344" spans="1:35" x14ac:dyDescent="0.25">
      <c r="A2344" s="36">
        <v>99912342</v>
      </c>
      <c r="B2344" s="17" t="s">
        <v>32</v>
      </c>
      <c r="C2344" t="s">
        <v>68</v>
      </c>
      <c r="D2344" t="s">
        <v>69</v>
      </c>
      <c r="G2344" s="17" t="s">
        <v>35</v>
      </c>
      <c r="H2344" s="17">
        <v>1</v>
      </c>
      <c r="K2344" t="s">
        <v>223</v>
      </c>
      <c r="L2344" t="s">
        <v>224</v>
      </c>
      <c r="M2344" t="s">
        <v>131</v>
      </c>
      <c r="N2344">
        <v>10</v>
      </c>
      <c r="O2344" t="s">
        <v>40</v>
      </c>
      <c r="P2344" t="s">
        <v>40</v>
      </c>
      <c r="Q2344" t="s">
        <v>40</v>
      </c>
      <c r="S2344" t="s">
        <v>40</v>
      </c>
      <c r="V2344" t="s">
        <v>41</v>
      </c>
      <c r="W2344" t="s">
        <v>42</v>
      </c>
      <c r="X2344" t="str">
        <f>"0580200"</f>
        <v>0580200</v>
      </c>
      <c r="Y2344" t="s">
        <v>245</v>
      </c>
      <c r="Z2344" t="s">
        <v>223</v>
      </c>
      <c r="AA2344" t="s">
        <v>224</v>
      </c>
      <c r="AB2344" t="s">
        <v>131</v>
      </c>
      <c r="AC2344" t="s">
        <v>51</v>
      </c>
      <c r="AD2344" t="s">
        <v>45</v>
      </c>
      <c r="AE2344" s="1">
        <v>28135</v>
      </c>
      <c r="AF2344">
        <v>2</v>
      </c>
      <c r="AG2344" t="s">
        <v>224</v>
      </c>
      <c r="AH2344" s="36">
        <f t="shared" si="36"/>
        <v>42.56111111111111</v>
      </c>
      <c r="AI2344" s="41" t="s">
        <v>1779</v>
      </c>
    </row>
    <row r="2345" spans="1:35" x14ac:dyDescent="0.25">
      <c r="A2345" s="36">
        <v>99912343</v>
      </c>
      <c r="B2345" s="17" t="s">
        <v>32</v>
      </c>
      <c r="C2345" t="s">
        <v>82</v>
      </c>
      <c r="D2345" t="s">
        <v>83</v>
      </c>
      <c r="G2345" s="17" t="s">
        <v>48</v>
      </c>
      <c r="H2345" s="17">
        <v>1</v>
      </c>
      <c r="K2345" t="s">
        <v>157</v>
      </c>
      <c r="L2345" t="s">
        <v>158</v>
      </c>
      <c r="M2345" t="s">
        <v>131</v>
      </c>
      <c r="N2345">
        <v>12</v>
      </c>
      <c r="O2345" t="s">
        <v>40</v>
      </c>
      <c r="P2345" t="s">
        <v>40</v>
      </c>
      <c r="Q2345" t="s">
        <v>40</v>
      </c>
      <c r="S2345" t="s">
        <v>40</v>
      </c>
      <c r="V2345" t="s">
        <v>41</v>
      </c>
      <c r="W2345" t="s">
        <v>42</v>
      </c>
      <c r="X2345" t="str">
        <f>"0580735"</f>
        <v>0580735</v>
      </c>
      <c r="Y2345" t="s">
        <v>180</v>
      </c>
      <c r="Z2345" t="s">
        <v>157</v>
      </c>
      <c r="AA2345" t="s">
        <v>158</v>
      </c>
      <c r="AB2345" t="s">
        <v>131</v>
      </c>
      <c r="AC2345" t="s">
        <v>51</v>
      </c>
      <c r="AD2345" t="s">
        <v>45</v>
      </c>
      <c r="AE2345" s="1">
        <v>28131</v>
      </c>
      <c r="AF2345">
        <v>2</v>
      </c>
      <c r="AG2345" t="s">
        <v>158</v>
      </c>
      <c r="AH2345" s="36">
        <f t="shared" si="36"/>
        <v>42.572222222222223</v>
      </c>
      <c r="AI2345" s="41" t="s">
        <v>1779</v>
      </c>
    </row>
    <row r="2346" spans="1:35" x14ac:dyDescent="0.25">
      <c r="A2346" s="36">
        <v>99912344</v>
      </c>
      <c r="B2346" s="17" t="s">
        <v>32</v>
      </c>
      <c r="C2346" t="s">
        <v>139</v>
      </c>
      <c r="D2346" t="s">
        <v>140</v>
      </c>
      <c r="G2346" s="17" t="s">
        <v>48</v>
      </c>
      <c r="H2346" s="17">
        <v>1</v>
      </c>
      <c r="K2346" t="s">
        <v>345</v>
      </c>
      <c r="L2346" t="s">
        <v>346</v>
      </c>
      <c r="M2346" t="s">
        <v>131</v>
      </c>
      <c r="N2346">
        <v>21</v>
      </c>
      <c r="O2346" t="s">
        <v>40</v>
      </c>
      <c r="P2346" t="s">
        <v>40</v>
      </c>
      <c r="Q2346" t="s">
        <v>40</v>
      </c>
      <c r="R2346" t="s">
        <v>40</v>
      </c>
      <c r="S2346" t="s">
        <v>40</v>
      </c>
      <c r="V2346" t="s">
        <v>41</v>
      </c>
      <c r="W2346" t="s">
        <v>42</v>
      </c>
      <c r="X2346" t="str">
        <f>"0590906"</f>
        <v>0590906</v>
      </c>
      <c r="Y2346" t="s">
        <v>361</v>
      </c>
      <c r="Z2346" t="s">
        <v>345</v>
      </c>
      <c r="AA2346" t="s">
        <v>346</v>
      </c>
      <c r="AB2346" t="s">
        <v>131</v>
      </c>
      <c r="AC2346" t="s">
        <v>51</v>
      </c>
      <c r="AD2346" t="s">
        <v>45</v>
      </c>
      <c r="AE2346" s="1">
        <v>28129</v>
      </c>
      <c r="AF2346">
        <v>2</v>
      </c>
      <c r="AG2346" t="s">
        <v>346</v>
      </c>
      <c r="AH2346" s="36">
        <f t="shared" si="36"/>
        <v>42.577777777777776</v>
      </c>
      <c r="AI2346" s="41" t="s">
        <v>1779</v>
      </c>
    </row>
    <row r="2347" spans="1:35" x14ac:dyDescent="0.25">
      <c r="A2347" s="36">
        <v>99912345</v>
      </c>
      <c r="B2347" s="17" t="s">
        <v>56</v>
      </c>
      <c r="C2347" t="s">
        <v>71</v>
      </c>
      <c r="D2347" t="s">
        <v>72</v>
      </c>
      <c r="G2347" s="17" t="s">
        <v>48</v>
      </c>
      <c r="H2347" s="17">
        <v>1</v>
      </c>
      <c r="I2347" t="s">
        <v>219</v>
      </c>
      <c r="J2347" s="1">
        <v>40057</v>
      </c>
      <c r="K2347" t="s">
        <v>162</v>
      </c>
      <c r="L2347" t="s">
        <v>158</v>
      </c>
      <c r="M2347" t="s">
        <v>131</v>
      </c>
      <c r="N2347">
        <v>22</v>
      </c>
      <c r="O2347" t="s">
        <v>40</v>
      </c>
      <c r="P2347" t="s">
        <v>40</v>
      </c>
      <c r="Q2347" t="s">
        <v>40</v>
      </c>
      <c r="R2347" t="s">
        <v>40</v>
      </c>
      <c r="S2347" t="s">
        <v>40</v>
      </c>
      <c r="U2347" s="1">
        <v>40057</v>
      </c>
      <c r="V2347" t="s">
        <v>41</v>
      </c>
      <c r="W2347" t="s">
        <v>75</v>
      </c>
      <c r="X2347" t="str">
        <f>"7521050"</f>
        <v>7521050</v>
      </c>
      <c r="Y2347" t="s">
        <v>194</v>
      </c>
      <c r="Z2347" t="s">
        <v>195</v>
      </c>
      <c r="AA2347" t="s">
        <v>196</v>
      </c>
      <c r="AB2347" t="s">
        <v>131</v>
      </c>
      <c r="AC2347" t="s">
        <v>51</v>
      </c>
      <c r="AD2347" t="s">
        <v>45</v>
      </c>
      <c r="AE2347" s="1">
        <v>28128</v>
      </c>
      <c r="AF2347">
        <v>2</v>
      </c>
      <c r="AG2347" t="s">
        <v>158</v>
      </c>
      <c r="AH2347" s="36">
        <f t="shared" si="36"/>
        <v>42.580555555555556</v>
      </c>
      <c r="AI2347" s="41" t="s">
        <v>1779</v>
      </c>
    </row>
    <row r="2348" spans="1:35" x14ac:dyDescent="0.25">
      <c r="A2348" s="36">
        <v>99912346</v>
      </c>
      <c r="B2348" s="17" t="s">
        <v>56</v>
      </c>
      <c r="C2348" t="s">
        <v>82</v>
      </c>
      <c r="D2348" t="s">
        <v>83</v>
      </c>
      <c r="G2348" s="17" t="s">
        <v>48</v>
      </c>
      <c r="H2348" s="17">
        <v>1</v>
      </c>
      <c r="I2348" t="s">
        <v>212</v>
      </c>
      <c r="J2348" s="1">
        <v>41614</v>
      </c>
      <c r="K2348" t="s">
        <v>162</v>
      </c>
      <c r="L2348" t="s">
        <v>158</v>
      </c>
      <c r="M2348" t="s">
        <v>131</v>
      </c>
      <c r="N2348">
        <v>20</v>
      </c>
      <c r="O2348" t="s">
        <v>40</v>
      </c>
      <c r="P2348" t="s">
        <v>40</v>
      </c>
      <c r="Q2348" t="s">
        <v>40</v>
      </c>
      <c r="R2348" t="s">
        <v>40</v>
      </c>
      <c r="S2348" t="s">
        <v>40</v>
      </c>
      <c r="U2348" s="1">
        <v>41614</v>
      </c>
      <c r="V2348" t="s">
        <v>41</v>
      </c>
      <c r="W2348" t="s">
        <v>42</v>
      </c>
      <c r="X2348" t="str">
        <f>"0580320"</f>
        <v>0580320</v>
      </c>
      <c r="Y2348" t="s">
        <v>164</v>
      </c>
      <c r="Z2348" t="s">
        <v>162</v>
      </c>
      <c r="AA2348" t="s">
        <v>158</v>
      </c>
      <c r="AB2348" t="s">
        <v>131</v>
      </c>
      <c r="AC2348" t="s">
        <v>51</v>
      </c>
      <c r="AD2348" t="s">
        <v>45</v>
      </c>
      <c r="AE2348" s="1">
        <v>28126</v>
      </c>
      <c r="AF2348">
        <v>2</v>
      </c>
      <c r="AG2348" t="s">
        <v>158</v>
      </c>
      <c r="AH2348" s="36">
        <f t="shared" si="36"/>
        <v>42.586111111111109</v>
      </c>
      <c r="AI2348" s="41" t="s">
        <v>1779</v>
      </c>
    </row>
    <row r="2349" spans="1:35" x14ac:dyDescent="0.25">
      <c r="A2349" s="36">
        <v>99912347</v>
      </c>
      <c r="B2349" s="17" t="s">
        <v>56</v>
      </c>
      <c r="C2349" t="s">
        <v>61</v>
      </c>
      <c r="D2349" t="s">
        <v>62</v>
      </c>
      <c r="G2349" s="17" t="s">
        <v>35</v>
      </c>
      <c r="H2349" s="17">
        <v>1</v>
      </c>
      <c r="K2349" t="s">
        <v>157</v>
      </c>
      <c r="L2349" t="s">
        <v>158</v>
      </c>
      <c r="M2349" t="s">
        <v>131</v>
      </c>
      <c r="N2349">
        <v>1</v>
      </c>
      <c r="O2349" t="s">
        <v>40</v>
      </c>
      <c r="P2349" t="s">
        <v>40</v>
      </c>
      <c r="Q2349" t="s">
        <v>40</v>
      </c>
      <c r="R2349" t="s">
        <v>40</v>
      </c>
      <c r="S2349" t="s">
        <v>40</v>
      </c>
      <c r="V2349" t="s">
        <v>41</v>
      </c>
      <c r="W2349" t="s">
        <v>49</v>
      </c>
      <c r="X2349" t="str">
        <f>"0580505"</f>
        <v>0580505</v>
      </c>
      <c r="Y2349" t="s">
        <v>168</v>
      </c>
      <c r="Z2349" t="s">
        <v>157</v>
      </c>
      <c r="AA2349" t="s">
        <v>158</v>
      </c>
      <c r="AB2349" t="s">
        <v>131</v>
      </c>
      <c r="AC2349" t="s">
        <v>51</v>
      </c>
      <c r="AD2349" t="s">
        <v>45</v>
      </c>
      <c r="AE2349" s="1">
        <v>28126</v>
      </c>
      <c r="AF2349">
        <v>2</v>
      </c>
      <c r="AG2349" t="s">
        <v>158</v>
      </c>
      <c r="AH2349" s="36">
        <f t="shared" si="36"/>
        <v>42.586111111111109</v>
      </c>
      <c r="AI2349" s="41" t="s">
        <v>1779</v>
      </c>
    </row>
    <row r="2350" spans="1:35" x14ac:dyDescent="0.25">
      <c r="A2350" s="36">
        <v>99912348</v>
      </c>
      <c r="B2350" s="17" t="s">
        <v>32</v>
      </c>
      <c r="C2350" t="s">
        <v>141</v>
      </c>
      <c r="D2350" t="s">
        <v>142</v>
      </c>
      <c r="G2350" s="17" t="s">
        <v>48</v>
      </c>
      <c r="H2350" s="17">
        <v>1</v>
      </c>
      <c r="K2350" t="s">
        <v>162</v>
      </c>
      <c r="L2350" t="s">
        <v>158</v>
      </c>
      <c r="M2350" t="s">
        <v>131</v>
      </c>
      <c r="N2350">
        <v>19</v>
      </c>
      <c r="O2350" t="s">
        <v>40</v>
      </c>
      <c r="P2350" t="s">
        <v>40</v>
      </c>
      <c r="Q2350" t="s">
        <v>40</v>
      </c>
      <c r="R2350" t="s">
        <v>40</v>
      </c>
      <c r="S2350" t="s">
        <v>40</v>
      </c>
      <c r="V2350" t="s">
        <v>41</v>
      </c>
      <c r="W2350" t="s">
        <v>42</v>
      </c>
      <c r="X2350" t="str">
        <f>"0580320"</f>
        <v>0580320</v>
      </c>
      <c r="Y2350" t="s">
        <v>164</v>
      </c>
      <c r="Z2350" t="s">
        <v>162</v>
      </c>
      <c r="AA2350" t="s">
        <v>158</v>
      </c>
      <c r="AB2350" t="s">
        <v>131</v>
      </c>
      <c r="AC2350" t="s">
        <v>51</v>
      </c>
      <c r="AD2350" t="s">
        <v>45</v>
      </c>
      <c r="AE2350" s="1">
        <v>28126</v>
      </c>
      <c r="AF2350">
        <v>2</v>
      </c>
      <c r="AG2350" t="s">
        <v>158</v>
      </c>
      <c r="AH2350" s="36">
        <f t="shared" si="36"/>
        <v>42.586111111111109</v>
      </c>
      <c r="AI2350" s="41" t="s">
        <v>1779</v>
      </c>
    </row>
    <row r="2351" spans="1:35" x14ac:dyDescent="0.25">
      <c r="A2351" s="36">
        <v>99912349</v>
      </c>
      <c r="B2351" s="17" t="s">
        <v>56</v>
      </c>
      <c r="C2351" t="s">
        <v>46</v>
      </c>
      <c r="D2351" t="s">
        <v>47</v>
      </c>
      <c r="G2351" s="17" t="s">
        <v>48</v>
      </c>
      <c r="H2351" s="17">
        <v>1</v>
      </c>
      <c r="K2351" t="s">
        <v>223</v>
      </c>
      <c r="L2351" t="s">
        <v>224</v>
      </c>
      <c r="M2351" t="s">
        <v>131</v>
      </c>
      <c r="N2351">
        <v>20</v>
      </c>
      <c r="O2351" t="s">
        <v>40</v>
      </c>
      <c r="P2351" t="s">
        <v>40</v>
      </c>
      <c r="Q2351" t="s">
        <v>40</v>
      </c>
      <c r="R2351" t="s">
        <v>40</v>
      </c>
      <c r="S2351" t="s">
        <v>40</v>
      </c>
      <c r="V2351" t="s">
        <v>41</v>
      </c>
      <c r="W2351" t="s">
        <v>42</v>
      </c>
      <c r="X2351" t="str">
        <f>"0580202"</f>
        <v>0580202</v>
      </c>
      <c r="Y2351" t="s">
        <v>240</v>
      </c>
      <c r="Z2351" t="s">
        <v>223</v>
      </c>
      <c r="AA2351" t="s">
        <v>224</v>
      </c>
      <c r="AB2351" t="s">
        <v>131</v>
      </c>
      <c r="AC2351" t="s">
        <v>51</v>
      </c>
      <c r="AD2351" t="s">
        <v>45</v>
      </c>
      <c r="AE2351" s="1">
        <v>28126</v>
      </c>
      <c r="AF2351">
        <v>2</v>
      </c>
      <c r="AG2351" t="s">
        <v>224</v>
      </c>
      <c r="AH2351" s="36">
        <f t="shared" si="36"/>
        <v>42.586111111111109</v>
      </c>
      <c r="AI2351" s="41" t="s">
        <v>1779</v>
      </c>
    </row>
    <row r="2352" spans="1:35" x14ac:dyDescent="0.25">
      <c r="A2352" s="36">
        <v>99912350</v>
      </c>
      <c r="B2352" s="17" t="s">
        <v>56</v>
      </c>
      <c r="C2352" t="s">
        <v>52</v>
      </c>
      <c r="D2352" t="s">
        <v>53</v>
      </c>
      <c r="G2352" s="17" t="s">
        <v>48</v>
      </c>
      <c r="H2352" s="17">
        <v>1</v>
      </c>
      <c r="K2352" t="s">
        <v>223</v>
      </c>
      <c r="L2352" t="s">
        <v>224</v>
      </c>
      <c r="M2352" t="s">
        <v>131</v>
      </c>
      <c r="N2352">
        <v>21</v>
      </c>
      <c r="O2352" t="s">
        <v>40</v>
      </c>
      <c r="P2352" t="s">
        <v>40</v>
      </c>
      <c r="Q2352" t="s">
        <v>40</v>
      </c>
      <c r="R2352" t="s">
        <v>40</v>
      </c>
      <c r="S2352" t="s">
        <v>40</v>
      </c>
      <c r="V2352" t="s">
        <v>41</v>
      </c>
      <c r="W2352" t="s">
        <v>42</v>
      </c>
      <c r="X2352" t="str">
        <f>"0580395"</f>
        <v>0580395</v>
      </c>
      <c r="Y2352" t="s">
        <v>265</v>
      </c>
      <c r="Z2352" t="s">
        <v>223</v>
      </c>
      <c r="AA2352" t="s">
        <v>224</v>
      </c>
      <c r="AB2352" t="s">
        <v>131</v>
      </c>
      <c r="AC2352" t="s">
        <v>51</v>
      </c>
      <c r="AD2352" t="s">
        <v>45</v>
      </c>
      <c r="AE2352" s="1">
        <v>28126</v>
      </c>
      <c r="AF2352">
        <v>2</v>
      </c>
      <c r="AG2352" t="s">
        <v>224</v>
      </c>
      <c r="AH2352" s="36">
        <f t="shared" si="36"/>
        <v>42.586111111111109</v>
      </c>
      <c r="AI2352" s="41" t="s">
        <v>1779</v>
      </c>
    </row>
    <row r="2353" spans="1:35" x14ac:dyDescent="0.25">
      <c r="A2353" s="36">
        <v>99912351</v>
      </c>
      <c r="B2353" s="17" t="s">
        <v>32</v>
      </c>
      <c r="C2353" t="s">
        <v>139</v>
      </c>
      <c r="D2353" t="s">
        <v>140</v>
      </c>
      <c r="G2353" s="17" t="s">
        <v>35</v>
      </c>
      <c r="H2353" s="17">
        <v>1</v>
      </c>
      <c r="I2353">
        <v>18253</v>
      </c>
      <c r="J2353" s="1">
        <v>43344</v>
      </c>
      <c r="K2353" t="s">
        <v>223</v>
      </c>
      <c r="L2353" t="s">
        <v>224</v>
      </c>
      <c r="M2353" t="s">
        <v>131</v>
      </c>
      <c r="N2353">
        <v>6</v>
      </c>
      <c r="O2353" t="s">
        <v>40</v>
      </c>
      <c r="P2353" t="s">
        <v>40</v>
      </c>
      <c r="Q2353" t="s">
        <v>40</v>
      </c>
      <c r="R2353" t="s">
        <v>40</v>
      </c>
      <c r="S2353" t="s">
        <v>40</v>
      </c>
      <c r="U2353" s="1">
        <v>43344</v>
      </c>
      <c r="V2353" t="s">
        <v>41</v>
      </c>
      <c r="W2353" t="s">
        <v>49</v>
      </c>
      <c r="X2353" t="str">
        <f>"0560008"</f>
        <v>0560008</v>
      </c>
      <c r="Y2353" t="s">
        <v>263</v>
      </c>
      <c r="Z2353" t="s">
        <v>223</v>
      </c>
      <c r="AA2353" t="s">
        <v>224</v>
      </c>
      <c r="AB2353" t="s">
        <v>131</v>
      </c>
      <c r="AC2353" t="s">
        <v>44</v>
      </c>
      <c r="AD2353" t="s">
        <v>45</v>
      </c>
      <c r="AE2353" s="1">
        <v>28126</v>
      </c>
      <c r="AF2353">
        <v>2</v>
      </c>
      <c r="AG2353" t="s">
        <v>224</v>
      </c>
      <c r="AH2353" s="36">
        <f t="shared" si="36"/>
        <v>42.586111111111109</v>
      </c>
      <c r="AI2353" s="41" t="s">
        <v>1779</v>
      </c>
    </row>
    <row r="2354" spans="1:35" x14ac:dyDescent="0.25">
      <c r="A2354" s="36">
        <v>99912352</v>
      </c>
      <c r="B2354" s="17" t="s">
        <v>32</v>
      </c>
      <c r="C2354" t="s">
        <v>68</v>
      </c>
      <c r="D2354" t="s">
        <v>69</v>
      </c>
      <c r="E2354" t="s">
        <v>151</v>
      </c>
      <c r="F2354" t="s">
        <v>152</v>
      </c>
      <c r="G2354" s="17" t="s">
        <v>48</v>
      </c>
      <c r="H2354" s="17">
        <v>1</v>
      </c>
      <c r="K2354" t="s">
        <v>223</v>
      </c>
      <c r="L2354" t="s">
        <v>224</v>
      </c>
      <c r="M2354" t="s">
        <v>131</v>
      </c>
      <c r="N2354">
        <v>21</v>
      </c>
      <c r="O2354" t="s">
        <v>40</v>
      </c>
      <c r="P2354" t="s">
        <v>40</v>
      </c>
      <c r="Q2354" t="s">
        <v>40</v>
      </c>
      <c r="R2354" t="s">
        <v>40</v>
      </c>
      <c r="S2354" t="s">
        <v>40</v>
      </c>
      <c r="V2354" t="s">
        <v>41</v>
      </c>
      <c r="W2354" t="s">
        <v>49</v>
      </c>
      <c r="X2354" t="str">
        <f>"0581265"</f>
        <v>0581265</v>
      </c>
      <c r="Y2354" t="s">
        <v>236</v>
      </c>
      <c r="Z2354" t="s">
        <v>223</v>
      </c>
      <c r="AA2354" t="s">
        <v>224</v>
      </c>
      <c r="AB2354" t="s">
        <v>131</v>
      </c>
      <c r="AC2354" t="s">
        <v>51</v>
      </c>
      <c r="AD2354" t="s">
        <v>45</v>
      </c>
      <c r="AE2354" s="1">
        <v>28126</v>
      </c>
      <c r="AF2354">
        <v>2</v>
      </c>
      <c r="AG2354" t="s">
        <v>224</v>
      </c>
      <c r="AH2354" s="36">
        <f t="shared" si="36"/>
        <v>42.586111111111109</v>
      </c>
      <c r="AI2354" s="41" t="s">
        <v>1779</v>
      </c>
    </row>
    <row r="2355" spans="1:35" x14ac:dyDescent="0.25">
      <c r="A2355" s="36">
        <v>99912353</v>
      </c>
      <c r="B2355" s="17" t="s">
        <v>32</v>
      </c>
      <c r="C2355" t="s">
        <v>46</v>
      </c>
      <c r="D2355" t="s">
        <v>47</v>
      </c>
      <c r="G2355" s="17" t="s">
        <v>48</v>
      </c>
      <c r="H2355" s="17">
        <v>6</v>
      </c>
      <c r="K2355" t="s">
        <v>345</v>
      </c>
      <c r="L2355" t="s">
        <v>346</v>
      </c>
      <c r="M2355" t="s">
        <v>131</v>
      </c>
      <c r="N2355">
        <v>21</v>
      </c>
      <c r="O2355" t="s">
        <v>40</v>
      </c>
      <c r="P2355" t="s">
        <v>40</v>
      </c>
      <c r="Q2355" t="s">
        <v>40</v>
      </c>
      <c r="R2355" t="s">
        <v>40</v>
      </c>
      <c r="S2355" t="s">
        <v>40</v>
      </c>
      <c r="V2355" t="s">
        <v>41</v>
      </c>
      <c r="W2355" t="s">
        <v>49</v>
      </c>
      <c r="X2355" t="str">
        <f>"0560004"</f>
        <v>0560004</v>
      </c>
      <c r="Y2355" t="s">
        <v>371</v>
      </c>
      <c r="Z2355" t="s">
        <v>345</v>
      </c>
      <c r="AA2355" t="s">
        <v>346</v>
      </c>
      <c r="AB2355" t="s">
        <v>131</v>
      </c>
      <c r="AC2355" t="s">
        <v>51</v>
      </c>
      <c r="AD2355" t="s">
        <v>45</v>
      </c>
      <c r="AE2355" s="1">
        <v>28126</v>
      </c>
      <c r="AF2355">
        <v>2</v>
      </c>
      <c r="AG2355" t="s">
        <v>346</v>
      </c>
      <c r="AH2355" s="36">
        <f t="shared" si="36"/>
        <v>42.586111111111109</v>
      </c>
      <c r="AI2355" s="41" t="s">
        <v>1779</v>
      </c>
    </row>
    <row r="2356" spans="1:35" x14ac:dyDescent="0.25">
      <c r="A2356" s="36">
        <v>99912354</v>
      </c>
      <c r="B2356" s="17" t="s">
        <v>32</v>
      </c>
      <c r="C2356" t="s">
        <v>139</v>
      </c>
      <c r="D2356" t="s">
        <v>140</v>
      </c>
      <c r="G2356" s="17" t="s">
        <v>88</v>
      </c>
      <c r="H2356" s="17">
        <v>1</v>
      </c>
      <c r="K2356" t="s">
        <v>380</v>
      </c>
      <c r="L2356" t="s">
        <v>381</v>
      </c>
      <c r="M2356" t="s">
        <v>131</v>
      </c>
      <c r="N2356">
        <v>23</v>
      </c>
      <c r="O2356" t="s">
        <v>40</v>
      </c>
      <c r="P2356" t="s">
        <v>40</v>
      </c>
      <c r="Q2356" t="s">
        <v>40</v>
      </c>
      <c r="R2356" t="s">
        <v>40</v>
      </c>
      <c r="S2356" t="s">
        <v>40</v>
      </c>
      <c r="V2356" t="s">
        <v>41</v>
      </c>
      <c r="W2356" t="s">
        <v>49</v>
      </c>
      <c r="X2356" t="str">
        <f>"0560028"</f>
        <v>0560028</v>
      </c>
      <c r="Y2356" t="s">
        <v>384</v>
      </c>
      <c r="Z2356" t="s">
        <v>380</v>
      </c>
      <c r="AA2356" t="s">
        <v>381</v>
      </c>
      <c r="AB2356" t="s">
        <v>131</v>
      </c>
      <c r="AC2356" t="s">
        <v>51</v>
      </c>
      <c r="AD2356" t="s">
        <v>45</v>
      </c>
      <c r="AE2356" s="1">
        <v>28126</v>
      </c>
      <c r="AF2356">
        <v>2</v>
      </c>
      <c r="AG2356" t="s">
        <v>381</v>
      </c>
      <c r="AH2356" s="36">
        <f t="shared" si="36"/>
        <v>42.586111111111109</v>
      </c>
      <c r="AI2356" s="41" t="s">
        <v>1779</v>
      </c>
    </row>
    <row r="2357" spans="1:35" x14ac:dyDescent="0.25">
      <c r="A2357" s="36">
        <v>99912355</v>
      </c>
      <c r="B2357" s="17" t="s">
        <v>32</v>
      </c>
      <c r="C2357" t="s">
        <v>143</v>
      </c>
      <c r="D2357" t="s">
        <v>144</v>
      </c>
      <c r="G2357" s="17" t="s">
        <v>48</v>
      </c>
      <c r="H2357" s="17">
        <v>1</v>
      </c>
      <c r="I2357" t="s">
        <v>421</v>
      </c>
      <c r="J2357" s="1">
        <v>42625</v>
      </c>
      <c r="K2357" t="s">
        <v>154</v>
      </c>
      <c r="L2357" t="s">
        <v>155</v>
      </c>
      <c r="M2357" t="s">
        <v>131</v>
      </c>
      <c r="N2357">
        <v>24</v>
      </c>
      <c r="O2357" t="s">
        <v>40</v>
      </c>
      <c r="P2357" t="s">
        <v>40</v>
      </c>
      <c r="Q2357" t="s">
        <v>40</v>
      </c>
      <c r="S2357" t="s">
        <v>40</v>
      </c>
      <c r="U2357" s="1">
        <v>42625</v>
      </c>
      <c r="V2357" t="s">
        <v>41</v>
      </c>
      <c r="W2357" t="s">
        <v>75</v>
      </c>
      <c r="X2357" t="str">
        <f>"7051018"</f>
        <v>7051018</v>
      </c>
      <c r="Y2357" t="s">
        <v>401</v>
      </c>
      <c r="Z2357" t="s">
        <v>154</v>
      </c>
      <c r="AA2357" t="s">
        <v>155</v>
      </c>
      <c r="AB2357" t="s">
        <v>131</v>
      </c>
      <c r="AC2357" t="s">
        <v>51</v>
      </c>
      <c r="AD2357" t="s">
        <v>45</v>
      </c>
      <c r="AE2357" s="1">
        <v>28126</v>
      </c>
      <c r="AF2357">
        <v>1</v>
      </c>
      <c r="AG2357" t="s">
        <v>155</v>
      </c>
      <c r="AH2357" s="36">
        <f t="shared" si="36"/>
        <v>42.586111111111109</v>
      </c>
      <c r="AI2357" s="41" t="s">
        <v>1779</v>
      </c>
    </row>
    <row r="2358" spans="1:35" x14ac:dyDescent="0.25">
      <c r="A2358" s="36">
        <v>99912356</v>
      </c>
      <c r="B2358" s="17" t="s">
        <v>32</v>
      </c>
      <c r="C2358" t="s">
        <v>111</v>
      </c>
      <c r="D2358" t="s">
        <v>112</v>
      </c>
      <c r="G2358" s="17" t="s">
        <v>35</v>
      </c>
      <c r="H2358" s="17">
        <v>1</v>
      </c>
      <c r="I2358" t="s">
        <v>631</v>
      </c>
      <c r="J2358" s="1">
        <v>43344</v>
      </c>
      <c r="K2358" t="s">
        <v>268</v>
      </c>
      <c r="L2358" t="s">
        <v>269</v>
      </c>
      <c r="M2358" t="s">
        <v>131</v>
      </c>
      <c r="N2358">
        <v>23</v>
      </c>
      <c r="O2358" t="s">
        <v>40</v>
      </c>
      <c r="P2358" t="s">
        <v>40</v>
      </c>
      <c r="Q2358" t="s">
        <v>40</v>
      </c>
      <c r="R2358" t="s">
        <v>40</v>
      </c>
      <c r="S2358" t="s">
        <v>40</v>
      </c>
      <c r="U2358" s="1">
        <v>43344</v>
      </c>
      <c r="V2358" t="s">
        <v>41</v>
      </c>
      <c r="W2358" t="s">
        <v>75</v>
      </c>
      <c r="X2358" t="str">
        <f>"7052020"</f>
        <v>7052020</v>
      </c>
      <c r="Y2358" t="s">
        <v>267</v>
      </c>
      <c r="Z2358" t="s">
        <v>268</v>
      </c>
      <c r="AA2358" t="s">
        <v>269</v>
      </c>
      <c r="AB2358" t="s">
        <v>131</v>
      </c>
      <c r="AC2358" t="s">
        <v>51</v>
      </c>
      <c r="AD2358" t="s">
        <v>45</v>
      </c>
      <c r="AE2358" s="1">
        <v>28126</v>
      </c>
      <c r="AF2358">
        <v>1</v>
      </c>
      <c r="AG2358" t="s">
        <v>269</v>
      </c>
      <c r="AH2358" s="36">
        <f t="shared" si="36"/>
        <v>42.586111111111109</v>
      </c>
      <c r="AI2358" s="41" t="s">
        <v>1779</v>
      </c>
    </row>
    <row r="2359" spans="1:35" x14ac:dyDescent="0.25">
      <c r="A2359" s="36">
        <v>99912357</v>
      </c>
      <c r="B2359" s="17" t="s">
        <v>32</v>
      </c>
      <c r="C2359" t="s">
        <v>111</v>
      </c>
      <c r="D2359" t="s">
        <v>112</v>
      </c>
      <c r="G2359" s="17" t="s">
        <v>35</v>
      </c>
      <c r="H2359" s="17">
        <v>1</v>
      </c>
      <c r="I2359" t="s">
        <v>713</v>
      </c>
      <c r="J2359" s="1">
        <v>43344</v>
      </c>
      <c r="K2359" t="s">
        <v>268</v>
      </c>
      <c r="L2359" t="s">
        <v>269</v>
      </c>
      <c r="M2359" t="s">
        <v>131</v>
      </c>
      <c r="N2359">
        <v>24</v>
      </c>
      <c r="O2359" t="s">
        <v>40</v>
      </c>
      <c r="P2359" t="s">
        <v>40</v>
      </c>
      <c r="Q2359" t="s">
        <v>40</v>
      </c>
      <c r="R2359" t="s">
        <v>40</v>
      </c>
      <c r="S2359" t="s">
        <v>40</v>
      </c>
      <c r="U2359" s="1">
        <v>43344</v>
      </c>
      <c r="V2359" t="s">
        <v>41</v>
      </c>
      <c r="W2359" t="s">
        <v>75</v>
      </c>
      <c r="X2359" t="str">
        <f>"7052020"</f>
        <v>7052020</v>
      </c>
      <c r="Y2359" t="s">
        <v>267</v>
      </c>
      <c r="Z2359" t="s">
        <v>268</v>
      </c>
      <c r="AA2359" t="s">
        <v>269</v>
      </c>
      <c r="AB2359" t="s">
        <v>131</v>
      </c>
      <c r="AC2359" t="s">
        <v>51</v>
      </c>
      <c r="AD2359" t="s">
        <v>45</v>
      </c>
      <c r="AE2359" s="1">
        <v>28126</v>
      </c>
      <c r="AF2359">
        <v>1</v>
      </c>
      <c r="AG2359" t="s">
        <v>269</v>
      </c>
      <c r="AH2359" s="36">
        <f t="shared" si="36"/>
        <v>42.586111111111109</v>
      </c>
      <c r="AI2359" s="41" t="s">
        <v>1779</v>
      </c>
    </row>
    <row r="2360" spans="1:35" x14ac:dyDescent="0.25">
      <c r="A2360" s="36">
        <v>99912358</v>
      </c>
      <c r="B2360" s="17" t="s">
        <v>32</v>
      </c>
      <c r="C2360" t="s">
        <v>64</v>
      </c>
      <c r="D2360" t="s">
        <v>65</v>
      </c>
      <c r="G2360" s="17" t="s">
        <v>48</v>
      </c>
      <c r="H2360" s="17">
        <v>7</v>
      </c>
      <c r="K2360" t="s">
        <v>354</v>
      </c>
      <c r="L2360" t="s">
        <v>355</v>
      </c>
      <c r="M2360" t="s">
        <v>131</v>
      </c>
      <c r="N2360">
        <v>20</v>
      </c>
      <c r="O2360" t="s">
        <v>40</v>
      </c>
      <c r="P2360" t="s">
        <v>40</v>
      </c>
      <c r="Q2360" t="s">
        <v>40</v>
      </c>
      <c r="R2360" t="s">
        <v>40</v>
      </c>
      <c r="S2360" t="s">
        <v>40</v>
      </c>
      <c r="V2360" t="s">
        <v>41</v>
      </c>
      <c r="W2360" t="s">
        <v>75</v>
      </c>
      <c r="X2360" t="str">
        <f>"7054006"</f>
        <v>7054006</v>
      </c>
      <c r="Y2360" t="s">
        <v>774</v>
      </c>
      <c r="Z2360" t="s">
        <v>354</v>
      </c>
      <c r="AA2360" t="s">
        <v>355</v>
      </c>
      <c r="AB2360" t="s">
        <v>131</v>
      </c>
      <c r="AC2360" t="s">
        <v>51</v>
      </c>
      <c r="AD2360" t="s">
        <v>45</v>
      </c>
      <c r="AE2360" s="1">
        <v>28126</v>
      </c>
      <c r="AF2360">
        <v>1</v>
      </c>
      <c r="AG2360" t="s">
        <v>355</v>
      </c>
      <c r="AH2360" s="36">
        <f t="shared" si="36"/>
        <v>42.586111111111109</v>
      </c>
      <c r="AI2360" s="41" t="s">
        <v>1779</v>
      </c>
    </row>
    <row r="2361" spans="1:35" x14ac:dyDescent="0.25">
      <c r="A2361" s="36">
        <v>99912359</v>
      </c>
      <c r="B2361" s="17" t="s">
        <v>56</v>
      </c>
      <c r="C2361" t="s">
        <v>111</v>
      </c>
      <c r="D2361" t="s">
        <v>112</v>
      </c>
      <c r="G2361" s="17" t="s">
        <v>48</v>
      </c>
      <c r="H2361" s="17">
        <v>4</v>
      </c>
      <c r="K2361" t="s">
        <v>877</v>
      </c>
      <c r="L2361" t="s">
        <v>878</v>
      </c>
      <c r="M2361" t="s">
        <v>131</v>
      </c>
      <c r="N2361">
        <v>24</v>
      </c>
      <c r="O2361" t="s">
        <v>40</v>
      </c>
      <c r="P2361" t="s">
        <v>40</v>
      </c>
      <c r="Q2361" t="s">
        <v>40</v>
      </c>
      <c r="R2361" t="s">
        <v>40</v>
      </c>
      <c r="S2361" t="s">
        <v>40</v>
      </c>
      <c r="V2361" t="s">
        <v>41</v>
      </c>
      <c r="W2361" t="s">
        <v>75</v>
      </c>
      <c r="X2361" t="str">
        <f>"7541004"</f>
        <v>7541004</v>
      </c>
      <c r="Y2361" t="s">
        <v>889</v>
      </c>
      <c r="Z2361" t="s">
        <v>877</v>
      </c>
      <c r="AA2361" t="s">
        <v>878</v>
      </c>
      <c r="AB2361" t="s">
        <v>131</v>
      </c>
      <c r="AC2361" t="s">
        <v>51</v>
      </c>
      <c r="AD2361" t="s">
        <v>45</v>
      </c>
      <c r="AE2361" s="1">
        <v>28126</v>
      </c>
      <c r="AF2361">
        <v>1</v>
      </c>
      <c r="AG2361" t="s">
        <v>878</v>
      </c>
      <c r="AH2361" s="36">
        <f t="shared" si="36"/>
        <v>42.586111111111109</v>
      </c>
      <c r="AI2361" s="41" t="s">
        <v>1779</v>
      </c>
    </row>
    <row r="2362" spans="1:35" x14ac:dyDescent="0.25">
      <c r="A2362" s="36">
        <v>99912360</v>
      </c>
      <c r="B2362" s="17" t="s">
        <v>56</v>
      </c>
      <c r="C2362" t="s">
        <v>33</v>
      </c>
      <c r="D2362" t="s">
        <v>34</v>
      </c>
      <c r="G2362" s="17" t="s">
        <v>35</v>
      </c>
      <c r="H2362" s="17">
        <v>1</v>
      </c>
      <c r="K2362" t="s">
        <v>1051</v>
      </c>
      <c r="L2362" t="s">
        <v>1052</v>
      </c>
      <c r="M2362" t="s">
        <v>1053</v>
      </c>
      <c r="N2362">
        <v>23</v>
      </c>
      <c r="O2362" t="s">
        <v>40</v>
      </c>
      <c r="P2362" t="s">
        <v>40</v>
      </c>
      <c r="Q2362" t="s">
        <v>40</v>
      </c>
      <c r="R2362" t="s">
        <v>40</v>
      </c>
      <c r="S2362" t="s">
        <v>40</v>
      </c>
      <c r="V2362" t="s">
        <v>41</v>
      </c>
      <c r="W2362" t="s">
        <v>42</v>
      </c>
      <c r="X2362" t="str">
        <f>"2061003"</f>
        <v>2061003</v>
      </c>
      <c r="Y2362" t="s">
        <v>1060</v>
      </c>
      <c r="Z2362" t="s">
        <v>1051</v>
      </c>
      <c r="AA2362" t="s">
        <v>1052</v>
      </c>
      <c r="AB2362" t="s">
        <v>1053</v>
      </c>
      <c r="AC2362" t="s">
        <v>51</v>
      </c>
      <c r="AD2362" t="s">
        <v>45</v>
      </c>
      <c r="AE2362" s="1">
        <v>28126</v>
      </c>
      <c r="AF2362">
        <v>2</v>
      </c>
      <c r="AG2362" t="s">
        <v>1052</v>
      </c>
      <c r="AH2362" s="36">
        <f t="shared" si="36"/>
        <v>42.586111111111109</v>
      </c>
      <c r="AI2362" s="41" t="s">
        <v>1779</v>
      </c>
    </row>
    <row r="2363" spans="1:35" x14ac:dyDescent="0.25">
      <c r="A2363" s="36">
        <v>99912361</v>
      </c>
      <c r="B2363" s="17" t="s">
        <v>32</v>
      </c>
      <c r="C2363" t="s">
        <v>141</v>
      </c>
      <c r="D2363" t="s">
        <v>142</v>
      </c>
      <c r="G2363" s="17" t="s">
        <v>35</v>
      </c>
      <c r="H2363" s="17">
        <v>1</v>
      </c>
      <c r="I2363">
        <v>1084</v>
      </c>
      <c r="J2363" s="1">
        <v>43344</v>
      </c>
      <c r="K2363" t="s">
        <v>1198</v>
      </c>
      <c r="L2363" t="s">
        <v>1199</v>
      </c>
      <c r="M2363" t="s">
        <v>1130</v>
      </c>
      <c r="N2363">
        <v>18</v>
      </c>
      <c r="O2363" t="s">
        <v>40</v>
      </c>
      <c r="P2363" t="s">
        <v>40</v>
      </c>
      <c r="Q2363" t="s">
        <v>40</v>
      </c>
      <c r="R2363" t="s">
        <v>40</v>
      </c>
      <c r="S2363" t="s">
        <v>40</v>
      </c>
      <c r="U2363" s="1">
        <v>43344</v>
      </c>
      <c r="V2363" t="s">
        <v>41</v>
      </c>
      <c r="W2363" t="s">
        <v>75</v>
      </c>
      <c r="X2363" t="str">
        <f>"7311002"</f>
        <v>7311002</v>
      </c>
      <c r="Y2363" t="s">
        <v>1203</v>
      </c>
      <c r="Z2363" t="s">
        <v>1198</v>
      </c>
      <c r="AA2363" t="s">
        <v>1199</v>
      </c>
      <c r="AB2363" t="s">
        <v>1130</v>
      </c>
      <c r="AC2363" t="s">
        <v>51</v>
      </c>
      <c r="AD2363" t="s">
        <v>45</v>
      </c>
      <c r="AE2363" s="1">
        <v>28126</v>
      </c>
      <c r="AF2363">
        <v>1</v>
      </c>
      <c r="AG2363" t="s">
        <v>1199</v>
      </c>
      <c r="AH2363" s="36">
        <f t="shared" si="36"/>
        <v>42.586111111111109</v>
      </c>
      <c r="AI2363" s="41" t="s">
        <v>1779</v>
      </c>
    </row>
    <row r="2364" spans="1:35" x14ac:dyDescent="0.25">
      <c r="A2364" s="36">
        <v>99912362</v>
      </c>
      <c r="B2364" s="17" t="s">
        <v>56</v>
      </c>
      <c r="C2364" t="s">
        <v>52</v>
      </c>
      <c r="D2364" t="s">
        <v>53</v>
      </c>
      <c r="G2364" s="17" t="s">
        <v>48</v>
      </c>
      <c r="H2364" s="17">
        <v>1</v>
      </c>
      <c r="I2364" t="s">
        <v>1309</v>
      </c>
      <c r="K2364" t="s">
        <v>1306</v>
      </c>
      <c r="L2364" t="s">
        <v>1307</v>
      </c>
      <c r="M2364" t="s">
        <v>1270</v>
      </c>
      <c r="N2364">
        <v>21</v>
      </c>
      <c r="O2364" t="s">
        <v>40</v>
      </c>
      <c r="P2364" t="s">
        <v>40</v>
      </c>
      <c r="Q2364" t="s">
        <v>40</v>
      </c>
      <c r="R2364" t="s">
        <v>40</v>
      </c>
      <c r="S2364" t="s">
        <v>40</v>
      </c>
      <c r="V2364" t="s">
        <v>41</v>
      </c>
      <c r="W2364" t="s">
        <v>49</v>
      </c>
      <c r="X2364" t="str">
        <f>"1991913"</f>
        <v>1991913</v>
      </c>
      <c r="Y2364" t="s">
        <v>1310</v>
      </c>
      <c r="Z2364" t="s">
        <v>1306</v>
      </c>
      <c r="AA2364" t="s">
        <v>1307</v>
      </c>
      <c r="AB2364" t="s">
        <v>1270</v>
      </c>
      <c r="AC2364" t="s">
        <v>51</v>
      </c>
      <c r="AD2364" t="s">
        <v>45</v>
      </c>
      <c r="AE2364" s="1">
        <v>28126</v>
      </c>
      <c r="AF2364">
        <v>2</v>
      </c>
      <c r="AG2364" t="s">
        <v>1307</v>
      </c>
      <c r="AH2364" s="36">
        <f t="shared" si="36"/>
        <v>42.586111111111109</v>
      </c>
      <c r="AI2364" s="41" t="s">
        <v>1779</v>
      </c>
    </row>
    <row r="2365" spans="1:35" x14ac:dyDescent="0.25">
      <c r="A2365" s="36">
        <v>99912363</v>
      </c>
      <c r="B2365" s="17" t="s">
        <v>56</v>
      </c>
      <c r="C2365" t="s">
        <v>85</v>
      </c>
      <c r="D2365" t="s">
        <v>86</v>
      </c>
      <c r="G2365" s="17" t="s">
        <v>48</v>
      </c>
      <c r="H2365" s="17">
        <v>1</v>
      </c>
      <c r="K2365" t="s">
        <v>1487</v>
      </c>
      <c r="L2365" t="s">
        <v>1488</v>
      </c>
      <c r="M2365" t="s">
        <v>670</v>
      </c>
      <c r="N2365">
        <v>5</v>
      </c>
      <c r="O2365" t="s">
        <v>40</v>
      </c>
      <c r="P2365" t="s">
        <v>40</v>
      </c>
      <c r="Q2365" t="s">
        <v>40</v>
      </c>
      <c r="R2365" t="s">
        <v>40</v>
      </c>
      <c r="S2365" t="s">
        <v>40</v>
      </c>
      <c r="V2365" t="s">
        <v>41</v>
      </c>
      <c r="W2365" t="s">
        <v>42</v>
      </c>
      <c r="X2365" t="str">
        <f>"1780020"</f>
        <v>1780020</v>
      </c>
      <c r="Y2365" t="s">
        <v>1490</v>
      </c>
      <c r="Z2365" t="s">
        <v>1487</v>
      </c>
      <c r="AA2365" t="s">
        <v>1488</v>
      </c>
      <c r="AB2365" t="s">
        <v>670</v>
      </c>
      <c r="AC2365" t="s">
        <v>51</v>
      </c>
      <c r="AD2365" t="s">
        <v>45</v>
      </c>
      <c r="AE2365" s="1">
        <v>28126</v>
      </c>
      <c r="AF2365">
        <v>2</v>
      </c>
      <c r="AG2365" t="s">
        <v>1488</v>
      </c>
      <c r="AH2365" s="36">
        <f t="shared" si="36"/>
        <v>42.586111111111109</v>
      </c>
      <c r="AI2365" s="41" t="s">
        <v>1779</v>
      </c>
    </row>
    <row r="2366" spans="1:35" x14ac:dyDescent="0.25">
      <c r="A2366" s="36">
        <v>99912364</v>
      </c>
      <c r="B2366" s="17" t="s">
        <v>56</v>
      </c>
      <c r="C2366" t="s">
        <v>46</v>
      </c>
      <c r="D2366" t="s">
        <v>47</v>
      </c>
      <c r="G2366" s="17" t="s">
        <v>48</v>
      </c>
      <c r="H2366" s="17">
        <v>1</v>
      </c>
      <c r="K2366" t="s">
        <v>1487</v>
      </c>
      <c r="L2366" t="s">
        <v>1488</v>
      </c>
      <c r="M2366" t="s">
        <v>670</v>
      </c>
      <c r="N2366">
        <v>16</v>
      </c>
      <c r="O2366" t="s">
        <v>40</v>
      </c>
      <c r="P2366" t="s">
        <v>40</v>
      </c>
      <c r="Q2366" t="s">
        <v>40</v>
      </c>
      <c r="R2366" t="s">
        <v>40</v>
      </c>
      <c r="S2366" t="s">
        <v>40</v>
      </c>
      <c r="V2366" t="s">
        <v>41</v>
      </c>
      <c r="W2366" t="s">
        <v>42</v>
      </c>
      <c r="X2366" t="str">
        <f>"1780020"</f>
        <v>1780020</v>
      </c>
      <c r="Y2366" t="s">
        <v>1490</v>
      </c>
      <c r="Z2366" t="s">
        <v>1487</v>
      </c>
      <c r="AA2366" t="s">
        <v>1488</v>
      </c>
      <c r="AB2366" t="s">
        <v>670</v>
      </c>
      <c r="AC2366" t="s">
        <v>51</v>
      </c>
      <c r="AD2366" t="s">
        <v>45</v>
      </c>
      <c r="AE2366" s="1">
        <v>28126</v>
      </c>
      <c r="AF2366">
        <v>2</v>
      </c>
      <c r="AG2366" t="s">
        <v>1488</v>
      </c>
      <c r="AH2366" s="36">
        <f t="shared" si="36"/>
        <v>42.586111111111109</v>
      </c>
      <c r="AI2366" s="41" t="s">
        <v>1779</v>
      </c>
    </row>
    <row r="2367" spans="1:35" x14ac:dyDescent="0.25">
      <c r="A2367" s="36">
        <v>99912365</v>
      </c>
      <c r="B2367" s="17" t="s">
        <v>32</v>
      </c>
      <c r="C2367" t="s">
        <v>46</v>
      </c>
      <c r="D2367" t="s">
        <v>47</v>
      </c>
      <c r="G2367" s="17" t="s">
        <v>48</v>
      </c>
      <c r="H2367" s="17">
        <v>1</v>
      </c>
      <c r="K2367" t="s">
        <v>1496</v>
      </c>
      <c r="L2367" t="s">
        <v>1497</v>
      </c>
      <c r="M2367" t="s">
        <v>670</v>
      </c>
      <c r="N2367">
        <v>23</v>
      </c>
      <c r="O2367" t="s">
        <v>40</v>
      </c>
      <c r="P2367" t="s">
        <v>40</v>
      </c>
      <c r="Q2367" t="s">
        <v>40</v>
      </c>
      <c r="R2367" t="s">
        <v>40</v>
      </c>
      <c r="S2367" t="s">
        <v>40</v>
      </c>
      <c r="V2367" t="s">
        <v>41</v>
      </c>
      <c r="W2367" t="s">
        <v>49</v>
      </c>
      <c r="X2367" t="str">
        <f>"5060001"</f>
        <v>5060001</v>
      </c>
      <c r="Y2367" t="s">
        <v>1499</v>
      </c>
      <c r="Z2367" t="s">
        <v>1496</v>
      </c>
      <c r="AA2367" t="s">
        <v>1497</v>
      </c>
      <c r="AB2367" t="s">
        <v>670</v>
      </c>
      <c r="AC2367" t="s">
        <v>51</v>
      </c>
      <c r="AD2367" t="s">
        <v>45</v>
      </c>
      <c r="AE2367" s="1">
        <v>28126</v>
      </c>
      <c r="AF2367">
        <v>2</v>
      </c>
      <c r="AG2367" t="s">
        <v>1497</v>
      </c>
      <c r="AH2367" s="36">
        <f t="shared" si="36"/>
        <v>42.586111111111109</v>
      </c>
      <c r="AI2367" s="41" t="s">
        <v>1779</v>
      </c>
    </row>
    <row r="2368" spans="1:35" x14ac:dyDescent="0.25">
      <c r="A2368" s="36">
        <v>99912366</v>
      </c>
      <c r="B2368" s="17" t="s">
        <v>56</v>
      </c>
      <c r="C2368" t="s">
        <v>79</v>
      </c>
      <c r="D2368" t="s">
        <v>80</v>
      </c>
      <c r="G2368" s="17" t="s">
        <v>35</v>
      </c>
      <c r="H2368" s="17">
        <v>1</v>
      </c>
      <c r="K2368" t="s">
        <v>1626</v>
      </c>
      <c r="L2368" t="s">
        <v>1627</v>
      </c>
      <c r="M2368" t="s">
        <v>1592</v>
      </c>
      <c r="N2368">
        <v>20</v>
      </c>
      <c r="O2368" t="s">
        <v>40</v>
      </c>
      <c r="P2368" t="s">
        <v>40</v>
      </c>
      <c r="Q2368" t="s">
        <v>40</v>
      </c>
      <c r="R2368" t="s">
        <v>40</v>
      </c>
      <c r="S2368" t="s">
        <v>40</v>
      </c>
      <c r="V2368" t="s">
        <v>41</v>
      </c>
      <c r="W2368" t="s">
        <v>49</v>
      </c>
      <c r="X2368" t="str">
        <f>"3681015"</f>
        <v>3681015</v>
      </c>
      <c r="Y2368" t="s">
        <v>1629</v>
      </c>
      <c r="Z2368" t="s">
        <v>1626</v>
      </c>
      <c r="AA2368" t="s">
        <v>1627</v>
      </c>
      <c r="AB2368" t="s">
        <v>1592</v>
      </c>
      <c r="AC2368" t="s">
        <v>51</v>
      </c>
      <c r="AD2368" t="s">
        <v>45</v>
      </c>
      <c r="AE2368" s="1">
        <v>28126</v>
      </c>
      <c r="AF2368">
        <v>2</v>
      </c>
      <c r="AG2368" t="s">
        <v>1627</v>
      </c>
      <c r="AH2368" s="36">
        <f t="shared" si="36"/>
        <v>42.586111111111109</v>
      </c>
      <c r="AI2368" s="41" t="s">
        <v>1779</v>
      </c>
    </row>
    <row r="2369" spans="1:35" x14ac:dyDescent="0.25">
      <c r="A2369" s="36">
        <v>99912367</v>
      </c>
      <c r="B2369" s="17" t="s">
        <v>56</v>
      </c>
      <c r="C2369" t="s">
        <v>79</v>
      </c>
      <c r="D2369" t="s">
        <v>80</v>
      </c>
      <c r="G2369" s="17" t="s">
        <v>35</v>
      </c>
      <c r="H2369" s="17">
        <v>1</v>
      </c>
      <c r="I2369" t="s">
        <v>996</v>
      </c>
      <c r="J2369" s="1">
        <v>43346</v>
      </c>
      <c r="K2369" t="s">
        <v>985</v>
      </c>
      <c r="L2369" t="s">
        <v>986</v>
      </c>
      <c r="M2369" t="s">
        <v>938</v>
      </c>
      <c r="N2369">
        <v>19</v>
      </c>
      <c r="O2369" t="s">
        <v>40</v>
      </c>
      <c r="P2369" t="s">
        <v>40</v>
      </c>
      <c r="Q2369" t="s">
        <v>40</v>
      </c>
      <c r="R2369" t="s">
        <v>40</v>
      </c>
      <c r="S2369" t="s">
        <v>40</v>
      </c>
      <c r="U2369" s="1">
        <v>43346</v>
      </c>
      <c r="V2369" t="s">
        <v>41</v>
      </c>
      <c r="W2369" t="s">
        <v>75</v>
      </c>
      <c r="X2369" t="str">
        <f>"7011004"</f>
        <v>7011004</v>
      </c>
      <c r="Y2369" t="s">
        <v>987</v>
      </c>
      <c r="Z2369" t="s">
        <v>985</v>
      </c>
      <c r="AA2369" t="s">
        <v>986</v>
      </c>
      <c r="AB2369" t="s">
        <v>938</v>
      </c>
      <c r="AC2369" t="s">
        <v>44</v>
      </c>
      <c r="AD2369" t="s">
        <v>45</v>
      </c>
      <c r="AE2369" s="1">
        <v>28122</v>
      </c>
      <c r="AF2369">
        <v>1</v>
      </c>
      <c r="AG2369" t="s">
        <v>986</v>
      </c>
      <c r="AH2369" s="36">
        <f t="shared" si="36"/>
        <v>42.597222222222221</v>
      </c>
      <c r="AI2369" s="41" t="s">
        <v>1779</v>
      </c>
    </row>
    <row r="2370" spans="1:35" x14ac:dyDescent="0.25">
      <c r="A2370" s="36">
        <v>99912368</v>
      </c>
      <c r="B2370" s="17" t="s">
        <v>32</v>
      </c>
      <c r="C2370" t="s">
        <v>139</v>
      </c>
      <c r="D2370" t="s">
        <v>140</v>
      </c>
      <c r="G2370" s="17" t="s">
        <v>48</v>
      </c>
      <c r="H2370" s="17">
        <v>1</v>
      </c>
      <c r="K2370" t="s">
        <v>129</v>
      </c>
      <c r="L2370" t="s">
        <v>130</v>
      </c>
      <c r="M2370" t="s">
        <v>131</v>
      </c>
      <c r="N2370">
        <v>20</v>
      </c>
      <c r="O2370" t="s">
        <v>40</v>
      </c>
      <c r="P2370" t="s">
        <v>40</v>
      </c>
      <c r="Q2370" t="s">
        <v>40</v>
      </c>
      <c r="R2370" t="s">
        <v>40</v>
      </c>
      <c r="S2370" t="s">
        <v>40</v>
      </c>
      <c r="V2370" t="s">
        <v>41</v>
      </c>
      <c r="W2370" t="s">
        <v>49</v>
      </c>
      <c r="X2370" t="str">
        <f>"0591905"</f>
        <v>0591905</v>
      </c>
      <c r="Y2370" t="s">
        <v>135</v>
      </c>
      <c r="Z2370" t="s">
        <v>129</v>
      </c>
      <c r="AA2370" t="s">
        <v>130</v>
      </c>
      <c r="AB2370" t="s">
        <v>131</v>
      </c>
      <c r="AC2370" t="s">
        <v>51</v>
      </c>
      <c r="AD2370" t="s">
        <v>45</v>
      </c>
      <c r="AE2370" s="1">
        <v>28121</v>
      </c>
      <c r="AF2370">
        <v>2</v>
      </c>
      <c r="AG2370" t="s">
        <v>130</v>
      </c>
      <c r="AH2370" s="36">
        <f t="shared" ref="AH2370:AH2433" si="37">($AJ$1-AE2370)/360</f>
        <v>42.6</v>
      </c>
      <c r="AI2370" s="41" t="s">
        <v>1779</v>
      </c>
    </row>
    <row r="2371" spans="1:35" x14ac:dyDescent="0.25">
      <c r="A2371" s="36">
        <v>99912369</v>
      </c>
      <c r="B2371" s="17" t="s">
        <v>56</v>
      </c>
      <c r="C2371" t="s">
        <v>85</v>
      </c>
      <c r="D2371" t="s">
        <v>86</v>
      </c>
      <c r="G2371" s="17" t="s">
        <v>48</v>
      </c>
      <c r="H2371" s="17">
        <v>1</v>
      </c>
      <c r="K2371" t="s">
        <v>157</v>
      </c>
      <c r="L2371" t="s">
        <v>158</v>
      </c>
      <c r="M2371" t="s">
        <v>131</v>
      </c>
      <c r="N2371">
        <v>20</v>
      </c>
      <c r="O2371" t="s">
        <v>40</v>
      </c>
      <c r="P2371" t="s">
        <v>40</v>
      </c>
      <c r="Q2371" t="s">
        <v>40</v>
      </c>
      <c r="S2371" t="s">
        <v>40</v>
      </c>
      <c r="V2371" t="s">
        <v>41</v>
      </c>
      <c r="W2371" t="s">
        <v>49</v>
      </c>
      <c r="X2371" t="str">
        <f>"0560019"</f>
        <v>0560019</v>
      </c>
      <c r="Y2371" t="s">
        <v>166</v>
      </c>
      <c r="Z2371" t="s">
        <v>157</v>
      </c>
      <c r="AA2371" t="s">
        <v>158</v>
      </c>
      <c r="AB2371" t="s">
        <v>131</v>
      </c>
      <c r="AC2371" t="s">
        <v>51</v>
      </c>
      <c r="AD2371" t="s">
        <v>45</v>
      </c>
      <c r="AE2371" s="1">
        <v>28120</v>
      </c>
      <c r="AF2371">
        <v>2</v>
      </c>
      <c r="AG2371" t="s">
        <v>158</v>
      </c>
      <c r="AH2371" s="36">
        <f t="shared" si="37"/>
        <v>42.602777777777774</v>
      </c>
      <c r="AI2371" s="41" t="s">
        <v>1779</v>
      </c>
    </row>
    <row r="2372" spans="1:35" x14ac:dyDescent="0.25">
      <c r="A2372" s="36">
        <v>99912370</v>
      </c>
      <c r="B2372" s="17" t="s">
        <v>32</v>
      </c>
      <c r="C2372" t="s">
        <v>46</v>
      </c>
      <c r="D2372" t="s">
        <v>47</v>
      </c>
      <c r="G2372" s="17" t="s">
        <v>48</v>
      </c>
      <c r="H2372" s="17">
        <v>1</v>
      </c>
      <c r="K2372" t="s">
        <v>380</v>
      </c>
      <c r="L2372" t="s">
        <v>381</v>
      </c>
      <c r="M2372" t="s">
        <v>131</v>
      </c>
      <c r="N2372">
        <v>20</v>
      </c>
      <c r="O2372" t="s">
        <v>40</v>
      </c>
      <c r="P2372" t="s">
        <v>40</v>
      </c>
      <c r="Q2372" t="s">
        <v>40</v>
      </c>
      <c r="R2372" t="s">
        <v>40</v>
      </c>
      <c r="S2372" t="s">
        <v>40</v>
      </c>
      <c r="V2372" t="s">
        <v>41</v>
      </c>
      <c r="W2372" t="s">
        <v>49</v>
      </c>
      <c r="X2372" t="str">
        <f>"0591908"</f>
        <v>0591908</v>
      </c>
      <c r="Y2372" t="s">
        <v>383</v>
      </c>
      <c r="Z2372" t="s">
        <v>380</v>
      </c>
      <c r="AA2372" t="s">
        <v>381</v>
      </c>
      <c r="AB2372" t="s">
        <v>131</v>
      </c>
      <c r="AC2372" t="s">
        <v>51</v>
      </c>
      <c r="AD2372" t="s">
        <v>45</v>
      </c>
      <c r="AE2372" s="1">
        <v>28117</v>
      </c>
      <c r="AF2372">
        <v>2</v>
      </c>
      <c r="AG2372" t="s">
        <v>381</v>
      </c>
      <c r="AH2372" s="36">
        <f t="shared" si="37"/>
        <v>42.611111111111114</v>
      </c>
      <c r="AI2372" s="41" t="s">
        <v>1779</v>
      </c>
    </row>
    <row r="2373" spans="1:35" x14ac:dyDescent="0.25">
      <c r="A2373" s="36">
        <v>99912371</v>
      </c>
      <c r="B2373" s="17" t="s">
        <v>32</v>
      </c>
      <c r="C2373" t="s">
        <v>139</v>
      </c>
      <c r="D2373" t="s">
        <v>140</v>
      </c>
      <c r="G2373" s="17" t="s">
        <v>48</v>
      </c>
      <c r="H2373" s="17">
        <v>1</v>
      </c>
      <c r="K2373" t="s">
        <v>380</v>
      </c>
      <c r="L2373" t="s">
        <v>381</v>
      </c>
      <c r="M2373" t="s">
        <v>131</v>
      </c>
      <c r="N2373">
        <v>6</v>
      </c>
      <c r="O2373" t="s">
        <v>40</v>
      </c>
      <c r="P2373" t="s">
        <v>40</v>
      </c>
      <c r="Q2373" t="s">
        <v>40</v>
      </c>
      <c r="R2373" t="s">
        <v>40</v>
      </c>
      <c r="S2373" t="s">
        <v>40</v>
      </c>
      <c r="V2373" t="s">
        <v>41</v>
      </c>
      <c r="W2373" t="s">
        <v>49</v>
      </c>
      <c r="X2373" t="str">
        <f>"0591908"</f>
        <v>0591908</v>
      </c>
      <c r="Y2373" t="s">
        <v>383</v>
      </c>
      <c r="Z2373" t="s">
        <v>380</v>
      </c>
      <c r="AA2373" t="s">
        <v>381</v>
      </c>
      <c r="AB2373" t="s">
        <v>131</v>
      </c>
      <c r="AC2373" t="s">
        <v>44</v>
      </c>
      <c r="AD2373" t="s">
        <v>45</v>
      </c>
      <c r="AE2373" s="1">
        <v>28113</v>
      </c>
      <c r="AF2373">
        <v>2</v>
      </c>
      <c r="AG2373" t="s">
        <v>381</v>
      </c>
      <c r="AH2373" s="36">
        <f t="shared" si="37"/>
        <v>42.62222222222222</v>
      </c>
      <c r="AI2373" s="41" t="s">
        <v>1779</v>
      </c>
    </row>
    <row r="2374" spans="1:35" x14ac:dyDescent="0.25">
      <c r="A2374" s="36">
        <v>99912372</v>
      </c>
      <c r="B2374" s="17" t="s">
        <v>56</v>
      </c>
      <c r="C2374" t="s">
        <v>79</v>
      </c>
      <c r="D2374" t="s">
        <v>80</v>
      </c>
      <c r="G2374" s="17" t="s">
        <v>48</v>
      </c>
      <c r="H2374" s="17">
        <v>1</v>
      </c>
      <c r="K2374" t="s">
        <v>1128</v>
      </c>
      <c r="L2374" t="s">
        <v>1129</v>
      </c>
      <c r="M2374" t="s">
        <v>1130</v>
      </c>
      <c r="N2374">
        <v>19</v>
      </c>
      <c r="O2374" t="s">
        <v>40</v>
      </c>
      <c r="P2374" t="s">
        <v>40</v>
      </c>
      <c r="Q2374" t="s">
        <v>40</v>
      </c>
      <c r="R2374" t="s">
        <v>40</v>
      </c>
      <c r="S2374" t="s">
        <v>40</v>
      </c>
      <c r="V2374" t="s">
        <v>41</v>
      </c>
      <c r="W2374" t="s">
        <v>49</v>
      </c>
      <c r="X2374" t="str">
        <f>"3181015"</f>
        <v>3181015</v>
      </c>
      <c r="Y2374" t="s">
        <v>1131</v>
      </c>
      <c r="Z2374" t="s">
        <v>1128</v>
      </c>
      <c r="AA2374" t="s">
        <v>1129</v>
      </c>
      <c r="AB2374" t="s">
        <v>1130</v>
      </c>
      <c r="AC2374" t="s">
        <v>51</v>
      </c>
      <c r="AD2374" t="s">
        <v>45</v>
      </c>
      <c r="AE2374" s="1">
        <v>28112</v>
      </c>
      <c r="AF2374">
        <v>2</v>
      </c>
      <c r="AG2374" t="s">
        <v>1129</v>
      </c>
      <c r="AH2374" s="36">
        <f t="shared" si="37"/>
        <v>42.625</v>
      </c>
      <c r="AI2374" s="41" t="s">
        <v>1779</v>
      </c>
    </row>
    <row r="2375" spans="1:35" x14ac:dyDescent="0.25">
      <c r="A2375" s="36">
        <v>99912373</v>
      </c>
      <c r="B2375" s="17" t="s">
        <v>32</v>
      </c>
      <c r="C2375" t="s">
        <v>111</v>
      </c>
      <c r="D2375" t="s">
        <v>112</v>
      </c>
      <c r="G2375" s="17" t="s">
        <v>88</v>
      </c>
      <c r="H2375" s="17">
        <v>4</v>
      </c>
      <c r="I2375" t="s">
        <v>533</v>
      </c>
      <c r="J2375" s="1">
        <v>42248</v>
      </c>
      <c r="K2375" t="s">
        <v>195</v>
      </c>
      <c r="L2375" t="s">
        <v>196</v>
      </c>
      <c r="M2375" t="s">
        <v>131</v>
      </c>
      <c r="N2375">
        <v>24</v>
      </c>
      <c r="O2375" t="s">
        <v>40</v>
      </c>
      <c r="P2375" t="s">
        <v>40</v>
      </c>
      <c r="Q2375" t="s">
        <v>40</v>
      </c>
      <c r="R2375" t="s">
        <v>40</v>
      </c>
      <c r="S2375" t="s">
        <v>40</v>
      </c>
      <c r="U2375" s="1">
        <v>42248</v>
      </c>
      <c r="V2375" t="s">
        <v>41</v>
      </c>
      <c r="W2375" t="s">
        <v>75</v>
      </c>
      <c r="X2375" t="str">
        <f>"7521050"</f>
        <v>7521050</v>
      </c>
      <c r="Y2375" t="s">
        <v>194</v>
      </c>
      <c r="Z2375" t="s">
        <v>195</v>
      </c>
      <c r="AA2375" t="s">
        <v>196</v>
      </c>
      <c r="AB2375" t="s">
        <v>131</v>
      </c>
      <c r="AC2375" t="s">
        <v>51</v>
      </c>
      <c r="AD2375" t="s">
        <v>45</v>
      </c>
      <c r="AE2375" s="1">
        <v>28108</v>
      </c>
      <c r="AF2375">
        <v>1</v>
      </c>
      <c r="AG2375" t="s">
        <v>196</v>
      </c>
      <c r="AH2375" s="36">
        <f t="shared" si="37"/>
        <v>42.636111111111113</v>
      </c>
      <c r="AI2375" s="41" t="s">
        <v>1779</v>
      </c>
    </row>
    <row r="2376" spans="1:35" x14ac:dyDescent="0.25">
      <c r="A2376" s="36">
        <v>99912374</v>
      </c>
      <c r="B2376" s="17" t="s">
        <v>32</v>
      </c>
      <c r="C2376" t="s">
        <v>46</v>
      </c>
      <c r="D2376" t="s">
        <v>47</v>
      </c>
      <c r="G2376" s="17" t="s">
        <v>35</v>
      </c>
      <c r="H2376" s="17">
        <v>1</v>
      </c>
      <c r="K2376" t="s">
        <v>162</v>
      </c>
      <c r="L2376" t="s">
        <v>158</v>
      </c>
      <c r="M2376" t="s">
        <v>131</v>
      </c>
      <c r="N2376">
        <v>20</v>
      </c>
      <c r="O2376" t="s">
        <v>40</v>
      </c>
      <c r="P2376" t="s">
        <v>40</v>
      </c>
      <c r="Q2376" t="s">
        <v>40</v>
      </c>
      <c r="R2376" t="s">
        <v>40</v>
      </c>
      <c r="S2376" t="s">
        <v>40</v>
      </c>
      <c r="V2376" t="s">
        <v>41</v>
      </c>
      <c r="W2376" t="s">
        <v>49</v>
      </c>
      <c r="X2376" t="str">
        <f>"0505050"</f>
        <v>0505050</v>
      </c>
      <c r="Y2376" t="s">
        <v>163</v>
      </c>
      <c r="Z2376" t="s">
        <v>162</v>
      </c>
      <c r="AA2376" t="s">
        <v>158</v>
      </c>
      <c r="AB2376" t="s">
        <v>131</v>
      </c>
      <c r="AC2376" t="s">
        <v>51</v>
      </c>
      <c r="AD2376" t="s">
        <v>45</v>
      </c>
      <c r="AE2376" s="1">
        <v>28104</v>
      </c>
      <c r="AF2376">
        <v>2</v>
      </c>
      <c r="AG2376" t="s">
        <v>158</v>
      </c>
      <c r="AH2376" s="36">
        <f t="shared" si="37"/>
        <v>42.647222222222226</v>
      </c>
      <c r="AI2376" s="41" t="s">
        <v>1779</v>
      </c>
    </row>
    <row r="2377" spans="1:35" x14ac:dyDescent="0.25">
      <c r="A2377" s="36">
        <v>99912375</v>
      </c>
      <c r="B2377" s="17" t="s">
        <v>32</v>
      </c>
      <c r="C2377" t="s">
        <v>46</v>
      </c>
      <c r="D2377" t="s">
        <v>47</v>
      </c>
      <c r="G2377" s="17" t="s">
        <v>48</v>
      </c>
      <c r="H2377" s="17">
        <v>1</v>
      </c>
      <c r="K2377" t="s">
        <v>1128</v>
      </c>
      <c r="L2377" t="s">
        <v>1129</v>
      </c>
      <c r="M2377" t="s">
        <v>1130</v>
      </c>
      <c r="N2377">
        <v>20</v>
      </c>
      <c r="O2377" t="s">
        <v>40</v>
      </c>
      <c r="P2377" t="s">
        <v>40</v>
      </c>
      <c r="Q2377" t="s">
        <v>40</v>
      </c>
      <c r="R2377" t="s">
        <v>40</v>
      </c>
      <c r="S2377" t="s">
        <v>40</v>
      </c>
      <c r="V2377" t="s">
        <v>41</v>
      </c>
      <c r="W2377" t="s">
        <v>42</v>
      </c>
      <c r="X2377" t="str">
        <f>"3180010"</f>
        <v>3180010</v>
      </c>
      <c r="Y2377" t="s">
        <v>1132</v>
      </c>
      <c r="Z2377" t="s">
        <v>1128</v>
      </c>
      <c r="AA2377" t="s">
        <v>1129</v>
      </c>
      <c r="AB2377" t="s">
        <v>1130</v>
      </c>
      <c r="AC2377" t="s">
        <v>165</v>
      </c>
      <c r="AD2377" t="s">
        <v>45</v>
      </c>
      <c r="AE2377" s="1">
        <v>28102</v>
      </c>
      <c r="AF2377">
        <v>2</v>
      </c>
      <c r="AG2377" t="s">
        <v>1129</v>
      </c>
      <c r="AH2377" s="36">
        <f t="shared" si="37"/>
        <v>42.652777777777779</v>
      </c>
      <c r="AI2377" s="41" t="s">
        <v>1779</v>
      </c>
    </row>
    <row r="2378" spans="1:35" x14ac:dyDescent="0.25">
      <c r="A2378" s="36">
        <v>99912376</v>
      </c>
      <c r="B2378" s="17" t="s">
        <v>32</v>
      </c>
      <c r="C2378" t="s">
        <v>64</v>
      </c>
      <c r="D2378" t="s">
        <v>65</v>
      </c>
      <c r="G2378" s="17" t="s">
        <v>35</v>
      </c>
      <c r="H2378" s="17">
        <v>1</v>
      </c>
      <c r="I2378" s="1">
        <v>43344</v>
      </c>
      <c r="J2378" s="1">
        <v>43344</v>
      </c>
      <c r="K2378" t="s">
        <v>1341</v>
      </c>
      <c r="L2378" t="s">
        <v>1342</v>
      </c>
      <c r="M2378" t="s">
        <v>1270</v>
      </c>
      <c r="N2378">
        <v>24</v>
      </c>
      <c r="O2378" t="s">
        <v>40</v>
      </c>
      <c r="S2378" t="s">
        <v>40</v>
      </c>
      <c r="U2378" s="1">
        <v>43344</v>
      </c>
      <c r="V2378" t="s">
        <v>41</v>
      </c>
      <c r="W2378" t="s">
        <v>75</v>
      </c>
      <c r="X2378" t="str">
        <f>"7191004"</f>
        <v>7191004</v>
      </c>
      <c r="Y2378" t="s">
        <v>1344</v>
      </c>
      <c r="Z2378" t="s">
        <v>1341</v>
      </c>
      <c r="AA2378" t="s">
        <v>1342</v>
      </c>
      <c r="AB2378" t="s">
        <v>1270</v>
      </c>
      <c r="AC2378" t="s">
        <v>55</v>
      </c>
      <c r="AD2378" t="s">
        <v>45</v>
      </c>
      <c r="AE2378" s="1">
        <v>28097</v>
      </c>
      <c r="AF2378">
        <v>1</v>
      </c>
      <c r="AG2378" t="s">
        <v>1342</v>
      </c>
      <c r="AH2378" s="36">
        <f t="shared" si="37"/>
        <v>42.666666666666664</v>
      </c>
      <c r="AI2378" s="41" t="s">
        <v>1779</v>
      </c>
    </row>
    <row r="2379" spans="1:35" x14ac:dyDescent="0.25">
      <c r="A2379" s="36">
        <v>99912377</v>
      </c>
      <c r="B2379" s="17" t="s">
        <v>32</v>
      </c>
      <c r="C2379" t="s">
        <v>139</v>
      </c>
      <c r="D2379" t="s">
        <v>140</v>
      </c>
      <c r="G2379" s="17" t="s">
        <v>48</v>
      </c>
      <c r="H2379" s="17">
        <v>1</v>
      </c>
      <c r="K2379" t="s">
        <v>380</v>
      </c>
      <c r="L2379" t="s">
        <v>381</v>
      </c>
      <c r="M2379" t="s">
        <v>131</v>
      </c>
      <c r="N2379">
        <v>5</v>
      </c>
      <c r="O2379" t="s">
        <v>40</v>
      </c>
      <c r="P2379" t="s">
        <v>40</v>
      </c>
      <c r="Q2379" t="s">
        <v>40</v>
      </c>
      <c r="S2379" t="s">
        <v>40</v>
      </c>
      <c r="V2379" t="s">
        <v>41</v>
      </c>
      <c r="W2379" t="s">
        <v>49</v>
      </c>
      <c r="X2379" t="str">
        <f>"0591908"</f>
        <v>0591908</v>
      </c>
      <c r="Y2379" t="s">
        <v>383</v>
      </c>
      <c r="Z2379" t="s">
        <v>380</v>
      </c>
      <c r="AA2379" t="s">
        <v>381</v>
      </c>
      <c r="AB2379" t="s">
        <v>131</v>
      </c>
      <c r="AC2379" t="s">
        <v>44</v>
      </c>
      <c r="AD2379" t="s">
        <v>45</v>
      </c>
      <c r="AE2379" s="1">
        <v>28095</v>
      </c>
      <c r="AF2379">
        <v>2</v>
      </c>
      <c r="AG2379" t="s">
        <v>381</v>
      </c>
      <c r="AH2379" s="36">
        <f t="shared" si="37"/>
        <v>42.672222222222224</v>
      </c>
      <c r="AI2379" s="41" t="s">
        <v>1779</v>
      </c>
    </row>
    <row r="2380" spans="1:35" x14ac:dyDescent="0.25">
      <c r="A2380" s="36">
        <v>99912378</v>
      </c>
      <c r="B2380" s="17" t="s">
        <v>56</v>
      </c>
      <c r="C2380" t="s">
        <v>58</v>
      </c>
      <c r="D2380" t="s">
        <v>59</v>
      </c>
      <c r="G2380" s="17" t="s">
        <v>48</v>
      </c>
      <c r="H2380" s="17">
        <v>1</v>
      </c>
      <c r="K2380" t="s">
        <v>223</v>
      </c>
      <c r="L2380" t="s">
        <v>224</v>
      </c>
      <c r="M2380" t="s">
        <v>131</v>
      </c>
      <c r="N2380">
        <v>21</v>
      </c>
      <c r="O2380" t="s">
        <v>40</v>
      </c>
      <c r="P2380" t="s">
        <v>40</v>
      </c>
      <c r="Q2380" t="s">
        <v>40</v>
      </c>
      <c r="S2380" t="s">
        <v>40</v>
      </c>
      <c r="V2380" t="s">
        <v>41</v>
      </c>
      <c r="W2380" t="s">
        <v>42</v>
      </c>
      <c r="X2380" t="str">
        <f>"0580265"</f>
        <v>0580265</v>
      </c>
      <c r="Y2380" t="s">
        <v>231</v>
      </c>
      <c r="Z2380" t="s">
        <v>223</v>
      </c>
      <c r="AA2380" t="s">
        <v>224</v>
      </c>
      <c r="AB2380" t="s">
        <v>131</v>
      </c>
      <c r="AC2380" t="s">
        <v>51</v>
      </c>
      <c r="AD2380" t="s">
        <v>45</v>
      </c>
      <c r="AE2380" s="1">
        <v>28094</v>
      </c>
      <c r="AF2380">
        <v>2</v>
      </c>
      <c r="AG2380" t="s">
        <v>224</v>
      </c>
      <c r="AH2380" s="36">
        <f t="shared" si="37"/>
        <v>42.674999999999997</v>
      </c>
      <c r="AI2380" s="41" t="s">
        <v>1779</v>
      </c>
    </row>
    <row r="2381" spans="1:35" x14ac:dyDescent="0.25">
      <c r="A2381" s="36">
        <v>99912379</v>
      </c>
      <c r="B2381" s="17" t="s">
        <v>32</v>
      </c>
      <c r="C2381" t="s">
        <v>46</v>
      </c>
      <c r="D2381" t="s">
        <v>47</v>
      </c>
      <c r="G2381" s="17" t="s">
        <v>48</v>
      </c>
      <c r="H2381" s="17">
        <v>1</v>
      </c>
      <c r="K2381" t="s">
        <v>1268</v>
      </c>
      <c r="L2381" t="s">
        <v>1269</v>
      </c>
      <c r="M2381" t="s">
        <v>1270</v>
      </c>
      <c r="N2381">
        <v>21</v>
      </c>
      <c r="O2381" t="s">
        <v>40</v>
      </c>
      <c r="P2381" t="s">
        <v>40</v>
      </c>
      <c r="Q2381" t="s">
        <v>40</v>
      </c>
      <c r="R2381" t="s">
        <v>40</v>
      </c>
      <c r="S2381" t="s">
        <v>40</v>
      </c>
      <c r="V2381" t="s">
        <v>41</v>
      </c>
      <c r="W2381" t="s">
        <v>42</v>
      </c>
      <c r="X2381" t="str">
        <f>"1990911"</f>
        <v>1990911</v>
      </c>
      <c r="Y2381" t="s">
        <v>1276</v>
      </c>
      <c r="Z2381" t="s">
        <v>1268</v>
      </c>
      <c r="AA2381" t="s">
        <v>1269</v>
      </c>
      <c r="AB2381" t="s">
        <v>1270</v>
      </c>
      <c r="AC2381" t="s">
        <v>165</v>
      </c>
      <c r="AD2381" t="s">
        <v>45</v>
      </c>
      <c r="AE2381" s="1">
        <v>28092</v>
      </c>
      <c r="AF2381">
        <v>2</v>
      </c>
      <c r="AG2381" t="s">
        <v>1269</v>
      </c>
      <c r="AH2381" s="36">
        <f t="shared" si="37"/>
        <v>42.680555555555557</v>
      </c>
      <c r="AI2381" s="41" t="s">
        <v>1779</v>
      </c>
    </row>
    <row r="2382" spans="1:35" x14ac:dyDescent="0.25">
      <c r="A2382" s="36">
        <v>99912380</v>
      </c>
      <c r="B2382" s="17" t="s">
        <v>32</v>
      </c>
      <c r="C2382" t="s">
        <v>71</v>
      </c>
      <c r="D2382" t="s">
        <v>72</v>
      </c>
      <c r="G2382" s="17" t="s">
        <v>48</v>
      </c>
      <c r="H2382" s="17">
        <v>1</v>
      </c>
      <c r="I2382" t="s">
        <v>197</v>
      </c>
      <c r="J2382" s="1">
        <v>40422</v>
      </c>
      <c r="K2382" t="s">
        <v>162</v>
      </c>
      <c r="L2382" t="s">
        <v>158</v>
      </c>
      <c r="M2382" t="s">
        <v>131</v>
      </c>
      <c r="N2382">
        <v>21</v>
      </c>
      <c r="O2382" t="s">
        <v>40</v>
      </c>
      <c r="P2382" t="s">
        <v>40</v>
      </c>
      <c r="Q2382" t="s">
        <v>40</v>
      </c>
      <c r="R2382" t="s">
        <v>40</v>
      </c>
      <c r="S2382" t="s">
        <v>40</v>
      </c>
      <c r="U2382" s="1">
        <v>40422</v>
      </c>
      <c r="V2382" t="s">
        <v>41</v>
      </c>
      <c r="W2382" t="s">
        <v>49</v>
      </c>
      <c r="X2382" t="str">
        <f>"0560003"</f>
        <v>0560003</v>
      </c>
      <c r="Y2382" t="s">
        <v>181</v>
      </c>
      <c r="Z2382" t="s">
        <v>162</v>
      </c>
      <c r="AA2382" t="s">
        <v>158</v>
      </c>
      <c r="AB2382" t="s">
        <v>131</v>
      </c>
      <c r="AC2382" t="s">
        <v>51</v>
      </c>
      <c r="AD2382" t="s">
        <v>45</v>
      </c>
      <c r="AE2382" s="1">
        <v>28089</v>
      </c>
      <c r="AF2382">
        <v>2</v>
      </c>
      <c r="AG2382" t="s">
        <v>158</v>
      </c>
      <c r="AH2382" s="36">
        <f t="shared" si="37"/>
        <v>42.68888888888889</v>
      </c>
      <c r="AI2382" s="41" t="s">
        <v>1779</v>
      </c>
    </row>
    <row r="2383" spans="1:35" x14ac:dyDescent="0.25">
      <c r="A2383" s="36">
        <v>99912381</v>
      </c>
      <c r="B2383" s="17" t="s">
        <v>32</v>
      </c>
      <c r="C2383" t="s">
        <v>90</v>
      </c>
      <c r="D2383" t="s">
        <v>91</v>
      </c>
      <c r="G2383" s="17" t="s">
        <v>48</v>
      </c>
      <c r="H2383" s="17">
        <v>1</v>
      </c>
      <c r="I2383" t="s">
        <v>622</v>
      </c>
      <c r="J2383" s="1">
        <v>42027</v>
      </c>
      <c r="K2383" t="s">
        <v>268</v>
      </c>
      <c r="L2383" t="s">
        <v>269</v>
      </c>
      <c r="M2383" t="s">
        <v>131</v>
      </c>
      <c r="N2383">
        <v>30</v>
      </c>
      <c r="O2383" t="s">
        <v>40</v>
      </c>
      <c r="P2383" t="s">
        <v>40</v>
      </c>
      <c r="Q2383" t="s">
        <v>40</v>
      </c>
      <c r="R2383" t="s">
        <v>40</v>
      </c>
      <c r="S2383" t="s">
        <v>40</v>
      </c>
      <c r="U2383" s="1">
        <v>42031</v>
      </c>
      <c r="V2383" t="s">
        <v>41</v>
      </c>
      <c r="W2383" t="s">
        <v>95</v>
      </c>
      <c r="X2383" t="str">
        <f>"7052213"</f>
        <v>7052213</v>
      </c>
      <c r="Y2383" t="s">
        <v>623</v>
      </c>
      <c r="Z2383" t="s">
        <v>268</v>
      </c>
      <c r="AA2383" t="s">
        <v>269</v>
      </c>
      <c r="AB2383" t="s">
        <v>131</v>
      </c>
      <c r="AC2383" t="s">
        <v>51</v>
      </c>
      <c r="AD2383" t="s">
        <v>45</v>
      </c>
      <c r="AE2383" s="1">
        <v>28079</v>
      </c>
      <c r="AF2383">
        <v>1</v>
      </c>
      <c r="AG2383" t="s">
        <v>269</v>
      </c>
      <c r="AH2383" s="36">
        <f t="shared" si="37"/>
        <v>42.716666666666669</v>
      </c>
      <c r="AI2383" s="41" t="s">
        <v>1779</v>
      </c>
    </row>
    <row r="2384" spans="1:35" x14ac:dyDescent="0.25">
      <c r="A2384" s="36">
        <v>99912382</v>
      </c>
      <c r="B2384" s="17" t="s">
        <v>56</v>
      </c>
      <c r="C2384" t="s">
        <v>111</v>
      </c>
      <c r="D2384" t="s">
        <v>112</v>
      </c>
      <c r="G2384" s="17" t="s">
        <v>35</v>
      </c>
      <c r="H2384" s="17">
        <v>1</v>
      </c>
      <c r="I2384">
        <v>1034</v>
      </c>
      <c r="J2384" s="1">
        <v>43344</v>
      </c>
      <c r="K2384" t="s">
        <v>1245</v>
      </c>
      <c r="L2384" t="s">
        <v>1246</v>
      </c>
      <c r="M2384" t="s">
        <v>1130</v>
      </c>
      <c r="N2384">
        <v>23</v>
      </c>
      <c r="O2384" t="s">
        <v>40</v>
      </c>
      <c r="S2384" t="s">
        <v>40</v>
      </c>
      <c r="U2384" s="1">
        <v>43344</v>
      </c>
      <c r="V2384" t="s">
        <v>41</v>
      </c>
      <c r="W2384" t="s">
        <v>75</v>
      </c>
      <c r="X2384" t="str">
        <f>"7451000"</f>
        <v>7451000</v>
      </c>
      <c r="Y2384" t="s">
        <v>1250</v>
      </c>
      <c r="Z2384" t="s">
        <v>1245</v>
      </c>
      <c r="AA2384" t="s">
        <v>1246</v>
      </c>
      <c r="AB2384" t="s">
        <v>1130</v>
      </c>
      <c r="AC2384" t="s">
        <v>51</v>
      </c>
      <c r="AD2384" t="s">
        <v>45</v>
      </c>
      <c r="AE2384" s="1">
        <v>28076</v>
      </c>
      <c r="AF2384">
        <v>1</v>
      </c>
      <c r="AG2384" t="s">
        <v>1246</v>
      </c>
      <c r="AH2384" s="36">
        <f t="shared" si="37"/>
        <v>42.725000000000001</v>
      </c>
      <c r="AI2384" s="41" t="s">
        <v>1779</v>
      </c>
    </row>
    <row r="2385" spans="1:35" x14ac:dyDescent="0.25">
      <c r="A2385" s="36">
        <v>99912383</v>
      </c>
      <c r="B2385" s="17" t="s">
        <v>56</v>
      </c>
      <c r="C2385" t="s">
        <v>111</v>
      </c>
      <c r="D2385" t="s">
        <v>112</v>
      </c>
      <c r="G2385" s="17" t="s">
        <v>35</v>
      </c>
      <c r="H2385" s="17">
        <v>1</v>
      </c>
      <c r="K2385" t="s">
        <v>154</v>
      </c>
      <c r="L2385" t="s">
        <v>155</v>
      </c>
      <c r="M2385" t="s">
        <v>131</v>
      </c>
      <c r="N2385">
        <v>23</v>
      </c>
      <c r="O2385" t="s">
        <v>40</v>
      </c>
      <c r="P2385" t="s">
        <v>40</v>
      </c>
      <c r="Q2385" t="s">
        <v>40</v>
      </c>
      <c r="S2385" t="s">
        <v>40</v>
      </c>
      <c r="V2385" t="s">
        <v>41</v>
      </c>
      <c r="W2385" t="s">
        <v>75</v>
      </c>
      <c r="X2385" t="str">
        <f>"7700026"</f>
        <v>7700026</v>
      </c>
      <c r="Y2385" t="s">
        <v>397</v>
      </c>
      <c r="Z2385" t="s">
        <v>154</v>
      </c>
      <c r="AA2385" t="s">
        <v>155</v>
      </c>
      <c r="AB2385" t="s">
        <v>131</v>
      </c>
      <c r="AC2385" t="s">
        <v>51</v>
      </c>
      <c r="AD2385" t="s">
        <v>45</v>
      </c>
      <c r="AE2385" s="1">
        <v>28070</v>
      </c>
      <c r="AF2385">
        <v>1</v>
      </c>
      <c r="AG2385" t="s">
        <v>155</v>
      </c>
      <c r="AH2385" s="36">
        <f t="shared" si="37"/>
        <v>42.741666666666667</v>
      </c>
      <c r="AI2385" s="41" t="s">
        <v>1779</v>
      </c>
    </row>
    <row r="2386" spans="1:35" x14ac:dyDescent="0.25">
      <c r="A2386" s="36">
        <v>99912384</v>
      </c>
      <c r="B2386" s="17" t="s">
        <v>32</v>
      </c>
      <c r="C2386" t="s">
        <v>90</v>
      </c>
      <c r="D2386" t="s">
        <v>91</v>
      </c>
      <c r="G2386" s="17" t="s">
        <v>48</v>
      </c>
      <c r="H2386" s="17">
        <v>1</v>
      </c>
      <c r="K2386" t="s">
        <v>154</v>
      </c>
      <c r="L2386" t="s">
        <v>155</v>
      </c>
      <c r="M2386" t="s">
        <v>131</v>
      </c>
      <c r="N2386">
        <v>30</v>
      </c>
      <c r="O2386" t="s">
        <v>40</v>
      </c>
      <c r="P2386" t="s">
        <v>40</v>
      </c>
      <c r="Q2386" t="s">
        <v>40</v>
      </c>
      <c r="S2386" t="s">
        <v>40</v>
      </c>
      <c r="V2386" t="s">
        <v>41</v>
      </c>
      <c r="W2386" t="s">
        <v>95</v>
      </c>
      <c r="X2386" t="str">
        <f>"7051057"</f>
        <v>7051057</v>
      </c>
      <c r="Y2386" t="s">
        <v>424</v>
      </c>
      <c r="Z2386" t="s">
        <v>154</v>
      </c>
      <c r="AA2386" t="s">
        <v>155</v>
      </c>
      <c r="AB2386" t="s">
        <v>131</v>
      </c>
      <c r="AC2386" t="s">
        <v>51</v>
      </c>
      <c r="AD2386" t="s">
        <v>45</v>
      </c>
      <c r="AE2386" s="1">
        <v>28069</v>
      </c>
      <c r="AF2386">
        <v>1</v>
      </c>
      <c r="AG2386" t="s">
        <v>155</v>
      </c>
      <c r="AH2386" s="36">
        <f t="shared" si="37"/>
        <v>42.744444444444447</v>
      </c>
      <c r="AI2386" s="41" t="s">
        <v>1779</v>
      </c>
    </row>
    <row r="2387" spans="1:35" x14ac:dyDescent="0.25">
      <c r="A2387" s="36">
        <v>99912385</v>
      </c>
      <c r="B2387" s="17" t="s">
        <v>32</v>
      </c>
      <c r="C2387" t="s">
        <v>79</v>
      </c>
      <c r="D2387" t="s">
        <v>80</v>
      </c>
      <c r="G2387" s="17" t="s">
        <v>48</v>
      </c>
      <c r="H2387" s="17">
        <v>1</v>
      </c>
      <c r="K2387" t="s">
        <v>154</v>
      </c>
      <c r="L2387" t="s">
        <v>155</v>
      </c>
      <c r="M2387" t="s">
        <v>131</v>
      </c>
      <c r="N2387">
        <v>24</v>
      </c>
      <c r="O2387" t="s">
        <v>40</v>
      </c>
      <c r="P2387" t="s">
        <v>40</v>
      </c>
      <c r="Q2387" t="s">
        <v>40</v>
      </c>
      <c r="S2387" t="s">
        <v>40</v>
      </c>
      <c r="V2387" t="s">
        <v>41</v>
      </c>
      <c r="W2387" t="s">
        <v>75</v>
      </c>
      <c r="X2387" t="str">
        <f>"7051018"</f>
        <v>7051018</v>
      </c>
      <c r="Y2387" t="s">
        <v>401</v>
      </c>
      <c r="Z2387" t="s">
        <v>154</v>
      </c>
      <c r="AA2387" t="s">
        <v>155</v>
      </c>
      <c r="AB2387" t="s">
        <v>131</v>
      </c>
      <c r="AC2387" t="s">
        <v>51</v>
      </c>
      <c r="AD2387" t="s">
        <v>45</v>
      </c>
      <c r="AE2387" s="1">
        <v>28061</v>
      </c>
      <c r="AF2387">
        <v>1</v>
      </c>
      <c r="AG2387" t="s">
        <v>155</v>
      </c>
      <c r="AH2387" s="36">
        <f t="shared" si="37"/>
        <v>42.766666666666666</v>
      </c>
      <c r="AI2387" s="41" t="s">
        <v>1779</v>
      </c>
    </row>
    <row r="2388" spans="1:35" x14ac:dyDescent="0.25">
      <c r="A2388" s="36">
        <v>99912386</v>
      </c>
      <c r="B2388" s="17" t="s">
        <v>32</v>
      </c>
      <c r="C2388" t="s">
        <v>139</v>
      </c>
      <c r="D2388" t="s">
        <v>140</v>
      </c>
      <c r="G2388" s="17" t="s">
        <v>35</v>
      </c>
      <c r="H2388" s="17">
        <v>1</v>
      </c>
      <c r="I2388" t="s">
        <v>1092</v>
      </c>
      <c r="J2388" s="1">
        <v>43344</v>
      </c>
      <c r="K2388" t="s">
        <v>1081</v>
      </c>
      <c r="L2388" t="s">
        <v>1082</v>
      </c>
      <c r="M2388" t="s">
        <v>1053</v>
      </c>
      <c r="N2388">
        <v>14</v>
      </c>
      <c r="O2388" t="s">
        <v>40</v>
      </c>
      <c r="P2388" t="s">
        <v>40</v>
      </c>
      <c r="Q2388" t="s">
        <v>40</v>
      </c>
      <c r="R2388" t="s">
        <v>40</v>
      </c>
      <c r="S2388" t="s">
        <v>40</v>
      </c>
      <c r="U2388" s="1">
        <v>43344</v>
      </c>
      <c r="V2388" t="s">
        <v>41</v>
      </c>
      <c r="W2388" t="s">
        <v>75</v>
      </c>
      <c r="X2388" t="str">
        <f>"7201006"</f>
        <v>7201006</v>
      </c>
      <c r="Y2388" t="s">
        <v>1083</v>
      </c>
      <c r="Z2388" t="s">
        <v>1081</v>
      </c>
      <c r="AA2388" t="s">
        <v>1082</v>
      </c>
      <c r="AB2388" t="s">
        <v>1053</v>
      </c>
      <c r="AC2388" t="s">
        <v>51</v>
      </c>
      <c r="AD2388" t="s">
        <v>45</v>
      </c>
      <c r="AE2388" s="1">
        <v>28060</v>
      </c>
      <c r="AF2388">
        <v>1</v>
      </c>
      <c r="AG2388" t="s">
        <v>1082</v>
      </c>
      <c r="AH2388" s="36">
        <f t="shared" si="37"/>
        <v>42.769444444444446</v>
      </c>
      <c r="AI2388" s="41" t="s">
        <v>1779</v>
      </c>
    </row>
    <row r="2389" spans="1:35" x14ac:dyDescent="0.25">
      <c r="A2389" s="36">
        <v>99912387</v>
      </c>
      <c r="B2389" s="17" t="s">
        <v>32</v>
      </c>
      <c r="C2389" t="s">
        <v>71</v>
      </c>
      <c r="D2389" t="s">
        <v>72</v>
      </c>
      <c r="G2389" s="17" t="s">
        <v>48</v>
      </c>
      <c r="H2389" s="17">
        <v>1</v>
      </c>
      <c r="K2389" t="s">
        <v>1128</v>
      </c>
      <c r="L2389" t="s">
        <v>1129</v>
      </c>
      <c r="M2389" t="s">
        <v>1130</v>
      </c>
      <c r="N2389">
        <v>9</v>
      </c>
      <c r="O2389" t="s">
        <v>40</v>
      </c>
      <c r="P2389" t="s">
        <v>40</v>
      </c>
      <c r="Q2389" t="s">
        <v>40</v>
      </c>
      <c r="R2389" t="s">
        <v>40</v>
      </c>
      <c r="S2389" t="s">
        <v>40</v>
      </c>
      <c r="V2389" t="s">
        <v>41</v>
      </c>
      <c r="W2389" t="s">
        <v>49</v>
      </c>
      <c r="X2389" t="str">
        <f>"3181015"</f>
        <v>3181015</v>
      </c>
      <c r="Y2389" t="s">
        <v>1131</v>
      </c>
      <c r="Z2389" t="s">
        <v>1128</v>
      </c>
      <c r="AA2389" t="s">
        <v>1129</v>
      </c>
      <c r="AB2389" t="s">
        <v>1130</v>
      </c>
      <c r="AC2389" t="s">
        <v>51</v>
      </c>
      <c r="AD2389" t="s">
        <v>45</v>
      </c>
      <c r="AE2389" s="1">
        <v>28058</v>
      </c>
      <c r="AF2389">
        <v>2</v>
      </c>
      <c r="AG2389" t="s">
        <v>1129</v>
      </c>
      <c r="AH2389" s="36">
        <f t="shared" si="37"/>
        <v>42.774999999999999</v>
      </c>
      <c r="AI2389" s="41" t="s">
        <v>1779</v>
      </c>
    </row>
    <row r="2390" spans="1:35" x14ac:dyDescent="0.25">
      <c r="A2390" s="36">
        <v>99912388</v>
      </c>
      <c r="B2390" s="17" t="s">
        <v>32</v>
      </c>
      <c r="C2390" t="s">
        <v>46</v>
      </c>
      <c r="D2390" t="s">
        <v>47</v>
      </c>
      <c r="G2390" s="17" t="s">
        <v>48</v>
      </c>
      <c r="H2390" s="17">
        <v>1</v>
      </c>
      <c r="K2390" t="s">
        <v>223</v>
      </c>
      <c r="L2390" t="s">
        <v>224</v>
      </c>
      <c r="M2390" t="s">
        <v>131</v>
      </c>
      <c r="N2390">
        <v>20</v>
      </c>
      <c r="O2390" t="s">
        <v>40</v>
      </c>
      <c r="P2390" t="s">
        <v>40</v>
      </c>
      <c r="Q2390" t="s">
        <v>40</v>
      </c>
      <c r="S2390" t="s">
        <v>40</v>
      </c>
      <c r="V2390" t="s">
        <v>41</v>
      </c>
      <c r="W2390" t="s">
        <v>42</v>
      </c>
      <c r="X2390" t="str">
        <f>"0580395"</f>
        <v>0580395</v>
      </c>
      <c r="Y2390" t="s">
        <v>265</v>
      </c>
      <c r="Z2390" t="s">
        <v>223</v>
      </c>
      <c r="AA2390" t="s">
        <v>224</v>
      </c>
      <c r="AB2390" t="s">
        <v>131</v>
      </c>
      <c r="AC2390" t="s">
        <v>51</v>
      </c>
      <c r="AD2390" t="s">
        <v>45</v>
      </c>
      <c r="AE2390" s="1">
        <v>28057</v>
      </c>
      <c r="AF2390">
        <v>2</v>
      </c>
      <c r="AG2390" t="s">
        <v>224</v>
      </c>
      <c r="AH2390" s="36">
        <f t="shared" si="37"/>
        <v>42.777777777777779</v>
      </c>
      <c r="AI2390" s="41" t="s">
        <v>1779</v>
      </c>
    </row>
    <row r="2391" spans="1:35" x14ac:dyDescent="0.25">
      <c r="A2391" s="36">
        <v>99912389</v>
      </c>
      <c r="B2391" s="17" t="s">
        <v>32</v>
      </c>
      <c r="C2391" t="s">
        <v>64</v>
      </c>
      <c r="D2391" t="s">
        <v>65</v>
      </c>
      <c r="G2391" s="17" t="s">
        <v>35</v>
      </c>
      <c r="H2391" s="17">
        <v>1</v>
      </c>
      <c r="I2391" t="s">
        <v>1147</v>
      </c>
      <c r="J2391" s="1">
        <v>43344</v>
      </c>
      <c r="K2391" t="s">
        <v>1128</v>
      </c>
      <c r="L2391" t="s">
        <v>1129</v>
      </c>
      <c r="M2391" t="s">
        <v>1130</v>
      </c>
      <c r="N2391">
        <v>19</v>
      </c>
      <c r="O2391" t="s">
        <v>40</v>
      </c>
      <c r="P2391" t="s">
        <v>40</v>
      </c>
      <c r="Q2391" t="s">
        <v>40</v>
      </c>
      <c r="R2391" t="s">
        <v>40</v>
      </c>
      <c r="S2391" t="s">
        <v>40</v>
      </c>
      <c r="U2391" s="1">
        <v>43344</v>
      </c>
      <c r="V2391" t="s">
        <v>41</v>
      </c>
      <c r="W2391" t="s">
        <v>49</v>
      </c>
      <c r="X2391" t="str">
        <f>"3181015"</f>
        <v>3181015</v>
      </c>
      <c r="Y2391" t="s">
        <v>1131</v>
      </c>
      <c r="Z2391" t="s">
        <v>1128</v>
      </c>
      <c r="AA2391" t="s">
        <v>1129</v>
      </c>
      <c r="AB2391" t="s">
        <v>1130</v>
      </c>
      <c r="AC2391" t="s">
        <v>51</v>
      </c>
      <c r="AD2391" t="s">
        <v>45</v>
      </c>
      <c r="AE2391" s="1">
        <v>28055</v>
      </c>
      <c r="AF2391">
        <v>2</v>
      </c>
      <c r="AG2391" t="s">
        <v>1129</v>
      </c>
      <c r="AH2391" s="36">
        <f t="shared" si="37"/>
        <v>42.783333333333331</v>
      </c>
      <c r="AI2391" s="41" t="s">
        <v>1779</v>
      </c>
    </row>
    <row r="2392" spans="1:35" x14ac:dyDescent="0.25">
      <c r="A2392" s="36">
        <v>99912390</v>
      </c>
      <c r="B2392" s="17" t="s">
        <v>32</v>
      </c>
      <c r="C2392" t="s">
        <v>139</v>
      </c>
      <c r="D2392" t="s">
        <v>140</v>
      </c>
      <c r="G2392" s="17" t="s">
        <v>35</v>
      </c>
      <c r="H2392" s="17">
        <v>1</v>
      </c>
      <c r="I2392" t="s">
        <v>608</v>
      </c>
      <c r="J2392" s="1">
        <v>43344</v>
      </c>
      <c r="K2392" t="s">
        <v>268</v>
      </c>
      <c r="L2392" t="s">
        <v>269</v>
      </c>
      <c r="M2392" t="s">
        <v>131</v>
      </c>
      <c r="N2392">
        <v>10</v>
      </c>
      <c r="O2392" t="s">
        <v>40</v>
      </c>
      <c r="S2392" t="s">
        <v>40</v>
      </c>
      <c r="U2392" s="1">
        <v>43344</v>
      </c>
      <c r="V2392" t="s">
        <v>41</v>
      </c>
      <c r="W2392" t="s">
        <v>75</v>
      </c>
      <c r="X2392" t="str">
        <f>"7052020"</f>
        <v>7052020</v>
      </c>
      <c r="Y2392" t="s">
        <v>267</v>
      </c>
      <c r="Z2392" t="s">
        <v>268</v>
      </c>
      <c r="AA2392" t="s">
        <v>269</v>
      </c>
      <c r="AB2392" t="s">
        <v>131</v>
      </c>
      <c r="AC2392" t="s">
        <v>51</v>
      </c>
      <c r="AD2392" t="s">
        <v>45</v>
      </c>
      <c r="AE2392" s="1">
        <v>28054</v>
      </c>
      <c r="AF2392">
        <v>1</v>
      </c>
      <c r="AG2392" t="s">
        <v>269</v>
      </c>
      <c r="AH2392" s="36">
        <f t="shared" si="37"/>
        <v>42.786111111111111</v>
      </c>
      <c r="AI2392" s="41" t="s">
        <v>1779</v>
      </c>
    </row>
    <row r="2393" spans="1:35" x14ac:dyDescent="0.25">
      <c r="A2393" s="36">
        <v>99912391</v>
      </c>
      <c r="B2393" s="17" t="s">
        <v>32</v>
      </c>
      <c r="C2393" t="s">
        <v>143</v>
      </c>
      <c r="D2393" t="s">
        <v>144</v>
      </c>
      <c r="G2393" s="17" t="s">
        <v>48</v>
      </c>
      <c r="H2393" s="17">
        <v>10</v>
      </c>
      <c r="I2393" t="s">
        <v>464</v>
      </c>
      <c r="J2393" s="1">
        <v>41153</v>
      </c>
      <c r="K2393" t="s">
        <v>431</v>
      </c>
      <c r="L2393" t="s">
        <v>196</v>
      </c>
      <c r="M2393" t="s">
        <v>131</v>
      </c>
      <c r="N2393">
        <v>24</v>
      </c>
      <c r="O2393" t="s">
        <v>40</v>
      </c>
      <c r="P2393" t="s">
        <v>40</v>
      </c>
      <c r="Q2393" t="s">
        <v>40</v>
      </c>
      <c r="R2393" t="s">
        <v>40</v>
      </c>
      <c r="S2393" t="s">
        <v>40</v>
      </c>
      <c r="U2393" s="1">
        <v>41153</v>
      </c>
      <c r="V2393" t="s">
        <v>41</v>
      </c>
      <c r="W2393" t="s">
        <v>75</v>
      </c>
      <c r="X2393" t="str">
        <f>"7521012"</f>
        <v>7521012</v>
      </c>
      <c r="Y2393" t="s">
        <v>432</v>
      </c>
      <c r="Z2393" t="s">
        <v>431</v>
      </c>
      <c r="AA2393" t="s">
        <v>196</v>
      </c>
      <c r="AB2393" t="s">
        <v>131</v>
      </c>
      <c r="AC2393" t="s">
        <v>165</v>
      </c>
      <c r="AD2393" t="s">
        <v>45</v>
      </c>
      <c r="AE2393" s="1">
        <v>28053</v>
      </c>
      <c r="AF2393">
        <v>1</v>
      </c>
      <c r="AG2393" t="s">
        <v>196</v>
      </c>
      <c r="AH2393" s="36">
        <f t="shared" si="37"/>
        <v>42.788888888888891</v>
      </c>
      <c r="AI2393" s="41" t="s">
        <v>1779</v>
      </c>
    </row>
    <row r="2394" spans="1:35" x14ac:dyDescent="0.25">
      <c r="A2394" s="36">
        <v>99912392</v>
      </c>
      <c r="B2394" s="17" t="s">
        <v>32</v>
      </c>
      <c r="C2394" t="s">
        <v>111</v>
      </c>
      <c r="D2394" t="s">
        <v>112</v>
      </c>
      <c r="G2394" s="17" t="s">
        <v>35</v>
      </c>
      <c r="H2394" s="17">
        <v>1</v>
      </c>
      <c r="K2394" t="s">
        <v>431</v>
      </c>
      <c r="L2394" t="s">
        <v>196</v>
      </c>
      <c r="M2394" t="s">
        <v>131</v>
      </c>
      <c r="N2394">
        <v>22</v>
      </c>
      <c r="O2394" t="s">
        <v>40</v>
      </c>
      <c r="P2394" t="s">
        <v>40</v>
      </c>
      <c r="Q2394" t="s">
        <v>40</v>
      </c>
      <c r="S2394" t="s">
        <v>40</v>
      </c>
      <c r="V2394" t="s">
        <v>41</v>
      </c>
      <c r="W2394" t="s">
        <v>75</v>
      </c>
      <c r="X2394" t="str">
        <f>"7521012"</f>
        <v>7521012</v>
      </c>
      <c r="Y2394" t="s">
        <v>432</v>
      </c>
      <c r="Z2394" t="s">
        <v>431</v>
      </c>
      <c r="AA2394" t="s">
        <v>196</v>
      </c>
      <c r="AB2394" t="s">
        <v>131</v>
      </c>
      <c r="AC2394" t="s">
        <v>51</v>
      </c>
      <c r="AD2394" t="s">
        <v>45</v>
      </c>
      <c r="AE2394" s="1">
        <v>28051</v>
      </c>
      <c r="AF2394">
        <v>1</v>
      </c>
      <c r="AG2394" t="s">
        <v>196</v>
      </c>
      <c r="AH2394" s="36">
        <f t="shared" si="37"/>
        <v>42.794444444444444</v>
      </c>
      <c r="AI2394" s="41" t="s">
        <v>1779</v>
      </c>
    </row>
    <row r="2395" spans="1:35" x14ac:dyDescent="0.25">
      <c r="A2395" s="36">
        <v>99912393</v>
      </c>
      <c r="B2395" s="17" t="s">
        <v>56</v>
      </c>
      <c r="C2395" t="s">
        <v>82</v>
      </c>
      <c r="D2395" t="s">
        <v>83</v>
      </c>
      <c r="G2395" s="17" t="s">
        <v>35</v>
      </c>
      <c r="H2395" s="17">
        <v>1</v>
      </c>
      <c r="I2395" t="s">
        <v>84</v>
      </c>
      <c r="J2395" s="1">
        <v>43354</v>
      </c>
      <c r="K2395" t="s">
        <v>37</v>
      </c>
      <c r="L2395" t="s">
        <v>38</v>
      </c>
      <c r="M2395" t="s">
        <v>39</v>
      </c>
      <c r="N2395">
        <v>11</v>
      </c>
      <c r="O2395" t="s">
        <v>40</v>
      </c>
      <c r="P2395" t="s">
        <v>40</v>
      </c>
      <c r="Q2395" t="s">
        <v>40</v>
      </c>
      <c r="S2395" t="s">
        <v>40</v>
      </c>
      <c r="U2395" s="1">
        <v>43354</v>
      </c>
      <c r="V2395" t="s">
        <v>41</v>
      </c>
      <c r="W2395" t="s">
        <v>42</v>
      </c>
      <c r="X2395" t="str">
        <f>"3780010"</f>
        <v>3780010</v>
      </c>
      <c r="Y2395" t="s">
        <v>43</v>
      </c>
      <c r="Z2395" t="s">
        <v>37</v>
      </c>
      <c r="AA2395" t="s">
        <v>38</v>
      </c>
      <c r="AB2395" t="s">
        <v>39</v>
      </c>
      <c r="AC2395" t="s">
        <v>44</v>
      </c>
      <c r="AD2395" t="s">
        <v>45</v>
      </c>
      <c r="AE2395" s="1">
        <v>28043</v>
      </c>
      <c r="AF2395">
        <v>2</v>
      </c>
      <c r="AG2395" t="s">
        <v>38</v>
      </c>
      <c r="AH2395" s="36">
        <f t="shared" si="37"/>
        <v>42.81666666666667</v>
      </c>
      <c r="AI2395" s="41" t="s">
        <v>1779</v>
      </c>
    </row>
    <row r="2396" spans="1:35" x14ac:dyDescent="0.25">
      <c r="A2396" s="36">
        <v>99912394</v>
      </c>
      <c r="B2396" s="17" t="s">
        <v>56</v>
      </c>
      <c r="C2396" t="s">
        <v>52</v>
      </c>
      <c r="D2396" t="s">
        <v>53</v>
      </c>
      <c r="G2396" s="17" t="s">
        <v>48</v>
      </c>
      <c r="H2396" s="17">
        <v>1</v>
      </c>
      <c r="K2396" t="s">
        <v>300</v>
      </c>
      <c r="L2396" t="s">
        <v>301</v>
      </c>
      <c r="M2396" t="s">
        <v>131</v>
      </c>
      <c r="N2396">
        <v>21</v>
      </c>
      <c r="O2396" t="s">
        <v>40</v>
      </c>
      <c r="P2396" t="s">
        <v>40</v>
      </c>
      <c r="Q2396" t="s">
        <v>40</v>
      </c>
      <c r="R2396" t="s">
        <v>40</v>
      </c>
      <c r="S2396" t="s">
        <v>40</v>
      </c>
      <c r="V2396" t="s">
        <v>41</v>
      </c>
      <c r="W2396" t="s">
        <v>42</v>
      </c>
      <c r="X2396" t="str">
        <f>"0580106"</f>
        <v>0580106</v>
      </c>
      <c r="Y2396" t="s">
        <v>306</v>
      </c>
      <c r="Z2396" t="s">
        <v>300</v>
      </c>
      <c r="AA2396" t="s">
        <v>301</v>
      </c>
      <c r="AB2396" t="s">
        <v>131</v>
      </c>
      <c r="AC2396" t="s">
        <v>51</v>
      </c>
      <c r="AD2396" t="s">
        <v>45</v>
      </c>
      <c r="AE2396" s="1">
        <v>28037</v>
      </c>
      <c r="AF2396">
        <v>2</v>
      </c>
      <c r="AG2396" t="s">
        <v>301</v>
      </c>
      <c r="AH2396" s="36">
        <f t="shared" si="37"/>
        <v>42.833333333333336</v>
      </c>
      <c r="AI2396" s="41" t="s">
        <v>1779</v>
      </c>
    </row>
    <row r="2397" spans="1:35" x14ac:dyDescent="0.25">
      <c r="A2397" s="36">
        <v>99912395</v>
      </c>
      <c r="B2397" s="17" t="s">
        <v>32</v>
      </c>
      <c r="C2397" t="s">
        <v>58</v>
      </c>
      <c r="D2397" t="s">
        <v>59</v>
      </c>
      <c r="G2397" s="17" t="s">
        <v>35</v>
      </c>
      <c r="H2397" s="17">
        <v>1</v>
      </c>
      <c r="K2397" t="s">
        <v>223</v>
      </c>
      <c r="L2397" t="s">
        <v>224</v>
      </c>
      <c r="M2397" t="s">
        <v>131</v>
      </c>
      <c r="N2397">
        <v>18</v>
      </c>
      <c r="O2397" t="s">
        <v>40</v>
      </c>
      <c r="P2397" t="s">
        <v>40</v>
      </c>
      <c r="Q2397" t="s">
        <v>40</v>
      </c>
      <c r="S2397" t="s">
        <v>40</v>
      </c>
      <c r="V2397" t="s">
        <v>41</v>
      </c>
      <c r="W2397" t="s">
        <v>42</v>
      </c>
      <c r="X2397" t="str">
        <f>"0590903"</f>
        <v>0590903</v>
      </c>
      <c r="Y2397" t="s">
        <v>226</v>
      </c>
      <c r="Z2397" t="s">
        <v>223</v>
      </c>
      <c r="AA2397" t="s">
        <v>224</v>
      </c>
      <c r="AB2397" t="s">
        <v>131</v>
      </c>
      <c r="AC2397" t="s">
        <v>51</v>
      </c>
      <c r="AD2397" t="s">
        <v>45</v>
      </c>
      <c r="AE2397" s="1">
        <v>28033</v>
      </c>
      <c r="AF2397">
        <v>2</v>
      </c>
      <c r="AG2397" t="s">
        <v>224</v>
      </c>
      <c r="AH2397" s="36">
        <f t="shared" si="37"/>
        <v>42.844444444444441</v>
      </c>
      <c r="AI2397" s="41" t="s">
        <v>1779</v>
      </c>
    </row>
    <row r="2398" spans="1:35" x14ac:dyDescent="0.25">
      <c r="A2398" s="36">
        <v>99912396</v>
      </c>
      <c r="B2398" s="17" t="s">
        <v>32</v>
      </c>
      <c r="C2398" t="s">
        <v>139</v>
      </c>
      <c r="D2398" t="s">
        <v>140</v>
      </c>
      <c r="G2398" s="17" t="s">
        <v>48</v>
      </c>
      <c r="H2398" s="17">
        <v>9</v>
      </c>
      <c r="K2398" t="s">
        <v>1268</v>
      </c>
      <c r="L2398" t="s">
        <v>1269</v>
      </c>
      <c r="M2398" t="s">
        <v>1270</v>
      </c>
      <c r="N2398">
        <v>20</v>
      </c>
      <c r="O2398" t="s">
        <v>40</v>
      </c>
      <c r="P2398" t="s">
        <v>40</v>
      </c>
      <c r="Q2398" t="s">
        <v>40</v>
      </c>
      <c r="R2398" t="s">
        <v>40</v>
      </c>
      <c r="S2398" t="s">
        <v>40</v>
      </c>
      <c r="U2398" s="1">
        <v>43344</v>
      </c>
      <c r="V2398" t="s">
        <v>41</v>
      </c>
      <c r="W2398" t="s">
        <v>49</v>
      </c>
      <c r="X2398" t="str">
        <f>"1981055"</f>
        <v>1981055</v>
      </c>
      <c r="Y2398" t="s">
        <v>1280</v>
      </c>
      <c r="Z2398" t="s">
        <v>1268</v>
      </c>
      <c r="AA2398" t="s">
        <v>1269</v>
      </c>
      <c r="AB2398" t="s">
        <v>1270</v>
      </c>
      <c r="AC2398" t="s">
        <v>51</v>
      </c>
      <c r="AD2398" t="s">
        <v>45</v>
      </c>
      <c r="AE2398" s="1">
        <v>28021</v>
      </c>
      <c r="AF2398">
        <v>2</v>
      </c>
      <c r="AG2398" t="s">
        <v>1269</v>
      </c>
      <c r="AH2398" s="36">
        <f t="shared" si="37"/>
        <v>42.87777777777778</v>
      </c>
      <c r="AI2398" s="41" t="s">
        <v>1779</v>
      </c>
    </row>
    <row r="2399" spans="1:35" x14ac:dyDescent="0.25">
      <c r="A2399" s="36">
        <v>99912397</v>
      </c>
      <c r="B2399" s="17" t="s">
        <v>56</v>
      </c>
      <c r="C2399" t="s">
        <v>52</v>
      </c>
      <c r="D2399" t="s">
        <v>53</v>
      </c>
      <c r="G2399" s="17" t="s">
        <v>35</v>
      </c>
      <c r="H2399" s="17">
        <v>1</v>
      </c>
      <c r="K2399" t="s">
        <v>300</v>
      </c>
      <c r="L2399" t="s">
        <v>301</v>
      </c>
      <c r="M2399" t="s">
        <v>131</v>
      </c>
      <c r="N2399">
        <v>18</v>
      </c>
      <c r="O2399" t="s">
        <v>40</v>
      </c>
      <c r="P2399" t="s">
        <v>40</v>
      </c>
      <c r="Q2399" t="s">
        <v>40</v>
      </c>
      <c r="R2399" t="s">
        <v>40</v>
      </c>
      <c r="S2399" t="s">
        <v>40</v>
      </c>
      <c r="V2399" t="s">
        <v>41</v>
      </c>
      <c r="W2399" t="s">
        <v>49</v>
      </c>
      <c r="X2399" t="str">
        <f>"0560002"</f>
        <v>0560002</v>
      </c>
      <c r="Y2399" t="s">
        <v>315</v>
      </c>
      <c r="Z2399" t="s">
        <v>300</v>
      </c>
      <c r="AA2399" t="s">
        <v>301</v>
      </c>
      <c r="AB2399" t="s">
        <v>131</v>
      </c>
      <c r="AC2399" t="s">
        <v>165</v>
      </c>
      <c r="AD2399" t="s">
        <v>45</v>
      </c>
      <c r="AE2399" s="1">
        <v>28019</v>
      </c>
      <c r="AF2399">
        <v>2</v>
      </c>
      <c r="AG2399" t="s">
        <v>301</v>
      </c>
      <c r="AH2399" s="36">
        <f t="shared" si="37"/>
        <v>42.883333333333333</v>
      </c>
      <c r="AI2399" s="41" t="s">
        <v>1779</v>
      </c>
    </row>
    <row r="2400" spans="1:35" x14ac:dyDescent="0.25">
      <c r="A2400" s="36">
        <v>99912398</v>
      </c>
      <c r="B2400" s="17" t="s">
        <v>32</v>
      </c>
      <c r="C2400" t="s">
        <v>90</v>
      </c>
      <c r="D2400" t="s">
        <v>91</v>
      </c>
      <c r="G2400" s="17" t="s">
        <v>35</v>
      </c>
      <c r="H2400" s="17">
        <v>1</v>
      </c>
      <c r="K2400" t="s">
        <v>354</v>
      </c>
      <c r="L2400" t="s">
        <v>355</v>
      </c>
      <c r="M2400" t="s">
        <v>131</v>
      </c>
      <c r="N2400">
        <v>25</v>
      </c>
      <c r="O2400" t="s">
        <v>40</v>
      </c>
      <c r="P2400" t="s">
        <v>40</v>
      </c>
      <c r="Q2400" t="s">
        <v>40</v>
      </c>
      <c r="S2400" t="s">
        <v>40</v>
      </c>
      <c r="V2400" t="s">
        <v>41</v>
      </c>
      <c r="W2400" t="s">
        <v>95</v>
      </c>
      <c r="X2400" t="str">
        <f>"7054089"</f>
        <v>7054089</v>
      </c>
      <c r="Y2400" t="s">
        <v>808</v>
      </c>
      <c r="Z2400" t="s">
        <v>354</v>
      </c>
      <c r="AA2400" t="s">
        <v>355</v>
      </c>
      <c r="AB2400" t="s">
        <v>131</v>
      </c>
      <c r="AC2400" t="s">
        <v>51</v>
      </c>
      <c r="AD2400" t="s">
        <v>45</v>
      </c>
      <c r="AE2400" s="1">
        <v>28018</v>
      </c>
      <c r="AF2400">
        <v>1</v>
      </c>
      <c r="AG2400" t="s">
        <v>355</v>
      </c>
      <c r="AH2400" s="36">
        <f t="shared" si="37"/>
        <v>42.886111111111113</v>
      </c>
      <c r="AI2400" s="41" t="s">
        <v>1779</v>
      </c>
    </row>
    <row r="2401" spans="1:35" x14ac:dyDescent="0.25">
      <c r="A2401" s="36">
        <v>99912399</v>
      </c>
      <c r="B2401" s="17" t="s">
        <v>32</v>
      </c>
      <c r="C2401" t="s">
        <v>139</v>
      </c>
      <c r="D2401" t="s">
        <v>140</v>
      </c>
      <c r="G2401" s="17" t="s">
        <v>35</v>
      </c>
      <c r="H2401" s="17">
        <v>1</v>
      </c>
      <c r="K2401" t="s">
        <v>1581</v>
      </c>
      <c r="L2401" t="s">
        <v>1582</v>
      </c>
      <c r="M2401" t="s">
        <v>1548</v>
      </c>
      <c r="N2401">
        <v>16</v>
      </c>
      <c r="O2401" t="s">
        <v>40</v>
      </c>
      <c r="P2401" t="s">
        <v>40</v>
      </c>
      <c r="Q2401" t="s">
        <v>40</v>
      </c>
      <c r="S2401" t="s">
        <v>40</v>
      </c>
      <c r="V2401" t="s">
        <v>41</v>
      </c>
      <c r="W2401" t="s">
        <v>75</v>
      </c>
      <c r="X2401" t="str">
        <f>"7291002"</f>
        <v>7291002</v>
      </c>
      <c r="Y2401" t="s">
        <v>1583</v>
      </c>
      <c r="Z2401" t="s">
        <v>1581</v>
      </c>
      <c r="AA2401" t="s">
        <v>1582</v>
      </c>
      <c r="AB2401" t="s">
        <v>1548</v>
      </c>
      <c r="AC2401" t="s">
        <v>51</v>
      </c>
      <c r="AD2401" t="s">
        <v>45</v>
      </c>
      <c r="AE2401" s="1">
        <v>28017</v>
      </c>
      <c r="AF2401">
        <v>1</v>
      </c>
      <c r="AG2401" t="s">
        <v>1582</v>
      </c>
      <c r="AH2401" s="36">
        <f t="shared" si="37"/>
        <v>42.888888888888886</v>
      </c>
      <c r="AI2401" s="41" t="s">
        <v>1779</v>
      </c>
    </row>
    <row r="2402" spans="1:35" x14ac:dyDescent="0.25">
      <c r="A2402" s="36">
        <v>99912400</v>
      </c>
      <c r="B2402" s="17" t="s">
        <v>32</v>
      </c>
      <c r="C2402" t="s">
        <v>64</v>
      </c>
      <c r="D2402" t="s">
        <v>65</v>
      </c>
      <c r="G2402" s="17" t="s">
        <v>48</v>
      </c>
      <c r="H2402" s="17">
        <v>8</v>
      </c>
      <c r="K2402" t="s">
        <v>1426</v>
      </c>
      <c r="L2402" t="s">
        <v>1427</v>
      </c>
      <c r="M2402" t="s">
        <v>1270</v>
      </c>
      <c r="N2402">
        <v>22</v>
      </c>
      <c r="O2402" t="s">
        <v>40</v>
      </c>
      <c r="P2402" t="s">
        <v>40</v>
      </c>
      <c r="Q2402" t="s">
        <v>40</v>
      </c>
      <c r="R2402" t="s">
        <v>40</v>
      </c>
      <c r="S2402" t="s">
        <v>40</v>
      </c>
      <c r="V2402" t="s">
        <v>41</v>
      </c>
      <c r="W2402" t="s">
        <v>75</v>
      </c>
      <c r="X2402" t="str">
        <f>"7192000"</f>
        <v>7192000</v>
      </c>
      <c r="Y2402" t="s">
        <v>1429</v>
      </c>
      <c r="Z2402" t="s">
        <v>1426</v>
      </c>
      <c r="AA2402" t="s">
        <v>1427</v>
      </c>
      <c r="AB2402" t="s">
        <v>1270</v>
      </c>
      <c r="AC2402" t="s">
        <v>51</v>
      </c>
      <c r="AD2402" t="s">
        <v>45</v>
      </c>
      <c r="AE2402" s="1">
        <v>28015</v>
      </c>
      <c r="AF2402">
        <v>1</v>
      </c>
      <c r="AG2402" t="s">
        <v>1427</v>
      </c>
      <c r="AH2402" s="36">
        <f t="shared" si="37"/>
        <v>42.894444444444446</v>
      </c>
      <c r="AI2402" s="41" t="s">
        <v>1779</v>
      </c>
    </row>
    <row r="2403" spans="1:35" x14ac:dyDescent="0.25">
      <c r="A2403" s="36">
        <v>99912401</v>
      </c>
      <c r="B2403" s="17" t="s">
        <v>32</v>
      </c>
      <c r="C2403" t="s">
        <v>111</v>
      </c>
      <c r="D2403" t="s">
        <v>112</v>
      </c>
      <c r="G2403" s="17" t="s">
        <v>35</v>
      </c>
      <c r="H2403" s="17">
        <v>1</v>
      </c>
      <c r="I2403" t="s">
        <v>751</v>
      </c>
      <c r="J2403" s="1">
        <v>43344</v>
      </c>
      <c r="K2403" t="s">
        <v>268</v>
      </c>
      <c r="L2403" t="s">
        <v>269</v>
      </c>
      <c r="M2403" t="s">
        <v>131</v>
      </c>
      <c r="N2403">
        <v>24</v>
      </c>
      <c r="O2403" t="s">
        <v>40</v>
      </c>
      <c r="S2403" t="s">
        <v>40</v>
      </c>
      <c r="U2403" s="1">
        <v>43344</v>
      </c>
      <c r="V2403" t="s">
        <v>41</v>
      </c>
      <c r="W2403" t="s">
        <v>75</v>
      </c>
      <c r="X2403" t="str">
        <f>"7052020"</f>
        <v>7052020</v>
      </c>
      <c r="Y2403" t="s">
        <v>267</v>
      </c>
      <c r="Z2403" t="s">
        <v>268</v>
      </c>
      <c r="AA2403" t="s">
        <v>269</v>
      </c>
      <c r="AB2403" t="s">
        <v>131</v>
      </c>
      <c r="AC2403" t="s">
        <v>51</v>
      </c>
      <c r="AD2403" t="s">
        <v>45</v>
      </c>
      <c r="AE2403" s="1">
        <v>28013</v>
      </c>
      <c r="AF2403">
        <v>1</v>
      </c>
      <c r="AG2403" t="s">
        <v>269</v>
      </c>
      <c r="AH2403" s="36">
        <f t="shared" si="37"/>
        <v>42.9</v>
      </c>
      <c r="AI2403" s="41" t="s">
        <v>1779</v>
      </c>
    </row>
    <row r="2404" spans="1:35" x14ac:dyDescent="0.25">
      <c r="A2404" s="36">
        <v>99912402</v>
      </c>
      <c r="B2404" s="17" t="s">
        <v>32</v>
      </c>
      <c r="C2404" t="s">
        <v>139</v>
      </c>
      <c r="D2404" t="s">
        <v>140</v>
      </c>
      <c r="G2404" s="17" t="s">
        <v>88</v>
      </c>
      <c r="H2404" s="17">
        <v>3</v>
      </c>
      <c r="I2404" t="s">
        <v>214</v>
      </c>
      <c r="J2404" s="1">
        <v>41153</v>
      </c>
      <c r="K2404" t="s">
        <v>157</v>
      </c>
      <c r="L2404" t="s">
        <v>158</v>
      </c>
      <c r="M2404" t="s">
        <v>131</v>
      </c>
      <c r="N2404">
        <v>7</v>
      </c>
      <c r="O2404" t="s">
        <v>40</v>
      </c>
      <c r="P2404" t="s">
        <v>40</v>
      </c>
      <c r="Q2404" t="s">
        <v>40</v>
      </c>
      <c r="R2404" t="s">
        <v>40</v>
      </c>
      <c r="S2404" t="s">
        <v>40</v>
      </c>
      <c r="U2404" s="1">
        <v>41153</v>
      </c>
      <c r="V2404" t="s">
        <v>41</v>
      </c>
      <c r="W2404" t="s">
        <v>49</v>
      </c>
      <c r="X2404" t="str">
        <f>"0560006"</f>
        <v>0560006</v>
      </c>
      <c r="Y2404" t="s">
        <v>191</v>
      </c>
      <c r="Z2404" t="s">
        <v>157</v>
      </c>
      <c r="AA2404" t="s">
        <v>158</v>
      </c>
      <c r="AB2404" t="s">
        <v>131</v>
      </c>
      <c r="AC2404" t="s">
        <v>51</v>
      </c>
      <c r="AD2404" t="s">
        <v>45</v>
      </c>
      <c r="AE2404" s="1">
        <v>28012</v>
      </c>
      <c r="AF2404">
        <v>2</v>
      </c>
      <c r="AG2404" t="s">
        <v>158</v>
      </c>
      <c r="AH2404" s="36">
        <f t="shared" si="37"/>
        <v>42.902777777777779</v>
      </c>
      <c r="AI2404" s="41" t="s">
        <v>1779</v>
      </c>
    </row>
    <row r="2405" spans="1:35" x14ac:dyDescent="0.25">
      <c r="A2405" s="36">
        <v>99912403</v>
      </c>
      <c r="B2405" s="17" t="s">
        <v>32</v>
      </c>
      <c r="C2405" t="s">
        <v>139</v>
      </c>
      <c r="D2405" t="s">
        <v>140</v>
      </c>
      <c r="G2405" s="17" t="s">
        <v>48</v>
      </c>
      <c r="H2405" s="17">
        <v>1</v>
      </c>
      <c r="K2405" t="s">
        <v>345</v>
      </c>
      <c r="L2405" t="s">
        <v>346</v>
      </c>
      <c r="M2405" t="s">
        <v>131</v>
      </c>
      <c r="N2405">
        <v>21</v>
      </c>
      <c r="O2405" t="s">
        <v>40</v>
      </c>
      <c r="P2405" t="s">
        <v>40</v>
      </c>
      <c r="Q2405" t="s">
        <v>40</v>
      </c>
      <c r="R2405" t="s">
        <v>40</v>
      </c>
      <c r="S2405" t="s">
        <v>40</v>
      </c>
      <c r="V2405" t="s">
        <v>41</v>
      </c>
      <c r="W2405" t="s">
        <v>49</v>
      </c>
      <c r="X2405" t="str">
        <f>"0591906"</f>
        <v>0591906</v>
      </c>
      <c r="Y2405" t="s">
        <v>350</v>
      </c>
      <c r="Z2405" t="s">
        <v>345</v>
      </c>
      <c r="AA2405" t="s">
        <v>346</v>
      </c>
      <c r="AB2405" t="s">
        <v>131</v>
      </c>
      <c r="AC2405" t="s">
        <v>51</v>
      </c>
      <c r="AD2405" t="s">
        <v>45</v>
      </c>
      <c r="AE2405" s="1">
        <v>28011</v>
      </c>
      <c r="AF2405">
        <v>2</v>
      </c>
      <c r="AG2405" t="s">
        <v>346</v>
      </c>
      <c r="AH2405" s="36">
        <f t="shared" si="37"/>
        <v>42.905555555555559</v>
      </c>
      <c r="AI2405" s="41" t="s">
        <v>1779</v>
      </c>
    </row>
    <row r="2406" spans="1:35" x14ac:dyDescent="0.25">
      <c r="A2406" s="36">
        <v>99912404</v>
      </c>
      <c r="B2406" s="17" t="s">
        <v>32</v>
      </c>
      <c r="C2406" t="s">
        <v>64</v>
      </c>
      <c r="D2406" t="s">
        <v>65</v>
      </c>
      <c r="G2406" s="17" t="s">
        <v>35</v>
      </c>
      <c r="H2406" s="17">
        <v>1</v>
      </c>
      <c r="K2406" t="s">
        <v>223</v>
      </c>
      <c r="L2406" t="s">
        <v>224</v>
      </c>
      <c r="M2406" t="s">
        <v>131</v>
      </c>
      <c r="N2406">
        <v>20</v>
      </c>
      <c r="O2406" t="s">
        <v>40</v>
      </c>
      <c r="P2406" t="s">
        <v>40</v>
      </c>
      <c r="Q2406" t="s">
        <v>40</v>
      </c>
      <c r="S2406" t="s">
        <v>40</v>
      </c>
      <c r="V2406" t="s">
        <v>41</v>
      </c>
      <c r="W2406" t="s">
        <v>49</v>
      </c>
      <c r="X2406" t="str">
        <f>"0581200"</f>
        <v>0581200</v>
      </c>
      <c r="Y2406" t="s">
        <v>238</v>
      </c>
      <c r="Z2406" t="s">
        <v>223</v>
      </c>
      <c r="AA2406" t="s">
        <v>224</v>
      </c>
      <c r="AB2406" t="s">
        <v>131</v>
      </c>
      <c r="AC2406" t="s">
        <v>51</v>
      </c>
      <c r="AD2406" t="s">
        <v>45</v>
      </c>
      <c r="AE2406" s="1">
        <v>28004</v>
      </c>
      <c r="AF2406">
        <v>2</v>
      </c>
      <c r="AG2406" t="s">
        <v>224</v>
      </c>
      <c r="AH2406" s="36">
        <f t="shared" si="37"/>
        <v>42.924999999999997</v>
      </c>
      <c r="AI2406" s="41" t="s">
        <v>1779</v>
      </c>
    </row>
    <row r="2407" spans="1:35" x14ac:dyDescent="0.25">
      <c r="A2407" s="36">
        <v>99912405</v>
      </c>
      <c r="B2407" s="17" t="s">
        <v>32</v>
      </c>
      <c r="C2407" t="s">
        <v>46</v>
      </c>
      <c r="D2407" t="s">
        <v>47</v>
      </c>
      <c r="G2407" s="17" t="s">
        <v>35</v>
      </c>
      <c r="H2407" s="17">
        <v>1</v>
      </c>
      <c r="K2407" t="s">
        <v>1546</v>
      </c>
      <c r="L2407" t="s">
        <v>1547</v>
      </c>
      <c r="M2407" t="s">
        <v>1548</v>
      </c>
      <c r="N2407">
        <v>20</v>
      </c>
      <c r="O2407" t="s">
        <v>40</v>
      </c>
      <c r="P2407" t="s">
        <v>40</v>
      </c>
      <c r="Q2407" t="s">
        <v>40</v>
      </c>
      <c r="S2407" t="s">
        <v>40</v>
      </c>
      <c r="V2407" t="s">
        <v>41</v>
      </c>
      <c r="W2407" t="s">
        <v>42</v>
      </c>
      <c r="X2407" t="str">
        <f>"1080010"</f>
        <v>1080010</v>
      </c>
      <c r="Y2407" t="s">
        <v>1549</v>
      </c>
      <c r="Z2407" t="s">
        <v>1546</v>
      </c>
      <c r="AA2407" t="s">
        <v>1547</v>
      </c>
      <c r="AB2407" t="s">
        <v>1548</v>
      </c>
      <c r="AC2407" t="s">
        <v>51</v>
      </c>
      <c r="AD2407" t="s">
        <v>45</v>
      </c>
      <c r="AE2407" s="1">
        <v>27990</v>
      </c>
      <c r="AF2407">
        <v>2</v>
      </c>
      <c r="AG2407" t="s">
        <v>1547</v>
      </c>
      <c r="AH2407" s="36">
        <f t="shared" si="37"/>
        <v>42.963888888888889</v>
      </c>
      <c r="AI2407" s="41" t="s">
        <v>1779</v>
      </c>
    </row>
    <row r="2408" spans="1:35" x14ac:dyDescent="0.25">
      <c r="A2408" s="36">
        <v>99912406</v>
      </c>
      <c r="B2408" s="17" t="s">
        <v>56</v>
      </c>
      <c r="C2408" t="s">
        <v>143</v>
      </c>
      <c r="D2408" t="s">
        <v>144</v>
      </c>
      <c r="G2408" s="17" t="s">
        <v>48</v>
      </c>
      <c r="H2408" s="17">
        <v>1</v>
      </c>
      <c r="K2408" t="s">
        <v>300</v>
      </c>
      <c r="L2408" t="s">
        <v>301</v>
      </c>
      <c r="M2408" t="s">
        <v>131</v>
      </c>
      <c r="N2408">
        <v>10</v>
      </c>
      <c r="O2408" t="s">
        <v>40</v>
      </c>
      <c r="P2408" t="s">
        <v>40</v>
      </c>
      <c r="Q2408" t="s">
        <v>40</v>
      </c>
      <c r="R2408" t="s">
        <v>40</v>
      </c>
      <c r="S2408" t="s">
        <v>40</v>
      </c>
      <c r="V2408" t="s">
        <v>41</v>
      </c>
      <c r="W2408" t="s">
        <v>49</v>
      </c>
      <c r="X2408" t="str">
        <f>"0560020"</f>
        <v>0560020</v>
      </c>
      <c r="Y2408" t="s">
        <v>302</v>
      </c>
      <c r="Z2408" t="s">
        <v>300</v>
      </c>
      <c r="AA2408" t="s">
        <v>301</v>
      </c>
      <c r="AB2408" t="s">
        <v>131</v>
      </c>
      <c r="AC2408" t="s">
        <v>51</v>
      </c>
      <c r="AD2408" t="s">
        <v>45</v>
      </c>
      <c r="AE2408" s="1">
        <v>27988</v>
      </c>
      <c r="AF2408">
        <v>2</v>
      </c>
      <c r="AG2408" t="s">
        <v>301</v>
      </c>
      <c r="AH2408" s="36">
        <f t="shared" si="37"/>
        <v>42.969444444444441</v>
      </c>
      <c r="AI2408" s="41" t="s">
        <v>1779</v>
      </c>
    </row>
    <row r="2409" spans="1:35" x14ac:dyDescent="0.25">
      <c r="A2409" s="36">
        <v>99912407</v>
      </c>
      <c r="B2409" s="17" t="s">
        <v>32</v>
      </c>
      <c r="C2409" t="s">
        <v>71</v>
      </c>
      <c r="D2409" t="s">
        <v>72</v>
      </c>
      <c r="G2409" s="17" t="s">
        <v>35</v>
      </c>
      <c r="H2409" s="17">
        <v>4</v>
      </c>
      <c r="I2409" s="1">
        <v>38961</v>
      </c>
      <c r="J2409" s="1">
        <v>43344</v>
      </c>
      <c r="K2409" t="s">
        <v>129</v>
      </c>
      <c r="L2409" t="s">
        <v>130</v>
      </c>
      <c r="M2409" t="s">
        <v>131</v>
      </c>
      <c r="N2409">
        <v>6</v>
      </c>
      <c r="O2409" t="s">
        <v>40</v>
      </c>
      <c r="P2409" t="s">
        <v>40</v>
      </c>
      <c r="Q2409" t="s">
        <v>40</v>
      </c>
      <c r="R2409" t="s">
        <v>40</v>
      </c>
      <c r="S2409" t="s">
        <v>40</v>
      </c>
      <c r="U2409" s="1">
        <v>43344</v>
      </c>
      <c r="V2409" t="s">
        <v>41</v>
      </c>
      <c r="W2409" t="s">
        <v>49</v>
      </c>
      <c r="X2409" t="str">
        <f>"0580150"</f>
        <v>0580150</v>
      </c>
      <c r="Y2409" t="s">
        <v>134</v>
      </c>
      <c r="Z2409" t="s">
        <v>129</v>
      </c>
      <c r="AA2409" t="s">
        <v>130</v>
      </c>
      <c r="AB2409" t="s">
        <v>131</v>
      </c>
      <c r="AC2409" t="s">
        <v>51</v>
      </c>
      <c r="AD2409" t="s">
        <v>45</v>
      </c>
      <c r="AE2409" s="1">
        <v>27985</v>
      </c>
      <c r="AF2409">
        <v>2</v>
      </c>
      <c r="AG2409" t="s">
        <v>130</v>
      </c>
      <c r="AH2409" s="36">
        <f t="shared" si="37"/>
        <v>42.977777777777774</v>
      </c>
      <c r="AI2409" s="41" t="s">
        <v>1779</v>
      </c>
    </row>
    <row r="2410" spans="1:35" x14ac:dyDescent="0.25">
      <c r="A2410" s="36">
        <v>99912408</v>
      </c>
      <c r="B2410" s="17" t="s">
        <v>32</v>
      </c>
      <c r="C2410" t="s">
        <v>82</v>
      </c>
      <c r="D2410" t="s">
        <v>83</v>
      </c>
      <c r="G2410" s="17" t="s">
        <v>48</v>
      </c>
      <c r="H2410" s="17">
        <v>1</v>
      </c>
      <c r="K2410" t="s">
        <v>380</v>
      </c>
      <c r="L2410" t="s">
        <v>381</v>
      </c>
      <c r="M2410" t="s">
        <v>131</v>
      </c>
      <c r="N2410">
        <v>23</v>
      </c>
      <c r="O2410" t="s">
        <v>40</v>
      </c>
      <c r="P2410" t="s">
        <v>40</v>
      </c>
      <c r="Q2410" t="s">
        <v>40</v>
      </c>
      <c r="R2410" t="s">
        <v>40</v>
      </c>
      <c r="S2410" t="s">
        <v>40</v>
      </c>
      <c r="V2410" t="s">
        <v>41</v>
      </c>
      <c r="W2410" t="s">
        <v>42</v>
      </c>
      <c r="X2410" t="str">
        <f>"0590909"</f>
        <v>0590909</v>
      </c>
      <c r="Y2410" t="s">
        <v>388</v>
      </c>
      <c r="Z2410" t="s">
        <v>380</v>
      </c>
      <c r="AA2410" t="s">
        <v>381</v>
      </c>
      <c r="AB2410" t="s">
        <v>131</v>
      </c>
      <c r="AC2410" t="s">
        <v>51</v>
      </c>
      <c r="AD2410" t="s">
        <v>45</v>
      </c>
      <c r="AE2410" s="1">
        <v>27983</v>
      </c>
      <c r="AF2410">
        <v>2</v>
      </c>
      <c r="AG2410" t="s">
        <v>381</v>
      </c>
      <c r="AH2410" s="36">
        <f t="shared" si="37"/>
        <v>42.983333333333334</v>
      </c>
      <c r="AI2410" s="41" t="s">
        <v>1779</v>
      </c>
    </row>
    <row r="2411" spans="1:35" x14ac:dyDescent="0.25">
      <c r="A2411" s="36">
        <v>99912409</v>
      </c>
      <c r="B2411" s="17" t="s">
        <v>56</v>
      </c>
      <c r="C2411" t="s">
        <v>46</v>
      </c>
      <c r="D2411" t="s">
        <v>47</v>
      </c>
      <c r="G2411" s="17" t="s">
        <v>48</v>
      </c>
      <c r="H2411" s="17">
        <v>1</v>
      </c>
      <c r="K2411" t="s">
        <v>162</v>
      </c>
      <c r="L2411" t="s">
        <v>158</v>
      </c>
      <c r="M2411" t="s">
        <v>131</v>
      </c>
      <c r="N2411">
        <v>20</v>
      </c>
      <c r="O2411" t="s">
        <v>40</v>
      </c>
      <c r="P2411" t="s">
        <v>40</v>
      </c>
      <c r="Q2411" t="s">
        <v>40</v>
      </c>
      <c r="R2411" t="s">
        <v>40</v>
      </c>
      <c r="S2411" t="s">
        <v>40</v>
      </c>
      <c r="V2411" t="s">
        <v>41</v>
      </c>
      <c r="W2411" t="s">
        <v>42</v>
      </c>
      <c r="X2411" t="str">
        <f>"0580325"</f>
        <v>0580325</v>
      </c>
      <c r="Y2411" t="s">
        <v>170</v>
      </c>
      <c r="Z2411" t="s">
        <v>162</v>
      </c>
      <c r="AA2411" t="s">
        <v>158</v>
      </c>
      <c r="AB2411" t="s">
        <v>131</v>
      </c>
      <c r="AC2411" t="s">
        <v>51</v>
      </c>
      <c r="AD2411" t="s">
        <v>45</v>
      </c>
      <c r="AE2411" s="1">
        <v>27981</v>
      </c>
      <c r="AF2411">
        <v>2</v>
      </c>
      <c r="AG2411" t="s">
        <v>158</v>
      </c>
      <c r="AH2411" s="36">
        <f t="shared" si="37"/>
        <v>42.988888888888887</v>
      </c>
      <c r="AI2411" s="41" t="s">
        <v>1779</v>
      </c>
    </row>
    <row r="2412" spans="1:35" x14ac:dyDescent="0.25">
      <c r="A2412" s="36">
        <v>99912410</v>
      </c>
      <c r="B2412" s="17" t="s">
        <v>32</v>
      </c>
      <c r="C2412" t="s">
        <v>143</v>
      </c>
      <c r="D2412" t="s">
        <v>144</v>
      </c>
      <c r="G2412" s="17" t="s">
        <v>35</v>
      </c>
      <c r="H2412" s="17">
        <v>1</v>
      </c>
      <c r="I2412" t="s">
        <v>358</v>
      </c>
      <c r="J2412" s="1">
        <v>43344</v>
      </c>
      <c r="K2412" t="s">
        <v>345</v>
      </c>
      <c r="L2412" t="s">
        <v>346</v>
      </c>
      <c r="M2412" t="s">
        <v>131</v>
      </c>
      <c r="N2412">
        <v>3</v>
      </c>
      <c r="O2412" t="s">
        <v>40</v>
      </c>
      <c r="P2412" t="s">
        <v>40</v>
      </c>
      <c r="Q2412" t="s">
        <v>40</v>
      </c>
      <c r="S2412" t="s">
        <v>40</v>
      </c>
      <c r="U2412" s="1">
        <v>43344</v>
      </c>
      <c r="V2412" t="s">
        <v>41</v>
      </c>
      <c r="W2412" t="s">
        <v>49</v>
      </c>
      <c r="X2412" t="str">
        <f>"0581660"</f>
        <v>0581660</v>
      </c>
      <c r="Y2412" t="s">
        <v>359</v>
      </c>
      <c r="Z2412" t="s">
        <v>345</v>
      </c>
      <c r="AA2412" t="s">
        <v>346</v>
      </c>
      <c r="AB2412" t="s">
        <v>131</v>
      </c>
      <c r="AC2412" t="s">
        <v>51</v>
      </c>
      <c r="AD2412" t="s">
        <v>45</v>
      </c>
      <c r="AE2412" s="1">
        <v>27977</v>
      </c>
      <c r="AF2412">
        <v>2</v>
      </c>
      <c r="AG2412" t="s">
        <v>346</v>
      </c>
      <c r="AH2412" s="36">
        <f t="shared" si="37"/>
        <v>43</v>
      </c>
      <c r="AI2412" s="41" t="s">
        <v>1779</v>
      </c>
    </row>
    <row r="2413" spans="1:35" x14ac:dyDescent="0.25">
      <c r="A2413" s="36">
        <v>99912411</v>
      </c>
      <c r="B2413" s="17" t="s">
        <v>32</v>
      </c>
      <c r="C2413" t="s">
        <v>64</v>
      </c>
      <c r="D2413" t="s">
        <v>65</v>
      </c>
      <c r="G2413" s="17" t="s">
        <v>35</v>
      </c>
      <c r="H2413" s="17">
        <v>1</v>
      </c>
      <c r="K2413" t="s">
        <v>129</v>
      </c>
      <c r="L2413" t="s">
        <v>130</v>
      </c>
      <c r="M2413" t="s">
        <v>131</v>
      </c>
      <c r="N2413">
        <v>21</v>
      </c>
      <c r="O2413" t="s">
        <v>40</v>
      </c>
      <c r="P2413" t="s">
        <v>40</v>
      </c>
      <c r="Q2413" t="s">
        <v>40</v>
      </c>
      <c r="R2413" t="s">
        <v>40</v>
      </c>
      <c r="S2413" t="s">
        <v>40</v>
      </c>
      <c r="V2413" t="s">
        <v>41</v>
      </c>
      <c r="W2413" t="s">
        <v>49</v>
      </c>
      <c r="X2413" t="str">
        <f>"0591905"</f>
        <v>0591905</v>
      </c>
      <c r="Y2413" t="s">
        <v>135</v>
      </c>
      <c r="Z2413" t="s">
        <v>129</v>
      </c>
      <c r="AA2413" t="s">
        <v>130</v>
      </c>
      <c r="AB2413" t="s">
        <v>131</v>
      </c>
      <c r="AC2413" t="s">
        <v>51</v>
      </c>
      <c r="AD2413" t="s">
        <v>45</v>
      </c>
      <c r="AE2413" s="1">
        <v>27976</v>
      </c>
      <c r="AF2413">
        <v>2</v>
      </c>
      <c r="AG2413" t="s">
        <v>130</v>
      </c>
      <c r="AH2413" s="36">
        <f t="shared" si="37"/>
        <v>43.00277777777778</v>
      </c>
      <c r="AI2413" s="41" t="s">
        <v>1779</v>
      </c>
    </row>
    <row r="2414" spans="1:35" x14ac:dyDescent="0.25">
      <c r="A2414" s="36">
        <v>99912412</v>
      </c>
      <c r="B2414" s="17" t="s">
        <v>56</v>
      </c>
      <c r="C2414" t="s">
        <v>85</v>
      </c>
      <c r="D2414" t="s">
        <v>86</v>
      </c>
      <c r="G2414" s="17" t="s">
        <v>48</v>
      </c>
      <c r="H2414" s="17">
        <v>1</v>
      </c>
      <c r="K2414" t="s">
        <v>380</v>
      </c>
      <c r="L2414" t="s">
        <v>381</v>
      </c>
      <c r="M2414" t="s">
        <v>131</v>
      </c>
      <c r="N2414">
        <v>14</v>
      </c>
      <c r="O2414" t="s">
        <v>40</v>
      </c>
      <c r="P2414" t="s">
        <v>40</v>
      </c>
      <c r="Q2414" t="s">
        <v>40</v>
      </c>
      <c r="R2414" t="s">
        <v>40</v>
      </c>
      <c r="S2414" t="s">
        <v>40</v>
      </c>
      <c r="V2414" t="s">
        <v>41</v>
      </c>
      <c r="W2414" t="s">
        <v>42</v>
      </c>
      <c r="X2414" t="str">
        <f>"0590909"</f>
        <v>0590909</v>
      </c>
      <c r="Y2414" t="s">
        <v>388</v>
      </c>
      <c r="Z2414" t="s">
        <v>380</v>
      </c>
      <c r="AA2414" t="s">
        <v>381</v>
      </c>
      <c r="AB2414" t="s">
        <v>131</v>
      </c>
      <c r="AC2414" t="s">
        <v>51</v>
      </c>
      <c r="AD2414" t="s">
        <v>45</v>
      </c>
      <c r="AE2414" s="1">
        <v>27971</v>
      </c>
      <c r="AF2414">
        <v>2</v>
      </c>
      <c r="AG2414" t="s">
        <v>381</v>
      </c>
      <c r="AH2414" s="36">
        <f t="shared" si="37"/>
        <v>43.016666666666666</v>
      </c>
      <c r="AI2414" s="41" t="s">
        <v>1779</v>
      </c>
    </row>
    <row r="2415" spans="1:35" x14ac:dyDescent="0.25">
      <c r="A2415" s="36">
        <v>99912413</v>
      </c>
      <c r="B2415" s="17" t="s">
        <v>32</v>
      </c>
      <c r="C2415" t="s">
        <v>139</v>
      </c>
      <c r="D2415" t="s">
        <v>140</v>
      </c>
      <c r="G2415" s="17" t="s">
        <v>48</v>
      </c>
      <c r="H2415" s="17">
        <v>1</v>
      </c>
      <c r="K2415" t="s">
        <v>345</v>
      </c>
      <c r="L2415" t="s">
        <v>346</v>
      </c>
      <c r="M2415" t="s">
        <v>131</v>
      </c>
      <c r="N2415">
        <v>20</v>
      </c>
      <c r="O2415" t="s">
        <v>40</v>
      </c>
      <c r="P2415" t="s">
        <v>40</v>
      </c>
      <c r="Q2415" t="s">
        <v>40</v>
      </c>
      <c r="R2415" t="s">
        <v>40</v>
      </c>
      <c r="S2415" t="s">
        <v>40</v>
      </c>
      <c r="V2415" t="s">
        <v>41</v>
      </c>
      <c r="W2415" t="s">
        <v>42</v>
      </c>
      <c r="X2415" t="str">
        <f>"0590906"</f>
        <v>0590906</v>
      </c>
      <c r="Y2415" t="s">
        <v>361</v>
      </c>
      <c r="Z2415" t="s">
        <v>345</v>
      </c>
      <c r="AA2415" t="s">
        <v>346</v>
      </c>
      <c r="AB2415" t="s">
        <v>131</v>
      </c>
      <c r="AC2415" t="s">
        <v>51</v>
      </c>
      <c r="AD2415" t="s">
        <v>45</v>
      </c>
      <c r="AE2415" s="1">
        <v>27967</v>
      </c>
      <c r="AF2415">
        <v>2</v>
      </c>
      <c r="AG2415" t="s">
        <v>346</v>
      </c>
      <c r="AH2415" s="36">
        <f t="shared" si="37"/>
        <v>43.027777777777779</v>
      </c>
      <c r="AI2415" s="41" t="s">
        <v>1779</v>
      </c>
    </row>
    <row r="2416" spans="1:35" x14ac:dyDescent="0.25">
      <c r="A2416" s="36">
        <v>99912414</v>
      </c>
      <c r="B2416" s="17" t="s">
        <v>32</v>
      </c>
      <c r="C2416" t="s">
        <v>90</v>
      </c>
      <c r="D2416" t="s">
        <v>91</v>
      </c>
      <c r="G2416" s="17" t="s">
        <v>35</v>
      </c>
      <c r="H2416" s="17">
        <v>1</v>
      </c>
      <c r="I2416" t="s">
        <v>648</v>
      </c>
      <c r="J2416" s="1">
        <v>43344</v>
      </c>
      <c r="K2416" t="s">
        <v>268</v>
      </c>
      <c r="L2416" t="s">
        <v>269</v>
      </c>
      <c r="M2416" t="s">
        <v>131</v>
      </c>
      <c r="N2416">
        <v>23</v>
      </c>
      <c r="O2416" t="s">
        <v>40</v>
      </c>
      <c r="S2416" t="s">
        <v>40</v>
      </c>
      <c r="U2416" s="1">
        <v>43344</v>
      </c>
      <c r="V2416" t="s">
        <v>41</v>
      </c>
      <c r="W2416" t="s">
        <v>95</v>
      </c>
      <c r="X2416" t="str">
        <f>"7052041"</f>
        <v>7052041</v>
      </c>
      <c r="Y2416" t="s">
        <v>579</v>
      </c>
      <c r="Z2416" t="s">
        <v>268</v>
      </c>
      <c r="AA2416" t="s">
        <v>269</v>
      </c>
      <c r="AB2416" t="s">
        <v>131</v>
      </c>
      <c r="AC2416" t="s">
        <v>51</v>
      </c>
      <c r="AD2416" t="s">
        <v>45</v>
      </c>
      <c r="AE2416" s="1">
        <v>27967</v>
      </c>
      <c r="AF2416">
        <v>1</v>
      </c>
      <c r="AG2416" t="s">
        <v>269</v>
      </c>
      <c r="AH2416" s="36">
        <f t="shared" si="37"/>
        <v>43.027777777777779</v>
      </c>
      <c r="AI2416" s="41" t="s">
        <v>1779</v>
      </c>
    </row>
    <row r="2417" spans="1:37" x14ac:dyDescent="0.25">
      <c r="A2417" s="36">
        <v>99912415</v>
      </c>
      <c r="B2417" s="17" t="s">
        <v>32</v>
      </c>
      <c r="C2417" t="s">
        <v>79</v>
      </c>
      <c r="D2417" t="s">
        <v>80</v>
      </c>
      <c r="G2417" s="17" t="s">
        <v>48</v>
      </c>
      <c r="H2417" s="17">
        <v>1</v>
      </c>
      <c r="K2417" t="s">
        <v>1581</v>
      </c>
      <c r="L2417" t="s">
        <v>1582</v>
      </c>
      <c r="M2417" t="s">
        <v>1548</v>
      </c>
      <c r="N2417">
        <v>15</v>
      </c>
      <c r="O2417" t="s">
        <v>40</v>
      </c>
      <c r="P2417" t="s">
        <v>40</v>
      </c>
      <c r="Q2417" t="s">
        <v>40</v>
      </c>
      <c r="R2417" t="s">
        <v>40</v>
      </c>
      <c r="S2417" t="s">
        <v>40</v>
      </c>
      <c r="V2417" t="s">
        <v>41</v>
      </c>
      <c r="W2417" t="s">
        <v>75</v>
      </c>
      <c r="X2417" t="str">
        <f>"7291000"</f>
        <v>7291000</v>
      </c>
      <c r="Y2417" t="s">
        <v>1584</v>
      </c>
      <c r="Z2417" t="s">
        <v>1581</v>
      </c>
      <c r="AA2417" t="s">
        <v>1582</v>
      </c>
      <c r="AB2417" t="s">
        <v>1548</v>
      </c>
      <c r="AC2417" t="s">
        <v>51</v>
      </c>
      <c r="AD2417" t="s">
        <v>45</v>
      </c>
      <c r="AE2417" s="1">
        <v>27963</v>
      </c>
      <c r="AF2417">
        <v>1</v>
      </c>
      <c r="AG2417" t="s">
        <v>1582</v>
      </c>
      <c r="AH2417" s="36">
        <f t="shared" si="37"/>
        <v>43.038888888888891</v>
      </c>
      <c r="AI2417" s="41" t="s">
        <v>1779</v>
      </c>
    </row>
    <row r="2418" spans="1:37" x14ac:dyDescent="0.25">
      <c r="A2418" s="36">
        <v>99912416</v>
      </c>
      <c r="B2418" s="17" t="s">
        <v>32</v>
      </c>
      <c r="C2418" t="s">
        <v>141</v>
      </c>
      <c r="D2418" t="s">
        <v>142</v>
      </c>
      <c r="G2418" s="17" t="s">
        <v>35</v>
      </c>
      <c r="H2418" s="17">
        <v>1</v>
      </c>
      <c r="K2418" t="s">
        <v>1695</v>
      </c>
      <c r="L2418" t="s">
        <v>1696</v>
      </c>
      <c r="M2418" t="s">
        <v>1592</v>
      </c>
      <c r="N2418">
        <v>19</v>
      </c>
      <c r="O2418" t="s">
        <v>40</v>
      </c>
      <c r="P2418" t="s">
        <v>40</v>
      </c>
      <c r="Q2418" t="s">
        <v>40</v>
      </c>
      <c r="R2418" t="s">
        <v>40</v>
      </c>
      <c r="S2418" t="s">
        <v>40</v>
      </c>
      <c r="V2418" t="s">
        <v>41</v>
      </c>
      <c r="W2418" t="s">
        <v>75</v>
      </c>
      <c r="X2418" t="str">
        <f>"7361000"</f>
        <v>7361000</v>
      </c>
      <c r="Y2418" t="s">
        <v>1698</v>
      </c>
      <c r="Z2418" t="s">
        <v>1695</v>
      </c>
      <c r="AA2418" t="s">
        <v>1696</v>
      </c>
      <c r="AB2418" t="s">
        <v>1592</v>
      </c>
      <c r="AC2418" t="s">
        <v>51</v>
      </c>
      <c r="AD2418" t="s">
        <v>45</v>
      </c>
      <c r="AE2418" s="1">
        <v>27961</v>
      </c>
      <c r="AF2418">
        <v>1</v>
      </c>
      <c r="AG2418" t="s">
        <v>1696</v>
      </c>
      <c r="AH2418" s="36">
        <f t="shared" si="37"/>
        <v>43.044444444444444</v>
      </c>
      <c r="AI2418" s="41" t="s">
        <v>1779</v>
      </c>
    </row>
    <row r="2419" spans="1:37" x14ac:dyDescent="0.25">
      <c r="A2419" s="36">
        <v>99912417</v>
      </c>
      <c r="B2419" s="17" t="s">
        <v>32</v>
      </c>
      <c r="C2419" t="s">
        <v>139</v>
      </c>
      <c r="D2419" t="s">
        <v>140</v>
      </c>
      <c r="G2419" s="17" t="s">
        <v>35</v>
      </c>
      <c r="H2419" s="17">
        <v>1</v>
      </c>
      <c r="K2419" t="s">
        <v>223</v>
      </c>
      <c r="L2419" t="s">
        <v>224</v>
      </c>
      <c r="M2419" t="s">
        <v>131</v>
      </c>
      <c r="N2419">
        <v>8</v>
      </c>
      <c r="O2419" t="s">
        <v>40</v>
      </c>
      <c r="P2419" t="s">
        <v>40</v>
      </c>
      <c r="Q2419" t="s">
        <v>40</v>
      </c>
      <c r="S2419" t="s">
        <v>40</v>
      </c>
      <c r="V2419" t="s">
        <v>41</v>
      </c>
      <c r="W2419" t="s">
        <v>49</v>
      </c>
      <c r="X2419" t="str">
        <f>"0591901"</f>
        <v>0591901</v>
      </c>
      <c r="Y2419" t="s">
        <v>230</v>
      </c>
      <c r="Z2419" t="s">
        <v>223</v>
      </c>
      <c r="AA2419" t="s">
        <v>224</v>
      </c>
      <c r="AB2419" t="s">
        <v>131</v>
      </c>
      <c r="AC2419" t="s">
        <v>51</v>
      </c>
      <c r="AD2419" t="s">
        <v>45</v>
      </c>
      <c r="AE2419" s="1">
        <v>27958</v>
      </c>
      <c r="AF2419">
        <v>2</v>
      </c>
      <c r="AG2419" t="s">
        <v>224</v>
      </c>
      <c r="AH2419" s="36">
        <f t="shared" si="37"/>
        <v>43.052777777777777</v>
      </c>
      <c r="AI2419" s="41" t="s">
        <v>1779</v>
      </c>
    </row>
    <row r="2420" spans="1:37" x14ac:dyDescent="0.25">
      <c r="A2420" s="36">
        <v>99912418</v>
      </c>
      <c r="B2420" s="17" t="s">
        <v>32</v>
      </c>
      <c r="C2420" t="s">
        <v>46</v>
      </c>
      <c r="D2420" t="s">
        <v>47</v>
      </c>
      <c r="G2420" s="17" t="s">
        <v>48</v>
      </c>
      <c r="H2420" s="17">
        <v>1</v>
      </c>
      <c r="K2420" t="s">
        <v>223</v>
      </c>
      <c r="L2420" t="s">
        <v>224</v>
      </c>
      <c r="M2420" t="s">
        <v>131</v>
      </c>
      <c r="N2420">
        <v>21</v>
      </c>
      <c r="O2420" t="s">
        <v>40</v>
      </c>
      <c r="P2420" t="s">
        <v>40</v>
      </c>
      <c r="Q2420" t="s">
        <v>40</v>
      </c>
      <c r="S2420" t="s">
        <v>40</v>
      </c>
      <c r="V2420" t="s">
        <v>41</v>
      </c>
      <c r="W2420" t="s">
        <v>49</v>
      </c>
      <c r="X2420" t="str">
        <f>"0581200"</f>
        <v>0581200</v>
      </c>
      <c r="Y2420" t="s">
        <v>238</v>
      </c>
      <c r="Z2420" t="s">
        <v>223</v>
      </c>
      <c r="AA2420" t="s">
        <v>224</v>
      </c>
      <c r="AB2420" t="s">
        <v>131</v>
      </c>
      <c r="AC2420" t="s">
        <v>51</v>
      </c>
      <c r="AD2420" t="s">
        <v>45</v>
      </c>
      <c r="AE2420" s="1">
        <v>27957</v>
      </c>
      <c r="AF2420">
        <v>2</v>
      </c>
      <c r="AG2420" t="s">
        <v>224</v>
      </c>
      <c r="AH2420" s="36">
        <f t="shared" si="37"/>
        <v>43.055555555555557</v>
      </c>
      <c r="AI2420" s="41" t="s">
        <v>1779</v>
      </c>
    </row>
    <row r="2421" spans="1:37" x14ac:dyDescent="0.25">
      <c r="A2421" s="36">
        <v>99912419</v>
      </c>
      <c r="B2421" s="17" t="s">
        <v>56</v>
      </c>
      <c r="C2421" t="s">
        <v>1297</v>
      </c>
      <c r="D2421" t="s">
        <v>1298</v>
      </c>
      <c r="G2421" s="17" t="s">
        <v>35</v>
      </c>
      <c r="H2421" s="17">
        <v>1</v>
      </c>
      <c r="K2421" t="s">
        <v>1268</v>
      </c>
      <c r="L2421" t="s">
        <v>1269</v>
      </c>
      <c r="M2421" t="s">
        <v>1270</v>
      </c>
      <c r="N2421">
        <v>21</v>
      </c>
      <c r="O2421" t="s">
        <v>40</v>
      </c>
      <c r="P2421" t="s">
        <v>40</v>
      </c>
      <c r="Q2421" t="s">
        <v>40</v>
      </c>
      <c r="S2421" t="s">
        <v>40</v>
      </c>
      <c r="V2421" t="s">
        <v>41</v>
      </c>
      <c r="W2421" t="s">
        <v>922</v>
      </c>
      <c r="X2421" t="str">
        <f>"1950001"</f>
        <v>1950001</v>
      </c>
      <c r="Y2421" t="s">
        <v>1284</v>
      </c>
      <c r="Z2421" t="s">
        <v>1268</v>
      </c>
      <c r="AA2421" t="s">
        <v>1269</v>
      </c>
      <c r="AB2421" t="s">
        <v>1270</v>
      </c>
      <c r="AC2421" t="s">
        <v>51</v>
      </c>
      <c r="AD2421" t="s">
        <v>45</v>
      </c>
      <c r="AE2421" s="1">
        <v>27953</v>
      </c>
      <c r="AF2421">
        <v>2</v>
      </c>
      <c r="AG2421" t="s">
        <v>1269</v>
      </c>
      <c r="AH2421" s="36">
        <f t="shared" si="37"/>
        <v>43.06666666666667</v>
      </c>
      <c r="AI2421" s="41" t="s">
        <v>1779</v>
      </c>
    </row>
    <row r="2422" spans="1:37" x14ac:dyDescent="0.25">
      <c r="A2422" s="36">
        <v>99912420</v>
      </c>
      <c r="B2422" s="17" t="s">
        <v>32</v>
      </c>
      <c r="C2422" t="s">
        <v>64</v>
      </c>
      <c r="D2422" t="s">
        <v>65</v>
      </c>
      <c r="G2422" s="17" t="s">
        <v>48</v>
      </c>
      <c r="H2422" s="17">
        <v>7</v>
      </c>
      <c r="K2422" t="s">
        <v>877</v>
      </c>
      <c r="L2422" t="s">
        <v>878</v>
      </c>
      <c r="M2422" t="s">
        <v>131</v>
      </c>
      <c r="N2422">
        <v>22</v>
      </c>
      <c r="O2422" t="s">
        <v>40</v>
      </c>
      <c r="P2422" t="s">
        <v>40</v>
      </c>
      <c r="Q2422" t="s">
        <v>40</v>
      </c>
      <c r="R2422" t="s">
        <v>40</v>
      </c>
      <c r="S2422" t="s">
        <v>40</v>
      </c>
      <c r="V2422" t="s">
        <v>41</v>
      </c>
      <c r="W2422" t="s">
        <v>75</v>
      </c>
      <c r="X2422" t="str">
        <f>"7541004"</f>
        <v>7541004</v>
      </c>
      <c r="Y2422" t="s">
        <v>889</v>
      </c>
      <c r="Z2422" t="s">
        <v>877</v>
      </c>
      <c r="AA2422" t="s">
        <v>878</v>
      </c>
      <c r="AB2422" t="s">
        <v>131</v>
      </c>
      <c r="AC2422" t="s">
        <v>51</v>
      </c>
      <c r="AD2422" t="s">
        <v>45</v>
      </c>
      <c r="AE2422" s="1">
        <v>27952</v>
      </c>
      <c r="AF2422">
        <v>1</v>
      </c>
      <c r="AG2422" t="s">
        <v>878</v>
      </c>
      <c r="AH2422" s="36">
        <f t="shared" si="37"/>
        <v>43.069444444444443</v>
      </c>
      <c r="AI2422" s="41" t="s">
        <v>1779</v>
      </c>
    </row>
    <row r="2423" spans="1:37" x14ac:dyDescent="0.25">
      <c r="A2423" s="36">
        <v>99912421</v>
      </c>
      <c r="B2423" s="17" t="s">
        <v>32</v>
      </c>
      <c r="C2423" t="s">
        <v>143</v>
      </c>
      <c r="D2423" t="s">
        <v>144</v>
      </c>
      <c r="G2423" s="17" t="s">
        <v>35</v>
      </c>
      <c r="H2423" s="17">
        <v>1</v>
      </c>
      <c r="I2423">
        <v>19613</v>
      </c>
      <c r="J2423" s="1">
        <v>43412</v>
      </c>
      <c r="K2423" t="s">
        <v>157</v>
      </c>
      <c r="L2423" t="s">
        <v>158</v>
      </c>
      <c r="M2423" t="s">
        <v>131</v>
      </c>
      <c r="N2423">
        <v>17</v>
      </c>
      <c r="O2423" t="s">
        <v>40</v>
      </c>
      <c r="P2423" t="s">
        <v>40</v>
      </c>
      <c r="Q2423" t="s">
        <v>40</v>
      </c>
      <c r="R2423" t="s">
        <v>40</v>
      </c>
      <c r="S2423" t="s">
        <v>40</v>
      </c>
      <c r="U2423" s="1">
        <v>43412</v>
      </c>
      <c r="V2423" t="s">
        <v>41</v>
      </c>
      <c r="W2423" t="s">
        <v>49</v>
      </c>
      <c r="X2423" t="str">
        <f>"0560042"</f>
        <v>0560042</v>
      </c>
      <c r="Y2423" t="s">
        <v>159</v>
      </c>
      <c r="Z2423" t="s">
        <v>157</v>
      </c>
      <c r="AA2423" t="s">
        <v>158</v>
      </c>
      <c r="AB2423" t="s">
        <v>131</v>
      </c>
      <c r="AC2423" t="s">
        <v>44</v>
      </c>
      <c r="AD2423" t="s">
        <v>45</v>
      </c>
      <c r="AE2423" s="1">
        <v>27947</v>
      </c>
      <c r="AF2423">
        <v>2</v>
      </c>
      <c r="AG2423" t="s">
        <v>158</v>
      </c>
      <c r="AH2423" s="36">
        <f t="shared" si="37"/>
        <v>43.083333333333336</v>
      </c>
      <c r="AI2423" s="41" t="s">
        <v>1779</v>
      </c>
    </row>
    <row r="2424" spans="1:37" x14ac:dyDescent="0.25">
      <c r="A2424" s="36">
        <v>99912422</v>
      </c>
      <c r="B2424" s="17" t="s">
        <v>32</v>
      </c>
      <c r="C2424" t="s">
        <v>90</v>
      </c>
      <c r="D2424" t="s">
        <v>91</v>
      </c>
      <c r="G2424" s="17" t="s">
        <v>35</v>
      </c>
      <c r="H2424" s="17">
        <v>1</v>
      </c>
      <c r="I2424" s="1">
        <v>39694</v>
      </c>
      <c r="J2424" s="1">
        <v>43344</v>
      </c>
      <c r="K2424" t="s">
        <v>1341</v>
      </c>
      <c r="L2424" t="s">
        <v>1342</v>
      </c>
      <c r="M2424" t="s">
        <v>1270</v>
      </c>
      <c r="N2424">
        <v>24</v>
      </c>
      <c r="O2424" t="s">
        <v>40</v>
      </c>
      <c r="S2424" t="s">
        <v>40</v>
      </c>
      <c r="U2424" s="1">
        <v>43344</v>
      </c>
      <c r="V2424" t="s">
        <v>41</v>
      </c>
      <c r="W2424" t="s">
        <v>75</v>
      </c>
      <c r="X2424" t="str">
        <f>"7191006"</f>
        <v>7191006</v>
      </c>
      <c r="Y2424" t="s">
        <v>1351</v>
      </c>
      <c r="Z2424" t="s">
        <v>1341</v>
      </c>
      <c r="AA2424" t="s">
        <v>1342</v>
      </c>
      <c r="AB2424" t="s">
        <v>1270</v>
      </c>
      <c r="AC2424" t="s">
        <v>51</v>
      </c>
      <c r="AD2424" t="s">
        <v>45</v>
      </c>
      <c r="AE2424" s="1">
        <v>27945</v>
      </c>
      <c r="AF2424">
        <v>1</v>
      </c>
      <c r="AG2424" t="s">
        <v>1342</v>
      </c>
      <c r="AH2424" s="36">
        <f t="shared" si="37"/>
        <v>43.088888888888889</v>
      </c>
      <c r="AI2424" s="41" t="s">
        <v>1779</v>
      </c>
    </row>
    <row r="2425" spans="1:37" x14ac:dyDescent="0.25">
      <c r="A2425" s="36">
        <v>99912423</v>
      </c>
      <c r="B2425" s="17" t="s">
        <v>32</v>
      </c>
      <c r="C2425" t="s">
        <v>46</v>
      </c>
      <c r="D2425" t="s">
        <v>47</v>
      </c>
      <c r="G2425" s="17" t="s">
        <v>48</v>
      </c>
      <c r="H2425" s="17">
        <v>7</v>
      </c>
      <c r="K2425" t="s">
        <v>1268</v>
      </c>
      <c r="L2425" t="s">
        <v>1269</v>
      </c>
      <c r="M2425" t="s">
        <v>1270</v>
      </c>
      <c r="N2425">
        <v>20</v>
      </c>
      <c r="O2425" t="s">
        <v>40</v>
      </c>
      <c r="P2425" t="s">
        <v>40</v>
      </c>
      <c r="Q2425" t="s">
        <v>40</v>
      </c>
      <c r="R2425" t="s">
        <v>40</v>
      </c>
      <c r="S2425" t="s">
        <v>40</v>
      </c>
      <c r="V2425" t="s">
        <v>41</v>
      </c>
      <c r="W2425" t="s">
        <v>49</v>
      </c>
      <c r="X2425" t="str">
        <f>"1981912"</f>
        <v>1981912</v>
      </c>
      <c r="Y2425" t="s">
        <v>1279</v>
      </c>
      <c r="Z2425" t="s">
        <v>1268</v>
      </c>
      <c r="AA2425" t="s">
        <v>1269</v>
      </c>
      <c r="AB2425" t="s">
        <v>1270</v>
      </c>
      <c r="AC2425" t="s">
        <v>51</v>
      </c>
      <c r="AD2425" t="s">
        <v>45</v>
      </c>
      <c r="AE2425" s="1">
        <v>27944</v>
      </c>
      <c r="AF2425">
        <v>2</v>
      </c>
      <c r="AG2425" t="s">
        <v>1269</v>
      </c>
      <c r="AH2425" s="36">
        <f t="shared" si="37"/>
        <v>43.091666666666669</v>
      </c>
      <c r="AI2425" s="41" t="s">
        <v>1779</v>
      </c>
    </row>
    <row r="2426" spans="1:37" x14ac:dyDescent="0.25">
      <c r="A2426" s="36">
        <v>99912424</v>
      </c>
      <c r="B2426" s="17" t="s">
        <v>32</v>
      </c>
      <c r="C2426" t="s">
        <v>111</v>
      </c>
      <c r="D2426" t="s">
        <v>112</v>
      </c>
      <c r="G2426" s="17" t="s">
        <v>35</v>
      </c>
      <c r="H2426" s="17">
        <v>1</v>
      </c>
      <c r="K2426" t="s">
        <v>354</v>
      </c>
      <c r="L2426" t="s">
        <v>355</v>
      </c>
      <c r="M2426" t="s">
        <v>131</v>
      </c>
      <c r="N2426">
        <v>24</v>
      </c>
      <c r="O2426" t="s">
        <v>40</v>
      </c>
      <c r="P2426" t="s">
        <v>40</v>
      </c>
      <c r="Q2426" t="s">
        <v>40</v>
      </c>
      <c r="S2426" t="s">
        <v>40</v>
      </c>
      <c r="V2426" t="s">
        <v>41</v>
      </c>
      <c r="W2426" t="s">
        <v>75</v>
      </c>
      <c r="X2426" t="str">
        <f>"7054020"</f>
        <v>7054020</v>
      </c>
      <c r="Y2426" t="s">
        <v>765</v>
      </c>
      <c r="Z2426" t="s">
        <v>354</v>
      </c>
      <c r="AA2426" t="s">
        <v>355</v>
      </c>
      <c r="AB2426" t="s">
        <v>131</v>
      </c>
      <c r="AC2426" t="s">
        <v>51</v>
      </c>
      <c r="AD2426" t="s">
        <v>45</v>
      </c>
      <c r="AE2426" s="1">
        <v>27939</v>
      </c>
      <c r="AF2426">
        <v>1</v>
      </c>
      <c r="AG2426" t="s">
        <v>355</v>
      </c>
      <c r="AH2426" s="36">
        <f t="shared" si="37"/>
        <v>43.105555555555554</v>
      </c>
      <c r="AI2426" s="41" t="s">
        <v>1779</v>
      </c>
    </row>
    <row r="2427" spans="1:37" x14ac:dyDescent="0.25">
      <c r="A2427" s="36">
        <v>99912425</v>
      </c>
      <c r="B2427" s="17" t="s">
        <v>56</v>
      </c>
      <c r="C2427" t="s">
        <v>52</v>
      </c>
      <c r="D2427" t="s">
        <v>53</v>
      </c>
      <c r="G2427" s="17" t="s">
        <v>35</v>
      </c>
      <c r="H2427" s="17">
        <v>1</v>
      </c>
      <c r="K2427" t="s">
        <v>380</v>
      </c>
      <c r="L2427" t="s">
        <v>381</v>
      </c>
      <c r="M2427" t="s">
        <v>131</v>
      </c>
      <c r="N2427">
        <v>13</v>
      </c>
      <c r="O2427" t="s">
        <v>40</v>
      </c>
      <c r="P2427" t="s">
        <v>40</v>
      </c>
      <c r="Q2427" t="s">
        <v>40</v>
      </c>
      <c r="R2427" t="s">
        <v>40</v>
      </c>
      <c r="S2427" t="s">
        <v>40</v>
      </c>
      <c r="V2427" t="s">
        <v>41</v>
      </c>
      <c r="W2427" t="s">
        <v>42</v>
      </c>
      <c r="X2427" t="str">
        <f>"0590908"</f>
        <v>0590908</v>
      </c>
      <c r="Y2427" t="s">
        <v>382</v>
      </c>
      <c r="Z2427" t="s">
        <v>380</v>
      </c>
      <c r="AA2427" t="s">
        <v>381</v>
      </c>
      <c r="AB2427" t="s">
        <v>131</v>
      </c>
      <c r="AC2427" t="s">
        <v>44</v>
      </c>
      <c r="AD2427" t="s">
        <v>45</v>
      </c>
      <c r="AE2427" s="1">
        <v>27934</v>
      </c>
      <c r="AF2427">
        <v>2</v>
      </c>
      <c r="AG2427" t="s">
        <v>381</v>
      </c>
      <c r="AH2427" s="36">
        <f t="shared" si="37"/>
        <v>43.119444444444447</v>
      </c>
      <c r="AI2427" s="41" t="s">
        <v>1779</v>
      </c>
    </row>
    <row r="2428" spans="1:37" x14ac:dyDescent="0.25">
      <c r="A2428" s="36">
        <v>99912426</v>
      </c>
      <c r="B2428" s="17" t="s">
        <v>32</v>
      </c>
      <c r="C2428" t="s">
        <v>64</v>
      </c>
      <c r="D2428" t="s">
        <v>65</v>
      </c>
      <c r="G2428" s="17" t="s">
        <v>48</v>
      </c>
      <c r="H2428" s="17">
        <v>7</v>
      </c>
      <c r="I2428" t="s">
        <v>66</v>
      </c>
      <c r="J2428" s="1">
        <v>43344</v>
      </c>
      <c r="K2428" t="s">
        <v>37</v>
      </c>
      <c r="L2428" t="s">
        <v>38</v>
      </c>
      <c r="M2428" t="s">
        <v>39</v>
      </c>
      <c r="N2428">
        <v>12</v>
      </c>
      <c r="O2428" t="s">
        <v>40</v>
      </c>
      <c r="P2428" t="s">
        <v>40</v>
      </c>
      <c r="Q2428" t="s">
        <v>40</v>
      </c>
      <c r="R2428" t="s">
        <v>40</v>
      </c>
      <c r="S2428" t="s">
        <v>40</v>
      </c>
      <c r="U2428" s="1">
        <v>43344</v>
      </c>
      <c r="V2428" t="s">
        <v>41</v>
      </c>
      <c r="W2428" t="s">
        <v>49</v>
      </c>
      <c r="X2428" t="str">
        <f>"3781010"</f>
        <v>3781010</v>
      </c>
      <c r="Y2428" t="s">
        <v>50</v>
      </c>
      <c r="Z2428" t="s">
        <v>37</v>
      </c>
      <c r="AA2428" t="s">
        <v>38</v>
      </c>
      <c r="AB2428" t="s">
        <v>39</v>
      </c>
      <c r="AC2428" t="s">
        <v>51</v>
      </c>
      <c r="AD2428" t="s">
        <v>45</v>
      </c>
      <c r="AE2428" s="1">
        <v>27929</v>
      </c>
      <c r="AF2428">
        <v>2</v>
      </c>
      <c r="AG2428" t="s">
        <v>38</v>
      </c>
      <c r="AH2428" s="36">
        <f t="shared" si="37"/>
        <v>43.133333333333333</v>
      </c>
      <c r="AI2428" s="41" t="s">
        <v>1779</v>
      </c>
      <c r="AJ2428" s="37"/>
      <c r="AK2428" s="36"/>
    </row>
    <row r="2429" spans="1:37" x14ac:dyDescent="0.25">
      <c r="A2429" s="36">
        <v>99912427</v>
      </c>
      <c r="B2429" s="17" t="s">
        <v>32</v>
      </c>
      <c r="C2429" t="s">
        <v>71</v>
      </c>
      <c r="D2429" t="s">
        <v>72</v>
      </c>
      <c r="G2429" s="17" t="s">
        <v>35</v>
      </c>
      <c r="H2429" s="17">
        <v>1</v>
      </c>
      <c r="I2429">
        <v>10851</v>
      </c>
      <c r="J2429" s="1">
        <v>43350</v>
      </c>
      <c r="K2429" t="s">
        <v>1426</v>
      </c>
      <c r="L2429" t="s">
        <v>1427</v>
      </c>
      <c r="M2429" t="s">
        <v>1270</v>
      </c>
      <c r="N2429">
        <v>4</v>
      </c>
      <c r="O2429" t="s">
        <v>40</v>
      </c>
      <c r="S2429" t="s">
        <v>40</v>
      </c>
      <c r="U2429" s="1">
        <v>43350</v>
      </c>
      <c r="V2429" t="s">
        <v>41</v>
      </c>
      <c r="W2429" t="s">
        <v>75</v>
      </c>
      <c r="X2429" t="str">
        <f>"7192004"</f>
        <v>7192004</v>
      </c>
      <c r="Y2429" t="s">
        <v>1428</v>
      </c>
      <c r="Z2429" t="s">
        <v>1426</v>
      </c>
      <c r="AA2429" t="s">
        <v>1427</v>
      </c>
      <c r="AB2429" t="s">
        <v>1270</v>
      </c>
      <c r="AC2429" t="s">
        <v>44</v>
      </c>
      <c r="AD2429" t="s">
        <v>45</v>
      </c>
      <c r="AE2429" s="1">
        <v>27929</v>
      </c>
      <c r="AF2429">
        <v>1</v>
      </c>
      <c r="AG2429" t="s">
        <v>1427</v>
      </c>
      <c r="AH2429" s="36">
        <f t="shared" si="37"/>
        <v>43.133333333333333</v>
      </c>
      <c r="AI2429" s="41" t="s">
        <v>1779</v>
      </c>
    </row>
    <row r="2430" spans="1:37" x14ac:dyDescent="0.25">
      <c r="A2430" s="36">
        <v>99912428</v>
      </c>
      <c r="B2430" s="17" t="s">
        <v>32</v>
      </c>
      <c r="C2430" t="s">
        <v>46</v>
      </c>
      <c r="D2430" t="s">
        <v>47</v>
      </c>
      <c r="G2430" s="17" t="s">
        <v>35</v>
      </c>
      <c r="H2430" s="17">
        <v>1</v>
      </c>
      <c r="K2430" t="s">
        <v>947</v>
      </c>
      <c r="L2430" t="s">
        <v>948</v>
      </c>
      <c r="M2430" t="s">
        <v>938</v>
      </c>
      <c r="N2430">
        <v>21</v>
      </c>
      <c r="O2430" t="s">
        <v>40</v>
      </c>
      <c r="P2430" t="s">
        <v>40</v>
      </c>
      <c r="Q2430" t="s">
        <v>40</v>
      </c>
      <c r="R2430" t="s">
        <v>40</v>
      </c>
      <c r="S2430" t="s">
        <v>40</v>
      </c>
      <c r="V2430" t="s">
        <v>41</v>
      </c>
      <c r="W2430" t="s">
        <v>49</v>
      </c>
      <c r="X2430" t="str">
        <f>"0645053"</f>
        <v>0645053</v>
      </c>
      <c r="Y2430" t="s">
        <v>957</v>
      </c>
      <c r="Z2430" t="s">
        <v>947</v>
      </c>
      <c r="AA2430" t="s">
        <v>948</v>
      </c>
      <c r="AB2430" t="s">
        <v>938</v>
      </c>
      <c r="AC2430" t="s">
        <v>51</v>
      </c>
      <c r="AD2430" t="s">
        <v>45</v>
      </c>
      <c r="AE2430" s="1">
        <v>27928</v>
      </c>
      <c r="AF2430">
        <v>2</v>
      </c>
      <c r="AG2430" t="s">
        <v>948</v>
      </c>
      <c r="AH2430" s="36">
        <f t="shared" si="37"/>
        <v>43.136111111111113</v>
      </c>
      <c r="AI2430" s="41" t="s">
        <v>1779</v>
      </c>
    </row>
    <row r="2431" spans="1:37" x14ac:dyDescent="0.25">
      <c r="A2431" s="36">
        <v>99912429</v>
      </c>
      <c r="B2431" s="17" t="s">
        <v>32</v>
      </c>
      <c r="C2431" t="s">
        <v>79</v>
      </c>
      <c r="D2431" t="s">
        <v>80</v>
      </c>
      <c r="G2431" s="17" t="s">
        <v>48</v>
      </c>
      <c r="H2431" s="17">
        <v>1</v>
      </c>
      <c r="K2431" t="s">
        <v>223</v>
      </c>
      <c r="L2431" t="s">
        <v>224</v>
      </c>
      <c r="M2431" t="s">
        <v>131</v>
      </c>
      <c r="N2431">
        <v>18</v>
      </c>
      <c r="O2431" t="s">
        <v>40</v>
      </c>
      <c r="P2431" t="s">
        <v>40</v>
      </c>
      <c r="Q2431" t="s">
        <v>40</v>
      </c>
      <c r="R2431" t="s">
        <v>40</v>
      </c>
      <c r="S2431" t="s">
        <v>40</v>
      </c>
      <c r="V2431" t="s">
        <v>41</v>
      </c>
      <c r="W2431" t="s">
        <v>75</v>
      </c>
      <c r="X2431" t="str">
        <f>"7052008"</f>
        <v>7052008</v>
      </c>
      <c r="Y2431" t="s">
        <v>274</v>
      </c>
      <c r="Z2431" t="s">
        <v>268</v>
      </c>
      <c r="AA2431" t="s">
        <v>269</v>
      </c>
      <c r="AB2431" t="s">
        <v>131</v>
      </c>
      <c r="AC2431" t="s">
        <v>51</v>
      </c>
      <c r="AD2431" t="s">
        <v>45</v>
      </c>
      <c r="AE2431" s="1">
        <v>27927</v>
      </c>
      <c r="AF2431">
        <v>2</v>
      </c>
      <c r="AG2431" t="s">
        <v>224</v>
      </c>
      <c r="AH2431" s="36">
        <f t="shared" si="37"/>
        <v>43.138888888888886</v>
      </c>
      <c r="AI2431" s="41" t="s">
        <v>1779</v>
      </c>
    </row>
    <row r="2432" spans="1:37" x14ac:dyDescent="0.25">
      <c r="A2432" s="36">
        <v>99912430</v>
      </c>
      <c r="B2432" s="17" t="s">
        <v>56</v>
      </c>
      <c r="C2432" t="s">
        <v>52</v>
      </c>
      <c r="D2432" t="s">
        <v>53</v>
      </c>
      <c r="G2432" s="17" t="s">
        <v>48</v>
      </c>
      <c r="H2432" s="17">
        <v>1</v>
      </c>
      <c r="K2432" t="s">
        <v>223</v>
      </c>
      <c r="L2432" t="s">
        <v>224</v>
      </c>
      <c r="M2432" t="s">
        <v>131</v>
      </c>
      <c r="N2432">
        <v>7</v>
      </c>
      <c r="O2432" t="s">
        <v>40</v>
      </c>
      <c r="P2432" t="s">
        <v>40</v>
      </c>
      <c r="Q2432" t="s">
        <v>40</v>
      </c>
      <c r="S2432" t="s">
        <v>40</v>
      </c>
      <c r="V2432" t="s">
        <v>41</v>
      </c>
      <c r="W2432" t="s">
        <v>42</v>
      </c>
      <c r="X2432" t="str">
        <f>"0561007"</f>
        <v>0561007</v>
      </c>
      <c r="Y2432" t="s">
        <v>262</v>
      </c>
      <c r="Z2432" t="s">
        <v>223</v>
      </c>
      <c r="AA2432" t="s">
        <v>224</v>
      </c>
      <c r="AB2432" t="s">
        <v>131</v>
      </c>
      <c r="AC2432" t="s">
        <v>51</v>
      </c>
      <c r="AD2432" t="s">
        <v>45</v>
      </c>
      <c r="AE2432" s="1">
        <v>27926</v>
      </c>
      <c r="AF2432">
        <v>2</v>
      </c>
      <c r="AG2432" t="s">
        <v>224</v>
      </c>
      <c r="AH2432" s="36">
        <f t="shared" si="37"/>
        <v>43.141666666666666</v>
      </c>
      <c r="AI2432" s="41" t="s">
        <v>1779</v>
      </c>
    </row>
    <row r="2433" spans="1:35" x14ac:dyDescent="0.25">
      <c r="A2433" s="36">
        <v>99912431</v>
      </c>
      <c r="B2433" s="17" t="s">
        <v>32</v>
      </c>
      <c r="C2433" t="s">
        <v>64</v>
      </c>
      <c r="D2433" t="s">
        <v>65</v>
      </c>
      <c r="G2433" s="17" t="s">
        <v>48</v>
      </c>
      <c r="H2433" s="17">
        <v>1</v>
      </c>
      <c r="K2433" t="s">
        <v>380</v>
      </c>
      <c r="L2433" t="s">
        <v>381</v>
      </c>
      <c r="M2433" t="s">
        <v>131</v>
      </c>
      <c r="N2433">
        <v>13</v>
      </c>
      <c r="O2433" t="s">
        <v>40</v>
      </c>
      <c r="P2433" t="s">
        <v>40</v>
      </c>
      <c r="Q2433" t="s">
        <v>40</v>
      </c>
      <c r="R2433" t="s">
        <v>40</v>
      </c>
      <c r="S2433" t="s">
        <v>40</v>
      </c>
      <c r="V2433" t="s">
        <v>41</v>
      </c>
      <c r="W2433" t="s">
        <v>49</v>
      </c>
      <c r="X2433" t="str">
        <f>"0591908"</f>
        <v>0591908</v>
      </c>
      <c r="Y2433" t="s">
        <v>383</v>
      </c>
      <c r="Z2433" t="s">
        <v>380</v>
      </c>
      <c r="AA2433" t="s">
        <v>381</v>
      </c>
      <c r="AB2433" t="s">
        <v>131</v>
      </c>
      <c r="AC2433" t="s">
        <v>51</v>
      </c>
      <c r="AD2433" t="s">
        <v>45</v>
      </c>
      <c r="AE2433" s="1">
        <v>27925</v>
      </c>
      <c r="AF2433">
        <v>2</v>
      </c>
      <c r="AG2433" t="s">
        <v>381</v>
      </c>
      <c r="AH2433" s="36">
        <f t="shared" si="37"/>
        <v>43.144444444444446</v>
      </c>
      <c r="AI2433" s="41" t="s">
        <v>1779</v>
      </c>
    </row>
    <row r="2434" spans="1:35" x14ac:dyDescent="0.25">
      <c r="A2434" s="36">
        <v>99912432</v>
      </c>
      <c r="B2434" s="17" t="s">
        <v>56</v>
      </c>
      <c r="C2434" t="s">
        <v>46</v>
      </c>
      <c r="D2434" t="s">
        <v>47</v>
      </c>
      <c r="G2434" s="17" t="s">
        <v>35</v>
      </c>
      <c r="H2434" s="17">
        <v>1</v>
      </c>
      <c r="K2434" t="s">
        <v>223</v>
      </c>
      <c r="L2434" t="s">
        <v>224</v>
      </c>
      <c r="M2434" t="s">
        <v>131</v>
      </c>
      <c r="N2434">
        <v>21</v>
      </c>
      <c r="O2434" t="s">
        <v>40</v>
      </c>
      <c r="P2434" t="s">
        <v>40</v>
      </c>
      <c r="Q2434" t="s">
        <v>40</v>
      </c>
      <c r="R2434" t="s">
        <v>40</v>
      </c>
      <c r="S2434" t="s">
        <v>40</v>
      </c>
      <c r="V2434" t="s">
        <v>41</v>
      </c>
      <c r="W2434" t="s">
        <v>49</v>
      </c>
      <c r="X2434" t="str">
        <f>"0560018"</f>
        <v>0560018</v>
      </c>
      <c r="Y2434" t="s">
        <v>234</v>
      </c>
      <c r="Z2434" t="s">
        <v>223</v>
      </c>
      <c r="AA2434" t="s">
        <v>224</v>
      </c>
      <c r="AB2434" t="s">
        <v>131</v>
      </c>
      <c r="AC2434" t="s">
        <v>51</v>
      </c>
      <c r="AD2434" t="s">
        <v>45</v>
      </c>
      <c r="AE2434" s="1">
        <v>27922</v>
      </c>
      <c r="AF2434">
        <v>2</v>
      </c>
      <c r="AG2434" t="s">
        <v>224</v>
      </c>
      <c r="AH2434" s="36">
        <f t="shared" ref="AH2434:AH2497" si="38">($AJ$1-AE2434)/360</f>
        <v>43.152777777777779</v>
      </c>
      <c r="AI2434" s="41" t="s">
        <v>1779</v>
      </c>
    </row>
    <row r="2435" spans="1:35" x14ac:dyDescent="0.25">
      <c r="A2435" s="36">
        <v>99912433</v>
      </c>
      <c r="B2435" s="17" t="s">
        <v>56</v>
      </c>
      <c r="C2435" t="s">
        <v>46</v>
      </c>
      <c r="D2435" t="s">
        <v>47</v>
      </c>
      <c r="G2435" s="17" t="s">
        <v>48</v>
      </c>
      <c r="H2435" s="17">
        <v>1</v>
      </c>
      <c r="K2435" t="s">
        <v>1268</v>
      </c>
      <c r="L2435" t="s">
        <v>1269</v>
      </c>
      <c r="M2435" t="s">
        <v>1270</v>
      </c>
      <c r="N2435">
        <v>21</v>
      </c>
      <c r="O2435" t="s">
        <v>40</v>
      </c>
      <c r="P2435" t="s">
        <v>40</v>
      </c>
      <c r="Q2435" t="s">
        <v>40</v>
      </c>
      <c r="S2435" t="s">
        <v>40</v>
      </c>
      <c r="V2435" t="s">
        <v>41</v>
      </c>
      <c r="W2435" t="s">
        <v>42</v>
      </c>
      <c r="X2435" t="str">
        <f>"1980050"</f>
        <v>1980050</v>
      </c>
      <c r="Y2435" t="s">
        <v>1278</v>
      </c>
      <c r="Z2435" t="s">
        <v>1268</v>
      </c>
      <c r="AA2435" t="s">
        <v>1269</v>
      </c>
      <c r="AB2435" t="s">
        <v>1270</v>
      </c>
      <c r="AC2435" t="s">
        <v>51</v>
      </c>
      <c r="AD2435" t="s">
        <v>45</v>
      </c>
      <c r="AE2435" s="1">
        <v>27919</v>
      </c>
      <c r="AF2435">
        <v>2</v>
      </c>
      <c r="AG2435" t="s">
        <v>1269</v>
      </c>
      <c r="AH2435" s="36">
        <f t="shared" si="38"/>
        <v>43.161111111111111</v>
      </c>
      <c r="AI2435" s="41" t="s">
        <v>1779</v>
      </c>
    </row>
    <row r="2436" spans="1:35" x14ac:dyDescent="0.25">
      <c r="A2436" s="36">
        <v>99912434</v>
      </c>
      <c r="B2436" s="17" t="s">
        <v>32</v>
      </c>
      <c r="C2436" t="s">
        <v>143</v>
      </c>
      <c r="D2436" t="s">
        <v>144</v>
      </c>
      <c r="G2436" s="17" t="s">
        <v>35</v>
      </c>
      <c r="H2436" s="17">
        <v>1</v>
      </c>
      <c r="I2436">
        <v>2326</v>
      </c>
      <c r="J2436" s="1">
        <v>43344</v>
      </c>
      <c r="K2436" t="s">
        <v>354</v>
      </c>
      <c r="L2436" t="s">
        <v>355</v>
      </c>
      <c r="M2436" t="s">
        <v>131</v>
      </c>
      <c r="N2436">
        <v>24</v>
      </c>
      <c r="O2436" t="s">
        <v>40</v>
      </c>
      <c r="S2436" t="s">
        <v>40</v>
      </c>
      <c r="U2436" s="1">
        <v>43344</v>
      </c>
      <c r="V2436" t="s">
        <v>41</v>
      </c>
      <c r="W2436" t="s">
        <v>75</v>
      </c>
      <c r="X2436" t="str">
        <f>"7054042"</f>
        <v>7054042</v>
      </c>
      <c r="Y2436" t="s">
        <v>776</v>
      </c>
      <c r="Z2436" t="s">
        <v>354</v>
      </c>
      <c r="AA2436" t="s">
        <v>355</v>
      </c>
      <c r="AB2436" t="s">
        <v>131</v>
      </c>
      <c r="AC2436" t="s">
        <v>51</v>
      </c>
      <c r="AD2436" t="s">
        <v>45</v>
      </c>
      <c r="AE2436" s="1">
        <v>27914</v>
      </c>
      <c r="AF2436">
        <v>1</v>
      </c>
      <c r="AG2436" t="s">
        <v>355</v>
      </c>
      <c r="AH2436" s="36">
        <f t="shared" si="38"/>
        <v>43.174999999999997</v>
      </c>
      <c r="AI2436" s="41" t="s">
        <v>1779</v>
      </c>
    </row>
    <row r="2437" spans="1:35" x14ac:dyDescent="0.25">
      <c r="A2437" s="36">
        <v>99912435</v>
      </c>
      <c r="B2437" s="17" t="s">
        <v>56</v>
      </c>
      <c r="C2437" t="s">
        <v>61</v>
      </c>
      <c r="D2437" t="s">
        <v>62</v>
      </c>
      <c r="G2437" s="17" t="s">
        <v>48</v>
      </c>
      <c r="H2437" s="17">
        <v>1</v>
      </c>
      <c r="K2437" t="s">
        <v>223</v>
      </c>
      <c r="L2437" t="s">
        <v>224</v>
      </c>
      <c r="M2437" t="s">
        <v>131</v>
      </c>
      <c r="N2437">
        <v>8</v>
      </c>
      <c r="O2437" t="s">
        <v>40</v>
      </c>
      <c r="P2437" t="s">
        <v>40</v>
      </c>
      <c r="Q2437" t="s">
        <v>40</v>
      </c>
      <c r="R2437" t="s">
        <v>40</v>
      </c>
      <c r="S2437" t="s">
        <v>40</v>
      </c>
      <c r="V2437" t="s">
        <v>41</v>
      </c>
      <c r="W2437" t="s">
        <v>42</v>
      </c>
      <c r="X2437" t="str">
        <f>"0580204"</f>
        <v>0580204</v>
      </c>
      <c r="Y2437" t="s">
        <v>235</v>
      </c>
      <c r="Z2437" t="s">
        <v>223</v>
      </c>
      <c r="AA2437" t="s">
        <v>224</v>
      </c>
      <c r="AB2437" t="s">
        <v>131</v>
      </c>
      <c r="AC2437" t="s">
        <v>51</v>
      </c>
      <c r="AD2437" t="s">
        <v>45</v>
      </c>
      <c r="AE2437" s="1">
        <v>27907</v>
      </c>
      <c r="AF2437">
        <v>2</v>
      </c>
      <c r="AG2437" t="s">
        <v>224</v>
      </c>
      <c r="AH2437" s="36">
        <f t="shared" si="38"/>
        <v>43.194444444444443</v>
      </c>
      <c r="AI2437" s="41" t="s">
        <v>1779</v>
      </c>
    </row>
    <row r="2438" spans="1:35" x14ac:dyDescent="0.25">
      <c r="A2438" s="36">
        <v>99912436</v>
      </c>
      <c r="B2438" s="17" t="s">
        <v>32</v>
      </c>
      <c r="C2438" t="s">
        <v>82</v>
      </c>
      <c r="D2438" t="s">
        <v>83</v>
      </c>
      <c r="G2438" s="17" t="s">
        <v>48</v>
      </c>
      <c r="H2438" s="17">
        <v>1</v>
      </c>
      <c r="K2438" t="s">
        <v>936</v>
      </c>
      <c r="L2438" t="s">
        <v>937</v>
      </c>
      <c r="M2438" t="s">
        <v>938</v>
      </c>
      <c r="N2438">
        <v>18</v>
      </c>
      <c r="O2438" t="s">
        <v>40</v>
      </c>
      <c r="P2438" t="s">
        <v>40</v>
      </c>
      <c r="Q2438" t="s">
        <v>40</v>
      </c>
      <c r="R2438" t="s">
        <v>40</v>
      </c>
      <c r="S2438" t="s">
        <v>40</v>
      </c>
      <c r="V2438" t="s">
        <v>41</v>
      </c>
      <c r="W2438" t="s">
        <v>49</v>
      </c>
      <c r="X2438" t="str">
        <f>"0180017"</f>
        <v>0180017</v>
      </c>
      <c r="Y2438" t="s">
        <v>943</v>
      </c>
      <c r="Z2438" t="s">
        <v>936</v>
      </c>
      <c r="AA2438" t="s">
        <v>937</v>
      </c>
      <c r="AB2438" t="s">
        <v>938</v>
      </c>
      <c r="AC2438" t="s">
        <v>51</v>
      </c>
      <c r="AD2438" t="s">
        <v>45</v>
      </c>
      <c r="AE2438" s="1">
        <v>27907</v>
      </c>
      <c r="AF2438">
        <v>2</v>
      </c>
      <c r="AG2438" t="s">
        <v>937</v>
      </c>
      <c r="AH2438" s="36">
        <f t="shared" si="38"/>
        <v>43.194444444444443</v>
      </c>
      <c r="AI2438" s="41" t="s">
        <v>1779</v>
      </c>
    </row>
    <row r="2439" spans="1:35" x14ac:dyDescent="0.25">
      <c r="A2439" s="36">
        <v>99912437</v>
      </c>
      <c r="B2439" s="17" t="s">
        <v>56</v>
      </c>
      <c r="C2439" t="s">
        <v>188</v>
      </c>
      <c r="D2439" t="s">
        <v>189</v>
      </c>
      <c r="G2439" s="17" t="s">
        <v>35</v>
      </c>
      <c r="H2439" s="17">
        <v>1</v>
      </c>
      <c r="K2439" t="s">
        <v>1268</v>
      </c>
      <c r="L2439" t="s">
        <v>1269</v>
      </c>
      <c r="M2439" t="s">
        <v>1270</v>
      </c>
      <c r="N2439">
        <v>20</v>
      </c>
      <c r="O2439" t="s">
        <v>40</v>
      </c>
      <c r="P2439" t="s">
        <v>40</v>
      </c>
      <c r="Q2439" t="s">
        <v>40</v>
      </c>
      <c r="R2439" t="s">
        <v>40</v>
      </c>
      <c r="S2439" t="s">
        <v>40</v>
      </c>
      <c r="V2439" t="s">
        <v>41</v>
      </c>
      <c r="W2439" t="s">
        <v>922</v>
      </c>
      <c r="X2439" t="str">
        <f>"1950001"</f>
        <v>1950001</v>
      </c>
      <c r="Y2439" t="s">
        <v>1284</v>
      </c>
      <c r="Z2439" t="s">
        <v>1268</v>
      </c>
      <c r="AA2439" t="s">
        <v>1269</v>
      </c>
      <c r="AB2439" t="s">
        <v>1270</v>
      </c>
      <c r="AC2439" t="s">
        <v>51</v>
      </c>
      <c r="AD2439" t="s">
        <v>45</v>
      </c>
      <c r="AE2439" s="1">
        <v>27907</v>
      </c>
      <c r="AF2439">
        <v>2</v>
      </c>
      <c r="AG2439" t="s">
        <v>1269</v>
      </c>
      <c r="AH2439" s="36">
        <f t="shared" si="38"/>
        <v>43.194444444444443</v>
      </c>
      <c r="AI2439" s="41" t="s">
        <v>1779</v>
      </c>
    </row>
    <row r="2440" spans="1:35" x14ac:dyDescent="0.25">
      <c r="A2440" s="36">
        <v>99912438</v>
      </c>
      <c r="B2440" s="17" t="s">
        <v>56</v>
      </c>
      <c r="C2440" t="s">
        <v>111</v>
      </c>
      <c r="D2440" t="s">
        <v>112</v>
      </c>
      <c r="G2440" s="17" t="s">
        <v>35</v>
      </c>
      <c r="H2440" s="17">
        <v>1</v>
      </c>
      <c r="K2440" t="s">
        <v>431</v>
      </c>
      <c r="L2440" t="s">
        <v>196</v>
      </c>
      <c r="M2440" t="s">
        <v>131</v>
      </c>
      <c r="N2440">
        <v>23</v>
      </c>
      <c r="O2440" t="s">
        <v>40</v>
      </c>
      <c r="P2440" t="s">
        <v>40</v>
      </c>
      <c r="Q2440" t="s">
        <v>40</v>
      </c>
      <c r="R2440" t="s">
        <v>40</v>
      </c>
      <c r="S2440" t="s">
        <v>40</v>
      </c>
      <c r="V2440" t="s">
        <v>41</v>
      </c>
      <c r="W2440" t="s">
        <v>75</v>
      </c>
      <c r="X2440" t="str">
        <f>"7521032"</f>
        <v>7521032</v>
      </c>
      <c r="Y2440" t="s">
        <v>462</v>
      </c>
      <c r="Z2440" t="s">
        <v>431</v>
      </c>
      <c r="AA2440" t="s">
        <v>196</v>
      </c>
      <c r="AB2440" t="s">
        <v>131</v>
      </c>
      <c r="AC2440" t="s">
        <v>51</v>
      </c>
      <c r="AD2440" t="s">
        <v>45</v>
      </c>
      <c r="AE2440" s="1">
        <v>27906</v>
      </c>
      <c r="AF2440">
        <v>1</v>
      </c>
      <c r="AG2440" t="s">
        <v>196</v>
      </c>
      <c r="AH2440" s="36">
        <f t="shared" si="38"/>
        <v>43.197222222222223</v>
      </c>
      <c r="AI2440" s="41" t="s">
        <v>1779</v>
      </c>
    </row>
    <row r="2441" spans="1:35" x14ac:dyDescent="0.25">
      <c r="A2441" s="36">
        <v>99912439</v>
      </c>
      <c r="B2441" s="17" t="s">
        <v>56</v>
      </c>
      <c r="C2441" t="s">
        <v>46</v>
      </c>
      <c r="D2441" t="s">
        <v>47</v>
      </c>
      <c r="G2441" s="17" t="s">
        <v>35</v>
      </c>
      <c r="H2441" s="17">
        <v>1</v>
      </c>
      <c r="K2441" t="s">
        <v>223</v>
      </c>
      <c r="L2441" t="s">
        <v>224</v>
      </c>
      <c r="M2441" t="s">
        <v>131</v>
      </c>
      <c r="N2441">
        <v>21</v>
      </c>
      <c r="O2441" t="s">
        <v>40</v>
      </c>
      <c r="P2441" t="s">
        <v>40</v>
      </c>
      <c r="Q2441" t="s">
        <v>40</v>
      </c>
      <c r="R2441" t="s">
        <v>40</v>
      </c>
      <c r="S2441" t="s">
        <v>40</v>
      </c>
      <c r="V2441" t="s">
        <v>41</v>
      </c>
      <c r="W2441" t="s">
        <v>42</v>
      </c>
      <c r="X2441" t="str">
        <f>"0580345"</f>
        <v>0580345</v>
      </c>
      <c r="Y2441" t="s">
        <v>261</v>
      </c>
      <c r="Z2441" t="s">
        <v>223</v>
      </c>
      <c r="AA2441" t="s">
        <v>224</v>
      </c>
      <c r="AB2441" t="s">
        <v>131</v>
      </c>
      <c r="AC2441" t="s">
        <v>51</v>
      </c>
      <c r="AD2441" t="s">
        <v>45</v>
      </c>
      <c r="AE2441" s="1">
        <v>27901</v>
      </c>
      <c r="AF2441">
        <v>2</v>
      </c>
      <c r="AG2441" t="s">
        <v>224</v>
      </c>
      <c r="AH2441" s="36">
        <f t="shared" si="38"/>
        <v>43.211111111111109</v>
      </c>
      <c r="AI2441" s="41" t="s">
        <v>1779</v>
      </c>
    </row>
    <row r="2442" spans="1:35" x14ac:dyDescent="0.25">
      <c r="A2442" s="36">
        <v>99912440</v>
      </c>
      <c r="B2442" s="17" t="s">
        <v>32</v>
      </c>
      <c r="C2442" t="s">
        <v>90</v>
      </c>
      <c r="D2442" t="s">
        <v>91</v>
      </c>
      <c r="G2442" s="17" t="s">
        <v>35</v>
      </c>
      <c r="H2442" s="17">
        <v>1</v>
      </c>
      <c r="K2442" t="s">
        <v>1341</v>
      </c>
      <c r="L2442" t="s">
        <v>1342</v>
      </c>
      <c r="M2442" t="s">
        <v>1270</v>
      </c>
      <c r="N2442">
        <v>25</v>
      </c>
      <c r="O2442" t="s">
        <v>40</v>
      </c>
      <c r="P2442" t="s">
        <v>40</v>
      </c>
      <c r="Q2442" t="s">
        <v>40</v>
      </c>
      <c r="S2442" t="s">
        <v>40</v>
      </c>
      <c r="V2442" t="s">
        <v>41</v>
      </c>
      <c r="W2442" t="s">
        <v>95</v>
      </c>
      <c r="X2442" t="str">
        <f>"7191085"</f>
        <v>7191085</v>
      </c>
      <c r="Y2442" t="s">
        <v>1389</v>
      </c>
      <c r="Z2442" t="s">
        <v>1341</v>
      </c>
      <c r="AA2442" t="s">
        <v>1342</v>
      </c>
      <c r="AB2442" t="s">
        <v>1270</v>
      </c>
      <c r="AC2442" t="s">
        <v>165</v>
      </c>
      <c r="AD2442" t="s">
        <v>45</v>
      </c>
      <c r="AE2442" s="1">
        <v>27898</v>
      </c>
      <c r="AF2442">
        <v>1</v>
      </c>
      <c r="AG2442" t="s">
        <v>1342</v>
      </c>
      <c r="AH2442" s="36">
        <f t="shared" si="38"/>
        <v>43.219444444444441</v>
      </c>
      <c r="AI2442" s="41" t="s">
        <v>1779</v>
      </c>
    </row>
    <row r="2443" spans="1:35" x14ac:dyDescent="0.25">
      <c r="A2443" s="36">
        <v>99912441</v>
      </c>
      <c r="B2443" s="17" t="s">
        <v>32</v>
      </c>
      <c r="C2443" t="s">
        <v>139</v>
      </c>
      <c r="D2443" t="s">
        <v>140</v>
      </c>
      <c r="G2443" s="17" t="s">
        <v>35</v>
      </c>
      <c r="H2443" s="17">
        <v>1</v>
      </c>
      <c r="I2443" t="s">
        <v>281</v>
      </c>
      <c r="J2443" s="1">
        <v>43344</v>
      </c>
      <c r="K2443" t="s">
        <v>223</v>
      </c>
      <c r="L2443" t="s">
        <v>224</v>
      </c>
      <c r="M2443" t="s">
        <v>131</v>
      </c>
      <c r="N2443">
        <v>6</v>
      </c>
      <c r="O2443" t="s">
        <v>40</v>
      </c>
      <c r="P2443" t="s">
        <v>40</v>
      </c>
      <c r="Q2443" t="s">
        <v>40</v>
      </c>
      <c r="R2443" t="s">
        <v>40</v>
      </c>
      <c r="S2443" t="s">
        <v>40</v>
      </c>
      <c r="U2443" s="1">
        <v>43344</v>
      </c>
      <c r="V2443" t="s">
        <v>41</v>
      </c>
      <c r="W2443" t="s">
        <v>49</v>
      </c>
      <c r="X2443" t="str">
        <f>"0591901"</f>
        <v>0591901</v>
      </c>
      <c r="Y2443" t="s">
        <v>230</v>
      </c>
      <c r="Z2443" t="s">
        <v>223</v>
      </c>
      <c r="AA2443" t="s">
        <v>224</v>
      </c>
      <c r="AB2443" t="s">
        <v>131</v>
      </c>
      <c r="AC2443" t="s">
        <v>44</v>
      </c>
      <c r="AD2443" t="s">
        <v>45</v>
      </c>
      <c r="AE2443" s="1">
        <v>27894</v>
      </c>
      <c r="AF2443">
        <v>2</v>
      </c>
      <c r="AG2443" t="s">
        <v>224</v>
      </c>
      <c r="AH2443" s="36">
        <f t="shared" si="38"/>
        <v>43.230555555555554</v>
      </c>
      <c r="AI2443" s="41" t="s">
        <v>1779</v>
      </c>
    </row>
    <row r="2444" spans="1:35" x14ac:dyDescent="0.25">
      <c r="A2444" s="36">
        <v>99912442</v>
      </c>
      <c r="B2444" s="17" t="s">
        <v>32</v>
      </c>
      <c r="C2444" t="s">
        <v>79</v>
      </c>
      <c r="D2444" t="s">
        <v>80</v>
      </c>
      <c r="G2444" s="17" t="s">
        <v>88</v>
      </c>
      <c r="H2444" s="17">
        <v>4</v>
      </c>
      <c r="I2444" t="s">
        <v>504</v>
      </c>
      <c r="J2444" s="1">
        <v>40422</v>
      </c>
      <c r="K2444" t="s">
        <v>195</v>
      </c>
      <c r="L2444" t="s">
        <v>196</v>
      </c>
      <c r="M2444" t="s">
        <v>131</v>
      </c>
      <c r="N2444">
        <v>24</v>
      </c>
      <c r="O2444" t="s">
        <v>40</v>
      </c>
      <c r="P2444" t="s">
        <v>40</v>
      </c>
      <c r="Q2444" t="s">
        <v>40</v>
      </c>
      <c r="R2444" t="s">
        <v>40</v>
      </c>
      <c r="S2444" t="s">
        <v>40</v>
      </c>
      <c r="U2444" s="1">
        <v>40422</v>
      </c>
      <c r="V2444" t="s">
        <v>41</v>
      </c>
      <c r="W2444" t="s">
        <v>75</v>
      </c>
      <c r="X2444" t="str">
        <f>"7521050"</f>
        <v>7521050</v>
      </c>
      <c r="Y2444" t="s">
        <v>194</v>
      </c>
      <c r="Z2444" t="s">
        <v>195</v>
      </c>
      <c r="AA2444" t="s">
        <v>196</v>
      </c>
      <c r="AB2444" t="s">
        <v>131</v>
      </c>
      <c r="AC2444" t="s">
        <v>51</v>
      </c>
      <c r="AD2444" t="s">
        <v>45</v>
      </c>
      <c r="AE2444" s="1">
        <v>27893</v>
      </c>
      <c r="AF2444">
        <v>1</v>
      </c>
      <c r="AG2444" t="s">
        <v>196</v>
      </c>
      <c r="AH2444" s="36">
        <f t="shared" si="38"/>
        <v>43.233333333333334</v>
      </c>
      <c r="AI2444" s="41" t="s">
        <v>1779</v>
      </c>
    </row>
    <row r="2445" spans="1:35" x14ac:dyDescent="0.25">
      <c r="A2445" s="36">
        <v>99912443</v>
      </c>
      <c r="B2445" s="17" t="s">
        <v>56</v>
      </c>
      <c r="C2445" t="s">
        <v>58</v>
      </c>
      <c r="D2445" t="s">
        <v>59</v>
      </c>
      <c r="G2445" s="17" t="s">
        <v>48</v>
      </c>
      <c r="H2445" s="17">
        <v>1</v>
      </c>
      <c r="K2445" t="s">
        <v>300</v>
      </c>
      <c r="L2445" t="s">
        <v>301</v>
      </c>
      <c r="M2445" t="s">
        <v>131</v>
      </c>
      <c r="N2445">
        <v>11</v>
      </c>
      <c r="O2445" t="s">
        <v>40</v>
      </c>
      <c r="P2445" t="s">
        <v>40</v>
      </c>
      <c r="Q2445" t="s">
        <v>40</v>
      </c>
      <c r="R2445" t="s">
        <v>40</v>
      </c>
      <c r="S2445" t="s">
        <v>40</v>
      </c>
      <c r="V2445" t="s">
        <v>41</v>
      </c>
      <c r="W2445" t="s">
        <v>42</v>
      </c>
      <c r="X2445" t="str">
        <f>"0561001"</f>
        <v>0561001</v>
      </c>
      <c r="Y2445" t="s">
        <v>308</v>
      </c>
      <c r="Z2445" t="s">
        <v>300</v>
      </c>
      <c r="AA2445" t="s">
        <v>301</v>
      </c>
      <c r="AB2445" t="s">
        <v>131</v>
      </c>
      <c r="AC2445" t="s">
        <v>51</v>
      </c>
      <c r="AD2445" t="s">
        <v>45</v>
      </c>
      <c r="AE2445" s="1">
        <v>27890</v>
      </c>
      <c r="AF2445">
        <v>2</v>
      </c>
      <c r="AG2445" t="s">
        <v>301</v>
      </c>
      <c r="AH2445" s="36">
        <f t="shared" si="38"/>
        <v>43.241666666666667</v>
      </c>
      <c r="AI2445" s="41" t="s">
        <v>1779</v>
      </c>
    </row>
    <row r="2446" spans="1:35" x14ac:dyDescent="0.25">
      <c r="A2446" s="36">
        <v>99912444</v>
      </c>
      <c r="B2446" s="17" t="s">
        <v>32</v>
      </c>
      <c r="C2446" t="s">
        <v>71</v>
      </c>
      <c r="D2446" t="s">
        <v>72</v>
      </c>
      <c r="G2446" s="17" t="s">
        <v>48</v>
      </c>
      <c r="H2446" s="17">
        <v>1</v>
      </c>
      <c r="K2446" t="s">
        <v>268</v>
      </c>
      <c r="L2446" t="s">
        <v>269</v>
      </c>
      <c r="M2446" t="s">
        <v>131</v>
      </c>
      <c r="N2446">
        <v>8</v>
      </c>
      <c r="O2446" t="s">
        <v>40</v>
      </c>
      <c r="P2446" t="s">
        <v>40</v>
      </c>
      <c r="Q2446" t="s">
        <v>40</v>
      </c>
      <c r="R2446" t="s">
        <v>40</v>
      </c>
      <c r="S2446" t="s">
        <v>40</v>
      </c>
      <c r="V2446" t="s">
        <v>41</v>
      </c>
      <c r="W2446" t="s">
        <v>75</v>
      </c>
      <c r="X2446" t="str">
        <f>"7052028"</f>
        <v>7052028</v>
      </c>
      <c r="Y2446" t="s">
        <v>601</v>
      </c>
      <c r="Z2446" t="s">
        <v>268</v>
      </c>
      <c r="AA2446" t="s">
        <v>269</v>
      </c>
      <c r="AB2446" t="s">
        <v>131</v>
      </c>
      <c r="AC2446" t="s">
        <v>51</v>
      </c>
      <c r="AD2446" t="s">
        <v>45</v>
      </c>
      <c r="AE2446" s="1">
        <v>27887</v>
      </c>
      <c r="AF2446">
        <v>1</v>
      </c>
      <c r="AG2446" t="s">
        <v>269</v>
      </c>
      <c r="AH2446" s="36">
        <f t="shared" si="38"/>
        <v>43.25</v>
      </c>
      <c r="AI2446" s="41" t="s">
        <v>1779</v>
      </c>
    </row>
    <row r="2447" spans="1:35" x14ac:dyDescent="0.25">
      <c r="A2447" s="36">
        <v>99912445</v>
      </c>
      <c r="B2447" s="17" t="s">
        <v>32</v>
      </c>
      <c r="C2447" t="s">
        <v>52</v>
      </c>
      <c r="D2447" t="s">
        <v>53</v>
      </c>
      <c r="G2447" s="17" t="s">
        <v>48</v>
      </c>
      <c r="H2447" s="17">
        <v>1</v>
      </c>
      <c r="K2447" t="s">
        <v>162</v>
      </c>
      <c r="L2447" t="s">
        <v>158</v>
      </c>
      <c r="M2447" t="s">
        <v>131</v>
      </c>
      <c r="N2447">
        <v>20</v>
      </c>
      <c r="O2447" t="s">
        <v>40</v>
      </c>
      <c r="P2447" t="s">
        <v>40</v>
      </c>
      <c r="Q2447" t="s">
        <v>40</v>
      </c>
      <c r="S2447" t="s">
        <v>40</v>
      </c>
      <c r="V2447" t="s">
        <v>41</v>
      </c>
      <c r="W2447" t="s">
        <v>42</v>
      </c>
      <c r="X2447" t="str">
        <f>"0580320"</f>
        <v>0580320</v>
      </c>
      <c r="Y2447" t="s">
        <v>164</v>
      </c>
      <c r="Z2447" t="s">
        <v>162</v>
      </c>
      <c r="AA2447" t="s">
        <v>158</v>
      </c>
      <c r="AB2447" t="s">
        <v>131</v>
      </c>
      <c r="AC2447" t="s">
        <v>165</v>
      </c>
      <c r="AD2447" t="s">
        <v>45</v>
      </c>
      <c r="AE2447" s="1">
        <v>27885</v>
      </c>
      <c r="AF2447">
        <v>2</v>
      </c>
      <c r="AG2447" t="s">
        <v>158</v>
      </c>
      <c r="AH2447" s="36">
        <f t="shared" si="38"/>
        <v>43.255555555555553</v>
      </c>
      <c r="AI2447" s="41" t="s">
        <v>1779</v>
      </c>
    </row>
    <row r="2448" spans="1:35" x14ac:dyDescent="0.25">
      <c r="A2448" s="36">
        <v>99912446</v>
      </c>
      <c r="B2448" s="17" t="s">
        <v>32</v>
      </c>
      <c r="C2448" t="s">
        <v>111</v>
      </c>
      <c r="D2448" t="s">
        <v>112</v>
      </c>
      <c r="G2448" s="17" t="s">
        <v>48</v>
      </c>
      <c r="H2448" s="17">
        <v>1</v>
      </c>
      <c r="K2448" t="s">
        <v>431</v>
      </c>
      <c r="L2448" t="s">
        <v>196</v>
      </c>
      <c r="M2448" t="s">
        <v>131</v>
      </c>
      <c r="N2448">
        <v>24</v>
      </c>
      <c r="O2448" t="s">
        <v>40</v>
      </c>
      <c r="P2448" t="s">
        <v>40</v>
      </c>
      <c r="Q2448" t="s">
        <v>40</v>
      </c>
      <c r="R2448" t="s">
        <v>40</v>
      </c>
      <c r="S2448" t="s">
        <v>40</v>
      </c>
      <c r="V2448" t="s">
        <v>41</v>
      </c>
      <c r="W2448" t="s">
        <v>75</v>
      </c>
      <c r="X2448" t="str">
        <f>"7521016"</f>
        <v>7521016</v>
      </c>
      <c r="Y2448" t="s">
        <v>448</v>
      </c>
      <c r="Z2448" t="s">
        <v>431</v>
      </c>
      <c r="AA2448" t="s">
        <v>196</v>
      </c>
      <c r="AB2448" t="s">
        <v>131</v>
      </c>
      <c r="AC2448" t="s">
        <v>51</v>
      </c>
      <c r="AD2448" t="s">
        <v>45</v>
      </c>
      <c r="AE2448" s="1">
        <v>27875</v>
      </c>
      <c r="AF2448">
        <v>1</v>
      </c>
      <c r="AG2448" t="s">
        <v>196</v>
      </c>
      <c r="AH2448" s="36">
        <f t="shared" si="38"/>
        <v>43.283333333333331</v>
      </c>
      <c r="AI2448" s="41" t="s">
        <v>1779</v>
      </c>
    </row>
    <row r="2449" spans="1:37" x14ac:dyDescent="0.25">
      <c r="A2449" s="36">
        <v>99912447</v>
      </c>
      <c r="B2449" s="17" t="s">
        <v>32</v>
      </c>
      <c r="C2449" t="s">
        <v>141</v>
      </c>
      <c r="D2449" t="s">
        <v>142</v>
      </c>
      <c r="G2449" s="17" t="s">
        <v>48</v>
      </c>
      <c r="H2449" s="17">
        <v>3</v>
      </c>
      <c r="K2449" t="s">
        <v>1221</v>
      </c>
      <c r="L2449" t="s">
        <v>1222</v>
      </c>
      <c r="M2449" t="s">
        <v>1130</v>
      </c>
      <c r="N2449">
        <v>12</v>
      </c>
      <c r="O2449" t="s">
        <v>40</v>
      </c>
      <c r="P2449" t="s">
        <v>40</v>
      </c>
      <c r="Q2449" t="s">
        <v>40</v>
      </c>
      <c r="R2449" t="s">
        <v>40</v>
      </c>
      <c r="S2449" t="s">
        <v>40</v>
      </c>
      <c r="V2449" t="s">
        <v>41</v>
      </c>
      <c r="W2449" t="s">
        <v>75</v>
      </c>
      <c r="X2449" t="str">
        <f>"7351000"</f>
        <v>7351000</v>
      </c>
      <c r="Y2449" t="s">
        <v>1223</v>
      </c>
      <c r="Z2449" t="s">
        <v>1221</v>
      </c>
      <c r="AA2449" t="s">
        <v>1222</v>
      </c>
      <c r="AB2449" t="s">
        <v>1130</v>
      </c>
      <c r="AC2449" t="s">
        <v>51</v>
      </c>
      <c r="AD2449" t="s">
        <v>45</v>
      </c>
      <c r="AE2449" s="1">
        <v>27861</v>
      </c>
      <c r="AF2449">
        <v>1</v>
      </c>
      <c r="AG2449" t="s">
        <v>1222</v>
      </c>
      <c r="AH2449" s="36">
        <f t="shared" si="38"/>
        <v>43.322222222222223</v>
      </c>
      <c r="AI2449" s="41" t="s">
        <v>1779</v>
      </c>
    </row>
    <row r="2450" spans="1:37" x14ac:dyDescent="0.25">
      <c r="A2450" s="36">
        <v>99912448</v>
      </c>
      <c r="B2450" s="17" t="s">
        <v>32</v>
      </c>
      <c r="C2450" t="s">
        <v>90</v>
      </c>
      <c r="D2450" t="s">
        <v>91</v>
      </c>
      <c r="G2450" s="17" t="s">
        <v>35</v>
      </c>
      <c r="H2450" s="17">
        <v>1</v>
      </c>
      <c r="K2450" t="s">
        <v>195</v>
      </c>
      <c r="L2450" t="s">
        <v>196</v>
      </c>
      <c r="M2450" t="s">
        <v>131</v>
      </c>
      <c r="N2450">
        <v>24</v>
      </c>
      <c r="O2450" t="s">
        <v>40</v>
      </c>
      <c r="P2450" t="s">
        <v>40</v>
      </c>
      <c r="Q2450" t="s">
        <v>40</v>
      </c>
      <c r="R2450" t="s">
        <v>40</v>
      </c>
      <c r="S2450" t="s">
        <v>40</v>
      </c>
      <c r="V2450" t="s">
        <v>41</v>
      </c>
      <c r="W2450" t="s">
        <v>75</v>
      </c>
      <c r="X2450" t="str">
        <f>"7521000"</f>
        <v>7521000</v>
      </c>
      <c r="Y2450" t="s">
        <v>450</v>
      </c>
      <c r="Z2450" t="s">
        <v>195</v>
      </c>
      <c r="AA2450" t="s">
        <v>196</v>
      </c>
      <c r="AB2450" t="s">
        <v>131</v>
      </c>
      <c r="AC2450" t="s">
        <v>44</v>
      </c>
      <c r="AD2450" t="s">
        <v>45</v>
      </c>
      <c r="AE2450" s="1">
        <v>27857</v>
      </c>
      <c r="AF2450">
        <v>1</v>
      </c>
      <c r="AG2450" t="s">
        <v>196</v>
      </c>
      <c r="AH2450" s="36">
        <f t="shared" si="38"/>
        <v>43.333333333333336</v>
      </c>
      <c r="AI2450" s="41" t="s">
        <v>1779</v>
      </c>
    </row>
    <row r="2451" spans="1:37" x14ac:dyDescent="0.25">
      <c r="A2451" s="36">
        <v>99912449</v>
      </c>
      <c r="B2451" s="17" t="s">
        <v>56</v>
      </c>
      <c r="C2451" t="s">
        <v>111</v>
      </c>
      <c r="D2451" t="s">
        <v>112</v>
      </c>
      <c r="G2451" s="17" t="s">
        <v>88</v>
      </c>
      <c r="H2451" s="17">
        <v>6</v>
      </c>
      <c r="K2451" t="s">
        <v>354</v>
      </c>
      <c r="L2451" t="s">
        <v>355</v>
      </c>
      <c r="M2451" t="s">
        <v>131</v>
      </c>
      <c r="N2451">
        <v>24</v>
      </c>
      <c r="O2451" t="s">
        <v>40</v>
      </c>
      <c r="P2451" t="s">
        <v>40</v>
      </c>
      <c r="Q2451" t="s">
        <v>40</v>
      </c>
      <c r="R2451" t="s">
        <v>40</v>
      </c>
      <c r="S2451" t="s">
        <v>40</v>
      </c>
      <c r="V2451" t="s">
        <v>41</v>
      </c>
      <c r="W2451" t="s">
        <v>75</v>
      </c>
      <c r="X2451" t="str">
        <f>"7054022"</f>
        <v>7054022</v>
      </c>
      <c r="Y2451" t="s">
        <v>770</v>
      </c>
      <c r="Z2451" t="s">
        <v>354</v>
      </c>
      <c r="AA2451" t="s">
        <v>355</v>
      </c>
      <c r="AB2451" t="s">
        <v>131</v>
      </c>
      <c r="AC2451" t="s">
        <v>51</v>
      </c>
      <c r="AD2451" t="s">
        <v>45</v>
      </c>
      <c r="AE2451" s="1">
        <v>27854</v>
      </c>
      <c r="AF2451">
        <v>1</v>
      </c>
      <c r="AG2451" t="s">
        <v>355</v>
      </c>
      <c r="AH2451" s="36">
        <f t="shared" si="38"/>
        <v>43.341666666666669</v>
      </c>
      <c r="AI2451" s="41" t="s">
        <v>1779</v>
      </c>
    </row>
    <row r="2452" spans="1:37" x14ac:dyDescent="0.25">
      <c r="A2452" s="36">
        <v>99912450</v>
      </c>
      <c r="B2452" s="17" t="s">
        <v>32</v>
      </c>
      <c r="C2452" t="s">
        <v>68</v>
      </c>
      <c r="D2452" t="s">
        <v>69</v>
      </c>
      <c r="G2452" s="17" t="s">
        <v>48</v>
      </c>
      <c r="H2452" s="17">
        <v>1</v>
      </c>
      <c r="K2452" t="s">
        <v>1051</v>
      </c>
      <c r="L2452" t="s">
        <v>1052</v>
      </c>
      <c r="M2452" t="s">
        <v>1053</v>
      </c>
      <c r="N2452">
        <v>23</v>
      </c>
      <c r="O2452" t="s">
        <v>40</v>
      </c>
      <c r="P2452" t="s">
        <v>40</v>
      </c>
      <c r="Q2452" t="s">
        <v>40</v>
      </c>
      <c r="R2452" t="s">
        <v>40</v>
      </c>
      <c r="S2452" t="s">
        <v>40</v>
      </c>
      <c r="V2452" t="s">
        <v>41</v>
      </c>
      <c r="W2452" t="s">
        <v>42</v>
      </c>
      <c r="X2452" t="str">
        <f>"2061003"</f>
        <v>2061003</v>
      </c>
      <c r="Y2452" t="s">
        <v>1060</v>
      </c>
      <c r="Z2452" t="s">
        <v>1051</v>
      </c>
      <c r="AA2452" t="s">
        <v>1052</v>
      </c>
      <c r="AB2452" t="s">
        <v>1053</v>
      </c>
      <c r="AC2452" t="s">
        <v>51</v>
      </c>
      <c r="AD2452" t="s">
        <v>45</v>
      </c>
      <c r="AE2452" s="1">
        <v>27854</v>
      </c>
      <c r="AF2452">
        <v>2</v>
      </c>
      <c r="AG2452" t="s">
        <v>1052</v>
      </c>
      <c r="AH2452" s="36">
        <f t="shared" si="38"/>
        <v>43.341666666666669</v>
      </c>
      <c r="AI2452" s="41" t="s">
        <v>1779</v>
      </c>
    </row>
    <row r="2453" spans="1:37" x14ac:dyDescent="0.25">
      <c r="A2453" s="36">
        <v>99912451</v>
      </c>
      <c r="B2453" s="17" t="s">
        <v>32</v>
      </c>
      <c r="C2453" t="s">
        <v>141</v>
      </c>
      <c r="D2453" t="s">
        <v>142</v>
      </c>
      <c r="G2453" s="17" t="s">
        <v>48</v>
      </c>
      <c r="H2453" s="17">
        <v>2</v>
      </c>
      <c r="K2453" t="s">
        <v>129</v>
      </c>
      <c r="L2453" t="s">
        <v>130</v>
      </c>
      <c r="M2453" t="s">
        <v>131</v>
      </c>
      <c r="N2453">
        <v>20</v>
      </c>
      <c r="O2453" t="s">
        <v>40</v>
      </c>
      <c r="P2453" t="s">
        <v>40</v>
      </c>
      <c r="Q2453" t="s">
        <v>40</v>
      </c>
      <c r="R2453" t="s">
        <v>40</v>
      </c>
      <c r="S2453" t="s">
        <v>40</v>
      </c>
      <c r="V2453" t="s">
        <v>41</v>
      </c>
      <c r="W2453" t="s">
        <v>49</v>
      </c>
      <c r="X2453" t="str">
        <f>"0591905"</f>
        <v>0591905</v>
      </c>
      <c r="Y2453" t="s">
        <v>135</v>
      </c>
      <c r="Z2453" t="s">
        <v>129</v>
      </c>
      <c r="AA2453" t="s">
        <v>130</v>
      </c>
      <c r="AB2453" t="s">
        <v>131</v>
      </c>
      <c r="AC2453" t="s">
        <v>51</v>
      </c>
      <c r="AD2453" t="s">
        <v>45</v>
      </c>
      <c r="AE2453" s="1">
        <v>27851</v>
      </c>
      <c r="AF2453">
        <v>2</v>
      </c>
      <c r="AG2453" t="s">
        <v>130</v>
      </c>
      <c r="AH2453" s="36">
        <f t="shared" si="38"/>
        <v>43.35</v>
      </c>
      <c r="AI2453" s="41" t="s">
        <v>1779</v>
      </c>
    </row>
    <row r="2454" spans="1:37" x14ac:dyDescent="0.25">
      <c r="A2454" s="36">
        <v>99912452</v>
      </c>
      <c r="B2454" s="17" t="s">
        <v>32</v>
      </c>
      <c r="C2454" t="s">
        <v>139</v>
      </c>
      <c r="D2454" t="s">
        <v>140</v>
      </c>
      <c r="G2454" s="17" t="s">
        <v>48</v>
      </c>
      <c r="H2454" s="17">
        <v>1</v>
      </c>
      <c r="K2454" t="s">
        <v>380</v>
      </c>
      <c r="L2454" t="s">
        <v>381</v>
      </c>
      <c r="M2454" t="s">
        <v>131</v>
      </c>
      <c r="N2454">
        <v>6</v>
      </c>
      <c r="O2454" t="s">
        <v>40</v>
      </c>
      <c r="P2454" t="s">
        <v>40</v>
      </c>
      <c r="Q2454" t="s">
        <v>40</v>
      </c>
      <c r="S2454" t="s">
        <v>40</v>
      </c>
      <c r="V2454" t="s">
        <v>41</v>
      </c>
      <c r="W2454" t="s">
        <v>49</v>
      </c>
      <c r="X2454" t="str">
        <f>"0581575"</f>
        <v>0581575</v>
      </c>
      <c r="Y2454" t="s">
        <v>392</v>
      </c>
      <c r="Z2454" t="s">
        <v>380</v>
      </c>
      <c r="AA2454" t="s">
        <v>381</v>
      </c>
      <c r="AB2454" t="s">
        <v>131</v>
      </c>
      <c r="AC2454" t="s">
        <v>51</v>
      </c>
      <c r="AD2454" t="s">
        <v>45</v>
      </c>
      <c r="AE2454" s="1">
        <v>27851</v>
      </c>
      <c r="AF2454">
        <v>2</v>
      </c>
      <c r="AG2454" t="s">
        <v>381</v>
      </c>
      <c r="AH2454" s="36">
        <f t="shared" si="38"/>
        <v>43.35</v>
      </c>
      <c r="AI2454" s="41" t="s">
        <v>1779</v>
      </c>
    </row>
    <row r="2455" spans="1:37" x14ac:dyDescent="0.25">
      <c r="A2455" s="36">
        <v>99912453</v>
      </c>
      <c r="B2455" s="17" t="s">
        <v>32</v>
      </c>
      <c r="C2455" t="s">
        <v>64</v>
      </c>
      <c r="D2455" t="s">
        <v>65</v>
      </c>
      <c r="G2455" s="17" t="s">
        <v>35</v>
      </c>
      <c r="H2455" s="17">
        <v>1</v>
      </c>
      <c r="I2455">
        <v>0</v>
      </c>
      <c r="J2455" s="1">
        <v>43344</v>
      </c>
      <c r="K2455" t="s">
        <v>223</v>
      </c>
      <c r="L2455" t="s">
        <v>224</v>
      </c>
      <c r="M2455" t="s">
        <v>131</v>
      </c>
      <c r="N2455">
        <v>24</v>
      </c>
      <c r="O2455" t="s">
        <v>40</v>
      </c>
      <c r="P2455" t="s">
        <v>40</v>
      </c>
      <c r="Q2455" t="s">
        <v>40</v>
      </c>
      <c r="S2455" t="s">
        <v>40</v>
      </c>
      <c r="U2455" s="1">
        <v>43344</v>
      </c>
      <c r="V2455" t="s">
        <v>41</v>
      </c>
      <c r="W2455" t="s">
        <v>49</v>
      </c>
      <c r="X2455" t="str">
        <f>"0591901"</f>
        <v>0591901</v>
      </c>
      <c r="Y2455" t="s">
        <v>230</v>
      </c>
      <c r="Z2455" t="s">
        <v>223</v>
      </c>
      <c r="AA2455" t="s">
        <v>224</v>
      </c>
      <c r="AB2455" t="s">
        <v>131</v>
      </c>
      <c r="AC2455" t="s">
        <v>44</v>
      </c>
      <c r="AD2455" t="s">
        <v>45</v>
      </c>
      <c r="AE2455" s="1">
        <v>27850</v>
      </c>
      <c r="AF2455">
        <v>2</v>
      </c>
      <c r="AG2455" t="s">
        <v>224</v>
      </c>
      <c r="AH2455" s="36">
        <f t="shared" si="38"/>
        <v>43.352777777777774</v>
      </c>
      <c r="AI2455" s="41" t="s">
        <v>1779</v>
      </c>
    </row>
    <row r="2456" spans="1:37" x14ac:dyDescent="0.25">
      <c r="A2456" s="36">
        <v>99912454</v>
      </c>
      <c r="B2456" s="17" t="s">
        <v>56</v>
      </c>
      <c r="C2456" t="s">
        <v>68</v>
      </c>
      <c r="D2456" t="s">
        <v>69</v>
      </c>
      <c r="G2456" s="17" t="s">
        <v>48</v>
      </c>
      <c r="H2456" s="17">
        <v>1</v>
      </c>
      <c r="K2456" t="s">
        <v>223</v>
      </c>
      <c r="L2456" t="s">
        <v>224</v>
      </c>
      <c r="M2456" t="s">
        <v>131</v>
      </c>
      <c r="N2456">
        <v>19</v>
      </c>
      <c r="O2456" t="s">
        <v>40</v>
      </c>
      <c r="P2456" t="s">
        <v>40</v>
      </c>
      <c r="Q2456" t="s">
        <v>40</v>
      </c>
      <c r="R2456" t="s">
        <v>40</v>
      </c>
      <c r="S2456" t="s">
        <v>40</v>
      </c>
      <c r="V2456" t="s">
        <v>41</v>
      </c>
      <c r="W2456" t="s">
        <v>49</v>
      </c>
      <c r="X2456" t="str">
        <f>"0581204"</f>
        <v>0581204</v>
      </c>
      <c r="Y2456" t="s">
        <v>249</v>
      </c>
      <c r="Z2456" t="s">
        <v>223</v>
      </c>
      <c r="AA2456" t="s">
        <v>224</v>
      </c>
      <c r="AB2456" t="s">
        <v>131</v>
      </c>
      <c r="AC2456" t="s">
        <v>51</v>
      </c>
      <c r="AD2456" t="s">
        <v>45</v>
      </c>
      <c r="AE2456" s="1">
        <v>27847</v>
      </c>
      <c r="AF2456">
        <v>2</v>
      </c>
      <c r="AG2456" t="s">
        <v>224</v>
      </c>
      <c r="AH2456" s="36">
        <f t="shared" si="38"/>
        <v>43.361111111111114</v>
      </c>
      <c r="AI2456" s="41" t="s">
        <v>1779</v>
      </c>
    </row>
    <row r="2457" spans="1:37" x14ac:dyDescent="0.25">
      <c r="A2457" s="36">
        <v>99912455</v>
      </c>
      <c r="B2457" s="17" t="s">
        <v>32</v>
      </c>
      <c r="C2457" t="s">
        <v>64</v>
      </c>
      <c r="D2457" t="s">
        <v>65</v>
      </c>
      <c r="G2457" s="17" t="s">
        <v>35</v>
      </c>
      <c r="H2457" s="17">
        <v>1</v>
      </c>
      <c r="K2457" t="s">
        <v>154</v>
      </c>
      <c r="L2457" t="s">
        <v>155</v>
      </c>
      <c r="M2457" t="s">
        <v>131</v>
      </c>
      <c r="N2457">
        <v>24</v>
      </c>
      <c r="O2457" t="s">
        <v>40</v>
      </c>
      <c r="P2457" t="s">
        <v>40</v>
      </c>
      <c r="Q2457" t="s">
        <v>40</v>
      </c>
      <c r="S2457" t="s">
        <v>40</v>
      </c>
      <c r="V2457" t="s">
        <v>41</v>
      </c>
      <c r="W2457" t="s">
        <v>75</v>
      </c>
      <c r="X2457" t="str">
        <f>"7051026"</f>
        <v>7051026</v>
      </c>
      <c r="Y2457" t="s">
        <v>396</v>
      </c>
      <c r="Z2457" t="s">
        <v>154</v>
      </c>
      <c r="AA2457" t="s">
        <v>155</v>
      </c>
      <c r="AB2457" t="s">
        <v>131</v>
      </c>
      <c r="AC2457" t="s">
        <v>51</v>
      </c>
      <c r="AD2457" t="s">
        <v>45</v>
      </c>
      <c r="AE2457" s="1">
        <v>27846</v>
      </c>
      <c r="AF2457">
        <v>1</v>
      </c>
      <c r="AG2457" t="s">
        <v>155</v>
      </c>
      <c r="AH2457" s="36">
        <f t="shared" si="38"/>
        <v>43.363888888888887</v>
      </c>
      <c r="AI2457" s="41" t="s">
        <v>1779</v>
      </c>
    </row>
    <row r="2458" spans="1:37" x14ac:dyDescent="0.25">
      <c r="A2458" s="36">
        <v>99912456</v>
      </c>
      <c r="B2458" s="17" t="s">
        <v>56</v>
      </c>
      <c r="C2458" t="s">
        <v>111</v>
      </c>
      <c r="D2458" t="s">
        <v>112</v>
      </c>
      <c r="G2458" s="17" t="s">
        <v>35</v>
      </c>
      <c r="H2458" s="17">
        <v>1</v>
      </c>
      <c r="K2458" t="s">
        <v>1341</v>
      </c>
      <c r="L2458" t="s">
        <v>1342</v>
      </c>
      <c r="M2458" t="s">
        <v>1270</v>
      </c>
      <c r="N2458">
        <v>22</v>
      </c>
      <c r="O2458" t="s">
        <v>40</v>
      </c>
      <c r="P2458" t="s">
        <v>40</v>
      </c>
      <c r="Q2458" t="s">
        <v>40</v>
      </c>
      <c r="S2458" t="s">
        <v>40</v>
      </c>
      <c r="V2458" t="s">
        <v>41</v>
      </c>
      <c r="W2458" t="s">
        <v>75</v>
      </c>
      <c r="X2458" t="str">
        <f>"7191006"</f>
        <v>7191006</v>
      </c>
      <c r="Y2458" t="s">
        <v>1351</v>
      </c>
      <c r="Z2458" t="s">
        <v>1341</v>
      </c>
      <c r="AA2458" t="s">
        <v>1342</v>
      </c>
      <c r="AB2458" t="s">
        <v>1270</v>
      </c>
      <c r="AC2458" t="s">
        <v>51</v>
      </c>
      <c r="AD2458" t="s">
        <v>45</v>
      </c>
      <c r="AE2458" s="1">
        <v>27846</v>
      </c>
      <c r="AF2458">
        <v>1</v>
      </c>
      <c r="AG2458" t="s">
        <v>1342</v>
      </c>
      <c r="AH2458" s="36">
        <f t="shared" si="38"/>
        <v>43.363888888888887</v>
      </c>
      <c r="AI2458" s="41" t="s">
        <v>1779</v>
      </c>
    </row>
    <row r="2459" spans="1:37" x14ac:dyDescent="0.25">
      <c r="A2459" s="36">
        <v>99912457</v>
      </c>
      <c r="B2459" s="17" t="s">
        <v>32</v>
      </c>
      <c r="C2459" t="s">
        <v>139</v>
      </c>
      <c r="D2459" t="s">
        <v>140</v>
      </c>
      <c r="G2459" s="17" t="s">
        <v>48</v>
      </c>
      <c r="H2459" s="17">
        <v>3</v>
      </c>
      <c r="K2459" t="s">
        <v>877</v>
      </c>
      <c r="L2459" t="s">
        <v>878</v>
      </c>
      <c r="M2459" t="s">
        <v>131</v>
      </c>
      <c r="N2459">
        <v>8</v>
      </c>
      <c r="O2459" t="s">
        <v>40</v>
      </c>
      <c r="P2459" t="s">
        <v>40</v>
      </c>
      <c r="Q2459" t="s">
        <v>40</v>
      </c>
      <c r="R2459" t="s">
        <v>40</v>
      </c>
      <c r="S2459" t="s">
        <v>40</v>
      </c>
      <c r="V2459" t="s">
        <v>41</v>
      </c>
      <c r="W2459" t="s">
        <v>75</v>
      </c>
      <c r="X2459" t="str">
        <f>"7541004"</f>
        <v>7541004</v>
      </c>
      <c r="Y2459" t="s">
        <v>889</v>
      </c>
      <c r="Z2459" t="s">
        <v>877</v>
      </c>
      <c r="AA2459" t="s">
        <v>878</v>
      </c>
      <c r="AB2459" t="s">
        <v>131</v>
      </c>
      <c r="AC2459" t="s">
        <v>51</v>
      </c>
      <c r="AD2459" t="s">
        <v>45</v>
      </c>
      <c r="AE2459" s="1">
        <v>27842</v>
      </c>
      <c r="AF2459">
        <v>1</v>
      </c>
      <c r="AG2459" t="s">
        <v>878</v>
      </c>
      <c r="AH2459" s="36">
        <f t="shared" si="38"/>
        <v>43.375</v>
      </c>
      <c r="AI2459" s="41" t="s">
        <v>1779</v>
      </c>
    </row>
    <row r="2460" spans="1:37" x14ac:dyDescent="0.25">
      <c r="A2460" s="36">
        <v>99912458</v>
      </c>
      <c r="B2460" s="17" t="s">
        <v>56</v>
      </c>
      <c r="C2460" t="s">
        <v>46</v>
      </c>
      <c r="D2460" t="s">
        <v>47</v>
      </c>
      <c r="G2460" s="17" t="s">
        <v>35</v>
      </c>
      <c r="H2460" s="17">
        <v>1</v>
      </c>
      <c r="I2460" t="s">
        <v>57</v>
      </c>
      <c r="J2460" s="1">
        <v>43376</v>
      </c>
      <c r="K2460" t="s">
        <v>37</v>
      </c>
      <c r="L2460" t="s">
        <v>38</v>
      </c>
      <c r="M2460" t="s">
        <v>39</v>
      </c>
      <c r="N2460">
        <v>14</v>
      </c>
      <c r="O2460" t="s">
        <v>40</v>
      </c>
      <c r="P2460" t="s">
        <v>40</v>
      </c>
      <c r="Q2460" t="s">
        <v>40</v>
      </c>
      <c r="R2460" t="s">
        <v>40</v>
      </c>
      <c r="S2460" t="s">
        <v>40</v>
      </c>
      <c r="U2460" s="1">
        <v>43376</v>
      </c>
      <c r="V2460" t="s">
        <v>41</v>
      </c>
      <c r="W2460" t="s">
        <v>42</v>
      </c>
      <c r="X2460" t="str">
        <f>"3780010"</f>
        <v>3780010</v>
      </c>
      <c r="Y2460" t="s">
        <v>43</v>
      </c>
      <c r="Z2460" t="s">
        <v>37</v>
      </c>
      <c r="AA2460" t="s">
        <v>38</v>
      </c>
      <c r="AB2460" t="s">
        <v>39</v>
      </c>
      <c r="AC2460" t="s">
        <v>55</v>
      </c>
      <c r="AD2460" t="s">
        <v>45</v>
      </c>
      <c r="AE2460" s="1">
        <v>27839</v>
      </c>
      <c r="AF2460">
        <v>2</v>
      </c>
      <c r="AG2460" t="s">
        <v>38</v>
      </c>
      <c r="AH2460" s="36">
        <f t="shared" si="38"/>
        <v>43.383333333333333</v>
      </c>
      <c r="AI2460" s="41" t="s">
        <v>1779</v>
      </c>
      <c r="AJ2460" s="37"/>
      <c r="AK2460" s="36"/>
    </row>
    <row r="2461" spans="1:37" x14ac:dyDescent="0.25">
      <c r="A2461" s="36">
        <v>99912459</v>
      </c>
      <c r="B2461" s="17" t="s">
        <v>32</v>
      </c>
      <c r="C2461" t="s">
        <v>33</v>
      </c>
      <c r="D2461" t="s">
        <v>34</v>
      </c>
      <c r="G2461" s="17" t="s">
        <v>48</v>
      </c>
      <c r="H2461" s="17">
        <v>1</v>
      </c>
      <c r="K2461" t="s">
        <v>223</v>
      </c>
      <c r="L2461" t="s">
        <v>224</v>
      </c>
      <c r="M2461" t="s">
        <v>131</v>
      </c>
      <c r="N2461">
        <v>23</v>
      </c>
      <c r="O2461" t="s">
        <v>40</v>
      </c>
      <c r="P2461" t="s">
        <v>40</v>
      </c>
      <c r="Q2461" t="s">
        <v>40</v>
      </c>
      <c r="S2461" t="s">
        <v>40</v>
      </c>
      <c r="V2461" t="s">
        <v>41</v>
      </c>
      <c r="W2461" t="s">
        <v>49</v>
      </c>
      <c r="X2461" t="str">
        <f>"0581206"</f>
        <v>0581206</v>
      </c>
      <c r="Y2461" t="s">
        <v>232</v>
      </c>
      <c r="Z2461" t="s">
        <v>223</v>
      </c>
      <c r="AA2461" t="s">
        <v>224</v>
      </c>
      <c r="AB2461" t="s">
        <v>131</v>
      </c>
      <c r="AC2461" t="s">
        <v>51</v>
      </c>
      <c r="AD2461" t="s">
        <v>45</v>
      </c>
      <c r="AE2461" s="1">
        <v>27826</v>
      </c>
      <c r="AF2461">
        <v>2</v>
      </c>
      <c r="AG2461" t="s">
        <v>224</v>
      </c>
      <c r="AH2461" s="36">
        <f t="shared" si="38"/>
        <v>43.419444444444444</v>
      </c>
      <c r="AI2461" s="41" t="s">
        <v>1779</v>
      </c>
    </row>
    <row r="2462" spans="1:37" x14ac:dyDescent="0.25">
      <c r="A2462" s="36">
        <v>99912460</v>
      </c>
      <c r="B2462" s="17" t="s">
        <v>32</v>
      </c>
      <c r="C2462" t="s">
        <v>46</v>
      </c>
      <c r="D2462" t="s">
        <v>47</v>
      </c>
      <c r="G2462" s="17" t="s">
        <v>35</v>
      </c>
      <c r="H2462" s="17">
        <v>1</v>
      </c>
      <c r="K2462" t="s">
        <v>223</v>
      </c>
      <c r="L2462" t="s">
        <v>224</v>
      </c>
      <c r="M2462" t="s">
        <v>131</v>
      </c>
      <c r="N2462">
        <v>21</v>
      </c>
      <c r="O2462" t="s">
        <v>40</v>
      </c>
      <c r="P2462" t="s">
        <v>40</v>
      </c>
      <c r="Q2462" t="s">
        <v>40</v>
      </c>
      <c r="R2462" t="s">
        <v>40</v>
      </c>
      <c r="S2462" t="s">
        <v>40</v>
      </c>
      <c r="V2462" t="s">
        <v>41</v>
      </c>
      <c r="W2462" t="s">
        <v>42</v>
      </c>
      <c r="X2462" t="str">
        <f>"0580345"</f>
        <v>0580345</v>
      </c>
      <c r="Y2462" t="s">
        <v>261</v>
      </c>
      <c r="Z2462" t="s">
        <v>223</v>
      </c>
      <c r="AA2462" t="s">
        <v>224</v>
      </c>
      <c r="AB2462" t="s">
        <v>131</v>
      </c>
      <c r="AC2462" t="s">
        <v>51</v>
      </c>
      <c r="AD2462" t="s">
        <v>45</v>
      </c>
      <c r="AE2462" s="1">
        <v>27825</v>
      </c>
      <c r="AF2462">
        <v>2</v>
      </c>
      <c r="AG2462" t="s">
        <v>224</v>
      </c>
      <c r="AH2462" s="36">
        <f t="shared" si="38"/>
        <v>43.422222222222224</v>
      </c>
      <c r="AI2462" s="41" t="s">
        <v>1779</v>
      </c>
    </row>
    <row r="2463" spans="1:37" x14ac:dyDescent="0.25">
      <c r="A2463" s="36">
        <v>99912461</v>
      </c>
      <c r="B2463" s="17" t="s">
        <v>32</v>
      </c>
      <c r="C2463" t="s">
        <v>64</v>
      </c>
      <c r="D2463" t="s">
        <v>65</v>
      </c>
      <c r="G2463" s="17" t="s">
        <v>48</v>
      </c>
      <c r="H2463" s="17">
        <v>9</v>
      </c>
      <c r="I2463" t="s">
        <v>468</v>
      </c>
      <c r="J2463" s="1">
        <v>40422</v>
      </c>
      <c r="K2463" t="s">
        <v>431</v>
      </c>
      <c r="L2463" t="s">
        <v>196</v>
      </c>
      <c r="M2463" t="s">
        <v>131</v>
      </c>
      <c r="N2463">
        <v>23</v>
      </c>
      <c r="O2463" t="s">
        <v>40</v>
      </c>
      <c r="P2463" t="s">
        <v>40</v>
      </c>
      <c r="Q2463" t="s">
        <v>40</v>
      </c>
      <c r="R2463" t="s">
        <v>40</v>
      </c>
      <c r="S2463" t="s">
        <v>40</v>
      </c>
      <c r="U2463" s="1">
        <v>40422</v>
      </c>
      <c r="V2463" t="s">
        <v>41</v>
      </c>
      <c r="W2463" t="s">
        <v>75</v>
      </c>
      <c r="X2463" t="str">
        <f>"7521012"</f>
        <v>7521012</v>
      </c>
      <c r="Y2463" t="s">
        <v>432</v>
      </c>
      <c r="Z2463" t="s">
        <v>431</v>
      </c>
      <c r="AA2463" t="s">
        <v>196</v>
      </c>
      <c r="AB2463" t="s">
        <v>131</v>
      </c>
      <c r="AC2463" t="s">
        <v>165</v>
      </c>
      <c r="AD2463" t="s">
        <v>45</v>
      </c>
      <c r="AE2463" s="1">
        <v>27825</v>
      </c>
      <c r="AF2463">
        <v>1</v>
      </c>
      <c r="AG2463" t="s">
        <v>196</v>
      </c>
      <c r="AH2463" s="36">
        <f t="shared" si="38"/>
        <v>43.422222222222224</v>
      </c>
      <c r="AI2463" s="41" t="s">
        <v>1779</v>
      </c>
    </row>
    <row r="2464" spans="1:37" x14ac:dyDescent="0.25">
      <c r="A2464" s="36">
        <v>99912462</v>
      </c>
      <c r="B2464" s="17" t="s">
        <v>32</v>
      </c>
      <c r="C2464" t="s">
        <v>46</v>
      </c>
      <c r="D2464" t="s">
        <v>47</v>
      </c>
      <c r="G2464" s="17" t="s">
        <v>48</v>
      </c>
      <c r="H2464" s="17">
        <v>1</v>
      </c>
      <c r="K2464" t="s">
        <v>380</v>
      </c>
      <c r="L2464" t="s">
        <v>381</v>
      </c>
      <c r="M2464" t="s">
        <v>131</v>
      </c>
      <c r="N2464">
        <v>21</v>
      </c>
      <c r="O2464" t="s">
        <v>40</v>
      </c>
      <c r="P2464" t="s">
        <v>40</v>
      </c>
      <c r="Q2464" t="s">
        <v>40</v>
      </c>
      <c r="S2464" t="s">
        <v>40</v>
      </c>
      <c r="V2464" t="s">
        <v>41</v>
      </c>
      <c r="W2464" t="s">
        <v>42</v>
      </c>
      <c r="X2464" t="str">
        <f>"0590909"</f>
        <v>0590909</v>
      </c>
      <c r="Y2464" t="s">
        <v>388</v>
      </c>
      <c r="Z2464" t="s">
        <v>380</v>
      </c>
      <c r="AA2464" t="s">
        <v>381</v>
      </c>
      <c r="AB2464" t="s">
        <v>131</v>
      </c>
      <c r="AC2464" t="s">
        <v>51</v>
      </c>
      <c r="AD2464" t="s">
        <v>45</v>
      </c>
      <c r="AE2464" s="1">
        <v>27824</v>
      </c>
      <c r="AF2464">
        <v>2</v>
      </c>
      <c r="AG2464" t="s">
        <v>381</v>
      </c>
      <c r="AH2464" s="36">
        <f t="shared" si="38"/>
        <v>43.424999999999997</v>
      </c>
      <c r="AI2464" s="41" t="s">
        <v>1779</v>
      </c>
    </row>
    <row r="2465" spans="1:35" x14ac:dyDescent="0.25">
      <c r="A2465" s="36">
        <v>99912463</v>
      </c>
      <c r="B2465" s="17" t="s">
        <v>56</v>
      </c>
      <c r="C2465" t="s">
        <v>46</v>
      </c>
      <c r="D2465" t="s">
        <v>47</v>
      </c>
      <c r="G2465" s="17" t="s">
        <v>48</v>
      </c>
      <c r="H2465" s="17">
        <v>1</v>
      </c>
      <c r="K2465" t="s">
        <v>162</v>
      </c>
      <c r="L2465" t="s">
        <v>158</v>
      </c>
      <c r="M2465" t="s">
        <v>131</v>
      </c>
      <c r="N2465">
        <v>21</v>
      </c>
      <c r="O2465" t="s">
        <v>40</v>
      </c>
      <c r="P2465" t="s">
        <v>40</v>
      </c>
      <c r="Q2465" t="s">
        <v>40</v>
      </c>
      <c r="R2465" t="s">
        <v>40</v>
      </c>
      <c r="S2465" t="s">
        <v>40</v>
      </c>
      <c r="V2465" t="s">
        <v>41</v>
      </c>
      <c r="W2465" t="s">
        <v>49</v>
      </c>
      <c r="X2465" t="str">
        <f>"0505050"</f>
        <v>0505050</v>
      </c>
      <c r="Y2465" t="s">
        <v>163</v>
      </c>
      <c r="Z2465" t="s">
        <v>162</v>
      </c>
      <c r="AA2465" t="s">
        <v>158</v>
      </c>
      <c r="AB2465" t="s">
        <v>131</v>
      </c>
      <c r="AC2465" t="s">
        <v>51</v>
      </c>
      <c r="AD2465" t="s">
        <v>45</v>
      </c>
      <c r="AE2465" s="1">
        <v>27822</v>
      </c>
      <c r="AF2465">
        <v>2</v>
      </c>
      <c r="AG2465" t="s">
        <v>158</v>
      </c>
      <c r="AH2465" s="36">
        <f t="shared" si="38"/>
        <v>43.430555555555557</v>
      </c>
      <c r="AI2465" s="41" t="s">
        <v>1779</v>
      </c>
    </row>
    <row r="2466" spans="1:35" x14ac:dyDescent="0.25">
      <c r="A2466" s="36">
        <v>99912464</v>
      </c>
      <c r="B2466" s="17" t="s">
        <v>56</v>
      </c>
      <c r="C2466" t="s">
        <v>90</v>
      </c>
      <c r="D2466" t="s">
        <v>91</v>
      </c>
      <c r="G2466" s="17" t="s">
        <v>48</v>
      </c>
      <c r="H2466" s="17">
        <v>8</v>
      </c>
      <c r="K2466" t="s">
        <v>1426</v>
      </c>
      <c r="L2466" t="s">
        <v>1427</v>
      </c>
      <c r="M2466" t="s">
        <v>1270</v>
      </c>
      <c r="N2466">
        <v>23</v>
      </c>
      <c r="O2466" t="s">
        <v>40</v>
      </c>
      <c r="P2466" t="s">
        <v>40</v>
      </c>
      <c r="Q2466" t="s">
        <v>40</v>
      </c>
      <c r="R2466" t="s">
        <v>40</v>
      </c>
      <c r="S2466" t="s">
        <v>40</v>
      </c>
      <c r="V2466" t="s">
        <v>41</v>
      </c>
      <c r="W2466" t="s">
        <v>95</v>
      </c>
      <c r="X2466" t="str">
        <f>"7192017"</f>
        <v>7192017</v>
      </c>
      <c r="Y2466" t="s">
        <v>1433</v>
      </c>
      <c r="Z2466" t="s">
        <v>1426</v>
      </c>
      <c r="AA2466" t="s">
        <v>1427</v>
      </c>
      <c r="AB2466" t="s">
        <v>1270</v>
      </c>
      <c r="AC2466" t="s">
        <v>51</v>
      </c>
      <c r="AD2466" t="s">
        <v>45</v>
      </c>
      <c r="AE2466" s="1">
        <v>27819</v>
      </c>
      <c r="AF2466">
        <v>1</v>
      </c>
      <c r="AG2466" t="s">
        <v>1427</v>
      </c>
      <c r="AH2466" s="36">
        <f t="shared" si="38"/>
        <v>43.43888888888889</v>
      </c>
      <c r="AI2466" s="41" t="s">
        <v>1779</v>
      </c>
    </row>
    <row r="2467" spans="1:35" x14ac:dyDescent="0.25">
      <c r="A2467" s="36">
        <v>99912465</v>
      </c>
      <c r="B2467" s="17" t="s">
        <v>32</v>
      </c>
      <c r="C2467" t="s">
        <v>111</v>
      </c>
      <c r="D2467" t="s">
        <v>112</v>
      </c>
      <c r="G2467" s="17" t="s">
        <v>48</v>
      </c>
      <c r="H2467" s="17">
        <v>8</v>
      </c>
      <c r="K2467" t="s">
        <v>195</v>
      </c>
      <c r="L2467" t="s">
        <v>196</v>
      </c>
      <c r="M2467" t="s">
        <v>131</v>
      </c>
      <c r="N2467">
        <v>22</v>
      </c>
      <c r="O2467" t="s">
        <v>40</v>
      </c>
      <c r="P2467" t="s">
        <v>40</v>
      </c>
      <c r="Q2467" t="s">
        <v>40</v>
      </c>
      <c r="R2467" t="s">
        <v>40</v>
      </c>
      <c r="S2467" t="s">
        <v>40</v>
      </c>
      <c r="U2467" s="1">
        <v>39780</v>
      </c>
      <c r="V2467" t="s">
        <v>41</v>
      </c>
      <c r="W2467" t="s">
        <v>75</v>
      </c>
      <c r="X2467" t="str">
        <f>"7521042"</f>
        <v>7521042</v>
      </c>
      <c r="Y2467" t="s">
        <v>440</v>
      </c>
      <c r="Z2467" t="s">
        <v>195</v>
      </c>
      <c r="AA2467" t="s">
        <v>196</v>
      </c>
      <c r="AB2467" t="s">
        <v>131</v>
      </c>
      <c r="AC2467" t="s">
        <v>165</v>
      </c>
      <c r="AD2467" t="s">
        <v>45</v>
      </c>
      <c r="AE2467" s="1">
        <v>27818</v>
      </c>
      <c r="AF2467">
        <v>1</v>
      </c>
      <c r="AG2467" t="s">
        <v>196</v>
      </c>
      <c r="AH2467" s="36">
        <f t="shared" si="38"/>
        <v>43.44166666666667</v>
      </c>
      <c r="AI2467" s="41" t="s">
        <v>1779</v>
      </c>
    </row>
    <row r="2468" spans="1:35" x14ac:dyDescent="0.25">
      <c r="A2468" s="36">
        <v>99912466</v>
      </c>
      <c r="B2468" s="17" t="s">
        <v>56</v>
      </c>
      <c r="C2468" t="s">
        <v>64</v>
      </c>
      <c r="D2468" t="s">
        <v>65</v>
      </c>
      <c r="G2468" s="17" t="s">
        <v>48</v>
      </c>
      <c r="H2468" s="17">
        <v>1</v>
      </c>
      <c r="K2468" t="s">
        <v>1268</v>
      </c>
      <c r="L2468" t="s">
        <v>1269</v>
      </c>
      <c r="M2468" t="s">
        <v>1270</v>
      </c>
      <c r="N2468">
        <v>23</v>
      </c>
      <c r="O2468" t="s">
        <v>40</v>
      </c>
      <c r="P2468" t="s">
        <v>40</v>
      </c>
      <c r="Q2468" t="s">
        <v>40</v>
      </c>
      <c r="R2468" t="s">
        <v>40</v>
      </c>
      <c r="S2468" t="s">
        <v>40</v>
      </c>
      <c r="V2468" t="s">
        <v>41</v>
      </c>
      <c r="W2468" t="s">
        <v>42</v>
      </c>
      <c r="X2468" t="str">
        <f>"1990911"</f>
        <v>1990911</v>
      </c>
      <c r="Y2468" t="s">
        <v>1276</v>
      </c>
      <c r="Z2468" t="s">
        <v>1268</v>
      </c>
      <c r="AA2468" t="s">
        <v>1269</v>
      </c>
      <c r="AB2468" t="s">
        <v>1270</v>
      </c>
      <c r="AC2468" t="s">
        <v>51</v>
      </c>
      <c r="AD2468" t="s">
        <v>45</v>
      </c>
      <c r="AE2468" s="1">
        <v>27814</v>
      </c>
      <c r="AF2468">
        <v>2</v>
      </c>
      <c r="AG2468" t="s">
        <v>1269</v>
      </c>
      <c r="AH2468" s="36">
        <f t="shared" si="38"/>
        <v>43.452777777777776</v>
      </c>
      <c r="AI2468" s="41" t="s">
        <v>1779</v>
      </c>
    </row>
    <row r="2469" spans="1:35" x14ac:dyDescent="0.25">
      <c r="A2469" s="36">
        <v>99912467</v>
      </c>
      <c r="B2469" s="17" t="s">
        <v>32</v>
      </c>
      <c r="C2469" t="s">
        <v>90</v>
      </c>
      <c r="D2469" t="s">
        <v>91</v>
      </c>
      <c r="G2469" s="17" t="s">
        <v>35</v>
      </c>
      <c r="H2469" s="17">
        <v>1</v>
      </c>
      <c r="K2469" t="s">
        <v>877</v>
      </c>
      <c r="L2469" t="s">
        <v>878</v>
      </c>
      <c r="M2469" t="s">
        <v>131</v>
      </c>
      <c r="N2469">
        <v>30</v>
      </c>
      <c r="O2469" t="s">
        <v>40</v>
      </c>
      <c r="P2469" t="s">
        <v>40</v>
      </c>
      <c r="Q2469" t="s">
        <v>40</v>
      </c>
      <c r="S2469" t="s">
        <v>40</v>
      </c>
      <c r="V2469" t="s">
        <v>41</v>
      </c>
      <c r="W2469" t="s">
        <v>95</v>
      </c>
      <c r="X2469" t="str">
        <f>"7541005"</f>
        <v>7541005</v>
      </c>
      <c r="Y2469" t="s">
        <v>908</v>
      </c>
      <c r="Z2469" t="s">
        <v>877</v>
      </c>
      <c r="AA2469" t="s">
        <v>878</v>
      </c>
      <c r="AB2469" t="s">
        <v>131</v>
      </c>
      <c r="AC2469" t="s">
        <v>51</v>
      </c>
      <c r="AD2469" t="s">
        <v>45</v>
      </c>
      <c r="AE2469" s="1">
        <v>27812</v>
      </c>
      <c r="AF2469">
        <v>1</v>
      </c>
      <c r="AG2469" t="s">
        <v>878</v>
      </c>
      <c r="AH2469" s="36">
        <f t="shared" si="38"/>
        <v>43.458333333333336</v>
      </c>
      <c r="AI2469" s="41" t="s">
        <v>1779</v>
      </c>
    </row>
    <row r="2470" spans="1:35" x14ac:dyDescent="0.25">
      <c r="A2470" s="36">
        <v>99912468</v>
      </c>
      <c r="B2470" s="17" t="s">
        <v>32</v>
      </c>
      <c r="C2470" t="s">
        <v>52</v>
      </c>
      <c r="D2470" t="s">
        <v>53</v>
      </c>
      <c r="G2470" s="17" t="s">
        <v>35</v>
      </c>
      <c r="H2470" s="17">
        <v>1</v>
      </c>
      <c r="I2470" t="s">
        <v>311</v>
      </c>
      <c r="J2470" s="1">
        <v>43344</v>
      </c>
      <c r="K2470" t="s">
        <v>300</v>
      </c>
      <c r="L2470" t="s">
        <v>301</v>
      </c>
      <c r="M2470" t="s">
        <v>131</v>
      </c>
      <c r="N2470">
        <v>10</v>
      </c>
      <c r="O2470" t="s">
        <v>40</v>
      </c>
      <c r="P2470" t="s">
        <v>40</v>
      </c>
      <c r="Q2470" t="s">
        <v>40</v>
      </c>
      <c r="S2470" t="s">
        <v>40</v>
      </c>
      <c r="U2470" s="1">
        <v>43344</v>
      </c>
      <c r="V2470" t="s">
        <v>41</v>
      </c>
      <c r="W2470" t="s">
        <v>49</v>
      </c>
      <c r="X2470" t="str">
        <f>"0560020"</f>
        <v>0560020</v>
      </c>
      <c r="Y2470" t="s">
        <v>302</v>
      </c>
      <c r="Z2470" t="s">
        <v>300</v>
      </c>
      <c r="AA2470" t="s">
        <v>301</v>
      </c>
      <c r="AB2470" t="s">
        <v>131</v>
      </c>
      <c r="AC2470" t="s">
        <v>44</v>
      </c>
      <c r="AD2470" t="s">
        <v>45</v>
      </c>
      <c r="AE2470" s="1">
        <v>27811</v>
      </c>
      <c r="AF2470">
        <v>2</v>
      </c>
      <c r="AG2470" t="s">
        <v>301</v>
      </c>
      <c r="AH2470" s="36">
        <f t="shared" si="38"/>
        <v>43.461111111111109</v>
      </c>
      <c r="AI2470" s="41" t="s">
        <v>1779</v>
      </c>
    </row>
    <row r="2471" spans="1:35" x14ac:dyDescent="0.25">
      <c r="A2471" s="36">
        <v>99912469</v>
      </c>
      <c r="B2471" s="17" t="s">
        <v>32</v>
      </c>
      <c r="C2471" t="s">
        <v>46</v>
      </c>
      <c r="D2471" t="s">
        <v>47</v>
      </c>
      <c r="G2471" s="17" t="s">
        <v>48</v>
      </c>
      <c r="H2471" s="17">
        <v>1</v>
      </c>
      <c r="K2471" t="s">
        <v>1128</v>
      </c>
      <c r="L2471" t="s">
        <v>1129</v>
      </c>
      <c r="M2471" t="s">
        <v>1130</v>
      </c>
      <c r="N2471">
        <v>20</v>
      </c>
      <c r="O2471" t="s">
        <v>40</v>
      </c>
      <c r="P2471" t="s">
        <v>40</v>
      </c>
      <c r="Q2471" t="s">
        <v>40</v>
      </c>
      <c r="R2471" t="s">
        <v>40</v>
      </c>
      <c r="S2471" t="s">
        <v>40</v>
      </c>
      <c r="V2471" t="s">
        <v>41</v>
      </c>
      <c r="W2471" t="s">
        <v>49</v>
      </c>
      <c r="X2471" t="str">
        <f>"3181010"</f>
        <v>3181010</v>
      </c>
      <c r="Y2471" t="s">
        <v>1134</v>
      </c>
      <c r="Z2471" t="s">
        <v>1128</v>
      </c>
      <c r="AA2471" t="s">
        <v>1129</v>
      </c>
      <c r="AB2471" t="s">
        <v>1130</v>
      </c>
      <c r="AC2471" t="s">
        <v>165</v>
      </c>
      <c r="AD2471" t="s">
        <v>45</v>
      </c>
      <c r="AE2471" s="1">
        <v>27809</v>
      </c>
      <c r="AF2471">
        <v>2</v>
      </c>
      <c r="AG2471" t="s">
        <v>1129</v>
      </c>
      <c r="AH2471" s="36">
        <f t="shared" si="38"/>
        <v>43.466666666666669</v>
      </c>
      <c r="AI2471" s="41" t="s">
        <v>1779</v>
      </c>
    </row>
    <row r="2472" spans="1:35" x14ac:dyDescent="0.25">
      <c r="A2472" s="36">
        <v>99912470</v>
      </c>
      <c r="B2472" s="17" t="s">
        <v>32</v>
      </c>
      <c r="C2472" t="s">
        <v>139</v>
      </c>
      <c r="D2472" t="s">
        <v>140</v>
      </c>
      <c r="G2472" s="17" t="s">
        <v>35</v>
      </c>
      <c r="H2472" s="17">
        <v>1</v>
      </c>
      <c r="I2472" t="s">
        <v>608</v>
      </c>
      <c r="J2472" s="1">
        <v>43344</v>
      </c>
      <c r="K2472" t="s">
        <v>268</v>
      </c>
      <c r="L2472" t="s">
        <v>269</v>
      </c>
      <c r="M2472" t="s">
        <v>131</v>
      </c>
      <c r="N2472">
        <v>10</v>
      </c>
      <c r="O2472" t="s">
        <v>40</v>
      </c>
      <c r="S2472" t="s">
        <v>40</v>
      </c>
      <c r="U2472" s="1">
        <v>43344</v>
      </c>
      <c r="V2472" t="s">
        <v>41</v>
      </c>
      <c r="W2472" t="s">
        <v>75</v>
      </c>
      <c r="X2472" t="str">
        <f>"7052020"</f>
        <v>7052020</v>
      </c>
      <c r="Y2472" t="s">
        <v>267</v>
      </c>
      <c r="Z2472" t="s">
        <v>268</v>
      </c>
      <c r="AA2472" t="s">
        <v>269</v>
      </c>
      <c r="AB2472" t="s">
        <v>131</v>
      </c>
      <c r="AC2472" t="s">
        <v>51</v>
      </c>
      <c r="AD2472" t="s">
        <v>45</v>
      </c>
      <c r="AE2472" s="1">
        <v>27808</v>
      </c>
      <c r="AF2472">
        <v>1</v>
      </c>
      <c r="AG2472" t="s">
        <v>269</v>
      </c>
      <c r="AH2472" s="36">
        <f t="shared" si="38"/>
        <v>43.469444444444441</v>
      </c>
      <c r="AI2472" s="41" t="s">
        <v>1779</v>
      </c>
    </row>
    <row r="2473" spans="1:35" x14ac:dyDescent="0.25">
      <c r="A2473" s="36">
        <v>99912471</v>
      </c>
      <c r="B2473" s="17" t="s">
        <v>56</v>
      </c>
      <c r="C2473" t="s">
        <v>82</v>
      </c>
      <c r="D2473" t="s">
        <v>83</v>
      </c>
      <c r="G2473" s="17" t="s">
        <v>35</v>
      </c>
      <c r="H2473" s="17">
        <v>1</v>
      </c>
      <c r="K2473" t="s">
        <v>1268</v>
      </c>
      <c r="L2473" t="s">
        <v>1269</v>
      </c>
      <c r="M2473" t="s">
        <v>1270</v>
      </c>
      <c r="N2473">
        <v>21</v>
      </c>
      <c r="O2473" t="s">
        <v>40</v>
      </c>
      <c r="P2473" t="s">
        <v>40</v>
      </c>
      <c r="Q2473" t="s">
        <v>40</v>
      </c>
      <c r="S2473" t="s">
        <v>40</v>
      </c>
      <c r="V2473" t="s">
        <v>41</v>
      </c>
      <c r="W2473" t="s">
        <v>42</v>
      </c>
      <c r="X2473" t="str">
        <f>"1990914"</f>
        <v>1990914</v>
      </c>
      <c r="Y2473" t="s">
        <v>1275</v>
      </c>
      <c r="Z2473" t="s">
        <v>1268</v>
      </c>
      <c r="AA2473" t="s">
        <v>1269</v>
      </c>
      <c r="AB2473" t="s">
        <v>1270</v>
      </c>
      <c r="AC2473" t="s">
        <v>51</v>
      </c>
      <c r="AD2473" t="s">
        <v>45</v>
      </c>
      <c r="AE2473" s="1">
        <v>27808</v>
      </c>
      <c r="AF2473">
        <v>2</v>
      </c>
      <c r="AG2473" t="s">
        <v>1269</v>
      </c>
      <c r="AH2473" s="36">
        <f t="shared" si="38"/>
        <v>43.469444444444441</v>
      </c>
      <c r="AI2473" s="41" t="s">
        <v>1779</v>
      </c>
    </row>
    <row r="2474" spans="1:35" x14ac:dyDescent="0.25">
      <c r="A2474" s="36">
        <v>99912472</v>
      </c>
      <c r="B2474" s="17" t="s">
        <v>56</v>
      </c>
      <c r="C2474" t="s">
        <v>52</v>
      </c>
      <c r="D2474" t="s">
        <v>53</v>
      </c>
      <c r="G2474" s="17" t="s">
        <v>48</v>
      </c>
      <c r="H2474" s="17">
        <v>1</v>
      </c>
      <c r="K2474" t="s">
        <v>1613</v>
      </c>
      <c r="L2474" t="s">
        <v>1614</v>
      </c>
      <c r="M2474" t="s">
        <v>1592</v>
      </c>
      <c r="N2474">
        <v>21</v>
      </c>
      <c r="O2474" t="s">
        <v>40</v>
      </c>
      <c r="P2474" t="s">
        <v>40</v>
      </c>
      <c r="Q2474" t="s">
        <v>40</v>
      </c>
      <c r="R2474" t="s">
        <v>40</v>
      </c>
      <c r="S2474" t="s">
        <v>40</v>
      </c>
      <c r="V2474" t="s">
        <v>41</v>
      </c>
      <c r="W2474" t="s">
        <v>49</v>
      </c>
      <c r="X2474" t="str">
        <f>"2860001"</f>
        <v>2860001</v>
      </c>
      <c r="Y2474" t="s">
        <v>1616</v>
      </c>
      <c r="Z2474" t="s">
        <v>1613</v>
      </c>
      <c r="AA2474" t="s">
        <v>1614</v>
      </c>
      <c r="AB2474" t="s">
        <v>1592</v>
      </c>
      <c r="AC2474" t="s">
        <v>51</v>
      </c>
      <c r="AD2474" t="s">
        <v>45</v>
      </c>
      <c r="AE2474" s="1">
        <v>27808</v>
      </c>
      <c r="AF2474">
        <v>2</v>
      </c>
      <c r="AG2474" t="s">
        <v>1614</v>
      </c>
      <c r="AH2474" s="36">
        <f t="shared" si="38"/>
        <v>43.469444444444441</v>
      </c>
      <c r="AI2474" s="41" t="s">
        <v>1779</v>
      </c>
    </row>
    <row r="2475" spans="1:35" x14ac:dyDescent="0.25">
      <c r="A2475" s="36">
        <v>99912473</v>
      </c>
      <c r="B2475" s="17" t="s">
        <v>32</v>
      </c>
      <c r="C2475" t="s">
        <v>46</v>
      </c>
      <c r="D2475" t="s">
        <v>47</v>
      </c>
      <c r="G2475" s="17" t="s">
        <v>48</v>
      </c>
      <c r="H2475" s="17">
        <v>1</v>
      </c>
      <c r="K2475" t="s">
        <v>129</v>
      </c>
      <c r="L2475" t="s">
        <v>130</v>
      </c>
      <c r="M2475" t="s">
        <v>131</v>
      </c>
      <c r="N2475">
        <v>20</v>
      </c>
      <c r="O2475" t="s">
        <v>40</v>
      </c>
      <c r="P2475" t="s">
        <v>40</v>
      </c>
      <c r="Q2475" t="s">
        <v>40</v>
      </c>
      <c r="R2475" t="s">
        <v>40</v>
      </c>
      <c r="S2475" t="s">
        <v>40</v>
      </c>
      <c r="V2475" t="s">
        <v>41</v>
      </c>
      <c r="W2475" t="s">
        <v>49</v>
      </c>
      <c r="X2475" t="str">
        <f>"0591905"</f>
        <v>0591905</v>
      </c>
      <c r="Y2475" t="s">
        <v>135</v>
      </c>
      <c r="Z2475" t="s">
        <v>129</v>
      </c>
      <c r="AA2475" t="s">
        <v>130</v>
      </c>
      <c r="AB2475" t="s">
        <v>131</v>
      </c>
      <c r="AC2475" t="s">
        <v>51</v>
      </c>
      <c r="AD2475" t="s">
        <v>45</v>
      </c>
      <c r="AE2475" s="1">
        <v>27804</v>
      </c>
      <c r="AF2475">
        <v>2</v>
      </c>
      <c r="AG2475" t="s">
        <v>130</v>
      </c>
      <c r="AH2475" s="36">
        <f t="shared" si="38"/>
        <v>43.480555555555554</v>
      </c>
      <c r="AI2475" s="41" t="s">
        <v>1779</v>
      </c>
    </row>
    <row r="2476" spans="1:35" x14ac:dyDescent="0.25">
      <c r="A2476" s="36">
        <v>99912474</v>
      </c>
      <c r="B2476" s="17" t="s">
        <v>32</v>
      </c>
      <c r="C2476" t="s">
        <v>64</v>
      </c>
      <c r="D2476" t="s">
        <v>65</v>
      </c>
      <c r="G2476" s="17" t="s">
        <v>35</v>
      </c>
      <c r="H2476" s="17">
        <v>1</v>
      </c>
      <c r="I2476">
        <v>18253</v>
      </c>
      <c r="J2476" s="1">
        <v>43344</v>
      </c>
      <c r="K2476" t="s">
        <v>223</v>
      </c>
      <c r="L2476" t="s">
        <v>224</v>
      </c>
      <c r="M2476" t="s">
        <v>131</v>
      </c>
      <c r="N2476">
        <v>9</v>
      </c>
      <c r="O2476" t="s">
        <v>40</v>
      </c>
      <c r="P2476" t="s">
        <v>40</v>
      </c>
      <c r="Q2476" t="s">
        <v>40</v>
      </c>
      <c r="R2476" t="s">
        <v>40</v>
      </c>
      <c r="S2476" t="s">
        <v>40</v>
      </c>
      <c r="U2476" s="1">
        <v>43344</v>
      </c>
      <c r="V2476" t="s">
        <v>41</v>
      </c>
      <c r="W2476" t="s">
        <v>49</v>
      </c>
      <c r="X2476" t="str">
        <f>"0560008"</f>
        <v>0560008</v>
      </c>
      <c r="Y2476" t="s">
        <v>263</v>
      </c>
      <c r="Z2476" t="s">
        <v>223</v>
      </c>
      <c r="AA2476" t="s">
        <v>224</v>
      </c>
      <c r="AB2476" t="s">
        <v>131</v>
      </c>
      <c r="AC2476" t="s">
        <v>44</v>
      </c>
      <c r="AD2476" t="s">
        <v>45</v>
      </c>
      <c r="AE2476" s="1">
        <v>27803</v>
      </c>
      <c r="AF2476">
        <v>2</v>
      </c>
      <c r="AG2476" t="s">
        <v>224</v>
      </c>
      <c r="AH2476" s="36">
        <f t="shared" si="38"/>
        <v>43.483333333333334</v>
      </c>
      <c r="AI2476" s="41" t="s">
        <v>1779</v>
      </c>
    </row>
    <row r="2477" spans="1:35" x14ac:dyDescent="0.25">
      <c r="A2477" s="36">
        <v>99912475</v>
      </c>
      <c r="B2477" s="17" t="s">
        <v>32</v>
      </c>
      <c r="C2477" t="s">
        <v>64</v>
      </c>
      <c r="D2477" t="s">
        <v>65</v>
      </c>
      <c r="G2477" s="17" t="s">
        <v>35</v>
      </c>
      <c r="H2477" s="17">
        <v>1</v>
      </c>
      <c r="I2477" t="s">
        <v>570</v>
      </c>
      <c r="J2477" s="1">
        <v>43344</v>
      </c>
      <c r="K2477" t="s">
        <v>431</v>
      </c>
      <c r="L2477" t="s">
        <v>196</v>
      </c>
      <c r="M2477" t="s">
        <v>131</v>
      </c>
      <c r="N2477">
        <v>24</v>
      </c>
      <c r="O2477" t="s">
        <v>40</v>
      </c>
      <c r="P2477" t="s">
        <v>40</v>
      </c>
      <c r="Q2477" t="s">
        <v>40</v>
      </c>
      <c r="R2477" t="s">
        <v>40</v>
      </c>
      <c r="S2477" t="s">
        <v>40</v>
      </c>
      <c r="U2477" s="1">
        <v>43344</v>
      </c>
      <c r="V2477" t="s">
        <v>41</v>
      </c>
      <c r="W2477" t="s">
        <v>75</v>
      </c>
      <c r="X2477" t="str">
        <f>"7521030"</f>
        <v>7521030</v>
      </c>
      <c r="Y2477" t="s">
        <v>571</v>
      </c>
      <c r="Z2477" t="s">
        <v>431</v>
      </c>
      <c r="AA2477" t="s">
        <v>196</v>
      </c>
      <c r="AB2477" t="s">
        <v>131</v>
      </c>
      <c r="AC2477" t="s">
        <v>51</v>
      </c>
      <c r="AD2477" t="s">
        <v>45</v>
      </c>
      <c r="AE2477" s="1">
        <v>27803</v>
      </c>
      <c r="AF2477">
        <v>1</v>
      </c>
      <c r="AG2477" t="s">
        <v>196</v>
      </c>
      <c r="AH2477" s="36">
        <f t="shared" si="38"/>
        <v>43.483333333333334</v>
      </c>
      <c r="AI2477" s="41" t="s">
        <v>1779</v>
      </c>
    </row>
    <row r="2478" spans="1:35" x14ac:dyDescent="0.25">
      <c r="A2478" s="36">
        <v>99912476</v>
      </c>
      <c r="B2478" s="17" t="s">
        <v>32</v>
      </c>
      <c r="C2478" t="s">
        <v>90</v>
      </c>
      <c r="D2478" t="s">
        <v>91</v>
      </c>
      <c r="G2478" s="17" t="s">
        <v>88</v>
      </c>
      <c r="H2478" s="17">
        <v>3</v>
      </c>
      <c r="K2478" t="s">
        <v>354</v>
      </c>
      <c r="L2478" t="s">
        <v>355</v>
      </c>
      <c r="M2478" t="s">
        <v>131</v>
      </c>
      <c r="N2478">
        <v>25</v>
      </c>
      <c r="O2478" t="s">
        <v>40</v>
      </c>
      <c r="P2478" t="s">
        <v>40</v>
      </c>
      <c r="Q2478" t="s">
        <v>40</v>
      </c>
      <c r="R2478" t="s">
        <v>40</v>
      </c>
      <c r="S2478" t="s">
        <v>40</v>
      </c>
      <c r="V2478" t="s">
        <v>41</v>
      </c>
      <c r="W2478" t="s">
        <v>95</v>
      </c>
      <c r="X2478" t="str">
        <f>"7054151"</f>
        <v>7054151</v>
      </c>
      <c r="Y2478" t="s">
        <v>796</v>
      </c>
      <c r="Z2478" t="s">
        <v>354</v>
      </c>
      <c r="AA2478" t="s">
        <v>355</v>
      </c>
      <c r="AB2478" t="s">
        <v>131</v>
      </c>
      <c r="AC2478" t="s">
        <v>51</v>
      </c>
      <c r="AD2478" t="s">
        <v>45</v>
      </c>
      <c r="AE2478" s="1">
        <v>27803</v>
      </c>
      <c r="AF2478">
        <v>1</v>
      </c>
      <c r="AG2478" t="s">
        <v>355</v>
      </c>
      <c r="AH2478" s="36">
        <f t="shared" si="38"/>
        <v>43.483333333333334</v>
      </c>
      <c r="AI2478" s="41" t="s">
        <v>1779</v>
      </c>
    </row>
    <row r="2479" spans="1:35" x14ac:dyDescent="0.25">
      <c r="A2479" s="36">
        <v>99912477</v>
      </c>
      <c r="B2479" s="17" t="s">
        <v>56</v>
      </c>
      <c r="C2479" t="s">
        <v>52</v>
      </c>
      <c r="D2479" t="s">
        <v>53</v>
      </c>
      <c r="G2479" s="17" t="s">
        <v>35</v>
      </c>
      <c r="H2479" s="17">
        <v>1</v>
      </c>
      <c r="K2479" t="s">
        <v>1268</v>
      </c>
      <c r="L2479" t="s">
        <v>1269</v>
      </c>
      <c r="M2479" t="s">
        <v>1270</v>
      </c>
      <c r="N2479">
        <v>21</v>
      </c>
      <c r="O2479" t="s">
        <v>40</v>
      </c>
      <c r="P2479" t="s">
        <v>40</v>
      </c>
      <c r="Q2479" t="s">
        <v>40</v>
      </c>
      <c r="R2479" t="s">
        <v>40</v>
      </c>
      <c r="S2479" t="s">
        <v>40</v>
      </c>
      <c r="V2479" t="s">
        <v>41</v>
      </c>
      <c r="W2479" t="s">
        <v>42</v>
      </c>
      <c r="X2479" t="str">
        <f>"1990001"</f>
        <v>1990001</v>
      </c>
      <c r="Y2479" t="s">
        <v>1294</v>
      </c>
      <c r="Z2479" t="s">
        <v>1268</v>
      </c>
      <c r="AA2479" t="s">
        <v>1269</v>
      </c>
      <c r="AB2479" t="s">
        <v>1270</v>
      </c>
      <c r="AC2479" t="s">
        <v>51</v>
      </c>
      <c r="AD2479" t="s">
        <v>45</v>
      </c>
      <c r="AE2479" s="1">
        <v>27802</v>
      </c>
      <c r="AF2479">
        <v>2</v>
      </c>
      <c r="AG2479" t="s">
        <v>1269</v>
      </c>
      <c r="AH2479" s="36">
        <f t="shared" si="38"/>
        <v>43.486111111111114</v>
      </c>
      <c r="AI2479" s="41" t="s">
        <v>1779</v>
      </c>
    </row>
    <row r="2480" spans="1:35" x14ac:dyDescent="0.25">
      <c r="A2480" s="36">
        <v>99912478</v>
      </c>
      <c r="B2480" s="17" t="s">
        <v>32</v>
      </c>
      <c r="C2480" t="s">
        <v>46</v>
      </c>
      <c r="D2480" t="s">
        <v>47</v>
      </c>
      <c r="G2480" s="17" t="s">
        <v>48</v>
      </c>
      <c r="H2480" s="17">
        <v>1</v>
      </c>
      <c r="K2480" t="s">
        <v>223</v>
      </c>
      <c r="L2480" t="s">
        <v>224</v>
      </c>
      <c r="M2480" t="s">
        <v>131</v>
      </c>
      <c r="N2480">
        <v>21</v>
      </c>
      <c r="O2480" t="s">
        <v>40</v>
      </c>
      <c r="P2480" t="s">
        <v>40</v>
      </c>
      <c r="Q2480" t="s">
        <v>40</v>
      </c>
      <c r="R2480" t="s">
        <v>40</v>
      </c>
      <c r="S2480" t="s">
        <v>40</v>
      </c>
      <c r="V2480" t="s">
        <v>41</v>
      </c>
      <c r="W2480" t="s">
        <v>42</v>
      </c>
      <c r="X2480" t="str">
        <f>"0580200"</f>
        <v>0580200</v>
      </c>
      <c r="Y2480" t="s">
        <v>245</v>
      </c>
      <c r="Z2480" t="s">
        <v>223</v>
      </c>
      <c r="AA2480" t="s">
        <v>224</v>
      </c>
      <c r="AB2480" t="s">
        <v>131</v>
      </c>
      <c r="AC2480" t="s">
        <v>51</v>
      </c>
      <c r="AD2480" t="s">
        <v>45</v>
      </c>
      <c r="AE2480" s="1">
        <v>27796</v>
      </c>
      <c r="AF2480">
        <v>2</v>
      </c>
      <c r="AG2480" t="s">
        <v>224</v>
      </c>
      <c r="AH2480" s="36">
        <f t="shared" si="38"/>
        <v>43.50277777777778</v>
      </c>
      <c r="AI2480" s="41" t="s">
        <v>1779</v>
      </c>
    </row>
    <row r="2481" spans="1:35" x14ac:dyDescent="0.25">
      <c r="A2481" s="36">
        <v>99912479</v>
      </c>
      <c r="B2481" s="17" t="s">
        <v>32</v>
      </c>
      <c r="C2481" t="s">
        <v>64</v>
      </c>
      <c r="D2481" t="s">
        <v>65</v>
      </c>
      <c r="G2481" s="17" t="s">
        <v>48</v>
      </c>
      <c r="H2481" s="17">
        <v>1</v>
      </c>
      <c r="K2481" t="s">
        <v>300</v>
      </c>
      <c r="L2481" t="s">
        <v>301</v>
      </c>
      <c r="M2481" t="s">
        <v>131</v>
      </c>
      <c r="N2481">
        <v>19</v>
      </c>
      <c r="O2481" t="s">
        <v>40</v>
      </c>
      <c r="P2481" t="s">
        <v>40</v>
      </c>
      <c r="Q2481" t="s">
        <v>40</v>
      </c>
      <c r="R2481" t="s">
        <v>40</v>
      </c>
      <c r="S2481" t="s">
        <v>40</v>
      </c>
      <c r="V2481" t="s">
        <v>41</v>
      </c>
      <c r="W2481" t="s">
        <v>49</v>
      </c>
      <c r="X2481" t="str">
        <f>"0560020"</f>
        <v>0560020</v>
      </c>
      <c r="Y2481" t="s">
        <v>302</v>
      </c>
      <c r="Z2481" t="s">
        <v>300</v>
      </c>
      <c r="AA2481" t="s">
        <v>301</v>
      </c>
      <c r="AB2481" t="s">
        <v>131</v>
      </c>
      <c r="AC2481" t="s">
        <v>51</v>
      </c>
      <c r="AD2481" t="s">
        <v>45</v>
      </c>
      <c r="AE2481" s="1">
        <v>27796</v>
      </c>
      <c r="AF2481">
        <v>2</v>
      </c>
      <c r="AG2481" t="s">
        <v>301</v>
      </c>
      <c r="AH2481" s="36">
        <f t="shared" si="38"/>
        <v>43.50277777777778</v>
      </c>
      <c r="AI2481" s="41" t="s">
        <v>1779</v>
      </c>
    </row>
    <row r="2482" spans="1:35" x14ac:dyDescent="0.25">
      <c r="A2482" s="36">
        <v>99912480</v>
      </c>
      <c r="B2482" s="17" t="s">
        <v>32</v>
      </c>
      <c r="C2482" t="s">
        <v>46</v>
      </c>
      <c r="D2482" t="s">
        <v>47</v>
      </c>
      <c r="G2482" s="17" t="s">
        <v>48</v>
      </c>
      <c r="H2482" s="17">
        <v>1</v>
      </c>
      <c r="K2482" t="s">
        <v>157</v>
      </c>
      <c r="L2482" t="s">
        <v>158</v>
      </c>
      <c r="M2482" t="s">
        <v>131</v>
      </c>
      <c r="N2482">
        <v>16</v>
      </c>
      <c r="O2482" t="s">
        <v>40</v>
      </c>
      <c r="P2482" t="s">
        <v>40</v>
      </c>
      <c r="Q2482" t="s">
        <v>40</v>
      </c>
      <c r="S2482" t="s">
        <v>40</v>
      </c>
      <c r="V2482" t="s">
        <v>41</v>
      </c>
      <c r="W2482" t="s">
        <v>42</v>
      </c>
      <c r="X2482" t="str">
        <f>"0580735"</f>
        <v>0580735</v>
      </c>
      <c r="Y2482" t="s">
        <v>180</v>
      </c>
      <c r="Z2482" t="s">
        <v>157</v>
      </c>
      <c r="AA2482" t="s">
        <v>158</v>
      </c>
      <c r="AB2482" t="s">
        <v>131</v>
      </c>
      <c r="AC2482" t="s">
        <v>51</v>
      </c>
      <c r="AD2482" t="s">
        <v>45</v>
      </c>
      <c r="AE2482" s="1">
        <v>27794</v>
      </c>
      <c r="AF2482">
        <v>2</v>
      </c>
      <c r="AG2482" t="s">
        <v>158</v>
      </c>
      <c r="AH2482" s="36">
        <f t="shared" si="38"/>
        <v>43.508333333333333</v>
      </c>
      <c r="AI2482" s="41" t="s">
        <v>1779</v>
      </c>
    </row>
    <row r="2483" spans="1:35" x14ac:dyDescent="0.25">
      <c r="A2483" s="36">
        <v>99912481</v>
      </c>
      <c r="B2483" s="17" t="s">
        <v>32</v>
      </c>
      <c r="C2483" t="s">
        <v>46</v>
      </c>
      <c r="D2483" t="s">
        <v>47</v>
      </c>
      <c r="G2483" s="17" t="s">
        <v>35</v>
      </c>
      <c r="H2483" s="17">
        <v>1</v>
      </c>
      <c r="K2483" t="s">
        <v>162</v>
      </c>
      <c r="L2483" t="s">
        <v>158</v>
      </c>
      <c r="M2483" t="s">
        <v>131</v>
      </c>
      <c r="N2483">
        <v>20</v>
      </c>
      <c r="O2483" t="s">
        <v>40</v>
      </c>
      <c r="P2483" t="s">
        <v>40</v>
      </c>
      <c r="Q2483" t="s">
        <v>40</v>
      </c>
      <c r="R2483" t="s">
        <v>40</v>
      </c>
      <c r="S2483" t="s">
        <v>40</v>
      </c>
      <c r="V2483" t="s">
        <v>41</v>
      </c>
      <c r="W2483" t="s">
        <v>49</v>
      </c>
      <c r="X2483" t="str">
        <f>"0505050"</f>
        <v>0505050</v>
      </c>
      <c r="Y2483" t="s">
        <v>163</v>
      </c>
      <c r="Z2483" t="s">
        <v>162</v>
      </c>
      <c r="AA2483" t="s">
        <v>158</v>
      </c>
      <c r="AB2483" t="s">
        <v>131</v>
      </c>
      <c r="AC2483" t="s">
        <v>165</v>
      </c>
      <c r="AD2483" t="s">
        <v>45</v>
      </c>
      <c r="AE2483" s="1">
        <v>27791</v>
      </c>
      <c r="AF2483">
        <v>2</v>
      </c>
      <c r="AG2483" t="s">
        <v>158</v>
      </c>
      <c r="AH2483" s="36">
        <f t="shared" si="38"/>
        <v>43.516666666666666</v>
      </c>
      <c r="AI2483" s="41" t="s">
        <v>1779</v>
      </c>
    </row>
    <row r="2484" spans="1:35" x14ac:dyDescent="0.25">
      <c r="A2484" s="36">
        <v>99912482</v>
      </c>
      <c r="B2484" s="17" t="s">
        <v>32</v>
      </c>
      <c r="C2484" t="s">
        <v>141</v>
      </c>
      <c r="D2484" t="s">
        <v>142</v>
      </c>
      <c r="G2484" s="17" t="s">
        <v>35</v>
      </c>
      <c r="H2484" s="17">
        <v>1</v>
      </c>
      <c r="K2484" t="s">
        <v>154</v>
      </c>
      <c r="L2484" t="s">
        <v>155</v>
      </c>
      <c r="M2484" t="s">
        <v>131</v>
      </c>
      <c r="N2484">
        <v>21</v>
      </c>
      <c r="O2484" t="s">
        <v>40</v>
      </c>
      <c r="P2484" t="s">
        <v>40</v>
      </c>
      <c r="Q2484" t="s">
        <v>40</v>
      </c>
      <c r="S2484" t="s">
        <v>40</v>
      </c>
      <c r="V2484" t="s">
        <v>41</v>
      </c>
      <c r="W2484" t="s">
        <v>75</v>
      </c>
      <c r="X2484" t="str">
        <f>"7700026"</f>
        <v>7700026</v>
      </c>
      <c r="Y2484" t="s">
        <v>397</v>
      </c>
      <c r="Z2484" t="s">
        <v>154</v>
      </c>
      <c r="AA2484" t="s">
        <v>155</v>
      </c>
      <c r="AB2484" t="s">
        <v>131</v>
      </c>
      <c r="AC2484" t="s">
        <v>51</v>
      </c>
      <c r="AD2484" t="s">
        <v>45</v>
      </c>
      <c r="AE2484" s="1">
        <v>27791</v>
      </c>
      <c r="AF2484">
        <v>1</v>
      </c>
      <c r="AG2484" t="s">
        <v>155</v>
      </c>
      <c r="AH2484" s="36">
        <f t="shared" si="38"/>
        <v>43.516666666666666</v>
      </c>
      <c r="AI2484" s="41" t="s">
        <v>1779</v>
      </c>
    </row>
    <row r="2485" spans="1:35" x14ac:dyDescent="0.25">
      <c r="A2485" s="36">
        <v>99912483</v>
      </c>
      <c r="B2485" s="17" t="s">
        <v>32</v>
      </c>
      <c r="C2485" t="s">
        <v>46</v>
      </c>
      <c r="D2485" t="s">
        <v>47</v>
      </c>
      <c r="G2485" s="17" t="s">
        <v>48</v>
      </c>
      <c r="H2485" s="17">
        <v>1</v>
      </c>
      <c r="K2485" t="s">
        <v>162</v>
      </c>
      <c r="L2485" t="s">
        <v>158</v>
      </c>
      <c r="M2485" t="s">
        <v>131</v>
      </c>
      <c r="N2485">
        <v>18</v>
      </c>
      <c r="O2485" t="s">
        <v>40</v>
      </c>
      <c r="P2485" t="s">
        <v>40</v>
      </c>
      <c r="Q2485" t="s">
        <v>40</v>
      </c>
      <c r="S2485" t="s">
        <v>40</v>
      </c>
      <c r="V2485" t="s">
        <v>41</v>
      </c>
      <c r="W2485" t="s">
        <v>49</v>
      </c>
      <c r="X2485" t="str">
        <f>"0560027"</f>
        <v>0560027</v>
      </c>
      <c r="Y2485" t="s">
        <v>178</v>
      </c>
      <c r="Z2485" t="s">
        <v>162</v>
      </c>
      <c r="AA2485" t="s">
        <v>158</v>
      </c>
      <c r="AB2485" t="s">
        <v>131</v>
      </c>
      <c r="AC2485" t="s">
        <v>51</v>
      </c>
      <c r="AD2485" t="s">
        <v>45</v>
      </c>
      <c r="AE2485" s="1">
        <v>27771</v>
      </c>
      <c r="AF2485">
        <v>2</v>
      </c>
      <c r="AG2485" t="s">
        <v>158</v>
      </c>
      <c r="AH2485" s="36">
        <f t="shared" si="38"/>
        <v>43.572222222222223</v>
      </c>
      <c r="AI2485" s="41" t="s">
        <v>1779</v>
      </c>
    </row>
    <row r="2486" spans="1:35" x14ac:dyDescent="0.25">
      <c r="A2486" s="36">
        <v>99912484</v>
      </c>
      <c r="B2486" s="17" t="s">
        <v>32</v>
      </c>
      <c r="C2486" t="s">
        <v>64</v>
      </c>
      <c r="D2486" t="s">
        <v>65</v>
      </c>
      <c r="G2486" s="17" t="s">
        <v>48</v>
      </c>
      <c r="H2486" s="17">
        <v>1</v>
      </c>
      <c r="K2486" t="s">
        <v>300</v>
      </c>
      <c r="L2486" t="s">
        <v>301</v>
      </c>
      <c r="M2486" t="s">
        <v>131</v>
      </c>
      <c r="N2486">
        <v>21</v>
      </c>
      <c r="O2486" t="s">
        <v>40</v>
      </c>
      <c r="P2486" t="s">
        <v>40</v>
      </c>
      <c r="Q2486" t="s">
        <v>40</v>
      </c>
      <c r="R2486" t="s">
        <v>40</v>
      </c>
      <c r="S2486" t="s">
        <v>40</v>
      </c>
      <c r="V2486" t="s">
        <v>41</v>
      </c>
      <c r="W2486" t="s">
        <v>49</v>
      </c>
      <c r="X2486" t="str">
        <f>"0560001"</f>
        <v>0560001</v>
      </c>
      <c r="Y2486" t="s">
        <v>304</v>
      </c>
      <c r="Z2486" t="s">
        <v>300</v>
      </c>
      <c r="AA2486" t="s">
        <v>301</v>
      </c>
      <c r="AB2486" t="s">
        <v>131</v>
      </c>
      <c r="AC2486" t="s">
        <v>51</v>
      </c>
      <c r="AD2486" t="s">
        <v>45</v>
      </c>
      <c r="AE2486" s="1">
        <v>27766</v>
      </c>
      <c r="AF2486">
        <v>2</v>
      </c>
      <c r="AG2486" t="s">
        <v>301</v>
      </c>
      <c r="AH2486" s="36">
        <f t="shared" si="38"/>
        <v>43.586111111111109</v>
      </c>
      <c r="AI2486" s="41" t="s">
        <v>1779</v>
      </c>
    </row>
    <row r="2487" spans="1:35" x14ac:dyDescent="0.25">
      <c r="A2487" s="36">
        <v>99912485</v>
      </c>
      <c r="B2487" s="17" t="s">
        <v>32</v>
      </c>
      <c r="C2487" t="s">
        <v>52</v>
      </c>
      <c r="D2487" t="s">
        <v>53</v>
      </c>
      <c r="G2487" s="17" t="s">
        <v>48</v>
      </c>
      <c r="H2487" s="17">
        <v>1</v>
      </c>
      <c r="K2487" t="s">
        <v>162</v>
      </c>
      <c r="L2487" t="s">
        <v>158</v>
      </c>
      <c r="M2487" t="s">
        <v>131</v>
      </c>
      <c r="N2487">
        <v>20</v>
      </c>
      <c r="O2487" t="s">
        <v>40</v>
      </c>
      <c r="P2487" t="s">
        <v>40</v>
      </c>
      <c r="Q2487" t="s">
        <v>40</v>
      </c>
      <c r="R2487" t="s">
        <v>40</v>
      </c>
      <c r="S2487" t="s">
        <v>40</v>
      </c>
      <c r="V2487" t="s">
        <v>41</v>
      </c>
      <c r="W2487" t="s">
        <v>49</v>
      </c>
      <c r="X2487" t="str">
        <f>"0581325"</f>
        <v>0581325</v>
      </c>
      <c r="Y2487" t="s">
        <v>169</v>
      </c>
      <c r="Z2487" t="s">
        <v>162</v>
      </c>
      <c r="AA2487" t="s">
        <v>158</v>
      </c>
      <c r="AB2487" t="s">
        <v>131</v>
      </c>
      <c r="AC2487" t="s">
        <v>51</v>
      </c>
      <c r="AD2487" t="s">
        <v>45</v>
      </c>
      <c r="AE2487" s="1">
        <v>27763</v>
      </c>
      <c r="AF2487">
        <v>2</v>
      </c>
      <c r="AG2487" t="s">
        <v>158</v>
      </c>
      <c r="AH2487" s="36">
        <f t="shared" si="38"/>
        <v>43.594444444444441</v>
      </c>
      <c r="AI2487" s="41" t="s">
        <v>1779</v>
      </c>
    </row>
    <row r="2488" spans="1:35" x14ac:dyDescent="0.25">
      <c r="A2488" s="36">
        <v>99912486</v>
      </c>
      <c r="B2488" s="17" t="s">
        <v>32</v>
      </c>
      <c r="C2488" t="s">
        <v>33</v>
      </c>
      <c r="D2488" t="s">
        <v>34</v>
      </c>
      <c r="G2488" s="17" t="s">
        <v>35</v>
      </c>
      <c r="H2488" s="17">
        <v>1</v>
      </c>
      <c r="K2488" t="s">
        <v>1268</v>
      </c>
      <c r="L2488" t="s">
        <v>1269</v>
      </c>
      <c r="M2488" t="s">
        <v>1270</v>
      </c>
      <c r="N2488">
        <v>5</v>
      </c>
      <c r="O2488" t="s">
        <v>40</v>
      </c>
      <c r="P2488" t="s">
        <v>40</v>
      </c>
      <c r="Q2488" t="s">
        <v>40</v>
      </c>
      <c r="R2488" t="s">
        <v>40</v>
      </c>
      <c r="S2488" t="s">
        <v>40</v>
      </c>
      <c r="V2488" t="s">
        <v>41</v>
      </c>
      <c r="W2488" t="s">
        <v>922</v>
      </c>
      <c r="X2488" t="str">
        <f>"1950001"</f>
        <v>1950001</v>
      </c>
      <c r="Y2488" t="s">
        <v>1284</v>
      </c>
      <c r="Z2488" t="s">
        <v>1268</v>
      </c>
      <c r="AA2488" t="s">
        <v>1269</v>
      </c>
      <c r="AB2488" t="s">
        <v>1270</v>
      </c>
      <c r="AC2488" t="s">
        <v>51</v>
      </c>
      <c r="AD2488" t="s">
        <v>45</v>
      </c>
      <c r="AE2488" s="1">
        <v>27761</v>
      </c>
      <c r="AF2488">
        <v>2</v>
      </c>
      <c r="AG2488" t="s">
        <v>1269</v>
      </c>
      <c r="AH2488" s="36">
        <f t="shared" si="38"/>
        <v>43.6</v>
      </c>
      <c r="AI2488" s="41" t="s">
        <v>1779</v>
      </c>
    </row>
    <row r="2489" spans="1:35" x14ac:dyDescent="0.25">
      <c r="A2489" s="36">
        <v>99912487</v>
      </c>
      <c r="B2489" s="17" t="s">
        <v>32</v>
      </c>
      <c r="C2489" t="s">
        <v>79</v>
      </c>
      <c r="D2489" t="s">
        <v>80</v>
      </c>
      <c r="G2489" s="17" t="s">
        <v>35</v>
      </c>
      <c r="H2489" s="17">
        <v>1</v>
      </c>
      <c r="I2489" t="s">
        <v>120</v>
      </c>
      <c r="J2489" s="1">
        <v>43369</v>
      </c>
      <c r="K2489" t="s">
        <v>77</v>
      </c>
      <c r="L2489" t="s">
        <v>78</v>
      </c>
      <c r="M2489" t="s">
        <v>39</v>
      </c>
      <c r="N2489">
        <v>16</v>
      </c>
      <c r="O2489" t="s">
        <v>40</v>
      </c>
      <c r="P2489" t="s">
        <v>40</v>
      </c>
      <c r="Q2489" t="s">
        <v>40</v>
      </c>
      <c r="R2489" t="s">
        <v>40</v>
      </c>
      <c r="S2489" t="s">
        <v>40</v>
      </c>
      <c r="U2489" s="1">
        <v>43369</v>
      </c>
      <c r="V2489" t="s">
        <v>41</v>
      </c>
      <c r="W2489" t="s">
        <v>75</v>
      </c>
      <c r="X2489" t="str">
        <f>"7371000"</f>
        <v>7371000</v>
      </c>
      <c r="Y2489" t="s">
        <v>76</v>
      </c>
      <c r="Z2489" t="s">
        <v>77</v>
      </c>
      <c r="AA2489" t="s">
        <v>78</v>
      </c>
      <c r="AB2489" t="s">
        <v>39</v>
      </c>
      <c r="AC2489" t="s">
        <v>44</v>
      </c>
      <c r="AD2489" t="s">
        <v>45</v>
      </c>
      <c r="AE2489" s="1">
        <v>27760</v>
      </c>
      <c r="AF2489">
        <v>1</v>
      </c>
      <c r="AG2489" t="s">
        <v>78</v>
      </c>
      <c r="AH2489" s="36">
        <f t="shared" si="38"/>
        <v>43.602777777777774</v>
      </c>
      <c r="AI2489" s="41" t="s">
        <v>1779</v>
      </c>
    </row>
    <row r="2490" spans="1:35" x14ac:dyDescent="0.25">
      <c r="A2490" s="36">
        <v>99912488</v>
      </c>
      <c r="B2490" s="17" t="s">
        <v>56</v>
      </c>
      <c r="C2490" t="s">
        <v>46</v>
      </c>
      <c r="D2490" t="s">
        <v>47</v>
      </c>
      <c r="G2490" s="17" t="s">
        <v>48</v>
      </c>
      <c r="H2490" s="17">
        <v>1</v>
      </c>
      <c r="K2490" t="s">
        <v>162</v>
      </c>
      <c r="L2490" t="s">
        <v>158</v>
      </c>
      <c r="M2490" t="s">
        <v>131</v>
      </c>
      <c r="N2490">
        <v>15</v>
      </c>
      <c r="O2490" t="s">
        <v>40</v>
      </c>
      <c r="P2490" t="s">
        <v>40</v>
      </c>
      <c r="Q2490" t="s">
        <v>40</v>
      </c>
      <c r="R2490" t="s">
        <v>40</v>
      </c>
      <c r="S2490" t="s">
        <v>40</v>
      </c>
      <c r="V2490" t="s">
        <v>41</v>
      </c>
      <c r="W2490" t="s">
        <v>42</v>
      </c>
      <c r="X2490" t="str">
        <f>"0580320"</f>
        <v>0580320</v>
      </c>
      <c r="Y2490" t="s">
        <v>164</v>
      </c>
      <c r="Z2490" t="s">
        <v>162</v>
      </c>
      <c r="AA2490" t="s">
        <v>158</v>
      </c>
      <c r="AB2490" t="s">
        <v>131</v>
      </c>
      <c r="AC2490" t="s">
        <v>165</v>
      </c>
      <c r="AD2490" t="s">
        <v>45</v>
      </c>
      <c r="AE2490" s="1">
        <v>27760</v>
      </c>
      <c r="AF2490">
        <v>2</v>
      </c>
      <c r="AG2490" t="s">
        <v>158</v>
      </c>
      <c r="AH2490" s="36">
        <f t="shared" si="38"/>
        <v>43.602777777777774</v>
      </c>
      <c r="AI2490" s="41" t="s">
        <v>1779</v>
      </c>
    </row>
    <row r="2491" spans="1:35" x14ac:dyDescent="0.25">
      <c r="A2491" s="36">
        <v>99912489</v>
      </c>
      <c r="B2491" s="17" t="s">
        <v>56</v>
      </c>
      <c r="C2491" t="s">
        <v>61</v>
      </c>
      <c r="D2491" t="s">
        <v>62</v>
      </c>
      <c r="G2491" s="17" t="s">
        <v>35</v>
      </c>
      <c r="H2491" s="17">
        <v>1</v>
      </c>
      <c r="K2491" t="s">
        <v>157</v>
      </c>
      <c r="L2491" t="s">
        <v>158</v>
      </c>
      <c r="M2491" t="s">
        <v>131</v>
      </c>
      <c r="N2491">
        <v>22</v>
      </c>
      <c r="O2491" t="s">
        <v>40</v>
      </c>
      <c r="P2491" t="s">
        <v>40</v>
      </c>
      <c r="Q2491" t="s">
        <v>40</v>
      </c>
      <c r="R2491" t="s">
        <v>40</v>
      </c>
      <c r="S2491" t="s">
        <v>40</v>
      </c>
      <c r="V2491" t="s">
        <v>41</v>
      </c>
      <c r="W2491" t="s">
        <v>49</v>
      </c>
      <c r="X2491" t="str">
        <f>"0580505"</f>
        <v>0580505</v>
      </c>
      <c r="Y2491" t="s">
        <v>168</v>
      </c>
      <c r="Z2491" t="s">
        <v>157</v>
      </c>
      <c r="AA2491" t="s">
        <v>158</v>
      </c>
      <c r="AB2491" t="s">
        <v>131</v>
      </c>
      <c r="AC2491" t="s">
        <v>51</v>
      </c>
      <c r="AD2491" t="s">
        <v>45</v>
      </c>
      <c r="AE2491" s="1">
        <v>27760</v>
      </c>
      <c r="AF2491">
        <v>2</v>
      </c>
      <c r="AG2491" t="s">
        <v>158</v>
      </c>
      <c r="AH2491" s="36">
        <f t="shared" si="38"/>
        <v>43.602777777777774</v>
      </c>
      <c r="AI2491" s="41" t="s">
        <v>1779</v>
      </c>
    </row>
    <row r="2492" spans="1:35" x14ac:dyDescent="0.25">
      <c r="A2492" s="36">
        <v>99912490</v>
      </c>
      <c r="B2492" s="17" t="s">
        <v>56</v>
      </c>
      <c r="C2492" t="s">
        <v>61</v>
      </c>
      <c r="D2492" t="s">
        <v>62</v>
      </c>
      <c r="G2492" s="17" t="s">
        <v>48</v>
      </c>
      <c r="H2492" s="17">
        <v>1</v>
      </c>
      <c r="K2492" t="s">
        <v>223</v>
      </c>
      <c r="L2492" t="s">
        <v>224</v>
      </c>
      <c r="M2492" t="s">
        <v>131</v>
      </c>
      <c r="N2492">
        <v>21</v>
      </c>
      <c r="O2492" t="s">
        <v>40</v>
      </c>
      <c r="P2492" t="s">
        <v>40</v>
      </c>
      <c r="Q2492" t="s">
        <v>40</v>
      </c>
      <c r="R2492" t="s">
        <v>40</v>
      </c>
      <c r="S2492" t="s">
        <v>40</v>
      </c>
      <c r="V2492" t="s">
        <v>41</v>
      </c>
      <c r="W2492" t="s">
        <v>49</v>
      </c>
      <c r="X2492" t="str">
        <f>"0581206"</f>
        <v>0581206</v>
      </c>
      <c r="Y2492" t="s">
        <v>232</v>
      </c>
      <c r="Z2492" t="s">
        <v>223</v>
      </c>
      <c r="AA2492" t="s">
        <v>224</v>
      </c>
      <c r="AB2492" t="s">
        <v>131</v>
      </c>
      <c r="AC2492" t="s">
        <v>51</v>
      </c>
      <c r="AD2492" t="s">
        <v>45</v>
      </c>
      <c r="AE2492" s="1">
        <v>27760</v>
      </c>
      <c r="AF2492">
        <v>2</v>
      </c>
      <c r="AG2492" t="s">
        <v>224</v>
      </c>
      <c r="AH2492" s="36">
        <f t="shared" si="38"/>
        <v>43.602777777777774</v>
      </c>
      <c r="AI2492" s="41" t="s">
        <v>1779</v>
      </c>
    </row>
    <row r="2493" spans="1:35" x14ac:dyDescent="0.25">
      <c r="A2493" s="36">
        <v>99912491</v>
      </c>
      <c r="B2493" s="17" t="s">
        <v>32</v>
      </c>
      <c r="C2493" t="s">
        <v>64</v>
      </c>
      <c r="D2493" t="s">
        <v>65</v>
      </c>
      <c r="G2493" s="17" t="s">
        <v>48</v>
      </c>
      <c r="H2493" s="17">
        <v>1</v>
      </c>
      <c r="K2493" t="s">
        <v>223</v>
      </c>
      <c r="L2493" t="s">
        <v>224</v>
      </c>
      <c r="M2493" t="s">
        <v>131</v>
      </c>
      <c r="N2493">
        <v>21</v>
      </c>
      <c r="O2493" t="s">
        <v>40</v>
      </c>
      <c r="P2493" t="s">
        <v>40</v>
      </c>
      <c r="Q2493" t="s">
        <v>40</v>
      </c>
      <c r="R2493" t="s">
        <v>40</v>
      </c>
      <c r="S2493" t="s">
        <v>40</v>
      </c>
      <c r="V2493" t="s">
        <v>41</v>
      </c>
      <c r="W2493" t="s">
        <v>49</v>
      </c>
      <c r="X2493" t="str">
        <f>"0581206"</f>
        <v>0581206</v>
      </c>
      <c r="Y2493" t="s">
        <v>232</v>
      </c>
      <c r="Z2493" t="s">
        <v>223</v>
      </c>
      <c r="AA2493" t="s">
        <v>224</v>
      </c>
      <c r="AB2493" t="s">
        <v>131</v>
      </c>
      <c r="AC2493" t="s">
        <v>51</v>
      </c>
      <c r="AD2493" t="s">
        <v>45</v>
      </c>
      <c r="AE2493" s="1">
        <v>27760</v>
      </c>
      <c r="AF2493">
        <v>2</v>
      </c>
      <c r="AG2493" t="s">
        <v>224</v>
      </c>
      <c r="AH2493" s="36">
        <f t="shared" si="38"/>
        <v>43.602777777777774</v>
      </c>
      <c r="AI2493" s="41" t="s">
        <v>1779</v>
      </c>
    </row>
    <row r="2494" spans="1:35" x14ac:dyDescent="0.25">
      <c r="A2494" s="36">
        <v>99912492</v>
      </c>
      <c r="B2494" s="17" t="s">
        <v>32</v>
      </c>
      <c r="C2494" t="s">
        <v>52</v>
      </c>
      <c r="D2494" t="s">
        <v>53</v>
      </c>
      <c r="G2494" s="17" t="s">
        <v>35</v>
      </c>
      <c r="H2494" s="17">
        <v>1</v>
      </c>
      <c r="I2494">
        <v>0</v>
      </c>
      <c r="J2494" s="1">
        <v>43344</v>
      </c>
      <c r="K2494" t="s">
        <v>223</v>
      </c>
      <c r="L2494" t="s">
        <v>224</v>
      </c>
      <c r="M2494" t="s">
        <v>131</v>
      </c>
      <c r="N2494">
        <v>18</v>
      </c>
      <c r="O2494" t="s">
        <v>40</v>
      </c>
      <c r="P2494" t="s">
        <v>40</v>
      </c>
      <c r="Q2494" t="s">
        <v>40</v>
      </c>
      <c r="R2494" t="s">
        <v>40</v>
      </c>
      <c r="S2494" t="s">
        <v>40</v>
      </c>
      <c r="U2494" s="1">
        <v>43344</v>
      </c>
      <c r="V2494" t="s">
        <v>41</v>
      </c>
      <c r="W2494" t="s">
        <v>42</v>
      </c>
      <c r="X2494" t="str">
        <f>"0590903"</f>
        <v>0590903</v>
      </c>
      <c r="Y2494" t="s">
        <v>226</v>
      </c>
      <c r="Z2494" t="s">
        <v>223</v>
      </c>
      <c r="AA2494" t="s">
        <v>224</v>
      </c>
      <c r="AB2494" t="s">
        <v>131</v>
      </c>
      <c r="AC2494" t="s">
        <v>44</v>
      </c>
      <c r="AD2494" t="s">
        <v>45</v>
      </c>
      <c r="AE2494" s="1">
        <v>27760</v>
      </c>
      <c r="AF2494">
        <v>2</v>
      </c>
      <c r="AG2494" t="s">
        <v>224</v>
      </c>
      <c r="AH2494" s="36">
        <f t="shared" si="38"/>
        <v>43.602777777777774</v>
      </c>
      <c r="AI2494" s="41" t="s">
        <v>1779</v>
      </c>
    </row>
    <row r="2495" spans="1:35" x14ac:dyDescent="0.25">
      <c r="A2495" s="36">
        <v>99912493</v>
      </c>
      <c r="B2495" s="17" t="s">
        <v>56</v>
      </c>
      <c r="C2495" t="s">
        <v>46</v>
      </c>
      <c r="D2495" t="s">
        <v>47</v>
      </c>
      <c r="G2495" s="17" t="s">
        <v>48</v>
      </c>
      <c r="H2495" s="17">
        <v>1</v>
      </c>
      <c r="K2495" t="s">
        <v>300</v>
      </c>
      <c r="L2495" t="s">
        <v>301</v>
      </c>
      <c r="M2495" t="s">
        <v>131</v>
      </c>
      <c r="N2495">
        <v>20</v>
      </c>
      <c r="O2495" t="s">
        <v>40</v>
      </c>
      <c r="P2495" t="s">
        <v>40</v>
      </c>
      <c r="Q2495" t="s">
        <v>40</v>
      </c>
      <c r="R2495" t="s">
        <v>40</v>
      </c>
      <c r="S2495" t="s">
        <v>40</v>
      </c>
      <c r="V2495" t="s">
        <v>41</v>
      </c>
      <c r="W2495" t="s">
        <v>49</v>
      </c>
      <c r="X2495" t="str">
        <f>"0560001"</f>
        <v>0560001</v>
      </c>
      <c r="Y2495" t="s">
        <v>304</v>
      </c>
      <c r="Z2495" t="s">
        <v>300</v>
      </c>
      <c r="AA2495" t="s">
        <v>301</v>
      </c>
      <c r="AB2495" t="s">
        <v>131</v>
      </c>
      <c r="AC2495" t="s">
        <v>51</v>
      </c>
      <c r="AD2495" t="s">
        <v>45</v>
      </c>
      <c r="AE2495" s="1">
        <v>27760</v>
      </c>
      <c r="AF2495">
        <v>2</v>
      </c>
      <c r="AG2495" t="s">
        <v>301</v>
      </c>
      <c r="AH2495" s="36">
        <f t="shared" si="38"/>
        <v>43.602777777777774</v>
      </c>
      <c r="AI2495" s="41" t="s">
        <v>1779</v>
      </c>
    </row>
    <row r="2496" spans="1:35" x14ac:dyDescent="0.25">
      <c r="A2496" s="36">
        <v>99912494</v>
      </c>
      <c r="B2496" s="17" t="s">
        <v>56</v>
      </c>
      <c r="C2496" t="s">
        <v>141</v>
      </c>
      <c r="D2496" t="s">
        <v>142</v>
      </c>
      <c r="G2496" s="17" t="s">
        <v>35</v>
      </c>
      <c r="H2496" s="17">
        <v>1</v>
      </c>
      <c r="I2496" t="s">
        <v>339</v>
      </c>
      <c r="J2496" s="1">
        <v>43427</v>
      </c>
      <c r="K2496" t="s">
        <v>300</v>
      </c>
      <c r="L2496" t="s">
        <v>301</v>
      </c>
      <c r="M2496" t="s">
        <v>131</v>
      </c>
      <c r="N2496">
        <v>3</v>
      </c>
      <c r="O2496" t="s">
        <v>40</v>
      </c>
      <c r="P2496" t="s">
        <v>40</v>
      </c>
      <c r="Q2496" t="s">
        <v>40</v>
      </c>
      <c r="R2496" t="s">
        <v>40</v>
      </c>
      <c r="S2496" t="s">
        <v>40</v>
      </c>
      <c r="U2496" s="1">
        <v>43427</v>
      </c>
      <c r="V2496" t="s">
        <v>41</v>
      </c>
      <c r="W2496" t="s">
        <v>49</v>
      </c>
      <c r="X2496" t="str">
        <f>"0560002"</f>
        <v>0560002</v>
      </c>
      <c r="Y2496" t="s">
        <v>315</v>
      </c>
      <c r="Z2496" t="s">
        <v>300</v>
      </c>
      <c r="AA2496" t="s">
        <v>301</v>
      </c>
      <c r="AB2496" t="s">
        <v>131</v>
      </c>
      <c r="AC2496" t="s">
        <v>44</v>
      </c>
      <c r="AD2496" t="s">
        <v>45</v>
      </c>
      <c r="AE2496" s="1">
        <v>27760</v>
      </c>
      <c r="AF2496">
        <v>2</v>
      </c>
      <c r="AG2496" t="s">
        <v>301</v>
      </c>
      <c r="AH2496" s="36">
        <f t="shared" si="38"/>
        <v>43.602777777777774</v>
      </c>
      <c r="AI2496" s="41" t="s">
        <v>1779</v>
      </c>
    </row>
    <row r="2497" spans="1:35" x14ac:dyDescent="0.25">
      <c r="A2497" s="36">
        <v>99912495</v>
      </c>
      <c r="B2497" s="17" t="s">
        <v>32</v>
      </c>
      <c r="C2497" t="s">
        <v>139</v>
      </c>
      <c r="D2497" t="s">
        <v>140</v>
      </c>
      <c r="G2497" s="17" t="s">
        <v>48</v>
      </c>
      <c r="H2497" s="17">
        <v>1</v>
      </c>
      <c r="K2497" t="s">
        <v>345</v>
      </c>
      <c r="L2497" t="s">
        <v>346</v>
      </c>
      <c r="M2497" t="s">
        <v>131</v>
      </c>
      <c r="N2497">
        <v>9</v>
      </c>
      <c r="O2497" t="s">
        <v>40</v>
      </c>
      <c r="P2497" t="s">
        <v>40</v>
      </c>
      <c r="Q2497" t="s">
        <v>40</v>
      </c>
      <c r="R2497" t="s">
        <v>40</v>
      </c>
      <c r="S2497" t="s">
        <v>40</v>
      </c>
      <c r="V2497" t="s">
        <v>41</v>
      </c>
      <c r="W2497" t="s">
        <v>49</v>
      </c>
      <c r="X2497" t="str">
        <f>"0581605"</f>
        <v>0581605</v>
      </c>
      <c r="Y2497" t="s">
        <v>366</v>
      </c>
      <c r="Z2497" t="s">
        <v>345</v>
      </c>
      <c r="AA2497" t="s">
        <v>346</v>
      </c>
      <c r="AB2497" t="s">
        <v>131</v>
      </c>
      <c r="AC2497" t="s">
        <v>51</v>
      </c>
      <c r="AD2497" t="s">
        <v>45</v>
      </c>
      <c r="AE2497" s="1">
        <v>27760</v>
      </c>
      <c r="AF2497">
        <v>2</v>
      </c>
      <c r="AG2497" t="s">
        <v>346</v>
      </c>
      <c r="AH2497" s="36">
        <f t="shared" si="38"/>
        <v>43.602777777777774</v>
      </c>
      <c r="AI2497" s="41" t="s">
        <v>1779</v>
      </c>
    </row>
    <row r="2498" spans="1:35" x14ac:dyDescent="0.25">
      <c r="A2498" s="36">
        <v>99912496</v>
      </c>
      <c r="B2498" s="17" t="s">
        <v>32</v>
      </c>
      <c r="C2498" t="s">
        <v>82</v>
      </c>
      <c r="D2498" t="s">
        <v>83</v>
      </c>
      <c r="G2498" s="17" t="s">
        <v>35</v>
      </c>
      <c r="H2498" s="17">
        <v>1</v>
      </c>
      <c r="I2498">
        <v>21123</v>
      </c>
      <c r="J2498" s="1">
        <v>43005</v>
      </c>
      <c r="K2498" t="s">
        <v>380</v>
      </c>
      <c r="L2498" t="s">
        <v>381</v>
      </c>
      <c r="M2498" t="s">
        <v>131</v>
      </c>
      <c r="N2498">
        <v>17</v>
      </c>
      <c r="O2498" t="s">
        <v>40</v>
      </c>
      <c r="P2498" t="s">
        <v>40</v>
      </c>
      <c r="Q2498" t="s">
        <v>40</v>
      </c>
      <c r="R2498" t="s">
        <v>40</v>
      </c>
      <c r="S2498" t="s">
        <v>40</v>
      </c>
      <c r="U2498" s="1">
        <v>43073</v>
      </c>
      <c r="V2498" t="s">
        <v>41</v>
      </c>
      <c r="W2498" t="s">
        <v>42</v>
      </c>
      <c r="X2498" t="str">
        <f>"0561016"</f>
        <v>0561016</v>
      </c>
      <c r="Y2498" t="s">
        <v>389</v>
      </c>
      <c r="Z2498" t="s">
        <v>380</v>
      </c>
      <c r="AA2498" t="s">
        <v>381</v>
      </c>
      <c r="AB2498" t="s">
        <v>131</v>
      </c>
      <c r="AC2498" t="s">
        <v>44</v>
      </c>
      <c r="AD2498" t="s">
        <v>45</v>
      </c>
      <c r="AE2498" s="1">
        <v>27760</v>
      </c>
      <c r="AF2498">
        <v>2</v>
      </c>
      <c r="AG2498" t="s">
        <v>381</v>
      </c>
      <c r="AH2498" s="36">
        <f t="shared" ref="AH2498:AH2561" si="39">($AJ$1-AE2498)/360</f>
        <v>43.602777777777774</v>
      </c>
      <c r="AI2498" s="41" t="s">
        <v>1779</v>
      </c>
    </row>
    <row r="2499" spans="1:35" x14ac:dyDescent="0.25">
      <c r="A2499" s="36">
        <v>99912497</v>
      </c>
      <c r="B2499" s="17" t="s">
        <v>56</v>
      </c>
      <c r="C2499" t="s">
        <v>52</v>
      </c>
      <c r="D2499" t="s">
        <v>53</v>
      </c>
      <c r="G2499" s="17" t="s">
        <v>48</v>
      </c>
      <c r="H2499" s="17">
        <v>1</v>
      </c>
      <c r="K2499" t="s">
        <v>380</v>
      </c>
      <c r="L2499" t="s">
        <v>381</v>
      </c>
      <c r="M2499" t="s">
        <v>131</v>
      </c>
      <c r="N2499">
        <v>15</v>
      </c>
      <c r="O2499" t="s">
        <v>40</v>
      </c>
      <c r="P2499" t="s">
        <v>40</v>
      </c>
      <c r="Q2499" t="s">
        <v>40</v>
      </c>
      <c r="R2499" t="s">
        <v>40</v>
      </c>
      <c r="S2499" t="s">
        <v>40</v>
      </c>
      <c r="V2499" t="s">
        <v>41</v>
      </c>
      <c r="W2499" t="s">
        <v>49</v>
      </c>
      <c r="X2499" t="str">
        <f>"0581575"</f>
        <v>0581575</v>
      </c>
      <c r="Y2499" t="s">
        <v>392</v>
      </c>
      <c r="Z2499" t="s">
        <v>380</v>
      </c>
      <c r="AA2499" t="s">
        <v>381</v>
      </c>
      <c r="AB2499" t="s">
        <v>131</v>
      </c>
      <c r="AC2499" t="s">
        <v>51</v>
      </c>
      <c r="AD2499" t="s">
        <v>45</v>
      </c>
      <c r="AE2499" s="1">
        <v>27760</v>
      </c>
      <c r="AF2499">
        <v>2</v>
      </c>
      <c r="AG2499" t="s">
        <v>381</v>
      </c>
      <c r="AH2499" s="36">
        <f t="shared" si="39"/>
        <v>43.602777777777774</v>
      </c>
      <c r="AI2499" s="41" t="s">
        <v>1779</v>
      </c>
    </row>
    <row r="2500" spans="1:35" x14ac:dyDescent="0.25">
      <c r="A2500" s="36">
        <v>99912498</v>
      </c>
      <c r="B2500" s="17" t="s">
        <v>32</v>
      </c>
      <c r="C2500" t="s">
        <v>61</v>
      </c>
      <c r="D2500" t="s">
        <v>62</v>
      </c>
      <c r="G2500" s="17" t="s">
        <v>48</v>
      </c>
      <c r="H2500" s="17">
        <v>1</v>
      </c>
      <c r="K2500" t="s">
        <v>431</v>
      </c>
      <c r="L2500" t="s">
        <v>196</v>
      </c>
      <c r="M2500" t="s">
        <v>131</v>
      </c>
      <c r="N2500">
        <v>23</v>
      </c>
      <c r="O2500" t="s">
        <v>40</v>
      </c>
      <c r="P2500" t="s">
        <v>40</v>
      </c>
      <c r="Q2500" t="s">
        <v>40</v>
      </c>
      <c r="R2500" t="s">
        <v>40</v>
      </c>
      <c r="S2500" t="s">
        <v>40</v>
      </c>
      <c r="V2500" t="s">
        <v>41</v>
      </c>
      <c r="W2500" t="s">
        <v>75</v>
      </c>
      <c r="X2500" t="str">
        <f>"7521016"</f>
        <v>7521016</v>
      </c>
      <c r="Y2500" t="s">
        <v>448</v>
      </c>
      <c r="Z2500" t="s">
        <v>431</v>
      </c>
      <c r="AA2500" t="s">
        <v>196</v>
      </c>
      <c r="AB2500" t="s">
        <v>131</v>
      </c>
      <c r="AC2500" t="s">
        <v>51</v>
      </c>
      <c r="AD2500" t="s">
        <v>45</v>
      </c>
      <c r="AE2500" s="1">
        <v>27760</v>
      </c>
      <c r="AF2500">
        <v>1</v>
      </c>
      <c r="AG2500" t="s">
        <v>196</v>
      </c>
      <c r="AH2500" s="36">
        <f t="shared" si="39"/>
        <v>43.602777777777774</v>
      </c>
      <c r="AI2500" s="41" t="s">
        <v>1779</v>
      </c>
    </row>
    <row r="2501" spans="1:35" x14ac:dyDescent="0.25">
      <c r="A2501" s="36">
        <v>99912499</v>
      </c>
      <c r="B2501" s="17" t="s">
        <v>56</v>
      </c>
      <c r="C2501" t="s">
        <v>79</v>
      </c>
      <c r="D2501" t="s">
        <v>80</v>
      </c>
      <c r="G2501" s="17" t="s">
        <v>35</v>
      </c>
      <c r="H2501" s="17">
        <v>1</v>
      </c>
      <c r="K2501" t="s">
        <v>431</v>
      </c>
      <c r="L2501" t="s">
        <v>196</v>
      </c>
      <c r="M2501" t="s">
        <v>131</v>
      </c>
      <c r="N2501">
        <v>24</v>
      </c>
      <c r="O2501" t="s">
        <v>40</v>
      </c>
      <c r="P2501" t="s">
        <v>40</v>
      </c>
      <c r="Q2501" t="s">
        <v>40</v>
      </c>
      <c r="R2501" t="s">
        <v>40</v>
      </c>
      <c r="S2501" t="s">
        <v>40</v>
      </c>
      <c r="V2501" t="s">
        <v>41</v>
      </c>
      <c r="W2501" t="s">
        <v>75</v>
      </c>
      <c r="X2501" t="str">
        <f>"7521032"</f>
        <v>7521032</v>
      </c>
      <c r="Y2501" t="s">
        <v>462</v>
      </c>
      <c r="Z2501" t="s">
        <v>431</v>
      </c>
      <c r="AA2501" t="s">
        <v>196</v>
      </c>
      <c r="AB2501" t="s">
        <v>131</v>
      </c>
      <c r="AC2501" t="s">
        <v>51</v>
      </c>
      <c r="AD2501" t="s">
        <v>45</v>
      </c>
      <c r="AE2501" s="1">
        <v>27760</v>
      </c>
      <c r="AF2501">
        <v>1</v>
      </c>
      <c r="AG2501" t="s">
        <v>196</v>
      </c>
      <c r="AH2501" s="36">
        <f t="shared" si="39"/>
        <v>43.602777777777774</v>
      </c>
      <c r="AI2501" s="41" t="s">
        <v>1779</v>
      </c>
    </row>
    <row r="2502" spans="1:35" x14ac:dyDescent="0.25">
      <c r="A2502" s="36">
        <v>99912500</v>
      </c>
      <c r="B2502" s="17" t="s">
        <v>32</v>
      </c>
      <c r="C2502" t="s">
        <v>139</v>
      </c>
      <c r="D2502" t="s">
        <v>140</v>
      </c>
      <c r="G2502" s="17" t="s">
        <v>35</v>
      </c>
      <c r="H2502" s="17">
        <v>1</v>
      </c>
      <c r="I2502">
        <v>13026</v>
      </c>
      <c r="J2502" s="1">
        <v>43344</v>
      </c>
      <c r="K2502" t="s">
        <v>354</v>
      </c>
      <c r="L2502" t="s">
        <v>355</v>
      </c>
      <c r="M2502" t="s">
        <v>131</v>
      </c>
      <c r="N2502">
        <v>24</v>
      </c>
      <c r="O2502" t="s">
        <v>40</v>
      </c>
      <c r="P2502" t="s">
        <v>40</v>
      </c>
      <c r="Q2502" t="s">
        <v>40</v>
      </c>
      <c r="R2502" t="s">
        <v>40</v>
      </c>
      <c r="S2502" t="s">
        <v>40</v>
      </c>
      <c r="U2502" s="1">
        <v>43344</v>
      </c>
      <c r="V2502" t="s">
        <v>41</v>
      </c>
      <c r="W2502" t="s">
        <v>75</v>
      </c>
      <c r="X2502" t="str">
        <f>"7054042"</f>
        <v>7054042</v>
      </c>
      <c r="Y2502" t="s">
        <v>776</v>
      </c>
      <c r="Z2502" t="s">
        <v>354</v>
      </c>
      <c r="AA2502" t="s">
        <v>355</v>
      </c>
      <c r="AB2502" t="s">
        <v>131</v>
      </c>
      <c r="AC2502" t="s">
        <v>51</v>
      </c>
      <c r="AD2502" t="s">
        <v>45</v>
      </c>
      <c r="AE2502" s="1">
        <v>27760</v>
      </c>
      <c r="AF2502">
        <v>1</v>
      </c>
      <c r="AG2502" t="s">
        <v>355</v>
      </c>
      <c r="AH2502" s="36">
        <f t="shared" si="39"/>
        <v>43.602777777777774</v>
      </c>
      <c r="AI2502" s="41" t="s">
        <v>1779</v>
      </c>
    </row>
    <row r="2503" spans="1:35" x14ac:dyDescent="0.25">
      <c r="A2503" s="36">
        <v>99912501</v>
      </c>
      <c r="B2503" s="17" t="s">
        <v>32</v>
      </c>
      <c r="C2503" t="s">
        <v>64</v>
      </c>
      <c r="D2503" t="s">
        <v>65</v>
      </c>
      <c r="G2503" s="17" t="s">
        <v>35</v>
      </c>
      <c r="H2503" s="17">
        <v>1</v>
      </c>
      <c r="K2503" t="s">
        <v>354</v>
      </c>
      <c r="L2503" t="s">
        <v>355</v>
      </c>
      <c r="M2503" t="s">
        <v>131</v>
      </c>
      <c r="N2503">
        <v>20</v>
      </c>
      <c r="O2503" t="s">
        <v>40</v>
      </c>
      <c r="P2503" t="s">
        <v>40</v>
      </c>
      <c r="Q2503" t="s">
        <v>40</v>
      </c>
      <c r="R2503" t="s">
        <v>40</v>
      </c>
      <c r="S2503" t="s">
        <v>40</v>
      </c>
      <c r="V2503" t="s">
        <v>41</v>
      </c>
      <c r="W2503" t="s">
        <v>75</v>
      </c>
      <c r="X2503" t="str">
        <f>"7054000"</f>
        <v>7054000</v>
      </c>
      <c r="Y2503" t="s">
        <v>786</v>
      </c>
      <c r="Z2503" t="s">
        <v>354</v>
      </c>
      <c r="AA2503" t="s">
        <v>355</v>
      </c>
      <c r="AB2503" t="s">
        <v>131</v>
      </c>
      <c r="AC2503" t="s">
        <v>51</v>
      </c>
      <c r="AD2503" t="s">
        <v>45</v>
      </c>
      <c r="AE2503" s="1">
        <v>27760</v>
      </c>
      <c r="AF2503">
        <v>1</v>
      </c>
      <c r="AG2503" t="s">
        <v>355</v>
      </c>
      <c r="AH2503" s="36">
        <f t="shared" si="39"/>
        <v>43.602777777777774</v>
      </c>
      <c r="AI2503" s="41" t="s">
        <v>1779</v>
      </c>
    </row>
    <row r="2504" spans="1:35" x14ac:dyDescent="0.25">
      <c r="A2504" s="36">
        <v>99912502</v>
      </c>
      <c r="B2504" s="17" t="s">
        <v>32</v>
      </c>
      <c r="C2504" t="s">
        <v>82</v>
      </c>
      <c r="D2504" t="s">
        <v>83</v>
      </c>
      <c r="G2504" s="17" t="s">
        <v>48</v>
      </c>
      <c r="H2504" s="17">
        <v>1</v>
      </c>
      <c r="K2504" t="s">
        <v>936</v>
      </c>
      <c r="L2504" t="s">
        <v>937</v>
      </c>
      <c r="M2504" t="s">
        <v>938</v>
      </c>
      <c r="N2504">
        <v>13</v>
      </c>
      <c r="O2504" t="s">
        <v>40</v>
      </c>
      <c r="P2504" t="s">
        <v>40</v>
      </c>
      <c r="Q2504" t="s">
        <v>40</v>
      </c>
      <c r="R2504" t="s">
        <v>40</v>
      </c>
      <c r="S2504" t="s">
        <v>40</v>
      </c>
      <c r="V2504" t="s">
        <v>41</v>
      </c>
      <c r="W2504" t="s">
        <v>49</v>
      </c>
      <c r="X2504" t="str">
        <f>"0160075"</f>
        <v>0160075</v>
      </c>
      <c r="Y2504" t="s">
        <v>939</v>
      </c>
      <c r="Z2504" t="s">
        <v>936</v>
      </c>
      <c r="AA2504" t="s">
        <v>937</v>
      </c>
      <c r="AB2504" t="s">
        <v>938</v>
      </c>
      <c r="AC2504" t="s">
        <v>51</v>
      </c>
      <c r="AD2504" t="s">
        <v>45</v>
      </c>
      <c r="AE2504" s="1">
        <v>27760</v>
      </c>
      <c r="AF2504">
        <v>2</v>
      </c>
      <c r="AG2504" t="s">
        <v>937</v>
      </c>
      <c r="AH2504" s="36">
        <f t="shared" si="39"/>
        <v>43.602777777777774</v>
      </c>
      <c r="AI2504" s="41" t="s">
        <v>1779</v>
      </c>
    </row>
    <row r="2505" spans="1:35" x14ac:dyDescent="0.25">
      <c r="A2505" s="36">
        <v>99912503</v>
      </c>
      <c r="B2505" s="17" t="s">
        <v>32</v>
      </c>
      <c r="C2505" t="s">
        <v>33</v>
      </c>
      <c r="D2505" t="s">
        <v>34</v>
      </c>
      <c r="G2505" s="17" t="s">
        <v>48</v>
      </c>
      <c r="H2505" s="17">
        <v>1</v>
      </c>
      <c r="K2505" t="s">
        <v>936</v>
      </c>
      <c r="L2505" t="s">
        <v>937</v>
      </c>
      <c r="M2505" t="s">
        <v>938</v>
      </c>
      <c r="N2505">
        <v>13</v>
      </c>
      <c r="O2505" t="s">
        <v>40</v>
      </c>
      <c r="P2505" t="s">
        <v>40</v>
      </c>
      <c r="Q2505" t="s">
        <v>40</v>
      </c>
      <c r="R2505" t="s">
        <v>40</v>
      </c>
      <c r="S2505" t="s">
        <v>40</v>
      </c>
      <c r="V2505" t="s">
        <v>41</v>
      </c>
      <c r="W2505" t="s">
        <v>42</v>
      </c>
      <c r="X2505" t="str">
        <f>"0161003"</f>
        <v>0161003</v>
      </c>
      <c r="Y2505" t="s">
        <v>942</v>
      </c>
      <c r="Z2505" t="s">
        <v>936</v>
      </c>
      <c r="AA2505" t="s">
        <v>937</v>
      </c>
      <c r="AB2505" t="s">
        <v>938</v>
      </c>
      <c r="AC2505" t="s">
        <v>51</v>
      </c>
      <c r="AD2505" t="s">
        <v>45</v>
      </c>
      <c r="AE2505" s="1">
        <v>27760</v>
      </c>
      <c r="AF2505">
        <v>2</v>
      </c>
      <c r="AG2505" t="s">
        <v>937</v>
      </c>
      <c r="AH2505" s="36">
        <f t="shared" si="39"/>
        <v>43.602777777777774</v>
      </c>
      <c r="AI2505" s="41" t="s">
        <v>1779</v>
      </c>
    </row>
    <row r="2506" spans="1:35" x14ac:dyDescent="0.25">
      <c r="A2506" s="36">
        <v>99912504</v>
      </c>
      <c r="B2506" s="17" t="s">
        <v>56</v>
      </c>
      <c r="C2506" t="s">
        <v>33</v>
      </c>
      <c r="D2506" t="s">
        <v>34</v>
      </c>
      <c r="G2506" s="17" t="s">
        <v>35</v>
      </c>
      <c r="H2506" s="17">
        <v>1</v>
      </c>
      <c r="K2506" t="s">
        <v>947</v>
      </c>
      <c r="L2506" t="s">
        <v>948</v>
      </c>
      <c r="M2506" t="s">
        <v>938</v>
      </c>
      <c r="N2506">
        <v>21</v>
      </c>
      <c r="O2506" t="s">
        <v>40</v>
      </c>
      <c r="P2506" t="s">
        <v>40</v>
      </c>
      <c r="Q2506" t="s">
        <v>40</v>
      </c>
      <c r="R2506" t="s">
        <v>40</v>
      </c>
      <c r="S2506" t="s">
        <v>40</v>
      </c>
      <c r="V2506" t="s">
        <v>41</v>
      </c>
      <c r="W2506" t="s">
        <v>42</v>
      </c>
      <c r="X2506" t="str">
        <f>"0680030"</f>
        <v>0680030</v>
      </c>
      <c r="Y2506" t="s">
        <v>951</v>
      </c>
      <c r="Z2506" t="s">
        <v>947</v>
      </c>
      <c r="AA2506" t="s">
        <v>948</v>
      </c>
      <c r="AB2506" t="s">
        <v>938</v>
      </c>
      <c r="AC2506" t="s">
        <v>51</v>
      </c>
      <c r="AD2506" t="s">
        <v>45</v>
      </c>
      <c r="AE2506" s="1">
        <v>27760</v>
      </c>
      <c r="AF2506">
        <v>2</v>
      </c>
      <c r="AG2506" t="s">
        <v>948</v>
      </c>
      <c r="AH2506" s="36">
        <f t="shared" si="39"/>
        <v>43.602777777777774</v>
      </c>
      <c r="AI2506" s="41" t="s">
        <v>1779</v>
      </c>
    </row>
    <row r="2507" spans="1:35" x14ac:dyDescent="0.25">
      <c r="A2507" s="36">
        <v>99912505</v>
      </c>
      <c r="B2507" s="17" t="s">
        <v>32</v>
      </c>
      <c r="C2507" t="s">
        <v>46</v>
      </c>
      <c r="D2507" t="s">
        <v>47</v>
      </c>
      <c r="G2507" s="17" t="s">
        <v>35</v>
      </c>
      <c r="H2507" s="17">
        <v>1</v>
      </c>
      <c r="I2507" t="s">
        <v>961</v>
      </c>
      <c r="J2507" s="1">
        <v>43344</v>
      </c>
      <c r="K2507" t="s">
        <v>947</v>
      </c>
      <c r="L2507" t="s">
        <v>948</v>
      </c>
      <c r="M2507" t="s">
        <v>938</v>
      </c>
      <c r="N2507">
        <v>20</v>
      </c>
      <c r="O2507" t="s">
        <v>40</v>
      </c>
      <c r="P2507" t="s">
        <v>40</v>
      </c>
      <c r="Q2507" t="s">
        <v>40</v>
      </c>
      <c r="R2507" t="s">
        <v>40</v>
      </c>
      <c r="S2507" t="s">
        <v>40</v>
      </c>
      <c r="U2507" s="1">
        <v>43344</v>
      </c>
      <c r="V2507" t="s">
        <v>41</v>
      </c>
      <c r="W2507" t="s">
        <v>42</v>
      </c>
      <c r="X2507" t="str">
        <f>"0680030"</f>
        <v>0680030</v>
      </c>
      <c r="Y2507" t="s">
        <v>951</v>
      </c>
      <c r="Z2507" t="s">
        <v>947</v>
      </c>
      <c r="AA2507" t="s">
        <v>948</v>
      </c>
      <c r="AB2507" t="s">
        <v>938</v>
      </c>
      <c r="AC2507" t="s">
        <v>51</v>
      </c>
      <c r="AD2507" t="s">
        <v>45</v>
      </c>
      <c r="AE2507" s="1">
        <v>27760</v>
      </c>
      <c r="AF2507">
        <v>2</v>
      </c>
      <c r="AG2507" t="s">
        <v>948</v>
      </c>
      <c r="AH2507" s="36">
        <f t="shared" si="39"/>
        <v>43.602777777777774</v>
      </c>
      <c r="AI2507" s="41" t="s">
        <v>1779</v>
      </c>
    </row>
    <row r="2508" spans="1:35" x14ac:dyDescent="0.25">
      <c r="A2508" s="36">
        <v>99912506</v>
      </c>
      <c r="B2508" s="17" t="s">
        <v>56</v>
      </c>
      <c r="C2508" t="s">
        <v>85</v>
      </c>
      <c r="D2508" t="s">
        <v>86</v>
      </c>
      <c r="G2508" s="17" t="s">
        <v>35</v>
      </c>
      <c r="H2508" s="17">
        <v>1</v>
      </c>
      <c r="K2508" t="s">
        <v>947</v>
      </c>
      <c r="L2508" t="s">
        <v>948</v>
      </c>
      <c r="M2508" t="s">
        <v>938</v>
      </c>
      <c r="N2508">
        <v>18</v>
      </c>
      <c r="O2508" t="s">
        <v>40</v>
      </c>
      <c r="P2508" t="s">
        <v>40</v>
      </c>
      <c r="Q2508" t="s">
        <v>40</v>
      </c>
      <c r="R2508" t="s">
        <v>40</v>
      </c>
      <c r="S2508" t="s">
        <v>40</v>
      </c>
      <c r="V2508" t="s">
        <v>41</v>
      </c>
      <c r="W2508" t="s">
        <v>42</v>
      </c>
      <c r="X2508" t="str">
        <f>"0680030"</f>
        <v>0680030</v>
      </c>
      <c r="Y2508" t="s">
        <v>951</v>
      </c>
      <c r="Z2508" t="s">
        <v>947</v>
      </c>
      <c r="AA2508" t="s">
        <v>948</v>
      </c>
      <c r="AB2508" t="s">
        <v>938</v>
      </c>
      <c r="AC2508" t="s">
        <v>51</v>
      </c>
      <c r="AD2508" t="s">
        <v>45</v>
      </c>
      <c r="AE2508" s="1">
        <v>27760</v>
      </c>
      <c r="AF2508">
        <v>2</v>
      </c>
      <c r="AG2508" t="s">
        <v>948</v>
      </c>
      <c r="AH2508" s="36">
        <f t="shared" si="39"/>
        <v>43.602777777777774</v>
      </c>
      <c r="AI2508" s="41" t="s">
        <v>1779</v>
      </c>
    </row>
    <row r="2509" spans="1:35" x14ac:dyDescent="0.25">
      <c r="A2509" s="36">
        <v>99912507</v>
      </c>
      <c r="B2509" s="17" t="s">
        <v>32</v>
      </c>
      <c r="C2509" t="s">
        <v>79</v>
      </c>
      <c r="D2509" t="s">
        <v>80</v>
      </c>
      <c r="G2509" s="17" t="s">
        <v>35</v>
      </c>
      <c r="H2509" s="17">
        <v>1</v>
      </c>
      <c r="K2509" t="s">
        <v>963</v>
      </c>
      <c r="L2509" t="s">
        <v>964</v>
      </c>
      <c r="M2509" t="s">
        <v>938</v>
      </c>
      <c r="N2509">
        <v>21</v>
      </c>
      <c r="O2509" t="s">
        <v>40</v>
      </c>
      <c r="P2509" t="s">
        <v>40</v>
      </c>
      <c r="Q2509" t="s">
        <v>40</v>
      </c>
      <c r="R2509" t="s">
        <v>40</v>
      </c>
      <c r="S2509" t="s">
        <v>40</v>
      </c>
      <c r="V2509" t="s">
        <v>41</v>
      </c>
      <c r="W2509" t="s">
        <v>75</v>
      </c>
      <c r="X2509" t="str">
        <f>"7061000"</f>
        <v>7061000</v>
      </c>
      <c r="Y2509" t="s">
        <v>962</v>
      </c>
      <c r="Z2509" t="s">
        <v>963</v>
      </c>
      <c r="AA2509" t="s">
        <v>964</v>
      </c>
      <c r="AB2509" t="s">
        <v>938</v>
      </c>
      <c r="AC2509" t="s">
        <v>165</v>
      </c>
      <c r="AD2509" t="s">
        <v>45</v>
      </c>
      <c r="AE2509" s="1">
        <v>27760</v>
      </c>
      <c r="AF2509">
        <v>1</v>
      </c>
      <c r="AG2509" t="s">
        <v>964</v>
      </c>
      <c r="AH2509" s="36">
        <f t="shared" si="39"/>
        <v>43.602777777777774</v>
      </c>
      <c r="AI2509" s="41" t="s">
        <v>1779</v>
      </c>
    </row>
    <row r="2510" spans="1:35" x14ac:dyDescent="0.25">
      <c r="A2510" s="36">
        <v>99912508</v>
      </c>
      <c r="B2510" s="17" t="s">
        <v>32</v>
      </c>
      <c r="C2510" t="s">
        <v>117</v>
      </c>
      <c r="D2510" t="s">
        <v>118</v>
      </c>
      <c r="G2510" s="17" t="s">
        <v>35</v>
      </c>
      <c r="H2510" s="17">
        <v>1</v>
      </c>
      <c r="K2510" t="s">
        <v>1198</v>
      </c>
      <c r="L2510" t="s">
        <v>1199</v>
      </c>
      <c r="M2510" t="s">
        <v>1130</v>
      </c>
      <c r="N2510">
        <v>24</v>
      </c>
      <c r="O2510" t="s">
        <v>40</v>
      </c>
      <c r="P2510" t="s">
        <v>40</v>
      </c>
      <c r="Q2510" t="s">
        <v>40</v>
      </c>
      <c r="R2510" t="s">
        <v>40</v>
      </c>
      <c r="S2510" t="s">
        <v>40</v>
      </c>
      <c r="V2510" t="s">
        <v>41</v>
      </c>
      <c r="W2510" t="s">
        <v>75</v>
      </c>
      <c r="X2510" t="str">
        <f>"7311006"</f>
        <v>7311006</v>
      </c>
      <c r="Y2510" t="s">
        <v>1200</v>
      </c>
      <c r="Z2510" t="s">
        <v>1198</v>
      </c>
      <c r="AA2510" t="s">
        <v>1199</v>
      </c>
      <c r="AB2510" t="s">
        <v>1130</v>
      </c>
      <c r="AC2510" t="s">
        <v>51</v>
      </c>
      <c r="AD2510" t="s">
        <v>45</v>
      </c>
      <c r="AE2510" s="1">
        <v>27760</v>
      </c>
      <c r="AF2510">
        <v>1</v>
      </c>
      <c r="AG2510" t="s">
        <v>1199</v>
      </c>
      <c r="AH2510" s="36">
        <f t="shared" si="39"/>
        <v>43.602777777777774</v>
      </c>
      <c r="AI2510" s="41" t="s">
        <v>1779</v>
      </c>
    </row>
    <row r="2511" spans="1:35" x14ac:dyDescent="0.25">
      <c r="A2511" s="36">
        <v>99912509</v>
      </c>
      <c r="B2511" s="17" t="s">
        <v>32</v>
      </c>
      <c r="C2511" t="s">
        <v>64</v>
      </c>
      <c r="D2511" t="s">
        <v>65</v>
      </c>
      <c r="G2511" s="17" t="s">
        <v>48</v>
      </c>
      <c r="H2511" s="17">
        <v>1</v>
      </c>
      <c r="K2511" t="s">
        <v>1198</v>
      </c>
      <c r="L2511" t="s">
        <v>1199</v>
      </c>
      <c r="M2511" t="s">
        <v>1130</v>
      </c>
      <c r="N2511">
        <v>16</v>
      </c>
      <c r="O2511" t="s">
        <v>40</v>
      </c>
      <c r="P2511" t="s">
        <v>40</v>
      </c>
      <c r="Q2511" t="s">
        <v>40</v>
      </c>
      <c r="R2511" t="s">
        <v>40</v>
      </c>
      <c r="S2511" t="s">
        <v>40</v>
      </c>
      <c r="V2511" t="s">
        <v>41</v>
      </c>
      <c r="W2511" t="s">
        <v>75</v>
      </c>
      <c r="X2511" t="str">
        <f>"7311008"</f>
        <v>7311008</v>
      </c>
      <c r="Y2511" t="s">
        <v>1205</v>
      </c>
      <c r="Z2511" t="s">
        <v>1198</v>
      </c>
      <c r="AA2511" t="s">
        <v>1199</v>
      </c>
      <c r="AB2511" t="s">
        <v>1130</v>
      </c>
      <c r="AC2511" t="s">
        <v>51</v>
      </c>
      <c r="AD2511" t="s">
        <v>45</v>
      </c>
      <c r="AE2511" s="1">
        <v>27760</v>
      </c>
      <c r="AF2511">
        <v>1</v>
      </c>
      <c r="AG2511" t="s">
        <v>1199</v>
      </c>
      <c r="AH2511" s="36">
        <f t="shared" si="39"/>
        <v>43.602777777777774</v>
      </c>
      <c r="AI2511" s="41" t="s">
        <v>1779</v>
      </c>
    </row>
    <row r="2512" spans="1:35" x14ac:dyDescent="0.25">
      <c r="A2512" s="36">
        <v>99912510</v>
      </c>
      <c r="B2512" s="17" t="s">
        <v>32</v>
      </c>
      <c r="C2512" t="s">
        <v>79</v>
      </c>
      <c r="D2512" t="s">
        <v>80</v>
      </c>
      <c r="G2512" s="17" t="s">
        <v>35</v>
      </c>
      <c r="H2512" s="17">
        <v>1</v>
      </c>
      <c r="I2512">
        <v>411</v>
      </c>
      <c r="J2512" s="1">
        <v>43344</v>
      </c>
      <c r="K2512" t="s">
        <v>1198</v>
      </c>
      <c r="L2512" t="s">
        <v>1199</v>
      </c>
      <c r="M2512" t="s">
        <v>1130</v>
      </c>
      <c r="N2512">
        <v>8</v>
      </c>
      <c r="O2512" t="s">
        <v>40</v>
      </c>
      <c r="S2512" t="s">
        <v>40</v>
      </c>
      <c r="U2512" s="1">
        <v>43344</v>
      </c>
      <c r="V2512" t="s">
        <v>41</v>
      </c>
      <c r="W2512" t="s">
        <v>75</v>
      </c>
      <c r="X2512" t="str">
        <f>"7311000"</f>
        <v>7311000</v>
      </c>
      <c r="Y2512" t="s">
        <v>1208</v>
      </c>
      <c r="Z2512" t="s">
        <v>1198</v>
      </c>
      <c r="AA2512" t="s">
        <v>1199</v>
      </c>
      <c r="AB2512" t="s">
        <v>1130</v>
      </c>
      <c r="AC2512" t="s">
        <v>44</v>
      </c>
      <c r="AD2512" t="s">
        <v>45</v>
      </c>
      <c r="AE2512" s="1">
        <v>27760</v>
      </c>
      <c r="AF2512">
        <v>1</v>
      </c>
      <c r="AG2512" t="s">
        <v>1199</v>
      </c>
      <c r="AH2512" s="36">
        <f t="shared" si="39"/>
        <v>43.602777777777774</v>
      </c>
      <c r="AI2512" s="41" t="s">
        <v>1779</v>
      </c>
    </row>
    <row r="2513" spans="1:35" x14ac:dyDescent="0.25">
      <c r="A2513" s="36">
        <v>99912511</v>
      </c>
      <c r="B2513" s="17" t="s">
        <v>32</v>
      </c>
      <c r="C2513" t="s">
        <v>64</v>
      </c>
      <c r="D2513" t="s">
        <v>65</v>
      </c>
      <c r="G2513" s="17" t="s">
        <v>35</v>
      </c>
      <c r="H2513" s="17">
        <v>1</v>
      </c>
      <c r="I2513">
        <v>13658</v>
      </c>
      <c r="J2513" s="1">
        <v>43344</v>
      </c>
      <c r="K2513" t="s">
        <v>1198</v>
      </c>
      <c r="L2513" t="s">
        <v>1199</v>
      </c>
      <c r="M2513" t="s">
        <v>1130</v>
      </c>
      <c r="N2513">
        <v>24</v>
      </c>
      <c r="O2513" t="s">
        <v>40</v>
      </c>
      <c r="P2513" t="s">
        <v>40</v>
      </c>
      <c r="Q2513" t="s">
        <v>40</v>
      </c>
      <c r="R2513" t="s">
        <v>40</v>
      </c>
      <c r="S2513" t="s">
        <v>40</v>
      </c>
      <c r="U2513" s="1">
        <v>43344</v>
      </c>
      <c r="V2513" t="s">
        <v>41</v>
      </c>
      <c r="W2513" t="s">
        <v>75</v>
      </c>
      <c r="X2513" t="str">
        <f>"7311002"</f>
        <v>7311002</v>
      </c>
      <c r="Y2513" t="s">
        <v>1203</v>
      </c>
      <c r="Z2513" t="s">
        <v>1198</v>
      </c>
      <c r="AA2513" t="s">
        <v>1199</v>
      </c>
      <c r="AB2513" t="s">
        <v>1130</v>
      </c>
      <c r="AC2513" t="s">
        <v>51</v>
      </c>
      <c r="AD2513" t="s">
        <v>45</v>
      </c>
      <c r="AE2513" s="1">
        <v>27760</v>
      </c>
      <c r="AF2513">
        <v>1</v>
      </c>
      <c r="AG2513" t="s">
        <v>1199</v>
      </c>
      <c r="AH2513" s="36">
        <f t="shared" si="39"/>
        <v>43.602777777777774</v>
      </c>
      <c r="AI2513" s="41" t="s">
        <v>1779</v>
      </c>
    </row>
    <row r="2514" spans="1:35" x14ac:dyDescent="0.25">
      <c r="A2514" s="36">
        <v>99912512</v>
      </c>
      <c r="B2514" s="17" t="s">
        <v>32</v>
      </c>
      <c r="C2514" t="s">
        <v>79</v>
      </c>
      <c r="D2514" t="s">
        <v>80</v>
      </c>
      <c r="G2514" s="17" t="s">
        <v>35</v>
      </c>
      <c r="H2514" s="17">
        <v>1</v>
      </c>
      <c r="K2514" t="s">
        <v>1221</v>
      </c>
      <c r="L2514" t="s">
        <v>1222</v>
      </c>
      <c r="M2514" t="s">
        <v>1130</v>
      </c>
      <c r="N2514">
        <v>8</v>
      </c>
      <c r="O2514" t="s">
        <v>40</v>
      </c>
      <c r="P2514" t="s">
        <v>40</v>
      </c>
      <c r="Q2514" t="s">
        <v>40</v>
      </c>
      <c r="R2514" t="s">
        <v>40</v>
      </c>
      <c r="S2514" t="s">
        <v>40</v>
      </c>
      <c r="V2514" t="s">
        <v>41</v>
      </c>
      <c r="W2514" t="s">
        <v>75</v>
      </c>
      <c r="X2514" t="str">
        <f>"7351000"</f>
        <v>7351000</v>
      </c>
      <c r="Y2514" t="s">
        <v>1223</v>
      </c>
      <c r="Z2514" t="s">
        <v>1221</v>
      </c>
      <c r="AA2514" t="s">
        <v>1222</v>
      </c>
      <c r="AB2514" t="s">
        <v>1130</v>
      </c>
      <c r="AC2514" t="s">
        <v>51</v>
      </c>
      <c r="AD2514" t="s">
        <v>45</v>
      </c>
      <c r="AE2514" s="1">
        <v>27760</v>
      </c>
      <c r="AF2514">
        <v>1</v>
      </c>
      <c r="AG2514" t="s">
        <v>1222</v>
      </c>
      <c r="AH2514" s="36">
        <f t="shared" si="39"/>
        <v>43.602777777777774</v>
      </c>
      <c r="AI2514" s="41" t="s">
        <v>1779</v>
      </c>
    </row>
    <row r="2515" spans="1:35" x14ac:dyDescent="0.25">
      <c r="A2515" s="36">
        <v>99912513</v>
      </c>
      <c r="B2515" s="17" t="s">
        <v>56</v>
      </c>
      <c r="C2515" t="s">
        <v>58</v>
      </c>
      <c r="D2515" t="s">
        <v>59</v>
      </c>
      <c r="G2515" s="17" t="s">
        <v>35</v>
      </c>
      <c r="H2515" s="17">
        <v>1</v>
      </c>
      <c r="I2515">
        <v>14662</v>
      </c>
      <c r="J2515" s="1">
        <v>42979</v>
      </c>
      <c r="K2515" t="s">
        <v>1306</v>
      </c>
      <c r="L2515" t="s">
        <v>1307</v>
      </c>
      <c r="M2515" t="s">
        <v>1270</v>
      </c>
      <c r="N2515">
        <v>19</v>
      </c>
      <c r="O2515" t="s">
        <v>40</v>
      </c>
      <c r="P2515" t="s">
        <v>40</v>
      </c>
      <c r="Q2515" t="s">
        <v>40</v>
      </c>
      <c r="R2515" t="s">
        <v>40</v>
      </c>
      <c r="S2515" t="s">
        <v>40</v>
      </c>
      <c r="U2515" s="1">
        <v>42979</v>
      </c>
      <c r="V2515" t="s">
        <v>41</v>
      </c>
      <c r="W2515" t="s">
        <v>42</v>
      </c>
      <c r="X2515" t="str">
        <f>"1990913"</f>
        <v>1990913</v>
      </c>
      <c r="Y2515" t="s">
        <v>1312</v>
      </c>
      <c r="Z2515" t="s">
        <v>1306</v>
      </c>
      <c r="AA2515" t="s">
        <v>1307</v>
      </c>
      <c r="AB2515" t="s">
        <v>1270</v>
      </c>
      <c r="AC2515" t="s">
        <v>44</v>
      </c>
      <c r="AD2515" t="s">
        <v>45</v>
      </c>
      <c r="AE2515" s="1">
        <v>27760</v>
      </c>
      <c r="AF2515">
        <v>2</v>
      </c>
      <c r="AG2515" t="s">
        <v>1307</v>
      </c>
      <c r="AH2515" s="36">
        <f t="shared" si="39"/>
        <v>43.602777777777774</v>
      </c>
      <c r="AI2515" s="41" t="s">
        <v>1779</v>
      </c>
    </row>
    <row r="2516" spans="1:35" x14ac:dyDescent="0.25">
      <c r="A2516" s="36">
        <v>99912514</v>
      </c>
      <c r="B2516" s="17" t="s">
        <v>32</v>
      </c>
      <c r="C2516" t="s">
        <v>64</v>
      </c>
      <c r="D2516" t="s">
        <v>65</v>
      </c>
      <c r="G2516" s="17" t="s">
        <v>35</v>
      </c>
      <c r="H2516" s="17">
        <v>1</v>
      </c>
      <c r="I2516" s="1">
        <v>42688</v>
      </c>
      <c r="J2516" s="1">
        <v>43344</v>
      </c>
      <c r="K2516" t="s">
        <v>1341</v>
      </c>
      <c r="L2516" t="s">
        <v>1342</v>
      </c>
      <c r="M2516" t="s">
        <v>1270</v>
      </c>
      <c r="N2516">
        <v>24</v>
      </c>
      <c r="O2516" t="s">
        <v>40</v>
      </c>
      <c r="P2516" t="s">
        <v>40</v>
      </c>
      <c r="Q2516" t="s">
        <v>40</v>
      </c>
      <c r="R2516" t="s">
        <v>40</v>
      </c>
      <c r="S2516" t="s">
        <v>40</v>
      </c>
      <c r="U2516" s="1">
        <v>43344</v>
      </c>
      <c r="V2516" t="s">
        <v>41</v>
      </c>
      <c r="W2516" t="s">
        <v>75</v>
      </c>
      <c r="X2516" t="str">
        <f>"7191000"</f>
        <v>7191000</v>
      </c>
      <c r="Y2516" t="s">
        <v>1347</v>
      </c>
      <c r="Z2516" t="s">
        <v>1341</v>
      </c>
      <c r="AA2516" t="s">
        <v>1342</v>
      </c>
      <c r="AB2516" t="s">
        <v>1270</v>
      </c>
      <c r="AC2516" t="s">
        <v>51</v>
      </c>
      <c r="AD2516" t="s">
        <v>45</v>
      </c>
      <c r="AE2516" s="1">
        <v>27760</v>
      </c>
      <c r="AF2516">
        <v>1</v>
      </c>
      <c r="AG2516" t="s">
        <v>1342</v>
      </c>
      <c r="AH2516" s="36">
        <f t="shared" si="39"/>
        <v>43.602777777777774</v>
      </c>
      <c r="AI2516" s="41" t="s">
        <v>1779</v>
      </c>
    </row>
    <row r="2517" spans="1:35" x14ac:dyDescent="0.25">
      <c r="A2517" s="36">
        <v>99912515</v>
      </c>
      <c r="B2517" s="17" t="s">
        <v>32</v>
      </c>
      <c r="C2517" t="s">
        <v>111</v>
      </c>
      <c r="D2517" t="s">
        <v>112</v>
      </c>
      <c r="G2517" s="17" t="s">
        <v>48</v>
      </c>
      <c r="H2517" s="17">
        <v>1</v>
      </c>
      <c r="I2517" t="s">
        <v>1450</v>
      </c>
      <c r="J2517" s="1">
        <v>41652</v>
      </c>
      <c r="K2517" t="s">
        <v>1426</v>
      </c>
      <c r="L2517" t="s">
        <v>1427</v>
      </c>
      <c r="M2517" t="s">
        <v>1270</v>
      </c>
      <c r="N2517">
        <v>24</v>
      </c>
      <c r="O2517" t="s">
        <v>40</v>
      </c>
      <c r="P2517" t="s">
        <v>40</v>
      </c>
      <c r="Q2517" t="s">
        <v>40</v>
      </c>
      <c r="R2517" t="s">
        <v>40</v>
      </c>
      <c r="S2517" t="s">
        <v>40</v>
      </c>
      <c r="U2517" s="1">
        <v>41652</v>
      </c>
      <c r="V2517" t="s">
        <v>41</v>
      </c>
      <c r="W2517" t="s">
        <v>75</v>
      </c>
      <c r="X2517" t="str">
        <f>"7192000"</f>
        <v>7192000</v>
      </c>
      <c r="Y2517" t="s">
        <v>1429</v>
      </c>
      <c r="Z2517" t="s">
        <v>1426</v>
      </c>
      <c r="AA2517" t="s">
        <v>1427</v>
      </c>
      <c r="AB2517" t="s">
        <v>1270</v>
      </c>
      <c r="AC2517" t="s">
        <v>51</v>
      </c>
      <c r="AD2517" t="s">
        <v>45</v>
      </c>
      <c r="AE2517" s="1">
        <v>27760</v>
      </c>
      <c r="AF2517">
        <v>1</v>
      </c>
      <c r="AG2517" t="s">
        <v>1427</v>
      </c>
      <c r="AH2517" s="36">
        <f t="shared" si="39"/>
        <v>43.602777777777774</v>
      </c>
      <c r="AI2517" s="41" t="s">
        <v>1779</v>
      </c>
    </row>
    <row r="2518" spans="1:35" x14ac:dyDescent="0.25">
      <c r="A2518" s="36">
        <v>99912516</v>
      </c>
      <c r="B2518" s="17" t="s">
        <v>32</v>
      </c>
      <c r="C2518" t="s">
        <v>141</v>
      </c>
      <c r="D2518" t="s">
        <v>142</v>
      </c>
      <c r="G2518" s="17" t="s">
        <v>48</v>
      </c>
      <c r="H2518" s="17">
        <v>1</v>
      </c>
      <c r="K2518" t="s">
        <v>667</v>
      </c>
      <c r="L2518" t="s">
        <v>669</v>
      </c>
      <c r="M2518" t="s">
        <v>670</v>
      </c>
      <c r="N2518">
        <v>6</v>
      </c>
      <c r="O2518" t="s">
        <v>40</v>
      </c>
      <c r="P2518" t="s">
        <v>40</v>
      </c>
      <c r="Q2518" t="s">
        <v>40</v>
      </c>
      <c r="R2518" t="s">
        <v>40</v>
      </c>
      <c r="S2518" t="s">
        <v>40</v>
      </c>
      <c r="V2518" t="s">
        <v>41</v>
      </c>
      <c r="W2518" t="s">
        <v>75</v>
      </c>
      <c r="X2518" t="str">
        <f>"7501002"</f>
        <v>7501002</v>
      </c>
      <c r="Y2518" t="s">
        <v>1519</v>
      </c>
      <c r="Z2518" t="s">
        <v>667</v>
      </c>
      <c r="AA2518" t="s">
        <v>669</v>
      </c>
      <c r="AB2518" t="s">
        <v>670</v>
      </c>
      <c r="AC2518" t="s">
        <v>51</v>
      </c>
      <c r="AD2518" t="s">
        <v>45</v>
      </c>
      <c r="AE2518" s="1">
        <v>27760</v>
      </c>
      <c r="AF2518">
        <v>1</v>
      </c>
      <c r="AG2518" t="s">
        <v>669</v>
      </c>
      <c r="AH2518" s="36">
        <f t="shared" si="39"/>
        <v>43.602777777777774</v>
      </c>
      <c r="AI2518" s="41" t="s">
        <v>1779</v>
      </c>
    </row>
    <row r="2519" spans="1:35" x14ac:dyDescent="0.25">
      <c r="A2519" s="36">
        <v>99912517</v>
      </c>
      <c r="B2519" s="17" t="s">
        <v>56</v>
      </c>
      <c r="C2519" t="s">
        <v>79</v>
      </c>
      <c r="D2519" t="s">
        <v>80</v>
      </c>
      <c r="G2519" s="17" t="s">
        <v>48</v>
      </c>
      <c r="H2519" s="17">
        <v>1</v>
      </c>
      <c r="K2519" t="s">
        <v>1566</v>
      </c>
      <c r="L2519" t="s">
        <v>1567</v>
      </c>
      <c r="M2519" t="s">
        <v>1548</v>
      </c>
      <c r="N2519">
        <v>8</v>
      </c>
      <c r="O2519" t="s">
        <v>40</v>
      </c>
      <c r="P2519" t="s">
        <v>40</v>
      </c>
      <c r="Q2519" t="s">
        <v>40</v>
      </c>
      <c r="R2519" t="s">
        <v>40</v>
      </c>
      <c r="S2519" t="s">
        <v>40</v>
      </c>
      <c r="V2519" t="s">
        <v>41</v>
      </c>
      <c r="W2519" t="s">
        <v>49</v>
      </c>
      <c r="X2519" t="str">
        <f>"2960001"</f>
        <v>2960001</v>
      </c>
      <c r="Y2519" t="s">
        <v>1569</v>
      </c>
      <c r="Z2519" t="s">
        <v>1566</v>
      </c>
      <c r="AA2519" t="s">
        <v>1567</v>
      </c>
      <c r="AB2519" t="s">
        <v>1548</v>
      </c>
      <c r="AC2519" t="s">
        <v>51</v>
      </c>
      <c r="AD2519" t="s">
        <v>45</v>
      </c>
      <c r="AE2519" s="1">
        <v>27760</v>
      </c>
      <c r="AF2519">
        <v>2</v>
      </c>
      <c r="AG2519" t="s">
        <v>1567</v>
      </c>
      <c r="AH2519" s="36">
        <f t="shared" si="39"/>
        <v>43.602777777777774</v>
      </c>
      <c r="AI2519" s="41" t="s">
        <v>1779</v>
      </c>
    </row>
    <row r="2520" spans="1:35" x14ac:dyDescent="0.25">
      <c r="A2520" s="36">
        <v>99912518</v>
      </c>
      <c r="B2520" s="17" t="s">
        <v>56</v>
      </c>
      <c r="C2520" t="s">
        <v>141</v>
      </c>
      <c r="D2520" t="s">
        <v>142</v>
      </c>
      <c r="G2520" s="17" t="s">
        <v>35</v>
      </c>
      <c r="H2520" s="17">
        <v>1</v>
      </c>
      <c r="K2520" t="s">
        <v>129</v>
      </c>
      <c r="L2520" t="s">
        <v>130</v>
      </c>
      <c r="M2520" t="s">
        <v>131</v>
      </c>
      <c r="N2520">
        <v>23</v>
      </c>
      <c r="O2520" t="s">
        <v>40</v>
      </c>
      <c r="P2520" t="s">
        <v>40</v>
      </c>
      <c r="Q2520" t="s">
        <v>40</v>
      </c>
      <c r="R2520" t="s">
        <v>40</v>
      </c>
      <c r="S2520" t="s">
        <v>40</v>
      </c>
      <c r="V2520" t="s">
        <v>41</v>
      </c>
      <c r="W2520" t="s">
        <v>42</v>
      </c>
      <c r="X2520" t="str">
        <f>"0590905"</f>
        <v>0590905</v>
      </c>
      <c r="Y2520" t="s">
        <v>133</v>
      </c>
      <c r="Z2520" t="s">
        <v>129</v>
      </c>
      <c r="AA2520" t="s">
        <v>130</v>
      </c>
      <c r="AB2520" t="s">
        <v>131</v>
      </c>
      <c r="AC2520" t="s">
        <v>51</v>
      </c>
      <c r="AD2520" t="s">
        <v>45</v>
      </c>
      <c r="AE2520" s="1">
        <v>27759</v>
      </c>
      <c r="AF2520">
        <v>2</v>
      </c>
      <c r="AG2520" t="s">
        <v>130</v>
      </c>
      <c r="AH2520" s="36">
        <f t="shared" si="39"/>
        <v>43.605555555555554</v>
      </c>
      <c r="AI2520" s="41" t="s">
        <v>1779</v>
      </c>
    </row>
    <row r="2521" spans="1:35" x14ac:dyDescent="0.25">
      <c r="A2521" s="36">
        <v>99912519</v>
      </c>
      <c r="B2521" s="17" t="s">
        <v>32</v>
      </c>
      <c r="C2521" t="s">
        <v>68</v>
      </c>
      <c r="D2521" t="s">
        <v>69</v>
      </c>
      <c r="G2521" s="17" t="s">
        <v>48</v>
      </c>
      <c r="H2521" s="17">
        <v>1</v>
      </c>
      <c r="K2521" t="s">
        <v>380</v>
      </c>
      <c r="L2521" t="s">
        <v>381</v>
      </c>
      <c r="M2521" t="s">
        <v>131</v>
      </c>
      <c r="N2521">
        <v>16</v>
      </c>
      <c r="O2521" t="s">
        <v>40</v>
      </c>
      <c r="P2521" t="s">
        <v>40</v>
      </c>
      <c r="Q2521" t="s">
        <v>40</v>
      </c>
      <c r="R2521" t="s">
        <v>40</v>
      </c>
      <c r="S2521" t="s">
        <v>40</v>
      </c>
      <c r="V2521" t="s">
        <v>41</v>
      </c>
      <c r="W2521" t="s">
        <v>49</v>
      </c>
      <c r="X2521" t="str">
        <f>"0591908"</f>
        <v>0591908</v>
      </c>
      <c r="Y2521" t="s">
        <v>383</v>
      </c>
      <c r="Z2521" t="s">
        <v>380</v>
      </c>
      <c r="AA2521" t="s">
        <v>381</v>
      </c>
      <c r="AB2521" t="s">
        <v>131</v>
      </c>
      <c r="AC2521" t="s">
        <v>51</v>
      </c>
      <c r="AD2521" t="s">
        <v>45</v>
      </c>
      <c r="AE2521" s="1">
        <v>27746</v>
      </c>
      <c r="AF2521">
        <v>2</v>
      </c>
      <c r="AG2521" t="s">
        <v>381</v>
      </c>
      <c r="AH2521" s="36">
        <f t="shared" si="39"/>
        <v>43.641666666666666</v>
      </c>
      <c r="AI2521" s="41" t="s">
        <v>1779</v>
      </c>
    </row>
    <row r="2522" spans="1:35" x14ac:dyDescent="0.25">
      <c r="A2522" s="36">
        <v>99912520</v>
      </c>
      <c r="B2522" s="17" t="s">
        <v>32</v>
      </c>
      <c r="C2522" t="s">
        <v>52</v>
      </c>
      <c r="D2522" t="s">
        <v>53</v>
      </c>
      <c r="G2522" s="17" t="s">
        <v>48</v>
      </c>
      <c r="H2522" s="17">
        <v>10</v>
      </c>
      <c r="K2522" t="s">
        <v>1268</v>
      </c>
      <c r="L2522" t="s">
        <v>1269</v>
      </c>
      <c r="M2522" t="s">
        <v>1270</v>
      </c>
      <c r="N2522">
        <v>20</v>
      </c>
      <c r="O2522" t="s">
        <v>40</v>
      </c>
      <c r="P2522" t="s">
        <v>40</v>
      </c>
      <c r="Q2522" t="s">
        <v>40</v>
      </c>
      <c r="R2522" t="s">
        <v>40</v>
      </c>
      <c r="S2522" t="s">
        <v>40</v>
      </c>
      <c r="V2522" t="s">
        <v>41</v>
      </c>
      <c r="W2522" t="s">
        <v>49</v>
      </c>
      <c r="X2522" t="str">
        <f>"1981912"</f>
        <v>1981912</v>
      </c>
      <c r="Y2522" t="s">
        <v>1279</v>
      </c>
      <c r="Z2522" t="s">
        <v>1268</v>
      </c>
      <c r="AA2522" t="s">
        <v>1269</v>
      </c>
      <c r="AB2522" t="s">
        <v>1270</v>
      </c>
      <c r="AC2522" t="s">
        <v>51</v>
      </c>
      <c r="AD2522" t="s">
        <v>45</v>
      </c>
      <c r="AE2522" s="1">
        <v>27746</v>
      </c>
      <c r="AF2522">
        <v>2</v>
      </c>
      <c r="AG2522" t="s">
        <v>1269</v>
      </c>
      <c r="AH2522" s="36">
        <f t="shared" si="39"/>
        <v>43.641666666666666</v>
      </c>
      <c r="AI2522" s="41" t="s">
        <v>1779</v>
      </c>
    </row>
    <row r="2523" spans="1:35" x14ac:dyDescent="0.25">
      <c r="A2523" s="36">
        <v>99912521</v>
      </c>
      <c r="B2523" s="17" t="s">
        <v>32</v>
      </c>
      <c r="C2523" t="s">
        <v>46</v>
      </c>
      <c r="D2523" t="s">
        <v>47</v>
      </c>
      <c r="G2523" s="17" t="s">
        <v>35</v>
      </c>
      <c r="H2523" s="17">
        <v>1</v>
      </c>
      <c r="I2523">
        <v>18448</v>
      </c>
      <c r="J2523" s="1">
        <v>43344</v>
      </c>
      <c r="K2523" t="s">
        <v>380</v>
      </c>
      <c r="L2523" t="s">
        <v>381</v>
      </c>
      <c r="M2523" t="s">
        <v>131</v>
      </c>
      <c r="N2523">
        <v>8</v>
      </c>
      <c r="O2523" t="s">
        <v>40</v>
      </c>
      <c r="P2523" t="s">
        <v>40</v>
      </c>
      <c r="Q2523" t="s">
        <v>40</v>
      </c>
      <c r="S2523" t="s">
        <v>40</v>
      </c>
      <c r="U2523" s="1">
        <v>43344</v>
      </c>
      <c r="V2523" t="s">
        <v>41</v>
      </c>
      <c r="W2523" t="s">
        <v>49</v>
      </c>
      <c r="X2523" t="str">
        <f>"0581859"</f>
        <v>0581859</v>
      </c>
      <c r="Y2523" t="s">
        <v>394</v>
      </c>
      <c r="Z2523" t="s">
        <v>380</v>
      </c>
      <c r="AA2523" t="s">
        <v>381</v>
      </c>
      <c r="AB2523" t="s">
        <v>131</v>
      </c>
      <c r="AC2523" t="s">
        <v>51</v>
      </c>
      <c r="AD2523" t="s">
        <v>45</v>
      </c>
      <c r="AE2523" s="1">
        <v>27740</v>
      </c>
      <c r="AF2523">
        <v>2</v>
      </c>
      <c r="AG2523" t="s">
        <v>381</v>
      </c>
      <c r="AH2523" s="36">
        <f t="shared" si="39"/>
        <v>43.658333333333331</v>
      </c>
      <c r="AI2523" s="41" t="s">
        <v>1779</v>
      </c>
    </row>
    <row r="2524" spans="1:35" x14ac:dyDescent="0.25">
      <c r="A2524" s="36">
        <v>99912522</v>
      </c>
      <c r="B2524" s="17" t="s">
        <v>32</v>
      </c>
      <c r="C2524" t="s">
        <v>143</v>
      </c>
      <c r="D2524" t="s">
        <v>144</v>
      </c>
      <c r="G2524" s="17" t="s">
        <v>48</v>
      </c>
      <c r="H2524" s="17">
        <v>5</v>
      </c>
      <c r="K2524" t="s">
        <v>1268</v>
      </c>
      <c r="L2524" t="s">
        <v>1269</v>
      </c>
      <c r="M2524" t="s">
        <v>1270</v>
      </c>
      <c r="N2524">
        <v>17</v>
      </c>
      <c r="O2524" t="s">
        <v>40</v>
      </c>
      <c r="P2524" t="s">
        <v>40</v>
      </c>
      <c r="Q2524" t="s">
        <v>40</v>
      </c>
      <c r="R2524" t="s">
        <v>40</v>
      </c>
      <c r="S2524" t="s">
        <v>40</v>
      </c>
      <c r="V2524" t="s">
        <v>41</v>
      </c>
      <c r="W2524" t="s">
        <v>49</v>
      </c>
      <c r="X2524" t="str">
        <f>"1981912"</f>
        <v>1981912</v>
      </c>
      <c r="Y2524" t="s">
        <v>1279</v>
      </c>
      <c r="Z2524" t="s">
        <v>1268</v>
      </c>
      <c r="AA2524" t="s">
        <v>1269</v>
      </c>
      <c r="AB2524" t="s">
        <v>1270</v>
      </c>
      <c r="AC2524" t="s">
        <v>51</v>
      </c>
      <c r="AD2524" t="s">
        <v>45</v>
      </c>
      <c r="AE2524" s="1">
        <v>27739</v>
      </c>
      <c r="AF2524">
        <v>2</v>
      </c>
      <c r="AG2524" t="s">
        <v>1269</v>
      </c>
      <c r="AH2524" s="36">
        <f t="shared" si="39"/>
        <v>43.661111111111111</v>
      </c>
      <c r="AI2524" s="41" t="s">
        <v>1779</v>
      </c>
    </row>
    <row r="2525" spans="1:35" x14ac:dyDescent="0.25">
      <c r="A2525" s="36">
        <v>99912523</v>
      </c>
      <c r="B2525" s="17" t="s">
        <v>32</v>
      </c>
      <c r="C2525" t="s">
        <v>111</v>
      </c>
      <c r="D2525" t="s">
        <v>112</v>
      </c>
      <c r="G2525" s="17" t="s">
        <v>35</v>
      </c>
      <c r="H2525" s="17">
        <v>8</v>
      </c>
      <c r="I2525">
        <v>399</v>
      </c>
      <c r="J2525" s="1">
        <v>40710</v>
      </c>
      <c r="K2525" t="s">
        <v>268</v>
      </c>
      <c r="L2525" t="s">
        <v>269</v>
      </c>
      <c r="M2525" t="s">
        <v>131</v>
      </c>
      <c r="N2525">
        <v>23</v>
      </c>
      <c r="O2525" t="s">
        <v>40</v>
      </c>
      <c r="P2525" t="s">
        <v>40</v>
      </c>
      <c r="Q2525" t="s">
        <v>40</v>
      </c>
      <c r="R2525" t="s">
        <v>40</v>
      </c>
      <c r="S2525" t="s">
        <v>40</v>
      </c>
      <c r="U2525" s="1">
        <v>40710</v>
      </c>
      <c r="V2525" t="s">
        <v>41</v>
      </c>
      <c r="W2525" t="s">
        <v>75</v>
      </c>
      <c r="X2525" t="str">
        <f>"7052006"</f>
        <v>7052006</v>
      </c>
      <c r="Y2525" t="s">
        <v>575</v>
      </c>
      <c r="Z2525" t="s">
        <v>268</v>
      </c>
      <c r="AA2525" t="s">
        <v>269</v>
      </c>
      <c r="AB2525" t="s">
        <v>131</v>
      </c>
      <c r="AC2525" t="s">
        <v>165</v>
      </c>
      <c r="AD2525" t="s">
        <v>45</v>
      </c>
      <c r="AE2525" s="1">
        <v>27734</v>
      </c>
      <c r="AF2525">
        <v>1</v>
      </c>
      <c r="AG2525" t="s">
        <v>269</v>
      </c>
      <c r="AH2525" s="36">
        <f t="shared" si="39"/>
        <v>43.674999999999997</v>
      </c>
      <c r="AI2525" s="41" t="s">
        <v>1779</v>
      </c>
    </row>
    <row r="2526" spans="1:35" x14ac:dyDescent="0.25">
      <c r="A2526" s="36">
        <v>99912524</v>
      </c>
      <c r="B2526" s="17" t="s">
        <v>56</v>
      </c>
      <c r="C2526" t="s">
        <v>52</v>
      </c>
      <c r="D2526" t="s">
        <v>53</v>
      </c>
      <c r="G2526" s="17" t="s">
        <v>48</v>
      </c>
      <c r="H2526" s="17">
        <v>1</v>
      </c>
      <c r="K2526" t="s">
        <v>1128</v>
      </c>
      <c r="L2526" t="s">
        <v>1129</v>
      </c>
      <c r="M2526" t="s">
        <v>1130</v>
      </c>
      <c r="N2526">
        <v>20</v>
      </c>
      <c r="O2526" t="s">
        <v>40</v>
      </c>
      <c r="P2526" t="s">
        <v>40</v>
      </c>
      <c r="Q2526" t="s">
        <v>40</v>
      </c>
      <c r="S2526" t="s">
        <v>40</v>
      </c>
      <c r="V2526" t="s">
        <v>41</v>
      </c>
      <c r="W2526" t="s">
        <v>49</v>
      </c>
      <c r="X2526" t="str">
        <f>"3181010"</f>
        <v>3181010</v>
      </c>
      <c r="Y2526" t="s">
        <v>1134</v>
      </c>
      <c r="Z2526" t="s">
        <v>1128</v>
      </c>
      <c r="AA2526" t="s">
        <v>1129</v>
      </c>
      <c r="AB2526" t="s">
        <v>1130</v>
      </c>
      <c r="AC2526" t="s">
        <v>165</v>
      </c>
      <c r="AD2526" t="s">
        <v>45</v>
      </c>
      <c r="AE2526" s="1">
        <v>27734</v>
      </c>
      <c r="AF2526">
        <v>2</v>
      </c>
      <c r="AG2526" t="s">
        <v>1129</v>
      </c>
      <c r="AH2526" s="36">
        <f t="shared" si="39"/>
        <v>43.674999999999997</v>
      </c>
      <c r="AI2526" s="41" t="s">
        <v>1779</v>
      </c>
    </row>
    <row r="2527" spans="1:35" x14ac:dyDescent="0.25">
      <c r="A2527" s="36">
        <v>99912525</v>
      </c>
      <c r="B2527" s="17" t="s">
        <v>32</v>
      </c>
      <c r="C2527" t="s">
        <v>46</v>
      </c>
      <c r="D2527" t="s">
        <v>47</v>
      </c>
      <c r="G2527" s="17" t="s">
        <v>35</v>
      </c>
      <c r="H2527" s="17">
        <v>1</v>
      </c>
      <c r="I2527">
        <v>15443</v>
      </c>
      <c r="J2527" s="1">
        <v>43344</v>
      </c>
      <c r="K2527" t="s">
        <v>345</v>
      </c>
      <c r="L2527" t="s">
        <v>346</v>
      </c>
      <c r="M2527" t="s">
        <v>131</v>
      </c>
      <c r="N2527">
        <v>17</v>
      </c>
      <c r="O2527" t="s">
        <v>40</v>
      </c>
      <c r="P2527" t="s">
        <v>40</v>
      </c>
      <c r="Q2527" t="s">
        <v>40</v>
      </c>
      <c r="R2527" t="s">
        <v>40</v>
      </c>
      <c r="S2527" t="s">
        <v>40</v>
      </c>
      <c r="U2527" s="1">
        <v>43344</v>
      </c>
      <c r="V2527" t="s">
        <v>41</v>
      </c>
      <c r="W2527" t="s">
        <v>49</v>
      </c>
      <c r="X2527" t="str">
        <f>"0561003"</f>
        <v>0561003</v>
      </c>
      <c r="Y2527" t="s">
        <v>370</v>
      </c>
      <c r="Z2527" t="s">
        <v>345</v>
      </c>
      <c r="AA2527" t="s">
        <v>346</v>
      </c>
      <c r="AB2527" t="s">
        <v>131</v>
      </c>
      <c r="AC2527" t="s">
        <v>55</v>
      </c>
      <c r="AD2527" t="s">
        <v>45</v>
      </c>
      <c r="AE2527" s="1">
        <v>27731</v>
      </c>
      <c r="AF2527">
        <v>2</v>
      </c>
      <c r="AG2527" t="s">
        <v>346</v>
      </c>
      <c r="AH2527" s="36">
        <f t="shared" si="39"/>
        <v>43.68333333333333</v>
      </c>
      <c r="AI2527" s="41" t="s">
        <v>1779</v>
      </c>
    </row>
    <row r="2528" spans="1:35" x14ac:dyDescent="0.25">
      <c r="A2528" s="36">
        <v>99912526</v>
      </c>
      <c r="B2528" s="17" t="s">
        <v>32</v>
      </c>
      <c r="C2528" t="s">
        <v>90</v>
      </c>
      <c r="D2528" t="s">
        <v>91</v>
      </c>
      <c r="G2528" s="17" t="s">
        <v>35</v>
      </c>
      <c r="H2528" s="17">
        <v>1</v>
      </c>
      <c r="K2528" t="s">
        <v>154</v>
      </c>
      <c r="L2528" t="s">
        <v>155</v>
      </c>
      <c r="M2528" t="s">
        <v>131</v>
      </c>
      <c r="N2528">
        <v>22</v>
      </c>
      <c r="O2528" t="s">
        <v>40</v>
      </c>
      <c r="P2528" t="s">
        <v>40</v>
      </c>
      <c r="Q2528" t="s">
        <v>40</v>
      </c>
      <c r="S2528" t="s">
        <v>40</v>
      </c>
      <c r="V2528" t="s">
        <v>41</v>
      </c>
      <c r="W2528" t="s">
        <v>95</v>
      </c>
      <c r="X2528" t="str">
        <f>"7051021"</f>
        <v>7051021</v>
      </c>
      <c r="Y2528" t="s">
        <v>404</v>
      </c>
      <c r="Z2528" t="s">
        <v>154</v>
      </c>
      <c r="AA2528" t="s">
        <v>155</v>
      </c>
      <c r="AB2528" t="s">
        <v>131</v>
      </c>
      <c r="AC2528" t="s">
        <v>165</v>
      </c>
      <c r="AD2528" t="s">
        <v>45</v>
      </c>
      <c r="AE2528" s="1">
        <v>27731</v>
      </c>
      <c r="AF2528">
        <v>1</v>
      </c>
      <c r="AG2528" t="s">
        <v>155</v>
      </c>
      <c r="AH2528" s="36">
        <f t="shared" si="39"/>
        <v>43.68333333333333</v>
      </c>
      <c r="AI2528" s="41" t="s">
        <v>1779</v>
      </c>
    </row>
    <row r="2529" spans="1:35" x14ac:dyDescent="0.25">
      <c r="A2529" s="36">
        <v>99912527</v>
      </c>
      <c r="B2529" s="17" t="s">
        <v>56</v>
      </c>
      <c r="C2529" t="s">
        <v>68</v>
      </c>
      <c r="D2529" t="s">
        <v>69</v>
      </c>
      <c r="G2529" s="17" t="s">
        <v>35</v>
      </c>
      <c r="H2529" s="17">
        <v>1</v>
      </c>
      <c r="I2529" t="s">
        <v>363</v>
      </c>
      <c r="J2529" s="1">
        <v>43344</v>
      </c>
      <c r="K2529" t="s">
        <v>345</v>
      </c>
      <c r="L2529" t="s">
        <v>346</v>
      </c>
      <c r="M2529" t="s">
        <v>131</v>
      </c>
      <c r="N2529">
        <v>23</v>
      </c>
      <c r="O2529" t="s">
        <v>40</v>
      </c>
      <c r="S2529" t="s">
        <v>40</v>
      </c>
      <c r="U2529" s="1">
        <v>43344</v>
      </c>
      <c r="V2529" t="s">
        <v>41</v>
      </c>
      <c r="W2529" t="s">
        <v>42</v>
      </c>
      <c r="X2529" t="str">
        <f>"0580615"</f>
        <v>0580615</v>
      </c>
      <c r="Y2529" t="s">
        <v>364</v>
      </c>
      <c r="Z2529" t="s">
        <v>345</v>
      </c>
      <c r="AA2529" t="s">
        <v>346</v>
      </c>
      <c r="AB2529" t="s">
        <v>131</v>
      </c>
      <c r="AC2529" t="s">
        <v>51</v>
      </c>
      <c r="AD2529" t="s">
        <v>45</v>
      </c>
      <c r="AE2529" s="1">
        <v>27729</v>
      </c>
      <c r="AF2529">
        <v>2</v>
      </c>
      <c r="AG2529" t="s">
        <v>346</v>
      </c>
      <c r="AH2529" s="36">
        <f t="shared" si="39"/>
        <v>43.68888888888889</v>
      </c>
      <c r="AI2529" s="41" t="s">
        <v>1779</v>
      </c>
    </row>
    <row r="2530" spans="1:35" x14ac:dyDescent="0.25">
      <c r="A2530" s="36">
        <v>99912528</v>
      </c>
      <c r="B2530" s="17" t="s">
        <v>32</v>
      </c>
      <c r="C2530" t="s">
        <v>111</v>
      </c>
      <c r="D2530" t="s">
        <v>112</v>
      </c>
      <c r="G2530" s="17" t="s">
        <v>35</v>
      </c>
      <c r="H2530" s="17">
        <v>1</v>
      </c>
      <c r="K2530" t="s">
        <v>431</v>
      </c>
      <c r="L2530" t="s">
        <v>196</v>
      </c>
      <c r="M2530" t="s">
        <v>131</v>
      </c>
      <c r="N2530">
        <v>24</v>
      </c>
      <c r="O2530" t="s">
        <v>40</v>
      </c>
      <c r="P2530" t="s">
        <v>40</v>
      </c>
      <c r="Q2530" t="s">
        <v>40</v>
      </c>
      <c r="S2530" t="s">
        <v>40</v>
      </c>
      <c r="V2530" t="s">
        <v>41</v>
      </c>
      <c r="W2530" t="s">
        <v>75</v>
      </c>
      <c r="X2530" t="str">
        <f>"7521032"</f>
        <v>7521032</v>
      </c>
      <c r="Y2530" t="s">
        <v>462</v>
      </c>
      <c r="Z2530" t="s">
        <v>431</v>
      </c>
      <c r="AA2530" t="s">
        <v>196</v>
      </c>
      <c r="AB2530" t="s">
        <v>131</v>
      </c>
      <c r="AC2530" t="s">
        <v>51</v>
      </c>
      <c r="AD2530" t="s">
        <v>45</v>
      </c>
      <c r="AE2530" s="1">
        <v>27728</v>
      </c>
      <c r="AF2530">
        <v>1</v>
      </c>
      <c r="AG2530" t="s">
        <v>196</v>
      </c>
      <c r="AH2530" s="36">
        <f t="shared" si="39"/>
        <v>43.69166666666667</v>
      </c>
      <c r="AI2530" s="41" t="s">
        <v>1779</v>
      </c>
    </row>
    <row r="2531" spans="1:35" x14ac:dyDescent="0.25">
      <c r="A2531" s="36">
        <v>99912529</v>
      </c>
      <c r="B2531" s="17" t="s">
        <v>56</v>
      </c>
      <c r="C2531" t="s">
        <v>52</v>
      </c>
      <c r="D2531" t="s">
        <v>53</v>
      </c>
      <c r="G2531" s="17" t="s">
        <v>48</v>
      </c>
      <c r="H2531" s="17">
        <v>1</v>
      </c>
      <c r="K2531" t="s">
        <v>223</v>
      </c>
      <c r="L2531" t="s">
        <v>224</v>
      </c>
      <c r="M2531" t="s">
        <v>131</v>
      </c>
      <c r="N2531">
        <v>21</v>
      </c>
      <c r="O2531" t="s">
        <v>40</v>
      </c>
      <c r="P2531" t="s">
        <v>40</v>
      </c>
      <c r="Q2531" t="s">
        <v>40</v>
      </c>
      <c r="S2531" t="s">
        <v>40</v>
      </c>
      <c r="V2531" t="s">
        <v>41</v>
      </c>
      <c r="W2531" t="s">
        <v>42</v>
      </c>
      <c r="X2531" t="str">
        <f>"0580202"</f>
        <v>0580202</v>
      </c>
      <c r="Y2531" t="s">
        <v>240</v>
      </c>
      <c r="Z2531" t="s">
        <v>223</v>
      </c>
      <c r="AA2531" t="s">
        <v>224</v>
      </c>
      <c r="AB2531" t="s">
        <v>131</v>
      </c>
      <c r="AC2531" t="s">
        <v>51</v>
      </c>
      <c r="AD2531" t="s">
        <v>45</v>
      </c>
      <c r="AE2531" s="1">
        <v>27726</v>
      </c>
      <c r="AF2531">
        <v>2</v>
      </c>
      <c r="AG2531" t="s">
        <v>224</v>
      </c>
      <c r="AH2531" s="36">
        <f t="shared" si="39"/>
        <v>43.697222222222223</v>
      </c>
      <c r="AI2531" s="41" t="s">
        <v>1779</v>
      </c>
    </row>
    <row r="2532" spans="1:35" x14ac:dyDescent="0.25">
      <c r="A2532" s="36">
        <v>99912530</v>
      </c>
      <c r="B2532" s="17" t="s">
        <v>32</v>
      </c>
      <c r="C2532" t="s">
        <v>90</v>
      </c>
      <c r="D2532" t="s">
        <v>91</v>
      </c>
      <c r="G2532" s="17" t="s">
        <v>35</v>
      </c>
      <c r="H2532" s="17">
        <v>1</v>
      </c>
      <c r="I2532">
        <v>10031</v>
      </c>
      <c r="J2532" s="1">
        <v>43344</v>
      </c>
      <c r="K2532" t="s">
        <v>354</v>
      </c>
      <c r="L2532" t="s">
        <v>355</v>
      </c>
      <c r="M2532" t="s">
        <v>131</v>
      </c>
      <c r="N2532">
        <v>25</v>
      </c>
      <c r="O2532" t="s">
        <v>40</v>
      </c>
      <c r="S2532" t="s">
        <v>40</v>
      </c>
      <c r="U2532" s="1">
        <v>43344</v>
      </c>
      <c r="V2532" t="s">
        <v>41</v>
      </c>
      <c r="W2532" t="s">
        <v>95</v>
      </c>
      <c r="X2532" t="str">
        <f>"7054001"</f>
        <v>7054001</v>
      </c>
      <c r="Y2532" t="s">
        <v>835</v>
      </c>
      <c r="Z2532" t="s">
        <v>354</v>
      </c>
      <c r="AA2532" t="s">
        <v>355</v>
      </c>
      <c r="AB2532" t="s">
        <v>131</v>
      </c>
      <c r="AC2532" t="s">
        <v>51</v>
      </c>
      <c r="AD2532" t="s">
        <v>45</v>
      </c>
      <c r="AE2532" s="1">
        <v>27726</v>
      </c>
      <c r="AF2532">
        <v>1</v>
      </c>
      <c r="AG2532" t="s">
        <v>355</v>
      </c>
      <c r="AH2532" s="36">
        <f t="shared" si="39"/>
        <v>43.697222222222223</v>
      </c>
      <c r="AI2532" s="41" t="s">
        <v>1779</v>
      </c>
    </row>
    <row r="2533" spans="1:35" x14ac:dyDescent="0.25">
      <c r="A2533" s="36">
        <v>99912531</v>
      </c>
      <c r="B2533" s="17" t="s">
        <v>56</v>
      </c>
      <c r="C2533" t="s">
        <v>68</v>
      </c>
      <c r="D2533" t="s">
        <v>69</v>
      </c>
      <c r="G2533" s="17" t="s">
        <v>48</v>
      </c>
      <c r="H2533" s="17">
        <v>8</v>
      </c>
      <c r="K2533" t="s">
        <v>345</v>
      </c>
      <c r="L2533" t="s">
        <v>346</v>
      </c>
      <c r="M2533" t="s">
        <v>131</v>
      </c>
      <c r="N2533">
        <v>21</v>
      </c>
      <c r="O2533" t="s">
        <v>40</v>
      </c>
      <c r="P2533" t="s">
        <v>40</v>
      </c>
      <c r="Q2533" t="s">
        <v>40</v>
      </c>
      <c r="R2533" t="s">
        <v>40</v>
      </c>
      <c r="S2533" t="s">
        <v>40</v>
      </c>
      <c r="V2533" t="s">
        <v>41</v>
      </c>
      <c r="W2533" t="s">
        <v>49</v>
      </c>
      <c r="X2533" t="str">
        <f>"0591906"</f>
        <v>0591906</v>
      </c>
      <c r="Y2533" t="s">
        <v>350</v>
      </c>
      <c r="Z2533" t="s">
        <v>345</v>
      </c>
      <c r="AA2533" t="s">
        <v>346</v>
      </c>
      <c r="AB2533" t="s">
        <v>131</v>
      </c>
      <c r="AC2533" t="s">
        <v>51</v>
      </c>
      <c r="AD2533" t="s">
        <v>45</v>
      </c>
      <c r="AE2533" s="1">
        <v>27723</v>
      </c>
      <c r="AF2533">
        <v>2</v>
      </c>
      <c r="AG2533" t="s">
        <v>346</v>
      </c>
      <c r="AH2533" s="36">
        <f t="shared" si="39"/>
        <v>43.705555555555556</v>
      </c>
      <c r="AI2533" s="41" t="s">
        <v>1779</v>
      </c>
    </row>
    <row r="2534" spans="1:35" x14ac:dyDescent="0.25">
      <c r="A2534" s="36">
        <v>99912532</v>
      </c>
      <c r="B2534" s="17" t="s">
        <v>32</v>
      </c>
      <c r="C2534" t="s">
        <v>111</v>
      </c>
      <c r="D2534" t="s">
        <v>112</v>
      </c>
      <c r="G2534" s="17" t="s">
        <v>35</v>
      </c>
      <c r="H2534" s="17">
        <v>1</v>
      </c>
      <c r="K2534" t="s">
        <v>154</v>
      </c>
      <c r="L2534" t="s">
        <v>155</v>
      </c>
      <c r="M2534" t="s">
        <v>131</v>
      </c>
      <c r="N2534">
        <v>22</v>
      </c>
      <c r="O2534" t="s">
        <v>40</v>
      </c>
      <c r="P2534" t="s">
        <v>40</v>
      </c>
      <c r="Q2534" t="s">
        <v>40</v>
      </c>
      <c r="S2534" t="s">
        <v>40</v>
      </c>
      <c r="V2534" t="s">
        <v>41</v>
      </c>
      <c r="W2534" t="s">
        <v>75</v>
      </c>
      <c r="X2534" t="str">
        <f>"7700026"</f>
        <v>7700026</v>
      </c>
      <c r="Y2534" t="s">
        <v>397</v>
      </c>
      <c r="Z2534" t="s">
        <v>154</v>
      </c>
      <c r="AA2534" t="s">
        <v>155</v>
      </c>
      <c r="AB2534" t="s">
        <v>131</v>
      </c>
      <c r="AC2534" t="s">
        <v>51</v>
      </c>
      <c r="AD2534" t="s">
        <v>45</v>
      </c>
      <c r="AE2534" s="1">
        <v>27706</v>
      </c>
      <c r="AF2534">
        <v>1</v>
      </c>
      <c r="AG2534" t="s">
        <v>155</v>
      </c>
      <c r="AH2534" s="36">
        <f t="shared" si="39"/>
        <v>43.75277777777778</v>
      </c>
      <c r="AI2534" s="41" t="s">
        <v>1779</v>
      </c>
    </row>
    <row r="2535" spans="1:35" x14ac:dyDescent="0.25">
      <c r="A2535" s="36">
        <v>99912533</v>
      </c>
      <c r="B2535" s="17" t="s">
        <v>32</v>
      </c>
      <c r="C2535" t="s">
        <v>90</v>
      </c>
      <c r="D2535" t="s">
        <v>91</v>
      </c>
      <c r="G2535" s="17" t="s">
        <v>48</v>
      </c>
      <c r="H2535" s="17">
        <v>1</v>
      </c>
      <c r="K2535" t="s">
        <v>268</v>
      </c>
      <c r="L2535" t="s">
        <v>269</v>
      </c>
      <c r="M2535" t="s">
        <v>131</v>
      </c>
      <c r="N2535">
        <v>4</v>
      </c>
      <c r="O2535" t="s">
        <v>40</v>
      </c>
      <c r="P2535" t="s">
        <v>40</v>
      </c>
      <c r="Q2535" t="s">
        <v>40</v>
      </c>
      <c r="S2535" t="s">
        <v>40</v>
      </c>
      <c r="V2535" t="s">
        <v>41</v>
      </c>
      <c r="W2535" t="s">
        <v>95</v>
      </c>
      <c r="X2535" t="str">
        <f>"7052021"</f>
        <v>7052021</v>
      </c>
      <c r="Y2535" t="s">
        <v>709</v>
      </c>
      <c r="Z2535" t="s">
        <v>268</v>
      </c>
      <c r="AA2535" t="s">
        <v>269</v>
      </c>
      <c r="AB2535" t="s">
        <v>131</v>
      </c>
      <c r="AC2535" t="s">
        <v>165</v>
      </c>
      <c r="AD2535" t="s">
        <v>45</v>
      </c>
      <c r="AE2535" s="1">
        <v>27701</v>
      </c>
      <c r="AF2535">
        <v>1</v>
      </c>
      <c r="AG2535" t="s">
        <v>269</v>
      </c>
      <c r="AH2535" s="36">
        <f t="shared" si="39"/>
        <v>43.766666666666666</v>
      </c>
      <c r="AI2535" s="41" t="s">
        <v>1779</v>
      </c>
    </row>
    <row r="2536" spans="1:35" x14ac:dyDescent="0.25">
      <c r="A2536" s="36">
        <v>99912534</v>
      </c>
      <c r="B2536" s="17" t="s">
        <v>32</v>
      </c>
      <c r="C2536" t="s">
        <v>71</v>
      </c>
      <c r="D2536" t="s">
        <v>72</v>
      </c>
      <c r="G2536" s="17" t="s">
        <v>35</v>
      </c>
      <c r="H2536" s="17">
        <v>1</v>
      </c>
      <c r="I2536" t="s">
        <v>1330</v>
      </c>
      <c r="J2536" s="1">
        <v>43405</v>
      </c>
      <c r="K2536" t="s">
        <v>1325</v>
      </c>
      <c r="L2536" t="s">
        <v>1326</v>
      </c>
      <c r="M2536" t="s">
        <v>1270</v>
      </c>
      <c r="N2536">
        <v>22</v>
      </c>
      <c r="O2536" t="s">
        <v>40</v>
      </c>
      <c r="S2536" t="s">
        <v>40</v>
      </c>
      <c r="U2536" s="1">
        <v>43405</v>
      </c>
      <c r="X2536" t="str">
        <f>""</f>
        <v/>
      </c>
      <c r="AA2536" t="s">
        <v>1326</v>
      </c>
      <c r="AB2536" t="s">
        <v>1270</v>
      </c>
      <c r="AC2536" t="s">
        <v>44</v>
      </c>
      <c r="AD2536" t="s">
        <v>45</v>
      </c>
      <c r="AE2536" s="1">
        <v>27691</v>
      </c>
      <c r="AF2536">
        <v>2</v>
      </c>
      <c r="AG2536" t="s">
        <v>1326</v>
      </c>
      <c r="AH2536" s="36">
        <f t="shared" si="39"/>
        <v>43.794444444444444</v>
      </c>
      <c r="AI2536" s="41" t="s">
        <v>1779</v>
      </c>
    </row>
    <row r="2537" spans="1:35" x14ac:dyDescent="0.25">
      <c r="A2537" s="36">
        <v>99912535</v>
      </c>
      <c r="B2537" s="17" t="s">
        <v>56</v>
      </c>
      <c r="C2537" t="s">
        <v>61</v>
      </c>
      <c r="D2537" t="s">
        <v>62</v>
      </c>
      <c r="G2537" s="17" t="s">
        <v>35</v>
      </c>
      <c r="H2537" s="17">
        <v>1</v>
      </c>
      <c r="I2537" t="s">
        <v>1545</v>
      </c>
      <c r="J2537" s="1">
        <v>43374</v>
      </c>
      <c r="K2537" t="s">
        <v>667</v>
      </c>
      <c r="L2537" t="s">
        <v>669</v>
      </c>
      <c r="M2537" t="s">
        <v>670</v>
      </c>
      <c r="N2537">
        <v>12</v>
      </c>
      <c r="O2537" t="s">
        <v>40</v>
      </c>
      <c r="S2537" t="s">
        <v>40</v>
      </c>
      <c r="U2537" s="1">
        <v>43374</v>
      </c>
      <c r="V2537" t="s">
        <v>41</v>
      </c>
      <c r="W2537" t="s">
        <v>75</v>
      </c>
      <c r="X2537" t="str">
        <f>"7501000"</f>
        <v>7501000</v>
      </c>
      <c r="Y2537" t="s">
        <v>668</v>
      </c>
      <c r="Z2537" t="s">
        <v>667</v>
      </c>
      <c r="AA2537" t="s">
        <v>669</v>
      </c>
      <c r="AB2537" t="s">
        <v>670</v>
      </c>
      <c r="AC2537" t="s">
        <v>44</v>
      </c>
      <c r="AD2537" t="s">
        <v>45</v>
      </c>
      <c r="AE2537" s="1">
        <v>27690</v>
      </c>
      <c r="AF2537">
        <v>1</v>
      </c>
      <c r="AG2537" t="s">
        <v>669</v>
      </c>
      <c r="AH2537" s="36">
        <f t="shared" si="39"/>
        <v>43.797222222222224</v>
      </c>
      <c r="AI2537" s="41" t="s">
        <v>1779</v>
      </c>
    </row>
    <row r="2538" spans="1:35" x14ac:dyDescent="0.25">
      <c r="A2538" s="36">
        <v>99912536</v>
      </c>
      <c r="B2538" s="17" t="s">
        <v>32</v>
      </c>
      <c r="C2538" t="s">
        <v>143</v>
      </c>
      <c r="D2538" t="s">
        <v>144</v>
      </c>
      <c r="G2538" s="17" t="s">
        <v>35</v>
      </c>
      <c r="H2538" s="17">
        <v>4</v>
      </c>
      <c r="K2538" t="s">
        <v>268</v>
      </c>
      <c r="L2538" t="s">
        <v>269</v>
      </c>
      <c r="M2538" t="s">
        <v>131</v>
      </c>
      <c r="N2538">
        <v>23</v>
      </c>
      <c r="O2538" t="s">
        <v>40</v>
      </c>
      <c r="P2538" t="s">
        <v>40</v>
      </c>
      <c r="Q2538" t="s">
        <v>40</v>
      </c>
      <c r="R2538" t="s">
        <v>40</v>
      </c>
      <c r="S2538" t="s">
        <v>40</v>
      </c>
      <c r="V2538" t="s">
        <v>41</v>
      </c>
      <c r="W2538" t="s">
        <v>75</v>
      </c>
      <c r="X2538" t="str">
        <f>"7052004"</f>
        <v>7052004</v>
      </c>
      <c r="Y2538" t="s">
        <v>584</v>
      </c>
      <c r="Z2538" t="s">
        <v>268</v>
      </c>
      <c r="AA2538" t="s">
        <v>269</v>
      </c>
      <c r="AB2538" t="s">
        <v>131</v>
      </c>
      <c r="AC2538" t="s">
        <v>51</v>
      </c>
      <c r="AD2538" t="s">
        <v>45</v>
      </c>
      <c r="AE2538" s="1">
        <v>27689</v>
      </c>
      <c r="AF2538">
        <v>1</v>
      </c>
      <c r="AG2538" t="s">
        <v>269</v>
      </c>
      <c r="AH2538" s="36">
        <f t="shared" si="39"/>
        <v>43.8</v>
      </c>
      <c r="AI2538" s="41" t="s">
        <v>1779</v>
      </c>
    </row>
    <row r="2539" spans="1:35" x14ac:dyDescent="0.25">
      <c r="A2539" s="36">
        <v>99912537</v>
      </c>
      <c r="B2539" s="17" t="s">
        <v>32</v>
      </c>
      <c r="C2539" t="s">
        <v>64</v>
      </c>
      <c r="D2539" t="s">
        <v>65</v>
      </c>
      <c r="G2539" s="17" t="s">
        <v>35</v>
      </c>
      <c r="H2539" s="17">
        <v>1</v>
      </c>
      <c r="I2539">
        <v>13021</v>
      </c>
      <c r="J2539" s="1">
        <v>43344</v>
      </c>
      <c r="K2539" t="s">
        <v>354</v>
      </c>
      <c r="L2539" t="s">
        <v>355</v>
      </c>
      <c r="M2539" t="s">
        <v>131</v>
      </c>
      <c r="N2539">
        <v>14</v>
      </c>
      <c r="O2539" t="s">
        <v>40</v>
      </c>
      <c r="S2539" t="s">
        <v>40</v>
      </c>
      <c r="U2539" s="1">
        <v>43344</v>
      </c>
      <c r="V2539" t="s">
        <v>41</v>
      </c>
      <c r="W2539" t="s">
        <v>75</v>
      </c>
      <c r="X2539" t="str">
        <f>"7054028"</f>
        <v>7054028</v>
      </c>
      <c r="Y2539" t="s">
        <v>788</v>
      </c>
      <c r="Z2539" t="s">
        <v>354</v>
      </c>
      <c r="AA2539" t="s">
        <v>355</v>
      </c>
      <c r="AB2539" t="s">
        <v>131</v>
      </c>
      <c r="AC2539" t="s">
        <v>51</v>
      </c>
      <c r="AD2539" t="s">
        <v>45</v>
      </c>
      <c r="AE2539" s="1">
        <v>27685</v>
      </c>
      <c r="AF2539">
        <v>1</v>
      </c>
      <c r="AG2539" t="s">
        <v>355</v>
      </c>
      <c r="AH2539" s="36">
        <f t="shared" si="39"/>
        <v>43.81111111111111</v>
      </c>
      <c r="AI2539" s="41" t="s">
        <v>1779</v>
      </c>
    </row>
    <row r="2540" spans="1:35" x14ac:dyDescent="0.25">
      <c r="A2540" s="36">
        <v>99912538</v>
      </c>
      <c r="B2540" s="17" t="s">
        <v>32</v>
      </c>
      <c r="C2540" t="s">
        <v>46</v>
      </c>
      <c r="D2540" t="s">
        <v>47</v>
      </c>
      <c r="G2540" s="17" t="s">
        <v>48</v>
      </c>
      <c r="H2540" s="17">
        <v>1</v>
      </c>
      <c r="K2540" t="s">
        <v>380</v>
      </c>
      <c r="L2540" t="s">
        <v>381</v>
      </c>
      <c r="M2540" t="s">
        <v>131</v>
      </c>
      <c r="N2540">
        <v>22</v>
      </c>
      <c r="O2540" t="s">
        <v>40</v>
      </c>
      <c r="P2540" t="s">
        <v>40</v>
      </c>
      <c r="Q2540" t="s">
        <v>40</v>
      </c>
      <c r="R2540" t="s">
        <v>40</v>
      </c>
      <c r="S2540" t="s">
        <v>40</v>
      </c>
      <c r="V2540" t="s">
        <v>41</v>
      </c>
      <c r="W2540" t="s">
        <v>49</v>
      </c>
      <c r="X2540" t="str">
        <f>"0580552"</f>
        <v>0580552</v>
      </c>
      <c r="Y2540" t="s">
        <v>386</v>
      </c>
      <c r="Z2540" t="s">
        <v>380</v>
      </c>
      <c r="AA2540" t="s">
        <v>381</v>
      </c>
      <c r="AB2540" t="s">
        <v>131</v>
      </c>
      <c r="AC2540" t="s">
        <v>51</v>
      </c>
      <c r="AD2540" t="s">
        <v>45</v>
      </c>
      <c r="AE2540" s="1">
        <v>27684</v>
      </c>
      <c r="AF2540">
        <v>2</v>
      </c>
      <c r="AG2540" t="s">
        <v>381</v>
      </c>
      <c r="AH2540" s="36">
        <f t="shared" si="39"/>
        <v>43.81388888888889</v>
      </c>
      <c r="AI2540" s="41" t="s">
        <v>1779</v>
      </c>
    </row>
    <row r="2541" spans="1:35" x14ac:dyDescent="0.25">
      <c r="A2541" s="36">
        <v>99912539</v>
      </c>
      <c r="B2541" s="17" t="s">
        <v>32</v>
      </c>
      <c r="C2541" t="s">
        <v>90</v>
      </c>
      <c r="D2541" t="s">
        <v>91</v>
      </c>
      <c r="G2541" s="17" t="s">
        <v>35</v>
      </c>
      <c r="H2541" s="17">
        <v>1</v>
      </c>
      <c r="I2541" t="s">
        <v>1723</v>
      </c>
      <c r="J2541" s="1">
        <v>43344</v>
      </c>
      <c r="K2541" t="s">
        <v>1708</v>
      </c>
      <c r="L2541" t="s">
        <v>1709</v>
      </c>
      <c r="M2541" t="s">
        <v>1705</v>
      </c>
      <c r="N2541">
        <v>6</v>
      </c>
      <c r="O2541" t="s">
        <v>40</v>
      </c>
      <c r="P2541" t="s">
        <v>40</v>
      </c>
      <c r="Q2541" t="s">
        <v>40</v>
      </c>
      <c r="S2541" t="s">
        <v>40</v>
      </c>
      <c r="U2541" s="1">
        <v>43344</v>
      </c>
      <c r="V2541" t="s">
        <v>41</v>
      </c>
      <c r="W2541" t="s">
        <v>95</v>
      </c>
      <c r="X2541" t="str">
        <f>"7121019"</f>
        <v>7121019</v>
      </c>
      <c r="Y2541" t="s">
        <v>1712</v>
      </c>
      <c r="Z2541" t="s">
        <v>1708</v>
      </c>
      <c r="AA2541" t="s">
        <v>1709</v>
      </c>
      <c r="AB2541" t="s">
        <v>1705</v>
      </c>
      <c r="AC2541" t="s">
        <v>44</v>
      </c>
      <c r="AD2541" t="s">
        <v>45</v>
      </c>
      <c r="AE2541" s="1">
        <v>27677</v>
      </c>
      <c r="AF2541">
        <v>1</v>
      </c>
      <c r="AG2541" t="s">
        <v>1709</v>
      </c>
      <c r="AH2541" s="36">
        <f t="shared" si="39"/>
        <v>43.833333333333336</v>
      </c>
      <c r="AI2541" s="41" t="s">
        <v>1779</v>
      </c>
    </row>
    <row r="2542" spans="1:35" x14ac:dyDescent="0.25">
      <c r="A2542" s="36">
        <v>99912540</v>
      </c>
      <c r="B2542" s="17" t="s">
        <v>56</v>
      </c>
      <c r="C2542" t="s">
        <v>46</v>
      </c>
      <c r="D2542" t="s">
        <v>47</v>
      </c>
      <c r="G2542" s="17" t="s">
        <v>35</v>
      </c>
      <c r="H2542" s="17">
        <v>1</v>
      </c>
      <c r="K2542" t="s">
        <v>223</v>
      </c>
      <c r="L2542" t="s">
        <v>224</v>
      </c>
      <c r="M2542" t="s">
        <v>131</v>
      </c>
      <c r="N2542">
        <v>18</v>
      </c>
      <c r="O2542" t="s">
        <v>40</v>
      </c>
      <c r="P2542" t="s">
        <v>40</v>
      </c>
      <c r="Q2542" t="s">
        <v>40</v>
      </c>
      <c r="S2542" t="s">
        <v>40</v>
      </c>
      <c r="V2542" t="s">
        <v>41</v>
      </c>
      <c r="W2542" t="s">
        <v>42</v>
      </c>
      <c r="X2542" t="str">
        <f>"0590903"</f>
        <v>0590903</v>
      </c>
      <c r="Y2542" t="s">
        <v>226</v>
      </c>
      <c r="Z2542" t="s">
        <v>223</v>
      </c>
      <c r="AA2542" t="s">
        <v>224</v>
      </c>
      <c r="AB2542" t="s">
        <v>131</v>
      </c>
      <c r="AC2542" t="s">
        <v>51</v>
      </c>
      <c r="AD2542" t="s">
        <v>45</v>
      </c>
      <c r="AE2542" s="1">
        <v>27676</v>
      </c>
      <c r="AF2542">
        <v>2</v>
      </c>
      <c r="AG2542" t="s">
        <v>224</v>
      </c>
      <c r="AH2542" s="36">
        <f t="shared" si="39"/>
        <v>43.836111111111109</v>
      </c>
      <c r="AI2542" s="41" t="s">
        <v>1779</v>
      </c>
    </row>
    <row r="2543" spans="1:35" x14ac:dyDescent="0.25">
      <c r="A2543" s="36">
        <v>99912541</v>
      </c>
      <c r="B2543" s="17" t="s">
        <v>32</v>
      </c>
      <c r="C2543" t="s">
        <v>33</v>
      </c>
      <c r="D2543" t="s">
        <v>34</v>
      </c>
      <c r="G2543" s="17" t="s">
        <v>35</v>
      </c>
      <c r="H2543" s="17">
        <v>1</v>
      </c>
      <c r="I2543">
        <v>6467</v>
      </c>
      <c r="J2543" s="1">
        <v>43344</v>
      </c>
      <c r="K2543" t="s">
        <v>300</v>
      </c>
      <c r="L2543" t="s">
        <v>301</v>
      </c>
      <c r="M2543" t="s">
        <v>131</v>
      </c>
      <c r="N2543">
        <v>9</v>
      </c>
      <c r="O2543" t="s">
        <v>40</v>
      </c>
      <c r="P2543" t="s">
        <v>40</v>
      </c>
      <c r="Q2543" t="s">
        <v>40</v>
      </c>
      <c r="R2543" t="s">
        <v>40</v>
      </c>
      <c r="S2543" t="s">
        <v>40</v>
      </c>
      <c r="U2543" s="1">
        <v>43344</v>
      </c>
      <c r="V2543" t="s">
        <v>41</v>
      </c>
      <c r="W2543" t="s">
        <v>42</v>
      </c>
      <c r="X2543" t="str">
        <f>"0580175"</f>
        <v>0580175</v>
      </c>
      <c r="Y2543" t="s">
        <v>303</v>
      </c>
      <c r="Z2543" t="s">
        <v>300</v>
      </c>
      <c r="AA2543" t="s">
        <v>301</v>
      </c>
      <c r="AB2543" t="s">
        <v>131</v>
      </c>
      <c r="AC2543" t="s">
        <v>44</v>
      </c>
      <c r="AD2543" t="s">
        <v>45</v>
      </c>
      <c r="AE2543" s="1">
        <v>27669</v>
      </c>
      <c r="AF2543">
        <v>2</v>
      </c>
      <c r="AG2543" t="s">
        <v>301</v>
      </c>
      <c r="AH2543" s="36">
        <f t="shared" si="39"/>
        <v>43.855555555555554</v>
      </c>
      <c r="AI2543" s="41" t="s">
        <v>1779</v>
      </c>
    </row>
    <row r="2544" spans="1:35" x14ac:dyDescent="0.25">
      <c r="A2544" s="36">
        <v>99912542</v>
      </c>
      <c r="B2544" s="17" t="s">
        <v>32</v>
      </c>
      <c r="C2544" t="s">
        <v>111</v>
      </c>
      <c r="D2544" t="s">
        <v>112</v>
      </c>
      <c r="G2544" s="17" t="s">
        <v>35</v>
      </c>
      <c r="H2544" s="17">
        <v>1</v>
      </c>
      <c r="K2544" t="s">
        <v>1341</v>
      </c>
      <c r="L2544" t="s">
        <v>1342</v>
      </c>
      <c r="M2544" t="s">
        <v>1270</v>
      </c>
      <c r="N2544">
        <v>20</v>
      </c>
      <c r="O2544" t="s">
        <v>40</v>
      </c>
      <c r="P2544" t="s">
        <v>40</v>
      </c>
      <c r="Q2544" t="s">
        <v>40</v>
      </c>
      <c r="S2544" t="s">
        <v>40</v>
      </c>
      <c r="V2544" t="s">
        <v>41</v>
      </c>
      <c r="W2544" t="s">
        <v>75</v>
      </c>
      <c r="X2544" t="str">
        <f>"7191006"</f>
        <v>7191006</v>
      </c>
      <c r="Y2544" t="s">
        <v>1351</v>
      </c>
      <c r="Z2544" t="s">
        <v>1341</v>
      </c>
      <c r="AA2544" t="s">
        <v>1342</v>
      </c>
      <c r="AB2544" t="s">
        <v>1270</v>
      </c>
      <c r="AC2544" t="s">
        <v>51</v>
      </c>
      <c r="AD2544" t="s">
        <v>45</v>
      </c>
      <c r="AE2544" s="1">
        <v>27668</v>
      </c>
      <c r="AF2544">
        <v>1</v>
      </c>
      <c r="AG2544" t="s">
        <v>1342</v>
      </c>
      <c r="AH2544" s="36">
        <f t="shared" si="39"/>
        <v>43.858333333333334</v>
      </c>
      <c r="AI2544" s="41" t="s">
        <v>1779</v>
      </c>
    </row>
    <row r="2545" spans="1:35" x14ac:dyDescent="0.25">
      <c r="A2545" s="36">
        <v>99912543</v>
      </c>
      <c r="B2545" s="17" t="s">
        <v>56</v>
      </c>
      <c r="C2545" t="s">
        <v>68</v>
      </c>
      <c r="D2545" t="s">
        <v>69</v>
      </c>
      <c r="G2545" s="17" t="s">
        <v>88</v>
      </c>
      <c r="H2545" s="17">
        <v>4</v>
      </c>
      <c r="K2545" t="s">
        <v>157</v>
      </c>
      <c r="L2545" t="s">
        <v>158</v>
      </c>
      <c r="M2545" t="s">
        <v>131</v>
      </c>
      <c r="N2545">
        <v>15</v>
      </c>
      <c r="O2545" t="s">
        <v>40</v>
      </c>
      <c r="P2545" t="s">
        <v>40</v>
      </c>
      <c r="Q2545" t="s">
        <v>40</v>
      </c>
      <c r="R2545" t="s">
        <v>40</v>
      </c>
      <c r="S2545" t="s">
        <v>40</v>
      </c>
      <c r="V2545" t="s">
        <v>41</v>
      </c>
      <c r="W2545" t="s">
        <v>49</v>
      </c>
      <c r="X2545" t="str">
        <f>"0560026"</f>
        <v>0560026</v>
      </c>
      <c r="Y2545" t="s">
        <v>184</v>
      </c>
      <c r="Z2545" t="s">
        <v>157</v>
      </c>
      <c r="AA2545" t="s">
        <v>158</v>
      </c>
      <c r="AB2545" t="s">
        <v>131</v>
      </c>
      <c r="AC2545" t="s">
        <v>51</v>
      </c>
      <c r="AD2545" t="s">
        <v>45</v>
      </c>
      <c r="AE2545" s="1">
        <v>27667</v>
      </c>
      <c r="AF2545">
        <v>2</v>
      </c>
      <c r="AG2545" t="s">
        <v>158</v>
      </c>
      <c r="AH2545" s="36">
        <f t="shared" si="39"/>
        <v>43.861111111111114</v>
      </c>
      <c r="AI2545" s="41" t="s">
        <v>1779</v>
      </c>
    </row>
    <row r="2546" spans="1:35" x14ac:dyDescent="0.25">
      <c r="A2546" s="36">
        <v>99912544</v>
      </c>
      <c r="B2546" s="17" t="s">
        <v>56</v>
      </c>
      <c r="C2546" t="s">
        <v>79</v>
      </c>
      <c r="D2546" t="s">
        <v>80</v>
      </c>
      <c r="G2546" s="17" t="s">
        <v>48</v>
      </c>
      <c r="H2546" s="17">
        <v>1</v>
      </c>
      <c r="K2546" t="s">
        <v>1502</v>
      </c>
      <c r="L2546" t="s">
        <v>1503</v>
      </c>
      <c r="M2546" t="s">
        <v>670</v>
      </c>
      <c r="N2546">
        <v>23</v>
      </c>
      <c r="O2546" t="s">
        <v>40</v>
      </c>
      <c r="P2546" t="s">
        <v>40</v>
      </c>
      <c r="Q2546" t="s">
        <v>40</v>
      </c>
      <c r="S2546" t="s">
        <v>40</v>
      </c>
      <c r="V2546" t="s">
        <v>41</v>
      </c>
      <c r="W2546" t="s">
        <v>75</v>
      </c>
      <c r="X2546" t="str">
        <f>"7171002"</f>
        <v>7171002</v>
      </c>
      <c r="Y2546" t="s">
        <v>1505</v>
      </c>
      <c r="Z2546" t="s">
        <v>1502</v>
      </c>
      <c r="AA2546" t="s">
        <v>1503</v>
      </c>
      <c r="AB2546" t="s">
        <v>670</v>
      </c>
      <c r="AC2546" t="s">
        <v>51</v>
      </c>
      <c r="AD2546" t="s">
        <v>45</v>
      </c>
      <c r="AE2546" s="1">
        <v>27663</v>
      </c>
      <c r="AF2546">
        <v>1</v>
      </c>
      <c r="AG2546" t="s">
        <v>1503</v>
      </c>
      <c r="AH2546" s="36">
        <f t="shared" si="39"/>
        <v>43.87222222222222</v>
      </c>
      <c r="AI2546" s="41" t="s">
        <v>1779</v>
      </c>
    </row>
    <row r="2547" spans="1:35" x14ac:dyDescent="0.25">
      <c r="A2547" s="36">
        <v>99912545</v>
      </c>
      <c r="B2547" s="17" t="s">
        <v>56</v>
      </c>
      <c r="C2547" t="s">
        <v>46</v>
      </c>
      <c r="D2547" t="s">
        <v>47</v>
      </c>
      <c r="G2547" s="17" t="s">
        <v>35</v>
      </c>
      <c r="H2547" s="17">
        <v>1</v>
      </c>
      <c r="I2547">
        <v>0</v>
      </c>
      <c r="J2547" s="1">
        <v>43344</v>
      </c>
      <c r="K2547" t="s">
        <v>223</v>
      </c>
      <c r="L2547" t="s">
        <v>224</v>
      </c>
      <c r="M2547" t="s">
        <v>131</v>
      </c>
      <c r="N2547">
        <v>21</v>
      </c>
      <c r="O2547" t="s">
        <v>40</v>
      </c>
      <c r="S2547" t="s">
        <v>40</v>
      </c>
      <c r="U2547" s="1">
        <v>43344</v>
      </c>
      <c r="V2547" t="s">
        <v>41</v>
      </c>
      <c r="W2547" t="s">
        <v>42</v>
      </c>
      <c r="X2547" t="str">
        <f>"0580206"</f>
        <v>0580206</v>
      </c>
      <c r="Y2547" t="s">
        <v>237</v>
      </c>
      <c r="Z2547" t="s">
        <v>223</v>
      </c>
      <c r="AA2547" t="s">
        <v>224</v>
      </c>
      <c r="AB2547" t="s">
        <v>131</v>
      </c>
      <c r="AC2547" t="s">
        <v>51</v>
      </c>
      <c r="AD2547" t="s">
        <v>45</v>
      </c>
      <c r="AE2547" s="1">
        <v>27661</v>
      </c>
      <c r="AF2547">
        <v>2</v>
      </c>
      <c r="AG2547" t="s">
        <v>224</v>
      </c>
      <c r="AH2547" s="36">
        <f t="shared" si="39"/>
        <v>43.87777777777778</v>
      </c>
      <c r="AI2547" s="41" t="s">
        <v>1779</v>
      </c>
    </row>
    <row r="2548" spans="1:35" x14ac:dyDescent="0.25">
      <c r="A2548" s="36">
        <v>99912546</v>
      </c>
      <c r="B2548" s="17" t="s">
        <v>56</v>
      </c>
      <c r="C2548" t="s">
        <v>82</v>
      </c>
      <c r="D2548" t="s">
        <v>83</v>
      </c>
      <c r="G2548" s="17" t="s">
        <v>48</v>
      </c>
      <c r="H2548" s="17">
        <v>1</v>
      </c>
      <c r="K2548" t="s">
        <v>300</v>
      </c>
      <c r="L2548" t="s">
        <v>301</v>
      </c>
      <c r="M2548" t="s">
        <v>131</v>
      </c>
      <c r="N2548">
        <v>20</v>
      </c>
      <c r="O2548" t="s">
        <v>40</v>
      </c>
      <c r="P2548" t="s">
        <v>40</v>
      </c>
      <c r="Q2548" t="s">
        <v>40</v>
      </c>
      <c r="R2548" t="s">
        <v>40</v>
      </c>
      <c r="S2548" t="s">
        <v>40</v>
      </c>
      <c r="V2548" t="s">
        <v>41</v>
      </c>
      <c r="W2548" t="s">
        <v>42</v>
      </c>
      <c r="X2548" t="str">
        <f>"0580106"</f>
        <v>0580106</v>
      </c>
      <c r="Y2548" t="s">
        <v>306</v>
      </c>
      <c r="Z2548" t="s">
        <v>300</v>
      </c>
      <c r="AA2548" t="s">
        <v>301</v>
      </c>
      <c r="AB2548" t="s">
        <v>131</v>
      </c>
      <c r="AC2548" t="s">
        <v>51</v>
      </c>
      <c r="AD2548" t="s">
        <v>45</v>
      </c>
      <c r="AE2548" s="1">
        <v>27660</v>
      </c>
      <c r="AF2548">
        <v>2</v>
      </c>
      <c r="AG2548" t="s">
        <v>301</v>
      </c>
      <c r="AH2548" s="36">
        <f t="shared" si="39"/>
        <v>43.880555555555553</v>
      </c>
      <c r="AI2548" s="41" t="s">
        <v>1779</v>
      </c>
    </row>
    <row r="2549" spans="1:35" x14ac:dyDescent="0.25">
      <c r="A2549" s="36">
        <v>99912547</v>
      </c>
      <c r="B2549" s="17" t="s">
        <v>32</v>
      </c>
      <c r="C2549" t="s">
        <v>64</v>
      </c>
      <c r="D2549" t="s">
        <v>65</v>
      </c>
      <c r="G2549" s="17" t="s">
        <v>35</v>
      </c>
      <c r="H2549" s="17">
        <v>1</v>
      </c>
      <c r="K2549" t="s">
        <v>154</v>
      </c>
      <c r="L2549" t="s">
        <v>155</v>
      </c>
      <c r="M2549" t="s">
        <v>131</v>
      </c>
      <c r="N2549">
        <v>20</v>
      </c>
      <c r="O2549" t="s">
        <v>40</v>
      </c>
      <c r="P2549" t="s">
        <v>40</v>
      </c>
      <c r="Q2549" t="s">
        <v>40</v>
      </c>
      <c r="S2549" t="s">
        <v>40</v>
      </c>
      <c r="V2549" t="s">
        <v>41</v>
      </c>
      <c r="W2549" t="s">
        <v>75</v>
      </c>
      <c r="X2549" t="str">
        <f>"7051032"</f>
        <v>7051032</v>
      </c>
      <c r="Y2549" t="s">
        <v>400</v>
      </c>
      <c r="Z2549" t="s">
        <v>154</v>
      </c>
      <c r="AA2549" t="s">
        <v>155</v>
      </c>
      <c r="AB2549" t="s">
        <v>131</v>
      </c>
      <c r="AC2549" t="s">
        <v>51</v>
      </c>
      <c r="AD2549" t="s">
        <v>45</v>
      </c>
      <c r="AE2549" s="1">
        <v>27659</v>
      </c>
      <c r="AF2549">
        <v>1</v>
      </c>
      <c r="AG2549" t="s">
        <v>155</v>
      </c>
      <c r="AH2549" s="36">
        <f t="shared" si="39"/>
        <v>43.883333333333333</v>
      </c>
      <c r="AI2549" s="41" t="s">
        <v>1779</v>
      </c>
    </row>
    <row r="2550" spans="1:35" x14ac:dyDescent="0.25">
      <c r="A2550" s="36">
        <v>99912548</v>
      </c>
      <c r="B2550" s="17" t="s">
        <v>56</v>
      </c>
      <c r="C2550" t="s">
        <v>61</v>
      </c>
      <c r="D2550" t="s">
        <v>62</v>
      </c>
      <c r="G2550" s="17" t="s">
        <v>35</v>
      </c>
      <c r="H2550" s="17">
        <v>1</v>
      </c>
      <c r="I2550" t="s">
        <v>982</v>
      </c>
      <c r="J2550" s="1">
        <v>43362</v>
      </c>
      <c r="K2550" t="s">
        <v>947</v>
      </c>
      <c r="L2550" t="s">
        <v>948</v>
      </c>
      <c r="M2550" t="s">
        <v>938</v>
      </c>
      <c r="N2550">
        <v>3</v>
      </c>
      <c r="O2550" t="s">
        <v>40</v>
      </c>
      <c r="S2550" t="s">
        <v>40</v>
      </c>
      <c r="U2550" s="1">
        <v>43362</v>
      </c>
      <c r="V2550" t="s">
        <v>41</v>
      </c>
      <c r="W2550" t="s">
        <v>953</v>
      </c>
      <c r="X2550" t="str">
        <f>"0610801"</f>
        <v>0610801</v>
      </c>
      <c r="Y2550" t="s">
        <v>954</v>
      </c>
      <c r="Z2550" t="s">
        <v>947</v>
      </c>
      <c r="AA2550" t="s">
        <v>948</v>
      </c>
      <c r="AB2550" t="s">
        <v>938</v>
      </c>
      <c r="AC2550" t="s">
        <v>44</v>
      </c>
      <c r="AD2550" t="s">
        <v>45</v>
      </c>
      <c r="AE2550" s="1">
        <v>27657</v>
      </c>
      <c r="AF2550">
        <v>2</v>
      </c>
      <c r="AG2550" t="s">
        <v>948</v>
      </c>
      <c r="AH2550" s="36">
        <f t="shared" si="39"/>
        <v>43.888888888888886</v>
      </c>
      <c r="AI2550" s="41" t="s">
        <v>1779</v>
      </c>
    </row>
    <row r="2551" spans="1:35" x14ac:dyDescent="0.25">
      <c r="A2551" s="36">
        <v>99912549</v>
      </c>
      <c r="B2551" s="17" t="s">
        <v>32</v>
      </c>
      <c r="C2551" t="s">
        <v>64</v>
      </c>
      <c r="D2551" t="s">
        <v>65</v>
      </c>
      <c r="G2551" s="17" t="s">
        <v>35</v>
      </c>
      <c r="H2551" s="17">
        <v>3</v>
      </c>
      <c r="I2551" t="s">
        <v>726</v>
      </c>
      <c r="J2551" s="1">
        <v>43388</v>
      </c>
      <c r="K2551" t="s">
        <v>268</v>
      </c>
      <c r="L2551" t="s">
        <v>269</v>
      </c>
      <c r="M2551" t="s">
        <v>131</v>
      </c>
      <c r="N2551">
        <v>24</v>
      </c>
      <c r="O2551" t="s">
        <v>40</v>
      </c>
      <c r="P2551" t="s">
        <v>40</v>
      </c>
      <c r="Q2551" t="s">
        <v>40</v>
      </c>
      <c r="R2551" t="s">
        <v>40</v>
      </c>
      <c r="S2551" t="s">
        <v>40</v>
      </c>
      <c r="U2551" s="1">
        <v>43388</v>
      </c>
      <c r="V2551" t="s">
        <v>41</v>
      </c>
      <c r="W2551" t="s">
        <v>75</v>
      </c>
      <c r="X2551" t="str">
        <f>"7052006"</f>
        <v>7052006</v>
      </c>
      <c r="Y2551" t="s">
        <v>575</v>
      </c>
      <c r="Z2551" t="s">
        <v>268</v>
      </c>
      <c r="AA2551" t="s">
        <v>269</v>
      </c>
      <c r="AB2551" t="s">
        <v>131</v>
      </c>
      <c r="AC2551" t="s">
        <v>51</v>
      </c>
      <c r="AD2551" t="s">
        <v>45</v>
      </c>
      <c r="AE2551" s="1">
        <v>27652</v>
      </c>
      <c r="AF2551">
        <v>1</v>
      </c>
      <c r="AG2551" t="s">
        <v>269</v>
      </c>
      <c r="AH2551" s="36">
        <f t="shared" si="39"/>
        <v>43.902777777777779</v>
      </c>
      <c r="AI2551" s="41" t="s">
        <v>1779</v>
      </c>
    </row>
    <row r="2552" spans="1:35" x14ac:dyDescent="0.25">
      <c r="A2552" s="36">
        <v>99912550</v>
      </c>
      <c r="B2552" s="17" t="s">
        <v>32</v>
      </c>
      <c r="C2552" t="s">
        <v>46</v>
      </c>
      <c r="D2552" t="s">
        <v>47</v>
      </c>
      <c r="G2552" s="17" t="s">
        <v>48</v>
      </c>
      <c r="H2552" s="17">
        <v>1</v>
      </c>
      <c r="K2552" t="s">
        <v>1128</v>
      </c>
      <c r="L2552" t="s">
        <v>1129</v>
      </c>
      <c r="M2552" t="s">
        <v>1130</v>
      </c>
      <c r="N2552">
        <v>21</v>
      </c>
      <c r="O2552" t="s">
        <v>40</v>
      </c>
      <c r="P2552" t="s">
        <v>40</v>
      </c>
      <c r="Q2552" t="s">
        <v>40</v>
      </c>
      <c r="R2552" t="s">
        <v>40</v>
      </c>
      <c r="S2552" t="s">
        <v>40</v>
      </c>
      <c r="V2552" t="s">
        <v>41</v>
      </c>
      <c r="W2552" t="s">
        <v>42</v>
      </c>
      <c r="X2552" t="str">
        <f>"3180015"</f>
        <v>3180015</v>
      </c>
      <c r="Y2552" t="s">
        <v>1139</v>
      </c>
      <c r="Z2552" t="s">
        <v>1128</v>
      </c>
      <c r="AA2552" t="s">
        <v>1129</v>
      </c>
      <c r="AB2552" t="s">
        <v>1130</v>
      </c>
      <c r="AC2552" t="s">
        <v>165</v>
      </c>
      <c r="AD2552" t="s">
        <v>45</v>
      </c>
      <c r="AE2552" s="1">
        <v>27651</v>
      </c>
      <c r="AF2552">
        <v>2</v>
      </c>
      <c r="AG2552" t="s">
        <v>1129</v>
      </c>
      <c r="AH2552" s="36">
        <f t="shared" si="39"/>
        <v>43.905555555555559</v>
      </c>
      <c r="AI2552" s="41" t="s">
        <v>1779</v>
      </c>
    </row>
    <row r="2553" spans="1:35" x14ac:dyDescent="0.25">
      <c r="A2553" s="36">
        <v>99912551</v>
      </c>
      <c r="B2553" s="17" t="s">
        <v>32</v>
      </c>
      <c r="C2553" t="s">
        <v>64</v>
      </c>
      <c r="D2553" t="s">
        <v>65</v>
      </c>
      <c r="G2553" s="17" t="s">
        <v>35</v>
      </c>
      <c r="H2553" s="17">
        <v>1</v>
      </c>
      <c r="K2553" t="s">
        <v>963</v>
      </c>
      <c r="L2553" t="s">
        <v>964</v>
      </c>
      <c r="M2553" t="s">
        <v>938</v>
      </c>
      <c r="N2553">
        <v>22</v>
      </c>
      <c r="O2553" t="s">
        <v>40</v>
      </c>
      <c r="P2553" t="s">
        <v>40</v>
      </c>
      <c r="Q2553" t="s">
        <v>40</v>
      </c>
      <c r="S2553" t="s">
        <v>40</v>
      </c>
      <c r="V2553" t="s">
        <v>41</v>
      </c>
      <c r="W2553" t="s">
        <v>75</v>
      </c>
      <c r="X2553" t="str">
        <f>"7061000"</f>
        <v>7061000</v>
      </c>
      <c r="Y2553" t="s">
        <v>962</v>
      </c>
      <c r="Z2553" t="s">
        <v>963</v>
      </c>
      <c r="AA2553" t="s">
        <v>964</v>
      </c>
      <c r="AB2553" t="s">
        <v>938</v>
      </c>
      <c r="AC2553" t="s">
        <v>165</v>
      </c>
      <c r="AD2553" t="s">
        <v>45</v>
      </c>
      <c r="AE2553" s="1">
        <v>27639</v>
      </c>
      <c r="AF2553">
        <v>1</v>
      </c>
      <c r="AG2553" t="s">
        <v>964</v>
      </c>
      <c r="AH2553" s="36">
        <f t="shared" si="39"/>
        <v>43.93888888888889</v>
      </c>
      <c r="AI2553" s="41" t="s">
        <v>1779</v>
      </c>
    </row>
    <row r="2554" spans="1:35" x14ac:dyDescent="0.25">
      <c r="A2554" s="36">
        <v>99912552</v>
      </c>
      <c r="B2554" s="17" t="s">
        <v>32</v>
      </c>
      <c r="C2554" t="s">
        <v>141</v>
      </c>
      <c r="D2554" t="s">
        <v>142</v>
      </c>
      <c r="G2554" s="17" t="s">
        <v>35</v>
      </c>
      <c r="H2554" s="17">
        <v>1</v>
      </c>
      <c r="I2554">
        <v>3215</v>
      </c>
      <c r="J2554" s="1">
        <v>43344</v>
      </c>
      <c r="K2554" t="s">
        <v>1245</v>
      </c>
      <c r="L2554" t="s">
        <v>1246</v>
      </c>
      <c r="M2554" t="s">
        <v>1130</v>
      </c>
      <c r="N2554">
        <v>4</v>
      </c>
      <c r="O2554" t="s">
        <v>40</v>
      </c>
      <c r="P2554" t="s">
        <v>40</v>
      </c>
      <c r="Q2554" t="s">
        <v>40</v>
      </c>
      <c r="R2554" t="s">
        <v>40</v>
      </c>
      <c r="S2554" t="s">
        <v>40</v>
      </c>
      <c r="U2554" s="1">
        <v>43344</v>
      </c>
      <c r="V2554" t="s">
        <v>41</v>
      </c>
      <c r="W2554" t="s">
        <v>75</v>
      </c>
      <c r="X2554" t="str">
        <f>"7451000"</f>
        <v>7451000</v>
      </c>
      <c r="Y2554" t="s">
        <v>1250</v>
      </c>
      <c r="Z2554" t="s">
        <v>1245</v>
      </c>
      <c r="AA2554" t="s">
        <v>1246</v>
      </c>
      <c r="AB2554" t="s">
        <v>1130</v>
      </c>
      <c r="AC2554" t="s">
        <v>51</v>
      </c>
      <c r="AD2554" t="s">
        <v>45</v>
      </c>
      <c r="AE2554" s="1">
        <v>27639</v>
      </c>
      <c r="AF2554">
        <v>1</v>
      </c>
      <c r="AG2554" t="s">
        <v>1246</v>
      </c>
      <c r="AH2554" s="36">
        <f t="shared" si="39"/>
        <v>43.93888888888889</v>
      </c>
      <c r="AI2554" s="41" t="s">
        <v>1779</v>
      </c>
    </row>
    <row r="2555" spans="1:35" x14ac:dyDescent="0.25">
      <c r="A2555" s="36">
        <v>99912553</v>
      </c>
      <c r="B2555" s="17" t="s">
        <v>56</v>
      </c>
      <c r="C2555" t="s">
        <v>68</v>
      </c>
      <c r="D2555" t="s">
        <v>69</v>
      </c>
      <c r="G2555" s="17" t="s">
        <v>48</v>
      </c>
      <c r="H2555" s="17">
        <v>1</v>
      </c>
      <c r="K2555" t="s">
        <v>300</v>
      </c>
      <c r="L2555" t="s">
        <v>301</v>
      </c>
      <c r="M2555" t="s">
        <v>131</v>
      </c>
      <c r="N2555">
        <v>24</v>
      </c>
      <c r="O2555" t="s">
        <v>40</v>
      </c>
      <c r="P2555" t="s">
        <v>40</v>
      </c>
      <c r="Q2555" t="s">
        <v>40</v>
      </c>
      <c r="R2555" t="s">
        <v>40</v>
      </c>
      <c r="S2555" t="s">
        <v>40</v>
      </c>
      <c r="V2555" t="s">
        <v>41</v>
      </c>
      <c r="W2555" t="s">
        <v>49</v>
      </c>
      <c r="X2555" t="str">
        <f>"0560022"</f>
        <v>0560022</v>
      </c>
      <c r="Y2555" t="s">
        <v>314</v>
      </c>
      <c r="Z2555" t="s">
        <v>300</v>
      </c>
      <c r="AA2555" t="s">
        <v>301</v>
      </c>
      <c r="AB2555" t="s">
        <v>131</v>
      </c>
      <c r="AC2555" t="s">
        <v>51</v>
      </c>
      <c r="AD2555" t="s">
        <v>45</v>
      </c>
      <c r="AE2555" s="1">
        <v>27633</v>
      </c>
      <c r="AF2555">
        <v>2</v>
      </c>
      <c r="AG2555" t="s">
        <v>301</v>
      </c>
      <c r="AH2555" s="36">
        <f t="shared" si="39"/>
        <v>43.955555555555556</v>
      </c>
      <c r="AI2555" s="41" t="s">
        <v>1779</v>
      </c>
    </row>
    <row r="2556" spans="1:35" x14ac:dyDescent="0.25">
      <c r="A2556" s="36">
        <v>99912554</v>
      </c>
      <c r="B2556" s="17" t="s">
        <v>32</v>
      </c>
      <c r="C2556" t="s">
        <v>143</v>
      </c>
      <c r="D2556" t="s">
        <v>144</v>
      </c>
      <c r="G2556" s="17" t="s">
        <v>48</v>
      </c>
      <c r="H2556" s="17">
        <v>1</v>
      </c>
      <c r="K2556" t="s">
        <v>223</v>
      </c>
      <c r="L2556" t="s">
        <v>224</v>
      </c>
      <c r="M2556" t="s">
        <v>131</v>
      </c>
      <c r="N2556">
        <v>21</v>
      </c>
      <c r="O2556" t="s">
        <v>40</v>
      </c>
      <c r="P2556" t="s">
        <v>40</v>
      </c>
      <c r="Q2556" t="s">
        <v>40</v>
      </c>
      <c r="R2556" t="s">
        <v>40</v>
      </c>
      <c r="S2556" t="s">
        <v>40</v>
      </c>
      <c r="V2556" t="s">
        <v>41</v>
      </c>
      <c r="W2556" t="s">
        <v>49</v>
      </c>
      <c r="X2556" t="str">
        <f>"0540902"</f>
        <v>0540902</v>
      </c>
      <c r="Y2556" t="s">
        <v>256</v>
      </c>
      <c r="Z2556" t="s">
        <v>223</v>
      </c>
      <c r="AA2556" t="s">
        <v>224</v>
      </c>
      <c r="AB2556" t="s">
        <v>131</v>
      </c>
      <c r="AC2556" t="s">
        <v>51</v>
      </c>
      <c r="AD2556" t="s">
        <v>45</v>
      </c>
      <c r="AE2556" s="1">
        <v>27629</v>
      </c>
      <c r="AF2556">
        <v>2</v>
      </c>
      <c r="AG2556" t="s">
        <v>224</v>
      </c>
      <c r="AH2556" s="36">
        <f t="shared" si="39"/>
        <v>43.966666666666669</v>
      </c>
      <c r="AI2556" s="41" t="s">
        <v>1779</v>
      </c>
    </row>
    <row r="2557" spans="1:35" x14ac:dyDescent="0.25">
      <c r="A2557" s="36">
        <v>99912555</v>
      </c>
      <c r="B2557" s="17" t="s">
        <v>32</v>
      </c>
      <c r="C2557" t="s">
        <v>139</v>
      </c>
      <c r="D2557" t="s">
        <v>140</v>
      </c>
      <c r="G2557" s="17" t="s">
        <v>48</v>
      </c>
      <c r="H2557" s="17">
        <v>1</v>
      </c>
      <c r="K2557" t="s">
        <v>154</v>
      </c>
      <c r="L2557" t="s">
        <v>155</v>
      </c>
      <c r="M2557" t="s">
        <v>131</v>
      </c>
      <c r="N2557">
        <v>20</v>
      </c>
      <c r="O2557" t="s">
        <v>40</v>
      </c>
      <c r="P2557" t="s">
        <v>40</v>
      </c>
      <c r="Q2557" t="s">
        <v>40</v>
      </c>
      <c r="R2557" t="s">
        <v>40</v>
      </c>
      <c r="S2557" t="s">
        <v>40</v>
      </c>
      <c r="V2557" t="s">
        <v>41</v>
      </c>
      <c r="W2557" t="s">
        <v>75</v>
      </c>
      <c r="X2557" t="str">
        <f>"7700026"</f>
        <v>7700026</v>
      </c>
      <c r="Y2557" t="s">
        <v>397</v>
      </c>
      <c r="Z2557" t="s">
        <v>154</v>
      </c>
      <c r="AA2557" t="s">
        <v>155</v>
      </c>
      <c r="AB2557" t="s">
        <v>131</v>
      </c>
      <c r="AC2557" t="s">
        <v>51</v>
      </c>
      <c r="AD2557" t="s">
        <v>45</v>
      </c>
      <c r="AE2557" s="1">
        <v>27629</v>
      </c>
      <c r="AF2557">
        <v>1</v>
      </c>
      <c r="AG2557" t="s">
        <v>155</v>
      </c>
      <c r="AH2557" s="36">
        <f t="shared" si="39"/>
        <v>43.966666666666669</v>
      </c>
      <c r="AI2557" s="41" t="s">
        <v>1779</v>
      </c>
    </row>
    <row r="2558" spans="1:35" x14ac:dyDescent="0.25">
      <c r="A2558" s="36">
        <v>99912556</v>
      </c>
      <c r="B2558" s="17" t="s">
        <v>56</v>
      </c>
      <c r="C2558" t="s">
        <v>64</v>
      </c>
      <c r="D2558" t="s">
        <v>65</v>
      </c>
      <c r="G2558" s="17" t="s">
        <v>48</v>
      </c>
      <c r="H2558" s="17">
        <v>1</v>
      </c>
      <c r="K2558" t="s">
        <v>1695</v>
      </c>
      <c r="L2558" t="s">
        <v>1696</v>
      </c>
      <c r="M2558" t="s">
        <v>1592</v>
      </c>
      <c r="N2558">
        <v>24</v>
      </c>
      <c r="O2558" t="s">
        <v>40</v>
      </c>
      <c r="P2558" t="s">
        <v>40</v>
      </c>
      <c r="Q2558" t="s">
        <v>40</v>
      </c>
      <c r="S2558" t="s">
        <v>40</v>
      </c>
      <c r="V2558" t="s">
        <v>41</v>
      </c>
      <c r="W2558" t="s">
        <v>75</v>
      </c>
      <c r="X2558" t="str">
        <f>"7361000"</f>
        <v>7361000</v>
      </c>
      <c r="Y2558" t="s">
        <v>1698</v>
      </c>
      <c r="Z2558" t="s">
        <v>1695</v>
      </c>
      <c r="AA2558" t="s">
        <v>1696</v>
      </c>
      <c r="AB2558" t="s">
        <v>1592</v>
      </c>
      <c r="AC2558" t="s">
        <v>51</v>
      </c>
      <c r="AD2558" t="s">
        <v>45</v>
      </c>
      <c r="AE2558" s="1">
        <v>27628</v>
      </c>
      <c r="AF2558">
        <v>1</v>
      </c>
      <c r="AG2558" t="s">
        <v>1696</v>
      </c>
      <c r="AH2558" s="36">
        <f t="shared" si="39"/>
        <v>43.969444444444441</v>
      </c>
      <c r="AI2558" s="41" t="s">
        <v>1779</v>
      </c>
    </row>
    <row r="2559" spans="1:35" x14ac:dyDescent="0.25">
      <c r="A2559" s="36">
        <v>99912557</v>
      </c>
      <c r="B2559" s="17" t="s">
        <v>32</v>
      </c>
      <c r="C2559" t="s">
        <v>52</v>
      </c>
      <c r="D2559" t="s">
        <v>53</v>
      </c>
      <c r="G2559" s="17" t="s">
        <v>48</v>
      </c>
      <c r="H2559" s="17">
        <v>1</v>
      </c>
      <c r="K2559" t="s">
        <v>300</v>
      </c>
      <c r="L2559" t="s">
        <v>301</v>
      </c>
      <c r="M2559" t="s">
        <v>131</v>
      </c>
      <c r="N2559">
        <v>20</v>
      </c>
      <c r="O2559" t="s">
        <v>40</v>
      </c>
      <c r="P2559" t="s">
        <v>40</v>
      </c>
      <c r="Q2559" t="s">
        <v>40</v>
      </c>
      <c r="R2559" t="s">
        <v>40</v>
      </c>
      <c r="S2559" t="s">
        <v>40</v>
      </c>
      <c r="V2559" t="s">
        <v>41</v>
      </c>
      <c r="W2559" t="s">
        <v>42</v>
      </c>
      <c r="X2559" t="str">
        <f>"0580176"</f>
        <v>0580176</v>
      </c>
      <c r="Y2559" t="s">
        <v>305</v>
      </c>
      <c r="Z2559" t="s">
        <v>300</v>
      </c>
      <c r="AA2559" t="s">
        <v>301</v>
      </c>
      <c r="AB2559" t="s">
        <v>131</v>
      </c>
      <c r="AC2559" t="s">
        <v>51</v>
      </c>
      <c r="AD2559" t="s">
        <v>45</v>
      </c>
      <c r="AE2559" s="1">
        <v>27626</v>
      </c>
      <c r="AF2559">
        <v>2</v>
      </c>
      <c r="AG2559" t="s">
        <v>301</v>
      </c>
      <c r="AH2559" s="36">
        <f t="shared" si="39"/>
        <v>43.975000000000001</v>
      </c>
      <c r="AI2559" s="41" t="s">
        <v>1779</v>
      </c>
    </row>
    <row r="2560" spans="1:35" x14ac:dyDescent="0.25">
      <c r="A2560" s="36">
        <v>99912558</v>
      </c>
      <c r="B2560" s="17" t="s">
        <v>32</v>
      </c>
      <c r="C2560" t="s">
        <v>64</v>
      </c>
      <c r="D2560" t="s">
        <v>65</v>
      </c>
      <c r="G2560" s="17" t="s">
        <v>35</v>
      </c>
      <c r="H2560" s="17">
        <v>1</v>
      </c>
      <c r="I2560" s="1">
        <v>42614</v>
      </c>
      <c r="J2560" s="1">
        <v>43344</v>
      </c>
      <c r="K2560" t="s">
        <v>1341</v>
      </c>
      <c r="L2560" t="s">
        <v>1342</v>
      </c>
      <c r="M2560" t="s">
        <v>1270</v>
      </c>
      <c r="N2560">
        <v>24</v>
      </c>
      <c r="O2560" t="s">
        <v>40</v>
      </c>
      <c r="S2560" t="s">
        <v>40</v>
      </c>
      <c r="U2560" s="1">
        <v>43344</v>
      </c>
      <c r="V2560" t="s">
        <v>41</v>
      </c>
      <c r="W2560" t="s">
        <v>75</v>
      </c>
      <c r="X2560" t="str">
        <f>"7191004"</f>
        <v>7191004</v>
      </c>
      <c r="Y2560" t="s">
        <v>1344</v>
      </c>
      <c r="Z2560" t="s">
        <v>1341</v>
      </c>
      <c r="AA2560" t="s">
        <v>1342</v>
      </c>
      <c r="AB2560" t="s">
        <v>1270</v>
      </c>
      <c r="AC2560" t="s">
        <v>51</v>
      </c>
      <c r="AD2560" t="s">
        <v>45</v>
      </c>
      <c r="AE2560" s="1">
        <v>27626</v>
      </c>
      <c r="AF2560">
        <v>1</v>
      </c>
      <c r="AG2560" t="s">
        <v>1342</v>
      </c>
      <c r="AH2560" s="36">
        <f t="shared" si="39"/>
        <v>43.975000000000001</v>
      </c>
      <c r="AI2560" s="41" t="s">
        <v>1779</v>
      </c>
    </row>
    <row r="2561" spans="1:35" x14ac:dyDescent="0.25">
      <c r="A2561" s="36">
        <v>99912559</v>
      </c>
      <c r="B2561" s="17" t="s">
        <v>56</v>
      </c>
      <c r="C2561" t="s">
        <v>61</v>
      </c>
      <c r="D2561" t="s">
        <v>62</v>
      </c>
      <c r="E2561" t="s">
        <v>151</v>
      </c>
      <c r="F2561" t="s">
        <v>152</v>
      </c>
      <c r="G2561" s="17" t="s">
        <v>35</v>
      </c>
      <c r="H2561" s="17">
        <v>1</v>
      </c>
      <c r="I2561" t="s">
        <v>273</v>
      </c>
      <c r="J2561" s="1">
        <v>41900</v>
      </c>
      <c r="K2561" t="s">
        <v>223</v>
      </c>
      <c r="L2561" t="s">
        <v>224</v>
      </c>
      <c r="M2561" t="s">
        <v>131</v>
      </c>
      <c r="N2561">
        <v>18</v>
      </c>
      <c r="O2561" t="s">
        <v>40</v>
      </c>
      <c r="P2561" t="s">
        <v>40</v>
      </c>
      <c r="Q2561" t="s">
        <v>40</v>
      </c>
      <c r="R2561" t="s">
        <v>40</v>
      </c>
      <c r="S2561" t="s">
        <v>40</v>
      </c>
      <c r="U2561" s="1">
        <v>41900</v>
      </c>
      <c r="V2561" t="s">
        <v>41</v>
      </c>
      <c r="W2561" t="s">
        <v>49</v>
      </c>
      <c r="X2561" t="str">
        <f>"0591901"</f>
        <v>0591901</v>
      </c>
      <c r="Y2561" t="s">
        <v>230</v>
      </c>
      <c r="Z2561" t="s">
        <v>223</v>
      </c>
      <c r="AA2561" t="s">
        <v>224</v>
      </c>
      <c r="AB2561" t="s">
        <v>131</v>
      </c>
      <c r="AC2561" t="s">
        <v>51</v>
      </c>
      <c r="AD2561" t="s">
        <v>45</v>
      </c>
      <c r="AE2561" s="1">
        <v>27625</v>
      </c>
      <c r="AF2561">
        <v>2</v>
      </c>
      <c r="AG2561" t="s">
        <v>224</v>
      </c>
      <c r="AH2561" s="36">
        <f t="shared" si="39"/>
        <v>43.977777777777774</v>
      </c>
      <c r="AI2561" s="41" t="s">
        <v>1779</v>
      </c>
    </row>
    <row r="2562" spans="1:35" x14ac:dyDescent="0.25">
      <c r="A2562" s="36">
        <v>99912560</v>
      </c>
      <c r="B2562" s="17" t="s">
        <v>56</v>
      </c>
      <c r="C2562" t="s">
        <v>111</v>
      </c>
      <c r="D2562" t="s">
        <v>112</v>
      </c>
      <c r="G2562" s="17" t="s">
        <v>35</v>
      </c>
      <c r="H2562" s="17">
        <v>1</v>
      </c>
      <c r="I2562" t="s">
        <v>621</v>
      </c>
      <c r="J2562" s="1">
        <v>43344</v>
      </c>
      <c r="K2562" t="s">
        <v>268</v>
      </c>
      <c r="L2562" t="s">
        <v>269</v>
      </c>
      <c r="M2562" t="s">
        <v>131</v>
      </c>
      <c r="N2562">
        <v>22</v>
      </c>
      <c r="O2562" t="s">
        <v>40</v>
      </c>
      <c r="P2562" t="s">
        <v>40</v>
      </c>
      <c r="Q2562" t="s">
        <v>40</v>
      </c>
      <c r="R2562" t="s">
        <v>40</v>
      </c>
      <c r="S2562" t="s">
        <v>40</v>
      </c>
      <c r="U2562" s="1">
        <v>43344</v>
      </c>
      <c r="V2562" t="s">
        <v>41</v>
      </c>
      <c r="W2562" t="s">
        <v>75</v>
      </c>
      <c r="X2562" t="str">
        <f>"7052020"</f>
        <v>7052020</v>
      </c>
      <c r="Y2562" t="s">
        <v>267</v>
      </c>
      <c r="Z2562" t="s">
        <v>268</v>
      </c>
      <c r="AA2562" t="s">
        <v>269</v>
      </c>
      <c r="AB2562" t="s">
        <v>131</v>
      </c>
      <c r="AC2562" t="s">
        <v>51</v>
      </c>
      <c r="AD2562" t="s">
        <v>45</v>
      </c>
      <c r="AE2562" s="1">
        <v>27624</v>
      </c>
      <c r="AF2562">
        <v>1</v>
      </c>
      <c r="AG2562" t="s">
        <v>269</v>
      </c>
      <c r="AH2562" s="36">
        <f t="shared" ref="AH2562:AH2625" si="40">($AJ$1-AE2562)/360</f>
        <v>43.980555555555554</v>
      </c>
      <c r="AI2562" s="41" t="s">
        <v>1779</v>
      </c>
    </row>
    <row r="2563" spans="1:35" x14ac:dyDescent="0.25">
      <c r="A2563" s="36">
        <v>99912561</v>
      </c>
      <c r="B2563" s="17" t="s">
        <v>32</v>
      </c>
      <c r="C2563" t="s">
        <v>46</v>
      </c>
      <c r="D2563" t="s">
        <v>47</v>
      </c>
      <c r="G2563" s="17" t="s">
        <v>48</v>
      </c>
      <c r="H2563" s="17">
        <v>1</v>
      </c>
      <c r="K2563" t="s">
        <v>223</v>
      </c>
      <c r="L2563" t="s">
        <v>224</v>
      </c>
      <c r="M2563" t="s">
        <v>131</v>
      </c>
      <c r="N2563">
        <v>24</v>
      </c>
      <c r="O2563" t="s">
        <v>40</v>
      </c>
      <c r="P2563" t="s">
        <v>40</v>
      </c>
      <c r="Q2563" t="s">
        <v>40</v>
      </c>
      <c r="R2563" t="s">
        <v>40</v>
      </c>
      <c r="S2563" t="s">
        <v>40</v>
      </c>
      <c r="V2563" t="s">
        <v>41</v>
      </c>
      <c r="W2563" t="s">
        <v>42</v>
      </c>
      <c r="X2563" t="str">
        <f>"0590910"</f>
        <v>0590910</v>
      </c>
      <c r="Y2563" t="s">
        <v>227</v>
      </c>
      <c r="Z2563" t="s">
        <v>223</v>
      </c>
      <c r="AA2563" t="s">
        <v>224</v>
      </c>
      <c r="AB2563" t="s">
        <v>131</v>
      </c>
      <c r="AC2563" t="s">
        <v>51</v>
      </c>
      <c r="AD2563" t="s">
        <v>45</v>
      </c>
      <c r="AE2563" s="1">
        <v>27619</v>
      </c>
      <c r="AF2563">
        <v>2</v>
      </c>
      <c r="AG2563" t="s">
        <v>224</v>
      </c>
      <c r="AH2563" s="36">
        <f t="shared" si="40"/>
        <v>43.994444444444447</v>
      </c>
      <c r="AI2563" s="41" t="s">
        <v>1779</v>
      </c>
    </row>
    <row r="2564" spans="1:35" x14ac:dyDescent="0.25">
      <c r="A2564" s="36">
        <v>99912562</v>
      </c>
      <c r="B2564" s="17" t="s">
        <v>32</v>
      </c>
      <c r="C2564" t="s">
        <v>90</v>
      </c>
      <c r="D2564" t="s">
        <v>91</v>
      </c>
      <c r="G2564" s="17" t="s">
        <v>35</v>
      </c>
      <c r="H2564" s="17">
        <v>1</v>
      </c>
      <c r="I2564">
        <v>10328</v>
      </c>
      <c r="J2564" s="1">
        <v>43361</v>
      </c>
      <c r="K2564" t="s">
        <v>354</v>
      </c>
      <c r="L2564" t="s">
        <v>355</v>
      </c>
      <c r="M2564" t="s">
        <v>131</v>
      </c>
      <c r="N2564">
        <v>25</v>
      </c>
      <c r="O2564" t="s">
        <v>40</v>
      </c>
      <c r="S2564" t="s">
        <v>40</v>
      </c>
      <c r="U2564" s="1">
        <v>43361</v>
      </c>
      <c r="V2564" t="s">
        <v>41</v>
      </c>
      <c r="W2564" t="s">
        <v>95</v>
      </c>
      <c r="X2564" t="str">
        <f>"7054011"</f>
        <v>7054011</v>
      </c>
      <c r="Y2564" t="s">
        <v>780</v>
      </c>
      <c r="Z2564" t="s">
        <v>354</v>
      </c>
      <c r="AA2564" t="s">
        <v>355</v>
      </c>
      <c r="AB2564" t="s">
        <v>131</v>
      </c>
      <c r="AC2564" t="s">
        <v>55</v>
      </c>
      <c r="AD2564" t="s">
        <v>45</v>
      </c>
      <c r="AE2564" s="1">
        <v>27619</v>
      </c>
      <c r="AF2564">
        <v>1</v>
      </c>
      <c r="AG2564" t="s">
        <v>355</v>
      </c>
      <c r="AH2564" s="36">
        <f t="shared" si="40"/>
        <v>43.994444444444447</v>
      </c>
      <c r="AI2564" s="41" t="s">
        <v>1779</v>
      </c>
    </row>
    <row r="2565" spans="1:35" x14ac:dyDescent="0.25">
      <c r="A2565" s="36">
        <v>99912563</v>
      </c>
      <c r="B2565" s="17" t="s">
        <v>32</v>
      </c>
      <c r="C2565" t="s">
        <v>139</v>
      </c>
      <c r="D2565" t="s">
        <v>140</v>
      </c>
      <c r="G2565" s="17" t="s">
        <v>35</v>
      </c>
      <c r="H2565" s="17">
        <v>1</v>
      </c>
      <c r="I2565">
        <v>991</v>
      </c>
      <c r="J2565" s="1">
        <v>43344</v>
      </c>
      <c r="K2565" t="s">
        <v>354</v>
      </c>
      <c r="L2565" t="s">
        <v>355</v>
      </c>
      <c r="M2565" t="s">
        <v>131</v>
      </c>
      <c r="N2565">
        <v>5</v>
      </c>
      <c r="O2565" t="s">
        <v>40</v>
      </c>
      <c r="S2565" t="s">
        <v>40</v>
      </c>
      <c r="U2565" s="1">
        <v>43344</v>
      </c>
      <c r="V2565" t="s">
        <v>41</v>
      </c>
      <c r="W2565" t="s">
        <v>75</v>
      </c>
      <c r="X2565" t="str">
        <f>"7054028"</f>
        <v>7054028</v>
      </c>
      <c r="Y2565" t="s">
        <v>788</v>
      </c>
      <c r="Z2565" t="s">
        <v>354</v>
      </c>
      <c r="AA2565" t="s">
        <v>355</v>
      </c>
      <c r="AB2565" t="s">
        <v>131</v>
      </c>
      <c r="AC2565" t="s">
        <v>51</v>
      </c>
      <c r="AD2565" t="s">
        <v>45</v>
      </c>
      <c r="AE2565" s="1">
        <v>27618</v>
      </c>
      <c r="AF2565">
        <v>1</v>
      </c>
      <c r="AG2565" t="s">
        <v>355</v>
      </c>
      <c r="AH2565" s="36">
        <f t="shared" si="40"/>
        <v>43.99722222222222</v>
      </c>
      <c r="AI2565" s="41" t="s">
        <v>1779</v>
      </c>
    </row>
    <row r="2566" spans="1:35" x14ac:dyDescent="0.25">
      <c r="A2566" s="36">
        <v>99912564</v>
      </c>
      <c r="B2566" s="17" t="s">
        <v>56</v>
      </c>
      <c r="C2566" t="s">
        <v>143</v>
      </c>
      <c r="D2566" t="s">
        <v>144</v>
      </c>
      <c r="G2566" s="17" t="s">
        <v>35</v>
      </c>
      <c r="H2566" s="17">
        <v>7</v>
      </c>
      <c r="K2566" t="s">
        <v>268</v>
      </c>
      <c r="L2566" t="s">
        <v>269</v>
      </c>
      <c r="M2566" t="s">
        <v>131</v>
      </c>
      <c r="N2566">
        <v>22</v>
      </c>
      <c r="O2566" t="s">
        <v>40</v>
      </c>
      <c r="P2566" t="s">
        <v>40</v>
      </c>
      <c r="Q2566" t="s">
        <v>40</v>
      </c>
      <c r="R2566" t="s">
        <v>40</v>
      </c>
      <c r="S2566" t="s">
        <v>40</v>
      </c>
      <c r="V2566" t="s">
        <v>41</v>
      </c>
      <c r="W2566" t="s">
        <v>75</v>
      </c>
      <c r="X2566" t="str">
        <f>"7052002"</f>
        <v>7052002</v>
      </c>
      <c r="Y2566" t="s">
        <v>590</v>
      </c>
      <c r="Z2566" t="s">
        <v>268</v>
      </c>
      <c r="AA2566" t="s">
        <v>269</v>
      </c>
      <c r="AB2566" t="s">
        <v>131</v>
      </c>
      <c r="AC2566" t="s">
        <v>51</v>
      </c>
      <c r="AD2566" t="s">
        <v>45</v>
      </c>
      <c r="AE2566" s="1">
        <v>27614</v>
      </c>
      <c r="AF2566">
        <v>1</v>
      </c>
      <c r="AG2566" t="s">
        <v>269</v>
      </c>
      <c r="AH2566" s="36">
        <f t="shared" si="40"/>
        <v>44.008333333333333</v>
      </c>
      <c r="AI2566" s="41" t="s">
        <v>1779</v>
      </c>
    </row>
    <row r="2567" spans="1:35" x14ac:dyDescent="0.25">
      <c r="A2567" s="36">
        <v>99912565</v>
      </c>
      <c r="B2567" s="17" t="s">
        <v>32</v>
      </c>
      <c r="C2567" t="s">
        <v>64</v>
      </c>
      <c r="D2567" t="s">
        <v>65</v>
      </c>
      <c r="G2567" s="17" t="s">
        <v>35</v>
      </c>
      <c r="H2567" s="17">
        <v>1</v>
      </c>
      <c r="K2567" t="s">
        <v>947</v>
      </c>
      <c r="L2567" t="s">
        <v>948</v>
      </c>
      <c r="M2567" t="s">
        <v>938</v>
      </c>
      <c r="N2567">
        <v>12</v>
      </c>
      <c r="O2567" t="s">
        <v>40</v>
      </c>
      <c r="P2567" t="s">
        <v>40</v>
      </c>
      <c r="Q2567" t="s">
        <v>40</v>
      </c>
      <c r="S2567" t="s">
        <v>40</v>
      </c>
      <c r="V2567" t="s">
        <v>41</v>
      </c>
      <c r="W2567" t="s">
        <v>42</v>
      </c>
      <c r="X2567" t="str">
        <f>"0680039"</f>
        <v>0680039</v>
      </c>
      <c r="Y2567" t="s">
        <v>949</v>
      </c>
      <c r="Z2567" t="s">
        <v>947</v>
      </c>
      <c r="AA2567" t="s">
        <v>948</v>
      </c>
      <c r="AB2567" t="s">
        <v>938</v>
      </c>
      <c r="AC2567" t="s">
        <v>51</v>
      </c>
      <c r="AD2567" t="s">
        <v>45</v>
      </c>
      <c r="AE2567" s="1">
        <v>27614</v>
      </c>
      <c r="AF2567">
        <v>2</v>
      </c>
      <c r="AG2567" t="s">
        <v>948</v>
      </c>
      <c r="AH2567" s="36">
        <f t="shared" si="40"/>
        <v>44.008333333333333</v>
      </c>
      <c r="AI2567" s="41" t="s">
        <v>1779</v>
      </c>
    </row>
    <row r="2568" spans="1:35" x14ac:dyDescent="0.25">
      <c r="A2568" s="36">
        <v>99912566</v>
      </c>
      <c r="B2568" s="17" t="s">
        <v>32</v>
      </c>
      <c r="C2568" t="s">
        <v>68</v>
      </c>
      <c r="D2568" t="s">
        <v>69</v>
      </c>
      <c r="G2568" s="17" t="s">
        <v>48</v>
      </c>
      <c r="H2568" s="17">
        <v>1</v>
      </c>
      <c r="K2568" t="s">
        <v>162</v>
      </c>
      <c r="L2568" t="s">
        <v>158</v>
      </c>
      <c r="M2568" t="s">
        <v>131</v>
      </c>
      <c r="N2568">
        <v>8</v>
      </c>
      <c r="O2568" t="s">
        <v>40</v>
      </c>
      <c r="P2568" t="s">
        <v>40</v>
      </c>
      <c r="Q2568" t="s">
        <v>40</v>
      </c>
      <c r="S2568" t="s">
        <v>40</v>
      </c>
      <c r="V2568" t="s">
        <v>41</v>
      </c>
      <c r="W2568" t="s">
        <v>49</v>
      </c>
      <c r="X2568" t="str">
        <f>"0581350"</f>
        <v>0581350</v>
      </c>
      <c r="Y2568" t="s">
        <v>187</v>
      </c>
      <c r="Z2568" t="s">
        <v>162</v>
      </c>
      <c r="AA2568" t="s">
        <v>158</v>
      </c>
      <c r="AB2568" t="s">
        <v>131</v>
      </c>
      <c r="AC2568" t="s">
        <v>51</v>
      </c>
      <c r="AD2568" t="s">
        <v>45</v>
      </c>
      <c r="AE2568" s="1">
        <v>27612</v>
      </c>
      <c r="AF2568">
        <v>2</v>
      </c>
      <c r="AG2568" t="s">
        <v>158</v>
      </c>
      <c r="AH2568" s="36">
        <f t="shared" si="40"/>
        <v>44.013888888888886</v>
      </c>
      <c r="AI2568" s="41" t="s">
        <v>1779</v>
      </c>
    </row>
    <row r="2569" spans="1:35" x14ac:dyDescent="0.25">
      <c r="A2569" s="36">
        <v>99912567</v>
      </c>
      <c r="B2569" s="17" t="s">
        <v>32</v>
      </c>
      <c r="C2569" t="s">
        <v>58</v>
      </c>
      <c r="D2569" t="s">
        <v>59</v>
      </c>
      <c r="G2569" s="17" t="s">
        <v>35</v>
      </c>
      <c r="H2569" s="17">
        <v>1</v>
      </c>
      <c r="K2569" t="s">
        <v>162</v>
      </c>
      <c r="L2569" t="s">
        <v>158</v>
      </c>
      <c r="M2569" t="s">
        <v>131</v>
      </c>
      <c r="N2569">
        <v>20</v>
      </c>
      <c r="O2569" t="s">
        <v>40</v>
      </c>
      <c r="P2569" t="s">
        <v>40</v>
      </c>
      <c r="Q2569" t="s">
        <v>40</v>
      </c>
      <c r="R2569" t="s">
        <v>40</v>
      </c>
      <c r="S2569" t="s">
        <v>40</v>
      </c>
      <c r="V2569" t="s">
        <v>41</v>
      </c>
      <c r="W2569" t="s">
        <v>49</v>
      </c>
      <c r="X2569" t="str">
        <f>"0581325"</f>
        <v>0581325</v>
      </c>
      <c r="Y2569" t="s">
        <v>169</v>
      </c>
      <c r="Z2569" t="s">
        <v>162</v>
      </c>
      <c r="AA2569" t="s">
        <v>158</v>
      </c>
      <c r="AB2569" t="s">
        <v>131</v>
      </c>
      <c r="AC2569" t="s">
        <v>165</v>
      </c>
      <c r="AD2569" t="s">
        <v>45</v>
      </c>
      <c r="AE2569" s="1">
        <v>27610</v>
      </c>
      <c r="AF2569">
        <v>2</v>
      </c>
      <c r="AG2569" t="s">
        <v>158</v>
      </c>
      <c r="AH2569" s="36">
        <f t="shared" si="40"/>
        <v>44.019444444444446</v>
      </c>
      <c r="AI2569" s="41" t="s">
        <v>1779</v>
      </c>
    </row>
    <row r="2570" spans="1:35" x14ac:dyDescent="0.25">
      <c r="A2570" s="36">
        <v>99912568</v>
      </c>
      <c r="B2570" s="17" t="s">
        <v>56</v>
      </c>
      <c r="C2570" t="s">
        <v>52</v>
      </c>
      <c r="D2570" t="s">
        <v>53</v>
      </c>
      <c r="G2570" s="17" t="s">
        <v>48</v>
      </c>
      <c r="H2570" s="17">
        <v>1</v>
      </c>
      <c r="K2570" t="s">
        <v>380</v>
      </c>
      <c r="L2570" t="s">
        <v>381</v>
      </c>
      <c r="M2570" t="s">
        <v>131</v>
      </c>
      <c r="N2570">
        <v>16</v>
      </c>
      <c r="O2570" t="s">
        <v>40</v>
      </c>
      <c r="P2570" t="s">
        <v>40</v>
      </c>
      <c r="Q2570" t="s">
        <v>40</v>
      </c>
      <c r="R2570" t="s">
        <v>40</v>
      </c>
      <c r="S2570" t="s">
        <v>40</v>
      </c>
      <c r="V2570" t="s">
        <v>41</v>
      </c>
      <c r="W2570" t="s">
        <v>49</v>
      </c>
      <c r="X2570" t="str">
        <f>"0591909"</f>
        <v>0591909</v>
      </c>
      <c r="Y2570" t="s">
        <v>385</v>
      </c>
      <c r="Z2570" t="s">
        <v>380</v>
      </c>
      <c r="AA2570" t="s">
        <v>381</v>
      </c>
      <c r="AB2570" t="s">
        <v>131</v>
      </c>
      <c r="AC2570" t="s">
        <v>51</v>
      </c>
      <c r="AD2570" t="s">
        <v>45</v>
      </c>
      <c r="AE2570" s="1">
        <v>27604</v>
      </c>
      <c r="AF2570">
        <v>2</v>
      </c>
      <c r="AG2570" t="s">
        <v>381</v>
      </c>
      <c r="AH2570" s="36">
        <f t="shared" si="40"/>
        <v>44.036111111111111</v>
      </c>
      <c r="AI2570" s="41" t="s">
        <v>1779</v>
      </c>
    </row>
    <row r="2571" spans="1:35" x14ac:dyDescent="0.25">
      <c r="A2571" s="36">
        <v>99912569</v>
      </c>
      <c r="B2571" s="17" t="s">
        <v>32</v>
      </c>
      <c r="C2571" t="s">
        <v>46</v>
      </c>
      <c r="D2571" t="s">
        <v>47</v>
      </c>
      <c r="G2571" s="17" t="s">
        <v>48</v>
      </c>
      <c r="H2571" s="17">
        <v>1</v>
      </c>
      <c r="K2571" t="s">
        <v>223</v>
      </c>
      <c r="L2571" t="s">
        <v>224</v>
      </c>
      <c r="M2571" t="s">
        <v>131</v>
      </c>
      <c r="N2571">
        <v>20</v>
      </c>
      <c r="O2571" t="s">
        <v>40</v>
      </c>
      <c r="P2571" t="s">
        <v>40</v>
      </c>
      <c r="Q2571" t="s">
        <v>40</v>
      </c>
      <c r="S2571" t="s">
        <v>40</v>
      </c>
      <c r="V2571" t="s">
        <v>41</v>
      </c>
      <c r="W2571" t="s">
        <v>49</v>
      </c>
      <c r="X2571" t="str">
        <f>"0509999"</f>
        <v>0509999</v>
      </c>
      <c r="Y2571" t="s">
        <v>247</v>
      </c>
      <c r="Z2571" t="s">
        <v>223</v>
      </c>
      <c r="AA2571" t="s">
        <v>224</v>
      </c>
      <c r="AB2571" t="s">
        <v>131</v>
      </c>
      <c r="AC2571" t="s">
        <v>51</v>
      </c>
      <c r="AD2571" t="s">
        <v>45</v>
      </c>
      <c r="AE2571" s="1">
        <v>27600</v>
      </c>
      <c r="AF2571">
        <v>2</v>
      </c>
      <c r="AG2571" t="s">
        <v>224</v>
      </c>
      <c r="AH2571" s="36">
        <f t="shared" si="40"/>
        <v>44.047222222222224</v>
      </c>
      <c r="AI2571" s="41" t="s">
        <v>1779</v>
      </c>
    </row>
    <row r="2572" spans="1:35" x14ac:dyDescent="0.25">
      <c r="A2572" s="36">
        <v>99912570</v>
      </c>
      <c r="B2572" s="17" t="s">
        <v>32</v>
      </c>
      <c r="C2572" t="s">
        <v>90</v>
      </c>
      <c r="D2572" t="s">
        <v>91</v>
      </c>
      <c r="G2572" s="17" t="s">
        <v>35</v>
      </c>
      <c r="H2572" s="17">
        <v>1</v>
      </c>
      <c r="I2572" t="s">
        <v>725</v>
      </c>
      <c r="J2572" s="1">
        <v>43344</v>
      </c>
      <c r="K2572" t="s">
        <v>268</v>
      </c>
      <c r="L2572" t="s">
        <v>269</v>
      </c>
      <c r="M2572" t="s">
        <v>131</v>
      </c>
      <c r="N2572">
        <v>21</v>
      </c>
      <c r="O2572" t="s">
        <v>40</v>
      </c>
      <c r="S2572" t="s">
        <v>40</v>
      </c>
      <c r="U2572" s="1">
        <v>43344</v>
      </c>
      <c r="V2572" t="s">
        <v>41</v>
      </c>
      <c r="W2572" t="s">
        <v>95</v>
      </c>
      <c r="X2572" t="str">
        <f>"7052041"</f>
        <v>7052041</v>
      </c>
      <c r="Y2572" t="s">
        <v>579</v>
      </c>
      <c r="Z2572" t="s">
        <v>268</v>
      </c>
      <c r="AA2572" t="s">
        <v>269</v>
      </c>
      <c r="AB2572" t="s">
        <v>131</v>
      </c>
      <c r="AC2572" t="s">
        <v>51</v>
      </c>
      <c r="AD2572" t="s">
        <v>45</v>
      </c>
      <c r="AE2572" s="1">
        <v>27597</v>
      </c>
      <c r="AF2572">
        <v>1</v>
      </c>
      <c r="AG2572" t="s">
        <v>269</v>
      </c>
      <c r="AH2572" s="36">
        <f t="shared" si="40"/>
        <v>44.055555555555557</v>
      </c>
      <c r="AI2572" s="41" t="s">
        <v>1779</v>
      </c>
    </row>
    <row r="2573" spans="1:35" x14ac:dyDescent="0.25">
      <c r="A2573" s="36">
        <v>99912571</v>
      </c>
      <c r="B2573" s="17" t="s">
        <v>32</v>
      </c>
      <c r="C2573" t="s">
        <v>46</v>
      </c>
      <c r="D2573" t="s">
        <v>47</v>
      </c>
      <c r="G2573" s="17" t="s">
        <v>48</v>
      </c>
      <c r="H2573" s="17">
        <v>1</v>
      </c>
      <c r="K2573" t="s">
        <v>1566</v>
      </c>
      <c r="L2573" t="s">
        <v>1567</v>
      </c>
      <c r="M2573" t="s">
        <v>1548</v>
      </c>
      <c r="N2573">
        <v>10</v>
      </c>
      <c r="O2573" t="s">
        <v>40</v>
      </c>
      <c r="P2573" t="s">
        <v>40</v>
      </c>
      <c r="Q2573" t="s">
        <v>40</v>
      </c>
      <c r="R2573" t="s">
        <v>40</v>
      </c>
      <c r="S2573" t="s">
        <v>40</v>
      </c>
      <c r="V2573" t="s">
        <v>41</v>
      </c>
      <c r="W2573" t="s">
        <v>49</v>
      </c>
      <c r="X2573" t="str">
        <f>"2960001"</f>
        <v>2960001</v>
      </c>
      <c r="Y2573" t="s">
        <v>1569</v>
      </c>
      <c r="Z2573" t="s">
        <v>1566</v>
      </c>
      <c r="AA2573" t="s">
        <v>1567</v>
      </c>
      <c r="AB2573" t="s">
        <v>1548</v>
      </c>
      <c r="AC2573" t="s">
        <v>51</v>
      </c>
      <c r="AD2573" t="s">
        <v>45</v>
      </c>
      <c r="AE2573" s="1">
        <v>27596</v>
      </c>
      <c r="AF2573">
        <v>2</v>
      </c>
      <c r="AG2573" t="s">
        <v>1567</v>
      </c>
      <c r="AH2573" s="36">
        <f t="shared" si="40"/>
        <v>44.05833333333333</v>
      </c>
      <c r="AI2573" s="41" t="s">
        <v>1779</v>
      </c>
    </row>
    <row r="2574" spans="1:35" x14ac:dyDescent="0.25">
      <c r="A2574" s="36">
        <v>99912572</v>
      </c>
      <c r="B2574" s="17" t="s">
        <v>32</v>
      </c>
      <c r="C2574" t="s">
        <v>64</v>
      </c>
      <c r="D2574" t="s">
        <v>65</v>
      </c>
      <c r="G2574" s="17" t="s">
        <v>48</v>
      </c>
      <c r="H2574" s="17">
        <v>1</v>
      </c>
      <c r="K2574" t="s">
        <v>300</v>
      </c>
      <c r="L2574" t="s">
        <v>301</v>
      </c>
      <c r="M2574" t="s">
        <v>131</v>
      </c>
      <c r="N2574">
        <v>21</v>
      </c>
      <c r="O2574" t="s">
        <v>40</v>
      </c>
      <c r="P2574" t="s">
        <v>40</v>
      </c>
      <c r="Q2574" t="s">
        <v>40</v>
      </c>
      <c r="R2574" t="s">
        <v>40</v>
      </c>
      <c r="S2574" t="s">
        <v>40</v>
      </c>
      <c r="V2574" t="s">
        <v>41</v>
      </c>
      <c r="W2574" t="s">
        <v>49</v>
      </c>
      <c r="X2574" t="str">
        <f>"0560001"</f>
        <v>0560001</v>
      </c>
      <c r="Y2574" t="s">
        <v>304</v>
      </c>
      <c r="Z2574" t="s">
        <v>300</v>
      </c>
      <c r="AA2574" t="s">
        <v>301</v>
      </c>
      <c r="AB2574" t="s">
        <v>131</v>
      </c>
      <c r="AC2574" t="s">
        <v>51</v>
      </c>
      <c r="AD2574" t="s">
        <v>45</v>
      </c>
      <c r="AE2574" s="1">
        <v>27589</v>
      </c>
      <c r="AF2574">
        <v>2</v>
      </c>
      <c r="AG2574" t="s">
        <v>301</v>
      </c>
      <c r="AH2574" s="36">
        <f t="shared" si="40"/>
        <v>44.077777777777776</v>
      </c>
      <c r="AI2574" s="41" t="s">
        <v>1779</v>
      </c>
    </row>
    <row r="2575" spans="1:35" x14ac:dyDescent="0.25">
      <c r="A2575" s="36">
        <v>99912573</v>
      </c>
      <c r="B2575" s="17" t="s">
        <v>32</v>
      </c>
      <c r="C2575" t="s">
        <v>64</v>
      </c>
      <c r="D2575" t="s">
        <v>65</v>
      </c>
      <c r="G2575" s="17" t="s">
        <v>48</v>
      </c>
      <c r="H2575" s="17">
        <v>1</v>
      </c>
      <c r="K2575" t="s">
        <v>1619</v>
      </c>
      <c r="L2575" t="s">
        <v>1620</v>
      </c>
      <c r="M2575" t="s">
        <v>1592</v>
      </c>
      <c r="N2575">
        <v>14</v>
      </c>
      <c r="O2575" t="s">
        <v>40</v>
      </c>
      <c r="P2575" t="s">
        <v>40</v>
      </c>
      <c r="Q2575" t="s">
        <v>40</v>
      </c>
      <c r="R2575" t="s">
        <v>40</v>
      </c>
      <c r="S2575" t="s">
        <v>40</v>
      </c>
      <c r="V2575" t="s">
        <v>41</v>
      </c>
      <c r="W2575" t="s">
        <v>75</v>
      </c>
      <c r="X2575" t="str">
        <f>"7281006"</f>
        <v>7281006</v>
      </c>
      <c r="Y2575" t="s">
        <v>1618</v>
      </c>
      <c r="Z2575" t="s">
        <v>1619</v>
      </c>
      <c r="AA2575" t="s">
        <v>1620</v>
      </c>
      <c r="AB2575" t="s">
        <v>1592</v>
      </c>
      <c r="AC2575" t="s">
        <v>51</v>
      </c>
      <c r="AD2575" t="s">
        <v>45</v>
      </c>
      <c r="AE2575" s="1">
        <v>27589</v>
      </c>
      <c r="AF2575">
        <v>1</v>
      </c>
      <c r="AG2575" t="s">
        <v>1620</v>
      </c>
      <c r="AH2575" s="36">
        <f t="shared" si="40"/>
        <v>44.077777777777776</v>
      </c>
      <c r="AI2575" s="41" t="s">
        <v>1779</v>
      </c>
    </row>
    <row r="2576" spans="1:35" x14ac:dyDescent="0.25">
      <c r="A2576" s="36">
        <v>99912574</v>
      </c>
      <c r="B2576" s="17" t="s">
        <v>32</v>
      </c>
      <c r="C2576" t="s">
        <v>46</v>
      </c>
      <c r="D2576" t="s">
        <v>47</v>
      </c>
      <c r="G2576" s="17" t="s">
        <v>48</v>
      </c>
      <c r="H2576" s="17">
        <v>1</v>
      </c>
      <c r="K2576" t="s">
        <v>162</v>
      </c>
      <c r="L2576" t="s">
        <v>158</v>
      </c>
      <c r="M2576" t="s">
        <v>131</v>
      </c>
      <c r="N2576">
        <v>20</v>
      </c>
      <c r="O2576" t="s">
        <v>40</v>
      </c>
      <c r="P2576" t="s">
        <v>40</v>
      </c>
      <c r="Q2576" t="s">
        <v>40</v>
      </c>
      <c r="S2576" t="s">
        <v>40</v>
      </c>
      <c r="V2576" t="s">
        <v>41</v>
      </c>
      <c r="W2576" t="s">
        <v>42</v>
      </c>
      <c r="X2576" t="str">
        <f>"0580325"</f>
        <v>0580325</v>
      </c>
      <c r="Y2576" t="s">
        <v>170</v>
      </c>
      <c r="Z2576" t="s">
        <v>162</v>
      </c>
      <c r="AA2576" t="s">
        <v>158</v>
      </c>
      <c r="AB2576" t="s">
        <v>131</v>
      </c>
      <c r="AC2576" t="s">
        <v>165</v>
      </c>
      <c r="AD2576" t="s">
        <v>45</v>
      </c>
      <c r="AE2576" s="1">
        <v>27584</v>
      </c>
      <c r="AF2576">
        <v>2</v>
      </c>
      <c r="AG2576" t="s">
        <v>158</v>
      </c>
      <c r="AH2576" s="36">
        <f t="shared" si="40"/>
        <v>44.091666666666669</v>
      </c>
      <c r="AI2576" s="41" t="s">
        <v>1779</v>
      </c>
    </row>
    <row r="2577" spans="1:35" x14ac:dyDescent="0.25">
      <c r="A2577" s="36">
        <v>99912575</v>
      </c>
      <c r="B2577" s="17" t="s">
        <v>56</v>
      </c>
      <c r="C2577" t="s">
        <v>33</v>
      </c>
      <c r="D2577" t="s">
        <v>34</v>
      </c>
      <c r="G2577" s="17" t="s">
        <v>35</v>
      </c>
      <c r="H2577" s="17">
        <v>1</v>
      </c>
      <c r="K2577" t="s">
        <v>223</v>
      </c>
      <c r="L2577" t="s">
        <v>224</v>
      </c>
      <c r="M2577" t="s">
        <v>131</v>
      </c>
      <c r="N2577">
        <v>12</v>
      </c>
      <c r="O2577" t="s">
        <v>40</v>
      </c>
      <c r="P2577" t="s">
        <v>40</v>
      </c>
      <c r="Q2577" t="s">
        <v>40</v>
      </c>
      <c r="R2577" t="s">
        <v>40</v>
      </c>
      <c r="S2577" t="s">
        <v>40</v>
      </c>
      <c r="V2577" t="s">
        <v>41</v>
      </c>
      <c r="W2577" t="s">
        <v>42</v>
      </c>
      <c r="X2577" t="str">
        <f>"0590901"</f>
        <v>0590901</v>
      </c>
      <c r="Y2577" t="s">
        <v>242</v>
      </c>
      <c r="Z2577" t="s">
        <v>223</v>
      </c>
      <c r="AA2577" t="s">
        <v>224</v>
      </c>
      <c r="AB2577" t="s">
        <v>131</v>
      </c>
      <c r="AC2577" t="s">
        <v>51</v>
      </c>
      <c r="AD2577" t="s">
        <v>45</v>
      </c>
      <c r="AE2577" s="1">
        <v>27578</v>
      </c>
      <c r="AF2577">
        <v>2</v>
      </c>
      <c r="AG2577" t="s">
        <v>224</v>
      </c>
      <c r="AH2577" s="36">
        <f t="shared" si="40"/>
        <v>44.108333333333334</v>
      </c>
      <c r="AI2577" s="41" t="s">
        <v>1779</v>
      </c>
    </row>
    <row r="2578" spans="1:35" x14ac:dyDescent="0.25">
      <c r="A2578" s="36">
        <v>99912576</v>
      </c>
      <c r="B2578" s="17" t="s">
        <v>32</v>
      </c>
      <c r="C2578" t="s">
        <v>90</v>
      </c>
      <c r="D2578" t="s">
        <v>91</v>
      </c>
      <c r="G2578" s="17" t="s">
        <v>48</v>
      </c>
      <c r="H2578" s="17">
        <v>1</v>
      </c>
      <c r="K2578" t="s">
        <v>154</v>
      </c>
      <c r="L2578" t="s">
        <v>155</v>
      </c>
      <c r="M2578" t="s">
        <v>131</v>
      </c>
      <c r="N2578">
        <v>25</v>
      </c>
      <c r="O2578" t="s">
        <v>40</v>
      </c>
      <c r="P2578" t="s">
        <v>40</v>
      </c>
      <c r="Q2578" t="s">
        <v>40</v>
      </c>
      <c r="S2578" t="s">
        <v>40</v>
      </c>
      <c r="V2578" t="s">
        <v>41</v>
      </c>
      <c r="W2578" t="s">
        <v>95</v>
      </c>
      <c r="X2578" t="str">
        <f>"7051011"</f>
        <v>7051011</v>
      </c>
      <c r="Y2578" t="s">
        <v>428</v>
      </c>
      <c r="Z2578" t="s">
        <v>154</v>
      </c>
      <c r="AA2578" t="s">
        <v>155</v>
      </c>
      <c r="AB2578" t="s">
        <v>131</v>
      </c>
      <c r="AC2578" t="s">
        <v>51</v>
      </c>
      <c r="AD2578" t="s">
        <v>45</v>
      </c>
      <c r="AE2578" s="1">
        <v>27577</v>
      </c>
      <c r="AF2578">
        <v>1</v>
      </c>
      <c r="AG2578" t="s">
        <v>155</v>
      </c>
      <c r="AH2578" s="36">
        <f t="shared" si="40"/>
        <v>44.111111111111114</v>
      </c>
      <c r="AI2578" s="41" t="s">
        <v>1779</v>
      </c>
    </row>
    <row r="2579" spans="1:35" x14ac:dyDescent="0.25">
      <c r="A2579" s="36">
        <v>99912577</v>
      </c>
      <c r="B2579" s="17" t="s">
        <v>32</v>
      </c>
      <c r="C2579" t="s">
        <v>46</v>
      </c>
      <c r="D2579" t="s">
        <v>47</v>
      </c>
      <c r="G2579" s="17" t="s">
        <v>35</v>
      </c>
      <c r="H2579" s="17">
        <v>1</v>
      </c>
      <c r="K2579" t="s">
        <v>223</v>
      </c>
      <c r="L2579" t="s">
        <v>224</v>
      </c>
      <c r="M2579" t="s">
        <v>131</v>
      </c>
      <c r="N2579">
        <v>21</v>
      </c>
      <c r="O2579" t="s">
        <v>40</v>
      </c>
      <c r="P2579" t="s">
        <v>40</v>
      </c>
      <c r="Q2579" t="s">
        <v>40</v>
      </c>
      <c r="R2579" t="s">
        <v>40</v>
      </c>
      <c r="S2579" t="s">
        <v>40</v>
      </c>
      <c r="V2579" t="s">
        <v>41</v>
      </c>
      <c r="W2579" t="s">
        <v>42</v>
      </c>
      <c r="X2579" t="str">
        <f>"0590901"</f>
        <v>0590901</v>
      </c>
      <c r="Y2579" t="s">
        <v>242</v>
      </c>
      <c r="Z2579" t="s">
        <v>223</v>
      </c>
      <c r="AA2579" t="s">
        <v>224</v>
      </c>
      <c r="AB2579" t="s">
        <v>131</v>
      </c>
      <c r="AC2579" t="s">
        <v>51</v>
      </c>
      <c r="AD2579" t="s">
        <v>45</v>
      </c>
      <c r="AE2579" s="1">
        <v>27576</v>
      </c>
      <c r="AF2579">
        <v>2</v>
      </c>
      <c r="AG2579" t="s">
        <v>224</v>
      </c>
      <c r="AH2579" s="36">
        <f t="shared" si="40"/>
        <v>44.113888888888887</v>
      </c>
      <c r="AI2579" s="41" t="s">
        <v>1779</v>
      </c>
    </row>
    <row r="2580" spans="1:35" x14ac:dyDescent="0.25">
      <c r="A2580" s="36">
        <v>99912578</v>
      </c>
      <c r="B2580" s="17" t="s">
        <v>56</v>
      </c>
      <c r="C2580" t="s">
        <v>79</v>
      </c>
      <c r="D2580" t="s">
        <v>80</v>
      </c>
      <c r="G2580" s="17" t="s">
        <v>35</v>
      </c>
      <c r="H2580" s="17">
        <v>1</v>
      </c>
      <c r="I2580">
        <v>0</v>
      </c>
      <c r="J2580" s="1">
        <v>43344</v>
      </c>
      <c r="K2580" t="s">
        <v>223</v>
      </c>
      <c r="L2580" t="s">
        <v>224</v>
      </c>
      <c r="M2580" t="s">
        <v>131</v>
      </c>
      <c r="N2580">
        <v>21</v>
      </c>
      <c r="O2580" t="s">
        <v>40</v>
      </c>
      <c r="P2580" t="s">
        <v>40</v>
      </c>
      <c r="Q2580" t="s">
        <v>40</v>
      </c>
      <c r="R2580" t="s">
        <v>40</v>
      </c>
      <c r="S2580" t="s">
        <v>40</v>
      </c>
      <c r="U2580" s="1">
        <v>43344</v>
      </c>
      <c r="V2580" t="s">
        <v>41</v>
      </c>
      <c r="W2580" t="s">
        <v>42</v>
      </c>
      <c r="X2580" t="str">
        <f>"0580206"</f>
        <v>0580206</v>
      </c>
      <c r="Y2580" t="s">
        <v>237</v>
      </c>
      <c r="Z2580" t="s">
        <v>223</v>
      </c>
      <c r="AA2580" t="s">
        <v>224</v>
      </c>
      <c r="AB2580" t="s">
        <v>131</v>
      </c>
      <c r="AC2580" t="s">
        <v>165</v>
      </c>
      <c r="AD2580" t="s">
        <v>45</v>
      </c>
      <c r="AE2580" s="1">
        <v>27576</v>
      </c>
      <c r="AF2580">
        <v>2</v>
      </c>
      <c r="AG2580" t="s">
        <v>224</v>
      </c>
      <c r="AH2580" s="36">
        <f t="shared" si="40"/>
        <v>44.113888888888887</v>
      </c>
      <c r="AI2580" s="41" t="s">
        <v>1779</v>
      </c>
    </row>
    <row r="2581" spans="1:35" x14ac:dyDescent="0.25">
      <c r="A2581" s="36">
        <v>99912579</v>
      </c>
      <c r="B2581" s="17" t="s">
        <v>32</v>
      </c>
      <c r="C2581" t="s">
        <v>71</v>
      </c>
      <c r="D2581" t="s">
        <v>72</v>
      </c>
      <c r="G2581" s="17" t="s">
        <v>48</v>
      </c>
      <c r="H2581" s="17">
        <v>1</v>
      </c>
      <c r="K2581" t="s">
        <v>1268</v>
      </c>
      <c r="L2581" t="s">
        <v>1269</v>
      </c>
      <c r="M2581" t="s">
        <v>1270</v>
      </c>
      <c r="N2581">
        <v>18</v>
      </c>
      <c r="O2581" t="s">
        <v>40</v>
      </c>
      <c r="P2581" t="s">
        <v>40</v>
      </c>
      <c r="Q2581" t="s">
        <v>40</v>
      </c>
      <c r="S2581" t="s">
        <v>40</v>
      </c>
      <c r="V2581" t="s">
        <v>41</v>
      </c>
      <c r="W2581" t="s">
        <v>42</v>
      </c>
      <c r="X2581" t="str">
        <f>"1980050"</f>
        <v>1980050</v>
      </c>
      <c r="Y2581" t="s">
        <v>1278</v>
      </c>
      <c r="Z2581" t="s">
        <v>1268</v>
      </c>
      <c r="AA2581" t="s">
        <v>1269</v>
      </c>
      <c r="AB2581" t="s">
        <v>1270</v>
      </c>
      <c r="AC2581" t="s">
        <v>51</v>
      </c>
      <c r="AD2581" t="s">
        <v>45</v>
      </c>
      <c r="AE2581" s="1">
        <v>27569</v>
      </c>
      <c r="AF2581">
        <v>2</v>
      </c>
      <c r="AG2581" t="s">
        <v>1269</v>
      </c>
      <c r="AH2581" s="36">
        <f t="shared" si="40"/>
        <v>44.133333333333333</v>
      </c>
      <c r="AI2581" s="41" t="s">
        <v>1779</v>
      </c>
    </row>
    <row r="2582" spans="1:35" x14ac:dyDescent="0.25">
      <c r="A2582" s="36">
        <v>99912580</v>
      </c>
      <c r="B2582" s="17" t="s">
        <v>32</v>
      </c>
      <c r="C2582" t="s">
        <v>141</v>
      </c>
      <c r="D2582" t="s">
        <v>142</v>
      </c>
      <c r="G2582" s="17" t="s">
        <v>48</v>
      </c>
      <c r="H2582" s="17">
        <v>1</v>
      </c>
      <c r="K2582" t="s">
        <v>154</v>
      </c>
      <c r="L2582" t="s">
        <v>155</v>
      </c>
      <c r="M2582" t="s">
        <v>131</v>
      </c>
      <c r="N2582">
        <v>23</v>
      </c>
      <c r="O2582" t="s">
        <v>40</v>
      </c>
      <c r="P2582" t="s">
        <v>40</v>
      </c>
      <c r="Q2582" t="s">
        <v>40</v>
      </c>
      <c r="S2582" t="s">
        <v>40</v>
      </c>
      <c r="V2582" t="s">
        <v>41</v>
      </c>
      <c r="W2582" t="s">
        <v>75</v>
      </c>
      <c r="X2582" t="str">
        <f>"7051022"</f>
        <v>7051022</v>
      </c>
      <c r="Y2582" t="s">
        <v>153</v>
      </c>
      <c r="Z2582" t="s">
        <v>154</v>
      </c>
      <c r="AA2582" t="s">
        <v>155</v>
      </c>
      <c r="AB2582" t="s">
        <v>131</v>
      </c>
      <c r="AC2582" t="s">
        <v>51</v>
      </c>
      <c r="AD2582" t="s">
        <v>45</v>
      </c>
      <c r="AE2582" s="1">
        <v>27568</v>
      </c>
      <c r="AF2582">
        <v>1</v>
      </c>
      <c r="AG2582" t="s">
        <v>155</v>
      </c>
      <c r="AH2582" s="36">
        <f t="shared" si="40"/>
        <v>44.136111111111113</v>
      </c>
      <c r="AI2582" s="41" t="s">
        <v>1779</v>
      </c>
    </row>
    <row r="2583" spans="1:35" x14ac:dyDescent="0.25">
      <c r="A2583" s="36">
        <v>99912581</v>
      </c>
      <c r="B2583" s="17" t="s">
        <v>32</v>
      </c>
      <c r="C2583" t="s">
        <v>46</v>
      </c>
      <c r="D2583" t="s">
        <v>47</v>
      </c>
      <c r="G2583" s="17" t="s">
        <v>35</v>
      </c>
      <c r="H2583" s="17">
        <v>1</v>
      </c>
      <c r="K2583" t="s">
        <v>223</v>
      </c>
      <c r="L2583" t="s">
        <v>224</v>
      </c>
      <c r="M2583" t="s">
        <v>131</v>
      </c>
      <c r="N2583">
        <v>20</v>
      </c>
      <c r="O2583" t="s">
        <v>40</v>
      </c>
      <c r="P2583" t="s">
        <v>40</v>
      </c>
      <c r="Q2583" t="s">
        <v>40</v>
      </c>
      <c r="S2583" t="s">
        <v>40</v>
      </c>
      <c r="V2583" t="s">
        <v>41</v>
      </c>
      <c r="W2583" t="s">
        <v>49</v>
      </c>
      <c r="X2583" t="str">
        <f>"0581207"</f>
        <v>0581207</v>
      </c>
      <c r="Y2583" t="s">
        <v>233</v>
      </c>
      <c r="Z2583" t="s">
        <v>223</v>
      </c>
      <c r="AA2583" t="s">
        <v>224</v>
      </c>
      <c r="AB2583" t="s">
        <v>131</v>
      </c>
      <c r="AC2583" t="s">
        <v>165</v>
      </c>
      <c r="AD2583" t="s">
        <v>45</v>
      </c>
      <c r="AE2583" s="1">
        <v>27564</v>
      </c>
      <c r="AF2583">
        <v>2</v>
      </c>
      <c r="AG2583" t="s">
        <v>224</v>
      </c>
      <c r="AH2583" s="36">
        <f t="shared" si="40"/>
        <v>44.147222222222226</v>
      </c>
      <c r="AI2583" s="41" t="s">
        <v>1779</v>
      </c>
    </row>
    <row r="2584" spans="1:35" x14ac:dyDescent="0.25">
      <c r="A2584" s="36">
        <v>99912582</v>
      </c>
      <c r="B2584" s="17" t="s">
        <v>32</v>
      </c>
      <c r="C2584" t="s">
        <v>111</v>
      </c>
      <c r="D2584" t="s">
        <v>112</v>
      </c>
      <c r="G2584" s="17" t="s">
        <v>35</v>
      </c>
      <c r="H2584" s="17">
        <v>1</v>
      </c>
      <c r="I2584" t="s">
        <v>286</v>
      </c>
      <c r="J2584" s="1">
        <v>43344</v>
      </c>
      <c r="K2584" t="s">
        <v>268</v>
      </c>
      <c r="L2584" t="s">
        <v>269</v>
      </c>
      <c r="M2584" t="s">
        <v>131</v>
      </c>
      <c r="N2584">
        <v>8</v>
      </c>
      <c r="O2584" t="s">
        <v>40</v>
      </c>
      <c r="S2584" t="s">
        <v>40</v>
      </c>
      <c r="V2584" t="s">
        <v>41</v>
      </c>
      <c r="W2584" t="s">
        <v>75</v>
      </c>
      <c r="X2584" t="str">
        <f>"7052018"</f>
        <v>7052018</v>
      </c>
      <c r="Y2584" t="s">
        <v>577</v>
      </c>
      <c r="Z2584" t="s">
        <v>268</v>
      </c>
      <c r="AA2584" t="s">
        <v>269</v>
      </c>
      <c r="AB2584" t="s">
        <v>131</v>
      </c>
      <c r="AC2584" t="s">
        <v>51</v>
      </c>
      <c r="AD2584" t="s">
        <v>45</v>
      </c>
      <c r="AE2584" s="1">
        <v>27562</v>
      </c>
      <c r="AF2584">
        <v>1</v>
      </c>
      <c r="AG2584" t="s">
        <v>269</v>
      </c>
      <c r="AH2584" s="36">
        <f t="shared" si="40"/>
        <v>44.152777777777779</v>
      </c>
      <c r="AI2584" s="41" t="s">
        <v>1779</v>
      </c>
    </row>
    <row r="2585" spans="1:35" x14ac:dyDescent="0.25">
      <c r="A2585" s="36">
        <v>99912583</v>
      </c>
      <c r="B2585" s="17" t="s">
        <v>32</v>
      </c>
      <c r="C2585" t="s">
        <v>64</v>
      </c>
      <c r="D2585" t="s">
        <v>65</v>
      </c>
      <c r="G2585" s="17" t="s">
        <v>88</v>
      </c>
      <c r="H2585" s="17">
        <v>3</v>
      </c>
      <c r="I2585" t="s">
        <v>554</v>
      </c>
      <c r="J2585" s="1">
        <v>40422</v>
      </c>
      <c r="K2585" t="s">
        <v>431</v>
      </c>
      <c r="L2585" t="s">
        <v>196</v>
      </c>
      <c r="M2585" t="s">
        <v>131</v>
      </c>
      <c r="N2585">
        <v>24</v>
      </c>
      <c r="O2585" t="s">
        <v>40</v>
      </c>
      <c r="P2585" t="s">
        <v>40</v>
      </c>
      <c r="Q2585" t="s">
        <v>40</v>
      </c>
      <c r="R2585" t="s">
        <v>40</v>
      </c>
      <c r="S2585" t="s">
        <v>40</v>
      </c>
      <c r="U2585" s="1">
        <v>40422</v>
      </c>
      <c r="V2585" t="s">
        <v>41</v>
      </c>
      <c r="W2585" t="s">
        <v>75</v>
      </c>
      <c r="X2585" t="str">
        <f>"7521022"</f>
        <v>7521022</v>
      </c>
      <c r="Y2585" t="s">
        <v>445</v>
      </c>
      <c r="Z2585" t="s">
        <v>431</v>
      </c>
      <c r="AA2585" t="s">
        <v>196</v>
      </c>
      <c r="AB2585" t="s">
        <v>131</v>
      </c>
      <c r="AC2585" t="s">
        <v>51</v>
      </c>
      <c r="AD2585" t="s">
        <v>45</v>
      </c>
      <c r="AE2585" s="1">
        <v>27559</v>
      </c>
      <c r="AF2585">
        <v>1</v>
      </c>
      <c r="AG2585" t="s">
        <v>196</v>
      </c>
      <c r="AH2585" s="36">
        <f t="shared" si="40"/>
        <v>44.161111111111111</v>
      </c>
      <c r="AI2585" s="41" t="s">
        <v>1779</v>
      </c>
    </row>
    <row r="2586" spans="1:35" x14ac:dyDescent="0.25">
      <c r="A2586" s="36">
        <v>99912584</v>
      </c>
      <c r="B2586" s="17" t="s">
        <v>56</v>
      </c>
      <c r="C2586" t="s">
        <v>295</v>
      </c>
      <c r="D2586" t="s">
        <v>296</v>
      </c>
      <c r="G2586" s="17" t="s">
        <v>35</v>
      </c>
      <c r="H2586" s="17">
        <v>1</v>
      </c>
      <c r="I2586" t="s">
        <v>297</v>
      </c>
      <c r="J2586" s="1">
        <v>43344</v>
      </c>
      <c r="K2586" t="s">
        <v>223</v>
      </c>
      <c r="L2586" t="s">
        <v>224</v>
      </c>
      <c r="M2586" t="s">
        <v>131</v>
      </c>
      <c r="N2586">
        <v>23</v>
      </c>
      <c r="O2586" t="s">
        <v>40</v>
      </c>
      <c r="P2586" t="s">
        <v>40</v>
      </c>
      <c r="Q2586" t="s">
        <v>40</v>
      </c>
      <c r="R2586" t="s">
        <v>40</v>
      </c>
      <c r="S2586" t="s">
        <v>40</v>
      </c>
      <c r="U2586" s="1">
        <v>43344</v>
      </c>
      <c r="V2586" t="s">
        <v>41</v>
      </c>
      <c r="W2586" t="s">
        <v>49</v>
      </c>
      <c r="X2586" t="str">
        <f>"0509999"</f>
        <v>0509999</v>
      </c>
      <c r="Y2586" t="s">
        <v>247</v>
      </c>
      <c r="Z2586" t="s">
        <v>223</v>
      </c>
      <c r="AA2586" t="s">
        <v>224</v>
      </c>
      <c r="AB2586" t="s">
        <v>131</v>
      </c>
      <c r="AC2586" t="s">
        <v>51</v>
      </c>
      <c r="AD2586" t="s">
        <v>45</v>
      </c>
      <c r="AE2586" s="1">
        <v>27558</v>
      </c>
      <c r="AF2586">
        <v>2</v>
      </c>
      <c r="AG2586" t="s">
        <v>224</v>
      </c>
      <c r="AH2586" s="36">
        <f t="shared" si="40"/>
        <v>44.163888888888891</v>
      </c>
      <c r="AI2586" s="41" t="s">
        <v>1779</v>
      </c>
    </row>
    <row r="2587" spans="1:35" x14ac:dyDescent="0.25">
      <c r="A2587" s="36">
        <v>99912585</v>
      </c>
      <c r="B2587" s="17" t="s">
        <v>56</v>
      </c>
      <c r="C2587" t="s">
        <v>52</v>
      </c>
      <c r="D2587" t="s">
        <v>53</v>
      </c>
      <c r="G2587" s="17" t="s">
        <v>48</v>
      </c>
      <c r="H2587" s="17">
        <v>1</v>
      </c>
      <c r="K2587" t="s">
        <v>223</v>
      </c>
      <c r="L2587" t="s">
        <v>224</v>
      </c>
      <c r="M2587" t="s">
        <v>131</v>
      </c>
      <c r="N2587">
        <v>20</v>
      </c>
      <c r="O2587" t="s">
        <v>40</v>
      </c>
      <c r="P2587" t="s">
        <v>40</v>
      </c>
      <c r="Q2587" t="s">
        <v>40</v>
      </c>
      <c r="S2587" t="s">
        <v>40</v>
      </c>
      <c r="V2587" t="s">
        <v>41</v>
      </c>
      <c r="W2587" t="s">
        <v>42</v>
      </c>
      <c r="X2587" t="str">
        <f>"0580204"</f>
        <v>0580204</v>
      </c>
      <c r="Y2587" t="s">
        <v>235</v>
      </c>
      <c r="Z2587" t="s">
        <v>223</v>
      </c>
      <c r="AA2587" t="s">
        <v>224</v>
      </c>
      <c r="AB2587" t="s">
        <v>131</v>
      </c>
      <c r="AC2587" t="s">
        <v>51</v>
      </c>
      <c r="AD2587" t="s">
        <v>45</v>
      </c>
      <c r="AE2587" s="1">
        <v>27556</v>
      </c>
      <c r="AF2587">
        <v>2</v>
      </c>
      <c r="AG2587" t="s">
        <v>224</v>
      </c>
      <c r="AH2587" s="36">
        <f t="shared" si="40"/>
        <v>44.169444444444444</v>
      </c>
      <c r="AI2587" s="41" t="s">
        <v>1779</v>
      </c>
    </row>
    <row r="2588" spans="1:35" x14ac:dyDescent="0.25">
      <c r="A2588" s="36">
        <v>99912586</v>
      </c>
      <c r="B2588" s="17" t="s">
        <v>32</v>
      </c>
      <c r="C2588" t="s">
        <v>64</v>
      </c>
      <c r="D2588" t="s">
        <v>65</v>
      </c>
      <c r="G2588" s="17" t="s">
        <v>35</v>
      </c>
      <c r="H2588" s="17">
        <v>1</v>
      </c>
      <c r="J2588" s="1">
        <v>38975</v>
      </c>
      <c r="K2588" t="s">
        <v>1336</v>
      </c>
      <c r="L2588" t="s">
        <v>1337</v>
      </c>
      <c r="M2588" t="s">
        <v>1270</v>
      </c>
      <c r="N2588">
        <v>10</v>
      </c>
      <c r="O2588" t="s">
        <v>40</v>
      </c>
      <c r="P2588" t="s">
        <v>40</v>
      </c>
      <c r="Q2588" t="s">
        <v>40</v>
      </c>
      <c r="R2588" t="s">
        <v>40</v>
      </c>
      <c r="S2588" t="s">
        <v>40</v>
      </c>
      <c r="U2588" s="1">
        <v>38975</v>
      </c>
      <c r="V2588" t="s">
        <v>41</v>
      </c>
      <c r="W2588" t="s">
        <v>42</v>
      </c>
      <c r="X2588" t="str">
        <f>"4475070"</f>
        <v>4475070</v>
      </c>
      <c r="Y2588" t="s">
        <v>1338</v>
      </c>
      <c r="Z2588" t="s">
        <v>1336</v>
      </c>
      <c r="AA2588" t="s">
        <v>1337</v>
      </c>
      <c r="AB2588" t="s">
        <v>1270</v>
      </c>
      <c r="AC2588" t="s">
        <v>51</v>
      </c>
      <c r="AD2588" t="s">
        <v>45</v>
      </c>
      <c r="AE2588" s="1">
        <v>27553</v>
      </c>
      <c r="AF2588">
        <v>2</v>
      </c>
      <c r="AG2588" t="s">
        <v>1337</v>
      </c>
      <c r="AH2588" s="36">
        <f t="shared" si="40"/>
        <v>44.177777777777777</v>
      </c>
      <c r="AI2588" s="41" t="s">
        <v>1779</v>
      </c>
    </row>
    <row r="2589" spans="1:35" x14ac:dyDescent="0.25">
      <c r="A2589" s="36">
        <v>99912587</v>
      </c>
      <c r="B2589" s="17" t="s">
        <v>32</v>
      </c>
      <c r="C2589" t="s">
        <v>90</v>
      </c>
      <c r="D2589" t="s">
        <v>91</v>
      </c>
      <c r="G2589" s="17" t="s">
        <v>35</v>
      </c>
      <c r="H2589" s="17">
        <v>1</v>
      </c>
      <c r="I2589" t="s">
        <v>1400</v>
      </c>
      <c r="J2589" s="1">
        <v>43344</v>
      </c>
      <c r="K2589" t="s">
        <v>1341</v>
      </c>
      <c r="L2589" t="s">
        <v>1342</v>
      </c>
      <c r="M2589" t="s">
        <v>1270</v>
      </c>
      <c r="N2589">
        <v>24</v>
      </c>
      <c r="O2589" t="s">
        <v>40</v>
      </c>
      <c r="S2589" t="s">
        <v>40</v>
      </c>
      <c r="U2589" s="1">
        <v>43344</v>
      </c>
      <c r="V2589" t="s">
        <v>41</v>
      </c>
      <c r="W2589" t="s">
        <v>95</v>
      </c>
      <c r="X2589" t="str">
        <f>"7191103"</f>
        <v>7191103</v>
      </c>
      <c r="Y2589" t="s">
        <v>1419</v>
      </c>
      <c r="Z2589" t="s">
        <v>1341</v>
      </c>
      <c r="AA2589" t="s">
        <v>1342</v>
      </c>
      <c r="AB2589" t="s">
        <v>1270</v>
      </c>
      <c r="AC2589" t="s">
        <v>44</v>
      </c>
      <c r="AD2589" t="s">
        <v>45</v>
      </c>
      <c r="AE2589" s="1">
        <v>27550</v>
      </c>
      <c r="AF2589">
        <v>1</v>
      </c>
      <c r="AG2589" t="s">
        <v>1342</v>
      </c>
      <c r="AH2589" s="36">
        <f t="shared" si="40"/>
        <v>44.18611111111111</v>
      </c>
      <c r="AI2589" s="41" t="s">
        <v>1779</v>
      </c>
    </row>
    <row r="2590" spans="1:35" x14ac:dyDescent="0.25">
      <c r="A2590" s="36">
        <v>99912588</v>
      </c>
      <c r="B2590" s="17" t="s">
        <v>32</v>
      </c>
      <c r="C2590" t="s">
        <v>139</v>
      </c>
      <c r="D2590" t="s">
        <v>140</v>
      </c>
      <c r="G2590" s="17" t="s">
        <v>48</v>
      </c>
      <c r="H2590" s="17">
        <v>1</v>
      </c>
      <c r="K2590" t="s">
        <v>223</v>
      </c>
      <c r="L2590" t="s">
        <v>224</v>
      </c>
      <c r="M2590" t="s">
        <v>131</v>
      </c>
      <c r="N2590">
        <v>20</v>
      </c>
      <c r="O2590" t="s">
        <v>40</v>
      </c>
      <c r="P2590" t="s">
        <v>40</v>
      </c>
      <c r="Q2590" t="s">
        <v>40</v>
      </c>
      <c r="R2590" t="s">
        <v>40</v>
      </c>
      <c r="S2590" t="s">
        <v>40</v>
      </c>
      <c r="V2590" t="s">
        <v>41</v>
      </c>
      <c r="W2590" t="s">
        <v>49</v>
      </c>
      <c r="X2590" t="str">
        <f>"0581206"</f>
        <v>0581206</v>
      </c>
      <c r="Y2590" t="s">
        <v>232</v>
      </c>
      <c r="Z2590" t="s">
        <v>223</v>
      </c>
      <c r="AA2590" t="s">
        <v>224</v>
      </c>
      <c r="AB2590" t="s">
        <v>131</v>
      </c>
      <c r="AC2590" t="s">
        <v>51</v>
      </c>
      <c r="AD2590" t="s">
        <v>45</v>
      </c>
      <c r="AE2590" s="1">
        <v>27548</v>
      </c>
      <c r="AF2590">
        <v>2</v>
      </c>
      <c r="AG2590" t="s">
        <v>224</v>
      </c>
      <c r="AH2590" s="36">
        <f t="shared" si="40"/>
        <v>44.19166666666667</v>
      </c>
      <c r="AI2590" s="41" t="s">
        <v>1779</v>
      </c>
    </row>
    <row r="2591" spans="1:35" x14ac:dyDescent="0.25">
      <c r="A2591" s="36">
        <v>99912589</v>
      </c>
      <c r="B2591" s="17" t="s">
        <v>56</v>
      </c>
      <c r="C2591" t="s">
        <v>79</v>
      </c>
      <c r="D2591" t="s">
        <v>80</v>
      </c>
      <c r="G2591" s="17" t="s">
        <v>48</v>
      </c>
      <c r="H2591" s="17">
        <v>1</v>
      </c>
      <c r="K2591" t="s">
        <v>300</v>
      </c>
      <c r="L2591" t="s">
        <v>301</v>
      </c>
      <c r="M2591" t="s">
        <v>131</v>
      </c>
      <c r="N2591">
        <v>20</v>
      </c>
      <c r="O2591" t="s">
        <v>40</v>
      </c>
      <c r="P2591" t="s">
        <v>40</v>
      </c>
      <c r="Q2591" t="s">
        <v>40</v>
      </c>
      <c r="R2591" t="s">
        <v>40</v>
      </c>
      <c r="S2591" t="s">
        <v>40</v>
      </c>
      <c r="V2591" t="s">
        <v>41</v>
      </c>
      <c r="W2591" t="s">
        <v>42</v>
      </c>
      <c r="X2591" t="str">
        <f>"0561001"</f>
        <v>0561001</v>
      </c>
      <c r="Y2591" t="s">
        <v>308</v>
      </c>
      <c r="Z2591" t="s">
        <v>300</v>
      </c>
      <c r="AA2591" t="s">
        <v>301</v>
      </c>
      <c r="AB2591" t="s">
        <v>131</v>
      </c>
      <c r="AC2591" t="s">
        <v>51</v>
      </c>
      <c r="AD2591" t="s">
        <v>45</v>
      </c>
      <c r="AE2591" s="1">
        <v>27542</v>
      </c>
      <c r="AF2591">
        <v>2</v>
      </c>
      <c r="AG2591" t="s">
        <v>301</v>
      </c>
      <c r="AH2591" s="36">
        <f t="shared" si="40"/>
        <v>44.208333333333336</v>
      </c>
      <c r="AI2591" s="41" t="s">
        <v>1779</v>
      </c>
    </row>
    <row r="2592" spans="1:35" x14ac:dyDescent="0.25">
      <c r="A2592" s="36">
        <v>99912590</v>
      </c>
      <c r="B2592" s="17" t="s">
        <v>32</v>
      </c>
      <c r="C2592" t="s">
        <v>46</v>
      </c>
      <c r="D2592" t="s">
        <v>47</v>
      </c>
      <c r="G2592" s="17" t="s">
        <v>35</v>
      </c>
      <c r="H2592" s="17">
        <v>1</v>
      </c>
      <c r="I2592">
        <v>13977</v>
      </c>
      <c r="J2592" s="1">
        <v>43374</v>
      </c>
      <c r="K2592" t="s">
        <v>345</v>
      </c>
      <c r="L2592" t="s">
        <v>346</v>
      </c>
      <c r="M2592" t="s">
        <v>131</v>
      </c>
      <c r="N2592">
        <v>10</v>
      </c>
      <c r="O2592" t="s">
        <v>40</v>
      </c>
      <c r="P2592" t="s">
        <v>40</v>
      </c>
      <c r="Q2592" t="s">
        <v>40</v>
      </c>
      <c r="S2592" t="s">
        <v>40</v>
      </c>
      <c r="U2592" s="1">
        <v>43374</v>
      </c>
      <c r="V2592" t="s">
        <v>41</v>
      </c>
      <c r="W2592" t="s">
        <v>42</v>
      </c>
      <c r="X2592" t="str">
        <f>"0580650"</f>
        <v>0580650</v>
      </c>
      <c r="Y2592" t="s">
        <v>356</v>
      </c>
      <c r="Z2592" t="s">
        <v>345</v>
      </c>
      <c r="AA2592" t="s">
        <v>346</v>
      </c>
      <c r="AB2592" t="s">
        <v>131</v>
      </c>
      <c r="AC2592" t="s">
        <v>55</v>
      </c>
      <c r="AD2592" t="s">
        <v>45</v>
      </c>
      <c r="AE2592" s="1">
        <v>27540</v>
      </c>
      <c r="AF2592">
        <v>2</v>
      </c>
      <c r="AG2592" t="s">
        <v>346</v>
      </c>
      <c r="AH2592" s="36">
        <f t="shared" si="40"/>
        <v>44.213888888888889</v>
      </c>
      <c r="AI2592" s="41" t="s">
        <v>1779</v>
      </c>
    </row>
    <row r="2593" spans="1:35" x14ac:dyDescent="0.25">
      <c r="A2593" s="36">
        <v>99912591</v>
      </c>
      <c r="B2593" s="17" t="s">
        <v>32</v>
      </c>
      <c r="C2593" t="s">
        <v>68</v>
      </c>
      <c r="D2593" t="s">
        <v>69</v>
      </c>
      <c r="G2593" s="17" t="s">
        <v>35</v>
      </c>
      <c r="H2593" s="17">
        <v>1</v>
      </c>
      <c r="I2593">
        <v>6983</v>
      </c>
      <c r="J2593" s="1">
        <v>43344</v>
      </c>
      <c r="K2593" t="s">
        <v>1306</v>
      </c>
      <c r="L2593" t="s">
        <v>1307</v>
      </c>
      <c r="M2593" t="s">
        <v>1270</v>
      </c>
      <c r="N2593">
        <v>20</v>
      </c>
      <c r="O2593" t="s">
        <v>40</v>
      </c>
      <c r="P2593" t="s">
        <v>40</v>
      </c>
      <c r="Q2593" t="s">
        <v>40</v>
      </c>
      <c r="R2593" t="s">
        <v>40</v>
      </c>
      <c r="S2593" t="s">
        <v>40</v>
      </c>
      <c r="U2593" s="1">
        <v>43344</v>
      </c>
      <c r="V2593" t="s">
        <v>41</v>
      </c>
      <c r="W2593" t="s">
        <v>42</v>
      </c>
      <c r="X2593" t="str">
        <f>"1990915"</f>
        <v>1990915</v>
      </c>
      <c r="Y2593" t="s">
        <v>1308</v>
      </c>
      <c r="Z2593" t="s">
        <v>1306</v>
      </c>
      <c r="AA2593" t="s">
        <v>1307</v>
      </c>
      <c r="AB2593" t="s">
        <v>1270</v>
      </c>
      <c r="AC2593" t="s">
        <v>51</v>
      </c>
      <c r="AD2593" t="s">
        <v>45</v>
      </c>
      <c r="AE2593" s="1">
        <v>27525</v>
      </c>
      <c r="AF2593">
        <v>2</v>
      </c>
      <c r="AG2593" t="s">
        <v>1307</v>
      </c>
      <c r="AH2593" s="36">
        <f t="shared" si="40"/>
        <v>44.255555555555553</v>
      </c>
      <c r="AI2593" s="41" t="s">
        <v>1779</v>
      </c>
    </row>
    <row r="2594" spans="1:35" x14ac:dyDescent="0.25">
      <c r="A2594" s="36">
        <v>99912592</v>
      </c>
      <c r="B2594" s="17" t="s">
        <v>32</v>
      </c>
      <c r="C2594" t="s">
        <v>111</v>
      </c>
      <c r="D2594" t="s">
        <v>112</v>
      </c>
      <c r="G2594" s="17" t="s">
        <v>48</v>
      </c>
      <c r="H2594" s="17">
        <v>1</v>
      </c>
      <c r="K2594" t="s">
        <v>431</v>
      </c>
      <c r="L2594" t="s">
        <v>196</v>
      </c>
      <c r="M2594" t="s">
        <v>131</v>
      </c>
      <c r="N2594">
        <v>22</v>
      </c>
      <c r="O2594" t="s">
        <v>40</v>
      </c>
      <c r="P2594" t="s">
        <v>40</v>
      </c>
      <c r="Q2594" t="s">
        <v>40</v>
      </c>
      <c r="S2594" t="s">
        <v>40</v>
      </c>
      <c r="V2594" t="s">
        <v>41</v>
      </c>
      <c r="W2594" t="s">
        <v>75</v>
      </c>
      <c r="X2594" t="str">
        <f>"7521016"</f>
        <v>7521016</v>
      </c>
      <c r="Y2594" t="s">
        <v>448</v>
      </c>
      <c r="Z2594" t="s">
        <v>431</v>
      </c>
      <c r="AA2594" t="s">
        <v>196</v>
      </c>
      <c r="AB2594" t="s">
        <v>131</v>
      </c>
      <c r="AC2594" t="s">
        <v>51</v>
      </c>
      <c r="AD2594" t="s">
        <v>45</v>
      </c>
      <c r="AE2594" s="1">
        <v>27518</v>
      </c>
      <c r="AF2594">
        <v>1</v>
      </c>
      <c r="AG2594" t="s">
        <v>196</v>
      </c>
      <c r="AH2594" s="36">
        <f t="shared" si="40"/>
        <v>44.274999999999999</v>
      </c>
      <c r="AI2594" s="41" t="s">
        <v>1779</v>
      </c>
    </row>
    <row r="2595" spans="1:35" x14ac:dyDescent="0.25">
      <c r="A2595" s="36">
        <v>99912593</v>
      </c>
      <c r="B2595" s="17" t="s">
        <v>32</v>
      </c>
      <c r="C2595" t="s">
        <v>46</v>
      </c>
      <c r="D2595" t="s">
        <v>47</v>
      </c>
      <c r="G2595" s="17" t="s">
        <v>35</v>
      </c>
      <c r="H2595" s="17">
        <v>1</v>
      </c>
      <c r="K2595" t="s">
        <v>300</v>
      </c>
      <c r="L2595" t="s">
        <v>301</v>
      </c>
      <c r="M2595" t="s">
        <v>131</v>
      </c>
      <c r="N2595">
        <v>25</v>
      </c>
      <c r="O2595" t="s">
        <v>40</v>
      </c>
      <c r="P2595" t="s">
        <v>40</v>
      </c>
      <c r="Q2595" t="s">
        <v>40</v>
      </c>
      <c r="R2595" t="s">
        <v>40</v>
      </c>
      <c r="S2595" t="s">
        <v>40</v>
      </c>
      <c r="V2595" t="s">
        <v>41</v>
      </c>
      <c r="W2595" t="s">
        <v>42</v>
      </c>
      <c r="X2595" t="str">
        <f>"0580457"</f>
        <v>0580457</v>
      </c>
      <c r="Y2595" t="s">
        <v>310</v>
      </c>
      <c r="Z2595" t="s">
        <v>300</v>
      </c>
      <c r="AA2595" t="s">
        <v>301</v>
      </c>
      <c r="AB2595" t="s">
        <v>131</v>
      </c>
      <c r="AC2595" t="s">
        <v>51</v>
      </c>
      <c r="AD2595" t="s">
        <v>45</v>
      </c>
      <c r="AE2595" s="1">
        <v>27515</v>
      </c>
      <c r="AF2595">
        <v>2</v>
      </c>
      <c r="AG2595" t="s">
        <v>301</v>
      </c>
      <c r="AH2595" s="36">
        <f t="shared" si="40"/>
        <v>44.283333333333331</v>
      </c>
      <c r="AI2595" s="41" t="s">
        <v>1779</v>
      </c>
    </row>
    <row r="2596" spans="1:35" x14ac:dyDescent="0.25">
      <c r="A2596" s="36">
        <v>99912594</v>
      </c>
      <c r="B2596" s="17" t="s">
        <v>56</v>
      </c>
      <c r="C2596" t="s">
        <v>64</v>
      </c>
      <c r="D2596" t="s">
        <v>65</v>
      </c>
      <c r="G2596" s="17" t="s">
        <v>35</v>
      </c>
      <c r="H2596" s="17">
        <v>1</v>
      </c>
      <c r="I2596">
        <v>19287</v>
      </c>
      <c r="J2596" s="1">
        <v>43346</v>
      </c>
      <c r="K2596" t="s">
        <v>380</v>
      </c>
      <c r="L2596" t="s">
        <v>381</v>
      </c>
      <c r="M2596" t="s">
        <v>131</v>
      </c>
      <c r="N2596">
        <v>9</v>
      </c>
      <c r="O2596" t="s">
        <v>40</v>
      </c>
      <c r="P2596" t="s">
        <v>40</v>
      </c>
      <c r="Q2596" t="s">
        <v>40</v>
      </c>
      <c r="S2596" t="s">
        <v>40</v>
      </c>
      <c r="U2596" s="1">
        <v>43346</v>
      </c>
      <c r="V2596" t="s">
        <v>41</v>
      </c>
      <c r="W2596" t="s">
        <v>49</v>
      </c>
      <c r="X2596" t="str">
        <f>"0560028"</f>
        <v>0560028</v>
      </c>
      <c r="Y2596" t="s">
        <v>384</v>
      </c>
      <c r="Z2596" t="s">
        <v>380</v>
      </c>
      <c r="AA2596" t="s">
        <v>381</v>
      </c>
      <c r="AB2596" t="s">
        <v>131</v>
      </c>
      <c r="AC2596" t="s">
        <v>55</v>
      </c>
      <c r="AD2596" t="s">
        <v>45</v>
      </c>
      <c r="AE2596" s="1">
        <v>27512</v>
      </c>
      <c r="AF2596">
        <v>2</v>
      </c>
      <c r="AG2596" t="s">
        <v>381</v>
      </c>
      <c r="AH2596" s="36">
        <f t="shared" si="40"/>
        <v>44.291666666666664</v>
      </c>
      <c r="AI2596" s="41" t="s">
        <v>1779</v>
      </c>
    </row>
    <row r="2597" spans="1:35" x14ac:dyDescent="0.25">
      <c r="A2597" s="36">
        <v>99912595</v>
      </c>
      <c r="B2597" s="17" t="s">
        <v>32</v>
      </c>
      <c r="C2597" t="s">
        <v>111</v>
      </c>
      <c r="D2597" t="s">
        <v>112</v>
      </c>
      <c r="G2597" s="17" t="s">
        <v>48</v>
      </c>
      <c r="H2597" s="17">
        <v>8</v>
      </c>
      <c r="K2597" t="s">
        <v>1221</v>
      </c>
      <c r="L2597" t="s">
        <v>1222</v>
      </c>
      <c r="M2597" t="s">
        <v>1130</v>
      </c>
      <c r="N2597">
        <v>22</v>
      </c>
      <c r="O2597" t="s">
        <v>40</v>
      </c>
      <c r="P2597" t="s">
        <v>40</v>
      </c>
      <c r="Q2597" t="s">
        <v>40</v>
      </c>
      <c r="R2597" t="s">
        <v>40</v>
      </c>
      <c r="S2597" t="s">
        <v>40</v>
      </c>
      <c r="V2597" t="s">
        <v>41</v>
      </c>
      <c r="W2597" t="s">
        <v>75</v>
      </c>
      <c r="X2597" t="str">
        <f>"7351000"</f>
        <v>7351000</v>
      </c>
      <c r="Y2597" t="s">
        <v>1223</v>
      </c>
      <c r="Z2597" t="s">
        <v>1221</v>
      </c>
      <c r="AA2597" t="s">
        <v>1222</v>
      </c>
      <c r="AB2597" t="s">
        <v>1130</v>
      </c>
      <c r="AC2597" t="s">
        <v>51</v>
      </c>
      <c r="AD2597" t="s">
        <v>45</v>
      </c>
      <c r="AE2597" s="1">
        <v>27506</v>
      </c>
      <c r="AF2597">
        <v>1</v>
      </c>
      <c r="AG2597" t="s">
        <v>1222</v>
      </c>
      <c r="AH2597" s="36">
        <f t="shared" si="40"/>
        <v>44.30833333333333</v>
      </c>
      <c r="AI2597" s="41" t="s">
        <v>1779</v>
      </c>
    </row>
    <row r="2598" spans="1:35" x14ac:dyDescent="0.25">
      <c r="A2598" s="36">
        <v>99912596</v>
      </c>
      <c r="B2598" s="17" t="s">
        <v>32</v>
      </c>
      <c r="C2598" t="s">
        <v>111</v>
      </c>
      <c r="D2598" t="s">
        <v>112</v>
      </c>
      <c r="G2598" s="17" t="s">
        <v>48</v>
      </c>
      <c r="H2598" s="17">
        <v>1</v>
      </c>
      <c r="K2598" t="s">
        <v>667</v>
      </c>
      <c r="L2598" t="s">
        <v>669</v>
      </c>
      <c r="M2598" t="s">
        <v>670</v>
      </c>
      <c r="N2598">
        <v>21</v>
      </c>
      <c r="O2598" t="s">
        <v>40</v>
      </c>
      <c r="P2598" t="s">
        <v>40</v>
      </c>
      <c r="Q2598" t="s">
        <v>40</v>
      </c>
      <c r="R2598" t="s">
        <v>40</v>
      </c>
      <c r="S2598" t="s">
        <v>40</v>
      </c>
      <c r="V2598" t="s">
        <v>41</v>
      </c>
      <c r="W2598" t="s">
        <v>75</v>
      </c>
      <c r="X2598" t="str">
        <f>"7501000"</f>
        <v>7501000</v>
      </c>
      <c r="Y2598" t="s">
        <v>668</v>
      </c>
      <c r="Z2598" t="s">
        <v>667</v>
      </c>
      <c r="AA2598" t="s">
        <v>669</v>
      </c>
      <c r="AB2598" t="s">
        <v>670</v>
      </c>
      <c r="AC2598" t="s">
        <v>51</v>
      </c>
      <c r="AD2598" t="s">
        <v>45</v>
      </c>
      <c r="AE2598" s="1">
        <v>27499</v>
      </c>
      <c r="AF2598">
        <v>1</v>
      </c>
      <c r="AG2598" t="s">
        <v>669</v>
      </c>
      <c r="AH2598" s="36">
        <f t="shared" si="40"/>
        <v>44.327777777777776</v>
      </c>
      <c r="AI2598" s="41" t="s">
        <v>1779</v>
      </c>
    </row>
    <row r="2599" spans="1:35" x14ac:dyDescent="0.25">
      <c r="A2599" s="36">
        <v>99912597</v>
      </c>
      <c r="B2599" s="17" t="s">
        <v>32</v>
      </c>
      <c r="C2599" t="s">
        <v>90</v>
      </c>
      <c r="D2599" t="s">
        <v>91</v>
      </c>
      <c r="G2599" s="17" t="s">
        <v>35</v>
      </c>
      <c r="H2599" s="17">
        <v>1</v>
      </c>
      <c r="K2599" t="s">
        <v>877</v>
      </c>
      <c r="L2599" t="s">
        <v>878</v>
      </c>
      <c r="M2599" t="s">
        <v>131</v>
      </c>
      <c r="N2599">
        <v>24</v>
      </c>
      <c r="O2599" t="s">
        <v>40</v>
      </c>
      <c r="P2599" t="s">
        <v>40</v>
      </c>
      <c r="Q2599" t="s">
        <v>40</v>
      </c>
      <c r="S2599" t="s">
        <v>40</v>
      </c>
      <c r="V2599" t="s">
        <v>41</v>
      </c>
      <c r="W2599" t="s">
        <v>75</v>
      </c>
      <c r="X2599" t="str">
        <f>"7700025"</f>
        <v>7700025</v>
      </c>
      <c r="Y2599" t="s">
        <v>880</v>
      </c>
      <c r="Z2599" t="s">
        <v>877</v>
      </c>
      <c r="AA2599" t="s">
        <v>878</v>
      </c>
      <c r="AB2599" t="s">
        <v>131</v>
      </c>
      <c r="AC2599" t="s">
        <v>51</v>
      </c>
      <c r="AD2599" t="s">
        <v>45</v>
      </c>
      <c r="AE2599" s="1">
        <v>27498</v>
      </c>
      <c r="AF2599">
        <v>1</v>
      </c>
      <c r="AG2599" t="s">
        <v>878</v>
      </c>
      <c r="AH2599" s="36">
        <f t="shared" si="40"/>
        <v>44.330555555555556</v>
      </c>
      <c r="AI2599" s="41" t="s">
        <v>1779</v>
      </c>
    </row>
    <row r="2600" spans="1:35" x14ac:dyDescent="0.25">
      <c r="A2600" s="36">
        <v>99912598</v>
      </c>
      <c r="B2600" s="17" t="s">
        <v>32</v>
      </c>
      <c r="C2600" t="s">
        <v>143</v>
      </c>
      <c r="D2600" t="s">
        <v>144</v>
      </c>
      <c r="G2600" s="17" t="s">
        <v>48</v>
      </c>
      <c r="H2600" s="17">
        <v>1</v>
      </c>
      <c r="K2600" t="s">
        <v>431</v>
      </c>
      <c r="L2600" t="s">
        <v>196</v>
      </c>
      <c r="M2600" t="s">
        <v>131</v>
      </c>
      <c r="N2600">
        <v>23</v>
      </c>
      <c r="O2600" t="s">
        <v>40</v>
      </c>
      <c r="P2600" t="s">
        <v>40</v>
      </c>
      <c r="Q2600" t="s">
        <v>40</v>
      </c>
      <c r="R2600" t="s">
        <v>40</v>
      </c>
      <c r="S2600" t="s">
        <v>40</v>
      </c>
      <c r="V2600" t="s">
        <v>41</v>
      </c>
      <c r="W2600" t="s">
        <v>75</v>
      </c>
      <c r="X2600" t="str">
        <f>"7521012"</f>
        <v>7521012</v>
      </c>
      <c r="Y2600" t="s">
        <v>432</v>
      </c>
      <c r="Z2600" t="s">
        <v>431</v>
      </c>
      <c r="AA2600" t="s">
        <v>196</v>
      </c>
      <c r="AB2600" t="s">
        <v>131</v>
      </c>
      <c r="AC2600" t="s">
        <v>51</v>
      </c>
      <c r="AD2600" t="s">
        <v>45</v>
      </c>
      <c r="AE2600" s="1">
        <v>27486</v>
      </c>
      <c r="AF2600">
        <v>1</v>
      </c>
      <c r="AG2600" t="s">
        <v>196</v>
      </c>
      <c r="AH2600" s="36">
        <f t="shared" si="40"/>
        <v>44.363888888888887</v>
      </c>
      <c r="AI2600" s="41" t="s">
        <v>1779</v>
      </c>
    </row>
    <row r="2601" spans="1:35" x14ac:dyDescent="0.25">
      <c r="A2601" s="36">
        <v>99912599</v>
      </c>
      <c r="B2601" s="17" t="s">
        <v>32</v>
      </c>
      <c r="C2601" t="s">
        <v>111</v>
      </c>
      <c r="D2601" t="s">
        <v>112</v>
      </c>
      <c r="G2601" s="17" t="s">
        <v>35</v>
      </c>
      <c r="H2601" s="17">
        <v>1</v>
      </c>
      <c r="I2601">
        <v>2750</v>
      </c>
      <c r="J2601" s="1">
        <v>43344</v>
      </c>
      <c r="K2601" t="s">
        <v>1245</v>
      </c>
      <c r="L2601" t="s">
        <v>1246</v>
      </c>
      <c r="M2601" t="s">
        <v>1130</v>
      </c>
      <c r="N2601">
        <v>21</v>
      </c>
      <c r="O2601" t="s">
        <v>40</v>
      </c>
      <c r="S2601" t="s">
        <v>40</v>
      </c>
      <c r="U2601" s="1">
        <v>43344</v>
      </c>
      <c r="V2601" t="s">
        <v>41</v>
      </c>
      <c r="W2601" t="s">
        <v>75</v>
      </c>
      <c r="X2601" t="str">
        <f>"7451000"</f>
        <v>7451000</v>
      </c>
      <c r="Y2601" t="s">
        <v>1250</v>
      </c>
      <c r="Z2601" t="s">
        <v>1245</v>
      </c>
      <c r="AA2601" t="s">
        <v>1246</v>
      </c>
      <c r="AB2601" t="s">
        <v>1130</v>
      </c>
      <c r="AC2601" t="s">
        <v>51</v>
      </c>
      <c r="AD2601" t="s">
        <v>45</v>
      </c>
      <c r="AE2601" s="1">
        <v>27484</v>
      </c>
      <c r="AF2601">
        <v>1</v>
      </c>
      <c r="AG2601" t="s">
        <v>1246</v>
      </c>
      <c r="AH2601" s="36">
        <f t="shared" si="40"/>
        <v>44.369444444444447</v>
      </c>
      <c r="AI2601" s="41" t="s">
        <v>1779</v>
      </c>
    </row>
    <row r="2602" spans="1:35" x14ac:dyDescent="0.25">
      <c r="A2602" s="36">
        <v>99912600</v>
      </c>
      <c r="B2602" s="17" t="s">
        <v>32</v>
      </c>
      <c r="C2602" t="s">
        <v>64</v>
      </c>
      <c r="D2602" t="s">
        <v>65</v>
      </c>
      <c r="G2602" s="17" t="s">
        <v>48</v>
      </c>
      <c r="H2602" s="17">
        <v>5</v>
      </c>
      <c r="I2602" t="s">
        <v>464</v>
      </c>
      <c r="J2602" s="1">
        <v>41153</v>
      </c>
      <c r="K2602" t="s">
        <v>431</v>
      </c>
      <c r="L2602" t="s">
        <v>196</v>
      </c>
      <c r="M2602" t="s">
        <v>131</v>
      </c>
      <c r="N2602">
        <v>24</v>
      </c>
      <c r="O2602" t="s">
        <v>40</v>
      </c>
      <c r="P2602" t="s">
        <v>40</v>
      </c>
      <c r="Q2602" t="s">
        <v>40</v>
      </c>
      <c r="R2602" t="s">
        <v>40</v>
      </c>
      <c r="S2602" t="s">
        <v>40</v>
      </c>
      <c r="U2602" s="1">
        <v>41153</v>
      </c>
      <c r="V2602" t="s">
        <v>41</v>
      </c>
      <c r="W2602" t="s">
        <v>75</v>
      </c>
      <c r="X2602" t="str">
        <f>"7521012"</f>
        <v>7521012</v>
      </c>
      <c r="Y2602" t="s">
        <v>432</v>
      </c>
      <c r="Z2602" t="s">
        <v>431</v>
      </c>
      <c r="AA2602" t="s">
        <v>196</v>
      </c>
      <c r="AB2602" t="s">
        <v>131</v>
      </c>
      <c r="AC2602" t="s">
        <v>165</v>
      </c>
      <c r="AD2602" t="s">
        <v>45</v>
      </c>
      <c r="AE2602" s="1">
        <v>27475</v>
      </c>
      <c r="AF2602">
        <v>1</v>
      </c>
      <c r="AG2602" t="s">
        <v>196</v>
      </c>
      <c r="AH2602" s="36">
        <f t="shared" si="40"/>
        <v>44.394444444444446</v>
      </c>
      <c r="AI2602" s="41" t="s">
        <v>1779</v>
      </c>
    </row>
    <row r="2603" spans="1:35" x14ac:dyDescent="0.25">
      <c r="A2603" s="36">
        <v>99912601</v>
      </c>
      <c r="B2603" s="17" t="s">
        <v>56</v>
      </c>
      <c r="C2603" t="s">
        <v>79</v>
      </c>
      <c r="D2603" t="s">
        <v>80</v>
      </c>
      <c r="G2603" s="17" t="s">
        <v>48</v>
      </c>
      <c r="H2603" s="17">
        <v>1</v>
      </c>
      <c r="K2603" t="s">
        <v>300</v>
      </c>
      <c r="L2603" t="s">
        <v>301</v>
      </c>
      <c r="M2603" t="s">
        <v>131</v>
      </c>
      <c r="N2603">
        <v>13</v>
      </c>
      <c r="O2603" t="s">
        <v>40</v>
      </c>
      <c r="P2603" t="s">
        <v>40</v>
      </c>
      <c r="Q2603" t="s">
        <v>40</v>
      </c>
      <c r="R2603" t="s">
        <v>40</v>
      </c>
      <c r="S2603" t="s">
        <v>40</v>
      </c>
      <c r="V2603" t="s">
        <v>41</v>
      </c>
      <c r="W2603" t="s">
        <v>49</v>
      </c>
      <c r="X2603" t="str">
        <f>"0560001"</f>
        <v>0560001</v>
      </c>
      <c r="Y2603" t="s">
        <v>304</v>
      </c>
      <c r="Z2603" t="s">
        <v>300</v>
      </c>
      <c r="AA2603" t="s">
        <v>301</v>
      </c>
      <c r="AB2603" t="s">
        <v>131</v>
      </c>
      <c r="AC2603" t="s">
        <v>51</v>
      </c>
      <c r="AD2603" t="s">
        <v>45</v>
      </c>
      <c r="AE2603" s="1">
        <v>27468</v>
      </c>
      <c r="AF2603">
        <v>2</v>
      </c>
      <c r="AG2603" t="s">
        <v>301</v>
      </c>
      <c r="AH2603" s="36">
        <f t="shared" si="40"/>
        <v>44.413888888888891</v>
      </c>
      <c r="AI2603" s="41" t="s">
        <v>1779</v>
      </c>
    </row>
    <row r="2604" spans="1:35" x14ac:dyDescent="0.25">
      <c r="A2604" s="36">
        <v>99912602</v>
      </c>
      <c r="B2604" s="17" t="s">
        <v>32</v>
      </c>
      <c r="C2604" t="s">
        <v>90</v>
      </c>
      <c r="D2604" t="s">
        <v>91</v>
      </c>
      <c r="G2604" s="17" t="s">
        <v>48</v>
      </c>
      <c r="H2604" s="17">
        <v>1</v>
      </c>
      <c r="K2604" t="s">
        <v>154</v>
      </c>
      <c r="L2604" t="s">
        <v>155</v>
      </c>
      <c r="M2604" t="s">
        <v>131</v>
      </c>
      <c r="N2604">
        <v>24</v>
      </c>
      <c r="O2604" t="s">
        <v>40</v>
      </c>
      <c r="P2604" t="s">
        <v>40</v>
      </c>
      <c r="Q2604" t="s">
        <v>40</v>
      </c>
      <c r="S2604" t="s">
        <v>40</v>
      </c>
      <c r="V2604" t="s">
        <v>41</v>
      </c>
      <c r="W2604" t="s">
        <v>95</v>
      </c>
      <c r="X2604" t="str">
        <f>"7051025"</f>
        <v>7051025</v>
      </c>
      <c r="Y2604" t="s">
        <v>406</v>
      </c>
      <c r="Z2604" t="s">
        <v>154</v>
      </c>
      <c r="AA2604" t="s">
        <v>155</v>
      </c>
      <c r="AB2604" t="s">
        <v>131</v>
      </c>
      <c r="AC2604" t="s">
        <v>51</v>
      </c>
      <c r="AD2604" t="s">
        <v>45</v>
      </c>
      <c r="AE2604" s="1">
        <v>27467</v>
      </c>
      <c r="AF2604">
        <v>1</v>
      </c>
      <c r="AG2604" t="s">
        <v>155</v>
      </c>
      <c r="AH2604" s="36">
        <f t="shared" si="40"/>
        <v>44.416666666666664</v>
      </c>
      <c r="AI2604" s="41" t="s">
        <v>1779</v>
      </c>
    </row>
    <row r="2605" spans="1:35" x14ac:dyDescent="0.25">
      <c r="A2605" s="36">
        <v>99912603</v>
      </c>
      <c r="B2605" s="17" t="s">
        <v>32</v>
      </c>
      <c r="C2605" t="s">
        <v>90</v>
      </c>
      <c r="D2605" t="s">
        <v>91</v>
      </c>
      <c r="G2605" s="17" t="s">
        <v>35</v>
      </c>
      <c r="H2605" s="17">
        <v>1</v>
      </c>
      <c r="K2605" t="s">
        <v>877</v>
      </c>
      <c r="L2605" t="s">
        <v>878</v>
      </c>
      <c r="M2605" t="s">
        <v>131</v>
      </c>
      <c r="N2605">
        <v>8</v>
      </c>
      <c r="O2605" t="s">
        <v>40</v>
      </c>
      <c r="P2605" t="s">
        <v>40</v>
      </c>
      <c r="Q2605" t="s">
        <v>40</v>
      </c>
      <c r="S2605" t="s">
        <v>40</v>
      </c>
      <c r="V2605" t="s">
        <v>41</v>
      </c>
      <c r="W2605" t="s">
        <v>95</v>
      </c>
      <c r="X2605" t="str">
        <f>"7541049"</f>
        <v>7541049</v>
      </c>
      <c r="Y2605" t="s">
        <v>898</v>
      </c>
      <c r="Z2605" t="s">
        <v>877</v>
      </c>
      <c r="AA2605" t="s">
        <v>878</v>
      </c>
      <c r="AB2605" t="s">
        <v>131</v>
      </c>
      <c r="AC2605" t="s">
        <v>51</v>
      </c>
      <c r="AD2605" t="s">
        <v>45</v>
      </c>
      <c r="AE2605" s="1">
        <v>27467</v>
      </c>
      <c r="AF2605">
        <v>1</v>
      </c>
      <c r="AG2605" t="s">
        <v>878</v>
      </c>
      <c r="AH2605" s="36">
        <f t="shared" si="40"/>
        <v>44.416666666666664</v>
      </c>
      <c r="AI2605" s="41" t="s">
        <v>1779</v>
      </c>
    </row>
    <row r="2606" spans="1:35" x14ac:dyDescent="0.25">
      <c r="A2606" s="36">
        <v>99912604</v>
      </c>
      <c r="B2606" s="17" t="s">
        <v>56</v>
      </c>
      <c r="C2606" t="s">
        <v>64</v>
      </c>
      <c r="D2606" t="s">
        <v>65</v>
      </c>
      <c r="G2606" s="17" t="s">
        <v>48</v>
      </c>
      <c r="H2606" s="17">
        <v>1</v>
      </c>
      <c r="K2606" t="s">
        <v>129</v>
      </c>
      <c r="L2606" t="s">
        <v>130</v>
      </c>
      <c r="M2606" t="s">
        <v>131</v>
      </c>
      <c r="N2606">
        <v>20</v>
      </c>
      <c r="O2606" t="s">
        <v>40</v>
      </c>
      <c r="P2606" t="s">
        <v>40</v>
      </c>
      <c r="Q2606" t="s">
        <v>40</v>
      </c>
      <c r="R2606" t="s">
        <v>40</v>
      </c>
      <c r="S2606" t="s">
        <v>40</v>
      </c>
      <c r="V2606" t="s">
        <v>41</v>
      </c>
      <c r="W2606" t="s">
        <v>49</v>
      </c>
      <c r="X2606" t="str">
        <f>"0591905"</f>
        <v>0591905</v>
      </c>
      <c r="Y2606" t="s">
        <v>135</v>
      </c>
      <c r="Z2606" t="s">
        <v>129</v>
      </c>
      <c r="AA2606" t="s">
        <v>130</v>
      </c>
      <c r="AB2606" t="s">
        <v>131</v>
      </c>
      <c r="AC2606" t="s">
        <v>51</v>
      </c>
      <c r="AD2606" t="s">
        <v>45</v>
      </c>
      <c r="AE2606" s="1">
        <v>27465</v>
      </c>
      <c r="AF2606">
        <v>2</v>
      </c>
      <c r="AG2606" t="s">
        <v>130</v>
      </c>
      <c r="AH2606" s="36">
        <f t="shared" si="40"/>
        <v>44.422222222222224</v>
      </c>
      <c r="AI2606" s="41" t="s">
        <v>1779</v>
      </c>
    </row>
    <row r="2607" spans="1:35" x14ac:dyDescent="0.25">
      <c r="A2607" s="36">
        <v>99912605</v>
      </c>
      <c r="B2607" s="17" t="s">
        <v>32</v>
      </c>
      <c r="C2607" t="s">
        <v>85</v>
      </c>
      <c r="D2607" t="s">
        <v>86</v>
      </c>
      <c r="G2607" s="17" t="s">
        <v>35</v>
      </c>
      <c r="H2607" s="17">
        <v>1</v>
      </c>
      <c r="I2607">
        <v>17327</v>
      </c>
      <c r="J2607" s="1">
        <v>43346</v>
      </c>
      <c r="K2607" t="s">
        <v>345</v>
      </c>
      <c r="L2607" t="s">
        <v>346</v>
      </c>
      <c r="M2607" t="s">
        <v>131</v>
      </c>
      <c r="N2607">
        <v>21</v>
      </c>
      <c r="O2607" t="s">
        <v>40</v>
      </c>
      <c r="P2607" t="s">
        <v>40</v>
      </c>
      <c r="Q2607" t="s">
        <v>40</v>
      </c>
      <c r="R2607" t="s">
        <v>40</v>
      </c>
      <c r="S2607" t="s">
        <v>40</v>
      </c>
      <c r="U2607" s="1">
        <v>43346</v>
      </c>
      <c r="V2607" t="s">
        <v>41</v>
      </c>
      <c r="W2607" t="s">
        <v>49</v>
      </c>
      <c r="X2607" t="str">
        <f>"0561021"</f>
        <v>0561021</v>
      </c>
      <c r="Y2607" t="s">
        <v>352</v>
      </c>
      <c r="Z2607" t="s">
        <v>345</v>
      </c>
      <c r="AA2607" t="s">
        <v>346</v>
      </c>
      <c r="AB2607" t="s">
        <v>131</v>
      </c>
      <c r="AC2607" t="s">
        <v>55</v>
      </c>
      <c r="AD2607" t="s">
        <v>45</v>
      </c>
      <c r="AE2607" s="1">
        <v>27464</v>
      </c>
      <c r="AF2607">
        <v>2</v>
      </c>
      <c r="AG2607" t="s">
        <v>346</v>
      </c>
      <c r="AH2607" s="36">
        <f t="shared" si="40"/>
        <v>44.424999999999997</v>
      </c>
      <c r="AI2607" s="41" t="s">
        <v>1779</v>
      </c>
    </row>
    <row r="2608" spans="1:35" x14ac:dyDescent="0.25">
      <c r="A2608" s="36">
        <v>99912606</v>
      </c>
      <c r="B2608" s="17" t="s">
        <v>32</v>
      </c>
      <c r="C2608" t="s">
        <v>46</v>
      </c>
      <c r="D2608" t="s">
        <v>47</v>
      </c>
      <c r="G2608" s="17" t="s">
        <v>35</v>
      </c>
      <c r="H2608" s="17">
        <v>1</v>
      </c>
      <c r="I2608" t="s">
        <v>1168</v>
      </c>
      <c r="J2608" s="1">
        <v>43344</v>
      </c>
      <c r="K2608" t="s">
        <v>1128</v>
      </c>
      <c r="L2608" t="s">
        <v>1129</v>
      </c>
      <c r="M2608" t="s">
        <v>1130</v>
      </c>
      <c r="N2608">
        <v>8</v>
      </c>
      <c r="O2608" t="s">
        <v>40</v>
      </c>
      <c r="P2608" t="s">
        <v>40</v>
      </c>
      <c r="Q2608" t="s">
        <v>40</v>
      </c>
      <c r="R2608" t="s">
        <v>40</v>
      </c>
      <c r="S2608" t="s">
        <v>40</v>
      </c>
      <c r="U2608" s="1">
        <v>43344</v>
      </c>
      <c r="V2608" t="s">
        <v>41</v>
      </c>
      <c r="W2608" t="s">
        <v>49</v>
      </c>
      <c r="X2608" t="str">
        <f>"3160002"</f>
        <v>3160002</v>
      </c>
      <c r="Y2608" t="s">
        <v>1143</v>
      </c>
      <c r="Z2608" t="s">
        <v>1128</v>
      </c>
      <c r="AA2608" t="s">
        <v>1129</v>
      </c>
      <c r="AB2608" t="s">
        <v>1130</v>
      </c>
      <c r="AC2608" t="s">
        <v>44</v>
      </c>
      <c r="AD2608" t="s">
        <v>45</v>
      </c>
      <c r="AE2608" s="1">
        <v>27464</v>
      </c>
      <c r="AF2608">
        <v>2</v>
      </c>
      <c r="AG2608" t="s">
        <v>1129</v>
      </c>
      <c r="AH2608" s="36">
        <f t="shared" si="40"/>
        <v>44.424999999999997</v>
      </c>
      <c r="AI2608" s="41" t="s">
        <v>1779</v>
      </c>
    </row>
    <row r="2609" spans="1:35" x14ac:dyDescent="0.25">
      <c r="A2609" s="36">
        <v>99912607</v>
      </c>
      <c r="B2609" s="17" t="s">
        <v>32</v>
      </c>
      <c r="C2609" t="s">
        <v>46</v>
      </c>
      <c r="D2609" t="s">
        <v>47</v>
      </c>
      <c r="G2609" s="17" t="s">
        <v>48</v>
      </c>
      <c r="H2609" s="17">
        <v>1</v>
      </c>
      <c r="K2609" t="s">
        <v>223</v>
      </c>
      <c r="L2609" t="s">
        <v>224</v>
      </c>
      <c r="M2609" t="s">
        <v>131</v>
      </c>
      <c r="N2609">
        <v>20</v>
      </c>
      <c r="O2609" t="s">
        <v>40</v>
      </c>
      <c r="P2609" t="s">
        <v>40</v>
      </c>
      <c r="Q2609" t="s">
        <v>40</v>
      </c>
      <c r="R2609" t="s">
        <v>40</v>
      </c>
      <c r="S2609" t="s">
        <v>40</v>
      </c>
      <c r="V2609" t="s">
        <v>41</v>
      </c>
      <c r="W2609" t="s">
        <v>49</v>
      </c>
      <c r="X2609" t="str">
        <f>"0581202"</f>
        <v>0581202</v>
      </c>
      <c r="Y2609" t="s">
        <v>248</v>
      </c>
      <c r="Z2609" t="s">
        <v>223</v>
      </c>
      <c r="AA2609" t="s">
        <v>224</v>
      </c>
      <c r="AB2609" t="s">
        <v>131</v>
      </c>
      <c r="AC2609" t="s">
        <v>165</v>
      </c>
      <c r="AD2609" t="s">
        <v>45</v>
      </c>
      <c r="AE2609" s="1">
        <v>27462</v>
      </c>
      <c r="AF2609">
        <v>2</v>
      </c>
      <c r="AG2609" t="s">
        <v>224</v>
      </c>
      <c r="AH2609" s="36">
        <f t="shared" si="40"/>
        <v>44.430555555555557</v>
      </c>
      <c r="AI2609" s="41" t="s">
        <v>1779</v>
      </c>
    </row>
    <row r="2610" spans="1:35" x14ac:dyDescent="0.25">
      <c r="A2610" s="36">
        <v>99912608</v>
      </c>
      <c r="B2610" s="17" t="s">
        <v>32</v>
      </c>
      <c r="C2610" t="s">
        <v>79</v>
      </c>
      <c r="D2610" t="s">
        <v>80</v>
      </c>
      <c r="G2610" s="17" t="s">
        <v>48</v>
      </c>
      <c r="H2610" s="17">
        <v>1</v>
      </c>
      <c r="I2610" t="s">
        <v>522</v>
      </c>
      <c r="J2610" s="1">
        <v>40057</v>
      </c>
      <c r="K2610" t="s">
        <v>195</v>
      </c>
      <c r="L2610" t="s">
        <v>196</v>
      </c>
      <c r="M2610" t="s">
        <v>131</v>
      </c>
      <c r="N2610">
        <v>22</v>
      </c>
      <c r="O2610" t="s">
        <v>40</v>
      </c>
      <c r="P2610" t="s">
        <v>40</v>
      </c>
      <c r="Q2610" t="s">
        <v>40</v>
      </c>
      <c r="R2610" t="s">
        <v>40</v>
      </c>
      <c r="S2610" t="s">
        <v>40</v>
      </c>
      <c r="U2610" s="1">
        <v>40057</v>
      </c>
      <c r="V2610" t="s">
        <v>41</v>
      </c>
      <c r="W2610" t="s">
        <v>75</v>
      </c>
      <c r="X2610" t="str">
        <f>"7521050"</f>
        <v>7521050</v>
      </c>
      <c r="Y2610" t="s">
        <v>194</v>
      </c>
      <c r="Z2610" t="s">
        <v>195</v>
      </c>
      <c r="AA2610" t="s">
        <v>196</v>
      </c>
      <c r="AB2610" t="s">
        <v>131</v>
      </c>
      <c r="AC2610" t="s">
        <v>51</v>
      </c>
      <c r="AD2610" t="s">
        <v>45</v>
      </c>
      <c r="AE2610" s="1">
        <v>27461</v>
      </c>
      <c r="AF2610">
        <v>1</v>
      </c>
      <c r="AG2610" t="s">
        <v>196</v>
      </c>
      <c r="AH2610" s="36">
        <f t="shared" si="40"/>
        <v>44.43333333333333</v>
      </c>
      <c r="AI2610" s="41" t="s">
        <v>1779</v>
      </c>
    </row>
    <row r="2611" spans="1:35" x14ac:dyDescent="0.25">
      <c r="A2611" s="36">
        <v>99912609</v>
      </c>
      <c r="B2611" s="17" t="s">
        <v>56</v>
      </c>
      <c r="C2611" t="s">
        <v>68</v>
      </c>
      <c r="D2611" t="s">
        <v>69</v>
      </c>
      <c r="G2611" s="17" t="s">
        <v>35</v>
      </c>
      <c r="H2611" s="17">
        <v>1</v>
      </c>
      <c r="I2611">
        <v>0</v>
      </c>
      <c r="J2611" s="1">
        <v>43344</v>
      </c>
      <c r="K2611" t="s">
        <v>223</v>
      </c>
      <c r="L2611" t="s">
        <v>224</v>
      </c>
      <c r="M2611" t="s">
        <v>131</v>
      </c>
      <c r="N2611">
        <v>10</v>
      </c>
      <c r="O2611" t="s">
        <v>40</v>
      </c>
      <c r="P2611" t="s">
        <v>40</v>
      </c>
      <c r="Q2611" t="s">
        <v>40</v>
      </c>
      <c r="R2611" t="s">
        <v>40</v>
      </c>
      <c r="S2611" t="s">
        <v>40</v>
      </c>
      <c r="U2611" s="1">
        <v>43344</v>
      </c>
      <c r="V2611" t="s">
        <v>41</v>
      </c>
      <c r="W2611" t="s">
        <v>49</v>
      </c>
      <c r="X2611" t="str">
        <f>"0560034"</f>
        <v>0560034</v>
      </c>
      <c r="Y2611" t="s">
        <v>266</v>
      </c>
      <c r="Z2611" t="s">
        <v>223</v>
      </c>
      <c r="AA2611" t="s">
        <v>224</v>
      </c>
      <c r="AB2611" t="s">
        <v>131</v>
      </c>
      <c r="AC2611" t="s">
        <v>44</v>
      </c>
      <c r="AD2611" t="s">
        <v>45</v>
      </c>
      <c r="AE2611" s="1">
        <v>27456</v>
      </c>
      <c r="AF2611">
        <v>2</v>
      </c>
      <c r="AG2611" t="s">
        <v>224</v>
      </c>
      <c r="AH2611" s="36">
        <f t="shared" si="40"/>
        <v>44.447222222222223</v>
      </c>
      <c r="AI2611" s="41" t="s">
        <v>1779</v>
      </c>
    </row>
    <row r="2612" spans="1:35" x14ac:dyDescent="0.25">
      <c r="A2612" s="36">
        <v>99912610</v>
      </c>
      <c r="B2612" s="17" t="s">
        <v>56</v>
      </c>
      <c r="C2612" t="s">
        <v>111</v>
      </c>
      <c r="D2612" t="s">
        <v>112</v>
      </c>
      <c r="G2612" s="17" t="s">
        <v>35</v>
      </c>
      <c r="H2612" s="17">
        <v>1</v>
      </c>
      <c r="K2612" t="s">
        <v>268</v>
      </c>
      <c r="L2612" t="s">
        <v>269</v>
      </c>
      <c r="M2612" t="s">
        <v>131</v>
      </c>
      <c r="N2612">
        <v>8</v>
      </c>
      <c r="O2612" t="s">
        <v>40</v>
      </c>
      <c r="P2612" t="s">
        <v>40</v>
      </c>
      <c r="Q2612" t="s">
        <v>40</v>
      </c>
      <c r="S2612" t="s">
        <v>40</v>
      </c>
      <c r="V2612" t="s">
        <v>41</v>
      </c>
      <c r="W2612" t="s">
        <v>75</v>
      </c>
      <c r="X2612" t="str">
        <f>"7052008"</f>
        <v>7052008</v>
      </c>
      <c r="Y2612" t="s">
        <v>274</v>
      </c>
      <c r="Z2612" t="s">
        <v>268</v>
      </c>
      <c r="AA2612" t="s">
        <v>269</v>
      </c>
      <c r="AB2612" t="s">
        <v>131</v>
      </c>
      <c r="AC2612" t="s">
        <v>51</v>
      </c>
      <c r="AD2612" t="s">
        <v>45</v>
      </c>
      <c r="AE2612" s="1">
        <v>27456</v>
      </c>
      <c r="AF2612">
        <v>1</v>
      </c>
      <c r="AG2612" t="s">
        <v>269</v>
      </c>
      <c r="AH2612" s="36">
        <f t="shared" si="40"/>
        <v>44.447222222222223</v>
      </c>
      <c r="AI2612" s="41" t="s">
        <v>1779</v>
      </c>
    </row>
    <row r="2613" spans="1:35" x14ac:dyDescent="0.25">
      <c r="A2613" s="36">
        <v>99912611</v>
      </c>
      <c r="B2613" s="17" t="s">
        <v>56</v>
      </c>
      <c r="C2613" t="s">
        <v>46</v>
      </c>
      <c r="D2613" t="s">
        <v>47</v>
      </c>
      <c r="G2613" s="17" t="s">
        <v>48</v>
      </c>
      <c r="H2613" s="17">
        <v>1</v>
      </c>
      <c r="K2613" t="s">
        <v>162</v>
      </c>
      <c r="L2613" t="s">
        <v>158</v>
      </c>
      <c r="M2613" t="s">
        <v>131</v>
      </c>
      <c r="N2613">
        <v>18</v>
      </c>
      <c r="O2613" t="s">
        <v>40</v>
      </c>
      <c r="P2613" t="s">
        <v>40</v>
      </c>
      <c r="Q2613" t="s">
        <v>40</v>
      </c>
      <c r="S2613" t="s">
        <v>40</v>
      </c>
      <c r="V2613" t="s">
        <v>41</v>
      </c>
      <c r="W2613" t="s">
        <v>49</v>
      </c>
      <c r="X2613" t="str">
        <f>"0560027"</f>
        <v>0560027</v>
      </c>
      <c r="Y2613" t="s">
        <v>178</v>
      </c>
      <c r="Z2613" t="s">
        <v>162</v>
      </c>
      <c r="AA2613" t="s">
        <v>158</v>
      </c>
      <c r="AB2613" t="s">
        <v>131</v>
      </c>
      <c r="AC2613" t="s">
        <v>51</v>
      </c>
      <c r="AD2613" t="s">
        <v>45</v>
      </c>
      <c r="AE2613" s="1">
        <v>27455</v>
      </c>
      <c r="AF2613">
        <v>2</v>
      </c>
      <c r="AG2613" t="s">
        <v>158</v>
      </c>
      <c r="AH2613" s="36">
        <f t="shared" si="40"/>
        <v>44.45</v>
      </c>
      <c r="AI2613" s="41" t="s">
        <v>1779</v>
      </c>
    </row>
    <row r="2614" spans="1:35" x14ac:dyDescent="0.25">
      <c r="A2614" s="36">
        <v>99912612</v>
      </c>
      <c r="B2614" s="17" t="s">
        <v>32</v>
      </c>
      <c r="C2614" t="s">
        <v>143</v>
      </c>
      <c r="D2614" t="s">
        <v>144</v>
      </c>
      <c r="G2614" s="17" t="s">
        <v>48</v>
      </c>
      <c r="H2614" s="17">
        <v>2</v>
      </c>
      <c r="K2614" t="s">
        <v>1268</v>
      </c>
      <c r="L2614" t="s">
        <v>1269</v>
      </c>
      <c r="M2614" t="s">
        <v>1270</v>
      </c>
      <c r="N2614">
        <v>23</v>
      </c>
      <c r="O2614" t="s">
        <v>40</v>
      </c>
      <c r="P2614" t="s">
        <v>40</v>
      </c>
      <c r="Q2614" t="s">
        <v>40</v>
      </c>
      <c r="R2614" t="s">
        <v>40</v>
      </c>
      <c r="S2614" t="s">
        <v>40</v>
      </c>
      <c r="U2614" s="1">
        <v>43344</v>
      </c>
      <c r="V2614" t="s">
        <v>41</v>
      </c>
      <c r="W2614" t="s">
        <v>49</v>
      </c>
      <c r="X2614" t="str">
        <f>"1960001"</f>
        <v>1960001</v>
      </c>
      <c r="Y2614" t="s">
        <v>1272</v>
      </c>
      <c r="Z2614" t="s">
        <v>1268</v>
      </c>
      <c r="AA2614" t="s">
        <v>1269</v>
      </c>
      <c r="AB2614" t="s">
        <v>1270</v>
      </c>
      <c r="AC2614" t="s">
        <v>51</v>
      </c>
      <c r="AD2614" t="s">
        <v>45</v>
      </c>
      <c r="AE2614" s="1">
        <v>27454</v>
      </c>
      <c r="AF2614">
        <v>2</v>
      </c>
      <c r="AG2614" t="s">
        <v>1269</v>
      </c>
      <c r="AH2614" s="36">
        <f t="shared" si="40"/>
        <v>44.452777777777776</v>
      </c>
      <c r="AI2614" s="41" t="s">
        <v>1779</v>
      </c>
    </row>
    <row r="2615" spans="1:35" x14ac:dyDescent="0.25">
      <c r="A2615" s="36">
        <v>99912613</v>
      </c>
      <c r="B2615" s="17" t="s">
        <v>56</v>
      </c>
      <c r="C2615" t="s">
        <v>52</v>
      </c>
      <c r="D2615" t="s">
        <v>53</v>
      </c>
      <c r="G2615" s="17" t="s">
        <v>48</v>
      </c>
      <c r="H2615" s="17">
        <v>1</v>
      </c>
      <c r="K2615" t="s">
        <v>1496</v>
      </c>
      <c r="L2615" t="s">
        <v>1497</v>
      </c>
      <c r="M2615" t="s">
        <v>670</v>
      </c>
      <c r="N2615">
        <v>21</v>
      </c>
      <c r="O2615" t="s">
        <v>40</v>
      </c>
      <c r="P2615" t="s">
        <v>40</v>
      </c>
      <c r="Q2615" t="s">
        <v>40</v>
      </c>
      <c r="R2615" t="s">
        <v>40</v>
      </c>
      <c r="S2615" t="s">
        <v>40</v>
      </c>
      <c r="V2615" t="s">
        <v>41</v>
      </c>
      <c r="W2615" t="s">
        <v>42</v>
      </c>
      <c r="X2615" t="str">
        <f>"5080015"</f>
        <v>5080015</v>
      </c>
      <c r="Y2615" t="s">
        <v>1498</v>
      </c>
      <c r="Z2615" t="s">
        <v>1496</v>
      </c>
      <c r="AA2615" t="s">
        <v>1497</v>
      </c>
      <c r="AB2615" t="s">
        <v>670</v>
      </c>
      <c r="AC2615" t="s">
        <v>51</v>
      </c>
      <c r="AD2615" t="s">
        <v>45</v>
      </c>
      <c r="AE2615" s="1">
        <v>27452</v>
      </c>
      <c r="AF2615">
        <v>2</v>
      </c>
      <c r="AG2615" t="s">
        <v>1497</v>
      </c>
      <c r="AH2615" s="36">
        <f t="shared" si="40"/>
        <v>44.458333333333336</v>
      </c>
      <c r="AI2615" s="41" t="s">
        <v>1779</v>
      </c>
    </row>
    <row r="2616" spans="1:35" x14ac:dyDescent="0.25">
      <c r="A2616" s="36">
        <v>99912614</v>
      </c>
      <c r="B2616" s="17" t="s">
        <v>32</v>
      </c>
      <c r="C2616" t="s">
        <v>46</v>
      </c>
      <c r="D2616" t="s">
        <v>47</v>
      </c>
      <c r="G2616" s="17" t="s">
        <v>48</v>
      </c>
      <c r="H2616" s="17">
        <v>1</v>
      </c>
      <c r="K2616" t="s">
        <v>157</v>
      </c>
      <c r="L2616" t="s">
        <v>158</v>
      </c>
      <c r="M2616" t="s">
        <v>131</v>
      </c>
      <c r="N2616">
        <v>20</v>
      </c>
      <c r="O2616" t="s">
        <v>40</v>
      </c>
      <c r="P2616" t="s">
        <v>40</v>
      </c>
      <c r="Q2616" t="s">
        <v>40</v>
      </c>
      <c r="S2616" t="s">
        <v>40</v>
      </c>
      <c r="V2616" t="s">
        <v>41</v>
      </c>
      <c r="W2616" t="s">
        <v>49</v>
      </c>
      <c r="X2616" t="str">
        <f>"0560019"</f>
        <v>0560019</v>
      </c>
      <c r="Y2616" t="s">
        <v>166</v>
      </c>
      <c r="Z2616" t="s">
        <v>157</v>
      </c>
      <c r="AA2616" t="s">
        <v>158</v>
      </c>
      <c r="AB2616" t="s">
        <v>131</v>
      </c>
      <c r="AC2616" t="s">
        <v>51</v>
      </c>
      <c r="AD2616" t="s">
        <v>45</v>
      </c>
      <c r="AE2616" s="1">
        <v>27449</v>
      </c>
      <c r="AF2616">
        <v>2</v>
      </c>
      <c r="AG2616" t="s">
        <v>158</v>
      </c>
      <c r="AH2616" s="36">
        <f t="shared" si="40"/>
        <v>44.466666666666669</v>
      </c>
      <c r="AI2616" s="41" t="s">
        <v>1779</v>
      </c>
    </row>
    <row r="2617" spans="1:35" x14ac:dyDescent="0.25">
      <c r="A2617" s="36">
        <v>99912615</v>
      </c>
      <c r="B2617" s="17" t="s">
        <v>56</v>
      </c>
      <c r="C2617" t="s">
        <v>79</v>
      </c>
      <c r="D2617" t="s">
        <v>80</v>
      </c>
      <c r="G2617" s="17" t="s">
        <v>48</v>
      </c>
      <c r="H2617" s="17">
        <v>1</v>
      </c>
      <c r="K2617" t="s">
        <v>667</v>
      </c>
      <c r="L2617" t="s">
        <v>669</v>
      </c>
      <c r="M2617" t="s">
        <v>670</v>
      </c>
      <c r="N2617">
        <v>23</v>
      </c>
      <c r="O2617" t="s">
        <v>40</v>
      </c>
      <c r="P2617" t="s">
        <v>40</v>
      </c>
      <c r="Q2617" t="s">
        <v>40</v>
      </c>
      <c r="S2617" t="s">
        <v>40</v>
      </c>
      <c r="V2617" t="s">
        <v>41</v>
      </c>
      <c r="W2617" t="s">
        <v>75</v>
      </c>
      <c r="X2617" t="str">
        <f>"7501004"</f>
        <v>7501004</v>
      </c>
      <c r="Y2617" t="s">
        <v>1500</v>
      </c>
      <c r="Z2617" t="s">
        <v>667</v>
      </c>
      <c r="AA2617" t="s">
        <v>669</v>
      </c>
      <c r="AB2617" t="s">
        <v>670</v>
      </c>
      <c r="AC2617" t="s">
        <v>51</v>
      </c>
      <c r="AD2617" t="s">
        <v>45</v>
      </c>
      <c r="AE2617" s="1">
        <v>27448</v>
      </c>
      <c r="AF2617">
        <v>1</v>
      </c>
      <c r="AG2617" t="s">
        <v>669</v>
      </c>
      <c r="AH2617" s="36">
        <f t="shared" si="40"/>
        <v>44.469444444444441</v>
      </c>
      <c r="AI2617" s="41" t="s">
        <v>1779</v>
      </c>
    </row>
    <row r="2618" spans="1:35" x14ac:dyDescent="0.25">
      <c r="A2618" s="36">
        <v>99912616</v>
      </c>
      <c r="B2618" s="17" t="s">
        <v>56</v>
      </c>
      <c r="C2618" t="s">
        <v>85</v>
      </c>
      <c r="D2618" t="s">
        <v>86</v>
      </c>
      <c r="G2618" s="17" t="s">
        <v>48</v>
      </c>
      <c r="H2618" s="17">
        <v>1</v>
      </c>
      <c r="K2618" t="s">
        <v>380</v>
      </c>
      <c r="L2618" t="s">
        <v>381</v>
      </c>
      <c r="M2618" t="s">
        <v>131</v>
      </c>
      <c r="N2618">
        <v>22</v>
      </c>
      <c r="O2618" t="s">
        <v>40</v>
      </c>
      <c r="P2618" t="s">
        <v>40</v>
      </c>
      <c r="Q2618" t="s">
        <v>40</v>
      </c>
      <c r="R2618" t="s">
        <v>40</v>
      </c>
      <c r="S2618" t="s">
        <v>40</v>
      </c>
      <c r="V2618" t="s">
        <v>41</v>
      </c>
      <c r="W2618" t="s">
        <v>49</v>
      </c>
      <c r="X2618" t="str">
        <f>"0580552"</f>
        <v>0580552</v>
      </c>
      <c r="Y2618" t="s">
        <v>386</v>
      </c>
      <c r="Z2618" t="s">
        <v>380</v>
      </c>
      <c r="AA2618" t="s">
        <v>381</v>
      </c>
      <c r="AB2618" t="s">
        <v>131</v>
      </c>
      <c r="AC2618" t="s">
        <v>51</v>
      </c>
      <c r="AD2618" t="s">
        <v>45</v>
      </c>
      <c r="AE2618" s="1">
        <v>27447</v>
      </c>
      <c r="AF2618">
        <v>2</v>
      </c>
      <c r="AG2618" t="s">
        <v>381</v>
      </c>
      <c r="AH2618" s="36">
        <f t="shared" si="40"/>
        <v>44.472222222222221</v>
      </c>
      <c r="AI2618" s="41" t="s">
        <v>1779</v>
      </c>
    </row>
    <row r="2619" spans="1:35" x14ac:dyDescent="0.25">
      <c r="A2619" s="36">
        <v>99912617</v>
      </c>
      <c r="B2619" s="17" t="s">
        <v>32</v>
      </c>
      <c r="C2619" t="s">
        <v>90</v>
      </c>
      <c r="D2619" t="s">
        <v>91</v>
      </c>
      <c r="G2619" s="17" t="s">
        <v>35</v>
      </c>
      <c r="H2619" s="17">
        <v>1</v>
      </c>
      <c r="I2619" t="s">
        <v>561</v>
      </c>
      <c r="J2619" s="1">
        <v>42614</v>
      </c>
      <c r="K2619" t="s">
        <v>431</v>
      </c>
      <c r="L2619" t="s">
        <v>196</v>
      </c>
      <c r="M2619" t="s">
        <v>131</v>
      </c>
      <c r="N2619">
        <v>25</v>
      </c>
      <c r="O2619" t="s">
        <v>40</v>
      </c>
      <c r="P2619" t="s">
        <v>40</v>
      </c>
      <c r="Q2619" t="s">
        <v>40</v>
      </c>
      <c r="R2619" t="s">
        <v>40</v>
      </c>
      <c r="S2619" t="s">
        <v>40</v>
      </c>
      <c r="U2619" s="1">
        <v>42614</v>
      </c>
      <c r="V2619" t="s">
        <v>41</v>
      </c>
      <c r="W2619" t="s">
        <v>95</v>
      </c>
      <c r="X2619" t="str">
        <f>"7521145"</f>
        <v>7521145</v>
      </c>
      <c r="Y2619" t="s">
        <v>460</v>
      </c>
      <c r="Z2619" t="s">
        <v>431</v>
      </c>
      <c r="AA2619" t="s">
        <v>196</v>
      </c>
      <c r="AB2619" t="s">
        <v>131</v>
      </c>
      <c r="AC2619" t="s">
        <v>51</v>
      </c>
      <c r="AD2619" t="s">
        <v>45</v>
      </c>
      <c r="AE2619" s="1">
        <v>27446</v>
      </c>
      <c r="AF2619">
        <v>1</v>
      </c>
      <c r="AG2619" t="s">
        <v>196</v>
      </c>
      <c r="AH2619" s="36">
        <f t="shared" si="40"/>
        <v>44.475000000000001</v>
      </c>
      <c r="AI2619" s="41" t="s">
        <v>1779</v>
      </c>
    </row>
    <row r="2620" spans="1:35" x14ac:dyDescent="0.25">
      <c r="A2620" s="36">
        <v>99912618</v>
      </c>
      <c r="B2620" s="17" t="s">
        <v>56</v>
      </c>
      <c r="C2620" t="s">
        <v>79</v>
      </c>
      <c r="D2620" t="s">
        <v>80</v>
      </c>
      <c r="E2620" t="s">
        <v>85</v>
      </c>
      <c r="F2620" t="s">
        <v>86</v>
      </c>
      <c r="G2620" s="17" t="s">
        <v>48</v>
      </c>
      <c r="H2620" s="17">
        <v>4</v>
      </c>
      <c r="K2620" t="s">
        <v>431</v>
      </c>
      <c r="L2620" t="s">
        <v>196</v>
      </c>
      <c r="M2620" t="s">
        <v>131</v>
      </c>
      <c r="N2620">
        <v>24</v>
      </c>
      <c r="O2620" t="s">
        <v>40</v>
      </c>
      <c r="P2620" t="s">
        <v>40</v>
      </c>
      <c r="Q2620" t="s">
        <v>40</v>
      </c>
      <c r="R2620" t="s">
        <v>40</v>
      </c>
      <c r="S2620" t="s">
        <v>40</v>
      </c>
      <c r="V2620" t="s">
        <v>41</v>
      </c>
      <c r="W2620" t="s">
        <v>75</v>
      </c>
      <c r="X2620" t="str">
        <f>"7521054"</f>
        <v>7521054</v>
      </c>
      <c r="Y2620" t="s">
        <v>476</v>
      </c>
      <c r="Z2620" t="s">
        <v>431</v>
      </c>
      <c r="AA2620" t="s">
        <v>196</v>
      </c>
      <c r="AB2620" t="s">
        <v>131</v>
      </c>
      <c r="AC2620" t="s">
        <v>51</v>
      </c>
      <c r="AD2620" t="s">
        <v>45</v>
      </c>
      <c r="AE2620" s="1">
        <v>27442</v>
      </c>
      <c r="AF2620">
        <v>1</v>
      </c>
      <c r="AG2620" t="s">
        <v>196</v>
      </c>
      <c r="AH2620" s="36">
        <f t="shared" si="40"/>
        <v>44.486111111111114</v>
      </c>
      <c r="AI2620" s="41" t="s">
        <v>1779</v>
      </c>
    </row>
    <row r="2621" spans="1:35" x14ac:dyDescent="0.25">
      <c r="A2621" s="36">
        <v>99912619</v>
      </c>
      <c r="B2621" s="17" t="s">
        <v>32</v>
      </c>
      <c r="C2621" t="s">
        <v>139</v>
      </c>
      <c r="D2621" t="s">
        <v>140</v>
      </c>
      <c r="G2621" s="17" t="s">
        <v>35</v>
      </c>
      <c r="H2621" s="17">
        <v>1</v>
      </c>
      <c r="I2621" t="s">
        <v>1714</v>
      </c>
      <c r="J2621" s="1">
        <v>43388</v>
      </c>
      <c r="K2621" t="s">
        <v>1708</v>
      </c>
      <c r="L2621" t="s">
        <v>1709</v>
      </c>
      <c r="M2621" t="s">
        <v>1705</v>
      </c>
      <c r="N2621">
        <v>6</v>
      </c>
      <c r="O2621" t="s">
        <v>40</v>
      </c>
      <c r="P2621" t="s">
        <v>40</v>
      </c>
      <c r="Q2621" t="s">
        <v>40</v>
      </c>
      <c r="R2621" t="s">
        <v>40</v>
      </c>
      <c r="S2621" t="s">
        <v>40</v>
      </c>
      <c r="U2621" s="1">
        <v>43388</v>
      </c>
      <c r="V2621" t="s">
        <v>41</v>
      </c>
      <c r="W2621" t="s">
        <v>75</v>
      </c>
      <c r="X2621" t="str">
        <f>"7121000"</f>
        <v>7121000</v>
      </c>
      <c r="Y2621" t="s">
        <v>1713</v>
      </c>
      <c r="Z2621" t="s">
        <v>1708</v>
      </c>
      <c r="AA2621" t="s">
        <v>1709</v>
      </c>
      <c r="AB2621" t="s">
        <v>1705</v>
      </c>
      <c r="AC2621" t="s">
        <v>51</v>
      </c>
      <c r="AD2621" t="s">
        <v>45</v>
      </c>
      <c r="AE2621" s="1">
        <v>27442</v>
      </c>
      <c r="AF2621">
        <v>1</v>
      </c>
      <c r="AG2621" t="s">
        <v>1709</v>
      </c>
      <c r="AH2621" s="36">
        <f t="shared" si="40"/>
        <v>44.486111111111114</v>
      </c>
      <c r="AI2621" s="41" t="s">
        <v>1779</v>
      </c>
    </row>
    <row r="2622" spans="1:35" x14ac:dyDescent="0.25">
      <c r="A2622" s="36">
        <v>99912620</v>
      </c>
      <c r="B2622" s="17" t="s">
        <v>56</v>
      </c>
      <c r="C2622" t="s">
        <v>139</v>
      </c>
      <c r="D2622" t="s">
        <v>140</v>
      </c>
      <c r="G2622" s="17" t="s">
        <v>48</v>
      </c>
      <c r="H2622" s="17">
        <v>1</v>
      </c>
      <c r="K2622" t="s">
        <v>223</v>
      </c>
      <c r="L2622" t="s">
        <v>224</v>
      </c>
      <c r="M2622" t="s">
        <v>131</v>
      </c>
      <c r="N2622">
        <v>21</v>
      </c>
      <c r="O2622" t="s">
        <v>40</v>
      </c>
      <c r="P2622" t="s">
        <v>40</v>
      </c>
      <c r="Q2622" t="s">
        <v>40</v>
      </c>
      <c r="R2622" t="s">
        <v>40</v>
      </c>
      <c r="S2622" t="s">
        <v>40</v>
      </c>
      <c r="V2622" t="s">
        <v>41</v>
      </c>
      <c r="W2622" t="s">
        <v>49</v>
      </c>
      <c r="X2622" t="str">
        <f>"0581200"</f>
        <v>0581200</v>
      </c>
      <c r="Y2622" t="s">
        <v>238</v>
      </c>
      <c r="Z2622" t="s">
        <v>223</v>
      </c>
      <c r="AA2622" t="s">
        <v>224</v>
      </c>
      <c r="AB2622" t="s">
        <v>131</v>
      </c>
      <c r="AC2622" t="s">
        <v>51</v>
      </c>
      <c r="AD2622" t="s">
        <v>45</v>
      </c>
      <c r="AE2622" s="1">
        <v>27433</v>
      </c>
      <c r="AF2622">
        <v>2</v>
      </c>
      <c r="AG2622" t="s">
        <v>224</v>
      </c>
      <c r="AH2622" s="36">
        <f t="shared" si="40"/>
        <v>44.511111111111113</v>
      </c>
      <c r="AI2622" s="41" t="s">
        <v>1779</v>
      </c>
    </row>
    <row r="2623" spans="1:35" x14ac:dyDescent="0.25">
      <c r="A2623" s="36">
        <v>99912621</v>
      </c>
      <c r="B2623" s="17" t="s">
        <v>32</v>
      </c>
      <c r="C2623" t="s">
        <v>46</v>
      </c>
      <c r="D2623" t="s">
        <v>47</v>
      </c>
      <c r="G2623" s="17" t="s">
        <v>48</v>
      </c>
      <c r="H2623" s="17">
        <v>1</v>
      </c>
      <c r="K2623" t="s">
        <v>223</v>
      </c>
      <c r="L2623" t="s">
        <v>224</v>
      </c>
      <c r="M2623" t="s">
        <v>131</v>
      </c>
      <c r="N2623">
        <v>20</v>
      </c>
      <c r="O2623" t="s">
        <v>40</v>
      </c>
      <c r="P2623" t="s">
        <v>40</v>
      </c>
      <c r="Q2623" t="s">
        <v>40</v>
      </c>
      <c r="S2623" t="s">
        <v>40</v>
      </c>
      <c r="V2623" t="s">
        <v>41</v>
      </c>
      <c r="W2623" t="s">
        <v>42</v>
      </c>
      <c r="X2623" t="str">
        <f>"0580202"</f>
        <v>0580202</v>
      </c>
      <c r="Y2623" t="s">
        <v>240</v>
      </c>
      <c r="Z2623" t="s">
        <v>223</v>
      </c>
      <c r="AA2623" t="s">
        <v>224</v>
      </c>
      <c r="AB2623" t="s">
        <v>131</v>
      </c>
      <c r="AC2623" t="s">
        <v>165</v>
      </c>
      <c r="AD2623" t="s">
        <v>45</v>
      </c>
      <c r="AE2623" s="1">
        <v>27433</v>
      </c>
      <c r="AF2623">
        <v>2</v>
      </c>
      <c r="AG2623" t="s">
        <v>224</v>
      </c>
      <c r="AH2623" s="36">
        <f t="shared" si="40"/>
        <v>44.511111111111113</v>
      </c>
      <c r="AI2623" s="41" t="s">
        <v>1779</v>
      </c>
    </row>
    <row r="2624" spans="1:35" x14ac:dyDescent="0.25">
      <c r="A2624" s="36">
        <v>99912622</v>
      </c>
      <c r="B2624" s="17" t="s">
        <v>32</v>
      </c>
      <c r="C2624" t="s">
        <v>46</v>
      </c>
      <c r="D2624" t="s">
        <v>47</v>
      </c>
      <c r="G2624" s="17" t="s">
        <v>48</v>
      </c>
      <c r="H2624" s="17">
        <v>1</v>
      </c>
      <c r="K2624" t="s">
        <v>157</v>
      </c>
      <c r="L2624" t="s">
        <v>158</v>
      </c>
      <c r="M2624" t="s">
        <v>131</v>
      </c>
      <c r="N2624">
        <v>18</v>
      </c>
      <c r="O2624" t="s">
        <v>40</v>
      </c>
      <c r="P2624" t="s">
        <v>40</v>
      </c>
      <c r="Q2624" t="s">
        <v>40</v>
      </c>
      <c r="S2624" t="s">
        <v>40</v>
      </c>
      <c r="V2624" t="s">
        <v>41</v>
      </c>
      <c r="W2624" t="s">
        <v>42</v>
      </c>
      <c r="X2624" t="str">
        <f>"0580735"</f>
        <v>0580735</v>
      </c>
      <c r="Y2624" t="s">
        <v>180</v>
      </c>
      <c r="Z2624" t="s">
        <v>157</v>
      </c>
      <c r="AA2624" t="s">
        <v>158</v>
      </c>
      <c r="AB2624" t="s">
        <v>131</v>
      </c>
      <c r="AC2624" t="s">
        <v>51</v>
      </c>
      <c r="AD2624" t="s">
        <v>45</v>
      </c>
      <c r="AE2624" s="1">
        <v>27431</v>
      </c>
      <c r="AF2624">
        <v>2</v>
      </c>
      <c r="AG2624" t="s">
        <v>158</v>
      </c>
      <c r="AH2624" s="36">
        <f t="shared" si="40"/>
        <v>44.516666666666666</v>
      </c>
      <c r="AI2624" s="41" t="s">
        <v>1779</v>
      </c>
    </row>
    <row r="2625" spans="1:35" x14ac:dyDescent="0.25">
      <c r="A2625" s="36">
        <v>99912623</v>
      </c>
      <c r="B2625" s="17" t="s">
        <v>56</v>
      </c>
      <c r="C2625" t="s">
        <v>68</v>
      </c>
      <c r="D2625" t="s">
        <v>69</v>
      </c>
      <c r="G2625" s="17" t="s">
        <v>35</v>
      </c>
      <c r="H2625" s="17">
        <v>1</v>
      </c>
      <c r="K2625" t="s">
        <v>223</v>
      </c>
      <c r="L2625" t="s">
        <v>224</v>
      </c>
      <c r="M2625" t="s">
        <v>131</v>
      </c>
      <c r="N2625">
        <v>20</v>
      </c>
      <c r="O2625" t="s">
        <v>40</v>
      </c>
      <c r="P2625" t="s">
        <v>40</v>
      </c>
      <c r="Q2625" t="s">
        <v>40</v>
      </c>
      <c r="R2625" t="s">
        <v>40</v>
      </c>
      <c r="S2625" t="s">
        <v>40</v>
      </c>
      <c r="V2625" t="s">
        <v>41</v>
      </c>
      <c r="W2625" t="s">
        <v>42</v>
      </c>
      <c r="X2625" t="str">
        <f>"0590901"</f>
        <v>0590901</v>
      </c>
      <c r="Y2625" t="s">
        <v>242</v>
      </c>
      <c r="Z2625" t="s">
        <v>223</v>
      </c>
      <c r="AA2625" t="s">
        <v>224</v>
      </c>
      <c r="AB2625" t="s">
        <v>131</v>
      </c>
      <c r="AC2625" t="s">
        <v>51</v>
      </c>
      <c r="AD2625" t="s">
        <v>45</v>
      </c>
      <c r="AE2625" s="1">
        <v>27428</v>
      </c>
      <c r="AF2625">
        <v>2</v>
      </c>
      <c r="AG2625" t="s">
        <v>224</v>
      </c>
      <c r="AH2625" s="36">
        <f t="shared" si="40"/>
        <v>44.524999999999999</v>
      </c>
      <c r="AI2625" s="41" t="s">
        <v>1779</v>
      </c>
    </row>
    <row r="2626" spans="1:35" x14ac:dyDescent="0.25">
      <c r="A2626" s="36">
        <v>99912624</v>
      </c>
      <c r="B2626" s="17" t="s">
        <v>32</v>
      </c>
      <c r="C2626" t="s">
        <v>90</v>
      </c>
      <c r="D2626" t="s">
        <v>91</v>
      </c>
      <c r="G2626" s="17" t="s">
        <v>48</v>
      </c>
      <c r="H2626" s="17">
        <v>1</v>
      </c>
      <c r="K2626" t="s">
        <v>1043</v>
      </c>
      <c r="L2626" t="s">
        <v>1044</v>
      </c>
      <c r="M2626" t="s">
        <v>1041</v>
      </c>
      <c r="N2626">
        <v>25</v>
      </c>
      <c r="O2626" t="s">
        <v>40</v>
      </c>
      <c r="P2626" t="s">
        <v>40</v>
      </c>
      <c r="Q2626" t="s">
        <v>40</v>
      </c>
      <c r="R2626" t="s">
        <v>40</v>
      </c>
      <c r="S2626" t="s">
        <v>40</v>
      </c>
      <c r="V2626" t="s">
        <v>41</v>
      </c>
      <c r="W2626" t="s">
        <v>95</v>
      </c>
      <c r="X2626" t="str">
        <f>"7271013"</f>
        <v>7271013</v>
      </c>
      <c r="Y2626" t="s">
        <v>1048</v>
      </c>
      <c r="Z2626" t="s">
        <v>1043</v>
      </c>
      <c r="AA2626" t="s">
        <v>1044</v>
      </c>
      <c r="AB2626" t="s">
        <v>1041</v>
      </c>
      <c r="AC2626" t="s">
        <v>51</v>
      </c>
      <c r="AD2626" t="s">
        <v>45</v>
      </c>
      <c r="AE2626" s="1">
        <v>27421</v>
      </c>
      <c r="AF2626">
        <v>1</v>
      </c>
      <c r="AG2626" t="s">
        <v>1044</v>
      </c>
      <c r="AH2626" s="36">
        <f t="shared" ref="AH2626:AH2689" si="41">($AJ$1-AE2626)/360</f>
        <v>44.544444444444444</v>
      </c>
      <c r="AI2626" s="41" t="s">
        <v>1779</v>
      </c>
    </row>
    <row r="2627" spans="1:35" x14ac:dyDescent="0.25">
      <c r="A2627" s="36">
        <v>99912625</v>
      </c>
      <c r="B2627" s="17" t="s">
        <v>32</v>
      </c>
      <c r="C2627" t="s">
        <v>90</v>
      </c>
      <c r="D2627" t="s">
        <v>91</v>
      </c>
      <c r="G2627" s="17" t="s">
        <v>35</v>
      </c>
      <c r="H2627" s="17">
        <v>1</v>
      </c>
      <c r="K2627" t="s">
        <v>154</v>
      </c>
      <c r="L2627" t="s">
        <v>155</v>
      </c>
      <c r="M2627" t="s">
        <v>131</v>
      </c>
      <c r="N2627">
        <v>22</v>
      </c>
      <c r="O2627" t="s">
        <v>40</v>
      </c>
      <c r="P2627" t="s">
        <v>40</v>
      </c>
      <c r="Q2627" t="s">
        <v>40</v>
      </c>
      <c r="S2627" t="s">
        <v>40</v>
      </c>
      <c r="V2627" t="s">
        <v>41</v>
      </c>
      <c r="W2627" t="s">
        <v>95</v>
      </c>
      <c r="X2627" t="str">
        <f>"7051021"</f>
        <v>7051021</v>
      </c>
      <c r="Y2627" t="s">
        <v>404</v>
      </c>
      <c r="Z2627" t="s">
        <v>154</v>
      </c>
      <c r="AA2627" t="s">
        <v>155</v>
      </c>
      <c r="AB2627" t="s">
        <v>131</v>
      </c>
      <c r="AC2627" t="s">
        <v>165</v>
      </c>
      <c r="AD2627" t="s">
        <v>45</v>
      </c>
      <c r="AE2627" s="1">
        <v>27415</v>
      </c>
      <c r="AF2627">
        <v>1</v>
      </c>
      <c r="AG2627" t="s">
        <v>155</v>
      </c>
      <c r="AH2627" s="36">
        <f t="shared" si="41"/>
        <v>44.56111111111111</v>
      </c>
      <c r="AI2627" s="41" t="s">
        <v>1779</v>
      </c>
    </row>
    <row r="2628" spans="1:35" x14ac:dyDescent="0.25">
      <c r="A2628" s="36">
        <v>99912626</v>
      </c>
      <c r="B2628" s="17" t="s">
        <v>32</v>
      </c>
      <c r="C2628" t="s">
        <v>90</v>
      </c>
      <c r="D2628" t="s">
        <v>91</v>
      </c>
      <c r="G2628" s="17" t="s">
        <v>35</v>
      </c>
      <c r="H2628" s="17">
        <v>1</v>
      </c>
      <c r="K2628" t="s">
        <v>154</v>
      </c>
      <c r="L2628" t="s">
        <v>155</v>
      </c>
      <c r="M2628" t="s">
        <v>131</v>
      </c>
      <c r="N2628">
        <v>25</v>
      </c>
      <c r="O2628" t="s">
        <v>40</v>
      </c>
      <c r="P2628" t="s">
        <v>40</v>
      </c>
      <c r="Q2628" t="s">
        <v>40</v>
      </c>
      <c r="S2628" t="s">
        <v>40</v>
      </c>
      <c r="V2628" t="s">
        <v>41</v>
      </c>
      <c r="W2628" t="s">
        <v>95</v>
      </c>
      <c r="X2628" t="str">
        <f>"7051027"</f>
        <v>7051027</v>
      </c>
      <c r="Y2628" t="s">
        <v>413</v>
      </c>
      <c r="Z2628" t="s">
        <v>154</v>
      </c>
      <c r="AA2628" t="s">
        <v>155</v>
      </c>
      <c r="AB2628" t="s">
        <v>131</v>
      </c>
      <c r="AC2628" t="s">
        <v>51</v>
      </c>
      <c r="AD2628" t="s">
        <v>45</v>
      </c>
      <c r="AE2628" s="1">
        <v>27414</v>
      </c>
      <c r="AF2628">
        <v>1</v>
      </c>
      <c r="AG2628" t="s">
        <v>155</v>
      </c>
      <c r="AH2628" s="36">
        <f t="shared" si="41"/>
        <v>44.56388888888889</v>
      </c>
      <c r="AI2628" s="41" t="s">
        <v>1779</v>
      </c>
    </row>
    <row r="2629" spans="1:35" x14ac:dyDescent="0.25">
      <c r="A2629" s="36">
        <v>99912627</v>
      </c>
      <c r="B2629" s="17" t="s">
        <v>32</v>
      </c>
      <c r="C2629" t="s">
        <v>90</v>
      </c>
      <c r="D2629" t="s">
        <v>91</v>
      </c>
      <c r="G2629" s="17" t="s">
        <v>35</v>
      </c>
      <c r="H2629" s="17">
        <v>1</v>
      </c>
      <c r="I2629" t="s">
        <v>1376</v>
      </c>
      <c r="J2629" s="1">
        <v>43344</v>
      </c>
      <c r="K2629" t="s">
        <v>1341</v>
      </c>
      <c r="L2629" t="s">
        <v>1342</v>
      </c>
      <c r="M2629" t="s">
        <v>1270</v>
      </c>
      <c r="N2629">
        <v>24</v>
      </c>
      <c r="O2629" t="s">
        <v>40</v>
      </c>
      <c r="S2629" t="s">
        <v>40</v>
      </c>
      <c r="U2629" s="1">
        <v>43344</v>
      </c>
      <c r="V2629" t="s">
        <v>41</v>
      </c>
      <c r="W2629" t="s">
        <v>95</v>
      </c>
      <c r="X2629" t="str">
        <f>"7191101"</f>
        <v>7191101</v>
      </c>
      <c r="Y2629" t="s">
        <v>1377</v>
      </c>
      <c r="Z2629" t="s">
        <v>1341</v>
      </c>
      <c r="AA2629" t="s">
        <v>1342</v>
      </c>
      <c r="AB2629" t="s">
        <v>1270</v>
      </c>
      <c r="AC2629" t="s">
        <v>165</v>
      </c>
      <c r="AD2629" t="s">
        <v>45</v>
      </c>
      <c r="AE2629" s="1">
        <v>27411</v>
      </c>
      <c r="AF2629">
        <v>1</v>
      </c>
      <c r="AG2629" t="s">
        <v>1342</v>
      </c>
      <c r="AH2629" s="36">
        <f t="shared" si="41"/>
        <v>44.572222222222223</v>
      </c>
      <c r="AI2629" s="41" t="s">
        <v>1779</v>
      </c>
    </row>
    <row r="2630" spans="1:35" x14ac:dyDescent="0.25">
      <c r="A2630" s="36">
        <v>99912628</v>
      </c>
      <c r="B2630" s="17" t="s">
        <v>32</v>
      </c>
      <c r="C2630" t="s">
        <v>111</v>
      </c>
      <c r="D2630" t="s">
        <v>112</v>
      </c>
      <c r="G2630" s="17" t="s">
        <v>88</v>
      </c>
      <c r="H2630" s="17">
        <v>3</v>
      </c>
      <c r="K2630" t="s">
        <v>354</v>
      </c>
      <c r="L2630" t="s">
        <v>355</v>
      </c>
      <c r="M2630" t="s">
        <v>131</v>
      </c>
      <c r="N2630">
        <v>24</v>
      </c>
      <c r="O2630" t="s">
        <v>40</v>
      </c>
      <c r="P2630" t="s">
        <v>40</v>
      </c>
      <c r="Q2630" t="s">
        <v>40</v>
      </c>
      <c r="R2630" t="s">
        <v>40</v>
      </c>
      <c r="S2630" t="s">
        <v>40</v>
      </c>
      <c r="V2630" t="s">
        <v>41</v>
      </c>
      <c r="W2630" t="s">
        <v>75</v>
      </c>
      <c r="X2630" t="str">
        <f>"7054022"</f>
        <v>7054022</v>
      </c>
      <c r="Y2630" t="s">
        <v>770</v>
      </c>
      <c r="Z2630" t="s">
        <v>354</v>
      </c>
      <c r="AA2630" t="s">
        <v>355</v>
      </c>
      <c r="AB2630" t="s">
        <v>131</v>
      </c>
      <c r="AC2630" t="s">
        <v>51</v>
      </c>
      <c r="AD2630" t="s">
        <v>45</v>
      </c>
      <c r="AE2630" s="1">
        <v>27403</v>
      </c>
      <c r="AF2630">
        <v>1</v>
      </c>
      <c r="AG2630" t="s">
        <v>355</v>
      </c>
      <c r="AH2630" s="36">
        <f t="shared" si="41"/>
        <v>44.594444444444441</v>
      </c>
      <c r="AI2630" s="41" t="s">
        <v>1779</v>
      </c>
    </row>
    <row r="2631" spans="1:35" x14ac:dyDescent="0.25">
      <c r="A2631" s="36">
        <v>99912629</v>
      </c>
      <c r="B2631" s="17" t="s">
        <v>32</v>
      </c>
      <c r="C2631" t="s">
        <v>64</v>
      </c>
      <c r="D2631" t="s">
        <v>65</v>
      </c>
      <c r="G2631" s="17" t="s">
        <v>35</v>
      </c>
      <c r="H2631" s="17">
        <v>1</v>
      </c>
      <c r="I2631">
        <v>0</v>
      </c>
      <c r="J2631" s="1">
        <v>43344</v>
      </c>
      <c r="K2631" t="s">
        <v>223</v>
      </c>
      <c r="L2631" t="s">
        <v>224</v>
      </c>
      <c r="M2631" t="s">
        <v>131</v>
      </c>
      <c r="N2631">
        <v>21</v>
      </c>
      <c r="O2631" t="s">
        <v>40</v>
      </c>
      <c r="S2631" t="s">
        <v>40</v>
      </c>
      <c r="U2631" s="1">
        <v>43344</v>
      </c>
      <c r="V2631" t="s">
        <v>41</v>
      </c>
      <c r="W2631" t="s">
        <v>42</v>
      </c>
      <c r="X2631" t="str">
        <f>"0580206"</f>
        <v>0580206</v>
      </c>
      <c r="Y2631" t="s">
        <v>237</v>
      </c>
      <c r="Z2631" t="s">
        <v>223</v>
      </c>
      <c r="AA2631" t="s">
        <v>224</v>
      </c>
      <c r="AB2631" t="s">
        <v>131</v>
      </c>
      <c r="AC2631" t="s">
        <v>51</v>
      </c>
      <c r="AD2631" t="s">
        <v>45</v>
      </c>
      <c r="AE2631" s="1">
        <v>27400</v>
      </c>
      <c r="AF2631">
        <v>2</v>
      </c>
      <c r="AG2631" t="s">
        <v>224</v>
      </c>
      <c r="AH2631" s="36">
        <f t="shared" si="41"/>
        <v>44.602777777777774</v>
      </c>
      <c r="AI2631" s="41" t="s">
        <v>1779</v>
      </c>
    </row>
    <row r="2632" spans="1:35" x14ac:dyDescent="0.25">
      <c r="A2632" s="36">
        <v>99912630</v>
      </c>
      <c r="B2632" s="17" t="s">
        <v>32</v>
      </c>
      <c r="C2632" t="s">
        <v>46</v>
      </c>
      <c r="D2632" t="s">
        <v>47</v>
      </c>
      <c r="G2632" s="17" t="s">
        <v>48</v>
      </c>
      <c r="H2632" s="17">
        <v>1</v>
      </c>
      <c r="K2632" t="s">
        <v>223</v>
      </c>
      <c r="L2632" t="s">
        <v>224</v>
      </c>
      <c r="M2632" t="s">
        <v>131</v>
      </c>
      <c r="N2632">
        <v>20</v>
      </c>
      <c r="O2632" t="s">
        <v>40</v>
      </c>
      <c r="P2632" t="s">
        <v>40</v>
      </c>
      <c r="Q2632" t="s">
        <v>40</v>
      </c>
      <c r="R2632" t="s">
        <v>40</v>
      </c>
      <c r="S2632" t="s">
        <v>40</v>
      </c>
      <c r="V2632" t="s">
        <v>41</v>
      </c>
      <c r="W2632" t="s">
        <v>49</v>
      </c>
      <c r="X2632" t="str">
        <f>"0581206"</f>
        <v>0581206</v>
      </c>
      <c r="Y2632" t="s">
        <v>232</v>
      </c>
      <c r="Z2632" t="s">
        <v>223</v>
      </c>
      <c r="AA2632" t="s">
        <v>224</v>
      </c>
      <c r="AB2632" t="s">
        <v>131</v>
      </c>
      <c r="AC2632" t="s">
        <v>51</v>
      </c>
      <c r="AD2632" t="s">
        <v>45</v>
      </c>
      <c r="AE2632" s="1">
        <v>27399</v>
      </c>
      <c r="AF2632">
        <v>2</v>
      </c>
      <c r="AG2632" t="s">
        <v>224</v>
      </c>
      <c r="AH2632" s="36">
        <f t="shared" si="41"/>
        <v>44.605555555555554</v>
      </c>
      <c r="AI2632" s="41" t="s">
        <v>1779</v>
      </c>
    </row>
    <row r="2633" spans="1:35" x14ac:dyDescent="0.25">
      <c r="A2633" s="36">
        <v>99912631</v>
      </c>
      <c r="B2633" s="17" t="s">
        <v>32</v>
      </c>
      <c r="C2633" t="s">
        <v>143</v>
      </c>
      <c r="D2633" t="s">
        <v>144</v>
      </c>
      <c r="G2633" s="17" t="s">
        <v>48</v>
      </c>
      <c r="H2633" s="17">
        <v>1</v>
      </c>
      <c r="K2633" t="s">
        <v>129</v>
      </c>
      <c r="L2633" t="s">
        <v>130</v>
      </c>
      <c r="M2633" t="s">
        <v>131</v>
      </c>
      <c r="N2633">
        <v>20</v>
      </c>
      <c r="O2633" t="s">
        <v>40</v>
      </c>
      <c r="P2633" t="s">
        <v>40</v>
      </c>
      <c r="Q2633" t="s">
        <v>40</v>
      </c>
      <c r="R2633" t="s">
        <v>40</v>
      </c>
      <c r="S2633" t="s">
        <v>40</v>
      </c>
      <c r="V2633" t="s">
        <v>41</v>
      </c>
      <c r="W2633" t="s">
        <v>49</v>
      </c>
      <c r="X2633" t="str">
        <f>"0591905"</f>
        <v>0591905</v>
      </c>
      <c r="Y2633" t="s">
        <v>135</v>
      </c>
      <c r="Z2633" t="s">
        <v>129</v>
      </c>
      <c r="AA2633" t="s">
        <v>130</v>
      </c>
      <c r="AB2633" t="s">
        <v>131</v>
      </c>
      <c r="AC2633" t="s">
        <v>51</v>
      </c>
      <c r="AD2633" t="s">
        <v>45</v>
      </c>
      <c r="AE2633" s="1">
        <v>27395</v>
      </c>
      <c r="AF2633">
        <v>2</v>
      </c>
      <c r="AG2633" t="s">
        <v>130</v>
      </c>
      <c r="AH2633" s="36">
        <f t="shared" si="41"/>
        <v>44.616666666666667</v>
      </c>
      <c r="AI2633" s="41" t="s">
        <v>1779</v>
      </c>
    </row>
    <row r="2634" spans="1:35" x14ac:dyDescent="0.25">
      <c r="A2634" s="36">
        <v>99912632</v>
      </c>
      <c r="B2634" s="17" t="s">
        <v>56</v>
      </c>
      <c r="C2634" t="s">
        <v>143</v>
      </c>
      <c r="D2634" t="s">
        <v>144</v>
      </c>
      <c r="G2634" s="17" t="s">
        <v>48</v>
      </c>
      <c r="H2634" s="17">
        <v>1</v>
      </c>
      <c r="K2634" t="s">
        <v>157</v>
      </c>
      <c r="L2634" t="s">
        <v>158</v>
      </c>
      <c r="M2634" t="s">
        <v>131</v>
      </c>
      <c r="N2634">
        <v>19</v>
      </c>
      <c r="O2634" t="s">
        <v>40</v>
      </c>
      <c r="P2634" t="s">
        <v>40</v>
      </c>
      <c r="Q2634" t="s">
        <v>40</v>
      </c>
      <c r="R2634" t="s">
        <v>40</v>
      </c>
      <c r="S2634" t="s">
        <v>40</v>
      </c>
      <c r="V2634" t="s">
        <v>41</v>
      </c>
      <c r="W2634" t="s">
        <v>42</v>
      </c>
      <c r="X2634" t="str">
        <f>"0580290"</f>
        <v>0580290</v>
      </c>
      <c r="Y2634" t="s">
        <v>171</v>
      </c>
      <c r="Z2634" t="s">
        <v>157</v>
      </c>
      <c r="AA2634" t="s">
        <v>158</v>
      </c>
      <c r="AB2634" t="s">
        <v>131</v>
      </c>
      <c r="AC2634" t="s">
        <v>51</v>
      </c>
      <c r="AD2634" t="s">
        <v>45</v>
      </c>
      <c r="AE2634" s="1">
        <v>27395</v>
      </c>
      <c r="AF2634">
        <v>2</v>
      </c>
      <c r="AG2634" t="s">
        <v>158</v>
      </c>
      <c r="AH2634" s="36">
        <f t="shared" si="41"/>
        <v>44.616666666666667</v>
      </c>
      <c r="AI2634" s="41" t="s">
        <v>1779</v>
      </c>
    </row>
    <row r="2635" spans="1:35" x14ac:dyDescent="0.25">
      <c r="A2635" s="36">
        <v>99912633</v>
      </c>
      <c r="B2635" s="17" t="s">
        <v>32</v>
      </c>
      <c r="C2635" t="s">
        <v>143</v>
      </c>
      <c r="D2635" t="s">
        <v>144</v>
      </c>
      <c r="G2635" s="17" t="s">
        <v>35</v>
      </c>
      <c r="H2635" s="17">
        <v>1</v>
      </c>
      <c r="K2635" t="s">
        <v>157</v>
      </c>
      <c r="L2635" t="s">
        <v>158</v>
      </c>
      <c r="M2635" t="s">
        <v>131</v>
      </c>
      <c r="N2635">
        <v>23</v>
      </c>
      <c r="O2635" t="s">
        <v>40</v>
      </c>
      <c r="P2635" t="s">
        <v>40</v>
      </c>
      <c r="Q2635" t="s">
        <v>40</v>
      </c>
      <c r="R2635" t="s">
        <v>40</v>
      </c>
      <c r="S2635" t="s">
        <v>40</v>
      </c>
      <c r="V2635" t="s">
        <v>41</v>
      </c>
      <c r="W2635" t="s">
        <v>49</v>
      </c>
      <c r="X2635" t="str">
        <f>"0581725"</f>
        <v>0581725</v>
      </c>
      <c r="Y2635" t="s">
        <v>161</v>
      </c>
      <c r="Z2635" t="s">
        <v>157</v>
      </c>
      <c r="AA2635" t="s">
        <v>158</v>
      </c>
      <c r="AB2635" t="s">
        <v>131</v>
      </c>
      <c r="AC2635" t="s">
        <v>51</v>
      </c>
      <c r="AD2635" t="s">
        <v>45</v>
      </c>
      <c r="AE2635" s="1">
        <v>27395</v>
      </c>
      <c r="AF2635">
        <v>2</v>
      </c>
      <c r="AG2635" t="s">
        <v>158</v>
      </c>
      <c r="AH2635" s="36">
        <f t="shared" si="41"/>
        <v>44.616666666666667</v>
      </c>
      <c r="AI2635" s="41" t="s">
        <v>1779</v>
      </c>
    </row>
    <row r="2636" spans="1:35" x14ac:dyDescent="0.25">
      <c r="A2636" s="36">
        <v>99912634</v>
      </c>
      <c r="B2636" s="17" t="s">
        <v>56</v>
      </c>
      <c r="C2636" t="s">
        <v>46</v>
      </c>
      <c r="D2636" t="s">
        <v>47</v>
      </c>
      <c r="G2636" s="17" t="s">
        <v>35</v>
      </c>
      <c r="H2636" s="17">
        <v>1</v>
      </c>
      <c r="I2636">
        <v>0</v>
      </c>
      <c r="J2636" s="1">
        <v>43344</v>
      </c>
      <c r="K2636" t="s">
        <v>223</v>
      </c>
      <c r="L2636" t="s">
        <v>224</v>
      </c>
      <c r="M2636" t="s">
        <v>131</v>
      </c>
      <c r="N2636">
        <v>19</v>
      </c>
      <c r="O2636" t="s">
        <v>40</v>
      </c>
      <c r="P2636" t="s">
        <v>40</v>
      </c>
      <c r="Q2636" t="s">
        <v>40</v>
      </c>
      <c r="R2636" t="s">
        <v>40</v>
      </c>
      <c r="S2636" t="s">
        <v>40</v>
      </c>
      <c r="U2636" s="1">
        <v>43344</v>
      </c>
      <c r="V2636" t="s">
        <v>41</v>
      </c>
      <c r="W2636" t="s">
        <v>42</v>
      </c>
      <c r="X2636" t="str">
        <f>"0580206"</f>
        <v>0580206</v>
      </c>
      <c r="Y2636" t="s">
        <v>237</v>
      </c>
      <c r="Z2636" t="s">
        <v>223</v>
      </c>
      <c r="AA2636" t="s">
        <v>224</v>
      </c>
      <c r="AB2636" t="s">
        <v>131</v>
      </c>
      <c r="AC2636" t="s">
        <v>51</v>
      </c>
      <c r="AD2636" t="s">
        <v>45</v>
      </c>
      <c r="AE2636" s="1">
        <v>27395</v>
      </c>
      <c r="AF2636">
        <v>2</v>
      </c>
      <c r="AG2636" t="s">
        <v>224</v>
      </c>
      <c r="AH2636" s="36">
        <f t="shared" si="41"/>
        <v>44.616666666666667</v>
      </c>
      <c r="AI2636" s="41" t="s">
        <v>1779</v>
      </c>
    </row>
    <row r="2637" spans="1:35" x14ac:dyDescent="0.25">
      <c r="A2637" s="36">
        <v>99912635</v>
      </c>
      <c r="B2637" s="17" t="s">
        <v>32</v>
      </c>
      <c r="C2637" t="s">
        <v>79</v>
      </c>
      <c r="D2637" t="s">
        <v>80</v>
      </c>
      <c r="G2637" s="17" t="s">
        <v>35</v>
      </c>
      <c r="H2637" s="17">
        <v>1</v>
      </c>
      <c r="I2637">
        <v>0</v>
      </c>
      <c r="J2637" s="1">
        <v>43344</v>
      </c>
      <c r="K2637" t="s">
        <v>223</v>
      </c>
      <c r="L2637" t="s">
        <v>224</v>
      </c>
      <c r="M2637" t="s">
        <v>131</v>
      </c>
      <c r="N2637">
        <v>22</v>
      </c>
      <c r="O2637" t="s">
        <v>40</v>
      </c>
      <c r="P2637" t="s">
        <v>40</v>
      </c>
      <c r="Q2637" t="s">
        <v>40</v>
      </c>
      <c r="R2637" t="s">
        <v>40</v>
      </c>
      <c r="S2637" t="s">
        <v>40</v>
      </c>
      <c r="U2637" s="1">
        <v>43344</v>
      </c>
      <c r="V2637" t="s">
        <v>41</v>
      </c>
      <c r="W2637" t="s">
        <v>49</v>
      </c>
      <c r="X2637" t="str">
        <f>"0591901"</f>
        <v>0591901</v>
      </c>
      <c r="Y2637" t="s">
        <v>230</v>
      </c>
      <c r="Z2637" t="s">
        <v>223</v>
      </c>
      <c r="AA2637" t="s">
        <v>224</v>
      </c>
      <c r="AB2637" t="s">
        <v>131</v>
      </c>
      <c r="AC2637" t="s">
        <v>44</v>
      </c>
      <c r="AD2637" t="s">
        <v>45</v>
      </c>
      <c r="AE2637" s="1">
        <v>27395</v>
      </c>
      <c r="AF2637">
        <v>2</v>
      </c>
      <c r="AG2637" t="s">
        <v>224</v>
      </c>
      <c r="AH2637" s="36">
        <f t="shared" si="41"/>
        <v>44.616666666666667</v>
      </c>
      <c r="AI2637" s="41" t="s">
        <v>1779</v>
      </c>
    </row>
    <row r="2638" spans="1:35" x14ac:dyDescent="0.25">
      <c r="A2638" s="36">
        <v>99912636</v>
      </c>
      <c r="B2638" s="17" t="s">
        <v>32</v>
      </c>
      <c r="C2638" t="s">
        <v>79</v>
      </c>
      <c r="D2638" t="s">
        <v>80</v>
      </c>
      <c r="G2638" s="17" t="s">
        <v>35</v>
      </c>
      <c r="H2638" s="17">
        <v>1</v>
      </c>
      <c r="I2638">
        <v>0</v>
      </c>
      <c r="J2638" s="1">
        <v>43344</v>
      </c>
      <c r="K2638" t="s">
        <v>223</v>
      </c>
      <c r="L2638" t="s">
        <v>224</v>
      </c>
      <c r="M2638" t="s">
        <v>131</v>
      </c>
      <c r="N2638">
        <v>23</v>
      </c>
      <c r="O2638" t="s">
        <v>40</v>
      </c>
      <c r="P2638" t="s">
        <v>40</v>
      </c>
      <c r="Q2638" t="s">
        <v>40</v>
      </c>
      <c r="R2638" t="s">
        <v>40</v>
      </c>
      <c r="S2638" t="s">
        <v>40</v>
      </c>
      <c r="U2638" s="1">
        <v>43344</v>
      </c>
      <c r="V2638" t="s">
        <v>41</v>
      </c>
      <c r="W2638" t="s">
        <v>49</v>
      </c>
      <c r="X2638" t="str">
        <f>"0560030"</f>
        <v>0560030</v>
      </c>
      <c r="Y2638" t="s">
        <v>244</v>
      </c>
      <c r="Z2638" t="s">
        <v>223</v>
      </c>
      <c r="AA2638" t="s">
        <v>224</v>
      </c>
      <c r="AB2638" t="s">
        <v>131</v>
      </c>
      <c r="AC2638" t="s">
        <v>44</v>
      </c>
      <c r="AD2638" t="s">
        <v>45</v>
      </c>
      <c r="AE2638" s="1">
        <v>27395</v>
      </c>
      <c r="AF2638">
        <v>2</v>
      </c>
      <c r="AG2638" t="s">
        <v>224</v>
      </c>
      <c r="AH2638" s="36">
        <f t="shared" si="41"/>
        <v>44.616666666666667</v>
      </c>
      <c r="AI2638" s="41" t="s">
        <v>1779</v>
      </c>
    </row>
    <row r="2639" spans="1:35" x14ac:dyDescent="0.25">
      <c r="A2639" s="36">
        <v>99912637</v>
      </c>
      <c r="B2639" s="17" t="s">
        <v>56</v>
      </c>
      <c r="C2639" t="s">
        <v>68</v>
      </c>
      <c r="D2639" t="s">
        <v>69</v>
      </c>
      <c r="G2639" s="17" t="s">
        <v>48</v>
      </c>
      <c r="H2639" s="17">
        <v>1</v>
      </c>
      <c r="K2639" t="s">
        <v>223</v>
      </c>
      <c r="L2639" t="s">
        <v>224</v>
      </c>
      <c r="M2639" t="s">
        <v>131</v>
      </c>
      <c r="N2639">
        <v>21</v>
      </c>
      <c r="O2639" t="s">
        <v>40</v>
      </c>
      <c r="P2639" t="s">
        <v>40</v>
      </c>
      <c r="Q2639" t="s">
        <v>40</v>
      </c>
      <c r="R2639" t="s">
        <v>40</v>
      </c>
      <c r="S2639" t="s">
        <v>40</v>
      </c>
      <c r="V2639" t="s">
        <v>41</v>
      </c>
      <c r="W2639" t="s">
        <v>42</v>
      </c>
      <c r="X2639" t="str">
        <f>"0580204"</f>
        <v>0580204</v>
      </c>
      <c r="Y2639" t="s">
        <v>235</v>
      </c>
      <c r="Z2639" t="s">
        <v>223</v>
      </c>
      <c r="AA2639" t="s">
        <v>224</v>
      </c>
      <c r="AB2639" t="s">
        <v>131</v>
      </c>
      <c r="AC2639" t="s">
        <v>51</v>
      </c>
      <c r="AD2639" t="s">
        <v>45</v>
      </c>
      <c r="AE2639" s="1">
        <v>27395</v>
      </c>
      <c r="AF2639">
        <v>2</v>
      </c>
      <c r="AG2639" t="s">
        <v>224</v>
      </c>
      <c r="AH2639" s="36">
        <f t="shared" si="41"/>
        <v>44.616666666666667</v>
      </c>
      <c r="AI2639" s="41" t="s">
        <v>1779</v>
      </c>
    </row>
    <row r="2640" spans="1:35" x14ac:dyDescent="0.25">
      <c r="A2640" s="36">
        <v>99912638</v>
      </c>
      <c r="B2640" s="17" t="s">
        <v>32</v>
      </c>
      <c r="C2640" t="s">
        <v>71</v>
      </c>
      <c r="D2640" t="s">
        <v>72</v>
      </c>
      <c r="G2640" s="17" t="s">
        <v>48</v>
      </c>
      <c r="H2640" s="17">
        <v>1</v>
      </c>
      <c r="K2640" t="s">
        <v>300</v>
      </c>
      <c r="L2640" t="s">
        <v>301</v>
      </c>
      <c r="M2640" t="s">
        <v>131</v>
      </c>
      <c r="N2640">
        <v>13</v>
      </c>
      <c r="O2640" t="s">
        <v>40</v>
      </c>
      <c r="P2640" t="s">
        <v>40</v>
      </c>
      <c r="Q2640" t="s">
        <v>40</v>
      </c>
      <c r="R2640" t="s">
        <v>40</v>
      </c>
      <c r="S2640" t="s">
        <v>40</v>
      </c>
      <c r="V2640" t="s">
        <v>41</v>
      </c>
      <c r="W2640" t="s">
        <v>42</v>
      </c>
      <c r="X2640" t="str">
        <f>"0580175"</f>
        <v>0580175</v>
      </c>
      <c r="Y2640" t="s">
        <v>303</v>
      </c>
      <c r="Z2640" t="s">
        <v>300</v>
      </c>
      <c r="AA2640" t="s">
        <v>301</v>
      </c>
      <c r="AB2640" t="s">
        <v>131</v>
      </c>
      <c r="AC2640" t="s">
        <v>51</v>
      </c>
      <c r="AD2640" t="s">
        <v>45</v>
      </c>
      <c r="AE2640" s="1">
        <v>27395</v>
      </c>
      <c r="AF2640">
        <v>2</v>
      </c>
      <c r="AG2640" t="s">
        <v>301</v>
      </c>
      <c r="AH2640" s="36">
        <f t="shared" si="41"/>
        <v>44.616666666666667</v>
      </c>
      <c r="AI2640" s="41" t="s">
        <v>1779</v>
      </c>
    </row>
    <row r="2641" spans="1:35" x14ac:dyDescent="0.25">
      <c r="A2641" s="36">
        <v>99912639</v>
      </c>
      <c r="B2641" s="17" t="s">
        <v>56</v>
      </c>
      <c r="C2641" t="s">
        <v>79</v>
      </c>
      <c r="D2641" t="s">
        <v>80</v>
      </c>
      <c r="G2641" s="17" t="s">
        <v>48</v>
      </c>
      <c r="H2641" s="17">
        <v>1</v>
      </c>
      <c r="K2641" t="s">
        <v>431</v>
      </c>
      <c r="L2641" t="s">
        <v>196</v>
      </c>
      <c r="M2641" t="s">
        <v>131</v>
      </c>
      <c r="N2641">
        <v>21</v>
      </c>
      <c r="O2641" t="s">
        <v>40</v>
      </c>
      <c r="P2641" t="s">
        <v>40</v>
      </c>
      <c r="Q2641" t="s">
        <v>40</v>
      </c>
      <c r="R2641" t="s">
        <v>40</v>
      </c>
      <c r="S2641" t="s">
        <v>40</v>
      </c>
      <c r="V2641" t="s">
        <v>41</v>
      </c>
      <c r="W2641" t="s">
        <v>75</v>
      </c>
      <c r="X2641" t="str">
        <f>"7521016"</f>
        <v>7521016</v>
      </c>
      <c r="Y2641" t="s">
        <v>448</v>
      </c>
      <c r="Z2641" t="s">
        <v>431</v>
      </c>
      <c r="AA2641" t="s">
        <v>196</v>
      </c>
      <c r="AB2641" t="s">
        <v>131</v>
      </c>
      <c r="AC2641" t="s">
        <v>51</v>
      </c>
      <c r="AD2641" t="s">
        <v>45</v>
      </c>
      <c r="AE2641" s="1">
        <v>27395</v>
      </c>
      <c r="AF2641">
        <v>1</v>
      </c>
      <c r="AG2641" t="s">
        <v>196</v>
      </c>
      <c r="AH2641" s="36">
        <f t="shared" si="41"/>
        <v>44.616666666666667</v>
      </c>
      <c r="AI2641" s="41" t="s">
        <v>1779</v>
      </c>
    </row>
    <row r="2642" spans="1:35" x14ac:dyDescent="0.25">
      <c r="A2642" s="36">
        <v>99912640</v>
      </c>
      <c r="B2642" s="17" t="s">
        <v>32</v>
      </c>
      <c r="C2642" t="s">
        <v>117</v>
      </c>
      <c r="D2642" t="s">
        <v>118</v>
      </c>
      <c r="G2642" s="17" t="s">
        <v>88</v>
      </c>
      <c r="H2642" s="17">
        <v>2</v>
      </c>
      <c r="I2642" t="s">
        <v>1013</v>
      </c>
      <c r="J2642" s="1">
        <v>43344</v>
      </c>
      <c r="K2642" t="s">
        <v>963</v>
      </c>
      <c r="L2642" t="s">
        <v>964</v>
      </c>
      <c r="M2642" t="s">
        <v>938</v>
      </c>
      <c r="N2642">
        <v>11</v>
      </c>
      <c r="O2642" t="s">
        <v>40</v>
      </c>
      <c r="P2642" t="s">
        <v>40</v>
      </c>
      <c r="Q2642" t="s">
        <v>40</v>
      </c>
      <c r="R2642" t="s">
        <v>40</v>
      </c>
      <c r="S2642" t="s">
        <v>40</v>
      </c>
      <c r="U2642" s="1">
        <v>43344</v>
      </c>
      <c r="V2642" t="s">
        <v>41</v>
      </c>
      <c r="W2642" t="s">
        <v>75</v>
      </c>
      <c r="X2642" t="str">
        <f>"7061004"</f>
        <v>7061004</v>
      </c>
      <c r="Y2642" t="s">
        <v>1002</v>
      </c>
      <c r="Z2642" t="s">
        <v>963</v>
      </c>
      <c r="AA2642" t="s">
        <v>964</v>
      </c>
      <c r="AB2642" t="s">
        <v>938</v>
      </c>
      <c r="AC2642" t="s">
        <v>44</v>
      </c>
      <c r="AD2642" t="s">
        <v>45</v>
      </c>
      <c r="AE2642" s="1">
        <v>27395</v>
      </c>
      <c r="AF2642">
        <v>1</v>
      </c>
      <c r="AG2642" t="s">
        <v>964</v>
      </c>
      <c r="AH2642" s="36">
        <f t="shared" si="41"/>
        <v>44.616666666666667</v>
      </c>
      <c r="AI2642" s="41" t="s">
        <v>1779</v>
      </c>
    </row>
    <row r="2643" spans="1:35" x14ac:dyDescent="0.25">
      <c r="A2643" s="36">
        <v>99912641</v>
      </c>
      <c r="B2643" s="17" t="s">
        <v>56</v>
      </c>
      <c r="C2643" t="s">
        <v>64</v>
      </c>
      <c r="D2643" t="s">
        <v>65</v>
      </c>
      <c r="G2643" s="17" t="s">
        <v>35</v>
      </c>
      <c r="H2643" s="17">
        <v>1</v>
      </c>
      <c r="I2643" t="s">
        <v>1068</v>
      </c>
      <c r="J2643" s="1">
        <v>43406</v>
      </c>
      <c r="K2643" t="s">
        <v>1051</v>
      </c>
      <c r="L2643" t="s">
        <v>1052</v>
      </c>
      <c r="M2643" t="s">
        <v>1053</v>
      </c>
      <c r="N2643">
        <v>6</v>
      </c>
      <c r="O2643" t="s">
        <v>40</v>
      </c>
      <c r="P2643" t="s">
        <v>40</v>
      </c>
      <c r="Q2643" t="s">
        <v>40</v>
      </c>
      <c r="R2643" t="s">
        <v>40</v>
      </c>
      <c r="S2643" t="s">
        <v>40</v>
      </c>
      <c r="U2643" s="1">
        <v>43406</v>
      </c>
      <c r="V2643" t="s">
        <v>41</v>
      </c>
      <c r="W2643" t="s">
        <v>42</v>
      </c>
      <c r="X2643" t="str">
        <f>"2061003"</f>
        <v>2061003</v>
      </c>
      <c r="Y2643" t="s">
        <v>1060</v>
      </c>
      <c r="Z2643" t="s">
        <v>1051</v>
      </c>
      <c r="AA2643" t="s">
        <v>1052</v>
      </c>
      <c r="AB2643" t="s">
        <v>1053</v>
      </c>
      <c r="AC2643" t="s">
        <v>44</v>
      </c>
      <c r="AD2643" t="s">
        <v>45</v>
      </c>
      <c r="AE2643" s="1">
        <v>27395</v>
      </c>
      <c r="AF2643">
        <v>2</v>
      </c>
      <c r="AG2643" t="s">
        <v>1052</v>
      </c>
      <c r="AH2643" s="36">
        <f t="shared" si="41"/>
        <v>44.616666666666667</v>
      </c>
      <c r="AI2643" s="41" t="s">
        <v>1779</v>
      </c>
    </row>
    <row r="2644" spans="1:35" x14ac:dyDescent="0.25">
      <c r="A2644" s="36">
        <v>99912642</v>
      </c>
      <c r="B2644" s="17" t="s">
        <v>56</v>
      </c>
      <c r="C2644" t="s">
        <v>71</v>
      </c>
      <c r="D2644" t="s">
        <v>72</v>
      </c>
      <c r="G2644" s="17" t="s">
        <v>35</v>
      </c>
      <c r="H2644" s="17">
        <v>1</v>
      </c>
      <c r="I2644" t="s">
        <v>1089</v>
      </c>
      <c r="J2644" s="1">
        <v>43344</v>
      </c>
      <c r="K2644" t="s">
        <v>1081</v>
      </c>
      <c r="L2644" t="s">
        <v>1082</v>
      </c>
      <c r="M2644" t="s">
        <v>1053</v>
      </c>
      <c r="N2644">
        <v>4</v>
      </c>
      <c r="O2644" t="s">
        <v>40</v>
      </c>
      <c r="P2644" t="s">
        <v>40</v>
      </c>
      <c r="Q2644" t="s">
        <v>40</v>
      </c>
      <c r="R2644" t="s">
        <v>40</v>
      </c>
      <c r="S2644" t="s">
        <v>40</v>
      </c>
      <c r="U2644" s="1">
        <v>43344</v>
      </c>
      <c r="V2644" t="s">
        <v>41</v>
      </c>
      <c r="W2644" t="s">
        <v>75</v>
      </c>
      <c r="X2644" t="str">
        <f>"7201000"</f>
        <v>7201000</v>
      </c>
      <c r="Y2644" t="s">
        <v>1088</v>
      </c>
      <c r="Z2644" t="s">
        <v>1081</v>
      </c>
      <c r="AA2644" t="s">
        <v>1082</v>
      </c>
      <c r="AB2644" t="s">
        <v>1053</v>
      </c>
      <c r="AC2644" t="s">
        <v>51</v>
      </c>
      <c r="AD2644" t="s">
        <v>45</v>
      </c>
      <c r="AE2644" s="1">
        <v>27395</v>
      </c>
      <c r="AF2644">
        <v>1</v>
      </c>
      <c r="AG2644" t="s">
        <v>1082</v>
      </c>
      <c r="AH2644" s="36">
        <f t="shared" si="41"/>
        <v>44.616666666666667</v>
      </c>
      <c r="AI2644" s="41" t="s">
        <v>1779</v>
      </c>
    </row>
    <row r="2645" spans="1:35" x14ac:dyDescent="0.25">
      <c r="A2645" s="36">
        <v>99912643</v>
      </c>
      <c r="B2645" s="17" t="s">
        <v>56</v>
      </c>
      <c r="C2645" t="s">
        <v>68</v>
      </c>
      <c r="D2645" t="s">
        <v>69</v>
      </c>
      <c r="G2645" s="17" t="s">
        <v>35</v>
      </c>
      <c r="H2645" s="17">
        <v>1</v>
      </c>
      <c r="I2645" t="s">
        <v>1170</v>
      </c>
      <c r="J2645" s="1">
        <v>42985</v>
      </c>
      <c r="K2645" t="s">
        <v>1171</v>
      </c>
      <c r="L2645" t="s">
        <v>1172</v>
      </c>
      <c r="M2645" t="s">
        <v>1130</v>
      </c>
      <c r="N2645">
        <v>23</v>
      </c>
      <c r="O2645" t="s">
        <v>40</v>
      </c>
      <c r="P2645" t="s">
        <v>40</v>
      </c>
      <c r="Q2645" t="s">
        <v>40</v>
      </c>
      <c r="R2645" t="s">
        <v>40</v>
      </c>
      <c r="S2645" t="s">
        <v>40</v>
      </c>
      <c r="U2645" s="1">
        <v>42985</v>
      </c>
      <c r="V2645" t="s">
        <v>41</v>
      </c>
      <c r="W2645" t="s">
        <v>42</v>
      </c>
      <c r="X2645" t="str">
        <f>"3561001"</f>
        <v>3561001</v>
      </c>
      <c r="Y2645" t="s">
        <v>1173</v>
      </c>
      <c r="Z2645" t="s">
        <v>1171</v>
      </c>
      <c r="AA2645" t="s">
        <v>1172</v>
      </c>
      <c r="AB2645" t="s">
        <v>1130</v>
      </c>
      <c r="AC2645" t="s">
        <v>44</v>
      </c>
      <c r="AD2645" t="s">
        <v>45</v>
      </c>
      <c r="AE2645" s="1">
        <v>27395</v>
      </c>
      <c r="AF2645">
        <v>2</v>
      </c>
      <c r="AG2645" t="s">
        <v>1172</v>
      </c>
      <c r="AH2645" s="36">
        <f t="shared" si="41"/>
        <v>44.616666666666667</v>
      </c>
      <c r="AI2645" s="41" t="s">
        <v>1779</v>
      </c>
    </row>
    <row r="2646" spans="1:35" x14ac:dyDescent="0.25">
      <c r="A2646" s="36">
        <v>99912644</v>
      </c>
      <c r="B2646" s="17" t="s">
        <v>32</v>
      </c>
      <c r="C2646" t="s">
        <v>90</v>
      </c>
      <c r="D2646" t="s">
        <v>91</v>
      </c>
      <c r="G2646" s="17" t="s">
        <v>35</v>
      </c>
      <c r="H2646" s="17">
        <v>4</v>
      </c>
      <c r="K2646" t="s">
        <v>1221</v>
      </c>
      <c r="L2646" t="s">
        <v>1222</v>
      </c>
      <c r="M2646" t="s">
        <v>1130</v>
      </c>
      <c r="N2646">
        <v>25</v>
      </c>
      <c r="O2646" t="s">
        <v>40</v>
      </c>
      <c r="P2646" t="s">
        <v>40</v>
      </c>
      <c r="Q2646" t="s">
        <v>40</v>
      </c>
      <c r="R2646" t="s">
        <v>40</v>
      </c>
      <c r="S2646" t="s">
        <v>40</v>
      </c>
      <c r="V2646" t="s">
        <v>41</v>
      </c>
      <c r="W2646" t="s">
        <v>95</v>
      </c>
      <c r="X2646" t="str">
        <f>"7351017"</f>
        <v>7351017</v>
      </c>
      <c r="Y2646" t="s">
        <v>1237</v>
      </c>
      <c r="Z2646" t="s">
        <v>1221</v>
      </c>
      <c r="AA2646" t="s">
        <v>1222</v>
      </c>
      <c r="AB2646" t="s">
        <v>1130</v>
      </c>
      <c r="AC2646" t="s">
        <v>51</v>
      </c>
      <c r="AD2646" t="s">
        <v>45</v>
      </c>
      <c r="AE2646" s="1">
        <v>27395</v>
      </c>
      <c r="AF2646">
        <v>1</v>
      </c>
      <c r="AG2646" t="s">
        <v>1222</v>
      </c>
      <c r="AH2646" s="36">
        <f t="shared" si="41"/>
        <v>44.616666666666667</v>
      </c>
      <c r="AI2646" s="41" t="s">
        <v>1779</v>
      </c>
    </row>
    <row r="2647" spans="1:35" x14ac:dyDescent="0.25">
      <c r="A2647" s="36">
        <v>99912645</v>
      </c>
      <c r="B2647" s="17" t="s">
        <v>32</v>
      </c>
      <c r="C2647" t="s">
        <v>46</v>
      </c>
      <c r="D2647" t="s">
        <v>47</v>
      </c>
      <c r="G2647" s="17" t="s">
        <v>48</v>
      </c>
      <c r="H2647" s="17">
        <v>1</v>
      </c>
      <c r="K2647" t="s">
        <v>1268</v>
      </c>
      <c r="L2647" t="s">
        <v>1269</v>
      </c>
      <c r="M2647" t="s">
        <v>1270</v>
      </c>
      <c r="N2647">
        <v>20</v>
      </c>
      <c r="O2647" t="s">
        <v>40</v>
      </c>
      <c r="P2647" t="s">
        <v>40</v>
      </c>
      <c r="Q2647" t="s">
        <v>40</v>
      </c>
      <c r="R2647" t="s">
        <v>40</v>
      </c>
      <c r="S2647" t="s">
        <v>40</v>
      </c>
      <c r="V2647" t="s">
        <v>41</v>
      </c>
      <c r="W2647" t="s">
        <v>42</v>
      </c>
      <c r="X2647" t="str">
        <f>"1990912"</f>
        <v>1990912</v>
      </c>
      <c r="Y2647" t="s">
        <v>1271</v>
      </c>
      <c r="Z2647" t="s">
        <v>1268</v>
      </c>
      <c r="AA2647" t="s">
        <v>1269</v>
      </c>
      <c r="AB2647" t="s">
        <v>1270</v>
      </c>
      <c r="AC2647" t="s">
        <v>51</v>
      </c>
      <c r="AD2647" t="s">
        <v>45</v>
      </c>
      <c r="AE2647" s="1">
        <v>27395</v>
      </c>
      <c r="AF2647">
        <v>2</v>
      </c>
      <c r="AG2647" t="s">
        <v>1269</v>
      </c>
      <c r="AH2647" s="36">
        <f t="shared" si="41"/>
        <v>44.616666666666667</v>
      </c>
      <c r="AI2647" s="41" t="s">
        <v>1779</v>
      </c>
    </row>
    <row r="2648" spans="1:35" x14ac:dyDescent="0.25">
      <c r="A2648" s="36">
        <v>99912646</v>
      </c>
      <c r="B2648" s="17" t="s">
        <v>32</v>
      </c>
      <c r="C2648" t="s">
        <v>64</v>
      </c>
      <c r="D2648" t="s">
        <v>65</v>
      </c>
      <c r="G2648" s="17" t="s">
        <v>48</v>
      </c>
      <c r="H2648" s="17">
        <v>4</v>
      </c>
      <c r="K2648" t="s">
        <v>1268</v>
      </c>
      <c r="L2648" t="s">
        <v>1269</v>
      </c>
      <c r="M2648" t="s">
        <v>1270</v>
      </c>
      <c r="N2648">
        <v>21</v>
      </c>
      <c r="O2648" t="s">
        <v>40</v>
      </c>
      <c r="P2648" t="s">
        <v>40</v>
      </c>
      <c r="Q2648" t="s">
        <v>40</v>
      </c>
      <c r="R2648" t="s">
        <v>40</v>
      </c>
      <c r="S2648" t="s">
        <v>40</v>
      </c>
      <c r="U2648" s="1">
        <v>43344</v>
      </c>
      <c r="V2648" t="s">
        <v>41</v>
      </c>
      <c r="W2648" t="s">
        <v>49</v>
      </c>
      <c r="X2648" t="str">
        <f>"1981055"</f>
        <v>1981055</v>
      </c>
      <c r="Y2648" t="s">
        <v>1280</v>
      </c>
      <c r="Z2648" t="s">
        <v>1268</v>
      </c>
      <c r="AA2648" t="s">
        <v>1269</v>
      </c>
      <c r="AB2648" t="s">
        <v>1270</v>
      </c>
      <c r="AC2648" t="s">
        <v>51</v>
      </c>
      <c r="AD2648" t="s">
        <v>45</v>
      </c>
      <c r="AE2648" s="1">
        <v>27395</v>
      </c>
      <c r="AF2648">
        <v>2</v>
      </c>
      <c r="AG2648" t="s">
        <v>1269</v>
      </c>
      <c r="AH2648" s="36">
        <f t="shared" si="41"/>
        <v>44.616666666666667</v>
      </c>
      <c r="AI2648" s="41" t="s">
        <v>1779</v>
      </c>
    </row>
    <row r="2649" spans="1:35" x14ac:dyDescent="0.25">
      <c r="A2649" s="36">
        <v>99912647</v>
      </c>
      <c r="B2649" s="17" t="s">
        <v>32</v>
      </c>
      <c r="C2649" t="s">
        <v>46</v>
      </c>
      <c r="D2649" t="s">
        <v>47</v>
      </c>
      <c r="G2649" s="17" t="s">
        <v>48</v>
      </c>
      <c r="H2649" s="17">
        <v>1</v>
      </c>
      <c r="K2649" t="s">
        <v>1487</v>
      </c>
      <c r="L2649" t="s">
        <v>1488</v>
      </c>
      <c r="M2649" t="s">
        <v>670</v>
      </c>
      <c r="N2649">
        <v>16</v>
      </c>
      <c r="O2649" t="s">
        <v>40</v>
      </c>
      <c r="P2649" t="s">
        <v>40</v>
      </c>
      <c r="Q2649" t="s">
        <v>40</v>
      </c>
      <c r="R2649" t="s">
        <v>40</v>
      </c>
      <c r="S2649" t="s">
        <v>40</v>
      </c>
      <c r="V2649" t="s">
        <v>41</v>
      </c>
      <c r="W2649" t="s">
        <v>42</v>
      </c>
      <c r="X2649" t="str">
        <f>"1780020"</f>
        <v>1780020</v>
      </c>
      <c r="Y2649" t="s">
        <v>1490</v>
      </c>
      <c r="Z2649" t="s">
        <v>1487</v>
      </c>
      <c r="AA2649" t="s">
        <v>1488</v>
      </c>
      <c r="AB2649" t="s">
        <v>670</v>
      </c>
      <c r="AC2649" t="s">
        <v>51</v>
      </c>
      <c r="AD2649" t="s">
        <v>45</v>
      </c>
      <c r="AE2649" s="1">
        <v>27395</v>
      </c>
      <c r="AF2649">
        <v>2</v>
      </c>
      <c r="AG2649" t="s">
        <v>1488</v>
      </c>
      <c r="AH2649" s="36">
        <f t="shared" si="41"/>
        <v>44.616666666666667</v>
      </c>
      <c r="AI2649" s="41" t="s">
        <v>1779</v>
      </c>
    </row>
    <row r="2650" spans="1:35" x14ac:dyDescent="0.25">
      <c r="A2650" s="36">
        <v>99912648</v>
      </c>
      <c r="B2650" s="17" t="s">
        <v>32</v>
      </c>
      <c r="C2650" t="s">
        <v>68</v>
      </c>
      <c r="D2650" t="s">
        <v>69</v>
      </c>
      <c r="G2650" s="17" t="s">
        <v>48</v>
      </c>
      <c r="H2650" s="17">
        <v>1</v>
      </c>
      <c r="K2650" t="s">
        <v>1487</v>
      </c>
      <c r="L2650" t="s">
        <v>1488</v>
      </c>
      <c r="M2650" t="s">
        <v>670</v>
      </c>
      <c r="N2650">
        <v>8</v>
      </c>
      <c r="O2650" t="s">
        <v>40</v>
      </c>
      <c r="P2650" t="s">
        <v>40</v>
      </c>
      <c r="Q2650" t="s">
        <v>40</v>
      </c>
      <c r="R2650" t="s">
        <v>40</v>
      </c>
      <c r="S2650" t="s">
        <v>40</v>
      </c>
      <c r="V2650" t="s">
        <v>41</v>
      </c>
      <c r="W2650" t="s">
        <v>49</v>
      </c>
      <c r="X2650" t="str">
        <f>"1760001"</f>
        <v>1760001</v>
      </c>
      <c r="Y2650" t="s">
        <v>1489</v>
      </c>
      <c r="Z2650" t="s">
        <v>1487</v>
      </c>
      <c r="AA2650" t="s">
        <v>1488</v>
      </c>
      <c r="AB2650" t="s">
        <v>670</v>
      </c>
      <c r="AC2650" t="s">
        <v>51</v>
      </c>
      <c r="AD2650" t="s">
        <v>45</v>
      </c>
      <c r="AE2650" s="1">
        <v>27395</v>
      </c>
      <c r="AF2650">
        <v>2</v>
      </c>
      <c r="AG2650" t="s">
        <v>1488</v>
      </c>
      <c r="AH2650" s="36">
        <f t="shared" si="41"/>
        <v>44.616666666666667</v>
      </c>
      <c r="AI2650" s="41" t="s">
        <v>1779</v>
      </c>
    </row>
    <row r="2651" spans="1:35" x14ac:dyDescent="0.25">
      <c r="A2651" s="36">
        <v>99912649</v>
      </c>
      <c r="B2651" s="17" t="s">
        <v>32</v>
      </c>
      <c r="C2651" t="s">
        <v>64</v>
      </c>
      <c r="D2651" t="s">
        <v>65</v>
      </c>
      <c r="G2651" s="17" t="s">
        <v>48</v>
      </c>
      <c r="H2651" s="17">
        <v>1</v>
      </c>
      <c r="K2651" t="s">
        <v>667</v>
      </c>
      <c r="L2651" t="s">
        <v>669</v>
      </c>
      <c r="M2651" t="s">
        <v>670</v>
      </c>
      <c r="N2651">
        <v>23</v>
      </c>
      <c r="O2651" t="s">
        <v>40</v>
      </c>
      <c r="P2651" t="s">
        <v>40</v>
      </c>
      <c r="Q2651" t="s">
        <v>40</v>
      </c>
      <c r="R2651" t="s">
        <v>40</v>
      </c>
      <c r="S2651" t="s">
        <v>40</v>
      </c>
      <c r="V2651" t="s">
        <v>41</v>
      </c>
      <c r="W2651" t="s">
        <v>75</v>
      </c>
      <c r="X2651" t="str">
        <f>"7501000"</f>
        <v>7501000</v>
      </c>
      <c r="Y2651" t="s">
        <v>668</v>
      </c>
      <c r="Z2651" t="s">
        <v>667</v>
      </c>
      <c r="AA2651" t="s">
        <v>669</v>
      </c>
      <c r="AB2651" t="s">
        <v>670</v>
      </c>
      <c r="AC2651" t="s">
        <v>51</v>
      </c>
      <c r="AD2651" t="s">
        <v>45</v>
      </c>
      <c r="AE2651" s="1">
        <v>27395</v>
      </c>
      <c r="AF2651">
        <v>1</v>
      </c>
      <c r="AG2651" t="s">
        <v>669</v>
      </c>
      <c r="AH2651" s="36">
        <f t="shared" si="41"/>
        <v>44.616666666666667</v>
      </c>
      <c r="AI2651" s="41" t="s">
        <v>1779</v>
      </c>
    </row>
    <row r="2652" spans="1:35" x14ac:dyDescent="0.25">
      <c r="A2652" s="36">
        <v>99912650</v>
      </c>
      <c r="B2652" s="17" t="s">
        <v>32</v>
      </c>
      <c r="C2652" t="s">
        <v>117</v>
      </c>
      <c r="D2652" t="s">
        <v>118</v>
      </c>
      <c r="G2652" s="17" t="s">
        <v>35</v>
      </c>
      <c r="H2652" s="17">
        <v>1</v>
      </c>
      <c r="K2652" t="s">
        <v>667</v>
      </c>
      <c r="L2652" t="s">
        <v>669</v>
      </c>
      <c r="M2652" t="s">
        <v>670</v>
      </c>
      <c r="N2652">
        <v>11</v>
      </c>
      <c r="O2652" t="s">
        <v>40</v>
      </c>
      <c r="P2652" t="s">
        <v>40</v>
      </c>
      <c r="Q2652" t="s">
        <v>40</v>
      </c>
      <c r="R2652" t="s">
        <v>40</v>
      </c>
      <c r="S2652" t="s">
        <v>40</v>
      </c>
      <c r="V2652" t="s">
        <v>41</v>
      </c>
      <c r="W2652" t="s">
        <v>75</v>
      </c>
      <c r="X2652" t="str">
        <f>"7501004"</f>
        <v>7501004</v>
      </c>
      <c r="Y2652" t="s">
        <v>1500</v>
      </c>
      <c r="Z2652" t="s">
        <v>667</v>
      </c>
      <c r="AA2652" t="s">
        <v>669</v>
      </c>
      <c r="AB2652" t="s">
        <v>670</v>
      </c>
      <c r="AC2652" t="s">
        <v>51</v>
      </c>
      <c r="AD2652" t="s">
        <v>45</v>
      </c>
      <c r="AE2652" s="1">
        <v>27395</v>
      </c>
      <c r="AF2652">
        <v>1</v>
      </c>
      <c r="AG2652" t="s">
        <v>669</v>
      </c>
      <c r="AH2652" s="36">
        <f t="shared" si="41"/>
        <v>44.616666666666667</v>
      </c>
      <c r="AI2652" s="41" t="s">
        <v>1779</v>
      </c>
    </row>
    <row r="2653" spans="1:35" x14ac:dyDescent="0.25">
      <c r="A2653" s="36">
        <v>99912651</v>
      </c>
      <c r="B2653" s="17" t="s">
        <v>56</v>
      </c>
      <c r="C2653" t="s">
        <v>52</v>
      </c>
      <c r="D2653" t="s">
        <v>53</v>
      </c>
      <c r="G2653" s="17" t="s">
        <v>35</v>
      </c>
      <c r="H2653" s="17">
        <v>1</v>
      </c>
      <c r="K2653" t="s">
        <v>223</v>
      </c>
      <c r="L2653" t="s">
        <v>224</v>
      </c>
      <c r="M2653" t="s">
        <v>131</v>
      </c>
      <c r="N2653">
        <v>20</v>
      </c>
      <c r="O2653" t="s">
        <v>40</v>
      </c>
      <c r="P2653" t="s">
        <v>40</v>
      </c>
      <c r="Q2653" t="s">
        <v>40</v>
      </c>
      <c r="R2653" t="s">
        <v>40</v>
      </c>
      <c r="S2653" t="s">
        <v>40</v>
      </c>
      <c r="V2653" t="s">
        <v>41</v>
      </c>
      <c r="W2653" t="s">
        <v>42</v>
      </c>
      <c r="X2653" t="str">
        <f>"0590901"</f>
        <v>0590901</v>
      </c>
      <c r="Y2653" t="s">
        <v>242</v>
      </c>
      <c r="Z2653" t="s">
        <v>223</v>
      </c>
      <c r="AA2653" t="s">
        <v>224</v>
      </c>
      <c r="AB2653" t="s">
        <v>131</v>
      </c>
      <c r="AC2653" t="s">
        <v>51</v>
      </c>
      <c r="AD2653" t="s">
        <v>45</v>
      </c>
      <c r="AE2653" s="1">
        <v>27386</v>
      </c>
      <c r="AF2653">
        <v>2</v>
      </c>
      <c r="AG2653" t="s">
        <v>224</v>
      </c>
      <c r="AH2653" s="36">
        <f t="shared" si="41"/>
        <v>44.641666666666666</v>
      </c>
      <c r="AI2653" s="41" t="s">
        <v>1779</v>
      </c>
    </row>
    <row r="2654" spans="1:35" x14ac:dyDescent="0.25">
      <c r="A2654" s="36">
        <v>99912652</v>
      </c>
      <c r="B2654" s="17" t="s">
        <v>32</v>
      </c>
      <c r="C2654" t="s">
        <v>64</v>
      </c>
      <c r="D2654" t="s">
        <v>65</v>
      </c>
      <c r="G2654" s="17" t="s">
        <v>35</v>
      </c>
      <c r="H2654" s="17">
        <v>1</v>
      </c>
      <c r="K2654" t="s">
        <v>963</v>
      </c>
      <c r="L2654" t="s">
        <v>964</v>
      </c>
      <c r="M2654" t="s">
        <v>938</v>
      </c>
      <c r="N2654">
        <v>22</v>
      </c>
      <c r="O2654" t="s">
        <v>40</v>
      </c>
      <c r="P2654" t="s">
        <v>40</v>
      </c>
      <c r="Q2654" t="s">
        <v>40</v>
      </c>
      <c r="S2654" t="s">
        <v>40</v>
      </c>
      <c r="V2654" t="s">
        <v>41</v>
      </c>
      <c r="W2654" t="s">
        <v>75</v>
      </c>
      <c r="X2654" t="str">
        <f>"7061000"</f>
        <v>7061000</v>
      </c>
      <c r="Y2654" t="s">
        <v>962</v>
      </c>
      <c r="Z2654" t="s">
        <v>963</v>
      </c>
      <c r="AA2654" t="s">
        <v>964</v>
      </c>
      <c r="AB2654" t="s">
        <v>938</v>
      </c>
      <c r="AC2654" t="s">
        <v>165</v>
      </c>
      <c r="AD2654" t="s">
        <v>45</v>
      </c>
      <c r="AE2654" s="1">
        <v>27382</v>
      </c>
      <c r="AF2654">
        <v>1</v>
      </c>
      <c r="AG2654" t="s">
        <v>964</v>
      </c>
      <c r="AH2654" s="36">
        <f t="shared" si="41"/>
        <v>44.652777777777779</v>
      </c>
      <c r="AI2654" s="41" t="s">
        <v>1779</v>
      </c>
    </row>
    <row r="2655" spans="1:35" x14ac:dyDescent="0.25">
      <c r="A2655" s="36">
        <v>99912653</v>
      </c>
      <c r="B2655" s="17" t="s">
        <v>56</v>
      </c>
      <c r="C2655" t="s">
        <v>141</v>
      </c>
      <c r="D2655" t="s">
        <v>142</v>
      </c>
      <c r="G2655" s="17" t="s">
        <v>48</v>
      </c>
      <c r="H2655" s="17">
        <v>1</v>
      </c>
      <c r="K2655" t="s">
        <v>300</v>
      </c>
      <c r="L2655" t="s">
        <v>301</v>
      </c>
      <c r="M2655" t="s">
        <v>131</v>
      </c>
      <c r="N2655">
        <v>8</v>
      </c>
      <c r="O2655" t="s">
        <v>40</v>
      </c>
      <c r="P2655" t="s">
        <v>40</v>
      </c>
      <c r="Q2655" t="s">
        <v>40</v>
      </c>
      <c r="R2655" t="s">
        <v>40</v>
      </c>
      <c r="S2655" t="s">
        <v>40</v>
      </c>
      <c r="V2655" t="s">
        <v>41</v>
      </c>
      <c r="W2655" t="s">
        <v>49</v>
      </c>
      <c r="X2655" t="str">
        <f>"0560022"</f>
        <v>0560022</v>
      </c>
      <c r="Y2655" t="s">
        <v>314</v>
      </c>
      <c r="Z2655" t="s">
        <v>300</v>
      </c>
      <c r="AA2655" t="s">
        <v>301</v>
      </c>
      <c r="AB2655" t="s">
        <v>131</v>
      </c>
      <c r="AC2655" t="s">
        <v>51</v>
      </c>
      <c r="AD2655" t="s">
        <v>45</v>
      </c>
      <c r="AE2655" s="1">
        <v>27379</v>
      </c>
      <c r="AF2655">
        <v>2</v>
      </c>
      <c r="AG2655" t="s">
        <v>301</v>
      </c>
      <c r="AH2655" s="36">
        <f t="shared" si="41"/>
        <v>44.661111111111111</v>
      </c>
      <c r="AI2655" s="41" t="s">
        <v>1779</v>
      </c>
    </row>
    <row r="2656" spans="1:35" x14ac:dyDescent="0.25">
      <c r="A2656" s="36">
        <v>99912654</v>
      </c>
      <c r="B2656" s="17" t="s">
        <v>32</v>
      </c>
      <c r="C2656" t="s">
        <v>204</v>
      </c>
      <c r="D2656" t="s">
        <v>205</v>
      </c>
      <c r="G2656" s="17" t="s">
        <v>48</v>
      </c>
      <c r="H2656" s="17">
        <v>1</v>
      </c>
      <c r="K2656" t="s">
        <v>300</v>
      </c>
      <c r="L2656" t="s">
        <v>301</v>
      </c>
      <c r="M2656" t="s">
        <v>131</v>
      </c>
      <c r="N2656">
        <v>8</v>
      </c>
      <c r="O2656" t="s">
        <v>40</v>
      </c>
      <c r="P2656" t="s">
        <v>40</v>
      </c>
      <c r="Q2656" t="s">
        <v>40</v>
      </c>
      <c r="S2656" t="s">
        <v>40</v>
      </c>
      <c r="V2656" t="s">
        <v>41</v>
      </c>
      <c r="W2656" t="s">
        <v>49</v>
      </c>
      <c r="X2656" t="str">
        <f>"0560020"</f>
        <v>0560020</v>
      </c>
      <c r="Y2656" t="s">
        <v>302</v>
      </c>
      <c r="Z2656" t="s">
        <v>300</v>
      </c>
      <c r="AA2656" t="s">
        <v>301</v>
      </c>
      <c r="AB2656" t="s">
        <v>131</v>
      </c>
      <c r="AC2656" t="s">
        <v>51</v>
      </c>
      <c r="AD2656" t="s">
        <v>45</v>
      </c>
      <c r="AE2656" s="1">
        <v>27377</v>
      </c>
      <c r="AF2656">
        <v>2</v>
      </c>
      <c r="AG2656" t="s">
        <v>301</v>
      </c>
      <c r="AH2656" s="36">
        <f t="shared" si="41"/>
        <v>44.666666666666664</v>
      </c>
      <c r="AI2656" s="41" t="s">
        <v>1779</v>
      </c>
    </row>
    <row r="2657" spans="1:35" x14ac:dyDescent="0.25">
      <c r="A2657" s="36">
        <v>99912655</v>
      </c>
      <c r="B2657" s="17" t="s">
        <v>56</v>
      </c>
      <c r="C2657" t="s">
        <v>61</v>
      </c>
      <c r="D2657" t="s">
        <v>62</v>
      </c>
      <c r="G2657" s="17" t="s">
        <v>48</v>
      </c>
      <c r="H2657" s="17">
        <v>1</v>
      </c>
      <c r="K2657" t="s">
        <v>157</v>
      </c>
      <c r="L2657" t="s">
        <v>158</v>
      </c>
      <c r="M2657" t="s">
        <v>131</v>
      </c>
      <c r="N2657">
        <v>29</v>
      </c>
      <c r="O2657" t="s">
        <v>40</v>
      </c>
      <c r="P2657" t="s">
        <v>40</v>
      </c>
      <c r="Q2657" t="s">
        <v>40</v>
      </c>
      <c r="S2657" t="s">
        <v>40</v>
      </c>
      <c r="V2657" t="s">
        <v>41</v>
      </c>
      <c r="W2657" t="s">
        <v>49</v>
      </c>
      <c r="X2657" t="str">
        <f>"0560019"</f>
        <v>0560019</v>
      </c>
      <c r="Y2657" t="s">
        <v>166</v>
      </c>
      <c r="Z2657" t="s">
        <v>157</v>
      </c>
      <c r="AA2657" t="s">
        <v>158</v>
      </c>
      <c r="AB2657" t="s">
        <v>131</v>
      </c>
      <c r="AC2657" t="s">
        <v>51</v>
      </c>
      <c r="AD2657" t="s">
        <v>45</v>
      </c>
      <c r="AE2657" s="1">
        <v>27376</v>
      </c>
      <c r="AF2657">
        <v>2</v>
      </c>
      <c r="AG2657" t="s">
        <v>158</v>
      </c>
      <c r="AH2657" s="36">
        <f t="shared" si="41"/>
        <v>44.669444444444444</v>
      </c>
      <c r="AI2657" s="41" t="s">
        <v>1779</v>
      </c>
    </row>
    <row r="2658" spans="1:35" x14ac:dyDescent="0.25">
      <c r="A2658" s="36">
        <v>99912656</v>
      </c>
      <c r="B2658" s="17" t="s">
        <v>56</v>
      </c>
      <c r="C2658" t="s">
        <v>111</v>
      </c>
      <c r="D2658" t="s">
        <v>112</v>
      </c>
      <c r="G2658" s="17" t="s">
        <v>48</v>
      </c>
      <c r="H2658" s="17">
        <v>10</v>
      </c>
      <c r="I2658" t="s">
        <v>447</v>
      </c>
      <c r="J2658" s="1">
        <v>40057</v>
      </c>
      <c r="K2658" t="s">
        <v>431</v>
      </c>
      <c r="L2658" t="s">
        <v>196</v>
      </c>
      <c r="M2658" t="s">
        <v>131</v>
      </c>
      <c r="N2658">
        <v>22</v>
      </c>
      <c r="O2658" t="s">
        <v>40</v>
      </c>
      <c r="P2658" t="s">
        <v>40</v>
      </c>
      <c r="Q2658" t="s">
        <v>40</v>
      </c>
      <c r="R2658" t="s">
        <v>40</v>
      </c>
      <c r="S2658" t="s">
        <v>40</v>
      </c>
      <c r="U2658" s="1">
        <v>40057</v>
      </c>
      <c r="V2658" t="s">
        <v>41</v>
      </c>
      <c r="W2658" t="s">
        <v>75</v>
      </c>
      <c r="X2658" t="str">
        <f>"7521012"</f>
        <v>7521012</v>
      </c>
      <c r="Y2658" t="s">
        <v>432</v>
      </c>
      <c r="Z2658" t="s">
        <v>431</v>
      </c>
      <c r="AA2658" t="s">
        <v>196</v>
      </c>
      <c r="AB2658" t="s">
        <v>131</v>
      </c>
      <c r="AC2658" t="s">
        <v>165</v>
      </c>
      <c r="AD2658" t="s">
        <v>45</v>
      </c>
      <c r="AE2658" s="1">
        <v>27372</v>
      </c>
      <c r="AF2658">
        <v>1</v>
      </c>
      <c r="AG2658" t="s">
        <v>196</v>
      </c>
      <c r="AH2658" s="36">
        <f t="shared" si="41"/>
        <v>44.680555555555557</v>
      </c>
      <c r="AI2658" s="41" t="s">
        <v>1779</v>
      </c>
    </row>
    <row r="2659" spans="1:35" x14ac:dyDescent="0.25">
      <c r="A2659" s="36">
        <v>99912657</v>
      </c>
      <c r="B2659" s="17" t="s">
        <v>32</v>
      </c>
      <c r="C2659" t="s">
        <v>64</v>
      </c>
      <c r="D2659" t="s">
        <v>65</v>
      </c>
      <c r="G2659" s="17" t="s">
        <v>35</v>
      </c>
      <c r="H2659" s="17">
        <v>1</v>
      </c>
      <c r="I2659" s="1">
        <v>42625</v>
      </c>
      <c r="J2659" s="1">
        <v>43344</v>
      </c>
      <c r="K2659" t="s">
        <v>1341</v>
      </c>
      <c r="L2659" t="s">
        <v>1342</v>
      </c>
      <c r="M2659" t="s">
        <v>1270</v>
      </c>
      <c r="N2659">
        <v>24</v>
      </c>
      <c r="O2659" t="s">
        <v>40</v>
      </c>
      <c r="S2659" t="s">
        <v>40</v>
      </c>
      <c r="U2659" s="1">
        <v>43344</v>
      </c>
      <c r="V2659" t="s">
        <v>41</v>
      </c>
      <c r="W2659" t="s">
        <v>75</v>
      </c>
      <c r="X2659" t="str">
        <f>"7191000"</f>
        <v>7191000</v>
      </c>
      <c r="Y2659" t="s">
        <v>1347</v>
      </c>
      <c r="Z2659" t="s">
        <v>1341</v>
      </c>
      <c r="AA2659" t="s">
        <v>1342</v>
      </c>
      <c r="AB2659" t="s">
        <v>1270</v>
      </c>
      <c r="AC2659" t="s">
        <v>51</v>
      </c>
      <c r="AD2659" t="s">
        <v>45</v>
      </c>
      <c r="AE2659" s="1">
        <v>27372</v>
      </c>
      <c r="AF2659">
        <v>1</v>
      </c>
      <c r="AG2659" t="s">
        <v>1342</v>
      </c>
      <c r="AH2659" s="36">
        <f t="shared" si="41"/>
        <v>44.680555555555557</v>
      </c>
      <c r="AI2659" s="41" t="s">
        <v>1779</v>
      </c>
    </row>
    <row r="2660" spans="1:35" x14ac:dyDescent="0.25">
      <c r="A2660" s="36">
        <v>99912658</v>
      </c>
      <c r="B2660" s="17" t="s">
        <v>32</v>
      </c>
      <c r="C2660" t="s">
        <v>46</v>
      </c>
      <c r="D2660" t="s">
        <v>47</v>
      </c>
      <c r="G2660" s="17" t="s">
        <v>35</v>
      </c>
      <c r="H2660" s="17">
        <v>1</v>
      </c>
      <c r="K2660" t="s">
        <v>223</v>
      </c>
      <c r="L2660" t="s">
        <v>224</v>
      </c>
      <c r="M2660" t="s">
        <v>131</v>
      </c>
      <c r="N2660">
        <v>20</v>
      </c>
      <c r="O2660" t="s">
        <v>40</v>
      </c>
      <c r="P2660" t="s">
        <v>40</v>
      </c>
      <c r="Q2660" t="s">
        <v>40</v>
      </c>
      <c r="S2660" t="s">
        <v>40</v>
      </c>
      <c r="V2660" t="s">
        <v>41</v>
      </c>
      <c r="W2660" t="s">
        <v>42</v>
      </c>
      <c r="X2660" t="str">
        <f>"0590903"</f>
        <v>0590903</v>
      </c>
      <c r="Y2660" t="s">
        <v>226</v>
      </c>
      <c r="Z2660" t="s">
        <v>223</v>
      </c>
      <c r="AA2660" t="s">
        <v>224</v>
      </c>
      <c r="AB2660" t="s">
        <v>131</v>
      </c>
      <c r="AC2660" t="s">
        <v>51</v>
      </c>
      <c r="AD2660" t="s">
        <v>45</v>
      </c>
      <c r="AE2660" s="1">
        <v>27368</v>
      </c>
      <c r="AF2660">
        <v>2</v>
      </c>
      <c r="AG2660" t="s">
        <v>224</v>
      </c>
      <c r="AH2660" s="36">
        <f t="shared" si="41"/>
        <v>44.69166666666667</v>
      </c>
      <c r="AI2660" s="41" t="s">
        <v>1779</v>
      </c>
    </row>
    <row r="2661" spans="1:35" x14ac:dyDescent="0.25">
      <c r="A2661" s="36">
        <v>99912659</v>
      </c>
      <c r="B2661" s="17" t="s">
        <v>56</v>
      </c>
      <c r="C2661" t="s">
        <v>924</v>
      </c>
      <c r="D2661" t="s">
        <v>925</v>
      </c>
      <c r="G2661" s="17" t="s">
        <v>35</v>
      </c>
      <c r="H2661" s="17">
        <v>5</v>
      </c>
      <c r="I2661">
        <v>4479</v>
      </c>
      <c r="J2661" s="1">
        <v>43344</v>
      </c>
      <c r="K2661" t="s">
        <v>919</v>
      </c>
      <c r="L2661" t="s">
        <v>920</v>
      </c>
      <c r="M2661" t="s">
        <v>921</v>
      </c>
      <c r="N2661">
        <v>23</v>
      </c>
      <c r="O2661" t="s">
        <v>40</v>
      </c>
      <c r="P2661" t="s">
        <v>40</v>
      </c>
      <c r="Q2661" t="s">
        <v>40</v>
      </c>
      <c r="R2661" t="s">
        <v>40</v>
      </c>
      <c r="S2661" t="s">
        <v>40</v>
      </c>
      <c r="U2661" s="1">
        <v>43344</v>
      </c>
      <c r="V2661" t="s">
        <v>41</v>
      </c>
      <c r="W2661" t="s">
        <v>922</v>
      </c>
      <c r="X2661" t="str">
        <f>"5162001"</f>
        <v>5162001</v>
      </c>
      <c r="Y2661" t="s">
        <v>923</v>
      </c>
      <c r="Z2661" t="s">
        <v>919</v>
      </c>
      <c r="AA2661" t="s">
        <v>920</v>
      </c>
      <c r="AB2661" t="s">
        <v>921</v>
      </c>
      <c r="AC2661" t="s">
        <v>44</v>
      </c>
      <c r="AD2661" t="s">
        <v>45</v>
      </c>
      <c r="AE2661" s="1">
        <v>27367</v>
      </c>
      <c r="AF2661">
        <v>2</v>
      </c>
      <c r="AG2661" t="s">
        <v>920</v>
      </c>
      <c r="AH2661" s="36">
        <f t="shared" si="41"/>
        <v>44.694444444444443</v>
      </c>
      <c r="AI2661" s="41" t="s">
        <v>1779</v>
      </c>
    </row>
    <row r="2662" spans="1:35" x14ac:dyDescent="0.25">
      <c r="A2662" s="36">
        <v>99912660</v>
      </c>
      <c r="B2662" s="17" t="s">
        <v>32</v>
      </c>
      <c r="C2662" t="s">
        <v>64</v>
      </c>
      <c r="D2662" t="s">
        <v>65</v>
      </c>
      <c r="G2662" s="17" t="s">
        <v>48</v>
      </c>
      <c r="H2662" s="17">
        <v>1</v>
      </c>
      <c r="K2662" t="s">
        <v>154</v>
      </c>
      <c r="L2662" t="s">
        <v>155</v>
      </c>
      <c r="M2662" t="s">
        <v>131</v>
      </c>
      <c r="N2662">
        <v>22</v>
      </c>
      <c r="O2662" t="s">
        <v>40</v>
      </c>
      <c r="P2662" t="s">
        <v>40</v>
      </c>
      <c r="Q2662" t="s">
        <v>40</v>
      </c>
      <c r="S2662" t="s">
        <v>40</v>
      </c>
      <c r="V2662" t="s">
        <v>41</v>
      </c>
      <c r="W2662" t="s">
        <v>75</v>
      </c>
      <c r="X2662" t="str">
        <f>"7051022"</f>
        <v>7051022</v>
      </c>
      <c r="Y2662" t="s">
        <v>153</v>
      </c>
      <c r="Z2662" t="s">
        <v>154</v>
      </c>
      <c r="AA2662" t="s">
        <v>155</v>
      </c>
      <c r="AB2662" t="s">
        <v>131</v>
      </c>
      <c r="AC2662" t="s">
        <v>51</v>
      </c>
      <c r="AD2662" t="s">
        <v>45</v>
      </c>
      <c r="AE2662" s="1">
        <v>27365</v>
      </c>
      <c r="AF2662">
        <v>1</v>
      </c>
      <c r="AG2662" t="s">
        <v>155</v>
      </c>
      <c r="AH2662" s="36">
        <f t="shared" si="41"/>
        <v>44.7</v>
      </c>
      <c r="AI2662" s="41" t="s">
        <v>1779</v>
      </c>
    </row>
    <row r="2663" spans="1:35" x14ac:dyDescent="0.25">
      <c r="A2663" s="36">
        <v>99912661</v>
      </c>
      <c r="B2663" s="17" t="s">
        <v>32</v>
      </c>
      <c r="C2663" t="s">
        <v>136</v>
      </c>
      <c r="D2663" t="s">
        <v>137</v>
      </c>
      <c r="E2663" t="s">
        <v>46</v>
      </c>
      <c r="F2663" t="s">
        <v>47</v>
      </c>
      <c r="G2663" s="17" t="s">
        <v>48</v>
      </c>
      <c r="H2663" s="17">
        <v>1</v>
      </c>
      <c r="K2663" t="s">
        <v>223</v>
      </c>
      <c r="L2663" t="s">
        <v>224</v>
      </c>
      <c r="M2663" t="s">
        <v>131</v>
      </c>
      <c r="N2663">
        <v>21</v>
      </c>
      <c r="O2663" t="s">
        <v>40</v>
      </c>
      <c r="P2663" t="s">
        <v>40</v>
      </c>
      <c r="Q2663" t="s">
        <v>40</v>
      </c>
      <c r="R2663" t="s">
        <v>40</v>
      </c>
      <c r="S2663" t="s">
        <v>40</v>
      </c>
      <c r="V2663" t="s">
        <v>41</v>
      </c>
      <c r="W2663" t="s">
        <v>49</v>
      </c>
      <c r="X2663" t="str">
        <f>"0581204"</f>
        <v>0581204</v>
      </c>
      <c r="Y2663" t="s">
        <v>249</v>
      </c>
      <c r="Z2663" t="s">
        <v>223</v>
      </c>
      <c r="AA2663" t="s">
        <v>224</v>
      </c>
      <c r="AB2663" t="s">
        <v>131</v>
      </c>
      <c r="AC2663" t="s">
        <v>51</v>
      </c>
      <c r="AD2663" t="s">
        <v>45</v>
      </c>
      <c r="AE2663" s="1">
        <v>27363</v>
      </c>
      <c r="AF2663">
        <v>2</v>
      </c>
      <c r="AG2663" t="s">
        <v>224</v>
      </c>
      <c r="AH2663" s="36">
        <f t="shared" si="41"/>
        <v>44.705555555555556</v>
      </c>
      <c r="AI2663" s="41" t="s">
        <v>1779</v>
      </c>
    </row>
    <row r="2664" spans="1:35" x14ac:dyDescent="0.25">
      <c r="A2664" s="36">
        <v>99912662</v>
      </c>
      <c r="B2664" s="17" t="s">
        <v>32</v>
      </c>
      <c r="C2664" t="s">
        <v>111</v>
      </c>
      <c r="D2664" t="s">
        <v>112</v>
      </c>
      <c r="G2664" s="17" t="s">
        <v>48</v>
      </c>
      <c r="H2664" s="17">
        <v>10</v>
      </c>
      <c r="I2664" t="s">
        <v>495</v>
      </c>
      <c r="J2664" s="1">
        <v>39692</v>
      </c>
      <c r="K2664" t="s">
        <v>431</v>
      </c>
      <c r="L2664" t="s">
        <v>196</v>
      </c>
      <c r="M2664" t="s">
        <v>131</v>
      </c>
      <c r="N2664">
        <v>21</v>
      </c>
      <c r="O2664" t="s">
        <v>40</v>
      </c>
      <c r="P2664" t="s">
        <v>40</v>
      </c>
      <c r="Q2664" t="s">
        <v>40</v>
      </c>
      <c r="R2664" t="s">
        <v>40</v>
      </c>
      <c r="S2664" t="s">
        <v>40</v>
      </c>
      <c r="U2664" s="1">
        <v>39692</v>
      </c>
      <c r="V2664" t="s">
        <v>41</v>
      </c>
      <c r="W2664" t="s">
        <v>75</v>
      </c>
      <c r="X2664" t="str">
        <f>"7521012"</f>
        <v>7521012</v>
      </c>
      <c r="Y2664" t="s">
        <v>432</v>
      </c>
      <c r="Z2664" t="s">
        <v>431</v>
      </c>
      <c r="AA2664" t="s">
        <v>196</v>
      </c>
      <c r="AB2664" t="s">
        <v>131</v>
      </c>
      <c r="AC2664" t="s">
        <v>165</v>
      </c>
      <c r="AD2664" t="s">
        <v>45</v>
      </c>
      <c r="AE2664" s="1">
        <v>27358</v>
      </c>
      <c r="AF2664">
        <v>1</v>
      </c>
      <c r="AG2664" t="s">
        <v>196</v>
      </c>
      <c r="AH2664" s="36">
        <f t="shared" si="41"/>
        <v>44.719444444444441</v>
      </c>
      <c r="AI2664" s="41" t="s">
        <v>1779</v>
      </c>
    </row>
    <row r="2665" spans="1:35" x14ac:dyDescent="0.25">
      <c r="A2665" s="36">
        <v>99912663</v>
      </c>
      <c r="B2665" s="17" t="s">
        <v>56</v>
      </c>
      <c r="C2665" t="s">
        <v>143</v>
      </c>
      <c r="D2665" t="s">
        <v>144</v>
      </c>
      <c r="G2665" s="17" t="s">
        <v>35</v>
      </c>
      <c r="H2665" s="17">
        <v>1</v>
      </c>
      <c r="K2665" t="s">
        <v>223</v>
      </c>
      <c r="L2665" t="s">
        <v>224</v>
      </c>
      <c r="M2665" t="s">
        <v>131</v>
      </c>
      <c r="N2665">
        <v>21</v>
      </c>
      <c r="O2665" t="s">
        <v>40</v>
      </c>
      <c r="P2665" t="s">
        <v>40</v>
      </c>
      <c r="Q2665" t="s">
        <v>40</v>
      </c>
      <c r="R2665" t="s">
        <v>40</v>
      </c>
      <c r="S2665" t="s">
        <v>40</v>
      </c>
      <c r="V2665" t="s">
        <v>41</v>
      </c>
      <c r="W2665" t="s">
        <v>49</v>
      </c>
      <c r="X2665" t="str">
        <f>"0591901"</f>
        <v>0591901</v>
      </c>
      <c r="Y2665" t="s">
        <v>230</v>
      </c>
      <c r="Z2665" t="s">
        <v>223</v>
      </c>
      <c r="AA2665" t="s">
        <v>224</v>
      </c>
      <c r="AB2665" t="s">
        <v>131</v>
      </c>
      <c r="AC2665" t="s">
        <v>51</v>
      </c>
      <c r="AD2665" t="s">
        <v>45</v>
      </c>
      <c r="AE2665" s="1">
        <v>27357</v>
      </c>
      <c r="AF2665">
        <v>2</v>
      </c>
      <c r="AG2665" t="s">
        <v>224</v>
      </c>
      <c r="AH2665" s="36">
        <f t="shared" si="41"/>
        <v>44.722222222222221</v>
      </c>
      <c r="AI2665" s="41" t="s">
        <v>1779</v>
      </c>
    </row>
    <row r="2666" spans="1:35" x14ac:dyDescent="0.25">
      <c r="A2666" s="36">
        <v>99912664</v>
      </c>
      <c r="B2666" s="17" t="s">
        <v>32</v>
      </c>
      <c r="C2666" t="s">
        <v>111</v>
      </c>
      <c r="D2666" t="s">
        <v>112</v>
      </c>
      <c r="G2666" s="17" t="s">
        <v>48</v>
      </c>
      <c r="H2666" s="17">
        <v>1</v>
      </c>
      <c r="K2666" t="s">
        <v>1708</v>
      </c>
      <c r="L2666" t="s">
        <v>1709</v>
      </c>
      <c r="M2666" t="s">
        <v>1705</v>
      </c>
      <c r="N2666">
        <v>24</v>
      </c>
      <c r="O2666" t="s">
        <v>40</v>
      </c>
      <c r="P2666" t="s">
        <v>40</v>
      </c>
      <c r="Q2666" t="s">
        <v>40</v>
      </c>
      <c r="S2666" t="s">
        <v>40</v>
      </c>
      <c r="V2666" t="s">
        <v>41</v>
      </c>
      <c r="W2666" t="s">
        <v>75</v>
      </c>
      <c r="X2666" t="str">
        <f>"7121000"</f>
        <v>7121000</v>
      </c>
      <c r="Y2666" t="s">
        <v>1713</v>
      </c>
      <c r="Z2666" t="s">
        <v>1708</v>
      </c>
      <c r="AA2666" t="s">
        <v>1709</v>
      </c>
      <c r="AB2666" t="s">
        <v>1705</v>
      </c>
      <c r="AC2666" t="s">
        <v>51</v>
      </c>
      <c r="AD2666" t="s">
        <v>45</v>
      </c>
      <c r="AE2666" s="1">
        <v>27357</v>
      </c>
      <c r="AF2666">
        <v>1</v>
      </c>
      <c r="AG2666" t="s">
        <v>1709</v>
      </c>
      <c r="AH2666" s="36">
        <f t="shared" si="41"/>
        <v>44.722222222222221</v>
      </c>
      <c r="AI2666" s="41" t="s">
        <v>1779</v>
      </c>
    </row>
    <row r="2667" spans="1:35" x14ac:dyDescent="0.25">
      <c r="A2667" s="36">
        <v>99912665</v>
      </c>
      <c r="B2667" s="17" t="s">
        <v>32</v>
      </c>
      <c r="C2667" t="s">
        <v>90</v>
      </c>
      <c r="D2667" t="s">
        <v>91</v>
      </c>
      <c r="G2667" s="17" t="s">
        <v>48</v>
      </c>
      <c r="H2667" s="17">
        <v>4</v>
      </c>
      <c r="K2667" t="s">
        <v>1426</v>
      </c>
      <c r="L2667" t="s">
        <v>1427</v>
      </c>
      <c r="M2667" t="s">
        <v>1270</v>
      </c>
      <c r="N2667">
        <v>22</v>
      </c>
      <c r="O2667" t="s">
        <v>40</v>
      </c>
      <c r="P2667" t="s">
        <v>40</v>
      </c>
      <c r="Q2667" t="s">
        <v>40</v>
      </c>
      <c r="R2667" t="s">
        <v>40</v>
      </c>
      <c r="S2667" t="s">
        <v>40</v>
      </c>
      <c r="V2667" t="s">
        <v>41</v>
      </c>
      <c r="W2667" t="s">
        <v>95</v>
      </c>
      <c r="X2667" t="str">
        <f>"7192021"</f>
        <v>7192021</v>
      </c>
      <c r="Y2667" t="s">
        <v>1437</v>
      </c>
      <c r="Z2667" t="s">
        <v>1426</v>
      </c>
      <c r="AA2667" t="s">
        <v>1427</v>
      </c>
      <c r="AB2667" t="s">
        <v>1270</v>
      </c>
      <c r="AC2667" t="s">
        <v>51</v>
      </c>
      <c r="AD2667" t="s">
        <v>45</v>
      </c>
      <c r="AE2667" s="1">
        <v>27353</v>
      </c>
      <c r="AF2667">
        <v>1</v>
      </c>
      <c r="AG2667" t="s">
        <v>1427</v>
      </c>
      <c r="AH2667" s="36">
        <f t="shared" si="41"/>
        <v>44.733333333333334</v>
      </c>
      <c r="AI2667" s="41" t="s">
        <v>1779</v>
      </c>
    </row>
    <row r="2668" spans="1:35" x14ac:dyDescent="0.25">
      <c r="A2668" s="36">
        <v>99912666</v>
      </c>
      <c r="B2668" s="17" t="s">
        <v>32</v>
      </c>
      <c r="C2668" t="s">
        <v>64</v>
      </c>
      <c r="D2668" t="s">
        <v>65</v>
      </c>
      <c r="G2668" s="17" t="s">
        <v>48</v>
      </c>
      <c r="H2668" s="17">
        <v>1</v>
      </c>
      <c r="K2668" t="s">
        <v>268</v>
      </c>
      <c r="L2668" t="s">
        <v>269</v>
      </c>
      <c r="M2668" t="s">
        <v>131</v>
      </c>
      <c r="N2668">
        <v>18</v>
      </c>
      <c r="O2668" t="s">
        <v>40</v>
      </c>
      <c r="P2668" t="s">
        <v>40</v>
      </c>
      <c r="Q2668" t="s">
        <v>40</v>
      </c>
      <c r="S2668" t="s">
        <v>40</v>
      </c>
      <c r="V2668" t="s">
        <v>41</v>
      </c>
      <c r="W2668" t="s">
        <v>75</v>
      </c>
      <c r="X2668" t="str">
        <f>"7052008"</f>
        <v>7052008</v>
      </c>
      <c r="Y2668" t="s">
        <v>274</v>
      </c>
      <c r="Z2668" t="s">
        <v>268</v>
      </c>
      <c r="AA2668" t="s">
        <v>269</v>
      </c>
      <c r="AB2668" t="s">
        <v>131</v>
      </c>
      <c r="AC2668" t="s">
        <v>51</v>
      </c>
      <c r="AD2668" t="s">
        <v>45</v>
      </c>
      <c r="AE2668" s="1">
        <v>27351</v>
      </c>
      <c r="AF2668">
        <v>1</v>
      </c>
      <c r="AG2668" t="s">
        <v>269</v>
      </c>
      <c r="AH2668" s="36">
        <f t="shared" si="41"/>
        <v>44.738888888888887</v>
      </c>
      <c r="AI2668" s="41" t="s">
        <v>1779</v>
      </c>
    </row>
    <row r="2669" spans="1:35" x14ac:dyDescent="0.25">
      <c r="A2669" s="36">
        <v>99912667</v>
      </c>
      <c r="B2669" s="17" t="s">
        <v>32</v>
      </c>
      <c r="C2669" t="s">
        <v>71</v>
      </c>
      <c r="D2669" t="s">
        <v>72</v>
      </c>
      <c r="G2669" s="17" t="s">
        <v>35</v>
      </c>
      <c r="H2669" s="17">
        <v>1</v>
      </c>
      <c r="I2669" t="s">
        <v>1138</v>
      </c>
      <c r="J2669" s="1">
        <v>43344</v>
      </c>
      <c r="K2669" t="s">
        <v>1128</v>
      </c>
      <c r="L2669" t="s">
        <v>1129</v>
      </c>
      <c r="M2669" t="s">
        <v>1130</v>
      </c>
      <c r="N2669">
        <v>9</v>
      </c>
      <c r="O2669" t="s">
        <v>40</v>
      </c>
      <c r="P2669" t="s">
        <v>40</v>
      </c>
      <c r="Q2669" t="s">
        <v>40</v>
      </c>
      <c r="R2669" t="s">
        <v>40</v>
      </c>
      <c r="S2669" t="s">
        <v>40</v>
      </c>
      <c r="U2669" s="1">
        <v>43344</v>
      </c>
      <c r="V2669" t="s">
        <v>41</v>
      </c>
      <c r="W2669" t="s">
        <v>49</v>
      </c>
      <c r="X2669" t="str">
        <f>"3181015"</f>
        <v>3181015</v>
      </c>
      <c r="Y2669" t="s">
        <v>1131</v>
      </c>
      <c r="Z2669" t="s">
        <v>1128</v>
      </c>
      <c r="AA2669" t="s">
        <v>1129</v>
      </c>
      <c r="AB2669" t="s">
        <v>1130</v>
      </c>
      <c r="AC2669" t="s">
        <v>44</v>
      </c>
      <c r="AD2669" t="s">
        <v>45</v>
      </c>
      <c r="AE2669" s="1">
        <v>27349</v>
      </c>
      <c r="AF2669">
        <v>2</v>
      </c>
      <c r="AG2669" t="s">
        <v>1129</v>
      </c>
      <c r="AH2669" s="36">
        <f t="shared" si="41"/>
        <v>44.744444444444447</v>
      </c>
      <c r="AI2669" s="41" t="s">
        <v>1779</v>
      </c>
    </row>
    <row r="2670" spans="1:35" x14ac:dyDescent="0.25">
      <c r="A2670" s="36">
        <v>99912668</v>
      </c>
      <c r="B2670" s="17" t="s">
        <v>32</v>
      </c>
      <c r="C2670" t="s">
        <v>151</v>
      </c>
      <c r="D2670" t="s">
        <v>152</v>
      </c>
      <c r="G2670" s="17" t="s">
        <v>48</v>
      </c>
      <c r="H2670" s="17">
        <v>1</v>
      </c>
      <c r="K2670" t="s">
        <v>345</v>
      </c>
      <c r="L2670" t="s">
        <v>346</v>
      </c>
      <c r="M2670" t="s">
        <v>131</v>
      </c>
      <c r="N2670">
        <v>23</v>
      </c>
      <c r="O2670" t="s">
        <v>40</v>
      </c>
      <c r="P2670" t="s">
        <v>40</v>
      </c>
      <c r="Q2670" t="s">
        <v>40</v>
      </c>
      <c r="R2670" t="s">
        <v>40</v>
      </c>
      <c r="S2670" t="s">
        <v>40</v>
      </c>
      <c r="V2670" t="s">
        <v>41</v>
      </c>
      <c r="W2670" t="s">
        <v>49</v>
      </c>
      <c r="X2670" t="str">
        <f>"0591906"</f>
        <v>0591906</v>
      </c>
      <c r="Y2670" t="s">
        <v>350</v>
      </c>
      <c r="Z2670" t="s">
        <v>345</v>
      </c>
      <c r="AA2670" t="s">
        <v>346</v>
      </c>
      <c r="AB2670" t="s">
        <v>131</v>
      </c>
      <c r="AC2670" t="s">
        <v>51</v>
      </c>
      <c r="AD2670" t="s">
        <v>45</v>
      </c>
      <c r="AE2670" s="1">
        <v>27347</v>
      </c>
      <c r="AF2670">
        <v>2</v>
      </c>
      <c r="AG2670" t="s">
        <v>346</v>
      </c>
      <c r="AH2670" s="36">
        <f t="shared" si="41"/>
        <v>44.75</v>
      </c>
      <c r="AI2670" s="41" t="s">
        <v>1779</v>
      </c>
    </row>
    <row r="2671" spans="1:35" x14ac:dyDescent="0.25">
      <c r="A2671" s="36">
        <v>99912669</v>
      </c>
      <c r="B2671" s="17" t="s">
        <v>32</v>
      </c>
      <c r="C2671" t="s">
        <v>90</v>
      </c>
      <c r="D2671" t="s">
        <v>91</v>
      </c>
      <c r="G2671" s="17" t="s">
        <v>48</v>
      </c>
      <c r="H2671" s="17">
        <v>1</v>
      </c>
      <c r="K2671" t="s">
        <v>877</v>
      </c>
      <c r="L2671" t="s">
        <v>878</v>
      </c>
      <c r="M2671" t="s">
        <v>131</v>
      </c>
      <c r="N2671">
        <v>24</v>
      </c>
      <c r="O2671" t="s">
        <v>40</v>
      </c>
      <c r="P2671" t="s">
        <v>40</v>
      </c>
      <c r="Q2671" t="s">
        <v>40</v>
      </c>
      <c r="S2671" t="s">
        <v>40</v>
      </c>
      <c r="V2671" t="s">
        <v>41</v>
      </c>
      <c r="W2671" t="s">
        <v>75</v>
      </c>
      <c r="X2671" t="str">
        <f>"7541008"</f>
        <v>7541008</v>
      </c>
      <c r="Y2671" t="s">
        <v>879</v>
      </c>
      <c r="Z2671" t="s">
        <v>877</v>
      </c>
      <c r="AA2671" t="s">
        <v>878</v>
      </c>
      <c r="AB2671" t="s">
        <v>131</v>
      </c>
      <c r="AC2671" t="s">
        <v>51</v>
      </c>
      <c r="AD2671" t="s">
        <v>45</v>
      </c>
      <c r="AE2671" s="1">
        <v>27347</v>
      </c>
      <c r="AF2671">
        <v>1</v>
      </c>
      <c r="AG2671" t="s">
        <v>878</v>
      </c>
      <c r="AH2671" s="36">
        <f t="shared" si="41"/>
        <v>44.75</v>
      </c>
      <c r="AI2671" s="41" t="s">
        <v>1779</v>
      </c>
    </row>
    <row r="2672" spans="1:35" x14ac:dyDescent="0.25">
      <c r="A2672" s="36">
        <v>99912670</v>
      </c>
      <c r="B2672" s="17" t="s">
        <v>32</v>
      </c>
      <c r="C2672" t="s">
        <v>61</v>
      </c>
      <c r="D2672" t="s">
        <v>62</v>
      </c>
      <c r="G2672" s="17" t="s">
        <v>35</v>
      </c>
      <c r="H2672" s="17">
        <v>1</v>
      </c>
      <c r="I2672" t="s">
        <v>559</v>
      </c>
      <c r="J2672" s="1">
        <v>42614</v>
      </c>
      <c r="K2672" t="s">
        <v>431</v>
      </c>
      <c r="L2672" t="s">
        <v>196</v>
      </c>
      <c r="M2672" t="s">
        <v>131</v>
      </c>
      <c r="N2672">
        <v>24</v>
      </c>
      <c r="O2672" t="s">
        <v>40</v>
      </c>
      <c r="P2672" t="s">
        <v>40</v>
      </c>
      <c r="Q2672" t="s">
        <v>40</v>
      </c>
      <c r="R2672" t="s">
        <v>40</v>
      </c>
      <c r="S2672" t="s">
        <v>40</v>
      </c>
      <c r="U2672" s="1">
        <v>42614</v>
      </c>
      <c r="V2672" t="s">
        <v>41</v>
      </c>
      <c r="W2672" t="s">
        <v>75</v>
      </c>
      <c r="X2672" t="str">
        <f>"7521022"</f>
        <v>7521022</v>
      </c>
      <c r="Y2672" t="s">
        <v>445</v>
      </c>
      <c r="Z2672" t="s">
        <v>431</v>
      </c>
      <c r="AA2672" t="s">
        <v>196</v>
      </c>
      <c r="AB2672" t="s">
        <v>131</v>
      </c>
      <c r="AC2672" t="s">
        <v>44</v>
      </c>
      <c r="AD2672" t="s">
        <v>45</v>
      </c>
      <c r="AE2672" s="1">
        <v>27345</v>
      </c>
      <c r="AF2672">
        <v>1</v>
      </c>
      <c r="AG2672" t="s">
        <v>196</v>
      </c>
      <c r="AH2672" s="36">
        <f t="shared" si="41"/>
        <v>44.755555555555553</v>
      </c>
      <c r="AI2672" s="41" t="s">
        <v>1779</v>
      </c>
    </row>
    <row r="2673" spans="1:35" x14ac:dyDescent="0.25">
      <c r="A2673" s="36">
        <v>99912671</v>
      </c>
      <c r="B2673" s="17" t="s">
        <v>56</v>
      </c>
      <c r="C2673" t="s">
        <v>68</v>
      </c>
      <c r="D2673" t="s">
        <v>69</v>
      </c>
      <c r="G2673" s="17" t="s">
        <v>48</v>
      </c>
      <c r="H2673" s="17">
        <v>1</v>
      </c>
      <c r="K2673" t="s">
        <v>223</v>
      </c>
      <c r="L2673" t="s">
        <v>224</v>
      </c>
      <c r="M2673" t="s">
        <v>131</v>
      </c>
      <c r="N2673">
        <v>22</v>
      </c>
      <c r="O2673" t="s">
        <v>40</v>
      </c>
      <c r="P2673" t="s">
        <v>40</v>
      </c>
      <c r="Q2673" t="s">
        <v>40</v>
      </c>
      <c r="R2673" t="s">
        <v>40</v>
      </c>
      <c r="S2673" t="s">
        <v>40</v>
      </c>
      <c r="V2673" t="s">
        <v>41</v>
      </c>
      <c r="W2673" t="s">
        <v>42</v>
      </c>
      <c r="X2673" t="str">
        <f>"0580207"</f>
        <v>0580207</v>
      </c>
      <c r="Y2673" t="s">
        <v>229</v>
      </c>
      <c r="Z2673" t="s">
        <v>223</v>
      </c>
      <c r="AA2673" t="s">
        <v>224</v>
      </c>
      <c r="AB2673" t="s">
        <v>131</v>
      </c>
      <c r="AC2673" t="s">
        <v>51</v>
      </c>
      <c r="AD2673" t="s">
        <v>45</v>
      </c>
      <c r="AE2673" s="1">
        <v>27342</v>
      </c>
      <c r="AF2673">
        <v>2</v>
      </c>
      <c r="AG2673" t="s">
        <v>224</v>
      </c>
      <c r="AH2673" s="36">
        <f t="shared" si="41"/>
        <v>44.763888888888886</v>
      </c>
      <c r="AI2673" s="41" t="s">
        <v>1779</v>
      </c>
    </row>
    <row r="2674" spans="1:35" x14ac:dyDescent="0.25">
      <c r="A2674" s="36">
        <v>99912672</v>
      </c>
      <c r="B2674" s="17" t="s">
        <v>32</v>
      </c>
      <c r="C2674" t="s">
        <v>46</v>
      </c>
      <c r="D2674" t="s">
        <v>47</v>
      </c>
      <c r="G2674" s="17" t="s">
        <v>48</v>
      </c>
      <c r="H2674" s="17">
        <v>1</v>
      </c>
      <c r="K2674" t="s">
        <v>345</v>
      </c>
      <c r="L2674" t="s">
        <v>346</v>
      </c>
      <c r="M2674" t="s">
        <v>131</v>
      </c>
      <c r="N2674">
        <v>25</v>
      </c>
      <c r="O2674" t="s">
        <v>40</v>
      </c>
      <c r="P2674" t="s">
        <v>40</v>
      </c>
      <c r="Q2674" t="s">
        <v>40</v>
      </c>
      <c r="R2674" t="s">
        <v>40</v>
      </c>
      <c r="S2674" t="s">
        <v>40</v>
      </c>
      <c r="V2674" t="s">
        <v>41</v>
      </c>
      <c r="W2674" t="s">
        <v>42</v>
      </c>
      <c r="X2674" t="str">
        <f>"0580931"</f>
        <v>0580931</v>
      </c>
      <c r="Y2674" t="s">
        <v>369</v>
      </c>
      <c r="Z2674" t="s">
        <v>345</v>
      </c>
      <c r="AA2674" t="s">
        <v>346</v>
      </c>
      <c r="AB2674" t="s">
        <v>131</v>
      </c>
      <c r="AC2674" t="s">
        <v>51</v>
      </c>
      <c r="AD2674" t="s">
        <v>45</v>
      </c>
      <c r="AE2674" s="1">
        <v>27342</v>
      </c>
      <c r="AF2674">
        <v>2</v>
      </c>
      <c r="AG2674" t="s">
        <v>346</v>
      </c>
      <c r="AH2674" s="36">
        <f t="shared" si="41"/>
        <v>44.763888888888886</v>
      </c>
      <c r="AI2674" s="41" t="s">
        <v>1779</v>
      </c>
    </row>
    <row r="2675" spans="1:35" x14ac:dyDescent="0.25">
      <c r="A2675" s="36">
        <v>99912673</v>
      </c>
      <c r="B2675" s="17" t="s">
        <v>32</v>
      </c>
      <c r="C2675" t="s">
        <v>46</v>
      </c>
      <c r="D2675" t="s">
        <v>47</v>
      </c>
      <c r="G2675" s="17" t="s">
        <v>35</v>
      </c>
      <c r="H2675" s="17">
        <v>1</v>
      </c>
      <c r="K2675" t="s">
        <v>1128</v>
      </c>
      <c r="L2675" t="s">
        <v>1129</v>
      </c>
      <c r="M2675" t="s">
        <v>1130</v>
      </c>
      <c r="N2675">
        <v>20</v>
      </c>
      <c r="O2675" t="s">
        <v>40</v>
      </c>
      <c r="P2675" t="s">
        <v>40</v>
      </c>
      <c r="Q2675" t="s">
        <v>40</v>
      </c>
      <c r="R2675" t="s">
        <v>40</v>
      </c>
      <c r="S2675" t="s">
        <v>40</v>
      </c>
      <c r="V2675" t="s">
        <v>41</v>
      </c>
      <c r="W2675" t="s">
        <v>42</v>
      </c>
      <c r="X2675" t="str">
        <f>"3180010"</f>
        <v>3180010</v>
      </c>
      <c r="Y2675" t="s">
        <v>1132</v>
      </c>
      <c r="Z2675" t="s">
        <v>1128</v>
      </c>
      <c r="AA2675" t="s">
        <v>1129</v>
      </c>
      <c r="AB2675" t="s">
        <v>1130</v>
      </c>
      <c r="AC2675" t="s">
        <v>51</v>
      </c>
      <c r="AD2675" t="s">
        <v>45</v>
      </c>
      <c r="AE2675" s="1">
        <v>27341</v>
      </c>
      <c r="AF2675">
        <v>2</v>
      </c>
      <c r="AG2675" t="s">
        <v>1129</v>
      </c>
      <c r="AH2675" s="36">
        <f t="shared" si="41"/>
        <v>44.766666666666666</v>
      </c>
      <c r="AI2675" s="41" t="s">
        <v>1779</v>
      </c>
    </row>
    <row r="2676" spans="1:35" x14ac:dyDescent="0.25">
      <c r="A2676" s="36">
        <v>99912674</v>
      </c>
      <c r="B2676" s="17" t="s">
        <v>32</v>
      </c>
      <c r="C2676" t="s">
        <v>46</v>
      </c>
      <c r="D2676" t="s">
        <v>47</v>
      </c>
      <c r="G2676" s="17" t="s">
        <v>35</v>
      </c>
      <c r="H2676" s="17">
        <v>1</v>
      </c>
      <c r="K2676" t="s">
        <v>947</v>
      </c>
      <c r="L2676" t="s">
        <v>948</v>
      </c>
      <c r="M2676" t="s">
        <v>938</v>
      </c>
      <c r="N2676">
        <v>20</v>
      </c>
      <c r="O2676" t="s">
        <v>40</v>
      </c>
      <c r="P2676" t="s">
        <v>40</v>
      </c>
      <c r="Q2676" t="s">
        <v>40</v>
      </c>
      <c r="R2676" t="s">
        <v>40</v>
      </c>
      <c r="S2676" t="s">
        <v>40</v>
      </c>
      <c r="V2676" t="s">
        <v>41</v>
      </c>
      <c r="W2676" t="s">
        <v>49</v>
      </c>
      <c r="X2676" t="str">
        <f>"0605000"</f>
        <v>0605000</v>
      </c>
      <c r="Y2676" t="s">
        <v>950</v>
      </c>
      <c r="Z2676" t="s">
        <v>947</v>
      </c>
      <c r="AA2676" t="s">
        <v>948</v>
      </c>
      <c r="AB2676" t="s">
        <v>938</v>
      </c>
      <c r="AC2676" t="s">
        <v>165</v>
      </c>
      <c r="AD2676" t="s">
        <v>45</v>
      </c>
      <c r="AE2676" s="1">
        <v>27340</v>
      </c>
      <c r="AF2676">
        <v>2</v>
      </c>
      <c r="AG2676" t="s">
        <v>948</v>
      </c>
      <c r="AH2676" s="36">
        <f t="shared" si="41"/>
        <v>44.769444444444446</v>
      </c>
      <c r="AI2676" s="41" t="s">
        <v>1779</v>
      </c>
    </row>
    <row r="2677" spans="1:35" x14ac:dyDescent="0.25">
      <c r="A2677" s="36">
        <v>99912675</v>
      </c>
      <c r="B2677" s="17" t="s">
        <v>32</v>
      </c>
      <c r="C2677" t="s">
        <v>90</v>
      </c>
      <c r="D2677" t="s">
        <v>91</v>
      </c>
      <c r="G2677" s="17" t="s">
        <v>48</v>
      </c>
      <c r="H2677" s="17">
        <v>1</v>
      </c>
      <c r="K2677" t="s">
        <v>1725</v>
      </c>
      <c r="L2677" t="s">
        <v>1726</v>
      </c>
      <c r="M2677" t="s">
        <v>1705</v>
      </c>
      <c r="N2677">
        <v>25</v>
      </c>
      <c r="O2677" t="s">
        <v>40</v>
      </c>
      <c r="P2677" t="s">
        <v>40</v>
      </c>
      <c r="Q2677" t="s">
        <v>40</v>
      </c>
      <c r="S2677" t="s">
        <v>40</v>
      </c>
      <c r="V2677" t="s">
        <v>41</v>
      </c>
      <c r="W2677" t="s">
        <v>95</v>
      </c>
      <c r="X2677" t="str">
        <f>"7461007"</f>
        <v>7461007</v>
      </c>
      <c r="Y2677" t="s">
        <v>1739</v>
      </c>
      <c r="Z2677" t="s">
        <v>1725</v>
      </c>
      <c r="AA2677" t="s">
        <v>1726</v>
      </c>
      <c r="AB2677" t="s">
        <v>1705</v>
      </c>
      <c r="AC2677" t="s">
        <v>51</v>
      </c>
      <c r="AD2677" t="s">
        <v>45</v>
      </c>
      <c r="AE2677" s="1">
        <v>27338</v>
      </c>
      <c r="AF2677">
        <v>1</v>
      </c>
      <c r="AG2677" t="s">
        <v>1726</v>
      </c>
      <c r="AH2677" s="36">
        <f t="shared" si="41"/>
        <v>44.774999999999999</v>
      </c>
      <c r="AI2677" s="41" t="s">
        <v>1779</v>
      </c>
    </row>
    <row r="2678" spans="1:35" x14ac:dyDescent="0.25">
      <c r="A2678" s="36">
        <v>99912676</v>
      </c>
      <c r="B2678" s="17" t="s">
        <v>32</v>
      </c>
      <c r="C2678" t="s">
        <v>64</v>
      </c>
      <c r="D2678" t="s">
        <v>65</v>
      </c>
      <c r="G2678" s="17" t="s">
        <v>48</v>
      </c>
      <c r="H2678" s="17">
        <v>1</v>
      </c>
      <c r="K2678" t="s">
        <v>268</v>
      </c>
      <c r="L2678" t="s">
        <v>269</v>
      </c>
      <c r="M2678" t="s">
        <v>131</v>
      </c>
      <c r="N2678">
        <v>23</v>
      </c>
      <c r="O2678" t="s">
        <v>40</v>
      </c>
      <c r="P2678" t="s">
        <v>40</v>
      </c>
      <c r="Q2678" t="s">
        <v>40</v>
      </c>
      <c r="S2678" t="s">
        <v>40</v>
      </c>
      <c r="V2678" t="s">
        <v>41</v>
      </c>
      <c r="W2678" t="s">
        <v>75</v>
      </c>
      <c r="X2678" t="str">
        <f>"7052040"</f>
        <v>7052040</v>
      </c>
      <c r="Y2678" t="s">
        <v>591</v>
      </c>
      <c r="Z2678" t="s">
        <v>268</v>
      </c>
      <c r="AA2678" t="s">
        <v>269</v>
      </c>
      <c r="AB2678" t="s">
        <v>131</v>
      </c>
      <c r="AC2678" t="s">
        <v>51</v>
      </c>
      <c r="AD2678" t="s">
        <v>45</v>
      </c>
      <c r="AE2678" s="1">
        <v>27337</v>
      </c>
      <c r="AF2678">
        <v>1</v>
      </c>
      <c r="AG2678" t="s">
        <v>269</v>
      </c>
      <c r="AH2678" s="36">
        <f t="shared" si="41"/>
        <v>44.777777777777779</v>
      </c>
      <c r="AI2678" s="41" t="s">
        <v>1779</v>
      </c>
    </row>
    <row r="2679" spans="1:35" x14ac:dyDescent="0.25">
      <c r="A2679" s="36">
        <v>99912677</v>
      </c>
      <c r="B2679" s="17" t="s">
        <v>32</v>
      </c>
      <c r="C2679" t="s">
        <v>46</v>
      </c>
      <c r="D2679" t="s">
        <v>47</v>
      </c>
      <c r="G2679" s="17" t="s">
        <v>48</v>
      </c>
      <c r="H2679" s="17">
        <v>5</v>
      </c>
      <c r="K2679" t="s">
        <v>129</v>
      </c>
      <c r="L2679" t="s">
        <v>130</v>
      </c>
      <c r="M2679" t="s">
        <v>131</v>
      </c>
      <c r="N2679">
        <v>20</v>
      </c>
      <c r="O2679" t="s">
        <v>40</v>
      </c>
      <c r="P2679" t="s">
        <v>40</v>
      </c>
      <c r="Q2679" t="s">
        <v>40</v>
      </c>
      <c r="R2679" t="s">
        <v>40</v>
      </c>
      <c r="S2679" t="s">
        <v>40</v>
      </c>
      <c r="U2679" s="1">
        <v>38384</v>
      </c>
      <c r="V2679" t="s">
        <v>41</v>
      </c>
      <c r="W2679" t="s">
        <v>49</v>
      </c>
      <c r="X2679" t="str">
        <f>"0580150"</f>
        <v>0580150</v>
      </c>
      <c r="Y2679" t="s">
        <v>134</v>
      </c>
      <c r="Z2679" t="s">
        <v>129</v>
      </c>
      <c r="AA2679" t="s">
        <v>130</v>
      </c>
      <c r="AB2679" t="s">
        <v>131</v>
      </c>
      <c r="AC2679" t="s">
        <v>51</v>
      </c>
      <c r="AD2679" t="s">
        <v>45</v>
      </c>
      <c r="AE2679" s="1">
        <v>27333</v>
      </c>
      <c r="AF2679">
        <v>2</v>
      </c>
      <c r="AG2679" t="s">
        <v>130</v>
      </c>
      <c r="AH2679" s="36">
        <f t="shared" si="41"/>
        <v>44.788888888888891</v>
      </c>
      <c r="AI2679" s="41" t="s">
        <v>1779</v>
      </c>
    </row>
    <row r="2680" spans="1:35" x14ac:dyDescent="0.25">
      <c r="A2680" s="36">
        <v>99912678</v>
      </c>
      <c r="B2680" s="17" t="s">
        <v>32</v>
      </c>
      <c r="C2680" t="s">
        <v>139</v>
      </c>
      <c r="D2680" t="s">
        <v>140</v>
      </c>
      <c r="G2680" s="17" t="s">
        <v>48</v>
      </c>
      <c r="H2680" s="17">
        <v>1</v>
      </c>
      <c r="K2680" t="s">
        <v>877</v>
      </c>
      <c r="L2680" t="s">
        <v>878</v>
      </c>
      <c r="M2680" t="s">
        <v>131</v>
      </c>
      <c r="N2680">
        <v>10</v>
      </c>
      <c r="O2680" t="s">
        <v>40</v>
      </c>
      <c r="P2680" t="s">
        <v>40</v>
      </c>
      <c r="Q2680" t="s">
        <v>40</v>
      </c>
      <c r="S2680" t="s">
        <v>40</v>
      </c>
      <c r="V2680" t="s">
        <v>41</v>
      </c>
      <c r="W2680" t="s">
        <v>75</v>
      </c>
      <c r="X2680" t="str">
        <f>"7541026"</f>
        <v>7541026</v>
      </c>
      <c r="Y2680" t="s">
        <v>894</v>
      </c>
      <c r="Z2680" t="s">
        <v>877</v>
      </c>
      <c r="AA2680" t="s">
        <v>878</v>
      </c>
      <c r="AB2680" t="s">
        <v>131</v>
      </c>
      <c r="AC2680" t="s">
        <v>51</v>
      </c>
      <c r="AD2680" t="s">
        <v>45</v>
      </c>
      <c r="AE2680" s="1">
        <v>27324</v>
      </c>
      <c r="AF2680">
        <v>1</v>
      </c>
      <c r="AG2680" t="s">
        <v>878</v>
      </c>
      <c r="AH2680" s="36">
        <f t="shared" si="41"/>
        <v>44.81388888888889</v>
      </c>
      <c r="AI2680" s="41" t="s">
        <v>1779</v>
      </c>
    </row>
    <row r="2681" spans="1:35" x14ac:dyDescent="0.25">
      <c r="A2681" s="36">
        <v>99912679</v>
      </c>
      <c r="B2681" s="17" t="s">
        <v>32</v>
      </c>
      <c r="C2681" t="s">
        <v>111</v>
      </c>
      <c r="D2681" t="s">
        <v>112</v>
      </c>
      <c r="G2681" s="17" t="s">
        <v>48</v>
      </c>
      <c r="H2681" s="17">
        <v>11</v>
      </c>
      <c r="I2681" t="s">
        <v>560</v>
      </c>
      <c r="J2681" s="1">
        <v>38596</v>
      </c>
      <c r="K2681" t="s">
        <v>431</v>
      </c>
      <c r="L2681" t="s">
        <v>196</v>
      </c>
      <c r="M2681" t="s">
        <v>131</v>
      </c>
      <c r="N2681">
        <v>22</v>
      </c>
      <c r="O2681" t="s">
        <v>40</v>
      </c>
      <c r="P2681" t="s">
        <v>40</v>
      </c>
      <c r="Q2681" t="s">
        <v>40</v>
      </c>
      <c r="R2681" t="s">
        <v>40</v>
      </c>
      <c r="S2681" t="s">
        <v>40</v>
      </c>
      <c r="U2681" s="1">
        <v>38596</v>
      </c>
      <c r="V2681" t="s">
        <v>41</v>
      </c>
      <c r="W2681" t="s">
        <v>75</v>
      </c>
      <c r="X2681" t="str">
        <f>"7521022"</f>
        <v>7521022</v>
      </c>
      <c r="Y2681" t="s">
        <v>445</v>
      </c>
      <c r="Z2681" t="s">
        <v>431</v>
      </c>
      <c r="AA2681" t="s">
        <v>196</v>
      </c>
      <c r="AB2681" t="s">
        <v>131</v>
      </c>
      <c r="AC2681" t="s">
        <v>51</v>
      </c>
      <c r="AD2681" t="s">
        <v>45</v>
      </c>
      <c r="AE2681" s="1">
        <v>27322</v>
      </c>
      <c r="AF2681">
        <v>1</v>
      </c>
      <c r="AG2681" t="s">
        <v>196</v>
      </c>
      <c r="AH2681" s="36">
        <f t="shared" si="41"/>
        <v>44.819444444444443</v>
      </c>
      <c r="AI2681" s="41" t="s">
        <v>1779</v>
      </c>
    </row>
    <row r="2682" spans="1:35" x14ac:dyDescent="0.25">
      <c r="A2682" s="36">
        <v>99912680</v>
      </c>
      <c r="B2682" s="17" t="s">
        <v>32</v>
      </c>
      <c r="C2682" t="s">
        <v>46</v>
      </c>
      <c r="D2682" t="s">
        <v>47</v>
      </c>
      <c r="G2682" s="17" t="s">
        <v>35</v>
      </c>
      <c r="H2682" s="17">
        <v>1</v>
      </c>
      <c r="I2682">
        <v>4616</v>
      </c>
      <c r="J2682" s="1">
        <v>43350</v>
      </c>
      <c r="K2682" t="s">
        <v>919</v>
      </c>
      <c r="L2682" t="s">
        <v>920</v>
      </c>
      <c r="M2682" t="s">
        <v>921</v>
      </c>
      <c r="N2682">
        <v>15</v>
      </c>
      <c r="O2682" t="s">
        <v>40</v>
      </c>
      <c r="P2682" t="s">
        <v>40</v>
      </c>
      <c r="Q2682" t="s">
        <v>40</v>
      </c>
      <c r="R2682" t="s">
        <v>40</v>
      </c>
      <c r="S2682" t="s">
        <v>40</v>
      </c>
      <c r="U2682" s="1">
        <v>43350</v>
      </c>
      <c r="V2682" t="s">
        <v>41</v>
      </c>
      <c r="W2682" t="s">
        <v>922</v>
      </c>
      <c r="X2682" t="str">
        <f>"5162001"</f>
        <v>5162001</v>
      </c>
      <c r="Y2682" t="s">
        <v>923</v>
      </c>
      <c r="Z2682" t="s">
        <v>919</v>
      </c>
      <c r="AA2682" t="s">
        <v>920</v>
      </c>
      <c r="AB2682" t="s">
        <v>921</v>
      </c>
      <c r="AC2682" t="s">
        <v>44</v>
      </c>
      <c r="AD2682" t="s">
        <v>45</v>
      </c>
      <c r="AE2682" s="1">
        <v>27316</v>
      </c>
      <c r="AF2682">
        <v>2</v>
      </c>
      <c r="AG2682" t="s">
        <v>920</v>
      </c>
      <c r="AH2682" s="36">
        <f t="shared" si="41"/>
        <v>44.836111111111109</v>
      </c>
      <c r="AI2682" s="41" t="s">
        <v>1779</v>
      </c>
    </row>
    <row r="2683" spans="1:35" x14ac:dyDescent="0.25">
      <c r="A2683" s="36">
        <v>99912681</v>
      </c>
      <c r="B2683" s="17" t="s">
        <v>56</v>
      </c>
      <c r="C2683" t="s">
        <v>61</v>
      </c>
      <c r="D2683" t="s">
        <v>62</v>
      </c>
      <c r="G2683" s="17" t="s">
        <v>48</v>
      </c>
      <c r="H2683" s="17">
        <v>1</v>
      </c>
      <c r="K2683" t="s">
        <v>129</v>
      </c>
      <c r="L2683" t="s">
        <v>130</v>
      </c>
      <c r="M2683" t="s">
        <v>131</v>
      </c>
      <c r="N2683">
        <v>20</v>
      </c>
      <c r="O2683" t="s">
        <v>40</v>
      </c>
      <c r="P2683" t="s">
        <v>40</v>
      </c>
      <c r="Q2683" t="s">
        <v>40</v>
      </c>
      <c r="R2683" t="s">
        <v>40</v>
      </c>
      <c r="S2683" t="s">
        <v>40</v>
      </c>
      <c r="V2683" t="s">
        <v>41</v>
      </c>
      <c r="W2683" t="s">
        <v>49</v>
      </c>
      <c r="X2683" t="str">
        <f>"0591905"</f>
        <v>0591905</v>
      </c>
      <c r="Y2683" t="s">
        <v>135</v>
      </c>
      <c r="Z2683" t="s">
        <v>129</v>
      </c>
      <c r="AA2683" t="s">
        <v>130</v>
      </c>
      <c r="AB2683" t="s">
        <v>131</v>
      </c>
      <c r="AC2683" t="s">
        <v>51</v>
      </c>
      <c r="AD2683" t="s">
        <v>45</v>
      </c>
      <c r="AE2683" s="1">
        <v>27315</v>
      </c>
      <c r="AF2683">
        <v>2</v>
      </c>
      <c r="AG2683" t="s">
        <v>130</v>
      </c>
      <c r="AH2683" s="36">
        <f t="shared" si="41"/>
        <v>44.838888888888889</v>
      </c>
      <c r="AI2683" s="41" t="s">
        <v>1779</v>
      </c>
    </row>
    <row r="2684" spans="1:35" x14ac:dyDescent="0.25">
      <c r="A2684" s="36">
        <v>99912682</v>
      </c>
      <c r="B2684" s="17" t="s">
        <v>32</v>
      </c>
      <c r="C2684" t="s">
        <v>111</v>
      </c>
      <c r="D2684" t="s">
        <v>112</v>
      </c>
      <c r="G2684" s="17" t="s">
        <v>48</v>
      </c>
      <c r="H2684" s="17">
        <v>10</v>
      </c>
      <c r="K2684" t="s">
        <v>195</v>
      </c>
      <c r="L2684" t="s">
        <v>196</v>
      </c>
      <c r="M2684" t="s">
        <v>131</v>
      </c>
      <c r="N2684">
        <v>21</v>
      </c>
      <c r="O2684" t="s">
        <v>40</v>
      </c>
      <c r="P2684" t="s">
        <v>40</v>
      </c>
      <c r="Q2684" t="s">
        <v>40</v>
      </c>
      <c r="R2684" t="s">
        <v>40</v>
      </c>
      <c r="S2684" t="s">
        <v>40</v>
      </c>
      <c r="U2684" s="1">
        <v>39097</v>
      </c>
      <c r="V2684" t="s">
        <v>41</v>
      </c>
      <c r="W2684" t="s">
        <v>75</v>
      </c>
      <c r="X2684" t="str">
        <f>"7521042"</f>
        <v>7521042</v>
      </c>
      <c r="Y2684" t="s">
        <v>440</v>
      </c>
      <c r="Z2684" t="s">
        <v>195</v>
      </c>
      <c r="AA2684" t="s">
        <v>196</v>
      </c>
      <c r="AB2684" t="s">
        <v>131</v>
      </c>
      <c r="AC2684" t="s">
        <v>165</v>
      </c>
      <c r="AD2684" t="s">
        <v>45</v>
      </c>
      <c r="AE2684" s="1">
        <v>27315</v>
      </c>
      <c r="AF2684">
        <v>1</v>
      </c>
      <c r="AG2684" t="s">
        <v>196</v>
      </c>
      <c r="AH2684" s="36">
        <f t="shared" si="41"/>
        <v>44.838888888888889</v>
      </c>
      <c r="AI2684" s="41" t="s">
        <v>1779</v>
      </c>
    </row>
    <row r="2685" spans="1:35" x14ac:dyDescent="0.25">
      <c r="A2685" s="36">
        <v>99912683</v>
      </c>
      <c r="B2685" s="17" t="s">
        <v>32</v>
      </c>
      <c r="C2685" t="s">
        <v>90</v>
      </c>
      <c r="D2685" t="s">
        <v>91</v>
      </c>
      <c r="G2685" s="17" t="s">
        <v>35</v>
      </c>
      <c r="H2685" s="17">
        <v>1</v>
      </c>
      <c r="I2685">
        <v>14595</v>
      </c>
      <c r="J2685" s="1">
        <v>43344</v>
      </c>
      <c r="K2685" t="s">
        <v>354</v>
      </c>
      <c r="L2685" t="s">
        <v>355</v>
      </c>
      <c r="M2685" t="s">
        <v>131</v>
      </c>
      <c r="N2685">
        <v>24</v>
      </c>
      <c r="O2685" t="s">
        <v>40</v>
      </c>
      <c r="Q2685" t="s">
        <v>40</v>
      </c>
      <c r="S2685" t="s">
        <v>40</v>
      </c>
      <c r="U2685" s="1">
        <v>43344</v>
      </c>
      <c r="V2685" t="s">
        <v>41</v>
      </c>
      <c r="W2685" t="s">
        <v>75</v>
      </c>
      <c r="X2685" t="str">
        <f>"7054004"</f>
        <v>7054004</v>
      </c>
      <c r="Y2685" t="s">
        <v>798</v>
      </c>
      <c r="Z2685" t="s">
        <v>354</v>
      </c>
      <c r="AA2685" t="s">
        <v>355</v>
      </c>
      <c r="AB2685" t="s">
        <v>131</v>
      </c>
      <c r="AC2685" t="s">
        <v>51</v>
      </c>
      <c r="AD2685" t="s">
        <v>45</v>
      </c>
      <c r="AE2685" s="1">
        <v>27312</v>
      </c>
      <c r="AF2685">
        <v>1</v>
      </c>
      <c r="AG2685" t="s">
        <v>355</v>
      </c>
      <c r="AH2685" s="36">
        <f t="shared" si="41"/>
        <v>44.847222222222221</v>
      </c>
      <c r="AI2685" s="41" t="s">
        <v>1779</v>
      </c>
    </row>
    <row r="2686" spans="1:35" x14ac:dyDescent="0.25">
      <c r="A2686" s="36">
        <v>99912684</v>
      </c>
      <c r="B2686" s="17" t="s">
        <v>32</v>
      </c>
      <c r="C2686" t="s">
        <v>46</v>
      </c>
      <c r="D2686" t="s">
        <v>47</v>
      </c>
      <c r="G2686" s="17" t="s">
        <v>48</v>
      </c>
      <c r="H2686" s="17">
        <v>1</v>
      </c>
      <c r="K2686" t="s">
        <v>223</v>
      </c>
      <c r="L2686" t="s">
        <v>224</v>
      </c>
      <c r="M2686" t="s">
        <v>131</v>
      </c>
      <c r="N2686">
        <v>20</v>
      </c>
      <c r="O2686" t="s">
        <v>40</v>
      </c>
      <c r="P2686" t="s">
        <v>40</v>
      </c>
      <c r="Q2686" t="s">
        <v>40</v>
      </c>
      <c r="S2686" t="s">
        <v>40</v>
      </c>
      <c r="V2686" t="s">
        <v>41</v>
      </c>
      <c r="W2686" t="s">
        <v>42</v>
      </c>
      <c r="X2686" t="str">
        <f>"0580202"</f>
        <v>0580202</v>
      </c>
      <c r="Y2686" t="s">
        <v>240</v>
      </c>
      <c r="Z2686" t="s">
        <v>223</v>
      </c>
      <c r="AA2686" t="s">
        <v>224</v>
      </c>
      <c r="AB2686" t="s">
        <v>131</v>
      </c>
      <c r="AC2686" t="s">
        <v>51</v>
      </c>
      <c r="AD2686" t="s">
        <v>45</v>
      </c>
      <c r="AE2686" s="1">
        <v>27307</v>
      </c>
      <c r="AF2686">
        <v>2</v>
      </c>
      <c r="AG2686" t="s">
        <v>224</v>
      </c>
      <c r="AH2686" s="36">
        <f t="shared" si="41"/>
        <v>44.861111111111114</v>
      </c>
      <c r="AI2686" s="41" t="s">
        <v>1779</v>
      </c>
    </row>
    <row r="2687" spans="1:35" x14ac:dyDescent="0.25">
      <c r="A2687" s="36">
        <v>99912685</v>
      </c>
      <c r="B2687" s="17" t="s">
        <v>32</v>
      </c>
      <c r="C2687" t="s">
        <v>71</v>
      </c>
      <c r="D2687" t="s">
        <v>72</v>
      </c>
      <c r="G2687" s="17" t="s">
        <v>48</v>
      </c>
      <c r="H2687" s="17">
        <v>1</v>
      </c>
      <c r="K2687" t="s">
        <v>223</v>
      </c>
      <c r="L2687" t="s">
        <v>224</v>
      </c>
      <c r="M2687" t="s">
        <v>131</v>
      </c>
      <c r="N2687">
        <v>8</v>
      </c>
      <c r="O2687" t="s">
        <v>40</v>
      </c>
      <c r="P2687" t="s">
        <v>40</v>
      </c>
      <c r="Q2687" t="s">
        <v>40</v>
      </c>
      <c r="R2687" t="s">
        <v>40</v>
      </c>
      <c r="S2687" t="s">
        <v>40</v>
      </c>
      <c r="V2687" t="s">
        <v>41</v>
      </c>
      <c r="W2687" t="s">
        <v>49</v>
      </c>
      <c r="X2687" t="str">
        <f>"0581200"</f>
        <v>0581200</v>
      </c>
      <c r="Y2687" t="s">
        <v>238</v>
      </c>
      <c r="Z2687" t="s">
        <v>223</v>
      </c>
      <c r="AA2687" t="s">
        <v>224</v>
      </c>
      <c r="AB2687" t="s">
        <v>131</v>
      </c>
      <c r="AC2687" t="s">
        <v>51</v>
      </c>
      <c r="AD2687" t="s">
        <v>45</v>
      </c>
      <c r="AE2687" s="1">
        <v>27303</v>
      </c>
      <c r="AF2687">
        <v>2</v>
      </c>
      <c r="AG2687" t="s">
        <v>224</v>
      </c>
      <c r="AH2687" s="36">
        <f t="shared" si="41"/>
        <v>44.87222222222222</v>
      </c>
      <c r="AI2687" s="41" t="s">
        <v>1779</v>
      </c>
    </row>
    <row r="2688" spans="1:35" x14ac:dyDescent="0.25">
      <c r="A2688" s="36">
        <v>99912686</v>
      </c>
      <c r="B2688" s="17" t="s">
        <v>32</v>
      </c>
      <c r="C2688" t="s">
        <v>64</v>
      </c>
      <c r="D2688" t="s">
        <v>65</v>
      </c>
      <c r="G2688" s="17" t="s">
        <v>35</v>
      </c>
      <c r="H2688" s="17">
        <v>1</v>
      </c>
      <c r="K2688" t="s">
        <v>1268</v>
      </c>
      <c r="L2688" t="s">
        <v>1269</v>
      </c>
      <c r="M2688" t="s">
        <v>1270</v>
      </c>
      <c r="N2688">
        <v>21</v>
      </c>
      <c r="O2688" t="s">
        <v>40</v>
      </c>
      <c r="P2688" t="s">
        <v>40</v>
      </c>
      <c r="Q2688" t="s">
        <v>40</v>
      </c>
      <c r="R2688" t="s">
        <v>40</v>
      </c>
      <c r="S2688" t="s">
        <v>40</v>
      </c>
      <c r="V2688" t="s">
        <v>41</v>
      </c>
      <c r="W2688" t="s">
        <v>42</v>
      </c>
      <c r="X2688" t="str">
        <f>"1990001"</f>
        <v>1990001</v>
      </c>
      <c r="Y2688" t="s">
        <v>1294</v>
      </c>
      <c r="Z2688" t="s">
        <v>1268</v>
      </c>
      <c r="AA2688" t="s">
        <v>1269</v>
      </c>
      <c r="AB2688" t="s">
        <v>1270</v>
      </c>
      <c r="AC2688" t="s">
        <v>51</v>
      </c>
      <c r="AD2688" t="s">
        <v>45</v>
      </c>
      <c r="AE2688" s="1">
        <v>27301</v>
      </c>
      <c r="AF2688">
        <v>2</v>
      </c>
      <c r="AG2688" t="s">
        <v>1269</v>
      </c>
      <c r="AH2688" s="36">
        <f t="shared" si="41"/>
        <v>44.87777777777778</v>
      </c>
      <c r="AI2688" s="41" t="s">
        <v>1779</v>
      </c>
    </row>
    <row r="2689" spans="1:35" x14ac:dyDescent="0.25">
      <c r="A2689" s="36">
        <v>99912687</v>
      </c>
      <c r="B2689" s="17" t="s">
        <v>32</v>
      </c>
      <c r="C2689" t="s">
        <v>46</v>
      </c>
      <c r="D2689" t="s">
        <v>47</v>
      </c>
      <c r="G2689" s="17" t="s">
        <v>48</v>
      </c>
      <c r="H2689" s="17">
        <v>1</v>
      </c>
      <c r="K2689" t="s">
        <v>300</v>
      </c>
      <c r="L2689" t="s">
        <v>301</v>
      </c>
      <c r="M2689" t="s">
        <v>131</v>
      </c>
      <c r="N2689">
        <v>21</v>
      </c>
      <c r="O2689" t="s">
        <v>40</v>
      </c>
      <c r="P2689" t="s">
        <v>40</v>
      </c>
      <c r="Q2689" t="s">
        <v>40</v>
      </c>
      <c r="R2689" t="s">
        <v>40</v>
      </c>
      <c r="S2689" t="s">
        <v>40</v>
      </c>
      <c r="V2689" t="s">
        <v>41</v>
      </c>
      <c r="W2689" t="s">
        <v>42</v>
      </c>
      <c r="X2689" t="str">
        <f>"0580175"</f>
        <v>0580175</v>
      </c>
      <c r="Y2689" t="s">
        <v>303</v>
      </c>
      <c r="Z2689" t="s">
        <v>300</v>
      </c>
      <c r="AA2689" t="s">
        <v>301</v>
      </c>
      <c r="AB2689" t="s">
        <v>131</v>
      </c>
      <c r="AC2689" t="s">
        <v>51</v>
      </c>
      <c r="AD2689" t="s">
        <v>45</v>
      </c>
      <c r="AE2689" s="1">
        <v>27300</v>
      </c>
      <c r="AF2689">
        <v>2</v>
      </c>
      <c r="AG2689" t="s">
        <v>301</v>
      </c>
      <c r="AH2689" s="36">
        <f t="shared" si="41"/>
        <v>44.880555555555553</v>
      </c>
      <c r="AI2689" s="41" t="s">
        <v>1779</v>
      </c>
    </row>
    <row r="2690" spans="1:35" x14ac:dyDescent="0.25">
      <c r="A2690" s="36">
        <v>99912688</v>
      </c>
      <c r="B2690" s="17" t="s">
        <v>32</v>
      </c>
      <c r="C2690" t="s">
        <v>85</v>
      </c>
      <c r="D2690" t="s">
        <v>86</v>
      </c>
      <c r="G2690" s="17" t="s">
        <v>48</v>
      </c>
      <c r="H2690" s="17">
        <v>1</v>
      </c>
      <c r="I2690" t="s">
        <v>1311</v>
      </c>
      <c r="K2690" t="s">
        <v>1306</v>
      </c>
      <c r="L2690" t="s">
        <v>1307</v>
      </c>
      <c r="M2690" t="s">
        <v>1270</v>
      </c>
      <c r="N2690">
        <v>21</v>
      </c>
      <c r="O2690" t="s">
        <v>40</v>
      </c>
      <c r="P2690" t="s">
        <v>40</v>
      </c>
      <c r="Q2690" t="s">
        <v>40</v>
      </c>
      <c r="R2690" t="s">
        <v>40</v>
      </c>
      <c r="S2690" t="s">
        <v>40</v>
      </c>
      <c r="V2690" t="s">
        <v>41</v>
      </c>
      <c r="W2690" t="s">
        <v>49</v>
      </c>
      <c r="X2690" t="str">
        <f>"1991913"</f>
        <v>1991913</v>
      </c>
      <c r="Y2690" t="s">
        <v>1310</v>
      </c>
      <c r="Z2690" t="s">
        <v>1306</v>
      </c>
      <c r="AA2690" t="s">
        <v>1307</v>
      </c>
      <c r="AB2690" t="s">
        <v>1270</v>
      </c>
      <c r="AC2690" t="s">
        <v>51</v>
      </c>
      <c r="AD2690" t="s">
        <v>45</v>
      </c>
      <c r="AE2690" s="1">
        <v>27300</v>
      </c>
      <c r="AF2690">
        <v>2</v>
      </c>
      <c r="AG2690" t="s">
        <v>1307</v>
      </c>
      <c r="AH2690" s="36">
        <f t="shared" ref="AH2690:AH2753" si="42">($AJ$1-AE2690)/360</f>
        <v>44.880555555555553</v>
      </c>
      <c r="AI2690" s="41" t="s">
        <v>1779</v>
      </c>
    </row>
    <row r="2691" spans="1:35" x14ac:dyDescent="0.25">
      <c r="A2691" s="36">
        <v>99912689</v>
      </c>
      <c r="B2691" s="17" t="s">
        <v>32</v>
      </c>
      <c r="C2691" t="s">
        <v>111</v>
      </c>
      <c r="D2691" t="s">
        <v>112</v>
      </c>
      <c r="G2691" s="17" t="s">
        <v>35</v>
      </c>
      <c r="H2691" s="17">
        <v>1</v>
      </c>
      <c r="K2691" t="s">
        <v>1341</v>
      </c>
      <c r="L2691" t="s">
        <v>1342</v>
      </c>
      <c r="M2691" t="s">
        <v>1270</v>
      </c>
      <c r="N2691">
        <v>22</v>
      </c>
      <c r="O2691" t="s">
        <v>40</v>
      </c>
      <c r="P2691" t="s">
        <v>40</v>
      </c>
      <c r="Q2691" t="s">
        <v>40</v>
      </c>
      <c r="S2691" t="s">
        <v>40</v>
      </c>
      <c r="V2691" t="s">
        <v>41</v>
      </c>
      <c r="W2691" t="s">
        <v>75</v>
      </c>
      <c r="X2691" t="str">
        <f>"7191006"</f>
        <v>7191006</v>
      </c>
      <c r="Y2691" t="s">
        <v>1351</v>
      </c>
      <c r="Z2691" t="s">
        <v>1341</v>
      </c>
      <c r="AA2691" t="s">
        <v>1342</v>
      </c>
      <c r="AB2691" t="s">
        <v>1270</v>
      </c>
      <c r="AC2691" t="s">
        <v>51</v>
      </c>
      <c r="AD2691" t="s">
        <v>45</v>
      </c>
      <c r="AE2691" s="1">
        <v>27294</v>
      </c>
      <c r="AF2691">
        <v>1</v>
      </c>
      <c r="AG2691" t="s">
        <v>1342</v>
      </c>
      <c r="AH2691" s="36">
        <f t="shared" si="42"/>
        <v>44.897222222222226</v>
      </c>
      <c r="AI2691" s="41" t="s">
        <v>1779</v>
      </c>
    </row>
    <row r="2692" spans="1:35" x14ac:dyDescent="0.25">
      <c r="A2692" s="36">
        <v>99912690</v>
      </c>
      <c r="B2692" s="17" t="s">
        <v>32</v>
      </c>
      <c r="C2692" t="s">
        <v>46</v>
      </c>
      <c r="D2692" t="s">
        <v>47</v>
      </c>
      <c r="G2692" s="17" t="s">
        <v>35</v>
      </c>
      <c r="H2692" s="17">
        <v>1</v>
      </c>
      <c r="K2692" t="s">
        <v>1546</v>
      </c>
      <c r="L2692" t="s">
        <v>1547</v>
      </c>
      <c r="M2692" t="s">
        <v>1548</v>
      </c>
      <c r="N2692">
        <v>23</v>
      </c>
      <c r="O2692" t="s">
        <v>40</v>
      </c>
      <c r="P2692" t="s">
        <v>40</v>
      </c>
      <c r="Q2692" t="s">
        <v>40</v>
      </c>
      <c r="R2692" t="s">
        <v>40</v>
      </c>
      <c r="S2692" t="s">
        <v>40</v>
      </c>
      <c r="V2692" t="s">
        <v>41</v>
      </c>
      <c r="W2692" t="s">
        <v>42</v>
      </c>
      <c r="X2692" t="str">
        <f>"1080010"</f>
        <v>1080010</v>
      </c>
      <c r="Y2692" t="s">
        <v>1549</v>
      </c>
      <c r="Z2692" t="s">
        <v>1546</v>
      </c>
      <c r="AA2692" t="s">
        <v>1547</v>
      </c>
      <c r="AB2692" t="s">
        <v>1548</v>
      </c>
      <c r="AC2692" t="s">
        <v>51</v>
      </c>
      <c r="AD2692" t="s">
        <v>45</v>
      </c>
      <c r="AE2692" s="1">
        <v>27294</v>
      </c>
      <c r="AF2692">
        <v>2</v>
      </c>
      <c r="AG2692" t="s">
        <v>1547</v>
      </c>
      <c r="AH2692" s="36">
        <f t="shared" si="42"/>
        <v>44.897222222222226</v>
      </c>
      <c r="AI2692" s="41" t="s">
        <v>1779</v>
      </c>
    </row>
    <row r="2693" spans="1:35" x14ac:dyDescent="0.25">
      <c r="A2693" s="36">
        <v>99912691</v>
      </c>
      <c r="B2693" s="17" t="s">
        <v>32</v>
      </c>
      <c r="C2693" t="s">
        <v>64</v>
      </c>
      <c r="D2693" t="s">
        <v>65</v>
      </c>
      <c r="G2693" s="17" t="s">
        <v>48</v>
      </c>
      <c r="H2693" s="17">
        <v>1</v>
      </c>
      <c r="K2693" t="s">
        <v>407</v>
      </c>
      <c r="L2693" t="s">
        <v>409</v>
      </c>
      <c r="M2693" t="s">
        <v>131</v>
      </c>
      <c r="N2693">
        <v>24</v>
      </c>
      <c r="O2693" t="s">
        <v>40</v>
      </c>
      <c r="P2693" t="s">
        <v>40</v>
      </c>
      <c r="Q2693" t="s">
        <v>40</v>
      </c>
      <c r="R2693" t="s">
        <v>40</v>
      </c>
      <c r="S2693" t="s">
        <v>40</v>
      </c>
      <c r="V2693" t="s">
        <v>41</v>
      </c>
      <c r="W2693" t="s">
        <v>75</v>
      </c>
      <c r="X2693" t="str">
        <f>"7053000"</f>
        <v>7053000</v>
      </c>
      <c r="Y2693" t="s">
        <v>754</v>
      </c>
      <c r="Z2693" t="s">
        <v>407</v>
      </c>
      <c r="AA2693" t="s">
        <v>409</v>
      </c>
      <c r="AB2693" t="s">
        <v>131</v>
      </c>
      <c r="AC2693" t="s">
        <v>51</v>
      </c>
      <c r="AD2693" t="s">
        <v>45</v>
      </c>
      <c r="AE2693" s="1">
        <v>27290</v>
      </c>
      <c r="AF2693">
        <v>1</v>
      </c>
      <c r="AG2693" t="s">
        <v>409</v>
      </c>
      <c r="AH2693" s="36">
        <f t="shared" si="42"/>
        <v>44.908333333333331</v>
      </c>
      <c r="AI2693" s="41" t="s">
        <v>1779</v>
      </c>
    </row>
    <row r="2694" spans="1:35" x14ac:dyDescent="0.25">
      <c r="A2694" s="36">
        <v>99912692</v>
      </c>
      <c r="B2694" s="17" t="s">
        <v>32</v>
      </c>
      <c r="C2694" t="s">
        <v>139</v>
      </c>
      <c r="D2694" t="s">
        <v>140</v>
      </c>
      <c r="G2694" s="17" t="s">
        <v>35</v>
      </c>
      <c r="H2694" s="17">
        <v>1</v>
      </c>
      <c r="K2694" t="s">
        <v>877</v>
      </c>
      <c r="L2694" t="s">
        <v>878</v>
      </c>
      <c r="M2694" t="s">
        <v>131</v>
      </c>
      <c r="N2694">
        <v>19</v>
      </c>
      <c r="O2694" t="s">
        <v>40</v>
      </c>
      <c r="P2694" t="s">
        <v>40</v>
      </c>
      <c r="Q2694" t="s">
        <v>40</v>
      </c>
      <c r="S2694" t="s">
        <v>40</v>
      </c>
      <c r="V2694" t="s">
        <v>41</v>
      </c>
      <c r="W2694" t="s">
        <v>75</v>
      </c>
      <c r="X2694" t="str">
        <f>"7700025"</f>
        <v>7700025</v>
      </c>
      <c r="Y2694" t="s">
        <v>880</v>
      </c>
      <c r="Z2694" t="s">
        <v>877</v>
      </c>
      <c r="AA2694" t="s">
        <v>878</v>
      </c>
      <c r="AB2694" t="s">
        <v>131</v>
      </c>
      <c r="AC2694" t="s">
        <v>51</v>
      </c>
      <c r="AD2694" t="s">
        <v>45</v>
      </c>
      <c r="AE2694" s="1">
        <v>27286</v>
      </c>
      <c r="AF2694">
        <v>1</v>
      </c>
      <c r="AG2694" t="s">
        <v>878</v>
      </c>
      <c r="AH2694" s="36">
        <f t="shared" si="42"/>
        <v>44.919444444444444</v>
      </c>
      <c r="AI2694" s="41" t="s">
        <v>1779</v>
      </c>
    </row>
    <row r="2695" spans="1:35" x14ac:dyDescent="0.25">
      <c r="A2695" s="36">
        <v>99912693</v>
      </c>
      <c r="B2695" s="17" t="s">
        <v>32</v>
      </c>
      <c r="C2695" t="s">
        <v>61</v>
      </c>
      <c r="D2695" t="s">
        <v>62</v>
      </c>
      <c r="G2695" s="17" t="s">
        <v>35</v>
      </c>
      <c r="H2695" s="17">
        <v>1</v>
      </c>
      <c r="I2695" s="1">
        <v>43344</v>
      </c>
      <c r="J2695" s="1">
        <v>43344</v>
      </c>
      <c r="K2695" t="s">
        <v>1341</v>
      </c>
      <c r="L2695" t="s">
        <v>1342</v>
      </c>
      <c r="M2695" t="s">
        <v>1270</v>
      </c>
      <c r="N2695">
        <v>19</v>
      </c>
      <c r="O2695" t="s">
        <v>40</v>
      </c>
      <c r="S2695" t="s">
        <v>40</v>
      </c>
      <c r="U2695" s="1">
        <v>43344</v>
      </c>
      <c r="V2695" t="s">
        <v>41</v>
      </c>
      <c r="W2695" t="s">
        <v>75</v>
      </c>
      <c r="X2695" t="str">
        <f>"7191000"</f>
        <v>7191000</v>
      </c>
      <c r="Y2695" t="s">
        <v>1347</v>
      </c>
      <c r="Z2695" t="s">
        <v>1341</v>
      </c>
      <c r="AA2695" t="s">
        <v>1342</v>
      </c>
      <c r="AB2695" t="s">
        <v>1270</v>
      </c>
      <c r="AC2695" t="s">
        <v>44</v>
      </c>
      <c r="AD2695" t="s">
        <v>45</v>
      </c>
      <c r="AE2695" s="1">
        <v>27284</v>
      </c>
      <c r="AF2695">
        <v>1</v>
      </c>
      <c r="AG2695" t="s">
        <v>1342</v>
      </c>
      <c r="AH2695" s="36">
        <f t="shared" si="42"/>
        <v>44.924999999999997</v>
      </c>
      <c r="AI2695" s="41" t="s">
        <v>1779</v>
      </c>
    </row>
    <row r="2696" spans="1:35" x14ac:dyDescent="0.25">
      <c r="A2696" s="36">
        <v>99912694</v>
      </c>
      <c r="B2696" s="17" t="s">
        <v>32</v>
      </c>
      <c r="C2696" t="s">
        <v>64</v>
      </c>
      <c r="D2696" t="s">
        <v>65</v>
      </c>
      <c r="G2696" s="17" t="s">
        <v>48</v>
      </c>
      <c r="H2696" s="17">
        <v>1</v>
      </c>
      <c r="K2696" t="s">
        <v>380</v>
      </c>
      <c r="L2696" t="s">
        <v>381</v>
      </c>
      <c r="M2696" t="s">
        <v>131</v>
      </c>
      <c r="N2696">
        <v>15</v>
      </c>
      <c r="O2696" t="s">
        <v>40</v>
      </c>
      <c r="P2696" t="s">
        <v>40</v>
      </c>
      <c r="Q2696" t="s">
        <v>40</v>
      </c>
      <c r="R2696" t="s">
        <v>40</v>
      </c>
      <c r="S2696" t="s">
        <v>40</v>
      </c>
      <c r="V2696" t="s">
        <v>41</v>
      </c>
      <c r="W2696" t="s">
        <v>49</v>
      </c>
      <c r="X2696" t="str">
        <f>"0591908"</f>
        <v>0591908</v>
      </c>
      <c r="Y2696" t="s">
        <v>383</v>
      </c>
      <c r="Z2696" t="s">
        <v>380</v>
      </c>
      <c r="AA2696" t="s">
        <v>381</v>
      </c>
      <c r="AB2696" t="s">
        <v>131</v>
      </c>
      <c r="AC2696" t="s">
        <v>51</v>
      </c>
      <c r="AD2696" t="s">
        <v>45</v>
      </c>
      <c r="AE2696" s="1">
        <v>27279</v>
      </c>
      <c r="AF2696">
        <v>2</v>
      </c>
      <c r="AG2696" t="s">
        <v>381</v>
      </c>
      <c r="AH2696" s="36">
        <f t="shared" si="42"/>
        <v>44.93888888888889</v>
      </c>
      <c r="AI2696" s="41" t="s">
        <v>1779</v>
      </c>
    </row>
    <row r="2697" spans="1:35" x14ac:dyDescent="0.25">
      <c r="A2697" s="36">
        <v>99912695</v>
      </c>
      <c r="B2697" s="17" t="s">
        <v>32</v>
      </c>
      <c r="C2697" t="s">
        <v>64</v>
      </c>
      <c r="D2697" t="s">
        <v>65</v>
      </c>
      <c r="G2697" s="17" t="s">
        <v>48</v>
      </c>
      <c r="H2697" s="17">
        <v>1</v>
      </c>
      <c r="K2697" t="s">
        <v>162</v>
      </c>
      <c r="L2697" t="s">
        <v>158</v>
      </c>
      <c r="M2697" t="s">
        <v>131</v>
      </c>
      <c r="N2697">
        <v>21</v>
      </c>
      <c r="O2697" t="s">
        <v>40</v>
      </c>
      <c r="P2697" t="s">
        <v>40</v>
      </c>
      <c r="Q2697" t="s">
        <v>40</v>
      </c>
      <c r="R2697" t="s">
        <v>40</v>
      </c>
      <c r="S2697" t="s">
        <v>40</v>
      </c>
      <c r="V2697" t="s">
        <v>41</v>
      </c>
      <c r="W2697" t="s">
        <v>49</v>
      </c>
      <c r="X2697" t="str">
        <f>"0560003"</f>
        <v>0560003</v>
      </c>
      <c r="Y2697" t="s">
        <v>181</v>
      </c>
      <c r="Z2697" t="s">
        <v>162</v>
      </c>
      <c r="AA2697" t="s">
        <v>158</v>
      </c>
      <c r="AB2697" t="s">
        <v>131</v>
      </c>
      <c r="AC2697" t="s">
        <v>51</v>
      </c>
      <c r="AD2697" t="s">
        <v>45</v>
      </c>
      <c r="AE2697" s="1">
        <v>27277</v>
      </c>
      <c r="AF2697">
        <v>2</v>
      </c>
      <c r="AG2697" t="s">
        <v>158</v>
      </c>
      <c r="AH2697" s="36">
        <f t="shared" si="42"/>
        <v>44.944444444444443</v>
      </c>
      <c r="AI2697" s="41" t="s">
        <v>1779</v>
      </c>
    </row>
    <row r="2698" spans="1:35" x14ac:dyDescent="0.25">
      <c r="A2698" s="36">
        <v>99912696</v>
      </c>
      <c r="B2698" s="17" t="s">
        <v>32</v>
      </c>
      <c r="C2698" t="s">
        <v>90</v>
      </c>
      <c r="D2698" t="s">
        <v>91</v>
      </c>
      <c r="G2698" s="17" t="s">
        <v>48</v>
      </c>
      <c r="H2698" s="17">
        <v>1</v>
      </c>
      <c r="K2698" t="s">
        <v>1341</v>
      </c>
      <c r="L2698" t="s">
        <v>1342</v>
      </c>
      <c r="M2698" t="s">
        <v>1270</v>
      </c>
      <c r="N2698">
        <v>25</v>
      </c>
      <c r="O2698" t="s">
        <v>40</v>
      </c>
      <c r="P2698" t="s">
        <v>40</v>
      </c>
      <c r="Q2698" t="s">
        <v>40</v>
      </c>
      <c r="S2698" t="s">
        <v>40</v>
      </c>
      <c r="V2698" t="s">
        <v>41</v>
      </c>
      <c r="W2698" t="s">
        <v>95</v>
      </c>
      <c r="X2698" t="str">
        <f>"7191049"</f>
        <v>7191049</v>
      </c>
      <c r="Y2698" t="s">
        <v>1413</v>
      </c>
      <c r="Z2698" t="s">
        <v>1341</v>
      </c>
      <c r="AA2698" t="s">
        <v>1342</v>
      </c>
      <c r="AB2698" t="s">
        <v>1270</v>
      </c>
      <c r="AC2698" t="s">
        <v>51</v>
      </c>
      <c r="AD2698" t="s">
        <v>45</v>
      </c>
      <c r="AE2698" s="1">
        <v>27277</v>
      </c>
      <c r="AF2698">
        <v>1</v>
      </c>
      <c r="AG2698" t="s">
        <v>1342</v>
      </c>
      <c r="AH2698" s="36">
        <f t="shared" si="42"/>
        <v>44.944444444444443</v>
      </c>
      <c r="AI2698" s="41" t="s">
        <v>1779</v>
      </c>
    </row>
    <row r="2699" spans="1:35" x14ac:dyDescent="0.25">
      <c r="A2699" s="36">
        <v>99912697</v>
      </c>
      <c r="B2699" s="17" t="s">
        <v>32</v>
      </c>
      <c r="C2699" t="s">
        <v>139</v>
      </c>
      <c r="D2699" t="s">
        <v>140</v>
      </c>
      <c r="G2699" s="17" t="s">
        <v>48</v>
      </c>
      <c r="H2699" s="17">
        <v>1</v>
      </c>
      <c r="K2699" t="s">
        <v>380</v>
      </c>
      <c r="L2699" t="s">
        <v>381</v>
      </c>
      <c r="M2699" t="s">
        <v>131</v>
      </c>
      <c r="N2699">
        <v>5</v>
      </c>
      <c r="O2699" t="s">
        <v>40</v>
      </c>
      <c r="P2699" t="s">
        <v>40</v>
      </c>
      <c r="Q2699" t="s">
        <v>40</v>
      </c>
      <c r="R2699" t="s">
        <v>40</v>
      </c>
      <c r="S2699" t="s">
        <v>40</v>
      </c>
      <c r="V2699" t="s">
        <v>41</v>
      </c>
      <c r="W2699" t="s">
        <v>49</v>
      </c>
      <c r="X2699" t="str">
        <f>"0591908"</f>
        <v>0591908</v>
      </c>
      <c r="Y2699" t="s">
        <v>383</v>
      </c>
      <c r="Z2699" t="s">
        <v>380</v>
      </c>
      <c r="AA2699" t="s">
        <v>381</v>
      </c>
      <c r="AB2699" t="s">
        <v>131</v>
      </c>
      <c r="AC2699" t="s">
        <v>44</v>
      </c>
      <c r="AD2699" t="s">
        <v>45</v>
      </c>
      <c r="AE2699" s="1">
        <v>27276</v>
      </c>
      <c r="AF2699">
        <v>2</v>
      </c>
      <c r="AG2699" t="s">
        <v>381</v>
      </c>
      <c r="AH2699" s="36">
        <f t="shared" si="42"/>
        <v>44.947222222222223</v>
      </c>
      <c r="AI2699" s="41" t="s">
        <v>1779</v>
      </c>
    </row>
    <row r="2700" spans="1:35" x14ac:dyDescent="0.25">
      <c r="A2700" s="36">
        <v>99912698</v>
      </c>
      <c r="B2700" s="17" t="s">
        <v>56</v>
      </c>
      <c r="C2700" t="s">
        <v>46</v>
      </c>
      <c r="D2700" t="s">
        <v>47</v>
      </c>
      <c r="G2700" s="17" t="s">
        <v>48</v>
      </c>
      <c r="H2700" s="17">
        <v>1</v>
      </c>
      <c r="K2700" t="s">
        <v>380</v>
      </c>
      <c r="L2700" t="s">
        <v>381</v>
      </c>
      <c r="M2700" t="s">
        <v>131</v>
      </c>
      <c r="N2700">
        <v>20</v>
      </c>
      <c r="O2700" t="s">
        <v>40</v>
      </c>
      <c r="P2700" t="s">
        <v>40</v>
      </c>
      <c r="Q2700" t="s">
        <v>40</v>
      </c>
      <c r="R2700" t="s">
        <v>40</v>
      </c>
      <c r="S2700" t="s">
        <v>40</v>
      </c>
      <c r="V2700" t="s">
        <v>41</v>
      </c>
      <c r="W2700" t="s">
        <v>42</v>
      </c>
      <c r="X2700" t="str">
        <f>"0561010"</f>
        <v>0561010</v>
      </c>
      <c r="Y2700" t="s">
        <v>387</v>
      </c>
      <c r="Z2700" t="s">
        <v>380</v>
      </c>
      <c r="AA2700" t="s">
        <v>381</v>
      </c>
      <c r="AB2700" t="s">
        <v>131</v>
      </c>
      <c r="AC2700" t="s">
        <v>51</v>
      </c>
      <c r="AD2700" t="s">
        <v>45</v>
      </c>
      <c r="AE2700" s="1">
        <v>27271</v>
      </c>
      <c r="AF2700">
        <v>2</v>
      </c>
      <c r="AG2700" t="s">
        <v>381</v>
      </c>
      <c r="AH2700" s="36">
        <f t="shared" si="42"/>
        <v>44.961111111111109</v>
      </c>
      <c r="AI2700" s="41" t="s">
        <v>1779</v>
      </c>
    </row>
    <row r="2701" spans="1:35" x14ac:dyDescent="0.25">
      <c r="A2701" s="36">
        <v>99912699</v>
      </c>
      <c r="B2701" s="17" t="s">
        <v>32</v>
      </c>
      <c r="C2701" t="s">
        <v>141</v>
      </c>
      <c r="D2701" t="s">
        <v>142</v>
      </c>
      <c r="G2701" s="17" t="s">
        <v>35</v>
      </c>
      <c r="H2701" s="17">
        <v>9</v>
      </c>
      <c r="K2701" t="s">
        <v>268</v>
      </c>
      <c r="L2701" t="s">
        <v>269</v>
      </c>
      <c r="M2701" t="s">
        <v>131</v>
      </c>
      <c r="N2701">
        <v>23</v>
      </c>
      <c r="O2701" t="s">
        <v>40</v>
      </c>
      <c r="P2701" t="s">
        <v>40</v>
      </c>
      <c r="Q2701" t="s">
        <v>40</v>
      </c>
      <c r="R2701" t="s">
        <v>40</v>
      </c>
      <c r="S2701" t="s">
        <v>40</v>
      </c>
      <c r="V2701" t="s">
        <v>41</v>
      </c>
      <c r="W2701" t="s">
        <v>75</v>
      </c>
      <c r="X2701" t="str">
        <f>"7052006"</f>
        <v>7052006</v>
      </c>
      <c r="Y2701" t="s">
        <v>575</v>
      </c>
      <c r="Z2701" t="s">
        <v>268</v>
      </c>
      <c r="AA2701" t="s">
        <v>269</v>
      </c>
      <c r="AB2701" t="s">
        <v>131</v>
      </c>
      <c r="AC2701" t="s">
        <v>51</v>
      </c>
      <c r="AD2701" t="s">
        <v>45</v>
      </c>
      <c r="AE2701" s="1">
        <v>27262</v>
      </c>
      <c r="AF2701">
        <v>1</v>
      </c>
      <c r="AG2701" t="s">
        <v>269</v>
      </c>
      <c r="AH2701" s="36">
        <f t="shared" si="42"/>
        <v>44.986111111111114</v>
      </c>
      <c r="AI2701" s="41" t="s">
        <v>1779</v>
      </c>
    </row>
    <row r="2702" spans="1:35" x14ac:dyDescent="0.25">
      <c r="A2702" s="36">
        <v>99912700</v>
      </c>
      <c r="B2702" s="17" t="s">
        <v>32</v>
      </c>
      <c r="C2702" t="s">
        <v>90</v>
      </c>
      <c r="D2702" t="s">
        <v>91</v>
      </c>
      <c r="G2702" s="17" t="s">
        <v>48</v>
      </c>
      <c r="H2702" s="17">
        <v>1</v>
      </c>
      <c r="K2702" t="s">
        <v>407</v>
      </c>
      <c r="L2702" t="s">
        <v>409</v>
      </c>
      <c r="M2702" t="s">
        <v>131</v>
      </c>
      <c r="N2702">
        <v>8</v>
      </c>
      <c r="O2702" t="s">
        <v>40</v>
      </c>
      <c r="P2702" t="s">
        <v>40</v>
      </c>
      <c r="Q2702" t="s">
        <v>40</v>
      </c>
      <c r="S2702" t="s">
        <v>40</v>
      </c>
      <c r="V2702" t="s">
        <v>41</v>
      </c>
      <c r="W2702" t="s">
        <v>95</v>
      </c>
      <c r="X2702" t="str">
        <f>"7053055"</f>
        <v>7053055</v>
      </c>
      <c r="Y2702" t="s">
        <v>763</v>
      </c>
      <c r="Z2702" t="s">
        <v>407</v>
      </c>
      <c r="AA2702" t="s">
        <v>409</v>
      </c>
      <c r="AB2702" t="s">
        <v>131</v>
      </c>
      <c r="AC2702" t="s">
        <v>51</v>
      </c>
      <c r="AD2702" t="s">
        <v>45</v>
      </c>
      <c r="AE2702" s="1">
        <v>27258</v>
      </c>
      <c r="AF2702">
        <v>1</v>
      </c>
      <c r="AG2702" t="s">
        <v>409</v>
      </c>
      <c r="AH2702" s="36">
        <f t="shared" si="42"/>
        <v>44.99722222222222</v>
      </c>
      <c r="AI2702" s="41" t="s">
        <v>1779</v>
      </c>
    </row>
    <row r="2703" spans="1:35" x14ac:dyDescent="0.25">
      <c r="A2703" s="36">
        <v>99912701</v>
      </c>
      <c r="B2703" s="17" t="s">
        <v>56</v>
      </c>
      <c r="C2703" t="s">
        <v>79</v>
      </c>
      <c r="D2703" t="s">
        <v>80</v>
      </c>
      <c r="G2703" s="17" t="s">
        <v>48</v>
      </c>
      <c r="H2703" s="17">
        <v>1</v>
      </c>
      <c r="K2703" t="s">
        <v>1051</v>
      </c>
      <c r="L2703" t="s">
        <v>1052</v>
      </c>
      <c r="M2703" t="s">
        <v>1053</v>
      </c>
      <c r="N2703">
        <v>10</v>
      </c>
      <c r="O2703" t="s">
        <v>40</v>
      </c>
      <c r="P2703" t="s">
        <v>40</v>
      </c>
      <c r="Q2703" t="s">
        <v>40</v>
      </c>
      <c r="R2703" t="s">
        <v>40</v>
      </c>
      <c r="S2703" t="s">
        <v>40</v>
      </c>
      <c r="V2703" t="s">
        <v>41</v>
      </c>
      <c r="W2703" t="s">
        <v>49</v>
      </c>
      <c r="X2703" t="str">
        <f>"2060005"</f>
        <v>2060005</v>
      </c>
      <c r="Y2703" t="s">
        <v>1054</v>
      </c>
      <c r="Z2703" t="s">
        <v>1051</v>
      </c>
      <c r="AA2703" t="s">
        <v>1052</v>
      </c>
      <c r="AB2703" t="s">
        <v>1053</v>
      </c>
      <c r="AC2703" t="s">
        <v>51</v>
      </c>
      <c r="AD2703" t="s">
        <v>45</v>
      </c>
      <c r="AE2703" s="1">
        <v>27254</v>
      </c>
      <c r="AF2703">
        <v>2</v>
      </c>
      <c r="AG2703" t="s">
        <v>1052</v>
      </c>
      <c r="AH2703" s="36">
        <f t="shared" si="42"/>
        <v>45.008333333333333</v>
      </c>
      <c r="AI2703" s="41" t="s">
        <v>1779</v>
      </c>
    </row>
    <row r="2704" spans="1:35" x14ac:dyDescent="0.25">
      <c r="A2704" s="36">
        <v>99912702</v>
      </c>
      <c r="B2704" s="17" t="s">
        <v>32</v>
      </c>
      <c r="C2704" t="s">
        <v>46</v>
      </c>
      <c r="D2704" t="s">
        <v>47</v>
      </c>
      <c r="G2704" s="17" t="s">
        <v>48</v>
      </c>
      <c r="H2704" s="17">
        <v>1</v>
      </c>
      <c r="K2704" t="s">
        <v>162</v>
      </c>
      <c r="L2704" t="s">
        <v>158</v>
      </c>
      <c r="M2704" t="s">
        <v>131</v>
      </c>
      <c r="N2704">
        <v>20</v>
      </c>
      <c r="O2704" t="s">
        <v>40</v>
      </c>
      <c r="P2704" t="s">
        <v>40</v>
      </c>
      <c r="Q2704" t="s">
        <v>40</v>
      </c>
      <c r="R2704" t="s">
        <v>40</v>
      </c>
      <c r="S2704" t="s">
        <v>40</v>
      </c>
      <c r="V2704" t="s">
        <v>41</v>
      </c>
      <c r="W2704" t="s">
        <v>49</v>
      </c>
      <c r="X2704" t="str">
        <f>"0560003"</f>
        <v>0560003</v>
      </c>
      <c r="Y2704" t="s">
        <v>181</v>
      </c>
      <c r="Z2704" t="s">
        <v>162</v>
      </c>
      <c r="AA2704" t="s">
        <v>158</v>
      </c>
      <c r="AB2704" t="s">
        <v>131</v>
      </c>
      <c r="AC2704" t="s">
        <v>51</v>
      </c>
      <c r="AD2704" t="s">
        <v>45</v>
      </c>
      <c r="AE2704" s="1">
        <v>27251</v>
      </c>
      <c r="AF2704">
        <v>2</v>
      </c>
      <c r="AG2704" t="s">
        <v>158</v>
      </c>
      <c r="AH2704" s="36">
        <f t="shared" si="42"/>
        <v>45.016666666666666</v>
      </c>
      <c r="AI2704" s="41" t="s">
        <v>1779</v>
      </c>
    </row>
    <row r="2705" spans="1:35" x14ac:dyDescent="0.25">
      <c r="A2705" s="36">
        <v>99912703</v>
      </c>
      <c r="B2705" s="17" t="s">
        <v>56</v>
      </c>
      <c r="C2705" t="s">
        <v>52</v>
      </c>
      <c r="D2705" t="s">
        <v>53</v>
      </c>
      <c r="G2705" s="17" t="s">
        <v>48</v>
      </c>
      <c r="H2705" s="17">
        <v>1</v>
      </c>
      <c r="K2705" t="s">
        <v>162</v>
      </c>
      <c r="L2705" t="s">
        <v>158</v>
      </c>
      <c r="M2705" t="s">
        <v>131</v>
      </c>
      <c r="N2705">
        <v>21</v>
      </c>
      <c r="O2705" t="s">
        <v>40</v>
      </c>
      <c r="P2705" t="s">
        <v>40</v>
      </c>
      <c r="Q2705" t="s">
        <v>40</v>
      </c>
      <c r="R2705" t="s">
        <v>40</v>
      </c>
      <c r="S2705" t="s">
        <v>40</v>
      </c>
      <c r="V2705" t="s">
        <v>41</v>
      </c>
      <c r="W2705" t="s">
        <v>49</v>
      </c>
      <c r="X2705" t="str">
        <f>"0560003"</f>
        <v>0560003</v>
      </c>
      <c r="Y2705" t="s">
        <v>181</v>
      </c>
      <c r="Z2705" t="s">
        <v>162</v>
      </c>
      <c r="AA2705" t="s">
        <v>158</v>
      </c>
      <c r="AB2705" t="s">
        <v>131</v>
      </c>
      <c r="AC2705" t="s">
        <v>51</v>
      </c>
      <c r="AD2705" t="s">
        <v>45</v>
      </c>
      <c r="AE2705" s="1">
        <v>27246</v>
      </c>
      <c r="AF2705">
        <v>2</v>
      </c>
      <c r="AG2705" t="s">
        <v>158</v>
      </c>
      <c r="AH2705" s="36">
        <f t="shared" si="42"/>
        <v>45.030555555555559</v>
      </c>
      <c r="AI2705" s="41" t="s">
        <v>1779</v>
      </c>
    </row>
    <row r="2706" spans="1:35" x14ac:dyDescent="0.25">
      <c r="A2706" s="36">
        <v>99912704</v>
      </c>
      <c r="B2706" s="17" t="s">
        <v>32</v>
      </c>
      <c r="C2706" t="s">
        <v>71</v>
      </c>
      <c r="D2706" t="s">
        <v>72</v>
      </c>
      <c r="G2706" s="17" t="s">
        <v>35</v>
      </c>
      <c r="H2706" s="17">
        <v>1</v>
      </c>
      <c r="I2706" t="s">
        <v>1517</v>
      </c>
      <c r="J2706" s="1">
        <v>43362</v>
      </c>
      <c r="K2706" t="s">
        <v>667</v>
      </c>
      <c r="L2706" t="s">
        <v>669</v>
      </c>
      <c r="M2706" t="s">
        <v>670</v>
      </c>
      <c r="N2706">
        <v>24</v>
      </c>
      <c r="O2706" t="s">
        <v>40</v>
      </c>
      <c r="P2706" t="s">
        <v>40</v>
      </c>
      <c r="Q2706" t="s">
        <v>40</v>
      </c>
      <c r="R2706" t="s">
        <v>40</v>
      </c>
      <c r="S2706" t="s">
        <v>40</v>
      </c>
      <c r="U2706" s="1">
        <v>43362</v>
      </c>
      <c r="V2706" t="s">
        <v>41</v>
      </c>
      <c r="W2706" t="s">
        <v>75</v>
      </c>
      <c r="X2706" t="str">
        <f>"7501000"</f>
        <v>7501000</v>
      </c>
      <c r="Y2706" t="s">
        <v>668</v>
      </c>
      <c r="Z2706" t="s">
        <v>667</v>
      </c>
      <c r="AA2706" t="s">
        <v>669</v>
      </c>
      <c r="AB2706" t="s">
        <v>670</v>
      </c>
      <c r="AC2706" t="s">
        <v>55</v>
      </c>
      <c r="AD2706" t="s">
        <v>45</v>
      </c>
      <c r="AE2706" s="1">
        <v>27245</v>
      </c>
      <c r="AF2706">
        <v>1</v>
      </c>
      <c r="AG2706" t="s">
        <v>669</v>
      </c>
      <c r="AH2706" s="36">
        <f t="shared" si="42"/>
        <v>45.033333333333331</v>
      </c>
      <c r="AI2706" s="41" t="s">
        <v>1779</v>
      </c>
    </row>
    <row r="2707" spans="1:35" x14ac:dyDescent="0.25">
      <c r="A2707" s="36">
        <v>99912705</v>
      </c>
      <c r="B2707" s="17" t="s">
        <v>32</v>
      </c>
      <c r="C2707" t="s">
        <v>79</v>
      </c>
      <c r="D2707" t="s">
        <v>80</v>
      </c>
      <c r="G2707" s="17" t="s">
        <v>48</v>
      </c>
      <c r="H2707" s="17">
        <v>1</v>
      </c>
      <c r="K2707" t="s">
        <v>162</v>
      </c>
      <c r="L2707" t="s">
        <v>158</v>
      </c>
      <c r="M2707" t="s">
        <v>131</v>
      </c>
      <c r="N2707">
        <v>16</v>
      </c>
      <c r="O2707" t="s">
        <v>40</v>
      </c>
      <c r="P2707" t="s">
        <v>40</v>
      </c>
      <c r="Q2707" t="s">
        <v>40</v>
      </c>
      <c r="S2707" t="s">
        <v>40</v>
      </c>
      <c r="V2707" t="s">
        <v>41</v>
      </c>
      <c r="W2707" t="s">
        <v>49</v>
      </c>
      <c r="X2707" t="str">
        <f>"0560027"</f>
        <v>0560027</v>
      </c>
      <c r="Y2707" t="s">
        <v>178</v>
      </c>
      <c r="Z2707" t="s">
        <v>162</v>
      </c>
      <c r="AA2707" t="s">
        <v>158</v>
      </c>
      <c r="AB2707" t="s">
        <v>131</v>
      </c>
      <c r="AC2707" t="s">
        <v>51</v>
      </c>
      <c r="AD2707" t="s">
        <v>45</v>
      </c>
      <c r="AE2707" s="1">
        <v>27234</v>
      </c>
      <c r="AF2707">
        <v>2</v>
      </c>
      <c r="AG2707" t="s">
        <v>158</v>
      </c>
      <c r="AH2707" s="36">
        <f t="shared" si="42"/>
        <v>45.06388888888889</v>
      </c>
      <c r="AI2707" s="41" t="s">
        <v>1779</v>
      </c>
    </row>
    <row r="2708" spans="1:35" x14ac:dyDescent="0.25">
      <c r="A2708" s="36">
        <v>99912706</v>
      </c>
      <c r="B2708" s="17" t="s">
        <v>32</v>
      </c>
      <c r="C2708" t="s">
        <v>64</v>
      </c>
      <c r="D2708" t="s">
        <v>65</v>
      </c>
      <c r="G2708" s="17" t="s">
        <v>48</v>
      </c>
      <c r="H2708" s="17">
        <v>1</v>
      </c>
      <c r="K2708" t="s">
        <v>223</v>
      </c>
      <c r="L2708" t="s">
        <v>224</v>
      </c>
      <c r="M2708" t="s">
        <v>131</v>
      </c>
      <c r="N2708">
        <v>20</v>
      </c>
      <c r="O2708" t="s">
        <v>40</v>
      </c>
      <c r="P2708" t="s">
        <v>40</v>
      </c>
      <c r="Q2708" t="s">
        <v>40</v>
      </c>
      <c r="S2708" t="s">
        <v>40</v>
      </c>
      <c r="V2708" t="s">
        <v>41</v>
      </c>
      <c r="W2708" t="s">
        <v>49</v>
      </c>
      <c r="X2708" t="str">
        <f>"0581206"</f>
        <v>0581206</v>
      </c>
      <c r="Y2708" t="s">
        <v>232</v>
      </c>
      <c r="Z2708" t="s">
        <v>223</v>
      </c>
      <c r="AA2708" t="s">
        <v>224</v>
      </c>
      <c r="AB2708" t="s">
        <v>131</v>
      </c>
      <c r="AC2708" t="s">
        <v>51</v>
      </c>
      <c r="AD2708" t="s">
        <v>45</v>
      </c>
      <c r="AE2708" s="1">
        <v>27231</v>
      </c>
      <c r="AF2708">
        <v>2</v>
      </c>
      <c r="AG2708" t="s">
        <v>224</v>
      </c>
      <c r="AH2708" s="36">
        <f t="shared" si="42"/>
        <v>45.072222222222223</v>
      </c>
      <c r="AI2708" s="41" t="s">
        <v>1779</v>
      </c>
    </row>
    <row r="2709" spans="1:35" x14ac:dyDescent="0.25">
      <c r="A2709" s="36">
        <v>99912707</v>
      </c>
      <c r="B2709" s="17" t="s">
        <v>32</v>
      </c>
      <c r="C2709" t="s">
        <v>90</v>
      </c>
      <c r="D2709" t="s">
        <v>91</v>
      </c>
      <c r="G2709" s="17" t="s">
        <v>35</v>
      </c>
      <c r="H2709" s="17">
        <v>2</v>
      </c>
      <c r="I2709" t="s">
        <v>1445</v>
      </c>
      <c r="J2709" s="1">
        <v>43346</v>
      </c>
      <c r="K2709" t="s">
        <v>1426</v>
      </c>
      <c r="L2709" t="s">
        <v>1427</v>
      </c>
      <c r="M2709" t="s">
        <v>1270</v>
      </c>
      <c r="N2709">
        <v>25</v>
      </c>
      <c r="O2709" t="s">
        <v>40</v>
      </c>
      <c r="P2709" t="s">
        <v>40</v>
      </c>
      <c r="Q2709" t="s">
        <v>40</v>
      </c>
      <c r="R2709" t="s">
        <v>40</v>
      </c>
      <c r="S2709" t="s">
        <v>40</v>
      </c>
      <c r="U2709" s="1">
        <v>43346</v>
      </c>
      <c r="V2709" t="s">
        <v>41</v>
      </c>
      <c r="W2709" t="s">
        <v>95</v>
      </c>
      <c r="X2709" t="str">
        <f>"7192053"</f>
        <v>7192053</v>
      </c>
      <c r="Y2709" t="s">
        <v>1446</v>
      </c>
      <c r="Z2709" t="s">
        <v>1426</v>
      </c>
      <c r="AA2709" t="s">
        <v>1427</v>
      </c>
      <c r="AB2709" t="s">
        <v>1270</v>
      </c>
      <c r="AC2709" t="s">
        <v>51</v>
      </c>
      <c r="AD2709" t="s">
        <v>45</v>
      </c>
      <c r="AE2709" s="1">
        <v>27230</v>
      </c>
      <c r="AF2709">
        <v>1</v>
      </c>
      <c r="AG2709" t="s">
        <v>1427</v>
      </c>
      <c r="AH2709" s="36">
        <f t="shared" si="42"/>
        <v>45.075000000000003</v>
      </c>
      <c r="AI2709" s="41" t="s">
        <v>1779</v>
      </c>
    </row>
    <row r="2710" spans="1:35" x14ac:dyDescent="0.25">
      <c r="A2710" s="36">
        <v>99912708</v>
      </c>
      <c r="B2710" s="17" t="s">
        <v>32</v>
      </c>
      <c r="C2710" t="s">
        <v>143</v>
      </c>
      <c r="D2710" t="s">
        <v>144</v>
      </c>
      <c r="G2710" s="17" t="s">
        <v>48</v>
      </c>
      <c r="H2710" s="17">
        <v>1</v>
      </c>
      <c r="K2710" t="s">
        <v>154</v>
      </c>
      <c r="L2710" t="s">
        <v>155</v>
      </c>
      <c r="M2710" t="s">
        <v>131</v>
      </c>
      <c r="N2710">
        <v>20</v>
      </c>
      <c r="O2710" t="s">
        <v>40</v>
      </c>
      <c r="P2710" t="s">
        <v>40</v>
      </c>
      <c r="Q2710" t="s">
        <v>40</v>
      </c>
      <c r="S2710" t="s">
        <v>40</v>
      </c>
      <c r="V2710" t="s">
        <v>41</v>
      </c>
      <c r="W2710" t="s">
        <v>75</v>
      </c>
      <c r="X2710" t="str">
        <f>"7051022"</f>
        <v>7051022</v>
      </c>
      <c r="Y2710" t="s">
        <v>153</v>
      </c>
      <c r="Z2710" t="s">
        <v>154</v>
      </c>
      <c r="AA2710" t="s">
        <v>155</v>
      </c>
      <c r="AB2710" t="s">
        <v>131</v>
      </c>
      <c r="AC2710" t="s">
        <v>51</v>
      </c>
      <c r="AD2710" t="s">
        <v>45</v>
      </c>
      <c r="AE2710" s="1">
        <v>27216</v>
      </c>
      <c r="AF2710">
        <v>1</v>
      </c>
      <c r="AG2710" t="s">
        <v>155</v>
      </c>
      <c r="AH2710" s="36">
        <f t="shared" si="42"/>
        <v>45.113888888888887</v>
      </c>
      <c r="AI2710" s="41" t="s">
        <v>1779</v>
      </c>
    </row>
    <row r="2711" spans="1:35" x14ac:dyDescent="0.25">
      <c r="A2711" s="36">
        <v>99912709</v>
      </c>
      <c r="B2711" s="17" t="s">
        <v>32</v>
      </c>
      <c r="C2711" t="s">
        <v>111</v>
      </c>
      <c r="D2711" t="s">
        <v>112</v>
      </c>
      <c r="G2711" s="17" t="s">
        <v>35</v>
      </c>
      <c r="H2711" s="17">
        <v>1</v>
      </c>
      <c r="I2711" s="1">
        <v>40057</v>
      </c>
      <c r="J2711" s="1">
        <v>43344</v>
      </c>
      <c r="K2711" t="s">
        <v>1341</v>
      </c>
      <c r="L2711" t="s">
        <v>1342</v>
      </c>
      <c r="M2711" t="s">
        <v>1270</v>
      </c>
      <c r="N2711">
        <v>24</v>
      </c>
      <c r="O2711" t="s">
        <v>40</v>
      </c>
      <c r="S2711" t="s">
        <v>40</v>
      </c>
      <c r="U2711" s="1">
        <v>43344</v>
      </c>
      <c r="V2711" t="s">
        <v>41</v>
      </c>
      <c r="W2711" t="s">
        <v>75</v>
      </c>
      <c r="X2711" t="str">
        <f>"7191032"</f>
        <v>7191032</v>
      </c>
      <c r="Y2711" t="s">
        <v>1399</v>
      </c>
      <c r="Z2711" t="s">
        <v>1341</v>
      </c>
      <c r="AA2711" t="s">
        <v>1342</v>
      </c>
      <c r="AB2711" t="s">
        <v>1270</v>
      </c>
      <c r="AC2711" t="s">
        <v>51</v>
      </c>
      <c r="AD2711" t="s">
        <v>45</v>
      </c>
      <c r="AE2711" s="1">
        <v>27214</v>
      </c>
      <c r="AF2711">
        <v>1</v>
      </c>
      <c r="AG2711" t="s">
        <v>1342</v>
      </c>
      <c r="AH2711" s="36">
        <f t="shared" si="42"/>
        <v>45.119444444444447</v>
      </c>
      <c r="AI2711" s="41" t="s">
        <v>1779</v>
      </c>
    </row>
    <row r="2712" spans="1:35" x14ac:dyDescent="0.25">
      <c r="A2712" s="36">
        <v>99912710</v>
      </c>
      <c r="B2712" s="17" t="s">
        <v>32</v>
      </c>
      <c r="C2712" t="s">
        <v>46</v>
      </c>
      <c r="D2712" t="s">
        <v>47</v>
      </c>
      <c r="G2712" s="17" t="s">
        <v>48</v>
      </c>
      <c r="H2712" s="17">
        <v>1</v>
      </c>
      <c r="K2712" t="s">
        <v>162</v>
      </c>
      <c r="L2712" t="s">
        <v>158</v>
      </c>
      <c r="M2712" t="s">
        <v>131</v>
      </c>
      <c r="N2712">
        <v>16</v>
      </c>
      <c r="O2712" t="s">
        <v>40</v>
      </c>
      <c r="P2712" t="s">
        <v>40</v>
      </c>
      <c r="Q2712" t="s">
        <v>40</v>
      </c>
      <c r="S2712" t="s">
        <v>40</v>
      </c>
      <c r="V2712" t="s">
        <v>41</v>
      </c>
      <c r="W2712" t="s">
        <v>49</v>
      </c>
      <c r="X2712" t="str">
        <f>"0560027"</f>
        <v>0560027</v>
      </c>
      <c r="Y2712" t="s">
        <v>178</v>
      </c>
      <c r="Z2712" t="s">
        <v>162</v>
      </c>
      <c r="AA2712" t="s">
        <v>158</v>
      </c>
      <c r="AB2712" t="s">
        <v>131</v>
      </c>
      <c r="AC2712" t="s">
        <v>51</v>
      </c>
      <c r="AD2712" t="s">
        <v>45</v>
      </c>
      <c r="AE2712" s="1">
        <v>27211</v>
      </c>
      <c r="AF2712">
        <v>2</v>
      </c>
      <c r="AG2712" t="s">
        <v>158</v>
      </c>
      <c r="AH2712" s="36">
        <f t="shared" si="42"/>
        <v>45.12777777777778</v>
      </c>
      <c r="AI2712" s="41" t="s">
        <v>1779</v>
      </c>
    </row>
    <row r="2713" spans="1:35" x14ac:dyDescent="0.25">
      <c r="A2713" s="36">
        <v>99912711</v>
      </c>
      <c r="B2713" s="17" t="s">
        <v>32</v>
      </c>
      <c r="C2713" t="s">
        <v>139</v>
      </c>
      <c r="D2713" t="s">
        <v>140</v>
      </c>
      <c r="G2713" s="17" t="s">
        <v>35</v>
      </c>
      <c r="H2713" s="17">
        <v>1</v>
      </c>
      <c r="K2713" t="s">
        <v>154</v>
      </c>
      <c r="L2713" t="s">
        <v>155</v>
      </c>
      <c r="M2713" t="s">
        <v>131</v>
      </c>
      <c r="N2713">
        <v>22</v>
      </c>
      <c r="O2713" t="s">
        <v>40</v>
      </c>
      <c r="P2713" t="s">
        <v>40</v>
      </c>
      <c r="Q2713" t="s">
        <v>40</v>
      </c>
      <c r="S2713" t="s">
        <v>40</v>
      </c>
      <c r="V2713" t="s">
        <v>41</v>
      </c>
      <c r="W2713" t="s">
        <v>75</v>
      </c>
      <c r="X2713" t="str">
        <f>"7700026"</f>
        <v>7700026</v>
      </c>
      <c r="Y2713" t="s">
        <v>397</v>
      </c>
      <c r="Z2713" t="s">
        <v>154</v>
      </c>
      <c r="AA2713" t="s">
        <v>155</v>
      </c>
      <c r="AB2713" t="s">
        <v>131</v>
      </c>
      <c r="AC2713" t="s">
        <v>51</v>
      </c>
      <c r="AD2713" t="s">
        <v>45</v>
      </c>
      <c r="AE2713" s="1">
        <v>27210</v>
      </c>
      <c r="AF2713">
        <v>1</v>
      </c>
      <c r="AG2713" t="s">
        <v>155</v>
      </c>
      <c r="AH2713" s="36">
        <f t="shared" si="42"/>
        <v>45.130555555555553</v>
      </c>
      <c r="AI2713" s="41" t="s">
        <v>1779</v>
      </c>
    </row>
    <row r="2714" spans="1:35" x14ac:dyDescent="0.25">
      <c r="A2714" s="36">
        <v>99912712</v>
      </c>
      <c r="B2714" s="17" t="s">
        <v>32</v>
      </c>
      <c r="C2714" t="s">
        <v>90</v>
      </c>
      <c r="D2714" t="s">
        <v>91</v>
      </c>
      <c r="G2714" s="17" t="s">
        <v>35</v>
      </c>
      <c r="H2714" s="17">
        <v>1</v>
      </c>
      <c r="I2714" s="1">
        <v>42685</v>
      </c>
      <c r="J2714" s="1">
        <v>43344</v>
      </c>
      <c r="K2714" t="s">
        <v>1341</v>
      </c>
      <c r="L2714" t="s">
        <v>1342</v>
      </c>
      <c r="M2714" t="s">
        <v>1270</v>
      </c>
      <c r="N2714">
        <v>24</v>
      </c>
      <c r="O2714" t="s">
        <v>40</v>
      </c>
      <c r="S2714" t="s">
        <v>40</v>
      </c>
      <c r="U2714" s="1">
        <v>43344</v>
      </c>
      <c r="V2714" t="s">
        <v>41</v>
      </c>
      <c r="W2714" t="s">
        <v>95</v>
      </c>
      <c r="X2714" t="str">
        <f>"7191003"</f>
        <v>7191003</v>
      </c>
      <c r="Y2714" t="s">
        <v>1361</v>
      </c>
      <c r="Z2714" t="s">
        <v>1341</v>
      </c>
      <c r="AA2714" t="s">
        <v>1342</v>
      </c>
      <c r="AB2714" t="s">
        <v>1270</v>
      </c>
      <c r="AC2714" t="s">
        <v>51</v>
      </c>
      <c r="AD2714" t="s">
        <v>45</v>
      </c>
      <c r="AE2714" s="1">
        <v>27210</v>
      </c>
      <c r="AF2714">
        <v>1</v>
      </c>
      <c r="AG2714" t="s">
        <v>1342</v>
      </c>
      <c r="AH2714" s="36">
        <f t="shared" si="42"/>
        <v>45.130555555555553</v>
      </c>
      <c r="AI2714" s="41" t="s">
        <v>1779</v>
      </c>
    </row>
    <row r="2715" spans="1:35" x14ac:dyDescent="0.25">
      <c r="A2715" s="36">
        <v>99912713</v>
      </c>
      <c r="B2715" s="17" t="s">
        <v>32</v>
      </c>
      <c r="C2715" t="s">
        <v>46</v>
      </c>
      <c r="D2715" t="s">
        <v>47</v>
      </c>
      <c r="G2715" s="17" t="s">
        <v>48</v>
      </c>
      <c r="H2715" s="17">
        <v>1</v>
      </c>
      <c r="K2715" t="s">
        <v>162</v>
      </c>
      <c r="L2715" t="s">
        <v>158</v>
      </c>
      <c r="M2715" t="s">
        <v>131</v>
      </c>
      <c r="N2715">
        <v>21</v>
      </c>
      <c r="O2715" t="s">
        <v>40</v>
      </c>
      <c r="P2715" t="s">
        <v>40</v>
      </c>
      <c r="Q2715" t="s">
        <v>40</v>
      </c>
      <c r="R2715" t="s">
        <v>40</v>
      </c>
      <c r="S2715" t="s">
        <v>40</v>
      </c>
      <c r="V2715" t="s">
        <v>41</v>
      </c>
      <c r="W2715" t="s">
        <v>42</v>
      </c>
      <c r="X2715" t="str">
        <f>"0580310"</f>
        <v>0580310</v>
      </c>
      <c r="Y2715" t="s">
        <v>173</v>
      </c>
      <c r="Z2715" t="s">
        <v>162</v>
      </c>
      <c r="AA2715" t="s">
        <v>158</v>
      </c>
      <c r="AB2715" t="s">
        <v>131</v>
      </c>
      <c r="AC2715" t="s">
        <v>51</v>
      </c>
      <c r="AD2715" t="s">
        <v>45</v>
      </c>
      <c r="AE2715" s="1">
        <v>27209</v>
      </c>
      <c r="AF2715">
        <v>2</v>
      </c>
      <c r="AG2715" t="s">
        <v>158</v>
      </c>
      <c r="AH2715" s="36">
        <f t="shared" si="42"/>
        <v>45.133333333333333</v>
      </c>
      <c r="AI2715" s="41" t="s">
        <v>1779</v>
      </c>
    </row>
    <row r="2716" spans="1:35" x14ac:dyDescent="0.25">
      <c r="A2716" s="36">
        <v>99912714</v>
      </c>
      <c r="B2716" s="17" t="s">
        <v>32</v>
      </c>
      <c r="C2716" t="s">
        <v>145</v>
      </c>
      <c r="D2716" t="s">
        <v>146</v>
      </c>
      <c r="G2716" s="17" t="s">
        <v>48</v>
      </c>
      <c r="H2716" s="17">
        <v>1</v>
      </c>
      <c r="K2716" t="s">
        <v>1128</v>
      </c>
      <c r="L2716" t="s">
        <v>1129</v>
      </c>
      <c r="M2716" t="s">
        <v>1130</v>
      </c>
      <c r="N2716">
        <v>17</v>
      </c>
      <c r="O2716" t="s">
        <v>40</v>
      </c>
      <c r="P2716" t="s">
        <v>40</v>
      </c>
      <c r="Q2716" t="s">
        <v>40</v>
      </c>
      <c r="R2716" t="s">
        <v>40</v>
      </c>
      <c r="S2716" t="s">
        <v>40</v>
      </c>
      <c r="V2716" t="s">
        <v>41</v>
      </c>
      <c r="W2716" t="s">
        <v>49</v>
      </c>
      <c r="X2716" t="str">
        <f>"3181015"</f>
        <v>3181015</v>
      </c>
      <c r="Y2716" t="s">
        <v>1131</v>
      </c>
      <c r="Z2716" t="s">
        <v>1128</v>
      </c>
      <c r="AA2716" t="s">
        <v>1129</v>
      </c>
      <c r="AB2716" t="s">
        <v>1130</v>
      </c>
      <c r="AC2716" t="s">
        <v>51</v>
      </c>
      <c r="AD2716" t="s">
        <v>45</v>
      </c>
      <c r="AE2716" s="1">
        <v>27201</v>
      </c>
      <c r="AF2716">
        <v>2</v>
      </c>
      <c r="AG2716" t="s">
        <v>1129</v>
      </c>
      <c r="AH2716" s="36">
        <f t="shared" si="42"/>
        <v>45.155555555555559</v>
      </c>
      <c r="AI2716" s="41" t="s">
        <v>1779</v>
      </c>
    </row>
    <row r="2717" spans="1:35" x14ac:dyDescent="0.25">
      <c r="A2717" s="36">
        <v>99912715</v>
      </c>
      <c r="B2717" s="17" t="s">
        <v>56</v>
      </c>
      <c r="C2717" t="s">
        <v>111</v>
      </c>
      <c r="D2717" t="s">
        <v>112</v>
      </c>
      <c r="G2717" s="17" t="s">
        <v>35</v>
      </c>
      <c r="H2717" s="17">
        <v>1</v>
      </c>
      <c r="K2717" t="s">
        <v>1341</v>
      </c>
      <c r="L2717" t="s">
        <v>1342</v>
      </c>
      <c r="M2717" t="s">
        <v>1270</v>
      </c>
      <c r="N2717">
        <v>22</v>
      </c>
      <c r="O2717" t="s">
        <v>40</v>
      </c>
      <c r="P2717" t="s">
        <v>40</v>
      </c>
      <c r="Q2717" t="s">
        <v>40</v>
      </c>
      <c r="S2717" t="s">
        <v>40</v>
      </c>
      <c r="V2717" t="s">
        <v>41</v>
      </c>
      <c r="W2717" t="s">
        <v>75</v>
      </c>
      <c r="X2717" t="str">
        <f>"7191006"</f>
        <v>7191006</v>
      </c>
      <c r="Y2717" t="s">
        <v>1351</v>
      </c>
      <c r="Z2717" t="s">
        <v>1341</v>
      </c>
      <c r="AA2717" t="s">
        <v>1342</v>
      </c>
      <c r="AB2717" t="s">
        <v>1270</v>
      </c>
      <c r="AC2717" t="s">
        <v>51</v>
      </c>
      <c r="AD2717" t="s">
        <v>45</v>
      </c>
      <c r="AE2717" s="1">
        <v>27201</v>
      </c>
      <c r="AF2717">
        <v>1</v>
      </c>
      <c r="AG2717" t="s">
        <v>1342</v>
      </c>
      <c r="AH2717" s="36">
        <f t="shared" si="42"/>
        <v>45.155555555555559</v>
      </c>
      <c r="AI2717" s="41" t="s">
        <v>1779</v>
      </c>
    </row>
    <row r="2718" spans="1:35" x14ac:dyDescent="0.25">
      <c r="A2718" s="36">
        <v>99912716</v>
      </c>
      <c r="B2718" s="17" t="s">
        <v>32</v>
      </c>
      <c r="C2718" t="s">
        <v>141</v>
      </c>
      <c r="D2718" t="s">
        <v>142</v>
      </c>
      <c r="G2718" s="17" t="s">
        <v>48</v>
      </c>
      <c r="H2718" s="17">
        <v>1</v>
      </c>
      <c r="K2718" t="s">
        <v>300</v>
      </c>
      <c r="L2718" t="s">
        <v>301</v>
      </c>
      <c r="M2718" t="s">
        <v>131</v>
      </c>
      <c r="N2718">
        <v>10</v>
      </c>
      <c r="O2718" t="s">
        <v>40</v>
      </c>
      <c r="P2718" t="s">
        <v>40</v>
      </c>
      <c r="Q2718" t="s">
        <v>40</v>
      </c>
      <c r="R2718" t="s">
        <v>40</v>
      </c>
      <c r="S2718" t="s">
        <v>40</v>
      </c>
      <c r="V2718" t="s">
        <v>41</v>
      </c>
      <c r="W2718" t="s">
        <v>49</v>
      </c>
      <c r="X2718" t="str">
        <f>"0560001"</f>
        <v>0560001</v>
      </c>
      <c r="Y2718" t="s">
        <v>304</v>
      </c>
      <c r="Z2718" t="s">
        <v>300</v>
      </c>
      <c r="AA2718" t="s">
        <v>301</v>
      </c>
      <c r="AB2718" t="s">
        <v>131</v>
      </c>
      <c r="AC2718" t="s">
        <v>51</v>
      </c>
      <c r="AD2718" t="s">
        <v>45</v>
      </c>
      <c r="AE2718" s="1">
        <v>27199</v>
      </c>
      <c r="AF2718">
        <v>2</v>
      </c>
      <c r="AG2718" t="s">
        <v>301</v>
      </c>
      <c r="AH2718" s="36">
        <f t="shared" si="42"/>
        <v>45.161111111111111</v>
      </c>
      <c r="AI2718" s="41" t="s">
        <v>1779</v>
      </c>
    </row>
    <row r="2719" spans="1:35" x14ac:dyDescent="0.25">
      <c r="A2719" s="36">
        <v>99912717</v>
      </c>
      <c r="B2719" s="17" t="s">
        <v>32</v>
      </c>
      <c r="C2719" t="s">
        <v>90</v>
      </c>
      <c r="D2719" t="s">
        <v>91</v>
      </c>
      <c r="G2719" s="17" t="s">
        <v>35</v>
      </c>
      <c r="H2719" s="17">
        <v>2</v>
      </c>
      <c r="K2719" t="s">
        <v>1426</v>
      </c>
      <c r="L2719" t="s">
        <v>1427</v>
      </c>
      <c r="M2719" t="s">
        <v>1270</v>
      </c>
      <c r="N2719">
        <v>25</v>
      </c>
      <c r="O2719" t="s">
        <v>40</v>
      </c>
      <c r="P2719" t="s">
        <v>40</v>
      </c>
      <c r="Q2719" t="s">
        <v>40</v>
      </c>
      <c r="R2719" t="s">
        <v>40</v>
      </c>
      <c r="S2719" t="s">
        <v>40</v>
      </c>
      <c r="V2719" t="s">
        <v>41</v>
      </c>
      <c r="W2719" t="s">
        <v>95</v>
      </c>
      <c r="X2719" t="str">
        <f>"7192033"</f>
        <v>7192033</v>
      </c>
      <c r="Y2719" t="s">
        <v>1448</v>
      </c>
      <c r="Z2719" t="s">
        <v>1426</v>
      </c>
      <c r="AA2719" t="s">
        <v>1427</v>
      </c>
      <c r="AB2719" t="s">
        <v>1270</v>
      </c>
      <c r="AC2719" t="s">
        <v>51</v>
      </c>
      <c r="AD2719" t="s">
        <v>45</v>
      </c>
      <c r="AE2719" s="1">
        <v>27197</v>
      </c>
      <c r="AF2719">
        <v>1</v>
      </c>
      <c r="AG2719" t="s">
        <v>1427</v>
      </c>
      <c r="AH2719" s="36">
        <f t="shared" si="42"/>
        <v>45.166666666666664</v>
      </c>
      <c r="AI2719" s="41" t="s">
        <v>1779</v>
      </c>
    </row>
    <row r="2720" spans="1:35" x14ac:dyDescent="0.25">
      <c r="A2720" s="36">
        <v>99912718</v>
      </c>
      <c r="B2720" s="17" t="s">
        <v>56</v>
      </c>
      <c r="C2720" t="s">
        <v>136</v>
      </c>
      <c r="D2720" t="s">
        <v>137</v>
      </c>
      <c r="G2720" s="17" t="s">
        <v>48</v>
      </c>
      <c r="H2720" s="17">
        <v>7</v>
      </c>
      <c r="I2720" t="s">
        <v>549</v>
      </c>
      <c r="J2720" s="1">
        <v>40422</v>
      </c>
      <c r="K2720" t="s">
        <v>195</v>
      </c>
      <c r="L2720" t="s">
        <v>196</v>
      </c>
      <c r="M2720" t="s">
        <v>131</v>
      </c>
      <c r="N2720">
        <v>24</v>
      </c>
      <c r="O2720" t="s">
        <v>40</v>
      </c>
      <c r="P2720" t="s">
        <v>40</v>
      </c>
      <c r="Q2720" t="s">
        <v>40</v>
      </c>
      <c r="R2720" t="s">
        <v>40</v>
      </c>
      <c r="S2720" t="s">
        <v>40</v>
      </c>
      <c r="U2720" s="1">
        <v>40422</v>
      </c>
      <c r="V2720" t="s">
        <v>41</v>
      </c>
      <c r="W2720" t="s">
        <v>75</v>
      </c>
      <c r="X2720" t="str">
        <f>"7521050"</f>
        <v>7521050</v>
      </c>
      <c r="Y2720" t="s">
        <v>194</v>
      </c>
      <c r="Z2720" t="s">
        <v>195</v>
      </c>
      <c r="AA2720" t="s">
        <v>196</v>
      </c>
      <c r="AB2720" t="s">
        <v>131</v>
      </c>
      <c r="AC2720" t="s">
        <v>51</v>
      </c>
      <c r="AD2720" t="s">
        <v>45</v>
      </c>
      <c r="AE2720" s="1">
        <v>27192</v>
      </c>
      <c r="AF2720">
        <v>1</v>
      </c>
      <c r="AG2720" t="s">
        <v>196</v>
      </c>
      <c r="AH2720" s="36">
        <f t="shared" si="42"/>
        <v>45.180555555555557</v>
      </c>
      <c r="AI2720" s="41" t="s">
        <v>1779</v>
      </c>
    </row>
    <row r="2721" spans="1:35" x14ac:dyDescent="0.25">
      <c r="A2721" s="36">
        <v>99912719</v>
      </c>
      <c r="B2721" s="17" t="s">
        <v>56</v>
      </c>
      <c r="C2721" t="s">
        <v>52</v>
      </c>
      <c r="D2721" t="s">
        <v>53</v>
      </c>
      <c r="G2721" s="17" t="s">
        <v>48</v>
      </c>
      <c r="H2721" s="17">
        <v>1</v>
      </c>
      <c r="K2721" t="s">
        <v>345</v>
      </c>
      <c r="L2721" t="s">
        <v>346</v>
      </c>
      <c r="M2721" t="s">
        <v>131</v>
      </c>
      <c r="N2721">
        <v>21</v>
      </c>
      <c r="O2721" t="s">
        <v>40</v>
      </c>
      <c r="P2721" t="s">
        <v>40</v>
      </c>
      <c r="Q2721" t="s">
        <v>40</v>
      </c>
      <c r="R2721" t="s">
        <v>40</v>
      </c>
      <c r="S2721" t="s">
        <v>40</v>
      </c>
      <c r="V2721" t="s">
        <v>41</v>
      </c>
      <c r="W2721" t="s">
        <v>42</v>
      </c>
      <c r="X2721" t="str">
        <f>"0590906"</f>
        <v>0590906</v>
      </c>
      <c r="Y2721" t="s">
        <v>361</v>
      </c>
      <c r="Z2721" t="s">
        <v>345</v>
      </c>
      <c r="AA2721" t="s">
        <v>346</v>
      </c>
      <c r="AB2721" t="s">
        <v>131</v>
      </c>
      <c r="AC2721" t="s">
        <v>51</v>
      </c>
      <c r="AD2721" t="s">
        <v>45</v>
      </c>
      <c r="AE2721" s="1">
        <v>27191</v>
      </c>
      <c r="AF2721">
        <v>2</v>
      </c>
      <c r="AG2721" t="s">
        <v>346</v>
      </c>
      <c r="AH2721" s="36">
        <f t="shared" si="42"/>
        <v>45.18333333333333</v>
      </c>
      <c r="AI2721" s="41" t="s">
        <v>1779</v>
      </c>
    </row>
    <row r="2722" spans="1:35" x14ac:dyDescent="0.25">
      <c r="A2722" s="36">
        <v>99912720</v>
      </c>
      <c r="B2722" s="17" t="s">
        <v>32</v>
      </c>
      <c r="C2722" t="s">
        <v>64</v>
      </c>
      <c r="D2722" t="s">
        <v>65</v>
      </c>
      <c r="G2722" s="17" t="s">
        <v>48</v>
      </c>
      <c r="H2722" s="17">
        <v>1</v>
      </c>
      <c r="K2722" t="s">
        <v>223</v>
      </c>
      <c r="L2722" t="s">
        <v>224</v>
      </c>
      <c r="M2722" t="s">
        <v>131</v>
      </c>
      <c r="N2722">
        <v>20</v>
      </c>
      <c r="O2722" t="s">
        <v>40</v>
      </c>
      <c r="P2722" t="s">
        <v>40</v>
      </c>
      <c r="Q2722" t="s">
        <v>40</v>
      </c>
      <c r="R2722" t="s">
        <v>40</v>
      </c>
      <c r="S2722" t="s">
        <v>40</v>
      </c>
      <c r="V2722" t="s">
        <v>41</v>
      </c>
      <c r="W2722" t="s">
        <v>42</v>
      </c>
      <c r="X2722" t="str">
        <f>"0580204"</f>
        <v>0580204</v>
      </c>
      <c r="Y2722" t="s">
        <v>235</v>
      </c>
      <c r="Z2722" t="s">
        <v>223</v>
      </c>
      <c r="AA2722" t="s">
        <v>224</v>
      </c>
      <c r="AB2722" t="s">
        <v>131</v>
      </c>
      <c r="AC2722" t="s">
        <v>51</v>
      </c>
      <c r="AD2722" t="s">
        <v>45</v>
      </c>
      <c r="AE2722" s="1">
        <v>27190</v>
      </c>
      <c r="AF2722">
        <v>2</v>
      </c>
      <c r="AG2722" t="s">
        <v>224</v>
      </c>
      <c r="AH2722" s="36">
        <f t="shared" si="42"/>
        <v>45.18611111111111</v>
      </c>
      <c r="AI2722" s="41" t="s">
        <v>1779</v>
      </c>
    </row>
    <row r="2723" spans="1:35" x14ac:dyDescent="0.25">
      <c r="A2723" s="36">
        <v>99912721</v>
      </c>
      <c r="B2723" s="17" t="s">
        <v>32</v>
      </c>
      <c r="C2723" t="s">
        <v>71</v>
      </c>
      <c r="D2723" t="s">
        <v>72</v>
      </c>
      <c r="G2723" s="17" t="s">
        <v>35</v>
      </c>
      <c r="H2723" s="17">
        <v>1</v>
      </c>
      <c r="K2723" t="s">
        <v>157</v>
      </c>
      <c r="L2723" t="s">
        <v>158</v>
      </c>
      <c r="M2723" t="s">
        <v>131</v>
      </c>
      <c r="N2723">
        <v>4</v>
      </c>
      <c r="O2723" t="s">
        <v>40</v>
      </c>
      <c r="P2723" t="s">
        <v>40</v>
      </c>
      <c r="Q2723" t="s">
        <v>40</v>
      </c>
      <c r="R2723" t="s">
        <v>40</v>
      </c>
      <c r="S2723" t="s">
        <v>40</v>
      </c>
      <c r="V2723" t="s">
        <v>41</v>
      </c>
      <c r="W2723" t="s">
        <v>49</v>
      </c>
      <c r="X2723" t="str">
        <f>"0560011"</f>
        <v>0560011</v>
      </c>
      <c r="Y2723" t="s">
        <v>185</v>
      </c>
      <c r="Z2723" t="s">
        <v>157</v>
      </c>
      <c r="AA2723" t="s">
        <v>158</v>
      </c>
      <c r="AB2723" t="s">
        <v>131</v>
      </c>
      <c r="AC2723" t="s">
        <v>51</v>
      </c>
      <c r="AD2723" t="s">
        <v>45</v>
      </c>
      <c r="AE2723" s="1">
        <v>27189</v>
      </c>
      <c r="AF2723">
        <v>2</v>
      </c>
      <c r="AG2723" t="s">
        <v>158</v>
      </c>
      <c r="AH2723" s="36">
        <f t="shared" si="42"/>
        <v>45.18888888888889</v>
      </c>
      <c r="AI2723" s="41" t="s">
        <v>1779</v>
      </c>
    </row>
    <row r="2724" spans="1:35" x14ac:dyDescent="0.25">
      <c r="A2724" s="36">
        <v>99912722</v>
      </c>
      <c r="B2724" s="17" t="s">
        <v>56</v>
      </c>
      <c r="C2724" t="s">
        <v>58</v>
      </c>
      <c r="D2724" t="s">
        <v>59</v>
      </c>
      <c r="G2724" s="17" t="s">
        <v>48</v>
      </c>
      <c r="H2724" s="17">
        <v>1</v>
      </c>
      <c r="K2724" t="s">
        <v>223</v>
      </c>
      <c r="L2724" t="s">
        <v>224</v>
      </c>
      <c r="M2724" t="s">
        <v>131</v>
      </c>
      <c r="N2724">
        <v>21</v>
      </c>
      <c r="O2724" t="s">
        <v>40</v>
      </c>
      <c r="P2724" t="s">
        <v>40</v>
      </c>
      <c r="Q2724" t="s">
        <v>40</v>
      </c>
      <c r="R2724" t="s">
        <v>40</v>
      </c>
      <c r="S2724" t="s">
        <v>40</v>
      </c>
      <c r="V2724" t="s">
        <v>41</v>
      </c>
      <c r="W2724" t="s">
        <v>42</v>
      </c>
      <c r="X2724" t="str">
        <f>"0590910"</f>
        <v>0590910</v>
      </c>
      <c r="Y2724" t="s">
        <v>227</v>
      </c>
      <c r="Z2724" t="s">
        <v>223</v>
      </c>
      <c r="AA2724" t="s">
        <v>224</v>
      </c>
      <c r="AB2724" t="s">
        <v>131</v>
      </c>
      <c r="AC2724" t="s">
        <v>51</v>
      </c>
      <c r="AD2724" t="s">
        <v>45</v>
      </c>
      <c r="AE2724" s="1">
        <v>27189</v>
      </c>
      <c r="AF2724">
        <v>2</v>
      </c>
      <c r="AG2724" t="s">
        <v>224</v>
      </c>
      <c r="AH2724" s="36">
        <f t="shared" si="42"/>
        <v>45.18888888888889</v>
      </c>
      <c r="AI2724" s="41" t="s">
        <v>1779</v>
      </c>
    </row>
    <row r="2725" spans="1:35" x14ac:dyDescent="0.25">
      <c r="A2725" s="36">
        <v>99912723</v>
      </c>
      <c r="B2725" s="17" t="s">
        <v>32</v>
      </c>
      <c r="C2725" t="s">
        <v>46</v>
      </c>
      <c r="D2725" t="s">
        <v>47</v>
      </c>
      <c r="G2725" s="17" t="s">
        <v>35</v>
      </c>
      <c r="H2725" s="17">
        <v>1</v>
      </c>
      <c r="I2725">
        <v>9287</v>
      </c>
      <c r="J2725" s="1">
        <v>43364</v>
      </c>
      <c r="K2725" t="s">
        <v>1336</v>
      </c>
      <c r="L2725" t="s">
        <v>1337</v>
      </c>
      <c r="M2725" t="s">
        <v>1270</v>
      </c>
      <c r="N2725">
        <v>14</v>
      </c>
      <c r="O2725" t="s">
        <v>40</v>
      </c>
      <c r="P2725" t="s">
        <v>40</v>
      </c>
      <c r="Q2725" t="s">
        <v>40</v>
      </c>
      <c r="R2725" t="s">
        <v>40</v>
      </c>
      <c r="S2725" t="s">
        <v>40</v>
      </c>
      <c r="U2725" s="1">
        <v>43364</v>
      </c>
      <c r="V2725" t="s">
        <v>41</v>
      </c>
      <c r="W2725" t="s">
        <v>42</v>
      </c>
      <c r="X2725" t="str">
        <f>"4475070"</f>
        <v>4475070</v>
      </c>
      <c r="Y2725" t="s">
        <v>1338</v>
      </c>
      <c r="Z2725" t="s">
        <v>1336</v>
      </c>
      <c r="AA2725" t="s">
        <v>1337</v>
      </c>
      <c r="AB2725" t="s">
        <v>1270</v>
      </c>
      <c r="AC2725" t="s">
        <v>51</v>
      </c>
      <c r="AD2725" t="s">
        <v>45</v>
      </c>
      <c r="AE2725" s="1">
        <v>27184</v>
      </c>
      <c r="AF2725">
        <v>2</v>
      </c>
      <c r="AG2725" t="s">
        <v>1337</v>
      </c>
      <c r="AH2725" s="36">
        <f t="shared" si="42"/>
        <v>45.202777777777776</v>
      </c>
      <c r="AI2725" s="41" t="s">
        <v>1779</v>
      </c>
    </row>
    <row r="2726" spans="1:35" x14ac:dyDescent="0.25">
      <c r="A2726" s="36">
        <v>99912724</v>
      </c>
      <c r="B2726" s="17" t="s">
        <v>56</v>
      </c>
      <c r="C2726" t="s">
        <v>117</v>
      </c>
      <c r="D2726" t="s">
        <v>118</v>
      </c>
      <c r="G2726" s="17" t="s">
        <v>35</v>
      </c>
      <c r="H2726" s="17">
        <v>1</v>
      </c>
      <c r="I2726" t="s">
        <v>119</v>
      </c>
      <c r="J2726" s="1">
        <v>43369</v>
      </c>
      <c r="K2726" t="s">
        <v>77</v>
      </c>
      <c r="L2726" t="s">
        <v>78</v>
      </c>
      <c r="M2726" t="s">
        <v>39</v>
      </c>
      <c r="N2726">
        <v>9</v>
      </c>
      <c r="O2726" t="s">
        <v>40</v>
      </c>
      <c r="P2726" t="s">
        <v>40</v>
      </c>
      <c r="Q2726" t="s">
        <v>40</v>
      </c>
      <c r="R2726" t="s">
        <v>40</v>
      </c>
      <c r="S2726" t="s">
        <v>40</v>
      </c>
      <c r="U2726" s="1">
        <v>43369</v>
      </c>
      <c r="V2726" t="s">
        <v>41</v>
      </c>
      <c r="W2726" t="s">
        <v>75</v>
      </c>
      <c r="X2726" t="str">
        <f>"7371000"</f>
        <v>7371000</v>
      </c>
      <c r="Y2726" t="s">
        <v>76</v>
      </c>
      <c r="Z2726" t="s">
        <v>77</v>
      </c>
      <c r="AA2726" t="s">
        <v>78</v>
      </c>
      <c r="AB2726" t="s">
        <v>39</v>
      </c>
      <c r="AC2726" t="s">
        <v>44</v>
      </c>
      <c r="AD2726" t="s">
        <v>45</v>
      </c>
      <c r="AE2726" s="1">
        <v>27183</v>
      </c>
      <c r="AF2726">
        <v>1</v>
      </c>
      <c r="AG2726" t="s">
        <v>78</v>
      </c>
      <c r="AH2726" s="36">
        <f t="shared" si="42"/>
        <v>45.205555555555556</v>
      </c>
      <c r="AI2726" s="41" t="s">
        <v>1779</v>
      </c>
    </row>
    <row r="2727" spans="1:35" x14ac:dyDescent="0.25">
      <c r="A2727" s="36">
        <v>99912725</v>
      </c>
      <c r="B2727" s="17" t="s">
        <v>32</v>
      </c>
      <c r="C2727" t="s">
        <v>64</v>
      </c>
      <c r="D2727" t="s">
        <v>65</v>
      </c>
      <c r="G2727" s="17" t="s">
        <v>35</v>
      </c>
      <c r="H2727" s="17">
        <v>1</v>
      </c>
      <c r="I2727">
        <v>19689</v>
      </c>
      <c r="J2727" s="1">
        <v>43344</v>
      </c>
      <c r="K2727" t="s">
        <v>380</v>
      </c>
      <c r="L2727" t="s">
        <v>381</v>
      </c>
      <c r="M2727" t="s">
        <v>131</v>
      </c>
      <c r="N2727">
        <v>17</v>
      </c>
      <c r="O2727" t="s">
        <v>40</v>
      </c>
      <c r="P2727" t="s">
        <v>40</v>
      </c>
      <c r="Q2727" t="s">
        <v>40</v>
      </c>
      <c r="R2727" t="s">
        <v>40</v>
      </c>
      <c r="S2727" t="s">
        <v>40</v>
      </c>
      <c r="U2727" s="1">
        <v>43344</v>
      </c>
      <c r="V2727" t="s">
        <v>41</v>
      </c>
      <c r="W2727" t="s">
        <v>49</v>
      </c>
      <c r="X2727" t="str">
        <f>"0591909"</f>
        <v>0591909</v>
      </c>
      <c r="Y2727" t="s">
        <v>385</v>
      </c>
      <c r="Z2727" t="s">
        <v>380</v>
      </c>
      <c r="AA2727" t="s">
        <v>381</v>
      </c>
      <c r="AB2727" t="s">
        <v>131</v>
      </c>
      <c r="AC2727" t="s">
        <v>51</v>
      </c>
      <c r="AD2727" t="s">
        <v>45</v>
      </c>
      <c r="AE2727" s="1">
        <v>27182</v>
      </c>
      <c r="AF2727">
        <v>2</v>
      </c>
      <c r="AG2727" t="s">
        <v>381</v>
      </c>
      <c r="AH2727" s="36">
        <f t="shared" si="42"/>
        <v>45.208333333333336</v>
      </c>
      <c r="AI2727" s="41" t="s">
        <v>1779</v>
      </c>
    </row>
    <row r="2728" spans="1:35" x14ac:dyDescent="0.25">
      <c r="A2728" s="36">
        <v>99912726</v>
      </c>
      <c r="B2728" s="17" t="s">
        <v>56</v>
      </c>
      <c r="C2728" t="s">
        <v>46</v>
      </c>
      <c r="D2728" t="s">
        <v>47</v>
      </c>
      <c r="G2728" s="17" t="s">
        <v>48</v>
      </c>
      <c r="H2728" s="17">
        <v>1</v>
      </c>
      <c r="K2728" t="s">
        <v>345</v>
      </c>
      <c r="L2728" t="s">
        <v>346</v>
      </c>
      <c r="M2728" t="s">
        <v>131</v>
      </c>
      <c r="N2728">
        <v>20</v>
      </c>
      <c r="O2728" t="s">
        <v>40</v>
      </c>
      <c r="P2728" t="s">
        <v>40</v>
      </c>
      <c r="Q2728" t="s">
        <v>40</v>
      </c>
      <c r="S2728" t="s">
        <v>40</v>
      </c>
      <c r="V2728" t="s">
        <v>41</v>
      </c>
      <c r="W2728" t="s">
        <v>42</v>
      </c>
      <c r="X2728" t="str">
        <f>"0590906"</f>
        <v>0590906</v>
      </c>
      <c r="Y2728" t="s">
        <v>361</v>
      </c>
      <c r="Z2728" t="s">
        <v>345</v>
      </c>
      <c r="AA2728" t="s">
        <v>346</v>
      </c>
      <c r="AB2728" t="s">
        <v>131</v>
      </c>
      <c r="AC2728" t="s">
        <v>51</v>
      </c>
      <c r="AD2728" t="s">
        <v>45</v>
      </c>
      <c r="AE2728" s="1">
        <v>27172</v>
      </c>
      <c r="AF2728">
        <v>2</v>
      </c>
      <c r="AG2728" t="s">
        <v>346</v>
      </c>
      <c r="AH2728" s="36">
        <f t="shared" si="42"/>
        <v>45.236111111111114</v>
      </c>
      <c r="AI2728" s="41" t="s">
        <v>1779</v>
      </c>
    </row>
    <row r="2729" spans="1:35" x14ac:dyDescent="0.25">
      <c r="A2729" s="36">
        <v>99912727</v>
      </c>
      <c r="B2729" s="17" t="s">
        <v>32</v>
      </c>
      <c r="C2729" t="s">
        <v>46</v>
      </c>
      <c r="D2729" t="s">
        <v>47</v>
      </c>
      <c r="G2729" s="17" t="s">
        <v>48</v>
      </c>
      <c r="H2729" s="17">
        <v>7</v>
      </c>
      <c r="K2729" t="s">
        <v>345</v>
      </c>
      <c r="L2729" t="s">
        <v>346</v>
      </c>
      <c r="M2729" t="s">
        <v>131</v>
      </c>
      <c r="N2729">
        <v>21</v>
      </c>
      <c r="O2729" t="s">
        <v>40</v>
      </c>
      <c r="P2729" t="s">
        <v>40</v>
      </c>
      <c r="Q2729" t="s">
        <v>40</v>
      </c>
      <c r="R2729" t="s">
        <v>40</v>
      </c>
      <c r="S2729" t="s">
        <v>40</v>
      </c>
      <c r="V2729" t="s">
        <v>41</v>
      </c>
      <c r="W2729" t="s">
        <v>42</v>
      </c>
      <c r="X2729" t="str">
        <f>"0590906"</f>
        <v>0590906</v>
      </c>
      <c r="Y2729" t="s">
        <v>361</v>
      </c>
      <c r="Z2729" t="s">
        <v>345</v>
      </c>
      <c r="AA2729" t="s">
        <v>346</v>
      </c>
      <c r="AB2729" t="s">
        <v>131</v>
      </c>
      <c r="AC2729" t="s">
        <v>51</v>
      </c>
      <c r="AD2729" t="s">
        <v>45</v>
      </c>
      <c r="AE2729" s="1">
        <v>27171</v>
      </c>
      <c r="AF2729">
        <v>2</v>
      </c>
      <c r="AG2729" t="s">
        <v>346</v>
      </c>
      <c r="AH2729" s="36">
        <f t="shared" si="42"/>
        <v>45.238888888888887</v>
      </c>
      <c r="AI2729" s="41" t="s">
        <v>1779</v>
      </c>
    </row>
    <row r="2730" spans="1:35" x14ac:dyDescent="0.25">
      <c r="A2730" s="36">
        <v>99912728</v>
      </c>
      <c r="B2730" s="17" t="s">
        <v>56</v>
      </c>
      <c r="C2730" t="s">
        <v>46</v>
      </c>
      <c r="D2730" t="s">
        <v>47</v>
      </c>
      <c r="G2730" s="17" t="s">
        <v>48</v>
      </c>
      <c r="H2730" s="17">
        <v>1</v>
      </c>
      <c r="K2730" t="s">
        <v>1268</v>
      </c>
      <c r="L2730" t="s">
        <v>1269</v>
      </c>
      <c r="M2730" t="s">
        <v>1270</v>
      </c>
      <c r="N2730">
        <v>16</v>
      </c>
      <c r="O2730" t="s">
        <v>40</v>
      </c>
      <c r="P2730" t="s">
        <v>40</v>
      </c>
      <c r="Q2730" t="s">
        <v>40</v>
      </c>
      <c r="R2730" t="s">
        <v>40</v>
      </c>
      <c r="S2730" t="s">
        <v>40</v>
      </c>
      <c r="V2730" t="s">
        <v>41</v>
      </c>
      <c r="W2730" t="s">
        <v>42</v>
      </c>
      <c r="X2730" t="str">
        <f>"1990910"</f>
        <v>1990910</v>
      </c>
      <c r="Y2730" t="s">
        <v>1281</v>
      </c>
      <c r="Z2730" t="s">
        <v>1268</v>
      </c>
      <c r="AA2730" t="s">
        <v>1269</v>
      </c>
      <c r="AB2730" t="s">
        <v>1270</v>
      </c>
      <c r="AC2730" t="s">
        <v>165</v>
      </c>
      <c r="AD2730" t="s">
        <v>45</v>
      </c>
      <c r="AE2730" s="1">
        <v>27170</v>
      </c>
      <c r="AF2730">
        <v>2</v>
      </c>
      <c r="AG2730" t="s">
        <v>1269</v>
      </c>
      <c r="AH2730" s="36">
        <f t="shared" si="42"/>
        <v>45.241666666666667</v>
      </c>
      <c r="AI2730" s="41" t="s">
        <v>1779</v>
      </c>
    </row>
    <row r="2731" spans="1:35" x14ac:dyDescent="0.25">
      <c r="A2731" s="36">
        <v>99912729</v>
      </c>
      <c r="B2731" s="17" t="s">
        <v>56</v>
      </c>
      <c r="C2731" t="s">
        <v>46</v>
      </c>
      <c r="D2731" t="s">
        <v>47</v>
      </c>
      <c r="G2731" s="17" t="s">
        <v>88</v>
      </c>
      <c r="H2731" s="17">
        <v>1</v>
      </c>
      <c r="I2731" t="s">
        <v>1313</v>
      </c>
      <c r="K2731" t="s">
        <v>1306</v>
      </c>
      <c r="L2731" t="s">
        <v>1307</v>
      </c>
      <c r="M2731" t="s">
        <v>1270</v>
      </c>
      <c r="N2731">
        <v>23</v>
      </c>
      <c r="O2731" t="s">
        <v>40</v>
      </c>
      <c r="P2731" t="s">
        <v>40</v>
      </c>
      <c r="Q2731" t="s">
        <v>40</v>
      </c>
      <c r="R2731" t="s">
        <v>40</v>
      </c>
      <c r="S2731" t="s">
        <v>40</v>
      </c>
      <c r="V2731" t="s">
        <v>41</v>
      </c>
      <c r="W2731" t="s">
        <v>42</v>
      </c>
      <c r="X2731" t="str">
        <f>"1990913"</f>
        <v>1990913</v>
      </c>
      <c r="Y2731" t="s">
        <v>1312</v>
      </c>
      <c r="Z2731" t="s">
        <v>1306</v>
      </c>
      <c r="AA2731" t="s">
        <v>1307</v>
      </c>
      <c r="AB2731" t="s">
        <v>1270</v>
      </c>
      <c r="AC2731" t="s">
        <v>51</v>
      </c>
      <c r="AD2731" t="s">
        <v>45</v>
      </c>
      <c r="AE2731" s="1">
        <v>27170</v>
      </c>
      <c r="AF2731">
        <v>2</v>
      </c>
      <c r="AG2731" t="s">
        <v>1307</v>
      </c>
      <c r="AH2731" s="36">
        <f t="shared" si="42"/>
        <v>45.241666666666667</v>
      </c>
      <c r="AI2731" s="41" t="s">
        <v>1779</v>
      </c>
    </row>
    <row r="2732" spans="1:35" x14ac:dyDescent="0.25">
      <c r="A2732" s="36">
        <v>99912730</v>
      </c>
      <c r="B2732" s="17" t="s">
        <v>32</v>
      </c>
      <c r="C2732" t="s">
        <v>90</v>
      </c>
      <c r="D2732" t="s">
        <v>91</v>
      </c>
      <c r="G2732" s="17" t="s">
        <v>48</v>
      </c>
      <c r="H2732" s="17">
        <v>1</v>
      </c>
      <c r="K2732" t="s">
        <v>268</v>
      </c>
      <c r="L2732" t="s">
        <v>269</v>
      </c>
      <c r="M2732" t="s">
        <v>131</v>
      </c>
      <c r="N2732">
        <v>22</v>
      </c>
      <c r="O2732" t="s">
        <v>40</v>
      </c>
      <c r="P2732" t="s">
        <v>40</v>
      </c>
      <c r="Q2732" t="s">
        <v>40</v>
      </c>
      <c r="S2732" t="s">
        <v>40</v>
      </c>
      <c r="V2732" t="s">
        <v>41</v>
      </c>
      <c r="W2732" t="s">
        <v>75</v>
      </c>
      <c r="X2732" t="str">
        <f>"7052008"</f>
        <v>7052008</v>
      </c>
      <c r="Y2732" t="s">
        <v>274</v>
      </c>
      <c r="Z2732" t="s">
        <v>268</v>
      </c>
      <c r="AA2732" t="s">
        <v>269</v>
      </c>
      <c r="AB2732" t="s">
        <v>131</v>
      </c>
      <c r="AC2732" t="s">
        <v>51</v>
      </c>
      <c r="AD2732" t="s">
        <v>45</v>
      </c>
      <c r="AE2732" s="1">
        <v>27166</v>
      </c>
      <c r="AF2732">
        <v>1</v>
      </c>
      <c r="AG2732" t="s">
        <v>269</v>
      </c>
      <c r="AH2732" s="36">
        <f t="shared" si="42"/>
        <v>45.25277777777778</v>
      </c>
      <c r="AI2732" s="41" t="s">
        <v>1779</v>
      </c>
    </row>
    <row r="2733" spans="1:35" x14ac:dyDescent="0.25">
      <c r="A2733" s="36">
        <v>99912731</v>
      </c>
      <c r="B2733" s="17" t="s">
        <v>32</v>
      </c>
      <c r="C2733" t="s">
        <v>117</v>
      </c>
      <c r="D2733" t="s">
        <v>118</v>
      </c>
      <c r="G2733" s="17" t="s">
        <v>48</v>
      </c>
      <c r="H2733" s="17">
        <v>7</v>
      </c>
      <c r="K2733" t="s">
        <v>354</v>
      </c>
      <c r="L2733" t="s">
        <v>355</v>
      </c>
      <c r="M2733" t="s">
        <v>131</v>
      </c>
      <c r="N2733">
        <v>8</v>
      </c>
      <c r="O2733" t="s">
        <v>40</v>
      </c>
      <c r="P2733" t="s">
        <v>40</v>
      </c>
      <c r="Q2733" t="s">
        <v>40</v>
      </c>
      <c r="R2733" t="s">
        <v>40</v>
      </c>
      <c r="S2733" t="s">
        <v>40</v>
      </c>
      <c r="V2733" t="s">
        <v>41</v>
      </c>
      <c r="W2733" t="s">
        <v>75</v>
      </c>
      <c r="X2733" t="str">
        <f>"7054000"</f>
        <v>7054000</v>
      </c>
      <c r="Y2733" t="s">
        <v>786</v>
      </c>
      <c r="Z2733" t="s">
        <v>354</v>
      </c>
      <c r="AA2733" t="s">
        <v>355</v>
      </c>
      <c r="AB2733" t="s">
        <v>131</v>
      </c>
      <c r="AC2733" t="s">
        <v>51</v>
      </c>
      <c r="AD2733" t="s">
        <v>45</v>
      </c>
      <c r="AE2733" s="1">
        <v>27162</v>
      </c>
      <c r="AF2733">
        <v>1</v>
      </c>
      <c r="AG2733" t="s">
        <v>355</v>
      </c>
      <c r="AH2733" s="36">
        <f t="shared" si="42"/>
        <v>45.263888888888886</v>
      </c>
      <c r="AI2733" s="41" t="s">
        <v>1779</v>
      </c>
    </row>
    <row r="2734" spans="1:35" x14ac:dyDescent="0.25">
      <c r="A2734" s="36">
        <v>99912732</v>
      </c>
      <c r="B2734" s="17" t="s">
        <v>56</v>
      </c>
      <c r="C2734" t="s">
        <v>46</v>
      </c>
      <c r="D2734" t="s">
        <v>47</v>
      </c>
      <c r="G2734" s="17" t="s">
        <v>48</v>
      </c>
      <c r="H2734" s="17">
        <v>1</v>
      </c>
      <c r="K2734" t="s">
        <v>300</v>
      </c>
      <c r="L2734" t="s">
        <v>301</v>
      </c>
      <c r="M2734" t="s">
        <v>131</v>
      </c>
      <c r="N2734">
        <v>21</v>
      </c>
      <c r="O2734" t="s">
        <v>40</v>
      </c>
      <c r="P2734" t="s">
        <v>40</v>
      </c>
      <c r="Q2734" t="s">
        <v>40</v>
      </c>
      <c r="R2734" t="s">
        <v>40</v>
      </c>
      <c r="S2734" t="s">
        <v>40</v>
      </c>
      <c r="V2734" t="s">
        <v>41</v>
      </c>
      <c r="W2734" t="s">
        <v>49</v>
      </c>
      <c r="X2734" t="str">
        <f>"0560001"</f>
        <v>0560001</v>
      </c>
      <c r="Y2734" t="s">
        <v>304</v>
      </c>
      <c r="Z2734" t="s">
        <v>300</v>
      </c>
      <c r="AA2734" t="s">
        <v>301</v>
      </c>
      <c r="AB2734" t="s">
        <v>131</v>
      </c>
      <c r="AC2734" t="s">
        <v>51</v>
      </c>
      <c r="AD2734" t="s">
        <v>45</v>
      </c>
      <c r="AE2734" s="1">
        <v>27161</v>
      </c>
      <c r="AF2734">
        <v>2</v>
      </c>
      <c r="AG2734" t="s">
        <v>301</v>
      </c>
      <c r="AH2734" s="36">
        <f t="shared" si="42"/>
        <v>45.266666666666666</v>
      </c>
      <c r="AI2734" s="41" t="s">
        <v>1779</v>
      </c>
    </row>
    <row r="2735" spans="1:35" x14ac:dyDescent="0.25">
      <c r="A2735" s="36">
        <v>99912733</v>
      </c>
      <c r="B2735" s="17" t="s">
        <v>32</v>
      </c>
      <c r="C2735" t="s">
        <v>111</v>
      </c>
      <c r="D2735" t="s">
        <v>112</v>
      </c>
      <c r="G2735" s="17" t="s">
        <v>35</v>
      </c>
      <c r="H2735" s="17">
        <v>1</v>
      </c>
      <c r="I2735" s="1">
        <v>39326</v>
      </c>
      <c r="J2735" s="1">
        <v>43344</v>
      </c>
      <c r="K2735" t="s">
        <v>1341</v>
      </c>
      <c r="L2735" t="s">
        <v>1342</v>
      </c>
      <c r="M2735" t="s">
        <v>1270</v>
      </c>
      <c r="N2735">
        <v>24</v>
      </c>
      <c r="O2735" t="s">
        <v>40</v>
      </c>
      <c r="S2735" t="s">
        <v>40</v>
      </c>
      <c r="U2735" s="1">
        <v>43344</v>
      </c>
      <c r="V2735" t="s">
        <v>41</v>
      </c>
      <c r="W2735" t="s">
        <v>75</v>
      </c>
      <c r="X2735" t="str">
        <f>"7191004"</f>
        <v>7191004</v>
      </c>
      <c r="Y2735" t="s">
        <v>1344</v>
      </c>
      <c r="Z2735" t="s">
        <v>1341</v>
      </c>
      <c r="AA2735" t="s">
        <v>1342</v>
      </c>
      <c r="AB2735" t="s">
        <v>1270</v>
      </c>
      <c r="AC2735" t="s">
        <v>51</v>
      </c>
      <c r="AD2735" t="s">
        <v>45</v>
      </c>
      <c r="AE2735" s="1">
        <v>27160</v>
      </c>
      <c r="AF2735">
        <v>1</v>
      </c>
      <c r="AG2735" t="s">
        <v>1342</v>
      </c>
      <c r="AH2735" s="36">
        <f t="shared" si="42"/>
        <v>45.269444444444446</v>
      </c>
      <c r="AI2735" s="41" t="s">
        <v>1779</v>
      </c>
    </row>
    <row r="2736" spans="1:35" x14ac:dyDescent="0.25">
      <c r="A2736" s="36">
        <v>99912734</v>
      </c>
      <c r="B2736" s="17" t="s">
        <v>56</v>
      </c>
      <c r="C2736" t="s">
        <v>90</v>
      </c>
      <c r="D2736" t="s">
        <v>91</v>
      </c>
      <c r="G2736" s="17" t="s">
        <v>48</v>
      </c>
      <c r="H2736" s="17">
        <v>4</v>
      </c>
      <c r="I2736" t="s">
        <v>475</v>
      </c>
      <c r="J2736" s="1">
        <v>42248</v>
      </c>
      <c r="K2736" t="s">
        <v>431</v>
      </c>
      <c r="L2736" t="s">
        <v>196</v>
      </c>
      <c r="M2736" t="s">
        <v>131</v>
      </c>
      <c r="N2736">
        <v>23</v>
      </c>
      <c r="O2736" t="s">
        <v>40</v>
      </c>
      <c r="P2736" t="s">
        <v>40</v>
      </c>
      <c r="Q2736" t="s">
        <v>40</v>
      </c>
      <c r="R2736" t="s">
        <v>40</v>
      </c>
      <c r="S2736" t="s">
        <v>40</v>
      </c>
      <c r="U2736" s="1">
        <v>42248</v>
      </c>
      <c r="V2736" t="s">
        <v>41</v>
      </c>
      <c r="W2736" t="s">
        <v>75</v>
      </c>
      <c r="X2736" t="str">
        <f>"7521022"</f>
        <v>7521022</v>
      </c>
      <c r="Y2736" t="s">
        <v>445</v>
      </c>
      <c r="Z2736" t="s">
        <v>431</v>
      </c>
      <c r="AA2736" t="s">
        <v>196</v>
      </c>
      <c r="AB2736" t="s">
        <v>131</v>
      </c>
      <c r="AC2736" t="s">
        <v>51</v>
      </c>
      <c r="AD2736" t="s">
        <v>45</v>
      </c>
      <c r="AE2736" s="1">
        <v>27150</v>
      </c>
      <c r="AF2736">
        <v>1</v>
      </c>
      <c r="AG2736" t="s">
        <v>196</v>
      </c>
      <c r="AH2736" s="36">
        <f t="shared" si="42"/>
        <v>45.297222222222224</v>
      </c>
      <c r="AI2736" s="41" t="s">
        <v>1779</v>
      </c>
    </row>
    <row r="2737" spans="1:35" x14ac:dyDescent="0.25">
      <c r="A2737" s="36">
        <v>99912735</v>
      </c>
      <c r="B2737" s="17" t="s">
        <v>56</v>
      </c>
      <c r="C2737" t="s">
        <v>111</v>
      </c>
      <c r="D2737" t="s">
        <v>112</v>
      </c>
      <c r="G2737" s="17" t="s">
        <v>35</v>
      </c>
      <c r="H2737" s="17">
        <v>1</v>
      </c>
      <c r="K2737" t="s">
        <v>354</v>
      </c>
      <c r="L2737" t="s">
        <v>355</v>
      </c>
      <c r="M2737" t="s">
        <v>131</v>
      </c>
      <c r="N2737">
        <v>23</v>
      </c>
      <c r="O2737" t="s">
        <v>40</v>
      </c>
      <c r="S2737" t="s">
        <v>40</v>
      </c>
      <c r="V2737" t="s">
        <v>41</v>
      </c>
      <c r="W2737" t="s">
        <v>75</v>
      </c>
      <c r="X2737" t="str">
        <f>"7054032"</f>
        <v>7054032</v>
      </c>
      <c r="Y2737" t="s">
        <v>767</v>
      </c>
      <c r="Z2737" t="s">
        <v>354</v>
      </c>
      <c r="AA2737" t="s">
        <v>355</v>
      </c>
      <c r="AB2737" t="s">
        <v>131</v>
      </c>
      <c r="AC2737" t="s">
        <v>51</v>
      </c>
      <c r="AD2737" t="s">
        <v>45</v>
      </c>
      <c r="AE2737" s="1">
        <v>27146</v>
      </c>
      <c r="AF2737">
        <v>1</v>
      </c>
      <c r="AG2737" t="s">
        <v>355</v>
      </c>
      <c r="AH2737" s="36">
        <f t="shared" si="42"/>
        <v>45.30833333333333</v>
      </c>
      <c r="AI2737" s="41" t="s">
        <v>1779</v>
      </c>
    </row>
    <row r="2738" spans="1:35" x14ac:dyDescent="0.25">
      <c r="A2738" s="36">
        <v>99912736</v>
      </c>
      <c r="B2738" s="17" t="s">
        <v>56</v>
      </c>
      <c r="C2738" t="s">
        <v>46</v>
      </c>
      <c r="D2738" t="s">
        <v>47</v>
      </c>
      <c r="G2738" s="17" t="s">
        <v>48</v>
      </c>
      <c r="H2738" s="17">
        <v>1</v>
      </c>
      <c r="K2738" t="s">
        <v>345</v>
      </c>
      <c r="L2738" t="s">
        <v>346</v>
      </c>
      <c r="M2738" t="s">
        <v>131</v>
      </c>
      <c r="N2738">
        <v>20</v>
      </c>
      <c r="O2738" t="s">
        <v>40</v>
      </c>
      <c r="P2738" t="s">
        <v>40</v>
      </c>
      <c r="Q2738" t="s">
        <v>40</v>
      </c>
      <c r="R2738" t="s">
        <v>40</v>
      </c>
      <c r="S2738" t="s">
        <v>40</v>
      </c>
      <c r="V2738" t="s">
        <v>41</v>
      </c>
      <c r="W2738" t="s">
        <v>49</v>
      </c>
      <c r="X2738" t="str">
        <f>"0561021"</f>
        <v>0561021</v>
      </c>
      <c r="Y2738" t="s">
        <v>352</v>
      </c>
      <c r="Z2738" t="s">
        <v>345</v>
      </c>
      <c r="AA2738" t="s">
        <v>346</v>
      </c>
      <c r="AB2738" t="s">
        <v>131</v>
      </c>
      <c r="AC2738" t="s">
        <v>51</v>
      </c>
      <c r="AD2738" t="s">
        <v>45</v>
      </c>
      <c r="AE2738" s="1">
        <v>27143</v>
      </c>
      <c r="AF2738">
        <v>2</v>
      </c>
      <c r="AG2738" t="s">
        <v>346</v>
      </c>
      <c r="AH2738" s="36">
        <f t="shared" si="42"/>
        <v>45.31666666666667</v>
      </c>
      <c r="AI2738" s="41" t="s">
        <v>1779</v>
      </c>
    </row>
    <row r="2739" spans="1:35" x14ac:dyDescent="0.25">
      <c r="A2739" s="36">
        <v>99912737</v>
      </c>
      <c r="B2739" s="17" t="s">
        <v>32</v>
      </c>
      <c r="C2739" t="s">
        <v>111</v>
      </c>
      <c r="D2739" t="s">
        <v>112</v>
      </c>
      <c r="G2739" s="17" t="s">
        <v>48</v>
      </c>
      <c r="H2739" s="17">
        <v>1</v>
      </c>
      <c r="K2739" t="s">
        <v>1198</v>
      </c>
      <c r="L2739" t="s">
        <v>1199</v>
      </c>
      <c r="M2739" t="s">
        <v>1130</v>
      </c>
      <c r="N2739">
        <v>23</v>
      </c>
      <c r="O2739" t="s">
        <v>40</v>
      </c>
      <c r="P2739" t="s">
        <v>40</v>
      </c>
      <c r="Q2739" t="s">
        <v>40</v>
      </c>
      <c r="S2739" t="s">
        <v>40</v>
      </c>
      <c r="V2739" t="s">
        <v>41</v>
      </c>
      <c r="W2739" t="s">
        <v>75</v>
      </c>
      <c r="X2739" t="str">
        <f>"7311008"</f>
        <v>7311008</v>
      </c>
      <c r="Y2739" t="s">
        <v>1205</v>
      </c>
      <c r="Z2739" t="s">
        <v>1198</v>
      </c>
      <c r="AA2739" t="s">
        <v>1199</v>
      </c>
      <c r="AB2739" t="s">
        <v>1130</v>
      </c>
      <c r="AC2739" t="s">
        <v>51</v>
      </c>
      <c r="AD2739" t="s">
        <v>45</v>
      </c>
      <c r="AE2739" s="1">
        <v>27140</v>
      </c>
      <c r="AF2739">
        <v>1</v>
      </c>
      <c r="AG2739" t="s">
        <v>1199</v>
      </c>
      <c r="AH2739" s="36">
        <f t="shared" si="42"/>
        <v>45.325000000000003</v>
      </c>
      <c r="AI2739" s="41" t="s">
        <v>1779</v>
      </c>
    </row>
    <row r="2740" spans="1:35" x14ac:dyDescent="0.25">
      <c r="A2740" s="36">
        <v>99912738</v>
      </c>
      <c r="B2740" s="17" t="s">
        <v>56</v>
      </c>
      <c r="C2740" t="s">
        <v>204</v>
      </c>
      <c r="D2740" t="s">
        <v>205</v>
      </c>
      <c r="G2740" s="17" t="s">
        <v>35</v>
      </c>
      <c r="H2740" s="17">
        <v>1</v>
      </c>
      <c r="K2740" t="s">
        <v>223</v>
      </c>
      <c r="L2740" t="s">
        <v>224</v>
      </c>
      <c r="M2740" t="s">
        <v>131</v>
      </c>
      <c r="N2740">
        <v>8</v>
      </c>
      <c r="O2740" t="s">
        <v>40</v>
      </c>
      <c r="P2740" t="s">
        <v>40</v>
      </c>
      <c r="Q2740" t="s">
        <v>40</v>
      </c>
      <c r="S2740" t="s">
        <v>40</v>
      </c>
      <c r="V2740" t="s">
        <v>41</v>
      </c>
      <c r="W2740" t="s">
        <v>49</v>
      </c>
      <c r="X2740" t="str">
        <f>"0591901"</f>
        <v>0591901</v>
      </c>
      <c r="Y2740" t="s">
        <v>230</v>
      </c>
      <c r="Z2740" t="s">
        <v>223</v>
      </c>
      <c r="AA2740" t="s">
        <v>224</v>
      </c>
      <c r="AB2740" t="s">
        <v>131</v>
      </c>
      <c r="AC2740" t="s">
        <v>51</v>
      </c>
      <c r="AD2740" t="s">
        <v>45</v>
      </c>
      <c r="AE2740" s="1">
        <v>27138</v>
      </c>
      <c r="AF2740">
        <v>2</v>
      </c>
      <c r="AG2740" t="s">
        <v>224</v>
      </c>
      <c r="AH2740" s="36">
        <f t="shared" si="42"/>
        <v>45.330555555555556</v>
      </c>
      <c r="AI2740" s="41" t="s">
        <v>1779</v>
      </c>
    </row>
    <row r="2741" spans="1:35" x14ac:dyDescent="0.25">
      <c r="A2741" s="36">
        <v>99912739</v>
      </c>
      <c r="B2741" s="17" t="s">
        <v>32</v>
      </c>
      <c r="C2741" t="s">
        <v>136</v>
      </c>
      <c r="D2741" t="s">
        <v>137</v>
      </c>
      <c r="G2741" s="17" t="s">
        <v>48</v>
      </c>
      <c r="H2741" s="17">
        <v>10</v>
      </c>
      <c r="I2741" t="s">
        <v>482</v>
      </c>
      <c r="J2741" s="1">
        <v>40422</v>
      </c>
      <c r="K2741" t="s">
        <v>195</v>
      </c>
      <c r="L2741" t="s">
        <v>196</v>
      </c>
      <c r="M2741" t="s">
        <v>131</v>
      </c>
      <c r="N2741">
        <v>16</v>
      </c>
      <c r="O2741" t="s">
        <v>40</v>
      </c>
      <c r="P2741" t="s">
        <v>40</v>
      </c>
      <c r="Q2741" t="s">
        <v>40</v>
      </c>
      <c r="R2741" t="s">
        <v>40</v>
      </c>
      <c r="S2741" t="s">
        <v>40</v>
      </c>
      <c r="U2741" s="1">
        <v>40422</v>
      </c>
      <c r="V2741" t="s">
        <v>41</v>
      </c>
      <c r="W2741" t="s">
        <v>75</v>
      </c>
      <c r="X2741" t="str">
        <f>"7521044"</f>
        <v>7521044</v>
      </c>
      <c r="Y2741" t="s">
        <v>453</v>
      </c>
      <c r="Z2741" t="s">
        <v>195</v>
      </c>
      <c r="AA2741" t="s">
        <v>196</v>
      </c>
      <c r="AB2741" t="s">
        <v>131</v>
      </c>
      <c r="AC2741" t="s">
        <v>165</v>
      </c>
      <c r="AD2741" t="s">
        <v>45</v>
      </c>
      <c r="AE2741" s="1">
        <v>27137</v>
      </c>
      <c r="AF2741">
        <v>1</v>
      </c>
      <c r="AG2741" t="s">
        <v>196</v>
      </c>
      <c r="AH2741" s="36">
        <f t="shared" si="42"/>
        <v>45.333333333333336</v>
      </c>
      <c r="AI2741" s="41" t="s">
        <v>1779</v>
      </c>
    </row>
    <row r="2742" spans="1:35" x14ac:dyDescent="0.25">
      <c r="A2742" s="36">
        <v>99912740</v>
      </c>
      <c r="B2742" s="17" t="s">
        <v>32</v>
      </c>
      <c r="C2742" t="s">
        <v>139</v>
      </c>
      <c r="D2742" t="s">
        <v>140</v>
      </c>
      <c r="G2742" s="17" t="s">
        <v>48</v>
      </c>
      <c r="H2742" s="17">
        <v>1</v>
      </c>
      <c r="K2742" t="s">
        <v>380</v>
      </c>
      <c r="L2742" t="s">
        <v>381</v>
      </c>
      <c r="M2742" t="s">
        <v>131</v>
      </c>
      <c r="N2742">
        <v>13</v>
      </c>
      <c r="O2742" t="s">
        <v>40</v>
      </c>
      <c r="P2742" t="s">
        <v>40</v>
      </c>
      <c r="Q2742" t="s">
        <v>40</v>
      </c>
      <c r="R2742" t="s">
        <v>40</v>
      </c>
      <c r="S2742" t="s">
        <v>40</v>
      </c>
      <c r="V2742" t="s">
        <v>41</v>
      </c>
      <c r="W2742" t="s">
        <v>49</v>
      </c>
      <c r="X2742" t="str">
        <f>"0591908"</f>
        <v>0591908</v>
      </c>
      <c r="Y2742" t="s">
        <v>383</v>
      </c>
      <c r="Z2742" t="s">
        <v>380</v>
      </c>
      <c r="AA2742" t="s">
        <v>381</v>
      </c>
      <c r="AB2742" t="s">
        <v>131</v>
      </c>
      <c r="AC2742" t="s">
        <v>51</v>
      </c>
      <c r="AD2742" t="s">
        <v>45</v>
      </c>
      <c r="AE2742" s="1">
        <v>27125</v>
      </c>
      <c r="AF2742">
        <v>2</v>
      </c>
      <c r="AG2742" t="s">
        <v>381</v>
      </c>
      <c r="AH2742" s="36">
        <f t="shared" si="42"/>
        <v>45.366666666666667</v>
      </c>
      <c r="AI2742" s="41" t="s">
        <v>1779</v>
      </c>
    </row>
    <row r="2743" spans="1:35" x14ac:dyDescent="0.25">
      <c r="A2743" s="36">
        <v>99912741</v>
      </c>
      <c r="B2743" s="17" t="s">
        <v>32</v>
      </c>
      <c r="C2743" t="s">
        <v>46</v>
      </c>
      <c r="D2743" t="s">
        <v>47</v>
      </c>
      <c r="G2743" s="17" t="s">
        <v>35</v>
      </c>
      <c r="H2743" s="17">
        <v>1</v>
      </c>
      <c r="I2743">
        <v>21559</v>
      </c>
      <c r="J2743" s="1">
        <v>43344</v>
      </c>
      <c r="K2743" t="s">
        <v>223</v>
      </c>
      <c r="L2743" t="s">
        <v>224</v>
      </c>
      <c r="M2743" t="s">
        <v>131</v>
      </c>
      <c r="N2743">
        <v>23</v>
      </c>
      <c r="O2743" t="s">
        <v>40</v>
      </c>
      <c r="S2743" t="s">
        <v>40</v>
      </c>
      <c r="U2743" s="1">
        <v>43344</v>
      </c>
      <c r="V2743" t="s">
        <v>41</v>
      </c>
      <c r="W2743" t="s">
        <v>49</v>
      </c>
      <c r="X2743" t="str">
        <f>"0561022"</f>
        <v>0561022</v>
      </c>
      <c r="Y2743" t="s">
        <v>225</v>
      </c>
      <c r="Z2743" t="s">
        <v>223</v>
      </c>
      <c r="AA2743" t="s">
        <v>224</v>
      </c>
      <c r="AB2743" t="s">
        <v>131</v>
      </c>
      <c r="AC2743" t="s">
        <v>44</v>
      </c>
      <c r="AD2743" t="s">
        <v>45</v>
      </c>
      <c r="AE2743" s="1">
        <v>27124</v>
      </c>
      <c r="AF2743">
        <v>2</v>
      </c>
      <c r="AG2743" t="s">
        <v>224</v>
      </c>
      <c r="AH2743" s="36">
        <f t="shared" si="42"/>
        <v>45.369444444444447</v>
      </c>
      <c r="AI2743" s="41" t="s">
        <v>1779</v>
      </c>
    </row>
    <row r="2744" spans="1:35" x14ac:dyDescent="0.25">
      <c r="A2744" s="36">
        <v>99912742</v>
      </c>
      <c r="B2744" s="17" t="s">
        <v>32</v>
      </c>
      <c r="C2744" t="s">
        <v>90</v>
      </c>
      <c r="D2744" t="s">
        <v>91</v>
      </c>
      <c r="G2744" s="17" t="s">
        <v>35</v>
      </c>
      <c r="H2744" s="17">
        <v>1</v>
      </c>
      <c r="K2744" t="s">
        <v>1081</v>
      </c>
      <c r="L2744" t="s">
        <v>1082</v>
      </c>
      <c r="M2744" t="s">
        <v>1053</v>
      </c>
      <c r="N2744">
        <v>25</v>
      </c>
      <c r="O2744" t="s">
        <v>40</v>
      </c>
      <c r="P2744" t="s">
        <v>40</v>
      </c>
      <c r="Q2744" t="s">
        <v>40</v>
      </c>
      <c r="R2744" t="s">
        <v>40</v>
      </c>
      <c r="S2744" t="s">
        <v>40</v>
      </c>
      <c r="V2744" t="s">
        <v>41</v>
      </c>
      <c r="W2744" t="s">
        <v>95</v>
      </c>
      <c r="X2744" t="str">
        <f>"7201011"</f>
        <v>7201011</v>
      </c>
      <c r="Y2744" t="s">
        <v>1086</v>
      </c>
      <c r="Z2744" t="s">
        <v>1081</v>
      </c>
      <c r="AA2744" t="s">
        <v>1082</v>
      </c>
      <c r="AB2744" t="s">
        <v>1053</v>
      </c>
      <c r="AC2744" t="s">
        <v>51</v>
      </c>
      <c r="AD2744" t="s">
        <v>45</v>
      </c>
      <c r="AE2744" s="1">
        <v>27124</v>
      </c>
      <c r="AF2744">
        <v>1</v>
      </c>
      <c r="AG2744" t="s">
        <v>1082</v>
      </c>
      <c r="AH2744" s="36">
        <f t="shared" si="42"/>
        <v>45.369444444444447</v>
      </c>
      <c r="AI2744" s="41" t="s">
        <v>1779</v>
      </c>
    </row>
    <row r="2745" spans="1:35" x14ac:dyDescent="0.25">
      <c r="A2745" s="36">
        <v>99912743</v>
      </c>
      <c r="B2745" s="17" t="s">
        <v>32</v>
      </c>
      <c r="C2745" t="s">
        <v>139</v>
      </c>
      <c r="D2745" t="s">
        <v>140</v>
      </c>
      <c r="G2745" s="17" t="s">
        <v>48</v>
      </c>
      <c r="H2745" s="17">
        <v>1</v>
      </c>
      <c r="K2745" t="s">
        <v>380</v>
      </c>
      <c r="L2745" t="s">
        <v>381</v>
      </c>
      <c r="M2745" t="s">
        <v>131</v>
      </c>
      <c r="N2745">
        <v>8</v>
      </c>
      <c r="O2745" t="s">
        <v>40</v>
      </c>
      <c r="P2745" t="s">
        <v>40</v>
      </c>
      <c r="Q2745" t="s">
        <v>40</v>
      </c>
      <c r="S2745" t="s">
        <v>40</v>
      </c>
      <c r="V2745" t="s">
        <v>41</v>
      </c>
      <c r="W2745" t="s">
        <v>42</v>
      </c>
      <c r="X2745" t="str">
        <f>"0590908"</f>
        <v>0590908</v>
      </c>
      <c r="Y2745" t="s">
        <v>382</v>
      </c>
      <c r="Z2745" t="s">
        <v>380</v>
      </c>
      <c r="AA2745" t="s">
        <v>381</v>
      </c>
      <c r="AB2745" t="s">
        <v>131</v>
      </c>
      <c r="AC2745" t="s">
        <v>44</v>
      </c>
      <c r="AD2745" t="s">
        <v>45</v>
      </c>
      <c r="AE2745" s="1">
        <v>27123</v>
      </c>
      <c r="AF2745">
        <v>2</v>
      </c>
      <c r="AG2745" t="s">
        <v>381</v>
      </c>
      <c r="AH2745" s="36">
        <f t="shared" si="42"/>
        <v>45.37222222222222</v>
      </c>
      <c r="AI2745" s="41" t="s">
        <v>1779</v>
      </c>
    </row>
    <row r="2746" spans="1:35" x14ac:dyDescent="0.25">
      <c r="A2746" s="36">
        <v>99912744</v>
      </c>
      <c r="B2746" s="17" t="s">
        <v>32</v>
      </c>
      <c r="C2746" t="s">
        <v>46</v>
      </c>
      <c r="D2746" t="s">
        <v>47</v>
      </c>
      <c r="G2746" s="17" t="s">
        <v>48</v>
      </c>
      <c r="H2746" s="17">
        <v>1</v>
      </c>
      <c r="K2746" t="s">
        <v>223</v>
      </c>
      <c r="L2746" t="s">
        <v>224</v>
      </c>
      <c r="M2746" t="s">
        <v>131</v>
      </c>
      <c r="N2746">
        <v>20</v>
      </c>
      <c r="O2746" t="s">
        <v>40</v>
      </c>
      <c r="P2746" t="s">
        <v>40</v>
      </c>
      <c r="Q2746" t="s">
        <v>40</v>
      </c>
      <c r="S2746" t="s">
        <v>40</v>
      </c>
      <c r="V2746" t="s">
        <v>41</v>
      </c>
      <c r="W2746" t="s">
        <v>49</v>
      </c>
      <c r="X2746" t="str">
        <f>"0581202"</f>
        <v>0581202</v>
      </c>
      <c r="Y2746" t="s">
        <v>248</v>
      </c>
      <c r="Z2746" t="s">
        <v>223</v>
      </c>
      <c r="AA2746" t="s">
        <v>224</v>
      </c>
      <c r="AB2746" t="s">
        <v>131</v>
      </c>
      <c r="AC2746" t="s">
        <v>165</v>
      </c>
      <c r="AD2746" t="s">
        <v>45</v>
      </c>
      <c r="AE2746" s="1">
        <v>27121</v>
      </c>
      <c r="AF2746">
        <v>2</v>
      </c>
      <c r="AG2746" t="s">
        <v>224</v>
      </c>
      <c r="AH2746" s="36">
        <f t="shared" si="42"/>
        <v>45.37777777777778</v>
      </c>
      <c r="AI2746" s="41" t="s">
        <v>1779</v>
      </c>
    </row>
    <row r="2747" spans="1:35" x14ac:dyDescent="0.25">
      <c r="A2747" s="36">
        <v>99912745</v>
      </c>
      <c r="B2747" s="17" t="s">
        <v>56</v>
      </c>
      <c r="C2747" t="s">
        <v>85</v>
      </c>
      <c r="D2747" t="s">
        <v>86</v>
      </c>
      <c r="G2747" s="17" t="s">
        <v>48</v>
      </c>
      <c r="H2747" s="17">
        <v>1</v>
      </c>
      <c r="K2747" t="s">
        <v>300</v>
      </c>
      <c r="L2747" t="s">
        <v>301</v>
      </c>
      <c r="M2747" t="s">
        <v>131</v>
      </c>
      <c r="N2747">
        <v>13</v>
      </c>
      <c r="O2747" t="s">
        <v>40</v>
      </c>
      <c r="P2747" t="s">
        <v>40</v>
      </c>
      <c r="Q2747" t="s">
        <v>40</v>
      </c>
      <c r="R2747" t="s">
        <v>40</v>
      </c>
      <c r="S2747" t="s">
        <v>40</v>
      </c>
      <c r="V2747" t="s">
        <v>41</v>
      </c>
      <c r="W2747" t="s">
        <v>49</v>
      </c>
      <c r="X2747" t="str">
        <f>"0560001"</f>
        <v>0560001</v>
      </c>
      <c r="Y2747" t="s">
        <v>304</v>
      </c>
      <c r="Z2747" t="s">
        <v>300</v>
      </c>
      <c r="AA2747" t="s">
        <v>301</v>
      </c>
      <c r="AB2747" t="s">
        <v>131</v>
      </c>
      <c r="AC2747" t="s">
        <v>51</v>
      </c>
      <c r="AD2747" t="s">
        <v>45</v>
      </c>
      <c r="AE2747" s="1">
        <v>27120</v>
      </c>
      <c r="AF2747">
        <v>2</v>
      </c>
      <c r="AG2747" t="s">
        <v>301</v>
      </c>
      <c r="AH2747" s="36">
        <f t="shared" si="42"/>
        <v>45.380555555555553</v>
      </c>
      <c r="AI2747" s="41" t="s">
        <v>1779</v>
      </c>
    </row>
    <row r="2748" spans="1:35" x14ac:dyDescent="0.25">
      <c r="A2748" s="36">
        <v>99912746</v>
      </c>
      <c r="B2748" s="17" t="s">
        <v>56</v>
      </c>
      <c r="C2748" t="s">
        <v>111</v>
      </c>
      <c r="D2748" t="s">
        <v>112</v>
      </c>
      <c r="G2748" s="17" t="s">
        <v>35</v>
      </c>
      <c r="H2748" s="17">
        <v>1</v>
      </c>
      <c r="K2748" t="s">
        <v>154</v>
      </c>
      <c r="L2748" t="s">
        <v>155</v>
      </c>
      <c r="M2748" t="s">
        <v>131</v>
      </c>
      <c r="N2748">
        <v>24</v>
      </c>
      <c r="O2748" t="s">
        <v>40</v>
      </c>
      <c r="P2748" t="s">
        <v>40</v>
      </c>
      <c r="Q2748" t="s">
        <v>40</v>
      </c>
      <c r="S2748" t="s">
        <v>40</v>
      </c>
      <c r="V2748" t="s">
        <v>41</v>
      </c>
      <c r="W2748" t="s">
        <v>75</v>
      </c>
      <c r="X2748" t="str">
        <f>"7051026"</f>
        <v>7051026</v>
      </c>
      <c r="Y2748" t="s">
        <v>396</v>
      </c>
      <c r="Z2748" t="s">
        <v>154</v>
      </c>
      <c r="AA2748" t="s">
        <v>155</v>
      </c>
      <c r="AB2748" t="s">
        <v>131</v>
      </c>
      <c r="AC2748" t="s">
        <v>51</v>
      </c>
      <c r="AD2748" t="s">
        <v>45</v>
      </c>
      <c r="AE2748" s="1">
        <v>27120</v>
      </c>
      <c r="AF2748">
        <v>1</v>
      </c>
      <c r="AG2748" t="s">
        <v>155</v>
      </c>
      <c r="AH2748" s="36">
        <f t="shared" si="42"/>
        <v>45.380555555555553</v>
      </c>
      <c r="AI2748" s="41" t="s">
        <v>1779</v>
      </c>
    </row>
    <row r="2749" spans="1:35" x14ac:dyDescent="0.25">
      <c r="A2749" s="36">
        <v>99912747</v>
      </c>
      <c r="B2749" s="17" t="s">
        <v>32</v>
      </c>
      <c r="C2749" t="s">
        <v>64</v>
      </c>
      <c r="D2749" t="s">
        <v>65</v>
      </c>
      <c r="G2749" s="17" t="s">
        <v>48</v>
      </c>
      <c r="H2749" s="17">
        <v>1</v>
      </c>
      <c r="K2749" t="s">
        <v>157</v>
      </c>
      <c r="L2749" t="s">
        <v>158</v>
      </c>
      <c r="M2749" t="s">
        <v>131</v>
      </c>
      <c r="N2749">
        <v>23</v>
      </c>
      <c r="O2749" t="s">
        <v>40</v>
      </c>
      <c r="P2749" t="s">
        <v>40</v>
      </c>
      <c r="Q2749" t="s">
        <v>40</v>
      </c>
      <c r="R2749" t="s">
        <v>40</v>
      </c>
      <c r="S2749" t="s">
        <v>40</v>
      </c>
      <c r="V2749" t="s">
        <v>41</v>
      </c>
      <c r="W2749" t="s">
        <v>49</v>
      </c>
      <c r="X2749" t="str">
        <f>"0560010"</f>
        <v>0560010</v>
      </c>
      <c r="Y2749" t="s">
        <v>179</v>
      </c>
      <c r="Z2749" t="s">
        <v>157</v>
      </c>
      <c r="AA2749" t="s">
        <v>158</v>
      </c>
      <c r="AB2749" t="s">
        <v>131</v>
      </c>
      <c r="AC2749" t="s">
        <v>51</v>
      </c>
      <c r="AD2749" t="s">
        <v>45</v>
      </c>
      <c r="AE2749" s="1">
        <v>27118</v>
      </c>
      <c r="AF2749">
        <v>2</v>
      </c>
      <c r="AG2749" t="s">
        <v>158</v>
      </c>
      <c r="AH2749" s="36">
        <f t="shared" si="42"/>
        <v>45.386111111111113</v>
      </c>
      <c r="AI2749" s="41" t="s">
        <v>1779</v>
      </c>
    </row>
    <row r="2750" spans="1:35" x14ac:dyDescent="0.25">
      <c r="A2750" s="36">
        <v>99912748</v>
      </c>
      <c r="B2750" s="17" t="s">
        <v>56</v>
      </c>
      <c r="C2750" t="s">
        <v>61</v>
      </c>
      <c r="D2750" t="s">
        <v>62</v>
      </c>
      <c r="E2750" t="s">
        <v>52</v>
      </c>
      <c r="F2750" t="s">
        <v>53</v>
      </c>
      <c r="G2750" s="17" t="s">
        <v>48</v>
      </c>
      <c r="H2750" s="17">
        <v>1</v>
      </c>
      <c r="K2750" t="s">
        <v>223</v>
      </c>
      <c r="L2750" t="s">
        <v>224</v>
      </c>
      <c r="M2750" t="s">
        <v>131</v>
      </c>
      <c r="N2750">
        <v>22</v>
      </c>
      <c r="O2750" t="s">
        <v>40</v>
      </c>
      <c r="P2750" t="s">
        <v>40</v>
      </c>
      <c r="Q2750" t="s">
        <v>40</v>
      </c>
      <c r="R2750" t="s">
        <v>40</v>
      </c>
      <c r="S2750" t="s">
        <v>40</v>
      </c>
      <c r="V2750" t="s">
        <v>41</v>
      </c>
      <c r="W2750" t="s">
        <v>42</v>
      </c>
      <c r="X2750" t="str">
        <f>"0580202"</f>
        <v>0580202</v>
      </c>
      <c r="Y2750" t="s">
        <v>240</v>
      </c>
      <c r="Z2750" t="s">
        <v>223</v>
      </c>
      <c r="AA2750" t="s">
        <v>224</v>
      </c>
      <c r="AB2750" t="s">
        <v>131</v>
      </c>
      <c r="AC2750" t="s">
        <v>51</v>
      </c>
      <c r="AD2750" t="s">
        <v>45</v>
      </c>
      <c r="AE2750" s="1">
        <v>27117</v>
      </c>
      <c r="AF2750">
        <v>2</v>
      </c>
      <c r="AG2750" t="s">
        <v>224</v>
      </c>
      <c r="AH2750" s="36">
        <f t="shared" si="42"/>
        <v>45.388888888888886</v>
      </c>
      <c r="AI2750" s="41" t="s">
        <v>1779</v>
      </c>
    </row>
    <row r="2751" spans="1:35" x14ac:dyDescent="0.25">
      <c r="A2751" s="36">
        <v>99912749</v>
      </c>
      <c r="B2751" s="17" t="s">
        <v>56</v>
      </c>
      <c r="C2751" t="s">
        <v>117</v>
      </c>
      <c r="D2751" t="s">
        <v>118</v>
      </c>
      <c r="G2751" s="17" t="s">
        <v>48</v>
      </c>
      <c r="H2751" s="17">
        <v>1</v>
      </c>
      <c r="I2751" t="s">
        <v>546</v>
      </c>
      <c r="J2751" s="1">
        <v>41884</v>
      </c>
      <c r="K2751" t="s">
        <v>431</v>
      </c>
      <c r="L2751" t="s">
        <v>196</v>
      </c>
      <c r="M2751" t="s">
        <v>131</v>
      </c>
      <c r="N2751">
        <v>14</v>
      </c>
      <c r="O2751" t="s">
        <v>40</v>
      </c>
      <c r="P2751" t="s">
        <v>40</v>
      </c>
      <c r="Q2751" t="s">
        <v>40</v>
      </c>
      <c r="R2751" t="s">
        <v>40</v>
      </c>
      <c r="S2751" t="s">
        <v>40</v>
      </c>
      <c r="U2751" s="1">
        <v>41884</v>
      </c>
      <c r="V2751" t="s">
        <v>41</v>
      </c>
      <c r="W2751" t="s">
        <v>75</v>
      </c>
      <c r="X2751" t="str">
        <f>"7521054"</f>
        <v>7521054</v>
      </c>
      <c r="Y2751" t="s">
        <v>476</v>
      </c>
      <c r="Z2751" t="s">
        <v>431</v>
      </c>
      <c r="AA2751" t="s">
        <v>196</v>
      </c>
      <c r="AB2751" t="s">
        <v>131</v>
      </c>
      <c r="AC2751" t="s">
        <v>51</v>
      </c>
      <c r="AD2751" t="s">
        <v>45</v>
      </c>
      <c r="AE2751" s="1">
        <v>27117</v>
      </c>
      <c r="AF2751">
        <v>1</v>
      </c>
      <c r="AG2751" t="s">
        <v>196</v>
      </c>
      <c r="AH2751" s="36">
        <f t="shared" si="42"/>
        <v>45.388888888888886</v>
      </c>
      <c r="AI2751" s="41" t="s">
        <v>1779</v>
      </c>
    </row>
    <row r="2752" spans="1:35" x14ac:dyDescent="0.25">
      <c r="A2752" s="36">
        <v>99912750</v>
      </c>
      <c r="B2752" s="17" t="s">
        <v>32</v>
      </c>
      <c r="C2752" t="s">
        <v>90</v>
      </c>
      <c r="D2752" t="s">
        <v>91</v>
      </c>
      <c r="G2752" s="17" t="s">
        <v>48</v>
      </c>
      <c r="H2752" s="17">
        <v>1</v>
      </c>
      <c r="K2752" t="s">
        <v>268</v>
      </c>
      <c r="L2752" t="s">
        <v>269</v>
      </c>
      <c r="M2752" t="s">
        <v>131</v>
      </c>
      <c r="N2752">
        <v>12</v>
      </c>
      <c r="O2752" t="s">
        <v>40</v>
      </c>
      <c r="P2752" t="s">
        <v>40</v>
      </c>
      <c r="Q2752" t="s">
        <v>40</v>
      </c>
      <c r="S2752" t="s">
        <v>40</v>
      </c>
      <c r="V2752" t="s">
        <v>41</v>
      </c>
      <c r="W2752" t="s">
        <v>95</v>
      </c>
      <c r="X2752" t="str">
        <f>"7052001"</f>
        <v>7052001</v>
      </c>
      <c r="Y2752" t="s">
        <v>576</v>
      </c>
      <c r="Z2752" t="s">
        <v>268</v>
      </c>
      <c r="AA2752" t="s">
        <v>269</v>
      </c>
      <c r="AB2752" t="s">
        <v>131</v>
      </c>
      <c r="AC2752" t="s">
        <v>51</v>
      </c>
      <c r="AD2752" t="s">
        <v>45</v>
      </c>
      <c r="AE2752" s="1">
        <v>27117</v>
      </c>
      <c r="AF2752">
        <v>1</v>
      </c>
      <c r="AG2752" t="s">
        <v>269</v>
      </c>
      <c r="AH2752" s="36">
        <f t="shared" si="42"/>
        <v>45.388888888888886</v>
      </c>
      <c r="AI2752" s="41" t="s">
        <v>1779</v>
      </c>
    </row>
    <row r="2753" spans="1:35" x14ac:dyDescent="0.25">
      <c r="A2753" s="36">
        <v>99912751</v>
      </c>
      <c r="B2753" s="17" t="s">
        <v>32</v>
      </c>
      <c r="C2753" t="s">
        <v>64</v>
      </c>
      <c r="D2753" t="s">
        <v>65</v>
      </c>
      <c r="G2753" s="17" t="s">
        <v>48</v>
      </c>
      <c r="H2753" s="17">
        <v>1</v>
      </c>
      <c r="K2753" t="s">
        <v>380</v>
      </c>
      <c r="L2753" t="s">
        <v>381</v>
      </c>
      <c r="M2753" t="s">
        <v>131</v>
      </c>
      <c r="N2753">
        <v>17</v>
      </c>
      <c r="O2753" t="s">
        <v>40</v>
      </c>
      <c r="P2753" t="s">
        <v>40</v>
      </c>
      <c r="Q2753" t="s">
        <v>40</v>
      </c>
      <c r="R2753" t="s">
        <v>40</v>
      </c>
      <c r="S2753" t="s">
        <v>40</v>
      </c>
      <c r="V2753" t="s">
        <v>41</v>
      </c>
      <c r="W2753" t="s">
        <v>49</v>
      </c>
      <c r="X2753" t="str">
        <f>"0591909"</f>
        <v>0591909</v>
      </c>
      <c r="Y2753" t="s">
        <v>385</v>
      </c>
      <c r="Z2753" t="s">
        <v>380</v>
      </c>
      <c r="AA2753" t="s">
        <v>381</v>
      </c>
      <c r="AB2753" t="s">
        <v>131</v>
      </c>
      <c r="AC2753" t="s">
        <v>51</v>
      </c>
      <c r="AD2753" t="s">
        <v>45</v>
      </c>
      <c r="AE2753" s="1">
        <v>27111</v>
      </c>
      <c r="AF2753">
        <v>2</v>
      </c>
      <c r="AG2753" t="s">
        <v>381</v>
      </c>
      <c r="AH2753" s="36">
        <f t="shared" si="42"/>
        <v>45.405555555555559</v>
      </c>
      <c r="AI2753" s="41" t="s">
        <v>1779</v>
      </c>
    </row>
    <row r="2754" spans="1:35" x14ac:dyDescent="0.25">
      <c r="A2754" s="36">
        <v>99912752</v>
      </c>
      <c r="B2754" s="17" t="s">
        <v>32</v>
      </c>
      <c r="C2754" t="s">
        <v>46</v>
      </c>
      <c r="D2754" t="s">
        <v>47</v>
      </c>
      <c r="G2754" s="17" t="s">
        <v>48</v>
      </c>
      <c r="H2754" s="17">
        <v>1</v>
      </c>
      <c r="I2754" t="s">
        <v>1317</v>
      </c>
      <c r="K2754" t="s">
        <v>1306</v>
      </c>
      <c r="L2754" t="s">
        <v>1307</v>
      </c>
      <c r="M2754" t="s">
        <v>1270</v>
      </c>
      <c r="N2754">
        <v>20</v>
      </c>
      <c r="O2754" t="s">
        <v>40</v>
      </c>
      <c r="P2754" t="s">
        <v>40</v>
      </c>
      <c r="Q2754" t="s">
        <v>40</v>
      </c>
      <c r="R2754" t="s">
        <v>40</v>
      </c>
      <c r="S2754" t="s">
        <v>40</v>
      </c>
      <c r="V2754" t="s">
        <v>41</v>
      </c>
      <c r="W2754" t="s">
        <v>42</v>
      </c>
      <c r="X2754" t="str">
        <f>"1990913"</f>
        <v>1990913</v>
      </c>
      <c r="Y2754" t="s">
        <v>1312</v>
      </c>
      <c r="Z2754" t="s">
        <v>1306</v>
      </c>
      <c r="AA2754" t="s">
        <v>1307</v>
      </c>
      <c r="AB2754" t="s">
        <v>1270</v>
      </c>
      <c r="AC2754" t="s">
        <v>51</v>
      </c>
      <c r="AD2754" t="s">
        <v>45</v>
      </c>
      <c r="AE2754" s="1">
        <v>27108</v>
      </c>
      <c r="AF2754">
        <v>2</v>
      </c>
      <c r="AG2754" t="s">
        <v>1307</v>
      </c>
      <c r="AH2754" s="36">
        <f t="shared" ref="AH2754:AH2817" si="43">($AJ$1-AE2754)/360</f>
        <v>45.413888888888891</v>
      </c>
      <c r="AI2754" s="41" t="s">
        <v>1779</v>
      </c>
    </row>
    <row r="2755" spans="1:35" x14ac:dyDescent="0.25">
      <c r="A2755" s="36">
        <v>99912753</v>
      </c>
      <c r="B2755" s="17" t="s">
        <v>32</v>
      </c>
      <c r="C2755" t="s">
        <v>145</v>
      </c>
      <c r="D2755" t="s">
        <v>146</v>
      </c>
      <c r="G2755" s="17" t="s">
        <v>48</v>
      </c>
      <c r="H2755" s="17">
        <v>1</v>
      </c>
      <c r="K2755" t="s">
        <v>345</v>
      </c>
      <c r="L2755" t="s">
        <v>346</v>
      </c>
      <c r="M2755" t="s">
        <v>131</v>
      </c>
      <c r="N2755">
        <v>20</v>
      </c>
      <c r="O2755" t="s">
        <v>40</v>
      </c>
      <c r="P2755" t="s">
        <v>40</v>
      </c>
      <c r="Q2755" t="s">
        <v>40</v>
      </c>
      <c r="R2755" t="s">
        <v>40</v>
      </c>
      <c r="S2755" t="s">
        <v>40</v>
      </c>
      <c r="V2755" t="s">
        <v>41</v>
      </c>
      <c r="W2755" t="s">
        <v>42</v>
      </c>
      <c r="X2755" t="str">
        <f>"0561019"</f>
        <v>0561019</v>
      </c>
      <c r="Y2755" t="s">
        <v>351</v>
      </c>
      <c r="Z2755" t="s">
        <v>345</v>
      </c>
      <c r="AA2755" t="s">
        <v>346</v>
      </c>
      <c r="AB2755" t="s">
        <v>131</v>
      </c>
      <c r="AC2755" t="s">
        <v>51</v>
      </c>
      <c r="AD2755" t="s">
        <v>45</v>
      </c>
      <c r="AE2755" s="1">
        <v>27106</v>
      </c>
      <c r="AF2755">
        <v>2</v>
      </c>
      <c r="AG2755" t="s">
        <v>346</v>
      </c>
      <c r="AH2755" s="36">
        <f t="shared" si="43"/>
        <v>45.419444444444444</v>
      </c>
      <c r="AI2755" s="41" t="s">
        <v>1779</v>
      </c>
    </row>
    <row r="2756" spans="1:35" x14ac:dyDescent="0.25">
      <c r="A2756" s="36">
        <v>99912754</v>
      </c>
      <c r="B2756" s="17" t="s">
        <v>32</v>
      </c>
      <c r="C2756" t="s">
        <v>111</v>
      </c>
      <c r="D2756" t="s">
        <v>112</v>
      </c>
      <c r="G2756" s="17" t="s">
        <v>35</v>
      </c>
      <c r="H2756" s="17">
        <v>8</v>
      </c>
      <c r="K2756" t="s">
        <v>268</v>
      </c>
      <c r="L2756" t="s">
        <v>269</v>
      </c>
      <c r="M2756" t="s">
        <v>131</v>
      </c>
      <c r="N2756">
        <v>22</v>
      </c>
      <c r="O2756" t="s">
        <v>40</v>
      </c>
      <c r="P2756" t="s">
        <v>40</v>
      </c>
      <c r="Q2756" t="s">
        <v>40</v>
      </c>
      <c r="R2756" t="s">
        <v>40</v>
      </c>
      <c r="S2756" t="s">
        <v>40</v>
      </c>
      <c r="V2756" t="s">
        <v>41</v>
      </c>
      <c r="W2756" t="s">
        <v>75</v>
      </c>
      <c r="X2756" t="str">
        <f>"7052006"</f>
        <v>7052006</v>
      </c>
      <c r="Y2756" t="s">
        <v>575</v>
      </c>
      <c r="Z2756" t="s">
        <v>268</v>
      </c>
      <c r="AA2756" t="s">
        <v>269</v>
      </c>
      <c r="AB2756" t="s">
        <v>131</v>
      </c>
      <c r="AC2756" t="s">
        <v>165</v>
      </c>
      <c r="AD2756" t="s">
        <v>45</v>
      </c>
      <c r="AE2756" s="1">
        <v>27105</v>
      </c>
      <c r="AF2756">
        <v>1</v>
      </c>
      <c r="AG2756" t="s">
        <v>269</v>
      </c>
      <c r="AH2756" s="36">
        <f t="shared" si="43"/>
        <v>45.422222222222224</v>
      </c>
      <c r="AI2756" s="41" t="s">
        <v>1779</v>
      </c>
    </row>
    <row r="2757" spans="1:35" x14ac:dyDescent="0.25">
      <c r="A2757" s="36">
        <v>99912755</v>
      </c>
      <c r="B2757" s="17" t="s">
        <v>32</v>
      </c>
      <c r="C2757" t="s">
        <v>111</v>
      </c>
      <c r="D2757" t="s">
        <v>112</v>
      </c>
      <c r="G2757" s="17" t="s">
        <v>35</v>
      </c>
      <c r="H2757" s="17">
        <v>1</v>
      </c>
      <c r="K2757" t="s">
        <v>963</v>
      </c>
      <c r="L2757" t="s">
        <v>964</v>
      </c>
      <c r="M2757" t="s">
        <v>938</v>
      </c>
      <c r="N2757">
        <v>22</v>
      </c>
      <c r="O2757" t="s">
        <v>40</v>
      </c>
      <c r="P2757" t="s">
        <v>40</v>
      </c>
      <c r="Q2757" t="s">
        <v>40</v>
      </c>
      <c r="S2757" t="s">
        <v>40</v>
      </c>
      <c r="V2757" t="s">
        <v>41</v>
      </c>
      <c r="W2757" t="s">
        <v>75</v>
      </c>
      <c r="X2757" t="str">
        <f>"7061000"</f>
        <v>7061000</v>
      </c>
      <c r="Y2757" t="s">
        <v>962</v>
      </c>
      <c r="Z2757" t="s">
        <v>963</v>
      </c>
      <c r="AA2757" t="s">
        <v>964</v>
      </c>
      <c r="AB2757" t="s">
        <v>938</v>
      </c>
      <c r="AC2757" t="s">
        <v>165</v>
      </c>
      <c r="AD2757" t="s">
        <v>45</v>
      </c>
      <c r="AE2757" s="1">
        <v>27105</v>
      </c>
      <c r="AF2757">
        <v>1</v>
      </c>
      <c r="AG2757" t="s">
        <v>964</v>
      </c>
      <c r="AH2757" s="36">
        <f t="shared" si="43"/>
        <v>45.422222222222224</v>
      </c>
      <c r="AI2757" s="41" t="s">
        <v>1779</v>
      </c>
    </row>
    <row r="2758" spans="1:35" x14ac:dyDescent="0.25">
      <c r="A2758" s="36">
        <v>99912756</v>
      </c>
      <c r="B2758" s="17" t="s">
        <v>32</v>
      </c>
      <c r="C2758" t="s">
        <v>46</v>
      </c>
      <c r="D2758" t="s">
        <v>47</v>
      </c>
      <c r="G2758" s="17" t="s">
        <v>35</v>
      </c>
      <c r="H2758" s="17">
        <v>1</v>
      </c>
      <c r="I2758">
        <v>0</v>
      </c>
      <c r="J2758" s="1">
        <v>43344</v>
      </c>
      <c r="K2758" t="s">
        <v>223</v>
      </c>
      <c r="L2758" t="s">
        <v>224</v>
      </c>
      <c r="M2758" t="s">
        <v>131</v>
      </c>
      <c r="N2758">
        <v>20</v>
      </c>
      <c r="O2758" t="s">
        <v>40</v>
      </c>
      <c r="Q2758" t="s">
        <v>40</v>
      </c>
      <c r="S2758" t="s">
        <v>40</v>
      </c>
      <c r="U2758" s="1">
        <v>43344</v>
      </c>
      <c r="V2758" t="s">
        <v>41</v>
      </c>
      <c r="W2758" t="s">
        <v>42</v>
      </c>
      <c r="X2758" t="str">
        <f>"0580206"</f>
        <v>0580206</v>
      </c>
      <c r="Y2758" t="s">
        <v>237</v>
      </c>
      <c r="Z2758" t="s">
        <v>223</v>
      </c>
      <c r="AA2758" t="s">
        <v>224</v>
      </c>
      <c r="AB2758" t="s">
        <v>131</v>
      </c>
      <c r="AC2758" t="s">
        <v>44</v>
      </c>
      <c r="AD2758" t="s">
        <v>45</v>
      </c>
      <c r="AE2758" s="1">
        <v>27095</v>
      </c>
      <c r="AF2758">
        <v>2</v>
      </c>
      <c r="AG2758" t="s">
        <v>224</v>
      </c>
      <c r="AH2758" s="36">
        <f t="shared" si="43"/>
        <v>45.45</v>
      </c>
      <c r="AI2758" s="41" t="s">
        <v>1779</v>
      </c>
    </row>
    <row r="2759" spans="1:35" x14ac:dyDescent="0.25">
      <c r="A2759" s="36">
        <v>99912757</v>
      </c>
      <c r="B2759" s="17" t="s">
        <v>56</v>
      </c>
      <c r="C2759" t="s">
        <v>79</v>
      </c>
      <c r="D2759" t="s">
        <v>80</v>
      </c>
      <c r="G2759" s="17" t="s">
        <v>48</v>
      </c>
      <c r="H2759" s="17">
        <v>1</v>
      </c>
      <c r="K2759" t="s">
        <v>300</v>
      </c>
      <c r="L2759" t="s">
        <v>301</v>
      </c>
      <c r="M2759" t="s">
        <v>131</v>
      </c>
      <c r="N2759">
        <v>11</v>
      </c>
      <c r="O2759" t="s">
        <v>40</v>
      </c>
      <c r="P2759" t="s">
        <v>40</v>
      </c>
      <c r="Q2759" t="s">
        <v>40</v>
      </c>
      <c r="R2759" t="s">
        <v>40</v>
      </c>
      <c r="S2759" t="s">
        <v>40</v>
      </c>
      <c r="V2759" t="s">
        <v>41</v>
      </c>
      <c r="W2759" t="s">
        <v>49</v>
      </c>
      <c r="X2759" t="str">
        <f>"0560013"</f>
        <v>0560013</v>
      </c>
      <c r="Y2759" t="s">
        <v>324</v>
      </c>
      <c r="Z2759" t="s">
        <v>300</v>
      </c>
      <c r="AA2759" t="s">
        <v>301</v>
      </c>
      <c r="AB2759" t="s">
        <v>131</v>
      </c>
      <c r="AC2759" t="s">
        <v>51</v>
      </c>
      <c r="AD2759" t="s">
        <v>45</v>
      </c>
      <c r="AE2759" s="1">
        <v>27095</v>
      </c>
      <c r="AF2759">
        <v>2</v>
      </c>
      <c r="AG2759" t="s">
        <v>301</v>
      </c>
      <c r="AH2759" s="36">
        <f t="shared" si="43"/>
        <v>45.45</v>
      </c>
      <c r="AI2759" s="41" t="s">
        <v>1779</v>
      </c>
    </row>
    <row r="2760" spans="1:35" x14ac:dyDescent="0.25">
      <c r="A2760" s="36">
        <v>99912758</v>
      </c>
      <c r="B2760" s="17" t="s">
        <v>56</v>
      </c>
      <c r="C2760" t="s">
        <v>79</v>
      </c>
      <c r="D2760" t="s">
        <v>80</v>
      </c>
      <c r="G2760" s="17" t="s">
        <v>48</v>
      </c>
      <c r="H2760" s="17">
        <v>5</v>
      </c>
      <c r="I2760" t="s">
        <v>214</v>
      </c>
      <c r="J2760" s="1">
        <v>41153</v>
      </c>
      <c r="K2760" t="s">
        <v>195</v>
      </c>
      <c r="L2760" t="s">
        <v>196</v>
      </c>
      <c r="M2760" t="s">
        <v>131</v>
      </c>
      <c r="N2760">
        <v>22</v>
      </c>
      <c r="O2760" t="s">
        <v>40</v>
      </c>
      <c r="P2760" t="s">
        <v>40</v>
      </c>
      <c r="Q2760" t="s">
        <v>40</v>
      </c>
      <c r="R2760" t="s">
        <v>40</v>
      </c>
      <c r="S2760" t="s">
        <v>40</v>
      </c>
      <c r="U2760" s="1">
        <v>41153</v>
      </c>
      <c r="V2760" t="s">
        <v>41</v>
      </c>
      <c r="W2760" t="s">
        <v>75</v>
      </c>
      <c r="X2760" t="str">
        <f>"7521050"</f>
        <v>7521050</v>
      </c>
      <c r="Y2760" t="s">
        <v>194</v>
      </c>
      <c r="Z2760" t="s">
        <v>195</v>
      </c>
      <c r="AA2760" t="s">
        <v>196</v>
      </c>
      <c r="AB2760" t="s">
        <v>131</v>
      </c>
      <c r="AC2760" t="s">
        <v>51</v>
      </c>
      <c r="AD2760" t="s">
        <v>45</v>
      </c>
      <c r="AE2760" s="1">
        <v>27095</v>
      </c>
      <c r="AF2760">
        <v>1</v>
      </c>
      <c r="AG2760" t="s">
        <v>196</v>
      </c>
      <c r="AH2760" s="36">
        <f t="shared" si="43"/>
        <v>45.45</v>
      </c>
      <c r="AI2760" s="41" t="s">
        <v>1779</v>
      </c>
    </row>
    <row r="2761" spans="1:35" x14ac:dyDescent="0.25">
      <c r="A2761" s="36">
        <v>99912759</v>
      </c>
      <c r="B2761" s="17" t="s">
        <v>56</v>
      </c>
      <c r="C2761" t="s">
        <v>52</v>
      </c>
      <c r="D2761" t="s">
        <v>53</v>
      </c>
      <c r="G2761" s="17" t="s">
        <v>48</v>
      </c>
      <c r="H2761" s="17">
        <v>1</v>
      </c>
      <c r="K2761" t="s">
        <v>380</v>
      </c>
      <c r="L2761" t="s">
        <v>381</v>
      </c>
      <c r="M2761" t="s">
        <v>131</v>
      </c>
      <c r="N2761">
        <v>14</v>
      </c>
      <c r="O2761" t="s">
        <v>40</v>
      </c>
      <c r="P2761" t="s">
        <v>40</v>
      </c>
      <c r="Q2761" t="s">
        <v>40</v>
      </c>
      <c r="R2761" t="s">
        <v>40</v>
      </c>
      <c r="S2761" t="s">
        <v>40</v>
      </c>
      <c r="V2761" t="s">
        <v>41</v>
      </c>
      <c r="W2761" t="s">
        <v>49</v>
      </c>
      <c r="X2761" t="str">
        <f>"0581859"</f>
        <v>0581859</v>
      </c>
      <c r="Y2761" t="s">
        <v>394</v>
      </c>
      <c r="Z2761" t="s">
        <v>380</v>
      </c>
      <c r="AA2761" t="s">
        <v>381</v>
      </c>
      <c r="AB2761" t="s">
        <v>131</v>
      </c>
      <c r="AC2761" t="s">
        <v>51</v>
      </c>
      <c r="AD2761" t="s">
        <v>45</v>
      </c>
      <c r="AE2761" s="1">
        <v>27094</v>
      </c>
      <c r="AF2761">
        <v>2</v>
      </c>
      <c r="AG2761" t="s">
        <v>381</v>
      </c>
      <c r="AH2761" s="36">
        <f t="shared" si="43"/>
        <v>45.452777777777776</v>
      </c>
      <c r="AI2761" s="41" t="s">
        <v>1779</v>
      </c>
    </row>
    <row r="2762" spans="1:35" x14ac:dyDescent="0.25">
      <c r="A2762" s="36">
        <v>99912760</v>
      </c>
      <c r="B2762" s="17" t="s">
        <v>32</v>
      </c>
      <c r="C2762" t="s">
        <v>111</v>
      </c>
      <c r="D2762" t="s">
        <v>112</v>
      </c>
      <c r="G2762" s="17" t="s">
        <v>48</v>
      </c>
      <c r="H2762" s="17">
        <v>1</v>
      </c>
      <c r="K2762" t="s">
        <v>431</v>
      </c>
      <c r="L2762" t="s">
        <v>196</v>
      </c>
      <c r="M2762" t="s">
        <v>131</v>
      </c>
      <c r="N2762">
        <v>22</v>
      </c>
      <c r="O2762" t="s">
        <v>40</v>
      </c>
      <c r="P2762" t="s">
        <v>40</v>
      </c>
      <c r="Q2762" t="s">
        <v>40</v>
      </c>
      <c r="R2762" t="s">
        <v>40</v>
      </c>
      <c r="S2762" t="s">
        <v>40</v>
      </c>
      <c r="V2762" t="s">
        <v>41</v>
      </c>
      <c r="W2762" t="s">
        <v>75</v>
      </c>
      <c r="X2762" t="str">
        <f>"7521012"</f>
        <v>7521012</v>
      </c>
      <c r="Y2762" t="s">
        <v>432</v>
      </c>
      <c r="Z2762" t="s">
        <v>431</v>
      </c>
      <c r="AA2762" t="s">
        <v>196</v>
      </c>
      <c r="AB2762" t="s">
        <v>131</v>
      </c>
      <c r="AC2762" t="s">
        <v>51</v>
      </c>
      <c r="AD2762" t="s">
        <v>45</v>
      </c>
      <c r="AE2762" s="1">
        <v>27086</v>
      </c>
      <c r="AF2762">
        <v>1</v>
      </c>
      <c r="AG2762" t="s">
        <v>196</v>
      </c>
      <c r="AH2762" s="36">
        <f t="shared" si="43"/>
        <v>45.475000000000001</v>
      </c>
      <c r="AI2762" s="41" t="s">
        <v>1779</v>
      </c>
    </row>
    <row r="2763" spans="1:35" x14ac:dyDescent="0.25">
      <c r="A2763" s="36">
        <v>99912761</v>
      </c>
      <c r="B2763" s="17" t="s">
        <v>56</v>
      </c>
      <c r="C2763" t="s">
        <v>52</v>
      </c>
      <c r="D2763" t="s">
        <v>53</v>
      </c>
      <c r="G2763" s="17" t="s">
        <v>48</v>
      </c>
      <c r="H2763" s="17">
        <v>1</v>
      </c>
      <c r="K2763" t="s">
        <v>162</v>
      </c>
      <c r="L2763" t="s">
        <v>158</v>
      </c>
      <c r="M2763" t="s">
        <v>131</v>
      </c>
      <c r="N2763">
        <v>16</v>
      </c>
      <c r="O2763" t="s">
        <v>40</v>
      </c>
      <c r="P2763" t="s">
        <v>40</v>
      </c>
      <c r="Q2763" t="s">
        <v>40</v>
      </c>
      <c r="S2763" t="s">
        <v>40</v>
      </c>
      <c r="V2763" t="s">
        <v>41</v>
      </c>
      <c r="W2763" t="s">
        <v>42</v>
      </c>
      <c r="X2763" t="str">
        <f>"0580330"</f>
        <v>0580330</v>
      </c>
      <c r="Y2763" t="s">
        <v>176</v>
      </c>
      <c r="Z2763" t="s">
        <v>162</v>
      </c>
      <c r="AA2763" t="s">
        <v>158</v>
      </c>
      <c r="AB2763" t="s">
        <v>131</v>
      </c>
      <c r="AC2763" t="s">
        <v>51</v>
      </c>
      <c r="AD2763" t="s">
        <v>45</v>
      </c>
      <c r="AE2763" s="1">
        <v>27085</v>
      </c>
      <c r="AF2763">
        <v>2</v>
      </c>
      <c r="AG2763" t="s">
        <v>158</v>
      </c>
      <c r="AH2763" s="36">
        <f t="shared" si="43"/>
        <v>45.477777777777774</v>
      </c>
      <c r="AI2763" s="41" t="s">
        <v>1779</v>
      </c>
    </row>
    <row r="2764" spans="1:35" x14ac:dyDescent="0.25">
      <c r="A2764" s="36">
        <v>99912762</v>
      </c>
      <c r="B2764" s="17" t="s">
        <v>32</v>
      </c>
      <c r="C2764" t="s">
        <v>143</v>
      </c>
      <c r="D2764" t="s">
        <v>144</v>
      </c>
      <c r="G2764" s="17" t="s">
        <v>48</v>
      </c>
      <c r="H2764" s="17">
        <v>1</v>
      </c>
      <c r="K2764" t="s">
        <v>162</v>
      </c>
      <c r="L2764" t="s">
        <v>158</v>
      </c>
      <c r="M2764" t="s">
        <v>131</v>
      </c>
      <c r="N2764">
        <v>7</v>
      </c>
      <c r="O2764" t="s">
        <v>40</v>
      </c>
      <c r="P2764" t="s">
        <v>40</v>
      </c>
      <c r="Q2764" t="s">
        <v>40</v>
      </c>
      <c r="S2764" t="s">
        <v>40</v>
      </c>
      <c r="V2764" t="s">
        <v>41</v>
      </c>
      <c r="W2764" t="s">
        <v>49</v>
      </c>
      <c r="X2764" t="str">
        <f>"0560027"</f>
        <v>0560027</v>
      </c>
      <c r="Y2764" t="s">
        <v>178</v>
      </c>
      <c r="Z2764" t="s">
        <v>162</v>
      </c>
      <c r="AA2764" t="s">
        <v>158</v>
      </c>
      <c r="AB2764" t="s">
        <v>131</v>
      </c>
      <c r="AC2764" t="s">
        <v>51</v>
      </c>
      <c r="AD2764" t="s">
        <v>45</v>
      </c>
      <c r="AE2764" s="1">
        <v>27084</v>
      </c>
      <c r="AF2764">
        <v>2</v>
      </c>
      <c r="AG2764" t="s">
        <v>158</v>
      </c>
      <c r="AH2764" s="36">
        <f t="shared" si="43"/>
        <v>45.480555555555554</v>
      </c>
      <c r="AI2764" s="41" t="s">
        <v>1779</v>
      </c>
    </row>
    <row r="2765" spans="1:35" x14ac:dyDescent="0.25">
      <c r="A2765" s="36">
        <v>99912763</v>
      </c>
      <c r="B2765" s="17" t="s">
        <v>32</v>
      </c>
      <c r="C2765" t="s">
        <v>46</v>
      </c>
      <c r="D2765" t="s">
        <v>47</v>
      </c>
      <c r="G2765" s="17" t="s">
        <v>35</v>
      </c>
      <c r="H2765" s="17">
        <v>1</v>
      </c>
      <c r="K2765" t="s">
        <v>157</v>
      </c>
      <c r="L2765" t="s">
        <v>158</v>
      </c>
      <c r="M2765" t="s">
        <v>131</v>
      </c>
      <c r="N2765">
        <v>21</v>
      </c>
      <c r="O2765" t="s">
        <v>40</v>
      </c>
      <c r="P2765" t="s">
        <v>40</v>
      </c>
      <c r="Q2765" t="s">
        <v>40</v>
      </c>
      <c r="S2765" t="s">
        <v>40</v>
      </c>
      <c r="V2765" t="s">
        <v>41</v>
      </c>
      <c r="W2765" t="s">
        <v>42</v>
      </c>
      <c r="X2765" t="str">
        <f>"0580725"</f>
        <v>0580725</v>
      </c>
      <c r="Y2765" t="s">
        <v>167</v>
      </c>
      <c r="Z2765" t="s">
        <v>157</v>
      </c>
      <c r="AA2765" t="s">
        <v>158</v>
      </c>
      <c r="AB2765" t="s">
        <v>131</v>
      </c>
      <c r="AC2765" t="s">
        <v>51</v>
      </c>
      <c r="AD2765" t="s">
        <v>45</v>
      </c>
      <c r="AE2765" s="1">
        <v>27082</v>
      </c>
      <c r="AF2765">
        <v>2</v>
      </c>
      <c r="AG2765" t="s">
        <v>158</v>
      </c>
      <c r="AH2765" s="36">
        <f t="shared" si="43"/>
        <v>45.486111111111114</v>
      </c>
      <c r="AI2765" s="41" t="s">
        <v>1779</v>
      </c>
    </row>
    <row r="2766" spans="1:35" x14ac:dyDescent="0.25">
      <c r="A2766" s="36">
        <v>99912764</v>
      </c>
      <c r="B2766" s="17" t="s">
        <v>32</v>
      </c>
      <c r="C2766" t="s">
        <v>33</v>
      </c>
      <c r="D2766" t="s">
        <v>34</v>
      </c>
      <c r="G2766" s="17" t="s">
        <v>48</v>
      </c>
      <c r="H2766" s="17">
        <v>1</v>
      </c>
      <c r="K2766" t="s">
        <v>300</v>
      </c>
      <c r="L2766" t="s">
        <v>301</v>
      </c>
      <c r="M2766" t="s">
        <v>131</v>
      </c>
      <c r="N2766">
        <v>24</v>
      </c>
      <c r="O2766" t="s">
        <v>40</v>
      </c>
      <c r="P2766" t="s">
        <v>40</v>
      </c>
      <c r="Q2766" t="s">
        <v>40</v>
      </c>
      <c r="R2766" t="s">
        <v>40</v>
      </c>
      <c r="S2766" t="s">
        <v>40</v>
      </c>
      <c r="V2766" t="s">
        <v>41</v>
      </c>
      <c r="W2766" t="s">
        <v>42</v>
      </c>
      <c r="X2766" t="str">
        <f>"0580176"</f>
        <v>0580176</v>
      </c>
      <c r="Y2766" t="s">
        <v>305</v>
      </c>
      <c r="Z2766" t="s">
        <v>300</v>
      </c>
      <c r="AA2766" t="s">
        <v>301</v>
      </c>
      <c r="AB2766" t="s">
        <v>131</v>
      </c>
      <c r="AC2766" t="s">
        <v>51</v>
      </c>
      <c r="AD2766" t="s">
        <v>45</v>
      </c>
      <c r="AE2766" s="1">
        <v>27081</v>
      </c>
      <c r="AF2766">
        <v>2</v>
      </c>
      <c r="AG2766" t="s">
        <v>301</v>
      </c>
      <c r="AH2766" s="36">
        <f t="shared" si="43"/>
        <v>45.488888888888887</v>
      </c>
      <c r="AI2766" s="41" t="s">
        <v>1779</v>
      </c>
    </row>
    <row r="2767" spans="1:35" x14ac:dyDescent="0.25">
      <c r="A2767" s="36">
        <v>99912765</v>
      </c>
      <c r="B2767" s="17" t="s">
        <v>32</v>
      </c>
      <c r="C2767" t="s">
        <v>64</v>
      </c>
      <c r="D2767" t="s">
        <v>65</v>
      </c>
      <c r="G2767" s="17" t="s">
        <v>48</v>
      </c>
      <c r="H2767" s="17">
        <v>1</v>
      </c>
      <c r="K2767" t="s">
        <v>162</v>
      </c>
      <c r="L2767" t="s">
        <v>158</v>
      </c>
      <c r="M2767" t="s">
        <v>131</v>
      </c>
      <c r="N2767">
        <v>9</v>
      </c>
      <c r="O2767" t="s">
        <v>40</v>
      </c>
      <c r="P2767" t="s">
        <v>40</v>
      </c>
      <c r="Q2767" t="s">
        <v>40</v>
      </c>
      <c r="S2767" t="s">
        <v>40</v>
      </c>
      <c r="V2767" t="s">
        <v>41</v>
      </c>
      <c r="W2767" t="s">
        <v>49</v>
      </c>
      <c r="X2767" t="str">
        <f>"0560027"</f>
        <v>0560027</v>
      </c>
      <c r="Y2767" t="s">
        <v>178</v>
      </c>
      <c r="Z2767" t="s">
        <v>162</v>
      </c>
      <c r="AA2767" t="s">
        <v>158</v>
      </c>
      <c r="AB2767" t="s">
        <v>131</v>
      </c>
      <c r="AC2767" t="s">
        <v>51</v>
      </c>
      <c r="AD2767" t="s">
        <v>45</v>
      </c>
      <c r="AE2767" s="1">
        <v>27073</v>
      </c>
      <c r="AF2767">
        <v>2</v>
      </c>
      <c r="AG2767" t="s">
        <v>158</v>
      </c>
      <c r="AH2767" s="36">
        <f t="shared" si="43"/>
        <v>45.511111111111113</v>
      </c>
      <c r="AI2767" s="41" t="s">
        <v>1780</v>
      </c>
    </row>
    <row r="2768" spans="1:35" x14ac:dyDescent="0.25">
      <c r="A2768" s="36">
        <v>99912766</v>
      </c>
      <c r="B2768" s="17" t="s">
        <v>32</v>
      </c>
      <c r="C2768" t="s">
        <v>46</v>
      </c>
      <c r="D2768" t="s">
        <v>47</v>
      </c>
      <c r="G2768" s="17" t="s">
        <v>48</v>
      </c>
      <c r="H2768" s="17">
        <v>1</v>
      </c>
      <c r="K2768" t="s">
        <v>380</v>
      </c>
      <c r="L2768" t="s">
        <v>381</v>
      </c>
      <c r="M2768" t="s">
        <v>131</v>
      </c>
      <c r="N2768">
        <v>21</v>
      </c>
      <c r="O2768" t="s">
        <v>40</v>
      </c>
      <c r="P2768" t="s">
        <v>40</v>
      </c>
      <c r="Q2768" t="s">
        <v>40</v>
      </c>
      <c r="S2768" t="s">
        <v>40</v>
      </c>
      <c r="V2768" t="s">
        <v>41</v>
      </c>
      <c r="W2768" t="s">
        <v>49</v>
      </c>
      <c r="X2768" t="str">
        <f>"0581859"</f>
        <v>0581859</v>
      </c>
      <c r="Y2768" t="s">
        <v>394</v>
      </c>
      <c r="Z2768" t="s">
        <v>380</v>
      </c>
      <c r="AA2768" t="s">
        <v>381</v>
      </c>
      <c r="AB2768" t="s">
        <v>131</v>
      </c>
      <c r="AC2768" t="s">
        <v>51</v>
      </c>
      <c r="AD2768" t="s">
        <v>45</v>
      </c>
      <c r="AE2768" s="1">
        <v>27073</v>
      </c>
      <c r="AF2768">
        <v>2</v>
      </c>
      <c r="AG2768" t="s">
        <v>381</v>
      </c>
      <c r="AH2768" s="36">
        <f t="shared" si="43"/>
        <v>45.511111111111113</v>
      </c>
      <c r="AI2768" s="41" t="s">
        <v>1780</v>
      </c>
    </row>
    <row r="2769" spans="1:35" x14ac:dyDescent="0.25">
      <c r="A2769" s="36">
        <v>99912767</v>
      </c>
      <c r="B2769" s="17" t="s">
        <v>32</v>
      </c>
      <c r="C2769" t="s">
        <v>46</v>
      </c>
      <c r="D2769" t="s">
        <v>47</v>
      </c>
      <c r="G2769" s="17" t="s">
        <v>35</v>
      </c>
      <c r="H2769" s="17">
        <v>1</v>
      </c>
      <c r="K2769" t="s">
        <v>947</v>
      </c>
      <c r="L2769" t="s">
        <v>948</v>
      </c>
      <c r="M2769" t="s">
        <v>938</v>
      </c>
      <c r="N2769">
        <v>22</v>
      </c>
      <c r="O2769" t="s">
        <v>40</v>
      </c>
      <c r="P2769" t="s">
        <v>40</v>
      </c>
      <c r="Q2769" t="s">
        <v>40</v>
      </c>
      <c r="S2769" t="s">
        <v>40</v>
      </c>
      <c r="V2769" t="s">
        <v>41</v>
      </c>
      <c r="W2769" t="s">
        <v>42</v>
      </c>
      <c r="X2769" t="str">
        <f>"0680039"</f>
        <v>0680039</v>
      </c>
      <c r="Y2769" t="s">
        <v>949</v>
      </c>
      <c r="Z2769" t="s">
        <v>947</v>
      </c>
      <c r="AA2769" t="s">
        <v>948</v>
      </c>
      <c r="AB2769" t="s">
        <v>938</v>
      </c>
      <c r="AC2769" t="s">
        <v>51</v>
      </c>
      <c r="AD2769" t="s">
        <v>45</v>
      </c>
      <c r="AE2769" s="1">
        <v>27073</v>
      </c>
      <c r="AF2769">
        <v>2</v>
      </c>
      <c r="AG2769" t="s">
        <v>948</v>
      </c>
      <c r="AH2769" s="36">
        <f t="shared" si="43"/>
        <v>45.511111111111113</v>
      </c>
      <c r="AI2769" s="41" t="s">
        <v>1780</v>
      </c>
    </row>
    <row r="2770" spans="1:35" x14ac:dyDescent="0.25">
      <c r="A2770" s="36">
        <v>99912768</v>
      </c>
      <c r="B2770" s="17" t="s">
        <v>32</v>
      </c>
      <c r="C2770" t="s">
        <v>46</v>
      </c>
      <c r="D2770" t="s">
        <v>47</v>
      </c>
      <c r="G2770" s="17" t="s">
        <v>48</v>
      </c>
      <c r="H2770" s="17">
        <v>1</v>
      </c>
      <c r="K2770" t="s">
        <v>1187</v>
      </c>
      <c r="L2770" t="s">
        <v>1188</v>
      </c>
      <c r="M2770" t="s">
        <v>1130</v>
      </c>
      <c r="N2770">
        <v>20</v>
      </c>
      <c r="O2770" t="s">
        <v>40</v>
      </c>
      <c r="P2770" t="s">
        <v>40</v>
      </c>
      <c r="Q2770" t="s">
        <v>40</v>
      </c>
      <c r="R2770" t="s">
        <v>40</v>
      </c>
      <c r="S2770" t="s">
        <v>40</v>
      </c>
      <c r="V2770" t="s">
        <v>41</v>
      </c>
      <c r="W2770" t="s">
        <v>49</v>
      </c>
      <c r="X2770" t="str">
        <f>"4581015"</f>
        <v>4581015</v>
      </c>
      <c r="Y2770" t="s">
        <v>1190</v>
      </c>
      <c r="Z2770" t="s">
        <v>1187</v>
      </c>
      <c r="AA2770" t="s">
        <v>1188</v>
      </c>
      <c r="AB2770" t="s">
        <v>1130</v>
      </c>
      <c r="AC2770" t="s">
        <v>51</v>
      </c>
      <c r="AD2770" t="s">
        <v>45</v>
      </c>
      <c r="AE2770" s="1">
        <v>27072</v>
      </c>
      <c r="AF2770">
        <v>2</v>
      </c>
      <c r="AG2770" t="s">
        <v>1188</v>
      </c>
      <c r="AH2770" s="36">
        <f t="shared" si="43"/>
        <v>45.513888888888886</v>
      </c>
      <c r="AI2770" s="41" t="s">
        <v>1780</v>
      </c>
    </row>
    <row r="2771" spans="1:35" x14ac:dyDescent="0.25">
      <c r="A2771" s="36">
        <v>99912769</v>
      </c>
      <c r="B2771" s="17" t="s">
        <v>32</v>
      </c>
      <c r="C2771" t="s">
        <v>90</v>
      </c>
      <c r="D2771" t="s">
        <v>91</v>
      </c>
      <c r="G2771" s="17" t="s">
        <v>35</v>
      </c>
      <c r="H2771" s="17">
        <v>1</v>
      </c>
      <c r="I2771">
        <v>20396</v>
      </c>
      <c r="J2771" s="1">
        <v>43344</v>
      </c>
      <c r="K2771" t="s">
        <v>354</v>
      </c>
      <c r="L2771" t="s">
        <v>355</v>
      </c>
      <c r="M2771" t="s">
        <v>131</v>
      </c>
      <c r="N2771">
        <v>24</v>
      </c>
      <c r="O2771" t="s">
        <v>40</v>
      </c>
      <c r="S2771" t="s">
        <v>40</v>
      </c>
      <c r="U2771" s="1">
        <v>43344</v>
      </c>
      <c r="V2771" t="s">
        <v>41</v>
      </c>
      <c r="W2771" t="s">
        <v>75</v>
      </c>
      <c r="X2771" t="str">
        <f>"7054016"</f>
        <v>7054016</v>
      </c>
      <c r="Y2771" t="s">
        <v>768</v>
      </c>
      <c r="Z2771" t="s">
        <v>354</v>
      </c>
      <c r="AA2771" t="s">
        <v>355</v>
      </c>
      <c r="AB2771" t="s">
        <v>131</v>
      </c>
      <c r="AC2771" t="s">
        <v>51</v>
      </c>
      <c r="AD2771" t="s">
        <v>45</v>
      </c>
      <c r="AE2771" s="1">
        <v>27069</v>
      </c>
      <c r="AF2771">
        <v>1</v>
      </c>
      <c r="AG2771" t="s">
        <v>355</v>
      </c>
      <c r="AH2771" s="36">
        <f t="shared" si="43"/>
        <v>45.522222222222226</v>
      </c>
      <c r="AI2771" s="41" t="s">
        <v>1780</v>
      </c>
    </row>
    <row r="2772" spans="1:35" x14ac:dyDescent="0.25">
      <c r="A2772" s="36">
        <v>99912770</v>
      </c>
      <c r="B2772" s="17" t="s">
        <v>32</v>
      </c>
      <c r="C2772" t="s">
        <v>85</v>
      </c>
      <c r="D2772" t="s">
        <v>86</v>
      </c>
      <c r="G2772" s="17" t="s">
        <v>35</v>
      </c>
      <c r="H2772" s="17">
        <v>1</v>
      </c>
      <c r="K2772" t="s">
        <v>223</v>
      </c>
      <c r="L2772" t="s">
        <v>224</v>
      </c>
      <c r="M2772" t="s">
        <v>131</v>
      </c>
      <c r="N2772">
        <v>20</v>
      </c>
      <c r="O2772" t="s">
        <v>40</v>
      </c>
      <c r="P2772" t="s">
        <v>40</v>
      </c>
      <c r="Q2772" t="s">
        <v>40</v>
      </c>
      <c r="S2772" t="s">
        <v>40</v>
      </c>
      <c r="V2772" t="s">
        <v>41</v>
      </c>
      <c r="W2772" t="s">
        <v>49</v>
      </c>
      <c r="X2772" t="str">
        <f>"0591907"</f>
        <v>0591907</v>
      </c>
      <c r="Y2772" t="s">
        <v>243</v>
      </c>
      <c r="Z2772" t="s">
        <v>223</v>
      </c>
      <c r="AA2772" t="s">
        <v>224</v>
      </c>
      <c r="AB2772" t="s">
        <v>131</v>
      </c>
      <c r="AC2772" t="s">
        <v>51</v>
      </c>
      <c r="AD2772" t="s">
        <v>45</v>
      </c>
      <c r="AE2772" s="1">
        <v>27067</v>
      </c>
      <c r="AF2772">
        <v>2</v>
      </c>
      <c r="AG2772" t="s">
        <v>224</v>
      </c>
      <c r="AH2772" s="36">
        <f t="shared" si="43"/>
        <v>45.527777777777779</v>
      </c>
      <c r="AI2772" s="41" t="s">
        <v>1780</v>
      </c>
    </row>
    <row r="2773" spans="1:35" x14ac:dyDescent="0.25">
      <c r="A2773" s="36">
        <v>99912771</v>
      </c>
      <c r="B2773" s="17" t="s">
        <v>32</v>
      </c>
      <c r="C2773" t="s">
        <v>64</v>
      </c>
      <c r="D2773" t="s">
        <v>65</v>
      </c>
      <c r="G2773" s="17" t="s">
        <v>48</v>
      </c>
      <c r="H2773" s="17">
        <v>1</v>
      </c>
      <c r="K2773" t="s">
        <v>354</v>
      </c>
      <c r="L2773" t="s">
        <v>355</v>
      </c>
      <c r="M2773" t="s">
        <v>131</v>
      </c>
      <c r="N2773">
        <v>22</v>
      </c>
      <c r="O2773" t="s">
        <v>40</v>
      </c>
      <c r="P2773" t="s">
        <v>40</v>
      </c>
      <c r="Q2773" t="s">
        <v>40</v>
      </c>
      <c r="S2773" t="s">
        <v>40</v>
      </c>
      <c r="V2773" t="s">
        <v>41</v>
      </c>
      <c r="W2773" t="s">
        <v>75</v>
      </c>
      <c r="X2773" t="str">
        <f>"7054022"</f>
        <v>7054022</v>
      </c>
      <c r="Y2773" t="s">
        <v>770</v>
      </c>
      <c r="Z2773" t="s">
        <v>354</v>
      </c>
      <c r="AA2773" t="s">
        <v>355</v>
      </c>
      <c r="AB2773" t="s">
        <v>131</v>
      </c>
      <c r="AC2773" t="s">
        <v>51</v>
      </c>
      <c r="AD2773" t="s">
        <v>45</v>
      </c>
      <c r="AE2773" s="1">
        <v>27067</v>
      </c>
      <c r="AF2773">
        <v>1</v>
      </c>
      <c r="AG2773" t="s">
        <v>355</v>
      </c>
      <c r="AH2773" s="36">
        <f t="shared" si="43"/>
        <v>45.527777777777779</v>
      </c>
      <c r="AI2773" s="41" t="s">
        <v>1780</v>
      </c>
    </row>
    <row r="2774" spans="1:35" x14ac:dyDescent="0.25">
      <c r="A2774" s="36">
        <v>99912772</v>
      </c>
      <c r="B2774" s="17" t="s">
        <v>56</v>
      </c>
      <c r="C2774" t="s">
        <v>46</v>
      </c>
      <c r="D2774" t="s">
        <v>47</v>
      </c>
      <c r="G2774" s="17" t="s">
        <v>48</v>
      </c>
      <c r="H2774" s="17">
        <v>1</v>
      </c>
      <c r="K2774" t="s">
        <v>162</v>
      </c>
      <c r="L2774" t="s">
        <v>158</v>
      </c>
      <c r="M2774" t="s">
        <v>131</v>
      </c>
      <c r="N2774">
        <v>20</v>
      </c>
      <c r="O2774" t="s">
        <v>40</v>
      </c>
      <c r="P2774" t="s">
        <v>40</v>
      </c>
      <c r="Q2774" t="s">
        <v>40</v>
      </c>
      <c r="R2774" t="s">
        <v>40</v>
      </c>
      <c r="S2774" t="s">
        <v>40</v>
      </c>
      <c r="V2774" t="s">
        <v>41</v>
      </c>
      <c r="W2774" t="s">
        <v>42</v>
      </c>
      <c r="X2774" t="str">
        <f>"0580325"</f>
        <v>0580325</v>
      </c>
      <c r="Y2774" t="s">
        <v>170</v>
      </c>
      <c r="Z2774" t="s">
        <v>162</v>
      </c>
      <c r="AA2774" t="s">
        <v>158</v>
      </c>
      <c r="AB2774" t="s">
        <v>131</v>
      </c>
      <c r="AC2774" t="s">
        <v>165</v>
      </c>
      <c r="AD2774" t="s">
        <v>45</v>
      </c>
      <c r="AE2774" s="1">
        <v>27064</v>
      </c>
      <c r="AF2774">
        <v>2</v>
      </c>
      <c r="AG2774" t="s">
        <v>158</v>
      </c>
      <c r="AH2774" s="36">
        <f t="shared" si="43"/>
        <v>45.536111111111111</v>
      </c>
      <c r="AI2774" s="41" t="s">
        <v>1780</v>
      </c>
    </row>
    <row r="2775" spans="1:35" x14ac:dyDescent="0.25">
      <c r="A2775" s="36">
        <v>99912773</v>
      </c>
      <c r="B2775" s="17" t="s">
        <v>32</v>
      </c>
      <c r="C2775" t="s">
        <v>68</v>
      </c>
      <c r="D2775" t="s">
        <v>69</v>
      </c>
      <c r="G2775" s="17" t="s">
        <v>35</v>
      </c>
      <c r="H2775" s="17">
        <v>1</v>
      </c>
      <c r="K2775" t="s">
        <v>223</v>
      </c>
      <c r="L2775" t="s">
        <v>224</v>
      </c>
      <c r="M2775" t="s">
        <v>131</v>
      </c>
      <c r="N2775">
        <v>24</v>
      </c>
      <c r="O2775" t="s">
        <v>40</v>
      </c>
      <c r="P2775" t="s">
        <v>40</v>
      </c>
      <c r="Q2775" t="s">
        <v>40</v>
      </c>
      <c r="R2775" t="s">
        <v>40</v>
      </c>
      <c r="S2775" t="s">
        <v>40</v>
      </c>
      <c r="V2775" t="s">
        <v>41</v>
      </c>
      <c r="W2775" t="s">
        <v>42</v>
      </c>
      <c r="X2775" t="str">
        <f>"0580345"</f>
        <v>0580345</v>
      </c>
      <c r="Y2775" t="s">
        <v>261</v>
      </c>
      <c r="Z2775" t="s">
        <v>223</v>
      </c>
      <c r="AA2775" t="s">
        <v>224</v>
      </c>
      <c r="AB2775" t="s">
        <v>131</v>
      </c>
      <c r="AC2775" t="s">
        <v>51</v>
      </c>
      <c r="AD2775" t="s">
        <v>45</v>
      </c>
      <c r="AE2775" s="1">
        <v>27064</v>
      </c>
      <c r="AF2775">
        <v>2</v>
      </c>
      <c r="AG2775" t="s">
        <v>224</v>
      </c>
      <c r="AH2775" s="36">
        <f t="shared" si="43"/>
        <v>45.536111111111111</v>
      </c>
      <c r="AI2775" s="41" t="s">
        <v>1780</v>
      </c>
    </row>
    <row r="2776" spans="1:35" x14ac:dyDescent="0.25">
      <c r="A2776" s="36">
        <v>99912774</v>
      </c>
      <c r="B2776" s="17" t="s">
        <v>32</v>
      </c>
      <c r="C2776" t="s">
        <v>64</v>
      </c>
      <c r="D2776" t="s">
        <v>65</v>
      </c>
      <c r="G2776" s="17" t="s">
        <v>35</v>
      </c>
      <c r="H2776" s="17">
        <v>9</v>
      </c>
      <c r="K2776" t="s">
        <v>268</v>
      </c>
      <c r="L2776" t="s">
        <v>269</v>
      </c>
      <c r="M2776" t="s">
        <v>131</v>
      </c>
      <c r="N2776">
        <v>22</v>
      </c>
      <c r="O2776" t="s">
        <v>40</v>
      </c>
      <c r="P2776" t="s">
        <v>40</v>
      </c>
      <c r="Q2776" t="s">
        <v>40</v>
      </c>
      <c r="R2776" t="s">
        <v>40</v>
      </c>
      <c r="S2776" t="s">
        <v>40</v>
      </c>
      <c r="V2776" t="s">
        <v>41</v>
      </c>
      <c r="W2776" t="s">
        <v>75</v>
      </c>
      <c r="X2776" t="str">
        <f>"7052002"</f>
        <v>7052002</v>
      </c>
      <c r="Y2776" t="s">
        <v>590</v>
      </c>
      <c r="Z2776" t="s">
        <v>268</v>
      </c>
      <c r="AA2776" t="s">
        <v>269</v>
      </c>
      <c r="AB2776" t="s">
        <v>131</v>
      </c>
      <c r="AC2776" t="s">
        <v>51</v>
      </c>
      <c r="AD2776" t="s">
        <v>45</v>
      </c>
      <c r="AE2776" s="1">
        <v>27062</v>
      </c>
      <c r="AF2776">
        <v>1</v>
      </c>
      <c r="AG2776" t="s">
        <v>269</v>
      </c>
      <c r="AH2776" s="36">
        <f t="shared" si="43"/>
        <v>45.541666666666664</v>
      </c>
      <c r="AI2776" s="41" t="s">
        <v>1780</v>
      </c>
    </row>
    <row r="2777" spans="1:35" x14ac:dyDescent="0.25">
      <c r="A2777" s="36">
        <v>99912775</v>
      </c>
      <c r="B2777" s="17" t="s">
        <v>32</v>
      </c>
      <c r="C2777" t="s">
        <v>79</v>
      </c>
      <c r="D2777" t="s">
        <v>80</v>
      </c>
      <c r="G2777" s="17" t="s">
        <v>48</v>
      </c>
      <c r="H2777" s="17">
        <v>5</v>
      </c>
      <c r="K2777" t="s">
        <v>195</v>
      </c>
      <c r="L2777" t="s">
        <v>196</v>
      </c>
      <c r="M2777" t="s">
        <v>131</v>
      </c>
      <c r="N2777">
        <v>23</v>
      </c>
      <c r="O2777" t="s">
        <v>40</v>
      </c>
      <c r="P2777" t="s">
        <v>40</v>
      </c>
      <c r="Q2777" t="s">
        <v>40</v>
      </c>
      <c r="R2777" t="s">
        <v>40</v>
      </c>
      <c r="S2777" t="s">
        <v>40</v>
      </c>
      <c r="U2777" s="1">
        <v>40422</v>
      </c>
      <c r="V2777" t="s">
        <v>41</v>
      </c>
      <c r="W2777" t="s">
        <v>75</v>
      </c>
      <c r="X2777" t="str">
        <f>"7521044"</f>
        <v>7521044</v>
      </c>
      <c r="Y2777" t="s">
        <v>453</v>
      </c>
      <c r="Z2777" t="s">
        <v>195</v>
      </c>
      <c r="AA2777" t="s">
        <v>196</v>
      </c>
      <c r="AB2777" t="s">
        <v>131</v>
      </c>
      <c r="AC2777" t="s">
        <v>51</v>
      </c>
      <c r="AD2777" t="s">
        <v>45</v>
      </c>
      <c r="AE2777" s="1">
        <v>27061</v>
      </c>
      <c r="AF2777">
        <v>1</v>
      </c>
      <c r="AG2777" t="s">
        <v>196</v>
      </c>
      <c r="AH2777" s="36">
        <f t="shared" si="43"/>
        <v>45.544444444444444</v>
      </c>
      <c r="AI2777" s="41" t="s">
        <v>1780</v>
      </c>
    </row>
    <row r="2778" spans="1:35" x14ac:dyDescent="0.25">
      <c r="A2778" s="36">
        <v>99912776</v>
      </c>
      <c r="B2778" s="17" t="s">
        <v>56</v>
      </c>
      <c r="C2778" t="s">
        <v>68</v>
      </c>
      <c r="D2778" t="s">
        <v>69</v>
      </c>
      <c r="G2778" s="17" t="s">
        <v>35</v>
      </c>
      <c r="H2778" s="17">
        <v>1</v>
      </c>
      <c r="I2778" t="s">
        <v>1625</v>
      </c>
      <c r="J2778" s="1">
        <v>43344</v>
      </c>
      <c r="K2778" t="s">
        <v>1626</v>
      </c>
      <c r="L2778" t="s">
        <v>1627</v>
      </c>
      <c r="M2778" t="s">
        <v>1592</v>
      </c>
      <c r="N2778">
        <v>23</v>
      </c>
      <c r="O2778" t="s">
        <v>40</v>
      </c>
      <c r="P2778" t="s">
        <v>40</v>
      </c>
      <c r="Q2778" t="s">
        <v>40</v>
      </c>
      <c r="R2778" t="s">
        <v>40</v>
      </c>
      <c r="S2778" t="s">
        <v>40</v>
      </c>
      <c r="U2778" s="1">
        <v>43344</v>
      </c>
      <c r="V2778" t="s">
        <v>41</v>
      </c>
      <c r="W2778" t="s">
        <v>42</v>
      </c>
      <c r="X2778" t="str">
        <f>"3680015"</f>
        <v>3680015</v>
      </c>
      <c r="Y2778" t="s">
        <v>1628</v>
      </c>
      <c r="Z2778" t="s">
        <v>1626</v>
      </c>
      <c r="AA2778" t="s">
        <v>1627</v>
      </c>
      <c r="AB2778" t="s">
        <v>1592</v>
      </c>
      <c r="AC2778" t="s">
        <v>51</v>
      </c>
      <c r="AD2778" t="s">
        <v>45</v>
      </c>
      <c r="AE2778" s="1">
        <v>27057</v>
      </c>
      <c r="AF2778">
        <v>2</v>
      </c>
      <c r="AG2778" t="s">
        <v>1627</v>
      </c>
      <c r="AH2778" s="36">
        <f t="shared" si="43"/>
        <v>45.555555555555557</v>
      </c>
      <c r="AI2778" s="41" t="s">
        <v>1780</v>
      </c>
    </row>
    <row r="2779" spans="1:35" x14ac:dyDescent="0.25">
      <c r="A2779" s="36">
        <v>99912777</v>
      </c>
      <c r="B2779" s="17" t="s">
        <v>56</v>
      </c>
      <c r="C2779" t="s">
        <v>58</v>
      </c>
      <c r="D2779" t="s">
        <v>59</v>
      </c>
      <c r="G2779" s="17" t="s">
        <v>35</v>
      </c>
      <c r="H2779" s="17">
        <v>1</v>
      </c>
      <c r="I2779">
        <v>0</v>
      </c>
      <c r="J2779" s="1">
        <v>43344</v>
      </c>
      <c r="K2779" t="s">
        <v>223</v>
      </c>
      <c r="L2779" t="s">
        <v>224</v>
      </c>
      <c r="M2779" t="s">
        <v>131</v>
      </c>
      <c r="N2779">
        <v>20</v>
      </c>
      <c r="O2779" t="s">
        <v>40</v>
      </c>
      <c r="S2779" t="s">
        <v>40</v>
      </c>
      <c r="U2779" s="1">
        <v>43344</v>
      </c>
      <c r="V2779" t="s">
        <v>41</v>
      </c>
      <c r="W2779" t="s">
        <v>42</v>
      </c>
      <c r="X2779" t="str">
        <f>"0580206"</f>
        <v>0580206</v>
      </c>
      <c r="Y2779" t="s">
        <v>237</v>
      </c>
      <c r="Z2779" t="s">
        <v>223</v>
      </c>
      <c r="AA2779" t="s">
        <v>224</v>
      </c>
      <c r="AB2779" t="s">
        <v>131</v>
      </c>
      <c r="AC2779" t="s">
        <v>51</v>
      </c>
      <c r="AD2779" t="s">
        <v>45</v>
      </c>
      <c r="AE2779" s="1">
        <v>27054</v>
      </c>
      <c r="AF2779">
        <v>2</v>
      </c>
      <c r="AG2779" t="s">
        <v>224</v>
      </c>
      <c r="AH2779" s="36">
        <f t="shared" si="43"/>
        <v>45.56388888888889</v>
      </c>
      <c r="AI2779" s="41" t="s">
        <v>1780</v>
      </c>
    </row>
    <row r="2780" spans="1:35" x14ac:dyDescent="0.25">
      <c r="A2780" s="36">
        <v>99912778</v>
      </c>
      <c r="B2780" s="17" t="s">
        <v>32</v>
      </c>
      <c r="C2780" t="s">
        <v>90</v>
      </c>
      <c r="D2780" t="s">
        <v>91</v>
      </c>
      <c r="G2780" s="17" t="s">
        <v>35</v>
      </c>
      <c r="H2780" s="17">
        <v>1</v>
      </c>
      <c r="I2780">
        <v>10601</v>
      </c>
      <c r="J2780" s="1">
        <v>43344</v>
      </c>
      <c r="K2780" t="s">
        <v>354</v>
      </c>
      <c r="L2780" t="s">
        <v>355</v>
      </c>
      <c r="M2780" t="s">
        <v>131</v>
      </c>
      <c r="N2780">
        <v>25</v>
      </c>
      <c r="O2780" t="s">
        <v>40</v>
      </c>
      <c r="P2780" t="s">
        <v>40</v>
      </c>
      <c r="Q2780" t="s">
        <v>40</v>
      </c>
      <c r="R2780" t="s">
        <v>40</v>
      </c>
      <c r="S2780" t="s">
        <v>40</v>
      </c>
      <c r="U2780" s="1">
        <v>43344</v>
      </c>
      <c r="V2780" t="s">
        <v>41</v>
      </c>
      <c r="W2780" t="s">
        <v>95</v>
      </c>
      <c r="X2780" t="str">
        <f>"7054173"</f>
        <v>7054173</v>
      </c>
      <c r="Y2780" t="s">
        <v>791</v>
      </c>
      <c r="Z2780" t="s">
        <v>354</v>
      </c>
      <c r="AA2780" t="s">
        <v>355</v>
      </c>
      <c r="AB2780" t="s">
        <v>131</v>
      </c>
      <c r="AC2780" t="s">
        <v>51</v>
      </c>
      <c r="AD2780" t="s">
        <v>45</v>
      </c>
      <c r="AE2780" s="1">
        <v>27052</v>
      </c>
      <c r="AF2780">
        <v>1</v>
      </c>
      <c r="AG2780" t="s">
        <v>355</v>
      </c>
      <c r="AH2780" s="36">
        <f t="shared" si="43"/>
        <v>45.569444444444443</v>
      </c>
      <c r="AI2780" s="41" t="s">
        <v>1780</v>
      </c>
    </row>
    <row r="2781" spans="1:35" x14ac:dyDescent="0.25">
      <c r="A2781" s="36">
        <v>99912779</v>
      </c>
      <c r="B2781" s="17" t="s">
        <v>56</v>
      </c>
      <c r="C2781" t="s">
        <v>68</v>
      </c>
      <c r="D2781" t="s">
        <v>69</v>
      </c>
      <c r="G2781" s="17" t="s">
        <v>48</v>
      </c>
      <c r="H2781" s="17">
        <v>1</v>
      </c>
      <c r="K2781" t="s">
        <v>223</v>
      </c>
      <c r="L2781" t="s">
        <v>224</v>
      </c>
      <c r="M2781" t="s">
        <v>131</v>
      </c>
      <c r="N2781">
        <v>10</v>
      </c>
      <c r="O2781" t="s">
        <v>40</v>
      </c>
      <c r="P2781" t="s">
        <v>40</v>
      </c>
      <c r="Q2781" t="s">
        <v>40</v>
      </c>
      <c r="R2781" t="s">
        <v>40</v>
      </c>
      <c r="S2781" t="s">
        <v>40</v>
      </c>
      <c r="V2781" t="s">
        <v>41</v>
      </c>
      <c r="W2781" t="s">
        <v>49</v>
      </c>
      <c r="X2781" t="str">
        <f>"0540902"</f>
        <v>0540902</v>
      </c>
      <c r="Y2781" t="s">
        <v>256</v>
      </c>
      <c r="Z2781" t="s">
        <v>223</v>
      </c>
      <c r="AA2781" t="s">
        <v>224</v>
      </c>
      <c r="AB2781" t="s">
        <v>131</v>
      </c>
      <c r="AC2781" t="s">
        <v>51</v>
      </c>
      <c r="AD2781" t="s">
        <v>45</v>
      </c>
      <c r="AE2781" s="1">
        <v>27046</v>
      </c>
      <c r="AF2781">
        <v>2</v>
      </c>
      <c r="AG2781" t="s">
        <v>224</v>
      </c>
      <c r="AH2781" s="36">
        <f t="shared" si="43"/>
        <v>45.586111111111109</v>
      </c>
      <c r="AI2781" s="41" t="s">
        <v>1780</v>
      </c>
    </row>
    <row r="2782" spans="1:35" x14ac:dyDescent="0.25">
      <c r="A2782" s="36">
        <v>99912780</v>
      </c>
      <c r="B2782" s="17" t="s">
        <v>56</v>
      </c>
      <c r="C2782" t="s">
        <v>111</v>
      </c>
      <c r="D2782" t="s">
        <v>112</v>
      </c>
      <c r="G2782" s="17" t="s">
        <v>35</v>
      </c>
      <c r="H2782" s="17">
        <v>1</v>
      </c>
      <c r="K2782" t="s">
        <v>154</v>
      </c>
      <c r="L2782" t="s">
        <v>155</v>
      </c>
      <c r="M2782" t="s">
        <v>131</v>
      </c>
      <c r="N2782">
        <v>22</v>
      </c>
      <c r="O2782" t="s">
        <v>40</v>
      </c>
      <c r="P2782" t="s">
        <v>40</v>
      </c>
      <c r="Q2782" t="s">
        <v>40</v>
      </c>
      <c r="S2782" t="s">
        <v>40</v>
      </c>
      <c r="V2782" t="s">
        <v>41</v>
      </c>
      <c r="W2782" t="s">
        <v>75</v>
      </c>
      <c r="X2782" t="str">
        <f>"7700026"</f>
        <v>7700026</v>
      </c>
      <c r="Y2782" t="s">
        <v>397</v>
      </c>
      <c r="Z2782" t="s">
        <v>154</v>
      </c>
      <c r="AA2782" t="s">
        <v>155</v>
      </c>
      <c r="AB2782" t="s">
        <v>131</v>
      </c>
      <c r="AC2782" t="s">
        <v>51</v>
      </c>
      <c r="AD2782" t="s">
        <v>45</v>
      </c>
      <c r="AE2782" s="1">
        <v>27045</v>
      </c>
      <c r="AF2782">
        <v>1</v>
      </c>
      <c r="AG2782" t="s">
        <v>155</v>
      </c>
      <c r="AH2782" s="36">
        <f t="shared" si="43"/>
        <v>45.588888888888889</v>
      </c>
      <c r="AI2782" s="41" t="s">
        <v>1780</v>
      </c>
    </row>
    <row r="2783" spans="1:35" x14ac:dyDescent="0.25">
      <c r="A2783" s="36">
        <v>99912781</v>
      </c>
      <c r="B2783" s="17" t="s">
        <v>32</v>
      </c>
      <c r="C2783" t="s">
        <v>46</v>
      </c>
      <c r="D2783" t="s">
        <v>47</v>
      </c>
      <c r="G2783" s="17" t="s">
        <v>35</v>
      </c>
      <c r="H2783" s="17">
        <v>1</v>
      </c>
      <c r="K2783" t="s">
        <v>1268</v>
      </c>
      <c r="L2783" t="s">
        <v>1269</v>
      </c>
      <c r="M2783" t="s">
        <v>1270</v>
      </c>
      <c r="N2783">
        <v>20</v>
      </c>
      <c r="O2783" t="s">
        <v>40</v>
      </c>
      <c r="P2783" t="s">
        <v>40</v>
      </c>
      <c r="Q2783" t="s">
        <v>40</v>
      </c>
      <c r="R2783" t="s">
        <v>40</v>
      </c>
      <c r="S2783" t="s">
        <v>40</v>
      </c>
      <c r="V2783" t="s">
        <v>41</v>
      </c>
      <c r="W2783" t="s">
        <v>922</v>
      </c>
      <c r="X2783" t="str">
        <f>"1950001"</f>
        <v>1950001</v>
      </c>
      <c r="Y2783" t="s">
        <v>1284</v>
      </c>
      <c r="Z2783" t="s">
        <v>1268</v>
      </c>
      <c r="AA2783" t="s">
        <v>1269</v>
      </c>
      <c r="AB2783" t="s">
        <v>1270</v>
      </c>
      <c r="AC2783" t="s">
        <v>51</v>
      </c>
      <c r="AD2783" t="s">
        <v>45</v>
      </c>
      <c r="AE2783" s="1">
        <v>27045</v>
      </c>
      <c r="AF2783">
        <v>2</v>
      </c>
      <c r="AG2783" t="s">
        <v>1269</v>
      </c>
      <c r="AH2783" s="36">
        <f t="shared" si="43"/>
        <v>45.588888888888889</v>
      </c>
      <c r="AI2783" s="41" t="s">
        <v>1780</v>
      </c>
    </row>
    <row r="2784" spans="1:35" x14ac:dyDescent="0.25">
      <c r="A2784" s="36">
        <v>99912782</v>
      </c>
      <c r="B2784" s="17" t="s">
        <v>56</v>
      </c>
      <c r="C2784" t="s">
        <v>79</v>
      </c>
      <c r="D2784" t="s">
        <v>80</v>
      </c>
      <c r="G2784" s="17" t="s">
        <v>35</v>
      </c>
      <c r="H2784" s="17">
        <v>1</v>
      </c>
      <c r="I2784" t="s">
        <v>286</v>
      </c>
      <c r="J2784" s="1">
        <v>43344</v>
      </c>
      <c r="K2784" t="s">
        <v>268</v>
      </c>
      <c r="L2784" t="s">
        <v>269</v>
      </c>
      <c r="M2784" t="s">
        <v>131</v>
      </c>
      <c r="N2784">
        <v>24</v>
      </c>
      <c r="O2784" t="s">
        <v>40</v>
      </c>
      <c r="S2784" t="s">
        <v>40</v>
      </c>
      <c r="V2784" t="s">
        <v>41</v>
      </c>
      <c r="W2784" t="s">
        <v>75</v>
      </c>
      <c r="X2784" t="str">
        <f>"7052018"</f>
        <v>7052018</v>
      </c>
      <c r="Y2784" t="s">
        <v>577</v>
      </c>
      <c r="Z2784" t="s">
        <v>268</v>
      </c>
      <c r="AA2784" t="s">
        <v>269</v>
      </c>
      <c r="AB2784" t="s">
        <v>131</v>
      </c>
      <c r="AC2784" t="s">
        <v>51</v>
      </c>
      <c r="AD2784" t="s">
        <v>45</v>
      </c>
      <c r="AE2784" s="1">
        <v>27044</v>
      </c>
      <c r="AF2784">
        <v>1</v>
      </c>
      <c r="AG2784" t="s">
        <v>269</v>
      </c>
      <c r="AH2784" s="36">
        <f t="shared" si="43"/>
        <v>45.591666666666669</v>
      </c>
      <c r="AI2784" s="41" t="s">
        <v>1780</v>
      </c>
    </row>
    <row r="2785" spans="1:35" x14ac:dyDescent="0.25">
      <c r="A2785" s="36">
        <v>99912783</v>
      </c>
      <c r="B2785" s="17" t="s">
        <v>32</v>
      </c>
      <c r="C2785" t="s">
        <v>90</v>
      </c>
      <c r="D2785" t="s">
        <v>91</v>
      </c>
      <c r="G2785" s="17" t="s">
        <v>35</v>
      </c>
      <c r="H2785" s="17">
        <v>1</v>
      </c>
      <c r="I2785">
        <v>2075</v>
      </c>
      <c r="J2785" s="1">
        <v>43344</v>
      </c>
      <c r="K2785" t="s">
        <v>354</v>
      </c>
      <c r="L2785" t="s">
        <v>355</v>
      </c>
      <c r="M2785" t="s">
        <v>131</v>
      </c>
      <c r="N2785">
        <v>25</v>
      </c>
      <c r="O2785" t="s">
        <v>40</v>
      </c>
      <c r="S2785" t="s">
        <v>40</v>
      </c>
      <c r="U2785" s="1">
        <v>43344</v>
      </c>
      <c r="V2785" t="s">
        <v>41</v>
      </c>
      <c r="W2785" t="s">
        <v>95</v>
      </c>
      <c r="X2785" t="str">
        <f>"7054003"</f>
        <v>7054003</v>
      </c>
      <c r="Y2785" t="s">
        <v>843</v>
      </c>
      <c r="Z2785" t="s">
        <v>354</v>
      </c>
      <c r="AA2785" t="s">
        <v>355</v>
      </c>
      <c r="AB2785" t="s">
        <v>131</v>
      </c>
      <c r="AC2785" t="s">
        <v>51</v>
      </c>
      <c r="AD2785" t="s">
        <v>45</v>
      </c>
      <c r="AE2785" s="1">
        <v>27037</v>
      </c>
      <c r="AF2785">
        <v>1</v>
      </c>
      <c r="AG2785" t="s">
        <v>355</v>
      </c>
      <c r="AH2785" s="36">
        <f t="shared" si="43"/>
        <v>45.611111111111114</v>
      </c>
      <c r="AI2785" s="41" t="s">
        <v>1780</v>
      </c>
    </row>
    <row r="2786" spans="1:35" x14ac:dyDescent="0.25">
      <c r="A2786" s="36">
        <v>99912784</v>
      </c>
      <c r="B2786" s="17" t="s">
        <v>56</v>
      </c>
      <c r="C2786" t="s">
        <v>58</v>
      </c>
      <c r="D2786" t="s">
        <v>59</v>
      </c>
      <c r="G2786" s="17" t="s">
        <v>48</v>
      </c>
      <c r="H2786" s="17">
        <v>1</v>
      </c>
      <c r="K2786" t="s">
        <v>1613</v>
      </c>
      <c r="L2786" t="s">
        <v>1614</v>
      </c>
      <c r="M2786" t="s">
        <v>1592</v>
      </c>
      <c r="N2786">
        <v>9</v>
      </c>
      <c r="O2786" t="s">
        <v>40</v>
      </c>
      <c r="P2786" t="s">
        <v>40</v>
      </c>
      <c r="Q2786" t="s">
        <v>40</v>
      </c>
      <c r="R2786" t="s">
        <v>40</v>
      </c>
      <c r="S2786" t="s">
        <v>40</v>
      </c>
      <c r="V2786" t="s">
        <v>41</v>
      </c>
      <c r="W2786" t="s">
        <v>49</v>
      </c>
      <c r="X2786" t="str">
        <f>"2881010"</f>
        <v>2881010</v>
      </c>
      <c r="Y2786" t="s">
        <v>1622</v>
      </c>
      <c r="Z2786" t="s">
        <v>1613</v>
      </c>
      <c r="AA2786" t="s">
        <v>1614</v>
      </c>
      <c r="AB2786" t="s">
        <v>1592</v>
      </c>
      <c r="AC2786" t="s">
        <v>51</v>
      </c>
      <c r="AD2786" t="s">
        <v>45</v>
      </c>
      <c r="AE2786" s="1">
        <v>27037</v>
      </c>
      <c r="AF2786">
        <v>2</v>
      </c>
      <c r="AG2786" t="s">
        <v>1614</v>
      </c>
      <c r="AH2786" s="36">
        <f t="shared" si="43"/>
        <v>45.611111111111114</v>
      </c>
      <c r="AI2786" s="41" t="s">
        <v>1780</v>
      </c>
    </row>
    <row r="2787" spans="1:35" x14ac:dyDescent="0.25">
      <c r="A2787" s="36">
        <v>99912785</v>
      </c>
      <c r="B2787" s="17" t="s">
        <v>32</v>
      </c>
      <c r="C2787" t="s">
        <v>46</v>
      </c>
      <c r="D2787" t="s">
        <v>47</v>
      </c>
      <c r="G2787" s="17" t="s">
        <v>35</v>
      </c>
      <c r="H2787" s="17">
        <v>1</v>
      </c>
      <c r="K2787" t="s">
        <v>223</v>
      </c>
      <c r="L2787" t="s">
        <v>224</v>
      </c>
      <c r="M2787" t="s">
        <v>131</v>
      </c>
      <c r="N2787">
        <v>20</v>
      </c>
      <c r="O2787" t="s">
        <v>40</v>
      </c>
      <c r="P2787" t="s">
        <v>40</v>
      </c>
      <c r="Q2787" t="s">
        <v>40</v>
      </c>
      <c r="S2787" t="s">
        <v>40</v>
      </c>
      <c r="V2787" t="s">
        <v>41</v>
      </c>
      <c r="W2787" t="s">
        <v>42</v>
      </c>
      <c r="X2787" t="str">
        <f>"0590901"</f>
        <v>0590901</v>
      </c>
      <c r="Y2787" t="s">
        <v>242</v>
      </c>
      <c r="Z2787" t="s">
        <v>223</v>
      </c>
      <c r="AA2787" t="s">
        <v>224</v>
      </c>
      <c r="AB2787" t="s">
        <v>131</v>
      </c>
      <c r="AC2787" t="s">
        <v>51</v>
      </c>
      <c r="AD2787" t="s">
        <v>45</v>
      </c>
      <c r="AE2787" s="1">
        <v>27033</v>
      </c>
      <c r="AF2787">
        <v>2</v>
      </c>
      <c r="AG2787" t="s">
        <v>224</v>
      </c>
      <c r="AH2787" s="36">
        <f t="shared" si="43"/>
        <v>45.62222222222222</v>
      </c>
      <c r="AI2787" s="41" t="s">
        <v>1780</v>
      </c>
    </row>
    <row r="2788" spans="1:35" x14ac:dyDescent="0.25">
      <c r="A2788" s="36">
        <v>99912786</v>
      </c>
      <c r="B2788" s="17" t="s">
        <v>32</v>
      </c>
      <c r="C2788" t="s">
        <v>64</v>
      </c>
      <c r="D2788" t="s">
        <v>65</v>
      </c>
      <c r="G2788" s="17" t="s">
        <v>35</v>
      </c>
      <c r="H2788" s="17">
        <v>1</v>
      </c>
      <c r="K2788" t="s">
        <v>1581</v>
      </c>
      <c r="L2788" t="s">
        <v>1582</v>
      </c>
      <c r="M2788" t="s">
        <v>1548</v>
      </c>
      <c r="N2788">
        <v>18</v>
      </c>
      <c r="O2788" t="s">
        <v>40</v>
      </c>
      <c r="P2788" t="s">
        <v>40</v>
      </c>
      <c r="Q2788" t="s">
        <v>40</v>
      </c>
      <c r="S2788" t="s">
        <v>40</v>
      </c>
      <c r="V2788" t="s">
        <v>41</v>
      </c>
      <c r="W2788" t="s">
        <v>75</v>
      </c>
      <c r="X2788" t="str">
        <f>"7291002"</f>
        <v>7291002</v>
      </c>
      <c r="Y2788" t="s">
        <v>1583</v>
      </c>
      <c r="Z2788" t="s">
        <v>1581</v>
      </c>
      <c r="AA2788" t="s">
        <v>1582</v>
      </c>
      <c r="AB2788" t="s">
        <v>1548</v>
      </c>
      <c r="AC2788" t="s">
        <v>51</v>
      </c>
      <c r="AD2788" t="s">
        <v>45</v>
      </c>
      <c r="AE2788" s="1">
        <v>27032</v>
      </c>
      <c r="AF2788">
        <v>1</v>
      </c>
      <c r="AG2788" t="s">
        <v>1582</v>
      </c>
      <c r="AH2788" s="36">
        <f t="shared" si="43"/>
        <v>45.625</v>
      </c>
      <c r="AI2788" s="41" t="s">
        <v>1780</v>
      </c>
    </row>
    <row r="2789" spans="1:35" x14ac:dyDescent="0.25">
      <c r="A2789" s="36">
        <v>99912787</v>
      </c>
      <c r="B2789" s="17" t="s">
        <v>32</v>
      </c>
      <c r="C2789" t="s">
        <v>64</v>
      </c>
      <c r="D2789" t="s">
        <v>65</v>
      </c>
      <c r="G2789" s="17" t="s">
        <v>35</v>
      </c>
      <c r="H2789" s="17">
        <v>1</v>
      </c>
      <c r="I2789" t="s">
        <v>123</v>
      </c>
      <c r="J2789" s="1">
        <v>43344</v>
      </c>
      <c r="K2789" t="s">
        <v>77</v>
      </c>
      <c r="L2789" t="s">
        <v>78</v>
      </c>
      <c r="M2789" t="s">
        <v>39</v>
      </c>
      <c r="N2789">
        <v>6</v>
      </c>
      <c r="O2789" t="s">
        <v>40</v>
      </c>
      <c r="P2789" t="s">
        <v>40</v>
      </c>
      <c r="Q2789" t="s">
        <v>40</v>
      </c>
      <c r="R2789" t="s">
        <v>40</v>
      </c>
      <c r="S2789" t="s">
        <v>40</v>
      </c>
      <c r="U2789" s="1">
        <v>43344</v>
      </c>
      <c r="V2789" t="s">
        <v>41</v>
      </c>
      <c r="W2789" t="s">
        <v>75</v>
      </c>
      <c r="X2789" t="str">
        <f>"7371000"</f>
        <v>7371000</v>
      </c>
      <c r="Y2789" t="s">
        <v>76</v>
      </c>
      <c r="Z2789" t="s">
        <v>77</v>
      </c>
      <c r="AA2789" t="s">
        <v>78</v>
      </c>
      <c r="AB2789" t="s">
        <v>39</v>
      </c>
      <c r="AC2789" t="s">
        <v>44</v>
      </c>
      <c r="AD2789" t="s">
        <v>45</v>
      </c>
      <c r="AE2789" s="1">
        <v>27030</v>
      </c>
      <c r="AF2789">
        <v>1</v>
      </c>
      <c r="AG2789" t="s">
        <v>78</v>
      </c>
      <c r="AH2789" s="36">
        <f t="shared" si="43"/>
        <v>45.630555555555553</v>
      </c>
      <c r="AI2789" s="41" t="s">
        <v>1780</v>
      </c>
    </row>
    <row r="2790" spans="1:35" x14ac:dyDescent="0.25">
      <c r="A2790" s="36">
        <v>99912788</v>
      </c>
      <c r="B2790" s="17" t="s">
        <v>56</v>
      </c>
      <c r="C2790" t="s">
        <v>46</v>
      </c>
      <c r="D2790" t="s">
        <v>47</v>
      </c>
      <c r="E2790" t="s">
        <v>85</v>
      </c>
      <c r="F2790" t="s">
        <v>86</v>
      </c>
      <c r="G2790" s="17" t="s">
        <v>48</v>
      </c>
      <c r="H2790" s="17">
        <v>1</v>
      </c>
      <c r="K2790" t="s">
        <v>162</v>
      </c>
      <c r="L2790" t="s">
        <v>158</v>
      </c>
      <c r="M2790" t="s">
        <v>131</v>
      </c>
      <c r="N2790">
        <v>7</v>
      </c>
      <c r="O2790" t="s">
        <v>40</v>
      </c>
      <c r="P2790" t="s">
        <v>40</v>
      </c>
      <c r="Q2790" t="s">
        <v>40</v>
      </c>
      <c r="R2790" t="s">
        <v>40</v>
      </c>
      <c r="S2790" t="s">
        <v>40</v>
      </c>
      <c r="V2790" t="s">
        <v>41</v>
      </c>
      <c r="W2790" t="s">
        <v>49</v>
      </c>
      <c r="X2790" t="str">
        <f>"0581350"</f>
        <v>0581350</v>
      </c>
      <c r="Y2790" t="s">
        <v>187</v>
      </c>
      <c r="Z2790" t="s">
        <v>162</v>
      </c>
      <c r="AA2790" t="s">
        <v>158</v>
      </c>
      <c r="AB2790" t="s">
        <v>131</v>
      </c>
      <c r="AC2790" t="s">
        <v>51</v>
      </c>
      <c r="AD2790" t="s">
        <v>45</v>
      </c>
      <c r="AE2790" s="1">
        <v>27030</v>
      </c>
      <c r="AF2790">
        <v>2</v>
      </c>
      <c r="AG2790" t="s">
        <v>158</v>
      </c>
      <c r="AH2790" s="36">
        <f t="shared" si="43"/>
        <v>45.630555555555553</v>
      </c>
      <c r="AI2790" s="41" t="s">
        <v>1780</v>
      </c>
    </row>
    <row r="2791" spans="1:35" x14ac:dyDescent="0.25">
      <c r="A2791" s="36">
        <v>99912789</v>
      </c>
      <c r="B2791" s="17" t="s">
        <v>32</v>
      </c>
      <c r="C2791" t="s">
        <v>139</v>
      </c>
      <c r="D2791" t="s">
        <v>140</v>
      </c>
      <c r="G2791" s="17" t="s">
        <v>48</v>
      </c>
      <c r="H2791" s="17">
        <v>1</v>
      </c>
      <c r="K2791" t="s">
        <v>157</v>
      </c>
      <c r="L2791" t="s">
        <v>158</v>
      </c>
      <c r="M2791" t="s">
        <v>131</v>
      </c>
      <c r="N2791">
        <v>6</v>
      </c>
      <c r="O2791" t="s">
        <v>40</v>
      </c>
      <c r="P2791" t="s">
        <v>40</v>
      </c>
      <c r="Q2791" t="s">
        <v>40</v>
      </c>
      <c r="R2791" t="s">
        <v>40</v>
      </c>
      <c r="S2791" t="s">
        <v>40</v>
      </c>
      <c r="V2791" t="s">
        <v>41</v>
      </c>
      <c r="W2791" t="s">
        <v>49</v>
      </c>
      <c r="X2791" t="str">
        <f>"0560019"</f>
        <v>0560019</v>
      </c>
      <c r="Y2791" t="s">
        <v>166</v>
      </c>
      <c r="Z2791" t="s">
        <v>157</v>
      </c>
      <c r="AA2791" t="s">
        <v>158</v>
      </c>
      <c r="AB2791" t="s">
        <v>131</v>
      </c>
      <c r="AC2791" t="s">
        <v>51</v>
      </c>
      <c r="AD2791" t="s">
        <v>45</v>
      </c>
      <c r="AE2791" s="1">
        <v>27030</v>
      </c>
      <c r="AF2791">
        <v>2</v>
      </c>
      <c r="AG2791" t="s">
        <v>158</v>
      </c>
      <c r="AH2791" s="36">
        <f t="shared" si="43"/>
        <v>45.630555555555553</v>
      </c>
      <c r="AI2791" s="41" t="s">
        <v>1780</v>
      </c>
    </row>
    <row r="2792" spans="1:35" x14ac:dyDescent="0.25">
      <c r="A2792" s="36">
        <v>99912790</v>
      </c>
      <c r="B2792" s="17" t="s">
        <v>32</v>
      </c>
      <c r="C2792" t="s">
        <v>82</v>
      </c>
      <c r="D2792" t="s">
        <v>83</v>
      </c>
      <c r="G2792" s="17" t="s">
        <v>35</v>
      </c>
      <c r="H2792" s="17">
        <v>1</v>
      </c>
      <c r="I2792" t="s">
        <v>213</v>
      </c>
      <c r="J2792" s="1">
        <v>41900</v>
      </c>
      <c r="K2792" t="s">
        <v>157</v>
      </c>
      <c r="L2792" t="s">
        <v>158</v>
      </c>
      <c r="M2792" t="s">
        <v>131</v>
      </c>
      <c r="N2792">
        <v>22</v>
      </c>
      <c r="O2792" t="s">
        <v>40</v>
      </c>
      <c r="P2792" t="s">
        <v>40</v>
      </c>
      <c r="Q2792" t="s">
        <v>40</v>
      </c>
      <c r="R2792" t="s">
        <v>40</v>
      </c>
      <c r="S2792" t="s">
        <v>40</v>
      </c>
      <c r="U2792" s="1">
        <v>41900</v>
      </c>
      <c r="V2792" t="s">
        <v>41</v>
      </c>
      <c r="W2792" t="s">
        <v>42</v>
      </c>
      <c r="X2792" t="str">
        <f>"0561005"</f>
        <v>0561005</v>
      </c>
      <c r="Y2792" t="s">
        <v>174</v>
      </c>
      <c r="Z2792" t="s">
        <v>157</v>
      </c>
      <c r="AA2792" t="s">
        <v>158</v>
      </c>
      <c r="AB2792" t="s">
        <v>131</v>
      </c>
      <c r="AC2792" t="s">
        <v>51</v>
      </c>
      <c r="AD2792" t="s">
        <v>45</v>
      </c>
      <c r="AE2792" s="1">
        <v>27030</v>
      </c>
      <c r="AF2792">
        <v>2</v>
      </c>
      <c r="AG2792" t="s">
        <v>158</v>
      </c>
      <c r="AH2792" s="36">
        <f t="shared" si="43"/>
        <v>45.630555555555553</v>
      </c>
      <c r="AI2792" s="41" t="s">
        <v>1780</v>
      </c>
    </row>
    <row r="2793" spans="1:35" x14ac:dyDescent="0.25">
      <c r="A2793" s="36">
        <v>99912791</v>
      </c>
      <c r="B2793" s="17" t="s">
        <v>32</v>
      </c>
      <c r="C2793" t="s">
        <v>141</v>
      </c>
      <c r="D2793" t="s">
        <v>142</v>
      </c>
      <c r="G2793" s="17" t="s">
        <v>35</v>
      </c>
      <c r="H2793" s="17">
        <v>1</v>
      </c>
      <c r="I2793">
        <v>16687</v>
      </c>
      <c r="J2793" s="1">
        <v>43344</v>
      </c>
      <c r="K2793" t="s">
        <v>162</v>
      </c>
      <c r="L2793" t="s">
        <v>158</v>
      </c>
      <c r="M2793" t="s">
        <v>131</v>
      </c>
      <c r="N2793">
        <v>2</v>
      </c>
      <c r="O2793" t="s">
        <v>40</v>
      </c>
      <c r="P2793" t="s">
        <v>40</v>
      </c>
      <c r="Q2793" t="s">
        <v>40</v>
      </c>
      <c r="R2793" t="s">
        <v>40</v>
      </c>
      <c r="S2793" t="s">
        <v>40</v>
      </c>
      <c r="U2793" s="1">
        <v>43344</v>
      </c>
      <c r="V2793" t="s">
        <v>41</v>
      </c>
      <c r="W2793" t="s">
        <v>42</v>
      </c>
      <c r="X2793" t="str">
        <f>"0580320"</f>
        <v>0580320</v>
      </c>
      <c r="Y2793" t="s">
        <v>164</v>
      </c>
      <c r="Z2793" t="s">
        <v>162</v>
      </c>
      <c r="AA2793" t="s">
        <v>158</v>
      </c>
      <c r="AB2793" t="s">
        <v>131</v>
      </c>
      <c r="AC2793" t="s">
        <v>55</v>
      </c>
      <c r="AD2793" t="s">
        <v>45</v>
      </c>
      <c r="AE2793" s="1">
        <v>27030</v>
      </c>
      <c r="AF2793">
        <v>2</v>
      </c>
      <c r="AG2793" t="s">
        <v>158</v>
      </c>
      <c r="AH2793" s="36">
        <f t="shared" si="43"/>
        <v>45.630555555555553</v>
      </c>
      <c r="AI2793" s="41" t="s">
        <v>1780</v>
      </c>
    </row>
    <row r="2794" spans="1:35" x14ac:dyDescent="0.25">
      <c r="A2794" s="36">
        <v>99912792</v>
      </c>
      <c r="B2794" s="17" t="s">
        <v>32</v>
      </c>
      <c r="C2794" t="s">
        <v>117</v>
      </c>
      <c r="D2794" t="s">
        <v>118</v>
      </c>
      <c r="G2794" s="17" t="s">
        <v>35</v>
      </c>
      <c r="H2794" s="17">
        <v>1</v>
      </c>
      <c r="K2794" t="s">
        <v>157</v>
      </c>
      <c r="L2794" t="s">
        <v>158</v>
      </c>
      <c r="M2794" t="s">
        <v>131</v>
      </c>
      <c r="N2794">
        <v>4</v>
      </c>
      <c r="O2794" t="s">
        <v>40</v>
      </c>
      <c r="P2794" t="s">
        <v>40</v>
      </c>
      <c r="Q2794" t="s">
        <v>40</v>
      </c>
      <c r="R2794" t="s">
        <v>40</v>
      </c>
      <c r="S2794" t="s">
        <v>40</v>
      </c>
      <c r="V2794" t="s">
        <v>41</v>
      </c>
      <c r="W2794" t="s">
        <v>49</v>
      </c>
      <c r="X2794" t="str">
        <f>"0580505"</f>
        <v>0580505</v>
      </c>
      <c r="Y2794" t="s">
        <v>168</v>
      </c>
      <c r="Z2794" t="s">
        <v>157</v>
      </c>
      <c r="AA2794" t="s">
        <v>158</v>
      </c>
      <c r="AB2794" t="s">
        <v>131</v>
      </c>
      <c r="AC2794" t="s">
        <v>51</v>
      </c>
      <c r="AD2794" t="s">
        <v>45</v>
      </c>
      <c r="AE2794" s="1">
        <v>27030</v>
      </c>
      <c r="AF2794">
        <v>2</v>
      </c>
      <c r="AG2794" t="s">
        <v>158</v>
      </c>
      <c r="AH2794" s="36">
        <f t="shared" si="43"/>
        <v>45.630555555555553</v>
      </c>
      <c r="AI2794" s="41" t="s">
        <v>1780</v>
      </c>
    </row>
    <row r="2795" spans="1:35" x14ac:dyDescent="0.25">
      <c r="A2795" s="36">
        <v>99912793</v>
      </c>
      <c r="B2795" s="17" t="s">
        <v>32</v>
      </c>
      <c r="C2795" t="s">
        <v>64</v>
      </c>
      <c r="D2795" t="s">
        <v>65</v>
      </c>
      <c r="G2795" s="17" t="s">
        <v>35</v>
      </c>
      <c r="H2795" s="17">
        <v>1</v>
      </c>
      <c r="I2795">
        <v>0</v>
      </c>
      <c r="J2795" s="1">
        <v>43344</v>
      </c>
      <c r="K2795" t="s">
        <v>223</v>
      </c>
      <c r="L2795" t="s">
        <v>224</v>
      </c>
      <c r="M2795" t="s">
        <v>131</v>
      </c>
      <c r="N2795">
        <v>7</v>
      </c>
      <c r="O2795" t="s">
        <v>40</v>
      </c>
      <c r="P2795" t="s">
        <v>40</v>
      </c>
      <c r="Q2795" t="s">
        <v>40</v>
      </c>
      <c r="R2795" t="s">
        <v>40</v>
      </c>
      <c r="S2795" t="s">
        <v>40</v>
      </c>
      <c r="U2795" s="1">
        <v>43344</v>
      </c>
      <c r="V2795" t="s">
        <v>41</v>
      </c>
      <c r="W2795" t="s">
        <v>49</v>
      </c>
      <c r="X2795" t="str">
        <f>"0591901"</f>
        <v>0591901</v>
      </c>
      <c r="Y2795" t="s">
        <v>230</v>
      </c>
      <c r="Z2795" t="s">
        <v>223</v>
      </c>
      <c r="AA2795" t="s">
        <v>224</v>
      </c>
      <c r="AB2795" t="s">
        <v>131</v>
      </c>
      <c r="AC2795" t="s">
        <v>44</v>
      </c>
      <c r="AD2795" t="s">
        <v>45</v>
      </c>
      <c r="AE2795" s="1">
        <v>27030</v>
      </c>
      <c r="AF2795">
        <v>2</v>
      </c>
      <c r="AG2795" t="s">
        <v>224</v>
      </c>
      <c r="AH2795" s="36">
        <f t="shared" si="43"/>
        <v>45.630555555555553</v>
      </c>
      <c r="AI2795" s="41" t="s">
        <v>1780</v>
      </c>
    </row>
    <row r="2796" spans="1:35" x14ac:dyDescent="0.25">
      <c r="A2796" s="36">
        <v>99912794</v>
      </c>
      <c r="B2796" s="17" t="s">
        <v>56</v>
      </c>
      <c r="C2796" t="s">
        <v>46</v>
      </c>
      <c r="D2796" t="s">
        <v>47</v>
      </c>
      <c r="G2796" s="17" t="s">
        <v>48</v>
      </c>
      <c r="H2796" s="17">
        <v>1</v>
      </c>
      <c r="K2796" t="s">
        <v>300</v>
      </c>
      <c r="L2796" t="s">
        <v>301</v>
      </c>
      <c r="M2796" t="s">
        <v>131</v>
      </c>
      <c r="N2796">
        <v>17</v>
      </c>
      <c r="O2796" t="s">
        <v>40</v>
      </c>
      <c r="P2796" t="s">
        <v>40</v>
      </c>
      <c r="Q2796" t="s">
        <v>40</v>
      </c>
      <c r="R2796" t="s">
        <v>40</v>
      </c>
      <c r="S2796" t="s">
        <v>40</v>
      </c>
      <c r="V2796" t="s">
        <v>41</v>
      </c>
      <c r="W2796" t="s">
        <v>42</v>
      </c>
      <c r="X2796" t="str">
        <f>"0561001"</f>
        <v>0561001</v>
      </c>
      <c r="Y2796" t="s">
        <v>308</v>
      </c>
      <c r="Z2796" t="s">
        <v>300</v>
      </c>
      <c r="AA2796" t="s">
        <v>301</v>
      </c>
      <c r="AB2796" t="s">
        <v>131</v>
      </c>
      <c r="AC2796" t="s">
        <v>51</v>
      </c>
      <c r="AD2796" t="s">
        <v>45</v>
      </c>
      <c r="AE2796" s="1">
        <v>27030</v>
      </c>
      <c r="AF2796">
        <v>2</v>
      </c>
      <c r="AG2796" t="s">
        <v>301</v>
      </c>
      <c r="AH2796" s="36">
        <f t="shared" si="43"/>
        <v>45.630555555555553</v>
      </c>
      <c r="AI2796" s="41" t="s">
        <v>1780</v>
      </c>
    </row>
    <row r="2797" spans="1:35" x14ac:dyDescent="0.25">
      <c r="A2797" s="36">
        <v>99912795</v>
      </c>
      <c r="B2797" s="17" t="s">
        <v>56</v>
      </c>
      <c r="C2797" t="s">
        <v>58</v>
      </c>
      <c r="D2797" t="s">
        <v>59</v>
      </c>
      <c r="G2797" s="17" t="s">
        <v>48</v>
      </c>
      <c r="H2797" s="17">
        <v>1</v>
      </c>
      <c r="K2797" t="s">
        <v>300</v>
      </c>
      <c r="L2797" t="s">
        <v>301</v>
      </c>
      <c r="M2797" t="s">
        <v>131</v>
      </c>
      <c r="N2797">
        <v>21</v>
      </c>
      <c r="O2797" t="s">
        <v>40</v>
      </c>
      <c r="P2797" t="s">
        <v>40</v>
      </c>
      <c r="Q2797" t="s">
        <v>40</v>
      </c>
      <c r="R2797" t="s">
        <v>40</v>
      </c>
      <c r="S2797" t="s">
        <v>40</v>
      </c>
      <c r="V2797" t="s">
        <v>41</v>
      </c>
      <c r="W2797" t="s">
        <v>49</v>
      </c>
      <c r="X2797" t="str">
        <f>"0560001"</f>
        <v>0560001</v>
      </c>
      <c r="Y2797" t="s">
        <v>304</v>
      </c>
      <c r="Z2797" t="s">
        <v>300</v>
      </c>
      <c r="AA2797" t="s">
        <v>301</v>
      </c>
      <c r="AB2797" t="s">
        <v>131</v>
      </c>
      <c r="AC2797" t="s">
        <v>51</v>
      </c>
      <c r="AD2797" t="s">
        <v>45</v>
      </c>
      <c r="AE2797" s="1">
        <v>27030</v>
      </c>
      <c r="AF2797">
        <v>2</v>
      </c>
      <c r="AG2797" t="s">
        <v>301</v>
      </c>
      <c r="AH2797" s="36">
        <f t="shared" si="43"/>
        <v>45.630555555555553</v>
      </c>
      <c r="AI2797" s="41" t="s">
        <v>1780</v>
      </c>
    </row>
    <row r="2798" spans="1:35" x14ac:dyDescent="0.25">
      <c r="A2798" s="36">
        <v>99912796</v>
      </c>
      <c r="B2798" s="17" t="s">
        <v>56</v>
      </c>
      <c r="C2798" t="s">
        <v>141</v>
      </c>
      <c r="D2798" t="s">
        <v>142</v>
      </c>
      <c r="G2798" s="17" t="s">
        <v>48</v>
      </c>
      <c r="H2798" s="17">
        <v>1</v>
      </c>
      <c r="K2798" t="s">
        <v>300</v>
      </c>
      <c r="L2798" t="s">
        <v>301</v>
      </c>
      <c r="M2798" t="s">
        <v>131</v>
      </c>
      <c r="N2798">
        <v>12</v>
      </c>
      <c r="O2798" t="s">
        <v>40</v>
      </c>
      <c r="P2798" t="s">
        <v>40</v>
      </c>
      <c r="Q2798" t="s">
        <v>40</v>
      </c>
      <c r="R2798" t="s">
        <v>40</v>
      </c>
      <c r="S2798" t="s">
        <v>40</v>
      </c>
      <c r="V2798" t="s">
        <v>41</v>
      </c>
      <c r="W2798" t="s">
        <v>49</v>
      </c>
      <c r="X2798" t="str">
        <f>"0560020"</f>
        <v>0560020</v>
      </c>
      <c r="Y2798" t="s">
        <v>302</v>
      </c>
      <c r="Z2798" t="s">
        <v>300</v>
      </c>
      <c r="AA2798" t="s">
        <v>301</v>
      </c>
      <c r="AB2798" t="s">
        <v>131</v>
      </c>
      <c r="AC2798" t="s">
        <v>51</v>
      </c>
      <c r="AD2798" t="s">
        <v>45</v>
      </c>
      <c r="AE2798" s="1">
        <v>27030</v>
      </c>
      <c r="AF2798">
        <v>2</v>
      </c>
      <c r="AG2798" t="s">
        <v>301</v>
      </c>
      <c r="AH2798" s="36">
        <f t="shared" si="43"/>
        <v>45.630555555555553</v>
      </c>
      <c r="AI2798" s="41" t="s">
        <v>1780</v>
      </c>
    </row>
    <row r="2799" spans="1:35" x14ac:dyDescent="0.25">
      <c r="A2799" s="36">
        <v>99912797</v>
      </c>
      <c r="B2799" s="17" t="s">
        <v>56</v>
      </c>
      <c r="C2799" t="s">
        <v>71</v>
      </c>
      <c r="D2799" t="s">
        <v>72</v>
      </c>
      <c r="G2799" s="17" t="s">
        <v>35</v>
      </c>
      <c r="H2799" s="17">
        <v>1</v>
      </c>
      <c r="K2799" t="s">
        <v>345</v>
      </c>
      <c r="L2799" t="s">
        <v>346</v>
      </c>
      <c r="M2799" t="s">
        <v>131</v>
      </c>
      <c r="N2799">
        <v>23</v>
      </c>
      <c r="O2799" t="s">
        <v>40</v>
      </c>
      <c r="P2799" t="s">
        <v>40</v>
      </c>
      <c r="Q2799" t="s">
        <v>40</v>
      </c>
      <c r="R2799" t="s">
        <v>40</v>
      </c>
      <c r="S2799" t="s">
        <v>40</v>
      </c>
      <c r="V2799" t="s">
        <v>41</v>
      </c>
      <c r="W2799" t="s">
        <v>49</v>
      </c>
      <c r="X2799" t="str">
        <f>"0560007"</f>
        <v>0560007</v>
      </c>
      <c r="Y2799" t="s">
        <v>357</v>
      </c>
      <c r="Z2799" t="s">
        <v>345</v>
      </c>
      <c r="AA2799" t="s">
        <v>346</v>
      </c>
      <c r="AB2799" t="s">
        <v>131</v>
      </c>
      <c r="AC2799" t="s">
        <v>51</v>
      </c>
      <c r="AD2799" t="s">
        <v>45</v>
      </c>
      <c r="AE2799" s="1">
        <v>27030</v>
      </c>
      <c r="AF2799">
        <v>2</v>
      </c>
      <c r="AG2799" t="s">
        <v>346</v>
      </c>
      <c r="AH2799" s="36">
        <f t="shared" si="43"/>
        <v>45.630555555555553</v>
      </c>
      <c r="AI2799" s="41" t="s">
        <v>1780</v>
      </c>
    </row>
    <row r="2800" spans="1:35" x14ac:dyDescent="0.25">
      <c r="A2800" s="36">
        <v>99912798</v>
      </c>
      <c r="B2800" s="17" t="s">
        <v>32</v>
      </c>
      <c r="C2800" t="s">
        <v>111</v>
      </c>
      <c r="D2800" t="s">
        <v>112</v>
      </c>
      <c r="G2800" s="17" t="s">
        <v>48</v>
      </c>
      <c r="H2800" s="17">
        <v>13</v>
      </c>
      <c r="K2800" t="s">
        <v>195</v>
      </c>
      <c r="L2800" t="s">
        <v>196</v>
      </c>
      <c r="M2800" t="s">
        <v>131</v>
      </c>
      <c r="N2800">
        <v>21</v>
      </c>
      <c r="O2800" t="s">
        <v>40</v>
      </c>
      <c r="P2800" t="s">
        <v>40</v>
      </c>
      <c r="Q2800" t="s">
        <v>40</v>
      </c>
      <c r="R2800" t="s">
        <v>40</v>
      </c>
      <c r="S2800" t="s">
        <v>40</v>
      </c>
      <c r="U2800" s="1">
        <v>37454</v>
      </c>
      <c r="V2800" t="s">
        <v>41</v>
      </c>
      <c r="W2800" t="s">
        <v>75</v>
      </c>
      <c r="X2800" t="str">
        <f>"7521044"</f>
        <v>7521044</v>
      </c>
      <c r="Y2800" t="s">
        <v>453</v>
      </c>
      <c r="Z2800" t="s">
        <v>195</v>
      </c>
      <c r="AA2800" t="s">
        <v>196</v>
      </c>
      <c r="AB2800" t="s">
        <v>131</v>
      </c>
      <c r="AC2800" t="s">
        <v>165</v>
      </c>
      <c r="AD2800" t="s">
        <v>45</v>
      </c>
      <c r="AE2800" s="1">
        <v>27030</v>
      </c>
      <c r="AF2800">
        <v>1</v>
      </c>
      <c r="AG2800" t="s">
        <v>196</v>
      </c>
      <c r="AH2800" s="36">
        <f t="shared" si="43"/>
        <v>45.630555555555553</v>
      </c>
      <c r="AI2800" s="41" t="s">
        <v>1780</v>
      </c>
    </row>
    <row r="2801" spans="1:35" x14ac:dyDescent="0.25">
      <c r="A2801" s="36">
        <v>99912799</v>
      </c>
      <c r="B2801" s="17" t="s">
        <v>32</v>
      </c>
      <c r="C2801" t="s">
        <v>79</v>
      </c>
      <c r="D2801" t="s">
        <v>80</v>
      </c>
      <c r="G2801" s="17" t="s">
        <v>35</v>
      </c>
      <c r="H2801" s="17">
        <v>1</v>
      </c>
      <c r="K2801" t="s">
        <v>268</v>
      </c>
      <c r="L2801" t="s">
        <v>269</v>
      </c>
      <c r="M2801" t="s">
        <v>131</v>
      </c>
      <c r="N2801">
        <v>24</v>
      </c>
      <c r="O2801" t="s">
        <v>40</v>
      </c>
      <c r="P2801" t="s">
        <v>40</v>
      </c>
      <c r="Q2801" t="s">
        <v>40</v>
      </c>
      <c r="R2801" t="s">
        <v>40</v>
      </c>
      <c r="S2801" t="s">
        <v>40</v>
      </c>
      <c r="V2801" t="s">
        <v>41</v>
      </c>
      <c r="W2801" t="s">
        <v>75</v>
      </c>
      <c r="X2801" t="str">
        <f>"7052042"</f>
        <v>7052042</v>
      </c>
      <c r="Y2801" t="s">
        <v>583</v>
      </c>
      <c r="Z2801" t="s">
        <v>268</v>
      </c>
      <c r="AA2801" t="s">
        <v>269</v>
      </c>
      <c r="AB2801" t="s">
        <v>131</v>
      </c>
      <c r="AC2801" t="s">
        <v>51</v>
      </c>
      <c r="AD2801" t="s">
        <v>45</v>
      </c>
      <c r="AE2801" s="1">
        <v>27030</v>
      </c>
      <c r="AF2801">
        <v>1</v>
      </c>
      <c r="AG2801" t="s">
        <v>269</v>
      </c>
      <c r="AH2801" s="36">
        <f t="shared" si="43"/>
        <v>45.630555555555553</v>
      </c>
      <c r="AI2801" s="41" t="s">
        <v>1780</v>
      </c>
    </row>
    <row r="2802" spans="1:35" x14ac:dyDescent="0.25">
      <c r="A2802" s="36">
        <v>99912800</v>
      </c>
      <c r="B2802" s="17" t="s">
        <v>32</v>
      </c>
      <c r="C2802" t="s">
        <v>90</v>
      </c>
      <c r="D2802" t="s">
        <v>91</v>
      </c>
      <c r="G2802" s="17" t="s">
        <v>48</v>
      </c>
      <c r="H2802" s="17">
        <v>1</v>
      </c>
      <c r="K2802" t="s">
        <v>268</v>
      </c>
      <c r="L2802" t="s">
        <v>269</v>
      </c>
      <c r="M2802" t="s">
        <v>131</v>
      </c>
      <c r="N2802">
        <v>24</v>
      </c>
      <c r="O2802" t="s">
        <v>40</v>
      </c>
      <c r="P2802" t="s">
        <v>40</v>
      </c>
      <c r="Q2802" t="s">
        <v>40</v>
      </c>
      <c r="R2802" t="s">
        <v>40</v>
      </c>
      <c r="S2802" t="s">
        <v>40</v>
      </c>
      <c r="V2802" t="s">
        <v>41</v>
      </c>
      <c r="W2802" t="s">
        <v>75</v>
      </c>
      <c r="X2802" t="str">
        <f>"7052034"</f>
        <v>7052034</v>
      </c>
      <c r="Y2802" t="s">
        <v>604</v>
      </c>
      <c r="Z2802" t="s">
        <v>268</v>
      </c>
      <c r="AA2802" t="s">
        <v>269</v>
      </c>
      <c r="AB2802" t="s">
        <v>131</v>
      </c>
      <c r="AC2802" t="s">
        <v>51</v>
      </c>
      <c r="AD2802" t="s">
        <v>45</v>
      </c>
      <c r="AE2802" s="1">
        <v>27030</v>
      </c>
      <c r="AF2802">
        <v>1</v>
      </c>
      <c r="AG2802" t="s">
        <v>269</v>
      </c>
      <c r="AH2802" s="36">
        <f t="shared" si="43"/>
        <v>45.630555555555553</v>
      </c>
      <c r="AI2802" s="41" t="s">
        <v>1780</v>
      </c>
    </row>
    <row r="2803" spans="1:35" x14ac:dyDescent="0.25">
      <c r="A2803" s="36">
        <v>99912801</v>
      </c>
      <c r="B2803" s="17" t="s">
        <v>32</v>
      </c>
      <c r="C2803" t="s">
        <v>139</v>
      </c>
      <c r="D2803" t="s">
        <v>140</v>
      </c>
      <c r="G2803" s="17" t="s">
        <v>35</v>
      </c>
      <c r="H2803" s="17">
        <v>1</v>
      </c>
      <c r="I2803">
        <v>1838</v>
      </c>
      <c r="J2803" s="1">
        <v>43344</v>
      </c>
      <c r="K2803" t="s">
        <v>354</v>
      </c>
      <c r="L2803" t="s">
        <v>355</v>
      </c>
      <c r="M2803" t="s">
        <v>131</v>
      </c>
      <c r="N2803">
        <v>4</v>
      </c>
      <c r="O2803" t="s">
        <v>40</v>
      </c>
      <c r="P2803" t="s">
        <v>40</v>
      </c>
      <c r="Q2803" t="s">
        <v>40</v>
      </c>
      <c r="R2803" t="s">
        <v>40</v>
      </c>
      <c r="S2803" t="s">
        <v>40</v>
      </c>
      <c r="U2803" s="1">
        <v>43344</v>
      </c>
      <c r="V2803" t="s">
        <v>41</v>
      </c>
      <c r="W2803" t="s">
        <v>75</v>
      </c>
      <c r="X2803" t="str">
        <f>"7054008"</f>
        <v>7054008</v>
      </c>
      <c r="Y2803" t="s">
        <v>813</v>
      </c>
      <c r="Z2803" t="s">
        <v>354</v>
      </c>
      <c r="AA2803" t="s">
        <v>355</v>
      </c>
      <c r="AB2803" t="s">
        <v>131</v>
      </c>
      <c r="AC2803" t="s">
        <v>51</v>
      </c>
      <c r="AD2803" t="s">
        <v>45</v>
      </c>
      <c r="AE2803" s="1">
        <v>27030</v>
      </c>
      <c r="AF2803">
        <v>1</v>
      </c>
      <c r="AG2803" t="s">
        <v>355</v>
      </c>
      <c r="AH2803" s="36">
        <f t="shared" si="43"/>
        <v>45.630555555555553</v>
      </c>
      <c r="AI2803" s="41" t="s">
        <v>1780</v>
      </c>
    </row>
    <row r="2804" spans="1:35" x14ac:dyDescent="0.25">
      <c r="A2804" s="36">
        <v>99912802</v>
      </c>
      <c r="B2804" s="17" t="s">
        <v>32</v>
      </c>
      <c r="C2804" t="s">
        <v>71</v>
      </c>
      <c r="D2804" t="s">
        <v>72</v>
      </c>
      <c r="G2804" s="17" t="s">
        <v>35</v>
      </c>
      <c r="H2804" s="17">
        <v>1</v>
      </c>
      <c r="I2804" t="s">
        <v>956</v>
      </c>
      <c r="J2804" s="1">
        <v>43371</v>
      </c>
      <c r="K2804" t="s">
        <v>947</v>
      </c>
      <c r="L2804" t="s">
        <v>948</v>
      </c>
      <c r="M2804" t="s">
        <v>938</v>
      </c>
      <c r="N2804">
        <v>6</v>
      </c>
      <c r="O2804" t="s">
        <v>40</v>
      </c>
      <c r="P2804" t="s">
        <v>40</v>
      </c>
      <c r="Q2804" t="s">
        <v>40</v>
      </c>
      <c r="R2804" t="s">
        <v>40</v>
      </c>
      <c r="S2804" t="s">
        <v>40</v>
      </c>
      <c r="U2804" s="1">
        <v>43371</v>
      </c>
      <c r="V2804" t="s">
        <v>41</v>
      </c>
      <c r="W2804" t="s">
        <v>49</v>
      </c>
      <c r="X2804" t="str">
        <f>"0645053"</f>
        <v>0645053</v>
      </c>
      <c r="Y2804" t="s">
        <v>957</v>
      </c>
      <c r="Z2804" t="s">
        <v>947</v>
      </c>
      <c r="AA2804" t="s">
        <v>948</v>
      </c>
      <c r="AB2804" t="s">
        <v>938</v>
      </c>
      <c r="AC2804" t="s">
        <v>51</v>
      </c>
      <c r="AD2804" t="s">
        <v>45</v>
      </c>
      <c r="AE2804" s="1">
        <v>27030</v>
      </c>
      <c r="AF2804">
        <v>2</v>
      </c>
      <c r="AG2804" t="s">
        <v>948</v>
      </c>
      <c r="AH2804" s="36">
        <f t="shared" si="43"/>
        <v>45.630555555555553</v>
      </c>
      <c r="AI2804" s="41" t="s">
        <v>1780</v>
      </c>
    </row>
    <row r="2805" spans="1:35" x14ac:dyDescent="0.25">
      <c r="A2805" s="36">
        <v>99912803</v>
      </c>
      <c r="B2805" s="17" t="s">
        <v>56</v>
      </c>
      <c r="C2805" t="s">
        <v>61</v>
      </c>
      <c r="D2805" t="s">
        <v>62</v>
      </c>
      <c r="G2805" s="17" t="s">
        <v>48</v>
      </c>
      <c r="H2805" s="17">
        <v>5</v>
      </c>
      <c r="K2805" t="s">
        <v>1268</v>
      </c>
      <c r="L2805" t="s">
        <v>1269</v>
      </c>
      <c r="M2805" t="s">
        <v>1270</v>
      </c>
      <c r="N2805">
        <v>21</v>
      </c>
      <c r="O2805" t="s">
        <v>40</v>
      </c>
      <c r="P2805" t="s">
        <v>40</v>
      </c>
      <c r="Q2805" t="s">
        <v>40</v>
      </c>
      <c r="R2805" t="s">
        <v>40</v>
      </c>
      <c r="S2805" t="s">
        <v>40</v>
      </c>
      <c r="U2805" s="1">
        <v>43344</v>
      </c>
      <c r="V2805" t="s">
        <v>41</v>
      </c>
      <c r="W2805" t="s">
        <v>49</v>
      </c>
      <c r="X2805" t="str">
        <f>"1981055"</f>
        <v>1981055</v>
      </c>
      <c r="Y2805" t="s">
        <v>1280</v>
      </c>
      <c r="Z2805" t="s">
        <v>1268</v>
      </c>
      <c r="AA2805" t="s">
        <v>1269</v>
      </c>
      <c r="AB2805" t="s">
        <v>1270</v>
      </c>
      <c r="AC2805" t="s">
        <v>51</v>
      </c>
      <c r="AD2805" t="s">
        <v>45</v>
      </c>
      <c r="AE2805" s="1">
        <v>27030</v>
      </c>
      <c r="AF2805">
        <v>2</v>
      </c>
      <c r="AG2805" t="s">
        <v>1269</v>
      </c>
      <c r="AH2805" s="36">
        <f t="shared" si="43"/>
        <v>45.630555555555553</v>
      </c>
      <c r="AI2805" s="41" t="s">
        <v>1780</v>
      </c>
    </row>
    <row r="2806" spans="1:35" x14ac:dyDescent="0.25">
      <c r="A2806" s="36">
        <v>99912804</v>
      </c>
      <c r="B2806" s="17" t="s">
        <v>32</v>
      </c>
      <c r="C2806" t="s">
        <v>46</v>
      </c>
      <c r="D2806" t="s">
        <v>47</v>
      </c>
      <c r="G2806" s="17" t="s">
        <v>35</v>
      </c>
      <c r="H2806" s="17">
        <v>1</v>
      </c>
      <c r="K2806" t="s">
        <v>1268</v>
      </c>
      <c r="L2806" t="s">
        <v>1269</v>
      </c>
      <c r="M2806" t="s">
        <v>1270</v>
      </c>
      <c r="N2806">
        <v>20</v>
      </c>
      <c r="O2806" t="s">
        <v>40</v>
      </c>
      <c r="P2806" t="s">
        <v>40</v>
      </c>
      <c r="Q2806" t="s">
        <v>40</v>
      </c>
      <c r="R2806" t="s">
        <v>40</v>
      </c>
      <c r="S2806" t="s">
        <v>40</v>
      </c>
      <c r="V2806" t="s">
        <v>41</v>
      </c>
      <c r="W2806" t="s">
        <v>49</v>
      </c>
      <c r="X2806" t="str">
        <f>"1981914"</f>
        <v>1981914</v>
      </c>
      <c r="Y2806" t="s">
        <v>1287</v>
      </c>
      <c r="Z2806" t="s">
        <v>1268</v>
      </c>
      <c r="AA2806" t="s">
        <v>1269</v>
      </c>
      <c r="AB2806" t="s">
        <v>1270</v>
      </c>
      <c r="AC2806" t="s">
        <v>51</v>
      </c>
      <c r="AD2806" t="s">
        <v>45</v>
      </c>
      <c r="AE2806" s="1">
        <v>27030</v>
      </c>
      <c r="AF2806">
        <v>2</v>
      </c>
      <c r="AG2806" t="s">
        <v>1269</v>
      </c>
      <c r="AH2806" s="36">
        <f t="shared" si="43"/>
        <v>45.630555555555553</v>
      </c>
      <c r="AI2806" s="41" t="s">
        <v>1780</v>
      </c>
    </row>
    <row r="2807" spans="1:35" x14ac:dyDescent="0.25">
      <c r="A2807" s="36">
        <v>99912805</v>
      </c>
      <c r="B2807" s="17" t="s">
        <v>56</v>
      </c>
      <c r="C2807" t="s">
        <v>85</v>
      </c>
      <c r="D2807" t="s">
        <v>86</v>
      </c>
      <c r="G2807" s="17" t="s">
        <v>48</v>
      </c>
      <c r="H2807" s="17">
        <v>1</v>
      </c>
      <c r="K2807" t="s">
        <v>1268</v>
      </c>
      <c r="L2807" t="s">
        <v>1269</v>
      </c>
      <c r="M2807" t="s">
        <v>1270</v>
      </c>
      <c r="N2807">
        <v>30</v>
      </c>
      <c r="O2807" t="s">
        <v>40</v>
      </c>
      <c r="P2807" t="s">
        <v>40</v>
      </c>
      <c r="Q2807" t="s">
        <v>40</v>
      </c>
      <c r="R2807" t="s">
        <v>40</v>
      </c>
      <c r="S2807" t="s">
        <v>40</v>
      </c>
      <c r="V2807" t="s">
        <v>41</v>
      </c>
      <c r="W2807" t="s">
        <v>42</v>
      </c>
      <c r="X2807" t="str">
        <f>"1980050"</f>
        <v>1980050</v>
      </c>
      <c r="Y2807" t="s">
        <v>1278</v>
      </c>
      <c r="Z2807" t="s">
        <v>1268</v>
      </c>
      <c r="AA2807" t="s">
        <v>1269</v>
      </c>
      <c r="AB2807" t="s">
        <v>1270</v>
      </c>
      <c r="AC2807" t="s">
        <v>51</v>
      </c>
      <c r="AD2807" t="s">
        <v>45</v>
      </c>
      <c r="AE2807" s="1">
        <v>27030</v>
      </c>
      <c r="AF2807">
        <v>2</v>
      </c>
      <c r="AG2807" t="s">
        <v>1269</v>
      </c>
      <c r="AH2807" s="36">
        <f t="shared" si="43"/>
        <v>45.630555555555553</v>
      </c>
      <c r="AI2807" s="41" t="s">
        <v>1780</v>
      </c>
    </row>
    <row r="2808" spans="1:35" x14ac:dyDescent="0.25">
      <c r="A2808" s="36">
        <v>99912806</v>
      </c>
      <c r="B2808" s="17" t="s">
        <v>32</v>
      </c>
      <c r="C2808" t="s">
        <v>90</v>
      </c>
      <c r="D2808" t="s">
        <v>91</v>
      </c>
      <c r="G2808" s="17" t="s">
        <v>48</v>
      </c>
      <c r="H2808" s="17">
        <v>1</v>
      </c>
      <c r="K2808" t="s">
        <v>1341</v>
      </c>
      <c r="L2808" t="s">
        <v>1342</v>
      </c>
      <c r="M2808" t="s">
        <v>1270</v>
      </c>
      <c r="N2808">
        <v>25</v>
      </c>
      <c r="O2808" t="s">
        <v>40</v>
      </c>
      <c r="P2808" t="s">
        <v>40</v>
      </c>
      <c r="Q2808" t="s">
        <v>40</v>
      </c>
      <c r="S2808" t="s">
        <v>40</v>
      </c>
      <c r="V2808" t="s">
        <v>41</v>
      </c>
      <c r="W2808" t="s">
        <v>95</v>
      </c>
      <c r="X2808" t="str">
        <f>"7191013"</f>
        <v>7191013</v>
      </c>
      <c r="Y2808" t="s">
        <v>1358</v>
      </c>
      <c r="Z2808" t="s">
        <v>1341</v>
      </c>
      <c r="AA2808" t="s">
        <v>1342</v>
      </c>
      <c r="AB2808" t="s">
        <v>1270</v>
      </c>
      <c r="AC2808" t="s">
        <v>51</v>
      </c>
      <c r="AD2808" t="s">
        <v>45</v>
      </c>
      <c r="AE2808" s="1">
        <v>27030</v>
      </c>
      <c r="AF2808">
        <v>1</v>
      </c>
      <c r="AG2808" t="s">
        <v>1342</v>
      </c>
      <c r="AH2808" s="36">
        <f t="shared" si="43"/>
        <v>45.630555555555553</v>
      </c>
      <c r="AI2808" s="41" t="s">
        <v>1780</v>
      </c>
    </row>
    <row r="2809" spans="1:35" x14ac:dyDescent="0.25">
      <c r="A2809" s="36">
        <v>99912807</v>
      </c>
      <c r="B2809" s="17" t="s">
        <v>32</v>
      </c>
      <c r="C2809" t="s">
        <v>90</v>
      </c>
      <c r="D2809" t="s">
        <v>91</v>
      </c>
      <c r="G2809" s="17" t="s">
        <v>48</v>
      </c>
      <c r="H2809" s="17">
        <v>5</v>
      </c>
      <c r="I2809">
        <v>11273</v>
      </c>
      <c r="J2809" s="1">
        <v>42979</v>
      </c>
      <c r="K2809" t="s">
        <v>1426</v>
      </c>
      <c r="L2809" t="s">
        <v>1427</v>
      </c>
      <c r="M2809" t="s">
        <v>1270</v>
      </c>
      <c r="N2809">
        <v>25</v>
      </c>
      <c r="O2809" t="s">
        <v>40</v>
      </c>
      <c r="P2809" t="s">
        <v>40</v>
      </c>
      <c r="Q2809" t="s">
        <v>40</v>
      </c>
      <c r="R2809" t="s">
        <v>40</v>
      </c>
      <c r="S2809" t="s">
        <v>40</v>
      </c>
      <c r="U2809" s="1">
        <v>42979</v>
      </c>
      <c r="V2809" t="s">
        <v>41</v>
      </c>
      <c r="W2809" t="s">
        <v>95</v>
      </c>
      <c r="X2809" t="str">
        <f>"7192013"</f>
        <v>7192013</v>
      </c>
      <c r="Y2809" t="s">
        <v>1447</v>
      </c>
      <c r="Z2809" t="s">
        <v>1426</v>
      </c>
      <c r="AA2809" t="s">
        <v>1427</v>
      </c>
      <c r="AB2809" t="s">
        <v>1270</v>
      </c>
      <c r="AC2809" t="s">
        <v>44</v>
      </c>
      <c r="AD2809" t="s">
        <v>45</v>
      </c>
      <c r="AE2809" s="1">
        <v>27030</v>
      </c>
      <c r="AF2809">
        <v>1</v>
      </c>
      <c r="AG2809" t="s">
        <v>1427</v>
      </c>
      <c r="AH2809" s="36">
        <f t="shared" si="43"/>
        <v>45.630555555555553</v>
      </c>
      <c r="AI2809" s="41" t="s">
        <v>1780</v>
      </c>
    </row>
    <row r="2810" spans="1:35" x14ac:dyDescent="0.25">
      <c r="A2810" s="36">
        <v>99912808</v>
      </c>
      <c r="B2810" s="17" t="s">
        <v>32</v>
      </c>
      <c r="C2810" t="s">
        <v>64</v>
      </c>
      <c r="D2810" t="s">
        <v>65</v>
      </c>
      <c r="G2810" s="17" t="s">
        <v>48</v>
      </c>
      <c r="H2810" s="17">
        <v>1</v>
      </c>
      <c r="K2810" t="s">
        <v>1487</v>
      </c>
      <c r="L2810" t="s">
        <v>1488</v>
      </c>
      <c r="M2810" t="s">
        <v>670</v>
      </c>
      <c r="N2810">
        <v>16</v>
      </c>
      <c r="O2810" t="s">
        <v>40</v>
      </c>
      <c r="P2810" t="s">
        <v>40</v>
      </c>
      <c r="Q2810" t="s">
        <v>40</v>
      </c>
      <c r="R2810" t="s">
        <v>40</v>
      </c>
      <c r="S2810" t="s">
        <v>40</v>
      </c>
      <c r="V2810" t="s">
        <v>41</v>
      </c>
      <c r="W2810" t="s">
        <v>49</v>
      </c>
      <c r="X2810" t="str">
        <f>"1760001"</f>
        <v>1760001</v>
      </c>
      <c r="Y2810" t="s">
        <v>1489</v>
      </c>
      <c r="Z2810" t="s">
        <v>1487</v>
      </c>
      <c r="AA2810" t="s">
        <v>1488</v>
      </c>
      <c r="AB2810" t="s">
        <v>670</v>
      </c>
      <c r="AC2810" t="s">
        <v>51</v>
      </c>
      <c r="AD2810" t="s">
        <v>45</v>
      </c>
      <c r="AE2810" s="1">
        <v>27030</v>
      </c>
      <c r="AF2810">
        <v>2</v>
      </c>
      <c r="AG2810" t="s">
        <v>1488</v>
      </c>
      <c r="AH2810" s="36">
        <f t="shared" si="43"/>
        <v>45.630555555555553</v>
      </c>
      <c r="AI2810" s="41" t="s">
        <v>1780</v>
      </c>
    </row>
    <row r="2811" spans="1:35" x14ac:dyDescent="0.25">
      <c r="A2811" s="36">
        <v>99912809</v>
      </c>
      <c r="B2811" s="17" t="s">
        <v>32</v>
      </c>
      <c r="C2811" t="s">
        <v>52</v>
      </c>
      <c r="D2811" t="s">
        <v>53</v>
      </c>
      <c r="G2811" s="17" t="s">
        <v>35</v>
      </c>
      <c r="H2811" s="17">
        <v>1</v>
      </c>
      <c r="I2811" t="s">
        <v>1492</v>
      </c>
      <c r="J2811" s="1">
        <v>43360</v>
      </c>
      <c r="K2811" t="s">
        <v>1487</v>
      </c>
      <c r="L2811" t="s">
        <v>1488</v>
      </c>
      <c r="M2811" t="s">
        <v>670</v>
      </c>
      <c r="N2811">
        <v>10</v>
      </c>
      <c r="O2811" t="s">
        <v>40</v>
      </c>
      <c r="P2811" t="s">
        <v>40</v>
      </c>
      <c r="Q2811" t="s">
        <v>40</v>
      </c>
      <c r="R2811" t="s">
        <v>40</v>
      </c>
      <c r="S2811" t="s">
        <v>40</v>
      </c>
      <c r="U2811" s="1">
        <v>43360</v>
      </c>
      <c r="V2811" t="s">
        <v>41</v>
      </c>
      <c r="W2811" t="s">
        <v>42</v>
      </c>
      <c r="X2811" t="str">
        <f>"1780020"</f>
        <v>1780020</v>
      </c>
      <c r="Y2811" t="s">
        <v>1490</v>
      </c>
      <c r="Z2811" t="s">
        <v>1487</v>
      </c>
      <c r="AA2811" t="s">
        <v>1488</v>
      </c>
      <c r="AB2811" t="s">
        <v>670</v>
      </c>
      <c r="AC2811" t="s">
        <v>55</v>
      </c>
      <c r="AD2811" t="s">
        <v>45</v>
      </c>
      <c r="AE2811" s="1">
        <v>27030</v>
      </c>
      <c r="AF2811">
        <v>2</v>
      </c>
      <c r="AG2811" t="s">
        <v>1488</v>
      </c>
      <c r="AH2811" s="36">
        <f t="shared" si="43"/>
        <v>45.630555555555553</v>
      </c>
      <c r="AI2811" s="41" t="s">
        <v>1780</v>
      </c>
    </row>
    <row r="2812" spans="1:35" x14ac:dyDescent="0.25">
      <c r="A2812" s="36">
        <v>99912810</v>
      </c>
      <c r="B2812" s="17" t="s">
        <v>32</v>
      </c>
      <c r="C2812" t="s">
        <v>111</v>
      </c>
      <c r="D2812" t="s">
        <v>112</v>
      </c>
      <c r="G2812" s="17" t="s">
        <v>48</v>
      </c>
      <c r="H2812" s="17">
        <v>8</v>
      </c>
      <c r="J2812" s="1">
        <v>43344</v>
      </c>
      <c r="K2812" t="s">
        <v>354</v>
      </c>
      <c r="L2812" t="s">
        <v>355</v>
      </c>
      <c r="M2812" t="s">
        <v>131</v>
      </c>
      <c r="N2812">
        <v>22</v>
      </c>
      <c r="O2812" t="s">
        <v>40</v>
      </c>
      <c r="P2812" t="s">
        <v>40</v>
      </c>
      <c r="Q2812" t="s">
        <v>40</v>
      </c>
      <c r="R2812" t="s">
        <v>40</v>
      </c>
      <c r="S2812" t="s">
        <v>40</v>
      </c>
      <c r="U2812" s="1">
        <v>43344</v>
      </c>
      <c r="V2812" t="s">
        <v>41</v>
      </c>
      <c r="W2812" t="s">
        <v>75</v>
      </c>
      <c r="X2812" t="str">
        <f>"7054022"</f>
        <v>7054022</v>
      </c>
      <c r="Y2812" t="s">
        <v>770</v>
      </c>
      <c r="Z2812" t="s">
        <v>354</v>
      </c>
      <c r="AA2812" t="s">
        <v>355</v>
      </c>
      <c r="AB2812" t="s">
        <v>131</v>
      </c>
      <c r="AC2812" t="s">
        <v>51</v>
      </c>
      <c r="AD2812" t="s">
        <v>45</v>
      </c>
      <c r="AE2812" s="1">
        <v>27026</v>
      </c>
      <c r="AF2812">
        <v>1</v>
      </c>
      <c r="AG2812" t="s">
        <v>355</v>
      </c>
      <c r="AH2812" s="36">
        <f t="shared" si="43"/>
        <v>45.641666666666666</v>
      </c>
      <c r="AI2812" s="41" t="s">
        <v>1780</v>
      </c>
    </row>
    <row r="2813" spans="1:35" x14ac:dyDescent="0.25">
      <c r="A2813" s="36">
        <v>99912811</v>
      </c>
      <c r="B2813" s="17" t="s">
        <v>32</v>
      </c>
      <c r="C2813" t="s">
        <v>139</v>
      </c>
      <c r="D2813" t="s">
        <v>140</v>
      </c>
      <c r="G2813" s="17" t="s">
        <v>88</v>
      </c>
      <c r="H2813" s="17">
        <v>3</v>
      </c>
      <c r="I2813" t="s">
        <v>472</v>
      </c>
      <c r="J2813" s="1">
        <v>42262</v>
      </c>
      <c r="K2813" t="s">
        <v>195</v>
      </c>
      <c r="L2813" t="s">
        <v>196</v>
      </c>
      <c r="M2813" t="s">
        <v>131</v>
      </c>
      <c r="N2813">
        <v>19</v>
      </c>
      <c r="O2813" t="s">
        <v>40</v>
      </c>
      <c r="P2813" t="s">
        <v>40</v>
      </c>
      <c r="Q2813" t="s">
        <v>40</v>
      </c>
      <c r="R2813" t="s">
        <v>40</v>
      </c>
      <c r="S2813" t="s">
        <v>40</v>
      </c>
      <c r="U2813" s="1">
        <v>42262</v>
      </c>
      <c r="V2813" t="s">
        <v>41</v>
      </c>
      <c r="W2813" t="s">
        <v>75</v>
      </c>
      <c r="X2813" t="str">
        <f>"7521050"</f>
        <v>7521050</v>
      </c>
      <c r="Y2813" t="s">
        <v>194</v>
      </c>
      <c r="Z2813" t="s">
        <v>195</v>
      </c>
      <c r="AA2813" t="s">
        <v>196</v>
      </c>
      <c r="AB2813" t="s">
        <v>131</v>
      </c>
      <c r="AC2813" t="s">
        <v>51</v>
      </c>
      <c r="AD2813" t="s">
        <v>45</v>
      </c>
      <c r="AE2813" s="1">
        <v>27023</v>
      </c>
      <c r="AF2813">
        <v>1</v>
      </c>
      <c r="AG2813" t="s">
        <v>196</v>
      </c>
      <c r="AH2813" s="36">
        <f t="shared" si="43"/>
        <v>45.65</v>
      </c>
      <c r="AI2813" s="41" t="s">
        <v>1780</v>
      </c>
    </row>
    <row r="2814" spans="1:35" x14ac:dyDescent="0.25">
      <c r="A2814" s="36">
        <v>99912812</v>
      </c>
      <c r="B2814" s="17" t="s">
        <v>32</v>
      </c>
      <c r="C2814" t="s">
        <v>111</v>
      </c>
      <c r="D2814" t="s">
        <v>112</v>
      </c>
      <c r="G2814" s="17" t="s">
        <v>35</v>
      </c>
      <c r="H2814" s="17">
        <v>1</v>
      </c>
      <c r="K2814" t="s">
        <v>963</v>
      </c>
      <c r="L2814" t="s">
        <v>964</v>
      </c>
      <c r="M2814" t="s">
        <v>938</v>
      </c>
      <c r="N2814">
        <v>22</v>
      </c>
      <c r="O2814" t="s">
        <v>40</v>
      </c>
      <c r="P2814" t="s">
        <v>40</v>
      </c>
      <c r="Q2814" t="s">
        <v>40</v>
      </c>
      <c r="S2814" t="s">
        <v>40</v>
      </c>
      <c r="V2814" t="s">
        <v>41</v>
      </c>
      <c r="W2814" t="s">
        <v>75</v>
      </c>
      <c r="X2814" t="str">
        <f>"7061000"</f>
        <v>7061000</v>
      </c>
      <c r="Y2814" t="s">
        <v>962</v>
      </c>
      <c r="Z2814" t="s">
        <v>963</v>
      </c>
      <c r="AA2814" t="s">
        <v>964</v>
      </c>
      <c r="AB2814" t="s">
        <v>938</v>
      </c>
      <c r="AC2814" t="s">
        <v>165</v>
      </c>
      <c r="AD2814" t="s">
        <v>45</v>
      </c>
      <c r="AE2814" s="1">
        <v>27023</v>
      </c>
      <c r="AF2814">
        <v>1</v>
      </c>
      <c r="AG2814" t="s">
        <v>964</v>
      </c>
      <c r="AH2814" s="36">
        <f t="shared" si="43"/>
        <v>45.65</v>
      </c>
      <c r="AI2814" s="41" t="s">
        <v>1780</v>
      </c>
    </row>
    <row r="2815" spans="1:35" x14ac:dyDescent="0.25">
      <c r="A2815" s="36">
        <v>99912813</v>
      </c>
      <c r="B2815" s="17" t="s">
        <v>32</v>
      </c>
      <c r="C2815" t="s">
        <v>111</v>
      </c>
      <c r="D2815" t="s">
        <v>112</v>
      </c>
      <c r="G2815" s="17" t="s">
        <v>35</v>
      </c>
      <c r="H2815" s="17">
        <v>1</v>
      </c>
      <c r="K2815" t="s">
        <v>1341</v>
      </c>
      <c r="L2815" t="s">
        <v>1342</v>
      </c>
      <c r="M2815" t="s">
        <v>1270</v>
      </c>
      <c r="N2815">
        <v>22</v>
      </c>
      <c r="O2815" t="s">
        <v>40</v>
      </c>
      <c r="P2815" t="s">
        <v>40</v>
      </c>
      <c r="Q2815" t="s">
        <v>40</v>
      </c>
      <c r="S2815" t="s">
        <v>40</v>
      </c>
      <c r="V2815" t="s">
        <v>41</v>
      </c>
      <c r="W2815" t="s">
        <v>75</v>
      </c>
      <c r="X2815" t="str">
        <f>"7191006"</f>
        <v>7191006</v>
      </c>
      <c r="Y2815" t="s">
        <v>1351</v>
      </c>
      <c r="Z2815" t="s">
        <v>1341</v>
      </c>
      <c r="AA2815" t="s">
        <v>1342</v>
      </c>
      <c r="AB2815" t="s">
        <v>1270</v>
      </c>
      <c r="AC2815" t="s">
        <v>51</v>
      </c>
      <c r="AD2815" t="s">
        <v>45</v>
      </c>
      <c r="AE2815" s="1">
        <v>27022</v>
      </c>
      <c r="AF2815">
        <v>1</v>
      </c>
      <c r="AG2815" t="s">
        <v>1342</v>
      </c>
      <c r="AH2815" s="36">
        <f t="shared" si="43"/>
        <v>45.652777777777779</v>
      </c>
      <c r="AI2815" s="41" t="s">
        <v>1780</v>
      </c>
    </row>
    <row r="2816" spans="1:35" x14ac:dyDescent="0.25">
      <c r="A2816" s="36">
        <v>99912814</v>
      </c>
      <c r="B2816" s="17" t="s">
        <v>32</v>
      </c>
      <c r="C2816" t="s">
        <v>46</v>
      </c>
      <c r="D2816" t="s">
        <v>47</v>
      </c>
      <c r="G2816" s="17" t="s">
        <v>48</v>
      </c>
      <c r="H2816" s="17">
        <v>1</v>
      </c>
      <c r="K2816" t="s">
        <v>162</v>
      </c>
      <c r="L2816" t="s">
        <v>158</v>
      </c>
      <c r="M2816" t="s">
        <v>131</v>
      </c>
      <c r="N2816">
        <v>11</v>
      </c>
      <c r="O2816" t="s">
        <v>40</v>
      </c>
      <c r="P2816" t="s">
        <v>40</v>
      </c>
      <c r="Q2816" t="s">
        <v>40</v>
      </c>
      <c r="S2816" t="s">
        <v>40</v>
      </c>
      <c r="V2816" t="s">
        <v>41</v>
      </c>
      <c r="W2816" t="s">
        <v>49</v>
      </c>
      <c r="X2816" t="str">
        <f>"0560027"</f>
        <v>0560027</v>
      </c>
      <c r="Y2816" t="s">
        <v>178</v>
      </c>
      <c r="Z2816" t="s">
        <v>162</v>
      </c>
      <c r="AA2816" t="s">
        <v>158</v>
      </c>
      <c r="AB2816" t="s">
        <v>131</v>
      </c>
      <c r="AC2816" t="s">
        <v>51</v>
      </c>
      <c r="AD2816" t="s">
        <v>45</v>
      </c>
      <c r="AE2816" s="1">
        <v>27020</v>
      </c>
      <c r="AF2816">
        <v>2</v>
      </c>
      <c r="AG2816" t="s">
        <v>158</v>
      </c>
      <c r="AH2816" s="36">
        <f t="shared" si="43"/>
        <v>45.658333333333331</v>
      </c>
      <c r="AI2816" s="41" t="s">
        <v>1780</v>
      </c>
    </row>
    <row r="2817" spans="1:35" x14ac:dyDescent="0.25">
      <c r="A2817" s="36">
        <v>99912815</v>
      </c>
      <c r="B2817" s="17" t="s">
        <v>56</v>
      </c>
      <c r="C2817" t="s">
        <v>46</v>
      </c>
      <c r="D2817" t="s">
        <v>47</v>
      </c>
      <c r="G2817" s="17" t="s">
        <v>48</v>
      </c>
      <c r="H2817" s="17">
        <v>1</v>
      </c>
      <c r="K2817" t="s">
        <v>300</v>
      </c>
      <c r="L2817" t="s">
        <v>301</v>
      </c>
      <c r="M2817" t="s">
        <v>131</v>
      </c>
      <c r="N2817">
        <v>23</v>
      </c>
      <c r="O2817" t="s">
        <v>40</v>
      </c>
      <c r="P2817" t="s">
        <v>40</v>
      </c>
      <c r="Q2817" t="s">
        <v>40</v>
      </c>
      <c r="R2817" t="s">
        <v>40</v>
      </c>
      <c r="S2817" t="s">
        <v>40</v>
      </c>
      <c r="V2817" t="s">
        <v>41</v>
      </c>
      <c r="W2817" t="s">
        <v>42</v>
      </c>
      <c r="X2817" t="str">
        <f>"0580106"</f>
        <v>0580106</v>
      </c>
      <c r="Y2817" t="s">
        <v>306</v>
      </c>
      <c r="Z2817" t="s">
        <v>300</v>
      </c>
      <c r="AA2817" t="s">
        <v>301</v>
      </c>
      <c r="AB2817" t="s">
        <v>131</v>
      </c>
      <c r="AC2817" t="s">
        <v>51</v>
      </c>
      <c r="AD2817" t="s">
        <v>45</v>
      </c>
      <c r="AE2817" s="1">
        <v>27018</v>
      </c>
      <c r="AF2817">
        <v>2</v>
      </c>
      <c r="AG2817" t="s">
        <v>301</v>
      </c>
      <c r="AH2817" s="36">
        <f t="shared" si="43"/>
        <v>45.663888888888891</v>
      </c>
      <c r="AI2817" s="41" t="s">
        <v>1780</v>
      </c>
    </row>
    <row r="2818" spans="1:35" x14ac:dyDescent="0.25">
      <c r="A2818" s="36">
        <v>99912816</v>
      </c>
      <c r="B2818" s="17" t="s">
        <v>32</v>
      </c>
      <c r="C2818" t="s">
        <v>111</v>
      </c>
      <c r="D2818" t="s">
        <v>112</v>
      </c>
      <c r="G2818" s="17" t="s">
        <v>48</v>
      </c>
      <c r="H2818" s="17">
        <v>12</v>
      </c>
      <c r="I2818" t="s">
        <v>494</v>
      </c>
      <c r="J2818" s="1">
        <v>38596</v>
      </c>
      <c r="K2818" t="s">
        <v>431</v>
      </c>
      <c r="L2818" t="s">
        <v>196</v>
      </c>
      <c r="M2818" t="s">
        <v>131</v>
      </c>
      <c r="N2818">
        <v>21</v>
      </c>
      <c r="O2818" t="s">
        <v>40</v>
      </c>
      <c r="P2818" t="s">
        <v>40</v>
      </c>
      <c r="Q2818" t="s">
        <v>40</v>
      </c>
      <c r="R2818" t="s">
        <v>40</v>
      </c>
      <c r="S2818" t="s">
        <v>40</v>
      </c>
      <c r="U2818" s="1">
        <v>38596</v>
      </c>
      <c r="V2818" t="s">
        <v>41</v>
      </c>
      <c r="W2818" t="s">
        <v>75</v>
      </c>
      <c r="X2818" t="str">
        <f>"7521012"</f>
        <v>7521012</v>
      </c>
      <c r="Y2818" t="s">
        <v>432</v>
      </c>
      <c r="Z2818" t="s">
        <v>431</v>
      </c>
      <c r="AA2818" t="s">
        <v>196</v>
      </c>
      <c r="AB2818" t="s">
        <v>131</v>
      </c>
      <c r="AC2818" t="s">
        <v>165</v>
      </c>
      <c r="AD2818" t="s">
        <v>45</v>
      </c>
      <c r="AE2818" s="1">
        <v>27013</v>
      </c>
      <c r="AF2818">
        <v>1</v>
      </c>
      <c r="AG2818" t="s">
        <v>196</v>
      </c>
      <c r="AH2818" s="36">
        <f t="shared" ref="AH2818:AH2881" si="44">($AJ$1-AE2818)/360</f>
        <v>45.677777777777777</v>
      </c>
      <c r="AI2818" s="41" t="s">
        <v>1780</v>
      </c>
    </row>
    <row r="2819" spans="1:35" x14ac:dyDescent="0.25">
      <c r="A2819" s="36">
        <v>99912817</v>
      </c>
      <c r="B2819" s="17" t="s">
        <v>32</v>
      </c>
      <c r="C2819" t="s">
        <v>111</v>
      </c>
      <c r="D2819" t="s">
        <v>112</v>
      </c>
      <c r="G2819" s="17" t="s">
        <v>48</v>
      </c>
      <c r="H2819" s="17">
        <v>9</v>
      </c>
      <c r="I2819" t="s">
        <v>550</v>
      </c>
      <c r="J2819" s="1">
        <v>39326</v>
      </c>
      <c r="K2819" t="s">
        <v>431</v>
      </c>
      <c r="L2819" t="s">
        <v>196</v>
      </c>
      <c r="M2819" t="s">
        <v>131</v>
      </c>
      <c r="N2819">
        <v>22</v>
      </c>
      <c r="O2819" t="s">
        <v>40</v>
      </c>
      <c r="P2819" t="s">
        <v>40</v>
      </c>
      <c r="Q2819" t="s">
        <v>40</v>
      </c>
      <c r="R2819" t="s">
        <v>40</v>
      </c>
      <c r="S2819" t="s">
        <v>40</v>
      </c>
      <c r="U2819" s="1">
        <v>39326</v>
      </c>
      <c r="V2819" t="s">
        <v>41</v>
      </c>
      <c r="W2819" t="s">
        <v>75</v>
      </c>
      <c r="X2819" t="str">
        <f>"7521022"</f>
        <v>7521022</v>
      </c>
      <c r="Y2819" t="s">
        <v>445</v>
      </c>
      <c r="Z2819" t="s">
        <v>431</v>
      </c>
      <c r="AA2819" t="s">
        <v>196</v>
      </c>
      <c r="AB2819" t="s">
        <v>131</v>
      </c>
      <c r="AC2819" t="s">
        <v>51</v>
      </c>
      <c r="AD2819" t="s">
        <v>45</v>
      </c>
      <c r="AE2819" s="1">
        <v>27012</v>
      </c>
      <c r="AF2819">
        <v>1</v>
      </c>
      <c r="AG2819" t="s">
        <v>196</v>
      </c>
      <c r="AH2819" s="36">
        <f t="shared" si="44"/>
        <v>45.680555555555557</v>
      </c>
      <c r="AI2819" s="41" t="s">
        <v>1780</v>
      </c>
    </row>
    <row r="2820" spans="1:35" x14ac:dyDescent="0.25">
      <c r="A2820" s="36">
        <v>99912818</v>
      </c>
      <c r="B2820" s="17" t="s">
        <v>32</v>
      </c>
      <c r="C2820" t="s">
        <v>111</v>
      </c>
      <c r="D2820" t="s">
        <v>112</v>
      </c>
      <c r="G2820" s="17" t="s">
        <v>48</v>
      </c>
      <c r="H2820" s="17">
        <v>9</v>
      </c>
      <c r="I2820">
        <v>1936</v>
      </c>
      <c r="J2820" s="1">
        <v>43344</v>
      </c>
      <c r="K2820" t="s">
        <v>354</v>
      </c>
      <c r="L2820" t="s">
        <v>355</v>
      </c>
      <c r="M2820" t="s">
        <v>131</v>
      </c>
      <c r="N2820">
        <v>24</v>
      </c>
      <c r="O2820" t="s">
        <v>40</v>
      </c>
      <c r="P2820" t="s">
        <v>40</v>
      </c>
      <c r="Q2820" t="s">
        <v>40</v>
      </c>
      <c r="R2820" t="s">
        <v>40</v>
      </c>
      <c r="S2820" t="s">
        <v>40</v>
      </c>
      <c r="U2820" s="1">
        <v>43344</v>
      </c>
      <c r="V2820" t="s">
        <v>41</v>
      </c>
      <c r="W2820" t="s">
        <v>75</v>
      </c>
      <c r="X2820" t="str">
        <f>"7054032"</f>
        <v>7054032</v>
      </c>
      <c r="Y2820" t="s">
        <v>767</v>
      </c>
      <c r="Z2820" t="s">
        <v>354</v>
      </c>
      <c r="AA2820" t="s">
        <v>355</v>
      </c>
      <c r="AB2820" t="s">
        <v>131</v>
      </c>
      <c r="AC2820" t="s">
        <v>51</v>
      </c>
      <c r="AD2820" t="s">
        <v>45</v>
      </c>
      <c r="AE2820" s="1">
        <v>27011</v>
      </c>
      <c r="AF2820">
        <v>1</v>
      </c>
      <c r="AG2820" t="s">
        <v>355</v>
      </c>
      <c r="AH2820" s="36">
        <f t="shared" si="44"/>
        <v>45.68333333333333</v>
      </c>
      <c r="AI2820" s="41" t="s">
        <v>1780</v>
      </c>
    </row>
    <row r="2821" spans="1:35" x14ac:dyDescent="0.25">
      <c r="A2821" s="36">
        <v>99912819</v>
      </c>
      <c r="B2821" s="17" t="s">
        <v>56</v>
      </c>
      <c r="C2821" t="s">
        <v>79</v>
      </c>
      <c r="D2821" t="s">
        <v>80</v>
      </c>
      <c r="G2821" s="17" t="s">
        <v>35</v>
      </c>
      <c r="H2821" s="17">
        <v>1</v>
      </c>
      <c r="K2821" t="s">
        <v>154</v>
      </c>
      <c r="L2821" t="s">
        <v>155</v>
      </c>
      <c r="M2821" t="s">
        <v>131</v>
      </c>
      <c r="N2821">
        <v>22</v>
      </c>
      <c r="O2821" t="s">
        <v>40</v>
      </c>
      <c r="P2821" t="s">
        <v>40</v>
      </c>
      <c r="Q2821" t="s">
        <v>40</v>
      </c>
      <c r="S2821" t="s">
        <v>40</v>
      </c>
      <c r="V2821" t="s">
        <v>41</v>
      </c>
      <c r="W2821" t="s">
        <v>75</v>
      </c>
      <c r="X2821" t="str">
        <f>"7700026"</f>
        <v>7700026</v>
      </c>
      <c r="Y2821" t="s">
        <v>397</v>
      </c>
      <c r="Z2821" t="s">
        <v>154</v>
      </c>
      <c r="AA2821" t="s">
        <v>155</v>
      </c>
      <c r="AB2821" t="s">
        <v>131</v>
      </c>
      <c r="AC2821" t="s">
        <v>51</v>
      </c>
      <c r="AD2821" t="s">
        <v>45</v>
      </c>
      <c r="AE2821" s="1">
        <v>27003</v>
      </c>
      <c r="AF2821">
        <v>1</v>
      </c>
      <c r="AG2821" t="s">
        <v>155</v>
      </c>
      <c r="AH2821" s="36">
        <f t="shared" si="44"/>
        <v>45.705555555555556</v>
      </c>
      <c r="AI2821" s="41" t="s">
        <v>1780</v>
      </c>
    </row>
    <row r="2822" spans="1:35" x14ac:dyDescent="0.25">
      <c r="A2822" s="36">
        <v>99912820</v>
      </c>
      <c r="B2822" s="17" t="s">
        <v>32</v>
      </c>
      <c r="C2822" t="s">
        <v>139</v>
      </c>
      <c r="D2822" t="s">
        <v>140</v>
      </c>
      <c r="G2822" s="17" t="s">
        <v>35</v>
      </c>
      <c r="H2822" s="17">
        <v>1</v>
      </c>
      <c r="K2822" t="s">
        <v>345</v>
      </c>
      <c r="L2822" t="s">
        <v>346</v>
      </c>
      <c r="M2822" t="s">
        <v>131</v>
      </c>
      <c r="N2822">
        <v>23</v>
      </c>
      <c r="O2822" t="s">
        <v>40</v>
      </c>
      <c r="P2822" t="s">
        <v>40</v>
      </c>
      <c r="Q2822" t="s">
        <v>40</v>
      </c>
      <c r="S2822" t="s">
        <v>40</v>
      </c>
      <c r="V2822" t="s">
        <v>41</v>
      </c>
      <c r="W2822" t="s">
        <v>49</v>
      </c>
      <c r="X2822" t="str">
        <f>"0560007"</f>
        <v>0560007</v>
      </c>
      <c r="Y2822" t="s">
        <v>357</v>
      </c>
      <c r="Z2822" t="s">
        <v>345</v>
      </c>
      <c r="AA2822" t="s">
        <v>346</v>
      </c>
      <c r="AB2822" t="s">
        <v>131</v>
      </c>
      <c r="AC2822" t="s">
        <v>51</v>
      </c>
      <c r="AD2822" t="s">
        <v>45</v>
      </c>
      <c r="AE2822" s="1">
        <v>27001</v>
      </c>
      <c r="AF2822">
        <v>2</v>
      </c>
      <c r="AG2822" t="s">
        <v>346</v>
      </c>
      <c r="AH2822" s="36">
        <f t="shared" si="44"/>
        <v>45.711111111111109</v>
      </c>
      <c r="AI2822" s="41" t="s">
        <v>1780</v>
      </c>
    </row>
    <row r="2823" spans="1:35" x14ac:dyDescent="0.25">
      <c r="A2823" s="36">
        <v>99912821</v>
      </c>
      <c r="B2823" s="17" t="s">
        <v>32</v>
      </c>
      <c r="C2823" t="s">
        <v>139</v>
      </c>
      <c r="D2823" t="s">
        <v>140</v>
      </c>
      <c r="G2823" s="17" t="s">
        <v>35</v>
      </c>
      <c r="H2823" s="17">
        <v>6</v>
      </c>
      <c r="K2823" t="s">
        <v>268</v>
      </c>
      <c r="L2823" t="s">
        <v>269</v>
      </c>
      <c r="M2823" t="s">
        <v>131</v>
      </c>
      <c r="N2823">
        <v>24</v>
      </c>
      <c r="O2823" t="s">
        <v>40</v>
      </c>
      <c r="P2823" t="s">
        <v>40</v>
      </c>
      <c r="Q2823" t="s">
        <v>40</v>
      </c>
      <c r="R2823" t="s">
        <v>40</v>
      </c>
      <c r="S2823" t="s">
        <v>40</v>
      </c>
      <c r="V2823" t="s">
        <v>41</v>
      </c>
      <c r="W2823" t="s">
        <v>75</v>
      </c>
      <c r="X2823" t="str">
        <f>"7052004"</f>
        <v>7052004</v>
      </c>
      <c r="Y2823" t="s">
        <v>584</v>
      </c>
      <c r="Z2823" t="s">
        <v>268</v>
      </c>
      <c r="AA2823" t="s">
        <v>269</v>
      </c>
      <c r="AB2823" t="s">
        <v>131</v>
      </c>
      <c r="AC2823" t="s">
        <v>51</v>
      </c>
      <c r="AD2823" t="s">
        <v>45</v>
      </c>
      <c r="AE2823" s="1">
        <v>27001</v>
      </c>
      <c r="AF2823">
        <v>1</v>
      </c>
      <c r="AG2823" t="s">
        <v>269</v>
      </c>
      <c r="AH2823" s="36">
        <f t="shared" si="44"/>
        <v>45.711111111111109</v>
      </c>
      <c r="AI2823" s="41" t="s">
        <v>1780</v>
      </c>
    </row>
    <row r="2824" spans="1:35" x14ac:dyDescent="0.25">
      <c r="A2824" s="36">
        <v>99912822</v>
      </c>
      <c r="B2824" s="17" t="s">
        <v>32</v>
      </c>
      <c r="C2824" t="s">
        <v>141</v>
      </c>
      <c r="D2824" t="s">
        <v>142</v>
      </c>
      <c r="G2824" s="17" t="s">
        <v>35</v>
      </c>
      <c r="H2824" s="17">
        <v>11</v>
      </c>
      <c r="K2824" t="s">
        <v>268</v>
      </c>
      <c r="L2824" t="s">
        <v>269</v>
      </c>
      <c r="M2824" t="s">
        <v>131</v>
      </c>
      <c r="N2824">
        <v>21</v>
      </c>
      <c r="O2824" t="s">
        <v>40</v>
      </c>
      <c r="P2824" t="s">
        <v>40</v>
      </c>
      <c r="Q2824" t="s">
        <v>40</v>
      </c>
      <c r="R2824" t="s">
        <v>40</v>
      </c>
      <c r="S2824" t="s">
        <v>40</v>
      </c>
      <c r="V2824" t="s">
        <v>41</v>
      </c>
      <c r="W2824" t="s">
        <v>75</v>
      </c>
      <c r="X2824" t="str">
        <f>"7052004"</f>
        <v>7052004</v>
      </c>
      <c r="Y2824" t="s">
        <v>584</v>
      </c>
      <c r="Z2824" t="s">
        <v>268</v>
      </c>
      <c r="AA2824" t="s">
        <v>269</v>
      </c>
      <c r="AB2824" t="s">
        <v>131</v>
      </c>
      <c r="AC2824" t="s">
        <v>165</v>
      </c>
      <c r="AD2824" t="s">
        <v>45</v>
      </c>
      <c r="AE2824" s="1">
        <v>26999</v>
      </c>
      <c r="AF2824">
        <v>1</v>
      </c>
      <c r="AG2824" t="s">
        <v>269</v>
      </c>
      <c r="AH2824" s="36">
        <f t="shared" si="44"/>
        <v>45.716666666666669</v>
      </c>
      <c r="AI2824" s="41" t="s">
        <v>1780</v>
      </c>
    </row>
    <row r="2825" spans="1:35" x14ac:dyDescent="0.25">
      <c r="A2825" s="36">
        <v>99912823</v>
      </c>
      <c r="B2825" s="17" t="s">
        <v>32</v>
      </c>
      <c r="C2825" t="s">
        <v>90</v>
      </c>
      <c r="D2825" t="s">
        <v>91</v>
      </c>
      <c r="G2825" s="17" t="s">
        <v>48</v>
      </c>
      <c r="H2825" s="17">
        <v>1</v>
      </c>
      <c r="K2825" t="s">
        <v>985</v>
      </c>
      <c r="L2825" t="s">
        <v>986</v>
      </c>
      <c r="M2825" t="s">
        <v>938</v>
      </c>
      <c r="N2825">
        <v>6</v>
      </c>
      <c r="O2825" t="s">
        <v>40</v>
      </c>
      <c r="P2825" t="s">
        <v>40</v>
      </c>
      <c r="Q2825" t="s">
        <v>40</v>
      </c>
      <c r="S2825" t="s">
        <v>40</v>
      </c>
      <c r="V2825" t="s">
        <v>41</v>
      </c>
      <c r="W2825" t="s">
        <v>95</v>
      </c>
      <c r="X2825" t="str">
        <f>"7011005"</f>
        <v>7011005</v>
      </c>
      <c r="Y2825" t="s">
        <v>992</v>
      </c>
      <c r="Z2825" t="s">
        <v>985</v>
      </c>
      <c r="AA2825" t="s">
        <v>986</v>
      </c>
      <c r="AB2825" t="s">
        <v>938</v>
      </c>
      <c r="AC2825" t="s">
        <v>51</v>
      </c>
      <c r="AD2825" t="s">
        <v>45</v>
      </c>
      <c r="AE2825" s="1">
        <v>26996</v>
      </c>
      <c r="AF2825">
        <v>1</v>
      </c>
      <c r="AG2825" t="s">
        <v>986</v>
      </c>
      <c r="AH2825" s="36">
        <f t="shared" si="44"/>
        <v>45.725000000000001</v>
      </c>
      <c r="AI2825" s="41" t="s">
        <v>1780</v>
      </c>
    </row>
    <row r="2826" spans="1:35" x14ac:dyDescent="0.25">
      <c r="A2826" s="36">
        <v>99912824</v>
      </c>
      <c r="B2826" s="17" t="s">
        <v>32</v>
      </c>
      <c r="C2826" t="s">
        <v>64</v>
      </c>
      <c r="D2826" t="s">
        <v>65</v>
      </c>
      <c r="G2826" s="17" t="s">
        <v>35</v>
      </c>
      <c r="H2826" s="17">
        <v>1</v>
      </c>
      <c r="I2826">
        <v>0</v>
      </c>
      <c r="J2826" s="1">
        <v>43344</v>
      </c>
      <c r="K2826" t="s">
        <v>223</v>
      </c>
      <c r="L2826" t="s">
        <v>224</v>
      </c>
      <c r="M2826" t="s">
        <v>131</v>
      </c>
      <c r="N2826">
        <v>21</v>
      </c>
      <c r="O2826" t="s">
        <v>40</v>
      </c>
      <c r="S2826" t="s">
        <v>40</v>
      </c>
      <c r="U2826" s="1">
        <v>43344</v>
      </c>
      <c r="V2826" t="s">
        <v>41</v>
      </c>
      <c r="W2826" t="s">
        <v>42</v>
      </c>
      <c r="X2826" t="str">
        <f>"0580206"</f>
        <v>0580206</v>
      </c>
      <c r="Y2826" t="s">
        <v>237</v>
      </c>
      <c r="Z2826" t="s">
        <v>223</v>
      </c>
      <c r="AA2826" t="s">
        <v>224</v>
      </c>
      <c r="AB2826" t="s">
        <v>131</v>
      </c>
      <c r="AC2826" t="s">
        <v>51</v>
      </c>
      <c r="AD2826" t="s">
        <v>45</v>
      </c>
      <c r="AE2826" s="1">
        <v>26993</v>
      </c>
      <c r="AF2826">
        <v>2</v>
      </c>
      <c r="AG2826" t="s">
        <v>224</v>
      </c>
      <c r="AH2826" s="36">
        <f t="shared" si="44"/>
        <v>45.733333333333334</v>
      </c>
      <c r="AI2826" s="41" t="s">
        <v>1780</v>
      </c>
    </row>
    <row r="2827" spans="1:35" x14ac:dyDescent="0.25">
      <c r="A2827" s="36">
        <v>99912825</v>
      </c>
      <c r="B2827" s="17" t="s">
        <v>56</v>
      </c>
      <c r="C2827" t="s">
        <v>68</v>
      </c>
      <c r="D2827" t="s">
        <v>69</v>
      </c>
      <c r="G2827" s="17" t="s">
        <v>48</v>
      </c>
      <c r="H2827" s="17">
        <v>1</v>
      </c>
      <c r="K2827" t="s">
        <v>300</v>
      </c>
      <c r="L2827" t="s">
        <v>301</v>
      </c>
      <c r="M2827" t="s">
        <v>131</v>
      </c>
      <c r="N2827">
        <v>23</v>
      </c>
      <c r="O2827" t="s">
        <v>40</v>
      </c>
      <c r="P2827" t="s">
        <v>40</v>
      </c>
      <c r="Q2827" t="s">
        <v>40</v>
      </c>
      <c r="R2827" t="s">
        <v>40</v>
      </c>
      <c r="S2827" t="s">
        <v>40</v>
      </c>
      <c r="V2827" t="s">
        <v>41</v>
      </c>
      <c r="W2827" t="s">
        <v>42</v>
      </c>
      <c r="X2827" t="str">
        <f>"0580176"</f>
        <v>0580176</v>
      </c>
      <c r="Y2827" t="s">
        <v>305</v>
      </c>
      <c r="Z2827" t="s">
        <v>300</v>
      </c>
      <c r="AA2827" t="s">
        <v>301</v>
      </c>
      <c r="AB2827" t="s">
        <v>131</v>
      </c>
      <c r="AC2827" t="s">
        <v>51</v>
      </c>
      <c r="AD2827" t="s">
        <v>45</v>
      </c>
      <c r="AE2827" s="1">
        <v>26991</v>
      </c>
      <c r="AF2827">
        <v>2</v>
      </c>
      <c r="AG2827" t="s">
        <v>301</v>
      </c>
      <c r="AH2827" s="36">
        <f t="shared" si="44"/>
        <v>45.738888888888887</v>
      </c>
      <c r="AI2827" s="41" t="s">
        <v>1780</v>
      </c>
    </row>
    <row r="2828" spans="1:35" x14ac:dyDescent="0.25">
      <c r="A2828" s="36">
        <v>99912826</v>
      </c>
      <c r="B2828" s="17" t="s">
        <v>56</v>
      </c>
      <c r="C2828" t="s">
        <v>85</v>
      </c>
      <c r="D2828" t="s">
        <v>86</v>
      </c>
      <c r="G2828" s="17" t="s">
        <v>48</v>
      </c>
      <c r="H2828" s="17">
        <v>2</v>
      </c>
      <c r="K2828" t="s">
        <v>129</v>
      </c>
      <c r="L2828" t="s">
        <v>130</v>
      </c>
      <c r="M2828" t="s">
        <v>131</v>
      </c>
      <c r="N2828">
        <v>5</v>
      </c>
      <c r="O2828" t="s">
        <v>40</v>
      </c>
      <c r="P2828" t="s">
        <v>40</v>
      </c>
      <c r="Q2828" t="s">
        <v>40</v>
      </c>
      <c r="R2828" t="s">
        <v>40</v>
      </c>
      <c r="S2828" t="s">
        <v>40</v>
      </c>
      <c r="V2828" t="s">
        <v>41</v>
      </c>
      <c r="W2828" t="s">
        <v>42</v>
      </c>
      <c r="X2828" t="str">
        <f>"0590905"</f>
        <v>0590905</v>
      </c>
      <c r="Y2828" t="s">
        <v>133</v>
      </c>
      <c r="Z2828" t="s">
        <v>129</v>
      </c>
      <c r="AA2828" t="s">
        <v>130</v>
      </c>
      <c r="AB2828" t="s">
        <v>131</v>
      </c>
      <c r="AC2828" t="s">
        <v>51</v>
      </c>
      <c r="AD2828" t="s">
        <v>45</v>
      </c>
      <c r="AE2828" s="1">
        <v>26989</v>
      </c>
      <c r="AF2828">
        <v>2</v>
      </c>
      <c r="AG2828" t="s">
        <v>130</v>
      </c>
      <c r="AH2828" s="36">
        <f t="shared" si="44"/>
        <v>45.744444444444447</v>
      </c>
      <c r="AI2828" s="41" t="s">
        <v>1780</v>
      </c>
    </row>
    <row r="2829" spans="1:35" x14ac:dyDescent="0.25">
      <c r="A2829" s="36">
        <v>99912827</v>
      </c>
      <c r="B2829" s="17" t="s">
        <v>32</v>
      </c>
      <c r="C2829" t="s">
        <v>139</v>
      </c>
      <c r="D2829" t="s">
        <v>140</v>
      </c>
      <c r="G2829" s="17" t="s">
        <v>48</v>
      </c>
      <c r="H2829" s="17">
        <v>1</v>
      </c>
      <c r="K2829" t="s">
        <v>129</v>
      </c>
      <c r="L2829" t="s">
        <v>130</v>
      </c>
      <c r="M2829" t="s">
        <v>131</v>
      </c>
      <c r="N2829">
        <v>21</v>
      </c>
      <c r="O2829" t="s">
        <v>40</v>
      </c>
      <c r="P2829" t="s">
        <v>40</v>
      </c>
      <c r="Q2829" t="s">
        <v>40</v>
      </c>
      <c r="R2829" t="s">
        <v>40</v>
      </c>
      <c r="S2829" t="s">
        <v>40</v>
      </c>
      <c r="V2829" t="s">
        <v>41</v>
      </c>
      <c r="W2829" t="s">
        <v>49</v>
      </c>
      <c r="X2829" t="str">
        <f>"0591905"</f>
        <v>0591905</v>
      </c>
      <c r="Y2829" t="s">
        <v>135</v>
      </c>
      <c r="Z2829" t="s">
        <v>129</v>
      </c>
      <c r="AA2829" t="s">
        <v>130</v>
      </c>
      <c r="AB2829" t="s">
        <v>131</v>
      </c>
      <c r="AC2829" t="s">
        <v>51</v>
      </c>
      <c r="AD2829" t="s">
        <v>45</v>
      </c>
      <c r="AE2829" s="1">
        <v>26989</v>
      </c>
      <c r="AF2829">
        <v>2</v>
      </c>
      <c r="AG2829" t="s">
        <v>130</v>
      </c>
      <c r="AH2829" s="36">
        <f t="shared" si="44"/>
        <v>45.744444444444447</v>
      </c>
      <c r="AI2829" s="41" t="s">
        <v>1780</v>
      </c>
    </row>
    <row r="2830" spans="1:35" x14ac:dyDescent="0.25">
      <c r="A2830" s="36">
        <v>99912828</v>
      </c>
      <c r="B2830" s="17" t="s">
        <v>32</v>
      </c>
      <c r="C2830" t="s">
        <v>111</v>
      </c>
      <c r="D2830" t="s">
        <v>112</v>
      </c>
      <c r="G2830" s="17" t="s">
        <v>35</v>
      </c>
      <c r="H2830" s="17">
        <v>10</v>
      </c>
      <c r="K2830" t="s">
        <v>268</v>
      </c>
      <c r="L2830" t="s">
        <v>269</v>
      </c>
      <c r="M2830" t="s">
        <v>131</v>
      </c>
      <c r="N2830">
        <v>21</v>
      </c>
      <c r="O2830" t="s">
        <v>40</v>
      </c>
      <c r="P2830" t="s">
        <v>40</v>
      </c>
      <c r="Q2830" t="s">
        <v>40</v>
      </c>
      <c r="R2830" t="s">
        <v>40</v>
      </c>
      <c r="S2830" t="s">
        <v>40</v>
      </c>
      <c r="V2830" t="s">
        <v>41</v>
      </c>
      <c r="W2830" t="s">
        <v>75</v>
      </c>
      <c r="X2830" t="str">
        <f>"7052004"</f>
        <v>7052004</v>
      </c>
      <c r="Y2830" t="s">
        <v>584</v>
      </c>
      <c r="Z2830" t="s">
        <v>268</v>
      </c>
      <c r="AA2830" t="s">
        <v>269</v>
      </c>
      <c r="AB2830" t="s">
        <v>131</v>
      </c>
      <c r="AC2830" t="s">
        <v>165</v>
      </c>
      <c r="AD2830" t="s">
        <v>45</v>
      </c>
      <c r="AE2830" s="1">
        <v>26989</v>
      </c>
      <c r="AF2830">
        <v>1</v>
      </c>
      <c r="AG2830" t="s">
        <v>269</v>
      </c>
      <c r="AH2830" s="36">
        <f t="shared" si="44"/>
        <v>45.744444444444447</v>
      </c>
      <c r="AI2830" s="41" t="s">
        <v>1780</v>
      </c>
    </row>
    <row r="2831" spans="1:35" x14ac:dyDescent="0.25">
      <c r="A2831" s="36">
        <v>99912829</v>
      </c>
      <c r="B2831" s="17" t="s">
        <v>32</v>
      </c>
      <c r="C2831" t="s">
        <v>90</v>
      </c>
      <c r="D2831" t="s">
        <v>91</v>
      </c>
      <c r="G2831" s="17" t="s">
        <v>48</v>
      </c>
      <c r="H2831" s="17">
        <v>4</v>
      </c>
      <c r="I2831" t="s">
        <v>1015</v>
      </c>
      <c r="J2831" s="1">
        <v>43344</v>
      </c>
      <c r="K2831" t="s">
        <v>963</v>
      </c>
      <c r="L2831" t="s">
        <v>964</v>
      </c>
      <c r="M2831" t="s">
        <v>938</v>
      </c>
      <c r="N2831">
        <v>25</v>
      </c>
      <c r="O2831" t="s">
        <v>40</v>
      </c>
      <c r="P2831" t="s">
        <v>40</v>
      </c>
      <c r="Q2831" t="s">
        <v>40</v>
      </c>
      <c r="R2831" t="s">
        <v>40</v>
      </c>
      <c r="S2831" t="s">
        <v>40</v>
      </c>
      <c r="U2831" s="1">
        <v>43344</v>
      </c>
      <c r="V2831" t="s">
        <v>41</v>
      </c>
      <c r="W2831" t="s">
        <v>95</v>
      </c>
      <c r="X2831" t="str">
        <f>"7061015"</f>
        <v>7061015</v>
      </c>
      <c r="Y2831" t="s">
        <v>1016</v>
      </c>
      <c r="Z2831" t="s">
        <v>963</v>
      </c>
      <c r="AA2831" t="s">
        <v>964</v>
      </c>
      <c r="AB2831" t="s">
        <v>938</v>
      </c>
      <c r="AC2831" t="s">
        <v>51</v>
      </c>
      <c r="AD2831" t="s">
        <v>45</v>
      </c>
      <c r="AE2831" s="1">
        <v>26986</v>
      </c>
      <c r="AF2831">
        <v>1</v>
      </c>
      <c r="AG2831" t="s">
        <v>964</v>
      </c>
      <c r="AH2831" s="36">
        <f t="shared" si="44"/>
        <v>45.75277777777778</v>
      </c>
      <c r="AI2831" s="41" t="s">
        <v>1780</v>
      </c>
    </row>
    <row r="2832" spans="1:35" x14ac:dyDescent="0.25">
      <c r="A2832" s="36">
        <v>99912830</v>
      </c>
      <c r="B2832" s="17" t="s">
        <v>32</v>
      </c>
      <c r="C2832" t="s">
        <v>46</v>
      </c>
      <c r="D2832" t="s">
        <v>47</v>
      </c>
      <c r="G2832" s="17" t="s">
        <v>35</v>
      </c>
      <c r="H2832" s="17">
        <v>1</v>
      </c>
      <c r="K2832" t="s">
        <v>1268</v>
      </c>
      <c r="L2832" t="s">
        <v>1269</v>
      </c>
      <c r="M2832" t="s">
        <v>1270</v>
      </c>
      <c r="N2832">
        <v>20</v>
      </c>
      <c r="O2832" t="s">
        <v>40</v>
      </c>
      <c r="P2832" t="s">
        <v>40</v>
      </c>
      <c r="Q2832" t="s">
        <v>40</v>
      </c>
      <c r="S2832" t="s">
        <v>40</v>
      </c>
      <c r="V2832" t="s">
        <v>41</v>
      </c>
      <c r="W2832" t="s">
        <v>922</v>
      </c>
      <c r="X2832" t="str">
        <f>"1950001"</f>
        <v>1950001</v>
      </c>
      <c r="Y2832" t="s">
        <v>1284</v>
      </c>
      <c r="Z2832" t="s">
        <v>1268</v>
      </c>
      <c r="AA2832" t="s">
        <v>1269</v>
      </c>
      <c r="AB2832" t="s">
        <v>1270</v>
      </c>
      <c r="AC2832" t="s">
        <v>51</v>
      </c>
      <c r="AD2832" t="s">
        <v>45</v>
      </c>
      <c r="AE2832" s="1">
        <v>26986</v>
      </c>
      <c r="AF2832">
        <v>2</v>
      </c>
      <c r="AG2832" t="s">
        <v>1269</v>
      </c>
      <c r="AH2832" s="36">
        <f t="shared" si="44"/>
        <v>45.75277777777778</v>
      </c>
      <c r="AI2832" s="41" t="s">
        <v>1780</v>
      </c>
    </row>
    <row r="2833" spans="1:37" x14ac:dyDescent="0.25">
      <c r="A2833" s="36">
        <v>99912831</v>
      </c>
      <c r="B2833" s="17" t="s">
        <v>56</v>
      </c>
      <c r="C2833" t="s">
        <v>79</v>
      </c>
      <c r="D2833" t="s">
        <v>80</v>
      </c>
      <c r="G2833" s="17" t="s">
        <v>35</v>
      </c>
      <c r="H2833" s="17">
        <v>4</v>
      </c>
      <c r="K2833" t="s">
        <v>268</v>
      </c>
      <c r="L2833" t="s">
        <v>269</v>
      </c>
      <c r="M2833" t="s">
        <v>131</v>
      </c>
      <c r="N2833">
        <v>24</v>
      </c>
      <c r="O2833" t="s">
        <v>40</v>
      </c>
      <c r="P2833" t="s">
        <v>40</v>
      </c>
      <c r="Q2833" t="s">
        <v>40</v>
      </c>
      <c r="R2833" t="s">
        <v>40</v>
      </c>
      <c r="S2833" t="s">
        <v>40</v>
      </c>
      <c r="V2833" t="s">
        <v>41</v>
      </c>
      <c r="W2833" t="s">
        <v>75</v>
      </c>
      <c r="X2833" t="str">
        <f>"7052002"</f>
        <v>7052002</v>
      </c>
      <c r="Y2833" t="s">
        <v>590</v>
      </c>
      <c r="Z2833" t="s">
        <v>268</v>
      </c>
      <c r="AA2833" t="s">
        <v>269</v>
      </c>
      <c r="AB2833" t="s">
        <v>131</v>
      </c>
      <c r="AC2833" t="s">
        <v>51</v>
      </c>
      <c r="AD2833" t="s">
        <v>45</v>
      </c>
      <c r="AE2833" s="1">
        <v>26983</v>
      </c>
      <c r="AF2833">
        <v>1</v>
      </c>
      <c r="AG2833" t="s">
        <v>269</v>
      </c>
      <c r="AH2833" s="36">
        <f t="shared" si="44"/>
        <v>45.761111111111113</v>
      </c>
      <c r="AI2833" s="41" t="s">
        <v>1780</v>
      </c>
    </row>
    <row r="2834" spans="1:37" x14ac:dyDescent="0.25">
      <c r="A2834" s="36">
        <v>99912832</v>
      </c>
      <c r="B2834" s="17" t="s">
        <v>56</v>
      </c>
      <c r="C2834" t="s">
        <v>111</v>
      </c>
      <c r="D2834" t="s">
        <v>112</v>
      </c>
      <c r="G2834" s="17" t="s">
        <v>48</v>
      </c>
      <c r="H2834" s="17">
        <v>9</v>
      </c>
      <c r="K2834" t="s">
        <v>354</v>
      </c>
      <c r="L2834" t="s">
        <v>355</v>
      </c>
      <c r="M2834" t="s">
        <v>131</v>
      </c>
      <c r="N2834">
        <v>22</v>
      </c>
      <c r="O2834" t="s">
        <v>40</v>
      </c>
      <c r="P2834" t="s">
        <v>40</v>
      </c>
      <c r="Q2834" t="s">
        <v>40</v>
      </c>
      <c r="R2834" t="s">
        <v>40</v>
      </c>
      <c r="S2834" t="s">
        <v>40</v>
      </c>
      <c r="V2834" t="s">
        <v>41</v>
      </c>
      <c r="W2834" t="s">
        <v>75</v>
      </c>
      <c r="X2834" t="str">
        <f>"7054022"</f>
        <v>7054022</v>
      </c>
      <c r="Y2834" t="s">
        <v>770</v>
      </c>
      <c r="Z2834" t="s">
        <v>354</v>
      </c>
      <c r="AA2834" t="s">
        <v>355</v>
      </c>
      <c r="AB2834" t="s">
        <v>131</v>
      </c>
      <c r="AC2834" t="s">
        <v>51</v>
      </c>
      <c r="AD2834" t="s">
        <v>45</v>
      </c>
      <c r="AE2834" s="1">
        <v>26983</v>
      </c>
      <c r="AF2834">
        <v>1</v>
      </c>
      <c r="AG2834" t="s">
        <v>355</v>
      </c>
      <c r="AH2834" s="36">
        <f t="shared" si="44"/>
        <v>45.761111111111113</v>
      </c>
      <c r="AI2834" s="41" t="s">
        <v>1780</v>
      </c>
    </row>
    <row r="2835" spans="1:37" x14ac:dyDescent="0.25">
      <c r="A2835" s="36">
        <v>99912833</v>
      </c>
      <c r="B2835" s="17" t="s">
        <v>32</v>
      </c>
      <c r="C2835" t="s">
        <v>61</v>
      </c>
      <c r="D2835" t="s">
        <v>62</v>
      </c>
      <c r="G2835" s="17" t="s">
        <v>48</v>
      </c>
      <c r="H2835" s="17">
        <v>10</v>
      </c>
      <c r="K2835" t="s">
        <v>1268</v>
      </c>
      <c r="L2835" t="s">
        <v>1269</v>
      </c>
      <c r="M2835" t="s">
        <v>1270</v>
      </c>
      <c r="N2835">
        <v>20</v>
      </c>
      <c r="O2835" t="s">
        <v>40</v>
      </c>
      <c r="P2835" t="s">
        <v>40</v>
      </c>
      <c r="Q2835" t="s">
        <v>40</v>
      </c>
      <c r="R2835" t="s">
        <v>40</v>
      </c>
      <c r="S2835" t="s">
        <v>40</v>
      </c>
      <c r="U2835" s="1">
        <v>43344</v>
      </c>
      <c r="V2835" t="s">
        <v>41</v>
      </c>
      <c r="W2835" t="s">
        <v>42</v>
      </c>
      <c r="X2835" t="str">
        <f>"1980055"</f>
        <v>1980055</v>
      </c>
      <c r="Y2835" t="s">
        <v>1285</v>
      </c>
      <c r="Z2835" t="s">
        <v>1268</v>
      </c>
      <c r="AA2835" t="s">
        <v>1269</v>
      </c>
      <c r="AB2835" t="s">
        <v>1270</v>
      </c>
      <c r="AC2835" t="s">
        <v>165</v>
      </c>
      <c r="AD2835" t="s">
        <v>45</v>
      </c>
      <c r="AE2835" s="1">
        <v>26982</v>
      </c>
      <c r="AF2835">
        <v>2</v>
      </c>
      <c r="AG2835" t="s">
        <v>1269</v>
      </c>
      <c r="AH2835" s="36">
        <f t="shared" si="44"/>
        <v>45.763888888888886</v>
      </c>
      <c r="AI2835" s="41" t="s">
        <v>1780</v>
      </c>
    </row>
    <row r="2836" spans="1:37" x14ac:dyDescent="0.25">
      <c r="A2836" s="36">
        <v>99912834</v>
      </c>
      <c r="B2836" s="17" t="s">
        <v>56</v>
      </c>
      <c r="C2836" t="s">
        <v>33</v>
      </c>
      <c r="D2836" t="s">
        <v>34</v>
      </c>
      <c r="G2836" s="17" t="s">
        <v>48</v>
      </c>
      <c r="H2836" s="17">
        <v>1</v>
      </c>
      <c r="K2836" t="s">
        <v>300</v>
      </c>
      <c r="L2836" t="s">
        <v>301</v>
      </c>
      <c r="M2836" t="s">
        <v>131</v>
      </c>
      <c r="N2836">
        <v>16</v>
      </c>
      <c r="O2836" t="s">
        <v>40</v>
      </c>
      <c r="P2836" t="s">
        <v>40</v>
      </c>
      <c r="Q2836" t="s">
        <v>40</v>
      </c>
      <c r="R2836" t="s">
        <v>40</v>
      </c>
      <c r="S2836" t="s">
        <v>40</v>
      </c>
      <c r="V2836" t="s">
        <v>41</v>
      </c>
      <c r="W2836" t="s">
        <v>42</v>
      </c>
      <c r="X2836" t="str">
        <f>"0580176"</f>
        <v>0580176</v>
      </c>
      <c r="Y2836" t="s">
        <v>305</v>
      </c>
      <c r="Z2836" t="s">
        <v>300</v>
      </c>
      <c r="AA2836" t="s">
        <v>301</v>
      </c>
      <c r="AB2836" t="s">
        <v>131</v>
      </c>
      <c r="AC2836" t="s">
        <v>51</v>
      </c>
      <c r="AD2836" t="s">
        <v>45</v>
      </c>
      <c r="AE2836" s="1">
        <v>26981</v>
      </c>
      <c r="AF2836">
        <v>2</v>
      </c>
      <c r="AG2836" t="s">
        <v>301</v>
      </c>
      <c r="AH2836" s="36">
        <f t="shared" si="44"/>
        <v>45.766666666666666</v>
      </c>
      <c r="AI2836" s="41" t="s">
        <v>1780</v>
      </c>
    </row>
    <row r="2837" spans="1:37" x14ac:dyDescent="0.25">
      <c r="A2837" s="36">
        <v>99912835</v>
      </c>
      <c r="B2837" s="17" t="s">
        <v>32</v>
      </c>
      <c r="C2837" t="s">
        <v>90</v>
      </c>
      <c r="D2837" t="s">
        <v>91</v>
      </c>
      <c r="G2837" s="17" t="s">
        <v>35</v>
      </c>
      <c r="H2837" s="17">
        <v>1</v>
      </c>
      <c r="K2837" t="s">
        <v>195</v>
      </c>
      <c r="L2837" t="s">
        <v>196</v>
      </c>
      <c r="M2837" t="s">
        <v>131</v>
      </c>
      <c r="N2837">
        <v>25</v>
      </c>
      <c r="O2837" t="s">
        <v>40</v>
      </c>
      <c r="P2837" t="s">
        <v>40</v>
      </c>
      <c r="Q2837" t="s">
        <v>40</v>
      </c>
      <c r="S2837" t="s">
        <v>40</v>
      </c>
      <c r="V2837" t="s">
        <v>41</v>
      </c>
      <c r="W2837" t="s">
        <v>95</v>
      </c>
      <c r="X2837" t="str">
        <f>"7521107"</f>
        <v>7521107</v>
      </c>
      <c r="Y2837" t="s">
        <v>471</v>
      </c>
      <c r="Z2837" t="s">
        <v>195</v>
      </c>
      <c r="AA2837" t="s">
        <v>196</v>
      </c>
      <c r="AB2837" t="s">
        <v>131</v>
      </c>
      <c r="AC2837" t="s">
        <v>165</v>
      </c>
      <c r="AD2837" t="s">
        <v>45</v>
      </c>
      <c r="AE2837" s="1">
        <v>26980</v>
      </c>
      <c r="AF2837">
        <v>1</v>
      </c>
      <c r="AG2837" t="s">
        <v>196</v>
      </c>
      <c r="AH2837" s="36">
        <f t="shared" si="44"/>
        <v>45.769444444444446</v>
      </c>
      <c r="AI2837" s="41" t="s">
        <v>1780</v>
      </c>
    </row>
    <row r="2838" spans="1:37" x14ac:dyDescent="0.25">
      <c r="A2838" s="36">
        <v>99912836</v>
      </c>
      <c r="B2838" s="17" t="s">
        <v>56</v>
      </c>
      <c r="C2838" t="s">
        <v>79</v>
      </c>
      <c r="D2838" t="s">
        <v>80</v>
      </c>
      <c r="G2838" s="17" t="s">
        <v>48</v>
      </c>
      <c r="H2838" s="17">
        <v>1</v>
      </c>
      <c r="K2838" t="s">
        <v>223</v>
      </c>
      <c r="L2838" t="s">
        <v>224</v>
      </c>
      <c r="M2838" t="s">
        <v>131</v>
      </c>
      <c r="N2838">
        <v>20</v>
      </c>
      <c r="O2838" t="s">
        <v>40</v>
      </c>
      <c r="P2838" t="s">
        <v>40</v>
      </c>
      <c r="Q2838" t="s">
        <v>40</v>
      </c>
      <c r="S2838" t="s">
        <v>40</v>
      </c>
      <c r="V2838" t="s">
        <v>41</v>
      </c>
      <c r="W2838" t="s">
        <v>49</v>
      </c>
      <c r="X2838" t="str">
        <f>"0581206"</f>
        <v>0581206</v>
      </c>
      <c r="Y2838" t="s">
        <v>232</v>
      </c>
      <c r="Z2838" t="s">
        <v>223</v>
      </c>
      <c r="AA2838" t="s">
        <v>224</v>
      </c>
      <c r="AB2838" t="s">
        <v>131</v>
      </c>
      <c r="AC2838" t="s">
        <v>51</v>
      </c>
      <c r="AD2838" t="s">
        <v>45</v>
      </c>
      <c r="AE2838" s="1">
        <v>26972</v>
      </c>
      <c r="AF2838">
        <v>2</v>
      </c>
      <c r="AG2838" t="s">
        <v>224</v>
      </c>
      <c r="AH2838" s="36">
        <f t="shared" si="44"/>
        <v>45.791666666666664</v>
      </c>
      <c r="AI2838" s="41" t="s">
        <v>1780</v>
      </c>
    </row>
    <row r="2839" spans="1:37" x14ac:dyDescent="0.25">
      <c r="A2839" s="36">
        <v>99912837</v>
      </c>
      <c r="B2839" s="17" t="s">
        <v>56</v>
      </c>
      <c r="C2839" t="s">
        <v>111</v>
      </c>
      <c r="D2839" t="s">
        <v>112</v>
      </c>
      <c r="G2839" s="17" t="s">
        <v>35</v>
      </c>
      <c r="H2839" s="17">
        <v>1</v>
      </c>
      <c r="K2839" t="s">
        <v>1502</v>
      </c>
      <c r="L2839" t="s">
        <v>1503</v>
      </c>
      <c r="M2839" t="s">
        <v>670</v>
      </c>
      <c r="N2839">
        <v>22</v>
      </c>
      <c r="O2839" t="s">
        <v>40</v>
      </c>
      <c r="P2839" t="s">
        <v>40</v>
      </c>
      <c r="Q2839" t="s">
        <v>40</v>
      </c>
      <c r="R2839" t="s">
        <v>40</v>
      </c>
      <c r="S2839" t="s">
        <v>40</v>
      </c>
      <c r="V2839" t="s">
        <v>41</v>
      </c>
      <c r="W2839" t="s">
        <v>75</v>
      </c>
      <c r="X2839" t="str">
        <f>"7171000"</f>
        <v>7171000</v>
      </c>
      <c r="Y2839" t="s">
        <v>1506</v>
      </c>
      <c r="Z2839" t="s">
        <v>1502</v>
      </c>
      <c r="AA2839" t="s">
        <v>1503</v>
      </c>
      <c r="AB2839" t="s">
        <v>670</v>
      </c>
      <c r="AC2839" t="s">
        <v>51</v>
      </c>
      <c r="AD2839" t="s">
        <v>45</v>
      </c>
      <c r="AE2839" s="1">
        <v>26972</v>
      </c>
      <c r="AF2839">
        <v>1</v>
      </c>
      <c r="AG2839" t="s">
        <v>1503</v>
      </c>
      <c r="AH2839" s="36">
        <f t="shared" si="44"/>
        <v>45.791666666666664</v>
      </c>
      <c r="AI2839" s="41" t="s">
        <v>1780</v>
      </c>
    </row>
    <row r="2840" spans="1:37" x14ac:dyDescent="0.25">
      <c r="A2840" s="36">
        <v>99912838</v>
      </c>
      <c r="B2840" s="17" t="s">
        <v>32</v>
      </c>
      <c r="C2840" t="s">
        <v>90</v>
      </c>
      <c r="D2840" t="s">
        <v>91</v>
      </c>
      <c r="G2840" s="17" t="s">
        <v>35</v>
      </c>
      <c r="H2840" s="17">
        <v>1</v>
      </c>
      <c r="I2840" s="1">
        <v>37501</v>
      </c>
      <c r="J2840" s="1">
        <v>43344</v>
      </c>
      <c r="K2840" t="s">
        <v>1341</v>
      </c>
      <c r="L2840" t="s">
        <v>1342</v>
      </c>
      <c r="M2840" t="s">
        <v>1270</v>
      </c>
      <c r="N2840">
        <v>24</v>
      </c>
      <c r="O2840" t="s">
        <v>40</v>
      </c>
      <c r="S2840" t="s">
        <v>40</v>
      </c>
      <c r="U2840" s="1">
        <v>43344</v>
      </c>
      <c r="V2840" t="s">
        <v>41</v>
      </c>
      <c r="W2840" t="s">
        <v>75</v>
      </c>
      <c r="X2840" t="str">
        <f>"7191006"</f>
        <v>7191006</v>
      </c>
      <c r="Y2840" t="s">
        <v>1351</v>
      </c>
      <c r="Z2840" t="s">
        <v>1341</v>
      </c>
      <c r="AA2840" t="s">
        <v>1342</v>
      </c>
      <c r="AB2840" t="s">
        <v>1270</v>
      </c>
      <c r="AC2840" t="s">
        <v>51</v>
      </c>
      <c r="AD2840" t="s">
        <v>45</v>
      </c>
      <c r="AE2840" s="1">
        <v>26967</v>
      </c>
      <c r="AF2840">
        <v>1</v>
      </c>
      <c r="AG2840" t="s">
        <v>1342</v>
      </c>
      <c r="AH2840" s="36">
        <f t="shared" si="44"/>
        <v>45.805555555555557</v>
      </c>
      <c r="AI2840" s="41" t="s">
        <v>1780</v>
      </c>
    </row>
    <row r="2841" spans="1:37" x14ac:dyDescent="0.25">
      <c r="A2841" s="36">
        <v>99912839</v>
      </c>
      <c r="B2841" s="17" t="s">
        <v>32</v>
      </c>
      <c r="C2841" t="s">
        <v>46</v>
      </c>
      <c r="D2841" t="s">
        <v>47</v>
      </c>
      <c r="G2841" s="17" t="s">
        <v>35</v>
      </c>
      <c r="H2841" s="17">
        <v>1</v>
      </c>
      <c r="K2841" t="s">
        <v>345</v>
      </c>
      <c r="L2841" t="s">
        <v>346</v>
      </c>
      <c r="M2841" t="s">
        <v>131</v>
      </c>
      <c r="N2841">
        <v>20</v>
      </c>
      <c r="O2841" t="s">
        <v>40</v>
      </c>
      <c r="P2841" t="s">
        <v>40</v>
      </c>
      <c r="Q2841" t="s">
        <v>40</v>
      </c>
      <c r="S2841" t="s">
        <v>40</v>
      </c>
      <c r="V2841" t="s">
        <v>41</v>
      </c>
      <c r="W2841" t="s">
        <v>49</v>
      </c>
      <c r="X2841" t="str">
        <f>"0560007"</f>
        <v>0560007</v>
      </c>
      <c r="Y2841" t="s">
        <v>357</v>
      </c>
      <c r="Z2841" t="s">
        <v>345</v>
      </c>
      <c r="AA2841" t="s">
        <v>346</v>
      </c>
      <c r="AB2841" t="s">
        <v>131</v>
      </c>
      <c r="AC2841" t="s">
        <v>51</v>
      </c>
      <c r="AD2841" t="s">
        <v>45</v>
      </c>
      <c r="AE2841" s="1">
        <v>26965</v>
      </c>
      <c r="AF2841">
        <v>2</v>
      </c>
      <c r="AG2841" t="s">
        <v>346</v>
      </c>
      <c r="AH2841" s="36">
        <f t="shared" si="44"/>
        <v>45.81111111111111</v>
      </c>
      <c r="AI2841" s="41" t="s">
        <v>1780</v>
      </c>
    </row>
    <row r="2842" spans="1:37" x14ac:dyDescent="0.25">
      <c r="A2842" s="36">
        <v>99912840</v>
      </c>
      <c r="B2842" s="17" t="s">
        <v>56</v>
      </c>
      <c r="C2842" t="s">
        <v>46</v>
      </c>
      <c r="D2842" t="s">
        <v>47</v>
      </c>
      <c r="G2842" s="17" t="s">
        <v>48</v>
      </c>
      <c r="H2842" s="17">
        <v>7</v>
      </c>
      <c r="K2842" t="s">
        <v>37</v>
      </c>
      <c r="L2842" t="s">
        <v>38</v>
      </c>
      <c r="M2842" t="s">
        <v>39</v>
      </c>
      <c r="N2842">
        <v>10</v>
      </c>
      <c r="O2842" t="s">
        <v>40</v>
      </c>
      <c r="P2842" t="s">
        <v>40</v>
      </c>
      <c r="Q2842" t="s">
        <v>40</v>
      </c>
      <c r="R2842" t="s">
        <v>40</v>
      </c>
      <c r="S2842" t="s">
        <v>40</v>
      </c>
      <c r="V2842" t="s">
        <v>41</v>
      </c>
      <c r="W2842" t="s">
        <v>42</v>
      </c>
      <c r="X2842" t="str">
        <f>"3780010"</f>
        <v>3780010</v>
      </c>
      <c r="Y2842" t="s">
        <v>43</v>
      </c>
      <c r="Z2842" t="s">
        <v>37</v>
      </c>
      <c r="AA2842" t="s">
        <v>38</v>
      </c>
      <c r="AB2842" t="s">
        <v>39</v>
      </c>
      <c r="AC2842" t="s">
        <v>51</v>
      </c>
      <c r="AD2842" t="s">
        <v>45</v>
      </c>
      <c r="AE2842" s="1">
        <v>26959</v>
      </c>
      <c r="AF2842">
        <v>2</v>
      </c>
      <c r="AG2842" t="s">
        <v>38</v>
      </c>
      <c r="AH2842" s="36">
        <f t="shared" si="44"/>
        <v>45.827777777777776</v>
      </c>
      <c r="AI2842" s="41" t="s">
        <v>1780</v>
      </c>
      <c r="AJ2842" s="37"/>
      <c r="AK2842" s="36"/>
    </row>
    <row r="2843" spans="1:37" x14ac:dyDescent="0.25">
      <c r="A2843" s="36">
        <v>99912841</v>
      </c>
      <c r="B2843" s="17" t="s">
        <v>32</v>
      </c>
      <c r="C2843" t="s">
        <v>79</v>
      </c>
      <c r="D2843" t="s">
        <v>80</v>
      </c>
      <c r="G2843" s="17" t="s">
        <v>48</v>
      </c>
      <c r="H2843" s="17">
        <v>1</v>
      </c>
      <c r="K2843" t="s">
        <v>300</v>
      </c>
      <c r="L2843" t="s">
        <v>301</v>
      </c>
      <c r="M2843" t="s">
        <v>131</v>
      </c>
      <c r="N2843">
        <v>10</v>
      </c>
      <c r="O2843" t="s">
        <v>40</v>
      </c>
      <c r="P2843" t="s">
        <v>40</v>
      </c>
      <c r="Q2843" t="s">
        <v>40</v>
      </c>
      <c r="R2843" t="s">
        <v>40</v>
      </c>
      <c r="S2843" t="s">
        <v>40</v>
      </c>
      <c r="V2843" t="s">
        <v>41</v>
      </c>
      <c r="W2843" t="s">
        <v>49</v>
      </c>
      <c r="X2843" t="str">
        <f>"0560022"</f>
        <v>0560022</v>
      </c>
      <c r="Y2843" t="s">
        <v>314</v>
      </c>
      <c r="Z2843" t="s">
        <v>300</v>
      </c>
      <c r="AA2843" t="s">
        <v>301</v>
      </c>
      <c r="AB2843" t="s">
        <v>131</v>
      </c>
      <c r="AC2843" t="s">
        <v>51</v>
      </c>
      <c r="AD2843" t="s">
        <v>45</v>
      </c>
      <c r="AE2843" s="1">
        <v>26959</v>
      </c>
      <c r="AF2843">
        <v>2</v>
      </c>
      <c r="AG2843" t="s">
        <v>301</v>
      </c>
      <c r="AH2843" s="36">
        <f t="shared" si="44"/>
        <v>45.827777777777776</v>
      </c>
      <c r="AI2843" s="41" t="s">
        <v>1780</v>
      </c>
    </row>
    <row r="2844" spans="1:37" x14ac:dyDescent="0.25">
      <c r="A2844" s="36">
        <v>99912842</v>
      </c>
      <c r="B2844" s="17" t="s">
        <v>32</v>
      </c>
      <c r="C2844" t="s">
        <v>52</v>
      </c>
      <c r="D2844" t="s">
        <v>53</v>
      </c>
      <c r="G2844" s="17" t="s">
        <v>48</v>
      </c>
      <c r="H2844" s="17">
        <v>3</v>
      </c>
      <c r="K2844" t="s">
        <v>129</v>
      </c>
      <c r="L2844" t="s">
        <v>130</v>
      </c>
      <c r="M2844" t="s">
        <v>131</v>
      </c>
      <c r="N2844">
        <v>18</v>
      </c>
      <c r="O2844" t="s">
        <v>40</v>
      </c>
      <c r="P2844" t="s">
        <v>40</v>
      </c>
      <c r="Q2844" t="s">
        <v>40</v>
      </c>
      <c r="R2844" t="s">
        <v>40</v>
      </c>
      <c r="S2844" t="s">
        <v>40</v>
      </c>
      <c r="V2844" t="s">
        <v>41</v>
      </c>
      <c r="W2844" t="s">
        <v>49</v>
      </c>
      <c r="X2844" t="str">
        <f>"0591905"</f>
        <v>0591905</v>
      </c>
      <c r="Y2844" t="s">
        <v>135</v>
      </c>
      <c r="Z2844" t="s">
        <v>129</v>
      </c>
      <c r="AA2844" t="s">
        <v>130</v>
      </c>
      <c r="AB2844" t="s">
        <v>131</v>
      </c>
      <c r="AC2844" t="s">
        <v>51</v>
      </c>
      <c r="AD2844" t="s">
        <v>45</v>
      </c>
      <c r="AE2844" s="1">
        <v>26955</v>
      </c>
      <c r="AF2844">
        <v>2</v>
      </c>
      <c r="AG2844" t="s">
        <v>130</v>
      </c>
      <c r="AH2844" s="36">
        <f t="shared" si="44"/>
        <v>45.838888888888889</v>
      </c>
      <c r="AI2844" s="41" t="s">
        <v>1780</v>
      </c>
    </row>
    <row r="2845" spans="1:37" x14ac:dyDescent="0.25">
      <c r="A2845" s="36">
        <v>99912843</v>
      </c>
      <c r="B2845" s="17" t="s">
        <v>32</v>
      </c>
      <c r="C2845" t="s">
        <v>90</v>
      </c>
      <c r="D2845" t="s">
        <v>91</v>
      </c>
      <c r="G2845" s="17" t="s">
        <v>35</v>
      </c>
      <c r="H2845" s="17">
        <v>1</v>
      </c>
      <c r="I2845" t="s">
        <v>578</v>
      </c>
      <c r="J2845" s="1">
        <v>43344</v>
      </c>
      <c r="K2845" t="s">
        <v>268</v>
      </c>
      <c r="L2845" t="s">
        <v>269</v>
      </c>
      <c r="M2845" t="s">
        <v>131</v>
      </c>
      <c r="N2845">
        <v>21</v>
      </c>
      <c r="O2845" t="s">
        <v>40</v>
      </c>
      <c r="S2845" t="s">
        <v>40</v>
      </c>
      <c r="U2845" s="1">
        <v>43344</v>
      </c>
      <c r="V2845" t="s">
        <v>41</v>
      </c>
      <c r="W2845" t="s">
        <v>95</v>
      </c>
      <c r="X2845" t="str">
        <f>"7052041"</f>
        <v>7052041</v>
      </c>
      <c r="Y2845" t="s">
        <v>579</v>
      </c>
      <c r="Z2845" t="s">
        <v>268</v>
      </c>
      <c r="AA2845" t="s">
        <v>269</v>
      </c>
      <c r="AB2845" t="s">
        <v>131</v>
      </c>
      <c r="AC2845" t="s">
        <v>51</v>
      </c>
      <c r="AD2845" t="s">
        <v>45</v>
      </c>
      <c r="AE2845" s="1">
        <v>26932</v>
      </c>
      <c r="AF2845">
        <v>1</v>
      </c>
      <c r="AG2845" t="s">
        <v>269</v>
      </c>
      <c r="AH2845" s="36">
        <f t="shared" si="44"/>
        <v>45.902777777777779</v>
      </c>
      <c r="AI2845" s="41" t="s">
        <v>1780</v>
      </c>
    </row>
    <row r="2846" spans="1:37" x14ac:dyDescent="0.25">
      <c r="A2846" s="36">
        <v>99912844</v>
      </c>
      <c r="B2846" s="17" t="s">
        <v>32</v>
      </c>
      <c r="C2846" t="s">
        <v>111</v>
      </c>
      <c r="D2846" t="s">
        <v>112</v>
      </c>
      <c r="G2846" s="17" t="s">
        <v>48</v>
      </c>
      <c r="H2846" s="17">
        <v>1</v>
      </c>
      <c r="K2846" t="s">
        <v>1198</v>
      </c>
      <c r="L2846" t="s">
        <v>1199</v>
      </c>
      <c r="M2846" t="s">
        <v>1130</v>
      </c>
      <c r="N2846">
        <v>23</v>
      </c>
      <c r="O2846" t="s">
        <v>40</v>
      </c>
      <c r="P2846" t="s">
        <v>40</v>
      </c>
      <c r="Q2846" t="s">
        <v>40</v>
      </c>
      <c r="S2846" t="s">
        <v>40</v>
      </c>
      <c r="V2846" t="s">
        <v>41</v>
      </c>
      <c r="W2846" t="s">
        <v>75</v>
      </c>
      <c r="X2846" t="str">
        <f>"7311010"</f>
        <v>7311010</v>
      </c>
      <c r="Y2846" t="s">
        <v>1202</v>
      </c>
      <c r="Z2846" t="s">
        <v>1198</v>
      </c>
      <c r="AA2846" t="s">
        <v>1199</v>
      </c>
      <c r="AB2846" t="s">
        <v>1130</v>
      </c>
      <c r="AC2846" t="s">
        <v>51</v>
      </c>
      <c r="AD2846" t="s">
        <v>45</v>
      </c>
      <c r="AE2846" s="1">
        <v>26929</v>
      </c>
      <c r="AF2846">
        <v>1</v>
      </c>
      <c r="AG2846" t="s">
        <v>1199</v>
      </c>
      <c r="AH2846" s="36">
        <f t="shared" si="44"/>
        <v>45.911111111111111</v>
      </c>
      <c r="AI2846" s="41" t="s">
        <v>1780</v>
      </c>
    </row>
    <row r="2847" spans="1:37" x14ac:dyDescent="0.25">
      <c r="A2847" s="36">
        <v>99912845</v>
      </c>
      <c r="B2847" s="17" t="s">
        <v>32</v>
      </c>
      <c r="C2847" t="s">
        <v>90</v>
      </c>
      <c r="D2847" t="s">
        <v>91</v>
      </c>
      <c r="G2847" s="17" t="s">
        <v>35</v>
      </c>
      <c r="H2847" s="17">
        <v>1</v>
      </c>
      <c r="I2847">
        <v>2710</v>
      </c>
      <c r="J2847" s="1">
        <v>43344</v>
      </c>
      <c r="K2847" t="s">
        <v>1245</v>
      </c>
      <c r="L2847" t="s">
        <v>1246</v>
      </c>
      <c r="M2847" t="s">
        <v>1130</v>
      </c>
      <c r="N2847">
        <v>25</v>
      </c>
      <c r="O2847" t="s">
        <v>40</v>
      </c>
      <c r="S2847" t="s">
        <v>40</v>
      </c>
      <c r="U2847" s="1">
        <v>43344</v>
      </c>
      <c r="V2847" t="s">
        <v>41</v>
      </c>
      <c r="W2847" t="s">
        <v>95</v>
      </c>
      <c r="X2847" t="str">
        <f>"7451001"</f>
        <v>7451001</v>
      </c>
      <c r="Y2847" t="s">
        <v>1249</v>
      </c>
      <c r="Z2847" t="s">
        <v>1245</v>
      </c>
      <c r="AA2847" t="s">
        <v>1246</v>
      </c>
      <c r="AB2847" t="s">
        <v>1130</v>
      </c>
      <c r="AC2847" t="s">
        <v>51</v>
      </c>
      <c r="AD2847" t="s">
        <v>45</v>
      </c>
      <c r="AE2847" s="1">
        <v>26927</v>
      </c>
      <c r="AF2847">
        <v>1</v>
      </c>
      <c r="AG2847" t="s">
        <v>1246</v>
      </c>
      <c r="AH2847" s="36">
        <f t="shared" si="44"/>
        <v>45.916666666666664</v>
      </c>
      <c r="AI2847" s="41" t="s">
        <v>1780</v>
      </c>
    </row>
    <row r="2848" spans="1:37" x14ac:dyDescent="0.25">
      <c r="A2848" s="36">
        <v>99912846</v>
      </c>
      <c r="B2848" s="17" t="s">
        <v>56</v>
      </c>
      <c r="C2848" t="s">
        <v>61</v>
      </c>
      <c r="D2848" t="s">
        <v>62</v>
      </c>
      <c r="G2848" s="17" t="s">
        <v>48</v>
      </c>
      <c r="H2848" s="17">
        <v>1</v>
      </c>
      <c r="K2848" t="s">
        <v>223</v>
      </c>
      <c r="L2848" t="s">
        <v>224</v>
      </c>
      <c r="M2848" t="s">
        <v>131</v>
      </c>
      <c r="N2848">
        <v>20</v>
      </c>
      <c r="O2848" t="s">
        <v>40</v>
      </c>
      <c r="P2848" t="s">
        <v>40</v>
      </c>
      <c r="Q2848" t="s">
        <v>40</v>
      </c>
      <c r="R2848" t="s">
        <v>40</v>
      </c>
      <c r="S2848" t="s">
        <v>40</v>
      </c>
      <c r="V2848" t="s">
        <v>41</v>
      </c>
      <c r="W2848" t="s">
        <v>49</v>
      </c>
      <c r="X2848" t="str">
        <f>"0540902"</f>
        <v>0540902</v>
      </c>
      <c r="Y2848" t="s">
        <v>256</v>
      </c>
      <c r="Z2848" t="s">
        <v>223</v>
      </c>
      <c r="AA2848" t="s">
        <v>224</v>
      </c>
      <c r="AB2848" t="s">
        <v>131</v>
      </c>
      <c r="AC2848" t="s">
        <v>51</v>
      </c>
      <c r="AD2848" t="s">
        <v>45</v>
      </c>
      <c r="AE2848" s="1">
        <v>26918</v>
      </c>
      <c r="AF2848">
        <v>2</v>
      </c>
      <c r="AG2848" t="s">
        <v>224</v>
      </c>
      <c r="AH2848" s="36">
        <f t="shared" si="44"/>
        <v>45.94166666666667</v>
      </c>
      <c r="AI2848" s="41" t="s">
        <v>1780</v>
      </c>
    </row>
    <row r="2849" spans="1:35" x14ac:dyDescent="0.25">
      <c r="A2849" s="36">
        <v>99912847</v>
      </c>
      <c r="B2849" s="17" t="s">
        <v>32</v>
      </c>
      <c r="C2849" t="s">
        <v>90</v>
      </c>
      <c r="D2849" t="s">
        <v>91</v>
      </c>
      <c r="G2849" s="17" t="s">
        <v>35</v>
      </c>
      <c r="H2849" s="17">
        <v>1</v>
      </c>
      <c r="I2849" t="s">
        <v>286</v>
      </c>
      <c r="J2849" s="1">
        <v>43344</v>
      </c>
      <c r="K2849" t="s">
        <v>268</v>
      </c>
      <c r="L2849" t="s">
        <v>269</v>
      </c>
      <c r="M2849" t="s">
        <v>131</v>
      </c>
      <c r="N2849">
        <v>25</v>
      </c>
      <c r="O2849" t="s">
        <v>40</v>
      </c>
      <c r="S2849" t="s">
        <v>40</v>
      </c>
      <c r="V2849" t="s">
        <v>41</v>
      </c>
      <c r="W2849" t="s">
        <v>95</v>
      </c>
      <c r="X2849" t="str">
        <f>"7052015"</f>
        <v>7052015</v>
      </c>
      <c r="Y2849" t="s">
        <v>653</v>
      </c>
      <c r="Z2849" t="s">
        <v>268</v>
      </c>
      <c r="AA2849" t="s">
        <v>269</v>
      </c>
      <c r="AB2849" t="s">
        <v>131</v>
      </c>
      <c r="AC2849" t="s">
        <v>51</v>
      </c>
      <c r="AD2849" t="s">
        <v>45</v>
      </c>
      <c r="AE2849" s="1">
        <v>26917</v>
      </c>
      <c r="AF2849">
        <v>1</v>
      </c>
      <c r="AG2849" t="s">
        <v>269</v>
      </c>
      <c r="AH2849" s="36">
        <f t="shared" si="44"/>
        <v>45.944444444444443</v>
      </c>
      <c r="AI2849" s="41" t="s">
        <v>1780</v>
      </c>
    </row>
    <row r="2850" spans="1:35" x14ac:dyDescent="0.25">
      <c r="A2850" s="36">
        <v>99912848</v>
      </c>
      <c r="B2850" s="17" t="s">
        <v>56</v>
      </c>
      <c r="C2850" t="s">
        <v>61</v>
      </c>
      <c r="D2850" t="s">
        <v>62</v>
      </c>
      <c r="G2850" s="17" t="s">
        <v>48</v>
      </c>
      <c r="H2850" s="17">
        <v>1</v>
      </c>
      <c r="K2850" t="s">
        <v>157</v>
      </c>
      <c r="L2850" t="s">
        <v>158</v>
      </c>
      <c r="M2850" t="s">
        <v>131</v>
      </c>
      <c r="N2850">
        <v>20</v>
      </c>
      <c r="O2850" t="s">
        <v>40</v>
      </c>
      <c r="P2850" t="s">
        <v>40</v>
      </c>
      <c r="Q2850" t="s">
        <v>40</v>
      </c>
      <c r="R2850" t="s">
        <v>40</v>
      </c>
      <c r="S2850" t="s">
        <v>40</v>
      </c>
      <c r="V2850" t="s">
        <v>41</v>
      </c>
      <c r="W2850" t="s">
        <v>42</v>
      </c>
      <c r="X2850" t="str">
        <f>"0580470"</f>
        <v>0580470</v>
      </c>
      <c r="Y2850" t="s">
        <v>175</v>
      </c>
      <c r="Z2850" t="s">
        <v>157</v>
      </c>
      <c r="AA2850" t="s">
        <v>158</v>
      </c>
      <c r="AB2850" t="s">
        <v>131</v>
      </c>
      <c r="AC2850" t="s">
        <v>51</v>
      </c>
      <c r="AD2850" t="s">
        <v>45</v>
      </c>
      <c r="AE2850" s="1">
        <v>26915</v>
      </c>
      <c r="AF2850">
        <v>2</v>
      </c>
      <c r="AG2850" t="s">
        <v>158</v>
      </c>
      <c r="AH2850" s="36">
        <f t="shared" si="44"/>
        <v>45.95</v>
      </c>
      <c r="AI2850" s="41" t="s">
        <v>1780</v>
      </c>
    </row>
    <row r="2851" spans="1:35" x14ac:dyDescent="0.25">
      <c r="A2851" s="36">
        <v>99912849</v>
      </c>
      <c r="B2851" s="17" t="s">
        <v>32</v>
      </c>
      <c r="C2851" t="s">
        <v>111</v>
      </c>
      <c r="D2851" t="s">
        <v>112</v>
      </c>
      <c r="G2851" s="17" t="s">
        <v>35</v>
      </c>
      <c r="H2851" s="17">
        <v>10</v>
      </c>
      <c r="K2851" t="s">
        <v>268</v>
      </c>
      <c r="L2851" t="s">
        <v>269</v>
      </c>
      <c r="M2851" t="s">
        <v>131</v>
      </c>
      <c r="N2851">
        <v>21</v>
      </c>
      <c r="O2851" t="s">
        <v>40</v>
      </c>
      <c r="P2851" t="s">
        <v>40</v>
      </c>
      <c r="Q2851" t="s">
        <v>40</v>
      </c>
      <c r="R2851" t="s">
        <v>40</v>
      </c>
      <c r="S2851" t="s">
        <v>40</v>
      </c>
      <c r="V2851" t="s">
        <v>41</v>
      </c>
      <c r="W2851" t="s">
        <v>75</v>
      </c>
      <c r="X2851" t="str">
        <f>"7052002"</f>
        <v>7052002</v>
      </c>
      <c r="Y2851" t="s">
        <v>590</v>
      </c>
      <c r="Z2851" t="s">
        <v>268</v>
      </c>
      <c r="AA2851" t="s">
        <v>269</v>
      </c>
      <c r="AB2851" t="s">
        <v>131</v>
      </c>
      <c r="AC2851" t="s">
        <v>165</v>
      </c>
      <c r="AD2851" t="s">
        <v>45</v>
      </c>
      <c r="AE2851" s="1">
        <v>26913</v>
      </c>
      <c r="AF2851">
        <v>1</v>
      </c>
      <c r="AG2851" t="s">
        <v>269</v>
      </c>
      <c r="AH2851" s="36">
        <f t="shared" si="44"/>
        <v>45.955555555555556</v>
      </c>
      <c r="AI2851" s="41" t="s">
        <v>1780</v>
      </c>
    </row>
    <row r="2852" spans="1:35" x14ac:dyDescent="0.25">
      <c r="A2852" s="36">
        <v>99912850</v>
      </c>
      <c r="B2852" s="17" t="s">
        <v>56</v>
      </c>
      <c r="C2852" t="s">
        <v>68</v>
      </c>
      <c r="D2852" t="s">
        <v>69</v>
      </c>
      <c r="G2852" s="17" t="s">
        <v>48</v>
      </c>
      <c r="H2852" s="17">
        <v>1</v>
      </c>
      <c r="K2852" t="s">
        <v>300</v>
      </c>
      <c r="L2852" t="s">
        <v>301</v>
      </c>
      <c r="M2852" t="s">
        <v>131</v>
      </c>
      <c r="N2852">
        <v>23</v>
      </c>
      <c r="O2852" t="s">
        <v>40</v>
      </c>
      <c r="P2852" t="s">
        <v>40</v>
      </c>
      <c r="Q2852" t="s">
        <v>40</v>
      </c>
      <c r="R2852" t="s">
        <v>40</v>
      </c>
      <c r="S2852" t="s">
        <v>40</v>
      </c>
      <c r="V2852" t="s">
        <v>41</v>
      </c>
      <c r="W2852" t="s">
        <v>42</v>
      </c>
      <c r="X2852" t="str">
        <f>"0561001"</f>
        <v>0561001</v>
      </c>
      <c r="Y2852" t="s">
        <v>308</v>
      </c>
      <c r="Z2852" t="s">
        <v>300</v>
      </c>
      <c r="AA2852" t="s">
        <v>301</v>
      </c>
      <c r="AB2852" t="s">
        <v>131</v>
      </c>
      <c r="AC2852" t="s">
        <v>51</v>
      </c>
      <c r="AD2852" t="s">
        <v>45</v>
      </c>
      <c r="AE2852" s="1">
        <v>26907</v>
      </c>
      <c r="AF2852">
        <v>2</v>
      </c>
      <c r="AG2852" t="s">
        <v>301</v>
      </c>
      <c r="AH2852" s="36">
        <f t="shared" si="44"/>
        <v>45.972222222222221</v>
      </c>
      <c r="AI2852" s="41" t="s">
        <v>1780</v>
      </c>
    </row>
    <row r="2853" spans="1:35" x14ac:dyDescent="0.25">
      <c r="A2853" s="36">
        <v>99912851</v>
      </c>
      <c r="B2853" s="17" t="s">
        <v>32</v>
      </c>
      <c r="C2853" t="s">
        <v>90</v>
      </c>
      <c r="D2853" t="s">
        <v>91</v>
      </c>
      <c r="G2853" s="17" t="s">
        <v>35</v>
      </c>
      <c r="H2853" s="17">
        <v>2</v>
      </c>
      <c r="I2853">
        <v>231</v>
      </c>
      <c r="J2853" s="1">
        <v>38230</v>
      </c>
      <c r="K2853" t="s">
        <v>1426</v>
      </c>
      <c r="L2853" t="s">
        <v>1427</v>
      </c>
      <c r="M2853" t="s">
        <v>1270</v>
      </c>
      <c r="N2853">
        <v>25</v>
      </c>
      <c r="O2853" t="s">
        <v>40</v>
      </c>
      <c r="P2853" t="s">
        <v>40</v>
      </c>
      <c r="Q2853" t="s">
        <v>40</v>
      </c>
      <c r="R2853" t="s">
        <v>40</v>
      </c>
      <c r="S2853" t="s">
        <v>40</v>
      </c>
      <c r="U2853" s="1">
        <v>38230</v>
      </c>
      <c r="V2853" t="s">
        <v>41</v>
      </c>
      <c r="W2853" t="s">
        <v>95</v>
      </c>
      <c r="X2853" t="str">
        <f>"7192049"</f>
        <v>7192049</v>
      </c>
      <c r="Y2853" t="s">
        <v>1442</v>
      </c>
      <c r="Z2853" t="s">
        <v>1426</v>
      </c>
      <c r="AA2853" t="s">
        <v>1427</v>
      </c>
      <c r="AB2853" t="s">
        <v>1270</v>
      </c>
      <c r="AC2853" t="s">
        <v>51</v>
      </c>
      <c r="AD2853" t="s">
        <v>45</v>
      </c>
      <c r="AE2853" s="1">
        <v>26907</v>
      </c>
      <c r="AF2853">
        <v>1</v>
      </c>
      <c r="AG2853" t="s">
        <v>1427</v>
      </c>
      <c r="AH2853" s="36">
        <f t="shared" si="44"/>
        <v>45.972222222222221</v>
      </c>
      <c r="AI2853" s="41" t="s">
        <v>1780</v>
      </c>
    </row>
    <row r="2854" spans="1:35" x14ac:dyDescent="0.25">
      <c r="A2854" s="36">
        <v>99912852</v>
      </c>
      <c r="B2854" s="17" t="s">
        <v>32</v>
      </c>
      <c r="C2854" t="s">
        <v>90</v>
      </c>
      <c r="D2854" t="s">
        <v>91</v>
      </c>
      <c r="G2854" s="17" t="s">
        <v>48</v>
      </c>
      <c r="H2854" s="17">
        <v>1</v>
      </c>
      <c r="K2854" t="s">
        <v>407</v>
      </c>
      <c r="L2854" t="s">
        <v>409</v>
      </c>
      <c r="M2854" t="s">
        <v>131</v>
      </c>
      <c r="N2854">
        <v>5</v>
      </c>
      <c r="O2854" t="s">
        <v>40</v>
      </c>
      <c r="P2854" t="s">
        <v>40</v>
      </c>
      <c r="Q2854" t="s">
        <v>40</v>
      </c>
      <c r="R2854" t="s">
        <v>40</v>
      </c>
      <c r="S2854" t="s">
        <v>40</v>
      </c>
      <c r="V2854" t="s">
        <v>41</v>
      </c>
      <c r="W2854" t="s">
        <v>95</v>
      </c>
      <c r="X2854" t="str">
        <f>"7053073"</f>
        <v>7053073</v>
      </c>
      <c r="Y2854" t="s">
        <v>752</v>
      </c>
      <c r="Z2854" t="s">
        <v>407</v>
      </c>
      <c r="AA2854" t="s">
        <v>409</v>
      </c>
      <c r="AB2854" t="s">
        <v>131</v>
      </c>
      <c r="AC2854" t="s">
        <v>51</v>
      </c>
      <c r="AD2854" t="s">
        <v>45</v>
      </c>
      <c r="AE2854" s="1">
        <v>26903</v>
      </c>
      <c r="AF2854">
        <v>1</v>
      </c>
      <c r="AG2854" t="s">
        <v>409</v>
      </c>
      <c r="AH2854" s="36">
        <f t="shared" si="44"/>
        <v>45.983333333333334</v>
      </c>
      <c r="AI2854" s="41" t="s">
        <v>1780</v>
      </c>
    </row>
    <row r="2855" spans="1:35" x14ac:dyDescent="0.25">
      <c r="A2855" s="36">
        <v>99912853</v>
      </c>
      <c r="B2855" s="17" t="s">
        <v>32</v>
      </c>
      <c r="C2855" t="s">
        <v>139</v>
      </c>
      <c r="D2855" t="s">
        <v>140</v>
      </c>
      <c r="G2855" s="17" t="s">
        <v>35</v>
      </c>
      <c r="H2855" s="17">
        <v>1</v>
      </c>
      <c r="K2855" t="s">
        <v>431</v>
      </c>
      <c r="L2855" t="s">
        <v>196</v>
      </c>
      <c r="M2855" t="s">
        <v>131</v>
      </c>
      <c r="N2855">
        <v>6</v>
      </c>
      <c r="O2855" t="s">
        <v>40</v>
      </c>
      <c r="P2855" t="s">
        <v>40</v>
      </c>
      <c r="Q2855" t="s">
        <v>40</v>
      </c>
      <c r="R2855" t="s">
        <v>40</v>
      </c>
      <c r="S2855" t="s">
        <v>40</v>
      </c>
      <c r="U2855" s="1">
        <v>43344</v>
      </c>
      <c r="V2855" t="s">
        <v>41</v>
      </c>
      <c r="W2855" t="s">
        <v>75</v>
      </c>
      <c r="X2855" t="str">
        <f>"7521056"</f>
        <v>7521056</v>
      </c>
      <c r="Y2855" t="s">
        <v>437</v>
      </c>
      <c r="Z2855" t="s">
        <v>431</v>
      </c>
      <c r="AA2855" t="s">
        <v>196</v>
      </c>
      <c r="AB2855" t="s">
        <v>131</v>
      </c>
      <c r="AC2855" t="s">
        <v>51</v>
      </c>
      <c r="AD2855" t="s">
        <v>45</v>
      </c>
      <c r="AE2855" s="1">
        <v>26894</v>
      </c>
      <c r="AF2855">
        <v>1</v>
      </c>
      <c r="AG2855" t="s">
        <v>196</v>
      </c>
      <c r="AH2855" s="36">
        <f t="shared" si="44"/>
        <v>46.008333333333333</v>
      </c>
      <c r="AI2855" s="41" t="s">
        <v>1780</v>
      </c>
    </row>
    <row r="2856" spans="1:35" x14ac:dyDescent="0.25">
      <c r="A2856" s="36">
        <v>99912854</v>
      </c>
      <c r="B2856" s="17" t="s">
        <v>32</v>
      </c>
      <c r="C2856" t="s">
        <v>46</v>
      </c>
      <c r="D2856" t="s">
        <v>47</v>
      </c>
      <c r="G2856" s="17" t="s">
        <v>35</v>
      </c>
      <c r="H2856" s="17">
        <v>1</v>
      </c>
      <c r="K2856" t="s">
        <v>1051</v>
      </c>
      <c r="L2856" t="s">
        <v>1052</v>
      </c>
      <c r="M2856" t="s">
        <v>1053</v>
      </c>
      <c r="N2856">
        <v>23</v>
      </c>
      <c r="O2856" t="s">
        <v>40</v>
      </c>
      <c r="P2856" t="s">
        <v>40</v>
      </c>
      <c r="Q2856" t="s">
        <v>40</v>
      </c>
      <c r="R2856" t="s">
        <v>40</v>
      </c>
      <c r="S2856" t="s">
        <v>40</v>
      </c>
      <c r="V2856" t="s">
        <v>41</v>
      </c>
      <c r="W2856" t="s">
        <v>42</v>
      </c>
      <c r="X2856" t="str">
        <f>"2061003"</f>
        <v>2061003</v>
      </c>
      <c r="Y2856" t="s">
        <v>1060</v>
      </c>
      <c r="Z2856" t="s">
        <v>1051</v>
      </c>
      <c r="AA2856" t="s">
        <v>1052</v>
      </c>
      <c r="AB2856" t="s">
        <v>1053</v>
      </c>
      <c r="AC2856" t="s">
        <v>51</v>
      </c>
      <c r="AD2856" t="s">
        <v>45</v>
      </c>
      <c r="AE2856" s="1">
        <v>26892</v>
      </c>
      <c r="AF2856">
        <v>2</v>
      </c>
      <c r="AG2856" t="s">
        <v>1052</v>
      </c>
      <c r="AH2856" s="36">
        <f t="shared" si="44"/>
        <v>46.013888888888886</v>
      </c>
      <c r="AI2856" s="41" t="s">
        <v>1780</v>
      </c>
    </row>
    <row r="2857" spans="1:35" x14ac:dyDescent="0.25">
      <c r="A2857" s="36">
        <v>99912855</v>
      </c>
      <c r="B2857" s="17" t="s">
        <v>32</v>
      </c>
      <c r="C2857" t="s">
        <v>139</v>
      </c>
      <c r="D2857" t="s">
        <v>140</v>
      </c>
      <c r="G2857" s="17" t="s">
        <v>35</v>
      </c>
      <c r="H2857" s="17">
        <v>1</v>
      </c>
      <c r="K2857" t="s">
        <v>345</v>
      </c>
      <c r="L2857" t="s">
        <v>346</v>
      </c>
      <c r="M2857" t="s">
        <v>131</v>
      </c>
      <c r="N2857">
        <v>6</v>
      </c>
      <c r="O2857" t="s">
        <v>40</v>
      </c>
      <c r="P2857" t="s">
        <v>40</v>
      </c>
      <c r="Q2857" t="s">
        <v>40</v>
      </c>
      <c r="S2857" t="s">
        <v>40</v>
      </c>
      <c r="V2857" t="s">
        <v>41</v>
      </c>
      <c r="W2857" t="s">
        <v>49</v>
      </c>
      <c r="X2857" t="str">
        <f>"0581660"</f>
        <v>0581660</v>
      </c>
      <c r="Y2857" t="s">
        <v>359</v>
      </c>
      <c r="Z2857" t="s">
        <v>345</v>
      </c>
      <c r="AA2857" t="s">
        <v>346</v>
      </c>
      <c r="AB2857" t="s">
        <v>131</v>
      </c>
      <c r="AC2857" t="s">
        <v>51</v>
      </c>
      <c r="AD2857" t="s">
        <v>45</v>
      </c>
      <c r="AE2857" s="1">
        <v>26886</v>
      </c>
      <c r="AF2857">
        <v>2</v>
      </c>
      <c r="AG2857" t="s">
        <v>346</v>
      </c>
      <c r="AH2857" s="36">
        <f t="shared" si="44"/>
        <v>46.030555555555559</v>
      </c>
      <c r="AI2857" s="41" t="s">
        <v>1780</v>
      </c>
    </row>
    <row r="2858" spans="1:35" x14ac:dyDescent="0.25">
      <c r="A2858" s="36">
        <v>99912856</v>
      </c>
      <c r="B2858" s="17" t="s">
        <v>32</v>
      </c>
      <c r="C2858" t="s">
        <v>90</v>
      </c>
      <c r="D2858" t="s">
        <v>91</v>
      </c>
      <c r="G2858" s="17" t="s">
        <v>48</v>
      </c>
      <c r="H2858" s="17">
        <v>1</v>
      </c>
      <c r="K2858" t="s">
        <v>154</v>
      </c>
      <c r="L2858" t="s">
        <v>155</v>
      </c>
      <c r="M2858" t="s">
        <v>131</v>
      </c>
      <c r="N2858">
        <v>25</v>
      </c>
      <c r="O2858" t="s">
        <v>40</v>
      </c>
      <c r="P2858" t="s">
        <v>40</v>
      </c>
      <c r="Q2858" t="s">
        <v>40</v>
      </c>
      <c r="S2858" t="s">
        <v>40</v>
      </c>
      <c r="V2858" t="s">
        <v>41</v>
      </c>
      <c r="W2858" t="s">
        <v>95</v>
      </c>
      <c r="X2858" t="str">
        <f>"7051011"</f>
        <v>7051011</v>
      </c>
      <c r="Y2858" t="s">
        <v>428</v>
      </c>
      <c r="Z2858" t="s">
        <v>154</v>
      </c>
      <c r="AA2858" t="s">
        <v>155</v>
      </c>
      <c r="AB2858" t="s">
        <v>131</v>
      </c>
      <c r="AC2858" t="s">
        <v>51</v>
      </c>
      <c r="AD2858" t="s">
        <v>45</v>
      </c>
      <c r="AE2858" s="1">
        <v>26885</v>
      </c>
      <c r="AF2858">
        <v>1</v>
      </c>
      <c r="AG2858" t="s">
        <v>155</v>
      </c>
      <c r="AH2858" s="36">
        <f t="shared" si="44"/>
        <v>46.033333333333331</v>
      </c>
      <c r="AI2858" s="41" t="s">
        <v>1780</v>
      </c>
    </row>
    <row r="2859" spans="1:35" x14ac:dyDescent="0.25">
      <c r="A2859" s="36">
        <v>99912857</v>
      </c>
      <c r="B2859" s="17" t="s">
        <v>32</v>
      </c>
      <c r="C2859" t="s">
        <v>79</v>
      </c>
      <c r="D2859" t="s">
        <v>80</v>
      </c>
      <c r="G2859" s="17" t="s">
        <v>35</v>
      </c>
      <c r="H2859" s="17">
        <v>1</v>
      </c>
      <c r="I2859">
        <v>2433</v>
      </c>
      <c r="J2859" s="1">
        <v>43344</v>
      </c>
      <c r="K2859" t="s">
        <v>354</v>
      </c>
      <c r="L2859" t="s">
        <v>355</v>
      </c>
      <c r="M2859" t="s">
        <v>131</v>
      </c>
      <c r="N2859">
        <v>24</v>
      </c>
      <c r="O2859" t="s">
        <v>40</v>
      </c>
      <c r="S2859" t="s">
        <v>40</v>
      </c>
      <c r="U2859" s="1">
        <v>43344</v>
      </c>
      <c r="V2859" t="s">
        <v>41</v>
      </c>
      <c r="W2859" t="s">
        <v>75</v>
      </c>
      <c r="X2859" t="str">
        <f>"7054042"</f>
        <v>7054042</v>
      </c>
      <c r="Y2859" t="s">
        <v>776</v>
      </c>
      <c r="Z2859" t="s">
        <v>354</v>
      </c>
      <c r="AA2859" t="s">
        <v>355</v>
      </c>
      <c r="AB2859" t="s">
        <v>131</v>
      </c>
      <c r="AC2859" t="s">
        <v>51</v>
      </c>
      <c r="AD2859" t="s">
        <v>45</v>
      </c>
      <c r="AE2859" s="1">
        <v>26883</v>
      </c>
      <c r="AF2859">
        <v>1</v>
      </c>
      <c r="AG2859" t="s">
        <v>355</v>
      </c>
      <c r="AH2859" s="36">
        <f t="shared" si="44"/>
        <v>46.038888888888891</v>
      </c>
      <c r="AI2859" s="41" t="s">
        <v>1780</v>
      </c>
    </row>
    <row r="2860" spans="1:35" x14ac:dyDescent="0.25">
      <c r="A2860" s="36">
        <v>99912858</v>
      </c>
      <c r="B2860" s="17" t="s">
        <v>56</v>
      </c>
      <c r="C2860" t="s">
        <v>111</v>
      </c>
      <c r="D2860" t="s">
        <v>112</v>
      </c>
      <c r="G2860" s="17" t="s">
        <v>35</v>
      </c>
      <c r="H2860" s="17">
        <v>1</v>
      </c>
      <c r="K2860" t="s">
        <v>154</v>
      </c>
      <c r="L2860" t="s">
        <v>155</v>
      </c>
      <c r="M2860" t="s">
        <v>131</v>
      </c>
      <c r="N2860">
        <v>22</v>
      </c>
      <c r="O2860" t="s">
        <v>40</v>
      </c>
      <c r="P2860" t="s">
        <v>40</v>
      </c>
      <c r="Q2860" t="s">
        <v>40</v>
      </c>
      <c r="S2860" t="s">
        <v>40</v>
      </c>
      <c r="V2860" t="s">
        <v>41</v>
      </c>
      <c r="W2860" t="s">
        <v>75</v>
      </c>
      <c r="X2860" t="str">
        <f>"7700026"</f>
        <v>7700026</v>
      </c>
      <c r="Y2860" t="s">
        <v>397</v>
      </c>
      <c r="Z2860" t="s">
        <v>154</v>
      </c>
      <c r="AA2860" t="s">
        <v>155</v>
      </c>
      <c r="AB2860" t="s">
        <v>131</v>
      </c>
      <c r="AC2860" t="s">
        <v>51</v>
      </c>
      <c r="AD2860" t="s">
        <v>45</v>
      </c>
      <c r="AE2860" s="1">
        <v>26882</v>
      </c>
      <c r="AF2860">
        <v>1</v>
      </c>
      <c r="AG2860" t="s">
        <v>155</v>
      </c>
      <c r="AH2860" s="36">
        <f t="shared" si="44"/>
        <v>46.041666666666664</v>
      </c>
      <c r="AI2860" s="41" t="s">
        <v>1780</v>
      </c>
    </row>
    <row r="2861" spans="1:35" x14ac:dyDescent="0.25">
      <c r="A2861" s="36">
        <v>99912859</v>
      </c>
      <c r="B2861" s="17" t="s">
        <v>32</v>
      </c>
      <c r="C2861" t="s">
        <v>46</v>
      </c>
      <c r="D2861" t="s">
        <v>47</v>
      </c>
      <c r="G2861" s="17" t="s">
        <v>48</v>
      </c>
      <c r="H2861" s="17">
        <v>1</v>
      </c>
      <c r="K2861" t="s">
        <v>1128</v>
      </c>
      <c r="L2861" t="s">
        <v>1129</v>
      </c>
      <c r="M2861" t="s">
        <v>1130</v>
      </c>
      <c r="N2861">
        <v>20</v>
      </c>
      <c r="O2861" t="s">
        <v>40</v>
      </c>
      <c r="P2861" t="s">
        <v>40</v>
      </c>
      <c r="Q2861" t="s">
        <v>40</v>
      </c>
      <c r="S2861" t="s">
        <v>40</v>
      </c>
      <c r="V2861" t="s">
        <v>41</v>
      </c>
      <c r="W2861" t="s">
        <v>49</v>
      </c>
      <c r="X2861" t="str">
        <f>"3181010"</f>
        <v>3181010</v>
      </c>
      <c r="Y2861" t="s">
        <v>1134</v>
      </c>
      <c r="Z2861" t="s">
        <v>1128</v>
      </c>
      <c r="AA2861" t="s">
        <v>1129</v>
      </c>
      <c r="AB2861" t="s">
        <v>1130</v>
      </c>
      <c r="AC2861" t="s">
        <v>165</v>
      </c>
      <c r="AD2861" t="s">
        <v>45</v>
      </c>
      <c r="AE2861" s="1">
        <v>26881</v>
      </c>
      <c r="AF2861">
        <v>2</v>
      </c>
      <c r="AG2861" t="s">
        <v>1129</v>
      </c>
      <c r="AH2861" s="36">
        <f t="shared" si="44"/>
        <v>46.044444444444444</v>
      </c>
      <c r="AI2861" s="41" t="s">
        <v>1780</v>
      </c>
    </row>
    <row r="2862" spans="1:35" x14ac:dyDescent="0.25">
      <c r="A2862" s="36">
        <v>99912860</v>
      </c>
      <c r="B2862" s="17" t="s">
        <v>32</v>
      </c>
      <c r="C2862" t="s">
        <v>46</v>
      </c>
      <c r="D2862" t="s">
        <v>47</v>
      </c>
      <c r="G2862" s="17" t="s">
        <v>48</v>
      </c>
      <c r="H2862" s="17">
        <v>1</v>
      </c>
      <c r="K2862" t="s">
        <v>345</v>
      </c>
      <c r="L2862" t="s">
        <v>346</v>
      </c>
      <c r="M2862" t="s">
        <v>131</v>
      </c>
      <c r="N2862">
        <v>20</v>
      </c>
      <c r="O2862" t="s">
        <v>40</v>
      </c>
      <c r="P2862" t="s">
        <v>40</v>
      </c>
      <c r="Q2862" t="s">
        <v>40</v>
      </c>
      <c r="S2862" t="s">
        <v>40</v>
      </c>
      <c r="V2862" t="s">
        <v>41</v>
      </c>
      <c r="W2862" t="s">
        <v>49</v>
      </c>
      <c r="X2862" t="str">
        <f>"0581605"</f>
        <v>0581605</v>
      </c>
      <c r="Y2862" t="s">
        <v>366</v>
      </c>
      <c r="Z2862" t="s">
        <v>345</v>
      </c>
      <c r="AA2862" t="s">
        <v>346</v>
      </c>
      <c r="AB2862" t="s">
        <v>131</v>
      </c>
      <c r="AC2862" t="s">
        <v>51</v>
      </c>
      <c r="AD2862" t="s">
        <v>45</v>
      </c>
      <c r="AE2862" s="1">
        <v>26879</v>
      </c>
      <c r="AF2862">
        <v>2</v>
      </c>
      <c r="AG2862" t="s">
        <v>346</v>
      </c>
      <c r="AH2862" s="36">
        <f t="shared" si="44"/>
        <v>46.05</v>
      </c>
      <c r="AI2862" s="41" t="s">
        <v>1780</v>
      </c>
    </row>
    <row r="2863" spans="1:35" x14ac:dyDescent="0.25">
      <c r="A2863" s="36">
        <v>99912861</v>
      </c>
      <c r="B2863" s="17" t="s">
        <v>32</v>
      </c>
      <c r="C2863" t="s">
        <v>64</v>
      </c>
      <c r="D2863" t="s">
        <v>65</v>
      </c>
      <c r="G2863" s="17" t="s">
        <v>48</v>
      </c>
      <c r="H2863" s="17">
        <v>1</v>
      </c>
      <c r="K2863" t="s">
        <v>223</v>
      </c>
      <c r="L2863" t="s">
        <v>224</v>
      </c>
      <c r="M2863" t="s">
        <v>131</v>
      </c>
      <c r="N2863">
        <v>20</v>
      </c>
      <c r="O2863" t="s">
        <v>40</v>
      </c>
      <c r="P2863" t="s">
        <v>40</v>
      </c>
      <c r="Q2863" t="s">
        <v>40</v>
      </c>
      <c r="S2863" t="s">
        <v>40</v>
      </c>
      <c r="V2863" t="s">
        <v>41</v>
      </c>
      <c r="W2863" t="s">
        <v>49</v>
      </c>
      <c r="X2863" t="str">
        <f>"0581206"</f>
        <v>0581206</v>
      </c>
      <c r="Y2863" t="s">
        <v>232</v>
      </c>
      <c r="Z2863" t="s">
        <v>223</v>
      </c>
      <c r="AA2863" t="s">
        <v>224</v>
      </c>
      <c r="AB2863" t="s">
        <v>131</v>
      </c>
      <c r="AC2863" t="s">
        <v>51</v>
      </c>
      <c r="AD2863" t="s">
        <v>45</v>
      </c>
      <c r="AE2863" s="1">
        <v>26878</v>
      </c>
      <c r="AF2863">
        <v>2</v>
      </c>
      <c r="AG2863" t="s">
        <v>224</v>
      </c>
      <c r="AH2863" s="36">
        <f t="shared" si="44"/>
        <v>46.052777777777777</v>
      </c>
      <c r="AI2863" s="41" t="s">
        <v>1780</v>
      </c>
    </row>
    <row r="2864" spans="1:35" x14ac:dyDescent="0.25">
      <c r="A2864" s="36">
        <v>99912862</v>
      </c>
      <c r="B2864" s="17" t="s">
        <v>32</v>
      </c>
      <c r="C2864" t="s">
        <v>90</v>
      </c>
      <c r="D2864" t="s">
        <v>91</v>
      </c>
      <c r="G2864" s="17" t="s">
        <v>35</v>
      </c>
      <c r="H2864" s="17">
        <v>1</v>
      </c>
      <c r="K2864" t="s">
        <v>195</v>
      </c>
      <c r="L2864" t="s">
        <v>196</v>
      </c>
      <c r="M2864" t="s">
        <v>131</v>
      </c>
      <c r="N2864">
        <v>25</v>
      </c>
      <c r="O2864" t="s">
        <v>40</v>
      </c>
      <c r="P2864" t="s">
        <v>40</v>
      </c>
      <c r="Q2864" t="s">
        <v>40</v>
      </c>
      <c r="S2864" t="s">
        <v>40</v>
      </c>
      <c r="V2864" t="s">
        <v>41</v>
      </c>
      <c r="W2864" t="s">
        <v>95</v>
      </c>
      <c r="X2864" t="str">
        <f>"7521111"</f>
        <v>7521111</v>
      </c>
      <c r="Y2864" t="s">
        <v>534</v>
      </c>
      <c r="Z2864" t="s">
        <v>195</v>
      </c>
      <c r="AA2864" t="s">
        <v>196</v>
      </c>
      <c r="AB2864" t="s">
        <v>131</v>
      </c>
      <c r="AC2864" t="s">
        <v>165</v>
      </c>
      <c r="AD2864" t="s">
        <v>45</v>
      </c>
      <c r="AE2864" s="1">
        <v>26877</v>
      </c>
      <c r="AF2864">
        <v>1</v>
      </c>
      <c r="AG2864" t="s">
        <v>196</v>
      </c>
      <c r="AH2864" s="36">
        <f t="shared" si="44"/>
        <v>46.055555555555557</v>
      </c>
      <c r="AI2864" s="41" t="s">
        <v>1780</v>
      </c>
    </row>
    <row r="2865" spans="1:35" x14ac:dyDescent="0.25">
      <c r="A2865" s="36">
        <v>99912863</v>
      </c>
      <c r="B2865" s="17" t="s">
        <v>32</v>
      </c>
      <c r="C2865" t="s">
        <v>90</v>
      </c>
      <c r="D2865" t="s">
        <v>91</v>
      </c>
      <c r="G2865" s="17" t="s">
        <v>35</v>
      </c>
      <c r="H2865" s="17">
        <v>1</v>
      </c>
      <c r="K2865" t="s">
        <v>667</v>
      </c>
      <c r="L2865" t="s">
        <v>669</v>
      </c>
      <c r="M2865" t="s">
        <v>670</v>
      </c>
      <c r="N2865">
        <v>25</v>
      </c>
      <c r="O2865" t="s">
        <v>40</v>
      </c>
      <c r="P2865" t="s">
        <v>40</v>
      </c>
      <c r="Q2865" t="s">
        <v>40</v>
      </c>
      <c r="S2865" t="s">
        <v>40</v>
      </c>
      <c r="V2865" t="s">
        <v>41</v>
      </c>
      <c r="W2865" t="s">
        <v>95</v>
      </c>
      <c r="X2865" t="str">
        <f>"7501001"</f>
        <v>7501001</v>
      </c>
      <c r="Y2865" t="s">
        <v>1525</v>
      </c>
      <c r="Z2865" t="s">
        <v>667</v>
      </c>
      <c r="AA2865" t="s">
        <v>669</v>
      </c>
      <c r="AB2865" t="s">
        <v>670</v>
      </c>
      <c r="AC2865" t="s">
        <v>51</v>
      </c>
      <c r="AD2865" t="s">
        <v>45</v>
      </c>
      <c r="AE2865" s="1">
        <v>26876</v>
      </c>
      <c r="AF2865">
        <v>1</v>
      </c>
      <c r="AG2865" t="s">
        <v>669</v>
      </c>
      <c r="AH2865" s="36">
        <f t="shared" si="44"/>
        <v>46.05833333333333</v>
      </c>
      <c r="AI2865" s="41" t="s">
        <v>1780</v>
      </c>
    </row>
    <row r="2866" spans="1:35" x14ac:dyDescent="0.25">
      <c r="A2866" s="36">
        <v>99912864</v>
      </c>
      <c r="B2866" s="17" t="s">
        <v>32</v>
      </c>
      <c r="C2866" t="s">
        <v>79</v>
      </c>
      <c r="D2866" t="s">
        <v>80</v>
      </c>
      <c r="G2866" s="17" t="s">
        <v>48</v>
      </c>
      <c r="H2866" s="17">
        <v>1</v>
      </c>
      <c r="K2866" t="s">
        <v>223</v>
      </c>
      <c r="L2866" t="s">
        <v>224</v>
      </c>
      <c r="M2866" t="s">
        <v>131</v>
      </c>
      <c r="N2866">
        <v>16</v>
      </c>
      <c r="O2866" t="s">
        <v>40</v>
      </c>
      <c r="P2866" t="s">
        <v>40</v>
      </c>
      <c r="Q2866" t="s">
        <v>40</v>
      </c>
      <c r="R2866" t="s">
        <v>40</v>
      </c>
      <c r="S2866" t="s">
        <v>40</v>
      </c>
      <c r="V2866" t="s">
        <v>41</v>
      </c>
      <c r="W2866" t="s">
        <v>49</v>
      </c>
      <c r="X2866" t="str">
        <f>"0581202"</f>
        <v>0581202</v>
      </c>
      <c r="Y2866" t="s">
        <v>248</v>
      </c>
      <c r="Z2866" t="s">
        <v>223</v>
      </c>
      <c r="AA2866" t="s">
        <v>224</v>
      </c>
      <c r="AB2866" t="s">
        <v>131</v>
      </c>
      <c r="AC2866" t="s">
        <v>51</v>
      </c>
      <c r="AD2866" t="s">
        <v>45</v>
      </c>
      <c r="AE2866" s="1">
        <v>26870</v>
      </c>
      <c r="AF2866">
        <v>2</v>
      </c>
      <c r="AG2866" t="s">
        <v>224</v>
      </c>
      <c r="AH2866" s="36">
        <f t="shared" si="44"/>
        <v>46.075000000000003</v>
      </c>
      <c r="AI2866" s="41" t="s">
        <v>1780</v>
      </c>
    </row>
    <row r="2867" spans="1:35" x14ac:dyDescent="0.25">
      <c r="A2867" s="36">
        <v>99912865</v>
      </c>
      <c r="B2867" s="17" t="s">
        <v>32</v>
      </c>
      <c r="C2867" t="s">
        <v>64</v>
      </c>
      <c r="D2867" t="s">
        <v>65</v>
      </c>
      <c r="G2867" s="17" t="s">
        <v>35</v>
      </c>
      <c r="H2867" s="17">
        <v>1</v>
      </c>
      <c r="I2867" t="s">
        <v>979</v>
      </c>
      <c r="J2867" s="1">
        <v>43344</v>
      </c>
      <c r="K2867" t="s">
        <v>947</v>
      </c>
      <c r="L2867" t="s">
        <v>948</v>
      </c>
      <c r="M2867" t="s">
        <v>938</v>
      </c>
      <c r="N2867">
        <v>21</v>
      </c>
      <c r="O2867" t="s">
        <v>40</v>
      </c>
      <c r="S2867" t="s">
        <v>40</v>
      </c>
      <c r="U2867" s="1">
        <v>43344</v>
      </c>
      <c r="V2867" t="s">
        <v>41</v>
      </c>
      <c r="W2867" t="s">
        <v>49</v>
      </c>
      <c r="X2867" t="str">
        <f>"0605000"</f>
        <v>0605000</v>
      </c>
      <c r="Y2867" t="s">
        <v>950</v>
      </c>
      <c r="Z2867" t="s">
        <v>947</v>
      </c>
      <c r="AA2867" t="s">
        <v>948</v>
      </c>
      <c r="AB2867" t="s">
        <v>938</v>
      </c>
      <c r="AC2867" t="s">
        <v>51</v>
      </c>
      <c r="AD2867" t="s">
        <v>45</v>
      </c>
      <c r="AE2867" s="1">
        <v>26868</v>
      </c>
      <c r="AF2867">
        <v>2</v>
      </c>
      <c r="AG2867" t="s">
        <v>948</v>
      </c>
      <c r="AH2867" s="36">
        <f t="shared" si="44"/>
        <v>46.080555555555556</v>
      </c>
      <c r="AI2867" s="41" t="s">
        <v>1780</v>
      </c>
    </row>
    <row r="2868" spans="1:35" x14ac:dyDescent="0.25">
      <c r="A2868" s="36">
        <v>99912866</v>
      </c>
      <c r="B2868" s="17" t="s">
        <v>32</v>
      </c>
      <c r="C2868" t="s">
        <v>64</v>
      </c>
      <c r="D2868" t="s">
        <v>65</v>
      </c>
      <c r="G2868" s="17" t="s">
        <v>48</v>
      </c>
      <c r="H2868" s="17">
        <v>1</v>
      </c>
      <c r="K2868" t="s">
        <v>431</v>
      </c>
      <c r="L2868" t="s">
        <v>196</v>
      </c>
      <c r="M2868" t="s">
        <v>131</v>
      </c>
      <c r="N2868">
        <v>24</v>
      </c>
      <c r="O2868" t="s">
        <v>40</v>
      </c>
      <c r="P2868" t="s">
        <v>40</v>
      </c>
      <c r="Q2868" t="s">
        <v>40</v>
      </c>
      <c r="R2868" t="s">
        <v>40</v>
      </c>
      <c r="S2868" t="s">
        <v>40</v>
      </c>
      <c r="V2868" t="s">
        <v>41</v>
      </c>
      <c r="W2868" t="s">
        <v>75</v>
      </c>
      <c r="X2868" t="str">
        <f>"7521012"</f>
        <v>7521012</v>
      </c>
      <c r="Y2868" t="s">
        <v>432</v>
      </c>
      <c r="Z2868" t="s">
        <v>431</v>
      </c>
      <c r="AA2868" t="s">
        <v>196</v>
      </c>
      <c r="AB2868" t="s">
        <v>131</v>
      </c>
      <c r="AC2868" t="s">
        <v>51</v>
      </c>
      <c r="AD2868" t="s">
        <v>45</v>
      </c>
      <c r="AE2868" s="1">
        <v>26866</v>
      </c>
      <c r="AF2868">
        <v>1</v>
      </c>
      <c r="AG2868" t="s">
        <v>196</v>
      </c>
      <c r="AH2868" s="36">
        <f t="shared" si="44"/>
        <v>46.086111111111109</v>
      </c>
      <c r="AI2868" s="41" t="s">
        <v>1780</v>
      </c>
    </row>
    <row r="2869" spans="1:35" x14ac:dyDescent="0.25">
      <c r="A2869" s="36">
        <v>99912867</v>
      </c>
      <c r="B2869" s="17" t="s">
        <v>32</v>
      </c>
      <c r="C2869" t="s">
        <v>46</v>
      </c>
      <c r="D2869" t="s">
        <v>47</v>
      </c>
      <c r="G2869" s="17" t="s">
        <v>35</v>
      </c>
      <c r="H2869" s="17">
        <v>1</v>
      </c>
      <c r="I2869" t="s">
        <v>1606</v>
      </c>
      <c r="J2869" s="1">
        <v>43344</v>
      </c>
      <c r="K2869" t="s">
        <v>1590</v>
      </c>
      <c r="L2869" t="s">
        <v>1591</v>
      </c>
      <c r="M2869" t="s">
        <v>1592</v>
      </c>
      <c r="N2869">
        <v>20</v>
      </c>
      <c r="O2869" t="s">
        <v>40</v>
      </c>
      <c r="P2869" t="s">
        <v>40</v>
      </c>
      <c r="Q2869" t="s">
        <v>40</v>
      </c>
      <c r="R2869" t="s">
        <v>40</v>
      </c>
      <c r="S2869" t="s">
        <v>40</v>
      </c>
      <c r="U2869" s="1">
        <v>43344</v>
      </c>
      <c r="V2869" t="s">
        <v>41</v>
      </c>
      <c r="W2869" t="s">
        <v>42</v>
      </c>
      <c r="X2869" t="str">
        <f>"0280020"</f>
        <v>0280020</v>
      </c>
      <c r="Y2869" t="s">
        <v>1597</v>
      </c>
      <c r="Z2869" t="s">
        <v>1590</v>
      </c>
      <c r="AA2869" t="s">
        <v>1591</v>
      </c>
      <c r="AB2869" t="s">
        <v>1592</v>
      </c>
      <c r="AC2869" t="s">
        <v>51</v>
      </c>
      <c r="AD2869" t="s">
        <v>45</v>
      </c>
      <c r="AE2869" s="1">
        <v>26866</v>
      </c>
      <c r="AF2869">
        <v>2</v>
      </c>
      <c r="AG2869" t="s">
        <v>1591</v>
      </c>
      <c r="AH2869" s="36">
        <f t="shared" si="44"/>
        <v>46.086111111111109</v>
      </c>
      <c r="AI2869" s="41" t="s">
        <v>1780</v>
      </c>
    </row>
    <row r="2870" spans="1:35" x14ac:dyDescent="0.25">
      <c r="A2870" s="36">
        <v>99912868</v>
      </c>
      <c r="B2870" s="17" t="s">
        <v>56</v>
      </c>
      <c r="C2870" t="s">
        <v>82</v>
      </c>
      <c r="D2870" t="s">
        <v>83</v>
      </c>
      <c r="G2870" s="17" t="s">
        <v>35</v>
      </c>
      <c r="H2870" s="17">
        <v>1</v>
      </c>
      <c r="K2870" t="s">
        <v>223</v>
      </c>
      <c r="L2870" t="s">
        <v>224</v>
      </c>
      <c r="M2870" t="s">
        <v>131</v>
      </c>
      <c r="N2870">
        <v>19</v>
      </c>
      <c r="O2870" t="s">
        <v>40</v>
      </c>
      <c r="P2870" t="s">
        <v>40</v>
      </c>
      <c r="Q2870" t="s">
        <v>40</v>
      </c>
      <c r="R2870" t="s">
        <v>40</v>
      </c>
      <c r="S2870" t="s">
        <v>40</v>
      </c>
      <c r="V2870" t="s">
        <v>41</v>
      </c>
      <c r="W2870" t="s">
        <v>42</v>
      </c>
      <c r="X2870" t="str">
        <f>"0590901"</f>
        <v>0590901</v>
      </c>
      <c r="Y2870" t="s">
        <v>242</v>
      </c>
      <c r="Z2870" t="s">
        <v>223</v>
      </c>
      <c r="AA2870" t="s">
        <v>224</v>
      </c>
      <c r="AB2870" t="s">
        <v>131</v>
      </c>
      <c r="AC2870" t="s">
        <v>51</v>
      </c>
      <c r="AD2870" t="s">
        <v>45</v>
      </c>
      <c r="AE2870" s="1">
        <v>26863</v>
      </c>
      <c r="AF2870">
        <v>2</v>
      </c>
      <c r="AG2870" t="s">
        <v>224</v>
      </c>
      <c r="AH2870" s="36">
        <f t="shared" si="44"/>
        <v>46.094444444444441</v>
      </c>
      <c r="AI2870" s="41" t="s">
        <v>1780</v>
      </c>
    </row>
    <row r="2871" spans="1:35" x14ac:dyDescent="0.25">
      <c r="A2871" s="36">
        <v>99912869</v>
      </c>
      <c r="B2871" s="17" t="s">
        <v>56</v>
      </c>
      <c r="C2871" t="s">
        <v>139</v>
      </c>
      <c r="D2871" t="s">
        <v>140</v>
      </c>
      <c r="G2871" s="17" t="s">
        <v>48</v>
      </c>
      <c r="H2871" s="17">
        <v>1</v>
      </c>
      <c r="K2871" t="s">
        <v>129</v>
      </c>
      <c r="L2871" t="s">
        <v>130</v>
      </c>
      <c r="M2871" t="s">
        <v>131</v>
      </c>
      <c r="N2871">
        <v>20</v>
      </c>
      <c r="O2871" t="s">
        <v>40</v>
      </c>
      <c r="P2871" t="s">
        <v>40</v>
      </c>
      <c r="Q2871" t="s">
        <v>40</v>
      </c>
      <c r="R2871" t="s">
        <v>40</v>
      </c>
      <c r="S2871" t="s">
        <v>40</v>
      </c>
      <c r="V2871" t="s">
        <v>41</v>
      </c>
      <c r="W2871" t="s">
        <v>49</v>
      </c>
      <c r="X2871" t="str">
        <f>"0591905"</f>
        <v>0591905</v>
      </c>
      <c r="Y2871" t="s">
        <v>135</v>
      </c>
      <c r="Z2871" t="s">
        <v>129</v>
      </c>
      <c r="AA2871" t="s">
        <v>130</v>
      </c>
      <c r="AB2871" t="s">
        <v>131</v>
      </c>
      <c r="AC2871" t="s">
        <v>51</v>
      </c>
      <c r="AD2871" t="s">
        <v>45</v>
      </c>
      <c r="AE2871" s="1">
        <v>26862</v>
      </c>
      <c r="AF2871">
        <v>2</v>
      </c>
      <c r="AG2871" t="s">
        <v>130</v>
      </c>
      <c r="AH2871" s="36">
        <f t="shared" si="44"/>
        <v>46.097222222222221</v>
      </c>
      <c r="AI2871" s="41" t="s">
        <v>1780</v>
      </c>
    </row>
    <row r="2872" spans="1:35" x14ac:dyDescent="0.25">
      <c r="A2872" s="36">
        <v>99912870</v>
      </c>
      <c r="B2872" s="17" t="s">
        <v>32</v>
      </c>
      <c r="C2872" t="s">
        <v>141</v>
      </c>
      <c r="D2872" t="s">
        <v>142</v>
      </c>
      <c r="G2872" s="17" t="s">
        <v>48</v>
      </c>
      <c r="H2872" s="17">
        <v>1</v>
      </c>
      <c r="K2872" t="s">
        <v>268</v>
      </c>
      <c r="L2872" t="s">
        <v>269</v>
      </c>
      <c r="M2872" t="s">
        <v>131</v>
      </c>
      <c r="N2872">
        <v>6</v>
      </c>
      <c r="O2872" t="s">
        <v>40</v>
      </c>
      <c r="P2872" t="s">
        <v>40</v>
      </c>
      <c r="Q2872" t="s">
        <v>40</v>
      </c>
      <c r="S2872" t="s">
        <v>40</v>
      </c>
      <c r="V2872" t="s">
        <v>41</v>
      </c>
      <c r="W2872" t="s">
        <v>75</v>
      </c>
      <c r="X2872" t="str">
        <f>"7052034"</f>
        <v>7052034</v>
      </c>
      <c r="Y2872" t="s">
        <v>604</v>
      </c>
      <c r="Z2872" t="s">
        <v>268</v>
      </c>
      <c r="AA2872" t="s">
        <v>269</v>
      </c>
      <c r="AB2872" t="s">
        <v>131</v>
      </c>
      <c r="AC2872" t="s">
        <v>51</v>
      </c>
      <c r="AD2872" t="s">
        <v>45</v>
      </c>
      <c r="AE2872" s="1">
        <v>26862</v>
      </c>
      <c r="AF2872">
        <v>1</v>
      </c>
      <c r="AG2872" t="s">
        <v>269</v>
      </c>
      <c r="AH2872" s="36">
        <f t="shared" si="44"/>
        <v>46.097222222222221</v>
      </c>
      <c r="AI2872" s="41" t="s">
        <v>1780</v>
      </c>
    </row>
    <row r="2873" spans="1:35" x14ac:dyDescent="0.25">
      <c r="A2873" s="36">
        <v>99912871</v>
      </c>
      <c r="B2873" s="17" t="s">
        <v>56</v>
      </c>
      <c r="C2873" t="s">
        <v>33</v>
      </c>
      <c r="D2873" t="s">
        <v>34</v>
      </c>
      <c r="G2873" s="17" t="s">
        <v>48</v>
      </c>
      <c r="H2873" s="17">
        <v>1</v>
      </c>
      <c r="K2873" t="s">
        <v>1268</v>
      </c>
      <c r="L2873" t="s">
        <v>1269</v>
      </c>
      <c r="M2873" t="s">
        <v>1270</v>
      </c>
      <c r="N2873">
        <v>19</v>
      </c>
      <c r="O2873" t="s">
        <v>40</v>
      </c>
      <c r="P2873" t="s">
        <v>40</v>
      </c>
      <c r="Q2873" t="s">
        <v>40</v>
      </c>
      <c r="R2873" t="s">
        <v>40</v>
      </c>
      <c r="S2873" t="s">
        <v>40</v>
      </c>
      <c r="V2873" t="s">
        <v>41</v>
      </c>
      <c r="W2873" t="s">
        <v>49</v>
      </c>
      <c r="X2873" t="str">
        <f>"1981912"</f>
        <v>1981912</v>
      </c>
      <c r="Y2873" t="s">
        <v>1279</v>
      </c>
      <c r="Z2873" t="s">
        <v>1268</v>
      </c>
      <c r="AA2873" t="s">
        <v>1269</v>
      </c>
      <c r="AB2873" t="s">
        <v>1270</v>
      </c>
      <c r="AC2873" t="s">
        <v>51</v>
      </c>
      <c r="AD2873" t="s">
        <v>45</v>
      </c>
      <c r="AE2873" s="1">
        <v>26861</v>
      </c>
      <c r="AF2873">
        <v>2</v>
      </c>
      <c r="AG2873" t="s">
        <v>1269</v>
      </c>
      <c r="AH2873" s="36">
        <f t="shared" si="44"/>
        <v>46.1</v>
      </c>
      <c r="AI2873" s="41" t="s">
        <v>1780</v>
      </c>
    </row>
    <row r="2874" spans="1:35" x14ac:dyDescent="0.25">
      <c r="A2874" s="36">
        <v>99912872</v>
      </c>
      <c r="B2874" s="17" t="s">
        <v>32</v>
      </c>
      <c r="C2874" t="s">
        <v>139</v>
      </c>
      <c r="D2874" t="s">
        <v>140</v>
      </c>
      <c r="G2874" s="17" t="s">
        <v>35</v>
      </c>
      <c r="H2874" s="17">
        <v>1</v>
      </c>
      <c r="I2874" t="s">
        <v>286</v>
      </c>
      <c r="J2874" s="1">
        <v>43344</v>
      </c>
      <c r="K2874" t="s">
        <v>268</v>
      </c>
      <c r="L2874" t="s">
        <v>269</v>
      </c>
      <c r="M2874" t="s">
        <v>131</v>
      </c>
      <c r="N2874">
        <v>12</v>
      </c>
      <c r="O2874" t="s">
        <v>40</v>
      </c>
      <c r="S2874" t="s">
        <v>40</v>
      </c>
      <c r="U2874" s="1">
        <v>43344</v>
      </c>
      <c r="V2874" t="s">
        <v>41</v>
      </c>
      <c r="W2874" t="s">
        <v>75</v>
      </c>
      <c r="X2874" t="str">
        <f>"7052020"</f>
        <v>7052020</v>
      </c>
      <c r="Y2874" t="s">
        <v>267</v>
      </c>
      <c r="Z2874" t="s">
        <v>268</v>
      </c>
      <c r="AA2874" t="s">
        <v>269</v>
      </c>
      <c r="AB2874" t="s">
        <v>131</v>
      </c>
      <c r="AC2874" t="s">
        <v>51</v>
      </c>
      <c r="AD2874" t="s">
        <v>45</v>
      </c>
      <c r="AE2874" s="1">
        <v>26856</v>
      </c>
      <c r="AF2874">
        <v>1</v>
      </c>
      <c r="AG2874" t="s">
        <v>269</v>
      </c>
      <c r="AH2874" s="36">
        <f t="shared" si="44"/>
        <v>46.113888888888887</v>
      </c>
      <c r="AI2874" s="41" t="s">
        <v>1780</v>
      </c>
    </row>
    <row r="2875" spans="1:35" x14ac:dyDescent="0.25">
      <c r="A2875" s="36">
        <v>99912873</v>
      </c>
      <c r="B2875" s="17" t="s">
        <v>32</v>
      </c>
      <c r="C2875" t="s">
        <v>111</v>
      </c>
      <c r="D2875" t="s">
        <v>112</v>
      </c>
      <c r="G2875" s="17" t="s">
        <v>35</v>
      </c>
      <c r="H2875" s="17">
        <v>1</v>
      </c>
      <c r="I2875">
        <v>0</v>
      </c>
      <c r="J2875" s="1">
        <v>43344</v>
      </c>
      <c r="K2875" t="s">
        <v>985</v>
      </c>
      <c r="L2875" t="s">
        <v>986</v>
      </c>
      <c r="M2875" t="s">
        <v>938</v>
      </c>
      <c r="N2875">
        <v>24</v>
      </c>
      <c r="O2875" t="s">
        <v>40</v>
      </c>
      <c r="P2875" t="s">
        <v>40</v>
      </c>
      <c r="Q2875" t="s">
        <v>40</v>
      </c>
      <c r="S2875" t="s">
        <v>40</v>
      </c>
      <c r="U2875" s="1">
        <v>43344</v>
      </c>
      <c r="V2875" t="s">
        <v>41</v>
      </c>
      <c r="W2875" t="s">
        <v>75</v>
      </c>
      <c r="X2875" t="str">
        <f>"7011000"</f>
        <v>7011000</v>
      </c>
      <c r="Y2875" t="s">
        <v>989</v>
      </c>
      <c r="Z2875" t="s">
        <v>985</v>
      </c>
      <c r="AA2875" t="s">
        <v>986</v>
      </c>
      <c r="AB2875" t="s">
        <v>938</v>
      </c>
      <c r="AC2875" t="s">
        <v>51</v>
      </c>
      <c r="AD2875" t="s">
        <v>45</v>
      </c>
      <c r="AE2875" s="1">
        <v>26853</v>
      </c>
      <c r="AF2875">
        <v>1</v>
      </c>
      <c r="AG2875" t="s">
        <v>986</v>
      </c>
      <c r="AH2875" s="36">
        <f t="shared" si="44"/>
        <v>46.12222222222222</v>
      </c>
      <c r="AI2875" s="41" t="s">
        <v>1780</v>
      </c>
    </row>
    <row r="2876" spans="1:35" x14ac:dyDescent="0.25">
      <c r="A2876" s="36">
        <v>99912874</v>
      </c>
      <c r="B2876" s="17" t="s">
        <v>32</v>
      </c>
      <c r="C2876" t="s">
        <v>139</v>
      </c>
      <c r="D2876" t="s">
        <v>140</v>
      </c>
      <c r="G2876" s="17" t="s">
        <v>48</v>
      </c>
      <c r="H2876" s="17">
        <v>1</v>
      </c>
      <c r="K2876" t="s">
        <v>877</v>
      </c>
      <c r="L2876" t="s">
        <v>878</v>
      </c>
      <c r="M2876" t="s">
        <v>131</v>
      </c>
      <c r="N2876">
        <v>25</v>
      </c>
      <c r="O2876" t="s">
        <v>40</v>
      </c>
      <c r="P2876" t="s">
        <v>40</v>
      </c>
      <c r="Q2876" t="s">
        <v>40</v>
      </c>
      <c r="R2876" t="s">
        <v>40</v>
      </c>
      <c r="S2876" t="s">
        <v>40</v>
      </c>
      <c r="V2876" t="s">
        <v>41</v>
      </c>
      <c r="W2876" t="s">
        <v>75</v>
      </c>
      <c r="X2876" t="str">
        <f>"7700025"</f>
        <v>7700025</v>
      </c>
      <c r="Y2876" t="s">
        <v>880</v>
      </c>
      <c r="Z2876" t="s">
        <v>877</v>
      </c>
      <c r="AA2876" t="s">
        <v>878</v>
      </c>
      <c r="AB2876" t="s">
        <v>131</v>
      </c>
      <c r="AC2876" t="s">
        <v>51</v>
      </c>
      <c r="AD2876" t="s">
        <v>45</v>
      </c>
      <c r="AE2876" s="1">
        <v>26851</v>
      </c>
      <c r="AF2876">
        <v>1</v>
      </c>
      <c r="AG2876" t="s">
        <v>878</v>
      </c>
      <c r="AH2876" s="36">
        <f t="shared" si="44"/>
        <v>46.12777777777778</v>
      </c>
      <c r="AI2876" s="41" t="s">
        <v>1780</v>
      </c>
    </row>
    <row r="2877" spans="1:35" x14ac:dyDescent="0.25">
      <c r="A2877" s="36">
        <v>99912875</v>
      </c>
      <c r="B2877" s="17" t="s">
        <v>56</v>
      </c>
      <c r="C2877" t="s">
        <v>52</v>
      </c>
      <c r="D2877" t="s">
        <v>53</v>
      </c>
      <c r="G2877" s="17" t="s">
        <v>35</v>
      </c>
      <c r="H2877" s="17">
        <v>1</v>
      </c>
      <c r="K2877" t="s">
        <v>380</v>
      </c>
      <c r="L2877" t="s">
        <v>381</v>
      </c>
      <c r="M2877" t="s">
        <v>131</v>
      </c>
      <c r="N2877">
        <v>13</v>
      </c>
      <c r="O2877" t="s">
        <v>40</v>
      </c>
      <c r="P2877" t="s">
        <v>40</v>
      </c>
      <c r="Q2877" t="s">
        <v>40</v>
      </c>
      <c r="R2877" t="s">
        <v>40</v>
      </c>
      <c r="S2877" t="s">
        <v>40</v>
      </c>
      <c r="V2877" t="s">
        <v>41</v>
      </c>
      <c r="W2877" t="s">
        <v>49</v>
      </c>
      <c r="X2877" t="str">
        <f>"0591909"</f>
        <v>0591909</v>
      </c>
      <c r="Y2877" t="s">
        <v>385</v>
      </c>
      <c r="Z2877" t="s">
        <v>380</v>
      </c>
      <c r="AA2877" t="s">
        <v>381</v>
      </c>
      <c r="AB2877" t="s">
        <v>131</v>
      </c>
      <c r="AC2877" t="s">
        <v>44</v>
      </c>
      <c r="AD2877" t="s">
        <v>45</v>
      </c>
      <c r="AE2877" s="1">
        <v>26847</v>
      </c>
      <c r="AF2877">
        <v>2</v>
      </c>
      <c r="AG2877" t="s">
        <v>381</v>
      </c>
      <c r="AH2877" s="36">
        <f t="shared" si="44"/>
        <v>46.138888888888886</v>
      </c>
      <c r="AI2877" s="41" t="s">
        <v>1780</v>
      </c>
    </row>
    <row r="2878" spans="1:35" x14ac:dyDescent="0.25">
      <c r="A2878" s="36">
        <v>99912876</v>
      </c>
      <c r="B2878" s="17" t="s">
        <v>32</v>
      </c>
      <c r="C2878" t="s">
        <v>111</v>
      </c>
      <c r="D2878" t="s">
        <v>112</v>
      </c>
      <c r="G2878" s="17" t="s">
        <v>48</v>
      </c>
      <c r="H2878" s="17">
        <v>11</v>
      </c>
      <c r="K2878" t="s">
        <v>1221</v>
      </c>
      <c r="L2878" t="s">
        <v>1222</v>
      </c>
      <c r="M2878" t="s">
        <v>1130</v>
      </c>
      <c r="N2878">
        <v>21</v>
      </c>
      <c r="O2878" t="s">
        <v>40</v>
      </c>
      <c r="P2878" t="s">
        <v>40</v>
      </c>
      <c r="Q2878" t="s">
        <v>40</v>
      </c>
      <c r="R2878" t="s">
        <v>40</v>
      </c>
      <c r="S2878" t="s">
        <v>40</v>
      </c>
      <c r="V2878" t="s">
        <v>41</v>
      </c>
      <c r="W2878" t="s">
        <v>75</v>
      </c>
      <c r="X2878" t="str">
        <f>"7351000"</f>
        <v>7351000</v>
      </c>
      <c r="Y2878" t="s">
        <v>1223</v>
      </c>
      <c r="Z2878" t="s">
        <v>1221</v>
      </c>
      <c r="AA2878" t="s">
        <v>1222</v>
      </c>
      <c r="AB2878" t="s">
        <v>1130</v>
      </c>
      <c r="AC2878" t="s">
        <v>51</v>
      </c>
      <c r="AD2878" t="s">
        <v>45</v>
      </c>
      <c r="AE2878" s="1">
        <v>26846</v>
      </c>
      <c r="AF2878">
        <v>1</v>
      </c>
      <c r="AG2878" t="s">
        <v>1222</v>
      </c>
      <c r="AH2878" s="36">
        <f t="shared" si="44"/>
        <v>46.141666666666666</v>
      </c>
      <c r="AI2878" s="41" t="s">
        <v>1780</v>
      </c>
    </row>
    <row r="2879" spans="1:35" x14ac:dyDescent="0.25">
      <c r="A2879" s="36">
        <v>99912877</v>
      </c>
      <c r="B2879" s="17" t="s">
        <v>32</v>
      </c>
      <c r="C2879" t="s">
        <v>61</v>
      </c>
      <c r="D2879" t="s">
        <v>62</v>
      </c>
      <c r="E2879" t="s">
        <v>52</v>
      </c>
      <c r="F2879" t="s">
        <v>53</v>
      </c>
      <c r="G2879" s="17" t="s">
        <v>48</v>
      </c>
      <c r="H2879" s="17">
        <v>1</v>
      </c>
      <c r="K2879" t="s">
        <v>157</v>
      </c>
      <c r="L2879" t="s">
        <v>158</v>
      </c>
      <c r="M2879" t="s">
        <v>131</v>
      </c>
      <c r="N2879">
        <v>21</v>
      </c>
      <c r="O2879" t="s">
        <v>40</v>
      </c>
      <c r="P2879" t="s">
        <v>40</v>
      </c>
      <c r="Q2879" t="s">
        <v>40</v>
      </c>
      <c r="R2879" t="s">
        <v>40</v>
      </c>
      <c r="S2879" t="s">
        <v>40</v>
      </c>
      <c r="V2879" t="s">
        <v>41</v>
      </c>
      <c r="W2879" t="s">
        <v>42</v>
      </c>
      <c r="X2879" t="str">
        <f>"0580290"</f>
        <v>0580290</v>
      </c>
      <c r="Y2879" t="s">
        <v>171</v>
      </c>
      <c r="Z2879" t="s">
        <v>157</v>
      </c>
      <c r="AA2879" t="s">
        <v>158</v>
      </c>
      <c r="AB2879" t="s">
        <v>131</v>
      </c>
      <c r="AC2879" t="s">
        <v>51</v>
      </c>
      <c r="AD2879" t="s">
        <v>45</v>
      </c>
      <c r="AE2879" s="1">
        <v>26844</v>
      </c>
      <c r="AF2879">
        <v>2</v>
      </c>
      <c r="AG2879" t="s">
        <v>158</v>
      </c>
      <c r="AH2879" s="36">
        <f t="shared" si="44"/>
        <v>46.147222222222226</v>
      </c>
      <c r="AI2879" s="41" t="s">
        <v>1780</v>
      </c>
    </row>
    <row r="2880" spans="1:35" x14ac:dyDescent="0.25">
      <c r="A2880" s="36">
        <v>99912878</v>
      </c>
      <c r="B2880" s="17" t="s">
        <v>56</v>
      </c>
      <c r="C2880" t="s">
        <v>82</v>
      </c>
      <c r="D2880" t="s">
        <v>83</v>
      </c>
      <c r="G2880" s="17" t="s">
        <v>48</v>
      </c>
      <c r="H2880" s="17">
        <v>1</v>
      </c>
      <c r="K2880" t="s">
        <v>162</v>
      </c>
      <c r="L2880" t="s">
        <v>158</v>
      </c>
      <c r="M2880" t="s">
        <v>131</v>
      </c>
      <c r="N2880">
        <v>21</v>
      </c>
      <c r="O2880" t="s">
        <v>40</v>
      </c>
      <c r="P2880" t="s">
        <v>40</v>
      </c>
      <c r="Q2880" t="s">
        <v>40</v>
      </c>
      <c r="R2880" t="s">
        <v>40</v>
      </c>
      <c r="S2880" t="s">
        <v>40</v>
      </c>
      <c r="V2880" t="s">
        <v>41</v>
      </c>
      <c r="W2880" t="s">
        <v>42</v>
      </c>
      <c r="X2880" t="str">
        <f>"0580310"</f>
        <v>0580310</v>
      </c>
      <c r="Y2880" t="s">
        <v>173</v>
      </c>
      <c r="Z2880" t="s">
        <v>162</v>
      </c>
      <c r="AA2880" t="s">
        <v>158</v>
      </c>
      <c r="AB2880" t="s">
        <v>131</v>
      </c>
      <c r="AC2880" t="s">
        <v>51</v>
      </c>
      <c r="AD2880" t="s">
        <v>45</v>
      </c>
      <c r="AE2880" s="1">
        <v>26844</v>
      </c>
      <c r="AF2880">
        <v>2</v>
      </c>
      <c r="AG2880" t="s">
        <v>158</v>
      </c>
      <c r="AH2880" s="36">
        <f t="shared" si="44"/>
        <v>46.147222222222226</v>
      </c>
      <c r="AI2880" s="41" t="s">
        <v>1780</v>
      </c>
    </row>
    <row r="2881" spans="1:35" x14ac:dyDescent="0.25">
      <c r="A2881" s="36">
        <v>99912879</v>
      </c>
      <c r="B2881" s="17" t="s">
        <v>32</v>
      </c>
      <c r="C2881" t="s">
        <v>46</v>
      </c>
      <c r="D2881" t="s">
        <v>47</v>
      </c>
      <c r="G2881" s="17" t="s">
        <v>35</v>
      </c>
      <c r="H2881" s="17">
        <v>1</v>
      </c>
      <c r="K2881" t="s">
        <v>1128</v>
      </c>
      <c r="L2881" t="s">
        <v>1129</v>
      </c>
      <c r="M2881" t="s">
        <v>1130</v>
      </c>
      <c r="N2881">
        <v>20</v>
      </c>
      <c r="O2881" t="s">
        <v>40</v>
      </c>
      <c r="P2881" t="s">
        <v>40</v>
      </c>
      <c r="Q2881" t="s">
        <v>40</v>
      </c>
      <c r="R2881" t="s">
        <v>40</v>
      </c>
      <c r="S2881" t="s">
        <v>40</v>
      </c>
      <c r="V2881" t="s">
        <v>41</v>
      </c>
      <c r="W2881" t="s">
        <v>42</v>
      </c>
      <c r="X2881" t="str">
        <f>"3180010"</f>
        <v>3180010</v>
      </c>
      <c r="Y2881" t="s">
        <v>1132</v>
      </c>
      <c r="Z2881" t="s">
        <v>1128</v>
      </c>
      <c r="AA2881" t="s">
        <v>1129</v>
      </c>
      <c r="AB2881" t="s">
        <v>1130</v>
      </c>
      <c r="AC2881" t="s">
        <v>51</v>
      </c>
      <c r="AD2881" t="s">
        <v>45</v>
      </c>
      <c r="AE2881" s="1">
        <v>26844</v>
      </c>
      <c r="AF2881">
        <v>2</v>
      </c>
      <c r="AG2881" t="s">
        <v>1129</v>
      </c>
      <c r="AH2881" s="36">
        <f t="shared" si="44"/>
        <v>46.147222222222226</v>
      </c>
      <c r="AI2881" s="41" t="s">
        <v>1780</v>
      </c>
    </row>
    <row r="2882" spans="1:35" x14ac:dyDescent="0.25">
      <c r="A2882" s="36">
        <v>99912880</v>
      </c>
      <c r="B2882" s="17" t="s">
        <v>32</v>
      </c>
      <c r="C2882" t="s">
        <v>139</v>
      </c>
      <c r="D2882" t="s">
        <v>140</v>
      </c>
      <c r="G2882" s="17" t="s">
        <v>48</v>
      </c>
      <c r="H2882" s="17">
        <v>8</v>
      </c>
      <c r="I2882">
        <v>1944</v>
      </c>
      <c r="J2882" s="1">
        <v>43344</v>
      </c>
      <c r="K2882" t="s">
        <v>1426</v>
      </c>
      <c r="L2882" t="s">
        <v>1427</v>
      </c>
      <c r="M2882" t="s">
        <v>1270</v>
      </c>
      <c r="N2882">
        <v>23</v>
      </c>
      <c r="O2882" t="s">
        <v>40</v>
      </c>
      <c r="P2882" t="s">
        <v>40</v>
      </c>
      <c r="Q2882" t="s">
        <v>40</v>
      </c>
      <c r="R2882" t="s">
        <v>40</v>
      </c>
      <c r="S2882" t="s">
        <v>40</v>
      </c>
      <c r="U2882" s="1">
        <v>43344</v>
      </c>
      <c r="V2882" t="s">
        <v>41</v>
      </c>
      <c r="W2882" t="s">
        <v>75</v>
      </c>
      <c r="X2882" t="str">
        <f>"7192000"</f>
        <v>7192000</v>
      </c>
      <c r="Y2882" t="s">
        <v>1429</v>
      </c>
      <c r="Z2882" t="s">
        <v>1426</v>
      </c>
      <c r="AA2882" t="s">
        <v>1427</v>
      </c>
      <c r="AB2882" t="s">
        <v>1270</v>
      </c>
      <c r="AC2882" t="s">
        <v>51</v>
      </c>
      <c r="AD2882" t="s">
        <v>45</v>
      </c>
      <c r="AE2882" s="1">
        <v>26844</v>
      </c>
      <c r="AF2882">
        <v>1</v>
      </c>
      <c r="AG2882" t="s">
        <v>1427</v>
      </c>
      <c r="AH2882" s="36">
        <f t="shared" ref="AH2882:AH2945" si="45">($AJ$1-AE2882)/360</f>
        <v>46.147222222222226</v>
      </c>
      <c r="AI2882" s="41" t="s">
        <v>1780</v>
      </c>
    </row>
    <row r="2883" spans="1:35" x14ac:dyDescent="0.25">
      <c r="A2883" s="36">
        <v>99912881</v>
      </c>
      <c r="B2883" s="17" t="s">
        <v>32</v>
      </c>
      <c r="C2883" t="s">
        <v>90</v>
      </c>
      <c r="D2883" t="s">
        <v>91</v>
      </c>
      <c r="G2883" s="17" t="s">
        <v>35</v>
      </c>
      <c r="H2883" s="17">
        <v>1</v>
      </c>
      <c r="I2883" t="s">
        <v>701</v>
      </c>
      <c r="J2883" s="1">
        <v>43344</v>
      </c>
      <c r="K2883" t="s">
        <v>268</v>
      </c>
      <c r="L2883" t="s">
        <v>269</v>
      </c>
      <c r="M2883" t="s">
        <v>131</v>
      </c>
      <c r="N2883">
        <v>22</v>
      </c>
      <c r="O2883" t="s">
        <v>40</v>
      </c>
      <c r="S2883" t="s">
        <v>40</v>
      </c>
      <c r="U2883" s="1">
        <v>43344</v>
      </c>
      <c r="V2883" t="s">
        <v>41</v>
      </c>
      <c r="W2883" t="s">
        <v>95</v>
      </c>
      <c r="X2883" t="str">
        <f>"7052043"</f>
        <v>7052043</v>
      </c>
      <c r="Y2883" t="s">
        <v>651</v>
      </c>
      <c r="Z2883" t="s">
        <v>268</v>
      </c>
      <c r="AA2883" t="s">
        <v>269</v>
      </c>
      <c r="AB2883" t="s">
        <v>131</v>
      </c>
      <c r="AC2883" t="s">
        <v>51</v>
      </c>
      <c r="AD2883" t="s">
        <v>45</v>
      </c>
      <c r="AE2883" s="1">
        <v>26840</v>
      </c>
      <c r="AF2883">
        <v>1</v>
      </c>
      <c r="AG2883" t="s">
        <v>269</v>
      </c>
      <c r="AH2883" s="36">
        <f t="shared" si="45"/>
        <v>46.158333333333331</v>
      </c>
      <c r="AI2883" s="41" t="s">
        <v>1780</v>
      </c>
    </row>
    <row r="2884" spans="1:35" x14ac:dyDescent="0.25">
      <c r="A2884" s="36">
        <v>99912882</v>
      </c>
      <c r="B2884" s="17" t="s">
        <v>32</v>
      </c>
      <c r="C2884" t="s">
        <v>139</v>
      </c>
      <c r="D2884" t="s">
        <v>140</v>
      </c>
      <c r="G2884" s="17" t="s">
        <v>48</v>
      </c>
      <c r="H2884" s="17">
        <v>1</v>
      </c>
      <c r="K2884" t="s">
        <v>300</v>
      </c>
      <c r="L2884" t="s">
        <v>301</v>
      </c>
      <c r="M2884" t="s">
        <v>131</v>
      </c>
      <c r="N2884">
        <v>11</v>
      </c>
      <c r="O2884" t="s">
        <v>40</v>
      </c>
      <c r="P2884" t="s">
        <v>40</v>
      </c>
      <c r="Q2884" t="s">
        <v>40</v>
      </c>
      <c r="R2884" t="s">
        <v>40</v>
      </c>
      <c r="S2884" t="s">
        <v>40</v>
      </c>
      <c r="V2884" t="s">
        <v>41</v>
      </c>
      <c r="W2884" t="s">
        <v>49</v>
      </c>
      <c r="X2884" t="str">
        <f>"0560029"</f>
        <v>0560029</v>
      </c>
      <c r="Y2884" t="s">
        <v>309</v>
      </c>
      <c r="Z2884" t="s">
        <v>300</v>
      </c>
      <c r="AA2884" t="s">
        <v>301</v>
      </c>
      <c r="AB2884" t="s">
        <v>131</v>
      </c>
      <c r="AC2884" t="s">
        <v>165</v>
      </c>
      <c r="AD2884" t="s">
        <v>45</v>
      </c>
      <c r="AE2884" s="1">
        <v>26839</v>
      </c>
      <c r="AF2884">
        <v>2</v>
      </c>
      <c r="AG2884" t="s">
        <v>301</v>
      </c>
      <c r="AH2884" s="36">
        <f t="shared" si="45"/>
        <v>46.161111111111111</v>
      </c>
      <c r="AI2884" s="41" t="s">
        <v>1780</v>
      </c>
    </row>
    <row r="2885" spans="1:35" x14ac:dyDescent="0.25">
      <c r="A2885" s="36">
        <v>99912883</v>
      </c>
      <c r="B2885" s="17" t="s">
        <v>56</v>
      </c>
      <c r="C2885" t="s">
        <v>79</v>
      </c>
      <c r="D2885" t="s">
        <v>80</v>
      </c>
      <c r="G2885" s="17" t="s">
        <v>48</v>
      </c>
      <c r="H2885" s="17">
        <v>8</v>
      </c>
      <c r="I2885" t="s">
        <v>1001</v>
      </c>
      <c r="J2885" s="1">
        <v>43344</v>
      </c>
      <c r="K2885" t="s">
        <v>963</v>
      </c>
      <c r="L2885" t="s">
        <v>964</v>
      </c>
      <c r="M2885" t="s">
        <v>938</v>
      </c>
      <c r="N2885">
        <v>24</v>
      </c>
      <c r="O2885" t="s">
        <v>40</v>
      </c>
      <c r="P2885" t="s">
        <v>40</v>
      </c>
      <c r="Q2885" t="s">
        <v>40</v>
      </c>
      <c r="R2885" t="s">
        <v>40</v>
      </c>
      <c r="S2885" t="s">
        <v>40</v>
      </c>
      <c r="U2885" s="1">
        <v>43344</v>
      </c>
      <c r="V2885" t="s">
        <v>41</v>
      </c>
      <c r="W2885" t="s">
        <v>75</v>
      </c>
      <c r="X2885" t="str">
        <f>"7061004"</f>
        <v>7061004</v>
      </c>
      <c r="Y2885" t="s">
        <v>1002</v>
      </c>
      <c r="Z2885" t="s">
        <v>963</v>
      </c>
      <c r="AA2885" t="s">
        <v>964</v>
      </c>
      <c r="AB2885" t="s">
        <v>938</v>
      </c>
      <c r="AC2885" t="s">
        <v>44</v>
      </c>
      <c r="AD2885" t="s">
        <v>45</v>
      </c>
      <c r="AE2885" s="1">
        <v>26836</v>
      </c>
      <c r="AF2885">
        <v>1</v>
      </c>
      <c r="AG2885" t="s">
        <v>964</v>
      </c>
      <c r="AH2885" s="36">
        <f t="shared" si="45"/>
        <v>46.169444444444444</v>
      </c>
      <c r="AI2885" s="41" t="s">
        <v>1780</v>
      </c>
    </row>
    <row r="2886" spans="1:35" x14ac:dyDescent="0.25">
      <c r="A2886" s="36">
        <v>99912884</v>
      </c>
      <c r="B2886" s="17" t="s">
        <v>32</v>
      </c>
      <c r="C2886" t="s">
        <v>111</v>
      </c>
      <c r="D2886" t="s">
        <v>112</v>
      </c>
      <c r="G2886" s="17" t="s">
        <v>35</v>
      </c>
      <c r="H2886" s="17">
        <v>1</v>
      </c>
      <c r="K2886" t="s">
        <v>963</v>
      </c>
      <c r="L2886" t="s">
        <v>964</v>
      </c>
      <c r="M2886" t="s">
        <v>938</v>
      </c>
      <c r="N2886">
        <v>22</v>
      </c>
      <c r="O2886" t="s">
        <v>40</v>
      </c>
      <c r="P2886" t="s">
        <v>40</v>
      </c>
      <c r="Q2886" t="s">
        <v>40</v>
      </c>
      <c r="S2886" t="s">
        <v>40</v>
      </c>
      <c r="V2886" t="s">
        <v>41</v>
      </c>
      <c r="W2886" t="s">
        <v>75</v>
      </c>
      <c r="X2886" t="str">
        <f>"7061000"</f>
        <v>7061000</v>
      </c>
      <c r="Y2886" t="s">
        <v>962</v>
      </c>
      <c r="Z2886" t="s">
        <v>963</v>
      </c>
      <c r="AA2886" t="s">
        <v>964</v>
      </c>
      <c r="AB2886" t="s">
        <v>938</v>
      </c>
      <c r="AC2886" t="s">
        <v>165</v>
      </c>
      <c r="AD2886" t="s">
        <v>45</v>
      </c>
      <c r="AE2886" s="1">
        <v>26835</v>
      </c>
      <c r="AF2886">
        <v>1</v>
      </c>
      <c r="AG2886" t="s">
        <v>964</v>
      </c>
      <c r="AH2886" s="36">
        <f t="shared" si="45"/>
        <v>46.172222222222224</v>
      </c>
      <c r="AI2886" s="41" t="s">
        <v>1780</v>
      </c>
    </row>
    <row r="2887" spans="1:35" x14ac:dyDescent="0.25">
      <c r="A2887" s="36">
        <v>99912885</v>
      </c>
      <c r="B2887" s="17" t="s">
        <v>32</v>
      </c>
      <c r="C2887" t="s">
        <v>111</v>
      </c>
      <c r="D2887" t="s">
        <v>112</v>
      </c>
      <c r="G2887" s="17" t="s">
        <v>48</v>
      </c>
      <c r="H2887" s="17">
        <v>6</v>
      </c>
      <c r="K2887" t="s">
        <v>1426</v>
      </c>
      <c r="L2887" t="s">
        <v>1427</v>
      </c>
      <c r="M2887" t="s">
        <v>1270</v>
      </c>
      <c r="N2887">
        <v>23</v>
      </c>
      <c r="O2887" t="s">
        <v>40</v>
      </c>
      <c r="P2887" t="s">
        <v>40</v>
      </c>
      <c r="Q2887" t="s">
        <v>40</v>
      </c>
      <c r="R2887" t="s">
        <v>40</v>
      </c>
      <c r="S2887" t="s">
        <v>40</v>
      </c>
      <c r="V2887" t="s">
        <v>41</v>
      </c>
      <c r="W2887" t="s">
        <v>75</v>
      </c>
      <c r="X2887" t="str">
        <f>"7192000"</f>
        <v>7192000</v>
      </c>
      <c r="Y2887" t="s">
        <v>1429</v>
      </c>
      <c r="Z2887" t="s">
        <v>1426</v>
      </c>
      <c r="AA2887" t="s">
        <v>1427</v>
      </c>
      <c r="AB2887" t="s">
        <v>1270</v>
      </c>
      <c r="AC2887" t="s">
        <v>51</v>
      </c>
      <c r="AD2887" t="s">
        <v>45</v>
      </c>
      <c r="AE2887" s="1">
        <v>26831</v>
      </c>
      <c r="AF2887">
        <v>1</v>
      </c>
      <c r="AG2887" t="s">
        <v>1427</v>
      </c>
      <c r="AH2887" s="36">
        <f t="shared" si="45"/>
        <v>46.18333333333333</v>
      </c>
      <c r="AI2887" s="41" t="s">
        <v>1780</v>
      </c>
    </row>
    <row r="2888" spans="1:35" x14ac:dyDescent="0.25">
      <c r="A2888" s="36">
        <v>99912886</v>
      </c>
      <c r="B2888" s="17" t="s">
        <v>56</v>
      </c>
      <c r="C2888" t="s">
        <v>46</v>
      </c>
      <c r="D2888" t="s">
        <v>47</v>
      </c>
      <c r="G2888" s="17" t="s">
        <v>48</v>
      </c>
      <c r="H2888" s="17">
        <v>5</v>
      </c>
      <c r="K2888" t="s">
        <v>345</v>
      </c>
      <c r="L2888" t="s">
        <v>346</v>
      </c>
      <c r="M2888" t="s">
        <v>131</v>
      </c>
      <c r="N2888">
        <v>21</v>
      </c>
      <c r="O2888" t="s">
        <v>40</v>
      </c>
      <c r="P2888" t="s">
        <v>40</v>
      </c>
      <c r="Q2888" t="s">
        <v>40</v>
      </c>
      <c r="R2888" t="s">
        <v>40</v>
      </c>
      <c r="S2888" t="s">
        <v>40</v>
      </c>
      <c r="V2888" t="s">
        <v>41</v>
      </c>
      <c r="W2888" t="s">
        <v>42</v>
      </c>
      <c r="X2888" t="str">
        <f>"0561019"</f>
        <v>0561019</v>
      </c>
      <c r="Y2888" t="s">
        <v>351</v>
      </c>
      <c r="Z2888" t="s">
        <v>345</v>
      </c>
      <c r="AA2888" t="s">
        <v>346</v>
      </c>
      <c r="AB2888" t="s">
        <v>131</v>
      </c>
      <c r="AC2888" t="s">
        <v>51</v>
      </c>
      <c r="AD2888" t="s">
        <v>45</v>
      </c>
      <c r="AE2888" s="1">
        <v>26828</v>
      </c>
      <c r="AF2888">
        <v>2</v>
      </c>
      <c r="AG2888" t="s">
        <v>346</v>
      </c>
      <c r="AH2888" s="36">
        <f t="shared" si="45"/>
        <v>46.19166666666667</v>
      </c>
      <c r="AI2888" s="41" t="s">
        <v>1780</v>
      </c>
    </row>
    <row r="2889" spans="1:35" x14ac:dyDescent="0.25">
      <c r="A2889" s="36">
        <v>99912887</v>
      </c>
      <c r="B2889" s="17" t="s">
        <v>56</v>
      </c>
      <c r="C2889" t="s">
        <v>52</v>
      </c>
      <c r="D2889" t="s">
        <v>53</v>
      </c>
      <c r="G2889" s="17" t="s">
        <v>35</v>
      </c>
      <c r="H2889" s="17">
        <v>1</v>
      </c>
      <c r="K2889" t="s">
        <v>1128</v>
      </c>
      <c r="L2889" t="s">
        <v>1129</v>
      </c>
      <c r="M2889" t="s">
        <v>1130</v>
      </c>
      <c r="N2889">
        <v>21</v>
      </c>
      <c r="O2889" t="s">
        <v>40</v>
      </c>
      <c r="P2889" t="s">
        <v>40</v>
      </c>
      <c r="Q2889" t="s">
        <v>40</v>
      </c>
      <c r="R2889" t="s">
        <v>40</v>
      </c>
      <c r="S2889" t="s">
        <v>40</v>
      </c>
      <c r="V2889" t="s">
        <v>41</v>
      </c>
      <c r="W2889" t="s">
        <v>42</v>
      </c>
      <c r="X2889" t="str">
        <f>"3180010"</f>
        <v>3180010</v>
      </c>
      <c r="Y2889" t="s">
        <v>1132</v>
      </c>
      <c r="Z2889" t="s">
        <v>1128</v>
      </c>
      <c r="AA2889" t="s">
        <v>1129</v>
      </c>
      <c r="AB2889" t="s">
        <v>1130</v>
      </c>
      <c r="AC2889" t="s">
        <v>51</v>
      </c>
      <c r="AD2889" t="s">
        <v>45</v>
      </c>
      <c r="AE2889" s="1">
        <v>26827</v>
      </c>
      <c r="AF2889">
        <v>2</v>
      </c>
      <c r="AG2889" t="s">
        <v>1129</v>
      </c>
      <c r="AH2889" s="36">
        <f t="shared" si="45"/>
        <v>46.194444444444443</v>
      </c>
      <c r="AI2889" s="41" t="s">
        <v>1780</v>
      </c>
    </row>
    <row r="2890" spans="1:35" x14ac:dyDescent="0.25">
      <c r="A2890" s="36">
        <v>99912888</v>
      </c>
      <c r="B2890" s="17" t="s">
        <v>56</v>
      </c>
      <c r="C2890" t="s">
        <v>85</v>
      </c>
      <c r="D2890" t="s">
        <v>86</v>
      </c>
      <c r="G2890" s="17" t="s">
        <v>35</v>
      </c>
      <c r="H2890" s="17">
        <v>1</v>
      </c>
      <c r="I2890" t="s">
        <v>1594</v>
      </c>
      <c r="J2890" s="1">
        <v>43344</v>
      </c>
      <c r="K2890" t="s">
        <v>1590</v>
      </c>
      <c r="L2890" t="s">
        <v>1591</v>
      </c>
      <c r="M2890" t="s">
        <v>1592</v>
      </c>
      <c r="N2890">
        <v>12</v>
      </c>
      <c r="O2890" t="s">
        <v>40</v>
      </c>
      <c r="S2890" t="s">
        <v>40</v>
      </c>
      <c r="U2890" s="1">
        <v>43344</v>
      </c>
      <c r="V2890" t="s">
        <v>41</v>
      </c>
      <c r="W2890" t="s">
        <v>49</v>
      </c>
      <c r="X2890" t="str">
        <f>"0260001"</f>
        <v>0260001</v>
      </c>
      <c r="Y2890" t="s">
        <v>1595</v>
      </c>
      <c r="Z2890" t="s">
        <v>1590</v>
      </c>
      <c r="AA2890" t="s">
        <v>1591</v>
      </c>
      <c r="AB2890" t="s">
        <v>1592</v>
      </c>
      <c r="AC2890" t="s">
        <v>51</v>
      </c>
      <c r="AD2890" t="s">
        <v>45</v>
      </c>
      <c r="AE2890" s="1">
        <v>26826</v>
      </c>
      <c r="AF2890">
        <v>2</v>
      </c>
      <c r="AG2890" t="s">
        <v>1591</v>
      </c>
      <c r="AH2890" s="36">
        <f t="shared" si="45"/>
        <v>46.197222222222223</v>
      </c>
      <c r="AI2890" s="41" t="s">
        <v>1780</v>
      </c>
    </row>
    <row r="2891" spans="1:35" x14ac:dyDescent="0.25">
      <c r="A2891" s="36">
        <v>99912889</v>
      </c>
      <c r="B2891" s="17" t="s">
        <v>32</v>
      </c>
      <c r="C2891" t="s">
        <v>46</v>
      </c>
      <c r="D2891" t="s">
        <v>47</v>
      </c>
      <c r="G2891" s="17" t="s">
        <v>48</v>
      </c>
      <c r="H2891" s="17">
        <v>1</v>
      </c>
      <c r="K2891" t="s">
        <v>223</v>
      </c>
      <c r="L2891" t="s">
        <v>224</v>
      </c>
      <c r="M2891" t="s">
        <v>131</v>
      </c>
      <c r="N2891">
        <v>20</v>
      </c>
      <c r="O2891" t="s">
        <v>40</v>
      </c>
      <c r="P2891" t="s">
        <v>40</v>
      </c>
      <c r="Q2891" t="s">
        <v>40</v>
      </c>
      <c r="S2891" t="s">
        <v>40</v>
      </c>
      <c r="V2891" t="s">
        <v>41</v>
      </c>
      <c r="W2891" t="s">
        <v>49</v>
      </c>
      <c r="X2891" t="str">
        <f>"0581200"</f>
        <v>0581200</v>
      </c>
      <c r="Y2891" t="s">
        <v>238</v>
      </c>
      <c r="Z2891" t="s">
        <v>223</v>
      </c>
      <c r="AA2891" t="s">
        <v>224</v>
      </c>
      <c r="AB2891" t="s">
        <v>131</v>
      </c>
      <c r="AC2891" t="s">
        <v>51</v>
      </c>
      <c r="AD2891" t="s">
        <v>45</v>
      </c>
      <c r="AE2891" s="1">
        <v>26824</v>
      </c>
      <c r="AF2891">
        <v>2</v>
      </c>
      <c r="AG2891" t="s">
        <v>224</v>
      </c>
      <c r="AH2891" s="36">
        <f t="shared" si="45"/>
        <v>46.202777777777776</v>
      </c>
      <c r="AI2891" s="41" t="s">
        <v>1780</v>
      </c>
    </row>
    <row r="2892" spans="1:35" x14ac:dyDescent="0.25">
      <c r="A2892" s="36">
        <v>99912890</v>
      </c>
      <c r="B2892" s="17" t="s">
        <v>56</v>
      </c>
      <c r="C2892" t="s">
        <v>68</v>
      </c>
      <c r="D2892" t="s">
        <v>69</v>
      </c>
      <c r="G2892" s="17" t="s">
        <v>48</v>
      </c>
      <c r="H2892" s="17">
        <v>1</v>
      </c>
      <c r="K2892" t="s">
        <v>1268</v>
      </c>
      <c r="L2892" t="s">
        <v>1269</v>
      </c>
      <c r="M2892" t="s">
        <v>1270</v>
      </c>
      <c r="N2892">
        <v>21</v>
      </c>
      <c r="O2892" t="s">
        <v>40</v>
      </c>
      <c r="P2892" t="s">
        <v>40</v>
      </c>
      <c r="Q2892" t="s">
        <v>40</v>
      </c>
      <c r="S2892" t="s">
        <v>40</v>
      </c>
      <c r="V2892" t="s">
        <v>41</v>
      </c>
      <c r="W2892" t="s">
        <v>42</v>
      </c>
      <c r="X2892" t="str">
        <f>"1980050"</f>
        <v>1980050</v>
      </c>
      <c r="Y2892" t="s">
        <v>1278</v>
      </c>
      <c r="Z2892" t="s">
        <v>1268</v>
      </c>
      <c r="AA2892" t="s">
        <v>1269</v>
      </c>
      <c r="AB2892" t="s">
        <v>1270</v>
      </c>
      <c r="AC2892" t="s">
        <v>51</v>
      </c>
      <c r="AD2892" t="s">
        <v>45</v>
      </c>
      <c r="AE2892" s="1">
        <v>26824</v>
      </c>
      <c r="AF2892">
        <v>2</v>
      </c>
      <c r="AG2892" t="s">
        <v>1269</v>
      </c>
      <c r="AH2892" s="36">
        <f t="shared" si="45"/>
        <v>46.202777777777776</v>
      </c>
      <c r="AI2892" s="41" t="s">
        <v>1780</v>
      </c>
    </row>
    <row r="2893" spans="1:35" x14ac:dyDescent="0.25">
      <c r="A2893" s="36">
        <v>99912891</v>
      </c>
      <c r="B2893" s="17" t="s">
        <v>32</v>
      </c>
      <c r="C2893" t="s">
        <v>143</v>
      </c>
      <c r="D2893" t="s">
        <v>144</v>
      </c>
      <c r="G2893" s="17" t="s">
        <v>35</v>
      </c>
      <c r="H2893" s="17">
        <v>1</v>
      </c>
      <c r="I2893" t="s">
        <v>1136</v>
      </c>
      <c r="J2893" s="1">
        <v>43367</v>
      </c>
      <c r="K2893" t="s">
        <v>1128</v>
      </c>
      <c r="L2893" t="s">
        <v>1129</v>
      </c>
      <c r="M2893" t="s">
        <v>1130</v>
      </c>
      <c r="N2893">
        <v>8</v>
      </c>
      <c r="O2893" t="s">
        <v>40</v>
      </c>
      <c r="S2893" t="s">
        <v>40</v>
      </c>
      <c r="U2893" s="1">
        <v>43367</v>
      </c>
      <c r="V2893" t="s">
        <v>41</v>
      </c>
      <c r="W2893" t="s">
        <v>49</v>
      </c>
      <c r="X2893" t="str">
        <f>"3181015"</f>
        <v>3181015</v>
      </c>
      <c r="Y2893" t="s">
        <v>1131</v>
      </c>
      <c r="Z2893" t="s">
        <v>1128</v>
      </c>
      <c r="AA2893" t="s">
        <v>1129</v>
      </c>
      <c r="AB2893" t="s">
        <v>1130</v>
      </c>
      <c r="AC2893" t="s">
        <v>44</v>
      </c>
      <c r="AD2893" t="s">
        <v>45</v>
      </c>
      <c r="AE2893" s="1">
        <v>26823</v>
      </c>
      <c r="AF2893">
        <v>2</v>
      </c>
      <c r="AG2893" t="s">
        <v>1129</v>
      </c>
      <c r="AH2893" s="36">
        <f t="shared" si="45"/>
        <v>46.205555555555556</v>
      </c>
      <c r="AI2893" s="41" t="s">
        <v>1780</v>
      </c>
    </row>
    <row r="2894" spans="1:35" x14ac:dyDescent="0.25">
      <c r="A2894" s="36">
        <v>99912892</v>
      </c>
      <c r="B2894" s="17" t="s">
        <v>56</v>
      </c>
      <c r="C2894" t="s">
        <v>58</v>
      </c>
      <c r="D2894" t="s">
        <v>59</v>
      </c>
      <c r="G2894" s="17" t="s">
        <v>48</v>
      </c>
      <c r="H2894" s="17">
        <v>1</v>
      </c>
      <c r="K2894" t="s">
        <v>300</v>
      </c>
      <c r="L2894" t="s">
        <v>301</v>
      </c>
      <c r="M2894" t="s">
        <v>131</v>
      </c>
      <c r="N2894">
        <v>20</v>
      </c>
      <c r="O2894" t="s">
        <v>40</v>
      </c>
      <c r="P2894" t="s">
        <v>40</v>
      </c>
      <c r="Q2894" t="s">
        <v>40</v>
      </c>
      <c r="R2894" t="s">
        <v>40</v>
      </c>
      <c r="S2894" t="s">
        <v>40</v>
      </c>
      <c r="V2894" t="s">
        <v>41</v>
      </c>
      <c r="W2894" t="s">
        <v>42</v>
      </c>
      <c r="X2894" t="str">
        <f>"0561001"</f>
        <v>0561001</v>
      </c>
      <c r="Y2894" t="s">
        <v>308</v>
      </c>
      <c r="Z2894" t="s">
        <v>300</v>
      </c>
      <c r="AA2894" t="s">
        <v>301</v>
      </c>
      <c r="AB2894" t="s">
        <v>131</v>
      </c>
      <c r="AC2894" t="s">
        <v>51</v>
      </c>
      <c r="AD2894" t="s">
        <v>45</v>
      </c>
      <c r="AE2894" s="1">
        <v>26821</v>
      </c>
      <c r="AF2894">
        <v>2</v>
      </c>
      <c r="AG2894" t="s">
        <v>301</v>
      </c>
      <c r="AH2894" s="36">
        <f t="shared" si="45"/>
        <v>46.211111111111109</v>
      </c>
      <c r="AI2894" s="41" t="s">
        <v>1780</v>
      </c>
    </row>
    <row r="2895" spans="1:35" x14ac:dyDescent="0.25">
      <c r="A2895" s="36">
        <v>99912893</v>
      </c>
      <c r="B2895" s="17" t="s">
        <v>56</v>
      </c>
      <c r="C2895" t="s">
        <v>52</v>
      </c>
      <c r="D2895" t="s">
        <v>53</v>
      </c>
      <c r="G2895" s="17" t="s">
        <v>35</v>
      </c>
      <c r="H2895" s="17">
        <v>1</v>
      </c>
      <c r="I2895">
        <v>17839</v>
      </c>
      <c r="J2895" s="1">
        <v>43346</v>
      </c>
      <c r="K2895" t="s">
        <v>380</v>
      </c>
      <c r="L2895" t="s">
        <v>381</v>
      </c>
      <c r="M2895" t="s">
        <v>131</v>
      </c>
      <c r="N2895">
        <v>23</v>
      </c>
      <c r="O2895" t="s">
        <v>40</v>
      </c>
      <c r="S2895" t="s">
        <v>40</v>
      </c>
      <c r="U2895" s="1">
        <v>43346</v>
      </c>
      <c r="V2895" t="s">
        <v>41</v>
      </c>
      <c r="W2895" t="s">
        <v>49</v>
      </c>
      <c r="X2895" t="str">
        <f>"0560028"</f>
        <v>0560028</v>
      </c>
      <c r="Y2895" t="s">
        <v>384</v>
      </c>
      <c r="Z2895" t="s">
        <v>380</v>
      </c>
      <c r="AA2895" t="s">
        <v>381</v>
      </c>
      <c r="AB2895" t="s">
        <v>131</v>
      </c>
      <c r="AC2895" t="s">
        <v>44</v>
      </c>
      <c r="AD2895" t="s">
        <v>45</v>
      </c>
      <c r="AE2895" s="1">
        <v>26820</v>
      </c>
      <c r="AF2895">
        <v>2</v>
      </c>
      <c r="AG2895" t="s">
        <v>381</v>
      </c>
      <c r="AH2895" s="36">
        <f t="shared" si="45"/>
        <v>46.213888888888889</v>
      </c>
      <c r="AI2895" s="41" t="s">
        <v>1780</v>
      </c>
    </row>
    <row r="2896" spans="1:35" x14ac:dyDescent="0.25">
      <c r="A2896" s="36">
        <v>99912894</v>
      </c>
      <c r="B2896" s="17" t="s">
        <v>32</v>
      </c>
      <c r="C2896" t="s">
        <v>64</v>
      </c>
      <c r="D2896" t="s">
        <v>65</v>
      </c>
      <c r="G2896" s="17" t="s">
        <v>48</v>
      </c>
      <c r="H2896" s="17">
        <v>1</v>
      </c>
      <c r="K2896" t="s">
        <v>223</v>
      </c>
      <c r="L2896" t="s">
        <v>224</v>
      </c>
      <c r="M2896" t="s">
        <v>131</v>
      </c>
      <c r="N2896">
        <v>20</v>
      </c>
      <c r="O2896" t="s">
        <v>40</v>
      </c>
      <c r="P2896" t="s">
        <v>40</v>
      </c>
      <c r="Q2896" t="s">
        <v>40</v>
      </c>
      <c r="R2896" t="s">
        <v>40</v>
      </c>
      <c r="S2896" t="s">
        <v>40</v>
      </c>
      <c r="V2896" t="s">
        <v>41</v>
      </c>
      <c r="W2896" t="s">
        <v>42</v>
      </c>
      <c r="X2896" t="str">
        <f>"0580204"</f>
        <v>0580204</v>
      </c>
      <c r="Y2896" t="s">
        <v>235</v>
      </c>
      <c r="Z2896" t="s">
        <v>223</v>
      </c>
      <c r="AA2896" t="s">
        <v>224</v>
      </c>
      <c r="AB2896" t="s">
        <v>131</v>
      </c>
      <c r="AC2896" t="s">
        <v>51</v>
      </c>
      <c r="AD2896" t="s">
        <v>45</v>
      </c>
      <c r="AE2896" s="1">
        <v>26819</v>
      </c>
      <c r="AF2896">
        <v>2</v>
      </c>
      <c r="AG2896" t="s">
        <v>224</v>
      </c>
      <c r="AH2896" s="36">
        <f t="shared" si="45"/>
        <v>46.216666666666669</v>
      </c>
      <c r="AI2896" s="41" t="s">
        <v>1780</v>
      </c>
    </row>
    <row r="2897" spans="1:35" x14ac:dyDescent="0.25">
      <c r="A2897" s="36">
        <v>99912895</v>
      </c>
      <c r="B2897" s="17" t="s">
        <v>32</v>
      </c>
      <c r="C2897" t="s">
        <v>90</v>
      </c>
      <c r="D2897" t="s">
        <v>91</v>
      </c>
      <c r="G2897" s="17" t="s">
        <v>35</v>
      </c>
      <c r="H2897" s="17">
        <v>1</v>
      </c>
      <c r="K2897" t="s">
        <v>431</v>
      </c>
      <c r="L2897" t="s">
        <v>196</v>
      </c>
      <c r="M2897" t="s">
        <v>131</v>
      </c>
      <c r="N2897">
        <v>24</v>
      </c>
      <c r="O2897" t="s">
        <v>40</v>
      </c>
      <c r="P2897" t="s">
        <v>40</v>
      </c>
      <c r="Q2897" t="s">
        <v>40</v>
      </c>
      <c r="R2897" t="s">
        <v>40</v>
      </c>
      <c r="S2897" t="s">
        <v>40</v>
      </c>
      <c r="V2897" t="s">
        <v>41</v>
      </c>
      <c r="W2897" t="s">
        <v>75</v>
      </c>
      <c r="X2897" t="str">
        <f>"7521032"</f>
        <v>7521032</v>
      </c>
      <c r="Y2897" t="s">
        <v>462</v>
      </c>
      <c r="Z2897" t="s">
        <v>431</v>
      </c>
      <c r="AA2897" t="s">
        <v>196</v>
      </c>
      <c r="AB2897" t="s">
        <v>131</v>
      </c>
      <c r="AC2897" t="s">
        <v>51</v>
      </c>
      <c r="AD2897" t="s">
        <v>45</v>
      </c>
      <c r="AE2897" s="1">
        <v>26817</v>
      </c>
      <c r="AF2897">
        <v>1</v>
      </c>
      <c r="AG2897" t="s">
        <v>196</v>
      </c>
      <c r="AH2897" s="36">
        <f t="shared" si="45"/>
        <v>46.222222222222221</v>
      </c>
      <c r="AI2897" s="41" t="s">
        <v>1780</v>
      </c>
    </row>
    <row r="2898" spans="1:35" x14ac:dyDescent="0.25">
      <c r="A2898" s="36">
        <v>99912896</v>
      </c>
      <c r="B2898" s="17" t="s">
        <v>32</v>
      </c>
      <c r="C2898" t="s">
        <v>64</v>
      </c>
      <c r="D2898" t="s">
        <v>65</v>
      </c>
      <c r="G2898" s="17" t="s">
        <v>48</v>
      </c>
      <c r="H2898" s="17">
        <v>8</v>
      </c>
      <c r="K2898" t="s">
        <v>1268</v>
      </c>
      <c r="L2898" t="s">
        <v>1269</v>
      </c>
      <c r="M2898" t="s">
        <v>1270</v>
      </c>
      <c r="N2898">
        <v>20</v>
      </c>
      <c r="O2898" t="s">
        <v>40</v>
      </c>
      <c r="P2898" t="s">
        <v>40</v>
      </c>
      <c r="Q2898" t="s">
        <v>40</v>
      </c>
      <c r="R2898" t="s">
        <v>40</v>
      </c>
      <c r="S2898" t="s">
        <v>40</v>
      </c>
      <c r="U2898" s="1">
        <v>43344</v>
      </c>
      <c r="V2898" t="s">
        <v>41</v>
      </c>
      <c r="W2898" t="s">
        <v>49</v>
      </c>
      <c r="X2898" t="str">
        <f>"1981055"</f>
        <v>1981055</v>
      </c>
      <c r="Y2898" t="s">
        <v>1280</v>
      </c>
      <c r="Z2898" t="s">
        <v>1268</v>
      </c>
      <c r="AA2898" t="s">
        <v>1269</v>
      </c>
      <c r="AB2898" t="s">
        <v>1270</v>
      </c>
      <c r="AC2898" t="s">
        <v>51</v>
      </c>
      <c r="AD2898" t="s">
        <v>45</v>
      </c>
      <c r="AE2898" s="1">
        <v>26816</v>
      </c>
      <c r="AF2898">
        <v>2</v>
      </c>
      <c r="AG2898" t="s">
        <v>1269</v>
      </c>
      <c r="AH2898" s="36">
        <f t="shared" si="45"/>
        <v>46.225000000000001</v>
      </c>
      <c r="AI2898" s="41" t="s">
        <v>1780</v>
      </c>
    </row>
    <row r="2899" spans="1:35" x14ac:dyDescent="0.25">
      <c r="A2899" s="36">
        <v>99912897</v>
      </c>
      <c r="B2899" s="17" t="s">
        <v>32</v>
      </c>
      <c r="C2899" t="s">
        <v>111</v>
      </c>
      <c r="D2899" t="s">
        <v>112</v>
      </c>
      <c r="G2899" s="17" t="s">
        <v>35</v>
      </c>
      <c r="H2899" s="17">
        <v>1</v>
      </c>
      <c r="K2899" t="s">
        <v>154</v>
      </c>
      <c r="L2899" t="s">
        <v>155</v>
      </c>
      <c r="M2899" t="s">
        <v>131</v>
      </c>
      <c r="N2899">
        <v>24</v>
      </c>
      <c r="O2899" t="s">
        <v>40</v>
      </c>
      <c r="P2899" t="s">
        <v>40</v>
      </c>
      <c r="Q2899" t="s">
        <v>40</v>
      </c>
      <c r="S2899" t="s">
        <v>40</v>
      </c>
      <c r="V2899" t="s">
        <v>41</v>
      </c>
      <c r="W2899" t="s">
        <v>75</v>
      </c>
      <c r="X2899" t="str">
        <f>"7051026"</f>
        <v>7051026</v>
      </c>
      <c r="Y2899" t="s">
        <v>396</v>
      </c>
      <c r="Z2899" t="s">
        <v>154</v>
      </c>
      <c r="AA2899" t="s">
        <v>155</v>
      </c>
      <c r="AB2899" t="s">
        <v>131</v>
      </c>
      <c r="AC2899" t="s">
        <v>51</v>
      </c>
      <c r="AD2899" t="s">
        <v>45</v>
      </c>
      <c r="AE2899" s="1">
        <v>26809</v>
      </c>
      <c r="AF2899">
        <v>1</v>
      </c>
      <c r="AG2899" t="s">
        <v>155</v>
      </c>
      <c r="AH2899" s="36">
        <f t="shared" si="45"/>
        <v>46.244444444444447</v>
      </c>
      <c r="AI2899" s="41" t="s">
        <v>1780</v>
      </c>
    </row>
    <row r="2900" spans="1:35" x14ac:dyDescent="0.25">
      <c r="A2900" s="36">
        <v>99912898</v>
      </c>
      <c r="B2900" s="17" t="s">
        <v>56</v>
      </c>
      <c r="C2900" t="s">
        <v>46</v>
      </c>
      <c r="D2900" t="s">
        <v>47</v>
      </c>
      <c r="G2900" s="17" t="s">
        <v>48</v>
      </c>
      <c r="H2900" s="17">
        <v>1</v>
      </c>
      <c r="I2900" t="s">
        <v>1624</v>
      </c>
      <c r="J2900" s="1">
        <v>41667</v>
      </c>
      <c r="K2900" t="s">
        <v>1613</v>
      </c>
      <c r="L2900" t="s">
        <v>1614</v>
      </c>
      <c r="M2900" t="s">
        <v>1592</v>
      </c>
      <c r="N2900">
        <v>25</v>
      </c>
      <c r="O2900" t="s">
        <v>40</v>
      </c>
      <c r="P2900" t="s">
        <v>40</v>
      </c>
      <c r="Q2900" t="s">
        <v>40</v>
      </c>
      <c r="R2900" t="s">
        <v>40</v>
      </c>
      <c r="S2900" t="s">
        <v>40</v>
      </c>
      <c r="U2900" s="1">
        <v>42614</v>
      </c>
      <c r="V2900" t="s">
        <v>41</v>
      </c>
      <c r="W2900" t="s">
        <v>49</v>
      </c>
      <c r="X2900" t="str">
        <f>"2860001"</f>
        <v>2860001</v>
      </c>
      <c r="Y2900" t="s">
        <v>1616</v>
      </c>
      <c r="Z2900" t="s">
        <v>1613</v>
      </c>
      <c r="AA2900" t="s">
        <v>1614</v>
      </c>
      <c r="AB2900" t="s">
        <v>1592</v>
      </c>
      <c r="AC2900" t="s">
        <v>51</v>
      </c>
      <c r="AD2900" t="s">
        <v>45</v>
      </c>
      <c r="AE2900" s="1">
        <v>26809</v>
      </c>
      <c r="AF2900">
        <v>2</v>
      </c>
      <c r="AG2900" t="s">
        <v>1614</v>
      </c>
      <c r="AH2900" s="36">
        <f t="shared" si="45"/>
        <v>46.244444444444447</v>
      </c>
      <c r="AI2900" s="41" t="s">
        <v>1780</v>
      </c>
    </row>
    <row r="2901" spans="1:35" x14ac:dyDescent="0.25">
      <c r="A2901" s="36">
        <v>99912899</v>
      </c>
      <c r="B2901" s="17" t="s">
        <v>32</v>
      </c>
      <c r="C2901" t="s">
        <v>82</v>
      </c>
      <c r="D2901" t="s">
        <v>83</v>
      </c>
      <c r="G2901" s="17" t="s">
        <v>48</v>
      </c>
      <c r="H2901" s="17">
        <v>1</v>
      </c>
      <c r="K2901" t="s">
        <v>223</v>
      </c>
      <c r="L2901" t="s">
        <v>224</v>
      </c>
      <c r="M2901" t="s">
        <v>131</v>
      </c>
      <c r="N2901">
        <v>21</v>
      </c>
      <c r="O2901" t="s">
        <v>40</v>
      </c>
      <c r="P2901" t="s">
        <v>40</v>
      </c>
      <c r="Q2901" t="s">
        <v>40</v>
      </c>
      <c r="R2901" t="s">
        <v>40</v>
      </c>
      <c r="S2901" t="s">
        <v>40</v>
      </c>
      <c r="V2901" t="s">
        <v>41</v>
      </c>
      <c r="W2901" t="s">
        <v>42</v>
      </c>
      <c r="X2901" t="str">
        <f>"0580200"</f>
        <v>0580200</v>
      </c>
      <c r="Y2901" t="s">
        <v>245</v>
      </c>
      <c r="Z2901" t="s">
        <v>223</v>
      </c>
      <c r="AA2901" t="s">
        <v>224</v>
      </c>
      <c r="AB2901" t="s">
        <v>131</v>
      </c>
      <c r="AC2901" t="s">
        <v>51</v>
      </c>
      <c r="AD2901" t="s">
        <v>45</v>
      </c>
      <c r="AE2901" s="1">
        <v>26808</v>
      </c>
      <c r="AF2901">
        <v>2</v>
      </c>
      <c r="AG2901" t="s">
        <v>224</v>
      </c>
      <c r="AH2901" s="36">
        <f t="shared" si="45"/>
        <v>46.24722222222222</v>
      </c>
      <c r="AI2901" s="41" t="s">
        <v>1780</v>
      </c>
    </row>
    <row r="2902" spans="1:35" x14ac:dyDescent="0.25">
      <c r="A2902" s="36">
        <v>99912900</v>
      </c>
      <c r="B2902" s="17" t="s">
        <v>32</v>
      </c>
      <c r="C2902" t="s">
        <v>139</v>
      </c>
      <c r="D2902" t="s">
        <v>140</v>
      </c>
      <c r="G2902" s="17" t="s">
        <v>48</v>
      </c>
      <c r="H2902" s="17">
        <v>1</v>
      </c>
      <c r="K2902" t="s">
        <v>154</v>
      </c>
      <c r="L2902" t="s">
        <v>155</v>
      </c>
      <c r="M2902" t="s">
        <v>131</v>
      </c>
      <c r="N2902">
        <v>21</v>
      </c>
      <c r="O2902" t="s">
        <v>40</v>
      </c>
      <c r="P2902" t="s">
        <v>40</v>
      </c>
      <c r="Q2902" t="s">
        <v>40</v>
      </c>
      <c r="R2902" t="s">
        <v>40</v>
      </c>
      <c r="S2902" t="s">
        <v>40</v>
      </c>
      <c r="V2902" t="s">
        <v>41</v>
      </c>
      <c r="W2902" t="s">
        <v>75</v>
      </c>
      <c r="X2902" t="str">
        <f>"7700026"</f>
        <v>7700026</v>
      </c>
      <c r="Y2902" t="s">
        <v>397</v>
      </c>
      <c r="Z2902" t="s">
        <v>154</v>
      </c>
      <c r="AA2902" t="s">
        <v>155</v>
      </c>
      <c r="AB2902" t="s">
        <v>131</v>
      </c>
      <c r="AC2902" t="s">
        <v>51</v>
      </c>
      <c r="AD2902" t="s">
        <v>45</v>
      </c>
      <c r="AE2902" s="1">
        <v>26808</v>
      </c>
      <c r="AF2902">
        <v>1</v>
      </c>
      <c r="AG2902" t="s">
        <v>155</v>
      </c>
      <c r="AH2902" s="36">
        <f t="shared" si="45"/>
        <v>46.24722222222222</v>
      </c>
      <c r="AI2902" s="41" t="s">
        <v>1780</v>
      </c>
    </row>
    <row r="2903" spans="1:35" x14ac:dyDescent="0.25">
      <c r="A2903" s="36">
        <v>99912901</v>
      </c>
      <c r="B2903" s="17" t="s">
        <v>56</v>
      </c>
      <c r="C2903" t="s">
        <v>68</v>
      </c>
      <c r="D2903" t="s">
        <v>69</v>
      </c>
      <c r="G2903" s="17" t="s">
        <v>48</v>
      </c>
      <c r="H2903" s="17">
        <v>1</v>
      </c>
      <c r="K2903" t="s">
        <v>300</v>
      </c>
      <c r="L2903" t="s">
        <v>301</v>
      </c>
      <c r="M2903" t="s">
        <v>131</v>
      </c>
      <c r="N2903">
        <v>19</v>
      </c>
      <c r="O2903" t="s">
        <v>40</v>
      </c>
      <c r="P2903" t="s">
        <v>40</v>
      </c>
      <c r="Q2903" t="s">
        <v>40</v>
      </c>
      <c r="R2903" t="s">
        <v>40</v>
      </c>
      <c r="S2903" t="s">
        <v>40</v>
      </c>
      <c r="V2903" t="s">
        <v>41</v>
      </c>
      <c r="W2903" t="s">
        <v>42</v>
      </c>
      <c r="X2903" t="str">
        <f>"0580106"</f>
        <v>0580106</v>
      </c>
      <c r="Y2903" t="s">
        <v>306</v>
      </c>
      <c r="Z2903" t="s">
        <v>300</v>
      </c>
      <c r="AA2903" t="s">
        <v>301</v>
      </c>
      <c r="AB2903" t="s">
        <v>131</v>
      </c>
      <c r="AC2903" t="s">
        <v>51</v>
      </c>
      <c r="AD2903" t="s">
        <v>45</v>
      </c>
      <c r="AE2903" s="1">
        <v>26800</v>
      </c>
      <c r="AF2903">
        <v>2</v>
      </c>
      <c r="AG2903" t="s">
        <v>301</v>
      </c>
      <c r="AH2903" s="36">
        <f t="shared" si="45"/>
        <v>46.269444444444446</v>
      </c>
      <c r="AI2903" s="41" t="s">
        <v>1780</v>
      </c>
    </row>
    <row r="2904" spans="1:35" x14ac:dyDescent="0.25">
      <c r="A2904" s="36">
        <v>99912902</v>
      </c>
      <c r="B2904" s="17" t="s">
        <v>32</v>
      </c>
      <c r="C2904" t="s">
        <v>145</v>
      </c>
      <c r="D2904" t="s">
        <v>146</v>
      </c>
      <c r="G2904" s="17" t="s">
        <v>48</v>
      </c>
      <c r="H2904" s="17">
        <v>1</v>
      </c>
      <c r="K2904" t="s">
        <v>345</v>
      </c>
      <c r="L2904" t="s">
        <v>346</v>
      </c>
      <c r="M2904" t="s">
        <v>131</v>
      </c>
      <c r="N2904">
        <v>18</v>
      </c>
      <c r="O2904" t="s">
        <v>40</v>
      </c>
      <c r="P2904" t="s">
        <v>40</v>
      </c>
      <c r="Q2904" t="s">
        <v>40</v>
      </c>
      <c r="R2904" t="s">
        <v>40</v>
      </c>
      <c r="S2904" t="s">
        <v>40</v>
      </c>
      <c r="V2904" t="s">
        <v>41</v>
      </c>
      <c r="W2904" t="s">
        <v>42</v>
      </c>
      <c r="X2904" t="str">
        <f>"0580650"</f>
        <v>0580650</v>
      </c>
      <c r="Y2904" t="s">
        <v>356</v>
      </c>
      <c r="Z2904" t="s">
        <v>345</v>
      </c>
      <c r="AA2904" t="s">
        <v>346</v>
      </c>
      <c r="AB2904" t="s">
        <v>131</v>
      </c>
      <c r="AC2904" t="s">
        <v>51</v>
      </c>
      <c r="AD2904" t="s">
        <v>45</v>
      </c>
      <c r="AE2904" s="1">
        <v>26799</v>
      </c>
      <c r="AF2904">
        <v>2</v>
      </c>
      <c r="AG2904" t="s">
        <v>346</v>
      </c>
      <c r="AH2904" s="36">
        <f t="shared" si="45"/>
        <v>46.272222222222226</v>
      </c>
      <c r="AI2904" s="41" t="s">
        <v>1780</v>
      </c>
    </row>
    <row r="2905" spans="1:35" x14ac:dyDescent="0.25">
      <c r="A2905" s="36">
        <v>99912903</v>
      </c>
      <c r="B2905" s="17" t="s">
        <v>32</v>
      </c>
      <c r="C2905" t="s">
        <v>111</v>
      </c>
      <c r="D2905" t="s">
        <v>112</v>
      </c>
      <c r="G2905" s="17" t="s">
        <v>48</v>
      </c>
      <c r="H2905" s="17">
        <v>10</v>
      </c>
      <c r="K2905" t="s">
        <v>1221</v>
      </c>
      <c r="L2905" t="s">
        <v>1222</v>
      </c>
      <c r="M2905" t="s">
        <v>1130</v>
      </c>
      <c r="N2905">
        <v>21</v>
      </c>
      <c r="O2905" t="s">
        <v>40</v>
      </c>
      <c r="P2905" t="s">
        <v>40</v>
      </c>
      <c r="Q2905" t="s">
        <v>40</v>
      </c>
      <c r="R2905" t="s">
        <v>40</v>
      </c>
      <c r="S2905" t="s">
        <v>40</v>
      </c>
      <c r="V2905" t="s">
        <v>41</v>
      </c>
      <c r="W2905" t="s">
        <v>75</v>
      </c>
      <c r="X2905" t="str">
        <f>"7351000"</f>
        <v>7351000</v>
      </c>
      <c r="Y2905" t="s">
        <v>1223</v>
      </c>
      <c r="Z2905" t="s">
        <v>1221</v>
      </c>
      <c r="AA2905" t="s">
        <v>1222</v>
      </c>
      <c r="AB2905" t="s">
        <v>1130</v>
      </c>
      <c r="AC2905" t="s">
        <v>51</v>
      </c>
      <c r="AD2905" t="s">
        <v>45</v>
      </c>
      <c r="AE2905" s="1">
        <v>26799</v>
      </c>
      <c r="AF2905">
        <v>1</v>
      </c>
      <c r="AG2905" t="s">
        <v>1222</v>
      </c>
      <c r="AH2905" s="36">
        <f t="shared" si="45"/>
        <v>46.272222222222226</v>
      </c>
      <c r="AI2905" s="41" t="s">
        <v>1780</v>
      </c>
    </row>
    <row r="2906" spans="1:35" x14ac:dyDescent="0.25">
      <c r="A2906" s="36">
        <v>99912904</v>
      </c>
      <c r="B2906" s="17" t="s">
        <v>56</v>
      </c>
      <c r="C2906" t="s">
        <v>141</v>
      </c>
      <c r="D2906" t="s">
        <v>142</v>
      </c>
      <c r="G2906" s="17" t="s">
        <v>48</v>
      </c>
      <c r="H2906" s="17">
        <v>1</v>
      </c>
      <c r="K2906" t="s">
        <v>223</v>
      </c>
      <c r="L2906" t="s">
        <v>224</v>
      </c>
      <c r="M2906" t="s">
        <v>131</v>
      </c>
      <c r="N2906">
        <v>5</v>
      </c>
      <c r="O2906" t="s">
        <v>40</v>
      </c>
      <c r="P2906" t="s">
        <v>40</v>
      </c>
      <c r="Q2906" t="s">
        <v>40</v>
      </c>
      <c r="R2906" t="s">
        <v>40</v>
      </c>
      <c r="S2906" t="s">
        <v>40</v>
      </c>
      <c r="V2906" t="s">
        <v>41</v>
      </c>
      <c r="W2906" t="s">
        <v>49</v>
      </c>
      <c r="X2906" t="str">
        <f>"0581265"</f>
        <v>0581265</v>
      </c>
      <c r="Y2906" t="s">
        <v>236</v>
      </c>
      <c r="Z2906" t="s">
        <v>223</v>
      </c>
      <c r="AA2906" t="s">
        <v>224</v>
      </c>
      <c r="AB2906" t="s">
        <v>131</v>
      </c>
      <c r="AC2906" t="s">
        <v>51</v>
      </c>
      <c r="AD2906" t="s">
        <v>45</v>
      </c>
      <c r="AE2906" s="1">
        <v>26796</v>
      </c>
      <c r="AF2906">
        <v>2</v>
      </c>
      <c r="AG2906" t="s">
        <v>224</v>
      </c>
      <c r="AH2906" s="36">
        <f t="shared" si="45"/>
        <v>46.280555555555559</v>
      </c>
      <c r="AI2906" s="41" t="s">
        <v>1780</v>
      </c>
    </row>
    <row r="2907" spans="1:35" x14ac:dyDescent="0.25">
      <c r="A2907" s="36">
        <v>99912905</v>
      </c>
      <c r="B2907" s="17" t="s">
        <v>32</v>
      </c>
      <c r="C2907" t="s">
        <v>90</v>
      </c>
      <c r="D2907" t="s">
        <v>91</v>
      </c>
      <c r="G2907" s="17" t="s">
        <v>35</v>
      </c>
      <c r="H2907" s="17">
        <v>1</v>
      </c>
      <c r="I2907" s="1">
        <v>43346</v>
      </c>
      <c r="J2907" s="1">
        <v>43344</v>
      </c>
      <c r="K2907" t="s">
        <v>1341</v>
      </c>
      <c r="L2907" t="s">
        <v>1342</v>
      </c>
      <c r="M2907" t="s">
        <v>1270</v>
      </c>
      <c r="N2907">
        <v>24</v>
      </c>
      <c r="O2907" t="s">
        <v>40</v>
      </c>
      <c r="S2907" t="s">
        <v>40</v>
      </c>
      <c r="U2907" s="1">
        <v>43344</v>
      </c>
      <c r="V2907" t="s">
        <v>41</v>
      </c>
      <c r="W2907" t="s">
        <v>75</v>
      </c>
      <c r="X2907" t="str">
        <f>"7191034"</f>
        <v>7191034</v>
      </c>
      <c r="Y2907" t="s">
        <v>1343</v>
      </c>
      <c r="Z2907" t="s">
        <v>1341</v>
      </c>
      <c r="AA2907" t="s">
        <v>1342</v>
      </c>
      <c r="AB2907" t="s">
        <v>1270</v>
      </c>
      <c r="AC2907" t="s">
        <v>44</v>
      </c>
      <c r="AD2907" t="s">
        <v>45</v>
      </c>
      <c r="AE2907" s="1">
        <v>26795</v>
      </c>
      <c r="AF2907">
        <v>1</v>
      </c>
      <c r="AG2907" t="s">
        <v>1342</v>
      </c>
      <c r="AH2907" s="36">
        <f t="shared" si="45"/>
        <v>46.283333333333331</v>
      </c>
      <c r="AI2907" s="41" t="s">
        <v>1780</v>
      </c>
    </row>
    <row r="2908" spans="1:35" x14ac:dyDescent="0.25">
      <c r="A2908" s="36">
        <v>99912906</v>
      </c>
      <c r="B2908" s="17" t="s">
        <v>56</v>
      </c>
      <c r="C2908" t="s">
        <v>111</v>
      </c>
      <c r="D2908" t="s">
        <v>112</v>
      </c>
      <c r="G2908" s="17" t="s">
        <v>48</v>
      </c>
      <c r="H2908" s="17">
        <v>7</v>
      </c>
      <c r="I2908" t="s">
        <v>515</v>
      </c>
      <c r="J2908" s="1">
        <v>40057</v>
      </c>
      <c r="K2908" t="s">
        <v>431</v>
      </c>
      <c r="L2908" t="s">
        <v>196</v>
      </c>
      <c r="M2908" t="s">
        <v>131</v>
      </c>
      <c r="N2908">
        <v>23</v>
      </c>
      <c r="O2908" t="s">
        <v>40</v>
      </c>
      <c r="P2908" t="s">
        <v>40</v>
      </c>
      <c r="Q2908" t="s">
        <v>40</v>
      </c>
      <c r="R2908" t="s">
        <v>40</v>
      </c>
      <c r="S2908" t="s">
        <v>40</v>
      </c>
      <c r="U2908" s="1">
        <v>40057</v>
      </c>
      <c r="V2908" t="s">
        <v>41</v>
      </c>
      <c r="W2908" t="s">
        <v>75</v>
      </c>
      <c r="X2908" t="str">
        <f>"7521022"</f>
        <v>7521022</v>
      </c>
      <c r="Y2908" t="s">
        <v>445</v>
      </c>
      <c r="Z2908" t="s">
        <v>431</v>
      </c>
      <c r="AA2908" t="s">
        <v>196</v>
      </c>
      <c r="AB2908" t="s">
        <v>131</v>
      </c>
      <c r="AC2908" t="s">
        <v>51</v>
      </c>
      <c r="AD2908" t="s">
        <v>45</v>
      </c>
      <c r="AE2908" s="1">
        <v>26794</v>
      </c>
      <c r="AF2908">
        <v>1</v>
      </c>
      <c r="AG2908" t="s">
        <v>196</v>
      </c>
      <c r="AH2908" s="36">
        <f t="shared" si="45"/>
        <v>46.286111111111111</v>
      </c>
      <c r="AI2908" s="41" t="s">
        <v>1780</v>
      </c>
    </row>
    <row r="2909" spans="1:35" x14ac:dyDescent="0.25">
      <c r="A2909" s="36">
        <v>99912907</v>
      </c>
      <c r="B2909" s="17" t="s">
        <v>32</v>
      </c>
      <c r="C2909" t="s">
        <v>52</v>
      </c>
      <c r="D2909" t="s">
        <v>53</v>
      </c>
      <c r="G2909" s="17" t="s">
        <v>48</v>
      </c>
      <c r="H2909" s="17">
        <v>1</v>
      </c>
      <c r="K2909" t="s">
        <v>223</v>
      </c>
      <c r="L2909" t="s">
        <v>224</v>
      </c>
      <c r="M2909" t="s">
        <v>131</v>
      </c>
      <c r="N2909">
        <v>20</v>
      </c>
      <c r="O2909" t="s">
        <v>40</v>
      </c>
      <c r="P2909" t="s">
        <v>40</v>
      </c>
      <c r="Q2909" t="s">
        <v>40</v>
      </c>
      <c r="S2909" t="s">
        <v>40</v>
      </c>
      <c r="V2909" t="s">
        <v>41</v>
      </c>
      <c r="W2909" t="s">
        <v>49</v>
      </c>
      <c r="X2909" t="str">
        <f>"0581204"</f>
        <v>0581204</v>
      </c>
      <c r="Y2909" t="s">
        <v>249</v>
      </c>
      <c r="Z2909" t="s">
        <v>223</v>
      </c>
      <c r="AA2909" t="s">
        <v>224</v>
      </c>
      <c r="AB2909" t="s">
        <v>131</v>
      </c>
      <c r="AC2909" t="s">
        <v>51</v>
      </c>
      <c r="AD2909" t="s">
        <v>45</v>
      </c>
      <c r="AE2909" s="1">
        <v>26785</v>
      </c>
      <c r="AF2909">
        <v>2</v>
      </c>
      <c r="AG2909" t="s">
        <v>224</v>
      </c>
      <c r="AH2909" s="36">
        <f t="shared" si="45"/>
        <v>46.31111111111111</v>
      </c>
      <c r="AI2909" s="41" t="s">
        <v>1780</v>
      </c>
    </row>
    <row r="2910" spans="1:35" x14ac:dyDescent="0.25">
      <c r="A2910" s="36">
        <v>99912908</v>
      </c>
      <c r="B2910" s="17" t="s">
        <v>56</v>
      </c>
      <c r="C2910" t="s">
        <v>52</v>
      </c>
      <c r="D2910" t="s">
        <v>53</v>
      </c>
      <c r="G2910" s="17" t="s">
        <v>48</v>
      </c>
      <c r="H2910" s="17">
        <v>1</v>
      </c>
      <c r="K2910" t="s">
        <v>162</v>
      </c>
      <c r="L2910" t="s">
        <v>158</v>
      </c>
      <c r="M2910" t="s">
        <v>131</v>
      </c>
      <c r="N2910">
        <v>19</v>
      </c>
      <c r="O2910" t="s">
        <v>40</v>
      </c>
      <c r="P2910" t="s">
        <v>40</v>
      </c>
      <c r="Q2910" t="s">
        <v>40</v>
      </c>
      <c r="R2910" t="s">
        <v>40</v>
      </c>
      <c r="S2910" t="s">
        <v>40</v>
      </c>
      <c r="V2910" t="s">
        <v>41</v>
      </c>
      <c r="W2910" t="s">
        <v>42</v>
      </c>
      <c r="X2910" t="str">
        <f>"0580330"</f>
        <v>0580330</v>
      </c>
      <c r="Y2910" t="s">
        <v>176</v>
      </c>
      <c r="Z2910" t="s">
        <v>162</v>
      </c>
      <c r="AA2910" t="s">
        <v>158</v>
      </c>
      <c r="AB2910" t="s">
        <v>131</v>
      </c>
      <c r="AC2910" t="s">
        <v>51</v>
      </c>
      <c r="AD2910" t="s">
        <v>45</v>
      </c>
      <c r="AE2910" s="1">
        <v>26782</v>
      </c>
      <c r="AF2910">
        <v>2</v>
      </c>
      <c r="AG2910" t="s">
        <v>158</v>
      </c>
      <c r="AH2910" s="36">
        <f t="shared" si="45"/>
        <v>46.319444444444443</v>
      </c>
      <c r="AI2910" s="41" t="s">
        <v>1780</v>
      </c>
    </row>
    <row r="2911" spans="1:35" x14ac:dyDescent="0.25">
      <c r="A2911" s="36">
        <v>99912909</v>
      </c>
      <c r="B2911" s="17" t="s">
        <v>32</v>
      </c>
      <c r="C2911" t="s">
        <v>46</v>
      </c>
      <c r="D2911" t="s">
        <v>47</v>
      </c>
      <c r="G2911" s="17" t="s">
        <v>48</v>
      </c>
      <c r="H2911" s="17">
        <v>1</v>
      </c>
      <c r="K2911" t="s">
        <v>223</v>
      </c>
      <c r="L2911" t="s">
        <v>224</v>
      </c>
      <c r="M2911" t="s">
        <v>131</v>
      </c>
      <c r="N2911">
        <v>20</v>
      </c>
      <c r="O2911" t="s">
        <v>40</v>
      </c>
      <c r="P2911" t="s">
        <v>40</v>
      </c>
      <c r="Q2911" t="s">
        <v>40</v>
      </c>
      <c r="S2911" t="s">
        <v>40</v>
      </c>
      <c r="V2911" t="s">
        <v>41</v>
      </c>
      <c r="W2911" t="s">
        <v>49</v>
      </c>
      <c r="X2911" t="str">
        <f>"0581202"</f>
        <v>0581202</v>
      </c>
      <c r="Y2911" t="s">
        <v>248</v>
      </c>
      <c r="Z2911" t="s">
        <v>223</v>
      </c>
      <c r="AA2911" t="s">
        <v>224</v>
      </c>
      <c r="AB2911" t="s">
        <v>131</v>
      </c>
      <c r="AC2911" t="s">
        <v>165</v>
      </c>
      <c r="AD2911" t="s">
        <v>45</v>
      </c>
      <c r="AE2911" s="1">
        <v>26780</v>
      </c>
      <c r="AF2911">
        <v>2</v>
      </c>
      <c r="AG2911" t="s">
        <v>224</v>
      </c>
      <c r="AH2911" s="36">
        <f t="shared" si="45"/>
        <v>46.325000000000003</v>
      </c>
      <c r="AI2911" s="41" t="s">
        <v>1780</v>
      </c>
    </row>
    <row r="2912" spans="1:35" x14ac:dyDescent="0.25">
      <c r="A2912" s="36">
        <v>99912910</v>
      </c>
      <c r="B2912" s="17" t="s">
        <v>56</v>
      </c>
      <c r="C2912" t="s">
        <v>68</v>
      </c>
      <c r="D2912" t="s">
        <v>69</v>
      </c>
      <c r="G2912" s="17" t="s">
        <v>35</v>
      </c>
      <c r="H2912" s="17">
        <v>1</v>
      </c>
      <c r="I2912" t="s">
        <v>277</v>
      </c>
      <c r="J2912" s="1">
        <v>42003</v>
      </c>
      <c r="K2912" t="s">
        <v>345</v>
      </c>
      <c r="L2912" t="s">
        <v>346</v>
      </c>
      <c r="M2912" t="s">
        <v>131</v>
      </c>
      <c r="N2912">
        <v>21</v>
      </c>
      <c r="O2912" t="s">
        <v>40</v>
      </c>
      <c r="P2912" t="s">
        <v>40</v>
      </c>
      <c r="Q2912" t="s">
        <v>40</v>
      </c>
      <c r="R2912" t="s">
        <v>40</v>
      </c>
      <c r="S2912" t="s">
        <v>40</v>
      </c>
      <c r="U2912" s="1">
        <v>42011</v>
      </c>
      <c r="V2912" t="s">
        <v>41</v>
      </c>
      <c r="W2912" t="s">
        <v>42</v>
      </c>
      <c r="X2912" t="str">
        <f>"0561006"</f>
        <v>0561006</v>
      </c>
      <c r="Y2912" t="s">
        <v>360</v>
      </c>
      <c r="Z2912" t="s">
        <v>345</v>
      </c>
      <c r="AA2912" t="s">
        <v>346</v>
      </c>
      <c r="AB2912" t="s">
        <v>131</v>
      </c>
      <c r="AC2912" t="s">
        <v>51</v>
      </c>
      <c r="AD2912" t="s">
        <v>45</v>
      </c>
      <c r="AE2912" s="1">
        <v>26776</v>
      </c>
      <c r="AF2912">
        <v>2</v>
      </c>
      <c r="AG2912" t="s">
        <v>346</v>
      </c>
      <c r="AH2912" s="36">
        <f t="shared" si="45"/>
        <v>46.336111111111109</v>
      </c>
      <c r="AI2912" s="41" t="s">
        <v>1780</v>
      </c>
    </row>
    <row r="2913" spans="1:35" x14ac:dyDescent="0.25">
      <c r="A2913" s="36">
        <v>99912911</v>
      </c>
      <c r="B2913" s="17" t="s">
        <v>32</v>
      </c>
      <c r="C2913" t="s">
        <v>79</v>
      </c>
      <c r="D2913" t="s">
        <v>80</v>
      </c>
      <c r="G2913" s="17" t="s">
        <v>35</v>
      </c>
      <c r="H2913" s="17">
        <v>1</v>
      </c>
      <c r="K2913" t="s">
        <v>300</v>
      </c>
      <c r="L2913" t="s">
        <v>301</v>
      </c>
      <c r="M2913" t="s">
        <v>131</v>
      </c>
      <c r="N2913">
        <v>24</v>
      </c>
      <c r="O2913" t="s">
        <v>40</v>
      </c>
      <c r="P2913" t="s">
        <v>40</v>
      </c>
      <c r="Q2913" t="s">
        <v>40</v>
      </c>
      <c r="R2913" t="s">
        <v>40</v>
      </c>
      <c r="S2913" t="s">
        <v>40</v>
      </c>
      <c r="V2913" t="s">
        <v>41</v>
      </c>
      <c r="W2913" t="s">
        <v>42</v>
      </c>
      <c r="X2913" t="str">
        <f>"0580457"</f>
        <v>0580457</v>
      </c>
      <c r="Y2913" t="s">
        <v>310</v>
      </c>
      <c r="Z2913" t="s">
        <v>300</v>
      </c>
      <c r="AA2913" t="s">
        <v>301</v>
      </c>
      <c r="AB2913" t="s">
        <v>131</v>
      </c>
      <c r="AC2913" t="s">
        <v>51</v>
      </c>
      <c r="AD2913" t="s">
        <v>45</v>
      </c>
      <c r="AE2913" s="1">
        <v>26772</v>
      </c>
      <c r="AF2913">
        <v>2</v>
      </c>
      <c r="AG2913" t="s">
        <v>301</v>
      </c>
      <c r="AH2913" s="36">
        <f t="shared" si="45"/>
        <v>46.347222222222221</v>
      </c>
      <c r="AI2913" s="41" t="s">
        <v>1780</v>
      </c>
    </row>
    <row r="2914" spans="1:35" x14ac:dyDescent="0.25">
      <c r="A2914" s="36">
        <v>99912912</v>
      </c>
      <c r="B2914" s="17" t="s">
        <v>32</v>
      </c>
      <c r="C2914" t="s">
        <v>61</v>
      </c>
      <c r="D2914" t="s">
        <v>62</v>
      </c>
      <c r="G2914" s="17" t="s">
        <v>48</v>
      </c>
      <c r="H2914" s="17">
        <v>1</v>
      </c>
      <c r="K2914" t="s">
        <v>129</v>
      </c>
      <c r="L2914" t="s">
        <v>130</v>
      </c>
      <c r="M2914" t="s">
        <v>131</v>
      </c>
      <c r="N2914">
        <v>20</v>
      </c>
      <c r="O2914" t="s">
        <v>40</v>
      </c>
      <c r="P2914" t="s">
        <v>40</v>
      </c>
      <c r="Q2914" t="s">
        <v>40</v>
      </c>
      <c r="R2914" t="s">
        <v>40</v>
      </c>
      <c r="S2914" t="s">
        <v>40</v>
      </c>
      <c r="V2914" t="s">
        <v>41</v>
      </c>
      <c r="W2914" t="s">
        <v>49</v>
      </c>
      <c r="X2914" t="str">
        <f>"0591905"</f>
        <v>0591905</v>
      </c>
      <c r="Y2914" t="s">
        <v>135</v>
      </c>
      <c r="Z2914" t="s">
        <v>129</v>
      </c>
      <c r="AA2914" t="s">
        <v>130</v>
      </c>
      <c r="AB2914" t="s">
        <v>131</v>
      </c>
      <c r="AC2914" t="s">
        <v>51</v>
      </c>
      <c r="AD2914" t="s">
        <v>45</v>
      </c>
      <c r="AE2914" s="1">
        <v>26767</v>
      </c>
      <c r="AF2914">
        <v>2</v>
      </c>
      <c r="AG2914" t="s">
        <v>130</v>
      </c>
      <c r="AH2914" s="36">
        <f t="shared" si="45"/>
        <v>46.361111111111114</v>
      </c>
      <c r="AI2914" s="41" t="s">
        <v>1780</v>
      </c>
    </row>
    <row r="2915" spans="1:35" x14ac:dyDescent="0.25">
      <c r="A2915" s="36">
        <v>99912913</v>
      </c>
      <c r="B2915" s="17" t="s">
        <v>56</v>
      </c>
      <c r="C2915" t="s">
        <v>141</v>
      </c>
      <c r="D2915" t="s">
        <v>142</v>
      </c>
      <c r="G2915" s="17" t="s">
        <v>48</v>
      </c>
      <c r="H2915" s="17">
        <v>1</v>
      </c>
      <c r="K2915" t="s">
        <v>268</v>
      </c>
      <c r="L2915" t="s">
        <v>269</v>
      </c>
      <c r="M2915" t="s">
        <v>131</v>
      </c>
      <c r="N2915">
        <v>16</v>
      </c>
      <c r="O2915" t="s">
        <v>40</v>
      </c>
      <c r="P2915" t="s">
        <v>40</v>
      </c>
      <c r="Q2915" t="s">
        <v>40</v>
      </c>
      <c r="S2915" t="s">
        <v>40</v>
      </c>
      <c r="V2915" t="s">
        <v>41</v>
      </c>
      <c r="W2915" t="s">
        <v>75</v>
      </c>
      <c r="X2915" t="str">
        <f>"7052040"</f>
        <v>7052040</v>
      </c>
      <c r="Y2915" t="s">
        <v>591</v>
      </c>
      <c r="Z2915" t="s">
        <v>268</v>
      </c>
      <c r="AA2915" t="s">
        <v>269</v>
      </c>
      <c r="AB2915" t="s">
        <v>131</v>
      </c>
      <c r="AC2915" t="s">
        <v>51</v>
      </c>
      <c r="AD2915" t="s">
        <v>45</v>
      </c>
      <c r="AE2915" s="1">
        <v>26766</v>
      </c>
      <c r="AF2915">
        <v>1</v>
      </c>
      <c r="AG2915" t="s">
        <v>269</v>
      </c>
      <c r="AH2915" s="36">
        <f t="shared" si="45"/>
        <v>46.363888888888887</v>
      </c>
      <c r="AI2915" s="41" t="s">
        <v>1780</v>
      </c>
    </row>
    <row r="2916" spans="1:35" x14ac:dyDescent="0.25">
      <c r="A2916" s="36">
        <v>99912914</v>
      </c>
      <c r="B2916" s="17" t="s">
        <v>32</v>
      </c>
      <c r="C2916" t="s">
        <v>46</v>
      </c>
      <c r="D2916" t="s">
        <v>47</v>
      </c>
      <c r="G2916" s="17" t="s">
        <v>48</v>
      </c>
      <c r="H2916" s="17">
        <v>1</v>
      </c>
      <c r="K2916" t="s">
        <v>129</v>
      </c>
      <c r="L2916" t="s">
        <v>130</v>
      </c>
      <c r="M2916" t="s">
        <v>131</v>
      </c>
      <c r="N2916">
        <v>20</v>
      </c>
      <c r="O2916" t="s">
        <v>40</v>
      </c>
      <c r="P2916" t="s">
        <v>40</v>
      </c>
      <c r="Q2916" t="s">
        <v>40</v>
      </c>
      <c r="S2916" t="s">
        <v>40</v>
      </c>
      <c r="V2916" t="s">
        <v>41</v>
      </c>
      <c r="W2916" t="s">
        <v>49</v>
      </c>
      <c r="X2916" t="str">
        <f>"0560024"</f>
        <v>0560024</v>
      </c>
      <c r="Y2916" t="s">
        <v>138</v>
      </c>
      <c r="Z2916" t="s">
        <v>129</v>
      </c>
      <c r="AA2916" t="s">
        <v>130</v>
      </c>
      <c r="AB2916" t="s">
        <v>131</v>
      </c>
      <c r="AC2916" t="s">
        <v>51</v>
      </c>
      <c r="AD2916" t="s">
        <v>45</v>
      </c>
      <c r="AE2916" s="1">
        <v>26759</v>
      </c>
      <c r="AF2916">
        <v>2</v>
      </c>
      <c r="AG2916" t="s">
        <v>130</v>
      </c>
      <c r="AH2916" s="36">
        <f t="shared" si="45"/>
        <v>46.383333333333333</v>
      </c>
      <c r="AI2916" s="41" t="s">
        <v>1780</v>
      </c>
    </row>
    <row r="2917" spans="1:35" x14ac:dyDescent="0.25">
      <c r="A2917" s="36">
        <v>99912915</v>
      </c>
      <c r="B2917" s="17" t="s">
        <v>32</v>
      </c>
      <c r="C2917" t="s">
        <v>90</v>
      </c>
      <c r="D2917" t="s">
        <v>91</v>
      </c>
      <c r="G2917" s="17" t="s">
        <v>35</v>
      </c>
      <c r="H2917" s="17">
        <v>1</v>
      </c>
      <c r="K2917" t="s">
        <v>154</v>
      </c>
      <c r="L2917" t="s">
        <v>155</v>
      </c>
      <c r="M2917" t="s">
        <v>131</v>
      </c>
      <c r="N2917">
        <v>24</v>
      </c>
      <c r="O2917" t="s">
        <v>40</v>
      </c>
      <c r="P2917" t="s">
        <v>40</v>
      </c>
      <c r="Q2917" t="s">
        <v>40</v>
      </c>
      <c r="S2917" t="s">
        <v>40</v>
      </c>
      <c r="V2917" t="s">
        <v>41</v>
      </c>
      <c r="W2917" t="s">
        <v>95</v>
      </c>
      <c r="X2917" t="str">
        <f>"7051031"</f>
        <v>7051031</v>
      </c>
      <c r="Y2917" t="s">
        <v>427</v>
      </c>
      <c r="Z2917" t="s">
        <v>154</v>
      </c>
      <c r="AA2917" t="s">
        <v>155</v>
      </c>
      <c r="AB2917" t="s">
        <v>131</v>
      </c>
      <c r="AC2917" t="s">
        <v>51</v>
      </c>
      <c r="AD2917" t="s">
        <v>45</v>
      </c>
      <c r="AE2917" s="1">
        <v>26757</v>
      </c>
      <c r="AF2917">
        <v>1</v>
      </c>
      <c r="AG2917" t="s">
        <v>155</v>
      </c>
      <c r="AH2917" s="36">
        <f t="shared" si="45"/>
        <v>46.388888888888886</v>
      </c>
      <c r="AI2917" s="41" t="s">
        <v>1780</v>
      </c>
    </row>
    <row r="2918" spans="1:35" x14ac:dyDescent="0.25">
      <c r="A2918" s="36">
        <v>99912916</v>
      </c>
      <c r="B2918" s="17" t="s">
        <v>32</v>
      </c>
      <c r="C2918" t="s">
        <v>79</v>
      </c>
      <c r="D2918" t="s">
        <v>80</v>
      </c>
      <c r="G2918" s="17" t="s">
        <v>48</v>
      </c>
      <c r="H2918" s="17">
        <v>1</v>
      </c>
      <c r="K2918" t="s">
        <v>667</v>
      </c>
      <c r="L2918" t="s">
        <v>669</v>
      </c>
      <c r="M2918" t="s">
        <v>670</v>
      </c>
      <c r="N2918">
        <v>22</v>
      </c>
      <c r="O2918" t="s">
        <v>40</v>
      </c>
      <c r="P2918" t="s">
        <v>40</v>
      </c>
      <c r="Q2918" t="s">
        <v>40</v>
      </c>
      <c r="R2918" t="s">
        <v>40</v>
      </c>
      <c r="S2918" t="s">
        <v>40</v>
      </c>
      <c r="V2918" t="s">
        <v>41</v>
      </c>
      <c r="W2918" t="s">
        <v>75</v>
      </c>
      <c r="X2918" t="str">
        <f>"7501000"</f>
        <v>7501000</v>
      </c>
      <c r="Y2918" t="s">
        <v>668</v>
      </c>
      <c r="Z2918" t="s">
        <v>667</v>
      </c>
      <c r="AA2918" t="s">
        <v>669</v>
      </c>
      <c r="AB2918" t="s">
        <v>670</v>
      </c>
      <c r="AC2918" t="s">
        <v>51</v>
      </c>
      <c r="AD2918" t="s">
        <v>45</v>
      </c>
      <c r="AE2918" s="1">
        <v>26752</v>
      </c>
      <c r="AF2918">
        <v>1</v>
      </c>
      <c r="AG2918" t="s">
        <v>669</v>
      </c>
      <c r="AH2918" s="36">
        <f t="shared" si="45"/>
        <v>46.402777777777779</v>
      </c>
      <c r="AI2918" s="41" t="s">
        <v>1780</v>
      </c>
    </row>
    <row r="2919" spans="1:35" x14ac:dyDescent="0.25">
      <c r="A2919" s="36">
        <v>99912917</v>
      </c>
      <c r="B2919" s="17" t="s">
        <v>56</v>
      </c>
      <c r="C2919" t="s">
        <v>52</v>
      </c>
      <c r="D2919" t="s">
        <v>53</v>
      </c>
      <c r="G2919" s="17" t="s">
        <v>35</v>
      </c>
      <c r="H2919" s="17">
        <v>1</v>
      </c>
      <c r="I2919">
        <v>22882</v>
      </c>
      <c r="J2919" s="1">
        <v>43027</v>
      </c>
      <c r="K2919" t="s">
        <v>380</v>
      </c>
      <c r="L2919" t="s">
        <v>381</v>
      </c>
      <c r="M2919" t="s">
        <v>131</v>
      </c>
      <c r="N2919">
        <v>11</v>
      </c>
      <c r="O2919" t="s">
        <v>40</v>
      </c>
      <c r="P2919" t="s">
        <v>40</v>
      </c>
      <c r="Q2919" t="s">
        <v>40</v>
      </c>
      <c r="R2919" t="s">
        <v>40</v>
      </c>
      <c r="S2919" t="s">
        <v>40</v>
      </c>
      <c r="U2919" s="1">
        <v>43027</v>
      </c>
      <c r="V2919" t="s">
        <v>41</v>
      </c>
      <c r="W2919" t="s">
        <v>49</v>
      </c>
      <c r="X2919" t="str">
        <f>"0561020"</f>
        <v>0561020</v>
      </c>
      <c r="Y2919" t="s">
        <v>390</v>
      </c>
      <c r="Z2919" t="s">
        <v>380</v>
      </c>
      <c r="AA2919" t="s">
        <v>381</v>
      </c>
      <c r="AB2919" t="s">
        <v>131</v>
      </c>
      <c r="AC2919" t="s">
        <v>44</v>
      </c>
      <c r="AD2919" t="s">
        <v>45</v>
      </c>
      <c r="AE2919" s="1">
        <v>26751</v>
      </c>
      <c r="AF2919">
        <v>2</v>
      </c>
      <c r="AG2919" t="s">
        <v>381</v>
      </c>
      <c r="AH2919" s="36">
        <f t="shared" si="45"/>
        <v>46.405555555555559</v>
      </c>
      <c r="AI2919" s="41" t="s">
        <v>1780</v>
      </c>
    </row>
    <row r="2920" spans="1:35" x14ac:dyDescent="0.25">
      <c r="A2920" s="36">
        <v>99912918</v>
      </c>
      <c r="B2920" s="17" t="s">
        <v>56</v>
      </c>
      <c r="C2920" t="s">
        <v>90</v>
      </c>
      <c r="D2920" t="s">
        <v>91</v>
      </c>
      <c r="G2920" s="17" t="s">
        <v>35</v>
      </c>
      <c r="H2920" s="17">
        <v>1</v>
      </c>
      <c r="I2920" t="s">
        <v>675</v>
      </c>
      <c r="J2920" s="1">
        <v>43344</v>
      </c>
      <c r="K2920" t="s">
        <v>268</v>
      </c>
      <c r="L2920" t="s">
        <v>269</v>
      </c>
      <c r="M2920" t="s">
        <v>131</v>
      </c>
      <c r="N2920">
        <v>30</v>
      </c>
      <c r="O2920" t="s">
        <v>40</v>
      </c>
      <c r="S2920" t="s">
        <v>40</v>
      </c>
      <c r="V2920" t="s">
        <v>41</v>
      </c>
      <c r="W2920" t="s">
        <v>95</v>
      </c>
      <c r="X2920" t="str">
        <f>"7052093"</f>
        <v>7052093</v>
      </c>
      <c r="Y2920" t="s">
        <v>676</v>
      </c>
      <c r="Z2920" t="s">
        <v>268</v>
      </c>
      <c r="AA2920" t="s">
        <v>269</v>
      </c>
      <c r="AB2920" t="s">
        <v>131</v>
      </c>
      <c r="AC2920" t="s">
        <v>51</v>
      </c>
      <c r="AD2920" t="s">
        <v>45</v>
      </c>
      <c r="AE2920" s="1">
        <v>26751</v>
      </c>
      <c r="AF2920">
        <v>1</v>
      </c>
      <c r="AG2920" t="s">
        <v>269</v>
      </c>
      <c r="AH2920" s="36">
        <f t="shared" si="45"/>
        <v>46.405555555555559</v>
      </c>
      <c r="AI2920" s="41" t="s">
        <v>1780</v>
      </c>
    </row>
    <row r="2921" spans="1:35" x14ac:dyDescent="0.25">
      <c r="A2921" s="36">
        <v>99912919</v>
      </c>
      <c r="B2921" s="17" t="s">
        <v>32</v>
      </c>
      <c r="C2921" t="s">
        <v>82</v>
      </c>
      <c r="D2921" t="s">
        <v>83</v>
      </c>
      <c r="G2921" s="17" t="s">
        <v>48</v>
      </c>
      <c r="H2921" s="17">
        <v>1</v>
      </c>
      <c r="K2921" t="s">
        <v>223</v>
      </c>
      <c r="L2921" t="s">
        <v>224</v>
      </c>
      <c r="M2921" t="s">
        <v>131</v>
      </c>
      <c r="N2921">
        <v>20</v>
      </c>
      <c r="O2921" t="s">
        <v>40</v>
      </c>
      <c r="P2921" t="s">
        <v>40</v>
      </c>
      <c r="Q2921" t="s">
        <v>40</v>
      </c>
      <c r="S2921" t="s">
        <v>40</v>
      </c>
      <c r="V2921" t="s">
        <v>41</v>
      </c>
      <c r="W2921" t="s">
        <v>49</v>
      </c>
      <c r="X2921" t="str">
        <f>"0581200"</f>
        <v>0581200</v>
      </c>
      <c r="Y2921" t="s">
        <v>238</v>
      </c>
      <c r="Z2921" t="s">
        <v>223</v>
      </c>
      <c r="AA2921" t="s">
        <v>224</v>
      </c>
      <c r="AB2921" t="s">
        <v>131</v>
      </c>
      <c r="AC2921" t="s">
        <v>51</v>
      </c>
      <c r="AD2921" t="s">
        <v>45</v>
      </c>
      <c r="AE2921" s="1">
        <v>26748</v>
      </c>
      <c r="AF2921">
        <v>2</v>
      </c>
      <c r="AG2921" t="s">
        <v>224</v>
      </c>
      <c r="AH2921" s="36">
        <f t="shared" si="45"/>
        <v>46.413888888888891</v>
      </c>
      <c r="AI2921" s="41" t="s">
        <v>1780</v>
      </c>
    </row>
    <row r="2922" spans="1:35" x14ac:dyDescent="0.25">
      <c r="A2922" s="36">
        <v>99912920</v>
      </c>
      <c r="B2922" s="17" t="s">
        <v>32</v>
      </c>
      <c r="C2922" t="s">
        <v>79</v>
      </c>
      <c r="D2922" t="s">
        <v>80</v>
      </c>
      <c r="G2922" s="17" t="s">
        <v>35</v>
      </c>
      <c r="H2922" s="17">
        <v>1</v>
      </c>
      <c r="I2922" t="s">
        <v>472</v>
      </c>
      <c r="J2922" s="1">
        <v>42248</v>
      </c>
      <c r="K2922" t="s">
        <v>195</v>
      </c>
      <c r="L2922" t="s">
        <v>196</v>
      </c>
      <c r="M2922" t="s">
        <v>131</v>
      </c>
      <c r="N2922">
        <v>24</v>
      </c>
      <c r="O2922" t="s">
        <v>40</v>
      </c>
      <c r="P2922" t="s">
        <v>40</v>
      </c>
      <c r="Q2922" t="s">
        <v>40</v>
      </c>
      <c r="R2922" t="s">
        <v>40</v>
      </c>
      <c r="S2922" t="s">
        <v>40</v>
      </c>
      <c r="U2922" s="1">
        <v>42248</v>
      </c>
      <c r="V2922" t="s">
        <v>41</v>
      </c>
      <c r="W2922" t="s">
        <v>75</v>
      </c>
      <c r="X2922" t="str">
        <f>"7521050"</f>
        <v>7521050</v>
      </c>
      <c r="Y2922" t="s">
        <v>194</v>
      </c>
      <c r="Z2922" t="s">
        <v>195</v>
      </c>
      <c r="AA2922" t="s">
        <v>196</v>
      </c>
      <c r="AB2922" t="s">
        <v>131</v>
      </c>
      <c r="AC2922" t="s">
        <v>51</v>
      </c>
      <c r="AD2922" t="s">
        <v>45</v>
      </c>
      <c r="AE2922" s="1">
        <v>26742</v>
      </c>
      <c r="AF2922">
        <v>1</v>
      </c>
      <c r="AG2922" t="s">
        <v>196</v>
      </c>
      <c r="AH2922" s="36">
        <f t="shared" si="45"/>
        <v>46.430555555555557</v>
      </c>
      <c r="AI2922" s="41" t="s">
        <v>1780</v>
      </c>
    </row>
    <row r="2923" spans="1:35" x14ac:dyDescent="0.25">
      <c r="A2923" s="36">
        <v>99912921</v>
      </c>
      <c r="B2923" s="17" t="s">
        <v>32</v>
      </c>
      <c r="C2923" t="s">
        <v>90</v>
      </c>
      <c r="D2923" t="s">
        <v>91</v>
      </c>
      <c r="G2923" s="17" t="s">
        <v>48</v>
      </c>
      <c r="H2923" s="17">
        <v>1</v>
      </c>
      <c r="K2923" t="s">
        <v>268</v>
      </c>
      <c r="L2923" t="s">
        <v>269</v>
      </c>
      <c r="M2923" t="s">
        <v>131</v>
      </c>
      <c r="N2923">
        <v>30</v>
      </c>
      <c r="O2923" t="s">
        <v>40</v>
      </c>
      <c r="P2923" t="s">
        <v>40</v>
      </c>
      <c r="Q2923" t="s">
        <v>40</v>
      </c>
      <c r="S2923" t="s">
        <v>40</v>
      </c>
      <c r="V2923" t="s">
        <v>41</v>
      </c>
      <c r="W2923" t="s">
        <v>95</v>
      </c>
      <c r="X2923" t="str">
        <f>"7052067"</f>
        <v>7052067</v>
      </c>
      <c r="Y2923" t="s">
        <v>617</v>
      </c>
      <c r="Z2923" t="s">
        <v>268</v>
      </c>
      <c r="AA2923" t="s">
        <v>269</v>
      </c>
      <c r="AB2923" t="s">
        <v>131</v>
      </c>
      <c r="AC2923" t="s">
        <v>51</v>
      </c>
      <c r="AD2923" t="s">
        <v>45</v>
      </c>
      <c r="AE2923" s="1">
        <v>26741</v>
      </c>
      <c r="AF2923">
        <v>1</v>
      </c>
      <c r="AG2923" t="s">
        <v>269</v>
      </c>
      <c r="AH2923" s="36">
        <f t="shared" si="45"/>
        <v>46.43333333333333</v>
      </c>
      <c r="AI2923" s="41" t="s">
        <v>1780</v>
      </c>
    </row>
    <row r="2924" spans="1:35" x14ac:dyDescent="0.25">
      <c r="A2924" s="36">
        <v>99912922</v>
      </c>
      <c r="B2924" s="17" t="s">
        <v>32</v>
      </c>
      <c r="C2924" t="s">
        <v>145</v>
      </c>
      <c r="D2924" t="s">
        <v>146</v>
      </c>
      <c r="G2924" s="17" t="s">
        <v>48</v>
      </c>
      <c r="H2924" s="17">
        <v>9</v>
      </c>
      <c r="K2924" t="s">
        <v>129</v>
      </c>
      <c r="L2924" t="s">
        <v>130</v>
      </c>
      <c r="M2924" t="s">
        <v>131</v>
      </c>
      <c r="N2924">
        <v>20</v>
      </c>
      <c r="O2924" t="s">
        <v>40</v>
      </c>
      <c r="P2924" t="s">
        <v>40</v>
      </c>
      <c r="Q2924" t="s">
        <v>40</v>
      </c>
      <c r="R2924" t="s">
        <v>40</v>
      </c>
      <c r="S2924" t="s">
        <v>40</v>
      </c>
      <c r="U2924" s="1">
        <v>35319</v>
      </c>
      <c r="V2924" t="s">
        <v>41</v>
      </c>
      <c r="W2924" t="s">
        <v>42</v>
      </c>
      <c r="X2924" t="str">
        <f>"0561011"</f>
        <v>0561011</v>
      </c>
      <c r="Y2924" t="s">
        <v>132</v>
      </c>
      <c r="Z2924" t="s">
        <v>129</v>
      </c>
      <c r="AA2924" t="s">
        <v>130</v>
      </c>
      <c r="AB2924" t="s">
        <v>131</v>
      </c>
      <c r="AC2924" t="s">
        <v>51</v>
      </c>
      <c r="AD2924" t="s">
        <v>45</v>
      </c>
      <c r="AE2924" s="1">
        <v>26740</v>
      </c>
      <c r="AF2924">
        <v>2</v>
      </c>
      <c r="AG2924" t="s">
        <v>130</v>
      </c>
      <c r="AH2924" s="36">
        <f t="shared" si="45"/>
        <v>46.43611111111111</v>
      </c>
      <c r="AI2924" s="41" t="s">
        <v>1780</v>
      </c>
    </row>
    <row r="2925" spans="1:35" x14ac:dyDescent="0.25">
      <c r="A2925" s="36">
        <v>99912923</v>
      </c>
      <c r="B2925" s="17" t="s">
        <v>32</v>
      </c>
      <c r="C2925" t="s">
        <v>111</v>
      </c>
      <c r="D2925" t="s">
        <v>112</v>
      </c>
      <c r="G2925" s="17" t="s">
        <v>48</v>
      </c>
      <c r="H2925" s="17">
        <v>9</v>
      </c>
      <c r="I2925">
        <v>10</v>
      </c>
      <c r="J2925" s="1">
        <v>39097</v>
      </c>
      <c r="K2925" t="s">
        <v>195</v>
      </c>
      <c r="L2925" t="s">
        <v>196</v>
      </c>
      <c r="M2925" t="s">
        <v>131</v>
      </c>
      <c r="N2925">
        <v>21</v>
      </c>
      <c r="O2925" t="s">
        <v>40</v>
      </c>
      <c r="P2925" t="s">
        <v>40</v>
      </c>
      <c r="Q2925" t="s">
        <v>40</v>
      </c>
      <c r="R2925" t="s">
        <v>40</v>
      </c>
      <c r="S2925" t="s">
        <v>40</v>
      </c>
      <c r="U2925" s="1">
        <v>39097</v>
      </c>
      <c r="V2925" t="s">
        <v>41</v>
      </c>
      <c r="W2925" t="s">
        <v>75</v>
      </c>
      <c r="X2925" t="str">
        <f>"7521042"</f>
        <v>7521042</v>
      </c>
      <c r="Y2925" t="s">
        <v>440</v>
      </c>
      <c r="Z2925" t="s">
        <v>195</v>
      </c>
      <c r="AA2925" t="s">
        <v>196</v>
      </c>
      <c r="AB2925" t="s">
        <v>131</v>
      </c>
      <c r="AC2925" t="s">
        <v>165</v>
      </c>
      <c r="AD2925" t="s">
        <v>45</v>
      </c>
      <c r="AE2925" s="1">
        <v>26739</v>
      </c>
      <c r="AF2925">
        <v>1</v>
      </c>
      <c r="AG2925" t="s">
        <v>196</v>
      </c>
      <c r="AH2925" s="36">
        <f t="shared" si="45"/>
        <v>46.43888888888889</v>
      </c>
      <c r="AI2925" s="41" t="s">
        <v>1780</v>
      </c>
    </row>
    <row r="2926" spans="1:35" x14ac:dyDescent="0.25">
      <c r="A2926" s="36">
        <v>99912924</v>
      </c>
      <c r="B2926" s="17" t="s">
        <v>56</v>
      </c>
      <c r="C2926" t="s">
        <v>79</v>
      </c>
      <c r="D2926" t="s">
        <v>80</v>
      </c>
      <c r="G2926" s="17" t="s">
        <v>48</v>
      </c>
      <c r="H2926" s="17">
        <v>1</v>
      </c>
      <c r="K2926" t="s">
        <v>380</v>
      </c>
      <c r="L2926" t="s">
        <v>381</v>
      </c>
      <c r="M2926" t="s">
        <v>131</v>
      </c>
      <c r="N2926">
        <v>18</v>
      </c>
      <c r="O2926" t="s">
        <v>40</v>
      </c>
      <c r="P2926" t="s">
        <v>40</v>
      </c>
      <c r="Q2926" t="s">
        <v>40</v>
      </c>
      <c r="R2926" t="s">
        <v>40</v>
      </c>
      <c r="S2926" t="s">
        <v>40</v>
      </c>
      <c r="V2926" t="s">
        <v>41</v>
      </c>
      <c r="W2926" t="s">
        <v>49</v>
      </c>
      <c r="X2926" t="str">
        <f>"0591909"</f>
        <v>0591909</v>
      </c>
      <c r="Y2926" t="s">
        <v>385</v>
      </c>
      <c r="Z2926" t="s">
        <v>380</v>
      </c>
      <c r="AA2926" t="s">
        <v>381</v>
      </c>
      <c r="AB2926" t="s">
        <v>131</v>
      </c>
      <c r="AC2926" t="s">
        <v>51</v>
      </c>
      <c r="AD2926" t="s">
        <v>45</v>
      </c>
      <c r="AE2926" s="1">
        <v>26738</v>
      </c>
      <c r="AF2926">
        <v>2</v>
      </c>
      <c r="AG2926" t="s">
        <v>381</v>
      </c>
      <c r="AH2926" s="36">
        <f t="shared" si="45"/>
        <v>46.44166666666667</v>
      </c>
      <c r="AI2926" s="41" t="s">
        <v>1780</v>
      </c>
    </row>
    <row r="2927" spans="1:35" x14ac:dyDescent="0.25">
      <c r="A2927" s="36">
        <v>99912925</v>
      </c>
      <c r="B2927" s="17" t="s">
        <v>32</v>
      </c>
      <c r="C2927" t="s">
        <v>85</v>
      </c>
      <c r="D2927" t="s">
        <v>86</v>
      </c>
      <c r="G2927" s="17" t="s">
        <v>48</v>
      </c>
      <c r="H2927" s="17">
        <v>1</v>
      </c>
      <c r="K2927" t="s">
        <v>223</v>
      </c>
      <c r="L2927" t="s">
        <v>224</v>
      </c>
      <c r="M2927" t="s">
        <v>131</v>
      </c>
      <c r="N2927">
        <v>22</v>
      </c>
      <c r="O2927" t="s">
        <v>40</v>
      </c>
      <c r="P2927" t="s">
        <v>40</v>
      </c>
      <c r="Q2927" t="s">
        <v>40</v>
      </c>
      <c r="R2927" t="s">
        <v>40</v>
      </c>
      <c r="S2927" t="s">
        <v>40</v>
      </c>
      <c r="V2927" t="s">
        <v>41</v>
      </c>
      <c r="W2927" t="s">
        <v>49</v>
      </c>
      <c r="X2927" t="str">
        <f>"0581200"</f>
        <v>0581200</v>
      </c>
      <c r="Y2927" t="s">
        <v>238</v>
      </c>
      <c r="Z2927" t="s">
        <v>223</v>
      </c>
      <c r="AA2927" t="s">
        <v>224</v>
      </c>
      <c r="AB2927" t="s">
        <v>131</v>
      </c>
      <c r="AC2927" t="s">
        <v>51</v>
      </c>
      <c r="AD2927" t="s">
        <v>45</v>
      </c>
      <c r="AE2927" s="1">
        <v>26732</v>
      </c>
      <c r="AF2927">
        <v>2</v>
      </c>
      <c r="AG2927" t="s">
        <v>224</v>
      </c>
      <c r="AH2927" s="36">
        <f t="shared" si="45"/>
        <v>46.458333333333336</v>
      </c>
      <c r="AI2927" s="41" t="s">
        <v>1780</v>
      </c>
    </row>
    <row r="2928" spans="1:35" x14ac:dyDescent="0.25">
      <c r="A2928" s="36">
        <v>99912926</v>
      </c>
      <c r="B2928" s="17" t="s">
        <v>32</v>
      </c>
      <c r="C2928" t="s">
        <v>111</v>
      </c>
      <c r="D2928" t="s">
        <v>112</v>
      </c>
      <c r="G2928" s="17" t="s">
        <v>48</v>
      </c>
      <c r="H2928" s="17">
        <v>10</v>
      </c>
      <c r="J2928" s="1">
        <v>43344</v>
      </c>
      <c r="K2928" t="s">
        <v>354</v>
      </c>
      <c r="L2928" t="s">
        <v>355</v>
      </c>
      <c r="M2928" t="s">
        <v>131</v>
      </c>
      <c r="N2928">
        <v>22</v>
      </c>
      <c r="O2928" t="s">
        <v>40</v>
      </c>
      <c r="P2928" t="s">
        <v>40</v>
      </c>
      <c r="Q2928" t="s">
        <v>40</v>
      </c>
      <c r="R2928" t="s">
        <v>40</v>
      </c>
      <c r="S2928" t="s">
        <v>40</v>
      </c>
      <c r="U2928" s="1">
        <v>43344</v>
      </c>
      <c r="V2928" t="s">
        <v>41</v>
      </c>
      <c r="W2928" t="s">
        <v>75</v>
      </c>
      <c r="X2928" t="str">
        <f>"7054022"</f>
        <v>7054022</v>
      </c>
      <c r="Y2928" t="s">
        <v>770</v>
      </c>
      <c r="Z2928" t="s">
        <v>354</v>
      </c>
      <c r="AA2928" t="s">
        <v>355</v>
      </c>
      <c r="AB2928" t="s">
        <v>131</v>
      </c>
      <c r="AC2928" t="s">
        <v>51</v>
      </c>
      <c r="AD2928" t="s">
        <v>45</v>
      </c>
      <c r="AE2928" s="1">
        <v>26732</v>
      </c>
      <c r="AF2928">
        <v>1</v>
      </c>
      <c r="AG2928" t="s">
        <v>355</v>
      </c>
      <c r="AH2928" s="36">
        <f t="shared" si="45"/>
        <v>46.458333333333336</v>
      </c>
      <c r="AI2928" s="41" t="s">
        <v>1780</v>
      </c>
    </row>
    <row r="2929" spans="1:35" x14ac:dyDescent="0.25">
      <c r="A2929" s="36">
        <v>99912927</v>
      </c>
      <c r="B2929" s="17" t="s">
        <v>32</v>
      </c>
      <c r="C2929" t="s">
        <v>46</v>
      </c>
      <c r="D2929" t="s">
        <v>47</v>
      </c>
      <c r="G2929" s="17" t="s">
        <v>48</v>
      </c>
      <c r="H2929" s="17">
        <v>1</v>
      </c>
      <c r="K2929" t="s">
        <v>1613</v>
      </c>
      <c r="L2929" t="s">
        <v>1614</v>
      </c>
      <c r="M2929" t="s">
        <v>1592</v>
      </c>
      <c r="N2929">
        <v>18</v>
      </c>
      <c r="O2929" t="s">
        <v>40</v>
      </c>
      <c r="P2929" t="s">
        <v>40</v>
      </c>
      <c r="Q2929" t="s">
        <v>40</v>
      </c>
      <c r="R2929" t="s">
        <v>40</v>
      </c>
      <c r="S2929" t="s">
        <v>40</v>
      </c>
      <c r="V2929" t="s">
        <v>41</v>
      </c>
      <c r="W2929" t="s">
        <v>42</v>
      </c>
      <c r="X2929" t="str">
        <f>"2880010"</f>
        <v>2880010</v>
      </c>
      <c r="Y2929" t="s">
        <v>1623</v>
      </c>
      <c r="Z2929" t="s">
        <v>1613</v>
      </c>
      <c r="AA2929" t="s">
        <v>1614</v>
      </c>
      <c r="AB2929" t="s">
        <v>1592</v>
      </c>
      <c r="AC2929" t="s">
        <v>51</v>
      </c>
      <c r="AD2929" t="s">
        <v>45</v>
      </c>
      <c r="AE2929" s="1">
        <v>26732</v>
      </c>
      <c r="AF2929">
        <v>2</v>
      </c>
      <c r="AG2929" t="s">
        <v>1614</v>
      </c>
      <c r="AH2929" s="36">
        <f t="shared" si="45"/>
        <v>46.458333333333336</v>
      </c>
      <c r="AI2929" s="41" t="s">
        <v>1780</v>
      </c>
    </row>
    <row r="2930" spans="1:35" x14ac:dyDescent="0.25">
      <c r="A2930" s="36">
        <v>99912928</v>
      </c>
      <c r="B2930" s="17" t="s">
        <v>32</v>
      </c>
      <c r="C2930" t="s">
        <v>52</v>
      </c>
      <c r="D2930" t="s">
        <v>53</v>
      </c>
      <c r="G2930" s="17" t="s">
        <v>48</v>
      </c>
      <c r="H2930" s="17">
        <v>1</v>
      </c>
      <c r="K2930" t="s">
        <v>129</v>
      </c>
      <c r="L2930" t="s">
        <v>130</v>
      </c>
      <c r="M2930" t="s">
        <v>131</v>
      </c>
      <c r="N2930">
        <v>21</v>
      </c>
      <c r="O2930" t="s">
        <v>40</v>
      </c>
      <c r="P2930" t="s">
        <v>40</v>
      </c>
      <c r="Q2930" t="s">
        <v>40</v>
      </c>
      <c r="S2930" t="s">
        <v>40</v>
      </c>
      <c r="V2930" t="s">
        <v>41</v>
      </c>
      <c r="W2930" t="s">
        <v>49</v>
      </c>
      <c r="X2930" t="str">
        <f>"0560024"</f>
        <v>0560024</v>
      </c>
      <c r="Y2930" t="s">
        <v>138</v>
      </c>
      <c r="Z2930" t="s">
        <v>129</v>
      </c>
      <c r="AA2930" t="s">
        <v>130</v>
      </c>
      <c r="AB2930" t="s">
        <v>131</v>
      </c>
      <c r="AC2930" t="s">
        <v>51</v>
      </c>
      <c r="AD2930" t="s">
        <v>45</v>
      </c>
      <c r="AE2930" s="1">
        <v>26727</v>
      </c>
      <c r="AF2930">
        <v>2</v>
      </c>
      <c r="AG2930" t="s">
        <v>130</v>
      </c>
      <c r="AH2930" s="36">
        <f t="shared" si="45"/>
        <v>46.472222222222221</v>
      </c>
      <c r="AI2930" s="41" t="s">
        <v>1780</v>
      </c>
    </row>
    <row r="2931" spans="1:35" x14ac:dyDescent="0.25">
      <c r="A2931" s="36">
        <v>99912929</v>
      </c>
      <c r="B2931" s="17" t="s">
        <v>32</v>
      </c>
      <c r="C2931" t="s">
        <v>143</v>
      </c>
      <c r="D2931" t="s">
        <v>144</v>
      </c>
      <c r="G2931" s="17" t="s">
        <v>48</v>
      </c>
      <c r="H2931" s="17">
        <v>9</v>
      </c>
      <c r="K2931" t="s">
        <v>129</v>
      </c>
      <c r="L2931" t="s">
        <v>130</v>
      </c>
      <c r="M2931" t="s">
        <v>131</v>
      </c>
      <c r="N2931">
        <v>12</v>
      </c>
      <c r="O2931" t="s">
        <v>40</v>
      </c>
      <c r="P2931" t="s">
        <v>40</v>
      </c>
      <c r="Q2931" t="s">
        <v>40</v>
      </c>
      <c r="R2931" t="s">
        <v>40</v>
      </c>
      <c r="S2931" t="s">
        <v>40</v>
      </c>
      <c r="U2931" s="1">
        <v>38992</v>
      </c>
      <c r="V2931" t="s">
        <v>41</v>
      </c>
      <c r="W2931" t="s">
        <v>49</v>
      </c>
      <c r="X2931" t="str">
        <f>"0580150"</f>
        <v>0580150</v>
      </c>
      <c r="Y2931" t="s">
        <v>134</v>
      </c>
      <c r="Z2931" t="s">
        <v>129</v>
      </c>
      <c r="AA2931" t="s">
        <v>130</v>
      </c>
      <c r="AB2931" t="s">
        <v>131</v>
      </c>
      <c r="AC2931" t="s">
        <v>51</v>
      </c>
      <c r="AD2931" t="s">
        <v>45</v>
      </c>
      <c r="AE2931" s="1">
        <v>26722</v>
      </c>
      <c r="AF2931">
        <v>2</v>
      </c>
      <c r="AG2931" t="s">
        <v>130</v>
      </c>
      <c r="AH2931" s="36">
        <f t="shared" si="45"/>
        <v>46.486111111111114</v>
      </c>
      <c r="AI2931" s="41" t="s">
        <v>1780</v>
      </c>
    </row>
    <row r="2932" spans="1:35" x14ac:dyDescent="0.25">
      <c r="A2932" s="36">
        <v>99912930</v>
      </c>
      <c r="B2932" s="17" t="s">
        <v>56</v>
      </c>
      <c r="C2932" t="s">
        <v>79</v>
      </c>
      <c r="D2932" t="s">
        <v>80</v>
      </c>
      <c r="G2932" s="17" t="s">
        <v>48</v>
      </c>
      <c r="H2932" s="17">
        <v>1</v>
      </c>
      <c r="K2932" t="s">
        <v>223</v>
      </c>
      <c r="L2932" t="s">
        <v>224</v>
      </c>
      <c r="M2932" t="s">
        <v>131</v>
      </c>
      <c r="N2932">
        <v>20</v>
      </c>
      <c r="O2932" t="s">
        <v>40</v>
      </c>
      <c r="P2932" t="s">
        <v>40</v>
      </c>
      <c r="Q2932" t="s">
        <v>40</v>
      </c>
      <c r="R2932" t="s">
        <v>40</v>
      </c>
      <c r="S2932" t="s">
        <v>40</v>
      </c>
      <c r="V2932" t="s">
        <v>41</v>
      </c>
      <c r="W2932" t="s">
        <v>42</v>
      </c>
      <c r="X2932" t="str">
        <f>"0580315"</f>
        <v>0580315</v>
      </c>
      <c r="Y2932" t="s">
        <v>246</v>
      </c>
      <c r="Z2932" t="s">
        <v>223</v>
      </c>
      <c r="AA2932" t="s">
        <v>224</v>
      </c>
      <c r="AB2932" t="s">
        <v>131</v>
      </c>
      <c r="AC2932" t="s">
        <v>51</v>
      </c>
      <c r="AD2932" t="s">
        <v>45</v>
      </c>
      <c r="AE2932" s="1">
        <v>26718</v>
      </c>
      <c r="AF2932">
        <v>2</v>
      </c>
      <c r="AG2932" t="s">
        <v>224</v>
      </c>
      <c r="AH2932" s="36">
        <f t="shared" si="45"/>
        <v>46.49722222222222</v>
      </c>
      <c r="AI2932" s="41" t="s">
        <v>1780</v>
      </c>
    </row>
    <row r="2933" spans="1:35" x14ac:dyDescent="0.25">
      <c r="A2933" s="36">
        <v>99912931</v>
      </c>
      <c r="B2933" s="17" t="s">
        <v>32</v>
      </c>
      <c r="C2933" t="s">
        <v>90</v>
      </c>
      <c r="D2933" t="s">
        <v>91</v>
      </c>
      <c r="G2933" s="17" t="s">
        <v>48</v>
      </c>
      <c r="H2933" s="17">
        <v>2</v>
      </c>
      <c r="K2933" t="s">
        <v>407</v>
      </c>
      <c r="L2933" t="s">
        <v>409</v>
      </c>
      <c r="M2933" t="s">
        <v>131</v>
      </c>
      <c r="N2933">
        <v>25</v>
      </c>
      <c r="O2933" t="s">
        <v>40</v>
      </c>
      <c r="P2933" t="s">
        <v>40</v>
      </c>
      <c r="Q2933" t="s">
        <v>40</v>
      </c>
      <c r="R2933" t="s">
        <v>40</v>
      </c>
      <c r="S2933" t="s">
        <v>40</v>
      </c>
      <c r="V2933" t="s">
        <v>41</v>
      </c>
      <c r="W2933" t="s">
        <v>95</v>
      </c>
      <c r="X2933" t="str">
        <f>"7053053"</f>
        <v>7053053</v>
      </c>
      <c r="Y2933" t="s">
        <v>757</v>
      </c>
      <c r="Z2933" t="s">
        <v>407</v>
      </c>
      <c r="AA2933" t="s">
        <v>409</v>
      </c>
      <c r="AB2933" t="s">
        <v>131</v>
      </c>
      <c r="AC2933" t="s">
        <v>51</v>
      </c>
      <c r="AD2933" t="s">
        <v>45</v>
      </c>
      <c r="AE2933" s="1">
        <v>26718</v>
      </c>
      <c r="AF2933">
        <v>1</v>
      </c>
      <c r="AG2933" t="s">
        <v>409</v>
      </c>
      <c r="AH2933" s="36">
        <f t="shared" si="45"/>
        <v>46.49722222222222</v>
      </c>
      <c r="AI2933" s="41" t="s">
        <v>1780</v>
      </c>
    </row>
    <row r="2934" spans="1:35" x14ac:dyDescent="0.25">
      <c r="A2934" s="36">
        <v>99912932</v>
      </c>
      <c r="B2934" s="17" t="s">
        <v>56</v>
      </c>
      <c r="C2934" t="s">
        <v>68</v>
      </c>
      <c r="D2934" t="s">
        <v>69</v>
      </c>
      <c r="G2934" s="17" t="s">
        <v>48</v>
      </c>
      <c r="H2934" s="17">
        <v>1</v>
      </c>
      <c r="K2934" t="s">
        <v>380</v>
      </c>
      <c r="L2934" t="s">
        <v>381</v>
      </c>
      <c r="M2934" t="s">
        <v>131</v>
      </c>
      <c r="N2934">
        <v>10</v>
      </c>
      <c r="O2934" t="s">
        <v>40</v>
      </c>
      <c r="P2934" t="s">
        <v>40</v>
      </c>
      <c r="Q2934" t="s">
        <v>40</v>
      </c>
      <c r="R2934" t="s">
        <v>40</v>
      </c>
      <c r="S2934" t="s">
        <v>40</v>
      </c>
      <c r="V2934" t="s">
        <v>41</v>
      </c>
      <c r="W2934" t="s">
        <v>42</v>
      </c>
      <c r="X2934" t="str">
        <f>"0561010"</f>
        <v>0561010</v>
      </c>
      <c r="Y2934" t="s">
        <v>387</v>
      </c>
      <c r="Z2934" t="s">
        <v>380</v>
      </c>
      <c r="AA2934" t="s">
        <v>381</v>
      </c>
      <c r="AB2934" t="s">
        <v>131</v>
      </c>
      <c r="AC2934" t="s">
        <v>51</v>
      </c>
      <c r="AD2934" t="s">
        <v>45</v>
      </c>
      <c r="AE2934" s="1">
        <v>26713</v>
      </c>
      <c r="AF2934">
        <v>2</v>
      </c>
      <c r="AG2934" t="s">
        <v>381</v>
      </c>
      <c r="AH2934" s="36">
        <f t="shared" si="45"/>
        <v>46.511111111111113</v>
      </c>
      <c r="AI2934" s="41" t="s">
        <v>1780</v>
      </c>
    </row>
    <row r="2935" spans="1:35" x14ac:dyDescent="0.25">
      <c r="A2935" s="36">
        <v>99912933</v>
      </c>
      <c r="B2935" s="17" t="s">
        <v>56</v>
      </c>
      <c r="C2935" t="s">
        <v>46</v>
      </c>
      <c r="D2935" t="s">
        <v>47</v>
      </c>
      <c r="G2935" s="17" t="s">
        <v>48</v>
      </c>
      <c r="H2935" s="17">
        <v>1</v>
      </c>
      <c r="K2935" t="s">
        <v>162</v>
      </c>
      <c r="L2935" t="s">
        <v>158</v>
      </c>
      <c r="M2935" t="s">
        <v>131</v>
      </c>
      <c r="N2935">
        <v>20</v>
      </c>
      <c r="O2935" t="s">
        <v>40</v>
      </c>
      <c r="P2935" t="s">
        <v>40</v>
      </c>
      <c r="Q2935" t="s">
        <v>40</v>
      </c>
      <c r="S2935" t="s">
        <v>40</v>
      </c>
      <c r="V2935" t="s">
        <v>41</v>
      </c>
      <c r="W2935" t="s">
        <v>42</v>
      </c>
      <c r="X2935" t="str">
        <f>"0580320"</f>
        <v>0580320</v>
      </c>
      <c r="Y2935" t="s">
        <v>164</v>
      </c>
      <c r="Z2935" t="s">
        <v>162</v>
      </c>
      <c r="AA2935" t="s">
        <v>158</v>
      </c>
      <c r="AB2935" t="s">
        <v>131</v>
      </c>
      <c r="AC2935" t="s">
        <v>165</v>
      </c>
      <c r="AD2935" t="s">
        <v>45</v>
      </c>
      <c r="AE2935" s="1">
        <v>26712</v>
      </c>
      <c r="AF2935">
        <v>2</v>
      </c>
      <c r="AG2935" t="s">
        <v>158</v>
      </c>
      <c r="AH2935" s="36">
        <f t="shared" si="45"/>
        <v>46.513888888888886</v>
      </c>
      <c r="AI2935" s="41" t="s">
        <v>1780</v>
      </c>
    </row>
    <row r="2936" spans="1:35" x14ac:dyDescent="0.25">
      <c r="A2936" s="36">
        <v>99912934</v>
      </c>
      <c r="B2936" s="17" t="s">
        <v>32</v>
      </c>
      <c r="C2936" t="s">
        <v>111</v>
      </c>
      <c r="D2936" t="s">
        <v>112</v>
      </c>
      <c r="G2936" s="17" t="s">
        <v>35</v>
      </c>
      <c r="H2936" s="17">
        <v>1</v>
      </c>
      <c r="I2936" t="s">
        <v>1111</v>
      </c>
      <c r="J2936" s="1">
        <v>43344</v>
      </c>
      <c r="K2936" t="s">
        <v>1081</v>
      </c>
      <c r="L2936" t="s">
        <v>1082</v>
      </c>
      <c r="M2936" t="s">
        <v>1053</v>
      </c>
      <c r="N2936">
        <v>21</v>
      </c>
      <c r="O2936" t="s">
        <v>40</v>
      </c>
      <c r="S2936" t="s">
        <v>40</v>
      </c>
      <c r="U2936" s="1">
        <v>43344</v>
      </c>
      <c r="V2936" t="s">
        <v>41</v>
      </c>
      <c r="W2936" t="s">
        <v>75</v>
      </c>
      <c r="X2936" t="str">
        <f>"7201000"</f>
        <v>7201000</v>
      </c>
      <c r="Y2936" t="s">
        <v>1088</v>
      </c>
      <c r="Z2936" t="s">
        <v>1081</v>
      </c>
      <c r="AA2936" t="s">
        <v>1082</v>
      </c>
      <c r="AB2936" t="s">
        <v>1053</v>
      </c>
      <c r="AC2936" t="s">
        <v>51</v>
      </c>
      <c r="AD2936" t="s">
        <v>45</v>
      </c>
      <c r="AE2936" s="1">
        <v>26711</v>
      </c>
      <c r="AF2936">
        <v>1</v>
      </c>
      <c r="AG2936" t="s">
        <v>1082</v>
      </c>
      <c r="AH2936" s="36">
        <f t="shared" si="45"/>
        <v>46.516666666666666</v>
      </c>
      <c r="AI2936" s="41" t="s">
        <v>1780</v>
      </c>
    </row>
    <row r="2937" spans="1:35" x14ac:dyDescent="0.25">
      <c r="A2937" s="36">
        <v>99912935</v>
      </c>
      <c r="B2937" s="17" t="s">
        <v>32</v>
      </c>
      <c r="C2937" t="s">
        <v>145</v>
      </c>
      <c r="D2937" t="s">
        <v>146</v>
      </c>
      <c r="G2937" s="17" t="s">
        <v>35</v>
      </c>
      <c r="H2937" s="17">
        <v>1</v>
      </c>
      <c r="I2937">
        <v>0</v>
      </c>
      <c r="J2937" s="1">
        <v>43344</v>
      </c>
      <c r="K2937" t="s">
        <v>223</v>
      </c>
      <c r="L2937" t="s">
        <v>224</v>
      </c>
      <c r="M2937" t="s">
        <v>131</v>
      </c>
      <c r="N2937">
        <v>23</v>
      </c>
      <c r="O2937" t="s">
        <v>40</v>
      </c>
      <c r="S2937" t="s">
        <v>40</v>
      </c>
      <c r="U2937" s="1">
        <v>43344</v>
      </c>
      <c r="V2937" t="s">
        <v>41</v>
      </c>
      <c r="W2937" t="s">
        <v>42</v>
      </c>
      <c r="X2937" t="str">
        <f>"0580206"</f>
        <v>0580206</v>
      </c>
      <c r="Y2937" t="s">
        <v>237</v>
      </c>
      <c r="Z2937" t="s">
        <v>223</v>
      </c>
      <c r="AA2937" t="s">
        <v>224</v>
      </c>
      <c r="AB2937" t="s">
        <v>131</v>
      </c>
      <c r="AC2937" t="s">
        <v>51</v>
      </c>
      <c r="AD2937" t="s">
        <v>45</v>
      </c>
      <c r="AE2937" s="1">
        <v>26707</v>
      </c>
      <c r="AF2937">
        <v>2</v>
      </c>
      <c r="AG2937" t="s">
        <v>224</v>
      </c>
      <c r="AH2937" s="36">
        <f t="shared" si="45"/>
        <v>46.527777777777779</v>
      </c>
      <c r="AI2937" s="41" t="s">
        <v>1780</v>
      </c>
    </row>
    <row r="2938" spans="1:35" x14ac:dyDescent="0.25">
      <c r="A2938" s="36">
        <v>99912936</v>
      </c>
      <c r="B2938" s="17" t="s">
        <v>32</v>
      </c>
      <c r="C2938" t="s">
        <v>46</v>
      </c>
      <c r="D2938" t="s">
        <v>47</v>
      </c>
      <c r="G2938" s="17" t="s">
        <v>48</v>
      </c>
      <c r="H2938" s="17">
        <v>1</v>
      </c>
      <c r="K2938" t="s">
        <v>345</v>
      </c>
      <c r="L2938" t="s">
        <v>346</v>
      </c>
      <c r="M2938" t="s">
        <v>131</v>
      </c>
      <c r="N2938">
        <v>20</v>
      </c>
      <c r="O2938" t="s">
        <v>40</v>
      </c>
      <c r="P2938" t="s">
        <v>40</v>
      </c>
      <c r="Q2938" t="s">
        <v>40</v>
      </c>
      <c r="R2938" t="s">
        <v>40</v>
      </c>
      <c r="S2938" t="s">
        <v>40</v>
      </c>
      <c r="V2938" t="s">
        <v>41</v>
      </c>
      <c r="W2938" t="s">
        <v>42</v>
      </c>
      <c r="X2938" t="str">
        <f>"0580931"</f>
        <v>0580931</v>
      </c>
      <c r="Y2938" t="s">
        <v>369</v>
      </c>
      <c r="Z2938" t="s">
        <v>345</v>
      </c>
      <c r="AA2938" t="s">
        <v>346</v>
      </c>
      <c r="AB2938" t="s">
        <v>131</v>
      </c>
      <c r="AC2938" t="s">
        <v>51</v>
      </c>
      <c r="AD2938" t="s">
        <v>45</v>
      </c>
      <c r="AE2938" s="1">
        <v>26707</v>
      </c>
      <c r="AF2938">
        <v>2</v>
      </c>
      <c r="AG2938" t="s">
        <v>346</v>
      </c>
      <c r="AH2938" s="36">
        <f t="shared" si="45"/>
        <v>46.527777777777779</v>
      </c>
      <c r="AI2938" s="41" t="s">
        <v>1780</v>
      </c>
    </row>
    <row r="2939" spans="1:35" x14ac:dyDescent="0.25">
      <c r="A2939" s="36">
        <v>99912937</v>
      </c>
      <c r="B2939" s="17" t="s">
        <v>56</v>
      </c>
      <c r="C2939" t="s">
        <v>68</v>
      </c>
      <c r="D2939" t="s">
        <v>69</v>
      </c>
      <c r="G2939" s="17" t="s">
        <v>48</v>
      </c>
      <c r="H2939" s="17">
        <v>7</v>
      </c>
      <c r="I2939" t="s">
        <v>1315</v>
      </c>
      <c r="K2939" t="s">
        <v>1306</v>
      </c>
      <c r="L2939" t="s">
        <v>1307</v>
      </c>
      <c r="M2939" t="s">
        <v>1270</v>
      </c>
      <c r="N2939">
        <v>18</v>
      </c>
      <c r="O2939" t="s">
        <v>40</v>
      </c>
      <c r="P2939" t="s">
        <v>40</v>
      </c>
      <c r="Q2939" t="s">
        <v>40</v>
      </c>
      <c r="R2939" t="s">
        <v>40</v>
      </c>
      <c r="S2939" t="s">
        <v>40</v>
      </c>
      <c r="V2939" t="s">
        <v>41</v>
      </c>
      <c r="W2939" t="s">
        <v>42</v>
      </c>
      <c r="X2939" t="str">
        <f>"1990913"</f>
        <v>1990913</v>
      </c>
      <c r="Y2939" t="s">
        <v>1312</v>
      </c>
      <c r="Z2939" t="s">
        <v>1306</v>
      </c>
      <c r="AA2939" t="s">
        <v>1307</v>
      </c>
      <c r="AB2939" t="s">
        <v>1270</v>
      </c>
      <c r="AC2939" t="s">
        <v>51</v>
      </c>
      <c r="AD2939" t="s">
        <v>45</v>
      </c>
      <c r="AE2939" s="1">
        <v>26705</v>
      </c>
      <c r="AF2939">
        <v>2</v>
      </c>
      <c r="AG2939" t="s">
        <v>1307</v>
      </c>
      <c r="AH2939" s="36">
        <f t="shared" si="45"/>
        <v>46.533333333333331</v>
      </c>
      <c r="AI2939" s="41" t="s">
        <v>1780</v>
      </c>
    </row>
    <row r="2940" spans="1:35" x14ac:dyDescent="0.25">
      <c r="A2940" s="36">
        <v>99912938</v>
      </c>
      <c r="B2940" s="17" t="s">
        <v>56</v>
      </c>
      <c r="C2940" t="s">
        <v>141</v>
      </c>
      <c r="D2940" t="s">
        <v>142</v>
      </c>
      <c r="G2940" s="17" t="s">
        <v>48</v>
      </c>
      <c r="H2940" s="17">
        <v>1</v>
      </c>
      <c r="K2940" t="s">
        <v>223</v>
      </c>
      <c r="L2940" t="s">
        <v>224</v>
      </c>
      <c r="M2940" t="s">
        <v>131</v>
      </c>
      <c r="N2940">
        <v>20</v>
      </c>
      <c r="O2940" t="s">
        <v>40</v>
      </c>
      <c r="P2940" t="s">
        <v>40</v>
      </c>
      <c r="Q2940" t="s">
        <v>40</v>
      </c>
      <c r="R2940" t="s">
        <v>40</v>
      </c>
      <c r="S2940" t="s">
        <v>40</v>
      </c>
      <c r="V2940" t="s">
        <v>41</v>
      </c>
      <c r="W2940" t="s">
        <v>49</v>
      </c>
      <c r="X2940" t="str">
        <f>"0581207"</f>
        <v>0581207</v>
      </c>
      <c r="Y2940" t="s">
        <v>233</v>
      </c>
      <c r="Z2940" t="s">
        <v>223</v>
      </c>
      <c r="AA2940" t="s">
        <v>224</v>
      </c>
      <c r="AB2940" t="s">
        <v>131</v>
      </c>
      <c r="AC2940" t="s">
        <v>51</v>
      </c>
      <c r="AD2940" t="s">
        <v>45</v>
      </c>
      <c r="AE2940" s="1">
        <v>26696</v>
      </c>
      <c r="AF2940">
        <v>2</v>
      </c>
      <c r="AG2940" t="s">
        <v>224</v>
      </c>
      <c r="AH2940" s="36">
        <f t="shared" si="45"/>
        <v>46.55833333333333</v>
      </c>
      <c r="AI2940" s="41" t="s">
        <v>1780</v>
      </c>
    </row>
    <row r="2941" spans="1:35" x14ac:dyDescent="0.25">
      <c r="A2941" s="36">
        <v>99912939</v>
      </c>
      <c r="B2941" s="17" t="s">
        <v>32</v>
      </c>
      <c r="C2941" t="s">
        <v>90</v>
      </c>
      <c r="D2941" t="s">
        <v>91</v>
      </c>
      <c r="G2941" s="17" t="s">
        <v>35</v>
      </c>
      <c r="H2941" s="17">
        <v>1</v>
      </c>
      <c r="I2941" t="s">
        <v>637</v>
      </c>
      <c r="J2941" s="1">
        <v>43344</v>
      </c>
      <c r="K2941" t="s">
        <v>268</v>
      </c>
      <c r="L2941" t="s">
        <v>269</v>
      </c>
      <c r="M2941" t="s">
        <v>131</v>
      </c>
      <c r="N2941">
        <v>20</v>
      </c>
      <c r="O2941" t="s">
        <v>40</v>
      </c>
      <c r="S2941" t="s">
        <v>40</v>
      </c>
      <c r="V2941" t="s">
        <v>41</v>
      </c>
      <c r="W2941" t="s">
        <v>95</v>
      </c>
      <c r="X2941" t="str">
        <f>"7052071"</f>
        <v>7052071</v>
      </c>
      <c r="Y2941" t="s">
        <v>628</v>
      </c>
      <c r="Z2941" t="s">
        <v>268</v>
      </c>
      <c r="AA2941" t="s">
        <v>269</v>
      </c>
      <c r="AB2941" t="s">
        <v>131</v>
      </c>
      <c r="AC2941" t="s">
        <v>51</v>
      </c>
      <c r="AD2941" t="s">
        <v>45</v>
      </c>
      <c r="AE2941" s="1">
        <v>26694</v>
      </c>
      <c r="AF2941">
        <v>1</v>
      </c>
      <c r="AG2941" t="s">
        <v>269</v>
      </c>
      <c r="AH2941" s="36">
        <f t="shared" si="45"/>
        <v>46.56388888888889</v>
      </c>
      <c r="AI2941" s="41" t="s">
        <v>1780</v>
      </c>
    </row>
    <row r="2942" spans="1:35" x14ac:dyDescent="0.25">
      <c r="A2942" s="36">
        <v>99912940</v>
      </c>
      <c r="B2942" s="17" t="s">
        <v>56</v>
      </c>
      <c r="C2942" t="s">
        <v>52</v>
      </c>
      <c r="D2942" t="s">
        <v>53</v>
      </c>
      <c r="G2942" s="17" t="s">
        <v>48</v>
      </c>
      <c r="H2942" s="17">
        <v>1</v>
      </c>
      <c r="K2942" t="s">
        <v>380</v>
      </c>
      <c r="L2942" t="s">
        <v>381</v>
      </c>
      <c r="M2942" t="s">
        <v>131</v>
      </c>
      <c r="N2942">
        <v>23</v>
      </c>
      <c r="O2942" t="s">
        <v>40</v>
      </c>
      <c r="P2942" t="s">
        <v>40</v>
      </c>
      <c r="Q2942" t="s">
        <v>40</v>
      </c>
      <c r="R2942" t="s">
        <v>40</v>
      </c>
      <c r="S2942" t="s">
        <v>40</v>
      </c>
      <c r="V2942" t="s">
        <v>41</v>
      </c>
      <c r="W2942" t="s">
        <v>42</v>
      </c>
      <c r="X2942" t="str">
        <f>"0561010"</f>
        <v>0561010</v>
      </c>
      <c r="Y2942" t="s">
        <v>387</v>
      </c>
      <c r="Z2942" t="s">
        <v>380</v>
      </c>
      <c r="AA2942" t="s">
        <v>381</v>
      </c>
      <c r="AB2942" t="s">
        <v>131</v>
      </c>
      <c r="AC2942" t="s">
        <v>51</v>
      </c>
      <c r="AD2942" t="s">
        <v>45</v>
      </c>
      <c r="AE2942" s="1">
        <v>26693</v>
      </c>
      <c r="AF2942">
        <v>2</v>
      </c>
      <c r="AG2942" t="s">
        <v>381</v>
      </c>
      <c r="AH2942" s="36">
        <f t="shared" si="45"/>
        <v>46.56666666666667</v>
      </c>
      <c r="AI2942" s="41" t="s">
        <v>1780</v>
      </c>
    </row>
    <row r="2943" spans="1:35" x14ac:dyDescent="0.25">
      <c r="A2943" s="36">
        <v>99912941</v>
      </c>
      <c r="B2943" s="17" t="s">
        <v>32</v>
      </c>
      <c r="C2943" t="s">
        <v>111</v>
      </c>
      <c r="D2943" t="s">
        <v>112</v>
      </c>
      <c r="G2943" s="17" t="s">
        <v>88</v>
      </c>
      <c r="H2943" s="17">
        <v>4</v>
      </c>
      <c r="J2943" s="1">
        <v>43344</v>
      </c>
      <c r="K2943" t="s">
        <v>354</v>
      </c>
      <c r="L2943" t="s">
        <v>355</v>
      </c>
      <c r="M2943" t="s">
        <v>131</v>
      </c>
      <c r="N2943">
        <v>24</v>
      </c>
      <c r="O2943" t="s">
        <v>40</v>
      </c>
      <c r="P2943" t="s">
        <v>40</v>
      </c>
      <c r="Q2943" t="s">
        <v>40</v>
      </c>
      <c r="R2943" t="s">
        <v>40</v>
      </c>
      <c r="S2943" t="s">
        <v>40</v>
      </c>
      <c r="U2943" s="1">
        <v>43344</v>
      </c>
      <c r="V2943" t="s">
        <v>41</v>
      </c>
      <c r="W2943" t="s">
        <v>75</v>
      </c>
      <c r="X2943" t="str">
        <f>"7054020"</f>
        <v>7054020</v>
      </c>
      <c r="Y2943" t="s">
        <v>765</v>
      </c>
      <c r="Z2943" t="s">
        <v>354</v>
      </c>
      <c r="AA2943" t="s">
        <v>355</v>
      </c>
      <c r="AB2943" t="s">
        <v>131</v>
      </c>
      <c r="AC2943" t="s">
        <v>51</v>
      </c>
      <c r="AD2943" t="s">
        <v>45</v>
      </c>
      <c r="AE2943" s="1">
        <v>26692</v>
      </c>
      <c r="AF2943">
        <v>1</v>
      </c>
      <c r="AG2943" t="s">
        <v>355</v>
      </c>
      <c r="AH2943" s="36">
        <f t="shared" si="45"/>
        <v>46.569444444444443</v>
      </c>
      <c r="AI2943" s="41" t="s">
        <v>1780</v>
      </c>
    </row>
    <row r="2944" spans="1:35" x14ac:dyDescent="0.25">
      <c r="A2944" s="36">
        <v>99912942</v>
      </c>
      <c r="B2944" s="17" t="s">
        <v>32</v>
      </c>
      <c r="C2944" t="s">
        <v>71</v>
      </c>
      <c r="D2944" t="s">
        <v>72</v>
      </c>
      <c r="G2944" s="17" t="s">
        <v>35</v>
      </c>
      <c r="H2944" s="17">
        <v>1</v>
      </c>
      <c r="K2944" t="s">
        <v>37</v>
      </c>
      <c r="L2944" t="s">
        <v>38</v>
      </c>
      <c r="M2944" t="s">
        <v>39</v>
      </c>
      <c r="N2944">
        <v>10</v>
      </c>
      <c r="O2944" t="s">
        <v>40</v>
      </c>
      <c r="P2944" t="s">
        <v>40</v>
      </c>
      <c r="Q2944" t="s">
        <v>40</v>
      </c>
      <c r="R2944" t="s">
        <v>40</v>
      </c>
      <c r="S2944" t="s">
        <v>40</v>
      </c>
      <c r="V2944" t="s">
        <v>41</v>
      </c>
      <c r="W2944" t="s">
        <v>49</v>
      </c>
      <c r="X2944" t="str">
        <f>"3781010"</f>
        <v>3781010</v>
      </c>
      <c r="Y2944" t="s">
        <v>50</v>
      </c>
      <c r="Z2944" t="s">
        <v>37</v>
      </c>
      <c r="AA2944" t="s">
        <v>38</v>
      </c>
      <c r="AB2944" t="s">
        <v>39</v>
      </c>
      <c r="AC2944" t="s">
        <v>51</v>
      </c>
      <c r="AD2944" t="s">
        <v>45</v>
      </c>
      <c r="AE2944" s="1">
        <v>26689</v>
      </c>
      <c r="AF2944">
        <v>2</v>
      </c>
      <c r="AG2944" t="s">
        <v>38</v>
      </c>
      <c r="AH2944" s="36">
        <f t="shared" si="45"/>
        <v>46.577777777777776</v>
      </c>
      <c r="AI2944" s="41" t="s">
        <v>1780</v>
      </c>
    </row>
    <row r="2945" spans="1:35" x14ac:dyDescent="0.25">
      <c r="A2945" s="36">
        <v>99912943</v>
      </c>
      <c r="B2945" s="17" t="s">
        <v>32</v>
      </c>
      <c r="C2945" t="s">
        <v>141</v>
      </c>
      <c r="D2945" t="s">
        <v>142</v>
      </c>
      <c r="G2945" s="17" t="s">
        <v>48</v>
      </c>
      <c r="H2945" s="17">
        <v>1</v>
      </c>
      <c r="K2945" t="s">
        <v>223</v>
      </c>
      <c r="L2945" t="s">
        <v>224</v>
      </c>
      <c r="M2945" t="s">
        <v>131</v>
      </c>
      <c r="N2945">
        <v>14</v>
      </c>
      <c r="O2945" t="s">
        <v>40</v>
      </c>
      <c r="P2945" t="s">
        <v>40</v>
      </c>
      <c r="Q2945" t="s">
        <v>40</v>
      </c>
      <c r="R2945" t="s">
        <v>40</v>
      </c>
      <c r="S2945" t="s">
        <v>40</v>
      </c>
      <c r="V2945" t="s">
        <v>41</v>
      </c>
      <c r="W2945" t="s">
        <v>49</v>
      </c>
      <c r="X2945" t="str">
        <f>"0591910"</f>
        <v>0591910</v>
      </c>
      <c r="Y2945" t="s">
        <v>228</v>
      </c>
      <c r="Z2945" t="s">
        <v>223</v>
      </c>
      <c r="AA2945" t="s">
        <v>224</v>
      </c>
      <c r="AB2945" t="s">
        <v>131</v>
      </c>
      <c r="AC2945" t="s">
        <v>51</v>
      </c>
      <c r="AD2945" t="s">
        <v>45</v>
      </c>
      <c r="AE2945" s="1">
        <v>26687</v>
      </c>
      <c r="AF2945">
        <v>2</v>
      </c>
      <c r="AG2945" t="s">
        <v>224</v>
      </c>
      <c r="AH2945" s="36">
        <f t="shared" si="45"/>
        <v>46.583333333333336</v>
      </c>
      <c r="AI2945" s="41" t="s">
        <v>1780</v>
      </c>
    </row>
    <row r="2946" spans="1:35" x14ac:dyDescent="0.25">
      <c r="A2946" s="36">
        <v>99912944</v>
      </c>
      <c r="B2946" s="17" t="s">
        <v>32</v>
      </c>
      <c r="C2946" t="s">
        <v>111</v>
      </c>
      <c r="D2946" t="s">
        <v>112</v>
      </c>
      <c r="G2946" s="17" t="s">
        <v>35</v>
      </c>
      <c r="H2946" s="17">
        <v>10</v>
      </c>
      <c r="K2946" t="s">
        <v>268</v>
      </c>
      <c r="L2946" t="s">
        <v>269</v>
      </c>
      <c r="M2946" t="s">
        <v>131</v>
      </c>
      <c r="N2946">
        <v>21</v>
      </c>
      <c r="O2946" t="s">
        <v>40</v>
      </c>
      <c r="P2946" t="s">
        <v>40</v>
      </c>
      <c r="Q2946" t="s">
        <v>40</v>
      </c>
      <c r="R2946" t="s">
        <v>40</v>
      </c>
      <c r="S2946" t="s">
        <v>40</v>
      </c>
      <c r="V2946" t="s">
        <v>41</v>
      </c>
      <c r="W2946" t="s">
        <v>75</v>
      </c>
      <c r="X2946" t="str">
        <f>"7052004"</f>
        <v>7052004</v>
      </c>
      <c r="Y2946" t="s">
        <v>584</v>
      </c>
      <c r="Z2946" t="s">
        <v>268</v>
      </c>
      <c r="AA2946" t="s">
        <v>269</v>
      </c>
      <c r="AB2946" t="s">
        <v>131</v>
      </c>
      <c r="AC2946" t="s">
        <v>165</v>
      </c>
      <c r="AD2946" t="s">
        <v>45</v>
      </c>
      <c r="AE2946" s="1">
        <v>26686</v>
      </c>
      <c r="AF2946">
        <v>1</v>
      </c>
      <c r="AG2946" t="s">
        <v>269</v>
      </c>
      <c r="AH2946" s="36">
        <f t="shared" ref="AH2946:AH3009" si="46">($AJ$1-AE2946)/360</f>
        <v>46.586111111111109</v>
      </c>
      <c r="AI2946" s="41" t="s">
        <v>1780</v>
      </c>
    </row>
    <row r="2947" spans="1:35" x14ac:dyDescent="0.25">
      <c r="A2947" s="36">
        <v>99912945</v>
      </c>
      <c r="B2947" s="17" t="s">
        <v>32</v>
      </c>
      <c r="C2947" t="s">
        <v>52</v>
      </c>
      <c r="D2947" t="s">
        <v>53</v>
      </c>
      <c r="G2947" s="17" t="s">
        <v>35</v>
      </c>
      <c r="H2947" s="17">
        <v>1</v>
      </c>
      <c r="K2947" t="s">
        <v>1268</v>
      </c>
      <c r="L2947" t="s">
        <v>1269</v>
      </c>
      <c r="M2947" t="s">
        <v>1270</v>
      </c>
      <c r="N2947">
        <v>20</v>
      </c>
      <c r="O2947" t="s">
        <v>40</v>
      </c>
      <c r="P2947" t="s">
        <v>40</v>
      </c>
      <c r="Q2947" t="s">
        <v>40</v>
      </c>
      <c r="S2947" t="s">
        <v>40</v>
      </c>
      <c r="V2947" t="s">
        <v>41</v>
      </c>
      <c r="W2947" t="s">
        <v>42</v>
      </c>
      <c r="X2947" t="str">
        <f>"1990914"</f>
        <v>1990914</v>
      </c>
      <c r="Y2947" t="s">
        <v>1275</v>
      </c>
      <c r="Z2947" t="s">
        <v>1268</v>
      </c>
      <c r="AA2947" t="s">
        <v>1269</v>
      </c>
      <c r="AB2947" t="s">
        <v>1270</v>
      </c>
      <c r="AC2947" t="s">
        <v>51</v>
      </c>
      <c r="AD2947" t="s">
        <v>45</v>
      </c>
      <c r="AE2947" s="1">
        <v>26685</v>
      </c>
      <c r="AF2947">
        <v>2</v>
      </c>
      <c r="AG2947" t="s">
        <v>1269</v>
      </c>
      <c r="AH2947" s="36">
        <f t="shared" si="46"/>
        <v>46.588888888888889</v>
      </c>
      <c r="AI2947" s="41" t="s">
        <v>1780</v>
      </c>
    </row>
    <row r="2948" spans="1:35" x14ac:dyDescent="0.25">
      <c r="A2948" s="36">
        <v>99912946</v>
      </c>
      <c r="B2948" s="17" t="s">
        <v>32</v>
      </c>
      <c r="C2948" t="s">
        <v>139</v>
      </c>
      <c r="D2948" t="s">
        <v>140</v>
      </c>
      <c r="G2948" s="17" t="s">
        <v>35</v>
      </c>
      <c r="H2948" s="17">
        <v>1</v>
      </c>
      <c r="K2948" t="s">
        <v>223</v>
      </c>
      <c r="L2948" t="s">
        <v>224</v>
      </c>
      <c r="M2948" t="s">
        <v>131</v>
      </c>
      <c r="N2948">
        <v>11</v>
      </c>
      <c r="O2948" t="s">
        <v>40</v>
      </c>
      <c r="P2948" t="s">
        <v>40</v>
      </c>
      <c r="Q2948" t="s">
        <v>40</v>
      </c>
      <c r="R2948" t="s">
        <v>40</v>
      </c>
      <c r="S2948" t="s">
        <v>40</v>
      </c>
      <c r="V2948" t="s">
        <v>41</v>
      </c>
      <c r="W2948" t="s">
        <v>49</v>
      </c>
      <c r="X2948" t="str">
        <f>"0591901"</f>
        <v>0591901</v>
      </c>
      <c r="Y2948" t="s">
        <v>230</v>
      </c>
      <c r="Z2948" t="s">
        <v>223</v>
      </c>
      <c r="AA2948" t="s">
        <v>224</v>
      </c>
      <c r="AB2948" t="s">
        <v>131</v>
      </c>
      <c r="AC2948" t="s">
        <v>51</v>
      </c>
      <c r="AD2948" t="s">
        <v>45</v>
      </c>
      <c r="AE2948" s="1">
        <v>26681</v>
      </c>
      <c r="AF2948">
        <v>2</v>
      </c>
      <c r="AG2948" t="s">
        <v>224</v>
      </c>
      <c r="AH2948" s="36">
        <f t="shared" si="46"/>
        <v>46.6</v>
      </c>
      <c r="AI2948" s="41" t="s">
        <v>1780</v>
      </c>
    </row>
    <row r="2949" spans="1:35" x14ac:dyDescent="0.25">
      <c r="A2949" s="36">
        <v>99912947</v>
      </c>
      <c r="B2949" s="17" t="s">
        <v>56</v>
      </c>
      <c r="C2949" t="s">
        <v>68</v>
      </c>
      <c r="D2949" t="s">
        <v>69</v>
      </c>
      <c r="G2949" s="17" t="s">
        <v>48</v>
      </c>
      <c r="H2949" s="17">
        <v>1</v>
      </c>
      <c r="K2949" t="s">
        <v>300</v>
      </c>
      <c r="L2949" t="s">
        <v>301</v>
      </c>
      <c r="M2949" t="s">
        <v>131</v>
      </c>
      <c r="N2949">
        <v>26</v>
      </c>
      <c r="O2949" t="s">
        <v>40</v>
      </c>
      <c r="P2949" t="s">
        <v>40</v>
      </c>
      <c r="Q2949" t="s">
        <v>40</v>
      </c>
      <c r="R2949" t="s">
        <v>40</v>
      </c>
      <c r="S2949" t="s">
        <v>40</v>
      </c>
      <c r="V2949" t="s">
        <v>41</v>
      </c>
      <c r="W2949" t="s">
        <v>49</v>
      </c>
      <c r="X2949" t="str">
        <f>"0560001"</f>
        <v>0560001</v>
      </c>
      <c r="Y2949" t="s">
        <v>304</v>
      </c>
      <c r="Z2949" t="s">
        <v>300</v>
      </c>
      <c r="AA2949" t="s">
        <v>301</v>
      </c>
      <c r="AB2949" t="s">
        <v>131</v>
      </c>
      <c r="AC2949" t="s">
        <v>51</v>
      </c>
      <c r="AD2949" t="s">
        <v>45</v>
      </c>
      <c r="AE2949" s="1">
        <v>26677</v>
      </c>
      <c r="AF2949">
        <v>2</v>
      </c>
      <c r="AG2949" t="s">
        <v>301</v>
      </c>
      <c r="AH2949" s="36">
        <f t="shared" si="46"/>
        <v>46.611111111111114</v>
      </c>
      <c r="AI2949" s="41" t="s">
        <v>1780</v>
      </c>
    </row>
    <row r="2950" spans="1:35" x14ac:dyDescent="0.25">
      <c r="A2950" s="36">
        <v>99912948</v>
      </c>
      <c r="B2950" s="17" t="s">
        <v>32</v>
      </c>
      <c r="C2950" t="s">
        <v>111</v>
      </c>
      <c r="D2950" t="s">
        <v>112</v>
      </c>
      <c r="G2950" s="17" t="s">
        <v>48</v>
      </c>
      <c r="H2950" s="17">
        <v>1</v>
      </c>
      <c r="K2950" t="s">
        <v>268</v>
      </c>
      <c r="L2950" t="s">
        <v>269</v>
      </c>
      <c r="M2950" t="s">
        <v>131</v>
      </c>
      <c r="N2950">
        <v>22</v>
      </c>
      <c r="O2950" t="s">
        <v>40</v>
      </c>
      <c r="P2950" t="s">
        <v>40</v>
      </c>
      <c r="Q2950" t="s">
        <v>40</v>
      </c>
      <c r="S2950" t="s">
        <v>40</v>
      </c>
      <c r="V2950" t="s">
        <v>41</v>
      </c>
      <c r="W2950" t="s">
        <v>75</v>
      </c>
      <c r="X2950" t="str">
        <f>"7052008"</f>
        <v>7052008</v>
      </c>
      <c r="Y2950" t="s">
        <v>274</v>
      </c>
      <c r="Z2950" t="s">
        <v>268</v>
      </c>
      <c r="AA2950" t="s">
        <v>269</v>
      </c>
      <c r="AB2950" t="s">
        <v>131</v>
      </c>
      <c r="AC2950" t="s">
        <v>51</v>
      </c>
      <c r="AD2950" t="s">
        <v>45</v>
      </c>
      <c r="AE2950" s="1">
        <v>26676</v>
      </c>
      <c r="AF2950">
        <v>1</v>
      </c>
      <c r="AG2950" t="s">
        <v>269</v>
      </c>
      <c r="AH2950" s="36">
        <f t="shared" si="46"/>
        <v>46.613888888888887</v>
      </c>
      <c r="AI2950" s="41" t="s">
        <v>1780</v>
      </c>
    </row>
    <row r="2951" spans="1:35" x14ac:dyDescent="0.25">
      <c r="A2951" s="36">
        <v>99912949</v>
      </c>
      <c r="B2951" s="17" t="s">
        <v>32</v>
      </c>
      <c r="C2951" t="s">
        <v>46</v>
      </c>
      <c r="D2951" t="s">
        <v>47</v>
      </c>
      <c r="G2951" s="17" t="s">
        <v>35</v>
      </c>
      <c r="H2951" s="17">
        <v>1</v>
      </c>
      <c r="I2951" t="s">
        <v>348</v>
      </c>
      <c r="J2951" s="1">
        <v>43344</v>
      </c>
      <c r="K2951" t="s">
        <v>345</v>
      </c>
      <c r="L2951" t="s">
        <v>346</v>
      </c>
      <c r="M2951" t="s">
        <v>131</v>
      </c>
      <c r="N2951">
        <v>20</v>
      </c>
      <c r="O2951" t="s">
        <v>40</v>
      </c>
      <c r="S2951" t="s">
        <v>40</v>
      </c>
      <c r="U2951" s="1">
        <v>43344</v>
      </c>
      <c r="V2951" t="s">
        <v>41</v>
      </c>
      <c r="W2951" t="s">
        <v>49</v>
      </c>
      <c r="X2951" t="str">
        <f>"0581155"</f>
        <v>0581155</v>
      </c>
      <c r="Y2951" t="s">
        <v>349</v>
      </c>
      <c r="Z2951" t="s">
        <v>345</v>
      </c>
      <c r="AA2951" t="s">
        <v>346</v>
      </c>
      <c r="AB2951" t="s">
        <v>131</v>
      </c>
      <c r="AC2951" t="s">
        <v>51</v>
      </c>
      <c r="AD2951" t="s">
        <v>45</v>
      </c>
      <c r="AE2951" s="1">
        <v>26672</v>
      </c>
      <c r="AF2951">
        <v>2</v>
      </c>
      <c r="AG2951" t="s">
        <v>346</v>
      </c>
      <c r="AH2951" s="36">
        <f t="shared" si="46"/>
        <v>46.625</v>
      </c>
      <c r="AI2951" s="41" t="s">
        <v>1780</v>
      </c>
    </row>
    <row r="2952" spans="1:35" x14ac:dyDescent="0.25">
      <c r="A2952" s="36">
        <v>99912950</v>
      </c>
      <c r="B2952" s="17" t="s">
        <v>32</v>
      </c>
      <c r="C2952" t="s">
        <v>46</v>
      </c>
      <c r="D2952" t="s">
        <v>47</v>
      </c>
      <c r="G2952" s="17" t="s">
        <v>35</v>
      </c>
      <c r="H2952" s="17">
        <v>1</v>
      </c>
      <c r="I2952" t="s">
        <v>1594</v>
      </c>
      <c r="J2952" s="1">
        <v>43344</v>
      </c>
      <c r="K2952" t="s">
        <v>1590</v>
      </c>
      <c r="L2952" t="s">
        <v>1591</v>
      </c>
      <c r="M2952" t="s">
        <v>1592</v>
      </c>
      <c r="N2952">
        <v>15</v>
      </c>
      <c r="O2952" t="s">
        <v>40</v>
      </c>
      <c r="S2952" t="s">
        <v>40</v>
      </c>
      <c r="U2952" s="1">
        <v>43344</v>
      </c>
      <c r="V2952" t="s">
        <v>41</v>
      </c>
      <c r="W2952" t="s">
        <v>42</v>
      </c>
      <c r="X2952" t="str">
        <f>"0280020"</f>
        <v>0280020</v>
      </c>
      <c r="Y2952" t="s">
        <v>1597</v>
      </c>
      <c r="Z2952" t="s">
        <v>1590</v>
      </c>
      <c r="AA2952" t="s">
        <v>1591</v>
      </c>
      <c r="AB2952" t="s">
        <v>1592</v>
      </c>
      <c r="AC2952" t="s">
        <v>51</v>
      </c>
      <c r="AD2952" t="s">
        <v>45</v>
      </c>
      <c r="AE2952" s="1">
        <v>26668</v>
      </c>
      <c r="AF2952">
        <v>2</v>
      </c>
      <c r="AG2952" t="s">
        <v>1591</v>
      </c>
      <c r="AH2952" s="36">
        <f t="shared" si="46"/>
        <v>46.636111111111113</v>
      </c>
      <c r="AI2952" s="41" t="s">
        <v>1780</v>
      </c>
    </row>
    <row r="2953" spans="1:35" x14ac:dyDescent="0.25">
      <c r="A2953" s="36">
        <v>99912951</v>
      </c>
      <c r="B2953" s="17" t="s">
        <v>56</v>
      </c>
      <c r="C2953" t="s">
        <v>58</v>
      </c>
      <c r="D2953" t="s">
        <v>59</v>
      </c>
      <c r="G2953" s="17" t="s">
        <v>48</v>
      </c>
      <c r="H2953" s="17">
        <v>1</v>
      </c>
      <c r="K2953" t="s">
        <v>345</v>
      </c>
      <c r="L2953" t="s">
        <v>346</v>
      </c>
      <c r="M2953" t="s">
        <v>131</v>
      </c>
      <c r="N2953">
        <v>23</v>
      </c>
      <c r="O2953" t="s">
        <v>40</v>
      </c>
      <c r="P2953" t="s">
        <v>40</v>
      </c>
      <c r="Q2953" t="s">
        <v>40</v>
      </c>
      <c r="R2953" t="s">
        <v>40</v>
      </c>
      <c r="S2953" t="s">
        <v>40</v>
      </c>
      <c r="V2953" t="s">
        <v>41</v>
      </c>
      <c r="W2953" t="s">
        <v>42</v>
      </c>
      <c r="X2953" t="str">
        <f>"0590906"</f>
        <v>0590906</v>
      </c>
      <c r="Y2953" t="s">
        <v>361</v>
      </c>
      <c r="Z2953" t="s">
        <v>345</v>
      </c>
      <c r="AA2953" t="s">
        <v>346</v>
      </c>
      <c r="AB2953" t="s">
        <v>131</v>
      </c>
      <c r="AC2953" t="s">
        <v>51</v>
      </c>
      <c r="AD2953" t="s">
        <v>45</v>
      </c>
      <c r="AE2953" s="1">
        <v>26667</v>
      </c>
      <c r="AF2953">
        <v>2</v>
      </c>
      <c r="AG2953" t="s">
        <v>346</v>
      </c>
      <c r="AH2953" s="36">
        <f t="shared" si="46"/>
        <v>46.638888888888886</v>
      </c>
      <c r="AI2953" s="41" t="s">
        <v>1780</v>
      </c>
    </row>
    <row r="2954" spans="1:35" x14ac:dyDescent="0.25">
      <c r="A2954" s="36">
        <v>99912952</v>
      </c>
      <c r="B2954" s="17" t="s">
        <v>32</v>
      </c>
      <c r="C2954" t="s">
        <v>46</v>
      </c>
      <c r="D2954" t="s">
        <v>47</v>
      </c>
      <c r="G2954" s="17" t="s">
        <v>48</v>
      </c>
      <c r="H2954" s="17">
        <v>1</v>
      </c>
      <c r="K2954" t="s">
        <v>1613</v>
      </c>
      <c r="L2954" t="s">
        <v>1614</v>
      </c>
      <c r="M2954" t="s">
        <v>1592</v>
      </c>
      <c r="N2954">
        <v>13</v>
      </c>
      <c r="O2954" t="s">
        <v>40</v>
      </c>
      <c r="P2954" t="s">
        <v>40</v>
      </c>
      <c r="Q2954" t="s">
        <v>40</v>
      </c>
      <c r="R2954" t="s">
        <v>40</v>
      </c>
      <c r="S2954" t="s">
        <v>40</v>
      </c>
      <c r="V2954" t="s">
        <v>41</v>
      </c>
      <c r="W2954" t="s">
        <v>42</v>
      </c>
      <c r="X2954" t="str">
        <f>"2861001"</f>
        <v>2861001</v>
      </c>
      <c r="Y2954" t="s">
        <v>1621</v>
      </c>
      <c r="Z2954" t="s">
        <v>1613</v>
      </c>
      <c r="AA2954" t="s">
        <v>1614</v>
      </c>
      <c r="AB2954" t="s">
        <v>1592</v>
      </c>
      <c r="AC2954" t="s">
        <v>51</v>
      </c>
      <c r="AD2954" t="s">
        <v>45</v>
      </c>
      <c r="AE2954" s="1">
        <v>26667</v>
      </c>
      <c r="AF2954">
        <v>2</v>
      </c>
      <c r="AG2954" t="s">
        <v>1614</v>
      </c>
      <c r="AH2954" s="36">
        <f t="shared" si="46"/>
        <v>46.638888888888886</v>
      </c>
      <c r="AI2954" s="41" t="s">
        <v>1780</v>
      </c>
    </row>
    <row r="2955" spans="1:35" x14ac:dyDescent="0.25">
      <c r="A2955" s="36">
        <v>99912953</v>
      </c>
      <c r="B2955" s="17" t="s">
        <v>32</v>
      </c>
      <c r="C2955" t="s">
        <v>64</v>
      </c>
      <c r="D2955" t="s">
        <v>65</v>
      </c>
      <c r="G2955" s="17" t="s">
        <v>48</v>
      </c>
      <c r="H2955" s="17">
        <v>1</v>
      </c>
      <c r="K2955" t="s">
        <v>129</v>
      </c>
      <c r="L2955" t="s">
        <v>130</v>
      </c>
      <c r="M2955" t="s">
        <v>131</v>
      </c>
      <c r="N2955">
        <v>18</v>
      </c>
      <c r="O2955" t="s">
        <v>40</v>
      </c>
      <c r="P2955" t="s">
        <v>40</v>
      </c>
      <c r="Q2955" t="s">
        <v>40</v>
      </c>
      <c r="R2955" t="s">
        <v>40</v>
      </c>
      <c r="S2955" t="s">
        <v>40</v>
      </c>
      <c r="V2955" t="s">
        <v>41</v>
      </c>
      <c r="W2955" t="s">
        <v>49</v>
      </c>
      <c r="X2955" t="str">
        <f>"0591905"</f>
        <v>0591905</v>
      </c>
      <c r="Y2955" t="s">
        <v>135</v>
      </c>
      <c r="Z2955" t="s">
        <v>129</v>
      </c>
      <c r="AA2955" t="s">
        <v>130</v>
      </c>
      <c r="AB2955" t="s">
        <v>131</v>
      </c>
      <c r="AC2955" t="s">
        <v>51</v>
      </c>
      <c r="AD2955" t="s">
        <v>45</v>
      </c>
      <c r="AE2955" s="1">
        <v>26665</v>
      </c>
      <c r="AF2955">
        <v>2</v>
      </c>
      <c r="AG2955" t="s">
        <v>130</v>
      </c>
      <c r="AH2955" s="36">
        <f t="shared" si="46"/>
        <v>46.644444444444446</v>
      </c>
      <c r="AI2955" s="41" t="s">
        <v>1780</v>
      </c>
    </row>
    <row r="2956" spans="1:35" x14ac:dyDescent="0.25">
      <c r="A2956" s="36">
        <v>99912954</v>
      </c>
      <c r="B2956" s="17" t="s">
        <v>56</v>
      </c>
      <c r="C2956" t="s">
        <v>82</v>
      </c>
      <c r="D2956" t="s">
        <v>83</v>
      </c>
      <c r="G2956" s="17" t="s">
        <v>48</v>
      </c>
      <c r="H2956" s="17">
        <v>1</v>
      </c>
      <c r="K2956" t="s">
        <v>129</v>
      </c>
      <c r="L2956" t="s">
        <v>130</v>
      </c>
      <c r="M2956" t="s">
        <v>131</v>
      </c>
      <c r="N2956">
        <v>20</v>
      </c>
      <c r="O2956" t="s">
        <v>40</v>
      </c>
      <c r="P2956" t="s">
        <v>40</v>
      </c>
      <c r="Q2956" t="s">
        <v>40</v>
      </c>
      <c r="R2956" t="s">
        <v>40</v>
      </c>
      <c r="S2956" t="s">
        <v>40</v>
      </c>
      <c r="V2956" t="s">
        <v>41</v>
      </c>
      <c r="W2956" t="s">
        <v>42</v>
      </c>
      <c r="X2956" t="str">
        <f>"0590905"</f>
        <v>0590905</v>
      </c>
      <c r="Y2956" t="s">
        <v>133</v>
      </c>
      <c r="Z2956" t="s">
        <v>129</v>
      </c>
      <c r="AA2956" t="s">
        <v>130</v>
      </c>
      <c r="AB2956" t="s">
        <v>131</v>
      </c>
      <c r="AC2956" t="s">
        <v>51</v>
      </c>
      <c r="AD2956" t="s">
        <v>45</v>
      </c>
      <c r="AE2956" s="1">
        <v>26665</v>
      </c>
      <c r="AF2956">
        <v>2</v>
      </c>
      <c r="AG2956" t="s">
        <v>130</v>
      </c>
      <c r="AH2956" s="36">
        <f t="shared" si="46"/>
        <v>46.644444444444446</v>
      </c>
      <c r="AI2956" s="41" t="s">
        <v>1780</v>
      </c>
    </row>
    <row r="2957" spans="1:35" x14ac:dyDescent="0.25">
      <c r="A2957" s="36">
        <v>99912955</v>
      </c>
      <c r="B2957" s="17" t="s">
        <v>32</v>
      </c>
      <c r="C2957" t="s">
        <v>46</v>
      </c>
      <c r="D2957" t="s">
        <v>47</v>
      </c>
      <c r="G2957" s="17" t="s">
        <v>35</v>
      </c>
      <c r="H2957" s="17">
        <v>1</v>
      </c>
      <c r="I2957">
        <v>0</v>
      </c>
      <c r="J2957" s="1">
        <v>43344</v>
      </c>
      <c r="K2957" t="s">
        <v>223</v>
      </c>
      <c r="L2957" t="s">
        <v>224</v>
      </c>
      <c r="M2957" t="s">
        <v>131</v>
      </c>
      <c r="N2957">
        <v>23</v>
      </c>
      <c r="O2957" t="s">
        <v>40</v>
      </c>
      <c r="P2957" t="s">
        <v>40</v>
      </c>
      <c r="Q2957" t="s">
        <v>40</v>
      </c>
      <c r="R2957" t="s">
        <v>40</v>
      </c>
      <c r="S2957" t="s">
        <v>40</v>
      </c>
      <c r="U2957" s="1">
        <v>43344</v>
      </c>
      <c r="V2957" t="s">
        <v>41</v>
      </c>
      <c r="W2957" t="s">
        <v>49</v>
      </c>
      <c r="X2957" t="str">
        <f>"0560030"</f>
        <v>0560030</v>
      </c>
      <c r="Y2957" t="s">
        <v>244</v>
      </c>
      <c r="Z2957" t="s">
        <v>223</v>
      </c>
      <c r="AA2957" t="s">
        <v>224</v>
      </c>
      <c r="AB2957" t="s">
        <v>131</v>
      </c>
      <c r="AC2957" t="s">
        <v>44</v>
      </c>
      <c r="AD2957" t="s">
        <v>45</v>
      </c>
      <c r="AE2957" s="1">
        <v>26665</v>
      </c>
      <c r="AF2957">
        <v>2</v>
      </c>
      <c r="AG2957" t="s">
        <v>224</v>
      </c>
      <c r="AH2957" s="36">
        <f t="shared" si="46"/>
        <v>46.644444444444446</v>
      </c>
      <c r="AI2957" s="41" t="s">
        <v>1780</v>
      </c>
    </row>
    <row r="2958" spans="1:35" x14ac:dyDescent="0.25">
      <c r="A2958" s="36">
        <v>99912956</v>
      </c>
      <c r="B2958" s="17" t="s">
        <v>32</v>
      </c>
      <c r="C2958" t="s">
        <v>33</v>
      </c>
      <c r="D2958" t="s">
        <v>34</v>
      </c>
      <c r="G2958" s="17" t="s">
        <v>35</v>
      </c>
      <c r="H2958" s="17">
        <v>1</v>
      </c>
      <c r="K2958" t="s">
        <v>223</v>
      </c>
      <c r="L2958" t="s">
        <v>224</v>
      </c>
      <c r="M2958" t="s">
        <v>131</v>
      </c>
      <c r="N2958">
        <v>16</v>
      </c>
      <c r="O2958" t="s">
        <v>40</v>
      </c>
      <c r="P2958" t="s">
        <v>40</v>
      </c>
      <c r="Q2958" t="s">
        <v>40</v>
      </c>
      <c r="R2958" t="s">
        <v>40</v>
      </c>
      <c r="S2958" t="s">
        <v>40</v>
      </c>
      <c r="V2958" t="s">
        <v>41</v>
      </c>
      <c r="W2958" t="s">
        <v>49</v>
      </c>
      <c r="X2958" t="str">
        <f>"0581265"</f>
        <v>0581265</v>
      </c>
      <c r="Y2958" t="s">
        <v>236</v>
      </c>
      <c r="Z2958" t="s">
        <v>223</v>
      </c>
      <c r="AA2958" t="s">
        <v>224</v>
      </c>
      <c r="AB2958" t="s">
        <v>131</v>
      </c>
      <c r="AC2958" t="s">
        <v>51</v>
      </c>
      <c r="AD2958" t="s">
        <v>45</v>
      </c>
      <c r="AE2958" s="1">
        <v>26665</v>
      </c>
      <c r="AF2958">
        <v>2</v>
      </c>
      <c r="AG2958" t="s">
        <v>224</v>
      </c>
      <c r="AH2958" s="36">
        <f t="shared" si="46"/>
        <v>46.644444444444446</v>
      </c>
      <c r="AI2958" s="41" t="s">
        <v>1780</v>
      </c>
    </row>
    <row r="2959" spans="1:35" x14ac:dyDescent="0.25">
      <c r="A2959" s="36">
        <v>99912957</v>
      </c>
      <c r="B2959" s="17" t="s">
        <v>32</v>
      </c>
      <c r="C2959" t="s">
        <v>46</v>
      </c>
      <c r="D2959" t="s">
        <v>47</v>
      </c>
      <c r="G2959" s="17" t="s">
        <v>35</v>
      </c>
      <c r="H2959" s="17">
        <v>1</v>
      </c>
      <c r="I2959">
        <v>0</v>
      </c>
      <c r="J2959" s="1">
        <v>43344</v>
      </c>
      <c r="K2959" t="s">
        <v>223</v>
      </c>
      <c r="L2959" t="s">
        <v>224</v>
      </c>
      <c r="M2959" t="s">
        <v>131</v>
      </c>
      <c r="N2959">
        <v>23</v>
      </c>
      <c r="O2959" t="s">
        <v>40</v>
      </c>
      <c r="P2959" t="s">
        <v>40</v>
      </c>
      <c r="Q2959" t="s">
        <v>40</v>
      </c>
      <c r="R2959" t="s">
        <v>40</v>
      </c>
      <c r="S2959" t="s">
        <v>40</v>
      </c>
      <c r="U2959" s="1">
        <v>43344</v>
      </c>
      <c r="V2959" t="s">
        <v>41</v>
      </c>
      <c r="W2959" t="s">
        <v>49</v>
      </c>
      <c r="X2959" t="str">
        <f>"0560030"</f>
        <v>0560030</v>
      </c>
      <c r="Y2959" t="s">
        <v>244</v>
      </c>
      <c r="Z2959" t="s">
        <v>223</v>
      </c>
      <c r="AA2959" t="s">
        <v>224</v>
      </c>
      <c r="AB2959" t="s">
        <v>131</v>
      </c>
      <c r="AC2959" t="s">
        <v>51</v>
      </c>
      <c r="AD2959" t="s">
        <v>45</v>
      </c>
      <c r="AE2959" s="1">
        <v>26665</v>
      </c>
      <c r="AF2959">
        <v>2</v>
      </c>
      <c r="AG2959" t="s">
        <v>224</v>
      </c>
      <c r="AH2959" s="36">
        <f t="shared" si="46"/>
        <v>46.644444444444446</v>
      </c>
      <c r="AI2959" s="41" t="s">
        <v>1780</v>
      </c>
    </row>
    <row r="2960" spans="1:35" x14ac:dyDescent="0.25">
      <c r="A2960" s="36">
        <v>99912958</v>
      </c>
      <c r="B2960" s="17" t="s">
        <v>56</v>
      </c>
      <c r="C2960" t="s">
        <v>68</v>
      </c>
      <c r="D2960" t="s">
        <v>69</v>
      </c>
      <c r="G2960" s="17" t="s">
        <v>35</v>
      </c>
      <c r="H2960" s="17">
        <v>1</v>
      </c>
      <c r="I2960" t="s">
        <v>319</v>
      </c>
      <c r="J2960" s="1">
        <v>43344</v>
      </c>
      <c r="K2960" t="s">
        <v>300</v>
      </c>
      <c r="L2960" t="s">
        <v>301</v>
      </c>
      <c r="M2960" t="s">
        <v>131</v>
      </c>
      <c r="N2960">
        <v>10</v>
      </c>
      <c r="O2960" t="s">
        <v>40</v>
      </c>
      <c r="P2960" t="s">
        <v>40</v>
      </c>
      <c r="Q2960" t="s">
        <v>40</v>
      </c>
      <c r="R2960" t="s">
        <v>40</v>
      </c>
      <c r="S2960" t="s">
        <v>40</v>
      </c>
      <c r="U2960" s="1">
        <v>43344</v>
      </c>
      <c r="V2960" t="s">
        <v>41</v>
      </c>
      <c r="W2960" t="s">
        <v>49</v>
      </c>
      <c r="X2960" t="str">
        <f>"0560020"</f>
        <v>0560020</v>
      </c>
      <c r="Y2960" t="s">
        <v>302</v>
      </c>
      <c r="Z2960" t="s">
        <v>300</v>
      </c>
      <c r="AA2960" t="s">
        <v>301</v>
      </c>
      <c r="AB2960" t="s">
        <v>131</v>
      </c>
      <c r="AC2960" t="s">
        <v>51</v>
      </c>
      <c r="AD2960" t="s">
        <v>45</v>
      </c>
      <c r="AE2960" s="1">
        <v>26665</v>
      </c>
      <c r="AF2960">
        <v>2</v>
      </c>
      <c r="AG2960" t="s">
        <v>301</v>
      </c>
      <c r="AH2960" s="36">
        <f t="shared" si="46"/>
        <v>46.644444444444446</v>
      </c>
      <c r="AI2960" s="41" t="s">
        <v>1780</v>
      </c>
    </row>
    <row r="2961" spans="1:35" x14ac:dyDescent="0.25">
      <c r="A2961" s="36">
        <v>99912959</v>
      </c>
      <c r="B2961" s="17" t="s">
        <v>32</v>
      </c>
      <c r="C2961" t="s">
        <v>111</v>
      </c>
      <c r="D2961" t="s">
        <v>112</v>
      </c>
      <c r="G2961" s="17" t="s">
        <v>48</v>
      </c>
      <c r="H2961" s="17">
        <v>1</v>
      </c>
      <c r="K2961" t="s">
        <v>431</v>
      </c>
      <c r="L2961" t="s">
        <v>196</v>
      </c>
      <c r="M2961" t="s">
        <v>131</v>
      </c>
      <c r="N2961">
        <v>23</v>
      </c>
      <c r="O2961" t="s">
        <v>40</v>
      </c>
      <c r="P2961" t="s">
        <v>40</v>
      </c>
      <c r="Q2961" t="s">
        <v>40</v>
      </c>
      <c r="R2961" t="s">
        <v>40</v>
      </c>
      <c r="S2961" t="s">
        <v>40</v>
      </c>
      <c r="V2961" t="s">
        <v>41</v>
      </c>
      <c r="W2961" t="s">
        <v>75</v>
      </c>
      <c r="X2961" t="str">
        <f>"7521012"</f>
        <v>7521012</v>
      </c>
      <c r="Y2961" t="s">
        <v>432</v>
      </c>
      <c r="Z2961" t="s">
        <v>431</v>
      </c>
      <c r="AA2961" t="s">
        <v>196</v>
      </c>
      <c r="AB2961" t="s">
        <v>131</v>
      </c>
      <c r="AC2961" t="s">
        <v>51</v>
      </c>
      <c r="AD2961" t="s">
        <v>45</v>
      </c>
      <c r="AE2961" s="1">
        <v>26665</v>
      </c>
      <c r="AF2961">
        <v>1</v>
      </c>
      <c r="AG2961" t="s">
        <v>196</v>
      </c>
      <c r="AH2961" s="36">
        <f t="shared" si="46"/>
        <v>46.644444444444446</v>
      </c>
      <c r="AI2961" s="41" t="s">
        <v>1780</v>
      </c>
    </row>
    <row r="2962" spans="1:35" x14ac:dyDescent="0.25">
      <c r="A2962" s="36">
        <v>99912960</v>
      </c>
      <c r="B2962" s="17" t="s">
        <v>56</v>
      </c>
      <c r="C2962" t="s">
        <v>79</v>
      </c>
      <c r="D2962" t="s">
        <v>80</v>
      </c>
      <c r="G2962" s="17" t="s">
        <v>35</v>
      </c>
      <c r="H2962" s="17">
        <v>1</v>
      </c>
      <c r="K2962" t="s">
        <v>195</v>
      </c>
      <c r="L2962" t="s">
        <v>196</v>
      </c>
      <c r="M2962" t="s">
        <v>131</v>
      </c>
      <c r="N2962">
        <v>24</v>
      </c>
      <c r="O2962" t="s">
        <v>40</v>
      </c>
      <c r="P2962" t="s">
        <v>40</v>
      </c>
      <c r="Q2962" t="s">
        <v>40</v>
      </c>
      <c r="R2962" t="s">
        <v>40</v>
      </c>
      <c r="S2962" t="s">
        <v>40</v>
      </c>
      <c r="V2962" t="s">
        <v>41</v>
      </c>
      <c r="W2962" t="s">
        <v>75</v>
      </c>
      <c r="X2962" t="str">
        <f>"7521044"</f>
        <v>7521044</v>
      </c>
      <c r="Y2962" t="s">
        <v>453</v>
      </c>
      <c r="Z2962" t="s">
        <v>195</v>
      </c>
      <c r="AA2962" t="s">
        <v>196</v>
      </c>
      <c r="AB2962" t="s">
        <v>131</v>
      </c>
      <c r="AC2962" t="s">
        <v>51</v>
      </c>
      <c r="AD2962" t="s">
        <v>45</v>
      </c>
      <c r="AE2962" s="1">
        <v>26665</v>
      </c>
      <c r="AF2962">
        <v>1</v>
      </c>
      <c r="AG2962" t="s">
        <v>196</v>
      </c>
      <c r="AH2962" s="36">
        <f t="shared" si="46"/>
        <v>46.644444444444446</v>
      </c>
      <c r="AI2962" s="41" t="s">
        <v>1780</v>
      </c>
    </row>
    <row r="2963" spans="1:35" x14ac:dyDescent="0.25">
      <c r="A2963" s="36">
        <v>99912961</v>
      </c>
      <c r="B2963" s="17" t="s">
        <v>32</v>
      </c>
      <c r="C2963" t="s">
        <v>71</v>
      </c>
      <c r="D2963" t="s">
        <v>72</v>
      </c>
      <c r="G2963" s="17" t="s">
        <v>35</v>
      </c>
      <c r="H2963" s="17">
        <v>1</v>
      </c>
      <c r="I2963" t="s">
        <v>638</v>
      </c>
      <c r="J2963" s="1">
        <v>43344</v>
      </c>
      <c r="K2963" t="s">
        <v>268</v>
      </c>
      <c r="L2963" t="s">
        <v>269</v>
      </c>
      <c r="M2963" t="s">
        <v>131</v>
      </c>
      <c r="N2963">
        <v>21</v>
      </c>
      <c r="O2963" t="s">
        <v>40</v>
      </c>
      <c r="P2963" t="s">
        <v>40</v>
      </c>
      <c r="Q2963" t="s">
        <v>40</v>
      </c>
      <c r="R2963" t="s">
        <v>40</v>
      </c>
      <c r="S2963" t="s">
        <v>40</v>
      </c>
      <c r="U2963" s="1">
        <v>43344</v>
      </c>
      <c r="V2963" t="s">
        <v>41</v>
      </c>
      <c r="W2963" t="s">
        <v>75</v>
      </c>
      <c r="X2963" t="str">
        <f>"7052034"</f>
        <v>7052034</v>
      </c>
      <c r="Y2963" t="s">
        <v>604</v>
      </c>
      <c r="Z2963" t="s">
        <v>268</v>
      </c>
      <c r="AA2963" t="s">
        <v>269</v>
      </c>
      <c r="AB2963" t="s">
        <v>131</v>
      </c>
      <c r="AC2963" t="s">
        <v>51</v>
      </c>
      <c r="AD2963" t="s">
        <v>45</v>
      </c>
      <c r="AE2963" s="1">
        <v>26665</v>
      </c>
      <c r="AF2963">
        <v>1</v>
      </c>
      <c r="AG2963" t="s">
        <v>269</v>
      </c>
      <c r="AH2963" s="36">
        <f t="shared" si="46"/>
        <v>46.644444444444446</v>
      </c>
      <c r="AI2963" s="41" t="s">
        <v>1780</v>
      </c>
    </row>
    <row r="2964" spans="1:35" x14ac:dyDescent="0.25">
      <c r="A2964" s="36">
        <v>99912962</v>
      </c>
      <c r="B2964" s="17" t="s">
        <v>32</v>
      </c>
      <c r="C2964" t="s">
        <v>71</v>
      </c>
      <c r="D2964" t="s">
        <v>72</v>
      </c>
      <c r="G2964" s="17" t="s">
        <v>35</v>
      </c>
      <c r="H2964" s="17">
        <v>1</v>
      </c>
      <c r="I2964">
        <v>991</v>
      </c>
      <c r="J2964" s="1">
        <v>43344</v>
      </c>
      <c r="K2964" t="s">
        <v>354</v>
      </c>
      <c r="L2964" t="s">
        <v>355</v>
      </c>
      <c r="M2964" t="s">
        <v>131</v>
      </c>
      <c r="N2964">
        <v>5</v>
      </c>
      <c r="O2964" t="s">
        <v>40</v>
      </c>
      <c r="P2964" t="s">
        <v>40</v>
      </c>
      <c r="Q2964" t="s">
        <v>40</v>
      </c>
      <c r="R2964" t="s">
        <v>40</v>
      </c>
      <c r="S2964" t="s">
        <v>40</v>
      </c>
      <c r="U2964" s="1">
        <v>43344</v>
      </c>
      <c r="V2964" t="s">
        <v>41</v>
      </c>
      <c r="W2964" t="s">
        <v>75</v>
      </c>
      <c r="X2964" t="str">
        <f>"7054028"</f>
        <v>7054028</v>
      </c>
      <c r="Y2964" t="s">
        <v>788</v>
      </c>
      <c r="Z2964" t="s">
        <v>354</v>
      </c>
      <c r="AA2964" t="s">
        <v>355</v>
      </c>
      <c r="AB2964" t="s">
        <v>131</v>
      </c>
      <c r="AC2964" t="s">
        <v>51</v>
      </c>
      <c r="AD2964" t="s">
        <v>45</v>
      </c>
      <c r="AE2964" s="1">
        <v>26665</v>
      </c>
      <c r="AF2964">
        <v>1</v>
      </c>
      <c r="AG2964" t="s">
        <v>355</v>
      </c>
      <c r="AH2964" s="36">
        <f t="shared" si="46"/>
        <v>46.644444444444446</v>
      </c>
      <c r="AI2964" s="41" t="s">
        <v>1780</v>
      </c>
    </row>
    <row r="2965" spans="1:35" x14ac:dyDescent="0.25">
      <c r="A2965" s="36">
        <v>99912963</v>
      </c>
      <c r="B2965" s="17" t="s">
        <v>56</v>
      </c>
      <c r="C2965" t="s">
        <v>79</v>
      </c>
      <c r="D2965" t="s">
        <v>80</v>
      </c>
      <c r="G2965" s="17" t="s">
        <v>35</v>
      </c>
      <c r="H2965" s="17">
        <v>1</v>
      </c>
      <c r="I2965">
        <v>16995</v>
      </c>
      <c r="J2965" s="1">
        <v>43344</v>
      </c>
      <c r="K2965" t="s">
        <v>354</v>
      </c>
      <c r="L2965" t="s">
        <v>355</v>
      </c>
      <c r="M2965" t="s">
        <v>131</v>
      </c>
      <c r="N2965">
        <v>24</v>
      </c>
      <c r="O2965" t="s">
        <v>40</v>
      </c>
      <c r="P2965" t="s">
        <v>40</v>
      </c>
      <c r="Q2965" t="s">
        <v>40</v>
      </c>
      <c r="R2965" t="s">
        <v>40</v>
      </c>
      <c r="S2965" t="s">
        <v>40</v>
      </c>
      <c r="U2965" s="1">
        <v>43344</v>
      </c>
      <c r="V2965" t="s">
        <v>41</v>
      </c>
      <c r="W2965" t="s">
        <v>75</v>
      </c>
      <c r="X2965" t="str">
        <f>"7054012"</f>
        <v>7054012</v>
      </c>
      <c r="Y2965" t="s">
        <v>353</v>
      </c>
      <c r="Z2965" t="s">
        <v>354</v>
      </c>
      <c r="AA2965" t="s">
        <v>355</v>
      </c>
      <c r="AB2965" t="s">
        <v>131</v>
      </c>
      <c r="AC2965" t="s">
        <v>51</v>
      </c>
      <c r="AD2965" t="s">
        <v>45</v>
      </c>
      <c r="AE2965" s="1">
        <v>26665</v>
      </c>
      <c r="AF2965">
        <v>1</v>
      </c>
      <c r="AG2965" t="s">
        <v>355</v>
      </c>
      <c r="AH2965" s="36">
        <f t="shared" si="46"/>
        <v>46.644444444444446</v>
      </c>
      <c r="AI2965" s="41" t="s">
        <v>1780</v>
      </c>
    </row>
    <row r="2966" spans="1:35" x14ac:dyDescent="0.25">
      <c r="A2966" s="36">
        <v>99912964</v>
      </c>
      <c r="B2966" s="17" t="s">
        <v>32</v>
      </c>
      <c r="C2966" t="s">
        <v>64</v>
      </c>
      <c r="D2966" t="s">
        <v>65</v>
      </c>
      <c r="G2966" s="17" t="s">
        <v>48</v>
      </c>
      <c r="H2966" s="17">
        <v>1</v>
      </c>
      <c r="K2966" t="s">
        <v>985</v>
      </c>
      <c r="L2966" t="s">
        <v>986</v>
      </c>
      <c r="M2966" t="s">
        <v>938</v>
      </c>
      <c r="N2966">
        <v>24</v>
      </c>
      <c r="O2966" t="s">
        <v>40</v>
      </c>
      <c r="P2966" t="s">
        <v>40</v>
      </c>
      <c r="Q2966" t="s">
        <v>40</v>
      </c>
      <c r="R2966" t="s">
        <v>40</v>
      </c>
      <c r="S2966" t="s">
        <v>40</v>
      </c>
      <c r="V2966" t="s">
        <v>41</v>
      </c>
      <c r="W2966" t="s">
        <v>75</v>
      </c>
      <c r="X2966" t="str">
        <f>"7011004"</f>
        <v>7011004</v>
      </c>
      <c r="Y2966" t="s">
        <v>987</v>
      </c>
      <c r="Z2966" t="s">
        <v>985</v>
      </c>
      <c r="AA2966" t="s">
        <v>986</v>
      </c>
      <c r="AB2966" t="s">
        <v>938</v>
      </c>
      <c r="AC2966" t="s">
        <v>51</v>
      </c>
      <c r="AD2966" t="s">
        <v>45</v>
      </c>
      <c r="AE2966" s="1">
        <v>26665</v>
      </c>
      <c r="AF2966">
        <v>1</v>
      </c>
      <c r="AG2966" t="s">
        <v>986</v>
      </c>
      <c r="AH2966" s="36">
        <f t="shared" si="46"/>
        <v>46.644444444444446</v>
      </c>
      <c r="AI2966" s="41" t="s">
        <v>1780</v>
      </c>
    </row>
    <row r="2967" spans="1:35" x14ac:dyDescent="0.25">
      <c r="A2967" s="36">
        <v>99912965</v>
      </c>
      <c r="B2967" s="17" t="s">
        <v>56</v>
      </c>
      <c r="C2967" t="s">
        <v>46</v>
      </c>
      <c r="D2967" t="s">
        <v>47</v>
      </c>
      <c r="G2967" s="17" t="s">
        <v>35</v>
      </c>
      <c r="H2967" s="17">
        <v>1</v>
      </c>
      <c r="I2967" t="s">
        <v>1180</v>
      </c>
      <c r="J2967" s="1">
        <v>43370</v>
      </c>
      <c r="K2967" t="s">
        <v>1171</v>
      </c>
      <c r="L2967" t="s">
        <v>1172</v>
      </c>
      <c r="M2967" t="s">
        <v>1130</v>
      </c>
      <c r="N2967">
        <v>23</v>
      </c>
      <c r="O2967" t="s">
        <v>40</v>
      </c>
      <c r="P2967" t="s">
        <v>40</v>
      </c>
      <c r="Q2967" t="s">
        <v>40</v>
      </c>
      <c r="R2967" t="s">
        <v>40</v>
      </c>
      <c r="S2967" t="s">
        <v>40</v>
      </c>
      <c r="U2967" s="1">
        <v>43370</v>
      </c>
      <c r="V2967" t="s">
        <v>41</v>
      </c>
      <c r="W2967" t="s">
        <v>42</v>
      </c>
      <c r="X2967" t="str">
        <f>"3561001"</f>
        <v>3561001</v>
      </c>
      <c r="Y2967" t="s">
        <v>1173</v>
      </c>
      <c r="Z2967" t="s">
        <v>1171</v>
      </c>
      <c r="AA2967" t="s">
        <v>1172</v>
      </c>
      <c r="AB2967" t="s">
        <v>1130</v>
      </c>
      <c r="AC2967" t="s">
        <v>44</v>
      </c>
      <c r="AD2967" t="s">
        <v>45</v>
      </c>
      <c r="AE2967" s="1">
        <v>26665</v>
      </c>
      <c r="AF2967">
        <v>2</v>
      </c>
      <c r="AG2967" t="s">
        <v>1172</v>
      </c>
      <c r="AH2967" s="36">
        <f t="shared" si="46"/>
        <v>46.644444444444446</v>
      </c>
      <c r="AI2967" s="41" t="s">
        <v>1780</v>
      </c>
    </row>
    <row r="2968" spans="1:35" x14ac:dyDescent="0.25">
      <c r="A2968" s="36">
        <v>99912966</v>
      </c>
      <c r="B2968" s="17" t="s">
        <v>56</v>
      </c>
      <c r="C2968" t="s">
        <v>117</v>
      </c>
      <c r="D2968" t="s">
        <v>118</v>
      </c>
      <c r="G2968" s="17" t="s">
        <v>35</v>
      </c>
      <c r="H2968" s="17">
        <v>1</v>
      </c>
      <c r="I2968" t="s">
        <v>1186</v>
      </c>
      <c r="J2968" s="1">
        <v>43388</v>
      </c>
      <c r="K2968" t="s">
        <v>1171</v>
      </c>
      <c r="L2968" t="s">
        <v>1172</v>
      </c>
      <c r="M2968" t="s">
        <v>1130</v>
      </c>
      <c r="N2968">
        <v>11</v>
      </c>
      <c r="O2968" t="s">
        <v>40</v>
      </c>
      <c r="P2968" t="s">
        <v>40</v>
      </c>
      <c r="Q2968" t="s">
        <v>40</v>
      </c>
      <c r="R2968" t="s">
        <v>40</v>
      </c>
      <c r="S2968" t="s">
        <v>40</v>
      </c>
      <c r="U2968" s="1">
        <v>43388</v>
      </c>
      <c r="V2968" t="s">
        <v>41</v>
      </c>
      <c r="W2968" t="s">
        <v>49</v>
      </c>
      <c r="X2968" t="str">
        <f>"3560001"</f>
        <v>3560001</v>
      </c>
      <c r="Y2968" t="s">
        <v>1179</v>
      </c>
      <c r="Z2968" t="s">
        <v>1171</v>
      </c>
      <c r="AA2968" t="s">
        <v>1172</v>
      </c>
      <c r="AB2968" t="s">
        <v>1130</v>
      </c>
      <c r="AC2968" t="s">
        <v>44</v>
      </c>
      <c r="AD2968" t="s">
        <v>45</v>
      </c>
      <c r="AE2968" s="1">
        <v>26665</v>
      </c>
      <c r="AF2968">
        <v>2</v>
      </c>
      <c r="AG2968" t="s">
        <v>1172</v>
      </c>
      <c r="AH2968" s="36">
        <f t="shared" si="46"/>
        <v>46.644444444444446</v>
      </c>
      <c r="AI2968" s="41" t="s">
        <v>1780</v>
      </c>
    </row>
    <row r="2969" spans="1:35" x14ac:dyDescent="0.25">
      <c r="A2969" s="36">
        <v>99912967</v>
      </c>
      <c r="B2969" s="17" t="s">
        <v>32</v>
      </c>
      <c r="C2969" t="s">
        <v>46</v>
      </c>
      <c r="D2969" t="s">
        <v>47</v>
      </c>
      <c r="G2969" s="17" t="s">
        <v>48</v>
      </c>
      <c r="H2969" s="17">
        <v>1</v>
      </c>
      <c r="K2969" t="s">
        <v>1268</v>
      </c>
      <c r="L2969" t="s">
        <v>1269</v>
      </c>
      <c r="M2969" t="s">
        <v>1270</v>
      </c>
      <c r="N2969">
        <v>30</v>
      </c>
      <c r="O2969" t="s">
        <v>40</v>
      </c>
      <c r="P2969" t="s">
        <v>40</v>
      </c>
      <c r="Q2969" t="s">
        <v>40</v>
      </c>
      <c r="R2969" t="s">
        <v>40</v>
      </c>
      <c r="S2969" t="s">
        <v>40</v>
      </c>
      <c r="V2969" t="s">
        <v>41</v>
      </c>
      <c r="W2969" t="s">
        <v>49</v>
      </c>
      <c r="X2969" t="str">
        <f>"1981913"</f>
        <v>1981913</v>
      </c>
      <c r="Y2969" t="s">
        <v>1295</v>
      </c>
      <c r="Z2969" t="s">
        <v>1268</v>
      </c>
      <c r="AA2969" t="s">
        <v>1269</v>
      </c>
      <c r="AB2969" t="s">
        <v>1270</v>
      </c>
      <c r="AC2969" t="s">
        <v>51</v>
      </c>
      <c r="AD2969" t="s">
        <v>45</v>
      </c>
      <c r="AE2969" s="1">
        <v>26665</v>
      </c>
      <c r="AF2969">
        <v>2</v>
      </c>
      <c r="AG2969" t="s">
        <v>1269</v>
      </c>
      <c r="AH2969" s="36">
        <f t="shared" si="46"/>
        <v>46.644444444444446</v>
      </c>
      <c r="AI2969" s="41" t="s">
        <v>1780</v>
      </c>
    </row>
    <row r="2970" spans="1:35" x14ac:dyDescent="0.25">
      <c r="A2970" s="36">
        <v>99912968</v>
      </c>
      <c r="B2970" s="17" t="s">
        <v>56</v>
      </c>
      <c r="C2970" t="s">
        <v>136</v>
      </c>
      <c r="D2970" t="s">
        <v>137</v>
      </c>
      <c r="G2970" s="17" t="s">
        <v>35</v>
      </c>
      <c r="H2970" s="17">
        <v>1</v>
      </c>
      <c r="K2970" t="s">
        <v>1268</v>
      </c>
      <c r="L2970" t="s">
        <v>1269</v>
      </c>
      <c r="M2970" t="s">
        <v>1270</v>
      </c>
      <c r="N2970">
        <v>21</v>
      </c>
      <c r="O2970" t="s">
        <v>40</v>
      </c>
      <c r="P2970" t="s">
        <v>40</v>
      </c>
      <c r="Q2970" t="s">
        <v>40</v>
      </c>
      <c r="R2970" t="s">
        <v>40</v>
      </c>
      <c r="S2970" t="s">
        <v>40</v>
      </c>
      <c r="V2970" t="s">
        <v>41</v>
      </c>
      <c r="W2970" t="s">
        <v>42</v>
      </c>
      <c r="X2970" t="str">
        <f>"1990911"</f>
        <v>1990911</v>
      </c>
      <c r="Y2970" t="s">
        <v>1276</v>
      </c>
      <c r="Z2970" t="s">
        <v>1268</v>
      </c>
      <c r="AA2970" t="s">
        <v>1269</v>
      </c>
      <c r="AB2970" t="s">
        <v>1270</v>
      </c>
      <c r="AC2970" t="s">
        <v>51</v>
      </c>
      <c r="AD2970" t="s">
        <v>45</v>
      </c>
      <c r="AE2970" s="1">
        <v>26665</v>
      </c>
      <c r="AF2970">
        <v>2</v>
      </c>
      <c r="AG2970" t="s">
        <v>1269</v>
      </c>
      <c r="AH2970" s="36">
        <f t="shared" si="46"/>
        <v>46.644444444444446</v>
      </c>
      <c r="AI2970" s="41" t="s">
        <v>1780</v>
      </c>
    </row>
    <row r="2971" spans="1:35" x14ac:dyDescent="0.25">
      <c r="A2971" s="36">
        <v>99912969</v>
      </c>
      <c r="B2971" s="17" t="s">
        <v>32</v>
      </c>
      <c r="C2971" t="s">
        <v>46</v>
      </c>
      <c r="D2971" t="s">
        <v>47</v>
      </c>
      <c r="G2971" s="17" t="s">
        <v>48</v>
      </c>
      <c r="H2971" s="17">
        <v>1</v>
      </c>
      <c r="K2971" t="s">
        <v>1268</v>
      </c>
      <c r="L2971" t="s">
        <v>1269</v>
      </c>
      <c r="M2971" t="s">
        <v>1270</v>
      </c>
      <c r="N2971">
        <v>30</v>
      </c>
      <c r="O2971" t="s">
        <v>40</v>
      </c>
      <c r="P2971" t="s">
        <v>40</v>
      </c>
      <c r="Q2971" t="s">
        <v>40</v>
      </c>
      <c r="R2971" t="s">
        <v>40</v>
      </c>
      <c r="S2971" t="s">
        <v>40</v>
      </c>
      <c r="V2971" t="s">
        <v>41</v>
      </c>
      <c r="W2971" t="s">
        <v>49</v>
      </c>
      <c r="X2971" t="str">
        <f>"1981913"</f>
        <v>1981913</v>
      </c>
      <c r="Y2971" t="s">
        <v>1295</v>
      </c>
      <c r="Z2971" t="s">
        <v>1268</v>
      </c>
      <c r="AA2971" t="s">
        <v>1269</v>
      </c>
      <c r="AB2971" t="s">
        <v>1270</v>
      </c>
      <c r="AC2971" t="s">
        <v>51</v>
      </c>
      <c r="AD2971" t="s">
        <v>45</v>
      </c>
      <c r="AE2971" s="1">
        <v>26665</v>
      </c>
      <c r="AF2971">
        <v>2</v>
      </c>
      <c r="AG2971" t="s">
        <v>1269</v>
      </c>
      <c r="AH2971" s="36">
        <f t="shared" si="46"/>
        <v>46.644444444444446</v>
      </c>
      <c r="AI2971" s="41" t="s">
        <v>1780</v>
      </c>
    </row>
    <row r="2972" spans="1:35" x14ac:dyDescent="0.25">
      <c r="A2972" s="36">
        <v>99912970</v>
      </c>
      <c r="B2972" s="17" t="s">
        <v>56</v>
      </c>
      <c r="C2972" t="s">
        <v>68</v>
      </c>
      <c r="D2972" t="s">
        <v>69</v>
      </c>
      <c r="G2972" s="17" t="s">
        <v>48</v>
      </c>
      <c r="H2972" s="17">
        <v>12</v>
      </c>
      <c r="K2972" t="s">
        <v>1268</v>
      </c>
      <c r="L2972" t="s">
        <v>1269</v>
      </c>
      <c r="M2972" t="s">
        <v>1270</v>
      </c>
      <c r="N2972">
        <v>20</v>
      </c>
      <c r="O2972" t="s">
        <v>40</v>
      </c>
      <c r="P2972" t="s">
        <v>40</v>
      </c>
      <c r="Q2972" t="s">
        <v>40</v>
      </c>
      <c r="R2972" t="s">
        <v>40</v>
      </c>
      <c r="S2972" t="s">
        <v>40</v>
      </c>
      <c r="U2972" s="1">
        <v>43344</v>
      </c>
      <c r="V2972" t="s">
        <v>41</v>
      </c>
      <c r="W2972" t="s">
        <v>49</v>
      </c>
      <c r="X2972" t="str">
        <f>"1981055"</f>
        <v>1981055</v>
      </c>
      <c r="Y2972" t="s">
        <v>1280</v>
      </c>
      <c r="Z2972" t="s">
        <v>1268</v>
      </c>
      <c r="AA2972" t="s">
        <v>1269</v>
      </c>
      <c r="AB2972" t="s">
        <v>1270</v>
      </c>
      <c r="AC2972" t="s">
        <v>51</v>
      </c>
      <c r="AD2972" t="s">
        <v>45</v>
      </c>
      <c r="AE2972" s="1">
        <v>26665</v>
      </c>
      <c r="AF2972">
        <v>2</v>
      </c>
      <c r="AG2972" t="s">
        <v>1269</v>
      </c>
      <c r="AH2972" s="36">
        <f t="shared" si="46"/>
        <v>46.644444444444446</v>
      </c>
      <c r="AI2972" s="41" t="s">
        <v>1780</v>
      </c>
    </row>
    <row r="2973" spans="1:35" x14ac:dyDescent="0.25">
      <c r="A2973" s="36">
        <v>99912971</v>
      </c>
      <c r="B2973" s="17" t="s">
        <v>32</v>
      </c>
      <c r="C2973" t="s">
        <v>46</v>
      </c>
      <c r="D2973" t="s">
        <v>47</v>
      </c>
      <c r="G2973" s="17" t="s">
        <v>48</v>
      </c>
      <c r="H2973" s="17">
        <v>1</v>
      </c>
      <c r="K2973" t="s">
        <v>1268</v>
      </c>
      <c r="L2973" t="s">
        <v>1269</v>
      </c>
      <c r="M2973" t="s">
        <v>1270</v>
      </c>
      <c r="N2973">
        <v>23</v>
      </c>
      <c r="O2973" t="s">
        <v>40</v>
      </c>
      <c r="P2973" t="s">
        <v>40</v>
      </c>
      <c r="Q2973" t="s">
        <v>40</v>
      </c>
      <c r="R2973" t="s">
        <v>40</v>
      </c>
      <c r="S2973" t="s">
        <v>40</v>
      </c>
      <c r="V2973" t="s">
        <v>41</v>
      </c>
      <c r="W2973" t="s">
        <v>42</v>
      </c>
      <c r="X2973" t="str">
        <f>"1980050"</f>
        <v>1980050</v>
      </c>
      <c r="Y2973" t="s">
        <v>1278</v>
      </c>
      <c r="Z2973" t="s">
        <v>1268</v>
      </c>
      <c r="AA2973" t="s">
        <v>1269</v>
      </c>
      <c r="AB2973" t="s">
        <v>1270</v>
      </c>
      <c r="AC2973" t="s">
        <v>51</v>
      </c>
      <c r="AD2973" t="s">
        <v>45</v>
      </c>
      <c r="AE2973" s="1">
        <v>26665</v>
      </c>
      <c r="AF2973">
        <v>2</v>
      </c>
      <c r="AG2973" t="s">
        <v>1269</v>
      </c>
      <c r="AH2973" s="36">
        <f t="shared" si="46"/>
        <v>46.644444444444446</v>
      </c>
      <c r="AI2973" s="41" t="s">
        <v>1780</v>
      </c>
    </row>
    <row r="2974" spans="1:35" x14ac:dyDescent="0.25">
      <c r="A2974" s="36">
        <v>99912972</v>
      </c>
      <c r="B2974" s="17" t="s">
        <v>56</v>
      </c>
      <c r="C2974" t="s">
        <v>46</v>
      </c>
      <c r="D2974" t="s">
        <v>47</v>
      </c>
      <c r="G2974" s="17" t="s">
        <v>35</v>
      </c>
      <c r="H2974" s="17">
        <v>1</v>
      </c>
      <c r="I2974">
        <v>6983</v>
      </c>
      <c r="J2974" s="1">
        <v>43344</v>
      </c>
      <c r="K2974" t="s">
        <v>1306</v>
      </c>
      <c r="L2974" t="s">
        <v>1307</v>
      </c>
      <c r="M2974" t="s">
        <v>1270</v>
      </c>
      <c r="N2974">
        <v>20</v>
      </c>
      <c r="O2974" t="s">
        <v>40</v>
      </c>
      <c r="P2974" t="s">
        <v>40</v>
      </c>
      <c r="Q2974" t="s">
        <v>40</v>
      </c>
      <c r="R2974" t="s">
        <v>40</v>
      </c>
      <c r="S2974" t="s">
        <v>40</v>
      </c>
      <c r="U2974" s="1">
        <v>43344</v>
      </c>
      <c r="V2974" t="s">
        <v>41</v>
      </c>
      <c r="W2974" t="s">
        <v>49</v>
      </c>
      <c r="X2974" t="str">
        <f>"1991915"</f>
        <v>1991915</v>
      </c>
      <c r="Y2974" t="s">
        <v>1316</v>
      </c>
      <c r="Z2974" t="s">
        <v>1306</v>
      </c>
      <c r="AA2974" t="s">
        <v>1307</v>
      </c>
      <c r="AB2974" t="s">
        <v>1270</v>
      </c>
      <c r="AC2974" t="s">
        <v>51</v>
      </c>
      <c r="AD2974" t="s">
        <v>45</v>
      </c>
      <c r="AE2974" s="1">
        <v>26665</v>
      </c>
      <c r="AF2974">
        <v>2</v>
      </c>
      <c r="AG2974" t="s">
        <v>1307</v>
      </c>
      <c r="AH2974" s="36">
        <f t="shared" si="46"/>
        <v>46.644444444444446</v>
      </c>
      <c r="AI2974" s="41" t="s">
        <v>1780</v>
      </c>
    </row>
    <row r="2975" spans="1:35" x14ac:dyDescent="0.25">
      <c r="A2975" s="36">
        <v>99912973</v>
      </c>
      <c r="B2975" s="17" t="s">
        <v>32</v>
      </c>
      <c r="C2975" t="s">
        <v>58</v>
      </c>
      <c r="D2975" t="s">
        <v>59</v>
      </c>
      <c r="G2975" s="17" t="s">
        <v>35</v>
      </c>
      <c r="H2975" s="17">
        <v>1</v>
      </c>
      <c r="I2975">
        <v>11340</v>
      </c>
      <c r="J2975" s="1">
        <v>43360</v>
      </c>
      <c r="K2975" t="s">
        <v>1325</v>
      </c>
      <c r="L2975" t="s">
        <v>1326</v>
      </c>
      <c r="M2975" t="s">
        <v>1270</v>
      </c>
      <c r="N2975">
        <v>12</v>
      </c>
      <c r="O2975" t="s">
        <v>40</v>
      </c>
      <c r="P2975" t="s">
        <v>40</v>
      </c>
      <c r="Q2975" t="s">
        <v>40</v>
      </c>
      <c r="R2975" t="s">
        <v>40</v>
      </c>
      <c r="S2975" t="s">
        <v>40</v>
      </c>
      <c r="U2975" s="1">
        <v>43360</v>
      </c>
      <c r="V2975" t="s">
        <v>41</v>
      </c>
      <c r="W2975" t="s">
        <v>42</v>
      </c>
      <c r="X2975" t="str">
        <f>"3980100"</f>
        <v>3980100</v>
      </c>
      <c r="Y2975" t="s">
        <v>1328</v>
      </c>
      <c r="Z2975" t="s">
        <v>1325</v>
      </c>
      <c r="AA2975" t="s">
        <v>1326</v>
      </c>
      <c r="AB2975" t="s">
        <v>1270</v>
      </c>
      <c r="AC2975" t="s">
        <v>44</v>
      </c>
      <c r="AD2975" t="s">
        <v>45</v>
      </c>
      <c r="AE2975" s="1">
        <v>26665</v>
      </c>
      <c r="AF2975">
        <v>2</v>
      </c>
      <c r="AG2975" t="s">
        <v>1326</v>
      </c>
      <c r="AH2975" s="36">
        <f t="shared" si="46"/>
        <v>46.644444444444446</v>
      </c>
      <c r="AI2975" s="41" t="s">
        <v>1780</v>
      </c>
    </row>
    <row r="2976" spans="1:35" x14ac:dyDescent="0.25">
      <c r="A2976" s="36">
        <v>99912974</v>
      </c>
      <c r="B2976" s="17" t="s">
        <v>32</v>
      </c>
      <c r="C2976" t="s">
        <v>71</v>
      </c>
      <c r="D2976" t="s">
        <v>72</v>
      </c>
      <c r="G2976" s="17" t="s">
        <v>35</v>
      </c>
      <c r="H2976" s="17">
        <v>1</v>
      </c>
      <c r="K2976" t="s">
        <v>1325</v>
      </c>
      <c r="L2976" t="s">
        <v>1326</v>
      </c>
      <c r="M2976" t="s">
        <v>1270</v>
      </c>
      <c r="N2976">
        <v>20</v>
      </c>
      <c r="O2976" t="s">
        <v>40</v>
      </c>
      <c r="P2976" t="s">
        <v>40</v>
      </c>
      <c r="Q2976" t="s">
        <v>40</v>
      </c>
      <c r="R2976" t="s">
        <v>40</v>
      </c>
      <c r="S2976" t="s">
        <v>40</v>
      </c>
      <c r="V2976" t="s">
        <v>41</v>
      </c>
      <c r="W2976" t="s">
        <v>49</v>
      </c>
      <c r="X2976" t="str">
        <f>"3981100"</f>
        <v>3981100</v>
      </c>
      <c r="Y2976" t="s">
        <v>1327</v>
      </c>
      <c r="Z2976" t="s">
        <v>1325</v>
      </c>
      <c r="AA2976" t="s">
        <v>1326</v>
      </c>
      <c r="AB2976" t="s">
        <v>1270</v>
      </c>
      <c r="AC2976" t="s">
        <v>51</v>
      </c>
      <c r="AD2976" t="s">
        <v>45</v>
      </c>
      <c r="AE2976" s="1">
        <v>26665</v>
      </c>
      <c r="AF2976">
        <v>2</v>
      </c>
      <c r="AG2976" t="s">
        <v>1326</v>
      </c>
      <c r="AH2976" s="36">
        <f t="shared" si="46"/>
        <v>46.644444444444446</v>
      </c>
      <c r="AI2976" s="41" t="s">
        <v>1780</v>
      </c>
    </row>
    <row r="2977" spans="1:35" x14ac:dyDescent="0.25">
      <c r="A2977" s="36">
        <v>99912975</v>
      </c>
      <c r="B2977" s="17" t="s">
        <v>56</v>
      </c>
      <c r="C2977" t="s">
        <v>68</v>
      </c>
      <c r="D2977" t="s">
        <v>69</v>
      </c>
      <c r="E2977" t="s">
        <v>61</v>
      </c>
      <c r="F2977" t="s">
        <v>62</v>
      </c>
      <c r="G2977" s="17" t="s">
        <v>48</v>
      </c>
      <c r="H2977" s="17">
        <v>1</v>
      </c>
      <c r="K2977" t="s">
        <v>300</v>
      </c>
      <c r="L2977" t="s">
        <v>301</v>
      </c>
      <c r="M2977" t="s">
        <v>131</v>
      </c>
      <c r="N2977">
        <v>20</v>
      </c>
      <c r="O2977" t="s">
        <v>40</v>
      </c>
      <c r="P2977" t="s">
        <v>40</v>
      </c>
      <c r="Q2977" t="s">
        <v>40</v>
      </c>
      <c r="R2977" t="s">
        <v>40</v>
      </c>
      <c r="S2977" t="s">
        <v>40</v>
      </c>
      <c r="V2977" t="s">
        <v>41</v>
      </c>
      <c r="W2977" t="s">
        <v>49</v>
      </c>
      <c r="X2977" t="str">
        <f>"0560020"</f>
        <v>0560020</v>
      </c>
      <c r="Y2977" t="s">
        <v>302</v>
      </c>
      <c r="Z2977" t="s">
        <v>300</v>
      </c>
      <c r="AA2977" t="s">
        <v>301</v>
      </c>
      <c r="AB2977" t="s">
        <v>131</v>
      </c>
      <c r="AC2977" t="s">
        <v>51</v>
      </c>
      <c r="AD2977" t="s">
        <v>45</v>
      </c>
      <c r="AE2977" s="1">
        <v>26661</v>
      </c>
      <c r="AF2977">
        <v>2</v>
      </c>
      <c r="AG2977" t="s">
        <v>301</v>
      </c>
      <c r="AH2977" s="36">
        <f t="shared" si="46"/>
        <v>46.655555555555559</v>
      </c>
      <c r="AI2977" s="41" t="s">
        <v>1780</v>
      </c>
    </row>
    <row r="2978" spans="1:35" x14ac:dyDescent="0.25">
      <c r="A2978" s="36">
        <v>99912976</v>
      </c>
      <c r="B2978" s="17" t="s">
        <v>56</v>
      </c>
      <c r="C2978" t="s">
        <v>145</v>
      </c>
      <c r="D2978" t="s">
        <v>146</v>
      </c>
      <c r="G2978" s="17" t="s">
        <v>35</v>
      </c>
      <c r="H2978" s="17">
        <v>1</v>
      </c>
      <c r="I2978" t="s">
        <v>373</v>
      </c>
      <c r="J2978" s="1">
        <v>43344</v>
      </c>
      <c r="K2978" t="s">
        <v>345</v>
      </c>
      <c r="L2978" t="s">
        <v>346</v>
      </c>
      <c r="M2978" t="s">
        <v>131</v>
      </c>
      <c r="N2978">
        <v>21</v>
      </c>
      <c r="O2978" t="s">
        <v>40</v>
      </c>
      <c r="S2978" t="s">
        <v>40</v>
      </c>
      <c r="U2978" s="1">
        <v>43344</v>
      </c>
      <c r="V2978" t="s">
        <v>41</v>
      </c>
      <c r="W2978" t="s">
        <v>42</v>
      </c>
      <c r="X2978" t="str">
        <f>"0580155"</f>
        <v>0580155</v>
      </c>
      <c r="Y2978" t="s">
        <v>365</v>
      </c>
      <c r="Z2978" t="s">
        <v>345</v>
      </c>
      <c r="AA2978" t="s">
        <v>346</v>
      </c>
      <c r="AB2978" t="s">
        <v>131</v>
      </c>
      <c r="AC2978" t="s">
        <v>51</v>
      </c>
      <c r="AD2978" t="s">
        <v>45</v>
      </c>
      <c r="AE2978" s="1">
        <v>26660</v>
      </c>
      <c r="AF2978">
        <v>2</v>
      </c>
      <c r="AG2978" t="s">
        <v>346</v>
      </c>
      <c r="AH2978" s="36">
        <f t="shared" si="46"/>
        <v>46.658333333333331</v>
      </c>
      <c r="AI2978" s="41" t="s">
        <v>1780</v>
      </c>
    </row>
    <row r="2979" spans="1:35" x14ac:dyDescent="0.25">
      <c r="A2979" s="36">
        <v>99912977</v>
      </c>
      <c r="B2979" s="17" t="s">
        <v>32</v>
      </c>
      <c r="C2979" t="s">
        <v>64</v>
      </c>
      <c r="D2979" t="s">
        <v>65</v>
      </c>
      <c r="G2979" s="17" t="s">
        <v>35</v>
      </c>
      <c r="H2979" s="17">
        <v>1</v>
      </c>
      <c r="K2979" t="s">
        <v>223</v>
      </c>
      <c r="L2979" t="s">
        <v>224</v>
      </c>
      <c r="M2979" t="s">
        <v>131</v>
      </c>
      <c r="N2979">
        <v>21</v>
      </c>
      <c r="O2979" t="s">
        <v>40</v>
      </c>
      <c r="P2979" t="s">
        <v>40</v>
      </c>
      <c r="Q2979" t="s">
        <v>40</v>
      </c>
      <c r="S2979" t="s">
        <v>40</v>
      </c>
      <c r="V2979" t="s">
        <v>41</v>
      </c>
      <c r="W2979" t="s">
        <v>49</v>
      </c>
      <c r="X2979" t="str">
        <f>"0581207"</f>
        <v>0581207</v>
      </c>
      <c r="Y2979" t="s">
        <v>233</v>
      </c>
      <c r="Z2979" t="s">
        <v>223</v>
      </c>
      <c r="AA2979" t="s">
        <v>224</v>
      </c>
      <c r="AB2979" t="s">
        <v>131</v>
      </c>
      <c r="AC2979" t="s">
        <v>165</v>
      </c>
      <c r="AD2979" t="s">
        <v>45</v>
      </c>
      <c r="AE2979" s="1">
        <v>26657</v>
      </c>
      <c r="AF2979">
        <v>2</v>
      </c>
      <c r="AG2979" t="s">
        <v>224</v>
      </c>
      <c r="AH2979" s="36">
        <f t="shared" si="46"/>
        <v>46.666666666666664</v>
      </c>
      <c r="AI2979" s="41" t="s">
        <v>1780</v>
      </c>
    </row>
    <row r="2980" spans="1:35" x14ac:dyDescent="0.25">
      <c r="A2980" s="36">
        <v>99912978</v>
      </c>
      <c r="B2980" s="17" t="s">
        <v>32</v>
      </c>
      <c r="C2980" t="s">
        <v>85</v>
      </c>
      <c r="D2980" t="s">
        <v>86</v>
      </c>
      <c r="G2980" s="17" t="s">
        <v>48</v>
      </c>
      <c r="H2980" s="17">
        <v>1</v>
      </c>
      <c r="K2980" t="s">
        <v>345</v>
      </c>
      <c r="L2980" t="s">
        <v>346</v>
      </c>
      <c r="M2980" t="s">
        <v>131</v>
      </c>
      <c r="N2980">
        <v>20</v>
      </c>
      <c r="O2980" t="s">
        <v>40</v>
      </c>
      <c r="P2980" t="s">
        <v>40</v>
      </c>
      <c r="Q2980" t="s">
        <v>40</v>
      </c>
      <c r="R2980" t="s">
        <v>40</v>
      </c>
      <c r="S2980" t="s">
        <v>40</v>
      </c>
      <c r="V2980" t="s">
        <v>41</v>
      </c>
      <c r="W2980" t="s">
        <v>49</v>
      </c>
      <c r="X2980" t="str">
        <f>"0581605"</f>
        <v>0581605</v>
      </c>
      <c r="Y2980" t="s">
        <v>366</v>
      </c>
      <c r="Z2980" t="s">
        <v>345</v>
      </c>
      <c r="AA2980" t="s">
        <v>346</v>
      </c>
      <c r="AB2980" t="s">
        <v>131</v>
      </c>
      <c r="AC2980" t="s">
        <v>51</v>
      </c>
      <c r="AD2980" t="s">
        <v>45</v>
      </c>
      <c r="AE2980" s="1">
        <v>26654</v>
      </c>
      <c r="AF2980">
        <v>2</v>
      </c>
      <c r="AG2980" t="s">
        <v>346</v>
      </c>
      <c r="AH2980" s="36">
        <f t="shared" si="46"/>
        <v>46.674999999999997</v>
      </c>
      <c r="AI2980" s="41" t="s">
        <v>1780</v>
      </c>
    </row>
    <row r="2981" spans="1:35" x14ac:dyDescent="0.25">
      <c r="A2981" s="36">
        <v>99912979</v>
      </c>
      <c r="B2981" s="17" t="s">
        <v>56</v>
      </c>
      <c r="C2981" t="s">
        <v>68</v>
      </c>
      <c r="D2981" t="s">
        <v>69</v>
      </c>
      <c r="G2981" s="17" t="s">
        <v>48</v>
      </c>
      <c r="H2981" s="17">
        <v>1</v>
      </c>
      <c r="K2981" t="s">
        <v>162</v>
      </c>
      <c r="L2981" t="s">
        <v>158</v>
      </c>
      <c r="M2981" t="s">
        <v>131</v>
      </c>
      <c r="N2981">
        <v>11</v>
      </c>
      <c r="O2981" t="s">
        <v>40</v>
      </c>
      <c r="P2981" t="s">
        <v>40</v>
      </c>
      <c r="Q2981" t="s">
        <v>40</v>
      </c>
      <c r="S2981" t="s">
        <v>40</v>
      </c>
      <c r="V2981" t="s">
        <v>41</v>
      </c>
      <c r="W2981" t="s">
        <v>42</v>
      </c>
      <c r="X2981" t="str">
        <f>"0580330"</f>
        <v>0580330</v>
      </c>
      <c r="Y2981" t="s">
        <v>176</v>
      </c>
      <c r="Z2981" t="s">
        <v>162</v>
      </c>
      <c r="AA2981" t="s">
        <v>158</v>
      </c>
      <c r="AB2981" t="s">
        <v>131</v>
      </c>
      <c r="AC2981" t="s">
        <v>51</v>
      </c>
      <c r="AD2981" t="s">
        <v>45</v>
      </c>
      <c r="AE2981" s="1">
        <v>26648</v>
      </c>
      <c r="AF2981">
        <v>2</v>
      </c>
      <c r="AG2981" t="s">
        <v>158</v>
      </c>
      <c r="AH2981" s="36">
        <f t="shared" si="46"/>
        <v>46.69166666666667</v>
      </c>
      <c r="AI2981" s="41" t="s">
        <v>1780</v>
      </c>
    </row>
    <row r="2982" spans="1:35" x14ac:dyDescent="0.25">
      <c r="A2982" s="36">
        <v>99912980</v>
      </c>
      <c r="B2982" s="17" t="s">
        <v>56</v>
      </c>
      <c r="C2982" t="s">
        <v>68</v>
      </c>
      <c r="D2982" t="s">
        <v>69</v>
      </c>
      <c r="G2982" s="17" t="s">
        <v>48</v>
      </c>
      <c r="H2982" s="17">
        <v>1</v>
      </c>
      <c r="K2982" t="s">
        <v>1325</v>
      </c>
      <c r="L2982" t="s">
        <v>1326</v>
      </c>
      <c r="M2982" t="s">
        <v>1270</v>
      </c>
      <c r="N2982">
        <v>20</v>
      </c>
      <c r="O2982" t="s">
        <v>40</v>
      </c>
      <c r="P2982" t="s">
        <v>40</v>
      </c>
      <c r="Q2982" t="s">
        <v>40</v>
      </c>
      <c r="R2982" t="s">
        <v>40</v>
      </c>
      <c r="S2982" t="s">
        <v>40</v>
      </c>
      <c r="V2982" t="s">
        <v>41</v>
      </c>
      <c r="W2982" t="s">
        <v>49</v>
      </c>
      <c r="X2982" t="str">
        <f>"3981100"</f>
        <v>3981100</v>
      </c>
      <c r="Y2982" t="s">
        <v>1327</v>
      </c>
      <c r="Z2982" t="s">
        <v>1325</v>
      </c>
      <c r="AA2982" t="s">
        <v>1326</v>
      </c>
      <c r="AB2982" t="s">
        <v>1270</v>
      </c>
      <c r="AC2982" t="s">
        <v>51</v>
      </c>
      <c r="AD2982" t="s">
        <v>45</v>
      </c>
      <c r="AE2982" s="1">
        <v>26647</v>
      </c>
      <c r="AF2982">
        <v>2</v>
      </c>
      <c r="AG2982" t="s">
        <v>1326</v>
      </c>
      <c r="AH2982" s="36">
        <f t="shared" si="46"/>
        <v>46.694444444444443</v>
      </c>
      <c r="AI2982" s="41" t="s">
        <v>1780</v>
      </c>
    </row>
    <row r="2983" spans="1:35" x14ac:dyDescent="0.25">
      <c r="A2983" s="36">
        <v>99912981</v>
      </c>
      <c r="B2983" s="17" t="s">
        <v>32</v>
      </c>
      <c r="C2983" t="s">
        <v>79</v>
      </c>
      <c r="D2983" t="s">
        <v>80</v>
      </c>
      <c r="G2983" s="17" t="s">
        <v>48</v>
      </c>
      <c r="H2983" s="17">
        <v>7</v>
      </c>
      <c r="K2983" t="s">
        <v>195</v>
      </c>
      <c r="L2983" t="s">
        <v>196</v>
      </c>
      <c r="M2983" t="s">
        <v>131</v>
      </c>
      <c r="N2983">
        <v>23</v>
      </c>
      <c r="O2983" t="s">
        <v>40</v>
      </c>
      <c r="P2983" t="s">
        <v>40</v>
      </c>
      <c r="Q2983" t="s">
        <v>40</v>
      </c>
      <c r="R2983" t="s">
        <v>40</v>
      </c>
      <c r="S2983" t="s">
        <v>40</v>
      </c>
      <c r="U2983" s="1">
        <v>40057</v>
      </c>
      <c r="V2983" t="s">
        <v>41</v>
      </c>
      <c r="W2983" t="s">
        <v>75</v>
      </c>
      <c r="X2983" t="str">
        <f>"7521044"</f>
        <v>7521044</v>
      </c>
      <c r="Y2983" t="s">
        <v>453</v>
      </c>
      <c r="Z2983" t="s">
        <v>195</v>
      </c>
      <c r="AA2983" t="s">
        <v>196</v>
      </c>
      <c r="AB2983" t="s">
        <v>131</v>
      </c>
      <c r="AC2983" t="s">
        <v>51</v>
      </c>
      <c r="AD2983" t="s">
        <v>45</v>
      </c>
      <c r="AE2983" s="1">
        <v>26644</v>
      </c>
      <c r="AF2983">
        <v>1</v>
      </c>
      <c r="AG2983" t="s">
        <v>196</v>
      </c>
      <c r="AH2983" s="36">
        <f t="shared" si="46"/>
        <v>46.702777777777776</v>
      </c>
      <c r="AI2983" s="41" t="s">
        <v>1780</v>
      </c>
    </row>
    <row r="2984" spans="1:35" x14ac:dyDescent="0.25">
      <c r="A2984" s="36">
        <v>99912982</v>
      </c>
      <c r="B2984" s="17" t="s">
        <v>32</v>
      </c>
      <c r="C2984" t="s">
        <v>46</v>
      </c>
      <c r="D2984" t="s">
        <v>47</v>
      </c>
      <c r="G2984" s="17" t="s">
        <v>48</v>
      </c>
      <c r="H2984" s="17">
        <v>7</v>
      </c>
      <c r="K2984" t="s">
        <v>129</v>
      </c>
      <c r="L2984" t="s">
        <v>130</v>
      </c>
      <c r="M2984" t="s">
        <v>131</v>
      </c>
      <c r="N2984">
        <v>20</v>
      </c>
      <c r="O2984" t="s">
        <v>40</v>
      </c>
      <c r="P2984" t="s">
        <v>40</v>
      </c>
      <c r="Q2984" t="s">
        <v>40</v>
      </c>
      <c r="R2984" t="s">
        <v>40</v>
      </c>
      <c r="S2984" t="s">
        <v>40</v>
      </c>
      <c r="U2984" s="1">
        <v>37137</v>
      </c>
      <c r="V2984" t="s">
        <v>41</v>
      </c>
      <c r="W2984" t="s">
        <v>49</v>
      </c>
      <c r="X2984" t="str">
        <f>"0580150"</f>
        <v>0580150</v>
      </c>
      <c r="Y2984" t="s">
        <v>134</v>
      </c>
      <c r="Z2984" t="s">
        <v>129</v>
      </c>
      <c r="AA2984" t="s">
        <v>130</v>
      </c>
      <c r="AB2984" t="s">
        <v>131</v>
      </c>
      <c r="AC2984" t="s">
        <v>51</v>
      </c>
      <c r="AD2984" t="s">
        <v>45</v>
      </c>
      <c r="AE2984" s="1">
        <v>26636</v>
      </c>
      <c r="AF2984">
        <v>2</v>
      </c>
      <c r="AG2984" t="s">
        <v>130</v>
      </c>
      <c r="AH2984" s="36">
        <f t="shared" si="46"/>
        <v>46.725000000000001</v>
      </c>
      <c r="AI2984" s="41" t="s">
        <v>1780</v>
      </c>
    </row>
    <row r="2985" spans="1:35" x14ac:dyDescent="0.25">
      <c r="A2985" s="36">
        <v>99912983</v>
      </c>
      <c r="B2985" s="17" t="s">
        <v>32</v>
      </c>
      <c r="C2985" t="s">
        <v>111</v>
      </c>
      <c r="D2985" t="s">
        <v>112</v>
      </c>
      <c r="G2985" s="17" t="s">
        <v>48</v>
      </c>
      <c r="H2985" s="17">
        <v>10</v>
      </c>
      <c r="I2985" t="s">
        <v>446</v>
      </c>
      <c r="J2985" s="1">
        <v>42248</v>
      </c>
      <c r="K2985" t="s">
        <v>431</v>
      </c>
      <c r="L2985" t="s">
        <v>196</v>
      </c>
      <c r="M2985" t="s">
        <v>131</v>
      </c>
      <c r="N2985">
        <v>22</v>
      </c>
      <c r="O2985" t="s">
        <v>40</v>
      </c>
      <c r="P2985" t="s">
        <v>40</v>
      </c>
      <c r="Q2985" t="s">
        <v>40</v>
      </c>
      <c r="R2985" t="s">
        <v>40</v>
      </c>
      <c r="S2985" t="s">
        <v>40</v>
      </c>
      <c r="U2985" s="1">
        <v>42248</v>
      </c>
      <c r="V2985" t="s">
        <v>41</v>
      </c>
      <c r="W2985" t="s">
        <v>75</v>
      </c>
      <c r="X2985" t="str">
        <f>"7521012"</f>
        <v>7521012</v>
      </c>
      <c r="Y2985" t="s">
        <v>432</v>
      </c>
      <c r="Z2985" t="s">
        <v>431</v>
      </c>
      <c r="AA2985" t="s">
        <v>196</v>
      </c>
      <c r="AB2985" t="s">
        <v>131</v>
      </c>
      <c r="AC2985" t="s">
        <v>165</v>
      </c>
      <c r="AD2985" t="s">
        <v>45</v>
      </c>
      <c r="AE2985" s="1">
        <v>26634</v>
      </c>
      <c r="AF2985">
        <v>1</v>
      </c>
      <c r="AG2985" t="s">
        <v>196</v>
      </c>
      <c r="AH2985" s="36">
        <f t="shared" si="46"/>
        <v>46.730555555555554</v>
      </c>
      <c r="AI2985" s="41" t="s">
        <v>1780</v>
      </c>
    </row>
    <row r="2986" spans="1:35" x14ac:dyDescent="0.25">
      <c r="A2986" s="36">
        <v>99912984</v>
      </c>
      <c r="B2986" s="17" t="s">
        <v>56</v>
      </c>
      <c r="C2986" t="s">
        <v>52</v>
      </c>
      <c r="D2986" t="s">
        <v>53</v>
      </c>
      <c r="G2986" s="17" t="s">
        <v>35</v>
      </c>
      <c r="H2986" s="17">
        <v>1</v>
      </c>
      <c r="K2986" t="s">
        <v>223</v>
      </c>
      <c r="L2986" t="s">
        <v>224</v>
      </c>
      <c r="M2986" t="s">
        <v>131</v>
      </c>
      <c r="N2986">
        <v>20</v>
      </c>
      <c r="O2986" t="s">
        <v>40</v>
      </c>
      <c r="P2986" t="s">
        <v>40</v>
      </c>
      <c r="Q2986" t="s">
        <v>40</v>
      </c>
      <c r="S2986" t="s">
        <v>40</v>
      </c>
      <c r="V2986" t="s">
        <v>41</v>
      </c>
      <c r="W2986" t="s">
        <v>49</v>
      </c>
      <c r="X2986" t="str">
        <f>"0560018"</f>
        <v>0560018</v>
      </c>
      <c r="Y2986" t="s">
        <v>234</v>
      </c>
      <c r="Z2986" t="s">
        <v>223</v>
      </c>
      <c r="AA2986" t="s">
        <v>224</v>
      </c>
      <c r="AB2986" t="s">
        <v>131</v>
      </c>
      <c r="AC2986" t="s">
        <v>51</v>
      </c>
      <c r="AD2986" t="s">
        <v>45</v>
      </c>
      <c r="AE2986" s="1">
        <v>26632</v>
      </c>
      <c r="AF2986">
        <v>2</v>
      </c>
      <c r="AG2986" t="s">
        <v>224</v>
      </c>
      <c r="AH2986" s="36">
        <f t="shared" si="46"/>
        <v>46.736111111111114</v>
      </c>
      <c r="AI2986" s="41" t="s">
        <v>1780</v>
      </c>
    </row>
    <row r="2987" spans="1:35" x14ac:dyDescent="0.25">
      <c r="A2987" s="36">
        <v>99912985</v>
      </c>
      <c r="B2987" s="17" t="s">
        <v>56</v>
      </c>
      <c r="C2987" t="s">
        <v>33</v>
      </c>
      <c r="D2987" t="s">
        <v>34</v>
      </c>
      <c r="G2987" s="17" t="s">
        <v>48</v>
      </c>
      <c r="H2987" s="17">
        <v>1</v>
      </c>
      <c r="K2987" t="s">
        <v>345</v>
      </c>
      <c r="L2987" t="s">
        <v>346</v>
      </c>
      <c r="M2987" t="s">
        <v>131</v>
      </c>
      <c r="N2987">
        <v>21</v>
      </c>
      <c r="O2987" t="s">
        <v>40</v>
      </c>
      <c r="P2987" t="s">
        <v>40</v>
      </c>
      <c r="Q2987" t="s">
        <v>40</v>
      </c>
      <c r="R2987" t="s">
        <v>40</v>
      </c>
      <c r="S2987" t="s">
        <v>40</v>
      </c>
      <c r="V2987" t="s">
        <v>41</v>
      </c>
      <c r="W2987" t="s">
        <v>42</v>
      </c>
      <c r="X2987" t="str">
        <f>"0580605"</f>
        <v>0580605</v>
      </c>
      <c r="Y2987" t="s">
        <v>362</v>
      </c>
      <c r="Z2987" t="s">
        <v>345</v>
      </c>
      <c r="AA2987" t="s">
        <v>346</v>
      </c>
      <c r="AB2987" t="s">
        <v>131</v>
      </c>
      <c r="AC2987" t="s">
        <v>51</v>
      </c>
      <c r="AD2987" t="s">
        <v>45</v>
      </c>
      <c r="AE2987" s="1">
        <v>26631</v>
      </c>
      <c r="AF2987">
        <v>2</v>
      </c>
      <c r="AG2987" t="s">
        <v>346</v>
      </c>
      <c r="AH2987" s="36">
        <f t="shared" si="46"/>
        <v>46.738888888888887</v>
      </c>
      <c r="AI2987" s="41" t="s">
        <v>1780</v>
      </c>
    </row>
    <row r="2988" spans="1:35" x14ac:dyDescent="0.25">
      <c r="A2988" s="36">
        <v>99912986</v>
      </c>
      <c r="B2988" s="17" t="s">
        <v>32</v>
      </c>
      <c r="C2988" t="s">
        <v>64</v>
      </c>
      <c r="D2988" t="s">
        <v>65</v>
      </c>
      <c r="G2988" s="17" t="s">
        <v>35</v>
      </c>
      <c r="H2988" s="17">
        <v>1</v>
      </c>
      <c r="I2988" s="1">
        <v>42614</v>
      </c>
      <c r="J2988" s="1">
        <v>43344</v>
      </c>
      <c r="K2988" t="s">
        <v>1341</v>
      </c>
      <c r="L2988" t="s">
        <v>1342</v>
      </c>
      <c r="M2988" t="s">
        <v>1270</v>
      </c>
      <c r="N2988">
        <v>24</v>
      </c>
      <c r="O2988" t="s">
        <v>40</v>
      </c>
      <c r="S2988" t="s">
        <v>40</v>
      </c>
      <c r="U2988" s="1">
        <v>43344</v>
      </c>
      <c r="V2988" t="s">
        <v>41</v>
      </c>
      <c r="W2988" t="s">
        <v>75</v>
      </c>
      <c r="X2988" t="str">
        <f>"7191000"</f>
        <v>7191000</v>
      </c>
      <c r="Y2988" t="s">
        <v>1347</v>
      </c>
      <c r="Z2988" t="s">
        <v>1341</v>
      </c>
      <c r="AA2988" t="s">
        <v>1342</v>
      </c>
      <c r="AB2988" t="s">
        <v>1270</v>
      </c>
      <c r="AC2988" t="s">
        <v>51</v>
      </c>
      <c r="AD2988" t="s">
        <v>45</v>
      </c>
      <c r="AE2988" s="1">
        <v>26630</v>
      </c>
      <c r="AF2988">
        <v>1</v>
      </c>
      <c r="AG2988" t="s">
        <v>1342</v>
      </c>
      <c r="AH2988" s="36">
        <f t="shared" si="46"/>
        <v>46.741666666666667</v>
      </c>
      <c r="AI2988" s="41" t="s">
        <v>1780</v>
      </c>
    </row>
    <row r="2989" spans="1:35" x14ac:dyDescent="0.25">
      <c r="A2989" s="36">
        <v>99912987</v>
      </c>
      <c r="B2989" s="17" t="s">
        <v>56</v>
      </c>
      <c r="C2989" t="s">
        <v>68</v>
      </c>
      <c r="D2989" t="s">
        <v>69</v>
      </c>
      <c r="G2989" s="17" t="s">
        <v>35</v>
      </c>
      <c r="H2989" s="17">
        <v>1</v>
      </c>
      <c r="I2989" t="s">
        <v>1157</v>
      </c>
      <c r="J2989" s="1">
        <v>43344</v>
      </c>
      <c r="K2989" t="s">
        <v>1128</v>
      </c>
      <c r="L2989" t="s">
        <v>1129</v>
      </c>
      <c r="M2989" t="s">
        <v>1130</v>
      </c>
      <c r="N2989">
        <v>11</v>
      </c>
      <c r="O2989" t="s">
        <v>40</v>
      </c>
      <c r="P2989" t="s">
        <v>40</v>
      </c>
      <c r="Q2989" t="s">
        <v>40</v>
      </c>
      <c r="R2989" t="s">
        <v>40</v>
      </c>
      <c r="S2989" t="s">
        <v>40</v>
      </c>
      <c r="U2989" s="1">
        <v>43344</v>
      </c>
      <c r="V2989" t="s">
        <v>41</v>
      </c>
      <c r="W2989" t="s">
        <v>49</v>
      </c>
      <c r="X2989" t="str">
        <f>"3181010"</f>
        <v>3181010</v>
      </c>
      <c r="Y2989" t="s">
        <v>1134</v>
      </c>
      <c r="Z2989" t="s">
        <v>1128</v>
      </c>
      <c r="AA2989" t="s">
        <v>1129</v>
      </c>
      <c r="AB2989" t="s">
        <v>1130</v>
      </c>
      <c r="AC2989" t="s">
        <v>44</v>
      </c>
      <c r="AD2989" t="s">
        <v>45</v>
      </c>
      <c r="AE2989" s="1">
        <v>26627</v>
      </c>
      <c r="AF2989">
        <v>2</v>
      </c>
      <c r="AG2989" t="s">
        <v>1129</v>
      </c>
      <c r="AH2989" s="36">
        <f t="shared" si="46"/>
        <v>46.75</v>
      </c>
      <c r="AI2989" s="41" t="s">
        <v>1780</v>
      </c>
    </row>
    <row r="2990" spans="1:35" x14ac:dyDescent="0.25">
      <c r="A2990" s="36">
        <v>99912988</v>
      </c>
      <c r="B2990" s="17" t="s">
        <v>32</v>
      </c>
      <c r="C2990" t="s">
        <v>111</v>
      </c>
      <c r="D2990" t="s">
        <v>112</v>
      </c>
      <c r="G2990" s="17" t="s">
        <v>35</v>
      </c>
      <c r="H2990" s="17">
        <v>1</v>
      </c>
      <c r="K2990" t="s">
        <v>1564</v>
      </c>
      <c r="L2990" t="s">
        <v>1565</v>
      </c>
      <c r="M2990" t="s">
        <v>1548</v>
      </c>
      <c r="N2990">
        <v>23</v>
      </c>
      <c r="O2990" t="s">
        <v>40</v>
      </c>
      <c r="P2990" t="s">
        <v>40</v>
      </c>
      <c r="Q2990" t="s">
        <v>40</v>
      </c>
      <c r="S2990" t="s">
        <v>40</v>
      </c>
      <c r="V2990" t="s">
        <v>41</v>
      </c>
      <c r="W2990" t="s">
        <v>75</v>
      </c>
      <c r="X2990" t="str">
        <f>"7101000"</f>
        <v>7101000</v>
      </c>
      <c r="Y2990" t="s">
        <v>1572</v>
      </c>
      <c r="Z2990" t="s">
        <v>1564</v>
      </c>
      <c r="AA2990" t="s">
        <v>1565</v>
      </c>
      <c r="AB2990" t="s">
        <v>1548</v>
      </c>
      <c r="AC2990" t="s">
        <v>51</v>
      </c>
      <c r="AD2990" t="s">
        <v>45</v>
      </c>
      <c r="AE2990" s="1">
        <v>26626</v>
      </c>
      <c r="AF2990">
        <v>1</v>
      </c>
      <c r="AG2990" t="s">
        <v>1565</v>
      </c>
      <c r="AH2990" s="36">
        <f t="shared" si="46"/>
        <v>46.75277777777778</v>
      </c>
      <c r="AI2990" s="41" t="s">
        <v>1780</v>
      </c>
    </row>
    <row r="2991" spans="1:35" x14ac:dyDescent="0.25">
      <c r="A2991" s="36">
        <v>99912989</v>
      </c>
      <c r="B2991" s="17" t="s">
        <v>32</v>
      </c>
      <c r="C2991" t="s">
        <v>90</v>
      </c>
      <c r="D2991" t="s">
        <v>91</v>
      </c>
      <c r="G2991" s="17" t="s">
        <v>48</v>
      </c>
      <c r="H2991" s="17">
        <v>1</v>
      </c>
      <c r="K2991" t="s">
        <v>1198</v>
      </c>
      <c r="L2991" t="s">
        <v>1199</v>
      </c>
      <c r="M2991" t="s">
        <v>1130</v>
      </c>
      <c r="N2991">
        <v>23</v>
      </c>
      <c r="O2991" t="s">
        <v>40</v>
      </c>
      <c r="P2991" t="s">
        <v>40</v>
      </c>
      <c r="Q2991" t="s">
        <v>40</v>
      </c>
      <c r="S2991" t="s">
        <v>40</v>
      </c>
      <c r="V2991" t="s">
        <v>41</v>
      </c>
      <c r="W2991" t="s">
        <v>95</v>
      </c>
      <c r="X2991" t="str">
        <f>"7311015"</f>
        <v>7311015</v>
      </c>
      <c r="Y2991" t="s">
        <v>1217</v>
      </c>
      <c r="Z2991" t="s">
        <v>1198</v>
      </c>
      <c r="AA2991" t="s">
        <v>1199</v>
      </c>
      <c r="AB2991" t="s">
        <v>1130</v>
      </c>
      <c r="AC2991" t="s">
        <v>51</v>
      </c>
      <c r="AD2991" t="s">
        <v>45</v>
      </c>
      <c r="AE2991" s="1">
        <v>26624</v>
      </c>
      <c r="AF2991">
        <v>1</v>
      </c>
      <c r="AG2991" t="s">
        <v>1199</v>
      </c>
      <c r="AH2991" s="36">
        <f t="shared" si="46"/>
        <v>46.758333333333333</v>
      </c>
      <c r="AI2991" s="41" t="s">
        <v>1780</v>
      </c>
    </row>
    <row r="2992" spans="1:35" x14ac:dyDescent="0.25">
      <c r="A2992" s="36">
        <v>99912990</v>
      </c>
      <c r="B2992" s="17" t="s">
        <v>32</v>
      </c>
      <c r="C2992" t="s">
        <v>111</v>
      </c>
      <c r="D2992" t="s">
        <v>112</v>
      </c>
      <c r="G2992" s="17" t="s">
        <v>35</v>
      </c>
      <c r="H2992" s="17">
        <v>1</v>
      </c>
      <c r="K2992" t="s">
        <v>1581</v>
      </c>
      <c r="L2992" t="s">
        <v>1582</v>
      </c>
      <c r="M2992" t="s">
        <v>1548</v>
      </c>
      <c r="N2992">
        <v>12</v>
      </c>
      <c r="O2992" t="s">
        <v>40</v>
      </c>
      <c r="P2992" t="s">
        <v>40</v>
      </c>
      <c r="Q2992" t="s">
        <v>40</v>
      </c>
      <c r="S2992" t="s">
        <v>40</v>
      </c>
      <c r="V2992" t="s">
        <v>41</v>
      </c>
      <c r="W2992" t="s">
        <v>75</v>
      </c>
      <c r="X2992" t="str">
        <f>"7291002"</f>
        <v>7291002</v>
      </c>
      <c r="Y2992" t="s">
        <v>1583</v>
      </c>
      <c r="Z2992" t="s">
        <v>1581</v>
      </c>
      <c r="AA2992" t="s">
        <v>1582</v>
      </c>
      <c r="AB2992" t="s">
        <v>1548</v>
      </c>
      <c r="AC2992" t="s">
        <v>51</v>
      </c>
      <c r="AD2992" t="s">
        <v>45</v>
      </c>
      <c r="AE2992" s="1">
        <v>26624</v>
      </c>
      <c r="AF2992">
        <v>1</v>
      </c>
      <c r="AG2992" t="s">
        <v>1582</v>
      </c>
      <c r="AH2992" s="36">
        <f t="shared" si="46"/>
        <v>46.758333333333333</v>
      </c>
      <c r="AI2992" s="41" t="s">
        <v>1780</v>
      </c>
    </row>
    <row r="2993" spans="1:35" x14ac:dyDescent="0.25">
      <c r="A2993" s="36">
        <v>99912991</v>
      </c>
      <c r="B2993" s="17" t="s">
        <v>56</v>
      </c>
      <c r="C2993" t="s">
        <v>46</v>
      </c>
      <c r="D2993" t="s">
        <v>47</v>
      </c>
      <c r="G2993" s="17" t="s">
        <v>48</v>
      </c>
      <c r="H2993" s="17">
        <v>1</v>
      </c>
      <c r="K2993" t="s">
        <v>223</v>
      </c>
      <c r="L2993" t="s">
        <v>224</v>
      </c>
      <c r="M2993" t="s">
        <v>131</v>
      </c>
      <c r="N2993">
        <v>21</v>
      </c>
      <c r="O2993" t="s">
        <v>40</v>
      </c>
      <c r="P2993" t="s">
        <v>40</v>
      </c>
      <c r="Q2993" t="s">
        <v>40</v>
      </c>
      <c r="S2993" t="s">
        <v>40</v>
      </c>
      <c r="V2993" t="s">
        <v>41</v>
      </c>
      <c r="W2993" t="s">
        <v>49</v>
      </c>
      <c r="X2993" t="str">
        <f>"0581206"</f>
        <v>0581206</v>
      </c>
      <c r="Y2993" t="s">
        <v>232</v>
      </c>
      <c r="Z2993" t="s">
        <v>223</v>
      </c>
      <c r="AA2993" t="s">
        <v>224</v>
      </c>
      <c r="AB2993" t="s">
        <v>131</v>
      </c>
      <c r="AC2993" t="s">
        <v>51</v>
      </c>
      <c r="AD2993" t="s">
        <v>45</v>
      </c>
      <c r="AE2993" s="1">
        <v>26623</v>
      </c>
      <c r="AF2993">
        <v>2</v>
      </c>
      <c r="AG2993" t="s">
        <v>224</v>
      </c>
      <c r="AH2993" s="36">
        <f t="shared" si="46"/>
        <v>46.761111111111113</v>
      </c>
      <c r="AI2993" s="41" t="s">
        <v>1780</v>
      </c>
    </row>
    <row r="2994" spans="1:35" x14ac:dyDescent="0.25">
      <c r="A2994" s="36">
        <v>99912992</v>
      </c>
      <c r="B2994" s="17" t="s">
        <v>56</v>
      </c>
      <c r="C2994" t="s">
        <v>52</v>
      </c>
      <c r="D2994" t="s">
        <v>53</v>
      </c>
      <c r="G2994" s="17" t="s">
        <v>48</v>
      </c>
      <c r="H2994" s="17">
        <v>1</v>
      </c>
      <c r="K2994" t="s">
        <v>223</v>
      </c>
      <c r="L2994" t="s">
        <v>224</v>
      </c>
      <c r="M2994" t="s">
        <v>131</v>
      </c>
      <c r="N2994">
        <v>20</v>
      </c>
      <c r="O2994" t="s">
        <v>40</v>
      </c>
      <c r="P2994" t="s">
        <v>40</v>
      </c>
      <c r="Q2994" t="s">
        <v>40</v>
      </c>
      <c r="S2994" t="s">
        <v>40</v>
      </c>
      <c r="V2994" t="s">
        <v>41</v>
      </c>
      <c r="W2994" t="s">
        <v>42</v>
      </c>
      <c r="X2994" t="str">
        <f>"0580200"</f>
        <v>0580200</v>
      </c>
      <c r="Y2994" t="s">
        <v>245</v>
      </c>
      <c r="Z2994" t="s">
        <v>223</v>
      </c>
      <c r="AA2994" t="s">
        <v>224</v>
      </c>
      <c r="AB2994" t="s">
        <v>131</v>
      </c>
      <c r="AC2994" t="s">
        <v>51</v>
      </c>
      <c r="AD2994" t="s">
        <v>45</v>
      </c>
      <c r="AE2994" s="1">
        <v>26621</v>
      </c>
      <c r="AF2994">
        <v>2</v>
      </c>
      <c r="AG2994" t="s">
        <v>224</v>
      </c>
      <c r="AH2994" s="36">
        <f t="shared" si="46"/>
        <v>46.766666666666666</v>
      </c>
      <c r="AI2994" s="41" t="s">
        <v>1780</v>
      </c>
    </row>
    <row r="2995" spans="1:35" x14ac:dyDescent="0.25">
      <c r="A2995" s="36">
        <v>99912993</v>
      </c>
      <c r="B2995" s="17" t="s">
        <v>56</v>
      </c>
      <c r="C2995" t="s">
        <v>46</v>
      </c>
      <c r="D2995" t="s">
        <v>47</v>
      </c>
      <c r="G2995" s="17" t="s">
        <v>48</v>
      </c>
      <c r="H2995" s="17">
        <v>1</v>
      </c>
      <c r="K2995" t="s">
        <v>300</v>
      </c>
      <c r="L2995" t="s">
        <v>301</v>
      </c>
      <c r="M2995" t="s">
        <v>131</v>
      </c>
      <c r="N2995">
        <v>20</v>
      </c>
      <c r="O2995" t="s">
        <v>40</v>
      </c>
      <c r="P2995" t="s">
        <v>40</v>
      </c>
      <c r="Q2995" t="s">
        <v>40</v>
      </c>
      <c r="S2995" t="s">
        <v>40</v>
      </c>
      <c r="V2995" t="s">
        <v>41</v>
      </c>
      <c r="W2995" t="s">
        <v>49</v>
      </c>
      <c r="X2995" t="str">
        <f>"0560029"</f>
        <v>0560029</v>
      </c>
      <c r="Y2995" t="s">
        <v>309</v>
      </c>
      <c r="Z2995" t="s">
        <v>300</v>
      </c>
      <c r="AA2995" t="s">
        <v>301</v>
      </c>
      <c r="AB2995" t="s">
        <v>131</v>
      </c>
      <c r="AC2995" t="s">
        <v>165</v>
      </c>
      <c r="AD2995" t="s">
        <v>45</v>
      </c>
      <c r="AE2995" s="1">
        <v>26620</v>
      </c>
      <c r="AF2995">
        <v>2</v>
      </c>
      <c r="AG2995" t="s">
        <v>301</v>
      </c>
      <c r="AH2995" s="36">
        <f t="shared" si="46"/>
        <v>46.769444444444446</v>
      </c>
      <c r="AI2995" s="41" t="s">
        <v>1780</v>
      </c>
    </row>
    <row r="2996" spans="1:35" x14ac:dyDescent="0.25">
      <c r="A2996" s="36">
        <v>99912994</v>
      </c>
      <c r="B2996" s="17" t="s">
        <v>56</v>
      </c>
      <c r="C2996" t="s">
        <v>46</v>
      </c>
      <c r="D2996" t="s">
        <v>47</v>
      </c>
      <c r="G2996" s="17" t="s">
        <v>35</v>
      </c>
      <c r="H2996" s="17">
        <v>1</v>
      </c>
      <c r="J2996" s="1">
        <v>38595</v>
      </c>
      <c r="K2996" t="s">
        <v>1336</v>
      </c>
      <c r="L2996" t="s">
        <v>1337</v>
      </c>
      <c r="M2996" t="s">
        <v>1270</v>
      </c>
      <c r="N2996">
        <v>16</v>
      </c>
      <c r="O2996" t="s">
        <v>40</v>
      </c>
      <c r="P2996" t="s">
        <v>40</v>
      </c>
      <c r="Q2996" t="s">
        <v>40</v>
      </c>
      <c r="R2996" t="s">
        <v>40</v>
      </c>
      <c r="S2996" t="s">
        <v>40</v>
      </c>
      <c r="U2996" s="1">
        <v>38595</v>
      </c>
      <c r="V2996" t="s">
        <v>41</v>
      </c>
      <c r="W2996" t="s">
        <v>42</v>
      </c>
      <c r="X2996" t="str">
        <f>"4475070"</f>
        <v>4475070</v>
      </c>
      <c r="Y2996" t="s">
        <v>1338</v>
      </c>
      <c r="Z2996" t="s">
        <v>1336</v>
      </c>
      <c r="AA2996" t="s">
        <v>1337</v>
      </c>
      <c r="AB2996" t="s">
        <v>1270</v>
      </c>
      <c r="AC2996" t="s">
        <v>51</v>
      </c>
      <c r="AD2996" t="s">
        <v>45</v>
      </c>
      <c r="AE2996" s="1">
        <v>26617</v>
      </c>
      <c r="AF2996">
        <v>2</v>
      </c>
      <c r="AG2996" t="s">
        <v>1337</v>
      </c>
      <c r="AH2996" s="36">
        <f t="shared" si="46"/>
        <v>46.777777777777779</v>
      </c>
      <c r="AI2996" s="41" t="s">
        <v>1780</v>
      </c>
    </row>
    <row r="2997" spans="1:35" x14ac:dyDescent="0.25">
      <c r="A2997" s="36">
        <v>99912995</v>
      </c>
      <c r="B2997" s="17" t="s">
        <v>32</v>
      </c>
      <c r="C2997" t="s">
        <v>111</v>
      </c>
      <c r="D2997" t="s">
        <v>112</v>
      </c>
      <c r="G2997" s="17" t="s">
        <v>48</v>
      </c>
      <c r="H2997" s="17">
        <v>1</v>
      </c>
      <c r="K2997" t="s">
        <v>354</v>
      </c>
      <c r="L2997" t="s">
        <v>355</v>
      </c>
      <c r="M2997" t="s">
        <v>131</v>
      </c>
      <c r="N2997">
        <v>22</v>
      </c>
      <c r="O2997" t="s">
        <v>40</v>
      </c>
      <c r="P2997" t="s">
        <v>40</v>
      </c>
      <c r="Q2997" t="s">
        <v>40</v>
      </c>
      <c r="S2997" t="s">
        <v>40</v>
      </c>
      <c r="V2997" t="s">
        <v>41</v>
      </c>
      <c r="W2997" t="s">
        <v>75</v>
      </c>
      <c r="X2997" t="str">
        <f>"7054022"</f>
        <v>7054022</v>
      </c>
      <c r="Y2997" t="s">
        <v>770</v>
      </c>
      <c r="Z2997" t="s">
        <v>354</v>
      </c>
      <c r="AA2997" t="s">
        <v>355</v>
      </c>
      <c r="AB2997" t="s">
        <v>131</v>
      </c>
      <c r="AC2997" t="s">
        <v>51</v>
      </c>
      <c r="AD2997" t="s">
        <v>45</v>
      </c>
      <c r="AE2997" s="1">
        <v>26616</v>
      </c>
      <c r="AF2997">
        <v>1</v>
      </c>
      <c r="AG2997" t="s">
        <v>355</v>
      </c>
      <c r="AH2997" s="36">
        <f t="shared" si="46"/>
        <v>46.780555555555559</v>
      </c>
      <c r="AI2997" s="41" t="s">
        <v>1780</v>
      </c>
    </row>
    <row r="2998" spans="1:35" x14ac:dyDescent="0.25">
      <c r="A2998" s="36">
        <v>99912996</v>
      </c>
      <c r="B2998" s="17" t="s">
        <v>56</v>
      </c>
      <c r="C2998" t="s">
        <v>68</v>
      </c>
      <c r="D2998" t="s">
        <v>69</v>
      </c>
      <c r="G2998" s="17" t="s">
        <v>35</v>
      </c>
      <c r="H2998" s="17">
        <v>1</v>
      </c>
      <c r="K2998" t="s">
        <v>157</v>
      </c>
      <c r="L2998" t="s">
        <v>158</v>
      </c>
      <c r="M2998" t="s">
        <v>131</v>
      </c>
      <c r="N2998">
        <v>30</v>
      </c>
      <c r="O2998" t="s">
        <v>40</v>
      </c>
      <c r="P2998" t="s">
        <v>40</v>
      </c>
      <c r="Q2998" t="s">
        <v>40</v>
      </c>
      <c r="S2998" t="s">
        <v>40</v>
      </c>
      <c r="V2998" t="s">
        <v>41</v>
      </c>
      <c r="W2998" t="s">
        <v>49</v>
      </c>
      <c r="X2998" t="str">
        <f>"0581725"</f>
        <v>0581725</v>
      </c>
      <c r="Y2998" t="s">
        <v>161</v>
      </c>
      <c r="Z2998" t="s">
        <v>157</v>
      </c>
      <c r="AA2998" t="s">
        <v>158</v>
      </c>
      <c r="AB2998" t="s">
        <v>131</v>
      </c>
      <c r="AC2998" t="s">
        <v>51</v>
      </c>
      <c r="AD2998" t="s">
        <v>45</v>
      </c>
      <c r="AE2998" s="1">
        <v>26613</v>
      </c>
      <c r="AF2998">
        <v>2</v>
      </c>
      <c r="AG2998" t="s">
        <v>158</v>
      </c>
      <c r="AH2998" s="36">
        <f t="shared" si="46"/>
        <v>46.788888888888891</v>
      </c>
      <c r="AI2998" s="41" t="s">
        <v>1780</v>
      </c>
    </row>
    <row r="2999" spans="1:35" x14ac:dyDescent="0.25">
      <c r="A2999" s="36">
        <v>99912997</v>
      </c>
      <c r="B2999" s="17" t="s">
        <v>32</v>
      </c>
      <c r="C2999" t="s">
        <v>145</v>
      </c>
      <c r="D2999" t="s">
        <v>146</v>
      </c>
      <c r="G2999" s="17" t="s">
        <v>48</v>
      </c>
      <c r="H2999" s="17">
        <v>1</v>
      </c>
      <c r="K2999" t="s">
        <v>223</v>
      </c>
      <c r="L2999" t="s">
        <v>224</v>
      </c>
      <c r="M2999" t="s">
        <v>131</v>
      </c>
      <c r="N2999">
        <v>20</v>
      </c>
      <c r="O2999" t="s">
        <v>40</v>
      </c>
      <c r="P2999" t="s">
        <v>40</v>
      </c>
      <c r="Q2999" t="s">
        <v>40</v>
      </c>
      <c r="R2999" t="s">
        <v>40</v>
      </c>
      <c r="S2999" t="s">
        <v>40</v>
      </c>
      <c r="V2999" t="s">
        <v>41</v>
      </c>
      <c r="W2999" t="s">
        <v>42</v>
      </c>
      <c r="X2999" t="str">
        <f>"0580204"</f>
        <v>0580204</v>
      </c>
      <c r="Y2999" t="s">
        <v>235</v>
      </c>
      <c r="Z2999" t="s">
        <v>223</v>
      </c>
      <c r="AA2999" t="s">
        <v>224</v>
      </c>
      <c r="AB2999" t="s">
        <v>131</v>
      </c>
      <c r="AC2999" t="s">
        <v>165</v>
      </c>
      <c r="AD2999" t="s">
        <v>45</v>
      </c>
      <c r="AE2999" s="1">
        <v>26608</v>
      </c>
      <c r="AF2999">
        <v>2</v>
      </c>
      <c r="AG2999" t="s">
        <v>224</v>
      </c>
      <c r="AH2999" s="36">
        <f t="shared" si="46"/>
        <v>46.802777777777777</v>
      </c>
      <c r="AI2999" s="41" t="s">
        <v>1780</v>
      </c>
    </row>
    <row r="3000" spans="1:35" x14ac:dyDescent="0.25">
      <c r="A3000" s="36">
        <v>99912998</v>
      </c>
      <c r="B3000" s="17" t="s">
        <v>32</v>
      </c>
      <c r="C3000" t="s">
        <v>111</v>
      </c>
      <c r="D3000" t="s">
        <v>112</v>
      </c>
      <c r="G3000" s="17" t="s">
        <v>48</v>
      </c>
      <c r="H3000" s="17">
        <v>1</v>
      </c>
      <c r="I3000">
        <v>218</v>
      </c>
      <c r="J3000" s="1">
        <v>37134</v>
      </c>
      <c r="K3000" t="s">
        <v>1341</v>
      </c>
      <c r="L3000" t="s">
        <v>1342</v>
      </c>
      <c r="M3000" t="s">
        <v>1270</v>
      </c>
      <c r="N3000">
        <v>24</v>
      </c>
      <c r="O3000" t="s">
        <v>40</v>
      </c>
      <c r="P3000" t="s">
        <v>40</v>
      </c>
      <c r="Q3000" t="s">
        <v>40</v>
      </c>
      <c r="R3000" t="s">
        <v>40</v>
      </c>
      <c r="S3000" t="s">
        <v>40</v>
      </c>
      <c r="U3000" s="1">
        <v>37138</v>
      </c>
      <c r="V3000" t="s">
        <v>41</v>
      </c>
      <c r="W3000" t="s">
        <v>75</v>
      </c>
      <c r="X3000" t="str">
        <f>"7191036"</f>
        <v>7191036</v>
      </c>
      <c r="Y3000" t="s">
        <v>1348</v>
      </c>
      <c r="Z3000" t="s">
        <v>1341</v>
      </c>
      <c r="AA3000" t="s">
        <v>1342</v>
      </c>
      <c r="AB3000" t="s">
        <v>1270</v>
      </c>
      <c r="AC3000" t="s">
        <v>165</v>
      </c>
      <c r="AD3000" t="s">
        <v>45</v>
      </c>
      <c r="AE3000" s="1">
        <v>26606</v>
      </c>
      <c r="AF3000">
        <v>1</v>
      </c>
      <c r="AG3000" t="s">
        <v>1342</v>
      </c>
      <c r="AH3000" s="36">
        <f t="shared" si="46"/>
        <v>46.80833333333333</v>
      </c>
      <c r="AI3000" s="41" t="s">
        <v>1780</v>
      </c>
    </row>
    <row r="3001" spans="1:35" x14ac:dyDescent="0.25">
      <c r="A3001" s="36">
        <v>99912999</v>
      </c>
      <c r="B3001" s="17" t="s">
        <v>32</v>
      </c>
      <c r="C3001" t="s">
        <v>111</v>
      </c>
      <c r="D3001" t="s">
        <v>112</v>
      </c>
      <c r="G3001" s="17" t="s">
        <v>35</v>
      </c>
      <c r="H3001" s="17">
        <v>1</v>
      </c>
      <c r="K3001" t="s">
        <v>154</v>
      </c>
      <c r="L3001" t="s">
        <v>155</v>
      </c>
      <c r="M3001" t="s">
        <v>131</v>
      </c>
      <c r="N3001">
        <v>21</v>
      </c>
      <c r="O3001" t="s">
        <v>40</v>
      </c>
      <c r="P3001" t="s">
        <v>40</v>
      </c>
      <c r="Q3001" t="s">
        <v>40</v>
      </c>
      <c r="R3001" t="s">
        <v>40</v>
      </c>
      <c r="S3001" t="s">
        <v>40</v>
      </c>
      <c r="V3001" t="s">
        <v>41</v>
      </c>
      <c r="W3001" t="s">
        <v>75</v>
      </c>
      <c r="X3001" t="str">
        <f>"7700026"</f>
        <v>7700026</v>
      </c>
      <c r="Y3001" t="s">
        <v>397</v>
      </c>
      <c r="Z3001" t="s">
        <v>154</v>
      </c>
      <c r="AA3001" t="s">
        <v>155</v>
      </c>
      <c r="AB3001" t="s">
        <v>131</v>
      </c>
      <c r="AC3001" t="s">
        <v>51</v>
      </c>
      <c r="AD3001" t="s">
        <v>45</v>
      </c>
      <c r="AE3001" s="1">
        <v>26604</v>
      </c>
      <c r="AF3001">
        <v>1</v>
      </c>
      <c r="AG3001" t="s">
        <v>155</v>
      </c>
      <c r="AH3001" s="36">
        <f t="shared" si="46"/>
        <v>46.81388888888889</v>
      </c>
      <c r="AI3001" s="41" t="s">
        <v>1780</v>
      </c>
    </row>
    <row r="3002" spans="1:35" x14ac:dyDescent="0.25">
      <c r="A3002" s="36">
        <v>99913000</v>
      </c>
      <c r="B3002" s="17" t="s">
        <v>32</v>
      </c>
      <c r="C3002" t="s">
        <v>85</v>
      </c>
      <c r="D3002" t="s">
        <v>86</v>
      </c>
      <c r="G3002" s="17" t="s">
        <v>35</v>
      </c>
      <c r="H3002" s="17">
        <v>1</v>
      </c>
      <c r="K3002" t="s">
        <v>223</v>
      </c>
      <c r="L3002" t="s">
        <v>224</v>
      </c>
      <c r="M3002" t="s">
        <v>131</v>
      </c>
      <c r="N3002">
        <v>18</v>
      </c>
      <c r="O3002" t="s">
        <v>40</v>
      </c>
      <c r="P3002" t="s">
        <v>40</v>
      </c>
      <c r="Q3002" t="s">
        <v>40</v>
      </c>
      <c r="R3002" t="s">
        <v>40</v>
      </c>
      <c r="S3002" t="s">
        <v>40</v>
      </c>
      <c r="V3002" t="s">
        <v>41</v>
      </c>
      <c r="W3002" t="s">
        <v>49</v>
      </c>
      <c r="X3002" t="str">
        <f>"0560008"</f>
        <v>0560008</v>
      </c>
      <c r="Y3002" t="s">
        <v>263</v>
      </c>
      <c r="Z3002" t="s">
        <v>223</v>
      </c>
      <c r="AA3002" t="s">
        <v>224</v>
      </c>
      <c r="AB3002" t="s">
        <v>131</v>
      </c>
      <c r="AC3002" t="s">
        <v>51</v>
      </c>
      <c r="AD3002" t="s">
        <v>45</v>
      </c>
      <c r="AE3002" s="1">
        <v>26601</v>
      </c>
      <c r="AF3002">
        <v>2</v>
      </c>
      <c r="AG3002" t="s">
        <v>224</v>
      </c>
      <c r="AH3002" s="36">
        <f t="shared" si="46"/>
        <v>46.822222222222223</v>
      </c>
      <c r="AI3002" s="41" t="s">
        <v>1780</v>
      </c>
    </row>
    <row r="3003" spans="1:35" x14ac:dyDescent="0.25">
      <c r="A3003" s="36">
        <v>99913001</v>
      </c>
      <c r="B3003" s="17" t="s">
        <v>56</v>
      </c>
      <c r="C3003" t="s">
        <v>68</v>
      </c>
      <c r="D3003" t="s">
        <v>69</v>
      </c>
      <c r="G3003" s="17" t="s">
        <v>35</v>
      </c>
      <c r="H3003" s="17">
        <v>1</v>
      </c>
      <c r="K3003" t="s">
        <v>300</v>
      </c>
      <c r="L3003" t="s">
        <v>301</v>
      </c>
      <c r="M3003" t="s">
        <v>131</v>
      </c>
      <c r="N3003">
        <v>24</v>
      </c>
      <c r="O3003" t="s">
        <v>40</v>
      </c>
      <c r="P3003" t="s">
        <v>40</v>
      </c>
      <c r="Q3003" t="s">
        <v>40</v>
      </c>
      <c r="R3003" t="s">
        <v>40</v>
      </c>
      <c r="S3003" t="s">
        <v>40</v>
      </c>
      <c r="V3003" t="s">
        <v>41</v>
      </c>
      <c r="W3003" t="s">
        <v>42</v>
      </c>
      <c r="X3003" t="str">
        <f>"0580457"</f>
        <v>0580457</v>
      </c>
      <c r="Y3003" t="s">
        <v>310</v>
      </c>
      <c r="Z3003" t="s">
        <v>300</v>
      </c>
      <c r="AA3003" t="s">
        <v>301</v>
      </c>
      <c r="AB3003" t="s">
        <v>131</v>
      </c>
      <c r="AC3003" t="s">
        <v>51</v>
      </c>
      <c r="AD3003" t="s">
        <v>45</v>
      </c>
      <c r="AE3003" s="1">
        <v>26601</v>
      </c>
      <c r="AF3003">
        <v>2</v>
      </c>
      <c r="AG3003" t="s">
        <v>301</v>
      </c>
      <c r="AH3003" s="36">
        <f t="shared" si="46"/>
        <v>46.822222222222223</v>
      </c>
      <c r="AI3003" s="41" t="s">
        <v>1780</v>
      </c>
    </row>
    <row r="3004" spans="1:35" x14ac:dyDescent="0.25">
      <c r="A3004" s="36">
        <v>99913002</v>
      </c>
      <c r="B3004" s="17" t="s">
        <v>56</v>
      </c>
      <c r="C3004" t="s">
        <v>46</v>
      </c>
      <c r="D3004" t="s">
        <v>47</v>
      </c>
      <c r="G3004" s="17" t="s">
        <v>35</v>
      </c>
      <c r="H3004" s="17">
        <v>1</v>
      </c>
      <c r="I3004">
        <v>0</v>
      </c>
      <c r="J3004" s="1">
        <v>43344</v>
      </c>
      <c r="K3004" t="s">
        <v>223</v>
      </c>
      <c r="L3004" t="s">
        <v>224</v>
      </c>
      <c r="M3004" t="s">
        <v>131</v>
      </c>
      <c r="N3004">
        <v>20</v>
      </c>
      <c r="O3004" t="s">
        <v>40</v>
      </c>
      <c r="S3004" t="s">
        <v>40</v>
      </c>
      <c r="U3004" s="1">
        <v>43344</v>
      </c>
      <c r="V3004" t="s">
        <v>41</v>
      </c>
      <c r="W3004" t="s">
        <v>42</v>
      </c>
      <c r="X3004" t="str">
        <f>"0580206"</f>
        <v>0580206</v>
      </c>
      <c r="Y3004" t="s">
        <v>237</v>
      </c>
      <c r="Z3004" t="s">
        <v>223</v>
      </c>
      <c r="AA3004" t="s">
        <v>224</v>
      </c>
      <c r="AB3004" t="s">
        <v>131</v>
      </c>
      <c r="AC3004" t="s">
        <v>51</v>
      </c>
      <c r="AD3004" t="s">
        <v>45</v>
      </c>
      <c r="AE3004" s="1">
        <v>26597</v>
      </c>
      <c r="AF3004">
        <v>2</v>
      </c>
      <c r="AG3004" t="s">
        <v>224</v>
      </c>
      <c r="AH3004" s="36">
        <f t="shared" si="46"/>
        <v>46.833333333333336</v>
      </c>
      <c r="AI3004" s="41" t="s">
        <v>1780</v>
      </c>
    </row>
    <row r="3005" spans="1:35" x14ac:dyDescent="0.25">
      <c r="A3005" s="36">
        <v>99913003</v>
      </c>
      <c r="B3005" s="17" t="s">
        <v>56</v>
      </c>
      <c r="C3005" t="s">
        <v>52</v>
      </c>
      <c r="D3005" t="s">
        <v>53</v>
      </c>
      <c r="G3005" s="17" t="s">
        <v>35</v>
      </c>
      <c r="H3005" s="17">
        <v>1</v>
      </c>
      <c r="K3005" t="s">
        <v>947</v>
      </c>
      <c r="L3005" t="s">
        <v>948</v>
      </c>
      <c r="M3005" t="s">
        <v>938</v>
      </c>
      <c r="N3005">
        <v>20</v>
      </c>
      <c r="O3005" t="s">
        <v>40</v>
      </c>
      <c r="P3005" t="s">
        <v>40</v>
      </c>
      <c r="Q3005" t="s">
        <v>40</v>
      </c>
      <c r="R3005" t="s">
        <v>40</v>
      </c>
      <c r="S3005" t="s">
        <v>40</v>
      </c>
      <c r="V3005" t="s">
        <v>41</v>
      </c>
      <c r="W3005" t="s">
        <v>42</v>
      </c>
      <c r="X3005" t="str">
        <f>"0680030"</f>
        <v>0680030</v>
      </c>
      <c r="Y3005" t="s">
        <v>951</v>
      </c>
      <c r="Z3005" t="s">
        <v>947</v>
      </c>
      <c r="AA3005" t="s">
        <v>948</v>
      </c>
      <c r="AB3005" t="s">
        <v>938</v>
      </c>
      <c r="AC3005" t="s">
        <v>51</v>
      </c>
      <c r="AD3005" t="s">
        <v>45</v>
      </c>
      <c r="AE3005" s="1">
        <v>26594</v>
      </c>
      <c r="AF3005">
        <v>2</v>
      </c>
      <c r="AG3005" t="s">
        <v>948</v>
      </c>
      <c r="AH3005" s="36">
        <f t="shared" si="46"/>
        <v>46.841666666666669</v>
      </c>
      <c r="AI3005" s="41" t="s">
        <v>1780</v>
      </c>
    </row>
    <row r="3006" spans="1:35" x14ac:dyDescent="0.25">
      <c r="A3006" s="36">
        <v>99913004</v>
      </c>
      <c r="B3006" s="17" t="s">
        <v>32</v>
      </c>
      <c r="C3006" t="s">
        <v>46</v>
      </c>
      <c r="D3006" t="s">
        <v>47</v>
      </c>
      <c r="G3006" s="17" t="s">
        <v>48</v>
      </c>
      <c r="H3006" s="17">
        <v>13</v>
      </c>
      <c r="K3006" t="s">
        <v>1268</v>
      </c>
      <c r="L3006" t="s">
        <v>1269</v>
      </c>
      <c r="M3006" t="s">
        <v>1270</v>
      </c>
      <c r="N3006">
        <v>18</v>
      </c>
      <c r="O3006" t="s">
        <v>40</v>
      </c>
      <c r="P3006" t="s">
        <v>40</v>
      </c>
      <c r="Q3006" t="s">
        <v>40</v>
      </c>
      <c r="R3006" t="s">
        <v>40</v>
      </c>
      <c r="S3006" t="s">
        <v>40</v>
      </c>
      <c r="U3006" s="1">
        <v>43344</v>
      </c>
      <c r="V3006" t="s">
        <v>41</v>
      </c>
      <c r="W3006" t="s">
        <v>49</v>
      </c>
      <c r="X3006" t="str">
        <f>"1960001"</f>
        <v>1960001</v>
      </c>
      <c r="Y3006" t="s">
        <v>1272</v>
      </c>
      <c r="Z3006" t="s">
        <v>1268</v>
      </c>
      <c r="AA3006" t="s">
        <v>1269</v>
      </c>
      <c r="AB3006" t="s">
        <v>1270</v>
      </c>
      <c r="AC3006" t="s">
        <v>51</v>
      </c>
      <c r="AD3006" t="s">
        <v>45</v>
      </c>
      <c r="AE3006" s="1">
        <v>26593</v>
      </c>
      <c r="AF3006">
        <v>2</v>
      </c>
      <c r="AG3006" t="s">
        <v>1269</v>
      </c>
      <c r="AH3006" s="36">
        <f t="shared" si="46"/>
        <v>46.844444444444441</v>
      </c>
      <c r="AI3006" s="41" t="s">
        <v>1780</v>
      </c>
    </row>
    <row r="3007" spans="1:35" x14ac:dyDescent="0.25">
      <c r="A3007" s="36">
        <v>99913005</v>
      </c>
      <c r="B3007" s="17" t="s">
        <v>32</v>
      </c>
      <c r="C3007" t="s">
        <v>68</v>
      </c>
      <c r="D3007" t="s">
        <v>69</v>
      </c>
      <c r="G3007" s="17" t="s">
        <v>35</v>
      </c>
      <c r="H3007" s="17">
        <v>1</v>
      </c>
      <c r="K3007" t="s">
        <v>1325</v>
      </c>
      <c r="L3007" t="s">
        <v>1326</v>
      </c>
      <c r="M3007" t="s">
        <v>1270</v>
      </c>
      <c r="N3007">
        <v>18</v>
      </c>
      <c r="O3007" t="s">
        <v>40</v>
      </c>
      <c r="P3007" t="s">
        <v>40</v>
      </c>
      <c r="Q3007" t="s">
        <v>40</v>
      </c>
      <c r="R3007" t="s">
        <v>40</v>
      </c>
      <c r="S3007" t="s">
        <v>40</v>
      </c>
      <c r="V3007" t="s">
        <v>41</v>
      </c>
      <c r="W3007" t="s">
        <v>49</v>
      </c>
      <c r="X3007" t="str">
        <f>"3981100"</f>
        <v>3981100</v>
      </c>
      <c r="Y3007" t="s">
        <v>1327</v>
      </c>
      <c r="Z3007" t="s">
        <v>1325</v>
      </c>
      <c r="AA3007" t="s">
        <v>1326</v>
      </c>
      <c r="AB3007" t="s">
        <v>1270</v>
      </c>
      <c r="AC3007" t="s">
        <v>51</v>
      </c>
      <c r="AD3007" t="s">
        <v>45</v>
      </c>
      <c r="AE3007" s="1">
        <v>26593</v>
      </c>
      <c r="AF3007">
        <v>2</v>
      </c>
      <c r="AG3007" t="s">
        <v>1326</v>
      </c>
      <c r="AH3007" s="36">
        <f t="shared" si="46"/>
        <v>46.844444444444441</v>
      </c>
      <c r="AI3007" s="41" t="s">
        <v>1780</v>
      </c>
    </row>
    <row r="3008" spans="1:35" x14ac:dyDescent="0.25">
      <c r="A3008" s="36">
        <v>99913006</v>
      </c>
      <c r="B3008" s="17" t="s">
        <v>56</v>
      </c>
      <c r="C3008" t="s">
        <v>52</v>
      </c>
      <c r="D3008" t="s">
        <v>53</v>
      </c>
      <c r="G3008" s="17" t="s">
        <v>48</v>
      </c>
      <c r="H3008" s="17">
        <v>1</v>
      </c>
      <c r="K3008" t="s">
        <v>380</v>
      </c>
      <c r="L3008" t="s">
        <v>381</v>
      </c>
      <c r="M3008" t="s">
        <v>131</v>
      </c>
      <c r="N3008">
        <v>21</v>
      </c>
      <c r="O3008" t="s">
        <v>40</v>
      </c>
      <c r="P3008" t="s">
        <v>40</v>
      </c>
      <c r="Q3008" t="s">
        <v>40</v>
      </c>
      <c r="R3008" t="s">
        <v>40</v>
      </c>
      <c r="S3008" t="s">
        <v>40</v>
      </c>
      <c r="V3008" t="s">
        <v>41</v>
      </c>
      <c r="W3008" t="s">
        <v>49</v>
      </c>
      <c r="X3008" t="str">
        <f>"0580552"</f>
        <v>0580552</v>
      </c>
      <c r="Y3008" t="s">
        <v>386</v>
      </c>
      <c r="Z3008" t="s">
        <v>380</v>
      </c>
      <c r="AA3008" t="s">
        <v>381</v>
      </c>
      <c r="AB3008" t="s">
        <v>131</v>
      </c>
      <c r="AC3008" t="s">
        <v>51</v>
      </c>
      <c r="AD3008" t="s">
        <v>45</v>
      </c>
      <c r="AE3008" s="1">
        <v>26589</v>
      </c>
      <c r="AF3008">
        <v>2</v>
      </c>
      <c r="AG3008" t="s">
        <v>381</v>
      </c>
      <c r="AH3008" s="36">
        <f t="shared" si="46"/>
        <v>46.855555555555554</v>
      </c>
      <c r="AI3008" s="41" t="s">
        <v>1780</v>
      </c>
    </row>
    <row r="3009" spans="1:35" x14ac:dyDescent="0.25">
      <c r="A3009" s="36">
        <v>99913007</v>
      </c>
      <c r="B3009" s="17" t="s">
        <v>56</v>
      </c>
      <c r="C3009" t="s">
        <v>52</v>
      </c>
      <c r="D3009" t="s">
        <v>53</v>
      </c>
      <c r="G3009" s="17" t="s">
        <v>35</v>
      </c>
      <c r="H3009" s="17">
        <v>1</v>
      </c>
      <c r="I3009">
        <v>0</v>
      </c>
      <c r="J3009" s="1">
        <v>43344</v>
      </c>
      <c r="K3009" t="s">
        <v>223</v>
      </c>
      <c r="L3009" t="s">
        <v>224</v>
      </c>
      <c r="M3009" t="s">
        <v>131</v>
      </c>
      <c r="N3009">
        <v>8</v>
      </c>
      <c r="O3009" t="s">
        <v>40</v>
      </c>
      <c r="S3009" t="s">
        <v>40</v>
      </c>
      <c r="U3009" s="1">
        <v>43344</v>
      </c>
      <c r="V3009" t="s">
        <v>41</v>
      </c>
      <c r="W3009" t="s">
        <v>49</v>
      </c>
      <c r="X3009" t="str">
        <f>"0591901"</f>
        <v>0591901</v>
      </c>
      <c r="Y3009" t="s">
        <v>230</v>
      </c>
      <c r="Z3009" t="s">
        <v>223</v>
      </c>
      <c r="AA3009" t="s">
        <v>224</v>
      </c>
      <c r="AB3009" t="s">
        <v>131</v>
      </c>
      <c r="AC3009" t="s">
        <v>51</v>
      </c>
      <c r="AD3009" t="s">
        <v>45</v>
      </c>
      <c r="AE3009" s="1">
        <v>26588</v>
      </c>
      <c r="AF3009">
        <v>2</v>
      </c>
      <c r="AG3009" t="s">
        <v>224</v>
      </c>
      <c r="AH3009" s="36">
        <f t="shared" si="46"/>
        <v>46.858333333333334</v>
      </c>
      <c r="AI3009" s="41" t="s">
        <v>1780</v>
      </c>
    </row>
    <row r="3010" spans="1:35" x14ac:dyDescent="0.25">
      <c r="A3010" s="36">
        <v>99913008</v>
      </c>
      <c r="B3010" s="17" t="s">
        <v>32</v>
      </c>
      <c r="C3010" t="s">
        <v>145</v>
      </c>
      <c r="D3010" t="s">
        <v>146</v>
      </c>
      <c r="G3010" s="17" t="s">
        <v>48</v>
      </c>
      <c r="H3010" s="17">
        <v>1</v>
      </c>
      <c r="K3010" t="s">
        <v>936</v>
      </c>
      <c r="L3010" t="s">
        <v>937</v>
      </c>
      <c r="M3010" t="s">
        <v>938</v>
      </c>
      <c r="N3010">
        <v>7</v>
      </c>
      <c r="O3010" t="s">
        <v>40</v>
      </c>
      <c r="P3010" t="s">
        <v>40</v>
      </c>
      <c r="Q3010" t="s">
        <v>40</v>
      </c>
      <c r="S3010" t="s">
        <v>40</v>
      </c>
      <c r="V3010" t="s">
        <v>41</v>
      </c>
      <c r="W3010" t="s">
        <v>49</v>
      </c>
      <c r="X3010" t="str">
        <f>"0160075"</f>
        <v>0160075</v>
      </c>
      <c r="Y3010" t="s">
        <v>939</v>
      </c>
      <c r="Z3010" t="s">
        <v>936</v>
      </c>
      <c r="AA3010" t="s">
        <v>937</v>
      </c>
      <c r="AB3010" t="s">
        <v>938</v>
      </c>
      <c r="AC3010" t="s">
        <v>51</v>
      </c>
      <c r="AD3010" t="s">
        <v>45</v>
      </c>
      <c r="AE3010" s="1">
        <v>26588</v>
      </c>
      <c r="AF3010">
        <v>2</v>
      </c>
      <c r="AG3010" t="s">
        <v>937</v>
      </c>
      <c r="AH3010" s="36">
        <f t="shared" ref="AH3010:AH3073" si="47">($AJ$1-AE3010)/360</f>
        <v>46.858333333333334</v>
      </c>
      <c r="AI3010" s="41" t="s">
        <v>1780</v>
      </c>
    </row>
    <row r="3011" spans="1:35" x14ac:dyDescent="0.25">
      <c r="A3011" s="36">
        <v>99913009</v>
      </c>
      <c r="B3011" s="17" t="s">
        <v>56</v>
      </c>
      <c r="C3011" t="s">
        <v>52</v>
      </c>
      <c r="D3011" t="s">
        <v>53</v>
      </c>
      <c r="G3011" s="17" t="s">
        <v>88</v>
      </c>
      <c r="H3011" s="17">
        <v>4</v>
      </c>
      <c r="K3011" t="s">
        <v>157</v>
      </c>
      <c r="L3011" t="s">
        <v>158</v>
      </c>
      <c r="M3011" t="s">
        <v>131</v>
      </c>
      <c r="N3011">
        <v>17</v>
      </c>
      <c r="O3011" t="s">
        <v>40</v>
      </c>
      <c r="P3011" t="s">
        <v>40</v>
      </c>
      <c r="Q3011" t="s">
        <v>40</v>
      </c>
      <c r="R3011" t="s">
        <v>40</v>
      </c>
      <c r="S3011" t="s">
        <v>40</v>
      </c>
      <c r="V3011" t="s">
        <v>41</v>
      </c>
      <c r="W3011" t="s">
        <v>42</v>
      </c>
      <c r="X3011" t="str">
        <f>"0561004"</f>
        <v>0561004</v>
      </c>
      <c r="Y3011" t="s">
        <v>172</v>
      </c>
      <c r="Z3011" t="s">
        <v>157</v>
      </c>
      <c r="AA3011" t="s">
        <v>158</v>
      </c>
      <c r="AB3011" t="s">
        <v>131</v>
      </c>
      <c r="AC3011" t="s">
        <v>51</v>
      </c>
      <c r="AD3011" t="s">
        <v>45</v>
      </c>
      <c r="AE3011" s="1">
        <v>26586</v>
      </c>
      <c r="AF3011">
        <v>2</v>
      </c>
      <c r="AG3011" t="s">
        <v>158</v>
      </c>
      <c r="AH3011" s="36">
        <f t="shared" si="47"/>
        <v>46.863888888888887</v>
      </c>
      <c r="AI3011" s="41" t="s">
        <v>1780</v>
      </c>
    </row>
    <row r="3012" spans="1:35" x14ac:dyDescent="0.25">
      <c r="A3012" s="36">
        <v>99913010</v>
      </c>
      <c r="B3012" s="17" t="s">
        <v>32</v>
      </c>
      <c r="C3012" t="s">
        <v>71</v>
      </c>
      <c r="D3012" t="s">
        <v>72</v>
      </c>
      <c r="G3012" s="17" t="s">
        <v>48</v>
      </c>
      <c r="H3012" s="17">
        <v>1</v>
      </c>
      <c r="K3012" t="s">
        <v>223</v>
      </c>
      <c r="L3012" t="s">
        <v>224</v>
      </c>
      <c r="M3012" t="s">
        <v>131</v>
      </c>
      <c r="N3012">
        <v>21</v>
      </c>
      <c r="O3012" t="s">
        <v>40</v>
      </c>
      <c r="P3012" t="s">
        <v>40</v>
      </c>
      <c r="Q3012" t="s">
        <v>40</v>
      </c>
      <c r="R3012" t="s">
        <v>40</v>
      </c>
      <c r="S3012" t="s">
        <v>40</v>
      </c>
      <c r="V3012" t="s">
        <v>41</v>
      </c>
      <c r="W3012" t="s">
        <v>49</v>
      </c>
      <c r="X3012" t="str">
        <f>"0581206"</f>
        <v>0581206</v>
      </c>
      <c r="Y3012" t="s">
        <v>232</v>
      </c>
      <c r="Z3012" t="s">
        <v>223</v>
      </c>
      <c r="AA3012" t="s">
        <v>224</v>
      </c>
      <c r="AB3012" t="s">
        <v>131</v>
      </c>
      <c r="AC3012" t="s">
        <v>51</v>
      </c>
      <c r="AD3012" t="s">
        <v>45</v>
      </c>
      <c r="AE3012" s="1">
        <v>26584</v>
      </c>
      <c r="AF3012">
        <v>2</v>
      </c>
      <c r="AG3012" t="s">
        <v>224</v>
      </c>
      <c r="AH3012" s="36">
        <f t="shared" si="47"/>
        <v>46.869444444444447</v>
      </c>
      <c r="AI3012" s="41" t="s">
        <v>1780</v>
      </c>
    </row>
    <row r="3013" spans="1:35" x14ac:dyDescent="0.25">
      <c r="A3013" s="36">
        <v>99913011</v>
      </c>
      <c r="B3013" s="17" t="s">
        <v>32</v>
      </c>
      <c r="C3013" t="s">
        <v>64</v>
      </c>
      <c r="D3013" t="s">
        <v>65</v>
      </c>
      <c r="G3013" s="17" t="s">
        <v>48</v>
      </c>
      <c r="H3013" s="17">
        <v>1</v>
      </c>
      <c r="K3013" t="s">
        <v>354</v>
      </c>
      <c r="L3013" t="s">
        <v>355</v>
      </c>
      <c r="M3013" t="s">
        <v>131</v>
      </c>
      <c r="N3013">
        <v>22</v>
      </c>
      <c r="O3013" t="s">
        <v>40</v>
      </c>
      <c r="P3013" t="s">
        <v>40</v>
      </c>
      <c r="Q3013" t="s">
        <v>40</v>
      </c>
      <c r="S3013" t="s">
        <v>40</v>
      </c>
      <c r="V3013" t="s">
        <v>41</v>
      </c>
      <c r="W3013" t="s">
        <v>75</v>
      </c>
      <c r="X3013" t="str">
        <f>"7054022"</f>
        <v>7054022</v>
      </c>
      <c r="Y3013" t="s">
        <v>770</v>
      </c>
      <c r="Z3013" t="s">
        <v>354</v>
      </c>
      <c r="AA3013" t="s">
        <v>355</v>
      </c>
      <c r="AB3013" t="s">
        <v>131</v>
      </c>
      <c r="AC3013" t="s">
        <v>51</v>
      </c>
      <c r="AD3013" t="s">
        <v>45</v>
      </c>
      <c r="AE3013" s="1">
        <v>26581</v>
      </c>
      <c r="AF3013">
        <v>1</v>
      </c>
      <c r="AG3013" t="s">
        <v>355</v>
      </c>
      <c r="AH3013" s="36">
        <f t="shared" si="47"/>
        <v>46.87777777777778</v>
      </c>
      <c r="AI3013" s="41" t="s">
        <v>1780</v>
      </c>
    </row>
    <row r="3014" spans="1:35" x14ac:dyDescent="0.25">
      <c r="A3014" s="36">
        <v>99913012</v>
      </c>
      <c r="B3014" s="17" t="s">
        <v>56</v>
      </c>
      <c r="C3014" t="s">
        <v>58</v>
      </c>
      <c r="D3014" t="s">
        <v>59</v>
      </c>
      <c r="G3014" s="17" t="s">
        <v>35</v>
      </c>
      <c r="H3014" s="17">
        <v>1</v>
      </c>
      <c r="K3014" t="s">
        <v>1546</v>
      </c>
      <c r="L3014" t="s">
        <v>1547</v>
      </c>
      <c r="M3014" t="s">
        <v>1548</v>
      </c>
      <c r="N3014">
        <v>23</v>
      </c>
      <c r="O3014" t="s">
        <v>40</v>
      </c>
      <c r="P3014" t="s">
        <v>40</v>
      </c>
      <c r="Q3014" t="s">
        <v>40</v>
      </c>
      <c r="S3014" t="s">
        <v>40</v>
      </c>
      <c r="V3014" t="s">
        <v>41</v>
      </c>
      <c r="W3014" t="s">
        <v>42</v>
      </c>
      <c r="X3014" t="str">
        <f>"1061001"</f>
        <v>1061001</v>
      </c>
      <c r="Y3014" t="s">
        <v>1550</v>
      </c>
      <c r="Z3014" t="s">
        <v>1546</v>
      </c>
      <c r="AA3014" t="s">
        <v>1547</v>
      </c>
      <c r="AB3014" t="s">
        <v>1548</v>
      </c>
      <c r="AC3014" t="s">
        <v>165</v>
      </c>
      <c r="AD3014" t="s">
        <v>45</v>
      </c>
      <c r="AE3014" s="1">
        <v>26581</v>
      </c>
      <c r="AF3014">
        <v>2</v>
      </c>
      <c r="AG3014" t="s">
        <v>1547</v>
      </c>
      <c r="AH3014" s="36">
        <f t="shared" si="47"/>
        <v>46.87777777777778</v>
      </c>
      <c r="AI3014" s="41" t="s">
        <v>1780</v>
      </c>
    </row>
    <row r="3015" spans="1:35" x14ac:dyDescent="0.25">
      <c r="A3015" s="36">
        <v>99913013</v>
      </c>
      <c r="B3015" s="17" t="s">
        <v>32</v>
      </c>
      <c r="C3015" t="s">
        <v>46</v>
      </c>
      <c r="D3015" t="s">
        <v>47</v>
      </c>
      <c r="G3015" s="17" t="s">
        <v>48</v>
      </c>
      <c r="H3015" s="17">
        <v>1</v>
      </c>
      <c r="K3015" t="s">
        <v>223</v>
      </c>
      <c r="L3015" t="s">
        <v>224</v>
      </c>
      <c r="M3015" t="s">
        <v>131</v>
      </c>
      <c r="N3015">
        <v>20</v>
      </c>
      <c r="O3015" t="s">
        <v>40</v>
      </c>
      <c r="P3015" t="s">
        <v>40</v>
      </c>
      <c r="Q3015" t="s">
        <v>40</v>
      </c>
      <c r="R3015" t="s">
        <v>40</v>
      </c>
      <c r="S3015" t="s">
        <v>40</v>
      </c>
      <c r="V3015" t="s">
        <v>41</v>
      </c>
      <c r="W3015" t="s">
        <v>42</v>
      </c>
      <c r="X3015" t="str">
        <f>"0580202"</f>
        <v>0580202</v>
      </c>
      <c r="Y3015" t="s">
        <v>240</v>
      </c>
      <c r="Z3015" t="s">
        <v>223</v>
      </c>
      <c r="AA3015" t="s">
        <v>224</v>
      </c>
      <c r="AB3015" t="s">
        <v>131</v>
      </c>
      <c r="AC3015" t="s">
        <v>165</v>
      </c>
      <c r="AD3015" t="s">
        <v>45</v>
      </c>
      <c r="AE3015" s="1">
        <v>26580</v>
      </c>
      <c r="AF3015">
        <v>2</v>
      </c>
      <c r="AG3015" t="s">
        <v>224</v>
      </c>
      <c r="AH3015" s="36">
        <f t="shared" si="47"/>
        <v>46.880555555555553</v>
      </c>
      <c r="AI3015" s="41" t="s">
        <v>1780</v>
      </c>
    </row>
    <row r="3016" spans="1:35" x14ac:dyDescent="0.25">
      <c r="A3016" s="36">
        <v>99913014</v>
      </c>
      <c r="B3016" s="17" t="s">
        <v>32</v>
      </c>
      <c r="C3016" t="s">
        <v>64</v>
      </c>
      <c r="D3016" t="s">
        <v>65</v>
      </c>
      <c r="G3016" s="17" t="s">
        <v>35</v>
      </c>
      <c r="H3016" s="17">
        <v>1</v>
      </c>
      <c r="I3016" t="s">
        <v>348</v>
      </c>
      <c r="J3016" s="1">
        <v>43344</v>
      </c>
      <c r="K3016" t="s">
        <v>345</v>
      </c>
      <c r="L3016" t="s">
        <v>346</v>
      </c>
      <c r="M3016" t="s">
        <v>131</v>
      </c>
      <c r="N3016">
        <v>20</v>
      </c>
      <c r="O3016" t="s">
        <v>40</v>
      </c>
      <c r="S3016" t="s">
        <v>40</v>
      </c>
      <c r="U3016" s="1">
        <v>43344</v>
      </c>
      <c r="V3016" t="s">
        <v>41</v>
      </c>
      <c r="W3016" t="s">
        <v>42</v>
      </c>
      <c r="X3016" t="str">
        <f>"0580155"</f>
        <v>0580155</v>
      </c>
      <c r="Y3016" t="s">
        <v>365</v>
      </c>
      <c r="Z3016" t="s">
        <v>345</v>
      </c>
      <c r="AA3016" t="s">
        <v>346</v>
      </c>
      <c r="AB3016" t="s">
        <v>131</v>
      </c>
      <c r="AC3016" t="s">
        <v>51</v>
      </c>
      <c r="AD3016" t="s">
        <v>45</v>
      </c>
      <c r="AE3016" s="1">
        <v>26580</v>
      </c>
      <c r="AF3016">
        <v>2</v>
      </c>
      <c r="AG3016" t="s">
        <v>346</v>
      </c>
      <c r="AH3016" s="36">
        <f t="shared" si="47"/>
        <v>46.880555555555553</v>
      </c>
      <c r="AI3016" s="41" t="s">
        <v>1780</v>
      </c>
    </row>
    <row r="3017" spans="1:35" x14ac:dyDescent="0.25">
      <c r="A3017" s="36">
        <v>99913015</v>
      </c>
      <c r="B3017" s="17" t="s">
        <v>32</v>
      </c>
      <c r="C3017" t="s">
        <v>46</v>
      </c>
      <c r="D3017" t="s">
        <v>47</v>
      </c>
      <c r="G3017" s="17" t="s">
        <v>35</v>
      </c>
      <c r="H3017" s="17">
        <v>1</v>
      </c>
      <c r="K3017" t="s">
        <v>223</v>
      </c>
      <c r="L3017" t="s">
        <v>224</v>
      </c>
      <c r="M3017" t="s">
        <v>131</v>
      </c>
      <c r="N3017">
        <v>20</v>
      </c>
      <c r="O3017" t="s">
        <v>40</v>
      </c>
      <c r="P3017" t="s">
        <v>40</v>
      </c>
      <c r="Q3017" t="s">
        <v>40</v>
      </c>
      <c r="R3017" t="s">
        <v>40</v>
      </c>
      <c r="S3017" t="s">
        <v>40</v>
      </c>
      <c r="V3017" t="s">
        <v>41</v>
      </c>
      <c r="W3017" t="s">
        <v>49</v>
      </c>
      <c r="X3017" t="str">
        <f>"0560018"</f>
        <v>0560018</v>
      </c>
      <c r="Y3017" t="s">
        <v>234</v>
      </c>
      <c r="Z3017" t="s">
        <v>223</v>
      </c>
      <c r="AA3017" t="s">
        <v>224</v>
      </c>
      <c r="AB3017" t="s">
        <v>131</v>
      </c>
      <c r="AC3017" t="s">
        <v>51</v>
      </c>
      <c r="AD3017" t="s">
        <v>45</v>
      </c>
      <c r="AE3017" s="1">
        <v>26577</v>
      </c>
      <c r="AF3017">
        <v>2</v>
      </c>
      <c r="AG3017" t="s">
        <v>224</v>
      </c>
      <c r="AH3017" s="36">
        <f t="shared" si="47"/>
        <v>46.888888888888886</v>
      </c>
      <c r="AI3017" s="41" t="s">
        <v>1780</v>
      </c>
    </row>
    <row r="3018" spans="1:35" x14ac:dyDescent="0.25">
      <c r="A3018" s="36">
        <v>99913016</v>
      </c>
      <c r="B3018" s="17" t="s">
        <v>32</v>
      </c>
      <c r="C3018" t="s">
        <v>64</v>
      </c>
      <c r="D3018" t="s">
        <v>65</v>
      </c>
      <c r="G3018" s="17" t="s">
        <v>35</v>
      </c>
      <c r="H3018" s="17">
        <v>1</v>
      </c>
      <c r="K3018" t="s">
        <v>223</v>
      </c>
      <c r="L3018" t="s">
        <v>224</v>
      </c>
      <c r="M3018" t="s">
        <v>131</v>
      </c>
      <c r="N3018">
        <v>15</v>
      </c>
      <c r="O3018" t="s">
        <v>40</v>
      </c>
      <c r="P3018" t="s">
        <v>40</v>
      </c>
      <c r="Q3018" t="s">
        <v>40</v>
      </c>
      <c r="S3018" t="s">
        <v>40</v>
      </c>
      <c r="V3018" t="s">
        <v>41</v>
      </c>
      <c r="W3018" t="s">
        <v>42</v>
      </c>
      <c r="X3018" t="str">
        <f>"0590903"</f>
        <v>0590903</v>
      </c>
      <c r="Y3018" t="s">
        <v>226</v>
      </c>
      <c r="Z3018" t="s">
        <v>223</v>
      </c>
      <c r="AA3018" t="s">
        <v>224</v>
      </c>
      <c r="AB3018" t="s">
        <v>131</v>
      </c>
      <c r="AC3018" t="s">
        <v>51</v>
      </c>
      <c r="AD3018" t="s">
        <v>45</v>
      </c>
      <c r="AE3018" s="1">
        <v>26572</v>
      </c>
      <c r="AF3018">
        <v>2</v>
      </c>
      <c r="AG3018" t="s">
        <v>224</v>
      </c>
      <c r="AH3018" s="36">
        <f t="shared" si="47"/>
        <v>46.902777777777779</v>
      </c>
      <c r="AI3018" s="41" t="s">
        <v>1780</v>
      </c>
    </row>
    <row r="3019" spans="1:35" x14ac:dyDescent="0.25">
      <c r="A3019" s="36">
        <v>99913017</v>
      </c>
      <c r="B3019" s="17" t="s">
        <v>32</v>
      </c>
      <c r="C3019" t="s">
        <v>46</v>
      </c>
      <c r="D3019" t="s">
        <v>47</v>
      </c>
      <c r="G3019" s="17" t="s">
        <v>35</v>
      </c>
      <c r="H3019" s="17">
        <v>1</v>
      </c>
      <c r="K3019" t="s">
        <v>223</v>
      </c>
      <c r="L3019" t="s">
        <v>224</v>
      </c>
      <c r="M3019" t="s">
        <v>131</v>
      </c>
      <c r="N3019">
        <v>20</v>
      </c>
      <c r="O3019" t="s">
        <v>40</v>
      </c>
      <c r="P3019" t="s">
        <v>40</v>
      </c>
      <c r="Q3019" t="s">
        <v>40</v>
      </c>
      <c r="R3019" t="s">
        <v>40</v>
      </c>
      <c r="S3019" t="s">
        <v>40</v>
      </c>
      <c r="V3019" t="s">
        <v>41</v>
      </c>
      <c r="W3019" t="s">
        <v>42</v>
      </c>
      <c r="X3019" t="str">
        <f>"0580396"</f>
        <v>0580396</v>
      </c>
      <c r="Y3019" t="s">
        <v>255</v>
      </c>
      <c r="Z3019" t="s">
        <v>223</v>
      </c>
      <c r="AA3019" t="s">
        <v>224</v>
      </c>
      <c r="AB3019" t="s">
        <v>131</v>
      </c>
      <c r="AC3019" t="s">
        <v>51</v>
      </c>
      <c r="AD3019" t="s">
        <v>45</v>
      </c>
      <c r="AE3019" s="1">
        <v>26571</v>
      </c>
      <c r="AF3019">
        <v>2</v>
      </c>
      <c r="AG3019" t="s">
        <v>224</v>
      </c>
      <c r="AH3019" s="36">
        <f t="shared" si="47"/>
        <v>46.905555555555559</v>
      </c>
      <c r="AI3019" s="41" t="s">
        <v>1780</v>
      </c>
    </row>
    <row r="3020" spans="1:35" x14ac:dyDescent="0.25">
      <c r="A3020" s="36">
        <v>99913018</v>
      </c>
      <c r="B3020" s="17" t="s">
        <v>32</v>
      </c>
      <c r="C3020" t="s">
        <v>46</v>
      </c>
      <c r="D3020" t="s">
        <v>47</v>
      </c>
      <c r="G3020" s="17" t="s">
        <v>35</v>
      </c>
      <c r="H3020" s="17">
        <v>1</v>
      </c>
      <c r="K3020" t="s">
        <v>300</v>
      </c>
      <c r="L3020" t="s">
        <v>301</v>
      </c>
      <c r="M3020" t="s">
        <v>131</v>
      </c>
      <c r="N3020">
        <v>22</v>
      </c>
      <c r="O3020" t="s">
        <v>40</v>
      </c>
      <c r="P3020" t="s">
        <v>40</v>
      </c>
      <c r="Q3020" t="s">
        <v>40</v>
      </c>
      <c r="R3020" t="s">
        <v>40</v>
      </c>
      <c r="S3020" t="s">
        <v>40</v>
      </c>
      <c r="V3020" t="s">
        <v>41</v>
      </c>
      <c r="W3020" t="s">
        <v>42</v>
      </c>
      <c r="X3020" t="str">
        <f>"0580457"</f>
        <v>0580457</v>
      </c>
      <c r="Y3020" t="s">
        <v>310</v>
      </c>
      <c r="Z3020" t="s">
        <v>300</v>
      </c>
      <c r="AA3020" t="s">
        <v>301</v>
      </c>
      <c r="AB3020" t="s">
        <v>131</v>
      </c>
      <c r="AC3020" t="s">
        <v>51</v>
      </c>
      <c r="AD3020" t="s">
        <v>45</v>
      </c>
      <c r="AE3020" s="1">
        <v>26571</v>
      </c>
      <c r="AF3020">
        <v>2</v>
      </c>
      <c r="AG3020" t="s">
        <v>301</v>
      </c>
      <c r="AH3020" s="36">
        <f t="shared" si="47"/>
        <v>46.905555555555559</v>
      </c>
      <c r="AI3020" s="41" t="s">
        <v>1780</v>
      </c>
    </row>
    <row r="3021" spans="1:35" x14ac:dyDescent="0.25">
      <c r="A3021" s="36">
        <v>99913019</v>
      </c>
      <c r="B3021" s="17" t="s">
        <v>32</v>
      </c>
      <c r="C3021" t="s">
        <v>111</v>
      </c>
      <c r="D3021" t="s">
        <v>112</v>
      </c>
      <c r="G3021" s="17" t="s">
        <v>48</v>
      </c>
      <c r="H3021" s="17">
        <v>1</v>
      </c>
      <c r="K3021" t="s">
        <v>431</v>
      </c>
      <c r="L3021" t="s">
        <v>196</v>
      </c>
      <c r="M3021" t="s">
        <v>131</v>
      </c>
      <c r="N3021">
        <v>22</v>
      </c>
      <c r="O3021" t="s">
        <v>40</v>
      </c>
      <c r="P3021" t="s">
        <v>40</v>
      </c>
      <c r="Q3021" t="s">
        <v>40</v>
      </c>
      <c r="R3021" t="s">
        <v>40</v>
      </c>
      <c r="S3021" t="s">
        <v>40</v>
      </c>
      <c r="V3021" t="s">
        <v>41</v>
      </c>
      <c r="W3021" t="s">
        <v>75</v>
      </c>
      <c r="X3021" t="str">
        <f>"7521016"</f>
        <v>7521016</v>
      </c>
      <c r="Y3021" t="s">
        <v>448</v>
      </c>
      <c r="Z3021" t="s">
        <v>431</v>
      </c>
      <c r="AA3021" t="s">
        <v>196</v>
      </c>
      <c r="AB3021" t="s">
        <v>131</v>
      </c>
      <c r="AC3021" t="s">
        <v>51</v>
      </c>
      <c r="AD3021" t="s">
        <v>45</v>
      </c>
      <c r="AE3021" s="1">
        <v>26569</v>
      </c>
      <c r="AF3021">
        <v>1</v>
      </c>
      <c r="AG3021" t="s">
        <v>196</v>
      </c>
      <c r="AH3021" s="36">
        <f t="shared" si="47"/>
        <v>46.911111111111111</v>
      </c>
      <c r="AI3021" s="41" t="s">
        <v>1780</v>
      </c>
    </row>
    <row r="3022" spans="1:35" x14ac:dyDescent="0.25">
      <c r="A3022" s="36">
        <v>99913020</v>
      </c>
      <c r="B3022" s="17" t="s">
        <v>32</v>
      </c>
      <c r="C3022" t="s">
        <v>85</v>
      </c>
      <c r="D3022" t="s">
        <v>86</v>
      </c>
      <c r="G3022" s="17" t="s">
        <v>48</v>
      </c>
      <c r="H3022" s="17">
        <v>1</v>
      </c>
      <c r="K3022" t="s">
        <v>300</v>
      </c>
      <c r="L3022" t="s">
        <v>301</v>
      </c>
      <c r="M3022" t="s">
        <v>131</v>
      </c>
      <c r="N3022">
        <v>14</v>
      </c>
      <c r="O3022" t="s">
        <v>40</v>
      </c>
      <c r="P3022" t="s">
        <v>40</v>
      </c>
      <c r="Q3022" t="s">
        <v>40</v>
      </c>
      <c r="R3022" t="s">
        <v>40</v>
      </c>
      <c r="S3022" t="s">
        <v>40</v>
      </c>
      <c r="V3022" t="s">
        <v>41</v>
      </c>
      <c r="W3022" t="s">
        <v>42</v>
      </c>
      <c r="X3022" t="str">
        <f>"0580106"</f>
        <v>0580106</v>
      </c>
      <c r="Y3022" t="s">
        <v>306</v>
      </c>
      <c r="Z3022" t="s">
        <v>300</v>
      </c>
      <c r="AA3022" t="s">
        <v>301</v>
      </c>
      <c r="AB3022" t="s">
        <v>131</v>
      </c>
      <c r="AC3022" t="s">
        <v>51</v>
      </c>
      <c r="AD3022" t="s">
        <v>45</v>
      </c>
      <c r="AE3022" s="1">
        <v>26563</v>
      </c>
      <c r="AF3022">
        <v>2</v>
      </c>
      <c r="AG3022" t="s">
        <v>301</v>
      </c>
      <c r="AH3022" s="36">
        <f t="shared" si="47"/>
        <v>46.927777777777777</v>
      </c>
      <c r="AI3022" s="41" t="s">
        <v>1780</v>
      </c>
    </row>
    <row r="3023" spans="1:35" x14ac:dyDescent="0.25">
      <c r="A3023" s="36">
        <v>99913021</v>
      </c>
      <c r="B3023" s="17" t="s">
        <v>32</v>
      </c>
      <c r="C3023" t="s">
        <v>90</v>
      </c>
      <c r="D3023" t="s">
        <v>91</v>
      </c>
      <c r="G3023" s="17" t="s">
        <v>48</v>
      </c>
      <c r="H3023" s="17">
        <v>1</v>
      </c>
      <c r="K3023" t="s">
        <v>195</v>
      </c>
      <c r="L3023" t="s">
        <v>196</v>
      </c>
      <c r="M3023" t="s">
        <v>131</v>
      </c>
      <c r="N3023">
        <v>25</v>
      </c>
      <c r="O3023" t="s">
        <v>40</v>
      </c>
      <c r="P3023" t="s">
        <v>40</v>
      </c>
      <c r="Q3023" t="s">
        <v>40</v>
      </c>
      <c r="S3023" t="s">
        <v>40</v>
      </c>
      <c r="V3023" t="s">
        <v>41</v>
      </c>
      <c r="W3023" t="s">
        <v>95</v>
      </c>
      <c r="X3023" t="str">
        <f>"7521021"</f>
        <v>7521021</v>
      </c>
      <c r="Y3023" t="s">
        <v>458</v>
      </c>
      <c r="Z3023" t="s">
        <v>195</v>
      </c>
      <c r="AA3023" t="s">
        <v>196</v>
      </c>
      <c r="AB3023" t="s">
        <v>131</v>
      </c>
      <c r="AC3023" t="s">
        <v>51</v>
      </c>
      <c r="AD3023" t="s">
        <v>45</v>
      </c>
      <c r="AE3023" s="1">
        <v>26563</v>
      </c>
      <c r="AF3023">
        <v>1</v>
      </c>
      <c r="AG3023" t="s">
        <v>196</v>
      </c>
      <c r="AH3023" s="36">
        <f t="shared" si="47"/>
        <v>46.927777777777777</v>
      </c>
      <c r="AI3023" s="41" t="s">
        <v>1780</v>
      </c>
    </row>
    <row r="3024" spans="1:35" x14ac:dyDescent="0.25">
      <c r="A3024" s="36">
        <v>99913022</v>
      </c>
      <c r="B3024" s="17" t="s">
        <v>56</v>
      </c>
      <c r="C3024" t="s">
        <v>52</v>
      </c>
      <c r="D3024" t="s">
        <v>53</v>
      </c>
      <c r="G3024" s="17" t="s">
        <v>35</v>
      </c>
      <c r="H3024" s="17">
        <v>1</v>
      </c>
      <c r="K3024" t="s">
        <v>223</v>
      </c>
      <c r="L3024" t="s">
        <v>224</v>
      </c>
      <c r="M3024" t="s">
        <v>131</v>
      </c>
      <c r="N3024">
        <v>23</v>
      </c>
      <c r="O3024" t="s">
        <v>40</v>
      </c>
      <c r="P3024" t="s">
        <v>40</v>
      </c>
      <c r="Q3024" t="s">
        <v>40</v>
      </c>
      <c r="R3024" t="s">
        <v>40</v>
      </c>
      <c r="S3024" t="s">
        <v>40</v>
      </c>
      <c r="V3024" t="s">
        <v>41</v>
      </c>
      <c r="W3024" t="s">
        <v>42</v>
      </c>
      <c r="X3024" t="str">
        <f>"0590901"</f>
        <v>0590901</v>
      </c>
      <c r="Y3024" t="s">
        <v>242</v>
      </c>
      <c r="Z3024" t="s">
        <v>223</v>
      </c>
      <c r="AA3024" t="s">
        <v>224</v>
      </c>
      <c r="AB3024" t="s">
        <v>131</v>
      </c>
      <c r="AC3024" t="s">
        <v>51</v>
      </c>
      <c r="AD3024" t="s">
        <v>45</v>
      </c>
      <c r="AE3024" s="1">
        <v>26560</v>
      </c>
      <c r="AF3024">
        <v>2</v>
      </c>
      <c r="AG3024" t="s">
        <v>224</v>
      </c>
      <c r="AH3024" s="36">
        <f t="shared" si="47"/>
        <v>46.93611111111111</v>
      </c>
      <c r="AI3024" s="41" t="s">
        <v>1780</v>
      </c>
    </row>
    <row r="3025" spans="1:35" x14ac:dyDescent="0.25">
      <c r="A3025" s="36">
        <v>99913023</v>
      </c>
      <c r="B3025" s="17" t="s">
        <v>32</v>
      </c>
      <c r="C3025" t="s">
        <v>82</v>
      </c>
      <c r="D3025" t="s">
        <v>83</v>
      </c>
      <c r="G3025" s="17" t="s">
        <v>35</v>
      </c>
      <c r="H3025" s="17">
        <v>1</v>
      </c>
      <c r="I3025">
        <v>0</v>
      </c>
      <c r="J3025" s="1">
        <v>43344</v>
      </c>
      <c r="K3025" t="s">
        <v>223</v>
      </c>
      <c r="L3025" t="s">
        <v>224</v>
      </c>
      <c r="M3025" t="s">
        <v>131</v>
      </c>
      <c r="N3025">
        <v>18</v>
      </c>
      <c r="O3025" t="s">
        <v>40</v>
      </c>
      <c r="P3025" t="s">
        <v>40</v>
      </c>
      <c r="Q3025" t="s">
        <v>40</v>
      </c>
      <c r="R3025" t="s">
        <v>40</v>
      </c>
      <c r="S3025" t="s">
        <v>40</v>
      </c>
      <c r="U3025" s="1">
        <v>43344</v>
      </c>
      <c r="V3025" t="s">
        <v>41</v>
      </c>
      <c r="W3025" t="s">
        <v>49</v>
      </c>
      <c r="X3025" t="str">
        <f>"0581207"</f>
        <v>0581207</v>
      </c>
      <c r="Y3025" t="s">
        <v>233</v>
      </c>
      <c r="Z3025" t="s">
        <v>223</v>
      </c>
      <c r="AA3025" t="s">
        <v>224</v>
      </c>
      <c r="AB3025" t="s">
        <v>131</v>
      </c>
      <c r="AC3025" t="s">
        <v>44</v>
      </c>
      <c r="AD3025" t="s">
        <v>45</v>
      </c>
      <c r="AE3025" s="1">
        <v>26558</v>
      </c>
      <c r="AF3025">
        <v>2</v>
      </c>
      <c r="AG3025" t="s">
        <v>224</v>
      </c>
      <c r="AH3025" s="36">
        <f t="shared" si="47"/>
        <v>46.94166666666667</v>
      </c>
      <c r="AI3025" s="41" t="s">
        <v>1780</v>
      </c>
    </row>
    <row r="3026" spans="1:35" x14ac:dyDescent="0.25">
      <c r="A3026" s="36">
        <v>99913024</v>
      </c>
      <c r="B3026" s="17" t="s">
        <v>32</v>
      </c>
      <c r="C3026" t="s">
        <v>64</v>
      </c>
      <c r="D3026" t="s">
        <v>65</v>
      </c>
      <c r="G3026" s="17" t="s">
        <v>35</v>
      </c>
      <c r="H3026" s="17">
        <v>11</v>
      </c>
      <c r="K3026" t="s">
        <v>268</v>
      </c>
      <c r="L3026" t="s">
        <v>269</v>
      </c>
      <c r="M3026" t="s">
        <v>131</v>
      </c>
      <c r="N3026">
        <v>22</v>
      </c>
      <c r="O3026" t="s">
        <v>40</v>
      </c>
      <c r="P3026" t="s">
        <v>40</v>
      </c>
      <c r="Q3026" t="s">
        <v>40</v>
      </c>
      <c r="R3026" t="s">
        <v>40</v>
      </c>
      <c r="S3026" t="s">
        <v>40</v>
      </c>
      <c r="V3026" t="s">
        <v>41</v>
      </c>
      <c r="W3026" t="s">
        <v>75</v>
      </c>
      <c r="X3026" t="str">
        <f>"7052004"</f>
        <v>7052004</v>
      </c>
      <c r="Y3026" t="s">
        <v>584</v>
      </c>
      <c r="Z3026" t="s">
        <v>268</v>
      </c>
      <c r="AA3026" t="s">
        <v>269</v>
      </c>
      <c r="AB3026" t="s">
        <v>131</v>
      </c>
      <c r="AC3026" t="s">
        <v>51</v>
      </c>
      <c r="AD3026" t="s">
        <v>45</v>
      </c>
      <c r="AE3026" s="1">
        <v>26558</v>
      </c>
      <c r="AF3026">
        <v>1</v>
      </c>
      <c r="AG3026" t="s">
        <v>269</v>
      </c>
      <c r="AH3026" s="36">
        <f t="shared" si="47"/>
        <v>46.94166666666667</v>
      </c>
      <c r="AI3026" s="41" t="s">
        <v>1780</v>
      </c>
    </row>
    <row r="3027" spans="1:35" x14ac:dyDescent="0.25">
      <c r="A3027" s="36">
        <v>99913025</v>
      </c>
      <c r="B3027" s="17" t="s">
        <v>32</v>
      </c>
      <c r="C3027" t="s">
        <v>46</v>
      </c>
      <c r="D3027" t="s">
        <v>47</v>
      </c>
      <c r="G3027" s="17" t="s">
        <v>48</v>
      </c>
      <c r="H3027" s="17">
        <v>1</v>
      </c>
      <c r="K3027" t="s">
        <v>380</v>
      </c>
      <c r="L3027" t="s">
        <v>381</v>
      </c>
      <c r="M3027" t="s">
        <v>131</v>
      </c>
      <c r="N3027">
        <v>18</v>
      </c>
      <c r="O3027" t="s">
        <v>40</v>
      </c>
      <c r="P3027" t="s">
        <v>40</v>
      </c>
      <c r="Q3027" t="s">
        <v>40</v>
      </c>
      <c r="R3027" t="s">
        <v>40</v>
      </c>
      <c r="S3027" t="s">
        <v>40</v>
      </c>
      <c r="V3027" t="s">
        <v>41</v>
      </c>
      <c r="W3027" t="s">
        <v>49</v>
      </c>
      <c r="X3027" t="str">
        <f>"0591909"</f>
        <v>0591909</v>
      </c>
      <c r="Y3027" t="s">
        <v>385</v>
      </c>
      <c r="Z3027" t="s">
        <v>380</v>
      </c>
      <c r="AA3027" t="s">
        <v>381</v>
      </c>
      <c r="AB3027" t="s">
        <v>131</v>
      </c>
      <c r="AC3027" t="s">
        <v>51</v>
      </c>
      <c r="AD3027" t="s">
        <v>45</v>
      </c>
      <c r="AE3027" s="1">
        <v>26556</v>
      </c>
      <c r="AF3027">
        <v>2</v>
      </c>
      <c r="AG3027" t="s">
        <v>381</v>
      </c>
      <c r="AH3027" s="36">
        <f t="shared" si="47"/>
        <v>46.947222222222223</v>
      </c>
      <c r="AI3027" s="41" t="s">
        <v>1780</v>
      </c>
    </row>
    <row r="3028" spans="1:35" x14ac:dyDescent="0.25">
      <c r="A3028" s="36">
        <v>99913026</v>
      </c>
      <c r="B3028" s="17" t="s">
        <v>32</v>
      </c>
      <c r="C3028" t="s">
        <v>111</v>
      </c>
      <c r="D3028" t="s">
        <v>112</v>
      </c>
      <c r="G3028" s="17" t="s">
        <v>35</v>
      </c>
      <c r="H3028" s="17">
        <v>1</v>
      </c>
      <c r="K3028" t="s">
        <v>268</v>
      </c>
      <c r="L3028" t="s">
        <v>269</v>
      </c>
      <c r="M3028" t="s">
        <v>131</v>
      </c>
      <c r="N3028">
        <v>23</v>
      </c>
      <c r="O3028" t="s">
        <v>40</v>
      </c>
      <c r="P3028" t="s">
        <v>40</v>
      </c>
      <c r="Q3028" t="s">
        <v>40</v>
      </c>
      <c r="S3028" t="s">
        <v>40</v>
      </c>
      <c r="V3028" t="s">
        <v>41</v>
      </c>
      <c r="W3028" t="s">
        <v>75</v>
      </c>
      <c r="X3028" t="str">
        <f>"7052008"</f>
        <v>7052008</v>
      </c>
      <c r="Y3028" t="s">
        <v>274</v>
      </c>
      <c r="Z3028" t="s">
        <v>268</v>
      </c>
      <c r="AA3028" t="s">
        <v>269</v>
      </c>
      <c r="AB3028" t="s">
        <v>131</v>
      </c>
      <c r="AC3028" t="s">
        <v>51</v>
      </c>
      <c r="AD3028" t="s">
        <v>45</v>
      </c>
      <c r="AE3028" s="1">
        <v>26555</v>
      </c>
      <c r="AF3028">
        <v>1</v>
      </c>
      <c r="AG3028" t="s">
        <v>269</v>
      </c>
      <c r="AH3028" s="36">
        <f t="shared" si="47"/>
        <v>46.95</v>
      </c>
      <c r="AI3028" s="41" t="s">
        <v>1780</v>
      </c>
    </row>
    <row r="3029" spans="1:35" x14ac:dyDescent="0.25">
      <c r="A3029" s="36">
        <v>99913027</v>
      </c>
      <c r="B3029" s="17" t="s">
        <v>32</v>
      </c>
      <c r="C3029" t="s">
        <v>46</v>
      </c>
      <c r="D3029" t="s">
        <v>47</v>
      </c>
      <c r="G3029" s="17" t="s">
        <v>35</v>
      </c>
      <c r="H3029" s="17">
        <v>1</v>
      </c>
      <c r="J3029" s="1">
        <v>38230</v>
      </c>
      <c r="K3029" t="s">
        <v>1336</v>
      </c>
      <c r="L3029" t="s">
        <v>1337</v>
      </c>
      <c r="M3029" t="s">
        <v>1270</v>
      </c>
      <c r="N3029">
        <v>15</v>
      </c>
      <c r="O3029" t="s">
        <v>40</v>
      </c>
      <c r="P3029" t="s">
        <v>40</v>
      </c>
      <c r="Q3029" t="s">
        <v>40</v>
      </c>
      <c r="R3029" t="s">
        <v>40</v>
      </c>
      <c r="S3029" t="s">
        <v>40</v>
      </c>
      <c r="U3029" s="1">
        <v>38230</v>
      </c>
      <c r="V3029" t="s">
        <v>41</v>
      </c>
      <c r="W3029" t="s">
        <v>49</v>
      </c>
      <c r="X3029" t="str">
        <f>"4475075"</f>
        <v>4475075</v>
      </c>
      <c r="Y3029" t="s">
        <v>1339</v>
      </c>
      <c r="Z3029" t="s">
        <v>1336</v>
      </c>
      <c r="AA3029" t="s">
        <v>1337</v>
      </c>
      <c r="AB3029" t="s">
        <v>1270</v>
      </c>
      <c r="AC3029" t="s">
        <v>51</v>
      </c>
      <c r="AD3029" t="s">
        <v>45</v>
      </c>
      <c r="AE3029" s="1">
        <v>26546</v>
      </c>
      <c r="AF3029">
        <v>2</v>
      </c>
      <c r="AG3029" t="s">
        <v>1337</v>
      </c>
      <c r="AH3029" s="36">
        <f t="shared" si="47"/>
        <v>46.975000000000001</v>
      </c>
      <c r="AI3029" s="41" t="s">
        <v>1780</v>
      </c>
    </row>
    <row r="3030" spans="1:35" x14ac:dyDescent="0.25">
      <c r="A3030" s="36">
        <v>99913028</v>
      </c>
      <c r="B3030" s="17" t="s">
        <v>32</v>
      </c>
      <c r="C3030" t="s">
        <v>149</v>
      </c>
      <c r="D3030" t="s">
        <v>150</v>
      </c>
      <c r="G3030" s="17" t="s">
        <v>48</v>
      </c>
      <c r="H3030" s="17">
        <v>1</v>
      </c>
      <c r="K3030" t="s">
        <v>157</v>
      </c>
      <c r="L3030" t="s">
        <v>158</v>
      </c>
      <c r="M3030" t="s">
        <v>131</v>
      </c>
      <c r="N3030">
        <v>23</v>
      </c>
      <c r="O3030" t="s">
        <v>40</v>
      </c>
      <c r="P3030" t="s">
        <v>40</v>
      </c>
      <c r="Q3030" t="s">
        <v>40</v>
      </c>
      <c r="R3030" t="s">
        <v>40</v>
      </c>
      <c r="S3030" t="s">
        <v>40</v>
      </c>
      <c r="V3030" t="s">
        <v>41</v>
      </c>
      <c r="W3030" t="s">
        <v>49</v>
      </c>
      <c r="X3030" t="str">
        <f>"0560010"</f>
        <v>0560010</v>
      </c>
      <c r="Y3030" t="s">
        <v>179</v>
      </c>
      <c r="Z3030" t="s">
        <v>157</v>
      </c>
      <c r="AA3030" t="s">
        <v>158</v>
      </c>
      <c r="AB3030" t="s">
        <v>131</v>
      </c>
      <c r="AC3030" t="s">
        <v>51</v>
      </c>
      <c r="AD3030" t="s">
        <v>45</v>
      </c>
      <c r="AE3030" s="1">
        <v>26542</v>
      </c>
      <c r="AF3030">
        <v>2</v>
      </c>
      <c r="AG3030" t="s">
        <v>158</v>
      </c>
      <c r="AH3030" s="36">
        <f t="shared" si="47"/>
        <v>46.986111111111114</v>
      </c>
      <c r="AI3030" s="41" t="s">
        <v>1780</v>
      </c>
    </row>
    <row r="3031" spans="1:35" x14ac:dyDescent="0.25">
      <c r="A3031" s="36">
        <v>99913029</v>
      </c>
      <c r="B3031" s="17" t="s">
        <v>32</v>
      </c>
      <c r="C3031" t="s">
        <v>52</v>
      </c>
      <c r="D3031" t="s">
        <v>53</v>
      </c>
      <c r="G3031" s="17" t="s">
        <v>48</v>
      </c>
      <c r="H3031" s="17">
        <v>7</v>
      </c>
      <c r="K3031" t="s">
        <v>1268</v>
      </c>
      <c r="L3031" t="s">
        <v>1269</v>
      </c>
      <c r="M3031" t="s">
        <v>1270</v>
      </c>
      <c r="N3031">
        <v>19</v>
      </c>
      <c r="O3031" t="s">
        <v>40</v>
      </c>
      <c r="P3031" t="s">
        <v>40</v>
      </c>
      <c r="Q3031" t="s">
        <v>40</v>
      </c>
      <c r="R3031" t="s">
        <v>40</v>
      </c>
      <c r="S3031" t="s">
        <v>40</v>
      </c>
      <c r="V3031" t="s">
        <v>41</v>
      </c>
      <c r="W3031" t="s">
        <v>42</v>
      </c>
      <c r="X3031" t="str">
        <f>"1990910"</f>
        <v>1990910</v>
      </c>
      <c r="Y3031" t="s">
        <v>1281</v>
      </c>
      <c r="Z3031" t="s">
        <v>1268</v>
      </c>
      <c r="AA3031" t="s">
        <v>1269</v>
      </c>
      <c r="AB3031" t="s">
        <v>1270</v>
      </c>
      <c r="AC3031" t="s">
        <v>51</v>
      </c>
      <c r="AD3031" t="s">
        <v>45</v>
      </c>
      <c r="AE3031" s="1">
        <v>26540</v>
      </c>
      <c r="AF3031">
        <v>2</v>
      </c>
      <c r="AG3031" t="s">
        <v>1269</v>
      </c>
      <c r="AH3031" s="36">
        <f t="shared" si="47"/>
        <v>46.991666666666667</v>
      </c>
      <c r="AI3031" s="41" t="s">
        <v>1780</v>
      </c>
    </row>
    <row r="3032" spans="1:35" x14ac:dyDescent="0.25">
      <c r="A3032" s="36">
        <v>99913030</v>
      </c>
      <c r="B3032" s="17" t="s">
        <v>32</v>
      </c>
      <c r="C3032" t="s">
        <v>79</v>
      </c>
      <c r="D3032" t="s">
        <v>80</v>
      </c>
      <c r="G3032" s="17" t="s">
        <v>35</v>
      </c>
      <c r="H3032" s="17">
        <v>8</v>
      </c>
      <c r="K3032" t="s">
        <v>268</v>
      </c>
      <c r="L3032" t="s">
        <v>269</v>
      </c>
      <c r="M3032" t="s">
        <v>131</v>
      </c>
      <c r="N3032">
        <v>22</v>
      </c>
      <c r="O3032" t="s">
        <v>40</v>
      </c>
      <c r="P3032" t="s">
        <v>40</v>
      </c>
      <c r="Q3032" t="s">
        <v>40</v>
      </c>
      <c r="R3032" t="s">
        <v>40</v>
      </c>
      <c r="S3032" t="s">
        <v>40</v>
      </c>
      <c r="V3032" t="s">
        <v>41</v>
      </c>
      <c r="W3032" t="s">
        <v>75</v>
      </c>
      <c r="X3032" t="str">
        <f>"7052004"</f>
        <v>7052004</v>
      </c>
      <c r="Y3032" t="s">
        <v>584</v>
      </c>
      <c r="Z3032" t="s">
        <v>268</v>
      </c>
      <c r="AA3032" t="s">
        <v>269</v>
      </c>
      <c r="AB3032" t="s">
        <v>131</v>
      </c>
      <c r="AC3032" t="s">
        <v>51</v>
      </c>
      <c r="AD3032" t="s">
        <v>45</v>
      </c>
      <c r="AE3032" s="1">
        <v>26529</v>
      </c>
      <c r="AF3032">
        <v>1</v>
      </c>
      <c r="AG3032" t="s">
        <v>269</v>
      </c>
      <c r="AH3032" s="36">
        <f t="shared" si="47"/>
        <v>47.022222222222226</v>
      </c>
      <c r="AI3032" s="41" t="s">
        <v>1780</v>
      </c>
    </row>
    <row r="3033" spans="1:35" x14ac:dyDescent="0.25">
      <c r="A3033" s="36">
        <v>99913031</v>
      </c>
      <c r="B3033" s="17" t="s">
        <v>32</v>
      </c>
      <c r="C3033" t="s">
        <v>111</v>
      </c>
      <c r="D3033" t="s">
        <v>112</v>
      </c>
      <c r="G3033" s="17" t="s">
        <v>48</v>
      </c>
      <c r="H3033" s="17">
        <v>1</v>
      </c>
      <c r="K3033" t="s">
        <v>268</v>
      </c>
      <c r="L3033" t="s">
        <v>269</v>
      </c>
      <c r="M3033" t="s">
        <v>131</v>
      </c>
      <c r="N3033">
        <v>22</v>
      </c>
      <c r="O3033" t="s">
        <v>40</v>
      </c>
      <c r="P3033" t="s">
        <v>40</v>
      </c>
      <c r="Q3033" t="s">
        <v>40</v>
      </c>
      <c r="S3033" t="s">
        <v>40</v>
      </c>
      <c r="V3033" t="s">
        <v>41</v>
      </c>
      <c r="W3033" t="s">
        <v>75</v>
      </c>
      <c r="X3033" t="str">
        <f>"7052016"</f>
        <v>7052016</v>
      </c>
      <c r="Y3033" t="s">
        <v>588</v>
      </c>
      <c r="Z3033" t="s">
        <v>268</v>
      </c>
      <c r="AA3033" t="s">
        <v>269</v>
      </c>
      <c r="AB3033" t="s">
        <v>131</v>
      </c>
      <c r="AC3033" t="s">
        <v>51</v>
      </c>
      <c r="AD3033" t="s">
        <v>45</v>
      </c>
      <c r="AE3033" s="1">
        <v>26528</v>
      </c>
      <c r="AF3033">
        <v>1</v>
      </c>
      <c r="AG3033" t="s">
        <v>269</v>
      </c>
      <c r="AH3033" s="36">
        <f t="shared" si="47"/>
        <v>47.024999999999999</v>
      </c>
      <c r="AI3033" s="41" t="s">
        <v>1780</v>
      </c>
    </row>
    <row r="3034" spans="1:35" x14ac:dyDescent="0.25">
      <c r="A3034" s="36">
        <v>99913032</v>
      </c>
      <c r="B3034" s="17" t="s">
        <v>32</v>
      </c>
      <c r="C3034" t="s">
        <v>90</v>
      </c>
      <c r="D3034" t="s">
        <v>91</v>
      </c>
      <c r="G3034" s="17" t="s">
        <v>48</v>
      </c>
      <c r="H3034" s="17">
        <v>1</v>
      </c>
      <c r="K3034" t="s">
        <v>1198</v>
      </c>
      <c r="L3034" t="s">
        <v>1199</v>
      </c>
      <c r="M3034" t="s">
        <v>1130</v>
      </c>
      <c r="N3034">
        <v>25</v>
      </c>
      <c r="O3034" t="s">
        <v>40</v>
      </c>
      <c r="P3034" t="s">
        <v>40</v>
      </c>
      <c r="Q3034" t="s">
        <v>40</v>
      </c>
      <c r="S3034" t="s">
        <v>40</v>
      </c>
      <c r="V3034" t="s">
        <v>41</v>
      </c>
      <c r="W3034" t="s">
        <v>95</v>
      </c>
      <c r="X3034" t="str">
        <f>"7311021"</f>
        <v>7311021</v>
      </c>
      <c r="Y3034" t="s">
        <v>1210</v>
      </c>
      <c r="Z3034" t="s">
        <v>1198</v>
      </c>
      <c r="AA3034" t="s">
        <v>1199</v>
      </c>
      <c r="AB3034" t="s">
        <v>1130</v>
      </c>
      <c r="AC3034" t="s">
        <v>51</v>
      </c>
      <c r="AD3034" t="s">
        <v>45</v>
      </c>
      <c r="AE3034" s="1">
        <v>26523</v>
      </c>
      <c r="AF3034">
        <v>1</v>
      </c>
      <c r="AG3034" t="s">
        <v>1199</v>
      </c>
      <c r="AH3034" s="36">
        <f t="shared" si="47"/>
        <v>47.038888888888891</v>
      </c>
      <c r="AI3034" s="41" t="s">
        <v>1780</v>
      </c>
    </row>
    <row r="3035" spans="1:35" x14ac:dyDescent="0.25">
      <c r="A3035" s="36">
        <v>99913033</v>
      </c>
      <c r="B3035" s="17" t="s">
        <v>32</v>
      </c>
      <c r="C3035" t="s">
        <v>46</v>
      </c>
      <c r="D3035" t="s">
        <v>47</v>
      </c>
      <c r="G3035" s="17" t="s">
        <v>35</v>
      </c>
      <c r="H3035" s="17">
        <v>1</v>
      </c>
      <c r="I3035" t="s">
        <v>1340</v>
      </c>
      <c r="J3035" s="1">
        <v>43364</v>
      </c>
      <c r="K3035" t="s">
        <v>1336</v>
      </c>
      <c r="L3035" t="s">
        <v>1337</v>
      </c>
      <c r="M3035" t="s">
        <v>1270</v>
      </c>
      <c r="N3035">
        <v>14</v>
      </c>
      <c r="O3035" t="s">
        <v>40</v>
      </c>
      <c r="P3035" t="s">
        <v>40</v>
      </c>
      <c r="Q3035" t="s">
        <v>40</v>
      </c>
      <c r="R3035" t="s">
        <v>40</v>
      </c>
      <c r="S3035" t="s">
        <v>40</v>
      </c>
      <c r="U3035" s="1">
        <v>43364</v>
      </c>
      <c r="V3035" t="s">
        <v>41</v>
      </c>
      <c r="W3035" t="s">
        <v>42</v>
      </c>
      <c r="X3035" t="str">
        <f>"4475070"</f>
        <v>4475070</v>
      </c>
      <c r="Y3035" t="s">
        <v>1338</v>
      </c>
      <c r="Z3035" t="s">
        <v>1336</v>
      </c>
      <c r="AA3035" t="s">
        <v>1337</v>
      </c>
      <c r="AB3035" t="s">
        <v>1270</v>
      </c>
      <c r="AC3035" t="s">
        <v>51</v>
      </c>
      <c r="AD3035" t="s">
        <v>45</v>
      </c>
      <c r="AE3035" s="1">
        <v>26513</v>
      </c>
      <c r="AF3035">
        <v>2</v>
      </c>
      <c r="AG3035" t="s">
        <v>1337</v>
      </c>
      <c r="AH3035" s="36">
        <f t="shared" si="47"/>
        <v>47.06666666666667</v>
      </c>
      <c r="AI3035" s="41" t="s">
        <v>1780</v>
      </c>
    </row>
    <row r="3036" spans="1:35" x14ac:dyDescent="0.25">
      <c r="A3036" s="36">
        <v>99913034</v>
      </c>
      <c r="B3036" s="17" t="s">
        <v>32</v>
      </c>
      <c r="C3036" t="s">
        <v>139</v>
      </c>
      <c r="D3036" t="s">
        <v>140</v>
      </c>
      <c r="G3036" s="17" t="s">
        <v>48</v>
      </c>
      <c r="H3036" s="17">
        <v>1</v>
      </c>
      <c r="K3036" t="s">
        <v>129</v>
      </c>
      <c r="L3036" t="s">
        <v>130</v>
      </c>
      <c r="M3036" t="s">
        <v>131</v>
      </c>
      <c r="N3036">
        <v>18</v>
      </c>
      <c r="O3036" t="s">
        <v>40</v>
      </c>
      <c r="P3036" t="s">
        <v>40</v>
      </c>
      <c r="Q3036" t="s">
        <v>40</v>
      </c>
      <c r="R3036" t="s">
        <v>40</v>
      </c>
      <c r="S3036" t="s">
        <v>40</v>
      </c>
      <c r="V3036" t="s">
        <v>41</v>
      </c>
      <c r="W3036" t="s">
        <v>42</v>
      </c>
      <c r="X3036" t="str">
        <f>"0590905"</f>
        <v>0590905</v>
      </c>
      <c r="Y3036" t="s">
        <v>133</v>
      </c>
      <c r="Z3036" t="s">
        <v>129</v>
      </c>
      <c r="AA3036" t="s">
        <v>130</v>
      </c>
      <c r="AB3036" t="s">
        <v>131</v>
      </c>
      <c r="AC3036" t="s">
        <v>51</v>
      </c>
      <c r="AD3036" t="s">
        <v>45</v>
      </c>
      <c r="AE3036" s="1">
        <v>26512</v>
      </c>
      <c r="AF3036">
        <v>2</v>
      </c>
      <c r="AG3036" t="s">
        <v>130</v>
      </c>
      <c r="AH3036" s="36">
        <f t="shared" si="47"/>
        <v>47.069444444444443</v>
      </c>
      <c r="AI3036" s="41" t="s">
        <v>1780</v>
      </c>
    </row>
    <row r="3037" spans="1:35" x14ac:dyDescent="0.25">
      <c r="A3037" s="36">
        <v>99913035</v>
      </c>
      <c r="B3037" s="17" t="s">
        <v>56</v>
      </c>
      <c r="C3037" t="s">
        <v>46</v>
      </c>
      <c r="D3037" t="s">
        <v>47</v>
      </c>
      <c r="G3037" s="17" t="s">
        <v>48</v>
      </c>
      <c r="H3037" s="17">
        <v>1</v>
      </c>
      <c r="K3037" t="s">
        <v>1187</v>
      </c>
      <c r="L3037" t="s">
        <v>1188</v>
      </c>
      <c r="M3037" t="s">
        <v>1130</v>
      </c>
      <c r="N3037">
        <v>20</v>
      </c>
      <c r="O3037" t="s">
        <v>40</v>
      </c>
      <c r="P3037" t="s">
        <v>40</v>
      </c>
      <c r="Q3037" t="s">
        <v>40</v>
      </c>
      <c r="R3037" t="s">
        <v>40</v>
      </c>
      <c r="S3037" t="s">
        <v>40</v>
      </c>
      <c r="V3037" t="s">
        <v>41</v>
      </c>
      <c r="W3037" t="s">
        <v>49</v>
      </c>
      <c r="X3037" t="str">
        <f>"4581015"</f>
        <v>4581015</v>
      </c>
      <c r="Y3037" t="s">
        <v>1190</v>
      </c>
      <c r="Z3037" t="s">
        <v>1187</v>
      </c>
      <c r="AA3037" t="s">
        <v>1188</v>
      </c>
      <c r="AB3037" t="s">
        <v>1130</v>
      </c>
      <c r="AC3037" t="s">
        <v>51</v>
      </c>
      <c r="AD3037" t="s">
        <v>45</v>
      </c>
      <c r="AE3037" s="1">
        <v>26512</v>
      </c>
      <c r="AF3037">
        <v>2</v>
      </c>
      <c r="AG3037" t="s">
        <v>1188</v>
      </c>
      <c r="AH3037" s="36">
        <f t="shared" si="47"/>
        <v>47.069444444444443</v>
      </c>
      <c r="AI3037" s="41" t="s">
        <v>1780</v>
      </c>
    </row>
    <row r="3038" spans="1:35" x14ac:dyDescent="0.25">
      <c r="A3038" s="36">
        <v>99913036</v>
      </c>
      <c r="B3038" s="17" t="s">
        <v>56</v>
      </c>
      <c r="C3038" t="s">
        <v>46</v>
      </c>
      <c r="D3038" t="s">
        <v>47</v>
      </c>
      <c r="G3038" s="17" t="s">
        <v>48</v>
      </c>
      <c r="H3038" s="17">
        <v>1</v>
      </c>
      <c r="K3038" t="s">
        <v>300</v>
      </c>
      <c r="L3038" t="s">
        <v>301</v>
      </c>
      <c r="M3038" t="s">
        <v>131</v>
      </c>
      <c r="N3038">
        <v>20</v>
      </c>
      <c r="O3038" t="s">
        <v>40</v>
      </c>
      <c r="P3038" t="s">
        <v>40</v>
      </c>
      <c r="Q3038" t="s">
        <v>40</v>
      </c>
      <c r="R3038" t="s">
        <v>40</v>
      </c>
      <c r="S3038" t="s">
        <v>40</v>
      </c>
      <c r="V3038" t="s">
        <v>41</v>
      </c>
      <c r="W3038" t="s">
        <v>42</v>
      </c>
      <c r="X3038" t="str">
        <f>"0580176"</f>
        <v>0580176</v>
      </c>
      <c r="Y3038" t="s">
        <v>305</v>
      </c>
      <c r="Z3038" t="s">
        <v>300</v>
      </c>
      <c r="AA3038" t="s">
        <v>301</v>
      </c>
      <c r="AB3038" t="s">
        <v>131</v>
      </c>
      <c r="AC3038" t="s">
        <v>51</v>
      </c>
      <c r="AD3038" t="s">
        <v>45</v>
      </c>
      <c r="AE3038" s="1">
        <v>26510</v>
      </c>
      <c r="AF3038">
        <v>2</v>
      </c>
      <c r="AG3038" t="s">
        <v>301</v>
      </c>
      <c r="AH3038" s="36">
        <f t="shared" si="47"/>
        <v>47.075000000000003</v>
      </c>
      <c r="AI3038" s="41" t="s">
        <v>1780</v>
      </c>
    </row>
    <row r="3039" spans="1:35" x14ac:dyDescent="0.25">
      <c r="A3039" s="36">
        <v>99913037</v>
      </c>
      <c r="B3039" s="17" t="s">
        <v>32</v>
      </c>
      <c r="C3039" t="s">
        <v>46</v>
      </c>
      <c r="D3039" t="s">
        <v>47</v>
      </c>
      <c r="G3039" s="17" t="s">
        <v>35</v>
      </c>
      <c r="H3039" s="17">
        <v>1</v>
      </c>
      <c r="I3039">
        <v>0</v>
      </c>
      <c r="J3039" s="1">
        <v>43344</v>
      </c>
      <c r="K3039" t="s">
        <v>223</v>
      </c>
      <c r="L3039" t="s">
        <v>224</v>
      </c>
      <c r="M3039" t="s">
        <v>131</v>
      </c>
      <c r="N3039">
        <v>21</v>
      </c>
      <c r="O3039" t="s">
        <v>40</v>
      </c>
      <c r="P3039" t="s">
        <v>40</v>
      </c>
      <c r="Q3039" t="s">
        <v>40</v>
      </c>
      <c r="R3039" t="s">
        <v>40</v>
      </c>
      <c r="S3039" t="s">
        <v>40</v>
      </c>
      <c r="U3039" s="1">
        <v>43344</v>
      </c>
      <c r="V3039" t="s">
        <v>41</v>
      </c>
      <c r="W3039" t="s">
        <v>49</v>
      </c>
      <c r="X3039" t="str">
        <f>"0591907"</f>
        <v>0591907</v>
      </c>
      <c r="Y3039" t="s">
        <v>243</v>
      </c>
      <c r="Z3039" t="s">
        <v>223</v>
      </c>
      <c r="AA3039" t="s">
        <v>224</v>
      </c>
      <c r="AB3039" t="s">
        <v>131</v>
      </c>
      <c r="AC3039" t="s">
        <v>44</v>
      </c>
      <c r="AD3039" t="s">
        <v>45</v>
      </c>
      <c r="AE3039" s="1">
        <v>26508</v>
      </c>
      <c r="AF3039">
        <v>2</v>
      </c>
      <c r="AG3039" t="s">
        <v>224</v>
      </c>
      <c r="AH3039" s="36">
        <f t="shared" si="47"/>
        <v>47.080555555555556</v>
      </c>
      <c r="AI3039" s="41" t="s">
        <v>1780</v>
      </c>
    </row>
    <row r="3040" spans="1:35" x14ac:dyDescent="0.25">
      <c r="A3040" s="36">
        <v>99913038</v>
      </c>
      <c r="B3040" s="17" t="s">
        <v>32</v>
      </c>
      <c r="C3040" t="s">
        <v>64</v>
      </c>
      <c r="D3040" t="s">
        <v>65</v>
      </c>
      <c r="G3040" s="17" t="s">
        <v>35</v>
      </c>
      <c r="H3040" s="17">
        <v>1</v>
      </c>
      <c r="K3040" t="s">
        <v>354</v>
      </c>
      <c r="L3040" t="s">
        <v>355</v>
      </c>
      <c r="M3040" t="s">
        <v>131</v>
      </c>
      <c r="N3040">
        <v>22</v>
      </c>
      <c r="O3040" t="s">
        <v>40</v>
      </c>
      <c r="P3040" t="s">
        <v>40</v>
      </c>
      <c r="Q3040" t="s">
        <v>40</v>
      </c>
      <c r="S3040" t="s">
        <v>40</v>
      </c>
      <c r="V3040" t="s">
        <v>41</v>
      </c>
      <c r="W3040" t="s">
        <v>75</v>
      </c>
      <c r="X3040" t="str">
        <f>"7054020"</f>
        <v>7054020</v>
      </c>
      <c r="Y3040" t="s">
        <v>765</v>
      </c>
      <c r="Z3040" t="s">
        <v>354</v>
      </c>
      <c r="AA3040" t="s">
        <v>355</v>
      </c>
      <c r="AB3040" t="s">
        <v>131</v>
      </c>
      <c r="AC3040" t="s">
        <v>51</v>
      </c>
      <c r="AD3040" t="s">
        <v>45</v>
      </c>
      <c r="AE3040" s="1">
        <v>26508</v>
      </c>
      <c r="AF3040">
        <v>1</v>
      </c>
      <c r="AG3040" t="s">
        <v>355</v>
      </c>
      <c r="AH3040" s="36">
        <f t="shared" si="47"/>
        <v>47.080555555555556</v>
      </c>
      <c r="AI3040" s="41" t="s">
        <v>1780</v>
      </c>
    </row>
    <row r="3041" spans="1:35" x14ac:dyDescent="0.25">
      <c r="A3041" s="36">
        <v>99913039</v>
      </c>
      <c r="B3041" s="17" t="s">
        <v>56</v>
      </c>
      <c r="C3041" t="s">
        <v>33</v>
      </c>
      <c r="D3041" t="s">
        <v>34</v>
      </c>
      <c r="G3041" s="17" t="s">
        <v>48</v>
      </c>
      <c r="H3041" s="17">
        <v>1</v>
      </c>
      <c r="K3041" t="s">
        <v>162</v>
      </c>
      <c r="L3041" t="s">
        <v>158</v>
      </c>
      <c r="M3041" t="s">
        <v>131</v>
      </c>
      <c r="N3041">
        <v>20</v>
      </c>
      <c r="O3041" t="s">
        <v>40</v>
      </c>
      <c r="P3041" t="s">
        <v>40</v>
      </c>
      <c r="Q3041" t="s">
        <v>40</v>
      </c>
      <c r="R3041" t="s">
        <v>40</v>
      </c>
      <c r="S3041" t="s">
        <v>40</v>
      </c>
      <c r="V3041" t="s">
        <v>41</v>
      </c>
      <c r="W3041" t="s">
        <v>42</v>
      </c>
      <c r="X3041" t="str">
        <f>"0580320"</f>
        <v>0580320</v>
      </c>
      <c r="Y3041" t="s">
        <v>164</v>
      </c>
      <c r="Z3041" t="s">
        <v>162</v>
      </c>
      <c r="AA3041" t="s">
        <v>158</v>
      </c>
      <c r="AB3041" t="s">
        <v>131</v>
      </c>
      <c r="AC3041" t="s">
        <v>51</v>
      </c>
      <c r="AD3041" t="s">
        <v>45</v>
      </c>
      <c r="AE3041" s="1">
        <v>26506</v>
      </c>
      <c r="AF3041">
        <v>2</v>
      </c>
      <c r="AG3041" t="s">
        <v>158</v>
      </c>
      <c r="AH3041" s="36">
        <f t="shared" si="47"/>
        <v>47.086111111111109</v>
      </c>
      <c r="AI3041" s="41" t="s">
        <v>1780</v>
      </c>
    </row>
    <row r="3042" spans="1:35" x14ac:dyDescent="0.25">
      <c r="A3042" s="36">
        <v>99913040</v>
      </c>
      <c r="B3042" s="17" t="s">
        <v>56</v>
      </c>
      <c r="C3042" t="s">
        <v>141</v>
      </c>
      <c r="D3042" t="s">
        <v>142</v>
      </c>
      <c r="G3042" s="17" t="s">
        <v>88</v>
      </c>
      <c r="H3042" s="17">
        <v>2</v>
      </c>
      <c r="I3042" t="s">
        <v>472</v>
      </c>
      <c r="J3042" s="1">
        <v>42261</v>
      </c>
      <c r="K3042" t="s">
        <v>195</v>
      </c>
      <c r="L3042" t="s">
        <v>196</v>
      </c>
      <c r="M3042" t="s">
        <v>131</v>
      </c>
      <c r="N3042">
        <v>21</v>
      </c>
      <c r="O3042" t="s">
        <v>40</v>
      </c>
      <c r="P3042" t="s">
        <v>40</v>
      </c>
      <c r="Q3042" t="s">
        <v>40</v>
      </c>
      <c r="R3042" t="s">
        <v>40</v>
      </c>
      <c r="S3042" t="s">
        <v>40</v>
      </c>
      <c r="U3042" s="1">
        <v>42261</v>
      </c>
      <c r="V3042" t="s">
        <v>41</v>
      </c>
      <c r="W3042" t="s">
        <v>75</v>
      </c>
      <c r="X3042" t="str">
        <f>"7521050"</f>
        <v>7521050</v>
      </c>
      <c r="Y3042" t="s">
        <v>194</v>
      </c>
      <c r="Z3042" t="s">
        <v>195</v>
      </c>
      <c r="AA3042" t="s">
        <v>196</v>
      </c>
      <c r="AB3042" t="s">
        <v>131</v>
      </c>
      <c r="AC3042" t="s">
        <v>51</v>
      </c>
      <c r="AD3042" t="s">
        <v>45</v>
      </c>
      <c r="AE3042" s="1">
        <v>26506</v>
      </c>
      <c r="AF3042">
        <v>1</v>
      </c>
      <c r="AG3042" t="s">
        <v>196</v>
      </c>
      <c r="AH3042" s="36">
        <f t="shared" si="47"/>
        <v>47.086111111111109</v>
      </c>
      <c r="AI3042" s="41" t="s">
        <v>1780</v>
      </c>
    </row>
    <row r="3043" spans="1:35" x14ac:dyDescent="0.25">
      <c r="A3043" s="36">
        <v>99913041</v>
      </c>
      <c r="B3043" s="17" t="s">
        <v>56</v>
      </c>
      <c r="C3043" t="s">
        <v>52</v>
      </c>
      <c r="D3043" t="s">
        <v>53</v>
      </c>
      <c r="G3043" s="17" t="s">
        <v>35</v>
      </c>
      <c r="H3043" s="17">
        <v>1</v>
      </c>
      <c r="I3043" t="s">
        <v>348</v>
      </c>
      <c r="J3043" s="1">
        <v>43344</v>
      </c>
      <c r="K3043" t="s">
        <v>345</v>
      </c>
      <c r="L3043" t="s">
        <v>346</v>
      </c>
      <c r="M3043" t="s">
        <v>131</v>
      </c>
      <c r="N3043">
        <v>20</v>
      </c>
      <c r="O3043" t="s">
        <v>40</v>
      </c>
      <c r="S3043" t="s">
        <v>40</v>
      </c>
      <c r="U3043" s="1">
        <v>43344</v>
      </c>
      <c r="V3043" t="s">
        <v>41</v>
      </c>
      <c r="W3043" t="s">
        <v>42</v>
      </c>
      <c r="X3043" t="str">
        <f>"0580155"</f>
        <v>0580155</v>
      </c>
      <c r="Y3043" t="s">
        <v>365</v>
      </c>
      <c r="Z3043" t="s">
        <v>345</v>
      </c>
      <c r="AA3043" t="s">
        <v>346</v>
      </c>
      <c r="AB3043" t="s">
        <v>131</v>
      </c>
      <c r="AC3043" t="s">
        <v>51</v>
      </c>
      <c r="AD3043" t="s">
        <v>45</v>
      </c>
      <c r="AE3043" s="1">
        <v>26504</v>
      </c>
      <c r="AF3043">
        <v>2</v>
      </c>
      <c r="AG3043" t="s">
        <v>346</v>
      </c>
      <c r="AH3043" s="36">
        <f t="shared" si="47"/>
        <v>47.091666666666669</v>
      </c>
      <c r="AI3043" s="41" t="s">
        <v>1780</v>
      </c>
    </row>
    <row r="3044" spans="1:35" x14ac:dyDescent="0.25">
      <c r="A3044" s="36">
        <v>99913042</v>
      </c>
      <c r="B3044" s="17" t="s">
        <v>32</v>
      </c>
      <c r="C3044" t="s">
        <v>46</v>
      </c>
      <c r="D3044" t="s">
        <v>47</v>
      </c>
      <c r="G3044" s="17" t="s">
        <v>35</v>
      </c>
      <c r="H3044" s="17">
        <v>1</v>
      </c>
      <c r="I3044">
        <v>0</v>
      </c>
      <c r="J3044" s="1">
        <v>43344</v>
      </c>
      <c r="K3044" t="s">
        <v>223</v>
      </c>
      <c r="L3044" t="s">
        <v>224</v>
      </c>
      <c r="M3044" t="s">
        <v>131</v>
      </c>
      <c r="N3044">
        <v>20</v>
      </c>
      <c r="O3044" t="s">
        <v>40</v>
      </c>
      <c r="S3044" t="s">
        <v>40</v>
      </c>
      <c r="U3044" s="1">
        <v>43344</v>
      </c>
      <c r="V3044" t="s">
        <v>41</v>
      </c>
      <c r="W3044" t="s">
        <v>42</v>
      </c>
      <c r="X3044" t="str">
        <f>"0580206"</f>
        <v>0580206</v>
      </c>
      <c r="Y3044" t="s">
        <v>237</v>
      </c>
      <c r="Z3044" t="s">
        <v>223</v>
      </c>
      <c r="AA3044" t="s">
        <v>224</v>
      </c>
      <c r="AB3044" t="s">
        <v>131</v>
      </c>
      <c r="AC3044" t="s">
        <v>51</v>
      </c>
      <c r="AD3044" t="s">
        <v>45</v>
      </c>
      <c r="AE3044" s="1">
        <v>26502</v>
      </c>
      <c r="AF3044">
        <v>2</v>
      </c>
      <c r="AG3044" t="s">
        <v>224</v>
      </c>
      <c r="AH3044" s="36">
        <f t="shared" si="47"/>
        <v>47.097222222222221</v>
      </c>
      <c r="AI3044" s="41" t="s">
        <v>1780</v>
      </c>
    </row>
    <row r="3045" spans="1:35" x14ac:dyDescent="0.25">
      <c r="A3045" s="36">
        <v>99913043</v>
      </c>
      <c r="B3045" s="17" t="s">
        <v>56</v>
      </c>
      <c r="C3045" t="s">
        <v>68</v>
      </c>
      <c r="D3045" t="s">
        <v>69</v>
      </c>
      <c r="G3045" s="17" t="s">
        <v>48</v>
      </c>
      <c r="H3045" s="17">
        <v>1</v>
      </c>
      <c r="K3045" t="s">
        <v>223</v>
      </c>
      <c r="L3045" t="s">
        <v>224</v>
      </c>
      <c r="M3045" t="s">
        <v>131</v>
      </c>
      <c r="N3045">
        <v>20</v>
      </c>
      <c r="O3045" t="s">
        <v>40</v>
      </c>
      <c r="P3045" t="s">
        <v>40</v>
      </c>
      <c r="Q3045" t="s">
        <v>40</v>
      </c>
      <c r="S3045" t="s">
        <v>40</v>
      </c>
      <c r="V3045" t="s">
        <v>41</v>
      </c>
      <c r="W3045" t="s">
        <v>49</v>
      </c>
      <c r="X3045" t="str">
        <f>"0581206"</f>
        <v>0581206</v>
      </c>
      <c r="Y3045" t="s">
        <v>232</v>
      </c>
      <c r="Z3045" t="s">
        <v>223</v>
      </c>
      <c r="AA3045" t="s">
        <v>224</v>
      </c>
      <c r="AB3045" t="s">
        <v>131</v>
      </c>
      <c r="AC3045" t="s">
        <v>51</v>
      </c>
      <c r="AD3045" t="s">
        <v>45</v>
      </c>
      <c r="AE3045" s="1">
        <v>26501</v>
      </c>
      <c r="AF3045">
        <v>2</v>
      </c>
      <c r="AG3045" t="s">
        <v>224</v>
      </c>
      <c r="AH3045" s="36">
        <f t="shared" si="47"/>
        <v>47.1</v>
      </c>
      <c r="AI3045" s="41" t="s">
        <v>1780</v>
      </c>
    </row>
    <row r="3046" spans="1:35" x14ac:dyDescent="0.25">
      <c r="A3046" s="36">
        <v>99913044</v>
      </c>
      <c r="B3046" s="17" t="s">
        <v>32</v>
      </c>
      <c r="C3046" t="s">
        <v>90</v>
      </c>
      <c r="D3046" t="s">
        <v>91</v>
      </c>
      <c r="G3046" s="17" t="s">
        <v>48</v>
      </c>
      <c r="H3046" s="17">
        <v>1</v>
      </c>
      <c r="K3046" t="s">
        <v>268</v>
      </c>
      <c r="L3046" t="s">
        <v>269</v>
      </c>
      <c r="M3046" t="s">
        <v>131</v>
      </c>
      <c r="N3046">
        <v>23</v>
      </c>
      <c r="O3046" t="s">
        <v>40</v>
      </c>
      <c r="P3046" t="s">
        <v>40</v>
      </c>
      <c r="Q3046" t="s">
        <v>40</v>
      </c>
      <c r="S3046" t="s">
        <v>40</v>
      </c>
      <c r="V3046" t="s">
        <v>41</v>
      </c>
      <c r="W3046" t="s">
        <v>95</v>
      </c>
      <c r="X3046" t="str">
        <f>"7052001"</f>
        <v>7052001</v>
      </c>
      <c r="Y3046" t="s">
        <v>576</v>
      </c>
      <c r="Z3046" t="s">
        <v>268</v>
      </c>
      <c r="AA3046" t="s">
        <v>269</v>
      </c>
      <c r="AB3046" t="s">
        <v>131</v>
      </c>
      <c r="AC3046" t="s">
        <v>51</v>
      </c>
      <c r="AD3046" t="s">
        <v>45</v>
      </c>
      <c r="AE3046" s="1">
        <v>26498</v>
      </c>
      <c r="AF3046">
        <v>1</v>
      </c>
      <c r="AG3046" t="s">
        <v>269</v>
      </c>
      <c r="AH3046" s="36">
        <f t="shared" si="47"/>
        <v>47.108333333333334</v>
      </c>
      <c r="AI3046" s="41" t="s">
        <v>1780</v>
      </c>
    </row>
    <row r="3047" spans="1:35" x14ac:dyDescent="0.25">
      <c r="A3047" s="36">
        <v>99913045</v>
      </c>
      <c r="B3047" s="17" t="s">
        <v>32</v>
      </c>
      <c r="C3047" t="s">
        <v>46</v>
      </c>
      <c r="D3047" t="s">
        <v>47</v>
      </c>
      <c r="G3047" s="17" t="s">
        <v>35</v>
      </c>
      <c r="H3047" s="17">
        <v>1</v>
      </c>
      <c r="I3047">
        <v>6844</v>
      </c>
      <c r="J3047" s="1">
        <v>43344</v>
      </c>
      <c r="K3047" t="s">
        <v>1306</v>
      </c>
      <c r="L3047" t="s">
        <v>1307</v>
      </c>
      <c r="M3047" t="s">
        <v>1270</v>
      </c>
      <c r="N3047">
        <v>20</v>
      </c>
      <c r="O3047" t="s">
        <v>40</v>
      </c>
      <c r="S3047" t="s">
        <v>40</v>
      </c>
      <c r="U3047" s="1">
        <v>43344</v>
      </c>
      <c r="V3047" t="s">
        <v>41</v>
      </c>
      <c r="W3047" t="s">
        <v>42</v>
      </c>
      <c r="X3047" t="str">
        <f>"1990915"</f>
        <v>1990915</v>
      </c>
      <c r="Y3047" t="s">
        <v>1308</v>
      </c>
      <c r="Z3047" t="s">
        <v>1306</v>
      </c>
      <c r="AA3047" t="s">
        <v>1307</v>
      </c>
      <c r="AB3047" t="s">
        <v>1270</v>
      </c>
      <c r="AC3047" t="s">
        <v>51</v>
      </c>
      <c r="AD3047" t="s">
        <v>45</v>
      </c>
      <c r="AE3047" s="1">
        <v>26492</v>
      </c>
      <c r="AF3047">
        <v>2</v>
      </c>
      <c r="AG3047" t="s">
        <v>1307</v>
      </c>
      <c r="AH3047" s="36">
        <f t="shared" si="47"/>
        <v>47.125</v>
      </c>
      <c r="AI3047" s="41" t="s">
        <v>1780</v>
      </c>
    </row>
    <row r="3048" spans="1:35" x14ac:dyDescent="0.25">
      <c r="A3048" s="36">
        <v>99913046</v>
      </c>
      <c r="B3048" s="17" t="s">
        <v>32</v>
      </c>
      <c r="C3048" t="s">
        <v>85</v>
      </c>
      <c r="D3048" t="s">
        <v>86</v>
      </c>
      <c r="G3048" s="17" t="s">
        <v>48</v>
      </c>
      <c r="H3048" s="17">
        <v>1</v>
      </c>
      <c r="K3048" t="s">
        <v>223</v>
      </c>
      <c r="L3048" t="s">
        <v>224</v>
      </c>
      <c r="M3048" t="s">
        <v>131</v>
      </c>
      <c r="N3048">
        <v>20</v>
      </c>
      <c r="O3048" t="s">
        <v>40</v>
      </c>
      <c r="P3048" t="s">
        <v>40</v>
      </c>
      <c r="Q3048" t="s">
        <v>40</v>
      </c>
      <c r="R3048" t="s">
        <v>40</v>
      </c>
      <c r="S3048" t="s">
        <v>40</v>
      </c>
      <c r="V3048" t="s">
        <v>41</v>
      </c>
      <c r="W3048" t="s">
        <v>49</v>
      </c>
      <c r="X3048" t="str">
        <f>"0581202"</f>
        <v>0581202</v>
      </c>
      <c r="Y3048" t="s">
        <v>248</v>
      </c>
      <c r="Z3048" t="s">
        <v>223</v>
      </c>
      <c r="AA3048" t="s">
        <v>224</v>
      </c>
      <c r="AB3048" t="s">
        <v>131</v>
      </c>
      <c r="AC3048" t="s">
        <v>165</v>
      </c>
      <c r="AD3048" t="s">
        <v>45</v>
      </c>
      <c r="AE3048" s="1">
        <v>26489</v>
      </c>
      <c r="AF3048">
        <v>2</v>
      </c>
      <c r="AG3048" t="s">
        <v>224</v>
      </c>
      <c r="AH3048" s="36">
        <f t="shared" si="47"/>
        <v>47.133333333333333</v>
      </c>
      <c r="AI3048" s="41" t="s">
        <v>1780</v>
      </c>
    </row>
    <row r="3049" spans="1:35" x14ac:dyDescent="0.25">
      <c r="A3049" s="36">
        <v>99913047</v>
      </c>
      <c r="B3049" s="17" t="s">
        <v>32</v>
      </c>
      <c r="C3049" t="s">
        <v>251</v>
      </c>
      <c r="D3049" t="s">
        <v>252</v>
      </c>
      <c r="G3049" s="17" t="s">
        <v>35</v>
      </c>
      <c r="H3049" s="17">
        <v>1</v>
      </c>
      <c r="K3049" t="s">
        <v>963</v>
      </c>
      <c r="L3049" t="s">
        <v>964</v>
      </c>
      <c r="M3049" t="s">
        <v>938</v>
      </c>
      <c r="N3049">
        <v>20</v>
      </c>
      <c r="O3049" t="s">
        <v>40</v>
      </c>
      <c r="P3049" t="s">
        <v>40</v>
      </c>
      <c r="Q3049" t="s">
        <v>40</v>
      </c>
      <c r="R3049" t="s">
        <v>40</v>
      </c>
      <c r="S3049" t="s">
        <v>40</v>
      </c>
      <c r="V3049" t="s">
        <v>41</v>
      </c>
      <c r="W3049" t="s">
        <v>75</v>
      </c>
      <c r="X3049" t="str">
        <f>"7061000"</f>
        <v>7061000</v>
      </c>
      <c r="Y3049" t="s">
        <v>962</v>
      </c>
      <c r="Z3049" t="s">
        <v>963</v>
      </c>
      <c r="AA3049" t="s">
        <v>964</v>
      </c>
      <c r="AB3049" t="s">
        <v>938</v>
      </c>
      <c r="AC3049" t="s">
        <v>51</v>
      </c>
      <c r="AD3049" t="s">
        <v>45</v>
      </c>
      <c r="AE3049" s="1">
        <v>26488</v>
      </c>
      <c r="AF3049">
        <v>1</v>
      </c>
      <c r="AG3049" t="s">
        <v>964</v>
      </c>
      <c r="AH3049" s="36">
        <f t="shared" si="47"/>
        <v>47.136111111111113</v>
      </c>
      <c r="AI3049" s="41" t="s">
        <v>1780</v>
      </c>
    </row>
    <row r="3050" spans="1:35" x14ac:dyDescent="0.25">
      <c r="A3050" s="36">
        <v>99913048</v>
      </c>
      <c r="B3050" s="17" t="s">
        <v>32</v>
      </c>
      <c r="C3050" t="s">
        <v>64</v>
      </c>
      <c r="D3050" t="s">
        <v>65</v>
      </c>
      <c r="G3050" s="17" t="s">
        <v>48</v>
      </c>
      <c r="H3050" s="17">
        <v>1</v>
      </c>
      <c r="K3050" t="s">
        <v>223</v>
      </c>
      <c r="L3050" t="s">
        <v>224</v>
      </c>
      <c r="M3050" t="s">
        <v>131</v>
      </c>
      <c r="N3050">
        <v>20</v>
      </c>
      <c r="O3050" t="s">
        <v>40</v>
      </c>
      <c r="P3050" t="s">
        <v>40</v>
      </c>
      <c r="Q3050" t="s">
        <v>40</v>
      </c>
      <c r="S3050" t="s">
        <v>40</v>
      </c>
      <c r="V3050" t="s">
        <v>41</v>
      </c>
      <c r="W3050" t="s">
        <v>49</v>
      </c>
      <c r="X3050" t="str">
        <f>"0581206"</f>
        <v>0581206</v>
      </c>
      <c r="Y3050" t="s">
        <v>232</v>
      </c>
      <c r="Z3050" t="s">
        <v>223</v>
      </c>
      <c r="AA3050" t="s">
        <v>224</v>
      </c>
      <c r="AB3050" t="s">
        <v>131</v>
      </c>
      <c r="AC3050" t="s">
        <v>51</v>
      </c>
      <c r="AD3050" t="s">
        <v>45</v>
      </c>
      <c r="AE3050" s="1">
        <v>26487</v>
      </c>
      <c r="AF3050">
        <v>2</v>
      </c>
      <c r="AG3050" t="s">
        <v>224</v>
      </c>
      <c r="AH3050" s="36">
        <f t="shared" si="47"/>
        <v>47.138888888888886</v>
      </c>
      <c r="AI3050" s="41" t="s">
        <v>1780</v>
      </c>
    </row>
    <row r="3051" spans="1:35" x14ac:dyDescent="0.25">
      <c r="A3051" s="36">
        <v>99913049</v>
      </c>
      <c r="B3051" s="17" t="s">
        <v>56</v>
      </c>
      <c r="C3051" t="s">
        <v>52</v>
      </c>
      <c r="D3051" t="s">
        <v>53</v>
      </c>
      <c r="G3051" s="17" t="s">
        <v>48</v>
      </c>
      <c r="H3051" s="17">
        <v>1</v>
      </c>
      <c r="K3051" t="s">
        <v>223</v>
      </c>
      <c r="L3051" t="s">
        <v>224</v>
      </c>
      <c r="M3051" t="s">
        <v>131</v>
      </c>
      <c r="N3051">
        <v>19</v>
      </c>
      <c r="O3051" t="s">
        <v>40</v>
      </c>
      <c r="P3051" t="s">
        <v>40</v>
      </c>
      <c r="Q3051" t="s">
        <v>40</v>
      </c>
      <c r="R3051" t="s">
        <v>40</v>
      </c>
      <c r="S3051" t="s">
        <v>40</v>
      </c>
      <c r="V3051" t="s">
        <v>41</v>
      </c>
      <c r="W3051" t="s">
        <v>42</v>
      </c>
      <c r="X3051" t="str">
        <f>"0580206"</f>
        <v>0580206</v>
      </c>
      <c r="Y3051" t="s">
        <v>237</v>
      </c>
      <c r="Z3051" t="s">
        <v>223</v>
      </c>
      <c r="AA3051" t="s">
        <v>224</v>
      </c>
      <c r="AB3051" t="s">
        <v>131</v>
      </c>
      <c r="AC3051" t="s">
        <v>51</v>
      </c>
      <c r="AD3051" t="s">
        <v>45</v>
      </c>
      <c r="AE3051" s="1">
        <v>26486</v>
      </c>
      <c r="AF3051">
        <v>2</v>
      </c>
      <c r="AG3051" t="s">
        <v>224</v>
      </c>
      <c r="AH3051" s="36">
        <f t="shared" si="47"/>
        <v>47.141666666666666</v>
      </c>
      <c r="AI3051" s="41" t="s">
        <v>1780</v>
      </c>
    </row>
    <row r="3052" spans="1:35" x14ac:dyDescent="0.25">
      <c r="A3052" s="36">
        <v>99913050</v>
      </c>
      <c r="B3052" s="17" t="s">
        <v>32</v>
      </c>
      <c r="C3052" t="s">
        <v>111</v>
      </c>
      <c r="D3052" t="s">
        <v>112</v>
      </c>
      <c r="G3052" s="17" t="s">
        <v>48</v>
      </c>
      <c r="H3052" s="17">
        <v>10</v>
      </c>
      <c r="K3052" t="s">
        <v>195</v>
      </c>
      <c r="L3052" t="s">
        <v>196</v>
      </c>
      <c r="M3052" t="s">
        <v>131</v>
      </c>
      <c r="N3052">
        <v>21</v>
      </c>
      <c r="O3052" t="s">
        <v>40</v>
      </c>
      <c r="P3052" t="s">
        <v>40</v>
      </c>
      <c r="Q3052" t="s">
        <v>40</v>
      </c>
      <c r="R3052" t="s">
        <v>40</v>
      </c>
      <c r="S3052" t="s">
        <v>40</v>
      </c>
      <c r="U3052" s="1">
        <v>38664</v>
      </c>
      <c r="V3052" t="s">
        <v>41</v>
      </c>
      <c r="W3052" t="s">
        <v>75</v>
      </c>
      <c r="X3052" t="str">
        <f>"7521046"</f>
        <v>7521046</v>
      </c>
      <c r="Y3052" t="s">
        <v>436</v>
      </c>
      <c r="Z3052" t="s">
        <v>195</v>
      </c>
      <c r="AA3052" t="s">
        <v>196</v>
      </c>
      <c r="AB3052" t="s">
        <v>131</v>
      </c>
      <c r="AC3052" t="s">
        <v>165</v>
      </c>
      <c r="AD3052" t="s">
        <v>45</v>
      </c>
      <c r="AE3052" s="1">
        <v>26484</v>
      </c>
      <c r="AF3052">
        <v>1</v>
      </c>
      <c r="AG3052" t="s">
        <v>196</v>
      </c>
      <c r="AH3052" s="36">
        <f t="shared" si="47"/>
        <v>47.147222222222226</v>
      </c>
      <c r="AI3052" s="41" t="s">
        <v>1780</v>
      </c>
    </row>
    <row r="3053" spans="1:35" x14ac:dyDescent="0.25">
      <c r="A3053" s="36">
        <v>99913051</v>
      </c>
      <c r="B3053" s="17" t="s">
        <v>32</v>
      </c>
      <c r="C3053" t="s">
        <v>46</v>
      </c>
      <c r="D3053" t="s">
        <v>47</v>
      </c>
      <c r="G3053" s="17" t="s">
        <v>35</v>
      </c>
      <c r="H3053" s="17">
        <v>1</v>
      </c>
      <c r="K3053" t="s">
        <v>1268</v>
      </c>
      <c r="L3053" t="s">
        <v>1269</v>
      </c>
      <c r="M3053" t="s">
        <v>1270</v>
      </c>
      <c r="N3053">
        <v>18</v>
      </c>
      <c r="O3053" t="s">
        <v>40</v>
      </c>
      <c r="P3053" t="s">
        <v>40</v>
      </c>
      <c r="Q3053" t="s">
        <v>40</v>
      </c>
      <c r="S3053" t="s">
        <v>40</v>
      </c>
      <c r="V3053" t="s">
        <v>41</v>
      </c>
      <c r="W3053" t="s">
        <v>42</v>
      </c>
      <c r="X3053" t="str">
        <f>"1990914"</f>
        <v>1990914</v>
      </c>
      <c r="Y3053" t="s">
        <v>1275</v>
      </c>
      <c r="Z3053" t="s">
        <v>1268</v>
      </c>
      <c r="AA3053" t="s">
        <v>1269</v>
      </c>
      <c r="AB3053" t="s">
        <v>1270</v>
      </c>
      <c r="AC3053" t="s">
        <v>51</v>
      </c>
      <c r="AD3053" t="s">
        <v>45</v>
      </c>
      <c r="AE3053" s="1">
        <v>26483</v>
      </c>
      <c r="AF3053">
        <v>2</v>
      </c>
      <c r="AG3053" t="s">
        <v>1269</v>
      </c>
      <c r="AH3053" s="36">
        <f t="shared" si="47"/>
        <v>47.15</v>
      </c>
      <c r="AI3053" s="41" t="s">
        <v>1780</v>
      </c>
    </row>
    <row r="3054" spans="1:35" x14ac:dyDescent="0.25">
      <c r="A3054" s="36">
        <v>99913052</v>
      </c>
      <c r="B3054" s="17" t="s">
        <v>32</v>
      </c>
      <c r="C3054" t="s">
        <v>52</v>
      </c>
      <c r="D3054" t="s">
        <v>53</v>
      </c>
      <c r="G3054" s="17" t="s">
        <v>35</v>
      </c>
      <c r="H3054" s="17">
        <v>1</v>
      </c>
      <c r="K3054" t="s">
        <v>1626</v>
      </c>
      <c r="L3054" t="s">
        <v>1627</v>
      </c>
      <c r="M3054" t="s">
        <v>1592</v>
      </c>
      <c r="N3054">
        <v>20</v>
      </c>
      <c r="O3054" t="s">
        <v>40</v>
      </c>
      <c r="P3054" t="s">
        <v>40</v>
      </c>
      <c r="Q3054" t="s">
        <v>40</v>
      </c>
      <c r="R3054" t="s">
        <v>40</v>
      </c>
      <c r="S3054" t="s">
        <v>40</v>
      </c>
      <c r="V3054" t="s">
        <v>41</v>
      </c>
      <c r="W3054" t="s">
        <v>49</v>
      </c>
      <c r="X3054" t="str">
        <f>"3681015"</f>
        <v>3681015</v>
      </c>
      <c r="Y3054" t="s">
        <v>1629</v>
      </c>
      <c r="Z3054" t="s">
        <v>1626</v>
      </c>
      <c r="AA3054" t="s">
        <v>1627</v>
      </c>
      <c r="AB3054" t="s">
        <v>1592</v>
      </c>
      <c r="AC3054" t="s">
        <v>51</v>
      </c>
      <c r="AD3054" t="s">
        <v>45</v>
      </c>
      <c r="AE3054" s="1">
        <v>26481</v>
      </c>
      <c r="AF3054">
        <v>2</v>
      </c>
      <c r="AG3054" t="s">
        <v>1627</v>
      </c>
      <c r="AH3054" s="36">
        <f t="shared" si="47"/>
        <v>47.155555555555559</v>
      </c>
      <c r="AI3054" s="41" t="s">
        <v>1780</v>
      </c>
    </row>
    <row r="3055" spans="1:35" x14ac:dyDescent="0.25">
      <c r="A3055" s="36">
        <v>99913053</v>
      </c>
      <c r="B3055" s="17" t="s">
        <v>32</v>
      </c>
      <c r="C3055" t="s">
        <v>90</v>
      </c>
      <c r="D3055" t="s">
        <v>91</v>
      </c>
      <c r="G3055" s="17" t="s">
        <v>35</v>
      </c>
      <c r="H3055" s="17">
        <v>1</v>
      </c>
      <c r="I3055">
        <v>1781</v>
      </c>
      <c r="J3055" s="1">
        <v>43344</v>
      </c>
      <c r="K3055" t="s">
        <v>354</v>
      </c>
      <c r="L3055" t="s">
        <v>355</v>
      </c>
      <c r="M3055" t="s">
        <v>131</v>
      </c>
      <c r="N3055">
        <v>25</v>
      </c>
      <c r="O3055" t="s">
        <v>40</v>
      </c>
      <c r="S3055" t="s">
        <v>40</v>
      </c>
      <c r="U3055" s="1">
        <v>43344</v>
      </c>
      <c r="V3055" t="s">
        <v>41</v>
      </c>
      <c r="W3055" t="s">
        <v>95</v>
      </c>
      <c r="X3055" t="str">
        <f>"7054019"</f>
        <v>7054019</v>
      </c>
      <c r="Y3055" t="s">
        <v>802</v>
      </c>
      <c r="Z3055" t="s">
        <v>354</v>
      </c>
      <c r="AA3055" t="s">
        <v>355</v>
      </c>
      <c r="AB3055" t="s">
        <v>131</v>
      </c>
      <c r="AC3055" t="s">
        <v>51</v>
      </c>
      <c r="AD3055" t="s">
        <v>45</v>
      </c>
      <c r="AE3055" s="1">
        <v>26479</v>
      </c>
      <c r="AF3055">
        <v>1</v>
      </c>
      <c r="AG3055" t="s">
        <v>355</v>
      </c>
      <c r="AH3055" s="36">
        <f t="shared" si="47"/>
        <v>47.161111111111111</v>
      </c>
      <c r="AI3055" s="41" t="s">
        <v>1780</v>
      </c>
    </row>
    <row r="3056" spans="1:35" x14ac:dyDescent="0.25">
      <c r="A3056" s="36">
        <v>99913054</v>
      </c>
      <c r="B3056" s="17" t="s">
        <v>32</v>
      </c>
      <c r="C3056" t="s">
        <v>85</v>
      </c>
      <c r="D3056" t="s">
        <v>86</v>
      </c>
      <c r="G3056" s="17" t="s">
        <v>35</v>
      </c>
      <c r="H3056" s="17">
        <v>1</v>
      </c>
      <c r="I3056" t="s">
        <v>1340</v>
      </c>
      <c r="J3056" s="1">
        <v>43364</v>
      </c>
      <c r="K3056" t="s">
        <v>1336</v>
      </c>
      <c r="L3056" t="s">
        <v>1337</v>
      </c>
      <c r="M3056" t="s">
        <v>1270</v>
      </c>
      <c r="N3056">
        <v>16</v>
      </c>
      <c r="O3056" t="s">
        <v>40</v>
      </c>
      <c r="P3056" t="s">
        <v>40</v>
      </c>
      <c r="Q3056" t="s">
        <v>40</v>
      </c>
      <c r="R3056" t="s">
        <v>40</v>
      </c>
      <c r="S3056" t="s">
        <v>40</v>
      </c>
      <c r="U3056" s="1">
        <v>43364</v>
      </c>
      <c r="V3056" t="s">
        <v>41</v>
      </c>
      <c r="W3056" t="s">
        <v>42</v>
      </c>
      <c r="X3056" t="str">
        <f>"4475070"</f>
        <v>4475070</v>
      </c>
      <c r="Y3056" t="s">
        <v>1338</v>
      </c>
      <c r="Z3056" t="s">
        <v>1336</v>
      </c>
      <c r="AA3056" t="s">
        <v>1337</v>
      </c>
      <c r="AB3056" t="s">
        <v>1270</v>
      </c>
      <c r="AC3056" t="s">
        <v>51</v>
      </c>
      <c r="AD3056" t="s">
        <v>45</v>
      </c>
      <c r="AE3056" s="1">
        <v>26479</v>
      </c>
      <c r="AF3056">
        <v>2</v>
      </c>
      <c r="AG3056" t="s">
        <v>1337</v>
      </c>
      <c r="AH3056" s="36">
        <f t="shared" si="47"/>
        <v>47.161111111111111</v>
      </c>
      <c r="AI3056" s="41" t="s">
        <v>1780</v>
      </c>
    </row>
    <row r="3057" spans="1:35" x14ac:dyDescent="0.25">
      <c r="A3057" s="36">
        <v>99913055</v>
      </c>
      <c r="B3057" s="17" t="s">
        <v>32</v>
      </c>
      <c r="C3057" t="s">
        <v>139</v>
      </c>
      <c r="D3057" t="s">
        <v>140</v>
      </c>
      <c r="G3057" s="17" t="s">
        <v>35</v>
      </c>
      <c r="H3057" s="17">
        <v>1</v>
      </c>
      <c r="I3057">
        <v>14662</v>
      </c>
      <c r="J3057" s="1">
        <v>43348</v>
      </c>
      <c r="K3057" t="s">
        <v>1306</v>
      </c>
      <c r="L3057" t="s">
        <v>1307</v>
      </c>
      <c r="M3057" t="s">
        <v>1270</v>
      </c>
      <c r="N3057">
        <v>4</v>
      </c>
      <c r="O3057" t="s">
        <v>40</v>
      </c>
      <c r="S3057" t="s">
        <v>40</v>
      </c>
      <c r="U3057" s="1">
        <v>43348</v>
      </c>
      <c r="V3057" t="s">
        <v>41</v>
      </c>
      <c r="W3057" t="s">
        <v>49</v>
      </c>
      <c r="X3057" t="str">
        <f>"1991913"</f>
        <v>1991913</v>
      </c>
      <c r="Y3057" t="s">
        <v>1310</v>
      </c>
      <c r="Z3057" t="s">
        <v>1306</v>
      </c>
      <c r="AA3057" t="s">
        <v>1307</v>
      </c>
      <c r="AB3057" t="s">
        <v>1270</v>
      </c>
      <c r="AC3057" t="s">
        <v>44</v>
      </c>
      <c r="AD3057" t="s">
        <v>45</v>
      </c>
      <c r="AE3057" s="1">
        <v>26475</v>
      </c>
      <c r="AF3057">
        <v>2</v>
      </c>
      <c r="AG3057" t="s">
        <v>1307</v>
      </c>
      <c r="AH3057" s="36">
        <f t="shared" si="47"/>
        <v>47.172222222222224</v>
      </c>
      <c r="AI3057" s="41" t="s">
        <v>1780</v>
      </c>
    </row>
    <row r="3058" spans="1:35" x14ac:dyDescent="0.25">
      <c r="A3058" s="36">
        <v>99913056</v>
      </c>
      <c r="B3058" s="17" t="s">
        <v>56</v>
      </c>
      <c r="C3058" t="s">
        <v>68</v>
      </c>
      <c r="D3058" t="s">
        <v>69</v>
      </c>
      <c r="E3058" t="s">
        <v>61</v>
      </c>
      <c r="F3058" t="s">
        <v>62</v>
      </c>
      <c r="G3058" s="17" t="s">
        <v>48</v>
      </c>
      <c r="H3058" s="17">
        <v>1</v>
      </c>
      <c r="K3058" t="s">
        <v>1268</v>
      </c>
      <c r="L3058" t="s">
        <v>1269</v>
      </c>
      <c r="M3058" t="s">
        <v>1270</v>
      </c>
      <c r="N3058">
        <v>20</v>
      </c>
      <c r="O3058" t="s">
        <v>40</v>
      </c>
      <c r="P3058" t="s">
        <v>40</v>
      </c>
      <c r="Q3058" t="s">
        <v>40</v>
      </c>
      <c r="S3058" t="s">
        <v>40</v>
      </c>
      <c r="V3058" t="s">
        <v>41</v>
      </c>
      <c r="W3058" t="s">
        <v>49</v>
      </c>
      <c r="X3058" t="str">
        <f>"1981914"</f>
        <v>1981914</v>
      </c>
      <c r="Y3058" t="s">
        <v>1287</v>
      </c>
      <c r="Z3058" t="s">
        <v>1268</v>
      </c>
      <c r="AA3058" t="s">
        <v>1269</v>
      </c>
      <c r="AB3058" t="s">
        <v>1270</v>
      </c>
      <c r="AC3058" t="s">
        <v>51</v>
      </c>
      <c r="AD3058" t="s">
        <v>45</v>
      </c>
      <c r="AE3058" s="1">
        <v>26474</v>
      </c>
      <c r="AF3058">
        <v>2</v>
      </c>
      <c r="AG3058" t="s">
        <v>1269</v>
      </c>
      <c r="AH3058" s="36">
        <f t="shared" si="47"/>
        <v>47.174999999999997</v>
      </c>
      <c r="AI3058" s="41" t="s">
        <v>1780</v>
      </c>
    </row>
    <row r="3059" spans="1:35" x14ac:dyDescent="0.25">
      <c r="A3059" s="36">
        <v>99913057</v>
      </c>
      <c r="B3059" s="17" t="s">
        <v>56</v>
      </c>
      <c r="C3059" t="s">
        <v>139</v>
      </c>
      <c r="D3059" t="s">
        <v>140</v>
      </c>
      <c r="G3059" s="17" t="s">
        <v>48</v>
      </c>
      <c r="H3059" s="17">
        <v>1</v>
      </c>
      <c r="K3059" t="s">
        <v>162</v>
      </c>
      <c r="L3059" t="s">
        <v>158</v>
      </c>
      <c r="M3059" t="s">
        <v>131</v>
      </c>
      <c r="N3059">
        <v>3</v>
      </c>
      <c r="O3059" t="s">
        <v>40</v>
      </c>
      <c r="P3059" t="s">
        <v>40</v>
      </c>
      <c r="Q3059" t="s">
        <v>40</v>
      </c>
      <c r="S3059" t="s">
        <v>40</v>
      </c>
      <c r="V3059" t="s">
        <v>41</v>
      </c>
      <c r="W3059" t="s">
        <v>49</v>
      </c>
      <c r="X3059" t="str">
        <f>"0560027"</f>
        <v>0560027</v>
      </c>
      <c r="Y3059" t="s">
        <v>178</v>
      </c>
      <c r="Z3059" t="s">
        <v>162</v>
      </c>
      <c r="AA3059" t="s">
        <v>158</v>
      </c>
      <c r="AB3059" t="s">
        <v>131</v>
      </c>
      <c r="AC3059" t="s">
        <v>51</v>
      </c>
      <c r="AD3059" t="s">
        <v>45</v>
      </c>
      <c r="AE3059" s="1">
        <v>26472</v>
      </c>
      <c r="AF3059">
        <v>2</v>
      </c>
      <c r="AG3059" t="s">
        <v>158</v>
      </c>
      <c r="AH3059" s="36">
        <f t="shared" si="47"/>
        <v>47.180555555555557</v>
      </c>
      <c r="AI3059" s="41" t="s">
        <v>1780</v>
      </c>
    </row>
    <row r="3060" spans="1:35" x14ac:dyDescent="0.25">
      <c r="A3060" s="36">
        <v>99913058</v>
      </c>
      <c r="B3060" s="17" t="s">
        <v>56</v>
      </c>
      <c r="C3060" t="s">
        <v>52</v>
      </c>
      <c r="D3060" t="s">
        <v>53</v>
      </c>
      <c r="G3060" s="17" t="s">
        <v>48</v>
      </c>
      <c r="H3060" s="17">
        <v>1</v>
      </c>
      <c r="K3060" t="s">
        <v>300</v>
      </c>
      <c r="L3060" t="s">
        <v>301</v>
      </c>
      <c r="M3060" t="s">
        <v>131</v>
      </c>
      <c r="N3060">
        <v>20</v>
      </c>
      <c r="O3060" t="s">
        <v>40</v>
      </c>
      <c r="P3060" t="s">
        <v>40</v>
      </c>
      <c r="Q3060" t="s">
        <v>40</v>
      </c>
      <c r="R3060" t="s">
        <v>40</v>
      </c>
      <c r="S3060" t="s">
        <v>40</v>
      </c>
      <c r="V3060" t="s">
        <v>41</v>
      </c>
      <c r="W3060" t="s">
        <v>42</v>
      </c>
      <c r="X3060" t="str">
        <f>"0580176"</f>
        <v>0580176</v>
      </c>
      <c r="Y3060" t="s">
        <v>305</v>
      </c>
      <c r="Z3060" t="s">
        <v>300</v>
      </c>
      <c r="AA3060" t="s">
        <v>301</v>
      </c>
      <c r="AB3060" t="s">
        <v>131</v>
      </c>
      <c r="AC3060" t="s">
        <v>51</v>
      </c>
      <c r="AD3060" t="s">
        <v>45</v>
      </c>
      <c r="AE3060" s="1">
        <v>26472</v>
      </c>
      <c r="AF3060">
        <v>2</v>
      </c>
      <c r="AG3060" t="s">
        <v>301</v>
      </c>
      <c r="AH3060" s="36">
        <f t="shared" si="47"/>
        <v>47.180555555555557</v>
      </c>
      <c r="AI3060" s="41" t="s">
        <v>1780</v>
      </c>
    </row>
    <row r="3061" spans="1:35" x14ac:dyDescent="0.25">
      <c r="A3061" s="36">
        <v>99913059</v>
      </c>
      <c r="B3061" s="17" t="s">
        <v>32</v>
      </c>
      <c r="C3061" t="s">
        <v>90</v>
      </c>
      <c r="D3061" t="s">
        <v>91</v>
      </c>
      <c r="G3061" s="17" t="s">
        <v>35</v>
      </c>
      <c r="H3061" s="17">
        <v>1</v>
      </c>
      <c r="I3061" s="1">
        <v>40066</v>
      </c>
      <c r="J3061" s="1">
        <v>43344</v>
      </c>
      <c r="K3061" t="s">
        <v>1341</v>
      </c>
      <c r="L3061" t="s">
        <v>1342</v>
      </c>
      <c r="M3061" t="s">
        <v>1270</v>
      </c>
      <c r="N3061">
        <v>24</v>
      </c>
      <c r="O3061" t="s">
        <v>40</v>
      </c>
      <c r="S3061" t="s">
        <v>40</v>
      </c>
      <c r="U3061" s="1">
        <v>43344</v>
      </c>
      <c r="V3061" t="s">
        <v>41</v>
      </c>
      <c r="W3061" t="s">
        <v>75</v>
      </c>
      <c r="X3061" t="str">
        <f>"7191036"</f>
        <v>7191036</v>
      </c>
      <c r="Y3061" t="s">
        <v>1348</v>
      </c>
      <c r="Z3061" t="s">
        <v>1341</v>
      </c>
      <c r="AA3061" t="s">
        <v>1342</v>
      </c>
      <c r="AB3061" t="s">
        <v>1270</v>
      </c>
      <c r="AC3061" t="s">
        <v>51</v>
      </c>
      <c r="AD3061" t="s">
        <v>45</v>
      </c>
      <c r="AE3061" s="1">
        <v>26466</v>
      </c>
      <c r="AF3061">
        <v>1</v>
      </c>
      <c r="AG3061" t="s">
        <v>1342</v>
      </c>
      <c r="AH3061" s="36">
        <f t="shared" si="47"/>
        <v>47.197222222222223</v>
      </c>
      <c r="AI3061" s="41" t="s">
        <v>1780</v>
      </c>
    </row>
    <row r="3062" spans="1:35" x14ac:dyDescent="0.25">
      <c r="A3062" s="36">
        <v>99913060</v>
      </c>
      <c r="B3062" s="17" t="s">
        <v>56</v>
      </c>
      <c r="C3062" t="s">
        <v>46</v>
      </c>
      <c r="D3062" t="s">
        <v>47</v>
      </c>
      <c r="G3062" s="17" t="s">
        <v>48</v>
      </c>
      <c r="H3062" s="17">
        <v>1</v>
      </c>
      <c r="K3062" t="s">
        <v>223</v>
      </c>
      <c r="L3062" t="s">
        <v>224</v>
      </c>
      <c r="M3062" t="s">
        <v>131</v>
      </c>
      <c r="N3062">
        <v>20</v>
      </c>
      <c r="O3062" t="s">
        <v>40</v>
      </c>
      <c r="P3062" t="s">
        <v>40</v>
      </c>
      <c r="Q3062" t="s">
        <v>40</v>
      </c>
      <c r="R3062" t="s">
        <v>40</v>
      </c>
      <c r="S3062" t="s">
        <v>40</v>
      </c>
      <c r="V3062" t="s">
        <v>41</v>
      </c>
      <c r="W3062" t="s">
        <v>49</v>
      </c>
      <c r="X3062" t="str">
        <f>"0581202"</f>
        <v>0581202</v>
      </c>
      <c r="Y3062" t="s">
        <v>248</v>
      </c>
      <c r="Z3062" t="s">
        <v>223</v>
      </c>
      <c r="AA3062" t="s">
        <v>224</v>
      </c>
      <c r="AB3062" t="s">
        <v>131</v>
      </c>
      <c r="AC3062" t="s">
        <v>165</v>
      </c>
      <c r="AD3062" t="s">
        <v>45</v>
      </c>
      <c r="AE3062" s="1">
        <v>26463</v>
      </c>
      <c r="AF3062">
        <v>2</v>
      </c>
      <c r="AG3062" t="s">
        <v>224</v>
      </c>
      <c r="AH3062" s="36">
        <f t="shared" si="47"/>
        <v>47.205555555555556</v>
      </c>
      <c r="AI3062" s="41" t="s">
        <v>1780</v>
      </c>
    </row>
    <row r="3063" spans="1:35" x14ac:dyDescent="0.25">
      <c r="A3063" s="36">
        <v>99913061</v>
      </c>
      <c r="B3063" s="17" t="s">
        <v>32</v>
      </c>
      <c r="C3063" t="s">
        <v>90</v>
      </c>
      <c r="D3063" t="s">
        <v>91</v>
      </c>
      <c r="G3063" s="17" t="s">
        <v>48</v>
      </c>
      <c r="H3063" s="17">
        <v>1</v>
      </c>
      <c r="K3063" t="s">
        <v>268</v>
      </c>
      <c r="L3063" t="s">
        <v>269</v>
      </c>
      <c r="M3063" t="s">
        <v>131</v>
      </c>
      <c r="N3063">
        <v>22</v>
      </c>
      <c r="O3063" t="s">
        <v>40</v>
      </c>
      <c r="P3063" t="s">
        <v>40</v>
      </c>
      <c r="Q3063" t="s">
        <v>40</v>
      </c>
      <c r="S3063" t="s">
        <v>40</v>
      </c>
      <c r="V3063" t="s">
        <v>41</v>
      </c>
      <c r="W3063" t="s">
        <v>95</v>
      </c>
      <c r="X3063" t="str">
        <f>"7052001"</f>
        <v>7052001</v>
      </c>
      <c r="Y3063" t="s">
        <v>576</v>
      </c>
      <c r="Z3063" t="s">
        <v>268</v>
      </c>
      <c r="AA3063" t="s">
        <v>269</v>
      </c>
      <c r="AB3063" t="s">
        <v>131</v>
      </c>
      <c r="AC3063" t="s">
        <v>51</v>
      </c>
      <c r="AD3063" t="s">
        <v>45</v>
      </c>
      <c r="AE3063" s="1">
        <v>26461</v>
      </c>
      <c r="AF3063">
        <v>1</v>
      </c>
      <c r="AG3063" t="s">
        <v>269</v>
      </c>
      <c r="AH3063" s="36">
        <f t="shared" si="47"/>
        <v>47.211111111111109</v>
      </c>
      <c r="AI3063" s="41" t="s">
        <v>1780</v>
      </c>
    </row>
    <row r="3064" spans="1:35" x14ac:dyDescent="0.25">
      <c r="A3064" s="36">
        <v>99913062</v>
      </c>
      <c r="B3064" s="17" t="s">
        <v>56</v>
      </c>
      <c r="C3064" t="s">
        <v>79</v>
      </c>
      <c r="D3064" t="s">
        <v>80</v>
      </c>
      <c r="G3064" s="17" t="s">
        <v>48</v>
      </c>
      <c r="H3064" s="17">
        <v>1</v>
      </c>
      <c r="K3064" t="s">
        <v>380</v>
      </c>
      <c r="L3064" t="s">
        <v>381</v>
      </c>
      <c r="M3064" t="s">
        <v>131</v>
      </c>
      <c r="N3064">
        <v>8</v>
      </c>
      <c r="O3064" t="s">
        <v>40</v>
      </c>
      <c r="P3064" t="s">
        <v>40</v>
      </c>
      <c r="Q3064" t="s">
        <v>40</v>
      </c>
      <c r="R3064" t="s">
        <v>40</v>
      </c>
      <c r="S3064" t="s">
        <v>40</v>
      </c>
      <c r="V3064" t="s">
        <v>41</v>
      </c>
      <c r="W3064" t="s">
        <v>49</v>
      </c>
      <c r="X3064" t="str">
        <f>"0581859"</f>
        <v>0581859</v>
      </c>
      <c r="Y3064" t="s">
        <v>394</v>
      </c>
      <c r="Z3064" t="s">
        <v>380</v>
      </c>
      <c r="AA3064" t="s">
        <v>381</v>
      </c>
      <c r="AB3064" t="s">
        <v>131</v>
      </c>
      <c r="AC3064" t="s">
        <v>51</v>
      </c>
      <c r="AD3064" t="s">
        <v>45</v>
      </c>
      <c r="AE3064" s="1">
        <v>26460</v>
      </c>
      <c r="AF3064">
        <v>2</v>
      </c>
      <c r="AG3064" t="s">
        <v>381</v>
      </c>
      <c r="AH3064" s="36">
        <f t="shared" si="47"/>
        <v>47.213888888888889</v>
      </c>
      <c r="AI3064" s="41" t="s">
        <v>1780</v>
      </c>
    </row>
    <row r="3065" spans="1:35" x14ac:dyDescent="0.25">
      <c r="A3065" s="36">
        <v>99913063</v>
      </c>
      <c r="B3065" s="17" t="s">
        <v>32</v>
      </c>
      <c r="C3065" t="s">
        <v>79</v>
      </c>
      <c r="D3065" t="s">
        <v>80</v>
      </c>
      <c r="G3065" s="17" t="s">
        <v>48</v>
      </c>
      <c r="H3065" s="17">
        <v>1</v>
      </c>
      <c r="K3065" t="s">
        <v>431</v>
      </c>
      <c r="L3065" t="s">
        <v>196</v>
      </c>
      <c r="M3065" t="s">
        <v>131</v>
      </c>
      <c r="N3065">
        <v>22</v>
      </c>
      <c r="O3065" t="s">
        <v>40</v>
      </c>
      <c r="P3065" t="s">
        <v>40</v>
      </c>
      <c r="Q3065" t="s">
        <v>40</v>
      </c>
      <c r="S3065" t="s">
        <v>40</v>
      </c>
      <c r="V3065" t="s">
        <v>41</v>
      </c>
      <c r="W3065" t="s">
        <v>75</v>
      </c>
      <c r="X3065" t="str">
        <f>"7521016"</f>
        <v>7521016</v>
      </c>
      <c r="Y3065" t="s">
        <v>448</v>
      </c>
      <c r="Z3065" t="s">
        <v>431</v>
      </c>
      <c r="AA3065" t="s">
        <v>196</v>
      </c>
      <c r="AB3065" t="s">
        <v>131</v>
      </c>
      <c r="AC3065" t="s">
        <v>51</v>
      </c>
      <c r="AD3065" t="s">
        <v>45</v>
      </c>
      <c r="AE3065" s="1">
        <v>26455</v>
      </c>
      <c r="AF3065">
        <v>1</v>
      </c>
      <c r="AG3065" t="s">
        <v>196</v>
      </c>
      <c r="AH3065" s="36">
        <f t="shared" si="47"/>
        <v>47.227777777777774</v>
      </c>
      <c r="AI3065" s="41" t="s">
        <v>1780</v>
      </c>
    </row>
    <row r="3066" spans="1:35" x14ac:dyDescent="0.25">
      <c r="A3066" s="36">
        <v>99913064</v>
      </c>
      <c r="B3066" s="17" t="s">
        <v>32</v>
      </c>
      <c r="C3066" t="s">
        <v>90</v>
      </c>
      <c r="D3066" t="s">
        <v>91</v>
      </c>
      <c r="G3066" s="17" t="s">
        <v>35</v>
      </c>
      <c r="H3066" s="17">
        <v>1</v>
      </c>
      <c r="K3066" t="s">
        <v>268</v>
      </c>
      <c r="L3066" t="s">
        <v>269</v>
      </c>
      <c r="M3066" t="s">
        <v>131</v>
      </c>
      <c r="N3066">
        <v>6</v>
      </c>
      <c r="O3066" t="s">
        <v>40</v>
      </c>
      <c r="P3066" t="s">
        <v>40</v>
      </c>
      <c r="Q3066" t="s">
        <v>40</v>
      </c>
      <c r="S3066" t="s">
        <v>40</v>
      </c>
      <c r="V3066" t="s">
        <v>41</v>
      </c>
      <c r="W3066" t="s">
        <v>95</v>
      </c>
      <c r="X3066" t="str">
        <f>"7052235"</f>
        <v>7052235</v>
      </c>
      <c r="Y3066" t="s">
        <v>607</v>
      </c>
      <c r="Z3066" t="s">
        <v>268</v>
      </c>
      <c r="AA3066" t="s">
        <v>269</v>
      </c>
      <c r="AB3066" t="s">
        <v>131</v>
      </c>
      <c r="AC3066" t="s">
        <v>51</v>
      </c>
      <c r="AD3066" t="s">
        <v>45</v>
      </c>
      <c r="AE3066" s="1">
        <v>26451</v>
      </c>
      <c r="AF3066">
        <v>1</v>
      </c>
      <c r="AG3066" t="s">
        <v>269</v>
      </c>
      <c r="AH3066" s="36">
        <f t="shared" si="47"/>
        <v>47.238888888888887</v>
      </c>
      <c r="AI3066" s="41" t="s">
        <v>1780</v>
      </c>
    </row>
    <row r="3067" spans="1:35" x14ac:dyDescent="0.25">
      <c r="A3067" s="36">
        <v>99913065</v>
      </c>
      <c r="B3067" s="17" t="s">
        <v>32</v>
      </c>
      <c r="C3067" t="s">
        <v>71</v>
      </c>
      <c r="D3067" t="s">
        <v>72</v>
      </c>
      <c r="G3067" s="17" t="s">
        <v>88</v>
      </c>
      <c r="H3067" s="17">
        <v>2</v>
      </c>
      <c r="I3067" t="s">
        <v>438</v>
      </c>
      <c r="J3067" s="1">
        <v>40422</v>
      </c>
      <c r="K3067" t="s">
        <v>431</v>
      </c>
      <c r="L3067" t="s">
        <v>196</v>
      </c>
      <c r="M3067" t="s">
        <v>131</v>
      </c>
      <c r="N3067">
        <v>8</v>
      </c>
      <c r="O3067" t="s">
        <v>40</v>
      </c>
      <c r="P3067" t="s">
        <v>40</v>
      </c>
      <c r="Q3067" t="s">
        <v>40</v>
      </c>
      <c r="R3067" t="s">
        <v>40</v>
      </c>
      <c r="S3067" t="s">
        <v>40</v>
      </c>
      <c r="U3067" s="1">
        <v>40422</v>
      </c>
      <c r="V3067" t="s">
        <v>41</v>
      </c>
      <c r="W3067" t="s">
        <v>75</v>
      </c>
      <c r="X3067" t="str">
        <f>"7521012"</f>
        <v>7521012</v>
      </c>
      <c r="Y3067" t="s">
        <v>432</v>
      </c>
      <c r="Z3067" t="s">
        <v>431</v>
      </c>
      <c r="AA3067" t="s">
        <v>196</v>
      </c>
      <c r="AB3067" t="s">
        <v>131</v>
      </c>
      <c r="AC3067" t="s">
        <v>165</v>
      </c>
      <c r="AD3067" t="s">
        <v>45</v>
      </c>
      <c r="AE3067" s="1">
        <v>26450</v>
      </c>
      <c r="AF3067">
        <v>1</v>
      </c>
      <c r="AG3067" t="s">
        <v>196</v>
      </c>
      <c r="AH3067" s="36">
        <f t="shared" si="47"/>
        <v>47.241666666666667</v>
      </c>
      <c r="AI3067" s="41" t="s">
        <v>1780</v>
      </c>
    </row>
    <row r="3068" spans="1:35" x14ac:dyDescent="0.25">
      <c r="A3068" s="36">
        <v>99913066</v>
      </c>
      <c r="B3068" s="17" t="s">
        <v>56</v>
      </c>
      <c r="C3068" t="s">
        <v>111</v>
      </c>
      <c r="D3068" t="s">
        <v>112</v>
      </c>
      <c r="G3068" s="17" t="s">
        <v>48</v>
      </c>
      <c r="H3068" s="17">
        <v>9</v>
      </c>
      <c r="J3068" s="1">
        <v>43344</v>
      </c>
      <c r="K3068" t="s">
        <v>354</v>
      </c>
      <c r="L3068" t="s">
        <v>355</v>
      </c>
      <c r="M3068" t="s">
        <v>131</v>
      </c>
      <c r="N3068">
        <v>22</v>
      </c>
      <c r="O3068" t="s">
        <v>40</v>
      </c>
      <c r="P3068" t="s">
        <v>40</v>
      </c>
      <c r="Q3068" t="s">
        <v>40</v>
      </c>
      <c r="R3068" t="s">
        <v>40</v>
      </c>
      <c r="S3068" t="s">
        <v>40</v>
      </c>
      <c r="U3068" s="1">
        <v>43344</v>
      </c>
      <c r="V3068" t="s">
        <v>41</v>
      </c>
      <c r="W3068" t="s">
        <v>75</v>
      </c>
      <c r="X3068" t="str">
        <f>"7054022"</f>
        <v>7054022</v>
      </c>
      <c r="Y3068" t="s">
        <v>770</v>
      </c>
      <c r="Z3068" t="s">
        <v>354</v>
      </c>
      <c r="AA3068" t="s">
        <v>355</v>
      </c>
      <c r="AB3068" t="s">
        <v>131</v>
      </c>
      <c r="AC3068" t="s">
        <v>51</v>
      </c>
      <c r="AD3068" t="s">
        <v>45</v>
      </c>
      <c r="AE3068" s="1">
        <v>26450</v>
      </c>
      <c r="AF3068">
        <v>1</v>
      </c>
      <c r="AG3068" t="s">
        <v>355</v>
      </c>
      <c r="AH3068" s="36">
        <f t="shared" si="47"/>
        <v>47.241666666666667</v>
      </c>
      <c r="AI3068" s="41" t="s">
        <v>1780</v>
      </c>
    </row>
    <row r="3069" spans="1:35" x14ac:dyDescent="0.25">
      <c r="A3069" s="36">
        <v>99913067</v>
      </c>
      <c r="B3069" s="17" t="s">
        <v>56</v>
      </c>
      <c r="C3069" t="s">
        <v>58</v>
      </c>
      <c r="D3069" t="s">
        <v>59</v>
      </c>
      <c r="G3069" s="17" t="s">
        <v>35</v>
      </c>
      <c r="H3069" s="17">
        <v>1</v>
      </c>
      <c r="K3069" t="s">
        <v>947</v>
      </c>
      <c r="L3069" t="s">
        <v>948</v>
      </c>
      <c r="M3069" t="s">
        <v>938</v>
      </c>
      <c r="N3069">
        <v>13</v>
      </c>
      <c r="O3069" t="s">
        <v>40</v>
      </c>
      <c r="P3069" t="s">
        <v>40</v>
      </c>
      <c r="Q3069" t="s">
        <v>40</v>
      </c>
      <c r="R3069" t="s">
        <v>40</v>
      </c>
      <c r="S3069" t="s">
        <v>40</v>
      </c>
      <c r="V3069" t="s">
        <v>41</v>
      </c>
      <c r="W3069" t="s">
        <v>42</v>
      </c>
      <c r="X3069" t="str">
        <f>"0680039"</f>
        <v>0680039</v>
      </c>
      <c r="Y3069" t="s">
        <v>949</v>
      </c>
      <c r="Z3069" t="s">
        <v>947</v>
      </c>
      <c r="AA3069" t="s">
        <v>948</v>
      </c>
      <c r="AB3069" t="s">
        <v>938</v>
      </c>
      <c r="AC3069" t="s">
        <v>51</v>
      </c>
      <c r="AD3069" t="s">
        <v>45</v>
      </c>
      <c r="AE3069" s="1">
        <v>26449</v>
      </c>
      <c r="AF3069">
        <v>2</v>
      </c>
      <c r="AG3069" t="s">
        <v>948</v>
      </c>
      <c r="AH3069" s="36">
        <f t="shared" si="47"/>
        <v>47.244444444444447</v>
      </c>
      <c r="AI3069" s="41" t="s">
        <v>1780</v>
      </c>
    </row>
    <row r="3070" spans="1:35" x14ac:dyDescent="0.25">
      <c r="A3070" s="36">
        <v>99913068</v>
      </c>
      <c r="B3070" s="17" t="s">
        <v>32</v>
      </c>
      <c r="C3070" t="s">
        <v>46</v>
      </c>
      <c r="D3070" t="s">
        <v>47</v>
      </c>
      <c r="G3070" s="17" t="s">
        <v>35</v>
      </c>
      <c r="H3070" s="17">
        <v>1</v>
      </c>
      <c r="K3070" t="s">
        <v>1051</v>
      </c>
      <c r="L3070" t="s">
        <v>1052</v>
      </c>
      <c r="M3070" t="s">
        <v>1053</v>
      </c>
      <c r="N3070">
        <v>23</v>
      </c>
      <c r="O3070" t="s">
        <v>40</v>
      </c>
      <c r="P3070" t="s">
        <v>40</v>
      </c>
      <c r="Q3070" t="s">
        <v>40</v>
      </c>
      <c r="R3070" t="s">
        <v>40</v>
      </c>
      <c r="S3070" t="s">
        <v>40</v>
      </c>
      <c r="V3070" t="s">
        <v>41</v>
      </c>
      <c r="W3070" t="s">
        <v>42</v>
      </c>
      <c r="X3070" t="str">
        <f>"2061003"</f>
        <v>2061003</v>
      </c>
      <c r="Y3070" t="s">
        <v>1060</v>
      </c>
      <c r="Z3070" t="s">
        <v>1051</v>
      </c>
      <c r="AA3070" t="s">
        <v>1052</v>
      </c>
      <c r="AB3070" t="s">
        <v>1053</v>
      </c>
      <c r="AC3070" t="s">
        <v>51</v>
      </c>
      <c r="AD3070" t="s">
        <v>45</v>
      </c>
      <c r="AE3070" s="1">
        <v>26449</v>
      </c>
      <c r="AF3070">
        <v>2</v>
      </c>
      <c r="AG3070" t="s">
        <v>1052</v>
      </c>
      <c r="AH3070" s="36">
        <f t="shared" si="47"/>
        <v>47.244444444444447</v>
      </c>
      <c r="AI3070" s="41" t="s">
        <v>1780</v>
      </c>
    </row>
    <row r="3071" spans="1:35" x14ac:dyDescent="0.25">
      <c r="A3071" s="36">
        <v>99913069</v>
      </c>
      <c r="B3071" s="17" t="s">
        <v>32</v>
      </c>
      <c r="C3071" t="s">
        <v>139</v>
      </c>
      <c r="D3071" t="s">
        <v>140</v>
      </c>
      <c r="G3071" s="17" t="s">
        <v>48</v>
      </c>
      <c r="H3071" s="17">
        <v>7</v>
      </c>
      <c r="K3071" t="s">
        <v>1426</v>
      </c>
      <c r="L3071" t="s">
        <v>1427</v>
      </c>
      <c r="M3071" t="s">
        <v>1270</v>
      </c>
      <c r="N3071">
        <v>22</v>
      </c>
      <c r="O3071" t="s">
        <v>40</v>
      </c>
      <c r="P3071" t="s">
        <v>40</v>
      </c>
      <c r="Q3071" t="s">
        <v>40</v>
      </c>
      <c r="R3071" t="s">
        <v>40</v>
      </c>
      <c r="S3071" t="s">
        <v>40</v>
      </c>
      <c r="V3071" t="s">
        <v>41</v>
      </c>
      <c r="W3071" t="s">
        <v>75</v>
      </c>
      <c r="X3071" t="str">
        <f>"7192000"</f>
        <v>7192000</v>
      </c>
      <c r="Y3071" t="s">
        <v>1429</v>
      </c>
      <c r="Z3071" t="s">
        <v>1426</v>
      </c>
      <c r="AA3071" t="s">
        <v>1427</v>
      </c>
      <c r="AB3071" t="s">
        <v>1270</v>
      </c>
      <c r="AC3071" t="s">
        <v>51</v>
      </c>
      <c r="AD3071" t="s">
        <v>45</v>
      </c>
      <c r="AE3071" s="1">
        <v>26448</v>
      </c>
      <c r="AF3071">
        <v>1</v>
      </c>
      <c r="AG3071" t="s">
        <v>1427</v>
      </c>
      <c r="AH3071" s="36">
        <f t="shared" si="47"/>
        <v>47.24722222222222</v>
      </c>
      <c r="AI3071" s="41" t="s">
        <v>1780</v>
      </c>
    </row>
    <row r="3072" spans="1:35" x14ac:dyDescent="0.25">
      <c r="A3072" s="36">
        <v>99913070</v>
      </c>
      <c r="B3072" s="17" t="s">
        <v>32</v>
      </c>
      <c r="C3072" t="s">
        <v>85</v>
      </c>
      <c r="D3072" t="s">
        <v>86</v>
      </c>
      <c r="G3072" s="17" t="s">
        <v>48</v>
      </c>
      <c r="H3072" s="17">
        <v>1</v>
      </c>
      <c r="K3072" t="s">
        <v>223</v>
      </c>
      <c r="L3072" t="s">
        <v>224</v>
      </c>
      <c r="M3072" t="s">
        <v>131</v>
      </c>
      <c r="N3072">
        <v>14</v>
      </c>
      <c r="O3072" t="s">
        <v>40</v>
      </c>
      <c r="P3072" t="s">
        <v>40</v>
      </c>
      <c r="Q3072" t="s">
        <v>40</v>
      </c>
      <c r="R3072" t="s">
        <v>40</v>
      </c>
      <c r="S3072" t="s">
        <v>40</v>
      </c>
      <c r="V3072" t="s">
        <v>41</v>
      </c>
      <c r="W3072" t="s">
        <v>49</v>
      </c>
      <c r="X3072" t="str">
        <f>"0581200"</f>
        <v>0581200</v>
      </c>
      <c r="Y3072" t="s">
        <v>238</v>
      </c>
      <c r="Z3072" t="s">
        <v>223</v>
      </c>
      <c r="AA3072" t="s">
        <v>224</v>
      </c>
      <c r="AB3072" t="s">
        <v>131</v>
      </c>
      <c r="AC3072" t="s">
        <v>51</v>
      </c>
      <c r="AD3072" t="s">
        <v>45</v>
      </c>
      <c r="AE3072" s="1">
        <v>26446</v>
      </c>
      <c r="AF3072">
        <v>2</v>
      </c>
      <c r="AG3072" t="s">
        <v>224</v>
      </c>
      <c r="AH3072" s="36">
        <f t="shared" si="47"/>
        <v>47.25277777777778</v>
      </c>
      <c r="AI3072" s="41" t="s">
        <v>1780</v>
      </c>
    </row>
    <row r="3073" spans="1:35" x14ac:dyDescent="0.25">
      <c r="A3073" s="36">
        <v>99913071</v>
      </c>
      <c r="B3073" s="17" t="s">
        <v>32</v>
      </c>
      <c r="C3073" t="s">
        <v>139</v>
      </c>
      <c r="D3073" t="s">
        <v>140</v>
      </c>
      <c r="G3073" s="17" t="s">
        <v>48</v>
      </c>
      <c r="H3073" s="17">
        <v>3</v>
      </c>
      <c r="K3073" t="s">
        <v>1268</v>
      </c>
      <c r="L3073" t="s">
        <v>1269</v>
      </c>
      <c r="M3073" t="s">
        <v>1270</v>
      </c>
      <c r="N3073">
        <v>23</v>
      </c>
      <c r="O3073" t="s">
        <v>40</v>
      </c>
      <c r="P3073" t="s">
        <v>40</v>
      </c>
      <c r="Q3073" t="s">
        <v>40</v>
      </c>
      <c r="R3073" t="s">
        <v>40</v>
      </c>
      <c r="S3073" t="s">
        <v>40</v>
      </c>
      <c r="V3073" t="s">
        <v>41</v>
      </c>
      <c r="W3073" t="s">
        <v>49</v>
      </c>
      <c r="X3073" t="str">
        <f>"1960001"</f>
        <v>1960001</v>
      </c>
      <c r="Y3073" t="s">
        <v>1272</v>
      </c>
      <c r="Z3073" t="s">
        <v>1268</v>
      </c>
      <c r="AA3073" t="s">
        <v>1269</v>
      </c>
      <c r="AB3073" t="s">
        <v>1270</v>
      </c>
      <c r="AC3073" t="s">
        <v>51</v>
      </c>
      <c r="AD3073" t="s">
        <v>45</v>
      </c>
      <c r="AE3073" s="1">
        <v>26446</v>
      </c>
      <c r="AF3073">
        <v>2</v>
      </c>
      <c r="AG3073" t="s">
        <v>1269</v>
      </c>
      <c r="AH3073" s="36">
        <f t="shared" si="47"/>
        <v>47.25277777777778</v>
      </c>
      <c r="AI3073" s="41" t="s">
        <v>1780</v>
      </c>
    </row>
    <row r="3074" spans="1:35" x14ac:dyDescent="0.25">
      <c r="A3074" s="36">
        <v>99913072</v>
      </c>
      <c r="B3074" s="17" t="s">
        <v>32</v>
      </c>
      <c r="C3074" t="s">
        <v>90</v>
      </c>
      <c r="D3074" t="s">
        <v>91</v>
      </c>
      <c r="G3074" s="17" t="s">
        <v>48</v>
      </c>
      <c r="H3074" s="17">
        <v>1</v>
      </c>
      <c r="K3074" t="s">
        <v>1725</v>
      </c>
      <c r="L3074" t="s">
        <v>1726</v>
      </c>
      <c r="M3074" t="s">
        <v>1705</v>
      </c>
      <c r="N3074">
        <v>25</v>
      </c>
      <c r="O3074" t="s">
        <v>40</v>
      </c>
      <c r="P3074" t="s">
        <v>40</v>
      </c>
      <c r="Q3074" t="s">
        <v>40</v>
      </c>
      <c r="S3074" t="s">
        <v>40</v>
      </c>
      <c r="V3074" t="s">
        <v>41</v>
      </c>
      <c r="W3074" t="s">
        <v>95</v>
      </c>
      <c r="X3074" t="str">
        <f>"7461003"</f>
        <v>7461003</v>
      </c>
      <c r="Y3074" t="s">
        <v>1736</v>
      </c>
      <c r="Z3074" t="s">
        <v>1725</v>
      </c>
      <c r="AA3074" t="s">
        <v>1726</v>
      </c>
      <c r="AB3074" t="s">
        <v>1705</v>
      </c>
      <c r="AC3074" t="s">
        <v>51</v>
      </c>
      <c r="AD3074" t="s">
        <v>45</v>
      </c>
      <c r="AE3074" s="1">
        <v>26445</v>
      </c>
      <c r="AF3074">
        <v>1</v>
      </c>
      <c r="AG3074" t="s">
        <v>1726</v>
      </c>
      <c r="AH3074" s="36">
        <f t="shared" ref="AH3074:AH3137" si="48">($AJ$1-AE3074)/360</f>
        <v>47.255555555555553</v>
      </c>
      <c r="AI3074" s="41" t="s">
        <v>1780</v>
      </c>
    </row>
    <row r="3075" spans="1:35" x14ac:dyDescent="0.25">
      <c r="A3075" s="36">
        <v>99913073</v>
      </c>
      <c r="B3075" s="17" t="s">
        <v>32</v>
      </c>
      <c r="C3075" t="s">
        <v>85</v>
      </c>
      <c r="D3075" t="s">
        <v>86</v>
      </c>
      <c r="G3075" s="17" t="s">
        <v>48</v>
      </c>
      <c r="H3075" s="17">
        <v>1</v>
      </c>
      <c r="K3075" t="s">
        <v>300</v>
      </c>
      <c r="L3075" t="s">
        <v>301</v>
      </c>
      <c r="M3075" t="s">
        <v>131</v>
      </c>
      <c r="N3075">
        <v>21</v>
      </c>
      <c r="O3075" t="s">
        <v>40</v>
      </c>
      <c r="P3075" t="s">
        <v>40</v>
      </c>
      <c r="Q3075" t="s">
        <v>40</v>
      </c>
      <c r="R3075" t="s">
        <v>40</v>
      </c>
      <c r="S3075" t="s">
        <v>40</v>
      </c>
      <c r="V3075" t="s">
        <v>41</v>
      </c>
      <c r="W3075" t="s">
        <v>49</v>
      </c>
      <c r="X3075" t="str">
        <f>"0560020"</f>
        <v>0560020</v>
      </c>
      <c r="Y3075" t="s">
        <v>302</v>
      </c>
      <c r="Z3075" t="s">
        <v>300</v>
      </c>
      <c r="AA3075" t="s">
        <v>301</v>
      </c>
      <c r="AB3075" t="s">
        <v>131</v>
      </c>
      <c r="AC3075" t="s">
        <v>51</v>
      </c>
      <c r="AD3075" t="s">
        <v>45</v>
      </c>
      <c r="AE3075" s="1">
        <v>26444</v>
      </c>
      <c r="AF3075">
        <v>2</v>
      </c>
      <c r="AG3075" t="s">
        <v>301</v>
      </c>
      <c r="AH3075" s="36">
        <f t="shared" si="48"/>
        <v>47.258333333333333</v>
      </c>
      <c r="AI3075" s="41" t="s">
        <v>1780</v>
      </c>
    </row>
    <row r="3076" spans="1:35" x14ac:dyDescent="0.25">
      <c r="A3076" s="36">
        <v>99913074</v>
      </c>
      <c r="B3076" s="17" t="s">
        <v>56</v>
      </c>
      <c r="C3076" t="s">
        <v>149</v>
      </c>
      <c r="D3076" t="s">
        <v>150</v>
      </c>
      <c r="G3076" s="17" t="s">
        <v>35</v>
      </c>
      <c r="H3076" s="17">
        <v>1</v>
      </c>
      <c r="I3076">
        <v>0</v>
      </c>
      <c r="J3076" s="1">
        <v>43344</v>
      </c>
      <c r="K3076" t="s">
        <v>223</v>
      </c>
      <c r="L3076" t="s">
        <v>224</v>
      </c>
      <c r="M3076" t="s">
        <v>131</v>
      </c>
      <c r="N3076">
        <v>3</v>
      </c>
      <c r="O3076" t="s">
        <v>40</v>
      </c>
      <c r="P3076" t="s">
        <v>40</v>
      </c>
      <c r="Q3076" t="s">
        <v>40</v>
      </c>
      <c r="R3076" t="s">
        <v>40</v>
      </c>
      <c r="S3076" t="s">
        <v>40</v>
      </c>
      <c r="U3076" s="1">
        <v>43344</v>
      </c>
      <c r="V3076" t="s">
        <v>41</v>
      </c>
      <c r="W3076" t="s">
        <v>49</v>
      </c>
      <c r="X3076" t="str">
        <f>"0560034"</f>
        <v>0560034</v>
      </c>
      <c r="Y3076" t="s">
        <v>266</v>
      </c>
      <c r="Z3076" t="s">
        <v>223</v>
      </c>
      <c r="AA3076" t="s">
        <v>224</v>
      </c>
      <c r="AB3076" t="s">
        <v>131</v>
      </c>
      <c r="AC3076" t="s">
        <v>44</v>
      </c>
      <c r="AD3076" t="s">
        <v>45</v>
      </c>
      <c r="AE3076" s="1">
        <v>26442</v>
      </c>
      <c r="AF3076">
        <v>2</v>
      </c>
      <c r="AG3076" t="s">
        <v>224</v>
      </c>
      <c r="AH3076" s="36">
        <f t="shared" si="48"/>
        <v>47.263888888888886</v>
      </c>
      <c r="AI3076" s="41" t="s">
        <v>1780</v>
      </c>
    </row>
    <row r="3077" spans="1:35" x14ac:dyDescent="0.25">
      <c r="A3077" s="36">
        <v>99913075</v>
      </c>
      <c r="B3077" s="17" t="s">
        <v>32</v>
      </c>
      <c r="C3077" t="s">
        <v>46</v>
      </c>
      <c r="D3077" t="s">
        <v>47</v>
      </c>
      <c r="G3077" s="17" t="s">
        <v>35</v>
      </c>
      <c r="H3077" s="17">
        <v>1</v>
      </c>
      <c r="K3077" t="s">
        <v>223</v>
      </c>
      <c r="L3077" t="s">
        <v>224</v>
      </c>
      <c r="M3077" t="s">
        <v>131</v>
      </c>
      <c r="N3077">
        <v>20</v>
      </c>
      <c r="O3077" t="s">
        <v>40</v>
      </c>
      <c r="P3077" t="s">
        <v>40</v>
      </c>
      <c r="Q3077" t="s">
        <v>40</v>
      </c>
      <c r="S3077" t="s">
        <v>40</v>
      </c>
      <c r="V3077" t="s">
        <v>41</v>
      </c>
      <c r="W3077" t="s">
        <v>49</v>
      </c>
      <c r="X3077" t="str">
        <f>"0560018"</f>
        <v>0560018</v>
      </c>
      <c r="Y3077" t="s">
        <v>234</v>
      </c>
      <c r="Z3077" t="s">
        <v>223</v>
      </c>
      <c r="AA3077" t="s">
        <v>224</v>
      </c>
      <c r="AB3077" t="s">
        <v>131</v>
      </c>
      <c r="AC3077" t="s">
        <v>51</v>
      </c>
      <c r="AD3077" t="s">
        <v>45</v>
      </c>
      <c r="AE3077" s="1">
        <v>26442</v>
      </c>
      <c r="AF3077">
        <v>2</v>
      </c>
      <c r="AG3077" t="s">
        <v>224</v>
      </c>
      <c r="AH3077" s="36">
        <f t="shared" si="48"/>
        <v>47.263888888888886</v>
      </c>
      <c r="AI3077" s="41" t="s">
        <v>1780</v>
      </c>
    </row>
    <row r="3078" spans="1:35" x14ac:dyDescent="0.25">
      <c r="A3078" s="36">
        <v>99913076</v>
      </c>
      <c r="B3078" s="17" t="s">
        <v>32</v>
      </c>
      <c r="C3078" t="s">
        <v>79</v>
      </c>
      <c r="D3078" t="s">
        <v>80</v>
      </c>
      <c r="G3078" s="17" t="s">
        <v>35</v>
      </c>
      <c r="H3078" s="17">
        <v>1</v>
      </c>
      <c r="I3078">
        <v>0</v>
      </c>
      <c r="J3078" s="1">
        <v>43344</v>
      </c>
      <c r="K3078" t="s">
        <v>223</v>
      </c>
      <c r="L3078" t="s">
        <v>224</v>
      </c>
      <c r="M3078" t="s">
        <v>131</v>
      </c>
      <c r="N3078">
        <v>20</v>
      </c>
      <c r="O3078" t="s">
        <v>40</v>
      </c>
      <c r="P3078" t="s">
        <v>40</v>
      </c>
      <c r="Q3078" t="s">
        <v>40</v>
      </c>
      <c r="S3078" t="s">
        <v>40</v>
      </c>
      <c r="U3078" s="1">
        <v>43344</v>
      </c>
      <c r="V3078" t="s">
        <v>41</v>
      </c>
      <c r="W3078" t="s">
        <v>49</v>
      </c>
      <c r="X3078" t="str">
        <f>"0581207"</f>
        <v>0581207</v>
      </c>
      <c r="Y3078" t="s">
        <v>233</v>
      </c>
      <c r="Z3078" t="s">
        <v>223</v>
      </c>
      <c r="AA3078" t="s">
        <v>224</v>
      </c>
      <c r="AB3078" t="s">
        <v>131</v>
      </c>
      <c r="AC3078" t="s">
        <v>51</v>
      </c>
      <c r="AD3078" t="s">
        <v>45</v>
      </c>
      <c r="AE3078" s="1">
        <v>26442</v>
      </c>
      <c r="AF3078">
        <v>2</v>
      </c>
      <c r="AG3078" t="s">
        <v>224</v>
      </c>
      <c r="AH3078" s="36">
        <f t="shared" si="48"/>
        <v>47.263888888888886</v>
      </c>
      <c r="AI3078" s="41" t="s">
        <v>1780</v>
      </c>
    </row>
    <row r="3079" spans="1:35" x14ac:dyDescent="0.25">
      <c r="A3079" s="36">
        <v>99913077</v>
      </c>
      <c r="B3079" s="17" t="s">
        <v>32</v>
      </c>
      <c r="C3079" t="s">
        <v>90</v>
      </c>
      <c r="D3079" t="s">
        <v>91</v>
      </c>
      <c r="G3079" s="17" t="s">
        <v>35</v>
      </c>
      <c r="H3079" s="17">
        <v>1</v>
      </c>
      <c r="K3079" t="s">
        <v>268</v>
      </c>
      <c r="L3079" t="s">
        <v>269</v>
      </c>
      <c r="M3079" t="s">
        <v>131</v>
      </c>
      <c r="N3079">
        <v>6</v>
      </c>
      <c r="O3079" t="s">
        <v>40</v>
      </c>
      <c r="P3079" t="s">
        <v>40</v>
      </c>
      <c r="Q3079" t="s">
        <v>40</v>
      </c>
      <c r="S3079" t="s">
        <v>40</v>
      </c>
      <c r="V3079" t="s">
        <v>41</v>
      </c>
      <c r="W3079" t="s">
        <v>95</v>
      </c>
      <c r="X3079" t="str">
        <f>"7052195"</f>
        <v>7052195</v>
      </c>
      <c r="Y3079" t="s">
        <v>614</v>
      </c>
      <c r="Z3079" t="s">
        <v>268</v>
      </c>
      <c r="AA3079" t="s">
        <v>269</v>
      </c>
      <c r="AB3079" t="s">
        <v>131</v>
      </c>
      <c r="AC3079" t="s">
        <v>51</v>
      </c>
      <c r="AD3079" t="s">
        <v>45</v>
      </c>
      <c r="AE3079" s="1">
        <v>26442</v>
      </c>
      <c r="AF3079">
        <v>1</v>
      </c>
      <c r="AG3079" t="s">
        <v>269</v>
      </c>
      <c r="AH3079" s="36">
        <f t="shared" si="48"/>
        <v>47.263888888888886</v>
      </c>
      <c r="AI3079" s="41" t="s">
        <v>1780</v>
      </c>
    </row>
    <row r="3080" spans="1:35" x14ac:dyDescent="0.25">
      <c r="A3080" s="36">
        <v>99913078</v>
      </c>
      <c r="B3080" s="17" t="s">
        <v>56</v>
      </c>
      <c r="C3080" t="s">
        <v>46</v>
      </c>
      <c r="D3080" t="s">
        <v>47</v>
      </c>
      <c r="G3080" s="17" t="s">
        <v>48</v>
      </c>
      <c r="H3080" s="17">
        <v>1</v>
      </c>
      <c r="K3080" t="s">
        <v>129</v>
      </c>
      <c r="L3080" t="s">
        <v>130</v>
      </c>
      <c r="M3080" t="s">
        <v>131</v>
      </c>
      <c r="N3080">
        <v>20</v>
      </c>
      <c r="O3080" t="s">
        <v>40</v>
      </c>
      <c r="P3080" t="s">
        <v>40</v>
      </c>
      <c r="Q3080" t="s">
        <v>40</v>
      </c>
      <c r="R3080" t="s">
        <v>40</v>
      </c>
      <c r="S3080" t="s">
        <v>40</v>
      </c>
      <c r="V3080" t="s">
        <v>41</v>
      </c>
      <c r="W3080" t="s">
        <v>42</v>
      </c>
      <c r="X3080" t="str">
        <f>"0590905"</f>
        <v>0590905</v>
      </c>
      <c r="Y3080" t="s">
        <v>133</v>
      </c>
      <c r="Z3080" t="s">
        <v>129</v>
      </c>
      <c r="AA3080" t="s">
        <v>130</v>
      </c>
      <c r="AB3080" t="s">
        <v>131</v>
      </c>
      <c r="AC3080" t="s">
        <v>51</v>
      </c>
      <c r="AD3080" t="s">
        <v>45</v>
      </c>
      <c r="AE3080" s="1">
        <v>26441</v>
      </c>
      <c r="AF3080">
        <v>2</v>
      </c>
      <c r="AG3080" t="s">
        <v>130</v>
      </c>
      <c r="AH3080" s="36">
        <f t="shared" si="48"/>
        <v>47.266666666666666</v>
      </c>
      <c r="AI3080" s="41" t="s">
        <v>1780</v>
      </c>
    </row>
    <row r="3081" spans="1:35" x14ac:dyDescent="0.25">
      <c r="A3081" s="36">
        <v>99913079</v>
      </c>
      <c r="B3081" s="17" t="s">
        <v>32</v>
      </c>
      <c r="C3081" t="s">
        <v>46</v>
      </c>
      <c r="D3081" t="s">
        <v>47</v>
      </c>
      <c r="G3081" s="17" t="s">
        <v>35</v>
      </c>
      <c r="H3081" s="17">
        <v>10</v>
      </c>
      <c r="K3081" t="s">
        <v>345</v>
      </c>
      <c r="L3081" t="s">
        <v>346</v>
      </c>
      <c r="M3081" t="s">
        <v>131</v>
      </c>
      <c r="N3081">
        <v>18</v>
      </c>
      <c r="O3081" t="s">
        <v>40</v>
      </c>
      <c r="P3081" t="s">
        <v>40</v>
      </c>
      <c r="Q3081" t="s">
        <v>40</v>
      </c>
      <c r="R3081" t="s">
        <v>40</v>
      </c>
      <c r="S3081" t="s">
        <v>40</v>
      </c>
      <c r="V3081" t="s">
        <v>41</v>
      </c>
      <c r="W3081" t="s">
        <v>49</v>
      </c>
      <c r="X3081" t="str">
        <f>"0560007"</f>
        <v>0560007</v>
      </c>
      <c r="Y3081" t="s">
        <v>357</v>
      </c>
      <c r="Z3081" t="s">
        <v>345</v>
      </c>
      <c r="AA3081" t="s">
        <v>346</v>
      </c>
      <c r="AB3081" t="s">
        <v>131</v>
      </c>
      <c r="AC3081" t="s">
        <v>51</v>
      </c>
      <c r="AD3081" t="s">
        <v>45</v>
      </c>
      <c r="AE3081" s="1">
        <v>26441</v>
      </c>
      <c r="AF3081">
        <v>2</v>
      </c>
      <c r="AG3081" t="s">
        <v>346</v>
      </c>
      <c r="AH3081" s="36">
        <f t="shared" si="48"/>
        <v>47.266666666666666</v>
      </c>
      <c r="AI3081" s="41" t="s">
        <v>1780</v>
      </c>
    </row>
    <row r="3082" spans="1:35" x14ac:dyDescent="0.25">
      <c r="A3082" s="36">
        <v>99913080</v>
      </c>
      <c r="B3082" s="17" t="s">
        <v>32</v>
      </c>
      <c r="C3082" t="s">
        <v>46</v>
      </c>
      <c r="D3082" t="s">
        <v>47</v>
      </c>
      <c r="G3082" s="17" t="s">
        <v>48</v>
      </c>
      <c r="H3082" s="17">
        <v>1</v>
      </c>
      <c r="K3082" t="s">
        <v>345</v>
      </c>
      <c r="L3082" t="s">
        <v>346</v>
      </c>
      <c r="M3082" t="s">
        <v>131</v>
      </c>
      <c r="N3082">
        <v>20</v>
      </c>
      <c r="O3082" t="s">
        <v>40</v>
      </c>
      <c r="P3082" t="s">
        <v>40</v>
      </c>
      <c r="Q3082" t="s">
        <v>40</v>
      </c>
      <c r="R3082" t="s">
        <v>40</v>
      </c>
      <c r="S3082" t="s">
        <v>40</v>
      </c>
      <c r="V3082" t="s">
        <v>41</v>
      </c>
      <c r="W3082" t="s">
        <v>42</v>
      </c>
      <c r="X3082" t="str">
        <f>"0561019"</f>
        <v>0561019</v>
      </c>
      <c r="Y3082" t="s">
        <v>351</v>
      </c>
      <c r="Z3082" t="s">
        <v>345</v>
      </c>
      <c r="AA3082" t="s">
        <v>346</v>
      </c>
      <c r="AB3082" t="s">
        <v>131</v>
      </c>
      <c r="AC3082" t="s">
        <v>51</v>
      </c>
      <c r="AD3082" t="s">
        <v>45</v>
      </c>
      <c r="AE3082" s="1">
        <v>26440</v>
      </c>
      <c r="AF3082">
        <v>2</v>
      </c>
      <c r="AG3082" t="s">
        <v>346</v>
      </c>
      <c r="AH3082" s="36">
        <f t="shared" si="48"/>
        <v>47.269444444444446</v>
      </c>
      <c r="AI3082" s="41" t="s">
        <v>1780</v>
      </c>
    </row>
    <row r="3083" spans="1:35" x14ac:dyDescent="0.25">
      <c r="A3083" s="36">
        <v>99913081</v>
      </c>
      <c r="B3083" s="17" t="s">
        <v>32</v>
      </c>
      <c r="C3083" t="s">
        <v>52</v>
      </c>
      <c r="D3083" t="s">
        <v>53</v>
      </c>
      <c r="G3083" s="17" t="s">
        <v>48</v>
      </c>
      <c r="H3083" s="17">
        <v>11</v>
      </c>
      <c r="K3083" t="s">
        <v>129</v>
      </c>
      <c r="L3083" t="s">
        <v>130</v>
      </c>
      <c r="M3083" t="s">
        <v>131</v>
      </c>
      <c r="N3083">
        <v>18</v>
      </c>
      <c r="O3083" t="s">
        <v>40</v>
      </c>
      <c r="P3083" t="s">
        <v>40</v>
      </c>
      <c r="Q3083" t="s">
        <v>40</v>
      </c>
      <c r="R3083" t="s">
        <v>40</v>
      </c>
      <c r="S3083" t="s">
        <v>40</v>
      </c>
      <c r="U3083" s="1">
        <v>35319</v>
      </c>
      <c r="V3083" t="s">
        <v>41</v>
      </c>
      <c r="W3083" t="s">
        <v>49</v>
      </c>
      <c r="X3083" t="str">
        <f>"0580150"</f>
        <v>0580150</v>
      </c>
      <c r="Y3083" t="s">
        <v>134</v>
      </c>
      <c r="Z3083" t="s">
        <v>129</v>
      </c>
      <c r="AA3083" t="s">
        <v>130</v>
      </c>
      <c r="AB3083" t="s">
        <v>131</v>
      </c>
      <c r="AC3083" t="s">
        <v>51</v>
      </c>
      <c r="AD3083" t="s">
        <v>45</v>
      </c>
      <c r="AE3083" s="1">
        <v>26439</v>
      </c>
      <c r="AF3083">
        <v>2</v>
      </c>
      <c r="AG3083" t="s">
        <v>130</v>
      </c>
      <c r="AH3083" s="36">
        <f t="shared" si="48"/>
        <v>47.272222222222226</v>
      </c>
      <c r="AI3083" s="41" t="s">
        <v>1780</v>
      </c>
    </row>
    <row r="3084" spans="1:35" x14ac:dyDescent="0.25">
      <c r="A3084" s="36">
        <v>99913082</v>
      </c>
      <c r="B3084" s="17" t="s">
        <v>32</v>
      </c>
      <c r="C3084" t="s">
        <v>139</v>
      </c>
      <c r="D3084" t="s">
        <v>140</v>
      </c>
      <c r="E3084" t="s">
        <v>46</v>
      </c>
      <c r="F3084" t="s">
        <v>47</v>
      </c>
      <c r="G3084" s="17" t="s">
        <v>48</v>
      </c>
      <c r="H3084" s="17">
        <v>1</v>
      </c>
      <c r="K3084" t="s">
        <v>223</v>
      </c>
      <c r="L3084" t="s">
        <v>224</v>
      </c>
      <c r="M3084" t="s">
        <v>131</v>
      </c>
      <c r="N3084">
        <v>20</v>
      </c>
      <c r="O3084" t="s">
        <v>40</v>
      </c>
      <c r="P3084" t="s">
        <v>40</v>
      </c>
      <c r="Q3084" t="s">
        <v>40</v>
      </c>
      <c r="R3084" t="s">
        <v>40</v>
      </c>
      <c r="S3084" t="s">
        <v>40</v>
      </c>
      <c r="V3084" t="s">
        <v>41</v>
      </c>
      <c r="W3084" t="s">
        <v>49</v>
      </c>
      <c r="X3084" t="str">
        <f>"0581204"</f>
        <v>0581204</v>
      </c>
      <c r="Y3084" t="s">
        <v>249</v>
      </c>
      <c r="Z3084" t="s">
        <v>223</v>
      </c>
      <c r="AA3084" t="s">
        <v>224</v>
      </c>
      <c r="AB3084" t="s">
        <v>131</v>
      </c>
      <c r="AC3084" t="s">
        <v>51</v>
      </c>
      <c r="AD3084" t="s">
        <v>45</v>
      </c>
      <c r="AE3084" s="1">
        <v>26438</v>
      </c>
      <c r="AF3084">
        <v>2</v>
      </c>
      <c r="AG3084" t="s">
        <v>224</v>
      </c>
      <c r="AH3084" s="36">
        <f t="shared" si="48"/>
        <v>47.274999999999999</v>
      </c>
      <c r="AI3084" s="41" t="s">
        <v>1780</v>
      </c>
    </row>
    <row r="3085" spans="1:35" x14ac:dyDescent="0.25">
      <c r="A3085" s="36">
        <v>99913083</v>
      </c>
      <c r="B3085" s="17" t="s">
        <v>32</v>
      </c>
      <c r="C3085" t="s">
        <v>111</v>
      </c>
      <c r="D3085" t="s">
        <v>112</v>
      </c>
      <c r="G3085" s="17" t="s">
        <v>35</v>
      </c>
      <c r="H3085" s="17">
        <v>1</v>
      </c>
      <c r="K3085" t="s">
        <v>154</v>
      </c>
      <c r="L3085" t="s">
        <v>155</v>
      </c>
      <c r="M3085" t="s">
        <v>131</v>
      </c>
      <c r="N3085">
        <v>24</v>
      </c>
      <c r="O3085" t="s">
        <v>40</v>
      </c>
      <c r="P3085" t="s">
        <v>40</v>
      </c>
      <c r="Q3085" t="s">
        <v>40</v>
      </c>
      <c r="S3085" t="s">
        <v>40</v>
      </c>
      <c r="V3085" t="s">
        <v>41</v>
      </c>
      <c r="W3085" t="s">
        <v>75</v>
      </c>
      <c r="X3085" t="str">
        <f>"7051026"</f>
        <v>7051026</v>
      </c>
      <c r="Y3085" t="s">
        <v>396</v>
      </c>
      <c r="Z3085" t="s">
        <v>154</v>
      </c>
      <c r="AA3085" t="s">
        <v>155</v>
      </c>
      <c r="AB3085" t="s">
        <v>131</v>
      </c>
      <c r="AC3085" t="s">
        <v>51</v>
      </c>
      <c r="AD3085" t="s">
        <v>45</v>
      </c>
      <c r="AE3085" s="1">
        <v>26438</v>
      </c>
      <c r="AF3085">
        <v>1</v>
      </c>
      <c r="AG3085" t="s">
        <v>155</v>
      </c>
      <c r="AH3085" s="36">
        <f t="shared" si="48"/>
        <v>47.274999999999999</v>
      </c>
      <c r="AI3085" s="41" t="s">
        <v>1780</v>
      </c>
    </row>
    <row r="3086" spans="1:35" x14ac:dyDescent="0.25">
      <c r="A3086" s="36">
        <v>99913084</v>
      </c>
      <c r="B3086" s="17" t="s">
        <v>32</v>
      </c>
      <c r="C3086" t="s">
        <v>71</v>
      </c>
      <c r="D3086" t="s">
        <v>72</v>
      </c>
      <c r="G3086" s="17" t="s">
        <v>48</v>
      </c>
      <c r="H3086" s="17">
        <v>1</v>
      </c>
      <c r="K3086" t="s">
        <v>1268</v>
      </c>
      <c r="L3086" t="s">
        <v>1269</v>
      </c>
      <c r="M3086" t="s">
        <v>1270</v>
      </c>
      <c r="N3086">
        <v>20</v>
      </c>
      <c r="O3086" t="s">
        <v>40</v>
      </c>
      <c r="P3086" t="s">
        <v>40</v>
      </c>
      <c r="Q3086" t="s">
        <v>40</v>
      </c>
      <c r="R3086" t="s">
        <v>40</v>
      </c>
      <c r="S3086" t="s">
        <v>40</v>
      </c>
      <c r="V3086" t="s">
        <v>41</v>
      </c>
      <c r="W3086" t="s">
        <v>49</v>
      </c>
      <c r="X3086" t="str">
        <f>"1981912"</f>
        <v>1981912</v>
      </c>
      <c r="Y3086" t="s">
        <v>1279</v>
      </c>
      <c r="Z3086" t="s">
        <v>1268</v>
      </c>
      <c r="AA3086" t="s">
        <v>1269</v>
      </c>
      <c r="AB3086" t="s">
        <v>1270</v>
      </c>
      <c r="AC3086" t="s">
        <v>51</v>
      </c>
      <c r="AD3086" t="s">
        <v>45</v>
      </c>
      <c r="AE3086" s="1">
        <v>26436</v>
      </c>
      <c r="AF3086">
        <v>2</v>
      </c>
      <c r="AG3086" t="s">
        <v>1269</v>
      </c>
      <c r="AH3086" s="36">
        <f t="shared" si="48"/>
        <v>47.280555555555559</v>
      </c>
      <c r="AI3086" s="41" t="s">
        <v>1780</v>
      </c>
    </row>
    <row r="3087" spans="1:35" x14ac:dyDescent="0.25">
      <c r="A3087" s="36">
        <v>99913085</v>
      </c>
      <c r="B3087" s="17" t="s">
        <v>32</v>
      </c>
      <c r="C3087" t="s">
        <v>46</v>
      </c>
      <c r="D3087" t="s">
        <v>47</v>
      </c>
      <c r="G3087" s="17" t="s">
        <v>48</v>
      </c>
      <c r="H3087" s="17">
        <v>1</v>
      </c>
      <c r="K3087" t="s">
        <v>162</v>
      </c>
      <c r="L3087" t="s">
        <v>158</v>
      </c>
      <c r="M3087" t="s">
        <v>131</v>
      </c>
      <c r="N3087">
        <v>20</v>
      </c>
      <c r="O3087" t="s">
        <v>40</v>
      </c>
      <c r="P3087" t="s">
        <v>40</v>
      </c>
      <c r="Q3087" t="s">
        <v>40</v>
      </c>
      <c r="R3087" t="s">
        <v>40</v>
      </c>
      <c r="S3087" t="s">
        <v>40</v>
      </c>
      <c r="V3087" t="s">
        <v>41</v>
      </c>
      <c r="W3087" t="s">
        <v>42</v>
      </c>
      <c r="X3087" t="str">
        <f>"0580310"</f>
        <v>0580310</v>
      </c>
      <c r="Y3087" t="s">
        <v>173</v>
      </c>
      <c r="Z3087" t="s">
        <v>162</v>
      </c>
      <c r="AA3087" t="s">
        <v>158</v>
      </c>
      <c r="AB3087" t="s">
        <v>131</v>
      </c>
      <c r="AC3087" t="s">
        <v>51</v>
      </c>
      <c r="AD3087" t="s">
        <v>45</v>
      </c>
      <c r="AE3087" s="1">
        <v>26435</v>
      </c>
      <c r="AF3087">
        <v>2</v>
      </c>
      <c r="AG3087" t="s">
        <v>158</v>
      </c>
      <c r="AH3087" s="36">
        <f t="shared" si="48"/>
        <v>47.283333333333331</v>
      </c>
      <c r="AI3087" s="41" t="s">
        <v>1780</v>
      </c>
    </row>
    <row r="3088" spans="1:35" x14ac:dyDescent="0.25">
      <c r="A3088" s="36">
        <v>99913086</v>
      </c>
      <c r="B3088" s="17" t="s">
        <v>32</v>
      </c>
      <c r="C3088" t="s">
        <v>46</v>
      </c>
      <c r="D3088" t="s">
        <v>47</v>
      </c>
      <c r="G3088" s="17" t="s">
        <v>35</v>
      </c>
      <c r="H3088" s="17">
        <v>1</v>
      </c>
      <c r="K3088" t="s">
        <v>223</v>
      </c>
      <c r="L3088" t="s">
        <v>224</v>
      </c>
      <c r="M3088" t="s">
        <v>131</v>
      </c>
      <c r="N3088">
        <v>20</v>
      </c>
      <c r="O3088" t="s">
        <v>40</v>
      </c>
      <c r="P3088" t="s">
        <v>40</v>
      </c>
      <c r="Q3088" t="s">
        <v>40</v>
      </c>
      <c r="S3088" t="s">
        <v>40</v>
      </c>
      <c r="V3088" t="s">
        <v>41</v>
      </c>
      <c r="W3088" t="s">
        <v>49</v>
      </c>
      <c r="X3088" t="str">
        <f>"0581207"</f>
        <v>0581207</v>
      </c>
      <c r="Y3088" t="s">
        <v>233</v>
      </c>
      <c r="Z3088" t="s">
        <v>223</v>
      </c>
      <c r="AA3088" t="s">
        <v>224</v>
      </c>
      <c r="AB3088" t="s">
        <v>131</v>
      </c>
      <c r="AC3088" t="s">
        <v>165</v>
      </c>
      <c r="AD3088" t="s">
        <v>45</v>
      </c>
      <c r="AE3088" s="1">
        <v>26434</v>
      </c>
      <c r="AF3088">
        <v>2</v>
      </c>
      <c r="AG3088" t="s">
        <v>224</v>
      </c>
      <c r="AH3088" s="36">
        <f t="shared" si="48"/>
        <v>47.286111111111111</v>
      </c>
      <c r="AI3088" s="41" t="s">
        <v>1780</v>
      </c>
    </row>
    <row r="3089" spans="1:35" x14ac:dyDescent="0.25">
      <c r="A3089" s="36">
        <v>99913087</v>
      </c>
      <c r="B3089" s="17" t="s">
        <v>32</v>
      </c>
      <c r="C3089" t="s">
        <v>79</v>
      </c>
      <c r="D3089" t="s">
        <v>80</v>
      </c>
      <c r="G3089" s="17" t="s">
        <v>35</v>
      </c>
      <c r="H3089" s="17">
        <v>1</v>
      </c>
      <c r="I3089">
        <v>2668</v>
      </c>
      <c r="J3089" s="1">
        <v>43344</v>
      </c>
      <c r="K3089" t="s">
        <v>877</v>
      </c>
      <c r="L3089" t="s">
        <v>878</v>
      </c>
      <c r="M3089" t="s">
        <v>131</v>
      </c>
      <c r="N3089">
        <v>16</v>
      </c>
      <c r="O3089" t="s">
        <v>40</v>
      </c>
      <c r="S3089" t="s">
        <v>40</v>
      </c>
      <c r="U3089" s="1">
        <v>43344</v>
      </c>
      <c r="V3089" t="s">
        <v>41</v>
      </c>
      <c r="W3089" t="s">
        <v>75</v>
      </c>
      <c r="X3089" t="str">
        <f>"7541024"</f>
        <v>7541024</v>
      </c>
      <c r="Y3089" t="s">
        <v>885</v>
      </c>
      <c r="Z3089" t="s">
        <v>877</v>
      </c>
      <c r="AA3089" t="s">
        <v>878</v>
      </c>
      <c r="AB3089" t="s">
        <v>131</v>
      </c>
      <c r="AC3089" t="s">
        <v>51</v>
      </c>
      <c r="AD3089" t="s">
        <v>45</v>
      </c>
      <c r="AE3089" s="1">
        <v>26423</v>
      </c>
      <c r="AF3089">
        <v>1</v>
      </c>
      <c r="AG3089" t="s">
        <v>878</v>
      </c>
      <c r="AH3089" s="36">
        <f t="shared" si="48"/>
        <v>47.31666666666667</v>
      </c>
      <c r="AI3089" s="41" t="s">
        <v>1780</v>
      </c>
    </row>
    <row r="3090" spans="1:35" x14ac:dyDescent="0.25">
      <c r="A3090" s="36">
        <v>99913088</v>
      </c>
      <c r="B3090" s="17" t="s">
        <v>32</v>
      </c>
      <c r="C3090" t="s">
        <v>111</v>
      </c>
      <c r="D3090" t="s">
        <v>112</v>
      </c>
      <c r="G3090" s="17" t="s">
        <v>35</v>
      </c>
      <c r="H3090" s="17">
        <v>1</v>
      </c>
      <c r="K3090" t="s">
        <v>268</v>
      </c>
      <c r="L3090" t="s">
        <v>269</v>
      </c>
      <c r="M3090" t="s">
        <v>131</v>
      </c>
      <c r="N3090">
        <v>23</v>
      </c>
      <c r="O3090" t="s">
        <v>40</v>
      </c>
      <c r="P3090" t="s">
        <v>40</v>
      </c>
      <c r="Q3090" t="s">
        <v>40</v>
      </c>
      <c r="S3090" t="s">
        <v>40</v>
      </c>
      <c r="V3090" t="s">
        <v>41</v>
      </c>
      <c r="W3090" t="s">
        <v>75</v>
      </c>
      <c r="X3090" t="str">
        <f>"7052008"</f>
        <v>7052008</v>
      </c>
      <c r="Y3090" t="s">
        <v>274</v>
      </c>
      <c r="Z3090" t="s">
        <v>268</v>
      </c>
      <c r="AA3090" t="s">
        <v>269</v>
      </c>
      <c r="AB3090" t="s">
        <v>131</v>
      </c>
      <c r="AC3090" t="s">
        <v>51</v>
      </c>
      <c r="AD3090" t="s">
        <v>45</v>
      </c>
      <c r="AE3090" s="1">
        <v>26418</v>
      </c>
      <c r="AF3090">
        <v>1</v>
      </c>
      <c r="AG3090" t="s">
        <v>269</v>
      </c>
      <c r="AH3090" s="36">
        <f t="shared" si="48"/>
        <v>47.330555555555556</v>
      </c>
      <c r="AI3090" s="41" t="s">
        <v>1780</v>
      </c>
    </row>
    <row r="3091" spans="1:35" x14ac:dyDescent="0.25">
      <c r="A3091" s="36">
        <v>99913089</v>
      </c>
      <c r="B3091" s="17" t="s">
        <v>32</v>
      </c>
      <c r="C3091" t="s">
        <v>79</v>
      </c>
      <c r="D3091" t="s">
        <v>80</v>
      </c>
      <c r="G3091" s="17" t="s">
        <v>48</v>
      </c>
      <c r="H3091" s="17">
        <v>1</v>
      </c>
      <c r="K3091" t="s">
        <v>223</v>
      </c>
      <c r="L3091" t="s">
        <v>224</v>
      </c>
      <c r="M3091" t="s">
        <v>131</v>
      </c>
      <c r="N3091">
        <v>20</v>
      </c>
      <c r="O3091" t="s">
        <v>40</v>
      </c>
      <c r="P3091" t="s">
        <v>40</v>
      </c>
      <c r="Q3091" t="s">
        <v>40</v>
      </c>
      <c r="S3091" t="s">
        <v>40</v>
      </c>
      <c r="V3091" t="s">
        <v>41</v>
      </c>
      <c r="W3091" t="s">
        <v>49</v>
      </c>
      <c r="X3091" t="str">
        <f>"0581204"</f>
        <v>0581204</v>
      </c>
      <c r="Y3091" t="s">
        <v>249</v>
      </c>
      <c r="Z3091" t="s">
        <v>223</v>
      </c>
      <c r="AA3091" t="s">
        <v>224</v>
      </c>
      <c r="AB3091" t="s">
        <v>131</v>
      </c>
      <c r="AC3091" t="s">
        <v>51</v>
      </c>
      <c r="AD3091" t="s">
        <v>45</v>
      </c>
      <c r="AE3091" s="1">
        <v>26417</v>
      </c>
      <c r="AF3091">
        <v>2</v>
      </c>
      <c r="AG3091" t="s">
        <v>224</v>
      </c>
      <c r="AH3091" s="36">
        <f t="shared" si="48"/>
        <v>47.333333333333336</v>
      </c>
      <c r="AI3091" s="41" t="s">
        <v>1780</v>
      </c>
    </row>
    <row r="3092" spans="1:35" x14ac:dyDescent="0.25">
      <c r="A3092" s="36">
        <v>99913090</v>
      </c>
      <c r="B3092" s="17" t="s">
        <v>56</v>
      </c>
      <c r="C3092" t="s">
        <v>90</v>
      </c>
      <c r="D3092" t="s">
        <v>91</v>
      </c>
      <c r="G3092" s="17" t="s">
        <v>48</v>
      </c>
      <c r="H3092" s="17">
        <v>1</v>
      </c>
      <c r="K3092" t="s">
        <v>877</v>
      </c>
      <c r="L3092" t="s">
        <v>878</v>
      </c>
      <c r="M3092" t="s">
        <v>131</v>
      </c>
      <c r="N3092">
        <v>24</v>
      </c>
      <c r="O3092" t="s">
        <v>40</v>
      </c>
      <c r="P3092" t="s">
        <v>40</v>
      </c>
      <c r="Q3092" t="s">
        <v>40</v>
      </c>
      <c r="S3092" t="s">
        <v>40</v>
      </c>
      <c r="V3092" t="s">
        <v>41</v>
      </c>
      <c r="W3092" t="s">
        <v>75</v>
      </c>
      <c r="X3092" t="str">
        <f>"7541008"</f>
        <v>7541008</v>
      </c>
      <c r="Y3092" t="s">
        <v>879</v>
      </c>
      <c r="Z3092" t="s">
        <v>877</v>
      </c>
      <c r="AA3092" t="s">
        <v>878</v>
      </c>
      <c r="AB3092" t="s">
        <v>131</v>
      </c>
      <c r="AC3092" t="s">
        <v>51</v>
      </c>
      <c r="AD3092" t="s">
        <v>45</v>
      </c>
      <c r="AE3092" s="1">
        <v>26417</v>
      </c>
      <c r="AF3092">
        <v>1</v>
      </c>
      <c r="AG3092" t="s">
        <v>878</v>
      </c>
      <c r="AH3092" s="36">
        <f t="shared" si="48"/>
        <v>47.333333333333336</v>
      </c>
      <c r="AI3092" s="41" t="s">
        <v>1780</v>
      </c>
    </row>
    <row r="3093" spans="1:35" x14ac:dyDescent="0.25">
      <c r="A3093" s="36">
        <v>99913091</v>
      </c>
      <c r="B3093" s="17" t="s">
        <v>56</v>
      </c>
      <c r="C3093" t="s">
        <v>85</v>
      </c>
      <c r="D3093" t="s">
        <v>86</v>
      </c>
      <c r="G3093" s="17" t="s">
        <v>48</v>
      </c>
      <c r="H3093" s="17">
        <v>11</v>
      </c>
      <c r="K3093" t="s">
        <v>1268</v>
      </c>
      <c r="L3093" t="s">
        <v>1269</v>
      </c>
      <c r="M3093" t="s">
        <v>1270</v>
      </c>
      <c r="N3093">
        <v>18</v>
      </c>
      <c r="O3093" t="s">
        <v>40</v>
      </c>
      <c r="P3093" t="s">
        <v>40</v>
      </c>
      <c r="Q3093" t="s">
        <v>40</v>
      </c>
      <c r="R3093" t="s">
        <v>40</v>
      </c>
      <c r="S3093" t="s">
        <v>40</v>
      </c>
      <c r="U3093" s="1">
        <v>43344</v>
      </c>
      <c r="V3093" t="s">
        <v>41</v>
      </c>
      <c r="W3093" t="s">
        <v>42</v>
      </c>
      <c r="X3093" t="str">
        <f>"1980060"</f>
        <v>1980060</v>
      </c>
      <c r="Y3093" t="s">
        <v>1277</v>
      </c>
      <c r="Z3093" t="s">
        <v>1268</v>
      </c>
      <c r="AA3093" t="s">
        <v>1269</v>
      </c>
      <c r="AB3093" t="s">
        <v>1270</v>
      </c>
      <c r="AC3093" t="s">
        <v>51</v>
      </c>
      <c r="AD3093" t="s">
        <v>45</v>
      </c>
      <c r="AE3093" s="1">
        <v>26417</v>
      </c>
      <c r="AF3093">
        <v>2</v>
      </c>
      <c r="AG3093" t="s">
        <v>1269</v>
      </c>
      <c r="AH3093" s="36">
        <f t="shared" si="48"/>
        <v>47.333333333333336</v>
      </c>
      <c r="AI3093" s="41" t="s">
        <v>1780</v>
      </c>
    </row>
    <row r="3094" spans="1:35" x14ac:dyDescent="0.25">
      <c r="A3094" s="36">
        <v>99913092</v>
      </c>
      <c r="B3094" s="17" t="s">
        <v>32</v>
      </c>
      <c r="C3094" t="s">
        <v>79</v>
      </c>
      <c r="D3094" t="s">
        <v>80</v>
      </c>
      <c r="G3094" s="17" t="s">
        <v>35</v>
      </c>
      <c r="H3094" s="17">
        <v>1</v>
      </c>
      <c r="K3094" t="s">
        <v>157</v>
      </c>
      <c r="L3094" t="s">
        <v>158</v>
      </c>
      <c r="M3094" t="s">
        <v>131</v>
      </c>
      <c r="N3094">
        <v>30</v>
      </c>
      <c r="O3094" t="s">
        <v>40</v>
      </c>
      <c r="P3094" t="s">
        <v>40</v>
      </c>
      <c r="Q3094" t="s">
        <v>40</v>
      </c>
      <c r="S3094" t="s">
        <v>40</v>
      </c>
      <c r="V3094" t="s">
        <v>41</v>
      </c>
      <c r="W3094" t="s">
        <v>49</v>
      </c>
      <c r="X3094" t="str">
        <f>"0581725"</f>
        <v>0581725</v>
      </c>
      <c r="Y3094" t="s">
        <v>161</v>
      </c>
      <c r="Z3094" t="s">
        <v>157</v>
      </c>
      <c r="AA3094" t="s">
        <v>158</v>
      </c>
      <c r="AB3094" t="s">
        <v>131</v>
      </c>
      <c r="AC3094" t="s">
        <v>51</v>
      </c>
      <c r="AD3094" t="s">
        <v>45</v>
      </c>
      <c r="AE3094" s="1">
        <v>26415</v>
      </c>
      <c r="AF3094">
        <v>2</v>
      </c>
      <c r="AG3094" t="s">
        <v>158</v>
      </c>
      <c r="AH3094" s="36">
        <f t="shared" si="48"/>
        <v>47.338888888888889</v>
      </c>
      <c r="AI3094" s="41" t="s">
        <v>1780</v>
      </c>
    </row>
    <row r="3095" spans="1:35" x14ac:dyDescent="0.25">
      <c r="A3095" s="36">
        <v>99913093</v>
      </c>
      <c r="B3095" s="17" t="s">
        <v>56</v>
      </c>
      <c r="C3095" t="s">
        <v>46</v>
      </c>
      <c r="D3095" t="s">
        <v>47</v>
      </c>
      <c r="G3095" s="17" t="s">
        <v>48</v>
      </c>
      <c r="H3095" s="17">
        <v>7</v>
      </c>
      <c r="K3095" t="s">
        <v>1051</v>
      </c>
      <c r="L3095" t="s">
        <v>1052</v>
      </c>
      <c r="M3095" t="s">
        <v>1053</v>
      </c>
      <c r="N3095">
        <v>20</v>
      </c>
      <c r="O3095" t="s">
        <v>40</v>
      </c>
      <c r="P3095" t="s">
        <v>40</v>
      </c>
      <c r="Q3095" t="s">
        <v>40</v>
      </c>
      <c r="R3095" t="s">
        <v>40</v>
      </c>
      <c r="S3095" t="s">
        <v>40</v>
      </c>
      <c r="V3095" t="s">
        <v>41</v>
      </c>
      <c r="W3095" t="s">
        <v>49</v>
      </c>
      <c r="X3095" t="str">
        <f>"2080025"</f>
        <v>2080025</v>
      </c>
      <c r="Y3095" t="s">
        <v>1057</v>
      </c>
      <c r="Z3095" t="s">
        <v>1051</v>
      </c>
      <c r="AA3095" t="s">
        <v>1052</v>
      </c>
      <c r="AB3095" t="s">
        <v>1053</v>
      </c>
      <c r="AC3095" t="s">
        <v>51</v>
      </c>
      <c r="AD3095" t="s">
        <v>45</v>
      </c>
      <c r="AE3095" s="1">
        <v>26414</v>
      </c>
      <c r="AF3095">
        <v>2</v>
      </c>
      <c r="AG3095" t="s">
        <v>1052</v>
      </c>
      <c r="AH3095" s="36">
        <f t="shared" si="48"/>
        <v>47.341666666666669</v>
      </c>
      <c r="AI3095" s="41" t="s">
        <v>1780</v>
      </c>
    </row>
    <row r="3096" spans="1:35" x14ac:dyDescent="0.25">
      <c r="A3096" s="36">
        <v>99913094</v>
      </c>
      <c r="B3096" s="17" t="s">
        <v>32</v>
      </c>
      <c r="C3096" t="s">
        <v>46</v>
      </c>
      <c r="D3096" t="s">
        <v>47</v>
      </c>
      <c r="G3096" s="17" t="s">
        <v>35</v>
      </c>
      <c r="H3096" s="17">
        <v>1</v>
      </c>
      <c r="I3096" t="s">
        <v>292</v>
      </c>
      <c r="J3096" s="1">
        <v>43344</v>
      </c>
      <c r="K3096" t="s">
        <v>223</v>
      </c>
      <c r="L3096" t="s">
        <v>224</v>
      </c>
      <c r="M3096" t="s">
        <v>131</v>
      </c>
      <c r="N3096">
        <v>20</v>
      </c>
      <c r="O3096" t="s">
        <v>40</v>
      </c>
      <c r="P3096" t="s">
        <v>40</v>
      </c>
      <c r="Q3096" t="s">
        <v>40</v>
      </c>
      <c r="R3096" t="s">
        <v>40</v>
      </c>
      <c r="S3096" t="s">
        <v>40</v>
      </c>
      <c r="U3096" s="1">
        <v>43344</v>
      </c>
      <c r="V3096" t="s">
        <v>41</v>
      </c>
      <c r="W3096" t="s">
        <v>49</v>
      </c>
      <c r="X3096" t="str">
        <f>"0581207"</f>
        <v>0581207</v>
      </c>
      <c r="Y3096" t="s">
        <v>233</v>
      </c>
      <c r="Z3096" t="s">
        <v>223</v>
      </c>
      <c r="AA3096" t="s">
        <v>224</v>
      </c>
      <c r="AB3096" t="s">
        <v>131</v>
      </c>
      <c r="AC3096" t="s">
        <v>44</v>
      </c>
      <c r="AD3096" t="s">
        <v>45</v>
      </c>
      <c r="AE3096" s="1">
        <v>26410</v>
      </c>
      <c r="AF3096">
        <v>2</v>
      </c>
      <c r="AG3096" t="s">
        <v>224</v>
      </c>
      <c r="AH3096" s="36">
        <f t="shared" si="48"/>
        <v>47.352777777777774</v>
      </c>
      <c r="AI3096" s="41" t="s">
        <v>1780</v>
      </c>
    </row>
    <row r="3097" spans="1:35" x14ac:dyDescent="0.25">
      <c r="A3097" s="36">
        <v>99913095</v>
      </c>
      <c r="B3097" s="17" t="s">
        <v>56</v>
      </c>
      <c r="C3097" t="s">
        <v>141</v>
      </c>
      <c r="D3097" t="s">
        <v>142</v>
      </c>
      <c r="G3097" s="17" t="s">
        <v>48</v>
      </c>
      <c r="H3097" s="17">
        <v>1</v>
      </c>
      <c r="K3097" t="s">
        <v>1198</v>
      </c>
      <c r="L3097" t="s">
        <v>1199</v>
      </c>
      <c r="M3097" t="s">
        <v>1130</v>
      </c>
      <c r="N3097">
        <v>23</v>
      </c>
      <c r="O3097" t="s">
        <v>40</v>
      </c>
      <c r="P3097" t="s">
        <v>40</v>
      </c>
      <c r="Q3097" t="s">
        <v>40</v>
      </c>
      <c r="R3097" t="s">
        <v>40</v>
      </c>
      <c r="S3097" t="s">
        <v>40</v>
      </c>
      <c r="V3097" t="s">
        <v>41</v>
      </c>
      <c r="W3097" t="s">
        <v>75</v>
      </c>
      <c r="X3097" t="str">
        <f>"7311008"</f>
        <v>7311008</v>
      </c>
      <c r="Y3097" t="s">
        <v>1205</v>
      </c>
      <c r="Z3097" t="s">
        <v>1198</v>
      </c>
      <c r="AA3097" t="s">
        <v>1199</v>
      </c>
      <c r="AB3097" t="s">
        <v>1130</v>
      </c>
      <c r="AC3097" t="s">
        <v>51</v>
      </c>
      <c r="AD3097" t="s">
        <v>45</v>
      </c>
      <c r="AE3097" s="1">
        <v>26410</v>
      </c>
      <c r="AF3097">
        <v>1</v>
      </c>
      <c r="AG3097" t="s">
        <v>1199</v>
      </c>
      <c r="AH3097" s="36">
        <f t="shared" si="48"/>
        <v>47.352777777777774</v>
      </c>
      <c r="AI3097" s="41" t="s">
        <v>1780</v>
      </c>
    </row>
    <row r="3098" spans="1:35" x14ac:dyDescent="0.25">
      <c r="A3098" s="36">
        <v>99913096</v>
      </c>
      <c r="B3098" s="17" t="s">
        <v>56</v>
      </c>
      <c r="C3098" t="s">
        <v>82</v>
      </c>
      <c r="D3098" t="s">
        <v>83</v>
      </c>
      <c r="G3098" s="17" t="s">
        <v>48</v>
      </c>
      <c r="H3098" s="17">
        <v>6</v>
      </c>
      <c r="K3098" t="s">
        <v>1268</v>
      </c>
      <c r="L3098" t="s">
        <v>1269</v>
      </c>
      <c r="M3098" t="s">
        <v>1270</v>
      </c>
      <c r="N3098">
        <v>20</v>
      </c>
      <c r="O3098" t="s">
        <v>40</v>
      </c>
      <c r="P3098" t="s">
        <v>40</v>
      </c>
      <c r="Q3098" t="s">
        <v>40</v>
      </c>
      <c r="R3098" t="s">
        <v>40</v>
      </c>
      <c r="S3098" t="s">
        <v>40</v>
      </c>
      <c r="U3098" s="1">
        <v>43344</v>
      </c>
      <c r="V3098" t="s">
        <v>41</v>
      </c>
      <c r="W3098" t="s">
        <v>42</v>
      </c>
      <c r="X3098" t="str">
        <f>"1980060"</f>
        <v>1980060</v>
      </c>
      <c r="Y3098" t="s">
        <v>1277</v>
      </c>
      <c r="Z3098" t="s">
        <v>1268</v>
      </c>
      <c r="AA3098" t="s">
        <v>1269</v>
      </c>
      <c r="AB3098" t="s">
        <v>1270</v>
      </c>
      <c r="AC3098" t="s">
        <v>51</v>
      </c>
      <c r="AD3098" t="s">
        <v>45</v>
      </c>
      <c r="AE3098" s="1">
        <v>26409</v>
      </c>
      <c r="AF3098">
        <v>2</v>
      </c>
      <c r="AG3098" t="s">
        <v>1269</v>
      </c>
      <c r="AH3098" s="36">
        <f t="shared" si="48"/>
        <v>47.355555555555554</v>
      </c>
      <c r="AI3098" s="41" t="s">
        <v>1780</v>
      </c>
    </row>
    <row r="3099" spans="1:35" x14ac:dyDescent="0.25">
      <c r="A3099" s="36">
        <v>99913097</v>
      </c>
      <c r="B3099" s="17" t="s">
        <v>32</v>
      </c>
      <c r="C3099" t="s">
        <v>90</v>
      </c>
      <c r="D3099" t="s">
        <v>91</v>
      </c>
      <c r="G3099" s="17" t="s">
        <v>35</v>
      </c>
      <c r="H3099" s="17">
        <v>1</v>
      </c>
      <c r="I3099" t="s">
        <v>286</v>
      </c>
      <c r="J3099" s="1">
        <v>43344</v>
      </c>
      <c r="K3099" t="s">
        <v>268</v>
      </c>
      <c r="L3099" t="s">
        <v>269</v>
      </c>
      <c r="M3099" t="s">
        <v>131</v>
      </c>
      <c r="N3099">
        <v>25</v>
      </c>
      <c r="O3099" t="s">
        <v>40</v>
      </c>
      <c r="S3099" t="s">
        <v>40</v>
      </c>
      <c r="V3099" t="s">
        <v>41</v>
      </c>
      <c r="W3099" t="s">
        <v>95</v>
      </c>
      <c r="X3099" t="str">
        <f>"7052015"</f>
        <v>7052015</v>
      </c>
      <c r="Y3099" t="s">
        <v>653</v>
      </c>
      <c r="Z3099" t="s">
        <v>268</v>
      </c>
      <c r="AA3099" t="s">
        <v>269</v>
      </c>
      <c r="AB3099" t="s">
        <v>131</v>
      </c>
      <c r="AC3099" t="s">
        <v>51</v>
      </c>
      <c r="AD3099" t="s">
        <v>45</v>
      </c>
      <c r="AE3099" s="1">
        <v>26407</v>
      </c>
      <c r="AF3099">
        <v>1</v>
      </c>
      <c r="AG3099" t="s">
        <v>269</v>
      </c>
      <c r="AH3099" s="36">
        <f t="shared" si="48"/>
        <v>47.361111111111114</v>
      </c>
      <c r="AI3099" s="41" t="s">
        <v>1780</v>
      </c>
    </row>
    <row r="3100" spans="1:35" x14ac:dyDescent="0.25">
      <c r="A3100" s="36">
        <v>99913098</v>
      </c>
      <c r="B3100" s="17" t="s">
        <v>32</v>
      </c>
      <c r="C3100" t="s">
        <v>71</v>
      </c>
      <c r="D3100" t="s">
        <v>72</v>
      </c>
      <c r="G3100" s="17" t="s">
        <v>48</v>
      </c>
      <c r="H3100" s="17">
        <v>6</v>
      </c>
      <c r="K3100" t="s">
        <v>1268</v>
      </c>
      <c r="L3100" t="s">
        <v>1269</v>
      </c>
      <c r="M3100" t="s">
        <v>1270</v>
      </c>
      <c r="N3100">
        <v>21</v>
      </c>
      <c r="O3100" t="s">
        <v>40</v>
      </c>
      <c r="P3100" t="s">
        <v>40</v>
      </c>
      <c r="Q3100" t="s">
        <v>40</v>
      </c>
      <c r="R3100" t="s">
        <v>40</v>
      </c>
      <c r="S3100" t="s">
        <v>40</v>
      </c>
      <c r="V3100" t="s">
        <v>41</v>
      </c>
      <c r="W3100" t="s">
        <v>49</v>
      </c>
      <c r="X3100" t="str">
        <f>"1960001"</f>
        <v>1960001</v>
      </c>
      <c r="Y3100" t="s">
        <v>1272</v>
      </c>
      <c r="Z3100" t="s">
        <v>1268</v>
      </c>
      <c r="AA3100" t="s">
        <v>1269</v>
      </c>
      <c r="AB3100" t="s">
        <v>1270</v>
      </c>
      <c r="AC3100" t="s">
        <v>51</v>
      </c>
      <c r="AD3100" t="s">
        <v>45</v>
      </c>
      <c r="AE3100" s="1">
        <v>26405</v>
      </c>
      <c r="AF3100">
        <v>2</v>
      </c>
      <c r="AG3100" t="s">
        <v>1269</v>
      </c>
      <c r="AH3100" s="36">
        <f t="shared" si="48"/>
        <v>47.366666666666667</v>
      </c>
      <c r="AI3100" s="41" t="s">
        <v>1780</v>
      </c>
    </row>
    <row r="3101" spans="1:35" x14ac:dyDescent="0.25">
      <c r="A3101" s="36">
        <v>99913099</v>
      </c>
      <c r="B3101" s="17" t="s">
        <v>32</v>
      </c>
      <c r="C3101" t="s">
        <v>111</v>
      </c>
      <c r="D3101" t="s">
        <v>112</v>
      </c>
      <c r="G3101" s="17" t="s">
        <v>48</v>
      </c>
      <c r="H3101" s="17">
        <v>5</v>
      </c>
      <c r="K3101" t="s">
        <v>1426</v>
      </c>
      <c r="L3101" t="s">
        <v>1427</v>
      </c>
      <c r="M3101" t="s">
        <v>1270</v>
      </c>
      <c r="N3101">
        <v>23</v>
      </c>
      <c r="O3101" t="s">
        <v>40</v>
      </c>
      <c r="P3101" t="s">
        <v>40</v>
      </c>
      <c r="Q3101" t="s">
        <v>40</v>
      </c>
      <c r="R3101" t="s">
        <v>40</v>
      </c>
      <c r="S3101" t="s">
        <v>40</v>
      </c>
      <c r="V3101" t="s">
        <v>41</v>
      </c>
      <c r="W3101" t="s">
        <v>75</v>
      </c>
      <c r="X3101" t="str">
        <f>"7192000"</f>
        <v>7192000</v>
      </c>
      <c r="Y3101" t="s">
        <v>1429</v>
      </c>
      <c r="Z3101" t="s">
        <v>1426</v>
      </c>
      <c r="AA3101" t="s">
        <v>1427</v>
      </c>
      <c r="AB3101" t="s">
        <v>1270</v>
      </c>
      <c r="AC3101" t="s">
        <v>51</v>
      </c>
      <c r="AD3101" t="s">
        <v>45</v>
      </c>
      <c r="AE3101" s="1">
        <v>26402</v>
      </c>
      <c r="AF3101">
        <v>1</v>
      </c>
      <c r="AG3101" t="s">
        <v>1427</v>
      </c>
      <c r="AH3101" s="36">
        <f t="shared" si="48"/>
        <v>47.375</v>
      </c>
      <c r="AI3101" s="41" t="s">
        <v>1780</v>
      </c>
    </row>
    <row r="3102" spans="1:35" x14ac:dyDescent="0.25">
      <c r="A3102" s="36">
        <v>99913100</v>
      </c>
      <c r="B3102" s="17" t="s">
        <v>32</v>
      </c>
      <c r="C3102" t="s">
        <v>290</v>
      </c>
      <c r="D3102" t="s">
        <v>291</v>
      </c>
      <c r="G3102" s="17" t="s">
        <v>35</v>
      </c>
      <c r="H3102" s="17">
        <v>1</v>
      </c>
      <c r="K3102" t="s">
        <v>1626</v>
      </c>
      <c r="L3102" t="s">
        <v>1627</v>
      </c>
      <c r="M3102" t="s">
        <v>1592</v>
      </c>
      <c r="N3102">
        <v>4</v>
      </c>
      <c r="O3102" t="s">
        <v>40</v>
      </c>
      <c r="P3102" t="s">
        <v>40</v>
      </c>
      <c r="Q3102" t="s">
        <v>40</v>
      </c>
      <c r="R3102" t="s">
        <v>40</v>
      </c>
      <c r="S3102" t="s">
        <v>40</v>
      </c>
      <c r="V3102" t="s">
        <v>41</v>
      </c>
      <c r="W3102" t="s">
        <v>49</v>
      </c>
      <c r="X3102" t="str">
        <f>"3681015"</f>
        <v>3681015</v>
      </c>
      <c r="Y3102" t="s">
        <v>1629</v>
      </c>
      <c r="Z3102" t="s">
        <v>1626</v>
      </c>
      <c r="AA3102" t="s">
        <v>1627</v>
      </c>
      <c r="AB3102" t="s">
        <v>1592</v>
      </c>
      <c r="AC3102" t="s">
        <v>51</v>
      </c>
      <c r="AD3102" t="s">
        <v>45</v>
      </c>
      <c r="AE3102" s="1">
        <v>26402</v>
      </c>
      <c r="AF3102">
        <v>2</v>
      </c>
      <c r="AG3102" t="s">
        <v>1627</v>
      </c>
      <c r="AH3102" s="36">
        <f t="shared" si="48"/>
        <v>47.375</v>
      </c>
      <c r="AI3102" s="41" t="s">
        <v>1780</v>
      </c>
    </row>
    <row r="3103" spans="1:35" x14ac:dyDescent="0.25">
      <c r="A3103" s="36">
        <v>99913101</v>
      </c>
      <c r="B3103" s="17" t="s">
        <v>56</v>
      </c>
      <c r="C3103" t="s">
        <v>68</v>
      </c>
      <c r="D3103" t="s">
        <v>69</v>
      </c>
      <c r="G3103" s="17" t="s">
        <v>48</v>
      </c>
      <c r="H3103" s="17">
        <v>1</v>
      </c>
      <c r="K3103" t="s">
        <v>223</v>
      </c>
      <c r="L3103" t="s">
        <v>224</v>
      </c>
      <c r="M3103" t="s">
        <v>131</v>
      </c>
      <c r="N3103">
        <v>24</v>
      </c>
      <c r="O3103" t="s">
        <v>40</v>
      </c>
      <c r="P3103" t="s">
        <v>40</v>
      </c>
      <c r="Q3103" t="s">
        <v>40</v>
      </c>
      <c r="S3103" t="s">
        <v>40</v>
      </c>
      <c r="V3103" t="s">
        <v>41</v>
      </c>
      <c r="W3103" t="s">
        <v>49</v>
      </c>
      <c r="X3103" t="str">
        <f>"0581207"</f>
        <v>0581207</v>
      </c>
      <c r="Y3103" t="s">
        <v>233</v>
      </c>
      <c r="Z3103" t="s">
        <v>223</v>
      </c>
      <c r="AA3103" t="s">
        <v>224</v>
      </c>
      <c r="AB3103" t="s">
        <v>131</v>
      </c>
      <c r="AC3103" t="s">
        <v>51</v>
      </c>
      <c r="AD3103" t="s">
        <v>45</v>
      </c>
      <c r="AE3103" s="1">
        <v>26390</v>
      </c>
      <c r="AF3103">
        <v>2</v>
      </c>
      <c r="AG3103" t="s">
        <v>224</v>
      </c>
      <c r="AH3103" s="36">
        <f t="shared" si="48"/>
        <v>47.408333333333331</v>
      </c>
      <c r="AI3103" s="41" t="s">
        <v>1780</v>
      </c>
    </row>
    <row r="3104" spans="1:35" x14ac:dyDescent="0.25">
      <c r="A3104" s="36">
        <v>99913102</v>
      </c>
      <c r="B3104" s="17" t="s">
        <v>32</v>
      </c>
      <c r="C3104" t="s">
        <v>90</v>
      </c>
      <c r="D3104" t="s">
        <v>91</v>
      </c>
      <c r="G3104" s="17" t="s">
        <v>35</v>
      </c>
      <c r="H3104" s="17">
        <v>1</v>
      </c>
      <c r="I3104">
        <v>0</v>
      </c>
      <c r="J3104" s="1">
        <v>43344</v>
      </c>
      <c r="K3104" t="s">
        <v>985</v>
      </c>
      <c r="L3104" t="s">
        <v>986</v>
      </c>
      <c r="M3104" t="s">
        <v>938</v>
      </c>
      <c r="N3104">
        <v>25</v>
      </c>
      <c r="O3104" t="s">
        <v>40</v>
      </c>
      <c r="S3104" t="s">
        <v>40</v>
      </c>
      <c r="U3104" s="1">
        <v>43344</v>
      </c>
      <c r="V3104" t="s">
        <v>41</v>
      </c>
      <c r="W3104" t="s">
        <v>95</v>
      </c>
      <c r="X3104" t="str">
        <f>"7011007"</f>
        <v>7011007</v>
      </c>
      <c r="Y3104" t="s">
        <v>993</v>
      </c>
      <c r="Z3104" t="s">
        <v>985</v>
      </c>
      <c r="AA3104" t="s">
        <v>986</v>
      </c>
      <c r="AB3104" t="s">
        <v>938</v>
      </c>
      <c r="AC3104" t="s">
        <v>51</v>
      </c>
      <c r="AD3104" t="s">
        <v>45</v>
      </c>
      <c r="AE3104" s="1">
        <v>26390</v>
      </c>
      <c r="AF3104">
        <v>1</v>
      </c>
      <c r="AG3104" t="s">
        <v>986</v>
      </c>
      <c r="AH3104" s="36">
        <f t="shared" si="48"/>
        <v>47.408333333333331</v>
      </c>
      <c r="AI3104" s="41" t="s">
        <v>1780</v>
      </c>
    </row>
    <row r="3105" spans="1:35" x14ac:dyDescent="0.25">
      <c r="A3105" s="36">
        <v>99913103</v>
      </c>
      <c r="B3105" s="17" t="s">
        <v>32</v>
      </c>
      <c r="C3105" t="s">
        <v>90</v>
      </c>
      <c r="D3105" t="s">
        <v>91</v>
      </c>
      <c r="G3105" s="17" t="s">
        <v>35</v>
      </c>
      <c r="H3105" s="17">
        <v>1</v>
      </c>
      <c r="I3105" t="s">
        <v>1362</v>
      </c>
      <c r="J3105" s="1">
        <v>43344</v>
      </c>
      <c r="K3105" t="s">
        <v>1341</v>
      </c>
      <c r="L3105" t="s">
        <v>1342</v>
      </c>
      <c r="M3105" t="s">
        <v>1270</v>
      </c>
      <c r="N3105">
        <v>24</v>
      </c>
      <c r="O3105" t="s">
        <v>40</v>
      </c>
      <c r="S3105" t="s">
        <v>40</v>
      </c>
      <c r="U3105" s="1">
        <v>43344</v>
      </c>
      <c r="V3105" t="s">
        <v>41</v>
      </c>
      <c r="W3105" t="s">
        <v>95</v>
      </c>
      <c r="X3105" t="str">
        <f>"7191045"</f>
        <v>7191045</v>
      </c>
      <c r="Y3105" t="s">
        <v>1424</v>
      </c>
      <c r="Z3105" t="s">
        <v>1341</v>
      </c>
      <c r="AA3105" t="s">
        <v>1342</v>
      </c>
      <c r="AB3105" t="s">
        <v>1270</v>
      </c>
      <c r="AC3105" t="s">
        <v>51</v>
      </c>
      <c r="AD3105" t="s">
        <v>45</v>
      </c>
      <c r="AE3105" s="1">
        <v>26390</v>
      </c>
      <c r="AF3105">
        <v>1</v>
      </c>
      <c r="AG3105" t="s">
        <v>1342</v>
      </c>
      <c r="AH3105" s="36">
        <f t="shared" si="48"/>
        <v>47.408333333333331</v>
      </c>
      <c r="AI3105" s="41" t="s">
        <v>1780</v>
      </c>
    </row>
    <row r="3106" spans="1:35" x14ac:dyDescent="0.25">
      <c r="A3106" s="36">
        <v>99913104</v>
      </c>
      <c r="B3106" s="17" t="s">
        <v>32</v>
      </c>
      <c r="C3106" t="s">
        <v>90</v>
      </c>
      <c r="D3106" t="s">
        <v>91</v>
      </c>
      <c r="G3106" s="17" t="s">
        <v>35</v>
      </c>
      <c r="H3106" s="17">
        <v>1</v>
      </c>
      <c r="I3106" t="s">
        <v>1416</v>
      </c>
      <c r="J3106" s="1">
        <v>43344</v>
      </c>
      <c r="K3106" t="s">
        <v>1341</v>
      </c>
      <c r="L3106" t="s">
        <v>1342</v>
      </c>
      <c r="M3106" t="s">
        <v>1270</v>
      </c>
      <c r="N3106">
        <v>24</v>
      </c>
      <c r="O3106" t="s">
        <v>40</v>
      </c>
      <c r="S3106" t="s">
        <v>40</v>
      </c>
      <c r="U3106" s="1">
        <v>43344</v>
      </c>
      <c r="V3106" t="s">
        <v>41</v>
      </c>
      <c r="W3106" t="s">
        <v>95</v>
      </c>
      <c r="X3106" t="str">
        <f>"7191093"</f>
        <v>7191093</v>
      </c>
      <c r="Y3106" t="s">
        <v>1417</v>
      </c>
      <c r="Z3106" t="s">
        <v>1341</v>
      </c>
      <c r="AA3106" t="s">
        <v>1342</v>
      </c>
      <c r="AB3106" t="s">
        <v>1270</v>
      </c>
      <c r="AC3106" t="s">
        <v>165</v>
      </c>
      <c r="AD3106" t="s">
        <v>45</v>
      </c>
      <c r="AE3106" s="1">
        <v>26389</v>
      </c>
      <c r="AF3106">
        <v>1</v>
      </c>
      <c r="AG3106" t="s">
        <v>1342</v>
      </c>
      <c r="AH3106" s="36">
        <f t="shared" si="48"/>
        <v>47.411111111111111</v>
      </c>
      <c r="AI3106" s="41" t="s">
        <v>1780</v>
      </c>
    </row>
    <row r="3107" spans="1:35" x14ac:dyDescent="0.25">
      <c r="A3107" s="36">
        <v>99913105</v>
      </c>
      <c r="B3107" s="17" t="s">
        <v>56</v>
      </c>
      <c r="C3107" t="s">
        <v>68</v>
      </c>
      <c r="D3107" t="s">
        <v>69</v>
      </c>
      <c r="G3107" s="17" t="s">
        <v>48</v>
      </c>
      <c r="H3107" s="17">
        <v>1</v>
      </c>
      <c r="K3107" t="s">
        <v>223</v>
      </c>
      <c r="L3107" t="s">
        <v>224</v>
      </c>
      <c r="M3107" t="s">
        <v>131</v>
      </c>
      <c r="N3107">
        <v>20</v>
      </c>
      <c r="O3107" t="s">
        <v>40</v>
      </c>
      <c r="P3107" t="s">
        <v>40</v>
      </c>
      <c r="Q3107" t="s">
        <v>40</v>
      </c>
      <c r="S3107" t="s">
        <v>40</v>
      </c>
      <c r="V3107" t="s">
        <v>41</v>
      </c>
      <c r="W3107" t="s">
        <v>42</v>
      </c>
      <c r="X3107" t="str">
        <f>"0580202"</f>
        <v>0580202</v>
      </c>
      <c r="Y3107" t="s">
        <v>240</v>
      </c>
      <c r="Z3107" t="s">
        <v>223</v>
      </c>
      <c r="AA3107" t="s">
        <v>224</v>
      </c>
      <c r="AB3107" t="s">
        <v>131</v>
      </c>
      <c r="AC3107" t="s">
        <v>51</v>
      </c>
      <c r="AD3107" t="s">
        <v>45</v>
      </c>
      <c r="AE3107" s="1">
        <v>26386</v>
      </c>
      <c r="AF3107">
        <v>2</v>
      </c>
      <c r="AG3107" t="s">
        <v>224</v>
      </c>
      <c r="AH3107" s="36">
        <f t="shared" si="48"/>
        <v>47.419444444444444</v>
      </c>
      <c r="AI3107" s="41" t="s">
        <v>1780</v>
      </c>
    </row>
    <row r="3108" spans="1:35" x14ac:dyDescent="0.25">
      <c r="A3108" s="36">
        <v>99913106</v>
      </c>
      <c r="B3108" s="17" t="s">
        <v>32</v>
      </c>
      <c r="C3108" t="s">
        <v>46</v>
      </c>
      <c r="D3108" t="s">
        <v>47</v>
      </c>
      <c r="G3108" s="17" t="s">
        <v>48</v>
      </c>
      <c r="H3108" s="17">
        <v>1</v>
      </c>
      <c r="K3108" t="s">
        <v>1268</v>
      </c>
      <c r="L3108" t="s">
        <v>1269</v>
      </c>
      <c r="M3108" t="s">
        <v>1270</v>
      </c>
      <c r="N3108">
        <v>18</v>
      </c>
      <c r="O3108" t="s">
        <v>40</v>
      </c>
      <c r="P3108" t="s">
        <v>40</v>
      </c>
      <c r="Q3108" t="s">
        <v>40</v>
      </c>
      <c r="R3108" t="s">
        <v>40</v>
      </c>
      <c r="S3108" t="s">
        <v>40</v>
      </c>
      <c r="V3108" t="s">
        <v>41</v>
      </c>
      <c r="W3108" t="s">
        <v>49</v>
      </c>
      <c r="X3108" t="str">
        <f>"1981912"</f>
        <v>1981912</v>
      </c>
      <c r="Y3108" t="s">
        <v>1279</v>
      </c>
      <c r="Z3108" t="s">
        <v>1268</v>
      </c>
      <c r="AA3108" t="s">
        <v>1269</v>
      </c>
      <c r="AB3108" t="s">
        <v>1270</v>
      </c>
      <c r="AC3108" t="s">
        <v>51</v>
      </c>
      <c r="AD3108" t="s">
        <v>45</v>
      </c>
      <c r="AE3108" s="1">
        <v>26381</v>
      </c>
      <c r="AF3108">
        <v>2</v>
      </c>
      <c r="AG3108" t="s">
        <v>1269</v>
      </c>
      <c r="AH3108" s="36">
        <f t="shared" si="48"/>
        <v>47.43333333333333</v>
      </c>
      <c r="AI3108" s="41" t="s">
        <v>1780</v>
      </c>
    </row>
    <row r="3109" spans="1:35" x14ac:dyDescent="0.25">
      <c r="A3109" s="36">
        <v>99913107</v>
      </c>
      <c r="B3109" s="17" t="s">
        <v>56</v>
      </c>
      <c r="C3109" t="s">
        <v>46</v>
      </c>
      <c r="D3109" t="s">
        <v>47</v>
      </c>
      <c r="G3109" s="17" t="s">
        <v>48</v>
      </c>
      <c r="H3109" s="17">
        <v>1</v>
      </c>
      <c r="K3109" t="s">
        <v>129</v>
      </c>
      <c r="L3109" t="s">
        <v>130</v>
      </c>
      <c r="M3109" t="s">
        <v>131</v>
      </c>
      <c r="N3109">
        <v>20</v>
      </c>
      <c r="O3109" t="s">
        <v>40</v>
      </c>
      <c r="P3109" t="s">
        <v>40</v>
      </c>
      <c r="Q3109" t="s">
        <v>40</v>
      </c>
      <c r="R3109" t="s">
        <v>40</v>
      </c>
      <c r="S3109" t="s">
        <v>40</v>
      </c>
      <c r="V3109" t="s">
        <v>41</v>
      </c>
      <c r="W3109" t="s">
        <v>49</v>
      </c>
      <c r="X3109" t="str">
        <f>"0591905"</f>
        <v>0591905</v>
      </c>
      <c r="Y3109" t="s">
        <v>135</v>
      </c>
      <c r="Z3109" t="s">
        <v>129</v>
      </c>
      <c r="AA3109" t="s">
        <v>130</v>
      </c>
      <c r="AB3109" t="s">
        <v>131</v>
      </c>
      <c r="AC3109" t="s">
        <v>51</v>
      </c>
      <c r="AD3109" t="s">
        <v>45</v>
      </c>
      <c r="AE3109" s="1">
        <v>26380</v>
      </c>
      <c r="AF3109">
        <v>2</v>
      </c>
      <c r="AG3109" t="s">
        <v>130</v>
      </c>
      <c r="AH3109" s="36">
        <f t="shared" si="48"/>
        <v>47.43611111111111</v>
      </c>
      <c r="AI3109" s="41" t="s">
        <v>1780</v>
      </c>
    </row>
    <row r="3110" spans="1:35" x14ac:dyDescent="0.25">
      <c r="A3110" s="36">
        <v>99913108</v>
      </c>
      <c r="B3110" s="17" t="s">
        <v>32</v>
      </c>
      <c r="C3110" t="s">
        <v>79</v>
      </c>
      <c r="D3110" t="s">
        <v>80</v>
      </c>
      <c r="G3110" s="17" t="s">
        <v>48</v>
      </c>
      <c r="H3110" s="17">
        <v>6</v>
      </c>
      <c r="K3110" t="s">
        <v>268</v>
      </c>
      <c r="L3110" t="s">
        <v>269</v>
      </c>
      <c r="M3110" t="s">
        <v>131</v>
      </c>
      <c r="N3110">
        <v>20</v>
      </c>
      <c r="O3110" t="s">
        <v>40</v>
      </c>
      <c r="P3110" t="s">
        <v>40</v>
      </c>
      <c r="Q3110" t="s">
        <v>40</v>
      </c>
      <c r="R3110" t="s">
        <v>40</v>
      </c>
      <c r="S3110" t="s">
        <v>40</v>
      </c>
      <c r="V3110" t="s">
        <v>41</v>
      </c>
      <c r="W3110" t="s">
        <v>75</v>
      </c>
      <c r="X3110" t="str">
        <f>"7052006"</f>
        <v>7052006</v>
      </c>
      <c r="Y3110" t="s">
        <v>575</v>
      </c>
      <c r="Z3110" t="s">
        <v>268</v>
      </c>
      <c r="AA3110" t="s">
        <v>269</v>
      </c>
      <c r="AB3110" t="s">
        <v>131</v>
      </c>
      <c r="AC3110" t="s">
        <v>51</v>
      </c>
      <c r="AD3110" t="s">
        <v>45</v>
      </c>
      <c r="AE3110" s="1">
        <v>26376</v>
      </c>
      <c r="AF3110">
        <v>1</v>
      </c>
      <c r="AG3110" t="s">
        <v>269</v>
      </c>
      <c r="AH3110" s="36">
        <f t="shared" si="48"/>
        <v>47.447222222222223</v>
      </c>
      <c r="AI3110" s="41" t="s">
        <v>1780</v>
      </c>
    </row>
    <row r="3111" spans="1:35" x14ac:dyDescent="0.25">
      <c r="A3111" s="36">
        <v>99913109</v>
      </c>
      <c r="B3111" s="17" t="s">
        <v>32</v>
      </c>
      <c r="C3111" t="s">
        <v>79</v>
      </c>
      <c r="D3111" t="s">
        <v>80</v>
      </c>
      <c r="G3111" s="17" t="s">
        <v>35</v>
      </c>
      <c r="H3111" s="17">
        <v>1</v>
      </c>
      <c r="I3111">
        <v>283</v>
      </c>
      <c r="J3111" s="1">
        <v>43344</v>
      </c>
      <c r="K3111" t="s">
        <v>354</v>
      </c>
      <c r="L3111" t="s">
        <v>355</v>
      </c>
      <c r="M3111" t="s">
        <v>131</v>
      </c>
      <c r="N3111">
        <v>23</v>
      </c>
      <c r="O3111" t="s">
        <v>40</v>
      </c>
      <c r="S3111" t="s">
        <v>40</v>
      </c>
      <c r="U3111" s="1">
        <v>43344</v>
      </c>
      <c r="V3111" t="s">
        <v>41</v>
      </c>
      <c r="W3111" t="s">
        <v>75</v>
      </c>
      <c r="X3111" t="str">
        <f>"7054016"</f>
        <v>7054016</v>
      </c>
      <c r="Y3111" t="s">
        <v>768</v>
      </c>
      <c r="Z3111" t="s">
        <v>354</v>
      </c>
      <c r="AA3111" t="s">
        <v>355</v>
      </c>
      <c r="AB3111" t="s">
        <v>131</v>
      </c>
      <c r="AC3111" t="s">
        <v>51</v>
      </c>
      <c r="AD3111" t="s">
        <v>45</v>
      </c>
      <c r="AE3111" s="1">
        <v>26376</v>
      </c>
      <c r="AF3111">
        <v>1</v>
      </c>
      <c r="AG3111" t="s">
        <v>355</v>
      </c>
      <c r="AH3111" s="36">
        <f t="shared" si="48"/>
        <v>47.447222222222223</v>
      </c>
      <c r="AI3111" s="41" t="s">
        <v>1780</v>
      </c>
    </row>
    <row r="3112" spans="1:35" x14ac:dyDescent="0.25">
      <c r="A3112" s="36">
        <v>99913110</v>
      </c>
      <c r="B3112" s="17" t="s">
        <v>56</v>
      </c>
      <c r="C3112" t="s">
        <v>52</v>
      </c>
      <c r="D3112" t="s">
        <v>53</v>
      </c>
      <c r="G3112" s="17" t="s">
        <v>48</v>
      </c>
      <c r="H3112" s="17">
        <v>1</v>
      </c>
      <c r="K3112" t="s">
        <v>129</v>
      </c>
      <c r="L3112" t="s">
        <v>130</v>
      </c>
      <c r="M3112" t="s">
        <v>131</v>
      </c>
      <c r="N3112">
        <v>18</v>
      </c>
      <c r="O3112" t="s">
        <v>40</v>
      </c>
      <c r="P3112" t="s">
        <v>40</v>
      </c>
      <c r="Q3112" t="s">
        <v>40</v>
      </c>
      <c r="R3112" t="s">
        <v>40</v>
      </c>
      <c r="S3112" t="s">
        <v>40</v>
      </c>
      <c r="V3112" t="s">
        <v>41</v>
      </c>
      <c r="W3112" t="s">
        <v>42</v>
      </c>
      <c r="X3112" t="str">
        <f>"0590905"</f>
        <v>0590905</v>
      </c>
      <c r="Y3112" t="s">
        <v>133</v>
      </c>
      <c r="Z3112" t="s">
        <v>129</v>
      </c>
      <c r="AA3112" t="s">
        <v>130</v>
      </c>
      <c r="AB3112" t="s">
        <v>131</v>
      </c>
      <c r="AC3112" t="s">
        <v>51</v>
      </c>
      <c r="AD3112" t="s">
        <v>45</v>
      </c>
      <c r="AE3112" s="1">
        <v>26374</v>
      </c>
      <c r="AF3112">
        <v>2</v>
      </c>
      <c r="AG3112" t="s">
        <v>130</v>
      </c>
      <c r="AH3112" s="36">
        <f t="shared" si="48"/>
        <v>47.452777777777776</v>
      </c>
      <c r="AI3112" s="41" t="s">
        <v>1780</v>
      </c>
    </row>
    <row r="3113" spans="1:35" x14ac:dyDescent="0.25">
      <c r="A3113" s="36">
        <v>99913111</v>
      </c>
      <c r="B3113" s="17" t="s">
        <v>56</v>
      </c>
      <c r="C3113" t="s">
        <v>111</v>
      </c>
      <c r="D3113" t="s">
        <v>112</v>
      </c>
      <c r="G3113" s="17" t="s">
        <v>48</v>
      </c>
      <c r="H3113" s="17">
        <v>9</v>
      </c>
      <c r="J3113" s="1">
        <v>43344</v>
      </c>
      <c r="K3113" t="s">
        <v>354</v>
      </c>
      <c r="L3113" t="s">
        <v>355</v>
      </c>
      <c r="M3113" t="s">
        <v>131</v>
      </c>
      <c r="N3113">
        <v>22</v>
      </c>
      <c r="O3113" t="s">
        <v>40</v>
      </c>
      <c r="P3113" t="s">
        <v>40</v>
      </c>
      <c r="Q3113" t="s">
        <v>40</v>
      </c>
      <c r="R3113" t="s">
        <v>40</v>
      </c>
      <c r="S3113" t="s">
        <v>40</v>
      </c>
      <c r="U3113" s="1">
        <v>43344</v>
      </c>
      <c r="V3113" t="s">
        <v>41</v>
      </c>
      <c r="W3113" t="s">
        <v>75</v>
      </c>
      <c r="X3113" t="str">
        <f>"7054022"</f>
        <v>7054022</v>
      </c>
      <c r="Y3113" t="s">
        <v>770</v>
      </c>
      <c r="Z3113" t="s">
        <v>354</v>
      </c>
      <c r="AA3113" t="s">
        <v>355</v>
      </c>
      <c r="AB3113" t="s">
        <v>131</v>
      </c>
      <c r="AC3113" t="s">
        <v>51</v>
      </c>
      <c r="AD3113" t="s">
        <v>45</v>
      </c>
      <c r="AE3113" s="1">
        <v>26371</v>
      </c>
      <c r="AF3113">
        <v>1</v>
      </c>
      <c r="AG3113" t="s">
        <v>355</v>
      </c>
      <c r="AH3113" s="36">
        <f t="shared" si="48"/>
        <v>47.461111111111109</v>
      </c>
      <c r="AI3113" s="41" t="s">
        <v>1780</v>
      </c>
    </row>
    <row r="3114" spans="1:35" x14ac:dyDescent="0.25">
      <c r="A3114" s="36">
        <v>99913112</v>
      </c>
      <c r="B3114" s="17" t="s">
        <v>56</v>
      </c>
      <c r="C3114" t="s">
        <v>33</v>
      </c>
      <c r="D3114" t="s">
        <v>34</v>
      </c>
      <c r="G3114" s="17" t="s">
        <v>35</v>
      </c>
      <c r="H3114" s="17">
        <v>1</v>
      </c>
      <c r="K3114" t="s">
        <v>1546</v>
      </c>
      <c r="L3114" t="s">
        <v>1547</v>
      </c>
      <c r="M3114" t="s">
        <v>1548</v>
      </c>
      <c r="N3114">
        <v>13</v>
      </c>
      <c r="O3114" t="s">
        <v>40</v>
      </c>
      <c r="P3114" t="s">
        <v>40</v>
      </c>
      <c r="Q3114" t="s">
        <v>40</v>
      </c>
      <c r="R3114" t="s">
        <v>40</v>
      </c>
      <c r="S3114" t="s">
        <v>40</v>
      </c>
      <c r="V3114" t="s">
        <v>41</v>
      </c>
      <c r="W3114" t="s">
        <v>49</v>
      </c>
      <c r="X3114" t="str">
        <f>"1081010"</f>
        <v>1081010</v>
      </c>
      <c r="Y3114" t="s">
        <v>1552</v>
      </c>
      <c r="Z3114" t="s">
        <v>1546</v>
      </c>
      <c r="AA3114" t="s">
        <v>1547</v>
      </c>
      <c r="AB3114" t="s">
        <v>1548</v>
      </c>
      <c r="AC3114" t="s">
        <v>51</v>
      </c>
      <c r="AD3114" t="s">
        <v>45</v>
      </c>
      <c r="AE3114" s="1">
        <v>26366</v>
      </c>
      <c r="AF3114">
        <v>2</v>
      </c>
      <c r="AG3114" t="s">
        <v>1547</v>
      </c>
      <c r="AH3114" s="36">
        <f t="shared" si="48"/>
        <v>47.475000000000001</v>
      </c>
      <c r="AI3114" s="41" t="s">
        <v>1780</v>
      </c>
    </row>
    <row r="3115" spans="1:35" x14ac:dyDescent="0.25">
      <c r="A3115" s="36">
        <v>99913113</v>
      </c>
      <c r="B3115" s="17" t="s">
        <v>32</v>
      </c>
      <c r="C3115" t="s">
        <v>139</v>
      </c>
      <c r="D3115" t="s">
        <v>140</v>
      </c>
      <c r="G3115" s="17" t="s">
        <v>35</v>
      </c>
      <c r="H3115" s="17">
        <v>1</v>
      </c>
      <c r="K3115" t="s">
        <v>354</v>
      </c>
      <c r="L3115" t="s">
        <v>355</v>
      </c>
      <c r="M3115" t="s">
        <v>131</v>
      </c>
      <c r="N3115">
        <v>22</v>
      </c>
      <c r="O3115" t="s">
        <v>40</v>
      </c>
      <c r="P3115" t="s">
        <v>40</v>
      </c>
      <c r="Q3115" t="s">
        <v>40</v>
      </c>
      <c r="S3115" t="s">
        <v>40</v>
      </c>
      <c r="V3115" t="s">
        <v>41</v>
      </c>
      <c r="W3115" t="s">
        <v>75</v>
      </c>
      <c r="X3115" t="str">
        <f>"7054020"</f>
        <v>7054020</v>
      </c>
      <c r="Y3115" t="s">
        <v>765</v>
      </c>
      <c r="Z3115" t="s">
        <v>354</v>
      </c>
      <c r="AA3115" t="s">
        <v>355</v>
      </c>
      <c r="AB3115" t="s">
        <v>131</v>
      </c>
      <c r="AC3115" t="s">
        <v>51</v>
      </c>
      <c r="AD3115" t="s">
        <v>45</v>
      </c>
      <c r="AE3115" s="1">
        <v>26365</v>
      </c>
      <c r="AF3115">
        <v>1</v>
      </c>
      <c r="AG3115" t="s">
        <v>355</v>
      </c>
      <c r="AH3115" s="36">
        <f t="shared" si="48"/>
        <v>47.477777777777774</v>
      </c>
      <c r="AI3115" s="41" t="s">
        <v>1780</v>
      </c>
    </row>
    <row r="3116" spans="1:35" x14ac:dyDescent="0.25">
      <c r="A3116" s="36">
        <v>99913114</v>
      </c>
      <c r="B3116" s="17" t="s">
        <v>56</v>
      </c>
      <c r="C3116" t="s">
        <v>85</v>
      </c>
      <c r="D3116" t="s">
        <v>86</v>
      </c>
      <c r="G3116" s="17" t="s">
        <v>35</v>
      </c>
      <c r="H3116" s="17">
        <v>1</v>
      </c>
      <c r="K3116" t="s">
        <v>157</v>
      </c>
      <c r="L3116" t="s">
        <v>158</v>
      </c>
      <c r="M3116" t="s">
        <v>131</v>
      </c>
      <c r="N3116">
        <v>30</v>
      </c>
      <c r="O3116" t="s">
        <v>40</v>
      </c>
      <c r="P3116" t="s">
        <v>40</v>
      </c>
      <c r="Q3116" t="s">
        <v>40</v>
      </c>
      <c r="S3116" t="s">
        <v>40</v>
      </c>
      <c r="V3116" t="s">
        <v>41</v>
      </c>
      <c r="W3116" t="s">
        <v>42</v>
      </c>
      <c r="X3116" t="str">
        <f>"0580725"</f>
        <v>0580725</v>
      </c>
      <c r="Y3116" t="s">
        <v>167</v>
      </c>
      <c r="Z3116" t="s">
        <v>157</v>
      </c>
      <c r="AA3116" t="s">
        <v>158</v>
      </c>
      <c r="AB3116" t="s">
        <v>131</v>
      </c>
      <c r="AC3116" t="s">
        <v>51</v>
      </c>
      <c r="AD3116" t="s">
        <v>45</v>
      </c>
      <c r="AE3116" s="1">
        <v>26364</v>
      </c>
      <c r="AF3116">
        <v>2</v>
      </c>
      <c r="AG3116" t="s">
        <v>158</v>
      </c>
      <c r="AH3116" s="36">
        <f t="shared" si="48"/>
        <v>47.480555555555554</v>
      </c>
      <c r="AI3116" s="41" t="s">
        <v>1780</v>
      </c>
    </row>
    <row r="3117" spans="1:35" x14ac:dyDescent="0.25">
      <c r="A3117" s="36">
        <v>99913115</v>
      </c>
      <c r="B3117" s="17" t="s">
        <v>32</v>
      </c>
      <c r="C3117" t="s">
        <v>64</v>
      </c>
      <c r="D3117" t="s">
        <v>65</v>
      </c>
      <c r="G3117" s="17" t="s">
        <v>48</v>
      </c>
      <c r="H3117" s="17">
        <v>1</v>
      </c>
      <c r="K3117" t="s">
        <v>1128</v>
      </c>
      <c r="L3117" t="s">
        <v>1129</v>
      </c>
      <c r="M3117" t="s">
        <v>1130</v>
      </c>
      <c r="N3117">
        <v>20</v>
      </c>
      <c r="O3117" t="s">
        <v>40</v>
      </c>
      <c r="P3117" t="s">
        <v>40</v>
      </c>
      <c r="Q3117" t="s">
        <v>40</v>
      </c>
      <c r="R3117" t="s">
        <v>40</v>
      </c>
      <c r="S3117" t="s">
        <v>40</v>
      </c>
      <c r="V3117" t="s">
        <v>41</v>
      </c>
      <c r="W3117" t="s">
        <v>49</v>
      </c>
      <c r="X3117" t="str">
        <f>"3181015"</f>
        <v>3181015</v>
      </c>
      <c r="Y3117" t="s">
        <v>1131</v>
      </c>
      <c r="Z3117" t="s">
        <v>1128</v>
      </c>
      <c r="AA3117" t="s">
        <v>1129</v>
      </c>
      <c r="AB3117" t="s">
        <v>1130</v>
      </c>
      <c r="AC3117" t="s">
        <v>51</v>
      </c>
      <c r="AD3117" t="s">
        <v>45</v>
      </c>
      <c r="AE3117" s="1">
        <v>26364</v>
      </c>
      <c r="AF3117">
        <v>2</v>
      </c>
      <c r="AG3117" t="s">
        <v>1129</v>
      </c>
      <c r="AH3117" s="36">
        <f t="shared" si="48"/>
        <v>47.480555555555554</v>
      </c>
      <c r="AI3117" s="41" t="s">
        <v>1780</v>
      </c>
    </row>
    <row r="3118" spans="1:35" x14ac:dyDescent="0.25">
      <c r="A3118" s="36">
        <v>99913116</v>
      </c>
      <c r="B3118" s="17" t="s">
        <v>56</v>
      </c>
      <c r="C3118" t="s">
        <v>111</v>
      </c>
      <c r="D3118" t="s">
        <v>112</v>
      </c>
      <c r="G3118" s="17" t="s">
        <v>48</v>
      </c>
      <c r="H3118" s="17">
        <v>9</v>
      </c>
      <c r="K3118" t="s">
        <v>354</v>
      </c>
      <c r="L3118" t="s">
        <v>355</v>
      </c>
      <c r="M3118" t="s">
        <v>131</v>
      </c>
      <c r="N3118">
        <v>22</v>
      </c>
      <c r="O3118" t="s">
        <v>40</v>
      </c>
      <c r="P3118" t="s">
        <v>40</v>
      </c>
      <c r="Q3118" t="s">
        <v>40</v>
      </c>
      <c r="R3118" t="s">
        <v>40</v>
      </c>
      <c r="S3118" t="s">
        <v>40</v>
      </c>
      <c r="V3118" t="s">
        <v>41</v>
      </c>
      <c r="W3118" t="s">
        <v>75</v>
      </c>
      <c r="X3118" t="str">
        <f>"7054032"</f>
        <v>7054032</v>
      </c>
      <c r="Y3118" t="s">
        <v>767</v>
      </c>
      <c r="Z3118" t="s">
        <v>354</v>
      </c>
      <c r="AA3118" t="s">
        <v>355</v>
      </c>
      <c r="AB3118" t="s">
        <v>131</v>
      </c>
      <c r="AC3118" t="s">
        <v>51</v>
      </c>
      <c r="AD3118" t="s">
        <v>45</v>
      </c>
      <c r="AE3118" s="1">
        <v>26360</v>
      </c>
      <c r="AF3118">
        <v>1</v>
      </c>
      <c r="AG3118" t="s">
        <v>355</v>
      </c>
      <c r="AH3118" s="36">
        <f t="shared" si="48"/>
        <v>47.491666666666667</v>
      </c>
      <c r="AI3118" s="41" t="s">
        <v>1780</v>
      </c>
    </row>
    <row r="3119" spans="1:35" x14ac:dyDescent="0.25">
      <c r="A3119" s="36">
        <v>99913117</v>
      </c>
      <c r="B3119" s="17" t="s">
        <v>32</v>
      </c>
      <c r="C3119" t="s">
        <v>90</v>
      </c>
      <c r="D3119" t="s">
        <v>91</v>
      </c>
      <c r="G3119" s="17" t="s">
        <v>35</v>
      </c>
      <c r="H3119" s="17">
        <v>1</v>
      </c>
      <c r="I3119">
        <v>850110</v>
      </c>
      <c r="J3119" s="1">
        <v>43344</v>
      </c>
      <c r="K3119" t="s">
        <v>268</v>
      </c>
      <c r="L3119" t="s">
        <v>269</v>
      </c>
      <c r="M3119" t="s">
        <v>131</v>
      </c>
      <c r="N3119">
        <v>30</v>
      </c>
      <c r="O3119" t="s">
        <v>40</v>
      </c>
      <c r="P3119" t="s">
        <v>40</v>
      </c>
      <c r="Q3119" t="s">
        <v>40</v>
      </c>
      <c r="R3119" t="s">
        <v>40</v>
      </c>
      <c r="S3119" t="s">
        <v>40</v>
      </c>
      <c r="U3119" s="1">
        <v>43344</v>
      </c>
      <c r="V3119" t="s">
        <v>41</v>
      </c>
      <c r="W3119" t="s">
        <v>95</v>
      </c>
      <c r="X3119" t="str">
        <f>"7052125"</f>
        <v>7052125</v>
      </c>
      <c r="Y3119" t="s">
        <v>580</v>
      </c>
      <c r="Z3119" t="s">
        <v>268</v>
      </c>
      <c r="AA3119" t="s">
        <v>269</v>
      </c>
      <c r="AB3119" t="s">
        <v>131</v>
      </c>
      <c r="AC3119" t="s">
        <v>51</v>
      </c>
      <c r="AD3119" t="s">
        <v>45</v>
      </c>
      <c r="AE3119" s="1">
        <v>26349</v>
      </c>
      <c r="AF3119">
        <v>1</v>
      </c>
      <c r="AG3119" t="s">
        <v>269</v>
      </c>
      <c r="AH3119" s="36">
        <f t="shared" si="48"/>
        <v>47.522222222222226</v>
      </c>
      <c r="AI3119" s="41" t="s">
        <v>1780</v>
      </c>
    </row>
    <row r="3120" spans="1:35" x14ac:dyDescent="0.25">
      <c r="A3120" s="36">
        <v>99913118</v>
      </c>
      <c r="B3120" s="17" t="s">
        <v>32</v>
      </c>
      <c r="C3120" t="s">
        <v>46</v>
      </c>
      <c r="D3120" t="s">
        <v>47</v>
      </c>
      <c r="G3120" s="17" t="s">
        <v>35</v>
      </c>
      <c r="H3120" s="17">
        <v>1</v>
      </c>
      <c r="I3120">
        <v>18104</v>
      </c>
      <c r="J3120" s="1">
        <v>43344</v>
      </c>
      <c r="K3120" t="s">
        <v>345</v>
      </c>
      <c r="L3120" t="s">
        <v>346</v>
      </c>
      <c r="M3120" t="s">
        <v>131</v>
      </c>
      <c r="N3120">
        <v>21</v>
      </c>
      <c r="O3120" t="s">
        <v>40</v>
      </c>
      <c r="S3120" t="s">
        <v>40</v>
      </c>
      <c r="U3120" s="1">
        <v>43344</v>
      </c>
      <c r="V3120" t="s">
        <v>41</v>
      </c>
      <c r="W3120" t="s">
        <v>367</v>
      </c>
      <c r="X3120" t="str">
        <f>"0580655"</f>
        <v>0580655</v>
      </c>
      <c r="Y3120" t="s">
        <v>368</v>
      </c>
      <c r="Z3120" t="s">
        <v>345</v>
      </c>
      <c r="AA3120" t="s">
        <v>346</v>
      </c>
      <c r="AB3120" t="s">
        <v>131</v>
      </c>
      <c r="AC3120" t="s">
        <v>51</v>
      </c>
      <c r="AD3120" t="s">
        <v>45</v>
      </c>
      <c r="AE3120" s="1">
        <v>26345</v>
      </c>
      <c r="AF3120">
        <v>2</v>
      </c>
      <c r="AG3120" t="s">
        <v>346</v>
      </c>
      <c r="AH3120" s="36">
        <f t="shared" si="48"/>
        <v>47.533333333333331</v>
      </c>
      <c r="AI3120" s="41" t="s">
        <v>1780</v>
      </c>
    </row>
    <row r="3121" spans="1:35" x14ac:dyDescent="0.25">
      <c r="A3121" s="36">
        <v>99913119</v>
      </c>
      <c r="B3121" s="17" t="s">
        <v>56</v>
      </c>
      <c r="C3121" t="s">
        <v>52</v>
      </c>
      <c r="D3121" t="s">
        <v>53</v>
      </c>
      <c r="G3121" s="17" t="s">
        <v>35</v>
      </c>
      <c r="H3121" s="17">
        <v>1</v>
      </c>
      <c r="K3121" t="s">
        <v>223</v>
      </c>
      <c r="L3121" t="s">
        <v>224</v>
      </c>
      <c r="M3121" t="s">
        <v>131</v>
      </c>
      <c r="N3121">
        <v>23</v>
      </c>
      <c r="O3121" t="s">
        <v>40</v>
      </c>
      <c r="P3121" t="s">
        <v>40</v>
      </c>
      <c r="Q3121" t="s">
        <v>40</v>
      </c>
      <c r="R3121" t="s">
        <v>40</v>
      </c>
      <c r="S3121" t="s">
        <v>40</v>
      </c>
      <c r="V3121" t="s">
        <v>41</v>
      </c>
      <c r="W3121" t="s">
        <v>49</v>
      </c>
      <c r="X3121" t="str">
        <f>"0581207"</f>
        <v>0581207</v>
      </c>
      <c r="Y3121" t="s">
        <v>233</v>
      </c>
      <c r="Z3121" t="s">
        <v>223</v>
      </c>
      <c r="AA3121" t="s">
        <v>224</v>
      </c>
      <c r="AB3121" t="s">
        <v>131</v>
      </c>
      <c r="AC3121" t="s">
        <v>51</v>
      </c>
      <c r="AD3121" t="s">
        <v>45</v>
      </c>
      <c r="AE3121" s="1">
        <v>26343</v>
      </c>
      <c r="AF3121">
        <v>2</v>
      </c>
      <c r="AG3121" t="s">
        <v>224</v>
      </c>
      <c r="AH3121" s="36">
        <f t="shared" si="48"/>
        <v>47.538888888888891</v>
      </c>
      <c r="AI3121" s="41" t="s">
        <v>1780</v>
      </c>
    </row>
    <row r="3122" spans="1:35" x14ac:dyDescent="0.25">
      <c r="A3122" s="36">
        <v>99913120</v>
      </c>
      <c r="B3122" s="17" t="s">
        <v>32</v>
      </c>
      <c r="C3122" t="s">
        <v>139</v>
      </c>
      <c r="D3122" t="s">
        <v>140</v>
      </c>
      <c r="G3122" s="17" t="s">
        <v>35</v>
      </c>
      <c r="H3122" s="17">
        <v>1</v>
      </c>
      <c r="K3122" t="s">
        <v>380</v>
      </c>
      <c r="L3122" t="s">
        <v>381</v>
      </c>
      <c r="M3122" t="s">
        <v>131</v>
      </c>
      <c r="N3122">
        <v>18</v>
      </c>
      <c r="O3122" t="s">
        <v>40</v>
      </c>
      <c r="P3122" t="s">
        <v>40</v>
      </c>
      <c r="Q3122" t="s">
        <v>40</v>
      </c>
      <c r="R3122" t="s">
        <v>40</v>
      </c>
      <c r="S3122" t="s">
        <v>40</v>
      </c>
      <c r="V3122" t="s">
        <v>41</v>
      </c>
      <c r="W3122" t="s">
        <v>49</v>
      </c>
      <c r="X3122" t="str">
        <f>"0591908"</f>
        <v>0591908</v>
      </c>
      <c r="Y3122" t="s">
        <v>383</v>
      </c>
      <c r="Z3122" t="s">
        <v>380</v>
      </c>
      <c r="AA3122" t="s">
        <v>381</v>
      </c>
      <c r="AB3122" t="s">
        <v>131</v>
      </c>
      <c r="AC3122" t="s">
        <v>51</v>
      </c>
      <c r="AD3122" t="s">
        <v>45</v>
      </c>
      <c r="AE3122" s="1">
        <v>26341</v>
      </c>
      <c r="AF3122">
        <v>2</v>
      </c>
      <c r="AG3122" t="s">
        <v>381</v>
      </c>
      <c r="AH3122" s="36">
        <f t="shared" si="48"/>
        <v>47.544444444444444</v>
      </c>
      <c r="AI3122" s="41" t="s">
        <v>1780</v>
      </c>
    </row>
    <row r="3123" spans="1:35" x14ac:dyDescent="0.25">
      <c r="A3123" s="36">
        <v>99913121</v>
      </c>
      <c r="B3123" s="17" t="s">
        <v>56</v>
      </c>
      <c r="C3123" t="s">
        <v>46</v>
      </c>
      <c r="D3123" t="s">
        <v>47</v>
      </c>
      <c r="G3123" s="17" t="s">
        <v>35</v>
      </c>
      <c r="H3123" s="17">
        <v>1</v>
      </c>
      <c r="K3123" t="s">
        <v>1626</v>
      </c>
      <c r="L3123" t="s">
        <v>1627</v>
      </c>
      <c r="M3123" t="s">
        <v>1592</v>
      </c>
      <c r="N3123">
        <v>21</v>
      </c>
      <c r="O3123" t="s">
        <v>40</v>
      </c>
      <c r="P3123" t="s">
        <v>40</v>
      </c>
      <c r="Q3123" t="s">
        <v>40</v>
      </c>
      <c r="R3123" t="s">
        <v>40</v>
      </c>
      <c r="S3123" t="s">
        <v>40</v>
      </c>
      <c r="V3123" t="s">
        <v>41</v>
      </c>
      <c r="W3123" t="s">
        <v>42</v>
      </c>
      <c r="X3123" t="str">
        <f>"3680015"</f>
        <v>3680015</v>
      </c>
      <c r="Y3123" t="s">
        <v>1628</v>
      </c>
      <c r="Z3123" t="s">
        <v>1626</v>
      </c>
      <c r="AA3123" t="s">
        <v>1627</v>
      </c>
      <c r="AB3123" t="s">
        <v>1592</v>
      </c>
      <c r="AC3123" t="s">
        <v>51</v>
      </c>
      <c r="AD3123" t="s">
        <v>45</v>
      </c>
      <c r="AE3123" s="1">
        <v>26340</v>
      </c>
      <c r="AF3123">
        <v>2</v>
      </c>
      <c r="AG3123" t="s">
        <v>1627</v>
      </c>
      <c r="AH3123" s="36">
        <f t="shared" si="48"/>
        <v>47.547222222222224</v>
      </c>
      <c r="AI3123" s="41" t="s">
        <v>1780</v>
      </c>
    </row>
    <row r="3124" spans="1:35" x14ac:dyDescent="0.25">
      <c r="A3124" s="36">
        <v>99913122</v>
      </c>
      <c r="B3124" s="17" t="s">
        <v>32</v>
      </c>
      <c r="C3124" t="s">
        <v>46</v>
      </c>
      <c r="D3124" t="s">
        <v>47</v>
      </c>
      <c r="G3124" s="17" t="s">
        <v>35</v>
      </c>
      <c r="H3124" s="17">
        <v>1</v>
      </c>
      <c r="K3124" t="s">
        <v>223</v>
      </c>
      <c r="L3124" t="s">
        <v>224</v>
      </c>
      <c r="M3124" t="s">
        <v>131</v>
      </c>
      <c r="N3124">
        <v>20</v>
      </c>
      <c r="O3124" t="s">
        <v>40</v>
      </c>
      <c r="P3124" t="s">
        <v>40</v>
      </c>
      <c r="Q3124" t="s">
        <v>40</v>
      </c>
      <c r="S3124" t="s">
        <v>40</v>
      </c>
      <c r="V3124" t="s">
        <v>41</v>
      </c>
      <c r="W3124" t="s">
        <v>42</v>
      </c>
      <c r="X3124" t="str">
        <f>"0590903"</f>
        <v>0590903</v>
      </c>
      <c r="Y3124" t="s">
        <v>226</v>
      </c>
      <c r="Z3124" t="s">
        <v>223</v>
      </c>
      <c r="AA3124" t="s">
        <v>224</v>
      </c>
      <c r="AB3124" t="s">
        <v>131</v>
      </c>
      <c r="AC3124" t="s">
        <v>51</v>
      </c>
      <c r="AD3124" t="s">
        <v>45</v>
      </c>
      <c r="AE3124" s="1">
        <v>26333</v>
      </c>
      <c r="AF3124">
        <v>2</v>
      </c>
      <c r="AG3124" t="s">
        <v>224</v>
      </c>
      <c r="AH3124" s="36">
        <f t="shared" si="48"/>
        <v>47.56666666666667</v>
      </c>
      <c r="AI3124" s="41" t="s">
        <v>1780</v>
      </c>
    </row>
    <row r="3125" spans="1:35" x14ac:dyDescent="0.25">
      <c r="A3125" s="36">
        <v>99913123</v>
      </c>
      <c r="B3125" s="17" t="s">
        <v>32</v>
      </c>
      <c r="C3125" t="s">
        <v>90</v>
      </c>
      <c r="D3125" t="s">
        <v>91</v>
      </c>
      <c r="G3125" s="17" t="s">
        <v>35</v>
      </c>
      <c r="H3125" s="17">
        <v>1</v>
      </c>
      <c r="I3125">
        <v>1</v>
      </c>
      <c r="J3125" s="1">
        <v>43344</v>
      </c>
      <c r="K3125" t="s">
        <v>1198</v>
      </c>
      <c r="L3125" t="s">
        <v>1199</v>
      </c>
      <c r="M3125" t="s">
        <v>1130</v>
      </c>
      <c r="N3125">
        <v>25</v>
      </c>
      <c r="O3125" t="s">
        <v>40</v>
      </c>
      <c r="P3125" t="s">
        <v>40</v>
      </c>
      <c r="Q3125" t="s">
        <v>40</v>
      </c>
      <c r="R3125" t="s">
        <v>40</v>
      </c>
      <c r="S3125" t="s">
        <v>40</v>
      </c>
      <c r="U3125" s="1">
        <v>43344</v>
      </c>
      <c r="V3125" t="s">
        <v>41</v>
      </c>
      <c r="W3125" t="s">
        <v>95</v>
      </c>
      <c r="X3125" t="str">
        <f>"7311005"</f>
        <v>7311005</v>
      </c>
      <c r="Y3125" t="s">
        <v>1206</v>
      </c>
      <c r="Z3125" t="s">
        <v>1198</v>
      </c>
      <c r="AA3125" t="s">
        <v>1199</v>
      </c>
      <c r="AB3125" t="s">
        <v>1130</v>
      </c>
      <c r="AC3125" t="s">
        <v>51</v>
      </c>
      <c r="AD3125" t="s">
        <v>45</v>
      </c>
      <c r="AE3125" s="1">
        <v>26330</v>
      </c>
      <c r="AF3125">
        <v>1</v>
      </c>
      <c r="AG3125" t="s">
        <v>1199</v>
      </c>
      <c r="AH3125" s="36">
        <f t="shared" si="48"/>
        <v>47.575000000000003</v>
      </c>
      <c r="AI3125" s="41" t="s">
        <v>1780</v>
      </c>
    </row>
    <row r="3126" spans="1:35" x14ac:dyDescent="0.25">
      <c r="A3126" s="36">
        <v>99913124</v>
      </c>
      <c r="B3126" s="17" t="s">
        <v>56</v>
      </c>
      <c r="C3126" t="s">
        <v>139</v>
      </c>
      <c r="D3126" t="s">
        <v>140</v>
      </c>
      <c r="G3126" s="17" t="s">
        <v>48</v>
      </c>
      <c r="H3126" s="17">
        <v>1</v>
      </c>
      <c r="K3126" t="s">
        <v>129</v>
      </c>
      <c r="L3126" t="s">
        <v>130</v>
      </c>
      <c r="M3126" t="s">
        <v>131</v>
      </c>
      <c r="N3126">
        <v>20</v>
      </c>
      <c r="O3126" t="s">
        <v>40</v>
      </c>
      <c r="P3126" t="s">
        <v>40</v>
      </c>
      <c r="Q3126" t="s">
        <v>40</v>
      </c>
      <c r="R3126" t="s">
        <v>40</v>
      </c>
      <c r="S3126" t="s">
        <v>40</v>
      </c>
      <c r="V3126" t="s">
        <v>41</v>
      </c>
      <c r="W3126" t="s">
        <v>42</v>
      </c>
      <c r="X3126" t="str">
        <f>"0590905"</f>
        <v>0590905</v>
      </c>
      <c r="Y3126" t="s">
        <v>133</v>
      </c>
      <c r="Z3126" t="s">
        <v>129</v>
      </c>
      <c r="AA3126" t="s">
        <v>130</v>
      </c>
      <c r="AB3126" t="s">
        <v>131</v>
      </c>
      <c r="AC3126" t="s">
        <v>51</v>
      </c>
      <c r="AD3126" t="s">
        <v>45</v>
      </c>
      <c r="AE3126" s="1">
        <v>26327</v>
      </c>
      <c r="AF3126">
        <v>2</v>
      </c>
      <c r="AG3126" t="s">
        <v>130</v>
      </c>
      <c r="AH3126" s="36">
        <f t="shared" si="48"/>
        <v>47.583333333333336</v>
      </c>
      <c r="AI3126" s="41" t="s">
        <v>1780</v>
      </c>
    </row>
    <row r="3127" spans="1:35" x14ac:dyDescent="0.25">
      <c r="A3127" s="36">
        <v>99913125</v>
      </c>
      <c r="B3127" s="17" t="s">
        <v>32</v>
      </c>
      <c r="C3127" t="s">
        <v>111</v>
      </c>
      <c r="D3127" t="s">
        <v>112</v>
      </c>
      <c r="G3127" s="17" t="s">
        <v>48</v>
      </c>
      <c r="H3127" s="17">
        <v>9</v>
      </c>
      <c r="I3127" t="s">
        <v>560</v>
      </c>
      <c r="J3127" s="1">
        <v>38596</v>
      </c>
      <c r="K3127" t="s">
        <v>431</v>
      </c>
      <c r="L3127" t="s">
        <v>196</v>
      </c>
      <c r="M3127" t="s">
        <v>131</v>
      </c>
      <c r="N3127">
        <v>22</v>
      </c>
      <c r="O3127" t="s">
        <v>40</v>
      </c>
      <c r="P3127" t="s">
        <v>40</v>
      </c>
      <c r="Q3127" t="s">
        <v>40</v>
      </c>
      <c r="R3127" t="s">
        <v>40</v>
      </c>
      <c r="S3127" t="s">
        <v>40</v>
      </c>
      <c r="U3127" s="1">
        <v>38596</v>
      </c>
      <c r="V3127" t="s">
        <v>41</v>
      </c>
      <c r="W3127" t="s">
        <v>75</v>
      </c>
      <c r="X3127" t="str">
        <f>"7521022"</f>
        <v>7521022</v>
      </c>
      <c r="Y3127" t="s">
        <v>445</v>
      </c>
      <c r="Z3127" t="s">
        <v>431</v>
      </c>
      <c r="AA3127" t="s">
        <v>196</v>
      </c>
      <c r="AB3127" t="s">
        <v>131</v>
      </c>
      <c r="AC3127" t="s">
        <v>51</v>
      </c>
      <c r="AD3127" t="s">
        <v>45</v>
      </c>
      <c r="AE3127" s="1">
        <v>26325</v>
      </c>
      <c r="AF3127">
        <v>1</v>
      </c>
      <c r="AG3127" t="s">
        <v>196</v>
      </c>
      <c r="AH3127" s="36">
        <f t="shared" si="48"/>
        <v>47.588888888888889</v>
      </c>
      <c r="AI3127" s="41" t="s">
        <v>1780</v>
      </c>
    </row>
    <row r="3128" spans="1:35" x14ac:dyDescent="0.25">
      <c r="A3128" s="36">
        <v>99913126</v>
      </c>
      <c r="B3128" s="17" t="s">
        <v>32</v>
      </c>
      <c r="C3128" t="s">
        <v>46</v>
      </c>
      <c r="D3128" t="s">
        <v>47</v>
      </c>
      <c r="G3128" s="17" t="s">
        <v>48</v>
      </c>
      <c r="H3128" s="17">
        <v>1</v>
      </c>
      <c r="K3128" t="s">
        <v>223</v>
      </c>
      <c r="L3128" t="s">
        <v>224</v>
      </c>
      <c r="M3128" t="s">
        <v>131</v>
      </c>
      <c r="N3128">
        <v>20</v>
      </c>
      <c r="O3128" t="s">
        <v>40</v>
      </c>
      <c r="P3128" t="s">
        <v>40</v>
      </c>
      <c r="Q3128" t="s">
        <v>40</v>
      </c>
      <c r="R3128" t="s">
        <v>40</v>
      </c>
      <c r="S3128" t="s">
        <v>40</v>
      </c>
      <c r="V3128" t="s">
        <v>41</v>
      </c>
      <c r="W3128" t="s">
        <v>49</v>
      </c>
      <c r="X3128" t="str">
        <f>"0581204"</f>
        <v>0581204</v>
      </c>
      <c r="Y3128" t="s">
        <v>249</v>
      </c>
      <c r="Z3128" t="s">
        <v>223</v>
      </c>
      <c r="AA3128" t="s">
        <v>224</v>
      </c>
      <c r="AB3128" t="s">
        <v>131</v>
      </c>
      <c r="AC3128" t="s">
        <v>51</v>
      </c>
      <c r="AD3128" t="s">
        <v>45</v>
      </c>
      <c r="AE3128" s="1">
        <v>26324</v>
      </c>
      <c r="AF3128">
        <v>2</v>
      </c>
      <c r="AG3128" t="s">
        <v>224</v>
      </c>
      <c r="AH3128" s="36">
        <f t="shared" si="48"/>
        <v>47.591666666666669</v>
      </c>
      <c r="AI3128" s="41" t="s">
        <v>1780</v>
      </c>
    </row>
    <row r="3129" spans="1:35" x14ac:dyDescent="0.25">
      <c r="A3129" s="36">
        <v>99913127</v>
      </c>
      <c r="B3129" s="17" t="s">
        <v>56</v>
      </c>
      <c r="C3129" t="s">
        <v>61</v>
      </c>
      <c r="D3129" t="s">
        <v>62</v>
      </c>
      <c r="G3129" s="17" t="s">
        <v>48</v>
      </c>
      <c r="H3129" s="17">
        <v>1</v>
      </c>
      <c r="K3129" t="s">
        <v>223</v>
      </c>
      <c r="L3129" t="s">
        <v>224</v>
      </c>
      <c r="M3129" t="s">
        <v>131</v>
      </c>
      <c r="N3129">
        <v>13</v>
      </c>
      <c r="O3129" t="s">
        <v>40</v>
      </c>
      <c r="P3129" t="s">
        <v>40</v>
      </c>
      <c r="Q3129" t="s">
        <v>40</v>
      </c>
      <c r="R3129" t="s">
        <v>40</v>
      </c>
      <c r="S3129" t="s">
        <v>40</v>
      </c>
      <c r="V3129" t="s">
        <v>41</v>
      </c>
      <c r="W3129" t="s">
        <v>49</v>
      </c>
      <c r="X3129" t="str">
        <f>"0581204"</f>
        <v>0581204</v>
      </c>
      <c r="Y3129" t="s">
        <v>249</v>
      </c>
      <c r="Z3129" t="s">
        <v>223</v>
      </c>
      <c r="AA3129" t="s">
        <v>224</v>
      </c>
      <c r="AB3129" t="s">
        <v>131</v>
      </c>
      <c r="AC3129" t="s">
        <v>165</v>
      </c>
      <c r="AD3129" t="s">
        <v>45</v>
      </c>
      <c r="AE3129" s="1">
        <v>26320</v>
      </c>
      <c r="AF3129">
        <v>2</v>
      </c>
      <c r="AG3129" t="s">
        <v>224</v>
      </c>
      <c r="AH3129" s="36">
        <f t="shared" si="48"/>
        <v>47.602777777777774</v>
      </c>
      <c r="AI3129" s="41" t="s">
        <v>1780</v>
      </c>
    </row>
    <row r="3130" spans="1:35" x14ac:dyDescent="0.25">
      <c r="A3130" s="36">
        <v>99913128</v>
      </c>
      <c r="B3130" s="17" t="s">
        <v>32</v>
      </c>
      <c r="C3130" t="s">
        <v>139</v>
      </c>
      <c r="D3130" t="s">
        <v>140</v>
      </c>
      <c r="G3130" s="17" t="s">
        <v>35</v>
      </c>
      <c r="H3130" s="17">
        <v>1</v>
      </c>
      <c r="I3130">
        <v>21106</v>
      </c>
      <c r="J3130" s="1">
        <v>43344</v>
      </c>
      <c r="K3130" t="s">
        <v>380</v>
      </c>
      <c r="L3130" t="s">
        <v>381</v>
      </c>
      <c r="M3130" t="s">
        <v>131</v>
      </c>
      <c r="N3130">
        <v>5</v>
      </c>
      <c r="O3130" t="s">
        <v>40</v>
      </c>
      <c r="S3130" t="s">
        <v>40</v>
      </c>
      <c r="U3130" s="1">
        <v>43344</v>
      </c>
      <c r="V3130" t="s">
        <v>41</v>
      </c>
      <c r="W3130" t="s">
        <v>49</v>
      </c>
      <c r="X3130" t="str">
        <f>"0591908"</f>
        <v>0591908</v>
      </c>
      <c r="Y3130" t="s">
        <v>383</v>
      </c>
      <c r="Z3130" t="s">
        <v>380</v>
      </c>
      <c r="AA3130" t="s">
        <v>381</v>
      </c>
      <c r="AB3130" t="s">
        <v>131</v>
      </c>
      <c r="AC3130" t="s">
        <v>44</v>
      </c>
      <c r="AD3130" t="s">
        <v>45</v>
      </c>
      <c r="AE3130" s="1">
        <v>26320</v>
      </c>
      <c r="AF3130">
        <v>2</v>
      </c>
      <c r="AG3130" t="s">
        <v>381</v>
      </c>
      <c r="AH3130" s="36">
        <f t="shared" si="48"/>
        <v>47.602777777777774</v>
      </c>
      <c r="AI3130" s="41" t="s">
        <v>1780</v>
      </c>
    </row>
    <row r="3131" spans="1:35" x14ac:dyDescent="0.25">
      <c r="A3131" s="36">
        <v>99913129</v>
      </c>
      <c r="B3131" s="17" t="s">
        <v>32</v>
      </c>
      <c r="C3131" t="s">
        <v>64</v>
      </c>
      <c r="D3131" t="s">
        <v>65</v>
      </c>
      <c r="G3131" s="17" t="s">
        <v>48</v>
      </c>
      <c r="H3131" s="17">
        <v>10</v>
      </c>
      <c r="K3131" t="s">
        <v>1426</v>
      </c>
      <c r="L3131" t="s">
        <v>1427</v>
      </c>
      <c r="M3131" t="s">
        <v>1270</v>
      </c>
      <c r="N3131">
        <v>21</v>
      </c>
      <c r="O3131" t="s">
        <v>40</v>
      </c>
      <c r="P3131" t="s">
        <v>40</v>
      </c>
      <c r="Q3131" t="s">
        <v>40</v>
      </c>
      <c r="R3131" t="s">
        <v>40</v>
      </c>
      <c r="S3131" t="s">
        <v>40</v>
      </c>
      <c r="V3131" t="s">
        <v>41</v>
      </c>
      <c r="W3131" t="s">
        <v>75</v>
      </c>
      <c r="X3131" t="str">
        <f>"7192004"</f>
        <v>7192004</v>
      </c>
      <c r="Y3131" t="s">
        <v>1428</v>
      </c>
      <c r="Z3131" t="s">
        <v>1426</v>
      </c>
      <c r="AA3131" t="s">
        <v>1427</v>
      </c>
      <c r="AB3131" t="s">
        <v>1270</v>
      </c>
      <c r="AC3131" t="s">
        <v>51</v>
      </c>
      <c r="AD3131" t="s">
        <v>45</v>
      </c>
      <c r="AE3131" s="1">
        <v>26320</v>
      </c>
      <c r="AF3131">
        <v>1</v>
      </c>
      <c r="AG3131" t="s">
        <v>1427</v>
      </c>
      <c r="AH3131" s="36">
        <f t="shared" si="48"/>
        <v>47.602777777777774</v>
      </c>
      <c r="AI3131" s="41" t="s">
        <v>1780</v>
      </c>
    </row>
    <row r="3132" spans="1:35" x14ac:dyDescent="0.25">
      <c r="A3132" s="36">
        <v>99913130</v>
      </c>
      <c r="B3132" s="17" t="s">
        <v>56</v>
      </c>
      <c r="C3132" t="s">
        <v>46</v>
      </c>
      <c r="D3132" t="s">
        <v>47</v>
      </c>
      <c r="G3132" s="17" t="s">
        <v>48</v>
      </c>
      <c r="H3132" s="17">
        <v>1</v>
      </c>
      <c r="K3132" t="s">
        <v>129</v>
      </c>
      <c r="L3132" t="s">
        <v>130</v>
      </c>
      <c r="M3132" t="s">
        <v>131</v>
      </c>
      <c r="N3132">
        <v>20</v>
      </c>
      <c r="O3132" t="s">
        <v>40</v>
      </c>
      <c r="P3132" t="s">
        <v>40</v>
      </c>
      <c r="Q3132" t="s">
        <v>40</v>
      </c>
      <c r="R3132" t="s">
        <v>40</v>
      </c>
      <c r="S3132" t="s">
        <v>40</v>
      </c>
      <c r="V3132" t="s">
        <v>41</v>
      </c>
      <c r="W3132" t="s">
        <v>42</v>
      </c>
      <c r="X3132" t="str">
        <f>"0580715"</f>
        <v>0580715</v>
      </c>
      <c r="Y3132" t="s">
        <v>147</v>
      </c>
      <c r="Z3132" t="s">
        <v>129</v>
      </c>
      <c r="AA3132" t="s">
        <v>130</v>
      </c>
      <c r="AB3132" t="s">
        <v>131</v>
      </c>
      <c r="AC3132" t="s">
        <v>51</v>
      </c>
      <c r="AD3132" t="s">
        <v>45</v>
      </c>
      <c r="AE3132" s="1">
        <v>26317</v>
      </c>
      <c r="AF3132">
        <v>2</v>
      </c>
      <c r="AG3132" t="s">
        <v>130</v>
      </c>
      <c r="AH3132" s="36">
        <f t="shared" si="48"/>
        <v>47.611111111111114</v>
      </c>
      <c r="AI3132" s="41" t="s">
        <v>1780</v>
      </c>
    </row>
    <row r="3133" spans="1:35" x14ac:dyDescent="0.25">
      <c r="A3133" s="36">
        <v>99913131</v>
      </c>
      <c r="B3133" s="17" t="s">
        <v>32</v>
      </c>
      <c r="C3133" t="s">
        <v>90</v>
      </c>
      <c r="D3133" t="s">
        <v>91</v>
      </c>
      <c r="G3133" s="17" t="s">
        <v>48</v>
      </c>
      <c r="H3133" s="17">
        <v>4</v>
      </c>
      <c r="I3133" t="s">
        <v>1017</v>
      </c>
      <c r="J3133" s="1">
        <v>43344</v>
      </c>
      <c r="K3133" t="s">
        <v>963</v>
      </c>
      <c r="L3133" t="s">
        <v>964</v>
      </c>
      <c r="M3133" t="s">
        <v>938</v>
      </c>
      <c r="N3133">
        <v>25</v>
      </c>
      <c r="O3133" t="s">
        <v>40</v>
      </c>
      <c r="P3133" t="s">
        <v>40</v>
      </c>
      <c r="Q3133" t="s">
        <v>40</v>
      </c>
      <c r="R3133" t="s">
        <v>40</v>
      </c>
      <c r="S3133" t="s">
        <v>40</v>
      </c>
      <c r="U3133" s="1">
        <v>43344</v>
      </c>
      <c r="V3133" t="s">
        <v>41</v>
      </c>
      <c r="W3133" t="s">
        <v>95</v>
      </c>
      <c r="X3133" t="str">
        <f>"7061015"</f>
        <v>7061015</v>
      </c>
      <c r="Y3133" t="s">
        <v>1016</v>
      </c>
      <c r="Z3133" t="s">
        <v>963</v>
      </c>
      <c r="AA3133" t="s">
        <v>964</v>
      </c>
      <c r="AB3133" t="s">
        <v>938</v>
      </c>
      <c r="AC3133" t="s">
        <v>51</v>
      </c>
      <c r="AD3133" t="s">
        <v>45</v>
      </c>
      <c r="AE3133" s="1">
        <v>26314</v>
      </c>
      <c r="AF3133">
        <v>1</v>
      </c>
      <c r="AG3133" t="s">
        <v>964</v>
      </c>
      <c r="AH3133" s="36">
        <f t="shared" si="48"/>
        <v>47.619444444444447</v>
      </c>
      <c r="AI3133" s="41" t="s">
        <v>1780</v>
      </c>
    </row>
    <row r="3134" spans="1:35" x14ac:dyDescent="0.25">
      <c r="A3134" s="36">
        <v>99913132</v>
      </c>
      <c r="B3134" s="17" t="s">
        <v>32</v>
      </c>
      <c r="C3134" t="s">
        <v>90</v>
      </c>
      <c r="D3134" t="s">
        <v>91</v>
      </c>
      <c r="G3134" s="17" t="s">
        <v>35</v>
      </c>
      <c r="H3134" s="17">
        <v>1</v>
      </c>
      <c r="I3134">
        <v>2941</v>
      </c>
      <c r="J3134" s="1">
        <v>43344</v>
      </c>
      <c r="K3134" t="s">
        <v>1198</v>
      </c>
      <c r="L3134" t="s">
        <v>1199</v>
      </c>
      <c r="M3134" t="s">
        <v>1130</v>
      </c>
      <c r="N3134">
        <v>25</v>
      </c>
      <c r="O3134" t="s">
        <v>40</v>
      </c>
      <c r="S3134" t="s">
        <v>40</v>
      </c>
      <c r="U3134" s="1">
        <v>43344</v>
      </c>
      <c r="V3134" t="s">
        <v>41</v>
      </c>
      <c r="W3134" t="s">
        <v>95</v>
      </c>
      <c r="X3134" t="str">
        <f>"7311023"</f>
        <v>7311023</v>
      </c>
      <c r="Y3134" t="s">
        <v>1219</v>
      </c>
      <c r="Z3134" t="s">
        <v>1198</v>
      </c>
      <c r="AA3134" t="s">
        <v>1199</v>
      </c>
      <c r="AB3134" t="s">
        <v>1130</v>
      </c>
      <c r="AC3134" t="s">
        <v>51</v>
      </c>
      <c r="AD3134" t="s">
        <v>45</v>
      </c>
      <c r="AE3134" s="1">
        <v>26310</v>
      </c>
      <c r="AF3134">
        <v>1</v>
      </c>
      <c r="AG3134" t="s">
        <v>1199</v>
      </c>
      <c r="AH3134" s="36">
        <f t="shared" si="48"/>
        <v>47.630555555555553</v>
      </c>
      <c r="AI3134" s="41" t="s">
        <v>1780</v>
      </c>
    </row>
    <row r="3135" spans="1:35" x14ac:dyDescent="0.25">
      <c r="A3135" s="36">
        <v>99913133</v>
      </c>
      <c r="B3135" s="17" t="s">
        <v>32</v>
      </c>
      <c r="C3135" t="s">
        <v>141</v>
      </c>
      <c r="D3135" t="s">
        <v>142</v>
      </c>
      <c r="G3135" s="17" t="s">
        <v>88</v>
      </c>
      <c r="H3135" s="17">
        <v>3</v>
      </c>
      <c r="K3135" t="s">
        <v>877</v>
      </c>
      <c r="L3135" t="s">
        <v>878</v>
      </c>
      <c r="M3135" t="s">
        <v>131</v>
      </c>
      <c r="N3135">
        <v>15</v>
      </c>
      <c r="O3135" t="s">
        <v>40</v>
      </c>
      <c r="P3135" t="s">
        <v>40</v>
      </c>
      <c r="Q3135" t="s">
        <v>40</v>
      </c>
      <c r="R3135" t="s">
        <v>40</v>
      </c>
      <c r="S3135" t="s">
        <v>40</v>
      </c>
      <c r="V3135" t="s">
        <v>41</v>
      </c>
      <c r="W3135" t="s">
        <v>75</v>
      </c>
      <c r="X3135" t="str">
        <f>"7541010"</f>
        <v>7541010</v>
      </c>
      <c r="Y3135" t="s">
        <v>887</v>
      </c>
      <c r="Z3135" t="s">
        <v>877</v>
      </c>
      <c r="AA3135" t="s">
        <v>878</v>
      </c>
      <c r="AB3135" t="s">
        <v>131</v>
      </c>
      <c r="AC3135" t="s">
        <v>51</v>
      </c>
      <c r="AD3135" t="s">
        <v>45</v>
      </c>
      <c r="AE3135" s="1">
        <v>26305</v>
      </c>
      <c r="AF3135">
        <v>1</v>
      </c>
      <c r="AG3135" t="s">
        <v>878</v>
      </c>
      <c r="AH3135" s="36">
        <f t="shared" si="48"/>
        <v>47.644444444444446</v>
      </c>
      <c r="AI3135" s="41" t="s">
        <v>1780</v>
      </c>
    </row>
    <row r="3136" spans="1:35" x14ac:dyDescent="0.25">
      <c r="A3136" s="36">
        <v>99913134</v>
      </c>
      <c r="B3136" s="17" t="s">
        <v>32</v>
      </c>
      <c r="C3136" t="s">
        <v>141</v>
      </c>
      <c r="D3136" t="s">
        <v>142</v>
      </c>
      <c r="G3136" s="17" t="s">
        <v>48</v>
      </c>
      <c r="H3136" s="17">
        <v>4</v>
      </c>
      <c r="K3136" t="s">
        <v>1426</v>
      </c>
      <c r="L3136" t="s">
        <v>1427</v>
      </c>
      <c r="M3136" t="s">
        <v>1270</v>
      </c>
      <c r="N3136">
        <v>12</v>
      </c>
      <c r="O3136" t="s">
        <v>40</v>
      </c>
      <c r="P3136" t="s">
        <v>40</v>
      </c>
      <c r="Q3136" t="s">
        <v>40</v>
      </c>
      <c r="R3136" t="s">
        <v>40</v>
      </c>
      <c r="S3136" t="s">
        <v>40</v>
      </c>
      <c r="V3136" t="s">
        <v>41</v>
      </c>
      <c r="W3136" t="s">
        <v>75</v>
      </c>
      <c r="X3136" t="str">
        <f>"7192004"</f>
        <v>7192004</v>
      </c>
      <c r="Y3136" t="s">
        <v>1428</v>
      </c>
      <c r="Z3136" t="s">
        <v>1426</v>
      </c>
      <c r="AA3136" t="s">
        <v>1427</v>
      </c>
      <c r="AB3136" t="s">
        <v>1270</v>
      </c>
      <c r="AC3136" t="s">
        <v>51</v>
      </c>
      <c r="AD3136" t="s">
        <v>45</v>
      </c>
      <c r="AE3136" s="1">
        <v>26305</v>
      </c>
      <c r="AF3136">
        <v>1</v>
      </c>
      <c r="AG3136" t="s">
        <v>1427</v>
      </c>
      <c r="AH3136" s="36">
        <f t="shared" si="48"/>
        <v>47.644444444444446</v>
      </c>
      <c r="AI3136" s="41" t="s">
        <v>1780</v>
      </c>
    </row>
    <row r="3137" spans="1:35" x14ac:dyDescent="0.25">
      <c r="A3137" s="36">
        <v>99913135</v>
      </c>
      <c r="B3137" s="17" t="s">
        <v>32</v>
      </c>
      <c r="C3137" t="s">
        <v>46</v>
      </c>
      <c r="D3137" t="s">
        <v>47</v>
      </c>
      <c r="G3137" s="17" t="s">
        <v>35</v>
      </c>
      <c r="H3137" s="17">
        <v>1</v>
      </c>
      <c r="I3137">
        <v>4620</v>
      </c>
      <c r="J3137" s="1">
        <v>43344</v>
      </c>
      <c r="K3137" t="s">
        <v>1626</v>
      </c>
      <c r="L3137" t="s">
        <v>1627</v>
      </c>
      <c r="M3137" t="s">
        <v>1592</v>
      </c>
      <c r="N3137">
        <v>23</v>
      </c>
      <c r="O3137" t="s">
        <v>40</v>
      </c>
      <c r="P3137" t="s">
        <v>40</v>
      </c>
      <c r="Q3137" t="s">
        <v>40</v>
      </c>
      <c r="R3137" t="s">
        <v>40</v>
      </c>
      <c r="S3137" t="s">
        <v>40</v>
      </c>
      <c r="U3137" s="1">
        <v>43344</v>
      </c>
      <c r="V3137" t="s">
        <v>41</v>
      </c>
      <c r="W3137" t="s">
        <v>42</v>
      </c>
      <c r="X3137" t="str">
        <f>"3680015"</f>
        <v>3680015</v>
      </c>
      <c r="Y3137" t="s">
        <v>1628</v>
      </c>
      <c r="Z3137" t="s">
        <v>1626</v>
      </c>
      <c r="AA3137" t="s">
        <v>1627</v>
      </c>
      <c r="AB3137" t="s">
        <v>1592</v>
      </c>
      <c r="AC3137" t="s">
        <v>44</v>
      </c>
      <c r="AD3137" t="s">
        <v>45</v>
      </c>
      <c r="AE3137" s="1">
        <v>26302</v>
      </c>
      <c r="AF3137">
        <v>2</v>
      </c>
      <c r="AG3137" t="s">
        <v>1627</v>
      </c>
      <c r="AH3137" s="36">
        <f t="shared" si="48"/>
        <v>47.652777777777779</v>
      </c>
      <c r="AI3137" s="41" t="s">
        <v>1780</v>
      </c>
    </row>
    <row r="3138" spans="1:35" x14ac:dyDescent="0.25">
      <c r="A3138" s="36">
        <v>99913136</v>
      </c>
      <c r="B3138" s="17" t="s">
        <v>32</v>
      </c>
      <c r="C3138" t="s">
        <v>46</v>
      </c>
      <c r="D3138" t="s">
        <v>47</v>
      </c>
      <c r="G3138" s="17" t="s">
        <v>35</v>
      </c>
      <c r="H3138" s="17">
        <v>1</v>
      </c>
      <c r="K3138" t="s">
        <v>157</v>
      </c>
      <c r="L3138" t="s">
        <v>158</v>
      </c>
      <c r="M3138" t="s">
        <v>131</v>
      </c>
      <c r="N3138">
        <v>11</v>
      </c>
      <c r="O3138" t="s">
        <v>40</v>
      </c>
      <c r="P3138" t="s">
        <v>40</v>
      </c>
      <c r="Q3138" t="s">
        <v>40</v>
      </c>
      <c r="R3138" t="s">
        <v>40</v>
      </c>
      <c r="S3138" t="s">
        <v>40</v>
      </c>
      <c r="V3138" t="s">
        <v>41</v>
      </c>
      <c r="W3138" t="s">
        <v>49</v>
      </c>
      <c r="X3138" t="str">
        <f>"0580505"</f>
        <v>0580505</v>
      </c>
      <c r="Y3138" t="s">
        <v>168</v>
      </c>
      <c r="Z3138" t="s">
        <v>157</v>
      </c>
      <c r="AA3138" t="s">
        <v>158</v>
      </c>
      <c r="AB3138" t="s">
        <v>131</v>
      </c>
      <c r="AC3138" t="s">
        <v>51</v>
      </c>
      <c r="AD3138" t="s">
        <v>45</v>
      </c>
      <c r="AE3138" s="1">
        <v>26299</v>
      </c>
      <c r="AF3138">
        <v>2</v>
      </c>
      <c r="AG3138" t="s">
        <v>158</v>
      </c>
      <c r="AH3138" s="36">
        <f t="shared" ref="AH3138:AH3201" si="49">($AJ$1-AE3138)/360</f>
        <v>47.661111111111111</v>
      </c>
      <c r="AI3138" s="41" t="s">
        <v>1780</v>
      </c>
    </row>
    <row r="3139" spans="1:35" x14ac:dyDescent="0.25">
      <c r="A3139" s="36">
        <v>99913137</v>
      </c>
      <c r="B3139" s="17" t="s">
        <v>32</v>
      </c>
      <c r="C3139" t="s">
        <v>46</v>
      </c>
      <c r="D3139" t="s">
        <v>47</v>
      </c>
      <c r="G3139" s="17" t="s">
        <v>48</v>
      </c>
      <c r="H3139" s="17">
        <v>1</v>
      </c>
      <c r="K3139" t="s">
        <v>157</v>
      </c>
      <c r="L3139" t="s">
        <v>158</v>
      </c>
      <c r="M3139" t="s">
        <v>131</v>
      </c>
      <c r="N3139">
        <v>22</v>
      </c>
      <c r="O3139" t="s">
        <v>40</v>
      </c>
      <c r="P3139" t="s">
        <v>40</v>
      </c>
      <c r="Q3139" t="s">
        <v>40</v>
      </c>
      <c r="R3139" t="s">
        <v>40</v>
      </c>
      <c r="S3139" t="s">
        <v>40</v>
      </c>
      <c r="V3139" t="s">
        <v>41</v>
      </c>
      <c r="W3139" t="s">
        <v>49</v>
      </c>
      <c r="X3139" t="str">
        <f>"0560019"</f>
        <v>0560019</v>
      </c>
      <c r="Y3139" t="s">
        <v>166</v>
      </c>
      <c r="Z3139" t="s">
        <v>157</v>
      </c>
      <c r="AA3139" t="s">
        <v>158</v>
      </c>
      <c r="AB3139" t="s">
        <v>131</v>
      </c>
      <c r="AC3139" t="s">
        <v>51</v>
      </c>
      <c r="AD3139" t="s">
        <v>45</v>
      </c>
      <c r="AE3139" s="1">
        <v>26299</v>
      </c>
      <c r="AF3139">
        <v>2</v>
      </c>
      <c r="AG3139" t="s">
        <v>158</v>
      </c>
      <c r="AH3139" s="36">
        <f t="shared" si="49"/>
        <v>47.661111111111111</v>
      </c>
      <c r="AI3139" s="41" t="s">
        <v>1780</v>
      </c>
    </row>
    <row r="3140" spans="1:35" x14ac:dyDescent="0.25">
      <c r="A3140" s="36">
        <v>99913138</v>
      </c>
      <c r="B3140" s="17" t="s">
        <v>56</v>
      </c>
      <c r="C3140" t="s">
        <v>52</v>
      </c>
      <c r="D3140" t="s">
        <v>53</v>
      </c>
      <c r="G3140" s="17" t="s">
        <v>48</v>
      </c>
      <c r="H3140" s="17">
        <v>1</v>
      </c>
      <c r="K3140" t="s">
        <v>157</v>
      </c>
      <c r="L3140" t="s">
        <v>158</v>
      </c>
      <c r="M3140" t="s">
        <v>131</v>
      </c>
      <c r="N3140">
        <v>12</v>
      </c>
      <c r="O3140" t="s">
        <v>40</v>
      </c>
      <c r="P3140" t="s">
        <v>40</v>
      </c>
      <c r="Q3140" t="s">
        <v>40</v>
      </c>
      <c r="R3140" t="s">
        <v>40</v>
      </c>
      <c r="S3140" t="s">
        <v>40</v>
      </c>
      <c r="V3140" t="s">
        <v>41</v>
      </c>
      <c r="W3140" t="s">
        <v>42</v>
      </c>
      <c r="X3140" t="str">
        <f>"0580735"</f>
        <v>0580735</v>
      </c>
      <c r="Y3140" t="s">
        <v>180</v>
      </c>
      <c r="Z3140" t="s">
        <v>157</v>
      </c>
      <c r="AA3140" t="s">
        <v>158</v>
      </c>
      <c r="AB3140" t="s">
        <v>131</v>
      </c>
      <c r="AC3140" t="s">
        <v>51</v>
      </c>
      <c r="AD3140" t="s">
        <v>45</v>
      </c>
      <c r="AE3140" s="1">
        <v>26299</v>
      </c>
      <c r="AF3140">
        <v>2</v>
      </c>
      <c r="AG3140" t="s">
        <v>158</v>
      </c>
      <c r="AH3140" s="36">
        <f t="shared" si="49"/>
        <v>47.661111111111111</v>
      </c>
      <c r="AI3140" s="41" t="s">
        <v>1780</v>
      </c>
    </row>
    <row r="3141" spans="1:35" x14ac:dyDescent="0.25">
      <c r="A3141" s="36">
        <v>99913139</v>
      </c>
      <c r="B3141" s="17" t="s">
        <v>56</v>
      </c>
      <c r="C3141" t="s">
        <v>33</v>
      </c>
      <c r="D3141" t="s">
        <v>34</v>
      </c>
      <c r="G3141" s="17" t="s">
        <v>35</v>
      </c>
      <c r="H3141" s="17">
        <v>1</v>
      </c>
      <c r="K3141" t="s">
        <v>157</v>
      </c>
      <c r="L3141" t="s">
        <v>158</v>
      </c>
      <c r="M3141" t="s">
        <v>131</v>
      </c>
      <c r="N3141">
        <v>21</v>
      </c>
      <c r="O3141" t="s">
        <v>40</v>
      </c>
      <c r="P3141" t="s">
        <v>40</v>
      </c>
      <c r="Q3141" t="s">
        <v>40</v>
      </c>
      <c r="R3141" t="s">
        <v>40</v>
      </c>
      <c r="S3141" t="s">
        <v>40</v>
      </c>
      <c r="V3141" t="s">
        <v>41</v>
      </c>
      <c r="W3141" t="s">
        <v>42</v>
      </c>
      <c r="X3141" t="str">
        <f>"0561005"</f>
        <v>0561005</v>
      </c>
      <c r="Y3141" t="s">
        <v>174</v>
      </c>
      <c r="Z3141" t="s">
        <v>157</v>
      </c>
      <c r="AA3141" t="s">
        <v>158</v>
      </c>
      <c r="AB3141" t="s">
        <v>131</v>
      </c>
      <c r="AC3141" t="s">
        <v>51</v>
      </c>
      <c r="AD3141" t="s">
        <v>45</v>
      </c>
      <c r="AE3141" s="1">
        <v>26299</v>
      </c>
      <c r="AF3141">
        <v>2</v>
      </c>
      <c r="AG3141" t="s">
        <v>158</v>
      </c>
      <c r="AH3141" s="36">
        <f t="shared" si="49"/>
        <v>47.661111111111111</v>
      </c>
      <c r="AI3141" s="41" t="s">
        <v>1780</v>
      </c>
    </row>
    <row r="3142" spans="1:35" x14ac:dyDescent="0.25">
      <c r="A3142" s="36">
        <v>99913140</v>
      </c>
      <c r="B3142" s="17" t="s">
        <v>56</v>
      </c>
      <c r="C3142" t="s">
        <v>68</v>
      </c>
      <c r="D3142" t="s">
        <v>69</v>
      </c>
      <c r="G3142" s="17" t="s">
        <v>88</v>
      </c>
      <c r="H3142" s="17">
        <v>4</v>
      </c>
      <c r="K3142" t="s">
        <v>157</v>
      </c>
      <c r="L3142" t="s">
        <v>158</v>
      </c>
      <c r="M3142" t="s">
        <v>131</v>
      </c>
      <c r="N3142">
        <v>15</v>
      </c>
      <c r="O3142" t="s">
        <v>40</v>
      </c>
      <c r="P3142" t="s">
        <v>40</v>
      </c>
      <c r="Q3142" t="s">
        <v>40</v>
      </c>
      <c r="R3142" t="s">
        <v>40</v>
      </c>
      <c r="S3142" t="s">
        <v>40</v>
      </c>
      <c r="V3142" t="s">
        <v>41</v>
      </c>
      <c r="W3142" t="s">
        <v>49</v>
      </c>
      <c r="X3142" t="str">
        <f>"0560026"</f>
        <v>0560026</v>
      </c>
      <c r="Y3142" t="s">
        <v>184</v>
      </c>
      <c r="Z3142" t="s">
        <v>157</v>
      </c>
      <c r="AA3142" t="s">
        <v>158</v>
      </c>
      <c r="AB3142" t="s">
        <v>131</v>
      </c>
      <c r="AC3142" t="s">
        <v>51</v>
      </c>
      <c r="AD3142" t="s">
        <v>45</v>
      </c>
      <c r="AE3142" s="1">
        <v>26299</v>
      </c>
      <c r="AF3142">
        <v>2</v>
      </c>
      <c r="AG3142" t="s">
        <v>158</v>
      </c>
      <c r="AH3142" s="36">
        <f t="shared" si="49"/>
        <v>47.661111111111111</v>
      </c>
      <c r="AI3142" s="41" t="s">
        <v>1780</v>
      </c>
    </row>
    <row r="3143" spans="1:35" x14ac:dyDescent="0.25">
      <c r="A3143" s="36">
        <v>99913141</v>
      </c>
      <c r="B3143" s="17" t="s">
        <v>56</v>
      </c>
      <c r="C3143" t="s">
        <v>145</v>
      </c>
      <c r="D3143" t="s">
        <v>146</v>
      </c>
      <c r="G3143" s="17" t="s">
        <v>48</v>
      </c>
      <c r="H3143" s="17">
        <v>1</v>
      </c>
      <c r="K3143" t="s">
        <v>300</v>
      </c>
      <c r="L3143" t="s">
        <v>301</v>
      </c>
      <c r="M3143" t="s">
        <v>131</v>
      </c>
      <c r="N3143">
        <v>20</v>
      </c>
      <c r="O3143" t="s">
        <v>40</v>
      </c>
      <c r="P3143" t="s">
        <v>40</v>
      </c>
      <c r="Q3143" t="s">
        <v>40</v>
      </c>
      <c r="R3143" t="s">
        <v>40</v>
      </c>
      <c r="S3143" t="s">
        <v>40</v>
      </c>
      <c r="V3143" t="s">
        <v>41</v>
      </c>
      <c r="W3143" t="s">
        <v>42</v>
      </c>
      <c r="X3143" t="str">
        <f>"0580106"</f>
        <v>0580106</v>
      </c>
      <c r="Y3143" t="s">
        <v>306</v>
      </c>
      <c r="Z3143" t="s">
        <v>300</v>
      </c>
      <c r="AA3143" t="s">
        <v>301</v>
      </c>
      <c r="AB3143" t="s">
        <v>131</v>
      </c>
      <c r="AC3143" t="s">
        <v>51</v>
      </c>
      <c r="AD3143" t="s">
        <v>45</v>
      </c>
      <c r="AE3143" s="1">
        <v>26299</v>
      </c>
      <c r="AF3143">
        <v>2</v>
      </c>
      <c r="AG3143" t="s">
        <v>301</v>
      </c>
      <c r="AH3143" s="36">
        <f t="shared" si="49"/>
        <v>47.661111111111111</v>
      </c>
      <c r="AI3143" s="41" t="s">
        <v>1780</v>
      </c>
    </row>
    <row r="3144" spans="1:35" x14ac:dyDescent="0.25">
      <c r="A3144" s="36">
        <v>99913142</v>
      </c>
      <c r="B3144" s="17" t="s">
        <v>32</v>
      </c>
      <c r="C3144" t="s">
        <v>33</v>
      </c>
      <c r="D3144" t="s">
        <v>34</v>
      </c>
      <c r="G3144" s="17" t="s">
        <v>48</v>
      </c>
      <c r="H3144" s="17">
        <v>1</v>
      </c>
      <c r="K3144" t="s">
        <v>300</v>
      </c>
      <c r="L3144" t="s">
        <v>301</v>
      </c>
      <c r="M3144" t="s">
        <v>131</v>
      </c>
      <c r="N3144">
        <v>21</v>
      </c>
      <c r="O3144" t="s">
        <v>40</v>
      </c>
      <c r="P3144" t="s">
        <v>40</v>
      </c>
      <c r="Q3144" t="s">
        <v>40</v>
      </c>
      <c r="R3144" t="s">
        <v>40</v>
      </c>
      <c r="S3144" t="s">
        <v>40</v>
      </c>
      <c r="V3144" t="s">
        <v>41</v>
      </c>
      <c r="W3144" t="s">
        <v>42</v>
      </c>
      <c r="X3144" t="str">
        <f>"0580106"</f>
        <v>0580106</v>
      </c>
      <c r="Y3144" t="s">
        <v>306</v>
      </c>
      <c r="Z3144" t="s">
        <v>300</v>
      </c>
      <c r="AA3144" t="s">
        <v>301</v>
      </c>
      <c r="AB3144" t="s">
        <v>131</v>
      </c>
      <c r="AC3144" t="s">
        <v>51</v>
      </c>
      <c r="AD3144" t="s">
        <v>45</v>
      </c>
      <c r="AE3144" s="1">
        <v>26299</v>
      </c>
      <c r="AF3144">
        <v>2</v>
      </c>
      <c r="AG3144" t="s">
        <v>301</v>
      </c>
      <c r="AH3144" s="36">
        <f t="shared" si="49"/>
        <v>47.661111111111111</v>
      </c>
      <c r="AI3144" s="41" t="s">
        <v>1780</v>
      </c>
    </row>
    <row r="3145" spans="1:35" x14ac:dyDescent="0.25">
      <c r="A3145" s="36">
        <v>99913143</v>
      </c>
      <c r="B3145" s="17" t="s">
        <v>32</v>
      </c>
      <c r="C3145" t="s">
        <v>136</v>
      </c>
      <c r="D3145" t="s">
        <v>137</v>
      </c>
      <c r="G3145" s="17" t="s">
        <v>35</v>
      </c>
      <c r="H3145" s="17">
        <v>1</v>
      </c>
      <c r="K3145" t="s">
        <v>345</v>
      </c>
      <c r="L3145" t="s">
        <v>346</v>
      </c>
      <c r="M3145" t="s">
        <v>131</v>
      </c>
      <c r="N3145">
        <v>23</v>
      </c>
      <c r="O3145" t="s">
        <v>40</v>
      </c>
      <c r="P3145" t="s">
        <v>40</v>
      </c>
      <c r="Q3145" t="s">
        <v>40</v>
      </c>
      <c r="R3145" t="s">
        <v>40</v>
      </c>
      <c r="S3145" t="s">
        <v>40</v>
      </c>
      <c r="V3145" t="s">
        <v>41</v>
      </c>
      <c r="W3145" t="s">
        <v>49</v>
      </c>
      <c r="X3145" t="str">
        <f>"0560007"</f>
        <v>0560007</v>
      </c>
      <c r="Y3145" t="s">
        <v>357</v>
      </c>
      <c r="Z3145" t="s">
        <v>345</v>
      </c>
      <c r="AA3145" t="s">
        <v>346</v>
      </c>
      <c r="AB3145" t="s">
        <v>131</v>
      </c>
      <c r="AC3145" t="s">
        <v>51</v>
      </c>
      <c r="AD3145" t="s">
        <v>45</v>
      </c>
      <c r="AE3145" s="1">
        <v>26299</v>
      </c>
      <c r="AF3145">
        <v>2</v>
      </c>
      <c r="AG3145" t="s">
        <v>346</v>
      </c>
      <c r="AH3145" s="36">
        <f t="shared" si="49"/>
        <v>47.661111111111111</v>
      </c>
      <c r="AI3145" s="41" t="s">
        <v>1780</v>
      </c>
    </row>
    <row r="3146" spans="1:35" x14ac:dyDescent="0.25">
      <c r="A3146" s="36">
        <v>99913144</v>
      </c>
      <c r="B3146" s="17" t="s">
        <v>56</v>
      </c>
      <c r="C3146" t="s">
        <v>68</v>
      </c>
      <c r="D3146" t="s">
        <v>69</v>
      </c>
      <c r="G3146" s="17" t="s">
        <v>35</v>
      </c>
      <c r="H3146" s="17">
        <v>1</v>
      </c>
      <c r="I3146">
        <v>48</v>
      </c>
      <c r="J3146" s="1">
        <v>43346</v>
      </c>
      <c r="K3146" t="s">
        <v>345</v>
      </c>
      <c r="L3146" t="s">
        <v>346</v>
      </c>
      <c r="M3146" t="s">
        <v>131</v>
      </c>
      <c r="N3146">
        <v>10</v>
      </c>
      <c r="O3146" t="s">
        <v>40</v>
      </c>
      <c r="P3146" t="s">
        <v>40</v>
      </c>
      <c r="Q3146" t="s">
        <v>40</v>
      </c>
      <c r="R3146" t="s">
        <v>40</v>
      </c>
      <c r="S3146" t="s">
        <v>40</v>
      </c>
      <c r="U3146" s="1">
        <v>43346</v>
      </c>
      <c r="V3146" t="s">
        <v>41</v>
      </c>
      <c r="W3146" t="s">
        <v>42</v>
      </c>
      <c r="X3146" t="str">
        <f>"0580931"</f>
        <v>0580931</v>
      </c>
      <c r="Y3146" t="s">
        <v>369</v>
      </c>
      <c r="Z3146" t="s">
        <v>345</v>
      </c>
      <c r="AA3146" t="s">
        <v>346</v>
      </c>
      <c r="AB3146" t="s">
        <v>131</v>
      </c>
      <c r="AC3146" t="s">
        <v>44</v>
      </c>
      <c r="AD3146" t="s">
        <v>45</v>
      </c>
      <c r="AE3146" s="1">
        <v>26299</v>
      </c>
      <c r="AF3146">
        <v>2</v>
      </c>
      <c r="AG3146" t="s">
        <v>346</v>
      </c>
      <c r="AH3146" s="36">
        <f t="shared" si="49"/>
        <v>47.661111111111111</v>
      </c>
      <c r="AI3146" s="41" t="s">
        <v>1780</v>
      </c>
    </row>
    <row r="3147" spans="1:35" x14ac:dyDescent="0.25">
      <c r="A3147" s="36">
        <v>99913145</v>
      </c>
      <c r="B3147" s="17" t="s">
        <v>56</v>
      </c>
      <c r="C3147" t="s">
        <v>68</v>
      </c>
      <c r="D3147" t="s">
        <v>69</v>
      </c>
      <c r="G3147" s="17" t="s">
        <v>48</v>
      </c>
      <c r="H3147" s="17">
        <v>1</v>
      </c>
      <c r="K3147" t="s">
        <v>345</v>
      </c>
      <c r="L3147" t="s">
        <v>346</v>
      </c>
      <c r="M3147" t="s">
        <v>131</v>
      </c>
      <c r="N3147">
        <v>21</v>
      </c>
      <c r="O3147" t="s">
        <v>40</v>
      </c>
      <c r="P3147" t="s">
        <v>40</v>
      </c>
      <c r="Q3147" t="s">
        <v>40</v>
      </c>
      <c r="R3147" t="s">
        <v>40</v>
      </c>
      <c r="S3147" t="s">
        <v>40</v>
      </c>
      <c r="V3147" t="s">
        <v>41</v>
      </c>
      <c r="W3147" t="s">
        <v>42</v>
      </c>
      <c r="X3147" t="str">
        <f>"0590906"</f>
        <v>0590906</v>
      </c>
      <c r="Y3147" t="s">
        <v>361</v>
      </c>
      <c r="Z3147" t="s">
        <v>345</v>
      </c>
      <c r="AA3147" t="s">
        <v>346</v>
      </c>
      <c r="AB3147" t="s">
        <v>131</v>
      </c>
      <c r="AC3147" t="s">
        <v>51</v>
      </c>
      <c r="AD3147" t="s">
        <v>45</v>
      </c>
      <c r="AE3147" s="1">
        <v>26299</v>
      </c>
      <c r="AF3147">
        <v>2</v>
      </c>
      <c r="AG3147" t="s">
        <v>346</v>
      </c>
      <c r="AH3147" s="36">
        <f t="shared" si="49"/>
        <v>47.661111111111111</v>
      </c>
      <c r="AI3147" s="41" t="s">
        <v>1780</v>
      </c>
    </row>
    <row r="3148" spans="1:35" x14ac:dyDescent="0.25">
      <c r="A3148" s="36">
        <v>99913146</v>
      </c>
      <c r="B3148" s="17" t="s">
        <v>32</v>
      </c>
      <c r="C3148" t="s">
        <v>71</v>
      </c>
      <c r="D3148" t="s">
        <v>72</v>
      </c>
      <c r="G3148" s="17" t="s">
        <v>48</v>
      </c>
      <c r="H3148" s="17">
        <v>1</v>
      </c>
      <c r="K3148" t="s">
        <v>345</v>
      </c>
      <c r="L3148" t="s">
        <v>346</v>
      </c>
      <c r="M3148" t="s">
        <v>131</v>
      </c>
      <c r="N3148">
        <v>20</v>
      </c>
      <c r="O3148" t="s">
        <v>40</v>
      </c>
      <c r="P3148" t="s">
        <v>40</v>
      </c>
      <c r="Q3148" t="s">
        <v>40</v>
      </c>
      <c r="R3148" t="s">
        <v>40</v>
      </c>
      <c r="S3148" t="s">
        <v>40</v>
      </c>
      <c r="V3148" t="s">
        <v>41</v>
      </c>
      <c r="W3148" t="s">
        <v>49</v>
      </c>
      <c r="X3148" t="str">
        <f>"0561021"</f>
        <v>0561021</v>
      </c>
      <c r="Y3148" t="s">
        <v>352</v>
      </c>
      <c r="Z3148" t="s">
        <v>345</v>
      </c>
      <c r="AA3148" t="s">
        <v>346</v>
      </c>
      <c r="AB3148" t="s">
        <v>131</v>
      </c>
      <c r="AC3148" t="s">
        <v>51</v>
      </c>
      <c r="AD3148" t="s">
        <v>45</v>
      </c>
      <c r="AE3148" s="1">
        <v>26299</v>
      </c>
      <c r="AF3148">
        <v>2</v>
      </c>
      <c r="AG3148" t="s">
        <v>346</v>
      </c>
      <c r="AH3148" s="36">
        <f t="shared" si="49"/>
        <v>47.661111111111111</v>
      </c>
      <c r="AI3148" s="41" t="s">
        <v>1780</v>
      </c>
    </row>
    <row r="3149" spans="1:35" x14ac:dyDescent="0.25">
      <c r="A3149" s="36">
        <v>99913147</v>
      </c>
      <c r="B3149" s="17" t="s">
        <v>32</v>
      </c>
      <c r="C3149" t="s">
        <v>46</v>
      </c>
      <c r="D3149" t="s">
        <v>47</v>
      </c>
      <c r="G3149" s="17" t="s">
        <v>48</v>
      </c>
      <c r="H3149" s="17">
        <v>1</v>
      </c>
      <c r="K3149" t="s">
        <v>380</v>
      </c>
      <c r="L3149" t="s">
        <v>381</v>
      </c>
      <c r="M3149" t="s">
        <v>131</v>
      </c>
      <c r="N3149">
        <v>10</v>
      </c>
      <c r="O3149" t="s">
        <v>40</v>
      </c>
      <c r="P3149" t="s">
        <v>40</v>
      </c>
      <c r="Q3149" t="s">
        <v>40</v>
      </c>
      <c r="R3149" t="s">
        <v>40</v>
      </c>
      <c r="S3149" t="s">
        <v>40</v>
      </c>
      <c r="V3149" t="s">
        <v>41</v>
      </c>
      <c r="W3149" t="s">
        <v>49</v>
      </c>
      <c r="X3149" t="str">
        <f>"0560028"</f>
        <v>0560028</v>
      </c>
      <c r="Y3149" t="s">
        <v>384</v>
      </c>
      <c r="Z3149" t="s">
        <v>380</v>
      </c>
      <c r="AA3149" t="s">
        <v>381</v>
      </c>
      <c r="AB3149" t="s">
        <v>131</v>
      </c>
      <c r="AC3149" t="s">
        <v>51</v>
      </c>
      <c r="AD3149" t="s">
        <v>45</v>
      </c>
      <c r="AE3149" s="1">
        <v>26299</v>
      </c>
      <c r="AF3149">
        <v>2</v>
      </c>
      <c r="AG3149" t="s">
        <v>381</v>
      </c>
      <c r="AH3149" s="36">
        <f t="shared" si="49"/>
        <v>47.661111111111111</v>
      </c>
      <c r="AI3149" s="41" t="s">
        <v>1780</v>
      </c>
    </row>
    <row r="3150" spans="1:35" x14ac:dyDescent="0.25">
      <c r="A3150" s="36">
        <v>99913148</v>
      </c>
      <c r="B3150" s="17" t="s">
        <v>32</v>
      </c>
      <c r="C3150" t="s">
        <v>64</v>
      </c>
      <c r="D3150" t="s">
        <v>65</v>
      </c>
      <c r="G3150" s="17" t="s">
        <v>48</v>
      </c>
      <c r="H3150" s="17">
        <v>13</v>
      </c>
      <c r="K3150" t="s">
        <v>195</v>
      </c>
      <c r="L3150" t="s">
        <v>196</v>
      </c>
      <c r="M3150" t="s">
        <v>131</v>
      </c>
      <c r="N3150">
        <v>21</v>
      </c>
      <c r="O3150" t="s">
        <v>40</v>
      </c>
      <c r="P3150" t="s">
        <v>40</v>
      </c>
      <c r="Q3150" t="s">
        <v>40</v>
      </c>
      <c r="R3150" t="s">
        <v>40</v>
      </c>
      <c r="S3150" t="s">
        <v>40</v>
      </c>
      <c r="U3150" s="1">
        <v>37135</v>
      </c>
      <c r="V3150" t="s">
        <v>41</v>
      </c>
      <c r="W3150" t="s">
        <v>75</v>
      </c>
      <c r="X3150" t="str">
        <f>"7521042"</f>
        <v>7521042</v>
      </c>
      <c r="Y3150" t="s">
        <v>440</v>
      </c>
      <c r="Z3150" t="s">
        <v>195</v>
      </c>
      <c r="AA3150" t="s">
        <v>196</v>
      </c>
      <c r="AB3150" t="s">
        <v>131</v>
      </c>
      <c r="AC3150" t="s">
        <v>51</v>
      </c>
      <c r="AD3150" t="s">
        <v>45</v>
      </c>
      <c r="AE3150" s="1">
        <v>26299</v>
      </c>
      <c r="AF3150">
        <v>1</v>
      </c>
      <c r="AG3150" t="s">
        <v>196</v>
      </c>
      <c r="AH3150" s="36">
        <f t="shared" si="49"/>
        <v>47.661111111111111</v>
      </c>
      <c r="AI3150" s="41" t="s">
        <v>1780</v>
      </c>
    </row>
    <row r="3151" spans="1:35" x14ac:dyDescent="0.25">
      <c r="A3151" s="36">
        <v>99913149</v>
      </c>
      <c r="B3151" s="17" t="s">
        <v>32</v>
      </c>
      <c r="C3151" t="s">
        <v>111</v>
      </c>
      <c r="D3151" t="s">
        <v>112</v>
      </c>
      <c r="G3151" s="17" t="s">
        <v>48</v>
      </c>
      <c r="H3151" s="17">
        <v>1</v>
      </c>
      <c r="K3151" t="s">
        <v>667</v>
      </c>
      <c r="L3151" t="s">
        <v>269</v>
      </c>
      <c r="M3151" t="s">
        <v>131</v>
      </c>
      <c r="N3151">
        <v>24</v>
      </c>
      <c r="O3151" t="s">
        <v>40</v>
      </c>
      <c r="P3151" t="s">
        <v>40</v>
      </c>
      <c r="Q3151" t="s">
        <v>40</v>
      </c>
      <c r="R3151" t="s">
        <v>40</v>
      </c>
      <c r="S3151" t="s">
        <v>40</v>
      </c>
      <c r="V3151" t="s">
        <v>41</v>
      </c>
      <c r="W3151" t="s">
        <v>75</v>
      </c>
      <c r="X3151" t="str">
        <f>"7501000"</f>
        <v>7501000</v>
      </c>
      <c r="Y3151" t="s">
        <v>668</v>
      </c>
      <c r="Z3151" t="s">
        <v>667</v>
      </c>
      <c r="AA3151" t="s">
        <v>669</v>
      </c>
      <c r="AB3151" t="s">
        <v>670</v>
      </c>
      <c r="AC3151" t="s">
        <v>51</v>
      </c>
      <c r="AD3151" t="s">
        <v>45</v>
      </c>
      <c r="AE3151" s="1">
        <v>26299</v>
      </c>
      <c r="AF3151">
        <v>1</v>
      </c>
      <c r="AG3151" t="s">
        <v>269</v>
      </c>
      <c r="AH3151" s="36">
        <f t="shared" si="49"/>
        <v>47.661111111111111</v>
      </c>
      <c r="AI3151" s="41" t="s">
        <v>1780</v>
      </c>
    </row>
    <row r="3152" spans="1:35" x14ac:dyDescent="0.25">
      <c r="A3152" s="36">
        <v>99913150</v>
      </c>
      <c r="B3152" s="17" t="s">
        <v>32</v>
      </c>
      <c r="C3152" t="s">
        <v>64</v>
      </c>
      <c r="D3152" t="s">
        <v>65</v>
      </c>
      <c r="G3152" s="17" t="s">
        <v>48</v>
      </c>
      <c r="H3152" s="17">
        <v>1</v>
      </c>
      <c r="K3152" t="s">
        <v>877</v>
      </c>
      <c r="L3152" t="s">
        <v>878</v>
      </c>
      <c r="M3152" t="s">
        <v>131</v>
      </c>
      <c r="N3152">
        <v>20</v>
      </c>
      <c r="O3152" t="s">
        <v>40</v>
      </c>
      <c r="P3152" t="s">
        <v>40</v>
      </c>
      <c r="Q3152" t="s">
        <v>40</v>
      </c>
      <c r="R3152" t="s">
        <v>40</v>
      </c>
      <c r="S3152" t="s">
        <v>40</v>
      </c>
      <c r="V3152" t="s">
        <v>41</v>
      </c>
      <c r="W3152" t="s">
        <v>75</v>
      </c>
      <c r="X3152" t="str">
        <f>"7541010"</f>
        <v>7541010</v>
      </c>
      <c r="Y3152" t="s">
        <v>887</v>
      </c>
      <c r="Z3152" t="s">
        <v>877</v>
      </c>
      <c r="AA3152" t="s">
        <v>878</v>
      </c>
      <c r="AB3152" t="s">
        <v>131</v>
      </c>
      <c r="AC3152" t="s">
        <v>51</v>
      </c>
      <c r="AD3152" t="s">
        <v>45</v>
      </c>
      <c r="AE3152" s="1">
        <v>26299</v>
      </c>
      <c r="AF3152">
        <v>1</v>
      </c>
      <c r="AG3152" t="s">
        <v>878</v>
      </c>
      <c r="AH3152" s="36">
        <f t="shared" si="49"/>
        <v>47.661111111111111</v>
      </c>
      <c r="AI3152" s="41" t="s">
        <v>1780</v>
      </c>
    </row>
    <row r="3153" spans="1:35" x14ac:dyDescent="0.25">
      <c r="A3153" s="36">
        <v>99913151</v>
      </c>
      <c r="B3153" s="17" t="s">
        <v>32</v>
      </c>
      <c r="C3153" t="s">
        <v>71</v>
      </c>
      <c r="D3153" t="s">
        <v>72</v>
      </c>
      <c r="G3153" s="17" t="s">
        <v>48</v>
      </c>
      <c r="H3153" s="17">
        <v>1</v>
      </c>
      <c r="K3153" t="s">
        <v>985</v>
      </c>
      <c r="L3153" t="s">
        <v>986</v>
      </c>
      <c r="M3153" t="s">
        <v>938</v>
      </c>
      <c r="N3153">
        <v>21</v>
      </c>
      <c r="O3153" t="s">
        <v>40</v>
      </c>
      <c r="P3153" t="s">
        <v>40</v>
      </c>
      <c r="Q3153" t="s">
        <v>40</v>
      </c>
      <c r="R3153" t="s">
        <v>40</v>
      </c>
      <c r="S3153" t="s">
        <v>40</v>
      </c>
      <c r="V3153" t="s">
        <v>41</v>
      </c>
      <c r="W3153" t="s">
        <v>75</v>
      </c>
      <c r="X3153" t="str">
        <f>"7011004"</f>
        <v>7011004</v>
      </c>
      <c r="Y3153" t="s">
        <v>987</v>
      </c>
      <c r="Z3153" t="s">
        <v>985</v>
      </c>
      <c r="AA3153" t="s">
        <v>986</v>
      </c>
      <c r="AB3153" t="s">
        <v>938</v>
      </c>
      <c r="AC3153" t="s">
        <v>51</v>
      </c>
      <c r="AD3153" t="s">
        <v>45</v>
      </c>
      <c r="AE3153" s="1">
        <v>26299</v>
      </c>
      <c r="AF3153">
        <v>1</v>
      </c>
      <c r="AG3153" t="s">
        <v>986</v>
      </c>
      <c r="AH3153" s="36">
        <f t="shared" si="49"/>
        <v>47.661111111111111</v>
      </c>
      <c r="AI3153" s="41" t="s">
        <v>1780</v>
      </c>
    </row>
    <row r="3154" spans="1:35" x14ac:dyDescent="0.25">
      <c r="A3154" s="36">
        <v>99913152</v>
      </c>
      <c r="B3154" s="17" t="s">
        <v>32</v>
      </c>
      <c r="C3154" t="s">
        <v>46</v>
      </c>
      <c r="D3154" t="s">
        <v>47</v>
      </c>
      <c r="G3154" s="17" t="s">
        <v>35</v>
      </c>
      <c r="H3154" s="17">
        <v>1</v>
      </c>
      <c r="K3154" t="s">
        <v>1128</v>
      </c>
      <c r="L3154" t="s">
        <v>1129</v>
      </c>
      <c r="M3154" t="s">
        <v>1130</v>
      </c>
      <c r="N3154">
        <v>20</v>
      </c>
      <c r="O3154" t="s">
        <v>40</v>
      </c>
      <c r="P3154" t="s">
        <v>40</v>
      </c>
      <c r="Q3154" t="s">
        <v>40</v>
      </c>
      <c r="R3154" t="s">
        <v>40</v>
      </c>
      <c r="S3154" t="s">
        <v>40</v>
      </c>
      <c r="V3154" t="s">
        <v>41</v>
      </c>
      <c r="W3154" t="s">
        <v>42</v>
      </c>
      <c r="X3154" t="str">
        <f>"3180010"</f>
        <v>3180010</v>
      </c>
      <c r="Y3154" t="s">
        <v>1132</v>
      </c>
      <c r="Z3154" t="s">
        <v>1128</v>
      </c>
      <c r="AA3154" t="s">
        <v>1129</v>
      </c>
      <c r="AB3154" t="s">
        <v>1130</v>
      </c>
      <c r="AC3154" t="s">
        <v>51</v>
      </c>
      <c r="AD3154" t="s">
        <v>45</v>
      </c>
      <c r="AE3154" s="1">
        <v>26299</v>
      </c>
      <c r="AF3154">
        <v>2</v>
      </c>
      <c r="AG3154" t="s">
        <v>1129</v>
      </c>
      <c r="AH3154" s="36">
        <f t="shared" si="49"/>
        <v>47.661111111111111</v>
      </c>
      <c r="AI3154" s="41" t="s">
        <v>1780</v>
      </c>
    </row>
    <row r="3155" spans="1:35" x14ac:dyDescent="0.25">
      <c r="A3155" s="36">
        <v>99913153</v>
      </c>
      <c r="B3155" s="17" t="s">
        <v>56</v>
      </c>
      <c r="C3155" t="s">
        <v>46</v>
      </c>
      <c r="D3155" t="s">
        <v>47</v>
      </c>
      <c r="G3155" s="17" t="s">
        <v>48</v>
      </c>
      <c r="H3155" s="17">
        <v>8</v>
      </c>
      <c r="K3155" t="s">
        <v>1268</v>
      </c>
      <c r="L3155" t="s">
        <v>1269</v>
      </c>
      <c r="M3155" t="s">
        <v>1270</v>
      </c>
      <c r="N3155">
        <v>30</v>
      </c>
      <c r="O3155" t="s">
        <v>40</v>
      </c>
      <c r="P3155" t="s">
        <v>40</v>
      </c>
      <c r="Q3155" t="s">
        <v>40</v>
      </c>
      <c r="R3155" t="s">
        <v>40</v>
      </c>
      <c r="S3155" t="s">
        <v>40</v>
      </c>
      <c r="V3155" t="s">
        <v>41</v>
      </c>
      <c r="W3155" t="s">
        <v>42</v>
      </c>
      <c r="X3155" t="str">
        <f>"1980050"</f>
        <v>1980050</v>
      </c>
      <c r="Y3155" t="s">
        <v>1278</v>
      </c>
      <c r="Z3155" t="s">
        <v>1268</v>
      </c>
      <c r="AA3155" t="s">
        <v>1269</v>
      </c>
      <c r="AB3155" t="s">
        <v>1270</v>
      </c>
      <c r="AC3155" t="s">
        <v>51</v>
      </c>
      <c r="AD3155" t="s">
        <v>45</v>
      </c>
      <c r="AE3155" s="1">
        <v>26299</v>
      </c>
      <c r="AF3155">
        <v>2</v>
      </c>
      <c r="AG3155" t="s">
        <v>1269</v>
      </c>
      <c r="AH3155" s="36">
        <f t="shared" si="49"/>
        <v>47.661111111111111</v>
      </c>
      <c r="AI3155" s="41" t="s">
        <v>1780</v>
      </c>
    </row>
    <row r="3156" spans="1:35" x14ac:dyDescent="0.25">
      <c r="A3156" s="36">
        <v>99913154</v>
      </c>
      <c r="B3156" s="17" t="s">
        <v>32</v>
      </c>
      <c r="C3156" t="s">
        <v>46</v>
      </c>
      <c r="D3156" t="s">
        <v>47</v>
      </c>
      <c r="G3156" s="17" t="s">
        <v>35</v>
      </c>
      <c r="H3156" s="17">
        <v>1</v>
      </c>
      <c r="K3156" t="s">
        <v>1268</v>
      </c>
      <c r="L3156" t="s">
        <v>1269</v>
      </c>
      <c r="M3156" t="s">
        <v>1270</v>
      </c>
      <c r="N3156">
        <v>20</v>
      </c>
      <c r="O3156" t="s">
        <v>40</v>
      </c>
      <c r="P3156" t="s">
        <v>40</v>
      </c>
      <c r="Q3156" t="s">
        <v>40</v>
      </c>
      <c r="R3156" t="s">
        <v>40</v>
      </c>
      <c r="S3156" t="s">
        <v>40</v>
      </c>
      <c r="V3156" t="s">
        <v>41</v>
      </c>
      <c r="W3156" t="s">
        <v>49</v>
      </c>
      <c r="X3156" t="str">
        <f>"1981912"</f>
        <v>1981912</v>
      </c>
      <c r="Y3156" t="s">
        <v>1279</v>
      </c>
      <c r="Z3156" t="s">
        <v>1268</v>
      </c>
      <c r="AA3156" t="s">
        <v>1269</v>
      </c>
      <c r="AB3156" t="s">
        <v>1270</v>
      </c>
      <c r="AC3156" t="s">
        <v>51</v>
      </c>
      <c r="AD3156" t="s">
        <v>45</v>
      </c>
      <c r="AE3156" s="1">
        <v>26299</v>
      </c>
      <c r="AF3156">
        <v>2</v>
      </c>
      <c r="AG3156" t="s">
        <v>1269</v>
      </c>
      <c r="AH3156" s="36">
        <f t="shared" si="49"/>
        <v>47.661111111111111</v>
      </c>
      <c r="AI3156" s="41" t="s">
        <v>1780</v>
      </c>
    </row>
    <row r="3157" spans="1:35" x14ac:dyDescent="0.25">
      <c r="A3157" s="36">
        <v>99913155</v>
      </c>
      <c r="B3157" s="17" t="s">
        <v>32</v>
      </c>
      <c r="C3157" t="s">
        <v>71</v>
      </c>
      <c r="D3157" t="s">
        <v>72</v>
      </c>
      <c r="G3157" s="17" t="s">
        <v>35</v>
      </c>
      <c r="H3157" s="17">
        <v>1</v>
      </c>
      <c r="K3157" t="s">
        <v>1341</v>
      </c>
      <c r="L3157" t="s">
        <v>1342</v>
      </c>
      <c r="M3157" t="s">
        <v>1270</v>
      </c>
      <c r="N3157">
        <v>24</v>
      </c>
      <c r="O3157" t="s">
        <v>40</v>
      </c>
      <c r="P3157" t="s">
        <v>40</v>
      </c>
      <c r="Q3157" t="s">
        <v>40</v>
      </c>
      <c r="R3157" t="s">
        <v>40</v>
      </c>
      <c r="S3157" t="s">
        <v>40</v>
      </c>
      <c r="V3157" t="s">
        <v>41</v>
      </c>
      <c r="W3157" t="s">
        <v>75</v>
      </c>
      <c r="X3157" t="str">
        <f>"7191006"</f>
        <v>7191006</v>
      </c>
      <c r="Y3157" t="s">
        <v>1351</v>
      </c>
      <c r="Z3157" t="s">
        <v>1341</v>
      </c>
      <c r="AA3157" t="s">
        <v>1342</v>
      </c>
      <c r="AB3157" t="s">
        <v>1270</v>
      </c>
      <c r="AC3157" t="s">
        <v>51</v>
      </c>
      <c r="AD3157" t="s">
        <v>45</v>
      </c>
      <c r="AE3157" s="1">
        <v>26299</v>
      </c>
      <c r="AF3157">
        <v>1</v>
      </c>
      <c r="AG3157" t="s">
        <v>1342</v>
      </c>
      <c r="AH3157" s="36">
        <f t="shared" si="49"/>
        <v>47.661111111111111</v>
      </c>
      <c r="AI3157" s="41" t="s">
        <v>1780</v>
      </c>
    </row>
    <row r="3158" spans="1:35" x14ac:dyDescent="0.25">
      <c r="A3158" s="36">
        <v>99913156</v>
      </c>
      <c r="B3158" s="17" t="s">
        <v>32</v>
      </c>
      <c r="C3158" t="s">
        <v>141</v>
      </c>
      <c r="D3158" t="s">
        <v>142</v>
      </c>
      <c r="G3158" s="17" t="s">
        <v>35</v>
      </c>
      <c r="H3158" s="17">
        <v>1</v>
      </c>
      <c r="K3158" t="s">
        <v>1341</v>
      </c>
      <c r="L3158" t="s">
        <v>1342</v>
      </c>
      <c r="M3158" t="s">
        <v>1270</v>
      </c>
      <c r="N3158">
        <v>23</v>
      </c>
      <c r="O3158" t="s">
        <v>40</v>
      </c>
      <c r="P3158" t="s">
        <v>40</v>
      </c>
      <c r="Q3158" t="s">
        <v>40</v>
      </c>
      <c r="S3158" t="s">
        <v>40</v>
      </c>
      <c r="V3158" t="s">
        <v>41</v>
      </c>
      <c r="W3158" t="s">
        <v>75</v>
      </c>
      <c r="X3158" t="str">
        <f>"7191006"</f>
        <v>7191006</v>
      </c>
      <c r="Y3158" t="s">
        <v>1351</v>
      </c>
      <c r="Z3158" t="s">
        <v>1341</v>
      </c>
      <c r="AA3158" t="s">
        <v>1342</v>
      </c>
      <c r="AB3158" t="s">
        <v>1270</v>
      </c>
      <c r="AC3158" t="s">
        <v>51</v>
      </c>
      <c r="AD3158" t="s">
        <v>45</v>
      </c>
      <c r="AE3158" s="1">
        <v>26299</v>
      </c>
      <c r="AF3158">
        <v>1</v>
      </c>
      <c r="AG3158" t="s">
        <v>1342</v>
      </c>
      <c r="AH3158" s="36">
        <f t="shared" si="49"/>
        <v>47.661111111111111</v>
      </c>
      <c r="AI3158" s="41" t="s">
        <v>1780</v>
      </c>
    </row>
    <row r="3159" spans="1:35" x14ac:dyDescent="0.25">
      <c r="A3159" s="36">
        <v>99913157</v>
      </c>
      <c r="B3159" s="17" t="s">
        <v>56</v>
      </c>
      <c r="C3159" t="s">
        <v>79</v>
      </c>
      <c r="D3159" t="s">
        <v>80</v>
      </c>
      <c r="G3159" s="17" t="s">
        <v>48</v>
      </c>
      <c r="H3159" s="17">
        <v>1</v>
      </c>
      <c r="K3159" t="s">
        <v>1487</v>
      </c>
      <c r="L3159" t="s">
        <v>1488</v>
      </c>
      <c r="M3159" t="s">
        <v>670</v>
      </c>
      <c r="N3159">
        <v>10</v>
      </c>
      <c r="O3159" t="s">
        <v>40</v>
      </c>
      <c r="P3159" t="s">
        <v>40</v>
      </c>
      <c r="Q3159" t="s">
        <v>40</v>
      </c>
      <c r="R3159" t="s">
        <v>40</v>
      </c>
      <c r="S3159" t="s">
        <v>40</v>
      </c>
      <c r="V3159" t="s">
        <v>41</v>
      </c>
      <c r="W3159" t="s">
        <v>42</v>
      </c>
      <c r="X3159" t="str">
        <f>"1780020"</f>
        <v>1780020</v>
      </c>
      <c r="Y3159" t="s">
        <v>1490</v>
      </c>
      <c r="Z3159" t="s">
        <v>1487</v>
      </c>
      <c r="AA3159" t="s">
        <v>1488</v>
      </c>
      <c r="AB3159" t="s">
        <v>670</v>
      </c>
      <c r="AC3159" t="s">
        <v>51</v>
      </c>
      <c r="AD3159" t="s">
        <v>45</v>
      </c>
      <c r="AE3159" s="1">
        <v>26299</v>
      </c>
      <c r="AF3159">
        <v>2</v>
      </c>
      <c r="AG3159" t="s">
        <v>1488</v>
      </c>
      <c r="AH3159" s="36">
        <f t="shared" si="49"/>
        <v>47.661111111111111</v>
      </c>
      <c r="AI3159" s="41" t="s">
        <v>1780</v>
      </c>
    </row>
    <row r="3160" spans="1:35" x14ac:dyDescent="0.25">
      <c r="A3160" s="36">
        <v>99913158</v>
      </c>
      <c r="B3160" s="17" t="s">
        <v>32</v>
      </c>
      <c r="C3160" t="s">
        <v>79</v>
      </c>
      <c r="D3160" t="s">
        <v>80</v>
      </c>
      <c r="G3160" s="17" t="s">
        <v>35</v>
      </c>
      <c r="H3160" s="17">
        <v>1</v>
      </c>
      <c r="I3160" t="s">
        <v>1541</v>
      </c>
      <c r="J3160" s="1">
        <v>43360</v>
      </c>
      <c r="K3160" t="s">
        <v>667</v>
      </c>
      <c r="L3160" t="s">
        <v>669</v>
      </c>
      <c r="M3160" t="s">
        <v>670</v>
      </c>
      <c r="N3160">
        <v>8</v>
      </c>
      <c r="O3160" t="s">
        <v>40</v>
      </c>
      <c r="P3160" t="s">
        <v>40</v>
      </c>
      <c r="Q3160" t="s">
        <v>40</v>
      </c>
      <c r="R3160" t="s">
        <v>40</v>
      </c>
      <c r="S3160" t="s">
        <v>40</v>
      </c>
      <c r="U3160" s="1">
        <v>43360</v>
      </c>
      <c r="V3160" t="s">
        <v>41</v>
      </c>
      <c r="W3160" t="s">
        <v>75</v>
      </c>
      <c r="X3160" t="str">
        <f>"7501002"</f>
        <v>7501002</v>
      </c>
      <c r="Y3160" t="s">
        <v>1519</v>
      </c>
      <c r="Z3160" t="s">
        <v>667</v>
      </c>
      <c r="AA3160" t="s">
        <v>669</v>
      </c>
      <c r="AB3160" t="s">
        <v>670</v>
      </c>
      <c r="AC3160" t="s">
        <v>51</v>
      </c>
      <c r="AD3160" t="s">
        <v>45</v>
      </c>
      <c r="AE3160" s="1">
        <v>26289</v>
      </c>
      <c r="AF3160">
        <v>1</v>
      </c>
      <c r="AG3160" t="s">
        <v>669</v>
      </c>
      <c r="AH3160" s="36">
        <f t="shared" si="49"/>
        <v>47.68888888888889</v>
      </c>
      <c r="AI3160" s="41" t="s">
        <v>1780</v>
      </c>
    </row>
    <row r="3161" spans="1:35" x14ac:dyDescent="0.25">
      <c r="A3161" s="36">
        <v>99913159</v>
      </c>
      <c r="B3161" s="17" t="s">
        <v>56</v>
      </c>
      <c r="C3161" t="s">
        <v>111</v>
      </c>
      <c r="D3161" t="s">
        <v>112</v>
      </c>
      <c r="G3161" s="17" t="s">
        <v>88</v>
      </c>
      <c r="H3161" s="17">
        <v>3</v>
      </c>
      <c r="J3161" s="1">
        <v>43344</v>
      </c>
      <c r="K3161" t="s">
        <v>354</v>
      </c>
      <c r="L3161" t="s">
        <v>355</v>
      </c>
      <c r="M3161" t="s">
        <v>131</v>
      </c>
      <c r="N3161">
        <v>24</v>
      </c>
      <c r="O3161" t="s">
        <v>40</v>
      </c>
      <c r="P3161" t="s">
        <v>40</v>
      </c>
      <c r="Q3161" t="s">
        <v>40</v>
      </c>
      <c r="R3161" t="s">
        <v>40</v>
      </c>
      <c r="S3161" t="s">
        <v>40</v>
      </c>
      <c r="U3161" s="1">
        <v>43344</v>
      </c>
      <c r="V3161" t="s">
        <v>41</v>
      </c>
      <c r="W3161" t="s">
        <v>75</v>
      </c>
      <c r="X3161" t="str">
        <f>"7054022"</f>
        <v>7054022</v>
      </c>
      <c r="Y3161" t="s">
        <v>770</v>
      </c>
      <c r="Z3161" t="s">
        <v>354</v>
      </c>
      <c r="AA3161" t="s">
        <v>355</v>
      </c>
      <c r="AB3161" t="s">
        <v>131</v>
      </c>
      <c r="AC3161" t="s">
        <v>51</v>
      </c>
      <c r="AD3161" t="s">
        <v>45</v>
      </c>
      <c r="AE3161" s="1">
        <v>26288</v>
      </c>
      <c r="AF3161">
        <v>1</v>
      </c>
      <c r="AG3161" t="s">
        <v>355</v>
      </c>
      <c r="AH3161" s="36">
        <f t="shared" si="49"/>
        <v>47.69166666666667</v>
      </c>
      <c r="AI3161" s="41" t="s">
        <v>1780</v>
      </c>
    </row>
    <row r="3162" spans="1:35" x14ac:dyDescent="0.25">
      <c r="A3162" s="36">
        <v>99913160</v>
      </c>
      <c r="B3162" s="17" t="s">
        <v>56</v>
      </c>
      <c r="C3162" t="s">
        <v>149</v>
      </c>
      <c r="D3162" t="s">
        <v>150</v>
      </c>
      <c r="G3162" s="17" t="s">
        <v>48</v>
      </c>
      <c r="H3162" s="17">
        <v>1</v>
      </c>
      <c r="K3162" t="s">
        <v>157</v>
      </c>
      <c r="L3162" t="s">
        <v>158</v>
      </c>
      <c r="M3162" t="s">
        <v>131</v>
      </c>
      <c r="N3162">
        <v>8</v>
      </c>
      <c r="O3162" t="s">
        <v>40</v>
      </c>
      <c r="P3162" t="s">
        <v>40</v>
      </c>
      <c r="Q3162" t="s">
        <v>40</v>
      </c>
      <c r="S3162" t="s">
        <v>40</v>
      </c>
      <c r="V3162" t="s">
        <v>41</v>
      </c>
      <c r="W3162" t="s">
        <v>49</v>
      </c>
      <c r="X3162" t="str">
        <f>"0560031"</f>
        <v>0560031</v>
      </c>
      <c r="Y3162" t="s">
        <v>198</v>
      </c>
      <c r="Z3162" t="s">
        <v>157</v>
      </c>
      <c r="AA3162" t="s">
        <v>158</v>
      </c>
      <c r="AB3162" t="s">
        <v>131</v>
      </c>
      <c r="AC3162" t="s">
        <v>51</v>
      </c>
      <c r="AD3162" t="s">
        <v>45</v>
      </c>
      <c r="AE3162" s="1">
        <v>26286</v>
      </c>
      <c r="AF3162">
        <v>2</v>
      </c>
      <c r="AG3162" t="s">
        <v>158</v>
      </c>
      <c r="AH3162" s="36">
        <f t="shared" si="49"/>
        <v>47.697222222222223</v>
      </c>
      <c r="AI3162" s="41" t="s">
        <v>1780</v>
      </c>
    </row>
    <row r="3163" spans="1:35" x14ac:dyDescent="0.25">
      <c r="A3163" s="36">
        <v>99913161</v>
      </c>
      <c r="B3163" s="17" t="s">
        <v>32</v>
      </c>
      <c r="C3163" t="s">
        <v>46</v>
      </c>
      <c r="D3163" t="s">
        <v>47</v>
      </c>
      <c r="G3163" s="17" t="s">
        <v>48</v>
      </c>
      <c r="H3163" s="17">
        <v>1</v>
      </c>
      <c r="K3163" t="s">
        <v>1268</v>
      </c>
      <c r="L3163" t="s">
        <v>1269</v>
      </c>
      <c r="M3163" t="s">
        <v>1270</v>
      </c>
      <c r="N3163">
        <v>20</v>
      </c>
      <c r="O3163" t="s">
        <v>40</v>
      </c>
      <c r="P3163" t="s">
        <v>40</v>
      </c>
      <c r="Q3163" t="s">
        <v>40</v>
      </c>
      <c r="R3163" t="s">
        <v>40</v>
      </c>
      <c r="S3163" t="s">
        <v>40</v>
      </c>
      <c r="V3163" t="s">
        <v>41</v>
      </c>
      <c r="W3163" t="s">
        <v>42</v>
      </c>
      <c r="X3163" t="str">
        <f>"1990911"</f>
        <v>1990911</v>
      </c>
      <c r="Y3163" t="s">
        <v>1276</v>
      </c>
      <c r="Z3163" t="s">
        <v>1268</v>
      </c>
      <c r="AA3163" t="s">
        <v>1269</v>
      </c>
      <c r="AB3163" t="s">
        <v>1270</v>
      </c>
      <c r="AC3163" t="s">
        <v>51</v>
      </c>
      <c r="AD3163" t="s">
        <v>45</v>
      </c>
      <c r="AE3163" s="1">
        <v>26284</v>
      </c>
      <c r="AF3163">
        <v>2</v>
      </c>
      <c r="AG3163" t="s">
        <v>1269</v>
      </c>
      <c r="AH3163" s="36">
        <f t="shared" si="49"/>
        <v>47.702777777777776</v>
      </c>
      <c r="AI3163" s="41" t="s">
        <v>1780</v>
      </c>
    </row>
    <row r="3164" spans="1:35" x14ac:dyDescent="0.25">
      <c r="A3164" s="36">
        <v>99913162</v>
      </c>
      <c r="B3164" s="17" t="s">
        <v>32</v>
      </c>
      <c r="C3164" t="s">
        <v>46</v>
      </c>
      <c r="D3164" t="s">
        <v>47</v>
      </c>
      <c r="G3164" s="17" t="s">
        <v>48</v>
      </c>
      <c r="H3164" s="17">
        <v>17</v>
      </c>
      <c r="K3164" t="s">
        <v>1268</v>
      </c>
      <c r="L3164" t="s">
        <v>1269</v>
      </c>
      <c r="M3164" t="s">
        <v>1270</v>
      </c>
      <c r="N3164">
        <v>18</v>
      </c>
      <c r="O3164" t="s">
        <v>40</v>
      </c>
      <c r="P3164" t="s">
        <v>40</v>
      </c>
      <c r="Q3164" t="s">
        <v>40</v>
      </c>
      <c r="R3164" t="s">
        <v>40</v>
      </c>
      <c r="S3164" t="s">
        <v>40</v>
      </c>
      <c r="V3164" t="s">
        <v>41</v>
      </c>
      <c r="W3164" t="s">
        <v>42</v>
      </c>
      <c r="X3164" t="str">
        <f>"1990911"</f>
        <v>1990911</v>
      </c>
      <c r="Y3164" t="s">
        <v>1276</v>
      </c>
      <c r="Z3164" t="s">
        <v>1268</v>
      </c>
      <c r="AA3164" t="s">
        <v>1269</v>
      </c>
      <c r="AB3164" t="s">
        <v>1270</v>
      </c>
      <c r="AC3164" t="s">
        <v>51</v>
      </c>
      <c r="AD3164" t="s">
        <v>45</v>
      </c>
      <c r="AE3164" s="1">
        <v>26284</v>
      </c>
      <c r="AF3164">
        <v>2</v>
      </c>
      <c r="AG3164" t="s">
        <v>1269</v>
      </c>
      <c r="AH3164" s="36">
        <f t="shared" si="49"/>
        <v>47.702777777777776</v>
      </c>
      <c r="AI3164" s="41" t="s">
        <v>1780</v>
      </c>
    </row>
    <row r="3165" spans="1:35" x14ac:dyDescent="0.25">
      <c r="A3165" s="36">
        <v>99913163</v>
      </c>
      <c r="B3165" s="17" t="s">
        <v>32</v>
      </c>
      <c r="C3165" t="s">
        <v>111</v>
      </c>
      <c r="D3165" t="s">
        <v>112</v>
      </c>
      <c r="G3165" s="17" t="s">
        <v>35</v>
      </c>
      <c r="H3165" s="17">
        <v>1</v>
      </c>
      <c r="K3165" t="s">
        <v>1081</v>
      </c>
      <c r="L3165" t="s">
        <v>1082</v>
      </c>
      <c r="M3165" t="s">
        <v>1053</v>
      </c>
      <c r="N3165">
        <v>21</v>
      </c>
      <c r="O3165" t="s">
        <v>40</v>
      </c>
      <c r="P3165" t="s">
        <v>40</v>
      </c>
      <c r="Q3165" t="s">
        <v>40</v>
      </c>
      <c r="R3165" t="s">
        <v>40</v>
      </c>
      <c r="S3165" t="s">
        <v>40</v>
      </c>
      <c r="V3165" t="s">
        <v>41</v>
      </c>
      <c r="W3165" t="s">
        <v>75</v>
      </c>
      <c r="X3165" t="str">
        <f>"7201006"</f>
        <v>7201006</v>
      </c>
      <c r="Y3165" t="s">
        <v>1083</v>
      </c>
      <c r="Z3165" t="s">
        <v>1081</v>
      </c>
      <c r="AA3165" t="s">
        <v>1082</v>
      </c>
      <c r="AB3165" t="s">
        <v>1053</v>
      </c>
      <c r="AC3165" t="s">
        <v>51</v>
      </c>
      <c r="AD3165" t="s">
        <v>45</v>
      </c>
      <c r="AE3165" s="1">
        <v>26283</v>
      </c>
      <c r="AF3165">
        <v>1</v>
      </c>
      <c r="AG3165" t="s">
        <v>1082</v>
      </c>
      <c r="AH3165" s="36">
        <f t="shared" si="49"/>
        <v>47.705555555555556</v>
      </c>
      <c r="AI3165" s="41" t="s">
        <v>1780</v>
      </c>
    </row>
    <row r="3166" spans="1:35" x14ac:dyDescent="0.25">
      <c r="A3166" s="36">
        <v>99913164</v>
      </c>
      <c r="B3166" s="17" t="s">
        <v>56</v>
      </c>
      <c r="C3166" t="s">
        <v>46</v>
      </c>
      <c r="D3166" t="s">
        <v>47</v>
      </c>
      <c r="G3166" s="17" t="s">
        <v>35</v>
      </c>
      <c r="H3166" s="17">
        <v>1</v>
      </c>
      <c r="I3166" t="s">
        <v>374</v>
      </c>
      <c r="J3166" s="1">
        <v>43344</v>
      </c>
      <c r="K3166" t="s">
        <v>345</v>
      </c>
      <c r="L3166" t="s">
        <v>346</v>
      </c>
      <c r="M3166" t="s">
        <v>131</v>
      </c>
      <c r="N3166">
        <v>20</v>
      </c>
      <c r="O3166" t="s">
        <v>40</v>
      </c>
      <c r="S3166" t="s">
        <v>40</v>
      </c>
      <c r="U3166" s="1">
        <v>43344</v>
      </c>
      <c r="V3166" t="s">
        <v>41</v>
      </c>
      <c r="W3166" t="s">
        <v>42</v>
      </c>
      <c r="X3166" t="str">
        <f>"0561006"</f>
        <v>0561006</v>
      </c>
      <c r="Y3166" t="s">
        <v>360</v>
      </c>
      <c r="Z3166" t="s">
        <v>345</v>
      </c>
      <c r="AA3166" t="s">
        <v>346</v>
      </c>
      <c r="AB3166" t="s">
        <v>131</v>
      </c>
      <c r="AC3166" t="s">
        <v>51</v>
      </c>
      <c r="AD3166" t="s">
        <v>45</v>
      </c>
      <c r="AE3166" s="1">
        <v>26282</v>
      </c>
      <c r="AF3166">
        <v>2</v>
      </c>
      <c r="AG3166" t="s">
        <v>346</v>
      </c>
      <c r="AH3166" s="36">
        <f t="shared" si="49"/>
        <v>47.708333333333336</v>
      </c>
      <c r="AI3166" s="41" t="s">
        <v>1780</v>
      </c>
    </row>
    <row r="3167" spans="1:35" x14ac:dyDescent="0.25">
      <c r="A3167" s="36">
        <v>99913165</v>
      </c>
      <c r="B3167" s="17" t="s">
        <v>32</v>
      </c>
      <c r="C3167" t="s">
        <v>46</v>
      </c>
      <c r="D3167" t="s">
        <v>47</v>
      </c>
      <c r="G3167" s="17" t="s">
        <v>48</v>
      </c>
      <c r="H3167" s="17">
        <v>1</v>
      </c>
      <c r="K3167" t="s">
        <v>380</v>
      </c>
      <c r="L3167" t="s">
        <v>381</v>
      </c>
      <c r="M3167" t="s">
        <v>131</v>
      </c>
      <c r="N3167">
        <v>18</v>
      </c>
      <c r="O3167" t="s">
        <v>40</v>
      </c>
      <c r="P3167" t="s">
        <v>40</v>
      </c>
      <c r="Q3167" t="s">
        <v>40</v>
      </c>
      <c r="R3167" t="s">
        <v>40</v>
      </c>
      <c r="S3167" t="s">
        <v>40</v>
      </c>
      <c r="V3167" t="s">
        <v>41</v>
      </c>
      <c r="W3167" t="s">
        <v>42</v>
      </c>
      <c r="X3167" t="str">
        <f>"0590908"</f>
        <v>0590908</v>
      </c>
      <c r="Y3167" t="s">
        <v>382</v>
      </c>
      <c r="Z3167" t="s">
        <v>380</v>
      </c>
      <c r="AA3167" t="s">
        <v>381</v>
      </c>
      <c r="AB3167" t="s">
        <v>131</v>
      </c>
      <c r="AC3167" t="s">
        <v>51</v>
      </c>
      <c r="AD3167" t="s">
        <v>45</v>
      </c>
      <c r="AE3167" s="1">
        <v>26281</v>
      </c>
      <c r="AF3167">
        <v>2</v>
      </c>
      <c r="AG3167" t="s">
        <v>381</v>
      </c>
      <c r="AH3167" s="36">
        <f t="shared" si="49"/>
        <v>47.711111111111109</v>
      </c>
      <c r="AI3167" s="41" t="s">
        <v>1780</v>
      </c>
    </row>
    <row r="3168" spans="1:35" x14ac:dyDescent="0.25">
      <c r="A3168" s="36">
        <v>99913166</v>
      </c>
      <c r="B3168" s="17" t="s">
        <v>32</v>
      </c>
      <c r="C3168" t="s">
        <v>64</v>
      </c>
      <c r="D3168" t="s">
        <v>65</v>
      </c>
      <c r="G3168" s="17" t="s">
        <v>35</v>
      </c>
      <c r="H3168" s="17">
        <v>1</v>
      </c>
      <c r="I3168" t="s">
        <v>673</v>
      </c>
      <c r="J3168" s="1">
        <v>43344</v>
      </c>
      <c r="K3168" t="s">
        <v>268</v>
      </c>
      <c r="L3168" t="s">
        <v>269</v>
      </c>
      <c r="M3168" t="s">
        <v>131</v>
      </c>
      <c r="N3168">
        <v>20</v>
      </c>
      <c r="O3168" t="s">
        <v>40</v>
      </c>
      <c r="S3168" t="s">
        <v>40</v>
      </c>
      <c r="U3168" s="1">
        <v>43344</v>
      </c>
      <c r="V3168" t="s">
        <v>41</v>
      </c>
      <c r="W3168" t="s">
        <v>75</v>
      </c>
      <c r="X3168" t="str">
        <f>"7052020"</f>
        <v>7052020</v>
      </c>
      <c r="Y3168" t="s">
        <v>267</v>
      </c>
      <c r="Z3168" t="s">
        <v>268</v>
      </c>
      <c r="AA3168" t="s">
        <v>269</v>
      </c>
      <c r="AB3168" t="s">
        <v>131</v>
      </c>
      <c r="AC3168" t="s">
        <v>51</v>
      </c>
      <c r="AD3168" t="s">
        <v>45</v>
      </c>
      <c r="AE3168" s="1">
        <v>26281</v>
      </c>
      <c r="AF3168">
        <v>1</v>
      </c>
      <c r="AG3168" t="s">
        <v>269</v>
      </c>
      <c r="AH3168" s="36">
        <f t="shared" si="49"/>
        <v>47.711111111111109</v>
      </c>
      <c r="AI3168" s="41" t="s">
        <v>1780</v>
      </c>
    </row>
    <row r="3169" spans="1:35" x14ac:dyDescent="0.25">
      <c r="A3169" s="36">
        <v>99913167</v>
      </c>
      <c r="B3169" s="17" t="s">
        <v>56</v>
      </c>
      <c r="C3169" t="s">
        <v>46</v>
      </c>
      <c r="D3169" t="s">
        <v>47</v>
      </c>
      <c r="G3169" s="17" t="s">
        <v>48</v>
      </c>
      <c r="H3169" s="17">
        <v>1</v>
      </c>
      <c r="K3169" t="s">
        <v>223</v>
      </c>
      <c r="L3169" t="s">
        <v>224</v>
      </c>
      <c r="M3169" t="s">
        <v>131</v>
      </c>
      <c r="N3169">
        <v>23</v>
      </c>
      <c r="O3169" t="s">
        <v>40</v>
      </c>
      <c r="P3169" t="s">
        <v>40</v>
      </c>
      <c r="Q3169" t="s">
        <v>40</v>
      </c>
      <c r="R3169" t="s">
        <v>40</v>
      </c>
      <c r="S3169" t="s">
        <v>40</v>
      </c>
      <c r="V3169" t="s">
        <v>41</v>
      </c>
      <c r="W3169" t="s">
        <v>49</v>
      </c>
      <c r="X3169" t="str">
        <f>"0560016"</f>
        <v>0560016</v>
      </c>
      <c r="Y3169" t="s">
        <v>254</v>
      </c>
      <c r="Z3169" t="s">
        <v>223</v>
      </c>
      <c r="AA3169" t="s">
        <v>224</v>
      </c>
      <c r="AB3169" t="s">
        <v>131</v>
      </c>
      <c r="AC3169" t="s">
        <v>51</v>
      </c>
      <c r="AD3169" t="s">
        <v>45</v>
      </c>
      <c r="AE3169" s="1">
        <v>26274</v>
      </c>
      <c r="AF3169">
        <v>2</v>
      </c>
      <c r="AG3169" t="s">
        <v>224</v>
      </c>
      <c r="AH3169" s="36">
        <f t="shared" si="49"/>
        <v>47.730555555555554</v>
      </c>
      <c r="AI3169" s="41" t="s">
        <v>1780</v>
      </c>
    </row>
    <row r="3170" spans="1:35" x14ac:dyDescent="0.25">
      <c r="A3170" s="36">
        <v>99913168</v>
      </c>
      <c r="B3170" s="17" t="s">
        <v>32</v>
      </c>
      <c r="C3170" t="s">
        <v>111</v>
      </c>
      <c r="D3170" t="s">
        <v>112</v>
      </c>
      <c r="G3170" s="17" t="s">
        <v>48</v>
      </c>
      <c r="H3170" s="17">
        <v>10</v>
      </c>
      <c r="J3170" s="1">
        <v>43344</v>
      </c>
      <c r="K3170" t="s">
        <v>354</v>
      </c>
      <c r="L3170" t="s">
        <v>355</v>
      </c>
      <c r="M3170" t="s">
        <v>131</v>
      </c>
      <c r="N3170">
        <v>22</v>
      </c>
      <c r="O3170" t="s">
        <v>40</v>
      </c>
      <c r="P3170" t="s">
        <v>40</v>
      </c>
      <c r="Q3170" t="s">
        <v>40</v>
      </c>
      <c r="R3170" t="s">
        <v>40</v>
      </c>
      <c r="S3170" t="s">
        <v>40</v>
      </c>
      <c r="U3170" s="1">
        <v>43344</v>
      </c>
      <c r="V3170" t="s">
        <v>41</v>
      </c>
      <c r="W3170" t="s">
        <v>75</v>
      </c>
      <c r="X3170" t="str">
        <f>"7054020"</f>
        <v>7054020</v>
      </c>
      <c r="Y3170" t="s">
        <v>765</v>
      </c>
      <c r="Z3170" t="s">
        <v>354</v>
      </c>
      <c r="AA3170" t="s">
        <v>355</v>
      </c>
      <c r="AB3170" t="s">
        <v>131</v>
      </c>
      <c r="AC3170" t="s">
        <v>51</v>
      </c>
      <c r="AD3170" t="s">
        <v>45</v>
      </c>
      <c r="AE3170" s="1">
        <v>26273</v>
      </c>
      <c r="AF3170">
        <v>1</v>
      </c>
      <c r="AG3170" t="s">
        <v>355</v>
      </c>
      <c r="AH3170" s="36">
        <f t="shared" si="49"/>
        <v>47.733333333333334</v>
      </c>
      <c r="AI3170" s="41" t="s">
        <v>1780</v>
      </c>
    </row>
    <row r="3171" spans="1:35" x14ac:dyDescent="0.25">
      <c r="A3171" s="36">
        <v>99913169</v>
      </c>
      <c r="B3171" s="17" t="s">
        <v>56</v>
      </c>
      <c r="C3171" t="s">
        <v>52</v>
      </c>
      <c r="D3171" t="s">
        <v>53</v>
      </c>
      <c r="G3171" s="17" t="s">
        <v>48</v>
      </c>
      <c r="H3171" s="17">
        <v>1</v>
      </c>
      <c r="K3171" t="s">
        <v>157</v>
      </c>
      <c r="L3171" t="s">
        <v>158</v>
      </c>
      <c r="M3171" t="s">
        <v>131</v>
      </c>
      <c r="N3171">
        <v>20</v>
      </c>
      <c r="O3171" t="s">
        <v>40</v>
      </c>
      <c r="P3171" t="s">
        <v>40</v>
      </c>
      <c r="Q3171" t="s">
        <v>40</v>
      </c>
      <c r="S3171" t="s">
        <v>40</v>
      </c>
      <c r="V3171" t="s">
        <v>41</v>
      </c>
      <c r="W3171" t="s">
        <v>42</v>
      </c>
      <c r="X3171" t="str">
        <f>"0580725"</f>
        <v>0580725</v>
      </c>
      <c r="Y3171" t="s">
        <v>167</v>
      </c>
      <c r="Z3171" t="s">
        <v>157</v>
      </c>
      <c r="AA3171" t="s">
        <v>158</v>
      </c>
      <c r="AB3171" t="s">
        <v>131</v>
      </c>
      <c r="AC3171" t="s">
        <v>51</v>
      </c>
      <c r="AD3171" t="s">
        <v>45</v>
      </c>
      <c r="AE3171" s="1">
        <v>26268</v>
      </c>
      <c r="AF3171">
        <v>2</v>
      </c>
      <c r="AG3171" t="s">
        <v>158</v>
      </c>
      <c r="AH3171" s="36">
        <f t="shared" si="49"/>
        <v>47.74722222222222</v>
      </c>
      <c r="AI3171" s="41" t="s">
        <v>1780</v>
      </c>
    </row>
    <row r="3172" spans="1:35" x14ac:dyDescent="0.25">
      <c r="A3172" s="36">
        <v>99913170</v>
      </c>
      <c r="B3172" s="17" t="s">
        <v>32</v>
      </c>
      <c r="C3172" t="s">
        <v>139</v>
      </c>
      <c r="D3172" t="s">
        <v>140</v>
      </c>
      <c r="G3172" s="17" t="s">
        <v>48</v>
      </c>
      <c r="H3172" s="17">
        <v>1</v>
      </c>
      <c r="K3172" t="s">
        <v>223</v>
      </c>
      <c r="L3172" t="s">
        <v>224</v>
      </c>
      <c r="M3172" t="s">
        <v>131</v>
      </c>
      <c r="N3172">
        <v>20</v>
      </c>
      <c r="O3172" t="s">
        <v>40</v>
      </c>
      <c r="P3172" t="s">
        <v>40</v>
      </c>
      <c r="Q3172" t="s">
        <v>40</v>
      </c>
      <c r="R3172" t="s">
        <v>40</v>
      </c>
      <c r="S3172" t="s">
        <v>40</v>
      </c>
      <c r="V3172" t="s">
        <v>41</v>
      </c>
      <c r="W3172" t="s">
        <v>49</v>
      </c>
      <c r="X3172" t="str">
        <f>"0581206"</f>
        <v>0581206</v>
      </c>
      <c r="Y3172" t="s">
        <v>232</v>
      </c>
      <c r="Z3172" t="s">
        <v>223</v>
      </c>
      <c r="AA3172" t="s">
        <v>224</v>
      </c>
      <c r="AB3172" t="s">
        <v>131</v>
      </c>
      <c r="AC3172" t="s">
        <v>51</v>
      </c>
      <c r="AD3172" t="s">
        <v>45</v>
      </c>
      <c r="AE3172" s="1">
        <v>26268</v>
      </c>
      <c r="AF3172">
        <v>2</v>
      </c>
      <c r="AG3172" t="s">
        <v>224</v>
      </c>
      <c r="AH3172" s="36">
        <f t="shared" si="49"/>
        <v>47.74722222222222</v>
      </c>
      <c r="AI3172" s="41" t="s">
        <v>1780</v>
      </c>
    </row>
    <row r="3173" spans="1:35" x14ac:dyDescent="0.25">
      <c r="A3173" s="36">
        <v>99913171</v>
      </c>
      <c r="B3173" s="17" t="s">
        <v>32</v>
      </c>
      <c r="C3173" t="s">
        <v>71</v>
      </c>
      <c r="D3173" t="s">
        <v>72</v>
      </c>
      <c r="G3173" s="17" t="s">
        <v>35</v>
      </c>
      <c r="H3173" s="17">
        <v>1</v>
      </c>
      <c r="I3173" t="s">
        <v>1070</v>
      </c>
      <c r="J3173" s="1">
        <v>43344</v>
      </c>
      <c r="K3173" t="s">
        <v>1051</v>
      </c>
      <c r="L3173" t="s">
        <v>1052</v>
      </c>
      <c r="M3173" t="s">
        <v>1053</v>
      </c>
      <c r="N3173">
        <v>10</v>
      </c>
      <c r="O3173" t="s">
        <v>40</v>
      </c>
      <c r="P3173" t="s">
        <v>40</v>
      </c>
      <c r="Q3173" t="s">
        <v>40</v>
      </c>
      <c r="R3173" t="s">
        <v>40</v>
      </c>
      <c r="S3173" t="s">
        <v>40</v>
      </c>
      <c r="U3173" s="1">
        <v>43344</v>
      </c>
      <c r="V3173" t="s">
        <v>41</v>
      </c>
      <c r="W3173" t="s">
        <v>49</v>
      </c>
      <c r="X3173" t="str">
        <f>"2060005"</f>
        <v>2060005</v>
      </c>
      <c r="Y3173" t="s">
        <v>1054</v>
      </c>
      <c r="Z3173" t="s">
        <v>1051</v>
      </c>
      <c r="AA3173" t="s">
        <v>1052</v>
      </c>
      <c r="AB3173" t="s">
        <v>1053</v>
      </c>
      <c r="AC3173" t="s">
        <v>51</v>
      </c>
      <c r="AD3173" t="s">
        <v>45</v>
      </c>
      <c r="AE3173" s="1">
        <v>26267</v>
      </c>
      <c r="AF3173">
        <v>2</v>
      </c>
      <c r="AG3173" t="s">
        <v>1052</v>
      </c>
      <c r="AH3173" s="36">
        <f t="shared" si="49"/>
        <v>47.75</v>
      </c>
      <c r="AI3173" s="41" t="s">
        <v>1780</v>
      </c>
    </row>
    <row r="3174" spans="1:35" x14ac:dyDescent="0.25">
      <c r="A3174" s="36">
        <v>99913172</v>
      </c>
      <c r="B3174" s="17" t="s">
        <v>56</v>
      </c>
      <c r="C3174" t="s">
        <v>46</v>
      </c>
      <c r="D3174" t="s">
        <v>47</v>
      </c>
      <c r="G3174" s="17" t="s">
        <v>48</v>
      </c>
      <c r="H3174" s="17">
        <v>10</v>
      </c>
      <c r="K3174" t="s">
        <v>1268</v>
      </c>
      <c r="L3174" t="s">
        <v>1269</v>
      </c>
      <c r="M3174" t="s">
        <v>1270</v>
      </c>
      <c r="N3174">
        <v>18</v>
      </c>
      <c r="O3174" t="s">
        <v>40</v>
      </c>
      <c r="P3174" t="s">
        <v>40</v>
      </c>
      <c r="Q3174" t="s">
        <v>40</v>
      </c>
      <c r="R3174" t="s">
        <v>40</v>
      </c>
      <c r="S3174" t="s">
        <v>40</v>
      </c>
      <c r="U3174" s="1">
        <v>43344</v>
      </c>
      <c r="V3174" t="s">
        <v>41</v>
      </c>
      <c r="W3174" t="s">
        <v>42</v>
      </c>
      <c r="X3174" t="str">
        <f>"1980055"</f>
        <v>1980055</v>
      </c>
      <c r="Y3174" t="s">
        <v>1285</v>
      </c>
      <c r="Z3174" t="s">
        <v>1268</v>
      </c>
      <c r="AA3174" t="s">
        <v>1269</v>
      </c>
      <c r="AB3174" t="s">
        <v>1270</v>
      </c>
      <c r="AC3174" t="s">
        <v>51</v>
      </c>
      <c r="AD3174" t="s">
        <v>45</v>
      </c>
      <c r="AE3174" s="1">
        <v>26264</v>
      </c>
      <c r="AF3174">
        <v>2</v>
      </c>
      <c r="AG3174" t="s">
        <v>1269</v>
      </c>
      <c r="AH3174" s="36">
        <f t="shared" si="49"/>
        <v>47.758333333333333</v>
      </c>
      <c r="AI3174" s="41" t="s">
        <v>1780</v>
      </c>
    </row>
    <row r="3175" spans="1:35" x14ac:dyDescent="0.25">
      <c r="A3175" s="36">
        <v>99913173</v>
      </c>
      <c r="B3175" s="17" t="s">
        <v>32</v>
      </c>
      <c r="C3175" t="s">
        <v>46</v>
      </c>
      <c r="D3175" t="s">
        <v>47</v>
      </c>
      <c r="G3175" s="17" t="s">
        <v>35</v>
      </c>
      <c r="H3175" s="17">
        <v>1</v>
      </c>
      <c r="K3175" t="s">
        <v>157</v>
      </c>
      <c r="L3175" t="s">
        <v>158</v>
      </c>
      <c r="M3175" t="s">
        <v>131</v>
      </c>
      <c r="N3175">
        <v>8</v>
      </c>
      <c r="O3175" t="s">
        <v>40</v>
      </c>
      <c r="P3175" t="s">
        <v>40</v>
      </c>
      <c r="Q3175" t="s">
        <v>40</v>
      </c>
      <c r="R3175" t="s">
        <v>40</v>
      </c>
      <c r="S3175" t="s">
        <v>40</v>
      </c>
      <c r="V3175" t="s">
        <v>41</v>
      </c>
      <c r="W3175" t="s">
        <v>49</v>
      </c>
      <c r="X3175" t="str">
        <f>"0581725"</f>
        <v>0581725</v>
      </c>
      <c r="Y3175" t="s">
        <v>161</v>
      </c>
      <c r="Z3175" t="s">
        <v>157</v>
      </c>
      <c r="AA3175" t="s">
        <v>158</v>
      </c>
      <c r="AB3175" t="s">
        <v>131</v>
      </c>
      <c r="AC3175" t="s">
        <v>51</v>
      </c>
      <c r="AD3175" t="s">
        <v>45</v>
      </c>
      <c r="AE3175" s="1">
        <v>26257</v>
      </c>
      <c r="AF3175">
        <v>2</v>
      </c>
      <c r="AG3175" t="s">
        <v>158</v>
      </c>
      <c r="AH3175" s="36">
        <f t="shared" si="49"/>
        <v>47.777777777777779</v>
      </c>
      <c r="AI3175" s="41" t="s">
        <v>1780</v>
      </c>
    </row>
    <row r="3176" spans="1:35" x14ac:dyDescent="0.25">
      <c r="A3176" s="36">
        <v>99913174</v>
      </c>
      <c r="B3176" s="17" t="s">
        <v>32</v>
      </c>
      <c r="C3176" t="s">
        <v>46</v>
      </c>
      <c r="D3176" t="s">
        <v>47</v>
      </c>
      <c r="G3176" s="17" t="s">
        <v>48</v>
      </c>
      <c r="H3176" s="17">
        <v>1</v>
      </c>
      <c r="K3176" t="s">
        <v>223</v>
      </c>
      <c r="L3176" t="s">
        <v>224</v>
      </c>
      <c r="M3176" t="s">
        <v>131</v>
      </c>
      <c r="N3176">
        <v>20</v>
      </c>
      <c r="O3176" t="s">
        <v>40</v>
      </c>
      <c r="P3176" t="s">
        <v>40</v>
      </c>
      <c r="Q3176" t="s">
        <v>40</v>
      </c>
      <c r="R3176" t="s">
        <v>40</v>
      </c>
      <c r="S3176" t="s">
        <v>40</v>
      </c>
      <c r="V3176" t="s">
        <v>41</v>
      </c>
      <c r="W3176" t="s">
        <v>42</v>
      </c>
      <c r="X3176" t="str">
        <f>"0580203"</f>
        <v>0580203</v>
      </c>
      <c r="Y3176" t="s">
        <v>239</v>
      </c>
      <c r="Z3176" t="s">
        <v>223</v>
      </c>
      <c r="AA3176" t="s">
        <v>224</v>
      </c>
      <c r="AB3176" t="s">
        <v>131</v>
      </c>
      <c r="AC3176" t="s">
        <v>165</v>
      </c>
      <c r="AD3176" t="s">
        <v>45</v>
      </c>
      <c r="AE3176" s="1">
        <v>26257</v>
      </c>
      <c r="AF3176">
        <v>2</v>
      </c>
      <c r="AG3176" t="s">
        <v>224</v>
      </c>
      <c r="AH3176" s="36">
        <f t="shared" si="49"/>
        <v>47.777777777777779</v>
      </c>
      <c r="AI3176" s="41" t="s">
        <v>1780</v>
      </c>
    </row>
    <row r="3177" spans="1:35" x14ac:dyDescent="0.25">
      <c r="A3177" s="36">
        <v>99913175</v>
      </c>
      <c r="B3177" s="17" t="s">
        <v>32</v>
      </c>
      <c r="C3177" t="s">
        <v>111</v>
      </c>
      <c r="D3177" t="s">
        <v>112</v>
      </c>
      <c r="G3177" s="17" t="s">
        <v>48</v>
      </c>
      <c r="H3177" s="17">
        <v>1</v>
      </c>
      <c r="K3177" t="s">
        <v>1631</v>
      </c>
      <c r="L3177" t="s">
        <v>1632</v>
      </c>
      <c r="M3177" t="s">
        <v>1592</v>
      </c>
      <c r="N3177">
        <v>21</v>
      </c>
      <c r="O3177" t="s">
        <v>40</v>
      </c>
      <c r="P3177" t="s">
        <v>40</v>
      </c>
      <c r="Q3177" t="s">
        <v>40</v>
      </c>
      <c r="R3177" t="s">
        <v>40</v>
      </c>
      <c r="S3177" t="s">
        <v>40</v>
      </c>
      <c r="V3177" t="s">
        <v>41</v>
      </c>
      <c r="W3177" t="s">
        <v>75</v>
      </c>
      <c r="X3177" t="str">
        <f>"7021000"</f>
        <v>7021000</v>
      </c>
      <c r="Y3177" t="s">
        <v>1633</v>
      </c>
      <c r="Z3177" t="s">
        <v>1631</v>
      </c>
      <c r="AA3177" t="s">
        <v>1632</v>
      </c>
      <c r="AB3177" t="s">
        <v>1592</v>
      </c>
      <c r="AC3177" t="s">
        <v>51</v>
      </c>
      <c r="AD3177" t="s">
        <v>45</v>
      </c>
      <c r="AE3177" s="1">
        <v>26257</v>
      </c>
      <c r="AF3177">
        <v>1</v>
      </c>
      <c r="AG3177" t="s">
        <v>1632</v>
      </c>
      <c r="AH3177" s="36">
        <f t="shared" si="49"/>
        <v>47.777777777777779</v>
      </c>
      <c r="AI3177" s="41" t="s">
        <v>1780</v>
      </c>
    </row>
    <row r="3178" spans="1:35" x14ac:dyDescent="0.25">
      <c r="A3178" s="36">
        <v>99913176</v>
      </c>
      <c r="B3178" s="17" t="s">
        <v>56</v>
      </c>
      <c r="C3178" t="s">
        <v>46</v>
      </c>
      <c r="D3178" t="s">
        <v>47</v>
      </c>
      <c r="G3178" s="17" t="s">
        <v>48</v>
      </c>
      <c r="H3178" s="17">
        <v>1</v>
      </c>
      <c r="K3178" t="s">
        <v>162</v>
      </c>
      <c r="L3178" t="s">
        <v>158</v>
      </c>
      <c r="M3178" t="s">
        <v>131</v>
      </c>
      <c r="N3178">
        <v>16</v>
      </c>
      <c r="O3178" t="s">
        <v>40</v>
      </c>
      <c r="P3178" t="s">
        <v>40</v>
      </c>
      <c r="Q3178" t="s">
        <v>40</v>
      </c>
      <c r="S3178" t="s">
        <v>40</v>
      </c>
      <c r="V3178" t="s">
        <v>41</v>
      </c>
      <c r="W3178" t="s">
        <v>42</v>
      </c>
      <c r="X3178" t="str">
        <f>"0580330"</f>
        <v>0580330</v>
      </c>
      <c r="Y3178" t="s">
        <v>176</v>
      </c>
      <c r="Z3178" t="s">
        <v>162</v>
      </c>
      <c r="AA3178" t="s">
        <v>158</v>
      </c>
      <c r="AB3178" t="s">
        <v>131</v>
      </c>
      <c r="AC3178" t="s">
        <v>51</v>
      </c>
      <c r="AD3178" t="s">
        <v>45</v>
      </c>
      <c r="AE3178" s="1">
        <v>26254</v>
      </c>
      <c r="AF3178">
        <v>2</v>
      </c>
      <c r="AG3178" t="s">
        <v>158</v>
      </c>
      <c r="AH3178" s="36">
        <f t="shared" si="49"/>
        <v>47.786111111111111</v>
      </c>
      <c r="AI3178" s="41" t="s">
        <v>1780</v>
      </c>
    </row>
    <row r="3179" spans="1:35" x14ac:dyDescent="0.25">
      <c r="A3179" s="36">
        <v>99913177</v>
      </c>
      <c r="B3179" s="17" t="s">
        <v>32</v>
      </c>
      <c r="C3179" t="s">
        <v>139</v>
      </c>
      <c r="D3179" t="s">
        <v>140</v>
      </c>
      <c r="G3179" s="17" t="s">
        <v>35</v>
      </c>
      <c r="H3179" s="17">
        <v>1</v>
      </c>
      <c r="I3179" t="s">
        <v>728</v>
      </c>
      <c r="J3179" s="1">
        <v>43344</v>
      </c>
      <c r="K3179" t="s">
        <v>268</v>
      </c>
      <c r="L3179" t="s">
        <v>269</v>
      </c>
      <c r="M3179" t="s">
        <v>131</v>
      </c>
      <c r="N3179">
        <v>10</v>
      </c>
      <c r="O3179" t="s">
        <v>40</v>
      </c>
      <c r="S3179" t="s">
        <v>40</v>
      </c>
      <c r="U3179" s="1">
        <v>43344</v>
      </c>
      <c r="V3179" t="s">
        <v>41</v>
      </c>
      <c r="W3179" t="s">
        <v>75</v>
      </c>
      <c r="X3179" t="str">
        <f>"7052020"</f>
        <v>7052020</v>
      </c>
      <c r="Y3179" t="s">
        <v>267</v>
      </c>
      <c r="Z3179" t="s">
        <v>268</v>
      </c>
      <c r="AA3179" t="s">
        <v>269</v>
      </c>
      <c r="AB3179" t="s">
        <v>131</v>
      </c>
      <c r="AC3179" t="s">
        <v>51</v>
      </c>
      <c r="AD3179" t="s">
        <v>45</v>
      </c>
      <c r="AE3179" s="1">
        <v>26254</v>
      </c>
      <c r="AF3179">
        <v>1</v>
      </c>
      <c r="AG3179" t="s">
        <v>269</v>
      </c>
      <c r="AH3179" s="36">
        <f t="shared" si="49"/>
        <v>47.786111111111111</v>
      </c>
      <c r="AI3179" s="41" t="s">
        <v>1780</v>
      </c>
    </row>
    <row r="3180" spans="1:35" x14ac:dyDescent="0.25">
      <c r="A3180" s="36">
        <v>99913178</v>
      </c>
      <c r="B3180" s="17" t="s">
        <v>32</v>
      </c>
      <c r="C3180" t="s">
        <v>82</v>
      </c>
      <c r="D3180" t="s">
        <v>83</v>
      </c>
      <c r="E3180" t="s">
        <v>145</v>
      </c>
      <c r="F3180" t="s">
        <v>146</v>
      </c>
      <c r="G3180" s="17" t="s">
        <v>48</v>
      </c>
      <c r="H3180" s="17">
        <v>1</v>
      </c>
      <c r="K3180" t="s">
        <v>1268</v>
      </c>
      <c r="L3180" t="s">
        <v>1269</v>
      </c>
      <c r="M3180" t="s">
        <v>1270</v>
      </c>
      <c r="N3180">
        <v>20</v>
      </c>
      <c r="O3180" t="s">
        <v>40</v>
      </c>
      <c r="P3180" t="s">
        <v>40</v>
      </c>
      <c r="Q3180" t="s">
        <v>40</v>
      </c>
      <c r="R3180" t="s">
        <v>40</v>
      </c>
      <c r="S3180" t="s">
        <v>40</v>
      </c>
      <c r="V3180" t="s">
        <v>41</v>
      </c>
      <c r="W3180" t="s">
        <v>42</v>
      </c>
      <c r="X3180" t="str">
        <f>"1990911"</f>
        <v>1990911</v>
      </c>
      <c r="Y3180" t="s">
        <v>1276</v>
      </c>
      <c r="Z3180" t="s">
        <v>1268</v>
      </c>
      <c r="AA3180" t="s">
        <v>1269</v>
      </c>
      <c r="AB3180" t="s">
        <v>1270</v>
      </c>
      <c r="AC3180" t="s">
        <v>51</v>
      </c>
      <c r="AD3180" t="s">
        <v>45</v>
      </c>
      <c r="AE3180" s="1">
        <v>26253</v>
      </c>
      <c r="AF3180">
        <v>2</v>
      </c>
      <c r="AG3180" t="s">
        <v>1269</v>
      </c>
      <c r="AH3180" s="36">
        <f t="shared" si="49"/>
        <v>47.788888888888891</v>
      </c>
      <c r="AI3180" s="41" t="s">
        <v>1780</v>
      </c>
    </row>
    <row r="3181" spans="1:35" x14ac:dyDescent="0.25">
      <c r="A3181" s="36">
        <v>99913179</v>
      </c>
      <c r="B3181" s="17" t="s">
        <v>56</v>
      </c>
      <c r="C3181" t="s">
        <v>79</v>
      </c>
      <c r="D3181" t="s">
        <v>80</v>
      </c>
      <c r="G3181" s="17" t="s">
        <v>48</v>
      </c>
      <c r="H3181" s="17">
        <v>1</v>
      </c>
      <c r="K3181" t="s">
        <v>162</v>
      </c>
      <c r="L3181" t="s">
        <v>158</v>
      </c>
      <c r="M3181" t="s">
        <v>131</v>
      </c>
      <c r="N3181">
        <v>21</v>
      </c>
      <c r="O3181" t="s">
        <v>40</v>
      </c>
      <c r="P3181" t="s">
        <v>40</v>
      </c>
      <c r="Q3181" t="s">
        <v>40</v>
      </c>
      <c r="R3181" t="s">
        <v>40</v>
      </c>
      <c r="S3181" t="s">
        <v>40</v>
      </c>
      <c r="V3181" t="s">
        <v>41</v>
      </c>
      <c r="W3181" t="s">
        <v>75</v>
      </c>
      <c r="X3181" t="str">
        <f>"7521050"</f>
        <v>7521050</v>
      </c>
      <c r="Y3181" t="s">
        <v>194</v>
      </c>
      <c r="Z3181" t="s">
        <v>195</v>
      </c>
      <c r="AA3181" t="s">
        <v>196</v>
      </c>
      <c r="AB3181" t="s">
        <v>131</v>
      </c>
      <c r="AC3181" t="s">
        <v>51</v>
      </c>
      <c r="AD3181" t="s">
        <v>45</v>
      </c>
      <c r="AE3181" s="1">
        <v>26252</v>
      </c>
      <c r="AF3181">
        <v>2</v>
      </c>
      <c r="AG3181" t="s">
        <v>158</v>
      </c>
      <c r="AH3181" s="36">
        <f t="shared" si="49"/>
        <v>47.791666666666664</v>
      </c>
      <c r="AI3181" s="41" t="s">
        <v>1780</v>
      </c>
    </row>
    <row r="3182" spans="1:35" x14ac:dyDescent="0.25">
      <c r="A3182" s="36">
        <v>99913180</v>
      </c>
      <c r="B3182" s="17" t="s">
        <v>32</v>
      </c>
      <c r="C3182" t="s">
        <v>64</v>
      </c>
      <c r="D3182" t="s">
        <v>65</v>
      </c>
      <c r="G3182" s="17" t="s">
        <v>48</v>
      </c>
      <c r="H3182" s="17">
        <v>1</v>
      </c>
      <c r="K3182" t="s">
        <v>162</v>
      </c>
      <c r="L3182" t="s">
        <v>158</v>
      </c>
      <c r="M3182" t="s">
        <v>131</v>
      </c>
      <c r="N3182">
        <v>8</v>
      </c>
      <c r="O3182" t="s">
        <v>40</v>
      </c>
      <c r="P3182" t="s">
        <v>40</v>
      </c>
      <c r="Q3182" t="s">
        <v>40</v>
      </c>
      <c r="S3182" t="s">
        <v>40</v>
      </c>
      <c r="V3182" t="s">
        <v>41</v>
      </c>
      <c r="W3182" t="s">
        <v>42</v>
      </c>
      <c r="X3182" t="str">
        <f>"0580330"</f>
        <v>0580330</v>
      </c>
      <c r="Y3182" t="s">
        <v>176</v>
      </c>
      <c r="Z3182" t="s">
        <v>162</v>
      </c>
      <c r="AA3182" t="s">
        <v>158</v>
      </c>
      <c r="AB3182" t="s">
        <v>131</v>
      </c>
      <c r="AC3182" t="s">
        <v>51</v>
      </c>
      <c r="AD3182" t="s">
        <v>45</v>
      </c>
      <c r="AE3182" s="1">
        <v>26248</v>
      </c>
      <c r="AF3182">
        <v>2</v>
      </c>
      <c r="AG3182" t="s">
        <v>158</v>
      </c>
      <c r="AH3182" s="36">
        <f t="shared" si="49"/>
        <v>47.802777777777777</v>
      </c>
      <c r="AI3182" s="41" t="s">
        <v>1780</v>
      </c>
    </row>
    <row r="3183" spans="1:35" x14ac:dyDescent="0.25">
      <c r="A3183" s="36">
        <v>99913181</v>
      </c>
      <c r="B3183" s="17" t="s">
        <v>32</v>
      </c>
      <c r="C3183" t="s">
        <v>111</v>
      </c>
      <c r="D3183" t="s">
        <v>112</v>
      </c>
      <c r="G3183" s="17" t="s">
        <v>35</v>
      </c>
      <c r="H3183" s="17">
        <v>1</v>
      </c>
      <c r="K3183" t="s">
        <v>963</v>
      </c>
      <c r="L3183" t="s">
        <v>964</v>
      </c>
      <c r="M3183" t="s">
        <v>938</v>
      </c>
      <c r="N3183">
        <v>8</v>
      </c>
      <c r="O3183" t="s">
        <v>40</v>
      </c>
      <c r="P3183" t="s">
        <v>40</v>
      </c>
      <c r="Q3183" t="s">
        <v>40</v>
      </c>
      <c r="S3183" t="s">
        <v>40</v>
      </c>
      <c r="V3183" t="s">
        <v>41</v>
      </c>
      <c r="W3183" t="s">
        <v>75</v>
      </c>
      <c r="X3183" t="str">
        <f>"7061000"</f>
        <v>7061000</v>
      </c>
      <c r="Y3183" t="s">
        <v>962</v>
      </c>
      <c r="Z3183" t="s">
        <v>963</v>
      </c>
      <c r="AA3183" t="s">
        <v>964</v>
      </c>
      <c r="AB3183" t="s">
        <v>938</v>
      </c>
      <c r="AC3183" t="s">
        <v>165</v>
      </c>
      <c r="AD3183" t="s">
        <v>45</v>
      </c>
      <c r="AE3183" s="1">
        <v>26246</v>
      </c>
      <c r="AF3183">
        <v>1</v>
      </c>
      <c r="AG3183" t="s">
        <v>964</v>
      </c>
      <c r="AH3183" s="36">
        <f t="shared" si="49"/>
        <v>47.80833333333333</v>
      </c>
      <c r="AI3183" s="41" t="s">
        <v>1780</v>
      </c>
    </row>
    <row r="3184" spans="1:35" x14ac:dyDescent="0.25">
      <c r="A3184" s="36">
        <v>99913182</v>
      </c>
      <c r="B3184" s="17" t="s">
        <v>32</v>
      </c>
      <c r="C3184" t="s">
        <v>90</v>
      </c>
      <c r="D3184" t="s">
        <v>91</v>
      </c>
      <c r="G3184" s="17" t="s">
        <v>35</v>
      </c>
      <c r="H3184" s="17">
        <v>1</v>
      </c>
      <c r="I3184" t="s">
        <v>1353</v>
      </c>
      <c r="J3184" s="1">
        <v>43344</v>
      </c>
      <c r="K3184" t="s">
        <v>1341</v>
      </c>
      <c r="L3184" t="s">
        <v>1342</v>
      </c>
      <c r="M3184" t="s">
        <v>1270</v>
      </c>
      <c r="N3184">
        <v>24</v>
      </c>
      <c r="O3184" t="s">
        <v>40</v>
      </c>
      <c r="S3184" t="s">
        <v>40</v>
      </c>
      <c r="U3184" s="1">
        <v>43344</v>
      </c>
      <c r="V3184" t="s">
        <v>41</v>
      </c>
      <c r="W3184" t="s">
        <v>95</v>
      </c>
      <c r="X3184" t="str">
        <f>"7191097"</f>
        <v>7191097</v>
      </c>
      <c r="Y3184" t="s">
        <v>1404</v>
      </c>
      <c r="Z3184" t="s">
        <v>1341</v>
      </c>
      <c r="AA3184" t="s">
        <v>1342</v>
      </c>
      <c r="AB3184" t="s">
        <v>1270</v>
      </c>
      <c r="AC3184" t="s">
        <v>44</v>
      </c>
      <c r="AD3184" t="s">
        <v>45</v>
      </c>
      <c r="AE3184" s="1">
        <v>26246</v>
      </c>
      <c r="AF3184">
        <v>1</v>
      </c>
      <c r="AG3184" t="s">
        <v>1342</v>
      </c>
      <c r="AH3184" s="36">
        <f t="shared" si="49"/>
        <v>47.80833333333333</v>
      </c>
      <c r="AI3184" s="41" t="s">
        <v>1780</v>
      </c>
    </row>
    <row r="3185" spans="1:35" x14ac:dyDescent="0.25">
      <c r="A3185" s="36">
        <v>99913183</v>
      </c>
      <c r="B3185" s="17" t="s">
        <v>56</v>
      </c>
      <c r="C3185" t="s">
        <v>145</v>
      </c>
      <c r="D3185" t="s">
        <v>146</v>
      </c>
      <c r="G3185" s="17" t="s">
        <v>35</v>
      </c>
      <c r="H3185" s="17">
        <v>1</v>
      </c>
      <c r="I3185" t="s">
        <v>337</v>
      </c>
      <c r="J3185" s="1">
        <v>43344</v>
      </c>
      <c r="K3185" t="s">
        <v>300</v>
      </c>
      <c r="L3185" t="s">
        <v>301</v>
      </c>
      <c r="M3185" t="s">
        <v>131</v>
      </c>
      <c r="N3185">
        <v>11</v>
      </c>
      <c r="O3185" t="s">
        <v>40</v>
      </c>
      <c r="P3185" t="s">
        <v>40</v>
      </c>
      <c r="Q3185" t="s">
        <v>40</v>
      </c>
      <c r="R3185" t="s">
        <v>40</v>
      </c>
      <c r="S3185" t="s">
        <v>40</v>
      </c>
      <c r="U3185" s="1">
        <v>43344</v>
      </c>
      <c r="V3185" t="s">
        <v>41</v>
      </c>
      <c r="W3185" t="s">
        <v>49</v>
      </c>
      <c r="X3185" t="str">
        <f>"0560020"</f>
        <v>0560020</v>
      </c>
      <c r="Y3185" t="s">
        <v>302</v>
      </c>
      <c r="Z3185" t="s">
        <v>300</v>
      </c>
      <c r="AA3185" t="s">
        <v>301</v>
      </c>
      <c r="AB3185" t="s">
        <v>131</v>
      </c>
      <c r="AC3185" t="s">
        <v>51</v>
      </c>
      <c r="AD3185" t="s">
        <v>45</v>
      </c>
      <c r="AE3185" s="1">
        <v>26245</v>
      </c>
      <c r="AF3185">
        <v>2</v>
      </c>
      <c r="AG3185" t="s">
        <v>301</v>
      </c>
      <c r="AH3185" s="36">
        <f t="shared" si="49"/>
        <v>47.81111111111111</v>
      </c>
      <c r="AI3185" s="41" t="s">
        <v>1780</v>
      </c>
    </row>
    <row r="3186" spans="1:35" x14ac:dyDescent="0.25">
      <c r="A3186" s="36">
        <v>99913184</v>
      </c>
      <c r="B3186" s="17" t="s">
        <v>32</v>
      </c>
      <c r="C3186" t="s">
        <v>111</v>
      </c>
      <c r="D3186" t="s">
        <v>112</v>
      </c>
      <c r="G3186" s="17" t="s">
        <v>35</v>
      </c>
      <c r="H3186" s="17">
        <v>1</v>
      </c>
      <c r="K3186" t="s">
        <v>963</v>
      </c>
      <c r="L3186" t="s">
        <v>964</v>
      </c>
      <c r="M3186" t="s">
        <v>938</v>
      </c>
      <c r="N3186">
        <v>22</v>
      </c>
      <c r="O3186" t="s">
        <v>40</v>
      </c>
      <c r="P3186" t="s">
        <v>40</v>
      </c>
      <c r="Q3186" t="s">
        <v>40</v>
      </c>
      <c r="S3186" t="s">
        <v>40</v>
      </c>
      <c r="V3186" t="s">
        <v>41</v>
      </c>
      <c r="W3186" t="s">
        <v>75</v>
      </c>
      <c r="X3186" t="str">
        <f>"7061000"</f>
        <v>7061000</v>
      </c>
      <c r="Y3186" t="s">
        <v>962</v>
      </c>
      <c r="Z3186" t="s">
        <v>963</v>
      </c>
      <c r="AA3186" t="s">
        <v>964</v>
      </c>
      <c r="AB3186" t="s">
        <v>938</v>
      </c>
      <c r="AC3186" t="s">
        <v>165</v>
      </c>
      <c r="AD3186" t="s">
        <v>45</v>
      </c>
      <c r="AE3186" s="1">
        <v>26243</v>
      </c>
      <c r="AF3186">
        <v>1</v>
      </c>
      <c r="AG3186" t="s">
        <v>964</v>
      </c>
      <c r="AH3186" s="36">
        <f t="shared" si="49"/>
        <v>47.81666666666667</v>
      </c>
      <c r="AI3186" s="41" t="s">
        <v>1780</v>
      </c>
    </row>
    <row r="3187" spans="1:35" x14ac:dyDescent="0.25">
      <c r="A3187" s="36">
        <v>99913185</v>
      </c>
      <c r="B3187" s="17" t="s">
        <v>32</v>
      </c>
      <c r="C3187" t="s">
        <v>46</v>
      </c>
      <c r="D3187" t="s">
        <v>47</v>
      </c>
      <c r="G3187" s="17" t="s">
        <v>48</v>
      </c>
      <c r="H3187" s="17">
        <v>1</v>
      </c>
      <c r="K3187" t="s">
        <v>223</v>
      </c>
      <c r="L3187" t="s">
        <v>224</v>
      </c>
      <c r="M3187" t="s">
        <v>131</v>
      </c>
      <c r="N3187">
        <v>16</v>
      </c>
      <c r="O3187" t="s">
        <v>40</v>
      </c>
      <c r="P3187" t="s">
        <v>40</v>
      </c>
      <c r="Q3187" t="s">
        <v>40</v>
      </c>
      <c r="S3187" t="s">
        <v>40</v>
      </c>
      <c r="V3187" t="s">
        <v>41</v>
      </c>
      <c r="W3187" t="s">
        <v>42</v>
      </c>
      <c r="X3187" t="str">
        <f>"0590910"</f>
        <v>0590910</v>
      </c>
      <c r="Y3187" t="s">
        <v>227</v>
      </c>
      <c r="Z3187" t="s">
        <v>223</v>
      </c>
      <c r="AA3187" t="s">
        <v>224</v>
      </c>
      <c r="AB3187" t="s">
        <v>131</v>
      </c>
      <c r="AC3187" t="s">
        <v>51</v>
      </c>
      <c r="AD3187" t="s">
        <v>45</v>
      </c>
      <c r="AE3187" s="1">
        <v>26238</v>
      </c>
      <c r="AF3187">
        <v>2</v>
      </c>
      <c r="AG3187" t="s">
        <v>224</v>
      </c>
      <c r="AH3187" s="36">
        <f t="shared" si="49"/>
        <v>47.830555555555556</v>
      </c>
      <c r="AI3187" s="41" t="s">
        <v>1780</v>
      </c>
    </row>
    <row r="3188" spans="1:35" x14ac:dyDescent="0.25">
      <c r="A3188" s="36">
        <v>99913186</v>
      </c>
      <c r="B3188" s="17" t="s">
        <v>32</v>
      </c>
      <c r="C3188" t="s">
        <v>111</v>
      </c>
      <c r="D3188" t="s">
        <v>112</v>
      </c>
      <c r="G3188" s="17" t="s">
        <v>48</v>
      </c>
      <c r="H3188" s="17">
        <v>5</v>
      </c>
      <c r="K3188" t="s">
        <v>877</v>
      </c>
      <c r="L3188" t="s">
        <v>878</v>
      </c>
      <c r="M3188" t="s">
        <v>131</v>
      </c>
      <c r="N3188">
        <v>9</v>
      </c>
      <c r="O3188" t="s">
        <v>40</v>
      </c>
      <c r="P3188" t="s">
        <v>40</v>
      </c>
      <c r="Q3188" t="s">
        <v>40</v>
      </c>
      <c r="R3188" t="s">
        <v>40</v>
      </c>
      <c r="S3188" t="s">
        <v>40</v>
      </c>
      <c r="V3188" t="s">
        <v>41</v>
      </c>
      <c r="W3188" t="s">
        <v>75</v>
      </c>
      <c r="X3188" t="str">
        <f>"7541012"</f>
        <v>7541012</v>
      </c>
      <c r="Y3188" t="s">
        <v>915</v>
      </c>
      <c r="Z3188" t="s">
        <v>877</v>
      </c>
      <c r="AA3188" t="s">
        <v>878</v>
      </c>
      <c r="AB3188" t="s">
        <v>131</v>
      </c>
      <c r="AC3188" t="s">
        <v>51</v>
      </c>
      <c r="AD3188" t="s">
        <v>45</v>
      </c>
      <c r="AE3188" s="1">
        <v>26236</v>
      </c>
      <c r="AF3188">
        <v>1</v>
      </c>
      <c r="AG3188" t="s">
        <v>878</v>
      </c>
      <c r="AH3188" s="36">
        <f t="shared" si="49"/>
        <v>47.836111111111109</v>
      </c>
      <c r="AI3188" s="41" t="s">
        <v>1780</v>
      </c>
    </row>
    <row r="3189" spans="1:35" x14ac:dyDescent="0.25">
      <c r="A3189" s="36">
        <v>99913187</v>
      </c>
      <c r="B3189" s="17" t="s">
        <v>56</v>
      </c>
      <c r="C3189" t="s">
        <v>46</v>
      </c>
      <c r="D3189" t="s">
        <v>47</v>
      </c>
      <c r="G3189" s="17" t="s">
        <v>48</v>
      </c>
      <c r="H3189" s="17">
        <v>1</v>
      </c>
      <c r="K3189" t="s">
        <v>300</v>
      </c>
      <c r="L3189" t="s">
        <v>301</v>
      </c>
      <c r="M3189" t="s">
        <v>131</v>
      </c>
      <c r="N3189">
        <v>21</v>
      </c>
      <c r="O3189" t="s">
        <v>40</v>
      </c>
      <c r="P3189" t="s">
        <v>40</v>
      </c>
      <c r="Q3189" t="s">
        <v>40</v>
      </c>
      <c r="R3189" t="s">
        <v>40</v>
      </c>
      <c r="S3189" t="s">
        <v>40</v>
      </c>
      <c r="V3189" t="s">
        <v>41</v>
      </c>
      <c r="W3189" t="s">
        <v>42</v>
      </c>
      <c r="X3189" t="str">
        <f>"0580176"</f>
        <v>0580176</v>
      </c>
      <c r="Y3189" t="s">
        <v>305</v>
      </c>
      <c r="Z3189" t="s">
        <v>300</v>
      </c>
      <c r="AA3189" t="s">
        <v>301</v>
      </c>
      <c r="AB3189" t="s">
        <v>131</v>
      </c>
      <c r="AC3189" t="s">
        <v>51</v>
      </c>
      <c r="AD3189" t="s">
        <v>45</v>
      </c>
      <c r="AE3189" s="1">
        <v>26235</v>
      </c>
      <c r="AF3189">
        <v>2</v>
      </c>
      <c r="AG3189" t="s">
        <v>301</v>
      </c>
      <c r="AH3189" s="36">
        <f t="shared" si="49"/>
        <v>47.838888888888889</v>
      </c>
      <c r="AI3189" s="41" t="s">
        <v>1780</v>
      </c>
    </row>
    <row r="3190" spans="1:35" x14ac:dyDescent="0.25">
      <c r="A3190" s="36">
        <v>99913188</v>
      </c>
      <c r="B3190" s="17" t="s">
        <v>32</v>
      </c>
      <c r="C3190" t="s">
        <v>46</v>
      </c>
      <c r="D3190" t="s">
        <v>47</v>
      </c>
      <c r="G3190" s="17" t="s">
        <v>48</v>
      </c>
      <c r="H3190" s="17">
        <v>1</v>
      </c>
      <c r="K3190" t="s">
        <v>300</v>
      </c>
      <c r="L3190" t="s">
        <v>301</v>
      </c>
      <c r="M3190" t="s">
        <v>131</v>
      </c>
      <c r="N3190">
        <v>21</v>
      </c>
      <c r="O3190" t="s">
        <v>40</v>
      </c>
      <c r="P3190" t="s">
        <v>40</v>
      </c>
      <c r="Q3190" t="s">
        <v>40</v>
      </c>
      <c r="R3190" t="s">
        <v>40</v>
      </c>
      <c r="S3190" t="s">
        <v>40</v>
      </c>
      <c r="V3190" t="s">
        <v>41</v>
      </c>
      <c r="W3190" t="s">
        <v>49</v>
      </c>
      <c r="X3190" t="str">
        <f>"0560001"</f>
        <v>0560001</v>
      </c>
      <c r="Y3190" t="s">
        <v>304</v>
      </c>
      <c r="Z3190" t="s">
        <v>300</v>
      </c>
      <c r="AA3190" t="s">
        <v>301</v>
      </c>
      <c r="AB3190" t="s">
        <v>131</v>
      </c>
      <c r="AC3190" t="s">
        <v>51</v>
      </c>
      <c r="AD3190" t="s">
        <v>45</v>
      </c>
      <c r="AE3190" s="1">
        <v>26235</v>
      </c>
      <c r="AF3190">
        <v>2</v>
      </c>
      <c r="AG3190" t="s">
        <v>301</v>
      </c>
      <c r="AH3190" s="36">
        <f t="shared" si="49"/>
        <v>47.838888888888889</v>
      </c>
      <c r="AI3190" s="41" t="s">
        <v>1780</v>
      </c>
    </row>
    <row r="3191" spans="1:35" x14ac:dyDescent="0.25">
      <c r="A3191" s="36">
        <v>99913189</v>
      </c>
      <c r="B3191" s="17" t="s">
        <v>56</v>
      </c>
      <c r="C3191" t="s">
        <v>68</v>
      </c>
      <c r="D3191" t="s">
        <v>69</v>
      </c>
      <c r="G3191" s="17" t="s">
        <v>48</v>
      </c>
      <c r="H3191" s="17">
        <v>1</v>
      </c>
      <c r="I3191" t="s">
        <v>1501</v>
      </c>
      <c r="J3191" s="1">
        <v>42639</v>
      </c>
      <c r="K3191" t="s">
        <v>1496</v>
      </c>
      <c r="L3191" t="s">
        <v>1497</v>
      </c>
      <c r="M3191" t="s">
        <v>670</v>
      </c>
      <c r="N3191">
        <v>23</v>
      </c>
      <c r="O3191" t="s">
        <v>40</v>
      </c>
      <c r="P3191" t="s">
        <v>40</v>
      </c>
      <c r="Q3191" t="s">
        <v>40</v>
      </c>
      <c r="R3191" t="s">
        <v>40</v>
      </c>
      <c r="S3191" t="s">
        <v>40</v>
      </c>
      <c r="U3191" s="1">
        <v>42639</v>
      </c>
      <c r="V3191" t="s">
        <v>41</v>
      </c>
      <c r="W3191" t="s">
        <v>42</v>
      </c>
      <c r="X3191" t="str">
        <f>"5080015"</f>
        <v>5080015</v>
      </c>
      <c r="Y3191" t="s">
        <v>1498</v>
      </c>
      <c r="Z3191" t="s">
        <v>1496</v>
      </c>
      <c r="AA3191" t="s">
        <v>1497</v>
      </c>
      <c r="AB3191" t="s">
        <v>670</v>
      </c>
      <c r="AC3191" t="s">
        <v>51</v>
      </c>
      <c r="AD3191" t="s">
        <v>45</v>
      </c>
      <c r="AE3191" s="1">
        <v>26227</v>
      </c>
      <c r="AF3191">
        <v>2</v>
      </c>
      <c r="AG3191" t="s">
        <v>1497</v>
      </c>
      <c r="AH3191" s="36">
        <f t="shared" si="49"/>
        <v>47.861111111111114</v>
      </c>
      <c r="AI3191" s="41" t="s">
        <v>1780</v>
      </c>
    </row>
    <row r="3192" spans="1:35" x14ac:dyDescent="0.25">
      <c r="A3192" s="36">
        <v>99913190</v>
      </c>
      <c r="B3192" s="17" t="s">
        <v>32</v>
      </c>
      <c r="C3192" t="s">
        <v>143</v>
      </c>
      <c r="D3192" t="s">
        <v>144</v>
      </c>
      <c r="G3192" s="17" t="s">
        <v>48</v>
      </c>
      <c r="H3192" s="17">
        <v>1</v>
      </c>
      <c r="K3192" t="s">
        <v>223</v>
      </c>
      <c r="L3192" t="s">
        <v>224</v>
      </c>
      <c r="M3192" t="s">
        <v>131</v>
      </c>
      <c r="N3192">
        <v>2</v>
      </c>
      <c r="O3192" t="s">
        <v>40</v>
      </c>
      <c r="P3192" t="s">
        <v>40</v>
      </c>
      <c r="Q3192" t="s">
        <v>40</v>
      </c>
      <c r="S3192" t="s">
        <v>40</v>
      </c>
      <c r="V3192" t="s">
        <v>41</v>
      </c>
      <c r="W3192" t="s">
        <v>42</v>
      </c>
      <c r="X3192" t="str">
        <f>"0561007"</f>
        <v>0561007</v>
      </c>
      <c r="Y3192" t="s">
        <v>262</v>
      </c>
      <c r="Z3192" t="s">
        <v>223</v>
      </c>
      <c r="AA3192" t="s">
        <v>224</v>
      </c>
      <c r="AB3192" t="s">
        <v>131</v>
      </c>
      <c r="AC3192" t="s">
        <v>51</v>
      </c>
      <c r="AD3192" t="s">
        <v>45</v>
      </c>
      <c r="AE3192" s="1">
        <v>26224</v>
      </c>
      <c r="AF3192">
        <v>2</v>
      </c>
      <c r="AG3192" t="s">
        <v>224</v>
      </c>
      <c r="AH3192" s="36">
        <f t="shared" si="49"/>
        <v>47.869444444444447</v>
      </c>
      <c r="AI3192" s="41" t="s">
        <v>1780</v>
      </c>
    </row>
    <row r="3193" spans="1:35" x14ac:dyDescent="0.25">
      <c r="A3193" s="36">
        <v>99913191</v>
      </c>
      <c r="B3193" s="17" t="s">
        <v>32</v>
      </c>
      <c r="C3193" t="s">
        <v>111</v>
      </c>
      <c r="D3193" t="s">
        <v>112</v>
      </c>
      <c r="G3193" s="17" t="s">
        <v>35</v>
      </c>
      <c r="H3193" s="17">
        <v>1</v>
      </c>
      <c r="I3193">
        <v>1838</v>
      </c>
      <c r="J3193" s="1">
        <v>43344</v>
      </c>
      <c r="K3193" t="s">
        <v>354</v>
      </c>
      <c r="L3193" t="s">
        <v>355</v>
      </c>
      <c r="M3193" t="s">
        <v>131</v>
      </c>
      <c r="N3193">
        <v>24</v>
      </c>
      <c r="O3193" t="s">
        <v>40</v>
      </c>
      <c r="S3193" t="s">
        <v>40</v>
      </c>
      <c r="U3193" s="1">
        <v>43344</v>
      </c>
      <c r="V3193" t="s">
        <v>41</v>
      </c>
      <c r="W3193" t="s">
        <v>75</v>
      </c>
      <c r="X3193" t="str">
        <f>"7054012"</f>
        <v>7054012</v>
      </c>
      <c r="Y3193" t="s">
        <v>353</v>
      </c>
      <c r="Z3193" t="s">
        <v>354</v>
      </c>
      <c r="AA3193" t="s">
        <v>355</v>
      </c>
      <c r="AB3193" t="s">
        <v>131</v>
      </c>
      <c r="AC3193" t="s">
        <v>51</v>
      </c>
      <c r="AD3193" t="s">
        <v>45</v>
      </c>
      <c r="AE3193" s="1">
        <v>26221</v>
      </c>
      <c r="AF3193">
        <v>1</v>
      </c>
      <c r="AG3193" t="s">
        <v>355</v>
      </c>
      <c r="AH3193" s="36">
        <f t="shared" si="49"/>
        <v>47.87777777777778</v>
      </c>
      <c r="AI3193" s="41" t="s">
        <v>1780</v>
      </c>
    </row>
    <row r="3194" spans="1:35" x14ac:dyDescent="0.25">
      <c r="A3194" s="36">
        <v>99913192</v>
      </c>
      <c r="B3194" s="17" t="s">
        <v>56</v>
      </c>
      <c r="C3194" t="s">
        <v>68</v>
      </c>
      <c r="D3194" t="s">
        <v>69</v>
      </c>
      <c r="G3194" s="17" t="s">
        <v>48</v>
      </c>
      <c r="H3194" s="17">
        <v>1</v>
      </c>
      <c r="K3194" t="s">
        <v>380</v>
      </c>
      <c r="L3194" t="s">
        <v>381</v>
      </c>
      <c r="M3194" t="s">
        <v>131</v>
      </c>
      <c r="N3194">
        <v>7</v>
      </c>
      <c r="O3194" t="s">
        <v>40</v>
      </c>
      <c r="P3194" t="s">
        <v>40</v>
      </c>
      <c r="Q3194" t="s">
        <v>40</v>
      </c>
      <c r="R3194" t="s">
        <v>40</v>
      </c>
      <c r="S3194" t="s">
        <v>40</v>
      </c>
      <c r="V3194" t="s">
        <v>41</v>
      </c>
      <c r="W3194" t="s">
        <v>49</v>
      </c>
      <c r="X3194" t="str">
        <f>"0581575"</f>
        <v>0581575</v>
      </c>
      <c r="Y3194" t="s">
        <v>392</v>
      </c>
      <c r="Z3194" t="s">
        <v>380</v>
      </c>
      <c r="AA3194" t="s">
        <v>381</v>
      </c>
      <c r="AB3194" t="s">
        <v>131</v>
      </c>
      <c r="AC3194" t="s">
        <v>51</v>
      </c>
      <c r="AD3194" t="s">
        <v>45</v>
      </c>
      <c r="AE3194" s="1">
        <v>26219</v>
      </c>
      <c r="AF3194">
        <v>2</v>
      </c>
      <c r="AG3194" t="s">
        <v>381</v>
      </c>
      <c r="AH3194" s="36">
        <f t="shared" si="49"/>
        <v>47.883333333333333</v>
      </c>
      <c r="AI3194" s="41" t="s">
        <v>1780</v>
      </c>
    </row>
    <row r="3195" spans="1:35" x14ac:dyDescent="0.25">
      <c r="A3195" s="36">
        <v>99913193</v>
      </c>
      <c r="B3195" s="17" t="s">
        <v>56</v>
      </c>
      <c r="C3195" t="s">
        <v>141</v>
      </c>
      <c r="D3195" t="s">
        <v>142</v>
      </c>
      <c r="G3195" s="17" t="s">
        <v>48</v>
      </c>
      <c r="H3195" s="17">
        <v>1</v>
      </c>
      <c r="K3195" t="s">
        <v>1187</v>
      </c>
      <c r="L3195" t="s">
        <v>1188</v>
      </c>
      <c r="M3195" t="s">
        <v>1130</v>
      </c>
      <c r="N3195">
        <v>15</v>
      </c>
      <c r="O3195" t="s">
        <v>40</v>
      </c>
      <c r="P3195" t="s">
        <v>40</v>
      </c>
      <c r="Q3195" t="s">
        <v>40</v>
      </c>
      <c r="R3195" t="s">
        <v>40</v>
      </c>
      <c r="S3195" t="s">
        <v>40</v>
      </c>
      <c r="V3195" t="s">
        <v>41</v>
      </c>
      <c r="W3195" t="s">
        <v>49</v>
      </c>
      <c r="X3195" t="str">
        <f>"4581015"</f>
        <v>4581015</v>
      </c>
      <c r="Y3195" t="s">
        <v>1190</v>
      </c>
      <c r="Z3195" t="s">
        <v>1187</v>
      </c>
      <c r="AA3195" t="s">
        <v>1188</v>
      </c>
      <c r="AB3195" t="s">
        <v>1130</v>
      </c>
      <c r="AC3195" t="s">
        <v>51</v>
      </c>
      <c r="AD3195" t="s">
        <v>45</v>
      </c>
      <c r="AE3195" s="1">
        <v>26219</v>
      </c>
      <c r="AF3195">
        <v>2</v>
      </c>
      <c r="AG3195" t="s">
        <v>1188</v>
      </c>
      <c r="AH3195" s="36">
        <f t="shared" si="49"/>
        <v>47.883333333333333</v>
      </c>
      <c r="AI3195" s="41" t="s">
        <v>1780</v>
      </c>
    </row>
    <row r="3196" spans="1:35" x14ac:dyDescent="0.25">
      <c r="A3196" s="36">
        <v>99913194</v>
      </c>
      <c r="B3196" s="17" t="s">
        <v>32</v>
      </c>
      <c r="C3196" t="s">
        <v>64</v>
      </c>
      <c r="D3196" t="s">
        <v>65</v>
      </c>
      <c r="G3196" s="17" t="s">
        <v>48</v>
      </c>
      <c r="H3196" s="17">
        <v>1</v>
      </c>
      <c r="K3196" t="s">
        <v>345</v>
      </c>
      <c r="L3196" t="s">
        <v>346</v>
      </c>
      <c r="M3196" t="s">
        <v>131</v>
      </c>
      <c r="N3196">
        <v>20</v>
      </c>
      <c r="O3196" t="s">
        <v>40</v>
      </c>
      <c r="P3196" t="s">
        <v>40</v>
      </c>
      <c r="Q3196" t="s">
        <v>40</v>
      </c>
      <c r="R3196" t="s">
        <v>40</v>
      </c>
      <c r="S3196" t="s">
        <v>40</v>
      </c>
      <c r="V3196" t="s">
        <v>41</v>
      </c>
      <c r="W3196" t="s">
        <v>49</v>
      </c>
      <c r="X3196" t="str">
        <f>"0591906"</f>
        <v>0591906</v>
      </c>
      <c r="Y3196" t="s">
        <v>350</v>
      </c>
      <c r="Z3196" t="s">
        <v>345</v>
      </c>
      <c r="AA3196" t="s">
        <v>346</v>
      </c>
      <c r="AB3196" t="s">
        <v>131</v>
      </c>
      <c r="AC3196" t="s">
        <v>51</v>
      </c>
      <c r="AD3196" t="s">
        <v>45</v>
      </c>
      <c r="AE3196" s="1">
        <v>26216</v>
      </c>
      <c r="AF3196">
        <v>2</v>
      </c>
      <c r="AG3196" t="s">
        <v>346</v>
      </c>
      <c r="AH3196" s="36">
        <f t="shared" si="49"/>
        <v>47.891666666666666</v>
      </c>
      <c r="AI3196" s="41" t="s">
        <v>1780</v>
      </c>
    </row>
    <row r="3197" spans="1:35" x14ac:dyDescent="0.25">
      <c r="A3197" s="36">
        <v>99913195</v>
      </c>
      <c r="B3197" s="17" t="s">
        <v>32</v>
      </c>
      <c r="C3197" t="s">
        <v>46</v>
      </c>
      <c r="D3197" t="s">
        <v>47</v>
      </c>
      <c r="G3197" s="17" t="s">
        <v>35</v>
      </c>
      <c r="H3197" s="17">
        <v>1</v>
      </c>
      <c r="K3197" t="s">
        <v>162</v>
      </c>
      <c r="L3197" t="s">
        <v>158</v>
      </c>
      <c r="M3197" t="s">
        <v>131</v>
      </c>
      <c r="N3197">
        <v>20</v>
      </c>
      <c r="O3197" t="s">
        <v>40</v>
      </c>
      <c r="P3197" t="s">
        <v>40</v>
      </c>
      <c r="Q3197" t="s">
        <v>40</v>
      </c>
      <c r="R3197" t="s">
        <v>40</v>
      </c>
      <c r="S3197" t="s">
        <v>40</v>
      </c>
      <c r="V3197" t="s">
        <v>41</v>
      </c>
      <c r="W3197" t="s">
        <v>49</v>
      </c>
      <c r="X3197" t="str">
        <f>"0581325"</f>
        <v>0581325</v>
      </c>
      <c r="Y3197" t="s">
        <v>169</v>
      </c>
      <c r="Z3197" t="s">
        <v>162</v>
      </c>
      <c r="AA3197" t="s">
        <v>158</v>
      </c>
      <c r="AB3197" t="s">
        <v>131</v>
      </c>
      <c r="AC3197" t="s">
        <v>51</v>
      </c>
      <c r="AD3197" t="s">
        <v>45</v>
      </c>
      <c r="AE3197" s="1">
        <v>26212</v>
      </c>
      <c r="AF3197">
        <v>2</v>
      </c>
      <c r="AG3197" t="s">
        <v>158</v>
      </c>
      <c r="AH3197" s="36">
        <f t="shared" si="49"/>
        <v>47.902777777777779</v>
      </c>
      <c r="AI3197" s="41" t="s">
        <v>1780</v>
      </c>
    </row>
    <row r="3198" spans="1:35" x14ac:dyDescent="0.25">
      <c r="A3198" s="36">
        <v>99913196</v>
      </c>
      <c r="B3198" s="17" t="s">
        <v>32</v>
      </c>
      <c r="C3198" t="s">
        <v>64</v>
      </c>
      <c r="D3198" t="s">
        <v>65</v>
      </c>
      <c r="G3198" s="17" t="s">
        <v>48</v>
      </c>
      <c r="H3198" s="17">
        <v>1</v>
      </c>
      <c r="K3198" t="s">
        <v>345</v>
      </c>
      <c r="L3198" t="s">
        <v>346</v>
      </c>
      <c r="M3198" t="s">
        <v>131</v>
      </c>
      <c r="N3198">
        <v>20</v>
      </c>
      <c r="O3198" t="s">
        <v>40</v>
      </c>
      <c r="P3198" t="s">
        <v>40</v>
      </c>
      <c r="Q3198" t="s">
        <v>40</v>
      </c>
      <c r="R3198" t="s">
        <v>40</v>
      </c>
      <c r="S3198" t="s">
        <v>40</v>
      </c>
      <c r="V3198" t="s">
        <v>41</v>
      </c>
      <c r="W3198" t="s">
        <v>49</v>
      </c>
      <c r="X3198" t="str">
        <f>"0591906"</f>
        <v>0591906</v>
      </c>
      <c r="Y3198" t="s">
        <v>350</v>
      </c>
      <c r="Z3198" t="s">
        <v>345</v>
      </c>
      <c r="AA3198" t="s">
        <v>346</v>
      </c>
      <c r="AB3198" t="s">
        <v>131</v>
      </c>
      <c r="AC3198" t="s">
        <v>51</v>
      </c>
      <c r="AD3198" t="s">
        <v>45</v>
      </c>
      <c r="AE3198" s="1">
        <v>26209</v>
      </c>
      <c r="AF3198">
        <v>2</v>
      </c>
      <c r="AG3198" t="s">
        <v>346</v>
      </c>
      <c r="AH3198" s="36">
        <f t="shared" si="49"/>
        <v>47.911111111111111</v>
      </c>
      <c r="AI3198" s="41" t="s">
        <v>1780</v>
      </c>
    </row>
    <row r="3199" spans="1:35" x14ac:dyDescent="0.25">
      <c r="A3199" s="36">
        <v>99913197</v>
      </c>
      <c r="B3199" s="17" t="s">
        <v>32</v>
      </c>
      <c r="C3199" t="s">
        <v>33</v>
      </c>
      <c r="D3199" t="s">
        <v>34</v>
      </c>
      <c r="G3199" s="17" t="s">
        <v>48</v>
      </c>
      <c r="H3199" s="17">
        <v>1</v>
      </c>
      <c r="K3199" t="s">
        <v>300</v>
      </c>
      <c r="L3199" t="s">
        <v>301</v>
      </c>
      <c r="M3199" t="s">
        <v>131</v>
      </c>
      <c r="N3199">
        <v>4</v>
      </c>
      <c r="O3199" t="s">
        <v>40</v>
      </c>
      <c r="P3199" t="s">
        <v>40</v>
      </c>
      <c r="Q3199" t="s">
        <v>40</v>
      </c>
      <c r="R3199" t="s">
        <v>40</v>
      </c>
      <c r="S3199" t="s">
        <v>40</v>
      </c>
      <c r="V3199" t="s">
        <v>41</v>
      </c>
      <c r="W3199" t="s">
        <v>42</v>
      </c>
      <c r="X3199" t="str">
        <f>"0561001"</f>
        <v>0561001</v>
      </c>
      <c r="Y3199" t="s">
        <v>308</v>
      </c>
      <c r="Z3199" t="s">
        <v>300</v>
      </c>
      <c r="AA3199" t="s">
        <v>301</v>
      </c>
      <c r="AB3199" t="s">
        <v>131</v>
      </c>
      <c r="AC3199" t="s">
        <v>51</v>
      </c>
      <c r="AD3199" t="s">
        <v>45</v>
      </c>
      <c r="AE3199" s="1">
        <v>26206</v>
      </c>
      <c r="AF3199">
        <v>2</v>
      </c>
      <c r="AG3199" t="s">
        <v>301</v>
      </c>
      <c r="AH3199" s="36">
        <f t="shared" si="49"/>
        <v>47.919444444444444</v>
      </c>
      <c r="AI3199" s="41" t="s">
        <v>1780</v>
      </c>
    </row>
    <row r="3200" spans="1:35" x14ac:dyDescent="0.25">
      <c r="A3200" s="36">
        <v>99913198</v>
      </c>
      <c r="B3200" s="17" t="s">
        <v>32</v>
      </c>
      <c r="C3200" t="s">
        <v>90</v>
      </c>
      <c r="D3200" t="s">
        <v>91</v>
      </c>
      <c r="G3200" s="17" t="s">
        <v>35</v>
      </c>
      <c r="H3200" s="17">
        <v>1</v>
      </c>
      <c r="K3200" t="s">
        <v>107</v>
      </c>
      <c r="L3200" t="s">
        <v>108</v>
      </c>
      <c r="M3200" t="s">
        <v>39</v>
      </c>
      <c r="N3200">
        <v>25</v>
      </c>
      <c r="O3200" t="s">
        <v>40</v>
      </c>
      <c r="P3200" t="s">
        <v>40</v>
      </c>
      <c r="Q3200" t="s">
        <v>40</v>
      </c>
      <c r="R3200" t="s">
        <v>40</v>
      </c>
      <c r="S3200" t="s">
        <v>40</v>
      </c>
      <c r="V3200" t="s">
        <v>41</v>
      </c>
      <c r="W3200" t="s">
        <v>95</v>
      </c>
      <c r="X3200" t="str">
        <f>"7211001"</f>
        <v>7211001</v>
      </c>
      <c r="Y3200" t="s">
        <v>110</v>
      </c>
      <c r="Z3200" t="s">
        <v>107</v>
      </c>
      <c r="AA3200" t="s">
        <v>108</v>
      </c>
      <c r="AB3200" t="s">
        <v>39</v>
      </c>
      <c r="AC3200" t="s">
        <v>51</v>
      </c>
      <c r="AD3200" t="s">
        <v>45</v>
      </c>
      <c r="AE3200" s="1">
        <v>26203</v>
      </c>
      <c r="AF3200">
        <v>1</v>
      </c>
      <c r="AG3200" t="s">
        <v>108</v>
      </c>
      <c r="AH3200" s="36">
        <f t="shared" si="49"/>
        <v>47.927777777777777</v>
      </c>
      <c r="AI3200" s="41" t="s">
        <v>1780</v>
      </c>
    </row>
    <row r="3201" spans="1:35" x14ac:dyDescent="0.25">
      <c r="A3201" s="36">
        <v>99913199</v>
      </c>
      <c r="B3201" s="17" t="s">
        <v>32</v>
      </c>
      <c r="C3201" t="s">
        <v>145</v>
      </c>
      <c r="D3201" t="s">
        <v>146</v>
      </c>
      <c r="G3201" s="17" t="s">
        <v>35</v>
      </c>
      <c r="H3201" s="17">
        <v>1</v>
      </c>
      <c r="K3201" t="s">
        <v>300</v>
      </c>
      <c r="L3201" t="s">
        <v>301</v>
      </c>
      <c r="M3201" t="s">
        <v>131</v>
      </c>
      <c r="N3201">
        <v>17</v>
      </c>
      <c r="O3201" t="s">
        <v>40</v>
      </c>
      <c r="P3201" t="s">
        <v>40</v>
      </c>
      <c r="Q3201" t="s">
        <v>40</v>
      </c>
      <c r="R3201" t="s">
        <v>40</v>
      </c>
      <c r="S3201" t="s">
        <v>40</v>
      </c>
      <c r="V3201" t="s">
        <v>41</v>
      </c>
      <c r="W3201" t="s">
        <v>42</v>
      </c>
      <c r="X3201" t="str">
        <f>"0580023"</f>
        <v>0580023</v>
      </c>
      <c r="Y3201" t="s">
        <v>313</v>
      </c>
      <c r="Z3201" t="s">
        <v>300</v>
      </c>
      <c r="AA3201" t="s">
        <v>301</v>
      </c>
      <c r="AB3201" t="s">
        <v>131</v>
      </c>
      <c r="AC3201" t="s">
        <v>165</v>
      </c>
      <c r="AD3201" t="s">
        <v>45</v>
      </c>
      <c r="AE3201" s="1">
        <v>26202</v>
      </c>
      <c r="AF3201">
        <v>2</v>
      </c>
      <c r="AG3201" t="s">
        <v>301</v>
      </c>
      <c r="AH3201" s="36">
        <f t="shared" si="49"/>
        <v>47.930555555555557</v>
      </c>
      <c r="AI3201" s="41" t="s">
        <v>1780</v>
      </c>
    </row>
    <row r="3202" spans="1:35" x14ac:dyDescent="0.25">
      <c r="A3202" s="36">
        <v>99913200</v>
      </c>
      <c r="B3202" s="17" t="s">
        <v>32</v>
      </c>
      <c r="C3202" t="s">
        <v>90</v>
      </c>
      <c r="D3202" t="s">
        <v>91</v>
      </c>
      <c r="G3202" s="17" t="s">
        <v>48</v>
      </c>
      <c r="H3202" s="17">
        <v>4</v>
      </c>
      <c r="K3202" t="s">
        <v>1426</v>
      </c>
      <c r="L3202" t="s">
        <v>1427</v>
      </c>
      <c r="M3202" t="s">
        <v>1270</v>
      </c>
      <c r="N3202">
        <v>25</v>
      </c>
      <c r="O3202" t="s">
        <v>40</v>
      </c>
      <c r="P3202" t="s">
        <v>40</v>
      </c>
      <c r="Q3202" t="s">
        <v>40</v>
      </c>
      <c r="R3202" t="s">
        <v>40</v>
      </c>
      <c r="S3202" t="s">
        <v>40</v>
      </c>
      <c r="V3202" t="s">
        <v>41</v>
      </c>
      <c r="W3202" t="s">
        <v>95</v>
      </c>
      <c r="X3202" t="str">
        <f>"7192011"</f>
        <v>7192011</v>
      </c>
      <c r="Y3202" t="s">
        <v>1431</v>
      </c>
      <c r="Z3202" t="s">
        <v>1426</v>
      </c>
      <c r="AA3202" t="s">
        <v>1427</v>
      </c>
      <c r="AB3202" t="s">
        <v>1270</v>
      </c>
      <c r="AC3202" t="s">
        <v>51</v>
      </c>
      <c r="AD3202" t="s">
        <v>45</v>
      </c>
      <c r="AE3202" s="1">
        <v>26201</v>
      </c>
      <c r="AF3202">
        <v>1</v>
      </c>
      <c r="AG3202" t="s">
        <v>1427</v>
      </c>
      <c r="AH3202" s="36">
        <f t="shared" ref="AH3202:AH3265" si="50">($AJ$1-AE3202)/360</f>
        <v>47.93333333333333</v>
      </c>
      <c r="AI3202" s="41" t="s">
        <v>1780</v>
      </c>
    </row>
    <row r="3203" spans="1:35" x14ac:dyDescent="0.25">
      <c r="A3203" s="36">
        <v>99913201</v>
      </c>
      <c r="B3203" s="17" t="s">
        <v>32</v>
      </c>
      <c r="C3203" t="s">
        <v>46</v>
      </c>
      <c r="D3203" t="s">
        <v>47</v>
      </c>
      <c r="G3203" s="17" t="s">
        <v>48</v>
      </c>
      <c r="H3203" s="17">
        <v>1</v>
      </c>
      <c r="K3203" t="s">
        <v>223</v>
      </c>
      <c r="L3203" t="s">
        <v>224</v>
      </c>
      <c r="M3203" t="s">
        <v>131</v>
      </c>
      <c r="N3203">
        <v>21</v>
      </c>
      <c r="O3203" t="s">
        <v>40</v>
      </c>
      <c r="P3203" t="s">
        <v>40</v>
      </c>
      <c r="Q3203" t="s">
        <v>40</v>
      </c>
      <c r="R3203" t="s">
        <v>40</v>
      </c>
      <c r="S3203" t="s">
        <v>40</v>
      </c>
      <c r="V3203" t="s">
        <v>41</v>
      </c>
      <c r="W3203" t="s">
        <v>42</v>
      </c>
      <c r="X3203" t="str">
        <f>"0580206"</f>
        <v>0580206</v>
      </c>
      <c r="Y3203" t="s">
        <v>237</v>
      </c>
      <c r="Z3203" t="s">
        <v>223</v>
      </c>
      <c r="AA3203" t="s">
        <v>224</v>
      </c>
      <c r="AB3203" t="s">
        <v>131</v>
      </c>
      <c r="AC3203" t="s">
        <v>51</v>
      </c>
      <c r="AD3203" t="s">
        <v>45</v>
      </c>
      <c r="AE3203" s="1">
        <v>26200</v>
      </c>
      <c r="AF3203">
        <v>2</v>
      </c>
      <c r="AG3203" t="s">
        <v>224</v>
      </c>
      <c r="AH3203" s="36">
        <f t="shared" si="50"/>
        <v>47.93611111111111</v>
      </c>
      <c r="AI3203" s="41" t="s">
        <v>1780</v>
      </c>
    </row>
    <row r="3204" spans="1:35" x14ac:dyDescent="0.25">
      <c r="A3204" s="36">
        <v>99913202</v>
      </c>
      <c r="B3204" s="17" t="s">
        <v>32</v>
      </c>
      <c r="C3204" t="s">
        <v>90</v>
      </c>
      <c r="D3204" t="s">
        <v>91</v>
      </c>
      <c r="G3204" s="17" t="s">
        <v>35</v>
      </c>
      <c r="H3204" s="17">
        <v>1</v>
      </c>
      <c r="J3204" s="1">
        <v>43344</v>
      </c>
      <c r="K3204" t="s">
        <v>1265</v>
      </c>
      <c r="L3204" t="s">
        <v>1266</v>
      </c>
      <c r="M3204" t="s">
        <v>1260</v>
      </c>
      <c r="N3204">
        <v>25</v>
      </c>
      <c r="O3204" t="s">
        <v>40</v>
      </c>
      <c r="P3204" t="s">
        <v>40</v>
      </c>
      <c r="Q3204" t="s">
        <v>40</v>
      </c>
      <c r="R3204" t="s">
        <v>40</v>
      </c>
      <c r="S3204" t="s">
        <v>40</v>
      </c>
      <c r="U3204" s="1">
        <v>43344</v>
      </c>
      <c r="V3204" t="s">
        <v>41</v>
      </c>
      <c r="W3204" t="s">
        <v>95</v>
      </c>
      <c r="X3204" t="str">
        <f>"7251001"</f>
        <v>7251001</v>
      </c>
      <c r="Y3204" t="s">
        <v>1267</v>
      </c>
      <c r="Z3204" t="s">
        <v>1265</v>
      </c>
      <c r="AA3204" t="s">
        <v>1266</v>
      </c>
      <c r="AB3204" t="s">
        <v>1260</v>
      </c>
      <c r="AC3204" t="s">
        <v>51</v>
      </c>
      <c r="AD3204" t="s">
        <v>45</v>
      </c>
      <c r="AE3204" s="1">
        <v>26200</v>
      </c>
      <c r="AF3204">
        <v>1</v>
      </c>
      <c r="AG3204" t="s">
        <v>1266</v>
      </c>
      <c r="AH3204" s="36">
        <f t="shared" si="50"/>
        <v>47.93611111111111</v>
      </c>
      <c r="AI3204" s="41" t="s">
        <v>1780</v>
      </c>
    </row>
    <row r="3205" spans="1:35" x14ac:dyDescent="0.25">
      <c r="A3205" s="36">
        <v>99913203</v>
      </c>
      <c r="B3205" s="17" t="s">
        <v>32</v>
      </c>
      <c r="C3205" t="s">
        <v>46</v>
      </c>
      <c r="D3205" t="s">
        <v>47</v>
      </c>
      <c r="G3205" s="17" t="s">
        <v>48</v>
      </c>
      <c r="H3205" s="17">
        <v>1</v>
      </c>
      <c r="K3205" t="s">
        <v>223</v>
      </c>
      <c r="L3205" t="s">
        <v>224</v>
      </c>
      <c r="M3205" t="s">
        <v>131</v>
      </c>
      <c r="N3205">
        <v>20</v>
      </c>
      <c r="O3205" t="s">
        <v>40</v>
      </c>
      <c r="P3205" t="s">
        <v>40</v>
      </c>
      <c r="Q3205" t="s">
        <v>40</v>
      </c>
      <c r="R3205" t="s">
        <v>40</v>
      </c>
      <c r="S3205" t="s">
        <v>40</v>
      </c>
      <c r="V3205" t="s">
        <v>41</v>
      </c>
      <c r="W3205" t="s">
        <v>49</v>
      </c>
      <c r="X3205" t="str">
        <f>"0581202"</f>
        <v>0581202</v>
      </c>
      <c r="Y3205" t="s">
        <v>248</v>
      </c>
      <c r="Z3205" t="s">
        <v>223</v>
      </c>
      <c r="AA3205" t="s">
        <v>224</v>
      </c>
      <c r="AB3205" t="s">
        <v>131</v>
      </c>
      <c r="AC3205" t="s">
        <v>165</v>
      </c>
      <c r="AD3205" t="s">
        <v>45</v>
      </c>
      <c r="AE3205" s="1">
        <v>26199</v>
      </c>
      <c r="AF3205">
        <v>2</v>
      </c>
      <c r="AG3205" t="s">
        <v>224</v>
      </c>
      <c r="AH3205" s="36">
        <f t="shared" si="50"/>
        <v>47.93888888888889</v>
      </c>
      <c r="AI3205" s="41" t="s">
        <v>1780</v>
      </c>
    </row>
    <row r="3206" spans="1:35" x14ac:dyDescent="0.25">
      <c r="A3206" s="36">
        <v>99913204</v>
      </c>
      <c r="B3206" s="17" t="s">
        <v>32</v>
      </c>
      <c r="C3206" t="s">
        <v>71</v>
      </c>
      <c r="D3206" t="s">
        <v>72</v>
      </c>
      <c r="G3206" s="17" t="s">
        <v>35</v>
      </c>
      <c r="H3206" s="17">
        <v>1</v>
      </c>
      <c r="K3206" t="s">
        <v>223</v>
      </c>
      <c r="L3206" t="s">
        <v>224</v>
      </c>
      <c r="M3206" t="s">
        <v>131</v>
      </c>
      <c r="N3206">
        <v>18</v>
      </c>
      <c r="O3206" t="s">
        <v>40</v>
      </c>
      <c r="P3206" t="s">
        <v>40</v>
      </c>
      <c r="Q3206" t="s">
        <v>40</v>
      </c>
      <c r="S3206" t="s">
        <v>40</v>
      </c>
      <c r="V3206" t="s">
        <v>41</v>
      </c>
      <c r="W3206" t="s">
        <v>42</v>
      </c>
      <c r="X3206" t="str">
        <f>"0590903"</f>
        <v>0590903</v>
      </c>
      <c r="Y3206" t="s">
        <v>226</v>
      </c>
      <c r="Z3206" t="s">
        <v>223</v>
      </c>
      <c r="AA3206" t="s">
        <v>224</v>
      </c>
      <c r="AB3206" t="s">
        <v>131</v>
      </c>
      <c r="AC3206" t="s">
        <v>51</v>
      </c>
      <c r="AD3206" t="s">
        <v>45</v>
      </c>
      <c r="AE3206" s="1">
        <v>26197</v>
      </c>
      <c r="AF3206">
        <v>2</v>
      </c>
      <c r="AG3206" t="s">
        <v>224</v>
      </c>
      <c r="AH3206" s="36">
        <f t="shared" si="50"/>
        <v>47.944444444444443</v>
      </c>
      <c r="AI3206" s="41" t="s">
        <v>1780</v>
      </c>
    </row>
    <row r="3207" spans="1:35" x14ac:dyDescent="0.25">
      <c r="A3207" s="36">
        <v>99913205</v>
      </c>
      <c r="B3207" s="17" t="s">
        <v>56</v>
      </c>
      <c r="C3207" t="s">
        <v>85</v>
      </c>
      <c r="D3207" t="s">
        <v>86</v>
      </c>
      <c r="G3207" s="17" t="s">
        <v>48</v>
      </c>
      <c r="H3207" s="17">
        <v>1</v>
      </c>
      <c r="K3207" t="s">
        <v>157</v>
      </c>
      <c r="L3207" t="s">
        <v>158</v>
      </c>
      <c r="M3207" t="s">
        <v>131</v>
      </c>
      <c r="N3207">
        <v>23</v>
      </c>
      <c r="O3207" t="s">
        <v>40</v>
      </c>
      <c r="P3207" t="s">
        <v>40</v>
      </c>
      <c r="Q3207" t="s">
        <v>40</v>
      </c>
      <c r="S3207" t="s">
        <v>40</v>
      </c>
      <c r="V3207" t="s">
        <v>41</v>
      </c>
      <c r="W3207" t="s">
        <v>42</v>
      </c>
      <c r="X3207" t="str">
        <f>"0580735"</f>
        <v>0580735</v>
      </c>
      <c r="Y3207" t="s">
        <v>180</v>
      </c>
      <c r="Z3207" t="s">
        <v>157</v>
      </c>
      <c r="AA3207" t="s">
        <v>158</v>
      </c>
      <c r="AB3207" t="s">
        <v>131</v>
      </c>
      <c r="AC3207" t="s">
        <v>51</v>
      </c>
      <c r="AD3207" t="s">
        <v>45</v>
      </c>
      <c r="AE3207" s="1">
        <v>26195</v>
      </c>
      <c r="AF3207">
        <v>2</v>
      </c>
      <c r="AG3207" t="s">
        <v>158</v>
      </c>
      <c r="AH3207" s="36">
        <f t="shared" si="50"/>
        <v>47.95</v>
      </c>
      <c r="AI3207" s="41" t="s">
        <v>1780</v>
      </c>
    </row>
    <row r="3208" spans="1:35" x14ac:dyDescent="0.25">
      <c r="A3208" s="36">
        <v>99913206</v>
      </c>
      <c r="B3208" s="17" t="s">
        <v>32</v>
      </c>
      <c r="C3208" t="s">
        <v>71</v>
      </c>
      <c r="D3208" t="s">
        <v>72</v>
      </c>
      <c r="G3208" s="17" t="s">
        <v>35</v>
      </c>
      <c r="H3208" s="17">
        <v>1</v>
      </c>
      <c r="I3208" t="s">
        <v>192</v>
      </c>
      <c r="J3208" s="1">
        <v>42979</v>
      </c>
      <c r="K3208" t="s">
        <v>157</v>
      </c>
      <c r="L3208" t="s">
        <v>158</v>
      </c>
      <c r="M3208" t="s">
        <v>131</v>
      </c>
      <c r="N3208">
        <v>9</v>
      </c>
      <c r="O3208" t="s">
        <v>40</v>
      </c>
      <c r="P3208" t="s">
        <v>40</v>
      </c>
      <c r="Q3208" t="s">
        <v>40</v>
      </c>
      <c r="R3208" t="s">
        <v>40</v>
      </c>
      <c r="S3208" t="s">
        <v>40</v>
      </c>
      <c r="U3208" s="1">
        <v>42979</v>
      </c>
      <c r="V3208" t="s">
        <v>41</v>
      </c>
      <c r="W3208" t="s">
        <v>49</v>
      </c>
      <c r="X3208" t="str">
        <f>"0560006"</f>
        <v>0560006</v>
      </c>
      <c r="Y3208" t="s">
        <v>191</v>
      </c>
      <c r="Z3208" t="s">
        <v>157</v>
      </c>
      <c r="AA3208" t="s">
        <v>158</v>
      </c>
      <c r="AB3208" t="s">
        <v>131</v>
      </c>
      <c r="AC3208" t="s">
        <v>44</v>
      </c>
      <c r="AD3208" t="s">
        <v>45</v>
      </c>
      <c r="AE3208" s="1">
        <v>26193</v>
      </c>
      <c r="AF3208">
        <v>2</v>
      </c>
      <c r="AG3208" t="s">
        <v>158</v>
      </c>
      <c r="AH3208" s="36">
        <f t="shared" si="50"/>
        <v>47.955555555555556</v>
      </c>
      <c r="AI3208" s="41" t="s">
        <v>1780</v>
      </c>
    </row>
    <row r="3209" spans="1:35" x14ac:dyDescent="0.25">
      <c r="A3209" s="36">
        <v>99913207</v>
      </c>
      <c r="B3209" s="17" t="s">
        <v>32</v>
      </c>
      <c r="C3209" t="s">
        <v>46</v>
      </c>
      <c r="D3209" t="s">
        <v>47</v>
      </c>
      <c r="G3209" s="17" t="s">
        <v>48</v>
      </c>
      <c r="H3209" s="17">
        <v>12</v>
      </c>
      <c r="K3209" t="s">
        <v>1268</v>
      </c>
      <c r="L3209" t="s">
        <v>1269</v>
      </c>
      <c r="M3209" t="s">
        <v>1270</v>
      </c>
      <c r="N3209">
        <v>18</v>
      </c>
      <c r="O3209" t="s">
        <v>40</v>
      </c>
      <c r="P3209" t="s">
        <v>40</v>
      </c>
      <c r="Q3209" t="s">
        <v>40</v>
      </c>
      <c r="R3209" t="s">
        <v>40</v>
      </c>
      <c r="S3209" t="s">
        <v>40</v>
      </c>
      <c r="U3209" s="1">
        <v>43344</v>
      </c>
      <c r="V3209" t="s">
        <v>41</v>
      </c>
      <c r="W3209" t="s">
        <v>49</v>
      </c>
      <c r="X3209" t="str">
        <f>"1960001"</f>
        <v>1960001</v>
      </c>
      <c r="Y3209" t="s">
        <v>1272</v>
      </c>
      <c r="Z3209" t="s">
        <v>1268</v>
      </c>
      <c r="AA3209" t="s">
        <v>1269</v>
      </c>
      <c r="AB3209" t="s">
        <v>1270</v>
      </c>
      <c r="AC3209" t="s">
        <v>51</v>
      </c>
      <c r="AD3209" t="s">
        <v>45</v>
      </c>
      <c r="AE3209" s="1">
        <v>26193</v>
      </c>
      <c r="AF3209">
        <v>2</v>
      </c>
      <c r="AG3209" t="s">
        <v>1269</v>
      </c>
      <c r="AH3209" s="36">
        <f t="shared" si="50"/>
        <v>47.955555555555556</v>
      </c>
      <c r="AI3209" s="41" t="s">
        <v>1780</v>
      </c>
    </row>
    <row r="3210" spans="1:35" x14ac:dyDescent="0.25">
      <c r="A3210" s="36">
        <v>99913208</v>
      </c>
      <c r="B3210" s="17" t="s">
        <v>32</v>
      </c>
      <c r="C3210" t="s">
        <v>46</v>
      </c>
      <c r="D3210" t="s">
        <v>47</v>
      </c>
      <c r="G3210" s="17" t="s">
        <v>48</v>
      </c>
      <c r="H3210" s="17">
        <v>1</v>
      </c>
      <c r="K3210" t="s">
        <v>1566</v>
      </c>
      <c r="L3210" t="s">
        <v>1567</v>
      </c>
      <c r="M3210" t="s">
        <v>1548</v>
      </c>
      <c r="N3210">
        <v>17</v>
      </c>
      <c r="O3210" t="s">
        <v>40</v>
      </c>
      <c r="P3210" t="s">
        <v>40</v>
      </c>
      <c r="Q3210" t="s">
        <v>40</v>
      </c>
      <c r="R3210" t="s">
        <v>40</v>
      </c>
      <c r="S3210" t="s">
        <v>40</v>
      </c>
      <c r="V3210" t="s">
        <v>41</v>
      </c>
      <c r="W3210" t="s">
        <v>49</v>
      </c>
      <c r="X3210" t="str">
        <f>"2960001"</f>
        <v>2960001</v>
      </c>
      <c r="Y3210" t="s">
        <v>1569</v>
      </c>
      <c r="Z3210" t="s">
        <v>1566</v>
      </c>
      <c r="AA3210" t="s">
        <v>1567</v>
      </c>
      <c r="AB3210" t="s">
        <v>1548</v>
      </c>
      <c r="AC3210" t="s">
        <v>51</v>
      </c>
      <c r="AD3210" t="s">
        <v>45</v>
      </c>
      <c r="AE3210" s="1">
        <v>26187</v>
      </c>
      <c r="AF3210">
        <v>2</v>
      </c>
      <c r="AG3210" t="s">
        <v>1567</v>
      </c>
      <c r="AH3210" s="36">
        <f t="shared" si="50"/>
        <v>47.972222222222221</v>
      </c>
      <c r="AI3210" s="41" t="s">
        <v>1780</v>
      </c>
    </row>
    <row r="3211" spans="1:35" x14ac:dyDescent="0.25">
      <c r="A3211" s="36">
        <v>99913209</v>
      </c>
      <c r="B3211" s="17" t="s">
        <v>32</v>
      </c>
      <c r="C3211" t="s">
        <v>111</v>
      </c>
      <c r="D3211" t="s">
        <v>112</v>
      </c>
      <c r="G3211" s="17" t="s">
        <v>48</v>
      </c>
      <c r="H3211" s="17">
        <v>10</v>
      </c>
      <c r="K3211" t="s">
        <v>195</v>
      </c>
      <c r="L3211" t="s">
        <v>196</v>
      </c>
      <c r="M3211" t="s">
        <v>131</v>
      </c>
      <c r="N3211">
        <v>21</v>
      </c>
      <c r="O3211" t="s">
        <v>40</v>
      </c>
      <c r="P3211" t="s">
        <v>40</v>
      </c>
      <c r="Q3211" t="s">
        <v>40</v>
      </c>
      <c r="R3211" t="s">
        <v>40</v>
      </c>
      <c r="S3211" t="s">
        <v>40</v>
      </c>
      <c r="U3211" s="1">
        <v>38280</v>
      </c>
      <c r="V3211" t="s">
        <v>41</v>
      </c>
      <c r="W3211" t="s">
        <v>75</v>
      </c>
      <c r="X3211" t="str">
        <f>"7521046"</f>
        <v>7521046</v>
      </c>
      <c r="Y3211" t="s">
        <v>436</v>
      </c>
      <c r="Z3211" t="s">
        <v>195</v>
      </c>
      <c r="AA3211" t="s">
        <v>196</v>
      </c>
      <c r="AB3211" t="s">
        <v>131</v>
      </c>
      <c r="AC3211" t="s">
        <v>165</v>
      </c>
      <c r="AD3211" t="s">
        <v>45</v>
      </c>
      <c r="AE3211" s="1">
        <v>26186</v>
      </c>
      <c r="AF3211">
        <v>1</v>
      </c>
      <c r="AG3211" t="s">
        <v>196</v>
      </c>
      <c r="AH3211" s="36">
        <f t="shared" si="50"/>
        <v>47.975000000000001</v>
      </c>
      <c r="AI3211" s="41" t="s">
        <v>1780</v>
      </c>
    </row>
    <row r="3212" spans="1:35" x14ac:dyDescent="0.25">
      <c r="A3212" s="36">
        <v>99913210</v>
      </c>
      <c r="B3212" s="17" t="s">
        <v>32</v>
      </c>
      <c r="C3212" t="s">
        <v>46</v>
      </c>
      <c r="D3212" t="s">
        <v>47</v>
      </c>
      <c r="G3212" s="17" t="s">
        <v>48</v>
      </c>
      <c r="H3212" s="17">
        <v>1</v>
      </c>
      <c r="K3212" t="s">
        <v>162</v>
      </c>
      <c r="L3212" t="s">
        <v>158</v>
      </c>
      <c r="M3212" t="s">
        <v>131</v>
      </c>
      <c r="N3212">
        <v>19</v>
      </c>
      <c r="O3212" t="s">
        <v>40</v>
      </c>
      <c r="P3212" t="s">
        <v>40</v>
      </c>
      <c r="Q3212" t="s">
        <v>40</v>
      </c>
      <c r="S3212" t="s">
        <v>40</v>
      </c>
      <c r="V3212" t="s">
        <v>41</v>
      </c>
      <c r="W3212" t="s">
        <v>42</v>
      </c>
      <c r="X3212" t="str">
        <f>"0580330"</f>
        <v>0580330</v>
      </c>
      <c r="Y3212" t="s">
        <v>176</v>
      </c>
      <c r="Z3212" t="s">
        <v>162</v>
      </c>
      <c r="AA3212" t="s">
        <v>158</v>
      </c>
      <c r="AB3212" t="s">
        <v>131</v>
      </c>
      <c r="AC3212" t="s">
        <v>51</v>
      </c>
      <c r="AD3212" t="s">
        <v>45</v>
      </c>
      <c r="AE3212" s="1">
        <v>26179</v>
      </c>
      <c r="AF3212">
        <v>2</v>
      </c>
      <c r="AG3212" t="s">
        <v>158</v>
      </c>
      <c r="AH3212" s="36">
        <f t="shared" si="50"/>
        <v>47.994444444444447</v>
      </c>
      <c r="AI3212" s="41" t="s">
        <v>1780</v>
      </c>
    </row>
    <row r="3213" spans="1:35" x14ac:dyDescent="0.25">
      <c r="A3213" s="36">
        <v>99913211</v>
      </c>
      <c r="B3213" s="17" t="s">
        <v>32</v>
      </c>
      <c r="C3213" t="s">
        <v>64</v>
      </c>
      <c r="D3213" t="s">
        <v>65</v>
      </c>
      <c r="G3213" s="17" t="s">
        <v>48</v>
      </c>
      <c r="H3213" s="17">
        <v>1</v>
      </c>
      <c r="K3213" t="s">
        <v>223</v>
      </c>
      <c r="L3213" t="s">
        <v>224</v>
      </c>
      <c r="M3213" t="s">
        <v>131</v>
      </c>
      <c r="N3213">
        <v>16</v>
      </c>
      <c r="O3213" t="s">
        <v>40</v>
      </c>
      <c r="P3213" t="s">
        <v>40</v>
      </c>
      <c r="Q3213" t="s">
        <v>40</v>
      </c>
      <c r="R3213" t="s">
        <v>40</v>
      </c>
      <c r="S3213" t="s">
        <v>40</v>
      </c>
      <c r="V3213" t="s">
        <v>41</v>
      </c>
      <c r="W3213" t="s">
        <v>42</v>
      </c>
      <c r="X3213" t="str">
        <f>"0580202"</f>
        <v>0580202</v>
      </c>
      <c r="Y3213" t="s">
        <v>240</v>
      </c>
      <c r="Z3213" t="s">
        <v>223</v>
      </c>
      <c r="AA3213" t="s">
        <v>224</v>
      </c>
      <c r="AB3213" t="s">
        <v>131</v>
      </c>
      <c r="AC3213" t="s">
        <v>51</v>
      </c>
      <c r="AD3213" t="s">
        <v>45</v>
      </c>
      <c r="AE3213" s="1">
        <v>26178</v>
      </c>
      <c r="AF3213">
        <v>2</v>
      </c>
      <c r="AG3213" t="s">
        <v>224</v>
      </c>
      <c r="AH3213" s="36">
        <f t="shared" si="50"/>
        <v>47.99722222222222</v>
      </c>
      <c r="AI3213" s="41" t="s">
        <v>1780</v>
      </c>
    </row>
    <row r="3214" spans="1:35" x14ac:dyDescent="0.25">
      <c r="A3214" s="36">
        <v>99913212</v>
      </c>
      <c r="B3214" s="17" t="s">
        <v>56</v>
      </c>
      <c r="C3214" t="s">
        <v>79</v>
      </c>
      <c r="D3214" t="s">
        <v>80</v>
      </c>
      <c r="G3214" s="17" t="s">
        <v>48</v>
      </c>
      <c r="H3214" s="17">
        <v>1</v>
      </c>
      <c r="K3214" t="s">
        <v>1613</v>
      </c>
      <c r="L3214" t="s">
        <v>1614</v>
      </c>
      <c r="M3214" t="s">
        <v>1592</v>
      </c>
      <c r="N3214">
        <v>17</v>
      </c>
      <c r="O3214" t="s">
        <v>40</v>
      </c>
      <c r="P3214" t="s">
        <v>40</v>
      </c>
      <c r="Q3214" t="s">
        <v>40</v>
      </c>
      <c r="R3214" t="s">
        <v>40</v>
      </c>
      <c r="S3214" t="s">
        <v>40</v>
      </c>
      <c r="V3214" t="s">
        <v>41</v>
      </c>
      <c r="W3214" t="s">
        <v>42</v>
      </c>
      <c r="X3214" t="str">
        <f>"2861001"</f>
        <v>2861001</v>
      </c>
      <c r="Y3214" t="s">
        <v>1621</v>
      </c>
      <c r="Z3214" t="s">
        <v>1613</v>
      </c>
      <c r="AA3214" t="s">
        <v>1614</v>
      </c>
      <c r="AB3214" t="s">
        <v>1592</v>
      </c>
      <c r="AC3214" t="s">
        <v>51</v>
      </c>
      <c r="AD3214" t="s">
        <v>45</v>
      </c>
      <c r="AE3214" s="1">
        <v>26178</v>
      </c>
      <c r="AF3214">
        <v>2</v>
      </c>
      <c r="AG3214" t="s">
        <v>1614</v>
      </c>
      <c r="AH3214" s="36">
        <f t="shared" si="50"/>
        <v>47.99722222222222</v>
      </c>
      <c r="AI3214" s="41" t="s">
        <v>1780</v>
      </c>
    </row>
    <row r="3215" spans="1:35" x14ac:dyDescent="0.25">
      <c r="A3215" s="36">
        <v>99913213</v>
      </c>
      <c r="B3215" s="17" t="s">
        <v>56</v>
      </c>
      <c r="C3215" t="s">
        <v>52</v>
      </c>
      <c r="D3215" t="s">
        <v>53</v>
      </c>
      <c r="G3215" s="17" t="s">
        <v>48</v>
      </c>
      <c r="H3215" s="17">
        <v>1</v>
      </c>
      <c r="K3215" t="s">
        <v>223</v>
      </c>
      <c r="L3215" t="s">
        <v>224</v>
      </c>
      <c r="M3215" t="s">
        <v>131</v>
      </c>
      <c r="N3215">
        <v>20</v>
      </c>
      <c r="O3215" t="s">
        <v>40</v>
      </c>
      <c r="P3215" t="s">
        <v>40</v>
      </c>
      <c r="Q3215" t="s">
        <v>40</v>
      </c>
      <c r="R3215" t="s">
        <v>40</v>
      </c>
      <c r="S3215" t="s">
        <v>40</v>
      </c>
      <c r="V3215" t="s">
        <v>41</v>
      </c>
      <c r="W3215" t="s">
        <v>42</v>
      </c>
      <c r="X3215" t="str">
        <f>"0580265"</f>
        <v>0580265</v>
      </c>
      <c r="Y3215" t="s">
        <v>231</v>
      </c>
      <c r="Z3215" t="s">
        <v>223</v>
      </c>
      <c r="AA3215" t="s">
        <v>224</v>
      </c>
      <c r="AB3215" t="s">
        <v>131</v>
      </c>
      <c r="AC3215" t="s">
        <v>51</v>
      </c>
      <c r="AD3215" t="s">
        <v>45</v>
      </c>
      <c r="AE3215" s="1">
        <v>26177</v>
      </c>
      <c r="AF3215">
        <v>2</v>
      </c>
      <c r="AG3215" t="s">
        <v>224</v>
      </c>
      <c r="AH3215" s="36">
        <f t="shared" si="50"/>
        <v>48</v>
      </c>
      <c r="AI3215" s="41" t="s">
        <v>1780</v>
      </c>
    </row>
    <row r="3216" spans="1:35" x14ac:dyDescent="0.25">
      <c r="A3216" s="36">
        <v>99913214</v>
      </c>
      <c r="B3216" s="17" t="s">
        <v>56</v>
      </c>
      <c r="C3216" t="s">
        <v>68</v>
      </c>
      <c r="D3216" t="s">
        <v>69</v>
      </c>
      <c r="G3216" s="17" t="s">
        <v>48</v>
      </c>
      <c r="H3216" s="17">
        <v>1</v>
      </c>
      <c r="K3216" t="s">
        <v>223</v>
      </c>
      <c r="L3216" t="s">
        <v>224</v>
      </c>
      <c r="M3216" t="s">
        <v>131</v>
      </c>
      <c r="N3216">
        <v>20</v>
      </c>
      <c r="O3216" t="s">
        <v>40</v>
      </c>
      <c r="P3216" t="s">
        <v>40</v>
      </c>
      <c r="Q3216" t="s">
        <v>40</v>
      </c>
      <c r="R3216" t="s">
        <v>40</v>
      </c>
      <c r="S3216" t="s">
        <v>40</v>
      </c>
      <c r="V3216" t="s">
        <v>41</v>
      </c>
      <c r="W3216" t="s">
        <v>42</v>
      </c>
      <c r="X3216" t="str">
        <f>"0580202"</f>
        <v>0580202</v>
      </c>
      <c r="Y3216" t="s">
        <v>240</v>
      </c>
      <c r="Z3216" t="s">
        <v>223</v>
      </c>
      <c r="AA3216" t="s">
        <v>224</v>
      </c>
      <c r="AB3216" t="s">
        <v>131</v>
      </c>
      <c r="AC3216" t="s">
        <v>51</v>
      </c>
      <c r="AD3216" t="s">
        <v>45</v>
      </c>
      <c r="AE3216" s="1">
        <v>26170</v>
      </c>
      <c r="AF3216">
        <v>2</v>
      </c>
      <c r="AG3216" t="s">
        <v>224</v>
      </c>
      <c r="AH3216" s="36">
        <f t="shared" si="50"/>
        <v>48.019444444444446</v>
      </c>
      <c r="AI3216" s="41" t="s">
        <v>1780</v>
      </c>
    </row>
    <row r="3217" spans="1:35" x14ac:dyDescent="0.25">
      <c r="A3217" s="36">
        <v>99913215</v>
      </c>
      <c r="B3217" s="17" t="s">
        <v>32</v>
      </c>
      <c r="C3217" t="s">
        <v>111</v>
      </c>
      <c r="D3217" t="s">
        <v>112</v>
      </c>
      <c r="G3217" s="17" t="s">
        <v>35</v>
      </c>
      <c r="H3217" s="17">
        <v>10</v>
      </c>
      <c r="K3217" t="s">
        <v>268</v>
      </c>
      <c r="L3217" t="s">
        <v>269</v>
      </c>
      <c r="M3217" t="s">
        <v>131</v>
      </c>
      <c r="N3217">
        <v>21</v>
      </c>
      <c r="O3217" t="s">
        <v>40</v>
      </c>
      <c r="P3217" t="s">
        <v>40</v>
      </c>
      <c r="Q3217" t="s">
        <v>40</v>
      </c>
      <c r="R3217" t="s">
        <v>40</v>
      </c>
      <c r="S3217" t="s">
        <v>40</v>
      </c>
      <c r="V3217" t="s">
        <v>41</v>
      </c>
      <c r="W3217" t="s">
        <v>75</v>
      </c>
      <c r="X3217" t="str">
        <f>"7052006"</f>
        <v>7052006</v>
      </c>
      <c r="Y3217" t="s">
        <v>575</v>
      </c>
      <c r="Z3217" t="s">
        <v>268</v>
      </c>
      <c r="AA3217" t="s">
        <v>269</v>
      </c>
      <c r="AB3217" t="s">
        <v>131</v>
      </c>
      <c r="AC3217" t="s">
        <v>165</v>
      </c>
      <c r="AD3217" t="s">
        <v>45</v>
      </c>
      <c r="AE3217" s="1">
        <v>26168</v>
      </c>
      <c r="AF3217">
        <v>1</v>
      </c>
      <c r="AG3217" t="s">
        <v>269</v>
      </c>
      <c r="AH3217" s="36">
        <f t="shared" si="50"/>
        <v>48.024999999999999</v>
      </c>
      <c r="AI3217" s="41" t="s">
        <v>1780</v>
      </c>
    </row>
    <row r="3218" spans="1:35" x14ac:dyDescent="0.25">
      <c r="A3218" s="36">
        <v>99913216</v>
      </c>
      <c r="B3218" s="17" t="s">
        <v>32</v>
      </c>
      <c r="C3218" t="s">
        <v>139</v>
      </c>
      <c r="D3218" t="s">
        <v>140</v>
      </c>
      <c r="G3218" s="17" t="s">
        <v>48</v>
      </c>
      <c r="H3218" s="17">
        <v>1</v>
      </c>
      <c r="K3218" t="s">
        <v>345</v>
      </c>
      <c r="L3218" t="s">
        <v>346</v>
      </c>
      <c r="M3218" t="s">
        <v>131</v>
      </c>
      <c r="N3218">
        <v>20</v>
      </c>
      <c r="O3218" t="s">
        <v>40</v>
      </c>
      <c r="P3218" t="s">
        <v>40</v>
      </c>
      <c r="Q3218" t="s">
        <v>40</v>
      </c>
      <c r="R3218" t="s">
        <v>40</v>
      </c>
      <c r="S3218" t="s">
        <v>40</v>
      </c>
      <c r="V3218" t="s">
        <v>41</v>
      </c>
      <c r="W3218" t="s">
        <v>42</v>
      </c>
      <c r="X3218" t="str">
        <f>"0590906"</f>
        <v>0590906</v>
      </c>
      <c r="Y3218" t="s">
        <v>361</v>
      </c>
      <c r="Z3218" t="s">
        <v>345</v>
      </c>
      <c r="AA3218" t="s">
        <v>346</v>
      </c>
      <c r="AB3218" t="s">
        <v>131</v>
      </c>
      <c r="AC3218" t="s">
        <v>51</v>
      </c>
      <c r="AD3218" t="s">
        <v>45</v>
      </c>
      <c r="AE3218" s="1">
        <v>26164</v>
      </c>
      <c r="AF3218">
        <v>2</v>
      </c>
      <c r="AG3218" t="s">
        <v>346</v>
      </c>
      <c r="AH3218" s="36">
        <f t="shared" si="50"/>
        <v>48.036111111111111</v>
      </c>
      <c r="AI3218" s="41" t="s">
        <v>1780</v>
      </c>
    </row>
    <row r="3219" spans="1:35" x14ac:dyDescent="0.25">
      <c r="A3219" s="36">
        <v>99913217</v>
      </c>
      <c r="B3219" s="17" t="s">
        <v>56</v>
      </c>
      <c r="C3219" t="s">
        <v>111</v>
      </c>
      <c r="D3219" t="s">
        <v>112</v>
      </c>
      <c r="G3219" s="17" t="s">
        <v>35</v>
      </c>
      <c r="H3219" s="17">
        <v>1</v>
      </c>
      <c r="I3219" s="1">
        <v>40057</v>
      </c>
      <c r="J3219" s="1">
        <v>43344</v>
      </c>
      <c r="K3219" t="s">
        <v>1341</v>
      </c>
      <c r="L3219" t="s">
        <v>1342</v>
      </c>
      <c r="M3219" t="s">
        <v>1270</v>
      </c>
      <c r="N3219">
        <v>24</v>
      </c>
      <c r="O3219" t="s">
        <v>40</v>
      </c>
      <c r="S3219" t="s">
        <v>40</v>
      </c>
      <c r="U3219" s="1">
        <v>43344</v>
      </c>
      <c r="V3219" t="s">
        <v>41</v>
      </c>
      <c r="W3219" t="s">
        <v>75</v>
      </c>
      <c r="X3219" t="str">
        <f>"7191004"</f>
        <v>7191004</v>
      </c>
      <c r="Y3219" t="s">
        <v>1344</v>
      </c>
      <c r="Z3219" t="s">
        <v>1341</v>
      </c>
      <c r="AA3219" t="s">
        <v>1342</v>
      </c>
      <c r="AB3219" t="s">
        <v>1270</v>
      </c>
      <c r="AC3219" t="s">
        <v>51</v>
      </c>
      <c r="AD3219" t="s">
        <v>45</v>
      </c>
      <c r="AE3219" s="1">
        <v>26164</v>
      </c>
      <c r="AF3219">
        <v>1</v>
      </c>
      <c r="AG3219" t="s">
        <v>1342</v>
      </c>
      <c r="AH3219" s="36">
        <f t="shared" si="50"/>
        <v>48.036111111111111</v>
      </c>
      <c r="AI3219" s="41" t="s">
        <v>1780</v>
      </c>
    </row>
    <row r="3220" spans="1:35" x14ac:dyDescent="0.25">
      <c r="A3220" s="36">
        <v>99913218</v>
      </c>
      <c r="B3220" s="17" t="s">
        <v>32</v>
      </c>
      <c r="C3220" t="s">
        <v>46</v>
      </c>
      <c r="D3220" t="s">
        <v>47</v>
      </c>
      <c r="G3220" s="17" t="s">
        <v>35</v>
      </c>
      <c r="H3220" s="17">
        <v>1</v>
      </c>
      <c r="J3220" s="1">
        <v>38230</v>
      </c>
      <c r="K3220" t="s">
        <v>1336</v>
      </c>
      <c r="L3220" t="s">
        <v>1337</v>
      </c>
      <c r="M3220" t="s">
        <v>1270</v>
      </c>
      <c r="N3220">
        <v>14</v>
      </c>
      <c r="O3220" t="s">
        <v>40</v>
      </c>
      <c r="P3220" t="s">
        <v>40</v>
      </c>
      <c r="Q3220" t="s">
        <v>40</v>
      </c>
      <c r="R3220" t="s">
        <v>40</v>
      </c>
      <c r="S3220" t="s">
        <v>40</v>
      </c>
      <c r="U3220" s="1">
        <v>38230</v>
      </c>
      <c r="V3220" t="s">
        <v>41</v>
      </c>
      <c r="W3220" t="s">
        <v>49</v>
      </c>
      <c r="X3220" t="str">
        <f>"4475075"</f>
        <v>4475075</v>
      </c>
      <c r="Y3220" t="s">
        <v>1339</v>
      </c>
      <c r="Z3220" t="s">
        <v>1336</v>
      </c>
      <c r="AA3220" t="s">
        <v>1337</v>
      </c>
      <c r="AB3220" t="s">
        <v>1270</v>
      </c>
      <c r="AC3220" t="s">
        <v>51</v>
      </c>
      <c r="AD3220" t="s">
        <v>45</v>
      </c>
      <c r="AE3220" s="1">
        <v>26163</v>
      </c>
      <c r="AF3220">
        <v>2</v>
      </c>
      <c r="AG3220" t="s">
        <v>1337</v>
      </c>
      <c r="AH3220" s="36">
        <f t="shared" si="50"/>
        <v>48.038888888888891</v>
      </c>
      <c r="AI3220" s="41" t="s">
        <v>1780</v>
      </c>
    </row>
    <row r="3221" spans="1:35" x14ac:dyDescent="0.25">
      <c r="A3221" s="36">
        <v>99913219</v>
      </c>
      <c r="B3221" s="17" t="s">
        <v>56</v>
      </c>
      <c r="C3221" t="s">
        <v>79</v>
      </c>
      <c r="D3221" t="s">
        <v>80</v>
      </c>
      <c r="G3221" s="17" t="s">
        <v>35</v>
      </c>
      <c r="H3221" s="17">
        <v>1</v>
      </c>
      <c r="K3221" t="s">
        <v>1341</v>
      </c>
      <c r="L3221" t="s">
        <v>1342</v>
      </c>
      <c r="M3221" t="s">
        <v>1270</v>
      </c>
      <c r="N3221">
        <v>21</v>
      </c>
      <c r="O3221" t="s">
        <v>40</v>
      </c>
      <c r="P3221" t="s">
        <v>40</v>
      </c>
      <c r="Q3221" t="s">
        <v>40</v>
      </c>
      <c r="S3221" t="s">
        <v>40</v>
      </c>
      <c r="V3221" t="s">
        <v>41</v>
      </c>
      <c r="W3221" t="s">
        <v>75</v>
      </c>
      <c r="X3221" t="str">
        <f>"7191006"</f>
        <v>7191006</v>
      </c>
      <c r="Y3221" t="s">
        <v>1351</v>
      </c>
      <c r="Z3221" t="s">
        <v>1341</v>
      </c>
      <c r="AA3221" t="s">
        <v>1342</v>
      </c>
      <c r="AB3221" t="s">
        <v>1270</v>
      </c>
      <c r="AC3221" t="s">
        <v>51</v>
      </c>
      <c r="AD3221" t="s">
        <v>45</v>
      </c>
      <c r="AE3221" s="1">
        <v>26151</v>
      </c>
      <c r="AF3221">
        <v>1</v>
      </c>
      <c r="AG3221" t="s">
        <v>1342</v>
      </c>
      <c r="AH3221" s="36">
        <f t="shared" si="50"/>
        <v>48.072222222222223</v>
      </c>
      <c r="AI3221" s="41" t="s">
        <v>1780</v>
      </c>
    </row>
    <row r="3222" spans="1:35" x14ac:dyDescent="0.25">
      <c r="A3222" s="36">
        <v>99913220</v>
      </c>
      <c r="B3222" s="17" t="s">
        <v>56</v>
      </c>
      <c r="C3222" t="s">
        <v>64</v>
      </c>
      <c r="D3222" t="s">
        <v>65</v>
      </c>
      <c r="G3222" s="17" t="s">
        <v>48</v>
      </c>
      <c r="H3222" s="17">
        <v>1</v>
      </c>
      <c r="K3222" t="s">
        <v>223</v>
      </c>
      <c r="L3222" t="s">
        <v>224</v>
      </c>
      <c r="M3222" t="s">
        <v>131</v>
      </c>
      <c r="N3222">
        <v>16</v>
      </c>
      <c r="O3222" t="s">
        <v>40</v>
      </c>
      <c r="P3222" t="s">
        <v>40</v>
      </c>
      <c r="Q3222" t="s">
        <v>40</v>
      </c>
      <c r="R3222" t="s">
        <v>40</v>
      </c>
      <c r="S3222" t="s">
        <v>40</v>
      </c>
      <c r="V3222" t="s">
        <v>41</v>
      </c>
      <c r="W3222" t="s">
        <v>42</v>
      </c>
      <c r="X3222" t="str">
        <f>"0580200"</f>
        <v>0580200</v>
      </c>
      <c r="Y3222" t="s">
        <v>245</v>
      </c>
      <c r="Z3222" t="s">
        <v>223</v>
      </c>
      <c r="AA3222" t="s">
        <v>224</v>
      </c>
      <c r="AB3222" t="s">
        <v>131</v>
      </c>
      <c r="AC3222" t="s">
        <v>51</v>
      </c>
      <c r="AD3222" t="s">
        <v>45</v>
      </c>
      <c r="AE3222" s="1">
        <v>26147</v>
      </c>
      <c r="AF3222">
        <v>2</v>
      </c>
      <c r="AG3222" t="s">
        <v>224</v>
      </c>
      <c r="AH3222" s="36">
        <f t="shared" si="50"/>
        <v>48.083333333333336</v>
      </c>
      <c r="AI3222" s="41" t="s">
        <v>1780</v>
      </c>
    </row>
    <row r="3223" spans="1:35" x14ac:dyDescent="0.25">
      <c r="A3223" s="36">
        <v>99913221</v>
      </c>
      <c r="B3223" s="17" t="s">
        <v>32</v>
      </c>
      <c r="C3223" t="s">
        <v>33</v>
      </c>
      <c r="D3223" t="s">
        <v>34</v>
      </c>
      <c r="G3223" s="17" t="s">
        <v>35</v>
      </c>
      <c r="H3223" s="17">
        <v>1</v>
      </c>
      <c r="I3223">
        <v>6726</v>
      </c>
      <c r="J3223" s="1">
        <v>43344</v>
      </c>
      <c r="K3223" t="s">
        <v>1306</v>
      </c>
      <c r="L3223" t="s">
        <v>1307</v>
      </c>
      <c r="M3223" t="s">
        <v>1270</v>
      </c>
      <c r="N3223">
        <v>20</v>
      </c>
      <c r="O3223" t="s">
        <v>40</v>
      </c>
      <c r="S3223" t="s">
        <v>40</v>
      </c>
      <c r="U3223" s="1">
        <v>43344</v>
      </c>
      <c r="V3223" t="s">
        <v>41</v>
      </c>
      <c r="W3223" t="s">
        <v>42</v>
      </c>
      <c r="X3223" t="str">
        <f>"1990915"</f>
        <v>1990915</v>
      </c>
      <c r="Y3223" t="s">
        <v>1308</v>
      </c>
      <c r="Z3223" t="s">
        <v>1306</v>
      </c>
      <c r="AA3223" t="s">
        <v>1307</v>
      </c>
      <c r="AB3223" t="s">
        <v>1270</v>
      </c>
      <c r="AC3223" t="s">
        <v>51</v>
      </c>
      <c r="AD3223" t="s">
        <v>45</v>
      </c>
      <c r="AE3223" s="1">
        <v>26145</v>
      </c>
      <c r="AF3223">
        <v>2</v>
      </c>
      <c r="AG3223" t="s">
        <v>1307</v>
      </c>
      <c r="AH3223" s="36">
        <f t="shared" si="50"/>
        <v>48.088888888888889</v>
      </c>
      <c r="AI3223" s="41" t="s">
        <v>1780</v>
      </c>
    </row>
    <row r="3224" spans="1:35" x14ac:dyDescent="0.25">
      <c r="A3224" s="36">
        <v>99913222</v>
      </c>
      <c r="B3224" s="17" t="s">
        <v>32</v>
      </c>
      <c r="C3224" t="s">
        <v>68</v>
      </c>
      <c r="D3224" t="s">
        <v>69</v>
      </c>
      <c r="G3224" s="17" t="s">
        <v>35</v>
      </c>
      <c r="H3224" s="17">
        <v>1</v>
      </c>
      <c r="K3224" t="s">
        <v>223</v>
      </c>
      <c r="L3224" t="s">
        <v>224</v>
      </c>
      <c r="M3224" t="s">
        <v>131</v>
      </c>
      <c r="N3224">
        <v>16</v>
      </c>
      <c r="O3224" t="s">
        <v>40</v>
      </c>
      <c r="P3224" t="s">
        <v>40</v>
      </c>
      <c r="Q3224" t="s">
        <v>40</v>
      </c>
      <c r="R3224" t="s">
        <v>40</v>
      </c>
      <c r="S3224" t="s">
        <v>40</v>
      </c>
      <c r="V3224" t="s">
        <v>41</v>
      </c>
      <c r="W3224" t="s">
        <v>42</v>
      </c>
      <c r="X3224" t="str">
        <f>"0590901"</f>
        <v>0590901</v>
      </c>
      <c r="Y3224" t="s">
        <v>242</v>
      </c>
      <c r="Z3224" t="s">
        <v>223</v>
      </c>
      <c r="AA3224" t="s">
        <v>224</v>
      </c>
      <c r="AB3224" t="s">
        <v>131</v>
      </c>
      <c r="AC3224" t="s">
        <v>51</v>
      </c>
      <c r="AD3224" t="s">
        <v>45</v>
      </c>
      <c r="AE3224" s="1">
        <v>26143</v>
      </c>
      <c r="AF3224">
        <v>2</v>
      </c>
      <c r="AG3224" t="s">
        <v>224</v>
      </c>
      <c r="AH3224" s="36">
        <f t="shared" si="50"/>
        <v>48.094444444444441</v>
      </c>
      <c r="AI3224" s="41" t="s">
        <v>1780</v>
      </c>
    </row>
    <row r="3225" spans="1:35" x14ac:dyDescent="0.25">
      <c r="A3225" s="36">
        <v>99913223</v>
      </c>
      <c r="B3225" s="17" t="s">
        <v>56</v>
      </c>
      <c r="C3225" t="s">
        <v>111</v>
      </c>
      <c r="D3225" t="s">
        <v>112</v>
      </c>
      <c r="G3225" s="17" t="s">
        <v>35</v>
      </c>
      <c r="H3225" s="17">
        <v>1</v>
      </c>
      <c r="K3225" t="s">
        <v>1341</v>
      </c>
      <c r="L3225" t="s">
        <v>1342</v>
      </c>
      <c r="M3225" t="s">
        <v>1270</v>
      </c>
      <c r="N3225">
        <v>8</v>
      </c>
      <c r="O3225" t="s">
        <v>40</v>
      </c>
      <c r="P3225" t="s">
        <v>40</v>
      </c>
      <c r="Q3225" t="s">
        <v>40</v>
      </c>
      <c r="S3225" t="s">
        <v>40</v>
      </c>
      <c r="V3225" t="s">
        <v>41</v>
      </c>
      <c r="W3225" t="s">
        <v>75</v>
      </c>
      <c r="X3225" t="str">
        <f>"7191006"</f>
        <v>7191006</v>
      </c>
      <c r="Y3225" t="s">
        <v>1351</v>
      </c>
      <c r="Z3225" t="s">
        <v>1341</v>
      </c>
      <c r="AA3225" t="s">
        <v>1342</v>
      </c>
      <c r="AB3225" t="s">
        <v>1270</v>
      </c>
      <c r="AC3225" t="s">
        <v>51</v>
      </c>
      <c r="AD3225" t="s">
        <v>45</v>
      </c>
      <c r="AE3225" s="1">
        <v>26141</v>
      </c>
      <c r="AF3225">
        <v>1</v>
      </c>
      <c r="AG3225" t="s">
        <v>1342</v>
      </c>
      <c r="AH3225" s="36">
        <f t="shared" si="50"/>
        <v>48.1</v>
      </c>
      <c r="AI3225" s="41" t="s">
        <v>1780</v>
      </c>
    </row>
    <row r="3226" spans="1:35" x14ac:dyDescent="0.25">
      <c r="A3226" s="36">
        <v>99913224</v>
      </c>
      <c r="B3226" s="17" t="s">
        <v>56</v>
      </c>
      <c r="C3226" t="s">
        <v>79</v>
      </c>
      <c r="D3226" t="s">
        <v>80</v>
      </c>
      <c r="G3226" s="17" t="s">
        <v>48</v>
      </c>
      <c r="H3226" s="17">
        <v>1</v>
      </c>
      <c r="K3226" t="s">
        <v>162</v>
      </c>
      <c r="L3226" t="s">
        <v>158</v>
      </c>
      <c r="M3226" t="s">
        <v>131</v>
      </c>
      <c r="N3226">
        <v>16</v>
      </c>
      <c r="O3226" t="s">
        <v>40</v>
      </c>
      <c r="P3226" t="s">
        <v>40</v>
      </c>
      <c r="Q3226" t="s">
        <v>40</v>
      </c>
      <c r="R3226" t="s">
        <v>40</v>
      </c>
      <c r="S3226" t="s">
        <v>40</v>
      </c>
      <c r="V3226" t="s">
        <v>41</v>
      </c>
      <c r="W3226" t="s">
        <v>42</v>
      </c>
      <c r="X3226" t="str">
        <f>"0580320"</f>
        <v>0580320</v>
      </c>
      <c r="Y3226" t="s">
        <v>164</v>
      </c>
      <c r="Z3226" t="s">
        <v>162</v>
      </c>
      <c r="AA3226" t="s">
        <v>158</v>
      </c>
      <c r="AB3226" t="s">
        <v>131</v>
      </c>
      <c r="AC3226" t="s">
        <v>51</v>
      </c>
      <c r="AD3226" t="s">
        <v>45</v>
      </c>
      <c r="AE3226" s="1">
        <v>26139</v>
      </c>
      <c r="AF3226">
        <v>2</v>
      </c>
      <c r="AG3226" t="s">
        <v>158</v>
      </c>
      <c r="AH3226" s="36">
        <f t="shared" si="50"/>
        <v>48.105555555555554</v>
      </c>
      <c r="AI3226" s="41" t="s">
        <v>1780</v>
      </c>
    </row>
    <row r="3227" spans="1:35" x14ac:dyDescent="0.25">
      <c r="A3227" s="36">
        <v>99913225</v>
      </c>
      <c r="B3227" s="17" t="s">
        <v>56</v>
      </c>
      <c r="C3227" t="s">
        <v>111</v>
      </c>
      <c r="D3227" t="s">
        <v>112</v>
      </c>
      <c r="G3227" s="17" t="s">
        <v>48</v>
      </c>
      <c r="H3227" s="17">
        <v>7</v>
      </c>
      <c r="I3227">
        <v>1166</v>
      </c>
      <c r="J3227" s="1">
        <v>43344</v>
      </c>
      <c r="K3227" t="s">
        <v>1426</v>
      </c>
      <c r="L3227" t="s">
        <v>1427</v>
      </c>
      <c r="M3227" t="s">
        <v>1270</v>
      </c>
      <c r="N3227">
        <v>22</v>
      </c>
      <c r="O3227" t="s">
        <v>40</v>
      </c>
      <c r="P3227" t="s">
        <v>40</v>
      </c>
      <c r="Q3227" t="s">
        <v>40</v>
      </c>
      <c r="R3227" t="s">
        <v>40</v>
      </c>
      <c r="S3227" t="s">
        <v>40</v>
      </c>
      <c r="U3227" s="1">
        <v>43344</v>
      </c>
      <c r="V3227" t="s">
        <v>41</v>
      </c>
      <c r="W3227" t="s">
        <v>75</v>
      </c>
      <c r="X3227" t="str">
        <f>"7192002"</f>
        <v>7192002</v>
      </c>
      <c r="Y3227" t="s">
        <v>1438</v>
      </c>
      <c r="Z3227" t="s">
        <v>1426</v>
      </c>
      <c r="AA3227" t="s">
        <v>1427</v>
      </c>
      <c r="AB3227" t="s">
        <v>1270</v>
      </c>
      <c r="AC3227" t="s">
        <v>51</v>
      </c>
      <c r="AD3227" t="s">
        <v>45</v>
      </c>
      <c r="AE3227" s="1">
        <v>26139</v>
      </c>
      <c r="AF3227">
        <v>1</v>
      </c>
      <c r="AG3227" t="s">
        <v>1427</v>
      </c>
      <c r="AH3227" s="36">
        <f t="shared" si="50"/>
        <v>48.105555555555554</v>
      </c>
      <c r="AI3227" s="41" t="s">
        <v>1780</v>
      </c>
    </row>
    <row r="3228" spans="1:35" x14ac:dyDescent="0.25">
      <c r="A3228" s="36">
        <v>99913226</v>
      </c>
      <c r="B3228" s="17" t="s">
        <v>32</v>
      </c>
      <c r="C3228" t="s">
        <v>111</v>
      </c>
      <c r="D3228" t="s">
        <v>112</v>
      </c>
      <c r="G3228" s="17" t="s">
        <v>48</v>
      </c>
      <c r="H3228" s="17">
        <v>7</v>
      </c>
      <c r="K3228" t="s">
        <v>1426</v>
      </c>
      <c r="L3228" t="s">
        <v>1427</v>
      </c>
      <c r="M3228" t="s">
        <v>1270</v>
      </c>
      <c r="N3228">
        <v>22</v>
      </c>
      <c r="O3228" t="s">
        <v>40</v>
      </c>
      <c r="P3228" t="s">
        <v>40</v>
      </c>
      <c r="Q3228" t="s">
        <v>40</v>
      </c>
      <c r="R3228" t="s">
        <v>40</v>
      </c>
      <c r="S3228" t="s">
        <v>40</v>
      </c>
      <c r="V3228" t="s">
        <v>41</v>
      </c>
      <c r="W3228" t="s">
        <v>75</v>
      </c>
      <c r="X3228" t="str">
        <f>"7192000"</f>
        <v>7192000</v>
      </c>
      <c r="Y3228" t="s">
        <v>1429</v>
      </c>
      <c r="Z3228" t="s">
        <v>1426</v>
      </c>
      <c r="AA3228" t="s">
        <v>1427</v>
      </c>
      <c r="AB3228" t="s">
        <v>1270</v>
      </c>
      <c r="AC3228" t="s">
        <v>51</v>
      </c>
      <c r="AD3228" t="s">
        <v>45</v>
      </c>
      <c r="AE3228" s="1">
        <v>26137</v>
      </c>
      <c r="AF3228">
        <v>1</v>
      </c>
      <c r="AG3228" t="s">
        <v>1427</v>
      </c>
      <c r="AH3228" s="36">
        <f t="shared" si="50"/>
        <v>48.111111111111114</v>
      </c>
      <c r="AI3228" s="41" t="s">
        <v>1780</v>
      </c>
    </row>
    <row r="3229" spans="1:35" x14ac:dyDescent="0.25">
      <c r="A3229" s="36">
        <v>99913227</v>
      </c>
      <c r="B3229" s="17" t="s">
        <v>32</v>
      </c>
      <c r="C3229" t="s">
        <v>90</v>
      </c>
      <c r="D3229" t="s">
        <v>91</v>
      </c>
      <c r="G3229" s="17" t="s">
        <v>35</v>
      </c>
      <c r="H3229" s="17">
        <v>1</v>
      </c>
      <c r="K3229" t="s">
        <v>195</v>
      </c>
      <c r="L3229" t="s">
        <v>196</v>
      </c>
      <c r="M3229" t="s">
        <v>131</v>
      </c>
      <c r="N3229">
        <v>23</v>
      </c>
      <c r="O3229" t="s">
        <v>40</v>
      </c>
      <c r="P3229" t="s">
        <v>40</v>
      </c>
      <c r="Q3229" t="s">
        <v>40</v>
      </c>
      <c r="S3229" t="s">
        <v>40</v>
      </c>
      <c r="V3229" t="s">
        <v>41</v>
      </c>
      <c r="W3229" t="s">
        <v>95</v>
      </c>
      <c r="X3229" t="str">
        <f>"7521109"</f>
        <v>7521109</v>
      </c>
      <c r="Y3229" t="s">
        <v>569</v>
      </c>
      <c r="Z3229" t="s">
        <v>195</v>
      </c>
      <c r="AA3229" t="s">
        <v>196</v>
      </c>
      <c r="AB3229" t="s">
        <v>131</v>
      </c>
      <c r="AC3229" t="s">
        <v>165</v>
      </c>
      <c r="AD3229" t="s">
        <v>45</v>
      </c>
      <c r="AE3229" s="1">
        <v>26134</v>
      </c>
      <c r="AF3229">
        <v>1</v>
      </c>
      <c r="AG3229" t="s">
        <v>196</v>
      </c>
      <c r="AH3229" s="36">
        <f t="shared" si="50"/>
        <v>48.119444444444447</v>
      </c>
      <c r="AI3229" s="41" t="s">
        <v>1780</v>
      </c>
    </row>
    <row r="3230" spans="1:35" x14ac:dyDescent="0.25">
      <c r="A3230" s="36">
        <v>99913228</v>
      </c>
      <c r="B3230" s="17" t="s">
        <v>32</v>
      </c>
      <c r="C3230" t="s">
        <v>111</v>
      </c>
      <c r="D3230" t="s">
        <v>112</v>
      </c>
      <c r="G3230" s="17" t="s">
        <v>48</v>
      </c>
      <c r="H3230" s="17">
        <v>1</v>
      </c>
      <c r="K3230" t="s">
        <v>268</v>
      </c>
      <c r="L3230" t="s">
        <v>269</v>
      </c>
      <c r="M3230" t="s">
        <v>131</v>
      </c>
      <c r="N3230">
        <v>22</v>
      </c>
      <c r="O3230" t="s">
        <v>40</v>
      </c>
      <c r="P3230" t="s">
        <v>40</v>
      </c>
      <c r="Q3230" t="s">
        <v>40</v>
      </c>
      <c r="S3230" t="s">
        <v>40</v>
      </c>
      <c r="V3230" t="s">
        <v>41</v>
      </c>
      <c r="W3230" t="s">
        <v>75</v>
      </c>
      <c r="X3230" t="str">
        <f>"7052008"</f>
        <v>7052008</v>
      </c>
      <c r="Y3230" t="s">
        <v>274</v>
      </c>
      <c r="Z3230" t="s">
        <v>268</v>
      </c>
      <c r="AA3230" t="s">
        <v>269</v>
      </c>
      <c r="AB3230" t="s">
        <v>131</v>
      </c>
      <c r="AC3230" t="s">
        <v>51</v>
      </c>
      <c r="AD3230" t="s">
        <v>45</v>
      </c>
      <c r="AE3230" s="1">
        <v>26134</v>
      </c>
      <c r="AF3230">
        <v>1</v>
      </c>
      <c r="AG3230" t="s">
        <v>269</v>
      </c>
      <c r="AH3230" s="36">
        <f t="shared" si="50"/>
        <v>48.119444444444447</v>
      </c>
      <c r="AI3230" s="41" t="s">
        <v>1780</v>
      </c>
    </row>
    <row r="3231" spans="1:35" x14ac:dyDescent="0.25">
      <c r="A3231" s="36">
        <v>99913229</v>
      </c>
      <c r="B3231" s="17" t="s">
        <v>32</v>
      </c>
      <c r="C3231" t="s">
        <v>90</v>
      </c>
      <c r="D3231" t="s">
        <v>91</v>
      </c>
      <c r="G3231" s="17" t="s">
        <v>48</v>
      </c>
      <c r="H3231" s="17">
        <v>1</v>
      </c>
      <c r="K3231" t="s">
        <v>101</v>
      </c>
      <c r="L3231" t="s">
        <v>102</v>
      </c>
      <c r="M3231" t="s">
        <v>39</v>
      </c>
      <c r="N3231">
        <v>25</v>
      </c>
      <c r="O3231" t="s">
        <v>40</v>
      </c>
      <c r="P3231" t="s">
        <v>40</v>
      </c>
      <c r="Q3231" t="s">
        <v>40</v>
      </c>
      <c r="R3231" t="s">
        <v>40</v>
      </c>
      <c r="S3231" t="s">
        <v>40</v>
      </c>
      <c r="V3231" t="s">
        <v>41</v>
      </c>
      <c r="W3231" t="s">
        <v>95</v>
      </c>
      <c r="X3231" t="str">
        <f>"7111001"</f>
        <v>7111001</v>
      </c>
      <c r="Y3231" t="s">
        <v>105</v>
      </c>
      <c r="Z3231" t="s">
        <v>101</v>
      </c>
      <c r="AA3231" t="s">
        <v>102</v>
      </c>
      <c r="AB3231" t="s">
        <v>39</v>
      </c>
      <c r="AC3231" t="s">
        <v>51</v>
      </c>
      <c r="AD3231" t="s">
        <v>45</v>
      </c>
      <c r="AE3231" s="1">
        <v>26133</v>
      </c>
      <c r="AF3231">
        <v>1</v>
      </c>
      <c r="AG3231" t="s">
        <v>102</v>
      </c>
      <c r="AH3231" s="36">
        <f t="shared" si="50"/>
        <v>48.12222222222222</v>
      </c>
      <c r="AI3231" s="41" t="s">
        <v>1780</v>
      </c>
    </row>
    <row r="3232" spans="1:35" x14ac:dyDescent="0.25">
      <c r="A3232" s="36">
        <v>99913230</v>
      </c>
      <c r="B3232" s="17" t="s">
        <v>32</v>
      </c>
      <c r="C3232" t="s">
        <v>46</v>
      </c>
      <c r="D3232" t="s">
        <v>47</v>
      </c>
      <c r="G3232" s="17" t="s">
        <v>48</v>
      </c>
      <c r="H3232" s="17">
        <v>1</v>
      </c>
      <c r="K3232" t="s">
        <v>300</v>
      </c>
      <c r="L3232" t="s">
        <v>301</v>
      </c>
      <c r="M3232" t="s">
        <v>131</v>
      </c>
      <c r="N3232">
        <v>22</v>
      </c>
      <c r="O3232" t="s">
        <v>40</v>
      </c>
      <c r="P3232" t="s">
        <v>40</v>
      </c>
      <c r="Q3232" t="s">
        <v>40</v>
      </c>
      <c r="R3232" t="s">
        <v>40</v>
      </c>
      <c r="S3232" t="s">
        <v>40</v>
      </c>
      <c r="V3232" t="s">
        <v>41</v>
      </c>
      <c r="W3232" t="s">
        <v>49</v>
      </c>
      <c r="X3232" t="str">
        <f>"0560020"</f>
        <v>0560020</v>
      </c>
      <c r="Y3232" t="s">
        <v>302</v>
      </c>
      <c r="Z3232" t="s">
        <v>300</v>
      </c>
      <c r="AA3232" t="s">
        <v>301</v>
      </c>
      <c r="AB3232" t="s">
        <v>131</v>
      </c>
      <c r="AC3232" t="s">
        <v>51</v>
      </c>
      <c r="AD3232" t="s">
        <v>45</v>
      </c>
      <c r="AE3232" s="1">
        <v>26133</v>
      </c>
      <c r="AF3232">
        <v>2</v>
      </c>
      <c r="AG3232" t="s">
        <v>301</v>
      </c>
      <c r="AH3232" s="36">
        <f t="shared" si="50"/>
        <v>48.12222222222222</v>
      </c>
      <c r="AI3232" s="41" t="s">
        <v>1780</v>
      </c>
    </row>
    <row r="3233" spans="1:35" x14ac:dyDescent="0.25">
      <c r="A3233" s="36">
        <v>99913231</v>
      </c>
      <c r="B3233" s="17" t="s">
        <v>56</v>
      </c>
      <c r="C3233" t="s">
        <v>141</v>
      </c>
      <c r="D3233" t="s">
        <v>142</v>
      </c>
      <c r="G3233" s="17" t="s">
        <v>48</v>
      </c>
      <c r="H3233" s="17">
        <v>1</v>
      </c>
      <c r="K3233" t="s">
        <v>380</v>
      </c>
      <c r="L3233" t="s">
        <v>381</v>
      </c>
      <c r="M3233" t="s">
        <v>131</v>
      </c>
      <c r="N3233">
        <v>3</v>
      </c>
      <c r="O3233" t="s">
        <v>40</v>
      </c>
      <c r="P3233" t="s">
        <v>40</v>
      </c>
      <c r="Q3233" t="s">
        <v>40</v>
      </c>
      <c r="S3233" t="s">
        <v>40</v>
      </c>
      <c r="V3233" t="s">
        <v>41</v>
      </c>
      <c r="W3233" t="s">
        <v>49</v>
      </c>
      <c r="X3233" t="str">
        <f>"0581575"</f>
        <v>0581575</v>
      </c>
      <c r="Y3233" t="s">
        <v>392</v>
      </c>
      <c r="Z3233" t="s">
        <v>380</v>
      </c>
      <c r="AA3233" t="s">
        <v>381</v>
      </c>
      <c r="AB3233" t="s">
        <v>131</v>
      </c>
      <c r="AC3233" t="s">
        <v>51</v>
      </c>
      <c r="AD3233" t="s">
        <v>45</v>
      </c>
      <c r="AE3233" s="1">
        <v>26133</v>
      </c>
      <c r="AF3233">
        <v>2</v>
      </c>
      <c r="AG3233" t="s">
        <v>381</v>
      </c>
      <c r="AH3233" s="36">
        <f t="shared" si="50"/>
        <v>48.12222222222222</v>
      </c>
      <c r="AI3233" s="41" t="s">
        <v>1780</v>
      </c>
    </row>
    <row r="3234" spans="1:35" x14ac:dyDescent="0.25">
      <c r="A3234" s="36">
        <v>99913232</v>
      </c>
      <c r="B3234" s="17" t="s">
        <v>32</v>
      </c>
      <c r="C3234" t="s">
        <v>111</v>
      </c>
      <c r="D3234" t="s">
        <v>112</v>
      </c>
      <c r="G3234" s="17" t="s">
        <v>35</v>
      </c>
      <c r="H3234" s="17">
        <v>1</v>
      </c>
      <c r="I3234" t="s">
        <v>399</v>
      </c>
      <c r="J3234" s="1">
        <v>41967</v>
      </c>
      <c r="K3234" t="s">
        <v>154</v>
      </c>
      <c r="L3234" t="s">
        <v>155</v>
      </c>
      <c r="M3234" t="s">
        <v>131</v>
      </c>
      <c r="N3234">
        <v>24</v>
      </c>
      <c r="O3234" t="s">
        <v>40</v>
      </c>
      <c r="P3234" t="s">
        <v>40</v>
      </c>
      <c r="Q3234" t="s">
        <v>40</v>
      </c>
      <c r="R3234" t="s">
        <v>40</v>
      </c>
      <c r="S3234" t="s">
        <v>40</v>
      </c>
      <c r="U3234" s="1">
        <v>41967</v>
      </c>
      <c r="V3234" t="s">
        <v>41</v>
      </c>
      <c r="W3234" t="s">
        <v>75</v>
      </c>
      <c r="X3234" t="str">
        <f>"7051032"</f>
        <v>7051032</v>
      </c>
      <c r="Y3234" t="s">
        <v>400</v>
      </c>
      <c r="Z3234" t="s">
        <v>154</v>
      </c>
      <c r="AA3234" t="s">
        <v>155</v>
      </c>
      <c r="AB3234" t="s">
        <v>131</v>
      </c>
      <c r="AC3234" t="s">
        <v>51</v>
      </c>
      <c r="AD3234" t="s">
        <v>45</v>
      </c>
      <c r="AE3234" s="1">
        <v>26131</v>
      </c>
      <c r="AF3234">
        <v>1</v>
      </c>
      <c r="AG3234" t="s">
        <v>155</v>
      </c>
      <c r="AH3234" s="36">
        <f t="shared" si="50"/>
        <v>48.12777777777778</v>
      </c>
      <c r="AI3234" s="41" t="s">
        <v>1780</v>
      </c>
    </row>
    <row r="3235" spans="1:35" x14ac:dyDescent="0.25">
      <c r="A3235" s="36">
        <v>99913233</v>
      </c>
      <c r="B3235" s="17" t="s">
        <v>56</v>
      </c>
      <c r="C3235" t="s">
        <v>52</v>
      </c>
      <c r="D3235" t="s">
        <v>53</v>
      </c>
      <c r="G3235" s="17" t="s">
        <v>48</v>
      </c>
      <c r="H3235" s="17">
        <v>1</v>
      </c>
      <c r="K3235" t="s">
        <v>345</v>
      </c>
      <c r="L3235" t="s">
        <v>346</v>
      </c>
      <c r="M3235" t="s">
        <v>131</v>
      </c>
      <c r="N3235">
        <v>23</v>
      </c>
      <c r="O3235" t="s">
        <v>40</v>
      </c>
      <c r="P3235" t="s">
        <v>40</v>
      </c>
      <c r="Q3235" t="s">
        <v>40</v>
      </c>
      <c r="R3235" t="s">
        <v>40</v>
      </c>
      <c r="S3235" t="s">
        <v>40</v>
      </c>
      <c r="V3235" t="s">
        <v>41</v>
      </c>
      <c r="W3235" t="s">
        <v>49</v>
      </c>
      <c r="X3235" t="str">
        <f>"0561021"</f>
        <v>0561021</v>
      </c>
      <c r="Y3235" t="s">
        <v>352</v>
      </c>
      <c r="Z3235" t="s">
        <v>345</v>
      </c>
      <c r="AA3235" t="s">
        <v>346</v>
      </c>
      <c r="AB3235" t="s">
        <v>131</v>
      </c>
      <c r="AC3235" t="s">
        <v>51</v>
      </c>
      <c r="AD3235" t="s">
        <v>45</v>
      </c>
      <c r="AE3235" s="1">
        <v>26127</v>
      </c>
      <c r="AF3235">
        <v>2</v>
      </c>
      <c r="AG3235" t="s">
        <v>346</v>
      </c>
      <c r="AH3235" s="36">
        <f t="shared" si="50"/>
        <v>48.138888888888886</v>
      </c>
      <c r="AI3235" s="41" t="s">
        <v>1780</v>
      </c>
    </row>
    <row r="3236" spans="1:35" x14ac:dyDescent="0.25">
      <c r="A3236" s="36">
        <v>99913234</v>
      </c>
      <c r="B3236" s="17" t="s">
        <v>56</v>
      </c>
      <c r="C3236" t="s">
        <v>46</v>
      </c>
      <c r="D3236" t="s">
        <v>47</v>
      </c>
      <c r="G3236" s="17" t="s">
        <v>48</v>
      </c>
      <c r="H3236" s="17">
        <v>1</v>
      </c>
      <c r="K3236" t="s">
        <v>380</v>
      </c>
      <c r="L3236" t="s">
        <v>381</v>
      </c>
      <c r="M3236" t="s">
        <v>131</v>
      </c>
      <c r="N3236">
        <v>20</v>
      </c>
      <c r="O3236" t="s">
        <v>40</v>
      </c>
      <c r="P3236" t="s">
        <v>40</v>
      </c>
      <c r="Q3236" t="s">
        <v>40</v>
      </c>
      <c r="R3236" t="s">
        <v>40</v>
      </c>
      <c r="S3236" t="s">
        <v>40</v>
      </c>
      <c r="V3236" t="s">
        <v>41</v>
      </c>
      <c r="W3236" t="s">
        <v>42</v>
      </c>
      <c r="X3236" t="str">
        <f>"0590909"</f>
        <v>0590909</v>
      </c>
      <c r="Y3236" t="s">
        <v>388</v>
      </c>
      <c r="Z3236" t="s">
        <v>380</v>
      </c>
      <c r="AA3236" t="s">
        <v>381</v>
      </c>
      <c r="AB3236" t="s">
        <v>131</v>
      </c>
      <c r="AC3236" t="s">
        <v>51</v>
      </c>
      <c r="AD3236" t="s">
        <v>45</v>
      </c>
      <c r="AE3236" s="1">
        <v>26127</v>
      </c>
      <c r="AF3236">
        <v>2</v>
      </c>
      <c r="AG3236" t="s">
        <v>381</v>
      </c>
      <c r="AH3236" s="36">
        <f t="shared" si="50"/>
        <v>48.138888888888886</v>
      </c>
      <c r="AI3236" s="41" t="s">
        <v>1780</v>
      </c>
    </row>
    <row r="3237" spans="1:35" x14ac:dyDescent="0.25">
      <c r="A3237" s="36">
        <v>99913235</v>
      </c>
      <c r="B3237" s="17" t="s">
        <v>56</v>
      </c>
      <c r="C3237" t="s">
        <v>82</v>
      </c>
      <c r="D3237" t="s">
        <v>83</v>
      </c>
      <c r="G3237" s="17" t="s">
        <v>35</v>
      </c>
      <c r="H3237" s="17">
        <v>1</v>
      </c>
      <c r="K3237" t="s">
        <v>1128</v>
      </c>
      <c r="L3237" t="s">
        <v>1129</v>
      </c>
      <c r="M3237" t="s">
        <v>1130</v>
      </c>
      <c r="N3237">
        <v>17</v>
      </c>
      <c r="O3237" t="s">
        <v>40</v>
      </c>
      <c r="P3237" t="s">
        <v>40</v>
      </c>
      <c r="Q3237" t="s">
        <v>40</v>
      </c>
      <c r="R3237" t="s">
        <v>40</v>
      </c>
      <c r="S3237" t="s">
        <v>40</v>
      </c>
      <c r="V3237" t="s">
        <v>41</v>
      </c>
      <c r="W3237" t="s">
        <v>49</v>
      </c>
      <c r="X3237" t="str">
        <f>"3160002"</f>
        <v>3160002</v>
      </c>
      <c r="Y3237" t="s">
        <v>1143</v>
      </c>
      <c r="Z3237" t="s">
        <v>1128</v>
      </c>
      <c r="AA3237" t="s">
        <v>1129</v>
      </c>
      <c r="AB3237" t="s">
        <v>1130</v>
      </c>
      <c r="AC3237" t="s">
        <v>51</v>
      </c>
      <c r="AD3237" t="s">
        <v>45</v>
      </c>
      <c r="AE3237" s="1">
        <v>26127</v>
      </c>
      <c r="AF3237">
        <v>2</v>
      </c>
      <c r="AG3237" t="s">
        <v>1129</v>
      </c>
      <c r="AH3237" s="36">
        <f t="shared" si="50"/>
        <v>48.138888888888886</v>
      </c>
      <c r="AI3237" s="41" t="s">
        <v>1780</v>
      </c>
    </row>
    <row r="3238" spans="1:35" x14ac:dyDescent="0.25">
      <c r="A3238" s="36">
        <v>99913236</v>
      </c>
      <c r="B3238" s="17" t="s">
        <v>32</v>
      </c>
      <c r="C3238" t="s">
        <v>79</v>
      </c>
      <c r="D3238" t="s">
        <v>80</v>
      </c>
      <c r="G3238" s="17" t="s">
        <v>48</v>
      </c>
      <c r="H3238" s="17">
        <v>1</v>
      </c>
      <c r="K3238" t="s">
        <v>354</v>
      </c>
      <c r="L3238" t="s">
        <v>355</v>
      </c>
      <c r="M3238" t="s">
        <v>131</v>
      </c>
      <c r="N3238">
        <v>22</v>
      </c>
      <c r="O3238" t="s">
        <v>40</v>
      </c>
      <c r="P3238" t="s">
        <v>40</v>
      </c>
      <c r="Q3238" t="s">
        <v>40</v>
      </c>
      <c r="S3238" t="s">
        <v>40</v>
      </c>
      <c r="V3238" t="s">
        <v>41</v>
      </c>
      <c r="W3238" t="s">
        <v>75</v>
      </c>
      <c r="X3238" t="str">
        <f>"7054038"</f>
        <v>7054038</v>
      </c>
      <c r="Y3238" t="s">
        <v>377</v>
      </c>
      <c r="Z3238" t="s">
        <v>354</v>
      </c>
      <c r="AA3238" t="s">
        <v>355</v>
      </c>
      <c r="AB3238" t="s">
        <v>131</v>
      </c>
      <c r="AC3238" t="s">
        <v>51</v>
      </c>
      <c r="AD3238" t="s">
        <v>45</v>
      </c>
      <c r="AE3238" s="1">
        <v>26125</v>
      </c>
      <c r="AF3238">
        <v>1</v>
      </c>
      <c r="AG3238" t="s">
        <v>355</v>
      </c>
      <c r="AH3238" s="36">
        <f t="shared" si="50"/>
        <v>48.144444444444446</v>
      </c>
      <c r="AI3238" s="41" t="s">
        <v>1780</v>
      </c>
    </row>
    <row r="3239" spans="1:35" x14ac:dyDescent="0.25">
      <c r="A3239" s="36">
        <v>99913237</v>
      </c>
      <c r="B3239" s="17" t="s">
        <v>56</v>
      </c>
      <c r="C3239" t="s">
        <v>64</v>
      </c>
      <c r="D3239" t="s">
        <v>65</v>
      </c>
      <c r="G3239" s="17" t="s">
        <v>48</v>
      </c>
      <c r="H3239" s="17">
        <v>6</v>
      </c>
      <c r="K3239" t="s">
        <v>1268</v>
      </c>
      <c r="L3239" t="s">
        <v>1269</v>
      </c>
      <c r="M3239" t="s">
        <v>1270</v>
      </c>
      <c r="N3239">
        <v>21</v>
      </c>
      <c r="O3239" t="s">
        <v>40</v>
      </c>
      <c r="P3239" t="s">
        <v>40</v>
      </c>
      <c r="Q3239" t="s">
        <v>40</v>
      </c>
      <c r="R3239" t="s">
        <v>40</v>
      </c>
      <c r="S3239" t="s">
        <v>40</v>
      </c>
      <c r="U3239" s="1">
        <v>43344</v>
      </c>
      <c r="V3239" t="s">
        <v>41</v>
      </c>
      <c r="W3239" t="s">
        <v>49</v>
      </c>
      <c r="X3239" t="str">
        <f>"1960001"</f>
        <v>1960001</v>
      </c>
      <c r="Y3239" t="s">
        <v>1272</v>
      </c>
      <c r="Z3239" t="s">
        <v>1268</v>
      </c>
      <c r="AA3239" t="s">
        <v>1269</v>
      </c>
      <c r="AB3239" t="s">
        <v>1270</v>
      </c>
      <c r="AC3239" t="s">
        <v>51</v>
      </c>
      <c r="AD3239" t="s">
        <v>45</v>
      </c>
      <c r="AE3239" s="1">
        <v>26121</v>
      </c>
      <c r="AF3239">
        <v>2</v>
      </c>
      <c r="AG3239" t="s">
        <v>1269</v>
      </c>
      <c r="AH3239" s="36">
        <f t="shared" si="50"/>
        <v>48.155555555555559</v>
      </c>
      <c r="AI3239" s="41" t="s">
        <v>1780</v>
      </c>
    </row>
    <row r="3240" spans="1:35" x14ac:dyDescent="0.25">
      <c r="A3240" s="36">
        <v>99913238</v>
      </c>
      <c r="B3240" s="17" t="s">
        <v>32</v>
      </c>
      <c r="C3240" t="s">
        <v>64</v>
      </c>
      <c r="D3240" t="s">
        <v>65</v>
      </c>
      <c r="G3240" s="17" t="s">
        <v>48</v>
      </c>
      <c r="H3240" s="17">
        <v>1</v>
      </c>
      <c r="K3240" t="s">
        <v>223</v>
      </c>
      <c r="L3240" t="s">
        <v>224</v>
      </c>
      <c r="M3240" t="s">
        <v>131</v>
      </c>
      <c r="N3240">
        <v>20</v>
      </c>
      <c r="O3240" t="s">
        <v>40</v>
      </c>
      <c r="P3240" t="s">
        <v>40</v>
      </c>
      <c r="Q3240" t="s">
        <v>40</v>
      </c>
      <c r="S3240" t="s">
        <v>40</v>
      </c>
      <c r="V3240" t="s">
        <v>41</v>
      </c>
      <c r="W3240" t="s">
        <v>49</v>
      </c>
      <c r="X3240" t="str">
        <f>"0581206"</f>
        <v>0581206</v>
      </c>
      <c r="Y3240" t="s">
        <v>232</v>
      </c>
      <c r="Z3240" t="s">
        <v>223</v>
      </c>
      <c r="AA3240" t="s">
        <v>224</v>
      </c>
      <c r="AB3240" t="s">
        <v>131</v>
      </c>
      <c r="AC3240" t="s">
        <v>51</v>
      </c>
      <c r="AD3240" t="s">
        <v>45</v>
      </c>
      <c r="AE3240" s="1">
        <v>26115</v>
      </c>
      <c r="AF3240">
        <v>2</v>
      </c>
      <c r="AG3240" t="s">
        <v>224</v>
      </c>
      <c r="AH3240" s="36">
        <f t="shared" si="50"/>
        <v>48.172222222222224</v>
      </c>
      <c r="AI3240" s="41" t="s">
        <v>1780</v>
      </c>
    </row>
    <row r="3241" spans="1:35" x14ac:dyDescent="0.25">
      <c r="A3241" s="36">
        <v>99913239</v>
      </c>
      <c r="B3241" s="17" t="s">
        <v>32</v>
      </c>
      <c r="C3241" t="s">
        <v>111</v>
      </c>
      <c r="D3241" t="s">
        <v>112</v>
      </c>
      <c r="G3241" s="17" t="s">
        <v>48</v>
      </c>
      <c r="H3241" s="17">
        <v>11</v>
      </c>
      <c r="K3241" t="s">
        <v>1221</v>
      </c>
      <c r="L3241" t="s">
        <v>1222</v>
      </c>
      <c r="M3241" t="s">
        <v>1130</v>
      </c>
      <c r="N3241">
        <v>21</v>
      </c>
      <c r="O3241" t="s">
        <v>40</v>
      </c>
      <c r="P3241" t="s">
        <v>40</v>
      </c>
      <c r="Q3241" t="s">
        <v>40</v>
      </c>
      <c r="R3241" t="s">
        <v>40</v>
      </c>
      <c r="S3241" t="s">
        <v>40</v>
      </c>
      <c r="V3241" t="s">
        <v>41</v>
      </c>
      <c r="W3241" t="s">
        <v>75</v>
      </c>
      <c r="X3241" t="str">
        <f>"7351000"</f>
        <v>7351000</v>
      </c>
      <c r="Y3241" t="s">
        <v>1223</v>
      </c>
      <c r="Z3241" t="s">
        <v>1221</v>
      </c>
      <c r="AA3241" t="s">
        <v>1222</v>
      </c>
      <c r="AB3241" t="s">
        <v>1130</v>
      </c>
      <c r="AC3241" t="s">
        <v>51</v>
      </c>
      <c r="AD3241" t="s">
        <v>45</v>
      </c>
      <c r="AE3241" s="1">
        <v>26114</v>
      </c>
      <c r="AF3241">
        <v>1</v>
      </c>
      <c r="AG3241" t="s">
        <v>1222</v>
      </c>
      <c r="AH3241" s="36">
        <f t="shared" si="50"/>
        <v>48.174999999999997</v>
      </c>
      <c r="AI3241" s="41" t="s">
        <v>1780</v>
      </c>
    </row>
    <row r="3242" spans="1:35" x14ac:dyDescent="0.25">
      <c r="A3242" s="36">
        <v>99913240</v>
      </c>
      <c r="B3242" s="17" t="s">
        <v>56</v>
      </c>
      <c r="C3242" t="s">
        <v>68</v>
      </c>
      <c r="D3242" t="s">
        <v>69</v>
      </c>
      <c r="G3242" s="17" t="s">
        <v>35</v>
      </c>
      <c r="H3242" s="17">
        <v>1</v>
      </c>
      <c r="I3242" t="s">
        <v>976</v>
      </c>
      <c r="J3242" s="1">
        <v>43369</v>
      </c>
      <c r="K3242" t="s">
        <v>947</v>
      </c>
      <c r="L3242" t="s">
        <v>948</v>
      </c>
      <c r="M3242" t="s">
        <v>938</v>
      </c>
      <c r="N3242">
        <v>6</v>
      </c>
      <c r="O3242" t="s">
        <v>40</v>
      </c>
      <c r="S3242" t="s">
        <v>40</v>
      </c>
      <c r="U3242" s="1">
        <v>43369</v>
      </c>
      <c r="V3242" t="s">
        <v>41</v>
      </c>
      <c r="W3242" t="s">
        <v>953</v>
      </c>
      <c r="X3242" t="str">
        <f>"0610801"</f>
        <v>0610801</v>
      </c>
      <c r="Y3242" t="s">
        <v>954</v>
      </c>
      <c r="Z3242" t="s">
        <v>947</v>
      </c>
      <c r="AA3242" t="s">
        <v>948</v>
      </c>
      <c r="AB3242" t="s">
        <v>938</v>
      </c>
      <c r="AC3242" t="s">
        <v>44</v>
      </c>
      <c r="AD3242" t="s">
        <v>45</v>
      </c>
      <c r="AE3242" s="1">
        <v>26112</v>
      </c>
      <c r="AF3242">
        <v>2</v>
      </c>
      <c r="AG3242" t="s">
        <v>948</v>
      </c>
      <c r="AH3242" s="36">
        <f t="shared" si="50"/>
        <v>48.180555555555557</v>
      </c>
      <c r="AI3242" s="41" t="s">
        <v>1780</v>
      </c>
    </row>
    <row r="3243" spans="1:35" x14ac:dyDescent="0.25">
      <c r="A3243" s="36">
        <v>99913241</v>
      </c>
      <c r="B3243" s="17" t="s">
        <v>56</v>
      </c>
      <c r="C3243" t="s">
        <v>46</v>
      </c>
      <c r="D3243" t="s">
        <v>47</v>
      </c>
      <c r="G3243" s="17" t="s">
        <v>48</v>
      </c>
      <c r="H3243" s="17">
        <v>1</v>
      </c>
      <c r="K3243" t="s">
        <v>223</v>
      </c>
      <c r="L3243" t="s">
        <v>224</v>
      </c>
      <c r="M3243" t="s">
        <v>131</v>
      </c>
      <c r="N3243">
        <v>20</v>
      </c>
      <c r="O3243" t="s">
        <v>40</v>
      </c>
      <c r="P3243" t="s">
        <v>40</v>
      </c>
      <c r="Q3243" t="s">
        <v>40</v>
      </c>
      <c r="S3243" t="s">
        <v>40</v>
      </c>
      <c r="V3243" t="s">
        <v>41</v>
      </c>
      <c r="W3243" t="s">
        <v>42</v>
      </c>
      <c r="X3243" t="str">
        <f>"0580207"</f>
        <v>0580207</v>
      </c>
      <c r="Y3243" t="s">
        <v>229</v>
      </c>
      <c r="Z3243" t="s">
        <v>223</v>
      </c>
      <c r="AA3243" t="s">
        <v>224</v>
      </c>
      <c r="AB3243" t="s">
        <v>131</v>
      </c>
      <c r="AC3243" t="s">
        <v>51</v>
      </c>
      <c r="AD3243" t="s">
        <v>45</v>
      </c>
      <c r="AE3243" s="1">
        <v>26111</v>
      </c>
      <c r="AF3243">
        <v>2</v>
      </c>
      <c r="AG3243" t="s">
        <v>224</v>
      </c>
      <c r="AH3243" s="36">
        <f t="shared" si="50"/>
        <v>48.18333333333333</v>
      </c>
      <c r="AI3243" s="41" t="s">
        <v>1780</v>
      </c>
    </row>
    <row r="3244" spans="1:35" x14ac:dyDescent="0.25">
      <c r="A3244" s="36">
        <v>99913242</v>
      </c>
      <c r="B3244" s="17" t="s">
        <v>56</v>
      </c>
      <c r="C3244" t="s">
        <v>46</v>
      </c>
      <c r="D3244" t="s">
        <v>47</v>
      </c>
      <c r="G3244" s="17" t="s">
        <v>35</v>
      </c>
      <c r="H3244" s="17">
        <v>1</v>
      </c>
      <c r="K3244" t="s">
        <v>947</v>
      </c>
      <c r="L3244" t="s">
        <v>948</v>
      </c>
      <c r="M3244" t="s">
        <v>938</v>
      </c>
      <c r="N3244">
        <v>11</v>
      </c>
      <c r="O3244" t="s">
        <v>40</v>
      </c>
      <c r="P3244" t="s">
        <v>40</v>
      </c>
      <c r="Q3244" t="s">
        <v>40</v>
      </c>
      <c r="S3244" t="s">
        <v>40</v>
      </c>
      <c r="V3244" t="s">
        <v>41</v>
      </c>
      <c r="W3244" t="s">
        <v>42</v>
      </c>
      <c r="X3244" t="str">
        <f>"0680039"</f>
        <v>0680039</v>
      </c>
      <c r="Y3244" t="s">
        <v>949</v>
      </c>
      <c r="Z3244" t="s">
        <v>947</v>
      </c>
      <c r="AA3244" t="s">
        <v>948</v>
      </c>
      <c r="AB3244" t="s">
        <v>938</v>
      </c>
      <c r="AC3244" t="s">
        <v>51</v>
      </c>
      <c r="AD3244" t="s">
        <v>45</v>
      </c>
      <c r="AE3244" s="1">
        <v>26110</v>
      </c>
      <c r="AF3244">
        <v>2</v>
      </c>
      <c r="AG3244" t="s">
        <v>948</v>
      </c>
      <c r="AH3244" s="36">
        <f t="shared" si="50"/>
        <v>48.18611111111111</v>
      </c>
      <c r="AI3244" s="41" t="s">
        <v>1780</v>
      </c>
    </row>
    <row r="3245" spans="1:35" x14ac:dyDescent="0.25">
      <c r="A3245" s="36">
        <v>99913243</v>
      </c>
      <c r="B3245" s="17" t="s">
        <v>56</v>
      </c>
      <c r="C3245" t="s">
        <v>33</v>
      </c>
      <c r="D3245" t="s">
        <v>34</v>
      </c>
      <c r="G3245" s="17" t="s">
        <v>48</v>
      </c>
      <c r="H3245" s="17">
        <v>1</v>
      </c>
      <c r="K3245" t="s">
        <v>380</v>
      </c>
      <c r="L3245" t="s">
        <v>381</v>
      </c>
      <c r="M3245" t="s">
        <v>131</v>
      </c>
      <c r="N3245">
        <v>9</v>
      </c>
      <c r="O3245" t="s">
        <v>40</v>
      </c>
      <c r="P3245" t="s">
        <v>40</v>
      </c>
      <c r="Q3245" t="s">
        <v>40</v>
      </c>
      <c r="R3245" t="s">
        <v>40</v>
      </c>
      <c r="S3245" t="s">
        <v>40</v>
      </c>
      <c r="V3245" t="s">
        <v>41</v>
      </c>
      <c r="W3245" t="s">
        <v>42</v>
      </c>
      <c r="X3245" t="str">
        <f>"0590909"</f>
        <v>0590909</v>
      </c>
      <c r="Y3245" t="s">
        <v>388</v>
      </c>
      <c r="Z3245" t="s">
        <v>380</v>
      </c>
      <c r="AA3245" t="s">
        <v>381</v>
      </c>
      <c r="AB3245" t="s">
        <v>131</v>
      </c>
      <c r="AC3245" t="s">
        <v>51</v>
      </c>
      <c r="AD3245" t="s">
        <v>45</v>
      </c>
      <c r="AE3245" s="1">
        <v>26108</v>
      </c>
      <c r="AF3245">
        <v>2</v>
      </c>
      <c r="AG3245" t="s">
        <v>381</v>
      </c>
      <c r="AH3245" s="36">
        <f t="shared" si="50"/>
        <v>48.19166666666667</v>
      </c>
      <c r="AI3245" s="41" t="s">
        <v>1780</v>
      </c>
    </row>
    <row r="3246" spans="1:35" x14ac:dyDescent="0.25">
      <c r="A3246" s="36">
        <v>99913244</v>
      </c>
      <c r="B3246" s="17" t="s">
        <v>32</v>
      </c>
      <c r="C3246" t="s">
        <v>64</v>
      </c>
      <c r="D3246" t="s">
        <v>65</v>
      </c>
      <c r="G3246" s="17" t="s">
        <v>48</v>
      </c>
      <c r="H3246" s="17">
        <v>7</v>
      </c>
      <c r="K3246" t="s">
        <v>877</v>
      </c>
      <c r="L3246" t="s">
        <v>878</v>
      </c>
      <c r="M3246" t="s">
        <v>131</v>
      </c>
      <c r="N3246">
        <v>23</v>
      </c>
      <c r="O3246" t="s">
        <v>40</v>
      </c>
      <c r="P3246" t="s">
        <v>40</v>
      </c>
      <c r="Q3246" t="s">
        <v>40</v>
      </c>
      <c r="R3246" t="s">
        <v>40</v>
      </c>
      <c r="S3246" t="s">
        <v>40</v>
      </c>
      <c r="V3246" t="s">
        <v>41</v>
      </c>
      <c r="W3246" t="s">
        <v>75</v>
      </c>
      <c r="X3246" t="str">
        <f>"7541004"</f>
        <v>7541004</v>
      </c>
      <c r="Y3246" t="s">
        <v>889</v>
      </c>
      <c r="Z3246" t="s">
        <v>877</v>
      </c>
      <c r="AA3246" t="s">
        <v>878</v>
      </c>
      <c r="AB3246" t="s">
        <v>131</v>
      </c>
      <c r="AC3246" t="s">
        <v>51</v>
      </c>
      <c r="AD3246" t="s">
        <v>45</v>
      </c>
      <c r="AE3246" s="1">
        <v>26108</v>
      </c>
      <c r="AF3246">
        <v>1</v>
      </c>
      <c r="AG3246" t="s">
        <v>878</v>
      </c>
      <c r="AH3246" s="36">
        <f t="shared" si="50"/>
        <v>48.19166666666667</v>
      </c>
      <c r="AI3246" s="41" t="s">
        <v>1780</v>
      </c>
    </row>
    <row r="3247" spans="1:35" x14ac:dyDescent="0.25">
      <c r="A3247" s="36">
        <v>99913245</v>
      </c>
      <c r="B3247" s="17" t="s">
        <v>32</v>
      </c>
      <c r="C3247" t="s">
        <v>46</v>
      </c>
      <c r="D3247" t="s">
        <v>47</v>
      </c>
      <c r="G3247" s="17" t="s">
        <v>48</v>
      </c>
      <c r="H3247" s="17">
        <v>1</v>
      </c>
      <c r="K3247" t="s">
        <v>223</v>
      </c>
      <c r="L3247" t="s">
        <v>224</v>
      </c>
      <c r="M3247" t="s">
        <v>131</v>
      </c>
      <c r="N3247">
        <v>20</v>
      </c>
      <c r="O3247" t="s">
        <v>40</v>
      </c>
      <c r="P3247" t="s">
        <v>40</v>
      </c>
      <c r="Q3247" t="s">
        <v>40</v>
      </c>
      <c r="S3247" t="s">
        <v>40</v>
      </c>
      <c r="V3247" t="s">
        <v>41</v>
      </c>
      <c r="W3247" t="s">
        <v>49</v>
      </c>
      <c r="X3247" t="str">
        <f>"0581202"</f>
        <v>0581202</v>
      </c>
      <c r="Y3247" t="s">
        <v>248</v>
      </c>
      <c r="Z3247" t="s">
        <v>223</v>
      </c>
      <c r="AA3247" t="s">
        <v>224</v>
      </c>
      <c r="AB3247" t="s">
        <v>131</v>
      </c>
      <c r="AC3247" t="s">
        <v>165</v>
      </c>
      <c r="AD3247" t="s">
        <v>45</v>
      </c>
      <c r="AE3247" s="1">
        <v>26103</v>
      </c>
      <c r="AF3247">
        <v>2</v>
      </c>
      <c r="AG3247" t="s">
        <v>224</v>
      </c>
      <c r="AH3247" s="36">
        <f t="shared" si="50"/>
        <v>48.205555555555556</v>
      </c>
      <c r="AI3247" s="41" t="s">
        <v>1780</v>
      </c>
    </row>
    <row r="3248" spans="1:35" x14ac:dyDescent="0.25">
      <c r="A3248" s="36">
        <v>99913246</v>
      </c>
      <c r="B3248" s="17" t="s">
        <v>56</v>
      </c>
      <c r="C3248" t="s">
        <v>85</v>
      </c>
      <c r="D3248" t="s">
        <v>86</v>
      </c>
      <c r="E3248" t="s">
        <v>33</v>
      </c>
      <c r="F3248" t="s">
        <v>34</v>
      </c>
      <c r="G3248" s="17" t="s">
        <v>48</v>
      </c>
      <c r="H3248" s="17">
        <v>1</v>
      </c>
      <c r="K3248" t="s">
        <v>1268</v>
      </c>
      <c r="L3248" t="s">
        <v>1269</v>
      </c>
      <c r="M3248" t="s">
        <v>1270</v>
      </c>
      <c r="N3248">
        <v>20</v>
      </c>
      <c r="O3248" t="s">
        <v>40</v>
      </c>
      <c r="P3248" t="s">
        <v>40</v>
      </c>
      <c r="Q3248" t="s">
        <v>40</v>
      </c>
      <c r="R3248" t="s">
        <v>40</v>
      </c>
      <c r="S3248" t="s">
        <v>40</v>
      </c>
      <c r="V3248" t="s">
        <v>41</v>
      </c>
      <c r="W3248" t="s">
        <v>42</v>
      </c>
      <c r="X3248" t="str">
        <f>"1990910"</f>
        <v>1990910</v>
      </c>
      <c r="Y3248" t="s">
        <v>1281</v>
      </c>
      <c r="Z3248" t="s">
        <v>1268</v>
      </c>
      <c r="AA3248" t="s">
        <v>1269</v>
      </c>
      <c r="AB3248" t="s">
        <v>1270</v>
      </c>
      <c r="AC3248" t="s">
        <v>165</v>
      </c>
      <c r="AD3248" t="s">
        <v>45</v>
      </c>
      <c r="AE3248" s="1">
        <v>26098</v>
      </c>
      <c r="AF3248">
        <v>2</v>
      </c>
      <c r="AG3248" t="s">
        <v>1269</v>
      </c>
      <c r="AH3248" s="36">
        <f t="shared" si="50"/>
        <v>48.219444444444441</v>
      </c>
      <c r="AI3248" s="41" t="s">
        <v>1780</v>
      </c>
    </row>
    <row r="3249" spans="1:35" x14ac:dyDescent="0.25">
      <c r="A3249" s="36">
        <v>99913247</v>
      </c>
      <c r="B3249" s="17" t="s">
        <v>56</v>
      </c>
      <c r="C3249" t="s">
        <v>46</v>
      </c>
      <c r="D3249" t="s">
        <v>47</v>
      </c>
      <c r="G3249" s="17" t="s">
        <v>48</v>
      </c>
      <c r="H3249" s="17">
        <v>1</v>
      </c>
      <c r="K3249" t="s">
        <v>300</v>
      </c>
      <c r="L3249" t="s">
        <v>301</v>
      </c>
      <c r="M3249" t="s">
        <v>131</v>
      </c>
      <c r="N3249">
        <v>21</v>
      </c>
      <c r="O3249" t="s">
        <v>40</v>
      </c>
      <c r="P3249" t="s">
        <v>40</v>
      </c>
      <c r="Q3249" t="s">
        <v>40</v>
      </c>
      <c r="S3249" t="s">
        <v>40</v>
      </c>
      <c r="V3249" t="s">
        <v>41</v>
      </c>
      <c r="W3249" t="s">
        <v>42</v>
      </c>
      <c r="X3249" t="str">
        <f>"0580106"</f>
        <v>0580106</v>
      </c>
      <c r="Y3249" t="s">
        <v>306</v>
      </c>
      <c r="Z3249" t="s">
        <v>300</v>
      </c>
      <c r="AA3249" t="s">
        <v>301</v>
      </c>
      <c r="AB3249" t="s">
        <v>131</v>
      </c>
      <c r="AC3249" t="s">
        <v>51</v>
      </c>
      <c r="AD3249" t="s">
        <v>45</v>
      </c>
      <c r="AE3249" s="1">
        <v>26096</v>
      </c>
      <c r="AF3249">
        <v>2</v>
      </c>
      <c r="AG3249" t="s">
        <v>301</v>
      </c>
      <c r="AH3249" s="36">
        <f t="shared" si="50"/>
        <v>48.225000000000001</v>
      </c>
      <c r="AI3249" s="41" t="s">
        <v>1780</v>
      </c>
    </row>
    <row r="3250" spans="1:35" x14ac:dyDescent="0.25">
      <c r="A3250" s="36">
        <v>99913248</v>
      </c>
      <c r="B3250" s="17" t="s">
        <v>32</v>
      </c>
      <c r="C3250" t="s">
        <v>64</v>
      </c>
      <c r="D3250" t="s">
        <v>65</v>
      </c>
      <c r="G3250" s="17" t="s">
        <v>35</v>
      </c>
      <c r="H3250" s="17">
        <v>1</v>
      </c>
      <c r="I3250">
        <v>0</v>
      </c>
      <c r="J3250" s="1">
        <v>43344</v>
      </c>
      <c r="K3250" t="s">
        <v>223</v>
      </c>
      <c r="L3250" t="s">
        <v>224</v>
      </c>
      <c r="M3250" t="s">
        <v>131</v>
      </c>
      <c r="N3250">
        <v>20</v>
      </c>
      <c r="O3250" t="s">
        <v>40</v>
      </c>
      <c r="Q3250" t="s">
        <v>40</v>
      </c>
      <c r="S3250" t="s">
        <v>40</v>
      </c>
      <c r="U3250" s="1">
        <v>43344</v>
      </c>
      <c r="V3250" t="s">
        <v>41</v>
      </c>
      <c r="W3250" t="s">
        <v>49</v>
      </c>
      <c r="X3250" t="str">
        <f>"0581207"</f>
        <v>0581207</v>
      </c>
      <c r="Y3250" t="s">
        <v>233</v>
      </c>
      <c r="Z3250" t="s">
        <v>223</v>
      </c>
      <c r="AA3250" t="s">
        <v>224</v>
      </c>
      <c r="AB3250" t="s">
        <v>131</v>
      </c>
      <c r="AC3250" t="s">
        <v>51</v>
      </c>
      <c r="AD3250" t="s">
        <v>45</v>
      </c>
      <c r="AE3250" s="1">
        <v>26095</v>
      </c>
      <c r="AF3250">
        <v>2</v>
      </c>
      <c r="AG3250" t="s">
        <v>224</v>
      </c>
      <c r="AH3250" s="36">
        <f t="shared" si="50"/>
        <v>48.227777777777774</v>
      </c>
      <c r="AI3250" s="41" t="s">
        <v>1780</v>
      </c>
    </row>
    <row r="3251" spans="1:35" x14ac:dyDescent="0.25">
      <c r="A3251" s="36">
        <v>99913249</v>
      </c>
      <c r="B3251" s="17" t="s">
        <v>56</v>
      </c>
      <c r="C3251" t="s">
        <v>46</v>
      </c>
      <c r="D3251" t="s">
        <v>47</v>
      </c>
      <c r="G3251" s="17" t="s">
        <v>48</v>
      </c>
      <c r="H3251" s="17">
        <v>1</v>
      </c>
      <c r="K3251" t="s">
        <v>1590</v>
      </c>
      <c r="L3251" t="s">
        <v>1591</v>
      </c>
      <c r="M3251" t="s">
        <v>1592</v>
      </c>
      <c r="N3251">
        <v>19</v>
      </c>
      <c r="O3251" t="s">
        <v>40</v>
      </c>
      <c r="P3251" t="s">
        <v>40</v>
      </c>
      <c r="Q3251" t="s">
        <v>40</v>
      </c>
      <c r="R3251" t="s">
        <v>40</v>
      </c>
      <c r="S3251" t="s">
        <v>40</v>
      </c>
      <c r="V3251" t="s">
        <v>41</v>
      </c>
      <c r="W3251" t="s">
        <v>49</v>
      </c>
      <c r="X3251" t="str">
        <f>"0260002"</f>
        <v>0260002</v>
      </c>
      <c r="Y3251" t="s">
        <v>1593</v>
      </c>
      <c r="Z3251" t="s">
        <v>1590</v>
      </c>
      <c r="AA3251" t="s">
        <v>1591</v>
      </c>
      <c r="AB3251" t="s">
        <v>1592</v>
      </c>
      <c r="AC3251" t="s">
        <v>51</v>
      </c>
      <c r="AD3251" t="s">
        <v>45</v>
      </c>
      <c r="AE3251" s="1">
        <v>26095</v>
      </c>
      <c r="AF3251">
        <v>2</v>
      </c>
      <c r="AG3251" t="s">
        <v>1591</v>
      </c>
      <c r="AH3251" s="36">
        <f t="shared" si="50"/>
        <v>48.227777777777774</v>
      </c>
      <c r="AI3251" s="41" t="s">
        <v>1780</v>
      </c>
    </row>
    <row r="3252" spans="1:35" x14ac:dyDescent="0.25">
      <c r="A3252" s="36">
        <v>99913250</v>
      </c>
      <c r="B3252" s="17" t="s">
        <v>32</v>
      </c>
      <c r="C3252" t="s">
        <v>111</v>
      </c>
      <c r="D3252" t="s">
        <v>112</v>
      </c>
      <c r="G3252" s="17" t="s">
        <v>48</v>
      </c>
      <c r="H3252" s="17">
        <v>1</v>
      </c>
      <c r="K3252" t="s">
        <v>431</v>
      </c>
      <c r="L3252" t="s">
        <v>196</v>
      </c>
      <c r="M3252" t="s">
        <v>131</v>
      </c>
      <c r="N3252">
        <v>21</v>
      </c>
      <c r="O3252" t="s">
        <v>40</v>
      </c>
      <c r="P3252" t="s">
        <v>40</v>
      </c>
      <c r="Q3252" t="s">
        <v>40</v>
      </c>
      <c r="R3252" t="s">
        <v>40</v>
      </c>
      <c r="S3252" t="s">
        <v>40</v>
      </c>
      <c r="V3252" t="s">
        <v>41</v>
      </c>
      <c r="W3252" t="s">
        <v>75</v>
      </c>
      <c r="X3252" t="str">
        <f>"7521012"</f>
        <v>7521012</v>
      </c>
      <c r="Y3252" t="s">
        <v>432</v>
      </c>
      <c r="Z3252" t="s">
        <v>431</v>
      </c>
      <c r="AA3252" t="s">
        <v>196</v>
      </c>
      <c r="AB3252" t="s">
        <v>131</v>
      </c>
      <c r="AC3252" t="s">
        <v>165</v>
      </c>
      <c r="AD3252" t="s">
        <v>45</v>
      </c>
      <c r="AE3252" s="1">
        <v>26093</v>
      </c>
      <c r="AF3252">
        <v>1</v>
      </c>
      <c r="AG3252" t="s">
        <v>196</v>
      </c>
      <c r="AH3252" s="36">
        <f t="shared" si="50"/>
        <v>48.233333333333334</v>
      </c>
      <c r="AI3252" s="41" t="s">
        <v>1780</v>
      </c>
    </row>
    <row r="3253" spans="1:35" x14ac:dyDescent="0.25">
      <c r="A3253" s="36">
        <v>99913251</v>
      </c>
      <c r="B3253" s="17" t="s">
        <v>56</v>
      </c>
      <c r="C3253" t="s">
        <v>46</v>
      </c>
      <c r="D3253" t="s">
        <v>47</v>
      </c>
      <c r="G3253" s="17" t="s">
        <v>48</v>
      </c>
      <c r="H3253" s="17">
        <v>1</v>
      </c>
      <c r="K3253" t="s">
        <v>223</v>
      </c>
      <c r="L3253" t="s">
        <v>224</v>
      </c>
      <c r="M3253" t="s">
        <v>131</v>
      </c>
      <c r="N3253">
        <v>18</v>
      </c>
      <c r="O3253" t="s">
        <v>40</v>
      </c>
      <c r="P3253" t="s">
        <v>40</v>
      </c>
      <c r="Q3253" t="s">
        <v>40</v>
      </c>
      <c r="R3253" t="s">
        <v>40</v>
      </c>
      <c r="S3253" t="s">
        <v>40</v>
      </c>
      <c r="V3253" t="s">
        <v>41</v>
      </c>
      <c r="W3253" t="s">
        <v>42</v>
      </c>
      <c r="X3253" t="str">
        <f>"0580206"</f>
        <v>0580206</v>
      </c>
      <c r="Y3253" t="s">
        <v>237</v>
      </c>
      <c r="Z3253" t="s">
        <v>223</v>
      </c>
      <c r="AA3253" t="s">
        <v>224</v>
      </c>
      <c r="AB3253" t="s">
        <v>131</v>
      </c>
      <c r="AC3253" t="s">
        <v>51</v>
      </c>
      <c r="AD3253" t="s">
        <v>45</v>
      </c>
      <c r="AE3253" s="1">
        <v>26092</v>
      </c>
      <c r="AF3253">
        <v>2</v>
      </c>
      <c r="AG3253" t="s">
        <v>224</v>
      </c>
      <c r="AH3253" s="36">
        <f t="shared" si="50"/>
        <v>48.236111111111114</v>
      </c>
      <c r="AI3253" s="41" t="s">
        <v>1780</v>
      </c>
    </row>
    <row r="3254" spans="1:35" x14ac:dyDescent="0.25">
      <c r="A3254" s="36">
        <v>99913252</v>
      </c>
      <c r="B3254" s="17" t="s">
        <v>32</v>
      </c>
      <c r="C3254" t="s">
        <v>64</v>
      </c>
      <c r="D3254" t="s">
        <v>65</v>
      </c>
      <c r="G3254" s="17" t="s">
        <v>48</v>
      </c>
      <c r="H3254" s="17">
        <v>1</v>
      </c>
      <c r="K3254" t="s">
        <v>223</v>
      </c>
      <c r="L3254" t="s">
        <v>224</v>
      </c>
      <c r="M3254" t="s">
        <v>131</v>
      </c>
      <c r="N3254">
        <v>21</v>
      </c>
      <c r="O3254" t="s">
        <v>40</v>
      </c>
      <c r="P3254" t="s">
        <v>40</v>
      </c>
      <c r="Q3254" t="s">
        <v>40</v>
      </c>
      <c r="R3254" t="s">
        <v>40</v>
      </c>
      <c r="S3254" t="s">
        <v>40</v>
      </c>
      <c r="V3254" t="s">
        <v>41</v>
      </c>
      <c r="W3254" t="s">
        <v>49</v>
      </c>
      <c r="X3254" t="str">
        <f>"0540902"</f>
        <v>0540902</v>
      </c>
      <c r="Y3254" t="s">
        <v>256</v>
      </c>
      <c r="Z3254" t="s">
        <v>223</v>
      </c>
      <c r="AA3254" t="s">
        <v>224</v>
      </c>
      <c r="AB3254" t="s">
        <v>131</v>
      </c>
      <c r="AC3254" t="s">
        <v>51</v>
      </c>
      <c r="AD3254" t="s">
        <v>45</v>
      </c>
      <c r="AE3254" s="1">
        <v>26091</v>
      </c>
      <c r="AF3254">
        <v>2</v>
      </c>
      <c r="AG3254" t="s">
        <v>224</v>
      </c>
      <c r="AH3254" s="36">
        <f t="shared" si="50"/>
        <v>48.238888888888887</v>
      </c>
      <c r="AI3254" s="41" t="s">
        <v>1780</v>
      </c>
    </row>
    <row r="3255" spans="1:35" x14ac:dyDescent="0.25">
      <c r="A3255" s="36">
        <v>99913253</v>
      </c>
      <c r="B3255" s="17" t="s">
        <v>32</v>
      </c>
      <c r="C3255" t="s">
        <v>46</v>
      </c>
      <c r="D3255" t="s">
        <v>47</v>
      </c>
      <c r="G3255" s="17" t="s">
        <v>35</v>
      </c>
      <c r="H3255" s="17">
        <v>1</v>
      </c>
      <c r="K3255" t="s">
        <v>947</v>
      </c>
      <c r="L3255" t="s">
        <v>948</v>
      </c>
      <c r="M3255" t="s">
        <v>938</v>
      </c>
      <c r="N3255">
        <v>20</v>
      </c>
      <c r="O3255" t="s">
        <v>40</v>
      </c>
      <c r="P3255" t="s">
        <v>40</v>
      </c>
      <c r="Q3255" t="s">
        <v>40</v>
      </c>
      <c r="R3255" t="s">
        <v>40</v>
      </c>
      <c r="S3255" t="s">
        <v>40</v>
      </c>
      <c r="V3255" t="s">
        <v>41</v>
      </c>
      <c r="W3255" t="s">
        <v>42</v>
      </c>
      <c r="X3255" t="str">
        <f>"0680030"</f>
        <v>0680030</v>
      </c>
      <c r="Y3255" t="s">
        <v>951</v>
      </c>
      <c r="Z3255" t="s">
        <v>947</v>
      </c>
      <c r="AA3255" t="s">
        <v>948</v>
      </c>
      <c r="AB3255" t="s">
        <v>938</v>
      </c>
      <c r="AC3255" t="s">
        <v>165</v>
      </c>
      <c r="AD3255" t="s">
        <v>45</v>
      </c>
      <c r="AE3255" s="1">
        <v>26089</v>
      </c>
      <c r="AF3255">
        <v>2</v>
      </c>
      <c r="AG3255" t="s">
        <v>948</v>
      </c>
      <c r="AH3255" s="36">
        <f t="shared" si="50"/>
        <v>48.244444444444447</v>
      </c>
      <c r="AI3255" s="41" t="s">
        <v>1780</v>
      </c>
    </row>
    <row r="3256" spans="1:35" x14ac:dyDescent="0.25">
      <c r="A3256" s="36">
        <v>99913254</v>
      </c>
      <c r="B3256" s="17" t="s">
        <v>32</v>
      </c>
      <c r="C3256" t="s">
        <v>85</v>
      </c>
      <c r="D3256" t="s">
        <v>86</v>
      </c>
      <c r="G3256" s="17" t="s">
        <v>35</v>
      </c>
      <c r="H3256" s="17">
        <v>1</v>
      </c>
      <c r="K3256" t="s">
        <v>223</v>
      </c>
      <c r="L3256" t="s">
        <v>224</v>
      </c>
      <c r="M3256" t="s">
        <v>131</v>
      </c>
      <c r="N3256">
        <v>21</v>
      </c>
      <c r="O3256" t="s">
        <v>40</v>
      </c>
      <c r="P3256" t="s">
        <v>40</v>
      </c>
      <c r="Q3256" t="s">
        <v>40</v>
      </c>
      <c r="S3256" t="s">
        <v>40</v>
      </c>
      <c r="V3256" t="s">
        <v>41</v>
      </c>
      <c r="W3256" t="s">
        <v>49</v>
      </c>
      <c r="X3256" t="str">
        <f>"0591901"</f>
        <v>0591901</v>
      </c>
      <c r="Y3256" t="s">
        <v>230</v>
      </c>
      <c r="Z3256" t="s">
        <v>223</v>
      </c>
      <c r="AA3256" t="s">
        <v>224</v>
      </c>
      <c r="AB3256" t="s">
        <v>131</v>
      </c>
      <c r="AC3256" t="s">
        <v>51</v>
      </c>
      <c r="AD3256" t="s">
        <v>45</v>
      </c>
      <c r="AE3256" s="1">
        <v>26087</v>
      </c>
      <c r="AF3256">
        <v>2</v>
      </c>
      <c r="AG3256" t="s">
        <v>224</v>
      </c>
      <c r="AH3256" s="36">
        <f t="shared" si="50"/>
        <v>48.25</v>
      </c>
      <c r="AI3256" s="41" t="s">
        <v>1780</v>
      </c>
    </row>
    <row r="3257" spans="1:35" x14ac:dyDescent="0.25">
      <c r="A3257" s="36">
        <v>99913255</v>
      </c>
      <c r="B3257" s="17" t="s">
        <v>32</v>
      </c>
      <c r="C3257" t="s">
        <v>139</v>
      </c>
      <c r="D3257" t="s">
        <v>140</v>
      </c>
      <c r="G3257" s="17" t="s">
        <v>48</v>
      </c>
      <c r="H3257" s="17">
        <v>1</v>
      </c>
      <c r="K3257" t="s">
        <v>223</v>
      </c>
      <c r="L3257" t="s">
        <v>224</v>
      </c>
      <c r="M3257" t="s">
        <v>131</v>
      </c>
      <c r="N3257">
        <v>18</v>
      </c>
      <c r="O3257" t="s">
        <v>40</v>
      </c>
      <c r="P3257" t="s">
        <v>40</v>
      </c>
      <c r="Q3257" t="s">
        <v>40</v>
      </c>
      <c r="R3257" t="s">
        <v>40</v>
      </c>
      <c r="S3257" t="s">
        <v>40</v>
      </c>
      <c r="V3257" t="s">
        <v>41</v>
      </c>
      <c r="W3257" t="s">
        <v>42</v>
      </c>
      <c r="X3257" t="str">
        <f>"0580395"</f>
        <v>0580395</v>
      </c>
      <c r="Y3257" t="s">
        <v>265</v>
      </c>
      <c r="Z3257" t="s">
        <v>223</v>
      </c>
      <c r="AA3257" t="s">
        <v>224</v>
      </c>
      <c r="AB3257" t="s">
        <v>131</v>
      </c>
      <c r="AC3257" t="s">
        <v>51</v>
      </c>
      <c r="AD3257" t="s">
        <v>45</v>
      </c>
      <c r="AE3257" s="1">
        <v>26087</v>
      </c>
      <c r="AF3257">
        <v>2</v>
      </c>
      <c r="AG3257" t="s">
        <v>224</v>
      </c>
      <c r="AH3257" s="36">
        <f t="shared" si="50"/>
        <v>48.25</v>
      </c>
      <c r="AI3257" s="41" t="s">
        <v>1780</v>
      </c>
    </row>
    <row r="3258" spans="1:35" x14ac:dyDescent="0.25">
      <c r="A3258" s="36">
        <v>99913256</v>
      </c>
      <c r="B3258" s="17" t="s">
        <v>32</v>
      </c>
      <c r="C3258" t="s">
        <v>111</v>
      </c>
      <c r="D3258" t="s">
        <v>112</v>
      </c>
      <c r="G3258" s="17" t="s">
        <v>35</v>
      </c>
      <c r="H3258" s="17">
        <v>1</v>
      </c>
      <c r="K3258" t="s">
        <v>268</v>
      </c>
      <c r="L3258" t="s">
        <v>269</v>
      </c>
      <c r="M3258" t="s">
        <v>131</v>
      </c>
      <c r="N3258">
        <v>23</v>
      </c>
      <c r="O3258" t="s">
        <v>40</v>
      </c>
      <c r="P3258" t="s">
        <v>40</v>
      </c>
      <c r="Q3258" t="s">
        <v>40</v>
      </c>
      <c r="S3258" t="s">
        <v>40</v>
      </c>
      <c r="V3258" t="s">
        <v>41</v>
      </c>
      <c r="W3258" t="s">
        <v>75</v>
      </c>
      <c r="X3258" t="str">
        <f>"7052008"</f>
        <v>7052008</v>
      </c>
      <c r="Y3258" t="s">
        <v>274</v>
      </c>
      <c r="Z3258" t="s">
        <v>268</v>
      </c>
      <c r="AA3258" t="s">
        <v>269</v>
      </c>
      <c r="AB3258" t="s">
        <v>131</v>
      </c>
      <c r="AC3258" t="s">
        <v>51</v>
      </c>
      <c r="AD3258" t="s">
        <v>45</v>
      </c>
      <c r="AE3258" s="1">
        <v>26085</v>
      </c>
      <c r="AF3258">
        <v>1</v>
      </c>
      <c r="AG3258" t="s">
        <v>269</v>
      </c>
      <c r="AH3258" s="36">
        <f t="shared" si="50"/>
        <v>48.255555555555553</v>
      </c>
      <c r="AI3258" s="41" t="s">
        <v>1780</v>
      </c>
    </row>
    <row r="3259" spans="1:35" x14ac:dyDescent="0.25">
      <c r="A3259" s="36">
        <v>99913257</v>
      </c>
      <c r="B3259" s="17" t="s">
        <v>32</v>
      </c>
      <c r="C3259" t="s">
        <v>64</v>
      </c>
      <c r="D3259" t="s">
        <v>65</v>
      </c>
      <c r="G3259" s="17" t="s">
        <v>35</v>
      </c>
      <c r="H3259" s="17">
        <v>1</v>
      </c>
      <c r="I3259" s="1">
        <v>42979</v>
      </c>
      <c r="J3259" s="1">
        <v>43344</v>
      </c>
      <c r="K3259" t="s">
        <v>1341</v>
      </c>
      <c r="L3259" t="s">
        <v>1342</v>
      </c>
      <c r="M3259" t="s">
        <v>1270</v>
      </c>
      <c r="N3259">
        <v>24</v>
      </c>
      <c r="O3259" t="s">
        <v>40</v>
      </c>
      <c r="S3259" t="s">
        <v>40</v>
      </c>
      <c r="U3259" s="1">
        <v>43344</v>
      </c>
      <c r="V3259" t="s">
        <v>41</v>
      </c>
      <c r="W3259" t="s">
        <v>75</v>
      </c>
      <c r="X3259" t="str">
        <f>"7191004"</f>
        <v>7191004</v>
      </c>
      <c r="Y3259" t="s">
        <v>1344</v>
      </c>
      <c r="Z3259" t="s">
        <v>1341</v>
      </c>
      <c r="AA3259" t="s">
        <v>1342</v>
      </c>
      <c r="AB3259" t="s">
        <v>1270</v>
      </c>
      <c r="AC3259" t="s">
        <v>44</v>
      </c>
      <c r="AD3259" t="s">
        <v>45</v>
      </c>
      <c r="AE3259" s="1">
        <v>26083</v>
      </c>
      <c r="AF3259">
        <v>1</v>
      </c>
      <c r="AG3259" t="s">
        <v>1342</v>
      </c>
      <c r="AH3259" s="36">
        <f t="shared" si="50"/>
        <v>48.261111111111113</v>
      </c>
      <c r="AI3259" s="41" t="s">
        <v>1780</v>
      </c>
    </row>
    <row r="3260" spans="1:35" x14ac:dyDescent="0.25">
      <c r="A3260" s="36">
        <v>99913258</v>
      </c>
      <c r="B3260" s="17" t="s">
        <v>32</v>
      </c>
      <c r="C3260" t="s">
        <v>139</v>
      </c>
      <c r="D3260" t="s">
        <v>140</v>
      </c>
      <c r="G3260" s="17" t="s">
        <v>48</v>
      </c>
      <c r="H3260" s="17">
        <v>1</v>
      </c>
      <c r="K3260" t="s">
        <v>268</v>
      </c>
      <c r="L3260" t="s">
        <v>269</v>
      </c>
      <c r="M3260" t="s">
        <v>131</v>
      </c>
      <c r="N3260">
        <v>19</v>
      </c>
      <c r="O3260" t="s">
        <v>40</v>
      </c>
      <c r="P3260" t="s">
        <v>40</v>
      </c>
      <c r="Q3260" t="s">
        <v>40</v>
      </c>
      <c r="R3260" t="s">
        <v>40</v>
      </c>
      <c r="S3260" t="s">
        <v>40</v>
      </c>
      <c r="V3260" t="s">
        <v>41</v>
      </c>
      <c r="W3260" t="s">
        <v>75</v>
      </c>
      <c r="X3260" t="str">
        <f>"7052008"</f>
        <v>7052008</v>
      </c>
      <c r="Y3260" t="s">
        <v>274</v>
      </c>
      <c r="Z3260" t="s">
        <v>268</v>
      </c>
      <c r="AA3260" t="s">
        <v>269</v>
      </c>
      <c r="AB3260" t="s">
        <v>131</v>
      </c>
      <c r="AC3260" t="s">
        <v>51</v>
      </c>
      <c r="AD3260" t="s">
        <v>45</v>
      </c>
      <c r="AE3260" s="1">
        <v>26081</v>
      </c>
      <c r="AF3260">
        <v>1</v>
      </c>
      <c r="AG3260" t="s">
        <v>269</v>
      </c>
      <c r="AH3260" s="36">
        <f t="shared" si="50"/>
        <v>48.266666666666666</v>
      </c>
      <c r="AI3260" s="41" t="s">
        <v>1780</v>
      </c>
    </row>
    <row r="3261" spans="1:35" x14ac:dyDescent="0.25">
      <c r="A3261" s="36">
        <v>99913259</v>
      </c>
      <c r="B3261" s="17" t="s">
        <v>32</v>
      </c>
      <c r="C3261" t="s">
        <v>139</v>
      </c>
      <c r="D3261" t="s">
        <v>140</v>
      </c>
      <c r="G3261" s="17" t="s">
        <v>48</v>
      </c>
      <c r="H3261" s="17">
        <v>1</v>
      </c>
      <c r="K3261" t="s">
        <v>345</v>
      </c>
      <c r="L3261" t="s">
        <v>346</v>
      </c>
      <c r="M3261" t="s">
        <v>131</v>
      </c>
      <c r="N3261">
        <v>21</v>
      </c>
      <c r="O3261" t="s">
        <v>40</v>
      </c>
      <c r="P3261" t="s">
        <v>40</v>
      </c>
      <c r="Q3261" t="s">
        <v>40</v>
      </c>
      <c r="R3261" t="s">
        <v>40</v>
      </c>
      <c r="S3261" t="s">
        <v>40</v>
      </c>
      <c r="V3261" t="s">
        <v>41</v>
      </c>
      <c r="W3261" t="s">
        <v>49</v>
      </c>
      <c r="X3261" t="str">
        <f>"0591906"</f>
        <v>0591906</v>
      </c>
      <c r="Y3261" t="s">
        <v>350</v>
      </c>
      <c r="Z3261" t="s">
        <v>345</v>
      </c>
      <c r="AA3261" t="s">
        <v>346</v>
      </c>
      <c r="AB3261" t="s">
        <v>131</v>
      </c>
      <c r="AC3261" t="s">
        <v>51</v>
      </c>
      <c r="AD3261" t="s">
        <v>45</v>
      </c>
      <c r="AE3261" s="1">
        <v>26076</v>
      </c>
      <c r="AF3261">
        <v>2</v>
      </c>
      <c r="AG3261" t="s">
        <v>346</v>
      </c>
      <c r="AH3261" s="36">
        <f t="shared" si="50"/>
        <v>48.280555555555559</v>
      </c>
      <c r="AI3261" s="41" t="s">
        <v>1780</v>
      </c>
    </row>
    <row r="3262" spans="1:35" x14ac:dyDescent="0.25">
      <c r="A3262" s="36">
        <v>99913260</v>
      </c>
      <c r="B3262" s="17" t="s">
        <v>32</v>
      </c>
      <c r="C3262" t="s">
        <v>90</v>
      </c>
      <c r="D3262" t="s">
        <v>91</v>
      </c>
      <c r="G3262" s="17" t="s">
        <v>48</v>
      </c>
      <c r="H3262" s="17">
        <v>1</v>
      </c>
      <c r="K3262" t="s">
        <v>354</v>
      </c>
      <c r="L3262" t="s">
        <v>355</v>
      </c>
      <c r="M3262" t="s">
        <v>131</v>
      </c>
      <c r="N3262">
        <v>23</v>
      </c>
      <c r="O3262" t="s">
        <v>40</v>
      </c>
      <c r="P3262" t="s">
        <v>40</v>
      </c>
      <c r="Q3262" t="s">
        <v>40</v>
      </c>
      <c r="S3262" t="s">
        <v>40</v>
      </c>
      <c r="V3262" t="s">
        <v>41</v>
      </c>
      <c r="W3262" t="s">
        <v>75</v>
      </c>
      <c r="X3262" t="str">
        <f>"7054002"</f>
        <v>7054002</v>
      </c>
      <c r="Y3262" t="s">
        <v>376</v>
      </c>
      <c r="Z3262" t="s">
        <v>354</v>
      </c>
      <c r="AA3262" t="s">
        <v>355</v>
      </c>
      <c r="AB3262" t="s">
        <v>131</v>
      </c>
      <c r="AC3262" t="s">
        <v>51</v>
      </c>
      <c r="AD3262" t="s">
        <v>45</v>
      </c>
      <c r="AE3262" s="1">
        <v>26076</v>
      </c>
      <c r="AF3262">
        <v>1</v>
      </c>
      <c r="AG3262" t="s">
        <v>355</v>
      </c>
      <c r="AH3262" s="36">
        <f t="shared" si="50"/>
        <v>48.280555555555559</v>
      </c>
      <c r="AI3262" s="41" t="s">
        <v>1780</v>
      </c>
    </row>
    <row r="3263" spans="1:35" x14ac:dyDescent="0.25">
      <c r="A3263" s="36">
        <v>99913261</v>
      </c>
      <c r="B3263" s="17" t="s">
        <v>32</v>
      </c>
      <c r="C3263" t="s">
        <v>79</v>
      </c>
      <c r="D3263" t="s">
        <v>80</v>
      </c>
      <c r="G3263" s="17" t="s">
        <v>35</v>
      </c>
      <c r="H3263" s="17">
        <v>1</v>
      </c>
      <c r="I3263">
        <v>9914</v>
      </c>
      <c r="J3263" s="1">
        <v>43432</v>
      </c>
      <c r="K3263" t="s">
        <v>877</v>
      </c>
      <c r="L3263" t="s">
        <v>878</v>
      </c>
      <c r="M3263" t="s">
        <v>131</v>
      </c>
      <c r="N3263">
        <v>23</v>
      </c>
      <c r="O3263" t="s">
        <v>40</v>
      </c>
      <c r="S3263" t="s">
        <v>40</v>
      </c>
      <c r="U3263" s="1">
        <v>43432</v>
      </c>
      <c r="V3263" t="s">
        <v>41</v>
      </c>
      <c r="W3263" t="s">
        <v>95</v>
      </c>
      <c r="X3263" t="str">
        <f>"7541001"</f>
        <v>7541001</v>
      </c>
      <c r="Y3263" t="s">
        <v>884</v>
      </c>
      <c r="Z3263" t="s">
        <v>877</v>
      </c>
      <c r="AA3263" t="s">
        <v>878</v>
      </c>
      <c r="AB3263" t="s">
        <v>131</v>
      </c>
      <c r="AC3263" t="s">
        <v>51</v>
      </c>
      <c r="AD3263" t="s">
        <v>45</v>
      </c>
      <c r="AE3263" s="1">
        <v>26075</v>
      </c>
      <c r="AF3263">
        <v>1</v>
      </c>
      <c r="AG3263" t="s">
        <v>878</v>
      </c>
      <c r="AH3263" s="36">
        <f t="shared" si="50"/>
        <v>48.283333333333331</v>
      </c>
      <c r="AI3263" s="41" t="s">
        <v>1780</v>
      </c>
    </row>
    <row r="3264" spans="1:35" x14ac:dyDescent="0.25">
      <c r="A3264" s="36">
        <v>99913262</v>
      </c>
      <c r="B3264" s="17" t="s">
        <v>56</v>
      </c>
      <c r="C3264" t="s">
        <v>46</v>
      </c>
      <c r="D3264" t="s">
        <v>47</v>
      </c>
      <c r="G3264" s="17" t="s">
        <v>35</v>
      </c>
      <c r="H3264" s="17">
        <v>1</v>
      </c>
      <c r="K3264" t="s">
        <v>345</v>
      </c>
      <c r="L3264" t="s">
        <v>346</v>
      </c>
      <c r="M3264" t="s">
        <v>131</v>
      </c>
      <c r="N3264">
        <v>20</v>
      </c>
      <c r="O3264" t="s">
        <v>40</v>
      </c>
      <c r="P3264" t="s">
        <v>40</v>
      </c>
      <c r="Q3264" t="s">
        <v>40</v>
      </c>
      <c r="R3264" t="s">
        <v>40</v>
      </c>
      <c r="S3264" t="s">
        <v>40</v>
      </c>
      <c r="V3264" t="s">
        <v>41</v>
      </c>
      <c r="W3264" t="s">
        <v>42</v>
      </c>
      <c r="X3264" t="str">
        <f>"0561006"</f>
        <v>0561006</v>
      </c>
      <c r="Y3264" t="s">
        <v>360</v>
      </c>
      <c r="Z3264" t="s">
        <v>345</v>
      </c>
      <c r="AA3264" t="s">
        <v>346</v>
      </c>
      <c r="AB3264" t="s">
        <v>131</v>
      </c>
      <c r="AC3264" t="s">
        <v>51</v>
      </c>
      <c r="AD3264" t="s">
        <v>45</v>
      </c>
      <c r="AE3264" s="1">
        <v>26074</v>
      </c>
      <c r="AF3264">
        <v>2</v>
      </c>
      <c r="AG3264" t="s">
        <v>346</v>
      </c>
      <c r="AH3264" s="36">
        <f t="shared" si="50"/>
        <v>48.286111111111111</v>
      </c>
      <c r="AI3264" s="41" t="s">
        <v>1780</v>
      </c>
    </row>
    <row r="3265" spans="1:35" x14ac:dyDescent="0.25">
      <c r="A3265" s="36">
        <v>99913263</v>
      </c>
      <c r="B3265" s="17" t="s">
        <v>32</v>
      </c>
      <c r="C3265" t="s">
        <v>90</v>
      </c>
      <c r="D3265" t="s">
        <v>91</v>
      </c>
      <c r="G3265" s="17" t="s">
        <v>48</v>
      </c>
      <c r="H3265" s="17">
        <v>1</v>
      </c>
      <c r="K3265" t="s">
        <v>354</v>
      </c>
      <c r="L3265" t="s">
        <v>355</v>
      </c>
      <c r="M3265" t="s">
        <v>131</v>
      </c>
      <c r="N3265">
        <v>25</v>
      </c>
      <c r="O3265" t="s">
        <v>40</v>
      </c>
      <c r="P3265" t="s">
        <v>40</v>
      </c>
      <c r="Q3265" t="s">
        <v>40</v>
      </c>
      <c r="R3265" t="s">
        <v>40</v>
      </c>
      <c r="S3265" t="s">
        <v>40</v>
      </c>
      <c r="V3265" t="s">
        <v>41</v>
      </c>
      <c r="W3265" t="s">
        <v>95</v>
      </c>
      <c r="X3265" t="str">
        <f>"7054091"</f>
        <v>7054091</v>
      </c>
      <c r="Y3265" t="s">
        <v>863</v>
      </c>
      <c r="Z3265" t="s">
        <v>354</v>
      </c>
      <c r="AA3265" t="s">
        <v>355</v>
      </c>
      <c r="AB3265" t="s">
        <v>131</v>
      </c>
      <c r="AC3265" t="s">
        <v>51</v>
      </c>
      <c r="AD3265" t="s">
        <v>45</v>
      </c>
      <c r="AE3265" s="1">
        <v>26068</v>
      </c>
      <c r="AF3265">
        <v>1</v>
      </c>
      <c r="AG3265" t="s">
        <v>355</v>
      </c>
      <c r="AH3265" s="36">
        <f t="shared" si="50"/>
        <v>48.302777777777777</v>
      </c>
      <c r="AI3265" s="41" t="s">
        <v>1780</v>
      </c>
    </row>
    <row r="3266" spans="1:35" x14ac:dyDescent="0.25">
      <c r="A3266" s="36">
        <v>99913264</v>
      </c>
      <c r="B3266" s="17" t="s">
        <v>56</v>
      </c>
      <c r="C3266" t="s">
        <v>82</v>
      </c>
      <c r="D3266" t="s">
        <v>83</v>
      </c>
      <c r="G3266" s="17" t="s">
        <v>35</v>
      </c>
      <c r="H3266" s="17">
        <v>1</v>
      </c>
      <c r="K3266" t="s">
        <v>157</v>
      </c>
      <c r="L3266" t="s">
        <v>158</v>
      </c>
      <c r="M3266" t="s">
        <v>131</v>
      </c>
      <c r="N3266">
        <v>21</v>
      </c>
      <c r="O3266" t="s">
        <v>40</v>
      </c>
      <c r="P3266" t="s">
        <v>40</v>
      </c>
      <c r="Q3266" t="s">
        <v>40</v>
      </c>
      <c r="R3266" t="s">
        <v>40</v>
      </c>
      <c r="S3266" t="s">
        <v>40</v>
      </c>
      <c r="V3266" t="s">
        <v>41</v>
      </c>
      <c r="W3266" t="s">
        <v>42</v>
      </c>
      <c r="X3266" t="str">
        <f>"0580470"</f>
        <v>0580470</v>
      </c>
      <c r="Y3266" t="s">
        <v>175</v>
      </c>
      <c r="Z3266" t="s">
        <v>157</v>
      </c>
      <c r="AA3266" t="s">
        <v>158</v>
      </c>
      <c r="AB3266" t="s">
        <v>131</v>
      </c>
      <c r="AC3266" t="s">
        <v>165</v>
      </c>
      <c r="AD3266" t="s">
        <v>45</v>
      </c>
      <c r="AE3266" s="1">
        <v>26067</v>
      </c>
      <c r="AF3266">
        <v>2</v>
      </c>
      <c r="AG3266" t="s">
        <v>158</v>
      </c>
      <c r="AH3266" s="36">
        <f t="shared" ref="AH3266:AH3329" si="51">($AJ$1-AE3266)/360</f>
        <v>48.305555555555557</v>
      </c>
      <c r="AI3266" s="41" t="s">
        <v>1780</v>
      </c>
    </row>
    <row r="3267" spans="1:35" x14ac:dyDescent="0.25">
      <c r="A3267" s="36">
        <v>99913265</v>
      </c>
      <c r="B3267" s="17" t="s">
        <v>56</v>
      </c>
      <c r="C3267" t="s">
        <v>46</v>
      </c>
      <c r="D3267" t="s">
        <v>47</v>
      </c>
      <c r="G3267" s="17" t="s">
        <v>48</v>
      </c>
      <c r="H3267" s="17">
        <v>9</v>
      </c>
      <c r="K3267" t="s">
        <v>1268</v>
      </c>
      <c r="L3267" t="s">
        <v>1269</v>
      </c>
      <c r="M3267" t="s">
        <v>1270</v>
      </c>
      <c r="N3267">
        <v>20</v>
      </c>
      <c r="O3267" t="s">
        <v>40</v>
      </c>
      <c r="P3267" t="s">
        <v>40</v>
      </c>
      <c r="Q3267" t="s">
        <v>40</v>
      </c>
      <c r="R3267" t="s">
        <v>40</v>
      </c>
      <c r="S3267" t="s">
        <v>40</v>
      </c>
      <c r="U3267" s="1">
        <v>43344</v>
      </c>
      <c r="V3267" t="s">
        <v>41</v>
      </c>
      <c r="W3267" t="s">
        <v>42</v>
      </c>
      <c r="X3267" t="str">
        <f>"1980060"</f>
        <v>1980060</v>
      </c>
      <c r="Y3267" t="s">
        <v>1277</v>
      </c>
      <c r="Z3267" t="s">
        <v>1268</v>
      </c>
      <c r="AA3267" t="s">
        <v>1269</v>
      </c>
      <c r="AB3267" t="s">
        <v>1270</v>
      </c>
      <c r="AC3267" t="s">
        <v>51</v>
      </c>
      <c r="AD3267" t="s">
        <v>45</v>
      </c>
      <c r="AE3267" s="1">
        <v>26065</v>
      </c>
      <c r="AF3267">
        <v>2</v>
      </c>
      <c r="AG3267" t="s">
        <v>1269</v>
      </c>
      <c r="AH3267" s="36">
        <f t="shared" si="51"/>
        <v>48.31111111111111</v>
      </c>
      <c r="AI3267" s="41" t="s">
        <v>1780</v>
      </c>
    </row>
    <row r="3268" spans="1:35" x14ac:dyDescent="0.25">
      <c r="A3268" s="36">
        <v>99913266</v>
      </c>
      <c r="B3268" s="17" t="s">
        <v>32</v>
      </c>
      <c r="C3268" t="s">
        <v>90</v>
      </c>
      <c r="D3268" t="s">
        <v>91</v>
      </c>
      <c r="G3268" s="17" t="s">
        <v>35</v>
      </c>
      <c r="H3268" s="17">
        <v>5</v>
      </c>
      <c r="K3268" t="s">
        <v>1221</v>
      </c>
      <c r="L3268" t="s">
        <v>1222</v>
      </c>
      <c r="M3268" t="s">
        <v>1130</v>
      </c>
      <c r="N3268">
        <v>25</v>
      </c>
      <c r="O3268" t="s">
        <v>40</v>
      </c>
      <c r="P3268" t="s">
        <v>40</v>
      </c>
      <c r="Q3268" t="s">
        <v>40</v>
      </c>
      <c r="R3268" t="s">
        <v>40</v>
      </c>
      <c r="S3268" t="s">
        <v>40</v>
      </c>
      <c r="V3268" t="s">
        <v>41</v>
      </c>
      <c r="W3268" t="s">
        <v>95</v>
      </c>
      <c r="X3268" t="str">
        <f>"7351011"</f>
        <v>7351011</v>
      </c>
      <c r="Y3268" t="s">
        <v>1238</v>
      </c>
      <c r="Z3268" t="s">
        <v>1221</v>
      </c>
      <c r="AA3268" t="s">
        <v>1222</v>
      </c>
      <c r="AB3268" t="s">
        <v>1130</v>
      </c>
      <c r="AC3268" t="s">
        <v>51</v>
      </c>
      <c r="AD3268" t="s">
        <v>45</v>
      </c>
      <c r="AE3268" s="1">
        <v>26064</v>
      </c>
      <c r="AF3268">
        <v>1</v>
      </c>
      <c r="AG3268" t="s">
        <v>1222</v>
      </c>
      <c r="AH3268" s="36">
        <f t="shared" si="51"/>
        <v>48.31388888888889</v>
      </c>
      <c r="AI3268" s="41" t="s">
        <v>1780</v>
      </c>
    </row>
    <row r="3269" spans="1:35" x14ac:dyDescent="0.25">
      <c r="A3269" s="36">
        <v>99913267</v>
      </c>
      <c r="B3269" s="17" t="s">
        <v>56</v>
      </c>
      <c r="C3269" t="s">
        <v>52</v>
      </c>
      <c r="D3269" t="s">
        <v>53</v>
      </c>
      <c r="G3269" s="17" t="s">
        <v>35</v>
      </c>
      <c r="H3269" s="17">
        <v>1</v>
      </c>
      <c r="K3269" t="s">
        <v>157</v>
      </c>
      <c r="L3269" t="s">
        <v>158</v>
      </c>
      <c r="M3269" t="s">
        <v>131</v>
      </c>
      <c r="N3269">
        <v>23</v>
      </c>
      <c r="O3269" t="s">
        <v>40</v>
      </c>
      <c r="P3269" t="s">
        <v>40</v>
      </c>
      <c r="Q3269" t="s">
        <v>40</v>
      </c>
      <c r="R3269" t="s">
        <v>40</v>
      </c>
      <c r="S3269" t="s">
        <v>40</v>
      </c>
      <c r="V3269" t="s">
        <v>41</v>
      </c>
      <c r="W3269" t="s">
        <v>49</v>
      </c>
      <c r="X3269" t="str">
        <f>"0581725"</f>
        <v>0581725</v>
      </c>
      <c r="Y3269" t="s">
        <v>161</v>
      </c>
      <c r="Z3269" t="s">
        <v>157</v>
      </c>
      <c r="AA3269" t="s">
        <v>158</v>
      </c>
      <c r="AB3269" t="s">
        <v>131</v>
      </c>
      <c r="AC3269" t="s">
        <v>51</v>
      </c>
      <c r="AD3269" t="s">
        <v>45</v>
      </c>
      <c r="AE3269" s="1">
        <v>26063</v>
      </c>
      <c r="AF3269">
        <v>2</v>
      </c>
      <c r="AG3269" t="s">
        <v>158</v>
      </c>
      <c r="AH3269" s="36">
        <f t="shared" si="51"/>
        <v>48.31666666666667</v>
      </c>
      <c r="AI3269" s="41" t="s">
        <v>1780</v>
      </c>
    </row>
    <row r="3270" spans="1:35" x14ac:dyDescent="0.25">
      <c r="A3270" s="36">
        <v>99913268</v>
      </c>
      <c r="B3270" s="17" t="s">
        <v>56</v>
      </c>
      <c r="C3270" t="s">
        <v>79</v>
      </c>
      <c r="D3270" t="s">
        <v>80</v>
      </c>
      <c r="G3270" s="17" t="s">
        <v>35</v>
      </c>
      <c r="H3270" s="17">
        <v>1</v>
      </c>
      <c r="K3270" t="s">
        <v>1341</v>
      </c>
      <c r="L3270" t="s">
        <v>1342</v>
      </c>
      <c r="M3270" t="s">
        <v>1270</v>
      </c>
      <c r="N3270">
        <v>22</v>
      </c>
      <c r="O3270" t="s">
        <v>40</v>
      </c>
      <c r="P3270" t="s">
        <v>40</v>
      </c>
      <c r="Q3270" t="s">
        <v>40</v>
      </c>
      <c r="S3270" t="s">
        <v>40</v>
      </c>
      <c r="V3270" t="s">
        <v>41</v>
      </c>
      <c r="W3270" t="s">
        <v>75</v>
      </c>
      <c r="X3270" t="str">
        <f>"7191006"</f>
        <v>7191006</v>
      </c>
      <c r="Y3270" t="s">
        <v>1351</v>
      </c>
      <c r="Z3270" t="s">
        <v>1341</v>
      </c>
      <c r="AA3270" t="s">
        <v>1342</v>
      </c>
      <c r="AB3270" t="s">
        <v>1270</v>
      </c>
      <c r="AC3270" t="s">
        <v>51</v>
      </c>
      <c r="AD3270" t="s">
        <v>45</v>
      </c>
      <c r="AE3270" s="1">
        <v>26063</v>
      </c>
      <c r="AF3270">
        <v>1</v>
      </c>
      <c r="AG3270" t="s">
        <v>1342</v>
      </c>
      <c r="AH3270" s="36">
        <f t="shared" si="51"/>
        <v>48.31666666666667</v>
      </c>
      <c r="AI3270" s="41" t="s">
        <v>1780</v>
      </c>
    </row>
    <row r="3271" spans="1:35" x14ac:dyDescent="0.25">
      <c r="A3271" s="36">
        <v>99913269</v>
      </c>
      <c r="B3271" s="17" t="s">
        <v>56</v>
      </c>
      <c r="C3271" t="s">
        <v>259</v>
      </c>
      <c r="D3271" t="s">
        <v>260</v>
      </c>
      <c r="G3271" s="17" t="s">
        <v>48</v>
      </c>
      <c r="H3271" s="17">
        <v>1</v>
      </c>
      <c r="K3271" t="s">
        <v>223</v>
      </c>
      <c r="L3271" t="s">
        <v>224</v>
      </c>
      <c r="M3271" t="s">
        <v>131</v>
      </c>
      <c r="N3271">
        <v>20</v>
      </c>
      <c r="O3271" t="s">
        <v>40</v>
      </c>
      <c r="P3271" t="s">
        <v>40</v>
      </c>
      <c r="Q3271" t="s">
        <v>40</v>
      </c>
      <c r="S3271" t="s">
        <v>40</v>
      </c>
      <c r="V3271" t="s">
        <v>41</v>
      </c>
      <c r="W3271" t="s">
        <v>49</v>
      </c>
      <c r="X3271" t="str">
        <f>"0581206"</f>
        <v>0581206</v>
      </c>
      <c r="Y3271" t="s">
        <v>232</v>
      </c>
      <c r="Z3271" t="s">
        <v>223</v>
      </c>
      <c r="AA3271" t="s">
        <v>224</v>
      </c>
      <c r="AB3271" t="s">
        <v>131</v>
      </c>
      <c r="AC3271" t="s">
        <v>51</v>
      </c>
      <c r="AD3271" t="s">
        <v>45</v>
      </c>
      <c r="AE3271" s="1">
        <v>26058</v>
      </c>
      <c r="AF3271">
        <v>2</v>
      </c>
      <c r="AG3271" t="s">
        <v>224</v>
      </c>
      <c r="AH3271" s="36">
        <f t="shared" si="51"/>
        <v>48.330555555555556</v>
      </c>
      <c r="AI3271" s="41" t="s">
        <v>1780</v>
      </c>
    </row>
    <row r="3272" spans="1:35" x14ac:dyDescent="0.25">
      <c r="A3272" s="36">
        <v>99913270</v>
      </c>
      <c r="B3272" s="17" t="s">
        <v>32</v>
      </c>
      <c r="C3272" t="s">
        <v>82</v>
      </c>
      <c r="D3272" t="s">
        <v>83</v>
      </c>
      <c r="G3272" s="17" t="s">
        <v>48</v>
      </c>
      <c r="H3272" s="17">
        <v>1</v>
      </c>
      <c r="K3272" t="s">
        <v>345</v>
      </c>
      <c r="L3272" t="s">
        <v>346</v>
      </c>
      <c r="M3272" t="s">
        <v>131</v>
      </c>
      <c r="N3272">
        <v>20</v>
      </c>
      <c r="O3272" t="s">
        <v>40</v>
      </c>
      <c r="P3272" t="s">
        <v>40</v>
      </c>
      <c r="Q3272" t="s">
        <v>40</v>
      </c>
      <c r="R3272" t="s">
        <v>40</v>
      </c>
      <c r="S3272" t="s">
        <v>40</v>
      </c>
      <c r="V3272" t="s">
        <v>41</v>
      </c>
      <c r="W3272" t="s">
        <v>42</v>
      </c>
      <c r="X3272" t="str">
        <f>"0580650"</f>
        <v>0580650</v>
      </c>
      <c r="Y3272" t="s">
        <v>356</v>
      </c>
      <c r="Z3272" t="s">
        <v>345</v>
      </c>
      <c r="AA3272" t="s">
        <v>346</v>
      </c>
      <c r="AB3272" t="s">
        <v>131</v>
      </c>
      <c r="AC3272" t="s">
        <v>51</v>
      </c>
      <c r="AD3272" t="s">
        <v>45</v>
      </c>
      <c r="AE3272" s="1">
        <v>26058</v>
      </c>
      <c r="AF3272">
        <v>2</v>
      </c>
      <c r="AG3272" t="s">
        <v>346</v>
      </c>
      <c r="AH3272" s="36">
        <f t="shared" si="51"/>
        <v>48.330555555555556</v>
      </c>
      <c r="AI3272" s="41" t="s">
        <v>1780</v>
      </c>
    </row>
    <row r="3273" spans="1:35" x14ac:dyDescent="0.25">
      <c r="A3273" s="36">
        <v>99913271</v>
      </c>
      <c r="B3273" s="17" t="s">
        <v>56</v>
      </c>
      <c r="C3273" t="s">
        <v>52</v>
      </c>
      <c r="D3273" t="s">
        <v>53</v>
      </c>
      <c r="G3273" s="17" t="s">
        <v>35</v>
      </c>
      <c r="H3273" s="17">
        <v>1</v>
      </c>
      <c r="K3273" t="s">
        <v>1546</v>
      </c>
      <c r="L3273" t="s">
        <v>1547</v>
      </c>
      <c r="M3273" t="s">
        <v>1548</v>
      </c>
      <c r="N3273">
        <v>20</v>
      </c>
      <c r="O3273" t="s">
        <v>40</v>
      </c>
      <c r="P3273" t="s">
        <v>40</v>
      </c>
      <c r="Q3273" t="s">
        <v>40</v>
      </c>
      <c r="S3273" t="s">
        <v>40</v>
      </c>
      <c r="V3273" t="s">
        <v>41</v>
      </c>
      <c r="W3273" t="s">
        <v>42</v>
      </c>
      <c r="X3273" t="str">
        <f>"1080010"</f>
        <v>1080010</v>
      </c>
      <c r="Y3273" t="s">
        <v>1549</v>
      </c>
      <c r="Z3273" t="s">
        <v>1546</v>
      </c>
      <c r="AA3273" t="s">
        <v>1547</v>
      </c>
      <c r="AB3273" t="s">
        <v>1548</v>
      </c>
      <c r="AC3273" t="s">
        <v>51</v>
      </c>
      <c r="AD3273" t="s">
        <v>45</v>
      </c>
      <c r="AE3273" s="1">
        <v>26057</v>
      </c>
      <c r="AF3273">
        <v>2</v>
      </c>
      <c r="AG3273" t="s">
        <v>1547</v>
      </c>
      <c r="AH3273" s="36">
        <f t="shared" si="51"/>
        <v>48.333333333333336</v>
      </c>
      <c r="AI3273" s="41" t="s">
        <v>1780</v>
      </c>
    </row>
    <row r="3274" spans="1:35" x14ac:dyDescent="0.25">
      <c r="A3274" s="36">
        <v>99913272</v>
      </c>
      <c r="B3274" s="17" t="s">
        <v>32</v>
      </c>
      <c r="C3274" t="s">
        <v>46</v>
      </c>
      <c r="D3274" t="s">
        <v>47</v>
      </c>
      <c r="G3274" s="17" t="s">
        <v>35</v>
      </c>
      <c r="H3274" s="17">
        <v>1</v>
      </c>
      <c r="K3274" t="s">
        <v>223</v>
      </c>
      <c r="L3274" t="s">
        <v>224</v>
      </c>
      <c r="M3274" t="s">
        <v>131</v>
      </c>
      <c r="N3274">
        <v>20</v>
      </c>
      <c r="O3274" t="s">
        <v>40</v>
      </c>
      <c r="P3274" t="s">
        <v>40</v>
      </c>
      <c r="Q3274" t="s">
        <v>40</v>
      </c>
      <c r="S3274" t="s">
        <v>40</v>
      </c>
      <c r="V3274" t="s">
        <v>41</v>
      </c>
      <c r="W3274" t="s">
        <v>42</v>
      </c>
      <c r="X3274" t="str">
        <f>"0590901"</f>
        <v>0590901</v>
      </c>
      <c r="Y3274" t="s">
        <v>242</v>
      </c>
      <c r="Z3274" t="s">
        <v>223</v>
      </c>
      <c r="AA3274" t="s">
        <v>224</v>
      </c>
      <c r="AB3274" t="s">
        <v>131</v>
      </c>
      <c r="AC3274" t="s">
        <v>51</v>
      </c>
      <c r="AD3274" t="s">
        <v>45</v>
      </c>
      <c r="AE3274" s="1">
        <v>26055</v>
      </c>
      <c r="AF3274">
        <v>2</v>
      </c>
      <c r="AG3274" t="s">
        <v>224</v>
      </c>
      <c r="AH3274" s="36">
        <f t="shared" si="51"/>
        <v>48.338888888888889</v>
      </c>
      <c r="AI3274" s="41" t="s">
        <v>1780</v>
      </c>
    </row>
    <row r="3275" spans="1:35" x14ac:dyDescent="0.25">
      <c r="A3275" s="36">
        <v>99913273</v>
      </c>
      <c r="B3275" s="17" t="s">
        <v>32</v>
      </c>
      <c r="C3275" t="s">
        <v>46</v>
      </c>
      <c r="D3275" t="s">
        <v>47</v>
      </c>
      <c r="G3275" s="17" t="s">
        <v>35</v>
      </c>
      <c r="H3275" s="17">
        <v>1</v>
      </c>
      <c r="K3275" t="s">
        <v>1626</v>
      </c>
      <c r="L3275" t="s">
        <v>1627</v>
      </c>
      <c r="M3275" t="s">
        <v>1592</v>
      </c>
      <c r="N3275">
        <v>10</v>
      </c>
      <c r="O3275" t="s">
        <v>40</v>
      </c>
      <c r="P3275" t="s">
        <v>40</v>
      </c>
      <c r="Q3275" t="s">
        <v>40</v>
      </c>
      <c r="R3275" t="s">
        <v>40</v>
      </c>
      <c r="S3275" t="s">
        <v>40</v>
      </c>
      <c r="V3275" t="s">
        <v>41</v>
      </c>
      <c r="W3275" t="s">
        <v>49</v>
      </c>
      <c r="X3275" t="str">
        <f>"3681015"</f>
        <v>3681015</v>
      </c>
      <c r="Y3275" t="s">
        <v>1629</v>
      </c>
      <c r="Z3275" t="s">
        <v>1626</v>
      </c>
      <c r="AA3275" t="s">
        <v>1627</v>
      </c>
      <c r="AB3275" t="s">
        <v>1592</v>
      </c>
      <c r="AC3275" t="s">
        <v>51</v>
      </c>
      <c r="AD3275" t="s">
        <v>45</v>
      </c>
      <c r="AE3275" s="1">
        <v>26050</v>
      </c>
      <c r="AF3275">
        <v>2</v>
      </c>
      <c r="AG3275" t="s">
        <v>1627</v>
      </c>
      <c r="AH3275" s="36">
        <f t="shared" si="51"/>
        <v>48.352777777777774</v>
      </c>
      <c r="AI3275" s="41" t="s">
        <v>1780</v>
      </c>
    </row>
    <row r="3276" spans="1:35" x14ac:dyDescent="0.25">
      <c r="A3276" s="36">
        <v>99913274</v>
      </c>
      <c r="B3276" s="17" t="s">
        <v>32</v>
      </c>
      <c r="C3276" t="s">
        <v>64</v>
      </c>
      <c r="D3276" t="s">
        <v>65</v>
      </c>
      <c r="G3276" s="17" t="s">
        <v>48</v>
      </c>
      <c r="H3276" s="17">
        <v>1</v>
      </c>
      <c r="K3276" t="s">
        <v>223</v>
      </c>
      <c r="L3276" t="s">
        <v>224</v>
      </c>
      <c r="M3276" t="s">
        <v>131</v>
      </c>
      <c r="N3276">
        <v>20</v>
      </c>
      <c r="O3276" t="s">
        <v>40</v>
      </c>
      <c r="P3276" t="s">
        <v>40</v>
      </c>
      <c r="Q3276" t="s">
        <v>40</v>
      </c>
      <c r="R3276" t="s">
        <v>40</v>
      </c>
      <c r="S3276" t="s">
        <v>40</v>
      </c>
      <c r="V3276" t="s">
        <v>41</v>
      </c>
      <c r="W3276" t="s">
        <v>42</v>
      </c>
      <c r="X3276" t="str">
        <f>"0580202"</f>
        <v>0580202</v>
      </c>
      <c r="Y3276" t="s">
        <v>240</v>
      </c>
      <c r="Z3276" t="s">
        <v>223</v>
      </c>
      <c r="AA3276" t="s">
        <v>224</v>
      </c>
      <c r="AB3276" t="s">
        <v>131</v>
      </c>
      <c r="AC3276" t="s">
        <v>165</v>
      </c>
      <c r="AD3276" t="s">
        <v>45</v>
      </c>
      <c r="AE3276" s="1">
        <v>26049</v>
      </c>
      <c r="AF3276">
        <v>2</v>
      </c>
      <c r="AG3276" t="s">
        <v>224</v>
      </c>
      <c r="AH3276" s="36">
        <f t="shared" si="51"/>
        <v>48.355555555555554</v>
      </c>
      <c r="AI3276" s="41" t="s">
        <v>1780</v>
      </c>
    </row>
    <row r="3277" spans="1:35" x14ac:dyDescent="0.25">
      <c r="A3277" s="36">
        <v>99913275</v>
      </c>
      <c r="B3277" s="17" t="s">
        <v>32</v>
      </c>
      <c r="C3277" t="s">
        <v>46</v>
      </c>
      <c r="D3277" t="s">
        <v>47</v>
      </c>
      <c r="G3277" s="17" t="s">
        <v>35</v>
      </c>
      <c r="H3277" s="17">
        <v>1</v>
      </c>
      <c r="K3277" t="s">
        <v>300</v>
      </c>
      <c r="L3277" t="s">
        <v>301</v>
      </c>
      <c r="M3277" t="s">
        <v>131</v>
      </c>
      <c r="N3277">
        <v>25</v>
      </c>
      <c r="O3277" t="s">
        <v>40</v>
      </c>
      <c r="P3277" t="s">
        <v>40</v>
      </c>
      <c r="Q3277" t="s">
        <v>40</v>
      </c>
      <c r="R3277" t="s">
        <v>40</v>
      </c>
      <c r="S3277" t="s">
        <v>40</v>
      </c>
      <c r="V3277" t="s">
        <v>41</v>
      </c>
      <c r="W3277" t="s">
        <v>42</v>
      </c>
      <c r="X3277" t="str">
        <f>"0580457"</f>
        <v>0580457</v>
      </c>
      <c r="Y3277" t="s">
        <v>310</v>
      </c>
      <c r="Z3277" t="s">
        <v>300</v>
      </c>
      <c r="AA3277" t="s">
        <v>301</v>
      </c>
      <c r="AB3277" t="s">
        <v>131</v>
      </c>
      <c r="AC3277" t="s">
        <v>51</v>
      </c>
      <c r="AD3277" t="s">
        <v>45</v>
      </c>
      <c r="AE3277" s="1">
        <v>26049</v>
      </c>
      <c r="AF3277">
        <v>2</v>
      </c>
      <c r="AG3277" t="s">
        <v>301</v>
      </c>
      <c r="AH3277" s="36">
        <f t="shared" si="51"/>
        <v>48.355555555555554</v>
      </c>
      <c r="AI3277" s="41" t="s">
        <v>1780</v>
      </c>
    </row>
    <row r="3278" spans="1:35" x14ac:dyDescent="0.25">
      <c r="A3278" s="36">
        <v>99913276</v>
      </c>
      <c r="B3278" s="17" t="s">
        <v>32</v>
      </c>
      <c r="C3278" t="s">
        <v>33</v>
      </c>
      <c r="D3278" t="s">
        <v>34</v>
      </c>
      <c r="G3278" s="17" t="s">
        <v>35</v>
      </c>
      <c r="H3278" s="17">
        <v>1</v>
      </c>
      <c r="I3278" t="s">
        <v>1166</v>
      </c>
      <c r="J3278" s="1">
        <v>43049</v>
      </c>
      <c r="K3278" t="s">
        <v>1128</v>
      </c>
      <c r="L3278" t="s">
        <v>1129</v>
      </c>
      <c r="M3278" t="s">
        <v>1130</v>
      </c>
      <c r="N3278">
        <v>23</v>
      </c>
      <c r="O3278" t="s">
        <v>40</v>
      </c>
      <c r="P3278" t="s">
        <v>40</v>
      </c>
      <c r="Q3278" t="s">
        <v>40</v>
      </c>
      <c r="S3278" t="s">
        <v>40</v>
      </c>
      <c r="U3278" s="1">
        <v>43049</v>
      </c>
      <c r="V3278" t="s">
        <v>41</v>
      </c>
      <c r="W3278" t="s">
        <v>42</v>
      </c>
      <c r="X3278" t="str">
        <f>"3180010"</f>
        <v>3180010</v>
      </c>
      <c r="Y3278" t="s">
        <v>1132</v>
      </c>
      <c r="Z3278" t="s">
        <v>1128</v>
      </c>
      <c r="AA3278" t="s">
        <v>1129</v>
      </c>
      <c r="AB3278" t="s">
        <v>1130</v>
      </c>
      <c r="AC3278" t="s">
        <v>44</v>
      </c>
      <c r="AD3278" t="s">
        <v>45</v>
      </c>
      <c r="AE3278" s="1">
        <v>26048</v>
      </c>
      <c r="AF3278">
        <v>2</v>
      </c>
      <c r="AG3278" t="s">
        <v>1129</v>
      </c>
      <c r="AH3278" s="36">
        <f t="shared" si="51"/>
        <v>48.358333333333334</v>
      </c>
      <c r="AI3278" s="41" t="s">
        <v>1780</v>
      </c>
    </row>
    <row r="3279" spans="1:35" x14ac:dyDescent="0.25">
      <c r="A3279" s="36">
        <v>99913277</v>
      </c>
      <c r="B3279" s="17" t="s">
        <v>32</v>
      </c>
      <c r="C3279" t="s">
        <v>64</v>
      </c>
      <c r="D3279" t="s">
        <v>65</v>
      </c>
      <c r="G3279" s="17" t="s">
        <v>48</v>
      </c>
      <c r="H3279" s="17">
        <v>10</v>
      </c>
      <c r="I3279" t="s">
        <v>203</v>
      </c>
      <c r="J3279" s="1">
        <v>36404</v>
      </c>
      <c r="K3279" t="s">
        <v>157</v>
      </c>
      <c r="L3279" t="s">
        <v>158</v>
      </c>
      <c r="M3279" t="s">
        <v>131</v>
      </c>
      <c r="N3279">
        <v>21</v>
      </c>
      <c r="O3279" t="s">
        <v>40</v>
      </c>
      <c r="P3279" t="s">
        <v>40</v>
      </c>
      <c r="Q3279" t="s">
        <v>40</v>
      </c>
      <c r="R3279" t="s">
        <v>40</v>
      </c>
      <c r="S3279" t="s">
        <v>40</v>
      </c>
      <c r="U3279" s="1">
        <v>36404</v>
      </c>
      <c r="V3279" t="s">
        <v>41</v>
      </c>
      <c r="W3279" t="s">
        <v>49</v>
      </c>
      <c r="X3279" t="str">
        <f>"0560010"</f>
        <v>0560010</v>
      </c>
      <c r="Y3279" t="s">
        <v>179</v>
      </c>
      <c r="Z3279" t="s">
        <v>157</v>
      </c>
      <c r="AA3279" t="s">
        <v>158</v>
      </c>
      <c r="AB3279" t="s">
        <v>131</v>
      </c>
      <c r="AC3279" t="s">
        <v>51</v>
      </c>
      <c r="AD3279" t="s">
        <v>45</v>
      </c>
      <c r="AE3279" s="1">
        <v>26047</v>
      </c>
      <c r="AF3279">
        <v>2</v>
      </c>
      <c r="AG3279" t="s">
        <v>158</v>
      </c>
      <c r="AH3279" s="36">
        <f t="shared" si="51"/>
        <v>48.361111111111114</v>
      </c>
      <c r="AI3279" s="41" t="s">
        <v>1780</v>
      </c>
    </row>
    <row r="3280" spans="1:35" x14ac:dyDescent="0.25">
      <c r="A3280" s="36">
        <v>99913278</v>
      </c>
      <c r="B3280" s="17" t="s">
        <v>56</v>
      </c>
      <c r="C3280" t="s">
        <v>68</v>
      </c>
      <c r="D3280" t="s">
        <v>69</v>
      </c>
      <c r="G3280" s="17" t="s">
        <v>48</v>
      </c>
      <c r="H3280" s="17">
        <v>1</v>
      </c>
      <c r="K3280" t="s">
        <v>129</v>
      </c>
      <c r="L3280" t="s">
        <v>130</v>
      </c>
      <c r="M3280" t="s">
        <v>131</v>
      </c>
      <c r="N3280">
        <v>20</v>
      </c>
      <c r="O3280" t="s">
        <v>40</v>
      </c>
      <c r="P3280" t="s">
        <v>40</v>
      </c>
      <c r="Q3280" t="s">
        <v>40</v>
      </c>
      <c r="S3280" t="s">
        <v>40</v>
      </c>
      <c r="V3280" t="s">
        <v>41</v>
      </c>
      <c r="W3280" t="s">
        <v>49</v>
      </c>
      <c r="X3280" t="str">
        <f>"0560024"</f>
        <v>0560024</v>
      </c>
      <c r="Y3280" t="s">
        <v>138</v>
      </c>
      <c r="Z3280" t="s">
        <v>129</v>
      </c>
      <c r="AA3280" t="s">
        <v>130</v>
      </c>
      <c r="AB3280" t="s">
        <v>131</v>
      </c>
      <c r="AC3280" t="s">
        <v>51</v>
      </c>
      <c r="AD3280" t="s">
        <v>45</v>
      </c>
      <c r="AE3280" s="1">
        <v>26042</v>
      </c>
      <c r="AF3280">
        <v>2</v>
      </c>
      <c r="AG3280" t="s">
        <v>130</v>
      </c>
      <c r="AH3280" s="36">
        <f t="shared" si="51"/>
        <v>48.375</v>
      </c>
      <c r="AI3280" s="41" t="s">
        <v>1780</v>
      </c>
    </row>
    <row r="3281" spans="1:35" x14ac:dyDescent="0.25">
      <c r="A3281" s="36">
        <v>99913279</v>
      </c>
      <c r="B3281" s="17" t="s">
        <v>32</v>
      </c>
      <c r="C3281" t="s">
        <v>64</v>
      </c>
      <c r="D3281" t="s">
        <v>65</v>
      </c>
      <c r="G3281" s="17" t="s">
        <v>48</v>
      </c>
      <c r="H3281" s="17">
        <v>1</v>
      </c>
      <c r="K3281" t="s">
        <v>300</v>
      </c>
      <c r="L3281" t="s">
        <v>301</v>
      </c>
      <c r="M3281" t="s">
        <v>131</v>
      </c>
      <c r="N3281">
        <v>21</v>
      </c>
      <c r="O3281" t="s">
        <v>40</v>
      </c>
      <c r="P3281" t="s">
        <v>40</v>
      </c>
      <c r="Q3281" t="s">
        <v>40</v>
      </c>
      <c r="R3281" t="s">
        <v>40</v>
      </c>
      <c r="S3281" t="s">
        <v>40</v>
      </c>
      <c r="V3281" t="s">
        <v>41</v>
      </c>
      <c r="W3281" t="s">
        <v>49</v>
      </c>
      <c r="X3281" t="str">
        <f>"0560001"</f>
        <v>0560001</v>
      </c>
      <c r="Y3281" t="s">
        <v>304</v>
      </c>
      <c r="Z3281" t="s">
        <v>300</v>
      </c>
      <c r="AA3281" t="s">
        <v>301</v>
      </c>
      <c r="AB3281" t="s">
        <v>131</v>
      </c>
      <c r="AC3281" t="s">
        <v>51</v>
      </c>
      <c r="AD3281" t="s">
        <v>45</v>
      </c>
      <c r="AE3281" s="1">
        <v>26040</v>
      </c>
      <c r="AF3281">
        <v>2</v>
      </c>
      <c r="AG3281" t="s">
        <v>301</v>
      </c>
      <c r="AH3281" s="36">
        <f t="shared" si="51"/>
        <v>48.380555555555553</v>
      </c>
      <c r="AI3281" s="41" t="s">
        <v>1780</v>
      </c>
    </row>
    <row r="3282" spans="1:35" x14ac:dyDescent="0.25">
      <c r="A3282" s="36">
        <v>99913280</v>
      </c>
      <c r="B3282" s="17" t="s">
        <v>56</v>
      </c>
      <c r="C3282" t="s">
        <v>82</v>
      </c>
      <c r="D3282" t="s">
        <v>83</v>
      </c>
      <c r="G3282" s="17" t="s">
        <v>35</v>
      </c>
      <c r="H3282" s="17">
        <v>1</v>
      </c>
      <c r="K3282" t="s">
        <v>223</v>
      </c>
      <c r="L3282" t="s">
        <v>224</v>
      </c>
      <c r="M3282" t="s">
        <v>131</v>
      </c>
      <c r="N3282">
        <v>15</v>
      </c>
      <c r="O3282" t="s">
        <v>40</v>
      </c>
      <c r="P3282" t="s">
        <v>40</v>
      </c>
      <c r="Q3282" t="s">
        <v>40</v>
      </c>
      <c r="S3282" t="s">
        <v>40</v>
      </c>
      <c r="V3282" t="s">
        <v>41</v>
      </c>
      <c r="W3282" t="s">
        <v>42</v>
      </c>
      <c r="X3282" t="str">
        <f>"0590903"</f>
        <v>0590903</v>
      </c>
      <c r="Y3282" t="s">
        <v>226</v>
      </c>
      <c r="Z3282" t="s">
        <v>223</v>
      </c>
      <c r="AA3282" t="s">
        <v>224</v>
      </c>
      <c r="AB3282" t="s">
        <v>131</v>
      </c>
      <c r="AC3282" t="s">
        <v>51</v>
      </c>
      <c r="AD3282" t="s">
        <v>45</v>
      </c>
      <c r="AE3282" s="1">
        <v>26038</v>
      </c>
      <c r="AF3282">
        <v>2</v>
      </c>
      <c r="AG3282" t="s">
        <v>224</v>
      </c>
      <c r="AH3282" s="36">
        <f t="shared" si="51"/>
        <v>48.386111111111113</v>
      </c>
      <c r="AI3282" s="41" t="s">
        <v>1780</v>
      </c>
    </row>
    <row r="3283" spans="1:35" x14ac:dyDescent="0.25">
      <c r="A3283" s="36">
        <v>99913281</v>
      </c>
      <c r="B3283" s="17" t="s">
        <v>32</v>
      </c>
      <c r="C3283" t="s">
        <v>46</v>
      </c>
      <c r="D3283" t="s">
        <v>47</v>
      </c>
      <c r="G3283" s="17" t="s">
        <v>48</v>
      </c>
      <c r="H3283" s="17">
        <v>1</v>
      </c>
      <c r="K3283" t="s">
        <v>300</v>
      </c>
      <c r="L3283" t="s">
        <v>301</v>
      </c>
      <c r="M3283" t="s">
        <v>131</v>
      </c>
      <c r="N3283">
        <v>21</v>
      </c>
      <c r="O3283" t="s">
        <v>40</v>
      </c>
      <c r="P3283" t="s">
        <v>40</v>
      </c>
      <c r="Q3283" t="s">
        <v>40</v>
      </c>
      <c r="R3283" t="s">
        <v>40</v>
      </c>
      <c r="S3283" t="s">
        <v>40</v>
      </c>
      <c r="V3283" t="s">
        <v>41</v>
      </c>
      <c r="W3283" t="s">
        <v>42</v>
      </c>
      <c r="X3283" t="str">
        <f>"0580176"</f>
        <v>0580176</v>
      </c>
      <c r="Y3283" t="s">
        <v>305</v>
      </c>
      <c r="Z3283" t="s">
        <v>300</v>
      </c>
      <c r="AA3283" t="s">
        <v>301</v>
      </c>
      <c r="AB3283" t="s">
        <v>131</v>
      </c>
      <c r="AC3283" t="s">
        <v>51</v>
      </c>
      <c r="AD3283" t="s">
        <v>45</v>
      </c>
      <c r="AE3283" s="1">
        <v>26035</v>
      </c>
      <c r="AF3283">
        <v>2</v>
      </c>
      <c r="AG3283" t="s">
        <v>301</v>
      </c>
      <c r="AH3283" s="36">
        <f t="shared" si="51"/>
        <v>48.394444444444446</v>
      </c>
      <c r="AI3283" s="41" t="s">
        <v>1780</v>
      </c>
    </row>
    <row r="3284" spans="1:35" x14ac:dyDescent="0.25">
      <c r="A3284" s="36">
        <v>99913282</v>
      </c>
      <c r="B3284" s="17" t="s">
        <v>32</v>
      </c>
      <c r="C3284" t="s">
        <v>71</v>
      </c>
      <c r="D3284" t="s">
        <v>72</v>
      </c>
      <c r="G3284" s="17" t="s">
        <v>48</v>
      </c>
      <c r="H3284" s="17">
        <v>1</v>
      </c>
      <c r="K3284" t="s">
        <v>300</v>
      </c>
      <c r="L3284" t="s">
        <v>301</v>
      </c>
      <c r="M3284" t="s">
        <v>131</v>
      </c>
      <c r="N3284">
        <v>18</v>
      </c>
      <c r="O3284" t="s">
        <v>40</v>
      </c>
      <c r="P3284" t="s">
        <v>40</v>
      </c>
      <c r="Q3284" t="s">
        <v>40</v>
      </c>
      <c r="R3284" t="s">
        <v>40</v>
      </c>
      <c r="S3284" t="s">
        <v>40</v>
      </c>
      <c r="V3284" t="s">
        <v>41</v>
      </c>
      <c r="W3284" t="s">
        <v>49</v>
      </c>
      <c r="X3284" t="str">
        <f>"0560022"</f>
        <v>0560022</v>
      </c>
      <c r="Y3284" t="s">
        <v>314</v>
      </c>
      <c r="Z3284" t="s">
        <v>300</v>
      </c>
      <c r="AA3284" t="s">
        <v>301</v>
      </c>
      <c r="AB3284" t="s">
        <v>131</v>
      </c>
      <c r="AC3284" t="s">
        <v>51</v>
      </c>
      <c r="AD3284" t="s">
        <v>45</v>
      </c>
      <c r="AE3284" s="1">
        <v>26032</v>
      </c>
      <c r="AF3284">
        <v>2</v>
      </c>
      <c r="AG3284" t="s">
        <v>301</v>
      </c>
      <c r="AH3284" s="36">
        <f t="shared" si="51"/>
        <v>48.402777777777779</v>
      </c>
      <c r="AI3284" s="41" t="s">
        <v>1780</v>
      </c>
    </row>
    <row r="3285" spans="1:35" x14ac:dyDescent="0.25">
      <c r="A3285" s="36">
        <v>99913283</v>
      </c>
      <c r="B3285" s="17" t="s">
        <v>56</v>
      </c>
      <c r="C3285" t="s">
        <v>52</v>
      </c>
      <c r="D3285" t="s">
        <v>53</v>
      </c>
      <c r="G3285" s="17" t="s">
        <v>48</v>
      </c>
      <c r="H3285" s="17">
        <v>1</v>
      </c>
      <c r="K3285" t="s">
        <v>223</v>
      </c>
      <c r="L3285" t="s">
        <v>224</v>
      </c>
      <c r="M3285" t="s">
        <v>131</v>
      </c>
      <c r="N3285">
        <v>24</v>
      </c>
      <c r="O3285" t="s">
        <v>40</v>
      </c>
      <c r="P3285" t="s">
        <v>40</v>
      </c>
      <c r="Q3285" t="s">
        <v>40</v>
      </c>
      <c r="S3285" t="s">
        <v>40</v>
      </c>
      <c r="V3285" t="s">
        <v>41</v>
      </c>
      <c r="W3285" t="s">
        <v>49</v>
      </c>
      <c r="X3285" t="str">
        <f>"0509999"</f>
        <v>0509999</v>
      </c>
      <c r="Y3285" t="s">
        <v>247</v>
      </c>
      <c r="Z3285" t="s">
        <v>223</v>
      </c>
      <c r="AA3285" t="s">
        <v>224</v>
      </c>
      <c r="AB3285" t="s">
        <v>131</v>
      </c>
      <c r="AC3285" t="s">
        <v>51</v>
      </c>
      <c r="AD3285" t="s">
        <v>45</v>
      </c>
      <c r="AE3285" s="1">
        <v>26029</v>
      </c>
      <c r="AF3285">
        <v>2</v>
      </c>
      <c r="AG3285" t="s">
        <v>224</v>
      </c>
      <c r="AH3285" s="36">
        <f t="shared" si="51"/>
        <v>48.411111111111111</v>
      </c>
      <c r="AI3285" s="41" t="s">
        <v>1780</v>
      </c>
    </row>
    <row r="3286" spans="1:35" x14ac:dyDescent="0.25">
      <c r="A3286" s="36">
        <v>99913284</v>
      </c>
      <c r="B3286" s="17" t="s">
        <v>32</v>
      </c>
      <c r="C3286" t="s">
        <v>139</v>
      </c>
      <c r="D3286" t="s">
        <v>140</v>
      </c>
      <c r="G3286" s="17" t="s">
        <v>48</v>
      </c>
      <c r="H3286" s="17">
        <v>1</v>
      </c>
      <c r="K3286" t="s">
        <v>380</v>
      </c>
      <c r="L3286" t="s">
        <v>381</v>
      </c>
      <c r="M3286" t="s">
        <v>131</v>
      </c>
      <c r="N3286">
        <v>8</v>
      </c>
      <c r="O3286" t="s">
        <v>40</v>
      </c>
      <c r="P3286" t="s">
        <v>40</v>
      </c>
      <c r="Q3286" t="s">
        <v>40</v>
      </c>
      <c r="R3286" t="s">
        <v>40</v>
      </c>
      <c r="S3286" t="s">
        <v>40</v>
      </c>
      <c r="V3286" t="s">
        <v>41</v>
      </c>
      <c r="W3286" t="s">
        <v>49</v>
      </c>
      <c r="X3286" t="str">
        <f>"0591908"</f>
        <v>0591908</v>
      </c>
      <c r="Y3286" t="s">
        <v>383</v>
      </c>
      <c r="Z3286" t="s">
        <v>380</v>
      </c>
      <c r="AA3286" t="s">
        <v>381</v>
      </c>
      <c r="AB3286" t="s">
        <v>131</v>
      </c>
      <c r="AC3286" t="s">
        <v>44</v>
      </c>
      <c r="AD3286" t="s">
        <v>45</v>
      </c>
      <c r="AE3286" s="1">
        <v>26027</v>
      </c>
      <c r="AF3286">
        <v>2</v>
      </c>
      <c r="AG3286" t="s">
        <v>381</v>
      </c>
      <c r="AH3286" s="36">
        <f t="shared" si="51"/>
        <v>48.416666666666664</v>
      </c>
      <c r="AI3286" s="41" t="s">
        <v>1780</v>
      </c>
    </row>
    <row r="3287" spans="1:35" x14ac:dyDescent="0.25">
      <c r="A3287" s="36">
        <v>99913285</v>
      </c>
      <c r="B3287" s="17" t="s">
        <v>56</v>
      </c>
      <c r="C3287" t="s">
        <v>68</v>
      </c>
      <c r="D3287" t="s">
        <v>69</v>
      </c>
      <c r="G3287" s="17" t="s">
        <v>48</v>
      </c>
      <c r="H3287" s="17">
        <v>1</v>
      </c>
      <c r="K3287" t="s">
        <v>1268</v>
      </c>
      <c r="L3287" t="s">
        <v>1269</v>
      </c>
      <c r="M3287" t="s">
        <v>1270</v>
      </c>
      <c r="N3287">
        <v>20</v>
      </c>
      <c r="O3287" t="s">
        <v>40</v>
      </c>
      <c r="P3287" t="s">
        <v>40</v>
      </c>
      <c r="Q3287" t="s">
        <v>40</v>
      </c>
      <c r="R3287" t="s">
        <v>40</v>
      </c>
      <c r="S3287" t="s">
        <v>40</v>
      </c>
      <c r="V3287" t="s">
        <v>41</v>
      </c>
      <c r="W3287" t="s">
        <v>42</v>
      </c>
      <c r="X3287" t="str">
        <f>"1990911"</f>
        <v>1990911</v>
      </c>
      <c r="Y3287" t="s">
        <v>1276</v>
      </c>
      <c r="Z3287" t="s">
        <v>1268</v>
      </c>
      <c r="AA3287" t="s">
        <v>1269</v>
      </c>
      <c r="AB3287" t="s">
        <v>1270</v>
      </c>
      <c r="AC3287" t="s">
        <v>165</v>
      </c>
      <c r="AD3287" t="s">
        <v>45</v>
      </c>
      <c r="AE3287" s="1">
        <v>26023</v>
      </c>
      <c r="AF3287">
        <v>2</v>
      </c>
      <c r="AG3287" t="s">
        <v>1269</v>
      </c>
      <c r="AH3287" s="36">
        <f t="shared" si="51"/>
        <v>48.427777777777777</v>
      </c>
      <c r="AI3287" s="41" t="s">
        <v>1780</v>
      </c>
    </row>
    <row r="3288" spans="1:35" x14ac:dyDescent="0.25">
      <c r="A3288" s="36">
        <v>99913286</v>
      </c>
      <c r="B3288" s="17" t="s">
        <v>56</v>
      </c>
      <c r="C3288" t="s">
        <v>58</v>
      </c>
      <c r="D3288" t="s">
        <v>59</v>
      </c>
      <c r="G3288" s="17" t="s">
        <v>35</v>
      </c>
      <c r="H3288" s="17">
        <v>1</v>
      </c>
      <c r="I3288">
        <v>0</v>
      </c>
      <c r="J3288" s="1">
        <v>43344</v>
      </c>
      <c r="K3288" t="s">
        <v>223</v>
      </c>
      <c r="L3288" t="s">
        <v>224</v>
      </c>
      <c r="M3288" t="s">
        <v>131</v>
      </c>
      <c r="N3288">
        <v>18</v>
      </c>
      <c r="O3288" t="s">
        <v>40</v>
      </c>
      <c r="S3288" t="s">
        <v>40</v>
      </c>
      <c r="U3288" s="1">
        <v>43344</v>
      </c>
      <c r="V3288" t="s">
        <v>41</v>
      </c>
      <c r="W3288" t="s">
        <v>42</v>
      </c>
      <c r="X3288" t="str">
        <f>"0580206"</f>
        <v>0580206</v>
      </c>
      <c r="Y3288" t="s">
        <v>237</v>
      </c>
      <c r="Z3288" t="s">
        <v>223</v>
      </c>
      <c r="AA3288" t="s">
        <v>224</v>
      </c>
      <c r="AB3288" t="s">
        <v>131</v>
      </c>
      <c r="AC3288" t="s">
        <v>51</v>
      </c>
      <c r="AD3288" t="s">
        <v>45</v>
      </c>
      <c r="AE3288" s="1">
        <v>26022</v>
      </c>
      <c r="AF3288">
        <v>2</v>
      </c>
      <c r="AG3288" t="s">
        <v>224</v>
      </c>
      <c r="AH3288" s="36">
        <f t="shared" si="51"/>
        <v>48.430555555555557</v>
      </c>
      <c r="AI3288" s="41" t="s">
        <v>1780</v>
      </c>
    </row>
    <row r="3289" spans="1:35" x14ac:dyDescent="0.25">
      <c r="A3289" s="36">
        <v>99913287</v>
      </c>
      <c r="B3289" s="17" t="s">
        <v>32</v>
      </c>
      <c r="C3289" t="s">
        <v>111</v>
      </c>
      <c r="D3289" t="s">
        <v>112</v>
      </c>
      <c r="G3289" s="17" t="s">
        <v>48</v>
      </c>
      <c r="H3289" s="17">
        <v>1</v>
      </c>
      <c r="K3289" t="s">
        <v>407</v>
      </c>
      <c r="L3289" t="s">
        <v>409</v>
      </c>
      <c r="M3289" t="s">
        <v>131</v>
      </c>
      <c r="N3289">
        <v>24</v>
      </c>
      <c r="O3289" t="s">
        <v>40</v>
      </c>
      <c r="P3289" t="s">
        <v>40</v>
      </c>
      <c r="Q3289" t="s">
        <v>40</v>
      </c>
      <c r="S3289" t="s">
        <v>40</v>
      </c>
      <c r="V3289" t="s">
        <v>41</v>
      </c>
      <c r="W3289" t="s">
        <v>75</v>
      </c>
      <c r="X3289" t="str">
        <f>"7053000"</f>
        <v>7053000</v>
      </c>
      <c r="Y3289" t="s">
        <v>754</v>
      </c>
      <c r="Z3289" t="s">
        <v>407</v>
      </c>
      <c r="AA3289" t="s">
        <v>409</v>
      </c>
      <c r="AB3289" t="s">
        <v>131</v>
      </c>
      <c r="AC3289" t="s">
        <v>51</v>
      </c>
      <c r="AD3289" t="s">
        <v>45</v>
      </c>
      <c r="AE3289" s="1">
        <v>26020</v>
      </c>
      <c r="AF3289">
        <v>1</v>
      </c>
      <c r="AG3289" t="s">
        <v>409</v>
      </c>
      <c r="AH3289" s="36">
        <f t="shared" si="51"/>
        <v>48.43611111111111</v>
      </c>
      <c r="AI3289" s="41" t="s">
        <v>1780</v>
      </c>
    </row>
    <row r="3290" spans="1:35" x14ac:dyDescent="0.25">
      <c r="A3290" s="36">
        <v>99913288</v>
      </c>
      <c r="B3290" s="17" t="s">
        <v>32</v>
      </c>
      <c r="C3290" t="s">
        <v>82</v>
      </c>
      <c r="D3290" t="s">
        <v>83</v>
      </c>
      <c r="G3290" s="17" t="s">
        <v>48</v>
      </c>
      <c r="H3290" s="17">
        <v>1</v>
      </c>
      <c r="K3290" t="s">
        <v>223</v>
      </c>
      <c r="L3290" t="s">
        <v>224</v>
      </c>
      <c r="M3290" t="s">
        <v>131</v>
      </c>
      <c r="N3290">
        <v>20</v>
      </c>
      <c r="O3290" t="s">
        <v>40</v>
      </c>
      <c r="P3290" t="s">
        <v>40</v>
      </c>
      <c r="Q3290" t="s">
        <v>40</v>
      </c>
      <c r="R3290" t="s">
        <v>40</v>
      </c>
      <c r="S3290" t="s">
        <v>40</v>
      </c>
      <c r="V3290" t="s">
        <v>41</v>
      </c>
      <c r="W3290" t="s">
        <v>42</v>
      </c>
      <c r="X3290" t="str">
        <f>"0580202"</f>
        <v>0580202</v>
      </c>
      <c r="Y3290" t="s">
        <v>240</v>
      </c>
      <c r="Z3290" t="s">
        <v>223</v>
      </c>
      <c r="AA3290" t="s">
        <v>224</v>
      </c>
      <c r="AB3290" t="s">
        <v>131</v>
      </c>
      <c r="AC3290" t="s">
        <v>51</v>
      </c>
      <c r="AD3290" t="s">
        <v>45</v>
      </c>
      <c r="AE3290" s="1">
        <v>26016</v>
      </c>
      <c r="AF3290">
        <v>2</v>
      </c>
      <c r="AG3290" t="s">
        <v>224</v>
      </c>
      <c r="AH3290" s="36">
        <f t="shared" si="51"/>
        <v>48.447222222222223</v>
      </c>
      <c r="AI3290" s="41" t="s">
        <v>1780</v>
      </c>
    </row>
    <row r="3291" spans="1:35" x14ac:dyDescent="0.25">
      <c r="A3291" s="36">
        <v>99913289</v>
      </c>
      <c r="B3291" s="17" t="s">
        <v>32</v>
      </c>
      <c r="C3291" t="s">
        <v>90</v>
      </c>
      <c r="D3291" t="s">
        <v>91</v>
      </c>
      <c r="G3291" s="17" t="s">
        <v>48</v>
      </c>
      <c r="H3291" s="17">
        <v>1</v>
      </c>
      <c r="K3291" t="s">
        <v>268</v>
      </c>
      <c r="L3291" t="s">
        <v>269</v>
      </c>
      <c r="M3291" t="s">
        <v>131</v>
      </c>
      <c r="N3291">
        <v>30</v>
      </c>
      <c r="O3291" t="s">
        <v>40</v>
      </c>
      <c r="P3291" t="s">
        <v>40</v>
      </c>
      <c r="Q3291" t="s">
        <v>40</v>
      </c>
      <c r="R3291" t="s">
        <v>40</v>
      </c>
      <c r="S3291" t="s">
        <v>40</v>
      </c>
      <c r="V3291" t="s">
        <v>41</v>
      </c>
      <c r="W3291" t="s">
        <v>95</v>
      </c>
      <c r="X3291" t="str">
        <f>"7052109"</f>
        <v>7052109</v>
      </c>
      <c r="Y3291" t="s">
        <v>612</v>
      </c>
      <c r="Z3291" t="s">
        <v>268</v>
      </c>
      <c r="AA3291" t="s">
        <v>269</v>
      </c>
      <c r="AB3291" t="s">
        <v>131</v>
      </c>
      <c r="AC3291" t="s">
        <v>51</v>
      </c>
      <c r="AD3291" t="s">
        <v>45</v>
      </c>
      <c r="AE3291" s="1">
        <v>26016</v>
      </c>
      <c r="AF3291">
        <v>1</v>
      </c>
      <c r="AG3291" t="s">
        <v>269</v>
      </c>
      <c r="AH3291" s="36">
        <f t="shared" si="51"/>
        <v>48.447222222222223</v>
      </c>
      <c r="AI3291" s="41" t="s">
        <v>1780</v>
      </c>
    </row>
    <row r="3292" spans="1:35" x14ac:dyDescent="0.25">
      <c r="A3292" s="36">
        <v>99913290</v>
      </c>
      <c r="B3292" s="17" t="s">
        <v>32</v>
      </c>
      <c r="C3292" t="s">
        <v>141</v>
      </c>
      <c r="D3292" t="s">
        <v>142</v>
      </c>
      <c r="G3292" s="17" t="s">
        <v>35</v>
      </c>
      <c r="H3292" s="17">
        <v>1</v>
      </c>
      <c r="K3292" t="s">
        <v>223</v>
      </c>
      <c r="L3292" t="s">
        <v>224</v>
      </c>
      <c r="M3292" t="s">
        <v>131</v>
      </c>
      <c r="N3292">
        <v>17</v>
      </c>
      <c r="O3292" t="s">
        <v>40</v>
      </c>
      <c r="P3292" t="s">
        <v>40</v>
      </c>
      <c r="Q3292" t="s">
        <v>40</v>
      </c>
      <c r="R3292" t="s">
        <v>40</v>
      </c>
      <c r="S3292" t="s">
        <v>40</v>
      </c>
      <c r="V3292" t="s">
        <v>41</v>
      </c>
      <c r="W3292" t="s">
        <v>49</v>
      </c>
      <c r="X3292" t="str">
        <f>"0591901"</f>
        <v>0591901</v>
      </c>
      <c r="Y3292" t="s">
        <v>230</v>
      </c>
      <c r="Z3292" t="s">
        <v>223</v>
      </c>
      <c r="AA3292" t="s">
        <v>224</v>
      </c>
      <c r="AB3292" t="s">
        <v>131</v>
      </c>
      <c r="AC3292" t="s">
        <v>51</v>
      </c>
      <c r="AD3292" t="s">
        <v>45</v>
      </c>
      <c r="AE3292" s="1">
        <v>26013</v>
      </c>
      <c r="AF3292">
        <v>2</v>
      </c>
      <c r="AG3292" t="s">
        <v>224</v>
      </c>
      <c r="AH3292" s="36">
        <f t="shared" si="51"/>
        <v>48.455555555555556</v>
      </c>
      <c r="AI3292" s="41" t="s">
        <v>1780</v>
      </c>
    </row>
    <row r="3293" spans="1:35" x14ac:dyDescent="0.25">
      <c r="A3293" s="36">
        <v>99913291</v>
      </c>
      <c r="B3293" s="17" t="s">
        <v>32</v>
      </c>
      <c r="C3293" t="s">
        <v>46</v>
      </c>
      <c r="D3293" t="s">
        <v>47</v>
      </c>
      <c r="G3293" s="17" t="s">
        <v>48</v>
      </c>
      <c r="H3293" s="17">
        <v>1</v>
      </c>
      <c r="K3293" t="s">
        <v>380</v>
      </c>
      <c r="L3293" t="s">
        <v>381</v>
      </c>
      <c r="M3293" t="s">
        <v>131</v>
      </c>
      <c r="N3293">
        <v>13</v>
      </c>
      <c r="O3293" t="s">
        <v>40</v>
      </c>
      <c r="P3293" t="s">
        <v>40</v>
      </c>
      <c r="Q3293" t="s">
        <v>40</v>
      </c>
      <c r="R3293" t="s">
        <v>40</v>
      </c>
      <c r="S3293" t="s">
        <v>40</v>
      </c>
      <c r="V3293" t="s">
        <v>41</v>
      </c>
      <c r="W3293" t="s">
        <v>42</v>
      </c>
      <c r="X3293" t="str">
        <f>"0590908"</f>
        <v>0590908</v>
      </c>
      <c r="Y3293" t="s">
        <v>382</v>
      </c>
      <c r="Z3293" t="s">
        <v>380</v>
      </c>
      <c r="AA3293" t="s">
        <v>381</v>
      </c>
      <c r="AB3293" t="s">
        <v>131</v>
      </c>
      <c r="AC3293" t="s">
        <v>51</v>
      </c>
      <c r="AD3293" t="s">
        <v>45</v>
      </c>
      <c r="AE3293" s="1">
        <v>26013</v>
      </c>
      <c r="AF3293">
        <v>2</v>
      </c>
      <c r="AG3293" t="s">
        <v>381</v>
      </c>
      <c r="AH3293" s="36">
        <f t="shared" si="51"/>
        <v>48.455555555555556</v>
      </c>
      <c r="AI3293" s="41" t="s">
        <v>1780</v>
      </c>
    </row>
    <row r="3294" spans="1:35" x14ac:dyDescent="0.25">
      <c r="A3294" s="36">
        <v>99913292</v>
      </c>
      <c r="B3294" s="17" t="s">
        <v>32</v>
      </c>
      <c r="C3294" t="s">
        <v>79</v>
      </c>
      <c r="D3294" t="s">
        <v>80</v>
      </c>
      <c r="G3294" s="17" t="s">
        <v>48</v>
      </c>
      <c r="H3294" s="17">
        <v>1</v>
      </c>
      <c r="K3294" t="s">
        <v>268</v>
      </c>
      <c r="L3294" t="s">
        <v>269</v>
      </c>
      <c r="M3294" t="s">
        <v>131</v>
      </c>
      <c r="N3294">
        <v>20</v>
      </c>
      <c r="O3294" t="s">
        <v>40</v>
      </c>
      <c r="P3294" t="s">
        <v>40</v>
      </c>
      <c r="Q3294" t="s">
        <v>40</v>
      </c>
      <c r="R3294" t="s">
        <v>40</v>
      </c>
      <c r="S3294" t="s">
        <v>40</v>
      </c>
      <c r="V3294" t="s">
        <v>41</v>
      </c>
      <c r="W3294" t="s">
        <v>75</v>
      </c>
      <c r="X3294" t="str">
        <f>"7052008"</f>
        <v>7052008</v>
      </c>
      <c r="Y3294" t="s">
        <v>274</v>
      </c>
      <c r="Z3294" t="s">
        <v>268</v>
      </c>
      <c r="AA3294" t="s">
        <v>269</v>
      </c>
      <c r="AB3294" t="s">
        <v>131</v>
      </c>
      <c r="AC3294" t="s">
        <v>51</v>
      </c>
      <c r="AD3294" t="s">
        <v>45</v>
      </c>
      <c r="AE3294" s="1">
        <v>26012</v>
      </c>
      <c r="AF3294">
        <v>1</v>
      </c>
      <c r="AG3294" t="s">
        <v>269</v>
      </c>
      <c r="AH3294" s="36">
        <f t="shared" si="51"/>
        <v>48.458333333333336</v>
      </c>
      <c r="AI3294" s="41" t="s">
        <v>1780</v>
      </c>
    </row>
    <row r="3295" spans="1:35" x14ac:dyDescent="0.25">
      <c r="A3295" s="36">
        <v>99913293</v>
      </c>
      <c r="B3295" s="17" t="s">
        <v>56</v>
      </c>
      <c r="C3295" t="s">
        <v>259</v>
      </c>
      <c r="D3295" t="s">
        <v>260</v>
      </c>
      <c r="G3295" s="17" t="s">
        <v>88</v>
      </c>
      <c r="H3295" s="17">
        <v>4</v>
      </c>
      <c r="I3295" t="s">
        <v>980</v>
      </c>
      <c r="J3295" s="1">
        <v>43353</v>
      </c>
      <c r="K3295" t="s">
        <v>947</v>
      </c>
      <c r="L3295" t="s">
        <v>948</v>
      </c>
      <c r="M3295" t="s">
        <v>938</v>
      </c>
      <c r="N3295">
        <v>17</v>
      </c>
      <c r="O3295" t="s">
        <v>40</v>
      </c>
      <c r="P3295" t="s">
        <v>40</v>
      </c>
      <c r="Q3295" t="s">
        <v>40</v>
      </c>
      <c r="R3295" t="s">
        <v>40</v>
      </c>
      <c r="S3295" t="s">
        <v>40</v>
      </c>
      <c r="U3295" s="1">
        <v>43353</v>
      </c>
      <c r="V3295" t="s">
        <v>41</v>
      </c>
      <c r="W3295" t="s">
        <v>953</v>
      </c>
      <c r="X3295" t="str">
        <f>"0610801"</f>
        <v>0610801</v>
      </c>
      <c r="Y3295" t="s">
        <v>954</v>
      </c>
      <c r="Z3295" t="s">
        <v>947</v>
      </c>
      <c r="AA3295" t="s">
        <v>948</v>
      </c>
      <c r="AB3295" t="s">
        <v>938</v>
      </c>
      <c r="AC3295" t="s">
        <v>44</v>
      </c>
      <c r="AD3295" t="s">
        <v>45</v>
      </c>
      <c r="AE3295" s="1">
        <v>26012</v>
      </c>
      <c r="AF3295">
        <v>2</v>
      </c>
      <c r="AG3295" t="s">
        <v>948</v>
      </c>
      <c r="AH3295" s="36">
        <f t="shared" si="51"/>
        <v>48.458333333333336</v>
      </c>
      <c r="AI3295" s="41" t="s">
        <v>1780</v>
      </c>
    </row>
    <row r="3296" spans="1:35" x14ac:dyDescent="0.25">
      <c r="A3296" s="36">
        <v>99913294</v>
      </c>
      <c r="B3296" s="17" t="s">
        <v>32</v>
      </c>
      <c r="C3296" t="s">
        <v>85</v>
      </c>
      <c r="D3296" t="s">
        <v>86</v>
      </c>
      <c r="G3296" s="17" t="s">
        <v>35</v>
      </c>
      <c r="H3296" s="17">
        <v>1</v>
      </c>
      <c r="I3296">
        <v>4616</v>
      </c>
      <c r="J3296" s="1">
        <v>43350</v>
      </c>
      <c r="K3296" t="s">
        <v>919</v>
      </c>
      <c r="L3296" t="s">
        <v>920</v>
      </c>
      <c r="M3296" t="s">
        <v>921</v>
      </c>
      <c r="N3296">
        <v>5</v>
      </c>
      <c r="O3296" t="s">
        <v>40</v>
      </c>
      <c r="P3296" t="s">
        <v>40</v>
      </c>
      <c r="Q3296" t="s">
        <v>40</v>
      </c>
      <c r="R3296" t="s">
        <v>40</v>
      </c>
      <c r="S3296" t="s">
        <v>40</v>
      </c>
      <c r="U3296" s="1">
        <v>43350</v>
      </c>
      <c r="V3296" t="s">
        <v>41</v>
      </c>
      <c r="W3296" t="s">
        <v>922</v>
      </c>
      <c r="X3296" t="str">
        <f>"5162001"</f>
        <v>5162001</v>
      </c>
      <c r="Y3296" t="s">
        <v>923</v>
      </c>
      <c r="Z3296" t="s">
        <v>919</v>
      </c>
      <c r="AA3296" t="s">
        <v>920</v>
      </c>
      <c r="AB3296" t="s">
        <v>921</v>
      </c>
      <c r="AC3296" t="s">
        <v>44</v>
      </c>
      <c r="AD3296" t="s">
        <v>45</v>
      </c>
      <c r="AE3296" s="1">
        <v>26010</v>
      </c>
      <c r="AF3296">
        <v>2</v>
      </c>
      <c r="AG3296" t="s">
        <v>920</v>
      </c>
      <c r="AH3296" s="36">
        <f t="shared" si="51"/>
        <v>48.463888888888889</v>
      </c>
      <c r="AI3296" s="41" t="s">
        <v>1780</v>
      </c>
    </row>
    <row r="3297" spans="1:35" x14ac:dyDescent="0.25">
      <c r="A3297" s="36">
        <v>99913295</v>
      </c>
      <c r="B3297" s="17" t="s">
        <v>32</v>
      </c>
      <c r="C3297" t="s">
        <v>64</v>
      </c>
      <c r="D3297" t="s">
        <v>65</v>
      </c>
      <c r="G3297" s="17" t="s">
        <v>35</v>
      </c>
      <c r="H3297" s="17">
        <v>1</v>
      </c>
      <c r="K3297" t="s">
        <v>223</v>
      </c>
      <c r="L3297" t="s">
        <v>224</v>
      </c>
      <c r="M3297" t="s">
        <v>131</v>
      </c>
      <c r="N3297">
        <v>25</v>
      </c>
      <c r="O3297" t="s">
        <v>40</v>
      </c>
      <c r="P3297" t="s">
        <v>40</v>
      </c>
      <c r="Q3297" t="s">
        <v>40</v>
      </c>
      <c r="S3297" t="s">
        <v>40</v>
      </c>
      <c r="V3297" t="s">
        <v>41</v>
      </c>
      <c r="W3297" t="s">
        <v>42</v>
      </c>
      <c r="X3297" t="str">
        <f>"0590903"</f>
        <v>0590903</v>
      </c>
      <c r="Y3297" t="s">
        <v>226</v>
      </c>
      <c r="Z3297" t="s">
        <v>223</v>
      </c>
      <c r="AA3297" t="s">
        <v>224</v>
      </c>
      <c r="AB3297" t="s">
        <v>131</v>
      </c>
      <c r="AC3297" t="s">
        <v>51</v>
      </c>
      <c r="AD3297" t="s">
        <v>45</v>
      </c>
      <c r="AE3297" s="1">
        <v>26009</v>
      </c>
      <c r="AF3297">
        <v>2</v>
      </c>
      <c r="AG3297" t="s">
        <v>224</v>
      </c>
      <c r="AH3297" s="36">
        <f t="shared" si="51"/>
        <v>48.466666666666669</v>
      </c>
      <c r="AI3297" s="41" t="s">
        <v>1780</v>
      </c>
    </row>
    <row r="3298" spans="1:35" x14ac:dyDescent="0.25">
      <c r="A3298" s="36">
        <v>99913296</v>
      </c>
      <c r="B3298" s="17" t="s">
        <v>32</v>
      </c>
      <c r="C3298" t="s">
        <v>82</v>
      </c>
      <c r="D3298" t="s">
        <v>83</v>
      </c>
      <c r="G3298" s="17" t="s">
        <v>35</v>
      </c>
      <c r="H3298" s="17">
        <v>1</v>
      </c>
      <c r="K3298" t="s">
        <v>223</v>
      </c>
      <c r="L3298" t="s">
        <v>224</v>
      </c>
      <c r="M3298" t="s">
        <v>131</v>
      </c>
      <c r="N3298">
        <v>25</v>
      </c>
      <c r="O3298" t="s">
        <v>40</v>
      </c>
      <c r="P3298" t="s">
        <v>40</v>
      </c>
      <c r="Q3298" t="s">
        <v>40</v>
      </c>
      <c r="S3298" t="s">
        <v>40</v>
      </c>
      <c r="V3298" t="s">
        <v>41</v>
      </c>
      <c r="W3298" t="s">
        <v>42</v>
      </c>
      <c r="X3298" t="str">
        <f>"0590903"</f>
        <v>0590903</v>
      </c>
      <c r="Y3298" t="s">
        <v>226</v>
      </c>
      <c r="Z3298" t="s">
        <v>223</v>
      </c>
      <c r="AA3298" t="s">
        <v>224</v>
      </c>
      <c r="AB3298" t="s">
        <v>131</v>
      </c>
      <c r="AC3298" t="s">
        <v>51</v>
      </c>
      <c r="AD3298" t="s">
        <v>45</v>
      </c>
      <c r="AE3298" s="1">
        <v>26007</v>
      </c>
      <c r="AF3298">
        <v>2</v>
      </c>
      <c r="AG3298" t="s">
        <v>224</v>
      </c>
      <c r="AH3298" s="36">
        <f t="shared" si="51"/>
        <v>48.472222222222221</v>
      </c>
      <c r="AI3298" s="41" t="s">
        <v>1780</v>
      </c>
    </row>
    <row r="3299" spans="1:35" x14ac:dyDescent="0.25">
      <c r="A3299" s="36">
        <v>99913297</v>
      </c>
      <c r="B3299" s="17" t="s">
        <v>56</v>
      </c>
      <c r="C3299" t="s">
        <v>52</v>
      </c>
      <c r="D3299" t="s">
        <v>53</v>
      </c>
      <c r="G3299" s="17" t="s">
        <v>35</v>
      </c>
      <c r="H3299" s="17">
        <v>1</v>
      </c>
      <c r="K3299" t="s">
        <v>223</v>
      </c>
      <c r="L3299" t="s">
        <v>224</v>
      </c>
      <c r="M3299" t="s">
        <v>131</v>
      </c>
      <c r="N3299">
        <v>25</v>
      </c>
      <c r="O3299" t="s">
        <v>40</v>
      </c>
      <c r="P3299" t="s">
        <v>40</v>
      </c>
      <c r="Q3299" t="s">
        <v>40</v>
      </c>
      <c r="S3299" t="s">
        <v>40</v>
      </c>
      <c r="V3299" t="s">
        <v>41</v>
      </c>
      <c r="W3299" t="s">
        <v>42</v>
      </c>
      <c r="X3299" t="str">
        <f>"0590903"</f>
        <v>0590903</v>
      </c>
      <c r="Y3299" t="s">
        <v>226</v>
      </c>
      <c r="Z3299" t="s">
        <v>223</v>
      </c>
      <c r="AA3299" t="s">
        <v>224</v>
      </c>
      <c r="AB3299" t="s">
        <v>131</v>
      </c>
      <c r="AC3299" t="s">
        <v>51</v>
      </c>
      <c r="AD3299" t="s">
        <v>45</v>
      </c>
      <c r="AE3299" s="1">
        <v>26007</v>
      </c>
      <c r="AF3299">
        <v>2</v>
      </c>
      <c r="AG3299" t="s">
        <v>224</v>
      </c>
      <c r="AH3299" s="36">
        <f t="shared" si="51"/>
        <v>48.472222222222221</v>
      </c>
      <c r="AI3299" s="41" t="s">
        <v>1780</v>
      </c>
    </row>
    <row r="3300" spans="1:35" x14ac:dyDescent="0.25">
      <c r="A3300" s="36">
        <v>99913298</v>
      </c>
      <c r="B3300" s="17" t="s">
        <v>56</v>
      </c>
      <c r="C3300" t="s">
        <v>68</v>
      </c>
      <c r="D3300" t="s">
        <v>69</v>
      </c>
      <c r="G3300" s="17" t="s">
        <v>35</v>
      </c>
      <c r="H3300" s="17">
        <v>1</v>
      </c>
      <c r="K3300" t="s">
        <v>223</v>
      </c>
      <c r="L3300" t="s">
        <v>224</v>
      </c>
      <c r="M3300" t="s">
        <v>131</v>
      </c>
      <c r="N3300">
        <v>25</v>
      </c>
      <c r="O3300" t="s">
        <v>40</v>
      </c>
      <c r="P3300" t="s">
        <v>40</v>
      </c>
      <c r="Q3300" t="s">
        <v>40</v>
      </c>
      <c r="S3300" t="s">
        <v>40</v>
      </c>
      <c r="V3300" t="s">
        <v>41</v>
      </c>
      <c r="W3300" t="s">
        <v>42</v>
      </c>
      <c r="X3300" t="str">
        <f>"0590903"</f>
        <v>0590903</v>
      </c>
      <c r="Y3300" t="s">
        <v>226</v>
      </c>
      <c r="Z3300" t="s">
        <v>223</v>
      </c>
      <c r="AA3300" t="s">
        <v>224</v>
      </c>
      <c r="AB3300" t="s">
        <v>131</v>
      </c>
      <c r="AC3300" t="s">
        <v>51</v>
      </c>
      <c r="AD3300" t="s">
        <v>45</v>
      </c>
      <c r="AE3300" s="1">
        <v>26007</v>
      </c>
      <c r="AF3300">
        <v>2</v>
      </c>
      <c r="AG3300" t="s">
        <v>224</v>
      </c>
      <c r="AH3300" s="36">
        <f t="shared" si="51"/>
        <v>48.472222222222221</v>
      </c>
      <c r="AI3300" s="41" t="s">
        <v>1780</v>
      </c>
    </row>
    <row r="3301" spans="1:35" x14ac:dyDescent="0.25">
      <c r="A3301" s="36">
        <v>99913299</v>
      </c>
      <c r="B3301" s="17" t="s">
        <v>56</v>
      </c>
      <c r="C3301" t="s">
        <v>52</v>
      </c>
      <c r="D3301" t="s">
        <v>53</v>
      </c>
      <c r="G3301" s="17" t="s">
        <v>35</v>
      </c>
      <c r="H3301" s="17">
        <v>1</v>
      </c>
      <c r="K3301" t="s">
        <v>157</v>
      </c>
      <c r="L3301" t="s">
        <v>158</v>
      </c>
      <c r="M3301" t="s">
        <v>131</v>
      </c>
      <c r="N3301">
        <v>30</v>
      </c>
      <c r="O3301" t="s">
        <v>40</v>
      </c>
      <c r="P3301" t="s">
        <v>40</v>
      </c>
      <c r="Q3301" t="s">
        <v>40</v>
      </c>
      <c r="S3301" t="s">
        <v>40</v>
      </c>
      <c r="V3301" t="s">
        <v>41</v>
      </c>
      <c r="W3301" t="s">
        <v>49</v>
      </c>
      <c r="X3301" t="str">
        <f>"0581725"</f>
        <v>0581725</v>
      </c>
      <c r="Y3301" t="s">
        <v>161</v>
      </c>
      <c r="Z3301" t="s">
        <v>157</v>
      </c>
      <c r="AA3301" t="s">
        <v>158</v>
      </c>
      <c r="AB3301" t="s">
        <v>131</v>
      </c>
      <c r="AC3301" t="s">
        <v>51</v>
      </c>
      <c r="AD3301" t="s">
        <v>45</v>
      </c>
      <c r="AE3301" s="1">
        <v>26004</v>
      </c>
      <c r="AF3301">
        <v>2</v>
      </c>
      <c r="AG3301" t="s">
        <v>158</v>
      </c>
      <c r="AH3301" s="36">
        <f t="shared" si="51"/>
        <v>48.480555555555554</v>
      </c>
      <c r="AI3301" s="41" t="s">
        <v>1780</v>
      </c>
    </row>
    <row r="3302" spans="1:35" x14ac:dyDescent="0.25">
      <c r="A3302" s="36">
        <v>99913300</v>
      </c>
      <c r="B3302" s="17" t="s">
        <v>56</v>
      </c>
      <c r="C3302" t="s">
        <v>52</v>
      </c>
      <c r="D3302" t="s">
        <v>53</v>
      </c>
      <c r="G3302" s="17" t="s">
        <v>48</v>
      </c>
      <c r="H3302" s="17">
        <v>1</v>
      </c>
      <c r="K3302" t="s">
        <v>380</v>
      </c>
      <c r="L3302" t="s">
        <v>381</v>
      </c>
      <c r="M3302" t="s">
        <v>131</v>
      </c>
      <c r="N3302">
        <v>20</v>
      </c>
      <c r="O3302" t="s">
        <v>40</v>
      </c>
      <c r="P3302" t="s">
        <v>40</v>
      </c>
      <c r="Q3302" t="s">
        <v>40</v>
      </c>
      <c r="R3302" t="s">
        <v>40</v>
      </c>
      <c r="S3302" t="s">
        <v>40</v>
      </c>
      <c r="V3302" t="s">
        <v>41</v>
      </c>
      <c r="W3302" t="s">
        <v>49</v>
      </c>
      <c r="X3302" t="str">
        <f>"0591908"</f>
        <v>0591908</v>
      </c>
      <c r="Y3302" t="s">
        <v>383</v>
      </c>
      <c r="Z3302" t="s">
        <v>380</v>
      </c>
      <c r="AA3302" t="s">
        <v>381</v>
      </c>
      <c r="AB3302" t="s">
        <v>131</v>
      </c>
      <c r="AC3302" t="s">
        <v>51</v>
      </c>
      <c r="AD3302" t="s">
        <v>45</v>
      </c>
      <c r="AE3302" s="1">
        <v>26003</v>
      </c>
      <c r="AF3302">
        <v>2</v>
      </c>
      <c r="AG3302" t="s">
        <v>381</v>
      </c>
      <c r="AH3302" s="36">
        <f t="shared" si="51"/>
        <v>48.483333333333334</v>
      </c>
      <c r="AI3302" s="41" t="s">
        <v>1780</v>
      </c>
    </row>
    <row r="3303" spans="1:35" x14ac:dyDescent="0.25">
      <c r="A3303" s="36">
        <v>99913301</v>
      </c>
      <c r="B3303" s="17" t="s">
        <v>56</v>
      </c>
      <c r="C3303" t="s">
        <v>46</v>
      </c>
      <c r="D3303" t="s">
        <v>47</v>
      </c>
      <c r="G3303" s="17" t="s">
        <v>48</v>
      </c>
      <c r="H3303" s="17">
        <v>1</v>
      </c>
      <c r="K3303" t="s">
        <v>300</v>
      </c>
      <c r="L3303" t="s">
        <v>301</v>
      </c>
      <c r="M3303" t="s">
        <v>131</v>
      </c>
      <c r="N3303">
        <v>10</v>
      </c>
      <c r="O3303" t="s">
        <v>40</v>
      </c>
      <c r="P3303" t="s">
        <v>40</v>
      </c>
      <c r="Q3303" t="s">
        <v>40</v>
      </c>
      <c r="R3303" t="s">
        <v>40</v>
      </c>
      <c r="S3303" t="s">
        <v>40</v>
      </c>
      <c r="V3303" t="s">
        <v>41</v>
      </c>
      <c r="W3303" t="s">
        <v>42</v>
      </c>
      <c r="X3303" t="str">
        <f>"0580175"</f>
        <v>0580175</v>
      </c>
      <c r="Y3303" t="s">
        <v>303</v>
      </c>
      <c r="Z3303" t="s">
        <v>300</v>
      </c>
      <c r="AA3303" t="s">
        <v>301</v>
      </c>
      <c r="AB3303" t="s">
        <v>131</v>
      </c>
      <c r="AC3303" t="s">
        <v>51</v>
      </c>
      <c r="AD3303" t="s">
        <v>45</v>
      </c>
      <c r="AE3303" s="1">
        <v>25992</v>
      </c>
      <c r="AF3303">
        <v>2</v>
      </c>
      <c r="AG3303" t="s">
        <v>301</v>
      </c>
      <c r="AH3303" s="36">
        <f t="shared" si="51"/>
        <v>48.513888888888886</v>
      </c>
      <c r="AI3303" s="41" t="s">
        <v>1780</v>
      </c>
    </row>
    <row r="3304" spans="1:35" x14ac:dyDescent="0.25">
      <c r="A3304" s="36">
        <v>99913302</v>
      </c>
      <c r="B3304" s="17" t="s">
        <v>32</v>
      </c>
      <c r="C3304" t="s">
        <v>90</v>
      </c>
      <c r="D3304" t="s">
        <v>91</v>
      </c>
      <c r="E3304" t="s">
        <v>111</v>
      </c>
      <c r="F3304" t="s">
        <v>112</v>
      </c>
      <c r="G3304" s="17" t="s">
        <v>35</v>
      </c>
      <c r="H3304" s="17">
        <v>1</v>
      </c>
      <c r="K3304" t="s">
        <v>268</v>
      </c>
      <c r="L3304" t="s">
        <v>269</v>
      </c>
      <c r="M3304" t="s">
        <v>131</v>
      </c>
      <c r="N3304">
        <v>23</v>
      </c>
      <c r="O3304" t="s">
        <v>40</v>
      </c>
      <c r="P3304" t="s">
        <v>40</v>
      </c>
      <c r="Q3304" t="s">
        <v>40</v>
      </c>
      <c r="R3304" t="s">
        <v>40</v>
      </c>
      <c r="S3304" t="s">
        <v>40</v>
      </c>
      <c r="V3304" t="s">
        <v>41</v>
      </c>
      <c r="W3304" t="s">
        <v>75</v>
      </c>
      <c r="X3304" t="str">
        <f>"7052028"</f>
        <v>7052028</v>
      </c>
      <c r="Y3304" t="s">
        <v>601</v>
      </c>
      <c r="Z3304" t="s">
        <v>268</v>
      </c>
      <c r="AA3304" t="s">
        <v>269</v>
      </c>
      <c r="AB3304" t="s">
        <v>131</v>
      </c>
      <c r="AC3304" t="s">
        <v>51</v>
      </c>
      <c r="AD3304" t="s">
        <v>45</v>
      </c>
      <c r="AE3304" s="1">
        <v>25992</v>
      </c>
      <c r="AF3304">
        <v>1</v>
      </c>
      <c r="AG3304" t="s">
        <v>269</v>
      </c>
      <c r="AH3304" s="36">
        <f t="shared" si="51"/>
        <v>48.513888888888886</v>
      </c>
      <c r="AI3304" s="41" t="s">
        <v>1780</v>
      </c>
    </row>
    <row r="3305" spans="1:35" x14ac:dyDescent="0.25">
      <c r="A3305" s="36">
        <v>99913303</v>
      </c>
      <c r="B3305" s="17" t="s">
        <v>56</v>
      </c>
      <c r="C3305" t="s">
        <v>46</v>
      </c>
      <c r="D3305" t="s">
        <v>47</v>
      </c>
      <c r="G3305" s="17" t="s">
        <v>35</v>
      </c>
      <c r="H3305" s="17">
        <v>1</v>
      </c>
      <c r="I3305" t="s">
        <v>1594</v>
      </c>
      <c r="J3305" s="1">
        <v>43344</v>
      </c>
      <c r="K3305" t="s">
        <v>1590</v>
      </c>
      <c r="L3305" t="s">
        <v>1591</v>
      </c>
      <c r="M3305" t="s">
        <v>1592</v>
      </c>
      <c r="N3305">
        <v>15</v>
      </c>
      <c r="O3305" t="s">
        <v>40</v>
      </c>
      <c r="S3305" t="s">
        <v>40</v>
      </c>
      <c r="U3305" s="1">
        <v>43344</v>
      </c>
      <c r="V3305" t="s">
        <v>41</v>
      </c>
      <c r="W3305" t="s">
        <v>42</v>
      </c>
      <c r="X3305" t="str">
        <f>"0280020"</f>
        <v>0280020</v>
      </c>
      <c r="Y3305" t="s">
        <v>1597</v>
      </c>
      <c r="Z3305" t="s">
        <v>1590</v>
      </c>
      <c r="AA3305" t="s">
        <v>1591</v>
      </c>
      <c r="AB3305" t="s">
        <v>1592</v>
      </c>
      <c r="AC3305" t="s">
        <v>51</v>
      </c>
      <c r="AD3305" t="s">
        <v>45</v>
      </c>
      <c r="AE3305" s="1">
        <v>25983</v>
      </c>
      <c r="AF3305">
        <v>2</v>
      </c>
      <c r="AG3305" t="s">
        <v>1591</v>
      </c>
      <c r="AH3305" s="36">
        <f t="shared" si="51"/>
        <v>48.538888888888891</v>
      </c>
      <c r="AI3305" s="41" t="s">
        <v>1780</v>
      </c>
    </row>
    <row r="3306" spans="1:35" x14ac:dyDescent="0.25">
      <c r="A3306" s="36">
        <v>99913304</v>
      </c>
      <c r="B3306" s="17" t="s">
        <v>32</v>
      </c>
      <c r="C3306" t="s">
        <v>111</v>
      </c>
      <c r="D3306" t="s">
        <v>112</v>
      </c>
      <c r="G3306" s="17" t="s">
        <v>48</v>
      </c>
      <c r="H3306" s="17">
        <v>1</v>
      </c>
      <c r="K3306" t="s">
        <v>354</v>
      </c>
      <c r="L3306" t="s">
        <v>355</v>
      </c>
      <c r="M3306" t="s">
        <v>131</v>
      </c>
      <c r="N3306">
        <v>22</v>
      </c>
      <c r="O3306" t="s">
        <v>40</v>
      </c>
      <c r="P3306" t="s">
        <v>40</v>
      </c>
      <c r="Q3306" t="s">
        <v>40</v>
      </c>
      <c r="S3306" t="s">
        <v>40</v>
      </c>
      <c r="V3306" t="s">
        <v>41</v>
      </c>
      <c r="W3306" t="s">
        <v>75</v>
      </c>
      <c r="X3306" t="str">
        <f>"7054022"</f>
        <v>7054022</v>
      </c>
      <c r="Y3306" t="s">
        <v>770</v>
      </c>
      <c r="Z3306" t="s">
        <v>354</v>
      </c>
      <c r="AA3306" t="s">
        <v>355</v>
      </c>
      <c r="AB3306" t="s">
        <v>131</v>
      </c>
      <c r="AC3306" t="s">
        <v>51</v>
      </c>
      <c r="AD3306" t="s">
        <v>45</v>
      </c>
      <c r="AE3306" s="1">
        <v>25979</v>
      </c>
      <c r="AF3306">
        <v>1</v>
      </c>
      <c r="AG3306" t="s">
        <v>355</v>
      </c>
      <c r="AH3306" s="36">
        <f t="shared" si="51"/>
        <v>48.55</v>
      </c>
      <c r="AI3306" s="41" t="s">
        <v>1780</v>
      </c>
    </row>
    <row r="3307" spans="1:35" x14ac:dyDescent="0.25">
      <c r="A3307" s="36">
        <v>99913305</v>
      </c>
      <c r="B3307" s="17" t="s">
        <v>56</v>
      </c>
      <c r="C3307" t="s">
        <v>46</v>
      </c>
      <c r="D3307" t="s">
        <v>47</v>
      </c>
      <c r="G3307" s="17" t="s">
        <v>48</v>
      </c>
      <c r="H3307" s="17">
        <v>1</v>
      </c>
      <c r="K3307" t="s">
        <v>223</v>
      </c>
      <c r="L3307" t="s">
        <v>224</v>
      </c>
      <c r="M3307" t="s">
        <v>131</v>
      </c>
      <c r="N3307">
        <v>20</v>
      </c>
      <c r="O3307" t="s">
        <v>40</v>
      </c>
      <c r="P3307" t="s">
        <v>40</v>
      </c>
      <c r="Q3307" t="s">
        <v>40</v>
      </c>
      <c r="S3307" t="s">
        <v>40</v>
      </c>
      <c r="V3307" t="s">
        <v>41</v>
      </c>
      <c r="W3307" t="s">
        <v>49</v>
      </c>
      <c r="X3307" t="str">
        <f>"0581206"</f>
        <v>0581206</v>
      </c>
      <c r="Y3307" t="s">
        <v>232</v>
      </c>
      <c r="Z3307" t="s">
        <v>223</v>
      </c>
      <c r="AA3307" t="s">
        <v>224</v>
      </c>
      <c r="AB3307" t="s">
        <v>131</v>
      </c>
      <c r="AC3307" t="s">
        <v>51</v>
      </c>
      <c r="AD3307" t="s">
        <v>45</v>
      </c>
      <c r="AE3307" s="1">
        <v>25976</v>
      </c>
      <c r="AF3307">
        <v>2</v>
      </c>
      <c r="AG3307" t="s">
        <v>224</v>
      </c>
      <c r="AH3307" s="36">
        <f t="shared" si="51"/>
        <v>48.55833333333333</v>
      </c>
      <c r="AI3307" s="41" t="s">
        <v>1780</v>
      </c>
    </row>
    <row r="3308" spans="1:35" x14ac:dyDescent="0.25">
      <c r="A3308" s="36">
        <v>99913306</v>
      </c>
      <c r="B3308" s="17" t="s">
        <v>56</v>
      </c>
      <c r="C3308" t="s">
        <v>111</v>
      </c>
      <c r="D3308" t="s">
        <v>112</v>
      </c>
      <c r="G3308" s="17" t="s">
        <v>48</v>
      </c>
      <c r="H3308" s="17">
        <v>1</v>
      </c>
      <c r="K3308" t="s">
        <v>268</v>
      </c>
      <c r="L3308" t="s">
        <v>269</v>
      </c>
      <c r="M3308" t="s">
        <v>131</v>
      </c>
      <c r="N3308">
        <v>22</v>
      </c>
      <c r="O3308" t="s">
        <v>40</v>
      </c>
      <c r="P3308" t="s">
        <v>40</v>
      </c>
      <c r="Q3308" t="s">
        <v>40</v>
      </c>
      <c r="S3308" t="s">
        <v>40</v>
      </c>
      <c r="V3308" t="s">
        <v>41</v>
      </c>
      <c r="W3308" t="s">
        <v>75</v>
      </c>
      <c r="X3308" t="str">
        <f>"7052008"</f>
        <v>7052008</v>
      </c>
      <c r="Y3308" t="s">
        <v>274</v>
      </c>
      <c r="Z3308" t="s">
        <v>268</v>
      </c>
      <c r="AA3308" t="s">
        <v>269</v>
      </c>
      <c r="AB3308" t="s">
        <v>131</v>
      </c>
      <c r="AC3308" t="s">
        <v>51</v>
      </c>
      <c r="AD3308" t="s">
        <v>45</v>
      </c>
      <c r="AE3308" s="1">
        <v>25976</v>
      </c>
      <c r="AF3308">
        <v>1</v>
      </c>
      <c r="AG3308" t="s">
        <v>269</v>
      </c>
      <c r="AH3308" s="36">
        <f t="shared" si="51"/>
        <v>48.55833333333333</v>
      </c>
      <c r="AI3308" s="41" t="s">
        <v>1780</v>
      </c>
    </row>
    <row r="3309" spans="1:35" x14ac:dyDescent="0.25">
      <c r="A3309" s="36">
        <v>99913307</v>
      </c>
      <c r="B3309" s="17" t="s">
        <v>32</v>
      </c>
      <c r="C3309" t="s">
        <v>139</v>
      </c>
      <c r="D3309" t="s">
        <v>140</v>
      </c>
      <c r="G3309" s="17" t="s">
        <v>35</v>
      </c>
      <c r="H3309" s="17">
        <v>1</v>
      </c>
      <c r="I3309">
        <v>0</v>
      </c>
      <c r="J3309" s="1">
        <v>43344</v>
      </c>
      <c r="K3309" t="s">
        <v>223</v>
      </c>
      <c r="L3309" t="s">
        <v>224</v>
      </c>
      <c r="M3309" t="s">
        <v>131</v>
      </c>
      <c r="N3309">
        <v>20</v>
      </c>
      <c r="O3309" t="s">
        <v>40</v>
      </c>
      <c r="P3309" t="s">
        <v>40</v>
      </c>
      <c r="Q3309" t="s">
        <v>40</v>
      </c>
      <c r="R3309" t="s">
        <v>40</v>
      </c>
      <c r="S3309" t="s">
        <v>40</v>
      </c>
      <c r="U3309" s="1">
        <v>43344</v>
      </c>
      <c r="V3309" t="s">
        <v>41</v>
      </c>
      <c r="W3309" t="s">
        <v>49</v>
      </c>
      <c r="X3309" t="str">
        <f>"0581204"</f>
        <v>0581204</v>
      </c>
      <c r="Y3309" t="s">
        <v>249</v>
      </c>
      <c r="Z3309" t="s">
        <v>223</v>
      </c>
      <c r="AA3309" t="s">
        <v>224</v>
      </c>
      <c r="AB3309" t="s">
        <v>131</v>
      </c>
      <c r="AC3309" t="s">
        <v>44</v>
      </c>
      <c r="AD3309" t="s">
        <v>45</v>
      </c>
      <c r="AE3309" s="1">
        <v>25974</v>
      </c>
      <c r="AF3309">
        <v>2</v>
      </c>
      <c r="AG3309" t="s">
        <v>224</v>
      </c>
      <c r="AH3309" s="36">
        <f t="shared" si="51"/>
        <v>48.56388888888889</v>
      </c>
      <c r="AI3309" s="41" t="s">
        <v>1780</v>
      </c>
    </row>
    <row r="3310" spans="1:35" x14ac:dyDescent="0.25">
      <c r="A3310" s="36">
        <v>99913308</v>
      </c>
      <c r="B3310" s="17" t="s">
        <v>56</v>
      </c>
      <c r="C3310" t="s">
        <v>85</v>
      </c>
      <c r="D3310" t="s">
        <v>86</v>
      </c>
      <c r="G3310" s="17" t="s">
        <v>48</v>
      </c>
      <c r="H3310" s="17">
        <v>1</v>
      </c>
      <c r="K3310" t="s">
        <v>380</v>
      </c>
      <c r="L3310" t="s">
        <v>381</v>
      </c>
      <c r="M3310" t="s">
        <v>131</v>
      </c>
      <c r="N3310">
        <v>20</v>
      </c>
      <c r="O3310" t="s">
        <v>40</v>
      </c>
      <c r="P3310" t="s">
        <v>40</v>
      </c>
      <c r="Q3310" t="s">
        <v>40</v>
      </c>
      <c r="R3310" t="s">
        <v>40</v>
      </c>
      <c r="S3310" t="s">
        <v>40</v>
      </c>
      <c r="V3310" t="s">
        <v>41</v>
      </c>
      <c r="W3310" t="s">
        <v>49</v>
      </c>
      <c r="X3310" t="str">
        <f>"0591908"</f>
        <v>0591908</v>
      </c>
      <c r="Y3310" t="s">
        <v>383</v>
      </c>
      <c r="Z3310" t="s">
        <v>380</v>
      </c>
      <c r="AA3310" t="s">
        <v>381</v>
      </c>
      <c r="AB3310" t="s">
        <v>131</v>
      </c>
      <c r="AC3310" t="s">
        <v>51</v>
      </c>
      <c r="AD3310" t="s">
        <v>45</v>
      </c>
      <c r="AE3310" s="1">
        <v>25974</v>
      </c>
      <c r="AF3310">
        <v>2</v>
      </c>
      <c r="AG3310" t="s">
        <v>381</v>
      </c>
      <c r="AH3310" s="36">
        <f t="shared" si="51"/>
        <v>48.56388888888889</v>
      </c>
      <c r="AI3310" s="41" t="s">
        <v>1780</v>
      </c>
    </row>
    <row r="3311" spans="1:35" x14ac:dyDescent="0.25">
      <c r="A3311" s="36">
        <v>99913309</v>
      </c>
      <c r="B3311" s="17" t="s">
        <v>56</v>
      </c>
      <c r="C3311" t="s">
        <v>46</v>
      </c>
      <c r="D3311" t="s">
        <v>47</v>
      </c>
      <c r="G3311" s="17" t="s">
        <v>48</v>
      </c>
      <c r="H3311" s="17">
        <v>1</v>
      </c>
      <c r="K3311" t="s">
        <v>1187</v>
      </c>
      <c r="L3311" t="s">
        <v>1188</v>
      </c>
      <c r="M3311" t="s">
        <v>1130</v>
      </c>
      <c r="N3311">
        <v>20</v>
      </c>
      <c r="O3311" t="s">
        <v>40</v>
      </c>
      <c r="P3311" t="s">
        <v>40</v>
      </c>
      <c r="Q3311" t="s">
        <v>40</v>
      </c>
      <c r="R3311" t="s">
        <v>40</v>
      </c>
      <c r="S3311" t="s">
        <v>40</v>
      </c>
      <c r="V3311" t="s">
        <v>41</v>
      </c>
      <c r="W3311" t="s">
        <v>49</v>
      </c>
      <c r="X3311" t="str">
        <f>"4581015"</f>
        <v>4581015</v>
      </c>
      <c r="Y3311" t="s">
        <v>1190</v>
      </c>
      <c r="Z3311" t="s">
        <v>1187</v>
      </c>
      <c r="AA3311" t="s">
        <v>1188</v>
      </c>
      <c r="AB3311" t="s">
        <v>1130</v>
      </c>
      <c r="AC3311" t="s">
        <v>51</v>
      </c>
      <c r="AD3311" t="s">
        <v>45</v>
      </c>
      <c r="AE3311" s="1">
        <v>25974</v>
      </c>
      <c r="AF3311">
        <v>2</v>
      </c>
      <c r="AG3311" t="s">
        <v>1188</v>
      </c>
      <c r="AH3311" s="36">
        <f t="shared" si="51"/>
        <v>48.56388888888889</v>
      </c>
      <c r="AI3311" s="41" t="s">
        <v>1780</v>
      </c>
    </row>
    <row r="3312" spans="1:35" x14ac:dyDescent="0.25">
      <c r="A3312" s="36">
        <v>99913310</v>
      </c>
      <c r="B3312" s="17" t="s">
        <v>32</v>
      </c>
      <c r="C3312" t="s">
        <v>46</v>
      </c>
      <c r="D3312" t="s">
        <v>47</v>
      </c>
      <c r="G3312" s="17" t="s">
        <v>48</v>
      </c>
      <c r="H3312" s="17">
        <v>1</v>
      </c>
      <c r="K3312" t="s">
        <v>345</v>
      </c>
      <c r="L3312" t="s">
        <v>346</v>
      </c>
      <c r="M3312" t="s">
        <v>131</v>
      </c>
      <c r="N3312">
        <v>20</v>
      </c>
      <c r="O3312" t="s">
        <v>40</v>
      </c>
      <c r="P3312" t="s">
        <v>40</v>
      </c>
      <c r="Q3312" t="s">
        <v>40</v>
      </c>
      <c r="R3312" t="s">
        <v>40</v>
      </c>
      <c r="S3312" t="s">
        <v>40</v>
      </c>
      <c r="V3312" t="s">
        <v>41</v>
      </c>
      <c r="W3312" t="s">
        <v>49</v>
      </c>
      <c r="X3312" t="str">
        <f>"0561021"</f>
        <v>0561021</v>
      </c>
      <c r="Y3312" t="s">
        <v>352</v>
      </c>
      <c r="Z3312" t="s">
        <v>345</v>
      </c>
      <c r="AA3312" t="s">
        <v>346</v>
      </c>
      <c r="AB3312" t="s">
        <v>131</v>
      </c>
      <c r="AC3312" t="s">
        <v>51</v>
      </c>
      <c r="AD3312" t="s">
        <v>45</v>
      </c>
      <c r="AE3312" s="1">
        <v>25970</v>
      </c>
      <c r="AF3312">
        <v>2</v>
      </c>
      <c r="AG3312" t="s">
        <v>346</v>
      </c>
      <c r="AH3312" s="36">
        <f t="shared" si="51"/>
        <v>48.575000000000003</v>
      </c>
      <c r="AI3312" s="41" t="s">
        <v>1780</v>
      </c>
    </row>
    <row r="3313" spans="1:35" x14ac:dyDescent="0.25">
      <c r="A3313" s="36">
        <v>99913311</v>
      </c>
      <c r="B3313" s="17" t="s">
        <v>32</v>
      </c>
      <c r="C3313" t="s">
        <v>111</v>
      </c>
      <c r="D3313" t="s">
        <v>112</v>
      </c>
      <c r="G3313" s="17" t="s">
        <v>48</v>
      </c>
      <c r="H3313" s="17">
        <v>1</v>
      </c>
      <c r="K3313" t="s">
        <v>154</v>
      </c>
      <c r="L3313" t="s">
        <v>155</v>
      </c>
      <c r="M3313" t="s">
        <v>131</v>
      </c>
      <c r="N3313">
        <v>24</v>
      </c>
      <c r="O3313" t="s">
        <v>40</v>
      </c>
      <c r="P3313" t="s">
        <v>40</v>
      </c>
      <c r="Q3313" t="s">
        <v>40</v>
      </c>
      <c r="S3313" t="s">
        <v>40</v>
      </c>
      <c r="V3313" t="s">
        <v>41</v>
      </c>
      <c r="W3313" t="s">
        <v>75</v>
      </c>
      <c r="X3313" t="str">
        <f>"7051026"</f>
        <v>7051026</v>
      </c>
      <c r="Y3313" t="s">
        <v>396</v>
      </c>
      <c r="Z3313" t="s">
        <v>154</v>
      </c>
      <c r="AA3313" t="s">
        <v>155</v>
      </c>
      <c r="AB3313" t="s">
        <v>131</v>
      </c>
      <c r="AC3313" t="s">
        <v>51</v>
      </c>
      <c r="AD3313" t="s">
        <v>45</v>
      </c>
      <c r="AE3313" s="1">
        <v>25966</v>
      </c>
      <c r="AF3313">
        <v>1</v>
      </c>
      <c r="AG3313" t="s">
        <v>155</v>
      </c>
      <c r="AH3313" s="36">
        <f t="shared" si="51"/>
        <v>48.586111111111109</v>
      </c>
      <c r="AI3313" s="41" t="s">
        <v>1780</v>
      </c>
    </row>
    <row r="3314" spans="1:35" x14ac:dyDescent="0.25">
      <c r="A3314" s="36">
        <v>99913312</v>
      </c>
      <c r="B3314" s="17" t="s">
        <v>56</v>
      </c>
      <c r="C3314" t="s">
        <v>79</v>
      </c>
      <c r="D3314" t="s">
        <v>80</v>
      </c>
      <c r="G3314" s="17" t="s">
        <v>35</v>
      </c>
      <c r="H3314" s="17">
        <v>1</v>
      </c>
      <c r="K3314" t="s">
        <v>268</v>
      </c>
      <c r="L3314" t="s">
        <v>269</v>
      </c>
      <c r="M3314" t="s">
        <v>131</v>
      </c>
      <c r="N3314">
        <v>19</v>
      </c>
      <c r="O3314" t="s">
        <v>40</v>
      </c>
      <c r="P3314" t="s">
        <v>40</v>
      </c>
      <c r="Q3314" t="s">
        <v>40</v>
      </c>
      <c r="S3314" t="s">
        <v>40</v>
      </c>
      <c r="V3314" t="s">
        <v>41</v>
      </c>
      <c r="W3314" t="s">
        <v>75</v>
      </c>
      <c r="X3314" t="str">
        <f>"7052036"</f>
        <v>7052036</v>
      </c>
      <c r="Y3314" t="s">
        <v>679</v>
      </c>
      <c r="Z3314" t="s">
        <v>268</v>
      </c>
      <c r="AA3314" t="s">
        <v>269</v>
      </c>
      <c r="AB3314" t="s">
        <v>131</v>
      </c>
      <c r="AC3314" t="s">
        <v>51</v>
      </c>
      <c r="AD3314" t="s">
        <v>45</v>
      </c>
      <c r="AE3314" s="1">
        <v>25966</v>
      </c>
      <c r="AF3314">
        <v>1</v>
      </c>
      <c r="AG3314" t="s">
        <v>269</v>
      </c>
      <c r="AH3314" s="36">
        <f t="shared" si="51"/>
        <v>48.586111111111109</v>
      </c>
      <c r="AI3314" s="41" t="s">
        <v>1780</v>
      </c>
    </row>
    <row r="3315" spans="1:35" x14ac:dyDescent="0.25">
      <c r="A3315" s="36">
        <v>99913313</v>
      </c>
      <c r="B3315" s="17" t="s">
        <v>32</v>
      </c>
      <c r="C3315" t="s">
        <v>111</v>
      </c>
      <c r="D3315" t="s">
        <v>112</v>
      </c>
      <c r="G3315" s="17" t="s">
        <v>35</v>
      </c>
      <c r="H3315" s="17">
        <v>1</v>
      </c>
      <c r="I3315">
        <v>92</v>
      </c>
      <c r="J3315" s="1">
        <v>43344</v>
      </c>
      <c r="K3315" t="s">
        <v>354</v>
      </c>
      <c r="L3315" t="s">
        <v>355</v>
      </c>
      <c r="M3315" t="s">
        <v>131</v>
      </c>
      <c r="N3315">
        <v>24</v>
      </c>
      <c r="O3315" t="s">
        <v>40</v>
      </c>
      <c r="S3315" t="s">
        <v>40</v>
      </c>
      <c r="U3315" s="1">
        <v>43344</v>
      </c>
      <c r="V3315" t="s">
        <v>41</v>
      </c>
      <c r="W3315" t="s">
        <v>75</v>
      </c>
      <c r="X3315" t="str">
        <f>"7054032"</f>
        <v>7054032</v>
      </c>
      <c r="Y3315" t="s">
        <v>767</v>
      </c>
      <c r="Z3315" t="s">
        <v>354</v>
      </c>
      <c r="AA3315" t="s">
        <v>355</v>
      </c>
      <c r="AB3315" t="s">
        <v>131</v>
      </c>
      <c r="AC3315" t="s">
        <v>44</v>
      </c>
      <c r="AD3315" t="s">
        <v>45</v>
      </c>
      <c r="AE3315" s="1">
        <v>25963</v>
      </c>
      <c r="AF3315">
        <v>1</v>
      </c>
      <c r="AG3315" t="s">
        <v>355</v>
      </c>
      <c r="AH3315" s="36">
        <f t="shared" si="51"/>
        <v>48.594444444444441</v>
      </c>
      <c r="AI3315" s="41" t="s">
        <v>1780</v>
      </c>
    </row>
    <row r="3316" spans="1:35" x14ac:dyDescent="0.25">
      <c r="A3316" s="36">
        <v>99913314</v>
      </c>
      <c r="B3316" s="17" t="s">
        <v>32</v>
      </c>
      <c r="C3316" t="s">
        <v>64</v>
      </c>
      <c r="D3316" t="s">
        <v>65</v>
      </c>
      <c r="G3316" s="17" t="s">
        <v>48</v>
      </c>
      <c r="H3316" s="17">
        <v>1</v>
      </c>
      <c r="K3316" t="s">
        <v>354</v>
      </c>
      <c r="L3316" t="s">
        <v>355</v>
      </c>
      <c r="M3316" t="s">
        <v>131</v>
      </c>
      <c r="N3316">
        <v>22</v>
      </c>
      <c r="O3316" t="s">
        <v>40</v>
      </c>
      <c r="P3316" t="s">
        <v>40</v>
      </c>
      <c r="Q3316" t="s">
        <v>40</v>
      </c>
      <c r="S3316" t="s">
        <v>40</v>
      </c>
      <c r="V3316" t="s">
        <v>41</v>
      </c>
      <c r="W3316" t="s">
        <v>75</v>
      </c>
      <c r="X3316" t="str">
        <f>"7054022"</f>
        <v>7054022</v>
      </c>
      <c r="Y3316" t="s">
        <v>770</v>
      </c>
      <c r="Z3316" t="s">
        <v>354</v>
      </c>
      <c r="AA3316" t="s">
        <v>355</v>
      </c>
      <c r="AB3316" t="s">
        <v>131</v>
      </c>
      <c r="AC3316" t="s">
        <v>51</v>
      </c>
      <c r="AD3316" t="s">
        <v>45</v>
      </c>
      <c r="AE3316" s="1">
        <v>25962</v>
      </c>
      <c r="AF3316">
        <v>1</v>
      </c>
      <c r="AG3316" t="s">
        <v>355</v>
      </c>
      <c r="AH3316" s="36">
        <f t="shared" si="51"/>
        <v>48.597222222222221</v>
      </c>
      <c r="AI3316" s="41" t="s">
        <v>1780</v>
      </c>
    </row>
    <row r="3317" spans="1:35" x14ac:dyDescent="0.25">
      <c r="A3317" s="36">
        <v>99913315</v>
      </c>
      <c r="B3317" s="17" t="s">
        <v>56</v>
      </c>
      <c r="C3317" t="s">
        <v>52</v>
      </c>
      <c r="D3317" t="s">
        <v>53</v>
      </c>
      <c r="G3317" s="17" t="s">
        <v>48</v>
      </c>
      <c r="H3317" s="17">
        <v>1</v>
      </c>
      <c r="K3317" t="s">
        <v>162</v>
      </c>
      <c r="L3317" t="s">
        <v>158</v>
      </c>
      <c r="M3317" t="s">
        <v>131</v>
      </c>
      <c r="N3317">
        <v>23</v>
      </c>
      <c r="O3317" t="s">
        <v>40</v>
      </c>
      <c r="P3317" t="s">
        <v>40</v>
      </c>
      <c r="Q3317" t="s">
        <v>40</v>
      </c>
      <c r="R3317" t="s">
        <v>40</v>
      </c>
      <c r="S3317" t="s">
        <v>40</v>
      </c>
      <c r="V3317" t="s">
        <v>41</v>
      </c>
      <c r="W3317" t="s">
        <v>42</v>
      </c>
      <c r="X3317" t="str">
        <f>"0580310"</f>
        <v>0580310</v>
      </c>
      <c r="Y3317" t="s">
        <v>173</v>
      </c>
      <c r="Z3317" t="s">
        <v>162</v>
      </c>
      <c r="AA3317" t="s">
        <v>158</v>
      </c>
      <c r="AB3317" t="s">
        <v>131</v>
      </c>
      <c r="AC3317" t="s">
        <v>51</v>
      </c>
      <c r="AD3317" t="s">
        <v>45</v>
      </c>
      <c r="AE3317" s="1">
        <v>25953</v>
      </c>
      <c r="AF3317">
        <v>2</v>
      </c>
      <c r="AG3317" t="s">
        <v>158</v>
      </c>
      <c r="AH3317" s="36">
        <f t="shared" si="51"/>
        <v>48.62222222222222</v>
      </c>
      <c r="AI3317" s="41" t="s">
        <v>1780</v>
      </c>
    </row>
    <row r="3318" spans="1:35" x14ac:dyDescent="0.25">
      <c r="A3318" s="36">
        <v>99913316</v>
      </c>
      <c r="B3318" s="17" t="s">
        <v>32</v>
      </c>
      <c r="C3318" t="s">
        <v>111</v>
      </c>
      <c r="D3318" t="s">
        <v>112</v>
      </c>
      <c r="G3318" s="17" t="s">
        <v>35</v>
      </c>
      <c r="H3318" s="17">
        <v>1</v>
      </c>
      <c r="I3318">
        <v>15199</v>
      </c>
      <c r="J3318" s="1">
        <v>43344</v>
      </c>
      <c r="K3318" t="s">
        <v>877</v>
      </c>
      <c r="L3318" t="s">
        <v>878</v>
      </c>
      <c r="M3318" t="s">
        <v>131</v>
      </c>
      <c r="N3318">
        <v>21</v>
      </c>
      <c r="O3318" t="s">
        <v>40</v>
      </c>
      <c r="S3318" t="s">
        <v>40</v>
      </c>
      <c r="U3318" s="1">
        <v>43344</v>
      </c>
      <c r="V3318" t="s">
        <v>41</v>
      </c>
      <c r="W3318" t="s">
        <v>75</v>
      </c>
      <c r="X3318" t="str">
        <f>"7541024"</f>
        <v>7541024</v>
      </c>
      <c r="Y3318" t="s">
        <v>885</v>
      </c>
      <c r="Z3318" t="s">
        <v>877</v>
      </c>
      <c r="AA3318" t="s">
        <v>878</v>
      </c>
      <c r="AB3318" t="s">
        <v>131</v>
      </c>
      <c r="AC3318" t="s">
        <v>51</v>
      </c>
      <c r="AD3318" t="s">
        <v>45</v>
      </c>
      <c r="AE3318" s="1">
        <v>25952</v>
      </c>
      <c r="AF3318">
        <v>1</v>
      </c>
      <c r="AG3318" t="s">
        <v>878</v>
      </c>
      <c r="AH3318" s="36">
        <f t="shared" si="51"/>
        <v>48.625</v>
      </c>
      <c r="AI3318" s="41" t="s">
        <v>1780</v>
      </c>
    </row>
    <row r="3319" spans="1:35" x14ac:dyDescent="0.25">
      <c r="A3319" s="36">
        <v>99913317</v>
      </c>
      <c r="B3319" s="17" t="s">
        <v>56</v>
      </c>
      <c r="C3319" t="s">
        <v>46</v>
      </c>
      <c r="D3319" t="s">
        <v>47</v>
      </c>
      <c r="G3319" s="17" t="s">
        <v>48</v>
      </c>
      <c r="H3319" s="17">
        <v>1</v>
      </c>
      <c r="K3319" t="s">
        <v>1268</v>
      </c>
      <c r="L3319" t="s">
        <v>1269</v>
      </c>
      <c r="M3319" t="s">
        <v>1270</v>
      </c>
      <c r="N3319">
        <v>20</v>
      </c>
      <c r="O3319" t="s">
        <v>40</v>
      </c>
      <c r="P3319" t="s">
        <v>40</v>
      </c>
      <c r="Q3319" t="s">
        <v>40</v>
      </c>
      <c r="S3319" t="s">
        <v>40</v>
      </c>
      <c r="V3319" t="s">
        <v>41</v>
      </c>
      <c r="W3319" t="s">
        <v>42</v>
      </c>
      <c r="X3319" t="str">
        <f>"1990910"</f>
        <v>1990910</v>
      </c>
      <c r="Y3319" t="s">
        <v>1281</v>
      </c>
      <c r="Z3319" t="s">
        <v>1268</v>
      </c>
      <c r="AA3319" t="s">
        <v>1269</v>
      </c>
      <c r="AB3319" t="s">
        <v>1270</v>
      </c>
      <c r="AC3319" t="s">
        <v>165</v>
      </c>
      <c r="AD3319" t="s">
        <v>45</v>
      </c>
      <c r="AE3319" s="1">
        <v>25949</v>
      </c>
      <c r="AF3319">
        <v>2</v>
      </c>
      <c r="AG3319" t="s">
        <v>1269</v>
      </c>
      <c r="AH3319" s="36">
        <f t="shared" si="51"/>
        <v>48.633333333333333</v>
      </c>
      <c r="AI3319" s="41" t="s">
        <v>1780</v>
      </c>
    </row>
    <row r="3320" spans="1:35" x14ac:dyDescent="0.25">
      <c r="A3320" s="36">
        <v>99913318</v>
      </c>
      <c r="B3320" s="17" t="s">
        <v>32</v>
      </c>
      <c r="C3320" t="s">
        <v>68</v>
      </c>
      <c r="D3320" t="s">
        <v>69</v>
      </c>
      <c r="G3320" s="17" t="s">
        <v>35</v>
      </c>
      <c r="H3320" s="17">
        <v>1</v>
      </c>
      <c r="I3320">
        <v>6569</v>
      </c>
      <c r="J3320" s="1">
        <v>43344</v>
      </c>
      <c r="K3320" t="s">
        <v>1306</v>
      </c>
      <c r="L3320" t="s">
        <v>1307</v>
      </c>
      <c r="M3320" t="s">
        <v>1270</v>
      </c>
      <c r="N3320">
        <v>9</v>
      </c>
      <c r="O3320" t="s">
        <v>40</v>
      </c>
      <c r="S3320" t="s">
        <v>40</v>
      </c>
      <c r="U3320" s="1">
        <v>43344</v>
      </c>
      <c r="V3320" t="s">
        <v>41</v>
      </c>
      <c r="W3320" t="s">
        <v>42</v>
      </c>
      <c r="X3320" t="str">
        <f>"1990915"</f>
        <v>1990915</v>
      </c>
      <c r="Y3320" t="s">
        <v>1308</v>
      </c>
      <c r="Z3320" t="s">
        <v>1306</v>
      </c>
      <c r="AA3320" t="s">
        <v>1307</v>
      </c>
      <c r="AB3320" t="s">
        <v>1270</v>
      </c>
      <c r="AC3320" t="s">
        <v>51</v>
      </c>
      <c r="AD3320" t="s">
        <v>45</v>
      </c>
      <c r="AE3320" s="1">
        <v>25948</v>
      </c>
      <c r="AF3320">
        <v>2</v>
      </c>
      <c r="AG3320" t="s">
        <v>1307</v>
      </c>
      <c r="AH3320" s="36">
        <f t="shared" si="51"/>
        <v>48.636111111111113</v>
      </c>
      <c r="AI3320" s="41" t="s">
        <v>1780</v>
      </c>
    </row>
    <row r="3321" spans="1:35" x14ac:dyDescent="0.25">
      <c r="A3321" s="36">
        <v>99913319</v>
      </c>
      <c r="B3321" s="17" t="s">
        <v>32</v>
      </c>
      <c r="C3321" t="s">
        <v>46</v>
      </c>
      <c r="D3321" t="s">
        <v>47</v>
      </c>
      <c r="G3321" s="17" t="s">
        <v>48</v>
      </c>
      <c r="H3321" s="17">
        <v>7</v>
      </c>
      <c r="K3321" t="s">
        <v>129</v>
      </c>
      <c r="L3321" t="s">
        <v>130</v>
      </c>
      <c r="M3321" t="s">
        <v>131</v>
      </c>
      <c r="N3321">
        <v>20</v>
      </c>
      <c r="O3321" t="s">
        <v>40</v>
      </c>
      <c r="P3321" t="s">
        <v>40</v>
      </c>
      <c r="Q3321" t="s">
        <v>40</v>
      </c>
      <c r="R3321" t="s">
        <v>40</v>
      </c>
      <c r="S3321" t="s">
        <v>40</v>
      </c>
      <c r="U3321" s="1">
        <v>37137</v>
      </c>
      <c r="V3321" t="s">
        <v>41</v>
      </c>
      <c r="W3321" t="s">
        <v>49</v>
      </c>
      <c r="X3321" t="str">
        <f>"0580150"</f>
        <v>0580150</v>
      </c>
      <c r="Y3321" t="s">
        <v>134</v>
      </c>
      <c r="Z3321" t="s">
        <v>129</v>
      </c>
      <c r="AA3321" t="s">
        <v>130</v>
      </c>
      <c r="AB3321" t="s">
        <v>131</v>
      </c>
      <c r="AC3321" t="s">
        <v>51</v>
      </c>
      <c r="AD3321" t="s">
        <v>45</v>
      </c>
      <c r="AE3321" s="1">
        <v>25946</v>
      </c>
      <c r="AF3321">
        <v>2</v>
      </c>
      <c r="AG3321" t="s">
        <v>130</v>
      </c>
      <c r="AH3321" s="36">
        <f t="shared" si="51"/>
        <v>48.641666666666666</v>
      </c>
      <c r="AI3321" s="41" t="s">
        <v>1780</v>
      </c>
    </row>
    <row r="3322" spans="1:35" x14ac:dyDescent="0.25">
      <c r="A3322" s="36">
        <v>99913320</v>
      </c>
      <c r="B3322" s="17" t="s">
        <v>56</v>
      </c>
      <c r="C3322" t="s">
        <v>46</v>
      </c>
      <c r="D3322" t="s">
        <v>47</v>
      </c>
      <c r="G3322" s="17" t="s">
        <v>48</v>
      </c>
      <c r="H3322" s="17">
        <v>10</v>
      </c>
      <c r="K3322" t="s">
        <v>1268</v>
      </c>
      <c r="L3322" t="s">
        <v>1269</v>
      </c>
      <c r="M3322" t="s">
        <v>1270</v>
      </c>
      <c r="N3322">
        <v>20</v>
      </c>
      <c r="O3322" t="s">
        <v>40</v>
      </c>
      <c r="P3322" t="s">
        <v>40</v>
      </c>
      <c r="Q3322" t="s">
        <v>40</v>
      </c>
      <c r="R3322" t="s">
        <v>40</v>
      </c>
      <c r="S3322" t="s">
        <v>40</v>
      </c>
      <c r="U3322" s="1">
        <v>43344</v>
      </c>
      <c r="V3322" t="s">
        <v>41</v>
      </c>
      <c r="W3322" t="s">
        <v>42</v>
      </c>
      <c r="X3322" t="str">
        <f>"1980060"</f>
        <v>1980060</v>
      </c>
      <c r="Y3322" t="s">
        <v>1277</v>
      </c>
      <c r="Z3322" t="s">
        <v>1268</v>
      </c>
      <c r="AA3322" t="s">
        <v>1269</v>
      </c>
      <c r="AB3322" t="s">
        <v>1270</v>
      </c>
      <c r="AC3322" t="s">
        <v>51</v>
      </c>
      <c r="AD3322" t="s">
        <v>45</v>
      </c>
      <c r="AE3322" s="1">
        <v>25944</v>
      </c>
      <c r="AF3322">
        <v>2</v>
      </c>
      <c r="AG3322" t="s">
        <v>1269</v>
      </c>
      <c r="AH3322" s="36">
        <f t="shared" si="51"/>
        <v>48.647222222222226</v>
      </c>
      <c r="AI3322" s="41" t="s">
        <v>1780</v>
      </c>
    </row>
    <row r="3323" spans="1:35" x14ac:dyDescent="0.25">
      <c r="A3323" s="36">
        <v>99913321</v>
      </c>
      <c r="B3323" s="17" t="s">
        <v>32</v>
      </c>
      <c r="C3323" t="s">
        <v>90</v>
      </c>
      <c r="D3323" t="s">
        <v>91</v>
      </c>
      <c r="G3323" s="17" t="s">
        <v>48</v>
      </c>
      <c r="H3323" s="17">
        <v>1</v>
      </c>
      <c r="K3323" t="s">
        <v>1198</v>
      </c>
      <c r="L3323" t="s">
        <v>1199</v>
      </c>
      <c r="M3323" t="s">
        <v>1130</v>
      </c>
      <c r="N3323">
        <v>23</v>
      </c>
      <c r="O3323" t="s">
        <v>40</v>
      </c>
      <c r="P3323" t="s">
        <v>40</v>
      </c>
      <c r="Q3323" t="s">
        <v>40</v>
      </c>
      <c r="R3323" t="s">
        <v>40</v>
      </c>
      <c r="S3323" t="s">
        <v>40</v>
      </c>
      <c r="V3323" t="s">
        <v>41</v>
      </c>
      <c r="W3323" t="s">
        <v>75</v>
      </c>
      <c r="X3323" t="str">
        <f>"7311006"</f>
        <v>7311006</v>
      </c>
      <c r="Y3323" t="s">
        <v>1200</v>
      </c>
      <c r="Z3323" t="s">
        <v>1198</v>
      </c>
      <c r="AA3323" t="s">
        <v>1199</v>
      </c>
      <c r="AB3323" t="s">
        <v>1130</v>
      </c>
      <c r="AC3323" t="s">
        <v>51</v>
      </c>
      <c r="AD3323" t="s">
        <v>45</v>
      </c>
      <c r="AE3323" s="1">
        <v>25941</v>
      </c>
      <c r="AF3323">
        <v>1</v>
      </c>
      <c r="AG3323" t="s">
        <v>1199</v>
      </c>
      <c r="AH3323" s="36">
        <f t="shared" si="51"/>
        <v>48.655555555555559</v>
      </c>
      <c r="AI3323" s="41" t="s">
        <v>1780</v>
      </c>
    </row>
    <row r="3324" spans="1:35" x14ac:dyDescent="0.25">
      <c r="A3324" s="36">
        <v>99913322</v>
      </c>
      <c r="B3324" s="17" t="s">
        <v>56</v>
      </c>
      <c r="C3324" t="s">
        <v>68</v>
      </c>
      <c r="D3324" t="s">
        <v>69</v>
      </c>
      <c r="G3324" s="17" t="s">
        <v>48</v>
      </c>
      <c r="H3324" s="17">
        <v>1</v>
      </c>
      <c r="K3324" t="s">
        <v>300</v>
      </c>
      <c r="L3324" t="s">
        <v>301</v>
      </c>
      <c r="M3324" t="s">
        <v>131</v>
      </c>
      <c r="N3324">
        <v>18</v>
      </c>
      <c r="O3324" t="s">
        <v>40</v>
      </c>
      <c r="P3324" t="s">
        <v>40</v>
      </c>
      <c r="Q3324" t="s">
        <v>40</v>
      </c>
      <c r="R3324" t="s">
        <v>40</v>
      </c>
      <c r="S3324" t="s">
        <v>40</v>
      </c>
      <c r="V3324" t="s">
        <v>41</v>
      </c>
      <c r="W3324" t="s">
        <v>42</v>
      </c>
      <c r="X3324" t="str">
        <f>"0580175"</f>
        <v>0580175</v>
      </c>
      <c r="Y3324" t="s">
        <v>303</v>
      </c>
      <c r="Z3324" t="s">
        <v>300</v>
      </c>
      <c r="AA3324" t="s">
        <v>301</v>
      </c>
      <c r="AB3324" t="s">
        <v>131</v>
      </c>
      <c r="AC3324" t="s">
        <v>51</v>
      </c>
      <c r="AD3324" t="s">
        <v>45</v>
      </c>
      <c r="AE3324" s="1">
        <v>25939</v>
      </c>
      <c r="AF3324">
        <v>2</v>
      </c>
      <c r="AG3324" t="s">
        <v>301</v>
      </c>
      <c r="AH3324" s="36">
        <f t="shared" si="51"/>
        <v>48.661111111111111</v>
      </c>
      <c r="AI3324" s="41" t="s">
        <v>1780</v>
      </c>
    </row>
    <row r="3325" spans="1:35" x14ac:dyDescent="0.25">
      <c r="A3325" s="36">
        <v>99913323</v>
      </c>
      <c r="B3325" s="17" t="s">
        <v>32</v>
      </c>
      <c r="C3325" t="s">
        <v>46</v>
      </c>
      <c r="D3325" t="s">
        <v>47</v>
      </c>
      <c r="G3325" s="17" t="s">
        <v>48</v>
      </c>
      <c r="H3325" s="17">
        <v>1</v>
      </c>
      <c r="K3325" t="s">
        <v>345</v>
      </c>
      <c r="L3325" t="s">
        <v>346</v>
      </c>
      <c r="M3325" t="s">
        <v>131</v>
      </c>
      <c r="N3325">
        <v>21</v>
      </c>
      <c r="O3325" t="s">
        <v>40</v>
      </c>
      <c r="P3325" t="s">
        <v>40</v>
      </c>
      <c r="Q3325" t="s">
        <v>40</v>
      </c>
      <c r="S3325" t="s">
        <v>40</v>
      </c>
      <c r="V3325" t="s">
        <v>41</v>
      </c>
      <c r="W3325" t="s">
        <v>42</v>
      </c>
      <c r="X3325" t="str">
        <f>"0590906"</f>
        <v>0590906</v>
      </c>
      <c r="Y3325" t="s">
        <v>361</v>
      </c>
      <c r="Z3325" t="s">
        <v>345</v>
      </c>
      <c r="AA3325" t="s">
        <v>346</v>
      </c>
      <c r="AB3325" t="s">
        <v>131</v>
      </c>
      <c r="AC3325" t="s">
        <v>51</v>
      </c>
      <c r="AD3325" t="s">
        <v>45</v>
      </c>
      <c r="AE3325" s="1">
        <v>25939</v>
      </c>
      <c r="AF3325">
        <v>2</v>
      </c>
      <c r="AG3325" t="s">
        <v>346</v>
      </c>
      <c r="AH3325" s="36">
        <f t="shared" si="51"/>
        <v>48.661111111111111</v>
      </c>
      <c r="AI3325" s="41" t="s">
        <v>1780</v>
      </c>
    </row>
    <row r="3326" spans="1:35" x14ac:dyDescent="0.25">
      <c r="A3326" s="36">
        <v>99913324</v>
      </c>
      <c r="B3326" s="17" t="s">
        <v>56</v>
      </c>
      <c r="C3326" t="s">
        <v>71</v>
      </c>
      <c r="D3326" t="s">
        <v>72</v>
      </c>
      <c r="G3326" s="17" t="s">
        <v>35</v>
      </c>
      <c r="H3326" s="17">
        <v>1</v>
      </c>
      <c r="K3326" t="s">
        <v>431</v>
      </c>
      <c r="L3326" t="s">
        <v>196</v>
      </c>
      <c r="M3326" t="s">
        <v>131</v>
      </c>
      <c r="N3326">
        <v>10</v>
      </c>
      <c r="O3326" t="s">
        <v>40</v>
      </c>
      <c r="P3326" t="s">
        <v>40</v>
      </c>
      <c r="Q3326" t="s">
        <v>40</v>
      </c>
      <c r="S3326" t="s">
        <v>40</v>
      </c>
      <c r="V3326" t="s">
        <v>41</v>
      </c>
      <c r="W3326" t="s">
        <v>75</v>
      </c>
      <c r="X3326" t="str">
        <f>"7521032"</f>
        <v>7521032</v>
      </c>
      <c r="Y3326" t="s">
        <v>462</v>
      </c>
      <c r="Z3326" t="s">
        <v>431</v>
      </c>
      <c r="AA3326" t="s">
        <v>196</v>
      </c>
      <c r="AB3326" t="s">
        <v>131</v>
      </c>
      <c r="AC3326" t="s">
        <v>51</v>
      </c>
      <c r="AD3326" t="s">
        <v>45</v>
      </c>
      <c r="AE3326" s="1">
        <v>25938</v>
      </c>
      <c r="AF3326">
        <v>1</v>
      </c>
      <c r="AG3326" t="s">
        <v>196</v>
      </c>
      <c r="AH3326" s="36">
        <f t="shared" si="51"/>
        <v>48.663888888888891</v>
      </c>
      <c r="AI3326" s="41" t="s">
        <v>1780</v>
      </c>
    </row>
    <row r="3327" spans="1:35" x14ac:dyDescent="0.25">
      <c r="A3327" s="36">
        <v>99913325</v>
      </c>
      <c r="B3327" s="17" t="s">
        <v>56</v>
      </c>
      <c r="C3327" t="s">
        <v>46</v>
      </c>
      <c r="D3327" t="s">
        <v>47</v>
      </c>
      <c r="G3327" s="17" t="s">
        <v>48</v>
      </c>
      <c r="H3327" s="17">
        <v>1</v>
      </c>
      <c r="K3327" t="s">
        <v>162</v>
      </c>
      <c r="L3327" t="s">
        <v>158</v>
      </c>
      <c r="M3327" t="s">
        <v>131</v>
      </c>
      <c r="N3327">
        <v>20</v>
      </c>
      <c r="O3327" t="s">
        <v>40</v>
      </c>
      <c r="P3327" t="s">
        <v>40</v>
      </c>
      <c r="Q3327" t="s">
        <v>40</v>
      </c>
      <c r="R3327" t="s">
        <v>40</v>
      </c>
      <c r="S3327" t="s">
        <v>40</v>
      </c>
      <c r="V3327" t="s">
        <v>41</v>
      </c>
      <c r="W3327" t="s">
        <v>49</v>
      </c>
      <c r="X3327" t="str">
        <f>"0560003"</f>
        <v>0560003</v>
      </c>
      <c r="Y3327" t="s">
        <v>181</v>
      </c>
      <c r="Z3327" t="s">
        <v>162</v>
      </c>
      <c r="AA3327" t="s">
        <v>158</v>
      </c>
      <c r="AB3327" t="s">
        <v>131</v>
      </c>
      <c r="AC3327" t="s">
        <v>51</v>
      </c>
      <c r="AD3327" t="s">
        <v>45</v>
      </c>
      <c r="AE3327" s="1">
        <v>25937</v>
      </c>
      <c r="AF3327">
        <v>2</v>
      </c>
      <c r="AG3327" t="s">
        <v>158</v>
      </c>
      <c r="AH3327" s="36">
        <f t="shared" si="51"/>
        <v>48.666666666666664</v>
      </c>
      <c r="AI3327" s="41" t="s">
        <v>1780</v>
      </c>
    </row>
    <row r="3328" spans="1:35" x14ac:dyDescent="0.25">
      <c r="A3328" s="36">
        <v>99913326</v>
      </c>
      <c r="B3328" s="17" t="s">
        <v>32</v>
      </c>
      <c r="C3328" t="s">
        <v>90</v>
      </c>
      <c r="D3328" t="s">
        <v>91</v>
      </c>
      <c r="G3328" s="17" t="s">
        <v>35</v>
      </c>
      <c r="H3328" s="17">
        <v>1</v>
      </c>
      <c r="I3328" t="s">
        <v>723</v>
      </c>
      <c r="J3328" s="1">
        <v>43344</v>
      </c>
      <c r="K3328" t="s">
        <v>268</v>
      </c>
      <c r="L3328" t="s">
        <v>269</v>
      </c>
      <c r="M3328" t="s">
        <v>131</v>
      </c>
      <c r="N3328">
        <v>25</v>
      </c>
      <c r="O3328" t="s">
        <v>40</v>
      </c>
      <c r="P3328" t="s">
        <v>40</v>
      </c>
      <c r="Q3328" t="s">
        <v>40</v>
      </c>
      <c r="S3328" t="s">
        <v>40</v>
      </c>
      <c r="U3328" s="1">
        <v>43344</v>
      </c>
      <c r="V3328" t="s">
        <v>41</v>
      </c>
      <c r="W3328" t="s">
        <v>95</v>
      </c>
      <c r="X3328" t="str">
        <f>"7052007"</f>
        <v>7052007</v>
      </c>
      <c r="Y3328" t="s">
        <v>724</v>
      </c>
      <c r="Z3328" t="s">
        <v>268</v>
      </c>
      <c r="AA3328" t="s">
        <v>269</v>
      </c>
      <c r="AB3328" t="s">
        <v>131</v>
      </c>
      <c r="AC3328" t="s">
        <v>44</v>
      </c>
      <c r="AD3328" t="s">
        <v>45</v>
      </c>
      <c r="AE3328" s="1">
        <v>25936</v>
      </c>
      <c r="AF3328">
        <v>1</v>
      </c>
      <c r="AG3328" t="s">
        <v>269</v>
      </c>
      <c r="AH3328" s="36">
        <f t="shared" si="51"/>
        <v>48.669444444444444</v>
      </c>
      <c r="AI3328" s="41" t="s">
        <v>1780</v>
      </c>
    </row>
    <row r="3329" spans="1:35" x14ac:dyDescent="0.25">
      <c r="A3329" s="36">
        <v>99913327</v>
      </c>
      <c r="B3329" s="17" t="s">
        <v>56</v>
      </c>
      <c r="C3329" t="s">
        <v>52</v>
      </c>
      <c r="D3329" t="s">
        <v>53</v>
      </c>
      <c r="G3329" s="17" t="s">
        <v>35</v>
      </c>
      <c r="H3329" s="17">
        <v>1</v>
      </c>
      <c r="I3329">
        <v>22913</v>
      </c>
      <c r="J3329" s="1">
        <v>43344</v>
      </c>
      <c r="K3329" t="s">
        <v>223</v>
      </c>
      <c r="L3329" t="s">
        <v>224</v>
      </c>
      <c r="M3329" t="s">
        <v>131</v>
      </c>
      <c r="N3329">
        <v>12</v>
      </c>
      <c r="O3329" t="s">
        <v>40</v>
      </c>
      <c r="P3329" t="s">
        <v>40</v>
      </c>
      <c r="Q3329" t="s">
        <v>40</v>
      </c>
      <c r="R3329" t="s">
        <v>40</v>
      </c>
      <c r="S3329" t="s">
        <v>40</v>
      </c>
      <c r="U3329" s="1">
        <v>43344</v>
      </c>
      <c r="V3329" t="s">
        <v>41</v>
      </c>
      <c r="W3329" t="s">
        <v>42</v>
      </c>
      <c r="X3329" t="str">
        <f>"0561014"</f>
        <v>0561014</v>
      </c>
      <c r="Y3329" t="s">
        <v>264</v>
      </c>
      <c r="Z3329" t="s">
        <v>223</v>
      </c>
      <c r="AA3329" t="s">
        <v>224</v>
      </c>
      <c r="AB3329" t="s">
        <v>131</v>
      </c>
      <c r="AC3329" t="s">
        <v>44</v>
      </c>
      <c r="AD3329" t="s">
        <v>45</v>
      </c>
      <c r="AE3329" s="1">
        <v>25934</v>
      </c>
      <c r="AF3329">
        <v>2</v>
      </c>
      <c r="AG3329" t="s">
        <v>224</v>
      </c>
      <c r="AH3329" s="36">
        <f t="shared" si="51"/>
        <v>48.674999999999997</v>
      </c>
      <c r="AI3329" s="41" t="s">
        <v>1780</v>
      </c>
    </row>
    <row r="3330" spans="1:35" x14ac:dyDescent="0.25">
      <c r="A3330" s="36">
        <v>99913328</v>
      </c>
      <c r="B3330" s="17" t="s">
        <v>56</v>
      </c>
      <c r="C3330" t="s">
        <v>79</v>
      </c>
      <c r="D3330" t="s">
        <v>80</v>
      </c>
      <c r="G3330" s="17" t="s">
        <v>48</v>
      </c>
      <c r="H3330" s="17">
        <v>1</v>
      </c>
      <c r="K3330" t="s">
        <v>223</v>
      </c>
      <c r="L3330" t="s">
        <v>224</v>
      </c>
      <c r="M3330" t="s">
        <v>131</v>
      </c>
      <c r="N3330">
        <v>12</v>
      </c>
      <c r="O3330" t="s">
        <v>40</v>
      </c>
      <c r="P3330" t="s">
        <v>40</v>
      </c>
      <c r="Q3330" t="s">
        <v>40</v>
      </c>
      <c r="R3330" t="s">
        <v>40</v>
      </c>
      <c r="S3330" t="s">
        <v>40</v>
      </c>
      <c r="V3330" t="s">
        <v>41</v>
      </c>
      <c r="W3330" t="s">
        <v>42</v>
      </c>
      <c r="X3330" t="str">
        <f>"0580204"</f>
        <v>0580204</v>
      </c>
      <c r="Y3330" t="s">
        <v>235</v>
      </c>
      <c r="Z3330" t="s">
        <v>223</v>
      </c>
      <c r="AA3330" t="s">
        <v>224</v>
      </c>
      <c r="AB3330" t="s">
        <v>131</v>
      </c>
      <c r="AC3330" t="s">
        <v>51</v>
      </c>
      <c r="AD3330" t="s">
        <v>45</v>
      </c>
      <c r="AE3330" s="1">
        <v>25934</v>
      </c>
      <c r="AF3330">
        <v>2</v>
      </c>
      <c r="AG3330" t="s">
        <v>224</v>
      </c>
      <c r="AH3330" s="36">
        <f t="shared" ref="AH3330:AH3393" si="52">($AJ$1-AE3330)/360</f>
        <v>48.674999999999997</v>
      </c>
      <c r="AI3330" s="41" t="s">
        <v>1780</v>
      </c>
    </row>
    <row r="3331" spans="1:35" x14ac:dyDescent="0.25">
      <c r="A3331" s="36">
        <v>99913329</v>
      </c>
      <c r="B3331" s="17" t="s">
        <v>56</v>
      </c>
      <c r="C3331" t="s">
        <v>52</v>
      </c>
      <c r="D3331" t="s">
        <v>53</v>
      </c>
      <c r="G3331" s="17" t="s">
        <v>35</v>
      </c>
      <c r="H3331" s="17">
        <v>1</v>
      </c>
      <c r="I3331">
        <v>0</v>
      </c>
      <c r="J3331" s="1">
        <v>43344</v>
      </c>
      <c r="K3331" t="s">
        <v>223</v>
      </c>
      <c r="L3331" t="s">
        <v>224</v>
      </c>
      <c r="M3331" t="s">
        <v>131</v>
      </c>
      <c r="N3331">
        <v>21</v>
      </c>
      <c r="O3331" t="s">
        <v>40</v>
      </c>
      <c r="P3331" t="s">
        <v>40</v>
      </c>
      <c r="Q3331" t="s">
        <v>40</v>
      </c>
      <c r="R3331" t="s">
        <v>40</v>
      </c>
      <c r="S3331" t="s">
        <v>40</v>
      </c>
      <c r="U3331" s="1">
        <v>43344</v>
      </c>
      <c r="V3331" t="s">
        <v>41</v>
      </c>
      <c r="W3331" t="s">
        <v>42</v>
      </c>
      <c r="X3331" t="str">
        <f>"0580206"</f>
        <v>0580206</v>
      </c>
      <c r="Y3331" t="s">
        <v>237</v>
      </c>
      <c r="Z3331" t="s">
        <v>223</v>
      </c>
      <c r="AA3331" t="s">
        <v>224</v>
      </c>
      <c r="AB3331" t="s">
        <v>131</v>
      </c>
      <c r="AC3331" t="s">
        <v>51</v>
      </c>
      <c r="AD3331" t="s">
        <v>45</v>
      </c>
      <c r="AE3331" s="1">
        <v>25934</v>
      </c>
      <c r="AF3331">
        <v>2</v>
      </c>
      <c r="AG3331" t="s">
        <v>224</v>
      </c>
      <c r="AH3331" s="36">
        <f t="shared" si="52"/>
        <v>48.674999999999997</v>
      </c>
      <c r="AI3331" s="41" t="s">
        <v>1780</v>
      </c>
    </row>
    <row r="3332" spans="1:35" x14ac:dyDescent="0.25">
      <c r="A3332" s="36">
        <v>99913330</v>
      </c>
      <c r="B3332" s="17" t="s">
        <v>32</v>
      </c>
      <c r="C3332" t="s">
        <v>46</v>
      </c>
      <c r="D3332" t="s">
        <v>47</v>
      </c>
      <c r="G3332" s="17" t="s">
        <v>48</v>
      </c>
      <c r="H3332" s="17">
        <v>6</v>
      </c>
      <c r="K3332" t="s">
        <v>345</v>
      </c>
      <c r="L3332" t="s">
        <v>346</v>
      </c>
      <c r="M3332" t="s">
        <v>131</v>
      </c>
      <c r="N3332">
        <v>21</v>
      </c>
      <c r="O3332" t="s">
        <v>40</v>
      </c>
      <c r="P3332" t="s">
        <v>40</v>
      </c>
      <c r="Q3332" t="s">
        <v>40</v>
      </c>
      <c r="R3332" t="s">
        <v>40</v>
      </c>
      <c r="S3332" t="s">
        <v>40</v>
      </c>
      <c r="V3332" t="s">
        <v>41</v>
      </c>
      <c r="W3332" t="s">
        <v>42</v>
      </c>
      <c r="X3332" t="str">
        <f>"0590906"</f>
        <v>0590906</v>
      </c>
      <c r="Y3332" t="s">
        <v>361</v>
      </c>
      <c r="Z3332" t="s">
        <v>345</v>
      </c>
      <c r="AA3332" t="s">
        <v>346</v>
      </c>
      <c r="AB3332" t="s">
        <v>131</v>
      </c>
      <c r="AC3332" t="s">
        <v>51</v>
      </c>
      <c r="AD3332" t="s">
        <v>45</v>
      </c>
      <c r="AE3332" s="1">
        <v>25934</v>
      </c>
      <c r="AF3332">
        <v>2</v>
      </c>
      <c r="AG3332" t="s">
        <v>346</v>
      </c>
      <c r="AH3332" s="36">
        <f t="shared" si="52"/>
        <v>48.674999999999997</v>
      </c>
      <c r="AI3332" s="41" t="s">
        <v>1780</v>
      </c>
    </row>
    <row r="3333" spans="1:35" x14ac:dyDescent="0.25">
      <c r="A3333" s="36">
        <v>99913331</v>
      </c>
      <c r="B3333" s="17" t="s">
        <v>56</v>
      </c>
      <c r="C3333" t="s">
        <v>139</v>
      </c>
      <c r="D3333" t="s">
        <v>140</v>
      </c>
      <c r="G3333" s="17" t="s">
        <v>35</v>
      </c>
      <c r="H3333" s="17">
        <v>1</v>
      </c>
      <c r="I3333">
        <v>7780</v>
      </c>
      <c r="J3333" s="1">
        <v>43344</v>
      </c>
      <c r="K3333" t="s">
        <v>380</v>
      </c>
      <c r="L3333" t="s">
        <v>381</v>
      </c>
      <c r="M3333" t="s">
        <v>131</v>
      </c>
      <c r="N3333">
        <v>6</v>
      </c>
      <c r="O3333" t="s">
        <v>40</v>
      </c>
      <c r="P3333" t="s">
        <v>40</v>
      </c>
      <c r="Q3333" t="s">
        <v>40</v>
      </c>
      <c r="R3333" t="s">
        <v>40</v>
      </c>
      <c r="S3333" t="s">
        <v>40</v>
      </c>
      <c r="U3333" s="1">
        <v>43344</v>
      </c>
      <c r="V3333" t="s">
        <v>41</v>
      </c>
      <c r="W3333" t="s">
        <v>49</v>
      </c>
      <c r="X3333" t="str">
        <f>"0580552"</f>
        <v>0580552</v>
      </c>
      <c r="Y3333" t="s">
        <v>386</v>
      </c>
      <c r="Z3333" t="s">
        <v>380</v>
      </c>
      <c r="AA3333" t="s">
        <v>381</v>
      </c>
      <c r="AB3333" t="s">
        <v>131</v>
      </c>
      <c r="AC3333" t="s">
        <v>51</v>
      </c>
      <c r="AD3333" t="s">
        <v>45</v>
      </c>
      <c r="AE3333" s="1">
        <v>25934</v>
      </c>
      <c r="AF3333">
        <v>2</v>
      </c>
      <c r="AG3333" t="s">
        <v>381</v>
      </c>
      <c r="AH3333" s="36">
        <f t="shared" si="52"/>
        <v>48.674999999999997</v>
      </c>
      <c r="AI3333" s="41" t="s">
        <v>1780</v>
      </c>
    </row>
    <row r="3334" spans="1:35" x14ac:dyDescent="0.25">
      <c r="A3334" s="36">
        <v>99913332</v>
      </c>
      <c r="B3334" s="17" t="s">
        <v>32</v>
      </c>
      <c r="C3334" t="s">
        <v>68</v>
      </c>
      <c r="D3334" t="s">
        <v>69</v>
      </c>
      <c r="G3334" s="17" t="s">
        <v>35</v>
      </c>
      <c r="H3334" s="17">
        <v>1</v>
      </c>
      <c r="I3334">
        <v>20135</v>
      </c>
      <c r="J3334" s="1">
        <v>43020</v>
      </c>
      <c r="K3334" t="s">
        <v>380</v>
      </c>
      <c r="L3334" t="s">
        <v>381</v>
      </c>
      <c r="M3334" t="s">
        <v>131</v>
      </c>
      <c r="N3334">
        <v>14</v>
      </c>
      <c r="O3334" t="s">
        <v>40</v>
      </c>
      <c r="P3334" t="s">
        <v>40</v>
      </c>
      <c r="Q3334" t="s">
        <v>40</v>
      </c>
      <c r="R3334" t="s">
        <v>40</v>
      </c>
      <c r="S3334" t="s">
        <v>40</v>
      </c>
      <c r="U3334" s="1">
        <v>43020</v>
      </c>
      <c r="V3334" t="s">
        <v>41</v>
      </c>
      <c r="W3334" t="s">
        <v>49</v>
      </c>
      <c r="X3334" t="str">
        <f>"0591909"</f>
        <v>0591909</v>
      </c>
      <c r="Y3334" t="s">
        <v>385</v>
      </c>
      <c r="Z3334" t="s">
        <v>380</v>
      </c>
      <c r="AA3334" t="s">
        <v>381</v>
      </c>
      <c r="AB3334" t="s">
        <v>131</v>
      </c>
      <c r="AC3334" t="s">
        <v>44</v>
      </c>
      <c r="AD3334" t="s">
        <v>45</v>
      </c>
      <c r="AE3334" s="1">
        <v>25934</v>
      </c>
      <c r="AF3334">
        <v>2</v>
      </c>
      <c r="AG3334" t="s">
        <v>381</v>
      </c>
      <c r="AH3334" s="36">
        <f t="shared" si="52"/>
        <v>48.674999999999997</v>
      </c>
      <c r="AI3334" s="41" t="s">
        <v>1780</v>
      </c>
    </row>
    <row r="3335" spans="1:35" x14ac:dyDescent="0.25">
      <c r="A3335" s="36">
        <v>99913333</v>
      </c>
      <c r="B3335" s="17" t="s">
        <v>32</v>
      </c>
      <c r="C3335" t="s">
        <v>46</v>
      </c>
      <c r="D3335" t="s">
        <v>47</v>
      </c>
      <c r="G3335" s="17" t="s">
        <v>35</v>
      </c>
      <c r="H3335" s="17">
        <v>1</v>
      </c>
      <c r="I3335">
        <v>22882</v>
      </c>
      <c r="J3335" s="1">
        <v>43027</v>
      </c>
      <c r="K3335" t="s">
        <v>380</v>
      </c>
      <c r="L3335" t="s">
        <v>381</v>
      </c>
      <c r="M3335" t="s">
        <v>131</v>
      </c>
      <c r="N3335">
        <v>21</v>
      </c>
      <c r="O3335" t="s">
        <v>40</v>
      </c>
      <c r="P3335" t="s">
        <v>40</v>
      </c>
      <c r="Q3335" t="s">
        <v>40</v>
      </c>
      <c r="R3335" t="s">
        <v>40</v>
      </c>
      <c r="S3335" t="s">
        <v>40</v>
      </c>
      <c r="U3335" s="1">
        <v>43027</v>
      </c>
      <c r="V3335" t="s">
        <v>41</v>
      </c>
      <c r="W3335" t="s">
        <v>49</v>
      </c>
      <c r="X3335" t="str">
        <f>"0561020"</f>
        <v>0561020</v>
      </c>
      <c r="Y3335" t="s">
        <v>390</v>
      </c>
      <c r="Z3335" t="s">
        <v>380</v>
      </c>
      <c r="AA3335" t="s">
        <v>381</v>
      </c>
      <c r="AB3335" t="s">
        <v>131</v>
      </c>
      <c r="AC3335" t="s">
        <v>44</v>
      </c>
      <c r="AD3335" t="s">
        <v>45</v>
      </c>
      <c r="AE3335" s="1">
        <v>25934</v>
      </c>
      <c r="AF3335">
        <v>2</v>
      </c>
      <c r="AG3335" t="s">
        <v>381</v>
      </c>
      <c r="AH3335" s="36">
        <f t="shared" si="52"/>
        <v>48.674999999999997</v>
      </c>
      <c r="AI3335" s="41" t="s">
        <v>1780</v>
      </c>
    </row>
    <row r="3336" spans="1:35" x14ac:dyDescent="0.25">
      <c r="A3336" s="36">
        <v>99913334</v>
      </c>
      <c r="B3336" s="17" t="s">
        <v>32</v>
      </c>
      <c r="C3336" t="s">
        <v>141</v>
      </c>
      <c r="D3336" t="s">
        <v>142</v>
      </c>
      <c r="G3336" s="17" t="s">
        <v>48</v>
      </c>
      <c r="H3336" s="17">
        <v>1</v>
      </c>
      <c r="K3336" t="s">
        <v>154</v>
      </c>
      <c r="L3336" t="s">
        <v>155</v>
      </c>
      <c r="M3336" t="s">
        <v>131</v>
      </c>
      <c r="N3336">
        <v>12</v>
      </c>
      <c r="O3336" t="s">
        <v>40</v>
      </c>
      <c r="P3336" t="s">
        <v>40</v>
      </c>
      <c r="Q3336" t="s">
        <v>40</v>
      </c>
      <c r="R3336" t="s">
        <v>40</v>
      </c>
      <c r="S3336" t="s">
        <v>40</v>
      </c>
      <c r="V3336" t="s">
        <v>41</v>
      </c>
      <c r="W3336" t="s">
        <v>75</v>
      </c>
      <c r="X3336" t="str">
        <f>"7051002"</f>
        <v>7051002</v>
      </c>
      <c r="Y3336" t="s">
        <v>395</v>
      </c>
      <c r="Z3336" t="s">
        <v>154</v>
      </c>
      <c r="AA3336" t="s">
        <v>155</v>
      </c>
      <c r="AB3336" t="s">
        <v>131</v>
      </c>
      <c r="AC3336" t="s">
        <v>51</v>
      </c>
      <c r="AD3336" t="s">
        <v>45</v>
      </c>
      <c r="AE3336" s="1">
        <v>25934</v>
      </c>
      <c r="AF3336">
        <v>1</v>
      </c>
      <c r="AG3336" t="s">
        <v>155</v>
      </c>
      <c r="AH3336" s="36">
        <f t="shared" si="52"/>
        <v>48.674999999999997</v>
      </c>
      <c r="AI3336" s="41" t="s">
        <v>1780</v>
      </c>
    </row>
    <row r="3337" spans="1:35" x14ac:dyDescent="0.25">
      <c r="A3337" s="36">
        <v>99913335</v>
      </c>
      <c r="B3337" s="17" t="s">
        <v>32</v>
      </c>
      <c r="C3337" t="s">
        <v>64</v>
      </c>
      <c r="D3337" t="s">
        <v>65</v>
      </c>
      <c r="G3337" s="17" t="s">
        <v>35</v>
      </c>
      <c r="H3337" s="17">
        <v>1</v>
      </c>
      <c r="I3337">
        <v>2716</v>
      </c>
      <c r="J3337" s="1">
        <v>43344</v>
      </c>
      <c r="K3337" t="s">
        <v>268</v>
      </c>
      <c r="L3337" t="s">
        <v>269</v>
      </c>
      <c r="M3337" t="s">
        <v>131</v>
      </c>
      <c r="N3337">
        <v>19</v>
      </c>
      <c r="O3337" t="s">
        <v>40</v>
      </c>
      <c r="P3337" t="s">
        <v>40</v>
      </c>
      <c r="Q3337" t="s">
        <v>40</v>
      </c>
      <c r="R3337" t="s">
        <v>40</v>
      </c>
      <c r="S3337" t="s">
        <v>40</v>
      </c>
      <c r="U3337" s="1">
        <v>43344</v>
      </c>
      <c r="V3337" t="s">
        <v>41</v>
      </c>
      <c r="W3337" t="s">
        <v>75</v>
      </c>
      <c r="X3337" t="str">
        <f>"7052012"</f>
        <v>7052012</v>
      </c>
      <c r="Y3337" t="s">
        <v>270</v>
      </c>
      <c r="Z3337" t="s">
        <v>268</v>
      </c>
      <c r="AA3337" t="s">
        <v>269</v>
      </c>
      <c r="AB3337" t="s">
        <v>131</v>
      </c>
      <c r="AC3337" t="s">
        <v>51</v>
      </c>
      <c r="AD3337" t="s">
        <v>45</v>
      </c>
      <c r="AE3337" s="1">
        <v>25934</v>
      </c>
      <c r="AF3337">
        <v>1</v>
      </c>
      <c r="AG3337" t="s">
        <v>269</v>
      </c>
      <c r="AH3337" s="36">
        <f t="shared" si="52"/>
        <v>48.674999999999997</v>
      </c>
      <c r="AI3337" s="41" t="s">
        <v>1780</v>
      </c>
    </row>
    <row r="3338" spans="1:35" x14ac:dyDescent="0.25">
      <c r="A3338" s="36">
        <v>99913336</v>
      </c>
      <c r="B3338" s="17" t="s">
        <v>32</v>
      </c>
      <c r="C3338" t="s">
        <v>141</v>
      </c>
      <c r="D3338" t="s">
        <v>142</v>
      </c>
      <c r="G3338" s="17" t="s">
        <v>35</v>
      </c>
      <c r="H3338" s="17">
        <v>1</v>
      </c>
      <c r="I3338">
        <v>3600</v>
      </c>
      <c r="J3338" s="1">
        <v>43344</v>
      </c>
      <c r="K3338" t="s">
        <v>354</v>
      </c>
      <c r="L3338" t="s">
        <v>355</v>
      </c>
      <c r="M3338" t="s">
        <v>131</v>
      </c>
      <c r="N3338">
        <v>24</v>
      </c>
      <c r="O3338" t="s">
        <v>40</v>
      </c>
      <c r="S3338" t="s">
        <v>40</v>
      </c>
      <c r="U3338" s="1">
        <v>43344</v>
      </c>
      <c r="V3338" t="s">
        <v>41</v>
      </c>
      <c r="W3338" t="s">
        <v>75</v>
      </c>
      <c r="X3338" t="str">
        <f>"7054008"</f>
        <v>7054008</v>
      </c>
      <c r="Y3338" t="s">
        <v>813</v>
      </c>
      <c r="Z3338" t="s">
        <v>354</v>
      </c>
      <c r="AA3338" t="s">
        <v>355</v>
      </c>
      <c r="AB3338" t="s">
        <v>131</v>
      </c>
      <c r="AC3338" t="s">
        <v>51</v>
      </c>
      <c r="AD3338" t="s">
        <v>45</v>
      </c>
      <c r="AE3338" s="1">
        <v>25934</v>
      </c>
      <c r="AF3338">
        <v>1</v>
      </c>
      <c r="AG3338" t="s">
        <v>355</v>
      </c>
      <c r="AH3338" s="36">
        <f t="shared" si="52"/>
        <v>48.674999999999997</v>
      </c>
      <c r="AI3338" s="41" t="s">
        <v>1780</v>
      </c>
    </row>
    <row r="3339" spans="1:35" x14ac:dyDescent="0.25">
      <c r="A3339" s="36">
        <v>99913337</v>
      </c>
      <c r="B3339" s="17" t="s">
        <v>32</v>
      </c>
      <c r="C3339" t="s">
        <v>139</v>
      </c>
      <c r="D3339" t="s">
        <v>140</v>
      </c>
      <c r="G3339" s="17" t="s">
        <v>48</v>
      </c>
      <c r="H3339" s="17">
        <v>1</v>
      </c>
      <c r="K3339" t="s">
        <v>1187</v>
      </c>
      <c r="L3339" t="s">
        <v>1188</v>
      </c>
      <c r="M3339" t="s">
        <v>1130</v>
      </c>
      <c r="N3339">
        <v>12</v>
      </c>
      <c r="O3339" t="s">
        <v>40</v>
      </c>
      <c r="P3339" t="s">
        <v>40</v>
      </c>
      <c r="Q3339" t="s">
        <v>40</v>
      </c>
      <c r="R3339" t="s">
        <v>40</v>
      </c>
      <c r="S3339" t="s">
        <v>40</v>
      </c>
      <c r="V3339" t="s">
        <v>41</v>
      </c>
      <c r="W3339" t="s">
        <v>49</v>
      </c>
      <c r="X3339" t="str">
        <f>"4581015"</f>
        <v>4581015</v>
      </c>
      <c r="Y3339" t="s">
        <v>1190</v>
      </c>
      <c r="Z3339" t="s">
        <v>1187</v>
      </c>
      <c r="AA3339" t="s">
        <v>1188</v>
      </c>
      <c r="AB3339" t="s">
        <v>1130</v>
      </c>
      <c r="AC3339" t="s">
        <v>51</v>
      </c>
      <c r="AD3339" t="s">
        <v>45</v>
      </c>
      <c r="AE3339" s="1">
        <v>25934</v>
      </c>
      <c r="AF3339">
        <v>2</v>
      </c>
      <c r="AG3339" t="s">
        <v>1188</v>
      </c>
      <c r="AH3339" s="36">
        <f t="shared" si="52"/>
        <v>48.674999999999997</v>
      </c>
      <c r="AI3339" s="41" t="s">
        <v>1780</v>
      </c>
    </row>
    <row r="3340" spans="1:35" x14ac:dyDescent="0.25">
      <c r="A3340" s="36">
        <v>99913338</v>
      </c>
      <c r="B3340" s="17" t="s">
        <v>32</v>
      </c>
      <c r="C3340" t="s">
        <v>64</v>
      </c>
      <c r="D3340" t="s">
        <v>65</v>
      </c>
      <c r="G3340" s="17" t="s">
        <v>48</v>
      </c>
      <c r="H3340" s="17">
        <v>7</v>
      </c>
      <c r="K3340" t="s">
        <v>1268</v>
      </c>
      <c r="L3340" t="s">
        <v>1269</v>
      </c>
      <c r="M3340" t="s">
        <v>1270</v>
      </c>
      <c r="N3340">
        <v>20</v>
      </c>
      <c r="O3340" t="s">
        <v>40</v>
      </c>
      <c r="P3340" t="s">
        <v>40</v>
      </c>
      <c r="Q3340" t="s">
        <v>40</v>
      </c>
      <c r="R3340" t="s">
        <v>40</v>
      </c>
      <c r="S3340" t="s">
        <v>40</v>
      </c>
      <c r="U3340" s="1">
        <v>43344</v>
      </c>
      <c r="V3340" t="s">
        <v>41</v>
      </c>
      <c r="W3340" t="s">
        <v>49</v>
      </c>
      <c r="X3340" t="str">
        <f>"1960001"</f>
        <v>1960001</v>
      </c>
      <c r="Y3340" t="s">
        <v>1272</v>
      </c>
      <c r="Z3340" t="s">
        <v>1268</v>
      </c>
      <c r="AA3340" t="s">
        <v>1269</v>
      </c>
      <c r="AB3340" t="s">
        <v>1270</v>
      </c>
      <c r="AC3340" t="s">
        <v>51</v>
      </c>
      <c r="AD3340" t="s">
        <v>45</v>
      </c>
      <c r="AE3340" s="1">
        <v>25934</v>
      </c>
      <c r="AF3340">
        <v>2</v>
      </c>
      <c r="AG3340" t="s">
        <v>1269</v>
      </c>
      <c r="AH3340" s="36">
        <f t="shared" si="52"/>
        <v>48.674999999999997</v>
      </c>
      <c r="AI3340" s="41" t="s">
        <v>1780</v>
      </c>
    </row>
    <row r="3341" spans="1:35" x14ac:dyDescent="0.25">
      <c r="A3341" s="36">
        <v>99913339</v>
      </c>
      <c r="B3341" s="17" t="s">
        <v>32</v>
      </c>
      <c r="C3341" t="s">
        <v>46</v>
      </c>
      <c r="D3341" t="s">
        <v>47</v>
      </c>
      <c r="G3341" s="17" t="s">
        <v>48</v>
      </c>
      <c r="H3341" s="17">
        <v>6</v>
      </c>
      <c r="K3341" t="s">
        <v>1268</v>
      </c>
      <c r="L3341" t="s">
        <v>1269</v>
      </c>
      <c r="M3341" t="s">
        <v>1270</v>
      </c>
      <c r="N3341">
        <v>19</v>
      </c>
      <c r="O3341" t="s">
        <v>40</v>
      </c>
      <c r="P3341" t="s">
        <v>40</v>
      </c>
      <c r="Q3341" t="s">
        <v>40</v>
      </c>
      <c r="R3341" t="s">
        <v>40</v>
      </c>
      <c r="S3341" t="s">
        <v>40</v>
      </c>
      <c r="V3341" t="s">
        <v>41</v>
      </c>
      <c r="W3341" t="s">
        <v>42</v>
      </c>
      <c r="X3341" t="str">
        <f>"1990911"</f>
        <v>1990911</v>
      </c>
      <c r="Y3341" t="s">
        <v>1276</v>
      </c>
      <c r="Z3341" t="s">
        <v>1268</v>
      </c>
      <c r="AA3341" t="s">
        <v>1269</v>
      </c>
      <c r="AB3341" t="s">
        <v>1270</v>
      </c>
      <c r="AC3341" t="s">
        <v>51</v>
      </c>
      <c r="AD3341" t="s">
        <v>45</v>
      </c>
      <c r="AE3341" s="1">
        <v>25934</v>
      </c>
      <c r="AF3341">
        <v>2</v>
      </c>
      <c r="AG3341" t="s">
        <v>1269</v>
      </c>
      <c r="AH3341" s="36">
        <f t="shared" si="52"/>
        <v>48.674999999999997</v>
      </c>
      <c r="AI3341" s="41" t="s">
        <v>1780</v>
      </c>
    </row>
    <row r="3342" spans="1:35" x14ac:dyDescent="0.25">
      <c r="A3342" s="36">
        <v>99913340</v>
      </c>
      <c r="B3342" s="17" t="s">
        <v>32</v>
      </c>
      <c r="C3342" t="s">
        <v>46</v>
      </c>
      <c r="D3342" t="s">
        <v>47</v>
      </c>
      <c r="G3342" s="17" t="s">
        <v>35</v>
      </c>
      <c r="H3342" s="17">
        <v>1</v>
      </c>
      <c r="I3342">
        <v>6983</v>
      </c>
      <c r="J3342" s="1">
        <v>43344</v>
      </c>
      <c r="K3342" t="s">
        <v>1306</v>
      </c>
      <c r="L3342" t="s">
        <v>1307</v>
      </c>
      <c r="M3342" t="s">
        <v>1270</v>
      </c>
      <c r="N3342">
        <v>20</v>
      </c>
      <c r="O3342" t="s">
        <v>40</v>
      </c>
      <c r="P3342" t="s">
        <v>40</v>
      </c>
      <c r="Q3342" t="s">
        <v>40</v>
      </c>
      <c r="R3342" t="s">
        <v>40</v>
      </c>
      <c r="S3342" t="s">
        <v>40</v>
      </c>
      <c r="U3342" s="1">
        <v>43344</v>
      </c>
      <c r="V3342" t="s">
        <v>41</v>
      </c>
      <c r="W3342" t="s">
        <v>49</v>
      </c>
      <c r="X3342" t="str">
        <f>"1991915"</f>
        <v>1991915</v>
      </c>
      <c r="Y3342" t="s">
        <v>1316</v>
      </c>
      <c r="Z3342" t="s">
        <v>1306</v>
      </c>
      <c r="AA3342" t="s">
        <v>1307</v>
      </c>
      <c r="AB3342" t="s">
        <v>1270</v>
      </c>
      <c r="AC3342" t="s">
        <v>51</v>
      </c>
      <c r="AD3342" t="s">
        <v>45</v>
      </c>
      <c r="AE3342" s="1">
        <v>25934</v>
      </c>
      <c r="AF3342">
        <v>2</v>
      </c>
      <c r="AG3342" t="s">
        <v>1307</v>
      </c>
      <c r="AH3342" s="36">
        <f t="shared" si="52"/>
        <v>48.674999999999997</v>
      </c>
      <c r="AI3342" s="41" t="s">
        <v>1780</v>
      </c>
    </row>
    <row r="3343" spans="1:35" x14ac:dyDescent="0.25">
      <c r="A3343" s="36">
        <v>99913341</v>
      </c>
      <c r="B3343" s="17" t="s">
        <v>32</v>
      </c>
      <c r="C3343" t="s">
        <v>46</v>
      </c>
      <c r="D3343" t="s">
        <v>47</v>
      </c>
      <c r="G3343" s="17" t="s">
        <v>35</v>
      </c>
      <c r="H3343" s="17">
        <v>1</v>
      </c>
      <c r="K3343" t="s">
        <v>1325</v>
      </c>
      <c r="L3343" t="s">
        <v>1326</v>
      </c>
      <c r="M3343" t="s">
        <v>1270</v>
      </c>
      <c r="N3343">
        <v>18</v>
      </c>
      <c r="O3343" t="s">
        <v>40</v>
      </c>
      <c r="P3343" t="s">
        <v>40</v>
      </c>
      <c r="Q3343" t="s">
        <v>40</v>
      </c>
      <c r="R3343" t="s">
        <v>40</v>
      </c>
      <c r="S3343" t="s">
        <v>40</v>
      </c>
      <c r="V3343" t="s">
        <v>41</v>
      </c>
      <c r="W3343" t="s">
        <v>42</v>
      </c>
      <c r="X3343" t="str">
        <f>"3980100"</f>
        <v>3980100</v>
      </c>
      <c r="Y3343" t="s">
        <v>1328</v>
      </c>
      <c r="Z3343" t="s">
        <v>1325</v>
      </c>
      <c r="AA3343" t="s">
        <v>1326</v>
      </c>
      <c r="AB3343" t="s">
        <v>1270</v>
      </c>
      <c r="AC3343" t="s">
        <v>51</v>
      </c>
      <c r="AD3343" t="s">
        <v>45</v>
      </c>
      <c r="AE3343" s="1">
        <v>25934</v>
      </c>
      <c r="AF3343">
        <v>2</v>
      </c>
      <c r="AG3343" t="s">
        <v>1326</v>
      </c>
      <c r="AH3343" s="36">
        <f t="shared" si="52"/>
        <v>48.674999999999997</v>
      </c>
      <c r="AI3343" s="41" t="s">
        <v>1780</v>
      </c>
    </row>
    <row r="3344" spans="1:35" x14ac:dyDescent="0.25">
      <c r="A3344" s="36">
        <v>99913342</v>
      </c>
      <c r="B3344" s="17" t="s">
        <v>32</v>
      </c>
      <c r="C3344" t="s">
        <v>46</v>
      </c>
      <c r="D3344" t="s">
        <v>47</v>
      </c>
      <c r="G3344" s="17" t="s">
        <v>48</v>
      </c>
      <c r="H3344" s="17">
        <v>1</v>
      </c>
      <c r="I3344" t="s">
        <v>1495</v>
      </c>
      <c r="J3344" s="1">
        <v>42276</v>
      </c>
      <c r="K3344" t="s">
        <v>1496</v>
      </c>
      <c r="L3344" t="s">
        <v>1497</v>
      </c>
      <c r="M3344" t="s">
        <v>670</v>
      </c>
      <c r="N3344">
        <v>20</v>
      </c>
      <c r="O3344" t="s">
        <v>40</v>
      </c>
      <c r="P3344" t="s">
        <v>40</v>
      </c>
      <c r="Q3344" t="s">
        <v>40</v>
      </c>
      <c r="R3344" t="s">
        <v>40</v>
      </c>
      <c r="S3344" t="s">
        <v>40</v>
      </c>
      <c r="U3344" s="1">
        <v>42276</v>
      </c>
      <c r="V3344" t="s">
        <v>41</v>
      </c>
      <c r="W3344" t="s">
        <v>42</v>
      </c>
      <c r="X3344" t="str">
        <f>"5080015"</f>
        <v>5080015</v>
      </c>
      <c r="Y3344" t="s">
        <v>1498</v>
      </c>
      <c r="Z3344" t="s">
        <v>1496</v>
      </c>
      <c r="AA3344" t="s">
        <v>1497</v>
      </c>
      <c r="AB3344" t="s">
        <v>670</v>
      </c>
      <c r="AC3344" t="s">
        <v>51</v>
      </c>
      <c r="AD3344" t="s">
        <v>45</v>
      </c>
      <c r="AE3344" s="1">
        <v>25934</v>
      </c>
      <c r="AF3344">
        <v>2</v>
      </c>
      <c r="AG3344" t="s">
        <v>1497</v>
      </c>
      <c r="AH3344" s="36">
        <f t="shared" si="52"/>
        <v>48.674999999999997</v>
      </c>
      <c r="AI3344" s="41" t="s">
        <v>1780</v>
      </c>
    </row>
    <row r="3345" spans="1:35" x14ac:dyDescent="0.25">
      <c r="A3345" s="36">
        <v>99913343</v>
      </c>
      <c r="B3345" s="17" t="s">
        <v>56</v>
      </c>
      <c r="C3345" t="s">
        <v>79</v>
      </c>
      <c r="D3345" t="s">
        <v>80</v>
      </c>
      <c r="G3345" s="17" t="s">
        <v>48</v>
      </c>
      <c r="H3345" s="17">
        <v>1</v>
      </c>
      <c r="K3345" t="s">
        <v>1631</v>
      </c>
      <c r="L3345" t="s">
        <v>1632</v>
      </c>
      <c r="M3345" t="s">
        <v>1592</v>
      </c>
      <c r="N3345">
        <v>6</v>
      </c>
      <c r="O3345" t="s">
        <v>40</v>
      </c>
      <c r="P3345" t="s">
        <v>40</v>
      </c>
      <c r="Q3345" t="s">
        <v>40</v>
      </c>
      <c r="R3345" t="s">
        <v>40</v>
      </c>
      <c r="S3345" t="s">
        <v>40</v>
      </c>
      <c r="V3345" t="s">
        <v>41</v>
      </c>
      <c r="W3345" t="s">
        <v>75</v>
      </c>
      <c r="X3345" t="str">
        <f>"7021002"</f>
        <v>7021002</v>
      </c>
      <c r="Y3345" t="s">
        <v>1639</v>
      </c>
      <c r="Z3345" t="s">
        <v>1631</v>
      </c>
      <c r="AA3345" t="s">
        <v>1632</v>
      </c>
      <c r="AB3345" t="s">
        <v>1592</v>
      </c>
      <c r="AC3345" t="s">
        <v>51</v>
      </c>
      <c r="AD3345" t="s">
        <v>45</v>
      </c>
      <c r="AE3345" s="1">
        <v>25934</v>
      </c>
      <c r="AF3345">
        <v>1</v>
      </c>
      <c r="AG3345" t="s">
        <v>1632</v>
      </c>
      <c r="AH3345" s="36">
        <f t="shared" si="52"/>
        <v>48.674999999999997</v>
      </c>
      <c r="AI3345" s="41" t="s">
        <v>1780</v>
      </c>
    </row>
    <row r="3346" spans="1:35" x14ac:dyDescent="0.25">
      <c r="A3346" s="36">
        <v>99913344</v>
      </c>
      <c r="B3346" s="17" t="s">
        <v>32</v>
      </c>
      <c r="C3346" t="s">
        <v>58</v>
      </c>
      <c r="D3346" t="s">
        <v>59</v>
      </c>
      <c r="G3346" s="17" t="s">
        <v>35</v>
      </c>
      <c r="H3346" s="17">
        <v>1</v>
      </c>
      <c r="K3346" t="s">
        <v>223</v>
      </c>
      <c r="L3346" t="s">
        <v>224</v>
      </c>
      <c r="M3346" t="s">
        <v>131</v>
      </c>
      <c r="N3346">
        <v>20</v>
      </c>
      <c r="O3346" t="s">
        <v>40</v>
      </c>
      <c r="P3346" t="s">
        <v>40</v>
      </c>
      <c r="Q3346" t="s">
        <v>40</v>
      </c>
      <c r="R3346" t="s">
        <v>40</v>
      </c>
      <c r="S3346" t="s">
        <v>40</v>
      </c>
      <c r="V3346" t="s">
        <v>41</v>
      </c>
      <c r="W3346" t="s">
        <v>42</v>
      </c>
      <c r="X3346" t="str">
        <f>"0580345"</f>
        <v>0580345</v>
      </c>
      <c r="Y3346" t="s">
        <v>261</v>
      </c>
      <c r="Z3346" t="s">
        <v>223</v>
      </c>
      <c r="AA3346" t="s">
        <v>224</v>
      </c>
      <c r="AB3346" t="s">
        <v>131</v>
      </c>
      <c r="AC3346" t="s">
        <v>51</v>
      </c>
      <c r="AD3346" t="s">
        <v>45</v>
      </c>
      <c r="AE3346" s="1">
        <v>25932</v>
      </c>
      <c r="AF3346">
        <v>2</v>
      </c>
      <c r="AG3346" t="s">
        <v>224</v>
      </c>
      <c r="AH3346" s="36">
        <f t="shared" si="52"/>
        <v>48.680555555555557</v>
      </c>
      <c r="AI3346" s="41" t="s">
        <v>1780</v>
      </c>
    </row>
    <row r="3347" spans="1:35" x14ac:dyDescent="0.25">
      <c r="A3347" s="36">
        <v>99913345</v>
      </c>
      <c r="B3347" s="17" t="s">
        <v>32</v>
      </c>
      <c r="C3347" t="s">
        <v>79</v>
      </c>
      <c r="D3347" t="s">
        <v>80</v>
      </c>
      <c r="G3347" s="17" t="s">
        <v>35</v>
      </c>
      <c r="H3347" s="17">
        <v>1</v>
      </c>
      <c r="K3347" t="s">
        <v>195</v>
      </c>
      <c r="L3347" t="s">
        <v>196</v>
      </c>
      <c r="M3347" t="s">
        <v>131</v>
      </c>
      <c r="N3347">
        <v>24</v>
      </c>
      <c r="O3347" t="s">
        <v>40</v>
      </c>
      <c r="Q3347" t="s">
        <v>40</v>
      </c>
      <c r="S3347" t="s">
        <v>40</v>
      </c>
      <c r="V3347" t="s">
        <v>41</v>
      </c>
      <c r="W3347" t="s">
        <v>75</v>
      </c>
      <c r="X3347" t="str">
        <f>"7521000"</f>
        <v>7521000</v>
      </c>
      <c r="Y3347" t="s">
        <v>450</v>
      </c>
      <c r="Z3347" t="s">
        <v>195</v>
      </c>
      <c r="AA3347" t="s">
        <v>196</v>
      </c>
      <c r="AB3347" t="s">
        <v>131</v>
      </c>
      <c r="AC3347" t="s">
        <v>51</v>
      </c>
      <c r="AD3347" t="s">
        <v>45</v>
      </c>
      <c r="AE3347" s="1">
        <v>25932</v>
      </c>
      <c r="AF3347">
        <v>1</v>
      </c>
      <c r="AG3347" t="s">
        <v>196</v>
      </c>
      <c r="AH3347" s="36">
        <f t="shared" si="52"/>
        <v>48.680555555555557</v>
      </c>
      <c r="AI3347" s="41" t="s">
        <v>1780</v>
      </c>
    </row>
    <row r="3348" spans="1:35" x14ac:dyDescent="0.25">
      <c r="A3348" s="36">
        <v>99913346</v>
      </c>
      <c r="B3348" s="17" t="s">
        <v>56</v>
      </c>
      <c r="C3348" t="s">
        <v>79</v>
      </c>
      <c r="D3348" t="s">
        <v>80</v>
      </c>
      <c r="G3348" s="17" t="s">
        <v>48</v>
      </c>
      <c r="H3348" s="17">
        <v>1</v>
      </c>
      <c r="K3348" t="s">
        <v>300</v>
      </c>
      <c r="L3348" t="s">
        <v>301</v>
      </c>
      <c r="M3348" t="s">
        <v>131</v>
      </c>
      <c r="N3348">
        <v>14</v>
      </c>
      <c r="O3348" t="s">
        <v>40</v>
      </c>
      <c r="P3348" t="s">
        <v>40</v>
      </c>
      <c r="Q3348" t="s">
        <v>40</v>
      </c>
      <c r="R3348" t="s">
        <v>40</v>
      </c>
      <c r="S3348" t="s">
        <v>40</v>
      </c>
      <c r="V3348" t="s">
        <v>41</v>
      </c>
      <c r="W3348" t="s">
        <v>49</v>
      </c>
      <c r="X3348" t="str">
        <f>"0560001"</f>
        <v>0560001</v>
      </c>
      <c r="Y3348" t="s">
        <v>304</v>
      </c>
      <c r="Z3348" t="s">
        <v>300</v>
      </c>
      <c r="AA3348" t="s">
        <v>301</v>
      </c>
      <c r="AB3348" t="s">
        <v>131</v>
      </c>
      <c r="AC3348" t="s">
        <v>51</v>
      </c>
      <c r="AD3348" t="s">
        <v>45</v>
      </c>
      <c r="AE3348" s="1">
        <v>25927</v>
      </c>
      <c r="AF3348">
        <v>2</v>
      </c>
      <c r="AG3348" t="s">
        <v>301</v>
      </c>
      <c r="AH3348" s="36">
        <f t="shared" si="52"/>
        <v>48.694444444444443</v>
      </c>
      <c r="AI3348" s="41" t="s">
        <v>1780</v>
      </c>
    </row>
    <row r="3349" spans="1:35" x14ac:dyDescent="0.25">
      <c r="A3349" s="36">
        <v>99913347</v>
      </c>
      <c r="B3349" s="17" t="s">
        <v>32</v>
      </c>
      <c r="C3349" t="s">
        <v>33</v>
      </c>
      <c r="D3349" t="s">
        <v>34</v>
      </c>
      <c r="G3349" s="17" t="s">
        <v>48</v>
      </c>
      <c r="H3349" s="17">
        <v>1</v>
      </c>
      <c r="K3349" t="s">
        <v>162</v>
      </c>
      <c r="L3349" t="s">
        <v>158</v>
      </c>
      <c r="M3349" t="s">
        <v>131</v>
      </c>
      <c r="N3349">
        <v>18</v>
      </c>
      <c r="O3349" t="s">
        <v>40</v>
      </c>
      <c r="P3349" t="s">
        <v>40</v>
      </c>
      <c r="Q3349" t="s">
        <v>40</v>
      </c>
      <c r="S3349" t="s">
        <v>40</v>
      </c>
      <c r="V3349" t="s">
        <v>41</v>
      </c>
      <c r="W3349" t="s">
        <v>42</v>
      </c>
      <c r="X3349" t="str">
        <f>"0580325"</f>
        <v>0580325</v>
      </c>
      <c r="Y3349" t="s">
        <v>170</v>
      </c>
      <c r="Z3349" t="s">
        <v>162</v>
      </c>
      <c r="AA3349" t="s">
        <v>158</v>
      </c>
      <c r="AB3349" t="s">
        <v>131</v>
      </c>
      <c r="AC3349" t="s">
        <v>165</v>
      </c>
      <c r="AD3349" t="s">
        <v>45</v>
      </c>
      <c r="AE3349" s="1">
        <v>25926</v>
      </c>
      <c r="AF3349">
        <v>2</v>
      </c>
      <c r="AG3349" t="s">
        <v>158</v>
      </c>
      <c r="AH3349" s="36">
        <f t="shared" si="52"/>
        <v>48.697222222222223</v>
      </c>
      <c r="AI3349" s="41" t="s">
        <v>1780</v>
      </c>
    </row>
    <row r="3350" spans="1:35" x14ac:dyDescent="0.25">
      <c r="A3350" s="36">
        <v>99913348</v>
      </c>
      <c r="B3350" s="17" t="s">
        <v>32</v>
      </c>
      <c r="C3350" t="s">
        <v>141</v>
      </c>
      <c r="D3350" t="s">
        <v>142</v>
      </c>
      <c r="G3350" s="17" t="s">
        <v>35</v>
      </c>
      <c r="H3350" s="17">
        <v>1</v>
      </c>
      <c r="I3350" t="s">
        <v>689</v>
      </c>
      <c r="J3350" s="1">
        <v>43344</v>
      </c>
      <c r="K3350" t="s">
        <v>268</v>
      </c>
      <c r="L3350" t="s">
        <v>269</v>
      </c>
      <c r="M3350" t="s">
        <v>131</v>
      </c>
      <c r="N3350">
        <v>13</v>
      </c>
      <c r="O3350" t="s">
        <v>40</v>
      </c>
      <c r="S3350" t="s">
        <v>40</v>
      </c>
      <c r="U3350" s="1">
        <v>43344</v>
      </c>
      <c r="V3350" t="s">
        <v>41</v>
      </c>
      <c r="W3350" t="s">
        <v>75</v>
      </c>
      <c r="X3350" t="str">
        <f>"7052028"</f>
        <v>7052028</v>
      </c>
      <c r="Y3350" t="s">
        <v>601</v>
      </c>
      <c r="Z3350" t="s">
        <v>268</v>
      </c>
      <c r="AA3350" t="s">
        <v>269</v>
      </c>
      <c r="AB3350" t="s">
        <v>131</v>
      </c>
      <c r="AC3350" t="s">
        <v>51</v>
      </c>
      <c r="AD3350" t="s">
        <v>45</v>
      </c>
      <c r="AE3350" s="1">
        <v>25925</v>
      </c>
      <c r="AF3350">
        <v>1</v>
      </c>
      <c r="AG3350" t="s">
        <v>269</v>
      </c>
      <c r="AH3350" s="36">
        <f t="shared" si="52"/>
        <v>48.7</v>
      </c>
      <c r="AI3350" s="41" t="s">
        <v>1780</v>
      </c>
    </row>
    <row r="3351" spans="1:35" x14ac:dyDescent="0.25">
      <c r="A3351" s="36">
        <v>99913349</v>
      </c>
      <c r="B3351" s="17" t="s">
        <v>32</v>
      </c>
      <c r="C3351" t="s">
        <v>46</v>
      </c>
      <c r="D3351" t="s">
        <v>47</v>
      </c>
      <c r="G3351" s="17" t="s">
        <v>48</v>
      </c>
      <c r="H3351" s="17">
        <v>1</v>
      </c>
      <c r="K3351" t="s">
        <v>1268</v>
      </c>
      <c r="L3351" t="s">
        <v>1269</v>
      </c>
      <c r="M3351" t="s">
        <v>1270</v>
      </c>
      <c r="N3351">
        <v>21</v>
      </c>
      <c r="O3351" t="s">
        <v>40</v>
      </c>
      <c r="P3351" t="s">
        <v>40</v>
      </c>
      <c r="Q3351" t="s">
        <v>40</v>
      </c>
      <c r="S3351" t="s">
        <v>40</v>
      </c>
      <c r="V3351" t="s">
        <v>41</v>
      </c>
      <c r="W3351" t="s">
        <v>42</v>
      </c>
      <c r="X3351" t="str">
        <f>"1980050"</f>
        <v>1980050</v>
      </c>
      <c r="Y3351" t="s">
        <v>1278</v>
      </c>
      <c r="Z3351" t="s">
        <v>1268</v>
      </c>
      <c r="AA3351" t="s">
        <v>1269</v>
      </c>
      <c r="AB3351" t="s">
        <v>1270</v>
      </c>
      <c r="AC3351" t="s">
        <v>51</v>
      </c>
      <c r="AD3351" t="s">
        <v>45</v>
      </c>
      <c r="AE3351" s="1">
        <v>25924</v>
      </c>
      <c r="AF3351">
        <v>2</v>
      </c>
      <c r="AG3351" t="s">
        <v>1269</v>
      </c>
      <c r="AH3351" s="36">
        <f t="shared" si="52"/>
        <v>48.702777777777776</v>
      </c>
      <c r="AI3351" s="41" t="s">
        <v>1780</v>
      </c>
    </row>
    <row r="3352" spans="1:35" x14ac:dyDescent="0.25">
      <c r="A3352" s="36">
        <v>99913350</v>
      </c>
      <c r="B3352" s="17" t="s">
        <v>32</v>
      </c>
      <c r="C3352" t="s">
        <v>141</v>
      </c>
      <c r="D3352" t="s">
        <v>142</v>
      </c>
      <c r="G3352" s="17" t="s">
        <v>48</v>
      </c>
      <c r="H3352" s="17">
        <v>5</v>
      </c>
      <c r="K3352" t="s">
        <v>877</v>
      </c>
      <c r="L3352" t="s">
        <v>878</v>
      </c>
      <c r="M3352" t="s">
        <v>131</v>
      </c>
      <c r="N3352">
        <v>6</v>
      </c>
      <c r="O3352" t="s">
        <v>40</v>
      </c>
      <c r="P3352" t="s">
        <v>40</v>
      </c>
      <c r="Q3352" t="s">
        <v>40</v>
      </c>
      <c r="R3352" t="s">
        <v>40</v>
      </c>
      <c r="S3352" t="s">
        <v>40</v>
      </c>
      <c r="V3352" t="s">
        <v>41</v>
      </c>
      <c r="W3352" t="s">
        <v>75</v>
      </c>
      <c r="X3352" t="str">
        <f>"7541004"</f>
        <v>7541004</v>
      </c>
      <c r="Y3352" t="s">
        <v>889</v>
      </c>
      <c r="Z3352" t="s">
        <v>877</v>
      </c>
      <c r="AA3352" t="s">
        <v>878</v>
      </c>
      <c r="AB3352" t="s">
        <v>131</v>
      </c>
      <c r="AC3352" t="s">
        <v>51</v>
      </c>
      <c r="AD3352" t="s">
        <v>45</v>
      </c>
      <c r="AE3352" s="1">
        <v>25922</v>
      </c>
      <c r="AF3352">
        <v>1</v>
      </c>
      <c r="AG3352" t="s">
        <v>878</v>
      </c>
      <c r="AH3352" s="36">
        <f t="shared" si="52"/>
        <v>48.708333333333336</v>
      </c>
      <c r="AI3352" s="41" t="s">
        <v>1780</v>
      </c>
    </row>
    <row r="3353" spans="1:35" x14ac:dyDescent="0.25">
      <c r="A3353" s="36">
        <v>99913351</v>
      </c>
      <c r="B3353" s="17" t="s">
        <v>32</v>
      </c>
      <c r="C3353" t="s">
        <v>46</v>
      </c>
      <c r="D3353" t="s">
        <v>47</v>
      </c>
      <c r="G3353" s="17" t="s">
        <v>48</v>
      </c>
      <c r="H3353" s="17">
        <v>1</v>
      </c>
      <c r="K3353" t="s">
        <v>129</v>
      </c>
      <c r="L3353" t="s">
        <v>130</v>
      </c>
      <c r="M3353" t="s">
        <v>131</v>
      </c>
      <c r="N3353">
        <v>18</v>
      </c>
      <c r="O3353" t="s">
        <v>40</v>
      </c>
      <c r="P3353" t="s">
        <v>40</v>
      </c>
      <c r="Q3353" t="s">
        <v>40</v>
      </c>
      <c r="R3353" t="s">
        <v>40</v>
      </c>
      <c r="S3353" t="s">
        <v>40</v>
      </c>
      <c r="V3353" t="s">
        <v>41</v>
      </c>
      <c r="W3353" t="s">
        <v>42</v>
      </c>
      <c r="X3353" t="str">
        <f>"0590905"</f>
        <v>0590905</v>
      </c>
      <c r="Y3353" t="s">
        <v>133</v>
      </c>
      <c r="Z3353" t="s">
        <v>129</v>
      </c>
      <c r="AA3353" t="s">
        <v>130</v>
      </c>
      <c r="AB3353" t="s">
        <v>131</v>
      </c>
      <c r="AC3353" t="s">
        <v>51</v>
      </c>
      <c r="AD3353" t="s">
        <v>45</v>
      </c>
      <c r="AE3353" s="1">
        <v>25913</v>
      </c>
      <c r="AF3353">
        <v>2</v>
      </c>
      <c r="AG3353" t="s">
        <v>130</v>
      </c>
      <c r="AH3353" s="36">
        <f t="shared" si="52"/>
        <v>48.733333333333334</v>
      </c>
      <c r="AI3353" s="41" t="s">
        <v>1780</v>
      </c>
    </row>
    <row r="3354" spans="1:35" x14ac:dyDescent="0.25">
      <c r="A3354" s="36">
        <v>99913352</v>
      </c>
      <c r="B3354" s="17" t="s">
        <v>32</v>
      </c>
      <c r="C3354" t="s">
        <v>141</v>
      </c>
      <c r="D3354" t="s">
        <v>142</v>
      </c>
      <c r="G3354" s="17" t="s">
        <v>48</v>
      </c>
      <c r="H3354" s="17">
        <v>8</v>
      </c>
      <c r="K3354" t="s">
        <v>877</v>
      </c>
      <c r="L3354" t="s">
        <v>878</v>
      </c>
      <c r="M3354" t="s">
        <v>131</v>
      </c>
      <c r="N3354">
        <v>23</v>
      </c>
      <c r="O3354" t="s">
        <v>40</v>
      </c>
      <c r="P3354" t="s">
        <v>40</v>
      </c>
      <c r="Q3354" t="s">
        <v>40</v>
      </c>
      <c r="R3354" t="s">
        <v>40</v>
      </c>
      <c r="S3354" t="s">
        <v>40</v>
      </c>
      <c r="V3354" t="s">
        <v>41</v>
      </c>
      <c r="W3354" t="s">
        <v>75</v>
      </c>
      <c r="X3354" t="str">
        <f>"7541004"</f>
        <v>7541004</v>
      </c>
      <c r="Y3354" t="s">
        <v>889</v>
      </c>
      <c r="Z3354" t="s">
        <v>877</v>
      </c>
      <c r="AA3354" t="s">
        <v>878</v>
      </c>
      <c r="AB3354" t="s">
        <v>131</v>
      </c>
      <c r="AC3354" t="s">
        <v>51</v>
      </c>
      <c r="AD3354" t="s">
        <v>45</v>
      </c>
      <c r="AE3354" s="1">
        <v>25912</v>
      </c>
      <c r="AF3354">
        <v>1</v>
      </c>
      <c r="AG3354" t="s">
        <v>878</v>
      </c>
      <c r="AH3354" s="36">
        <f t="shared" si="52"/>
        <v>48.736111111111114</v>
      </c>
      <c r="AI3354" s="41" t="s">
        <v>1780</v>
      </c>
    </row>
    <row r="3355" spans="1:35" x14ac:dyDescent="0.25">
      <c r="A3355" s="36">
        <v>99913353</v>
      </c>
      <c r="B3355" s="17" t="s">
        <v>32</v>
      </c>
      <c r="C3355" t="s">
        <v>33</v>
      </c>
      <c r="D3355" t="s">
        <v>34</v>
      </c>
      <c r="G3355" s="17" t="s">
        <v>48</v>
      </c>
      <c r="H3355" s="17">
        <v>1</v>
      </c>
      <c r="K3355" t="s">
        <v>345</v>
      </c>
      <c r="L3355" t="s">
        <v>346</v>
      </c>
      <c r="M3355" t="s">
        <v>131</v>
      </c>
      <c r="N3355">
        <v>20</v>
      </c>
      <c r="O3355" t="s">
        <v>40</v>
      </c>
      <c r="P3355" t="s">
        <v>40</v>
      </c>
      <c r="Q3355" t="s">
        <v>40</v>
      </c>
      <c r="R3355" t="s">
        <v>40</v>
      </c>
      <c r="S3355" t="s">
        <v>40</v>
      </c>
      <c r="V3355" t="s">
        <v>41</v>
      </c>
      <c r="W3355" t="s">
        <v>42</v>
      </c>
      <c r="X3355" t="str">
        <f>"0590906"</f>
        <v>0590906</v>
      </c>
      <c r="Y3355" t="s">
        <v>361</v>
      </c>
      <c r="Z3355" t="s">
        <v>345</v>
      </c>
      <c r="AA3355" t="s">
        <v>346</v>
      </c>
      <c r="AB3355" t="s">
        <v>131</v>
      </c>
      <c r="AC3355" t="s">
        <v>51</v>
      </c>
      <c r="AD3355" t="s">
        <v>45</v>
      </c>
      <c r="AE3355" s="1">
        <v>25910</v>
      </c>
      <c r="AF3355">
        <v>2</v>
      </c>
      <c r="AG3355" t="s">
        <v>346</v>
      </c>
      <c r="AH3355" s="36">
        <f t="shared" si="52"/>
        <v>48.741666666666667</v>
      </c>
      <c r="AI3355" s="41" t="s">
        <v>1780</v>
      </c>
    </row>
    <row r="3356" spans="1:35" x14ac:dyDescent="0.25">
      <c r="A3356" s="36">
        <v>99913354</v>
      </c>
      <c r="B3356" s="17" t="s">
        <v>32</v>
      </c>
      <c r="C3356" t="s">
        <v>61</v>
      </c>
      <c r="D3356" t="s">
        <v>62</v>
      </c>
      <c r="E3356" t="s">
        <v>68</v>
      </c>
      <c r="F3356" t="s">
        <v>69</v>
      </c>
      <c r="G3356" s="17" t="s">
        <v>48</v>
      </c>
      <c r="H3356" s="17">
        <v>1</v>
      </c>
      <c r="K3356" t="s">
        <v>162</v>
      </c>
      <c r="L3356" t="s">
        <v>158</v>
      </c>
      <c r="M3356" t="s">
        <v>131</v>
      </c>
      <c r="N3356">
        <v>16</v>
      </c>
      <c r="O3356" t="s">
        <v>40</v>
      </c>
      <c r="P3356" t="s">
        <v>40</v>
      </c>
      <c r="Q3356" t="s">
        <v>40</v>
      </c>
      <c r="R3356" t="s">
        <v>40</v>
      </c>
      <c r="S3356" t="s">
        <v>40</v>
      </c>
      <c r="V3356" t="s">
        <v>41</v>
      </c>
      <c r="W3356" t="s">
        <v>49</v>
      </c>
      <c r="X3356" t="str">
        <f>"0505050"</f>
        <v>0505050</v>
      </c>
      <c r="Y3356" t="s">
        <v>163</v>
      </c>
      <c r="Z3356" t="s">
        <v>162</v>
      </c>
      <c r="AA3356" t="s">
        <v>158</v>
      </c>
      <c r="AB3356" t="s">
        <v>131</v>
      </c>
      <c r="AC3356" t="s">
        <v>51</v>
      </c>
      <c r="AD3356" t="s">
        <v>45</v>
      </c>
      <c r="AE3356" s="1">
        <v>25909</v>
      </c>
      <c r="AF3356">
        <v>2</v>
      </c>
      <c r="AG3356" t="s">
        <v>158</v>
      </c>
      <c r="AH3356" s="36">
        <f t="shared" si="52"/>
        <v>48.744444444444447</v>
      </c>
      <c r="AI3356" s="41" t="s">
        <v>1780</v>
      </c>
    </row>
    <row r="3357" spans="1:35" x14ac:dyDescent="0.25">
      <c r="A3357" s="36">
        <v>99913355</v>
      </c>
      <c r="B3357" s="17" t="s">
        <v>56</v>
      </c>
      <c r="C3357" t="s">
        <v>68</v>
      </c>
      <c r="D3357" t="s">
        <v>69</v>
      </c>
      <c r="G3357" s="17" t="s">
        <v>48</v>
      </c>
      <c r="H3357" s="17">
        <v>1</v>
      </c>
      <c r="K3357" t="s">
        <v>1051</v>
      </c>
      <c r="L3357" t="s">
        <v>1052</v>
      </c>
      <c r="M3357" t="s">
        <v>1053</v>
      </c>
      <c r="N3357">
        <v>21</v>
      </c>
      <c r="O3357" t="s">
        <v>40</v>
      </c>
      <c r="P3357" t="s">
        <v>40</v>
      </c>
      <c r="Q3357" t="s">
        <v>40</v>
      </c>
      <c r="R3357" t="s">
        <v>40</v>
      </c>
      <c r="S3357" t="s">
        <v>40</v>
      </c>
      <c r="V3357" t="s">
        <v>41</v>
      </c>
      <c r="W3357" t="s">
        <v>49</v>
      </c>
      <c r="X3357" t="str">
        <f>"2080025"</f>
        <v>2080025</v>
      </c>
      <c r="Y3357" t="s">
        <v>1057</v>
      </c>
      <c r="Z3357" t="s">
        <v>1051</v>
      </c>
      <c r="AA3357" t="s">
        <v>1052</v>
      </c>
      <c r="AB3357" t="s">
        <v>1053</v>
      </c>
      <c r="AC3357" t="s">
        <v>51</v>
      </c>
      <c r="AD3357" t="s">
        <v>45</v>
      </c>
      <c r="AE3357" s="1">
        <v>25908</v>
      </c>
      <c r="AF3357">
        <v>2</v>
      </c>
      <c r="AG3357" t="s">
        <v>1052</v>
      </c>
      <c r="AH3357" s="36">
        <f t="shared" si="52"/>
        <v>48.74722222222222</v>
      </c>
      <c r="AI3357" s="41" t="s">
        <v>1780</v>
      </c>
    </row>
    <row r="3358" spans="1:35" x14ac:dyDescent="0.25">
      <c r="A3358" s="36">
        <v>99913356</v>
      </c>
      <c r="B3358" s="17" t="s">
        <v>32</v>
      </c>
      <c r="C3358" t="s">
        <v>139</v>
      </c>
      <c r="D3358" t="s">
        <v>140</v>
      </c>
      <c r="G3358" s="17" t="s">
        <v>48</v>
      </c>
      <c r="H3358" s="17">
        <v>1</v>
      </c>
      <c r="K3358" t="s">
        <v>195</v>
      </c>
      <c r="L3358" t="s">
        <v>196</v>
      </c>
      <c r="M3358" t="s">
        <v>131</v>
      </c>
      <c r="N3358">
        <v>22</v>
      </c>
      <c r="O3358" t="s">
        <v>40</v>
      </c>
      <c r="P3358" t="s">
        <v>40</v>
      </c>
      <c r="Q3358" t="s">
        <v>40</v>
      </c>
      <c r="R3358" t="s">
        <v>40</v>
      </c>
      <c r="S3358" t="s">
        <v>40</v>
      </c>
      <c r="V3358" t="s">
        <v>41</v>
      </c>
      <c r="W3358" t="s">
        <v>49</v>
      </c>
      <c r="X3358" t="str">
        <f>"0560003"</f>
        <v>0560003</v>
      </c>
      <c r="Y3358" t="s">
        <v>181</v>
      </c>
      <c r="Z3358" t="s">
        <v>162</v>
      </c>
      <c r="AA3358" t="s">
        <v>158</v>
      </c>
      <c r="AB3358" t="s">
        <v>131</v>
      </c>
      <c r="AC3358" t="s">
        <v>51</v>
      </c>
      <c r="AD3358" t="s">
        <v>45</v>
      </c>
      <c r="AE3358" s="1">
        <v>25907</v>
      </c>
      <c r="AF3358">
        <v>1</v>
      </c>
      <c r="AG3358" t="s">
        <v>196</v>
      </c>
      <c r="AH3358" s="36">
        <f t="shared" si="52"/>
        <v>48.75</v>
      </c>
      <c r="AI3358" s="41" t="s">
        <v>1780</v>
      </c>
    </row>
    <row r="3359" spans="1:35" x14ac:dyDescent="0.25">
      <c r="A3359" s="36">
        <v>99913357</v>
      </c>
      <c r="B3359" s="17" t="s">
        <v>32</v>
      </c>
      <c r="C3359" t="s">
        <v>64</v>
      </c>
      <c r="D3359" t="s">
        <v>65</v>
      </c>
      <c r="G3359" s="17" t="s">
        <v>48</v>
      </c>
      <c r="H3359" s="17">
        <v>1</v>
      </c>
      <c r="K3359" t="s">
        <v>162</v>
      </c>
      <c r="L3359" t="s">
        <v>158</v>
      </c>
      <c r="M3359" t="s">
        <v>131</v>
      </c>
      <c r="N3359">
        <v>10</v>
      </c>
      <c r="O3359" t="s">
        <v>40</v>
      </c>
      <c r="P3359" t="s">
        <v>40</v>
      </c>
      <c r="Q3359" t="s">
        <v>40</v>
      </c>
      <c r="S3359" t="s">
        <v>40</v>
      </c>
      <c r="V3359" t="s">
        <v>41</v>
      </c>
      <c r="W3359" t="s">
        <v>42</v>
      </c>
      <c r="X3359" t="str">
        <f>"0580330"</f>
        <v>0580330</v>
      </c>
      <c r="Y3359" t="s">
        <v>176</v>
      </c>
      <c r="Z3359" t="s">
        <v>162</v>
      </c>
      <c r="AA3359" t="s">
        <v>158</v>
      </c>
      <c r="AB3359" t="s">
        <v>131</v>
      </c>
      <c r="AC3359" t="s">
        <v>51</v>
      </c>
      <c r="AD3359" t="s">
        <v>45</v>
      </c>
      <c r="AE3359" s="1">
        <v>25895</v>
      </c>
      <c r="AF3359">
        <v>2</v>
      </c>
      <c r="AG3359" t="s">
        <v>158</v>
      </c>
      <c r="AH3359" s="36">
        <f t="shared" si="52"/>
        <v>48.783333333333331</v>
      </c>
      <c r="AI3359" s="41" t="s">
        <v>1780</v>
      </c>
    </row>
    <row r="3360" spans="1:35" x14ac:dyDescent="0.25">
      <c r="A3360" s="36">
        <v>99913358</v>
      </c>
      <c r="B3360" s="17" t="s">
        <v>32</v>
      </c>
      <c r="C3360" t="s">
        <v>46</v>
      </c>
      <c r="D3360" t="s">
        <v>47</v>
      </c>
      <c r="G3360" s="17" t="s">
        <v>35</v>
      </c>
      <c r="H3360" s="17">
        <v>1</v>
      </c>
      <c r="K3360" t="s">
        <v>223</v>
      </c>
      <c r="L3360" t="s">
        <v>224</v>
      </c>
      <c r="M3360" t="s">
        <v>131</v>
      </c>
      <c r="N3360">
        <v>30</v>
      </c>
      <c r="O3360" t="s">
        <v>40</v>
      </c>
      <c r="P3360" t="s">
        <v>40</v>
      </c>
      <c r="Q3360" t="s">
        <v>40</v>
      </c>
      <c r="S3360" t="s">
        <v>40</v>
      </c>
      <c r="V3360" t="s">
        <v>41</v>
      </c>
      <c r="W3360" t="s">
        <v>49</v>
      </c>
      <c r="X3360" t="str">
        <f>"0591907"</f>
        <v>0591907</v>
      </c>
      <c r="Y3360" t="s">
        <v>243</v>
      </c>
      <c r="Z3360" t="s">
        <v>223</v>
      </c>
      <c r="AA3360" t="s">
        <v>224</v>
      </c>
      <c r="AB3360" t="s">
        <v>131</v>
      </c>
      <c r="AC3360" t="s">
        <v>51</v>
      </c>
      <c r="AD3360" t="s">
        <v>45</v>
      </c>
      <c r="AE3360" s="1">
        <v>25892</v>
      </c>
      <c r="AF3360">
        <v>2</v>
      </c>
      <c r="AG3360" t="s">
        <v>224</v>
      </c>
      <c r="AH3360" s="36">
        <f t="shared" si="52"/>
        <v>48.791666666666664</v>
      </c>
      <c r="AI3360" s="41" t="s">
        <v>1780</v>
      </c>
    </row>
    <row r="3361" spans="1:35" x14ac:dyDescent="0.25">
      <c r="A3361" s="36">
        <v>99913359</v>
      </c>
      <c r="B3361" s="17" t="s">
        <v>32</v>
      </c>
      <c r="C3361" t="s">
        <v>111</v>
      </c>
      <c r="D3361" t="s">
        <v>112</v>
      </c>
      <c r="G3361" s="17" t="s">
        <v>48</v>
      </c>
      <c r="H3361" s="17">
        <v>9</v>
      </c>
      <c r="J3361" s="1">
        <v>43344</v>
      </c>
      <c r="K3361" t="s">
        <v>354</v>
      </c>
      <c r="L3361" t="s">
        <v>355</v>
      </c>
      <c r="M3361" t="s">
        <v>131</v>
      </c>
      <c r="N3361">
        <v>22</v>
      </c>
      <c r="O3361" t="s">
        <v>40</v>
      </c>
      <c r="P3361" t="s">
        <v>40</v>
      </c>
      <c r="Q3361" t="s">
        <v>40</v>
      </c>
      <c r="R3361" t="s">
        <v>40</v>
      </c>
      <c r="S3361" t="s">
        <v>40</v>
      </c>
      <c r="U3361" s="1">
        <v>43344</v>
      </c>
      <c r="V3361" t="s">
        <v>41</v>
      </c>
      <c r="W3361" t="s">
        <v>75</v>
      </c>
      <c r="X3361" t="str">
        <f>"7054022"</f>
        <v>7054022</v>
      </c>
      <c r="Y3361" t="s">
        <v>770</v>
      </c>
      <c r="Z3361" t="s">
        <v>354</v>
      </c>
      <c r="AA3361" t="s">
        <v>355</v>
      </c>
      <c r="AB3361" t="s">
        <v>131</v>
      </c>
      <c r="AC3361" t="s">
        <v>51</v>
      </c>
      <c r="AD3361" t="s">
        <v>45</v>
      </c>
      <c r="AE3361" s="1">
        <v>25887</v>
      </c>
      <c r="AF3361">
        <v>1</v>
      </c>
      <c r="AG3361" t="s">
        <v>355</v>
      </c>
      <c r="AH3361" s="36">
        <f t="shared" si="52"/>
        <v>48.805555555555557</v>
      </c>
      <c r="AI3361" s="41" t="s">
        <v>1780</v>
      </c>
    </row>
    <row r="3362" spans="1:35" x14ac:dyDescent="0.25">
      <c r="A3362" s="36">
        <v>99913360</v>
      </c>
      <c r="B3362" s="17" t="s">
        <v>32</v>
      </c>
      <c r="C3362" t="s">
        <v>90</v>
      </c>
      <c r="D3362" t="s">
        <v>91</v>
      </c>
      <c r="G3362" s="17" t="s">
        <v>35</v>
      </c>
      <c r="H3362" s="17">
        <v>1</v>
      </c>
      <c r="I3362" t="s">
        <v>1092</v>
      </c>
      <c r="J3362" s="1">
        <v>43344</v>
      </c>
      <c r="K3362" t="s">
        <v>1081</v>
      </c>
      <c r="L3362" t="s">
        <v>1082</v>
      </c>
      <c r="M3362" t="s">
        <v>1053</v>
      </c>
      <c r="N3362">
        <v>25</v>
      </c>
      <c r="O3362" t="s">
        <v>40</v>
      </c>
      <c r="S3362" t="s">
        <v>40</v>
      </c>
      <c r="U3362" s="1">
        <v>43344</v>
      </c>
      <c r="V3362" t="s">
        <v>41</v>
      </c>
      <c r="W3362" t="s">
        <v>95</v>
      </c>
      <c r="X3362" t="str">
        <f>"7201019"</f>
        <v>7201019</v>
      </c>
      <c r="Y3362" t="s">
        <v>1104</v>
      </c>
      <c r="Z3362" t="s">
        <v>1081</v>
      </c>
      <c r="AA3362" t="s">
        <v>1082</v>
      </c>
      <c r="AB3362" t="s">
        <v>1053</v>
      </c>
      <c r="AC3362" t="s">
        <v>51</v>
      </c>
      <c r="AD3362" t="s">
        <v>45</v>
      </c>
      <c r="AE3362" s="1">
        <v>25884</v>
      </c>
      <c r="AF3362">
        <v>1</v>
      </c>
      <c r="AG3362" t="s">
        <v>1082</v>
      </c>
      <c r="AH3362" s="36">
        <f t="shared" si="52"/>
        <v>48.81388888888889</v>
      </c>
      <c r="AI3362" s="41" t="s">
        <v>1780</v>
      </c>
    </row>
    <row r="3363" spans="1:35" x14ac:dyDescent="0.25">
      <c r="A3363" s="36">
        <v>99913361</v>
      </c>
      <c r="B3363" s="17" t="s">
        <v>32</v>
      </c>
      <c r="C3363" t="s">
        <v>139</v>
      </c>
      <c r="D3363" t="s">
        <v>140</v>
      </c>
      <c r="G3363" s="17" t="s">
        <v>88</v>
      </c>
      <c r="H3363" s="17">
        <v>1</v>
      </c>
      <c r="I3363" t="s">
        <v>1320</v>
      </c>
      <c r="K3363" t="s">
        <v>1306</v>
      </c>
      <c r="L3363" t="s">
        <v>1307</v>
      </c>
      <c r="M3363" t="s">
        <v>1270</v>
      </c>
      <c r="N3363">
        <v>15</v>
      </c>
      <c r="O3363" t="s">
        <v>40</v>
      </c>
      <c r="P3363" t="s">
        <v>40</v>
      </c>
      <c r="Q3363" t="s">
        <v>40</v>
      </c>
      <c r="R3363" t="s">
        <v>40</v>
      </c>
      <c r="S3363" t="s">
        <v>40</v>
      </c>
      <c r="V3363" t="s">
        <v>41</v>
      </c>
      <c r="W3363" t="s">
        <v>49</v>
      </c>
      <c r="X3363" t="str">
        <f>"1991913"</f>
        <v>1991913</v>
      </c>
      <c r="Y3363" t="s">
        <v>1310</v>
      </c>
      <c r="Z3363" t="s">
        <v>1306</v>
      </c>
      <c r="AA3363" t="s">
        <v>1307</v>
      </c>
      <c r="AB3363" t="s">
        <v>1270</v>
      </c>
      <c r="AC3363" t="s">
        <v>51</v>
      </c>
      <c r="AD3363" t="s">
        <v>45</v>
      </c>
      <c r="AE3363" s="1">
        <v>25884</v>
      </c>
      <c r="AF3363">
        <v>2</v>
      </c>
      <c r="AG3363" t="s">
        <v>1307</v>
      </c>
      <c r="AH3363" s="36">
        <f t="shared" si="52"/>
        <v>48.81388888888889</v>
      </c>
      <c r="AI3363" s="41" t="s">
        <v>1780</v>
      </c>
    </row>
    <row r="3364" spans="1:35" x14ac:dyDescent="0.25">
      <c r="A3364" s="36">
        <v>99913362</v>
      </c>
      <c r="B3364" s="17" t="s">
        <v>32</v>
      </c>
      <c r="C3364" t="s">
        <v>64</v>
      </c>
      <c r="D3364" t="s">
        <v>65</v>
      </c>
      <c r="G3364" s="17" t="s">
        <v>48</v>
      </c>
      <c r="H3364" s="17">
        <v>1</v>
      </c>
      <c r="K3364" t="s">
        <v>268</v>
      </c>
      <c r="L3364" t="s">
        <v>269</v>
      </c>
      <c r="M3364" t="s">
        <v>131</v>
      </c>
      <c r="N3364">
        <v>17</v>
      </c>
      <c r="O3364" t="s">
        <v>40</v>
      </c>
      <c r="P3364" t="s">
        <v>40</v>
      </c>
      <c r="Q3364" t="s">
        <v>40</v>
      </c>
      <c r="R3364" t="s">
        <v>40</v>
      </c>
      <c r="S3364" t="s">
        <v>40</v>
      </c>
      <c r="V3364" t="s">
        <v>41</v>
      </c>
      <c r="W3364" t="s">
        <v>75</v>
      </c>
      <c r="X3364" t="str">
        <f>"7052044"</f>
        <v>7052044</v>
      </c>
      <c r="Y3364" t="s">
        <v>589</v>
      </c>
      <c r="Z3364" t="s">
        <v>268</v>
      </c>
      <c r="AA3364" t="s">
        <v>269</v>
      </c>
      <c r="AB3364" t="s">
        <v>131</v>
      </c>
      <c r="AC3364" t="s">
        <v>51</v>
      </c>
      <c r="AD3364" t="s">
        <v>45</v>
      </c>
      <c r="AE3364" s="1">
        <v>25881</v>
      </c>
      <c r="AF3364">
        <v>1</v>
      </c>
      <c r="AG3364" t="s">
        <v>269</v>
      </c>
      <c r="AH3364" s="36">
        <f t="shared" si="52"/>
        <v>48.822222222222223</v>
      </c>
      <c r="AI3364" s="41" t="s">
        <v>1780</v>
      </c>
    </row>
    <row r="3365" spans="1:35" x14ac:dyDescent="0.25">
      <c r="A3365" s="36">
        <v>99913363</v>
      </c>
      <c r="B3365" s="17" t="s">
        <v>32</v>
      </c>
      <c r="C3365" t="s">
        <v>111</v>
      </c>
      <c r="D3365" t="s">
        <v>112</v>
      </c>
      <c r="G3365" s="17" t="s">
        <v>48</v>
      </c>
      <c r="H3365" s="17">
        <v>10</v>
      </c>
      <c r="K3365" t="s">
        <v>195</v>
      </c>
      <c r="L3365" t="s">
        <v>196</v>
      </c>
      <c r="M3365" t="s">
        <v>131</v>
      </c>
      <c r="N3365">
        <v>21</v>
      </c>
      <c r="O3365" t="s">
        <v>40</v>
      </c>
      <c r="P3365" t="s">
        <v>40</v>
      </c>
      <c r="Q3365" t="s">
        <v>40</v>
      </c>
      <c r="R3365" t="s">
        <v>40</v>
      </c>
      <c r="S3365" t="s">
        <v>40</v>
      </c>
      <c r="U3365" s="1">
        <v>38664</v>
      </c>
      <c r="V3365" t="s">
        <v>41</v>
      </c>
      <c r="W3365" t="s">
        <v>75</v>
      </c>
      <c r="X3365" t="str">
        <f>"7521044"</f>
        <v>7521044</v>
      </c>
      <c r="Y3365" t="s">
        <v>453</v>
      </c>
      <c r="Z3365" t="s">
        <v>195</v>
      </c>
      <c r="AA3365" t="s">
        <v>196</v>
      </c>
      <c r="AB3365" t="s">
        <v>131</v>
      </c>
      <c r="AC3365" t="s">
        <v>165</v>
      </c>
      <c r="AD3365" t="s">
        <v>45</v>
      </c>
      <c r="AE3365" s="1">
        <v>25880</v>
      </c>
      <c r="AF3365">
        <v>1</v>
      </c>
      <c r="AG3365" t="s">
        <v>196</v>
      </c>
      <c r="AH3365" s="36">
        <f t="shared" si="52"/>
        <v>48.825000000000003</v>
      </c>
      <c r="AI3365" s="41" t="s">
        <v>1780</v>
      </c>
    </row>
    <row r="3366" spans="1:35" x14ac:dyDescent="0.25">
      <c r="A3366" s="36">
        <v>99913364</v>
      </c>
      <c r="B3366" s="17" t="s">
        <v>56</v>
      </c>
      <c r="C3366" t="s">
        <v>79</v>
      </c>
      <c r="D3366" t="s">
        <v>80</v>
      </c>
      <c r="G3366" s="17" t="s">
        <v>35</v>
      </c>
      <c r="H3366" s="17">
        <v>1</v>
      </c>
      <c r="I3366" t="s">
        <v>484</v>
      </c>
      <c r="J3366" s="1">
        <v>42614</v>
      </c>
      <c r="K3366" t="s">
        <v>195</v>
      </c>
      <c r="L3366" t="s">
        <v>196</v>
      </c>
      <c r="M3366" t="s">
        <v>131</v>
      </c>
      <c r="N3366">
        <v>11</v>
      </c>
      <c r="O3366" t="s">
        <v>40</v>
      </c>
      <c r="P3366" t="s">
        <v>40</v>
      </c>
      <c r="Q3366" t="s">
        <v>40</v>
      </c>
      <c r="R3366" t="s">
        <v>40</v>
      </c>
      <c r="S3366" t="s">
        <v>40</v>
      </c>
      <c r="U3366" s="1">
        <v>42614</v>
      </c>
      <c r="V3366" t="s">
        <v>41</v>
      </c>
      <c r="W3366" t="s">
        <v>75</v>
      </c>
      <c r="X3366" t="str">
        <f>"7521050"</f>
        <v>7521050</v>
      </c>
      <c r="Y3366" t="s">
        <v>194</v>
      </c>
      <c r="Z3366" t="s">
        <v>195</v>
      </c>
      <c r="AA3366" t="s">
        <v>196</v>
      </c>
      <c r="AB3366" t="s">
        <v>131</v>
      </c>
      <c r="AC3366" t="s">
        <v>51</v>
      </c>
      <c r="AD3366" t="s">
        <v>45</v>
      </c>
      <c r="AE3366" s="1">
        <v>25880</v>
      </c>
      <c r="AF3366">
        <v>1</v>
      </c>
      <c r="AG3366" t="s">
        <v>196</v>
      </c>
      <c r="AH3366" s="36">
        <f t="shared" si="52"/>
        <v>48.825000000000003</v>
      </c>
      <c r="AI3366" s="41" t="s">
        <v>1780</v>
      </c>
    </row>
    <row r="3367" spans="1:35" x14ac:dyDescent="0.25">
      <c r="A3367" s="36">
        <v>99913365</v>
      </c>
      <c r="B3367" s="17" t="s">
        <v>56</v>
      </c>
      <c r="C3367" t="s">
        <v>111</v>
      </c>
      <c r="D3367" t="s">
        <v>112</v>
      </c>
      <c r="G3367" s="17" t="s">
        <v>48</v>
      </c>
      <c r="H3367" s="17">
        <v>12</v>
      </c>
      <c r="J3367" s="1">
        <v>43344</v>
      </c>
      <c r="K3367" t="s">
        <v>354</v>
      </c>
      <c r="L3367" t="s">
        <v>355</v>
      </c>
      <c r="M3367" t="s">
        <v>131</v>
      </c>
      <c r="N3367">
        <v>21</v>
      </c>
      <c r="O3367" t="s">
        <v>40</v>
      </c>
      <c r="P3367" t="s">
        <v>40</v>
      </c>
      <c r="Q3367" t="s">
        <v>40</v>
      </c>
      <c r="R3367" t="s">
        <v>40</v>
      </c>
      <c r="S3367" t="s">
        <v>40</v>
      </c>
      <c r="U3367" s="1">
        <v>43344</v>
      </c>
      <c r="V3367" t="s">
        <v>41</v>
      </c>
      <c r="W3367" t="s">
        <v>75</v>
      </c>
      <c r="X3367" t="str">
        <f>"7054022"</f>
        <v>7054022</v>
      </c>
      <c r="Y3367" t="s">
        <v>770</v>
      </c>
      <c r="Z3367" t="s">
        <v>354</v>
      </c>
      <c r="AA3367" t="s">
        <v>355</v>
      </c>
      <c r="AB3367" t="s">
        <v>131</v>
      </c>
      <c r="AC3367" t="s">
        <v>51</v>
      </c>
      <c r="AD3367" t="s">
        <v>45</v>
      </c>
      <c r="AE3367" s="1">
        <v>25880</v>
      </c>
      <c r="AF3367">
        <v>1</v>
      </c>
      <c r="AG3367" t="s">
        <v>355</v>
      </c>
      <c r="AH3367" s="36">
        <f t="shared" si="52"/>
        <v>48.825000000000003</v>
      </c>
      <c r="AI3367" s="41" t="s">
        <v>1780</v>
      </c>
    </row>
    <row r="3368" spans="1:35" x14ac:dyDescent="0.25">
      <c r="A3368" s="36">
        <v>99913366</v>
      </c>
      <c r="B3368" s="17" t="s">
        <v>56</v>
      </c>
      <c r="C3368" t="s">
        <v>46</v>
      </c>
      <c r="D3368" t="s">
        <v>47</v>
      </c>
      <c r="G3368" s="17" t="s">
        <v>48</v>
      </c>
      <c r="H3368" s="17">
        <v>1</v>
      </c>
      <c r="K3368" t="s">
        <v>1051</v>
      </c>
      <c r="L3368" t="s">
        <v>1052</v>
      </c>
      <c r="M3368" t="s">
        <v>1053</v>
      </c>
      <c r="N3368">
        <v>21</v>
      </c>
      <c r="O3368" t="s">
        <v>40</v>
      </c>
      <c r="P3368" t="s">
        <v>40</v>
      </c>
      <c r="Q3368" t="s">
        <v>40</v>
      </c>
      <c r="R3368" t="s">
        <v>40</v>
      </c>
      <c r="S3368" t="s">
        <v>40</v>
      </c>
      <c r="V3368" t="s">
        <v>41</v>
      </c>
      <c r="W3368" t="s">
        <v>49</v>
      </c>
      <c r="X3368" t="str">
        <f>"2080025"</f>
        <v>2080025</v>
      </c>
      <c r="Y3368" t="s">
        <v>1057</v>
      </c>
      <c r="Z3368" t="s">
        <v>1051</v>
      </c>
      <c r="AA3368" t="s">
        <v>1052</v>
      </c>
      <c r="AB3368" t="s">
        <v>1053</v>
      </c>
      <c r="AC3368" t="s">
        <v>51</v>
      </c>
      <c r="AD3368" t="s">
        <v>45</v>
      </c>
      <c r="AE3368" s="1">
        <v>25879</v>
      </c>
      <c r="AF3368">
        <v>2</v>
      </c>
      <c r="AG3368" t="s">
        <v>1052</v>
      </c>
      <c r="AH3368" s="36">
        <f t="shared" si="52"/>
        <v>48.827777777777776</v>
      </c>
      <c r="AI3368" s="41" t="s">
        <v>1780</v>
      </c>
    </row>
    <row r="3369" spans="1:35" x14ac:dyDescent="0.25">
      <c r="A3369" s="36">
        <v>99913367</v>
      </c>
      <c r="B3369" s="17" t="s">
        <v>32</v>
      </c>
      <c r="C3369" t="s">
        <v>68</v>
      </c>
      <c r="D3369" t="s">
        <v>69</v>
      </c>
      <c r="G3369" s="17" t="s">
        <v>48</v>
      </c>
      <c r="H3369" s="17">
        <v>1</v>
      </c>
      <c r="K3369" t="s">
        <v>223</v>
      </c>
      <c r="L3369" t="s">
        <v>224</v>
      </c>
      <c r="M3369" t="s">
        <v>131</v>
      </c>
      <c r="N3369">
        <v>21</v>
      </c>
      <c r="O3369" t="s">
        <v>40</v>
      </c>
      <c r="P3369" t="s">
        <v>40</v>
      </c>
      <c r="Q3369" t="s">
        <v>40</v>
      </c>
      <c r="R3369" t="s">
        <v>40</v>
      </c>
      <c r="S3369" t="s">
        <v>40</v>
      </c>
      <c r="V3369" t="s">
        <v>41</v>
      </c>
      <c r="W3369" t="s">
        <v>49</v>
      </c>
      <c r="X3369" t="str">
        <f>"0591910"</f>
        <v>0591910</v>
      </c>
      <c r="Y3369" t="s">
        <v>228</v>
      </c>
      <c r="Z3369" t="s">
        <v>223</v>
      </c>
      <c r="AA3369" t="s">
        <v>224</v>
      </c>
      <c r="AB3369" t="s">
        <v>131</v>
      </c>
      <c r="AC3369" t="s">
        <v>51</v>
      </c>
      <c r="AD3369" t="s">
        <v>45</v>
      </c>
      <c r="AE3369" s="1">
        <v>25874</v>
      </c>
      <c r="AF3369">
        <v>2</v>
      </c>
      <c r="AG3369" t="s">
        <v>224</v>
      </c>
      <c r="AH3369" s="36">
        <f t="shared" si="52"/>
        <v>48.841666666666669</v>
      </c>
      <c r="AI3369" s="41" t="s">
        <v>1780</v>
      </c>
    </row>
    <row r="3370" spans="1:35" x14ac:dyDescent="0.25">
      <c r="A3370" s="36">
        <v>99913368</v>
      </c>
      <c r="B3370" s="17" t="s">
        <v>32</v>
      </c>
      <c r="C3370" t="s">
        <v>79</v>
      </c>
      <c r="D3370" t="s">
        <v>80</v>
      </c>
      <c r="G3370" s="17" t="s">
        <v>35</v>
      </c>
      <c r="H3370" s="17">
        <v>1</v>
      </c>
      <c r="I3370" s="1">
        <v>38231</v>
      </c>
      <c r="J3370" s="1">
        <v>43344</v>
      </c>
      <c r="K3370" t="s">
        <v>1341</v>
      </c>
      <c r="L3370" t="s">
        <v>1342</v>
      </c>
      <c r="M3370" t="s">
        <v>1270</v>
      </c>
      <c r="N3370">
        <v>24</v>
      </c>
      <c r="O3370" t="s">
        <v>40</v>
      </c>
      <c r="S3370" t="s">
        <v>40</v>
      </c>
      <c r="U3370" s="1">
        <v>43344</v>
      </c>
      <c r="V3370" t="s">
        <v>41</v>
      </c>
      <c r="W3370" t="s">
        <v>75</v>
      </c>
      <c r="X3370" t="str">
        <f>"7191004"</f>
        <v>7191004</v>
      </c>
      <c r="Y3370" t="s">
        <v>1344</v>
      </c>
      <c r="Z3370" t="s">
        <v>1341</v>
      </c>
      <c r="AA3370" t="s">
        <v>1342</v>
      </c>
      <c r="AB3370" t="s">
        <v>1270</v>
      </c>
      <c r="AC3370" t="s">
        <v>51</v>
      </c>
      <c r="AD3370" t="s">
        <v>45</v>
      </c>
      <c r="AE3370" s="1">
        <v>25874</v>
      </c>
      <c r="AF3370">
        <v>1</v>
      </c>
      <c r="AG3370" t="s">
        <v>1342</v>
      </c>
      <c r="AH3370" s="36">
        <f t="shared" si="52"/>
        <v>48.841666666666669</v>
      </c>
      <c r="AI3370" s="41" t="s">
        <v>1780</v>
      </c>
    </row>
    <row r="3371" spans="1:35" x14ac:dyDescent="0.25">
      <c r="A3371" s="36">
        <v>99913369</v>
      </c>
      <c r="B3371" s="17" t="s">
        <v>32</v>
      </c>
      <c r="C3371" t="s">
        <v>111</v>
      </c>
      <c r="D3371" t="s">
        <v>112</v>
      </c>
      <c r="G3371" s="17" t="s">
        <v>48</v>
      </c>
      <c r="H3371" s="17">
        <v>1</v>
      </c>
      <c r="K3371" t="s">
        <v>1341</v>
      </c>
      <c r="L3371" t="s">
        <v>1342</v>
      </c>
      <c r="M3371" t="s">
        <v>1270</v>
      </c>
      <c r="N3371">
        <v>21</v>
      </c>
      <c r="O3371" t="s">
        <v>40</v>
      </c>
      <c r="P3371" t="s">
        <v>40</v>
      </c>
      <c r="Q3371" t="s">
        <v>40</v>
      </c>
      <c r="S3371" t="s">
        <v>40</v>
      </c>
      <c r="V3371" t="s">
        <v>41</v>
      </c>
      <c r="W3371" t="s">
        <v>75</v>
      </c>
      <c r="X3371" t="str">
        <f>"7191016"</f>
        <v>7191016</v>
      </c>
      <c r="Y3371" t="s">
        <v>1403</v>
      </c>
      <c r="Z3371" t="s">
        <v>1341</v>
      </c>
      <c r="AA3371" t="s">
        <v>1342</v>
      </c>
      <c r="AB3371" t="s">
        <v>1270</v>
      </c>
      <c r="AC3371" t="s">
        <v>51</v>
      </c>
      <c r="AD3371" t="s">
        <v>45</v>
      </c>
      <c r="AE3371" s="1">
        <v>25872</v>
      </c>
      <c r="AF3371">
        <v>1</v>
      </c>
      <c r="AG3371" t="s">
        <v>1342</v>
      </c>
      <c r="AH3371" s="36">
        <f t="shared" si="52"/>
        <v>48.847222222222221</v>
      </c>
      <c r="AI3371" s="41" t="s">
        <v>1780</v>
      </c>
    </row>
    <row r="3372" spans="1:35" x14ac:dyDescent="0.25">
      <c r="A3372" s="36">
        <v>99913370</v>
      </c>
      <c r="B3372" s="17" t="s">
        <v>32</v>
      </c>
      <c r="C3372" t="s">
        <v>111</v>
      </c>
      <c r="D3372" t="s">
        <v>112</v>
      </c>
      <c r="G3372" s="17" t="s">
        <v>35</v>
      </c>
      <c r="H3372" s="17">
        <v>1</v>
      </c>
      <c r="K3372" t="s">
        <v>1581</v>
      </c>
      <c r="L3372" t="s">
        <v>1582</v>
      </c>
      <c r="M3372" t="s">
        <v>1548</v>
      </c>
      <c r="N3372">
        <v>21</v>
      </c>
      <c r="O3372" t="s">
        <v>40</v>
      </c>
      <c r="P3372" t="s">
        <v>40</v>
      </c>
      <c r="Q3372" t="s">
        <v>40</v>
      </c>
      <c r="S3372" t="s">
        <v>40</v>
      </c>
      <c r="V3372" t="s">
        <v>41</v>
      </c>
      <c r="W3372" t="s">
        <v>75</v>
      </c>
      <c r="X3372" t="str">
        <f>"7291002"</f>
        <v>7291002</v>
      </c>
      <c r="Y3372" t="s">
        <v>1583</v>
      </c>
      <c r="Z3372" t="s">
        <v>1581</v>
      </c>
      <c r="AA3372" t="s">
        <v>1582</v>
      </c>
      <c r="AB3372" t="s">
        <v>1548</v>
      </c>
      <c r="AC3372" t="s">
        <v>51</v>
      </c>
      <c r="AD3372" t="s">
        <v>45</v>
      </c>
      <c r="AE3372" s="1">
        <v>25871</v>
      </c>
      <c r="AF3372">
        <v>1</v>
      </c>
      <c r="AG3372" t="s">
        <v>1582</v>
      </c>
      <c r="AH3372" s="36">
        <f t="shared" si="52"/>
        <v>48.85</v>
      </c>
      <c r="AI3372" s="41" t="s">
        <v>1780</v>
      </c>
    </row>
    <row r="3373" spans="1:35" x14ac:dyDescent="0.25">
      <c r="A3373" s="36">
        <v>99913371</v>
      </c>
      <c r="B3373" s="17" t="s">
        <v>32</v>
      </c>
      <c r="C3373" t="s">
        <v>46</v>
      </c>
      <c r="D3373" t="s">
        <v>47</v>
      </c>
      <c r="G3373" s="17" t="s">
        <v>48</v>
      </c>
      <c r="H3373" s="17">
        <v>1</v>
      </c>
      <c r="K3373" t="s">
        <v>223</v>
      </c>
      <c r="L3373" t="s">
        <v>224</v>
      </c>
      <c r="M3373" t="s">
        <v>131</v>
      </c>
      <c r="N3373">
        <v>20</v>
      </c>
      <c r="O3373" t="s">
        <v>40</v>
      </c>
      <c r="P3373" t="s">
        <v>40</v>
      </c>
      <c r="Q3373" t="s">
        <v>40</v>
      </c>
      <c r="S3373" t="s">
        <v>40</v>
      </c>
      <c r="V3373" t="s">
        <v>41</v>
      </c>
      <c r="W3373" t="s">
        <v>49</v>
      </c>
      <c r="X3373" t="str">
        <f>"0581200"</f>
        <v>0581200</v>
      </c>
      <c r="Y3373" t="s">
        <v>238</v>
      </c>
      <c r="Z3373" t="s">
        <v>223</v>
      </c>
      <c r="AA3373" t="s">
        <v>224</v>
      </c>
      <c r="AB3373" t="s">
        <v>131</v>
      </c>
      <c r="AC3373" t="s">
        <v>51</v>
      </c>
      <c r="AD3373" t="s">
        <v>45</v>
      </c>
      <c r="AE3373" s="1">
        <v>25869</v>
      </c>
      <c r="AF3373">
        <v>2</v>
      </c>
      <c r="AG3373" t="s">
        <v>224</v>
      </c>
      <c r="AH3373" s="36">
        <f t="shared" si="52"/>
        <v>48.855555555555554</v>
      </c>
      <c r="AI3373" s="41" t="s">
        <v>1780</v>
      </c>
    </row>
    <row r="3374" spans="1:35" x14ac:dyDescent="0.25">
      <c r="A3374" s="36">
        <v>99913372</v>
      </c>
      <c r="B3374" s="17" t="s">
        <v>32</v>
      </c>
      <c r="C3374" t="s">
        <v>111</v>
      </c>
      <c r="D3374" t="s">
        <v>112</v>
      </c>
      <c r="G3374" s="17" t="s">
        <v>35</v>
      </c>
      <c r="H3374" s="17">
        <v>1</v>
      </c>
      <c r="K3374" t="s">
        <v>268</v>
      </c>
      <c r="L3374" t="s">
        <v>269</v>
      </c>
      <c r="M3374" t="s">
        <v>131</v>
      </c>
      <c r="N3374">
        <v>21</v>
      </c>
      <c r="O3374" t="s">
        <v>40</v>
      </c>
      <c r="P3374" t="s">
        <v>40</v>
      </c>
      <c r="Q3374" t="s">
        <v>40</v>
      </c>
      <c r="S3374" t="s">
        <v>40</v>
      </c>
      <c r="V3374" t="s">
        <v>41</v>
      </c>
      <c r="W3374" t="s">
        <v>75</v>
      </c>
      <c r="X3374" t="str">
        <f>"7052008"</f>
        <v>7052008</v>
      </c>
      <c r="Y3374" t="s">
        <v>274</v>
      </c>
      <c r="Z3374" t="s">
        <v>268</v>
      </c>
      <c r="AA3374" t="s">
        <v>269</v>
      </c>
      <c r="AB3374" t="s">
        <v>131</v>
      </c>
      <c r="AC3374" t="s">
        <v>51</v>
      </c>
      <c r="AD3374" t="s">
        <v>45</v>
      </c>
      <c r="AE3374" s="1">
        <v>25865</v>
      </c>
      <c r="AF3374">
        <v>1</v>
      </c>
      <c r="AG3374" t="s">
        <v>269</v>
      </c>
      <c r="AH3374" s="36">
        <f t="shared" si="52"/>
        <v>48.866666666666667</v>
      </c>
      <c r="AI3374" s="41" t="s">
        <v>1780</v>
      </c>
    </row>
    <row r="3375" spans="1:35" x14ac:dyDescent="0.25">
      <c r="A3375" s="36">
        <v>99913373</v>
      </c>
      <c r="B3375" s="17" t="s">
        <v>32</v>
      </c>
      <c r="C3375" t="s">
        <v>111</v>
      </c>
      <c r="D3375" t="s">
        <v>112</v>
      </c>
      <c r="G3375" s="17" t="s">
        <v>48</v>
      </c>
      <c r="H3375" s="17">
        <v>8</v>
      </c>
      <c r="K3375" t="s">
        <v>1426</v>
      </c>
      <c r="L3375" t="s">
        <v>1427</v>
      </c>
      <c r="M3375" t="s">
        <v>1270</v>
      </c>
      <c r="N3375">
        <v>22</v>
      </c>
      <c r="O3375" t="s">
        <v>40</v>
      </c>
      <c r="P3375" t="s">
        <v>40</v>
      </c>
      <c r="Q3375" t="s">
        <v>40</v>
      </c>
      <c r="R3375" t="s">
        <v>40</v>
      </c>
      <c r="S3375" t="s">
        <v>40</v>
      </c>
      <c r="V3375" t="s">
        <v>41</v>
      </c>
      <c r="W3375" t="s">
        <v>75</v>
      </c>
      <c r="X3375" t="str">
        <f>"7192000"</f>
        <v>7192000</v>
      </c>
      <c r="Y3375" t="s">
        <v>1429</v>
      </c>
      <c r="Z3375" t="s">
        <v>1426</v>
      </c>
      <c r="AA3375" t="s">
        <v>1427</v>
      </c>
      <c r="AB3375" t="s">
        <v>1270</v>
      </c>
      <c r="AC3375" t="s">
        <v>51</v>
      </c>
      <c r="AD3375" t="s">
        <v>45</v>
      </c>
      <c r="AE3375" s="1">
        <v>25865</v>
      </c>
      <c r="AF3375">
        <v>1</v>
      </c>
      <c r="AG3375" t="s">
        <v>1427</v>
      </c>
      <c r="AH3375" s="36">
        <f t="shared" si="52"/>
        <v>48.866666666666667</v>
      </c>
      <c r="AI3375" s="41" t="s">
        <v>1780</v>
      </c>
    </row>
    <row r="3376" spans="1:35" x14ac:dyDescent="0.25">
      <c r="A3376" s="36">
        <v>99913374</v>
      </c>
      <c r="B3376" s="17" t="s">
        <v>32</v>
      </c>
      <c r="C3376" t="s">
        <v>139</v>
      </c>
      <c r="D3376" t="s">
        <v>140</v>
      </c>
      <c r="G3376" s="17" t="s">
        <v>48</v>
      </c>
      <c r="H3376" s="17">
        <v>10</v>
      </c>
      <c r="K3376" t="s">
        <v>1221</v>
      </c>
      <c r="L3376" t="s">
        <v>1222</v>
      </c>
      <c r="M3376" t="s">
        <v>1130</v>
      </c>
      <c r="N3376">
        <v>21</v>
      </c>
      <c r="O3376" t="s">
        <v>40</v>
      </c>
      <c r="P3376" t="s">
        <v>40</v>
      </c>
      <c r="Q3376" t="s">
        <v>40</v>
      </c>
      <c r="R3376" t="s">
        <v>40</v>
      </c>
      <c r="S3376" t="s">
        <v>40</v>
      </c>
      <c r="V3376" t="s">
        <v>41</v>
      </c>
      <c r="W3376" t="s">
        <v>75</v>
      </c>
      <c r="X3376" t="str">
        <f>"7351000"</f>
        <v>7351000</v>
      </c>
      <c r="Y3376" t="s">
        <v>1223</v>
      </c>
      <c r="Z3376" t="s">
        <v>1221</v>
      </c>
      <c r="AA3376" t="s">
        <v>1222</v>
      </c>
      <c r="AB3376" t="s">
        <v>1130</v>
      </c>
      <c r="AC3376" t="s">
        <v>51</v>
      </c>
      <c r="AD3376" t="s">
        <v>45</v>
      </c>
      <c r="AE3376" s="1">
        <v>25863</v>
      </c>
      <c r="AF3376">
        <v>1</v>
      </c>
      <c r="AG3376" t="s">
        <v>1222</v>
      </c>
      <c r="AH3376" s="36">
        <f t="shared" si="52"/>
        <v>48.87222222222222</v>
      </c>
      <c r="AI3376" s="41" t="s">
        <v>1780</v>
      </c>
    </row>
    <row r="3377" spans="1:35" x14ac:dyDescent="0.25">
      <c r="A3377" s="36">
        <v>99913375</v>
      </c>
      <c r="B3377" s="17" t="s">
        <v>56</v>
      </c>
      <c r="C3377" t="s">
        <v>46</v>
      </c>
      <c r="D3377" t="s">
        <v>47</v>
      </c>
      <c r="G3377" s="17" t="s">
        <v>48</v>
      </c>
      <c r="H3377" s="17">
        <v>1</v>
      </c>
      <c r="K3377" t="s">
        <v>1268</v>
      </c>
      <c r="L3377" t="s">
        <v>1269</v>
      </c>
      <c r="M3377" t="s">
        <v>1270</v>
      </c>
      <c r="N3377">
        <v>19</v>
      </c>
      <c r="O3377" t="s">
        <v>40</v>
      </c>
      <c r="P3377" t="s">
        <v>40</v>
      </c>
      <c r="Q3377" t="s">
        <v>40</v>
      </c>
      <c r="S3377" t="s">
        <v>40</v>
      </c>
      <c r="V3377" t="s">
        <v>41</v>
      </c>
      <c r="W3377" t="s">
        <v>42</v>
      </c>
      <c r="X3377" t="str">
        <f>"1990910"</f>
        <v>1990910</v>
      </c>
      <c r="Y3377" t="s">
        <v>1281</v>
      </c>
      <c r="Z3377" t="s">
        <v>1268</v>
      </c>
      <c r="AA3377" t="s">
        <v>1269</v>
      </c>
      <c r="AB3377" t="s">
        <v>1270</v>
      </c>
      <c r="AC3377" t="s">
        <v>165</v>
      </c>
      <c r="AD3377" t="s">
        <v>45</v>
      </c>
      <c r="AE3377" s="1">
        <v>25863</v>
      </c>
      <c r="AF3377">
        <v>2</v>
      </c>
      <c r="AG3377" t="s">
        <v>1269</v>
      </c>
      <c r="AH3377" s="36">
        <f t="shared" si="52"/>
        <v>48.87222222222222</v>
      </c>
      <c r="AI3377" s="41" t="s">
        <v>1780</v>
      </c>
    </row>
    <row r="3378" spans="1:35" x14ac:dyDescent="0.25">
      <c r="A3378" s="36">
        <v>99913376</v>
      </c>
      <c r="B3378" s="17" t="s">
        <v>32</v>
      </c>
      <c r="C3378" t="s">
        <v>61</v>
      </c>
      <c r="D3378" t="s">
        <v>62</v>
      </c>
      <c r="G3378" s="17" t="s">
        <v>35</v>
      </c>
      <c r="H3378" s="17">
        <v>1</v>
      </c>
      <c r="K3378" t="s">
        <v>223</v>
      </c>
      <c r="L3378" t="s">
        <v>224</v>
      </c>
      <c r="M3378" t="s">
        <v>131</v>
      </c>
      <c r="N3378">
        <v>14</v>
      </c>
      <c r="O3378" t="s">
        <v>40</v>
      </c>
      <c r="P3378" t="s">
        <v>40</v>
      </c>
      <c r="Q3378" t="s">
        <v>40</v>
      </c>
      <c r="R3378" t="s">
        <v>40</v>
      </c>
      <c r="S3378" t="s">
        <v>40</v>
      </c>
      <c r="V3378" t="s">
        <v>41</v>
      </c>
      <c r="W3378" t="s">
        <v>42</v>
      </c>
      <c r="X3378" t="str">
        <f>"0590901"</f>
        <v>0590901</v>
      </c>
      <c r="Y3378" t="s">
        <v>242</v>
      </c>
      <c r="Z3378" t="s">
        <v>223</v>
      </c>
      <c r="AA3378" t="s">
        <v>224</v>
      </c>
      <c r="AB3378" t="s">
        <v>131</v>
      </c>
      <c r="AC3378" t="s">
        <v>51</v>
      </c>
      <c r="AD3378" t="s">
        <v>45</v>
      </c>
      <c r="AE3378" s="1">
        <v>25861</v>
      </c>
      <c r="AF3378">
        <v>2</v>
      </c>
      <c r="AG3378" t="s">
        <v>224</v>
      </c>
      <c r="AH3378" s="36">
        <f t="shared" si="52"/>
        <v>48.87777777777778</v>
      </c>
      <c r="AI3378" s="41" t="s">
        <v>1780</v>
      </c>
    </row>
    <row r="3379" spans="1:35" x14ac:dyDescent="0.25">
      <c r="A3379" s="36">
        <v>99913377</v>
      </c>
      <c r="B3379" s="17" t="s">
        <v>32</v>
      </c>
      <c r="C3379" t="s">
        <v>33</v>
      </c>
      <c r="D3379" t="s">
        <v>34</v>
      </c>
      <c r="G3379" s="17" t="s">
        <v>35</v>
      </c>
      <c r="H3379" s="17">
        <v>1</v>
      </c>
      <c r="K3379" t="s">
        <v>223</v>
      </c>
      <c r="L3379" t="s">
        <v>224</v>
      </c>
      <c r="M3379" t="s">
        <v>131</v>
      </c>
      <c r="N3379">
        <v>20</v>
      </c>
      <c r="O3379" t="s">
        <v>40</v>
      </c>
      <c r="P3379" t="s">
        <v>40</v>
      </c>
      <c r="Q3379" t="s">
        <v>40</v>
      </c>
      <c r="S3379" t="s">
        <v>40</v>
      </c>
      <c r="V3379" t="s">
        <v>41</v>
      </c>
      <c r="W3379" t="s">
        <v>42</v>
      </c>
      <c r="X3379" t="str">
        <f>"0580396"</f>
        <v>0580396</v>
      </c>
      <c r="Y3379" t="s">
        <v>255</v>
      </c>
      <c r="Z3379" t="s">
        <v>223</v>
      </c>
      <c r="AA3379" t="s">
        <v>224</v>
      </c>
      <c r="AB3379" t="s">
        <v>131</v>
      </c>
      <c r="AC3379" t="s">
        <v>51</v>
      </c>
      <c r="AD3379" t="s">
        <v>45</v>
      </c>
      <c r="AE3379" s="1">
        <v>25859</v>
      </c>
      <c r="AF3379">
        <v>2</v>
      </c>
      <c r="AG3379" t="s">
        <v>224</v>
      </c>
      <c r="AH3379" s="36">
        <f t="shared" si="52"/>
        <v>48.883333333333333</v>
      </c>
      <c r="AI3379" s="41" t="s">
        <v>1780</v>
      </c>
    </row>
    <row r="3380" spans="1:35" x14ac:dyDescent="0.25">
      <c r="A3380" s="36">
        <v>99913378</v>
      </c>
      <c r="B3380" s="17" t="s">
        <v>32</v>
      </c>
      <c r="C3380" t="s">
        <v>145</v>
      </c>
      <c r="D3380" t="s">
        <v>146</v>
      </c>
      <c r="G3380" s="17" t="s">
        <v>35</v>
      </c>
      <c r="H3380" s="17">
        <v>1</v>
      </c>
      <c r="K3380" t="s">
        <v>223</v>
      </c>
      <c r="L3380" t="s">
        <v>224</v>
      </c>
      <c r="M3380" t="s">
        <v>131</v>
      </c>
      <c r="N3380">
        <v>20</v>
      </c>
      <c r="O3380" t="s">
        <v>40</v>
      </c>
      <c r="P3380" t="s">
        <v>40</v>
      </c>
      <c r="Q3380" t="s">
        <v>40</v>
      </c>
      <c r="S3380" t="s">
        <v>40</v>
      </c>
      <c r="V3380" t="s">
        <v>41</v>
      </c>
      <c r="W3380" t="s">
        <v>49</v>
      </c>
      <c r="X3380" t="str">
        <f>"0591907"</f>
        <v>0591907</v>
      </c>
      <c r="Y3380" t="s">
        <v>243</v>
      </c>
      <c r="Z3380" t="s">
        <v>223</v>
      </c>
      <c r="AA3380" t="s">
        <v>224</v>
      </c>
      <c r="AB3380" t="s">
        <v>131</v>
      </c>
      <c r="AC3380" t="s">
        <v>51</v>
      </c>
      <c r="AD3380" t="s">
        <v>45</v>
      </c>
      <c r="AE3380" s="1">
        <v>25858</v>
      </c>
      <c r="AF3380">
        <v>2</v>
      </c>
      <c r="AG3380" t="s">
        <v>224</v>
      </c>
      <c r="AH3380" s="36">
        <f t="shared" si="52"/>
        <v>48.886111111111113</v>
      </c>
      <c r="AI3380" s="41" t="s">
        <v>1780</v>
      </c>
    </row>
    <row r="3381" spans="1:35" x14ac:dyDescent="0.25">
      <c r="A3381" s="36">
        <v>99913379</v>
      </c>
      <c r="B3381" s="17" t="s">
        <v>32</v>
      </c>
      <c r="C3381" t="s">
        <v>64</v>
      </c>
      <c r="D3381" t="s">
        <v>65</v>
      </c>
      <c r="G3381" s="17" t="s">
        <v>48</v>
      </c>
      <c r="H3381" s="17">
        <v>1</v>
      </c>
      <c r="K3381" t="s">
        <v>345</v>
      </c>
      <c r="L3381" t="s">
        <v>346</v>
      </c>
      <c r="M3381" t="s">
        <v>131</v>
      </c>
      <c r="N3381">
        <v>18</v>
      </c>
      <c r="O3381" t="s">
        <v>40</v>
      </c>
      <c r="P3381" t="s">
        <v>40</v>
      </c>
      <c r="Q3381" t="s">
        <v>40</v>
      </c>
      <c r="R3381" t="s">
        <v>40</v>
      </c>
      <c r="S3381" t="s">
        <v>40</v>
      </c>
      <c r="V3381" t="s">
        <v>41</v>
      </c>
      <c r="W3381" t="s">
        <v>49</v>
      </c>
      <c r="X3381" t="str">
        <f>"0561021"</f>
        <v>0561021</v>
      </c>
      <c r="Y3381" t="s">
        <v>352</v>
      </c>
      <c r="Z3381" t="s">
        <v>345</v>
      </c>
      <c r="AA3381" t="s">
        <v>346</v>
      </c>
      <c r="AB3381" t="s">
        <v>131</v>
      </c>
      <c r="AC3381" t="s">
        <v>51</v>
      </c>
      <c r="AD3381" t="s">
        <v>45</v>
      </c>
      <c r="AE3381" s="1">
        <v>25856</v>
      </c>
      <c r="AF3381">
        <v>2</v>
      </c>
      <c r="AG3381" t="s">
        <v>346</v>
      </c>
      <c r="AH3381" s="36">
        <f t="shared" si="52"/>
        <v>48.891666666666666</v>
      </c>
      <c r="AI3381" s="41" t="s">
        <v>1780</v>
      </c>
    </row>
    <row r="3382" spans="1:35" x14ac:dyDescent="0.25">
      <c r="A3382" s="36">
        <v>99913380</v>
      </c>
      <c r="B3382" s="17" t="s">
        <v>32</v>
      </c>
      <c r="C3382" t="s">
        <v>111</v>
      </c>
      <c r="D3382" t="s">
        <v>112</v>
      </c>
      <c r="G3382" s="17" t="s">
        <v>35</v>
      </c>
      <c r="H3382" s="17">
        <v>1</v>
      </c>
      <c r="K3382" t="s">
        <v>877</v>
      </c>
      <c r="L3382" t="s">
        <v>878</v>
      </c>
      <c r="M3382" t="s">
        <v>131</v>
      </c>
      <c r="N3382">
        <v>21</v>
      </c>
      <c r="O3382" t="s">
        <v>40</v>
      </c>
      <c r="P3382" t="s">
        <v>40</v>
      </c>
      <c r="Q3382" t="s">
        <v>40</v>
      </c>
      <c r="S3382" t="s">
        <v>40</v>
      </c>
      <c r="V3382" t="s">
        <v>41</v>
      </c>
      <c r="W3382" t="s">
        <v>75</v>
      </c>
      <c r="X3382" t="str">
        <f>"7700025"</f>
        <v>7700025</v>
      </c>
      <c r="Y3382" t="s">
        <v>880</v>
      </c>
      <c r="Z3382" t="s">
        <v>877</v>
      </c>
      <c r="AA3382" t="s">
        <v>878</v>
      </c>
      <c r="AB3382" t="s">
        <v>131</v>
      </c>
      <c r="AC3382" t="s">
        <v>51</v>
      </c>
      <c r="AD3382" t="s">
        <v>45</v>
      </c>
      <c r="AE3382" s="1">
        <v>25855</v>
      </c>
      <c r="AF3382">
        <v>1</v>
      </c>
      <c r="AG3382" t="s">
        <v>878</v>
      </c>
      <c r="AH3382" s="36">
        <f t="shared" si="52"/>
        <v>48.894444444444446</v>
      </c>
      <c r="AI3382" s="41" t="s">
        <v>1780</v>
      </c>
    </row>
    <row r="3383" spans="1:35" x14ac:dyDescent="0.25">
      <c r="A3383" s="36">
        <v>99913381</v>
      </c>
      <c r="B3383" s="17" t="s">
        <v>32</v>
      </c>
      <c r="C3383" t="s">
        <v>79</v>
      </c>
      <c r="D3383" t="s">
        <v>80</v>
      </c>
      <c r="G3383" s="17" t="s">
        <v>35</v>
      </c>
      <c r="H3383" s="17">
        <v>1</v>
      </c>
      <c r="K3383" t="s">
        <v>1564</v>
      </c>
      <c r="L3383" t="s">
        <v>1565</v>
      </c>
      <c r="M3383" t="s">
        <v>1548</v>
      </c>
      <c r="N3383">
        <v>19</v>
      </c>
      <c r="O3383" t="s">
        <v>40</v>
      </c>
      <c r="P3383" t="s">
        <v>40</v>
      </c>
      <c r="Q3383" t="s">
        <v>40</v>
      </c>
      <c r="R3383" t="s">
        <v>40</v>
      </c>
      <c r="S3383" t="s">
        <v>40</v>
      </c>
      <c r="V3383" t="s">
        <v>41</v>
      </c>
      <c r="W3383" t="s">
        <v>75</v>
      </c>
      <c r="X3383" t="str">
        <f>"7101000"</f>
        <v>7101000</v>
      </c>
      <c r="Y3383" t="s">
        <v>1572</v>
      </c>
      <c r="Z3383" t="s">
        <v>1564</v>
      </c>
      <c r="AA3383" t="s">
        <v>1565</v>
      </c>
      <c r="AB3383" t="s">
        <v>1548</v>
      </c>
      <c r="AC3383" t="s">
        <v>51</v>
      </c>
      <c r="AD3383" t="s">
        <v>45</v>
      </c>
      <c r="AE3383" s="1">
        <v>25854</v>
      </c>
      <c r="AF3383">
        <v>1</v>
      </c>
      <c r="AG3383" t="s">
        <v>1565</v>
      </c>
      <c r="AH3383" s="36">
        <f t="shared" si="52"/>
        <v>48.897222222222226</v>
      </c>
      <c r="AI3383" s="41" t="s">
        <v>1780</v>
      </c>
    </row>
    <row r="3384" spans="1:35" x14ac:dyDescent="0.25">
      <c r="A3384" s="36">
        <v>99913382</v>
      </c>
      <c r="B3384" s="17" t="s">
        <v>32</v>
      </c>
      <c r="C3384" t="s">
        <v>79</v>
      </c>
      <c r="D3384" t="s">
        <v>80</v>
      </c>
      <c r="G3384" s="17" t="s">
        <v>35</v>
      </c>
      <c r="H3384" s="17">
        <v>10</v>
      </c>
      <c r="K3384" t="s">
        <v>268</v>
      </c>
      <c r="L3384" t="s">
        <v>269</v>
      </c>
      <c r="M3384" t="s">
        <v>131</v>
      </c>
      <c r="N3384">
        <v>21</v>
      </c>
      <c r="O3384" t="s">
        <v>40</v>
      </c>
      <c r="P3384" t="s">
        <v>40</v>
      </c>
      <c r="Q3384" t="s">
        <v>40</v>
      </c>
      <c r="R3384" t="s">
        <v>40</v>
      </c>
      <c r="S3384" t="s">
        <v>40</v>
      </c>
      <c r="V3384" t="s">
        <v>41</v>
      </c>
      <c r="W3384" t="s">
        <v>75</v>
      </c>
      <c r="X3384" t="str">
        <f>"7052006"</f>
        <v>7052006</v>
      </c>
      <c r="Y3384" t="s">
        <v>575</v>
      </c>
      <c r="Z3384" t="s">
        <v>268</v>
      </c>
      <c r="AA3384" t="s">
        <v>269</v>
      </c>
      <c r="AB3384" t="s">
        <v>131</v>
      </c>
      <c r="AC3384" t="s">
        <v>165</v>
      </c>
      <c r="AD3384" t="s">
        <v>45</v>
      </c>
      <c r="AE3384" s="1">
        <v>25852</v>
      </c>
      <c r="AF3384">
        <v>1</v>
      </c>
      <c r="AG3384" t="s">
        <v>269</v>
      </c>
      <c r="AH3384" s="36">
        <f t="shared" si="52"/>
        <v>48.902777777777779</v>
      </c>
      <c r="AI3384" s="41" t="s">
        <v>1780</v>
      </c>
    </row>
    <row r="3385" spans="1:35" x14ac:dyDescent="0.25">
      <c r="A3385" s="36">
        <v>99913383</v>
      </c>
      <c r="B3385" s="17" t="s">
        <v>32</v>
      </c>
      <c r="C3385" t="s">
        <v>79</v>
      </c>
      <c r="D3385" t="s">
        <v>80</v>
      </c>
      <c r="G3385" s="17" t="s">
        <v>48</v>
      </c>
      <c r="H3385" s="17">
        <v>1</v>
      </c>
      <c r="K3385" t="s">
        <v>345</v>
      </c>
      <c r="L3385" t="s">
        <v>346</v>
      </c>
      <c r="M3385" t="s">
        <v>131</v>
      </c>
      <c r="N3385">
        <v>20</v>
      </c>
      <c r="O3385" t="s">
        <v>40</v>
      </c>
      <c r="P3385" t="s">
        <v>40</v>
      </c>
      <c r="Q3385" t="s">
        <v>40</v>
      </c>
      <c r="R3385" t="s">
        <v>40</v>
      </c>
      <c r="S3385" t="s">
        <v>40</v>
      </c>
      <c r="V3385" t="s">
        <v>41</v>
      </c>
      <c r="W3385" t="s">
        <v>49</v>
      </c>
      <c r="X3385" t="str">
        <f>"0561021"</f>
        <v>0561021</v>
      </c>
      <c r="Y3385" t="s">
        <v>352</v>
      </c>
      <c r="Z3385" t="s">
        <v>345</v>
      </c>
      <c r="AA3385" t="s">
        <v>346</v>
      </c>
      <c r="AB3385" t="s">
        <v>131</v>
      </c>
      <c r="AC3385" t="s">
        <v>51</v>
      </c>
      <c r="AD3385" t="s">
        <v>45</v>
      </c>
      <c r="AE3385" s="1">
        <v>25851</v>
      </c>
      <c r="AF3385">
        <v>2</v>
      </c>
      <c r="AG3385" t="s">
        <v>346</v>
      </c>
      <c r="AH3385" s="36">
        <f t="shared" si="52"/>
        <v>48.905555555555559</v>
      </c>
      <c r="AI3385" s="41" t="s">
        <v>1780</v>
      </c>
    </row>
    <row r="3386" spans="1:35" x14ac:dyDescent="0.25">
      <c r="A3386" s="36">
        <v>99913384</v>
      </c>
      <c r="B3386" s="17" t="s">
        <v>56</v>
      </c>
      <c r="C3386" t="s">
        <v>79</v>
      </c>
      <c r="D3386" t="s">
        <v>80</v>
      </c>
      <c r="G3386" s="17" t="s">
        <v>48</v>
      </c>
      <c r="H3386" s="17">
        <v>1</v>
      </c>
      <c r="K3386" t="s">
        <v>380</v>
      </c>
      <c r="L3386" t="s">
        <v>381</v>
      </c>
      <c r="M3386" t="s">
        <v>131</v>
      </c>
      <c r="N3386">
        <v>20</v>
      </c>
      <c r="O3386" t="s">
        <v>40</v>
      </c>
      <c r="P3386" t="s">
        <v>40</v>
      </c>
      <c r="Q3386" t="s">
        <v>40</v>
      </c>
      <c r="R3386" t="s">
        <v>40</v>
      </c>
      <c r="S3386" t="s">
        <v>40</v>
      </c>
      <c r="V3386" t="s">
        <v>41</v>
      </c>
      <c r="W3386" t="s">
        <v>49</v>
      </c>
      <c r="X3386" t="str">
        <f>"0591908"</f>
        <v>0591908</v>
      </c>
      <c r="Y3386" t="s">
        <v>383</v>
      </c>
      <c r="Z3386" t="s">
        <v>380</v>
      </c>
      <c r="AA3386" t="s">
        <v>381</v>
      </c>
      <c r="AB3386" t="s">
        <v>131</v>
      </c>
      <c r="AC3386" t="s">
        <v>51</v>
      </c>
      <c r="AD3386" t="s">
        <v>45</v>
      </c>
      <c r="AE3386" s="1">
        <v>25851</v>
      </c>
      <c r="AF3386">
        <v>2</v>
      </c>
      <c r="AG3386" t="s">
        <v>381</v>
      </c>
      <c r="AH3386" s="36">
        <f t="shared" si="52"/>
        <v>48.905555555555559</v>
      </c>
      <c r="AI3386" s="41" t="s">
        <v>1780</v>
      </c>
    </row>
    <row r="3387" spans="1:35" x14ac:dyDescent="0.25">
      <c r="A3387" s="36">
        <v>99913385</v>
      </c>
      <c r="B3387" s="17" t="s">
        <v>32</v>
      </c>
      <c r="C3387" t="s">
        <v>90</v>
      </c>
      <c r="D3387" t="s">
        <v>91</v>
      </c>
      <c r="G3387" s="17" t="s">
        <v>48</v>
      </c>
      <c r="H3387" s="17">
        <v>1</v>
      </c>
      <c r="K3387" t="s">
        <v>1689</v>
      </c>
      <c r="L3387" t="s">
        <v>1690</v>
      </c>
      <c r="M3387" t="s">
        <v>1592</v>
      </c>
      <c r="N3387">
        <v>25</v>
      </c>
      <c r="O3387" t="s">
        <v>40</v>
      </c>
      <c r="P3387" t="s">
        <v>40</v>
      </c>
      <c r="Q3387" t="s">
        <v>40</v>
      </c>
      <c r="S3387" t="s">
        <v>40</v>
      </c>
      <c r="V3387" t="s">
        <v>41</v>
      </c>
      <c r="W3387" t="s">
        <v>95</v>
      </c>
      <c r="X3387" t="str">
        <f>"7301005"</f>
        <v>7301005</v>
      </c>
      <c r="Y3387" t="s">
        <v>1694</v>
      </c>
      <c r="Z3387" t="s">
        <v>1689</v>
      </c>
      <c r="AA3387" t="s">
        <v>1690</v>
      </c>
      <c r="AB3387" t="s">
        <v>1592</v>
      </c>
      <c r="AC3387" t="s">
        <v>51</v>
      </c>
      <c r="AD3387" t="s">
        <v>45</v>
      </c>
      <c r="AE3387" s="1">
        <v>25850</v>
      </c>
      <c r="AF3387">
        <v>1</v>
      </c>
      <c r="AG3387" t="s">
        <v>1690</v>
      </c>
      <c r="AH3387" s="36">
        <f t="shared" si="52"/>
        <v>48.908333333333331</v>
      </c>
      <c r="AI3387" s="41" t="s">
        <v>1780</v>
      </c>
    </row>
    <row r="3388" spans="1:35" x14ac:dyDescent="0.25">
      <c r="A3388" s="36">
        <v>99913386</v>
      </c>
      <c r="B3388" s="17" t="s">
        <v>32</v>
      </c>
      <c r="C3388" t="s">
        <v>46</v>
      </c>
      <c r="D3388" t="s">
        <v>47</v>
      </c>
      <c r="G3388" s="17" t="s">
        <v>48</v>
      </c>
      <c r="H3388" s="17">
        <v>1</v>
      </c>
      <c r="K3388" t="s">
        <v>162</v>
      </c>
      <c r="L3388" t="s">
        <v>158</v>
      </c>
      <c r="M3388" t="s">
        <v>131</v>
      </c>
      <c r="N3388">
        <v>10</v>
      </c>
      <c r="O3388" t="s">
        <v>40</v>
      </c>
      <c r="P3388" t="s">
        <v>40</v>
      </c>
      <c r="Q3388" t="s">
        <v>40</v>
      </c>
      <c r="S3388" t="s">
        <v>40</v>
      </c>
      <c r="V3388" t="s">
        <v>41</v>
      </c>
      <c r="W3388" t="s">
        <v>49</v>
      </c>
      <c r="X3388" t="str">
        <f>"0560003"</f>
        <v>0560003</v>
      </c>
      <c r="Y3388" t="s">
        <v>181</v>
      </c>
      <c r="Z3388" t="s">
        <v>162</v>
      </c>
      <c r="AA3388" t="s">
        <v>158</v>
      </c>
      <c r="AB3388" t="s">
        <v>131</v>
      </c>
      <c r="AC3388" t="s">
        <v>51</v>
      </c>
      <c r="AD3388" t="s">
        <v>45</v>
      </c>
      <c r="AE3388" s="1">
        <v>25848</v>
      </c>
      <c r="AF3388">
        <v>2</v>
      </c>
      <c r="AG3388" t="s">
        <v>158</v>
      </c>
      <c r="AH3388" s="36">
        <f t="shared" si="52"/>
        <v>48.913888888888891</v>
      </c>
      <c r="AI3388" s="41" t="s">
        <v>1780</v>
      </c>
    </row>
    <row r="3389" spans="1:35" x14ac:dyDescent="0.25">
      <c r="A3389" s="36">
        <v>99913387</v>
      </c>
      <c r="B3389" s="17" t="s">
        <v>32</v>
      </c>
      <c r="C3389" t="s">
        <v>64</v>
      </c>
      <c r="D3389" t="s">
        <v>65</v>
      </c>
      <c r="G3389" s="17" t="s">
        <v>48</v>
      </c>
      <c r="H3389" s="17">
        <v>1</v>
      </c>
      <c r="K3389" t="s">
        <v>877</v>
      </c>
      <c r="L3389" t="s">
        <v>878</v>
      </c>
      <c r="M3389" t="s">
        <v>131</v>
      </c>
      <c r="N3389">
        <v>22</v>
      </c>
      <c r="O3389" t="s">
        <v>40</v>
      </c>
      <c r="P3389" t="s">
        <v>40</v>
      </c>
      <c r="Q3389" t="s">
        <v>40</v>
      </c>
      <c r="R3389" t="s">
        <v>40</v>
      </c>
      <c r="S3389" t="s">
        <v>40</v>
      </c>
      <c r="V3389" t="s">
        <v>41</v>
      </c>
      <c r="W3389" t="s">
        <v>75</v>
      </c>
      <c r="X3389" t="str">
        <f>"7541008"</f>
        <v>7541008</v>
      </c>
      <c r="Y3389" t="s">
        <v>879</v>
      </c>
      <c r="Z3389" t="s">
        <v>877</v>
      </c>
      <c r="AA3389" t="s">
        <v>878</v>
      </c>
      <c r="AB3389" t="s">
        <v>131</v>
      </c>
      <c r="AC3389" t="s">
        <v>51</v>
      </c>
      <c r="AD3389" t="s">
        <v>45</v>
      </c>
      <c r="AE3389" s="1">
        <v>25848</v>
      </c>
      <c r="AF3389">
        <v>1</v>
      </c>
      <c r="AG3389" t="s">
        <v>878</v>
      </c>
      <c r="AH3389" s="36">
        <f t="shared" si="52"/>
        <v>48.913888888888891</v>
      </c>
      <c r="AI3389" s="41" t="s">
        <v>1780</v>
      </c>
    </row>
    <row r="3390" spans="1:35" x14ac:dyDescent="0.25">
      <c r="A3390" s="36">
        <v>99913388</v>
      </c>
      <c r="B3390" s="17" t="s">
        <v>32</v>
      </c>
      <c r="C3390" t="s">
        <v>64</v>
      </c>
      <c r="D3390" t="s">
        <v>65</v>
      </c>
      <c r="G3390" s="17" t="s">
        <v>48</v>
      </c>
      <c r="H3390" s="17">
        <v>1</v>
      </c>
      <c r="K3390" t="s">
        <v>154</v>
      </c>
      <c r="L3390" t="s">
        <v>155</v>
      </c>
      <c r="M3390" t="s">
        <v>131</v>
      </c>
      <c r="N3390">
        <v>12</v>
      </c>
      <c r="O3390" t="s">
        <v>40</v>
      </c>
      <c r="P3390" t="s">
        <v>40</v>
      </c>
      <c r="Q3390" t="s">
        <v>40</v>
      </c>
      <c r="S3390" t="s">
        <v>40</v>
      </c>
      <c r="V3390" t="s">
        <v>41</v>
      </c>
      <c r="W3390" t="s">
        <v>75</v>
      </c>
      <c r="X3390" t="str">
        <f>"7051002"</f>
        <v>7051002</v>
      </c>
      <c r="Y3390" t="s">
        <v>395</v>
      </c>
      <c r="Z3390" t="s">
        <v>154</v>
      </c>
      <c r="AA3390" t="s">
        <v>155</v>
      </c>
      <c r="AB3390" t="s">
        <v>131</v>
      </c>
      <c r="AC3390" t="s">
        <v>51</v>
      </c>
      <c r="AD3390" t="s">
        <v>45</v>
      </c>
      <c r="AE3390" s="1">
        <v>25847</v>
      </c>
      <c r="AF3390">
        <v>1</v>
      </c>
      <c r="AG3390" t="s">
        <v>155</v>
      </c>
      <c r="AH3390" s="36">
        <f t="shared" si="52"/>
        <v>48.916666666666664</v>
      </c>
      <c r="AI3390" s="41" t="s">
        <v>1780</v>
      </c>
    </row>
    <row r="3391" spans="1:35" x14ac:dyDescent="0.25">
      <c r="A3391" s="36">
        <v>99913389</v>
      </c>
      <c r="B3391" s="17" t="s">
        <v>32</v>
      </c>
      <c r="C3391" t="s">
        <v>64</v>
      </c>
      <c r="D3391" t="s">
        <v>65</v>
      </c>
      <c r="G3391" s="17" t="s">
        <v>48</v>
      </c>
      <c r="H3391" s="17">
        <v>1</v>
      </c>
      <c r="K3391" t="s">
        <v>162</v>
      </c>
      <c r="L3391" t="s">
        <v>158</v>
      </c>
      <c r="M3391" t="s">
        <v>131</v>
      </c>
      <c r="N3391">
        <v>12</v>
      </c>
      <c r="O3391" t="s">
        <v>40</v>
      </c>
      <c r="P3391" t="s">
        <v>40</v>
      </c>
      <c r="Q3391" t="s">
        <v>40</v>
      </c>
      <c r="S3391" t="s">
        <v>40</v>
      </c>
      <c r="V3391" t="s">
        <v>41</v>
      </c>
      <c r="W3391" t="s">
        <v>42</v>
      </c>
      <c r="X3391" t="str">
        <f>"0580330"</f>
        <v>0580330</v>
      </c>
      <c r="Y3391" t="s">
        <v>176</v>
      </c>
      <c r="Z3391" t="s">
        <v>162</v>
      </c>
      <c r="AA3391" t="s">
        <v>158</v>
      </c>
      <c r="AB3391" t="s">
        <v>131</v>
      </c>
      <c r="AC3391" t="s">
        <v>51</v>
      </c>
      <c r="AD3391" t="s">
        <v>45</v>
      </c>
      <c r="AE3391" s="1">
        <v>25844</v>
      </c>
      <c r="AF3391">
        <v>2</v>
      </c>
      <c r="AG3391" t="s">
        <v>158</v>
      </c>
      <c r="AH3391" s="36">
        <f t="shared" si="52"/>
        <v>48.924999999999997</v>
      </c>
      <c r="AI3391" s="41" t="s">
        <v>1780</v>
      </c>
    </row>
    <row r="3392" spans="1:35" x14ac:dyDescent="0.25">
      <c r="A3392" s="36">
        <v>99913390</v>
      </c>
      <c r="B3392" s="17" t="s">
        <v>56</v>
      </c>
      <c r="C3392" t="s">
        <v>61</v>
      </c>
      <c r="D3392" t="s">
        <v>62</v>
      </c>
      <c r="G3392" s="17" t="s">
        <v>48</v>
      </c>
      <c r="H3392" s="17">
        <v>3</v>
      </c>
      <c r="K3392" t="s">
        <v>877</v>
      </c>
      <c r="L3392" t="s">
        <v>878</v>
      </c>
      <c r="M3392" t="s">
        <v>131</v>
      </c>
      <c r="N3392">
        <v>24</v>
      </c>
      <c r="O3392" t="s">
        <v>40</v>
      </c>
      <c r="P3392" t="s">
        <v>40</v>
      </c>
      <c r="Q3392" t="s">
        <v>40</v>
      </c>
      <c r="R3392" t="s">
        <v>40</v>
      </c>
      <c r="S3392" t="s">
        <v>40</v>
      </c>
      <c r="V3392" t="s">
        <v>41</v>
      </c>
      <c r="W3392" t="s">
        <v>75</v>
      </c>
      <c r="X3392" t="str">
        <f>"7541004"</f>
        <v>7541004</v>
      </c>
      <c r="Y3392" t="s">
        <v>889</v>
      </c>
      <c r="Z3392" t="s">
        <v>877</v>
      </c>
      <c r="AA3392" t="s">
        <v>878</v>
      </c>
      <c r="AB3392" t="s">
        <v>131</v>
      </c>
      <c r="AC3392" t="s">
        <v>51</v>
      </c>
      <c r="AD3392" t="s">
        <v>45</v>
      </c>
      <c r="AE3392" s="1">
        <v>25844</v>
      </c>
      <c r="AF3392">
        <v>1</v>
      </c>
      <c r="AG3392" t="s">
        <v>878</v>
      </c>
      <c r="AH3392" s="36">
        <f t="shared" si="52"/>
        <v>48.924999999999997</v>
      </c>
      <c r="AI3392" s="41" t="s">
        <v>1780</v>
      </c>
    </row>
    <row r="3393" spans="1:35" x14ac:dyDescent="0.25">
      <c r="A3393" s="36">
        <v>99913391</v>
      </c>
      <c r="B3393" s="17" t="s">
        <v>32</v>
      </c>
      <c r="C3393" t="s">
        <v>90</v>
      </c>
      <c r="D3393" t="s">
        <v>91</v>
      </c>
      <c r="G3393" s="17" t="s">
        <v>48</v>
      </c>
      <c r="H3393" s="17">
        <v>1</v>
      </c>
      <c r="K3393" t="s">
        <v>1708</v>
      </c>
      <c r="L3393" t="s">
        <v>1709</v>
      </c>
      <c r="M3393" t="s">
        <v>1705</v>
      </c>
      <c r="N3393">
        <v>25</v>
      </c>
      <c r="O3393" t="s">
        <v>40</v>
      </c>
      <c r="P3393" t="s">
        <v>40</v>
      </c>
      <c r="Q3393" t="s">
        <v>40</v>
      </c>
      <c r="S3393" t="s">
        <v>40</v>
      </c>
      <c r="V3393" t="s">
        <v>41</v>
      </c>
      <c r="W3393" t="s">
        <v>95</v>
      </c>
      <c r="X3393" t="str">
        <f>"7121005"</f>
        <v>7121005</v>
      </c>
      <c r="Y3393" t="s">
        <v>1720</v>
      </c>
      <c r="Z3393" t="s">
        <v>1708</v>
      </c>
      <c r="AA3393" t="s">
        <v>1709</v>
      </c>
      <c r="AB3393" t="s">
        <v>1705</v>
      </c>
      <c r="AC3393" t="s">
        <v>51</v>
      </c>
      <c r="AD3393" t="s">
        <v>45</v>
      </c>
      <c r="AE3393" s="1">
        <v>25843</v>
      </c>
      <c r="AF3393">
        <v>1</v>
      </c>
      <c r="AG3393" t="s">
        <v>1709</v>
      </c>
      <c r="AH3393" s="36">
        <f t="shared" si="52"/>
        <v>48.927777777777777</v>
      </c>
      <c r="AI3393" s="41" t="s">
        <v>1780</v>
      </c>
    </row>
    <row r="3394" spans="1:35" x14ac:dyDescent="0.25">
      <c r="A3394" s="36">
        <v>99913392</v>
      </c>
      <c r="B3394" s="17" t="s">
        <v>56</v>
      </c>
      <c r="C3394" t="s">
        <v>111</v>
      </c>
      <c r="D3394" t="s">
        <v>112</v>
      </c>
      <c r="G3394" s="17" t="s">
        <v>48</v>
      </c>
      <c r="H3394" s="17">
        <v>1</v>
      </c>
      <c r="K3394" t="s">
        <v>1198</v>
      </c>
      <c r="L3394" t="s">
        <v>1199</v>
      </c>
      <c r="M3394" t="s">
        <v>1130</v>
      </c>
      <c r="N3394">
        <v>24</v>
      </c>
      <c r="O3394" t="s">
        <v>40</v>
      </c>
      <c r="P3394" t="s">
        <v>40</v>
      </c>
      <c r="Q3394" t="s">
        <v>40</v>
      </c>
      <c r="R3394" t="s">
        <v>40</v>
      </c>
      <c r="S3394" t="s">
        <v>40</v>
      </c>
      <c r="V3394" t="s">
        <v>41</v>
      </c>
      <c r="W3394" t="s">
        <v>75</v>
      </c>
      <c r="X3394" t="str">
        <f>"7311010"</f>
        <v>7311010</v>
      </c>
      <c r="Y3394" t="s">
        <v>1202</v>
      </c>
      <c r="Z3394" t="s">
        <v>1198</v>
      </c>
      <c r="AA3394" t="s">
        <v>1199</v>
      </c>
      <c r="AB3394" t="s">
        <v>1130</v>
      </c>
      <c r="AC3394" t="s">
        <v>51</v>
      </c>
      <c r="AD3394" t="s">
        <v>45</v>
      </c>
      <c r="AE3394" s="1">
        <v>25838</v>
      </c>
      <c r="AF3394">
        <v>1</v>
      </c>
      <c r="AG3394" t="s">
        <v>1199</v>
      </c>
      <c r="AH3394" s="36">
        <f t="shared" ref="AH3394:AH3457" si="53">($AJ$1-AE3394)/360</f>
        <v>48.94166666666667</v>
      </c>
      <c r="AI3394" s="41" t="s">
        <v>1780</v>
      </c>
    </row>
    <row r="3395" spans="1:35" x14ac:dyDescent="0.25">
      <c r="A3395" s="36">
        <v>99913393</v>
      </c>
      <c r="B3395" s="17" t="s">
        <v>56</v>
      </c>
      <c r="C3395" t="s">
        <v>79</v>
      </c>
      <c r="D3395" t="s">
        <v>80</v>
      </c>
      <c r="G3395" s="17" t="s">
        <v>48</v>
      </c>
      <c r="H3395" s="17">
        <v>1</v>
      </c>
      <c r="K3395" t="s">
        <v>667</v>
      </c>
      <c r="L3395" t="s">
        <v>669</v>
      </c>
      <c r="M3395" t="s">
        <v>670</v>
      </c>
      <c r="N3395">
        <v>23</v>
      </c>
      <c r="O3395" t="s">
        <v>40</v>
      </c>
      <c r="P3395" t="s">
        <v>40</v>
      </c>
      <c r="Q3395" t="s">
        <v>40</v>
      </c>
      <c r="R3395" t="s">
        <v>40</v>
      </c>
      <c r="S3395" t="s">
        <v>40</v>
      </c>
      <c r="V3395" t="s">
        <v>41</v>
      </c>
      <c r="W3395" t="s">
        <v>75</v>
      </c>
      <c r="X3395" t="str">
        <f>"7501000"</f>
        <v>7501000</v>
      </c>
      <c r="Y3395" t="s">
        <v>668</v>
      </c>
      <c r="Z3395" t="s">
        <v>667</v>
      </c>
      <c r="AA3395" t="s">
        <v>669</v>
      </c>
      <c r="AB3395" t="s">
        <v>670</v>
      </c>
      <c r="AC3395" t="s">
        <v>51</v>
      </c>
      <c r="AD3395" t="s">
        <v>45</v>
      </c>
      <c r="AE3395" s="1">
        <v>25838</v>
      </c>
      <c r="AF3395">
        <v>1</v>
      </c>
      <c r="AG3395" t="s">
        <v>669</v>
      </c>
      <c r="AH3395" s="36">
        <f t="shared" si="53"/>
        <v>48.94166666666667</v>
      </c>
      <c r="AI3395" s="41" t="s">
        <v>1780</v>
      </c>
    </row>
    <row r="3396" spans="1:35" x14ac:dyDescent="0.25">
      <c r="A3396" s="36">
        <v>99913394</v>
      </c>
      <c r="B3396" s="17" t="s">
        <v>32</v>
      </c>
      <c r="C3396" t="s">
        <v>141</v>
      </c>
      <c r="D3396" t="s">
        <v>142</v>
      </c>
      <c r="G3396" s="17" t="s">
        <v>48</v>
      </c>
      <c r="H3396" s="17">
        <v>1</v>
      </c>
      <c r="K3396" t="s">
        <v>223</v>
      </c>
      <c r="L3396" t="s">
        <v>224</v>
      </c>
      <c r="M3396" t="s">
        <v>131</v>
      </c>
      <c r="N3396">
        <v>20</v>
      </c>
      <c r="O3396" t="s">
        <v>40</v>
      </c>
      <c r="P3396" t="s">
        <v>40</v>
      </c>
      <c r="Q3396" t="s">
        <v>40</v>
      </c>
      <c r="S3396" t="s">
        <v>40</v>
      </c>
      <c r="V3396" t="s">
        <v>41</v>
      </c>
      <c r="W3396" t="s">
        <v>49</v>
      </c>
      <c r="X3396" t="str">
        <f>"0581206"</f>
        <v>0581206</v>
      </c>
      <c r="Y3396" t="s">
        <v>232</v>
      </c>
      <c r="Z3396" t="s">
        <v>223</v>
      </c>
      <c r="AA3396" t="s">
        <v>224</v>
      </c>
      <c r="AB3396" t="s">
        <v>131</v>
      </c>
      <c r="AC3396" t="s">
        <v>51</v>
      </c>
      <c r="AD3396" t="s">
        <v>45</v>
      </c>
      <c r="AE3396" s="1">
        <v>25835</v>
      </c>
      <c r="AF3396">
        <v>2</v>
      </c>
      <c r="AG3396" t="s">
        <v>224</v>
      </c>
      <c r="AH3396" s="36">
        <f t="shared" si="53"/>
        <v>48.95</v>
      </c>
      <c r="AI3396" s="41" t="s">
        <v>1780</v>
      </c>
    </row>
    <row r="3397" spans="1:35" x14ac:dyDescent="0.25">
      <c r="A3397" s="36">
        <v>99913395</v>
      </c>
      <c r="B3397" s="17" t="s">
        <v>56</v>
      </c>
      <c r="C3397" t="s">
        <v>52</v>
      </c>
      <c r="D3397" t="s">
        <v>53</v>
      </c>
      <c r="G3397" s="17" t="s">
        <v>48</v>
      </c>
      <c r="H3397" s="17">
        <v>1</v>
      </c>
      <c r="K3397" t="s">
        <v>345</v>
      </c>
      <c r="L3397" t="s">
        <v>346</v>
      </c>
      <c r="M3397" t="s">
        <v>131</v>
      </c>
      <c r="N3397">
        <v>10</v>
      </c>
      <c r="O3397" t="s">
        <v>40</v>
      </c>
      <c r="P3397" t="s">
        <v>40</v>
      </c>
      <c r="Q3397" t="s">
        <v>40</v>
      </c>
      <c r="S3397" t="s">
        <v>40</v>
      </c>
      <c r="V3397" t="s">
        <v>41</v>
      </c>
      <c r="W3397" t="s">
        <v>42</v>
      </c>
      <c r="X3397" t="str">
        <f>"0580605"</f>
        <v>0580605</v>
      </c>
      <c r="Y3397" t="s">
        <v>362</v>
      </c>
      <c r="Z3397" t="s">
        <v>345</v>
      </c>
      <c r="AA3397" t="s">
        <v>346</v>
      </c>
      <c r="AB3397" t="s">
        <v>131</v>
      </c>
      <c r="AC3397" t="s">
        <v>51</v>
      </c>
      <c r="AD3397" t="s">
        <v>45</v>
      </c>
      <c r="AE3397" s="1">
        <v>25835</v>
      </c>
      <c r="AF3397">
        <v>2</v>
      </c>
      <c r="AG3397" t="s">
        <v>346</v>
      </c>
      <c r="AH3397" s="36">
        <f t="shared" si="53"/>
        <v>48.95</v>
      </c>
      <c r="AI3397" s="41" t="s">
        <v>1780</v>
      </c>
    </row>
    <row r="3398" spans="1:35" x14ac:dyDescent="0.25">
      <c r="A3398" s="36">
        <v>99913396</v>
      </c>
      <c r="B3398" s="17" t="s">
        <v>56</v>
      </c>
      <c r="C3398" t="s">
        <v>68</v>
      </c>
      <c r="D3398" t="s">
        <v>69</v>
      </c>
      <c r="G3398" s="17" t="s">
        <v>35</v>
      </c>
      <c r="H3398" s="17">
        <v>1</v>
      </c>
      <c r="K3398" t="s">
        <v>223</v>
      </c>
      <c r="L3398" t="s">
        <v>224</v>
      </c>
      <c r="M3398" t="s">
        <v>131</v>
      </c>
      <c r="N3398">
        <v>25</v>
      </c>
      <c r="O3398" t="s">
        <v>40</v>
      </c>
      <c r="P3398" t="s">
        <v>40</v>
      </c>
      <c r="Q3398" t="s">
        <v>40</v>
      </c>
      <c r="S3398" t="s">
        <v>40</v>
      </c>
      <c r="V3398" t="s">
        <v>41</v>
      </c>
      <c r="W3398" t="s">
        <v>42</v>
      </c>
      <c r="X3398" t="str">
        <f>"0590903"</f>
        <v>0590903</v>
      </c>
      <c r="Y3398" t="s">
        <v>226</v>
      </c>
      <c r="Z3398" t="s">
        <v>223</v>
      </c>
      <c r="AA3398" t="s">
        <v>224</v>
      </c>
      <c r="AB3398" t="s">
        <v>131</v>
      </c>
      <c r="AC3398" t="s">
        <v>51</v>
      </c>
      <c r="AD3398" t="s">
        <v>45</v>
      </c>
      <c r="AE3398" s="1">
        <v>25833</v>
      </c>
      <c r="AF3398">
        <v>2</v>
      </c>
      <c r="AG3398" t="s">
        <v>224</v>
      </c>
      <c r="AH3398" s="36">
        <f t="shared" si="53"/>
        <v>48.955555555555556</v>
      </c>
      <c r="AI3398" s="41" t="s">
        <v>1780</v>
      </c>
    </row>
    <row r="3399" spans="1:35" x14ac:dyDescent="0.25">
      <c r="A3399" s="36">
        <v>99913397</v>
      </c>
      <c r="B3399" s="17" t="s">
        <v>56</v>
      </c>
      <c r="C3399" t="s">
        <v>85</v>
      </c>
      <c r="D3399" t="s">
        <v>86</v>
      </c>
      <c r="G3399" s="17" t="s">
        <v>48</v>
      </c>
      <c r="H3399" s="17">
        <v>1</v>
      </c>
      <c r="K3399" t="s">
        <v>1051</v>
      </c>
      <c r="L3399" t="s">
        <v>1052</v>
      </c>
      <c r="M3399" t="s">
        <v>1053</v>
      </c>
      <c r="N3399">
        <v>13</v>
      </c>
      <c r="O3399" t="s">
        <v>40</v>
      </c>
      <c r="P3399" t="s">
        <v>40</v>
      </c>
      <c r="Q3399" t="s">
        <v>40</v>
      </c>
      <c r="R3399" t="s">
        <v>40</v>
      </c>
      <c r="S3399" t="s">
        <v>40</v>
      </c>
      <c r="V3399" t="s">
        <v>41</v>
      </c>
      <c r="W3399" t="s">
        <v>49</v>
      </c>
      <c r="X3399" t="str">
        <f>"2060004"</f>
        <v>2060004</v>
      </c>
      <c r="Y3399" t="s">
        <v>1059</v>
      </c>
      <c r="Z3399" t="s">
        <v>1051</v>
      </c>
      <c r="AA3399" t="s">
        <v>1052</v>
      </c>
      <c r="AB3399" t="s">
        <v>1053</v>
      </c>
      <c r="AC3399" t="s">
        <v>51</v>
      </c>
      <c r="AD3399" t="s">
        <v>45</v>
      </c>
      <c r="AE3399" s="1">
        <v>25832</v>
      </c>
      <c r="AF3399">
        <v>2</v>
      </c>
      <c r="AG3399" t="s">
        <v>1052</v>
      </c>
      <c r="AH3399" s="36">
        <f t="shared" si="53"/>
        <v>48.958333333333336</v>
      </c>
      <c r="AI3399" s="41" t="s">
        <v>1780</v>
      </c>
    </row>
    <row r="3400" spans="1:35" x14ac:dyDescent="0.25">
      <c r="A3400" s="36">
        <v>99913398</v>
      </c>
      <c r="B3400" s="17" t="s">
        <v>32</v>
      </c>
      <c r="C3400" t="s">
        <v>46</v>
      </c>
      <c r="D3400" t="s">
        <v>47</v>
      </c>
      <c r="G3400" s="17" t="s">
        <v>48</v>
      </c>
      <c r="H3400" s="17">
        <v>1</v>
      </c>
      <c r="K3400" t="s">
        <v>162</v>
      </c>
      <c r="L3400" t="s">
        <v>158</v>
      </c>
      <c r="M3400" t="s">
        <v>131</v>
      </c>
      <c r="N3400">
        <v>23</v>
      </c>
      <c r="O3400" t="s">
        <v>40</v>
      </c>
      <c r="P3400" t="s">
        <v>40</v>
      </c>
      <c r="Q3400" t="s">
        <v>40</v>
      </c>
      <c r="R3400" t="s">
        <v>40</v>
      </c>
      <c r="S3400" t="s">
        <v>40</v>
      </c>
      <c r="V3400" t="s">
        <v>41</v>
      </c>
      <c r="W3400" t="s">
        <v>42</v>
      </c>
      <c r="X3400" t="str">
        <f>"0580310"</f>
        <v>0580310</v>
      </c>
      <c r="Y3400" t="s">
        <v>173</v>
      </c>
      <c r="Z3400" t="s">
        <v>162</v>
      </c>
      <c r="AA3400" t="s">
        <v>158</v>
      </c>
      <c r="AB3400" t="s">
        <v>131</v>
      </c>
      <c r="AC3400" t="s">
        <v>51</v>
      </c>
      <c r="AD3400" t="s">
        <v>45</v>
      </c>
      <c r="AE3400" s="1">
        <v>25824</v>
      </c>
      <c r="AF3400">
        <v>2</v>
      </c>
      <c r="AG3400" t="s">
        <v>158</v>
      </c>
      <c r="AH3400" s="36">
        <f t="shared" si="53"/>
        <v>48.980555555555554</v>
      </c>
      <c r="AI3400" s="41" t="s">
        <v>1780</v>
      </c>
    </row>
    <row r="3401" spans="1:35" x14ac:dyDescent="0.25">
      <c r="A3401" s="36">
        <v>99913399</v>
      </c>
      <c r="B3401" s="17" t="s">
        <v>32</v>
      </c>
      <c r="C3401" t="s">
        <v>46</v>
      </c>
      <c r="D3401" t="s">
        <v>47</v>
      </c>
      <c r="G3401" s="17" t="s">
        <v>35</v>
      </c>
      <c r="H3401" s="17">
        <v>1</v>
      </c>
      <c r="K3401" t="s">
        <v>223</v>
      </c>
      <c r="L3401" t="s">
        <v>224</v>
      </c>
      <c r="M3401" t="s">
        <v>131</v>
      </c>
      <c r="N3401">
        <v>18</v>
      </c>
      <c r="O3401" t="s">
        <v>40</v>
      </c>
      <c r="P3401" t="s">
        <v>40</v>
      </c>
      <c r="Q3401" t="s">
        <v>40</v>
      </c>
      <c r="S3401" t="s">
        <v>40</v>
      </c>
      <c r="V3401" t="s">
        <v>41</v>
      </c>
      <c r="W3401" t="s">
        <v>42</v>
      </c>
      <c r="X3401" t="str">
        <f>"0590901"</f>
        <v>0590901</v>
      </c>
      <c r="Y3401" t="s">
        <v>242</v>
      </c>
      <c r="Z3401" t="s">
        <v>223</v>
      </c>
      <c r="AA3401" t="s">
        <v>224</v>
      </c>
      <c r="AB3401" t="s">
        <v>131</v>
      </c>
      <c r="AC3401" t="s">
        <v>165</v>
      </c>
      <c r="AD3401" t="s">
        <v>45</v>
      </c>
      <c r="AE3401" s="1">
        <v>25822</v>
      </c>
      <c r="AF3401">
        <v>2</v>
      </c>
      <c r="AG3401" t="s">
        <v>224</v>
      </c>
      <c r="AH3401" s="36">
        <f t="shared" si="53"/>
        <v>48.986111111111114</v>
      </c>
      <c r="AI3401" s="41" t="s">
        <v>1780</v>
      </c>
    </row>
    <row r="3402" spans="1:35" x14ac:dyDescent="0.25">
      <c r="A3402" s="36">
        <v>99913400</v>
      </c>
      <c r="B3402" s="17" t="s">
        <v>32</v>
      </c>
      <c r="C3402" t="s">
        <v>46</v>
      </c>
      <c r="D3402" t="s">
        <v>47</v>
      </c>
      <c r="G3402" s="17" t="s">
        <v>48</v>
      </c>
      <c r="H3402" s="17">
        <v>12</v>
      </c>
      <c r="K3402" t="s">
        <v>1268</v>
      </c>
      <c r="L3402" t="s">
        <v>1269</v>
      </c>
      <c r="M3402" t="s">
        <v>1270</v>
      </c>
      <c r="N3402">
        <v>18</v>
      </c>
      <c r="O3402" t="s">
        <v>40</v>
      </c>
      <c r="P3402" t="s">
        <v>40</v>
      </c>
      <c r="Q3402" t="s">
        <v>40</v>
      </c>
      <c r="R3402" t="s">
        <v>40</v>
      </c>
      <c r="S3402" t="s">
        <v>40</v>
      </c>
      <c r="U3402" s="1">
        <v>43344</v>
      </c>
      <c r="V3402" t="s">
        <v>41</v>
      </c>
      <c r="W3402" t="s">
        <v>42</v>
      </c>
      <c r="X3402" t="str">
        <f>"1980055"</f>
        <v>1980055</v>
      </c>
      <c r="Y3402" t="s">
        <v>1285</v>
      </c>
      <c r="Z3402" t="s">
        <v>1268</v>
      </c>
      <c r="AA3402" t="s">
        <v>1269</v>
      </c>
      <c r="AB3402" t="s">
        <v>1270</v>
      </c>
      <c r="AC3402" t="s">
        <v>165</v>
      </c>
      <c r="AD3402" t="s">
        <v>45</v>
      </c>
      <c r="AE3402" s="1">
        <v>25822</v>
      </c>
      <c r="AF3402">
        <v>2</v>
      </c>
      <c r="AG3402" t="s">
        <v>1269</v>
      </c>
      <c r="AH3402" s="36">
        <f t="shared" si="53"/>
        <v>48.986111111111114</v>
      </c>
      <c r="AI3402" s="41" t="s">
        <v>1780</v>
      </c>
    </row>
    <row r="3403" spans="1:35" x14ac:dyDescent="0.25">
      <c r="A3403" s="36">
        <v>99913401</v>
      </c>
      <c r="B3403" s="17" t="s">
        <v>32</v>
      </c>
      <c r="C3403" t="s">
        <v>46</v>
      </c>
      <c r="D3403" t="s">
        <v>47</v>
      </c>
      <c r="G3403" s="17" t="s">
        <v>35</v>
      </c>
      <c r="H3403" s="17">
        <v>1</v>
      </c>
      <c r="I3403">
        <v>0</v>
      </c>
      <c r="J3403" s="1">
        <v>43344</v>
      </c>
      <c r="K3403" t="s">
        <v>223</v>
      </c>
      <c r="L3403" t="s">
        <v>224</v>
      </c>
      <c r="M3403" t="s">
        <v>131</v>
      </c>
      <c r="N3403">
        <v>21</v>
      </c>
      <c r="O3403" t="s">
        <v>40</v>
      </c>
      <c r="S3403" t="s">
        <v>40</v>
      </c>
      <c r="U3403" s="1">
        <v>43344</v>
      </c>
      <c r="V3403" t="s">
        <v>41</v>
      </c>
      <c r="W3403" t="s">
        <v>42</v>
      </c>
      <c r="X3403" t="str">
        <f>"0580206"</f>
        <v>0580206</v>
      </c>
      <c r="Y3403" t="s">
        <v>237</v>
      </c>
      <c r="Z3403" t="s">
        <v>223</v>
      </c>
      <c r="AA3403" t="s">
        <v>224</v>
      </c>
      <c r="AB3403" t="s">
        <v>131</v>
      </c>
      <c r="AC3403" t="s">
        <v>51</v>
      </c>
      <c r="AD3403" t="s">
        <v>45</v>
      </c>
      <c r="AE3403" s="1">
        <v>25817</v>
      </c>
      <c r="AF3403">
        <v>2</v>
      </c>
      <c r="AG3403" t="s">
        <v>224</v>
      </c>
      <c r="AH3403" s="36">
        <f t="shared" si="53"/>
        <v>49</v>
      </c>
      <c r="AI3403" s="41" t="s">
        <v>1780</v>
      </c>
    </row>
    <row r="3404" spans="1:35" x14ac:dyDescent="0.25">
      <c r="A3404" s="36">
        <v>99913402</v>
      </c>
      <c r="B3404" s="17" t="s">
        <v>32</v>
      </c>
      <c r="C3404" t="s">
        <v>68</v>
      </c>
      <c r="D3404" t="s">
        <v>69</v>
      </c>
      <c r="G3404" s="17" t="s">
        <v>48</v>
      </c>
      <c r="H3404" s="17">
        <v>1</v>
      </c>
      <c r="K3404" t="s">
        <v>223</v>
      </c>
      <c r="L3404" t="s">
        <v>224</v>
      </c>
      <c r="M3404" t="s">
        <v>131</v>
      </c>
      <c r="N3404">
        <v>20</v>
      </c>
      <c r="O3404" t="s">
        <v>40</v>
      </c>
      <c r="P3404" t="s">
        <v>40</v>
      </c>
      <c r="Q3404" t="s">
        <v>40</v>
      </c>
      <c r="S3404" t="s">
        <v>40</v>
      </c>
      <c r="V3404" t="s">
        <v>41</v>
      </c>
      <c r="W3404" t="s">
        <v>49</v>
      </c>
      <c r="X3404" t="str">
        <f>"0581202"</f>
        <v>0581202</v>
      </c>
      <c r="Y3404" t="s">
        <v>248</v>
      </c>
      <c r="Z3404" t="s">
        <v>223</v>
      </c>
      <c r="AA3404" t="s">
        <v>224</v>
      </c>
      <c r="AB3404" t="s">
        <v>131</v>
      </c>
      <c r="AC3404" t="s">
        <v>51</v>
      </c>
      <c r="AD3404" t="s">
        <v>45</v>
      </c>
      <c r="AE3404" s="1">
        <v>25812</v>
      </c>
      <c r="AF3404">
        <v>2</v>
      </c>
      <c r="AG3404" t="s">
        <v>224</v>
      </c>
      <c r="AH3404" s="36">
        <f t="shared" si="53"/>
        <v>49.013888888888886</v>
      </c>
      <c r="AI3404" s="41" t="s">
        <v>1780</v>
      </c>
    </row>
    <row r="3405" spans="1:35" x14ac:dyDescent="0.25">
      <c r="A3405" s="36">
        <v>99913403</v>
      </c>
      <c r="B3405" s="17" t="s">
        <v>32</v>
      </c>
      <c r="C3405" t="s">
        <v>79</v>
      </c>
      <c r="D3405" t="s">
        <v>80</v>
      </c>
      <c r="G3405" s="17" t="s">
        <v>35</v>
      </c>
      <c r="H3405" s="17">
        <v>1</v>
      </c>
      <c r="K3405" t="s">
        <v>947</v>
      </c>
      <c r="L3405" t="s">
        <v>948</v>
      </c>
      <c r="M3405" t="s">
        <v>938</v>
      </c>
      <c r="N3405">
        <v>20</v>
      </c>
      <c r="O3405" t="s">
        <v>40</v>
      </c>
      <c r="P3405" t="s">
        <v>40</v>
      </c>
      <c r="Q3405" t="s">
        <v>40</v>
      </c>
      <c r="R3405" t="s">
        <v>40</v>
      </c>
      <c r="S3405" t="s">
        <v>40</v>
      </c>
      <c r="V3405" t="s">
        <v>41</v>
      </c>
      <c r="W3405" t="s">
        <v>49</v>
      </c>
      <c r="X3405" t="str">
        <f>"0605000"</f>
        <v>0605000</v>
      </c>
      <c r="Y3405" t="s">
        <v>950</v>
      </c>
      <c r="Z3405" t="s">
        <v>947</v>
      </c>
      <c r="AA3405" t="s">
        <v>948</v>
      </c>
      <c r="AB3405" t="s">
        <v>938</v>
      </c>
      <c r="AC3405" t="s">
        <v>51</v>
      </c>
      <c r="AD3405" t="s">
        <v>45</v>
      </c>
      <c r="AE3405" s="1">
        <v>25812</v>
      </c>
      <c r="AF3405">
        <v>2</v>
      </c>
      <c r="AG3405" t="s">
        <v>948</v>
      </c>
      <c r="AH3405" s="36">
        <f t="shared" si="53"/>
        <v>49.013888888888886</v>
      </c>
      <c r="AI3405" s="41" t="s">
        <v>1780</v>
      </c>
    </row>
    <row r="3406" spans="1:35" x14ac:dyDescent="0.25">
      <c r="A3406" s="36">
        <v>99913404</v>
      </c>
      <c r="B3406" s="17" t="s">
        <v>32</v>
      </c>
      <c r="C3406" t="s">
        <v>33</v>
      </c>
      <c r="D3406" t="s">
        <v>34</v>
      </c>
      <c r="G3406" s="17" t="s">
        <v>35</v>
      </c>
      <c r="H3406" s="17">
        <v>1</v>
      </c>
      <c r="I3406" t="s">
        <v>1063</v>
      </c>
      <c r="J3406" s="1">
        <v>43344</v>
      </c>
      <c r="K3406" t="s">
        <v>1051</v>
      </c>
      <c r="L3406" t="s">
        <v>1052</v>
      </c>
      <c r="M3406" t="s">
        <v>1053</v>
      </c>
      <c r="N3406">
        <v>18</v>
      </c>
      <c r="O3406" t="s">
        <v>40</v>
      </c>
      <c r="P3406" t="s">
        <v>40</v>
      </c>
      <c r="Q3406" t="s">
        <v>40</v>
      </c>
      <c r="R3406" t="s">
        <v>40</v>
      </c>
      <c r="S3406" t="s">
        <v>40</v>
      </c>
      <c r="U3406" s="1">
        <v>43344</v>
      </c>
      <c r="V3406" t="s">
        <v>41</v>
      </c>
      <c r="W3406" t="s">
        <v>42</v>
      </c>
      <c r="X3406" t="str">
        <f>"2061001"</f>
        <v>2061001</v>
      </c>
      <c r="Y3406" t="s">
        <v>1058</v>
      </c>
      <c r="Z3406" t="s">
        <v>1051</v>
      </c>
      <c r="AA3406" t="s">
        <v>1052</v>
      </c>
      <c r="AB3406" t="s">
        <v>1053</v>
      </c>
      <c r="AC3406" t="s">
        <v>51</v>
      </c>
      <c r="AD3406" t="s">
        <v>45</v>
      </c>
      <c r="AE3406" s="1">
        <v>25809</v>
      </c>
      <c r="AF3406">
        <v>2</v>
      </c>
      <c r="AG3406" t="s">
        <v>1052</v>
      </c>
      <c r="AH3406" s="36">
        <f t="shared" si="53"/>
        <v>49.022222222222226</v>
      </c>
      <c r="AI3406" s="41" t="s">
        <v>1780</v>
      </c>
    </row>
    <row r="3407" spans="1:35" x14ac:dyDescent="0.25">
      <c r="A3407" s="36">
        <v>99913405</v>
      </c>
      <c r="B3407" s="17" t="s">
        <v>32</v>
      </c>
      <c r="C3407" t="s">
        <v>85</v>
      </c>
      <c r="D3407" t="s">
        <v>86</v>
      </c>
      <c r="G3407" s="17" t="s">
        <v>35</v>
      </c>
      <c r="H3407" s="17">
        <v>1</v>
      </c>
      <c r="K3407" t="s">
        <v>1051</v>
      </c>
      <c r="L3407" t="s">
        <v>1052</v>
      </c>
      <c r="M3407" t="s">
        <v>1053</v>
      </c>
      <c r="N3407">
        <v>23</v>
      </c>
      <c r="O3407" t="s">
        <v>40</v>
      </c>
      <c r="P3407" t="s">
        <v>40</v>
      </c>
      <c r="Q3407" t="s">
        <v>40</v>
      </c>
      <c r="R3407" t="s">
        <v>40</v>
      </c>
      <c r="S3407" t="s">
        <v>40</v>
      </c>
      <c r="V3407" t="s">
        <v>41</v>
      </c>
      <c r="W3407" t="s">
        <v>49</v>
      </c>
      <c r="X3407" t="str">
        <f>"2060005"</f>
        <v>2060005</v>
      </c>
      <c r="Y3407" t="s">
        <v>1054</v>
      </c>
      <c r="Z3407" t="s">
        <v>1051</v>
      </c>
      <c r="AA3407" t="s">
        <v>1052</v>
      </c>
      <c r="AB3407" t="s">
        <v>1053</v>
      </c>
      <c r="AC3407" t="s">
        <v>51</v>
      </c>
      <c r="AD3407" t="s">
        <v>45</v>
      </c>
      <c r="AE3407" s="1">
        <v>25807</v>
      </c>
      <c r="AF3407">
        <v>2</v>
      </c>
      <c r="AG3407" t="s">
        <v>1052</v>
      </c>
      <c r="AH3407" s="36">
        <f t="shared" si="53"/>
        <v>49.027777777777779</v>
      </c>
      <c r="AI3407" s="41" t="s">
        <v>1780</v>
      </c>
    </row>
    <row r="3408" spans="1:35" x14ac:dyDescent="0.25">
      <c r="A3408" s="36">
        <v>99913406</v>
      </c>
      <c r="B3408" s="17" t="s">
        <v>32</v>
      </c>
      <c r="C3408" t="s">
        <v>46</v>
      </c>
      <c r="D3408" t="s">
        <v>47</v>
      </c>
      <c r="G3408" s="17" t="s">
        <v>48</v>
      </c>
      <c r="H3408" s="17">
        <v>1</v>
      </c>
      <c r="K3408" t="s">
        <v>300</v>
      </c>
      <c r="L3408" t="s">
        <v>301</v>
      </c>
      <c r="M3408" t="s">
        <v>131</v>
      </c>
      <c r="N3408">
        <v>8</v>
      </c>
      <c r="O3408" t="s">
        <v>40</v>
      </c>
      <c r="P3408" t="s">
        <v>40</v>
      </c>
      <c r="Q3408" t="s">
        <v>40</v>
      </c>
      <c r="R3408" t="s">
        <v>40</v>
      </c>
      <c r="S3408" t="s">
        <v>40</v>
      </c>
      <c r="V3408" t="s">
        <v>41</v>
      </c>
      <c r="W3408" t="s">
        <v>42</v>
      </c>
      <c r="X3408" t="str">
        <f>"0580175"</f>
        <v>0580175</v>
      </c>
      <c r="Y3408" t="s">
        <v>303</v>
      </c>
      <c r="Z3408" t="s">
        <v>300</v>
      </c>
      <c r="AA3408" t="s">
        <v>301</v>
      </c>
      <c r="AB3408" t="s">
        <v>131</v>
      </c>
      <c r="AC3408" t="s">
        <v>51</v>
      </c>
      <c r="AD3408" t="s">
        <v>45</v>
      </c>
      <c r="AE3408" s="1">
        <v>25806</v>
      </c>
      <c r="AF3408">
        <v>2</v>
      </c>
      <c r="AG3408" t="s">
        <v>301</v>
      </c>
      <c r="AH3408" s="36">
        <f t="shared" si="53"/>
        <v>49.030555555555559</v>
      </c>
      <c r="AI3408" s="41" t="s">
        <v>1780</v>
      </c>
    </row>
    <row r="3409" spans="1:35" x14ac:dyDescent="0.25">
      <c r="A3409" s="36">
        <v>99913407</v>
      </c>
      <c r="B3409" s="17" t="s">
        <v>32</v>
      </c>
      <c r="C3409" t="s">
        <v>46</v>
      </c>
      <c r="D3409" t="s">
        <v>47</v>
      </c>
      <c r="G3409" s="17" t="s">
        <v>35</v>
      </c>
      <c r="H3409" s="17">
        <v>1</v>
      </c>
      <c r="K3409" t="s">
        <v>300</v>
      </c>
      <c r="L3409" t="s">
        <v>301</v>
      </c>
      <c r="M3409" t="s">
        <v>131</v>
      </c>
      <c r="N3409">
        <v>9</v>
      </c>
      <c r="O3409" t="s">
        <v>40</v>
      </c>
      <c r="P3409" t="s">
        <v>40</v>
      </c>
      <c r="Q3409" t="s">
        <v>40</v>
      </c>
      <c r="R3409" t="s">
        <v>40</v>
      </c>
      <c r="S3409" t="s">
        <v>40</v>
      </c>
      <c r="V3409" t="s">
        <v>41</v>
      </c>
      <c r="W3409" t="s">
        <v>42</v>
      </c>
      <c r="X3409" t="str">
        <f>"0580023"</f>
        <v>0580023</v>
      </c>
      <c r="Y3409" t="s">
        <v>313</v>
      </c>
      <c r="Z3409" t="s">
        <v>300</v>
      </c>
      <c r="AA3409" t="s">
        <v>301</v>
      </c>
      <c r="AB3409" t="s">
        <v>131</v>
      </c>
      <c r="AC3409" t="s">
        <v>165</v>
      </c>
      <c r="AD3409" t="s">
        <v>45</v>
      </c>
      <c r="AE3409" s="1">
        <v>25800</v>
      </c>
      <c r="AF3409">
        <v>2</v>
      </c>
      <c r="AG3409" t="s">
        <v>301</v>
      </c>
      <c r="AH3409" s="36">
        <f t="shared" si="53"/>
        <v>49.047222222222224</v>
      </c>
      <c r="AI3409" s="41" t="s">
        <v>1780</v>
      </c>
    </row>
    <row r="3410" spans="1:35" x14ac:dyDescent="0.25">
      <c r="A3410" s="36">
        <v>99913408</v>
      </c>
      <c r="B3410" s="17" t="s">
        <v>32</v>
      </c>
      <c r="C3410" t="s">
        <v>46</v>
      </c>
      <c r="D3410" t="s">
        <v>47</v>
      </c>
      <c r="G3410" s="17" t="s">
        <v>48</v>
      </c>
      <c r="H3410" s="17">
        <v>1</v>
      </c>
      <c r="K3410" t="s">
        <v>1128</v>
      </c>
      <c r="L3410" t="s">
        <v>1129</v>
      </c>
      <c r="M3410" t="s">
        <v>1130</v>
      </c>
      <c r="N3410">
        <v>20</v>
      </c>
      <c r="O3410" t="s">
        <v>40</v>
      </c>
      <c r="P3410" t="s">
        <v>40</v>
      </c>
      <c r="Q3410" t="s">
        <v>40</v>
      </c>
      <c r="R3410" t="s">
        <v>40</v>
      </c>
      <c r="S3410" t="s">
        <v>40</v>
      </c>
      <c r="V3410" t="s">
        <v>41</v>
      </c>
      <c r="W3410" t="s">
        <v>49</v>
      </c>
      <c r="X3410" t="str">
        <f>"3181015"</f>
        <v>3181015</v>
      </c>
      <c r="Y3410" t="s">
        <v>1131</v>
      </c>
      <c r="Z3410" t="s">
        <v>1128</v>
      </c>
      <c r="AA3410" t="s">
        <v>1129</v>
      </c>
      <c r="AB3410" t="s">
        <v>1130</v>
      </c>
      <c r="AC3410" t="s">
        <v>51</v>
      </c>
      <c r="AD3410" t="s">
        <v>45</v>
      </c>
      <c r="AE3410" s="1">
        <v>25799</v>
      </c>
      <c r="AF3410">
        <v>2</v>
      </c>
      <c r="AG3410" t="s">
        <v>1129</v>
      </c>
      <c r="AH3410" s="36">
        <f t="shared" si="53"/>
        <v>49.05</v>
      </c>
      <c r="AI3410" s="41" t="s">
        <v>1780</v>
      </c>
    </row>
    <row r="3411" spans="1:35" x14ac:dyDescent="0.25">
      <c r="A3411" s="36">
        <v>99913409</v>
      </c>
      <c r="B3411" s="17" t="s">
        <v>32</v>
      </c>
      <c r="C3411" t="s">
        <v>71</v>
      </c>
      <c r="D3411" t="s">
        <v>72</v>
      </c>
      <c r="G3411" s="17" t="s">
        <v>48</v>
      </c>
      <c r="H3411" s="17">
        <v>1</v>
      </c>
      <c r="K3411" t="s">
        <v>223</v>
      </c>
      <c r="L3411" t="s">
        <v>224</v>
      </c>
      <c r="M3411" t="s">
        <v>131</v>
      </c>
      <c r="N3411">
        <v>13</v>
      </c>
      <c r="O3411" t="s">
        <v>40</v>
      </c>
      <c r="P3411" t="s">
        <v>40</v>
      </c>
      <c r="Q3411" t="s">
        <v>40</v>
      </c>
      <c r="R3411" t="s">
        <v>40</v>
      </c>
      <c r="S3411" t="s">
        <v>40</v>
      </c>
      <c r="V3411" t="s">
        <v>41</v>
      </c>
      <c r="W3411" t="s">
        <v>49</v>
      </c>
      <c r="X3411" t="str">
        <f>"0509999"</f>
        <v>0509999</v>
      </c>
      <c r="Y3411" t="s">
        <v>247</v>
      </c>
      <c r="Z3411" t="s">
        <v>223</v>
      </c>
      <c r="AA3411" t="s">
        <v>224</v>
      </c>
      <c r="AB3411" t="s">
        <v>131</v>
      </c>
      <c r="AC3411" t="s">
        <v>51</v>
      </c>
      <c r="AD3411" t="s">
        <v>45</v>
      </c>
      <c r="AE3411" s="1">
        <v>25793</v>
      </c>
      <c r="AF3411">
        <v>2</v>
      </c>
      <c r="AG3411" t="s">
        <v>224</v>
      </c>
      <c r="AH3411" s="36">
        <f t="shared" si="53"/>
        <v>49.06666666666667</v>
      </c>
      <c r="AI3411" s="41" t="s">
        <v>1780</v>
      </c>
    </row>
    <row r="3412" spans="1:35" x14ac:dyDescent="0.25">
      <c r="A3412" s="36">
        <v>99913410</v>
      </c>
      <c r="B3412" s="17" t="s">
        <v>56</v>
      </c>
      <c r="C3412" t="s">
        <v>90</v>
      </c>
      <c r="D3412" t="s">
        <v>91</v>
      </c>
      <c r="G3412" s="17" t="s">
        <v>35</v>
      </c>
      <c r="H3412" s="17">
        <v>1</v>
      </c>
      <c r="K3412" t="s">
        <v>431</v>
      </c>
      <c r="L3412" t="s">
        <v>196</v>
      </c>
      <c r="M3412" t="s">
        <v>131</v>
      </c>
      <c r="N3412">
        <v>23</v>
      </c>
      <c r="O3412" t="s">
        <v>40</v>
      </c>
      <c r="P3412" t="s">
        <v>40</v>
      </c>
      <c r="Q3412" t="s">
        <v>40</v>
      </c>
      <c r="S3412" t="s">
        <v>40</v>
      </c>
      <c r="V3412" t="s">
        <v>41</v>
      </c>
      <c r="W3412" t="s">
        <v>75</v>
      </c>
      <c r="X3412" t="str">
        <f>"7521032"</f>
        <v>7521032</v>
      </c>
      <c r="Y3412" t="s">
        <v>462</v>
      </c>
      <c r="Z3412" t="s">
        <v>431</v>
      </c>
      <c r="AA3412" t="s">
        <v>196</v>
      </c>
      <c r="AB3412" t="s">
        <v>131</v>
      </c>
      <c r="AC3412" t="s">
        <v>51</v>
      </c>
      <c r="AD3412" t="s">
        <v>45</v>
      </c>
      <c r="AE3412" s="1">
        <v>25793</v>
      </c>
      <c r="AF3412">
        <v>1</v>
      </c>
      <c r="AG3412" t="s">
        <v>196</v>
      </c>
      <c r="AH3412" s="36">
        <f t="shared" si="53"/>
        <v>49.06666666666667</v>
      </c>
      <c r="AI3412" s="41" t="s">
        <v>1780</v>
      </c>
    </row>
    <row r="3413" spans="1:35" x14ac:dyDescent="0.25">
      <c r="A3413" s="36">
        <v>99913411</v>
      </c>
      <c r="B3413" s="17" t="s">
        <v>32</v>
      </c>
      <c r="C3413" t="s">
        <v>141</v>
      </c>
      <c r="D3413" t="s">
        <v>142</v>
      </c>
      <c r="G3413" s="17" t="s">
        <v>48</v>
      </c>
      <c r="H3413" s="17">
        <v>8</v>
      </c>
      <c r="K3413" t="s">
        <v>1268</v>
      </c>
      <c r="L3413" t="s">
        <v>1269</v>
      </c>
      <c r="M3413" t="s">
        <v>1270</v>
      </c>
      <c r="N3413">
        <v>20</v>
      </c>
      <c r="O3413" t="s">
        <v>40</v>
      </c>
      <c r="P3413" t="s">
        <v>40</v>
      </c>
      <c r="Q3413" t="s">
        <v>40</v>
      </c>
      <c r="R3413" t="s">
        <v>40</v>
      </c>
      <c r="S3413" t="s">
        <v>40</v>
      </c>
      <c r="U3413" s="1">
        <v>43344</v>
      </c>
      <c r="V3413" t="s">
        <v>41</v>
      </c>
      <c r="W3413" t="s">
        <v>49</v>
      </c>
      <c r="X3413" t="str">
        <f>"1981055"</f>
        <v>1981055</v>
      </c>
      <c r="Y3413" t="s">
        <v>1280</v>
      </c>
      <c r="Z3413" t="s">
        <v>1268</v>
      </c>
      <c r="AA3413" t="s">
        <v>1269</v>
      </c>
      <c r="AB3413" t="s">
        <v>1270</v>
      </c>
      <c r="AC3413" t="s">
        <v>165</v>
      </c>
      <c r="AD3413" t="s">
        <v>45</v>
      </c>
      <c r="AE3413" s="1">
        <v>25793</v>
      </c>
      <c r="AF3413">
        <v>2</v>
      </c>
      <c r="AG3413" t="s">
        <v>1269</v>
      </c>
      <c r="AH3413" s="36">
        <f t="shared" si="53"/>
        <v>49.06666666666667</v>
      </c>
      <c r="AI3413" s="41" t="s">
        <v>1780</v>
      </c>
    </row>
    <row r="3414" spans="1:35" x14ac:dyDescent="0.25">
      <c r="A3414" s="36">
        <v>99913412</v>
      </c>
      <c r="B3414" s="17" t="s">
        <v>32</v>
      </c>
      <c r="C3414" t="s">
        <v>46</v>
      </c>
      <c r="D3414" t="s">
        <v>47</v>
      </c>
      <c r="G3414" s="17" t="s">
        <v>48</v>
      </c>
      <c r="H3414" s="17">
        <v>1</v>
      </c>
      <c r="K3414" t="s">
        <v>162</v>
      </c>
      <c r="L3414" t="s">
        <v>158</v>
      </c>
      <c r="M3414" t="s">
        <v>131</v>
      </c>
      <c r="N3414">
        <v>20</v>
      </c>
      <c r="O3414" t="s">
        <v>40</v>
      </c>
      <c r="P3414" t="s">
        <v>40</v>
      </c>
      <c r="Q3414" t="s">
        <v>40</v>
      </c>
      <c r="S3414" t="s">
        <v>40</v>
      </c>
      <c r="V3414" t="s">
        <v>41</v>
      </c>
      <c r="W3414" t="s">
        <v>42</v>
      </c>
      <c r="X3414" t="str">
        <f>"0580320"</f>
        <v>0580320</v>
      </c>
      <c r="Y3414" t="s">
        <v>164</v>
      </c>
      <c r="Z3414" t="s">
        <v>162</v>
      </c>
      <c r="AA3414" t="s">
        <v>158</v>
      </c>
      <c r="AB3414" t="s">
        <v>131</v>
      </c>
      <c r="AC3414" t="s">
        <v>165</v>
      </c>
      <c r="AD3414" t="s">
        <v>45</v>
      </c>
      <c r="AE3414" s="1">
        <v>25785</v>
      </c>
      <c r="AF3414">
        <v>2</v>
      </c>
      <c r="AG3414" t="s">
        <v>158</v>
      </c>
      <c r="AH3414" s="36">
        <f t="shared" si="53"/>
        <v>49.088888888888889</v>
      </c>
      <c r="AI3414" s="41" t="s">
        <v>1780</v>
      </c>
    </row>
    <row r="3415" spans="1:35" x14ac:dyDescent="0.25">
      <c r="A3415" s="36">
        <v>99913413</v>
      </c>
      <c r="B3415" s="17" t="s">
        <v>32</v>
      </c>
      <c r="C3415" t="s">
        <v>111</v>
      </c>
      <c r="D3415" t="s">
        <v>112</v>
      </c>
      <c r="G3415" s="17" t="s">
        <v>35</v>
      </c>
      <c r="H3415" s="17">
        <v>1</v>
      </c>
      <c r="K3415" t="s">
        <v>268</v>
      </c>
      <c r="L3415" t="s">
        <v>269</v>
      </c>
      <c r="M3415" t="s">
        <v>131</v>
      </c>
      <c r="N3415">
        <v>22</v>
      </c>
      <c r="O3415" t="s">
        <v>40</v>
      </c>
      <c r="P3415" t="s">
        <v>40</v>
      </c>
      <c r="Q3415" t="s">
        <v>40</v>
      </c>
      <c r="S3415" t="s">
        <v>40</v>
      </c>
      <c r="V3415" t="s">
        <v>41</v>
      </c>
      <c r="W3415" t="s">
        <v>75</v>
      </c>
      <c r="X3415" t="str">
        <f>"7052008"</f>
        <v>7052008</v>
      </c>
      <c r="Y3415" t="s">
        <v>274</v>
      </c>
      <c r="Z3415" t="s">
        <v>268</v>
      </c>
      <c r="AA3415" t="s">
        <v>269</v>
      </c>
      <c r="AB3415" t="s">
        <v>131</v>
      </c>
      <c r="AC3415" t="s">
        <v>51</v>
      </c>
      <c r="AD3415" t="s">
        <v>45</v>
      </c>
      <c r="AE3415" s="1">
        <v>25784</v>
      </c>
      <c r="AF3415">
        <v>1</v>
      </c>
      <c r="AG3415" t="s">
        <v>269</v>
      </c>
      <c r="AH3415" s="36">
        <f t="shared" si="53"/>
        <v>49.091666666666669</v>
      </c>
      <c r="AI3415" s="41" t="s">
        <v>1780</v>
      </c>
    </row>
    <row r="3416" spans="1:35" x14ac:dyDescent="0.25">
      <c r="A3416" s="36">
        <v>99913414</v>
      </c>
      <c r="B3416" s="17" t="s">
        <v>32</v>
      </c>
      <c r="C3416" t="s">
        <v>111</v>
      </c>
      <c r="D3416" t="s">
        <v>112</v>
      </c>
      <c r="G3416" s="17" t="s">
        <v>48</v>
      </c>
      <c r="H3416" s="17">
        <v>7</v>
      </c>
      <c r="I3416" t="s">
        <v>518</v>
      </c>
      <c r="J3416" s="1">
        <v>39692</v>
      </c>
      <c r="K3416" t="s">
        <v>431</v>
      </c>
      <c r="L3416" t="s">
        <v>196</v>
      </c>
      <c r="M3416" t="s">
        <v>131</v>
      </c>
      <c r="N3416">
        <v>22</v>
      </c>
      <c r="O3416" t="s">
        <v>40</v>
      </c>
      <c r="P3416" t="s">
        <v>40</v>
      </c>
      <c r="Q3416" t="s">
        <v>40</v>
      </c>
      <c r="R3416" t="s">
        <v>40</v>
      </c>
      <c r="S3416" t="s">
        <v>40</v>
      </c>
      <c r="U3416" s="1">
        <v>39692</v>
      </c>
      <c r="V3416" t="s">
        <v>41</v>
      </c>
      <c r="W3416" t="s">
        <v>75</v>
      </c>
      <c r="X3416" t="str">
        <f>"7521022"</f>
        <v>7521022</v>
      </c>
      <c r="Y3416" t="s">
        <v>445</v>
      </c>
      <c r="Z3416" t="s">
        <v>431</v>
      </c>
      <c r="AA3416" t="s">
        <v>196</v>
      </c>
      <c r="AB3416" t="s">
        <v>131</v>
      </c>
      <c r="AC3416" t="s">
        <v>51</v>
      </c>
      <c r="AD3416" t="s">
        <v>45</v>
      </c>
      <c r="AE3416" s="1">
        <v>25783</v>
      </c>
      <c r="AF3416">
        <v>1</v>
      </c>
      <c r="AG3416" t="s">
        <v>196</v>
      </c>
      <c r="AH3416" s="36">
        <f t="shared" si="53"/>
        <v>49.094444444444441</v>
      </c>
      <c r="AI3416" s="41" t="s">
        <v>1780</v>
      </c>
    </row>
    <row r="3417" spans="1:35" x14ac:dyDescent="0.25">
      <c r="A3417" s="36">
        <v>99913415</v>
      </c>
      <c r="B3417" s="17" t="s">
        <v>32</v>
      </c>
      <c r="C3417" t="s">
        <v>111</v>
      </c>
      <c r="D3417" t="s">
        <v>112</v>
      </c>
      <c r="G3417" s="17" t="s">
        <v>48</v>
      </c>
      <c r="H3417" s="17">
        <v>11</v>
      </c>
      <c r="K3417" t="s">
        <v>354</v>
      </c>
      <c r="L3417" t="s">
        <v>355</v>
      </c>
      <c r="M3417" t="s">
        <v>131</v>
      </c>
      <c r="N3417">
        <v>22</v>
      </c>
      <c r="O3417" t="s">
        <v>40</v>
      </c>
      <c r="P3417" t="s">
        <v>40</v>
      </c>
      <c r="Q3417" t="s">
        <v>40</v>
      </c>
      <c r="R3417" t="s">
        <v>40</v>
      </c>
      <c r="S3417" t="s">
        <v>40</v>
      </c>
      <c r="V3417" t="s">
        <v>41</v>
      </c>
      <c r="W3417" t="s">
        <v>75</v>
      </c>
      <c r="X3417" t="str">
        <f>"7054020"</f>
        <v>7054020</v>
      </c>
      <c r="Y3417" t="s">
        <v>765</v>
      </c>
      <c r="Z3417" t="s">
        <v>354</v>
      </c>
      <c r="AA3417" t="s">
        <v>355</v>
      </c>
      <c r="AB3417" t="s">
        <v>131</v>
      </c>
      <c r="AC3417" t="s">
        <v>51</v>
      </c>
      <c r="AD3417" t="s">
        <v>45</v>
      </c>
      <c r="AE3417" s="1">
        <v>25780</v>
      </c>
      <c r="AF3417">
        <v>1</v>
      </c>
      <c r="AG3417" t="s">
        <v>355</v>
      </c>
      <c r="AH3417" s="36">
        <f t="shared" si="53"/>
        <v>49.102777777777774</v>
      </c>
      <c r="AI3417" s="41" t="s">
        <v>1780</v>
      </c>
    </row>
    <row r="3418" spans="1:35" x14ac:dyDescent="0.25">
      <c r="A3418" s="36">
        <v>99913416</v>
      </c>
      <c r="B3418" s="17" t="s">
        <v>32</v>
      </c>
      <c r="C3418" t="s">
        <v>46</v>
      </c>
      <c r="D3418" t="s">
        <v>47</v>
      </c>
      <c r="G3418" s="17" t="s">
        <v>48</v>
      </c>
      <c r="H3418" s="17">
        <v>1</v>
      </c>
      <c r="K3418" t="s">
        <v>1268</v>
      </c>
      <c r="L3418" t="s">
        <v>1269</v>
      </c>
      <c r="M3418" t="s">
        <v>1270</v>
      </c>
      <c r="N3418">
        <v>30</v>
      </c>
      <c r="O3418" t="s">
        <v>40</v>
      </c>
      <c r="P3418" t="s">
        <v>40</v>
      </c>
      <c r="Q3418" t="s">
        <v>40</v>
      </c>
      <c r="S3418" t="s">
        <v>40</v>
      </c>
      <c r="V3418" t="s">
        <v>41</v>
      </c>
      <c r="W3418" t="s">
        <v>42</v>
      </c>
      <c r="X3418" t="str">
        <f>"1980050"</f>
        <v>1980050</v>
      </c>
      <c r="Y3418" t="s">
        <v>1278</v>
      </c>
      <c r="Z3418" t="s">
        <v>1268</v>
      </c>
      <c r="AA3418" t="s">
        <v>1269</v>
      </c>
      <c r="AB3418" t="s">
        <v>1270</v>
      </c>
      <c r="AC3418" t="s">
        <v>51</v>
      </c>
      <c r="AD3418" t="s">
        <v>45</v>
      </c>
      <c r="AE3418" s="1">
        <v>25779</v>
      </c>
      <c r="AF3418">
        <v>2</v>
      </c>
      <c r="AG3418" t="s">
        <v>1269</v>
      </c>
      <c r="AH3418" s="36">
        <f t="shared" si="53"/>
        <v>49.105555555555554</v>
      </c>
      <c r="AI3418" s="41" t="s">
        <v>1780</v>
      </c>
    </row>
    <row r="3419" spans="1:35" x14ac:dyDescent="0.25">
      <c r="A3419" s="36">
        <v>99913417</v>
      </c>
      <c r="B3419" s="17" t="s">
        <v>32</v>
      </c>
      <c r="C3419" t="s">
        <v>46</v>
      </c>
      <c r="D3419" t="s">
        <v>47</v>
      </c>
      <c r="G3419" s="17" t="s">
        <v>48</v>
      </c>
      <c r="H3419" s="17">
        <v>1</v>
      </c>
      <c r="K3419" t="s">
        <v>223</v>
      </c>
      <c r="L3419" t="s">
        <v>224</v>
      </c>
      <c r="M3419" t="s">
        <v>131</v>
      </c>
      <c r="N3419">
        <v>20</v>
      </c>
      <c r="O3419" t="s">
        <v>40</v>
      </c>
      <c r="P3419" t="s">
        <v>40</v>
      </c>
      <c r="Q3419" t="s">
        <v>40</v>
      </c>
      <c r="S3419" t="s">
        <v>40</v>
      </c>
      <c r="V3419" t="s">
        <v>41</v>
      </c>
      <c r="W3419" t="s">
        <v>42</v>
      </c>
      <c r="X3419" t="str">
        <f>"0580204"</f>
        <v>0580204</v>
      </c>
      <c r="Y3419" t="s">
        <v>235</v>
      </c>
      <c r="Z3419" t="s">
        <v>223</v>
      </c>
      <c r="AA3419" t="s">
        <v>224</v>
      </c>
      <c r="AB3419" t="s">
        <v>131</v>
      </c>
      <c r="AC3419" t="s">
        <v>165</v>
      </c>
      <c r="AD3419" t="s">
        <v>45</v>
      </c>
      <c r="AE3419" s="1">
        <v>25778</v>
      </c>
      <c r="AF3419">
        <v>2</v>
      </c>
      <c r="AG3419" t="s">
        <v>224</v>
      </c>
      <c r="AH3419" s="36">
        <f t="shared" si="53"/>
        <v>49.108333333333334</v>
      </c>
      <c r="AI3419" s="41" t="s">
        <v>1780</v>
      </c>
    </row>
    <row r="3420" spans="1:35" x14ac:dyDescent="0.25">
      <c r="A3420" s="36">
        <v>99913418</v>
      </c>
      <c r="B3420" s="17" t="s">
        <v>56</v>
      </c>
      <c r="C3420" t="s">
        <v>68</v>
      </c>
      <c r="D3420" t="s">
        <v>69</v>
      </c>
      <c r="G3420" s="17" t="s">
        <v>48</v>
      </c>
      <c r="H3420" s="17">
        <v>1</v>
      </c>
      <c r="K3420" t="s">
        <v>1268</v>
      </c>
      <c r="L3420" t="s">
        <v>1269</v>
      </c>
      <c r="M3420" t="s">
        <v>1270</v>
      </c>
      <c r="N3420">
        <v>20</v>
      </c>
      <c r="O3420" t="s">
        <v>40</v>
      </c>
      <c r="P3420" t="s">
        <v>40</v>
      </c>
      <c r="Q3420" t="s">
        <v>40</v>
      </c>
      <c r="R3420" t="s">
        <v>40</v>
      </c>
      <c r="S3420" t="s">
        <v>40</v>
      </c>
      <c r="V3420" t="s">
        <v>41</v>
      </c>
      <c r="W3420" t="s">
        <v>42</v>
      </c>
      <c r="X3420" t="str">
        <f>"1990911"</f>
        <v>1990911</v>
      </c>
      <c r="Y3420" t="s">
        <v>1276</v>
      </c>
      <c r="Z3420" t="s">
        <v>1268</v>
      </c>
      <c r="AA3420" t="s">
        <v>1269</v>
      </c>
      <c r="AB3420" t="s">
        <v>1270</v>
      </c>
      <c r="AC3420" t="s">
        <v>165</v>
      </c>
      <c r="AD3420" t="s">
        <v>45</v>
      </c>
      <c r="AE3420" s="1">
        <v>25777</v>
      </c>
      <c r="AF3420">
        <v>2</v>
      </c>
      <c r="AG3420" t="s">
        <v>1269</v>
      </c>
      <c r="AH3420" s="36">
        <f t="shared" si="53"/>
        <v>49.111111111111114</v>
      </c>
      <c r="AI3420" s="41" t="s">
        <v>1780</v>
      </c>
    </row>
    <row r="3421" spans="1:35" x14ac:dyDescent="0.25">
      <c r="A3421" s="36">
        <v>99913419</v>
      </c>
      <c r="B3421" s="17" t="s">
        <v>56</v>
      </c>
      <c r="C3421" t="s">
        <v>52</v>
      </c>
      <c r="D3421" t="s">
        <v>53</v>
      </c>
      <c r="G3421" s="17" t="s">
        <v>48</v>
      </c>
      <c r="H3421" s="17">
        <v>1</v>
      </c>
      <c r="K3421" t="s">
        <v>300</v>
      </c>
      <c r="L3421" t="s">
        <v>301</v>
      </c>
      <c r="M3421" t="s">
        <v>131</v>
      </c>
      <c r="N3421">
        <v>20</v>
      </c>
      <c r="O3421" t="s">
        <v>40</v>
      </c>
      <c r="P3421" t="s">
        <v>40</v>
      </c>
      <c r="Q3421" t="s">
        <v>40</v>
      </c>
      <c r="S3421" t="s">
        <v>40</v>
      </c>
      <c r="V3421" t="s">
        <v>41</v>
      </c>
      <c r="W3421" t="s">
        <v>49</v>
      </c>
      <c r="X3421" t="str">
        <f>"0560020"</f>
        <v>0560020</v>
      </c>
      <c r="Y3421" t="s">
        <v>302</v>
      </c>
      <c r="Z3421" t="s">
        <v>300</v>
      </c>
      <c r="AA3421" t="s">
        <v>301</v>
      </c>
      <c r="AB3421" t="s">
        <v>131</v>
      </c>
      <c r="AC3421" t="s">
        <v>51</v>
      </c>
      <c r="AD3421" t="s">
        <v>45</v>
      </c>
      <c r="AE3421" s="1">
        <v>25776</v>
      </c>
      <c r="AF3421">
        <v>2</v>
      </c>
      <c r="AG3421" t="s">
        <v>301</v>
      </c>
      <c r="AH3421" s="36">
        <f t="shared" si="53"/>
        <v>49.113888888888887</v>
      </c>
      <c r="AI3421" s="41" t="s">
        <v>1780</v>
      </c>
    </row>
    <row r="3422" spans="1:35" x14ac:dyDescent="0.25">
      <c r="A3422" s="36">
        <v>99913420</v>
      </c>
      <c r="B3422" s="17" t="s">
        <v>56</v>
      </c>
      <c r="C3422" t="s">
        <v>79</v>
      </c>
      <c r="D3422" t="s">
        <v>80</v>
      </c>
      <c r="G3422" s="17" t="s">
        <v>48</v>
      </c>
      <c r="H3422" s="17">
        <v>1</v>
      </c>
      <c r="K3422" t="s">
        <v>223</v>
      </c>
      <c r="L3422" t="s">
        <v>224</v>
      </c>
      <c r="M3422" t="s">
        <v>131</v>
      </c>
      <c r="N3422">
        <v>20</v>
      </c>
      <c r="O3422" t="s">
        <v>40</v>
      </c>
      <c r="P3422" t="s">
        <v>40</v>
      </c>
      <c r="Q3422" t="s">
        <v>40</v>
      </c>
      <c r="R3422" t="s">
        <v>40</v>
      </c>
      <c r="S3422" t="s">
        <v>40</v>
      </c>
      <c r="V3422" t="s">
        <v>41</v>
      </c>
      <c r="W3422" t="s">
        <v>49</v>
      </c>
      <c r="X3422" t="str">
        <f>"0581200"</f>
        <v>0581200</v>
      </c>
      <c r="Y3422" t="s">
        <v>238</v>
      </c>
      <c r="Z3422" t="s">
        <v>223</v>
      </c>
      <c r="AA3422" t="s">
        <v>224</v>
      </c>
      <c r="AB3422" t="s">
        <v>131</v>
      </c>
      <c r="AC3422" t="s">
        <v>51</v>
      </c>
      <c r="AD3422" t="s">
        <v>45</v>
      </c>
      <c r="AE3422" s="1">
        <v>25775</v>
      </c>
      <c r="AF3422">
        <v>2</v>
      </c>
      <c r="AG3422" t="s">
        <v>224</v>
      </c>
      <c r="AH3422" s="36">
        <f t="shared" si="53"/>
        <v>49.116666666666667</v>
      </c>
      <c r="AI3422" s="41" t="s">
        <v>1780</v>
      </c>
    </row>
    <row r="3423" spans="1:35" x14ac:dyDescent="0.25">
      <c r="A3423" s="36">
        <v>99913421</v>
      </c>
      <c r="B3423" s="17" t="s">
        <v>56</v>
      </c>
      <c r="C3423" t="s">
        <v>139</v>
      </c>
      <c r="D3423" t="s">
        <v>140</v>
      </c>
      <c r="G3423" s="17" t="s">
        <v>48</v>
      </c>
      <c r="H3423" s="17">
        <v>6</v>
      </c>
      <c r="K3423" t="s">
        <v>877</v>
      </c>
      <c r="L3423" t="s">
        <v>878</v>
      </c>
      <c r="M3423" t="s">
        <v>131</v>
      </c>
      <c r="N3423">
        <v>18</v>
      </c>
      <c r="O3423" t="s">
        <v>40</v>
      </c>
      <c r="P3423" t="s">
        <v>40</v>
      </c>
      <c r="Q3423" t="s">
        <v>40</v>
      </c>
      <c r="R3423" t="s">
        <v>40</v>
      </c>
      <c r="S3423" t="s">
        <v>40</v>
      </c>
      <c r="V3423" t="s">
        <v>41</v>
      </c>
      <c r="W3423" t="s">
        <v>75</v>
      </c>
      <c r="X3423" t="str">
        <f>"7541004"</f>
        <v>7541004</v>
      </c>
      <c r="Y3423" t="s">
        <v>889</v>
      </c>
      <c r="Z3423" t="s">
        <v>877</v>
      </c>
      <c r="AA3423" t="s">
        <v>878</v>
      </c>
      <c r="AB3423" t="s">
        <v>131</v>
      </c>
      <c r="AC3423" t="s">
        <v>51</v>
      </c>
      <c r="AD3423" t="s">
        <v>45</v>
      </c>
      <c r="AE3423" s="1">
        <v>25774</v>
      </c>
      <c r="AF3423">
        <v>1</v>
      </c>
      <c r="AG3423" t="s">
        <v>878</v>
      </c>
      <c r="AH3423" s="36">
        <f t="shared" si="53"/>
        <v>49.119444444444447</v>
      </c>
      <c r="AI3423" s="41" t="s">
        <v>1780</v>
      </c>
    </row>
    <row r="3424" spans="1:35" x14ac:dyDescent="0.25">
      <c r="A3424" s="36">
        <v>99913422</v>
      </c>
      <c r="B3424" s="17" t="s">
        <v>32</v>
      </c>
      <c r="C3424" t="s">
        <v>117</v>
      </c>
      <c r="D3424" t="s">
        <v>118</v>
      </c>
      <c r="G3424" s="17" t="s">
        <v>35</v>
      </c>
      <c r="H3424" s="17">
        <v>1</v>
      </c>
      <c r="I3424" t="s">
        <v>995</v>
      </c>
      <c r="J3424" s="1">
        <v>43369</v>
      </c>
      <c r="K3424" t="s">
        <v>985</v>
      </c>
      <c r="L3424" t="s">
        <v>986</v>
      </c>
      <c r="M3424" t="s">
        <v>938</v>
      </c>
      <c r="N3424">
        <v>17</v>
      </c>
      <c r="O3424" t="s">
        <v>40</v>
      </c>
      <c r="P3424" t="s">
        <v>40</v>
      </c>
      <c r="Q3424" t="s">
        <v>40</v>
      </c>
      <c r="R3424" t="s">
        <v>40</v>
      </c>
      <c r="S3424" t="s">
        <v>40</v>
      </c>
      <c r="U3424" s="1">
        <v>43369</v>
      </c>
      <c r="V3424" t="s">
        <v>41</v>
      </c>
      <c r="W3424" t="s">
        <v>75</v>
      </c>
      <c r="X3424" t="str">
        <f>"7011004"</f>
        <v>7011004</v>
      </c>
      <c r="Y3424" t="s">
        <v>987</v>
      </c>
      <c r="Z3424" t="s">
        <v>985</v>
      </c>
      <c r="AA3424" t="s">
        <v>986</v>
      </c>
      <c r="AB3424" t="s">
        <v>938</v>
      </c>
      <c r="AC3424" t="s">
        <v>51</v>
      </c>
      <c r="AD3424" t="s">
        <v>45</v>
      </c>
      <c r="AE3424" s="1">
        <v>25773</v>
      </c>
      <c r="AF3424">
        <v>1</v>
      </c>
      <c r="AG3424" t="s">
        <v>986</v>
      </c>
      <c r="AH3424" s="36">
        <f t="shared" si="53"/>
        <v>49.12222222222222</v>
      </c>
      <c r="AI3424" s="41" t="s">
        <v>1780</v>
      </c>
    </row>
    <row r="3425" spans="1:35" x14ac:dyDescent="0.25">
      <c r="A3425" s="36">
        <v>99913423</v>
      </c>
      <c r="B3425" s="17" t="s">
        <v>56</v>
      </c>
      <c r="C3425" t="s">
        <v>85</v>
      </c>
      <c r="D3425" t="s">
        <v>86</v>
      </c>
      <c r="G3425" s="17" t="s">
        <v>35</v>
      </c>
      <c r="H3425" s="17">
        <v>1</v>
      </c>
      <c r="K3425" t="s">
        <v>345</v>
      </c>
      <c r="L3425" t="s">
        <v>346</v>
      </c>
      <c r="M3425" t="s">
        <v>131</v>
      </c>
      <c r="N3425">
        <v>11</v>
      </c>
      <c r="O3425" t="s">
        <v>40</v>
      </c>
      <c r="P3425" t="s">
        <v>40</v>
      </c>
      <c r="Q3425" t="s">
        <v>40</v>
      </c>
      <c r="S3425" t="s">
        <v>40</v>
      </c>
      <c r="V3425" t="s">
        <v>41</v>
      </c>
      <c r="W3425" t="s">
        <v>49</v>
      </c>
      <c r="X3425" t="str">
        <f>"0581660"</f>
        <v>0581660</v>
      </c>
      <c r="Y3425" t="s">
        <v>359</v>
      </c>
      <c r="Z3425" t="s">
        <v>345</v>
      </c>
      <c r="AA3425" t="s">
        <v>346</v>
      </c>
      <c r="AB3425" t="s">
        <v>131</v>
      </c>
      <c r="AC3425" t="s">
        <v>51</v>
      </c>
      <c r="AD3425" t="s">
        <v>45</v>
      </c>
      <c r="AE3425" s="1">
        <v>25772</v>
      </c>
      <c r="AF3425">
        <v>2</v>
      </c>
      <c r="AG3425" t="s">
        <v>346</v>
      </c>
      <c r="AH3425" s="36">
        <f t="shared" si="53"/>
        <v>49.125</v>
      </c>
      <c r="AI3425" s="41" t="s">
        <v>1780</v>
      </c>
    </row>
    <row r="3426" spans="1:35" x14ac:dyDescent="0.25">
      <c r="A3426" s="36">
        <v>99913424</v>
      </c>
      <c r="B3426" s="17" t="s">
        <v>32</v>
      </c>
      <c r="C3426" t="s">
        <v>82</v>
      </c>
      <c r="D3426" t="s">
        <v>83</v>
      </c>
      <c r="G3426" s="17" t="s">
        <v>35</v>
      </c>
      <c r="H3426" s="17">
        <v>1</v>
      </c>
      <c r="I3426" t="s">
        <v>1601</v>
      </c>
      <c r="J3426" s="1">
        <v>43344</v>
      </c>
      <c r="K3426" t="s">
        <v>1590</v>
      </c>
      <c r="L3426" t="s">
        <v>1591</v>
      </c>
      <c r="M3426" t="s">
        <v>1592</v>
      </c>
      <c r="N3426">
        <v>20</v>
      </c>
      <c r="O3426" t="s">
        <v>40</v>
      </c>
      <c r="S3426" t="s">
        <v>40</v>
      </c>
      <c r="U3426" s="1">
        <v>43344</v>
      </c>
      <c r="V3426" t="s">
        <v>41</v>
      </c>
      <c r="W3426" t="s">
        <v>42</v>
      </c>
      <c r="X3426" t="str">
        <f>"0280020"</f>
        <v>0280020</v>
      </c>
      <c r="Y3426" t="s">
        <v>1597</v>
      </c>
      <c r="Z3426" t="s">
        <v>1590</v>
      </c>
      <c r="AA3426" t="s">
        <v>1591</v>
      </c>
      <c r="AB3426" t="s">
        <v>1592</v>
      </c>
      <c r="AC3426" t="s">
        <v>51</v>
      </c>
      <c r="AD3426" t="s">
        <v>45</v>
      </c>
      <c r="AE3426" s="1">
        <v>25772</v>
      </c>
      <c r="AF3426">
        <v>2</v>
      </c>
      <c r="AG3426" t="s">
        <v>1591</v>
      </c>
      <c r="AH3426" s="36">
        <f t="shared" si="53"/>
        <v>49.125</v>
      </c>
      <c r="AI3426" s="41" t="s">
        <v>1780</v>
      </c>
    </row>
    <row r="3427" spans="1:35" x14ac:dyDescent="0.25">
      <c r="A3427" s="36">
        <v>99913425</v>
      </c>
      <c r="B3427" s="17" t="s">
        <v>32</v>
      </c>
      <c r="C3427" t="s">
        <v>139</v>
      </c>
      <c r="D3427" t="s">
        <v>140</v>
      </c>
      <c r="G3427" s="17" t="s">
        <v>48</v>
      </c>
      <c r="H3427" s="17">
        <v>1</v>
      </c>
      <c r="K3427" t="s">
        <v>223</v>
      </c>
      <c r="L3427" t="s">
        <v>224</v>
      </c>
      <c r="M3427" t="s">
        <v>131</v>
      </c>
      <c r="N3427">
        <v>23</v>
      </c>
      <c r="O3427" t="s">
        <v>40</v>
      </c>
      <c r="P3427" t="s">
        <v>40</v>
      </c>
      <c r="Q3427" t="s">
        <v>40</v>
      </c>
      <c r="R3427" t="s">
        <v>40</v>
      </c>
      <c r="S3427" t="s">
        <v>40</v>
      </c>
      <c r="V3427" t="s">
        <v>41</v>
      </c>
      <c r="W3427" t="s">
        <v>75</v>
      </c>
      <c r="X3427" t="str">
        <f>"7052012"</f>
        <v>7052012</v>
      </c>
      <c r="Y3427" t="s">
        <v>270</v>
      </c>
      <c r="Z3427" t="s">
        <v>268</v>
      </c>
      <c r="AA3427" t="s">
        <v>269</v>
      </c>
      <c r="AB3427" t="s">
        <v>131</v>
      </c>
      <c r="AC3427" t="s">
        <v>51</v>
      </c>
      <c r="AD3427" t="s">
        <v>45</v>
      </c>
      <c r="AE3427" s="1">
        <v>25769</v>
      </c>
      <c r="AF3427">
        <v>2</v>
      </c>
      <c r="AG3427" t="s">
        <v>224</v>
      </c>
      <c r="AH3427" s="36">
        <f t="shared" si="53"/>
        <v>49.133333333333333</v>
      </c>
      <c r="AI3427" s="41" t="s">
        <v>1780</v>
      </c>
    </row>
    <row r="3428" spans="1:35" x14ac:dyDescent="0.25">
      <c r="A3428" s="36">
        <v>99913426</v>
      </c>
      <c r="B3428" s="17" t="s">
        <v>56</v>
      </c>
      <c r="C3428" t="s">
        <v>46</v>
      </c>
      <c r="D3428" t="s">
        <v>47</v>
      </c>
      <c r="G3428" s="17" t="s">
        <v>35</v>
      </c>
      <c r="H3428" s="17">
        <v>1</v>
      </c>
      <c r="K3428" t="s">
        <v>223</v>
      </c>
      <c r="L3428" t="s">
        <v>224</v>
      </c>
      <c r="M3428" t="s">
        <v>131</v>
      </c>
      <c r="N3428">
        <v>20</v>
      </c>
      <c r="O3428" t="s">
        <v>40</v>
      </c>
      <c r="P3428" t="s">
        <v>40</v>
      </c>
      <c r="Q3428" t="s">
        <v>40</v>
      </c>
      <c r="S3428" t="s">
        <v>40</v>
      </c>
      <c r="V3428" t="s">
        <v>41</v>
      </c>
      <c r="W3428" t="s">
        <v>42</v>
      </c>
      <c r="X3428" t="str">
        <f>"0590903"</f>
        <v>0590903</v>
      </c>
      <c r="Y3428" t="s">
        <v>226</v>
      </c>
      <c r="Z3428" t="s">
        <v>223</v>
      </c>
      <c r="AA3428" t="s">
        <v>224</v>
      </c>
      <c r="AB3428" t="s">
        <v>131</v>
      </c>
      <c r="AC3428" t="s">
        <v>51</v>
      </c>
      <c r="AD3428" t="s">
        <v>45</v>
      </c>
      <c r="AE3428" s="1">
        <v>25768</v>
      </c>
      <c r="AF3428">
        <v>2</v>
      </c>
      <c r="AG3428" t="s">
        <v>224</v>
      </c>
      <c r="AH3428" s="36">
        <f t="shared" si="53"/>
        <v>49.136111111111113</v>
      </c>
      <c r="AI3428" s="41" t="s">
        <v>1780</v>
      </c>
    </row>
    <row r="3429" spans="1:35" x14ac:dyDescent="0.25">
      <c r="A3429" s="36">
        <v>99913427</v>
      </c>
      <c r="B3429" s="17" t="s">
        <v>56</v>
      </c>
      <c r="C3429" t="s">
        <v>46</v>
      </c>
      <c r="D3429" t="s">
        <v>47</v>
      </c>
      <c r="G3429" s="17" t="s">
        <v>35</v>
      </c>
      <c r="H3429" s="17">
        <v>1</v>
      </c>
      <c r="K3429" t="s">
        <v>223</v>
      </c>
      <c r="L3429" t="s">
        <v>224</v>
      </c>
      <c r="M3429" t="s">
        <v>131</v>
      </c>
      <c r="N3429">
        <v>20</v>
      </c>
      <c r="O3429" t="s">
        <v>40</v>
      </c>
      <c r="P3429" t="s">
        <v>40</v>
      </c>
      <c r="Q3429" t="s">
        <v>40</v>
      </c>
      <c r="S3429" t="s">
        <v>40</v>
      </c>
      <c r="V3429" t="s">
        <v>41</v>
      </c>
      <c r="W3429" t="s">
        <v>42</v>
      </c>
      <c r="X3429" t="str">
        <f>"0590903"</f>
        <v>0590903</v>
      </c>
      <c r="Y3429" t="s">
        <v>226</v>
      </c>
      <c r="Z3429" t="s">
        <v>223</v>
      </c>
      <c r="AA3429" t="s">
        <v>224</v>
      </c>
      <c r="AB3429" t="s">
        <v>131</v>
      </c>
      <c r="AC3429" t="s">
        <v>51</v>
      </c>
      <c r="AD3429" t="s">
        <v>45</v>
      </c>
      <c r="AE3429" s="1">
        <v>25768</v>
      </c>
      <c r="AF3429">
        <v>2</v>
      </c>
      <c r="AG3429" t="s">
        <v>224</v>
      </c>
      <c r="AH3429" s="36">
        <f t="shared" si="53"/>
        <v>49.136111111111113</v>
      </c>
      <c r="AI3429" s="41" t="s">
        <v>1780</v>
      </c>
    </row>
    <row r="3430" spans="1:35" x14ac:dyDescent="0.25">
      <c r="A3430" s="36">
        <v>99913428</v>
      </c>
      <c r="B3430" s="17" t="s">
        <v>56</v>
      </c>
      <c r="C3430" t="s">
        <v>46</v>
      </c>
      <c r="D3430" t="s">
        <v>47</v>
      </c>
      <c r="G3430" s="17" t="s">
        <v>48</v>
      </c>
      <c r="H3430" s="17">
        <v>1</v>
      </c>
      <c r="K3430" t="s">
        <v>1051</v>
      </c>
      <c r="L3430" t="s">
        <v>1052</v>
      </c>
      <c r="M3430" t="s">
        <v>1053</v>
      </c>
      <c r="N3430">
        <v>25</v>
      </c>
      <c r="O3430" t="s">
        <v>40</v>
      </c>
      <c r="P3430" t="s">
        <v>40</v>
      </c>
      <c r="Q3430" t="s">
        <v>40</v>
      </c>
      <c r="R3430" t="s">
        <v>40</v>
      </c>
      <c r="S3430" t="s">
        <v>40</v>
      </c>
      <c r="V3430" t="s">
        <v>41</v>
      </c>
      <c r="W3430" t="s">
        <v>42</v>
      </c>
      <c r="X3430" t="str">
        <f>"2061001"</f>
        <v>2061001</v>
      </c>
      <c r="Y3430" t="s">
        <v>1058</v>
      </c>
      <c r="Z3430" t="s">
        <v>1051</v>
      </c>
      <c r="AA3430" t="s">
        <v>1052</v>
      </c>
      <c r="AB3430" t="s">
        <v>1053</v>
      </c>
      <c r="AC3430" t="s">
        <v>51</v>
      </c>
      <c r="AD3430" t="s">
        <v>45</v>
      </c>
      <c r="AE3430" s="1">
        <v>25768</v>
      </c>
      <c r="AF3430">
        <v>2</v>
      </c>
      <c r="AG3430" t="s">
        <v>1052</v>
      </c>
      <c r="AH3430" s="36">
        <f t="shared" si="53"/>
        <v>49.136111111111113</v>
      </c>
      <c r="AI3430" s="41" t="s">
        <v>1780</v>
      </c>
    </row>
    <row r="3431" spans="1:35" x14ac:dyDescent="0.25">
      <c r="A3431" s="36">
        <v>99913429</v>
      </c>
      <c r="B3431" s="17" t="s">
        <v>56</v>
      </c>
      <c r="C3431" t="s">
        <v>79</v>
      </c>
      <c r="D3431" t="s">
        <v>80</v>
      </c>
      <c r="G3431" s="17" t="s">
        <v>48</v>
      </c>
      <c r="H3431" s="17">
        <v>1</v>
      </c>
      <c r="K3431" t="s">
        <v>268</v>
      </c>
      <c r="L3431" t="s">
        <v>269</v>
      </c>
      <c r="M3431" t="s">
        <v>131</v>
      </c>
      <c r="N3431">
        <v>23</v>
      </c>
      <c r="O3431" t="s">
        <v>40</v>
      </c>
      <c r="P3431" t="s">
        <v>40</v>
      </c>
      <c r="Q3431" t="s">
        <v>40</v>
      </c>
      <c r="S3431" t="s">
        <v>40</v>
      </c>
      <c r="V3431" t="s">
        <v>41</v>
      </c>
      <c r="W3431" t="s">
        <v>75</v>
      </c>
      <c r="X3431" t="str">
        <f>"7052016"</f>
        <v>7052016</v>
      </c>
      <c r="Y3431" t="s">
        <v>588</v>
      </c>
      <c r="Z3431" t="s">
        <v>268</v>
      </c>
      <c r="AA3431" t="s">
        <v>269</v>
      </c>
      <c r="AB3431" t="s">
        <v>131</v>
      </c>
      <c r="AC3431" t="s">
        <v>51</v>
      </c>
      <c r="AD3431" t="s">
        <v>45</v>
      </c>
      <c r="AE3431" s="1">
        <v>25766</v>
      </c>
      <c r="AF3431">
        <v>1</v>
      </c>
      <c r="AG3431" t="s">
        <v>269</v>
      </c>
      <c r="AH3431" s="36">
        <f t="shared" si="53"/>
        <v>49.141666666666666</v>
      </c>
      <c r="AI3431" s="41" t="s">
        <v>1780</v>
      </c>
    </row>
    <row r="3432" spans="1:35" x14ac:dyDescent="0.25">
      <c r="A3432" s="36">
        <v>99913430</v>
      </c>
      <c r="B3432" s="17" t="s">
        <v>32</v>
      </c>
      <c r="C3432" t="s">
        <v>68</v>
      </c>
      <c r="D3432" t="s">
        <v>69</v>
      </c>
      <c r="G3432" s="17" t="s">
        <v>48</v>
      </c>
      <c r="H3432" s="17">
        <v>1</v>
      </c>
      <c r="K3432" t="s">
        <v>162</v>
      </c>
      <c r="L3432" t="s">
        <v>158</v>
      </c>
      <c r="M3432" t="s">
        <v>131</v>
      </c>
      <c r="N3432">
        <v>13</v>
      </c>
      <c r="O3432" t="s">
        <v>40</v>
      </c>
      <c r="P3432" t="s">
        <v>40</v>
      </c>
      <c r="Q3432" t="s">
        <v>40</v>
      </c>
      <c r="R3432" t="s">
        <v>40</v>
      </c>
      <c r="S3432" t="s">
        <v>40</v>
      </c>
      <c r="V3432" t="s">
        <v>41</v>
      </c>
      <c r="W3432" t="s">
        <v>49</v>
      </c>
      <c r="X3432" t="str">
        <f>"0560027"</f>
        <v>0560027</v>
      </c>
      <c r="Y3432" t="s">
        <v>178</v>
      </c>
      <c r="Z3432" t="s">
        <v>162</v>
      </c>
      <c r="AA3432" t="s">
        <v>158</v>
      </c>
      <c r="AB3432" t="s">
        <v>131</v>
      </c>
      <c r="AC3432" t="s">
        <v>165</v>
      </c>
      <c r="AD3432" t="s">
        <v>45</v>
      </c>
      <c r="AE3432" s="1">
        <v>25765</v>
      </c>
      <c r="AF3432">
        <v>2</v>
      </c>
      <c r="AG3432" t="s">
        <v>158</v>
      </c>
      <c r="AH3432" s="36">
        <f t="shared" si="53"/>
        <v>49.144444444444446</v>
      </c>
      <c r="AI3432" s="41" t="s">
        <v>1780</v>
      </c>
    </row>
    <row r="3433" spans="1:35" x14ac:dyDescent="0.25">
      <c r="A3433" s="36">
        <v>99913431</v>
      </c>
      <c r="B3433" s="17" t="s">
        <v>32</v>
      </c>
      <c r="C3433" t="s">
        <v>46</v>
      </c>
      <c r="D3433" t="s">
        <v>47</v>
      </c>
      <c r="G3433" s="17" t="s">
        <v>48</v>
      </c>
      <c r="H3433" s="17">
        <v>1</v>
      </c>
      <c r="K3433" t="s">
        <v>157</v>
      </c>
      <c r="L3433" t="s">
        <v>158</v>
      </c>
      <c r="M3433" t="s">
        <v>131</v>
      </c>
      <c r="N3433">
        <v>18</v>
      </c>
      <c r="O3433" t="s">
        <v>40</v>
      </c>
      <c r="P3433" t="s">
        <v>40</v>
      </c>
      <c r="Q3433" t="s">
        <v>40</v>
      </c>
      <c r="R3433" t="s">
        <v>40</v>
      </c>
      <c r="S3433" t="s">
        <v>40</v>
      </c>
      <c r="V3433" t="s">
        <v>41</v>
      </c>
      <c r="W3433" t="s">
        <v>49</v>
      </c>
      <c r="X3433" t="str">
        <f>"0560010"</f>
        <v>0560010</v>
      </c>
      <c r="Y3433" t="s">
        <v>179</v>
      </c>
      <c r="Z3433" t="s">
        <v>157</v>
      </c>
      <c r="AA3433" t="s">
        <v>158</v>
      </c>
      <c r="AB3433" t="s">
        <v>131</v>
      </c>
      <c r="AC3433" t="s">
        <v>51</v>
      </c>
      <c r="AD3433" t="s">
        <v>45</v>
      </c>
      <c r="AE3433" s="1">
        <v>25764</v>
      </c>
      <c r="AF3433">
        <v>2</v>
      </c>
      <c r="AG3433" t="s">
        <v>158</v>
      </c>
      <c r="AH3433" s="36">
        <f t="shared" si="53"/>
        <v>49.147222222222226</v>
      </c>
      <c r="AI3433" s="41" t="s">
        <v>1780</v>
      </c>
    </row>
    <row r="3434" spans="1:35" x14ac:dyDescent="0.25">
      <c r="A3434" s="36">
        <v>99913432</v>
      </c>
      <c r="B3434" s="17" t="s">
        <v>56</v>
      </c>
      <c r="C3434" t="s">
        <v>46</v>
      </c>
      <c r="D3434" t="s">
        <v>47</v>
      </c>
      <c r="G3434" s="17" t="s">
        <v>48</v>
      </c>
      <c r="H3434" s="17">
        <v>1</v>
      </c>
      <c r="K3434" t="s">
        <v>1128</v>
      </c>
      <c r="L3434" t="s">
        <v>1129</v>
      </c>
      <c r="M3434" t="s">
        <v>1130</v>
      </c>
      <c r="N3434">
        <v>20</v>
      </c>
      <c r="O3434" t="s">
        <v>40</v>
      </c>
      <c r="P3434" t="s">
        <v>40</v>
      </c>
      <c r="Q3434" t="s">
        <v>40</v>
      </c>
      <c r="R3434" t="s">
        <v>40</v>
      </c>
      <c r="S3434" t="s">
        <v>40</v>
      </c>
      <c r="V3434" t="s">
        <v>41</v>
      </c>
      <c r="W3434" t="s">
        <v>42</v>
      </c>
      <c r="X3434" t="str">
        <f>"3180015"</f>
        <v>3180015</v>
      </c>
      <c r="Y3434" t="s">
        <v>1139</v>
      </c>
      <c r="Z3434" t="s">
        <v>1128</v>
      </c>
      <c r="AA3434" t="s">
        <v>1129</v>
      </c>
      <c r="AB3434" t="s">
        <v>1130</v>
      </c>
      <c r="AC3434" t="s">
        <v>51</v>
      </c>
      <c r="AD3434" t="s">
        <v>45</v>
      </c>
      <c r="AE3434" s="1">
        <v>25762</v>
      </c>
      <c r="AF3434">
        <v>2</v>
      </c>
      <c r="AG3434" t="s">
        <v>1129</v>
      </c>
      <c r="AH3434" s="36">
        <f t="shared" si="53"/>
        <v>49.152777777777779</v>
      </c>
      <c r="AI3434" s="41" t="s">
        <v>1780</v>
      </c>
    </row>
    <row r="3435" spans="1:35" x14ac:dyDescent="0.25">
      <c r="A3435" s="36">
        <v>99913433</v>
      </c>
      <c r="B3435" s="17" t="s">
        <v>32</v>
      </c>
      <c r="C3435" t="s">
        <v>61</v>
      </c>
      <c r="D3435" t="s">
        <v>62</v>
      </c>
      <c r="E3435" t="s">
        <v>52</v>
      </c>
      <c r="F3435" t="s">
        <v>53</v>
      </c>
      <c r="G3435" s="17" t="s">
        <v>48</v>
      </c>
      <c r="H3435" s="17">
        <v>1</v>
      </c>
      <c r="K3435" t="s">
        <v>157</v>
      </c>
      <c r="L3435" t="s">
        <v>158</v>
      </c>
      <c r="M3435" t="s">
        <v>131</v>
      </c>
      <c r="N3435">
        <v>17</v>
      </c>
      <c r="O3435" t="s">
        <v>40</v>
      </c>
      <c r="P3435" t="s">
        <v>40</v>
      </c>
      <c r="Q3435" t="s">
        <v>40</v>
      </c>
      <c r="S3435" t="s">
        <v>40</v>
      </c>
      <c r="V3435" t="s">
        <v>41</v>
      </c>
      <c r="W3435" t="s">
        <v>42</v>
      </c>
      <c r="X3435" t="str">
        <f>"0580290"</f>
        <v>0580290</v>
      </c>
      <c r="Y3435" t="s">
        <v>171</v>
      </c>
      <c r="Z3435" t="s">
        <v>157</v>
      </c>
      <c r="AA3435" t="s">
        <v>158</v>
      </c>
      <c r="AB3435" t="s">
        <v>131</v>
      </c>
      <c r="AC3435" t="s">
        <v>51</v>
      </c>
      <c r="AD3435" t="s">
        <v>45</v>
      </c>
      <c r="AE3435" s="1">
        <v>25761</v>
      </c>
      <c r="AF3435">
        <v>2</v>
      </c>
      <c r="AG3435" t="s">
        <v>158</v>
      </c>
      <c r="AH3435" s="36">
        <f t="shared" si="53"/>
        <v>49.155555555555559</v>
      </c>
      <c r="AI3435" s="41" t="s">
        <v>1780</v>
      </c>
    </row>
    <row r="3436" spans="1:35" x14ac:dyDescent="0.25">
      <c r="A3436" s="36">
        <v>99913434</v>
      </c>
      <c r="B3436" s="17" t="s">
        <v>32</v>
      </c>
      <c r="C3436" t="s">
        <v>141</v>
      </c>
      <c r="D3436" t="s">
        <v>142</v>
      </c>
      <c r="G3436" s="17" t="s">
        <v>35</v>
      </c>
      <c r="H3436" s="17">
        <v>1</v>
      </c>
      <c r="I3436" s="1">
        <v>36139</v>
      </c>
      <c r="J3436" s="1">
        <v>43344</v>
      </c>
      <c r="K3436" t="s">
        <v>1341</v>
      </c>
      <c r="L3436" t="s">
        <v>1342</v>
      </c>
      <c r="M3436" t="s">
        <v>1270</v>
      </c>
      <c r="N3436">
        <v>18</v>
      </c>
      <c r="O3436" t="s">
        <v>40</v>
      </c>
      <c r="S3436" t="s">
        <v>40</v>
      </c>
      <c r="U3436" s="1">
        <v>43344</v>
      </c>
      <c r="V3436" t="s">
        <v>41</v>
      </c>
      <c r="W3436" t="s">
        <v>75</v>
      </c>
      <c r="X3436" t="str">
        <f>"7191004"</f>
        <v>7191004</v>
      </c>
      <c r="Y3436" t="s">
        <v>1344</v>
      </c>
      <c r="Z3436" t="s">
        <v>1341</v>
      </c>
      <c r="AA3436" t="s">
        <v>1342</v>
      </c>
      <c r="AB3436" t="s">
        <v>1270</v>
      </c>
      <c r="AC3436" t="s">
        <v>51</v>
      </c>
      <c r="AD3436" t="s">
        <v>45</v>
      </c>
      <c r="AE3436" s="1">
        <v>25761</v>
      </c>
      <c r="AF3436">
        <v>1</v>
      </c>
      <c r="AG3436" t="s">
        <v>1342</v>
      </c>
      <c r="AH3436" s="36">
        <f t="shared" si="53"/>
        <v>49.155555555555559</v>
      </c>
      <c r="AI3436" s="41" t="s">
        <v>1780</v>
      </c>
    </row>
    <row r="3437" spans="1:35" x14ac:dyDescent="0.25">
      <c r="A3437" s="36">
        <v>99913435</v>
      </c>
      <c r="B3437" s="17" t="s">
        <v>56</v>
      </c>
      <c r="C3437" t="s">
        <v>79</v>
      </c>
      <c r="D3437" t="s">
        <v>80</v>
      </c>
      <c r="G3437" s="17" t="s">
        <v>35</v>
      </c>
      <c r="H3437" s="17">
        <v>1</v>
      </c>
      <c r="I3437" s="1">
        <v>43346</v>
      </c>
      <c r="J3437" s="1">
        <v>43344</v>
      </c>
      <c r="K3437" t="s">
        <v>1341</v>
      </c>
      <c r="L3437" t="s">
        <v>1342</v>
      </c>
      <c r="M3437" t="s">
        <v>1270</v>
      </c>
      <c r="N3437">
        <v>6</v>
      </c>
      <c r="O3437" t="s">
        <v>40</v>
      </c>
      <c r="P3437" t="s">
        <v>40</v>
      </c>
      <c r="Q3437" t="s">
        <v>40</v>
      </c>
      <c r="R3437" t="s">
        <v>40</v>
      </c>
      <c r="S3437" t="s">
        <v>40</v>
      </c>
      <c r="U3437" s="1">
        <v>43344</v>
      </c>
      <c r="V3437" t="s">
        <v>41</v>
      </c>
      <c r="W3437" t="s">
        <v>75</v>
      </c>
      <c r="X3437" t="str">
        <f>"7191034"</f>
        <v>7191034</v>
      </c>
      <c r="Y3437" t="s">
        <v>1343</v>
      </c>
      <c r="Z3437" t="s">
        <v>1341</v>
      </c>
      <c r="AA3437" t="s">
        <v>1342</v>
      </c>
      <c r="AB3437" t="s">
        <v>1270</v>
      </c>
      <c r="AC3437" t="s">
        <v>44</v>
      </c>
      <c r="AD3437" t="s">
        <v>45</v>
      </c>
      <c r="AE3437" s="1">
        <v>25757</v>
      </c>
      <c r="AF3437">
        <v>1</v>
      </c>
      <c r="AG3437" t="s">
        <v>1342</v>
      </c>
      <c r="AH3437" s="36">
        <f t="shared" si="53"/>
        <v>49.166666666666664</v>
      </c>
      <c r="AI3437" s="41" t="s">
        <v>1780</v>
      </c>
    </row>
    <row r="3438" spans="1:35" x14ac:dyDescent="0.25">
      <c r="A3438" s="36">
        <v>99913436</v>
      </c>
      <c r="B3438" s="17" t="s">
        <v>32</v>
      </c>
      <c r="C3438" t="s">
        <v>79</v>
      </c>
      <c r="D3438" t="s">
        <v>80</v>
      </c>
      <c r="G3438" s="17" t="s">
        <v>48</v>
      </c>
      <c r="H3438" s="17">
        <v>1</v>
      </c>
      <c r="K3438" t="s">
        <v>223</v>
      </c>
      <c r="L3438" t="s">
        <v>224</v>
      </c>
      <c r="M3438" t="s">
        <v>131</v>
      </c>
      <c r="N3438">
        <v>21</v>
      </c>
      <c r="O3438" t="s">
        <v>40</v>
      </c>
      <c r="P3438" t="s">
        <v>40</v>
      </c>
      <c r="Q3438" t="s">
        <v>40</v>
      </c>
      <c r="S3438" t="s">
        <v>40</v>
      </c>
      <c r="V3438" t="s">
        <v>41</v>
      </c>
      <c r="W3438" t="s">
        <v>49</v>
      </c>
      <c r="X3438" t="str">
        <f>"0581206"</f>
        <v>0581206</v>
      </c>
      <c r="Y3438" t="s">
        <v>232</v>
      </c>
      <c r="Z3438" t="s">
        <v>223</v>
      </c>
      <c r="AA3438" t="s">
        <v>224</v>
      </c>
      <c r="AB3438" t="s">
        <v>131</v>
      </c>
      <c r="AC3438" t="s">
        <v>51</v>
      </c>
      <c r="AD3438" t="s">
        <v>45</v>
      </c>
      <c r="AE3438" s="1">
        <v>25748</v>
      </c>
      <c r="AF3438">
        <v>2</v>
      </c>
      <c r="AG3438" t="s">
        <v>224</v>
      </c>
      <c r="AH3438" s="36">
        <f t="shared" si="53"/>
        <v>49.19166666666667</v>
      </c>
      <c r="AI3438" s="41" t="s">
        <v>1780</v>
      </c>
    </row>
    <row r="3439" spans="1:35" x14ac:dyDescent="0.25">
      <c r="A3439" s="36">
        <v>99913437</v>
      </c>
      <c r="B3439" s="17" t="s">
        <v>32</v>
      </c>
      <c r="C3439" t="s">
        <v>46</v>
      </c>
      <c r="D3439" t="s">
        <v>47</v>
      </c>
      <c r="G3439" s="17" t="s">
        <v>48</v>
      </c>
      <c r="H3439" s="17">
        <v>1</v>
      </c>
      <c r="K3439" t="s">
        <v>1051</v>
      </c>
      <c r="L3439" t="s">
        <v>1052</v>
      </c>
      <c r="M3439" t="s">
        <v>1053</v>
      </c>
      <c r="N3439">
        <v>20</v>
      </c>
      <c r="O3439" t="s">
        <v>40</v>
      </c>
      <c r="P3439" t="s">
        <v>40</v>
      </c>
      <c r="Q3439" t="s">
        <v>40</v>
      </c>
      <c r="R3439" t="s">
        <v>40</v>
      </c>
      <c r="S3439" t="s">
        <v>40</v>
      </c>
      <c r="V3439" t="s">
        <v>41</v>
      </c>
      <c r="W3439" t="s">
        <v>49</v>
      </c>
      <c r="X3439" t="str">
        <f>"2080025"</f>
        <v>2080025</v>
      </c>
      <c r="Y3439" t="s">
        <v>1057</v>
      </c>
      <c r="Z3439" t="s">
        <v>1051</v>
      </c>
      <c r="AA3439" t="s">
        <v>1052</v>
      </c>
      <c r="AB3439" t="s">
        <v>1053</v>
      </c>
      <c r="AC3439" t="s">
        <v>51</v>
      </c>
      <c r="AD3439" t="s">
        <v>45</v>
      </c>
      <c r="AE3439" s="1">
        <v>25748</v>
      </c>
      <c r="AF3439">
        <v>2</v>
      </c>
      <c r="AG3439" t="s">
        <v>1052</v>
      </c>
      <c r="AH3439" s="36">
        <f t="shared" si="53"/>
        <v>49.19166666666667</v>
      </c>
      <c r="AI3439" s="41" t="s">
        <v>1780</v>
      </c>
    </row>
    <row r="3440" spans="1:35" x14ac:dyDescent="0.25">
      <c r="A3440" s="36">
        <v>99913438</v>
      </c>
      <c r="B3440" s="17" t="s">
        <v>32</v>
      </c>
      <c r="C3440" t="s">
        <v>46</v>
      </c>
      <c r="D3440" t="s">
        <v>47</v>
      </c>
      <c r="G3440" s="17" t="s">
        <v>35</v>
      </c>
      <c r="H3440" s="17">
        <v>1</v>
      </c>
      <c r="K3440" t="s">
        <v>157</v>
      </c>
      <c r="L3440" t="s">
        <v>158</v>
      </c>
      <c r="M3440" t="s">
        <v>131</v>
      </c>
      <c r="N3440">
        <v>30</v>
      </c>
      <c r="O3440" t="s">
        <v>40</v>
      </c>
      <c r="P3440" t="s">
        <v>40</v>
      </c>
      <c r="Q3440" t="s">
        <v>40</v>
      </c>
      <c r="S3440" t="s">
        <v>40</v>
      </c>
      <c r="V3440" t="s">
        <v>41</v>
      </c>
      <c r="W3440" t="s">
        <v>42</v>
      </c>
      <c r="X3440" t="str">
        <f>"0580725"</f>
        <v>0580725</v>
      </c>
      <c r="Y3440" t="s">
        <v>167</v>
      </c>
      <c r="Z3440" t="s">
        <v>157</v>
      </c>
      <c r="AA3440" t="s">
        <v>158</v>
      </c>
      <c r="AB3440" t="s">
        <v>131</v>
      </c>
      <c r="AC3440" t="s">
        <v>51</v>
      </c>
      <c r="AD3440" t="s">
        <v>45</v>
      </c>
      <c r="AE3440" s="1">
        <v>25747</v>
      </c>
      <c r="AF3440">
        <v>2</v>
      </c>
      <c r="AG3440" t="s">
        <v>158</v>
      </c>
      <c r="AH3440" s="36">
        <f t="shared" si="53"/>
        <v>49.194444444444443</v>
      </c>
      <c r="AI3440" s="41" t="s">
        <v>1780</v>
      </c>
    </row>
    <row r="3441" spans="1:35" x14ac:dyDescent="0.25">
      <c r="A3441" s="36">
        <v>99913439</v>
      </c>
      <c r="B3441" s="17" t="s">
        <v>32</v>
      </c>
      <c r="C3441" t="s">
        <v>111</v>
      </c>
      <c r="D3441" t="s">
        <v>112</v>
      </c>
      <c r="G3441" s="17" t="s">
        <v>48</v>
      </c>
      <c r="H3441" s="17">
        <v>11</v>
      </c>
      <c r="K3441" t="s">
        <v>195</v>
      </c>
      <c r="L3441" t="s">
        <v>196</v>
      </c>
      <c r="M3441" t="s">
        <v>131</v>
      </c>
      <c r="N3441">
        <v>21</v>
      </c>
      <c r="O3441" t="s">
        <v>40</v>
      </c>
      <c r="P3441" t="s">
        <v>40</v>
      </c>
      <c r="Q3441" t="s">
        <v>40</v>
      </c>
      <c r="R3441" t="s">
        <v>40</v>
      </c>
      <c r="S3441" t="s">
        <v>40</v>
      </c>
      <c r="U3441" s="1">
        <v>38280</v>
      </c>
      <c r="V3441" t="s">
        <v>41</v>
      </c>
      <c r="W3441" t="s">
        <v>75</v>
      </c>
      <c r="X3441" t="str">
        <f>"7521044"</f>
        <v>7521044</v>
      </c>
      <c r="Y3441" t="s">
        <v>453</v>
      </c>
      <c r="Z3441" t="s">
        <v>195</v>
      </c>
      <c r="AA3441" t="s">
        <v>196</v>
      </c>
      <c r="AB3441" t="s">
        <v>131</v>
      </c>
      <c r="AC3441" t="s">
        <v>165</v>
      </c>
      <c r="AD3441" t="s">
        <v>45</v>
      </c>
      <c r="AE3441" s="1">
        <v>25747</v>
      </c>
      <c r="AF3441">
        <v>1</v>
      </c>
      <c r="AG3441" t="s">
        <v>196</v>
      </c>
      <c r="AH3441" s="36">
        <f t="shared" si="53"/>
        <v>49.194444444444443</v>
      </c>
      <c r="AI3441" s="41" t="s">
        <v>1780</v>
      </c>
    </row>
    <row r="3442" spans="1:35" x14ac:dyDescent="0.25">
      <c r="A3442" s="36">
        <v>99913440</v>
      </c>
      <c r="B3442" s="17" t="s">
        <v>32</v>
      </c>
      <c r="C3442" t="s">
        <v>71</v>
      </c>
      <c r="D3442" t="s">
        <v>72</v>
      </c>
      <c r="G3442" s="17" t="s">
        <v>48</v>
      </c>
      <c r="H3442" s="17">
        <v>7</v>
      </c>
      <c r="K3442" t="s">
        <v>1268</v>
      </c>
      <c r="L3442" t="s">
        <v>1269</v>
      </c>
      <c r="M3442" t="s">
        <v>1270</v>
      </c>
      <c r="N3442">
        <v>20</v>
      </c>
      <c r="O3442" t="s">
        <v>40</v>
      </c>
      <c r="P3442" t="s">
        <v>40</v>
      </c>
      <c r="Q3442" t="s">
        <v>40</v>
      </c>
      <c r="R3442" t="s">
        <v>40</v>
      </c>
      <c r="S3442" t="s">
        <v>40</v>
      </c>
      <c r="U3442" s="1">
        <v>43344</v>
      </c>
      <c r="V3442" t="s">
        <v>41</v>
      </c>
      <c r="W3442" t="s">
        <v>49</v>
      </c>
      <c r="X3442" t="str">
        <f>"1981055"</f>
        <v>1981055</v>
      </c>
      <c r="Y3442" t="s">
        <v>1280</v>
      </c>
      <c r="Z3442" t="s">
        <v>1268</v>
      </c>
      <c r="AA3442" t="s">
        <v>1269</v>
      </c>
      <c r="AB3442" t="s">
        <v>1270</v>
      </c>
      <c r="AC3442" t="s">
        <v>51</v>
      </c>
      <c r="AD3442" t="s">
        <v>45</v>
      </c>
      <c r="AE3442" s="1">
        <v>25747</v>
      </c>
      <c r="AF3442">
        <v>2</v>
      </c>
      <c r="AG3442" t="s">
        <v>1269</v>
      </c>
      <c r="AH3442" s="36">
        <f t="shared" si="53"/>
        <v>49.194444444444443</v>
      </c>
      <c r="AI3442" s="41" t="s">
        <v>1780</v>
      </c>
    </row>
    <row r="3443" spans="1:35" x14ac:dyDescent="0.25">
      <c r="A3443" s="36">
        <v>99913441</v>
      </c>
      <c r="B3443" s="17" t="s">
        <v>32</v>
      </c>
      <c r="C3443" t="s">
        <v>79</v>
      </c>
      <c r="D3443" t="s">
        <v>80</v>
      </c>
      <c r="G3443" s="17" t="s">
        <v>48</v>
      </c>
      <c r="H3443" s="17">
        <v>7</v>
      </c>
      <c r="I3443" t="s">
        <v>452</v>
      </c>
      <c r="J3443" s="1">
        <v>40422</v>
      </c>
      <c r="K3443" t="s">
        <v>195</v>
      </c>
      <c r="L3443" t="s">
        <v>196</v>
      </c>
      <c r="M3443" t="s">
        <v>131</v>
      </c>
      <c r="N3443">
        <v>22</v>
      </c>
      <c r="O3443" t="s">
        <v>40</v>
      </c>
      <c r="P3443" t="s">
        <v>40</v>
      </c>
      <c r="Q3443" t="s">
        <v>40</v>
      </c>
      <c r="R3443" t="s">
        <v>40</v>
      </c>
      <c r="S3443" t="s">
        <v>40</v>
      </c>
      <c r="U3443" s="1">
        <v>40422</v>
      </c>
      <c r="V3443" t="s">
        <v>41</v>
      </c>
      <c r="W3443" t="s">
        <v>75</v>
      </c>
      <c r="X3443" t="str">
        <f>"7521050"</f>
        <v>7521050</v>
      </c>
      <c r="Y3443" t="s">
        <v>194</v>
      </c>
      <c r="Z3443" t="s">
        <v>195</v>
      </c>
      <c r="AA3443" t="s">
        <v>196</v>
      </c>
      <c r="AB3443" t="s">
        <v>131</v>
      </c>
      <c r="AC3443" t="s">
        <v>51</v>
      </c>
      <c r="AD3443" t="s">
        <v>45</v>
      </c>
      <c r="AE3443" s="1">
        <v>25745</v>
      </c>
      <c r="AF3443">
        <v>1</v>
      </c>
      <c r="AG3443" t="s">
        <v>196</v>
      </c>
      <c r="AH3443" s="36">
        <f t="shared" si="53"/>
        <v>49.2</v>
      </c>
      <c r="AI3443" s="41" t="s">
        <v>1780</v>
      </c>
    </row>
    <row r="3444" spans="1:35" x14ac:dyDescent="0.25">
      <c r="A3444" s="36">
        <v>99913442</v>
      </c>
      <c r="B3444" s="17" t="s">
        <v>56</v>
      </c>
      <c r="C3444" t="s">
        <v>46</v>
      </c>
      <c r="D3444" t="s">
        <v>47</v>
      </c>
      <c r="G3444" s="17" t="s">
        <v>48</v>
      </c>
      <c r="H3444" s="17">
        <v>1</v>
      </c>
      <c r="K3444" t="s">
        <v>1496</v>
      </c>
      <c r="L3444" t="s">
        <v>1497</v>
      </c>
      <c r="M3444" t="s">
        <v>670</v>
      </c>
      <c r="N3444">
        <v>20</v>
      </c>
      <c r="O3444" t="s">
        <v>40</v>
      </c>
      <c r="P3444" t="s">
        <v>40</v>
      </c>
      <c r="Q3444" t="s">
        <v>40</v>
      </c>
      <c r="R3444" t="s">
        <v>40</v>
      </c>
      <c r="S3444" t="s">
        <v>40</v>
      </c>
      <c r="V3444" t="s">
        <v>41</v>
      </c>
      <c r="W3444" t="s">
        <v>42</v>
      </c>
      <c r="X3444" t="str">
        <f>"5080015"</f>
        <v>5080015</v>
      </c>
      <c r="Y3444" t="s">
        <v>1498</v>
      </c>
      <c r="Z3444" t="s">
        <v>1496</v>
      </c>
      <c r="AA3444" t="s">
        <v>1497</v>
      </c>
      <c r="AB3444" t="s">
        <v>670</v>
      </c>
      <c r="AC3444" t="s">
        <v>51</v>
      </c>
      <c r="AD3444" t="s">
        <v>45</v>
      </c>
      <c r="AE3444" s="1">
        <v>25744</v>
      </c>
      <c r="AF3444">
        <v>2</v>
      </c>
      <c r="AG3444" t="s">
        <v>1497</v>
      </c>
      <c r="AH3444" s="36">
        <f t="shared" si="53"/>
        <v>49.202777777777776</v>
      </c>
      <c r="AI3444" s="41" t="s">
        <v>1780</v>
      </c>
    </row>
    <row r="3445" spans="1:35" x14ac:dyDescent="0.25">
      <c r="A3445" s="36">
        <v>99913443</v>
      </c>
      <c r="B3445" s="17" t="s">
        <v>56</v>
      </c>
      <c r="C3445" t="s">
        <v>52</v>
      </c>
      <c r="D3445" t="s">
        <v>53</v>
      </c>
      <c r="G3445" s="17" t="s">
        <v>48</v>
      </c>
      <c r="H3445" s="17">
        <v>1</v>
      </c>
      <c r="K3445" t="s">
        <v>223</v>
      </c>
      <c r="L3445" t="s">
        <v>224</v>
      </c>
      <c r="M3445" t="s">
        <v>131</v>
      </c>
      <c r="N3445">
        <v>20</v>
      </c>
      <c r="O3445" t="s">
        <v>40</v>
      </c>
      <c r="P3445" t="s">
        <v>40</v>
      </c>
      <c r="Q3445" t="s">
        <v>40</v>
      </c>
      <c r="R3445" t="s">
        <v>40</v>
      </c>
      <c r="S3445" t="s">
        <v>40</v>
      </c>
      <c r="V3445" t="s">
        <v>41</v>
      </c>
      <c r="W3445" t="s">
        <v>49</v>
      </c>
      <c r="X3445" t="str">
        <f>"0540902"</f>
        <v>0540902</v>
      </c>
      <c r="Y3445" t="s">
        <v>256</v>
      </c>
      <c r="Z3445" t="s">
        <v>223</v>
      </c>
      <c r="AA3445" t="s">
        <v>224</v>
      </c>
      <c r="AB3445" t="s">
        <v>131</v>
      </c>
      <c r="AC3445" t="s">
        <v>51</v>
      </c>
      <c r="AD3445" t="s">
        <v>45</v>
      </c>
      <c r="AE3445" s="1">
        <v>25742</v>
      </c>
      <c r="AF3445">
        <v>2</v>
      </c>
      <c r="AG3445" t="s">
        <v>224</v>
      </c>
      <c r="AH3445" s="36">
        <f t="shared" si="53"/>
        <v>49.208333333333336</v>
      </c>
      <c r="AI3445" s="41" t="s">
        <v>1780</v>
      </c>
    </row>
    <row r="3446" spans="1:35" x14ac:dyDescent="0.25">
      <c r="A3446" s="36">
        <v>99913444</v>
      </c>
      <c r="B3446" s="17" t="s">
        <v>32</v>
      </c>
      <c r="C3446" t="s">
        <v>46</v>
      </c>
      <c r="D3446" t="s">
        <v>47</v>
      </c>
      <c r="G3446" s="17" t="s">
        <v>48</v>
      </c>
      <c r="H3446" s="17">
        <v>1</v>
      </c>
      <c r="K3446" t="s">
        <v>345</v>
      </c>
      <c r="L3446" t="s">
        <v>346</v>
      </c>
      <c r="M3446" t="s">
        <v>131</v>
      </c>
      <c r="N3446">
        <v>21</v>
      </c>
      <c r="O3446" t="s">
        <v>40</v>
      </c>
      <c r="P3446" t="s">
        <v>40</v>
      </c>
      <c r="Q3446" t="s">
        <v>40</v>
      </c>
      <c r="R3446" t="s">
        <v>40</v>
      </c>
      <c r="S3446" t="s">
        <v>40</v>
      </c>
      <c r="V3446" t="s">
        <v>41</v>
      </c>
      <c r="W3446" t="s">
        <v>49</v>
      </c>
      <c r="X3446" t="str">
        <f>"0561021"</f>
        <v>0561021</v>
      </c>
      <c r="Y3446" t="s">
        <v>352</v>
      </c>
      <c r="Z3446" t="s">
        <v>345</v>
      </c>
      <c r="AA3446" t="s">
        <v>346</v>
      </c>
      <c r="AB3446" t="s">
        <v>131</v>
      </c>
      <c r="AC3446" t="s">
        <v>51</v>
      </c>
      <c r="AD3446" t="s">
        <v>45</v>
      </c>
      <c r="AE3446" s="1">
        <v>25737</v>
      </c>
      <c r="AF3446">
        <v>2</v>
      </c>
      <c r="AG3446" t="s">
        <v>346</v>
      </c>
      <c r="AH3446" s="36">
        <f t="shared" si="53"/>
        <v>49.222222222222221</v>
      </c>
      <c r="AI3446" s="41" t="s">
        <v>1780</v>
      </c>
    </row>
    <row r="3447" spans="1:35" x14ac:dyDescent="0.25">
      <c r="A3447" s="36">
        <v>99913445</v>
      </c>
      <c r="B3447" s="17" t="s">
        <v>32</v>
      </c>
      <c r="C3447" t="s">
        <v>64</v>
      </c>
      <c r="D3447" t="s">
        <v>65</v>
      </c>
      <c r="G3447" s="17" t="s">
        <v>35</v>
      </c>
      <c r="H3447" s="17">
        <v>1</v>
      </c>
      <c r="K3447" t="s">
        <v>877</v>
      </c>
      <c r="L3447" t="s">
        <v>878</v>
      </c>
      <c r="M3447" t="s">
        <v>131</v>
      </c>
      <c r="N3447">
        <v>22</v>
      </c>
      <c r="O3447" t="s">
        <v>40</v>
      </c>
      <c r="P3447" t="s">
        <v>40</v>
      </c>
      <c r="Q3447" t="s">
        <v>40</v>
      </c>
      <c r="S3447" t="s">
        <v>40</v>
      </c>
      <c r="V3447" t="s">
        <v>41</v>
      </c>
      <c r="W3447" t="s">
        <v>75</v>
      </c>
      <c r="X3447" t="str">
        <f>"7700025"</f>
        <v>7700025</v>
      </c>
      <c r="Y3447" t="s">
        <v>880</v>
      </c>
      <c r="Z3447" t="s">
        <v>877</v>
      </c>
      <c r="AA3447" t="s">
        <v>878</v>
      </c>
      <c r="AB3447" t="s">
        <v>131</v>
      </c>
      <c r="AC3447" t="s">
        <v>51</v>
      </c>
      <c r="AD3447" t="s">
        <v>45</v>
      </c>
      <c r="AE3447" s="1">
        <v>25737</v>
      </c>
      <c r="AF3447">
        <v>1</v>
      </c>
      <c r="AG3447" t="s">
        <v>878</v>
      </c>
      <c r="AH3447" s="36">
        <f t="shared" si="53"/>
        <v>49.222222222222221</v>
      </c>
      <c r="AI3447" s="41" t="s">
        <v>1780</v>
      </c>
    </row>
    <row r="3448" spans="1:35" x14ac:dyDescent="0.25">
      <c r="A3448" s="36">
        <v>99913446</v>
      </c>
      <c r="B3448" s="17" t="s">
        <v>56</v>
      </c>
      <c r="C3448" t="s">
        <v>79</v>
      </c>
      <c r="D3448" t="s">
        <v>80</v>
      </c>
      <c r="G3448" s="17" t="s">
        <v>48</v>
      </c>
      <c r="H3448" s="17">
        <v>1</v>
      </c>
      <c r="K3448" t="s">
        <v>223</v>
      </c>
      <c r="L3448" t="s">
        <v>224</v>
      </c>
      <c r="M3448" t="s">
        <v>131</v>
      </c>
      <c r="N3448">
        <v>18</v>
      </c>
      <c r="O3448" t="s">
        <v>40</v>
      </c>
      <c r="P3448" t="s">
        <v>40</v>
      </c>
      <c r="Q3448" t="s">
        <v>40</v>
      </c>
      <c r="R3448" t="s">
        <v>40</v>
      </c>
      <c r="S3448" t="s">
        <v>40</v>
      </c>
      <c r="V3448" t="s">
        <v>41</v>
      </c>
      <c r="W3448" t="s">
        <v>42</v>
      </c>
      <c r="X3448" t="str">
        <f>"0561007"</f>
        <v>0561007</v>
      </c>
      <c r="Y3448" t="s">
        <v>262</v>
      </c>
      <c r="Z3448" t="s">
        <v>223</v>
      </c>
      <c r="AA3448" t="s">
        <v>224</v>
      </c>
      <c r="AB3448" t="s">
        <v>131</v>
      </c>
      <c r="AC3448" t="s">
        <v>51</v>
      </c>
      <c r="AD3448" t="s">
        <v>45</v>
      </c>
      <c r="AE3448" s="1">
        <v>25736</v>
      </c>
      <c r="AF3448">
        <v>2</v>
      </c>
      <c r="AG3448" t="s">
        <v>224</v>
      </c>
      <c r="AH3448" s="36">
        <f t="shared" si="53"/>
        <v>49.225000000000001</v>
      </c>
      <c r="AI3448" s="41" t="s">
        <v>1780</v>
      </c>
    </row>
    <row r="3449" spans="1:35" x14ac:dyDescent="0.25">
      <c r="A3449" s="36">
        <v>99913447</v>
      </c>
      <c r="B3449" s="17" t="s">
        <v>32</v>
      </c>
      <c r="C3449" t="s">
        <v>143</v>
      </c>
      <c r="D3449" t="s">
        <v>144</v>
      </c>
      <c r="G3449" s="17" t="s">
        <v>48</v>
      </c>
      <c r="H3449" s="17">
        <v>1</v>
      </c>
      <c r="K3449" t="s">
        <v>223</v>
      </c>
      <c r="L3449" t="s">
        <v>224</v>
      </c>
      <c r="M3449" t="s">
        <v>131</v>
      </c>
      <c r="N3449">
        <v>21</v>
      </c>
      <c r="O3449" t="s">
        <v>40</v>
      </c>
      <c r="P3449" t="s">
        <v>40</v>
      </c>
      <c r="Q3449" t="s">
        <v>40</v>
      </c>
      <c r="R3449" t="s">
        <v>40</v>
      </c>
      <c r="S3449" t="s">
        <v>40</v>
      </c>
      <c r="V3449" t="s">
        <v>41</v>
      </c>
      <c r="W3449" t="s">
        <v>49</v>
      </c>
      <c r="X3449" t="str">
        <f>"0581207"</f>
        <v>0581207</v>
      </c>
      <c r="Y3449" t="s">
        <v>233</v>
      </c>
      <c r="Z3449" t="s">
        <v>223</v>
      </c>
      <c r="AA3449" t="s">
        <v>224</v>
      </c>
      <c r="AB3449" t="s">
        <v>131</v>
      </c>
      <c r="AC3449" t="s">
        <v>51</v>
      </c>
      <c r="AD3449" t="s">
        <v>45</v>
      </c>
      <c r="AE3449" s="1">
        <v>25735</v>
      </c>
      <c r="AF3449">
        <v>2</v>
      </c>
      <c r="AG3449" t="s">
        <v>224</v>
      </c>
      <c r="AH3449" s="36">
        <f t="shared" si="53"/>
        <v>49.227777777777774</v>
      </c>
      <c r="AI3449" s="41" t="s">
        <v>1780</v>
      </c>
    </row>
    <row r="3450" spans="1:35" x14ac:dyDescent="0.25">
      <c r="A3450" s="36">
        <v>99913448</v>
      </c>
      <c r="B3450" s="17" t="s">
        <v>56</v>
      </c>
      <c r="C3450" t="s">
        <v>46</v>
      </c>
      <c r="D3450" t="s">
        <v>47</v>
      </c>
      <c r="G3450" s="17" t="s">
        <v>48</v>
      </c>
      <c r="H3450" s="17">
        <v>1</v>
      </c>
      <c r="K3450" t="s">
        <v>1268</v>
      </c>
      <c r="L3450" t="s">
        <v>1269</v>
      </c>
      <c r="M3450" t="s">
        <v>1270</v>
      </c>
      <c r="N3450">
        <v>20</v>
      </c>
      <c r="O3450" t="s">
        <v>40</v>
      </c>
      <c r="P3450" t="s">
        <v>40</v>
      </c>
      <c r="Q3450" t="s">
        <v>40</v>
      </c>
      <c r="S3450" t="s">
        <v>40</v>
      </c>
      <c r="V3450" t="s">
        <v>41</v>
      </c>
      <c r="W3450" t="s">
        <v>42</v>
      </c>
      <c r="X3450" t="str">
        <f>"1990910"</f>
        <v>1990910</v>
      </c>
      <c r="Y3450" t="s">
        <v>1281</v>
      </c>
      <c r="Z3450" t="s">
        <v>1268</v>
      </c>
      <c r="AA3450" t="s">
        <v>1269</v>
      </c>
      <c r="AB3450" t="s">
        <v>1270</v>
      </c>
      <c r="AC3450" t="s">
        <v>165</v>
      </c>
      <c r="AD3450" t="s">
        <v>45</v>
      </c>
      <c r="AE3450" s="1">
        <v>25732</v>
      </c>
      <c r="AF3450">
        <v>2</v>
      </c>
      <c r="AG3450" t="s">
        <v>1269</v>
      </c>
      <c r="AH3450" s="36">
        <f t="shared" si="53"/>
        <v>49.236111111111114</v>
      </c>
      <c r="AI3450" s="41" t="s">
        <v>1780</v>
      </c>
    </row>
    <row r="3451" spans="1:35" x14ac:dyDescent="0.25">
      <c r="A3451" s="36">
        <v>99913449</v>
      </c>
      <c r="B3451" s="17" t="s">
        <v>56</v>
      </c>
      <c r="C3451" t="s">
        <v>68</v>
      </c>
      <c r="D3451" t="s">
        <v>69</v>
      </c>
      <c r="G3451" s="17" t="s">
        <v>48</v>
      </c>
      <c r="H3451" s="17">
        <v>1</v>
      </c>
      <c r="K3451" t="s">
        <v>162</v>
      </c>
      <c r="L3451" t="s">
        <v>158</v>
      </c>
      <c r="M3451" t="s">
        <v>131</v>
      </c>
      <c r="N3451">
        <v>19</v>
      </c>
      <c r="O3451" t="s">
        <v>40</v>
      </c>
      <c r="P3451" t="s">
        <v>40</v>
      </c>
      <c r="Q3451" t="s">
        <v>40</v>
      </c>
      <c r="R3451" t="s">
        <v>40</v>
      </c>
      <c r="S3451" t="s">
        <v>40</v>
      </c>
      <c r="V3451" t="s">
        <v>41</v>
      </c>
      <c r="W3451" t="s">
        <v>42</v>
      </c>
      <c r="X3451" t="str">
        <f>"0580325"</f>
        <v>0580325</v>
      </c>
      <c r="Y3451" t="s">
        <v>170</v>
      </c>
      <c r="Z3451" t="s">
        <v>162</v>
      </c>
      <c r="AA3451" t="s">
        <v>158</v>
      </c>
      <c r="AB3451" t="s">
        <v>131</v>
      </c>
      <c r="AC3451" t="s">
        <v>165</v>
      </c>
      <c r="AD3451" t="s">
        <v>45</v>
      </c>
      <c r="AE3451" s="1">
        <v>25731</v>
      </c>
      <c r="AF3451">
        <v>2</v>
      </c>
      <c r="AG3451" t="s">
        <v>158</v>
      </c>
      <c r="AH3451" s="36">
        <f t="shared" si="53"/>
        <v>49.238888888888887</v>
      </c>
      <c r="AI3451" s="41" t="s">
        <v>1780</v>
      </c>
    </row>
    <row r="3452" spans="1:35" x14ac:dyDescent="0.25">
      <c r="A3452" s="36">
        <v>99913450</v>
      </c>
      <c r="B3452" s="17" t="s">
        <v>32</v>
      </c>
      <c r="C3452" t="s">
        <v>46</v>
      </c>
      <c r="D3452" t="s">
        <v>47</v>
      </c>
      <c r="G3452" s="17" t="s">
        <v>48</v>
      </c>
      <c r="H3452" s="17">
        <v>1</v>
      </c>
      <c r="K3452" t="s">
        <v>936</v>
      </c>
      <c r="L3452" t="s">
        <v>937</v>
      </c>
      <c r="M3452" t="s">
        <v>938</v>
      </c>
      <c r="N3452">
        <v>20</v>
      </c>
      <c r="O3452" t="s">
        <v>40</v>
      </c>
      <c r="P3452" t="s">
        <v>40</v>
      </c>
      <c r="Q3452" t="s">
        <v>40</v>
      </c>
      <c r="R3452" t="s">
        <v>40</v>
      </c>
      <c r="S3452" t="s">
        <v>40</v>
      </c>
      <c r="V3452" t="s">
        <v>41</v>
      </c>
      <c r="W3452" t="s">
        <v>49</v>
      </c>
      <c r="X3452" t="str">
        <f>"0180017"</f>
        <v>0180017</v>
      </c>
      <c r="Y3452" t="s">
        <v>943</v>
      </c>
      <c r="Z3452" t="s">
        <v>936</v>
      </c>
      <c r="AA3452" t="s">
        <v>937</v>
      </c>
      <c r="AB3452" t="s">
        <v>938</v>
      </c>
      <c r="AC3452" t="s">
        <v>51</v>
      </c>
      <c r="AD3452" t="s">
        <v>45</v>
      </c>
      <c r="AE3452" s="1">
        <v>25730</v>
      </c>
      <c r="AF3452">
        <v>2</v>
      </c>
      <c r="AG3452" t="s">
        <v>937</v>
      </c>
      <c r="AH3452" s="36">
        <f t="shared" si="53"/>
        <v>49.241666666666667</v>
      </c>
      <c r="AI3452" s="41" t="s">
        <v>1780</v>
      </c>
    </row>
    <row r="3453" spans="1:35" x14ac:dyDescent="0.25">
      <c r="A3453" s="36">
        <v>99913451</v>
      </c>
      <c r="B3453" s="17" t="s">
        <v>32</v>
      </c>
      <c r="C3453" t="s">
        <v>139</v>
      </c>
      <c r="D3453" t="s">
        <v>140</v>
      </c>
      <c r="G3453" s="17" t="s">
        <v>35</v>
      </c>
      <c r="H3453" s="17">
        <v>1</v>
      </c>
      <c r="K3453" t="s">
        <v>1341</v>
      </c>
      <c r="L3453" t="s">
        <v>1342</v>
      </c>
      <c r="M3453" t="s">
        <v>1270</v>
      </c>
      <c r="N3453">
        <v>11</v>
      </c>
      <c r="O3453" t="s">
        <v>40</v>
      </c>
      <c r="P3453" t="s">
        <v>40</v>
      </c>
      <c r="Q3453" t="s">
        <v>40</v>
      </c>
      <c r="R3453" t="s">
        <v>40</v>
      </c>
      <c r="S3453" t="s">
        <v>40</v>
      </c>
      <c r="V3453" t="s">
        <v>41</v>
      </c>
      <c r="W3453" t="s">
        <v>75</v>
      </c>
      <c r="X3453" t="str">
        <f>"7191006"</f>
        <v>7191006</v>
      </c>
      <c r="Y3453" t="s">
        <v>1351</v>
      </c>
      <c r="Z3453" t="s">
        <v>1341</v>
      </c>
      <c r="AA3453" t="s">
        <v>1342</v>
      </c>
      <c r="AB3453" t="s">
        <v>1270</v>
      </c>
      <c r="AC3453" t="s">
        <v>51</v>
      </c>
      <c r="AD3453" t="s">
        <v>45</v>
      </c>
      <c r="AE3453" s="1">
        <v>25730</v>
      </c>
      <c r="AF3453">
        <v>1</v>
      </c>
      <c r="AG3453" t="s">
        <v>1342</v>
      </c>
      <c r="AH3453" s="36">
        <f t="shared" si="53"/>
        <v>49.241666666666667</v>
      </c>
      <c r="AI3453" s="41" t="s">
        <v>1780</v>
      </c>
    </row>
    <row r="3454" spans="1:35" x14ac:dyDescent="0.25">
      <c r="A3454" s="36">
        <v>99913452</v>
      </c>
      <c r="B3454" s="17" t="s">
        <v>56</v>
      </c>
      <c r="C3454" t="s">
        <v>82</v>
      </c>
      <c r="D3454" t="s">
        <v>83</v>
      </c>
      <c r="G3454" s="17" t="s">
        <v>48</v>
      </c>
      <c r="H3454" s="17">
        <v>1</v>
      </c>
      <c r="K3454" t="s">
        <v>1613</v>
      </c>
      <c r="L3454" t="s">
        <v>1614</v>
      </c>
      <c r="M3454" t="s">
        <v>1592</v>
      </c>
      <c r="N3454">
        <v>9</v>
      </c>
      <c r="O3454" t="s">
        <v>40</v>
      </c>
      <c r="P3454" t="s">
        <v>40</v>
      </c>
      <c r="Q3454" t="s">
        <v>40</v>
      </c>
      <c r="R3454" t="s">
        <v>40</v>
      </c>
      <c r="S3454" t="s">
        <v>40</v>
      </c>
      <c r="V3454" t="s">
        <v>41</v>
      </c>
      <c r="W3454" t="s">
        <v>42</v>
      </c>
      <c r="X3454" t="str">
        <f>"2861001"</f>
        <v>2861001</v>
      </c>
      <c r="Y3454" t="s">
        <v>1621</v>
      </c>
      <c r="Z3454" t="s">
        <v>1613</v>
      </c>
      <c r="AA3454" t="s">
        <v>1614</v>
      </c>
      <c r="AB3454" t="s">
        <v>1592</v>
      </c>
      <c r="AC3454" t="s">
        <v>51</v>
      </c>
      <c r="AD3454" t="s">
        <v>45</v>
      </c>
      <c r="AE3454" s="1">
        <v>25727</v>
      </c>
      <c r="AF3454">
        <v>2</v>
      </c>
      <c r="AG3454" t="s">
        <v>1614</v>
      </c>
      <c r="AH3454" s="36">
        <f t="shared" si="53"/>
        <v>49.25</v>
      </c>
      <c r="AI3454" s="41" t="s">
        <v>1780</v>
      </c>
    </row>
    <row r="3455" spans="1:35" x14ac:dyDescent="0.25">
      <c r="A3455" s="36">
        <v>99913453</v>
      </c>
      <c r="B3455" s="17" t="s">
        <v>32</v>
      </c>
      <c r="C3455" t="s">
        <v>46</v>
      </c>
      <c r="D3455" t="s">
        <v>47</v>
      </c>
      <c r="G3455" s="17" t="s">
        <v>35</v>
      </c>
      <c r="H3455" s="17">
        <v>1</v>
      </c>
      <c r="K3455" t="s">
        <v>162</v>
      </c>
      <c r="L3455" t="s">
        <v>158</v>
      </c>
      <c r="M3455" t="s">
        <v>131</v>
      </c>
      <c r="N3455">
        <v>20</v>
      </c>
      <c r="O3455" t="s">
        <v>40</v>
      </c>
      <c r="P3455" t="s">
        <v>40</v>
      </c>
      <c r="Q3455" t="s">
        <v>40</v>
      </c>
      <c r="R3455" t="s">
        <v>40</v>
      </c>
      <c r="S3455" t="s">
        <v>40</v>
      </c>
      <c r="V3455" t="s">
        <v>41</v>
      </c>
      <c r="W3455" t="s">
        <v>49</v>
      </c>
      <c r="X3455" t="str">
        <f>"0505050"</f>
        <v>0505050</v>
      </c>
      <c r="Y3455" t="s">
        <v>163</v>
      </c>
      <c r="Z3455" t="s">
        <v>162</v>
      </c>
      <c r="AA3455" t="s">
        <v>158</v>
      </c>
      <c r="AB3455" t="s">
        <v>131</v>
      </c>
      <c r="AC3455" t="s">
        <v>165</v>
      </c>
      <c r="AD3455" t="s">
        <v>45</v>
      </c>
      <c r="AE3455" s="1">
        <v>25726</v>
      </c>
      <c r="AF3455">
        <v>2</v>
      </c>
      <c r="AG3455" t="s">
        <v>158</v>
      </c>
      <c r="AH3455" s="36">
        <f t="shared" si="53"/>
        <v>49.25277777777778</v>
      </c>
      <c r="AI3455" s="41" t="s">
        <v>1780</v>
      </c>
    </row>
    <row r="3456" spans="1:35" x14ac:dyDescent="0.25">
      <c r="A3456" s="36">
        <v>99913454</v>
      </c>
      <c r="B3456" s="17" t="s">
        <v>56</v>
      </c>
      <c r="C3456" t="s">
        <v>68</v>
      </c>
      <c r="D3456" t="s">
        <v>69</v>
      </c>
      <c r="G3456" s="17" t="s">
        <v>48</v>
      </c>
      <c r="H3456" s="17">
        <v>1</v>
      </c>
      <c r="K3456" t="s">
        <v>157</v>
      </c>
      <c r="L3456" t="s">
        <v>158</v>
      </c>
      <c r="M3456" t="s">
        <v>131</v>
      </c>
      <c r="N3456">
        <v>21</v>
      </c>
      <c r="O3456" t="s">
        <v>40</v>
      </c>
      <c r="P3456" t="s">
        <v>40</v>
      </c>
      <c r="Q3456" t="s">
        <v>40</v>
      </c>
      <c r="S3456" t="s">
        <v>40</v>
      </c>
      <c r="V3456" t="s">
        <v>41</v>
      </c>
      <c r="W3456" t="s">
        <v>42</v>
      </c>
      <c r="X3456" t="str">
        <f>"0580735"</f>
        <v>0580735</v>
      </c>
      <c r="Y3456" t="s">
        <v>180</v>
      </c>
      <c r="Z3456" t="s">
        <v>157</v>
      </c>
      <c r="AA3456" t="s">
        <v>158</v>
      </c>
      <c r="AB3456" t="s">
        <v>131</v>
      </c>
      <c r="AC3456" t="s">
        <v>51</v>
      </c>
      <c r="AD3456" t="s">
        <v>45</v>
      </c>
      <c r="AE3456" s="1">
        <v>25725</v>
      </c>
      <c r="AF3456">
        <v>2</v>
      </c>
      <c r="AG3456" t="s">
        <v>158</v>
      </c>
      <c r="AH3456" s="36">
        <f t="shared" si="53"/>
        <v>49.255555555555553</v>
      </c>
      <c r="AI3456" s="41" t="s">
        <v>1780</v>
      </c>
    </row>
    <row r="3457" spans="1:35" x14ac:dyDescent="0.25">
      <c r="A3457" s="36">
        <v>99913455</v>
      </c>
      <c r="B3457" s="17" t="s">
        <v>32</v>
      </c>
      <c r="C3457" t="s">
        <v>46</v>
      </c>
      <c r="D3457" t="s">
        <v>47</v>
      </c>
      <c r="G3457" s="17" t="s">
        <v>48</v>
      </c>
      <c r="H3457" s="17">
        <v>1</v>
      </c>
      <c r="K3457" t="s">
        <v>223</v>
      </c>
      <c r="L3457" t="s">
        <v>224</v>
      </c>
      <c r="M3457" t="s">
        <v>131</v>
      </c>
      <c r="N3457">
        <v>14</v>
      </c>
      <c r="O3457" t="s">
        <v>40</v>
      </c>
      <c r="P3457" t="s">
        <v>40</v>
      </c>
      <c r="Q3457" t="s">
        <v>40</v>
      </c>
      <c r="R3457" t="s">
        <v>40</v>
      </c>
      <c r="S3457" t="s">
        <v>40</v>
      </c>
      <c r="V3457" t="s">
        <v>41</v>
      </c>
      <c r="W3457" t="s">
        <v>49</v>
      </c>
      <c r="X3457" t="str">
        <f>"0591910"</f>
        <v>0591910</v>
      </c>
      <c r="Y3457" t="s">
        <v>228</v>
      </c>
      <c r="Z3457" t="s">
        <v>223</v>
      </c>
      <c r="AA3457" t="s">
        <v>224</v>
      </c>
      <c r="AB3457" t="s">
        <v>131</v>
      </c>
      <c r="AC3457" t="s">
        <v>51</v>
      </c>
      <c r="AD3457" t="s">
        <v>45</v>
      </c>
      <c r="AE3457" s="1">
        <v>25724</v>
      </c>
      <c r="AF3457">
        <v>2</v>
      </c>
      <c r="AG3457" t="s">
        <v>224</v>
      </c>
      <c r="AH3457" s="36">
        <f t="shared" si="53"/>
        <v>49.258333333333333</v>
      </c>
      <c r="AI3457" s="41" t="s">
        <v>1780</v>
      </c>
    </row>
    <row r="3458" spans="1:35" x14ac:dyDescent="0.25">
      <c r="A3458" s="36">
        <v>99913456</v>
      </c>
      <c r="B3458" s="17" t="s">
        <v>32</v>
      </c>
      <c r="C3458" t="s">
        <v>46</v>
      </c>
      <c r="D3458" t="s">
        <v>47</v>
      </c>
      <c r="G3458" s="17" t="s">
        <v>48</v>
      </c>
      <c r="H3458" s="17">
        <v>1</v>
      </c>
      <c r="K3458" t="s">
        <v>223</v>
      </c>
      <c r="L3458" t="s">
        <v>224</v>
      </c>
      <c r="M3458" t="s">
        <v>131</v>
      </c>
      <c r="N3458">
        <v>20</v>
      </c>
      <c r="O3458" t="s">
        <v>40</v>
      </c>
      <c r="P3458" t="s">
        <v>40</v>
      </c>
      <c r="Q3458" t="s">
        <v>40</v>
      </c>
      <c r="R3458" t="s">
        <v>40</v>
      </c>
      <c r="S3458" t="s">
        <v>40</v>
      </c>
      <c r="V3458" t="s">
        <v>41</v>
      </c>
      <c r="W3458" t="s">
        <v>49</v>
      </c>
      <c r="X3458" t="str">
        <f>"0591910"</f>
        <v>0591910</v>
      </c>
      <c r="Y3458" t="s">
        <v>228</v>
      </c>
      <c r="Z3458" t="s">
        <v>223</v>
      </c>
      <c r="AA3458" t="s">
        <v>224</v>
      </c>
      <c r="AB3458" t="s">
        <v>131</v>
      </c>
      <c r="AC3458" t="s">
        <v>51</v>
      </c>
      <c r="AD3458" t="s">
        <v>45</v>
      </c>
      <c r="AE3458" s="1">
        <v>25723</v>
      </c>
      <c r="AF3458">
        <v>2</v>
      </c>
      <c r="AG3458" t="s">
        <v>224</v>
      </c>
      <c r="AH3458" s="36">
        <f t="shared" ref="AH3458:AH3521" si="54">($AJ$1-AE3458)/360</f>
        <v>49.261111111111113</v>
      </c>
      <c r="AI3458" s="41" t="s">
        <v>1780</v>
      </c>
    </row>
    <row r="3459" spans="1:35" x14ac:dyDescent="0.25">
      <c r="A3459" s="36">
        <v>99913457</v>
      </c>
      <c r="B3459" s="17" t="s">
        <v>32</v>
      </c>
      <c r="C3459" t="s">
        <v>139</v>
      </c>
      <c r="D3459" t="s">
        <v>140</v>
      </c>
      <c r="G3459" s="17" t="s">
        <v>35</v>
      </c>
      <c r="H3459" s="17">
        <v>1</v>
      </c>
      <c r="I3459" t="s">
        <v>1178</v>
      </c>
      <c r="J3459" s="1">
        <v>43344</v>
      </c>
      <c r="K3459" t="s">
        <v>1171</v>
      </c>
      <c r="L3459" t="s">
        <v>1172</v>
      </c>
      <c r="M3459" t="s">
        <v>1130</v>
      </c>
      <c r="N3459">
        <v>1</v>
      </c>
      <c r="O3459" t="s">
        <v>40</v>
      </c>
      <c r="P3459" t="s">
        <v>40</v>
      </c>
      <c r="Q3459" t="s">
        <v>40</v>
      </c>
      <c r="S3459" t="s">
        <v>40</v>
      </c>
      <c r="U3459" s="1">
        <v>43344</v>
      </c>
      <c r="V3459" t="s">
        <v>41</v>
      </c>
      <c r="W3459" t="s">
        <v>49</v>
      </c>
      <c r="X3459" t="str">
        <f>"3560001"</f>
        <v>3560001</v>
      </c>
      <c r="Y3459" t="s">
        <v>1179</v>
      </c>
      <c r="Z3459" t="s">
        <v>1171</v>
      </c>
      <c r="AA3459" t="s">
        <v>1172</v>
      </c>
      <c r="AB3459" t="s">
        <v>1130</v>
      </c>
      <c r="AC3459" t="s">
        <v>44</v>
      </c>
      <c r="AD3459" t="s">
        <v>45</v>
      </c>
      <c r="AE3459" s="1">
        <v>25722</v>
      </c>
      <c r="AF3459">
        <v>2</v>
      </c>
      <c r="AG3459" t="s">
        <v>1172</v>
      </c>
      <c r="AH3459" s="36">
        <f t="shared" si="54"/>
        <v>49.263888888888886</v>
      </c>
      <c r="AI3459" s="41" t="s">
        <v>1780</v>
      </c>
    </row>
    <row r="3460" spans="1:35" x14ac:dyDescent="0.25">
      <c r="A3460" s="36">
        <v>99913458</v>
      </c>
      <c r="B3460" s="17" t="s">
        <v>32</v>
      </c>
      <c r="C3460" t="s">
        <v>46</v>
      </c>
      <c r="D3460" t="s">
        <v>47</v>
      </c>
      <c r="G3460" s="17" t="s">
        <v>88</v>
      </c>
      <c r="H3460" s="17">
        <v>1</v>
      </c>
      <c r="I3460" t="s">
        <v>1323</v>
      </c>
      <c r="K3460" t="s">
        <v>1306</v>
      </c>
      <c r="L3460" t="s">
        <v>1307</v>
      </c>
      <c r="M3460" t="s">
        <v>1270</v>
      </c>
      <c r="N3460">
        <v>21</v>
      </c>
      <c r="O3460" t="s">
        <v>40</v>
      </c>
      <c r="P3460" t="s">
        <v>40</v>
      </c>
      <c r="Q3460" t="s">
        <v>40</v>
      </c>
      <c r="R3460" t="s">
        <v>40</v>
      </c>
      <c r="S3460" t="s">
        <v>40</v>
      </c>
      <c r="V3460" t="s">
        <v>41</v>
      </c>
      <c r="W3460" t="s">
        <v>49</v>
      </c>
      <c r="X3460" t="str">
        <f>"1991913"</f>
        <v>1991913</v>
      </c>
      <c r="Y3460" t="s">
        <v>1310</v>
      </c>
      <c r="Z3460" t="s">
        <v>1306</v>
      </c>
      <c r="AA3460" t="s">
        <v>1307</v>
      </c>
      <c r="AB3460" t="s">
        <v>1270</v>
      </c>
      <c r="AC3460" t="s">
        <v>51</v>
      </c>
      <c r="AD3460" t="s">
        <v>45</v>
      </c>
      <c r="AE3460" s="1">
        <v>25720</v>
      </c>
      <c r="AF3460">
        <v>2</v>
      </c>
      <c r="AG3460" t="s">
        <v>1307</v>
      </c>
      <c r="AH3460" s="36">
        <f t="shared" si="54"/>
        <v>49.269444444444446</v>
      </c>
      <c r="AI3460" s="41" t="s">
        <v>1780</v>
      </c>
    </row>
    <row r="3461" spans="1:35" x14ac:dyDescent="0.25">
      <c r="A3461" s="36">
        <v>99913459</v>
      </c>
      <c r="B3461" s="17" t="s">
        <v>56</v>
      </c>
      <c r="C3461" t="s">
        <v>79</v>
      </c>
      <c r="D3461" t="s">
        <v>80</v>
      </c>
      <c r="G3461" s="17" t="s">
        <v>48</v>
      </c>
      <c r="H3461" s="17">
        <v>1</v>
      </c>
      <c r="K3461" t="s">
        <v>223</v>
      </c>
      <c r="L3461" t="s">
        <v>224</v>
      </c>
      <c r="M3461" t="s">
        <v>131</v>
      </c>
      <c r="N3461">
        <v>22</v>
      </c>
      <c r="O3461" t="s">
        <v>40</v>
      </c>
      <c r="P3461" t="s">
        <v>40</v>
      </c>
      <c r="Q3461" t="s">
        <v>40</v>
      </c>
      <c r="R3461" t="s">
        <v>40</v>
      </c>
      <c r="S3461" t="s">
        <v>40</v>
      </c>
      <c r="V3461" t="s">
        <v>41</v>
      </c>
      <c r="W3461" t="s">
        <v>49</v>
      </c>
      <c r="X3461" t="str">
        <f>"0581265"</f>
        <v>0581265</v>
      </c>
      <c r="Y3461" t="s">
        <v>236</v>
      </c>
      <c r="Z3461" t="s">
        <v>223</v>
      </c>
      <c r="AA3461" t="s">
        <v>224</v>
      </c>
      <c r="AB3461" t="s">
        <v>131</v>
      </c>
      <c r="AC3461" t="s">
        <v>51</v>
      </c>
      <c r="AD3461" t="s">
        <v>45</v>
      </c>
      <c r="AE3461" s="1">
        <v>25715</v>
      </c>
      <c r="AF3461">
        <v>2</v>
      </c>
      <c r="AG3461" t="s">
        <v>224</v>
      </c>
      <c r="AH3461" s="36">
        <f t="shared" si="54"/>
        <v>49.283333333333331</v>
      </c>
      <c r="AI3461" s="41" t="s">
        <v>1780</v>
      </c>
    </row>
    <row r="3462" spans="1:35" x14ac:dyDescent="0.25">
      <c r="A3462" s="36">
        <v>99913460</v>
      </c>
      <c r="B3462" s="17" t="s">
        <v>32</v>
      </c>
      <c r="C3462" t="s">
        <v>90</v>
      </c>
      <c r="D3462" t="s">
        <v>91</v>
      </c>
      <c r="G3462" s="17" t="s">
        <v>35</v>
      </c>
      <c r="H3462" s="17">
        <v>1</v>
      </c>
      <c r="K3462" t="s">
        <v>1198</v>
      </c>
      <c r="L3462" t="s">
        <v>1199</v>
      </c>
      <c r="M3462" t="s">
        <v>1130</v>
      </c>
      <c r="N3462">
        <v>25</v>
      </c>
      <c r="O3462" t="s">
        <v>40</v>
      </c>
      <c r="Q3462" t="s">
        <v>40</v>
      </c>
      <c r="S3462" t="s">
        <v>40</v>
      </c>
      <c r="V3462" t="s">
        <v>41</v>
      </c>
      <c r="W3462" t="s">
        <v>95</v>
      </c>
      <c r="X3462" t="str">
        <f>"7311001"</f>
        <v>7311001</v>
      </c>
      <c r="Y3462" t="s">
        <v>1201</v>
      </c>
      <c r="Z3462" t="s">
        <v>1198</v>
      </c>
      <c r="AA3462" t="s">
        <v>1199</v>
      </c>
      <c r="AB3462" t="s">
        <v>1130</v>
      </c>
      <c r="AC3462" t="s">
        <v>51</v>
      </c>
      <c r="AD3462" t="s">
        <v>45</v>
      </c>
      <c r="AE3462" s="1">
        <v>25715</v>
      </c>
      <c r="AF3462">
        <v>1</v>
      </c>
      <c r="AG3462" t="s">
        <v>1199</v>
      </c>
      <c r="AH3462" s="36">
        <f t="shared" si="54"/>
        <v>49.283333333333331</v>
      </c>
      <c r="AI3462" s="41" t="s">
        <v>1780</v>
      </c>
    </row>
    <row r="3463" spans="1:35" x14ac:dyDescent="0.25">
      <c r="A3463" s="36">
        <v>99913461</v>
      </c>
      <c r="B3463" s="17" t="s">
        <v>32</v>
      </c>
      <c r="C3463" t="s">
        <v>111</v>
      </c>
      <c r="D3463" t="s">
        <v>112</v>
      </c>
      <c r="G3463" s="17" t="s">
        <v>48</v>
      </c>
      <c r="H3463" s="17">
        <v>1</v>
      </c>
      <c r="K3463" t="s">
        <v>268</v>
      </c>
      <c r="L3463" t="s">
        <v>269</v>
      </c>
      <c r="M3463" t="s">
        <v>131</v>
      </c>
      <c r="N3463">
        <v>22</v>
      </c>
      <c r="O3463" t="s">
        <v>40</v>
      </c>
      <c r="P3463" t="s">
        <v>40</v>
      </c>
      <c r="Q3463" t="s">
        <v>40</v>
      </c>
      <c r="S3463" t="s">
        <v>40</v>
      </c>
      <c r="V3463" t="s">
        <v>41</v>
      </c>
      <c r="W3463" t="s">
        <v>75</v>
      </c>
      <c r="X3463" t="str">
        <f>"7052008"</f>
        <v>7052008</v>
      </c>
      <c r="Y3463" t="s">
        <v>274</v>
      </c>
      <c r="Z3463" t="s">
        <v>268</v>
      </c>
      <c r="AA3463" t="s">
        <v>269</v>
      </c>
      <c r="AB3463" t="s">
        <v>131</v>
      </c>
      <c r="AC3463" t="s">
        <v>51</v>
      </c>
      <c r="AD3463" t="s">
        <v>45</v>
      </c>
      <c r="AE3463" s="1">
        <v>25714</v>
      </c>
      <c r="AF3463">
        <v>1</v>
      </c>
      <c r="AG3463" t="s">
        <v>269</v>
      </c>
      <c r="AH3463" s="36">
        <f t="shared" si="54"/>
        <v>49.286111111111111</v>
      </c>
      <c r="AI3463" s="41" t="s">
        <v>1780</v>
      </c>
    </row>
    <row r="3464" spans="1:35" x14ac:dyDescent="0.25">
      <c r="A3464" s="36">
        <v>99913462</v>
      </c>
      <c r="B3464" s="17" t="s">
        <v>56</v>
      </c>
      <c r="C3464" t="s">
        <v>64</v>
      </c>
      <c r="D3464" t="s">
        <v>65</v>
      </c>
      <c r="G3464" s="17" t="s">
        <v>35</v>
      </c>
      <c r="H3464" s="17">
        <v>1</v>
      </c>
      <c r="K3464" t="s">
        <v>223</v>
      </c>
      <c r="L3464" t="s">
        <v>224</v>
      </c>
      <c r="M3464" t="s">
        <v>131</v>
      </c>
      <c r="N3464">
        <v>18</v>
      </c>
      <c r="O3464" t="s">
        <v>40</v>
      </c>
      <c r="P3464" t="s">
        <v>40</v>
      </c>
      <c r="Q3464" t="s">
        <v>40</v>
      </c>
      <c r="R3464" t="s">
        <v>40</v>
      </c>
      <c r="S3464" t="s">
        <v>40</v>
      </c>
      <c r="V3464" t="s">
        <v>41</v>
      </c>
      <c r="W3464" t="s">
        <v>49</v>
      </c>
      <c r="X3464" t="str">
        <f>"0591901"</f>
        <v>0591901</v>
      </c>
      <c r="Y3464" t="s">
        <v>230</v>
      </c>
      <c r="Z3464" t="s">
        <v>223</v>
      </c>
      <c r="AA3464" t="s">
        <v>224</v>
      </c>
      <c r="AB3464" t="s">
        <v>131</v>
      </c>
      <c r="AC3464" t="s">
        <v>51</v>
      </c>
      <c r="AD3464" t="s">
        <v>45</v>
      </c>
      <c r="AE3464" s="1">
        <v>25713</v>
      </c>
      <c r="AF3464">
        <v>2</v>
      </c>
      <c r="AG3464" t="s">
        <v>224</v>
      </c>
      <c r="AH3464" s="36">
        <f t="shared" si="54"/>
        <v>49.288888888888891</v>
      </c>
      <c r="AI3464" s="41" t="s">
        <v>1780</v>
      </c>
    </row>
    <row r="3465" spans="1:35" x14ac:dyDescent="0.25">
      <c r="A3465" s="36">
        <v>99913463</v>
      </c>
      <c r="B3465" s="17" t="s">
        <v>32</v>
      </c>
      <c r="C3465" t="s">
        <v>139</v>
      </c>
      <c r="D3465" t="s">
        <v>140</v>
      </c>
      <c r="G3465" s="17" t="s">
        <v>35</v>
      </c>
      <c r="H3465" s="17">
        <v>1</v>
      </c>
      <c r="I3465">
        <v>19020</v>
      </c>
      <c r="J3465" s="1">
        <v>43344</v>
      </c>
      <c r="K3465" t="s">
        <v>129</v>
      </c>
      <c r="L3465" t="s">
        <v>130</v>
      </c>
      <c r="M3465" t="s">
        <v>131</v>
      </c>
      <c r="N3465">
        <v>21</v>
      </c>
      <c r="O3465" t="s">
        <v>40</v>
      </c>
      <c r="P3465" t="s">
        <v>40</v>
      </c>
      <c r="Q3465" t="s">
        <v>40</v>
      </c>
      <c r="R3465" t="s">
        <v>40</v>
      </c>
      <c r="S3465" t="s">
        <v>40</v>
      </c>
      <c r="U3465" s="1">
        <v>43344</v>
      </c>
      <c r="V3465" t="s">
        <v>41</v>
      </c>
      <c r="W3465" t="s">
        <v>49</v>
      </c>
      <c r="X3465" t="str">
        <f>"0591905"</f>
        <v>0591905</v>
      </c>
      <c r="Y3465" t="s">
        <v>135</v>
      </c>
      <c r="Z3465" t="s">
        <v>129</v>
      </c>
      <c r="AA3465" t="s">
        <v>130</v>
      </c>
      <c r="AB3465" t="s">
        <v>131</v>
      </c>
      <c r="AC3465" t="s">
        <v>51</v>
      </c>
      <c r="AD3465" t="s">
        <v>45</v>
      </c>
      <c r="AE3465" s="1">
        <v>25712</v>
      </c>
      <c r="AF3465">
        <v>2</v>
      </c>
      <c r="AG3465" t="s">
        <v>130</v>
      </c>
      <c r="AH3465" s="36">
        <f t="shared" si="54"/>
        <v>49.291666666666664</v>
      </c>
      <c r="AI3465" s="41" t="s">
        <v>1780</v>
      </c>
    </row>
    <row r="3466" spans="1:35" x14ac:dyDescent="0.25">
      <c r="A3466" s="36">
        <v>99913464</v>
      </c>
      <c r="B3466" s="17" t="s">
        <v>56</v>
      </c>
      <c r="C3466" t="s">
        <v>52</v>
      </c>
      <c r="D3466" t="s">
        <v>53</v>
      </c>
      <c r="G3466" s="17" t="s">
        <v>48</v>
      </c>
      <c r="H3466" s="17">
        <v>1</v>
      </c>
      <c r="K3466" t="s">
        <v>223</v>
      </c>
      <c r="L3466" t="s">
        <v>224</v>
      </c>
      <c r="M3466" t="s">
        <v>131</v>
      </c>
      <c r="N3466">
        <v>20</v>
      </c>
      <c r="O3466" t="s">
        <v>40</v>
      </c>
      <c r="P3466" t="s">
        <v>40</v>
      </c>
      <c r="Q3466" t="s">
        <v>40</v>
      </c>
      <c r="R3466" t="s">
        <v>40</v>
      </c>
      <c r="S3466" t="s">
        <v>40</v>
      </c>
      <c r="V3466" t="s">
        <v>41</v>
      </c>
      <c r="W3466" t="s">
        <v>42</v>
      </c>
      <c r="X3466" t="str">
        <f>"0580200"</f>
        <v>0580200</v>
      </c>
      <c r="Y3466" t="s">
        <v>245</v>
      </c>
      <c r="Z3466" t="s">
        <v>223</v>
      </c>
      <c r="AA3466" t="s">
        <v>224</v>
      </c>
      <c r="AB3466" t="s">
        <v>131</v>
      </c>
      <c r="AC3466" t="s">
        <v>51</v>
      </c>
      <c r="AD3466" t="s">
        <v>45</v>
      </c>
      <c r="AE3466" s="1">
        <v>25712</v>
      </c>
      <c r="AF3466">
        <v>2</v>
      </c>
      <c r="AG3466" t="s">
        <v>224</v>
      </c>
      <c r="AH3466" s="36">
        <f t="shared" si="54"/>
        <v>49.291666666666664</v>
      </c>
      <c r="AI3466" s="41" t="s">
        <v>1780</v>
      </c>
    </row>
    <row r="3467" spans="1:35" x14ac:dyDescent="0.25">
      <c r="A3467" s="36">
        <v>99913465</v>
      </c>
      <c r="B3467" s="17" t="s">
        <v>56</v>
      </c>
      <c r="C3467" t="s">
        <v>68</v>
      </c>
      <c r="D3467" t="s">
        <v>69</v>
      </c>
      <c r="G3467" s="17" t="s">
        <v>35</v>
      </c>
      <c r="H3467" s="17">
        <v>1</v>
      </c>
      <c r="K3467" t="s">
        <v>223</v>
      </c>
      <c r="L3467" t="s">
        <v>224</v>
      </c>
      <c r="M3467" t="s">
        <v>131</v>
      </c>
      <c r="N3467">
        <v>20</v>
      </c>
      <c r="O3467" t="s">
        <v>40</v>
      </c>
      <c r="P3467" t="s">
        <v>40</v>
      </c>
      <c r="Q3467" t="s">
        <v>40</v>
      </c>
      <c r="S3467" t="s">
        <v>40</v>
      </c>
      <c r="V3467" t="s">
        <v>41</v>
      </c>
      <c r="W3467" t="s">
        <v>42</v>
      </c>
      <c r="X3467" t="str">
        <f>"0580396"</f>
        <v>0580396</v>
      </c>
      <c r="Y3467" t="s">
        <v>255</v>
      </c>
      <c r="Z3467" t="s">
        <v>223</v>
      </c>
      <c r="AA3467" t="s">
        <v>224</v>
      </c>
      <c r="AB3467" t="s">
        <v>131</v>
      </c>
      <c r="AC3467" t="s">
        <v>51</v>
      </c>
      <c r="AD3467" t="s">
        <v>45</v>
      </c>
      <c r="AE3467" s="1">
        <v>25711</v>
      </c>
      <c r="AF3467">
        <v>2</v>
      </c>
      <c r="AG3467" t="s">
        <v>224</v>
      </c>
      <c r="AH3467" s="36">
        <f t="shared" si="54"/>
        <v>49.294444444444444</v>
      </c>
      <c r="AI3467" s="41" t="s">
        <v>1780</v>
      </c>
    </row>
    <row r="3468" spans="1:35" x14ac:dyDescent="0.25">
      <c r="A3468" s="36">
        <v>99913466</v>
      </c>
      <c r="B3468" s="17" t="s">
        <v>56</v>
      </c>
      <c r="C3468" t="s">
        <v>145</v>
      </c>
      <c r="D3468" t="s">
        <v>146</v>
      </c>
      <c r="G3468" s="17" t="s">
        <v>35</v>
      </c>
      <c r="H3468" s="17">
        <v>1</v>
      </c>
      <c r="I3468" t="s">
        <v>1599</v>
      </c>
      <c r="J3468" s="1">
        <v>43344</v>
      </c>
      <c r="K3468" t="s">
        <v>1590</v>
      </c>
      <c r="L3468" t="s">
        <v>1591</v>
      </c>
      <c r="M3468" t="s">
        <v>1592</v>
      </c>
      <c r="N3468">
        <v>20</v>
      </c>
      <c r="O3468" t="s">
        <v>40</v>
      </c>
      <c r="S3468" t="s">
        <v>40</v>
      </c>
      <c r="U3468" s="1">
        <v>43344</v>
      </c>
      <c r="V3468" t="s">
        <v>41</v>
      </c>
      <c r="W3468" t="s">
        <v>42</v>
      </c>
      <c r="X3468" t="str">
        <f>"0280020"</f>
        <v>0280020</v>
      </c>
      <c r="Y3468" t="s">
        <v>1597</v>
      </c>
      <c r="Z3468" t="s">
        <v>1590</v>
      </c>
      <c r="AA3468" t="s">
        <v>1591</v>
      </c>
      <c r="AB3468" t="s">
        <v>1592</v>
      </c>
      <c r="AC3468" t="s">
        <v>51</v>
      </c>
      <c r="AD3468" t="s">
        <v>45</v>
      </c>
      <c r="AE3468" s="1">
        <v>25710</v>
      </c>
      <c r="AF3468">
        <v>2</v>
      </c>
      <c r="AG3468" t="s">
        <v>1591</v>
      </c>
      <c r="AH3468" s="36">
        <f t="shared" si="54"/>
        <v>49.297222222222224</v>
      </c>
      <c r="AI3468" s="41" t="s">
        <v>1780</v>
      </c>
    </row>
    <row r="3469" spans="1:35" x14ac:dyDescent="0.25">
      <c r="A3469" s="36">
        <v>99913467</v>
      </c>
      <c r="B3469" s="17" t="s">
        <v>32</v>
      </c>
      <c r="C3469" t="s">
        <v>46</v>
      </c>
      <c r="D3469" t="s">
        <v>47</v>
      </c>
      <c r="G3469" s="17" t="s">
        <v>48</v>
      </c>
      <c r="H3469" s="17">
        <v>1</v>
      </c>
      <c r="K3469" t="s">
        <v>162</v>
      </c>
      <c r="L3469" t="s">
        <v>158</v>
      </c>
      <c r="M3469" t="s">
        <v>131</v>
      </c>
      <c r="N3469">
        <v>16</v>
      </c>
      <c r="O3469" t="s">
        <v>40</v>
      </c>
      <c r="P3469" t="s">
        <v>40</v>
      </c>
      <c r="Q3469" t="s">
        <v>40</v>
      </c>
      <c r="R3469" t="s">
        <v>40</v>
      </c>
      <c r="S3469" t="s">
        <v>40</v>
      </c>
      <c r="V3469" t="s">
        <v>41</v>
      </c>
      <c r="W3469" t="s">
        <v>49</v>
      </c>
      <c r="X3469" t="str">
        <f>"0560003"</f>
        <v>0560003</v>
      </c>
      <c r="Y3469" t="s">
        <v>181</v>
      </c>
      <c r="Z3469" t="s">
        <v>162</v>
      </c>
      <c r="AA3469" t="s">
        <v>158</v>
      </c>
      <c r="AB3469" t="s">
        <v>131</v>
      </c>
      <c r="AC3469" t="s">
        <v>51</v>
      </c>
      <c r="AD3469" t="s">
        <v>45</v>
      </c>
      <c r="AE3469" s="1">
        <v>25709</v>
      </c>
      <c r="AF3469">
        <v>2</v>
      </c>
      <c r="AG3469" t="s">
        <v>158</v>
      </c>
      <c r="AH3469" s="36">
        <f t="shared" si="54"/>
        <v>49.3</v>
      </c>
      <c r="AI3469" s="41" t="s">
        <v>1780</v>
      </c>
    </row>
    <row r="3470" spans="1:35" x14ac:dyDescent="0.25">
      <c r="A3470" s="36">
        <v>99913468</v>
      </c>
      <c r="B3470" s="17" t="s">
        <v>32</v>
      </c>
      <c r="C3470" t="s">
        <v>64</v>
      </c>
      <c r="D3470" t="s">
        <v>65</v>
      </c>
      <c r="G3470" s="17" t="s">
        <v>48</v>
      </c>
      <c r="H3470" s="17">
        <v>11</v>
      </c>
      <c r="K3470" t="s">
        <v>354</v>
      </c>
      <c r="L3470" t="s">
        <v>355</v>
      </c>
      <c r="M3470" t="s">
        <v>131</v>
      </c>
      <c r="N3470">
        <v>21</v>
      </c>
      <c r="O3470" t="s">
        <v>40</v>
      </c>
      <c r="P3470" t="s">
        <v>40</v>
      </c>
      <c r="Q3470" t="s">
        <v>40</v>
      </c>
      <c r="R3470" t="s">
        <v>40</v>
      </c>
      <c r="S3470" t="s">
        <v>40</v>
      </c>
      <c r="V3470" t="s">
        <v>41</v>
      </c>
      <c r="W3470" t="s">
        <v>75</v>
      </c>
      <c r="X3470" t="str">
        <f>"7054022"</f>
        <v>7054022</v>
      </c>
      <c r="Y3470" t="s">
        <v>770</v>
      </c>
      <c r="Z3470" t="s">
        <v>354</v>
      </c>
      <c r="AA3470" t="s">
        <v>355</v>
      </c>
      <c r="AB3470" t="s">
        <v>131</v>
      </c>
      <c r="AC3470" t="s">
        <v>51</v>
      </c>
      <c r="AD3470" t="s">
        <v>45</v>
      </c>
      <c r="AE3470" s="1">
        <v>25708</v>
      </c>
      <c r="AF3470">
        <v>1</v>
      </c>
      <c r="AG3470" t="s">
        <v>355</v>
      </c>
      <c r="AH3470" s="36">
        <f t="shared" si="54"/>
        <v>49.302777777777777</v>
      </c>
      <c r="AI3470" s="41" t="s">
        <v>1780</v>
      </c>
    </row>
    <row r="3471" spans="1:35" x14ac:dyDescent="0.25">
      <c r="A3471" s="36">
        <v>99913469</v>
      </c>
      <c r="B3471" s="17" t="s">
        <v>32</v>
      </c>
      <c r="C3471" t="s">
        <v>111</v>
      </c>
      <c r="D3471" t="s">
        <v>112</v>
      </c>
      <c r="G3471" s="17" t="s">
        <v>48</v>
      </c>
      <c r="H3471" s="17">
        <v>1</v>
      </c>
      <c r="K3471" t="s">
        <v>268</v>
      </c>
      <c r="L3471" t="s">
        <v>269</v>
      </c>
      <c r="M3471" t="s">
        <v>131</v>
      </c>
      <c r="N3471">
        <v>21</v>
      </c>
      <c r="O3471" t="s">
        <v>40</v>
      </c>
      <c r="P3471" t="s">
        <v>40</v>
      </c>
      <c r="Q3471" t="s">
        <v>40</v>
      </c>
      <c r="R3471" t="s">
        <v>40</v>
      </c>
      <c r="S3471" t="s">
        <v>40</v>
      </c>
      <c r="V3471" t="s">
        <v>41</v>
      </c>
      <c r="W3471" t="s">
        <v>75</v>
      </c>
      <c r="X3471" t="str">
        <f>"7052028"</f>
        <v>7052028</v>
      </c>
      <c r="Y3471" t="s">
        <v>601</v>
      </c>
      <c r="Z3471" t="s">
        <v>268</v>
      </c>
      <c r="AA3471" t="s">
        <v>269</v>
      </c>
      <c r="AB3471" t="s">
        <v>131</v>
      </c>
      <c r="AC3471" t="s">
        <v>51</v>
      </c>
      <c r="AD3471" t="s">
        <v>45</v>
      </c>
      <c r="AE3471" s="1">
        <v>25706</v>
      </c>
      <c r="AF3471">
        <v>1</v>
      </c>
      <c r="AG3471" t="s">
        <v>269</v>
      </c>
      <c r="AH3471" s="36">
        <f t="shared" si="54"/>
        <v>49.30833333333333</v>
      </c>
      <c r="AI3471" s="41" t="s">
        <v>1780</v>
      </c>
    </row>
    <row r="3472" spans="1:35" x14ac:dyDescent="0.25">
      <c r="A3472" s="36">
        <v>99913470</v>
      </c>
      <c r="B3472" s="17" t="s">
        <v>56</v>
      </c>
      <c r="C3472" t="s">
        <v>82</v>
      </c>
      <c r="D3472" t="s">
        <v>83</v>
      </c>
      <c r="G3472" s="17" t="s">
        <v>48</v>
      </c>
      <c r="H3472" s="17">
        <v>1</v>
      </c>
      <c r="K3472" t="s">
        <v>300</v>
      </c>
      <c r="L3472" t="s">
        <v>301</v>
      </c>
      <c r="M3472" t="s">
        <v>131</v>
      </c>
      <c r="N3472">
        <v>16</v>
      </c>
      <c r="O3472" t="s">
        <v>40</v>
      </c>
      <c r="P3472" t="s">
        <v>40</v>
      </c>
      <c r="Q3472" t="s">
        <v>40</v>
      </c>
      <c r="R3472" t="s">
        <v>40</v>
      </c>
      <c r="S3472" t="s">
        <v>40</v>
      </c>
      <c r="V3472" t="s">
        <v>41</v>
      </c>
      <c r="W3472" t="s">
        <v>42</v>
      </c>
      <c r="X3472" t="str">
        <f>"0561001"</f>
        <v>0561001</v>
      </c>
      <c r="Y3472" t="s">
        <v>308</v>
      </c>
      <c r="Z3472" t="s">
        <v>300</v>
      </c>
      <c r="AA3472" t="s">
        <v>301</v>
      </c>
      <c r="AB3472" t="s">
        <v>131</v>
      </c>
      <c r="AC3472" t="s">
        <v>51</v>
      </c>
      <c r="AD3472" t="s">
        <v>45</v>
      </c>
      <c r="AE3472" s="1">
        <v>25705</v>
      </c>
      <c r="AF3472">
        <v>2</v>
      </c>
      <c r="AG3472" t="s">
        <v>301</v>
      </c>
      <c r="AH3472" s="36">
        <f t="shared" si="54"/>
        <v>49.31111111111111</v>
      </c>
      <c r="AI3472" s="41" t="s">
        <v>1780</v>
      </c>
    </row>
    <row r="3473" spans="1:35" x14ac:dyDescent="0.25">
      <c r="A3473" s="36">
        <v>99913471</v>
      </c>
      <c r="B3473" s="17" t="s">
        <v>56</v>
      </c>
      <c r="C3473" t="s">
        <v>79</v>
      </c>
      <c r="D3473" t="s">
        <v>80</v>
      </c>
      <c r="G3473" s="17" t="s">
        <v>48</v>
      </c>
      <c r="H3473" s="17">
        <v>1</v>
      </c>
      <c r="K3473" t="s">
        <v>223</v>
      </c>
      <c r="L3473" t="s">
        <v>224</v>
      </c>
      <c r="M3473" t="s">
        <v>131</v>
      </c>
      <c r="N3473">
        <v>20</v>
      </c>
      <c r="O3473" t="s">
        <v>40</v>
      </c>
      <c r="P3473" t="s">
        <v>40</v>
      </c>
      <c r="Q3473" t="s">
        <v>40</v>
      </c>
      <c r="S3473" t="s">
        <v>40</v>
      </c>
      <c r="V3473" t="s">
        <v>41</v>
      </c>
      <c r="W3473" t="s">
        <v>49</v>
      </c>
      <c r="X3473" t="str">
        <f>"0581206"</f>
        <v>0581206</v>
      </c>
      <c r="Y3473" t="s">
        <v>232</v>
      </c>
      <c r="Z3473" t="s">
        <v>223</v>
      </c>
      <c r="AA3473" t="s">
        <v>224</v>
      </c>
      <c r="AB3473" t="s">
        <v>131</v>
      </c>
      <c r="AC3473" t="s">
        <v>51</v>
      </c>
      <c r="AD3473" t="s">
        <v>45</v>
      </c>
      <c r="AE3473" s="1">
        <v>25704</v>
      </c>
      <c r="AF3473">
        <v>2</v>
      </c>
      <c r="AG3473" t="s">
        <v>224</v>
      </c>
      <c r="AH3473" s="36">
        <f t="shared" si="54"/>
        <v>49.31388888888889</v>
      </c>
      <c r="AI3473" s="41" t="s">
        <v>1780</v>
      </c>
    </row>
    <row r="3474" spans="1:35" x14ac:dyDescent="0.25">
      <c r="A3474" s="36">
        <v>99913472</v>
      </c>
      <c r="B3474" s="17" t="s">
        <v>32</v>
      </c>
      <c r="C3474" t="s">
        <v>52</v>
      </c>
      <c r="D3474" t="s">
        <v>53</v>
      </c>
      <c r="G3474" s="17" t="s">
        <v>48</v>
      </c>
      <c r="H3474" s="17">
        <v>1</v>
      </c>
      <c r="K3474" t="s">
        <v>223</v>
      </c>
      <c r="L3474" t="s">
        <v>224</v>
      </c>
      <c r="M3474" t="s">
        <v>131</v>
      </c>
      <c r="N3474">
        <v>20</v>
      </c>
      <c r="O3474" t="s">
        <v>40</v>
      </c>
      <c r="P3474" t="s">
        <v>40</v>
      </c>
      <c r="Q3474" t="s">
        <v>40</v>
      </c>
      <c r="S3474" t="s">
        <v>40</v>
      </c>
      <c r="V3474" t="s">
        <v>41</v>
      </c>
      <c r="W3474" t="s">
        <v>49</v>
      </c>
      <c r="X3474" t="str">
        <f>"0581202"</f>
        <v>0581202</v>
      </c>
      <c r="Y3474" t="s">
        <v>248</v>
      </c>
      <c r="Z3474" t="s">
        <v>223</v>
      </c>
      <c r="AA3474" t="s">
        <v>224</v>
      </c>
      <c r="AB3474" t="s">
        <v>131</v>
      </c>
      <c r="AC3474" t="s">
        <v>165</v>
      </c>
      <c r="AD3474" t="s">
        <v>45</v>
      </c>
      <c r="AE3474" s="1">
        <v>25704</v>
      </c>
      <c r="AF3474">
        <v>2</v>
      </c>
      <c r="AG3474" t="s">
        <v>224</v>
      </c>
      <c r="AH3474" s="36">
        <f t="shared" si="54"/>
        <v>49.31388888888889</v>
      </c>
      <c r="AI3474" s="41" t="s">
        <v>1780</v>
      </c>
    </row>
    <row r="3475" spans="1:35" x14ac:dyDescent="0.25">
      <c r="A3475" s="36">
        <v>99913473</v>
      </c>
      <c r="B3475" s="17" t="s">
        <v>32</v>
      </c>
      <c r="C3475" t="s">
        <v>46</v>
      </c>
      <c r="D3475" t="s">
        <v>47</v>
      </c>
      <c r="G3475" s="17" t="s">
        <v>35</v>
      </c>
      <c r="H3475" s="17">
        <v>1</v>
      </c>
      <c r="K3475" t="s">
        <v>223</v>
      </c>
      <c r="L3475" t="s">
        <v>224</v>
      </c>
      <c r="M3475" t="s">
        <v>131</v>
      </c>
      <c r="N3475">
        <v>21</v>
      </c>
      <c r="O3475" t="s">
        <v>40</v>
      </c>
      <c r="P3475" t="s">
        <v>40</v>
      </c>
      <c r="Q3475" t="s">
        <v>40</v>
      </c>
      <c r="R3475" t="s">
        <v>40</v>
      </c>
      <c r="S3475" t="s">
        <v>40</v>
      </c>
      <c r="V3475" t="s">
        <v>41</v>
      </c>
      <c r="W3475" t="s">
        <v>42</v>
      </c>
      <c r="X3475" t="str">
        <f>"0580396"</f>
        <v>0580396</v>
      </c>
      <c r="Y3475" t="s">
        <v>255</v>
      </c>
      <c r="Z3475" t="s">
        <v>223</v>
      </c>
      <c r="AA3475" t="s">
        <v>224</v>
      </c>
      <c r="AB3475" t="s">
        <v>131</v>
      </c>
      <c r="AC3475" t="s">
        <v>51</v>
      </c>
      <c r="AD3475" t="s">
        <v>45</v>
      </c>
      <c r="AE3475" s="1">
        <v>25703</v>
      </c>
      <c r="AF3475">
        <v>2</v>
      </c>
      <c r="AG3475" t="s">
        <v>224</v>
      </c>
      <c r="AH3475" s="36">
        <f t="shared" si="54"/>
        <v>49.31666666666667</v>
      </c>
      <c r="AI3475" s="41" t="s">
        <v>1780</v>
      </c>
    </row>
    <row r="3476" spans="1:35" x14ac:dyDescent="0.25">
      <c r="A3476" s="36">
        <v>99913474</v>
      </c>
      <c r="B3476" s="17" t="s">
        <v>32</v>
      </c>
      <c r="C3476" t="s">
        <v>111</v>
      </c>
      <c r="D3476" t="s">
        <v>112</v>
      </c>
      <c r="G3476" s="17" t="s">
        <v>48</v>
      </c>
      <c r="H3476" s="17">
        <v>1</v>
      </c>
      <c r="K3476" t="s">
        <v>154</v>
      </c>
      <c r="L3476" t="s">
        <v>355</v>
      </c>
      <c r="M3476" t="s">
        <v>131</v>
      </c>
      <c r="N3476">
        <v>21</v>
      </c>
      <c r="O3476" t="s">
        <v>40</v>
      </c>
      <c r="P3476" t="s">
        <v>40</v>
      </c>
      <c r="Q3476" t="s">
        <v>40</v>
      </c>
      <c r="R3476" t="s">
        <v>40</v>
      </c>
      <c r="S3476" t="s">
        <v>40</v>
      </c>
      <c r="V3476" t="s">
        <v>41</v>
      </c>
      <c r="W3476" t="s">
        <v>75</v>
      </c>
      <c r="X3476" t="str">
        <f>"7051022"</f>
        <v>7051022</v>
      </c>
      <c r="Y3476" t="s">
        <v>153</v>
      </c>
      <c r="Z3476" t="s">
        <v>154</v>
      </c>
      <c r="AA3476" t="s">
        <v>155</v>
      </c>
      <c r="AB3476" t="s">
        <v>131</v>
      </c>
      <c r="AC3476" t="s">
        <v>51</v>
      </c>
      <c r="AD3476" t="s">
        <v>45</v>
      </c>
      <c r="AE3476" s="1">
        <v>25703</v>
      </c>
      <c r="AF3476">
        <v>1</v>
      </c>
      <c r="AG3476" t="s">
        <v>355</v>
      </c>
      <c r="AH3476" s="36">
        <f t="shared" si="54"/>
        <v>49.31666666666667</v>
      </c>
      <c r="AI3476" s="41" t="s">
        <v>1780</v>
      </c>
    </row>
    <row r="3477" spans="1:35" x14ac:dyDescent="0.25">
      <c r="A3477" s="36">
        <v>99913475</v>
      </c>
      <c r="B3477" s="17" t="s">
        <v>32</v>
      </c>
      <c r="C3477" t="s">
        <v>64</v>
      </c>
      <c r="D3477" t="s">
        <v>65</v>
      </c>
      <c r="G3477" s="17" t="s">
        <v>35</v>
      </c>
      <c r="H3477" s="17">
        <v>1</v>
      </c>
      <c r="K3477" t="s">
        <v>268</v>
      </c>
      <c r="L3477" t="s">
        <v>269</v>
      </c>
      <c r="M3477" t="s">
        <v>131</v>
      </c>
      <c r="N3477">
        <v>23</v>
      </c>
      <c r="O3477" t="s">
        <v>40</v>
      </c>
      <c r="P3477" t="s">
        <v>40</v>
      </c>
      <c r="Q3477" t="s">
        <v>40</v>
      </c>
      <c r="R3477" t="s">
        <v>40</v>
      </c>
      <c r="S3477" t="s">
        <v>40</v>
      </c>
      <c r="V3477" t="s">
        <v>41</v>
      </c>
      <c r="W3477" t="s">
        <v>75</v>
      </c>
      <c r="X3477" t="str">
        <f>"7052010"</f>
        <v>7052010</v>
      </c>
      <c r="Y3477" t="s">
        <v>615</v>
      </c>
      <c r="Z3477" t="s">
        <v>268</v>
      </c>
      <c r="AA3477" t="s">
        <v>269</v>
      </c>
      <c r="AB3477" t="s">
        <v>131</v>
      </c>
      <c r="AC3477" t="s">
        <v>51</v>
      </c>
      <c r="AD3477" t="s">
        <v>45</v>
      </c>
      <c r="AE3477" s="1">
        <v>25701</v>
      </c>
      <c r="AF3477">
        <v>1</v>
      </c>
      <c r="AG3477" t="s">
        <v>269</v>
      </c>
      <c r="AH3477" s="36">
        <f t="shared" si="54"/>
        <v>49.322222222222223</v>
      </c>
      <c r="AI3477" s="41" t="s">
        <v>1780</v>
      </c>
    </row>
    <row r="3478" spans="1:35" x14ac:dyDescent="0.25">
      <c r="A3478" s="36">
        <v>99913476</v>
      </c>
      <c r="B3478" s="17" t="s">
        <v>32</v>
      </c>
      <c r="C3478" t="s">
        <v>64</v>
      </c>
      <c r="D3478" t="s">
        <v>65</v>
      </c>
      <c r="G3478" s="17" t="s">
        <v>48</v>
      </c>
      <c r="H3478" s="17">
        <v>1</v>
      </c>
      <c r="K3478" t="s">
        <v>154</v>
      </c>
      <c r="L3478" t="s">
        <v>155</v>
      </c>
      <c r="M3478" t="s">
        <v>131</v>
      </c>
      <c r="N3478">
        <v>20</v>
      </c>
      <c r="O3478" t="s">
        <v>40</v>
      </c>
      <c r="P3478" t="s">
        <v>40</v>
      </c>
      <c r="Q3478" t="s">
        <v>40</v>
      </c>
      <c r="R3478" t="s">
        <v>40</v>
      </c>
      <c r="S3478" t="s">
        <v>40</v>
      </c>
      <c r="V3478" t="s">
        <v>41</v>
      </c>
      <c r="W3478" t="s">
        <v>75</v>
      </c>
      <c r="X3478" t="str">
        <f>"7700026"</f>
        <v>7700026</v>
      </c>
      <c r="Y3478" t="s">
        <v>397</v>
      </c>
      <c r="Z3478" t="s">
        <v>154</v>
      </c>
      <c r="AA3478" t="s">
        <v>155</v>
      </c>
      <c r="AB3478" t="s">
        <v>131</v>
      </c>
      <c r="AC3478" t="s">
        <v>51</v>
      </c>
      <c r="AD3478" t="s">
        <v>45</v>
      </c>
      <c r="AE3478" s="1">
        <v>25697</v>
      </c>
      <c r="AF3478">
        <v>1</v>
      </c>
      <c r="AG3478" t="s">
        <v>155</v>
      </c>
      <c r="AH3478" s="36">
        <f t="shared" si="54"/>
        <v>49.333333333333336</v>
      </c>
      <c r="AI3478" s="41" t="s">
        <v>1780</v>
      </c>
    </row>
    <row r="3479" spans="1:35" x14ac:dyDescent="0.25">
      <c r="A3479" s="36">
        <v>99913477</v>
      </c>
      <c r="B3479" s="17" t="s">
        <v>32</v>
      </c>
      <c r="C3479" t="s">
        <v>46</v>
      </c>
      <c r="D3479" t="s">
        <v>47</v>
      </c>
      <c r="G3479" s="17" t="s">
        <v>35</v>
      </c>
      <c r="H3479" s="17">
        <v>1</v>
      </c>
      <c r="K3479" t="s">
        <v>1626</v>
      </c>
      <c r="L3479" t="s">
        <v>1627</v>
      </c>
      <c r="M3479" t="s">
        <v>1592</v>
      </c>
      <c r="N3479">
        <v>21</v>
      </c>
      <c r="O3479" t="s">
        <v>40</v>
      </c>
      <c r="P3479" t="s">
        <v>40</v>
      </c>
      <c r="Q3479" t="s">
        <v>40</v>
      </c>
      <c r="R3479" t="s">
        <v>40</v>
      </c>
      <c r="S3479" t="s">
        <v>40</v>
      </c>
      <c r="V3479" t="s">
        <v>41</v>
      </c>
      <c r="W3479" t="s">
        <v>42</v>
      </c>
      <c r="X3479" t="str">
        <f>"3680015"</f>
        <v>3680015</v>
      </c>
      <c r="Y3479" t="s">
        <v>1628</v>
      </c>
      <c r="Z3479" t="s">
        <v>1626</v>
      </c>
      <c r="AA3479" t="s">
        <v>1627</v>
      </c>
      <c r="AB3479" t="s">
        <v>1592</v>
      </c>
      <c r="AC3479" t="s">
        <v>51</v>
      </c>
      <c r="AD3479" t="s">
        <v>45</v>
      </c>
      <c r="AE3479" s="1">
        <v>25697</v>
      </c>
      <c r="AF3479">
        <v>2</v>
      </c>
      <c r="AG3479" t="s">
        <v>1627</v>
      </c>
      <c r="AH3479" s="36">
        <f t="shared" si="54"/>
        <v>49.333333333333336</v>
      </c>
      <c r="AI3479" s="41" t="s">
        <v>1780</v>
      </c>
    </row>
    <row r="3480" spans="1:35" x14ac:dyDescent="0.25">
      <c r="A3480" s="36">
        <v>99913478</v>
      </c>
      <c r="B3480" s="17" t="s">
        <v>32</v>
      </c>
      <c r="C3480" t="s">
        <v>46</v>
      </c>
      <c r="D3480" t="s">
        <v>47</v>
      </c>
      <c r="G3480" s="17" t="s">
        <v>35</v>
      </c>
      <c r="H3480" s="17">
        <v>1</v>
      </c>
      <c r="K3480" t="s">
        <v>1268</v>
      </c>
      <c r="L3480" t="s">
        <v>1269</v>
      </c>
      <c r="M3480" t="s">
        <v>1270</v>
      </c>
      <c r="N3480">
        <v>20</v>
      </c>
      <c r="O3480" t="s">
        <v>40</v>
      </c>
      <c r="P3480" t="s">
        <v>40</v>
      </c>
      <c r="Q3480" t="s">
        <v>40</v>
      </c>
      <c r="R3480" t="s">
        <v>40</v>
      </c>
      <c r="S3480" t="s">
        <v>40</v>
      </c>
      <c r="V3480" t="s">
        <v>41</v>
      </c>
      <c r="W3480" t="s">
        <v>42</v>
      </c>
      <c r="X3480" t="str">
        <f>"1990911"</f>
        <v>1990911</v>
      </c>
      <c r="Y3480" t="s">
        <v>1276</v>
      </c>
      <c r="Z3480" t="s">
        <v>1268</v>
      </c>
      <c r="AA3480" t="s">
        <v>1269</v>
      </c>
      <c r="AB3480" t="s">
        <v>1270</v>
      </c>
      <c r="AC3480" t="s">
        <v>51</v>
      </c>
      <c r="AD3480" t="s">
        <v>45</v>
      </c>
      <c r="AE3480" s="1">
        <v>25695</v>
      </c>
      <c r="AF3480">
        <v>2</v>
      </c>
      <c r="AG3480" t="s">
        <v>1269</v>
      </c>
      <c r="AH3480" s="36">
        <f t="shared" si="54"/>
        <v>49.338888888888889</v>
      </c>
      <c r="AI3480" s="41" t="s">
        <v>1780</v>
      </c>
    </row>
    <row r="3481" spans="1:35" x14ac:dyDescent="0.25">
      <c r="A3481" s="36">
        <v>99913479</v>
      </c>
      <c r="B3481" s="17" t="s">
        <v>32</v>
      </c>
      <c r="C3481" t="s">
        <v>46</v>
      </c>
      <c r="D3481" t="s">
        <v>47</v>
      </c>
      <c r="G3481" s="17" t="s">
        <v>48</v>
      </c>
      <c r="H3481" s="17">
        <v>1</v>
      </c>
      <c r="K3481" t="s">
        <v>157</v>
      </c>
      <c r="L3481" t="s">
        <v>158</v>
      </c>
      <c r="M3481" t="s">
        <v>131</v>
      </c>
      <c r="N3481">
        <v>22</v>
      </c>
      <c r="O3481" t="s">
        <v>40</v>
      </c>
      <c r="P3481" t="s">
        <v>40</v>
      </c>
      <c r="Q3481" t="s">
        <v>40</v>
      </c>
      <c r="S3481" t="s">
        <v>40</v>
      </c>
      <c r="V3481" t="s">
        <v>41</v>
      </c>
      <c r="W3481" t="s">
        <v>49</v>
      </c>
      <c r="X3481" t="str">
        <f>"0560019"</f>
        <v>0560019</v>
      </c>
      <c r="Y3481" t="s">
        <v>166</v>
      </c>
      <c r="Z3481" t="s">
        <v>157</v>
      </c>
      <c r="AA3481" t="s">
        <v>158</v>
      </c>
      <c r="AB3481" t="s">
        <v>131</v>
      </c>
      <c r="AC3481" t="s">
        <v>51</v>
      </c>
      <c r="AD3481" t="s">
        <v>45</v>
      </c>
      <c r="AE3481" s="1">
        <v>25690</v>
      </c>
      <c r="AF3481">
        <v>2</v>
      </c>
      <c r="AG3481" t="s">
        <v>158</v>
      </c>
      <c r="AH3481" s="36">
        <f t="shared" si="54"/>
        <v>49.352777777777774</v>
      </c>
      <c r="AI3481" s="41" t="s">
        <v>1780</v>
      </c>
    </row>
    <row r="3482" spans="1:35" x14ac:dyDescent="0.25">
      <c r="A3482" s="36">
        <v>99913480</v>
      </c>
      <c r="B3482" s="17" t="s">
        <v>56</v>
      </c>
      <c r="C3482" t="s">
        <v>79</v>
      </c>
      <c r="D3482" t="s">
        <v>80</v>
      </c>
      <c r="G3482" s="17" t="s">
        <v>35</v>
      </c>
      <c r="H3482" s="17">
        <v>1</v>
      </c>
      <c r="K3482" t="s">
        <v>154</v>
      </c>
      <c r="L3482" t="s">
        <v>155</v>
      </c>
      <c r="M3482" t="s">
        <v>131</v>
      </c>
      <c r="N3482">
        <v>18</v>
      </c>
      <c r="O3482" t="s">
        <v>40</v>
      </c>
      <c r="P3482" t="s">
        <v>40</v>
      </c>
      <c r="Q3482" t="s">
        <v>40</v>
      </c>
      <c r="R3482" t="s">
        <v>40</v>
      </c>
      <c r="S3482" t="s">
        <v>40</v>
      </c>
      <c r="V3482" t="s">
        <v>41</v>
      </c>
      <c r="W3482" t="s">
        <v>75</v>
      </c>
      <c r="X3482" t="str">
        <f>"7051026"</f>
        <v>7051026</v>
      </c>
      <c r="Y3482" t="s">
        <v>396</v>
      </c>
      <c r="Z3482" t="s">
        <v>154</v>
      </c>
      <c r="AA3482" t="s">
        <v>155</v>
      </c>
      <c r="AB3482" t="s">
        <v>131</v>
      </c>
      <c r="AC3482" t="s">
        <v>51</v>
      </c>
      <c r="AD3482" t="s">
        <v>45</v>
      </c>
      <c r="AE3482" s="1">
        <v>25690</v>
      </c>
      <c r="AF3482">
        <v>1</v>
      </c>
      <c r="AG3482" t="s">
        <v>155</v>
      </c>
      <c r="AH3482" s="36">
        <f t="shared" si="54"/>
        <v>49.352777777777774</v>
      </c>
      <c r="AI3482" s="41" t="s">
        <v>1780</v>
      </c>
    </row>
    <row r="3483" spans="1:35" x14ac:dyDescent="0.25">
      <c r="A3483" s="36">
        <v>99913481</v>
      </c>
      <c r="B3483" s="17" t="s">
        <v>56</v>
      </c>
      <c r="C3483" t="s">
        <v>82</v>
      </c>
      <c r="D3483" t="s">
        <v>83</v>
      </c>
      <c r="G3483" s="17" t="s">
        <v>48</v>
      </c>
      <c r="H3483" s="17">
        <v>1</v>
      </c>
      <c r="K3483" t="s">
        <v>223</v>
      </c>
      <c r="L3483" t="s">
        <v>224</v>
      </c>
      <c r="M3483" t="s">
        <v>131</v>
      </c>
      <c r="N3483">
        <v>20</v>
      </c>
      <c r="O3483" t="s">
        <v>40</v>
      </c>
      <c r="P3483" t="s">
        <v>40</v>
      </c>
      <c r="Q3483" t="s">
        <v>40</v>
      </c>
      <c r="R3483" t="s">
        <v>40</v>
      </c>
      <c r="S3483" t="s">
        <v>40</v>
      </c>
      <c r="V3483" t="s">
        <v>41</v>
      </c>
      <c r="W3483" t="s">
        <v>42</v>
      </c>
      <c r="X3483" t="str">
        <f>"0580265"</f>
        <v>0580265</v>
      </c>
      <c r="Y3483" t="s">
        <v>231</v>
      </c>
      <c r="Z3483" t="s">
        <v>223</v>
      </c>
      <c r="AA3483" t="s">
        <v>224</v>
      </c>
      <c r="AB3483" t="s">
        <v>131</v>
      </c>
      <c r="AC3483" t="s">
        <v>51</v>
      </c>
      <c r="AD3483" t="s">
        <v>45</v>
      </c>
      <c r="AE3483" s="1">
        <v>25682</v>
      </c>
      <c r="AF3483">
        <v>2</v>
      </c>
      <c r="AG3483" t="s">
        <v>224</v>
      </c>
      <c r="AH3483" s="36">
        <f t="shared" si="54"/>
        <v>49.375</v>
      </c>
      <c r="AI3483" s="41" t="s">
        <v>1780</v>
      </c>
    </row>
    <row r="3484" spans="1:35" x14ac:dyDescent="0.25">
      <c r="A3484" s="36">
        <v>99913482</v>
      </c>
      <c r="B3484" s="17" t="s">
        <v>32</v>
      </c>
      <c r="C3484" t="s">
        <v>71</v>
      </c>
      <c r="D3484" t="s">
        <v>72</v>
      </c>
      <c r="G3484" s="17" t="s">
        <v>35</v>
      </c>
      <c r="H3484" s="17">
        <v>1</v>
      </c>
      <c r="K3484" t="s">
        <v>345</v>
      </c>
      <c r="L3484" t="s">
        <v>346</v>
      </c>
      <c r="M3484" t="s">
        <v>131</v>
      </c>
      <c r="N3484">
        <v>4</v>
      </c>
      <c r="O3484" t="s">
        <v>40</v>
      </c>
      <c r="P3484" t="s">
        <v>40</v>
      </c>
      <c r="Q3484" t="s">
        <v>40</v>
      </c>
      <c r="R3484" t="s">
        <v>40</v>
      </c>
      <c r="S3484" t="s">
        <v>40</v>
      </c>
      <c r="V3484" t="s">
        <v>41</v>
      </c>
      <c r="W3484" t="s">
        <v>49</v>
      </c>
      <c r="X3484" t="str">
        <f>"0581660"</f>
        <v>0581660</v>
      </c>
      <c r="Y3484" t="s">
        <v>359</v>
      </c>
      <c r="Z3484" t="s">
        <v>345</v>
      </c>
      <c r="AA3484" t="s">
        <v>346</v>
      </c>
      <c r="AB3484" t="s">
        <v>131</v>
      </c>
      <c r="AC3484" t="s">
        <v>51</v>
      </c>
      <c r="AD3484" t="s">
        <v>45</v>
      </c>
      <c r="AE3484" s="1">
        <v>25681</v>
      </c>
      <c r="AF3484">
        <v>2</v>
      </c>
      <c r="AG3484" t="s">
        <v>346</v>
      </c>
      <c r="AH3484" s="36">
        <f t="shared" si="54"/>
        <v>49.37777777777778</v>
      </c>
      <c r="AI3484" s="41" t="s">
        <v>1780</v>
      </c>
    </row>
    <row r="3485" spans="1:35" x14ac:dyDescent="0.25">
      <c r="A3485" s="36">
        <v>99913483</v>
      </c>
      <c r="B3485" s="17" t="s">
        <v>56</v>
      </c>
      <c r="C3485" t="s">
        <v>79</v>
      </c>
      <c r="D3485" t="s">
        <v>80</v>
      </c>
      <c r="G3485" s="17" t="s">
        <v>48</v>
      </c>
      <c r="H3485" s="17">
        <v>1</v>
      </c>
      <c r="K3485" t="s">
        <v>345</v>
      </c>
      <c r="L3485" t="s">
        <v>346</v>
      </c>
      <c r="M3485" t="s">
        <v>131</v>
      </c>
      <c r="N3485">
        <v>20</v>
      </c>
      <c r="O3485" t="s">
        <v>40</v>
      </c>
      <c r="P3485" t="s">
        <v>40</v>
      </c>
      <c r="Q3485" t="s">
        <v>40</v>
      </c>
      <c r="R3485" t="s">
        <v>40</v>
      </c>
      <c r="S3485" t="s">
        <v>40</v>
      </c>
      <c r="V3485" t="s">
        <v>41</v>
      </c>
      <c r="W3485" t="s">
        <v>42</v>
      </c>
      <c r="X3485" t="str">
        <f>"0590906"</f>
        <v>0590906</v>
      </c>
      <c r="Y3485" t="s">
        <v>361</v>
      </c>
      <c r="Z3485" t="s">
        <v>345</v>
      </c>
      <c r="AA3485" t="s">
        <v>346</v>
      </c>
      <c r="AB3485" t="s">
        <v>131</v>
      </c>
      <c r="AC3485" t="s">
        <v>51</v>
      </c>
      <c r="AD3485" t="s">
        <v>45</v>
      </c>
      <c r="AE3485" s="1">
        <v>25681</v>
      </c>
      <c r="AF3485">
        <v>2</v>
      </c>
      <c r="AG3485" t="s">
        <v>346</v>
      </c>
      <c r="AH3485" s="36">
        <f t="shared" si="54"/>
        <v>49.37777777777778</v>
      </c>
      <c r="AI3485" s="41" t="s">
        <v>1780</v>
      </c>
    </row>
    <row r="3486" spans="1:35" x14ac:dyDescent="0.25">
      <c r="A3486" s="36">
        <v>99913484</v>
      </c>
      <c r="B3486" s="17" t="s">
        <v>56</v>
      </c>
      <c r="C3486" t="s">
        <v>111</v>
      </c>
      <c r="D3486" t="s">
        <v>112</v>
      </c>
      <c r="G3486" s="17" t="s">
        <v>35</v>
      </c>
      <c r="H3486" s="17">
        <v>1</v>
      </c>
      <c r="K3486" t="s">
        <v>154</v>
      </c>
      <c r="L3486" t="s">
        <v>155</v>
      </c>
      <c r="M3486" t="s">
        <v>131</v>
      </c>
      <c r="N3486">
        <v>8</v>
      </c>
      <c r="O3486" t="s">
        <v>40</v>
      </c>
      <c r="P3486" t="s">
        <v>40</v>
      </c>
      <c r="Q3486" t="s">
        <v>40</v>
      </c>
      <c r="R3486" t="s">
        <v>40</v>
      </c>
      <c r="S3486" t="s">
        <v>40</v>
      </c>
      <c r="V3486" t="s">
        <v>41</v>
      </c>
      <c r="W3486" t="s">
        <v>75</v>
      </c>
      <c r="X3486" t="str">
        <f>"7700026"</f>
        <v>7700026</v>
      </c>
      <c r="Y3486" t="s">
        <v>397</v>
      </c>
      <c r="Z3486" t="s">
        <v>154</v>
      </c>
      <c r="AA3486" t="s">
        <v>155</v>
      </c>
      <c r="AB3486" t="s">
        <v>131</v>
      </c>
      <c r="AC3486" t="s">
        <v>51</v>
      </c>
      <c r="AD3486" t="s">
        <v>45</v>
      </c>
      <c r="AE3486" s="1">
        <v>25681</v>
      </c>
      <c r="AF3486">
        <v>1</v>
      </c>
      <c r="AG3486" t="s">
        <v>155</v>
      </c>
      <c r="AH3486" s="36">
        <f t="shared" si="54"/>
        <v>49.37777777777778</v>
      </c>
      <c r="AI3486" s="41" t="s">
        <v>1780</v>
      </c>
    </row>
    <row r="3487" spans="1:35" x14ac:dyDescent="0.25">
      <c r="A3487" s="36">
        <v>99913485</v>
      </c>
      <c r="B3487" s="17" t="s">
        <v>56</v>
      </c>
      <c r="C3487" t="s">
        <v>79</v>
      </c>
      <c r="D3487" t="s">
        <v>80</v>
      </c>
      <c r="G3487" s="17" t="s">
        <v>48</v>
      </c>
      <c r="H3487" s="17">
        <v>1</v>
      </c>
      <c r="K3487" t="s">
        <v>985</v>
      </c>
      <c r="L3487" t="s">
        <v>986</v>
      </c>
      <c r="M3487" t="s">
        <v>938</v>
      </c>
      <c r="N3487">
        <v>16</v>
      </c>
      <c r="O3487" t="s">
        <v>40</v>
      </c>
      <c r="P3487" t="s">
        <v>40</v>
      </c>
      <c r="Q3487" t="s">
        <v>40</v>
      </c>
      <c r="S3487" t="s">
        <v>40</v>
      </c>
      <c r="V3487" t="s">
        <v>41</v>
      </c>
      <c r="W3487" t="s">
        <v>75</v>
      </c>
      <c r="X3487" t="str">
        <f>"7011000"</f>
        <v>7011000</v>
      </c>
      <c r="Y3487" t="s">
        <v>989</v>
      </c>
      <c r="Z3487" t="s">
        <v>985</v>
      </c>
      <c r="AA3487" t="s">
        <v>986</v>
      </c>
      <c r="AB3487" t="s">
        <v>938</v>
      </c>
      <c r="AC3487" t="s">
        <v>51</v>
      </c>
      <c r="AD3487" t="s">
        <v>45</v>
      </c>
      <c r="AE3487" s="1">
        <v>25678</v>
      </c>
      <c r="AF3487">
        <v>1</v>
      </c>
      <c r="AG3487" t="s">
        <v>986</v>
      </c>
      <c r="AH3487" s="36">
        <f t="shared" si="54"/>
        <v>49.386111111111113</v>
      </c>
      <c r="AI3487" s="41" t="s">
        <v>1780</v>
      </c>
    </row>
    <row r="3488" spans="1:35" x14ac:dyDescent="0.25">
      <c r="A3488" s="36">
        <v>99913486</v>
      </c>
      <c r="B3488" s="17" t="s">
        <v>56</v>
      </c>
      <c r="C3488" t="s">
        <v>46</v>
      </c>
      <c r="D3488" t="s">
        <v>47</v>
      </c>
      <c r="G3488" s="17" t="s">
        <v>48</v>
      </c>
      <c r="H3488" s="17">
        <v>1</v>
      </c>
      <c r="K3488" t="s">
        <v>157</v>
      </c>
      <c r="L3488" t="s">
        <v>158</v>
      </c>
      <c r="M3488" t="s">
        <v>131</v>
      </c>
      <c r="N3488">
        <v>6</v>
      </c>
      <c r="O3488" t="s">
        <v>40</v>
      </c>
      <c r="P3488" t="s">
        <v>40</v>
      </c>
      <c r="Q3488" t="s">
        <v>40</v>
      </c>
      <c r="R3488" t="s">
        <v>40</v>
      </c>
      <c r="S3488" t="s">
        <v>40</v>
      </c>
      <c r="V3488" t="s">
        <v>41</v>
      </c>
      <c r="W3488" t="s">
        <v>42</v>
      </c>
      <c r="X3488" t="str">
        <f>"0580290"</f>
        <v>0580290</v>
      </c>
      <c r="Y3488" t="s">
        <v>171</v>
      </c>
      <c r="Z3488" t="s">
        <v>157</v>
      </c>
      <c r="AA3488" t="s">
        <v>158</v>
      </c>
      <c r="AB3488" t="s">
        <v>131</v>
      </c>
      <c r="AC3488" t="s">
        <v>51</v>
      </c>
      <c r="AD3488" t="s">
        <v>45</v>
      </c>
      <c r="AE3488" s="1">
        <v>25675</v>
      </c>
      <c r="AF3488">
        <v>2</v>
      </c>
      <c r="AG3488" t="s">
        <v>158</v>
      </c>
      <c r="AH3488" s="36">
        <f t="shared" si="54"/>
        <v>49.394444444444446</v>
      </c>
      <c r="AI3488" s="41" t="s">
        <v>1780</v>
      </c>
    </row>
    <row r="3489" spans="1:35" x14ac:dyDescent="0.25">
      <c r="A3489" s="36">
        <v>99913487</v>
      </c>
      <c r="B3489" s="17" t="s">
        <v>32</v>
      </c>
      <c r="C3489" t="s">
        <v>85</v>
      </c>
      <c r="D3489" t="s">
        <v>86</v>
      </c>
      <c r="G3489" s="17" t="s">
        <v>35</v>
      </c>
      <c r="H3489" s="17">
        <v>1</v>
      </c>
      <c r="I3489" t="s">
        <v>1159</v>
      </c>
      <c r="J3489" s="1">
        <v>43344</v>
      </c>
      <c r="K3489" t="s">
        <v>1128</v>
      </c>
      <c r="L3489" t="s">
        <v>1129</v>
      </c>
      <c r="M3489" t="s">
        <v>1130</v>
      </c>
      <c r="N3489">
        <v>8</v>
      </c>
      <c r="O3489" t="s">
        <v>40</v>
      </c>
      <c r="P3489" t="s">
        <v>40</v>
      </c>
      <c r="Q3489" t="s">
        <v>40</v>
      </c>
      <c r="R3489" t="s">
        <v>40</v>
      </c>
      <c r="S3489" t="s">
        <v>40</v>
      </c>
      <c r="U3489" s="1">
        <v>43344</v>
      </c>
      <c r="V3489" t="s">
        <v>41</v>
      </c>
      <c r="W3489" t="s">
        <v>49</v>
      </c>
      <c r="X3489" t="str">
        <f>"3160002"</f>
        <v>3160002</v>
      </c>
      <c r="Y3489" t="s">
        <v>1143</v>
      </c>
      <c r="Z3489" t="s">
        <v>1128</v>
      </c>
      <c r="AA3489" t="s">
        <v>1129</v>
      </c>
      <c r="AB3489" t="s">
        <v>1130</v>
      </c>
      <c r="AC3489" t="s">
        <v>51</v>
      </c>
      <c r="AD3489" t="s">
        <v>45</v>
      </c>
      <c r="AE3489" s="1">
        <v>25674</v>
      </c>
      <c r="AF3489">
        <v>2</v>
      </c>
      <c r="AG3489" t="s">
        <v>1129</v>
      </c>
      <c r="AH3489" s="36">
        <f t="shared" si="54"/>
        <v>49.397222222222226</v>
      </c>
      <c r="AI3489" s="41" t="s">
        <v>1780</v>
      </c>
    </row>
    <row r="3490" spans="1:35" x14ac:dyDescent="0.25">
      <c r="A3490" s="36">
        <v>99913488</v>
      </c>
      <c r="B3490" s="17" t="s">
        <v>32</v>
      </c>
      <c r="C3490" t="s">
        <v>46</v>
      </c>
      <c r="D3490" t="s">
        <v>47</v>
      </c>
      <c r="G3490" s="17" t="s">
        <v>35</v>
      </c>
      <c r="H3490" s="17">
        <v>3</v>
      </c>
      <c r="K3490" t="s">
        <v>345</v>
      </c>
      <c r="L3490" t="s">
        <v>346</v>
      </c>
      <c r="M3490" t="s">
        <v>131</v>
      </c>
      <c r="N3490">
        <v>23</v>
      </c>
      <c r="O3490" t="s">
        <v>40</v>
      </c>
      <c r="P3490" t="s">
        <v>40</v>
      </c>
      <c r="Q3490" t="s">
        <v>40</v>
      </c>
      <c r="R3490" t="s">
        <v>40</v>
      </c>
      <c r="S3490" t="s">
        <v>40</v>
      </c>
      <c r="V3490" t="s">
        <v>41</v>
      </c>
      <c r="W3490" t="s">
        <v>42</v>
      </c>
      <c r="X3490" t="str">
        <f>"0561006"</f>
        <v>0561006</v>
      </c>
      <c r="Y3490" t="s">
        <v>360</v>
      </c>
      <c r="Z3490" t="s">
        <v>345</v>
      </c>
      <c r="AA3490" t="s">
        <v>346</v>
      </c>
      <c r="AB3490" t="s">
        <v>131</v>
      </c>
      <c r="AC3490" t="s">
        <v>51</v>
      </c>
      <c r="AD3490" t="s">
        <v>45</v>
      </c>
      <c r="AE3490" s="1">
        <v>25671</v>
      </c>
      <c r="AF3490">
        <v>2</v>
      </c>
      <c r="AG3490" t="s">
        <v>346</v>
      </c>
      <c r="AH3490" s="36">
        <f t="shared" si="54"/>
        <v>49.405555555555559</v>
      </c>
      <c r="AI3490" s="41" t="s">
        <v>1780</v>
      </c>
    </row>
    <row r="3491" spans="1:35" x14ac:dyDescent="0.25">
      <c r="A3491" s="36">
        <v>99913489</v>
      </c>
      <c r="B3491" s="17" t="s">
        <v>56</v>
      </c>
      <c r="C3491" t="s">
        <v>111</v>
      </c>
      <c r="D3491" t="s">
        <v>112</v>
      </c>
      <c r="G3491" s="17" t="s">
        <v>35</v>
      </c>
      <c r="H3491" s="17">
        <v>1</v>
      </c>
      <c r="I3491" t="s">
        <v>1119</v>
      </c>
      <c r="J3491" s="1">
        <v>43344</v>
      </c>
      <c r="K3491" t="s">
        <v>1081</v>
      </c>
      <c r="L3491" t="s">
        <v>1082</v>
      </c>
      <c r="M3491" t="s">
        <v>1053</v>
      </c>
      <c r="N3491">
        <v>22</v>
      </c>
      <c r="O3491" t="s">
        <v>40</v>
      </c>
      <c r="S3491" t="s">
        <v>40</v>
      </c>
      <c r="U3491" s="1">
        <v>43344</v>
      </c>
      <c r="V3491" t="s">
        <v>41</v>
      </c>
      <c r="W3491" t="s">
        <v>75</v>
      </c>
      <c r="X3491" t="str">
        <f>"7201000"</f>
        <v>7201000</v>
      </c>
      <c r="Y3491" t="s">
        <v>1088</v>
      </c>
      <c r="Z3491" t="s">
        <v>1081</v>
      </c>
      <c r="AA3491" t="s">
        <v>1082</v>
      </c>
      <c r="AB3491" t="s">
        <v>1053</v>
      </c>
      <c r="AC3491" t="s">
        <v>51</v>
      </c>
      <c r="AD3491" t="s">
        <v>45</v>
      </c>
      <c r="AE3491" s="1">
        <v>25671</v>
      </c>
      <c r="AF3491">
        <v>1</v>
      </c>
      <c r="AG3491" t="s">
        <v>1082</v>
      </c>
      <c r="AH3491" s="36">
        <f t="shared" si="54"/>
        <v>49.405555555555559</v>
      </c>
      <c r="AI3491" s="41" t="s">
        <v>1780</v>
      </c>
    </row>
    <row r="3492" spans="1:35" x14ac:dyDescent="0.25">
      <c r="A3492" s="36">
        <v>99913490</v>
      </c>
      <c r="B3492" s="17" t="s">
        <v>56</v>
      </c>
      <c r="C3492" t="s">
        <v>141</v>
      </c>
      <c r="D3492" t="s">
        <v>142</v>
      </c>
      <c r="G3492" s="17" t="s">
        <v>35</v>
      </c>
      <c r="H3492" s="17">
        <v>1</v>
      </c>
      <c r="I3492" t="s">
        <v>1608</v>
      </c>
      <c r="J3492" s="1">
        <v>43344</v>
      </c>
      <c r="K3492" t="s">
        <v>1590</v>
      </c>
      <c r="L3492" t="s">
        <v>1591</v>
      </c>
      <c r="M3492" t="s">
        <v>1592</v>
      </c>
      <c r="N3492">
        <v>5</v>
      </c>
      <c r="O3492" t="s">
        <v>40</v>
      </c>
      <c r="S3492" t="s">
        <v>40</v>
      </c>
      <c r="U3492" s="1">
        <v>43344</v>
      </c>
      <c r="V3492" t="s">
        <v>41</v>
      </c>
      <c r="W3492" t="s">
        <v>49</v>
      </c>
      <c r="X3492" t="str">
        <f>"0260001"</f>
        <v>0260001</v>
      </c>
      <c r="Y3492" t="s">
        <v>1595</v>
      </c>
      <c r="Z3492" t="s">
        <v>1590</v>
      </c>
      <c r="AA3492" t="s">
        <v>1591</v>
      </c>
      <c r="AB3492" t="s">
        <v>1592</v>
      </c>
      <c r="AC3492" t="s">
        <v>51</v>
      </c>
      <c r="AD3492" t="s">
        <v>45</v>
      </c>
      <c r="AE3492" s="1">
        <v>25671</v>
      </c>
      <c r="AF3492">
        <v>2</v>
      </c>
      <c r="AG3492" t="s">
        <v>1591</v>
      </c>
      <c r="AH3492" s="36">
        <f t="shared" si="54"/>
        <v>49.405555555555559</v>
      </c>
      <c r="AI3492" s="41" t="s">
        <v>1780</v>
      </c>
    </row>
    <row r="3493" spans="1:35" x14ac:dyDescent="0.25">
      <c r="A3493" s="36">
        <v>99913491</v>
      </c>
      <c r="B3493" s="17" t="s">
        <v>56</v>
      </c>
      <c r="C3493" t="s">
        <v>139</v>
      </c>
      <c r="D3493" t="s">
        <v>140</v>
      </c>
      <c r="G3493" s="17" t="s">
        <v>35</v>
      </c>
      <c r="H3493" s="17">
        <v>1</v>
      </c>
      <c r="I3493">
        <v>0</v>
      </c>
      <c r="J3493" s="1">
        <v>43344</v>
      </c>
      <c r="K3493" t="s">
        <v>223</v>
      </c>
      <c r="L3493" t="s">
        <v>224</v>
      </c>
      <c r="M3493" t="s">
        <v>131</v>
      </c>
      <c r="N3493">
        <v>23</v>
      </c>
      <c r="O3493" t="s">
        <v>40</v>
      </c>
      <c r="S3493" t="s">
        <v>40</v>
      </c>
      <c r="U3493" s="1">
        <v>43344</v>
      </c>
      <c r="V3493" t="s">
        <v>41</v>
      </c>
      <c r="W3493" t="s">
        <v>49</v>
      </c>
      <c r="X3493" t="str">
        <f>"0561022"</f>
        <v>0561022</v>
      </c>
      <c r="Y3493" t="s">
        <v>225</v>
      </c>
      <c r="Z3493" t="s">
        <v>223</v>
      </c>
      <c r="AA3493" t="s">
        <v>224</v>
      </c>
      <c r="AB3493" t="s">
        <v>131</v>
      </c>
      <c r="AC3493" t="s">
        <v>44</v>
      </c>
      <c r="AD3493" t="s">
        <v>45</v>
      </c>
      <c r="AE3493" s="1">
        <v>25669</v>
      </c>
      <c r="AF3493">
        <v>2</v>
      </c>
      <c r="AG3493" t="s">
        <v>224</v>
      </c>
      <c r="AH3493" s="36">
        <f t="shared" si="54"/>
        <v>49.411111111111111</v>
      </c>
      <c r="AI3493" s="41" t="s">
        <v>1780</v>
      </c>
    </row>
    <row r="3494" spans="1:35" x14ac:dyDescent="0.25">
      <c r="A3494" s="36">
        <v>99913492</v>
      </c>
      <c r="B3494" s="17" t="s">
        <v>32</v>
      </c>
      <c r="C3494" t="s">
        <v>46</v>
      </c>
      <c r="D3494" t="s">
        <v>47</v>
      </c>
      <c r="G3494" s="17" t="s">
        <v>48</v>
      </c>
      <c r="H3494" s="17">
        <v>13</v>
      </c>
      <c r="K3494" t="s">
        <v>1268</v>
      </c>
      <c r="L3494" t="s">
        <v>1269</v>
      </c>
      <c r="M3494" t="s">
        <v>1270</v>
      </c>
      <c r="N3494">
        <v>17</v>
      </c>
      <c r="O3494" t="s">
        <v>40</v>
      </c>
      <c r="P3494" t="s">
        <v>40</v>
      </c>
      <c r="Q3494" t="s">
        <v>40</v>
      </c>
      <c r="R3494" t="s">
        <v>40</v>
      </c>
      <c r="S3494" t="s">
        <v>40</v>
      </c>
      <c r="V3494" t="s">
        <v>41</v>
      </c>
      <c r="W3494" t="s">
        <v>42</v>
      </c>
      <c r="X3494" t="str">
        <f>"1990911"</f>
        <v>1990911</v>
      </c>
      <c r="Y3494" t="s">
        <v>1276</v>
      </c>
      <c r="Z3494" t="s">
        <v>1268</v>
      </c>
      <c r="AA3494" t="s">
        <v>1269</v>
      </c>
      <c r="AB3494" t="s">
        <v>1270</v>
      </c>
      <c r="AC3494" t="s">
        <v>51</v>
      </c>
      <c r="AD3494" t="s">
        <v>45</v>
      </c>
      <c r="AE3494" s="1">
        <v>25668</v>
      </c>
      <c r="AF3494">
        <v>2</v>
      </c>
      <c r="AG3494" t="s">
        <v>1269</v>
      </c>
      <c r="AH3494" s="36">
        <f t="shared" si="54"/>
        <v>49.413888888888891</v>
      </c>
      <c r="AI3494" s="41" t="s">
        <v>1780</v>
      </c>
    </row>
    <row r="3495" spans="1:35" x14ac:dyDescent="0.25">
      <c r="A3495" s="36">
        <v>99913493</v>
      </c>
      <c r="B3495" s="17" t="s">
        <v>32</v>
      </c>
      <c r="C3495" t="s">
        <v>46</v>
      </c>
      <c r="D3495" t="s">
        <v>47</v>
      </c>
      <c r="G3495" s="17" t="s">
        <v>48</v>
      </c>
      <c r="H3495" s="17">
        <v>1</v>
      </c>
      <c r="K3495" t="s">
        <v>162</v>
      </c>
      <c r="L3495" t="s">
        <v>158</v>
      </c>
      <c r="M3495" t="s">
        <v>131</v>
      </c>
      <c r="N3495">
        <v>18</v>
      </c>
      <c r="O3495" t="s">
        <v>40</v>
      </c>
      <c r="P3495" t="s">
        <v>40</v>
      </c>
      <c r="Q3495" t="s">
        <v>40</v>
      </c>
      <c r="R3495" t="s">
        <v>40</v>
      </c>
      <c r="S3495" t="s">
        <v>40</v>
      </c>
      <c r="V3495" t="s">
        <v>41</v>
      </c>
      <c r="W3495" t="s">
        <v>49</v>
      </c>
      <c r="X3495" t="str">
        <f>"0581325"</f>
        <v>0581325</v>
      </c>
      <c r="Y3495" t="s">
        <v>169</v>
      </c>
      <c r="Z3495" t="s">
        <v>162</v>
      </c>
      <c r="AA3495" t="s">
        <v>158</v>
      </c>
      <c r="AB3495" t="s">
        <v>131</v>
      </c>
      <c r="AC3495" t="s">
        <v>51</v>
      </c>
      <c r="AD3495" t="s">
        <v>45</v>
      </c>
      <c r="AE3495" s="1">
        <v>25667</v>
      </c>
      <c r="AF3495">
        <v>2</v>
      </c>
      <c r="AG3495" t="s">
        <v>158</v>
      </c>
      <c r="AH3495" s="36">
        <f t="shared" si="54"/>
        <v>49.416666666666664</v>
      </c>
      <c r="AI3495" s="41" t="s">
        <v>1780</v>
      </c>
    </row>
    <row r="3496" spans="1:35" x14ac:dyDescent="0.25">
      <c r="A3496" s="36">
        <v>99913494</v>
      </c>
      <c r="B3496" s="17" t="s">
        <v>56</v>
      </c>
      <c r="C3496" t="s">
        <v>46</v>
      </c>
      <c r="D3496" t="s">
        <v>47</v>
      </c>
      <c r="G3496" s="17" t="s">
        <v>48</v>
      </c>
      <c r="H3496" s="17">
        <v>10</v>
      </c>
      <c r="K3496" t="s">
        <v>1268</v>
      </c>
      <c r="L3496" t="s">
        <v>1269</v>
      </c>
      <c r="M3496" t="s">
        <v>1270</v>
      </c>
      <c r="N3496">
        <v>20</v>
      </c>
      <c r="O3496" t="s">
        <v>40</v>
      </c>
      <c r="P3496" t="s">
        <v>40</v>
      </c>
      <c r="Q3496" t="s">
        <v>40</v>
      </c>
      <c r="R3496" t="s">
        <v>40</v>
      </c>
      <c r="S3496" t="s">
        <v>40</v>
      </c>
      <c r="U3496" s="1">
        <v>43344</v>
      </c>
      <c r="V3496" t="s">
        <v>41</v>
      </c>
      <c r="W3496" t="s">
        <v>49</v>
      </c>
      <c r="X3496" t="str">
        <f>"1981055"</f>
        <v>1981055</v>
      </c>
      <c r="Y3496" t="s">
        <v>1280</v>
      </c>
      <c r="Z3496" t="s">
        <v>1268</v>
      </c>
      <c r="AA3496" t="s">
        <v>1269</v>
      </c>
      <c r="AB3496" t="s">
        <v>1270</v>
      </c>
      <c r="AC3496" t="s">
        <v>51</v>
      </c>
      <c r="AD3496" t="s">
        <v>45</v>
      </c>
      <c r="AE3496" s="1">
        <v>25666</v>
      </c>
      <c r="AF3496">
        <v>2</v>
      </c>
      <c r="AG3496" t="s">
        <v>1269</v>
      </c>
      <c r="AH3496" s="36">
        <f t="shared" si="54"/>
        <v>49.419444444444444</v>
      </c>
      <c r="AI3496" s="41" t="s">
        <v>1780</v>
      </c>
    </row>
    <row r="3497" spans="1:35" x14ac:dyDescent="0.25">
      <c r="A3497" s="36">
        <v>99913495</v>
      </c>
      <c r="B3497" s="17" t="s">
        <v>56</v>
      </c>
      <c r="C3497" t="s">
        <v>79</v>
      </c>
      <c r="D3497" t="s">
        <v>80</v>
      </c>
      <c r="G3497" s="17" t="s">
        <v>48</v>
      </c>
      <c r="H3497" s="17">
        <v>5</v>
      </c>
      <c r="I3497" t="s">
        <v>487</v>
      </c>
      <c r="J3497" s="1">
        <v>40422</v>
      </c>
      <c r="K3497" t="s">
        <v>195</v>
      </c>
      <c r="L3497" t="s">
        <v>196</v>
      </c>
      <c r="M3497" t="s">
        <v>131</v>
      </c>
      <c r="N3497">
        <v>23</v>
      </c>
      <c r="O3497" t="s">
        <v>40</v>
      </c>
      <c r="P3497" t="s">
        <v>40</v>
      </c>
      <c r="Q3497" t="s">
        <v>40</v>
      </c>
      <c r="R3497" t="s">
        <v>40</v>
      </c>
      <c r="S3497" t="s">
        <v>40</v>
      </c>
      <c r="U3497" s="1">
        <v>40422</v>
      </c>
      <c r="V3497" t="s">
        <v>41</v>
      </c>
      <c r="W3497" t="s">
        <v>75</v>
      </c>
      <c r="X3497" t="str">
        <f>"7521050"</f>
        <v>7521050</v>
      </c>
      <c r="Y3497" t="s">
        <v>194</v>
      </c>
      <c r="Z3497" t="s">
        <v>195</v>
      </c>
      <c r="AA3497" t="s">
        <v>196</v>
      </c>
      <c r="AB3497" t="s">
        <v>131</v>
      </c>
      <c r="AC3497" t="s">
        <v>51</v>
      </c>
      <c r="AD3497" t="s">
        <v>45</v>
      </c>
      <c r="AE3497" s="1">
        <v>25664</v>
      </c>
      <c r="AF3497">
        <v>1</v>
      </c>
      <c r="AG3497" t="s">
        <v>196</v>
      </c>
      <c r="AH3497" s="36">
        <f t="shared" si="54"/>
        <v>49.424999999999997</v>
      </c>
      <c r="AI3497" s="41" t="s">
        <v>1780</v>
      </c>
    </row>
    <row r="3498" spans="1:35" x14ac:dyDescent="0.25">
      <c r="A3498" s="36">
        <v>99913496</v>
      </c>
      <c r="B3498" s="17" t="s">
        <v>32</v>
      </c>
      <c r="C3498" t="s">
        <v>46</v>
      </c>
      <c r="D3498" t="s">
        <v>47</v>
      </c>
      <c r="G3498" s="17" t="s">
        <v>35</v>
      </c>
      <c r="H3498" s="17">
        <v>1</v>
      </c>
      <c r="J3498" s="1">
        <v>38230</v>
      </c>
      <c r="K3498" t="s">
        <v>1336</v>
      </c>
      <c r="L3498" t="s">
        <v>1337</v>
      </c>
      <c r="M3498" t="s">
        <v>1270</v>
      </c>
      <c r="N3498">
        <v>14</v>
      </c>
      <c r="O3498" t="s">
        <v>40</v>
      </c>
      <c r="P3498" t="s">
        <v>40</v>
      </c>
      <c r="Q3498" t="s">
        <v>40</v>
      </c>
      <c r="R3498" t="s">
        <v>40</v>
      </c>
      <c r="S3498" t="s">
        <v>40</v>
      </c>
      <c r="U3498" s="1">
        <v>38230</v>
      </c>
      <c r="V3498" t="s">
        <v>41</v>
      </c>
      <c r="W3498" t="s">
        <v>42</v>
      </c>
      <c r="X3498" t="str">
        <f>"4475070"</f>
        <v>4475070</v>
      </c>
      <c r="Y3498" t="s">
        <v>1338</v>
      </c>
      <c r="Z3498" t="s">
        <v>1336</v>
      </c>
      <c r="AA3498" t="s">
        <v>1337</v>
      </c>
      <c r="AB3498" t="s">
        <v>1270</v>
      </c>
      <c r="AC3498" t="s">
        <v>51</v>
      </c>
      <c r="AD3498" t="s">
        <v>45</v>
      </c>
      <c r="AE3498" s="1">
        <v>25664</v>
      </c>
      <c r="AF3498">
        <v>2</v>
      </c>
      <c r="AG3498" t="s">
        <v>1337</v>
      </c>
      <c r="AH3498" s="36">
        <f t="shared" si="54"/>
        <v>49.424999999999997</v>
      </c>
      <c r="AI3498" s="41" t="s">
        <v>1780</v>
      </c>
    </row>
    <row r="3499" spans="1:35" x14ac:dyDescent="0.25">
      <c r="A3499" s="36">
        <v>99913497</v>
      </c>
      <c r="B3499" s="17" t="s">
        <v>32</v>
      </c>
      <c r="C3499" t="s">
        <v>46</v>
      </c>
      <c r="D3499" t="s">
        <v>47</v>
      </c>
      <c r="G3499" s="17" t="s">
        <v>35</v>
      </c>
      <c r="H3499" s="17">
        <v>1</v>
      </c>
      <c r="K3499" t="s">
        <v>300</v>
      </c>
      <c r="L3499" t="s">
        <v>301</v>
      </c>
      <c r="M3499" t="s">
        <v>131</v>
      </c>
      <c r="N3499">
        <v>18</v>
      </c>
      <c r="O3499" t="s">
        <v>40</v>
      </c>
      <c r="P3499" t="s">
        <v>40</v>
      </c>
      <c r="Q3499" t="s">
        <v>40</v>
      </c>
      <c r="R3499" t="s">
        <v>40</v>
      </c>
      <c r="S3499" t="s">
        <v>40</v>
      </c>
      <c r="V3499" t="s">
        <v>41</v>
      </c>
      <c r="W3499" t="s">
        <v>42</v>
      </c>
      <c r="X3499" t="str">
        <f>"0580023"</f>
        <v>0580023</v>
      </c>
      <c r="Y3499" t="s">
        <v>313</v>
      </c>
      <c r="Z3499" t="s">
        <v>300</v>
      </c>
      <c r="AA3499" t="s">
        <v>301</v>
      </c>
      <c r="AB3499" t="s">
        <v>131</v>
      </c>
      <c r="AC3499" t="s">
        <v>165</v>
      </c>
      <c r="AD3499" t="s">
        <v>45</v>
      </c>
      <c r="AE3499" s="1">
        <v>25659</v>
      </c>
      <c r="AF3499">
        <v>2</v>
      </c>
      <c r="AG3499" t="s">
        <v>301</v>
      </c>
      <c r="AH3499" s="36">
        <f t="shared" si="54"/>
        <v>49.43888888888889</v>
      </c>
      <c r="AI3499" s="41" t="s">
        <v>1780</v>
      </c>
    </row>
    <row r="3500" spans="1:35" x14ac:dyDescent="0.25">
      <c r="A3500" s="36">
        <v>99913498</v>
      </c>
      <c r="B3500" s="17" t="s">
        <v>56</v>
      </c>
      <c r="C3500" t="s">
        <v>46</v>
      </c>
      <c r="D3500" t="s">
        <v>47</v>
      </c>
      <c r="G3500" s="17" t="s">
        <v>48</v>
      </c>
      <c r="H3500" s="17">
        <v>1</v>
      </c>
      <c r="K3500" t="s">
        <v>223</v>
      </c>
      <c r="L3500" t="s">
        <v>224</v>
      </c>
      <c r="M3500" t="s">
        <v>131</v>
      </c>
      <c r="N3500">
        <v>20</v>
      </c>
      <c r="O3500" t="s">
        <v>40</v>
      </c>
      <c r="P3500" t="s">
        <v>40</v>
      </c>
      <c r="Q3500" t="s">
        <v>40</v>
      </c>
      <c r="S3500" t="s">
        <v>40</v>
      </c>
      <c r="V3500" t="s">
        <v>41</v>
      </c>
      <c r="W3500" t="s">
        <v>42</v>
      </c>
      <c r="X3500" t="str">
        <f>"0580204"</f>
        <v>0580204</v>
      </c>
      <c r="Y3500" t="s">
        <v>235</v>
      </c>
      <c r="Z3500" t="s">
        <v>223</v>
      </c>
      <c r="AA3500" t="s">
        <v>224</v>
      </c>
      <c r="AB3500" t="s">
        <v>131</v>
      </c>
      <c r="AC3500" t="s">
        <v>51</v>
      </c>
      <c r="AD3500" t="s">
        <v>45</v>
      </c>
      <c r="AE3500" s="1">
        <v>25658</v>
      </c>
      <c r="AF3500">
        <v>2</v>
      </c>
      <c r="AG3500" t="s">
        <v>224</v>
      </c>
      <c r="AH3500" s="36">
        <f t="shared" si="54"/>
        <v>49.44166666666667</v>
      </c>
      <c r="AI3500" s="41" t="s">
        <v>1780</v>
      </c>
    </row>
    <row r="3501" spans="1:35" x14ac:dyDescent="0.25">
      <c r="A3501" s="36">
        <v>99913499</v>
      </c>
      <c r="B3501" s="17" t="s">
        <v>56</v>
      </c>
      <c r="C3501" t="s">
        <v>46</v>
      </c>
      <c r="D3501" t="s">
        <v>47</v>
      </c>
      <c r="G3501" s="17" t="s">
        <v>48</v>
      </c>
      <c r="H3501" s="17">
        <v>1</v>
      </c>
      <c r="K3501" t="s">
        <v>223</v>
      </c>
      <c r="L3501" t="s">
        <v>224</v>
      </c>
      <c r="M3501" t="s">
        <v>131</v>
      </c>
      <c r="N3501">
        <v>18</v>
      </c>
      <c r="O3501" t="s">
        <v>40</v>
      </c>
      <c r="P3501" t="s">
        <v>40</v>
      </c>
      <c r="Q3501" t="s">
        <v>40</v>
      </c>
      <c r="S3501" t="s">
        <v>40</v>
      </c>
      <c r="V3501" t="s">
        <v>41</v>
      </c>
      <c r="W3501" t="s">
        <v>42</v>
      </c>
      <c r="X3501" t="str">
        <f>"0580202"</f>
        <v>0580202</v>
      </c>
      <c r="Y3501" t="s">
        <v>240</v>
      </c>
      <c r="Z3501" t="s">
        <v>223</v>
      </c>
      <c r="AA3501" t="s">
        <v>224</v>
      </c>
      <c r="AB3501" t="s">
        <v>131</v>
      </c>
      <c r="AC3501" t="s">
        <v>51</v>
      </c>
      <c r="AD3501" t="s">
        <v>45</v>
      </c>
      <c r="AE3501" s="1">
        <v>25657</v>
      </c>
      <c r="AF3501">
        <v>2</v>
      </c>
      <c r="AG3501" t="s">
        <v>224</v>
      </c>
      <c r="AH3501" s="36">
        <f t="shared" si="54"/>
        <v>49.444444444444443</v>
      </c>
      <c r="AI3501" s="41" t="s">
        <v>1780</v>
      </c>
    </row>
    <row r="3502" spans="1:35" x14ac:dyDescent="0.25">
      <c r="A3502" s="36">
        <v>99913500</v>
      </c>
      <c r="B3502" s="17" t="s">
        <v>32</v>
      </c>
      <c r="C3502" t="s">
        <v>90</v>
      </c>
      <c r="D3502" t="s">
        <v>91</v>
      </c>
      <c r="G3502" s="17" t="s">
        <v>48</v>
      </c>
      <c r="H3502" s="17">
        <v>1</v>
      </c>
      <c r="K3502" t="s">
        <v>268</v>
      </c>
      <c r="L3502" t="s">
        <v>269</v>
      </c>
      <c r="M3502" t="s">
        <v>131</v>
      </c>
      <c r="N3502">
        <v>21</v>
      </c>
      <c r="O3502" t="s">
        <v>40</v>
      </c>
      <c r="P3502" t="s">
        <v>40</v>
      </c>
      <c r="Q3502" t="s">
        <v>40</v>
      </c>
      <c r="S3502" t="s">
        <v>40</v>
      </c>
      <c r="V3502" t="s">
        <v>41</v>
      </c>
      <c r="W3502" t="s">
        <v>95</v>
      </c>
      <c r="X3502" t="str">
        <f>"7052001"</f>
        <v>7052001</v>
      </c>
      <c r="Y3502" t="s">
        <v>576</v>
      </c>
      <c r="Z3502" t="s">
        <v>268</v>
      </c>
      <c r="AA3502" t="s">
        <v>269</v>
      </c>
      <c r="AB3502" t="s">
        <v>131</v>
      </c>
      <c r="AC3502" t="s">
        <v>165</v>
      </c>
      <c r="AD3502" t="s">
        <v>45</v>
      </c>
      <c r="AE3502" s="1">
        <v>25655</v>
      </c>
      <c r="AF3502">
        <v>1</v>
      </c>
      <c r="AG3502" t="s">
        <v>269</v>
      </c>
      <c r="AH3502" s="36">
        <f t="shared" si="54"/>
        <v>49.45</v>
      </c>
      <c r="AI3502" s="41" t="s">
        <v>1780</v>
      </c>
    </row>
    <row r="3503" spans="1:35" x14ac:dyDescent="0.25">
      <c r="A3503" s="36">
        <v>99913501</v>
      </c>
      <c r="B3503" s="17" t="s">
        <v>32</v>
      </c>
      <c r="C3503" t="s">
        <v>111</v>
      </c>
      <c r="D3503" t="s">
        <v>112</v>
      </c>
      <c r="G3503" s="17" t="s">
        <v>35</v>
      </c>
      <c r="H3503" s="17">
        <v>1</v>
      </c>
      <c r="K3503" t="s">
        <v>1081</v>
      </c>
      <c r="L3503" t="s">
        <v>1082</v>
      </c>
      <c r="M3503" t="s">
        <v>1053</v>
      </c>
      <c r="N3503">
        <v>21</v>
      </c>
      <c r="O3503" t="s">
        <v>40</v>
      </c>
      <c r="P3503" t="s">
        <v>40</v>
      </c>
      <c r="Q3503" t="s">
        <v>40</v>
      </c>
      <c r="R3503" t="s">
        <v>40</v>
      </c>
      <c r="S3503" t="s">
        <v>40</v>
      </c>
      <c r="V3503" t="s">
        <v>41</v>
      </c>
      <c r="W3503" t="s">
        <v>75</v>
      </c>
      <c r="X3503" t="str">
        <f>"7201004"</f>
        <v>7201004</v>
      </c>
      <c r="Y3503" t="s">
        <v>1100</v>
      </c>
      <c r="Z3503" t="s">
        <v>1081</v>
      </c>
      <c r="AA3503" t="s">
        <v>1082</v>
      </c>
      <c r="AB3503" t="s">
        <v>1053</v>
      </c>
      <c r="AC3503" t="s">
        <v>51</v>
      </c>
      <c r="AD3503" t="s">
        <v>45</v>
      </c>
      <c r="AE3503" s="1">
        <v>25649</v>
      </c>
      <c r="AF3503">
        <v>1</v>
      </c>
      <c r="AG3503" t="s">
        <v>1082</v>
      </c>
      <c r="AH3503" s="36">
        <f t="shared" si="54"/>
        <v>49.466666666666669</v>
      </c>
      <c r="AI3503" s="41" t="s">
        <v>1780</v>
      </c>
    </row>
    <row r="3504" spans="1:35" x14ac:dyDescent="0.25">
      <c r="A3504" s="36">
        <v>99913502</v>
      </c>
      <c r="B3504" s="17" t="s">
        <v>32</v>
      </c>
      <c r="C3504" t="s">
        <v>64</v>
      </c>
      <c r="D3504" t="s">
        <v>65</v>
      </c>
      <c r="G3504" s="17" t="s">
        <v>35</v>
      </c>
      <c r="H3504" s="17">
        <v>12</v>
      </c>
      <c r="K3504" t="s">
        <v>268</v>
      </c>
      <c r="L3504" t="s">
        <v>269</v>
      </c>
      <c r="M3504" t="s">
        <v>131</v>
      </c>
      <c r="N3504">
        <v>21</v>
      </c>
      <c r="O3504" t="s">
        <v>40</v>
      </c>
      <c r="P3504" t="s">
        <v>40</v>
      </c>
      <c r="Q3504" t="s">
        <v>40</v>
      </c>
      <c r="R3504" t="s">
        <v>40</v>
      </c>
      <c r="S3504" t="s">
        <v>40</v>
      </c>
      <c r="V3504" t="s">
        <v>41</v>
      </c>
      <c r="W3504" t="s">
        <v>75</v>
      </c>
      <c r="X3504" t="str">
        <f>"7052004"</f>
        <v>7052004</v>
      </c>
      <c r="Y3504" t="s">
        <v>584</v>
      </c>
      <c r="Z3504" t="s">
        <v>268</v>
      </c>
      <c r="AA3504" t="s">
        <v>269</v>
      </c>
      <c r="AB3504" t="s">
        <v>131</v>
      </c>
      <c r="AC3504" t="s">
        <v>51</v>
      </c>
      <c r="AD3504" t="s">
        <v>45</v>
      </c>
      <c r="AE3504" s="1">
        <v>25648</v>
      </c>
      <c r="AF3504">
        <v>1</v>
      </c>
      <c r="AG3504" t="s">
        <v>269</v>
      </c>
      <c r="AH3504" s="36">
        <f t="shared" si="54"/>
        <v>49.469444444444441</v>
      </c>
      <c r="AI3504" s="41" t="s">
        <v>1780</v>
      </c>
    </row>
    <row r="3505" spans="1:35" x14ac:dyDescent="0.25">
      <c r="A3505" s="36">
        <v>99913503</v>
      </c>
      <c r="B3505" s="17" t="s">
        <v>56</v>
      </c>
      <c r="C3505" t="s">
        <v>68</v>
      </c>
      <c r="D3505" t="s">
        <v>69</v>
      </c>
      <c r="G3505" s="17" t="s">
        <v>48</v>
      </c>
      <c r="H3505" s="17">
        <v>1</v>
      </c>
      <c r="K3505" t="s">
        <v>345</v>
      </c>
      <c r="L3505" t="s">
        <v>346</v>
      </c>
      <c r="M3505" t="s">
        <v>131</v>
      </c>
      <c r="N3505">
        <v>7</v>
      </c>
      <c r="O3505" t="s">
        <v>40</v>
      </c>
      <c r="P3505" t="s">
        <v>40</v>
      </c>
      <c r="Q3505" t="s">
        <v>40</v>
      </c>
      <c r="R3505" t="s">
        <v>40</v>
      </c>
      <c r="S3505" t="s">
        <v>40</v>
      </c>
      <c r="V3505" t="s">
        <v>41</v>
      </c>
      <c r="W3505" t="s">
        <v>42</v>
      </c>
      <c r="X3505" t="str">
        <f>"0580605"</f>
        <v>0580605</v>
      </c>
      <c r="Y3505" t="s">
        <v>362</v>
      </c>
      <c r="Z3505" t="s">
        <v>345</v>
      </c>
      <c r="AA3505" t="s">
        <v>346</v>
      </c>
      <c r="AB3505" t="s">
        <v>131</v>
      </c>
      <c r="AC3505" t="s">
        <v>51</v>
      </c>
      <c r="AD3505" t="s">
        <v>45</v>
      </c>
      <c r="AE3505" s="1">
        <v>25646</v>
      </c>
      <c r="AF3505">
        <v>2</v>
      </c>
      <c r="AG3505" t="s">
        <v>346</v>
      </c>
      <c r="AH3505" s="36">
        <f t="shared" si="54"/>
        <v>49.475000000000001</v>
      </c>
      <c r="AI3505" s="41" t="s">
        <v>1780</v>
      </c>
    </row>
    <row r="3506" spans="1:35" x14ac:dyDescent="0.25">
      <c r="A3506" s="36">
        <v>99913504</v>
      </c>
      <c r="B3506" s="17" t="s">
        <v>32</v>
      </c>
      <c r="C3506" t="s">
        <v>90</v>
      </c>
      <c r="D3506" t="s">
        <v>91</v>
      </c>
      <c r="G3506" s="17" t="s">
        <v>48</v>
      </c>
      <c r="H3506" s="17">
        <v>1</v>
      </c>
      <c r="K3506" t="s">
        <v>667</v>
      </c>
      <c r="L3506" t="s">
        <v>669</v>
      </c>
      <c r="M3506" t="s">
        <v>670</v>
      </c>
      <c r="N3506">
        <v>25</v>
      </c>
      <c r="O3506" t="s">
        <v>40</v>
      </c>
      <c r="P3506" t="s">
        <v>40</v>
      </c>
      <c r="Q3506" t="s">
        <v>40</v>
      </c>
      <c r="R3506" t="s">
        <v>40</v>
      </c>
      <c r="S3506" t="s">
        <v>40</v>
      </c>
      <c r="V3506" t="s">
        <v>41</v>
      </c>
      <c r="W3506" t="s">
        <v>95</v>
      </c>
      <c r="X3506" t="str">
        <f>"7501013"</f>
        <v>7501013</v>
      </c>
      <c r="Y3506" t="s">
        <v>1543</v>
      </c>
      <c r="Z3506" t="s">
        <v>667</v>
      </c>
      <c r="AA3506" t="s">
        <v>669</v>
      </c>
      <c r="AB3506" t="s">
        <v>670</v>
      </c>
      <c r="AC3506" t="s">
        <v>51</v>
      </c>
      <c r="AD3506" t="s">
        <v>45</v>
      </c>
      <c r="AE3506" s="1">
        <v>25644</v>
      </c>
      <c r="AF3506">
        <v>1</v>
      </c>
      <c r="AG3506" t="s">
        <v>669</v>
      </c>
      <c r="AH3506" s="36">
        <f t="shared" si="54"/>
        <v>49.480555555555554</v>
      </c>
      <c r="AI3506" s="41" t="s">
        <v>1780</v>
      </c>
    </row>
    <row r="3507" spans="1:35" x14ac:dyDescent="0.25">
      <c r="A3507" s="36">
        <v>99913505</v>
      </c>
      <c r="B3507" s="17" t="s">
        <v>56</v>
      </c>
      <c r="C3507" t="s">
        <v>139</v>
      </c>
      <c r="D3507" t="s">
        <v>140</v>
      </c>
      <c r="G3507" s="17" t="s">
        <v>35</v>
      </c>
      <c r="H3507" s="17">
        <v>1</v>
      </c>
      <c r="I3507">
        <v>0</v>
      </c>
      <c r="J3507" s="1">
        <v>43344</v>
      </c>
      <c r="K3507" t="s">
        <v>223</v>
      </c>
      <c r="L3507" t="s">
        <v>224</v>
      </c>
      <c r="M3507" t="s">
        <v>131</v>
      </c>
      <c r="N3507">
        <v>18</v>
      </c>
      <c r="O3507" t="s">
        <v>40</v>
      </c>
      <c r="S3507" t="s">
        <v>40</v>
      </c>
      <c r="U3507" s="1">
        <v>43344</v>
      </c>
      <c r="V3507" t="s">
        <v>41</v>
      </c>
      <c r="W3507" t="s">
        <v>49</v>
      </c>
      <c r="X3507" t="str">
        <f>"0591907"</f>
        <v>0591907</v>
      </c>
      <c r="Y3507" t="s">
        <v>243</v>
      </c>
      <c r="Z3507" t="s">
        <v>223</v>
      </c>
      <c r="AA3507" t="s">
        <v>224</v>
      </c>
      <c r="AB3507" t="s">
        <v>131</v>
      </c>
      <c r="AC3507" t="s">
        <v>51</v>
      </c>
      <c r="AD3507" t="s">
        <v>45</v>
      </c>
      <c r="AE3507" s="1">
        <v>25641</v>
      </c>
      <c r="AF3507">
        <v>2</v>
      </c>
      <c r="AG3507" t="s">
        <v>224</v>
      </c>
      <c r="AH3507" s="36">
        <f t="shared" si="54"/>
        <v>49.488888888888887</v>
      </c>
      <c r="AI3507" s="41" t="s">
        <v>1780</v>
      </c>
    </row>
    <row r="3508" spans="1:35" x14ac:dyDescent="0.25">
      <c r="A3508" s="36">
        <v>99913506</v>
      </c>
      <c r="B3508" s="17" t="s">
        <v>32</v>
      </c>
      <c r="C3508" t="s">
        <v>46</v>
      </c>
      <c r="D3508" t="s">
        <v>47</v>
      </c>
      <c r="G3508" s="17" t="s">
        <v>48</v>
      </c>
      <c r="H3508" s="17">
        <v>1</v>
      </c>
      <c r="K3508" t="s">
        <v>345</v>
      </c>
      <c r="L3508" t="s">
        <v>346</v>
      </c>
      <c r="M3508" t="s">
        <v>131</v>
      </c>
      <c r="N3508">
        <v>18</v>
      </c>
      <c r="O3508" t="s">
        <v>40</v>
      </c>
      <c r="P3508" t="s">
        <v>40</v>
      </c>
      <c r="Q3508" t="s">
        <v>40</v>
      </c>
      <c r="S3508" t="s">
        <v>40</v>
      </c>
      <c r="V3508" t="s">
        <v>41</v>
      </c>
      <c r="W3508" t="s">
        <v>42</v>
      </c>
      <c r="X3508" t="str">
        <f>"0580605"</f>
        <v>0580605</v>
      </c>
      <c r="Y3508" t="s">
        <v>362</v>
      </c>
      <c r="Z3508" t="s">
        <v>345</v>
      </c>
      <c r="AA3508" t="s">
        <v>346</v>
      </c>
      <c r="AB3508" t="s">
        <v>131</v>
      </c>
      <c r="AC3508" t="s">
        <v>51</v>
      </c>
      <c r="AD3508" t="s">
        <v>45</v>
      </c>
      <c r="AE3508" s="1">
        <v>25639</v>
      </c>
      <c r="AF3508">
        <v>2</v>
      </c>
      <c r="AG3508" t="s">
        <v>346</v>
      </c>
      <c r="AH3508" s="36">
        <f t="shared" si="54"/>
        <v>49.494444444444447</v>
      </c>
      <c r="AI3508" s="41" t="s">
        <v>1780</v>
      </c>
    </row>
    <row r="3509" spans="1:35" x14ac:dyDescent="0.25">
      <c r="A3509" s="36">
        <v>99913507</v>
      </c>
      <c r="B3509" s="17" t="s">
        <v>32</v>
      </c>
      <c r="C3509" t="s">
        <v>139</v>
      </c>
      <c r="D3509" t="s">
        <v>140</v>
      </c>
      <c r="G3509" s="17" t="s">
        <v>35</v>
      </c>
      <c r="H3509" s="17">
        <v>1</v>
      </c>
      <c r="I3509" s="1">
        <v>42614</v>
      </c>
      <c r="J3509" s="1">
        <v>43344</v>
      </c>
      <c r="K3509" t="s">
        <v>1341</v>
      </c>
      <c r="L3509" t="s">
        <v>1342</v>
      </c>
      <c r="M3509" t="s">
        <v>1270</v>
      </c>
      <c r="N3509">
        <v>24</v>
      </c>
      <c r="O3509" t="s">
        <v>40</v>
      </c>
      <c r="S3509" t="s">
        <v>40</v>
      </c>
      <c r="U3509" s="1">
        <v>43344</v>
      </c>
      <c r="V3509" t="s">
        <v>41</v>
      </c>
      <c r="W3509" t="s">
        <v>75</v>
      </c>
      <c r="X3509" t="str">
        <f>"7191000"</f>
        <v>7191000</v>
      </c>
      <c r="Y3509" t="s">
        <v>1347</v>
      </c>
      <c r="Z3509" t="s">
        <v>1341</v>
      </c>
      <c r="AA3509" t="s">
        <v>1342</v>
      </c>
      <c r="AB3509" t="s">
        <v>1270</v>
      </c>
      <c r="AC3509" t="s">
        <v>51</v>
      </c>
      <c r="AD3509" t="s">
        <v>45</v>
      </c>
      <c r="AE3509" s="1">
        <v>25630</v>
      </c>
      <c r="AF3509">
        <v>1</v>
      </c>
      <c r="AG3509" t="s">
        <v>1342</v>
      </c>
      <c r="AH3509" s="36">
        <f t="shared" si="54"/>
        <v>49.519444444444446</v>
      </c>
      <c r="AI3509" s="41" t="s">
        <v>1780</v>
      </c>
    </row>
    <row r="3510" spans="1:35" x14ac:dyDescent="0.25">
      <c r="A3510" s="36">
        <v>99913508</v>
      </c>
      <c r="B3510" s="17" t="s">
        <v>32</v>
      </c>
      <c r="C3510" t="s">
        <v>139</v>
      </c>
      <c r="D3510" t="s">
        <v>140</v>
      </c>
      <c r="G3510" s="17" t="s">
        <v>35</v>
      </c>
      <c r="H3510" s="17">
        <v>10</v>
      </c>
      <c r="K3510" t="s">
        <v>268</v>
      </c>
      <c r="L3510" t="s">
        <v>269</v>
      </c>
      <c r="M3510" t="s">
        <v>131</v>
      </c>
      <c r="N3510">
        <v>23</v>
      </c>
      <c r="O3510" t="s">
        <v>40</v>
      </c>
      <c r="P3510" t="s">
        <v>40</v>
      </c>
      <c r="Q3510" t="s">
        <v>40</v>
      </c>
      <c r="R3510" t="s">
        <v>40</v>
      </c>
      <c r="S3510" t="s">
        <v>40</v>
      </c>
      <c r="V3510" t="s">
        <v>41</v>
      </c>
      <c r="W3510" t="s">
        <v>75</v>
      </c>
      <c r="X3510" t="str">
        <f>"7052006"</f>
        <v>7052006</v>
      </c>
      <c r="Y3510" t="s">
        <v>575</v>
      </c>
      <c r="Z3510" t="s">
        <v>268</v>
      </c>
      <c r="AA3510" t="s">
        <v>269</v>
      </c>
      <c r="AB3510" t="s">
        <v>131</v>
      </c>
      <c r="AC3510" t="s">
        <v>51</v>
      </c>
      <c r="AD3510" t="s">
        <v>45</v>
      </c>
      <c r="AE3510" s="1">
        <v>25625</v>
      </c>
      <c r="AF3510">
        <v>1</v>
      </c>
      <c r="AG3510" t="s">
        <v>269</v>
      </c>
      <c r="AH3510" s="36">
        <f t="shared" si="54"/>
        <v>49.533333333333331</v>
      </c>
      <c r="AI3510" s="41" t="s">
        <v>1780</v>
      </c>
    </row>
    <row r="3511" spans="1:35" x14ac:dyDescent="0.25">
      <c r="A3511" s="36">
        <v>99913509</v>
      </c>
      <c r="B3511" s="17" t="s">
        <v>32</v>
      </c>
      <c r="C3511" t="s">
        <v>64</v>
      </c>
      <c r="D3511" t="s">
        <v>65</v>
      </c>
      <c r="G3511" s="17" t="s">
        <v>48</v>
      </c>
      <c r="H3511" s="17">
        <v>12</v>
      </c>
      <c r="K3511" t="s">
        <v>195</v>
      </c>
      <c r="L3511" t="s">
        <v>196</v>
      </c>
      <c r="M3511" t="s">
        <v>131</v>
      </c>
      <c r="N3511">
        <v>21</v>
      </c>
      <c r="O3511" t="s">
        <v>40</v>
      </c>
      <c r="P3511" t="s">
        <v>40</v>
      </c>
      <c r="Q3511" t="s">
        <v>40</v>
      </c>
      <c r="R3511" t="s">
        <v>40</v>
      </c>
      <c r="S3511" t="s">
        <v>40</v>
      </c>
      <c r="U3511" s="1">
        <v>39326</v>
      </c>
      <c r="V3511" t="s">
        <v>41</v>
      </c>
      <c r="W3511" t="s">
        <v>75</v>
      </c>
      <c r="X3511" t="str">
        <f>"7521046"</f>
        <v>7521046</v>
      </c>
      <c r="Y3511" t="s">
        <v>436</v>
      </c>
      <c r="Z3511" t="s">
        <v>195</v>
      </c>
      <c r="AA3511" t="s">
        <v>196</v>
      </c>
      <c r="AB3511" t="s">
        <v>131</v>
      </c>
      <c r="AC3511" t="s">
        <v>51</v>
      </c>
      <c r="AD3511" t="s">
        <v>45</v>
      </c>
      <c r="AE3511" s="1">
        <v>25623</v>
      </c>
      <c r="AF3511">
        <v>1</v>
      </c>
      <c r="AG3511" t="s">
        <v>196</v>
      </c>
      <c r="AH3511" s="36">
        <f t="shared" si="54"/>
        <v>49.538888888888891</v>
      </c>
      <c r="AI3511" s="41" t="s">
        <v>1780</v>
      </c>
    </row>
    <row r="3512" spans="1:35" x14ac:dyDescent="0.25">
      <c r="A3512" s="36">
        <v>99913510</v>
      </c>
      <c r="B3512" s="17" t="s">
        <v>56</v>
      </c>
      <c r="C3512" t="s">
        <v>1292</v>
      </c>
      <c r="D3512" t="s">
        <v>1293</v>
      </c>
      <c r="E3512" t="s">
        <v>61</v>
      </c>
      <c r="F3512" t="s">
        <v>62</v>
      </c>
      <c r="G3512" s="17" t="s">
        <v>48</v>
      </c>
      <c r="H3512" s="17">
        <v>1</v>
      </c>
      <c r="K3512" t="s">
        <v>1268</v>
      </c>
      <c r="L3512" t="s">
        <v>1269</v>
      </c>
      <c r="M3512" t="s">
        <v>1270</v>
      </c>
      <c r="N3512">
        <v>9</v>
      </c>
      <c r="O3512" t="s">
        <v>40</v>
      </c>
      <c r="P3512" t="s">
        <v>40</v>
      </c>
      <c r="Q3512" t="s">
        <v>40</v>
      </c>
      <c r="R3512" t="s">
        <v>40</v>
      </c>
      <c r="S3512" t="s">
        <v>40</v>
      </c>
      <c r="V3512" t="s">
        <v>41</v>
      </c>
      <c r="W3512" t="s">
        <v>922</v>
      </c>
      <c r="X3512" t="str">
        <f>"1950001"</f>
        <v>1950001</v>
      </c>
      <c r="Y3512" t="s">
        <v>1284</v>
      </c>
      <c r="Z3512" t="s">
        <v>1268</v>
      </c>
      <c r="AA3512" t="s">
        <v>1269</v>
      </c>
      <c r="AB3512" t="s">
        <v>1270</v>
      </c>
      <c r="AC3512" t="s">
        <v>51</v>
      </c>
      <c r="AD3512" t="s">
        <v>45</v>
      </c>
      <c r="AE3512" s="1">
        <v>25623</v>
      </c>
      <c r="AF3512">
        <v>2</v>
      </c>
      <c r="AG3512" t="s">
        <v>1269</v>
      </c>
      <c r="AH3512" s="36">
        <f t="shared" si="54"/>
        <v>49.538888888888891</v>
      </c>
      <c r="AI3512" s="41" t="s">
        <v>1780</v>
      </c>
    </row>
    <row r="3513" spans="1:35" x14ac:dyDescent="0.25">
      <c r="A3513" s="36">
        <v>99913511</v>
      </c>
      <c r="B3513" s="17" t="s">
        <v>32</v>
      </c>
      <c r="C3513" t="s">
        <v>71</v>
      </c>
      <c r="D3513" t="s">
        <v>72</v>
      </c>
      <c r="G3513" s="17" t="s">
        <v>35</v>
      </c>
      <c r="H3513" s="17">
        <v>1</v>
      </c>
      <c r="K3513" t="s">
        <v>157</v>
      </c>
      <c r="L3513" t="s">
        <v>158</v>
      </c>
      <c r="M3513" t="s">
        <v>131</v>
      </c>
      <c r="N3513">
        <v>10</v>
      </c>
      <c r="O3513" t="s">
        <v>40</v>
      </c>
      <c r="P3513" t="s">
        <v>40</v>
      </c>
      <c r="Q3513" t="s">
        <v>40</v>
      </c>
      <c r="R3513" t="s">
        <v>40</v>
      </c>
      <c r="S3513" t="s">
        <v>40</v>
      </c>
      <c r="V3513" t="s">
        <v>41</v>
      </c>
      <c r="W3513" t="s">
        <v>49</v>
      </c>
      <c r="X3513" t="str">
        <f>"0560011"</f>
        <v>0560011</v>
      </c>
      <c r="Y3513" t="s">
        <v>185</v>
      </c>
      <c r="Z3513" t="s">
        <v>157</v>
      </c>
      <c r="AA3513" t="s">
        <v>158</v>
      </c>
      <c r="AB3513" t="s">
        <v>131</v>
      </c>
      <c r="AC3513" t="s">
        <v>165</v>
      </c>
      <c r="AD3513" t="s">
        <v>45</v>
      </c>
      <c r="AE3513" s="1">
        <v>25622</v>
      </c>
      <c r="AF3513">
        <v>2</v>
      </c>
      <c r="AG3513" t="s">
        <v>158</v>
      </c>
      <c r="AH3513" s="36">
        <f t="shared" si="54"/>
        <v>49.541666666666664</v>
      </c>
      <c r="AI3513" s="41" t="s">
        <v>1780</v>
      </c>
    </row>
    <row r="3514" spans="1:35" x14ac:dyDescent="0.25">
      <c r="A3514" s="36">
        <v>99913512</v>
      </c>
      <c r="B3514" s="17" t="s">
        <v>32</v>
      </c>
      <c r="C3514" t="s">
        <v>85</v>
      </c>
      <c r="D3514" t="s">
        <v>86</v>
      </c>
      <c r="E3514" t="s">
        <v>46</v>
      </c>
      <c r="F3514" t="s">
        <v>47</v>
      </c>
      <c r="G3514" s="17" t="s">
        <v>48</v>
      </c>
      <c r="H3514" s="17">
        <v>11</v>
      </c>
      <c r="K3514" t="s">
        <v>129</v>
      </c>
      <c r="L3514" t="s">
        <v>130</v>
      </c>
      <c r="M3514" t="s">
        <v>131</v>
      </c>
      <c r="N3514">
        <v>18</v>
      </c>
      <c r="O3514" t="s">
        <v>40</v>
      </c>
      <c r="P3514" t="s">
        <v>40</v>
      </c>
      <c r="Q3514" t="s">
        <v>40</v>
      </c>
      <c r="R3514" t="s">
        <v>40</v>
      </c>
      <c r="S3514" t="s">
        <v>40</v>
      </c>
      <c r="U3514" s="1">
        <v>34589</v>
      </c>
      <c r="V3514" t="s">
        <v>41</v>
      </c>
      <c r="W3514" t="s">
        <v>42</v>
      </c>
      <c r="X3514" t="str">
        <f>"0561011"</f>
        <v>0561011</v>
      </c>
      <c r="Y3514" t="s">
        <v>132</v>
      </c>
      <c r="Z3514" t="s">
        <v>129</v>
      </c>
      <c r="AA3514" t="s">
        <v>130</v>
      </c>
      <c r="AB3514" t="s">
        <v>131</v>
      </c>
      <c r="AC3514" t="s">
        <v>51</v>
      </c>
      <c r="AD3514" t="s">
        <v>45</v>
      </c>
      <c r="AE3514" s="1">
        <v>25618</v>
      </c>
      <c r="AF3514">
        <v>2</v>
      </c>
      <c r="AG3514" t="s">
        <v>130</v>
      </c>
      <c r="AH3514" s="36">
        <f t="shared" si="54"/>
        <v>49.552777777777777</v>
      </c>
      <c r="AI3514" s="41" t="s">
        <v>1780</v>
      </c>
    </row>
    <row r="3515" spans="1:35" x14ac:dyDescent="0.25">
      <c r="A3515" s="36">
        <v>99913513</v>
      </c>
      <c r="B3515" s="17" t="s">
        <v>32</v>
      </c>
      <c r="C3515" t="s">
        <v>46</v>
      </c>
      <c r="D3515" t="s">
        <v>47</v>
      </c>
      <c r="G3515" s="17" t="s">
        <v>48</v>
      </c>
      <c r="H3515" s="17">
        <v>1</v>
      </c>
      <c r="K3515" t="s">
        <v>1268</v>
      </c>
      <c r="L3515" t="s">
        <v>1269</v>
      </c>
      <c r="M3515" t="s">
        <v>1270</v>
      </c>
      <c r="N3515">
        <v>18</v>
      </c>
      <c r="O3515" t="s">
        <v>40</v>
      </c>
      <c r="P3515" t="s">
        <v>40</v>
      </c>
      <c r="Q3515" t="s">
        <v>40</v>
      </c>
      <c r="R3515" t="s">
        <v>40</v>
      </c>
      <c r="S3515" t="s">
        <v>40</v>
      </c>
      <c r="V3515" t="s">
        <v>41</v>
      </c>
      <c r="W3515" t="s">
        <v>49</v>
      </c>
      <c r="X3515" t="str">
        <f>"1981912"</f>
        <v>1981912</v>
      </c>
      <c r="Y3515" t="s">
        <v>1279</v>
      </c>
      <c r="Z3515" t="s">
        <v>1268</v>
      </c>
      <c r="AA3515" t="s">
        <v>1269</v>
      </c>
      <c r="AB3515" t="s">
        <v>1270</v>
      </c>
      <c r="AC3515" t="s">
        <v>51</v>
      </c>
      <c r="AD3515" t="s">
        <v>45</v>
      </c>
      <c r="AE3515" s="1">
        <v>25615</v>
      </c>
      <c r="AF3515">
        <v>2</v>
      </c>
      <c r="AG3515" t="s">
        <v>1269</v>
      </c>
      <c r="AH3515" s="36">
        <f t="shared" si="54"/>
        <v>49.56111111111111</v>
      </c>
      <c r="AI3515" s="41" t="s">
        <v>1780</v>
      </c>
    </row>
    <row r="3516" spans="1:35" x14ac:dyDescent="0.25">
      <c r="A3516" s="36">
        <v>99913514</v>
      </c>
      <c r="B3516" s="17" t="s">
        <v>32</v>
      </c>
      <c r="C3516" t="s">
        <v>85</v>
      </c>
      <c r="D3516" t="s">
        <v>86</v>
      </c>
      <c r="G3516" s="17" t="s">
        <v>48</v>
      </c>
      <c r="H3516" s="17">
        <v>1</v>
      </c>
      <c r="K3516" t="s">
        <v>300</v>
      </c>
      <c r="L3516" t="s">
        <v>301</v>
      </c>
      <c r="M3516" t="s">
        <v>131</v>
      </c>
      <c r="N3516">
        <v>11</v>
      </c>
      <c r="O3516" t="s">
        <v>40</v>
      </c>
      <c r="P3516" t="s">
        <v>40</v>
      </c>
      <c r="Q3516" t="s">
        <v>40</v>
      </c>
      <c r="R3516" t="s">
        <v>40</v>
      </c>
      <c r="S3516" t="s">
        <v>40</v>
      </c>
      <c r="V3516" t="s">
        <v>41</v>
      </c>
      <c r="W3516" t="s">
        <v>49</v>
      </c>
      <c r="X3516" t="str">
        <f>"0560013"</f>
        <v>0560013</v>
      </c>
      <c r="Y3516" t="s">
        <v>324</v>
      </c>
      <c r="Z3516" t="s">
        <v>300</v>
      </c>
      <c r="AA3516" t="s">
        <v>301</v>
      </c>
      <c r="AB3516" t="s">
        <v>131</v>
      </c>
      <c r="AC3516" t="s">
        <v>51</v>
      </c>
      <c r="AD3516" t="s">
        <v>45</v>
      </c>
      <c r="AE3516" s="1">
        <v>25611</v>
      </c>
      <c r="AF3516">
        <v>2</v>
      </c>
      <c r="AG3516" t="s">
        <v>301</v>
      </c>
      <c r="AH3516" s="36">
        <f t="shared" si="54"/>
        <v>49.572222222222223</v>
      </c>
      <c r="AI3516" s="41" t="s">
        <v>1780</v>
      </c>
    </row>
    <row r="3517" spans="1:35" x14ac:dyDescent="0.25">
      <c r="A3517" s="36">
        <v>99913515</v>
      </c>
      <c r="B3517" s="17" t="s">
        <v>32</v>
      </c>
      <c r="C3517" t="s">
        <v>139</v>
      </c>
      <c r="D3517" t="s">
        <v>140</v>
      </c>
      <c r="G3517" s="17" t="s">
        <v>48</v>
      </c>
      <c r="H3517" s="17">
        <v>5</v>
      </c>
      <c r="I3517" t="s">
        <v>461</v>
      </c>
      <c r="J3517" s="1">
        <v>41153</v>
      </c>
      <c r="K3517" t="s">
        <v>195</v>
      </c>
      <c r="L3517" t="s">
        <v>196</v>
      </c>
      <c r="M3517" t="s">
        <v>131</v>
      </c>
      <c r="N3517">
        <v>19</v>
      </c>
      <c r="O3517" t="s">
        <v>40</v>
      </c>
      <c r="P3517" t="s">
        <v>40</v>
      </c>
      <c r="Q3517" t="s">
        <v>40</v>
      </c>
      <c r="R3517" t="s">
        <v>40</v>
      </c>
      <c r="S3517" t="s">
        <v>40</v>
      </c>
      <c r="U3517" s="1">
        <v>41153</v>
      </c>
      <c r="V3517" t="s">
        <v>41</v>
      </c>
      <c r="W3517" t="s">
        <v>75</v>
      </c>
      <c r="X3517" t="str">
        <f>"7521050"</f>
        <v>7521050</v>
      </c>
      <c r="Y3517" t="s">
        <v>194</v>
      </c>
      <c r="Z3517" t="s">
        <v>195</v>
      </c>
      <c r="AA3517" t="s">
        <v>196</v>
      </c>
      <c r="AB3517" t="s">
        <v>131</v>
      </c>
      <c r="AC3517" t="s">
        <v>51</v>
      </c>
      <c r="AD3517" t="s">
        <v>45</v>
      </c>
      <c r="AE3517" s="1">
        <v>25609</v>
      </c>
      <c r="AF3517">
        <v>1</v>
      </c>
      <c r="AG3517" t="s">
        <v>196</v>
      </c>
      <c r="AH3517" s="36">
        <f t="shared" si="54"/>
        <v>49.577777777777776</v>
      </c>
      <c r="AI3517" s="41" t="s">
        <v>1780</v>
      </c>
    </row>
    <row r="3518" spans="1:35" x14ac:dyDescent="0.25">
      <c r="A3518" s="36">
        <v>99913516</v>
      </c>
      <c r="B3518" s="17" t="s">
        <v>56</v>
      </c>
      <c r="C3518" t="s">
        <v>111</v>
      </c>
      <c r="D3518" t="s">
        <v>112</v>
      </c>
      <c r="G3518" s="17" t="s">
        <v>35</v>
      </c>
      <c r="H3518" s="17">
        <v>1</v>
      </c>
      <c r="K3518" t="s">
        <v>154</v>
      </c>
      <c r="L3518" t="s">
        <v>155</v>
      </c>
      <c r="M3518" t="s">
        <v>131</v>
      </c>
      <c r="N3518">
        <v>21</v>
      </c>
      <c r="O3518" t="s">
        <v>40</v>
      </c>
      <c r="P3518" t="s">
        <v>40</v>
      </c>
      <c r="Q3518" t="s">
        <v>40</v>
      </c>
      <c r="S3518" t="s">
        <v>40</v>
      </c>
      <c r="V3518" t="s">
        <v>41</v>
      </c>
      <c r="W3518" t="s">
        <v>75</v>
      </c>
      <c r="X3518" t="str">
        <f>"7700026"</f>
        <v>7700026</v>
      </c>
      <c r="Y3518" t="s">
        <v>397</v>
      </c>
      <c r="Z3518" t="s">
        <v>154</v>
      </c>
      <c r="AA3518" t="s">
        <v>155</v>
      </c>
      <c r="AB3518" t="s">
        <v>131</v>
      </c>
      <c r="AC3518" t="s">
        <v>51</v>
      </c>
      <c r="AD3518" t="s">
        <v>45</v>
      </c>
      <c r="AE3518" s="1">
        <v>25605</v>
      </c>
      <c r="AF3518">
        <v>1</v>
      </c>
      <c r="AG3518" t="s">
        <v>155</v>
      </c>
      <c r="AH3518" s="36">
        <f t="shared" si="54"/>
        <v>49.588888888888889</v>
      </c>
      <c r="AI3518" s="41" t="s">
        <v>1780</v>
      </c>
    </row>
    <row r="3519" spans="1:35" x14ac:dyDescent="0.25">
      <c r="A3519" s="36">
        <v>99913517</v>
      </c>
      <c r="B3519" s="17" t="s">
        <v>32</v>
      </c>
      <c r="C3519" t="s">
        <v>85</v>
      </c>
      <c r="D3519" t="s">
        <v>86</v>
      </c>
      <c r="G3519" s="17" t="s">
        <v>48</v>
      </c>
      <c r="H3519" s="17">
        <v>1</v>
      </c>
      <c r="K3519" t="s">
        <v>223</v>
      </c>
      <c r="L3519" t="s">
        <v>224</v>
      </c>
      <c r="M3519" t="s">
        <v>131</v>
      </c>
      <c r="N3519">
        <v>18</v>
      </c>
      <c r="O3519" t="s">
        <v>40</v>
      </c>
      <c r="P3519" t="s">
        <v>40</v>
      </c>
      <c r="Q3519" t="s">
        <v>40</v>
      </c>
      <c r="S3519" t="s">
        <v>40</v>
      </c>
      <c r="V3519" t="s">
        <v>41</v>
      </c>
      <c r="W3519" t="s">
        <v>49</v>
      </c>
      <c r="X3519" t="str">
        <f>"0581204"</f>
        <v>0581204</v>
      </c>
      <c r="Y3519" t="s">
        <v>249</v>
      </c>
      <c r="Z3519" t="s">
        <v>223</v>
      </c>
      <c r="AA3519" t="s">
        <v>224</v>
      </c>
      <c r="AB3519" t="s">
        <v>131</v>
      </c>
      <c r="AC3519" t="s">
        <v>165</v>
      </c>
      <c r="AD3519" t="s">
        <v>45</v>
      </c>
      <c r="AE3519" s="1">
        <v>25603</v>
      </c>
      <c r="AF3519">
        <v>2</v>
      </c>
      <c r="AG3519" t="s">
        <v>224</v>
      </c>
      <c r="AH3519" s="36">
        <f t="shared" si="54"/>
        <v>49.594444444444441</v>
      </c>
      <c r="AI3519" s="41" t="s">
        <v>1780</v>
      </c>
    </row>
    <row r="3520" spans="1:35" x14ac:dyDescent="0.25">
      <c r="A3520" s="36">
        <v>99913518</v>
      </c>
      <c r="B3520" s="17" t="s">
        <v>56</v>
      </c>
      <c r="C3520" t="s">
        <v>143</v>
      </c>
      <c r="D3520" t="s">
        <v>144</v>
      </c>
      <c r="G3520" s="17" t="s">
        <v>35</v>
      </c>
      <c r="H3520" s="17">
        <v>1</v>
      </c>
      <c r="K3520" t="s">
        <v>345</v>
      </c>
      <c r="L3520" t="s">
        <v>346</v>
      </c>
      <c r="M3520" t="s">
        <v>131</v>
      </c>
      <c r="N3520">
        <v>20</v>
      </c>
      <c r="O3520" t="s">
        <v>40</v>
      </c>
      <c r="P3520" t="s">
        <v>40</v>
      </c>
      <c r="Q3520" t="s">
        <v>40</v>
      </c>
      <c r="R3520" t="s">
        <v>40</v>
      </c>
      <c r="S3520" t="s">
        <v>40</v>
      </c>
      <c r="V3520" t="s">
        <v>41</v>
      </c>
      <c r="W3520" t="s">
        <v>49</v>
      </c>
      <c r="X3520" t="str">
        <f>"0560007"</f>
        <v>0560007</v>
      </c>
      <c r="Y3520" t="s">
        <v>357</v>
      </c>
      <c r="Z3520" t="s">
        <v>345</v>
      </c>
      <c r="AA3520" t="s">
        <v>346</v>
      </c>
      <c r="AB3520" t="s">
        <v>131</v>
      </c>
      <c r="AC3520" t="s">
        <v>51</v>
      </c>
      <c r="AD3520" t="s">
        <v>45</v>
      </c>
      <c r="AE3520" s="1">
        <v>25598</v>
      </c>
      <c r="AF3520">
        <v>2</v>
      </c>
      <c r="AG3520" t="s">
        <v>346</v>
      </c>
      <c r="AH3520" s="36">
        <f t="shared" si="54"/>
        <v>49.608333333333334</v>
      </c>
      <c r="AI3520" s="41" t="s">
        <v>1780</v>
      </c>
    </row>
    <row r="3521" spans="1:35" x14ac:dyDescent="0.25">
      <c r="A3521" s="36">
        <v>99913519</v>
      </c>
      <c r="B3521" s="17" t="s">
        <v>32</v>
      </c>
      <c r="C3521" t="s">
        <v>79</v>
      </c>
      <c r="D3521" t="s">
        <v>80</v>
      </c>
      <c r="G3521" s="17" t="s">
        <v>48</v>
      </c>
      <c r="H3521" s="17">
        <v>5</v>
      </c>
      <c r="I3521" t="s">
        <v>456</v>
      </c>
      <c r="J3521" s="1">
        <v>40422</v>
      </c>
      <c r="K3521" t="s">
        <v>195</v>
      </c>
      <c r="L3521" t="s">
        <v>196</v>
      </c>
      <c r="M3521" t="s">
        <v>131</v>
      </c>
      <c r="N3521">
        <v>24</v>
      </c>
      <c r="O3521" t="s">
        <v>40</v>
      </c>
      <c r="P3521" t="s">
        <v>40</v>
      </c>
      <c r="Q3521" t="s">
        <v>40</v>
      </c>
      <c r="R3521" t="s">
        <v>40</v>
      </c>
      <c r="S3521" t="s">
        <v>40</v>
      </c>
      <c r="U3521" s="1">
        <v>40422</v>
      </c>
      <c r="V3521" t="s">
        <v>41</v>
      </c>
      <c r="W3521" t="s">
        <v>75</v>
      </c>
      <c r="X3521" t="str">
        <f>"7521046"</f>
        <v>7521046</v>
      </c>
      <c r="Y3521" t="s">
        <v>436</v>
      </c>
      <c r="Z3521" t="s">
        <v>195</v>
      </c>
      <c r="AA3521" t="s">
        <v>196</v>
      </c>
      <c r="AB3521" t="s">
        <v>131</v>
      </c>
      <c r="AC3521" t="s">
        <v>165</v>
      </c>
      <c r="AD3521" t="s">
        <v>45</v>
      </c>
      <c r="AE3521" s="1">
        <v>25584</v>
      </c>
      <c r="AF3521">
        <v>1</v>
      </c>
      <c r="AG3521" t="s">
        <v>196</v>
      </c>
      <c r="AH3521" s="36">
        <f t="shared" si="54"/>
        <v>49.647222222222226</v>
      </c>
      <c r="AI3521" s="41" t="s">
        <v>1780</v>
      </c>
    </row>
    <row r="3522" spans="1:35" x14ac:dyDescent="0.25">
      <c r="A3522" s="36">
        <v>99913520</v>
      </c>
      <c r="B3522" s="17" t="s">
        <v>32</v>
      </c>
      <c r="C3522" t="s">
        <v>90</v>
      </c>
      <c r="D3522" t="s">
        <v>91</v>
      </c>
      <c r="G3522" s="17" t="s">
        <v>48</v>
      </c>
      <c r="H3522" s="17">
        <v>1</v>
      </c>
      <c r="K3522" t="s">
        <v>963</v>
      </c>
      <c r="L3522" t="s">
        <v>964</v>
      </c>
      <c r="M3522" t="s">
        <v>938</v>
      </c>
      <c r="N3522">
        <v>25</v>
      </c>
      <c r="O3522" t="s">
        <v>40</v>
      </c>
      <c r="P3522" t="s">
        <v>40</v>
      </c>
      <c r="Q3522" t="s">
        <v>40</v>
      </c>
      <c r="R3522" t="s">
        <v>40</v>
      </c>
      <c r="S3522" t="s">
        <v>40</v>
      </c>
      <c r="V3522" t="s">
        <v>41</v>
      </c>
      <c r="W3522" t="s">
        <v>95</v>
      </c>
      <c r="X3522" t="str">
        <f>"7061041"</f>
        <v>7061041</v>
      </c>
      <c r="Y3522" t="s">
        <v>1019</v>
      </c>
      <c r="Z3522" t="s">
        <v>963</v>
      </c>
      <c r="AA3522" t="s">
        <v>964</v>
      </c>
      <c r="AB3522" t="s">
        <v>938</v>
      </c>
      <c r="AC3522" t="s">
        <v>51</v>
      </c>
      <c r="AD3522" t="s">
        <v>45</v>
      </c>
      <c r="AE3522" s="1">
        <v>25583</v>
      </c>
      <c r="AF3522">
        <v>1</v>
      </c>
      <c r="AG3522" t="s">
        <v>964</v>
      </c>
      <c r="AH3522" s="36">
        <f t="shared" ref="AH3522:AH3585" si="55">($AJ$1-AE3522)/360</f>
        <v>49.65</v>
      </c>
      <c r="AI3522" s="41" t="s">
        <v>1780</v>
      </c>
    </row>
    <row r="3523" spans="1:35" x14ac:dyDescent="0.25">
      <c r="A3523" s="36">
        <v>99913521</v>
      </c>
      <c r="B3523" s="17" t="s">
        <v>56</v>
      </c>
      <c r="C3523" t="s">
        <v>64</v>
      </c>
      <c r="D3523" t="s">
        <v>65</v>
      </c>
      <c r="G3523" s="17" t="s">
        <v>48</v>
      </c>
      <c r="H3523" s="17">
        <v>1</v>
      </c>
      <c r="K3523" t="s">
        <v>1128</v>
      </c>
      <c r="L3523" t="s">
        <v>1129</v>
      </c>
      <c r="M3523" t="s">
        <v>1130</v>
      </c>
      <c r="N3523">
        <v>20</v>
      </c>
      <c r="O3523" t="s">
        <v>40</v>
      </c>
      <c r="P3523" t="s">
        <v>40</v>
      </c>
      <c r="Q3523" t="s">
        <v>40</v>
      </c>
      <c r="R3523" t="s">
        <v>40</v>
      </c>
      <c r="S3523" t="s">
        <v>40</v>
      </c>
      <c r="V3523" t="s">
        <v>41</v>
      </c>
      <c r="W3523" t="s">
        <v>49</v>
      </c>
      <c r="X3523" t="str">
        <f>"3181015"</f>
        <v>3181015</v>
      </c>
      <c r="Y3523" t="s">
        <v>1131</v>
      </c>
      <c r="Z3523" t="s">
        <v>1128</v>
      </c>
      <c r="AA3523" t="s">
        <v>1129</v>
      </c>
      <c r="AB3523" t="s">
        <v>1130</v>
      </c>
      <c r="AC3523" t="s">
        <v>51</v>
      </c>
      <c r="AD3523" t="s">
        <v>45</v>
      </c>
      <c r="AE3523" s="1">
        <v>25579</v>
      </c>
      <c r="AF3523">
        <v>2</v>
      </c>
      <c r="AG3523" t="s">
        <v>1129</v>
      </c>
      <c r="AH3523" s="36">
        <f t="shared" si="55"/>
        <v>49.661111111111111</v>
      </c>
      <c r="AI3523" s="41" t="s">
        <v>1780</v>
      </c>
    </row>
    <row r="3524" spans="1:35" x14ac:dyDescent="0.25">
      <c r="A3524" s="36">
        <v>99913522</v>
      </c>
      <c r="B3524" s="17" t="s">
        <v>32</v>
      </c>
      <c r="C3524" t="s">
        <v>61</v>
      </c>
      <c r="D3524" t="s">
        <v>62</v>
      </c>
      <c r="G3524" s="17" t="s">
        <v>48</v>
      </c>
      <c r="H3524" s="17">
        <v>1</v>
      </c>
      <c r="K3524" t="s">
        <v>380</v>
      </c>
      <c r="L3524" t="s">
        <v>381</v>
      </c>
      <c r="M3524" t="s">
        <v>131</v>
      </c>
      <c r="N3524">
        <v>18</v>
      </c>
      <c r="O3524" t="s">
        <v>40</v>
      </c>
      <c r="P3524" t="s">
        <v>40</v>
      </c>
      <c r="Q3524" t="s">
        <v>40</v>
      </c>
      <c r="R3524" t="s">
        <v>40</v>
      </c>
      <c r="S3524" t="s">
        <v>40</v>
      </c>
      <c r="V3524" t="s">
        <v>41</v>
      </c>
      <c r="W3524" t="s">
        <v>49</v>
      </c>
      <c r="X3524" t="str">
        <f>"0591909"</f>
        <v>0591909</v>
      </c>
      <c r="Y3524" t="s">
        <v>385</v>
      </c>
      <c r="Z3524" t="s">
        <v>380</v>
      </c>
      <c r="AA3524" t="s">
        <v>381</v>
      </c>
      <c r="AB3524" t="s">
        <v>131</v>
      </c>
      <c r="AC3524" t="s">
        <v>51</v>
      </c>
      <c r="AD3524" t="s">
        <v>45</v>
      </c>
      <c r="AE3524" s="1">
        <v>25578</v>
      </c>
      <c r="AF3524">
        <v>2</v>
      </c>
      <c r="AG3524" t="s">
        <v>381</v>
      </c>
      <c r="AH3524" s="36">
        <f t="shared" si="55"/>
        <v>49.663888888888891</v>
      </c>
      <c r="AI3524" s="41" t="s">
        <v>1780</v>
      </c>
    </row>
    <row r="3525" spans="1:35" x14ac:dyDescent="0.25">
      <c r="A3525" s="36">
        <v>99913523</v>
      </c>
      <c r="B3525" s="17" t="s">
        <v>32</v>
      </c>
      <c r="C3525" t="s">
        <v>46</v>
      </c>
      <c r="D3525" t="s">
        <v>47</v>
      </c>
      <c r="G3525" s="17" t="s">
        <v>48</v>
      </c>
      <c r="H3525" s="17">
        <v>1</v>
      </c>
      <c r="K3525" t="s">
        <v>162</v>
      </c>
      <c r="L3525" t="s">
        <v>158</v>
      </c>
      <c r="M3525" t="s">
        <v>131</v>
      </c>
      <c r="N3525">
        <v>18</v>
      </c>
      <c r="O3525" t="s">
        <v>40</v>
      </c>
      <c r="P3525" t="s">
        <v>40</v>
      </c>
      <c r="Q3525" t="s">
        <v>40</v>
      </c>
      <c r="S3525" t="s">
        <v>40</v>
      </c>
      <c r="V3525" t="s">
        <v>41</v>
      </c>
      <c r="W3525" t="s">
        <v>49</v>
      </c>
      <c r="X3525" t="str">
        <f>"0560027"</f>
        <v>0560027</v>
      </c>
      <c r="Y3525" t="s">
        <v>178</v>
      </c>
      <c r="Z3525" t="s">
        <v>162</v>
      </c>
      <c r="AA3525" t="s">
        <v>158</v>
      </c>
      <c r="AB3525" t="s">
        <v>131</v>
      </c>
      <c r="AC3525" t="s">
        <v>51</v>
      </c>
      <c r="AD3525" t="s">
        <v>45</v>
      </c>
      <c r="AE3525" s="1">
        <v>25570</v>
      </c>
      <c r="AF3525">
        <v>2</v>
      </c>
      <c r="AG3525" t="s">
        <v>158</v>
      </c>
      <c r="AH3525" s="36">
        <f t="shared" si="55"/>
        <v>49.68611111111111</v>
      </c>
      <c r="AI3525" s="41" t="s">
        <v>1780</v>
      </c>
    </row>
    <row r="3526" spans="1:35" x14ac:dyDescent="0.25">
      <c r="A3526" s="36">
        <v>99913524</v>
      </c>
      <c r="B3526" s="17" t="s">
        <v>32</v>
      </c>
      <c r="C3526" t="s">
        <v>61</v>
      </c>
      <c r="D3526" t="s">
        <v>62</v>
      </c>
      <c r="E3526" t="s">
        <v>52</v>
      </c>
      <c r="F3526" t="s">
        <v>53</v>
      </c>
      <c r="G3526" s="17" t="s">
        <v>35</v>
      </c>
      <c r="H3526" s="17">
        <v>1</v>
      </c>
      <c r="K3526" t="s">
        <v>162</v>
      </c>
      <c r="L3526" t="s">
        <v>158</v>
      </c>
      <c r="M3526" t="s">
        <v>131</v>
      </c>
      <c r="N3526">
        <v>19</v>
      </c>
      <c r="O3526" t="s">
        <v>40</v>
      </c>
      <c r="P3526" t="s">
        <v>40</v>
      </c>
      <c r="Q3526" t="s">
        <v>40</v>
      </c>
      <c r="R3526" t="s">
        <v>40</v>
      </c>
      <c r="S3526" t="s">
        <v>40</v>
      </c>
      <c r="V3526" t="s">
        <v>41</v>
      </c>
      <c r="W3526" t="s">
        <v>49</v>
      </c>
      <c r="X3526" t="str">
        <f>"0505050"</f>
        <v>0505050</v>
      </c>
      <c r="Y3526" t="s">
        <v>163</v>
      </c>
      <c r="Z3526" t="s">
        <v>162</v>
      </c>
      <c r="AA3526" t="s">
        <v>158</v>
      </c>
      <c r="AB3526" t="s">
        <v>131</v>
      </c>
      <c r="AC3526" t="s">
        <v>51</v>
      </c>
      <c r="AD3526" t="s">
        <v>45</v>
      </c>
      <c r="AE3526" s="1">
        <v>25569</v>
      </c>
      <c r="AF3526">
        <v>2</v>
      </c>
      <c r="AG3526" t="s">
        <v>158</v>
      </c>
      <c r="AH3526" s="36">
        <f t="shared" si="55"/>
        <v>49.68888888888889</v>
      </c>
      <c r="AI3526" s="41" t="s">
        <v>1780</v>
      </c>
    </row>
    <row r="3527" spans="1:35" x14ac:dyDescent="0.25">
      <c r="A3527" s="36">
        <v>99913525</v>
      </c>
      <c r="B3527" s="17" t="s">
        <v>56</v>
      </c>
      <c r="C3527" t="s">
        <v>64</v>
      </c>
      <c r="D3527" t="s">
        <v>65</v>
      </c>
      <c r="G3527" s="17" t="s">
        <v>35</v>
      </c>
      <c r="H3527" s="17">
        <v>1</v>
      </c>
      <c r="K3527" t="s">
        <v>157</v>
      </c>
      <c r="L3527" t="s">
        <v>158</v>
      </c>
      <c r="M3527" t="s">
        <v>131</v>
      </c>
      <c r="N3527">
        <v>21</v>
      </c>
      <c r="O3527" t="s">
        <v>40</v>
      </c>
      <c r="P3527" t="s">
        <v>40</v>
      </c>
      <c r="Q3527" t="s">
        <v>40</v>
      </c>
      <c r="R3527" t="s">
        <v>40</v>
      </c>
      <c r="S3527" t="s">
        <v>40</v>
      </c>
      <c r="V3527" t="s">
        <v>41</v>
      </c>
      <c r="W3527" t="s">
        <v>49</v>
      </c>
      <c r="X3527" t="str">
        <f>"0581725"</f>
        <v>0581725</v>
      </c>
      <c r="Y3527" t="s">
        <v>161</v>
      </c>
      <c r="Z3527" t="s">
        <v>157</v>
      </c>
      <c r="AA3527" t="s">
        <v>158</v>
      </c>
      <c r="AB3527" t="s">
        <v>131</v>
      </c>
      <c r="AC3527" t="s">
        <v>51</v>
      </c>
      <c r="AD3527" t="s">
        <v>45</v>
      </c>
      <c r="AE3527" s="1">
        <v>25569</v>
      </c>
      <c r="AF3527">
        <v>2</v>
      </c>
      <c r="AG3527" t="s">
        <v>158</v>
      </c>
      <c r="AH3527" s="36">
        <f t="shared" si="55"/>
        <v>49.68888888888889</v>
      </c>
      <c r="AI3527" s="41" t="s">
        <v>1780</v>
      </c>
    </row>
    <row r="3528" spans="1:35" x14ac:dyDescent="0.25">
      <c r="A3528" s="36">
        <v>99913526</v>
      </c>
      <c r="B3528" s="17" t="s">
        <v>32</v>
      </c>
      <c r="C3528" t="s">
        <v>79</v>
      </c>
      <c r="D3528" t="s">
        <v>80</v>
      </c>
      <c r="G3528" s="17" t="s">
        <v>35</v>
      </c>
      <c r="H3528" s="17">
        <v>1</v>
      </c>
      <c r="I3528" t="s">
        <v>222</v>
      </c>
      <c r="J3528" s="1">
        <v>43354</v>
      </c>
      <c r="K3528" t="s">
        <v>162</v>
      </c>
      <c r="L3528" t="s">
        <v>158</v>
      </c>
      <c r="M3528" t="s">
        <v>131</v>
      </c>
      <c r="N3528">
        <v>20</v>
      </c>
      <c r="O3528" t="s">
        <v>40</v>
      </c>
      <c r="P3528" t="s">
        <v>40</v>
      </c>
      <c r="Q3528" t="s">
        <v>40</v>
      </c>
      <c r="R3528" t="s">
        <v>40</v>
      </c>
      <c r="S3528" t="s">
        <v>40</v>
      </c>
      <c r="U3528" s="1">
        <v>43354</v>
      </c>
      <c r="V3528" t="s">
        <v>41</v>
      </c>
      <c r="W3528" t="s">
        <v>42</v>
      </c>
      <c r="X3528" t="str">
        <f>"0580325"</f>
        <v>0580325</v>
      </c>
      <c r="Y3528" t="s">
        <v>170</v>
      </c>
      <c r="Z3528" t="s">
        <v>162</v>
      </c>
      <c r="AA3528" t="s">
        <v>158</v>
      </c>
      <c r="AB3528" t="s">
        <v>131</v>
      </c>
      <c r="AC3528" t="s">
        <v>44</v>
      </c>
      <c r="AD3528" t="s">
        <v>45</v>
      </c>
      <c r="AE3528" s="1">
        <v>25569</v>
      </c>
      <c r="AF3528">
        <v>2</v>
      </c>
      <c r="AG3528" t="s">
        <v>158</v>
      </c>
      <c r="AH3528" s="36">
        <f t="shared" si="55"/>
        <v>49.68888888888889</v>
      </c>
      <c r="AI3528" s="41" t="s">
        <v>1780</v>
      </c>
    </row>
    <row r="3529" spans="1:35" x14ac:dyDescent="0.25">
      <c r="A3529" s="36">
        <v>99913527</v>
      </c>
      <c r="B3529" s="17" t="s">
        <v>56</v>
      </c>
      <c r="C3529" t="s">
        <v>33</v>
      </c>
      <c r="D3529" t="s">
        <v>34</v>
      </c>
      <c r="G3529" s="17" t="s">
        <v>35</v>
      </c>
      <c r="H3529" s="17">
        <v>1</v>
      </c>
      <c r="K3529" t="s">
        <v>300</v>
      </c>
      <c r="L3529" t="s">
        <v>301</v>
      </c>
      <c r="M3529" t="s">
        <v>131</v>
      </c>
      <c r="N3529">
        <v>14</v>
      </c>
      <c r="O3529" t="s">
        <v>40</v>
      </c>
      <c r="P3529" t="s">
        <v>40</v>
      </c>
      <c r="Q3529" t="s">
        <v>40</v>
      </c>
      <c r="R3529" t="s">
        <v>40</v>
      </c>
      <c r="S3529" t="s">
        <v>40</v>
      </c>
      <c r="V3529" t="s">
        <v>41</v>
      </c>
      <c r="W3529" t="s">
        <v>42</v>
      </c>
      <c r="X3529" t="str">
        <f>"0580023"</f>
        <v>0580023</v>
      </c>
      <c r="Y3529" t="s">
        <v>313</v>
      </c>
      <c r="Z3529" t="s">
        <v>300</v>
      </c>
      <c r="AA3529" t="s">
        <v>301</v>
      </c>
      <c r="AB3529" t="s">
        <v>131</v>
      </c>
      <c r="AC3529" t="s">
        <v>165</v>
      </c>
      <c r="AD3529" t="s">
        <v>45</v>
      </c>
      <c r="AE3529" s="1">
        <v>25569</v>
      </c>
      <c r="AF3529">
        <v>2</v>
      </c>
      <c r="AG3529" t="s">
        <v>301</v>
      </c>
      <c r="AH3529" s="36">
        <f t="shared" si="55"/>
        <v>49.68888888888889</v>
      </c>
      <c r="AI3529" s="41" t="s">
        <v>1780</v>
      </c>
    </row>
    <row r="3530" spans="1:35" x14ac:dyDescent="0.25">
      <c r="A3530" s="36">
        <v>99913528</v>
      </c>
      <c r="B3530" s="17" t="s">
        <v>32</v>
      </c>
      <c r="C3530" t="s">
        <v>64</v>
      </c>
      <c r="D3530" t="s">
        <v>65</v>
      </c>
      <c r="G3530" s="17" t="s">
        <v>48</v>
      </c>
      <c r="H3530" s="17">
        <v>2</v>
      </c>
      <c r="K3530" t="s">
        <v>345</v>
      </c>
      <c r="L3530" t="s">
        <v>346</v>
      </c>
      <c r="M3530" t="s">
        <v>131</v>
      </c>
      <c r="N3530">
        <v>23</v>
      </c>
      <c r="O3530" t="s">
        <v>40</v>
      </c>
      <c r="P3530" t="s">
        <v>40</v>
      </c>
      <c r="Q3530" t="s">
        <v>40</v>
      </c>
      <c r="R3530" t="s">
        <v>40</v>
      </c>
      <c r="S3530" t="s">
        <v>40</v>
      </c>
      <c r="V3530" t="s">
        <v>41</v>
      </c>
      <c r="W3530" t="s">
        <v>49</v>
      </c>
      <c r="X3530" t="str">
        <f>"0561021"</f>
        <v>0561021</v>
      </c>
      <c r="Y3530" t="s">
        <v>352</v>
      </c>
      <c r="Z3530" t="s">
        <v>345</v>
      </c>
      <c r="AA3530" t="s">
        <v>346</v>
      </c>
      <c r="AB3530" t="s">
        <v>131</v>
      </c>
      <c r="AC3530" t="s">
        <v>51</v>
      </c>
      <c r="AD3530" t="s">
        <v>45</v>
      </c>
      <c r="AE3530" s="1">
        <v>25569</v>
      </c>
      <c r="AF3530">
        <v>2</v>
      </c>
      <c r="AG3530" t="s">
        <v>346</v>
      </c>
      <c r="AH3530" s="36">
        <f t="shared" si="55"/>
        <v>49.68888888888889</v>
      </c>
      <c r="AI3530" s="41" t="s">
        <v>1780</v>
      </c>
    </row>
    <row r="3531" spans="1:35" x14ac:dyDescent="0.25">
      <c r="A3531" s="36">
        <v>99913529</v>
      </c>
      <c r="B3531" s="17" t="s">
        <v>32</v>
      </c>
      <c r="C3531" t="s">
        <v>52</v>
      </c>
      <c r="D3531" t="s">
        <v>53</v>
      </c>
      <c r="G3531" s="17" t="s">
        <v>35</v>
      </c>
      <c r="H3531" s="17">
        <v>1</v>
      </c>
      <c r="I3531" t="s">
        <v>358</v>
      </c>
      <c r="J3531" s="1">
        <v>43344</v>
      </c>
      <c r="K3531" t="s">
        <v>345</v>
      </c>
      <c r="L3531" t="s">
        <v>346</v>
      </c>
      <c r="M3531" t="s">
        <v>131</v>
      </c>
      <c r="N3531">
        <v>20</v>
      </c>
      <c r="O3531" t="s">
        <v>40</v>
      </c>
      <c r="P3531" t="s">
        <v>40</v>
      </c>
      <c r="Q3531" t="s">
        <v>40</v>
      </c>
      <c r="R3531" t="s">
        <v>40</v>
      </c>
      <c r="S3531" t="s">
        <v>40</v>
      </c>
      <c r="U3531" s="1">
        <v>43344</v>
      </c>
      <c r="V3531" t="s">
        <v>41</v>
      </c>
      <c r="W3531" t="s">
        <v>42</v>
      </c>
      <c r="X3531" t="str">
        <f>"0580615"</f>
        <v>0580615</v>
      </c>
      <c r="Y3531" t="s">
        <v>364</v>
      </c>
      <c r="Z3531" t="s">
        <v>345</v>
      </c>
      <c r="AA3531" t="s">
        <v>346</v>
      </c>
      <c r="AB3531" t="s">
        <v>131</v>
      </c>
      <c r="AC3531" t="s">
        <v>51</v>
      </c>
      <c r="AD3531" t="s">
        <v>45</v>
      </c>
      <c r="AE3531" s="1">
        <v>25569</v>
      </c>
      <c r="AF3531">
        <v>2</v>
      </c>
      <c r="AG3531" t="s">
        <v>346</v>
      </c>
      <c r="AH3531" s="36">
        <f t="shared" si="55"/>
        <v>49.68888888888889</v>
      </c>
      <c r="AI3531" s="41" t="s">
        <v>1780</v>
      </c>
    </row>
    <row r="3532" spans="1:35" x14ac:dyDescent="0.25">
      <c r="A3532" s="36">
        <v>99913530</v>
      </c>
      <c r="B3532" s="17" t="s">
        <v>32</v>
      </c>
      <c r="C3532" t="s">
        <v>64</v>
      </c>
      <c r="D3532" t="s">
        <v>65</v>
      </c>
      <c r="G3532" s="17" t="s">
        <v>48</v>
      </c>
      <c r="H3532" s="17">
        <v>11</v>
      </c>
      <c r="K3532" t="s">
        <v>195</v>
      </c>
      <c r="L3532" t="s">
        <v>196</v>
      </c>
      <c r="M3532" t="s">
        <v>131</v>
      </c>
      <c r="N3532">
        <v>21</v>
      </c>
      <c r="O3532" t="s">
        <v>40</v>
      </c>
      <c r="P3532" t="s">
        <v>40</v>
      </c>
      <c r="Q3532" t="s">
        <v>40</v>
      </c>
      <c r="R3532" t="s">
        <v>40</v>
      </c>
      <c r="S3532" t="s">
        <v>40</v>
      </c>
      <c r="U3532" s="1">
        <v>39326</v>
      </c>
      <c r="V3532" t="s">
        <v>41</v>
      </c>
      <c r="W3532" t="s">
        <v>75</v>
      </c>
      <c r="X3532" t="str">
        <f>"7521042"</f>
        <v>7521042</v>
      </c>
      <c r="Y3532" t="s">
        <v>440</v>
      </c>
      <c r="Z3532" t="s">
        <v>195</v>
      </c>
      <c r="AA3532" t="s">
        <v>196</v>
      </c>
      <c r="AB3532" t="s">
        <v>131</v>
      </c>
      <c r="AC3532" t="s">
        <v>51</v>
      </c>
      <c r="AD3532" t="s">
        <v>45</v>
      </c>
      <c r="AE3532" s="1">
        <v>25569</v>
      </c>
      <c r="AF3532">
        <v>1</v>
      </c>
      <c r="AG3532" t="s">
        <v>196</v>
      </c>
      <c r="AH3532" s="36">
        <f t="shared" si="55"/>
        <v>49.68888888888889</v>
      </c>
      <c r="AI3532" s="41" t="s">
        <v>1780</v>
      </c>
    </row>
    <row r="3533" spans="1:35" x14ac:dyDescent="0.25">
      <c r="A3533" s="36">
        <v>99913531</v>
      </c>
      <c r="B3533" s="17" t="s">
        <v>32</v>
      </c>
      <c r="C3533" t="s">
        <v>111</v>
      </c>
      <c r="D3533" t="s">
        <v>112</v>
      </c>
      <c r="G3533" s="17" t="s">
        <v>48</v>
      </c>
      <c r="H3533" s="17">
        <v>6</v>
      </c>
      <c r="K3533" t="s">
        <v>195</v>
      </c>
      <c r="L3533" t="s">
        <v>196</v>
      </c>
      <c r="M3533" t="s">
        <v>131</v>
      </c>
      <c r="N3533">
        <v>23</v>
      </c>
      <c r="O3533" t="s">
        <v>40</v>
      </c>
      <c r="P3533" t="s">
        <v>40</v>
      </c>
      <c r="Q3533" t="s">
        <v>40</v>
      </c>
      <c r="R3533" t="s">
        <v>40</v>
      </c>
      <c r="S3533" t="s">
        <v>40</v>
      </c>
      <c r="U3533" s="1">
        <v>40480</v>
      </c>
      <c r="V3533" t="s">
        <v>41</v>
      </c>
      <c r="W3533" t="s">
        <v>75</v>
      </c>
      <c r="X3533" t="str">
        <f>"7521042"</f>
        <v>7521042</v>
      </c>
      <c r="Y3533" t="s">
        <v>440</v>
      </c>
      <c r="Z3533" t="s">
        <v>195</v>
      </c>
      <c r="AA3533" t="s">
        <v>196</v>
      </c>
      <c r="AB3533" t="s">
        <v>131</v>
      </c>
      <c r="AC3533" t="s">
        <v>165</v>
      </c>
      <c r="AD3533" t="s">
        <v>45</v>
      </c>
      <c r="AE3533" s="1">
        <v>25569</v>
      </c>
      <c r="AF3533">
        <v>1</v>
      </c>
      <c r="AG3533" t="s">
        <v>196</v>
      </c>
      <c r="AH3533" s="36">
        <f t="shared" si="55"/>
        <v>49.68888888888889</v>
      </c>
      <c r="AI3533" s="41" t="s">
        <v>1780</v>
      </c>
    </row>
    <row r="3534" spans="1:35" x14ac:dyDescent="0.25">
      <c r="A3534" s="36">
        <v>99913532</v>
      </c>
      <c r="B3534" s="17" t="s">
        <v>32</v>
      </c>
      <c r="C3534" t="s">
        <v>64</v>
      </c>
      <c r="D3534" t="s">
        <v>65</v>
      </c>
      <c r="G3534" s="17" t="s">
        <v>48</v>
      </c>
      <c r="H3534" s="17">
        <v>12</v>
      </c>
      <c r="K3534" t="s">
        <v>195</v>
      </c>
      <c r="L3534" t="s">
        <v>196</v>
      </c>
      <c r="M3534" t="s">
        <v>131</v>
      </c>
      <c r="N3534">
        <v>21</v>
      </c>
      <c r="O3534" t="s">
        <v>40</v>
      </c>
      <c r="P3534" t="s">
        <v>40</v>
      </c>
      <c r="Q3534" t="s">
        <v>40</v>
      </c>
      <c r="R3534" t="s">
        <v>40</v>
      </c>
      <c r="S3534" t="s">
        <v>40</v>
      </c>
      <c r="U3534" s="1">
        <v>37865</v>
      </c>
      <c r="V3534" t="s">
        <v>41</v>
      </c>
      <c r="W3534" t="s">
        <v>75</v>
      </c>
      <c r="X3534" t="str">
        <f>"7521046"</f>
        <v>7521046</v>
      </c>
      <c r="Y3534" t="s">
        <v>436</v>
      </c>
      <c r="Z3534" t="s">
        <v>195</v>
      </c>
      <c r="AA3534" t="s">
        <v>196</v>
      </c>
      <c r="AB3534" t="s">
        <v>131</v>
      </c>
      <c r="AC3534" t="s">
        <v>51</v>
      </c>
      <c r="AD3534" t="s">
        <v>45</v>
      </c>
      <c r="AE3534" s="1">
        <v>25569</v>
      </c>
      <c r="AF3534">
        <v>1</v>
      </c>
      <c r="AG3534" t="s">
        <v>196</v>
      </c>
      <c r="AH3534" s="36">
        <f t="shared" si="55"/>
        <v>49.68888888888889</v>
      </c>
      <c r="AI3534" s="41" t="s">
        <v>1780</v>
      </c>
    </row>
    <row r="3535" spans="1:35" x14ac:dyDescent="0.25">
      <c r="A3535" s="36">
        <v>99913533</v>
      </c>
      <c r="B3535" s="17" t="s">
        <v>56</v>
      </c>
      <c r="C3535" t="s">
        <v>111</v>
      </c>
      <c r="D3535" t="s">
        <v>112</v>
      </c>
      <c r="G3535" s="17" t="s">
        <v>48</v>
      </c>
      <c r="H3535" s="17">
        <v>15</v>
      </c>
      <c r="K3535" t="s">
        <v>195</v>
      </c>
      <c r="L3535" t="s">
        <v>196</v>
      </c>
      <c r="M3535" t="s">
        <v>131</v>
      </c>
      <c r="N3535">
        <v>21</v>
      </c>
      <c r="O3535" t="s">
        <v>40</v>
      </c>
      <c r="P3535" t="s">
        <v>40</v>
      </c>
      <c r="Q3535" t="s">
        <v>40</v>
      </c>
      <c r="R3535" t="s">
        <v>40</v>
      </c>
      <c r="S3535" t="s">
        <v>40</v>
      </c>
      <c r="U3535" s="1">
        <v>34124</v>
      </c>
      <c r="V3535" t="s">
        <v>41</v>
      </c>
      <c r="W3535" t="s">
        <v>75</v>
      </c>
      <c r="X3535" t="str">
        <f>"7521046"</f>
        <v>7521046</v>
      </c>
      <c r="Y3535" t="s">
        <v>436</v>
      </c>
      <c r="Z3535" t="s">
        <v>195</v>
      </c>
      <c r="AA3535" t="s">
        <v>196</v>
      </c>
      <c r="AB3535" t="s">
        <v>131</v>
      </c>
      <c r="AC3535" t="s">
        <v>165</v>
      </c>
      <c r="AD3535" t="s">
        <v>45</v>
      </c>
      <c r="AE3535" s="1">
        <v>25569</v>
      </c>
      <c r="AF3535">
        <v>1</v>
      </c>
      <c r="AG3535" t="s">
        <v>196</v>
      </c>
      <c r="AH3535" s="36">
        <f t="shared" si="55"/>
        <v>49.68888888888889</v>
      </c>
      <c r="AI3535" s="41" t="s">
        <v>1780</v>
      </c>
    </row>
    <row r="3536" spans="1:35" x14ac:dyDescent="0.25">
      <c r="A3536" s="36">
        <v>99913534</v>
      </c>
      <c r="B3536" s="17" t="s">
        <v>32</v>
      </c>
      <c r="C3536" t="s">
        <v>90</v>
      </c>
      <c r="D3536" t="s">
        <v>91</v>
      </c>
      <c r="G3536" s="17" t="s">
        <v>35</v>
      </c>
      <c r="H3536" s="17">
        <v>1</v>
      </c>
      <c r="K3536" t="s">
        <v>268</v>
      </c>
      <c r="L3536" t="s">
        <v>269</v>
      </c>
      <c r="M3536" t="s">
        <v>131</v>
      </c>
      <c r="N3536">
        <v>25</v>
      </c>
      <c r="O3536" t="s">
        <v>40</v>
      </c>
      <c r="P3536" t="s">
        <v>40</v>
      </c>
      <c r="Q3536" t="s">
        <v>40</v>
      </c>
      <c r="R3536" t="s">
        <v>40</v>
      </c>
      <c r="S3536" t="s">
        <v>40</v>
      </c>
      <c r="V3536" t="s">
        <v>41</v>
      </c>
      <c r="W3536" t="s">
        <v>95</v>
      </c>
      <c r="X3536" t="str">
        <f>"7052185"</f>
        <v>7052185</v>
      </c>
      <c r="Y3536" t="s">
        <v>698</v>
      </c>
      <c r="Z3536" t="s">
        <v>268</v>
      </c>
      <c r="AA3536" t="s">
        <v>269</v>
      </c>
      <c r="AB3536" t="s">
        <v>131</v>
      </c>
      <c r="AC3536" t="s">
        <v>51</v>
      </c>
      <c r="AD3536" t="s">
        <v>45</v>
      </c>
      <c r="AE3536" s="1">
        <v>25569</v>
      </c>
      <c r="AF3536">
        <v>1</v>
      </c>
      <c r="AG3536" t="s">
        <v>269</v>
      </c>
      <c r="AH3536" s="36">
        <f t="shared" si="55"/>
        <v>49.68888888888889</v>
      </c>
      <c r="AI3536" s="41" t="s">
        <v>1780</v>
      </c>
    </row>
    <row r="3537" spans="1:35" x14ac:dyDescent="0.25">
      <c r="A3537" s="36">
        <v>99913535</v>
      </c>
      <c r="B3537" s="17" t="s">
        <v>32</v>
      </c>
      <c r="C3537" t="s">
        <v>139</v>
      </c>
      <c r="D3537" t="s">
        <v>140</v>
      </c>
      <c r="G3537" s="17" t="s">
        <v>35</v>
      </c>
      <c r="H3537" s="17">
        <v>1</v>
      </c>
      <c r="K3537" t="s">
        <v>268</v>
      </c>
      <c r="L3537" t="s">
        <v>269</v>
      </c>
      <c r="M3537" t="s">
        <v>131</v>
      </c>
      <c r="N3537">
        <v>16</v>
      </c>
      <c r="O3537" t="s">
        <v>40</v>
      </c>
      <c r="P3537" t="s">
        <v>40</v>
      </c>
      <c r="Q3537" t="s">
        <v>40</v>
      </c>
      <c r="R3537" t="s">
        <v>40</v>
      </c>
      <c r="S3537" t="s">
        <v>40</v>
      </c>
      <c r="V3537" t="s">
        <v>41</v>
      </c>
      <c r="W3537" t="s">
        <v>75</v>
      </c>
      <c r="X3537" t="str">
        <f>"7052042"</f>
        <v>7052042</v>
      </c>
      <c r="Y3537" t="s">
        <v>583</v>
      </c>
      <c r="Z3537" t="s">
        <v>268</v>
      </c>
      <c r="AA3537" t="s">
        <v>269</v>
      </c>
      <c r="AB3537" t="s">
        <v>131</v>
      </c>
      <c r="AC3537" t="s">
        <v>51</v>
      </c>
      <c r="AD3537" t="s">
        <v>45</v>
      </c>
      <c r="AE3537" s="1">
        <v>25569</v>
      </c>
      <c r="AF3537">
        <v>1</v>
      </c>
      <c r="AG3537" t="s">
        <v>269</v>
      </c>
      <c r="AH3537" s="36">
        <f t="shared" si="55"/>
        <v>49.68888888888889</v>
      </c>
      <c r="AI3537" s="41" t="s">
        <v>1780</v>
      </c>
    </row>
    <row r="3538" spans="1:35" x14ac:dyDescent="0.25">
      <c r="A3538" s="36">
        <v>99913536</v>
      </c>
      <c r="B3538" s="17" t="s">
        <v>56</v>
      </c>
      <c r="C3538" t="s">
        <v>79</v>
      </c>
      <c r="D3538" t="s">
        <v>80</v>
      </c>
      <c r="G3538" s="17" t="s">
        <v>35</v>
      </c>
      <c r="H3538" s="17">
        <v>1</v>
      </c>
      <c r="K3538" t="s">
        <v>1128</v>
      </c>
      <c r="L3538" t="s">
        <v>1129</v>
      </c>
      <c r="M3538" t="s">
        <v>1130</v>
      </c>
      <c r="N3538">
        <v>20</v>
      </c>
      <c r="O3538" t="s">
        <v>40</v>
      </c>
      <c r="P3538" t="s">
        <v>40</v>
      </c>
      <c r="Q3538" t="s">
        <v>40</v>
      </c>
      <c r="R3538" t="s">
        <v>40</v>
      </c>
      <c r="S3538" t="s">
        <v>40</v>
      </c>
      <c r="V3538" t="s">
        <v>41</v>
      </c>
      <c r="W3538" t="s">
        <v>42</v>
      </c>
      <c r="X3538" t="str">
        <f>"3180010"</f>
        <v>3180010</v>
      </c>
      <c r="Y3538" t="s">
        <v>1132</v>
      </c>
      <c r="Z3538" t="s">
        <v>1128</v>
      </c>
      <c r="AA3538" t="s">
        <v>1129</v>
      </c>
      <c r="AB3538" t="s">
        <v>1130</v>
      </c>
      <c r="AC3538" t="s">
        <v>51</v>
      </c>
      <c r="AD3538" t="s">
        <v>45</v>
      </c>
      <c r="AE3538" s="1">
        <v>25569</v>
      </c>
      <c r="AF3538">
        <v>2</v>
      </c>
      <c r="AG3538" t="s">
        <v>1129</v>
      </c>
      <c r="AH3538" s="36">
        <f t="shared" si="55"/>
        <v>49.68888888888889</v>
      </c>
      <c r="AI3538" s="41" t="s">
        <v>1780</v>
      </c>
    </row>
    <row r="3539" spans="1:35" x14ac:dyDescent="0.25">
      <c r="A3539" s="36">
        <v>99913537</v>
      </c>
      <c r="B3539" s="17" t="s">
        <v>32</v>
      </c>
      <c r="C3539" t="s">
        <v>79</v>
      </c>
      <c r="D3539" t="s">
        <v>80</v>
      </c>
      <c r="G3539" s="17" t="s">
        <v>48</v>
      </c>
      <c r="H3539" s="17">
        <v>1</v>
      </c>
      <c r="K3539" t="s">
        <v>1198</v>
      </c>
      <c r="L3539" t="s">
        <v>1199</v>
      </c>
      <c r="M3539" t="s">
        <v>1130</v>
      </c>
      <c r="N3539">
        <v>23</v>
      </c>
      <c r="O3539" t="s">
        <v>40</v>
      </c>
      <c r="P3539" t="s">
        <v>40</v>
      </c>
      <c r="Q3539" t="s">
        <v>40</v>
      </c>
      <c r="R3539" t="s">
        <v>40</v>
      </c>
      <c r="S3539" t="s">
        <v>40</v>
      </c>
      <c r="V3539" t="s">
        <v>41</v>
      </c>
      <c r="W3539" t="s">
        <v>75</v>
      </c>
      <c r="X3539" t="str">
        <f>"7311010"</f>
        <v>7311010</v>
      </c>
      <c r="Y3539" t="s">
        <v>1202</v>
      </c>
      <c r="Z3539" t="s">
        <v>1198</v>
      </c>
      <c r="AA3539" t="s">
        <v>1199</v>
      </c>
      <c r="AB3539" t="s">
        <v>1130</v>
      </c>
      <c r="AC3539" t="s">
        <v>51</v>
      </c>
      <c r="AD3539" t="s">
        <v>45</v>
      </c>
      <c r="AE3539" s="1">
        <v>25569</v>
      </c>
      <c r="AF3539">
        <v>1</v>
      </c>
      <c r="AG3539" t="s">
        <v>1199</v>
      </c>
      <c r="AH3539" s="36">
        <f t="shared" si="55"/>
        <v>49.68888888888889</v>
      </c>
      <c r="AI3539" s="41" t="s">
        <v>1780</v>
      </c>
    </row>
    <row r="3540" spans="1:35" x14ac:dyDescent="0.25">
      <c r="A3540" s="36">
        <v>99913538</v>
      </c>
      <c r="B3540" s="17" t="s">
        <v>56</v>
      </c>
      <c r="C3540" t="s">
        <v>52</v>
      </c>
      <c r="D3540" t="s">
        <v>53</v>
      </c>
      <c r="G3540" s="17" t="s">
        <v>48</v>
      </c>
      <c r="H3540" s="17">
        <v>1</v>
      </c>
      <c r="K3540" t="s">
        <v>1268</v>
      </c>
      <c r="L3540" t="s">
        <v>1269</v>
      </c>
      <c r="M3540" t="s">
        <v>1270</v>
      </c>
      <c r="N3540">
        <v>20</v>
      </c>
      <c r="O3540" t="s">
        <v>40</v>
      </c>
      <c r="P3540" t="s">
        <v>40</v>
      </c>
      <c r="Q3540" t="s">
        <v>40</v>
      </c>
      <c r="R3540" t="s">
        <v>40</v>
      </c>
      <c r="S3540" t="s">
        <v>40</v>
      </c>
      <c r="V3540" t="s">
        <v>41</v>
      </c>
      <c r="W3540" t="s">
        <v>42</v>
      </c>
      <c r="X3540" t="str">
        <f>"1990911"</f>
        <v>1990911</v>
      </c>
      <c r="Y3540" t="s">
        <v>1276</v>
      </c>
      <c r="Z3540" t="s">
        <v>1268</v>
      </c>
      <c r="AA3540" t="s">
        <v>1269</v>
      </c>
      <c r="AB3540" t="s">
        <v>1270</v>
      </c>
      <c r="AC3540" t="s">
        <v>165</v>
      </c>
      <c r="AD3540" t="s">
        <v>45</v>
      </c>
      <c r="AE3540" s="1">
        <v>25569</v>
      </c>
      <c r="AF3540">
        <v>2</v>
      </c>
      <c r="AG3540" t="s">
        <v>1269</v>
      </c>
      <c r="AH3540" s="36">
        <f t="shared" si="55"/>
        <v>49.68888888888889</v>
      </c>
      <c r="AI3540" s="41" t="s">
        <v>1780</v>
      </c>
    </row>
    <row r="3541" spans="1:35" x14ac:dyDescent="0.25">
      <c r="A3541" s="36">
        <v>99913539</v>
      </c>
      <c r="B3541" s="17" t="s">
        <v>32</v>
      </c>
      <c r="C3541" t="s">
        <v>58</v>
      </c>
      <c r="D3541" t="s">
        <v>59</v>
      </c>
      <c r="G3541" s="17" t="s">
        <v>35</v>
      </c>
      <c r="H3541" s="17">
        <v>1</v>
      </c>
      <c r="I3541">
        <v>6983</v>
      </c>
      <c r="J3541" s="1">
        <v>43344</v>
      </c>
      <c r="K3541" t="s">
        <v>1306</v>
      </c>
      <c r="L3541" t="s">
        <v>1307</v>
      </c>
      <c r="M3541" t="s">
        <v>1270</v>
      </c>
      <c r="N3541">
        <v>21</v>
      </c>
      <c r="O3541" t="s">
        <v>40</v>
      </c>
      <c r="P3541" t="s">
        <v>40</v>
      </c>
      <c r="Q3541" t="s">
        <v>40</v>
      </c>
      <c r="R3541" t="s">
        <v>40</v>
      </c>
      <c r="S3541" t="s">
        <v>40</v>
      </c>
      <c r="U3541" s="1">
        <v>43344</v>
      </c>
      <c r="V3541" t="s">
        <v>41</v>
      </c>
      <c r="W3541" t="s">
        <v>42</v>
      </c>
      <c r="X3541" t="str">
        <f>"1990915"</f>
        <v>1990915</v>
      </c>
      <c r="Y3541" t="s">
        <v>1308</v>
      </c>
      <c r="Z3541" t="s">
        <v>1306</v>
      </c>
      <c r="AA3541" t="s">
        <v>1307</v>
      </c>
      <c r="AB3541" t="s">
        <v>1270</v>
      </c>
      <c r="AC3541" t="s">
        <v>51</v>
      </c>
      <c r="AD3541" t="s">
        <v>45</v>
      </c>
      <c r="AE3541" s="1">
        <v>25569</v>
      </c>
      <c r="AF3541">
        <v>2</v>
      </c>
      <c r="AG3541" t="s">
        <v>1307</v>
      </c>
      <c r="AH3541" s="36">
        <f t="shared" si="55"/>
        <v>49.68888888888889</v>
      </c>
      <c r="AI3541" s="41" t="s">
        <v>1780</v>
      </c>
    </row>
    <row r="3542" spans="1:35" x14ac:dyDescent="0.25">
      <c r="A3542" s="36">
        <v>99913540</v>
      </c>
      <c r="B3542" s="17" t="s">
        <v>32</v>
      </c>
      <c r="C3542" t="s">
        <v>117</v>
      </c>
      <c r="D3542" t="s">
        <v>118</v>
      </c>
      <c r="G3542" s="17" t="s">
        <v>35</v>
      </c>
      <c r="H3542" s="17">
        <v>1</v>
      </c>
      <c r="I3542" t="s">
        <v>1596</v>
      </c>
      <c r="J3542" s="1">
        <v>43344</v>
      </c>
      <c r="K3542" t="s">
        <v>1590</v>
      </c>
      <c r="L3542" t="s">
        <v>1591</v>
      </c>
      <c r="M3542" t="s">
        <v>1592</v>
      </c>
      <c r="N3542">
        <v>6</v>
      </c>
      <c r="O3542" t="s">
        <v>40</v>
      </c>
      <c r="P3542" t="s">
        <v>40</v>
      </c>
      <c r="Q3542" t="s">
        <v>40</v>
      </c>
      <c r="R3542" t="s">
        <v>40</v>
      </c>
      <c r="S3542" t="s">
        <v>40</v>
      </c>
      <c r="U3542" s="1">
        <v>43344</v>
      </c>
      <c r="V3542" t="s">
        <v>41</v>
      </c>
      <c r="W3542" t="s">
        <v>49</v>
      </c>
      <c r="X3542" t="str">
        <f>"0260002"</f>
        <v>0260002</v>
      </c>
      <c r="Y3542" t="s">
        <v>1593</v>
      </c>
      <c r="Z3542" t="s">
        <v>1590</v>
      </c>
      <c r="AA3542" t="s">
        <v>1591</v>
      </c>
      <c r="AB3542" t="s">
        <v>1592</v>
      </c>
      <c r="AC3542" t="s">
        <v>44</v>
      </c>
      <c r="AD3542" t="s">
        <v>45</v>
      </c>
      <c r="AE3542" s="1">
        <v>25569</v>
      </c>
      <c r="AF3542">
        <v>2</v>
      </c>
      <c r="AG3542" t="s">
        <v>1591</v>
      </c>
      <c r="AH3542" s="36">
        <f t="shared" si="55"/>
        <v>49.68888888888889</v>
      </c>
      <c r="AI3542" s="41" t="s">
        <v>1780</v>
      </c>
    </row>
    <row r="3543" spans="1:35" x14ac:dyDescent="0.25">
      <c r="A3543" s="36">
        <v>99913541</v>
      </c>
      <c r="B3543" s="17" t="s">
        <v>32</v>
      </c>
      <c r="C3543" t="s">
        <v>64</v>
      </c>
      <c r="D3543" t="s">
        <v>65</v>
      </c>
      <c r="G3543" s="17" t="s">
        <v>48</v>
      </c>
      <c r="H3543" s="17">
        <v>1</v>
      </c>
      <c r="K3543" t="s">
        <v>1128</v>
      </c>
      <c r="L3543" t="s">
        <v>1129</v>
      </c>
      <c r="M3543" t="s">
        <v>1130</v>
      </c>
      <c r="N3543">
        <v>18</v>
      </c>
      <c r="O3543" t="s">
        <v>40</v>
      </c>
      <c r="P3543" t="s">
        <v>40</v>
      </c>
      <c r="Q3543" t="s">
        <v>40</v>
      </c>
      <c r="R3543" t="s">
        <v>40</v>
      </c>
      <c r="S3543" t="s">
        <v>40</v>
      </c>
      <c r="V3543" t="s">
        <v>41</v>
      </c>
      <c r="W3543" t="s">
        <v>49</v>
      </c>
      <c r="X3543" t="str">
        <f>"3181010"</f>
        <v>3181010</v>
      </c>
      <c r="Y3543" t="s">
        <v>1134</v>
      </c>
      <c r="Z3543" t="s">
        <v>1128</v>
      </c>
      <c r="AA3543" t="s">
        <v>1129</v>
      </c>
      <c r="AB3543" t="s">
        <v>1130</v>
      </c>
      <c r="AC3543" t="s">
        <v>165</v>
      </c>
      <c r="AD3543" t="s">
        <v>45</v>
      </c>
      <c r="AE3543" s="1">
        <v>25564</v>
      </c>
      <c r="AF3543">
        <v>2</v>
      </c>
      <c r="AG3543" t="s">
        <v>1129</v>
      </c>
      <c r="AH3543" s="36">
        <f t="shared" si="55"/>
        <v>49.702777777777776</v>
      </c>
      <c r="AI3543" s="41" t="s">
        <v>1780</v>
      </c>
    </row>
    <row r="3544" spans="1:35" x14ac:dyDescent="0.25">
      <c r="A3544" s="36">
        <v>99913542</v>
      </c>
      <c r="B3544" s="17" t="s">
        <v>32</v>
      </c>
      <c r="C3544" t="s">
        <v>85</v>
      </c>
      <c r="D3544" t="s">
        <v>86</v>
      </c>
      <c r="G3544" s="17" t="s">
        <v>35</v>
      </c>
      <c r="H3544" s="17">
        <v>1</v>
      </c>
      <c r="K3544" t="s">
        <v>1626</v>
      </c>
      <c r="L3544" t="s">
        <v>1627</v>
      </c>
      <c r="M3544" t="s">
        <v>1592</v>
      </c>
      <c r="N3544">
        <v>21</v>
      </c>
      <c r="O3544" t="s">
        <v>40</v>
      </c>
      <c r="P3544" t="s">
        <v>40</v>
      </c>
      <c r="Q3544" t="s">
        <v>40</v>
      </c>
      <c r="S3544" t="s">
        <v>40</v>
      </c>
      <c r="V3544" t="s">
        <v>41</v>
      </c>
      <c r="W3544" t="s">
        <v>49</v>
      </c>
      <c r="X3544" t="str">
        <f>"3681015"</f>
        <v>3681015</v>
      </c>
      <c r="Y3544" t="s">
        <v>1629</v>
      </c>
      <c r="Z3544" t="s">
        <v>1626</v>
      </c>
      <c r="AA3544" t="s">
        <v>1627</v>
      </c>
      <c r="AB3544" t="s">
        <v>1592</v>
      </c>
      <c r="AC3544" t="s">
        <v>51</v>
      </c>
      <c r="AD3544" t="s">
        <v>45</v>
      </c>
      <c r="AE3544" s="1">
        <v>25561</v>
      </c>
      <c r="AF3544">
        <v>2</v>
      </c>
      <c r="AG3544" t="s">
        <v>1627</v>
      </c>
      <c r="AH3544" s="36">
        <f t="shared" si="55"/>
        <v>49.711111111111109</v>
      </c>
      <c r="AI3544" s="41" t="s">
        <v>1780</v>
      </c>
    </row>
    <row r="3545" spans="1:35" x14ac:dyDescent="0.25">
      <c r="A3545" s="36">
        <v>99913543</v>
      </c>
      <c r="B3545" s="17" t="s">
        <v>56</v>
      </c>
      <c r="C3545" t="s">
        <v>46</v>
      </c>
      <c r="D3545" t="s">
        <v>47</v>
      </c>
      <c r="G3545" s="17" t="s">
        <v>48</v>
      </c>
      <c r="H3545" s="17">
        <v>12</v>
      </c>
      <c r="K3545" t="s">
        <v>345</v>
      </c>
      <c r="L3545" t="s">
        <v>346</v>
      </c>
      <c r="M3545" t="s">
        <v>131</v>
      </c>
      <c r="N3545">
        <v>18</v>
      </c>
      <c r="O3545" t="s">
        <v>40</v>
      </c>
      <c r="P3545" t="s">
        <v>40</v>
      </c>
      <c r="Q3545" t="s">
        <v>40</v>
      </c>
      <c r="R3545" t="s">
        <v>40</v>
      </c>
      <c r="S3545" t="s">
        <v>40</v>
      </c>
      <c r="V3545" t="s">
        <v>41</v>
      </c>
      <c r="W3545" t="s">
        <v>42</v>
      </c>
      <c r="X3545" t="str">
        <f>"0590906"</f>
        <v>0590906</v>
      </c>
      <c r="Y3545" t="s">
        <v>361</v>
      </c>
      <c r="Z3545" t="s">
        <v>345</v>
      </c>
      <c r="AA3545" t="s">
        <v>346</v>
      </c>
      <c r="AB3545" t="s">
        <v>131</v>
      </c>
      <c r="AC3545" t="s">
        <v>51</v>
      </c>
      <c r="AD3545" t="s">
        <v>45</v>
      </c>
      <c r="AE3545" s="1">
        <v>25556</v>
      </c>
      <c r="AF3545">
        <v>2</v>
      </c>
      <c r="AG3545" t="s">
        <v>346</v>
      </c>
      <c r="AH3545" s="36">
        <f t="shared" si="55"/>
        <v>49.725000000000001</v>
      </c>
      <c r="AI3545" s="41" t="s">
        <v>1780</v>
      </c>
    </row>
    <row r="3546" spans="1:35" x14ac:dyDescent="0.25">
      <c r="A3546" s="36">
        <v>99913544</v>
      </c>
      <c r="B3546" s="17" t="s">
        <v>56</v>
      </c>
      <c r="C3546" t="s">
        <v>79</v>
      </c>
      <c r="D3546" t="s">
        <v>80</v>
      </c>
      <c r="G3546" s="17" t="s">
        <v>48</v>
      </c>
      <c r="H3546" s="17">
        <v>5</v>
      </c>
      <c r="I3546" t="s">
        <v>441</v>
      </c>
      <c r="J3546" s="1">
        <v>40422</v>
      </c>
      <c r="K3546" t="s">
        <v>195</v>
      </c>
      <c r="L3546" t="s">
        <v>196</v>
      </c>
      <c r="M3546" t="s">
        <v>131</v>
      </c>
      <c r="N3546">
        <v>23</v>
      </c>
      <c r="O3546" t="s">
        <v>40</v>
      </c>
      <c r="P3546" t="s">
        <v>40</v>
      </c>
      <c r="Q3546" t="s">
        <v>40</v>
      </c>
      <c r="R3546" t="s">
        <v>40</v>
      </c>
      <c r="S3546" t="s">
        <v>40</v>
      </c>
      <c r="U3546" s="1">
        <v>40422</v>
      </c>
      <c r="V3546" t="s">
        <v>41</v>
      </c>
      <c r="W3546" t="s">
        <v>75</v>
      </c>
      <c r="X3546" t="str">
        <f>"7521050"</f>
        <v>7521050</v>
      </c>
      <c r="Y3546" t="s">
        <v>194</v>
      </c>
      <c r="Z3546" t="s">
        <v>195</v>
      </c>
      <c r="AA3546" t="s">
        <v>196</v>
      </c>
      <c r="AB3546" t="s">
        <v>131</v>
      </c>
      <c r="AC3546" t="s">
        <v>51</v>
      </c>
      <c r="AD3546" t="s">
        <v>45</v>
      </c>
      <c r="AE3546" s="1">
        <v>25556</v>
      </c>
      <c r="AF3546">
        <v>1</v>
      </c>
      <c r="AG3546" t="s">
        <v>196</v>
      </c>
      <c r="AH3546" s="36">
        <f t="shared" si="55"/>
        <v>49.725000000000001</v>
      </c>
      <c r="AI3546" s="41" t="s">
        <v>1780</v>
      </c>
    </row>
    <row r="3547" spans="1:35" x14ac:dyDescent="0.25">
      <c r="A3547" s="36">
        <v>99913545</v>
      </c>
      <c r="B3547" s="17" t="s">
        <v>32</v>
      </c>
      <c r="C3547" t="s">
        <v>46</v>
      </c>
      <c r="D3547" t="s">
        <v>47</v>
      </c>
      <c r="G3547" s="17" t="s">
        <v>48</v>
      </c>
      <c r="H3547" s="17">
        <v>9</v>
      </c>
      <c r="K3547" t="s">
        <v>1268</v>
      </c>
      <c r="L3547" t="s">
        <v>1269</v>
      </c>
      <c r="M3547" t="s">
        <v>1270</v>
      </c>
      <c r="N3547">
        <v>20</v>
      </c>
      <c r="O3547" t="s">
        <v>40</v>
      </c>
      <c r="P3547" t="s">
        <v>40</v>
      </c>
      <c r="Q3547" t="s">
        <v>40</v>
      </c>
      <c r="R3547" t="s">
        <v>40</v>
      </c>
      <c r="S3547" t="s">
        <v>40</v>
      </c>
      <c r="U3547" s="1">
        <v>43344</v>
      </c>
      <c r="V3547" t="s">
        <v>41</v>
      </c>
      <c r="W3547" t="s">
        <v>49</v>
      </c>
      <c r="X3547" t="str">
        <f>"1981055"</f>
        <v>1981055</v>
      </c>
      <c r="Y3547" t="s">
        <v>1280</v>
      </c>
      <c r="Z3547" t="s">
        <v>1268</v>
      </c>
      <c r="AA3547" t="s">
        <v>1269</v>
      </c>
      <c r="AB3547" t="s">
        <v>1270</v>
      </c>
      <c r="AC3547" t="s">
        <v>51</v>
      </c>
      <c r="AD3547" t="s">
        <v>45</v>
      </c>
      <c r="AE3547" s="1">
        <v>25556</v>
      </c>
      <c r="AF3547">
        <v>2</v>
      </c>
      <c r="AG3547" t="s">
        <v>1269</v>
      </c>
      <c r="AH3547" s="36">
        <f t="shared" si="55"/>
        <v>49.725000000000001</v>
      </c>
      <c r="AI3547" s="41" t="s">
        <v>1780</v>
      </c>
    </row>
    <row r="3548" spans="1:35" x14ac:dyDescent="0.25">
      <c r="A3548" s="36">
        <v>99913546</v>
      </c>
      <c r="B3548" s="17" t="s">
        <v>56</v>
      </c>
      <c r="C3548" t="s">
        <v>79</v>
      </c>
      <c r="D3548" t="s">
        <v>80</v>
      </c>
      <c r="G3548" s="17" t="s">
        <v>48</v>
      </c>
      <c r="H3548" s="17">
        <v>1</v>
      </c>
      <c r="K3548" t="s">
        <v>268</v>
      </c>
      <c r="L3548" t="s">
        <v>269</v>
      </c>
      <c r="M3548" t="s">
        <v>131</v>
      </c>
      <c r="N3548">
        <v>16</v>
      </c>
      <c r="O3548" t="s">
        <v>40</v>
      </c>
      <c r="P3548" t="s">
        <v>40</v>
      </c>
      <c r="Q3548" t="s">
        <v>40</v>
      </c>
      <c r="S3548" t="s">
        <v>40</v>
      </c>
      <c r="V3548" t="s">
        <v>41</v>
      </c>
      <c r="W3548" t="s">
        <v>75</v>
      </c>
      <c r="X3548" t="str">
        <f>"7052034"</f>
        <v>7052034</v>
      </c>
      <c r="Y3548" t="s">
        <v>604</v>
      </c>
      <c r="Z3548" t="s">
        <v>268</v>
      </c>
      <c r="AA3548" t="s">
        <v>269</v>
      </c>
      <c r="AB3548" t="s">
        <v>131</v>
      </c>
      <c r="AC3548" t="s">
        <v>51</v>
      </c>
      <c r="AD3548" t="s">
        <v>45</v>
      </c>
      <c r="AE3548" s="1">
        <v>25553</v>
      </c>
      <c r="AF3548">
        <v>1</v>
      </c>
      <c r="AG3548" t="s">
        <v>269</v>
      </c>
      <c r="AH3548" s="36">
        <f t="shared" si="55"/>
        <v>49.733333333333334</v>
      </c>
      <c r="AI3548" s="41" t="s">
        <v>1780</v>
      </c>
    </row>
    <row r="3549" spans="1:35" x14ac:dyDescent="0.25">
      <c r="A3549" s="36">
        <v>99913547</v>
      </c>
      <c r="B3549" s="17" t="s">
        <v>32</v>
      </c>
      <c r="C3549" t="s">
        <v>111</v>
      </c>
      <c r="D3549" t="s">
        <v>112</v>
      </c>
      <c r="G3549" s="17" t="s">
        <v>35</v>
      </c>
      <c r="H3549" s="17">
        <v>1</v>
      </c>
      <c r="K3549" t="s">
        <v>268</v>
      </c>
      <c r="L3549" t="s">
        <v>269</v>
      </c>
      <c r="M3549" t="s">
        <v>131</v>
      </c>
      <c r="N3549">
        <v>21</v>
      </c>
      <c r="O3549" t="s">
        <v>40</v>
      </c>
      <c r="P3549" t="s">
        <v>40</v>
      </c>
      <c r="Q3549" t="s">
        <v>40</v>
      </c>
      <c r="R3549" t="s">
        <v>40</v>
      </c>
      <c r="S3549" t="s">
        <v>40</v>
      </c>
      <c r="V3549" t="s">
        <v>41</v>
      </c>
      <c r="W3549" t="s">
        <v>75</v>
      </c>
      <c r="X3549" t="str">
        <f>"7052020"</f>
        <v>7052020</v>
      </c>
      <c r="Y3549" t="s">
        <v>267</v>
      </c>
      <c r="Z3549" t="s">
        <v>268</v>
      </c>
      <c r="AA3549" t="s">
        <v>269</v>
      </c>
      <c r="AB3549" t="s">
        <v>131</v>
      </c>
      <c r="AC3549" t="s">
        <v>51</v>
      </c>
      <c r="AD3549" t="s">
        <v>45</v>
      </c>
      <c r="AE3549" s="1">
        <v>25548</v>
      </c>
      <c r="AF3549">
        <v>1</v>
      </c>
      <c r="AG3549" t="s">
        <v>269</v>
      </c>
      <c r="AH3549" s="36">
        <f t="shared" si="55"/>
        <v>49.74722222222222</v>
      </c>
      <c r="AI3549" s="41" t="s">
        <v>1780</v>
      </c>
    </row>
    <row r="3550" spans="1:35" x14ac:dyDescent="0.25">
      <c r="A3550" s="36">
        <v>99913548</v>
      </c>
      <c r="B3550" s="17" t="s">
        <v>56</v>
      </c>
      <c r="C3550" t="s">
        <v>46</v>
      </c>
      <c r="D3550" t="s">
        <v>47</v>
      </c>
      <c r="G3550" s="17" t="s">
        <v>48</v>
      </c>
      <c r="H3550" s="17">
        <v>1</v>
      </c>
      <c r="K3550" t="s">
        <v>157</v>
      </c>
      <c r="L3550" t="s">
        <v>158</v>
      </c>
      <c r="M3550" t="s">
        <v>131</v>
      </c>
      <c r="N3550">
        <v>6</v>
      </c>
      <c r="O3550" t="s">
        <v>40</v>
      </c>
      <c r="P3550" t="s">
        <v>40</v>
      </c>
      <c r="Q3550" t="s">
        <v>40</v>
      </c>
      <c r="S3550" t="s">
        <v>40</v>
      </c>
      <c r="V3550" t="s">
        <v>41</v>
      </c>
      <c r="W3550" t="s">
        <v>42</v>
      </c>
      <c r="X3550" t="str">
        <f>"0580735"</f>
        <v>0580735</v>
      </c>
      <c r="Y3550" t="s">
        <v>180</v>
      </c>
      <c r="Z3550" t="s">
        <v>157</v>
      </c>
      <c r="AA3550" t="s">
        <v>158</v>
      </c>
      <c r="AB3550" t="s">
        <v>131</v>
      </c>
      <c r="AC3550" t="s">
        <v>51</v>
      </c>
      <c r="AD3550" t="s">
        <v>45</v>
      </c>
      <c r="AE3550" s="1">
        <v>25544</v>
      </c>
      <c r="AF3550">
        <v>2</v>
      </c>
      <c r="AG3550" t="s">
        <v>158</v>
      </c>
      <c r="AH3550" s="36">
        <f t="shared" si="55"/>
        <v>49.758333333333333</v>
      </c>
      <c r="AI3550" s="41" t="s">
        <v>1780</v>
      </c>
    </row>
    <row r="3551" spans="1:35" x14ac:dyDescent="0.25">
      <c r="A3551" s="36">
        <v>99913549</v>
      </c>
      <c r="B3551" s="17" t="s">
        <v>32</v>
      </c>
      <c r="C3551" t="s">
        <v>46</v>
      </c>
      <c r="D3551" t="s">
        <v>47</v>
      </c>
      <c r="G3551" s="17" t="s">
        <v>48</v>
      </c>
      <c r="H3551" s="17">
        <v>1</v>
      </c>
      <c r="K3551" t="s">
        <v>223</v>
      </c>
      <c r="L3551" t="s">
        <v>224</v>
      </c>
      <c r="M3551" t="s">
        <v>131</v>
      </c>
      <c r="N3551">
        <v>18</v>
      </c>
      <c r="O3551" t="s">
        <v>40</v>
      </c>
      <c r="P3551" t="s">
        <v>40</v>
      </c>
      <c r="Q3551" t="s">
        <v>40</v>
      </c>
      <c r="S3551" t="s">
        <v>40</v>
      </c>
      <c r="V3551" t="s">
        <v>41</v>
      </c>
      <c r="W3551" t="s">
        <v>49</v>
      </c>
      <c r="X3551" t="str">
        <f>"0581204"</f>
        <v>0581204</v>
      </c>
      <c r="Y3551" t="s">
        <v>249</v>
      </c>
      <c r="Z3551" t="s">
        <v>223</v>
      </c>
      <c r="AA3551" t="s">
        <v>224</v>
      </c>
      <c r="AB3551" t="s">
        <v>131</v>
      </c>
      <c r="AC3551" t="s">
        <v>165</v>
      </c>
      <c r="AD3551" t="s">
        <v>45</v>
      </c>
      <c r="AE3551" s="1">
        <v>25544</v>
      </c>
      <c r="AF3551">
        <v>2</v>
      </c>
      <c r="AG3551" t="s">
        <v>224</v>
      </c>
      <c r="AH3551" s="36">
        <f t="shared" si="55"/>
        <v>49.758333333333333</v>
      </c>
      <c r="AI3551" s="41" t="s">
        <v>1780</v>
      </c>
    </row>
    <row r="3552" spans="1:35" x14ac:dyDescent="0.25">
      <c r="A3552" s="36">
        <v>99913550</v>
      </c>
      <c r="B3552" s="17" t="s">
        <v>56</v>
      </c>
      <c r="C3552" t="s">
        <v>52</v>
      </c>
      <c r="D3552" t="s">
        <v>53</v>
      </c>
      <c r="G3552" s="17" t="s">
        <v>48</v>
      </c>
      <c r="H3552" s="17">
        <v>1</v>
      </c>
      <c r="I3552" t="s">
        <v>1315</v>
      </c>
      <c r="K3552" t="s">
        <v>1306</v>
      </c>
      <c r="L3552" t="s">
        <v>1307</v>
      </c>
      <c r="M3552" t="s">
        <v>1270</v>
      </c>
      <c r="N3552">
        <v>10</v>
      </c>
      <c r="O3552" t="s">
        <v>40</v>
      </c>
      <c r="P3552" t="s">
        <v>40</v>
      </c>
      <c r="Q3552" t="s">
        <v>40</v>
      </c>
      <c r="R3552" t="s">
        <v>40</v>
      </c>
      <c r="S3552" t="s">
        <v>40</v>
      </c>
      <c r="V3552" t="s">
        <v>41</v>
      </c>
      <c r="W3552" t="s">
        <v>42</v>
      </c>
      <c r="X3552" t="str">
        <f>"1990913"</f>
        <v>1990913</v>
      </c>
      <c r="Y3552" t="s">
        <v>1312</v>
      </c>
      <c r="Z3552" t="s">
        <v>1306</v>
      </c>
      <c r="AA3552" t="s">
        <v>1307</v>
      </c>
      <c r="AB3552" t="s">
        <v>1270</v>
      </c>
      <c r="AC3552" t="s">
        <v>51</v>
      </c>
      <c r="AD3552" t="s">
        <v>45</v>
      </c>
      <c r="AE3552" s="1">
        <v>25543</v>
      </c>
      <c r="AF3552">
        <v>2</v>
      </c>
      <c r="AG3552" t="s">
        <v>1307</v>
      </c>
      <c r="AH3552" s="36">
        <f t="shared" si="55"/>
        <v>49.761111111111113</v>
      </c>
      <c r="AI3552" s="41" t="s">
        <v>1780</v>
      </c>
    </row>
    <row r="3553" spans="1:35" x14ac:dyDescent="0.25">
      <c r="A3553" s="36">
        <v>99913551</v>
      </c>
      <c r="B3553" s="17" t="s">
        <v>56</v>
      </c>
      <c r="C3553" t="s">
        <v>52</v>
      </c>
      <c r="D3553" t="s">
        <v>53</v>
      </c>
      <c r="G3553" s="17" t="s">
        <v>48</v>
      </c>
      <c r="H3553" s="17">
        <v>1</v>
      </c>
      <c r="K3553" t="s">
        <v>223</v>
      </c>
      <c r="L3553" t="s">
        <v>224</v>
      </c>
      <c r="M3553" t="s">
        <v>131</v>
      </c>
      <c r="N3553">
        <v>4</v>
      </c>
      <c r="O3553" t="s">
        <v>40</v>
      </c>
      <c r="P3553" t="s">
        <v>40</v>
      </c>
      <c r="Q3553" t="s">
        <v>40</v>
      </c>
      <c r="R3553" t="s">
        <v>40</v>
      </c>
      <c r="S3553" t="s">
        <v>40</v>
      </c>
      <c r="V3553" t="s">
        <v>41</v>
      </c>
      <c r="W3553" t="s">
        <v>42</v>
      </c>
      <c r="X3553" t="str">
        <f>"0590910"</f>
        <v>0590910</v>
      </c>
      <c r="Y3553" t="s">
        <v>227</v>
      </c>
      <c r="Z3553" t="s">
        <v>223</v>
      </c>
      <c r="AA3553" t="s">
        <v>224</v>
      </c>
      <c r="AB3553" t="s">
        <v>131</v>
      </c>
      <c r="AC3553" t="s">
        <v>51</v>
      </c>
      <c r="AD3553" t="s">
        <v>45</v>
      </c>
      <c r="AE3553" s="1">
        <v>25541</v>
      </c>
      <c r="AF3553">
        <v>2</v>
      </c>
      <c r="AG3553" t="s">
        <v>224</v>
      </c>
      <c r="AH3553" s="36">
        <f t="shared" si="55"/>
        <v>49.766666666666666</v>
      </c>
      <c r="AI3553" s="41" t="s">
        <v>1780</v>
      </c>
    </row>
    <row r="3554" spans="1:35" x14ac:dyDescent="0.25">
      <c r="A3554" s="36">
        <v>99913552</v>
      </c>
      <c r="B3554" s="17" t="s">
        <v>56</v>
      </c>
      <c r="C3554" t="s">
        <v>79</v>
      </c>
      <c r="D3554" t="s">
        <v>80</v>
      </c>
      <c r="G3554" s="17" t="s">
        <v>48</v>
      </c>
      <c r="H3554" s="17">
        <v>1</v>
      </c>
      <c r="K3554" t="s">
        <v>1187</v>
      </c>
      <c r="L3554" t="s">
        <v>1188</v>
      </c>
      <c r="M3554" t="s">
        <v>1130</v>
      </c>
      <c r="N3554">
        <v>18</v>
      </c>
      <c r="O3554" t="s">
        <v>40</v>
      </c>
      <c r="P3554" t="s">
        <v>40</v>
      </c>
      <c r="Q3554" t="s">
        <v>40</v>
      </c>
      <c r="R3554" t="s">
        <v>40</v>
      </c>
      <c r="S3554" t="s">
        <v>40</v>
      </c>
      <c r="V3554" t="s">
        <v>41</v>
      </c>
      <c r="W3554" t="s">
        <v>49</v>
      </c>
      <c r="X3554" t="str">
        <f>"4581015"</f>
        <v>4581015</v>
      </c>
      <c r="Y3554" t="s">
        <v>1190</v>
      </c>
      <c r="Z3554" t="s">
        <v>1187</v>
      </c>
      <c r="AA3554" t="s">
        <v>1188</v>
      </c>
      <c r="AB3554" t="s">
        <v>1130</v>
      </c>
      <c r="AC3554" t="s">
        <v>51</v>
      </c>
      <c r="AD3554" t="s">
        <v>45</v>
      </c>
      <c r="AE3554" s="1">
        <v>25535</v>
      </c>
      <c r="AF3554">
        <v>2</v>
      </c>
      <c r="AG3554" t="s">
        <v>1188</v>
      </c>
      <c r="AH3554" s="36">
        <f t="shared" si="55"/>
        <v>49.783333333333331</v>
      </c>
      <c r="AI3554" s="41" t="s">
        <v>1780</v>
      </c>
    </row>
    <row r="3555" spans="1:35" x14ac:dyDescent="0.25">
      <c r="A3555" s="36">
        <v>99913553</v>
      </c>
      <c r="B3555" s="17" t="s">
        <v>56</v>
      </c>
      <c r="C3555" t="s">
        <v>52</v>
      </c>
      <c r="D3555" t="s">
        <v>53</v>
      </c>
      <c r="G3555" s="17" t="s">
        <v>48</v>
      </c>
      <c r="H3555" s="17">
        <v>1</v>
      </c>
      <c r="K3555" t="s">
        <v>223</v>
      </c>
      <c r="L3555" t="s">
        <v>224</v>
      </c>
      <c r="M3555" t="s">
        <v>131</v>
      </c>
      <c r="N3555">
        <v>4</v>
      </c>
      <c r="O3555" t="s">
        <v>40</v>
      </c>
      <c r="P3555" t="s">
        <v>40</v>
      </c>
      <c r="Q3555" t="s">
        <v>40</v>
      </c>
      <c r="R3555" t="s">
        <v>40</v>
      </c>
      <c r="S3555" t="s">
        <v>40</v>
      </c>
      <c r="V3555" t="s">
        <v>41</v>
      </c>
      <c r="W3555" t="s">
        <v>42</v>
      </c>
      <c r="X3555" t="str">
        <f>"0580206"</f>
        <v>0580206</v>
      </c>
      <c r="Y3555" t="s">
        <v>237</v>
      </c>
      <c r="Z3555" t="s">
        <v>223</v>
      </c>
      <c r="AA3555" t="s">
        <v>224</v>
      </c>
      <c r="AB3555" t="s">
        <v>131</v>
      </c>
      <c r="AC3555" t="s">
        <v>51</v>
      </c>
      <c r="AD3555" t="s">
        <v>45</v>
      </c>
      <c r="AE3555" s="1">
        <v>25534</v>
      </c>
      <c r="AF3555">
        <v>2</v>
      </c>
      <c r="AG3555" t="s">
        <v>224</v>
      </c>
      <c r="AH3555" s="36">
        <f t="shared" si="55"/>
        <v>49.786111111111111</v>
      </c>
      <c r="AI3555" s="41" t="s">
        <v>1780</v>
      </c>
    </row>
    <row r="3556" spans="1:35" x14ac:dyDescent="0.25">
      <c r="A3556" s="36">
        <v>99913554</v>
      </c>
      <c r="B3556" s="17" t="s">
        <v>32</v>
      </c>
      <c r="C3556" t="s">
        <v>64</v>
      </c>
      <c r="D3556" t="s">
        <v>65</v>
      </c>
      <c r="G3556" s="17" t="s">
        <v>48</v>
      </c>
      <c r="H3556" s="17">
        <v>1</v>
      </c>
      <c r="K3556" t="s">
        <v>157</v>
      </c>
      <c r="L3556" t="s">
        <v>158</v>
      </c>
      <c r="M3556" t="s">
        <v>131</v>
      </c>
      <c r="N3556">
        <v>8</v>
      </c>
      <c r="O3556" t="s">
        <v>40</v>
      </c>
      <c r="P3556" t="s">
        <v>40</v>
      </c>
      <c r="Q3556" t="s">
        <v>40</v>
      </c>
      <c r="R3556" t="s">
        <v>40</v>
      </c>
      <c r="S3556" t="s">
        <v>40</v>
      </c>
      <c r="V3556" t="s">
        <v>41</v>
      </c>
      <c r="W3556" t="s">
        <v>42</v>
      </c>
      <c r="X3556" t="str">
        <f>"0580290"</f>
        <v>0580290</v>
      </c>
      <c r="Y3556" t="s">
        <v>171</v>
      </c>
      <c r="Z3556" t="s">
        <v>157</v>
      </c>
      <c r="AA3556" t="s">
        <v>158</v>
      </c>
      <c r="AB3556" t="s">
        <v>131</v>
      </c>
      <c r="AC3556" t="s">
        <v>51</v>
      </c>
      <c r="AD3556" t="s">
        <v>45</v>
      </c>
      <c r="AE3556" s="1">
        <v>25527</v>
      </c>
      <c r="AF3556">
        <v>2</v>
      </c>
      <c r="AG3556" t="s">
        <v>158</v>
      </c>
      <c r="AH3556" s="36">
        <f t="shared" si="55"/>
        <v>49.805555555555557</v>
      </c>
      <c r="AI3556" s="41" t="s">
        <v>1780</v>
      </c>
    </row>
    <row r="3557" spans="1:35" x14ac:dyDescent="0.25">
      <c r="A3557" s="36">
        <v>99913555</v>
      </c>
      <c r="B3557" s="17" t="s">
        <v>56</v>
      </c>
      <c r="C3557" t="s">
        <v>111</v>
      </c>
      <c r="D3557" t="s">
        <v>112</v>
      </c>
      <c r="G3557" s="17" t="s">
        <v>35</v>
      </c>
      <c r="H3557" s="17">
        <v>1</v>
      </c>
      <c r="K3557" t="s">
        <v>354</v>
      </c>
      <c r="L3557" t="s">
        <v>355</v>
      </c>
      <c r="M3557" t="s">
        <v>131</v>
      </c>
      <c r="N3557">
        <v>22</v>
      </c>
      <c r="O3557" t="s">
        <v>40</v>
      </c>
      <c r="P3557" t="s">
        <v>40</v>
      </c>
      <c r="Q3557" t="s">
        <v>40</v>
      </c>
      <c r="S3557" t="s">
        <v>40</v>
      </c>
      <c r="V3557" t="s">
        <v>41</v>
      </c>
      <c r="W3557" t="s">
        <v>75</v>
      </c>
      <c r="X3557" t="str">
        <f>"7054020"</f>
        <v>7054020</v>
      </c>
      <c r="Y3557" t="s">
        <v>765</v>
      </c>
      <c r="Z3557" t="s">
        <v>354</v>
      </c>
      <c r="AA3557" t="s">
        <v>355</v>
      </c>
      <c r="AB3557" t="s">
        <v>131</v>
      </c>
      <c r="AC3557" t="s">
        <v>51</v>
      </c>
      <c r="AD3557" t="s">
        <v>45</v>
      </c>
      <c r="AE3557" s="1">
        <v>25526</v>
      </c>
      <c r="AF3557">
        <v>1</v>
      </c>
      <c r="AG3557" t="s">
        <v>355</v>
      </c>
      <c r="AH3557" s="36">
        <f t="shared" si="55"/>
        <v>49.80833333333333</v>
      </c>
      <c r="AI3557" s="41" t="s">
        <v>1780</v>
      </c>
    </row>
    <row r="3558" spans="1:35" x14ac:dyDescent="0.25">
      <c r="A3558" s="36">
        <v>99913556</v>
      </c>
      <c r="B3558" s="17" t="s">
        <v>32</v>
      </c>
      <c r="C3558" t="s">
        <v>90</v>
      </c>
      <c r="D3558" t="s">
        <v>91</v>
      </c>
      <c r="G3558" s="17" t="s">
        <v>48</v>
      </c>
      <c r="H3558" s="17">
        <v>1</v>
      </c>
      <c r="K3558" t="s">
        <v>1502</v>
      </c>
      <c r="L3558" t="s">
        <v>1503</v>
      </c>
      <c r="M3558" t="s">
        <v>670</v>
      </c>
      <c r="N3558">
        <v>6</v>
      </c>
      <c r="O3558" t="s">
        <v>40</v>
      </c>
      <c r="P3558" t="s">
        <v>40</v>
      </c>
      <c r="Q3558" t="s">
        <v>40</v>
      </c>
      <c r="R3558" t="s">
        <v>40</v>
      </c>
      <c r="S3558" t="s">
        <v>40</v>
      </c>
      <c r="V3558" t="s">
        <v>41</v>
      </c>
      <c r="W3558" t="s">
        <v>95</v>
      </c>
      <c r="X3558" t="str">
        <f>"7171019"</f>
        <v>7171019</v>
      </c>
      <c r="Y3558" t="s">
        <v>1504</v>
      </c>
      <c r="Z3558" t="s">
        <v>1502</v>
      </c>
      <c r="AA3558" t="s">
        <v>1503</v>
      </c>
      <c r="AB3558" t="s">
        <v>670</v>
      </c>
      <c r="AC3558" t="s">
        <v>51</v>
      </c>
      <c r="AD3558" t="s">
        <v>45</v>
      </c>
      <c r="AE3558" s="1">
        <v>25526</v>
      </c>
      <c r="AF3558">
        <v>1</v>
      </c>
      <c r="AG3558" t="s">
        <v>1503</v>
      </c>
      <c r="AH3558" s="36">
        <f t="shared" si="55"/>
        <v>49.80833333333333</v>
      </c>
      <c r="AI3558" s="41" t="s">
        <v>1780</v>
      </c>
    </row>
    <row r="3559" spans="1:35" x14ac:dyDescent="0.25">
      <c r="A3559" s="36">
        <v>99913557</v>
      </c>
      <c r="B3559" s="17" t="s">
        <v>32</v>
      </c>
      <c r="C3559" t="s">
        <v>33</v>
      </c>
      <c r="D3559" t="s">
        <v>34</v>
      </c>
      <c r="G3559" s="17" t="s">
        <v>48</v>
      </c>
      <c r="H3559" s="17">
        <v>10</v>
      </c>
      <c r="K3559" t="s">
        <v>129</v>
      </c>
      <c r="L3559" t="s">
        <v>130</v>
      </c>
      <c r="M3559" t="s">
        <v>131</v>
      </c>
      <c r="N3559">
        <v>20</v>
      </c>
      <c r="O3559" t="s">
        <v>40</v>
      </c>
      <c r="P3559" t="s">
        <v>40</v>
      </c>
      <c r="Q3559" t="s">
        <v>40</v>
      </c>
      <c r="R3559" t="s">
        <v>40</v>
      </c>
      <c r="S3559" t="s">
        <v>40</v>
      </c>
      <c r="U3559" s="1">
        <v>37137</v>
      </c>
      <c r="V3559" t="s">
        <v>41</v>
      </c>
      <c r="W3559" t="s">
        <v>42</v>
      </c>
      <c r="X3559" t="str">
        <f>"0561011"</f>
        <v>0561011</v>
      </c>
      <c r="Y3559" t="s">
        <v>132</v>
      </c>
      <c r="Z3559" t="s">
        <v>129</v>
      </c>
      <c r="AA3559" t="s">
        <v>130</v>
      </c>
      <c r="AB3559" t="s">
        <v>131</v>
      </c>
      <c r="AC3559" t="s">
        <v>51</v>
      </c>
      <c r="AD3559" t="s">
        <v>45</v>
      </c>
      <c r="AE3559" s="1">
        <v>25524</v>
      </c>
      <c r="AF3559">
        <v>2</v>
      </c>
      <c r="AG3559" t="s">
        <v>130</v>
      </c>
      <c r="AH3559" s="36">
        <f t="shared" si="55"/>
        <v>49.81388888888889</v>
      </c>
      <c r="AI3559" s="41" t="s">
        <v>1780</v>
      </c>
    </row>
    <row r="3560" spans="1:35" x14ac:dyDescent="0.25">
      <c r="A3560" s="36">
        <v>99913558</v>
      </c>
      <c r="B3560" s="17" t="s">
        <v>56</v>
      </c>
      <c r="C3560" t="s">
        <v>1282</v>
      </c>
      <c r="D3560" t="s">
        <v>1283</v>
      </c>
      <c r="G3560" s="17" t="s">
        <v>35</v>
      </c>
      <c r="H3560" s="17">
        <v>1</v>
      </c>
      <c r="K3560" t="s">
        <v>1268</v>
      </c>
      <c r="L3560" t="s">
        <v>1269</v>
      </c>
      <c r="M3560" t="s">
        <v>1270</v>
      </c>
      <c r="N3560">
        <v>20</v>
      </c>
      <c r="O3560" t="s">
        <v>40</v>
      </c>
      <c r="P3560" t="s">
        <v>40</v>
      </c>
      <c r="Q3560" t="s">
        <v>40</v>
      </c>
      <c r="R3560" t="s">
        <v>40</v>
      </c>
      <c r="S3560" t="s">
        <v>40</v>
      </c>
      <c r="V3560" t="s">
        <v>41</v>
      </c>
      <c r="W3560" t="s">
        <v>922</v>
      </c>
      <c r="X3560" t="str">
        <f>"1950001"</f>
        <v>1950001</v>
      </c>
      <c r="Y3560" t="s">
        <v>1284</v>
      </c>
      <c r="Z3560" t="s">
        <v>1268</v>
      </c>
      <c r="AA3560" t="s">
        <v>1269</v>
      </c>
      <c r="AB3560" t="s">
        <v>1270</v>
      </c>
      <c r="AC3560" t="s">
        <v>51</v>
      </c>
      <c r="AD3560" t="s">
        <v>45</v>
      </c>
      <c r="AE3560" s="1">
        <v>25524</v>
      </c>
      <c r="AF3560">
        <v>2</v>
      </c>
      <c r="AG3560" t="s">
        <v>1269</v>
      </c>
      <c r="AH3560" s="36">
        <f t="shared" si="55"/>
        <v>49.81388888888889</v>
      </c>
      <c r="AI3560" s="41" t="s">
        <v>1780</v>
      </c>
    </row>
    <row r="3561" spans="1:35" x14ac:dyDescent="0.25">
      <c r="A3561" s="36">
        <v>99913559</v>
      </c>
      <c r="B3561" s="17" t="s">
        <v>56</v>
      </c>
      <c r="C3561" t="s">
        <v>52</v>
      </c>
      <c r="D3561" t="s">
        <v>53</v>
      </c>
      <c r="G3561" s="17" t="s">
        <v>48</v>
      </c>
      <c r="H3561" s="17">
        <v>1</v>
      </c>
      <c r="K3561" t="s">
        <v>223</v>
      </c>
      <c r="L3561" t="s">
        <v>224</v>
      </c>
      <c r="M3561" t="s">
        <v>131</v>
      </c>
      <c r="N3561">
        <v>21</v>
      </c>
      <c r="O3561" t="s">
        <v>40</v>
      </c>
      <c r="P3561" t="s">
        <v>40</v>
      </c>
      <c r="Q3561" t="s">
        <v>40</v>
      </c>
      <c r="R3561" t="s">
        <v>40</v>
      </c>
      <c r="S3561" t="s">
        <v>40</v>
      </c>
      <c r="V3561" t="s">
        <v>41</v>
      </c>
      <c r="W3561" t="s">
        <v>42</v>
      </c>
      <c r="X3561" t="str">
        <f>"0590910"</f>
        <v>0590910</v>
      </c>
      <c r="Y3561" t="s">
        <v>227</v>
      </c>
      <c r="Z3561" t="s">
        <v>223</v>
      </c>
      <c r="AA3561" t="s">
        <v>224</v>
      </c>
      <c r="AB3561" t="s">
        <v>131</v>
      </c>
      <c r="AC3561" t="s">
        <v>51</v>
      </c>
      <c r="AD3561" t="s">
        <v>45</v>
      </c>
      <c r="AE3561" s="1">
        <v>25523</v>
      </c>
      <c r="AF3561">
        <v>2</v>
      </c>
      <c r="AG3561" t="s">
        <v>224</v>
      </c>
      <c r="AH3561" s="36">
        <f t="shared" si="55"/>
        <v>49.81666666666667</v>
      </c>
      <c r="AI3561" s="41" t="s">
        <v>1780</v>
      </c>
    </row>
    <row r="3562" spans="1:35" x14ac:dyDescent="0.25">
      <c r="A3562" s="36">
        <v>99913560</v>
      </c>
      <c r="B3562" s="17" t="s">
        <v>56</v>
      </c>
      <c r="C3562" t="s">
        <v>68</v>
      </c>
      <c r="D3562" t="s">
        <v>69</v>
      </c>
      <c r="G3562" s="17" t="s">
        <v>35</v>
      </c>
      <c r="H3562" s="17">
        <v>1</v>
      </c>
      <c r="I3562" t="s">
        <v>289</v>
      </c>
      <c r="J3562" s="1">
        <v>43344</v>
      </c>
      <c r="K3562" t="s">
        <v>223</v>
      </c>
      <c r="L3562" t="s">
        <v>224</v>
      </c>
      <c r="M3562" t="s">
        <v>131</v>
      </c>
      <c r="N3562">
        <v>20</v>
      </c>
      <c r="O3562" t="s">
        <v>40</v>
      </c>
      <c r="P3562" t="s">
        <v>40</v>
      </c>
      <c r="Q3562" t="s">
        <v>40</v>
      </c>
      <c r="R3562" t="s">
        <v>40</v>
      </c>
      <c r="S3562" t="s">
        <v>40</v>
      </c>
      <c r="U3562" s="1">
        <v>43344</v>
      </c>
      <c r="V3562" t="s">
        <v>41</v>
      </c>
      <c r="W3562" t="s">
        <v>42</v>
      </c>
      <c r="X3562" t="str">
        <f>"0580207"</f>
        <v>0580207</v>
      </c>
      <c r="Y3562" t="s">
        <v>229</v>
      </c>
      <c r="Z3562" t="s">
        <v>223</v>
      </c>
      <c r="AA3562" t="s">
        <v>224</v>
      </c>
      <c r="AB3562" t="s">
        <v>131</v>
      </c>
      <c r="AC3562" t="s">
        <v>51</v>
      </c>
      <c r="AD3562" t="s">
        <v>45</v>
      </c>
      <c r="AE3562" s="1">
        <v>25522</v>
      </c>
      <c r="AF3562">
        <v>2</v>
      </c>
      <c r="AG3562" t="s">
        <v>224</v>
      </c>
      <c r="AH3562" s="36">
        <f t="shared" si="55"/>
        <v>49.819444444444443</v>
      </c>
      <c r="AI3562" s="41" t="s">
        <v>1780</v>
      </c>
    </row>
    <row r="3563" spans="1:35" x14ac:dyDescent="0.25">
      <c r="A3563" s="36">
        <v>99913561</v>
      </c>
      <c r="B3563" s="17" t="s">
        <v>56</v>
      </c>
      <c r="C3563" t="s">
        <v>52</v>
      </c>
      <c r="D3563" t="s">
        <v>53</v>
      </c>
      <c r="G3563" s="17" t="s">
        <v>48</v>
      </c>
      <c r="H3563" s="17">
        <v>1</v>
      </c>
      <c r="K3563" t="s">
        <v>300</v>
      </c>
      <c r="L3563" t="s">
        <v>301</v>
      </c>
      <c r="M3563" t="s">
        <v>131</v>
      </c>
      <c r="N3563">
        <v>21</v>
      </c>
      <c r="O3563" t="s">
        <v>40</v>
      </c>
      <c r="P3563" t="s">
        <v>40</v>
      </c>
      <c r="Q3563" t="s">
        <v>40</v>
      </c>
      <c r="S3563" t="s">
        <v>40</v>
      </c>
      <c r="V3563" t="s">
        <v>41</v>
      </c>
      <c r="W3563" t="s">
        <v>49</v>
      </c>
      <c r="X3563" t="str">
        <f>"0560020"</f>
        <v>0560020</v>
      </c>
      <c r="Y3563" t="s">
        <v>302</v>
      </c>
      <c r="Z3563" t="s">
        <v>300</v>
      </c>
      <c r="AA3563" t="s">
        <v>301</v>
      </c>
      <c r="AB3563" t="s">
        <v>131</v>
      </c>
      <c r="AC3563" t="s">
        <v>51</v>
      </c>
      <c r="AD3563" t="s">
        <v>45</v>
      </c>
      <c r="AE3563" s="1">
        <v>25521</v>
      </c>
      <c r="AF3563">
        <v>2</v>
      </c>
      <c r="AG3563" t="s">
        <v>301</v>
      </c>
      <c r="AH3563" s="36">
        <f t="shared" si="55"/>
        <v>49.822222222222223</v>
      </c>
      <c r="AI3563" s="41" t="s">
        <v>1780</v>
      </c>
    </row>
    <row r="3564" spans="1:35" x14ac:dyDescent="0.25">
      <c r="A3564" s="36">
        <v>99913562</v>
      </c>
      <c r="B3564" s="17" t="s">
        <v>56</v>
      </c>
      <c r="C3564" t="s">
        <v>52</v>
      </c>
      <c r="D3564" t="s">
        <v>53</v>
      </c>
      <c r="G3564" s="17" t="s">
        <v>48</v>
      </c>
      <c r="H3564" s="17">
        <v>1</v>
      </c>
      <c r="K3564" t="s">
        <v>300</v>
      </c>
      <c r="L3564" t="s">
        <v>301</v>
      </c>
      <c r="M3564" t="s">
        <v>131</v>
      </c>
      <c r="N3564">
        <v>20</v>
      </c>
      <c r="O3564" t="s">
        <v>40</v>
      </c>
      <c r="P3564" t="s">
        <v>40</v>
      </c>
      <c r="Q3564" t="s">
        <v>40</v>
      </c>
      <c r="R3564" t="s">
        <v>40</v>
      </c>
      <c r="S3564" t="s">
        <v>40</v>
      </c>
      <c r="V3564" t="s">
        <v>41</v>
      </c>
      <c r="W3564" t="s">
        <v>42</v>
      </c>
      <c r="X3564" t="str">
        <f>"0580176"</f>
        <v>0580176</v>
      </c>
      <c r="Y3564" t="s">
        <v>305</v>
      </c>
      <c r="Z3564" t="s">
        <v>300</v>
      </c>
      <c r="AA3564" t="s">
        <v>301</v>
      </c>
      <c r="AB3564" t="s">
        <v>131</v>
      </c>
      <c r="AC3564" t="s">
        <v>51</v>
      </c>
      <c r="AD3564" t="s">
        <v>45</v>
      </c>
      <c r="AE3564" s="1">
        <v>25521</v>
      </c>
      <c r="AF3564">
        <v>2</v>
      </c>
      <c r="AG3564" t="s">
        <v>301</v>
      </c>
      <c r="AH3564" s="36">
        <f t="shared" si="55"/>
        <v>49.822222222222223</v>
      </c>
      <c r="AI3564" s="41" t="s">
        <v>1780</v>
      </c>
    </row>
    <row r="3565" spans="1:35" x14ac:dyDescent="0.25">
      <c r="A3565" s="36">
        <v>99913563</v>
      </c>
      <c r="B3565" s="17" t="s">
        <v>56</v>
      </c>
      <c r="C3565" t="s">
        <v>33</v>
      </c>
      <c r="D3565" t="s">
        <v>34</v>
      </c>
      <c r="G3565" s="17" t="s">
        <v>35</v>
      </c>
      <c r="H3565" s="17">
        <v>1</v>
      </c>
      <c r="K3565" t="s">
        <v>157</v>
      </c>
      <c r="L3565" t="s">
        <v>158</v>
      </c>
      <c r="M3565" t="s">
        <v>131</v>
      </c>
      <c r="N3565">
        <v>20</v>
      </c>
      <c r="O3565" t="s">
        <v>40</v>
      </c>
      <c r="P3565" t="s">
        <v>40</v>
      </c>
      <c r="Q3565" t="s">
        <v>40</v>
      </c>
      <c r="R3565" t="s">
        <v>40</v>
      </c>
      <c r="S3565" t="s">
        <v>40</v>
      </c>
      <c r="V3565" t="s">
        <v>41</v>
      </c>
      <c r="W3565" t="s">
        <v>49</v>
      </c>
      <c r="X3565" t="str">
        <f>"0560010"</f>
        <v>0560010</v>
      </c>
      <c r="Y3565" t="s">
        <v>179</v>
      </c>
      <c r="Z3565" t="s">
        <v>157</v>
      </c>
      <c r="AA3565" t="s">
        <v>158</v>
      </c>
      <c r="AB3565" t="s">
        <v>131</v>
      </c>
      <c r="AC3565" t="s">
        <v>51</v>
      </c>
      <c r="AD3565" t="s">
        <v>45</v>
      </c>
      <c r="AE3565" s="1">
        <v>25520</v>
      </c>
      <c r="AF3565">
        <v>2</v>
      </c>
      <c r="AG3565" t="s">
        <v>158</v>
      </c>
      <c r="AH3565" s="36">
        <f t="shared" si="55"/>
        <v>49.825000000000003</v>
      </c>
      <c r="AI3565" s="41" t="s">
        <v>1780</v>
      </c>
    </row>
    <row r="3566" spans="1:35" x14ac:dyDescent="0.25">
      <c r="A3566" s="36">
        <v>99913564</v>
      </c>
      <c r="B3566" s="17" t="s">
        <v>32</v>
      </c>
      <c r="C3566" t="s">
        <v>64</v>
      </c>
      <c r="D3566" t="s">
        <v>65</v>
      </c>
      <c r="G3566" s="17" t="s">
        <v>48</v>
      </c>
      <c r="H3566" s="17">
        <v>1</v>
      </c>
      <c r="K3566" t="s">
        <v>157</v>
      </c>
      <c r="L3566" t="s">
        <v>158</v>
      </c>
      <c r="M3566" t="s">
        <v>131</v>
      </c>
      <c r="N3566">
        <v>23</v>
      </c>
      <c r="O3566" t="s">
        <v>40</v>
      </c>
      <c r="P3566" t="s">
        <v>40</v>
      </c>
      <c r="Q3566" t="s">
        <v>40</v>
      </c>
      <c r="S3566" t="s">
        <v>40</v>
      </c>
      <c r="V3566" t="s">
        <v>41</v>
      </c>
      <c r="W3566" t="s">
        <v>49</v>
      </c>
      <c r="X3566" t="str">
        <f>"0560019"</f>
        <v>0560019</v>
      </c>
      <c r="Y3566" t="s">
        <v>166</v>
      </c>
      <c r="Z3566" t="s">
        <v>157</v>
      </c>
      <c r="AA3566" t="s">
        <v>158</v>
      </c>
      <c r="AB3566" t="s">
        <v>131</v>
      </c>
      <c r="AC3566" t="s">
        <v>51</v>
      </c>
      <c r="AD3566" t="s">
        <v>45</v>
      </c>
      <c r="AE3566" s="1">
        <v>25518</v>
      </c>
      <c r="AF3566">
        <v>2</v>
      </c>
      <c r="AG3566" t="s">
        <v>158</v>
      </c>
      <c r="AH3566" s="36">
        <f t="shared" si="55"/>
        <v>49.830555555555556</v>
      </c>
      <c r="AI3566" s="41" t="s">
        <v>1780</v>
      </c>
    </row>
    <row r="3567" spans="1:35" x14ac:dyDescent="0.25">
      <c r="A3567" s="36">
        <v>99913565</v>
      </c>
      <c r="B3567" s="17" t="s">
        <v>32</v>
      </c>
      <c r="C3567" t="s">
        <v>111</v>
      </c>
      <c r="D3567" t="s">
        <v>112</v>
      </c>
      <c r="G3567" s="17" t="s">
        <v>35</v>
      </c>
      <c r="H3567" s="17">
        <v>9</v>
      </c>
      <c r="K3567" t="s">
        <v>268</v>
      </c>
      <c r="L3567" t="s">
        <v>269</v>
      </c>
      <c r="M3567" t="s">
        <v>131</v>
      </c>
      <c r="N3567">
        <v>22</v>
      </c>
      <c r="O3567" t="s">
        <v>40</v>
      </c>
      <c r="P3567" t="s">
        <v>40</v>
      </c>
      <c r="Q3567" t="s">
        <v>40</v>
      </c>
      <c r="R3567" t="s">
        <v>40</v>
      </c>
      <c r="S3567" t="s">
        <v>40</v>
      </c>
      <c r="V3567" t="s">
        <v>41</v>
      </c>
      <c r="W3567" t="s">
        <v>75</v>
      </c>
      <c r="X3567" t="str">
        <f>"7052002"</f>
        <v>7052002</v>
      </c>
      <c r="Y3567" t="s">
        <v>590</v>
      </c>
      <c r="Z3567" t="s">
        <v>268</v>
      </c>
      <c r="AA3567" t="s">
        <v>269</v>
      </c>
      <c r="AB3567" t="s">
        <v>131</v>
      </c>
      <c r="AC3567" t="s">
        <v>165</v>
      </c>
      <c r="AD3567" t="s">
        <v>45</v>
      </c>
      <c r="AE3567" s="1">
        <v>25512</v>
      </c>
      <c r="AF3567">
        <v>1</v>
      </c>
      <c r="AG3567" t="s">
        <v>269</v>
      </c>
      <c r="AH3567" s="36">
        <f t="shared" si="55"/>
        <v>49.847222222222221</v>
      </c>
      <c r="AI3567" s="41" t="s">
        <v>1780</v>
      </c>
    </row>
    <row r="3568" spans="1:35" x14ac:dyDescent="0.25">
      <c r="A3568" s="36">
        <v>99913566</v>
      </c>
      <c r="B3568" s="17" t="s">
        <v>32</v>
      </c>
      <c r="C3568" t="s">
        <v>64</v>
      </c>
      <c r="D3568" t="s">
        <v>65</v>
      </c>
      <c r="G3568" s="17" t="s">
        <v>35</v>
      </c>
      <c r="H3568" s="17">
        <v>1</v>
      </c>
      <c r="I3568" t="s">
        <v>686</v>
      </c>
      <c r="J3568" s="1">
        <v>43344</v>
      </c>
      <c r="K3568" t="s">
        <v>268</v>
      </c>
      <c r="L3568" t="s">
        <v>269</v>
      </c>
      <c r="M3568" t="s">
        <v>131</v>
      </c>
      <c r="N3568">
        <v>22</v>
      </c>
      <c r="O3568" t="s">
        <v>40</v>
      </c>
      <c r="S3568" t="s">
        <v>40</v>
      </c>
      <c r="U3568" s="1">
        <v>43344</v>
      </c>
      <c r="V3568" t="s">
        <v>41</v>
      </c>
      <c r="W3568" t="s">
        <v>75</v>
      </c>
      <c r="X3568" t="str">
        <f>"7052020"</f>
        <v>7052020</v>
      </c>
      <c r="Y3568" t="s">
        <v>267</v>
      </c>
      <c r="Z3568" t="s">
        <v>268</v>
      </c>
      <c r="AA3568" t="s">
        <v>269</v>
      </c>
      <c r="AB3568" t="s">
        <v>131</v>
      </c>
      <c r="AC3568" t="s">
        <v>51</v>
      </c>
      <c r="AD3568" t="s">
        <v>45</v>
      </c>
      <c r="AE3568" s="1">
        <v>25508</v>
      </c>
      <c r="AF3568">
        <v>1</v>
      </c>
      <c r="AG3568" t="s">
        <v>269</v>
      </c>
      <c r="AH3568" s="36">
        <f t="shared" si="55"/>
        <v>49.858333333333334</v>
      </c>
      <c r="AI3568" s="41" t="s">
        <v>1780</v>
      </c>
    </row>
    <row r="3569" spans="1:35" x14ac:dyDescent="0.25">
      <c r="A3569" s="36">
        <v>99913567</v>
      </c>
      <c r="B3569" s="17" t="s">
        <v>32</v>
      </c>
      <c r="C3569" t="s">
        <v>46</v>
      </c>
      <c r="D3569" t="s">
        <v>47</v>
      </c>
      <c r="G3569" s="17" t="s">
        <v>48</v>
      </c>
      <c r="H3569" s="17">
        <v>1</v>
      </c>
      <c r="K3569" t="s">
        <v>223</v>
      </c>
      <c r="L3569" t="s">
        <v>224</v>
      </c>
      <c r="M3569" t="s">
        <v>131</v>
      </c>
      <c r="N3569">
        <v>20</v>
      </c>
      <c r="O3569" t="s">
        <v>40</v>
      </c>
      <c r="P3569" t="s">
        <v>40</v>
      </c>
      <c r="Q3569" t="s">
        <v>40</v>
      </c>
      <c r="S3569" t="s">
        <v>40</v>
      </c>
      <c r="V3569" t="s">
        <v>41</v>
      </c>
      <c r="W3569" t="s">
        <v>42</v>
      </c>
      <c r="X3569" t="str">
        <f>"0580202"</f>
        <v>0580202</v>
      </c>
      <c r="Y3569" t="s">
        <v>240</v>
      </c>
      <c r="Z3569" t="s">
        <v>223</v>
      </c>
      <c r="AA3569" t="s">
        <v>224</v>
      </c>
      <c r="AB3569" t="s">
        <v>131</v>
      </c>
      <c r="AC3569" t="s">
        <v>165</v>
      </c>
      <c r="AD3569" t="s">
        <v>45</v>
      </c>
      <c r="AE3569" s="1">
        <v>25502</v>
      </c>
      <c r="AF3569">
        <v>2</v>
      </c>
      <c r="AG3569" t="s">
        <v>224</v>
      </c>
      <c r="AH3569" s="36">
        <f t="shared" si="55"/>
        <v>49.875</v>
      </c>
      <c r="AI3569" s="41" t="s">
        <v>1780</v>
      </c>
    </row>
    <row r="3570" spans="1:35" x14ac:dyDescent="0.25">
      <c r="A3570" s="36">
        <v>99913568</v>
      </c>
      <c r="B3570" s="17" t="s">
        <v>32</v>
      </c>
      <c r="C3570" t="s">
        <v>64</v>
      </c>
      <c r="D3570" t="s">
        <v>65</v>
      </c>
      <c r="G3570" s="17" t="s">
        <v>35</v>
      </c>
      <c r="H3570" s="17">
        <v>1</v>
      </c>
      <c r="K3570" t="s">
        <v>1081</v>
      </c>
      <c r="L3570" t="s">
        <v>1082</v>
      </c>
      <c r="M3570" t="s">
        <v>1053</v>
      </c>
      <c r="N3570">
        <v>24</v>
      </c>
      <c r="O3570" t="s">
        <v>40</v>
      </c>
      <c r="P3570" t="s">
        <v>40</v>
      </c>
      <c r="Q3570" t="s">
        <v>40</v>
      </c>
      <c r="S3570" t="s">
        <v>40</v>
      </c>
      <c r="V3570" t="s">
        <v>41</v>
      </c>
      <c r="W3570" t="s">
        <v>75</v>
      </c>
      <c r="X3570" t="str">
        <f>"7201006"</f>
        <v>7201006</v>
      </c>
      <c r="Y3570" t="s">
        <v>1083</v>
      </c>
      <c r="Z3570" t="s">
        <v>1081</v>
      </c>
      <c r="AA3570" t="s">
        <v>1082</v>
      </c>
      <c r="AB3570" t="s">
        <v>1053</v>
      </c>
      <c r="AC3570" t="s">
        <v>51</v>
      </c>
      <c r="AD3570" t="s">
        <v>45</v>
      </c>
      <c r="AE3570" s="1">
        <v>25501</v>
      </c>
      <c r="AF3570">
        <v>1</v>
      </c>
      <c r="AG3570" t="s">
        <v>1082</v>
      </c>
      <c r="AH3570" s="36">
        <f t="shared" si="55"/>
        <v>49.87777777777778</v>
      </c>
      <c r="AI3570" s="41" t="s">
        <v>1780</v>
      </c>
    </row>
    <row r="3571" spans="1:35" x14ac:dyDescent="0.25">
      <c r="A3571" s="36">
        <v>99913569</v>
      </c>
      <c r="B3571" s="17" t="s">
        <v>56</v>
      </c>
      <c r="C3571" t="s">
        <v>52</v>
      </c>
      <c r="D3571" t="s">
        <v>53</v>
      </c>
      <c r="G3571" s="17" t="s">
        <v>35</v>
      </c>
      <c r="H3571" s="17">
        <v>1</v>
      </c>
      <c r="I3571" t="s">
        <v>1164</v>
      </c>
      <c r="J3571" s="1">
        <v>43344</v>
      </c>
      <c r="K3571" t="s">
        <v>1128</v>
      </c>
      <c r="L3571" t="s">
        <v>1129</v>
      </c>
      <c r="M3571" t="s">
        <v>1130</v>
      </c>
      <c r="N3571">
        <v>23</v>
      </c>
      <c r="O3571" t="s">
        <v>40</v>
      </c>
      <c r="P3571" t="s">
        <v>40</v>
      </c>
      <c r="Q3571" t="s">
        <v>40</v>
      </c>
      <c r="R3571" t="s">
        <v>40</v>
      </c>
      <c r="S3571" t="s">
        <v>40</v>
      </c>
      <c r="U3571" s="1">
        <v>43344</v>
      </c>
      <c r="V3571" t="s">
        <v>41</v>
      </c>
      <c r="W3571" t="s">
        <v>42</v>
      </c>
      <c r="X3571" t="str">
        <f>"3180015"</f>
        <v>3180015</v>
      </c>
      <c r="Y3571" t="s">
        <v>1139</v>
      </c>
      <c r="Z3571" t="s">
        <v>1128</v>
      </c>
      <c r="AA3571" t="s">
        <v>1129</v>
      </c>
      <c r="AB3571" t="s">
        <v>1130</v>
      </c>
      <c r="AC3571" t="s">
        <v>51</v>
      </c>
      <c r="AD3571" t="s">
        <v>45</v>
      </c>
      <c r="AE3571" s="1">
        <v>25497</v>
      </c>
      <c r="AF3571">
        <v>2</v>
      </c>
      <c r="AG3571" t="s">
        <v>1129</v>
      </c>
      <c r="AH3571" s="36">
        <f t="shared" si="55"/>
        <v>49.888888888888886</v>
      </c>
      <c r="AI3571" s="41" t="s">
        <v>1780</v>
      </c>
    </row>
    <row r="3572" spans="1:35" x14ac:dyDescent="0.25">
      <c r="A3572" s="36">
        <v>99913570</v>
      </c>
      <c r="B3572" s="17" t="s">
        <v>32</v>
      </c>
      <c r="C3572" t="s">
        <v>52</v>
      </c>
      <c r="D3572" t="s">
        <v>53</v>
      </c>
      <c r="G3572" s="17" t="s">
        <v>48</v>
      </c>
      <c r="H3572" s="17">
        <v>1</v>
      </c>
      <c r="K3572" t="s">
        <v>162</v>
      </c>
      <c r="L3572" t="s">
        <v>158</v>
      </c>
      <c r="M3572" t="s">
        <v>131</v>
      </c>
      <c r="N3572">
        <v>20</v>
      </c>
      <c r="O3572" t="s">
        <v>40</v>
      </c>
      <c r="P3572" t="s">
        <v>40</v>
      </c>
      <c r="Q3572" t="s">
        <v>40</v>
      </c>
      <c r="S3572" t="s">
        <v>40</v>
      </c>
      <c r="V3572" t="s">
        <v>41</v>
      </c>
      <c r="W3572" t="s">
        <v>42</v>
      </c>
      <c r="X3572" t="str">
        <f>"0580320"</f>
        <v>0580320</v>
      </c>
      <c r="Y3572" t="s">
        <v>164</v>
      </c>
      <c r="Z3572" t="s">
        <v>162</v>
      </c>
      <c r="AA3572" t="s">
        <v>158</v>
      </c>
      <c r="AB3572" t="s">
        <v>131</v>
      </c>
      <c r="AC3572" t="s">
        <v>165</v>
      </c>
      <c r="AD3572" t="s">
        <v>45</v>
      </c>
      <c r="AE3572" s="1">
        <v>25492</v>
      </c>
      <c r="AF3572">
        <v>2</v>
      </c>
      <c r="AG3572" t="s">
        <v>158</v>
      </c>
      <c r="AH3572" s="36">
        <f t="shared" si="55"/>
        <v>49.902777777777779</v>
      </c>
      <c r="AI3572" s="41" t="s">
        <v>1780</v>
      </c>
    </row>
    <row r="3573" spans="1:35" x14ac:dyDescent="0.25">
      <c r="A3573" s="36">
        <v>99913571</v>
      </c>
      <c r="B3573" s="17" t="s">
        <v>56</v>
      </c>
      <c r="C3573" t="s">
        <v>52</v>
      </c>
      <c r="D3573" t="s">
        <v>53</v>
      </c>
      <c r="G3573" s="17" t="s">
        <v>48</v>
      </c>
      <c r="H3573" s="17">
        <v>1</v>
      </c>
      <c r="K3573" t="s">
        <v>1613</v>
      </c>
      <c r="L3573" t="s">
        <v>1614</v>
      </c>
      <c r="M3573" t="s">
        <v>1592</v>
      </c>
      <c r="N3573">
        <v>10</v>
      </c>
      <c r="O3573" t="s">
        <v>40</v>
      </c>
      <c r="P3573" t="s">
        <v>40</v>
      </c>
      <c r="Q3573" t="s">
        <v>40</v>
      </c>
      <c r="R3573" t="s">
        <v>40</v>
      </c>
      <c r="S3573" t="s">
        <v>40</v>
      </c>
      <c r="V3573" t="s">
        <v>41</v>
      </c>
      <c r="W3573" t="s">
        <v>42</v>
      </c>
      <c r="X3573" t="str">
        <f>"2861001"</f>
        <v>2861001</v>
      </c>
      <c r="Y3573" t="s">
        <v>1621</v>
      </c>
      <c r="Z3573" t="s">
        <v>1613</v>
      </c>
      <c r="AA3573" t="s">
        <v>1614</v>
      </c>
      <c r="AB3573" t="s">
        <v>1592</v>
      </c>
      <c r="AC3573" t="s">
        <v>51</v>
      </c>
      <c r="AD3573" t="s">
        <v>45</v>
      </c>
      <c r="AE3573" s="1">
        <v>25492</v>
      </c>
      <c r="AF3573">
        <v>2</v>
      </c>
      <c r="AG3573" t="s">
        <v>1614</v>
      </c>
      <c r="AH3573" s="36">
        <f t="shared" si="55"/>
        <v>49.902777777777779</v>
      </c>
      <c r="AI3573" s="41" t="s">
        <v>1780</v>
      </c>
    </row>
    <row r="3574" spans="1:35" x14ac:dyDescent="0.25">
      <c r="A3574" s="36">
        <v>99913572</v>
      </c>
      <c r="B3574" s="17" t="s">
        <v>32</v>
      </c>
      <c r="C3574" t="s">
        <v>52</v>
      </c>
      <c r="D3574" t="s">
        <v>53</v>
      </c>
      <c r="G3574" s="17" t="s">
        <v>35</v>
      </c>
      <c r="H3574" s="17">
        <v>1</v>
      </c>
      <c r="K3574" t="s">
        <v>1268</v>
      </c>
      <c r="L3574" t="s">
        <v>1269</v>
      </c>
      <c r="M3574" t="s">
        <v>1270</v>
      </c>
      <c r="N3574">
        <v>14</v>
      </c>
      <c r="O3574" t="s">
        <v>40</v>
      </c>
      <c r="P3574" t="s">
        <v>40</v>
      </c>
      <c r="Q3574" t="s">
        <v>40</v>
      </c>
      <c r="S3574" t="s">
        <v>40</v>
      </c>
      <c r="V3574" t="s">
        <v>41</v>
      </c>
      <c r="W3574" t="s">
        <v>42</v>
      </c>
      <c r="X3574" t="str">
        <f>"1990914"</f>
        <v>1990914</v>
      </c>
      <c r="Y3574" t="s">
        <v>1275</v>
      </c>
      <c r="Z3574" t="s">
        <v>1268</v>
      </c>
      <c r="AA3574" t="s">
        <v>1269</v>
      </c>
      <c r="AB3574" t="s">
        <v>1270</v>
      </c>
      <c r="AC3574" t="s">
        <v>51</v>
      </c>
      <c r="AD3574" t="s">
        <v>45</v>
      </c>
      <c r="AE3574" s="1">
        <v>25488</v>
      </c>
      <c r="AF3574">
        <v>2</v>
      </c>
      <c r="AG3574" t="s">
        <v>1269</v>
      </c>
      <c r="AH3574" s="36">
        <f t="shared" si="55"/>
        <v>49.913888888888891</v>
      </c>
      <c r="AI3574" s="41" t="s">
        <v>1780</v>
      </c>
    </row>
    <row r="3575" spans="1:35" x14ac:dyDescent="0.25">
      <c r="A3575" s="36">
        <v>99913573</v>
      </c>
      <c r="B3575" s="17" t="s">
        <v>56</v>
      </c>
      <c r="C3575" t="s">
        <v>46</v>
      </c>
      <c r="D3575" t="s">
        <v>47</v>
      </c>
      <c r="G3575" s="17" t="s">
        <v>48</v>
      </c>
      <c r="H3575" s="17">
        <v>1</v>
      </c>
      <c r="K3575" t="s">
        <v>162</v>
      </c>
      <c r="L3575" t="s">
        <v>158</v>
      </c>
      <c r="M3575" t="s">
        <v>131</v>
      </c>
      <c r="N3575">
        <v>14</v>
      </c>
      <c r="O3575" t="s">
        <v>40</v>
      </c>
      <c r="P3575" t="s">
        <v>40</v>
      </c>
      <c r="Q3575" t="s">
        <v>40</v>
      </c>
      <c r="S3575" t="s">
        <v>40</v>
      </c>
      <c r="V3575" t="s">
        <v>41</v>
      </c>
      <c r="W3575" t="s">
        <v>42</v>
      </c>
      <c r="X3575" t="str">
        <f>"0580330"</f>
        <v>0580330</v>
      </c>
      <c r="Y3575" t="s">
        <v>176</v>
      </c>
      <c r="Z3575" t="s">
        <v>162</v>
      </c>
      <c r="AA3575" t="s">
        <v>158</v>
      </c>
      <c r="AB3575" t="s">
        <v>131</v>
      </c>
      <c r="AC3575" t="s">
        <v>51</v>
      </c>
      <c r="AD3575" t="s">
        <v>45</v>
      </c>
      <c r="AE3575" s="1">
        <v>25487</v>
      </c>
      <c r="AF3575">
        <v>2</v>
      </c>
      <c r="AG3575" t="s">
        <v>158</v>
      </c>
      <c r="AH3575" s="36">
        <f t="shared" si="55"/>
        <v>49.916666666666664</v>
      </c>
      <c r="AI3575" s="41" t="s">
        <v>1780</v>
      </c>
    </row>
    <row r="3576" spans="1:35" x14ac:dyDescent="0.25">
      <c r="A3576" s="36">
        <v>99913574</v>
      </c>
      <c r="B3576" s="17" t="s">
        <v>32</v>
      </c>
      <c r="C3576" t="s">
        <v>46</v>
      </c>
      <c r="D3576" t="s">
        <v>47</v>
      </c>
      <c r="G3576" s="17" t="s">
        <v>35</v>
      </c>
      <c r="H3576" s="17">
        <v>1</v>
      </c>
      <c r="K3576" t="s">
        <v>223</v>
      </c>
      <c r="L3576" t="s">
        <v>224</v>
      </c>
      <c r="M3576" t="s">
        <v>131</v>
      </c>
      <c r="N3576">
        <v>18</v>
      </c>
      <c r="O3576" t="s">
        <v>40</v>
      </c>
      <c r="P3576" t="s">
        <v>40</v>
      </c>
      <c r="Q3576" t="s">
        <v>40</v>
      </c>
      <c r="S3576" t="s">
        <v>40</v>
      </c>
      <c r="V3576" t="s">
        <v>41</v>
      </c>
      <c r="W3576" t="s">
        <v>42</v>
      </c>
      <c r="X3576" t="str">
        <f>"0590902"</f>
        <v>0590902</v>
      </c>
      <c r="Y3576" t="s">
        <v>241</v>
      </c>
      <c r="Z3576" t="s">
        <v>223</v>
      </c>
      <c r="AA3576" t="s">
        <v>224</v>
      </c>
      <c r="AB3576" t="s">
        <v>131</v>
      </c>
      <c r="AC3576" t="s">
        <v>51</v>
      </c>
      <c r="AD3576" t="s">
        <v>45</v>
      </c>
      <c r="AE3576" s="1">
        <v>25485</v>
      </c>
      <c r="AF3576">
        <v>2</v>
      </c>
      <c r="AG3576" t="s">
        <v>224</v>
      </c>
      <c r="AH3576" s="36">
        <f t="shared" si="55"/>
        <v>49.922222222222224</v>
      </c>
      <c r="AI3576" s="41" t="s">
        <v>1780</v>
      </c>
    </row>
    <row r="3577" spans="1:35" x14ac:dyDescent="0.25">
      <c r="A3577" s="36">
        <v>99913575</v>
      </c>
      <c r="B3577" s="17" t="s">
        <v>32</v>
      </c>
      <c r="C3577" t="s">
        <v>33</v>
      </c>
      <c r="D3577" t="s">
        <v>34</v>
      </c>
      <c r="G3577" s="17" t="s">
        <v>35</v>
      </c>
      <c r="H3577" s="17">
        <v>1</v>
      </c>
      <c r="K3577" t="s">
        <v>223</v>
      </c>
      <c r="L3577" t="s">
        <v>224</v>
      </c>
      <c r="M3577" t="s">
        <v>131</v>
      </c>
      <c r="N3577">
        <v>21</v>
      </c>
      <c r="O3577" t="s">
        <v>40</v>
      </c>
      <c r="P3577" t="s">
        <v>40</v>
      </c>
      <c r="Q3577" t="s">
        <v>40</v>
      </c>
      <c r="S3577" t="s">
        <v>40</v>
      </c>
      <c r="V3577" t="s">
        <v>41</v>
      </c>
      <c r="W3577" t="s">
        <v>42</v>
      </c>
      <c r="X3577" t="str">
        <f>"0580396"</f>
        <v>0580396</v>
      </c>
      <c r="Y3577" t="s">
        <v>255</v>
      </c>
      <c r="Z3577" t="s">
        <v>223</v>
      </c>
      <c r="AA3577" t="s">
        <v>224</v>
      </c>
      <c r="AB3577" t="s">
        <v>131</v>
      </c>
      <c r="AC3577" t="s">
        <v>51</v>
      </c>
      <c r="AD3577" t="s">
        <v>45</v>
      </c>
      <c r="AE3577" s="1">
        <v>25485</v>
      </c>
      <c r="AF3577">
        <v>2</v>
      </c>
      <c r="AG3577" t="s">
        <v>224</v>
      </c>
      <c r="AH3577" s="36">
        <f t="shared" si="55"/>
        <v>49.922222222222224</v>
      </c>
      <c r="AI3577" s="41" t="s">
        <v>1780</v>
      </c>
    </row>
    <row r="3578" spans="1:35" x14ac:dyDescent="0.25">
      <c r="A3578" s="36">
        <v>99913576</v>
      </c>
      <c r="B3578" s="17" t="s">
        <v>32</v>
      </c>
      <c r="C3578" t="s">
        <v>64</v>
      </c>
      <c r="D3578" t="s">
        <v>65</v>
      </c>
      <c r="G3578" s="17" t="s">
        <v>48</v>
      </c>
      <c r="H3578" s="17">
        <v>1</v>
      </c>
      <c r="K3578" t="s">
        <v>268</v>
      </c>
      <c r="L3578" t="s">
        <v>269</v>
      </c>
      <c r="M3578" t="s">
        <v>131</v>
      </c>
      <c r="N3578">
        <v>22</v>
      </c>
      <c r="O3578" t="s">
        <v>40</v>
      </c>
      <c r="P3578" t="s">
        <v>40</v>
      </c>
      <c r="Q3578" t="s">
        <v>40</v>
      </c>
      <c r="S3578" t="s">
        <v>40</v>
      </c>
      <c r="V3578" t="s">
        <v>41</v>
      </c>
      <c r="W3578" t="s">
        <v>75</v>
      </c>
      <c r="X3578" t="str">
        <f>"7052042"</f>
        <v>7052042</v>
      </c>
      <c r="Y3578" t="s">
        <v>583</v>
      </c>
      <c r="Z3578" t="s">
        <v>268</v>
      </c>
      <c r="AA3578" t="s">
        <v>269</v>
      </c>
      <c r="AB3578" t="s">
        <v>131</v>
      </c>
      <c r="AC3578" t="s">
        <v>51</v>
      </c>
      <c r="AD3578" t="s">
        <v>45</v>
      </c>
      <c r="AE3578" s="1">
        <v>25485</v>
      </c>
      <c r="AF3578">
        <v>1</v>
      </c>
      <c r="AG3578" t="s">
        <v>269</v>
      </c>
      <c r="AH3578" s="36">
        <f t="shared" si="55"/>
        <v>49.922222222222224</v>
      </c>
      <c r="AI3578" s="41" t="s">
        <v>1780</v>
      </c>
    </row>
    <row r="3579" spans="1:35" x14ac:dyDescent="0.25">
      <c r="A3579" s="36">
        <v>99913577</v>
      </c>
      <c r="B3579" s="17" t="s">
        <v>32</v>
      </c>
      <c r="C3579" t="s">
        <v>71</v>
      </c>
      <c r="D3579" t="s">
        <v>72</v>
      </c>
      <c r="G3579" s="17" t="s">
        <v>48</v>
      </c>
      <c r="H3579" s="17">
        <v>1</v>
      </c>
      <c r="K3579" t="s">
        <v>1268</v>
      </c>
      <c r="L3579" t="s">
        <v>1269</v>
      </c>
      <c r="M3579" t="s">
        <v>1270</v>
      </c>
      <c r="N3579">
        <v>20</v>
      </c>
      <c r="O3579" t="s">
        <v>40</v>
      </c>
      <c r="P3579" t="s">
        <v>40</v>
      </c>
      <c r="Q3579" t="s">
        <v>40</v>
      </c>
      <c r="R3579" t="s">
        <v>40</v>
      </c>
      <c r="S3579" t="s">
        <v>40</v>
      </c>
      <c r="V3579" t="s">
        <v>41</v>
      </c>
      <c r="W3579" t="s">
        <v>49</v>
      </c>
      <c r="X3579" t="str">
        <f>"1981912"</f>
        <v>1981912</v>
      </c>
      <c r="Y3579" t="s">
        <v>1279</v>
      </c>
      <c r="Z3579" t="s">
        <v>1268</v>
      </c>
      <c r="AA3579" t="s">
        <v>1269</v>
      </c>
      <c r="AB3579" t="s">
        <v>1270</v>
      </c>
      <c r="AC3579" t="s">
        <v>51</v>
      </c>
      <c r="AD3579" t="s">
        <v>45</v>
      </c>
      <c r="AE3579" s="1">
        <v>25476</v>
      </c>
      <c r="AF3579">
        <v>2</v>
      </c>
      <c r="AG3579" t="s">
        <v>1269</v>
      </c>
      <c r="AH3579" s="36">
        <f t="shared" si="55"/>
        <v>49.947222222222223</v>
      </c>
      <c r="AI3579" s="41" t="s">
        <v>1780</v>
      </c>
    </row>
    <row r="3580" spans="1:35" x14ac:dyDescent="0.25">
      <c r="A3580" s="36">
        <v>99913578</v>
      </c>
      <c r="B3580" s="17" t="s">
        <v>32</v>
      </c>
      <c r="C3580" t="s">
        <v>90</v>
      </c>
      <c r="D3580" t="s">
        <v>91</v>
      </c>
      <c r="G3580" s="17" t="s">
        <v>35</v>
      </c>
      <c r="H3580" s="17">
        <v>1</v>
      </c>
      <c r="K3580" t="s">
        <v>195</v>
      </c>
      <c r="L3580" t="s">
        <v>196</v>
      </c>
      <c r="M3580" t="s">
        <v>131</v>
      </c>
      <c r="N3580">
        <v>25</v>
      </c>
      <c r="O3580" t="s">
        <v>40</v>
      </c>
      <c r="P3580" t="s">
        <v>40</v>
      </c>
      <c r="Q3580" t="s">
        <v>40</v>
      </c>
      <c r="S3580" t="s">
        <v>40</v>
      </c>
      <c r="V3580" t="s">
        <v>41</v>
      </c>
      <c r="W3580" t="s">
        <v>95</v>
      </c>
      <c r="X3580" t="str">
        <f>"7521105"</f>
        <v>7521105</v>
      </c>
      <c r="Y3580" t="s">
        <v>478</v>
      </c>
      <c r="Z3580" t="s">
        <v>195</v>
      </c>
      <c r="AA3580" t="s">
        <v>196</v>
      </c>
      <c r="AB3580" t="s">
        <v>131</v>
      </c>
      <c r="AC3580" t="s">
        <v>165</v>
      </c>
      <c r="AD3580" t="s">
        <v>45</v>
      </c>
      <c r="AE3580" s="1">
        <v>25473</v>
      </c>
      <c r="AF3580">
        <v>1</v>
      </c>
      <c r="AG3580" t="s">
        <v>196</v>
      </c>
      <c r="AH3580" s="36">
        <f t="shared" si="55"/>
        <v>49.955555555555556</v>
      </c>
      <c r="AI3580" s="41" t="s">
        <v>1780</v>
      </c>
    </row>
    <row r="3581" spans="1:35" x14ac:dyDescent="0.25">
      <c r="A3581" s="36">
        <v>99913579</v>
      </c>
      <c r="B3581" s="17" t="s">
        <v>56</v>
      </c>
      <c r="C3581" t="s">
        <v>68</v>
      </c>
      <c r="D3581" t="s">
        <v>69</v>
      </c>
      <c r="G3581" s="17" t="s">
        <v>48</v>
      </c>
      <c r="H3581" s="17">
        <v>1</v>
      </c>
      <c r="K3581" t="s">
        <v>1128</v>
      </c>
      <c r="L3581" t="s">
        <v>1129</v>
      </c>
      <c r="M3581" t="s">
        <v>1130</v>
      </c>
      <c r="N3581">
        <v>20</v>
      </c>
      <c r="O3581" t="s">
        <v>40</v>
      </c>
      <c r="P3581" t="s">
        <v>40</v>
      </c>
      <c r="Q3581" t="s">
        <v>40</v>
      </c>
      <c r="R3581" t="s">
        <v>40</v>
      </c>
      <c r="S3581" t="s">
        <v>40</v>
      </c>
      <c r="V3581" t="s">
        <v>41</v>
      </c>
      <c r="W3581" t="s">
        <v>42</v>
      </c>
      <c r="X3581" t="str">
        <f>"3180015"</f>
        <v>3180015</v>
      </c>
      <c r="Y3581" t="s">
        <v>1139</v>
      </c>
      <c r="Z3581" t="s">
        <v>1128</v>
      </c>
      <c r="AA3581" t="s">
        <v>1129</v>
      </c>
      <c r="AB3581" t="s">
        <v>1130</v>
      </c>
      <c r="AC3581" t="s">
        <v>51</v>
      </c>
      <c r="AD3581" t="s">
        <v>45</v>
      </c>
      <c r="AE3581" s="1">
        <v>25473</v>
      </c>
      <c r="AF3581">
        <v>2</v>
      </c>
      <c r="AG3581" t="s">
        <v>1129</v>
      </c>
      <c r="AH3581" s="36">
        <f t="shared" si="55"/>
        <v>49.955555555555556</v>
      </c>
      <c r="AI3581" s="41" t="s">
        <v>1780</v>
      </c>
    </row>
    <row r="3582" spans="1:35" x14ac:dyDescent="0.25">
      <c r="A3582" s="36">
        <v>99913580</v>
      </c>
      <c r="B3582" s="17" t="s">
        <v>32</v>
      </c>
      <c r="C3582" t="s">
        <v>46</v>
      </c>
      <c r="D3582" t="s">
        <v>47</v>
      </c>
      <c r="G3582" s="17" t="s">
        <v>48</v>
      </c>
      <c r="H3582" s="17">
        <v>1</v>
      </c>
      <c r="K3582" t="s">
        <v>345</v>
      </c>
      <c r="L3582" t="s">
        <v>346</v>
      </c>
      <c r="M3582" t="s">
        <v>131</v>
      </c>
      <c r="N3582">
        <v>18</v>
      </c>
      <c r="O3582" t="s">
        <v>40</v>
      </c>
      <c r="P3582" t="s">
        <v>40</v>
      </c>
      <c r="Q3582" t="s">
        <v>40</v>
      </c>
      <c r="S3582" t="s">
        <v>40</v>
      </c>
      <c r="V3582" t="s">
        <v>41</v>
      </c>
      <c r="W3582" t="s">
        <v>49</v>
      </c>
      <c r="X3582" t="str">
        <f>"0581605"</f>
        <v>0581605</v>
      </c>
      <c r="Y3582" t="s">
        <v>366</v>
      </c>
      <c r="Z3582" t="s">
        <v>345</v>
      </c>
      <c r="AA3582" t="s">
        <v>346</v>
      </c>
      <c r="AB3582" t="s">
        <v>131</v>
      </c>
      <c r="AC3582" t="s">
        <v>51</v>
      </c>
      <c r="AD3582" t="s">
        <v>45</v>
      </c>
      <c r="AE3582" s="1">
        <v>25472</v>
      </c>
      <c r="AF3582">
        <v>2</v>
      </c>
      <c r="AG3582" t="s">
        <v>346</v>
      </c>
      <c r="AH3582" s="36">
        <f t="shared" si="55"/>
        <v>49.958333333333336</v>
      </c>
      <c r="AI3582" s="41" t="s">
        <v>1780</v>
      </c>
    </row>
    <row r="3583" spans="1:35" x14ac:dyDescent="0.25">
      <c r="A3583" s="36">
        <v>99913581</v>
      </c>
      <c r="B3583" s="17" t="s">
        <v>32</v>
      </c>
      <c r="C3583" t="s">
        <v>111</v>
      </c>
      <c r="D3583" t="s">
        <v>112</v>
      </c>
      <c r="G3583" s="17" t="s">
        <v>48</v>
      </c>
      <c r="H3583" s="17">
        <v>1</v>
      </c>
      <c r="K3583" t="s">
        <v>985</v>
      </c>
      <c r="L3583" t="s">
        <v>986</v>
      </c>
      <c r="M3583" t="s">
        <v>938</v>
      </c>
      <c r="N3583">
        <v>23</v>
      </c>
      <c r="O3583" t="s">
        <v>40</v>
      </c>
      <c r="P3583" t="s">
        <v>40</v>
      </c>
      <c r="Q3583" t="s">
        <v>40</v>
      </c>
      <c r="S3583" t="s">
        <v>40</v>
      </c>
      <c r="V3583" t="s">
        <v>41</v>
      </c>
      <c r="W3583" t="s">
        <v>75</v>
      </c>
      <c r="X3583" t="str">
        <f>"7011000"</f>
        <v>7011000</v>
      </c>
      <c r="Y3583" t="s">
        <v>989</v>
      </c>
      <c r="Z3583" t="s">
        <v>985</v>
      </c>
      <c r="AA3583" t="s">
        <v>986</v>
      </c>
      <c r="AB3583" t="s">
        <v>938</v>
      </c>
      <c r="AC3583" t="s">
        <v>51</v>
      </c>
      <c r="AD3583" t="s">
        <v>45</v>
      </c>
      <c r="AE3583" s="1">
        <v>25472</v>
      </c>
      <c r="AF3583">
        <v>1</v>
      </c>
      <c r="AG3583" t="s">
        <v>986</v>
      </c>
      <c r="AH3583" s="36">
        <f t="shared" si="55"/>
        <v>49.958333333333336</v>
      </c>
      <c r="AI3583" s="41" t="s">
        <v>1780</v>
      </c>
    </row>
    <row r="3584" spans="1:35" x14ac:dyDescent="0.25">
      <c r="A3584" s="36">
        <v>99913582</v>
      </c>
      <c r="B3584" s="17" t="s">
        <v>56</v>
      </c>
      <c r="C3584" t="s">
        <v>46</v>
      </c>
      <c r="D3584" t="s">
        <v>47</v>
      </c>
      <c r="G3584" s="17" t="s">
        <v>48</v>
      </c>
      <c r="H3584" s="17">
        <v>1</v>
      </c>
      <c r="K3584" t="s">
        <v>936</v>
      </c>
      <c r="L3584" t="s">
        <v>937</v>
      </c>
      <c r="M3584" t="s">
        <v>938</v>
      </c>
      <c r="N3584">
        <v>10</v>
      </c>
      <c r="O3584" t="s">
        <v>40</v>
      </c>
      <c r="P3584" t="s">
        <v>40</v>
      </c>
      <c r="Q3584" t="s">
        <v>40</v>
      </c>
      <c r="R3584" t="s">
        <v>40</v>
      </c>
      <c r="S3584" t="s">
        <v>40</v>
      </c>
      <c r="V3584" t="s">
        <v>41</v>
      </c>
      <c r="W3584" t="s">
        <v>49</v>
      </c>
      <c r="X3584" t="str">
        <f>"0180017"</f>
        <v>0180017</v>
      </c>
      <c r="Y3584" t="s">
        <v>943</v>
      </c>
      <c r="Z3584" t="s">
        <v>936</v>
      </c>
      <c r="AA3584" t="s">
        <v>937</v>
      </c>
      <c r="AB3584" t="s">
        <v>938</v>
      </c>
      <c r="AC3584" t="s">
        <v>51</v>
      </c>
      <c r="AD3584" t="s">
        <v>45</v>
      </c>
      <c r="AE3584" s="1">
        <v>25470</v>
      </c>
      <c r="AF3584">
        <v>2</v>
      </c>
      <c r="AG3584" t="s">
        <v>937</v>
      </c>
      <c r="AH3584" s="36">
        <f t="shared" si="55"/>
        <v>49.963888888888889</v>
      </c>
      <c r="AI3584" s="41" t="s">
        <v>1780</v>
      </c>
    </row>
    <row r="3585" spans="1:35" x14ac:dyDescent="0.25">
      <c r="A3585" s="36">
        <v>99913583</v>
      </c>
      <c r="B3585" s="17" t="s">
        <v>32</v>
      </c>
      <c r="C3585" t="s">
        <v>61</v>
      </c>
      <c r="D3585" t="s">
        <v>62</v>
      </c>
      <c r="E3585" t="s">
        <v>52</v>
      </c>
      <c r="F3585" t="s">
        <v>53</v>
      </c>
      <c r="G3585" s="17" t="s">
        <v>48</v>
      </c>
      <c r="H3585" s="17">
        <v>1</v>
      </c>
      <c r="K3585" t="s">
        <v>195</v>
      </c>
      <c r="L3585" t="s">
        <v>196</v>
      </c>
      <c r="M3585" t="s">
        <v>131</v>
      </c>
      <c r="N3585">
        <v>19</v>
      </c>
      <c r="O3585" t="s">
        <v>40</v>
      </c>
      <c r="P3585" t="s">
        <v>40</v>
      </c>
      <c r="Q3585" t="s">
        <v>40</v>
      </c>
      <c r="R3585" t="s">
        <v>40</v>
      </c>
      <c r="S3585" t="s">
        <v>40</v>
      </c>
      <c r="V3585" t="s">
        <v>41</v>
      </c>
      <c r="W3585" t="s">
        <v>75</v>
      </c>
      <c r="X3585" t="str">
        <f>"7521046"</f>
        <v>7521046</v>
      </c>
      <c r="Y3585" t="s">
        <v>436</v>
      </c>
      <c r="Z3585" t="s">
        <v>195</v>
      </c>
      <c r="AA3585" t="s">
        <v>196</v>
      </c>
      <c r="AB3585" t="s">
        <v>131</v>
      </c>
      <c r="AC3585" t="s">
        <v>51</v>
      </c>
      <c r="AD3585" t="s">
        <v>45</v>
      </c>
      <c r="AE3585" s="1">
        <v>25467</v>
      </c>
      <c r="AF3585">
        <v>1</v>
      </c>
      <c r="AG3585" t="s">
        <v>196</v>
      </c>
      <c r="AH3585" s="36">
        <f t="shared" si="55"/>
        <v>49.972222222222221</v>
      </c>
      <c r="AI3585" s="41" t="s">
        <v>1780</v>
      </c>
    </row>
    <row r="3586" spans="1:35" x14ac:dyDescent="0.25">
      <c r="A3586" s="36">
        <v>99913584</v>
      </c>
      <c r="B3586" s="17" t="s">
        <v>32</v>
      </c>
      <c r="C3586" t="s">
        <v>71</v>
      </c>
      <c r="D3586" t="s">
        <v>72</v>
      </c>
      <c r="G3586" s="17" t="s">
        <v>35</v>
      </c>
      <c r="H3586" s="17">
        <v>1</v>
      </c>
      <c r="I3586" t="s">
        <v>286</v>
      </c>
      <c r="J3586" s="1">
        <v>43344</v>
      </c>
      <c r="K3586" t="s">
        <v>268</v>
      </c>
      <c r="L3586" t="s">
        <v>269</v>
      </c>
      <c r="M3586" t="s">
        <v>131</v>
      </c>
      <c r="N3586">
        <v>23</v>
      </c>
      <c r="O3586" t="s">
        <v>40</v>
      </c>
      <c r="S3586" t="s">
        <v>40</v>
      </c>
      <c r="V3586" t="s">
        <v>41</v>
      </c>
      <c r="W3586" t="s">
        <v>75</v>
      </c>
      <c r="X3586" t="str">
        <f>"7052018"</f>
        <v>7052018</v>
      </c>
      <c r="Y3586" t="s">
        <v>577</v>
      </c>
      <c r="Z3586" t="s">
        <v>268</v>
      </c>
      <c r="AA3586" t="s">
        <v>269</v>
      </c>
      <c r="AB3586" t="s">
        <v>131</v>
      </c>
      <c r="AC3586" t="s">
        <v>51</v>
      </c>
      <c r="AD3586" t="s">
        <v>45</v>
      </c>
      <c r="AE3586" s="1">
        <v>25466</v>
      </c>
      <c r="AF3586">
        <v>1</v>
      </c>
      <c r="AG3586" t="s">
        <v>269</v>
      </c>
      <c r="AH3586" s="36">
        <f t="shared" ref="AH3586:AH3649" si="56">($AJ$1-AE3586)/360</f>
        <v>49.975000000000001</v>
      </c>
      <c r="AI3586" s="41" t="s">
        <v>1780</v>
      </c>
    </row>
    <row r="3587" spans="1:35" x14ac:dyDescent="0.25">
      <c r="A3587" s="36">
        <v>99913585</v>
      </c>
      <c r="B3587" s="17" t="s">
        <v>32</v>
      </c>
      <c r="C3587" t="s">
        <v>64</v>
      </c>
      <c r="D3587" t="s">
        <v>65</v>
      </c>
      <c r="G3587" s="17" t="s">
        <v>48</v>
      </c>
      <c r="H3587" s="17">
        <v>1</v>
      </c>
      <c r="K3587" t="s">
        <v>162</v>
      </c>
      <c r="L3587" t="s">
        <v>158</v>
      </c>
      <c r="M3587" t="s">
        <v>131</v>
      </c>
      <c r="N3587">
        <v>20</v>
      </c>
      <c r="O3587" t="s">
        <v>40</v>
      </c>
      <c r="P3587" t="s">
        <v>40</v>
      </c>
      <c r="Q3587" t="s">
        <v>40</v>
      </c>
      <c r="R3587" t="s">
        <v>40</v>
      </c>
      <c r="S3587" t="s">
        <v>40</v>
      </c>
      <c r="V3587" t="s">
        <v>41</v>
      </c>
      <c r="W3587" t="s">
        <v>49</v>
      </c>
      <c r="X3587" t="str">
        <f>"0581325"</f>
        <v>0581325</v>
      </c>
      <c r="Y3587" t="s">
        <v>169</v>
      </c>
      <c r="Z3587" t="s">
        <v>162</v>
      </c>
      <c r="AA3587" t="s">
        <v>158</v>
      </c>
      <c r="AB3587" t="s">
        <v>131</v>
      </c>
      <c r="AC3587" t="s">
        <v>165</v>
      </c>
      <c r="AD3587" t="s">
        <v>45</v>
      </c>
      <c r="AE3587" s="1">
        <v>25465</v>
      </c>
      <c r="AF3587">
        <v>2</v>
      </c>
      <c r="AG3587" t="s">
        <v>158</v>
      </c>
      <c r="AH3587" s="36">
        <f t="shared" si="56"/>
        <v>49.977777777777774</v>
      </c>
      <c r="AI3587" s="41" t="s">
        <v>1780</v>
      </c>
    </row>
    <row r="3588" spans="1:35" x14ac:dyDescent="0.25">
      <c r="A3588" s="36">
        <v>99913586</v>
      </c>
      <c r="B3588" s="17" t="s">
        <v>32</v>
      </c>
      <c r="C3588" t="s">
        <v>46</v>
      </c>
      <c r="D3588" t="s">
        <v>47</v>
      </c>
      <c r="G3588" s="17" t="s">
        <v>48</v>
      </c>
      <c r="H3588" s="17">
        <v>1</v>
      </c>
      <c r="K3588" t="s">
        <v>380</v>
      </c>
      <c r="L3588" t="s">
        <v>381</v>
      </c>
      <c r="M3588" t="s">
        <v>131</v>
      </c>
      <c r="N3588">
        <v>23</v>
      </c>
      <c r="O3588" t="s">
        <v>40</v>
      </c>
      <c r="P3588" t="s">
        <v>40</v>
      </c>
      <c r="Q3588" t="s">
        <v>40</v>
      </c>
      <c r="R3588" t="s">
        <v>40</v>
      </c>
      <c r="S3588" t="s">
        <v>40</v>
      </c>
      <c r="V3588" t="s">
        <v>41</v>
      </c>
      <c r="W3588" t="s">
        <v>42</v>
      </c>
      <c r="X3588" t="str">
        <f>"0561010"</f>
        <v>0561010</v>
      </c>
      <c r="Y3588" t="s">
        <v>387</v>
      </c>
      <c r="Z3588" t="s">
        <v>380</v>
      </c>
      <c r="AA3588" t="s">
        <v>381</v>
      </c>
      <c r="AB3588" t="s">
        <v>131</v>
      </c>
      <c r="AC3588" t="s">
        <v>51</v>
      </c>
      <c r="AD3588" t="s">
        <v>45</v>
      </c>
      <c r="AE3588" s="1">
        <v>25459</v>
      </c>
      <c r="AF3588">
        <v>2</v>
      </c>
      <c r="AG3588" t="s">
        <v>381</v>
      </c>
      <c r="AH3588" s="36">
        <f t="shared" si="56"/>
        <v>49.994444444444447</v>
      </c>
      <c r="AI3588" s="41" t="s">
        <v>1780</v>
      </c>
    </row>
    <row r="3589" spans="1:35" x14ac:dyDescent="0.25">
      <c r="A3589" s="36">
        <v>99913587</v>
      </c>
      <c r="B3589" s="17" t="s">
        <v>32</v>
      </c>
      <c r="C3589" t="s">
        <v>90</v>
      </c>
      <c r="D3589" t="s">
        <v>91</v>
      </c>
      <c r="G3589" s="17" t="s">
        <v>48</v>
      </c>
      <c r="H3589" s="17">
        <v>5</v>
      </c>
      <c r="K3589" t="s">
        <v>1221</v>
      </c>
      <c r="L3589" t="s">
        <v>1222</v>
      </c>
      <c r="M3589" t="s">
        <v>1130</v>
      </c>
      <c r="N3589">
        <v>25</v>
      </c>
      <c r="O3589" t="s">
        <v>40</v>
      </c>
      <c r="P3589" t="s">
        <v>40</v>
      </c>
      <c r="Q3589" t="s">
        <v>40</v>
      </c>
      <c r="R3589" t="s">
        <v>40</v>
      </c>
      <c r="S3589" t="s">
        <v>40</v>
      </c>
      <c r="V3589" t="s">
        <v>41</v>
      </c>
      <c r="W3589" t="s">
        <v>95</v>
      </c>
      <c r="X3589" t="str">
        <f>"7351001"</f>
        <v>7351001</v>
      </c>
      <c r="Y3589" t="s">
        <v>1235</v>
      </c>
      <c r="Z3589" t="s">
        <v>1221</v>
      </c>
      <c r="AA3589" t="s">
        <v>1222</v>
      </c>
      <c r="AB3589" t="s">
        <v>1130</v>
      </c>
      <c r="AC3589" t="s">
        <v>51</v>
      </c>
      <c r="AD3589" t="s">
        <v>45</v>
      </c>
      <c r="AE3589" s="1">
        <v>25456</v>
      </c>
      <c r="AF3589">
        <v>1</v>
      </c>
      <c r="AG3589" t="s">
        <v>1222</v>
      </c>
      <c r="AH3589" s="36">
        <f t="shared" si="56"/>
        <v>50.00277777777778</v>
      </c>
      <c r="AI3589" s="41" t="s">
        <v>1780</v>
      </c>
    </row>
    <row r="3590" spans="1:35" x14ac:dyDescent="0.25">
      <c r="A3590" s="36">
        <v>99913588</v>
      </c>
      <c r="B3590" s="17" t="s">
        <v>32</v>
      </c>
      <c r="C3590" t="s">
        <v>111</v>
      </c>
      <c r="D3590" t="s">
        <v>112</v>
      </c>
      <c r="G3590" s="17" t="s">
        <v>48</v>
      </c>
      <c r="H3590" s="17">
        <v>1</v>
      </c>
      <c r="K3590" t="s">
        <v>154</v>
      </c>
      <c r="L3590" t="s">
        <v>155</v>
      </c>
      <c r="M3590" t="s">
        <v>131</v>
      </c>
      <c r="N3590">
        <v>21</v>
      </c>
      <c r="O3590" t="s">
        <v>40</v>
      </c>
      <c r="P3590" t="s">
        <v>40</v>
      </c>
      <c r="Q3590" t="s">
        <v>40</v>
      </c>
      <c r="S3590" t="s">
        <v>40</v>
      </c>
      <c r="V3590" t="s">
        <v>41</v>
      </c>
      <c r="W3590" t="s">
        <v>75</v>
      </c>
      <c r="X3590" t="str">
        <f>"7051022"</f>
        <v>7051022</v>
      </c>
      <c r="Y3590" t="s">
        <v>153</v>
      </c>
      <c r="Z3590" t="s">
        <v>154</v>
      </c>
      <c r="AA3590" t="s">
        <v>155</v>
      </c>
      <c r="AB3590" t="s">
        <v>131</v>
      </c>
      <c r="AC3590" t="s">
        <v>51</v>
      </c>
      <c r="AD3590" t="s">
        <v>45</v>
      </c>
      <c r="AE3590" s="1">
        <v>25452</v>
      </c>
      <c r="AF3590">
        <v>1</v>
      </c>
      <c r="AG3590" t="s">
        <v>155</v>
      </c>
      <c r="AH3590" s="36">
        <f t="shared" si="56"/>
        <v>50.013888888888886</v>
      </c>
      <c r="AI3590" s="41" t="s">
        <v>1780</v>
      </c>
    </row>
    <row r="3591" spans="1:35" x14ac:dyDescent="0.25">
      <c r="A3591" s="36">
        <v>99913589</v>
      </c>
      <c r="B3591" s="17" t="s">
        <v>32</v>
      </c>
      <c r="C3591" t="s">
        <v>46</v>
      </c>
      <c r="D3591" t="s">
        <v>47</v>
      </c>
      <c r="G3591" s="17" t="s">
        <v>35</v>
      </c>
      <c r="H3591" s="17">
        <v>1</v>
      </c>
      <c r="I3591">
        <v>0</v>
      </c>
      <c r="J3591" s="1">
        <v>43344</v>
      </c>
      <c r="K3591" t="s">
        <v>223</v>
      </c>
      <c r="L3591" t="s">
        <v>224</v>
      </c>
      <c r="M3591" t="s">
        <v>131</v>
      </c>
      <c r="N3591">
        <v>20</v>
      </c>
      <c r="O3591" t="s">
        <v>40</v>
      </c>
      <c r="S3591" t="s">
        <v>40</v>
      </c>
      <c r="U3591" s="1">
        <v>43344</v>
      </c>
      <c r="V3591" t="s">
        <v>41</v>
      </c>
      <c r="W3591" t="s">
        <v>42</v>
      </c>
      <c r="X3591" t="str">
        <f>"0580206"</f>
        <v>0580206</v>
      </c>
      <c r="Y3591" t="s">
        <v>237</v>
      </c>
      <c r="Z3591" t="s">
        <v>223</v>
      </c>
      <c r="AA3591" t="s">
        <v>224</v>
      </c>
      <c r="AB3591" t="s">
        <v>131</v>
      </c>
      <c r="AC3591" t="s">
        <v>51</v>
      </c>
      <c r="AD3591" t="s">
        <v>45</v>
      </c>
      <c r="AE3591" s="1">
        <v>25449</v>
      </c>
      <c r="AF3591">
        <v>2</v>
      </c>
      <c r="AG3591" t="s">
        <v>224</v>
      </c>
      <c r="AH3591" s="36">
        <f t="shared" si="56"/>
        <v>50.022222222222226</v>
      </c>
      <c r="AI3591" s="41" t="s">
        <v>1780</v>
      </c>
    </row>
    <row r="3592" spans="1:35" x14ac:dyDescent="0.25">
      <c r="A3592" s="36">
        <v>99913590</v>
      </c>
      <c r="B3592" s="17" t="s">
        <v>56</v>
      </c>
      <c r="C3592" t="s">
        <v>46</v>
      </c>
      <c r="D3592" t="s">
        <v>47</v>
      </c>
      <c r="G3592" s="17" t="s">
        <v>48</v>
      </c>
      <c r="H3592" s="17">
        <v>1</v>
      </c>
      <c r="K3592" t="s">
        <v>1051</v>
      </c>
      <c r="L3592" t="s">
        <v>1052</v>
      </c>
      <c r="M3592" t="s">
        <v>1053</v>
      </c>
      <c r="N3592">
        <v>24</v>
      </c>
      <c r="O3592" t="s">
        <v>40</v>
      </c>
      <c r="P3592" t="s">
        <v>40</v>
      </c>
      <c r="Q3592" t="s">
        <v>40</v>
      </c>
      <c r="R3592" t="s">
        <v>40</v>
      </c>
      <c r="S3592" t="s">
        <v>40</v>
      </c>
      <c r="V3592" t="s">
        <v>41</v>
      </c>
      <c r="W3592" t="s">
        <v>42</v>
      </c>
      <c r="X3592" t="str">
        <f>"2061001"</f>
        <v>2061001</v>
      </c>
      <c r="Y3592" t="s">
        <v>1058</v>
      </c>
      <c r="Z3592" t="s">
        <v>1051</v>
      </c>
      <c r="AA3592" t="s">
        <v>1052</v>
      </c>
      <c r="AB3592" t="s">
        <v>1053</v>
      </c>
      <c r="AC3592" t="s">
        <v>51</v>
      </c>
      <c r="AD3592" t="s">
        <v>45</v>
      </c>
      <c r="AE3592" s="1">
        <v>25449</v>
      </c>
      <c r="AF3592">
        <v>2</v>
      </c>
      <c r="AG3592" t="s">
        <v>1052</v>
      </c>
      <c r="AH3592" s="36">
        <f t="shared" si="56"/>
        <v>50.022222222222226</v>
      </c>
      <c r="AI3592" s="41" t="s">
        <v>1780</v>
      </c>
    </row>
    <row r="3593" spans="1:35" x14ac:dyDescent="0.25">
      <c r="A3593" s="36">
        <v>99913591</v>
      </c>
      <c r="B3593" s="17" t="s">
        <v>32</v>
      </c>
      <c r="C3593" t="s">
        <v>46</v>
      </c>
      <c r="D3593" t="s">
        <v>47</v>
      </c>
      <c r="G3593" s="17" t="s">
        <v>48</v>
      </c>
      <c r="H3593" s="17">
        <v>1</v>
      </c>
      <c r="K3593" t="s">
        <v>380</v>
      </c>
      <c r="L3593" t="s">
        <v>381</v>
      </c>
      <c r="M3593" t="s">
        <v>131</v>
      </c>
      <c r="N3593">
        <v>18</v>
      </c>
      <c r="O3593" t="s">
        <v>40</v>
      </c>
      <c r="P3593" t="s">
        <v>40</v>
      </c>
      <c r="Q3593" t="s">
        <v>40</v>
      </c>
      <c r="S3593" t="s">
        <v>40</v>
      </c>
      <c r="V3593" t="s">
        <v>41</v>
      </c>
      <c r="W3593" t="s">
        <v>42</v>
      </c>
      <c r="X3593" t="str">
        <f>"0590909"</f>
        <v>0590909</v>
      </c>
      <c r="Y3593" t="s">
        <v>388</v>
      </c>
      <c r="Z3593" t="s">
        <v>380</v>
      </c>
      <c r="AA3593" t="s">
        <v>381</v>
      </c>
      <c r="AB3593" t="s">
        <v>131</v>
      </c>
      <c r="AC3593" t="s">
        <v>51</v>
      </c>
      <c r="AD3593" t="s">
        <v>45</v>
      </c>
      <c r="AE3593" s="1">
        <v>25447</v>
      </c>
      <c r="AF3593">
        <v>2</v>
      </c>
      <c r="AG3593" t="s">
        <v>381</v>
      </c>
      <c r="AH3593" s="36">
        <f t="shared" si="56"/>
        <v>50.027777777777779</v>
      </c>
      <c r="AI3593" s="41" t="s">
        <v>1780</v>
      </c>
    </row>
    <row r="3594" spans="1:35" x14ac:dyDescent="0.25">
      <c r="A3594" s="36">
        <v>99913592</v>
      </c>
      <c r="B3594" s="17" t="s">
        <v>32</v>
      </c>
      <c r="C3594" t="s">
        <v>111</v>
      </c>
      <c r="D3594" t="s">
        <v>112</v>
      </c>
      <c r="G3594" s="17" t="s">
        <v>48</v>
      </c>
      <c r="H3594" s="17">
        <v>13</v>
      </c>
      <c r="K3594" t="s">
        <v>195</v>
      </c>
      <c r="L3594" t="s">
        <v>196</v>
      </c>
      <c r="M3594" t="s">
        <v>131</v>
      </c>
      <c r="N3594">
        <v>21</v>
      </c>
      <c r="O3594" t="s">
        <v>40</v>
      </c>
      <c r="P3594" t="s">
        <v>40</v>
      </c>
      <c r="Q3594" t="s">
        <v>40</v>
      </c>
      <c r="R3594" t="s">
        <v>40</v>
      </c>
      <c r="S3594" t="s">
        <v>40</v>
      </c>
      <c r="U3594" s="1">
        <v>37454</v>
      </c>
      <c r="V3594" t="s">
        <v>41</v>
      </c>
      <c r="W3594" t="s">
        <v>75</v>
      </c>
      <c r="X3594" t="str">
        <f>"7521044"</f>
        <v>7521044</v>
      </c>
      <c r="Y3594" t="s">
        <v>453</v>
      </c>
      <c r="Z3594" t="s">
        <v>195</v>
      </c>
      <c r="AA3594" t="s">
        <v>196</v>
      </c>
      <c r="AB3594" t="s">
        <v>131</v>
      </c>
      <c r="AC3594" t="s">
        <v>165</v>
      </c>
      <c r="AD3594" t="s">
        <v>45</v>
      </c>
      <c r="AE3594" s="1">
        <v>25445</v>
      </c>
      <c r="AF3594">
        <v>1</v>
      </c>
      <c r="AG3594" t="s">
        <v>196</v>
      </c>
      <c r="AH3594" s="36">
        <f t="shared" si="56"/>
        <v>50.033333333333331</v>
      </c>
      <c r="AI3594" s="41" t="s">
        <v>1780</v>
      </c>
    </row>
    <row r="3595" spans="1:35" x14ac:dyDescent="0.25">
      <c r="A3595" s="36">
        <v>99913593</v>
      </c>
      <c r="B3595" s="17" t="s">
        <v>32</v>
      </c>
      <c r="C3595" t="s">
        <v>64</v>
      </c>
      <c r="D3595" t="s">
        <v>65</v>
      </c>
      <c r="G3595" s="17" t="s">
        <v>48</v>
      </c>
      <c r="H3595" s="17">
        <v>11</v>
      </c>
      <c r="K3595" t="s">
        <v>195</v>
      </c>
      <c r="L3595" t="s">
        <v>196</v>
      </c>
      <c r="M3595" t="s">
        <v>131</v>
      </c>
      <c r="N3595">
        <v>21</v>
      </c>
      <c r="O3595" t="s">
        <v>40</v>
      </c>
      <c r="P3595" t="s">
        <v>40</v>
      </c>
      <c r="Q3595" t="s">
        <v>40</v>
      </c>
      <c r="R3595" t="s">
        <v>40</v>
      </c>
      <c r="S3595" t="s">
        <v>40</v>
      </c>
      <c r="U3595" s="1">
        <v>37865</v>
      </c>
      <c r="V3595" t="s">
        <v>41</v>
      </c>
      <c r="W3595" t="s">
        <v>75</v>
      </c>
      <c r="X3595" t="str">
        <f>"7521046"</f>
        <v>7521046</v>
      </c>
      <c r="Y3595" t="s">
        <v>436</v>
      </c>
      <c r="Z3595" t="s">
        <v>195</v>
      </c>
      <c r="AA3595" t="s">
        <v>196</v>
      </c>
      <c r="AB3595" t="s">
        <v>131</v>
      </c>
      <c r="AC3595" t="s">
        <v>51</v>
      </c>
      <c r="AD3595" t="s">
        <v>45</v>
      </c>
      <c r="AE3595" s="1">
        <v>25445</v>
      </c>
      <c r="AF3595">
        <v>1</v>
      </c>
      <c r="AG3595" t="s">
        <v>196</v>
      </c>
      <c r="AH3595" s="36">
        <f t="shared" si="56"/>
        <v>50.033333333333331</v>
      </c>
      <c r="AI3595" s="41" t="s">
        <v>1780</v>
      </c>
    </row>
    <row r="3596" spans="1:35" x14ac:dyDescent="0.25">
      <c r="A3596" s="36">
        <v>99913594</v>
      </c>
      <c r="B3596" s="17" t="s">
        <v>32</v>
      </c>
      <c r="C3596" t="s">
        <v>68</v>
      </c>
      <c r="D3596" t="s">
        <v>69</v>
      </c>
      <c r="G3596" s="17" t="s">
        <v>48</v>
      </c>
      <c r="H3596" s="17">
        <v>1</v>
      </c>
      <c r="K3596" t="s">
        <v>223</v>
      </c>
      <c r="L3596" t="s">
        <v>224</v>
      </c>
      <c r="M3596" t="s">
        <v>131</v>
      </c>
      <c r="N3596">
        <v>18</v>
      </c>
      <c r="O3596" t="s">
        <v>40</v>
      </c>
      <c r="P3596" t="s">
        <v>40</v>
      </c>
      <c r="Q3596" t="s">
        <v>40</v>
      </c>
      <c r="R3596" t="s">
        <v>40</v>
      </c>
      <c r="S3596" t="s">
        <v>40</v>
      </c>
      <c r="V3596" t="s">
        <v>41</v>
      </c>
      <c r="W3596" t="s">
        <v>49</v>
      </c>
      <c r="X3596" t="str">
        <f>"0581200"</f>
        <v>0581200</v>
      </c>
      <c r="Y3596" t="s">
        <v>238</v>
      </c>
      <c r="Z3596" t="s">
        <v>223</v>
      </c>
      <c r="AA3596" t="s">
        <v>224</v>
      </c>
      <c r="AB3596" t="s">
        <v>131</v>
      </c>
      <c r="AC3596" t="s">
        <v>51</v>
      </c>
      <c r="AD3596" t="s">
        <v>45</v>
      </c>
      <c r="AE3596" s="1">
        <v>25444</v>
      </c>
      <c r="AF3596">
        <v>2</v>
      </c>
      <c r="AG3596" t="s">
        <v>224</v>
      </c>
      <c r="AH3596" s="36">
        <f t="shared" si="56"/>
        <v>50.036111111111111</v>
      </c>
      <c r="AI3596" s="41" t="s">
        <v>1780</v>
      </c>
    </row>
    <row r="3597" spans="1:35" x14ac:dyDescent="0.25">
      <c r="A3597" s="36">
        <v>99913595</v>
      </c>
      <c r="B3597" s="17" t="s">
        <v>56</v>
      </c>
      <c r="C3597" t="s">
        <v>79</v>
      </c>
      <c r="D3597" t="s">
        <v>80</v>
      </c>
      <c r="G3597" s="17" t="s">
        <v>35</v>
      </c>
      <c r="H3597" s="17">
        <v>1</v>
      </c>
      <c r="K3597" t="s">
        <v>162</v>
      </c>
      <c r="L3597" t="s">
        <v>158</v>
      </c>
      <c r="M3597" t="s">
        <v>131</v>
      </c>
      <c r="N3597">
        <v>7</v>
      </c>
      <c r="O3597" t="s">
        <v>40</v>
      </c>
      <c r="P3597" t="s">
        <v>40</v>
      </c>
      <c r="Q3597" t="s">
        <v>40</v>
      </c>
      <c r="S3597" t="s">
        <v>40</v>
      </c>
      <c r="V3597" t="s">
        <v>41</v>
      </c>
      <c r="W3597" t="s">
        <v>42</v>
      </c>
      <c r="X3597" t="str">
        <f>"0580330"</f>
        <v>0580330</v>
      </c>
      <c r="Y3597" t="s">
        <v>176</v>
      </c>
      <c r="Z3597" t="s">
        <v>162</v>
      </c>
      <c r="AA3597" t="s">
        <v>158</v>
      </c>
      <c r="AB3597" t="s">
        <v>131</v>
      </c>
      <c r="AC3597" t="s">
        <v>51</v>
      </c>
      <c r="AD3597" t="s">
        <v>45</v>
      </c>
      <c r="AE3597" s="1">
        <v>25443</v>
      </c>
      <c r="AF3597">
        <v>2</v>
      </c>
      <c r="AG3597" t="s">
        <v>158</v>
      </c>
      <c r="AH3597" s="36">
        <f t="shared" si="56"/>
        <v>50.038888888888891</v>
      </c>
      <c r="AI3597" s="41" t="s">
        <v>1780</v>
      </c>
    </row>
    <row r="3598" spans="1:35" x14ac:dyDescent="0.25">
      <c r="A3598" s="36">
        <v>99913596</v>
      </c>
      <c r="B3598" s="17" t="s">
        <v>56</v>
      </c>
      <c r="C3598" t="s">
        <v>46</v>
      </c>
      <c r="D3598" t="s">
        <v>47</v>
      </c>
      <c r="G3598" s="17" t="s">
        <v>48</v>
      </c>
      <c r="H3598" s="17">
        <v>1</v>
      </c>
      <c r="K3598" t="s">
        <v>300</v>
      </c>
      <c r="L3598" t="s">
        <v>301</v>
      </c>
      <c r="M3598" t="s">
        <v>131</v>
      </c>
      <c r="N3598">
        <v>21</v>
      </c>
      <c r="O3598" t="s">
        <v>40</v>
      </c>
      <c r="P3598" t="s">
        <v>40</v>
      </c>
      <c r="Q3598" t="s">
        <v>40</v>
      </c>
      <c r="R3598" t="s">
        <v>40</v>
      </c>
      <c r="S3598" t="s">
        <v>40</v>
      </c>
      <c r="V3598" t="s">
        <v>41</v>
      </c>
      <c r="W3598" t="s">
        <v>42</v>
      </c>
      <c r="X3598" t="str">
        <f>"0580106"</f>
        <v>0580106</v>
      </c>
      <c r="Y3598" t="s">
        <v>306</v>
      </c>
      <c r="Z3598" t="s">
        <v>300</v>
      </c>
      <c r="AA3598" t="s">
        <v>301</v>
      </c>
      <c r="AB3598" t="s">
        <v>131</v>
      </c>
      <c r="AC3598" t="s">
        <v>51</v>
      </c>
      <c r="AD3598" t="s">
        <v>45</v>
      </c>
      <c r="AE3598" s="1">
        <v>25442</v>
      </c>
      <c r="AF3598">
        <v>2</v>
      </c>
      <c r="AG3598" t="s">
        <v>301</v>
      </c>
      <c r="AH3598" s="36">
        <f t="shared" si="56"/>
        <v>50.041666666666664</v>
      </c>
      <c r="AI3598" s="41" t="s">
        <v>1780</v>
      </c>
    </row>
    <row r="3599" spans="1:35" x14ac:dyDescent="0.25">
      <c r="A3599" s="36">
        <v>99913597</v>
      </c>
      <c r="B3599" s="17" t="s">
        <v>32</v>
      </c>
      <c r="C3599" t="s">
        <v>46</v>
      </c>
      <c r="D3599" t="s">
        <v>47</v>
      </c>
      <c r="G3599" s="17" t="s">
        <v>48</v>
      </c>
      <c r="H3599" s="17">
        <v>1</v>
      </c>
      <c r="K3599" t="s">
        <v>345</v>
      </c>
      <c r="L3599" t="s">
        <v>346</v>
      </c>
      <c r="M3599" t="s">
        <v>131</v>
      </c>
      <c r="N3599">
        <v>18</v>
      </c>
      <c r="O3599" t="s">
        <v>40</v>
      </c>
      <c r="P3599" t="s">
        <v>40</v>
      </c>
      <c r="Q3599" t="s">
        <v>40</v>
      </c>
      <c r="R3599" t="s">
        <v>40</v>
      </c>
      <c r="S3599" t="s">
        <v>40</v>
      </c>
      <c r="V3599" t="s">
        <v>41</v>
      </c>
      <c r="W3599" t="s">
        <v>42</v>
      </c>
      <c r="X3599" t="str">
        <f>"0580650"</f>
        <v>0580650</v>
      </c>
      <c r="Y3599" t="s">
        <v>356</v>
      </c>
      <c r="Z3599" t="s">
        <v>345</v>
      </c>
      <c r="AA3599" t="s">
        <v>346</v>
      </c>
      <c r="AB3599" t="s">
        <v>131</v>
      </c>
      <c r="AC3599" t="s">
        <v>51</v>
      </c>
      <c r="AD3599" t="s">
        <v>45</v>
      </c>
      <c r="AE3599" s="1">
        <v>25441</v>
      </c>
      <c r="AF3599">
        <v>2</v>
      </c>
      <c r="AG3599" t="s">
        <v>346</v>
      </c>
      <c r="AH3599" s="36">
        <f t="shared" si="56"/>
        <v>50.044444444444444</v>
      </c>
      <c r="AI3599" s="41" t="s">
        <v>1780</v>
      </c>
    </row>
    <row r="3600" spans="1:35" x14ac:dyDescent="0.25">
      <c r="A3600" s="36">
        <v>99913598</v>
      </c>
      <c r="B3600" s="17" t="s">
        <v>56</v>
      </c>
      <c r="C3600" t="s">
        <v>111</v>
      </c>
      <c r="D3600" t="s">
        <v>112</v>
      </c>
      <c r="G3600" s="17" t="s">
        <v>48</v>
      </c>
      <c r="H3600" s="17">
        <v>9</v>
      </c>
      <c r="K3600" t="s">
        <v>354</v>
      </c>
      <c r="L3600" t="s">
        <v>355</v>
      </c>
      <c r="M3600" t="s">
        <v>131</v>
      </c>
      <c r="N3600">
        <v>22</v>
      </c>
      <c r="O3600" t="s">
        <v>40</v>
      </c>
      <c r="P3600" t="s">
        <v>40</v>
      </c>
      <c r="Q3600" t="s">
        <v>40</v>
      </c>
      <c r="R3600" t="s">
        <v>40</v>
      </c>
      <c r="S3600" t="s">
        <v>40</v>
      </c>
      <c r="V3600" t="s">
        <v>41</v>
      </c>
      <c r="W3600" t="s">
        <v>75</v>
      </c>
      <c r="X3600" t="str">
        <f>"7054020"</f>
        <v>7054020</v>
      </c>
      <c r="Y3600" t="s">
        <v>765</v>
      </c>
      <c r="Z3600" t="s">
        <v>354</v>
      </c>
      <c r="AA3600" t="s">
        <v>355</v>
      </c>
      <c r="AB3600" t="s">
        <v>131</v>
      </c>
      <c r="AC3600" t="s">
        <v>51</v>
      </c>
      <c r="AD3600" t="s">
        <v>45</v>
      </c>
      <c r="AE3600" s="1">
        <v>25441</v>
      </c>
      <c r="AF3600">
        <v>1</v>
      </c>
      <c r="AG3600" t="s">
        <v>355</v>
      </c>
      <c r="AH3600" s="36">
        <f t="shared" si="56"/>
        <v>50.044444444444444</v>
      </c>
      <c r="AI3600" s="41" t="s">
        <v>1780</v>
      </c>
    </row>
    <row r="3601" spans="1:35" x14ac:dyDescent="0.25">
      <c r="A3601" s="36">
        <v>99913599</v>
      </c>
      <c r="B3601" s="17" t="s">
        <v>56</v>
      </c>
      <c r="C3601" t="s">
        <v>85</v>
      </c>
      <c r="D3601" t="s">
        <v>86</v>
      </c>
      <c r="G3601" s="17" t="s">
        <v>35</v>
      </c>
      <c r="H3601" s="17">
        <v>1</v>
      </c>
      <c r="K3601" t="s">
        <v>223</v>
      </c>
      <c r="L3601" t="s">
        <v>224</v>
      </c>
      <c r="M3601" t="s">
        <v>131</v>
      </c>
      <c r="N3601">
        <v>20</v>
      </c>
      <c r="O3601" t="s">
        <v>40</v>
      </c>
      <c r="P3601" t="s">
        <v>40</v>
      </c>
      <c r="Q3601" t="s">
        <v>40</v>
      </c>
      <c r="S3601" t="s">
        <v>40</v>
      </c>
      <c r="V3601" t="s">
        <v>41</v>
      </c>
      <c r="W3601" t="s">
        <v>49</v>
      </c>
      <c r="X3601" t="str">
        <f>"0560018"</f>
        <v>0560018</v>
      </c>
      <c r="Y3601" t="s">
        <v>234</v>
      </c>
      <c r="Z3601" t="s">
        <v>223</v>
      </c>
      <c r="AA3601" t="s">
        <v>224</v>
      </c>
      <c r="AB3601" t="s">
        <v>131</v>
      </c>
      <c r="AC3601" t="s">
        <v>51</v>
      </c>
      <c r="AD3601" t="s">
        <v>45</v>
      </c>
      <c r="AE3601" s="1">
        <v>25440</v>
      </c>
      <c r="AF3601">
        <v>2</v>
      </c>
      <c r="AG3601" t="s">
        <v>224</v>
      </c>
      <c r="AH3601" s="36">
        <f t="shared" si="56"/>
        <v>50.047222222222224</v>
      </c>
      <c r="AI3601" s="41" t="s">
        <v>1780</v>
      </c>
    </row>
    <row r="3602" spans="1:35" x14ac:dyDescent="0.25">
      <c r="A3602" s="36">
        <v>99913600</v>
      </c>
      <c r="B3602" s="17" t="s">
        <v>32</v>
      </c>
      <c r="C3602" t="s">
        <v>64</v>
      </c>
      <c r="D3602" t="s">
        <v>65</v>
      </c>
      <c r="G3602" s="17" t="s">
        <v>35</v>
      </c>
      <c r="H3602" s="17">
        <v>1</v>
      </c>
      <c r="I3602" s="1">
        <v>42614</v>
      </c>
      <c r="J3602" s="1">
        <v>43344</v>
      </c>
      <c r="K3602" t="s">
        <v>1341</v>
      </c>
      <c r="L3602" t="s">
        <v>1342</v>
      </c>
      <c r="M3602" t="s">
        <v>1270</v>
      </c>
      <c r="N3602">
        <v>24</v>
      </c>
      <c r="O3602" t="s">
        <v>40</v>
      </c>
      <c r="S3602" t="s">
        <v>40</v>
      </c>
      <c r="U3602" s="1">
        <v>43344</v>
      </c>
      <c r="V3602" t="s">
        <v>41</v>
      </c>
      <c r="W3602" t="s">
        <v>75</v>
      </c>
      <c r="X3602" t="str">
        <f>"7191034"</f>
        <v>7191034</v>
      </c>
      <c r="Y3602" t="s">
        <v>1343</v>
      </c>
      <c r="Z3602" t="s">
        <v>1341</v>
      </c>
      <c r="AA3602" t="s">
        <v>1342</v>
      </c>
      <c r="AB3602" t="s">
        <v>1270</v>
      </c>
      <c r="AC3602" t="s">
        <v>51</v>
      </c>
      <c r="AD3602" t="s">
        <v>45</v>
      </c>
      <c r="AE3602" s="1">
        <v>25440</v>
      </c>
      <c r="AF3602">
        <v>1</v>
      </c>
      <c r="AG3602" t="s">
        <v>1342</v>
      </c>
      <c r="AH3602" s="36">
        <f t="shared" si="56"/>
        <v>50.047222222222224</v>
      </c>
      <c r="AI3602" s="41" t="s">
        <v>1780</v>
      </c>
    </row>
    <row r="3603" spans="1:35" x14ac:dyDescent="0.25">
      <c r="A3603" s="36">
        <v>99913601</v>
      </c>
      <c r="B3603" s="17" t="s">
        <v>32</v>
      </c>
      <c r="C3603" t="s">
        <v>46</v>
      </c>
      <c r="D3603" t="s">
        <v>47</v>
      </c>
      <c r="G3603" s="17" t="s">
        <v>35</v>
      </c>
      <c r="H3603" s="17">
        <v>1</v>
      </c>
      <c r="I3603" t="s">
        <v>218</v>
      </c>
      <c r="J3603" s="1">
        <v>43344</v>
      </c>
      <c r="K3603" t="s">
        <v>162</v>
      </c>
      <c r="L3603" t="s">
        <v>158</v>
      </c>
      <c r="M3603" t="s">
        <v>131</v>
      </c>
      <c r="N3603">
        <v>18</v>
      </c>
      <c r="O3603" t="s">
        <v>40</v>
      </c>
      <c r="S3603" t="s">
        <v>40</v>
      </c>
      <c r="U3603" s="1">
        <v>43344</v>
      </c>
      <c r="V3603" t="s">
        <v>41</v>
      </c>
      <c r="W3603" t="s">
        <v>42</v>
      </c>
      <c r="X3603" t="str">
        <f>"0580320"</f>
        <v>0580320</v>
      </c>
      <c r="Y3603" t="s">
        <v>164</v>
      </c>
      <c r="Z3603" t="s">
        <v>162</v>
      </c>
      <c r="AA3603" t="s">
        <v>158</v>
      </c>
      <c r="AB3603" t="s">
        <v>131</v>
      </c>
      <c r="AC3603" t="s">
        <v>165</v>
      </c>
      <c r="AD3603" t="s">
        <v>45</v>
      </c>
      <c r="AE3603" s="1">
        <v>25439</v>
      </c>
      <c r="AF3603">
        <v>2</v>
      </c>
      <c r="AG3603" t="s">
        <v>158</v>
      </c>
      <c r="AH3603" s="36">
        <f t="shared" si="56"/>
        <v>50.05</v>
      </c>
      <c r="AI3603" s="41" t="s">
        <v>1780</v>
      </c>
    </row>
    <row r="3604" spans="1:35" x14ac:dyDescent="0.25">
      <c r="A3604" s="36">
        <v>99913602</v>
      </c>
      <c r="B3604" s="17" t="s">
        <v>32</v>
      </c>
      <c r="C3604" t="s">
        <v>64</v>
      </c>
      <c r="D3604" t="s">
        <v>65</v>
      </c>
      <c r="G3604" s="17" t="s">
        <v>48</v>
      </c>
      <c r="H3604" s="17">
        <v>11</v>
      </c>
      <c r="I3604" t="s">
        <v>210</v>
      </c>
      <c r="J3604" s="1">
        <v>37500</v>
      </c>
      <c r="K3604" t="s">
        <v>431</v>
      </c>
      <c r="L3604" t="s">
        <v>196</v>
      </c>
      <c r="M3604" t="s">
        <v>131</v>
      </c>
      <c r="N3604">
        <v>23</v>
      </c>
      <c r="O3604" t="s">
        <v>40</v>
      </c>
      <c r="P3604" t="s">
        <v>40</v>
      </c>
      <c r="Q3604" t="s">
        <v>40</v>
      </c>
      <c r="R3604" t="s">
        <v>40</v>
      </c>
      <c r="S3604" t="s">
        <v>40</v>
      </c>
      <c r="U3604" s="1">
        <v>37500</v>
      </c>
      <c r="V3604" t="s">
        <v>41</v>
      </c>
      <c r="W3604" t="s">
        <v>75</v>
      </c>
      <c r="X3604" t="str">
        <f>"7521022"</f>
        <v>7521022</v>
      </c>
      <c r="Y3604" t="s">
        <v>445</v>
      </c>
      <c r="Z3604" t="s">
        <v>431</v>
      </c>
      <c r="AA3604" t="s">
        <v>196</v>
      </c>
      <c r="AB3604" t="s">
        <v>131</v>
      </c>
      <c r="AC3604" t="s">
        <v>51</v>
      </c>
      <c r="AD3604" t="s">
        <v>45</v>
      </c>
      <c r="AE3604" s="1">
        <v>25433</v>
      </c>
      <c r="AF3604">
        <v>1</v>
      </c>
      <c r="AG3604" t="s">
        <v>196</v>
      </c>
      <c r="AH3604" s="36">
        <f t="shared" si="56"/>
        <v>50.06666666666667</v>
      </c>
      <c r="AI3604" s="41" t="s">
        <v>1780</v>
      </c>
    </row>
    <row r="3605" spans="1:35" x14ac:dyDescent="0.25">
      <c r="A3605" s="36">
        <v>99913603</v>
      </c>
      <c r="B3605" s="17" t="s">
        <v>32</v>
      </c>
      <c r="C3605" t="s">
        <v>33</v>
      </c>
      <c r="D3605" t="s">
        <v>34</v>
      </c>
      <c r="G3605" s="17" t="s">
        <v>35</v>
      </c>
      <c r="H3605" s="17">
        <v>1</v>
      </c>
      <c r="K3605" t="s">
        <v>1626</v>
      </c>
      <c r="L3605" t="s">
        <v>1627</v>
      </c>
      <c r="M3605" t="s">
        <v>1592</v>
      </c>
      <c r="N3605">
        <v>21</v>
      </c>
      <c r="O3605" t="s">
        <v>40</v>
      </c>
      <c r="P3605" t="s">
        <v>40</v>
      </c>
      <c r="Q3605" t="s">
        <v>40</v>
      </c>
      <c r="R3605" t="s">
        <v>40</v>
      </c>
      <c r="S3605" t="s">
        <v>40</v>
      </c>
      <c r="V3605" t="s">
        <v>41</v>
      </c>
      <c r="W3605" t="s">
        <v>42</v>
      </c>
      <c r="X3605" t="str">
        <f>"3680015"</f>
        <v>3680015</v>
      </c>
      <c r="Y3605" t="s">
        <v>1628</v>
      </c>
      <c r="Z3605" t="s">
        <v>1626</v>
      </c>
      <c r="AA3605" t="s">
        <v>1627</v>
      </c>
      <c r="AB3605" t="s">
        <v>1592</v>
      </c>
      <c r="AC3605" t="s">
        <v>51</v>
      </c>
      <c r="AD3605" t="s">
        <v>45</v>
      </c>
      <c r="AE3605" s="1">
        <v>25432</v>
      </c>
      <c r="AF3605">
        <v>2</v>
      </c>
      <c r="AG3605" t="s">
        <v>1627</v>
      </c>
      <c r="AH3605" s="36">
        <f t="shared" si="56"/>
        <v>50.069444444444443</v>
      </c>
      <c r="AI3605" s="41" t="s">
        <v>1780</v>
      </c>
    </row>
    <row r="3606" spans="1:35" x14ac:dyDescent="0.25">
      <c r="A3606" s="36">
        <v>99913604</v>
      </c>
      <c r="B3606" s="17" t="s">
        <v>32</v>
      </c>
      <c r="C3606" t="s">
        <v>46</v>
      </c>
      <c r="D3606" t="s">
        <v>47</v>
      </c>
      <c r="G3606" s="17" t="s">
        <v>48</v>
      </c>
      <c r="H3606" s="17">
        <v>1</v>
      </c>
      <c r="K3606" t="s">
        <v>223</v>
      </c>
      <c r="L3606" t="s">
        <v>224</v>
      </c>
      <c r="M3606" t="s">
        <v>131</v>
      </c>
      <c r="N3606">
        <v>20</v>
      </c>
      <c r="O3606" t="s">
        <v>40</v>
      </c>
      <c r="P3606" t="s">
        <v>40</v>
      </c>
      <c r="Q3606" t="s">
        <v>40</v>
      </c>
      <c r="R3606" t="s">
        <v>40</v>
      </c>
      <c r="S3606" t="s">
        <v>40</v>
      </c>
      <c r="V3606" t="s">
        <v>41</v>
      </c>
      <c r="W3606" t="s">
        <v>42</v>
      </c>
      <c r="X3606" t="str">
        <f>"0580200"</f>
        <v>0580200</v>
      </c>
      <c r="Y3606" t="s">
        <v>245</v>
      </c>
      <c r="Z3606" t="s">
        <v>223</v>
      </c>
      <c r="AA3606" t="s">
        <v>224</v>
      </c>
      <c r="AB3606" t="s">
        <v>131</v>
      </c>
      <c r="AC3606" t="s">
        <v>51</v>
      </c>
      <c r="AD3606" t="s">
        <v>45</v>
      </c>
      <c r="AE3606" s="1">
        <v>25429</v>
      </c>
      <c r="AF3606">
        <v>2</v>
      </c>
      <c r="AG3606" t="s">
        <v>224</v>
      </c>
      <c r="AH3606" s="36">
        <f t="shared" si="56"/>
        <v>50.077777777777776</v>
      </c>
      <c r="AI3606" s="41" t="s">
        <v>1780</v>
      </c>
    </row>
    <row r="3607" spans="1:35" x14ac:dyDescent="0.25">
      <c r="A3607" s="36">
        <v>99913605</v>
      </c>
      <c r="B3607" s="17" t="s">
        <v>56</v>
      </c>
      <c r="C3607" t="s">
        <v>46</v>
      </c>
      <c r="D3607" t="s">
        <v>47</v>
      </c>
      <c r="G3607" s="17" t="s">
        <v>48</v>
      </c>
      <c r="H3607" s="17">
        <v>1</v>
      </c>
      <c r="K3607" t="s">
        <v>300</v>
      </c>
      <c r="L3607" t="s">
        <v>301</v>
      </c>
      <c r="M3607" t="s">
        <v>131</v>
      </c>
      <c r="N3607">
        <v>13</v>
      </c>
      <c r="O3607" t="s">
        <v>40</v>
      </c>
      <c r="P3607" t="s">
        <v>40</v>
      </c>
      <c r="Q3607" t="s">
        <v>40</v>
      </c>
      <c r="R3607" t="s">
        <v>40</v>
      </c>
      <c r="S3607" t="s">
        <v>40</v>
      </c>
      <c r="V3607" t="s">
        <v>41</v>
      </c>
      <c r="W3607" t="s">
        <v>42</v>
      </c>
      <c r="X3607" t="str">
        <f>"0580176"</f>
        <v>0580176</v>
      </c>
      <c r="Y3607" t="s">
        <v>305</v>
      </c>
      <c r="Z3607" t="s">
        <v>300</v>
      </c>
      <c r="AA3607" t="s">
        <v>301</v>
      </c>
      <c r="AB3607" t="s">
        <v>131</v>
      </c>
      <c r="AC3607" t="s">
        <v>51</v>
      </c>
      <c r="AD3607" t="s">
        <v>45</v>
      </c>
      <c r="AE3607" s="1">
        <v>25429</v>
      </c>
      <c r="AF3607">
        <v>2</v>
      </c>
      <c r="AG3607" t="s">
        <v>301</v>
      </c>
      <c r="AH3607" s="36">
        <f t="shared" si="56"/>
        <v>50.077777777777776</v>
      </c>
      <c r="AI3607" s="41" t="s">
        <v>1780</v>
      </c>
    </row>
    <row r="3608" spans="1:35" x14ac:dyDescent="0.25">
      <c r="A3608" s="36">
        <v>99913606</v>
      </c>
      <c r="B3608" s="17" t="s">
        <v>32</v>
      </c>
      <c r="C3608" t="s">
        <v>46</v>
      </c>
      <c r="D3608" t="s">
        <v>47</v>
      </c>
      <c r="G3608" s="17" t="s">
        <v>48</v>
      </c>
      <c r="H3608" s="17">
        <v>1</v>
      </c>
      <c r="K3608" t="s">
        <v>936</v>
      </c>
      <c r="L3608" t="s">
        <v>937</v>
      </c>
      <c r="M3608" t="s">
        <v>938</v>
      </c>
      <c r="N3608">
        <v>23</v>
      </c>
      <c r="O3608" t="s">
        <v>40</v>
      </c>
      <c r="P3608" t="s">
        <v>40</v>
      </c>
      <c r="Q3608" t="s">
        <v>40</v>
      </c>
      <c r="S3608" t="s">
        <v>40</v>
      </c>
      <c r="V3608" t="s">
        <v>41</v>
      </c>
      <c r="W3608" t="s">
        <v>42</v>
      </c>
      <c r="X3608" t="str">
        <f>"0161003"</f>
        <v>0161003</v>
      </c>
      <c r="Y3608" t="s">
        <v>942</v>
      </c>
      <c r="Z3608" t="s">
        <v>936</v>
      </c>
      <c r="AA3608" t="s">
        <v>937</v>
      </c>
      <c r="AB3608" t="s">
        <v>938</v>
      </c>
      <c r="AC3608" t="s">
        <v>51</v>
      </c>
      <c r="AD3608" t="s">
        <v>45</v>
      </c>
      <c r="AE3608" s="1">
        <v>25429</v>
      </c>
      <c r="AF3608">
        <v>2</v>
      </c>
      <c r="AG3608" t="s">
        <v>937</v>
      </c>
      <c r="AH3608" s="36">
        <f t="shared" si="56"/>
        <v>50.077777777777776</v>
      </c>
      <c r="AI3608" s="41" t="s">
        <v>1780</v>
      </c>
    </row>
    <row r="3609" spans="1:35" x14ac:dyDescent="0.25">
      <c r="A3609" s="36">
        <v>99913607</v>
      </c>
      <c r="B3609" s="17" t="s">
        <v>32</v>
      </c>
      <c r="C3609" t="s">
        <v>90</v>
      </c>
      <c r="D3609" t="s">
        <v>91</v>
      </c>
      <c r="G3609" s="17" t="s">
        <v>35</v>
      </c>
      <c r="H3609" s="17">
        <v>1</v>
      </c>
      <c r="K3609" t="s">
        <v>963</v>
      </c>
      <c r="L3609" t="s">
        <v>964</v>
      </c>
      <c r="M3609" t="s">
        <v>938</v>
      </c>
      <c r="N3609">
        <v>25</v>
      </c>
      <c r="O3609" t="s">
        <v>40</v>
      </c>
      <c r="P3609" t="s">
        <v>40</v>
      </c>
      <c r="Q3609" t="s">
        <v>40</v>
      </c>
      <c r="S3609" t="s">
        <v>40</v>
      </c>
      <c r="V3609" t="s">
        <v>41</v>
      </c>
      <c r="W3609" t="s">
        <v>95</v>
      </c>
      <c r="X3609" t="str">
        <f>"7061007"</f>
        <v>7061007</v>
      </c>
      <c r="Y3609" t="s">
        <v>1021</v>
      </c>
      <c r="Z3609" t="s">
        <v>963</v>
      </c>
      <c r="AA3609" t="s">
        <v>964</v>
      </c>
      <c r="AB3609" t="s">
        <v>938</v>
      </c>
      <c r="AC3609" t="s">
        <v>51</v>
      </c>
      <c r="AD3609" t="s">
        <v>45</v>
      </c>
      <c r="AE3609" s="1">
        <v>25428</v>
      </c>
      <c r="AF3609">
        <v>1</v>
      </c>
      <c r="AG3609" t="s">
        <v>964</v>
      </c>
      <c r="AH3609" s="36">
        <f t="shared" si="56"/>
        <v>50.080555555555556</v>
      </c>
      <c r="AI3609" s="41" t="s">
        <v>1780</v>
      </c>
    </row>
    <row r="3610" spans="1:35" x14ac:dyDescent="0.25">
      <c r="A3610" s="36">
        <v>99913608</v>
      </c>
      <c r="B3610" s="17" t="s">
        <v>56</v>
      </c>
      <c r="C3610" t="s">
        <v>79</v>
      </c>
      <c r="D3610" t="s">
        <v>80</v>
      </c>
      <c r="G3610" s="17" t="s">
        <v>35</v>
      </c>
      <c r="H3610" s="17">
        <v>1</v>
      </c>
      <c r="I3610">
        <v>6569</v>
      </c>
      <c r="J3610" s="1">
        <v>43344</v>
      </c>
      <c r="K3610" t="s">
        <v>1306</v>
      </c>
      <c r="L3610" t="s">
        <v>1307</v>
      </c>
      <c r="M3610" t="s">
        <v>1270</v>
      </c>
      <c r="N3610">
        <v>20</v>
      </c>
      <c r="O3610" t="s">
        <v>40</v>
      </c>
      <c r="S3610" t="s">
        <v>40</v>
      </c>
      <c r="U3610" s="1">
        <v>43344</v>
      </c>
      <c r="V3610" t="s">
        <v>41</v>
      </c>
      <c r="W3610" t="s">
        <v>49</v>
      </c>
      <c r="X3610" t="str">
        <f>"1991915"</f>
        <v>1991915</v>
      </c>
      <c r="Y3610" t="s">
        <v>1316</v>
      </c>
      <c r="Z3610" t="s">
        <v>1306</v>
      </c>
      <c r="AA3610" t="s">
        <v>1307</v>
      </c>
      <c r="AB3610" t="s">
        <v>1270</v>
      </c>
      <c r="AC3610" t="s">
        <v>165</v>
      </c>
      <c r="AD3610" t="s">
        <v>45</v>
      </c>
      <c r="AE3610" s="1">
        <v>25425</v>
      </c>
      <c r="AF3610">
        <v>2</v>
      </c>
      <c r="AG3610" t="s">
        <v>1307</v>
      </c>
      <c r="AH3610" s="36">
        <f t="shared" si="56"/>
        <v>50.088888888888889</v>
      </c>
      <c r="AI3610" s="41" t="s">
        <v>1780</v>
      </c>
    </row>
    <row r="3611" spans="1:35" x14ac:dyDescent="0.25">
      <c r="A3611" s="36">
        <v>99913609</v>
      </c>
      <c r="B3611" s="17" t="s">
        <v>32</v>
      </c>
      <c r="C3611" t="s">
        <v>90</v>
      </c>
      <c r="D3611" t="s">
        <v>91</v>
      </c>
      <c r="G3611" s="17" t="s">
        <v>35</v>
      </c>
      <c r="H3611" s="17">
        <v>1</v>
      </c>
      <c r="K3611" t="s">
        <v>1081</v>
      </c>
      <c r="L3611" t="s">
        <v>1082</v>
      </c>
      <c r="M3611" t="s">
        <v>1053</v>
      </c>
      <c r="N3611">
        <v>25</v>
      </c>
      <c r="O3611" t="s">
        <v>40</v>
      </c>
      <c r="P3611" t="s">
        <v>40</v>
      </c>
      <c r="Q3611" t="s">
        <v>40</v>
      </c>
      <c r="R3611" t="s">
        <v>40</v>
      </c>
      <c r="S3611" t="s">
        <v>40</v>
      </c>
      <c r="V3611" t="s">
        <v>41</v>
      </c>
      <c r="W3611" t="s">
        <v>95</v>
      </c>
      <c r="X3611" t="str">
        <f>"7201001"</f>
        <v>7201001</v>
      </c>
      <c r="Y3611" t="s">
        <v>1109</v>
      </c>
      <c r="Z3611" t="s">
        <v>1081</v>
      </c>
      <c r="AA3611" t="s">
        <v>1082</v>
      </c>
      <c r="AB3611" t="s">
        <v>1053</v>
      </c>
      <c r="AC3611" t="s">
        <v>51</v>
      </c>
      <c r="AD3611" t="s">
        <v>45</v>
      </c>
      <c r="AE3611" s="1">
        <v>25423</v>
      </c>
      <c r="AF3611">
        <v>1</v>
      </c>
      <c r="AG3611" t="s">
        <v>1082</v>
      </c>
      <c r="AH3611" s="36">
        <f t="shared" si="56"/>
        <v>50.094444444444441</v>
      </c>
      <c r="AI3611" s="41" t="s">
        <v>1780</v>
      </c>
    </row>
    <row r="3612" spans="1:35" x14ac:dyDescent="0.25">
      <c r="A3612" s="36">
        <v>99913610</v>
      </c>
      <c r="B3612" s="17" t="s">
        <v>56</v>
      </c>
      <c r="C3612" t="s">
        <v>79</v>
      </c>
      <c r="D3612" t="s">
        <v>80</v>
      </c>
      <c r="G3612" s="17" t="s">
        <v>35</v>
      </c>
      <c r="H3612" s="17">
        <v>1</v>
      </c>
      <c r="I3612" t="s">
        <v>348</v>
      </c>
      <c r="J3612" s="1">
        <v>43344</v>
      </c>
      <c r="K3612" t="s">
        <v>345</v>
      </c>
      <c r="L3612" t="s">
        <v>346</v>
      </c>
      <c r="M3612" t="s">
        <v>131</v>
      </c>
      <c r="N3612">
        <v>17</v>
      </c>
      <c r="O3612" t="s">
        <v>40</v>
      </c>
      <c r="S3612" t="s">
        <v>40</v>
      </c>
      <c r="U3612" s="1">
        <v>43344</v>
      </c>
      <c r="V3612" t="s">
        <v>41</v>
      </c>
      <c r="W3612" t="s">
        <v>49</v>
      </c>
      <c r="X3612" t="str">
        <f>"0581155"</f>
        <v>0581155</v>
      </c>
      <c r="Y3612" t="s">
        <v>349</v>
      </c>
      <c r="Z3612" t="s">
        <v>345</v>
      </c>
      <c r="AA3612" t="s">
        <v>346</v>
      </c>
      <c r="AB3612" t="s">
        <v>131</v>
      </c>
      <c r="AC3612" t="s">
        <v>51</v>
      </c>
      <c r="AD3612" t="s">
        <v>45</v>
      </c>
      <c r="AE3612" s="1">
        <v>25422</v>
      </c>
      <c r="AF3612">
        <v>2</v>
      </c>
      <c r="AG3612" t="s">
        <v>346</v>
      </c>
      <c r="AH3612" s="36">
        <f t="shared" si="56"/>
        <v>50.097222222222221</v>
      </c>
      <c r="AI3612" s="41" t="s">
        <v>1780</v>
      </c>
    </row>
    <row r="3613" spans="1:35" x14ac:dyDescent="0.25">
      <c r="A3613" s="36">
        <v>99913611</v>
      </c>
      <c r="B3613" s="17" t="s">
        <v>56</v>
      </c>
      <c r="C3613" t="s">
        <v>46</v>
      </c>
      <c r="D3613" t="s">
        <v>47</v>
      </c>
      <c r="G3613" s="17" t="s">
        <v>48</v>
      </c>
      <c r="H3613" s="17">
        <v>1</v>
      </c>
      <c r="K3613" t="s">
        <v>380</v>
      </c>
      <c r="L3613" t="s">
        <v>381</v>
      </c>
      <c r="M3613" t="s">
        <v>131</v>
      </c>
      <c r="N3613">
        <v>14</v>
      </c>
      <c r="O3613" t="s">
        <v>40</v>
      </c>
      <c r="P3613" t="s">
        <v>40</v>
      </c>
      <c r="Q3613" t="s">
        <v>40</v>
      </c>
      <c r="R3613" t="s">
        <v>40</v>
      </c>
      <c r="S3613" t="s">
        <v>40</v>
      </c>
      <c r="V3613" t="s">
        <v>41</v>
      </c>
      <c r="W3613" t="s">
        <v>49</v>
      </c>
      <c r="X3613" t="str">
        <f>"0591908"</f>
        <v>0591908</v>
      </c>
      <c r="Y3613" t="s">
        <v>383</v>
      </c>
      <c r="Z3613" t="s">
        <v>380</v>
      </c>
      <c r="AA3613" t="s">
        <v>381</v>
      </c>
      <c r="AB3613" t="s">
        <v>131</v>
      </c>
      <c r="AC3613" t="s">
        <v>51</v>
      </c>
      <c r="AD3613" t="s">
        <v>45</v>
      </c>
      <c r="AE3613" s="1">
        <v>25422</v>
      </c>
      <c r="AF3613">
        <v>2</v>
      </c>
      <c r="AG3613" t="s">
        <v>381</v>
      </c>
      <c r="AH3613" s="36">
        <f t="shared" si="56"/>
        <v>50.097222222222221</v>
      </c>
      <c r="AI3613" s="41" t="s">
        <v>1780</v>
      </c>
    </row>
    <row r="3614" spans="1:35" x14ac:dyDescent="0.25">
      <c r="A3614" s="36">
        <v>99913612</v>
      </c>
      <c r="B3614" s="17" t="s">
        <v>56</v>
      </c>
      <c r="C3614" t="s">
        <v>58</v>
      </c>
      <c r="D3614" t="s">
        <v>59</v>
      </c>
      <c r="G3614" s="17" t="s">
        <v>48</v>
      </c>
      <c r="H3614" s="17">
        <v>1</v>
      </c>
      <c r="K3614" t="s">
        <v>223</v>
      </c>
      <c r="L3614" t="s">
        <v>224</v>
      </c>
      <c r="M3614" t="s">
        <v>131</v>
      </c>
      <c r="N3614">
        <v>3</v>
      </c>
      <c r="O3614" t="s">
        <v>40</v>
      </c>
      <c r="P3614" t="s">
        <v>40</v>
      </c>
      <c r="Q3614" t="s">
        <v>40</v>
      </c>
      <c r="R3614" t="s">
        <v>40</v>
      </c>
      <c r="S3614" t="s">
        <v>40</v>
      </c>
      <c r="V3614" t="s">
        <v>41</v>
      </c>
      <c r="W3614" t="s">
        <v>42</v>
      </c>
      <c r="X3614" t="str">
        <f>"0561007"</f>
        <v>0561007</v>
      </c>
      <c r="Y3614" t="s">
        <v>262</v>
      </c>
      <c r="Z3614" t="s">
        <v>223</v>
      </c>
      <c r="AA3614" t="s">
        <v>224</v>
      </c>
      <c r="AB3614" t="s">
        <v>131</v>
      </c>
      <c r="AC3614" t="s">
        <v>51</v>
      </c>
      <c r="AD3614" t="s">
        <v>45</v>
      </c>
      <c r="AE3614" s="1">
        <v>25419</v>
      </c>
      <c r="AF3614">
        <v>2</v>
      </c>
      <c r="AG3614" t="s">
        <v>224</v>
      </c>
      <c r="AH3614" s="36">
        <f t="shared" si="56"/>
        <v>50.105555555555554</v>
      </c>
      <c r="AI3614" s="41" t="s">
        <v>1780</v>
      </c>
    </row>
    <row r="3615" spans="1:35" x14ac:dyDescent="0.25">
      <c r="A3615" s="36">
        <v>99913613</v>
      </c>
      <c r="B3615" s="17" t="s">
        <v>56</v>
      </c>
      <c r="C3615" t="s">
        <v>79</v>
      </c>
      <c r="D3615" t="s">
        <v>80</v>
      </c>
      <c r="G3615" s="17" t="s">
        <v>35</v>
      </c>
      <c r="H3615" s="17">
        <v>1</v>
      </c>
      <c r="K3615" t="s">
        <v>223</v>
      </c>
      <c r="L3615" t="s">
        <v>224</v>
      </c>
      <c r="M3615" t="s">
        <v>131</v>
      </c>
      <c r="N3615">
        <v>20</v>
      </c>
      <c r="O3615" t="s">
        <v>40</v>
      </c>
      <c r="P3615" t="s">
        <v>40</v>
      </c>
      <c r="Q3615" t="s">
        <v>40</v>
      </c>
      <c r="S3615" t="s">
        <v>40</v>
      </c>
      <c r="V3615" t="s">
        <v>41</v>
      </c>
      <c r="W3615" t="s">
        <v>42</v>
      </c>
      <c r="X3615" t="str">
        <f>"0590903"</f>
        <v>0590903</v>
      </c>
      <c r="Y3615" t="s">
        <v>226</v>
      </c>
      <c r="Z3615" t="s">
        <v>223</v>
      </c>
      <c r="AA3615" t="s">
        <v>224</v>
      </c>
      <c r="AB3615" t="s">
        <v>131</v>
      </c>
      <c r="AC3615" t="s">
        <v>51</v>
      </c>
      <c r="AD3615" t="s">
        <v>45</v>
      </c>
      <c r="AE3615" s="1">
        <v>25417</v>
      </c>
      <c r="AF3615">
        <v>2</v>
      </c>
      <c r="AG3615" t="s">
        <v>224</v>
      </c>
      <c r="AH3615" s="36">
        <f t="shared" si="56"/>
        <v>50.111111111111114</v>
      </c>
      <c r="AI3615" s="41" t="s">
        <v>1780</v>
      </c>
    </row>
    <row r="3616" spans="1:35" x14ac:dyDescent="0.25">
      <c r="A3616" s="36">
        <v>99913614</v>
      </c>
      <c r="B3616" s="17" t="s">
        <v>32</v>
      </c>
      <c r="C3616" t="s">
        <v>139</v>
      </c>
      <c r="D3616" t="s">
        <v>140</v>
      </c>
      <c r="G3616" s="17" t="s">
        <v>48</v>
      </c>
      <c r="H3616" s="17">
        <v>7</v>
      </c>
      <c r="I3616" t="s">
        <v>456</v>
      </c>
      <c r="J3616" s="1">
        <v>40422</v>
      </c>
      <c r="K3616" t="s">
        <v>195</v>
      </c>
      <c r="L3616" t="s">
        <v>196</v>
      </c>
      <c r="M3616" t="s">
        <v>131</v>
      </c>
      <c r="N3616">
        <v>23</v>
      </c>
      <c r="O3616" t="s">
        <v>40</v>
      </c>
      <c r="P3616" t="s">
        <v>40</v>
      </c>
      <c r="Q3616" t="s">
        <v>40</v>
      </c>
      <c r="R3616" t="s">
        <v>40</v>
      </c>
      <c r="S3616" t="s">
        <v>40</v>
      </c>
      <c r="U3616" s="1">
        <v>40422</v>
      </c>
      <c r="V3616" t="s">
        <v>41</v>
      </c>
      <c r="W3616" t="s">
        <v>75</v>
      </c>
      <c r="X3616" t="str">
        <f>"7521046"</f>
        <v>7521046</v>
      </c>
      <c r="Y3616" t="s">
        <v>436</v>
      </c>
      <c r="Z3616" t="s">
        <v>195</v>
      </c>
      <c r="AA3616" t="s">
        <v>196</v>
      </c>
      <c r="AB3616" t="s">
        <v>131</v>
      </c>
      <c r="AC3616" t="s">
        <v>165</v>
      </c>
      <c r="AD3616" t="s">
        <v>45</v>
      </c>
      <c r="AE3616" s="1">
        <v>25417</v>
      </c>
      <c r="AF3616">
        <v>1</v>
      </c>
      <c r="AG3616" t="s">
        <v>196</v>
      </c>
      <c r="AH3616" s="36">
        <f t="shared" si="56"/>
        <v>50.111111111111114</v>
      </c>
      <c r="AI3616" s="41" t="s">
        <v>1780</v>
      </c>
    </row>
    <row r="3617" spans="1:35" x14ac:dyDescent="0.25">
      <c r="A3617" s="36">
        <v>99913615</v>
      </c>
      <c r="B3617" s="17" t="s">
        <v>32</v>
      </c>
      <c r="C3617" t="s">
        <v>79</v>
      </c>
      <c r="D3617" t="s">
        <v>80</v>
      </c>
      <c r="G3617" s="17" t="s">
        <v>35</v>
      </c>
      <c r="H3617" s="17">
        <v>1</v>
      </c>
      <c r="K3617" t="s">
        <v>223</v>
      </c>
      <c r="L3617" t="s">
        <v>224</v>
      </c>
      <c r="M3617" t="s">
        <v>131</v>
      </c>
      <c r="N3617">
        <v>20</v>
      </c>
      <c r="O3617" t="s">
        <v>40</v>
      </c>
      <c r="P3617" t="s">
        <v>40</v>
      </c>
      <c r="Q3617" t="s">
        <v>40</v>
      </c>
      <c r="R3617" t="s">
        <v>40</v>
      </c>
      <c r="S3617" t="s">
        <v>40</v>
      </c>
      <c r="V3617" t="s">
        <v>41</v>
      </c>
      <c r="W3617" t="s">
        <v>49</v>
      </c>
      <c r="X3617" t="str">
        <f>"0591901"</f>
        <v>0591901</v>
      </c>
      <c r="Y3617" t="s">
        <v>230</v>
      </c>
      <c r="Z3617" t="s">
        <v>223</v>
      </c>
      <c r="AA3617" t="s">
        <v>224</v>
      </c>
      <c r="AB3617" t="s">
        <v>131</v>
      </c>
      <c r="AC3617" t="s">
        <v>51</v>
      </c>
      <c r="AD3617" t="s">
        <v>45</v>
      </c>
      <c r="AE3617" s="1">
        <v>25416</v>
      </c>
      <c r="AF3617">
        <v>2</v>
      </c>
      <c r="AG3617" t="s">
        <v>224</v>
      </c>
      <c r="AH3617" s="36">
        <f t="shared" si="56"/>
        <v>50.113888888888887</v>
      </c>
      <c r="AI3617" s="41" t="s">
        <v>1780</v>
      </c>
    </row>
    <row r="3618" spans="1:35" x14ac:dyDescent="0.25">
      <c r="A3618" s="36">
        <v>99913616</v>
      </c>
      <c r="B3618" s="17" t="s">
        <v>32</v>
      </c>
      <c r="C3618" t="s">
        <v>111</v>
      </c>
      <c r="D3618" t="s">
        <v>112</v>
      </c>
      <c r="G3618" s="17" t="s">
        <v>48</v>
      </c>
      <c r="H3618" s="17">
        <v>9</v>
      </c>
      <c r="K3618" t="s">
        <v>354</v>
      </c>
      <c r="L3618" t="s">
        <v>355</v>
      </c>
      <c r="M3618" t="s">
        <v>131</v>
      </c>
      <c r="N3618">
        <v>22</v>
      </c>
      <c r="O3618" t="s">
        <v>40</v>
      </c>
      <c r="P3618" t="s">
        <v>40</v>
      </c>
      <c r="Q3618" t="s">
        <v>40</v>
      </c>
      <c r="R3618" t="s">
        <v>40</v>
      </c>
      <c r="S3618" t="s">
        <v>40</v>
      </c>
      <c r="V3618" t="s">
        <v>41</v>
      </c>
      <c r="W3618" t="s">
        <v>75</v>
      </c>
      <c r="X3618" t="str">
        <f>"7054038"</f>
        <v>7054038</v>
      </c>
      <c r="Y3618" t="s">
        <v>377</v>
      </c>
      <c r="Z3618" t="s">
        <v>354</v>
      </c>
      <c r="AA3618" t="s">
        <v>355</v>
      </c>
      <c r="AB3618" t="s">
        <v>131</v>
      </c>
      <c r="AC3618" t="s">
        <v>51</v>
      </c>
      <c r="AD3618" t="s">
        <v>45</v>
      </c>
      <c r="AE3618" s="1">
        <v>25416</v>
      </c>
      <c r="AF3618">
        <v>1</v>
      </c>
      <c r="AG3618" t="s">
        <v>355</v>
      </c>
      <c r="AH3618" s="36">
        <f t="shared" si="56"/>
        <v>50.113888888888887</v>
      </c>
      <c r="AI3618" s="41" t="s">
        <v>1780</v>
      </c>
    </row>
    <row r="3619" spans="1:35" x14ac:dyDescent="0.25">
      <c r="A3619" s="36">
        <v>99913617</v>
      </c>
      <c r="B3619" s="17" t="s">
        <v>32</v>
      </c>
      <c r="C3619" t="s">
        <v>71</v>
      </c>
      <c r="D3619" t="s">
        <v>72</v>
      </c>
      <c r="G3619" s="17" t="s">
        <v>48</v>
      </c>
      <c r="H3619" s="17">
        <v>1</v>
      </c>
      <c r="K3619" t="s">
        <v>162</v>
      </c>
      <c r="L3619" t="s">
        <v>158</v>
      </c>
      <c r="M3619" t="s">
        <v>131</v>
      </c>
      <c r="N3619">
        <v>6</v>
      </c>
      <c r="O3619" t="s">
        <v>40</v>
      </c>
      <c r="P3619" t="s">
        <v>40</v>
      </c>
      <c r="Q3619" t="s">
        <v>40</v>
      </c>
      <c r="S3619" t="s">
        <v>40</v>
      </c>
      <c r="V3619" t="s">
        <v>41</v>
      </c>
      <c r="W3619" t="s">
        <v>49</v>
      </c>
      <c r="X3619" t="str">
        <f>"0560027"</f>
        <v>0560027</v>
      </c>
      <c r="Y3619" t="s">
        <v>178</v>
      </c>
      <c r="Z3619" t="s">
        <v>162</v>
      </c>
      <c r="AA3619" t="s">
        <v>158</v>
      </c>
      <c r="AB3619" t="s">
        <v>131</v>
      </c>
      <c r="AC3619" t="s">
        <v>51</v>
      </c>
      <c r="AD3619" t="s">
        <v>45</v>
      </c>
      <c r="AE3619" s="1">
        <v>25415</v>
      </c>
      <c r="AF3619">
        <v>2</v>
      </c>
      <c r="AG3619" t="s">
        <v>158</v>
      </c>
      <c r="AH3619" s="36">
        <f t="shared" si="56"/>
        <v>50.116666666666667</v>
      </c>
      <c r="AI3619" s="41" t="s">
        <v>1780</v>
      </c>
    </row>
    <row r="3620" spans="1:35" x14ac:dyDescent="0.25">
      <c r="A3620" s="36">
        <v>99913618</v>
      </c>
      <c r="B3620" s="17" t="s">
        <v>32</v>
      </c>
      <c r="C3620" t="s">
        <v>64</v>
      </c>
      <c r="D3620" t="s">
        <v>65</v>
      </c>
      <c r="G3620" s="17" t="s">
        <v>35</v>
      </c>
      <c r="H3620" s="17">
        <v>1</v>
      </c>
      <c r="K3620" t="s">
        <v>345</v>
      </c>
      <c r="L3620" t="s">
        <v>346</v>
      </c>
      <c r="M3620" t="s">
        <v>131</v>
      </c>
      <c r="N3620">
        <v>21</v>
      </c>
      <c r="O3620" t="s">
        <v>40</v>
      </c>
      <c r="P3620" t="s">
        <v>40</v>
      </c>
      <c r="Q3620" t="s">
        <v>40</v>
      </c>
      <c r="R3620" t="s">
        <v>40</v>
      </c>
      <c r="S3620" t="s">
        <v>40</v>
      </c>
      <c r="V3620" t="s">
        <v>41</v>
      </c>
      <c r="W3620" t="s">
        <v>75</v>
      </c>
      <c r="X3620" t="str">
        <f>"7054012"</f>
        <v>7054012</v>
      </c>
      <c r="Y3620" t="s">
        <v>353</v>
      </c>
      <c r="Z3620" t="s">
        <v>354</v>
      </c>
      <c r="AA3620" t="s">
        <v>355</v>
      </c>
      <c r="AB3620" t="s">
        <v>131</v>
      </c>
      <c r="AC3620" t="s">
        <v>51</v>
      </c>
      <c r="AD3620" t="s">
        <v>45</v>
      </c>
      <c r="AE3620" s="1">
        <v>25415</v>
      </c>
      <c r="AF3620">
        <v>2</v>
      </c>
      <c r="AG3620" t="s">
        <v>346</v>
      </c>
      <c r="AH3620" s="36">
        <f t="shared" si="56"/>
        <v>50.116666666666667</v>
      </c>
      <c r="AI3620" s="41" t="s">
        <v>1780</v>
      </c>
    </row>
    <row r="3621" spans="1:35" x14ac:dyDescent="0.25">
      <c r="A3621" s="36">
        <v>99913619</v>
      </c>
      <c r="B3621" s="17" t="s">
        <v>32</v>
      </c>
      <c r="C3621" t="s">
        <v>90</v>
      </c>
      <c r="D3621" t="s">
        <v>91</v>
      </c>
      <c r="G3621" s="17" t="s">
        <v>48</v>
      </c>
      <c r="H3621" s="17">
        <v>1</v>
      </c>
      <c r="K3621" t="s">
        <v>1198</v>
      </c>
      <c r="L3621" t="s">
        <v>1199</v>
      </c>
      <c r="M3621" t="s">
        <v>1130</v>
      </c>
      <c r="N3621">
        <v>25</v>
      </c>
      <c r="O3621" t="s">
        <v>40</v>
      </c>
      <c r="P3621" t="s">
        <v>40</v>
      </c>
      <c r="Q3621" t="s">
        <v>40</v>
      </c>
      <c r="S3621" t="s">
        <v>40</v>
      </c>
      <c r="V3621" t="s">
        <v>41</v>
      </c>
      <c r="W3621" t="s">
        <v>95</v>
      </c>
      <c r="X3621" t="str">
        <f>"7311009"</f>
        <v>7311009</v>
      </c>
      <c r="Y3621" t="s">
        <v>1220</v>
      </c>
      <c r="Z3621" t="s">
        <v>1198</v>
      </c>
      <c r="AA3621" t="s">
        <v>1199</v>
      </c>
      <c r="AB3621" t="s">
        <v>1130</v>
      </c>
      <c r="AC3621" t="s">
        <v>51</v>
      </c>
      <c r="AD3621" t="s">
        <v>45</v>
      </c>
      <c r="AE3621" s="1">
        <v>25415</v>
      </c>
      <c r="AF3621">
        <v>1</v>
      </c>
      <c r="AG3621" t="s">
        <v>1199</v>
      </c>
      <c r="AH3621" s="36">
        <f t="shared" si="56"/>
        <v>50.116666666666667</v>
      </c>
      <c r="AI3621" s="41" t="s">
        <v>1780</v>
      </c>
    </row>
    <row r="3622" spans="1:35" x14ac:dyDescent="0.25">
      <c r="A3622" s="36">
        <v>99913620</v>
      </c>
      <c r="B3622" s="17" t="s">
        <v>32</v>
      </c>
      <c r="C3622" t="s">
        <v>111</v>
      </c>
      <c r="D3622" t="s">
        <v>112</v>
      </c>
      <c r="G3622" s="17" t="s">
        <v>48</v>
      </c>
      <c r="H3622" s="17">
        <v>1</v>
      </c>
      <c r="K3622" t="s">
        <v>268</v>
      </c>
      <c r="L3622" t="s">
        <v>269</v>
      </c>
      <c r="M3622" t="s">
        <v>131</v>
      </c>
      <c r="N3622">
        <v>10</v>
      </c>
      <c r="O3622" t="s">
        <v>40</v>
      </c>
      <c r="P3622" t="s">
        <v>40</v>
      </c>
      <c r="Q3622" t="s">
        <v>40</v>
      </c>
      <c r="S3622" t="s">
        <v>40</v>
      </c>
      <c r="V3622" t="s">
        <v>41</v>
      </c>
      <c r="W3622" t="s">
        <v>75</v>
      </c>
      <c r="X3622" t="str">
        <f>"7052016"</f>
        <v>7052016</v>
      </c>
      <c r="Y3622" t="s">
        <v>588</v>
      </c>
      <c r="Z3622" t="s">
        <v>268</v>
      </c>
      <c r="AA3622" t="s">
        <v>269</v>
      </c>
      <c r="AB3622" t="s">
        <v>131</v>
      </c>
      <c r="AC3622" t="s">
        <v>51</v>
      </c>
      <c r="AD3622" t="s">
        <v>45</v>
      </c>
      <c r="AE3622" s="1">
        <v>25412</v>
      </c>
      <c r="AF3622">
        <v>1</v>
      </c>
      <c r="AG3622" t="s">
        <v>269</v>
      </c>
      <c r="AH3622" s="36">
        <f t="shared" si="56"/>
        <v>50.125</v>
      </c>
      <c r="AI3622" s="41" t="s">
        <v>1780</v>
      </c>
    </row>
    <row r="3623" spans="1:35" x14ac:dyDescent="0.25">
      <c r="A3623" s="36">
        <v>99913621</v>
      </c>
      <c r="B3623" s="17" t="s">
        <v>32</v>
      </c>
      <c r="C3623" t="s">
        <v>64</v>
      </c>
      <c r="D3623" t="s">
        <v>65</v>
      </c>
      <c r="G3623" s="17" t="s">
        <v>48</v>
      </c>
      <c r="H3623" s="17">
        <v>1</v>
      </c>
      <c r="K3623" t="s">
        <v>380</v>
      </c>
      <c r="L3623" t="s">
        <v>381</v>
      </c>
      <c r="M3623" t="s">
        <v>131</v>
      </c>
      <c r="N3623">
        <v>6</v>
      </c>
      <c r="O3623" t="s">
        <v>40</v>
      </c>
      <c r="P3623" t="s">
        <v>40</v>
      </c>
      <c r="Q3623" t="s">
        <v>40</v>
      </c>
      <c r="S3623" t="s">
        <v>40</v>
      </c>
      <c r="V3623" t="s">
        <v>41</v>
      </c>
      <c r="W3623" t="s">
        <v>49</v>
      </c>
      <c r="X3623" t="str">
        <f>"0581575"</f>
        <v>0581575</v>
      </c>
      <c r="Y3623" t="s">
        <v>392</v>
      </c>
      <c r="Z3623" t="s">
        <v>380</v>
      </c>
      <c r="AA3623" t="s">
        <v>381</v>
      </c>
      <c r="AB3623" t="s">
        <v>131</v>
      </c>
      <c r="AC3623" t="s">
        <v>51</v>
      </c>
      <c r="AD3623" t="s">
        <v>45</v>
      </c>
      <c r="AE3623" s="1">
        <v>25409</v>
      </c>
      <c r="AF3623">
        <v>2</v>
      </c>
      <c r="AG3623" t="s">
        <v>381</v>
      </c>
      <c r="AH3623" s="36">
        <f t="shared" si="56"/>
        <v>50.133333333333333</v>
      </c>
      <c r="AI3623" s="41" t="s">
        <v>1780</v>
      </c>
    </row>
    <row r="3624" spans="1:35" x14ac:dyDescent="0.25">
      <c r="A3624" s="36">
        <v>99913622</v>
      </c>
      <c r="B3624" s="17" t="s">
        <v>56</v>
      </c>
      <c r="C3624" t="s">
        <v>79</v>
      </c>
      <c r="D3624" t="s">
        <v>80</v>
      </c>
      <c r="G3624" s="17" t="s">
        <v>48</v>
      </c>
      <c r="H3624" s="17">
        <v>1</v>
      </c>
      <c r="K3624" t="s">
        <v>223</v>
      </c>
      <c r="L3624" t="s">
        <v>224</v>
      </c>
      <c r="M3624" t="s">
        <v>131</v>
      </c>
      <c r="N3624">
        <v>13</v>
      </c>
      <c r="O3624" t="s">
        <v>40</v>
      </c>
      <c r="P3624" t="s">
        <v>40</v>
      </c>
      <c r="Q3624" t="s">
        <v>40</v>
      </c>
      <c r="R3624" t="s">
        <v>40</v>
      </c>
      <c r="S3624" t="s">
        <v>40</v>
      </c>
      <c r="V3624" t="s">
        <v>41</v>
      </c>
      <c r="W3624" t="s">
        <v>49</v>
      </c>
      <c r="X3624" t="str">
        <f>"0591910"</f>
        <v>0591910</v>
      </c>
      <c r="Y3624" t="s">
        <v>228</v>
      </c>
      <c r="Z3624" t="s">
        <v>223</v>
      </c>
      <c r="AA3624" t="s">
        <v>224</v>
      </c>
      <c r="AB3624" t="s">
        <v>131</v>
      </c>
      <c r="AC3624" t="s">
        <v>51</v>
      </c>
      <c r="AD3624" t="s">
        <v>45</v>
      </c>
      <c r="AE3624" s="1">
        <v>25408</v>
      </c>
      <c r="AF3624">
        <v>2</v>
      </c>
      <c r="AG3624" t="s">
        <v>224</v>
      </c>
      <c r="AH3624" s="36">
        <f t="shared" si="56"/>
        <v>50.136111111111113</v>
      </c>
      <c r="AI3624" s="41" t="s">
        <v>1780</v>
      </c>
    </row>
    <row r="3625" spans="1:35" x14ac:dyDescent="0.25">
      <c r="A3625" s="36">
        <v>99913623</v>
      </c>
      <c r="B3625" s="17" t="s">
        <v>32</v>
      </c>
      <c r="C3625" t="s">
        <v>90</v>
      </c>
      <c r="D3625" t="s">
        <v>91</v>
      </c>
      <c r="G3625" s="17" t="s">
        <v>48</v>
      </c>
      <c r="H3625" s="17">
        <v>4</v>
      </c>
      <c r="I3625" t="s">
        <v>1005</v>
      </c>
      <c r="J3625" s="1">
        <v>43344</v>
      </c>
      <c r="K3625" t="s">
        <v>963</v>
      </c>
      <c r="L3625" t="s">
        <v>964</v>
      </c>
      <c r="M3625" t="s">
        <v>938</v>
      </c>
      <c r="N3625">
        <v>25</v>
      </c>
      <c r="O3625" t="s">
        <v>40</v>
      </c>
      <c r="P3625" t="s">
        <v>40</v>
      </c>
      <c r="Q3625" t="s">
        <v>40</v>
      </c>
      <c r="R3625" t="s">
        <v>40</v>
      </c>
      <c r="S3625" t="s">
        <v>40</v>
      </c>
      <c r="U3625" s="1">
        <v>43344</v>
      </c>
      <c r="V3625" t="s">
        <v>41</v>
      </c>
      <c r="W3625" t="s">
        <v>95</v>
      </c>
      <c r="X3625" t="str">
        <f>"7061005"</f>
        <v>7061005</v>
      </c>
      <c r="Y3625" t="s">
        <v>1006</v>
      </c>
      <c r="Z3625" t="s">
        <v>963</v>
      </c>
      <c r="AA3625" t="s">
        <v>964</v>
      </c>
      <c r="AB3625" t="s">
        <v>938</v>
      </c>
      <c r="AC3625" t="s">
        <v>51</v>
      </c>
      <c r="AD3625" t="s">
        <v>45</v>
      </c>
      <c r="AE3625" s="1">
        <v>25408</v>
      </c>
      <c r="AF3625">
        <v>1</v>
      </c>
      <c r="AG3625" t="s">
        <v>964</v>
      </c>
      <c r="AH3625" s="36">
        <f t="shared" si="56"/>
        <v>50.136111111111113</v>
      </c>
      <c r="AI3625" s="41" t="s">
        <v>1780</v>
      </c>
    </row>
    <row r="3626" spans="1:35" x14ac:dyDescent="0.25">
      <c r="A3626" s="36">
        <v>99913624</v>
      </c>
      <c r="B3626" s="17" t="s">
        <v>56</v>
      </c>
      <c r="C3626" t="s">
        <v>61</v>
      </c>
      <c r="D3626" t="s">
        <v>62</v>
      </c>
      <c r="E3626" t="s">
        <v>52</v>
      </c>
      <c r="F3626" t="s">
        <v>53</v>
      </c>
      <c r="G3626" s="17" t="s">
        <v>48</v>
      </c>
      <c r="H3626" s="17">
        <v>1</v>
      </c>
      <c r="K3626" t="s">
        <v>1187</v>
      </c>
      <c r="L3626" t="s">
        <v>1188</v>
      </c>
      <c r="M3626" t="s">
        <v>1130</v>
      </c>
      <c r="N3626">
        <v>20</v>
      </c>
      <c r="O3626" t="s">
        <v>40</v>
      </c>
      <c r="P3626" t="s">
        <v>40</v>
      </c>
      <c r="Q3626" t="s">
        <v>40</v>
      </c>
      <c r="R3626" t="s">
        <v>40</v>
      </c>
      <c r="S3626" t="s">
        <v>40</v>
      </c>
      <c r="V3626" t="s">
        <v>41</v>
      </c>
      <c r="W3626" t="s">
        <v>49</v>
      </c>
      <c r="X3626" t="str">
        <f>"4581015"</f>
        <v>4581015</v>
      </c>
      <c r="Y3626" t="s">
        <v>1190</v>
      </c>
      <c r="Z3626" t="s">
        <v>1187</v>
      </c>
      <c r="AA3626" t="s">
        <v>1188</v>
      </c>
      <c r="AB3626" t="s">
        <v>1130</v>
      </c>
      <c r="AC3626" t="s">
        <v>51</v>
      </c>
      <c r="AD3626" t="s">
        <v>45</v>
      </c>
      <c r="AE3626" s="1">
        <v>25408</v>
      </c>
      <c r="AF3626">
        <v>2</v>
      </c>
      <c r="AG3626" t="s">
        <v>1188</v>
      </c>
      <c r="AH3626" s="36">
        <f t="shared" si="56"/>
        <v>50.136111111111113</v>
      </c>
      <c r="AI3626" s="41" t="s">
        <v>1780</v>
      </c>
    </row>
    <row r="3627" spans="1:35" x14ac:dyDescent="0.25">
      <c r="A3627" s="36">
        <v>99913625</v>
      </c>
      <c r="B3627" s="17" t="s">
        <v>32</v>
      </c>
      <c r="C3627" t="s">
        <v>46</v>
      </c>
      <c r="D3627" t="s">
        <v>47</v>
      </c>
      <c r="G3627" s="17" t="s">
        <v>35</v>
      </c>
      <c r="H3627" s="17">
        <v>1</v>
      </c>
      <c r="K3627" t="s">
        <v>157</v>
      </c>
      <c r="L3627" t="s">
        <v>158</v>
      </c>
      <c r="M3627" t="s">
        <v>131</v>
      </c>
      <c r="N3627">
        <v>20</v>
      </c>
      <c r="O3627" t="s">
        <v>40</v>
      </c>
      <c r="P3627" t="s">
        <v>40</v>
      </c>
      <c r="Q3627" t="s">
        <v>40</v>
      </c>
      <c r="S3627" t="s">
        <v>40</v>
      </c>
      <c r="V3627" t="s">
        <v>41</v>
      </c>
      <c r="W3627" t="s">
        <v>42</v>
      </c>
      <c r="X3627" t="str">
        <f>"0580725"</f>
        <v>0580725</v>
      </c>
      <c r="Y3627" t="s">
        <v>167</v>
      </c>
      <c r="Z3627" t="s">
        <v>157</v>
      </c>
      <c r="AA3627" t="s">
        <v>158</v>
      </c>
      <c r="AB3627" t="s">
        <v>131</v>
      </c>
      <c r="AC3627" t="s">
        <v>51</v>
      </c>
      <c r="AD3627" t="s">
        <v>45</v>
      </c>
      <c r="AE3627" s="1">
        <v>25407</v>
      </c>
      <c r="AF3627">
        <v>2</v>
      </c>
      <c r="AG3627" t="s">
        <v>158</v>
      </c>
      <c r="AH3627" s="36">
        <f t="shared" si="56"/>
        <v>50.138888888888886</v>
      </c>
      <c r="AI3627" s="41" t="s">
        <v>1780</v>
      </c>
    </row>
    <row r="3628" spans="1:35" x14ac:dyDescent="0.25">
      <c r="A3628" s="36">
        <v>99913626</v>
      </c>
      <c r="B3628" s="17" t="s">
        <v>32</v>
      </c>
      <c r="C3628" t="s">
        <v>90</v>
      </c>
      <c r="D3628" t="s">
        <v>91</v>
      </c>
      <c r="G3628" s="17" t="s">
        <v>35</v>
      </c>
      <c r="H3628" s="17">
        <v>1</v>
      </c>
      <c r="K3628" t="s">
        <v>985</v>
      </c>
      <c r="L3628" t="s">
        <v>986</v>
      </c>
      <c r="M3628" t="s">
        <v>938</v>
      </c>
      <c r="N3628">
        <v>25</v>
      </c>
      <c r="O3628" t="s">
        <v>40</v>
      </c>
      <c r="P3628" t="s">
        <v>40</v>
      </c>
      <c r="Q3628" t="s">
        <v>40</v>
      </c>
      <c r="S3628" t="s">
        <v>40</v>
      </c>
      <c r="V3628" t="s">
        <v>41</v>
      </c>
      <c r="W3628" t="s">
        <v>95</v>
      </c>
      <c r="X3628" t="str">
        <f>"7011001"</f>
        <v>7011001</v>
      </c>
      <c r="Y3628" t="s">
        <v>990</v>
      </c>
      <c r="Z3628" t="s">
        <v>985</v>
      </c>
      <c r="AA3628" t="s">
        <v>986</v>
      </c>
      <c r="AB3628" t="s">
        <v>938</v>
      </c>
      <c r="AC3628" t="s">
        <v>51</v>
      </c>
      <c r="AD3628" t="s">
        <v>45</v>
      </c>
      <c r="AE3628" s="1">
        <v>25407</v>
      </c>
      <c r="AF3628">
        <v>1</v>
      </c>
      <c r="AG3628" t="s">
        <v>986</v>
      </c>
      <c r="AH3628" s="36">
        <f t="shared" si="56"/>
        <v>50.138888888888886</v>
      </c>
      <c r="AI3628" s="41" t="s">
        <v>1780</v>
      </c>
    </row>
    <row r="3629" spans="1:35" x14ac:dyDescent="0.25">
      <c r="A3629" s="36">
        <v>99913627</v>
      </c>
      <c r="B3629" s="17" t="s">
        <v>32</v>
      </c>
      <c r="C3629" t="s">
        <v>46</v>
      </c>
      <c r="D3629" t="s">
        <v>47</v>
      </c>
      <c r="G3629" s="17" t="s">
        <v>35</v>
      </c>
      <c r="H3629" s="17">
        <v>1</v>
      </c>
      <c r="I3629">
        <v>20348</v>
      </c>
      <c r="J3629" s="1">
        <v>43020</v>
      </c>
      <c r="K3629" t="s">
        <v>380</v>
      </c>
      <c r="L3629" t="s">
        <v>381</v>
      </c>
      <c r="M3629" t="s">
        <v>131</v>
      </c>
      <c r="N3629">
        <v>23</v>
      </c>
      <c r="O3629" t="s">
        <v>40</v>
      </c>
      <c r="P3629" t="s">
        <v>40</v>
      </c>
      <c r="Q3629" t="s">
        <v>40</v>
      </c>
      <c r="R3629" t="s">
        <v>40</v>
      </c>
      <c r="S3629" t="s">
        <v>40</v>
      </c>
      <c r="U3629" s="1">
        <v>43020</v>
      </c>
      <c r="V3629" t="s">
        <v>41</v>
      </c>
      <c r="W3629" t="s">
        <v>49</v>
      </c>
      <c r="X3629" t="str">
        <f>"0591909"</f>
        <v>0591909</v>
      </c>
      <c r="Y3629" t="s">
        <v>385</v>
      </c>
      <c r="Z3629" t="s">
        <v>380</v>
      </c>
      <c r="AA3629" t="s">
        <v>381</v>
      </c>
      <c r="AB3629" t="s">
        <v>131</v>
      </c>
      <c r="AC3629" t="s">
        <v>44</v>
      </c>
      <c r="AD3629" t="s">
        <v>45</v>
      </c>
      <c r="AE3629" s="1">
        <v>25406</v>
      </c>
      <c r="AF3629">
        <v>2</v>
      </c>
      <c r="AG3629" t="s">
        <v>381</v>
      </c>
      <c r="AH3629" s="36">
        <f t="shared" si="56"/>
        <v>50.141666666666666</v>
      </c>
      <c r="AI3629" s="41" t="s">
        <v>1780</v>
      </c>
    </row>
    <row r="3630" spans="1:35" x14ac:dyDescent="0.25">
      <c r="A3630" s="36">
        <v>99913628</v>
      </c>
      <c r="B3630" s="17" t="s">
        <v>56</v>
      </c>
      <c r="C3630" t="s">
        <v>111</v>
      </c>
      <c r="D3630" t="s">
        <v>112</v>
      </c>
      <c r="G3630" s="17" t="s">
        <v>35</v>
      </c>
      <c r="H3630" s="17">
        <v>1</v>
      </c>
      <c r="K3630" t="s">
        <v>154</v>
      </c>
      <c r="L3630" t="s">
        <v>155</v>
      </c>
      <c r="M3630" t="s">
        <v>131</v>
      </c>
      <c r="N3630">
        <v>21</v>
      </c>
      <c r="O3630" t="s">
        <v>40</v>
      </c>
      <c r="P3630" t="s">
        <v>40</v>
      </c>
      <c r="Q3630" t="s">
        <v>40</v>
      </c>
      <c r="S3630" t="s">
        <v>40</v>
      </c>
      <c r="V3630" t="s">
        <v>41</v>
      </c>
      <c r="W3630" t="s">
        <v>75</v>
      </c>
      <c r="X3630" t="str">
        <f>"7700026"</f>
        <v>7700026</v>
      </c>
      <c r="Y3630" t="s">
        <v>397</v>
      </c>
      <c r="Z3630" t="s">
        <v>154</v>
      </c>
      <c r="AA3630" t="s">
        <v>155</v>
      </c>
      <c r="AB3630" t="s">
        <v>131</v>
      </c>
      <c r="AC3630" t="s">
        <v>51</v>
      </c>
      <c r="AD3630" t="s">
        <v>45</v>
      </c>
      <c r="AE3630" s="1">
        <v>25405</v>
      </c>
      <c r="AF3630">
        <v>1</v>
      </c>
      <c r="AG3630" t="s">
        <v>155</v>
      </c>
      <c r="AH3630" s="36">
        <f t="shared" si="56"/>
        <v>50.144444444444446</v>
      </c>
      <c r="AI3630" s="41" t="s">
        <v>1780</v>
      </c>
    </row>
    <row r="3631" spans="1:35" x14ac:dyDescent="0.25">
      <c r="A3631" s="36">
        <v>99913629</v>
      </c>
      <c r="B3631" s="17" t="s">
        <v>56</v>
      </c>
      <c r="C3631" t="s">
        <v>143</v>
      </c>
      <c r="D3631" t="s">
        <v>144</v>
      </c>
      <c r="G3631" s="17" t="s">
        <v>48</v>
      </c>
      <c r="H3631" s="17">
        <v>1</v>
      </c>
      <c r="K3631" t="s">
        <v>223</v>
      </c>
      <c r="L3631" t="s">
        <v>224</v>
      </c>
      <c r="M3631" t="s">
        <v>131</v>
      </c>
      <c r="N3631">
        <v>20</v>
      </c>
      <c r="O3631" t="s">
        <v>40</v>
      </c>
      <c r="P3631" t="s">
        <v>40</v>
      </c>
      <c r="Q3631" t="s">
        <v>40</v>
      </c>
      <c r="R3631" t="s">
        <v>40</v>
      </c>
      <c r="S3631" t="s">
        <v>40</v>
      </c>
      <c r="V3631" t="s">
        <v>41</v>
      </c>
      <c r="W3631" t="s">
        <v>49</v>
      </c>
      <c r="X3631" t="str">
        <f>"0581207"</f>
        <v>0581207</v>
      </c>
      <c r="Y3631" t="s">
        <v>233</v>
      </c>
      <c r="Z3631" t="s">
        <v>223</v>
      </c>
      <c r="AA3631" t="s">
        <v>224</v>
      </c>
      <c r="AB3631" t="s">
        <v>131</v>
      </c>
      <c r="AC3631" t="s">
        <v>51</v>
      </c>
      <c r="AD3631" t="s">
        <v>45</v>
      </c>
      <c r="AE3631" s="1">
        <v>25402</v>
      </c>
      <c r="AF3631">
        <v>2</v>
      </c>
      <c r="AG3631" t="s">
        <v>224</v>
      </c>
      <c r="AH3631" s="36">
        <f t="shared" si="56"/>
        <v>50.152777777777779</v>
      </c>
      <c r="AI3631" s="41" t="s">
        <v>1780</v>
      </c>
    </row>
    <row r="3632" spans="1:35" x14ac:dyDescent="0.25">
      <c r="A3632" s="36">
        <v>99913630</v>
      </c>
      <c r="B3632" s="17" t="s">
        <v>32</v>
      </c>
      <c r="C3632" t="s">
        <v>111</v>
      </c>
      <c r="D3632" t="s">
        <v>112</v>
      </c>
      <c r="G3632" s="17" t="s">
        <v>35</v>
      </c>
      <c r="H3632" s="17">
        <v>1</v>
      </c>
      <c r="K3632" t="s">
        <v>1341</v>
      </c>
      <c r="L3632" t="s">
        <v>1342</v>
      </c>
      <c r="M3632" t="s">
        <v>1270</v>
      </c>
      <c r="N3632">
        <v>20</v>
      </c>
      <c r="O3632" t="s">
        <v>40</v>
      </c>
      <c r="P3632" t="s">
        <v>40</v>
      </c>
      <c r="Q3632" t="s">
        <v>40</v>
      </c>
      <c r="S3632" t="s">
        <v>40</v>
      </c>
      <c r="V3632" t="s">
        <v>41</v>
      </c>
      <c r="W3632" t="s">
        <v>75</v>
      </c>
      <c r="X3632" t="str">
        <f>"7191006"</f>
        <v>7191006</v>
      </c>
      <c r="Y3632" t="s">
        <v>1351</v>
      </c>
      <c r="Z3632" t="s">
        <v>1341</v>
      </c>
      <c r="AA3632" t="s">
        <v>1342</v>
      </c>
      <c r="AB3632" t="s">
        <v>1270</v>
      </c>
      <c r="AC3632" t="s">
        <v>51</v>
      </c>
      <c r="AD3632" t="s">
        <v>45</v>
      </c>
      <c r="AE3632" s="1">
        <v>25399</v>
      </c>
      <c r="AF3632">
        <v>1</v>
      </c>
      <c r="AG3632" t="s">
        <v>1342</v>
      </c>
      <c r="AH3632" s="36">
        <f t="shared" si="56"/>
        <v>50.161111111111111</v>
      </c>
      <c r="AI3632" s="41" t="s">
        <v>1780</v>
      </c>
    </row>
    <row r="3633" spans="1:35" x14ac:dyDescent="0.25">
      <c r="A3633" s="36">
        <v>99913631</v>
      </c>
      <c r="B3633" s="17" t="s">
        <v>32</v>
      </c>
      <c r="C3633" t="s">
        <v>90</v>
      </c>
      <c r="D3633" t="s">
        <v>91</v>
      </c>
      <c r="G3633" s="17" t="s">
        <v>48</v>
      </c>
      <c r="H3633" s="17">
        <v>1</v>
      </c>
      <c r="K3633" t="s">
        <v>1341</v>
      </c>
      <c r="L3633" t="s">
        <v>1342</v>
      </c>
      <c r="M3633" t="s">
        <v>1270</v>
      </c>
      <c r="N3633">
        <v>25</v>
      </c>
      <c r="O3633" t="s">
        <v>40</v>
      </c>
      <c r="P3633" t="s">
        <v>40</v>
      </c>
      <c r="Q3633" t="s">
        <v>40</v>
      </c>
      <c r="S3633" t="s">
        <v>40</v>
      </c>
      <c r="V3633" t="s">
        <v>41</v>
      </c>
      <c r="W3633" t="s">
        <v>95</v>
      </c>
      <c r="X3633" t="str">
        <f>"7191049"</f>
        <v>7191049</v>
      </c>
      <c r="Y3633" t="s">
        <v>1413</v>
      </c>
      <c r="Z3633" t="s">
        <v>1341</v>
      </c>
      <c r="AA3633" t="s">
        <v>1342</v>
      </c>
      <c r="AB3633" t="s">
        <v>1270</v>
      </c>
      <c r="AC3633" t="s">
        <v>51</v>
      </c>
      <c r="AD3633" t="s">
        <v>45</v>
      </c>
      <c r="AE3633" s="1">
        <v>25397</v>
      </c>
      <c r="AF3633">
        <v>1</v>
      </c>
      <c r="AG3633" t="s">
        <v>1342</v>
      </c>
      <c r="AH3633" s="36">
        <f t="shared" si="56"/>
        <v>50.166666666666664</v>
      </c>
      <c r="AI3633" s="41" t="s">
        <v>1780</v>
      </c>
    </row>
    <row r="3634" spans="1:35" x14ac:dyDescent="0.25">
      <c r="A3634" s="36">
        <v>99913632</v>
      </c>
      <c r="B3634" s="17" t="s">
        <v>32</v>
      </c>
      <c r="C3634" t="s">
        <v>46</v>
      </c>
      <c r="D3634" t="s">
        <v>47</v>
      </c>
      <c r="G3634" s="17" t="s">
        <v>35</v>
      </c>
      <c r="H3634" s="17">
        <v>1</v>
      </c>
      <c r="I3634" t="s">
        <v>348</v>
      </c>
      <c r="J3634" s="1">
        <v>43344</v>
      </c>
      <c r="K3634" t="s">
        <v>345</v>
      </c>
      <c r="L3634" t="s">
        <v>346</v>
      </c>
      <c r="M3634" t="s">
        <v>131</v>
      </c>
      <c r="N3634">
        <v>18</v>
      </c>
      <c r="O3634" t="s">
        <v>40</v>
      </c>
      <c r="S3634" t="s">
        <v>40</v>
      </c>
      <c r="U3634" s="1">
        <v>43344</v>
      </c>
      <c r="V3634" t="s">
        <v>41</v>
      </c>
      <c r="W3634" t="s">
        <v>42</v>
      </c>
      <c r="X3634" t="str">
        <f>"0580155"</f>
        <v>0580155</v>
      </c>
      <c r="Y3634" t="s">
        <v>365</v>
      </c>
      <c r="Z3634" t="s">
        <v>345</v>
      </c>
      <c r="AA3634" t="s">
        <v>346</v>
      </c>
      <c r="AB3634" t="s">
        <v>131</v>
      </c>
      <c r="AC3634" t="s">
        <v>51</v>
      </c>
      <c r="AD3634" t="s">
        <v>45</v>
      </c>
      <c r="AE3634" s="1">
        <v>25394</v>
      </c>
      <c r="AF3634">
        <v>2</v>
      </c>
      <c r="AG3634" t="s">
        <v>346</v>
      </c>
      <c r="AH3634" s="36">
        <f t="shared" si="56"/>
        <v>50.174999999999997</v>
      </c>
      <c r="AI3634" s="41" t="s">
        <v>1780</v>
      </c>
    </row>
    <row r="3635" spans="1:35" x14ac:dyDescent="0.25">
      <c r="A3635" s="36">
        <v>99913633</v>
      </c>
      <c r="B3635" s="17" t="s">
        <v>56</v>
      </c>
      <c r="C3635" t="s">
        <v>68</v>
      </c>
      <c r="D3635" t="s">
        <v>69</v>
      </c>
      <c r="G3635" s="17" t="s">
        <v>48</v>
      </c>
      <c r="H3635" s="17">
        <v>6</v>
      </c>
      <c r="K3635" t="s">
        <v>345</v>
      </c>
      <c r="L3635" t="s">
        <v>346</v>
      </c>
      <c r="M3635" t="s">
        <v>131</v>
      </c>
      <c r="N3635">
        <v>20</v>
      </c>
      <c r="O3635" t="s">
        <v>40</v>
      </c>
      <c r="P3635" t="s">
        <v>40</v>
      </c>
      <c r="Q3635" t="s">
        <v>40</v>
      </c>
      <c r="R3635" t="s">
        <v>40</v>
      </c>
      <c r="S3635" t="s">
        <v>40</v>
      </c>
      <c r="V3635" t="s">
        <v>41</v>
      </c>
      <c r="W3635" t="s">
        <v>49</v>
      </c>
      <c r="X3635" t="str">
        <f>"0561021"</f>
        <v>0561021</v>
      </c>
      <c r="Y3635" t="s">
        <v>352</v>
      </c>
      <c r="Z3635" t="s">
        <v>345</v>
      </c>
      <c r="AA3635" t="s">
        <v>346</v>
      </c>
      <c r="AB3635" t="s">
        <v>131</v>
      </c>
      <c r="AC3635" t="s">
        <v>51</v>
      </c>
      <c r="AD3635" t="s">
        <v>45</v>
      </c>
      <c r="AE3635" s="1">
        <v>25393</v>
      </c>
      <c r="AF3635">
        <v>2</v>
      </c>
      <c r="AG3635" t="s">
        <v>346</v>
      </c>
      <c r="AH3635" s="36">
        <f t="shared" si="56"/>
        <v>50.177777777777777</v>
      </c>
      <c r="AI3635" s="41" t="s">
        <v>1780</v>
      </c>
    </row>
    <row r="3636" spans="1:35" x14ac:dyDescent="0.25">
      <c r="A3636" s="36">
        <v>99913634</v>
      </c>
      <c r="B3636" s="17" t="s">
        <v>56</v>
      </c>
      <c r="C3636" t="s">
        <v>68</v>
      </c>
      <c r="D3636" t="s">
        <v>69</v>
      </c>
      <c r="G3636" s="17" t="s">
        <v>35</v>
      </c>
      <c r="H3636" s="17">
        <v>1</v>
      </c>
      <c r="I3636" t="s">
        <v>1594</v>
      </c>
      <c r="J3636" s="1">
        <v>43344</v>
      </c>
      <c r="K3636" t="s">
        <v>1590</v>
      </c>
      <c r="L3636" t="s">
        <v>1591</v>
      </c>
      <c r="M3636" t="s">
        <v>1592</v>
      </c>
      <c r="N3636">
        <v>10</v>
      </c>
      <c r="O3636" t="s">
        <v>40</v>
      </c>
      <c r="S3636" t="s">
        <v>40</v>
      </c>
      <c r="U3636" s="1">
        <v>43344</v>
      </c>
      <c r="V3636" t="s">
        <v>41</v>
      </c>
      <c r="W3636" t="s">
        <v>42</v>
      </c>
      <c r="X3636" t="str">
        <f>"0280020"</f>
        <v>0280020</v>
      </c>
      <c r="Y3636" t="s">
        <v>1597</v>
      </c>
      <c r="Z3636" t="s">
        <v>1590</v>
      </c>
      <c r="AA3636" t="s">
        <v>1591</v>
      </c>
      <c r="AB3636" t="s">
        <v>1592</v>
      </c>
      <c r="AC3636" t="s">
        <v>51</v>
      </c>
      <c r="AD3636" t="s">
        <v>45</v>
      </c>
      <c r="AE3636" s="1">
        <v>25386</v>
      </c>
      <c r="AF3636">
        <v>2</v>
      </c>
      <c r="AG3636" t="s">
        <v>1591</v>
      </c>
      <c r="AH3636" s="36">
        <f t="shared" si="56"/>
        <v>50.197222222222223</v>
      </c>
      <c r="AI3636" s="41" t="s">
        <v>1780</v>
      </c>
    </row>
    <row r="3637" spans="1:35" x14ac:dyDescent="0.25">
      <c r="A3637" s="36">
        <v>99913635</v>
      </c>
      <c r="B3637" s="17" t="s">
        <v>32</v>
      </c>
      <c r="C3637" t="s">
        <v>139</v>
      </c>
      <c r="D3637" t="s">
        <v>140</v>
      </c>
      <c r="G3637" s="17" t="s">
        <v>48</v>
      </c>
      <c r="H3637" s="17">
        <v>1</v>
      </c>
      <c r="K3637" t="s">
        <v>1590</v>
      </c>
      <c r="L3637" t="s">
        <v>1591</v>
      </c>
      <c r="M3637" t="s">
        <v>1592</v>
      </c>
      <c r="N3637">
        <v>11</v>
      </c>
      <c r="O3637" t="s">
        <v>40</v>
      </c>
      <c r="P3637" t="s">
        <v>40</v>
      </c>
      <c r="Q3637" t="s">
        <v>40</v>
      </c>
      <c r="R3637" t="s">
        <v>40</v>
      </c>
      <c r="S3637" t="s">
        <v>40</v>
      </c>
      <c r="V3637" t="s">
        <v>41</v>
      </c>
      <c r="W3637" t="s">
        <v>49</v>
      </c>
      <c r="X3637" t="str">
        <f>"0260001"</f>
        <v>0260001</v>
      </c>
      <c r="Y3637" t="s">
        <v>1595</v>
      </c>
      <c r="Z3637" t="s">
        <v>1590</v>
      </c>
      <c r="AA3637" t="s">
        <v>1591</v>
      </c>
      <c r="AB3637" t="s">
        <v>1592</v>
      </c>
      <c r="AC3637" t="s">
        <v>51</v>
      </c>
      <c r="AD3637" t="s">
        <v>45</v>
      </c>
      <c r="AE3637" s="1">
        <v>25384</v>
      </c>
      <c r="AF3637">
        <v>2</v>
      </c>
      <c r="AG3637" t="s">
        <v>1591</v>
      </c>
      <c r="AH3637" s="36">
        <f t="shared" si="56"/>
        <v>50.202777777777776</v>
      </c>
      <c r="AI3637" s="41" t="s">
        <v>1780</v>
      </c>
    </row>
    <row r="3638" spans="1:35" x14ac:dyDescent="0.25">
      <c r="A3638" s="36">
        <v>99913636</v>
      </c>
      <c r="B3638" s="17" t="s">
        <v>56</v>
      </c>
      <c r="C3638" t="s">
        <v>68</v>
      </c>
      <c r="D3638" t="s">
        <v>69</v>
      </c>
      <c r="G3638" s="17" t="s">
        <v>48</v>
      </c>
      <c r="H3638" s="17">
        <v>1</v>
      </c>
      <c r="K3638" t="s">
        <v>162</v>
      </c>
      <c r="L3638" t="s">
        <v>158</v>
      </c>
      <c r="M3638" t="s">
        <v>131</v>
      </c>
      <c r="N3638">
        <v>17</v>
      </c>
      <c r="O3638" t="s">
        <v>40</v>
      </c>
      <c r="P3638" t="s">
        <v>40</v>
      </c>
      <c r="Q3638" t="s">
        <v>40</v>
      </c>
      <c r="R3638" t="s">
        <v>40</v>
      </c>
      <c r="S3638" t="s">
        <v>40</v>
      </c>
      <c r="V3638" t="s">
        <v>41</v>
      </c>
      <c r="W3638" t="s">
        <v>42</v>
      </c>
      <c r="X3638" t="str">
        <f>"0580310"</f>
        <v>0580310</v>
      </c>
      <c r="Y3638" t="s">
        <v>173</v>
      </c>
      <c r="Z3638" t="s">
        <v>162</v>
      </c>
      <c r="AA3638" t="s">
        <v>158</v>
      </c>
      <c r="AB3638" t="s">
        <v>131</v>
      </c>
      <c r="AC3638" t="s">
        <v>51</v>
      </c>
      <c r="AD3638" t="s">
        <v>45</v>
      </c>
      <c r="AE3638" s="1">
        <v>25383</v>
      </c>
      <c r="AF3638">
        <v>2</v>
      </c>
      <c r="AG3638" t="s">
        <v>158</v>
      </c>
      <c r="AH3638" s="36">
        <f t="shared" si="56"/>
        <v>50.205555555555556</v>
      </c>
      <c r="AI3638" s="41" t="s">
        <v>1780</v>
      </c>
    </row>
    <row r="3639" spans="1:35" x14ac:dyDescent="0.25">
      <c r="A3639" s="36">
        <v>99913637</v>
      </c>
      <c r="B3639" s="17" t="s">
        <v>32</v>
      </c>
      <c r="C3639" t="s">
        <v>33</v>
      </c>
      <c r="D3639" t="s">
        <v>34</v>
      </c>
      <c r="G3639" s="17" t="s">
        <v>48</v>
      </c>
      <c r="H3639" s="17">
        <v>1</v>
      </c>
      <c r="K3639" t="s">
        <v>129</v>
      </c>
      <c r="L3639" t="s">
        <v>130</v>
      </c>
      <c r="M3639" t="s">
        <v>131</v>
      </c>
      <c r="N3639">
        <v>20</v>
      </c>
      <c r="O3639" t="s">
        <v>40</v>
      </c>
      <c r="P3639" t="s">
        <v>40</v>
      </c>
      <c r="Q3639" t="s">
        <v>40</v>
      </c>
      <c r="R3639" t="s">
        <v>40</v>
      </c>
      <c r="S3639" t="s">
        <v>40</v>
      </c>
      <c r="V3639" t="s">
        <v>41</v>
      </c>
      <c r="W3639" t="s">
        <v>42</v>
      </c>
      <c r="X3639" t="str">
        <f>"0590905"</f>
        <v>0590905</v>
      </c>
      <c r="Y3639" t="s">
        <v>133</v>
      </c>
      <c r="Z3639" t="s">
        <v>129</v>
      </c>
      <c r="AA3639" t="s">
        <v>130</v>
      </c>
      <c r="AB3639" t="s">
        <v>131</v>
      </c>
      <c r="AC3639" t="s">
        <v>51</v>
      </c>
      <c r="AD3639" t="s">
        <v>45</v>
      </c>
      <c r="AE3639" s="1">
        <v>25375</v>
      </c>
      <c r="AF3639">
        <v>2</v>
      </c>
      <c r="AG3639" t="s">
        <v>130</v>
      </c>
      <c r="AH3639" s="36">
        <f t="shared" si="56"/>
        <v>50.227777777777774</v>
      </c>
      <c r="AI3639" s="41" t="s">
        <v>1780</v>
      </c>
    </row>
    <row r="3640" spans="1:35" x14ac:dyDescent="0.25">
      <c r="A3640" s="36">
        <v>99913638</v>
      </c>
      <c r="B3640" s="17" t="s">
        <v>32</v>
      </c>
      <c r="C3640" t="s">
        <v>46</v>
      </c>
      <c r="D3640" t="s">
        <v>47</v>
      </c>
      <c r="G3640" s="17" t="s">
        <v>48</v>
      </c>
      <c r="H3640" s="17">
        <v>1</v>
      </c>
      <c r="K3640" t="s">
        <v>300</v>
      </c>
      <c r="L3640" t="s">
        <v>301</v>
      </c>
      <c r="M3640" t="s">
        <v>131</v>
      </c>
      <c r="N3640">
        <v>18</v>
      </c>
      <c r="O3640" t="s">
        <v>40</v>
      </c>
      <c r="P3640" t="s">
        <v>40</v>
      </c>
      <c r="Q3640" t="s">
        <v>40</v>
      </c>
      <c r="R3640" t="s">
        <v>40</v>
      </c>
      <c r="S3640" t="s">
        <v>40</v>
      </c>
      <c r="V3640" t="s">
        <v>41</v>
      </c>
      <c r="W3640" t="s">
        <v>42</v>
      </c>
      <c r="X3640" t="str">
        <f>"0580176"</f>
        <v>0580176</v>
      </c>
      <c r="Y3640" t="s">
        <v>305</v>
      </c>
      <c r="Z3640" t="s">
        <v>300</v>
      </c>
      <c r="AA3640" t="s">
        <v>301</v>
      </c>
      <c r="AB3640" t="s">
        <v>131</v>
      </c>
      <c r="AC3640" t="s">
        <v>51</v>
      </c>
      <c r="AD3640" t="s">
        <v>45</v>
      </c>
      <c r="AE3640" s="1">
        <v>25375</v>
      </c>
      <c r="AF3640">
        <v>2</v>
      </c>
      <c r="AG3640" t="s">
        <v>301</v>
      </c>
      <c r="AH3640" s="36">
        <f t="shared" si="56"/>
        <v>50.227777777777774</v>
      </c>
      <c r="AI3640" s="41" t="s">
        <v>1780</v>
      </c>
    </row>
    <row r="3641" spans="1:35" x14ac:dyDescent="0.25">
      <c r="A3641" s="36">
        <v>99913639</v>
      </c>
      <c r="B3641" s="17" t="s">
        <v>56</v>
      </c>
      <c r="C3641" t="s">
        <v>90</v>
      </c>
      <c r="D3641" t="s">
        <v>91</v>
      </c>
      <c r="G3641" s="17" t="s">
        <v>35</v>
      </c>
      <c r="H3641" s="17">
        <v>1</v>
      </c>
      <c r="I3641" t="s">
        <v>1075</v>
      </c>
      <c r="J3641" s="1">
        <v>43344</v>
      </c>
      <c r="K3641" t="s">
        <v>1071</v>
      </c>
      <c r="L3641" t="s">
        <v>1072</v>
      </c>
      <c r="M3641" t="s">
        <v>1053</v>
      </c>
      <c r="N3641">
        <v>25</v>
      </c>
      <c r="O3641" t="s">
        <v>40</v>
      </c>
      <c r="S3641" t="s">
        <v>40</v>
      </c>
      <c r="U3641" s="1">
        <v>43344</v>
      </c>
      <c r="V3641" t="s">
        <v>41</v>
      </c>
      <c r="W3641" t="s">
        <v>95</v>
      </c>
      <c r="X3641" t="str">
        <f>"7041003"</f>
        <v>7041003</v>
      </c>
      <c r="Y3641" t="s">
        <v>1076</v>
      </c>
      <c r="Z3641" t="s">
        <v>1071</v>
      </c>
      <c r="AA3641" t="s">
        <v>1072</v>
      </c>
      <c r="AB3641" t="s">
        <v>1053</v>
      </c>
      <c r="AC3641" t="s">
        <v>165</v>
      </c>
      <c r="AD3641" t="s">
        <v>45</v>
      </c>
      <c r="AE3641" s="1">
        <v>25373</v>
      </c>
      <c r="AF3641">
        <v>1</v>
      </c>
      <c r="AG3641" t="s">
        <v>1072</v>
      </c>
      <c r="AH3641" s="36">
        <f t="shared" si="56"/>
        <v>50.233333333333334</v>
      </c>
      <c r="AI3641" s="41" t="s">
        <v>1780</v>
      </c>
    </row>
    <row r="3642" spans="1:35" x14ac:dyDescent="0.25">
      <c r="A3642" s="36">
        <v>99913640</v>
      </c>
      <c r="B3642" s="17" t="s">
        <v>56</v>
      </c>
      <c r="C3642" t="s">
        <v>52</v>
      </c>
      <c r="D3642" t="s">
        <v>53</v>
      </c>
      <c r="G3642" s="17" t="s">
        <v>48</v>
      </c>
      <c r="H3642" s="17">
        <v>1</v>
      </c>
      <c r="K3642" t="s">
        <v>1268</v>
      </c>
      <c r="L3642" t="s">
        <v>1269</v>
      </c>
      <c r="M3642" t="s">
        <v>1270</v>
      </c>
      <c r="N3642">
        <v>30</v>
      </c>
      <c r="O3642" t="s">
        <v>40</v>
      </c>
      <c r="P3642" t="s">
        <v>40</v>
      </c>
      <c r="Q3642" t="s">
        <v>40</v>
      </c>
      <c r="S3642" t="s">
        <v>40</v>
      </c>
      <c r="V3642" t="s">
        <v>41</v>
      </c>
      <c r="W3642" t="s">
        <v>42</v>
      </c>
      <c r="X3642" t="str">
        <f>"1980050"</f>
        <v>1980050</v>
      </c>
      <c r="Y3642" t="s">
        <v>1278</v>
      </c>
      <c r="Z3642" t="s">
        <v>1268</v>
      </c>
      <c r="AA3642" t="s">
        <v>1269</v>
      </c>
      <c r="AB3642" t="s">
        <v>1270</v>
      </c>
      <c r="AC3642" t="s">
        <v>51</v>
      </c>
      <c r="AD3642" t="s">
        <v>45</v>
      </c>
      <c r="AE3642" s="1">
        <v>25368</v>
      </c>
      <c r="AF3642">
        <v>2</v>
      </c>
      <c r="AG3642" t="s">
        <v>1269</v>
      </c>
      <c r="AH3642" s="36">
        <f t="shared" si="56"/>
        <v>50.24722222222222</v>
      </c>
      <c r="AI3642" s="41" t="s">
        <v>1780</v>
      </c>
    </row>
    <row r="3643" spans="1:35" x14ac:dyDescent="0.25">
      <c r="A3643" s="36">
        <v>99913641</v>
      </c>
      <c r="B3643" s="17" t="s">
        <v>56</v>
      </c>
      <c r="C3643" t="s">
        <v>79</v>
      </c>
      <c r="D3643" t="s">
        <v>80</v>
      </c>
      <c r="G3643" s="17" t="s">
        <v>48</v>
      </c>
      <c r="H3643" s="17">
        <v>1</v>
      </c>
      <c r="K3643" t="s">
        <v>162</v>
      </c>
      <c r="L3643" t="s">
        <v>158</v>
      </c>
      <c r="M3643" t="s">
        <v>131</v>
      </c>
      <c r="N3643">
        <v>7</v>
      </c>
      <c r="O3643" t="s">
        <v>40</v>
      </c>
      <c r="P3643" t="s">
        <v>40</v>
      </c>
      <c r="Q3643" t="s">
        <v>40</v>
      </c>
      <c r="S3643" t="s">
        <v>40</v>
      </c>
      <c r="V3643" t="s">
        <v>41</v>
      </c>
      <c r="W3643" t="s">
        <v>49</v>
      </c>
      <c r="X3643" t="str">
        <f>"0560027"</f>
        <v>0560027</v>
      </c>
      <c r="Y3643" t="s">
        <v>178</v>
      </c>
      <c r="Z3643" t="s">
        <v>162</v>
      </c>
      <c r="AA3643" t="s">
        <v>158</v>
      </c>
      <c r="AB3643" t="s">
        <v>131</v>
      </c>
      <c r="AC3643" t="s">
        <v>51</v>
      </c>
      <c r="AD3643" t="s">
        <v>45</v>
      </c>
      <c r="AE3643" s="1">
        <v>25366</v>
      </c>
      <c r="AF3643">
        <v>2</v>
      </c>
      <c r="AG3643" t="s">
        <v>158</v>
      </c>
      <c r="AH3643" s="36">
        <f t="shared" si="56"/>
        <v>50.25277777777778</v>
      </c>
      <c r="AI3643" s="41" t="s">
        <v>1780</v>
      </c>
    </row>
    <row r="3644" spans="1:35" x14ac:dyDescent="0.25">
      <c r="A3644" s="36">
        <v>99913642</v>
      </c>
      <c r="B3644" s="17" t="s">
        <v>56</v>
      </c>
      <c r="C3644" t="s">
        <v>46</v>
      </c>
      <c r="D3644" t="s">
        <v>47</v>
      </c>
      <c r="G3644" s="17" t="s">
        <v>48</v>
      </c>
      <c r="H3644" s="17">
        <v>1</v>
      </c>
      <c r="K3644" t="s">
        <v>1051</v>
      </c>
      <c r="L3644" t="s">
        <v>1052</v>
      </c>
      <c r="M3644" t="s">
        <v>1053</v>
      </c>
      <c r="N3644">
        <v>23</v>
      </c>
      <c r="O3644" t="s">
        <v>40</v>
      </c>
      <c r="P3644" t="s">
        <v>40</v>
      </c>
      <c r="Q3644" t="s">
        <v>40</v>
      </c>
      <c r="R3644" t="s">
        <v>40</v>
      </c>
      <c r="S3644" t="s">
        <v>40</v>
      </c>
      <c r="V3644" t="s">
        <v>41</v>
      </c>
      <c r="W3644" t="s">
        <v>42</v>
      </c>
      <c r="X3644" t="str">
        <f>"2061001"</f>
        <v>2061001</v>
      </c>
      <c r="Y3644" t="s">
        <v>1058</v>
      </c>
      <c r="Z3644" t="s">
        <v>1051</v>
      </c>
      <c r="AA3644" t="s">
        <v>1052</v>
      </c>
      <c r="AB3644" t="s">
        <v>1053</v>
      </c>
      <c r="AC3644" t="s">
        <v>51</v>
      </c>
      <c r="AD3644" t="s">
        <v>45</v>
      </c>
      <c r="AE3644" s="1">
        <v>25362</v>
      </c>
      <c r="AF3644">
        <v>2</v>
      </c>
      <c r="AG3644" t="s">
        <v>1052</v>
      </c>
      <c r="AH3644" s="36">
        <f t="shared" si="56"/>
        <v>50.263888888888886</v>
      </c>
      <c r="AI3644" s="41" t="s">
        <v>1780</v>
      </c>
    </row>
    <row r="3645" spans="1:35" x14ac:dyDescent="0.25">
      <c r="A3645" s="36">
        <v>99913643</v>
      </c>
      <c r="B3645" s="17" t="s">
        <v>32</v>
      </c>
      <c r="C3645" t="s">
        <v>33</v>
      </c>
      <c r="D3645" t="s">
        <v>34</v>
      </c>
      <c r="G3645" s="17" t="s">
        <v>48</v>
      </c>
      <c r="H3645" s="17">
        <v>1</v>
      </c>
      <c r="K3645" t="s">
        <v>1268</v>
      </c>
      <c r="L3645" t="s">
        <v>1269</v>
      </c>
      <c r="M3645" t="s">
        <v>1270</v>
      </c>
      <c r="N3645">
        <v>20</v>
      </c>
      <c r="O3645" t="s">
        <v>40</v>
      </c>
      <c r="P3645" t="s">
        <v>40</v>
      </c>
      <c r="Q3645" t="s">
        <v>40</v>
      </c>
      <c r="R3645" t="s">
        <v>40</v>
      </c>
      <c r="S3645" t="s">
        <v>40</v>
      </c>
      <c r="V3645" t="s">
        <v>41</v>
      </c>
      <c r="W3645" t="s">
        <v>42</v>
      </c>
      <c r="X3645" t="str">
        <f>"1990910"</f>
        <v>1990910</v>
      </c>
      <c r="Y3645" t="s">
        <v>1281</v>
      </c>
      <c r="Z3645" t="s">
        <v>1268</v>
      </c>
      <c r="AA3645" t="s">
        <v>1269</v>
      </c>
      <c r="AB3645" t="s">
        <v>1270</v>
      </c>
      <c r="AC3645" t="s">
        <v>165</v>
      </c>
      <c r="AD3645" t="s">
        <v>45</v>
      </c>
      <c r="AE3645" s="1">
        <v>25361</v>
      </c>
      <c r="AF3645">
        <v>2</v>
      </c>
      <c r="AG3645" t="s">
        <v>1269</v>
      </c>
      <c r="AH3645" s="36">
        <f t="shared" si="56"/>
        <v>50.266666666666666</v>
      </c>
      <c r="AI3645" s="41" t="s">
        <v>1780</v>
      </c>
    </row>
    <row r="3646" spans="1:35" x14ac:dyDescent="0.25">
      <c r="A3646" s="36">
        <v>99913644</v>
      </c>
      <c r="B3646" s="17" t="s">
        <v>56</v>
      </c>
      <c r="C3646" t="s">
        <v>82</v>
      </c>
      <c r="D3646" t="s">
        <v>83</v>
      </c>
      <c r="G3646" s="17" t="s">
        <v>35</v>
      </c>
      <c r="H3646" s="17">
        <v>1</v>
      </c>
      <c r="I3646">
        <v>16467</v>
      </c>
      <c r="J3646" s="1">
        <v>43344</v>
      </c>
      <c r="K3646" t="s">
        <v>345</v>
      </c>
      <c r="L3646" t="s">
        <v>346</v>
      </c>
      <c r="M3646" t="s">
        <v>131</v>
      </c>
      <c r="N3646">
        <v>20</v>
      </c>
      <c r="O3646" t="s">
        <v>40</v>
      </c>
      <c r="P3646" t="s">
        <v>40</v>
      </c>
      <c r="Q3646" t="s">
        <v>40</v>
      </c>
      <c r="S3646" t="s">
        <v>40</v>
      </c>
      <c r="U3646" s="1">
        <v>43344</v>
      </c>
      <c r="V3646" t="s">
        <v>41</v>
      </c>
      <c r="W3646" t="s">
        <v>42</v>
      </c>
      <c r="X3646" t="str">
        <f>"0590906"</f>
        <v>0590906</v>
      </c>
      <c r="Y3646" t="s">
        <v>361</v>
      </c>
      <c r="Z3646" t="s">
        <v>345</v>
      </c>
      <c r="AA3646" t="s">
        <v>346</v>
      </c>
      <c r="AB3646" t="s">
        <v>131</v>
      </c>
      <c r="AC3646" t="s">
        <v>55</v>
      </c>
      <c r="AD3646" t="s">
        <v>45</v>
      </c>
      <c r="AE3646" s="1">
        <v>25358</v>
      </c>
      <c r="AF3646">
        <v>2</v>
      </c>
      <c r="AG3646" t="s">
        <v>346</v>
      </c>
      <c r="AH3646" s="36">
        <f t="shared" si="56"/>
        <v>50.274999999999999</v>
      </c>
      <c r="AI3646" s="41" t="s">
        <v>1780</v>
      </c>
    </row>
    <row r="3647" spans="1:35" x14ac:dyDescent="0.25">
      <c r="A3647" s="36">
        <v>99913645</v>
      </c>
      <c r="B3647" s="17" t="s">
        <v>32</v>
      </c>
      <c r="C3647" t="s">
        <v>82</v>
      </c>
      <c r="D3647" t="s">
        <v>83</v>
      </c>
      <c r="G3647" s="17" t="s">
        <v>48</v>
      </c>
      <c r="H3647" s="17">
        <v>1</v>
      </c>
      <c r="K3647" t="s">
        <v>223</v>
      </c>
      <c r="L3647" t="s">
        <v>224</v>
      </c>
      <c r="M3647" t="s">
        <v>131</v>
      </c>
      <c r="N3647">
        <v>18</v>
      </c>
      <c r="O3647" t="s">
        <v>40</v>
      </c>
      <c r="P3647" t="s">
        <v>40</v>
      </c>
      <c r="Q3647" t="s">
        <v>40</v>
      </c>
      <c r="R3647" t="s">
        <v>40</v>
      </c>
      <c r="S3647" t="s">
        <v>40</v>
      </c>
      <c r="V3647" t="s">
        <v>41</v>
      </c>
      <c r="W3647" t="s">
        <v>42</v>
      </c>
      <c r="X3647" t="str">
        <f>"0580202"</f>
        <v>0580202</v>
      </c>
      <c r="Y3647" t="s">
        <v>240</v>
      </c>
      <c r="Z3647" t="s">
        <v>223</v>
      </c>
      <c r="AA3647" t="s">
        <v>224</v>
      </c>
      <c r="AB3647" t="s">
        <v>131</v>
      </c>
      <c r="AC3647" t="s">
        <v>165</v>
      </c>
      <c r="AD3647" t="s">
        <v>45</v>
      </c>
      <c r="AE3647" s="1">
        <v>25355</v>
      </c>
      <c r="AF3647">
        <v>2</v>
      </c>
      <c r="AG3647" t="s">
        <v>224</v>
      </c>
      <c r="AH3647" s="36">
        <f t="shared" si="56"/>
        <v>50.283333333333331</v>
      </c>
      <c r="AI3647" s="41" t="s">
        <v>1780</v>
      </c>
    </row>
    <row r="3648" spans="1:35" x14ac:dyDescent="0.25">
      <c r="A3648" s="36">
        <v>99913646</v>
      </c>
      <c r="B3648" s="17" t="s">
        <v>32</v>
      </c>
      <c r="C3648" t="s">
        <v>117</v>
      </c>
      <c r="D3648" t="s">
        <v>118</v>
      </c>
      <c r="G3648" s="17" t="s">
        <v>35</v>
      </c>
      <c r="H3648" s="17">
        <v>1</v>
      </c>
      <c r="K3648" t="s">
        <v>268</v>
      </c>
      <c r="L3648" t="s">
        <v>269</v>
      </c>
      <c r="M3648" t="s">
        <v>131</v>
      </c>
      <c r="N3648">
        <v>10</v>
      </c>
      <c r="O3648" t="s">
        <v>40</v>
      </c>
      <c r="P3648" t="s">
        <v>40</v>
      </c>
      <c r="Q3648" t="s">
        <v>40</v>
      </c>
      <c r="S3648" t="s">
        <v>40</v>
      </c>
      <c r="V3648" t="s">
        <v>41</v>
      </c>
      <c r="W3648" t="s">
        <v>75</v>
      </c>
      <c r="X3648" t="str">
        <f>"7052010"</f>
        <v>7052010</v>
      </c>
      <c r="Y3648" t="s">
        <v>615</v>
      </c>
      <c r="Z3648" t="s">
        <v>268</v>
      </c>
      <c r="AA3648" t="s">
        <v>269</v>
      </c>
      <c r="AB3648" t="s">
        <v>131</v>
      </c>
      <c r="AC3648" t="s">
        <v>51</v>
      </c>
      <c r="AD3648" t="s">
        <v>45</v>
      </c>
      <c r="AE3648" s="1">
        <v>25355</v>
      </c>
      <c r="AF3648">
        <v>1</v>
      </c>
      <c r="AG3648" t="s">
        <v>269</v>
      </c>
      <c r="AH3648" s="36">
        <f t="shared" si="56"/>
        <v>50.283333333333331</v>
      </c>
      <c r="AI3648" s="41" t="s">
        <v>1780</v>
      </c>
    </row>
    <row r="3649" spans="1:35" x14ac:dyDescent="0.25">
      <c r="A3649" s="36">
        <v>99913647</v>
      </c>
      <c r="B3649" s="17" t="s">
        <v>32</v>
      </c>
      <c r="C3649" t="s">
        <v>46</v>
      </c>
      <c r="D3649" t="s">
        <v>47</v>
      </c>
      <c r="G3649" s="17" t="s">
        <v>48</v>
      </c>
      <c r="H3649" s="17">
        <v>1</v>
      </c>
      <c r="K3649" t="s">
        <v>223</v>
      </c>
      <c r="L3649" t="s">
        <v>224</v>
      </c>
      <c r="M3649" t="s">
        <v>131</v>
      </c>
      <c r="N3649">
        <v>20</v>
      </c>
      <c r="O3649" t="s">
        <v>40</v>
      </c>
      <c r="P3649" t="s">
        <v>40</v>
      </c>
      <c r="Q3649" t="s">
        <v>40</v>
      </c>
      <c r="R3649" t="s">
        <v>40</v>
      </c>
      <c r="S3649" t="s">
        <v>40</v>
      </c>
      <c r="V3649" t="s">
        <v>41</v>
      </c>
      <c r="W3649" t="s">
        <v>49</v>
      </c>
      <c r="X3649" t="str">
        <f>"0581202"</f>
        <v>0581202</v>
      </c>
      <c r="Y3649" t="s">
        <v>248</v>
      </c>
      <c r="Z3649" t="s">
        <v>223</v>
      </c>
      <c r="AA3649" t="s">
        <v>224</v>
      </c>
      <c r="AB3649" t="s">
        <v>131</v>
      </c>
      <c r="AC3649" t="s">
        <v>51</v>
      </c>
      <c r="AD3649" t="s">
        <v>45</v>
      </c>
      <c r="AE3649" s="1">
        <v>25353</v>
      </c>
      <c r="AF3649">
        <v>2</v>
      </c>
      <c r="AG3649" t="s">
        <v>224</v>
      </c>
      <c r="AH3649" s="36">
        <f t="shared" si="56"/>
        <v>50.288888888888891</v>
      </c>
      <c r="AI3649" s="41" t="s">
        <v>1780</v>
      </c>
    </row>
    <row r="3650" spans="1:35" x14ac:dyDescent="0.25">
      <c r="A3650" s="36">
        <v>99913648</v>
      </c>
      <c r="B3650" s="17" t="s">
        <v>56</v>
      </c>
      <c r="C3650" t="s">
        <v>46</v>
      </c>
      <c r="D3650" t="s">
        <v>47</v>
      </c>
      <c r="G3650" s="17" t="s">
        <v>35</v>
      </c>
      <c r="H3650" s="17">
        <v>1</v>
      </c>
      <c r="I3650" t="s">
        <v>372</v>
      </c>
      <c r="J3650" s="1">
        <v>43344</v>
      </c>
      <c r="K3650" t="s">
        <v>345</v>
      </c>
      <c r="L3650" t="s">
        <v>346</v>
      </c>
      <c r="M3650" t="s">
        <v>131</v>
      </c>
      <c r="N3650">
        <v>20</v>
      </c>
      <c r="O3650" t="s">
        <v>40</v>
      </c>
      <c r="S3650" t="s">
        <v>40</v>
      </c>
      <c r="U3650" s="1">
        <v>43344</v>
      </c>
      <c r="V3650" t="s">
        <v>41</v>
      </c>
      <c r="W3650" t="s">
        <v>42</v>
      </c>
      <c r="X3650" t="str">
        <f>"0561006"</f>
        <v>0561006</v>
      </c>
      <c r="Y3650" t="s">
        <v>360</v>
      </c>
      <c r="Z3650" t="s">
        <v>345</v>
      </c>
      <c r="AA3650" t="s">
        <v>346</v>
      </c>
      <c r="AB3650" t="s">
        <v>131</v>
      </c>
      <c r="AC3650" t="s">
        <v>51</v>
      </c>
      <c r="AD3650" t="s">
        <v>45</v>
      </c>
      <c r="AE3650" s="1">
        <v>25353</v>
      </c>
      <c r="AF3650">
        <v>2</v>
      </c>
      <c r="AG3650" t="s">
        <v>346</v>
      </c>
      <c r="AH3650" s="36">
        <f t="shared" ref="AH3650:AH3713" si="57">($AJ$1-AE3650)/360</f>
        <v>50.288888888888891</v>
      </c>
      <c r="AI3650" s="41" t="s">
        <v>1780</v>
      </c>
    </row>
    <row r="3651" spans="1:35" x14ac:dyDescent="0.25">
      <c r="A3651" s="36">
        <v>99913649</v>
      </c>
      <c r="B3651" s="17" t="s">
        <v>32</v>
      </c>
      <c r="C3651" t="s">
        <v>46</v>
      </c>
      <c r="D3651" t="s">
        <v>47</v>
      </c>
      <c r="G3651" s="17" t="s">
        <v>35</v>
      </c>
      <c r="H3651" s="17">
        <v>1</v>
      </c>
      <c r="K3651" t="s">
        <v>223</v>
      </c>
      <c r="L3651" t="s">
        <v>224</v>
      </c>
      <c r="M3651" t="s">
        <v>131</v>
      </c>
      <c r="N3651">
        <v>18</v>
      </c>
      <c r="O3651" t="s">
        <v>40</v>
      </c>
      <c r="P3651" t="s">
        <v>40</v>
      </c>
      <c r="Q3651" t="s">
        <v>40</v>
      </c>
      <c r="S3651" t="s">
        <v>40</v>
      </c>
      <c r="V3651" t="s">
        <v>41</v>
      </c>
      <c r="W3651" t="s">
        <v>49</v>
      </c>
      <c r="X3651" t="str">
        <f>"0591907"</f>
        <v>0591907</v>
      </c>
      <c r="Y3651" t="s">
        <v>243</v>
      </c>
      <c r="Z3651" t="s">
        <v>223</v>
      </c>
      <c r="AA3651" t="s">
        <v>224</v>
      </c>
      <c r="AB3651" t="s">
        <v>131</v>
      </c>
      <c r="AC3651" t="s">
        <v>51</v>
      </c>
      <c r="AD3651" t="s">
        <v>45</v>
      </c>
      <c r="AE3651" s="1">
        <v>25351</v>
      </c>
      <c r="AF3651">
        <v>2</v>
      </c>
      <c r="AG3651" t="s">
        <v>224</v>
      </c>
      <c r="AH3651" s="36">
        <f t="shared" si="57"/>
        <v>50.294444444444444</v>
      </c>
      <c r="AI3651" s="41" t="s">
        <v>1780</v>
      </c>
    </row>
    <row r="3652" spans="1:35" x14ac:dyDescent="0.25">
      <c r="A3652" s="36">
        <v>99913650</v>
      </c>
      <c r="B3652" s="17" t="s">
        <v>32</v>
      </c>
      <c r="C3652" t="s">
        <v>46</v>
      </c>
      <c r="D3652" t="s">
        <v>47</v>
      </c>
      <c r="G3652" s="17" t="s">
        <v>48</v>
      </c>
      <c r="H3652" s="17">
        <v>1</v>
      </c>
      <c r="K3652" t="s">
        <v>380</v>
      </c>
      <c r="L3652" t="s">
        <v>381</v>
      </c>
      <c r="M3652" t="s">
        <v>131</v>
      </c>
      <c r="N3652">
        <v>7</v>
      </c>
      <c r="O3652" t="s">
        <v>40</v>
      </c>
      <c r="P3652" t="s">
        <v>40</v>
      </c>
      <c r="Q3652" t="s">
        <v>40</v>
      </c>
      <c r="R3652" t="s">
        <v>40</v>
      </c>
      <c r="S3652" t="s">
        <v>40</v>
      </c>
      <c r="V3652" t="s">
        <v>41</v>
      </c>
      <c r="W3652" t="s">
        <v>49</v>
      </c>
      <c r="X3652" t="str">
        <f>"0591908"</f>
        <v>0591908</v>
      </c>
      <c r="Y3652" t="s">
        <v>383</v>
      </c>
      <c r="Z3652" t="s">
        <v>380</v>
      </c>
      <c r="AA3652" t="s">
        <v>381</v>
      </c>
      <c r="AB3652" t="s">
        <v>131</v>
      </c>
      <c r="AC3652" t="s">
        <v>51</v>
      </c>
      <c r="AD3652" t="s">
        <v>45</v>
      </c>
      <c r="AE3652" s="1">
        <v>25350</v>
      </c>
      <c r="AF3652">
        <v>2</v>
      </c>
      <c r="AG3652" t="s">
        <v>381</v>
      </c>
      <c r="AH3652" s="36">
        <f t="shared" si="57"/>
        <v>50.297222222222224</v>
      </c>
      <c r="AI3652" s="41" t="s">
        <v>1780</v>
      </c>
    </row>
    <row r="3653" spans="1:35" x14ac:dyDescent="0.25">
      <c r="A3653" s="36">
        <v>99913651</v>
      </c>
      <c r="B3653" s="17" t="s">
        <v>32</v>
      </c>
      <c r="C3653" t="s">
        <v>90</v>
      </c>
      <c r="D3653" t="s">
        <v>91</v>
      </c>
      <c r="G3653" s="17" t="s">
        <v>35</v>
      </c>
      <c r="H3653" s="17">
        <v>1</v>
      </c>
      <c r="I3653">
        <v>187770</v>
      </c>
      <c r="J3653" s="1">
        <v>43344</v>
      </c>
      <c r="K3653" t="s">
        <v>1071</v>
      </c>
      <c r="L3653" t="s">
        <v>1072</v>
      </c>
      <c r="M3653" t="s">
        <v>1053</v>
      </c>
      <c r="N3653">
        <v>25</v>
      </c>
      <c r="O3653" t="s">
        <v>40</v>
      </c>
      <c r="S3653" t="s">
        <v>40</v>
      </c>
      <c r="U3653" s="1">
        <v>43344</v>
      </c>
      <c r="V3653" t="s">
        <v>41</v>
      </c>
      <c r="W3653" t="s">
        <v>95</v>
      </c>
      <c r="X3653" t="str">
        <f>"7041007"</f>
        <v>7041007</v>
      </c>
      <c r="Y3653" t="s">
        <v>1074</v>
      </c>
      <c r="Z3653" t="s">
        <v>1071</v>
      </c>
      <c r="AA3653" t="s">
        <v>1072</v>
      </c>
      <c r="AB3653" t="s">
        <v>1053</v>
      </c>
      <c r="AC3653" t="s">
        <v>165</v>
      </c>
      <c r="AD3653" t="s">
        <v>45</v>
      </c>
      <c r="AE3653" s="1">
        <v>25349</v>
      </c>
      <c r="AF3653">
        <v>1</v>
      </c>
      <c r="AG3653" t="s">
        <v>1072</v>
      </c>
      <c r="AH3653" s="36">
        <f t="shared" si="57"/>
        <v>50.3</v>
      </c>
      <c r="AI3653" s="41" t="s">
        <v>1780</v>
      </c>
    </row>
    <row r="3654" spans="1:35" x14ac:dyDescent="0.25">
      <c r="A3654" s="36">
        <v>99913652</v>
      </c>
      <c r="B3654" s="17" t="s">
        <v>56</v>
      </c>
      <c r="C3654" t="s">
        <v>46</v>
      </c>
      <c r="D3654" t="s">
        <v>47</v>
      </c>
      <c r="G3654" s="17" t="s">
        <v>48</v>
      </c>
      <c r="H3654" s="17">
        <v>1</v>
      </c>
      <c r="K3654" t="s">
        <v>345</v>
      </c>
      <c r="L3654" t="s">
        <v>346</v>
      </c>
      <c r="M3654" t="s">
        <v>131</v>
      </c>
      <c r="N3654">
        <v>18</v>
      </c>
      <c r="O3654" t="s">
        <v>40</v>
      </c>
      <c r="P3654" t="s">
        <v>40</v>
      </c>
      <c r="Q3654" t="s">
        <v>40</v>
      </c>
      <c r="R3654" t="s">
        <v>40</v>
      </c>
      <c r="S3654" t="s">
        <v>40</v>
      </c>
      <c r="V3654" t="s">
        <v>41</v>
      </c>
      <c r="W3654" t="s">
        <v>42</v>
      </c>
      <c r="X3654" t="str">
        <f>"0590906"</f>
        <v>0590906</v>
      </c>
      <c r="Y3654" t="s">
        <v>361</v>
      </c>
      <c r="Z3654" t="s">
        <v>345</v>
      </c>
      <c r="AA3654" t="s">
        <v>346</v>
      </c>
      <c r="AB3654" t="s">
        <v>131</v>
      </c>
      <c r="AC3654" t="s">
        <v>51</v>
      </c>
      <c r="AD3654" t="s">
        <v>45</v>
      </c>
      <c r="AE3654" s="1">
        <v>25346</v>
      </c>
      <c r="AF3654">
        <v>2</v>
      </c>
      <c r="AG3654" t="s">
        <v>346</v>
      </c>
      <c r="AH3654" s="36">
        <f t="shared" si="57"/>
        <v>50.30833333333333</v>
      </c>
      <c r="AI3654" s="41" t="s">
        <v>1780</v>
      </c>
    </row>
    <row r="3655" spans="1:35" x14ac:dyDescent="0.25">
      <c r="A3655" s="36">
        <v>99913653</v>
      </c>
      <c r="B3655" s="17" t="s">
        <v>32</v>
      </c>
      <c r="C3655" t="s">
        <v>64</v>
      </c>
      <c r="D3655" t="s">
        <v>65</v>
      </c>
      <c r="G3655" s="17" t="s">
        <v>48</v>
      </c>
      <c r="H3655" s="17">
        <v>4</v>
      </c>
      <c r="K3655" t="s">
        <v>1426</v>
      </c>
      <c r="L3655" t="s">
        <v>1427</v>
      </c>
      <c r="M3655" t="s">
        <v>1270</v>
      </c>
      <c r="N3655">
        <v>20</v>
      </c>
      <c r="O3655" t="s">
        <v>40</v>
      </c>
      <c r="P3655" t="s">
        <v>40</v>
      </c>
      <c r="Q3655" t="s">
        <v>40</v>
      </c>
      <c r="R3655" t="s">
        <v>40</v>
      </c>
      <c r="S3655" t="s">
        <v>40</v>
      </c>
      <c r="V3655" t="s">
        <v>41</v>
      </c>
      <c r="W3655" t="s">
        <v>75</v>
      </c>
      <c r="X3655" t="str">
        <f>"7192000"</f>
        <v>7192000</v>
      </c>
      <c r="Y3655" t="s">
        <v>1429</v>
      </c>
      <c r="Z3655" t="s">
        <v>1426</v>
      </c>
      <c r="AA3655" t="s">
        <v>1427</v>
      </c>
      <c r="AB3655" t="s">
        <v>1270</v>
      </c>
      <c r="AC3655" t="s">
        <v>51</v>
      </c>
      <c r="AD3655" t="s">
        <v>45</v>
      </c>
      <c r="AE3655" s="1">
        <v>25343</v>
      </c>
      <c r="AF3655">
        <v>1</v>
      </c>
      <c r="AG3655" t="s">
        <v>1427</v>
      </c>
      <c r="AH3655" s="36">
        <f t="shared" si="57"/>
        <v>50.31666666666667</v>
      </c>
      <c r="AI3655" s="41" t="s">
        <v>1780</v>
      </c>
    </row>
    <row r="3656" spans="1:35" x14ac:dyDescent="0.25">
      <c r="A3656" s="36">
        <v>99913654</v>
      </c>
      <c r="B3656" s="17" t="s">
        <v>32</v>
      </c>
      <c r="C3656" t="s">
        <v>139</v>
      </c>
      <c r="D3656" t="s">
        <v>140</v>
      </c>
      <c r="G3656" s="17" t="s">
        <v>48</v>
      </c>
      <c r="H3656" s="17">
        <v>1</v>
      </c>
      <c r="K3656" t="s">
        <v>162</v>
      </c>
      <c r="L3656" t="s">
        <v>158</v>
      </c>
      <c r="M3656" t="s">
        <v>131</v>
      </c>
      <c r="N3656">
        <v>21</v>
      </c>
      <c r="O3656" t="s">
        <v>40</v>
      </c>
      <c r="P3656" t="s">
        <v>40</v>
      </c>
      <c r="Q3656" t="s">
        <v>40</v>
      </c>
      <c r="R3656" t="s">
        <v>40</v>
      </c>
      <c r="S3656" t="s">
        <v>40</v>
      </c>
      <c r="V3656" t="s">
        <v>41</v>
      </c>
      <c r="W3656" t="s">
        <v>49</v>
      </c>
      <c r="X3656" t="str">
        <f>"0581325"</f>
        <v>0581325</v>
      </c>
      <c r="Y3656" t="s">
        <v>169</v>
      </c>
      <c r="Z3656" t="s">
        <v>162</v>
      </c>
      <c r="AA3656" t="s">
        <v>158</v>
      </c>
      <c r="AB3656" t="s">
        <v>131</v>
      </c>
      <c r="AC3656" t="s">
        <v>51</v>
      </c>
      <c r="AD3656" t="s">
        <v>45</v>
      </c>
      <c r="AE3656" s="1">
        <v>25340</v>
      </c>
      <c r="AF3656">
        <v>2</v>
      </c>
      <c r="AG3656" t="s">
        <v>158</v>
      </c>
      <c r="AH3656" s="36">
        <f t="shared" si="57"/>
        <v>50.325000000000003</v>
      </c>
      <c r="AI3656" s="41" t="s">
        <v>1780</v>
      </c>
    </row>
    <row r="3657" spans="1:35" x14ac:dyDescent="0.25">
      <c r="A3657" s="36">
        <v>99913655</v>
      </c>
      <c r="B3657" s="17" t="s">
        <v>56</v>
      </c>
      <c r="C3657" t="s">
        <v>139</v>
      </c>
      <c r="D3657" t="s">
        <v>140</v>
      </c>
      <c r="G3657" s="17" t="s">
        <v>48</v>
      </c>
      <c r="H3657" s="17">
        <v>10</v>
      </c>
      <c r="K3657" t="s">
        <v>345</v>
      </c>
      <c r="L3657" t="s">
        <v>346</v>
      </c>
      <c r="M3657" t="s">
        <v>131</v>
      </c>
      <c r="N3657">
        <v>20</v>
      </c>
      <c r="O3657" t="s">
        <v>40</v>
      </c>
      <c r="P3657" t="s">
        <v>40</v>
      </c>
      <c r="Q3657" t="s">
        <v>40</v>
      </c>
      <c r="R3657" t="s">
        <v>40</v>
      </c>
      <c r="S3657" t="s">
        <v>40</v>
      </c>
      <c r="V3657" t="s">
        <v>41</v>
      </c>
      <c r="W3657" t="s">
        <v>49</v>
      </c>
      <c r="X3657" t="str">
        <f>"0591906"</f>
        <v>0591906</v>
      </c>
      <c r="Y3657" t="s">
        <v>350</v>
      </c>
      <c r="Z3657" t="s">
        <v>345</v>
      </c>
      <c r="AA3657" t="s">
        <v>346</v>
      </c>
      <c r="AB3657" t="s">
        <v>131</v>
      </c>
      <c r="AC3657" t="s">
        <v>51</v>
      </c>
      <c r="AD3657" t="s">
        <v>45</v>
      </c>
      <c r="AE3657" s="1">
        <v>25340</v>
      </c>
      <c r="AF3657">
        <v>2</v>
      </c>
      <c r="AG3657" t="s">
        <v>346</v>
      </c>
      <c r="AH3657" s="36">
        <f t="shared" si="57"/>
        <v>50.325000000000003</v>
      </c>
      <c r="AI3657" s="41" t="s">
        <v>1780</v>
      </c>
    </row>
    <row r="3658" spans="1:35" x14ac:dyDescent="0.25">
      <c r="A3658" s="36">
        <v>99913656</v>
      </c>
      <c r="B3658" s="17" t="s">
        <v>56</v>
      </c>
      <c r="C3658" t="s">
        <v>68</v>
      </c>
      <c r="D3658" t="s">
        <v>69</v>
      </c>
      <c r="G3658" s="17" t="s">
        <v>48</v>
      </c>
      <c r="H3658" s="17">
        <v>1</v>
      </c>
      <c r="K3658" t="s">
        <v>157</v>
      </c>
      <c r="L3658" t="s">
        <v>158</v>
      </c>
      <c r="M3658" t="s">
        <v>131</v>
      </c>
      <c r="N3658">
        <v>11</v>
      </c>
      <c r="O3658" t="s">
        <v>40</v>
      </c>
      <c r="P3658" t="s">
        <v>40</v>
      </c>
      <c r="Q3658" t="s">
        <v>40</v>
      </c>
      <c r="S3658" t="s">
        <v>40</v>
      </c>
      <c r="V3658" t="s">
        <v>41</v>
      </c>
      <c r="W3658" t="s">
        <v>49</v>
      </c>
      <c r="X3658" t="str">
        <f>"0560010"</f>
        <v>0560010</v>
      </c>
      <c r="Y3658" t="s">
        <v>179</v>
      </c>
      <c r="Z3658" t="s">
        <v>157</v>
      </c>
      <c r="AA3658" t="s">
        <v>158</v>
      </c>
      <c r="AB3658" t="s">
        <v>131</v>
      </c>
      <c r="AC3658" t="s">
        <v>51</v>
      </c>
      <c r="AD3658" t="s">
        <v>45</v>
      </c>
      <c r="AE3658" s="1">
        <v>25339</v>
      </c>
      <c r="AF3658">
        <v>2</v>
      </c>
      <c r="AG3658" t="s">
        <v>158</v>
      </c>
      <c r="AH3658" s="36">
        <f t="shared" si="57"/>
        <v>50.327777777777776</v>
      </c>
      <c r="AI3658" s="41" t="s">
        <v>1780</v>
      </c>
    </row>
    <row r="3659" spans="1:35" x14ac:dyDescent="0.25">
      <c r="A3659" s="36">
        <v>99913657</v>
      </c>
      <c r="B3659" s="17" t="s">
        <v>56</v>
      </c>
      <c r="C3659" t="s">
        <v>79</v>
      </c>
      <c r="D3659" t="s">
        <v>80</v>
      </c>
      <c r="G3659" s="17" t="s">
        <v>35</v>
      </c>
      <c r="H3659" s="17">
        <v>1</v>
      </c>
      <c r="I3659">
        <v>18253</v>
      </c>
      <c r="J3659" s="1">
        <v>43344</v>
      </c>
      <c r="K3659" t="s">
        <v>223</v>
      </c>
      <c r="L3659" t="s">
        <v>224</v>
      </c>
      <c r="M3659" t="s">
        <v>131</v>
      </c>
      <c r="N3659">
        <v>21</v>
      </c>
      <c r="O3659" t="s">
        <v>40</v>
      </c>
      <c r="P3659" t="s">
        <v>40</v>
      </c>
      <c r="Q3659" t="s">
        <v>40</v>
      </c>
      <c r="R3659" t="s">
        <v>40</v>
      </c>
      <c r="S3659" t="s">
        <v>40</v>
      </c>
      <c r="U3659" s="1">
        <v>43344</v>
      </c>
      <c r="V3659" t="s">
        <v>41</v>
      </c>
      <c r="W3659" t="s">
        <v>49</v>
      </c>
      <c r="X3659" t="str">
        <f>"0560008"</f>
        <v>0560008</v>
      </c>
      <c r="Y3659" t="s">
        <v>263</v>
      </c>
      <c r="Z3659" t="s">
        <v>223</v>
      </c>
      <c r="AA3659" t="s">
        <v>224</v>
      </c>
      <c r="AB3659" t="s">
        <v>131</v>
      </c>
      <c r="AC3659" t="s">
        <v>44</v>
      </c>
      <c r="AD3659" t="s">
        <v>45</v>
      </c>
      <c r="AE3659" s="1">
        <v>25338</v>
      </c>
      <c r="AF3659">
        <v>2</v>
      </c>
      <c r="AG3659" t="s">
        <v>224</v>
      </c>
      <c r="AH3659" s="36">
        <f t="shared" si="57"/>
        <v>50.330555555555556</v>
      </c>
      <c r="AI3659" s="41" t="s">
        <v>1780</v>
      </c>
    </row>
    <row r="3660" spans="1:35" x14ac:dyDescent="0.25">
      <c r="A3660" s="36">
        <v>99913658</v>
      </c>
      <c r="B3660" s="17" t="s">
        <v>32</v>
      </c>
      <c r="C3660" t="s">
        <v>52</v>
      </c>
      <c r="D3660" t="s">
        <v>53</v>
      </c>
      <c r="G3660" s="17" t="s">
        <v>48</v>
      </c>
      <c r="H3660" s="17">
        <v>1</v>
      </c>
      <c r="K3660" t="s">
        <v>162</v>
      </c>
      <c r="L3660" t="s">
        <v>158</v>
      </c>
      <c r="M3660" t="s">
        <v>131</v>
      </c>
      <c r="N3660">
        <v>21</v>
      </c>
      <c r="O3660" t="s">
        <v>40</v>
      </c>
      <c r="P3660" t="s">
        <v>40</v>
      </c>
      <c r="Q3660" t="s">
        <v>40</v>
      </c>
      <c r="R3660" t="s">
        <v>40</v>
      </c>
      <c r="S3660" t="s">
        <v>40</v>
      </c>
      <c r="V3660" t="s">
        <v>41</v>
      </c>
      <c r="W3660" t="s">
        <v>49</v>
      </c>
      <c r="X3660" t="str">
        <f>"0560003"</f>
        <v>0560003</v>
      </c>
      <c r="Y3660" t="s">
        <v>181</v>
      </c>
      <c r="Z3660" t="s">
        <v>162</v>
      </c>
      <c r="AA3660" t="s">
        <v>158</v>
      </c>
      <c r="AB3660" t="s">
        <v>131</v>
      </c>
      <c r="AC3660" t="s">
        <v>51</v>
      </c>
      <c r="AD3660" t="s">
        <v>45</v>
      </c>
      <c r="AE3660" s="1">
        <v>25335</v>
      </c>
      <c r="AF3660">
        <v>2</v>
      </c>
      <c r="AG3660" t="s">
        <v>158</v>
      </c>
      <c r="AH3660" s="36">
        <f t="shared" si="57"/>
        <v>50.338888888888889</v>
      </c>
      <c r="AI3660" s="41" t="s">
        <v>1780</v>
      </c>
    </row>
    <row r="3661" spans="1:35" x14ac:dyDescent="0.25">
      <c r="A3661" s="36">
        <v>99913659</v>
      </c>
      <c r="B3661" s="17" t="s">
        <v>32</v>
      </c>
      <c r="C3661" t="s">
        <v>46</v>
      </c>
      <c r="D3661" t="s">
        <v>47</v>
      </c>
      <c r="G3661" s="17" t="s">
        <v>48</v>
      </c>
      <c r="H3661" s="17">
        <v>1</v>
      </c>
      <c r="K3661" t="s">
        <v>223</v>
      </c>
      <c r="L3661" t="s">
        <v>224</v>
      </c>
      <c r="M3661" t="s">
        <v>131</v>
      </c>
      <c r="N3661">
        <v>18</v>
      </c>
      <c r="O3661" t="s">
        <v>40</v>
      </c>
      <c r="P3661" t="s">
        <v>40</v>
      </c>
      <c r="Q3661" t="s">
        <v>40</v>
      </c>
      <c r="R3661" t="s">
        <v>40</v>
      </c>
      <c r="S3661" t="s">
        <v>40</v>
      </c>
      <c r="V3661" t="s">
        <v>41</v>
      </c>
      <c r="W3661" t="s">
        <v>42</v>
      </c>
      <c r="X3661" t="str">
        <f>"0580204"</f>
        <v>0580204</v>
      </c>
      <c r="Y3661" t="s">
        <v>235</v>
      </c>
      <c r="Z3661" t="s">
        <v>223</v>
      </c>
      <c r="AA3661" t="s">
        <v>224</v>
      </c>
      <c r="AB3661" t="s">
        <v>131</v>
      </c>
      <c r="AC3661" t="s">
        <v>165</v>
      </c>
      <c r="AD3661" t="s">
        <v>45</v>
      </c>
      <c r="AE3661" s="1">
        <v>25334</v>
      </c>
      <c r="AF3661">
        <v>2</v>
      </c>
      <c r="AG3661" t="s">
        <v>224</v>
      </c>
      <c r="AH3661" s="36">
        <f t="shared" si="57"/>
        <v>50.341666666666669</v>
      </c>
      <c r="AI3661" s="41" t="s">
        <v>1780</v>
      </c>
    </row>
    <row r="3662" spans="1:35" x14ac:dyDescent="0.25">
      <c r="A3662" s="36">
        <v>99913660</v>
      </c>
      <c r="B3662" s="17" t="s">
        <v>32</v>
      </c>
      <c r="C3662" t="s">
        <v>33</v>
      </c>
      <c r="D3662" t="s">
        <v>34</v>
      </c>
      <c r="G3662" s="17" t="s">
        <v>35</v>
      </c>
      <c r="H3662" s="17">
        <v>8</v>
      </c>
      <c r="K3662" t="s">
        <v>1268</v>
      </c>
      <c r="L3662" t="s">
        <v>1269</v>
      </c>
      <c r="M3662" t="s">
        <v>1270</v>
      </c>
      <c r="N3662">
        <v>21</v>
      </c>
      <c r="O3662" t="s">
        <v>40</v>
      </c>
      <c r="P3662" t="s">
        <v>40</v>
      </c>
      <c r="Q3662" t="s">
        <v>40</v>
      </c>
      <c r="R3662" t="s">
        <v>40</v>
      </c>
      <c r="S3662" t="s">
        <v>40</v>
      </c>
      <c r="V3662" t="s">
        <v>41</v>
      </c>
      <c r="W3662" t="s">
        <v>42</v>
      </c>
      <c r="X3662" t="str">
        <f>"1990001"</f>
        <v>1990001</v>
      </c>
      <c r="Y3662" t="s">
        <v>1294</v>
      </c>
      <c r="Z3662" t="s">
        <v>1268</v>
      </c>
      <c r="AA3662" t="s">
        <v>1269</v>
      </c>
      <c r="AB3662" t="s">
        <v>1270</v>
      </c>
      <c r="AC3662" t="s">
        <v>51</v>
      </c>
      <c r="AD3662" t="s">
        <v>45</v>
      </c>
      <c r="AE3662" s="1">
        <v>25334</v>
      </c>
      <c r="AF3662">
        <v>2</v>
      </c>
      <c r="AG3662" t="s">
        <v>1269</v>
      </c>
      <c r="AH3662" s="36">
        <f t="shared" si="57"/>
        <v>50.341666666666669</v>
      </c>
      <c r="AI3662" s="41" t="s">
        <v>1780</v>
      </c>
    </row>
    <row r="3663" spans="1:35" x14ac:dyDescent="0.25">
      <c r="A3663" s="36">
        <v>99913661</v>
      </c>
      <c r="B3663" s="17" t="s">
        <v>32</v>
      </c>
      <c r="C3663" t="s">
        <v>79</v>
      </c>
      <c r="D3663" t="s">
        <v>80</v>
      </c>
      <c r="G3663" s="17" t="s">
        <v>48</v>
      </c>
      <c r="H3663" s="17">
        <v>1</v>
      </c>
      <c r="K3663" t="s">
        <v>268</v>
      </c>
      <c r="L3663" t="s">
        <v>269</v>
      </c>
      <c r="M3663" t="s">
        <v>131</v>
      </c>
      <c r="N3663">
        <v>20</v>
      </c>
      <c r="O3663" t="s">
        <v>40</v>
      </c>
      <c r="P3663" t="s">
        <v>40</v>
      </c>
      <c r="Q3663" t="s">
        <v>40</v>
      </c>
      <c r="R3663" t="s">
        <v>40</v>
      </c>
      <c r="S3663" t="s">
        <v>40</v>
      </c>
      <c r="V3663" t="s">
        <v>41</v>
      </c>
      <c r="W3663" t="s">
        <v>75</v>
      </c>
      <c r="X3663" t="str">
        <f>"7052008"</f>
        <v>7052008</v>
      </c>
      <c r="Y3663" t="s">
        <v>274</v>
      </c>
      <c r="Z3663" t="s">
        <v>268</v>
      </c>
      <c r="AA3663" t="s">
        <v>269</v>
      </c>
      <c r="AB3663" t="s">
        <v>131</v>
      </c>
      <c r="AC3663" t="s">
        <v>51</v>
      </c>
      <c r="AD3663" t="s">
        <v>45</v>
      </c>
      <c r="AE3663" s="1">
        <v>25333</v>
      </c>
      <c r="AF3663">
        <v>1</v>
      </c>
      <c r="AG3663" t="s">
        <v>269</v>
      </c>
      <c r="AH3663" s="36">
        <f t="shared" si="57"/>
        <v>50.344444444444441</v>
      </c>
      <c r="AI3663" s="41" t="s">
        <v>1780</v>
      </c>
    </row>
    <row r="3664" spans="1:35" x14ac:dyDescent="0.25">
      <c r="A3664" s="36">
        <v>99913662</v>
      </c>
      <c r="B3664" s="17" t="s">
        <v>56</v>
      </c>
      <c r="C3664" t="s">
        <v>68</v>
      </c>
      <c r="D3664" t="s">
        <v>69</v>
      </c>
      <c r="G3664" s="17" t="s">
        <v>48</v>
      </c>
      <c r="H3664" s="17">
        <v>11</v>
      </c>
      <c r="K3664" t="s">
        <v>1051</v>
      </c>
      <c r="L3664" t="s">
        <v>1052</v>
      </c>
      <c r="M3664" t="s">
        <v>1053</v>
      </c>
      <c r="N3664">
        <v>12</v>
      </c>
      <c r="O3664" t="s">
        <v>40</v>
      </c>
      <c r="P3664" t="s">
        <v>40</v>
      </c>
      <c r="Q3664" t="s">
        <v>40</v>
      </c>
      <c r="R3664" t="s">
        <v>40</v>
      </c>
      <c r="S3664" t="s">
        <v>40</v>
      </c>
      <c r="V3664" t="s">
        <v>41</v>
      </c>
      <c r="W3664" t="s">
        <v>42</v>
      </c>
      <c r="X3664" t="str">
        <f>"2061001"</f>
        <v>2061001</v>
      </c>
      <c r="Y3664" t="s">
        <v>1058</v>
      </c>
      <c r="Z3664" t="s">
        <v>1051</v>
      </c>
      <c r="AA3664" t="s">
        <v>1052</v>
      </c>
      <c r="AB3664" t="s">
        <v>1053</v>
      </c>
      <c r="AC3664" t="s">
        <v>51</v>
      </c>
      <c r="AD3664" t="s">
        <v>45</v>
      </c>
      <c r="AE3664" s="1">
        <v>25332</v>
      </c>
      <c r="AF3664">
        <v>2</v>
      </c>
      <c r="AG3664" t="s">
        <v>1052</v>
      </c>
      <c r="AH3664" s="36">
        <f t="shared" si="57"/>
        <v>50.347222222222221</v>
      </c>
      <c r="AI3664" s="41" t="s">
        <v>1780</v>
      </c>
    </row>
    <row r="3665" spans="1:35" x14ac:dyDescent="0.25">
      <c r="A3665" s="36">
        <v>99913663</v>
      </c>
      <c r="B3665" s="17" t="s">
        <v>32</v>
      </c>
      <c r="C3665" t="s">
        <v>111</v>
      </c>
      <c r="D3665" t="s">
        <v>112</v>
      </c>
      <c r="G3665" s="17" t="s">
        <v>48</v>
      </c>
      <c r="H3665" s="17">
        <v>1</v>
      </c>
      <c r="K3665" t="s">
        <v>154</v>
      </c>
      <c r="L3665" t="s">
        <v>155</v>
      </c>
      <c r="M3665" t="s">
        <v>131</v>
      </c>
      <c r="N3665">
        <v>24</v>
      </c>
      <c r="O3665" t="s">
        <v>40</v>
      </c>
      <c r="P3665" t="s">
        <v>40</v>
      </c>
      <c r="Q3665" t="s">
        <v>40</v>
      </c>
      <c r="R3665" t="s">
        <v>40</v>
      </c>
      <c r="S3665" t="s">
        <v>40</v>
      </c>
      <c r="V3665" t="s">
        <v>41</v>
      </c>
      <c r="W3665" t="s">
        <v>75</v>
      </c>
      <c r="X3665" t="str">
        <f>"7051012"</f>
        <v>7051012</v>
      </c>
      <c r="Y3665" t="s">
        <v>405</v>
      </c>
      <c r="Z3665" t="s">
        <v>154</v>
      </c>
      <c r="AA3665" t="s">
        <v>155</v>
      </c>
      <c r="AB3665" t="s">
        <v>131</v>
      </c>
      <c r="AC3665" t="s">
        <v>51</v>
      </c>
      <c r="AD3665" t="s">
        <v>45</v>
      </c>
      <c r="AE3665" s="1">
        <v>25331</v>
      </c>
      <c r="AF3665">
        <v>1</v>
      </c>
      <c r="AG3665" t="s">
        <v>155</v>
      </c>
      <c r="AH3665" s="36">
        <f t="shared" si="57"/>
        <v>50.35</v>
      </c>
      <c r="AI3665" s="41" t="s">
        <v>1780</v>
      </c>
    </row>
    <row r="3666" spans="1:35" x14ac:dyDescent="0.25">
      <c r="A3666" s="36">
        <v>99913664</v>
      </c>
      <c r="B3666" s="17" t="s">
        <v>56</v>
      </c>
      <c r="C3666" t="s">
        <v>46</v>
      </c>
      <c r="D3666" t="s">
        <v>47</v>
      </c>
      <c r="G3666" s="17" t="s">
        <v>48</v>
      </c>
      <c r="H3666" s="17">
        <v>1</v>
      </c>
      <c r="K3666" t="s">
        <v>380</v>
      </c>
      <c r="L3666" t="s">
        <v>381</v>
      </c>
      <c r="M3666" t="s">
        <v>131</v>
      </c>
      <c r="N3666">
        <v>18</v>
      </c>
      <c r="O3666" t="s">
        <v>40</v>
      </c>
      <c r="P3666" t="s">
        <v>40</v>
      </c>
      <c r="Q3666" t="s">
        <v>40</v>
      </c>
      <c r="R3666" t="s">
        <v>40</v>
      </c>
      <c r="S3666" t="s">
        <v>40</v>
      </c>
      <c r="V3666" t="s">
        <v>41</v>
      </c>
      <c r="W3666" t="s">
        <v>42</v>
      </c>
      <c r="X3666" t="str">
        <f>"0590908"</f>
        <v>0590908</v>
      </c>
      <c r="Y3666" t="s">
        <v>382</v>
      </c>
      <c r="Z3666" t="s">
        <v>380</v>
      </c>
      <c r="AA3666" t="s">
        <v>381</v>
      </c>
      <c r="AB3666" t="s">
        <v>131</v>
      </c>
      <c r="AC3666" t="s">
        <v>51</v>
      </c>
      <c r="AD3666" t="s">
        <v>45</v>
      </c>
      <c r="AE3666" s="1">
        <v>25329</v>
      </c>
      <c r="AF3666">
        <v>2</v>
      </c>
      <c r="AG3666" t="s">
        <v>381</v>
      </c>
      <c r="AH3666" s="36">
        <f t="shared" si="57"/>
        <v>50.355555555555554</v>
      </c>
      <c r="AI3666" s="41" t="s">
        <v>1780</v>
      </c>
    </row>
    <row r="3667" spans="1:35" x14ac:dyDescent="0.25">
      <c r="A3667" s="36">
        <v>99913665</v>
      </c>
      <c r="B3667" s="17" t="s">
        <v>32</v>
      </c>
      <c r="C3667" t="s">
        <v>64</v>
      </c>
      <c r="D3667" t="s">
        <v>65</v>
      </c>
      <c r="G3667" s="17" t="s">
        <v>88</v>
      </c>
      <c r="H3667" s="17">
        <v>4</v>
      </c>
      <c r="I3667" t="s">
        <v>479</v>
      </c>
      <c r="J3667" s="1">
        <v>41883</v>
      </c>
      <c r="K3667" t="s">
        <v>195</v>
      </c>
      <c r="L3667" t="s">
        <v>196</v>
      </c>
      <c r="M3667" t="s">
        <v>131</v>
      </c>
      <c r="N3667">
        <v>24</v>
      </c>
      <c r="O3667" t="s">
        <v>40</v>
      </c>
      <c r="P3667" t="s">
        <v>40</v>
      </c>
      <c r="Q3667" t="s">
        <v>40</v>
      </c>
      <c r="R3667" t="s">
        <v>40</v>
      </c>
      <c r="S3667" t="s">
        <v>40</v>
      </c>
      <c r="U3667" s="1">
        <v>41883</v>
      </c>
      <c r="V3667" t="s">
        <v>41</v>
      </c>
      <c r="W3667" t="s">
        <v>75</v>
      </c>
      <c r="X3667" t="str">
        <f>"7521050"</f>
        <v>7521050</v>
      </c>
      <c r="Y3667" t="s">
        <v>194</v>
      </c>
      <c r="Z3667" t="s">
        <v>195</v>
      </c>
      <c r="AA3667" t="s">
        <v>196</v>
      </c>
      <c r="AB3667" t="s">
        <v>131</v>
      </c>
      <c r="AC3667" t="s">
        <v>51</v>
      </c>
      <c r="AD3667" t="s">
        <v>45</v>
      </c>
      <c r="AE3667" s="1">
        <v>25329</v>
      </c>
      <c r="AF3667">
        <v>1</v>
      </c>
      <c r="AG3667" t="s">
        <v>196</v>
      </c>
      <c r="AH3667" s="36">
        <f t="shared" si="57"/>
        <v>50.355555555555554</v>
      </c>
      <c r="AI3667" s="41" t="s">
        <v>1780</v>
      </c>
    </row>
    <row r="3668" spans="1:35" x14ac:dyDescent="0.25">
      <c r="A3668" s="36">
        <v>99913666</v>
      </c>
      <c r="B3668" s="17" t="s">
        <v>32</v>
      </c>
      <c r="C3668" t="s">
        <v>111</v>
      </c>
      <c r="D3668" t="s">
        <v>112</v>
      </c>
      <c r="G3668" s="17" t="s">
        <v>48</v>
      </c>
      <c r="H3668" s="17">
        <v>11</v>
      </c>
      <c r="I3668" t="s">
        <v>454</v>
      </c>
      <c r="J3668" s="1">
        <v>40057</v>
      </c>
      <c r="K3668" t="s">
        <v>195</v>
      </c>
      <c r="L3668" t="s">
        <v>196</v>
      </c>
      <c r="M3668" t="s">
        <v>131</v>
      </c>
      <c r="N3668">
        <v>21</v>
      </c>
      <c r="O3668" t="s">
        <v>40</v>
      </c>
      <c r="P3668" t="s">
        <v>40</v>
      </c>
      <c r="Q3668" t="s">
        <v>40</v>
      </c>
      <c r="R3668" t="s">
        <v>40</v>
      </c>
      <c r="S3668" t="s">
        <v>40</v>
      </c>
      <c r="U3668" s="1">
        <v>40057</v>
      </c>
      <c r="V3668" t="s">
        <v>41</v>
      </c>
      <c r="W3668" t="s">
        <v>75</v>
      </c>
      <c r="X3668" t="str">
        <f>"7521050"</f>
        <v>7521050</v>
      </c>
      <c r="Y3668" t="s">
        <v>194</v>
      </c>
      <c r="Z3668" t="s">
        <v>195</v>
      </c>
      <c r="AA3668" t="s">
        <v>196</v>
      </c>
      <c r="AB3668" t="s">
        <v>131</v>
      </c>
      <c r="AC3668" t="s">
        <v>51</v>
      </c>
      <c r="AD3668" t="s">
        <v>45</v>
      </c>
      <c r="AE3668" s="1">
        <v>25325</v>
      </c>
      <c r="AF3668">
        <v>1</v>
      </c>
      <c r="AG3668" t="s">
        <v>196</v>
      </c>
      <c r="AH3668" s="36">
        <f t="shared" si="57"/>
        <v>50.366666666666667</v>
      </c>
      <c r="AI3668" s="41" t="s">
        <v>1780</v>
      </c>
    </row>
    <row r="3669" spans="1:35" x14ac:dyDescent="0.25">
      <c r="A3669" s="36">
        <v>99913667</v>
      </c>
      <c r="B3669" s="17" t="s">
        <v>56</v>
      </c>
      <c r="C3669" t="s">
        <v>111</v>
      </c>
      <c r="D3669" t="s">
        <v>112</v>
      </c>
      <c r="G3669" s="17" t="s">
        <v>48</v>
      </c>
      <c r="H3669" s="17">
        <v>11</v>
      </c>
      <c r="I3669">
        <v>164</v>
      </c>
      <c r="J3669" s="1">
        <v>37454</v>
      </c>
      <c r="K3669" t="s">
        <v>195</v>
      </c>
      <c r="L3669" t="s">
        <v>196</v>
      </c>
      <c r="M3669" t="s">
        <v>131</v>
      </c>
      <c r="N3669">
        <v>21</v>
      </c>
      <c r="O3669" t="s">
        <v>40</v>
      </c>
      <c r="P3669" t="s">
        <v>40</v>
      </c>
      <c r="Q3669" t="s">
        <v>40</v>
      </c>
      <c r="R3669" t="s">
        <v>40</v>
      </c>
      <c r="S3669" t="s">
        <v>40</v>
      </c>
      <c r="U3669" s="1">
        <v>37454</v>
      </c>
      <c r="V3669" t="s">
        <v>41</v>
      </c>
      <c r="W3669" t="s">
        <v>75</v>
      </c>
      <c r="X3669" t="str">
        <f>"7521046"</f>
        <v>7521046</v>
      </c>
      <c r="Y3669" t="s">
        <v>436</v>
      </c>
      <c r="Z3669" t="s">
        <v>195</v>
      </c>
      <c r="AA3669" t="s">
        <v>196</v>
      </c>
      <c r="AB3669" t="s">
        <v>131</v>
      </c>
      <c r="AC3669" t="s">
        <v>165</v>
      </c>
      <c r="AD3669" t="s">
        <v>45</v>
      </c>
      <c r="AE3669" s="1">
        <v>25325</v>
      </c>
      <c r="AF3669">
        <v>1</v>
      </c>
      <c r="AG3669" t="s">
        <v>196</v>
      </c>
      <c r="AH3669" s="36">
        <f t="shared" si="57"/>
        <v>50.366666666666667</v>
      </c>
      <c r="AI3669" s="41" t="s">
        <v>1780</v>
      </c>
    </row>
    <row r="3670" spans="1:35" x14ac:dyDescent="0.25">
      <c r="A3670" s="36">
        <v>99913668</v>
      </c>
      <c r="B3670" s="17" t="s">
        <v>32</v>
      </c>
      <c r="C3670" t="s">
        <v>68</v>
      </c>
      <c r="D3670" t="s">
        <v>69</v>
      </c>
      <c r="G3670" s="17" t="s">
        <v>48</v>
      </c>
      <c r="H3670" s="17">
        <v>1</v>
      </c>
      <c r="K3670" t="s">
        <v>345</v>
      </c>
      <c r="L3670" t="s">
        <v>346</v>
      </c>
      <c r="M3670" t="s">
        <v>131</v>
      </c>
      <c r="N3670">
        <v>18</v>
      </c>
      <c r="O3670" t="s">
        <v>40</v>
      </c>
      <c r="P3670" t="s">
        <v>40</v>
      </c>
      <c r="Q3670" t="s">
        <v>40</v>
      </c>
      <c r="S3670" t="s">
        <v>40</v>
      </c>
      <c r="V3670" t="s">
        <v>41</v>
      </c>
      <c r="W3670" t="s">
        <v>42</v>
      </c>
      <c r="X3670" t="str">
        <f>"0580931"</f>
        <v>0580931</v>
      </c>
      <c r="Y3670" t="s">
        <v>369</v>
      </c>
      <c r="Z3670" t="s">
        <v>345</v>
      </c>
      <c r="AA3670" t="s">
        <v>346</v>
      </c>
      <c r="AB3670" t="s">
        <v>131</v>
      </c>
      <c r="AC3670" t="s">
        <v>51</v>
      </c>
      <c r="AD3670" t="s">
        <v>45</v>
      </c>
      <c r="AE3670" s="1">
        <v>25323</v>
      </c>
      <c r="AF3670">
        <v>2</v>
      </c>
      <c r="AG3670" t="s">
        <v>346</v>
      </c>
      <c r="AH3670" s="36">
        <f t="shared" si="57"/>
        <v>50.37222222222222</v>
      </c>
      <c r="AI3670" s="41" t="s">
        <v>1780</v>
      </c>
    </row>
    <row r="3671" spans="1:35" x14ac:dyDescent="0.25">
      <c r="A3671" s="36">
        <v>99913669</v>
      </c>
      <c r="B3671" s="17" t="s">
        <v>32</v>
      </c>
      <c r="C3671" t="s">
        <v>33</v>
      </c>
      <c r="D3671" t="s">
        <v>34</v>
      </c>
      <c r="G3671" s="17" t="s">
        <v>48</v>
      </c>
      <c r="H3671" s="17">
        <v>1</v>
      </c>
      <c r="K3671" t="s">
        <v>157</v>
      </c>
      <c r="L3671" t="s">
        <v>158</v>
      </c>
      <c r="M3671" t="s">
        <v>131</v>
      </c>
      <c r="N3671">
        <v>22</v>
      </c>
      <c r="O3671" t="s">
        <v>40</v>
      </c>
      <c r="P3671" t="s">
        <v>40</v>
      </c>
      <c r="Q3671" t="s">
        <v>40</v>
      </c>
      <c r="S3671" t="s">
        <v>40</v>
      </c>
      <c r="V3671" t="s">
        <v>41</v>
      </c>
      <c r="W3671" t="s">
        <v>49</v>
      </c>
      <c r="X3671" t="str">
        <f>"0560019"</f>
        <v>0560019</v>
      </c>
      <c r="Y3671" t="s">
        <v>166</v>
      </c>
      <c r="Z3671" t="s">
        <v>157</v>
      </c>
      <c r="AA3671" t="s">
        <v>158</v>
      </c>
      <c r="AB3671" t="s">
        <v>131</v>
      </c>
      <c r="AC3671" t="s">
        <v>51</v>
      </c>
      <c r="AD3671" t="s">
        <v>45</v>
      </c>
      <c r="AE3671" s="1">
        <v>25319</v>
      </c>
      <c r="AF3671">
        <v>2</v>
      </c>
      <c r="AG3671" t="s">
        <v>158</v>
      </c>
      <c r="AH3671" s="36">
        <f t="shared" si="57"/>
        <v>50.383333333333333</v>
      </c>
      <c r="AI3671" s="41" t="s">
        <v>1780</v>
      </c>
    </row>
    <row r="3672" spans="1:35" x14ac:dyDescent="0.25">
      <c r="A3672" s="36">
        <v>99913670</v>
      </c>
      <c r="B3672" s="17" t="s">
        <v>32</v>
      </c>
      <c r="C3672" t="s">
        <v>64</v>
      </c>
      <c r="D3672" t="s">
        <v>65</v>
      </c>
      <c r="G3672" s="17" t="s">
        <v>48</v>
      </c>
      <c r="H3672" s="17">
        <v>5</v>
      </c>
      <c r="I3672" t="s">
        <v>568</v>
      </c>
      <c r="J3672" s="1">
        <v>42052</v>
      </c>
      <c r="K3672" t="s">
        <v>195</v>
      </c>
      <c r="L3672" t="s">
        <v>196</v>
      </c>
      <c r="M3672" t="s">
        <v>131</v>
      </c>
      <c r="N3672">
        <v>23</v>
      </c>
      <c r="O3672" t="s">
        <v>40</v>
      </c>
      <c r="P3672" t="s">
        <v>40</v>
      </c>
      <c r="Q3672" t="s">
        <v>40</v>
      </c>
      <c r="R3672" t="s">
        <v>40</v>
      </c>
      <c r="S3672" t="s">
        <v>40</v>
      </c>
      <c r="U3672" s="1">
        <v>42052</v>
      </c>
      <c r="V3672" t="s">
        <v>41</v>
      </c>
      <c r="W3672" t="s">
        <v>75</v>
      </c>
      <c r="X3672" t="str">
        <f>"7521050"</f>
        <v>7521050</v>
      </c>
      <c r="Y3672" t="s">
        <v>194</v>
      </c>
      <c r="Z3672" t="s">
        <v>195</v>
      </c>
      <c r="AA3672" t="s">
        <v>196</v>
      </c>
      <c r="AB3672" t="s">
        <v>131</v>
      </c>
      <c r="AC3672" t="s">
        <v>51</v>
      </c>
      <c r="AD3672" t="s">
        <v>45</v>
      </c>
      <c r="AE3672" s="1">
        <v>25319</v>
      </c>
      <c r="AF3672">
        <v>1</v>
      </c>
      <c r="AG3672" t="s">
        <v>196</v>
      </c>
      <c r="AH3672" s="36">
        <f t="shared" si="57"/>
        <v>50.383333333333333</v>
      </c>
      <c r="AI3672" s="41" t="s">
        <v>1780</v>
      </c>
    </row>
    <row r="3673" spans="1:35" x14ac:dyDescent="0.25">
      <c r="A3673" s="36">
        <v>99913671</v>
      </c>
      <c r="B3673" s="17" t="s">
        <v>32</v>
      </c>
      <c r="C3673" t="s">
        <v>141</v>
      </c>
      <c r="D3673" t="s">
        <v>142</v>
      </c>
      <c r="G3673" s="17" t="s">
        <v>35</v>
      </c>
      <c r="H3673" s="17">
        <v>1</v>
      </c>
      <c r="K3673" t="s">
        <v>407</v>
      </c>
      <c r="L3673" t="s">
        <v>409</v>
      </c>
      <c r="M3673" t="s">
        <v>131</v>
      </c>
      <c r="N3673">
        <v>2</v>
      </c>
      <c r="O3673" t="s">
        <v>40</v>
      </c>
      <c r="P3673" t="s">
        <v>40</v>
      </c>
      <c r="Q3673" t="s">
        <v>40</v>
      </c>
      <c r="S3673" t="s">
        <v>40</v>
      </c>
      <c r="V3673" t="s">
        <v>41</v>
      </c>
      <c r="W3673" t="s">
        <v>75</v>
      </c>
      <c r="X3673" t="str">
        <f>"7053000"</f>
        <v>7053000</v>
      </c>
      <c r="Y3673" t="s">
        <v>754</v>
      </c>
      <c r="Z3673" t="s">
        <v>407</v>
      </c>
      <c r="AA3673" t="s">
        <v>409</v>
      </c>
      <c r="AB3673" t="s">
        <v>131</v>
      </c>
      <c r="AC3673" t="s">
        <v>51</v>
      </c>
      <c r="AD3673" t="s">
        <v>45</v>
      </c>
      <c r="AE3673" s="1">
        <v>25315</v>
      </c>
      <c r="AF3673">
        <v>1</v>
      </c>
      <c r="AG3673" t="s">
        <v>409</v>
      </c>
      <c r="AH3673" s="36">
        <f t="shared" si="57"/>
        <v>50.394444444444446</v>
      </c>
      <c r="AI3673" s="41" t="s">
        <v>1780</v>
      </c>
    </row>
    <row r="3674" spans="1:35" x14ac:dyDescent="0.25">
      <c r="A3674" s="36">
        <v>99913672</v>
      </c>
      <c r="B3674" s="17" t="s">
        <v>32</v>
      </c>
      <c r="C3674" t="s">
        <v>82</v>
      </c>
      <c r="D3674" t="s">
        <v>83</v>
      </c>
      <c r="G3674" s="17" t="s">
        <v>48</v>
      </c>
      <c r="H3674" s="17">
        <v>1</v>
      </c>
      <c r="K3674" t="s">
        <v>1128</v>
      </c>
      <c r="L3674" t="s">
        <v>1129</v>
      </c>
      <c r="M3674" t="s">
        <v>1130</v>
      </c>
      <c r="N3674">
        <v>20</v>
      </c>
      <c r="O3674" t="s">
        <v>40</v>
      </c>
      <c r="P3674" t="s">
        <v>40</v>
      </c>
      <c r="Q3674" t="s">
        <v>40</v>
      </c>
      <c r="R3674" t="s">
        <v>40</v>
      </c>
      <c r="S3674" t="s">
        <v>40</v>
      </c>
      <c r="V3674" t="s">
        <v>41</v>
      </c>
      <c r="W3674" t="s">
        <v>42</v>
      </c>
      <c r="X3674" t="str">
        <f>"3180015"</f>
        <v>3180015</v>
      </c>
      <c r="Y3674" t="s">
        <v>1139</v>
      </c>
      <c r="Z3674" t="s">
        <v>1128</v>
      </c>
      <c r="AA3674" t="s">
        <v>1129</v>
      </c>
      <c r="AB3674" t="s">
        <v>1130</v>
      </c>
      <c r="AC3674" t="s">
        <v>51</v>
      </c>
      <c r="AD3674" t="s">
        <v>45</v>
      </c>
      <c r="AE3674" s="1">
        <v>25314</v>
      </c>
      <c r="AF3674">
        <v>2</v>
      </c>
      <c r="AG3674" t="s">
        <v>1129</v>
      </c>
      <c r="AH3674" s="36">
        <f t="shared" si="57"/>
        <v>50.397222222222226</v>
      </c>
      <c r="AI3674" s="41" t="s">
        <v>1780</v>
      </c>
    </row>
    <row r="3675" spans="1:35" x14ac:dyDescent="0.25">
      <c r="A3675" s="36">
        <v>99913673</v>
      </c>
      <c r="B3675" s="17" t="s">
        <v>32</v>
      </c>
      <c r="C3675" t="s">
        <v>90</v>
      </c>
      <c r="D3675" t="s">
        <v>91</v>
      </c>
      <c r="G3675" s="17" t="s">
        <v>35</v>
      </c>
      <c r="H3675" s="17">
        <v>1</v>
      </c>
      <c r="I3675">
        <v>12312</v>
      </c>
      <c r="J3675" s="1">
        <v>43344</v>
      </c>
      <c r="K3675" t="s">
        <v>1426</v>
      </c>
      <c r="L3675" t="s">
        <v>1427</v>
      </c>
      <c r="M3675" t="s">
        <v>1270</v>
      </c>
      <c r="N3675">
        <v>25</v>
      </c>
      <c r="O3675" t="s">
        <v>40</v>
      </c>
      <c r="S3675" t="s">
        <v>40</v>
      </c>
      <c r="U3675" s="1">
        <v>43344</v>
      </c>
      <c r="V3675" t="s">
        <v>41</v>
      </c>
      <c r="W3675" t="s">
        <v>95</v>
      </c>
      <c r="X3675" t="str">
        <f>"7192045"</f>
        <v>7192045</v>
      </c>
      <c r="Y3675" t="s">
        <v>1430</v>
      </c>
      <c r="Z3675" t="s">
        <v>1426</v>
      </c>
      <c r="AA3675" t="s">
        <v>1427</v>
      </c>
      <c r="AB3675" t="s">
        <v>1270</v>
      </c>
      <c r="AC3675" t="s">
        <v>51</v>
      </c>
      <c r="AD3675" t="s">
        <v>45</v>
      </c>
      <c r="AE3675" s="1">
        <v>25309</v>
      </c>
      <c r="AF3675">
        <v>1</v>
      </c>
      <c r="AG3675" t="s">
        <v>1427</v>
      </c>
      <c r="AH3675" s="36">
        <f t="shared" si="57"/>
        <v>50.411111111111111</v>
      </c>
      <c r="AI3675" s="41" t="s">
        <v>1780</v>
      </c>
    </row>
    <row r="3676" spans="1:35" x14ac:dyDescent="0.25">
      <c r="A3676" s="36">
        <v>99913674</v>
      </c>
      <c r="B3676" s="17" t="s">
        <v>56</v>
      </c>
      <c r="C3676" t="s">
        <v>85</v>
      </c>
      <c r="D3676" t="s">
        <v>86</v>
      </c>
      <c r="G3676" s="17" t="s">
        <v>35</v>
      </c>
      <c r="H3676" s="17">
        <v>1</v>
      </c>
      <c r="I3676">
        <v>0</v>
      </c>
      <c r="J3676" s="1">
        <v>43344</v>
      </c>
      <c r="K3676" t="s">
        <v>223</v>
      </c>
      <c r="L3676" t="s">
        <v>224</v>
      </c>
      <c r="M3676" t="s">
        <v>131</v>
      </c>
      <c r="N3676">
        <v>20</v>
      </c>
      <c r="O3676" t="s">
        <v>40</v>
      </c>
      <c r="S3676" t="s">
        <v>40</v>
      </c>
      <c r="U3676" s="1">
        <v>43344</v>
      </c>
      <c r="V3676" t="s">
        <v>41</v>
      </c>
      <c r="W3676" t="s">
        <v>42</v>
      </c>
      <c r="X3676" t="str">
        <f>"0580206"</f>
        <v>0580206</v>
      </c>
      <c r="Y3676" t="s">
        <v>237</v>
      </c>
      <c r="Z3676" t="s">
        <v>223</v>
      </c>
      <c r="AA3676" t="s">
        <v>224</v>
      </c>
      <c r="AB3676" t="s">
        <v>131</v>
      </c>
      <c r="AC3676" t="s">
        <v>51</v>
      </c>
      <c r="AD3676" t="s">
        <v>45</v>
      </c>
      <c r="AE3676" s="1">
        <v>25308</v>
      </c>
      <c r="AF3676">
        <v>2</v>
      </c>
      <c r="AG3676" t="s">
        <v>224</v>
      </c>
      <c r="AH3676" s="36">
        <f t="shared" si="57"/>
        <v>50.413888888888891</v>
      </c>
      <c r="AI3676" s="41" t="s">
        <v>1780</v>
      </c>
    </row>
    <row r="3677" spans="1:35" x14ac:dyDescent="0.25">
      <c r="A3677" s="36">
        <v>99913675</v>
      </c>
      <c r="B3677" s="17" t="s">
        <v>56</v>
      </c>
      <c r="C3677" t="s">
        <v>68</v>
      </c>
      <c r="D3677" t="s">
        <v>69</v>
      </c>
      <c r="G3677" s="17" t="s">
        <v>48</v>
      </c>
      <c r="H3677" s="17">
        <v>1</v>
      </c>
      <c r="K3677" t="s">
        <v>345</v>
      </c>
      <c r="L3677" t="s">
        <v>346</v>
      </c>
      <c r="M3677" t="s">
        <v>131</v>
      </c>
      <c r="N3677">
        <v>19</v>
      </c>
      <c r="O3677" t="s">
        <v>40</v>
      </c>
      <c r="P3677" t="s">
        <v>40</v>
      </c>
      <c r="Q3677" t="s">
        <v>40</v>
      </c>
      <c r="R3677" t="s">
        <v>40</v>
      </c>
      <c r="S3677" t="s">
        <v>40</v>
      </c>
      <c r="V3677" t="s">
        <v>41</v>
      </c>
      <c r="W3677" t="s">
        <v>42</v>
      </c>
      <c r="X3677" t="str">
        <f>"0580650"</f>
        <v>0580650</v>
      </c>
      <c r="Y3677" t="s">
        <v>356</v>
      </c>
      <c r="Z3677" t="s">
        <v>345</v>
      </c>
      <c r="AA3677" t="s">
        <v>346</v>
      </c>
      <c r="AB3677" t="s">
        <v>131</v>
      </c>
      <c r="AC3677" t="s">
        <v>51</v>
      </c>
      <c r="AD3677" t="s">
        <v>45</v>
      </c>
      <c r="AE3677" s="1">
        <v>25308</v>
      </c>
      <c r="AF3677">
        <v>2</v>
      </c>
      <c r="AG3677" t="s">
        <v>346</v>
      </c>
      <c r="AH3677" s="36">
        <f t="shared" si="57"/>
        <v>50.413888888888891</v>
      </c>
      <c r="AI3677" s="41" t="s">
        <v>1780</v>
      </c>
    </row>
    <row r="3678" spans="1:35" x14ac:dyDescent="0.25">
      <c r="A3678" s="36">
        <v>99913676</v>
      </c>
      <c r="B3678" s="17" t="s">
        <v>32</v>
      </c>
      <c r="C3678" t="s">
        <v>46</v>
      </c>
      <c r="D3678" t="s">
        <v>47</v>
      </c>
      <c r="G3678" s="17" t="s">
        <v>35</v>
      </c>
      <c r="H3678" s="17">
        <v>1</v>
      </c>
      <c r="I3678" t="s">
        <v>348</v>
      </c>
      <c r="J3678" s="1">
        <v>43344</v>
      </c>
      <c r="K3678" t="s">
        <v>345</v>
      </c>
      <c r="L3678" t="s">
        <v>346</v>
      </c>
      <c r="M3678" t="s">
        <v>131</v>
      </c>
      <c r="N3678">
        <v>18</v>
      </c>
      <c r="O3678" t="s">
        <v>40</v>
      </c>
      <c r="S3678" t="s">
        <v>40</v>
      </c>
      <c r="U3678" s="1">
        <v>43344</v>
      </c>
      <c r="V3678" t="s">
        <v>41</v>
      </c>
      <c r="W3678" t="s">
        <v>42</v>
      </c>
      <c r="X3678" t="str">
        <f>"0580155"</f>
        <v>0580155</v>
      </c>
      <c r="Y3678" t="s">
        <v>365</v>
      </c>
      <c r="Z3678" t="s">
        <v>345</v>
      </c>
      <c r="AA3678" t="s">
        <v>346</v>
      </c>
      <c r="AB3678" t="s">
        <v>131</v>
      </c>
      <c r="AC3678" t="s">
        <v>51</v>
      </c>
      <c r="AD3678" t="s">
        <v>45</v>
      </c>
      <c r="AE3678" s="1">
        <v>25306</v>
      </c>
      <c r="AF3678">
        <v>2</v>
      </c>
      <c r="AG3678" t="s">
        <v>346</v>
      </c>
      <c r="AH3678" s="36">
        <f t="shared" si="57"/>
        <v>50.419444444444444</v>
      </c>
      <c r="AI3678" s="41" t="s">
        <v>1780</v>
      </c>
    </row>
    <row r="3679" spans="1:35" x14ac:dyDescent="0.25">
      <c r="A3679" s="36">
        <v>99913677</v>
      </c>
      <c r="B3679" s="17" t="s">
        <v>32</v>
      </c>
      <c r="C3679" t="s">
        <v>111</v>
      </c>
      <c r="D3679" t="s">
        <v>112</v>
      </c>
      <c r="G3679" s="17" t="s">
        <v>48</v>
      </c>
      <c r="H3679" s="17">
        <v>1</v>
      </c>
      <c r="I3679" t="s">
        <v>1465</v>
      </c>
      <c r="J3679" s="1">
        <v>42311</v>
      </c>
      <c r="K3679" t="s">
        <v>1334</v>
      </c>
      <c r="L3679" t="s">
        <v>1335</v>
      </c>
      <c r="M3679" t="s">
        <v>1270</v>
      </c>
      <c r="N3679">
        <v>12</v>
      </c>
      <c r="O3679" t="s">
        <v>40</v>
      </c>
      <c r="P3679" t="s">
        <v>40</v>
      </c>
      <c r="Q3679" t="s">
        <v>40</v>
      </c>
      <c r="R3679" t="s">
        <v>40</v>
      </c>
      <c r="S3679" t="s">
        <v>40</v>
      </c>
      <c r="U3679" s="1">
        <v>42311</v>
      </c>
      <c r="V3679" t="s">
        <v>41</v>
      </c>
      <c r="W3679" t="s">
        <v>75</v>
      </c>
      <c r="X3679" t="str">
        <f>"7391000"</f>
        <v>7391000</v>
      </c>
      <c r="Y3679" t="s">
        <v>1333</v>
      </c>
      <c r="Z3679" t="s">
        <v>1334</v>
      </c>
      <c r="AA3679" t="s">
        <v>1335</v>
      </c>
      <c r="AB3679" t="s">
        <v>1270</v>
      </c>
      <c r="AC3679" t="s">
        <v>51</v>
      </c>
      <c r="AD3679" t="s">
        <v>45</v>
      </c>
      <c r="AE3679" s="1">
        <v>25304</v>
      </c>
      <c r="AF3679">
        <v>1</v>
      </c>
      <c r="AG3679" t="s">
        <v>1335</v>
      </c>
      <c r="AH3679" s="36">
        <f t="shared" si="57"/>
        <v>50.424999999999997</v>
      </c>
      <c r="AI3679" s="41" t="s">
        <v>1780</v>
      </c>
    </row>
    <row r="3680" spans="1:35" x14ac:dyDescent="0.25">
      <c r="A3680" s="36">
        <v>99913678</v>
      </c>
      <c r="B3680" s="17" t="s">
        <v>32</v>
      </c>
      <c r="C3680" t="s">
        <v>46</v>
      </c>
      <c r="D3680" t="s">
        <v>47</v>
      </c>
      <c r="G3680" s="17" t="s">
        <v>48</v>
      </c>
      <c r="H3680" s="17">
        <v>12</v>
      </c>
      <c r="K3680" t="s">
        <v>1268</v>
      </c>
      <c r="L3680" t="s">
        <v>1269</v>
      </c>
      <c r="M3680" t="s">
        <v>1270</v>
      </c>
      <c r="N3680">
        <v>18</v>
      </c>
      <c r="O3680" t="s">
        <v>40</v>
      </c>
      <c r="P3680" t="s">
        <v>40</v>
      </c>
      <c r="Q3680" t="s">
        <v>40</v>
      </c>
      <c r="R3680" t="s">
        <v>40</v>
      </c>
      <c r="S3680" t="s">
        <v>40</v>
      </c>
      <c r="U3680" s="1">
        <v>43344</v>
      </c>
      <c r="V3680" t="s">
        <v>41</v>
      </c>
      <c r="W3680" t="s">
        <v>49</v>
      </c>
      <c r="X3680" t="str">
        <f>"1981055"</f>
        <v>1981055</v>
      </c>
      <c r="Y3680" t="s">
        <v>1280</v>
      </c>
      <c r="Z3680" t="s">
        <v>1268</v>
      </c>
      <c r="AA3680" t="s">
        <v>1269</v>
      </c>
      <c r="AB3680" t="s">
        <v>1270</v>
      </c>
      <c r="AC3680" t="s">
        <v>165</v>
      </c>
      <c r="AD3680" t="s">
        <v>45</v>
      </c>
      <c r="AE3680" s="1">
        <v>25299</v>
      </c>
      <c r="AF3680">
        <v>2</v>
      </c>
      <c r="AG3680" t="s">
        <v>1269</v>
      </c>
      <c r="AH3680" s="36">
        <f t="shared" si="57"/>
        <v>50.43888888888889</v>
      </c>
      <c r="AI3680" s="41" t="s">
        <v>1780</v>
      </c>
    </row>
    <row r="3681" spans="1:35" x14ac:dyDescent="0.25">
      <c r="A3681" s="36">
        <v>99913679</v>
      </c>
      <c r="B3681" s="17" t="s">
        <v>56</v>
      </c>
      <c r="C3681" t="s">
        <v>33</v>
      </c>
      <c r="D3681" t="s">
        <v>34</v>
      </c>
      <c r="G3681" s="17" t="s">
        <v>48</v>
      </c>
      <c r="H3681" s="17">
        <v>1</v>
      </c>
      <c r="I3681" t="s">
        <v>1311</v>
      </c>
      <c r="K3681" t="s">
        <v>1306</v>
      </c>
      <c r="L3681" t="s">
        <v>1307</v>
      </c>
      <c r="M3681" t="s">
        <v>1270</v>
      </c>
      <c r="N3681">
        <v>15</v>
      </c>
      <c r="O3681" t="s">
        <v>40</v>
      </c>
      <c r="P3681" t="s">
        <v>40</v>
      </c>
      <c r="Q3681" t="s">
        <v>40</v>
      </c>
      <c r="R3681" t="s">
        <v>40</v>
      </c>
      <c r="S3681" t="s">
        <v>40</v>
      </c>
      <c r="V3681" t="s">
        <v>41</v>
      </c>
      <c r="W3681" t="s">
        <v>42</v>
      </c>
      <c r="X3681" t="str">
        <f>"1990913"</f>
        <v>1990913</v>
      </c>
      <c r="Y3681" t="s">
        <v>1312</v>
      </c>
      <c r="Z3681" t="s">
        <v>1306</v>
      </c>
      <c r="AA3681" t="s">
        <v>1307</v>
      </c>
      <c r="AB3681" t="s">
        <v>1270</v>
      </c>
      <c r="AC3681" t="s">
        <v>51</v>
      </c>
      <c r="AD3681" t="s">
        <v>45</v>
      </c>
      <c r="AE3681" s="1">
        <v>25299</v>
      </c>
      <c r="AF3681">
        <v>2</v>
      </c>
      <c r="AG3681" t="s">
        <v>1307</v>
      </c>
      <c r="AH3681" s="36">
        <f t="shared" si="57"/>
        <v>50.43888888888889</v>
      </c>
      <c r="AI3681" s="41" t="s">
        <v>1780</v>
      </c>
    </row>
    <row r="3682" spans="1:35" x14ac:dyDescent="0.25">
      <c r="A3682" s="36">
        <v>99913680</v>
      </c>
      <c r="B3682" s="17" t="s">
        <v>32</v>
      </c>
      <c r="C3682" t="s">
        <v>139</v>
      </c>
      <c r="D3682" t="s">
        <v>140</v>
      </c>
      <c r="G3682" s="17" t="s">
        <v>48</v>
      </c>
      <c r="H3682" s="17">
        <v>1</v>
      </c>
      <c r="K3682" t="s">
        <v>380</v>
      </c>
      <c r="L3682" t="s">
        <v>381</v>
      </c>
      <c r="M3682" t="s">
        <v>131</v>
      </c>
      <c r="N3682">
        <v>9</v>
      </c>
      <c r="O3682" t="s">
        <v>40</v>
      </c>
      <c r="P3682" t="s">
        <v>40</v>
      </c>
      <c r="Q3682" t="s">
        <v>40</v>
      </c>
      <c r="R3682" t="s">
        <v>40</v>
      </c>
      <c r="S3682" t="s">
        <v>40</v>
      </c>
      <c r="V3682" t="s">
        <v>41</v>
      </c>
      <c r="W3682" t="s">
        <v>49</v>
      </c>
      <c r="X3682" t="str">
        <f>"0581859"</f>
        <v>0581859</v>
      </c>
      <c r="Y3682" t="s">
        <v>394</v>
      </c>
      <c r="Z3682" t="s">
        <v>380</v>
      </c>
      <c r="AA3682" t="s">
        <v>381</v>
      </c>
      <c r="AB3682" t="s">
        <v>131</v>
      </c>
      <c r="AC3682" t="s">
        <v>51</v>
      </c>
      <c r="AD3682" t="s">
        <v>45</v>
      </c>
      <c r="AE3682" s="1">
        <v>25294</v>
      </c>
      <c r="AF3682">
        <v>2</v>
      </c>
      <c r="AG3682" t="s">
        <v>381</v>
      </c>
      <c r="AH3682" s="36">
        <f t="shared" si="57"/>
        <v>50.452777777777776</v>
      </c>
      <c r="AI3682" s="41" t="s">
        <v>1780</v>
      </c>
    </row>
    <row r="3683" spans="1:35" x14ac:dyDescent="0.25">
      <c r="A3683" s="36">
        <v>99913681</v>
      </c>
      <c r="B3683" s="17" t="s">
        <v>32</v>
      </c>
      <c r="C3683" t="s">
        <v>139</v>
      </c>
      <c r="D3683" t="s">
        <v>140</v>
      </c>
      <c r="G3683" s="17" t="s">
        <v>48</v>
      </c>
      <c r="H3683" s="17">
        <v>4</v>
      </c>
      <c r="K3683" t="s">
        <v>1619</v>
      </c>
      <c r="L3683" t="s">
        <v>1620</v>
      </c>
      <c r="M3683" t="s">
        <v>1592</v>
      </c>
      <c r="N3683">
        <v>20</v>
      </c>
      <c r="O3683" t="s">
        <v>40</v>
      </c>
      <c r="P3683" t="s">
        <v>40</v>
      </c>
      <c r="Q3683" t="s">
        <v>40</v>
      </c>
      <c r="R3683" t="s">
        <v>40</v>
      </c>
      <c r="S3683" t="s">
        <v>40</v>
      </c>
      <c r="V3683" t="s">
        <v>41</v>
      </c>
      <c r="W3683" t="s">
        <v>75</v>
      </c>
      <c r="X3683" t="str">
        <f>"7281004"</f>
        <v>7281004</v>
      </c>
      <c r="Y3683" t="s">
        <v>1651</v>
      </c>
      <c r="Z3683" t="s">
        <v>1619</v>
      </c>
      <c r="AA3683" t="s">
        <v>1620</v>
      </c>
      <c r="AB3683" t="s">
        <v>1592</v>
      </c>
      <c r="AC3683" t="s">
        <v>51</v>
      </c>
      <c r="AD3683" t="s">
        <v>45</v>
      </c>
      <c r="AE3683" s="1">
        <v>25293</v>
      </c>
      <c r="AF3683">
        <v>1</v>
      </c>
      <c r="AG3683" t="s">
        <v>1620</v>
      </c>
      <c r="AH3683" s="36">
        <f t="shared" si="57"/>
        <v>50.455555555555556</v>
      </c>
      <c r="AI3683" s="41" t="s">
        <v>1780</v>
      </c>
    </row>
    <row r="3684" spans="1:35" x14ac:dyDescent="0.25">
      <c r="A3684" s="36">
        <v>99913682</v>
      </c>
      <c r="B3684" s="17" t="s">
        <v>32</v>
      </c>
      <c r="C3684" t="s">
        <v>46</v>
      </c>
      <c r="D3684" t="s">
        <v>47</v>
      </c>
      <c r="G3684" s="17" t="s">
        <v>48</v>
      </c>
      <c r="H3684" s="17">
        <v>1</v>
      </c>
      <c r="K3684" t="s">
        <v>380</v>
      </c>
      <c r="L3684" t="s">
        <v>381</v>
      </c>
      <c r="M3684" t="s">
        <v>131</v>
      </c>
      <c r="N3684">
        <v>18</v>
      </c>
      <c r="O3684" t="s">
        <v>40</v>
      </c>
      <c r="P3684" t="s">
        <v>40</v>
      </c>
      <c r="Q3684" t="s">
        <v>40</v>
      </c>
      <c r="R3684" t="s">
        <v>40</v>
      </c>
      <c r="S3684" t="s">
        <v>40</v>
      </c>
      <c r="V3684" t="s">
        <v>41</v>
      </c>
      <c r="W3684" t="s">
        <v>42</v>
      </c>
      <c r="X3684" t="str">
        <f>"0590909"</f>
        <v>0590909</v>
      </c>
      <c r="Y3684" t="s">
        <v>388</v>
      </c>
      <c r="Z3684" t="s">
        <v>380</v>
      </c>
      <c r="AA3684" t="s">
        <v>381</v>
      </c>
      <c r="AB3684" t="s">
        <v>131</v>
      </c>
      <c r="AC3684" t="s">
        <v>51</v>
      </c>
      <c r="AD3684" t="s">
        <v>45</v>
      </c>
      <c r="AE3684" s="1">
        <v>25292</v>
      </c>
      <c r="AF3684">
        <v>2</v>
      </c>
      <c r="AG3684" t="s">
        <v>381</v>
      </c>
      <c r="AH3684" s="36">
        <f t="shared" si="57"/>
        <v>50.458333333333336</v>
      </c>
      <c r="AI3684" s="41" t="s">
        <v>1780</v>
      </c>
    </row>
    <row r="3685" spans="1:35" x14ac:dyDescent="0.25">
      <c r="A3685" s="36">
        <v>99913683</v>
      </c>
      <c r="B3685" s="17" t="s">
        <v>32</v>
      </c>
      <c r="C3685" t="s">
        <v>79</v>
      </c>
      <c r="D3685" t="s">
        <v>80</v>
      </c>
      <c r="G3685" s="17" t="s">
        <v>35</v>
      </c>
      <c r="H3685" s="17">
        <v>1</v>
      </c>
      <c r="K3685" t="s">
        <v>162</v>
      </c>
      <c r="L3685" t="s">
        <v>158</v>
      </c>
      <c r="M3685" t="s">
        <v>131</v>
      </c>
      <c r="N3685">
        <v>20</v>
      </c>
      <c r="O3685" t="s">
        <v>40</v>
      </c>
      <c r="P3685" t="s">
        <v>40</v>
      </c>
      <c r="Q3685" t="s">
        <v>40</v>
      </c>
      <c r="R3685" t="s">
        <v>40</v>
      </c>
      <c r="S3685" t="s">
        <v>40</v>
      </c>
      <c r="V3685" t="s">
        <v>41</v>
      </c>
      <c r="W3685" t="s">
        <v>49</v>
      </c>
      <c r="X3685" t="str">
        <f>"0505050"</f>
        <v>0505050</v>
      </c>
      <c r="Y3685" t="s">
        <v>163</v>
      </c>
      <c r="Z3685" t="s">
        <v>162</v>
      </c>
      <c r="AA3685" t="s">
        <v>158</v>
      </c>
      <c r="AB3685" t="s">
        <v>131</v>
      </c>
      <c r="AC3685" t="s">
        <v>165</v>
      </c>
      <c r="AD3685" t="s">
        <v>45</v>
      </c>
      <c r="AE3685" s="1">
        <v>25291</v>
      </c>
      <c r="AF3685">
        <v>2</v>
      </c>
      <c r="AG3685" t="s">
        <v>158</v>
      </c>
      <c r="AH3685" s="36">
        <f t="shared" si="57"/>
        <v>50.461111111111109</v>
      </c>
      <c r="AI3685" s="41" t="s">
        <v>1780</v>
      </c>
    </row>
    <row r="3686" spans="1:35" x14ac:dyDescent="0.25">
      <c r="A3686" s="36">
        <v>99913684</v>
      </c>
      <c r="B3686" s="17" t="s">
        <v>56</v>
      </c>
      <c r="C3686" t="s">
        <v>46</v>
      </c>
      <c r="D3686" t="s">
        <v>47</v>
      </c>
      <c r="G3686" s="17" t="s">
        <v>48</v>
      </c>
      <c r="H3686" s="17">
        <v>1</v>
      </c>
      <c r="K3686" t="s">
        <v>162</v>
      </c>
      <c r="L3686" t="s">
        <v>158</v>
      </c>
      <c r="M3686" t="s">
        <v>131</v>
      </c>
      <c r="N3686">
        <v>21</v>
      </c>
      <c r="O3686" t="s">
        <v>40</v>
      </c>
      <c r="P3686" t="s">
        <v>40</v>
      </c>
      <c r="Q3686" t="s">
        <v>40</v>
      </c>
      <c r="S3686" t="s">
        <v>40</v>
      </c>
      <c r="V3686" t="s">
        <v>41</v>
      </c>
      <c r="W3686" t="s">
        <v>42</v>
      </c>
      <c r="X3686" t="str">
        <f>"0580310"</f>
        <v>0580310</v>
      </c>
      <c r="Y3686" t="s">
        <v>173</v>
      </c>
      <c r="Z3686" t="s">
        <v>162</v>
      </c>
      <c r="AA3686" t="s">
        <v>158</v>
      </c>
      <c r="AB3686" t="s">
        <v>131</v>
      </c>
      <c r="AC3686" t="s">
        <v>51</v>
      </c>
      <c r="AD3686" t="s">
        <v>45</v>
      </c>
      <c r="AE3686" s="1">
        <v>25290</v>
      </c>
      <c r="AF3686">
        <v>2</v>
      </c>
      <c r="AG3686" t="s">
        <v>158</v>
      </c>
      <c r="AH3686" s="36">
        <f t="shared" si="57"/>
        <v>50.463888888888889</v>
      </c>
      <c r="AI3686" s="41" t="s">
        <v>1780</v>
      </c>
    </row>
    <row r="3687" spans="1:35" x14ac:dyDescent="0.25">
      <c r="A3687" s="36">
        <v>99913685</v>
      </c>
      <c r="B3687" s="17" t="s">
        <v>56</v>
      </c>
      <c r="C3687" t="s">
        <v>68</v>
      </c>
      <c r="D3687" t="s">
        <v>69</v>
      </c>
      <c r="G3687" s="17" t="s">
        <v>48</v>
      </c>
      <c r="H3687" s="17">
        <v>1</v>
      </c>
      <c r="K3687" t="s">
        <v>223</v>
      </c>
      <c r="L3687" t="s">
        <v>224</v>
      </c>
      <c r="M3687" t="s">
        <v>131</v>
      </c>
      <c r="N3687">
        <v>20</v>
      </c>
      <c r="O3687" t="s">
        <v>40</v>
      </c>
      <c r="P3687" t="s">
        <v>40</v>
      </c>
      <c r="Q3687" t="s">
        <v>40</v>
      </c>
      <c r="R3687" t="s">
        <v>40</v>
      </c>
      <c r="S3687" t="s">
        <v>40</v>
      </c>
      <c r="V3687" t="s">
        <v>41</v>
      </c>
      <c r="W3687" t="s">
        <v>49</v>
      </c>
      <c r="X3687" t="str">
        <f>"0581202"</f>
        <v>0581202</v>
      </c>
      <c r="Y3687" t="s">
        <v>248</v>
      </c>
      <c r="Z3687" t="s">
        <v>223</v>
      </c>
      <c r="AA3687" t="s">
        <v>224</v>
      </c>
      <c r="AB3687" t="s">
        <v>131</v>
      </c>
      <c r="AC3687" t="s">
        <v>51</v>
      </c>
      <c r="AD3687" t="s">
        <v>45</v>
      </c>
      <c r="AE3687" s="1">
        <v>25288</v>
      </c>
      <c r="AF3687">
        <v>2</v>
      </c>
      <c r="AG3687" t="s">
        <v>224</v>
      </c>
      <c r="AH3687" s="36">
        <f t="shared" si="57"/>
        <v>50.469444444444441</v>
      </c>
      <c r="AI3687" s="41" t="s">
        <v>1780</v>
      </c>
    </row>
    <row r="3688" spans="1:35" x14ac:dyDescent="0.25">
      <c r="A3688" s="36">
        <v>99913686</v>
      </c>
      <c r="B3688" s="17" t="s">
        <v>32</v>
      </c>
      <c r="C3688" t="s">
        <v>64</v>
      </c>
      <c r="D3688" t="s">
        <v>65</v>
      </c>
      <c r="G3688" s="17" t="s">
        <v>48</v>
      </c>
      <c r="H3688" s="17">
        <v>11</v>
      </c>
      <c r="K3688" t="s">
        <v>195</v>
      </c>
      <c r="L3688" t="s">
        <v>196</v>
      </c>
      <c r="M3688" t="s">
        <v>131</v>
      </c>
      <c r="N3688">
        <v>21</v>
      </c>
      <c r="O3688" t="s">
        <v>40</v>
      </c>
      <c r="P3688" t="s">
        <v>40</v>
      </c>
      <c r="Q3688" t="s">
        <v>40</v>
      </c>
      <c r="R3688" t="s">
        <v>40</v>
      </c>
      <c r="S3688" t="s">
        <v>40</v>
      </c>
      <c r="U3688" s="1">
        <v>39326</v>
      </c>
      <c r="V3688" t="s">
        <v>41</v>
      </c>
      <c r="W3688" t="s">
        <v>75</v>
      </c>
      <c r="X3688" t="str">
        <f>"7521044"</f>
        <v>7521044</v>
      </c>
      <c r="Y3688" t="s">
        <v>453</v>
      </c>
      <c r="Z3688" t="s">
        <v>195</v>
      </c>
      <c r="AA3688" t="s">
        <v>196</v>
      </c>
      <c r="AB3688" t="s">
        <v>131</v>
      </c>
      <c r="AC3688" t="s">
        <v>51</v>
      </c>
      <c r="AD3688" t="s">
        <v>45</v>
      </c>
      <c r="AE3688" s="1">
        <v>25288</v>
      </c>
      <c r="AF3688">
        <v>1</v>
      </c>
      <c r="AG3688" t="s">
        <v>196</v>
      </c>
      <c r="AH3688" s="36">
        <f t="shared" si="57"/>
        <v>50.469444444444441</v>
      </c>
      <c r="AI3688" s="41" t="s">
        <v>1780</v>
      </c>
    </row>
    <row r="3689" spans="1:35" x14ac:dyDescent="0.25">
      <c r="A3689" s="36">
        <v>99913687</v>
      </c>
      <c r="B3689" s="17" t="s">
        <v>56</v>
      </c>
      <c r="C3689" t="s">
        <v>79</v>
      </c>
      <c r="D3689" t="s">
        <v>80</v>
      </c>
      <c r="G3689" s="17" t="s">
        <v>35</v>
      </c>
      <c r="H3689" s="17">
        <v>1</v>
      </c>
      <c r="K3689" t="s">
        <v>431</v>
      </c>
      <c r="L3689" t="s">
        <v>196</v>
      </c>
      <c r="M3689" t="s">
        <v>131</v>
      </c>
      <c r="N3689">
        <v>23</v>
      </c>
      <c r="O3689" t="s">
        <v>40</v>
      </c>
      <c r="P3689" t="s">
        <v>40</v>
      </c>
      <c r="Q3689" t="s">
        <v>40</v>
      </c>
      <c r="S3689" t="s">
        <v>40</v>
      </c>
      <c r="V3689" t="s">
        <v>41</v>
      </c>
      <c r="W3689" t="s">
        <v>75</v>
      </c>
      <c r="X3689" t="str">
        <f>"7521012"</f>
        <v>7521012</v>
      </c>
      <c r="Y3689" t="s">
        <v>432</v>
      </c>
      <c r="Z3689" t="s">
        <v>431</v>
      </c>
      <c r="AA3689" t="s">
        <v>196</v>
      </c>
      <c r="AB3689" t="s">
        <v>131</v>
      </c>
      <c r="AC3689" t="s">
        <v>51</v>
      </c>
      <c r="AD3689" t="s">
        <v>45</v>
      </c>
      <c r="AE3689" s="1">
        <v>25288</v>
      </c>
      <c r="AF3689">
        <v>1</v>
      </c>
      <c r="AG3689" t="s">
        <v>196</v>
      </c>
      <c r="AH3689" s="36">
        <f t="shared" si="57"/>
        <v>50.469444444444441</v>
      </c>
      <c r="AI3689" s="41" t="s">
        <v>1780</v>
      </c>
    </row>
    <row r="3690" spans="1:35" x14ac:dyDescent="0.25">
      <c r="A3690" s="36">
        <v>99913688</v>
      </c>
      <c r="B3690" s="17" t="s">
        <v>56</v>
      </c>
      <c r="C3690" t="s">
        <v>33</v>
      </c>
      <c r="D3690" t="s">
        <v>34</v>
      </c>
      <c r="G3690" s="17" t="s">
        <v>48</v>
      </c>
      <c r="H3690" s="17">
        <v>1</v>
      </c>
      <c r="K3690" t="s">
        <v>300</v>
      </c>
      <c r="L3690" t="s">
        <v>301</v>
      </c>
      <c r="M3690" t="s">
        <v>131</v>
      </c>
      <c r="N3690">
        <v>24</v>
      </c>
      <c r="O3690" t="s">
        <v>40</v>
      </c>
      <c r="P3690" t="s">
        <v>40</v>
      </c>
      <c r="Q3690" t="s">
        <v>40</v>
      </c>
      <c r="R3690" t="s">
        <v>40</v>
      </c>
      <c r="S3690" t="s">
        <v>40</v>
      </c>
      <c r="V3690" t="s">
        <v>41</v>
      </c>
      <c r="W3690" t="s">
        <v>49</v>
      </c>
      <c r="X3690" t="str">
        <f>"0560001"</f>
        <v>0560001</v>
      </c>
      <c r="Y3690" t="s">
        <v>304</v>
      </c>
      <c r="Z3690" t="s">
        <v>300</v>
      </c>
      <c r="AA3690" t="s">
        <v>301</v>
      </c>
      <c r="AB3690" t="s">
        <v>131</v>
      </c>
      <c r="AC3690" t="s">
        <v>51</v>
      </c>
      <c r="AD3690" t="s">
        <v>45</v>
      </c>
      <c r="AE3690" s="1">
        <v>25286</v>
      </c>
      <c r="AF3690">
        <v>2</v>
      </c>
      <c r="AG3690" t="s">
        <v>301</v>
      </c>
      <c r="AH3690" s="36">
        <f t="shared" si="57"/>
        <v>50.475000000000001</v>
      </c>
      <c r="AI3690" s="41" t="s">
        <v>1780</v>
      </c>
    </row>
    <row r="3691" spans="1:35" x14ac:dyDescent="0.25">
      <c r="A3691" s="36">
        <v>99913689</v>
      </c>
      <c r="B3691" s="17" t="s">
        <v>32</v>
      </c>
      <c r="C3691" t="s">
        <v>111</v>
      </c>
      <c r="D3691" t="s">
        <v>112</v>
      </c>
      <c r="G3691" s="17" t="s">
        <v>48</v>
      </c>
      <c r="H3691" s="17">
        <v>1</v>
      </c>
      <c r="K3691" t="s">
        <v>354</v>
      </c>
      <c r="L3691" t="s">
        <v>355</v>
      </c>
      <c r="M3691" t="s">
        <v>131</v>
      </c>
      <c r="N3691">
        <v>22</v>
      </c>
      <c r="O3691" t="s">
        <v>40</v>
      </c>
      <c r="P3691" t="s">
        <v>40</v>
      </c>
      <c r="Q3691" t="s">
        <v>40</v>
      </c>
      <c r="S3691" t="s">
        <v>40</v>
      </c>
      <c r="V3691" t="s">
        <v>41</v>
      </c>
      <c r="W3691" t="s">
        <v>75</v>
      </c>
      <c r="X3691" t="str">
        <f>"7054022"</f>
        <v>7054022</v>
      </c>
      <c r="Y3691" t="s">
        <v>770</v>
      </c>
      <c r="Z3691" t="s">
        <v>354</v>
      </c>
      <c r="AA3691" t="s">
        <v>355</v>
      </c>
      <c r="AB3691" t="s">
        <v>131</v>
      </c>
      <c r="AC3691" t="s">
        <v>51</v>
      </c>
      <c r="AD3691" t="s">
        <v>45</v>
      </c>
      <c r="AE3691" s="1">
        <v>25281</v>
      </c>
      <c r="AF3691">
        <v>1</v>
      </c>
      <c r="AG3691" t="s">
        <v>355</v>
      </c>
      <c r="AH3691" s="36">
        <f t="shared" si="57"/>
        <v>50.488888888888887</v>
      </c>
      <c r="AI3691" s="41" t="s">
        <v>1780</v>
      </c>
    </row>
    <row r="3692" spans="1:35" x14ac:dyDescent="0.25">
      <c r="A3692" s="36">
        <v>99913690</v>
      </c>
      <c r="B3692" s="17" t="s">
        <v>32</v>
      </c>
      <c r="C3692" t="s">
        <v>90</v>
      </c>
      <c r="D3692" t="s">
        <v>91</v>
      </c>
      <c r="G3692" s="17" t="s">
        <v>35</v>
      </c>
      <c r="H3692" s="17">
        <v>1</v>
      </c>
      <c r="I3692" t="s">
        <v>1414</v>
      </c>
      <c r="J3692" s="1">
        <v>43344</v>
      </c>
      <c r="K3692" t="s">
        <v>1341</v>
      </c>
      <c r="L3692" t="s">
        <v>1342</v>
      </c>
      <c r="M3692" t="s">
        <v>1270</v>
      </c>
      <c r="N3692">
        <v>24</v>
      </c>
      <c r="O3692" t="s">
        <v>40</v>
      </c>
      <c r="S3692" t="s">
        <v>40</v>
      </c>
      <c r="U3692" s="1">
        <v>43344</v>
      </c>
      <c r="V3692" t="s">
        <v>41</v>
      </c>
      <c r="W3692" t="s">
        <v>95</v>
      </c>
      <c r="X3692" t="str">
        <f>"7191037"</f>
        <v>7191037</v>
      </c>
      <c r="Y3692" t="s">
        <v>1415</v>
      </c>
      <c r="Z3692" t="s">
        <v>1341</v>
      </c>
      <c r="AA3692" t="s">
        <v>1342</v>
      </c>
      <c r="AB3692" t="s">
        <v>1270</v>
      </c>
      <c r="AC3692" t="s">
        <v>51</v>
      </c>
      <c r="AD3692" t="s">
        <v>45</v>
      </c>
      <c r="AE3692" s="1">
        <v>25279</v>
      </c>
      <c r="AF3692">
        <v>1</v>
      </c>
      <c r="AG3692" t="s">
        <v>1342</v>
      </c>
      <c r="AH3692" s="36">
        <f t="shared" si="57"/>
        <v>50.494444444444447</v>
      </c>
      <c r="AI3692" s="41" t="s">
        <v>1780</v>
      </c>
    </row>
    <row r="3693" spans="1:35" x14ac:dyDescent="0.25">
      <c r="A3693" s="36">
        <v>99913691</v>
      </c>
      <c r="B3693" s="17" t="s">
        <v>32</v>
      </c>
      <c r="C3693" t="s">
        <v>82</v>
      </c>
      <c r="D3693" t="s">
        <v>83</v>
      </c>
      <c r="G3693" s="17" t="s">
        <v>48</v>
      </c>
      <c r="H3693" s="17">
        <v>1</v>
      </c>
      <c r="K3693" t="s">
        <v>157</v>
      </c>
      <c r="L3693" t="s">
        <v>158</v>
      </c>
      <c r="M3693" t="s">
        <v>131</v>
      </c>
      <c r="N3693">
        <v>23</v>
      </c>
      <c r="O3693" t="s">
        <v>40</v>
      </c>
      <c r="P3693" t="s">
        <v>40</v>
      </c>
      <c r="Q3693" t="s">
        <v>40</v>
      </c>
      <c r="S3693" t="s">
        <v>40</v>
      </c>
      <c r="V3693" t="s">
        <v>41</v>
      </c>
      <c r="W3693" t="s">
        <v>49</v>
      </c>
      <c r="X3693" t="str">
        <f>"0560019"</f>
        <v>0560019</v>
      </c>
      <c r="Y3693" t="s">
        <v>166</v>
      </c>
      <c r="Z3693" t="s">
        <v>157</v>
      </c>
      <c r="AA3693" t="s">
        <v>158</v>
      </c>
      <c r="AB3693" t="s">
        <v>131</v>
      </c>
      <c r="AC3693" t="s">
        <v>51</v>
      </c>
      <c r="AD3693" t="s">
        <v>45</v>
      </c>
      <c r="AE3693" s="1">
        <v>25277</v>
      </c>
      <c r="AF3693">
        <v>2</v>
      </c>
      <c r="AG3693" t="s">
        <v>158</v>
      </c>
      <c r="AH3693" s="36">
        <f t="shared" si="57"/>
        <v>50.5</v>
      </c>
      <c r="AI3693" s="41" t="s">
        <v>1781</v>
      </c>
    </row>
    <row r="3694" spans="1:35" x14ac:dyDescent="0.25">
      <c r="A3694" s="36">
        <v>99913692</v>
      </c>
      <c r="B3694" s="17" t="s">
        <v>32</v>
      </c>
      <c r="C3694" t="s">
        <v>64</v>
      </c>
      <c r="D3694" t="s">
        <v>65</v>
      </c>
      <c r="G3694" s="17" t="s">
        <v>48</v>
      </c>
      <c r="H3694" s="17">
        <v>1</v>
      </c>
      <c r="K3694" t="s">
        <v>1268</v>
      </c>
      <c r="L3694" t="s">
        <v>1269</v>
      </c>
      <c r="M3694" t="s">
        <v>1270</v>
      </c>
      <c r="N3694">
        <v>21</v>
      </c>
      <c r="O3694" t="s">
        <v>40</v>
      </c>
      <c r="P3694" t="s">
        <v>40</v>
      </c>
      <c r="Q3694" t="s">
        <v>40</v>
      </c>
      <c r="S3694" t="s">
        <v>40</v>
      </c>
      <c r="V3694" t="s">
        <v>41</v>
      </c>
      <c r="W3694" t="s">
        <v>42</v>
      </c>
      <c r="X3694" t="str">
        <f>"1980050"</f>
        <v>1980050</v>
      </c>
      <c r="Y3694" t="s">
        <v>1278</v>
      </c>
      <c r="Z3694" t="s">
        <v>1268</v>
      </c>
      <c r="AA3694" t="s">
        <v>1269</v>
      </c>
      <c r="AB3694" t="s">
        <v>1270</v>
      </c>
      <c r="AC3694" t="s">
        <v>51</v>
      </c>
      <c r="AD3694" t="s">
        <v>45</v>
      </c>
      <c r="AE3694" s="1">
        <v>25272</v>
      </c>
      <c r="AF3694">
        <v>2</v>
      </c>
      <c r="AG3694" t="s">
        <v>1269</v>
      </c>
      <c r="AH3694" s="36">
        <f t="shared" si="57"/>
        <v>50.513888888888886</v>
      </c>
      <c r="AI3694" s="41" t="s">
        <v>1781</v>
      </c>
    </row>
    <row r="3695" spans="1:35" x14ac:dyDescent="0.25">
      <c r="A3695" s="36">
        <v>99913693</v>
      </c>
      <c r="B3695" s="17" t="s">
        <v>56</v>
      </c>
      <c r="C3695" t="s">
        <v>46</v>
      </c>
      <c r="D3695" t="s">
        <v>47</v>
      </c>
      <c r="G3695" s="17" t="s">
        <v>35</v>
      </c>
      <c r="H3695" s="17">
        <v>1</v>
      </c>
      <c r="K3695" t="s">
        <v>223</v>
      </c>
      <c r="L3695" t="s">
        <v>224</v>
      </c>
      <c r="M3695" t="s">
        <v>131</v>
      </c>
      <c r="N3695">
        <v>18</v>
      </c>
      <c r="O3695" t="s">
        <v>40</v>
      </c>
      <c r="P3695" t="s">
        <v>40</v>
      </c>
      <c r="Q3695" t="s">
        <v>40</v>
      </c>
      <c r="R3695" t="s">
        <v>40</v>
      </c>
      <c r="S3695" t="s">
        <v>40</v>
      </c>
      <c r="V3695" t="s">
        <v>41</v>
      </c>
      <c r="W3695" t="s">
        <v>42</v>
      </c>
      <c r="X3695" t="str">
        <f>"0590901"</f>
        <v>0590901</v>
      </c>
      <c r="Y3695" t="s">
        <v>242</v>
      </c>
      <c r="Z3695" t="s">
        <v>223</v>
      </c>
      <c r="AA3695" t="s">
        <v>224</v>
      </c>
      <c r="AB3695" t="s">
        <v>131</v>
      </c>
      <c r="AC3695" t="s">
        <v>51</v>
      </c>
      <c r="AD3695" t="s">
        <v>45</v>
      </c>
      <c r="AE3695" s="1">
        <v>25271</v>
      </c>
      <c r="AF3695">
        <v>2</v>
      </c>
      <c r="AG3695" t="s">
        <v>224</v>
      </c>
      <c r="AH3695" s="36">
        <f t="shared" si="57"/>
        <v>50.516666666666666</v>
      </c>
      <c r="AI3695" s="41" t="s">
        <v>1781</v>
      </c>
    </row>
    <row r="3696" spans="1:35" x14ac:dyDescent="0.25">
      <c r="A3696" s="36">
        <v>99913694</v>
      </c>
      <c r="B3696" s="17" t="s">
        <v>32</v>
      </c>
      <c r="C3696" t="s">
        <v>46</v>
      </c>
      <c r="D3696" t="s">
        <v>47</v>
      </c>
      <c r="G3696" s="17" t="s">
        <v>35</v>
      </c>
      <c r="H3696" s="17">
        <v>1</v>
      </c>
      <c r="I3696">
        <v>6983</v>
      </c>
      <c r="J3696" s="1">
        <v>43344</v>
      </c>
      <c r="K3696" t="s">
        <v>1306</v>
      </c>
      <c r="L3696" t="s">
        <v>1307</v>
      </c>
      <c r="M3696" t="s">
        <v>1270</v>
      </c>
      <c r="N3696">
        <v>21</v>
      </c>
      <c r="O3696" t="s">
        <v>40</v>
      </c>
      <c r="P3696" t="s">
        <v>40</v>
      </c>
      <c r="Q3696" t="s">
        <v>40</v>
      </c>
      <c r="R3696" t="s">
        <v>40</v>
      </c>
      <c r="S3696" t="s">
        <v>40</v>
      </c>
      <c r="U3696" s="1">
        <v>43344</v>
      </c>
      <c r="V3696" t="s">
        <v>41</v>
      </c>
      <c r="W3696" t="s">
        <v>49</v>
      </c>
      <c r="X3696" t="str">
        <f>"1991915"</f>
        <v>1991915</v>
      </c>
      <c r="Y3696" t="s">
        <v>1316</v>
      </c>
      <c r="Z3696" t="s">
        <v>1306</v>
      </c>
      <c r="AA3696" t="s">
        <v>1307</v>
      </c>
      <c r="AB3696" t="s">
        <v>1270</v>
      </c>
      <c r="AC3696" t="s">
        <v>51</v>
      </c>
      <c r="AD3696" t="s">
        <v>45</v>
      </c>
      <c r="AE3696" s="1">
        <v>25271</v>
      </c>
      <c r="AF3696">
        <v>2</v>
      </c>
      <c r="AG3696" t="s">
        <v>1307</v>
      </c>
      <c r="AH3696" s="36">
        <f t="shared" si="57"/>
        <v>50.516666666666666</v>
      </c>
      <c r="AI3696" s="41" t="s">
        <v>1781</v>
      </c>
    </row>
    <row r="3697" spans="1:35" x14ac:dyDescent="0.25">
      <c r="A3697" s="36">
        <v>99913695</v>
      </c>
      <c r="B3697" s="17" t="s">
        <v>32</v>
      </c>
      <c r="C3697" t="s">
        <v>79</v>
      </c>
      <c r="D3697" t="s">
        <v>80</v>
      </c>
      <c r="G3697" s="17" t="s">
        <v>48</v>
      </c>
      <c r="H3697" s="17">
        <v>13</v>
      </c>
      <c r="K3697" t="s">
        <v>1426</v>
      </c>
      <c r="L3697" t="s">
        <v>1427</v>
      </c>
      <c r="M3697" t="s">
        <v>1270</v>
      </c>
      <c r="N3697">
        <v>21</v>
      </c>
      <c r="O3697" t="s">
        <v>40</v>
      </c>
      <c r="P3697" t="s">
        <v>40</v>
      </c>
      <c r="Q3697" t="s">
        <v>40</v>
      </c>
      <c r="R3697" t="s">
        <v>40</v>
      </c>
      <c r="S3697" t="s">
        <v>40</v>
      </c>
      <c r="V3697" t="s">
        <v>41</v>
      </c>
      <c r="W3697" t="s">
        <v>75</v>
      </c>
      <c r="X3697" t="str">
        <f>"7192004"</f>
        <v>7192004</v>
      </c>
      <c r="Y3697" t="s">
        <v>1428</v>
      </c>
      <c r="Z3697" t="s">
        <v>1426</v>
      </c>
      <c r="AA3697" t="s">
        <v>1427</v>
      </c>
      <c r="AB3697" t="s">
        <v>1270</v>
      </c>
      <c r="AC3697" t="s">
        <v>51</v>
      </c>
      <c r="AD3697" t="s">
        <v>45</v>
      </c>
      <c r="AE3697" s="1">
        <v>25269</v>
      </c>
      <c r="AF3697">
        <v>1</v>
      </c>
      <c r="AG3697" t="s">
        <v>1427</v>
      </c>
      <c r="AH3697" s="36">
        <f t="shared" si="57"/>
        <v>50.522222222222226</v>
      </c>
      <c r="AI3697" s="41" t="s">
        <v>1781</v>
      </c>
    </row>
    <row r="3698" spans="1:35" x14ac:dyDescent="0.25">
      <c r="A3698" s="36">
        <v>99913696</v>
      </c>
      <c r="B3698" s="17" t="s">
        <v>32</v>
      </c>
      <c r="C3698" t="s">
        <v>90</v>
      </c>
      <c r="D3698" t="s">
        <v>91</v>
      </c>
      <c r="G3698" s="17" t="s">
        <v>48</v>
      </c>
      <c r="H3698" s="17">
        <v>1</v>
      </c>
      <c r="J3698" s="1">
        <v>40058</v>
      </c>
      <c r="K3698" t="s">
        <v>1457</v>
      </c>
      <c r="L3698" t="s">
        <v>1458</v>
      </c>
      <c r="M3698" t="s">
        <v>1270</v>
      </c>
      <c r="N3698">
        <v>25</v>
      </c>
      <c r="O3698" t="s">
        <v>40</v>
      </c>
      <c r="P3698" t="s">
        <v>40</v>
      </c>
      <c r="Q3698" t="s">
        <v>40</v>
      </c>
      <c r="R3698" t="s">
        <v>40</v>
      </c>
      <c r="S3698" t="s">
        <v>40</v>
      </c>
      <c r="U3698" s="1">
        <v>40058</v>
      </c>
      <c r="V3698" t="s">
        <v>41</v>
      </c>
      <c r="W3698" t="s">
        <v>95</v>
      </c>
      <c r="X3698" t="str">
        <f>"7161007"</f>
        <v>7161007</v>
      </c>
      <c r="Y3698" t="s">
        <v>1460</v>
      </c>
      <c r="Z3698" t="s">
        <v>1457</v>
      </c>
      <c r="AA3698" t="s">
        <v>1458</v>
      </c>
      <c r="AB3698" t="s">
        <v>1270</v>
      </c>
      <c r="AC3698" t="s">
        <v>51</v>
      </c>
      <c r="AD3698" t="s">
        <v>45</v>
      </c>
      <c r="AE3698" s="1">
        <v>25269</v>
      </c>
      <c r="AF3698">
        <v>1</v>
      </c>
      <c r="AG3698" t="s">
        <v>1458</v>
      </c>
      <c r="AH3698" s="36">
        <f t="shared" si="57"/>
        <v>50.522222222222226</v>
      </c>
      <c r="AI3698" s="41" t="s">
        <v>1781</v>
      </c>
    </row>
    <row r="3699" spans="1:35" x14ac:dyDescent="0.25">
      <c r="A3699" s="36">
        <v>99913697</v>
      </c>
      <c r="B3699" s="17" t="s">
        <v>32</v>
      </c>
      <c r="C3699" t="s">
        <v>79</v>
      </c>
      <c r="D3699" t="s">
        <v>80</v>
      </c>
      <c r="G3699" s="17" t="s">
        <v>48</v>
      </c>
      <c r="H3699" s="17">
        <v>1</v>
      </c>
      <c r="K3699" t="s">
        <v>345</v>
      </c>
      <c r="L3699" t="s">
        <v>346</v>
      </c>
      <c r="M3699" t="s">
        <v>131</v>
      </c>
      <c r="N3699">
        <v>20</v>
      </c>
      <c r="O3699" t="s">
        <v>40</v>
      </c>
      <c r="P3699" t="s">
        <v>40</v>
      </c>
      <c r="Q3699" t="s">
        <v>40</v>
      </c>
      <c r="S3699" t="s">
        <v>40</v>
      </c>
      <c r="V3699" t="s">
        <v>41</v>
      </c>
      <c r="W3699" t="s">
        <v>49</v>
      </c>
      <c r="X3699" t="str">
        <f>"0581605"</f>
        <v>0581605</v>
      </c>
      <c r="Y3699" t="s">
        <v>366</v>
      </c>
      <c r="Z3699" t="s">
        <v>345</v>
      </c>
      <c r="AA3699" t="s">
        <v>346</v>
      </c>
      <c r="AB3699" t="s">
        <v>131</v>
      </c>
      <c r="AC3699" t="s">
        <v>51</v>
      </c>
      <c r="AD3699" t="s">
        <v>45</v>
      </c>
      <c r="AE3699" s="1">
        <v>25267</v>
      </c>
      <c r="AF3699">
        <v>2</v>
      </c>
      <c r="AG3699" t="s">
        <v>346</v>
      </c>
      <c r="AH3699" s="36">
        <f t="shared" si="57"/>
        <v>50.527777777777779</v>
      </c>
      <c r="AI3699" s="41" t="s">
        <v>1781</v>
      </c>
    </row>
    <row r="3700" spans="1:35" x14ac:dyDescent="0.25">
      <c r="A3700" s="36">
        <v>99913698</v>
      </c>
      <c r="B3700" s="17" t="s">
        <v>32</v>
      </c>
      <c r="C3700" t="s">
        <v>111</v>
      </c>
      <c r="D3700" t="s">
        <v>112</v>
      </c>
      <c r="G3700" s="17" t="s">
        <v>48</v>
      </c>
      <c r="H3700" s="17">
        <v>1</v>
      </c>
      <c r="K3700" t="s">
        <v>1198</v>
      </c>
      <c r="L3700" t="s">
        <v>1199</v>
      </c>
      <c r="M3700" t="s">
        <v>1130</v>
      </c>
      <c r="N3700">
        <v>12</v>
      </c>
      <c r="O3700" t="s">
        <v>40</v>
      </c>
      <c r="P3700" t="s">
        <v>40</v>
      </c>
      <c r="Q3700" t="s">
        <v>40</v>
      </c>
      <c r="S3700" t="s">
        <v>40</v>
      </c>
      <c r="V3700" t="s">
        <v>41</v>
      </c>
      <c r="W3700" t="s">
        <v>75</v>
      </c>
      <c r="X3700" t="str">
        <f>"7311006"</f>
        <v>7311006</v>
      </c>
      <c r="Y3700" t="s">
        <v>1200</v>
      </c>
      <c r="Z3700" t="s">
        <v>1198</v>
      </c>
      <c r="AA3700" t="s">
        <v>1199</v>
      </c>
      <c r="AB3700" t="s">
        <v>1130</v>
      </c>
      <c r="AC3700" t="s">
        <v>51</v>
      </c>
      <c r="AD3700" t="s">
        <v>45</v>
      </c>
      <c r="AE3700" s="1">
        <v>25267</v>
      </c>
      <c r="AF3700">
        <v>1</v>
      </c>
      <c r="AG3700" t="s">
        <v>1199</v>
      </c>
      <c r="AH3700" s="36">
        <f t="shared" si="57"/>
        <v>50.527777777777779</v>
      </c>
      <c r="AI3700" s="41" t="s">
        <v>1781</v>
      </c>
    </row>
    <row r="3701" spans="1:35" x14ac:dyDescent="0.25">
      <c r="A3701" s="36">
        <v>99913699</v>
      </c>
      <c r="B3701" s="17" t="s">
        <v>32</v>
      </c>
      <c r="C3701" t="s">
        <v>90</v>
      </c>
      <c r="D3701" t="s">
        <v>91</v>
      </c>
      <c r="G3701" s="17" t="s">
        <v>48</v>
      </c>
      <c r="H3701" s="17">
        <v>1</v>
      </c>
      <c r="K3701" t="s">
        <v>1461</v>
      </c>
      <c r="L3701" t="s">
        <v>1462</v>
      </c>
      <c r="M3701" t="s">
        <v>1270</v>
      </c>
      <c r="N3701">
        <v>8</v>
      </c>
      <c r="O3701" t="s">
        <v>40</v>
      </c>
      <c r="P3701" t="s">
        <v>40</v>
      </c>
      <c r="Q3701" t="s">
        <v>40</v>
      </c>
      <c r="S3701" t="s">
        <v>40</v>
      </c>
      <c r="V3701" t="s">
        <v>41</v>
      </c>
      <c r="W3701" t="s">
        <v>95</v>
      </c>
      <c r="X3701" t="str">
        <f>"7381003"</f>
        <v>7381003</v>
      </c>
      <c r="Y3701" t="s">
        <v>1463</v>
      </c>
      <c r="Z3701" t="s">
        <v>1461</v>
      </c>
      <c r="AA3701" t="s">
        <v>1462</v>
      </c>
      <c r="AB3701" t="s">
        <v>1270</v>
      </c>
      <c r="AC3701" t="s">
        <v>51</v>
      </c>
      <c r="AD3701" t="s">
        <v>45</v>
      </c>
      <c r="AE3701" s="1">
        <v>25267</v>
      </c>
      <c r="AF3701">
        <v>1</v>
      </c>
      <c r="AG3701" t="s">
        <v>1462</v>
      </c>
      <c r="AH3701" s="36">
        <f t="shared" si="57"/>
        <v>50.527777777777779</v>
      </c>
      <c r="AI3701" s="41" t="s">
        <v>1781</v>
      </c>
    </row>
    <row r="3702" spans="1:35" x14ac:dyDescent="0.25">
      <c r="A3702" s="36">
        <v>99913700</v>
      </c>
      <c r="B3702" s="17" t="s">
        <v>32</v>
      </c>
      <c r="C3702" t="s">
        <v>79</v>
      </c>
      <c r="D3702" t="s">
        <v>80</v>
      </c>
      <c r="G3702" s="17" t="s">
        <v>35</v>
      </c>
      <c r="H3702" s="17">
        <v>1</v>
      </c>
      <c r="K3702" t="s">
        <v>963</v>
      </c>
      <c r="L3702" t="s">
        <v>964</v>
      </c>
      <c r="M3702" t="s">
        <v>938</v>
      </c>
      <c r="N3702">
        <v>21</v>
      </c>
      <c r="O3702" t="s">
        <v>40</v>
      </c>
      <c r="P3702" t="s">
        <v>40</v>
      </c>
      <c r="Q3702" t="s">
        <v>40</v>
      </c>
      <c r="S3702" t="s">
        <v>40</v>
      </c>
      <c r="V3702" t="s">
        <v>41</v>
      </c>
      <c r="W3702" t="s">
        <v>75</v>
      </c>
      <c r="X3702" t="str">
        <f>"7061000"</f>
        <v>7061000</v>
      </c>
      <c r="Y3702" t="s">
        <v>962</v>
      </c>
      <c r="Z3702" t="s">
        <v>963</v>
      </c>
      <c r="AA3702" t="s">
        <v>964</v>
      </c>
      <c r="AB3702" t="s">
        <v>938</v>
      </c>
      <c r="AC3702" t="s">
        <v>165</v>
      </c>
      <c r="AD3702" t="s">
        <v>45</v>
      </c>
      <c r="AE3702" s="1">
        <v>25266</v>
      </c>
      <c r="AF3702">
        <v>1</v>
      </c>
      <c r="AG3702" t="s">
        <v>964</v>
      </c>
      <c r="AH3702" s="36">
        <f t="shared" si="57"/>
        <v>50.530555555555559</v>
      </c>
      <c r="AI3702" s="41" t="s">
        <v>1781</v>
      </c>
    </row>
    <row r="3703" spans="1:35" x14ac:dyDescent="0.25">
      <c r="A3703" s="36">
        <v>99913701</v>
      </c>
      <c r="B3703" s="17" t="s">
        <v>32</v>
      </c>
      <c r="C3703" t="s">
        <v>139</v>
      </c>
      <c r="D3703" t="s">
        <v>140</v>
      </c>
      <c r="G3703" s="17" t="s">
        <v>48</v>
      </c>
      <c r="H3703" s="17">
        <v>1</v>
      </c>
      <c r="K3703" t="s">
        <v>1268</v>
      </c>
      <c r="L3703" t="s">
        <v>1269</v>
      </c>
      <c r="M3703" t="s">
        <v>1270</v>
      </c>
      <c r="N3703">
        <v>18</v>
      </c>
      <c r="O3703" t="s">
        <v>40</v>
      </c>
      <c r="P3703" t="s">
        <v>40</v>
      </c>
      <c r="Q3703" t="s">
        <v>40</v>
      </c>
      <c r="S3703" t="s">
        <v>40</v>
      </c>
      <c r="V3703" t="s">
        <v>41</v>
      </c>
      <c r="W3703" t="s">
        <v>42</v>
      </c>
      <c r="X3703" t="str">
        <f>"1980050"</f>
        <v>1980050</v>
      </c>
      <c r="Y3703" t="s">
        <v>1278</v>
      </c>
      <c r="Z3703" t="s">
        <v>1268</v>
      </c>
      <c r="AA3703" t="s">
        <v>1269</v>
      </c>
      <c r="AB3703" t="s">
        <v>1270</v>
      </c>
      <c r="AC3703" t="s">
        <v>51</v>
      </c>
      <c r="AD3703" t="s">
        <v>45</v>
      </c>
      <c r="AE3703" s="1">
        <v>25260</v>
      </c>
      <c r="AF3703">
        <v>2</v>
      </c>
      <c r="AG3703" t="s">
        <v>1269</v>
      </c>
      <c r="AH3703" s="36">
        <f t="shared" si="57"/>
        <v>50.547222222222224</v>
      </c>
      <c r="AI3703" s="41" t="s">
        <v>1781</v>
      </c>
    </row>
    <row r="3704" spans="1:35" x14ac:dyDescent="0.25">
      <c r="A3704" s="36">
        <v>99913702</v>
      </c>
      <c r="B3704" s="17" t="s">
        <v>32</v>
      </c>
      <c r="C3704" t="s">
        <v>90</v>
      </c>
      <c r="D3704" t="s">
        <v>91</v>
      </c>
      <c r="G3704" s="17" t="s">
        <v>48</v>
      </c>
      <c r="H3704" s="17">
        <v>1</v>
      </c>
      <c r="K3704" t="s">
        <v>268</v>
      </c>
      <c r="L3704" t="s">
        <v>269</v>
      </c>
      <c r="M3704" t="s">
        <v>131</v>
      </c>
      <c r="N3704">
        <v>22</v>
      </c>
      <c r="O3704" t="s">
        <v>40</v>
      </c>
      <c r="P3704" t="s">
        <v>40</v>
      </c>
      <c r="Q3704" t="s">
        <v>40</v>
      </c>
      <c r="S3704" t="s">
        <v>40</v>
      </c>
      <c r="V3704" t="s">
        <v>41</v>
      </c>
      <c r="W3704" t="s">
        <v>95</v>
      </c>
      <c r="X3704" t="str">
        <f>"7052001"</f>
        <v>7052001</v>
      </c>
      <c r="Y3704" t="s">
        <v>576</v>
      </c>
      <c r="Z3704" t="s">
        <v>268</v>
      </c>
      <c r="AA3704" t="s">
        <v>269</v>
      </c>
      <c r="AB3704" t="s">
        <v>131</v>
      </c>
      <c r="AC3704" t="s">
        <v>51</v>
      </c>
      <c r="AD3704" t="s">
        <v>45</v>
      </c>
      <c r="AE3704" s="1">
        <v>25259</v>
      </c>
      <c r="AF3704">
        <v>1</v>
      </c>
      <c r="AG3704" t="s">
        <v>269</v>
      </c>
      <c r="AH3704" s="36">
        <f t="shared" si="57"/>
        <v>50.55</v>
      </c>
      <c r="AI3704" s="41" t="s">
        <v>1781</v>
      </c>
    </row>
    <row r="3705" spans="1:35" x14ac:dyDescent="0.25">
      <c r="A3705" s="36">
        <v>99913703</v>
      </c>
      <c r="B3705" s="17" t="s">
        <v>32</v>
      </c>
      <c r="C3705" t="s">
        <v>46</v>
      </c>
      <c r="D3705" t="s">
        <v>47</v>
      </c>
      <c r="G3705" s="17" t="s">
        <v>48</v>
      </c>
      <c r="H3705" s="17">
        <v>1</v>
      </c>
      <c r="K3705" t="s">
        <v>1496</v>
      </c>
      <c r="L3705" t="s">
        <v>1497</v>
      </c>
      <c r="M3705" t="s">
        <v>670</v>
      </c>
      <c r="N3705">
        <v>20</v>
      </c>
      <c r="O3705" t="s">
        <v>40</v>
      </c>
      <c r="P3705" t="s">
        <v>40</v>
      </c>
      <c r="Q3705" t="s">
        <v>40</v>
      </c>
      <c r="R3705" t="s">
        <v>40</v>
      </c>
      <c r="S3705" t="s">
        <v>40</v>
      </c>
      <c r="V3705" t="s">
        <v>41</v>
      </c>
      <c r="W3705" t="s">
        <v>42</v>
      </c>
      <c r="X3705" t="str">
        <f>"5080015"</f>
        <v>5080015</v>
      </c>
      <c r="Y3705" t="s">
        <v>1498</v>
      </c>
      <c r="Z3705" t="s">
        <v>1496</v>
      </c>
      <c r="AA3705" t="s">
        <v>1497</v>
      </c>
      <c r="AB3705" t="s">
        <v>670</v>
      </c>
      <c r="AC3705" t="s">
        <v>51</v>
      </c>
      <c r="AD3705" t="s">
        <v>45</v>
      </c>
      <c r="AE3705" s="1">
        <v>25257</v>
      </c>
      <c r="AF3705">
        <v>2</v>
      </c>
      <c r="AG3705" t="s">
        <v>1497</v>
      </c>
      <c r="AH3705" s="36">
        <f t="shared" si="57"/>
        <v>50.555555555555557</v>
      </c>
      <c r="AI3705" s="41" t="s">
        <v>1781</v>
      </c>
    </row>
    <row r="3706" spans="1:35" x14ac:dyDescent="0.25">
      <c r="A3706" s="36">
        <v>99913704</v>
      </c>
      <c r="B3706" s="17" t="s">
        <v>56</v>
      </c>
      <c r="C3706" t="s">
        <v>46</v>
      </c>
      <c r="D3706" t="s">
        <v>47</v>
      </c>
      <c r="G3706" s="17" t="s">
        <v>48</v>
      </c>
      <c r="H3706" s="17">
        <v>1</v>
      </c>
      <c r="K3706" t="s">
        <v>129</v>
      </c>
      <c r="L3706" t="s">
        <v>130</v>
      </c>
      <c r="M3706" t="s">
        <v>131</v>
      </c>
      <c r="N3706">
        <v>20</v>
      </c>
      <c r="O3706" t="s">
        <v>40</v>
      </c>
      <c r="P3706" t="s">
        <v>40</v>
      </c>
      <c r="Q3706" t="s">
        <v>40</v>
      </c>
      <c r="R3706" t="s">
        <v>40</v>
      </c>
      <c r="S3706" t="s">
        <v>40</v>
      </c>
      <c r="V3706" t="s">
        <v>41</v>
      </c>
      <c r="W3706" t="s">
        <v>49</v>
      </c>
      <c r="X3706" t="str">
        <f>"0560024"</f>
        <v>0560024</v>
      </c>
      <c r="Y3706" t="s">
        <v>138</v>
      </c>
      <c r="Z3706" t="s">
        <v>129</v>
      </c>
      <c r="AA3706" t="s">
        <v>130</v>
      </c>
      <c r="AB3706" t="s">
        <v>131</v>
      </c>
      <c r="AC3706" t="s">
        <v>51</v>
      </c>
      <c r="AD3706" t="s">
        <v>45</v>
      </c>
      <c r="AE3706" s="1">
        <v>25255</v>
      </c>
      <c r="AF3706">
        <v>2</v>
      </c>
      <c r="AG3706" t="s">
        <v>130</v>
      </c>
      <c r="AH3706" s="36">
        <f t="shared" si="57"/>
        <v>50.56111111111111</v>
      </c>
      <c r="AI3706" s="41" t="s">
        <v>1781</v>
      </c>
    </row>
    <row r="3707" spans="1:35" x14ac:dyDescent="0.25">
      <c r="A3707" s="36">
        <v>99913705</v>
      </c>
      <c r="B3707" s="17" t="s">
        <v>32</v>
      </c>
      <c r="C3707" t="s">
        <v>52</v>
      </c>
      <c r="D3707" t="s">
        <v>53</v>
      </c>
      <c r="G3707" s="17" t="s">
        <v>48</v>
      </c>
      <c r="H3707" s="17">
        <v>1</v>
      </c>
      <c r="K3707" t="s">
        <v>162</v>
      </c>
      <c r="L3707" t="s">
        <v>158</v>
      </c>
      <c r="M3707" t="s">
        <v>131</v>
      </c>
      <c r="N3707">
        <v>20</v>
      </c>
      <c r="O3707" t="s">
        <v>40</v>
      </c>
      <c r="P3707" t="s">
        <v>40</v>
      </c>
      <c r="Q3707" t="s">
        <v>40</v>
      </c>
      <c r="S3707" t="s">
        <v>40</v>
      </c>
      <c r="V3707" t="s">
        <v>41</v>
      </c>
      <c r="W3707" t="s">
        <v>42</v>
      </c>
      <c r="X3707" t="str">
        <f>"0580325"</f>
        <v>0580325</v>
      </c>
      <c r="Y3707" t="s">
        <v>170</v>
      </c>
      <c r="Z3707" t="s">
        <v>162</v>
      </c>
      <c r="AA3707" t="s">
        <v>158</v>
      </c>
      <c r="AB3707" t="s">
        <v>131</v>
      </c>
      <c r="AC3707" t="s">
        <v>51</v>
      </c>
      <c r="AD3707" t="s">
        <v>45</v>
      </c>
      <c r="AE3707" s="1">
        <v>25255</v>
      </c>
      <c r="AF3707">
        <v>2</v>
      </c>
      <c r="AG3707" t="s">
        <v>158</v>
      </c>
      <c r="AH3707" s="36">
        <f t="shared" si="57"/>
        <v>50.56111111111111</v>
      </c>
      <c r="AI3707" s="41" t="s">
        <v>1781</v>
      </c>
    </row>
    <row r="3708" spans="1:35" x14ac:dyDescent="0.25">
      <c r="A3708" s="36">
        <v>99913706</v>
      </c>
      <c r="B3708" s="17" t="s">
        <v>32</v>
      </c>
      <c r="C3708" t="s">
        <v>90</v>
      </c>
      <c r="D3708" t="s">
        <v>91</v>
      </c>
      <c r="G3708" s="17" t="s">
        <v>48</v>
      </c>
      <c r="H3708" s="17">
        <v>1</v>
      </c>
      <c r="K3708" t="s">
        <v>268</v>
      </c>
      <c r="L3708" t="s">
        <v>269</v>
      </c>
      <c r="M3708" t="s">
        <v>131</v>
      </c>
      <c r="N3708">
        <v>25</v>
      </c>
      <c r="O3708" t="s">
        <v>40</v>
      </c>
      <c r="P3708" t="s">
        <v>40</v>
      </c>
      <c r="Q3708" t="s">
        <v>40</v>
      </c>
      <c r="R3708" t="s">
        <v>40</v>
      </c>
      <c r="S3708" t="s">
        <v>40</v>
      </c>
      <c r="V3708" t="s">
        <v>41</v>
      </c>
      <c r="W3708" t="s">
        <v>95</v>
      </c>
      <c r="X3708" t="str">
        <f>"7052063"</f>
        <v>7052063</v>
      </c>
      <c r="Y3708" t="s">
        <v>642</v>
      </c>
      <c r="Z3708" t="s">
        <v>268</v>
      </c>
      <c r="AA3708" t="s">
        <v>269</v>
      </c>
      <c r="AB3708" t="s">
        <v>131</v>
      </c>
      <c r="AC3708" t="s">
        <v>51</v>
      </c>
      <c r="AD3708" t="s">
        <v>45</v>
      </c>
      <c r="AE3708" s="1">
        <v>25250</v>
      </c>
      <c r="AF3708">
        <v>1</v>
      </c>
      <c r="AG3708" t="s">
        <v>269</v>
      </c>
      <c r="AH3708" s="36">
        <f t="shared" si="57"/>
        <v>50.575000000000003</v>
      </c>
      <c r="AI3708" s="41" t="s">
        <v>1781</v>
      </c>
    </row>
    <row r="3709" spans="1:35" x14ac:dyDescent="0.25">
      <c r="A3709" s="36">
        <v>99913707</v>
      </c>
      <c r="B3709" s="17" t="s">
        <v>32</v>
      </c>
      <c r="C3709" t="s">
        <v>64</v>
      </c>
      <c r="D3709" t="s">
        <v>65</v>
      </c>
      <c r="G3709" s="17" t="s">
        <v>48</v>
      </c>
      <c r="H3709" s="17">
        <v>1</v>
      </c>
      <c r="K3709" t="s">
        <v>223</v>
      </c>
      <c r="L3709" t="s">
        <v>224</v>
      </c>
      <c r="M3709" t="s">
        <v>131</v>
      </c>
      <c r="N3709">
        <v>20</v>
      </c>
      <c r="O3709" t="s">
        <v>40</v>
      </c>
      <c r="P3709" t="s">
        <v>40</v>
      </c>
      <c r="Q3709" t="s">
        <v>40</v>
      </c>
      <c r="R3709" t="s">
        <v>40</v>
      </c>
      <c r="S3709" t="s">
        <v>40</v>
      </c>
      <c r="V3709" t="s">
        <v>41</v>
      </c>
      <c r="W3709" t="s">
        <v>49</v>
      </c>
      <c r="X3709" t="str">
        <f>"0591910"</f>
        <v>0591910</v>
      </c>
      <c r="Y3709" t="s">
        <v>228</v>
      </c>
      <c r="Z3709" t="s">
        <v>223</v>
      </c>
      <c r="AA3709" t="s">
        <v>224</v>
      </c>
      <c r="AB3709" t="s">
        <v>131</v>
      </c>
      <c r="AC3709" t="s">
        <v>51</v>
      </c>
      <c r="AD3709" t="s">
        <v>45</v>
      </c>
      <c r="AE3709" s="1">
        <v>25244</v>
      </c>
      <c r="AF3709">
        <v>2</v>
      </c>
      <c r="AG3709" t="s">
        <v>224</v>
      </c>
      <c r="AH3709" s="36">
        <f t="shared" si="57"/>
        <v>50.591666666666669</v>
      </c>
      <c r="AI3709" s="41" t="s">
        <v>1781</v>
      </c>
    </row>
    <row r="3710" spans="1:35" x14ac:dyDescent="0.25">
      <c r="A3710" s="36">
        <v>99913708</v>
      </c>
      <c r="B3710" s="17" t="s">
        <v>56</v>
      </c>
      <c r="C3710" t="s">
        <v>46</v>
      </c>
      <c r="D3710" t="s">
        <v>47</v>
      </c>
      <c r="G3710" s="17" t="s">
        <v>48</v>
      </c>
      <c r="H3710" s="17">
        <v>1</v>
      </c>
      <c r="K3710" t="s">
        <v>223</v>
      </c>
      <c r="L3710" t="s">
        <v>224</v>
      </c>
      <c r="M3710" t="s">
        <v>131</v>
      </c>
      <c r="N3710">
        <v>16</v>
      </c>
      <c r="O3710" t="s">
        <v>40</v>
      </c>
      <c r="P3710" t="s">
        <v>40</v>
      </c>
      <c r="Q3710" t="s">
        <v>40</v>
      </c>
      <c r="R3710" t="s">
        <v>40</v>
      </c>
      <c r="S3710" t="s">
        <v>40</v>
      </c>
      <c r="V3710" t="s">
        <v>41</v>
      </c>
      <c r="W3710" t="s">
        <v>42</v>
      </c>
      <c r="X3710" t="str">
        <f>"0580207"</f>
        <v>0580207</v>
      </c>
      <c r="Y3710" t="s">
        <v>229</v>
      </c>
      <c r="Z3710" t="s">
        <v>223</v>
      </c>
      <c r="AA3710" t="s">
        <v>224</v>
      </c>
      <c r="AB3710" t="s">
        <v>131</v>
      </c>
      <c r="AC3710" t="s">
        <v>51</v>
      </c>
      <c r="AD3710" t="s">
        <v>45</v>
      </c>
      <c r="AE3710" s="1">
        <v>25243</v>
      </c>
      <c r="AF3710">
        <v>2</v>
      </c>
      <c r="AG3710" t="s">
        <v>224</v>
      </c>
      <c r="AH3710" s="36">
        <f t="shared" si="57"/>
        <v>50.594444444444441</v>
      </c>
      <c r="AI3710" s="41" t="s">
        <v>1781</v>
      </c>
    </row>
    <row r="3711" spans="1:35" x14ac:dyDescent="0.25">
      <c r="A3711" s="36">
        <v>99913709</v>
      </c>
      <c r="B3711" s="17" t="s">
        <v>56</v>
      </c>
      <c r="C3711" t="s">
        <v>64</v>
      </c>
      <c r="D3711" t="s">
        <v>65</v>
      </c>
      <c r="G3711" s="17" t="s">
        <v>48</v>
      </c>
      <c r="H3711" s="17">
        <v>1</v>
      </c>
      <c r="K3711" t="s">
        <v>877</v>
      </c>
      <c r="L3711" t="s">
        <v>878</v>
      </c>
      <c r="M3711" t="s">
        <v>131</v>
      </c>
      <c r="N3711">
        <v>12</v>
      </c>
      <c r="O3711" t="s">
        <v>40</v>
      </c>
      <c r="P3711" t="s">
        <v>40</v>
      </c>
      <c r="Q3711" t="s">
        <v>40</v>
      </c>
      <c r="S3711" t="s">
        <v>40</v>
      </c>
      <c r="V3711" t="s">
        <v>41</v>
      </c>
      <c r="W3711" t="s">
        <v>75</v>
      </c>
      <c r="X3711" t="str">
        <f>"7541026"</f>
        <v>7541026</v>
      </c>
      <c r="Y3711" t="s">
        <v>894</v>
      </c>
      <c r="Z3711" t="s">
        <v>877</v>
      </c>
      <c r="AA3711" t="s">
        <v>878</v>
      </c>
      <c r="AB3711" t="s">
        <v>131</v>
      </c>
      <c r="AC3711" t="s">
        <v>51</v>
      </c>
      <c r="AD3711" t="s">
        <v>45</v>
      </c>
      <c r="AE3711" s="1">
        <v>25239</v>
      </c>
      <c r="AF3711">
        <v>1</v>
      </c>
      <c r="AG3711" t="s">
        <v>878</v>
      </c>
      <c r="AH3711" s="36">
        <f t="shared" si="57"/>
        <v>50.605555555555554</v>
      </c>
      <c r="AI3711" s="41" t="s">
        <v>1781</v>
      </c>
    </row>
    <row r="3712" spans="1:35" x14ac:dyDescent="0.25">
      <c r="A3712" s="36">
        <v>99913710</v>
      </c>
      <c r="B3712" s="17" t="s">
        <v>56</v>
      </c>
      <c r="C3712" t="s">
        <v>46</v>
      </c>
      <c r="D3712" t="s">
        <v>47</v>
      </c>
      <c r="G3712" s="17" t="s">
        <v>48</v>
      </c>
      <c r="H3712" s="17">
        <v>1</v>
      </c>
      <c r="K3712" t="s">
        <v>1268</v>
      </c>
      <c r="L3712" t="s">
        <v>1269</v>
      </c>
      <c r="M3712" t="s">
        <v>1270</v>
      </c>
      <c r="N3712">
        <v>20</v>
      </c>
      <c r="O3712" t="s">
        <v>40</v>
      </c>
      <c r="P3712" t="s">
        <v>40</v>
      </c>
      <c r="Q3712" t="s">
        <v>40</v>
      </c>
      <c r="S3712" t="s">
        <v>40</v>
      </c>
      <c r="V3712" t="s">
        <v>41</v>
      </c>
      <c r="W3712" t="s">
        <v>49</v>
      </c>
      <c r="X3712" t="str">
        <f>"1981914"</f>
        <v>1981914</v>
      </c>
      <c r="Y3712" t="s">
        <v>1287</v>
      </c>
      <c r="Z3712" t="s">
        <v>1268</v>
      </c>
      <c r="AA3712" t="s">
        <v>1269</v>
      </c>
      <c r="AB3712" t="s">
        <v>1270</v>
      </c>
      <c r="AC3712" t="s">
        <v>51</v>
      </c>
      <c r="AD3712" t="s">
        <v>45</v>
      </c>
      <c r="AE3712" s="1">
        <v>25239</v>
      </c>
      <c r="AF3712">
        <v>2</v>
      </c>
      <c r="AG3712" t="s">
        <v>1269</v>
      </c>
      <c r="AH3712" s="36">
        <f t="shared" si="57"/>
        <v>50.605555555555554</v>
      </c>
      <c r="AI3712" s="41" t="s">
        <v>1781</v>
      </c>
    </row>
    <row r="3713" spans="1:35" x14ac:dyDescent="0.25">
      <c r="A3713" s="36">
        <v>99913711</v>
      </c>
      <c r="B3713" s="17" t="s">
        <v>56</v>
      </c>
      <c r="C3713" t="s">
        <v>79</v>
      </c>
      <c r="D3713" t="s">
        <v>80</v>
      </c>
      <c r="G3713" s="17" t="s">
        <v>48</v>
      </c>
      <c r="H3713" s="17">
        <v>1</v>
      </c>
      <c r="K3713" t="s">
        <v>1341</v>
      </c>
      <c r="L3713" t="s">
        <v>1342</v>
      </c>
      <c r="M3713" t="s">
        <v>1270</v>
      </c>
      <c r="N3713">
        <v>21</v>
      </c>
      <c r="O3713" t="s">
        <v>40</v>
      </c>
      <c r="P3713" t="s">
        <v>40</v>
      </c>
      <c r="Q3713" t="s">
        <v>40</v>
      </c>
      <c r="S3713" t="s">
        <v>40</v>
      </c>
      <c r="V3713" t="s">
        <v>41</v>
      </c>
      <c r="W3713" t="s">
        <v>75</v>
      </c>
      <c r="X3713" t="str">
        <f>"7191016"</f>
        <v>7191016</v>
      </c>
      <c r="Y3713" t="s">
        <v>1403</v>
      </c>
      <c r="Z3713" t="s">
        <v>1341</v>
      </c>
      <c r="AA3713" t="s">
        <v>1342</v>
      </c>
      <c r="AB3713" t="s">
        <v>1270</v>
      </c>
      <c r="AC3713" t="s">
        <v>51</v>
      </c>
      <c r="AD3713" t="s">
        <v>45</v>
      </c>
      <c r="AE3713" s="1">
        <v>25239</v>
      </c>
      <c r="AF3713">
        <v>1</v>
      </c>
      <c r="AG3713" t="s">
        <v>1342</v>
      </c>
      <c r="AH3713" s="36">
        <f t="shared" si="57"/>
        <v>50.605555555555554</v>
      </c>
      <c r="AI3713" s="41" t="s">
        <v>1781</v>
      </c>
    </row>
    <row r="3714" spans="1:35" x14ac:dyDescent="0.25">
      <c r="A3714" s="36">
        <v>99913712</v>
      </c>
      <c r="B3714" s="17" t="s">
        <v>56</v>
      </c>
      <c r="C3714" t="s">
        <v>79</v>
      </c>
      <c r="D3714" t="s">
        <v>80</v>
      </c>
      <c r="G3714" s="17" t="s">
        <v>35</v>
      </c>
      <c r="H3714" s="17">
        <v>1</v>
      </c>
      <c r="I3714">
        <v>0</v>
      </c>
      <c r="J3714" s="1">
        <v>43344</v>
      </c>
      <c r="K3714" t="s">
        <v>223</v>
      </c>
      <c r="L3714" t="s">
        <v>224</v>
      </c>
      <c r="M3714" t="s">
        <v>131</v>
      </c>
      <c r="N3714">
        <v>18</v>
      </c>
      <c r="O3714" t="s">
        <v>40</v>
      </c>
      <c r="P3714" t="s">
        <v>40</v>
      </c>
      <c r="Q3714" t="s">
        <v>40</v>
      </c>
      <c r="S3714" t="s">
        <v>40</v>
      </c>
      <c r="U3714" s="1">
        <v>43344</v>
      </c>
      <c r="V3714" t="s">
        <v>41</v>
      </c>
      <c r="W3714" t="s">
        <v>49</v>
      </c>
      <c r="X3714" t="str">
        <f>"0581207"</f>
        <v>0581207</v>
      </c>
      <c r="Y3714" t="s">
        <v>233</v>
      </c>
      <c r="Z3714" t="s">
        <v>223</v>
      </c>
      <c r="AA3714" t="s">
        <v>224</v>
      </c>
      <c r="AB3714" t="s">
        <v>131</v>
      </c>
      <c r="AC3714" t="s">
        <v>51</v>
      </c>
      <c r="AD3714" t="s">
        <v>45</v>
      </c>
      <c r="AE3714" s="1">
        <v>25238</v>
      </c>
      <c r="AF3714">
        <v>2</v>
      </c>
      <c r="AG3714" t="s">
        <v>224</v>
      </c>
      <c r="AH3714" s="36">
        <f t="shared" ref="AH3714:AH3777" si="58">($AJ$1-AE3714)/360</f>
        <v>50.608333333333334</v>
      </c>
      <c r="AI3714" s="41" t="s">
        <v>1781</v>
      </c>
    </row>
    <row r="3715" spans="1:35" x14ac:dyDescent="0.25">
      <c r="A3715" s="36">
        <v>99913713</v>
      </c>
      <c r="B3715" s="17" t="s">
        <v>32</v>
      </c>
      <c r="C3715" t="s">
        <v>90</v>
      </c>
      <c r="D3715" t="s">
        <v>91</v>
      </c>
      <c r="G3715" s="17" t="s">
        <v>35</v>
      </c>
      <c r="H3715" s="17">
        <v>1</v>
      </c>
      <c r="K3715" t="s">
        <v>1081</v>
      </c>
      <c r="L3715" t="s">
        <v>1082</v>
      </c>
      <c r="M3715" t="s">
        <v>1053</v>
      </c>
      <c r="N3715">
        <v>25</v>
      </c>
      <c r="O3715" t="s">
        <v>40</v>
      </c>
      <c r="P3715" t="s">
        <v>40</v>
      </c>
      <c r="Q3715" t="s">
        <v>40</v>
      </c>
      <c r="R3715" t="s">
        <v>40</v>
      </c>
      <c r="S3715" t="s">
        <v>40</v>
      </c>
      <c r="V3715" t="s">
        <v>41</v>
      </c>
      <c r="W3715" t="s">
        <v>95</v>
      </c>
      <c r="X3715" t="str">
        <f>"7201001"</f>
        <v>7201001</v>
      </c>
      <c r="Y3715" t="s">
        <v>1109</v>
      </c>
      <c r="Z3715" t="s">
        <v>1081</v>
      </c>
      <c r="AA3715" t="s">
        <v>1082</v>
      </c>
      <c r="AB3715" t="s">
        <v>1053</v>
      </c>
      <c r="AC3715" t="s">
        <v>165</v>
      </c>
      <c r="AD3715" t="s">
        <v>45</v>
      </c>
      <c r="AE3715" s="1">
        <v>25235</v>
      </c>
      <c r="AF3715">
        <v>1</v>
      </c>
      <c r="AG3715" t="s">
        <v>1082</v>
      </c>
      <c r="AH3715" s="36">
        <f t="shared" si="58"/>
        <v>50.616666666666667</v>
      </c>
      <c r="AI3715" s="41" t="s">
        <v>1781</v>
      </c>
    </row>
    <row r="3716" spans="1:35" x14ac:dyDescent="0.25">
      <c r="A3716" s="36">
        <v>99913714</v>
      </c>
      <c r="B3716" s="17" t="s">
        <v>56</v>
      </c>
      <c r="C3716" t="s">
        <v>52</v>
      </c>
      <c r="D3716" t="s">
        <v>53</v>
      </c>
      <c r="G3716" s="17" t="s">
        <v>35</v>
      </c>
      <c r="H3716" s="17">
        <v>1</v>
      </c>
      <c r="K3716" t="s">
        <v>1626</v>
      </c>
      <c r="L3716" t="s">
        <v>1627</v>
      </c>
      <c r="M3716" t="s">
        <v>1592</v>
      </c>
      <c r="N3716">
        <v>21</v>
      </c>
      <c r="O3716" t="s">
        <v>40</v>
      </c>
      <c r="P3716" t="s">
        <v>40</v>
      </c>
      <c r="Q3716" t="s">
        <v>40</v>
      </c>
      <c r="S3716" t="s">
        <v>40</v>
      </c>
      <c r="V3716" t="s">
        <v>41</v>
      </c>
      <c r="W3716" t="s">
        <v>42</v>
      </c>
      <c r="X3716" t="str">
        <f>"3680015"</f>
        <v>3680015</v>
      </c>
      <c r="Y3716" t="s">
        <v>1628</v>
      </c>
      <c r="Z3716" t="s">
        <v>1626</v>
      </c>
      <c r="AA3716" t="s">
        <v>1627</v>
      </c>
      <c r="AB3716" t="s">
        <v>1592</v>
      </c>
      <c r="AC3716" t="s">
        <v>51</v>
      </c>
      <c r="AD3716" t="s">
        <v>45</v>
      </c>
      <c r="AE3716" s="1">
        <v>25233</v>
      </c>
      <c r="AF3716">
        <v>2</v>
      </c>
      <c r="AG3716" t="s">
        <v>1627</v>
      </c>
      <c r="AH3716" s="36">
        <f t="shared" si="58"/>
        <v>50.62222222222222</v>
      </c>
      <c r="AI3716" s="41" t="s">
        <v>1781</v>
      </c>
    </row>
    <row r="3717" spans="1:35" x14ac:dyDescent="0.25">
      <c r="A3717" s="36">
        <v>99913715</v>
      </c>
      <c r="B3717" s="17" t="s">
        <v>32</v>
      </c>
      <c r="C3717" t="s">
        <v>90</v>
      </c>
      <c r="D3717" t="s">
        <v>91</v>
      </c>
      <c r="G3717" s="17" t="s">
        <v>35</v>
      </c>
      <c r="H3717" s="17">
        <v>1</v>
      </c>
      <c r="I3717" t="s">
        <v>627</v>
      </c>
      <c r="J3717" s="1">
        <v>43344</v>
      </c>
      <c r="K3717" t="s">
        <v>268</v>
      </c>
      <c r="L3717" t="s">
        <v>269</v>
      </c>
      <c r="M3717" t="s">
        <v>131</v>
      </c>
      <c r="N3717">
        <v>23</v>
      </c>
      <c r="O3717" t="s">
        <v>40</v>
      </c>
      <c r="P3717" t="s">
        <v>40</v>
      </c>
      <c r="Q3717" t="s">
        <v>40</v>
      </c>
      <c r="R3717" t="s">
        <v>40</v>
      </c>
      <c r="S3717" t="s">
        <v>40</v>
      </c>
      <c r="U3717" s="1">
        <v>43344</v>
      </c>
      <c r="V3717" t="s">
        <v>41</v>
      </c>
      <c r="W3717" t="s">
        <v>95</v>
      </c>
      <c r="X3717" t="str">
        <f>"7052071"</f>
        <v>7052071</v>
      </c>
      <c r="Y3717" t="s">
        <v>628</v>
      </c>
      <c r="Z3717" t="s">
        <v>268</v>
      </c>
      <c r="AA3717" t="s">
        <v>269</v>
      </c>
      <c r="AB3717" t="s">
        <v>131</v>
      </c>
      <c r="AC3717" t="s">
        <v>51</v>
      </c>
      <c r="AD3717" t="s">
        <v>45</v>
      </c>
      <c r="AE3717" s="1">
        <v>25230</v>
      </c>
      <c r="AF3717">
        <v>1</v>
      </c>
      <c r="AG3717" t="s">
        <v>269</v>
      </c>
      <c r="AH3717" s="36">
        <f t="shared" si="58"/>
        <v>50.630555555555553</v>
      </c>
      <c r="AI3717" s="41" t="s">
        <v>1781</v>
      </c>
    </row>
    <row r="3718" spans="1:35" x14ac:dyDescent="0.25">
      <c r="A3718" s="36">
        <v>99913716</v>
      </c>
      <c r="B3718" s="17" t="s">
        <v>32</v>
      </c>
      <c r="C3718" t="s">
        <v>145</v>
      </c>
      <c r="D3718" t="s">
        <v>146</v>
      </c>
      <c r="G3718" s="17" t="s">
        <v>48</v>
      </c>
      <c r="H3718" s="17">
        <v>1</v>
      </c>
      <c r="K3718" t="s">
        <v>223</v>
      </c>
      <c r="L3718" t="s">
        <v>224</v>
      </c>
      <c r="M3718" t="s">
        <v>131</v>
      </c>
      <c r="N3718">
        <v>20</v>
      </c>
      <c r="O3718" t="s">
        <v>40</v>
      </c>
      <c r="P3718" t="s">
        <v>40</v>
      </c>
      <c r="Q3718" t="s">
        <v>40</v>
      </c>
      <c r="S3718" t="s">
        <v>40</v>
      </c>
      <c r="V3718" t="s">
        <v>41</v>
      </c>
      <c r="W3718" t="s">
        <v>42</v>
      </c>
      <c r="X3718" t="str">
        <f>"0580202"</f>
        <v>0580202</v>
      </c>
      <c r="Y3718" t="s">
        <v>240</v>
      </c>
      <c r="Z3718" t="s">
        <v>223</v>
      </c>
      <c r="AA3718" t="s">
        <v>224</v>
      </c>
      <c r="AB3718" t="s">
        <v>131</v>
      </c>
      <c r="AC3718" t="s">
        <v>51</v>
      </c>
      <c r="AD3718" t="s">
        <v>45</v>
      </c>
      <c r="AE3718" s="1">
        <v>25229</v>
      </c>
      <c r="AF3718">
        <v>2</v>
      </c>
      <c r="AG3718" t="s">
        <v>224</v>
      </c>
      <c r="AH3718" s="36">
        <f t="shared" si="58"/>
        <v>50.633333333333333</v>
      </c>
      <c r="AI3718" s="41" t="s">
        <v>1781</v>
      </c>
    </row>
    <row r="3719" spans="1:35" x14ac:dyDescent="0.25">
      <c r="A3719" s="36">
        <v>99913717</v>
      </c>
      <c r="B3719" s="17" t="s">
        <v>56</v>
      </c>
      <c r="C3719" t="s">
        <v>111</v>
      </c>
      <c r="D3719" t="s">
        <v>112</v>
      </c>
      <c r="G3719" s="17" t="s">
        <v>48</v>
      </c>
      <c r="H3719" s="17">
        <v>15</v>
      </c>
      <c r="I3719" t="s">
        <v>560</v>
      </c>
      <c r="J3719" s="1">
        <v>38596</v>
      </c>
      <c r="K3719" t="s">
        <v>431</v>
      </c>
      <c r="L3719" t="s">
        <v>196</v>
      </c>
      <c r="M3719" t="s">
        <v>131</v>
      </c>
      <c r="N3719">
        <v>22</v>
      </c>
      <c r="O3719" t="s">
        <v>40</v>
      </c>
      <c r="P3719" t="s">
        <v>40</v>
      </c>
      <c r="Q3719" t="s">
        <v>40</v>
      </c>
      <c r="R3719" t="s">
        <v>40</v>
      </c>
      <c r="S3719" t="s">
        <v>40</v>
      </c>
      <c r="U3719" s="1">
        <v>38596</v>
      </c>
      <c r="V3719" t="s">
        <v>41</v>
      </c>
      <c r="W3719" t="s">
        <v>75</v>
      </c>
      <c r="X3719" t="str">
        <f>"7521022"</f>
        <v>7521022</v>
      </c>
      <c r="Y3719" t="s">
        <v>445</v>
      </c>
      <c r="Z3719" t="s">
        <v>431</v>
      </c>
      <c r="AA3719" t="s">
        <v>196</v>
      </c>
      <c r="AB3719" t="s">
        <v>131</v>
      </c>
      <c r="AC3719" t="s">
        <v>51</v>
      </c>
      <c r="AD3719" t="s">
        <v>45</v>
      </c>
      <c r="AE3719" s="1">
        <v>25229</v>
      </c>
      <c r="AF3719">
        <v>1</v>
      </c>
      <c r="AG3719" t="s">
        <v>196</v>
      </c>
      <c r="AH3719" s="36">
        <f t="shared" si="58"/>
        <v>50.633333333333333</v>
      </c>
      <c r="AI3719" s="41" t="s">
        <v>1781</v>
      </c>
    </row>
    <row r="3720" spans="1:35" x14ac:dyDescent="0.25">
      <c r="A3720" s="36">
        <v>99913718</v>
      </c>
      <c r="B3720" s="17" t="s">
        <v>32</v>
      </c>
      <c r="C3720" t="s">
        <v>64</v>
      </c>
      <c r="D3720" t="s">
        <v>65</v>
      </c>
      <c r="G3720" s="17" t="s">
        <v>48</v>
      </c>
      <c r="H3720" s="17">
        <v>1</v>
      </c>
      <c r="K3720" t="s">
        <v>1198</v>
      </c>
      <c r="L3720" t="s">
        <v>1199</v>
      </c>
      <c r="M3720" t="s">
        <v>1130</v>
      </c>
      <c r="N3720">
        <v>24</v>
      </c>
      <c r="O3720" t="s">
        <v>40</v>
      </c>
      <c r="P3720" t="s">
        <v>40</v>
      </c>
      <c r="Q3720" t="s">
        <v>40</v>
      </c>
      <c r="R3720" t="s">
        <v>40</v>
      </c>
      <c r="S3720" t="s">
        <v>40</v>
      </c>
      <c r="V3720" t="s">
        <v>41</v>
      </c>
      <c r="W3720" t="s">
        <v>75</v>
      </c>
      <c r="X3720" t="str">
        <f>"7311010"</f>
        <v>7311010</v>
      </c>
      <c r="Y3720" t="s">
        <v>1202</v>
      </c>
      <c r="Z3720" t="s">
        <v>1198</v>
      </c>
      <c r="AA3720" t="s">
        <v>1199</v>
      </c>
      <c r="AB3720" t="s">
        <v>1130</v>
      </c>
      <c r="AC3720" t="s">
        <v>51</v>
      </c>
      <c r="AD3720" t="s">
        <v>45</v>
      </c>
      <c r="AE3720" s="1">
        <v>25229</v>
      </c>
      <c r="AF3720">
        <v>1</v>
      </c>
      <c r="AG3720" t="s">
        <v>1199</v>
      </c>
      <c r="AH3720" s="36">
        <f t="shared" si="58"/>
        <v>50.633333333333333</v>
      </c>
      <c r="AI3720" s="41" t="s">
        <v>1781</v>
      </c>
    </row>
    <row r="3721" spans="1:35" x14ac:dyDescent="0.25">
      <c r="A3721" s="36">
        <v>99913719</v>
      </c>
      <c r="B3721" s="17" t="s">
        <v>32</v>
      </c>
      <c r="C3721" t="s">
        <v>71</v>
      </c>
      <c r="D3721" t="s">
        <v>72</v>
      </c>
      <c r="G3721" s="17" t="s">
        <v>35</v>
      </c>
      <c r="H3721" s="17">
        <v>1</v>
      </c>
      <c r="I3721" t="s">
        <v>286</v>
      </c>
      <c r="J3721" s="1">
        <v>43344</v>
      </c>
      <c r="K3721" t="s">
        <v>268</v>
      </c>
      <c r="L3721" t="s">
        <v>269</v>
      </c>
      <c r="M3721" t="s">
        <v>131</v>
      </c>
      <c r="N3721">
        <v>23</v>
      </c>
      <c r="O3721" t="s">
        <v>40</v>
      </c>
      <c r="S3721" t="s">
        <v>40</v>
      </c>
      <c r="V3721" t="s">
        <v>41</v>
      </c>
      <c r="W3721" t="s">
        <v>75</v>
      </c>
      <c r="X3721" t="str">
        <f>"7052018"</f>
        <v>7052018</v>
      </c>
      <c r="Y3721" t="s">
        <v>577</v>
      </c>
      <c r="Z3721" t="s">
        <v>268</v>
      </c>
      <c r="AA3721" t="s">
        <v>269</v>
      </c>
      <c r="AB3721" t="s">
        <v>131</v>
      </c>
      <c r="AC3721" t="s">
        <v>51</v>
      </c>
      <c r="AD3721" t="s">
        <v>45</v>
      </c>
      <c r="AE3721" s="1">
        <v>25222</v>
      </c>
      <c r="AF3721">
        <v>1</v>
      </c>
      <c r="AG3721" t="s">
        <v>269</v>
      </c>
      <c r="AH3721" s="36">
        <f t="shared" si="58"/>
        <v>50.652777777777779</v>
      </c>
      <c r="AI3721" s="41" t="s">
        <v>1781</v>
      </c>
    </row>
    <row r="3722" spans="1:35" x14ac:dyDescent="0.25">
      <c r="A3722" s="36">
        <v>99913720</v>
      </c>
      <c r="B3722" s="17" t="s">
        <v>32</v>
      </c>
      <c r="C3722" t="s">
        <v>139</v>
      </c>
      <c r="D3722" t="s">
        <v>140</v>
      </c>
      <c r="G3722" s="17" t="s">
        <v>35</v>
      </c>
      <c r="H3722" s="17">
        <v>4</v>
      </c>
      <c r="I3722">
        <v>3189</v>
      </c>
      <c r="J3722" s="1">
        <v>43344</v>
      </c>
      <c r="K3722" t="s">
        <v>268</v>
      </c>
      <c r="L3722" t="s">
        <v>269</v>
      </c>
      <c r="M3722" t="s">
        <v>131</v>
      </c>
      <c r="N3722">
        <v>8</v>
      </c>
      <c r="O3722" t="s">
        <v>40</v>
      </c>
      <c r="P3722" t="s">
        <v>40</v>
      </c>
      <c r="Q3722" t="s">
        <v>40</v>
      </c>
      <c r="R3722" t="s">
        <v>40</v>
      </c>
      <c r="S3722" t="s">
        <v>40</v>
      </c>
      <c r="U3722" s="1">
        <v>43344</v>
      </c>
      <c r="V3722" t="s">
        <v>41</v>
      </c>
      <c r="W3722" t="s">
        <v>75</v>
      </c>
      <c r="X3722" t="str">
        <f>"7052006"</f>
        <v>7052006</v>
      </c>
      <c r="Y3722" t="s">
        <v>575</v>
      </c>
      <c r="Z3722" t="s">
        <v>268</v>
      </c>
      <c r="AA3722" t="s">
        <v>269</v>
      </c>
      <c r="AB3722" t="s">
        <v>131</v>
      </c>
      <c r="AC3722" t="s">
        <v>51</v>
      </c>
      <c r="AD3722" t="s">
        <v>45</v>
      </c>
      <c r="AE3722" s="1">
        <v>25219</v>
      </c>
      <c r="AF3722">
        <v>1</v>
      </c>
      <c r="AG3722" t="s">
        <v>269</v>
      </c>
      <c r="AH3722" s="36">
        <f t="shared" si="58"/>
        <v>50.661111111111111</v>
      </c>
      <c r="AI3722" s="41" t="s">
        <v>1781</v>
      </c>
    </row>
    <row r="3723" spans="1:35" x14ac:dyDescent="0.25">
      <c r="A3723" s="36">
        <v>99913721</v>
      </c>
      <c r="B3723" s="17" t="s">
        <v>32</v>
      </c>
      <c r="C3723" t="s">
        <v>79</v>
      </c>
      <c r="D3723" t="s">
        <v>80</v>
      </c>
      <c r="G3723" s="17" t="s">
        <v>35</v>
      </c>
      <c r="H3723" s="17">
        <v>1</v>
      </c>
      <c r="K3723" t="s">
        <v>407</v>
      </c>
      <c r="L3723" t="s">
        <v>409</v>
      </c>
      <c r="M3723" t="s">
        <v>131</v>
      </c>
      <c r="N3723">
        <v>19</v>
      </c>
      <c r="O3723" t="s">
        <v>40</v>
      </c>
      <c r="P3723" t="s">
        <v>40</v>
      </c>
      <c r="Q3723" t="s">
        <v>40</v>
      </c>
      <c r="S3723" t="s">
        <v>40</v>
      </c>
      <c r="V3723" t="s">
        <v>41</v>
      </c>
      <c r="W3723" t="s">
        <v>75</v>
      </c>
      <c r="X3723" t="str">
        <f>"7053000"</f>
        <v>7053000</v>
      </c>
      <c r="Y3723" t="s">
        <v>754</v>
      </c>
      <c r="Z3723" t="s">
        <v>407</v>
      </c>
      <c r="AA3723" t="s">
        <v>409</v>
      </c>
      <c r="AB3723" t="s">
        <v>131</v>
      </c>
      <c r="AC3723" t="s">
        <v>51</v>
      </c>
      <c r="AD3723" t="s">
        <v>45</v>
      </c>
      <c r="AE3723" s="1">
        <v>25214</v>
      </c>
      <c r="AF3723">
        <v>1</v>
      </c>
      <c r="AG3723" t="s">
        <v>409</v>
      </c>
      <c r="AH3723" s="36">
        <f t="shared" si="58"/>
        <v>50.674999999999997</v>
      </c>
      <c r="AI3723" s="41" t="s">
        <v>1781</v>
      </c>
    </row>
    <row r="3724" spans="1:35" x14ac:dyDescent="0.25">
      <c r="A3724" s="36">
        <v>99913722</v>
      </c>
      <c r="B3724" s="17" t="s">
        <v>56</v>
      </c>
      <c r="C3724" t="s">
        <v>52</v>
      </c>
      <c r="D3724" t="s">
        <v>53</v>
      </c>
      <c r="G3724" s="17" t="s">
        <v>35</v>
      </c>
      <c r="H3724" s="17">
        <v>8</v>
      </c>
      <c r="I3724">
        <v>13814</v>
      </c>
      <c r="J3724" s="1">
        <v>43355</v>
      </c>
      <c r="K3724" t="s">
        <v>345</v>
      </c>
      <c r="L3724" t="s">
        <v>346</v>
      </c>
      <c r="M3724" t="s">
        <v>131</v>
      </c>
      <c r="N3724">
        <v>23</v>
      </c>
      <c r="O3724" t="s">
        <v>40</v>
      </c>
      <c r="P3724" t="s">
        <v>40</v>
      </c>
      <c r="Q3724" t="s">
        <v>40</v>
      </c>
      <c r="R3724" t="s">
        <v>40</v>
      </c>
      <c r="S3724" t="s">
        <v>40</v>
      </c>
      <c r="U3724" s="1">
        <v>43355</v>
      </c>
      <c r="V3724" t="s">
        <v>41</v>
      </c>
      <c r="W3724" t="s">
        <v>42</v>
      </c>
      <c r="X3724" t="str">
        <f>"0590906"</f>
        <v>0590906</v>
      </c>
      <c r="Y3724" t="s">
        <v>361</v>
      </c>
      <c r="Z3724" t="s">
        <v>345</v>
      </c>
      <c r="AA3724" t="s">
        <v>346</v>
      </c>
      <c r="AB3724" t="s">
        <v>131</v>
      </c>
      <c r="AC3724" t="s">
        <v>51</v>
      </c>
      <c r="AD3724" t="s">
        <v>45</v>
      </c>
      <c r="AE3724" s="1">
        <v>25212</v>
      </c>
      <c r="AF3724">
        <v>2</v>
      </c>
      <c r="AG3724" t="s">
        <v>346</v>
      </c>
      <c r="AH3724" s="36">
        <f t="shared" si="58"/>
        <v>50.680555555555557</v>
      </c>
      <c r="AI3724" s="41" t="s">
        <v>1781</v>
      </c>
    </row>
    <row r="3725" spans="1:35" x14ac:dyDescent="0.25">
      <c r="A3725" s="36">
        <v>99913723</v>
      </c>
      <c r="B3725" s="17" t="s">
        <v>32</v>
      </c>
      <c r="C3725" t="s">
        <v>46</v>
      </c>
      <c r="D3725" t="s">
        <v>47</v>
      </c>
      <c r="G3725" s="17" t="s">
        <v>48</v>
      </c>
      <c r="H3725" s="17">
        <v>1</v>
      </c>
      <c r="K3725" t="s">
        <v>223</v>
      </c>
      <c r="L3725" t="s">
        <v>224</v>
      </c>
      <c r="M3725" t="s">
        <v>131</v>
      </c>
      <c r="N3725">
        <v>18</v>
      </c>
      <c r="O3725" t="s">
        <v>40</v>
      </c>
      <c r="P3725" t="s">
        <v>40</v>
      </c>
      <c r="Q3725" t="s">
        <v>40</v>
      </c>
      <c r="R3725" t="s">
        <v>40</v>
      </c>
      <c r="S3725" t="s">
        <v>40</v>
      </c>
      <c r="V3725" t="s">
        <v>41</v>
      </c>
      <c r="W3725" t="s">
        <v>42</v>
      </c>
      <c r="X3725" t="str">
        <f>"0580203"</f>
        <v>0580203</v>
      </c>
      <c r="Y3725" t="s">
        <v>239</v>
      </c>
      <c r="Z3725" t="s">
        <v>223</v>
      </c>
      <c r="AA3725" t="s">
        <v>224</v>
      </c>
      <c r="AB3725" t="s">
        <v>131</v>
      </c>
      <c r="AC3725" t="s">
        <v>165</v>
      </c>
      <c r="AD3725" t="s">
        <v>45</v>
      </c>
      <c r="AE3725" s="1">
        <v>25207</v>
      </c>
      <c r="AF3725">
        <v>2</v>
      </c>
      <c r="AG3725" t="s">
        <v>224</v>
      </c>
      <c r="AH3725" s="36">
        <f t="shared" si="58"/>
        <v>50.694444444444443</v>
      </c>
      <c r="AI3725" s="41" t="s">
        <v>1781</v>
      </c>
    </row>
    <row r="3726" spans="1:35" x14ac:dyDescent="0.25">
      <c r="A3726" s="36">
        <v>99913724</v>
      </c>
      <c r="B3726" s="17" t="s">
        <v>32</v>
      </c>
      <c r="C3726" t="s">
        <v>64</v>
      </c>
      <c r="D3726" t="s">
        <v>65</v>
      </c>
      <c r="G3726" s="17" t="s">
        <v>35</v>
      </c>
      <c r="H3726" s="17">
        <v>1</v>
      </c>
      <c r="I3726" t="s">
        <v>207</v>
      </c>
      <c r="J3726" s="1">
        <v>42614</v>
      </c>
      <c r="K3726" t="s">
        <v>157</v>
      </c>
      <c r="L3726" t="s">
        <v>158</v>
      </c>
      <c r="M3726" t="s">
        <v>131</v>
      </c>
      <c r="N3726">
        <v>21</v>
      </c>
      <c r="O3726" t="s">
        <v>40</v>
      </c>
      <c r="P3726" t="s">
        <v>40</v>
      </c>
      <c r="Q3726" t="s">
        <v>40</v>
      </c>
      <c r="R3726" t="s">
        <v>40</v>
      </c>
      <c r="S3726" t="s">
        <v>40</v>
      </c>
      <c r="U3726" s="1">
        <v>42614</v>
      </c>
      <c r="V3726" t="s">
        <v>41</v>
      </c>
      <c r="W3726" t="s">
        <v>49</v>
      </c>
      <c r="X3726" t="str">
        <f>"0560006"</f>
        <v>0560006</v>
      </c>
      <c r="Y3726" t="s">
        <v>191</v>
      </c>
      <c r="Z3726" t="s">
        <v>157</v>
      </c>
      <c r="AA3726" t="s">
        <v>158</v>
      </c>
      <c r="AB3726" t="s">
        <v>131</v>
      </c>
      <c r="AC3726" t="s">
        <v>44</v>
      </c>
      <c r="AD3726" t="s">
        <v>45</v>
      </c>
      <c r="AE3726" s="1">
        <v>25204</v>
      </c>
      <c r="AF3726">
        <v>2</v>
      </c>
      <c r="AG3726" t="s">
        <v>158</v>
      </c>
      <c r="AH3726" s="36">
        <f t="shared" si="58"/>
        <v>50.702777777777776</v>
      </c>
      <c r="AI3726" s="41" t="s">
        <v>1781</v>
      </c>
    </row>
    <row r="3727" spans="1:35" x14ac:dyDescent="0.25">
      <c r="A3727" s="36">
        <v>99913725</v>
      </c>
      <c r="B3727" s="17" t="s">
        <v>56</v>
      </c>
      <c r="C3727" t="s">
        <v>79</v>
      </c>
      <c r="D3727" t="s">
        <v>80</v>
      </c>
      <c r="G3727" s="17" t="s">
        <v>48</v>
      </c>
      <c r="H3727" s="17">
        <v>1</v>
      </c>
      <c r="I3727" t="s">
        <v>279</v>
      </c>
      <c r="J3727" s="1">
        <v>41599</v>
      </c>
      <c r="K3727" t="s">
        <v>223</v>
      </c>
      <c r="L3727" t="s">
        <v>224</v>
      </c>
      <c r="M3727" t="s">
        <v>131</v>
      </c>
      <c r="N3727">
        <v>22</v>
      </c>
      <c r="O3727" t="s">
        <v>40</v>
      </c>
      <c r="P3727" t="s">
        <v>40</v>
      </c>
      <c r="Q3727" t="s">
        <v>40</v>
      </c>
      <c r="R3727" t="s">
        <v>40</v>
      </c>
      <c r="S3727" t="s">
        <v>40</v>
      </c>
      <c r="U3727" s="1">
        <v>41599</v>
      </c>
      <c r="V3727" t="s">
        <v>41</v>
      </c>
      <c r="W3727" t="s">
        <v>49</v>
      </c>
      <c r="X3727" t="str">
        <f>"0581206"</f>
        <v>0581206</v>
      </c>
      <c r="Y3727" t="s">
        <v>232</v>
      </c>
      <c r="Z3727" t="s">
        <v>223</v>
      </c>
      <c r="AA3727" t="s">
        <v>224</v>
      </c>
      <c r="AB3727" t="s">
        <v>131</v>
      </c>
      <c r="AC3727" t="s">
        <v>51</v>
      </c>
      <c r="AD3727" t="s">
        <v>45</v>
      </c>
      <c r="AE3727" s="1">
        <v>25204</v>
      </c>
      <c r="AF3727">
        <v>2</v>
      </c>
      <c r="AG3727" t="s">
        <v>224</v>
      </c>
      <c r="AH3727" s="36">
        <f t="shared" si="58"/>
        <v>50.702777777777776</v>
      </c>
      <c r="AI3727" s="41" t="s">
        <v>1781</v>
      </c>
    </row>
    <row r="3728" spans="1:35" x14ac:dyDescent="0.25">
      <c r="A3728" s="36">
        <v>99913726</v>
      </c>
      <c r="B3728" s="17" t="s">
        <v>32</v>
      </c>
      <c r="C3728" t="s">
        <v>141</v>
      </c>
      <c r="D3728" t="s">
        <v>142</v>
      </c>
      <c r="G3728" s="17" t="s">
        <v>48</v>
      </c>
      <c r="H3728" s="17">
        <v>1</v>
      </c>
      <c r="K3728" t="s">
        <v>300</v>
      </c>
      <c r="L3728" t="s">
        <v>301</v>
      </c>
      <c r="M3728" t="s">
        <v>131</v>
      </c>
      <c r="N3728">
        <v>10</v>
      </c>
      <c r="O3728" t="s">
        <v>40</v>
      </c>
      <c r="P3728" t="s">
        <v>40</v>
      </c>
      <c r="Q3728" t="s">
        <v>40</v>
      </c>
      <c r="R3728" t="s">
        <v>40</v>
      </c>
      <c r="S3728" t="s">
        <v>40</v>
      </c>
      <c r="V3728" t="s">
        <v>41</v>
      </c>
      <c r="W3728" t="s">
        <v>49</v>
      </c>
      <c r="X3728" t="str">
        <f>"0560029"</f>
        <v>0560029</v>
      </c>
      <c r="Y3728" t="s">
        <v>309</v>
      </c>
      <c r="Z3728" t="s">
        <v>300</v>
      </c>
      <c r="AA3728" t="s">
        <v>301</v>
      </c>
      <c r="AB3728" t="s">
        <v>131</v>
      </c>
      <c r="AC3728" t="s">
        <v>51</v>
      </c>
      <c r="AD3728" t="s">
        <v>45</v>
      </c>
      <c r="AE3728" s="1">
        <v>25204</v>
      </c>
      <c r="AF3728">
        <v>2</v>
      </c>
      <c r="AG3728" t="s">
        <v>301</v>
      </c>
      <c r="AH3728" s="36">
        <f t="shared" si="58"/>
        <v>50.702777777777776</v>
      </c>
      <c r="AI3728" s="41" t="s">
        <v>1781</v>
      </c>
    </row>
    <row r="3729" spans="1:35" x14ac:dyDescent="0.25">
      <c r="A3729" s="36">
        <v>99913727</v>
      </c>
      <c r="B3729" s="17" t="s">
        <v>32</v>
      </c>
      <c r="C3729" t="s">
        <v>61</v>
      </c>
      <c r="D3729" t="s">
        <v>62</v>
      </c>
      <c r="G3729" s="17" t="s">
        <v>48</v>
      </c>
      <c r="H3729" s="17">
        <v>1</v>
      </c>
      <c r="K3729" t="s">
        <v>300</v>
      </c>
      <c r="L3729" t="s">
        <v>301</v>
      </c>
      <c r="M3729" t="s">
        <v>131</v>
      </c>
      <c r="N3729">
        <v>20</v>
      </c>
      <c r="O3729" t="s">
        <v>40</v>
      </c>
      <c r="P3729" t="s">
        <v>40</v>
      </c>
      <c r="Q3729" t="s">
        <v>40</v>
      </c>
      <c r="R3729" t="s">
        <v>40</v>
      </c>
      <c r="S3729" t="s">
        <v>40</v>
      </c>
      <c r="V3729" t="s">
        <v>41</v>
      </c>
      <c r="W3729" t="s">
        <v>49</v>
      </c>
      <c r="X3729" t="str">
        <f>"0560001"</f>
        <v>0560001</v>
      </c>
      <c r="Y3729" t="s">
        <v>304</v>
      </c>
      <c r="Z3729" t="s">
        <v>300</v>
      </c>
      <c r="AA3729" t="s">
        <v>301</v>
      </c>
      <c r="AB3729" t="s">
        <v>131</v>
      </c>
      <c r="AC3729" t="s">
        <v>51</v>
      </c>
      <c r="AD3729" t="s">
        <v>45</v>
      </c>
      <c r="AE3729" s="1">
        <v>25204</v>
      </c>
      <c r="AF3729">
        <v>2</v>
      </c>
      <c r="AG3729" t="s">
        <v>301</v>
      </c>
      <c r="AH3729" s="36">
        <f t="shared" si="58"/>
        <v>50.702777777777776</v>
      </c>
      <c r="AI3729" s="41" t="s">
        <v>1781</v>
      </c>
    </row>
    <row r="3730" spans="1:35" x14ac:dyDescent="0.25">
      <c r="A3730" s="36">
        <v>99913728</v>
      </c>
      <c r="B3730" s="17" t="s">
        <v>32</v>
      </c>
      <c r="C3730" t="s">
        <v>33</v>
      </c>
      <c r="D3730" t="s">
        <v>34</v>
      </c>
      <c r="G3730" s="17" t="s">
        <v>35</v>
      </c>
      <c r="H3730" s="17">
        <v>1</v>
      </c>
      <c r="I3730" t="s">
        <v>391</v>
      </c>
      <c r="J3730" s="1">
        <v>43348</v>
      </c>
      <c r="K3730" t="s">
        <v>380</v>
      </c>
      <c r="L3730" t="s">
        <v>381</v>
      </c>
      <c r="M3730" t="s">
        <v>131</v>
      </c>
      <c r="N3730">
        <v>13</v>
      </c>
      <c r="O3730" t="s">
        <v>40</v>
      </c>
      <c r="P3730" t="s">
        <v>40</v>
      </c>
      <c r="Q3730" t="s">
        <v>40</v>
      </c>
      <c r="R3730" t="s">
        <v>40</v>
      </c>
      <c r="S3730" t="s">
        <v>40</v>
      </c>
      <c r="U3730" s="1">
        <v>43348</v>
      </c>
      <c r="V3730" t="s">
        <v>41</v>
      </c>
      <c r="W3730" t="s">
        <v>42</v>
      </c>
      <c r="X3730" t="str">
        <f>"0561016"</f>
        <v>0561016</v>
      </c>
      <c r="Y3730" t="s">
        <v>389</v>
      </c>
      <c r="Z3730" t="s">
        <v>380</v>
      </c>
      <c r="AA3730" t="s">
        <v>381</v>
      </c>
      <c r="AB3730" t="s">
        <v>131</v>
      </c>
      <c r="AC3730" t="s">
        <v>44</v>
      </c>
      <c r="AD3730" t="s">
        <v>45</v>
      </c>
      <c r="AE3730" s="1">
        <v>25204</v>
      </c>
      <c r="AF3730">
        <v>2</v>
      </c>
      <c r="AG3730" t="s">
        <v>381</v>
      </c>
      <c r="AH3730" s="36">
        <f t="shared" si="58"/>
        <v>50.702777777777776</v>
      </c>
      <c r="AI3730" s="41" t="s">
        <v>1781</v>
      </c>
    </row>
    <row r="3731" spans="1:35" x14ac:dyDescent="0.25">
      <c r="A3731" s="36">
        <v>99913729</v>
      </c>
      <c r="B3731" s="17" t="s">
        <v>56</v>
      </c>
      <c r="C3731" t="s">
        <v>111</v>
      </c>
      <c r="D3731" t="s">
        <v>112</v>
      </c>
      <c r="G3731" s="17" t="s">
        <v>35</v>
      </c>
      <c r="H3731" s="17">
        <v>1</v>
      </c>
      <c r="I3731">
        <v>207</v>
      </c>
      <c r="J3731" s="1">
        <v>37866</v>
      </c>
      <c r="K3731" t="s">
        <v>154</v>
      </c>
      <c r="L3731" t="s">
        <v>155</v>
      </c>
      <c r="M3731" t="s">
        <v>131</v>
      </c>
      <c r="N3731">
        <v>21</v>
      </c>
      <c r="O3731" t="s">
        <v>40</v>
      </c>
      <c r="P3731" t="s">
        <v>40</v>
      </c>
      <c r="Q3731" t="s">
        <v>40</v>
      </c>
      <c r="R3731" t="s">
        <v>40</v>
      </c>
      <c r="S3731" t="s">
        <v>40</v>
      </c>
      <c r="U3731" s="1">
        <v>37866</v>
      </c>
      <c r="V3731" t="s">
        <v>41</v>
      </c>
      <c r="W3731" t="s">
        <v>75</v>
      </c>
      <c r="X3731" t="str">
        <f>"7700026"</f>
        <v>7700026</v>
      </c>
      <c r="Y3731" t="s">
        <v>397</v>
      </c>
      <c r="Z3731" t="s">
        <v>154</v>
      </c>
      <c r="AA3731" t="s">
        <v>155</v>
      </c>
      <c r="AB3731" t="s">
        <v>131</v>
      </c>
      <c r="AC3731" t="s">
        <v>51</v>
      </c>
      <c r="AD3731" t="s">
        <v>45</v>
      </c>
      <c r="AE3731" s="1">
        <v>25204</v>
      </c>
      <c r="AF3731">
        <v>1</v>
      </c>
      <c r="AG3731" t="s">
        <v>155</v>
      </c>
      <c r="AH3731" s="36">
        <f t="shared" si="58"/>
        <v>50.702777777777776</v>
      </c>
      <c r="AI3731" s="41" t="s">
        <v>1781</v>
      </c>
    </row>
    <row r="3732" spans="1:35" x14ac:dyDescent="0.25">
      <c r="A3732" s="36">
        <v>99913730</v>
      </c>
      <c r="B3732" s="17" t="s">
        <v>32</v>
      </c>
      <c r="C3732" t="s">
        <v>139</v>
      </c>
      <c r="D3732" t="s">
        <v>140</v>
      </c>
      <c r="G3732" s="17" t="s">
        <v>48</v>
      </c>
      <c r="H3732" s="17">
        <v>1</v>
      </c>
      <c r="K3732" t="s">
        <v>431</v>
      </c>
      <c r="L3732" t="s">
        <v>196</v>
      </c>
      <c r="M3732" t="s">
        <v>131</v>
      </c>
      <c r="N3732">
        <v>14</v>
      </c>
      <c r="O3732" t="s">
        <v>40</v>
      </c>
      <c r="P3732" t="s">
        <v>40</v>
      </c>
      <c r="Q3732" t="s">
        <v>40</v>
      </c>
      <c r="R3732" t="s">
        <v>40</v>
      </c>
      <c r="S3732" t="s">
        <v>40</v>
      </c>
      <c r="V3732" t="s">
        <v>41</v>
      </c>
      <c r="W3732" t="s">
        <v>75</v>
      </c>
      <c r="X3732" t="str">
        <f>"7521022"</f>
        <v>7521022</v>
      </c>
      <c r="Y3732" t="s">
        <v>445</v>
      </c>
      <c r="Z3732" t="s">
        <v>431</v>
      </c>
      <c r="AA3732" t="s">
        <v>196</v>
      </c>
      <c r="AB3732" t="s">
        <v>131</v>
      </c>
      <c r="AC3732" t="s">
        <v>51</v>
      </c>
      <c r="AD3732" t="s">
        <v>45</v>
      </c>
      <c r="AE3732" s="1">
        <v>25204</v>
      </c>
      <c r="AF3732">
        <v>1</v>
      </c>
      <c r="AG3732" t="s">
        <v>196</v>
      </c>
      <c r="AH3732" s="36">
        <f t="shared" si="58"/>
        <v>50.702777777777776</v>
      </c>
      <c r="AI3732" s="41" t="s">
        <v>1781</v>
      </c>
    </row>
    <row r="3733" spans="1:35" x14ac:dyDescent="0.25">
      <c r="A3733" s="36">
        <v>99913731</v>
      </c>
      <c r="B3733" s="17" t="s">
        <v>32</v>
      </c>
      <c r="C3733" t="s">
        <v>111</v>
      </c>
      <c r="D3733" t="s">
        <v>112</v>
      </c>
      <c r="G3733" s="17" t="s">
        <v>48</v>
      </c>
      <c r="H3733" s="17">
        <v>1</v>
      </c>
      <c r="K3733" t="s">
        <v>268</v>
      </c>
      <c r="L3733" t="s">
        <v>269</v>
      </c>
      <c r="M3733" t="s">
        <v>131</v>
      </c>
      <c r="N3733">
        <v>20</v>
      </c>
      <c r="O3733" t="s">
        <v>40</v>
      </c>
      <c r="P3733" t="s">
        <v>40</v>
      </c>
      <c r="Q3733" t="s">
        <v>40</v>
      </c>
      <c r="S3733" t="s">
        <v>40</v>
      </c>
      <c r="V3733" t="s">
        <v>41</v>
      </c>
      <c r="W3733" t="s">
        <v>75</v>
      </c>
      <c r="X3733" t="str">
        <f>"7052008"</f>
        <v>7052008</v>
      </c>
      <c r="Y3733" t="s">
        <v>274</v>
      </c>
      <c r="Z3733" t="s">
        <v>268</v>
      </c>
      <c r="AA3733" t="s">
        <v>269</v>
      </c>
      <c r="AB3733" t="s">
        <v>131</v>
      </c>
      <c r="AC3733" t="s">
        <v>51</v>
      </c>
      <c r="AD3733" t="s">
        <v>45</v>
      </c>
      <c r="AE3733" s="1">
        <v>25204</v>
      </c>
      <c r="AF3733">
        <v>1</v>
      </c>
      <c r="AG3733" t="s">
        <v>269</v>
      </c>
      <c r="AH3733" s="36">
        <f t="shared" si="58"/>
        <v>50.702777777777776</v>
      </c>
      <c r="AI3733" s="41" t="s">
        <v>1781</v>
      </c>
    </row>
    <row r="3734" spans="1:35" x14ac:dyDescent="0.25">
      <c r="A3734" s="36">
        <v>99913732</v>
      </c>
      <c r="B3734" s="17" t="s">
        <v>32</v>
      </c>
      <c r="C3734" t="s">
        <v>79</v>
      </c>
      <c r="D3734" t="s">
        <v>80</v>
      </c>
      <c r="G3734" s="17" t="s">
        <v>35</v>
      </c>
      <c r="H3734" s="17">
        <v>1</v>
      </c>
      <c r="K3734" t="s">
        <v>268</v>
      </c>
      <c r="L3734" t="s">
        <v>269</v>
      </c>
      <c r="M3734" t="s">
        <v>131</v>
      </c>
      <c r="N3734">
        <v>22</v>
      </c>
      <c r="O3734" t="s">
        <v>40</v>
      </c>
      <c r="P3734" t="s">
        <v>40</v>
      </c>
      <c r="Q3734" t="s">
        <v>40</v>
      </c>
      <c r="R3734" t="s">
        <v>40</v>
      </c>
      <c r="S3734" t="s">
        <v>40</v>
      </c>
      <c r="V3734" t="s">
        <v>41</v>
      </c>
      <c r="W3734" t="s">
        <v>75</v>
      </c>
      <c r="X3734" t="str">
        <f>"7052044"</f>
        <v>7052044</v>
      </c>
      <c r="Y3734" t="s">
        <v>589</v>
      </c>
      <c r="Z3734" t="s">
        <v>268</v>
      </c>
      <c r="AA3734" t="s">
        <v>269</v>
      </c>
      <c r="AB3734" t="s">
        <v>131</v>
      </c>
      <c r="AC3734" t="s">
        <v>51</v>
      </c>
      <c r="AD3734" t="s">
        <v>45</v>
      </c>
      <c r="AE3734" s="1">
        <v>25204</v>
      </c>
      <c r="AF3734">
        <v>1</v>
      </c>
      <c r="AG3734" t="s">
        <v>269</v>
      </c>
      <c r="AH3734" s="36">
        <f t="shared" si="58"/>
        <v>50.702777777777776</v>
      </c>
      <c r="AI3734" s="41" t="s">
        <v>1781</v>
      </c>
    </row>
    <row r="3735" spans="1:35" x14ac:dyDescent="0.25">
      <c r="A3735" s="36">
        <v>99913733</v>
      </c>
      <c r="B3735" s="17" t="s">
        <v>32</v>
      </c>
      <c r="C3735" t="s">
        <v>111</v>
      </c>
      <c r="D3735" t="s">
        <v>112</v>
      </c>
      <c r="G3735" s="17" t="s">
        <v>48</v>
      </c>
      <c r="H3735" s="17">
        <v>12</v>
      </c>
      <c r="J3735" s="1">
        <v>43344</v>
      </c>
      <c r="K3735" t="s">
        <v>354</v>
      </c>
      <c r="L3735" t="s">
        <v>355</v>
      </c>
      <c r="M3735" t="s">
        <v>131</v>
      </c>
      <c r="N3735">
        <v>21</v>
      </c>
      <c r="O3735" t="s">
        <v>40</v>
      </c>
      <c r="P3735" t="s">
        <v>40</v>
      </c>
      <c r="Q3735" t="s">
        <v>40</v>
      </c>
      <c r="R3735" t="s">
        <v>40</v>
      </c>
      <c r="S3735" t="s">
        <v>40</v>
      </c>
      <c r="U3735" s="1">
        <v>43344</v>
      </c>
      <c r="V3735" t="s">
        <v>41</v>
      </c>
      <c r="W3735" t="s">
        <v>75</v>
      </c>
      <c r="X3735" t="str">
        <f>"7054022"</f>
        <v>7054022</v>
      </c>
      <c r="Y3735" t="s">
        <v>770</v>
      </c>
      <c r="Z3735" t="s">
        <v>354</v>
      </c>
      <c r="AA3735" t="s">
        <v>355</v>
      </c>
      <c r="AB3735" t="s">
        <v>131</v>
      </c>
      <c r="AC3735" t="s">
        <v>51</v>
      </c>
      <c r="AD3735" t="s">
        <v>45</v>
      </c>
      <c r="AE3735" s="1">
        <v>25204</v>
      </c>
      <c r="AF3735">
        <v>1</v>
      </c>
      <c r="AG3735" t="s">
        <v>355</v>
      </c>
      <c r="AH3735" s="36">
        <f t="shared" si="58"/>
        <v>50.702777777777776</v>
      </c>
      <c r="AI3735" s="41" t="s">
        <v>1781</v>
      </c>
    </row>
    <row r="3736" spans="1:35" x14ac:dyDescent="0.25">
      <c r="A3736" s="36">
        <v>99913734</v>
      </c>
      <c r="B3736" s="17" t="s">
        <v>32</v>
      </c>
      <c r="C3736" t="s">
        <v>90</v>
      </c>
      <c r="D3736" t="s">
        <v>91</v>
      </c>
      <c r="G3736" s="17" t="s">
        <v>48</v>
      </c>
      <c r="H3736" s="17">
        <v>1</v>
      </c>
      <c r="K3736" t="s">
        <v>1043</v>
      </c>
      <c r="L3736" t="s">
        <v>1044</v>
      </c>
      <c r="M3736" t="s">
        <v>1041</v>
      </c>
      <c r="N3736">
        <v>25</v>
      </c>
      <c r="O3736" t="s">
        <v>40</v>
      </c>
      <c r="P3736" t="s">
        <v>40</v>
      </c>
      <c r="Q3736" t="s">
        <v>40</v>
      </c>
      <c r="R3736" t="s">
        <v>40</v>
      </c>
      <c r="S3736" t="s">
        <v>40</v>
      </c>
      <c r="V3736" t="s">
        <v>41</v>
      </c>
      <c r="W3736" t="s">
        <v>95</v>
      </c>
      <c r="X3736" t="str">
        <f>"7271003"</f>
        <v>7271003</v>
      </c>
      <c r="Y3736" t="s">
        <v>1046</v>
      </c>
      <c r="Z3736" t="s">
        <v>1043</v>
      </c>
      <c r="AA3736" t="s">
        <v>1044</v>
      </c>
      <c r="AB3736" t="s">
        <v>1041</v>
      </c>
      <c r="AC3736" t="s">
        <v>51</v>
      </c>
      <c r="AD3736" t="s">
        <v>45</v>
      </c>
      <c r="AE3736" s="1">
        <v>25204</v>
      </c>
      <c r="AF3736">
        <v>1</v>
      </c>
      <c r="AG3736" t="s">
        <v>1044</v>
      </c>
      <c r="AH3736" s="36">
        <f t="shared" si="58"/>
        <v>50.702777777777776</v>
      </c>
      <c r="AI3736" s="41" t="s">
        <v>1781</v>
      </c>
    </row>
    <row r="3737" spans="1:35" x14ac:dyDescent="0.25">
      <c r="A3737" s="36">
        <v>99913735</v>
      </c>
      <c r="B3737" s="17" t="s">
        <v>32</v>
      </c>
      <c r="C3737" t="s">
        <v>90</v>
      </c>
      <c r="D3737" t="s">
        <v>91</v>
      </c>
      <c r="G3737" s="17" t="s">
        <v>35</v>
      </c>
      <c r="H3737" s="17">
        <v>3</v>
      </c>
      <c r="K3737" t="s">
        <v>1221</v>
      </c>
      <c r="L3737" t="s">
        <v>1222</v>
      </c>
      <c r="M3737" t="s">
        <v>1130</v>
      </c>
      <c r="N3737">
        <v>25</v>
      </c>
      <c r="O3737" t="s">
        <v>40</v>
      </c>
      <c r="P3737" t="s">
        <v>40</v>
      </c>
      <c r="Q3737" t="s">
        <v>40</v>
      </c>
      <c r="R3737" t="s">
        <v>40</v>
      </c>
      <c r="S3737" t="s">
        <v>40</v>
      </c>
      <c r="V3737" t="s">
        <v>41</v>
      </c>
      <c r="W3737" t="s">
        <v>95</v>
      </c>
      <c r="X3737" t="str">
        <f>"7351009"</f>
        <v>7351009</v>
      </c>
      <c r="Y3737" t="s">
        <v>1241</v>
      </c>
      <c r="Z3737" t="s">
        <v>1221</v>
      </c>
      <c r="AA3737" t="s">
        <v>1222</v>
      </c>
      <c r="AB3737" t="s">
        <v>1130</v>
      </c>
      <c r="AC3737" t="s">
        <v>51</v>
      </c>
      <c r="AD3737" t="s">
        <v>45</v>
      </c>
      <c r="AE3737" s="1">
        <v>25204</v>
      </c>
      <c r="AF3737">
        <v>1</v>
      </c>
      <c r="AG3737" t="s">
        <v>1222</v>
      </c>
      <c r="AH3737" s="36">
        <f t="shared" si="58"/>
        <v>50.702777777777776</v>
      </c>
      <c r="AI3737" s="41" t="s">
        <v>1781</v>
      </c>
    </row>
    <row r="3738" spans="1:35" x14ac:dyDescent="0.25">
      <c r="A3738" s="36">
        <v>99913736</v>
      </c>
      <c r="B3738" s="17" t="s">
        <v>32</v>
      </c>
      <c r="C3738" t="s">
        <v>46</v>
      </c>
      <c r="D3738" t="s">
        <v>47</v>
      </c>
      <c r="G3738" s="17" t="s">
        <v>35</v>
      </c>
      <c r="H3738" s="17">
        <v>1</v>
      </c>
      <c r="I3738">
        <v>6726</v>
      </c>
      <c r="J3738" s="1">
        <v>43344</v>
      </c>
      <c r="K3738" t="s">
        <v>1306</v>
      </c>
      <c r="L3738" t="s">
        <v>1307</v>
      </c>
      <c r="M3738" t="s">
        <v>1270</v>
      </c>
      <c r="N3738">
        <v>20</v>
      </c>
      <c r="O3738" t="s">
        <v>40</v>
      </c>
      <c r="P3738" t="s">
        <v>40</v>
      </c>
      <c r="Q3738" t="s">
        <v>40</v>
      </c>
      <c r="R3738" t="s">
        <v>40</v>
      </c>
      <c r="S3738" t="s">
        <v>40</v>
      </c>
      <c r="U3738" s="1">
        <v>43344</v>
      </c>
      <c r="V3738" t="s">
        <v>41</v>
      </c>
      <c r="W3738" t="s">
        <v>42</v>
      </c>
      <c r="X3738" t="str">
        <f>"1990915"</f>
        <v>1990915</v>
      </c>
      <c r="Y3738" t="s">
        <v>1308</v>
      </c>
      <c r="Z3738" t="s">
        <v>1306</v>
      </c>
      <c r="AA3738" t="s">
        <v>1307</v>
      </c>
      <c r="AB3738" t="s">
        <v>1270</v>
      </c>
      <c r="AC3738" t="s">
        <v>51</v>
      </c>
      <c r="AD3738" t="s">
        <v>45</v>
      </c>
      <c r="AE3738" s="1">
        <v>25204</v>
      </c>
      <c r="AF3738">
        <v>2</v>
      </c>
      <c r="AG3738" t="s">
        <v>1307</v>
      </c>
      <c r="AH3738" s="36">
        <f t="shared" si="58"/>
        <v>50.702777777777776</v>
      </c>
      <c r="AI3738" s="41" t="s">
        <v>1781</v>
      </c>
    </row>
    <row r="3739" spans="1:35" x14ac:dyDescent="0.25">
      <c r="A3739" s="36">
        <v>99913737</v>
      </c>
      <c r="B3739" s="17" t="s">
        <v>56</v>
      </c>
      <c r="C3739" t="s">
        <v>61</v>
      </c>
      <c r="D3739" t="s">
        <v>62</v>
      </c>
      <c r="G3739" s="17" t="s">
        <v>48</v>
      </c>
      <c r="H3739" s="17">
        <v>1</v>
      </c>
      <c r="K3739" t="s">
        <v>1487</v>
      </c>
      <c r="L3739" t="s">
        <v>1488</v>
      </c>
      <c r="M3739" t="s">
        <v>670</v>
      </c>
      <c r="N3739">
        <v>20</v>
      </c>
      <c r="O3739" t="s">
        <v>40</v>
      </c>
      <c r="P3739" t="s">
        <v>40</v>
      </c>
      <c r="Q3739" t="s">
        <v>40</v>
      </c>
      <c r="R3739" t="s">
        <v>40</v>
      </c>
      <c r="S3739" t="s">
        <v>40</v>
      </c>
      <c r="V3739" t="s">
        <v>41</v>
      </c>
      <c r="W3739" t="s">
        <v>49</v>
      </c>
      <c r="X3739" t="str">
        <f>"1760001"</f>
        <v>1760001</v>
      </c>
      <c r="Y3739" t="s">
        <v>1489</v>
      </c>
      <c r="Z3739" t="s">
        <v>1487</v>
      </c>
      <c r="AA3739" t="s">
        <v>1488</v>
      </c>
      <c r="AB3739" t="s">
        <v>670</v>
      </c>
      <c r="AC3739" t="s">
        <v>51</v>
      </c>
      <c r="AD3739" t="s">
        <v>45</v>
      </c>
      <c r="AE3739" s="1">
        <v>25204</v>
      </c>
      <c r="AF3739">
        <v>2</v>
      </c>
      <c r="AG3739" t="s">
        <v>1488</v>
      </c>
      <c r="AH3739" s="36">
        <f t="shared" si="58"/>
        <v>50.702777777777776</v>
      </c>
      <c r="AI3739" s="41" t="s">
        <v>1781</v>
      </c>
    </row>
    <row r="3740" spans="1:35" x14ac:dyDescent="0.25">
      <c r="A3740" s="36">
        <v>99913738</v>
      </c>
      <c r="B3740" s="17" t="s">
        <v>32</v>
      </c>
      <c r="C3740" t="s">
        <v>58</v>
      </c>
      <c r="D3740" t="s">
        <v>59</v>
      </c>
      <c r="G3740" s="17" t="s">
        <v>48</v>
      </c>
      <c r="H3740" s="17">
        <v>1</v>
      </c>
      <c r="K3740" t="s">
        <v>1487</v>
      </c>
      <c r="L3740" t="s">
        <v>1488</v>
      </c>
      <c r="M3740" t="s">
        <v>670</v>
      </c>
      <c r="N3740">
        <v>13</v>
      </c>
      <c r="O3740" t="s">
        <v>40</v>
      </c>
      <c r="P3740" t="s">
        <v>40</v>
      </c>
      <c r="Q3740" t="s">
        <v>40</v>
      </c>
      <c r="R3740" t="s">
        <v>40</v>
      </c>
      <c r="S3740" t="s">
        <v>40</v>
      </c>
      <c r="V3740" t="s">
        <v>41</v>
      </c>
      <c r="W3740" t="s">
        <v>42</v>
      </c>
      <c r="X3740" t="str">
        <f>"1780020"</f>
        <v>1780020</v>
      </c>
      <c r="Y3740" t="s">
        <v>1490</v>
      </c>
      <c r="Z3740" t="s">
        <v>1487</v>
      </c>
      <c r="AA3740" t="s">
        <v>1488</v>
      </c>
      <c r="AB3740" t="s">
        <v>670</v>
      </c>
      <c r="AC3740" t="s">
        <v>51</v>
      </c>
      <c r="AD3740" t="s">
        <v>45</v>
      </c>
      <c r="AE3740" s="1">
        <v>25204</v>
      </c>
      <c r="AF3740">
        <v>2</v>
      </c>
      <c r="AG3740" t="s">
        <v>1488</v>
      </c>
      <c r="AH3740" s="36">
        <f t="shared" si="58"/>
        <v>50.702777777777776</v>
      </c>
      <c r="AI3740" s="41" t="s">
        <v>1781</v>
      </c>
    </row>
    <row r="3741" spans="1:35" x14ac:dyDescent="0.25">
      <c r="A3741" s="36">
        <v>99913739</v>
      </c>
      <c r="B3741" s="17" t="s">
        <v>32</v>
      </c>
      <c r="C3741" t="s">
        <v>52</v>
      </c>
      <c r="D3741" t="s">
        <v>53</v>
      </c>
      <c r="G3741" s="17" t="s">
        <v>48</v>
      </c>
      <c r="H3741" s="17">
        <v>1</v>
      </c>
      <c r="K3741" t="s">
        <v>1566</v>
      </c>
      <c r="L3741" t="s">
        <v>1567</v>
      </c>
      <c r="M3741" t="s">
        <v>1548</v>
      </c>
      <c r="N3741">
        <v>19</v>
      </c>
      <c r="O3741" t="s">
        <v>40</v>
      </c>
      <c r="P3741" t="s">
        <v>40</v>
      </c>
      <c r="Q3741" t="s">
        <v>40</v>
      </c>
      <c r="R3741" t="s">
        <v>40</v>
      </c>
      <c r="S3741" t="s">
        <v>40</v>
      </c>
      <c r="V3741" t="s">
        <v>41</v>
      </c>
      <c r="W3741" t="s">
        <v>42</v>
      </c>
      <c r="X3741" t="str">
        <f>"2961001"</f>
        <v>2961001</v>
      </c>
      <c r="Y3741" t="s">
        <v>1568</v>
      </c>
      <c r="Z3741" t="s">
        <v>1566</v>
      </c>
      <c r="AA3741" t="s">
        <v>1567</v>
      </c>
      <c r="AB3741" t="s">
        <v>1548</v>
      </c>
      <c r="AC3741" t="s">
        <v>51</v>
      </c>
      <c r="AD3741" t="s">
        <v>45</v>
      </c>
      <c r="AE3741" s="1">
        <v>25204</v>
      </c>
      <c r="AF3741">
        <v>2</v>
      </c>
      <c r="AG3741" t="s">
        <v>1567</v>
      </c>
      <c r="AH3741" s="36">
        <f t="shared" si="58"/>
        <v>50.702777777777776</v>
      </c>
      <c r="AI3741" s="41" t="s">
        <v>1781</v>
      </c>
    </row>
    <row r="3742" spans="1:35" x14ac:dyDescent="0.25">
      <c r="A3742" s="36">
        <v>99913740</v>
      </c>
      <c r="B3742" s="17" t="s">
        <v>32</v>
      </c>
      <c r="C3742" t="s">
        <v>90</v>
      </c>
      <c r="D3742" t="s">
        <v>91</v>
      </c>
      <c r="G3742" s="17" t="s">
        <v>35</v>
      </c>
      <c r="H3742" s="17">
        <v>1</v>
      </c>
      <c r="I3742" s="1">
        <v>33868</v>
      </c>
      <c r="J3742" s="1">
        <v>43344</v>
      </c>
      <c r="K3742" t="s">
        <v>1341</v>
      </c>
      <c r="L3742" t="s">
        <v>1342</v>
      </c>
      <c r="M3742" t="s">
        <v>1270</v>
      </c>
      <c r="N3742">
        <v>24</v>
      </c>
      <c r="O3742" t="s">
        <v>40</v>
      </c>
      <c r="S3742" t="s">
        <v>40</v>
      </c>
      <c r="U3742" s="1">
        <v>43344</v>
      </c>
      <c r="V3742" t="s">
        <v>41</v>
      </c>
      <c r="W3742" t="s">
        <v>95</v>
      </c>
      <c r="X3742" t="str">
        <f>"7191003"</f>
        <v>7191003</v>
      </c>
      <c r="Y3742" t="s">
        <v>1361</v>
      </c>
      <c r="Z3742" t="s">
        <v>1341</v>
      </c>
      <c r="AA3742" t="s">
        <v>1342</v>
      </c>
      <c r="AB3742" t="s">
        <v>1270</v>
      </c>
      <c r="AC3742" t="s">
        <v>51</v>
      </c>
      <c r="AD3742" t="s">
        <v>45</v>
      </c>
      <c r="AE3742" s="1">
        <v>25199</v>
      </c>
      <c r="AF3742">
        <v>1</v>
      </c>
      <c r="AG3742" t="s">
        <v>1342</v>
      </c>
      <c r="AH3742" s="36">
        <f t="shared" si="58"/>
        <v>50.716666666666669</v>
      </c>
      <c r="AI3742" s="41" t="s">
        <v>1781</v>
      </c>
    </row>
    <row r="3743" spans="1:35" x14ac:dyDescent="0.25">
      <c r="A3743" s="36">
        <v>99913741</v>
      </c>
      <c r="B3743" s="17" t="s">
        <v>32</v>
      </c>
      <c r="C3743" t="s">
        <v>85</v>
      </c>
      <c r="D3743" t="s">
        <v>86</v>
      </c>
      <c r="G3743" s="17" t="s">
        <v>48</v>
      </c>
      <c r="H3743" s="17">
        <v>13</v>
      </c>
      <c r="K3743" t="s">
        <v>345</v>
      </c>
      <c r="L3743" t="s">
        <v>346</v>
      </c>
      <c r="M3743" t="s">
        <v>131</v>
      </c>
      <c r="N3743">
        <v>18</v>
      </c>
      <c r="O3743" t="s">
        <v>40</v>
      </c>
      <c r="P3743" t="s">
        <v>40</v>
      </c>
      <c r="Q3743" t="s">
        <v>40</v>
      </c>
      <c r="R3743" t="s">
        <v>40</v>
      </c>
      <c r="S3743" t="s">
        <v>40</v>
      </c>
      <c r="V3743" t="s">
        <v>41</v>
      </c>
      <c r="W3743" t="s">
        <v>49</v>
      </c>
      <c r="X3743" t="str">
        <f>"0561021"</f>
        <v>0561021</v>
      </c>
      <c r="Y3743" t="s">
        <v>352</v>
      </c>
      <c r="Z3743" t="s">
        <v>345</v>
      </c>
      <c r="AA3743" t="s">
        <v>346</v>
      </c>
      <c r="AB3743" t="s">
        <v>131</v>
      </c>
      <c r="AC3743" t="s">
        <v>51</v>
      </c>
      <c r="AD3743" t="s">
        <v>45</v>
      </c>
      <c r="AE3743" s="1">
        <v>25198</v>
      </c>
      <c r="AF3743">
        <v>2</v>
      </c>
      <c r="AG3743" t="s">
        <v>346</v>
      </c>
      <c r="AH3743" s="36">
        <f t="shared" si="58"/>
        <v>50.719444444444441</v>
      </c>
      <c r="AI3743" s="41" t="s">
        <v>1781</v>
      </c>
    </row>
    <row r="3744" spans="1:35" x14ac:dyDescent="0.25">
      <c r="A3744" s="36">
        <v>99913742</v>
      </c>
      <c r="B3744" s="17" t="s">
        <v>32</v>
      </c>
      <c r="C3744" t="s">
        <v>58</v>
      </c>
      <c r="D3744" t="s">
        <v>59</v>
      </c>
      <c r="G3744" s="17" t="s">
        <v>48</v>
      </c>
      <c r="H3744" s="17">
        <v>19</v>
      </c>
      <c r="K3744" t="s">
        <v>1268</v>
      </c>
      <c r="L3744" t="s">
        <v>1269</v>
      </c>
      <c r="M3744" t="s">
        <v>1270</v>
      </c>
      <c r="N3744">
        <v>14</v>
      </c>
      <c r="O3744" t="s">
        <v>40</v>
      </c>
      <c r="P3744" t="s">
        <v>40</v>
      </c>
      <c r="Q3744" t="s">
        <v>40</v>
      </c>
      <c r="R3744" t="s">
        <v>40</v>
      </c>
      <c r="S3744" t="s">
        <v>40</v>
      </c>
      <c r="V3744" t="s">
        <v>41</v>
      </c>
      <c r="W3744" t="s">
        <v>49</v>
      </c>
      <c r="X3744" t="str">
        <f>"1981912"</f>
        <v>1981912</v>
      </c>
      <c r="Y3744" t="s">
        <v>1279</v>
      </c>
      <c r="Z3744" t="s">
        <v>1268</v>
      </c>
      <c r="AA3744" t="s">
        <v>1269</v>
      </c>
      <c r="AB3744" t="s">
        <v>1270</v>
      </c>
      <c r="AC3744" t="s">
        <v>51</v>
      </c>
      <c r="AD3744" t="s">
        <v>45</v>
      </c>
      <c r="AE3744" s="1">
        <v>25196</v>
      </c>
      <c r="AF3744">
        <v>2</v>
      </c>
      <c r="AG3744" t="s">
        <v>1269</v>
      </c>
      <c r="AH3744" s="36">
        <f t="shared" si="58"/>
        <v>50.725000000000001</v>
      </c>
      <c r="AI3744" s="41" t="s">
        <v>1781</v>
      </c>
    </row>
    <row r="3745" spans="1:35" x14ac:dyDescent="0.25">
      <c r="A3745" s="36">
        <v>99913743</v>
      </c>
      <c r="B3745" s="17" t="s">
        <v>32</v>
      </c>
      <c r="C3745" t="s">
        <v>46</v>
      </c>
      <c r="D3745" t="s">
        <v>47</v>
      </c>
      <c r="G3745" s="17" t="s">
        <v>48</v>
      </c>
      <c r="H3745" s="17">
        <v>1</v>
      </c>
      <c r="K3745" t="s">
        <v>223</v>
      </c>
      <c r="L3745" t="s">
        <v>224</v>
      </c>
      <c r="M3745" t="s">
        <v>131</v>
      </c>
      <c r="N3745">
        <v>4</v>
      </c>
      <c r="O3745" t="s">
        <v>40</v>
      </c>
      <c r="P3745" t="s">
        <v>40</v>
      </c>
      <c r="Q3745" t="s">
        <v>40</v>
      </c>
      <c r="R3745" t="s">
        <v>40</v>
      </c>
      <c r="S3745" t="s">
        <v>40</v>
      </c>
      <c r="V3745" t="s">
        <v>41</v>
      </c>
      <c r="W3745" t="s">
        <v>49</v>
      </c>
      <c r="X3745" t="str">
        <f>"0581200"</f>
        <v>0581200</v>
      </c>
      <c r="Y3745" t="s">
        <v>238</v>
      </c>
      <c r="Z3745" t="s">
        <v>223</v>
      </c>
      <c r="AA3745" t="s">
        <v>224</v>
      </c>
      <c r="AB3745" t="s">
        <v>131</v>
      </c>
      <c r="AC3745" t="s">
        <v>51</v>
      </c>
      <c r="AD3745" t="s">
        <v>45</v>
      </c>
      <c r="AE3745" s="1">
        <v>25191</v>
      </c>
      <c r="AF3745">
        <v>2</v>
      </c>
      <c r="AG3745" t="s">
        <v>224</v>
      </c>
      <c r="AH3745" s="36">
        <f t="shared" si="58"/>
        <v>50.738888888888887</v>
      </c>
      <c r="AI3745" s="41" t="s">
        <v>1781</v>
      </c>
    </row>
    <row r="3746" spans="1:35" x14ac:dyDescent="0.25">
      <c r="A3746" s="36">
        <v>99913744</v>
      </c>
      <c r="B3746" s="17" t="s">
        <v>32</v>
      </c>
      <c r="C3746" t="s">
        <v>90</v>
      </c>
      <c r="D3746" t="s">
        <v>91</v>
      </c>
      <c r="G3746" s="17" t="s">
        <v>35</v>
      </c>
      <c r="H3746" s="17">
        <v>1</v>
      </c>
      <c r="K3746" t="s">
        <v>1198</v>
      </c>
      <c r="L3746" t="s">
        <v>1199</v>
      </c>
      <c r="M3746" t="s">
        <v>1130</v>
      </c>
      <c r="N3746">
        <v>8</v>
      </c>
      <c r="O3746" t="s">
        <v>40</v>
      </c>
      <c r="P3746" t="s">
        <v>40</v>
      </c>
      <c r="Q3746" t="s">
        <v>40</v>
      </c>
      <c r="S3746" t="s">
        <v>40</v>
      </c>
      <c r="V3746" t="s">
        <v>41</v>
      </c>
      <c r="W3746" t="s">
        <v>95</v>
      </c>
      <c r="X3746" t="str">
        <f>"7311037"</f>
        <v>7311037</v>
      </c>
      <c r="Y3746" t="s">
        <v>1211</v>
      </c>
      <c r="Z3746" t="s">
        <v>1198</v>
      </c>
      <c r="AA3746" t="s">
        <v>1199</v>
      </c>
      <c r="AB3746" t="s">
        <v>1130</v>
      </c>
      <c r="AC3746" t="s">
        <v>51</v>
      </c>
      <c r="AD3746" t="s">
        <v>45</v>
      </c>
      <c r="AE3746" s="1">
        <v>25189</v>
      </c>
      <c r="AF3746">
        <v>1</v>
      </c>
      <c r="AG3746" t="s">
        <v>1199</v>
      </c>
      <c r="AH3746" s="36">
        <f t="shared" si="58"/>
        <v>50.744444444444447</v>
      </c>
      <c r="AI3746" s="41" t="s">
        <v>1781</v>
      </c>
    </row>
    <row r="3747" spans="1:35" x14ac:dyDescent="0.25">
      <c r="A3747" s="36">
        <v>99913745</v>
      </c>
      <c r="B3747" s="17" t="s">
        <v>56</v>
      </c>
      <c r="C3747" t="s">
        <v>46</v>
      </c>
      <c r="D3747" t="s">
        <v>47</v>
      </c>
      <c r="G3747" s="17" t="s">
        <v>35</v>
      </c>
      <c r="H3747" s="17">
        <v>1</v>
      </c>
      <c r="K3747" t="s">
        <v>1546</v>
      </c>
      <c r="L3747" t="s">
        <v>1547</v>
      </c>
      <c r="M3747" t="s">
        <v>1548</v>
      </c>
      <c r="N3747">
        <v>20</v>
      </c>
      <c r="O3747" t="s">
        <v>40</v>
      </c>
      <c r="P3747" t="s">
        <v>40</v>
      </c>
      <c r="Q3747" t="s">
        <v>40</v>
      </c>
      <c r="S3747" t="s">
        <v>40</v>
      </c>
      <c r="V3747" t="s">
        <v>41</v>
      </c>
      <c r="W3747" t="s">
        <v>42</v>
      </c>
      <c r="X3747" t="str">
        <f>"1080010"</f>
        <v>1080010</v>
      </c>
      <c r="Y3747" t="s">
        <v>1549</v>
      </c>
      <c r="Z3747" t="s">
        <v>1546</v>
      </c>
      <c r="AA3747" t="s">
        <v>1547</v>
      </c>
      <c r="AB3747" t="s">
        <v>1548</v>
      </c>
      <c r="AC3747" t="s">
        <v>51</v>
      </c>
      <c r="AD3747" t="s">
        <v>45</v>
      </c>
      <c r="AE3747" s="1">
        <v>25189</v>
      </c>
      <c r="AF3747">
        <v>2</v>
      </c>
      <c r="AG3747" t="s">
        <v>1547</v>
      </c>
      <c r="AH3747" s="36">
        <f t="shared" si="58"/>
        <v>50.744444444444447</v>
      </c>
      <c r="AI3747" s="41" t="s">
        <v>1781</v>
      </c>
    </row>
    <row r="3748" spans="1:35" x14ac:dyDescent="0.25">
      <c r="A3748" s="36">
        <v>99913746</v>
      </c>
      <c r="B3748" s="17" t="s">
        <v>32</v>
      </c>
      <c r="C3748" t="s">
        <v>46</v>
      </c>
      <c r="D3748" t="s">
        <v>47</v>
      </c>
      <c r="G3748" s="17" t="s">
        <v>48</v>
      </c>
      <c r="H3748" s="17">
        <v>1</v>
      </c>
      <c r="I3748" t="s">
        <v>1315</v>
      </c>
      <c r="K3748" t="s">
        <v>1306</v>
      </c>
      <c r="L3748" t="s">
        <v>1307</v>
      </c>
      <c r="M3748" t="s">
        <v>1270</v>
      </c>
      <c r="N3748">
        <v>20</v>
      </c>
      <c r="O3748" t="s">
        <v>40</v>
      </c>
      <c r="P3748" t="s">
        <v>40</v>
      </c>
      <c r="Q3748" t="s">
        <v>40</v>
      </c>
      <c r="R3748" t="s">
        <v>40</v>
      </c>
      <c r="S3748" t="s">
        <v>40</v>
      </c>
      <c r="V3748" t="s">
        <v>41</v>
      </c>
      <c r="W3748" t="s">
        <v>42</v>
      </c>
      <c r="X3748" t="str">
        <f>"1990913"</f>
        <v>1990913</v>
      </c>
      <c r="Y3748" t="s">
        <v>1312</v>
      </c>
      <c r="Z3748" t="s">
        <v>1306</v>
      </c>
      <c r="AA3748" t="s">
        <v>1307</v>
      </c>
      <c r="AB3748" t="s">
        <v>1270</v>
      </c>
      <c r="AC3748" t="s">
        <v>51</v>
      </c>
      <c r="AD3748" t="s">
        <v>45</v>
      </c>
      <c r="AE3748" s="1">
        <v>25187</v>
      </c>
      <c r="AF3748">
        <v>2</v>
      </c>
      <c r="AG3748" t="s">
        <v>1307</v>
      </c>
      <c r="AH3748" s="36">
        <f t="shared" si="58"/>
        <v>50.75</v>
      </c>
      <c r="AI3748" s="41" t="s">
        <v>1781</v>
      </c>
    </row>
    <row r="3749" spans="1:35" x14ac:dyDescent="0.25">
      <c r="A3749" s="36">
        <v>99913747</v>
      </c>
      <c r="B3749" s="17" t="s">
        <v>32</v>
      </c>
      <c r="C3749" t="s">
        <v>71</v>
      </c>
      <c r="D3749" t="s">
        <v>72</v>
      </c>
      <c r="G3749" s="17" t="s">
        <v>48</v>
      </c>
      <c r="H3749" s="17">
        <v>1</v>
      </c>
      <c r="K3749" t="s">
        <v>162</v>
      </c>
      <c r="L3749" t="s">
        <v>158</v>
      </c>
      <c r="M3749" t="s">
        <v>131</v>
      </c>
      <c r="N3749">
        <v>20</v>
      </c>
      <c r="O3749" t="s">
        <v>40</v>
      </c>
      <c r="P3749" t="s">
        <v>40</v>
      </c>
      <c r="Q3749" t="s">
        <v>40</v>
      </c>
      <c r="R3749" t="s">
        <v>40</v>
      </c>
      <c r="S3749" t="s">
        <v>40</v>
      </c>
      <c r="V3749" t="s">
        <v>41</v>
      </c>
      <c r="W3749" t="s">
        <v>49</v>
      </c>
      <c r="X3749" t="str">
        <f>"0581325"</f>
        <v>0581325</v>
      </c>
      <c r="Y3749" t="s">
        <v>169</v>
      </c>
      <c r="Z3749" t="s">
        <v>162</v>
      </c>
      <c r="AA3749" t="s">
        <v>158</v>
      </c>
      <c r="AB3749" t="s">
        <v>131</v>
      </c>
      <c r="AC3749" t="s">
        <v>51</v>
      </c>
      <c r="AD3749" t="s">
        <v>45</v>
      </c>
      <c r="AE3749" s="1">
        <v>25186</v>
      </c>
      <c r="AF3749">
        <v>2</v>
      </c>
      <c r="AG3749" t="s">
        <v>158</v>
      </c>
      <c r="AH3749" s="36">
        <f t="shared" si="58"/>
        <v>50.75277777777778</v>
      </c>
      <c r="AI3749" s="41" t="s">
        <v>1781</v>
      </c>
    </row>
    <row r="3750" spans="1:35" x14ac:dyDescent="0.25">
      <c r="A3750" s="36">
        <v>99913748</v>
      </c>
      <c r="B3750" s="17" t="s">
        <v>56</v>
      </c>
      <c r="C3750" t="s">
        <v>33</v>
      </c>
      <c r="D3750" t="s">
        <v>34</v>
      </c>
      <c r="G3750" s="17" t="s">
        <v>35</v>
      </c>
      <c r="H3750" s="17">
        <v>1</v>
      </c>
      <c r="K3750" t="s">
        <v>223</v>
      </c>
      <c r="L3750" t="s">
        <v>224</v>
      </c>
      <c r="M3750" t="s">
        <v>131</v>
      </c>
      <c r="N3750">
        <v>16</v>
      </c>
      <c r="O3750" t="s">
        <v>40</v>
      </c>
      <c r="P3750" t="s">
        <v>40</v>
      </c>
      <c r="Q3750" t="s">
        <v>40</v>
      </c>
      <c r="R3750" t="s">
        <v>40</v>
      </c>
      <c r="S3750" t="s">
        <v>40</v>
      </c>
      <c r="V3750" t="s">
        <v>41</v>
      </c>
      <c r="W3750" t="s">
        <v>49</v>
      </c>
      <c r="X3750" t="str">
        <f>"0560018"</f>
        <v>0560018</v>
      </c>
      <c r="Y3750" t="s">
        <v>234</v>
      </c>
      <c r="Z3750" t="s">
        <v>223</v>
      </c>
      <c r="AA3750" t="s">
        <v>224</v>
      </c>
      <c r="AB3750" t="s">
        <v>131</v>
      </c>
      <c r="AC3750" t="s">
        <v>51</v>
      </c>
      <c r="AD3750" t="s">
        <v>45</v>
      </c>
      <c r="AE3750" s="1">
        <v>25186</v>
      </c>
      <c r="AF3750">
        <v>2</v>
      </c>
      <c r="AG3750" t="s">
        <v>224</v>
      </c>
      <c r="AH3750" s="36">
        <f t="shared" si="58"/>
        <v>50.75277777777778</v>
      </c>
      <c r="AI3750" s="41" t="s">
        <v>1781</v>
      </c>
    </row>
    <row r="3751" spans="1:35" x14ac:dyDescent="0.25">
      <c r="A3751" s="36">
        <v>99913749</v>
      </c>
      <c r="B3751" s="17" t="s">
        <v>32</v>
      </c>
      <c r="C3751" t="s">
        <v>90</v>
      </c>
      <c r="D3751" t="s">
        <v>91</v>
      </c>
      <c r="G3751" s="17" t="s">
        <v>35</v>
      </c>
      <c r="H3751" s="17">
        <v>1</v>
      </c>
      <c r="K3751" t="s">
        <v>1198</v>
      </c>
      <c r="L3751" t="s">
        <v>1199</v>
      </c>
      <c r="M3751" t="s">
        <v>1130</v>
      </c>
      <c r="N3751">
        <v>25</v>
      </c>
      <c r="O3751" t="s">
        <v>40</v>
      </c>
      <c r="Q3751" t="s">
        <v>40</v>
      </c>
      <c r="S3751" t="s">
        <v>40</v>
      </c>
      <c r="V3751" t="s">
        <v>41</v>
      </c>
      <c r="W3751" t="s">
        <v>95</v>
      </c>
      <c r="X3751" t="str">
        <f>"7311007"</f>
        <v>7311007</v>
      </c>
      <c r="Y3751" t="s">
        <v>1209</v>
      </c>
      <c r="Z3751" t="s">
        <v>1198</v>
      </c>
      <c r="AA3751" t="s">
        <v>1199</v>
      </c>
      <c r="AB3751" t="s">
        <v>1130</v>
      </c>
      <c r="AC3751" t="s">
        <v>51</v>
      </c>
      <c r="AD3751" t="s">
        <v>45</v>
      </c>
      <c r="AE3751" s="1">
        <v>25183</v>
      </c>
      <c r="AF3751">
        <v>1</v>
      </c>
      <c r="AG3751" t="s">
        <v>1199</v>
      </c>
      <c r="AH3751" s="36">
        <f t="shared" si="58"/>
        <v>50.761111111111113</v>
      </c>
      <c r="AI3751" s="41" t="s">
        <v>1781</v>
      </c>
    </row>
    <row r="3752" spans="1:35" x14ac:dyDescent="0.25">
      <c r="A3752" s="36">
        <v>99913750</v>
      </c>
      <c r="B3752" s="17" t="s">
        <v>56</v>
      </c>
      <c r="C3752" t="s">
        <v>52</v>
      </c>
      <c r="D3752" t="s">
        <v>53</v>
      </c>
      <c r="G3752" s="17" t="s">
        <v>48</v>
      </c>
      <c r="H3752" s="17">
        <v>1</v>
      </c>
      <c r="K3752" t="s">
        <v>157</v>
      </c>
      <c r="L3752" t="s">
        <v>158</v>
      </c>
      <c r="M3752" t="s">
        <v>131</v>
      </c>
      <c r="N3752">
        <v>21</v>
      </c>
      <c r="O3752" t="s">
        <v>40</v>
      </c>
      <c r="P3752" t="s">
        <v>40</v>
      </c>
      <c r="Q3752" t="s">
        <v>40</v>
      </c>
      <c r="R3752" t="s">
        <v>40</v>
      </c>
      <c r="S3752" t="s">
        <v>40</v>
      </c>
      <c r="V3752" t="s">
        <v>41</v>
      </c>
      <c r="W3752" t="s">
        <v>42</v>
      </c>
      <c r="X3752" t="str">
        <f>"0580290"</f>
        <v>0580290</v>
      </c>
      <c r="Y3752" t="s">
        <v>171</v>
      </c>
      <c r="Z3752" t="s">
        <v>157</v>
      </c>
      <c r="AA3752" t="s">
        <v>158</v>
      </c>
      <c r="AB3752" t="s">
        <v>131</v>
      </c>
      <c r="AC3752" t="s">
        <v>51</v>
      </c>
      <c r="AD3752" t="s">
        <v>45</v>
      </c>
      <c r="AE3752" s="1">
        <v>25181</v>
      </c>
      <c r="AF3752">
        <v>2</v>
      </c>
      <c r="AG3752" t="s">
        <v>158</v>
      </c>
      <c r="AH3752" s="36">
        <f t="shared" si="58"/>
        <v>50.766666666666666</v>
      </c>
      <c r="AI3752" s="41" t="s">
        <v>1781</v>
      </c>
    </row>
    <row r="3753" spans="1:35" x14ac:dyDescent="0.25">
      <c r="A3753" s="36">
        <v>99913751</v>
      </c>
      <c r="B3753" s="17" t="s">
        <v>56</v>
      </c>
      <c r="C3753" t="s">
        <v>46</v>
      </c>
      <c r="D3753" t="s">
        <v>47</v>
      </c>
      <c r="G3753" s="17" t="s">
        <v>48</v>
      </c>
      <c r="H3753" s="17">
        <v>1</v>
      </c>
      <c r="K3753" t="s">
        <v>345</v>
      </c>
      <c r="L3753" t="s">
        <v>346</v>
      </c>
      <c r="M3753" t="s">
        <v>131</v>
      </c>
      <c r="N3753">
        <v>14</v>
      </c>
      <c r="O3753" t="s">
        <v>40</v>
      </c>
      <c r="P3753" t="s">
        <v>40</v>
      </c>
      <c r="Q3753" t="s">
        <v>40</v>
      </c>
      <c r="R3753" t="s">
        <v>40</v>
      </c>
      <c r="S3753" t="s">
        <v>40</v>
      </c>
      <c r="V3753" t="s">
        <v>41</v>
      </c>
      <c r="W3753" t="s">
        <v>49</v>
      </c>
      <c r="X3753" t="str">
        <f>"0561021"</f>
        <v>0561021</v>
      </c>
      <c r="Y3753" t="s">
        <v>352</v>
      </c>
      <c r="Z3753" t="s">
        <v>345</v>
      </c>
      <c r="AA3753" t="s">
        <v>346</v>
      </c>
      <c r="AB3753" t="s">
        <v>131</v>
      </c>
      <c r="AC3753" t="s">
        <v>51</v>
      </c>
      <c r="AD3753" t="s">
        <v>45</v>
      </c>
      <c r="AE3753" s="1">
        <v>25180</v>
      </c>
      <c r="AF3753">
        <v>2</v>
      </c>
      <c r="AG3753" t="s">
        <v>346</v>
      </c>
      <c r="AH3753" s="36">
        <f t="shared" si="58"/>
        <v>50.769444444444446</v>
      </c>
      <c r="AI3753" s="41" t="s">
        <v>1781</v>
      </c>
    </row>
    <row r="3754" spans="1:35" x14ac:dyDescent="0.25">
      <c r="A3754" s="36">
        <v>99913752</v>
      </c>
      <c r="B3754" s="17" t="s">
        <v>32</v>
      </c>
      <c r="C3754" t="s">
        <v>90</v>
      </c>
      <c r="D3754" t="s">
        <v>91</v>
      </c>
      <c r="G3754" s="17" t="s">
        <v>35</v>
      </c>
      <c r="H3754" s="17">
        <v>1</v>
      </c>
      <c r="I3754" t="s">
        <v>1407</v>
      </c>
      <c r="J3754" s="1">
        <v>43344</v>
      </c>
      <c r="K3754" t="s">
        <v>1341</v>
      </c>
      <c r="L3754" t="s">
        <v>1342</v>
      </c>
      <c r="M3754" t="s">
        <v>1270</v>
      </c>
      <c r="N3754">
        <v>24</v>
      </c>
      <c r="O3754" t="s">
        <v>40</v>
      </c>
      <c r="S3754" t="s">
        <v>40</v>
      </c>
      <c r="U3754" s="1">
        <v>43344</v>
      </c>
      <c r="V3754" t="s">
        <v>41</v>
      </c>
      <c r="W3754" t="s">
        <v>95</v>
      </c>
      <c r="X3754" t="str">
        <f>"7191067"</f>
        <v>7191067</v>
      </c>
      <c r="Y3754" t="s">
        <v>1408</v>
      </c>
      <c r="Z3754" t="s">
        <v>1341</v>
      </c>
      <c r="AA3754" t="s">
        <v>1342</v>
      </c>
      <c r="AB3754" t="s">
        <v>1270</v>
      </c>
      <c r="AC3754" t="s">
        <v>51</v>
      </c>
      <c r="AD3754" t="s">
        <v>45</v>
      </c>
      <c r="AE3754" s="1">
        <v>25180</v>
      </c>
      <c r="AF3754">
        <v>1</v>
      </c>
      <c r="AG3754" t="s">
        <v>1342</v>
      </c>
      <c r="AH3754" s="36">
        <f t="shared" si="58"/>
        <v>50.769444444444446</v>
      </c>
      <c r="AI3754" s="41" t="s">
        <v>1781</v>
      </c>
    </row>
    <row r="3755" spans="1:35" x14ac:dyDescent="0.25">
      <c r="A3755" s="36">
        <v>99913753</v>
      </c>
      <c r="B3755" s="17" t="s">
        <v>32</v>
      </c>
      <c r="C3755" t="s">
        <v>90</v>
      </c>
      <c r="D3755" t="s">
        <v>91</v>
      </c>
      <c r="G3755" s="17" t="s">
        <v>35</v>
      </c>
      <c r="H3755" s="17">
        <v>1</v>
      </c>
      <c r="I3755">
        <v>3183</v>
      </c>
      <c r="J3755" s="1">
        <v>43344</v>
      </c>
      <c r="K3755" t="s">
        <v>268</v>
      </c>
      <c r="L3755" t="s">
        <v>269</v>
      </c>
      <c r="M3755" t="s">
        <v>131</v>
      </c>
      <c r="N3755">
        <v>25</v>
      </c>
      <c r="O3755" t="s">
        <v>40</v>
      </c>
      <c r="S3755" t="s">
        <v>40</v>
      </c>
      <c r="V3755" t="s">
        <v>41</v>
      </c>
      <c r="W3755" t="s">
        <v>95</v>
      </c>
      <c r="X3755" t="str">
        <f>"7052091"</f>
        <v>7052091</v>
      </c>
      <c r="Y3755" t="s">
        <v>660</v>
      </c>
      <c r="Z3755" t="s">
        <v>268</v>
      </c>
      <c r="AA3755" t="s">
        <v>269</v>
      </c>
      <c r="AB3755" t="s">
        <v>131</v>
      </c>
      <c r="AC3755" t="s">
        <v>51</v>
      </c>
      <c r="AD3755" t="s">
        <v>45</v>
      </c>
      <c r="AE3755" s="1">
        <v>25173</v>
      </c>
      <c r="AF3755">
        <v>1</v>
      </c>
      <c r="AG3755" t="s">
        <v>269</v>
      </c>
      <c r="AH3755" s="36">
        <f t="shared" si="58"/>
        <v>50.788888888888891</v>
      </c>
      <c r="AI3755" s="41" t="s">
        <v>1781</v>
      </c>
    </row>
    <row r="3756" spans="1:35" x14ac:dyDescent="0.25">
      <c r="A3756" s="36">
        <v>99913754</v>
      </c>
      <c r="B3756" s="17" t="s">
        <v>56</v>
      </c>
      <c r="C3756" t="s">
        <v>52</v>
      </c>
      <c r="D3756" t="s">
        <v>53</v>
      </c>
      <c r="G3756" s="17" t="s">
        <v>48</v>
      </c>
      <c r="H3756" s="17">
        <v>1</v>
      </c>
      <c r="K3756" t="s">
        <v>162</v>
      </c>
      <c r="L3756" t="s">
        <v>158</v>
      </c>
      <c r="M3756" t="s">
        <v>131</v>
      </c>
      <c r="N3756">
        <v>21</v>
      </c>
      <c r="O3756" t="s">
        <v>40</v>
      </c>
      <c r="P3756" t="s">
        <v>40</v>
      </c>
      <c r="Q3756" t="s">
        <v>40</v>
      </c>
      <c r="R3756" t="s">
        <v>40</v>
      </c>
      <c r="S3756" t="s">
        <v>40</v>
      </c>
      <c r="V3756" t="s">
        <v>41</v>
      </c>
      <c r="W3756" t="s">
        <v>42</v>
      </c>
      <c r="X3756" t="str">
        <f>"0580310"</f>
        <v>0580310</v>
      </c>
      <c r="Y3756" t="s">
        <v>173</v>
      </c>
      <c r="Z3756" t="s">
        <v>162</v>
      </c>
      <c r="AA3756" t="s">
        <v>158</v>
      </c>
      <c r="AB3756" t="s">
        <v>131</v>
      </c>
      <c r="AC3756" t="s">
        <v>51</v>
      </c>
      <c r="AD3756" t="s">
        <v>45</v>
      </c>
      <c r="AE3756" s="1">
        <v>25169</v>
      </c>
      <c r="AF3756">
        <v>2</v>
      </c>
      <c r="AG3756" t="s">
        <v>158</v>
      </c>
      <c r="AH3756" s="36">
        <f t="shared" si="58"/>
        <v>50.8</v>
      </c>
      <c r="AI3756" s="41" t="s">
        <v>1781</v>
      </c>
    </row>
    <row r="3757" spans="1:35" x14ac:dyDescent="0.25">
      <c r="A3757" s="36">
        <v>99913755</v>
      </c>
      <c r="B3757" s="17" t="s">
        <v>32</v>
      </c>
      <c r="C3757" t="s">
        <v>64</v>
      </c>
      <c r="D3757" t="s">
        <v>65</v>
      </c>
      <c r="G3757" s="17" t="s">
        <v>35</v>
      </c>
      <c r="H3757" s="17">
        <v>1</v>
      </c>
      <c r="K3757" t="s">
        <v>268</v>
      </c>
      <c r="L3757" t="s">
        <v>269</v>
      </c>
      <c r="M3757" t="s">
        <v>131</v>
      </c>
      <c r="N3757">
        <v>21</v>
      </c>
      <c r="O3757" t="s">
        <v>40</v>
      </c>
      <c r="P3757" t="s">
        <v>40</v>
      </c>
      <c r="Q3757" t="s">
        <v>40</v>
      </c>
      <c r="R3757" t="s">
        <v>40</v>
      </c>
      <c r="S3757" t="s">
        <v>40</v>
      </c>
      <c r="V3757" t="s">
        <v>41</v>
      </c>
      <c r="W3757" t="s">
        <v>75</v>
      </c>
      <c r="X3757" t="str">
        <f>"7052002"</f>
        <v>7052002</v>
      </c>
      <c r="Y3757" t="s">
        <v>590</v>
      </c>
      <c r="Z3757" t="s">
        <v>268</v>
      </c>
      <c r="AA3757" t="s">
        <v>269</v>
      </c>
      <c r="AB3757" t="s">
        <v>131</v>
      </c>
      <c r="AC3757" t="s">
        <v>51</v>
      </c>
      <c r="AD3757" t="s">
        <v>45</v>
      </c>
      <c r="AE3757" s="1">
        <v>25169</v>
      </c>
      <c r="AF3757">
        <v>1</v>
      </c>
      <c r="AG3757" t="s">
        <v>269</v>
      </c>
      <c r="AH3757" s="36">
        <f t="shared" si="58"/>
        <v>50.8</v>
      </c>
      <c r="AI3757" s="41" t="s">
        <v>1781</v>
      </c>
    </row>
    <row r="3758" spans="1:35" x14ac:dyDescent="0.25">
      <c r="A3758" s="36">
        <v>99913756</v>
      </c>
      <c r="B3758" s="17" t="s">
        <v>56</v>
      </c>
      <c r="C3758" t="s">
        <v>46</v>
      </c>
      <c r="D3758" t="s">
        <v>47</v>
      </c>
      <c r="G3758" s="17" t="s">
        <v>48</v>
      </c>
      <c r="H3758" s="17">
        <v>1</v>
      </c>
      <c r="K3758" t="s">
        <v>223</v>
      </c>
      <c r="L3758" t="s">
        <v>224</v>
      </c>
      <c r="M3758" t="s">
        <v>131</v>
      </c>
      <c r="N3758">
        <v>21</v>
      </c>
      <c r="O3758" t="s">
        <v>40</v>
      </c>
      <c r="P3758" t="s">
        <v>40</v>
      </c>
      <c r="Q3758" t="s">
        <v>40</v>
      </c>
      <c r="R3758" t="s">
        <v>40</v>
      </c>
      <c r="S3758" t="s">
        <v>40</v>
      </c>
      <c r="V3758" t="s">
        <v>41</v>
      </c>
      <c r="W3758" t="s">
        <v>42</v>
      </c>
      <c r="X3758" t="str">
        <f>"0590910"</f>
        <v>0590910</v>
      </c>
      <c r="Y3758" t="s">
        <v>227</v>
      </c>
      <c r="Z3758" t="s">
        <v>223</v>
      </c>
      <c r="AA3758" t="s">
        <v>224</v>
      </c>
      <c r="AB3758" t="s">
        <v>131</v>
      </c>
      <c r="AC3758" t="s">
        <v>51</v>
      </c>
      <c r="AD3758" t="s">
        <v>45</v>
      </c>
      <c r="AE3758" s="1">
        <v>25167</v>
      </c>
      <c r="AF3758">
        <v>2</v>
      </c>
      <c r="AG3758" t="s">
        <v>224</v>
      </c>
      <c r="AH3758" s="36">
        <f t="shared" si="58"/>
        <v>50.805555555555557</v>
      </c>
      <c r="AI3758" s="41" t="s">
        <v>1781</v>
      </c>
    </row>
    <row r="3759" spans="1:35" x14ac:dyDescent="0.25">
      <c r="A3759" s="36">
        <v>99913757</v>
      </c>
      <c r="B3759" s="17" t="s">
        <v>56</v>
      </c>
      <c r="C3759" t="s">
        <v>79</v>
      </c>
      <c r="D3759" t="s">
        <v>80</v>
      </c>
      <c r="G3759" s="17" t="s">
        <v>35</v>
      </c>
      <c r="H3759" s="17">
        <v>1</v>
      </c>
      <c r="J3759" s="1">
        <v>38230</v>
      </c>
      <c r="K3759" t="s">
        <v>1336</v>
      </c>
      <c r="L3759" t="s">
        <v>1337</v>
      </c>
      <c r="M3759" t="s">
        <v>1270</v>
      </c>
      <c r="N3759">
        <v>11</v>
      </c>
      <c r="O3759" t="s">
        <v>40</v>
      </c>
      <c r="P3759" t="s">
        <v>40</v>
      </c>
      <c r="Q3759" t="s">
        <v>40</v>
      </c>
      <c r="R3759" t="s">
        <v>40</v>
      </c>
      <c r="S3759" t="s">
        <v>40</v>
      </c>
      <c r="U3759" s="1">
        <v>38230</v>
      </c>
      <c r="V3759" t="s">
        <v>41</v>
      </c>
      <c r="W3759" t="s">
        <v>42</v>
      </c>
      <c r="X3759" t="str">
        <f>"4475070"</f>
        <v>4475070</v>
      </c>
      <c r="Y3759" t="s">
        <v>1338</v>
      </c>
      <c r="Z3759" t="s">
        <v>1336</v>
      </c>
      <c r="AA3759" t="s">
        <v>1337</v>
      </c>
      <c r="AB3759" t="s">
        <v>1270</v>
      </c>
      <c r="AC3759" t="s">
        <v>51</v>
      </c>
      <c r="AD3759" t="s">
        <v>45</v>
      </c>
      <c r="AE3759" s="1">
        <v>25166</v>
      </c>
      <c r="AF3759">
        <v>2</v>
      </c>
      <c r="AG3759" t="s">
        <v>1337</v>
      </c>
      <c r="AH3759" s="36">
        <f t="shared" si="58"/>
        <v>50.80833333333333</v>
      </c>
      <c r="AI3759" s="41" t="s">
        <v>1781</v>
      </c>
    </row>
    <row r="3760" spans="1:35" x14ac:dyDescent="0.25">
      <c r="A3760" s="36">
        <v>99913758</v>
      </c>
      <c r="B3760" s="17" t="s">
        <v>56</v>
      </c>
      <c r="C3760" t="s">
        <v>46</v>
      </c>
      <c r="D3760" t="s">
        <v>47</v>
      </c>
      <c r="G3760" s="17" t="s">
        <v>48</v>
      </c>
      <c r="H3760" s="17">
        <v>1</v>
      </c>
      <c r="K3760" t="s">
        <v>345</v>
      </c>
      <c r="L3760" t="s">
        <v>346</v>
      </c>
      <c r="M3760" t="s">
        <v>131</v>
      </c>
      <c r="N3760">
        <v>8</v>
      </c>
      <c r="O3760" t="s">
        <v>40</v>
      </c>
      <c r="P3760" t="s">
        <v>40</v>
      </c>
      <c r="Q3760" t="s">
        <v>40</v>
      </c>
      <c r="R3760" t="s">
        <v>40</v>
      </c>
      <c r="S3760" t="s">
        <v>40</v>
      </c>
      <c r="V3760" t="s">
        <v>41</v>
      </c>
      <c r="W3760" t="s">
        <v>49</v>
      </c>
      <c r="X3760" t="str">
        <f>"0561003"</f>
        <v>0561003</v>
      </c>
      <c r="Y3760" t="s">
        <v>370</v>
      </c>
      <c r="Z3760" t="s">
        <v>345</v>
      </c>
      <c r="AA3760" t="s">
        <v>346</v>
      </c>
      <c r="AB3760" t="s">
        <v>131</v>
      </c>
      <c r="AC3760" t="s">
        <v>51</v>
      </c>
      <c r="AD3760" t="s">
        <v>45</v>
      </c>
      <c r="AE3760" s="1">
        <v>25163</v>
      </c>
      <c r="AF3760">
        <v>2</v>
      </c>
      <c r="AG3760" t="s">
        <v>346</v>
      </c>
      <c r="AH3760" s="36">
        <f t="shared" si="58"/>
        <v>50.81666666666667</v>
      </c>
      <c r="AI3760" s="41" t="s">
        <v>1781</v>
      </c>
    </row>
    <row r="3761" spans="1:35" x14ac:dyDescent="0.25">
      <c r="A3761" s="36">
        <v>99913759</v>
      </c>
      <c r="B3761" s="17" t="s">
        <v>56</v>
      </c>
      <c r="C3761" t="s">
        <v>111</v>
      </c>
      <c r="D3761" t="s">
        <v>112</v>
      </c>
      <c r="G3761" s="17" t="s">
        <v>35</v>
      </c>
      <c r="H3761" s="17">
        <v>1</v>
      </c>
      <c r="K3761" t="s">
        <v>154</v>
      </c>
      <c r="L3761" t="s">
        <v>155</v>
      </c>
      <c r="M3761" t="s">
        <v>131</v>
      </c>
      <c r="N3761">
        <v>21</v>
      </c>
      <c r="O3761" t="s">
        <v>40</v>
      </c>
      <c r="P3761" t="s">
        <v>40</v>
      </c>
      <c r="Q3761" t="s">
        <v>40</v>
      </c>
      <c r="R3761" t="s">
        <v>40</v>
      </c>
      <c r="S3761" t="s">
        <v>40</v>
      </c>
      <c r="V3761" t="s">
        <v>41</v>
      </c>
      <c r="W3761" t="s">
        <v>75</v>
      </c>
      <c r="X3761" t="str">
        <f>"7700026"</f>
        <v>7700026</v>
      </c>
      <c r="Y3761" t="s">
        <v>397</v>
      </c>
      <c r="Z3761" t="s">
        <v>154</v>
      </c>
      <c r="AA3761" t="s">
        <v>155</v>
      </c>
      <c r="AB3761" t="s">
        <v>131</v>
      </c>
      <c r="AC3761" t="s">
        <v>51</v>
      </c>
      <c r="AD3761" t="s">
        <v>45</v>
      </c>
      <c r="AE3761" s="1">
        <v>25158</v>
      </c>
      <c r="AF3761">
        <v>1</v>
      </c>
      <c r="AG3761" t="s">
        <v>155</v>
      </c>
      <c r="AH3761" s="36">
        <f t="shared" si="58"/>
        <v>50.830555555555556</v>
      </c>
      <c r="AI3761" s="41" t="s">
        <v>1781</v>
      </c>
    </row>
    <row r="3762" spans="1:35" x14ac:dyDescent="0.25">
      <c r="A3762" s="36">
        <v>99913760</v>
      </c>
      <c r="B3762" s="17" t="s">
        <v>32</v>
      </c>
      <c r="C3762" t="s">
        <v>141</v>
      </c>
      <c r="D3762" t="s">
        <v>142</v>
      </c>
      <c r="G3762" s="17" t="s">
        <v>35</v>
      </c>
      <c r="H3762" s="17">
        <v>1</v>
      </c>
      <c r="I3762" t="s">
        <v>742</v>
      </c>
      <c r="J3762" s="1">
        <v>43344</v>
      </c>
      <c r="K3762" t="s">
        <v>268</v>
      </c>
      <c r="L3762" t="s">
        <v>269</v>
      </c>
      <c r="M3762" t="s">
        <v>131</v>
      </c>
      <c r="N3762">
        <v>20</v>
      </c>
      <c r="O3762" t="s">
        <v>40</v>
      </c>
      <c r="S3762" t="s">
        <v>40</v>
      </c>
      <c r="U3762" s="1">
        <v>43344</v>
      </c>
      <c r="V3762" t="s">
        <v>41</v>
      </c>
      <c r="W3762" t="s">
        <v>75</v>
      </c>
      <c r="X3762" t="str">
        <f>"7052020"</f>
        <v>7052020</v>
      </c>
      <c r="Y3762" t="s">
        <v>267</v>
      </c>
      <c r="Z3762" t="s">
        <v>268</v>
      </c>
      <c r="AA3762" t="s">
        <v>269</v>
      </c>
      <c r="AB3762" t="s">
        <v>131</v>
      </c>
      <c r="AC3762" t="s">
        <v>51</v>
      </c>
      <c r="AD3762" t="s">
        <v>45</v>
      </c>
      <c r="AE3762" s="1">
        <v>25157</v>
      </c>
      <c r="AF3762">
        <v>1</v>
      </c>
      <c r="AG3762" t="s">
        <v>269</v>
      </c>
      <c r="AH3762" s="36">
        <f t="shared" si="58"/>
        <v>50.833333333333336</v>
      </c>
      <c r="AI3762" s="41" t="s">
        <v>1781</v>
      </c>
    </row>
    <row r="3763" spans="1:35" x14ac:dyDescent="0.25">
      <c r="A3763" s="36">
        <v>99913761</v>
      </c>
      <c r="B3763" s="17" t="s">
        <v>32</v>
      </c>
      <c r="C3763" t="s">
        <v>46</v>
      </c>
      <c r="D3763" t="s">
        <v>47</v>
      </c>
      <c r="G3763" s="17" t="s">
        <v>48</v>
      </c>
      <c r="H3763" s="17">
        <v>1</v>
      </c>
      <c r="K3763" t="s">
        <v>223</v>
      </c>
      <c r="L3763" t="s">
        <v>224</v>
      </c>
      <c r="M3763" t="s">
        <v>131</v>
      </c>
      <c r="N3763">
        <v>4</v>
      </c>
      <c r="O3763" t="s">
        <v>40</v>
      </c>
      <c r="P3763" t="s">
        <v>40</v>
      </c>
      <c r="Q3763" t="s">
        <v>40</v>
      </c>
      <c r="S3763" t="s">
        <v>40</v>
      </c>
      <c r="V3763" t="s">
        <v>41</v>
      </c>
      <c r="W3763" t="s">
        <v>42</v>
      </c>
      <c r="X3763" t="str">
        <f>"0561007"</f>
        <v>0561007</v>
      </c>
      <c r="Y3763" t="s">
        <v>262</v>
      </c>
      <c r="Z3763" t="s">
        <v>223</v>
      </c>
      <c r="AA3763" t="s">
        <v>224</v>
      </c>
      <c r="AB3763" t="s">
        <v>131</v>
      </c>
      <c r="AC3763" t="s">
        <v>51</v>
      </c>
      <c r="AD3763" t="s">
        <v>45</v>
      </c>
      <c r="AE3763" s="1">
        <v>25154</v>
      </c>
      <c r="AF3763">
        <v>2</v>
      </c>
      <c r="AG3763" t="s">
        <v>224</v>
      </c>
      <c r="AH3763" s="36">
        <f t="shared" si="58"/>
        <v>50.841666666666669</v>
      </c>
      <c r="AI3763" s="41" t="s">
        <v>1781</v>
      </c>
    </row>
    <row r="3764" spans="1:35" x14ac:dyDescent="0.25">
      <c r="A3764" s="36">
        <v>99913762</v>
      </c>
      <c r="B3764" s="17" t="s">
        <v>32</v>
      </c>
      <c r="C3764" t="s">
        <v>79</v>
      </c>
      <c r="D3764" t="s">
        <v>80</v>
      </c>
      <c r="G3764" s="17" t="s">
        <v>35</v>
      </c>
      <c r="H3764" s="17">
        <v>1</v>
      </c>
      <c r="I3764">
        <v>0</v>
      </c>
      <c r="J3764" s="1">
        <v>43344</v>
      </c>
      <c r="K3764" t="s">
        <v>985</v>
      </c>
      <c r="L3764" t="s">
        <v>986</v>
      </c>
      <c r="M3764" t="s">
        <v>938</v>
      </c>
      <c r="N3764">
        <v>24</v>
      </c>
      <c r="O3764" t="s">
        <v>40</v>
      </c>
      <c r="S3764" t="s">
        <v>40</v>
      </c>
      <c r="U3764" s="1">
        <v>43344</v>
      </c>
      <c r="V3764" t="s">
        <v>41</v>
      </c>
      <c r="W3764" t="s">
        <v>75</v>
      </c>
      <c r="X3764" t="str">
        <f>"7011004"</f>
        <v>7011004</v>
      </c>
      <c r="Y3764" t="s">
        <v>987</v>
      </c>
      <c r="Z3764" t="s">
        <v>985</v>
      </c>
      <c r="AA3764" t="s">
        <v>986</v>
      </c>
      <c r="AB3764" t="s">
        <v>938</v>
      </c>
      <c r="AC3764" t="s">
        <v>51</v>
      </c>
      <c r="AD3764" t="s">
        <v>45</v>
      </c>
      <c r="AE3764" s="1">
        <v>25153</v>
      </c>
      <c r="AF3764">
        <v>1</v>
      </c>
      <c r="AG3764" t="s">
        <v>986</v>
      </c>
      <c r="AH3764" s="36">
        <f t="shared" si="58"/>
        <v>50.844444444444441</v>
      </c>
      <c r="AI3764" s="41" t="s">
        <v>1781</v>
      </c>
    </row>
    <row r="3765" spans="1:35" x14ac:dyDescent="0.25">
      <c r="A3765" s="36">
        <v>99913763</v>
      </c>
      <c r="B3765" s="17" t="s">
        <v>32</v>
      </c>
      <c r="C3765" t="s">
        <v>139</v>
      </c>
      <c r="D3765" t="s">
        <v>140</v>
      </c>
      <c r="G3765" s="17" t="s">
        <v>35</v>
      </c>
      <c r="H3765" s="17">
        <v>1</v>
      </c>
      <c r="I3765" t="s">
        <v>1127</v>
      </c>
      <c r="J3765" s="1">
        <v>42979</v>
      </c>
      <c r="K3765" t="s">
        <v>1128</v>
      </c>
      <c r="L3765" t="s">
        <v>1129</v>
      </c>
      <c r="M3765" t="s">
        <v>1130</v>
      </c>
      <c r="N3765">
        <v>9</v>
      </c>
      <c r="O3765" t="s">
        <v>40</v>
      </c>
      <c r="P3765" t="s">
        <v>40</v>
      </c>
      <c r="Q3765" t="s">
        <v>40</v>
      </c>
      <c r="R3765" t="s">
        <v>40</v>
      </c>
      <c r="S3765" t="s">
        <v>40</v>
      </c>
      <c r="U3765" s="1">
        <v>42979</v>
      </c>
      <c r="V3765" t="s">
        <v>41</v>
      </c>
      <c r="W3765" t="s">
        <v>49</v>
      </c>
      <c r="X3765" t="str">
        <f>"3181015"</f>
        <v>3181015</v>
      </c>
      <c r="Y3765" t="s">
        <v>1131</v>
      </c>
      <c r="Z3765" t="s">
        <v>1128</v>
      </c>
      <c r="AA3765" t="s">
        <v>1129</v>
      </c>
      <c r="AB3765" t="s">
        <v>1130</v>
      </c>
      <c r="AC3765" t="s">
        <v>51</v>
      </c>
      <c r="AD3765" t="s">
        <v>45</v>
      </c>
      <c r="AE3765" s="1">
        <v>25152</v>
      </c>
      <c r="AF3765">
        <v>2</v>
      </c>
      <c r="AG3765" t="s">
        <v>1129</v>
      </c>
      <c r="AH3765" s="36">
        <f t="shared" si="58"/>
        <v>50.847222222222221</v>
      </c>
      <c r="AI3765" s="41" t="s">
        <v>1781</v>
      </c>
    </row>
    <row r="3766" spans="1:35" x14ac:dyDescent="0.25">
      <c r="A3766" s="36">
        <v>99913764</v>
      </c>
      <c r="B3766" s="17" t="s">
        <v>56</v>
      </c>
      <c r="C3766" t="s">
        <v>68</v>
      </c>
      <c r="D3766" t="s">
        <v>69</v>
      </c>
      <c r="G3766" s="17" t="s">
        <v>48</v>
      </c>
      <c r="H3766" s="17">
        <v>1</v>
      </c>
      <c r="K3766" t="s">
        <v>223</v>
      </c>
      <c r="L3766" t="s">
        <v>224</v>
      </c>
      <c r="M3766" t="s">
        <v>131</v>
      </c>
      <c r="N3766">
        <v>18</v>
      </c>
      <c r="O3766" t="s">
        <v>40</v>
      </c>
      <c r="P3766" t="s">
        <v>40</v>
      </c>
      <c r="Q3766" t="s">
        <v>40</v>
      </c>
      <c r="R3766" t="s">
        <v>40</v>
      </c>
      <c r="S3766" t="s">
        <v>40</v>
      </c>
      <c r="V3766" t="s">
        <v>41</v>
      </c>
      <c r="W3766" t="s">
        <v>42</v>
      </c>
      <c r="X3766" t="str">
        <f>"0580265"</f>
        <v>0580265</v>
      </c>
      <c r="Y3766" t="s">
        <v>231</v>
      </c>
      <c r="Z3766" t="s">
        <v>223</v>
      </c>
      <c r="AA3766" t="s">
        <v>224</v>
      </c>
      <c r="AB3766" t="s">
        <v>131</v>
      </c>
      <c r="AC3766" t="s">
        <v>51</v>
      </c>
      <c r="AD3766" t="s">
        <v>45</v>
      </c>
      <c r="AE3766" s="1">
        <v>25150</v>
      </c>
      <c r="AF3766">
        <v>2</v>
      </c>
      <c r="AG3766" t="s">
        <v>224</v>
      </c>
      <c r="AH3766" s="36">
        <f t="shared" si="58"/>
        <v>50.852777777777774</v>
      </c>
      <c r="AI3766" s="41" t="s">
        <v>1781</v>
      </c>
    </row>
    <row r="3767" spans="1:35" x14ac:dyDescent="0.25">
      <c r="A3767" s="36">
        <v>99913765</v>
      </c>
      <c r="B3767" s="17" t="s">
        <v>56</v>
      </c>
      <c r="C3767" t="s">
        <v>46</v>
      </c>
      <c r="D3767" t="s">
        <v>47</v>
      </c>
      <c r="G3767" s="17" t="s">
        <v>48</v>
      </c>
      <c r="H3767" s="17">
        <v>1</v>
      </c>
      <c r="K3767" t="s">
        <v>300</v>
      </c>
      <c r="L3767" t="s">
        <v>301</v>
      </c>
      <c r="M3767" t="s">
        <v>131</v>
      </c>
      <c r="N3767">
        <v>18</v>
      </c>
      <c r="O3767" t="s">
        <v>40</v>
      </c>
      <c r="P3767" t="s">
        <v>40</v>
      </c>
      <c r="Q3767" t="s">
        <v>40</v>
      </c>
      <c r="R3767" t="s">
        <v>40</v>
      </c>
      <c r="S3767" t="s">
        <v>40</v>
      </c>
      <c r="V3767" t="s">
        <v>41</v>
      </c>
      <c r="W3767" t="s">
        <v>42</v>
      </c>
      <c r="X3767" t="str">
        <f>"0561001"</f>
        <v>0561001</v>
      </c>
      <c r="Y3767" t="s">
        <v>308</v>
      </c>
      <c r="Z3767" t="s">
        <v>300</v>
      </c>
      <c r="AA3767" t="s">
        <v>301</v>
      </c>
      <c r="AB3767" t="s">
        <v>131</v>
      </c>
      <c r="AC3767" t="s">
        <v>165</v>
      </c>
      <c r="AD3767" t="s">
        <v>45</v>
      </c>
      <c r="AE3767" s="1">
        <v>25150</v>
      </c>
      <c r="AF3767">
        <v>2</v>
      </c>
      <c r="AG3767" t="s">
        <v>301</v>
      </c>
      <c r="AH3767" s="36">
        <f t="shared" si="58"/>
        <v>50.852777777777774</v>
      </c>
      <c r="AI3767" s="41" t="s">
        <v>1781</v>
      </c>
    </row>
    <row r="3768" spans="1:35" x14ac:dyDescent="0.25">
      <c r="A3768" s="36">
        <v>99913766</v>
      </c>
      <c r="B3768" s="17" t="s">
        <v>32</v>
      </c>
      <c r="C3768" t="s">
        <v>52</v>
      </c>
      <c r="D3768" t="s">
        <v>53</v>
      </c>
      <c r="G3768" s="17" t="s">
        <v>48</v>
      </c>
      <c r="H3768" s="17">
        <v>1</v>
      </c>
      <c r="K3768" t="s">
        <v>223</v>
      </c>
      <c r="L3768" t="s">
        <v>224</v>
      </c>
      <c r="M3768" t="s">
        <v>131</v>
      </c>
      <c r="N3768">
        <v>20</v>
      </c>
      <c r="O3768" t="s">
        <v>40</v>
      </c>
      <c r="P3768" t="s">
        <v>40</v>
      </c>
      <c r="Q3768" t="s">
        <v>40</v>
      </c>
      <c r="S3768" t="s">
        <v>40</v>
      </c>
      <c r="V3768" t="s">
        <v>41</v>
      </c>
      <c r="W3768" t="s">
        <v>42</v>
      </c>
      <c r="X3768" t="str">
        <f>"0580202"</f>
        <v>0580202</v>
      </c>
      <c r="Y3768" t="s">
        <v>240</v>
      </c>
      <c r="Z3768" t="s">
        <v>223</v>
      </c>
      <c r="AA3768" t="s">
        <v>224</v>
      </c>
      <c r="AB3768" t="s">
        <v>131</v>
      </c>
      <c r="AC3768" t="s">
        <v>165</v>
      </c>
      <c r="AD3768" t="s">
        <v>45</v>
      </c>
      <c r="AE3768" s="1">
        <v>25148</v>
      </c>
      <c r="AF3768">
        <v>2</v>
      </c>
      <c r="AG3768" t="s">
        <v>224</v>
      </c>
      <c r="AH3768" s="36">
        <f t="shared" si="58"/>
        <v>50.858333333333334</v>
      </c>
      <c r="AI3768" s="41" t="s">
        <v>1781</v>
      </c>
    </row>
    <row r="3769" spans="1:35" x14ac:dyDescent="0.25">
      <c r="A3769" s="36">
        <v>99913767</v>
      </c>
      <c r="B3769" s="17" t="s">
        <v>32</v>
      </c>
      <c r="C3769" t="s">
        <v>82</v>
      </c>
      <c r="D3769" t="s">
        <v>83</v>
      </c>
      <c r="G3769" s="17" t="s">
        <v>48</v>
      </c>
      <c r="H3769" s="17">
        <v>1</v>
      </c>
      <c r="K3769" t="s">
        <v>300</v>
      </c>
      <c r="L3769" t="s">
        <v>301</v>
      </c>
      <c r="M3769" t="s">
        <v>131</v>
      </c>
      <c r="N3769">
        <v>20</v>
      </c>
      <c r="O3769" t="s">
        <v>40</v>
      </c>
      <c r="P3769" t="s">
        <v>40</v>
      </c>
      <c r="Q3769" t="s">
        <v>40</v>
      </c>
      <c r="R3769" t="s">
        <v>40</v>
      </c>
      <c r="S3769" t="s">
        <v>40</v>
      </c>
      <c r="V3769" t="s">
        <v>41</v>
      </c>
      <c r="W3769" t="s">
        <v>42</v>
      </c>
      <c r="X3769" t="str">
        <f>"0580176"</f>
        <v>0580176</v>
      </c>
      <c r="Y3769" t="s">
        <v>305</v>
      </c>
      <c r="Z3769" t="s">
        <v>300</v>
      </c>
      <c r="AA3769" t="s">
        <v>301</v>
      </c>
      <c r="AB3769" t="s">
        <v>131</v>
      </c>
      <c r="AC3769" t="s">
        <v>51</v>
      </c>
      <c r="AD3769" t="s">
        <v>45</v>
      </c>
      <c r="AE3769" s="1">
        <v>25148</v>
      </c>
      <c r="AF3769">
        <v>2</v>
      </c>
      <c r="AG3769" t="s">
        <v>301</v>
      </c>
      <c r="AH3769" s="36">
        <f t="shared" si="58"/>
        <v>50.858333333333334</v>
      </c>
      <c r="AI3769" s="41" t="s">
        <v>1781</v>
      </c>
    </row>
    <row r="3770" spans="1:35" x14ac:dyDescent="0.25">
      <c r="A3770" s="36">
        <v>99913768</v>
      </c>
      <c r="B3770" s="17" t="s">
        <v>56</v>
      </c>
      <c r="C3770" t="s">
        <v>46</v>
      </c>
      <c r="D3770" t="s">
        <v>47</v>
      </c>
      <c r="G3770" s="17" t="s">
        <v>35</v>
      </c>
      <c r="H3770" s="17">
        <v>1</v>
      </c>
      <c r="I3770">
        <v>0</v>
      </c>
      <c r="J3770" s="1">
        <v>43344</v>
      </c>
      <c r="K3770" t="s">
        <v>223</v>
      </c>
      <c r="L3770" t="s">
        <v>224</v>
      </c>
      <c r="M3770" t="s">
        <v>131</v>
      </c>
      <c r="N3770">
        <v>20</v>
      </c>
      <c r="O3770" t="s">
        <v>40</v>
      </c>
      <c r="S3770" t="s">
        <v>40</v>
      </c>
      <c r="U3770" s="1">
        <v>43344</v>
      </c>
      <c r="V3770" t="s">
        <v>41</v>
      </c>
      <c r="W3770" t="s">
        <v>42</v>
      </c>
      <c r="X3770" t="str">
        <f>"0580206"</f>
        <v>0580206</v>
      </c>
      <c r="Y3770" t="s">
        <v>237</v>
      </c>
      <c r="Z3770" t="s">
        <v>223</v>
      </c>
      <c r="AA3770" t="s">
        <v>224</v>
      </c>
      <c r="AB3770" t="s">
        <v>131</v>
      </c>
      <c r="AC3770" t="s">
        <v>51</v>
      </c>
      <c r="AD3770" t="s">
        <v>45</v>
      </c>
      <c r="AE3770" s="1">
        <v>25146</v>
      </c>
      <c r="AF3770">
        <v>2</v>
      </c>
      <c r="AG3770" t="s">
        <v>224</v>
      </c>
      <c r="AH3770" s="36">
        <f t="shared" si="58"/>
        <v>50.863888888888887</v>
      </c>
      <c r="AI3770" s="41" t="s">
        <v>1781</v>
      </c>
    </row>
    <row r="3771" spans="1:35" x14ac:dyDescent="0.25">
      <c r="A3771" s="36">
        <v>99913769</v>
      </c>
      <c r="B3771" s="17" t="s">
        <v>56</v>
      </c>
      <c r="C3771" t="s">
        <v>85</v>
      </c>
      <c r="D3771" t="s">
        <v>86</v>
      </c>
      <c r="G3771" s="17" t="s">
        <v>48</v>
      </c>
      <c r="H3771" s="17">
        <v>1</v>
      </c>
      <c r="K3771" t="s">
        <v>1051</v>
      </c>
      <c r="L3771" t="s">
        <v>1052</v>
      </c>
      <c r="M3771" t="s">
        <v>1053</v>
      </c>
      <c r="N3771">
        <v>29</v>
      </c>
      <c r="O3771" t="s">
        <v>40</v>
      </c>
      <c r="P3771" t="s">
        <v>40</v>
      </c>
      <c r="Q3771" t="s">
        <v>40</v>
      </c>
      <c r="R3771" t="s">
        <v>40</v>
      </c>
      <c r="S3771" t="s">
        <v>40</v>
      </c>
      <c r="V3771" t="s">
        <v>41</v>
      </c>
      <c r="W3771" t="s">
        <v>42</v>
      </c>
      <c r="X3771" t="str">
        <f>"2061001"</f>
        <v>2061001</v>
      </c>
      <c r="Y3771" t="s">
        <v>1058</v>
      </c>
      <c r="Z3771" t="s">
        <v>1051</v>
      </c>
      <c r="AA3771" t="s">
        <v>1052</v>
      </c>
      <c r="AB3771" t="s">
        <v>1053</v>
      </c>
      <c r="AC3771" t="s">
        <v>51</v>
      </c>
      <c r="AD3771" t="s">
        <v>45</v>
      </c>
      <c r="AE3771" s="1">
        <v>25142</v>
      </c>
      <c r="AF3771">
        <v>2</v>
      </c>
      <c r="AG3771" t="s">
        <v>1052</v>
      </c>
      <c r="AH3771" s="36">
        <f t="shared" si="58"/>
        <v>50.875</v>
      </c>
      <c r="AI3771" s="41" t="s">
        <v>1781</v>
      </c>
    </row>
    <row r="3772" spans="1:35" x14ac:dyDescent="0.25">
      <c r="A3772" s="36">
        <v>99913770</v>
      </c>
      <c r="B3772" s="17" t="s">
        <v>56</v>
      </c>
      <c r="C3772" t="s">
        <v>111</v>
      </c>
      <c r="D3772" t="s">
        <v>112</v>
      </c>
      <c r="G3772" s="17" t="s">
        <v>48</v>
      </c>
      <c r="H3772" s="17">
        <v>8</v>
      </c>
      <c r="I3772" t="s">
        <v>531</v>
      </c>
      <c r="J3772" s="1">
        <v>39326</v>
      </c>
      <c r="K3772" t="s">
        <v>431</v>
      </c>
      <c r="L3772" t="s">
        <v>196</v>
      </c>
      <c r="M3772" t="s">
        <v>131</v>
      </c>
      <c r="N3772">
        <v>22</v>
      </c>
      <c r="O3772" t="s">
        <v>40</v>
      </c>
      <c r="P3772" t="s">
        <v>40</v>
      </c>
      <c r="Q3772" t="s">
        <v>40</v>
      </c>
      <c r="R3772" t="s">
        <v>40</v>
      </c>
      <c r="S3772" t="s">
        <v>40</v>
      </c>
      <c r="U3772" s="1">
        <v>39326</v>
      </c>
      <c r="V3772" t="s">
        <v>41</v>
      </c>
      <c r="W3772" t="s">
        <v>75</v>
      </c>
      <c r="X3772" t="str">
        <f>"7521022"</f>
        <v>7521022</v>
      </c>
      <c r="Y3772" t="s">
        <v>445</v>
      </c>
      <c r="Z3772" t="s">
        <v>431</v>
      </c>
      <c r="AA3772" t="s">
        <v>196</v>
      </c>
      <c r="AB3772" t="s">
        <v>131</v>
      </c>
      <c r="AC3772" t="s">
        <v>51</v>
      </c>
      <c r="AD3772" t="s">
        <v>45</v>
      </c>
      <c r="AE3772" s="1">
        <v>25141</v>
      </c>
      <c r="AF3772">
        <v>1</v>
      </c>
      <c r="AG3772" t="s">
        <v>196</v>
      </c>
      <c r="AH3772" s="36">
        <f t="shared" si="58"/>
        <v>50.87777777777778</v>
      </c>
      <c r="AI3772" s="41" t="s">
        <v>1781</v>
      </c>
    </row>
    <row r="3773" spans="1:35" x14ac:dyDescent="0.25">
      <c r="A3773" s="36">
        <v>99913771</v>
      </c>
      <c r="B3773" s="17" t="s">
        <v>32</v>
      </c>
      <c r="C3773" t="s">
        <v>46</v>
      </c>
      <c r="D3773" t="s">
        <v>47</v>
      </c>
      <c r="G3773" s="17" t="s">
        <v>35</v>
      </c>
      <c r="H3773" s="17">
        <v>1</v>
      </c>
      <c r="I3773" t="s">
        <v>348</v>
      </c>
      <c r="J3773" s="1">
        <v>43344</v>
      </c>
      <c r="K3773" t="s">
        <v>345</v>
      </c>
      <c r="L3773" t="s">
        <v>346</v>
      </c>
      <c r="M3773" t="s">
        <v>131</v>
      </c>
      <c r="N3773">
        <v>18</v>
      </c>
      <c r="O3773" t="s">
        <v>40</v>
      </c>
      <c r="S3773" t="s">
        <v>40</v>
      </c>
      <c r="U3773" s="1">
        <v>43344</v>
      </c>
      <c r="V3773" t="s">
        <v>41</v>
      </c>
      <c r="W3773" t="s">
        <v>49</v>
      </c>
      <c r="X3773" t="str">
        <f>"0581155"</f>
        <v>0581155</v>
      </c>
      <c r="Y3773" t="s">
        <v>349</v>
      </c>
      <c r="Z3773" t="s">
        <v>345</v>
      </c>
      <c r="AA3773" t="s">
        <v>346</v>
      </c>
      <c r="AB3773" t="s">
        <v>131</v>
      </c>
      <c r="AC3773" t="s">
        <v>51</v>
      </c>
      <c r="AD3773" t="s">
        <v>45</v>
      </c>
      <c r="AE3773" s="1">
        <v>25139</v>
      </c>
      <c r="AF3773">
        <v>2</v>
      </c>
      <c r="AG3773" t="s">
        <v>346</v>
      </c>
      <c r="AH3773" s="36">
        <f t="shared" si="58"/>
        <v>50.883333333333333</v>
      </c>
      <c r="AI3773" s="41" t="s">
        <v>1781</v>
      </c>
    </row>
    <row r="3774" spans="1:35" x14ac:dyDescent="0.25">
      <c r="A3774" s="36">
        <v>99913772</v>
      </c>
      <c r="B3774" s="17" t="s">
        <v>32</v>
      </c>
      <c r="C3774" t="s">
        <v>64</v>
      </c>
      <c r="D3774" t="s">
        <v>65</v>
      </c>
      <c r="G3774" s="17" t="s">
        <v>35</v>
      </c>
      <c r="H3774" s="17">
        <v>6</v>
      </c>
      <c r="K3774" t="s">
        <v>268</v>
      </c>
      <c r="L3774" t="s">
        <v>269</v>
      </c>
      <c r="M3774" t="s">
        <v>131</v>
      </c>
      <c r="N3774">
        <v>23</v>
      </c>
      <c r="O3774" t="s">
        <v>40</v>
      </c>
      <c r="P3774" t="s">
        <v>40</v>
      </c>
      <c r="Q3774" t="s">
        <v>40</v>
      </c>
      <c r="R3774" t="s">
        <v>40</v>
      </c>
      <c r="S3774" t="s">
        <v>40</v>
      </c>
      <c r="V3774" t="s">
        <v>41</v>
      </c>
      <c r="W3774" t="s">
        <v>75</v>
      </c>
      <c r="X3774" t="str">
        <f>"7052002"</f>
        <v>7052002</v>
      </c>
      <c r="Y3774" t="s">
        <v>590</v>
      </c>
      <c r="Z3774" t="s">
        <v>268</v>
      </c>
      <c r="AA3774" t="s">
        <v>269</v>
      </c>
      <c r="AB3774" t="s">
        <v>131</v>
      </c>
      <c r="AC3774" t="s">
        <v>51</v>
      </c>
      <c r="AD3774" t="s">
        <v>45</v>
      </c>
      <c r="AE3774" s="1">
        <v>25139</v>
      </c>
      <c r="AF3774">
        <v>1</v>
      </c>
      <c r="AG3774" t="s">
        <v>269</v>
      </c>
      <c r="AH3774" s="36">
        <f t="shared" si="58"/>
        <v>50.883333333333333</v>
      </c>
      <c r="AI3774" s="41" t="s">
        <v>1781</v>
      </c>
    </row>
    <row r="3775" spans="1:35" x14ac:dyDescent="0.25">
      <c r="A3775" s="36">
        <v>99913773</v>
      </c>
      <c r="B3775" s="17" t="s">
        <v>32</v>
      </c>
      <c r="C3775" t="s">
        <v>46</v>
      </c>
      <c r="D3775" t="s">
        <v>47</v>
      </c>
      <c r="G3775" s="17" t="s">
        <v>48</v>
      </c>
      <c r="H3775" s="17">
        <v>1</v>
      </c>
      <c r="K3775" t="s">
        <v>162</v>
      </c>
      <c r="L3775" t="s">
        <v>158</v>
      </c>
      <c r="M3775" t="s">
        <v>131</v>
      </c>
      <c r="N3775">
        <v>20</v>
      </c>
      <c r="O3775" t="s">
        <v>40</v>
      </c>
      <c r="P3775" t="s">
        <v>40</v>
      </c>
      <c r="Q3775" t="s">
        <v>40</v>
      </c>
      <c r="R3775" t="s">
        <v>40</v>
      </c>
      <c r="S3775" t="s">
        <v>40</v>
      </c>
      <c r="V3775" t="s">
        <v>41</v>
      </c>
      <c r="W3775" t="s">
        <v>49</v>
      </c>
      <c r="X3775" t="str">
        <f>"0581325"</f>
        <v>0581325</v>
      </c>
      <c r="Y3775" t="s">
        <v>169</v>
      </c>
      <c r="Z3775" t="s">
        <v>162</v>
      </c>
      <c r="AA3775" t="s">
        <v>158</v>
      </c>
      <c r="AB3775" t="s">
        <v>131</v>
      </c>
      <c r="AC3775" t="s">
        <v>51</v>
      </c>
      <c r="AD3775" t="s">
        <v>45</v>
      </c>
      <c r="AE3775" s="1">
        <v>25135</v>
      </c>
      <c r="AF3775">
        <v>2</v>
      </c>
      <c r="AG3775" t="s">
        <v>158</v>
      </c>
      <c r="AH3775" s="36">
        <f t="shared" si="58"/>
        <v>50.894444444444446</v>
      </c>
      <c r="AI3775" s="41" t="s">
        <v>1781</v>
      </c>
    </row>
    <row r="3776" spans="1:35" x14ac:dyDescent="0.25">
      <c r="A3776" s="36">
        <v>99913774</v>
      </c>
      <c r="B3776" s="17" t="s">
        <v>32</v>
      </c>
      <c r="C3776" t="s">
        <v>111</v>
      </c>
      <c r="D3776" t="s">
        <v>112</v>
      </c>
      <c r="G3776" s="17" t="s">
        <v>35</v>
      </c>
      <c r="H3776" s="17">
        <v>1</v>
      </c>
      <c r="I3776" t="s">
        <v>1112</v>
      </c>
      <c r="J3776" s="1">
        <v>43344</v>
      </c>
      <c r="K3776" t="s">
        <v>1081</v>
      </c>
      <c r="L3776" t="s">
        <v>1082</v>
      </c>
      <c r="M3776" t="s">
        <v>1053</v>
      </c>
      <c r="N3776">
        <v>21</v>
      </c>
      <c r="O3776" t="s">
        <v>40</v>
      </c>
      <c r="S3776" t="s">
        <v>40</v>
      </c>
      <c r="U3776" s="1">
        <v>43344</v>
      </c>
      <c r="V3776" t="s">
        <v>41</v>
      </c>
      <c r="W3776" t="s">
        <v>75</v>
      </c>
      <c r="X3776" t="str">
        <f>"7201000"</f>
        <v>7201000</v>
      </c>
      <c r="Y3776" t="s">
        <v>1088</v>
      </c>
      <c r="Z3776" t="s">
        <v>1081</v>
      </c>
      <c r="AA3776" t="s">
        <v>1082</v>
      </c>
      <c r="AB3776" t="s">
        <v>1053</v>
      </c>
      <c r="AC3776" t="s">
        <v>51</v>
      </c>
      <c r="AD3776" t="s">
        <v>45</v>
      </c>
      <c r="AE3776" s="1">
        <v>25132</v>
      </c>
      <c r="AF3776">
        <v>1</v>
      </c>
      <c r="AG3776" t="s">
        <v>1082</v>
      </c>
      <c r="AH3776" s="36">
        <f t="shared" si="58"/>
        <v>50.902777777777779</v>
      </c>
      <c r="AI3776" s="41" t="s">
        <v>1781</v>
      </c>
    </row>
    <row r="3777" spans="1:35" x14ac:dyDescent="0.25">
      <c r="A3777" s="36">
        <v>99913775</v>
      </c>
      <c r="B3777" s="17" t="s">
        <v>56</v>
      </c>
      <c r="C3777" t="s">
        <v>52</v>
      </c>
      <c r="D3777" t="s">
        <v>53</v>
      </c>
      <c r="G3777" s="17" t="s">
        <v>35</v>
      </c>
      <c r="H3777" s="17">
        <v>12</v>
      </c>
      <c r="I3777" t="s">
        <v>348</v>
      </c>
      <c r="J3777" s="1">
        <v>43344</v>
      </c>
      <c r="K3777" t="s">
        <v>345</v>
      </c>
      <c r="L3777" t="s">
        <v>346</v>
      </c>
      <c r="M3777" t="s">
        <v>131</v>
      </c>
      <c r="N3777">
        <v>18</v>
      </c>
      <c r="O3777" t="s">
        <v>40</v>
      </c>
      <c r="P3777" t="s">
        <v>40</v>
      </c>
      <c r="Q3777" t="s">
        <v>40</v>
      </c>
      <c r="R3777" t="s">
        <v>40</v>
      </c>
      <c r="S3777" t="s">
        <v>40</v>
      </c>
      <c r="U3777" s="1">
        <v>43344</v>
      </c>
      <c r="V3777" t="s">
        <v>41</v>
      </c>
      <c r="W3777" t="s">
        <v>42</v>
      </c>
      <c r="X3777" t="str">
        <f>"0580155"</f>
        <v>0580155</v>
      </c>
      <c r="Y3777" t="s">
        <v>365</v>
      </c>
      <c r="Z3777" t="s">
        <v>345</v>
      </c>
      <c r="AA3777" t="s">
        <v>346</v>
      </c>
      <c r="AB3777" t="s">
        <v>131</v>
      </c>
      <c r="AC3777" t="s">
        <v>51</v>
      </c>
      <c r="AD3777" t="s">
        <v>45</v>
      </c>
      <c r="AE3777" s="1">
        <v>25130</v>
      </c>
      <c r="AF3777">
        <v>2</v>
      </c>
      <c r="AG3777" t="s">
        <v>346</v>
      </c>
      <c r="AH3777" s="36">
        <f t="shared" si="58"/>
        <v>50.908333333333331</v>
      </c>
      <c r="AI3777" s="41" t="s">
        <v>1781</v>
      </c>
    </row>
    <row r="3778" spans="1:35" x14ac:dyDescent="0.25">
      <c r="A3778" s="36">
        <v>99913776</v>
      </c>
      <c r="B3778" s="17" t="s">
        <v>56</v>
      </c>
      <c r="C3778" t="s">
        <v>61</v>
      </c>
      <c r="D3778" t="s">
        <v>62</v>
      </c>
      <c r="G3778" s="17" t="s">
        <v>48</v>
      </c>
      <c r="H3778" s="17">
        <v>1</v>
      </c>
      <c r="K3778" t="s">
        <v>1341</v>
      </c>
      <c r="L3778" t="s">
        <v>1342</v>
      </c>
      <c r="M3778" t="s">
        <v>1270</v>
      </c>
      <c r="N3778">
        <v>22</v>
      </c>
      <c r="O3778" t="s">
        <v>40</v>
      </c>
      <c r="P3778" t="s">
        <v>40</v>
      </c>
      <c r="Q3778" t="s">
        <v>40</v>
      </c>
      <c r="S3778" t="s">
        <v>40</v>
      </c>
      <c r="V3778" t="s">
        <v>41</v>
      </c>
      <c r="W3778" t="s">
        <v>75</v>
      </c>
      <c r="X3778" t="str">
        <f>"7191028"</f>
        <v>7191028</v>
      </c>
      <c r="Y3778" t="s">
        <v>1392</v>
      </c>
      <c r="Z3778" t="s">
        <v>1341</v>
      </c>
      <c r="AA3778" t="s">
        <v>1342</v>
      </c>
      <c r="AB3778" t="s">
        <v>1270</v>
      </c>
      <c r="AC3778" t="s">
        <v>51</v>
      </c>
      <c r="AD3778" t="s">
        <v>45</v>
      </c>
      <c r="AE3778" s="1">
        <v>25130</v>
      </c>
      <c r="AF3778">
        <v>1</v>
      </c>
      <c r="AG3778" t="s">
        <v>1342</v>
      </c>
      <c r="AH3778" s="36">
        <f t="shared" ref="AH3778:AH3841" si="59">($AJ$1-AE3778)/360</f>
        <v>50.908333333333331</v>
      </c>
      <c r="AI3778" s="41" t="s">
        <v>1781</v>
      </c>
    </row>
    <row r="3779" spans="1:35" x14ac:dyDescent="0.25">
      <c r="A3779" s="36">
        <v>99913777</v>
      </c>
      <c r="B3779" s="17" t="s">
        <v>32</v>
      </c>
      <c r="C3779" t="s">
        <v>90</v>
      </c>
      <c r="D3779" t="s">
        <v>91</v>
      </c>
      <c r="G3779" s="17" t="s">
        <v>35</v>
      </c>
      <c r="H3779" s="17">
        <v>1</v>
      </c>
      <c r="I3779">
        <v>2766</v>
      </c>
      <c r="J3779" s="1">
        <v>43344</v>
      </c>
      <c r="K3779" t="s">
        <v>354</v>
      </c>
      <c r="L3779" t="s">
        <v>355</v>
      </c>
      <c r="M3779" t="s">
        <v>131</v>
      </c>
      <c r="N3779">
        <v>25</v>
      </c>
      <c r="O3779" t="s">
        <v>40</v>
      </c>
      <c r="S3779" t="s">
        <v>40</v>
      </c>
      <c r="U3779" s="1">
        <v>43344</v>
      </c>
      <c r="V3779" t="s">
        <v>41</v>
      </c>
      <c r="W3779" t="s">
        <v>95</v>
      </c>
      <c r="X3779" t="str">
        <f>"7054023"</f>
        <v>7054023</v>
      </c>
      <c r="Y3779" t="s">
        <v>836</v>
      </c>
      <c r="Z3779" t="s">
        <v>354</v>
      </c>
      <c r="AA3779" t="s">
        <v>355</v>
      </c>
      <c r="AB3779" t="s">
        <v>131</v>
      </c>
      <c r="AC3779" t="s">
        <v>51</v>
      </c>
      <c r="AD3779" t="s">
        <v>45</v>
      </c>
      <c r="AE3779" s="1">
        <v>25129</v>
      </c>
      <c r="AF3779">
        <v>1</v>
      </c>
      <c r="AG3779" t="s">
        <v>355</v>
      </c>
      <c r="AH3779" s="36">
        <f t="shared" si="59"/>
        <v>50.911111111111111</v>
      </c>
      <c r="AI3779" s="41" t="s">
        <v>1781</v>
      </c>
    </row>
    <row r="3780" spans="1:35" x14ac:dyDescent="0.25">
      <c r="A3780" s="36">
        <v>99913778</v>
      </c>
      <c r="B3780" s="17" t="s">
        <v>56</v>
      </c>
      <c r="C3780" t="s">
        <v>79</v>
      </c>
      <c r="D3780" t="s">
        <v>80</v>
      </c>
      <c r="G3780" s="17" t="s">
        <v>48</v>
      </c>
      <c r="H3780" s="17">
        <v>1</v>
      </c>
      <c r="K3780" t="s">
        <v>936</v>
      </c>
      <c r="L3780" t="s">
        <v>937</v>
      </c>
      <c r="M3780" t="s">
        <v>938</v>
      </c>
      <c r="N3780">
        <v>11</v>
      </c>
      <c r="O3780" t="s">
        <v>40</v>
      </c>
      <c r="P3780" t="s">
        <v>40</v>
      </c>
      <c r="Q3780" t="s">
        <v>40</v>
      </c>
      <c r="S3780" t="s">
        <v>40</v>
      </c>
      <c r="V3780" t="s">
        <v>41</v>
      </c>
      <c r="W3780" t="s">
        <v>49</v>
      </c>
      <c r="X3780" t="str">
        <f>"0180017"</f>
        <v>0180017</v>
      </c>
      <c r="Y3780" t="s">
        <v>943</v>
      </c>
      <c r="Z3780" t="s">
        <v>936</v>
      </c>
      <c r="AA3780" t="s">
        <v>937</v>
      </c>
      <c r="AB3780" t="s">
        <v>938</v>
      </c>
      <c r="AC3780" t="s">
        <v>51</v>
      </c>
      <c r="AD3780" t="s">
        <v>45</v>
      </c>
      <c r="AE3780" s="1">
        <v>25128</v>
      </c>
      <c r="AF3780">
        <v>2</v>
      </c>
      <c r="AG3780" t="s">
        <v>937</v>
      </c>
      <c r="AH3780" s="36">
        <f t="shared" si="59"/>
        <v>50.913888888888891</v>
      </c>
      <c r="AI3780" s="41" t="s">
        <v>1781</v>
      </c>
    </row>
    <row r="3781" spans="1:35" x14ac:dyDescent="0.25">
      <c r="A3781" s="36">
        <v>99913779</v>
      </c>
      <c r="B3781" s="17" t="s">
        <v>32</v>
      </c>
      <c r="C3781" t="s">
        <v>79</v>
      </c>
      <c r="D3781" t="s">
        <v>80</v>
      </c>
      <c r="G3781" s="17" t="s">
        <v>48</v>
      </c>
      <c r="H3781" s="17">
        <v>1</v>
      </c>
      <c r="K3781" t="s">
        <v>1268</v>
      </c>
      <c r="L3781" t="s">
        <v>1269</v>
      </c>
      <c r="M3781" t="s">
        <v>1270</v>
      </c>
      <c r="N3781">
        <v>20</v>
      </c>
      <c r="O3781" t="s">
        <v>40</v>
      </c>
      <c r="P3781" t="s">
        <v>40</v>
      </c>
      <c r="Q3781" t="s">
        <v>40</v>
      </c>
      <c r="R3781" t="s">
        <v>40</v>
      </c>
      <c r="S3781" t="s">
        <v>40</v>
      </c>
      <c r="V3781" t="s">
        <v>41</v>
      </c>
      <c r="W3781" t="s">
        <v>42</v>
      </c>
      <c r="X3781" t="str">
        <f>"1990911"</f>
        <v>1990911</v>
      </c>
      <c r="Y3781" t="s">
        <v>1276</v>
      </c>
      <c r="Z3781" t="s">
        <v>1268</v>
      </c>
      <c r="AA3781" t="s">
        <v>1269</v>
      </c>
      <c r="AB3781" t="s">
        <v>1270</v>
      </c>
      <c r="AC3781" t="s">
        <v>165</v>
      </c>
      <c r="AD3781" t="s">
        <v>45</v>
      </c>
      <c r="AE3781" s="1">
        <v>25128</v>
      </c>
      <c r="AF3781">
        <v>2</v>
      </c>
      <c r="AG3781" t="s">
        <v>1269</v>
      </c>
      <c r="AH3781" s="36">
        <f t="shared" si="59"/>
        <v>50.913888888888891</v>
      </c>
      <c r="AI3781" s="41" t="s">
        <v>1781</v>
      </c>
    </row>
    <row r="3782" spans="1:35" x14ac:dyDescent="0.25">
      <c r="A3782" s="36">
        <v>99913780</v>
      </c>
      <c r="B3782" s="17" t="s">
        <v>32</v>
      </c>
      <c r="C3782" t="s">
        <v>52</v>
      </c>
      <c r="D3782" t="s">
        <v>53</v>
      </c>
      <c r="G3782" s="17" t="s">
        <v>48</v>
      </c>
      <c r="H3782" s="17">
        <v>13</v>
      </c>
      <c r="K3782" t="s">
        <v>345</v>
      </c>
      <c r="L3782" t="s">
        <v>346</v>
      </c>
      <c r="M3782" t="s">
        <v>131</v>
      </c>
      <c r="N3782">
        <v>18</v>
      </c>
      <c r="O3782" t="s">
        <v>40</v>
      </c>
      <c r="P3782" t="s">
        <v>40</v>
      </c>
      <c r="Q3782" t="s">
        <v>40</v>
      </c>
      <c r="R3782" t="s">
        <v>40</v>
      </c>
      <c r="S3782" t="s">
        <v>40</v>
      </c>
      <c r="V3782" t="s">
        <v>41</v>
      </c>
      <c r="W3782" t="s">
        <v>49</v>
      </c>
      <c r="X3782" t="str">
        <f>"0591906"</f>
        <v>0591906</v>
      </c>
      <c r="Y3782" t="s">
        <v>350</v>
      </c>
      <c r="Z3782" t="s">
        <v>345</v>
      </c>
      <c r="AA3782" t="s">
        <v>346</v>
      </c>
      <c r="AB3782" t="s">
        <v>131</v>
      </c>
      <c r="AC3782" t="s">
        <v>51</v>
      </c>
      <c r="AD3782" t="s">
        <v>45</v>
      </c>
      <c r="AE3782" s="1">
        <v>25125</v>
      </c>
      <c r="AF3782">
        <v>2</v>
      </c>
      <c r="AG3782" t="s">
        <v>346</v>
      </c>
      <c r="AH3782" s="36">
        <f t="shared" si="59"/>
        <v>50.922222222222224</v>
      </c>
      <c r="AI3782" s="41" t="s">
        <v>1781</v>
      </c>
    </row>
    <row r="3783" spans="1:35" x14ac:dyDescent="0.25">
      <c r="A3783" s="36">
        <v>99913781</v>
      </c>
      <c r="B3783" s="17" t="s">
        <v>32</v>
      </c>
      <c r="C3783" t="s">
        <v>46</v>
      </c>
      <c r="D3783" t="s">
        <v>47</v>
      </c>
      <c r="G3783" s="17" t="s">
        <v>48</v>
      </c>
      <c r="H3783" s="17">
        <v>1</v>
      </c>
      <c r="K3783" t="s">
        <v>936</v>
      </c>
      <c r="L3783" t="s">
        <v>937</v>
      </c>
      <c r="M3783" t="s">
        <v>938</v>
      </c>
      <c r="N3783">
        <v>19</v>
      </c>
      <c r="O3783" t="s">
        <v>40</v>
      </c>
      <c r="P3783" t="s">
        <v>40</v>
      </c>
      <c r="Q3783" t="s">
        <v>40</v>
      </c>
      <c r="R3783" t="s">
        <v>40</v>
      </c>
      <c r="S3783" t="s">
        <v>40</v>
      </c>
      <c r="V3783" t="s">
        <v>41</v>
      </c>
      <c r="W3783" t="s">
        <v>42</v>
      </c>
      <c r="X3783" t="str">
        <f>"0161002"</f>
        <v>0161002</v>
      </c>
      <c r="Y3783" t="s">
        <v>941</v>
      </c>
      <c r="Z3783" t="s">
        <v>936</v>
      </c>
      <c r="AA3783" t="s">
        <v>937</v>
      </c>
      <c r="AB3783" t="s">
        <v>938</v>
      </c>
      <c r="AC3783" t="s">
        <v>51</v>
      </c>
      <c r="AD3783" t="s">
        <v>45</v>
      </c>
      <c r="AE3783" s="1">
        <v>25125</v>
      </c>
      <c r="AF3783">
        <v>2</v>
      </c>
      <c r="AG3783" t="s">
        <v>937</v>
      </c>
      <c r="AH3783" s="36">
        <f t="shared" si="59"/>
        <v>50.922222222222224</v>
      </c>
      <c r="AI3783" s="41" t="s">
        <v>1781</v>
      </c>
    </row>
    <row r="3784" spans="1:35" x14ac:dyDescent="0.25">
      <c r="A3784" s="36">
        <v>99913782</v>
      </c>
      <c r="B3784" s="17" t="s">
        <v>56</v>
      </c>
      <c r="C3784" t="s">
        <v>85</v>
      </c>
      <c r="D3784" t="s">
        <v>86</v>
      </c>
      <c r="G3784" s="17" t="s">
        <v>48</v>
      </c>
      <c r="H3784" s="17">
        <v>12</v>
      </c>
      <c r="K3784" t="s">
        <v>345</v>
      </c>
      <c r="L3784" t="s">
        <v>346</v>
      </c>
      <c r="M3784" t="s">
        <v>131</v>
      </c>
      <c r="N3784">
        <v>18</v>
      </c>
      <c r="O3784" t="s">
        <v>40</v>
      </c>
      <c r="P3784" t="s">
        <v>40</v>
      </c>
      <c r="Q3784" t="s">
        <v>40</v>
      </c>
      <c r="R3784" t="s">
        <v>40</v>
      </c>
      <c r="S3784" t="s">
        <v>40</v>
      </c>
      <c r="V3784" t="s">
        <v>41</v>
      </c>
      <c r="W3784" t="s">
        <v>42</v>
      </c>
      <c r="X3784" t="str">
        <f>"0590906"</f>
        <v>0590906</v>
      </c>
      <c r="Y3784" t="s">
        <v>361</v>
      </c>
      <c r="Z3784" t="s">
        <v>345</v>
      </c>
      <c r="AA3784" t="s">
        <v>346</v>
      </c>
      <c r="AB3784" t="s">
        <v>131</v>
      </c>
      <c r="AC3784" t="s">
        <v>51</v>
      </c>
      <c r="AD3784" t="s">
        <v>45</v>
      </c>
      <c r="AE3784" s="1">
        <v>25124</v>
      </c>
      <c r="AF3784">
        <v>2</v>
      </c>
      <c r="AG3784" t="s">
        <v>346</v>
      </c>
      <c r="AH3784" s="36">
        <f t="shared" si="59"/>
        <v>50.924999999999997</v>
      </c>
      <c r="AI3784" s="41" t="s">
        <v>1781</v>
      </c>
    </row>
    <row r="3785" spans="1:35" x14ac:dyDescent="0.25">
      <c r="A3785" s="36">
        <v>99913783</v>
      </c>
      <c r="B3785" s="17" t="s">
        <v>32</v>
      </c>
      <c r="C3785" t="s">
        <v>90</v>
      </c>
      <c r="D3785" t="s">
        <v>91</v>
      </c>
      <c r="G3785" s="17" t="s">
        <v>48</v>
      </c>
      <c r="H3785" s="17">
        <v>1</v>
      </c>
      <c r="K3785" t="s">
        <v>865</v>
      </c>
      <c r="L3785" t="s">
        <v>866</v>
      </c>
      <c r="M3785" t="s">
        <v>131</v>
      </c>
      <c r="N3785">
        <v>25</v>
      </c>
      <c r="O3785" t="s">
        <v>40</v>
      </c>
      <c r="P3785" t="s">
        <v>40</v>
      </c>
      <c r="Q3785" t="s">
        <v>40</v>
      </c>
      <c r="R3785" t="s">
        <v>40</v>
      </c>
      <c r="S3785" t="s">
        <v>40</v>
      </c>
      <c r="V3785" t="s">
        <v>41</v>
      </c>
      <c r="W3785" t="s">
        <v>95</v>
      </c>
      <c r="X3785" t="str">
        <f>"7531003"</f>
        <v>7531003</v>
      </c>
      <c r="Y3785" t="s">
        <v>868</v>
      </c>
      <c r="Z3785" t="s">
        <v>865</v>
      </c>
      <c r="AA3785" t="s">
        <v>866</v>
      </c>
      <c r="AB3785" t="s">
        <v>131</v>
      </c>
      <c r="AC3785" t="s">
        <v>51</v>
      </c>
      <c r="AD3785" t="s">
        <v>45</v>
      </c>
      <c r="AE3785" s="1">
        <v>25124</v>
      </c>
      <c r="AF3785">
        <v>1</v>
      </c>
      <c r="AG3785" t="s">
        <v>866</v>
      </c>
      <c r="AH3785" s="36">
        <f t="shared" si="59"/>
        <v>50.924999999999997</v>
      </c>
      <c r="AI3785" s="41" t="s">
        <v>1781</v>
      </c>
    </row>
    <row r="3786" spans="1:35" x14ac:dyDescent="0.25">
      <c r="A3786" s="36">
        <v>99913784</v>
      </c>
      <c r="B3786" s="17" t="s">
        <v>56</v>
      </c>
      <c r="C3786" t="s">
        <v>52</v>
      </c>
      <c r="D3786" t="s">
        <v>53</v>
      </c>
      <c r="G3786" s="17" t="s">
        <v>48</v>
      </c>
      <c r="H3786" s="17">
        <v>1</v>
      </c>
      <c r="K3786" t="s">
        <v>129</v>
      </c>
      <c r="L3786" t="s">
        <v>130</v>
      </c>
      <c r="M3786" t="s">
        <v>131</v>
      </c>
      <c r="N3786">
        <v>20</v>
      </c>
      <c r="O3786" t="s">
        <v>40</v>
      </c>
      <c r="P3786" t="s">
        <v>40</v>
      </c>
      <c r="Q3786" t="s">
        <v>40</v>
      </c>
      <c r="S3786" t="s">
        <v>40</v>
      </c>
      <c r="V3786" t="s">
        <v>41</v>
      </c>
      <c r="W3786" t="s">
        <v>42</v>
      </c>
      <c r="X3786" t="str">
        <f>"0590905"</f>
        <v>0590905</v>
      </c>
      <c r="Y3786" t="s">
        <v>133</v>
      </c>
      <c r="Z3786" t="s">
        <v>129</v>
      </c>
      <c r="AA3786" t="s">
        <v>130</v>
      </c>
      <c r="AB3786" t="s">
        <v>131</v>
      </c>
      <c r="AC3786" t="s">
        <v>51</v>
      </c>
      <c r="AD3786" t="s">
        <v>45</v>
      </c>
      <c r="AE3786" s="1">
        <v>25121</v>
      </c>
      <c r="AF3786">
        <v>2</v>
      </c>
      <c r="AG3786" t="s">
        <v>130</v>
      </c>
      <c r="AH3786" s="36">
        <f t="shared" si="59"/>
        <v>50.93333333333333</v>
      </c>
      <c r="AI3786" s="41" t="s">
        <v>1781</v>
      </c>
    </row>
    <row r="3787" spans="1:35" x14ac:dyDescent="0.25">
      <c r="A3787" s="36">
        <v>99913785</v>
      </c>
      <c r="B3787" s="17" t="s">
        <v>32</v>
      </c>
      <c r="C3787" t="s">
        <v>68</v>
      </c>
      <c r="D3787" t="s">
        <v>69</v>
      </c>
      <c r="G3787" s="17" t="s">
        <v>35</v>
      </c>
      <c r="H3787" s="17">
        <v>1</v>
      </c>
      <c r="I3787">
        <v>22882</v>
      </c>
      <c r="J3787" s="1">
        <v>43027</v>
      </c>
      <c r="K3787" t="s">
        <v>380</v>
      </c>
      <c r="L3787" t="s">
        <v>381</v>
      </c>
      <c r="M3787" t="s">
        <v>131</v>
      </c>
      <c r="N3787">
        <v>7</v>
      </c>
      <c r="O3787" t="s">
        <v>40</v>
      </c>
      <c r="P3787" t="s">
        <v>40</v>
      </c>
      <c r="Q3787" t="s">
        <v>40</v>
      </c>
      <c r="R3787" t="s">
        <v>40</v>
      </c>
      <c r="S3787" t="s">
        <v>40</v>
      </c>
      <c r="U3787" s="1">
        <v>43027</v>
      </c>
      <c r="V3787" t="s">
        <v>41</v>
      </c>
      <c r="W3787" t="s">
        <v>49</v>
      </c>
      <c r="X3787" t="str">
        <f>"0561020"</f>
        <v>0561020</v>
      </c>
      <c r="Y3787" t="s">
        <v>390</v>
      </c>
      <c r="Z3787" t="s">
        <v>380</v>
      </c>
      <c r="AA3787" t="s">
        <v>381</v>
      </c>
      <c r="AB3787" t="s">
        <v>131</v>
      </c>
      <c r="AC3787" t="s">
        <v>44</v>
      </c>
      <c r="AD3787" t="s">
        <v>45</v>
      </c>
      <c r="AE3787" s="1">
        <v>25121</v>
      </c>
      <c r="AF3787">
        <v>2</v>
      </c>
      <c r="AG3787" t="s">
        <v>381</v>
      </c>
      <c r="AH3787" s="36">
        <f t="shared" si="59"/>
        <v>50.93333333333333</v>
      </c>
      <c r="AI3787" s="41" t="s">
        <v>1781</v>
      </c>
    </row>
    <row r="3788" spans="1:35" x14ac:dyDescent="0.25">
      <c r="A3788" s="36">
        <v>99913786</v>
      </c>
      <c r="B3788" s="17" t="s">
        <v>32</v>
      </c>
      <c r="C3788" t="s">
        <v>64</v>
      </c>
      <c r="D3788" t="s">
        <v>65</v>
      </c>
      <c r="G3788" s="17" t="s">
        <v>48</v>
      </c>
      <c r="H3788" s="17">
        <v>1</v>
      </c>
      <c r="K3788" t="s">
        <v>345</v>
      </c>
      <c r="L3788" t="s">
        <v>346</v>
      </c>
      <c r="M3788" t="s">
        <v>131</v>
      </c>
      <c r="N3788">
        <v>6</v>
      </c>
      <c r="O3788" t="s">
        <v>40</v>
      </c>
      <c r="P3788" t="s">
        <v>40</v>
      </c>
      <c r="Q3788" t="s">
        <v>40</v>
      </c>
      <c r="R3788" t="s">
        <v>40</v>
      </c>
      <c r="S3788" t="s">
        <v>40</v>
      </c>
      <c r="V3788" t="s">
        <v>41</v>
      </c>
      <c r="W3788" t="s">
        <v>75</v>
      </c>
      <c r="X3788" t="str">
        <f>"7054002"</f>
        <v>7054002</v>
      </c>
      <c r="Y3788" t="s">
        <v>376</v>
      </c>
      <c r="Z3788" t="s">
        <v>354</v>
      </c>
      <c r="AA3788" t="s">
        <v>355</v>
      </c>
      <c r="AB3788" t="s">
        <v>131</v>
      </c>
      <c r="AC3788" t="s">
        <v>51</v>
      </c>
      <c r="AD3788" t="s">
        <v>45</v>
      </c>
      <c r="AE3788" s="1">
        <v>25120</v>
      </c>
      <c r="AF3788">
        <v>2</v>
      </c>
      <c r="AG3788" t="s">
        <v>346</v>
      </c>
      <c r="AH3788" s="36">
        <f t="shared" si="59"/>
        <v>50.93611111111111</v>
      </c>
      <c r="AI3788" s="41" t="s">
        <v>1781</v>
      </c>
    </row>
    <row r="3789" spans="1:35" x14ac:dyDescent="0.25">
      <c r="A3789" s="36">
        <v>99913787</v>
      </c>
      <c r="B3789" s="17" t="s">
        <v>32</v>
      </c>
      <c r="C3789" t="s">
        <v>143</v>
      </c>
      <c r="D3789" t="s">
        <v>144</v>
      </c>
      <c r="G3789" s="17" t="s">
        <v>48</v>
      </c>
      <c r="H3789" s="17">
        <v>1</v>
      </c>
      <c r="K3789" t="s">
        <v>380</v>
      </c>
      <c r="L3789" t="s">
        <v>381</v>
      </c>
      <c r="M3789" t="s">
        <v>131</v>
      </c>
      <c r="N3789">
        <v>18</v>
      </c>
      <c r="O3789" t="s">
        <v>40</v>
      </c>
      <c r="P3789" t="s">
        <v>40</v>
      </c>
      <c r="Q3789" t="s">
        <v>40</v>
      </c>
      <c r="R3789" t="s">
        <v>40</v>
      </c>
      <c r="S3789" t="s">
        <v>40</v>
      </c>
      <c r="V3789" t="s">
        <v>41</v>
      </c>
      <c r="W3789" t="s">
        <v>49</v>
      </c>
      <c r="X3789" t="str">
        <f>"0591909"</f>
        <v>0591909</v>
      </c>
      <c r="Y3789" t="s">
        <v>385</v>
      </c>
      <c r="Z3789" t="s">
        <v>380</v>
      </c>
      <c r="AA3789" t="s">
        <v>381</v>
      </c>
      <c r="AB3789" t="s">
        <v>131</v>
      </c>
      <c r="AC3789" t="s">
        <v>51</v>
      </c>
      <c r="AD3789" t="s">
        <v>45</v>
      </c>
      <c r="AE3789" s="1">
        <v>25120</v>
      </c>
      <c r="AF3789">
        <v>2</v>
      </c>
      <c r="AG3789" t="s">
        <v>381</v>
      </c>
      <c r="AH3789" s="36">
        <f t="shared" si="59"/>
        <v>50.93611111111111</v>
      </c>
      <c r="AI3789" s="41" t="s">
        <v>1781</v>
      </c>
    </row>
    <row r="3790" spans="1:35" x14ac:dyDescent="0.25">
      <c r="A3790" s="36">
        <v>99913788</v>
      </c>
      <c r="B3790" s="17" t="s">
        <v>32</v>
      </c>
      <c r="C3790" t="s">
        <v>64</v>
      </c>
      <c r="D3790" t="s">
        <v>65</v>
      </c>
      <c r="G3790" s="17" t="s">
        <v>48</v>
      </c>
      <c r="H3790" s="17">
        <v>1</v>
      </c>
      <c r="K3790" t="s">
        <v>380</v>
      </c>
      <c r="L3790" t="s">
        <v>381</v>
      </c>
      <c r="M3790" t="s">
        <v>131</v>
      </c>
      <c r="N3790">
        <v>19</v>
      </c>
      <c r="O3790" t="s">
        <v>40</v>
      </c>
      <c r="P3790" t="s">
        <v>40</v>
      </c>
      <c r="Q3790" t="s">
        <v>40</v>
      </c>
      <c r="R3790" t="s">
        <v>40</v>
      </c>
      <c r="S3790" t="s">
        <v>40</v>
      </c>
      <c r="V3790" t="s">
        <v>41</v>
      </c>
      <c r="W3790" t="s">
        <v>49</v>
      </c>
      <c r="X3790" t="str">
        <f>"0591908"</f>
        <v>0591908</v>
      </c>
      <c r="Y3790" t="s">
        <v>383</v>
      </c>
      <c r="Z3790" t="s">
        <v>380</v>
      </c>
      <c r="AA3790" t="s">
        <v>381</v>
      </c>
      <c r="AB3790" t="s">
        <v>131</v>
      </c>
      <c r="AC3790" t="s">
        <v>51</v>
      </c>
      <c r="AD3790" t="s">
        <v>45</v>
      </c>
      <c r="AE3790" s="1">
        <v>25119</v>
      </c>
      <c r="AF3790">
        <v>2</v>
      </c>
      <c r="AG3790" t="s">
        <v>381</v>
      </c>
      <c r="AH3790" s="36">
        <f t="shared" si="59"/>
        <v>50.93888888888889</v>
      </c>
      <c r="AI3790" s="41" t="s">
        <v>1781</v>
      </c>
    </row>
    <row r="3791" spans="1:35" x14ac:dyDescent="0.25">
      <c r="A3791" s="36">
        <v>99913789</v>
      </c>
      <c r="B3791" s="17" t="s">
        <v>56</v>
      </c>
      <c r="C3791" t="s">
        <v>46</v>
      </c>
      <c r="D3791" t="s">
        <v>47</v>
      </c>
      <c r="G3791" s="17" t="s">
        <v>35</v>
      </c>
      <c r="H3791" s="17">
        <v>1</v>
      </c>
      <c r="K3791" t="s">
        <v>936</v>
      </c>
      <c r="L3791" t="s">
        <v>937</v>
      </c>
      <c r="M3791" t="s">
        <v>938</v>
      </c>
      <c r="N3791">
        <v>10</v>
      </c>
      <c r="O3791" t="s">
        <v>40</v>
      </c>
      <c r="P3791" t="s">
        <v>40</v>
      </c>
      <c r="Q3791" t="s">
        <v>40</v>
      </c>
      <c r="R3791" t="s">
        <v>40</v>
      </c>
      <c r="S3791" t="s">
        <v>40</v>
      </c>
      <c r="V3791" t="s">
        <v>41</v>
      </c>
      <c r="W3791" t="s">
        <v>49</v>
      </c>
      <c r="X3791" t="str">
        <f>"0160075"</f>
        <v>0160075</v>
      </c>
      <c r="Y3791" t="s">
        <v>939</v>
      </c>
      <c r="Z3791" t="s">
        <v>936</v>
      </c>
      <c r="AA3791" t="s">
        <v>937</v>
      </c>
      <c r="AB3791" t="s">
        <v>938</v>
      </c>
      <c r="AC3791" t="s">
        <v>51</v>
      </c>
      <c r="AD3791" t="s">
        <v>45</v>
      </c>
      <c r="AE3791" s="1">
        <v>25119</v>
      </c>
      <c r="AF3791">
        <v>2</v>
      </c>
      <c r="AG3791" t="s">
        <v>937</v>
      </c>
      <c r="AH3791" s="36">
        <f t="shared" si="59"/>
        <v>50.93888888888889</v>
      </c>
      <c r="AI3791" s="41" t="s">
        <v>1781</v>
      </c>
    </row>
    <row r="3792" spans="1:35" x14ac:dyDescent="0.25">
      <c r="A3792" s="36">
        <v>99913790</v>
      </c>
      <c r="B3792" s="17" t="s">
        <v>32</v>
      </c>
      <c r="C3792" t="s">
        <v>46</v>
      </c>
      <c r="D3792" t="s">
        <v>47</v>
      </c>
      <c r="G3792" s="17" t="s">
        <v>48</v>
      </c>
      <c r="H3792" s="17">
        <v>1</v>
      </c>
      <c r="K3792" t="s">
        <v>162</v>
      </c>
      <c r="L3792" t="s">
        <v>158</v>
      </c>
      <c r="M3792" t="s">
        <v>131</v>
      </c>
      <c r="N3792">
        <v>18</v>
      </c>
      <c r="O3792" t="s">
        <v>40</v>
      </c>
      <c r="P3792" t="s">
        <v>40</v>
      </c>
      <c r="Q3792" t="s">
        <v>40</v>
      </c>
      <c r="R3792" t="s">
        <v>40</v>
      </c>
      <c r="S3792" t="s">
        <v>40</v>
      </c>
      <c r="V3792" t="s">
        <v>41</v>
      </c>
      <c r="W3792" t="s">
        <v>42</v>
      </c>
      <c r="X3792" t="str">
        <f>"0580325"</f>
        <v>0580325</v>
      </c>
      <c r="Y3792" t="s">
        <v>170</v>
      </c>
      <c r="Z3792" t="s">
        <v>162</v>
      </c>
      <c r="AA3792" t="s">
        <v>158</v>
      </c>
      <c r="AB3792" t="s">
        <v>131</v>
      </c>
      <c r="AC3792" t="s">
        <v>165</v>
      </c>
      <c r="AD3792" t="s">
        <v>45</v>
      </c>
      <c r="AE3792" s="1">
        <v>25118</v>
      </c>
      <c r="AF3792">
        <v>2</v>
      </c>
      <c r="AG3792" t="s">
        <v>158</v>
      </c>
      <c r="AH3792" s="36">
        <f t="shared" si="59"/>
        <v>50.94166666666667</v>
      </c>
      <c r="AI3792" s="41" t="s">
        <v>1781</v>
      </c>
    </row>
    <row r="3793" spans="1:35" x14ac:dyDescent="0.25">
      <c r="A3793" s="36">
        <v>99913791</v>
      </c>
      <c r="B3793" s="17" t="s">
        <v>32</v>
      </c>
      <c r="C3793" t="s">
        <v>71</v>
      </c>
      <c r="D3793" t="s">
        <v>72</v>
      </c>
      <c r="G3793" s="17" t="s">
        <v>48</v>
      </c>
      <c r="H3793" s="17">
        <v>1</v>
      </c>
      <c r="K3793" t="s">
        <v>223</v>
      </c>
      <c r="L3793" t="s">
        <v>224</v>
      </c>
      <c r="M3793" t="s">
        <v>131</v>
      </c>
      <c r="N3793">
        <v>8</v>
      </c>
      <c r="O3793" t="s">
        <v>40</v>
      </c>
      <c r="P3793" t="s">
        <v>40</v>
      </c>
      <c r="Q3793" t="s">
        <v>40</v>
      </c>
      <c r="R3793" t="s">
        <v>40</v>
      </c>
      <c r="S3793" t="s">
        <v>40</v>
      </c>
      <c r="V3793" t="s">
        <v>41</v>
      </c>
      <c r="W3793" t="s">
        <v>49</v>
      </c>
      <c r="X3793" t="str">
        <f>"0581200"</f>
        <v>0581200</v>
      </c>
      <c r="Y3793" t="s">
        <v>238</v>
      </c>
      <c r="Z3793" t="s">
        <v>223</v>
      </c>
      <c r="AA3793" t="s">
        <v>224</v>
      </c>
      <c r="AB3793" t="s">
        <v>131</v>
      </c>
      <c r="AC3793" t="s">
        <v>51</v>
      </c>
      <c r="AD3793" t="s">
        <v>45</v>
      </c>
      <c r="AE3793" s="1">
        <v>25118</v>
      </c>
      <c r="AF3793">
        <v>2</v>
      </c>
      <c r="AG3793" t="s">
        <v>224</v>
      </c>
      <c r="AH3793" s="36">
        <f t="shared" si="59"/>
        <v>50.94166666666667</v>
      </c>
      <c r="AI3793" s="41" t="s">
        <v>1781</v>
      </c>
    </row>
    <row r="3794" spans="1:35" x14ac:dyDescent="0.25">
      <c r="A3794" s="36">
        <v>99913792</v>
      </c>
      <c r="B3794" s="17" t="s">
        <v>32</v>
      </c>
      <c r="C3794" t="s">
        <v>111</v>
      </c>
      <c r="D3794" t="s">
        <v>112</v>
      </c>
      <c r="G3794" s="17" t="s">
        <v>48</v>
      </c>
      <c r="H3794" s="17">
        <v>1</v>
      </c>
      <c r="K3794" t="s">
        <v>154</v>
      </c>
      <c r="L3794" t="s">
        <v>155</v>
      </c>
      <c r="M3794" t="s">
        <v>131</v>
      </c>
      <c r="N3794">
        <v>21</v>
      </c>
      <c r="O3794" t="s">
        <v>40</v>
      </c>
      <c r="P3794" t="s">
        <v>40</v>
      </c>
      <c r="Q3794" t="s">
        <v>40</v>
      </c>
      <c r="S3794" t="s">
        <v>40</v>
      </c>
      <c r="V3794" t="s">
        <v>41</v>
      </c>
      <c r="W3794" t="s">
        <v>75</v>
      </c>
      <c r="X3794" t="str">
        <f>"7051022"</f>
        <v>7051022</v>
      </c>
      <c r="Y3794" t="s">
        <v>153</v>
      </c>
      <c r="Z3794" t="s">
        <v>154</v>
      </c>
      <c r="AA3794" t="s">
        <v>155</v>
      </c>
      <c r="AB3794" t="s">
        <v>131</v>
      </c>
      <c r="AC3794" t="s">
        <v>51</v>
      </c>
      <c r="AD3794" t="s">
        <v>45</v>
      </c>
      <c r="AE3794" s="1">
        <v>25114</v>
      </c>
      <c r="AF3794">
        <v>1</v>
      </c>
      <c r="AG3794" t="s">
        <v>155</v>
      </c>
      <c r="AH3794" s="36">
        <f t="shared" si="59"/>
        <v>50.952777777777776</v>
      </c>
      <c r="AI3794" s="41" t="s">
        <v>1781</v>
      </c>
    </row>
    <row r="3795" spans="1:35" x14ac:dyDescent="0.25">
      <c r="A3795" s="36">
        <v>99913793</v>
      </c>
      <c r="B3795" s="17" t="s">
        <v>56</v>
      </c>
      <c r="C3795" t="s">
        <v>46</v>
      </c>
      <c r="D3795" t="s">
        <v>47</v>
      </c>
      <c r="G3795" s="17" t="s">
        <v>48</v>
      </c>
      <c r="H3795" s="17">
        <v>8</v>
      </c>
      <c r="K3795" t="s">
        <v>129</v>
      </c>
      <c r="L3795" t="s">
        <v>130</v>
      </c>
      <c r="M3795" t="s">
        <v>131</v>
      </c>
      <c r="N3795">
        <v>20</v>
      </c>
      <c r="O3795" t="s">
        <v>40</v>
      </c>
      <c r="P3795" t="s">
        <v>40</v>
      </c>
      <c r="Q3795" t="s">
        <v>40</v>
      </c>
      <c r="R3795" t="s">
        <v>40</v>
      </c>
      <c r="S3795" t="s">
        <v>40</v>
      </c>
      <c r="U3795" s="1">
        <v>36770</v>
      </c>
      <c r="V3795" t="s">
        <v>41</v>
      </c>
      <c r="W3795" t="s">
        <v>42</v>
      </c>
      <c r="X3795" t="str">
        <f>"0561011"</f>
        <v>0561011</v>
      </c>
      <c r="Y3795" t="s">
        <v>132</v>
      </c>
      <c r="Z3795" t="s">
        <v>129</v>
      </c>
      <c r="AA3795" t="s">
        <v>130</v>
      </c>
      <c r="AB3795" t="s">
        <v>131</v>
      </c>
      <c r="AC3795" t="s">
        <v>51</v>
      </c>
      <c r="AD3795" t="s">
        <v>45</v>
      </c>
      <c r="AE3795" s="1">
        <v>25113</v>
      </c>
      <c r="AF3795">
        <v>2</v>
      </c>
      <c r="AG3795" t="s">
        <v>130</v>
      </c>
      <c r="AH3795" s="36">
        <f t="shared" si="59"/>
        <v>50.955555555555556</v>
      </c>
      <c r="AI3795" s="41" t="s">
        <v>1781</v>
      </c>
    </row>
    <row r="3796" spans="1:35" x14ac:dyDescent="0.25">
      <c r="A3796" s="36">
        <v>99913794</v>
      </c>
      <c r="B3796" s="17" t="s">
        <v>32</v>
      </c>
      <c r="C3796" t="s">
        <v>46</v>
      </c>
      <c r="D3796" t="s">
        <v>47</v>
      </c>
      <c r="G3796" s="17" t="s">
        <v>48</v>
      </c>
      <c r="H3796" s="17">
        <v>1</v>
      </c>
      <c r="K3796" t="s">
        <v>345</v>
      </c>
      <c r="L3796" t="s">
        <v>346</v>
      </c>
      <c r="M3796" t="s">
        <v>131</v>
      </c>
      <c r="N3796">
        <v>18</v>
      </c>
      <c r="O3796" t="s">
        <v>40</v>
      </c>
      <c r="P3796" t="s">
        <v>40</v>
      </c>
      <c r="Q3796" t="s">
        <v>40</v>
      </c>
      <c r="R3796" t="s">
        <v>40</v>
      </c>
      <c r="S3796" t="s">
        <v>40</v>
      </c>
      <c r="V3796" t="s">
        <v>41</v>
      </c>
      <c r="W3796" t="s">
        <v>42</v>
      </c>
      <c r="X3796" t="str">
        <f>"0561019"</f>
        <v>0561019</v>
      </c>
      <c r="Y3796" t="s">
        <v>351</v>
      </c>
      <c r="Z3796" t="s">
        <v>345</v>
      </c>
      <c r="AA3796" t="s">
        <v>346</v>
      </c>
      <c r="AB3796" t="s">
        <v>131</v>
      </c>
      <c r="AC3796" t="s">
        <v>51</v>
      </c>
      <c r="AD3796" t="s">
        <v>45</v>
      </c>
      <c r="AE3796" s="1">
        <v>25113</v>
      </c>
      <c r="AF3796">
        <v>2</v>
      </c>
      <c r="AG3796" t="s">
        <v>346</v>
      </c>
      <c r="AH3796" s="36">
        <f t="shared" si="59"/>
        <v>50.955555555555556</v>
      </c>
      <c r="AI3796" s="41" t="s">
        <v>1781</v>
      </c>
    </row>
    <row r="3797" spans="1:35" x14ac:dyDescent="0.25">
      <c r="A3797" s="36">
        <v>99913795</v>
      </c>
      <c r="B3797" s="17" t="s">
        <v>32</v>
      </c>
      <c r="C3797" t="s">
        <v>68</v>
      </c>
      <c r="D3797" t="s">
        <v>69</v>
      </c>
      <c r="G3797" s="17" t="s">
        <v>48</v>
      </c>
      <c r="H3797" s="17">
        <v>1</v>
      </c>
      <c r="K3797" t="s">
        <v>1128</v>
      </c>
      <c r="L3797" t="s">
        <v>1129</v>
      </c>
      <c r="M3797" t="s">
        <v>1130</v>
      </c>
      <c r="N3797">
        <v>23</v>
      </c>
      <c r="O3797" t="s">
        <v>40</v>
      </c>
      <c r="P3797" t="s">
        <v>40</v>
      </c>
      <c r="Q3797" t="s">
        <v>40</v>
      </c>
      <c r="R3797" t="s">
        <v>40</v>
      </c>
      <c r="S3797" t="s">
        <v>40</v>
      </c>
      <c r="V3797" t="s">
        <v>41</v>
      </c>
      <c r="W3797" t="s">
        <v>42</v>
      </c>
      <c r="X3797" t="str">
        <f>"3180010"</f>
        <v>3180010</v>
      </c>
      <c r="Y3797" t="s">
        <v>1132</v>
      </c>
      <c r="Z3797" t="s">
        <v>1128</v>
      </c>
      <c r="AA3797" t="s">
        <v>1129</v>
      </c>
      <c r="AB3797" t="s">
        <v>1130</v>
      </c>
      <c r="AC3797" t="s">
        <v>165</v>
      </c>
      <c r="AD3797" t="s">
        <v>45</v>
      </c>
      <c r="AE3797" s="1">
        <v>25111</v>
      </c>
      <c r="AF3797">
        <v>2</v>
      </c>
      <c r="AG3797" t="s">
        <v>1129</v>
      </c>
      <c r="AH3797" s="36">
        <f t="shared" si="59"/>
        <v>50.961111111111109</v>
      </c>
      <c r="AI3797" s="41" t="s">
        <v>1781</v>
      </c>
    </row>
    <row r="3798" spans="1:35" x14ac:dyDescent="0.25">
      <c r="A3798" s="36">
        <v>99913796</v>
      </c>
      <c r="B3798" s="17" t="s">
        <v>32</v>
      </c>
      <c r="C3798" t="s">
        <v>46</v>
      </c>
      <c r="D3798" t="s">
        <v>47</v>
      </c>
      <c r="G3798" s="17" t="s">
        <v>35</v>
      </c>
      <c r="H3798" s="17">
        <v>1</v>
      </c>
      <c r="J3798" s="1">
        <v>38230</v>
      </c>
      <c r="K3798" t="s">
        <v>1336</v>
      </c>
      <c r="L3798" t="s">
        <v>1337</v>
      </c>
      <c r="M3798" t="s">
        <v>1270</v>
      </c>
      <c r="N3798">
        <v>14</v>
      </c>
      <c r="O3798" t="s">
        <v>40</v>
      </c>
      <c r="P3798" t="s">
        <v>40</v>
      </c>
      <c r="Q3798" t="s">
        <v>40</v>
      </c>
      <c r="R3798" t="s">
        <v>40</v>
      </c>
      <c r="S3798" t="s">
        <v>40</v>
      </c>
      <c r="U3798" s="1">
        <v>38230</v>
      </c>
      <c r="V3798" t="s">
        <v>41</v>
      </c>
      <c r="W3798" t="s">
        <v>42</v>
      </c>
      <c r="X3798" t="str">
        <f>"4475070"</f>
        <v>4475070</v>
      </c>
      <c r="Y3798" t="s">
        <v>1338</v>
      </c>
      <c r="Z3798" t="s">
        <v>1336</v>
      </c>
      <c r="AA3798" t="s">
        <v>1337</v>
      </c>
      <c r="AB3798" t="s">
        <v>1270</v>
      </c>
      <c r="AC3798" t="s">
        <v>51</v>
      </c>
      <c r="AD3798" t="s">
        <v>45</v>
      </c>
      <c r="AE3798" s="1">
        <v>25103</v>
      </c>
      <c r="AF3798">
        <v>2</v>
      </c>
      <c r="AG3798" t="s">
        <v>1337</v>
      </c>
      <c r="AH3798" s="36">
        <f t="shared" si="59"/>
        <v>50.983333333333334</v>
      </c>
      <c r="AI3798" s="41" t="s">
        <v>1781</v>
      </c>
    </row>
    <row r="3799" spans="1:35" x14ac:dyDescent="0.25">
      <c r="A3799" s="36">
        <v>99913797</v>
      </c>
      <c r="B3799" s="17" t="s">
        <v>32</v>
      </c>
      <c r="C3799" t="s">
        <v>46</v>
      </c>
      <c r="D3799" t="s">
        <v>47</v>
      </c>
      <c r="G3799" s="17" t="s">
        <v>48</v>
      </c>
      <c r="H3799" s="17">
        <v>9</v>
      </c>
      <c r="K3799" t="s">
        <v>129</v>
      </c>
      <c r="L3799" t="s">
        <v>130</v>
      </c>
      <c r="M3799" t="s">
        <v>131</v>
      </c>
      <c r="N3799">
        <v>20</v>
      </c>
      <c r="O3799" t="s">
        <v>40</v>
      </c>
      <c r="P3799" t="s">
        <v>40</v>
      </c>
      <c r="Q3799" t="s">
        <v>40</v>
      </c>
      <c r="R3799" t="s">
        <v>40</v>
      </c>
      <c r="S3799" t="s">
        <v>40</v>
      </c>
      <c r="U3799" s="1">
        <v>36201</v>
      </c>
      <c r="V3799" t="s">
        <v>41</v>
      </c>
      <c r="W3799" t="s">
        <v>42</v>
      </c>
      <c r="X3799" t="str">
        <f>"0561011"</f>
        <v>0561011</v>
      </c>
      <c r="Y3799" t="s">
        <v>132</v>
      </c>
      <c r="Z3799" t="s">
        <v>129</v>
      </c>
      <c r="AA3799" t="s">
        <v>130</v>
      </c>
      <c r="AB3799" t="s">
        <v>131</v>
      </c>
      <c r="AC3799" t="s">
        <v>51</v>
      </c>
      <c r="AD3799" t="s">
        <v>45</v>
      </c>
      <c r="AE3799" s="1">
        <v>25101</v>
      </c>
      <c r="AF3799">
        <v>2</v>
      </c>
      <c r="AG3799" t="s">
        <v>130</v>
      </c>
      <c r="AH3799" s="36">
        <f t="shared" si="59"/>
        <v>50.988888888888887</v>
      </c>
      <c r="AI3799" s="41" t="s">
        <v>1781</v>
      </c>
    </row>
    <row r="3800" spans="1:35" x14ac:dyDescent="0.25">
      <c r="A3800" s="36">
        <v>99913798</v>
      </c>
      <c r="B3800" s="17" t="s">
        <v>32</v>
      </c>
      <c r="C3800" t="s">
        <v>33</v>
      </c>
      <c r="D3800" t="s">
        <v>34</v>
      </c>
      <c r="G3800" s="17" t="s">
        <v>48</v>
      </c>
      <c r="H3800" s="17">
        <v>7</v>
      </c>
      <c r="K3800" t="s">
        <v>129</v>
      </c>
      <c r="L3800" t="s">
        <v>130</v>
      </c>
      <c r="M3800" t="s">
        <v>131</v>
      </c>
      <c r="N3800">
        <v>16</v>
      </c>
      <c r="O3800" t="s">
        <v>40</v>
      </c>
      <c r="P3800" t="s">
        <v>40</v>
      </c>
      <c r="Q3800" t="s">
        <v>40</v>
      </c>
      <c r="R3800" t="s">
        <v>40</v>
      </c>
      <c r="S3800" t="s">
        <v>40</v>
      </c>
      <c r="U3800" s="1">
        <v>37510</v>
      </c>
      <c r="V3800" t="s">
        <v>41</v>
      </c>
      <c r="W3800" t="s">
        <v>49</v>
      </c>
      <c r="X3800" t="str">
        <f>"0580150"</f>
        <v>0580150</v>
      </c>
      <c r="Y3800" t="s">
        <v>134</v>
      </c>
      <c r="Z3800" t="s">
        <v>129</v>
      </c>
      <c r="AA3800" t="s">
        <v>130</v>
      </c>
      <c r="AB3800" t="s">
        <v>131</v>
      </c>
      <c r="AC3800" t="s">
        <v>51</v>
      </c>
      <c r="AD3800" t="s">
        <v>45</v>
      </c>
      <c r="AE3800" s="1">
        <v>25101</v>
      </c>
      <c r="AF3800">
        <v>2</v>
      </c>
      <c r="AG3800" t="s">
        <v>130</v>
      </c>
      <c r="AH3800" s="36">
        <f t="shared" si="59"/>
        <v>50.988888888888887</v>
      </c>
      <c r="AI3800" s="41" t="s">
        <v>1781</v>
      </c>
    </row>
    <row r="3801" spans="1:35" x14ac:dyDescent="0.25">
      <c r="A3801" s="36">
        <v>99913799</v>
      </c>
      <c r="B3801" s="17" t="s">
        <v>56</v>
      </c>
      <c r="C3801" t="s">
        <v>141</v>
      </c>
      <c r="D3801" t="s">
        <v>142</v>
      </c>
      <c r="G3801" s="17" t="s">
        <v>48</v>
      </c>
      <c r="H3801" s="17">
        <v>1</v>
      </c>
      <c r="I3801" t="s">
        <v>1113</v>
      </c>
      <c r="J3801" s="1">
        <v>43344</v>
      </c>
      <c r="K3801" t="s">
        <v>1081</v>
      </c>
      <c r="L3801" t="s">
        <v>1082</v>
      </c>
      <c r="M3801" t="s">
        <v>1053</v>
      </c>
      <c r="N3801">
        <v>11</v>
      </c>
      <c r="O3801" t="s">
        <v>40</v>
      </c>
      <c r="P3801" t="s">
        <v>40</v>
      </c>
      <c r="Q3801" t="s">
        <v>40</v>
      </c>
      <c r="R3801" t="s">
        <v>40</v>
      </c>
      <c r="S3801" t="s">
        <v>40</v>
      </c>
      <c r="U3801" s="1">
        <v>43344</v>
      </c>
      <c r="V3801" t="s">
        <v>41</v>
      </c>
      <c r="W3801" t="s">
        <v>75</v>
      </c>
      <c r="X3801" t="str">
        <f>"7201000"</f>
        <v>7201000</v>
      </c>
      <c r="Y3801" t="s">
        <v>1088</v>
      </c>
      <c r="Z3801" t="s">
        <v>1081</v>
      </c>
      <c r="AA3801" t="s">
        <v>1082</v>
      </c>
      <c r="AB3801" t="s">
        <v>1053</v>
      </c>
      <c r="AC3801" t="s">
        <v>51</v>
      </c>
      <c r="AD3801" t="s">
        <v>45</v>
      </c>
      <c r="AE3801" s="1">
        <v>25101</v>
      </c>
      <c r="AF3801">
        <v>1</v>
      </c>
      <c r="AG3801" t="s">
        <v>1082</v>
      </c>
      <c r="AH3801" s="36">
        <f t="shared" si="59"/>
        <v>50.988888888888887</v>
      </c>
      <c r="AI3801" s="41" t="s">
        <v>1781</v>
      </c>
    </row>
    <row r="3802" spans="1:35" x14ac:dyDescent="0.25">
      <c r="A3802" s="36">
        <v>99913800</v>
      </c>
      <c r="B3802" s="17" t="s">
        <v>32</v>
      </c>
      <c r="C3802" t="s">
        <v>61</v>
      </c>
      <c r="D3802" t="s">
        <v>62</v>
      </c>
      <c r="G3802" s="17" t="s">
        <v>48</v>
      </c>
      <c r="H3802" s="17">
        <v>1</v>
      </c>
      <c r="K3802" t="s">
        <v>345</v>
      </c>
      <c r="L3802" t="s">
        <v>346</v>
      </c>
      <c r="M3802" t="s">
        <v>131</v>
      </c>
      <c r="N3802">
        <v>20</v>
      </c>
      <c r="O3802" t="s">
        <v>40</v>
      </c>
      <c r="P3802" t="s">
        <v>40</v>
      </c>
      <c r="Q3802" t="s">
        <v>40</v>
      </c>
      <c r="R3802" t="s">
        <v>40</v>
      </c>
      <c r="S3802" t="s">
        <v>40</v>
      </c>
      <c r="V3802" t="s">
        <v>41</v>
      </c>
      <c r="W3802" t="s">
        <v>49</v>
      </c>
      <c r="X3802" t="str">
        <f>"0591906"</f>
        <v>0591906</v>
      </c>
      <c r="Y3802" t="s">
        <v>350</v>
      </c>
      <c r="Z3802" t="s">
        <v>345</v>
      </c>
      <c r="AA3802" t="s">
        <v>346</v>
      </c>
      <c r="AB3802" t="s">
        <v>131</v>
      </c>
      <c r="AC3802" t="s">
        <v>51</v>
      </c>
      <c r="AD3802" t="s">
        <v>45</v>
      </c>
      <c r="AE3802" s="1">
        <v>25096</v>
      </c>
      <c r="AF3802">
        <v>2</v>
      </c>
      <c r="AG3802" t="s">
        <v>346</v>
      </c>
      <c r="AH3802" s="36">
        <f t="shared" si="59"/>
        <v>51.00277777777778</v>
      </c>
      <c r="AI3802" s="41" t="s">
        <v>1781</v>
      </c>
    </row>
    <row r="3803" spans="1:35" x14ac:dyDescent="0.25">
      <c r="A3803" s="36">
        <v>99913801</v>
      </c>
      <c r="B3803" s="17" t="s">
        <v>32</v>
      </c>
      <c r="C3803" t="s">
        <v>46</v>
      </c>
      <c r="D3803" t="s">
        <v>47</v>
      </c>
      <c r="G3803" s="17" t="s">
        <v>35</v>
      </c>
      <c r="H3803" s="17">
        <v>1</v>
      </c>
      <c r="K3803" t="s">
        <v>223</v>
      </c>
      <c r="L3803" t="s">
        <v>224</v>
      </c>
      <c r="M3803" t="s">
        <v>131</v>
      </c>
      <c r="N3803">
        <v>18</v>
      </c>
      <c r="O3803" t="s">
        <v>40</v>
      </c>
      <c r="P3803" t="s">
        <v>40</v>
      </c>
      <c r="Q3803" t="s">
        <v>40</v>
      </c>
      <c r="S3803" t="s">
        <v>40</v>
      </c>
      <c r="V3803" t="s">
        <v>41</v>
      </c>
      <c r="W3803" t="s">
        <v>49</v>
      </c>
      <c r="X3803" t="str">
        <f>"0581207"</f>
        <v>0581207</v>
      </c>
      <c r="Y3803" t="s">
        <v>233</v>
      </c>
      <c r="Z3803" t="s">
        <v>223</v>
      </c>
      <c r="AA3803" t="s">
        <v>224</v>
      </c>
      <c r="AB3803" t="s">
        <v>131</v>
      </c>
      <c r="AC3803" t="s">
        <v>165</v>
      </c>
      <c r="AD3803" t="s">
        <v>45</v>
      </c>
      <c r="AE3803" s="1">
        <v>25094</v>
      </c>
      <c r="AF3803">
        <v>2</v>
      </c>
      <c r="AG3803" t="s">
        <v>224</v>
      </c>
      <c r="AH3803" s="36">
        <f t="shared" si="59"/>
        <v>51.008333333333333</v>
      </c>
      <c r="AI3803" s="41" t="s">
        <v>1781</v>
      </c>
    </row>
    <row r="3804" spans="1:35" x14ac:dyDescent="0.25">
      <c r="A3804" s="36">
        <v>99913802</v>
      </c>
      <c r="B3804" s="17" t="s">
        <v>32</v>
      </c>
      <c r="C3804" t="s">
        <v>46</v>
      </c>
      <c r="D3804" t="s">
        <v>47</v>
      </c>
      <c r="G3804" s="17" t="s">
        <v>48</v>
      </c>
      <c r="H3804" s="17">
        <v>1</v>
      </c>
      <c r="K3804" t="s">
        <v>300</v>
      </c>
      <c r="L3804" t="s">
        <v>301</v>
      </c>
      <c r="M3804" t="s">
        <v>131</v>
      </c>
      <c r="N3804">
        <v>21</v>
      </c>
      <c r="O3804" t="s">
        <v>40</v>
      </c>
      <c r="P3804" t="s">
        <v>40</v>
      </c>
      <c r="Q3804" t="s">
        <v>40</v>
      </c>
      <c r="R3804" t="s">
        <v>40</v>
      </c>
      <c r="S3804" t="s">
        <v>40</v>
      </c>
      <c r="V3804" t="s">
        <v>41</v>
      </c>
      <c r="W3804" t="s">
        <v>42</v>
      </c>
      <c r="X3804" t="str">
        <f>"0580176"</f>
        <v>0580176</v>
      </c>
      <c r="Y3804" t="s">
        <v>305</v>
      </c>
      <c r="Z3804" t="s">
        <v>300</v>
      </c>
      <c r="AA3804" t="s">
        <v>301</v>
      </c>
      <c r="AB3804" t="s">
        <v>131</v>
      </c>
      <c r="AC3804" t="s">
        <v>51</v>
      </c>
      <c r="AD3804" t="s">
        <v>45</v>
      </c>
      <c r="AE3804" s="1">
        <v>25093</v>
      </c>
      <c r="AF3804">
        <v>2</v>
      </c>
      <c r="AG3804" t="s">
        <v>301</v>
      </c>
      <c r="AH3804" s="36">
        <f t="shared" si="59"/>
        <v>51.011111111111113</v>
      </c>
      <c r="AI3804" s="41" t="s">
        <v>1781</v>
      </c>
    </row>
    <row r="3805" spans="1:35" x14ac:dyDescent="0.25">
      <c r="A3805" s="36">
        <v>99913803</v>
      </c>
      <c r="B3805" s="17" t="s">
        <v>32</v>
      </c>
      <c r="C3805" t="s">
        <v>46</v>
      </c>
      <c r="D3805" t="s">
        <v>47</v>
      </c>
      <c r="G3805" s="17" t="s">
        <v>48</v>
      </c>
      <c r="H3805" s="17">
        <v>1</v>
      </c>
      <c r="K3805" t="s">
        <v>345</v>
      </c>
      <c r="L3805" t="s">
        <v>346</v>
      </c>
      <c r="M3805" t="s">
        <v>131</v>
      </c>
      <c r="N3805">
        <v>18</v>
      </c>
      <c r="O3805" t="s">
        <v>40</v>
      </c>
      <c r="P3805" t="s">
        <v>40</v>
      </c>
      <c r="Q3805" t="s">
        <v>40</v>
      </c>
      <c r="R3805" t="s">
        <v>40</v>
      </c>
      <c r="S3805" t="s">
        <v>40</v>
      </c>
      <c r="V3805" t="s">
        <v>41</v>
      </c>
      <c r="W3805" t="s">
        <v>42</v>
      </c>
      <c r="X3805" t="str">
        <f>"0580650"</f>
        <v>0580650</v>
      </c>
      <c r="Y3805" t="s">
        <v>356</v>
      </c>
      <c r="Z3805" t="s">
        <v>345</v>
      </c>
      <c r="AA3805" t="s">
        <v>346</v>
      </c>
      <c r="AB3805" t="s">
        <v>131</v>
      </c>
      <c r="AC3805" t="s">
        <v>51</v>
      </c>
      <c r="AD3805" t="s">
        <v>45</v>
      </c>
      <c r="AE3805" s="1">
        <v>25090</v>
      </c>
      <c r="AF3805">
        <v>2</v>
      </c>
      <c r="AG3805" t="s">
        <v>346</v>
      </c>
      <c r="AH3805" s="36">
        <f t="shared" si="59"/>
        <v>51.019444444444446</v>
      </c>
      <c r="AI3805" s="41" t="s">
        <v>1781</v>
      </c>
    </row>
    <row r="3806" spans="1:35" x14ac:dyDescent="0.25">
      <c r="A3806" s="36">
        <v>99913804</v>
      </c>
      <c r="B3806" s="17" t="s">
        <v>56</v>
      </c>
      <c r="C3806" t="s">
        <v>46</v>
      </c>
      <c r="D3806" t="s">
        <v>47</v>
      </c>
      <c r="G3806" s="17" t="s">
        <v>35</v>
      </c>
      <c r="H3806" s="17">
        <v>1</v>
      </c>
      <c r="K3806" t="s">
        <v>1268</v>
      </c>
      <c r="L3806" t="s">
        <v>1269</v>
      </c>
      <c r="M3806" t="s">
        <v>1270</v>
      </c>
      <c r="N3806">
        <v>20</v>
      </c>
      <c r="O3806" t="s">
        <v>40</v>
      </c>
      <c r="P3806" t="s">
        <v>40</v>
      </c>
      <c r="Q3806" t="s">
        <v>40</v>
      </c>
      <c r="S3806" t="s">
        <v>40</v>
      </c>
      <c r="V3806" t="s">
        <v>41</v>
      </c>
      <c r="W3806" t="s">
        <v>42</v>
      </c>
      <c r="X3806" t="str">
        <f>"1980030"</f>
        <v>1980030</v>
      </c>
      <c r="Y3806" t="s">
        <v>1289</v>
      </c>
      <c r="Z3806" t="s">
        <v>1268</v>
      </c>
      <c r="AA3806" t="s">
        <v>1269</v>
      </c>
      <c r="AB3806" t="s">
        <v>1270</v>
      </c>
      <c r="AC3806" t="s">
        <v>51</v>
      </c>
      <c r="AD3806" t="s">
        <v>45</v>
      </c>
      <c r="AE3806" s="1">
        <v>25089</v>
      </c>
      <c r="AF3806">
        <v>2</v>
      </c>
      <c r="AG3806" t="s">
        <v>1269</v>
      </c>
      <c r="AH3806" s="36">
        <f t="shared" si="59"/>
        <v>51.022222222222226</v>
      </c>
      <c r="AI3806" s="41" t="s">
        <v>1781</v>
      </c>
    </row>
    <row r="3807" spans="1:35" x14ac:dyDescent="0.25">
      <c r="A3807" s="36">
        <v>99913805</v>
      </c>
      <c r="B3807" s="17" t="s">
        <v>56</v>
      </c>
      <c r="C3807" t="s">
        <v>68</v>
      </c>
      <c r="D3807" t="s">
        <v>69</v>
      </c>
      <c r="G3807" s="17" t="s">
        <v>48</v>
      </c>
      <c r="H3807" s="17">
        <v>1</v>
      </c>
      <c r="K3807" t="s">
        <v>1268</v>
      </c>
      <c r="L3807" t="s">
        <v>1269</v>
      </c>
      <c r="M3807" t="s">
        <v>1270</v>
      </c>
      <c r="N3807">
        <v>20</v>
      </c>
      <c r="O3807" t="s">
        <v>40</v>
      </c>
      <c r="P3807" t="s">
        <v>40</v>
      </c>
      <c r="Q3807" t="s">
        <v>40</v>
      </c>
      <c r="R3807" t="s">
        <v>40</v>
      </c>
      <c r="S3807" t="s">
        <v>40</v>
      </c>
      <c r="V3807" t="s">
        <v>41</v>
      </c>
      <c r="W3807" t="s">
        <v>42</v>
      </c>
      <c r="X3807" t="str">
        <f>"1990910"</f>
        <v>1990910</v>
      </c>
      <c r="Y3807" t="s">
        <v>1281</v>
      </c>
      <c r="Z3807" t="s">
        <v>1268</v>
      </c>
      <c r="AA3807" t="s">
        <v>1269</v>
      </c>
      <c r="AB3807" t="s">
        <v>1270</v>
      </c>
      <c r="AC3807" t="s">
        <v>165</v>
      </c>
      <c r="AD3807" t="s">
        <v>45</v>
      </c>
      <c r="AE3807" s="1">
        <v>25087</v>
      </c>
      <c r="AF3807">
        <v>2</v>
      </c>
      <c r="AG3807" t="s">
        <v>1269</v>
      </c>
      <c r="AH3807" s="36">
        <f t="shared" si="59"/>
        <v>51.027777777777779</v>
      </c>
      <c r="AI3807" s="41" t="s">
        <v>1781</v>
      </c>
    </row>
    <row r="3808" spans="1:35" x14ac:dyDescent="0.25">
      <c r="A3808" s="36">
        <v>99913806</v>
      </c>
      <c r="B3808" s="17" t="s">
        <v>32</v>
      </c>
      <c r="C3808" t="s">
        <v>79</v>
      </c>
      <c r="D3808" t="s">
        <v>80</v>
      </c>
      <c r="G3808" s="17" t="s">
        <v>48</v>
      </c>
      <c r="H3808" s="17">
        <v>1</v>
      </c>
      <c r="K3808" t="s">
        <v>431</v>
      </c>
      <c r="L3808" t="s">
        <v>196</v>
      </c>
      <c r="M3808" t="s">
        <v>131</v>
      </c>
      <c r="N3808">
        <v>21</v>
      </c>
      <c r="O3808" t="s">
        <v>40</v>
      </c>
      <c r="P3808" t="s">
        <v>40</v>
      </c>
      <c r="Q3808" t="s">
        <v>40</v>
      </c>
      <c r="S3808" t="s">
        <v>40</v>
      </c>
      <c r="V3808" t="s">
        <v>41</v>
      </c>
      <c r="W3808" t="s">
        <v>75</v>
      </c>
      <c r="X3808" t="str">
        <f>"7521016"</f>
        <v>7521016</v>
      </c>
      <c r="Y3808" t="s">
        <v>448</v>
      </c>
      <c r="Z3808" t="s">
        <v>431</v>
      </c>
      <c r="AA3808" t="s">
        <v>196</v>
      </c>
      <c r="AB3808" t="s">
        <v>131</v>
      </c>
      <c r="AC3808" t="s">
        <v>51</v>
      </c>
      <c r="AD3808" t="s">
        <v>45</v>
      </c>
      <c r="AE3808" s="1">
        <v>25085</v>
      </c>
      <c r="AF3808">
        <v>1</v>
      </c>
      <c r="AG3808" t="s">
        <v>196</v>
      </c>
      <c r="AH3808" s="36">
        <f t="shared" si="59"/>
        <v>51.033333333333331</v>
      </c>
      <c r="AI3808" s="41" t="s">
        <v>1781</v>
      </c>
    </row>
    <row r="3809" spans="1:35" x14ac:dyDescent="0.25">
      <c r="A3809" s="36">
        <v>99913807</v>
      </c>
      <c r="B3809" s="17" t="s">
        <v>32</v>
      </c>
      <c r="C3809" t="s">
        <v>68</v>
      </c>
      <c r="D3809" t="s">
        <v>69</v>
      </c>
      <c r="G3809" s="17" t="s">
        <v>48</v>
      </c>
      <c r="H3809" s="17">
        <v>3</v>
      </c>
      <c r="K3809" t="s">
        <v>129</v>
      </c>
      <c r="L3809" t="s">
        <v>130</v>
      </c>
      <c r="M3809" t="s">
        <v>131</v>
      </c>
      <c r="N3809">
        <v>14</v>
      </c>
      <c r="O3809" t="s">
        <v>40</v>
      </c>
      <c r="P3809" t="s">
        <v>40</v>
      </c>
      <c r="Q3809" t="s">
        <v>40</v>
      </c>
      <c r="R3809" t="s">
        <v>40</v>
      </c>
      <c r="S3809" t="s">
        <v>40</v>
      </c>
      <c r="U3809" s="1">
        <v>40422</v>
      </c>
      <c r="V3809" t="s">
        <v>41</v>
      </c>
      <c r="W3809" t="s">
        <v>42</v>
      </c>
      <c r="X3809" t="str">
        <f>"0561011"</f>
        <v>0561011</v>
      </c>
      <c r="Y3809" t="s">
        <v>132</v>
      </c>
      <c r="Z3809" t="s">
        <v>129</v>
      </c>
      <c r="AA3809" t="s">
        <v>130</v>
      </c>
      <c r="AB3809" t="s">
        <v>131</v>
      </c>
      <c r="AC3809" t="s">
        <v>51</v>
      </c>
      <c r="AD3809" t="s">
        <v>45</v>
      </c>
      <c r="AE3809" s="1">
        <v>25084</v>
      </c>
      <c r="AF3809">
        <v>2</v>
      </c>
      <c r="AG3809" t="s">
        <v>130</v>
      </c>
      <c r="AH3809" s="36">
        <f t="shared" si="59"/>
        <v>51.036111111111111</v>
      </c>
      <c r="AI3809" s="41" t="s">
        <v>1781</v>
      </c>
    </row>
    <row r="3810" spans="1:35" x14ac:dyDescent="0.25">
      <c r="A3810" s="36">
        <v>99913808</v>
      </c>
      <c r="B3810" s="17" t="s">
        <v>32</v>
      </c>
      <c r="C3810" t="s">
        <v>46</v>
      </c>
      <c r="D3810" t="s">
        <v>47</v>
      </c>
      <c r="G3810" s="17" t="s">
        <v>48</v>
      </c>
      <c r="H3810" s="17">
        <v>1</v>
      </c>
      <c r="K3810" t="s">
        <v>157</v>
      </c>
      <c r="L3810" t="s">
        <v>158</v>
      </c>
      <c r="M3810" t="s">
        <v>131</v>
      </c>
      <c r="N3810">
        <v>18</v>
      </c>
      <c r="O3810" t="s">
        <v>40</v>
      </c>
      <c r="P3810" t="s">
        <v>40</v>
      </c>
      <c r="Q3810" t="s">
        <v>40</v>
      </c>
      <c r="R3810" t="s">
        <v>40</v>
      </c>
      <c r="S3810" t="s">
        <v>40</v>
      </c>
      <c r="V3810" t="s">
        <v>41</v>
      </c>
      <c r="W3810" t="s">
        <v>49</v>
      </c>
      <c r="X3810" t="str">
        <f>"0560011"</f>
        <v>0560011</v>
      </c>
      <c r="Y3810" t="s">
        <v>185</v>
      </c>
      <c r="Z3810" t="s">
        <v>157</v>
      </c>
      <c r="AA3810" t="s">
        <v>158</v>
      </c>
      <c r="AB3810" t="s">
        <v>131</v>
      </c>
      <c r="AC3810" t="s">
        <v>51</v>
      </c>
      <c r="AD3810" t="s">
        <v>45</v>
      </c>
      <c r="AE3810" s="1">
        <v>25084</v>
      </c>
      <c r="AF3810">
        <v>2</v>
      </c>
      <c r="AG3810" t="s">
        <v>158</v>
      </c>
      <c r="AH3810" s="36">
        <f t="shared" si="59"/>
        <v>51.036111111111111</v>
      </c>
      <c r="AI3810" s="41" t="s">
        <v>1781</v>
      </c>
    </row>
    <row r="3811" spans="1:35" x14ac:dyDescent="0.25">
      <c r="A3811" s="36">
        <v>99913809</v>
      </c>
      <c r="B3811" s="17" t="s">
        <v>32</v>
      </c>
      <c r="C3811" t="s">
        <v>139</v>
      </c>
      <c r="D3811" t="s">
        <v>140</v>
      </c>
      <c r="G3811" s="17" t="s">
        <v>48</v>
      </c>
      <c r="H3811" s="17">
        <v>9</v>
      </c>
      <c r="K3811" t="s">
        <v>1268</v>
      </c>
      <c r="L3811" t="s">
        <v>1269</v>
      </c>
      <c r="M3811" t="s">
        <v>1270</v>
      </c>
      <c r="N3811">
        <v>16</v>
      </c>
      <c r="O3811" t="s">
        <v>40</v>
      </c>
      <c r="P3811" t="s">
        <v>40</v>
      </c>
      <c r="Q3811" t="s">
        <v>40</v>
      </c>
      <c r="R3811" t="s">
        <v>40</v>
      </c>
      <c r="S3811" t="s">
        <v>40</v>
      </c>
      <c r="V3811" t="s">
        <v>41</v>
      </c>
      <c r="W3811" t="s">
        <v>49</v>
      </c>
      <c r="X3811" t="str">
        <f>"1981912"</f>
        <v>1981912</v>
      </c>
      <c r="Y3811" t="s">
        <v>1279</v>
      </c>
      <c r="Z3811" t="s">
        <v>1268</v>
      </c>
      <c r="AA3811" t="s">
        <v>1269</v>
      </c>
      <c r="AB3811" t="s">
        <v>1270</v>
      </c>
      <c r="AC3811" t="s">
        <v>51</v>
      </c>
      <c r="AD3811" t="s">
        <v>45</v>
      </c>
      <c r="AE3811" s="1">
        <v>25082</v>
      </c>
      <c r="AF3811">
        <v>2</v>
      </c>
      <c r="AG3811" t="s">
        <v>1269</v>
      </c>
      <c r="AH3811" s="36">
        <f t="shared" si="59"/>
        <v>51.041666666666664</v>
      </c>
      <c r="AI3811" s="41" t="s">
        <v>1781</v>
      </c>
    </row>
    <row r="3812" spans="1:35" x14ac:dyDescent="0.25">
      <c r="A3812" s="36">
        <v>99913810</v>
      </c>
      <c r="B3812" s="17" t="s">
        <v>56</v>
      </c>
      <c r="C3812" t="s">
        <v>68</v>
      </c>
      <c r="D3812" t="s">
        <v>69</v>
      </c>
      <c r="G3812" s="17" t="s">
        <v>35</v>
      </c>
      <c r="H3812" s="17">
        <v>1</v>
      </c>
      <c r="I3812" t="s">
        <v>1160</v>
      </c>
      <c r="J3812" s="1">
        <v>42979</v>
      </c>
      <c r="K3812" t="s">
        <v>1128</v>
      </c>
      <c r="L3812" t="s">
        <v>1129</v>
      </c>
      <c r="M3812" t="s">
        <v>1130</v>
      </c>
      <c r="N3812">
        <v>14</v>
      </c>
      <c r="O3812" t="s">
        <v>40</v>
      </c>
      <c r="S3812" t="s">
        <v>40</v>
      </c>
      <c r="U3812" s="1">
        <v>42979</v>
      </c>
      <c r="V3812" t="s">
        <v>41</v>
      </c>
      <c r="W3812" t="s">
        <v>49</v>
      </c>
      <c r="X3812" t="str">
        <f>"3160003"</f>
        <v>3160003</v>
      </c>
      <c r="Y3812" t="s">
        <v>1146</v>
      </c>
      <c r="Z3812" t="s">
        <v>1128</v>
      </c>
      <c r="AA3812" t="s">
        <v>1129</v>
      </c>
      <c r="AB3812" t="s">
        <v>1130</v>
      </c>
      <c r="AC3812" t="s">
        <v>44</v>
      </c>
      <c r="AD3812" t="s">
        <v>45</v>
      </c>
      <c r="AE3812" s="1">
        <v>25080</v>
      </c>
      <c r="AF3812">
        <v>2</v>
      </c>
      <c r="AG3812" t="s">
        <v>1129</v>
      </c>
      <c r="AH3812" s="36">
        <f t="shared" si="59"/>
        <v>51.047222222222224</v>
      </c>
      <c r="AI3812" s="41" t="s">
        <v>1781</v>
      </c>
    </row>
    <row r="3813" spans="1:35" x14ac:dyDescent="0.25">
      <c r="A3813" s="36">
        <v>99913811</v>
      </c>
      <c r="B3813" s="17" t="s">
        <v>32</v>
      </c>
      <c r="C3813" t="s">
        <v>85</v>
      </c>
      <c r="D3813" t="s">
        <v>86</v>
      </c>
      <c r="G3813" s="17" t="s">
        <v>48</v>
      </c>
      <c r="H3813" s="17">
        <v>1</v>
      </c>
      <c r="K3813" t="s">
        <v>300</v>
      </c>
      <c r="L3813" t="s">
        <v>301</v>
      </c>
      <c r="M3813" t="s">
        <v>131</v>
      </c>
      <c r="N3813">
        <v>30</v>
      </c>
      <c r="O3813" t="s">
        <v>40</v>
      </c>
      <c r="P3813" t="s">
        <v>40</v>
      </c>
      <c r="Q3813" t="s">
        <v>40</v>
      </c>
      <c r="R3813" t="s">
        <v>40</v>
      </c>
      <c r="S3813" t="s">
        <v>40</v>
      </c>
      <c r="V3813" t="s">
        <v>41</v>
      </c>
      <c r="W3813" t="s">
        <v>42</v>
      </c>
      <c r="X3813" t="str">
        <f>"0580457"</f>
        <v>0580457</v>
      </c>
      <c r="Y3813" t="s">
        <v>310</v>
      </c>
      <c r="Z3813" t="s">
        <v>300</v>
      </c>
      <c r="AA3813" t="s">
        <v>301</v>
      </c>
      <c r="AB3813" t="s">
        <v>131</v>
      </c>
      <c r="AC3813" t="s">
        <v>51</v>
      </c>
      <c r="AD3813" t="s">
        <v>45</v>
      </c>
      <c r="AE3813" s="1">
        <v>25079</v>
      </c>
      <c r="AF3813">
        <v>2</v>
      </c>
      <c r="AG3813" t="s">
        <v>301</v>
      </c>
      <c r="AH3813" s="36">
        <f t="shared" si="59"/>
        <v>51.05</v>
      </c>
      <c r="AI3813" s="41" t="s">
        <v>1781</v>
      </c>
    </row>
    <row r="3814" spans="1:35" x14ac:dyDescent="0.25">
      <c r="A3814" s="36">
        <v>99913812</v>
      </c>
      <c r="B3814" s="17" t="s">
        <v>32</v>
      </c>
      <c r="C3814" t="s">
        <v>64</v>
      </c>
      <c r="D3814" t="s">
        <v>65</v>
      </c>
      <c r="G3814" s="17" t="s">
        <v>35</v>
      </c>
      <c r="H3814" s="17">
        <v>1</v>
      </c>
      <c r="K3814" t="s">
        <v>268</v>
      </c>
      <c r="L3814" t="s">
        <v>269</v>
      </c>
      <c r="M3814" t="s">
        <v>131</v>
      </c>
      <c r="N3814">
        <v>21</v>
      </c>
      <c r="O3814" t="s">
        <v>40</v>
      </c>
      <c r="Q3814" t="s">
        <v>40</v>
      </c>
      <c r="S3814" t="s">
        <v>40</v>
      </c>
      <c r="V3814" t="s">
        <v>41</v>
      </c>
      <c r="W3814" t="s">
        <v>75</v>
      </c>
      <c r="X3814" t="str">
        <f>"7052028"</f>
        <v>7052028</v>
      </c>
      <c r="Y3814" t="s">
        <v>601</v>
      </c>
      <c r="Z3814" t="s">
        <v>268</v>
      </c>
      <c r="AA3814" t="s">
        <v>269</v>
      </c>
      <c r="AB3814" t="s">
        <v>131</v>
      </c>
      <c r="AC3814" t="s">
        <v>51</v>
      </c>
      <c r="AD3814" t="s">
        <v>45</v>
      </c>
      <c r="AE3814" s="1">
        <v>25078</v>
      </c>
      <c r="AF3814">
        <v>1</v>
      </c>
      <c r="AG3814" t="s">
        <v>269</v>
      </c>
      <c r="AH3814" s="36">
        <f t="shared" si="59"/>
        <v>51.052777777777777</v>
      </c>
      <c r="AI3814" s="41" t="s">
        <v>1781</v>
      </c>
    </row>
    <row r="3815" spans="1:35" x14ac:dyDescent="0.25">
      <c r="A3815" s="36">
        <v>99913813</v>
      </c>
      <c r="B3815" s="17" t="s">
        <v>32</v>
      </c>
      <c r="C3815" t="s">
        <v>79</v>
      </c>
      <c r="D3815" t="s">
        <v>80</v>
      </c>
      <c r="G3815" s="17" t="s">
        <v>35</v>
      </c>
      <c r="H3815" s="17">
        <v>1</v>
      </c>
      <c r="I3815" t="s">
        <v>681</v>
      </c>
      <c r="J3815" s="1">
        <v>43344</v>
      </c>
      <c r="K3815" t="s">
        <v>268</v>
      </c>
      <c r="L3815" t="s">
        <v>269</v>
      </c>
      <c r="M3815" t="s">
        <v>131</v>
      </c>
      <c r="N3815">
        <v>21</v>
      </c>
      <c r="O3815" t="s">
        <v>40</v>
      </c>
      <c r="S3815" t="s">
        <v>40</v>
      </c>
      <c r="U3815" s="1">
        <v>43344</v>
      </c>
      <c r="V3815" t="s">
        <v>41</v>
      </c>
      <c r="W3815" t="s">
        <v>75</v>
      </c>
      <c r="X3815" t="str">
        <f>"7052020"</f>
        <v>7052020</v>
      </c>
      <c r="Y3815" t="s">
        <v>267</v>
      </c>
      <c r="Z3815" t="s">
        <v>268</v>
      </c>
      <c r="AA3815" t="s">
        <v>269</v>
      </c>
      <c r="AB3815" t="s">
        <v>131</v>
      </c>
      <c r="AC3815" t="s">
        <v>51</v>
      </c>
      <c r="AD3815" t="s">
        <v>45</v>
      </c>
      <c r="AE3815" s="1">
        <v>25078</v>
      </c>
      <c r="AF3815">
        <v>1</v>
      </c>
      <c r="AG3815" t="s">
        <v>269</v>
      </c>
      <c r="AH3815" s="36">
        <f t="shared" si="59"/>
        <v>51.052777777777777</v>
      </c>
      <c r="AI3815" s="41" t="s">
        <v>1781</v>
      </c>
    </row>
    <row r="3816" spans="1:35" x14ac:dyDescent="0.25">
      <c r="A3816" s="36">
        <v>99913814</v>
      </c>
      <c r="B3816" s="17" t="s">
        <v>56</v>
      </c>
      <c r="C3816" t="s">
        <v>52</v>
      </c>
      <c r="D3816" t="s">
        <v>53</v>
      </c>
      <c r="G3816" s="17" t="s">
        <v>48</v>
      </c>
      <c r="H3816" s="17">
        <v>1</v>
      </c>
      <c r="K3816" t="s">
        <v>1051</v>
      </c>
      <c r="L3816" t="s">
        <v>1052</v>
      </c>
      <c r="M3816" t="s">
        <v>1053</v>
      </c>
      <c r="N3816">
        <v>25</v>
      </c>
      <c r="O3816" t="s">
        <v>40</v>
      </c>
      <c r="P3816" t="s">
        <v>40</v>
      </c>
      <c r="Q3816" t="s">
        <v>40</v>
      </c>
      <c r="R3816" t="s">
        <v>40</v>
      </c>
      <c r="S3816" t="s">
        <v>40</v>
      </c>
      <c r="V3816" t="s">
        <v>41</v>
      </c>
      <c r="W3816" t="s">
        <v>49</v>
      </c>
      <c r="X3816" t="str">
        <f>"2080025"</f>
        <v>2080025</v>
      </c>
      <c r="Y3816" t="s">
        <v>1057</v>
      </c>
      <c r="Z3816" t="s">
        <v>1051</v>
      </c>
      <c r="AA3816" t="s">
        <v>1052</v>
      </c>
      <c r="AB3816" t="s">
        <v>1053</v>
      </c>
      <c r="AC3816" t="s">
        <v>51</v>
      </c>
      <c r="AD3816" t="s">
        <v>45</v>
      </c>
      <c r="AE3816" s="1">
        <v>25078</v>
      </c>
      <c r="AF3816">
        <v>2</v>
      </c>
      <c r="AG3816" t="s">
        <v>1052</v>
      </c>
      <c r="AH3816" s="36">
        <f t="shared" si="59"/>
        <v>51.052777777777777</v>
      </c>
      <c r="AI3816" s="41" t="s">
        <v>1781</v>
      </c>
    </row>
    <row r="3817" spans="1:35" x14ac:dyDescent="0.25">
      <c r="A3817" s="36">
        <v>99913815</v>
      </c>
      <c r="B3817" s="17" t="s">
        <v>32</v>
      </c>
      <c r="C3817" t="s">
        <v>64</v>
      </c>
      <c r="D3817" t="s">
        <v>65</v>
      </c>
      <c r="G3817" s="17" t="s">
        <v>35</v>
      </c>
      <c r="H3817" s="17">
        <v>1</v>
      </c>
      <c r="I3817">
        <v>18104</v>
      </c>
      <c r="J3817" s="1">
        <v>43344</v>
      </c>
      <c r="K3817" t="s">
        <v>345</v>
      </c>
      <c r="L3817" t="s">
        <v>346</v>
      </c>
      <c r="M3817" t="s">
        <v>131</v>
      </c>
      <c r="N3817">
        <v>6</v>
      </c>
      <c r="O3817" t="s">
        <v>40</v>
      </c>
      <c r="S3817" t="s">
        <v>40</v>
      </c>
      <c r="U3817" s="1">
        <v>43344</v>
      </c>
      <c r="V3817" t="s">
        <v>41</v>
      </c>
      <c r="W3817" t="s">
        <v>367</v>
      </c>
      <c r="X3817" t="str">
        <f>"0580655"</f>
        <v>0580655</v>
      </c>
      <c r="Y3817" t="s">
        <v>368</v>
      </c>
      <c r="Z3817" t="s">
        <v>345</v>
      </c>
      <c r="AA3817" t="s">
        <v>346</v>
      </c>
      <c r="AB3817" t="s">
        <v>131</v>
      </c>
      <c r="AC3817" t="s">
        <v>51</v>
      </c>
      <c r="AD3817" t="s">
        <v>45</v>
      </c>
      <c r="AE3817" s="1">
        <v>25077</v>
      </c>
      <c r="AF3817">
        <v>2</v>
      </c>
      <c r="AG3817" t="s">
        <v>346</v>
      </c>
      <c r="AH3817" s="36">
        <f t="shared" si="59"/>
        <v>51.055555555555557</v>
      </c>
      <c r="AI3817" s="41" t="s">
        <v>1781</v>
      </c>
    </row>
    <row r="3818" spans="1:35" x14ac:dyDescent="0.25">
      <c r="A3818" s="36">
        <v>99913816</v>
      </c>
      <c r="B3818" s="17" t="s">
        <v>32</v>
      </c>
      <c r="C3818" t="s">
        <v>90</v>
      </c>
      <c r="D3818" t="s">
        <v>91</v>
      </c>
      <c r="G3818" s="17" t="s">
        <v>48</v>
      </c>
      <c r="H3818" s="17">
        <v>1</v>
      </c>
      <c r="K3818" t="s">
        <v>1334</v>
      </c>
      <c r="L3818" t="s">
        <v>1335</v>
      </c>
      <c r="M3818" t="s">
        <v>1270</v>
      </c>
      <c r="N3818">
        <v>25</v>
      </c>
      <c r="O3818" t="s">
        <v>40</v>
      </c>
      <c r="P3818" t="s">
        <v>40</v>
      </c>
      <c r="Q3818" t="s">
        <v>40</v>
      </c>
      <c r="S3818" t="s">
        <v>40</v>
      </c>
      <c r="V3818" t="s">
        <v>41</v>
      </c>
      <c r="W3818" t="s">
        <v>95</v>
      </c>
      <c r="X3818" t="str">
        <f>"7391009"</f>
        <v>7391009</v>
      </c>
      <c r="Y3818" t="s">
        <v>1472</v>
      </c>
      <c r="Z3818" t="s">
        <v>1334</v>
      </c>
      <c r="AA3818" t="s">
        <v>1335</v>
      </c>
      <c r="AB3818" t="s">
        <v>1270</v>
      </c>
      <c r="AC3818" t="s">
        <v>51</v>
      </c>
      <c r="AD3818" t="s">
        <v>45</v>
      </c>
      <c r="AE3818" s="1">
        <v>25070</v>
      </c>
      <c r="AF3818">
        <v>1</v>
      </c>
      <c r="AG3818" t="s">
        <v>1335</v>
      </c>
      <c r="AH3818" s="36">
        <f t="shared" si="59"/>
        <v>51.075000000000003</v>
      </c>
      <c r="AI3818" s="41" t="s">
        <v>1781</v>
      </c>
    </row>
    <row r="3819" spans="1:35" x14ac:dyDescent="0.25">
      <c r="A3819" s="36">
        <v>99913817</v>
      </c>
      <c r="B3819" s="17" t="s">
        <v>32</v>
      </c>
      <c r="C3819" t="s">
        <v>46</v>
      </c>
      <c r="D3819" t="s">
        <v>47</v>
      </c>
      <c r="G3819" s="17" t="s">
        <v>48</v>
      </c>
      <c r="H3819" s="17">
        <v>1</v>
      </c>
      <c r="K3819" t="s">
        <v>162</v>
      </c>
      <c r="L3819" t="s">
        <v>158</v>
      </c>
      <c r="M3819" t="s">
        <v>131</v>
      </c>
      <c r="N3819">
        <v>20</v>
      </c>
      <c r="O3819" t="s">
        <v>40</v>
      </c>
      <c r="P3819" t="s">
        <v>40</v>
      </c>
      <c r="Q3819" t="s">
        <v>40</v>
      </c>
      <c r="S3819" t="s">
        <v>40</v>
      </c>
      <c r="V3819" t="s">
        <v>41</v>
      </c>
      <c r="W3819" t="s">
        <v>42</v>
      </c>
      <c r="X3819" t="str">
        <f>"0580330"</f>
        <v>0580330</v>
      </c>
      <c r="Y3819" t="s">
        <v>176</v>
      </c>
      <c r="Z3819" t="s">
        <v>162</v>
      </c>
      <c r="AA3819" t="s">
        <v>158</v>
      </c>
      <c r="AB3819" t="s">
        <v>131</v>
      </c>
      <c r="AC3819" t="s">
        <v>51</v>
      </c>
      <c r="AD3819" t="s">
        <v>45</v>
      </c>
      <c r="AE3819" s="1">
        <v>25068</v>
      </c>
      <c r="AF3819">
        <v>2</v>
      </c>
      <c r="AG3819" t="s">
        <v>158</v>
      </c>
      <c r="AH3819" s="36">
        <f t="shared" si="59"/>
        <v>51.080555555555556</v>
      </c>
      <c r="AI3819" s="41" t="s">
        <v>1781</v>
      </c>
    </row>
    <row r="3820" spans="1:35" x14ac:dyDescent="0.25">
      <c r="A3820" s="36">
        <v>99913818</v>
      </c>
      <c r="B3820" s="17" t="s">
        <v>56</v>
      </c>
      <c r="C3820" t="s">
        <v>61</v>
      </c>
      <c r="D3820" t="s">
        <v>62</v>
      </c>
      <c r="G3820" s="17" t="s">
        <v>48</v>
      </c>
      <c r="H3820" s="17">
        <v>1</v>
      </c>
      <c r="K3820" t="s">
        <v>162</v>
      </c>
      <c r="L3820" t="s">
        <v>158</v>
      </c>
      <c r="M3820" t="s">
        <v>131</v>
      </c>
      <c r="N3820">
        <v>20</v>
      </c>
      <c r="O3820" t="s">
        <v>40</v>
      </c>
      <c r="P3820" t="s">
        <v>40</v>
      </c>
      <c r="Q3820" t="s">
        <v>40</v>
      </c>
      <c r="S3820" t="s">
        <v>40</v>
      </c>
      <c r="V3820" t="s">
        <v>41</v>
      </c>
      <c r="W3820" t="s">
        <v>42</v>
      </c>
      <c r="X3820" t="str">
        <f>"0580325"</f>
        <v>0580325</v>
      </c>
      <c r="Y3820" t="s">
        <v>170</v>
      </c>
      <c r="Z3820" t="s">
        <v>162</v>
      </c>
      <c r="AA3820" t="s">
        <v>158</v>
      </c>
      <c r="AB3820" t="s">
        <v>131</v>
      </c>
      <c r="AC3820" t="s">
        <v>51</v>
      </c>
      <c r="AD3820" t="s">
        <v>45</v>
      </c>
      <c r="AE3820" s="1">
        <v>25068</v>
      </c>
      <c r="AF3820">
        <v>2</v>
      </c>
      <c r="AG3820" t="s">
        <v>158</v>
      </c>
      <c r="AH3820" s="36">
        <f t="shared" si="59"/>
        <v>51.080555555555556</v>
      </c>
      <c r="AI3820" s="41" t="s">
        <v>1781</v>
      </c>
    </row>
    <row r="3821" spans="1:35" x14ac:dyDescent="0.25">
      <c r="A3821" s="36">
        <v>99913819</v>
      </c>
      <c r="B3821" s="17" t="s">
        <v>32</v>
      </c>
      <c r="C3821" t="s">
        <v>79</v>
      </c>
      <c r="D3821" t="s">
        <v>80</v>
      </c>
      <c r="G3821" s="17" t="s">
        <v>48</v>
      </c>
      <c r="H3821" s="17">
        <v>11</v>
      </c>
      <c r="K3821" t="s">
        <v>1426</v>
      </c>
      <c r="L3821" t="s">
        <v>1427</v>
      </c>
      <c r="M3821" t="s">
        <v>1270</v>
      </c>
      <c r="N3821">
        <v>22</v>
      </c>
      <c r="O3821" t="s">
        <v>40</v>
      </c>
      <c r="P3821" t="s">
        <v>40</v>
      </c>
      <c r="Q3821" t="s">
        <v>40</v>
      </c>
      <c r="R3821" t="s">
        <v>40</v>
      </c>
      <c r="S3821" t="s">
        <v>40</v>
      </c>
      <c r="V3821" t="s">
        <v>41</v>
      </c>
      <c r="W3821" t="s">
        <v>75</v>
      </c>
      <c r="X3821" t="str">
        <f>"7192000"</f>
        <v>7192000</v>
      </c>
      <c r="Y3821" t="s">
        <v>1429</v>
      </c>
      <c r="Z3821" t="s">
        <v>1426</v>
      </c>
      <c r="AA3821" t="s">
        <v>1427</v>
      </c>
      <c r="AB3821" t="s">
        <v>1270</v>
      </c>
      <c r="AC3821" t="s">
        <v>51</v>
      </c>
      <c r="AD3821" t="s">
        <v>45</v>
      </c>
      <c r="AE3821" s="1">
        <v>25066</v>
      </c>
      <c r="AF3821">
        <v>1</v>
      </c>
      <c r="AG3821" t="s">
        <v>1427</v>
      </c>
      <c r="AH3821" s="36">
        <f t="shared" si="59"/>
        <v>51.086111111111109</v>
      </c>
      <c r="AI3821" s="41" t="s">
        <v>1781</v>
      </c>
    </row>
    <row r="3822" spans="1:35" x14ac:dyDescent="0.25">
      <c r="A3822" s="36">
        <v>99913820</v>
      </c>
      <c r="B3822" s="17" t="s">
        <v>32</v>
      </c>
      <c r="C3822" t="s">
        <v>111</v>
      </c>
      <c r="D3822" t="s">
        <v>112</v>
      </c>
      <c r="G3822" s="17" t="s">
        <v>48</v>
      </c>
      <c r="H3822" s="17">
        <v>14</v>
      </c>
      <c r="K3822" t="s">
        <v>195</v>
      </c>
      <c r="L3822" t="s">
        <v>196</v>
      </c>
      <c r="M3822" t="s">
        <v>131</v>
      </c>
      <c r="N3822">
        <v>21</v>
      </c>
      <c r="O3822" t="s">
        <v>40</v>
      </c>
      <c r="P3822" t="s">
        <v>40</v>
      </c>
      <c r="Q3822" t="s">
        <v>40</v>
      </c>
      <c r="R3822" t="s">
        <v>40</v>
      </c>
      <c r="S3822" t="s">
        <v>40</v>
      </c>
      <c r="U3822" s="1">
        <v>36055</v>
      </c>
      <c r="V3822" t="s">
        <v>41</v>
      </c>
      <c r="W3822" t="s">
        <v>75</v>
      </c>
      <c r="X3822" t="str">
        <f>"7521044"</f>
        <v>7521044</v>
      </c>
      <c r="Y3822" t="s">
        <v>453</v>
      </c>
      <c r="Z3822" t="s">
        <v>195</v>
      </c>
      <c r="AA3822" t="s">
        <v>196</v>
      </c>
      <c r="AB3822" t="s">
        <v>131</v>
      </c>
      <c r="AC3822" t="s">
        <v>165</v>
      </c>
      <c r="AD3822" t="s">
        <v>45</v>
      </c>
      <c r="AE3822" s="1">
        <v>25065</v>
      </c>
      <c r="AF3822">
        <v>1</v>
      </c>
      <c r="AG3822" t="s">
        <v>196</v>
      </c>
      <c r="AH3822" s="36">
        <f t="shared" si="59"/>
        <v>51.088888888888889</v>
      </c>
      <c r="AI3822" s="41" t="s">
        <v>1781</v>
      </c>
    </row>
    <row r="3823" spans="1:35" x14ac:dyDescent="0.25">
      <c r="A3823" s="36">
        <v>99913821</v>
      </c>
      <c r="B3823" s="17" t="s">
        <v>32</v>
      </c>
      <c r="C3823" t="s">
        <v>90</v>
      </c>
      <c r="D3823" t="s">
        <v>91</v>
      </c>
      <c r="G3823" s="17" t="s">
        <v>35</v>
      </c>
      <c r="H3823" s="17">
        <v>1</v>
      </c>
      <c r="I3823">
        <v>9415</v>
      </c>
      <c r="J3823" s="1">
        <v>43344</v>
      </c>
      <c r="K3823" t="s">
        <v>1198</v>
      </c>
      <c r="L3823" t="s">
        <v>1199</v>
      </c>
      <c r="M3823" t="s">
        <v>1130</v>
      </c>
      <c r="N3823">
        <v>25</v>
      </c>
      <c r="O3823" t="s">
        <v>40</v>
      </c>
      <c r="S3823" t="s">
        <v>40</v>
      </c>
      <c r="U3823" s="1">
        <v>43344</v>
      </c>
      <c r="V3823" t="s">
        <v>41</v>
      </c>
      <c r="W3823" t="s">
        <v>95</v>
      </c>
      <c r="X3823" t="str">
        <f>"7311007"</f>
        <v>7311007</v>
      </c>
      <c r="Y3823" t="s">
        <v>1209</v>
      </c>
      <c r="Z3823" t="s">
        <v>1198</v>
      </c>
      <c r="AA3823" t="s">
        <v>1199</v>
      </c>
      <c r="AB3823" t="s">
        <v>1130</v>
      </c>
      <c r="AC3823" t="s">
        <v>44</v>
      </c>
      <c r="AD3823" t="s">
        <v>45</v>
      </c>
      <c r="AE3823" s="1">
        <v>25065</v>
      </c>
      <c r="AF3823">
        <v>1</v>
      </c>
      <c r="AG3823" t="s">
        <v>1199</v>
      </c>
      <c r="AH3823" s="36">
        <f t="shared" si="59"/>
        <v>51.088888888888889</v>
      </c>
      <c r="AI3823" s="41" t="s">
        <v>1781</v>
      </c>
    </row>
    <row r="3824" spans="1:35" x14ac:dyDescent="0.25">
      <c r="A3824" s="36">
        <v>99913822</v>
      </c>
      <c r="B3824" s="17" t="s">
        <v>32</v>
      </c>
      <c r="C3824" t="s">
        <v>90</v>
      </c>
      <c r="D3824" t="s">
        <v>91</v>
      </c>
      <c r="G3824" s="17" t="s">
        <v>35</v>
      </c>
      <c r="H3824" s="17">
        <v>1</v>
      </c>
      <c r="I3824" t="s">
        <v>1089</v>
      </c>
      <c r="J3824" s="1">
        <v>43344</v>
      </c>
      <c r="K3824" t="s">
        <v>1081</v>
      </c>
      <c r="L3824" t="s">
        <v>1082</v>
      </c>
      <c r="M3824" t="s">
        <v>1053</v>
      </c>
      <c r="N3824">
        <v>25</v>
      </c>
      <c r="O3824" t="s">
        <v>40</v>
      </c>
      <c r="S3824" t="s">
        <v>40</v>
      </c>
      <c r="U3824" s="1">
        <v>43344</v>
      </c>
      <c r="V3824" t="s">
        <v>41</v>
      </c>
      <c r="W3824" t="s">
        <v>95</v>
      </c>
      <c r="X3824" t="str">
        <f>"7201013"</f>
        <v>7201013</v>
      </c>
      <c r="Y3824" t="s">
        <v>1122</v>
      </c>
      <c r="Z3824" t="s">
        <v>1081</v>
      </c>
      <c r="AA3824" t="s">
        <v>1082</v>
      </c>
      <c r="AB3824" t="s">
        <v>1053</v>
      </c>
      <c r="AC3824" t="s">
        <v>51</v>
      </c>
      <c r="AD3824" t="s">
        <v>45</v>
      </c>
      <c r="AE3824" s="1">
        <v>25061</v>
      </c>
      <c r="AF3824">
        <v>1</v>
      </c>
      <c r="AG3824" t="s">
        <v>1082</v>
      </c>
      <c r="AH3824" s="36">
        <f t="shared" si="59"/>
        <v>51.1</v>
      </c>
      <c r="AI3824" s="41" t="s">
        <v>1781</v>
      </c>
    </row>
    <row r="3825" spans="1:35" x14ac:dyDescent="0.25">
      <c r="A3825" s="36">
        <v>99913823</v>
      </c>
      <c r="B3825" s="17" t="s">
        <v>56</v>
      </c>
      <c r="C3825" t="s">
        <v>61</v>
      </c>
      <c r="D3825" t="s">
        <v>62</v>
      </c>
      <c r="G3825" s="17" t="s">
        <v>48</v>
      </c>
      <c r="H3825" s="17">
        <v>1</v>
      </c>
      <c r="K3825" t="s">
        <v>129</v>
      </c>
      <c r="L3825" t="s">
        <v>130</v>
      </c>
      <c r="M3825" t="s">
        <v>131</v>
      </c>
      <c r="N3825">
        <v>20</v>
      </c>
      <c r="O3825" t="s">
        <v>40</v>
      </c>
      <c r="P3825" t="s">
        <v>40</v>
      </c>
      <c r="Q3825" t="s">
        <v>40</v>
      </c>
      <c r="R3825" t="s">
        <v>40</v>
      </c>
      <c r="S3825" t="s">
        <v>40</v>
      </c>
      <c r="V3825" t="s">
        <v>41</v>
      </c>
      <c r="W3825" t="s">
        <v>42</v>
      </c>
      <c r="X3825" t="str">
        <f>"0590905"</f>
        <v>0590905</v>
      </c>
      <c r="Y3825" t="s">
        <v>133</v>
      </c>
      <c r="Z3825" t="s">
        <v>129</v>
      </c>
      <c r="AA3825" t="s">
        <v>130</v>
      </c>
      <c r="AB3825" t="s">
        <v>131</v>
      </c>
      <c r="AC3825" t="s">
        <v>51</v>
      </c>
      <c r="AD3825" t="s">
        <v>45</v>
      </c>
      <c r="AE3825" s="1">
        <v>25060</v>
      </c>
      <c r="AF3825">
        <v>2</v>
      </c>
      <c r="AG3825" t="s">
        <v>130</v>
      </c>
      <c r="AH3825" s="36">
        <f t="shared" si="59"/>
        <v>51.102777777777774</v>
      </c>
      <c r="AI3825" s="41" t="s">
        <v>1781</v>
      </c>
    </row>
    <row r="3826" spans="1:35" x14ac:dyDescent="0.25">
      <c r="A3826" s="36">
        <v>99913824</v>
      </c>
      <c r="B3826" s="17" t="s">
        <v>56</v>
      </c>
      <c r="C3826" t="s">
        <v>33</v>
      </c>
      <c r="D3826" t="s">
        <v>34</v>
      </c>
      <c r="G3826" s="17" t="s">
        <v>35</v>
      </c>
      <c r="H3826" s="17">
        <v>1</v>
      </c>
      <c r="K3826" t="s">
        <v>157</v>
      </c>
      <c r="L3826" t="s">
        <v>158</v>
      </c>
      <c r="M3826" t="s">
        <v>131</v>
      </c>
      <c r="N3826">
        <v>30</v>
      </c>
      <c r="O3826" t="s">
        <v>40</v>
      </c>
      <c r="P3826" t="s">
        <v>40</v>
      </c>
      <c r="Q3826" t="s">
        <v>40</v>
      </c>
      <c r="S3826" t="s">
        <v>40</v>
      </c>
      <c r="V3826" t="s">
        <v>41</v>
      </c>
      <c r="W3826" t="s">
        <v>42</v>
      </c>
      <c r="X3826" t="str">
        <f>"0580725"</f>
        <v>0580725</v>
      </c>
      <c r="Y3826" t="s">
        <v>167</v>
      </c>
      <c r="Z3826" t="s">
        <v>157</v>
      </c>
      <c r="AA3826" t="s">
        <v>158</v>
      </c>
      <c r="AB3826" t="s">
        <v>131</v>
      </c>
      <c r="AC3826" t="s">
        <v>51</v>
      </c>
      <c r="AD3826" t="s">
        <v>45</v>
      </c>
      <c r="AE3826" s="1">
        <v>25057</v>
      </c>
      <c r="AF3826">
        <v>2</v>
      </c>
      <c r="AG3826" t="s">
        <v>158</v>
      </c>
      <c r="AH3826" s="36">
        <f t="shared" si="59"/>
        <v>51.111111111111114</v>
      </c>
      <c r="AI3826" s="41" t="s">
        <v>1781</v>
      </c>
    </row>
    <row r="3827" spans="1:35" x14ac:dyDescent="0.25">
      <c r="A3827" s="36">
        <v>99913825</v>
      </c>
      <c r="B3827" s="17" t="s">
        <v>32</v>
      </c>
      <c r="C3827" t="s">
        <v>46</v>
      </c>
      <c r="D3827" t="s">
        <v>47</v>
      </c>
      <c r="G3827" s="17" t="s">
        <v>35</v>
      </c>
      <c r="H3827" s="17">
        <v>12</v>
      </c>
      <c r="I3827" t="s">
        <v>358</v>
      </c>
      <c r="J3827" s="1">
        <v>43344</v>
      </c>
      <c r="K3827" t="s">
        <v>345</v>
      </c>
      <c r="L3827" t="s">
        <v>346</v>
      </c>
      <c r="M3827" t="s">
        <v>131</v>
      </c>
      <c r="N3827">
        <v>20</v>
      </c>
      <c r="O3827" t="s">
        <v>40</v>
      </c>
      <c r="P3827" t="s">
        <v>40</v>
      </c>
      <c r="Q3827" t="s">
        <v>40</v>
      </c>
      <c r="R3827" t="s">
        <v>40</v>
      </c>
      <c r="S3827" t="s">
        <v>40</v>
      </c>
      <c r="U3827" s="1">
        <v>43344</v>
      </c>
      <c r="V3827" t="s">
        <v>41</v>
      </c>
      <c r="W3827" t="s">
        <v>42</v>
      </c>
      <c r="X3827" t="str">
        <f>"0580615"</f>
        <v>0580615</v>
      </c>
      <c r="Y3827" t="s">
        <v>364</v>
      </c>
      <c r="Z3827" t="s">
        <v>345</v>
      </c>
      <c r="AA3827" t="s">
        <v>346</v>
      </c>
      <c r="AB3827" t="s">
        <v>131</v>
      </c>
      <c r="AC3827" t="s">
        <v>51</v>
      </c>
      <c r="AD3827" t="s">
        <v>45</v>
      </c>
      <c r="AE3827" s="1">
        <v>25055</v>
      </c>
      <c r="AF3827">
        <v>2</v>
      </c>
      <c r="AG3827" t="s">
        <v>346</v>
      </c>
      <c r="AH3827" s="36">
        <f t="shared" si="59"/>
        <v>51.116666666666667</v>
      </c>
      <c r="AI3827" s="41" t="s">
        <v>1781</v>
      </c>
    </row>
    <row r="3828" spans="1:35" x14ac:dyDescent="0.25">
      <c r="A3828" s="36">
        <v>99913826</v>
      </c>
      <c r="B3828" s="17" t="s">
        <v>32</v>
      </c>
      <c r="C3828" t="s">
        <v>90</v>
      </c>
      <c r="D3828" t="s">
        <v>91</v>
      </c>
      <c r="G3828" s="17" t="s">
        <v>48</v>
      </c>
      <c r="H3828" s="17">
        <v>1</v>
      </c>
      <c r="K3828" t="s">
        <v>1043</v>
      </c>
      <c r="L3828" t="s">
        <v>1044</v>
      </c>
      <c r="M3828" t="s">
        <v>1041</v>
      </c>
      <c r="N3828">
        <v>25</v>
      </c>
      <c r="O3828" t="s">
        <v>40</v>
      </c>
      <c r="P3828" t="s">
        <v>40</v>
      </c>
      <c r="Q3828" t="s">
        <v>40</v>
      </c>
      <c r="S3828" t="s">
        <v>40</v>
      </c>
      <c r="V3828" t="s">
        <v>41</v>
      </c>
      <c r="W3828" t="s">
        <v>95</v>
      </c>
      <c r="X3828" t="str">
        <f>"7271001"</f>
        <v>7271001</v>
      </c>
      <c r="Y3828" t="s">
        <v>1050</v>
      </c>
      <c r="Z3828" t="s">
        <v>1043</v>
      </c>
      <c r="AA3828" t="s">
        <v>1044</v>
      </c>
      <c r="AB3828" t="s">
        <v>1041</v>
      </c>
      <c r="AC3828" t="s">
        <v>51</v>
      </c>
      <c r="AD3828" t="s">
        <v>45</v>
      </c>
      <c r="AE3828" s="1">
        <v>25055</v>
      </c>
      <c r="AF3828">
        <v>1</v>
      </c>
      <c r="AG3828" t="s">
        <v>1044</v>
      </c>
      <c r="AH3828" s="36">
        <f t="shared" si="59"/>
        <v>51.116666666666667</v>
      </c>
      <c r="AI3828" s="41" t="s">
        <v>1781</v>
      </c>
    </row>
    <row r="3829" spans="1:35" x14ac:dyDescent="0.25">
      <c r="A3829" s="36">
        <v>99913827</v>
      </c>
      <c r="B3829" s="17" t="s">
        <v>32</v>
      </c>
      <c r="C3829" t="s">
        <v>64</v>
      </c>
      <c r="D3829" t="s">
        <v>65</v>
      </c>
      <c r="G3829" s="17" t="s">
        <v>35</v>
      </c>
      <c r="H3829" s="17">
        <v>1</v>
      </c>
      <c r="K3829" t="s">
        <v>162</v>
      </c>
      <c r="L3829" t="s">
        <v>158</v>
      </c>
      <c r="M3829" t="s">
        <v>131</v>
      </c>
      <c r="N3829">
        <v>18</v>
      </c>
      <c r="O3829" t="s">
        <v>40</v>
      </c>
      <c r="P3829" t="s">
        <v>40</v>
      </c>
      <c r="Q3829" t="s">
        <v>40</v>
      </c>
      <c r="R3829" t="s">
        <v>40</v>
      </c>
      <c r="S3829" t="s">
        <v>40</v>
      </c>
      <c r="V3829" t="s">
        <v>41</v>
      </c>
      <c r="W3829" t="s">
        <v>49</v>
      </c>
      <c r="X3829" t="str">
        <f>"0505050"</f>
        <v>0505050</v>
      </c>
      <c r="Y3829" t="s">
        <v>163</v>
      </c>
      <c r="Z3829" t="s">
        <v>162</v>
      </c>
      <c r="AA3829" t="s">
        <v>158</v>
      </c>
      <c r="AB3829" t="s">
        <v>131</v>
      </c>
      <c r="AC3829" t="s">
        <v>165</v>
      </c>
      <c r="AD3829" t="s">
        <v>45</v>
      </c>
      <c r="AE3829" s="1">
        <v>25054</v>
      </c>
      <c r="AF3829">
        <v>2</v>
      </c>
      <c r="AG3829" t="s">
        <v>158</v>
      </c>
      <c r="AH3829" s="36">
        <f t="shared" si="59"/>
        <v>51.119444444444447</v>
      </c>
      <c r="AI3829" s="41" t="s">
        <v>1781</v>
      </c>
    </row>
    <row r="3830" spans="1:35" x14ac:dyDescent="0.25">
      <c r="A3830" s="36">
        <v>99913828</v>
      </c>
      <c r="B3830" s="17" t="s">
        <v>32</v>
      </c>
      <c r="C3830" t="s">
        <v>46</v>
      </c>
      <c r="D3830" t="s">
        <v>47</v>
      </c>
      <c r="G3830" s="17" t="s">
        <v>35</v>
      </c>
      <c r="H3830" s="17">
        <v>1</v>
      </c>
      <c r="K3830" t="s">
        <v>223</v>
      </c>
      <c r="L3830" t="s">
        <v>224</v>
      </c>
      <c r="M3830" t="s">
        <v>131</v>
      </c>
      <c r="N3830">
        <v>18</v>
      </c>
      <c r="O3830" t="s">
        <v>40</v>
      </c>
      <c r="P3830" t="s">
        <v>40</v>
      </c>
      <c r="Q3830" t="s">
        <v>40</v>
      </c>
      <c r="R3830" t="s">
        <v>40</v>
      </c>
      <c r="S3830" t="s">
        <v>40</v>
      </c>
      <c r="V3830" t="s">
        <v>41</v>
      </c>
      <c r="W3830" t="s">
        <v>49</v>
      </c>
      <c r="X3830" t="str">
        <f>"0591901"</f>
        <v>0591901</v>
      </c>
      <c r="Y3830" t="s">
        <v>230</v>
      </c>
      <c r="Z3830" t="s">
        <v>223</v>
      </c>
      <c r="AA3830" t="s">
        <v>224</v>
      </c>
      <c r="AB3830" t="s">
        <v>131</v>
      </c>
      <c r="AC3830" t="s">
        <v>165</v>
      </c>
      <c r="AD3830" t="s">
        <v>45</v>
      </c>
      <c r="AE3830" s="1">
        <v>25054</v>
      </c>
      <c r="AF3830">
        <v>2</v>
      </c>
      <c r="AG3830" t="s">
        <v>224</v>
      </c>
      <c r="AH3830" s="36">
        <f t="shared" si="59"/>
        <v>51.119444444444447</v>
      </c>
      <c r="AI3830" s="41" t="s">
        <v>1781</v>
      </c>
    </row>
    <row r="3831" spans="1:35" x14ac:dyDescent="0.25">
      <c r="A3831" s="36">
        <v>99913829</v>
      </c>
      <c r="B3831" s="17" t="s">
        <v>32</v>
      </c>
      <c r="C3831" t="s">
        <v>71</v>
      </c>
      <c r="D3831" t="s">
        <v>72</v>
      </c>
      <c r="G3831" s="17" t="s">
        <v>35</v>
      </c>
      <c r="H3831" s="17">
        <v>5</v>
      </c>
      <c r="K3831" t="s">
        <v>268</v>
      </c>
      <c r="L3831" t="s">
        <v>269</v>
      </c>
      <c r="M3831" t="s">
        <v>131</v>
      </c>
      <c r="N3831">
        <v>23</v>
      </c>
      <c r="O3831" t="s">
        <v>40</v>
      </c>
      <c r="P3831" t="s">
        <v>40</v>
      </c>
      <c r="Q3831" t="s">
        <v>40</v>
      </c>
      <c r="R3831" t="s">
        <v>40</v>
      </c>
      <c r="S3831" t="s">
        <v>40</v>
      </c>
      <c r="V3831" t="s">
        <v>41</v>
      </c>
      <c r="W3831" t="s">
        <v>75</v>
      </c>
      <c r="X3831" t="str">
        <f>"7052006"</f>
        <v>7052006</v>
      </c>
      <c r="Y3831" t="s">
        <v>575</v>
      </c>
      <c r="Z3831" t="s">
        <v>268</v>
      </c>
      <c r="AA3831" t="s">
        <v>269</v>
      </c>
      <c r="AB3831" t="s">
        <v>131</v>
      </c>
      <c r="AC3831" t="s">
        <v>51</v>
      </c>
      <c r="AD3831" t="s">
        <v>45</v>
      </c>
      <c r="AE3831" s="1">
        <v>25054</v>
      </c>
      <c r="AF3831">
        <v>1</v>
      </c>
      <c r="AG3831" t="s">
        <v>269</v>
      </c>
      <c r="AH3831" s="36">
        <f t="shared" si="59"/>
        <v>51.119444444444447</v>
      </c>
      <c r="AI3831" s="41" t="s">
        <v>1781</v>
      </c>
    </row>
    <row r="3832" spans="1:35" x14ac:dyDescent="0.25">
      <c r="A3832" s="36">
        <v>99913830</v>
      </c>
      <c r="B3832" s="17" t="s">
        <v>32</v>
      </c>
      <c r="C3832" t="s">
        <v>90</v>
      </c>
      <c r="D3832" t="s">
        <v>91</v>
      </c>
      <c r="G3832" s="17" t="s">
        <v>48</v>
      </c>
      <c r="H3832" s="17">
        <v>4</v>
      </c>
      <c r="K3832" t="s">
        <v>963</v>
      </c>
      <c r="L3832" t="s">
        <v>964</v>
      </c>
      <c r="M3832" t="s">
        <v>938</v>
      </c>
      <c r="N3832">
        <v>25</v>
      </c>
      <c r="O3832" t="s">
        <v>40</v>
      </c>
      <c r="P3832" t="s">
        <v>40</v>
      </c>
      <c r="Q3832" t="s">
        <v>40</v>
      </c>
      <c r="R3832" t="s">
        <v>40</v>
      </c>
      <c r="S3832" t="s">
        <v>40</v>
      </c>
      <c r="V3832" t="s">
        <v>41</v>
      </c>
      <c r="W3832" t="s">
        <v>95</v>
      </c>
      <c r="X3832" t="str">
        <f>"7061031"</f>
        <v>7061031</v>
      </c>
      <c r="Y3832" t="s">
        <v>1009</v>
      </c>
      <c r="Z3832" t="s">
        <v>963</v>
      </c>
      <c r="AA3832" t="s">
        <v>964</v>
      </c>
      <c r="AB3832" t="s">
        <v>938</v>
      </c>
      <c r="AC3832" t="s">
        <v>51</v>
      </c>
      <c r="AD3832" t="s">
        <v>45</v>
      </c>
      <c r="AE3832" s="1">
        <v>25052</v>
      </c>
      <c r="AF3832">
        <v>1</v>
      </c>
      <c r="AG3832" t="s">
        <v>964</v>
      </c>
      <c r="AH3832" s="36">
        <f t="shared" si="59"/>
        <v>51.125</v>
      </c>
      <c r="AI3832" s="41" t="s">
        <v>1781</v>
      </c>
    </row>
    <row r="3833" spans="1:35" x14ac:dyDescent="0.25">
      <c r="A3833" s="36">
        <v>99913831</v>
      </c>
      <c r="B3833" s="17" t="s">
        <v>32</v>
      </c>
      <c r="C3833" t="s">
        <v>46</v>
      </c>
      <c r="D3833" t="s">
        <v>47</v>
      </c>
      <c r="G3833" s="17" t="s">
        <v>35</v>
      </c>
      <c r="H3833" s="17">
        <v>1</v>
      </c>
      <c r="I3833" t="s">
        <v>348</v>
      </c>
      <c r="J3833" s="1">
        <v>43344</v>
      </c>
      <c r="K3833" t="s">
        <v>345</v>
      </c>
      <c r="L3833" t="s">
        <v>346</v>
      </c>
      <c r="M3833" t="s">
        <v>131</v>
      </c>
      <c r="N3833">
        <v>18</v>
      </c>
      <c r="O3833" t="s">
        <v>40</v>
      </c>
      <c r="S3833" t="s">
        <v>40</v>
      </c>
      <c r="U3833" s="1">
        <v>43344</v>
      </c>
      <c r="V3833" t="s">
        <v>41</v>
      </c>
      <c r="W3833" t="s">
        <v>42</v>
      </c>
      <c r="X3833" t="str">
        <f>"0580155"</f>
        <v>0580155</v>
      </c>
      <c r="Y3833" t="s">
        <v>365</v>
      </c>
      <c r="Z3833" t="s">
        <v>345</v>
      </c>
      <c r="AA3833" t="s">
        <v>346</v>
      </c>
      <c r="AB3833" t="s">
        <v>131</v>
      </c>
      <c r="AC3833" t="s">
        <v>51</v>
      </c>
      <c r="AD3833" t="s">
        <v>45</v>
      </c>
      <c r="AE3833" s="1">
        <v>25048</v>
      </c>
      <c r="AF3833">
        <v>2</v>
      </c>
      <c r="AG3833" t="s">
        <v>346</v>
      </c>
      <c r="AH3833" s="36">
        <f t="shared" si="59"/>
        <v>51.136111111111113</v>
      </c>
      <c r="AI3833" s="41" t="s">
        <v>1781</v>
      </c>
    </row>
    <row r="3834" spans="1:35" x14ac:dyDescent="0.25">
      <c r="A3834" s="36">
        <v>99913832</v>
      </c>
      <c r="B3834" s="17" t="s">
        <v>32</v>
      </c>
      <c r="C3834" t="s">
        <v>111</v>
      </c>
      <c r="D3834" t="s">
        <v>112</v>
      </c>
      <c r="G3834" s="17" t="s">
        <v>35</v>
      </c>
      <c r="H3834" s="17">
        <v>1</v>
      </c>
      <c r="K3834" t="s">
        <v>354</v>
      </c>
      <c r="L3834" t="s">
        <v>355</v>
      </c>
      <c r="M3834" t="s">
        <v>131</v>
      </c>
      <c r="N3834">
        <v>22</v>
      </c>
      <c r="O3834" t="s">
        <v>40</v>
      </c>
      <c r="P3834" t="s">
        <v>40</v>
      </c>
      <c r="Q3834" t="s">
        <v>40</v>
      </c>
      <c r="S3834" t="s">
        <v>40</v>
      </c>
      <c r="V3834" t="s">
        <v>41</v>
      </c>
      <c r="W3834" t="s">
        <v>75</v>
      </c>
      <c r="X3834" t="str">
        <f>"7054020"</f>
        <v>7054020</v>
      </c>
      <c r="Y3834" t="s">
        <v>765</v>
      </c>
      <c r="Z3834" t="s">
        <v>354</v>
      </c>
      <c r="AA3834" t="s">
        <v>355</v>
      </c>
      <c r="AB3834" t="s">
        <v>131</v>
      </c>
      <c r="AC3834" t="s">
        <v>51</v>
      </c>
      <c r="AD3834" t="s">
        <v>45</v>
      </c>
      <c r="AE3834" s="1">
        <v>25047</v>
      </c>
      <c r="AF3834">
        <v>1</v>
      </c>
      <c r="AG3834" t="s">
        <v>355</v>
      </c>
      <c r="AH3834" s="36">
        <f t="shared" si="59"/>
        <v>51.138888888888886</v>
      </c>
      <c r="AI3834" s="41" t="s">
        <v>1781</v>
      </c>
    </row>
    <row r="3835" spans="1:35" x14ac:dyDescent="0.25">
      <c r="A3835" s="36">
        <v>99913833</v>
      </c>
      <c r="B3835" s="17" t="s">
        <v>32</v>
      </c>
      <c r="C3835" t="s">
        <v>90</v>
      </c>
      <c r="D3835" t="s">
        <v>91</v>
      </c>
      <c r="G3835" s="17" t="s">
        <v>35</v>
      </c>
      <c r="H3835" s="17">
        <v>1</v>
      </c>
      <c r="I3835" t="s">
        <v>286</v>
      </c>
      <c r="J3835" s="1">
        <v>43344</v>
      </c>
      <c r="K3835" t="s">
        <v>268</v>
      </c>
      <c r="L3835" t="s">
        <v>269</v>
      </c>
      <c r="M3835" t="s">
        <v>131</v>
      </c>
      <c r="N3835">
        <v>25</v>
      </c>
      <c r="O3835" t="s">
        <v>40</v>
      </c>
      <c r="S3835" t="s">
        <v>40</v>
      </c>
      <c r="V3835" t="s">
        <v>41</v>
      </c>
      <c r="W3835" t="s">
        <v>95</v>
      </c>
      <c r="X3835" t="str">
        <f>"7052013"</f>
        <v>7052013</v>
      </c>
      <c r="Y3835" t="s">
        <v>620</v>
      </c>
      <c r="Z3835" t="s">
        <v>268</v>
      </c>
      <c r="AA3835" t="s">
        <v>269</v>
      </c>
      <c r="AB3835" t="s">
        <v>131</v>
      </c>
      <c r="AC3835" t="s">
        <v>51</v>
      </c>
      <c r="AD3835" t="s">
        <v>45</v>
      </c>
      <c r="AE3835" s="1">
        <v>25044</v>
      </c>
      <c r="AF3835">
        <v>1</v>
      </c>
      <c r="AG3835" t="s">
        <v>269</v>
      </c>
      <c r="AH3835" s="36">
        <f t="shared" si="59"/>
        <v>51.147222222222226</v>
      </c>
      <c r="AI3835" s="41" t="s">
        <v>1781</v>
      </c>
    </row>
    <row r="3836" spans="1:35" x14ac:dyDescent="0.25">
      <c r="A3836" s="36">
        <v>99913834</v>
      </c>
      <c r="B3836" s="17" t="s">
        <v>56</v>
      </c>
      <c r="C3836" t="s">
        <v>33</v>
      </c>
      <c r="D3836" t="s">
        <v>34</v>
      </c>
      <c r="G3836" s="17" t="s">
        <v>48</v>
      </c>
      <c r="H3836" s="17">
        <v>1</v>
      </c>
      <c r="K3836" t="s">
        <v>380</v>
      </c>
      <c r="L3836" t="s">
        <v>381</v>
      </c>
      <c r="M3836" t="s">
        <v>131</v>
      </c>
      <c r="N3836">
        <v>20</v>
      </c>
      <c r="O3836" t="s">
        <v>40</v>
      </c>
      <c r="P3836" t="s">
        <v>40</v>
      </c>
      <c r="Q3836" t="s">
        <v>40</v>
      </c>
      <c r="R3836" t="s">
        <v>40</v>
      </c>
      <c r="S3836" t="s">
        <v>40</v>
      </c>
      <c r="V3836" t="s">
        <v>41</v>
      </c>
      <c r="W3836" t="s">
        <v>42</v>
      </c>
      <c r="X3836" t="str">
        <f>"0590908"</f>
        <v>0590908</v>
      </c>
      <c r="Y3836" t="s">
        <v>382</v>
      </c>
      <c r="Z3836" t="s">
        <v>380</v>
      </c>
      <c r="AA3836" t="s">
        <v>381</v>
      </c>
      <c r="AB3836" t="s">
        <v>131</v>
      </c>
      <c r="AC3836" t="s">
        <v>51</v>
      </c>
      <c r="AD3836" t="s">
        <v>45</v>
      </c>
      <c r="AE3836" s="1">
        <v>25043</v>
      </c>
      <c r="AF3836">
        <v>2</v>
      </c>
      <c r="AG3836" t="s">
        <v>381</v>
      </c>
      <c r="AH3836" s="36">
        <f t="shared" si="59"/>
        <v>51.15</v>
      </c>
      <c r="AI3836" s="41" t="s">
        <v>1781</v>
      </c>
    </row>
    <row r="3837" spans="1:35" x14ac:dyDescent="0.25">
      <c r="A3837" s="36">
        <v>99913835</v>
      </c>
      <c r="B3837" s="17" t="s">
        <v>32</v>
      </c>
      <c r="C3837" t="s">
        <v>46</v>
      </c>
      <c r="D3837" t="s">
        <v>47</v>
      </c>
      <c r="G3837" s="17" t="s">
        <v>48</v>
      </c>
      <c r="H3837" s="17">
        <v>1</v>
      </c>
      <c r="K3837" t="s">
        <v>223</v>
      </c>
      <c r="L3837" t="s">
        <v>224</v>
      </c>
      <c r="M3837" t="s">
        <v>131</v>
      </c>
      <c r="N3837">
        <v>20</v>
      </c>
      <c r="O3837" t="s">
        <v>40</v>
      </c>
      <c r="P3837" t="s">
        <v>40</v>
      </c>
      <c r="Q3837" t="s">
        <v>40</v>
      </c>
      <c r="S3837" t="s">
        <v>40</v>
      </c>
      <c r="V3837" t="s">
        <v>41</v>
      </c>
      <c r="W3837" t="s">
        <v>42</v>
      </c>
      <c r="X3837" t="str">
        <f>"0580265"</f>
        <v>0580265</v>
      </c>
      <c r="Y3837" t="s">
        <v>231</v>
      </c>
      <c r="Z3837" t="s">
        <v>223</v>
      </c>
      <c r="AA3837" t="s">
        <v>224</v>
      </c>
      <c r="AB3837" t="s">
        <v>131</v>
      </c>
      <c r="AC3837" t="s">
        <v>51</v>
      </c>
      <c r="AD3837" t="s">
        <v>45</v>
      </c>
      <c r="AE3837" s="1">
        <v>25036</v>
      </c>
      <c r="AF3837">
        <v>2</v>
      </c>
      <c r="AG3837" t="s">
        <v>224</v>
      </c>
      <c r="AH3837" s="36">
        <f t="shared" si="59"/>
        <v>51.169444444444444</v>
      </c>
      <c r="AI3837" s="41" t="s">
        <v>1781</v>
      </c>
    </row>
    <row r="3838" spans="1:35" x14ac:dyDescent="0.25">
      <c r="A3838" s="36">
        <v>99913836</v>
      </c>
      <c r="B3838" s="17" t="s">
        <v>56</v>
      </c>
      <c r="C3838" t="s">
        <v>141</v>
      </c>
      <c r="D3838" t="s">
        <v>142</v>
      </c>
      <c r="G3838" s="17" t="s">
        <v>35</v>
      </c>
      <c r="H3838" s="17">
        <v>1</v>
      </c>
      <c r="K3838" t="s">
        <v>223</v>
      </c>
      <c r="L3838" t="s">
        <v>224</v>
      </c>
      <c r="M3838" t="s">
        <v>131</v>
      </c>
      <c r="N3838">
        <v>18</v>
      </c>
      <c r="O3838" t="s">
        <v>40</v>
      </c>
      <c r="P3838" t="s">
        <v>40</v>
      </c>
      <c r="Q3838" t="s">
        <v>40</v>
      </c>
      <c r="R3838" t="s">
        <v>40</v>
      </c>
      <c r="S3838" t="s">
        <v>40</v>
      </c>
      <c r="V3838" t="s">
        <v>41</v>
      </c>
      <c r="W3838" t="s">
        <v>49</v>
      </c>
      <c r="X3838" t="str">
        <f>"0591901"</f>
        <v>0591901</v>
      </c>
      <c r="Y3838" t="s">
        <v>230</v>
      </c>
      <c r="Z3838" t="s">
        <v>223</v>
      </c>
      <c r="AA3838" t="s">
        <v>224</v>
      </c>
      <c r="AB3838" t="s">
        <v>131</v>
      </c>
      <c r="AC3838" t="s">
        <v>51</v>
      </c>
      <c r="AD3838" t="s">
        <v>45</v>
      </c>
      <c r="AE3838" s="1">
        <v>25034</v>
      </c>
      <c r="AF3838">
        <v>2</v>
      </c>
      <c r="AG3838" t="s">
        <v>224</v>
      </c>
      <c r="AH3838" s="36">
        <f t="shared" si="59"/>
        <v>51.174999999999997</v>
      </c>
      <c r="AI3838" s="41" t="s">
        <v>1781</v>
      </c>
    </row>
    <row r="3839" spans="1:35" x14ac:dyDescent="0.25">
      <c r="A3839" s="36">
        <v>99913837</v>
      </c>
      <c r="B3839" s="17" t="s">
        <v>32</v>
      </c>
      <c r="C3839" t="s">
        <v>46</v>
      </c>
      <c r="D3839" t="s">
        <v>47</v>
      </c>
      <c r="G3839" s="17" t="s">
        <v>35</v>
      </c>
      <c r="H3839" s="17">
        <v>1</v>
      </c>
      <c r="K3839" t="s">
        <v>947</v>
      </c>
      <c r="L3839" t="s">
        <v>948</v>
      </c>
      <c r="M3839" t="s">
        <v>938</v>
      </c>
      <c r="N3839">
        <v>18</v>
      </c>
      <c r="O3839" t="s">
        <v>40</v>
      </c>
      <c r="P3839" t="s">
        <v>40</v>
      </c>
      <c r="Q3839" t="s">
        <v>40</v>
      </c>
      <c r="R3839" t="s">
        <v>40</v>
      </c>
      <c r="S3839" t="s">
        <v>40</v>
      </c>
      <c r="V3839" t="s">
        <v>41</v>
      </c>
      <c r="W3839" t="s">
        <v>49</v>
      </c>
      <c r="X3839" t="str">
        <f>"0605000"</f>
        <v>0605000</v>
      </c>
      <c r="Y3839" t="s">
        <v>950</v>
      </c>
      <c r="Z3839" t="s">
        <v>947</v>
      </c>
      <c r="AA3839" t="s">
        <v>948</v>
      </c>
      <c r="AB3839" t="s">
        <v>938</v>
      </c>
      <c r="AC3839" t="s">
        <v>165</v>
      </c>
      <c r="AD3839" t="s">
        <v>45</v>
      </c>
      <c r="AE3839" s="1">
        <v>25033</v>
      </c>
      <c r="AF3839">
        <v>2</v>
      </c>
      <c r="AG3839" t="s">
        <v>948</v>
      </c>
      <c r="AH3839" s="36">
        <f t="shared" si="59"/>
        <v>51.177777777777777</v>
      </c>
      <c r="AI3839" s="41" t="s">
        <v>1781</v>
      </c>
    </row>
    <row r="3840" spans="1:35" x14ac:dyDescent="0.25">
      <c r="A3840" s="36">
        <v>99913838</v>
      </c>
      <c r="B3840" s="17" t="s">
        <v>56</v>
      </c>
      <c r="C3840" t="s">
        <v>68</v>
      </c>
      <c r="D3840" t="s">
        <v>69</v>
      </c>
      <c r="G3840" s="17" t="s">
        <v>35</v>
      </c>
      <c r="H3840" s="17">
        <v>1</v>
      </c>
      <c r="I3840" t="s">
        <v>348</v>
      </c>
      <c r="J3840" s="1">
        <v>43344</v>
      </c>
      <c r="K3840" t="s">
        <v>345</v>
      </c>
      <c r="L3840" t="s">
        <v>346</v>
      </c>
      <c r="M3840" t="s">
        <v>131</v>
      </c>
      <c r="N3840">
        <v>20</v>
      </c>
      <c r="O3840" t="s">
        <v>40</v>
      </c>
      <c r="S3840" t="s">
        <v>40</v>
      </c>
      <c r="U3840" s="1">
        <v>43344</v>
      </c>
      <c r="V3840" t="s">
        <v>41</v>
      </c>
      <c r="W3840" t="s">
        <v>49</v>
      </c>
      <c r="X3840" t="str">
        <f>"0581155"</f>
        <v>0581155</v>
      </c>
      <c r="Y3840" t="s">
        <v>349</v>
      </c>
      <c r="Z3840" t="s">
        <v>345</v>
      </c>
      <c r="AA3840" t="s">
        <v>346</v>
      </c>
      <c r="AB3840" t="s">
        <v>131</v>
      </c>
      <c r="AC3840" t="s">
        <v>51</v>
      </c>
      <c r="AD3840" t="s">
        <v>45</v>
      </c>
      <c r="AE3840" s="1">
        <v>25032</v>
      </c>
      <c r="AF3840">
        <v>2</v>
      </c>
      <c r="AG3840" t="s">
        <v>346</v>
      </c>
      <c r="AH3840" s="36">
        <f t="shared" si="59"/>
        <v>51.180555555555557</v>
      </c>
      <c r="AI3840" s="41" t="s">
        <v>1781</v>
      </c>
    </row>
    <row r="3841" spans="1:35" x14ac:dyDescent="0.25">
      <c r="A3841" s="36">
        <v>99913839</v>
      </c>
      <c r="B3841" s="17" t="s">
        <v>32</v>
      </c>
      <c r="C3841" t="s">
        <v>85</v>
      </c>
      <c r="D3841" t="s">
        <v>86</v>
      </c>
      <c r="G3841" s="17" t="s">
        <v>35</v>
      </c>
      <c r="H3841" s="17">
        <v>1</v>
      </c>
      <c r="K3841" t="s">
        <v>223</v>
      </c>
      <c r="L3841" t="s">
        <v>224</v>
      </c>
      <c r="M3841" t="s">
        <v>131</v>
      </c>
      <c r="N3841">
        <v>18</v>
      </c>
      <c r="O3841" t="s">
        <v>40</v>
      </c>
      <c r="P3841" t="s">
        <v>40</v>
      </c>
      <c r="Q3841" t="s">
        <v>40</v>
      </c>
      <c r="S3841" t="s">
        <v>40</v>
      </c>
      <c r="V3841" t="s">
        <v>41</v>
      </c>
      <c r="W3841" t="s">
        <v>49</v>
      </c>
      <c r="X3841" t="str">
        <f>"0581207"</f>
        <v>0581207</v>
      </c>
      <c r="Y3841" t="s">
        <v>233</v>
      </c>
      <c r="Z3841" t="s">
        <v>223</v>
      </c>
      <c r="AA3841" t="s">
        <v>224</v>
      </c>
      <c r="AB3841" t="s">
        <v>131</v>
      </c>
      <c r="AC3841" t="s">
        <v>165</v>
      </c>
      <c r="AD3841" t="s">
        <v>45</v>
      </c>
      <c r="AE3841" s="1">
        <v>25030</v>
      </c>
      <c r="AF3841">
        <v>2</v>
      </c>
      <c r="AG3841" t="s">
        <v>224</v>
      </c>
      <c r="AH3841" s="36">
        <f t="shared" si="59"/>
        <v>51.18611111111111</v>
      </c>
      <c r="AI3841" s="41" t="s">
        <v>1781</v>
      </c>
    </row>
    <row r="3842" spans="1:35" x14ac:dyDescent="0.25">
      <c r="A3842" s="36">
        <v>99913840</v>
      </c>
      <c r="B3842" s="17" t="s">
        <v>32</v>
      </c>
      <c r="C3842" t="s">
        <v>139</v>
      </c>
      <c r="D3842" t="s">
        <v>140</v>
      </c>
      <c r="G3842" s="17" t="s">
        <v>48</v>
      </c>
      <c r="H3842" s="17">
        <v>1</v>
      </c>
      <c r="K3842" t="s">
        <v>223</v>
      </c>
      <c r="L3842" t="s">
        <v>224</v>
      </c>
      <c r="M3842" t="s">
        <v>131</v>
      </c>
      <c r="N3842">
        <v>19</v>
      </c>
      <c r="O3842" t="s">
        <v>40</v>
      </c>
      <c r="P3842" t="s">
        <v>40</v>
      </c>
      <c r="Q3842" t="s">
        <v>40</v>
      </c>
      <c r="R3842" t="s">
        <v>40</v>
      </c>
      <c r="S3842" t="s">
        <v>40</v>
      </c>
      <c r="V3842" t="s">
        <v>41</v>
      </c>
      <c r="W3842" t="s">
        <v>42</v>
      </c>
      <c r="X3842" t="str">
        <f>"0590902"</f>
        <v>0590902</v>
      </c>
      <c r="Y3842" t="s">
        <v>241</v>
      </c>
      <c r="Z3842" t="s">
        <v>223</v>
      </c>
      <c r="AA3842" t="s">
        <v>224</v>
      </c>
      <c r="AB3842" t="s">
        <v>131</v>
      </c>
      <c r="AC3842" t="s">
        <v>51</v>
      </c>
      <c r="AD3842" t="s">
        <v>45</v>
      </c>
      <c r="AE3842" s="1">
        <v>25030</v>
      </c>
      <c r="AF3842">
        <v>2</v>
      </c>
      <c r="AG3842" t="s">
        <v>224</v>
      </c>
      <c r="AH3842" s="36">
        <f t="shared" ref="AH3842:AH3905" si="60">($AJ$1-AE3842)/360</f>
        <v>51.18611111111111</v>
      </c>
      <c r="AI3842" s="41" t="s">
        <v>1781</v>
      </c>
    </row>
    <row r="3843" spans="1:35" x14ac:dyDescent="0.25">
      <c r="A3843" s="36">
        <v>99913841</v>
      </c>
      <c r="B3843" s="17" t="s">
        <v>32</v>
      </c>
      <c r="C3843" t="s">
        <v>58</v>
      </c>
      <c r="D3843" t="s">
        <v>59</v>
      </c>
      <c r="G3843" s="17" t="s">
        <v>48</v>
      </c>
      <c r="H3843" s="17">
        <v>9</v>
      </c>
      <c r="K3843" t="s">
        <v>1268</v>
      </c>
      <c r="L3843" t="s">
        <v>1269</v>
      </c>
      <c r="M3843" t="s">
        <v>1270</v>
      </c>
      <c r="N3843">
        <v>20</v>
      </c>
      <c r="O3843" t="s">
        <v>40</v>
      </c>
      <c r="P3843" t="s">
        <v>40</v>
      </c>
      <c r="Q3843" t="s">
        <v>40</v>
      </c>
      <c r="R3843" t="s">
        <v>40</v>
      </c>
      <c r="S3843" t="s">
        <v>40</v>
      </c>
      <c r="U3843" s="1">
        <v>43344</v>
      </c>
      <c r="V3843" t="s">
        <v>41</v>
      </c>
      <c r="W3843" t="s">
        <v>42</v>
      </c>
      <c r="X3843" t="str">
        <f>"1980055"</f>
        <v>1980055</v>
      </c>
      <c r="Y3843" t="s">
        <v>1285</v>
      </c>
      <c r="Z3843" t="s">
        <v>1268</v>
      </c>
      <c r="AA3843" t="s">
        <v>1269</v>
      </c>
      <c r="AB3843" t="s">
        <v>1270</v>
      </c>
      <c r="AC3843" t="s">
        <v>165</v>
      </c>
      <c r="AD3843" t="s">
        <v>45</v>
      </c>
      <c r="AE3843" s="1">
        <v>25030</v>
      </c>
      <c r="AF3843">
        <v>2</v>
      </c>
      <c r="AG3843" t="s">
        <v>1269</v>
      </c>
      <c r="AH3843" s="36">
        <f t="shared" si="60"/>
        <v>51.18611111111111</v>
      </c>
      <c r="AI3843" s="41" t="s">
        <v>1781</v>
      </c>
    </row>
    <row r="3844" spans="1:35" x14ac:dyDescent="0.25">
      <c r="A3844" s="36">
        <v>99913842</v>
      </c>
      <c r="B3844" s="17" t="s">
        <v>56</v>
      </c>
      <c r="C3844" t="s">
        <v>46</v>
      </c>
      <c r="D3844" t="s">
        <v>47</v>
      </c>
      <c r="G3844" s="17" t="s">
        <v>48</v>
      </c>
      <c r="H3844" s="17">
        <v>1</v>
      </c>
      <c r="K3844" t="s">
        <v>936</v>
      </c>
      <c r="L3844" t="s">
        <v>937</v>
      </c>
      <c r="M3844" t="s">
        <v>938</v>
      </c>
      <c r="N3844">
        <v>23</v>
      </c>
      <c r="O3844" t="s">
        <v>40</v>
      </c>
      <c r="P3844" t="s">
        <v>40</v>
      </c>
      <c r="Q3844" t="s">
        <v>40</v>
      </c>
      <c r="R3844" t="s">
        <v>40</v>
      </c>
      <c r="S3844" t="s">
        <v>40</v>
      </c>
      <c r="V3844" t="s">
        <v>41</v>
      </c>
      <c r="W3844" t="s">
        <v>42</v>
      </c>
      <c r="X3844" t="str">
        <f>"0161003"</f>
        <v>0161003</v>
      </c>
      <c r="Y3844" t="s">
        <v>942</v>
      </c>
      <c r="Z3844" t="s">
        <v>936</v>
      </c>
      <c r="AA3844" t="s">
        <v>937</v>
      </c>
      <c r="AB3844" t="s">
        <v>938</v>
      </c>
      <c r="AC3844" t="s">
        <v>51</v>
      </c>
      <c r="AD3844" t="s">
        <v>45</v>
      </c>
      <c r="AE3844" s="1">
        <v>25029</v>
      </c>
      <c r="AF3844">
        <v>2</v>
      </c>
      <c r="AG3844" t="s">
        <v>937</v>
      </c>
      <c r="AH3844" s="36">
        <f t="shared" si="60"/>
        <v>51.18888888888889</v>
      </c>
      <c r="AI3844" s="41" t="s">
        <v>1781</v>
      </c>
    </row>
    <row r="3845" spans="1:35" x14ac:dyDescent="0.25">
      <c r="A3845" s="36">
        <v>99913843</v>
      </c>
      <c r="B3845" s="17" t="s">
        <v>32</v>
      </c>
      <c r="C3845" t="s">
        <v>85</v>
      </c>
      <c r="D3845" t="s">
        <v>86</v>
      </c>
      <c r="G3845" s="17" t="s">
        <v>35</v>
      </c>
      <c r="H3845" s="17">
        <v>1</v>
      </c>
      <c r="K3845" t="s">
        <v>223</v>
      </c>
      <c r="L3845" t="s">
        <v>224</v>
      </c>
      <c r="M3845" t="s">
        <v>131</v>
      </c>
      <c r="N3845">
        <v>24</v>
      </c>
      <c r="O3845" t="s">
        <v>40</v>
      </c>
      <c r="P3845" t="s">
        <v>40</v>
      </c>
      <c r="Q3845" t="s">
        <v>40</v>
      </c>
      <c r="R3845" t="s">
        <v>40</v>
      </c>
      <c r="S3845" t="s">
        <v>40</v>
      </c>
      <c r="V3845" t="s">
        <v>41</v>
      </c>
      <c r="W3845" t="s">
        <v>49</v>
      </c>
      <c r="X3845" t="str">
        <f>"0591901"</f>
        <v>0591901</v>
      </c>
      <c r="Y3845" t="s">
        <v>230</v>
      </c>
      <c r="Z3845" t="s">
        <v>223</v>
      </c>
      <c r="AA3845" t="s">
        <v>224</v>
      </c>
      <c r="AB3845" t="s">
        <v>131</v>
      </c>
      <c r="AC3845" t="s">
        <v>51</v>
      </c>
      <c r="AD3845" t="s">
        <v>45</v>
      </c>
      <c r="AE3845" s="1">
        <v>25028</v>
      </c>
      <c r="AF3845">
        <v>2</v>
      </c>
      <c r="AG3845" t="s">
        <v>224</v>
      </c>
      <c r="AH3845" s="36">
        <f t="shared" si="60"/>
        <v>51.19166666666667</v>
      </c>
      <c r="AI3845" s="41" t="s">
        <v>1781</v>
      </c>
    </row>
    <row r="3846" spans="1:35" x14ac:dyDescent="0.25">
      <c r="A3846" s="36">
        <v>99913844</v>
      </c>
      <c r="B3846" s="17" t="s">
        <v>56</v>
      </c>
      <c r="C3846" t="s">
        <v>33</v>
      </c>
      <c r="D3846" t="s">
        <v>34</v>
      </c>
      <c r="G3846" s="17" t="s">
        <v>48</v>
      </c>
      <c r="H3846" s="17">
        <v>1</v>
      </c>
      <c r="K3846" t="s">
        <v>162</v>
      </c>
      <c r="L3846" t="s">
        <v>158</v>
      </c>
      <c r="M3846" t="s">
        <v>131</v>
      </c>
      <c r="N3846">
        <v>16</v>
      </c>
      <c r="O3846" t="s">
        <v>40</v>
      </c>
      <c r="P3846" t="s">
        <v>40</v>
      </c>
      <c r="Q3846" t="s">
        <v>40</v>
      </c>
      <c r="S3846" t="s">
        <v>40</v>
      </c>
      <c r="V3846" t="s">
        <v>41</v>
      </c>
      <c r="W3846" t="s">
        <v>42</v>
      </c>
      <c r="X3846" t="str">
        <f>"0580330"</f>
        <v>0580330</v>
      </c>
      <c r="Y3846" t="s">
        <v>176</v>
      </c>
      <c r="Z3846" t="s">
        <v>162</v>
      </c>
      <c r="AA3846" t="s">
        <v>158</v>
      </c>
      <c r="AB3846" t="s">
        <v>131</v>
      </c>
      <c r="AC3846" t="s">
        <v>51</v>
      </c>
      <c r="AD3846" t="s">
        <v>45</v>
      </c>
      <c r="AE3846" s="1">
        <v>25026</v>
      </c>
      <c r="AF3846">
        <v>2</v>
      </c>
      <c r="AG3846" t="s">
        <v>158</v>
      </c>
      <c r="AH3846" s="36">
        <f t="shared" si="60"/>
        <v>51.197222222222223</v>
      </c>
      <c r="AI3846" s="41" t="s">
        <v>1781</v>
      </c>
    </row>
    <row r="3847" spans="1:35" x14ac:dyDescent="0.25">
      <c r="A3847" s="36">
        <v>99913845</v>
      </c>
      <c r="B3847" s="17" t="s">
        <v>32</v>
      </c>
      <c r="C3847" t="s">
        <v>46</v>
      </c>
      <c r="D3847" t="s">
        <v>47</v>
      </c>
      <c r="G3847" s="17" t="s">
        <v>35</v>
      </c>
      <c r="H3847" s="17">
        <v>1</v>
      </c>
      <c r="K3847" t="s">
        <v>162</v>
      </c>
      <c r="L3847" t="s">
        <v>158</v>
      </c>
      <c r="M3847" t="s">
        <v>131</v>
      </c>
      <c r="N3847">
        <v>20</v>
      </c>
      <c r="O3847" t="s">
        <v>40</v>
      </c>
      <c r="P3847" t="s">
        <v>40</v>
      </c>
      <c r="Q3847" t="s">
        <v>40</v>
      </c>
      <c r="R3847" t="s">
        <v>40</v>
      </c>
      <c r="S3847" t="s">
        <v>40</v>
      </c>
      <c r="V3847" t="s">
        <v>41</v>
      </c>
      <c r="W3847" t="s">
        <v>49</v>
      </c>
      <c r="X3847" t="str">
        <f>"0505050"</f>
        <v>0505050</v>
      </c>
      <c r="Y3847" t="s">
        <v>163</v>
      </c>
      <c r="Z3847" t="s">
        <v>162</v>
      </c>
      <c r="AA3847" t="s">
        <v>158</v>
      </c>
      <c r="AB3847" t="s">
        <v>131</v>
      </c>
      <c r="AC3847" t="s">
        <v>165</v>
      </c>
      <c r="AD3847" t="s">
        <v>45</v>
      </c>
      <c r="AE3847" s="1">
        <v>25022</v>
      </c>
      <c r="AF3847">
        <v>2</v>
      </c>
      <c r="AG3847" t="s">
        <v>158</v>
      </c>
      <c r="AH3847" s="36">
        <f t="shared" si="60"/>
        <v>51.208333333333336</v>
      </c>
      <c r="AI3847" s="41" t="s">
        <v>1781</v>
      </c>
    </row>
    <row r="3848" spans="1:35" x14ac:dyDescent="0.25">
      <c r="A3848" s="36">
        <v>99913846</v>
      </c>
      <c r="B3848" s="17" t="s">
        <v>32</v>
      </c>
      <c r="C3848" t="s">
        <v>111</v>
      </c>
      <c r="D3848" t="s">
        <v>112</v>
      </c>
      <c r="G3848" s="17" t="s">
        <v>48</v>
      </c>
      <c r="H3848" s="17">
        <v>1</v>
      </c>
      <c r="K3848" t="s">
        <v>407</v>
      </c>
      <c r="L3848" t="s">
        <v>409</v>
      </c>
      <c r="M3848" t="s">
        <v>131</v>
      </c>
      <c r="N3848">
        <v>22</v>
      </c>
      <c r="O3848" t="s">
        <v>40</v>
      </c>
      <c r="P3848" t="s">
        <v>40</v>
      </c>
      <c r="Q3848" t="s">
        <v>40</v>
      </c>
      <c r="S3848" t="s">
        <v>40</v>
      </c>
      <c r="V3848" t="s">
        <v>41</v>
      </c>
      <c r="W3848" t="s">
        <v>75</v>
      </c>
      <c r="X3848" t="str">
        <f>"7053000"</f>
        <v>7053000</v>
      </c>
      <c r="Y3848" t="s">
        <v>754</v>
      </c>
      <c r="Z3848" t="s">
        <v>407</v>
      </c>
      <c r="AA3848" t="s">
        <v>409</v>
      </c>
      <c r="AB3848" t="s">
        <v>131</v>
      </c>
      <c r="AC3848" t="s">
        <v>51</v>
      </c>
      <c r="AD3848" t="s">
        <v>45</v>
      </c>
      <c r="AE3848" s="1">
        <v>25022</v>
      </c>
      <c r="AF3848">
        <v>1</v>
      </c>
      <c r="AG3848" t="s">
        <v>409</v>
      </c>
      <c r="AH3848" s="36">
        <f t="shared" si="60"/>
        <v>51.208333333333336</v>
      </c>
      <c r="AI3848" s="41" t="s">
        <v>1781</v>
      </c>
    </row>
    <row r="3849" spans="1:35" x14ac:dyDescent="0.25">
      <c r="A3849" s="36">
        <v>99913847</v>
      </c>
      <c r="B3849" s="17" t="s">
        <v>32</v>
      </c>
      <c r="C3849" t="s">
        <v>58</v>
      </c>
      <c r="D3849" t="s">
        <v>59</v>
      </c>
      <c r="G3849" s="17" t="s">
        <v>48</v>
      </c>
      <c r="H3849" s="17">
        <v>1</v>
      </c>
      <c r="K3849" t="s">
        <v>157</v>
      </c>
      <c r="L3849" t="s">
        <v>158</v>
      </c>
      <c r="M3849" t="s">
        <v>131</v>
      </c>
      <c r="N3849">
        <v>19</v>
      </c>
      <c r="O3849" t="s">
        <v>40</v>
      </c>
      <c r="P3849" t="s">
        <v>40</v>
      </c>
      <c r="Q3849" t="s">
        <v>40</v>
      </c>
      <c r="S3849" t="s">
        <v>40</v>
      </c>
      <c r="V3849" t="s">
        <v>41</v>
      </c>
      <c r="W3849" t="s">
        <v>42</v>
      </c>
      <c r="X3849" t="str">
        <f>"0580470"</f>
        <v>0580470</v>
      </c>
      <c r="Y3849" t="s">
        <v>175</v>
      </c>
      <c r="Z3849" t="s">
        <v>157</v>
      </c>
      <c r="AA3849" t="s">
        <v>158</v>
      </c>
      <c r="AB3849" t="s">
        <v>131</v>
      </c>
      <c r="AC3849" t="s">
        <v>51</v>
      </c>
      <c r="AD3849" t="s">
        <v>45</v>
      </c>
      <c r="AE3849" s="1">
        <v>25018</v>
      </c>
      <c r="AF3849">
        <v>2</v>
      </c>
      <c r="AG3849" t="s">
        <v>158</v>
      </c>
      <c r="AH3849" s="36">
        <f t="shared" si="60"/>
        <v>51.219444444444441</v>
      </c>
      <c r="AI3849" s="41" t="s">
        <v>1781</v>
      </c>
    </row>
    <row r="3850" spans="1:35" x14ac:dyDescent="0.25">
      <c r="A3850" s="36">
        <v>99913848</v>
      </c>
      <c r="B3850" s="17" t="s">
        <v>32</v>
      </c>
      <c r="C3850" t="s">
        <v>46</v>
      </c>
      <c r="D3850" t="s">
        <v>47</v>
      </c>
      <c r="G3850" s="17" t="s">
        <v>48</v>
      </c>
      <c r="H3850" s="17">
        <v>1</v>
      </c>
      <c r="K3850" t="s">
        <v>157</v>
      </c>
      <c r="L3850" t="s">
        <v>158</v>
      </c>
      <c r="M3850" t="s">
        <v>131</v>
      </c>
      <c r="N3850">
        <v>20</v>
      </c>
      <c r="O3850" t="s">
        <v>40</v>
      </c>
      <c r="P3850" t="s">
        <v>40</v>
      </c>
      <c r="Q3850" t="s">
        <v>40</v>
      </c>
      <c r="R3850" t="s">
        <v>40</v>
      </c>
      <c r="S3850" t="s">
        <v>40</v>
      </c>
      <c r="V3850" t="s">
        <v>41</v>
      </c>
      <c r="W3850" t="s">
        <v>49</v>
      </c>
      <c r="X3850" t="str">
        <f>"0560011"</f>
        <v>0560011</v>
      </c>
      <c r="Y3850" t="s">
        <v>185</v>
      </c>
      <c r="Z3850" t="s">
        <v>157</v>
      </c>
      <c r="AA3850" t="s">
        <v>158</v>
      </c>
      <c r="AB3850" t="s">
        <v>131</v>
      </c>
      <c r="AC3850" t="s">
        <v>51</v>
      </c>
      <c r="AD3850" t="s">
        <v>45</v>
      </c>
      <c r="AE3850" s="1">
        <v>25017</v>
      </c>
      <c r="AF3850">
        <v>2</v>
      </c>
      <c r="AG3850" t="s">
        <v>158</v>
      </c>
      <c r="AH3850" s="36">
        <f t="shared" si="60"/>
        <v>51.222222222222221</v>
      </c>
      <c r="AI3850" s="41" t="s">
        <v>1781</v>
      </c>
    </row>
    <row r="3851" spans="1:35" x14ac:dyDescent="0.25">
      <c r="A3851" s="36">
        <v>99913849</v>
      </c>
      <c r="B3851" s="17" t="s">
        <v>32</v>
      </c>
      <c r="C3851" t="s">
        <v>52</v>
      </c>
      <c r="D3851" t="s">
        <v>53</v>
      </c>
      <c r="G3851" s="17" t="s">
        <v>35</v>
      </c>
      <c r="H3851" s="17">
        <v>1</v>
      </c>
      <c r="K3851" t="s">
        <v>157</v>
      </c>
      <c r="L3851" t="s">
        <v>158</v>
      </c>
      <c r="M3851" t="s">
        <v>131</v>
      </c>
      <c r="N3851">
        <v>21</v>
      </c>
      <c r="O3851" t="s">
        <v>40</v>
      </c>
      <c r="P3851" t="s">
        <v>40</v>
      </c>
      <c r="Q3851" t="s">
        <v>40</v>
      </c>
      <c r="R3851" t="s">
        <v>40</v>
      </c>
      <c r="S3851" t="s">
        <v>40</v>
      </c>
      <c r="V3851" t="s">
        <v>41</v>
      </c>
      <c r="W3851" t="s">
        <v>49</v>
      </c>
      <c r="X3851" t="str">
        <f>"0560011"</f>
        <v>0560011</v>
      </c>
      <c r="Y3851" t="s">
        <v>185</v>
      </c>
      <c r="Z3851" t="s">
        <v>157</v>
      </c>
      <c r="AA3851" t="s">
        <v>158</v>
      </c>
      <c r="AB3851" t="s">
        <v>131</v>
      </c>
      <c r="AC3851" t="s">
        <v>51</v>
      </c>
      <c r="AD3851" t="s">
        <v>45</v>
      </c>
      <c r="AE3851" s="1">
        <v>25017</v>
      </c>
      <c r="AF3851">
        <v>2</v>
      </c>
      <c r="AG3851" t="s">
        <v>158</v>
      </c>
      <c r="AH3851" s="36">
        <f t="shared" si="60"/>
        <v>51.222222222222221</v>
      </c>
      <c r="AI3851" s="41" t="s">
        <v>1781</v>
      </c>
    </row>
    <row r="3852" spans="1:35" x14ac:dyDescent="0.25">
      <c r="A3852" s="36">
        <v>99913850</v>
      </c>
      <c r="B3852" s="17" t="s">
        <v>32</v>
      </c>
      <c r="C3852" t="s">
        <v>64</v>
      </c>
      <c r="D3852" t="s">
        <v>65</v>
      </c>
      <c r="G3852" s="17" t="s">
        <v>35</v>
      </c>
      <c r="H3852" s="17">
        <v>1</v>
      </c>
      <c r="I3852">
        <v>0</v>
      </c>
      <c r="J3852" s="1">
        <v>43344</v>
      </c>
      <c r="K3852" t="s">
        <v>223</v>
      </c>
      <c r="L3852" t="s">
        <v>224</v>
      </c>
      <c r="M3852" t="s">
        <v>131</v>
      </c>
      <c r="N3852">
        <v>23</v>
      </c>
      <c r="O3852" t="s">
        <v>40</v>
      </c>
      <c r="P3852" t="s">
        <v>40</v>
      </c>
      <c r="Q3852" t="s">
        <v>40</v>
      </c>
      <c r="S3852" t="s">
        <v>40</v>
      </c>
      <c r="U3852" s="1">
        <v>43344</v>
      </c>
      <c r="V3852" t="s">
        <v>41</v>
      </c>
      <c r="W3852" t="s">
        <v>49</v>
      </c>
      <c r="X3852" t="str">
        <f>"0509999"</f>
        <v>0509999</v>
      </c>
      <c r="Y3852" t="s">
        <v>247</v>
      </c>
      <c r="Z3852" t="s">
        <v>223</v>
      </c>
      <c r="AA3852" t="s">
        <v>224</v>
      </c>
      <c r="AB3852" t="s">
        <v>131</v>
      </c>
      <c r="AC3852" t="s">
        <v>44</v>
      </c>
      <c r="AD3852" t="s">
        <v>45</v>
      </c>
      <c r="AE3852" s="1">
        <v>25017</v>
      </c>
      <c r="AF3852">
        <v>2</v>
      </c>
      <c r="AG3852" t="s">
        <v>224</v>
      </c>
      <c r="AH3852" s="36">
        <f t="shared" si="60"/>
        <v>51.222222222222221</v>
      </c>
      <c r="AI3852" s="41" t="s">
        <v>1781</v>
      </c>
    </row>
    <row r="3853" spans="1:35" x14ac:dyDescent="0.25">
      <c r="A3853" s="36">
        <v>99913851</v>
      </c>
      <c r="B3853" s="17" t="s">
        <v>32</v>
      </c>
      <c r="C3853" t="s">
        <v>90</v>
      </c>
      <c r="D3853" t="s">
        <v>91</v>
      </c>
      <c r="G3853" s="17" t="s">
        <v>35</v>
      </c>
      <c r="H3853" s="17">
        <v>1</v>
      </c>
      <c r="I3853" t="s">
        <v>1387</v>
      </c>
      <c r="J3853" s="1">
        <v>43344</v>
      </c>
      <c r="K3853" t="s">
        <v>1341</v>
      </c>
      <c r="L3853" t="s">
        <v>1342</v>
      </c>
      <c r="M3853" t="s">
        <v>1270</v>
      </c>
      <c r="N3853">
        <v>24</v>
      </c>
      <c r="O3853" t="s">
        <v>40</v>
      </c>
      <c r="S3853" t="s">
        <v>40</v>
      </c>
      <c r="U3853" s="1">
        <v>43344</v>
      </c>
      <c r="V3853" t="s">
        <v>41</v>
      </c>
      <c r="W3853" t="s">
        <v>95</v>
      </c>
      <c r="X3853" t="str">
        <f>"7191095"</f>
        <v>7191095</v>
      </c>
      <c r="Y3853" t="s">
        <v>1388</v>
      </c>
      <c r="Z3853" t="s">
        <v>1341</v>
      </c>
      <c r="AA3853" t="s">
        <v>1342</v>
      </c>
      <c r="AB3853" t="s">
        <v>1270</v>
      </c>
      <c r="AC3853" t="s">
        <v>51</v>
      </c>
      <c r="AD3853" t="s">
        <v>45</v>
      </c>
      <c r="AE3853" s="1">
        <v>25016</v>
      </c>
      <c r="AF3853">
        <v>1</v>
      </c>
      <c r="AG3853" t="s">
        <v>1342</v>
      </c>
      <c r="AH3853" s="36">
        <f t="shared" si="60"/>
        <v>51.225000000000001</v>
      </c>
      <c r="AI3853" s="41" t="s">
        <v>1781</v>
      </c>
    </row>
    <row r="3854" spans="1:35" x14ac:dyDescent="0.25">
      <c r="A3854" s="36">
        <v>99913852</v>
      </c>
      <c r="B3854" s="17" t="s">
        <v>32</v>
      </c>
      <c r="C3854" t="s">
        <v>79</v>
      </c>
      <c r="D3854" t="s">
        <v>80</v>
      </c>
      <c r="G3854" s="17" t="s">
        <v>48</v>
      </c>
      <c r="H3854" s="17">
        <v>1</v>
      </c>
      <c r="K3854" t="s">
        <v>129</v>
      </c>
      <c r="L3854" t="s">
        <v>130</v>
      </c>
      <c r="M3854" t="s">
        <v>131</v>
      </c>
      <c r="N3854">
        <v>14</v>
      </c>
      <c r="O3854" t="s">
        <v>40</v>
      </c>
      <c r="P3854" t="s">
        <v>40</v>
      </c>
      <c r="Q3854" t="s">
        <v>40</v>
      </c>
      <c r="R3854" t="s">
        <v>40</v>
      </c>
      <c r="S3854" t="s">
        <v>40</v>
      </c>
      <c r="V3854" t="s">
        <v>41</v>
      </c>
      <c r="W3854" t="s">
        <v>49</v>
      </c>
      <c r="X3854" t="str">
        <f>"0591905"</f>
        <v>0591905</v>
      </c>
      <c r="Y3854" t="s">
        <v>135</v>
      </c>
      <c r="Z3854" t="s">
        <v>129</v>
      </c>
      <c r="AA3854" t="s">
        <v>130</v>
      </c>
      <c r="AB3854" t="s">
        <v>131</v>
      </c>
      <c r="AC3854" t="s">
        <v>51</v>
      </c>
      <c r="AD3854" t="s">
        <v>45</v>
      </c>
      <c r="AE3854" s="1">
        <v>25010</v>
      </c>
      <c r="AF3854">
        <v>2</v>
      </c>
      <c r="AG3854" t="s">
        <v>130</v>
      </c>
      <c r="AH3854" s="36">
        <f t="shared" si="60"/>
        <v>51.241666666666667</v>
      </c>
      <c r="AI3854" s="41" t="s">
        <v>1781</v>
      </c>
    </row>
    <row r="3855" spans="1:35" x14ac:dyDescent="0.25">
      <c r="A3855" s="36">
        <v>99913853</v>
      </c>
      <c r="B3855" s="17" t="s">
        <v>32</v>
      </c>
      <c r="C3855" t="s">
        <v>90</v>
      </c>
      <c r="D3855" t="s">
        <v>91</v>
      </c>
      <c r="G3855" s="17" t="s">
        <v>35</v>
      </c>
      <c r="H3855" s="17">
        <v>1</v>
      </c>
      <c r="I3855">
        <v>3900</v>
      </c>
      <c r="J3855" s="1">
        <v>43344</v>
      </c>
      <c r="K3855" t="s">
        <v>1695</v>
      </c>
      <c r="L3855" t="s">
        <v>1696</v>
      </c>
      <c r="M3855" t="s">
        <v>1592</v>
      </c>
      <c r="N3855">
        <v>25</v>
      </c>
      <c r="O3855" t="s">
        <v>40</v>
      </c>
      <c r="S3855" t="s">
        <v>40</v>
      </c>
      <c r="U3855" s="1">
        <v>43344</v>
      </c>
      <c r="V3855" t="s">
        <v>41</v>
      </c>
      <c r="W3855" t="s">
        <v>95</v>
      </c>
      <c r="X3855" t="str">
        <f>"7361007"</f>
        <v>7361007</v>
      </c>
      <c r="Y3855" t="s">
        <v>1702</v>
      </c>
      <c r="Z3855" t="s">
        <v>1695</v>
      </c>
      <c r="AA3855" t="s">
        <v>1696</v>
      </c>
      <c r="AB3855" t="s">
        <v>1592</v>
      </c>
      <c r="AC3855" t="s">
        <v>51</v>
      </c>
      <c r="AD3855" t="s">
        <v>45</v>
      </c>
      <c r="AE3855" s="1">
        <v>25009</v>
      </c>
      <c r="AF3855">
        <v>1</v>
      </c>
      <c r="AG3855" t="s">
        <v>1696</v>
      </c>
      <c r="AH3855" s="36">
        <f t="shared" si="60"/>
        <v>51.244444444444447</v>
      </c>
      <c r="AI3855" s="41" t="s">
        <v>1781</v>
      </c>
    </row>
    <row r="3856" spans="1:35" x14ac:dyDescent="0.25">
      <c r="A3856" s="36">
        <v>99913854</v>
      </c>
      <c r="B3856" s="17" t="s">
        <v>32</v>
      </c>
      <c r="C3856" t="s">
        <v>46</v>
      </c>
      <c r="D3856" t="s">
        <v>47</v>
      </c>
      <c r="G3856" s="17" t="s">
        <v>35</v>
      </c>
      <c r="H3856" s="17">
        <v>1</v>
      </c>
      <c r="K3856" t="s">
        <v>300</v>
      </c>
      <c r="L3856" t="s">
        <v>301</v>
      </c>
      <c r="M3856" t="s">
        <v>131</v>
      </c>
      <c r="N3856">
        <v>23</v>
      </c>
      <c r="O3856" t="s">
        <v>40</v>
      </c>
      <c r="P3856" t="s">
        <v>40</v>
      </c>
      <c r="Q3856" t="s">
        <v>40</v>
      </c>
      <c r="R3856" t="s">
        <v>40</v>
      </c>
      <c r="S3856" t="s">
        <v>40</v>
      </c>
      <c r="V3856" t="s">
        <v>41</v>
      </c>
      <c r="W3856" t="s">
        <v>42</v>
      </c>
      <c r="X3856" t="str">
        <f>"0580457"</f>
        <v>0580457</v>
      </c>
      <c r="Y3856" t="s">
        <v>310</v>
      </c>
      <c r="Z3856" t="s">
        <v>300</v>
      </c>
      <c r="AA3856" t="s">
        <v>301</v>
      </c>
      <c r="AB3856" t="s">
        <v>131</v>
      </c>
      <c r="AC3856" t="s">
        <v>51</v>
      </c>
      <c r="AD3856" t="s">
        <v>45</v>
      </c>
      <c r="AE3856" s="1">
        <v>25007</v>
      </c>
      <c r="AF3856">
        <v>2</v>
      </c>
      <c r="AG3856" t="s">
        <v>301</v>
      </c>
      <c r="AH3856" s="36">
        <f t="shared" si="60"/>
        <v>51.25</v>
      </c>
      <c r="AI3856" s="41" t="s">
        <v>1781</v>
      </c>
    </row>
    <row r="3857" spans="1:35" x14ac:dyDescent="0.25">
      <c r="A3857" s="36">
        <v>99913855</v>
      </c>
      <c r="B3857" s="17" t="s">
        <v>32</v>
      </c>
      <c r="C3857" t="s">
        <v>139</v>
      </c>
      <c r="D3857" t="s">
        <v>140</v>
      </c>
      <c r="G3857" s="17" t="s">
        <v>35</v>
      </c>
      <c r="H3857" s="17">
        <v>1</v>
      </c>
      <c r="K3857" t="s">
        <v>354</v>
      </c>
      <c r="L3857" t="s">
        <v>355</v>
      </c>
      <c r="M3857" t="s">
        <v>131</v>
      </c>
      <c r="N3857">
        <v>22</v>
      </c>
      <c r="O3857" t="s">
        <v>40</v>
      </c>
      <c r="P3857" t="s">
        <v>40</v>
      </c>
      <c r="Q3857" t="s">
        <v>40</v>
      </c>
      <c r="S3857" t="s">
        <v>40</v>
      </c>
      <c r="V3857" t="s">
        <v>41</v>
      </c>
      <c r="W3857" t="s">
        <v>75</v>
      </c>
      <c r="X3857" t="str">
        <f>"7054020"</f>
        <v>7054020</v>
      </c>
      <c r="Y3857" t="s">
        <v>765</v>
      </c>
      <c r="Z3857" t="s">
        <v>354</v>
      </c>
      <c r="AA3857" t="s">
        <v>355</v>
      </c>
      <c r="AB3857" t="s">
        <v>131</v>
      </c>
      <c r="AC3857" t="s">
        <v>51</v>
      </c>
      <c r="AD3857" t="s">
        <v>45</v>
      </c>
      <c r="AE3857" s="1">
        <v>25007</v>
      </c>
      <c r="AF3857">
        <v>1</v>
      </c>
      <c r="AG3857" t="s">
        <v>355</v>
      </c>
      <c r="AH3857" s="36">
        <f t="shared" si="60"/>
        <v>51.25</v>
      </c>
      <c r="AI3857" s="41" t="s">
        <v>1781</v>
      </c>
    </row>
    <row r="3858" spans="1:35" x14ac:dyDescent="0.25">
      <c r="A3858" s="36">
        <v>99913856</v>
      </c>
      <c r="B3858" s="17" t="s">
        <v>56</v>
      </c>
      <c r="C3858" t="s">
        <v>68</v>
      </c>
      <c r="D3858" t="s">
        <v>69</v>
      </c>
      <c r="G3858" s="17" t="s">
        <v>48</v>
      </c>
      <c r="H3858" s="17">
        <v>1</v>
      </c>
      <c r="K3858" t="s">
        <v>1268</v>
      </c>
      <c r="L3858" t="s">
        <v>1269</v>
      </c>
      <c r="M3858" t="s">
        <v>1270</v>
      </c>
      <c r="N3858">
        <v>20</v>
      </c>
      <c r="O3858" t="s">
        <v>40</v>
      </c>
      <c r="P3858" t="s">
        <v>40</v>
      </c>
      <c r="Q3858" t="s">
        <v>40</v>
      </c>
      <c r="S3858" t="s">
        <v>40</v>
      </c>
      <c r="V3858" t="s">
        <v>41</v>
      </c>
      <c r="W3858" t="s">
        <v>42</v>
      </c>
      <c r="X3858" t="str">
        <f>"1980050"</f>
        <v>1980050</v>
      </c>
      <c r="Y3858" t="s">
        <v>1278</v>
      </c>
      <c r="Z3858" t="s">
        <v>1268</v>
      </c>
      <c r="AA3858" t="s">
        <v>1269</v>
      </c>
      <c r="AB3858" t="s">
        <v>1270</v>
      </c>
      <c r="AC3858" t="s">
        <v>51</v>
      </c>
      <c r="AD3858" t="s">
        <v>45</v>
      </c>
      <c r="AE3858" s="1">
        <v>25007</v>
      </c>
      <c r="AF3858">
        <v>2</v>
      </c>
      <c r="AG3858" t="s">
        <v>1269</v>
      </c>
      <c r="AH3858" s="36">
        <f t="shared" si="60"/>
        <v>51.25</v>
      </c>
      <c r="AI3858" s="41" t="s">
        <v>1781</v>
      </c>
    </row>
    <row r="3859" spans="1:35" x14ac:dyDescent="0.25">
      <c r="A3859" s="36">
        <v>99913857</v>
      </c>
      <c r="B3859" s="17" t="s">
        <v>32</v>
      </c>
      <c r="C3859" t="s">
        <v>141</v>
      </c>
      <c r="D3859" t="s">
        <v>142</v>
      </c>
      <c r="G3859" s="17" t="s">
        <v>48</v>
      </c>
      <c r="H3859" s="17">
        <v>1</v>
      </c>
      <c r="K3859" t="s">
        <v>431</v>
      </c>
      <c r="L3859" t="s">
        <v>196</v>
      </c>
      <c r="M3859" t="s">
        <v>131</v>
      </c>
      <c r="N3859">
        <v>21</v>
      </c>
      <c r="O3859" t="s">
        <v>40</v>
      </c>
      <c r="P3859" t="s">
        <v>40</v>
      </c>
      <c r="Q3859" t="s">
        <v>40</v>
      </c>
      <c r="S3859" t="s">
        <v>40</v>
      </c>
      <c r="V3859" t="s">
        <v>41</v>
      </c>
      <c r="W3859" t="s">
        <v>75</v>
      </c>
      <c r="X3859" t="str">
        <f>"7521016"</f>
        <v>7521016</v>
      </c>
      <c r="Y3859" t="s">
        <v>448</v>
      </c>
      <c r="Z3859" t="s">
        <v>431</v>
      </c>
      <c r="AA3859" t="s">
        <v>196</v>
      </c>
      <c r="AB3859" t="s">
        <v>131</v>
      </c>
      <c r="AC3859" t="s">
        <v>51</v>
      </c>
      <c r="AD3859" t="s">
        <v>45</v>
      </c>
      <c r="AE3859" s="1">
        <v>25006</v>
      </c>
      <c r="AF3859">
        <v>1</v>
      </c>
      <c r="AG3859" t="s">
        <v>196</v>
      </c>
      <c r="AH3859" s="36">
        <f t="shared" si="60"/>
        <v>51.25277777777778</v>
      </c>
      <c r="AI3859" s="41" t="s">
        <v>1781</v>
      </c>
    </row>
    <row r="3860" spans="1:35" x14ac:dyDescent="0.25">
      <c r="A3860" s="36">
        <v>99913858</v>
      </c>
      <c r="B3860" s="17" t="s">
        <v>32</v>
      </c>
      <c r="C3860" t="s">
        <v>64</v>
      </c>
      <c r="D3860" t="s">
        <v>65</v>
      </c>
      <c r="G3860" s="17" t="s">
        <v>48</v>
      </c>
      <c r="H3860" s="17">
        <v>1</v>
      </c>
      <c r="K3860" t="s">
        <v>1268</v>
      </c>
      <c r="L3860" t="s">
        <v>1269</v>
      </c>
      <c r="M3860" t="s">
        <v>1270</v>
      </c>
      <c r="N3860">
        <v>23</v>
      </c>
      <c r="O3860" t="s">
        <v>40</v>
      </c>
      <c r="P3860" t="s">
        <v>40</v>
      </c>
      <c r="Q3860" t="s">
        <v>40</v>
      </c>
      <c r="S3860" t="s">
        <v>40</v>
      </c>
      <c r="V3860" t="s">
        <v>41</v>
      </c>
      <c r="W3860" t="s">
        <v>42</v>
      </c>
      <c r="X3860" t="str">
        <f>"1980050"</f>
        <v>1980050</v>
      </c>
      <c r="Y3860" t="s">
        <v>1278</v>
      </c>
      <c r="Z3860" t="s">
        <v>1268</v>
      </c>
      <c r="AA3860" t="s">
        <v>1269</v>
      </c>
      <c r="AB3860" t="s">
        <v>1270</v>
      </c>
      <c r="AC3860" t="s">
        <v>51</v>
      </c>
      <c r="AD3860" t="s">
        <v>45</v>
      </c>
      <c r="AE3860" s="1">
        <v>25001</v>
      </c>
      <c r="AF3860">
        <v>2</v>
      </c>
      <c r="AG3860" t="s">
        <v>1269</v>
      </c>
      <c r="AH3860" s="36">
        <f t="shared" si="60"/>
        <v>51.266666666666666</v>
      </c>
      <c r="AI3860" s="41" t="s">
        <v>1781</v>
      </c>
    </row>
    <row r="3861" spans="1:35" x14ac:dyDescent="0.25">
      <c r="A3861" s="36">
        <v>99913859</v>
      </c>
      <c r="B3861" s="17" t="s">
        <v>32</v>
      </c>
      <c r="C3861" t="s">
        <v>46</v>
      </c>
      <c r="D3861" t="s">
        <v>47</v>
      </c>
      <c r="G3861" s="17" t="s">
        <v>48</v>
      </c>
      <c r="H3861" s="17">
        <v>13</v>
      </c>
      <c r="K3861" t="s">
        <v>1268</v>
      </c>
      <c r="L3861" t="s">
        <v>1269</v>
      </c>
      <c r="M3861" t="s">
        <v>1270</v>
      </c>
      <c r="N3861">
        <v>18</v>
      </c>
      <c r="O3861" t="s">
        <v>40</v>
      </c>
      <c r="P3861" t="s">
        <v>40</v>
      </c>
      <c r="Q3861" t="s">
        <v>40</v>
      </c>
      <c r="R3861" t="s">
        <v>40</v>
      </c>
      <c r="S3861" t="s">
        <v>40</v>
      </c>
      <c r="U3861" s="1">
        <v>43344</v>
      </c>
      <c r="V3861" t="s">
        <v>41</v>
      </c>
      <c r="W3861" t="s">
        <v>42</v>
      </c>
      <c r="X3861" t="str">
        <f>"1980055"</f>
        <v>1980055</v>
      </c>
      <c r="Y3861" t="s">
        <v>1285</v>
      </c>
      <c r="Z3861" t="s">
        <v>1268</v>
      </c>
      <c r="AA3861" t="s">
        <v>1269</v>
      </c>
      <c r="AB3861" t="s">
        <v>1270</v>
      </c>
      <c r="AC3861" t="s">
        <v>165</v>
      </c>
      <c r="AD3861" t="s">
        <v>45</v>
      </c>
      <c r="AE3861" s="1">
        <v>25000</v>
      </c>
      <c r="AF3861">
        <v>2</v>
      </c>
      <c r="AG3861" t="s">
        <v>1269</v>
      </c>
      <c r="AH3861" s="36">
        <f t="shared" si="60"/>
        <v>51.269444444444446</v>
      </c>
      <c r="AI3861" s="41" t="s">
        <v>1781</v>
      </c>
    </row>
    <row r="3862" spans="1:35" x14ac:dyDescent="0.25">
      <c r="A3862" s="36">
        <v>99913860</v>
      </c>
      <c r="B3862" s="17" t="s">
        <v>56</v>
      </c>
      <c r="C3862" t="s">
        <v>111</v>
      </c>
      <c r="D3862" t="s">
        <v>112</v>
      </c>
      <c r="G3862" s="17" t="s">
        <v>48</v>
      </c>
      <c r="H3862" s="17">
        <v>11</v>
      </c>
      <c r="I3862" t="s">
        <v>454</v>
      </c>
      <c r="J3862" s="1">
        <v>40057</v>
      </c>
      <c r="K3862" t="s">
        <v>195</v>
      </c>
      <c r="L3862" t="s">
        <v>196</v>
      </c>
      <c r="M3862" t="s">
        <v>131</v>
      </c>
      <c r="N3862">
        <v>21</v>
      </c>
      <c r="O3862" t="s">
        <v>40</v>
      </c>
      <c r="P3862" t="s">
        <v>40</v>
      </c>
      <c r="Q3862" t="s">
        <v>40</v>
      </c>
      <c r="R3862" t="s">
        <v>40</v>
      </c>
      <c r="S3862" t="s">
        <v>40</v>
      </c>
      <c r="U3862" s="1">
        <v>40057</v>
      </c>
      <c r="V3862" t="s">
        <v>41</v>
      </c>
      <c r="W3862" t="s">
        <v>75</v>
      </c>
      <c r="X3862" t="str">
        <f>"7521050"</f>
        <v>7521050</v>
      </c>
      <c r="Y3862" t="s">
        <v>194</v>
      </c>
      <c r="Z3862" t="s">
        <v>195</v>
      </c>
      <c r="AA3862" t="s">
        <v>196</v>
      </c>
      <c r="AB3862" t="s">
        <v>131</v>
      </c>
      <c r="AC3862" t="s">
        <v>51</v>
      </c>
      <c r="AD3862" t="s">
        <v>45</v>
      </c>
      <c r="AE3862" s="1">
        <v>24998</v>
      </c>
      <c r="AF3862">
        <v>1</v>
      </c>
      <c r="AG3862" t="s">
        <v>196</v>
      </c>
      <c r="AH3862" s="36">
        <f t="shared" si="60"/>
        <v>51.274999999999999</v>
      </c>
      <c r="AI3862" s="41" t="s">
        <v>1781</v>
      </c>
    </row>
    <row r="3863" spans="1:35" x14ac:dyDescent="0.25">
      <c r="A3863" s="36">
        <v>99913861</v>
      </c>
      <c r="B3863" s="17" t="s">
        <v>32</v>
      </c>
      <c r="C3863" t="s">
        <v>90</v>
      </c>
      <c r="D3863" t="s">
        <v>91</v>
      </c>
      <c r="G3863" s="17" t="s">
        <v>35</v>
      </c>
      <c r="H3863" s="17">
        <v>1</v>
      </c>
      <c r="K3863" t="s">
        <v>963</v>
      </c>
      <c r="L3863" t="s">
        <v>964</v>
      </c>
      <c r="M3863" t="s">
        <v>938</v>
      </c>
      <c r="N3863">
        <v>25</v>
      </c>
      <c r="O3863" t="s">
        <v>40</v>
      </c>
      <c r="P3863" t="s">
        <v>40</v>
      </c>
      <c r="Q3863" t="s">
        <v>40</v>
      </c>
      <c r="R3863" t="s">
        <v>40</v>
      </c>
      <c r="S3863" t="s">
        <v>40</v>
      </c>
      <c r="V3863" t="s">
        <v>41</v>
      </c>
      <c r="W3863" t="s">
        <v>95</v>
      </c>
      <c r="X3863" t="str">
        <f>"7061017"</f>
        <v>7061017</v>
      </c>
      <c r="Y3863" t="s">
        <v>1028</v>
      </c>
      <c r="Z3863" t="s">
        <v>963</v>
      </c>
      <c r="AA3863" t="s">
        <v>964</v>
      </c>
      <c r="AB3863" t="s">
        <v>938</v>
      </c>
      <c r="AC3863" t="s">
        <v>51</v>
      </c>
      <c r="AD3863" t="s">
        <v>45</v>
      </c>
      <c r="AE3863" s="1">
        <v>24997</v>
      </c>
      <c r="AF3863">
        <v>1</v>
      </c>
      <c r="AG3863" t="s">
        <v>964</v>
      </c>
      <c r="AH3863" s="36">
        <f t="shared" si="60"/>
        <v>51.277777777777779</v>
      </c>
      <c r="AI3863" s="41" t="s">
        <v>1781</v>
      </c>
    </row>
    <row r="3864" spans="1:35" x14ac:dyDescent="0.25">
      <c r="A3864" s="36">
        <v>99913862</v>
      </c>
      <c r="B3864" s="17" t="s">
        <v>56</v>
      </c>
      <c r="C3864" t="s">
        <v>46</v>
      </c>
      <c r="D3864" t="s">
        <v>47</v>
      </c>
      <c r="G3864" s="17" t="s">
        <v>48</v>
      </c>
      <c r="H3864" s="17">
        <v>1</v>
      </c>
      <c r="K3864" t="s">
        <v>1187</v>
      </c>
      <c r="L3864" t="s">
        <v>1188</v>
      </c>
      <c r="M3864" t="s">
        <v>1130</v>
      </c>
      <c r="N3864">
        <v>20</v>
      </c>
      <c r="O3864" t="s">
        <v>40</v>
      </c>
      <c r="P3864" t="s">
        <v>40</v>
      </c>
      <c r="Q3864" t="s">
        <v>40</v>
      </c>
      <c r="R3864" t="s">
        <v>40</v>
      </c>
      <c r="S3864" t="s">
        <v>40</v>
      </c>
      <c r="V3864" t="s">
        <v>41</v>
      </c>
      <c r="W3864" t="s">
        <v>42</v>
      </c>
      <c r="X3864" t="str">
        <f>"4580015"</f>
        <v>4580015</v>
      </c>
      <c r="Y3864" t="s">
        <v>1189</v>
      </c>
      <c r="Z3864" t="s">
        <v>1187</v>
      </c>
      <c r="AA3864" t="s">
        <v>1188</v>
      </c>
      <c r="AB3864" t="s">
        <v>1130</v>
      </c>
      <c r="AC3864" t="s">
        <v>51</v>
      </c>
      <c r="AD3864" t="s">
        <v>45</v>
      </c>
      <c r="AE3864" s="1">
        <v>24997</v>
      </c>
      <c r="AF3864">
        <v>2</v>
      </c>
      <c r="AG3864" t="s">
        <v>1188</v>
      </c>
      <c r="AH3864" s="36">
        <f t="shared" si="60"/>
        <v>51.277777777777779</v>
      </c>
      <c r="AI3864" s="41" t="s">
        <v>1781</v>
      </c>
    </row>
    <row r="3865" spans="1:35" x14ac:dyDescent="0.25">
      <c r="A3865" s="36">
        <v>99913863</v>
      </c>
      <c r="B3865" s="17" t="s">
        <v>56</v>
      </c>
      <c r="C3865" t="s">
        <v>90</v>
      </c>
      <c r="D3865" t="s">
        <v>91</v>
      </c>
      <c r="G3865" s="17" t="s">
        <v>48</v>
      </c>
      <c r="H3865" s="17">
        <v>1</v>
      </c>
      <c r="K3865" t="s">
        <v>1191</v>
      </c>
      <c r="L3865" t="s">
        <v>1192</v>
      </c>
      <c r="M3865" t="s">
        <v>1130</v>
      </c>
      <c r="N3865">
        <v>25</v>
      </c>
      <c r="O3865" t="s">
        <v>40</v>
      </c>
      <c r="P3865" t="s">
        <v>40</v>
      </c>
      <c r="Q3865" t="s">
        <v>40</v>
      </c>
      <c r="S3865" t="s">
        <v>40</v>
      </c>
      <c r="V3865" t="s">
        <v>41</v>
      </c>
      <c r="W3865" t="s">
        <v>95</v>
      </c>
      <c r="X3865" t="str">
        <f>"7221003"</f>
        <v>7221003</v>
      </c>
      <c r="Y3865" t="s">
        <v>1196</v>
      </c>
      <c r="Z3865" t="s">
        <v>1191</v>
      </c>
      <c r="AA3865" t="s">
        <v>1192</v>
      </c>
      <c r="AB3865" t="s">
        <v>1130</v>
      </c>
      <c r="AC3865" t="s">
        <v>51</v>
      </c>
      <c r="AD3865" t="s">
        <v>45</v>
      </c>
      <c r="AE3865" s="1">
        <v>24997</v>
      </c>
      <c r="AF3865">
        <v>1</v>
      </c>
      <c r="AG3865" t="s">
        <v>1192</v>
      </c>
      <c r="AH3865" s="36">
        <f t="shared" si="60"/>
        <v>51.277777777777779</v>
      </c>
      <c r="AI3865" s="41" t="s">
        <v>1781</v>
      </c>
    </row>
    <row r="3866" spans="1:35" x14ac:dyDescent="0.25">
      <c r="A3866" s="36">
        <v>99913864</v>
      </c>
      <c r="B3866" s="17" t="s">
        <v>56</v>
      </c>
      <c r="C3866" t="s">
        <v>46</v>
      </c>
      <c r="D3866" t="s">
        <v>47</v>
      </c>
      <c r="G3866" s="17" t="s">
        <v>48</v>
      </c>
      <c r="H3866" s="17">
        <v>1</v>
      </c>
      <c r="K3866" t="s">
        <v>223</v>
      </c>
      <c r="L3866" t="s">
        <v>224</v>
      </c>
      <c r="M3866" t="s">
        <v>131</v>
      </c>
      <c r="N3866">
        <v>21</v>
      </c>
      <c r="O3866" t="s">
        <v>40</v>
      </c>
      <c r="P3866" t="s">
        <v>40</v>
      </c>
      <c r="Q3866" t="s">
        <v>40</v>
      </c>
      <c r="R3866" t="s">
        <v>40</v>
      </c>
      <c r="S3866" t="s">
        <v>40</v>
      </c>
      <c r="V3866" t="s">
        <v>41</v>
      </c>
      <c r="W3866" t="s">
        <v>42</v>
      </c>
      <c r="X3866" t="str">
        <f>"0590902"</f>
        <v>0590902</v>
      </c>
      <c r="Y3866" t="s">
        <v>241</v>
      </c>
      <c r="Z3866" t="s">
        <v>223</v>
      </c>
      <c r="AA3866" t="s">
        <v>224</v>
      </c>
      <c r="AB3866" t="s">
        <v>131</v>
      </c>
      <c r="AC3866" t="s">
        <v>51</v>
      </c>
      <c r="AD3866" t="s">
        <v>45</v>
      </c>
      <c r="AE3866" s="1">
        <v>24996</v>
      </c>
      <c r="AF3866">
        <v>2</v>
      </c>
      <c r="AG3866" t="s">
        <v>224</v>
      </c>
      <c r="AH3866" s="36">
        <f t="shared" si="60"/>
        <v>51.280555555555559</v>
      </c>
      <c r="AI3866" s="41" t="s">
        <v>1781</v>
      </c>
    </row>
    <row r="3867" spans="1:35" x14ac:dyDescent="0.25">
      <c r="A3867" s="36">
        <v>99913865</v>
      </c>
      <c r="B3867" s="17" t="s">
        <v>56</v>
      </c>
      <c r="C3867" t="s">
        <v>52</v>
      </c>
      <c r="D3867" t="s">
        <v>53</v>
      </c>
      <c r="G3867" s="17" t="s">
        <v>48</v>
      </c>
      <c r="H3867" s="17">
        <v>1</v>
      </c>
      <c r="K3867" t="s">
        <v>1268</v>
      </c>
      <c r="L3867" t="s">
        <v>1269</v>
      </c>
      <c r="M3867" t="s">
        <v>1270</v>
      </c>
      <c r="N3867">
        <v>20</v>
      </c>
      <c r="O3867" t="s">
        <v>40</v>
      </c>
      <c r="P3867" t="s">
        <v>40</v>
      </c>
      <c r="Q3867" t="s">
        <v>40</v>
      </c>
      <c r="R3867" t="s">
        <v>40</v>
      </c>
      <c r="S3867" t="s">
        <v>40</v>
      </c>
      <c r="V3867" t="s">
        <v>41</v>
      </c>
      <c r="W3867" t="s">
        <v>42</v>
      </c>
      <c r="X3867" t="str">
        <f>"1990910"</f>
        <v>1990910</v>
      </c>
      <c r="Y3867" t="s">
        <v>1281</v>
      </c>
      <c r="Z3867" t="s">
        <v>1268</v>
      </c>
      <c r="AA3867" t="s">
        <v>1269</v>
      </c>
      <c r="AB3867" t="s">
        <v>1270</v>
      </c>
      <c r="AC3867" t="s">
        <v>165</v>
      </c>
      <c r="AD3867" t="s">
        <v>45</v>
      </c>
      <c r="AE3867" s="1">
        <v>24992</v>
      </c>
      <c r="AF3867">
        <v>2</v>
      </c>
      <c r="AG3867" t="s">
        <v>1269</v>
      </c>
      <c r="AH3867" s="36">
        <f t="shared" si="60"/>
        <v>51.291666666666664</v>
      </c>
      <c r="AI3867" s="41" t="s">
        <v>1781</v>
      </c>
    </row>
    <row r="3868" spans="1:35" x14ac:dyDescent="0.25">
      <c r="A3868" s="36">
        <v>99913866</v>
      </c>
      <c r="B3868" s="17" t="s">
        <v>56</v>
      </c>
      <c r="C3868" t="s">
        <v>79</v>
      </c>
      <c r="D3868" t="s">
        <v>80</v>
      </c>
      <c r="G3868" s="17" t="s">
        <v>48</v>
      </c>
      <c r="H3868" s="17">
        <v>1</v>
      </c>
      <c r="K3868" t="s">
        <v>1496</v>
      </c>
      <c r="L3868" t="s">
        <v>1497</v>
      </c>
      <c r="M3868" t="s">
        <v>670</v>
      </c>
      <c r="N3868">
        <v>21</v>
      </c>
      <c r="O3868" t="s">
        <v>40</v>
      </c>
      <c r="P3868" t="s">
        <v>40</v>
      </c>
      <c r="Q3868" t="s">
        <v>40</v>
      </c>
      <c r="R3868" t="s">
        <v>40</v>
      </c>
      <c r="S3868" t="s">
        <v>40</v>
      </c>
      <c r="V3868" t="s">
        <v>41</v>
      </c>
      <c r="W3868" t="s">
        <v>42</v>
      </c>
      <c r="X3868" t="str">
        <f>"5080015"</f>
        <v>5080015</v>
      </c>
      <c r="Y3868" t="s">
        <v>1498</v>
      </c>
      <c r="Z3868" t="s">
        <v>1496</v>
      </c>
      <c r="AA3868" t="s">
        <v>1497</v>
      </c>
      <c r="AB3868" t="s">
        <v>670</v>
      </c>
      <c r="AC3868" t="s">
        <v>51</v>
      </c>
      <c r="AD3868" t="s">
        <v>45</v>
      </c>
      <c r="AE3868" s="1">
        <v>24992</v>
      </c>
      <c r="AF3868">
        <v>2</v>
      </c>
      <c r="AG3868" t="s">
        <v>1497</v>
      </c>
      <c r="AH3868" s="36">
        <f t="shared" si="60"/>
        <v>51.291666666666664</v>
      </c>
      <c r="AI3868" s="41" t="s">
        <v>1781</v>
      </c>
    </row>
    <row r="3869" spans="1:35" x14ac:dyDescent="0.25">
      <c r="A3869" s="36">
        <v>99913867</v>
      </c>
      <c r="B3869" s="17" t="s">
        <v>56</v>
      </c>
      <c r="C3869" t="s">
        <v>46</v>
      </c>
      <c r="D3869" t="s">
        <v>47</v>
      </c>
      <c r="G3869" s="17" t="s">
        <v>48</v>
      </c>
      <c r="H3869" s="17">
        <v>1</v>
      </c>
      <c r="K3869" t="s">
        <v>380</v>
      </c>
      <c r="L3869" t="s">
        <v>381</v>
      </c>
      <c r="M3869" t="s">
        <v>131</v>
      </c>
      <c r="N3869">
        <v>18</v>
      </c>
      <c r="O3869" t="s">
        <v>40</v>
      </c>
      <c r="P3869" t="s">
        <v>40</v>
      </c>
      <c r="Q3869" t="s">
        <v>40</v>
      </c>
      <c r="S3869" t="s">
        <v>40</v>
      </c>
      <c r="V3869" t="s">
        <v>41</v>
      </c>
      <c r="W3869" t="s">
        <v>42</v>
      </c>
      <c r="X3869" t="str">
        <f>"0590908"</f>
        <v>0590908</v>
      </c>
      <c r="Y3869" t="s">
        <v>382</v>
      </c>
      <c r="Z3869" t="s">
        <v>380</v>
      </c>
      <c r="AA3869" t="s">
        <v>381</v>
      </c>
      <c r="AB3869" t="s">
        <v>131</v>
      </c>
      <c r="AC3869" t="s">
        <v>51</v>
      </c>
      <c r="AD3869" t="s">
        <v>45</v>
      </c>
      <c r="AE3869" s="1">
        <v>24991</v>
      </c>
      <c r="AF3869">
        <v>2</v>
      </c>
      <c r="AG3869" t="s">
        <v>381</v>
      </c>
      <c r="AH3869" s="36">
        <f t="shared" si="60"/>
        <v>51.294444444444444</v>
      </c>
      <c r="AI3869" s="41" t="s">
        <v>1781</v>
      </c>
    </row>
    <row r="3870" spans="1:35" x14ac:dyDescent="0.25">
      <c r="A3870" s="36">
        <v>99913868</v>
      </c>
      <c r="B3870" s="17" t="s">
        <v>56</v>
      </c>
      <c r="C3870" t="s">
        <v>46</v>
      </c>
      <c r="D3870" t="s">
        <v>47</v>
      </c>
      <c r="G3870" s="17" t="s">
        <v>48</v>
      </c>
      <c r="H3870" s="17">
        <v>1</v>
      </c>
      <c r="K3870" t="s">
        <v>223</v>
      </c>
      <c r="L3870" t="s">
        <v>224</v>
      </c>
      <c r="M3870" t="s">
        <v>131</v>
      </c>
      <c r="N3870">
        <v>20</v>
      </c>
      <c r="O3870" t="s">
        <v>40</v>
      </c>
      <c r="P3870" t="s">
        <v>40</v>
      </c>
      <c r="Q3870" t="s">
        <v>40</v>
      </c>
      <c r="S3870" t="s">
        <v>40</v>
      </c>
      <c r="V3870" t="s">
        <v>41</v>
      </c>
      <c r="W3870" t="s">
        <v>42</v>
      </c>
      <c r="X3870" t="str">
        <f>"0580265"</f>
        <v>0580265</v>
      </c>
      <c r="Y3870" t="s">
        <v>231</v>
      </c>
      <c r="Z3870" t="s">
        <v>223</v>
      </c>
      <c r="AA3870" t="s">
        <v>224</v>
      </c>
      <c r="AB3870" t="s">
        <v>131</v>
      </c>
      <c r="AC3870" t="s">
        <v>51</v>
      </c>
      <c r="AD3870" t="s">
        <v>45</v>
      </c>
      <c r="AE3870" s="1">
        <v>24986</v>
      </c>
      <c r="AF3870">
        <v>2</v>
      </c>
      <c r="AG3870" t="s">
        <v>224</v>
      </c>
      <c r="AH3870" s="36">
        <f t="shared" si="60"/>
        <v>51.30833333333333</v>
      </c>
      <c r="AI3870" s="41" t="s">
        <v>1781</v>
      </c>
    </row>
    <row r="3871" spans="1:35" x14ac:dyDescent="0.25">
      <c r="A3871" s="36">
        <v>99913869</v>
      </c>
      <c r="B3871" s="17" t="s">
        <v>32</v>
      </c>
      <c r="C3871" t="s">
        <v>117</v>
      </c>
      <c r="D3871" t="s">
        <v>118</v>
      </c>
      <c r="G3871" s="17" t="s">
        <v>35</v>
      </c>
      <c r="H3871" s="17">
        <v>1</v>
      </c>
      <c r="I3871">
        <v>18277</v>
      </c>
      <c r="J3871" s="1">
        <v>43344</v>
      </c>
      <c r="K3871" t="s">
        <v>300</v>
      </c>
      <c r="L3871" t="s">
        <v>301</v>
      </c>
      <c r="M3871" t="s">
        <v>131</v>
      </c>
      <c r="N3871">
        <v>9</v>
      </c>
      <c r="O3871" t="s">
        <v>40</v>
      </c>
      <c r="S3871" t="s">
        <v>40</v>
      </c>
      <c r="U3871" s="1">
        <v>43344</v>
      </c>
      <c r="V3871" t="s">
        <v>41</v>
      </c>
      <c r="W3871" t="s">
        <v>49</v>
      </c>
      <c r="X3871" t="str">
        <f>"0560001"</f>
        <v>0560001</v>
      </c>
      <c r="Y3871" t="s">
        <v>304</v>
      </c>
      <c r="Z3871" t="s">
        <v>300</v>
      </c>
      <c r="AA3871" t="s">
        <v>301</v>
      </c>
      <c r="AB3871" t="s">
        <v>131</v>
      </c>
      <c r="AC3871" t="s">
        <v>55</v>
      </c>
      <c r="AD3871" t="s">
        <v>45</v>
      </c>
      <c r="AE3871" s="1">
        <v>24986</v>
      </c>
      <c r="AF3871">
        <v>2</v>
      </c>
      <c r="AG3871" t="s">
        <v>301</v>
      </c>
      <c r="AH3871" s="36">
        <f t="shared" si="60"/>
        <v>51.30833333333333</v>
      </c>
      <c r="AI3871" s="41" t="s">
        <v>1781</v>
      </c>
    </row>
    <row r="3872" spans="1:35" x14ac:dyDescent="0.25">
      <c r="A3872" s="36">
        <v>99913870</v>
      </c>
      <c r="B3872" s="17" t="s">
        <v>56</v>
      </c>
      <c r="C3872" t="s">
        <v>85</v>
      </c>
      <c r="D3872" t="s">
        <v>86</v>
      </c>
      <c r="G3872" s="17" t="s">
        <v>48</v>
      </c>
      <c r="H3872" s="17">
        <v>1</v>
      </c>
      <c r="K3872" t="s">
        <v>380</v>
      </c>
      <c r="L3872" t="s">
        <v>381</v>
      </c>
      <c r="M3872" t="s">
        <v>131</v>
      </c>
      <c r="N3872">
        <v>18</v>
      </c>
      <c r="O3872" t="s">
        <v>40</v>
      </c>
      <c r="P3872" t="s">
        <v>40</v>
      </c>
      <c r="Q3872" t="s">
        <v>40</v>
      </c>
      <c r="R3872" t="s">
        <v>40</v>
      </c>
      <c r="S3872" t="s">
        <v>40</v>
      </c>
      <c r="V3872" t="s">
        <v>41</v>
      </c>
      <c r="W3872" t="s">
        <v>49</v>
      </c>
      <c r="X3872" t="str">
        <f>"0591909"</f>
        <v>0591909</v>
      </c>
      <c r="Y3872" t="s">
        <v>385</v>
      </c>
      <c r="Z3872" t="s">
        <v>380</v>
      </c>
      <c r="AA3872" t="s">
        <v>381</v>
      </c>
      <c r="AB3872" t="s">
        <v>131</v>
      </c>
      <c r="AC3872" t="s">
        <v>51</v>
      </c>
      <c r="AD3872" t="s">
        <v>45</v>
      </c>
      <c r="AE3872" s="1">
        <v>24986</v>
      </c>
      <c r="AF3872">
        <v>2</v>
      </c>
      <c r="AG3872" t="s">
        <v>381</v>
      </c>
      <c r="AH3872" s="36">
        <f t="shared" si="60"/>
        <v>51.30833333333333</v>
      </c>
      <c r="AI3872" s="41" t="s">
        <v>1781</v>
      </c>
    </row>
    <row r="3873" spans="1:35" x14ac:dyDescent="0.25">
      <c r="A3873" s="36">
        <v>99913871</v>
      </c>
      <c r="B3873" s="17" t="s">
        <v>32</v>
      </c>
      <c r="C3873" t="s">
        <v>90</v>
      </c>
      <c r="D3873" t="s">
        <v>91</v>
      </c>
      <c r="G3873" s="17" t="s">
        <v>35</v>
      </c>
      <c r="H3873" s="17">
        <v>1</v>
      </c>
      <c r="I3873" t="s">
        <v>594</v>
      </c>
      <c r="J3873" s="1">
        <v>43344</v>
      </c>
      <c r="K3873" t="s">
        <v>268</v>
      </c>
      <c r="L3873" t="s">
        <v>269</v>
      </c>
      <c r="M3873" t="s">
        <v>131</v>
      </c>
      <c r="N3873">
        <v>25</v>
      </c>
      <c r="O3873" t="s">
        <v>40</v>
      </c>
      <c r="S3873" t="s">
        <v>40</v>
      </c>
      <c r="U3873" s="1">
        <v>43344</v>
      </c>
      <c r="V3873" t="s">
        <v>41</v>
      </c>
      <c r="W3873" t="s">
        <v>95</v>
      </c>
      <c r="X3873" t="str">
        <f>"7052041"</f>
        <v>7052041</v>
      </c>
      <c r="Y3873" t="s">
        <v>579</v>
      </c>
      <c r="Z3873" t="s">
        <v>268</v>
      </c>
      <c r="AA3873" t="s">
        <v>269</v>
      </c>
      <c r="AB3873" t="s">
        <v>131</v>
      </c>
      <c r="AC3873" t="s">
        <v>51</v>
      </c>
      <c r="AD3873" t="s">
        <v>45</v>
      </c>
      <c r="AE3873" s="1">
        <v>24986</v>
      </c>
      <c r="AF3873">
        <v>1</v>
      </c>
      <c r="AG3873" t="s">
        <v>269</v>
      </c>
      <c r="AH3873" s="36">
        <f t="shared" si="60"/>
        <v>51.30833333333333</v>
      </c>
      <c r="AI3873" s="41" t="s">
        <v>1781</v>
      </c>
    </row>
    <row r="3874" spans="1:35" x14ac:dyDescent="0.25">
      <c r="A3874" s="36">
        <v>99913872</v>
      </c>
      <c r="B3874" s="17" t="s">
        <v>56</v>
      </c>
      <c r="C3874" t="s">
        <v>68</v>
      </c>
      <c r="D3874" t="s">
        <v>69</v>
      </c>
      <c r="G3874" s="17" t="s">
        <v>35</v>
      </c>
      <c r="H3874" s="17">
        <v>1</v>
      </c>
      <c r="K3874" t="s">
        <v>300</v>
      </c>
      <c r="L3874" t="s">
        <v>301</v>
      </c>
      <c r="M3874" t="s">
        <v>131</v>
      </c>
      <c r="N3874">
        <v>18</v>
      </c>
      <c r="O3874" t="s">
        <v>40</v>
      </c>
      <c r="P3874" t="s">
        <v>40</v>
      </c>
      <c r="Q3874" t="s">
        <v>40</v>
      </c>
      <c r="R3874" t="s">
        <v>40</v>
      </c>
      <c r="S3874" t="s">
        <v>40</v>
      </c>
      <c r="V3874" t="s">
        <v>41</v>
      </c>
      <c r="W3874" t="s">
        <v>42</v>
      </c>
      <c r="X3874" t="str">
        <f>"0580023"</f>
        <v>0580023</v>
      </c>
      <c r="Y3874" t="s">
        <v>313</v>
      </c>
      <c r="Z3874" t="s">
        <v>300</v>
      </c>
      <c r="AA3874" t="s">
        <v>301</v>
      </c>
      <c r="AB3874" t="s">
        <v>131</v>
      </c>
      <c r="AC3874" t="s">
        <v>165</v>
      </c>
      <c r="AD3874" t="s">
        <v>45</v>
      </c>
      <c r="AE3874" s="1">
        <v>24980</v>
      </c>
      <c r="AF3874">
        <v>2</v>
      </c>
      <c r="AG3874" t="s">
        <v>301</v>
      </c>
      <c r="AH3874" s="36">
        <f t="shared" si="60"/>
        <v>51.325000000000003</v>
      </c>
      <c r="AI3874" s="41" t="s">
        <v>1781</v>
      </c>
    </row>
    <row r="3875" spans="1:35" x14ac:dyDescent="0.25">
      <c r="A3875" s="36">
        <v>99913873</v>
      </c>
      <c r="B3875" s="17" t="s">
        <v>32</v>
      </c>
      <c r="C3875" t="s">
        <v>141</v>
      </c>
      <c r="D3875" t="s">
        <v>142</v>
      </c>
      <c r="G3875" s="17" t="s">
        <v>48</v>
      </c>
      <c r="H3875" s="17">
        <v>1</v>
      </c>
      <c r="K3875" t="s">
        <v>380</v>
      </c>
      <c r="L3875" t="s">
        <v>381</v>
      </c>
      <c r="M3875" t="s">
        <v>131</v>
      </c>
      <c r="N3875">
        <v>11</v>
      </c>
      <c r="O3875" t="s">
        <v>40</v>
      </c>
      <c r="P3875" t="s">
        <v>40</v>
      </c>
      <c r="Q3875" t="s">
        <v>40</v>
      </c>
      <c r="R3875" t="s">
        <v>40</v>
      </c>
      <c r="S3875" t="s">
        <v>40</v>
      </c>
      <c r="V3875" t="s">
        <v>41</v>
      </c>
      <c r="W3875" t="s">
        <v>49</v>
      </c>
      <c r="X3875" t="str">
        <f>"0591909"</f>
        <v>0591909</v>
      </c>
      <c r="Y3875" t="s">
        <v>385</v>
      </c>
      <c r="Z3875" t="s">
        <v>380</v>
      </c>
      <c r="AA3875" t="s">
        <v>381</v>
      </c>
      <c r="AB3875" t="s">
        <v>131</v>
      </c>
      <c r="AC3875" t="s">
        <v>51</v>
      </c>
      <c r="AD3875" t="s">
        <v>45</v>
      </c>
      <c r="AE3875" s="1">
        <v>24980</v>
      </c>
      <c r="AF3875">
        <v>2</v>
      </c>
      <c r="AG3875" t="s">
        <v>381</v>
      </c>
      <c r="AH3875" s="36">
        <f t="shared" si="60"/>
        <v>51.325000000000003</v>
      </c>
      <c r="AI3875" s="41" t="s">
        <v>1781</v>
      </c>
    </row>
    <row r="3876" spans="1:35" x14ac:dyDescent="0.25">
      <c r="A3876" s="36">
        <v>99913874</v>
      </c>
      <c r="B3876" s="17" t="s">
        <v>32</v>
      </c>
      <c r="C3876" t="s">
        <v>139</v>
      </c>
      <c r="D3876" t="s">
        <v>140</v>
      </c>
      <c r="G3876" s="17" t="s">
        <v>35</v>
      </c>
      <c r="H3876" s="17">
        <v>1</v>
      </c>
      <c r="K3876" t="s">
        <v>431</v>
      </c>
      <c r="L3876" t="s">
        <v>196</v>
      </c>
      <c r="M3876" t="s">
        <v>131</v>
      </c>
      <c r="N3876">
        <v>10</v>
      </c>
      <c r="O3876" t="s">
        <v>40</v>
      </c>
      <c r="P3876" t="s">
        <v>40</v>
      </c>
      <c r="Q3876" t="s">
        <v>40</v>
      </c>
      <c r="S3876" t="s">
        <v>40</v>
      </c>
      <c r="V3876" t="s">
        <v>41</v>
      </c>
      <c r="W3876" t="s">
        <v>75</v>
      </c>
      <c r="X3876" t="str">
        <f>"7521032"</f>
        <v>7521032</v>
      </c>
      <c r="Y3876" t="s">
        <v>462</v>
      </c>
      <c r="Z3876" t="s">
        <v>431</v>
      </c>
      <c r="AA3876" t="s">
        <v>196</v>
      </c>
      <c r="AB3876" t="s">
        <v>131</v>
      </c>
      <c r="AC3876" t="s">
        <v>51</v>
      </c>
      <c r="AD3876" t="s">
        <v>45</v>
      </c>
      <c r="AE3876" s="1">
        <v>24976</v>
      </c>
      <c r="AF3876">
        <v>1</v>
      </c>
      <c r="AG3876" t="s">
        <v>196</v>
      </c>
      <c r="AH3876" s="36">
        <f t="shared" si="60"/>
        <v>51.336111111111109</v>
      </c>
      <c r="AI3876" s="41" t="s">
        <v>1781</v>
      </c>
    </row>
    <row r="3877" spans="1:35" x14ac:dyDescent="0.25">
      <c r="A3877" s="36">
        <v>99913875</v>
      </c>
      <c r="B3877" s="17" t="s">
        <v>32</v>
      </c>
      <c r="C3877" t="s">
        <v>79</v>
      </c>
      <c r="D3877" t="s">
        <v>80</v>
      </c>
      <c r="G3877" s="17" t="s">
        <v>48</v>
      </c>
      <c r="H3877" s="17">
        <v>1</v>
      </c>
      <c r="K3877" t="s">
        <v>162</v>
      </c>
      <c r="L3877" t="s">
        <v>158</v>
      </c>
      <c r="M3877" t="s">
        <v>131</v>
      </c>
      <c r="N3877">
        <v>18</v>
      </c>
      <c r="O3877" t="s">
        <v>40</v>
      </c>
      <c r="P3877" t="s">
        <v>40</v>
      </c>
      <c r="Q3877" t="s">
        <v>40</v>
      </c>
      <c r="R3877" t="s">
        <v>40</v>
      </c>
      <c r="S3877" t="s">
        <v>40</v>
      </c>
      <c r="V3877" t="s">
        <v>41</v>
      </c>
      <c r="W3877" t="s">
        <v>49</v>
      </c>
      <c r="X3877" t="str">
        <f>"0581325"</f>
        <v>0581325</v>
      </c>
      <c r="Y3877" t="s">
        <v>169</v>
      </c>
      <c r="Z3877" t="s">
        <v>162</v>
      </c>
      <c r="AA3877" t="s">
        <v>158</v>
      </c>
      <c r="AB3877" t="s">
        <v>131</v>
      </c>
      <c r="AC3877" t="s">
        <v>165</v>
      </c>
      <c r="AD3877" t="s">
        <v>45</v>
      </c>
      <c r="AE3877" s="1">
        <v>24975</v>
      </c>
      <c r="AF3877">
        <v>2</v>
      </c>
      <c r="AG3877" t="s">
        <v>158</v>
      </c>
      <c r="AH3877" s="36">
        <f t="shared" si="60"/>
        <v>51.338888888888889</v>
      </c>
      <c r="AI3877" s="41" t="s">
        <v>1781</v>
      </c>
    </row>
    <row r="3878" spans="1:35" x14ac:dyDescent="0.25">
      <c r="A3878" s="36">
        <v>99913876</v>
      </c>
      <c r="B3878" s="17" t="s">
        <v>32</v>
      </c>
      <c r="C3878" t="s">
        <v>64</v>
      </c>
      <c r="D3878" t="s">
        <v>65</v>
      </c>
      <c r="G3878" s="17" t="s">
        <v>35</v>
      </c>
      <c r="H3878" s="17">
        <v>1</v>
      </c>
      <c r="K3878" t="s">
        <v>223</v>
      </c>
      <c r="L3878" t="s">
        <v>224</v>
      </c>
      <c r="M3878" t="s">
        <v>131</v>
      </c>
      <c r="N3878">
        <v>18</v>
      </c>
      <c r="O3878" t="s">
        <v>40</v>
      </c>
      <c r="P3878" t="s">
        <v>40</v>
      </c>
      <c r="Q3878" t="s">
        <v>40</v>
      </c>
      <c r="R3878" t="s">
        <v>40</v>
      </c>
      <c r="S3878" t="s">
        <v>40</v>
      </c>
      <c r="V3878" t="s">
        <v>41</v>
      </c>
      <c r="W3878" t="s">
        <v>49</v>
      </c>
      <c r="X3878" t="str">
        <f>"0591901"</f>
        <v>0591901</v>
      </c>
      <c r="Y3878" t="s">
        <v>230</v>
      </c>
      <c r="Z3878" t="s">
        <v>223</v>
      </c>
      <c r="AA3878" t="s">
        <v>224</v>
      </c>
      <c r="AB3878" t="s">
        <v>131</v>
      </c>
      <c r="AC3878" t="s">
        <v>165</v>
      </c>
      <c r="AD3878" t="s">
        <v>45</v>
      </c>
      <c r="AE3878" s="1">
        <v>24975</v>
      </c>
      <c r="AF3878">
        <v>2</v>
      </c>
      <c r="AG3878" t="s">
        <v>224</v>
      </c>
      <c r="AH3878" s="36">
        <f t="shared" si="60"/>
        <v>51.338888888888889</v>
      </c>
      <c r="AI3878" s="41" t="s">
        <v>1781</v>
      </c>
    </row>
    <row r="3879" spans="1:35" x14ac:dyDescent="0.25">
      <c r="A3879" s="36">
        <v>99913877</v>
      </c>
      <c r="B3879" s="17" t="s">
        <v>56</v>
      </c>
      <c r="C3879" t="s">
        <v>82</v>
      </c>
      <c r="D3879" t="s">
        <v>83</v>
      </c>
      <c r="G3879" s="17" t="s">
        <v>48</v>
      </c>
      <c r="H3879" s="17">
        <v>1</v>
      </c>
      <c r="K3879" t="s">
        <v>380</v>
      </c>
      <c r="L3879" t="s">
        <v>381</v>
      </c>
      <c r="M3879" t="s">
        <v>131</v>
      </c>
      <c r="N3879">
        <v>16</v>
      </c>
      <c r="O3879" t="s">
        <v>40</v>
      </c>
      <c r="P3879" t="s">
        <v>40</v>
      </c>
      <c r="Q3879" t="s">
        <v>40</v>
      </c>
      <c r="R3879" t="s">
        <v>40</v>
      </c>
      <c r="S3879" t="s">
        <v>40</v>
      </c>
      <c r="V3879" t="s">
        <v>41</v>
      </c>
      <c r="W3879" t="s">
        <v>42</v>
      </c>
      <c r="X3879" t="str">
        <f>"0590908"</f>
        <v>0590908</v>
      </c>
      <c r="Y3879" t="s">
        <v>382</v>
      </c>
      <c r="Z3879" t="s">
        <v>380</v>
      </c>
      <c r="AA3879" t="s">
        <v>381</v>
      </c>
      <c r="AB3879" t="s">
        <v>131</v>
      </c>
      <c r="AC3879" t="s">
        <v>51</v>
      </c>
      <c r="AD3879" t="s">
        <v>45</v>
      </c>
      <c r="AE3879" s="1">
        <v>24974</v>
      </c>
      <c r="AF3879">
        <v>2</v>
      </c>
      <c r="AG3879" t="s">
        <v>381</v>
      </c>
      <c r="AH3879" s="36">
        <f t="shared" si="60"/>
        <v>51.341666666666669</v>
      </c>
      <c r="AI3879" s="41" t="s">
        <v>1781</v>
      </c>
    </row>
    <row r="3880" spans="1:35" x14ac:dyDescent="0.25">
      <c r="A3880" s="36">
        <v>99913878</v>
      </c>
      <c r="B3880" s="17" t="s">
        <v>32</v>
      </c>
      <c r="C3880" t="s">
        <v>52</v>
      </c>
      <c r="D3880" t="s">
        <v>53</v>
      </c>
      <c r="G3880" s="17" t="s">
        <v>48</v>
      </c>
      <c r="H3880" s="17">
        <v>12</v>
      </c>
      <c r="K3880" t="s">
        <v>1268</v>
      </c>
      <c r="L3880" t="s">
        <v>1269</v>
      </c>
      <c r="M3880" t="s">
        <v>1270</v>
      </c>
      <c r="N3880">
        <v>18</v>
      </c>
      <c r="O3880" t="s">
        <v>40</v>
      </c>
      <c r="P3880" t="s">
        <v>40</v>
      </c>
      <c r="Q3880" t="s">
        <v>40</v>
      </c>
      <c r="R3880" t="s">
        <v>40</v>
      </c>
      <c r="S3880" t="s">
        <v>40</v>
      </c>
      <c r="U3880" s="1">
        <v>43344</v>
      </c>
      <c r="V3880" t="s">
        <v>41</v>
      </c>
      <c r="W3880" t="s">
        <v>49</v>
      </c>
      <c r="X3880" t="str">
        <f>"1960001"</f>
        <v>1960001</v>
      </c>
      <c r="Y3880" t="s">
        <v>1272</v>
      </c>
      <c r="Z3880" t="s">
        <v>1268</v>
      </c>
      <c r="AA3880" t="s">
        <v>1269</v>
      </c>
      <c r="AB3880" t="s">
        <v>1270</v>
      </c>
      <c r="AC3880" t="s">
        <v>51</v>
      </c>
      <c r="AD3880" t="s">
        <v>45</v>
      </c>
      <c r="AE3880" s="1">
        <v>24969</v>
      </c>
      <c r="AF3880">
        <v>2</v>
      </c>
      <c r="AG3880" t="s">
        <v>1269</v>
      </c>
      <c r="AH3880" s="36">
        <f t="shared" si="60"/>
        <v>51.355555555555554</v>
      </c>
      <c r="AI3880" s="41" t="s">
        <v>1781</v>
      </c>
    </row>
    <row r="3881" spans="1:35" x14ac:dyDescent="0.25">
      <c r="A3881" s="36">
        <v>99913879</v>
      </c>
      <c r="B3881" s="17" t="s">
        <v>32</v>
      </c>
      <c r="C3881" t="s">
        <v>82</v>
      </c>
      <c r="D3881" t="s">
        <v>83</v>
      </c>
      <c r="G3881" s="17" t="s">
        <v>48</v>
      </c>
      <c r="H3881" s="17">
        <v>1</v>
      </c>
      <c r="K3881" t="s">
        <v>1128</v>
      </c>
      <c r="L3881" t="s">
        <v>1129</v>
      </c>
      <c r="M3881" t="s">
        <v>1130</v>
      </c>
      <c r="N3881">
        <v>20</v>
      </c>
      <c r="O3881" t="s">
        <v>40</v>
      </c>
      <c r="P3881" t="s">
        <v>40</v>
      </c>
      <c r="Q3881" t="s">
        <v>40</v>
      </c>
      <c r="R3881" t="s">
        <v>40</v>
      </c>
      <c r="S3881" t="s">
        <v>40</v>
      </c>
      <c r="V3881" t="s">
        <v>41</v>
      </c>
      <c r="W3881" t="s">
        <v>42</v>
      </c>
      <c r="X3881" t="str">
        <f>"3180010"</f>
        <v>3180010</v>
      </c>
      <c r="Y3881" t="s">
        <v>1132</v>
      </c>
      <c r="Z3881" t="s">
        <v>1128</v>
      </c>
      <c r="AA3881" t="s">
        <v>1129</v>
      </c>
      <c r="AB3881" t="s">
        <v>1130</v>
      </c>
      <c r="AC3881" t="s">
        <v>165</v>
      </c>
      <c r="AD3881" t="s">
        <v>45</v>
      </c>
      <c r="AE3881" s="1">
        <v>24968</v>
      </c>
      <c r="AF3881">
        <v>2</v>
      </c>
      <c r="AG3881" t="s">
        <v>1129</v>
      </c>
      <c r="AH3881" s="36">
        <f t="shared" si="60"/>
        <v>51.358333333333334</v>
      </c>
      <c r="AI3881" s="41" t="s">
        <v>1781</v>
      </c>
    </row>
    <row r="3882" spans="1:35" x14ac:dyDescent="0.25">
      <c r="A3882" s="36">
        <v>99913880</v>
      </c>
      <c r="B3882" s="17" t="s">
        <v>32</v>
      </c>
      <c r="C3882" t="s">
        <v>68</v>
      </c>
      <c r="D3882" t="s">
        <v>69</v>
      </c>
      <c r="G3882" s="17" t="s">
        <v>35</v>
      </c>
      <c r="H3882" s="17">
        <v>1</v>
      </c>
      <c r="K3882" t="s">
        <v>157</v>
      </c>
      <c r="L3882" t="s">
        <v>158</v>
      </c>
      <c r="M3882" t="s">
        <v>131</v>
      </c>
      <c r="N3882">
        <v>18</v>
      </c>
      <c r="O3882" t="s">
        <v>40</v>
      </c>
      <c r="P3882" t="s">
        <v>40</v>
      </c>
      <c r="Q3882" t="s">
        <v>40</v>
      </c>
      <c r="R3882" t="s">
        <v>40</v>
      </c>
      <c r="S3882" t="s">
        <v>40</v>
      </c>
      <c r="V3882" t="s">
        <v>41</v>
      </c>
      <c r="W3882" t="s">
        <v>49</v>
      </c>
      <c r="X3882" t="str">
        <f>"0560011"</f>
        <v>0560011</v>
      </c>
      <c r="Y3882" t="s">
        <v>185</v>
      </c>
      <c r="Z3882" t="s">
        <v>157</v>
      </c>
      <c r="AA3882" t="s">
        <v>158</v>
      </c>
      <c r="AB3882" t="s">
        <v>131</v>
      </c>
      <c r="AC3882" t="s">
        <v>165</v>
      </c>
      <c r="AD3882" t="s">
        <v>45</v>
      </c>
      <c r="AE3882" s="1">
        <v>24967</v>
      </c>
      <c r="AF3882">
        <v>2</v>
      </c>
      <c r="AG3882" t="s">
        <v>158</v>
      </c>
      <c r="AH3882" s="36">
        <f t="shared" si="60"/>
        <v>51.361111111111114</v>
      </c>
      <c r="AI3882" s="41" t="s">
        <v>1781</v>
      </c>
    </row>
    <row r="3883" spans="1:35" x14ac:dyDescent="0.25">
      <c r="A3883" s="36">
        <v>99913881</v>
      </c>
      <c r="B3883" s="17" t="s">
        <v>32</v>
      </c>
      <c r="C3883" t="s">
        <v>46</v>
      </c>
      <c r="D3883" t="s">
        <v>47</v>
      </c>
      <c r="G3883" s="17" t="s">
        <v>48</v>
      </c>
      <c r="H3883" s="17">
        <v>1</v>
      </c>
      <c r="K3883" t="s">
        <v>157</v>
      </c>
      <c r="L3883" t="s">
        <v>158</v>
      </c>
      <c r="M3883" t="s">
        <v>131</v>
      </c>
      <c r="N3883">
        <v>10</v>
      </c>
      <c r="O3883" t="s">
        <v>40</v>
      </c>
      <c r="P3883" t="s">
        <v>40</v>
      </c>
      <c r="Q3883" t="s">
        <v>40</v>
      </c>
      <c r="R3883" t="s">
        <v>40</v>
      </c>
      <c r="S3883" t="s">
        <v>40</v>
      </c>
      <c r="V3883" t="s">
        <v>41</v>
      </c>
      <c r="W3883" t="s">
        <v>49</v>
      </c>
      <c r="X3883" t="str">
        <f>"0560010"</f>
        <v>0560010</v>
      </c>
      <c r="Y3883" t="s">
        <v>179</v>
      </c>
      <c r="Z3883" t="s">
        <v>157</v>
      </c>
      <c r="AA3883" t="s">
        <v>158</v>
      </c>
      <c r="AB3883" t="s">
        <v>131</v>
      </c>
      <c r="AC3883" t="s">
        <v>51</v>
      </c>
      <c r="AD3883" t="s">
        <v>45</v>
      </c>
      <c r="AE3883" s="1">
        <v>24964</v>
      </c>
      <c r="AF3883">
        <v>2</v>
      </c>
      <c r="AG3883" t="s">
        <v>158</v>
      </c>
      <c r="AH3883" s="36">
        <f t="shared" si="60"/>
        <v>51.369444444444447</v>
      </c>
      <c r="AI3883" s="41" t="s">
        <v>1781</v>
      </c>
    </row>
    <row r="3884" spans="1:35" x14ac:dyDescent="0.25">
      <c r="A3884" s="36">
        <v>99913882</v>
      </c>
      <c r="B3884" s="17" t="s">
        <v>32</v>
      </c>
      <c r="C3884" t="s">
        <v>46</v>
      </c>
      <c r="D3884" t="s">
        <v>47</v>
      </c>
      <c r="G3884" s="17" t="s">
        <v>35</v>
      </c>
      <c r="H3884" s="17">
        <v>1</v>
      </c>
      <c r="I3884" t="s">
        <v>358</v>
      </c>
      <c r="J3884" s="1">
        <v>43344</v>
      </c>
      <c r="K3884" t="s">
        <v>345</v>
      </c>
      <c r="L3884" t="s">
        <v>346</v>
      </c>
      <c r="M3884" t="s">
        <v>131</v>
      </c>
      <c r="N3884">
        <v>23</v>
      </c>
      <c r="O3884" t="s">
        <v>40</v>
      </c>
      <c r="S3884" t="s">
        <v>40</v>
      </c>
      <c r="U3884" s="1">
        <v>43344</v>
      </c>
      <c r="V3884" t="s">
        <v>41</v>
      </c>
      <c r="W3884" t="s">
        <v>49</v>
      </c>
      <c r="X3884" t="str">
        <f>"0581660"</f>
        <v>0581660</v>
      </c>
      <c r="Y3884" t="s">
        <v>359</v>
      </c>
      <c r="Z3884" t="s">
        <v>345</v>
      </c>
      <c r="AA3884" t="s">
        <v>346</v>
      </c>
      <c r="AB3884" t="s">
        <v>131</v>
      </c>
      <c r="AC3884" t="s">
        <v>51</v>
      </c>
      <c r="AD3884" t="s">
        <v>45</v>
      </c>
      <c r="AE3884" s="1">
        <v>24963</v>
      </c>
      <c r="AF3884">
        <v>2</v>
      </c>
      <c r="AG3884" t="s">
        <v>346</v>
      </c>
      <c r="AH3884" s="36">
        <f t="shared" si="60"/>
        <v>51.37222222222222</v>
      </c>
      <c r="AI3884" s="41" t="s">
        <v>1781</v>
      </c>
    </row>
    <row r="3885" spans="1:35" x14ac:dyDescent="0.25">
      <c r="A3885" s="36">
        <v>99913883</v>
      </c>
      <c r="B3885" s="17" t="s">
        <v>32</v>
      </c>
      <c r="C3885" t="s">
        <v>79</v>
      </c>
      <c r="D3885" t="s">
        <v>80</v>
      </c>
      <c r="G3885" s="17" t="s">
        <v>48</v>
      </c>
      <c r="H3885" s="17">
        <v>1</v>
      </c>
      <c r="K3885" t="s">
        <v>431</v>
      </c>
      <c r="L3885" t="s">
        <v>196</v>
      </c>
      <c r="M3885" t="s">
        <v>131</v>
      </c>
      <c r="N3885">
        <v>21</v>
      </c>
      <c r="O3885" t="s">
        <v>40</v>
      </c>
      <c r="P3885" t="s">
        <v>40</v>
      </c>
      <c r="Q3885" t="s">
        <v>40</v>
      </c>
      <c r="S3885" t="s">
        <v>40</v>
      </c>
      <c r="V3885" t="s">
        <v>41</v>
      </c>
      <c r="W3885" t="s">
        <v>75</v>
      </c>
      <c r="X3885" t="str">
        <f>"7521016"</f>
        <v>7521016</v>
      </c>
      <c r="Y3885" t="s">
        <v>448</v>
      </c>
      <c r="Z3885" t="s">
        <v>431</v>
      </c>
      <c r="AA3885" t="s">
        <v>196</v>
      </c>
      <c r="AB3885" t="s">
        <v>131</v>
      </c>
      <c r="AC3885" t="s">
        <v>51</v>
      </c>
      <c r="AD3885" t="s">
        <v>45</v>
      </c>
      <c r="AE3885" s="1">
        <v>24963</v>
      </c>
      <c r="AF3885">
        <v>1</v>
      </c>
      <c r="AG3885" t="s">
        <v>196</v>
      </c>
      <c r="AH3885" s="36">
        <f t="shared" si="60"/>
        <v>51.37222222222222</v>
      </c>
      <c r="AI3885" s="41" t="s">
        <v>1781</v>
      </c>
    </row>
    <row r="3886" spans="1:35" x14ac:dyDescent="0.25">
      <c r="A3886" s="36">
        <v>99913884</v>
      </c>
      <c r="B3886" s="17" t="s">
        <v>56</v>
      </c>
      <c r="C3886" t="s">
        <v>52</v>
      </c>
      <c r="D3886" t="s">
        <v>53</v>
      </c>
      <c r="G3886" s="17" t="s">
        <v>48</v>
      </c>
      <c r="H3886" s="17">
        <v>1</v>
      </c>
      <c r="K3886" t="s">
        <v>1187</v>
      </c>
      <c r="L3886" t="s">
        <v>1188</v>
      </c>
      <c r="M3886" t="s">
        <v>1130</v>
      </c>
      <c r="N3886">
        <v>20</v>
      </c>
      <c r="O3886" t="s">
        <v>40</v>
      </c>
      <c r="P3886" t="s">
        <v>40</v>
      </c>
      <c r="Q3886" t="s">
        <v>40</v>
      </c>
      <c r="S3886" t="s">
        <v>40</v>
      </c>
      <c r="V3886" t="s">
        <v>41</v>
      </c>
      <c r="W3886" t="s">
        <v>42</v>
      </c>
      <c r="X3886" t="str">
        <f>"4580015"</f>
        <v>4580015</v>
      </c>
      <c r="Y3886" t="s">
        <v>1189</v>
      </c>
      <c r="Z3886" t="s">
        <v>1187</v>
      </c>
      <c r="AA3886" t="s">
        <v>1188</v>
      </c>
      <c r="AB3886" t="s">
        <v>1130</v>
      </c>
      <c r="AC3886" t="s">
        <v>51</v>
      </c>
      <c r="AD3886" t="s">
        <v>45</v>
      </c>
      <c r="AE3886" s="1">
        <v>24962</v>
      </c>
      <c r="AF3886">
        <v>2</v>
      </c>
      <c r="AG3886" t="s">
        <v>1188</v>
      </c>
      <c r="AH3886" s="36">
        <f t="shared" si="60"/>
        <v>51.375</v>
      </c>
      <c r="AI3886" s="41" t="s">
        <v>1781</v>
      </c>
    </row>
    <row r="3887" spans="1:35" x14ac:dyDescent="0.25">
      <c r="A3887" s="36">
        <v>99913885</v>
      </c>
      <c r="B3887" s="17" t="s">
        <v>32</v>
      </c>
      <c r="C3887" t="s">
        <v>139</v>
      </c>
      <c r="D3887" t="s">
        <v>140</v>
      </c>
      <c r="G3887" s="17" t="s">
        <v>35</v>
      </c>
      <c r="H3887" s="17">
        <v>1</v>
      </c>
      <c r="I3887" t="s">
        <v>348</v>
      </c>
      <c r="J3887" s="1">
        <v>43344</v>
      </c>
      <c r="K3887" t="s">
        <v>345</v>
      </c>
      <c r="L3887" t="s">
        <v>346</v>
      </c>
      <c r="M3887" t="s">
        <v>131</v>
      </c>
      <c r="N3887">
        <v>6</v>
      </c>
      <c r="O3887" t="s">
        <v>40</v>
      </c>
      <c r="S3887" t="s">
        <v>40</v>
      </c>
      <c r="U3887" s="1">
        <v>43344</v>
      </c>
      <c r="V3887" t="s">
        <v>41</v>
      </c>
      <c r="W3887" t="s">
        <v>49</v>
      </c>
      <c r="X3887" t="str">
        <f>"0581155"</f>
        <v>0581155</v>
      </c>
      <c r="Y3887" t="s">
        <v>349</v>
      </c>
      <c r="Z3887" t="s">
        <v>345</v>
      </c>
      <c r="AA3887" t="s">
        <v>346</v>
      </c>
      <c r="AB3887" t="s">
        <v>131</v>
      </c>
      <c r="AC3887" t="s">
        <v>51</v>
      </c>
      <c r="AD3887" t="s">
        <v>45</v>
      </c>
      <c r="AE3887" s="1">
        <v>24961</v>
      </c>
      <c r="AF3887">
        <v>2</v>
      </c>
      <c r="AG3887" t="s">
        <v>346</v>
      </c>
      <c r="AH3887" s="36">
        <f t="shared" si="60"/>
        <v>51.37777777777778</v>
      </c>
      <c r="AI3887" s="41" t="s">
        <v>1781</v>
      </c>
    </row>
    <row r="3888" spans="1:35" x14ac:dyDescent="0.25">
      <c r="A3888" s="36">
        <v>99913886</v>
      </c>
      <c r="B3888" s="17" t="s">
        <v>32</v>
      </c>
      <c r="C3888" t="s">
        <v>139</v>
      </c>
      <c r="D3888" t="s">
        <v>140</v>
      </c>
      <c r="G3888" s="17" t="s">
        <v>48</v>
      </c>
      <c r="H3888" s="17">
        <v>11</v>
      </c>
      <c r="I3888" t="s">
        <v>457</v>
      </c>
      <c r="J3888" s="1">
        <v>39326</v>
      </c>
      <c r="K3888" t="s">
        <v>195</v>
      </c>
      <c r="L3888" t="s">
        <v>196</v>
      </c>
      <c r="M3888" t="s">
        <v>131</v>
      </c>
      <c r="N3888">
        <v>21</v>
      </c>
      <c r="O3888" t="s">
        <v>40</v>
      </c>
      <c r="P3888" t="s">
        <v>40</v>
      </c>
      <c r="Q3888" t="s">
        <v>40</v>
      </c>
      <c r="R3888" t="s">
        <v>40</v>
      </c>
      <c r="S3888" t="s">
        <v>40</v>
      </c>
      <c r="U3888" s="1">
        <v>39326</v>
      </c>
      <c r="V3888" t="s">
        <v>41</v>
      </c>
      <c r="W3888" t="s">
        <v>75</v>
      </c>
      <c r="X3888" t="str">
        <f>"7521042"</f>
        <v>7521042</v>
      </c>
      <c r="Y3888" t="s">
        <v>440</v>
      </c>
      <c r="Z3888" t="s">
        <v>195</v>
      </c>
      <c r="AA3888" t="s">
        <v>196</v>
      </c>
      <c r="AB3888" t="s">
        <v>131</v>
      </c>
      <c r="AC3888" t="s">
        <v>165</v>
      </c>
      <c r="AD3888" t="s">
        <v>45</v>
      </c>
      <c r="AE3888" s="1">
        <v>24961</v>
      </c>
      <c r="AF3888">
        <v>1</v>
      </c>
      <c r="AG3888" t="s">
        <v>196</v>
      </c>
      <c r="AH3888" s="36">
        <f t="shared" si="60"/>
        <v>51.37777777777778</v>
      </c>
      <c r="AI3888" s="41" t="s">
        <v>1781</v>
      </c>
    </row>
    <row r="3889" spans="1:35" x14ac:dyDescent="0.25">
      <c r="A3889" s="36">
        <v>99913887</v>
      </c>
      <c r="B3889" s="17" t="s">
        <v>56</v>
      </c>
      <c r="C3889" t="s">
        <v>52</v>
      </c>
      <c r="D3889" t="s">
        <v>53</v>
      </c>
      <c r="G3889" s="17" t="s">
        <v>48</v>
      </c>
      <c r="H3889" s="17">
        <v>1</v>
      </c>
      <c r="K3889" t="s">
        <v>223</v>
      </c>
      <c r="L3889" t="s">
        <v>224</v>
      </c>
      <c r="M3889" t="s">
        <v>131</v>
      </c>
      <c r="N3889">
        <v>20</v>
      </c>
      <c r="O3889" t="s">
        <v>40</v>
      </c>
      <c r="P3889" t="s">
        <v>40</v>
      </c>
      <c r="Q3889" t="s">
        <v>40</v>
      </c>
      <c r="R3889" t="s">
        <v>40</v>
      </c>
      <c r="S3889" t="s">
        <v>40</v>
      </c>
      <c r="V3889" t="s">
        <v>41</v>
      </c>
      <c r="W3889" t="s">
        <v>42</v>
      </c>
      <c r="X3889" t="str">
        <f>"0580265"</f>
        <v>0580265</v>
      </c>
      <c r="Y3889" t="s">
        <v>231</v>
      </c>
      <c r="Z3889" t="s">
        <v>223</v>
      </c>
      <c r="AA3889" t="s">
        <v>224</v>
      </c>
      <c r="AB3889" t="s">
        <v>131</v>
      </c>
      <c r="AC3889" t="s">
        <v>51</v>
      </c>
      <c r="AD3889" t="s">
        <v>45</v>
      </c>
      <c r="AE3889" s="1">
        <v>24959</v>
      </c>
      <c r="AF3889">
        <v>2</v>
      </c>
      <c r="AG3889" t="s">
        <v>224</v>
      </c>
      <c r="AH3889" s="36">
        <f t="shared" si="60"/>
        <v>51.383333333333333</v>
      </c>
      <c r="AI3889" s="41" t="s">
        <v>1781</v>
      </c>
    </row>
    <row r="3890" spans="1:35" x14ac:dyDescent="0.25">
      <c r="A3890" s="36">
        <v>99913888</v>
      </c>
      <c r="B3890" s="17" t="s">
        <v>56</v>
      </c>
      <c r="C3890" t="s">
        <v>68</v>
      </c>
      <c r="D3890" t="s">
        <v>69</v>
      </c>
      <c r="G3890" s="17" t="s">
        <v>35</v>
      </c>
      <c r="H3890" s="17">
        <v>1</v>
      </c>
      <c r="I3890">
        <v>9266</v>
      </c>
      <c r="J3890" s="1">
        <v>43344</v>
      </c>
      <c r="K3890" t="s">
        <v>1325</v>
      </c>
      <c r="L3890" t="s">
        <v>1326</v>
      </c>
      <c r="M3890" t="s">
        <v>1270</v>
      </c>
      <c r="N3890">
        <v>19</v>
      </c>
      <c r="O3890" t="s">
        <v>40</v>
      </c>
      <c r="P3890" t="s">
        <v>40</v>
      </c>
      <c r="Q3890" t="s">
        <v>40</v>
      </c>
      <c r="R3890" t="s">
        <v>40</v>
      </c>
      <c r="S3890" t="s">
        <v>40</v>
      </c>
      <c r="U3890" s="1">
        <v>43344</v>
      </c>
      <c r="V3890" t="s">
        <v>41</v>
      </c>
      <c r="W3890" t="s">
        <v>42</v>
      </c>
      <c r="X3890" t="str">
        <f>"3980100"</f>
        <v>3980100</v>
      </c>
      <c r="Y3890" t="s">
        <v>1328</v>
      </c>
      <c r="Z3890" t="s">
        <v>1325</v>
      </c>
      <c r="AA3890" t="s">
        <v>1326</v>
      </c>
      <c r="AB3890" t="s">
        <v>1270</v>
      </c>
      <c r="AC3890" t="s">
        <v>51</v>
      </c>
      <c r="AD3890" t="s">
        <v>45</v>
      </c>
      <c r="AE3890" s="1">
        <v>24959</v>
      </c>
      <c r="AF3890">
        <v>2</v>
      </c>
      <c r="AG3890" t="s">
        <v>1326</v>
      </c>
      <c r="AH3890" s="36">
        <f t="shared" si="60"/>
        <v>51.383333333333333</v>
      </c>
      <c r="AI3890" s="41" t="s">
        <v>1781</v>
      </c>
    </row>
    <row r="3891" spans="1:35" x14ac:dyDescent="0.25">
      <c r="A3891" s="36">
        <v>99913889</v>
      </c>
      <c r="B3891" s="17" t="s">
        <v>32</v>
      </c>
      <c r="C3891" t="s">
        <v>46</v>
      </c>
      <c r="D3891" t="s">
        <v>47</v>
      </c>
      <c r="G3891" s="17" t="s">
        <v>48</v>
      </c>
      <c r="H3891" s="17">
        <v>1</v>
      </c>
      <c r="K3891" t="s">
        <v>157</v>
      </c>
      <c r="L3891" t="s">
        <v>158</v>
      </c>
      <c r="M3891" t="s">
        <v>131</v>
      </c>
      <c r="N3891">
        <v>19</v>
      </c>
      <c r="O3891" t="s">
        <v>40</v>
      </c>
      <c r="P3891" t="s">
        <v>40</v>
      </c>
      <c r="Q3891" t="s">
        <v>40</v>
      </c>
      <c r="R3891" t="s">
        <v>40</v>
      </c>
      <c r="S3891" t="s">
        <v>40</v>
      </c>
      <c r="V3891" t="s">
        <v>41</v>
      </c>
      <c r="W3891" t="s">
        <v>49</v>
      </c>
      <c r="X3891" t="str">
        <f>"0560011"</f>
        <v>0560011</v>
      </c>
      <c r="Y3891" t="s">
        <v>185</v>
      </c>
      <c r="Z3891" t="s">
        <v>157</v>
      </c>
      <c r="AA3891" t="s">
        <v>158</v>
      </c>
      <c r="AB3891" t="s">
        <v>131</v>
      </c>
      <c r="AC3891" t="s">
        <v>51</v>
      </c>
      <c r="AD3891" t="s">
        <v>45</v>
      </c>
      <c r="AE3891" s="1">
        <v>24957</v>
      </c>
      <c r="AF3891">
        <v>2</v>
      </c>
      <c r="AG3891" t="s">
        <v>158</v>
      </c>
      <c r="AH3891" s="36">
        <f t="shared" si="60"/>
        <v>51.388888888888886</v>
      </c>
      <c r="AI3891" s="41" t="s">
        <v>1781</v>
      </c>
    </row>
    <row r="3892" spans="1:35" x14ac:dyDescent="0.25">
      <c r="A3892" s="36">
        <v>99913890</v>
      </c>
      <c r="B3892" s="17" t="s">
        <v>32</v>
      </c>
      <c r="C3892" t="s">
        <v>64</v>
      </c>
      <c r="D3892" t="s">
        <v>65</v>
      </c>
      <c r="G3892" s="17" t="s">
        <v>48</v>
      </c>
      <c r="H3892" s="17">
        <v>1</v>
      </c>
      <c r="K3892" t="s">
        <v>300</v>
      </c>
      <c r="L3892" t="s">
        <v>301</v>
      </c>
      <c r="M3892" t="s">
        <v>131</v>
      </c>
      <c r="N3892">
        <v>18</v>
      </c>
      <c r="O3892" t="s">
        <v>40</v>
      </c>
      <c r="P3892" t="s">
        <v>40</v>
      </c>
      <c r="Q3892" t="s">
        <v>40</v>
      </c>
      <c r="R3892" t="s">
        <v>40</v>
      </c>
      <c r="S3892" t="s">
        <v>40</v>
      </c>
      <c r="V3892" t="s">
        <v>41</v>
      </c>
      <c r="W3892" t="s">
        <v>49</v>
      </c>
      <c r="X3892" t="str">
        <f>"0560001"</f>
        <v>0560001</v>
      </c>
      <c r="Y3892" t="s">
        <v>304</v>
      </c>
      <c r="Z3892" t="s">
        <v>300</v>
      </c>
      <c r="AA3892" t="s">
        <v>301</v>
      </c>
      <c r="AB3892" t="s">
        <v>131</v>
      </c>
      <c r="AC3892" t="s">
        <v>51</v>
      </c>
      <c r="AD3892" t="s">
        <v>45</v>
      </c>
      <c r="AE3892" s="1">
        <v>24957</v>
      </c>
      <c r="AF3892">
        <v>2</v>
      </c>
      <c r="AG3892" t="s">
        <v>301</v>
      </c>
      <c r="AH3892" s="36">
        <f t="shared" si="60"/>
        <v>51.388888888888886</v>
      </c>
      <c r="AI3892" s="41" t="s">
        <v>1781</v>
      </c>
    </row>
    <row r="3893" spans="1:35" x14ac:dyDescent="0.25">
      <c r="A3893" s="36">
        <v>99913891</v>
      </c>
      <c r="B3893" s="17" t="s">
        <v>32</v>
      </c>
      <c r="C3893" t="s">
        <v>46</v>
      </c>
      <c r="D3893" t="s">
        <v>47</v>
      </c>
      <c r="G3893" s="17" t="s">
        <v>48</v>
      </c>
      <c r="H3893" s="17">
        <v>1</v>
      </c>
      <c r="K3893" t="s">
        <v>157</v>
      </c>
      <c r="L3893" t="s">
        <v>158</v>
      </c>
      <c r="M3893" t="s">
        <v>131</v>
      </c>
      <c r="N3893">
        <v>18</v>
      </c>
      <c r="O3893" t="s">
        <v>40</v>
      </c>
      <c r="P3893" t="s">
        <v>40</v>
      </c>
      <c r="Q3893" t="s">
        <v>40</v>
      </c>
      <c r="S3893" t="s">
        <v>40</v>
      </c>
      <c r="V3893" t="s">
        <v>41</v>
      </c>
      <c r="W3893" t="s">
        <v>42</v>
      </c>
      <c r="X3893" t="str">
        <f>"0580290"</f>
        <v>0580290</v>
      </c>
      <c r="Y3893" t="s">
        <v>171</v>
      </c>
      <c r="Z3893" t="s">
        <v>157</v>
      </c>
      <c r="AA3893" t="s">
        <v>158</v>
      </c>
      <c r="AB3893" t="s">
        <v>131</v>
      </c>
      <c r="AC3893" t="s">
        <v>51</v>
      </c>
      <c r="AD3893" t="s">
        <v>45</v>
      </c>
      <c r="AE3893" s="1">
        <v>24956</v>
      </c>
      <c r="AF3893">
        <v>2</v>
      </c>
      <c r="AG3893" t="s">
        <v>158</v>
      </c>
      <c r="AH3893" s="36">
        <f t="shared" si="60"/>
        <v>51.391666666666666</v>
      </c>
      <c r="AI3893" s="41" t="s">
        <v>1781</v>
      </c>
    </row>
    <row r="3894" spans="1:35" x14ac:dyDescent="0.25">
      <c r="A3894" s="36">
        <v>99913892</v>
      </c>
      <c r="B3894" s="17" t="s">
        <v>56</v>
      </c>
      <c r="C3894" t="s">
        <v>149</v>
      </c>
      <c r="D3894" t="s">
        <v>150</v>
      </c>
      <c r="E3894" t="s">
        <v>251</v>
      </c>
      <c r="F3894" t="s">
        <v>252</v>
      </c>
      <c r="G3894" s="17" t="s">
        <v>35</v>
      </c>
      <c r="H3894" s="17">
        <v>1</v>
      </c>
      <c r="K3894" t="s">
        <v>223</v>
      </c>
      <c r="L3894" t="s">
        <v>224</v>
      </c>
      <c r="M3894" t="s">
        <v>131</v>
      </c>
      <c r="N3894">
        <v>16</v>
      </c>
      <c r="O3894" t="s">
        <v>40</v>
      </c>
      <c r="P3894" t="s">
        <v>40</v>
      </c>
      <c r="Q3894" t="s">
        <v>40</v>
      </c>
      <c r="R3894" t="s">
        <v>40</v>
      </c>
      <c r="S3894" t="s">
        <v>40</v>
      </c>
      <c r="V3894" t="s">
        <v>41</v>
      </c>
      <c r="W3894" t="s">
        <v>49</v>
      </c>
      <c r="X3894" t="str">
        <f>"0591901"</f>
        <v>0591901</v>
      </c>
      <c r="Y3894" t="s">
        <v>230</v>
      </c>
      <c r="Z3894" t="s">
        <v>223</v>
      </c>
      <c r="AA3894" t="s">
        <v>224</v>
      </c>
      <c r="AB3894" t="s">
        <v>131</v>
      </c>
      <c r="AC3894" t="s">
        <v>51</v>
      </c>
      <c r="AD3894" t="s">
        <v>45</v>
      </c>
      <c r="AE3894" s="1">
        <v>24956</v>
      </c>
      <c r="AF3894">
        <v>2</v>
      </c>
      <c r="AG3894" t="s">
        <v>224</v>
      </c>
      <c r="AH3894" s="36">
        <f t="shared" si="60"/>
        <v>51.391666666666666</v>
      </c>
      <c r="AI3894" s="41" t="s">
        <v>1781</v>
      </c>
    </row>
    <row r="3895" spans="1:35" x14ac:dyDescent="0.25">
      <c r="A3895" s="36">
        <v>99913893</v>
      </c>
      <c r="B3895" s="17" t="s">
        <v>32</v>
      </c>
      <c r="C3895" t="s">
        <v>46</v>
      </c>
      <c r="D3895" t="s">
        <v>47</v>
      </c>
      <c r="G3895" s="17" t="s">
        <v>48</v>
      </c>
      <c r="H3895" s="17">
        <v>1</v>
      </c>
      <c r="K3895" t="s">
        <v>1268</v>
      </c>
      <c r="L3895" t="s">
        <v>1269</v>
      </c>
      <c r="M3895" t="s">
        <v>1270</v>
      </c>
      <c r="N3895">
        <v>18</v>
      </c>
      <c r="O3895" t="s">
        <v>40</v>
      </c>
      <c r="P3895" t="s">
        <v>40</v>
      </c>
      <c r="Q3895" t="s">
        <v>40</v>
      </c>
      <c r="R3895" t="s">
        <v>40</v>
      </c>
      <c r="S3895" t="s">
        <v>40</v>
      </c>
      <c r="V3895" t="s">
        <v>41</v>
      </c>
      <c r="W3895" t="s">
        <v>42</v>
      </c>
      <c r="X3895" t="str">
        <f>"1990910"</f>
        <v>1990910</v>
      </c>
      <c r="Y3895" t="s">
        <v>1281</v>
      </c>
      <c r="Z3895" t="s">
        <v>1268</v>
      </c>
      <c r="AA3895" t="s">
        <v>1269</v>
      </c>
      <c r="AB3895" t="s">
        <v>1270</v>
      </c>
      <c r="AC3895" t="s">
        <v>165</v>
      </c>
      <c r="AD3895" t="s">
        <v>45</v>
      </c>
      <c r="AE3895" s="1">
        <v>24956</v>
      </c>
      <c r="AF3895">
        <v>2</v>
      </c>
      <c r="AG3895" t="s">
        <v>1269</v>
      </c>
      <c r="AH3895" s="36">
        <f t="shared" si="60"/>
        <v>51.391666666666666</v>
      </c>
      <c r="AI3895" s="41" t="s">
        <v>1781</v>
      </c>
    </row>
    <row r="3896" spans="1:35" x14ac:dyDescent="0.25">
      <c r="A3896" s="36">
        <v>99913894</v>
      </c>
      <c r="B3896" s="17" t="s">
        <v>32</v>
      </c>
      <c r="C3896" t="s">
        <v>64</v>
      </c>
      <c r="D3896" t="s">
        <v>65</v>
      </c>
      <c r="G3896" s="17" t="s">
        <v>35</v>
      </c>
      <c r="H3896" s="17">
        <v>1</v>
      </c>
      <c r="K3896" t="s">
        <v>154</v>
      </c>
      <c r="L3896" t="s">
        <v>155</v>
      </c>
      <c r="M3896" t="s">
        <v>131</v>
      </c>
      <c r="N3896">
        <v>21</v>
      </c>
      <c r="O3896" t="s">
        <v>40</v>
      </c>
      <c r="P3896" t="s">
        <v>40</v>
      </c>
      <c r="Q3896" t="s">
        <v>40</v>
      </c>
      <c r="R3896" t="s">
        <v>40</v>
      </c>
      <c r="S3896" t="s">
        <v>40</v>
      </c>
      <c r="V3896" t="s">
        <v>41</v>
      </c>
      <c r="W3896" t="s">
        <v>75</v>
      </c>
      <c r="X3896" t="str">
        <f>"7051014"</f>
        <v>7051014</v>
      </c>
      <c r="Y3896" t="s">
        <v>398</v>
      </c>
      <c r="Z3896" t="s">
        <v>154</v>
      </c>
      <c r="AA3896" t="s">
        <v>155</v>
      </c>
      <c r="AB3896" t="s">
        <v>131</v>
      </c>
      <c r="AC3896" t="s">
        <v>165</v>
      </c>
      <c r="AD3896" t="s">
        <v>45</v>
      </c>
      <c r="AE3896" s="1">
        <v>24954</v>
      </c>
      <c r="AF3896">
        <v>1</v>
      </c>
      <c r="AG3896" t="s">
        <v>155</v>
      </c>
      <c r="AH3896" s="36">
        <f t="shared" si="60"/>
        <v>51.397222222222226</v>
      </c>
      <c r="AI3896" s="41" t="s">
        <v>1781</v>
      </c>
    </row>
    <row r="3897" spans="1:35" x14ac:dyDescent="0.25">
      <c r="A3897" s="36">
        <v>99913895</v>
      </c>
      <c r="B3897" s="17" t="s">
        <v>32</v>
      </c>
      <c r="C3897" t="s">
        <v>139</v>
      </c>
      <c r="D3897" t="s">
        <v>140</v>
      </c>
      <c r="G3897" s="17" t="s">
        <v>48</v>
      </c>
      <c r="H3897" s="17">
        <v>1</v>
      </c>
      <c r="K3897" t="s">
        <v>223</v>
      </c>
      <c r="L3897" t="s">
        <v>224</v>
      </c>
      <c r="M3897" t="s">
        <v>131</v>
      </c>
      <c r="N3897">
        <v>22</v>
      </c>
      <c r="O3897" t="s">
        <v>40</v>
      </c>
      <c r="P3897" t="s">
        <v>40</v>
      </c>
      <c r="Q3897" t="s">
        <v>40</v>
      </c>
      <c r="S3897" t="s">
        <v>40</v>
      </c>
      <c r="V3897" t="s">
        <v>41</v>
      </c>
      <c r="W3897" t="s">
        <v>49</v>
      </c>
      <c r="X3897" t="str">
        <f>"0581206"</f>
        <v>0581206</v>
      </c>
      <c r="Y3897" t="s">
        <v>232</v>
      </c>
      <c r="Z3897" t="s">
        <v>223</v>
      </c>
      <c r="AA3897" t="s">
        <v>224</v>
      </c>
      <c r="AB3897" t="s">
        <v>131</v>
      </c>
      <c r="AC3897" t="s">
        <v>51</v>
      </c>
      <c r="AD3897" t="s">
        <v>45</v>
      </c>
      <c r="AE3897" s="1">
        <v>24953</v>
      </c>
      <c r="AF3897">
        <v>2</v>
      </c>
      <c r="AG3897" t="s">
        <v>224</v>
      </c>
      <c r="AH3897" s="36">
        <f t="shared" si="60"/>
        <v>51.4</v>
      </c>
      <c r="AI3897" s="41" t="s">
        <v>1781</v>
      </c>
    </row>
    <row r="3898" spans="1:35" x14ac:dyDescent="0.25">
      <c r="A3898" s="36">
        <v>99913896</v>
      </c>
      <c r="B3898" s="17" t="s">
        <v>32</v>
      </c>
      <c r="C3898" t="s">
        <v>64</v>
      </c>
      <c r="D3898" t="s">
        <v>65</v>
      </c>
      <c r="G3898" s="17" t="s">
        <v>48</v>
      </c>
      <c r="H3898" s="17">
        <v>1</v>
      </c>
      <c r="K3898" t="s">
        <v>223</v>
      </c>
      <c r="L3898" t="s">
        <v>224</v>
      </c>
      <c r="M3898" t="s">
        <v>131</v>
      </c>
      <c r="N3898">
        <v>21</v>
      </c>
      <c r="O3898" t="s">
        <v>40</v>
      </c>
      <c r="P3898" t="s">
        <v>40</v>
      </c>
      <c r="Q3898" t="s">
        <v>40</v>
      </c>
      <c r="R3898" t="s">
        <v>40</v>
      </c>
      <c r="S3898" t="s">
        <v>40</v>
      </c>
      <c r="V3898" t="s">
        <v>41</v>
      </c>
      <c r="W3898" t="s">
        <v>49</v>
      </c>
      <c r="X3898" t="str">
        <f>"0540902"</f>
        <v>0540902</v>
      </c>
      <c r="Y3898" t="s">
        <v>256</v>
      </c>
      <c r="Z3898" t="s">
        <v>223</v>
      </c>
      <c r="AA3898" t="s">
        <v>224</v>
      </c>
      <c r="AB3898" t="s">
        <v>131</v>
      </c>
      <c r="AC3898" t="s">
        <v>51</v>
      </c>
      <c r="AD3898" t="s">
        <v>45</v>
      </c>
      <c r="AE3898" s="1">
        <v>24952</v>
      </c>
      <c r="AF3898">
        <v>2</v>
      </c>
      <c r="AG3898" t="s">
        <v>224</v>
      </c>
      <c r="AH3898" s="36">
        <f t="shared" si="60"/>
        <v>51.402777777777779</v>
      </c>
      <c r="AI3898" s="41" t="s">
        <v>1781</v>
      </c>
    </row>
    <row r="3899" spans="1:35" x14ac:dyDescent="0.25">
      <c r="A3899" s="36">
        <v>99913897</v>
      </c>
      <c r="B3899" s="17" t="s">
        <v>56</v>
      </c>
      <c r="C3899" t="s">
        <v>145</v>
      </c>
      <c r="D3899" t="s">
        <v>146</v>
      </c>
      <c r="G3899" s="17" t="s">
        <v>35</v>
      </c>
      <c r="H3899" s="17">
        <v>1</v>
      </c>
      <c r="J3899" s="1">
        <v>38595</v>
      </c>
      <c r="K3899" t="s">
        <v>1336</v>
      </c>
      <c r="L3899" t="s">
        <v>1337</v>
      </c>
      <c r="M3899" t="s">
        <v>1270</v>
      </c>
      <c r="N3899">
        <v>15</v>
      </c>
      <c r="O3899" t="s">
        <v>40</v>
      </c>
      <c r="P3899" t="s">
        <v>40</v>
      </c>
      <c r="Q3899" t="s">
        <v>40</v>
      </c>
      <c r="R3899" t="s">
        <v>40</v>
      </c>
      <c r="S3899" t="s">
        <v>40</v>
      </c>
      <c r="U3899" s="1">
        <v>38595</v>
      </c>
      <c r="V3899" t="s">
        <v>41</v>
      </c>
      <c r="W3899" t="s">
        <v>42</v>
      </c>
      <c r="X3899" t="str">
        <f>"4475070"</f>
        <v>4475070</v>
      </c>
      <c r="Y3899" t="s">
        <v>1338</v>
      </c>
      <c r="Z3899" t="s">
        <v>1336</v>
      </c>
      <c r="AA3899" t="s">
        <v>1337</v>
      </c>
      <c r="AB3899" t="s">
        <v>1270</v>
      </c>
      <c r="AC3899" t="s">
        <v>51</v>
      </c>
      <c r="AD3899" t="s">
        <v>45</v>
      </c>
      <c r="AE3899" s="1">
        <v>24952</v>
      </c>
      <c r="AF3899">
        <v>2</v>
      </c>
      <c r="AG3899" t="s">
        <v>1337</v>
      </c>
      <c r="AH3899" s="36">
        <f t="shared" si="60"/>
        <v>51.402777777777779</v>
      </c>
      <c r="AI3899" s="41" t="s">
        <v>1781</v>
      </c>
    </row>
    <row r="3900" spans="1:35" x14ac:dyDescent="0.25">
      <c r="A3900" s="36">
        <v>99913898</v>
      </c>
      <c r="B3900" s="17" t="s">
        <v>56</v>
      </c>
      <c r="C3900" t="s">
        <v>85</v>
      </c>
      <c r="D3900" t="s">
        <v>86</v>
      </c>
      <c r="G3900" s="17" t="s">
        <v>48</v>
      </c>
      <c r="H3900" s="17">
        <v>14</v>
      </c>
      <c r="K3900" t="s">
        <v>162</v>
      </c>
      <c r="L3900" t="s">
        <v>158</v>
      </c>
      <c r="M3900" t="s">
        <v>131</v>
      </c>
      <c r="N3900">
        <v>14</v>
      </c>
      <c r="O3900" t="s">
        <v>40</v>
      </c>
      <c r="P3900" t="s">
        <v>40</v>
      </c>
      <c r="Q3900" t="s">
        <v>40</v>
      </c>
      <c r="R3900" t="s">
        <v>40</v>
      </c>
      <c r="S3900" t="s">
        <v>40</v>
      </c>
      <c r="V3900" t="s">
        <v>41</v>
      </c>
      <c r="W3900" t="s">
        <v>42</v>
      </c>
      <c r="X3900" t="str">
        <f>"0580330"</f>
        <v>0580330</v>
      </c>
      <c r="Y3900" t="s">
        <v>176</v>
      </c>
      <c r="Z3900" t="s">
        <v>162</v>
      </c>
      <c r="AA3900" t="s">
        <v>158</v>
      </c>
      <c r="AB3900" t="s">
        <v>131</v>
      </c>
      <c r="AC3900" t="s">
        <v>51</v>
      </c>
      <c r="AD3900" t="s">
        <v>45</v>
      </c>
      <c r="AE3900" s="1">
        <v>24951</v>
      </c>
      <c r="AF3900">
        <v>2</v>
      </c>
      <c r="AG3900" t="s">
        <v>158</v>
      </c>
      <c r="AH3900" s="36">
        <f t="shared" si="60"/>
        <v>51.405555555555559</v>
      </c>
      <c r="AI3900" s="41" t="s">
        <v>1781</v>
      </c>
    </row>
    <row r="3901" spans="1:35" x14ac:dyDescent="0.25">
      <c r="A3901" s="36">
        <v>99913899</v>
      </c>
      <c r="B3901" s="17" t="s">
        <v>56</v>
      </c>
      <c r="C3901" t="s">
        <v>111</v>
      </c>
      <c r="D3901" t="s">
        <v>112</v>
      </c>
      <c r="G3901" s="17" t="s">
        <v>48</v>
      </c>
      <c r="H3901" s="17">
        <v>1</v>
      </c>
      <c r="K3901" t="s">
        <v>354</v>
      </c>
      <c r="L3901" t="s">
        <v>355</v>
      </c>
      <c r="M3901" t="s">
        <v>131</v>
      </c>
      <c r="N3901">
        <v>21</v>
      </c>
      <c r="O3901" t="s">
        <v>40</v>
      </c>
      <c r="P3901" t="s">
        <v>40</v>
      </c>
      <c r="Q3901" t="s">
        <v>40</v>
      </c>
      <c r="S3901" t="s">
        <v>40</v>
      </c>
      <c r="V3901" t="s">
        <v>41</v>
      </c>
      <c r="W3901" t="s">
        <v>75</v>
      </c>
      <c r="X3901" t="str">
        <f>"7054022"</f>
        <v>7054022</v>
      </c>
      <c r="Y3901" t="s">
        <v>770</v>
      </c>
      <c r="Z3901" t="s">
        <v>354</v>
      </c>
      <c r="AA3901" t="s">
        <v>355</v>
      </c>
      <c r="AB3901" t="s">
        <v>131</v>
      </c>
      <c r="AC3901" t="s">
        <v>51</v>
      </c>
      <c r="AD3901" t="s">
        <v>45</v>
      </c>
      <c r="AE3901" s="1">
        <v>24951</v>
      </c>
      <c r="AF3901">
        <v>1</v>
      </c>
      <c r="AG3901" t="s">
        <v>355</v>
      </c>
      <c r="AH3901" s="36">
        <f t="shared" si="60"/>
        <v>51.405555555555559</v>
      </c>
      <c r="AI3901" s="41" t="s">
        <v>1781</v>
      </c>
    </row>
    <row r="3902" spans="1:35" x14ac:dyDescent="0.25">
      <c r="A3902" s="36">
        <v>99913900</v>
      </c>
      <c r="B3902" s="17" t="s">
        <v>56</v>
      </c>
      <c r="C3902" t="s">
        <v>52</v>
      </c>
      <c r="D3902" t="s">
        <v>53</v>
      </c>
      <c r="G3902" s="17" t="s">
        <v>48</v>
      </c>
      <c r="H3902" s="17">
        <v>1</v>
      </c>
      <c r="K3902" t="s">
        <v>223</v>
      </c>
      <c r="L3902" t="s">
        <v>224</v>
      </c>
      <c r="M3902" t="s">
        <v>131</v>
      </c>
      <c r="N3902">
        <v>21</v>
      </c>
      <c r="O3902" t="s">
        <v>40</v>
      </c>
      <c r="P3902" t="s">
        <v>40</v>
      </c>
      <c r="Q3902" t="s">
        <v>40</v>
      </c>
      <c r="R3902" t="s">
        <v>40</v>
      </c>
      <c r="S3902" t="s">
        <v>40</v>
      </c>
      <c r="V3902" t="s">
        <v>41</v>
      </c>
      <c r="W3902" t="s">
        <v>42</v>
      </c>
      <c r="X3902" t="str">
        <f>"0590910"</f>
        <v>0590910</v>
      </c>
      <c r="Y3902" t="s">
        <v>227</v>
      </c>
      <c r="Z3902" t="s">
        <v>223</v>
      </c>
      <c r="AA3902" t="s">
        <v>224</v>
      </c>
      <c r="AB3902" t="s">
        <v>131</v>
      </c>
      <c r="AC3902" t="s">
        <v>51</v>
      </c>
      <c r="AD3902" t="s">
        <v>45</v>
      </c>
      <c r="AE3902" s="1">
        <v>24948</v>
      </c>
      <c r="AF3902">
        <v>2</v>
      </c>
      <c r="AG3902" t="s">
        <v>224</v>
      </c>
      <c r="AH3902" s="36">
        <f t="shared" si="60"/>
        <v>51.413888888888891</v>
      </c>
      <c r="AI3902" s="41" t="s">
        <v>1781</v>
      </c>
    </row>
    <row r="3903" spans="1:35" x14ac:dyDescent="0.25">
      <c r="A3903" s="36">
        <v>99913901</v>
      </c>
      <c r="B3903" s="17" t="s">
        <v>32</v>
      </c>
      <c r="C3903" t="s">
        <v>64</v>
      </c>
      <c r="D3903" t="s">
        <v>65</v>
      </c>
      <c r="G3903" s="17" t="s">
        <v>48</v>
      </c>
      <c r="H3903" s="17">
        <v>1</v>
      </c>
      <c r="K3903" t="s">
        <v>223</v>
      </c>
      <c r="L3903" t="s">
        <v>224</v>
      </c>
      <c r="M3903" t="s">
        <v>131</v>
      </c>
      <c r="N3903">
        <v>18</v>
      </c>
      <c r="O3903" t="s">
        <v>40</v>
      </c>
      <c r="P3903" t="s">
        <v>40</v>
      </c>
      <c r="Q3903" t="s">
        <v>40</v>
      </c>
      <c r="R3903" t="s">
        <v>40</v>
      </c>
      <c r="S3903" t="s">
        <v>40</v>
      </c>
      <c r="V3903" t="s">
        <v>41</v>
      </c>
      <c r="W3903" t="s">
        <v>49</v>
      </c>
      <c r="X3903" t="str">
        <f>"0581202"</f>
        <v>0581202</v>
      </c>
      <c r="Y3903" t="s">
        <v>248</v>
      </c>
      <c r="Z3903" t="s">
        <v>223</v>
      </c>
      <c r="AA3903" t="s">
        <v>224</v>
      </c>
      <c r="AB3903" t="s">
        <v>131</v>
      </c>
      <c r="AC3903" t="s">
        <v>165</v>
      </c>
      <c r="AD3903" t="s">
        <v>45</v>
      </c>
      <c r="AE3903" s="1">
        <v>24948</v>
      </c>
      <c r="AF3903">
        <v>2</v>
      </c>
      <c r="AG3903" t="s">
        <v>224</v>
      </c>
      <c r="AH3903" s="36">
        <f t="shared" si="60"/>
        <v>51.413888888888891</v>
      </c>
      <c r="AI3903" s="41" t="s">
        <v>1781</v>
      </c>
    </row>
    <row r="3904" spans="1:35" x14ac:dyDescent="0.25">
      <c r="A3904" s="36">
        <v>99913902</v>
      </c>
      <c r="B3904" s="17" t="s">
        <v>56</v>
      </c>
      <c r="C3904" t="s">
        <v>85</v>
      </c>
      <c r="D3904" t="s">
        <v>86</v>
      </c>
      <c r="G3904" s="17" t="s">
        <v>48</v>
      </c>
      <c r="H3904" s="17">
        <v>1</v>
      </c>
      <c r="K3904" t="s">
        <v>936</v>
      </c>
      <c r="L3904" t="s">
        <v>937</v>
      </c>
      <c r="M3904" t="s">
        <v>938</v>
      </c>
      <c r="N3904">
        <v>13</v>
      </c>
      <c r="O3904" t="s">
        <v>40</v>
      </c>
      <c r="P3904" t="s">
        <v>40</v>
      </c>
      <c r="Q3904" t="s">
        <v>40</v>
      </c>
      <c r="R3904" t="s">
        <v>40</v>
      </c>
      <c r="S3904" t="s">
        <v>40</v>
      </c>
      <c r="V3904" t="s">
        <v>41</v>
      </c>
      <c r="W3904" t="s">
        <v>49</v>
      </c>
      <c r="X3904" t="str">
        <f>"0160075"</f>
        <v>0160075</v>
      </c>
      <c r="Y3904" t="s">
        <v>939</v>
      </c>
      <c r="Z3904" t="s">
        <v>936</v>
      </c>
      <c r="AA3904" t="s">
        <v>937</v>
      </c>
      <c r="AB3904" t="s">
        <v>938</v>
      </c>
      <c r="AC3904" t="s">
        <v>51</v>
      </c>
      <c r="AD3904" t="s">
        <v>45</v>
      </c>
      <c r="AE3904" s="1">
        <v>24946</v>
      </c>
      <c r="AF3904">
        <v>2</v>
      </c>
      <c r="AG3904" t="s">
        <v>937</v>
      </c>
      <c r="AH3904" s="36">
        <f t="shared" si="60"/>
        <v>51.419444444444444</v>
      </c>
      <c r="AI3904" s="41" t="s">
        <v>1781</v>
      </c>
    </row>
    <row r="3905" spans="1:35" x14ac:dyDescent="0.25">
      <c r="A3905" s="36">
        <v>99913903</v>
      </c>
      <c r="B3905" s="17" t="s">
        <v>56</v>
      </c>
      <c r="C3905" t="s">
        <v>46</v>
      </c>
      <c r="D3905" t="s">
        <v>47</v>
      </c>
      <c r="G3905" s="17" t="s">
        <v>48</v>
      </c>
      <c r="H3905" s="17">
        <v>1</v>
      </c>
      <c r="K3905" t="s">
        <v>1613</v>
      </c>
      <c r="L3905" t="s">
        <v>1614</v>
      </c>
      <c r="M3905" t="s">
        <v>1592</v>
      </c>
      <c r="N3905">
        <v>15</v>
      </c>
      <c r="O3905" t="s">
        <v>40</v>
      </c>
      <c r="P3905" t="s">
        <v>40</v>
      </c>
      <c r="Q3905" t="s">
        <v>40</v>
      </c>
      <c r="S3905" t="s">
        <v>40</v>
      </c>
      <c r="V3905" t="s">
        <v>41</v>
      </c>
      <c r="W3905" t="s">
        <v>42</v>
      </c>
      <c r="X3905" t="str">
        <f>"2880010"</f>
        <v>2880010</v>
      </c>
      <c r="Y3905" t="s">
        <v>1623</v>
      </c>
      <c r="Z3905" t="s">
        <v>1613</v>
      </c>
      <c r="AA3905" t="s">
        <v>1614</v>
      </c>
      <c r="AB3905" t="s">
        <v>1592</v>
      </c>
      <c r="AC3905" t="s">
        <v>51</v>
      </c>
      <c r="AD3905" t="s">
        <v>45</v>
      </c>
      <c r="AE3905" s="1">
        <v>24946</v>
      </c>
      <c r="AF3905">
        <v>2</v>
      </c>
      <c r="AG3905" t="s">
        <v>1614</v>
      </c>
      <c r="AH3905" s="36">
        <f t="shared" si="60"/>
        <v>51.419444444444444</v>
      </c>
      <c r="AI3905" s="41" t="s">
        <v>1781</v>
      </c>
    </row>
    <row r="3906" spans="1:35" x14ac:dyDescent="0.25">
      <c r="A3906" s="36">
        <v>99913904</v>
      </c>
      <c r="B3906" s="17" t="s">
        <v>32</v>
      </c>
      <c r="C3906" t="s">
        <v>46</v>
      </c>
      <c r="D3906" t="s">
        <v>47</v>
      </c>
      <c r="G3906" s="17" t="s">
        <v>35</v>
      </c>
      <c r="H3906" s="17">
        <v>1</v>
      </c>
      <c r="K3906" t="s">
        <v>300</v>
      </c>
      <c r="L3906" t="s">
        <v>301</v>
      </c>
      <c r="M3906" t="s">
        <v>131</v>
      </c>
      <c r="N3906">
        <v>12</v>
      </c>
      <c r="O3906" t="s">
        <v>40</v>
      </c>
      <c r="P3906" t="s">
        <v>40</v>
      </c>
      <c r="Q3906" t="s">
        <v>40</v>
      </c>
      <c r="R3906" t="s">
        <v>40</v>
      </c>
      <c r="S3906" t="s">
        <v>40</v>
      </c>
      <c r="V3906" t="s">
        <v>41</v>
      </c>
      <c r="W3906" t="s">
        <v>49</v>
      </c>
      <c r="X3906" t="str">
        <f>"0560002"</f>
        <v>0560002</v>
      </c>
      <c r="Y3906" t="s">
        <v>315</v>
      </c>
      <c r="Z3906" t="s">
        <v>300</v>
      </c>
      <c r="AA3906" t="s">
        <v>301</v>
      </c>
      <c r="AB3906" t="s">
        <v>131</v>
      </c>
      <c r="AC3906" t="s">
        <v>165</v>
      </c>
      <c r="AD3906" t="s">
        <v>45</v>
      </c>
      <c r="AE3906" s="1">
        <v>24943</v>
      </c>
      <c r="AF3906">
        <v>2</v>
      </c>
      <c r="AG3906" t="s">
        <v>301</v>
      </c>
      <c r="AH3906" s="36">
        <f t="shared" ref="AH3906:AH3969" si="61">($AJ$1-AE3906)/360</f>
        <v>51.427777777777777</v>
      </c>
      <c r="AI3906" s="41" t="s">
        <v>1781</v>
      </c>
    </row>
    <row r="3907" spans="1:35" x14ac:dyDescent="0.25">
      <c r="A3907" s="36">
        <v>99913905</v>
      </c>
      <c r="B3907" s="17" t="s">
        <v>32</v>
      </c>
      <c r="C3907" t="s">
        <v>33</v>
      </c>
      <c r="D3907" t="s">
        <v>34</v>
      </c>
      <c r="G3907" s="17" t="s">
        <v>48</v>
      </c>
      <c r="H3907" s="17">
        <v>1</v>
      </c>
      <c r="K3907" t="s">
        <v>223</v>
      </c>
      <c r="L3907" t="s">
        <v>224</v>
      </c>
      <c r="M3907" t="s">
        <v>131</v>
      </c>
      <c r="N3907">
        <v>18</v>
      </c>
      <c r="O3907" t="s">
        <v>40</v>
      </c>
      <c r="P3907" t="s">
        <v>40</v>
      </c>
      <c r="Q3907" t="s">
        <v>40</v>
      </c>
      <c r="R3907" t="s">
        <v>40</v>
      </c>
      <c r="S3907" t="s">
        <v>40</v>
      </c>
      <c r="V3907" t="s">
        <v>41</v>
      </c>
      <c r="W3907" t="s">
        <v>42</v>
      </c>
      <c r="X3907" t="str">
        <f>"0580204"</f>
        <v>0580204</v>
      </c>
      <c r="Y3907" t="s">
        <v>235</v>
      </c>
      <c r="Z3907" t="s">
        <v>223</v>
      </c>
      <c r="AA3907" t="s">
        <v>224</v>
      </c>
      <c r="AB3907" t="s">
        <v>131</v>
      </c>
      <c r="AC3907" t="s">
        <v>165</v>
      </c>
      <c r="AD3907" t="s">
        <v>45</v>
      </c>
      <c r="AE3907" s="1">
        <v>24938</v>
      </c>
      <c r="AF3907">
        <v>2</v>
      </c>
      <c r="AG3907" t="s">
        <v>224</v>
      </c>
      <c r="AH3907" s="36">
        <f t="shared" si="61"/>
        <v>51.44166666666667</v>
      </c>
      <c r="AI3907" s="41" t="s">
        <v>1781</v>
      </c>
    </row>
    <row r="3908" spans="1:35" x14ac:dyDescent="0.25">
      <c r="A3908" s="36">
        <v>99913906</v>
      </c>
      <c r="B3908" s="17" t="s">
        <v>32</v>
      </c>
      <c r="C3908" t="s">
        <v>58</v>
      </c>
      <c r="D3908" t="s">
        <v>59</v>
      </c>
      <c r="G3908" s="17" t="s">
        <v>48</v>
      </c>
      <c r="H3908" s="17">
        <v>1</v>
      </c>
      <c r="K3908" t="s">
        <v>1187</v>
      </c>
      <c r="L3908" t="s">
        <v>1188</v>
      </c>
      <c r="M3908" t="s">
        <v>1130</v>
      </c>
      <c r="N3908">
        <v>20</v>
      </c>
      <c r="O3908" t="s">
        <v>40</v>
      </c>
      <c r="P3908" t="s">
        <v>40</v>
      </c>
      <c r="Q3908" t="s">
        <v>40</v>
      </c>
      <c r="R3908" t="s">
        <v>40</v>
      </c>
      <c r="S3908" t="s">
        <v>40</v>
      </c>
      <c r="V3908" t="s">
        <v>41</v>
      </c>
      <c r="W3908" t="s">
        <v>42</v>
      </c>
      <c r="X3908" t="str">
        <f>"4580015"</f>
        <v>4580015</v>
      </c>
      <c r="Y3908" t="s">
        <v>1189</v>
      </c>
      <c r="Z3908" t="s">
        <v>1187</v>
      </c>
      <c r="AA3908" t="s">
        <v>1188</v>
      </c>
      <c r="AB3908" t="s">
        <v>1130</v>
      </c>
      <c r="AC3908" t="s">
        <v>51</v>
      </c>
      <c r="AD3908" t="s">
        <v>45</v>
      </c>
      <c r="AE3908" s="1">
        <v>24937</v>
      </c>
      <c r="AF3908">
        <v>2</v>
      </c>
      <c r="AG3908" t="s">
        <v>1188</v>
      </c>
      <c r="AH3908" s="36">
        <f t="shared" si="61"/>
        <v>51.444444444444443</v>
      </c>
      <c r="AI3908" s="41" t="s">
        <v>1781</v>
      </c>
    </row>
    <row r="3909" spans="1:35" x14ac:dyDescent="0.25">
      <c r="A3909" s="36">
        <v>99913907</v>
      </c>
      <c r="B3909" s="17" t="s">
        <v>32</v>
      </c>
      <c r="C3909" t="s">
        <v>52</v>
      </c>
      <c r="D3909" t="s">
        <v>53</v>
      </c>
      <c r="G3909" s="17" t="s">
        <v>48</v>
      </c>
      <c r="H3909" s="17">
        <v>1</v>
      </c>
      <c r="K3909" t="s">
        <v>300</v>
      </c>
      <c r="L3909" t="s">
        <v>301</v>
      </c>
      <c r="M3909" t="s">
        <v>131</v>
      </c>
      <c r="N3909">
        <v>21</v>
      </c>
      <c r="O3909" t="s">
        <v>40</v>
      </c>
      <c r="P3909" t="s">
        <v>40</v>
      </c>
      <c r="Q3909" t="s">
        <v>40</v>
      </c>
      <c r="R3909" t="s">
        <v>40</v>
      </c>
      <c r="S3909" t="s">
        <v>40</v>
      </c>
      <c r="V3909" t="s">
        <v>41</v>
      </c>
      <c r="W3909" t="s">
        <v>42</v>
      </c>
      <c r="X3909" t="str">
        <f>"0580176"</f>
        <v>0580176</v>
      </c>
      <c r="Y3909" t="s">
        <v>305</v>
      </c>
      <c r="Z3909" t="s">
        <v>300</v>
      </c>
      <c r="AA3909" t="s">
        <v>301</v>
      </c>
      <c r="AB3909" t="s">
        <v>131</v>
      </c>
      <c r="AC3909" t="s">
        <v>51</v>
      </c>
      <c r="AD3909" t="s">
        <v>45</v>
      </c>
      <c r="AE3909" s="1">
        <v>24935</v>
      </c>
      <c r="AF3909">
        <v>2</v>
      </c>
      <c r="AG3909" t="s">
        <v>301</v>
      </c>
      <c r="AH3909" s="36">
        <f t="shared" si="61"/>
        <v>51.45</v>
      </c>
      <c r="AI3909" s="41" t="s">
        <v>1781</v>
      </c>
    </row>
    <row r="3910" spans="1:35" x14ac:dyDescent="0.25">
      <c r="A3910" s="36">
        <v>99913908</v>
      </c>
      <c r="B3910" s="17" t="s">
        <v>56</v>
      </c>
      <c r="C3910" t="s">
        <v>111</v>
      </c>
      <c r="D3910" t="s">
        <v>112</v>
      </c>
      <c r="G3910" s="17" t="s">
        <v>48</v>
      </c>
      <c r="H3910" s="17">
        <v>1</v>
      </c>
      <c r="K3910" t="s">
        <v>667</v>
      </c>
      <c r="L3910" t="s">
        <v>669</v>
      </c>
      <c r="M3910" t="s">
        <v>670</v>
      </c>
      <c r="N3910">
        <v>12</v>
      </c>
      <c r="O3910" t="s">
        <v>40</v>
      </c>
      <c r="P3910" t="s">
        <v>40</v>
      </c>
      <c r="Q3910" t="s">
        <v>40</v>
      </c>
      <c r="R3910" t="s">
        <v>40</v>
      </c>
      <c r="S3910" t="s">
        <v>40</v>
      </c>
      <c r="V3910" t="s">
        <v>41</v>
      </c>
      <c r="W3910" t="s">
        <v>75</v>
      </c>
      <c r="X3910" t="str">
        <f>"7501002"</f>
        <v>7501002</v>
      </c>
      <c r="Y3910" t="s">
        <v>1519</v>
      </c>
      <c r="Z3910" t="s">
        <v>667</v>
      </c>
      <c r="AA3910" t="s">
        <v>669</v>
      </c>
      <c r="AB3910" t="s">
        <v>670</v>
      </c>
      <c r="AC3910" t="s">
        <v>51</v>
      </c>
      <c r="AD3910" t="s">
        <v>45</v>
      </c>
      <c r="AE3910" s="1">
        <v>24935</v>
      </c>
      <c r="AF3910">
        <v>1</v>
      </c>
      <c r="AG3910" t="s">
        <v>669</v>
      </c>
      <c r="AH3910" s="36">
        <f t="shared" si="61"/>
        <v>51.45</v>
      </c>
      <c r="AI3910" s="41" t="s">
        <v>1781</v>
      </c>
    </row>
    <row r="3911" spans="1:35" x14ac:dyDescent="0.25">
      <c r="A3911" s="36">
        <v>99913909</v>
      </c>
      <c r="B3911" s="17" t="s">
        <v>56</v>
      </c>
      <c r="C3911" t="s">
        <v>46</v>
      </c>
      <c r="D3911" t="s">
        <v>47</v>
      </c>
      <c r="G3911" s="17" t="s">
        <v>35</v>
      </c>
      <c r="H3911" s="17">
        <v>1</v>
      </c>
      <c r="I3911" t="s">
        <v>1135</v>
      </c>
      <c r="J3911" s="1">
        <v>42979</v>
      </c>
      <c r="K3911" t="s">
        <v>1128</v>
      </c>
      <c r="L3911" t="s">
        <v>1129</v>
      </c>
      <c r="M3911" t="s">
        <v>1130</v>
      </c>
      <c r="N3911">
        <v>23</v>
      </c>
      <c r="O3911" t="s">
        <v>40</v>
      </c>
      <c r="P3911" t="s">
        <v>40</v>
      </c>
      <c r="Q3911" t="s">
        <v>40</v>
      </c>
      <c r="S3911" t="s">
        <v>40</v>
      </c>
      <c r="U3911" s="1">
        <v>42979</v>
      </c>
      <c r="V3911" t="s">
        <v>41</v>
      </c>
      <c r="W3911" t="s">
        <v>42</v>
      </c>
      <c r="X3911" t="str">
        <f>"3180010"</f>
        <v>3180010</v>
      </c>
      <c r="Y3911" t="s">
        <v>1132</v>
      </c>
      <c r="Z3911" t="s">
        <v>1128</v>
      </c>
      <c r="AA3911" t="s">
        <v>1129</v>
      </c>
      <c r="AB3911" t="s">
        <v>1130</v>
      </c>
      <c r="AC3911" t="s">
        <v>51</v>
      </c>
      <c r="AD3911" t="s">
        <v>45</v>
      </c>
      <c r="AE3911" s="1">
        <v>24932</v>
      </c>
      <c r="AF3911">
        <v>2</v>
      </c>
      <c r="AG3911" t="s">
        <v>1129</v>
      </c>
      <c r="AH3911" s="36">
        <f t="shared" si="61"/>
        <v>51.458333333333336</v>
      </c>
      <c r="AI3911" s="41" t="s">
        <v>1781</v>
      </c>
    </row>
    <row r="3912" spans="1:35" x14ac:dyDescent="0.25">
      <c r="A3912" s="36">
        <v>99913910</v>
      </c>
      <c r="B3912" s="17" t="s">
        <v>32</v>
      </c>
      <c r="C3912" t="s">
        <v>64</v>
      </c>
      <c r="D3912" t="s">
        <v>65</v>
      </c>
      <c r="G3912" s="17" t="s">
        <v>35</v>
      </c>
      <c r="H3912" s="17">
        <v>1</v>
      </c>
      <c r="K3912" t="s">
        <v>1268</v>
      </c>
      <c r="L3912" t="s">
        <v>1269</v>
      </c>
      <c r="M3912" t="s">
        <v>1270</v>
      </c>
      <c r="N3912">
        <v>20</v>
      </c>
      <c r="O3912" t="s">
        <v>40</v>
      </c>
      <c r="P3912" t="s">
        <v>40</v>
      </c>
      <c r="Q3912" t="s">
        <v>40</v>
      </c>
      <c r="R3912" t="s">
        <v>40</v>
      </c>
      <c r="S3912" t="s">
        <v>40</v>
      </c>
      <c r="V3912" t="s">
        <v>41</v>
      </c>
      <c r="W3912" t="s">
        <v>922</v>
      </c>
      <c r="X3912" t="str">
        <f>"1950001"</f>
        <v>1950001</v>
      </c>
      <c r="Y3912" t="s">
        <v>1284</v>
      </c>
      <c r="Z3912" t="s">
        <v>1268</v>
      </c>
      <c r="AA3912" t="s">
        <v>1269</v>
      </c>
      <c r="AB3912" t="s">
        <v>1270</v>
      </c>
      <c r="AC3912" t="s">
        <v>51</v>
      </c>
      <c r="AD3912" t="s">
        <v>45</v>
      </c>
      <c r="AE3912" s="1">
        <v>24932</v>
      </c>
      <c r="AF3912">
        <v>2</v>
      </c>
      <c r="AG3912" t="s">
        <v>1269</v>
      </c>
      <c r="AH3912" s="36">
        <f t="shared" si="61"/>
        <v>51.458333333333336</v>
      </c>
      <c r="AI3912" s="41" t="s">
        <v>1781</v>
      </c>
    </row>
    <row r="3913" spans="1:35" x14ac:dyDescent="0.25">
      <c r="A3913" s="36">
        <v>99913911</v>
      </c>
      <c r="B3913" s="17" t="s">
        <v>56</v>
      </c>
      <c r="C3913" t="s">
        <v>85</v>
      </c>
      <c r="D3913" t="s">
        <v>86</v>
      </c>
      <c r="G3913" s="17" t="s">
        <v>35</v>
      </c>
      <c r="H3913" s="17">
        <v>1</v>
      </c>
      <c r="K3913" t="s">
        <v>223</v>
      </c>
      <c r="L3913" t="s">
        <v>224</v>
      </c>
      <c r="M3913" t="s">
        <v>131</v>
      </c>
      <c r="N3913">
        <v>14</v>
      </c>
      <c r="O3913" t="s">
        <v>40</v>
      </c>
      <c r="P3913" t="s">
        <v>40</v>
      </c>
      <c r="Q3913" t="s">
        <v>40</v>
      </c>
      <c r="R3913" t="s">
        <v>40</v>
      </c>
      <c r="S3913" t="s">
        <v>40</v>
      </c>
      <c r="V3913" t="s">
        <v>41</v>
      </c>
      <c r="W3913" t="s">
        <v>49</v>
      </c>
      <c r="X3913" t="str">
        <f>"0591901"</f>
        <v>0591901</v>
      </c>
      <c r="Y3913" t="s">
        <v>230</v>
      </c>
      <c r="Z3913" t="s">
        <v>223</v>
      </c>
      <c r="AA3913" t="s">
        <v>224</v>
      </c>
      <c r="AB3913" t="s">
        <v>131</v>
      </c>
      <c r="AC3913" t="s">
        <v>51</v>
      </c>
      <c r="AD3913" t="s">
        <v>45</v>
      </c>
      <c r="AE3913" s="1">
        <v>24928</v>
      </c>
      <c r="AF3913">
        <v>2</v>
      </c>
      <c r="AG3913" t="s">
        <v>224</v>
      </c>
      <c r="AH3913" s="36">
        <f t="shared" si="61"/>
        <v>51.469444444444441</v>
      </c>
      <c r="AI3913" s="41" t="s">
        <v>1781</v>
      </c>
    </row>
    <row r="3914" spans="1:35" x14ac:dyDescent="0.25">
      <c r="A3914" s="36">
        <v>99913912</v>
      </c>
      <c r="B3914" s="17" t="s">
        <v>32</v>
      </c>
      <c r="C3914" t="s">
        <v>79</v>
      </c>
      <c r="D3914" t="s">
        <v>80</v>
      </c>
      <c r="G3914" s="17" t="s">
        <v>48</v>
      </c>
      <c r="H3914" s="17">
        <v>11</v>
      </c>
      <c r="K3914" t="s">
        <v>1268</v>
      </c>
      <c r="L3914" t="s">
        <v>1269</v>
      </c>
      <c r="M3914" t="s">
        <v>1270</v>
      </c>
      <c r="N3914">
        <v>18</v>
      </c>
      <c r="O3914" t="s">
        <v>40</v>
      </c>
      <c r="P3914" t="s">
        <v>40</v>
      </c>
      <c r="Q3914" t="s">
        <v>40</v>
      </c>
      <c r="R3914" t="s">
        <v>40</v>
      </c>
      <c r="S3914" t="s">
        <v>40</v>
      </c>
      <c r="V3914" t="s">
        <v>41</v>
      </c>
      <c r="W3914" t="s">
        <v>42</v>
      </c>
      <c r="X3914" t="str">
        <f>"1980050"</f>
        <v>1980050</v>
      </c>
      <c r="Y3914" t="s">
        <v>1278</v>
      </c>
      <c r="Z3914" t="s">
        <v>1268</v>
      </c>
      <c r="AA3914" t="s">
        <v>1269</v>
      </c>
      <c r="AB3914" t="s">
        <v>1270</v>
      </c>
      <c r="AC3914" t="s">
        <v>51</v>
      </c>
      <c r="AD3914" t="s">
        <v>45</v>
      </c>
      <c r="AE3914" s="1">
        <v>24927</v>
      </c>
      <c r="AF3914">
        <v>2</v>
      </c>
      <c r="AG3914" t="s">
        <v>1269</v>
      </c>
      <c r="AH3914" s="36">
        <f t="shared" si="61"/>
        <v>51.472222222222221</v>
      </c>
      <c r="AI3914" s="41" t="s">
        <v>1781</v>
      </c>
    </row>
    <row r="3915" spans="1:35" x14ac:dyDescent="0.25">
      <c r="A3915" s="36">
        <v>99913913</v>
      </c>
      <c r="B3915" s="17" t="s">
        <v>32</v>
      </c>
      <c r="C3915" t="s">
        <v>46</v>
      </c>
      <c r="D3915" t="s">
        <v>47</v>
      </c>
      <c r="G3915" s="17" t="s">
        <v>48</v>
      </c>
      <c r="H3915" s="17">
        <v>1</v>
      </c>
      <c r="K3915" t="s">
        <v>1613</v>
      </c>
      <c r="L3915" t="s">
        <v>1614</v>
      </c>
      <c r="M3915" t="s">
        <v>1592</v>
      </c>
      <c r="N3915">
        <v>16</v>
      </c>
      <c r="O3915" t="s">
        <v>40</v>
      </c>
      <c r="P3915" t="s">
        <v>40</v>
      </c>
      <c r="Q3915" t="s">
        <v>40</v>
      </c>
      <c r="R3915" t="s">
        <v>40</v>
      </c>
      <c r="S3915" t="s">
        <v>40</v>
      </c>
      <c r="V3915" t="s">
        <v>41</v>
      </c>
      <c r="W3915" t="s">
        <v>42</v>
      </c>
      <c r="X3915" t="str">
        <f>"2880010"</f>
        <v>2880010</v>
      </c>
      <c r="Y3915" t="s">
        <v>1623</v>
      </c>
      <c r="Z3915" t="s">
        <v>1613</v>
      </c>
      <c r="AA3915" t="s">
        <v>1614</v>
      </c>
      <c r="AB3915" t="s">
        <v>1592</v>
      </c>
      <c r="AC3915" t="s">
        <v>51</v>
      </c>
      <c r="AD3915" t="s">
        <v>45</v>
      </c>
      <c r="AE3915" s="1">
        <v>24927</v>
      </c>
      <c r="AF3915">
        <v>2</v>
      </c>
      <c r="AG3915" t="s">
        <v>1614</v>
      </c>
      <c r="AH3915" s="36">
        <f t="shared" si="61"/>
        <v>51.472222222222221</v>
      </c>
      <c r="AI3915" s="41" t="s">
        <v>1781</v>
      </c>
    </row>
    <row r="3916" spans="1:35" x14ac:dyDescent="0.25">
      <c r="A3916" s="36">
        <v>99913914</v>
      </c>
      <c r="B3916" s="17" t="s">
        <v>32</v>
      </c>
      <c r="C3916" t="s">
        <v>46</v>
      </c>
      <c r="D3916" t="s">
        <v>47</v>
      </c>
      <c r="G3916" s="17" t="s">
        <v>35</v>
      </c>
      <c r="H3916" s="17">
        <v>1</v>
      </c>
      <c r="K3916" t="s">
        <v>223</v>
      </c>
      <c r="L3916" t="s">
        <v>224</v>
      </c>
      <c r="M3916" t="s">
        <v>131</v>
      </c>
      <c r="N3916">
        <v>12</v>
      </c>
      <c r="O3916" t="s">
        <v>40</v>
      </c>
      <c r="P3916" t="s">
        <v>40</v>
      </c>
      <c r="Q3916" t="s">
        <v>40</v>
      </c>
      <c r="S3916" t="s">
        <v>40</v>
      </c>
      <c r="V3916" t="s">
        <v>41</v>
      </c>
      <c r="W3916" t="s">
        <v>42</v>
      </c>
      <c r="X3916" t="str">
        <f>"0590903"</f>
        <v>0590903</v>
      </c>
      <c r="Y3916" t="s">
        <v>226</v>
      </c>
      <c r="Z3916" t="s">
        <v>223</v>
      </c>
      <c r="AA3916" t="s">
        <v>224</v>
      </c>
      <c r="AB3916" t="s">
        <v>131</v>
      </c>
      <c r="AC3916" t="s">
        <v>51</v>
      </c>
      <c r="AD3916" t="s">
        <v>45</v>
      </c>
      <c r="AE3916" s="1">
        <v>24926</v>
      </c>
      <c r="AF3916">
        <v>2</v>
      </c>
      <c r="AG3916" t="s">
        <v>224</v>
      </c>
      <c r="AH3916" s="36">
        <f t="shared" si="61"/>
        <v>51.475000000000001</v>
      </c>
      <c r="AI3916" s="41" t="s">
        <v>1781</v>
      </c>
    </row>
    <row r="3917" spans="1:35" x14ac:dyDescent="0.25">
      <c r="A3917" s="36">
        <v>99913915</v>
      </c>
      <c r="B3917" s="17" t="s">
        <v>32</v>
      </c>
      <c r="C3917" t="s">
        <v>79</v>
      </c>
      <c r="D3917" t="s">
        <v>80</v>
      </c>
      <c r="G3917" s="17" t="s">
        <v>48</v>
      </c>
      <c r="H3917" s="17">
        <v>1</v>
      </c>
      <c r="K3917" t="s">
        <v>223</v>
      </c>
      <c r="L3917" t="s">
        <v>224</v>
      </c>
      <c r="M3917" t="s">
        <v>131</v>
      </c>
      <c r="N3917">
        <v>21</v>
      </c>
      <c r="O3917" t="s">
        <v>40</v>
      </c>
      <c r="P3917" t="s">
        <v>40</v>
      </c>
      <c r="Q3917" t="s">
        <v>40</v>
      </c>
      <c r="R3917" t="s">
        <v>40</v>
      </c>
      <c r="S3917" t="s">
        <v>40</v>
      </c>
      <c r="V3917" t="s">
        <v>41</v>
      </c>
      <c r="W3917" t="s">
        <v>42</v>
      </c>
      <c r="X3917" t="str">
        <f>"0580207"</f>
        <v>0580207</v>
      </c>
      <c r="Y3917" t="s">
        <v>229</v>
      </c>
      <c r="Z3917" t="s">
        <v>223</v>
      </c>
      <c r="AA3917" t="s">
        <v>224</v>
      </c>
      <c r="AB3917" t="s">
        <v>131</v>
      </c>
      <c r="AC3917" t="s">
        <v>51</v>
      </c>
      <c r="AD3917" t="s">
        <v>45</v>
      </c>
      <c r="AE3917" s="1">
        <v>24925</v>
      </c>
      <c r="AF3917">
        <v>2</v>
      </c>
      <c r="AG3917" t="s">
        <v>224</v>
      </c>
      <c r="AH3917" s="36">
        <f t="shared" si="61"/>
        <v>51.477777777777774</v>
      </c>
      <c r="AI3917" s="41" t="s">
        <v>1781</v>
      </c>
    </row>
    <row r="3918" spans="1:35" x14ac:dyDescent="0.25">
      <c r="A3918" s="36">
        <v>99913916</v>
      </c>
      <c r="B3918" s="17" t="s">
        <v>32</v>
      </c>
      <c r="C3918" t="s">
        <v>46</v>
      </c>
      <c r="D3918" t="s">
        <v>47</v>
      </c>
      <c r="G3918" s="17" t="s">
        <v>48</v>
      </c>
      <c r="H3918" s="17">
        <v>1</v>
      </c>
      <c r="K3918" t="s">
        <v>223</v>
      </c>
      <c r="L3918" t="s">
        <v>224</v>
      </c>
      <c r="M3918" t="s">
        <v>131</v>
      </c>
      <c r="N3918">
        <v>5</v>
      </c>
      <c r="O3918" t="s">
        <v>40</v>
      </c>
      <c r="P3918" t="s">
        <v>40</v>
      </c>
      <c r="Q3918" t="s">
        <v>40</v>
      </c>
      <c r="S3918" t="s">
        <v>40</v>
      </c>
      <c r="V3918" t="s">
        <v>41</v>
      </c>
      <c r="W3918" t="s">
        <v>42</v>
      </c>
      <c r="X3918" t="str">
        <f>"0561007"</f>
        <v>0561007</v>
      </c>
      <c r="Y3918" t="s">
        <v>262</v>
      </c>
      <c r="Z3918" t="s">
        <v>223</v>
      </c>
      <c r="AA3918" t="s">
        <v>224</v>
      </c>
      <c r="AB3918" t="s">
        <v>131</v>
      </c>
      <c r="AC3918" t="s">
        <v>51</v>
      </c>
      <c r="AD3918" t="s">
        <v>45</v>
      </c>
      <c r="AE3918" s="1">
        <v>24922</v>
      </c>
      <c r="AF3918">
        <v>2</v>
      </c>
      <c r="AG3918" t="s">
        <v>224</v>
      </c>
      <c r="AH3918" s="36">
        <f t="shared" si="61"/>
        <v>51.486111111111114</v>
      </c>
      <c r="AI3918" s="41" t="s">
        <v>1781</v>
      </c>
    </row>
    <row r="3919" spans="1:35" x14ac:dyDescent="0.25">
      <c r="A3919" s="36">
        <v>99913917</v>
      </c>
      <c r="B3919" s="17" t="s">
        <v>32</v>
      </c>
      <c r="C3919" t="s">
        <v>46</v>
      </c>
      <c r="D3919" t="s">
        <v>47</v>
      </c>
      <c r="G3919" s="17" t="s">
        <v>48</v>
      </c>
      <c r="H3919" s="17">
        <v>1</v>
      </c>
      <c r="K3919" t="s">
        <v>157</v>
      </c>
      <c r="L3919" t="s">
        <v>158</v>
      </c>
      <c r="M3919" t="s">
        <v>131</v>
      </c>
      <c r="N3919">
        <v>16</v>
      </c>
      <c r="O3919" t="s">
        <v>40</v>
      </c>
      <c r="P3919" t="s">
        <v>40</v>
      </c>
      <c r="Q3919" t="s">
        <v>40</v>
      </c>
      <c r="S3919" t="s">
        <v>40</v>
      </c>
      <c r="V3919" t="s">
        <v>41</v>
      </c>
      <c r="W3919" t="s">
        <v>42</v>
      </c>
      <c r="X3919" t="str">
        <f>"0580290"</f>
        <v>0580290</v>
      </c>
      <c r="Y3919" t="s">
        <v>171</v>
      </c>
      <c r="Z3919" t="s">
        <v>157</v>
      </c>
      <c r="AA3919" t="s">
        <v>158</v>
      </c>
      <c r="AB3919" t="s">
        <v>131</v>
      </c>
      <c r="AC3919" t="s">
        <v>51</v>
      </c>
      <c r="AD3919" t="s">
        <v>45</v>
      </c>
      <c r="AE3919" s="1">
        <v>24921</v>
      </c>
      <c r="AF3919">
        <v>2</v>
      </c>
      <c r="AG3919" t="s">
        <v>158</v>
      </c>
      <c r="AH3919" s="36">
        <f t="shared" si="61"/>
        <v>51.488888888888887</v>
      </c>
      <c r="AI3919" s="41" t="s">
        <v>1781</v>
      </c>
    </row>
    <row r="3920" spans="1:35" x14ac:dyDescent="0.25">
      <c r="A3920" s="36">
        <v>99913918</v>
      </c>
      <c r="B3920" s="17" t="s">
        <v>32</v>
      </c>
      <c r="C3920" t="s">
        <v>139</v>
      </c>
      <c r="D3920" t="s">
        <v>140</v>
      </c>
      <c r="G3920" s="17" t="s">
        <v>48</v>
      </c>
      <c r="H3920" s="17">
        <v>1</v>
      </c>
      <c r="K3920" t="s">
        <v>1502</v>
      </c>
      <c r="L3920" t="s">
        <v>1503</v>
      </c>
      <c r="M3920" t="s">
        <v>670</v>
      </c>
      <c r="N3920">
        <v>4</v>
      </c>
      <c r="O3920" t="s">
        <v>40</v>
      </c>
      <c r="P3920" t="s">
        <v>40</v>
      </c>
      <c r="Q3920" t="s">
        <v>40</v>
      </c>
      <c r="S3920" t="s">
        <v>40</v>
      </c>
      <c r="V3920" t="s">
        <v>41</v>
      </c>
      <c r="W3920" t="s">
        <v>75</v>
      </c>
      <c r="X3920" t="str">
        <f>"7171002"</f>
        <v>7171002</v>
      </c>
      <c r="Y3920" t="s">
        <v>1505</v>
      </c>
      <c r="Z3920" t="s">
        <v>1502</v>
      </c>
      <c r="AA3920" t="s">
        <v>1503</v>
      </c>
      <c r="AB3920" t="s">
        <v>670</v>
      </c>
      <c r="AC3920" t="s">
        <v>51</v>
      </c>
      <c r="AD3920" t="s">
        <v>45</v>
      </c>
      <c r="AE3920" s="1">
        <v>24921</v>
      </c>
      <c r="AF3920">
        <v>1</v>
      </c>
      <c r="AG3920" t="s">
        <v>1503</v>
      </c>
      <c r="AH3920" s="36">
        <f t="shared" si="61"/>
        <v>51.488888888888887</v>
      </c>
      <c r="AI3920" s="41" t="s">
        <v>1781</v>
      </c>
    </row>
    <row r="3921" spans="1:35" x14ac:dyDescent="0.25">
      <c r="A3921" s="36">
        <v>99913919</v>
      </c>
      <c r="B3921" s="17" t="s">
        <v>32</v>
      </c>
      <c r="C3921" t="s">
        <v>46</v>
      </c>
      <c r="D3921" t="s">
        <v>47</v>
      </c>
      <c r="G3921" s="17" t="s">
        <v>48</v>
      </c>
      <c r="H3921" s="17">
        <v>1</v>
      </c>
      <c r="K3921" t="s">
        <v>223</v>
      </c>
      <c r="L3921" t="s">
        <v>224</v>
      </c>
      <c r="M3921" t="s">
        <v>131</v>
      </c>
      <c r="N3921">
        <v>20</v>
      </c>
      <c r="O3921" t="s">
        <v>40</v>
      </c>
      <c r="P3921" t="s">
        <v>40</v>
      </c>
      <c r="Q3921" t="s">
        <v>40</v>
      </c>
      <c r="S3921" t="s">
        <v>40</v>
      </c>
      <c r="V3921" t="s">
        <v>41</v>
      </c>
      <c r="W3921" t="s">
        <v>49</v>
      </c>
      <c r="X3921" t="str">
        <f>"0581206"</f>
        <v>0581206</v>
      </c>
      <c r="Y3921" t="s">
        <v>232</v>
      </c>
      <c r="Z3921" t="s">
        <v>223</v>
      </c>
      <c r="AA3921" t="s">
        <v>224</v>
      </c>
      <c r="AB3921" t="s">
        <v>131</v>
      </c>
      <c r="AC3921" t="s">
        <v>51</v>
      </c>
      <c r="AD3921" t="s">
        <v>45</v>
      </c>
      <c r="AE3921" s="1">
        <v>24920</v>
      </c>
      <c r="AF3921">
        <v>2</v>
      </c>
      <c r="AG3921" t="s">
        <v>224</v>
      </c>
      <c r="AH3921" s="36">
        <f t="shared" si="61"/>
        <v>51.491666666666667</v>
      </c>
      <c r="AI3921" s="41" t="s">
        <v>1781</v>
      </c>
    </row>
    <row r="3922" spans="1:35" x14ac:dyDescent="0.25">
      <c r="A3922" s="36">
        <v>99913920</v>
      </c>
      <c r="B3922" s="17" t="s">
        <v>32</v>
      </c>
      <c r="C3922" t="s">
        <v>46</v>
      </c>
      <c r="D3922" t="s">
        <v>47</v>
      </c>
      <c r="G3922" s="17" t="s">
        <v>48</v>
      </c>
      <c r="H3922" s="17">
        <v>1</v>
      </c>
      <c r="K3922" t="s">
        <v>345</v>
      </c>
      <c r="L3922" t="s">
        <v>346</v>
      </c>
      <c r="M3922" t="s">
        <v>131</v>
      </c>
      <c r="N3922">
        <v>18</v>
      </c>
      <c r="O3922" t="s">
        <v>40</v>
      </c>
      <c r="P3922" t="s">
        <v>40</v>
      </c>
      <c r="Q3922" t="s">
        <v>40</v>
      </c>
      <c r="R3922" t="s">
        <v>40</v>
      </c>
      <c r="S3922" t="s">
        <v>40</v>
      </c>
      <c r="V3922" t="s">
        <v>41</v>
      </c>
      <c r="W3922" t="s">
        <v>42</v>
      </c>
      <c r="X3922" t="str">
        <f>"0580931"</f>
        <v>0580931</v>
      </c>
      <c r="Y3922" t="s">
        <v>369</v>
      </c>
      <c r="Z3922" t="s">
        <v>345</v>
      </c>
      <c r="AA3922" t="s">
        <v>346</v>
      </c>
      <c r="AB3922" t="s">
        <v>131</v>
      </c>
      <c r="AC3922" t="s">
        <v>51</v>
      </c>
      <c r="AD3922" t="s">
        <v>45</v>
      </c>
      <c r="AE3922" s="1">
        <v>24920</v>
      </c>
      <c r="AF3922">
        <v>2</v>
      </c>
      <c r="AG3922" t="s">
        <v>346</v>
      </c>
      <c r="AH3922" s="36">
        <f t="shared" si="61"/>
        <v>51.491666666666667</v>
      </c>
      <c r="AI3922" s="41" t="s">
        <v>1781</v>
      </c>
    </row>
    <row r="3923" spans="1:35" x14ac:dyDescent="0.25">
      <c r="A3923" s="36">
        <v>99913921</v>
      </c>
      <c r="B3923" s="17" t="s">
        <v>32</v>
      </c>
      <c r="C3923" t="s">
        <v>90</v>
      </c>
      <c r="D3923" t="s">
        <v>91</v>
      </c>
      <c r="G3923" s="17" t="s">
        <v>35</v>
      </c>
      <c r="H3923" s="17">
        <v>1</v>
      </c>
      <c r="K3923" t="s">
        <v>1198</v>
      </c>
      <c r="L3923" t="s">
        <v>1199</v>
      </c>
      <c r="M3923" t="s">
        <v>1130</v>
      </c>
      <c r="N3923">
        <v>25</v>
      </c>
      <c r="O3923" t="s">
        <v>40</v>
      </c>
      <c r="Q3923" t="s">
        <v>40</v>
      </c>
      <c r="S3923" t="s">
        <v>40</v>
      </c>
      <c r="V3923" t="s">
        <v>41</v>
      </c>
      <c r="W3923" t="s">
        <v>95</v>
      </c>
      <c r="X3923" t="str">
        <f>"7311001"</f>
        <v>7311001</v>
      </c>
      <c r="Y3923" t="s">
        <v>1201</v>
      </c>
      <c r="Z3923" t="s">
        <v>1198</v>
      </c>
      <c r="AA3923" t="s">
        <v>1199</v>
      </c>
      <c r="AB3923" t="s">
        <v>1130</v>
      </c>
      <c r="AC3923" t="s">
        <v>51</v>
      </c>
      <c r="AD3923" t="s">
        <v>45</v>
      </c>
      <c r="AE3923" s="1">
        <v>24919</v>
      </c>
      <c r="AF3923">
        <v>1</v>
      </c>
      <c r="AG3923" t="s">
        <v>1199</v>
      </c>
      <c r="AH3923" s="36">
        <f t="shared" si="61"/>
        <v>51.494444444444447</v>
      </c>
      <c r="AI3923" s="41" t="s">
        <v>1781</v>
      </c>
    </row>
    <row r="3924" spans="1:35" x14ac:dyDescent="0.25">
      <c r="A3924" s="36">
        <v>99913922</v>
      </c>
      <c r="B3924" s="17" t="s">
        <v>32</v>
      </c>
      <c r="C3924" t="s">
        <v>90</v>
      </c>
      <c r="D3924" t="s">
        <v>91</v>
      </c>
      <c r="G3924" s="17" t="s">
        <v>48</v>
      </c>
      <c r="H3924" s="17">
        <v>1</v>
      </c>
      <c r="K3924" t="s">
        <v>268</v>
      </c>
      <c r="L3924" t="s">
        <v>269</v>
      </c>
      <c r="M3924" t="s">
        <v>131</v>
      </c>
      <c r="N3924">
        <v>22</v>
      </c>
      <c r="O3924" t="s">
        <v>40</v>
      </c>
      <c r="P3924" t="s">
        <v>40</v>
      </c>
      <c r="Q3924" t="s">
        <v>40</v>
      </c>
      <c r="S3924" t="s">
        <v>40</v>
      </c>
      <c r="V3924" t="s">
        <v>41</v>
      </c>
      <c r="W3924" t="s">
        <v>95</v>
      </c>
      <c r="X3924" t="str">
        <f>"7052001"</f>
        <v>7052001</v>
      </c>
      <c r="Y3924" t="s">
        <v>576</v>
      </c>
      <c r="Z3924" t="s">
        <v>268</v>
      </c>
      <c r="AA3924" t="s">
        <v>269</v>
      </c>
      <c r="AB3924" t="s">
        <v>131</v>
      </c>
      <c r="AC3924" t="s">
        <v>51</v>
      </c>
      <c r="AD3924" t="s">
        <v>45</v>
      </c>
      <c r="AE3924" s="1">
        <v>24918</v>
      </c>
      <c r="AF3924">
        <v>1</v>
      </c>
      <c r="AG3924" t="s">
        <v>269</v>
      </c>
      <c r="AH3924" s="36">
        <f t="shared" si="61"/>
        <v>51.49722222222222</v>
      </c>
      <c r="AI3924" s="41" t="s">
        <v>1781</v>
      </c>
    </row>
    <row r="3925" spans="1:35" x14ac:dyDescent="0.25">
      <c r="A3925" s="36">
        <v>99913923</v>
      </c>
      <c r="B3925" s="17" t="s">
        <v>32</v>
      </c>
      <c r="C3925" t="s">
        <v>64</v>
      </c>
      <c r="D3925" t="s">
        <v>65</v>
      </c>
      <c r="G3925" s="17" t="s">
        <v>48</v>
      </c>
      <c r="H3925" s="17">
        <v>1</v>
      </c>
      <c r="K3925" t="s">
        <v>380</v>
      </c>
      <c r="L3925" t="s">
        <v>381</v>
      </c>
      <c r="M3925" t="s">
        <v>131</v>
      </c>
      <c r="N3925">
        <v>13</v>
      </c>
      <c r="O3925" t="s">
        <v>40</v>
      </c>
      <c r="P3925" t="s">
        <v>40</v>
      </c>
      <c r="Q3925" t="s">
        <v>40</v>
      </c>
      <c r="R3925" t="s">
        <v>40</v>
      </c>
      <c r="S3925" t="s">
        <v>40</v>
      </c>
      <c r="V3925" t="s">
        <v>41</v>
      </c>
      <c r="W3925" t="s">
        <v>49</v>
      </c>
      <c r="X3925" t="str">
        <f>"0591908"</f>
        <v>0591908</v>
      </c>
      <c r="Y3925" t="s">
        <v>383</v>
      </c>
      <c r="Z3925" t="s">
        <v>380</v>
      </c>
      <c r="AA3925" t="s">
        <v>381</v>
      </c>
      <c r="AB3925" t="s">
        <v>131</v>
      </c>
      <c r="AC3925" t="s">
        <v>51</v>
      </c>
      <c r="AD3925" t="s">
        <v>45</v>
      </c>
      <c r="AE3925" s="1">
        <v>24917</v>
      </c>
      <c r="AF3925">
        <v>2</v>
      </c>
      <c r="AG3925" t="s">
        <v>381</v>
      </c>
      <c r="AH3925" s="36">
        <f t="shared" si="61"/>
        <v>51.5</v>
      </c>
      <c r="AI3925" s="41" t="s">
        <v>1781</v>
      </c>
    </row>
    <row r="3926" spans="1:35" x14ac:dyDescent="0.25">
      <c r="A3926" s="36">
        <v>99913924</v>
      </c>
      <c r="B3926" s="17" t="s">
        <v>32</v>
      </c>
      <c r="C3926" t="s">
        <v>46</v>
      </c>
      <c r="D3926" t="s">
        <v>47</v>
      </c>
      <c r="G3926" s="17" t="s">
        <v>35</v>
      </c>
      <c r="H3926" s="17">
        <v>1</v>
      </c>
      <c r="I3926">
        <v>0</v>
      </c>
      <c r="J3926" s="1">
        <v>43344</v>
      </c>
      <c r="K3926" t="s">
        <v>223</v>
      </c>
      <c r="L3926" t="s">
        <v>224</v>
      </c>
      <c r="M3926" t="s">
        <v>131</v>
      </c>
      <c r="N3926">
        <v>18</v>
      </c>
      <c r="O3926" t="s">
        <v>40</v>
      </c>
      <c r="S3926" t="s">
        <v>40</v>
      </c>
      <c r="U3926" s="1">
        <v>43344</v>
      </c>
      <c r="V3926" t="s">
        <v>41</v>
      </c>
      <c r="W3926" t="s">
        <v>42</v>
      </c>
      <c r="X3926" t="str">
        <f>"0580206"</f>
        <v>0580206</v>
      </c>
      <c r="Y3926" t="s">
        <v>237</v>
      </c>
      <c r="Z3926" t="s">
        <v>223</v>
      </c>
      <c r="AA3926" t="s">
        <v>224</v>
      </c>
      <c r="AB3926" t="s">
        <v>131</v>
      </c>
      <c r="AC3926" t="s">
        <v>51</v>
      </c>
      <c r="AD3926" t="s">
        <v>45</v>
      </c>
      <c r="AE3926" s="1">
        <v>24915</v>
      </c>
      <c r="AF3926">
        <v>2</v>
      </c>
      <c r="AG3926" t="s">
        <v>224</v>
      </c>
      <c r="AH3926" s="36">
        <f t="shared" si="61"/>
        <v>51.505555555555553</v>
      </c>
      <c r="AI3926" s="41" t="s">
        <v>1781</v>
      </c>
    </row>
    <row r="3927" spans="1:35" x14ac:dyDescent="0.25">
      <c r="A3927" s="36">
        <v>99913925</v>
      </c>
      <c r="B3927" s="17" t="s">
        <v>32</v>
      </c>
      <c r="C3927" t="s">
        <v>139</v>
      </c>
      <c r="D3927" t="s">
        <v>140</v>
      </c>
      <c r="G3927" s="17" t="s">
        <v>48</v>
      </c>
      <c r="H3927" s="17">
        <v>9</v>
      </c>
      <c r="K3927" t="s">
        <v>1221</v>
      </c>
      <c r="L3927" t="s">
        <v>1222</v>
      </c>
      <c r="M3927" t="s">
        <v>1130</v>
      </c>
      <c r="N3927">
        <v>21</v>
      </c>
      <c r="O3927" t="s">
        <v>40</v>
      </c>
      <c r="P3927" t="s">
        <v>40</v>
      </c>
      <c r="Q3927" t="s">
        <v>40</v>
      </c>
      <c r="R3927" t="s">
        <v>40</v>
      </c>
      <c r="S3927" t="s">
        <v>40</v>
      </c>
      <c r="V3927" t="s">
        <v>41</v>
      </c>
      <c r="W3927" t="s">
        <v>75</v>
      </c>
      <c r="X3927" t="str">
        <f>"7351000"</f>
        <v>7351000</v>
      </c>
      <c r="Y3927" t="s">
        <v>1223</v>
      </c>
      <c r="Z3927" t="s">
        <v>1221</v>
      </c>
      <c r="AA3927" t="s">
        <v>1222</v>
      </c>
      <c r="AB3927" t="s">
        <v>1130</v>
      </c>
      <c r="AC3927" t="s">
        <v>51</v>
      </c>
      <c r="AD3927" t="s">
        <v>45</v>
      </c>
      <c r="AE3927" s="1">
        <v>24915</v>
      </c>
      <c r="AF3927">
        <v>1</v>
      </c>
      <c r="AG3927" t="s">
        <v>1222</v>
      </c>
      <c r="AH3927" s="36">
        <f t="shared" si="61"/>
        <v>51.505555555555553</v>
      </c>
      <c r="AI3927" s="41" t="s">
        <v>1781</v>
      </c>
    </row>
    <row r="3928" spans="1:35" x14ac:dyDescent="0.25">
      <c r="A3928" s="36">
        <v>99913926</v>
      </c>
      <c r="B3928" s="17" t="s">
        <v>32</v>
      </c>
      <c r="C3928" t="s">
        <v>111</v>
      </c>
      <c r="D3928" t="s">
        <v>112</v>
      </c>
      <c r="G3928" s="17" t="s">
        <v>35</v>
      </c>
      <c r="H3928" s="17">
        <v>14</v>
      </c>
      <c r="K3928" t="s">
        <v>268</v>
      </c>
      <c r="L3928" t="s">
        <v>269</v>
      </c>
      <c r="M3928" t="s">
        <v>131</v>
      </c>
      <c r="N3928">
        <v>21</v>
      </c>
      <c r="O3928" t="s">
        <v>40</v>
      </c>
      <c r="P3928" t="s">
        <v>40</v>
      </c>
      <c r="Q3928" t="s">
        <v>40</v>
      </c>
      <c r="R3928" t="s">
        <v>40</v>
      </c>
      <c r="S3928" t="s">
        <v>40</v>
      </c>
      <c r="V3928" t="s">
        <v>41</v>
      </c>
      <c r="W3928" t="s">
        <v>75</v>
      </c>
      <c r="X3928" t="str">
        <f>"7052002"</f>
        <v>7052002</v>
      </c>
      <c r="Y3928" t="s">
        <v>590</v>
      </c>
      <c r="Z3928" t="s">
        <v>268</v>
      </c>
      <c r="AA3928" t="s">
        <v>269</v>
      </c>
      <c r="AB3928" t="s">
        <v>131</v>
      </c>
      <c r="AC3928" t="s">
        <v>165</v>
      </c>
      <c r="AD3928" t="s">
        <v>45</v>
      </c>
      <c r="AE3928" s="1">
        <v>24913</v>
      </c>
      <c r="AF3928">
        <v>1</v>
      </c>
      <c r="AG3928" t="s">
        <v>269</v>
      </c>
      <c r="AH3928" s="36">
        <f t="shared" si="61"/>
        <v>51.511111111111113</v>
      </c>
      <c r="AI3928" s="41" t="s">
        <v>1781</v>
      </c>
    </row>
    <row r="3929" spans="1:35" x14ac:dyDescent="0.25">
      <c r="A3929" s="36">
        <v>99913927</v>
      </c>
      <c r="B3929" s="17" t="s">
        <v>32</v>
      </c>
      <c r="C3929" t="s">
        <v>111</v>
      </c>
      <c r="D3929" t="s">
        <v>112</v>
      </c>
      <c r="G3929" s="17" t="s">
        <v>35</v>
      </c>
      <c r="H3929" s="17">
        <v>1</v>
      </c>
      <c r="I3929" s="1">
        <v>40057</v>
      </c>
      <c r="J3929" s="1">
        <v>43344</v>
      </c>
      <c r="K3929" t="s">
        <v>1341</v>
      </c>
      <c r="L3929" t="s">
        <v>1342</v>
      </c>
      <c r="M3929" t="s">
        <v>1270</v>
      </c>
      <c r="N3929">
        <v>24</v>
      </c>
      <c r="O3929" t="s">
        <v>40</v>
      </c>
      <c r="S3929" t="s">
        <v>40</v>
      </c>
      <c r="U3929" s="1">
        <v>43344</v>
      </c>
      <c r="V3929" t="s">
        <v>41</v>
      </c>
      <c r="W3929" t="s">
        <v>75</v>
      </c>
      <c r="X3929" t="str">
        <f>"7191032"</f>
        <v>7191032</v>
      </c>
      <c r="Y3929" t="s">
        <v>1399</v>
      </c>
      <c r="Z3929" t="s">
        <v>1341</v>
      </c>
      <c r="AA3929" t="s">
        <v>1342</v>
      </c>
      <c r="AB3929" t="s">
        <v>1270</v>
      </c>
      <c r="AC3929" t="s">
        <v>51</v>
      </c>
      <c r="AD3929" t="s">
        <v>45</v>
      </c>
      <c r="AE3929" s="1">
        <v>24913</v>
      </c>
      <c r="AF3929">
        <v>1</v>
      </c>
      <c r="AG3929" t="s">
        <v>1342</v>
      </c>
      <c r="AH3929" s="36">
        <f t="shared" si="61"/>
        <v>51.511111111111113</v>
      </c>
      <c r="AI3929" s="41" t="s">
        <v>1781</v>
      </c>
    </row>
    <row r="3930" spans="1:35" x14ac:dyDescent="0.25">
      <c r="A3930" s="36">
        <v>99913928</v>
      </c>
      <c r="B3930" s="17" t="s">
        <v>56</v>
      </c>
      <c r="C3930" t="s">
        <v>68</v>
      </c>
      <c r="D3930" t="s">
        <v>69</v>
      </c>
      <c r="E3930" t="s">
        <v>151</v>
      </c>
      <c r="F3930" t="s">
        <v>152</v>
      </c>
      <c r="G3930" s="17" t="s">
        <v>48</v>
      </c>
      <c r="H3930" s="17">
        <v>9</v>
      </c>
      <c r="K3930" t="s">
        <v>1128</v>
      </c>
      <c r="L3930" t="s">
        <v>1129</v>
      </c>
      <c r="M3930" t="s">
        <v>1130</v>
      </c>
      <c r="N3930">
        <v>20</v>
      </c>
      <c r="O3930" t="s">
        <v>40</v>
      </c>
      <c r="P3930" t="s">
        <v>40</v>
      </c>
      <c r="Q3930" t="s">
        <v>40</v>
      </c>
      <c r="R3930" t="s">
        <v>40</v>
      </c>
      <c r="S3930" t="s">
        <v>40</v>
      </c>
      <c r="V3930" t="s">
        <v>41</v>
      </c>
      <c r="W3930" t="s">
        <v>42</v>
      </c>
      <c r="X3930" t="str">
        <f>"3180015"</f>
        <v>3180015</v>
      </c>
      <c r="Y3930" t="s">
        <v>1139</v>
      </c>
      <c r="Z3930" t="s">
        <v>1128</v>
      </c>
      <c r="AA3930" t="s">
        <v>1129</v>
      </c>
      <c r="AB3930" t="s">
        <v>1130</v>
      </c>
      <c r="AC3930" t="s">
        <v>51</v>
      </c>
      <c r="AD3930" t="s">
        <v>45</v>
      </c>
      <c r="AE3930" s="1">
        <v>24912</v>
      </c>
      <c r="AF3930">
        <v>2</v>
      </c>
      <c r="AG3930" t="s">
        <v>1129</v>
      </c>
      <c r="AH3930" s="36">
        <f t="shared" si="61"/>
        <v>51.513888888888886</v>
      </c>
      <c r="AI3930" s="41" t="s">
        <v>1781</v>
      </c>
    </row>
    <row r="3931" spans="1:35" x14ac:dyDescent="0.25">
      <c r="A3931" s="36">
        <v>99913929</v>
      </c>
      <c r="B3931" s="17" t="s">
        <v>32</v>
      </c>
      <c r="C3931" t="s">
        <v>46</v>
      </c>
      <c r="D3931" t="s">
        <v>47</v>
      </c>
      <c r="G3931" s="17" t="s">
        <v>35</v>
      </c>
      <c r="H3931" s="17">
        <v>1</v>
      </c>
      <c r="K3931" t="s">
        <v>300</v>
      </c>
      <c r="L3931" t="s">
        <v>301</v>
      </c>
      <c r="M3931" t="s">
        <v>131</v>
      </c>
      <c r="N3931">
        <v>18</v>
      </c>
      <c r="O3931" t="s">
        <v>40</v>
      </c>
      <c r="P3931" t="s">
        <v>40</v>
      </c>
      <c r="Q3931" t="s">
        <v>40</v>
      </c>
      <c r="R3931" t="s">
        <v>40</v>
      </c>
      <c r="S3931" t="s">
        <v>40</v>
      </c>
      <c r="V3931" t="s">
        <v>41</v>
      </c>
      <c r="W3931" t="s">
        <v>49</v>
      </c>
      <c r="X3931" t="str">
        <f>"0560002"</f>
        <v>0560002</v>
      </c>
      <c r="Y3931" t="s">
        <v>315</v>
      </c>
      <c r="Z3931" t="s">
        <v>300</v>
      </c>
      <c r="AA3931" t="s">
        <v>301</v>
      </c>
      <c r="AB3931" t="s">
        <v>131</v>
      </c>
      <c r="AC3931" t="s">
        <v>165</v>
      </c>
      <c r="AD3931" t="s">
        <v>45</v>
      </c>
      <c r="AE3931" s="1">
        <v>24908</v>
      </c>
      <c r="AF3931">
        <v>2</v>
      </c>
      <c r="AG3931" t="s">
        <v>301</v>
      </c>
      <c r="AH3931" s="36">
        <f t="shared" si="61"/>
        <v>51.524999999999999</v>
      </c>
      <c r="AI3931" s="41" t="s">
        <v>1781</v>
      </c>
    </row>
    <row r="3932" spans="1:35" x14ac:dyDescent="0.25">
      <c r="A3932" s="36">
        <v>99913930</v>
      </c>
      <c r="B3932" s="17" t="s">
        <v>32</v>
      </c>
      <c r="C3932" t="s">
        <v>64</v>
      </c>
      <c r="D3932" t="s">
        <v>65</v>
      </c>
      <c r="G3932" s="17" t="s">
        <v>48</v>
      </c>
      <c r="H3932" s="17">
        <v>1</v>
      </c>
      <c r="K3932" t="s">
        <v>380</v>
      </c>
      <c r="L3932" t="s">
        <v>381</v>
      </c>
      <c r="M3932" t="s">
        <v>131</v>
      </c>
      <c r="N3932">
        <v>21</v>
      </c>
      <c r="O3932" t="s">
        <v>40</v>
      </c>
      <c r="P3932" t="s">
        <v>40</v>
      </c>
      <c r="Q3932" t="s">
        <v>40</v>
      </c>
      <c r="R3932" t="s">
        <v>40</v>
      </c>
      <c r="S3932" t="s">
        <v>40</v>
      </c>
      <c r="V3932" t="s">
        <v>41</v>
      </c>
      <c r="W3932" t="s">
        <v>42</v>
      </c>
      <c r="X3932" t="str">
        <f>"0561010"</f>
        <v>0561010</v>
      </c>
      <c r="Y3932" t="s">
        <v>387</v>
      </c>
      <c r="Z3932" t="s">
        <v>380</v>
      </c>
      <c r="AA3932" t="s">
        <v>381</v>
      </c>
      <c r="AB3932" t="s">
        <v>131</v>
      </c>
      <c r="AC3932" t="s">
        <v>51</v>
      </c>
      <c r="AD3932" t="s">
        <v>45</v>
      </c>
      <c r="AE3932" s="1">
        <v>24906</v>
      </c>
      <c r="AF3932">
        <v>2</v>
      </c>
      <c r="AG3932" t="s">
        <v>381</v>
      </c>
      <c r="AH3932" s="36">
        <f t="shared" si="61"/>
        <v>51.530555555555559</v>
      </c>
      <c r="AI3932" s="41" t="s">
        <v>1781</v>
      </c>
    </row>
    <row r="3933" spans="1:35" x14ac:dyDescent="0.25">
      <c r="A3933" s="36">
        <v>99913931</v>
      </c>
      <c r="B3933" s="17" t="s">
        <v>32</v>
      </c>
      <c r="C3933" t="s">
        <v>46</v>
      </c>
      <c r="D3933" t="s">
        <v>47</v>
      </c>
      <c r="G3933" s="17" t="s">
        <v>35</v>
      </c>
      <c r="H3933" s="17">
        <v>1</v>
      </c>
      <c r="I3933">
        <v>18459</v>
      </c>
      <c r="J3933" s="1">
        <v>43353</v>
      </c>
      <c r="K3933" t="s">
        <v>380</v>
      </c>
      <c r="L3933" t="s">
        <v>381</v>
      </c>
      <c r="M3933" t="s">
        <v>131</v>
      </c>
      <c r="N3933">
        <v>18</v>
      </c>
      <c r="O3933" t="s">
        <v>40</v>
      </c>
      <c r="S3933" t="s">
        <v>40</v>
      </c>
      <c r="U3933" s="1">
        <v>43353</v>
      </c>
      <c r="V3933" t="s">
        <v>41</v>
      </c>
      <c r="W3933" t="s">
        <v>42</v>
      </c>
      <c r="X3933" t="str">
        <f>"0561016"</f>
        <v>0561016</v>
      </c>
      <c r="Y3933" t="s">
        <v>389</v>
      </c>
      <c r="Z3933" t="s">
        <v>380</v>
      </c>
      <c r="AA3933" t="s">
        <v>381</v>
      </c>
      <c r="AB3933" t="s">
        <v>131</v>
      </c>
      <c r="AC3933" t="s">
        <v>44</v>
      </c>
      <c r="AD3933" t="s">
        <v>45</v>
      </c>
      <c r="AE3933" s="1">
        <v>24906</v>
      </c>
      <c r="AF3933">
        <v>2</v>
      </c>
      <c r="AG3933" t="s">
        <v>381</v>
      </c>
      <c r="AH3933" s="36">
        <f t="shared" si="61"/>
        <v>51.530555555555559</v>
      </c>
      <c r="AI3933" s="41" t="s">
        <v>1781</v>
      </c>
    </row>
    <row r="3934" spans="1:35" x14ac:dyDescent="0.25">
      <c r="A3934" s="36">
        <v>99913932</v>
      </c>
      <c r="B3934" s="17" t="s">
        <v>32</v>
      </c>
      <c r="C3934" t="s">
        <v>111</v>
      </c>
      <c r="D3934" t="s">
        <v>112</v>
      </c>
      <c r="G3934" s="17" t="s">
        <v>48</v>
      </c>
      <c r="H3934" s="17">
        <v>13</v>
      </c>
      <c r="K3934" t="s">
        <v>195</v>
      </c>
      <c r="L3934" t="s">
        <v>196</v>
      </c>
      <c r="M3934" t="s">
        <v>131</v>
      </c>
      <c r="N3934">
        <v>21</v>
      </c>
      <c r="O3934" t="s">
        <v>40</v>
      </c>
      <c r="P3934" t="s">
        <v>40</v>
      </c>
      <c r="Q3934" t="s">
        <v>40</v>
      </c>
      <c r="R3934" t="s">
        <v>40</v>
      </c>
      <c r="S3934" t="s">
        <v>40</v>
      </c>
      <c r="U3934" s="1">
        <v>34124</v>
      </c>
      <c r="V3934" t="s">
        <v>41</v>
      </c>
      <c r="W3934" t="s">
        <v>75</v>
      </c>
      <c r="X3934" t="str">
        <f>"7521046"</f>
        <v>7521046</v>
      </c>
      <c r="Y3934" t="s">
        <v>436</v>
      </c>
      <c r="Z3934" t="s">
        <v>195</v>
      </c>
      <c r="AA3934" t="s">
        <v>196</v>
      </c>
      <c r="AB3934" t="s">
        <v>131</v>
      </c>
      <c r="AC3934" t="s">
        <v>165</v>
      </c>
      <c r="AD3934" t="s">
        <v>45</v>
      </c>
      <c r="AE3934" s="1">
        <v>24906</v>
      </c>
      <c r="AF3934">
        <v>1</v>
      </c>
      <c r="AG3934" t="s">
        <v>196</v>
      </c>
      <c r="AH3934" s="36">
        <f t="shared" si="61"/>
        <v>51.530555555555559</v>
      </c>
      <c r="AI3934" s="41" t="s">
        <v>1781</v>
      </c>
    </row>
    <row r="3935" spans="1:35" x14ac:dyDescent="0.25">
      <c r="A3935" s="36">
        <v>99913933</v>
      </c>
      <c r="B3935" s="17" t="s">
        <v>56</v>
      </c>
      <c r="C3935" t="s">
        <v>79</v>
      </c>
      <c r="D3935" t="s">
        <v>80</v>
      </c>
      <c r="G3935" s="17" t="s">
        <v>48</v>
      </c>
      <c r="H3935" s="17">
        <v>1</v>
      </c>
      <c r="K3935" t="s">
        <v>223</v>
      </c>
      <c r="L3935" t="s">
        <v>224</v>
      </c>
      <c r="M3935" t="s">
        <v>131</v>
      </c>
      <c r="N3935">
        <v>15</v>
      </c>
      <c r="O3935" t="s">
        <v>40</v>
      </c>
      <c r="P3935" t="s">
        <v>40</v>
      </c>
      <c r="Q3935" t="s">
        <v>40</v>
      </c>
      <c r="R3935" t="s">
        <v>40</v>
      </c>
      <c r="S3935" t="s">
        <v>40</v>
      </c>
      <c r="V3935" t="s">
        <v>41</v>
      </c>
      <c r="W3935" t="s">
        <v>49</v>
      </c>
      <c r="X3935" t="str">
        <f>"0581204"</f>
        <v>0581204</v>
      </c>
      <c r="Y3935" t="s">
        <v>249</v>
      </c>
      <c r="Z3935" t="s">
        <v>223</v>
      </c>
      <c r="AA3935" t="s">
        <v>224</v>
      </c>
      <c r="AB3935" t="s">
        <v>131</v>
      </c>
      <c r="AC3935" t="s">
        <v>165</v>
      </c>
      <c r="AD3935" t="s">
        <v>45</v>
      </c>
      <c r="AE3935" s="1">
        <v>24905</v>
      </c>
      <c r="AF3935">
        <v>2</v>
      </c>
      <c r="AG3935" t="s">
        <v>224</v>
      </c>
      <c r="AH3935" s="36">
        <f t="shared" si="61"/>
        <v>51.533333333333331</v>
      </c>
      <c r="AI3935" s="41" t="s">
        <v>1781</v>
      </c>
    </row>
    <row r="3936" spans="1:35" x14ac:dyDescent="0.25">
      <c r="A3936" s="36">
        <v>99913934</v>
      </c>
      <c r="B3936" s="17" t="s">
        <v>32</v>
      </c>
      <c r="C3936" t="s">
        <v>111</v>
      </c>
      <c r="D3936" t="s">
        <v>112</v>
      </c>
      <c r="G3936" s="17" t="s">
        <v>35</v>
      </c>
      <c r="H3936" s="17">
        <v>13</v>
      </c>
      <c r="K3936" t="s">
        <v>268</v>
      </c>
      <c r="L3936" t="s">
        <v>269</v>
      </c>
      <c r="M3936" t="s">
        <v>131</v>
      </c>
      <c r="N3936">
        <v>21</v>
      </c>
      <c r="O3936" t="s">
        <v>40</v>
      </c>
      <c r="P3936" t="s">
        <v>40</v>
      </c>
      <c r="Q3936" t="s">
        <v>40</v>
      </c>
      <c r="R3936" t="s">
        <v>40</v>
      </c>
      <c r="S3936" t="s">
        <v>40</v>
      </c>
      <c r="V3936" t="s">
        <v>41</v>
      </c>
      <c r="W3936" t="s">
        <v>75</v>
      </c>
      <c r="X3936" t="str">
        <f>"7052004"</f>
        <v>7052004</v>
      </c>
      <c r="Y3936" t="s">
        <v>584</v>
      </c>
      <c r="Z3936" t="s">
        <v>268</v>
      </c>
      <c r="AA3936" t="s">
        <v>269</v>
      </c>
      <c r="AB3936" t="s">
        <v>131</v>
      </c>
      <c r="AC3936" t="s">
        <v>165</v>
      </c>
      <c r="AD3936" t="s">
        <v>45</v>
      </c>
      <c r="AE3936" s="1">
        <v>24904</v>
      </c>
      <c r="AF3936">
        <v>1</v>
      </c>
      <c r="AG3936" t="s">
        <v>269</v>
      </c>
      <c r="AH3936" s="36">
        <f t="shared" si="61"/>
        <v>51.536111111111111</v>
      </c>
      <c r="AI3936" s="41" t="s">
        <v>1781</v>
      </c>
    </row>
    <row r="3937" spans="1:35" x14ac:dyDescent="0.25">
      <c r="A3937" s="36">
        <v>99913935</v>
      </c>
      <c r="B3937" s="17" t="s">
        <v>32</v>
      </c>
      <c r="C3937" t="s">
        <v>71</v>
      </c>
      <c r="D3937" t="s">
        <v>72</v>
      </c>
      <c r="G3937" s="17" t="s">
        <v>48</v>
      </c>
      <c r="H3937" s="17">
        <v>10</v>
      </c>
      <c r="K3937" t="s">
        <v>1268</v>
      </c>
      <c r="L3937" t="s">
        <v>1269</v>
      </c>
      <c r="M3937" t="s">
        <v>1270</v>
      </c>
      <c r="N3937">
        <v>18</v>
      </c>
      <c r="O3937" t="s">
        <v>40</v>
      </c>
      <c r="P3937" t="s">
        <v>40</v>
      </c>
      <c r="Q3937" t="s">
        <v>40</v>
      </c>
      <c r="R3937" t="s">
        <v>40</v>
      </c>
      <c r="S3937" t="s">
        <v>40</v>
      </c>
      <c r="V3937" t="s">
        <v>41</v>
      </c>
      <c r="W3937" t="s">
        <v>49</v>
      </c>
      <c r="X3937" t="str">
        <f>"1981912"</f>
        <v>1981912</v>
      </c>
      <c r="Y3937" t="s">
        <v>1279</v>
      </c>
      <c r="Z3937" t="s">
        <v>1268</v>
      </c>
      <c r="AA3937" t="s">
        <v>1269</v>
      </c>
      <c r="AB3937" t="s">
        <v>1270</v>
      </c>
      <c r="AC3937" t="s">
        <v>51</v>
      </c>
      <c r="AD3937" t="s">
        <v>45</v>
      </c>
      <c r="AE3937" s="1">
        <v>24903</v>
      </c>
      <c r="AF3937">
        <v>2</v>
      </c>
      <c r="AG3937" t="s">
        <v>1269</v>
      </c>
      <c r="AH3937" s="36">
        <f t="shared" si="61"/>
        <v>51.538888888888891</v>
      </c>
      <c r="AI3937" s="41" t="s">
        <v>1781</v>
      </c>
    </row>
    <row r="3938" spans="1:35" x14ac:dyDescent="0.25">
      <c r="A3938" s="36">
        <v>99913936</v>
      </c>
      <c r="B3938" s="17" t="s">
        <v>56</v>
      </c>
      <c r="C3938" t="s">
        <v>82</v>
      </c>
      <c r="D3938" t="s">
        <v>83</v>
      </c>
      <c r="G3938" s="17" t="s">
        <v>48</v>
      </c>
      <c r="H3938" s="17">
        <v>1</v>
      </c>
      <c r="K3938" t="s">
        <v>223</v>
      </c>
      <c r="L3938" t="s">
        <v>224</v>
      </c>
      <c r="M3938" t="s">
        <v>131</v>
      </c>
      <c r="N3938">
        <v>18</v>
      </c>
      <c r="O3938" t="s">
        <v>40</v>
      </c>
      <c r="P3938" t="s">
        <v>40</v>
      </c>
      <c r="Q3938" t="s">
        <v>40</v>
      </c>
      <c r="R3938" t="s">
        <v>40</v>
      </c>
      <c r="S3938" t="s">
        <v>40</v>
      </c>
      <c r="V3938" t="s">
        <v>41</v>
      </c>
      <c r="W3938" t="s">
        <v>42</v>
      </c>
      <c r="X3938" t="str">
        <f>"0580206"</f>
        <v>0580206</v>
      </c>
      <c r="Y3938" t="s">
        <v>237</v>
      </c>
      <c r="Z3938" t="s">
        <v>223</v>
      </c>
      <c r="AA3938" t="s">
        <v>224</v>
      </c>
      <c r="AB3938" t="s">
        <v>131</v>
      </c>
      <c r="AC3938" t="s">
        <v>51</v>
      </c>
      <c r="AD3938" t="s">
        <v>45</v>
      </c>
      <c r="AE3938" s="1">
        <v>24899</v>
      </c>
      <c r="AF3938">
        <v>2</v>
      </c>
      <c r="AG3938" t="s">
        <v>224</v>
      </c>
      <c r="AH3938" s="36">
        <f t="shared" si="61"/>
        <v>51.55</v>
      </c>
      <c r="AI3938" s="41" t="s">
        <v>1781</v>
      </c>
    </row>
    <row r="3939" spans="1:35" x14ac:dyDescent="0.25">
      <c r="A3939" s="36">
        <v>99913937</v>
      </c>
      <c r="B3939" s="17" t="s">
        <v>32</v>
      </c>
      <c r="C3939" t="s">
        <v>139</v>
      </c>
      <c r="D3939" t="s">
        <v>140</v>
      </c>
      <c r="G3939" s="17" t="s">
        <v>48</v>
      </c>
      <c r="H3939" s="17">
        <v>1</v>
      </c>
      <c r="K3939" t="s">
        <v>300</v>
      </c>
      <c r="L3939" t="s">
        <v>301</v>
      </c>
      <c r="M3939" t="s">
        <v>131</v>
      </c>
      <c r="N3939">
        <v>9</v>
      </c>
      <c r="O3939" t="s">
        <v>40</v>
      </c>
      <c r="P3939" t="s">
        <v>40</v>
      </c>
      <c r="Q3939" t="s">
        <v>40</v>
      </c>
      <c r="R3939" t="s">
        <v>40</v>
      </c>
      <c r="S3939" t="s">
        <v>40</v>
      </c>
      <c r="V3939" t="s">
        <v>41</v>
      </c>
      <c r="W3939" t="s">
        <v>49</v>
      </c>
      <c r="X3939" t="str">
        <f>"0560001"</f>
        <v>0560001</v>
      </c>
      <c r="Y3939" t="s">
        <v>304</v>
      </c>
      <c r="Z3939" t="s">
        <v>300</v>
      </c>
      <c r="AA3939" t="s">
        <v>301</v>
      </c>
      <c r="AB3939" t="s">
        <v>131</v>
      </c>
      <c r="AC3939" t="s">
        <v>51</v>
      </c>
      <c r="AD3939" t="s">
        <v>45</v>
      </c>
      <c r="AE3939" s="1">
        <v>24898</v>
      </c>
      <c r="AF3939">
        <v>2</v>
      </c>
      <c r="AG3939" t="s">
        <v>301</v>
      </c>
      <c r="AH3939" s="36">
        <f t="shared" si="61"/>
        <v>51.552777777777777</v>
      </c>
      <c r="AI3939" s="41" t="s">
        <v>1781</v>
      </c>
    </row>
    <row r="3940" spans="1:35" x14ac:dyDescent="0.25">
      <c r="A3940" s="36">
        <v>99913938</v>
      </c>
      <c r="B3940" s="17" t="s">
        <v>56</v>
      </c>
      <c r="C3940" t="s">
        <v>79</v>
      </c>
      <c r="D3940" t="s">
        <v>80</v>
      </c>
      <c r="G3940" s="17" t="s">
        <v>35</v>
      </c>
      <c r="H3940" s="17">
        <v>1</v>
      </c>
      <c r="I3940" t="s">
        <v>1471</v>
      </c>
      <c r="J3940" s="1">
        <v>43344</v>
      </c>
      <c r="K3940" t="s">
        <v>1334</v>
      </c>
      <c r="L3940" t="s">
        <v>1335</v>
      </c>
      <c r="M3940" t="s">
        <v>1270</v>
      </c>
      <c r="N3940">
        <v>21</v>
      </c>
      <c r="O3940" t="s">
        <v>40</v>
      </c>
      <c r="P3940" t="s">
        <v>40</v>
      </c>
      <c r="Q3940" t="s">
        <v>40</v>
      </c>
      <c r="S3940" t="s">
        <v>40</v>
      </c>
      <c r="U3940" s="1">
        <v>43344</v>
      </c>
      <c r="V3940" t="s">
        <v>41</v>
      </c>
      <c r="W3940" t="s">
        <v>75</v>
      </c>
      <c r="X3940" t="str">
        <f>"7391000"</f>
        <v>7391000</v>
      </c>
      <c r="Y3940" t="s">
        <v>1333</v>
      </c>
      <c r="Z3940" t="s">
        <v>1334</v>
      </c>
      <c r="AA3940" t="s">
        <v>1335</v>
      </c>
      <c r="AB3940" t="s">
        <v>1270</v>
      </c>
      <c r="AC3940" t="s">
        <v>51</v>
      </c>
      <c r="AD3940" t="s">
        <v>45</v>
      </c>
      <c r="AE3940" s="1">
        <v>24898</v>
      </c>
      <c r="AF3940">
        <v>1</v>
      </c>
      <c r="AG3940" t="s">
        <v>1335</v>
      </c>
      <c r="AH3940" s="36">
        <f t="shared" si="61"/>
        <v>51.552777777777777</v>
      </c>
      <c r="AI3940" s="41" t="s">
        <v>1781</v>
      </c>
    </row>
    <row r="3941" spans="1:35" x14ac:dyDescent="0.25">
      <c r="A3941" s="36">
        <v>99913939</v>
      </c>
      <c r="B3941" s="17" t="s">
        <v>32</v>
      </c>
      <c r="C3941" t="s">
        <v>90</v>
      </c>
      <c r="D3941" t="s">
        <v>91</v>
      </c>
      <c r="G3941" s="17" t="s">
        <v>35</v>
      </c>
      <c r="H3941" s="17">
        <v>1</v>
      </c>
      <c r="K3941" t="s">
        <v>1124</v>
      </c>
      <c r="L3941" t="s">
        <v>1125</v>
      </c>
      <c r="M3941" t="s">
        <v>1053</v>
      </c>
      <c r="N3941">
        <v>25</v>
      </c>
      <c r="O3941" t="s">
        <v>40</v>
      </c>
      <c r="P3941" t="s">
        <v>40</v>
      </c>
      <c r="Q3941" t="s">
        <v>40</v>
      </c>
      <c r="R3941" t="s">
        <v>40</v>
      </c>
      <c r="S3941" t="s">
        <v>40</v>
      </c>
      <c r="V3941" t="s">
        <v>41</v>
      </c>
      <c r="W3941" t="s">
        <v>95</v>
      </c>
      <c r="X3941" t="str">
        <f>"7401003"</f>
        <v>7401003</v>
      </c>
      <c r="Y3941" t="s">
        <v>1126</v>
      </c>
      <c r="Z3941" t="s">
        <v>1124</v>
      </c>
      <c r="AA3941" t="s">
        <v>1125</v>
      </c>
      <c r="AB3941" t="s">
        <v>1053</v>
      </c>
      <c r="AC3941" t="s">
        <v>51</v>
      </c>
      <c r="AD3941" t="s">
        <v>45</v>
      </c>
      <c r="AE3941" s="1">
        <v>24894</v>
      </c>
      <c r="AF3941">
        <v>1</v>
      </c>
      <c r="AG3941" t="s">
        <v>1125</v>
      </c>
      <c r="AH3941" s="36">
        <f t="shared" si="61"/>
        <v>51.56388888888889</v>
      </c>
      <c r="AI3941" s="41" t="s">
        <v>1781</v>
      </c>
    </row>
    <row r="3942" spans="1:35" x14ac:dyDescent="0.25">
      <c r="A3942" s="36">
        <v>99913940</v>
      </c>
      <c r="B3942" s="17" t="s">
        <v>32</v>
      </c>
      <c r="C3942" t="s">
        <v>111</v>
      </c>
      <c r="D3942" t="s">
        <v>112</v>
      </c>
      <c r="G3942" s="17" t="s">
        <v>48</v>
      </c>
      <c r="H3942" s="17">
        <v>8</v>
      </c>
      <c r="I3942" t="s">
        <v>454</v>
      </c>
      <c r="J3942" s="1">
        <v>40057</v>
      </c>
      <c r="K3942" t="s">
        <v>195</v>
      </c>
      <c r="L3942" t="s">
        <v>196</v>
      </c>
      <c r="M3942" t="s">
        <v>131</v>
      </c>
      <c r="N3942">
        <v>23</v>
      </c>
      <c r="O3942" t="s">
        <v>40</v>
      </c>
      <c r="P3942" t="s">
        <v>40</v>
      </c>
      <c r="Q3942" t="s">
        <v>40</v>
      </c>
      <c r="R3942" t="s">
        <v>40</v>
      </c>
      <c r="S3942" t="s">
        <v>40</v>
      </c>
      <c r="U3942" s="1">
        <v>40057</v>
      </c>
      <c r="V3942" t="s">
        <v>41</v>
      </c>
      <c r="W3942" t="s">
        <v>75</v>
      </c>
      <c r="X3942" t="str">
        <f>"7521052"</f>
        <v>7521052</v>
      </c>
      <c r="Y3942" t="s">
        <v>443</v>
      </c>
      <c r="Z3942" t="s">
        <v>195</v>
      </c>
      <c r="AA3942" t="s">
        <v>196</v>
      </c>
      <c r="AB3942" t="s">
        <v>131</v>
      </c>
      <c r="AC3942" t="s">
        <v>51</v>
      </c>
      <c r="AD3942" t="s">
        <v>45</v>
      </c>
      <c r="AE3942" s="1">
        <v>24893</v>
      </c>
      <c r="AF3942">
        <v>1</v>
      </c>
      <c r="AG3942" t="s">
        <v>196</v>
      </c>
      <c r="AH3942" s="36">
        <f t="shared" si="61"/>
        <v>51.56666666666667</v>
      </c>
      <c r="AI3942" s="41" t="s">
        <v>1781</v>
      </c>
    </row>
    <row r="3943" spans="1:35" x14ac:dyDescent="0.25">
      <c r="A3943" s="36">
        <v>99913941</v>
      </c>
      <c r="B3943" s="17" t="s">
        <v>32</v>
      </c>
      <c r="C3943" t="s">
        <v>46</v>
      </c>
      <c r="D3943" t="s">
        <v>47</v>
      </c>
      <c r="G3943" s="17" t="s">
        <v>48</v>
      </c>
      <c r="H3943" s="17">
        <v>1</v>
      </c>
      <c r="K3943" t="s">
        <v>223</v>
      </c>
      <c r="L3943" t="s">
        <v>224</v>
      </c>
      <c r="M3943" t="s">
        <v>131</v>
      </c>
      <c r="N3943">
        <v>12</v>
      </c>
      <c r="O3943" t="s">
        <v>40</v>
      </c>
      <c r="P3943" t="s">
        <v>40</v>
      </c>
      <c r="Q3943" t="s">
        <v>40</v>
      </c>
      <c r="R3943" t="s">
        <v>40</v>
      </c>
      <c r="S3943" t="s">
        <v>40</v>
      </c>
      <c r="V3943" t="s">
        <v>41</v>
      </c>
      <c r="W3943" t="s">
        <v>49</v>
      </c>
      <c r="X3943" t="str">
        <f>"0581200"</f>
        <v>0581200</v>
      </c>
      <c r="Y3943" t="s">
        <v>238</v>
      </c>
      <c r="Z3943" t="s">
        <v>223</v>
      </c>
      <c r="AA3943" t="s">
        <v>224</v>
      </c>
      <c r="AB3943" t="s">
        <v>131</v>
      </c>
      <c r="AC3943" t="s">
        <v>51</v>
      </c>
      <c r="AD3943" t="s">
        <v>45</v>
      </c>
      <c r="AE3943" s="1">
        <v>24890</v>
      </c>
      <c r="AF3943">
        <v>2</v>
      </c>
      <c r="AG3943" t="s">
        <v>224</v>
      </c>
      <c r="AH3943" s="36">
        <f t="shared" si="61"/>
        <v>51.575000000000003</v>
      </c>
      <c r="AI3943" s="41" t="s">
        <v>1781</v>
      </c>
    </row>
    <row r="3944" spans="1:35" x14ac:dyDescent="0.25">
      <c r="A3944" s="36">
        <v>99913942</v>
      </c>
      <c r="B3944" s="17" t="s">
        <v>32</v>
      </c>
      <c r="C3944" t="s">
        <v>71</v>
      </c>
      <c r="D3944" t="s">
        <v>72</v>
      </c>
      <c r="G3944" s="17" t="s">
        <v>48</v>
      </c>
      <c r="H3944" s="17">
        <v>1</v>
      </c>
      <c r="K3944" t="s">
        <v>223</v>
      </c>
      <c r="L3944" t="s">
        <v>224</v>
      </c>
      <c r="M3944" t="s">
        <v>131</v>
      </c>
      <c r="N3944">
        <v>4</v>
      </c>
      <c r="O3944" t="s">
        <v>40</v>
      </c>
      <c r="P3944" t="s">
        <v>40</v>
      </c>
      <c r="Q3944" t="s">
        <v>40</v>
      </c>
      <c r="S3944" t="s">
        <v>40</v>
      </c>
      <c r="V3944" t="s">
        <v>41</v>
      </c>
      <c r="W3944" t="s">
        <v>49</v>
      </c>
      <c r="X3944" t="str">
        <f>"0581200"</f>
        <v>0581200</v>
      </c>
      <c r="Y3944" t="s">
        <v>238</v>
      </c>
      <c r="Z3944" t="s">
        <v>223</v>
      </c>
      <c r="AA3944" t="s">
        <v>224</v>
      </c>
      <c r="AB3944" t="s">
        <v>131</v>
      </c>
      <c r="AC3944" t="s">
        <v>51</v>
      </c>
      <c r="AD3944" t="s">
        <v>45</v>
      </c>
      <c r="AE3944" s="1">
        <v>24885</v>
      </c>
      <c r="AF3944">
        <v>2</v>
      </c>
      <c r="AG3944" t="s">
        <v>224</v>
      </c>
      <c r="AH3944" s="36">
        <f t="shared" si="61"/>
        <v>51.588888888888889</v>
      </c>
      <c r="AI3944" s="41" t="s">
        <v>1781</v>
      </c>
    </row>
    <row r="3945" spans="1:35" x14ac:dyDescent="0.25">
      <c r="A3945" s="36">
        <v>99913943</v>
      </c>
      <c r="B3945" s="17" t="s">
        <v>32</v>
      </c>
      <c r="C3945" t="s">
        <v>68</v>
      </c>
      <c r="D3945" t="s">
        <v>69</v>
      </c>
      <c r="G3945" s="17" t="s">
        <v>48</v>
      </c>
      <c r="H3945" s="17">
        <v>1</v>
      </c>
      <c r="K3945" t="s">
        <v>223</v>
      </c>
      <c r="L3945" t="s">
        <v>224</v>
      </c>
      <c r="M3945" t="s">
        <v>131</v>
      </c>
      <c r="N3945">
        <v>18</v>
      </c>
      <c r="O3945" t="s">
        <v>40</v>
      </c>
      <c r="P3945" t="s">
        <v>40</v>
      </c>
      <c r="Q3945" t="s">
        <v>40</v>
      </c>
      <c r="S3945" t="s">
        <v>40</v>
      </c>
      <c r="V3945" t="s">
        <v>41</v>
      </c>
      <c r="W3945" t="s">
        <v>42</v>
      </c>
      <c r="X3945" t="str">
        <f>"0580202"</f>
        <v>0580202</v>
      </c>
      <c r="Y3945" t="s">
        <v>240</v>
      </c>
      <c r="Z3945" t="s">
        <v>223</v>
      </c>
      <c r="AA3945" t="s">
        <v>224</v>
      </c>
      <c r="AB3945" t="s">
        <v>131</v>
      </c>
      <c r="AC3945" t="s">
        <v>165</v>
      </c>
      <c r="AD3945" t="s">
        <v>45</v>
      </c>
      <c r="AE3945" s="1">
        <v>24880</v>
      </c>
      <c r="AF3945">
        <v>2</v>
      </c>
      <c r="AG3945" t="s">
        <v>224</v>
      </c>
      <c r="AH3945" s="36">
        <f t="shared" si="61"/>
        <v>51.602777777777774</v>
      </c>
      <c r="AI3945" s="41" t="s">
        <v>1781</v>
      </c>
    </row>
    <row r="3946" spans="1:35" x14ac:dyDescent="0.25">
      <c r="A3946" s="36">
        <v>99913944</v>
      </c>
      <c r="B3946" s="17" t="s">
        <v>56</v>
      </c>
      <c r="C3946" t="s">
        <v>46</v>
      </c>
      <c r="D3946" t="s">
        <v>47</v>
      </c>
      <c r="G3946" s="17" t="s">
        <v>48</v>
      </c>
      <c r="H3946" s="17">
        <v>1</v>
      </c>
      <c r="K3946" t="s">
        <v>1268</v>
      </c>
      <c r="L3946" t="s">
        <v>1269</v>
      </c>
      <c r="M3946" t="s">
        <v>1270</v>
      </c>
      <c r="N3946">
        <v>18</v>
      </c>
      <c r="O3946" t="s">
        <v>40</v>
      </c>
      <c r="P3946" t="s">
        <v>40</v>
      </c>
      <c r="Q3946" t="s">
        <v>40</v>
      </c>
      <c r="S3946" t="s">
        <v>40</v>
      </c>
      <c r="V3946" t="s">
        <v>41</v>
      </c>
      <c r="W3946" t="s">
        <v>42</v>
      </c>
      <c r="X3946" t="str">
        <f>"1980050"</f>
        <v>1980050</v>
      </c>
      <c r="Y3946" t="s">
        <v>1278</v>
      </c>
      <c r="Z3946" t="s">
        <v>1268</v>
      </c>
      <c r="AA3946" t="s">
        <v>1269</v>
      </c>
      <c r="AB3946" t="s">
        <v>1270</v>
      </c>
      <c r="AC3946" t="s">
        <v>51</v>
      </c>
      <c r="AD3946" t="s">
        <v>45</v>
      </c>
      <c r="AE3946" s="1">
        <v>24877</v>
      </c>
      <c r="AF3946">
        <v>2</v>
      </c>
      <c r="AG3946" t="s">
        <v>1269</v>
      </c>
      <c r="AH3946" s="36">
        <f t="shared" si="61"/>
        <v>51.611111111111114</v>
      </c>
      <c r="AI3946" s="41" t="s">
        <v>1781</v>
      </c>
    </row>
    <row r="3947" spans="1:35" x14ac:dyDescent="0.25">
      <c r="A3947" s="36">
        <v>99913945</v>
      </c>
      <c r="B3947" s="17" t="s">
        <v>32</v>
      </c>
      <c r="C3947" t="s">
        <v>79</v>
      </c>
      <c r="D3947" t="s">
        <v>80</v>
      </c>
      <c r="G3947" s="17" t="s">
        <v>48</v>
      </c>
      <c r="H3947" s="17">
        <v>9</v>
      </c>
      <c r="K3947" t="s">
        <v>345</v>
      </c>
      <c r="L3947" t="s">
        <v>346</v>
      </c>
      <c r="M3947" t="s">
        <v>131</v>
      </c>
      <c r="N3947">
        <v>20</v>
      </c>
      <c r="O3947" t="s">
        <v>40</v>
      </c>
      <c r="P3947" t="s">
        <v>40</v>
      </c>
      <c r="Q3947" t="s">
        <v>40</v>
      </c>
      <c r="R3947" t="s">
        <v>40</v>
      </c>
      <c r="S3947" t="s">
        <v>40</v>
      </c>
      <c r="V3947" t="s">
        <v>41</v>
      </c>
      <c r="W3947" t="s">
        <v>42</v>
      </c>
      <c r="X3947" t="str">
        <f>"0590906"</f>
        <v>0590906</v>
      </c>
      <c r="Y3947" t="s">
        <v>361</v>
      </c>
      <c r="Z3947" t="s">
        <v>345</v>
      </c>
      <c r="AA3947" t="s">
        <v>346</v>
      </c>
      <c r="AB3947" t="s">
        <v>131</v>
      </c>
      <c r="AC3947" t="s">
        <v>51</v>
      </c>
      <c r="AD3947" t="s">
        <v>45</v>
      </c>
      <c r="AE3947" s="1">
        <v>24876</v>
      </c>
      <c r="AF3947">
        <v>2</v>
      </c>
      <c r="AG3947" t="s">
        <v>346</v>
      </c>
      <c r="AH3947" s="36">
        <f t="shared" si="61"/>
        <v>51.613888888888887</v>
      </c>
      <c r="AI3947" s="41" t="s">
        <v>1781</v>
      </c>
    </row>
    <row r="3948" spans="1:35" x14ac:dyDescent="0.25">
      <c r="A3948" s="36">
        <v>99913946</v>
      </c>
      <c r="B3948" s="17" t="s">
        <v>56</v>
      </c>
      <c r="C3948" t="s">
        <v>46</v>
      </c>
      <c r="D3948" t="s">
        <v>47</v>
      </c>
      <c r="G3948" s="17" t="s">
        <v>48</v>
      </c>
      <c r="H3948" s="17">
        <v>1</v>
      </c>
      <c r="K3948" t="s">
        <v>223</v>
      </c>
      <c r="L3948" t="s">
        <v>224</v>
      </c>
      <c r="M3948" t="s">
        <v>131</v>
      </c>
      <c r="N3948">
        <v>21</v>
      </c>
      <c r="O3948" t="s">
        <v>40</v>
      </c>
      <c r="P3948" t="s">
        <v>40</v>
      </c>
      <c r="Q3948" t="s">
        <v>40</v>
      </c>
      <c r="S3948" t="s">
        <v>40</v>
      </c>
      <c r="V3948" t="s">
        <v>41</v>
      </c>
      <c r="W3948" t="s">
        <v>49</v>
      </c>
      <c r="X3948" t="str">
        <f>"0509999"</f>
        <v>0509999</v>
      </c>
      <c r="Y3948" t="s">
        <v>247</v>
      </c>
      <c r="Z3948" t="s">
        <v>223</v>
      </c>
      <c r="AA3948" t="s">
        <v>224</v>
      </c>
      <c r="AB3948" t="s">
        <v>131</v>
      </c>
      <c r="AC3948" t="s">
        <v>51</v>
      </c>
      <c r="AD3948" t="s">
        <v>45</v>
      </c>
      <c r="AE3948" s="1">
        <v>24873</v>
      </c>
      <c r="AF3948">
        <v>2</v>
      </c>
      <c r="AG3948" t="s">
        <v>224</v>
      </c>
      <c r="AH3948" s="36">
        <f t="shared" si="61"/>
        <v>51.62222222222222</v>
      </c>
      <c r="AI3948" s="41" t="s">
        <v>1781</v>
      </c>
    </row>
    <row r="3949" spans="1:35" x14ac:dyDescent="0.25">
      <c r="A3949" s="36">
        <v>99913947</v>
      </c>
      <c r="B3949" s="17" t="s">
        <v>32</v>
      </c>
      <c r="C3949" t="s">
        <v>145</v>
      </c>
      <c r="D3949" t="s">
        <v>146</v>
      </c>
      <c r="G3949" s="17" t="s">
        <v>48</v>
      </c>
      <c r="H3949" s="17">
        <v>1</v>
      </c>
      <c r="K3949" t="s">
        <v>380</v>
      </c>
      <c r="L3949" t="s">
        <v>381</v>
      </c>
      <c r="M3949" t="s">
        <v>131</v>
      </c>
      <c r="N3949">
        <v>20</v>
      </c>
      <c r="O3949" t="s">
        <v>40</v>
      </c>
      <c r="P3949" t="s">
        <v>40</v>
      </c>
      <c r="Q3949" t="s">
        <v>40</v>
      </c>
      <c r="R3949" t="s">
        <v>40</v>
      </c>
      <c r="S3949" t="s">
        <v>40</v>
      </c>
      <c r="V3949" t="s">
        <v>41</v>
      </c>
      <c r="W3949" t="s">
        <v>42</v>
      </c>
      <c r="X3949" t="str">
        <f>"0590908"</f>
        <v>0590908</v>
      </c>
      <c r="Y3949" t="s">
        <v>382</v>
      </c>
      <c r="Z3949" t="s">
        <v>380</v>
      </c>
      <c r="AA3949" t="s">
        <v>381</v>
      </c>
      <c r="AB3949" t="s">
        <v>131</v>
      </c>
      <c r="AC3949" t="s">
        <v>51</v>
      </c>
      <c r="AD3949" t="s">
        <v>45</v>
      </c>
      <c r="AE3949" s="1">
        <v>24873</v>
      </c>
      <c r="AF3949">
        <v>2</v>
      </c>
      <c r="AG3949" t="s">
        <v>381</v>
      </c>
      <c r="AH3949" s="36">
        <f t="shared" si="61"/>
        <v>51.62222222222222</v>
      </c>
      <c r="AI3949" s="41" t="s">
        <v>1781</v>
      </c>
    </row>
    <row r="3950" spans="1:35" x14ac:dyDescent="0.25">
      <c r="A3950" s="36">
        <v>99913948</v>
      </c>
      <c r="B3950" s="17" t="s">
        <v>56</v>
      </c>
      <c r="C3950" t="s">
        <v>46</v>
      </c>
      <c r="D3950" t="s">
        <v>47</v>
      </c>
      <c r="G3950" s="17" t="s">
        <v>48</v>
      </c>
      <c r="H3950" s="17">
        <v>16</v>
      </c>
      <c r="K3950" t="s">
        <v>1268</v>
      </c>
      <c r="L3950" t="s">
        <v>1269</v>
      </c>
      <c r="M3950" t="s">
        <v>1270</v>
      </c>
      <c r="N3950">
        <v>20</v>
      </c>
      <c r="O3950" t="s">
        <v>40</v>
      </c>
      <c r="P3950" t="s">
        <v>40</v>
      </c>
      <c r="Q3950" t="s">
        <v>40</v>
      </c>
      <c r="R3950" t="s">
        <v>40</v>
      </c>
      <c r="S3950" t="s">
        <v>40</v>
      </c>
      <c r="U3950" s="1">
        <v>43344</v>
      </c>
      <c r="V3950" t="s">
        <v>41</v>
      </c>
      <c r="W3950" t="s">
        <v>42</v>
      </c>
      <c r="X3950" t="str">
        <f>"1980055"</f>
        <v>1980055</v>
      </c>
      <c r="Y3950" t="s">
        <v>1285</v>
      </c>
      <c r="Z3950" t="s">
        <v>1268</v>
      </c>
      <c r="AA3950" t="s">
        <v>1269</v>
      </c>
      <c r="AB3950" t="s">
        <v>1270</v>
      </c>
      <c r="AC3950" t="s">
        <v>165</v>
      </c>
      <c r="AD3950" t="s">
        <v>45</v>
      </c>
      <c r="AE3950" s="1">
        <v>24870</v>
      </c>
      <c r="AF3950">
        <v>2</v>
      </c>
      <c r="AG3950" t="s">
        <v>1269</v>
      </c>
      <c r="AH3950" s="36">
        <f t="shared" si="61"/>
        <v>51.630555555555553</v>
      </c>
      <c r="AI3950" s="41" t="s">
        <v>1781</v>
      </c>
    </row>
    <row r="3951" spans="1:35" x14ac:dyDescent="0.25">
      <c r="A3951" s="36">
        <v>99913949</v>
      </c>
      <c r="B3951" s="17" t="s">
        <v>56</v>
      </c>
      <c r="C3951" t="s">
        <v>46</v>
      </c>
      <c r="D3951" t="s">
        <v>47</v>
      </c>
      <c r="G3951" s="17" t="s">
        <v>48</v>
      </c>
      <c r="H3951" s="17">
        <v>1</v>
      </c>
      <c r="K3951" t="s">
        <v>223</v>
      </c>
      <c r="L3951" t="s">
        <v>224</v>
      </c>
      <c r="M3951" t="s">
        <v>131</v>
      </c>
      <c r="N3951">
        <v>18</v>
      </c>
      <c r="O3951" t="s">
        <v>40</v>
      </c>
      <c r="P3951" t="s">
        <v>40</v>
      </c>
      <c r="Q3951" t="s">
        <v>40</v>
      </c>
      <c r="S3951" t="s">
        <v>40</v>
      </c>
      <c r="V3951" t="s">
        <v>41</v>
      </c>
      <c r="W3951" t="s">
        <v>42</v>
      </c>
      <c r="X3951" t="str">
        <f>"0580265"</f>
        <v>0580265</v>
      </c>
      <c r="Y3951" t="s">
        <v>231</v>
      </c>
      <c r="Z3951" t="s">
        <v>223</v>
      </c>
      <c r="AA3951" t="s">
        <v>224</v>
      </c>
      <c r="AB3951" t="s">
        <v>131</v>
      </c>
      <c r="AC3951" t="s">
        <v>51</v>
      </c>
      <c r="AD3951" t="s">
        <v>45</v>
      </c>
      <c r="AE3951" s="1">
        <v>24867</v>
      </c>
      <c r="AF3951">
        <v>2</v>
      </c>
      <c r="AG3951" t="s">
        <v>224</v>
      </c>
      <c r="AH3951" s="36">
        <f t="shared" si="61"/>
        <v>51.638888888888886</v>
      </c>
      <c r="AI3951" s="41" t="s">
        <v>1781</v>
      </c>
    </row>
    <row r="3952" spans="1:35" x14ac:dyDescent="0.25">
      <c r="A3952" s="36">
        <v>99913950</v>
      </c>
      <c r="B3952" s="17" t="s">
        <v>56</v>
      </c>
      <c r="C3952" t="s">
        <v>46</v>
      </c>
      <c r="D3952" t="s">
        <v>47</v>
      </c>
      <c r="G3952" s="17" t="s">
        <v>48</v>
      </c>
      <c r="H3952" s="17">
        <v>1</v>
      </c>
      <c r="K3952" t="s">
        <v>300</v>
      </c>
      <c r="L3952" t="s">
        <v>301</v>
      </c>
      <c r="M3952" t="s">
        <v>131</v>
      </c>
      <c r="N3952">
        <v>21</v>
      </c>
      <c r="O3952" t="s">
        <v>40</v>
      </c>
      <c r="P3952" t="s">
        <v>40</v>
      </c>
      <c r="Q3952" t="s">
        <v>40</v>
      </c>
      <c r="R3952" t="s">
        <v>40</v>
      </c>
      <c r="S3952" t="s">
        <v>40</v>
      </c>
      <c r="V3952" t="s">
        <v>41</v>
      </c>
      <c r="W3952" t="s">
        <v>42</v>
      </c>
      <c r="X3952" t="str">
        <f>"0580176"</f>
        <v>0580176</v>
      </c>
      <c r="Y3952" t="s">
        <v>305</v>
      </c>
      <c r="Z3952" t="s">
        <v>300</v>
      </c>
      <c r="AA3952" t="s">
        <v>301</v>
      </c>
      <c r="AB3952" t="s">
        <v>131</v>
      </c>
      <c r="AC3952" t="s">
        <v>51</v>
      </c>
      <c r="AD3952" t="s">
        <v>45</v>
      </c>
      <c r="AE3952" s="1">
        <v>24867</v>
      </c>
      <c r="AF3952">
        <v>2</v>
      </c>
      <c r="AG3952" t="s">
        <v>301</v>
      </c>
      <c r="AH3952" s="36">
        <f t="shared" si="61"/>
        <v>51.638888888888886</v>
      </c>
      <c r="AI3952" s="41" t="s">
        <v>1781</v>
      </c>
    </row>
    <row r="3953" spans="1:35" x14ac:dyDescent="0.25">
      <c r="A3953" s="36">
        <v>99913951</v>
      </c>
      <c r="B3953" s="17" t="s">
        <v>56</v>
      </c>
      <c r="C3953" t="s">
        <v>85</v>
      </c>
      <c r="D3953" t="s">
        <v>86</v>
      </c>
      <c r="G3953" s="17" t="s">
        <v>48</v>
      </c>
      <c r="H3953" s="17">
        <v>1</v>
      </c>
      <c r="K3953" t="s">
        <v>300</v>
      </c>
      <c r="L3953" t="s">
        <v>301</v>
      </c>
      <c r="M3953" t="s">
        <v>131</v>
      </c>
      <c r="N3953">
        <v>20</v>
      </c>
      <c r="O3953" t="s">
        <v>40</v>
      </c>
      <c r="P3953" t="s">
        <v>40</v>
      </c>
      <c r="Q3953" t="s">
        <v>40</v>
      </c>
      <c r="R3953" t="s">
        <v>40</v>
      </c>
      <c r="S3953" t="s">
        <v>40</v>
      </c>
      <c r="V3953" t="s">
        <v>41</v>
      </c>
      <c r="W3953" t="s">
        <v>42</v>
      </c>
      <c r="X3953" t="str">
        <f>"0580176"</f>
        <v>0580176</v>
      </c>
      <c r="Y3953" t="s">
        <v>305</v>
      </c>
      <c r="Z3953" t="s">
        <v>300</v>
      </c>
      <c r="AA3953" t="s">
        <v>301</v>
      </c>
      <c r="AB3953" t="s">
        <v>131</v>
      </c>
      <c r="AC3953" t="s">
        <v>51</v>
      </c>
      <c r="AD3953" t="s">
        <v>45</v>
      </c>
      <c r="AE3953" s="1">
        <v>24867</v>
      </c>
      <c r="AF3953">
        <v>2</v>
      </c>
      <c r="AG3953" t="s">
        <v>301</v>
      </c>
      <c r="AH3953" s="36">
        <f t="shared" si="61"/>
        <v>51.638888888888886</v>
      </c>
      <c r="AI3953" s="41" t="s">
        <v>1781</v>
      </c>
    </row>
    <row r="3954" spans="1:35" x14ac:dyDescent="0.25">
      <c r="A3954" s="36">
        <v>99913952</v>
      </c>
      <c r="B3954" s="17" t="s">
        <v>56</v>
      </c>
      <c r="C3954" t="s">
        <v>79</v>
      </c>
      <c r="D3954" t="s">
        <v>80</v>
      </c>
      <c r="G3954" s="17" t="s">
        <v>48</v>
      </c>
      <c r="H3954" s="17">
        <v>10</v>
      </c>
      <c r="K3954" t="s">
        <v>1268</v>
      </c>
      <c r="L3954" t="s">
        <v>1269</v>
      </c>
      <c r="M3954" t="s">
        <v>1270</v>
      </c>
      <c r="N3954">
        <v>18</v>
      </c>
      <c r="O3954" t="s">
        <v>40</v>
      </c>
      <c r="P3954" t="s">
        <v>40</v>
      </c>
      <c r="Q3954" t="s">
        <v>40</v>
      </c>
      <c r="R3954" t="s">
        <v>40</v>
      </c>
      <c r="S3954" t="s">
        <v>40</v>
      </c>
      <c r="U3954" s="1">
        <v>43344</v>
      </c>
      <c r="V3954" t="s">
        <v>41</v>
      </c>
      <c r="W3954" t="s">
        <v>49</v>
      </c>
      <c r="X3954" t="str">
        <f>"1981055"</f>
        <v>1981055</v>
      </c>
      <c r="Y3954" t="s">
        <v>1280</v>
      </c>
      <c r="Z3954" t="s">
        <v>1268</v>
      </c>
      <c r="AA3954" t="s">
        <v>1269</v>
      </c>
      <c r="AB3954" t="s">
        <v>1270</v>
      </c>
      <c r="AC3954" t="s">
        <v>165</v>
      </c>
      <c r="AD3954" t="s">
        <v>45</v>
      </c>
      <c r="AE3954" s="1">
        <v>24866</v>
      </c>
      <c r="AF3954">
        <v>2</v>
      </c>
      <c r="AG3954" t="s">
        <v>1269</v>
      </c>
      <c r="AH3954" s="36">
        <f t="shared" si="61"/>
        <v>51.641666666666666</v>
      </c>
      <c r="AI3954" s="41" t="s">
        <v>1781</v>
      </c>
    </row>
    <row r="3955" spans="1:35" x14ac:dyDescent="0.25">
      <c r="A3955" s="36">
        <v>99913953</v>
      </c>
      <c r="B3955" s="17" t="s">
        <v>56</v>
      </c>
      <c r="C3955" t="s">
        <v>79</v>
      </c>
      <c r="D3955" t="s">
        <v>80</v>
      </c>
      <c r="G3955" s="17" t="s">
        <v>48</v>
      </c>
      <c r="H3955" s="17">
        <v>1</v>
      </c>
      <c r="K3955" t="s">
        <v>223</v>
      </c>
      <c r="L3955" t="s">
        <v>224</v>
      </c>
      <c r="M3955" t="s">
        <v>131</v>
      </c>
      <c r="N3955">
        <v>18</v>
      </c>
      <c r="O3955" t="s">
        <v>40</v>
      </c>
      <c r="P3955" t="s">
        <v>40</v>
      </c>
      <c r="Q3955" t="s">
        <v>40</v>
      </c>
      <c r="R3955" t="s">
        <v>40</v>
      </c>
      <c r="S3955" t="s">
        <v>40</v>
      </c>
      <c r="V3955" t="s">
        <v>41</v>
      </c>
      <c r="W3955" t="s">
        <v>49</v>
      </c>
      <c r="X3955" t="str">
        <f>"0581200"</f>
        <v>0581200</v>
      </c>
      <c r="Y3955" t="s">
        <v>238</v>
      </c>
      <c r="Z3955" t="s">
        <v>223</v>
      </c>
      <c r="AA3955" t="s">
        <v>224</v>
      </c>
      <c r="AB3955" t="s">
        <v>131</v>
      </c>
      <c r="AC3955" t="s">
        <v>51</v>
      </c>
      <c r="AD3955" t="s">
        <v>45</v>
      </c>
      <c r="AE3955" s="1">
        <v>24865</v>
      </c>
      <c r="AF3955">
        <v>2</v>
      </c>
      <c r="AG3955" t="s">
        <v>224</v>
      </c>
      <c r="AH3955" s="36">
        <f t="shared" si="61"/>
        <v>51.644444444444446</v>
      </c>
      <c r="AI3955" s="41" t="s">
        <v>1781</v>
      </c>
    </row>
    <row r="3956" spans="1:35" x14ac:dyDescent="0.25">
      <c r="A3956" s="36">
        <v>99913954</v>
      </c>
      <c r="B3956" s="17" t="s">
        <v>32</v>
      </c>
      <c r="C3956" t="s">
        <v>79</v>
      </c>
      <c r="D3956" t="s">
        <v>80</v>
      </c>
      <c r="G3956" s="17" t="s">
        <v>48</v>
      </c>
      <c r="H3956" s="17">
        <v>1</v>
      </c>
      <c r="K3956" t="s">
        <v>268</v>
      </c>
      <c r="L3956" t="s">
        <v>269</v>
      </c>
      <c r="M3956" t="s">
        <v>131</v>
      </c>
      <c r="N3956">
        <v>17</v>
      </c>
      <c r="O3956" t="s">
        <v>40</v>
      </c>
      <c r="P3956" t="s">
        <v>40</v>
      </c>
      <c r="Q3956" t="s">
        <v>40</v>
      </c>
      <c r="R3956" t="s">
        <v>40</v>
      </c>
      <c r="S3956" t="s">
        <v>40</v>
      </c>
      <c r="V3956" t="s">
        <v>41</v>
      </c>
      <c r="W3956" t="s">
        <v>75</v>
      </c>
      <c r="X3956" t="str">
        <f>"7052008"</f>
        <v>7052008</v>
      </c>
      <c r="Y3956" t="s">
        <v>274</v>
      </c>
      <c r="Z3956" t="s">
        <v>268</v>
      </c>
      <c r="AA3956" t="s">
        <v>269</v>
      </c>
      <c r="AB3956" t="s">
        <v>131</v>
      </c>
      <c r="AC3956" t="s">
        <v>51</v>
      </c>
      <c r="AD3956" t="s">
        <v>45</v>
      </c>
      <c r="AE3956" s="1">
        <v>24860</v>
      </c>
      <c r="AF3956">
        <v>1</v>
      </c>
      <c r="AG3956" t="s">
        <v>269</v>
      </c>
      <c r="AH3956" s="36">
        <f t="shared" si="61"/>
        <v>51.658333333333331</v>
      </c>
      <c r="AI3956" s="41" t="s">
        <v>1781</v>
      </c>
    </row>
    <row r="3957" spans="1:35" x14ac:dyDescent="0.25">
      <c r="A3957" s="36">
        <v>99913955</v>
      </c>
      <c r="B3957" s="17" t="s">
        <v>56</v>
      </c>
      <c r="C3957" t="s">
        <v>46</v>
      </c>
      <c r="D3957" t="s">
        <v>47</v>
      </c>
      <c r="G3957" s="17" t="s">
        <v>48</v>
      </c>
      <c r="H3957" s="17">
        <v>1</v>
      </c>
      <c r="K3957" t="s">
        <v>345</v>
      </c>
      <c r="L3957" t="s">
        <v>346</v>
      </c>
      <c r="M3957" t="s">
        <v>131</v>
      </c>
      <c r="N3957">
        <v>18</v>
      </c>
      <c r="O3957" t="s">
        <v>40</v>
      </c>
      <c r="P3957" t="s">
        <v>40</v>
      </c>
      <c r="Q3957" t="s">
        <v>40</v>
      </c>
      <c r="S3957" t="s">
        <v>40</v>
      </c>
      <c r="V3957" t="s">
        <v>41</v>
      </c>
      <c r="W3957" t="s">
        <v>42</v>
      </c>
      <c r="X3957" t="str">
        <f>"0580650"</f>
        <v>0580650</v>
      </c>
      <c r="Y3957" t="s">
        <v>356</v>
      </c>
      <c r="Z3957" t="s">
        <v>345</v>
      </c>
      <c r="AA3957" t="s">
        <v>346</v>
      </c>
      <c r="AB3957" t="s">
        <v>131</v>
      </c>
      <c r="AC3957" t="s">
        <v>51</v>
      </c>
      <c r="AD3957" t="s">
        <v>45</v>
      </c>
      <c r="AE3957" s="1">
        <v>24859</v>
      </c>
      <c r="AF3957">
        <v>2</v>
      </c>
      <c r="AG3957" t="s">
        <v>346</v>
      </c>
      <c r="AH3957" s="36">
        <f t="shared" si="61"/>
        <v>51.661111111111111</v>
      </c>
      <c r="AI3957" s="41" t="s">
        <v>1781</v>
      </c>
    </row>
    <row r="3958" spans="1:35" x14ac:dyDescent="0.25">
      <c r="A3958" s="36">
        <v>99913956</v>
      </c>
      <c r="B3958" s="17" t="s">
        <v>32</v>
      </c>
      <c r="C3958" t="s">
        <v>46</v>
      </c>
      <c r="D3958" t="s">
        <v>47</v>
      </c>
      <c r="G3958" s="17" t="s">
        <v>48</v>
      </c>
      <c r="H3958" s="17">
        <v>1</v>
      </c>
      <c r="K3958" t="s">
        <v>223</v>
      </c>
      <c r="L3958" t="s">
        <v>224</v>
      </c>
      <c r="M3958" t="s">
        <v>131</v>
      </c>
      <c r="N3958">
        <v>20</v>
      </c>
      <c r="O3958" t="s">
        <v>40</v>
      </c>
      <c r="P3958" t="s">
        <v>40</v>
      </c>
      <c r="Q3958" t="s">
        <v>40</v>
      </c>
      <c r="S3958" t="s">
        <v>40</v>
      </c>
      <c r="V3958" t="s">
        <v>41</v>
      </c>
      <c r="W3958" t="s">
        <v>49</v>
      </c>
      <c r="X3958" t="str">
        <f>"0581206"</f>
        <v>0581206</v>
      </c>
      <c r="Y3958" t="s">
        <v>232</v>
      </c>
      <c r="Z3958" t="s">
        <v>223</v>
      </c>
      <c r="AA3958" t="s">
        <v>224</v>
      </c>
      <c r="AB3958" t="s">
        <v>131</v>
      </c>
      <c r="AC3958" t="s">
        <v>51</v>
      </c>
      <c r="AD3958" t="s">
        <v>45</v>
      </c>
      <c r="AE3958" s="1">
        <v>24858</v>
      </c>
      <c r="AF3958">
        <v>2</v>
      </c>
      <c r="AG3958" t="s">
        <v>224</v>
      </c>
      <c r="AH3958" s="36">
        <f t="shared" si="61"/>
        <v>51.663888888888891</v>
      </c>
      <c r="AI3958" s="41" t="s">
        <v>1781</v>
      </c>
    </row>
    <row r="3959" spans="1:35" x14ac:dyDescent="0.25">
      <c r="A3959" s="36">
        <v>99913957</v>
      </c>
      <c r="B3959" s="17" t="s">
        <v>56</v>
      </c>
      <c r="C3959" t="s">
        <v>46</v>
      </c>
      <c r="D3959" t="s">
        <v>47</v>
      </c>
      <c r="G3959" s="17" t="s">
        <v>48</v>
      </c>
      <c r="H3959" s="17">
        <v>1</v>
      </c>
      <c r="K3959" t="s">
        <v>223</v>
      </c>
      <c r="L3959" t="s">
        <v>224</v>
      </c>
      <c r="M3959" t="s">
        <v>131</v>
      </c>
      <c r="N3959">
        <v>20</v>
      </c>
      <c r="O3959" t="s">
        <v>40</v>
      </c>
      <c r="P3959" t="s">
        <v>40</v>
      </c>
      <c r="Q3959" t="s">
        <v>40</v>
      </c>
      <c r="S3959" t="s">
        <v>40</v>
      </c>
      <c r="V3959" t="s">
        <v>41</v>
      </c>
      <c r="W3959" t="s">
        <v>49</v>
      </c>
      <c r="X3959" t="str">
        <f>"0581206"</f>
        <v>0581206</v>
      </c>
      <c r="Y3959" t="s">
        <v>232</v>
      </c>
      <c r="Z3959" t="s">
        <v>223</v>
      </c>
      <c r="AA3959" t="s">
        <v>224</v>
      </c>
      <c r="AB3959" t="s">
        <v>131</v>
      </c>
      <c r="AC3959" t="s">
        <v>51</v>
      </c>
      <c r="AD3959" t="s">
        <v>45</v>
      </c>
      <c r="AE3959" s="1">
        <v>24858</v>
      </c>
      <c r="AF3959">
        <v>2</v>
      </c>
      <c r="AG3959" t="s">
        <v>224</v>
      </c>
      <c r="AH3959" s="36">
        <f t="shared" si="61"/>
        <v>51.663888888888891</v>
      </c>
      <c r="AI3959" s="41" t="s">
        <v>1781</v>
      </c>
    </row>
    <row r="3960" spans="1:35" x14ac:dyDescent="0.25">
      <c r="A3960" s="36">
        <v>99913958</v>
      </c>
      <c r="B3960" s="17" t="s">
        <v>32</v>
      </c>
      <c r="C3960" t="s">
        <v>46</v>
      </c>
      <c r="D3960" t="s">
        <v>47</v>
      </c>
      <c r="G3960" s="17" t="s">
        <v>48</v>
      </c>
      <c r="H3960" s="17">
        <v>1</v>
      </c>
      <c r="K3960" t="s">
        <v>345</v>
      </c>
      <c r="L3960" t="s">
        <v>346</v>
      </c>
      <c r="M3960" t="s">
        <v>131</v>
      </c>
      <c r="N3960">
        <v>18</v>
      </c>
      <c r="O3960" t="s">
        <v>40</v>
      </c>
      <c r="P3960" t="s">
        <v>40</v>
      </c>
      <c r="Q3960" t="s">
        <v>40</v>
      </c>
      <c r="R3960" t="s">
        <v>40</v>
      </c>
      <c r="S3960" t="s">
        <v>40</v>
      </c>
      <c r="V3960" t="s">
        <v>41</v>
      </c>
      <c r="W3960" t="s">
        <v>49</v>
      </c>
      <c r="X3960" t="str">
        <f>"0591906"</f>
        <v>0591906</v>
      </c>
      <c r="Y3960" t="s">
        <v>350</v>
      </c>
      <c r="Z3960" t="s">
        <v>345</v>
      </c>
      <c r="AA3960" t="s">
        <v>346</v>
      </c>
      <c r="AB3960" t="s">
        <v>131</v>
      </c>
      <c r="AC3960" t="s">
        <v>51</v>
      </c>
      <c r="AD3960" t="s">
        <v>45</v>
      </c>
      <c r="AE3960" s="1">
        <v>24858</v>
      </c>
      <c r="AF3960">
        <v>2</v>
      </c>
      <c r="AG3960" t="s">
        <v>346</v>
      </c>
      <c r="AH3960" s="36">
        <f t="shared" si="61"/>
        <v>51.663888888888891</v>
      </c>
      <c r="AI3960" s="41" t="s">
        <v>1781</v>
      </c>
    </row>
    <row r="3961" spans="1:35" x14ac:dyDescent="0.25">
      <c r="A3961" s="36">
        <v>99913959</v>
      </c>
      <c r="B3961" s="17" t="s">
        <v>32</v>
      </c>
      <c r="C3961" t="s">
        <v>139</v>
      </c>
      <c r="D3961" t="s">
        <v>140</v>
      </c>
      <c r="G3961" s="17" t="s">
        <v>35</v>
      </c>
      <c r="H3961" s="17">
        <v>1</v>
      </c>
      <c r="K3961" t="s">
        <v>1268</v>
      </c>
      <c r="L3961" t="s">
        <v>1269</v>
      </c>
      <c r="M3961" t="s">
        <v>1270</v>
      </c>
      <c r="N3961">
        <v>20</v>
      </c>
      <c r="O3961" t="s">
        <v>40</v>
      </c>
      <c r="P3961" t="s">
        <v>40</v>
      </c>
      <c r="Q3961" t="s">
        <v>40</v>
      </c>
      <c r="S3961" t="s">
        <v>40</v>
      </c>
      <c r="V3961" t="s">
        <v>41</v>
      </c>
      <c r="W3961" t="s">
        <v>42</v>
      </c>
      <c r="X3961" t="str">
        <f>"1990914"</f>
        <v>1990914</v>
      </c>
      <c r="Y3961" t="s">
        <v>1275</v>
      </c>
      <c r="Z3961" t="s">
        <v>1268</v>
      </c>
      <c r="AA3961" t="s">
        <v>1269</v>
      </c>
      <c r="AB3961" t="s">
        <v>1270</v>
      </c>
      <c r="AC3961" t="s">
        <v>51</v>
      </c>
      <c r="AD3961" t="s">
        <v>45</v>
      </c>
      <c r="AE3961" s="1">
        <v>24857</v>
      </c>
      <c r="AF3961">
        <v>2</v>
      </c>
      <c r="AG3961" t="s">
        <v>1269</v>
      </c>
      <c r="AH3961" s="36">
        <f t="shared" si="61"/>
        <v>51.666666666666664</v>
      </c>
      <c r="AI3961" s="41" t="s">
        <v>1781</v>
      </c>
    </row>
    <row r="3962" spans="1:35" x14ac:dyDescent="0.25">
      <c r="A3962" s="36">
        <v>99913960</v>
      </c>
      <c r="B3962" s="17" t="s">
        <v>32</v>
      </c>
      <c r="C3962" t="s">
        <v>46</v>
      </c>
      <c r="D3962" t="s">
        <v>47</v>
      </c>
      <c r="G3962" s="17" t="s">
        <v>48</v>
      </c>
      <c r="H3962" s="17">
        <v>1</v>
      </c>
      <c r="K3962" t="s">
        <v>223</v>
      </c>
      <c r="L3962" t="s">
        <v>224</v>
      </c>
      <c r="M3962" t="s">
        <v>131</v>
      </c>
      <c r="N3962">
        <v>18</v>
      </c>
      <c r="O3962" t="s">
        <v>40</v>
      </c>
      <c r="P3962" t="s">
        <v>40</v>
      </c>
      <c r="Q3962" t="s">
        <v>40</v>
      </c>
      <c r="S3962" t="s">
        <v>40</v>
      </c>
      <c r="V3962" t="s">
        <v>41</v>
      </c>
      <c r="W3962" t="s">
        <v>42</v>
      </c>
      <c r="X3962" t="str">
        <f>"0580202"</f>
        <v>0580202</v>
      </c>
      <c r="Y3962" t="s">
        <v>240</v>
      </c>
      <c r="Z3962" t="s">
        <v>223</v>
      </c>
      <c r="AA3962" t="s">
        <v>224</v>
      </c>
      <c r="AB3962" t="s">
        <v>131</v>
      </c>
      <c r="AC3962" t="s">
        <v>165</v>
      </c>
      <c r="AD3962" t="s">
        <v>45</v>
      </c>
      <c r="AE3962" s="1">
        <v>24856</v>
      </c>
      <c r="AF3962">
        <v>2</v>
      </c>
      <c r="AG3962" t="s">
        <v>224</v>
      </c>
      <c r="AH3962" s="36">
        <f t="shared" si="61"/>
        <v>51.669444444444444</v>
      </c>
      <c r="AI3962" s="41" t="s">
        <v>1781</v>
      </c>
    </row>
    <row r="3963" spans="1:35" x14ac:dyDescent="0.25">
      <c r="A3963" s="36">
        <v>99913961</v>
      </c>
      <c r="B3963" s="17" t="s">
        <v>32</v>
      </c>
      <c r="C3963" t="s">
        <v>46</v>
      </c>
      <c r="D3963" t="s">
        <v>47</v>
      </c>
      <c r="G3963" s="17" t="s">
        <v>48</v>
      </c>
      <c r="H3963" s="17">
        <v>1</v>
      </c>
      <c r="K3963" t="s">
        <v>1268</v>
      </c>
      <c r="L3963" t="s">
        <v>1269</v>
      </c>
      <c r="M3963" t="s">
        <v>1270</v>
      </c>
      <c r="N3963">
        <v>20</v>
      </c>
      <c r="O3963" t="s">
        <v>40</v>
      </c>
      <c r="P3963" t="s">
        <v>40</v>
      </c>
      <c r="Q3963" t="s">
        <v>40</v>
      </c>
      <c r="R3963" t="s">
        <v>40</v>
      </c>
      <c r="S3963" t="s">
        <v>40</v>
      </c>
      <c r="V3963" t="s">
        <v>41</v>
      </c>
      <c r="W3963" t="s">
        <v>49</v>
      </c>
      <c r="X3963" t="str">
        <f>"1981912"</f>
        <v>1981912</v>
      </c>
      <c r="Y3963" t="s">
        <v>1279</v>
      </c>
      <c r="Z3963" t="s">
        <v>1268</v>
      </c>
      <c r="AA3963" t="s">
        <v>1269</v>
      </c>
      <c r="AB3963" t="s">
        <v>1270</v>
      </c>
      <c r="AC3963" t="s">
        <v>51</v>
      </c>
      <c r="AD3963" t="s">
        <v>45</v>
      </c>
      <c r="AE3963" s="1">
        <v>24855</v>
      </c>
      <c r="AF3963">
        <v>2</v>
      </c>
      <c r="AG3963" t="s">
        <v>1269</v>
      </c>
      <c r="AH3963" s="36">
        <f t="shared" si="61"/>
        <v>51.672222222222224</v>
      </c>
      <c r="AI3963" s="41" t="s">
        <v>1781</v>
      </c>
    </row>
    <row r="3964" spans="1:35" x14ac:dyDescent="0.25">
      <c r="A3964" s="36">
        <v>99913962</v>
      </c>
      <c r="B3964" s="17" t="s">
        <v>32</v>
      </c>
      <c r="C3964" t="s">
        <v>143</v>
      </c>
      <c r="D3964" t="s">
        <v>144</v>
      </c>
      <c r="G3964" s="17" t="s">
        <v>48</v>
      </c>
      <c r="H3964" s="17">
        <v>1</v>
      </c>
      <c r="K3964" t="s">
        <v>162</v>
      </c>
      <c r="L3964" t="s">
        <v>158</v>
      </c>
      <c r="M3964" t="s">
        <v>131</v>
      </c>
      <c r="N3964">
        <v>20</v>
      </c>
      <c r="O3964" t="s">
        <v>40</v>
      </c>
      <c r="P3964" t="s">
        <v>40</v>
      </c>
      <c r="Q3964" t="s">
        <v>40</v>
      </c>
      <c r="R3964" t="s">
        <v>40</v>
      </c>
      <c r="S3964" t="s">
        <v>40</v>
      </c>
      <c r="V3964" t="s">
        <v>41</v>
      </c>
      <c r="W3964" t="s">
        <v>49</v>
      </c>
      <c r="X3964" t="str">
        <f>"0581325"</f>
        <v>0581325</v>
      </c>
      <c r="Y3964" t="s">
        <v>169</v>
      </c>
      <c r="Z3964" t="s">
        <v>162</v>
      </c>
      <c r="AA3964" t="s">
        <v>158</v>
      </c>
      <c r="AB3964" t="s">
        <v>131</v>
      </c>
      <c r="AC3964" t="s">
        <v>51</v>
      </c>
      <c r="AD3964" t="s">
        <v>45</v>
      </c>
      <c r="AE3964" s="1">
        <v>24854</v>
      </c>
      <c r="AF3964">
        <v>2</v>
      </c>
      <c r="AG3964" t="s">
        <v>158</v>
      </c>
      <c r="AH3964" s="36">
        <f t="shared" si="61"/>
        <v>51.674999999999997</v>
      </c>
      <c r="AI3964" s="41" t="s">
        <v>1781</v>
      </c>
    </row>
    <row r="3965" spans="1:35" x14ac:dyDescent="0.25">
      <c r="A3965" s="36">
        <v>99913963</v>
      </c>
      <c r="B3965" s="17" t="s">
        <v>32</v>
      </c>
      <c r="C3965" t="s">
        <v>64</v>
      </c>
      <c r="D3965" t="s">
        <v>65</v>
      </c>
      <c r="G3965" s="17" t="s">
        <v>35</v>
      </c>
      <c r="H3965" s="17">
        <v>10</v>
      </c>
      <c r="K3965" t="s">
        <v>268</v>
      </c>
      <c r="L3965" t="s">
        <v>269</v>
      </c>
      <c r="M3965" t="s">
        <v>131</v>
      </c>
      <c r="N3965">
        <v>21</v>
      </c>
      <c r="O3965" t="s">
        <v>40</v>
      </c>
      <c r="P3965" t="s">
        <v>40</v>
      </c>
      <c r="Q3965" t="s">
        <v>40</v>
      </c>
      <c r="R3965" t="s">
        <v>40</v>
      </c>
      <c r="S3965" t="s">
        <v>40</v>
      </c>
      <c r="V3965" t="s">
        <v>41</v>
      </c>
      <c r="W3965" t="s">
        <v>75</v>
      </c>
      <c r="X3965" t="str">
        <f>"7052004"</f>
        <v>7052004</v>
      </c>
      <c r="Y3965" t="s">
        <v>584</v>
      </c>
      <c r="Z3965" t="s">
        <v>268</v>
      </c>
      <c r="AA3965" t="s">
        <v>269</v>
      </c>
      <c r="AB3965" t="s">
        <v>131</v>
      </c>
      <c r="AC3965" t="s">
        <v>51</v>
      </c>
      <c r="AD3965" t="s">
        <v>45</v>
      </c>
      <c r="AE3965" s="1">
        <v>24854</v>
      </c>
      <c r="AF3965">
        <v>1</v>
      </c>
      <c r="AG3965" t="s">
        <v>269</v>
      </c>
      <c r="AH3965" s="36">
        <f t="shared" si="61"/>
        <v>51.674999999999997</v>
      </c>
      <c r="AI3965" s="41" t="s">
        <v>1781</v>
      </c>
    </row>
    <row r="3966" spans="1:35" x14ac:dyDescent="0.25">
      <c r="A3966" s="36">
        <v>99913964</v>
      </c>
      <c r="B3966" s="17" t="s">
        <v>32</v>
      </c>
      <c r="C3966" t="s">
        <v>46</v>
      </c>
      <c r="D3966" t="s">
        <v>47</v>
      </c>
      <c r="G3966" s="17" t="s">
        <v>48</v>
      </c>
      <c r="H3966" s="17">
        <v>1</v>
      </c>
      <c r="K3966" t="s">
        <v>162</v>
      </c>
      <c r="L3966" t="s">
        <v>158</v>
      </c>
      <c r="M3966" t="s">
        <v>131</v>
      </c>
      <c r="N3966">
        <v>18</v>
      </c>
      <c r="O3966" t="s">
        <v>40</v>
      </c>
      <c r="P3966" t="s">
        <v>40</v>
      </c>
      <c r="Q3966" t="s">
        <v>40</v>
      </c>
      <c r="S3966" t="s">
        <v>40</v>
      </c>
      <c r="V3966" t="s">
        <v>41</v>
      </c>
      <c r="W3966" t="s">
        <v>42</v>
      </c>
      <c r="X3966" t="str">
        <f>"0580325"</f>
        <v>0580325</v>
      </c>
      <c r="Y3966" t="s">
        <v>170</v>
      </c>
      <c r="Z3966" t="s">
        <v>162</v>
      </c>
      <c r="AA3966" t="s">
        <v>158</v>
      </c>
      <c r="AB3966" t="s">
        <v>131</v>
      </c>
      <c r="AC3966" t="s">
        <v>165</v>
      </c>
      <c r="AD3966" t="s">
        <v>45</v>
      </c>
      <c r="AE3966" s="1">
        <v>24850</v>
      </c>
      <c r="AF3966">
        <v>2</v>
      </c>
      <c r="AG3966" t="s">
        <v>158</v>
      </c>
      <c r="AH3966" s="36">
        <f t="shared" si="61"/>
        <v>51.68611111111111</v>
      </c>
      <c r="AI3966" s="41" t="s">
        <v>1781</v>
      </c>
    </row>
    <row r="3967" spans="1:35" x14ac:dyDescent="0.25">
      <c r="A3967" s="36">
        <v>99913965</v>
      </c>
      <c r="B3967" s="17" t="s">
        <v>56</v>
      </c>
      <c r="C3967" t="s">
        <v>52</v>
      </c>
      <c r="D3967" t="s">
        <v>53</v>
      </c>
      <c r="G3967" s="17" t="s">
        <v>48</v>
      </c>
      <c r="H3967" s="17">
        <v>1</v>
      </c>
      <c r="K3967" t="s">
        <v>157</v>
      </c>
      <c r="L3967" t="s">
        <v>158</v>
      </c>
      <c r="M3967" t="s">
        <v>131</v>
      </c>
      <c r="N3967">
        <v>14</v>
      </c>
      <c r="O3967" t="s">
        <v>40</v>
      </c>
      <c r="P3967" t="s">
        <v>40</v>
      </c>
      <c r="Q3967" t="s">
        <v>40</v>
      </c>
      <c r="S3967" t="s">
        <v>40</v>
      </c>
      <c r="V3967" t="s">
        <v>41</v>
      </c>
      <c r="W3967" t="s">
        <v>42</v>
      </c>
      <c r="X3967" t="str">
        <f>"0580735"</f>
        <v>0580735</v>
      </c>
      <c r="Y3967" t="s">
        <v>180</v>
      </c>
      <c r="Z3967" t="s">
        <v>157</v>
      </c>
      <c r="AA3967" t="s">
        <v>158</v>
      </c>
      <c r="AB3967" t="s">
        <v>131</v>
      </c>
      <c r="AC3967" t="s">
        <v>51</v>
      </c>
      <c r="AD3967" t="s">
        <v>45</v>
      </c>
      <c r="AE3967" s="1">
        <v>24850</v>
      </c>
      <c r="AF3967">
        <v>2</v>
      </c>
      <c r="AG3967" t="s">
        <v>158</v>
      </c>
      <c r="AH3967" s="36">
        <f t="shared" si="61"/>
        <v>51.68611111111111</v>
      </c>
      <c r="AI3967" s="41" t="s">
        <v>1781</v>
      </c>
    </row>
    <row r="3968" spans="1:35" x14ac:dyDescent="0.25">
      <c r="A3968" s="36">
        <v>99913966</v>
      </c>
      <c r="B3968" s="17" t="s">
        <v>32</v>
      </c>
      <c r="C3968" t="s">
        <v>46</v>
      </c>
      <c r="D3968" t="s">
        <v>47</v>
      </c>
      <c r="G3968" s="17" t="s">
        <v>35</v>
      </c>
      <c r="H3968" s="17">
        <v>1</v>
      </c>
      <c r="K3968" t="s">
        <v>223</v>
      </c>
      <c r="L3968" t="s">
        <v>224</v>
      </c>
      <c r="M3968" t="s">
        <v>131</v>
      </c>
      <c r="N3968">
        <v>20</v>
      </c>
      <c r="O3968" t="s">
        <v>40</v>
      </c>
      <c r="P3968" t="s">
        <v>40</v>
      </c>
      <c r="Q3968" t="s">
        <v>40</v>
      </c>
      <c r="S3968" t="s">
        <v>40</v>
      </c>
      <c r="V3968" t="s">
        <v>41</v>
      </c>
      <c r="W3968" t="s">
        <v>42</v>
      </c>
      <c r="X3968" t="str">
        <f>"0580396"</f>
        <v>0580396</v>
      </c>
      <c r="Y3968" t="s">
        <v>255</v>
      </c>
      <c r="Z3968" t="s">
        <v>223</v>
      </c>
      <c r="AA3968" t="s">
        <v>224</v>
      </c>
      <c r="AB3968" t="s">
        <v>131</v>
      </c>
      <c r="AC3968" t="s">
        <v>51</v>
      </c>
      <c r="AD3968" t="s">
        <v>45</v>
      </c>
      <c r="AE3968" s="1">
        <v>24850</v>
      </c>
      <c r="AF3968">
        <v>2</v>
      </c>
      <c r="AG3968" t="s">
        <v>224</v>
      </c>
      <c r="AH3968" s="36">
        <f t="shared" si="61"/>
        <v>51.68611111111111</v>
      </c>
      <c r="AI3968" s="41" t="s">
        <v>1781</v>
      </c>
    </row>
    <row r="3969" spans="1:35" x14ac:dyDescent="0.25">
      <c r="A3969" s="36">
        <v>99913967</v>
      </c>
      <c r="B3969" s="17" t="s">
        <v>32</v>
      </c>
      <c r="C3969" t="s">
        <v>64</v>
      </c>
      <c r="D3969" t="s">
        <v>65</v>
      </c>
      <c r="G3969" s="17" t="s">
        <v>48</v>
      </c>
      <c r="H3969" s="17">
        <v>11</v>
      </c>
      <c r="K3969" t="s">
        <v>195</v>
      </c>
      <c r="L3969" t="s">
        <v>196</v>
      </c>
      <c r="M3969" t="s">
        <v>131</v>
      </c>
      <c r="N3969">
        <v>21</v>
      </c>
      <c r="O3969" t="s">
        <v>40</v>
      </c>
      <c r="P3969" t="s">
        <v>40</v>
      </c>
      <c r="Q3969" t="s">
        <v>40</v>
      </c>
      <c r="R3969" t="s">
        <v>40</v>
      </c>
      <c r="S3969" t="s">
        <v>40</v>
      </c>
      <c r="U3969" s="1">
        <v>37865</v>
      </c>
      <c r="V3969" t="s">
        <v>41</v>
      </c>
      <c r="W3969" t="s">
        <v>75</v>
      </c>
      <c r="X3969" t="str">
        <f>"7521042"</f>
        <v>7521042</v>
      </c>
      <c r="Y3969" t="s">
        <v>440</v>
      </c>
      <c r="Z3969" t="s">
        <v>195</v>
      </c>
      <c r="AA3969" t="s">
        <v>196</v>
      </c>
      <c r="AB3969" t="s">
        <v>131</v>
      </c>
      <c r="AC3969" t="s">
        <v>51</v>
      </c>
      <c r="AD3969" t="s">
        <v>45</v>
      </c>
      <c r="AE3969" s="1">
        <v>24847</v>
      </c>
      <c r="AF3969">
        <v>1</v>
      </c>
      <c r="AG3969" t="s">
        <v>196</v>
      </c>
      <c r="AH3969" s="36">
        <f t="shared" si="61"/>
        <v>51.694444444444443</v>
      </c>
      <c r="AI3969" s="41" t="s">
        <v>1781</v>
      </c>
    </row>
    <row r="3970" spans="1:35" x14ac:dyDescent="0.25">
      <c r="A3970" s="36">
        <v>99913968</v>
      </c>
      <c r="B3970" s="17" t="s">
        <v>32</v>
      </c>
      <c r="C3970" t="s">
        <v>85</v>
      </c>
      <c r="D3970" t="s">
        <v>86</v>
      </c>
      <c r="G3970" s="17" t="s">
        <v>48</v>
      </c>
      <c r="H3970" s="17">
        <v>1</v>
      </c>
      <c r="K3970" t="s">
        <v>1268</v>
      </c>
      <c r="L3970" t="s">
        <v>1269</v>
      </c>
      <c r="M3970" t="s">
        <v>1270</v>
      </c>
      <c r="N3970">
        <v>18</v>
      </c>
      <c r="O3970" t="s">
        <v>40</v>
      </c>
      <c r="P3970" t="s">
        <v>40</v>
      </c>
      <c r="Q3970" t="s">
        <v>40</v>
      </c>
      <c r="R3970" t="s">
        <v>40</v>
      </c>
      <c r="S3970" t="s">
        <v>40</v>
      </c>
      <c r="V3970" t="s">
        <v>41</v>
      </c>
      <c r="W3970" t="s">
        <v>42</v>
      </c>
      <c r="X3970" t="str">
        <f>"1990910"</f>
        <v>1990910</v>
      </c>
      <c r="Y3970" t="s">
        <v>1281</v>
      </c>
      <c r="Z3970" t="s">
        <v>1268</v>
      </c>
      <c r="AA3970" t="s">
        <v>1269</v>
      </c>
      <c r="AB3970" t="s">
        <v>1270</v>
      </c>
      <c r="AC3970" t="s">
        <v>165</v>
      </c>
      <c r="AD3970" t="s">
        <v>45</v>
      </c>
      <c r="AE3970" s="1">
        <v>24842</v>
      </c>
      <c r="AF3970">
        <v>2</v>
      </c>
      <c r="AG3970" t="s">
        <v>1269</v>
      </c>
      <c r="AH3970" s="36">
        <f t="shared" ref="AH3970:AH4033" si="62">($AJ$1-AE3970)/360</f>
        <v>51.708333333333336</v>
      </c>
      <c r="AI3970" s="41" t="s">
        <v>1781</v>
      </c>
    </row>
    <row r="3971" spans="1:35" x14ac:dyDescent="0.25">
      <c r="A3971" s="36">
        <v>99913969</v>
      </c>
      <c r="B3971" s="17" t="s">
        <v>32</v>
      </c>
      <c r="C3971" t="s">
        <v>141</v>
      </c>
      <c r="D3971" t="s">
        <v>142</v>
      </c>
      <c r="G3971" s="17" t="s">
        <v>35</v>
      </c>
      <c r="H3971" s="17">
        <v>1</v>
      </c>
      <c r="K3971" t="s">
        <v>345</v>
      </c>
      <c r="L3971" t="s">
        <v>346</v>
      </c>
      <c r="M3971" t="s">
        <v>131</v>
      </c>
      <c r="N3971">
        <v>20</v>
      </c>
      <c r="O3971" t="s">
        <v>40</v>
      </c>
      <c r="P3971" t="s">
        <v>40</v>
      </c>
      <c r="Q3971" t="s">
        <v>40</v>
      </c>
      <c r="S3971" t="s">
        <v>40</v>
      </c>
      <c r="V3971" t="s">
        <v>41</v>
      </c>
      <c r="W3971" t="s">
        <v>49</v>
      </c>
      <c r="X3971" t="str">
        <f>"0560007"</f>
        <v>0560007</v>
      </c>
      <c r="Y3971" t="s">
        <v>357</v>
      </c>
      <c r="Z3971" t="s">
        <v>345</v>
      </c>
      <c r="AA3971" t="s">
        <v>346</v>
      </c>
      <c r="AB3971" t="s">
        <v>131</v>
      </c>
      <c r="AC3971" t="s">
        <v>51</v>
      </c>
      <c r="AD3971" t="s">
        <v>45</v>
      </c>
      <c r="AE3971" s="1">
        <v>24840</v>
      </c>
      <c r="AF3971">
        <v>2</v>
      </c>
      <c r="AG3971" t="s">
        <v>346</v>
      </c>
      <c r="AH3971" s="36">
        <f t="shared" si="62"/>
        <v>51.713888888888889</v>
      </c>
      <c r="AI3971" s="41" t="s">
        <v>1781</v>
      </c>
    </row>
    <row r="3972" spans="1:35" x14ac:dyDescent="0.25">
      <c r="A3972" s="36">
        <v>99913970</v>
      </c>
      <c r="B3972" s="17" t="s">
        <v>32</v>
      </c>
      <c r="C3972" t="s">
        <v>46</v>
      </c>
      <c r="D3972" t="s">
        <v>47</v>
      </c>
      <c r="G3972" s="17" t="s">
        <v>48</v>
      </c>
      <c r="H3972" s="17">
        <v>1</v>
      </c>
      <c r="K3972" t="s">
        <v>345</v>
      </c>
      <c r="L3972" t="s">
        <v>346</v>
      </c>
      <c r="M3972" t="s">
        <v>131</v>
      </c>
      <c r="N3972">
        <v>20</v>
      </c>
      <c r="O3972" t="s">
        <v>40</v>
      </c>
      <c r="P3972" t="s">
        <v>40</v>
      </c>
      <c r="Q3972" t="s">
        <v>40</v>
      </c>
      <c r="R3972" t="s">
        <v>40</v>
      </c>
      <c r="S3972" t="s">
        <v>40</v>
      </c>
      <c r="V3972" t="s">
        <v>41</v>
      </c>
      <c r="W3972" t="s">
        <v>49</v>
      </c>
      <c r="X3972" t="str">
        <f>"0561021"</f>
        <v>0561021</v>
      </c>
      <c r="Y3972" t="s">
        <v>352</v>
      </c>
      <c r="Z3972" t="s">
        <v>345</v>
      </c>
      <c r="AA3972" t="s">
        <v>346</v>
      </c>
      <c r="AB3972" t="s">
        <v>131</v>
      </c>
      <c r="AC3972" t="s">
        <v>51</v>
      </c>
      <c r="AD3972" t="s">
        <v>45</v>
      </c>
      <c r="AE3972" s="1">
        <v>24840</v>
      </c>
      <c r="AF3972">
        <v>2</v>
      </c>
      <c r="AG3972" t="s">
        <v>346</v>
      </c>
      <c r="AH3972" s="36">
        <f t="shared" si="62"/>
        <v>51.713888888888889</v>
      </c>
      <c r="AI3972" s="41" t="s">
        <v>1781</v>
      </c>
    </row>
    <row r="3973" spans="1:35" x14ac:dyDescent="0.25">
      <c r="A3973" s="36">
        <v>99913971</v>
      </c>
      <c r="B3973" s="17" t="s">
        <v>56</v>
      </c>
      <c r="C3973" t="s">
        <v>79</v>
      </c>
      <c r="D3973" t="s">
        <v>80</v>
      </c>
      <c r="G3973" s="17" t="s">
        <v>35</v>
      </c>
      <c r="H3973" s="17">
        <v>1</v>
      </c>
      <c r="I3973" s="1">
        <v>34583</v>
      </c>
      <c r="J3973" s="1">
        <v>43344</v>
      </c>
      <c r="K3973" t="s">
        <v>1341</v>
      </c>
      <c r="L3973" t="s">
        <v>1342</v>
      </c>
      <c r="M3973" t="s">
        <v>1270</v>
      </c>
      <c r="N3973">
        <v>24</v>
      </c>
      <c r="O3973" t="s">
        <v>40</v>
      </c>
      <c r="S3973" t="s">
        <v>40</v>
      </c>
      <c r="U3973" s="1">
        <v>43344</v>
      </c>
      <c r="V3973" t="s">
        <v>41</v>
      </c>
      <c r="W3973" t="s">
        <v>75</v>
      </c>
      <c r="X3973" t="str">
        <f>"7191004"</f>
        <v>7191004</v>
      </c>
      <c r="Y3973" t="s">
        <v>1344</v>
      </c>
      <c r="Z3973" t="s">
        <v>1341</v>
      </c>
      <c r="AA3973" t="s">
        <v>1342</v>
      </c>
      <c r="AB3973" t="s">
        <v>1270</v>
      </c>
      <c r="AC3973" t="s">
        <v>51</v>
      </c>
      <c r="AD3973" t="s">
        <v>45</v>
      </c>
      <c r="AE3973" s="1">
        <v>24839</v>
      </c>
      <c r="AF3973">
        <v>1</v>
      </c>
      <c r="AG3973" t="s">
        <v>1342</v>
      </c>
      <c r="AH3973" s="36">
        <f t="shared" si="62"/>
        <v>51.716666666666669</v>
      </c>
      <c r="AI3973" s="41" t="s">
        <v>1781</v>
      </c>
    </row>
    <row r="3974" spans="1:35" x14ac:dyDescent="0.25">
      <c r="A3974" s="36">
        <v>99913972</v>
      </c>
      <c r="B3974" s="17" t="s">
        <v>56</v>
      </c>
      <c r="C3974" t="s">
        <v>52</v>
      </c>
      <c r="D3974" t="s">
        <v>53</v>
      </c>
      <c r="G3974" s="17" t="s">
        <v>35</v>
      </c>
      <c r="H3974" s="17">
        <v>1</v>
      </c>
      <c r="I3974">
        <v>12870</v>
      </c>
      <c r="J3974" s="1">
        <v>43344</v>
      </c>
      <c r="K3974" t="s">
        <v>129</v>
      </c>
      <c r="L3974" t="s">
        <v>130</v>
      </c>
      <c r="M3974" t="s">
        <v>131</v>
      </c>
      <c r="N3974">
        <v>23</v>
      </c>
      <c r="O3974" t="s">
        <v>40</v>
      </c>
      <c r="P3974" t="s">
        <v>40</v>
      </c>
      <c r="Q3974" t="s">
        <v>40</v>
      </c>
      <c r="R3974" t="s">
        <v>40</v>
      </c>
      <c r="S3974" t="s">
        <v>40</v>
      </c>
      <c r="U3974" s="1">
        <v>43344</v>
      </c>
      <c r="V3974" t="s">
        <v>41</v>
      </c>
      <c r="W3974" t="s">
        <v>49</v>
      </c>
      <c r="X3974" t="str">
        <f>"0591905"</f>
        <v>0591905</v>
      </c>
      <c r="Y3974" t="s">
        <v>135</v>
      </c>
      <c r="Z3974" t="s">
        <v>129</v>
      </c>
      <c r="AA3974" t="s">
        <v>130</v>
      </c>
      <c r="AB3974" t="s">
        <v>131</v>
      </c>
      <c r="AC3974" t="s">
        <v>44</v>
      </c>
      <c r="AD3974" t="s">
        <v>45</v>
      </c>
      <c r="AE3974" s="1">
        <v>24838</v>
      </c>
      <c r="AF3974">
        <v>2</v>
      </c>
      <c r="AG3974" t="s">
        <v>130</v>
      </c>
      <c r="AH3974" s="36">
        <f t="shared" si="62"/>
        <v>51.719444444444441</v>
      </c>
      <c r="AI3974" s="41" t="s">
        <v>1781</v>
      </c>
    </row>
    <row r="3975" spans="1:35" x14ac:dyDescent="0.25">
      <c r="A3975" s="36">
        <v>99913973</v>
      </c>
      <c r="B3975" s="17" t="s">
        <v>32</v>
      </c>
      <c r="C3975" t="s">
        <v>61</v>
      </c>
      <c r="D3975" t="s">
        <v>62</v>
      </c>
      <c r="G3975" s="17" t="s">
        <v>35</v>
      </c>
      <c r="H3975" s="17">
        <v>1</v>
      </c>
      <c r="I3975" t="s">
        <v>199</v>
      </c>
      <c r="J3975" s="1">
        <v>41684</v>
      </c>
      <c r="K3975" t="s">
        <v>157</v>
      </c>
      <c r="L3975" t="s">
        <v>158</v>
      </c>
      <c r="M3975" t="s">
        <v>131</v>
      </c>
      <c r="N3975">
        <v>20</v>
      </c>
      <c r="O3975" t="s">
        <v>40</v>
      </c>
      <c r="P3975" t="s">
        <v>40</v>
      </c>
      <c r="Q3975" t="s">
        <v>40</v>
      </c>
      <c r="R3975" t="s">
        <v>40</v>
      </c>
      <c r="S3975" t="s">
        <v>40</v>
      </c>
      <c r="U3975" s="1">
        <v>41684</v>
      </c>
      <c r="V3975" t="s">
        <v>41</v>
      </c>
      <c r="W3975" t="s">
        <v>42</v>
      </c>
      <c r="X3975" t="str">
        <f>"0561005"</f>
        <v>0561005</v>
      </c>
      <c r="Y3975" t="s">
        <v>174</v>
      </c>
      <c r="Z3975" t="s">
        <v>157</v>
      </c>
      <c r="AA3975" t="s">
        <v>158</v>
      </c>
      <c r="AB3975" t="s">
        <v>131</v>
      </c>
      <c r="AC3975" t="s">
        <v>51</v>
      </c>
      <c r="AD3975" t="s">
        <v>45</v>
      </c>
      <c r="AE3975" s="1">
        <v>24838</v>
      </c>
      <c r="AF3975">
        <v>2</v>
      </c>
      <c r="AG3975" t="s">
        <v>158</v>
      </c>
      <c r="AH3975" s="36">
        <f t="shared" si="62"/>
        <v>51.719444444444441</v>
      </c>
      <c r="AI3975" s="41" t="s">
        <v>1781</v>
      </c>
    </row>
    <row r="3976" spans="1:35" x14ac:dyDescent="0.25">
      <c r="A3976" s="36">
        <v>99913974</v>
      </c>
      <c r="B3976" s="17" t="s">
        <v>32</v>
      </c>
      <c r="C3976" t="s">
        <v>46</v>
      </c>
      <c r="D3976" t="s">
        <v>47</v>
      </c>
      <c r="G3976" s="17" t="s">
        <v>48</v>
      </c>
      <c r="H3976" s="17">
        <v>1</v>
      </c>
      <c r="K3976" t="s">
        <v>223</v>
      </c>
      <c r="L3976" t="s">
        <v>224</v>
      </c>
      <c r="M3976" t="s">
        <v>131</v>
      </c>
      <c r="N3976">
        <v>21</v>
      </c>
      <c r="O3976" t="s">
        <v>40</v>
      </c>
      <c r="P3976" t="s">
        <v>40</v>
      </c>
      <c r="Q3976" t="s">
        <v>40</v>
      </c>
      <c r="R3976" t="s">
        <v>40</v>
      </c>
      <c r="S3976" t="s">
        <v>40</v>
      </c>
      <c r="V3976" t="s">
        <v>41</v>
      </c>
      <c r="W3976" t="s">
        <v>49</v>
      </c>
      <c r="X3976" t="str">
        <f>"0581206"</f>
        <v>0581206</v>
      </c>
      <c r="Y3976" t="s">
        <v>232</v>
      </c>
      <c r="Z3976" t="s">
        <v>223</v>
      </c>
      <c r="AA3976" t="s">
        <v>224</v>
      </c>
      <c r="AB3976" t="s">
        <v>131</v>
      </c>
      <c r="AC3976" t="s">
        <v>51</v>
      </c>
      <c r="AD3976" t="s">
        <v>45</v>
      </c>
      <c r="AE3976" s="1">
        <v>24838</v>
      </c>
      <c r="AF3976">
        <v>2</v>
      </c>
      <c r="AG3976" t="s">
        <v>224</v>
      </c>
      <c r="AH3976" s="36">
        <f t="shared" si="62"/>
        <v>51.719444444444441</v>
      </c>
      <c r="AI3976" s="41" t="s">
        <v>1781</v>
      </c>
    </row>
    <row r="3977" spans="1:35" x14ac:dyDescent="0.25">
      <c r="A3977" s="36">
        <v>99913975</v>
      </c>
      <c r="B3977" s="17" t="s">
        <v>56</v>
      </c>
      <c r="C3977" t="s">
        <v>46</v>
      </c>
      <c r="D3977" t="s">
        <v>47</v>
      </c>
      <c r="G3977" s="17" t="s">
        <v>48</v>
      </c>
      <c r="H3977" s="17">
        <v>1</v>
      </c>
      <c r="K3977" t="s">
        <v>223</v>
      </c>
      <c r="L3977" t="s">
        <v>224</v>
      </c>
      <c r="M3977" t="s">
        <v>131</v>
      </c>
      <c r="N3977">
        <v>22</v>
      </c>
      <c r="O3977" t="s">
        <v>40</v>
      </c>
      <c r="P3977" t="s">
        <v>40</v>
      </c>
      <c r="Q3977" t="s">
        <v>40</v>
      </c>
      <c r="R3977" t="s">
        <v>40</v>
      </c>
      <c r="S3977" t="s">
        <v>40</v>
      </c>
      <c r="V3977" t="s">
        <v>41</v>
      </c>
      <c r="W3977" t="s">
        <v>42</v>
      </c>
      <c r="X3977" t="str">
        <f>"0590910"</f>
        <v>0590910</v>
      </c>
      <c r="Y3977" t="s">
        <v>227</v>
      </c>
      <c r="Z3977" t="s">
        <v>223</v>
      </c>
      <c r="AA3977" t="s">
        <v>224</v>
      </c>
      <c r="AB3977" t="s">
        <v>131</v>
      </c>
      <c r="AC3977" t="s">
        <v>51</v>
      </c>
      <c r="AD3977" t="s">
        <v>45</v>
      </c>
      <c r="AE3977" s="1">
        <v>24838</v>
      </c>
      <c r="AF3977">
        <v>2</v>
      </c>
      <c r="AG3977" t="s">
        <v>224</v>
      </c>
      <c r="AH3977" s="36">
        <f t="shared" si="62"/>
        <v>51.719444444444441</v>
      </c>
      <c r="AI3977" s="41" t="s">
        <v>1781</v>
      </c>
    </row>
    <row r="3978" spans="1:35" x14ac:dyDescent="0.25">
      <c r="A3978" s="36">
        <v>99913976</v>
      </c>
      <c r="B3978" s="17" t="s">
        <v>32</v>
      </c>
      <c r="C3978" t="s">
        <v>139</v>
      </c>
      <c r="D3978" t="s">
        <v>140</v>
      </c>
      <c r="G3978" s="17" t="s">
        <v>48</v>
      </c>
      <c r="H3978" s="17">
        <v>1</v>
      </c>
      <c r="K3978" t="s">
        <v>345</v>
      </c>
      <c r="L3978" t="s">
        <v>346</v>
      </c>
      <c r="M3978" t="s">
        <v>131</v>
      </c>
      <c r="N3978">
        <v>20</v>
      </c>
      <c r="O3978" t="s">
        <v>40</v>
      </c>
      <c r="P3978" t="s">
        <v>40</v>
      </c>
      <c r="Q3978" t="s">
        <v>40</v>
      </c>
      <c r="R3978" t="s">
        <v>40</v>
      </c>
      <c r="S3978" t="s">
        <v>40</v>
      </c>
      <c r="V3978" t="s">
        <v>41</v>
      </c>
      <c r="W3978" t="s">
        <v>49</v>
      </c>
      <c r="X3978" t="str">
        <f>"0561021"</f>
        <v>0561021</v>
      </c>
      <c r="Y3978" t="s">
        <v>352</v>
      </c>
      <c r="Z3978" t="s">
        <v>345</v>
      </c>
      <c r="AA3978" t="s">
        <v>346</v>
      </c>
      <c r="AB3978" t="s">
        <v>131</v>
      </c>
      <c r="AC3978" t="s">
        <v>51</v>
      </c>
      <c r="AD3978" t="s">
        <v>45</v>
      </c>
      <c r="AE3978" s="1">
        <v>24838</v>
      </c>
      <c r="AF3978">
        <v>2</v>
      </c>
      <c r="AG3978" t="s">
        <v>346</v>
      </c>
      <c r="AH3978" s="36">
        <f t="shared" si="62"/>
        <v>51.719444444444441</v>
      </c>
      <c r="AI3978" s="41" t="s">
        <v>1781</v>
      </c>
    </row>
    <row r="3979" spans="1:35" x14ac:dyDescent="0.25">
      <c r="A3979" s="36">
        <v>99913977</v>
      </c>
      <c r="B3979" s="17" t="s">
        <v>56</v>
      </c>
      <c r="C3979" t="s">
        <v>46</v>
      </c>
      <c r="D3979" t="s">
        <v>47</v>
      </c>
      <c r="G3979" s="17" t="s">
        <v>48</v>
      </c>
      <c r="H3979" s="17">
        <v>1</v>
      </c>
      <c r="K3979" t="s">
        <v>345</v>
      </c>
      <c r="L3979" t="s">
        <v>346</v>
      </c>
      <c r="M3979" t="s">
        <v>131</v>
      </c>
      <c r="N3979">
        <v>18</v>
      </c>
      <c r="O3979" t="s">
        <v>40</v>
      </c>
      <c r="P3979" t="s">
        <v>40</v>
      </c>
      <c r="Q3979" t="s">
        <v>40</v>
      </c>
      <c r="R3979" t="s">
        <v>40</v>
      </c>
      <c r="S3979" t="s">
        <v>40</v>
      </c>
      <c r="V3979" t="s">
        <v>41</v>
      </c>
      <c r="W3979" t="s">
        <v>49</v>
      </c>
      <c r="X3979" t="str">
        <f>"0581605"</f>
        <v>0581605</v>
      </c>
      <c r="Y3979" t="s">
        <v>366</v>
      </c>
      <c r="Z3979" t="s">
        <v>345</v>
      </c>
      <c r="AA3979" t="s">
        <v>346</v>
      </c>
      <c r="AB3979" t="s">
        <v>131</v>
      </c>
      <c r="AC3979" t="s">
        <v>51</v>
      </c>
      <c r="AD3979" t="s">
        <v>45</v>
      </c>
      <c r="AE3979" s="1">
        <v>24838</v>
      </c>
      <c r="AF3979">
        <v>2</v>
      </c>
      <c r="AG3979" t="s">
        <v>346</v>
      </c>
      <c r="AH3979" s="36">
        <f t="shared" si="62"/>
        <v>51.719444444444441</v>
      </c>
      <c r="AI3979" s="41" t="s">
        <v>1781</v>
      </c>
    </row>
    <row r="3980" spans="1:35" x14ac:dyDescent="0.25">
      <c r="A3980" s="36">
        <v>99913978</v>
      </c>
      <c r="B3980" s="17" t="s">
        <v>56</v>
      </c>
      <c r="C3980" t="s">
        <v>143</v>
      </c>
      <c r="D3980" t="s">
        <v>144</v>
      </c>
      <c r="G3980" s="17" t="s">
        <v>48</v>
      </c>
      <c r="H3980" s="17">
        <v>1</v>
      </c>
      <c r="K3980" t="s">
        <v>431</v>
      </c>
      <c r="L3980" t="s">
        <v>196</v>
      </c>
      <c r="M3980" t="s">
        <v>131</v>
      </c>
      <c r="N3980">
        <v>24</v>
      </c>
      <c r="O3980" t="s">
        <v>40</v>
      </c>
      <c r="P3980" t="s">
        <v>40</v>
      </c>
      <c r="Q3980" t="s">
        <v>40</v>
      </c>
      <c r="R3980" t="s">
        <v>40</v>
      </c>
      <c r="S3980" t="s">
        <v>40</v>
      </c>
      <c r="V3980" t="s">
        <v>41</v>
      </c>
      <c r="W3980" t="s">
        <v>75</v>
      </c>
      <c r="X3980" t="str">
        <f>"7521012"</f>
        <v>7521012</v>
      </c>
      <c r="Y3980" t="s">
        <v>432</v>
      </c>
      <c r="Z3980" t="s">
        <v>431</v>
      </c>
      <c r="AA3980" t="s">
        <v>196</v>
      </c>
      <c r="AB3980" t="s">
        <v>131</v>
      </c>
      <c r="AC3980" t="s">
        <v>51</v>
      </c>
      <c r="AD3980" t="s">
        <v>45</v>
      </c>
      <c r="AE3980" s="1">
        <v>24838</v>
      </c>
      <c r="AF3980">
        <v>1</v>
      </c>
      <c r="AG3980" t="s">
        <v>196</v>
      </c>
      <c r="AH3980" s="36">
        <f t="shared" si="62"/>
        <v>51.719444444444441</v>
      </c>
      <c r="AI3980" s="41" t="s">
        <v>1781</v>
      </c>
    </row>
    <row r="3981" spans="1:35" x14ac:dyDescent="0.25">
      <c r="A3981" s="36">
        <v>99913979</v>
      </c>
      <c r="B3981" s="17" t="s">
        <v>56</v>
      </c>
      <c r="C3981" t="s">
        <v>79</v>
      </c>
      <c r="D3981" t="s">
        <v>80</v>
      </c>
      <c r="G3981" s="17" t="s">
        <v>35</v>
      </c>
      <c r="H3981" s="17">
        <v>1</v>
      </c>
      <c r="I3981">
        <v>3050</v>
      </c>
      <c r="J3981" s="1">
        <v>43344</v>
      </c>
      <c r="K3981" t="s">
        <v>354</v>
      </c>
      <c r="L3981" t="s">
        <v>355</v>
      </c>
      <c r="M3981" t="s">
        <v>131</v>
      </c>
      <c r="N3981">
        <v>18</v>
      </c>
      <c r="O3981" t="s">
        <v>40</v>
      </c>
      <c r="P3981" t="s">
        <v>40</v>
      </c>
      <c r="Q3981" t="s">
        <v>40</v>
      </c>
      <c r="R3981" t="s">
        <v>40</v>
      </c>
      <c r="S3981" t="s">
        <v>40</v>
      </c>
      <c r="U3981" s="1">
        <v>43344</v>
      </c>
      <c r="V3981" t="s">
        <v>41</v>
      </c>
      <c r="W3981" t="s">
        <v>75</v>
      </c>
      <c r="X3981" t="str">
        <f>"7054008"</f>
        <v>7054008</v>
      </c>
      <c r="Y3981" t="s">
        <v>813</v>
      </c>
      <c r="Z3981" t="s">
        <v>354</v>
      </c>
      <c r="AA3981" t="s">
        <v>355</v>
      </c>
      <c r="AB3981" t="s">
        <v>131</v>
      </c>
      <c r="AC3981" t="s">
        <v>51</v>
      </c>
      <c r="AD3981" t="s">
        <v>45</v>
      </c>
      <c r="AE3981" s="1">
        <v>24838</v>
      </c>
      <c r="AF3981">
        <v>1</v>
      </c>
      <c r="AG3981" t="s">
        <v>355</v>
      </c>
      <c r="AH3981" s="36">
        <f t="shared" si="62"/>
        <v>51.719444444444441</v>
      </c>
      <c r="AI3981" s="41" t="s">
        <v>1781</v>
      </c>
    </row>
    <row r="3982" spans="1:35" x14ac:dyDescent="0.25">
      <c r="A3982" s="36">
        <v>99913980</v>
      </c>
      <c r="B3982" s="17" t="s">
        <v>32</v>
      </c>
      <c r="C3982" t="s">
        <v>111</v>
      </c>
      <c r="D3982" t="s">
        <v>112</v>
      </c>
      <c r="G3982" s="17" t="s">
        <v>35</v>
      </c>
      <c r="H3982" s="17">
        <v>1</v>
      </c>
      <c r="I3982">
        <v>14590</v>
      </c>
      <c r="J3982" s="1">
        <v>43344</v>
      </c>
      <c r="K3982" t="s">
        <v>354</v>
      </c>
      <c r="L3982" t="s">
        <v>355</v>
      </c>
      <c r="M3982" t="s">
        <v>131</v>
      </c>
      <c r="N3982">
        <v>24</v>
      </c>
      <c r="O3982" t="s">
        <v>40</v>
      </c>
      <c r="Q3982" t="s">
        <v>40</v>
      </c>
      <c r="S3982" t="s">
        <v>40</v>
      </c>
      <c r="U3982" s="1">
        <v>43344</v>
      </c>
      <c r="V3982" t="s">
        <v>41</v>
      </c>
      <c r="W3982" t="s">
        <v>75</v>
      </c>
      <c r="X3982" t="str">
        <f>"7054006"</f>
        <v>7054006</v>
      </c>
      <c r="Y3982" t="s">
        <v>774</v>
      </c>
      <c r="Z3982" t="s">
        <v>354</v>
      </c>
      <c r="AA3982" t="s">
        <v>355</v>
      </c>
      <c r="AB3982" t="s">
        <v>131</v>
      </c>
      <c r="AC3982" t="s">
        <v>51</v>
      </c>
      <c r="AD3982" t="s">
        <v>45</v>
      </c>
      <c r="AE3982" s="1">
        <v>24838</v>
      </c>
      <c r="AF3982">
        <v>1</v>
      </c>
      <c r="AG3982" t="s">
        <v>355</v>
      </c>
      <c r="AH3982" s="36">
        <f t="shared" si="62"/>
        <v>51.719444444444441</v>
      </c>
      <c r="AI3982" s="41" t="s">
        <v>1781</v>
      </c>
    </row>
    <row r="3983" spans="1:35" x14ac:dyDescent="0.25">
      <c r="A3983" s="36">
        <v>99913981</v>
      </c>
      <c r="B3983" s="17" t="s">
        <v>32</v>
      </c>
      <c r="C3983" t="s">
        <v>111</v>
      </c>
      <c r="D3983" t="s">
        <v>112</v>
      </c>
      <c r="G3983" s="17" t="s">
        <v>48</v>
      </c>
      <c r="H3983" s="17">
        <v>1</v>
      </c>
      <c r="K3983" t="s">
        <v>354</v>
      </c>
      <c r="L3983" t="s">
        <v>355</v>
      </c>
      <c r="M3983" t="s">
        <v>131</v>
      </c>
      <c r="N3983">
        <v>21</v>
      </c>
      <c r="O3983" t="s">
        <v>40</v>
      </c>
      <c r="P3983" t="s">
        <v>40</v>
      </c>
      <c r="Q3983" t="s">
        <v>40</v>
      </c>
      <c r="R3983" t="s">
        <v>40</v>
      </c>
      <c r="S3983" t="s">
        <v>40</v>
      </c>
      <c r="V3983" t="s">
        <v>41</v>
      </c>
      <c r="W3983" t="s">
        <v>75</v>
      </c>
      <c r="X3983" t="str">
        <f>"7054022"</f>
        <v>7054022</v>
      </c>
      <c r="Y3983" t="s">
        <v>770</v>
      </c>
      <c r="Z3983" t="s">
        <v>354</v>
      </c>
      <c r="AA3983" t="s">
        <v>355</v>
      </c>
      <c r="AB3983" t="s">
        <v>131</v>
      </c>
      <c r="AC3983" t="s">
        <v>51</v>
      </c>
      <c r="AD3983" t="s">
        <v>45</v>
      </c>
      <c r="AE3983" s="1">
        <v>24838</v>
      </c>
      <c r="AF3983">
        <v>1</v>
      </c>
      <c r="AG3983" t="s">
        <v>355</v>
      </c>
      <c r="AH3983" s="36">
        <f t="shared" si="62"/>
        <v>51.719444444444441</v>
      </c>
      <c r="AI3983" s="41" t="s">
        <v>1781</v>
      </c>
    </row>
    <row r="3984" spans="1:35" x14ac:dyDescent="0.25">
      <c r="A3984" s="36">
        <v>99913982</v>
      </c>
      <c r="B3984" s="17" t="s">
        <v>56</v>
      </c>
      <c r="C3984" t="s">
        <v>68</v>
      </c>
      <c r="D3984" t="s">
        <v>69</v>
      </c>
      <c r="G3984" s="17" t="s">
        <v>35</v>
      </c>
      <c r="H3984" s="17">
        <v>1</v>
      </c>
      <c r="K3984" t="s">
        <v>1268</v>
      </c>
      <c r="L3984" t="s">
        <v>1269</v>
      </c>
      <c r="M3984" t="s">
        <v>1270</v>
      </c>
      <c r="N3984">
        <v>21</v>
      </c>
      <c r="O3984" t="s">
        <v>40</v>
      </c>
      <c r="P3984" t="s">
        <v>40</v>
      </c>
      <c r="Q3984" t="s">
        <v>40</v>
      </c>
      <c r="R3984" t="s">
        <v>40</v>
      </c>
      <c r="S3984" t="s">
        <v>40</v>
      </c>
      <c r="V3984" t="s">
        <v>41</v>
      </c>
      <c r="W3984" t="s">
        <v>42</v>
      </c>
      <c r="X3984" t="str">
        <f>"1990001"</f>
        <v>1990001</v>
      </c>
      <c r="Y3984" t="s">
        <v>1294</v>
      </c>
      <c r="Z3984" t="s">
        <v>1268</v>
      </c>
      <c r="AA3984" t="s">
        <v>1269</v>
      </c>
      <c r="AB3984" t="s">
        <v>1270</v>
      </c>
      <c r="AC3984" t="s">
        <v>51</v>
      </c>
      <c r="AD3984" t="s">
        <v>45</v>
      </c>
      <c r="AE3984" s="1">
        <v>24838</v>
      </c>
      <c r="AF3984">
        <v>2</v>
      </c>
      <c r="AG3984" t="s">
        <v>1269</v>
      </c>
      <c r="AH3984" s="36">
        <f t="shared" si="62"/>
        <v>51.719444444444441</v>
      </c>
      <c r="AI3984" s="41" t="s">
        <v>1781</v>
      </c>
    </row>
    <row r="3985" spans="1:35" x14ac:dyDescent="0.25">
      <c r="A3985" s="36">
        <v>99913983</v>
      </c>
      <c r="B3985" s="17" t="s">
        <v>32</v>
      </c>
      <c r="C3985" t="s">
        <v>46</v>
      </c>
      <c r="D3985" t="s">
        <v>47</v>
      </c>
      <c r="G3985" s="17" t="s">
        <v>35</v>
      </c>
      <c r="H3985" s="17">
        <v>1</v>
      </c>
      <c r="I3985">
        <v>16805</v>
      </c>
      <c r="J3985" s="1">
        <v>43388</v>
      </c>
      <c r="K3985" t="s">
        <v>1306</v>
      </c>
      <c r="L3985" t="s">
        <v>1307</v>
      </c>
      <c r="M3985" t="s">
        <v>1270</v>
      </c>
      <c r="N3985">
        <v>5</v>
      </c>
      <c r="O3985" t="s">
        <v>40</v>
      </c>
      <c r="P3985" t="s">
        <v>40</v>
      </c>
      <c r="Q3985" t="s">
        <v>40</v>
      </c>
      <c r="R3985" t="s">
        <v>40</v>
      </c>
      <c r="S3985" t="s">
        <v>40</v>
      </c>
      <c r="U3985" s="1">
        <v>43388</v>
      </c>
      <c r="V3985" t="s">
        <v>41</v>
      </c>
      <c r="W3985" t="s">
        <v>42</v>
      </c>
      <c r="X3985" t="str">
        <f>"1990915"</f>
        <v>1990915</v>
      </c>
      <c r="Y3985" t="s">
        <v>1308</v>
      </c>
      <c r="Z3985" t="s">
        <v>1306</v>
      </c>
      <c r="AA3985" t="s">
        <v>1307</v>
      </c>
      <c r="AB3985" t="s">
        <v>1270</v>
      </c>
      <c r="AC3985" t="s">
        <v>44</v>
      </c>
      <c r="AD3985" t="s">
        <v>45</v>
      </c>
      <c r="AE3985" s="1">
        <v>24838</v>
      </c>
      <c r="AF3985">
        <v>2</v>
      </c>
      <c r="AG3985" t="s">
        <v>1307</v>
      </c>
      <c r="AH3985" s="36">
        <f t="shared" si="62"/>
        <v>51.719444444444441</v>
      </c>
      <c r="AI3985" s="41" t="s">
        <v>1781</v>
      </c>
    </row>
    <row r="3986" spans="1:35" x14ac:dyDescent="0.25">
      <c r="A3986" s="36">
        <v>99913984</v>
      </c>
      <c r="B3986" s="17" t="s">
        <v>56</v>
      </c>
      <c r="C3986" t="s">
        <v>68</v>
      </c>
      <c r="D3986" t="s">
        <v>69</v>
      </c>
      <c r="G3986" s="17" t="s">
        <v>35</v>
      </c>
      <c r="H3986" s="17">
        <v>1</v>
      </c>
      <c r="I3986">
        <v>6844</v>
      </c>
      <c r="J3986" s="1">
        <v>43344</v>
      </c>
      <c r="K3986" t="s">
        <v>1306</v>
      </c>
      <c r="L3986" t="s">
        <v>1307</v>
      </c>
      <c r="M3986" t="s">
        <v>1270</v>
      </c>
      <c r="N3986">
        <v>20</v>
      </c>
      <c r="O3986" t="s">
        <v>40</v>
      </c>
      <c r="P3986" t="s">
        <v>40</v>
      </c>
      <c r="Q3986" t="s">
        <v>40</v>
      </c>
      <c r="R3986" t="s">
        <v>40</v>
      </c>
      <c r="S3986" t="s">
        <v>40</v>
      </c>
      <c r="U3986" s="1">
        <v>43344</v>
      </c>
      <c r="V3986" t="s">
        <v>41</v>
      </c>
      <c r="W3986" t="s">
        <v>42</v>
      </c>
      <c r="X3986" t="str">
        <f>"1990915"</f>
        <v>1990915</v>
      </c>
      <c r="Y3986" t="s">
        <v>1308</v>
      </c>
      <c r="Z3986" t="s">
        <v>1306</v>
      </c>
      <c r="AA3986" t="s">
        <v>1307</v>
      </c>
      <c r="AB3986" t="s">
        <v>1270</v>
      </c>
      <c r="AC3986" t="s">
        <v>51</v>
      </c>
      <c r="AD3986" t="s">
        <v>45</v>
      </c>
      <c r="AE3986" s="1">
        <v>24838</v>
      </c>
      <c r="AF3986">
        <v>2</v>
      </c>
      <c r="AG3986" t="s">
        <v>1307</v>
      </c>
      <c r="AH3986" s="36">
        <f t="shared" si="62"/>
        <v>51.719444444444441</v>
      </c>
      <c r="AI3986" s="41" t="s">
        <v>1781</v>
      </c>
    </row>
    <row r="3987" spans="1:35" x14ac:dyDescent="0.25">
      <c r="A3987" s="36">
        <v>99913985</v>
      </c>
      <c r="B3987" s="17" t="s">
        <v>32</v>
      </c>
      <c r="C3987" t="s">
        <v>139</v>
      </c>
      <c r="D3987" t="s">
        <v>140</v>
      </c>
      <c r="G3987" s="17" t="s">
        <v>35</v>
      </c>
      <c r="H3987" s="17">
        <v>1</v>
      </c>
      <c r="I3987">
        <v>6983</v>
      </c>
      <c r="J3987" s="1">
        <v>43344</v>
      </c>
      <c r="K3987" t="s">
        <v>1306</v>
      </c>
      <c r="L3987" t="s">
        <v>1307</v>
      </c>
      <c r="M3987" t="s">
        <v>1270</v>
      </c>
      <c r="N3987">
        <v>6</v>
      </c>
      <c r="O3987" t="s">
        <v>40</v>
      </c>
      <c r="P3987" t="s">
        <v>40</v>
      </c>
      <c r="Q3987" t="s">
        <v>40</v>
      </c>
      <c r="R3987" t="s">
        <v>40</v>
      </c>
      <c r="S3987" t="s">
        <v>40</v>
      </c>
      <c r="U3987" s="1">
        <v>43344</v>
      </c>
      <c r="V3987" t="s">
        <v>41</v>
      </c>
      <c r="W3987" t="s">
        <v>49</v>
      </c>
      <c r="X3987" t="str">
        <f>"1991915"</f>
        <v>1991915</v>
      </c>
      <c r="Y3987" t="s">
        <v>1316</v>
      </c>
      <c r="Z3987" t="s">
        <v>1306</v>
      </c>
      <c r="AA3987" t="s">
        <v>1307</v>
      </c>
      <c r="AB3987" t="s">
        <v>1270</v>
      </c>
      <c r="AC3987" t="s">
        <v>51</v>
      </c>
      <c r="AD3987" t="s">
        <v>45</v>
      </c>
      <c r="AE3987" s="1">
        <v>24838</v>
      </c>
      <c r="AF3987">
        <v>2</v>
      </c>
      <c r="AG3987" t="s">
        <v>1307</v>
      </c>
      <c r="AH3987" s="36">
        <f t="shared" si="62"/>
        <v>51.719444444444441</v>
      </c>
      <c r="AI3987" s="41" t="s">
        <v>1781</v>
      </c>
    </row>
    <row r="3988" spans="1:35" x14ac:dyDescent="0.25">
      <c r="A3988" s="36">
        <v>99913986</v>
      </c>
      <c r="B3988" s="17" t="s">
        <v>32</v>
      </c>
      <c r="C3988" t="s">
        <v>79</v>
      </c>
      <c r="D3988" t="s">
        <v>80</v>
      </c>
      <c r="G3988" s="17" t="s">
        <v>35</v>
      </c>
      <c r="H3988" s="17">
        <v>1</v>
      </c>
      <c r="I3988" s="1">
        <v>39406</v>
      </c>
      <c r="J3988" s="1">
        <v>43344</v>
      </c>
      <c r="K3988" t="s">
        <v>1341</v>
      </c>
      <c r="L3988" t="s">
        <v>1342</v>
      </c>
      <c r="M3988" t="s">
        <v>1270</v>
      </c>
      <c r="N3988">
        <v>24</v>
      </c>
      <c r="O3988" t="s">
        <v>40</v>
      </c>
      <c r="P3988" t="s">
        <v>40</v>
      </c>
      <c r="Q3988" t="s">
        <v>40</v>
      </c>
      <c r="R3988" t="s">
        <v>40</v>
      </c>
      <c r="S3988" t="s">
        <v>40</v>
      </c>
      <c r="U3988" s="1">
        <v>43344</v>
      </c>
      <c r="V3988" t="s">
        <v>41</v>
      </c>
      <c r="W3988" t="s">
        <v>75</v>
      </c>
      <c r="X3988" t="str">
        <f>"7191004"</f>
        <v>7191004</v>
      </c>
      <c r="Y3988" t="s">
        <v>1344</v>
      </c>
      <c r="Z3988" t="s">
        <v>1341</v>
      </c>
      <c r="AA3988" t="s">
        <v>1342</v>
      </c>
      <c r="AB3988" t="s">
        <v>1270</v>
      </c>
      <c r="AC3988" t="s">
        <v>51</v>
      </c>
      <c r="AD3988" t="s">
        <v>45</v>
      </c>
      <c r="AE3988" s="1">
        <v>24838</v>
      </c>
      <c r="AF3988">
        <v>1</v>
      </c>
      <c r="AG3988" t="s">
        <v>1342</v>
      </c>
      <c r="AH3988" s="36">
        <f t="shared" si="62"/>
        <v>51.719444444444441</v>
      </c>
      <c r="AI3988" s="41" t="s">
        <v>1781</v>
      </c>
    </row>
    <row r="3989" spans="1:35" x14ac:dyDescent="0.25">
      <c r="A3989" s="36">
        <v>99913987</v>
      </c>
      <c r="B3989" s="17" t="s">
        <v>32</v>
      </c>
      <c r="C3989" t="s">
        <v>117</v>
      </c>
      <c r="D3989" t="s">
        <v>118</v>
      </c>
      <c r="G3989" s="17" t="s">
        <v>48</v>
      </c>
      <c r="H3989" s="17">
        <v>1</v>
      </c>
      <c r="K3989" t="s">
        <v>1619</v>
      </c>
      <c r="L3989" t="s">
        <v>1620</v>
      </c>
      <c r="M3989" t="s">
        <v>1592</v>
      </c>
      <c r="N3989">
        <v>9</v>
      </c>
      <c r="O3989" t="s">
        <v>40</v>
      </c>
      <c r="P3989" t="s">
        <v>40</v>
      </c>
      <c r="Q3989" t="s">
        <v>40</v>
      </c>
      <c r="R3989" t="s">
        <v>40</v>
      </c>
      <c r="S3989" t="s">
        <v>40</v>
      </c>
      <c r="V3989" t="s">
        <v>41</v>
      </c>
      <c r="W3989" t="s">
        <v>75</v>
      </c>
      <c r="X3989" t="str">
        <f>"7281006"</f>
        <v>7281006</v>
      </c>
      <c r="Y3989" t="s">
        <v>1618</v>
      </c>
      <c r="Z3989" t="s">
        <v>1619</v>
      </c>
      <c r="AA3989" t="s">
        <v>1620</v>
      </c>
      <c r="AB3989" t="s">
        <v>1592</v>
      </c>
      <c r="AC3989" t="s">
        <v>51</v>
      </c>
      <c r="AD3989" t="s">
        <v>45</v>
      </c>
      <c r="AE3989" s="1">
        <v>24838</v>
      </c>
      <c r="AF3989">
        <v>1</v>
      </c>
      <c r="AG3989" t="s">
        <v>1620</v>
      </c>
      <c r="AH3989" s="36">
        <f t="shared" si="62"/>
        <v>51.719444444444441</v>
      </c>
      <c r="AI3989" s="41" t="s">
        <v>1781</v>
      </c>
    </row>
    <row r="3990" spans="1:35" x14ac:dyDescent="0.25">
      <c r="A3990" s="36">
        <v>99913988</v>
      </c>
      <c r="B3990" s="17" t="s">
        <v>32</v>
      </c>
      <c r="C3990" t="s">
        <v>64</v>
      </c>
      <c r="D3990" t="s">
        <v>65</v>
      </c>
      <c r="G3990" s="17" t="s">
        <v>35</v>
      </c>
      <c r="H3990" s="17">
        <v>1</v>
      </c>
      <c r="K3990" t="s">
        <v>223</v>
      </c>
      <c r="L3990" t="s">
        <v>224</v>
      </c>
      <c r="M3990" t="s">
        <v>131</v>
      </c>
      <c r="N3990">
        <v>21</v>
      </c>
      <c r="O3990" t="s">
        <v>40</v>
      </c>
      <c r="P3990" t="s">
        <v>40</v>
      </c>
      <c r="Q3990" t="s">
        <v>40</v>
      </c>
      <c r="S3990" t="s">
        <v>40</v>
      </c>
      <c r="V3990" t="s">
        <v>41</v>
      </c>
      <c r="W3990" t="s">
        <v>42</v>
      </c>
      <c r="X3990" t="str">
        <f>"0580345"</f>
        <v>0580345</v>
      </c>
      <c r="Y3990" t="s">
        <v>261</v>
      </c>
      <c r="Z3990" t="s">
        <v>223</v>
      </c>
      <c r="AA3990" t="s">
        <v>224</v>
      </c>
      <c r="AB3990" t="s">
        <v>131</v>
      </c>
      <c r="AC3990" t="s">
        <v>51</v>
      </c>
      <c r="AD3990" t="s">
        <v>45</v>
      </c>
      <c r="AE3990" s="1">
        <v>24834</v>
      </c>
      <c r="AF3990">
        <v>2</v>
      </c>
      <c r="AG3990" t="s">
        <v>224</v>
      </c>
      <c r="AH3990" s="36">
        <f t="shared" si="62"/>
        <v>51.730555555555554</v>
      </c>
      <c r="AI3990" s="41" t="s">
        <v>1781</v>
      </c>
    </row>
    <row r="3991" spans="1:35" x14ac:dyDescent="0.25">
      <c r="A3991" s="36">
        <v>99913989</v>
      </c>
      <c r="B3991" s="17" t="s">
        <v>56</v>
      </c>
      <c r="C3991" t="s">
        <v>46</v>
      </c>
      <c r="D3991" t="s">
        <v>47</v>
      </c>
      <c r="G3991" s="17" t="s">
        <v>48</v>
      </c>
      <c r="H3991" s="17">
        <v>1</v>
      </c>
      <c r="K3991" t="s">
        <v>223</v>
      </c>
      <c r="L3991" t="s">
        <v>224</v>
      </c>
      <c r="M3991" t="s">
        <v>131</v>
      </c>
      <c r="N3991">
        <v>18</v>
      </c>
      <c r="O3991" t="s">
        <v>40</v>
      </c>
      <c r="P3991" t="s">
        <v>40</v>
      </c>
      <c r="Q3991" t="s">
        <v>40</v>
      </c>
      <c r="R3991" t="s">
        <v>40</v>
      </c>
      <c r="S3991" t="s">
        <v>40</v>
      </c>
      <c r="V3991" t="s">
        <v>41</v>
      </c>
      <c r="W3991" t="s">
        <v>42</v>
      </c>
      <c r="X3991" t="str">
        <f>"0580203"</f>
        <v>0580203</v>
      </c>
      <c r="Y3991" t="s">
        <v>239</v>
      </c>
      <c r="Z3991" t="s">
        <v>223</v>
      </c>
      <c r="AA3991" t="s">
        <v>224</v>
      </c>
      <c r="AB3991" t="s">
        <v>131</v>
      </c>
      <c r="AC3991" t="s">
        <v>165</v>
      </c>
      <c r="AD3991" t="s">
        <v>45</v>
      </c>
      <c r="AE3991" s="1">
        <v>24834</v>
      </c>
      <c r="AF3991">
        <v>2</v>
      </c>
      <c r="AG3991" t="s">
        <v>224</v>
      </c>
      <c r="AH3991" s="36">
        <f t="shared" si="62"/>
        <v>51.730555555555554</v>
      </c>
      <c r="AI3991" s="41" t="s">
        <v>1781</v>
      </c>
    </row>
    <row r="3992" spans="1:35" x14ac:dyDescent="0.25">
      <c r="A3992" s="36">
        <v>99913990</v>
      </c>
      <c r="B3992" s="17" t="s">
        <v>32</v>
      </c>
      <c r="C3992" t="s">
        <v>71</v>
      </c>
      <c r="D3992" t="s">
        <v>72</v>
      </c>
      <c r="G3992" s="17" t="s">
        <v>48</v>
      </c>
      <c r="H3992" s="17">
        <v>5</v>
      </c>
      <c r="I3992" t="s">
        <v>456</v>
      </c>
      <c r="J3992" s="1">
        <v>40422</v>
      </c>
      <c r="K3992" t="s">
        <v>195</v>
      </c>
      <c r="L3992" t="s">
        <v>196</v>
      </c>
      <c r="M3992" t="s">
        <v>131</v>
      </c>
      <c r="N3992">
        <v>23</v>
      </c>
      <c r="O3992" t="s">
        <v>40</v>
      </c>
      <c r="P3992" t="s">
        <v>40</v>
      </c>
      <c r="Q3992" t="s">
        <v>40</v>
      </c>
      <c r="R3992" t="s">
        <v>40</v>
      </c>
      <c r="S3992" t="s">
        <v>40</v>
      </c>
      <c r="U3992" s="1">
        <v>40422</v>
      </c>
      <c r="V3992" t="s">
        <v>41</v>
      </c>
      <c r="W3992" t="s">
        <v>75</v>
      </c>
      <c r="X3992" t="str">
        <f>"7521044"</f>
        <v>7521044</v>
      </c>
      <c r="Y3992" t="s">
        <v>453</v>
      </c>
      <c r="Z3992" t="s">
        <v>195</v>
      </c>
      <c r="AA3992" t="s">
        <v>196</v>
      </c>
      <c r="AB3992" t="s">
        <v>131</v>
      </c>
      <c r="AC3992" t="s">
        <v>165</v>
      </c>
      <c r="AD3992" t="s">
        <v>45</v>
      </c>
      <c r="AE3992" s="1">
        <v>24832</v>
      </c>
      <c r="AF3992">
        <v>1</v>
      </c>
      <c r="AG3992" t="s">
        <v>196</v>
      </c>
      <c r="AH3992" s="36">
        <f t="shared" si="62"/>
        <v>51.736111111111114</v>
      </c>
      <c r="AI3992" s="41" t="s">
        <v>1781</v>
      </c>
    </row>
    <row r="3993" spans="1:35" x14ac:dyDescent="0.25">
      <c r="A3993" s="36">
        <v>99913991</v>
      </c>
      <c r="B3993" s="17" t="s">
        <v>56</v>
      </c>
      <c r="C3993" t="s">
        <v>46</v>
      </c>
      <c r="D3993" t="s">
        <v>47</v>
      </c>
      <c r="G3993" s="17" t="s">
        <v>35</v>
      </c>
      <c r="H3993" s="17">
        <v>1</v>
      </c>
      <c r="K3993" t="s">
        <v>1187</v>
      </c>
      <c r="L3993" t="s">
        <v>1188</v>
      </c>
      <c r="M3993" t="s">
        <v>1130</v>
      </c>
      <c r="N3993">
        <v>20</v>
      </c>
      <c r="O3993" t="s">
        <v>40</v>
      </c>
      <c r="P3993" t="s">
        <v>40</v>
      </c>
      <c r="Q3993" t="s">
        <v>40</v>
      </c>
      <c r="S3993" t="s">
        <v>40</v>
      </c>
      <c r="V3993" t="s">
        <v>41</v>
      </c>
      <c r="W3993" t="s">
        <v>42</v>
      </c>
      <c r="X3993" t="str">
        <f>"4580015"</f>
        <v>4580015</v>
      </c>
      <c r="Y3993" t="s">
        <v>1189</v>
      </c>
      <c r="Z3993" t="s">
        <v>1187</v>
      </c>
      <c r="AA3993" t="s">
        <v>1188</v>
      </c>
      <c r="AB3993" t="s">
        <v>1130</v>
      </c>
      <c r="AC3993" t="s">
        <v>51</v>
      </c>
      <c r="AD3993" t="s">
        <v>45</v>
      </c>
      <c r="AE3993" s="1">
        <v>24830</v>
      </c>
      <c r="AF3993">
        <v>2</v>
      </c>
      <c r="AG3993" t="s">
        <v>1188</v>
      </c>
      <c r="AH3993" s="36">
        <f t="shared" si="62"/>
        <v>51.741666666666667</v>
      </c>
      <c r="AI3993" s="41" t="s">
        <v>1781</v>
      </c>
    </row>
    <row r="3994" spans="1:35" x14ac:dyDescent="0.25">
      <c r="A3994" s="36">
        <v>99913992</v>
      </c>
      <c r="B3994" s="17" t="s">
        <v>32</v>
      </c>
      <c r="C3994" t="s">
        <v>79</v>
      </c>
      <c r="D3994" t="s">
        <v>80</v>
      </c>
      <c r="G3994" s="17" t="s">
        <v>48</v>
      </c>
      <c r="H3994" s="17">
        <v>1</v>
      </c>
      <c r="K3994" t="s">
        <v>223</v>
      </c>
      <c r="L3994" t="s">
        <v>224</v>
      </c>
      <c r="M3994" t="s">
        <v>131</v>
      </c>
      <c r="N3994">
        <v>10</v>
      </c>
      <c r="O3994" t="s">
        <v>40</v>
      </c>
      <c r="P3994" t="s">
        <v>40</v>
      </c>
      <c r="Q3994" t="s">
        <v>40</v>
      </c>
      <c r="S3994" t="s">
        <v>40</v>
      </c>
      <c r="V3994" t="s">
        <v>41</v>
      </c>
      <c r="W3994" t="s">
        <v>42</v>
      </c>
      <c r="X3994" t="str">
        <f>"0580395"</f>
        <v>0580395</v>
      </c>
      <c r="Y3994" t="s">
        <v>265</v>
      </c>
      <c r="Z3994" t="s">
        <v>223</v>
      </c>
      <c r="AA3994" t="s">
        <v>224</v>
      </c>
      <c r="AB3994" t="s">
        <v>131</v>
      </c>
      <c r="AC3994" t="s">
        <v>51</v>
      </c>
      <c r="AD3994" t="s">
        <v>45</v>
      </c>
      <c r="AE3994" s="1">
        <v>24829</v>
      </c>
      <c r="AF3994">
        <v>2</v>
      </c>
      <c r="AG3994" t="s">
        <v>224</v>
      </c>
      <c r="AH3994" s="36">
        <f t="shared" si="62"/>
        <v>51.744444444444447</v>
      </c>
      <c r="AI3994" s="41" t="s">
        <v>1781</v>
      </c>
    </row>
    <row r="3995" spans="1:35" x14ac:dyDescent="0.25">
      <c r="A3995" s="36">
        <v>99913993</v>
      </c>
      <c r="B3995" s="17" t="s">
        <v>32</v>
      </c>
      <c r="C3995" t="s">
        <v>111</v>
      </c>
      <c r="D3995" t="s">
        <v>112</v>
      </c>
      <c r="G3995" s="17" t="s">
        <v>35</v>
      </c>
      <c r="H3995" s="17">
        <v>15</v>
      </c>
      <c r="K3995" t="s">
        <v>268</v>
      </c>
      <c r="L3995" t="s">
        <v>269</v>
      </c>
      <c r="M3995" t="s">
        <v>131</v>
      </c>
      <c r="N3995">
        <v>21</v>
      </c>
      <c r="O3995" t="s">
        <v>40</v>
      </c>
      <c r="P3995" t="s">
        <v>40</v>
      </c>
      <c r="Q3995" t="s">
        <v>40</v>
      </c>
      <c r="R3995" t="s">
        <v>40</v>
      </c>
      <c r="S3995" t="s">
        <v>40</v>
      </c>
      <c r="V3995" t="s">
        <v>41</v>
      </c>
      <c r="W3995" t="s">
        <v>75</v>
      </c>
      <c r="X3995" t="str">
        <f>"7052006"</f>
        <v>7052006</v>
      </c>
      <c r="Y3995" t="s">
        <v>575</v>
      </c>
      <c r="Z3995" t="s">
        <v>268</v>
      </c>
      <c r="AA3995" t="s">
        <v>269</v>
      </c>
      <c r="AB3995" t="s">
        <v>131</v>
      </c>
      <c r="AC3995" t="s">
        <v>165</v>
      </c>
      <c r="AD3995" t="s">
        <v>45</v>
      </c>
      <c r="AE3995" s="1">
        <v>24825</v>
      </c>
      <c r="AF3995">
        <v>1</v>
      </c>
      <c r="AG3995" t="s">
        <v>269</v>
      </c>
      <c r="AH3995" s="36">
        <f t="shared" si="62"/>
        <v>51.755555555555553</v>
      </c>
      <c r="AI3995" s="41" t="s">
        <v>1781</v>
      </c>
    </row>
    <row r="3996" spans="1:35" x14ac:dyDescent="0.25">
      <c r="A3996" s="36">
        <v>99913994</v>
      </c>
      <c r="B3996" s="17" t="s">
        <v>56</v>
      </c>
      <c r="C3996" t="s">
        <v>259</v>
      </c>
      <c r="D3996" t="s">
        <v>260</v>
      </c>
      <c r="G3996" s="17" t="s">
        <v>48</v>
      </c>
      <c r="H3996" s="17">
        <v>1</v>
      </c>
      <c r="K3996" t="s">
        <v>223</v>
      </c>
      <c r="L3996" t="s">
        <v>224</v>
      </c>
      <c r="M3996" t="s">
        <v>131</v>
      </c>
      <c r="N3996">
        <v>18</v>
      </c>
      <c r="O3996" t="s">
        <v>40</v>
      </c>
      <c r="P3996" t="s">
        <v>40</v>
      </c>
      <c r="Q3996" t="s">
        <v>40</v>
      </c>
      <c r="S3996" t="s">
        <v>40</v>
      </c>
      <c r="V3996" t="s">
        <v>41</v>
      </c>
      <c r="W3996" t="s">
        <v>49</v>
      </c>
      <c r="X3996" t="str">
        <f>"0581204"</f>
        <v>0581204</v>
      </c>
      <c r="Y3996" t="s">
        <v>249</v>
      </c>
      <c r="Z3996" t="s">
        <v>223</v>
      </c>
      <c r="AA3996" t="s">
        <v>224</v>
      </c>
      <c r="AB3996" t="s">
        <v>131</v>
      </c>
      <c r="AC3996" t="s">
        <v>165</v>
      </c>
      <c r="AD3996" t="s">
        <v>45</v>
      </c>
      <c r="AE3996" s="1">
        <v>24823</v>
      </c>
      <c r="AF3996">
        <v>2</v>
      </c>
      <c r="AG3996" t="s">
        <v>224</v>
      </c>
      <c r="AH3996" s="36">
        <f t="shared" si="62"/>
        <v>51.761111111111113</v>
      </c>
      <c r="AI3996" s="41" t="s">
        <v>1781</v>
      </c>
    </row>
    <row r="3997" spans="1:35" x14ac:dyDescent="0.25">
      <c r="A3997" s="36">
        <v>99913995</v>
      </c>
      <c r="B3997" s="17" t="s">
        <v>32</v>
      </c>
      <c r="C3997" t="s">
        <v>90</v>
      </c>
      <c r="D3997" t="s">
        <v>91</v>
      </c>
      <c r="G3997" s="17" t="s">
        <v>48</v>
      </c>
      <c r="H3997" s="17">
        <v>1</v>
      </c>
      <c r="K3997" t="s">
        <v>1695</v>
      </c>
      <c r="L3997" t="s">
        <v>1696</v>
      </c>
      <c r="M3997" t="s">
        <v>1592</v>
      </c>
      <c r="N3997">
        <v>6</v>
      </c>
      <c r="O3997" t="s">
        <v>40</v>
      </c>
      <c r="P3997" t="s">
        <v>40</v>
      </c>
      <c r="Q3997" t="s">
        <v>40</v>
      </c>
      <c r="S3997" t="s">
        <v>40</v>
      </c>
      <c r="V3997" t="s">
        <v>41</v>
      </c>
      <c r="W3997" t="s">
        <v>95</v>
      </c>
      <c r="X3997" t="str">
        <f>"7361011"</f>
        <v>7361011</v>
      </c>
      <c r="Y3997" t="s">
        <v>1699</v>
      </c>
      <c r="Z3997" t="s">
        <v>1695</v>
      </c>
      <c r="AA3997" t="s">
        <v>1696</v>
      </c>
      <c r="AB3997" t="s">
        <v>1592</v>
      </c>
      <c r="AC3997" t="s">
        <v>51</v>
      </c>
      <c r="AD3997" t="s">
        <v>45</v>
      </c>
      <c r="AE3997" s="1">
        <v>24823</v>
      </c>
      <c r="AF3997">
        <v>1</v>
      </c>
      <c r="AG3997" t="s">
        <v>1696</v>
      </c>
      <c r="AH3997" s="36">
        <f t="shared" si="62"/>
        <v>51.761111111111113</v>
      </c>
      <c r="AI3997" s="41" t="s">
        <v>1781</v>
      </c>
    </row>
    <row r="3998" spans="1:35" x14ac:dyDescent="0.25">
      <c r="A3998" s="36">
        <v>99913996</v>
      </c>
      <c r="B3998" s="17" t="s">
        <v>56</v>
      </c>
      <c r="C3998" t="s">
        <v>52</v>
      </c>
      <c r="D3998" t="s">
        <v>53</v>
      </c>
      <c r="G3998" s="17" t="s">
        <v>48</v>
      </c>
      <c r="H3998" s="17">
        <v>1</v>
      </c>
      <c r="K3998" t="s">
        <v>162</v>
      </c>
      <c r="L3998" t="s">
        <v>158</v>
      </c>
      <c r="M3998" t="s">
        <v>131</v>
      </c>
      <c r="N3998">
        <v>20</v>
      </c>
      <c r="O3998" t="s">
        <v>40</v>
      </c>
      <c r="P3998" t="s">
        <v>40</v>
      </c>
      <c r="Q3998" t="s">
        <v>40</v>
      </c>
      <c r="S3998" t="s">
        <v>40</v>
      </c>
      <c r="V3998" t="s">
        <v>41</v>
      </c>
      <c r="W3998" t="s">
        <v>42</v>
      </c>
      <c r="X3998" t="str">
        <f>"0580325"</f>
        <v>0580325</v>
      </c>
      <c r="Y3998" t="s">
        <v>170</v>
      </c>
      <c r="Z3998" t="s">
        <v>162</v>
      </c>
      <c r="AA3998" t="s">
        <v>158</v>
      </c>
      <c r="AB3998" t="s">
        <v>131</v>
      </c>
      <c r="AC3998" t="s">
        <v>165</v>
      </c>
      <c r="AD3998" t="s">
        <v>45</v>
      </c>
      <c r="AE3998" s="1">
        <v>24822</v>
      </c>
      <c r="AF3998">
        <v>2</v>
      </c>
      <c r="AG3998" t="s">
        <v>158</v>
      </c>
      <c r="AH3998" s="36">
        <f t="shared" si="62"/>
        <v>51.763888888888886</v>
      </c>
      <c r="AI3998" s="41" t="s">
        <v>1781</v>
      </c>
    </row>
    <row r="3999" spans="1:35" x14ac:dyDescent="0.25">
      <c r="A3999" s="36">
        <v>99913997</v>
      </c>
      <c r="B3999" s="17" t="s">
        <v>32</v>
      </c>
      <c r="C3999" t="s">
        <v>90</v>
      </c>
      <c r="D3999" t="s">
        <v>91</v>
      </c>
      <c r="G3999" s="17" t="s">
        <v>35</v>
      </c>
      <c r="H3999" s="17">
        <v>1</v>
      </c>
      <c r="K3999" t="s">
        <v>1564</v>
      </c>
      <c r="L3999" t="s">
        <v>1565</v>
      </c>
      <c r="M3999" t="s">
        <v>1548</v>
      </c>
      <c r="N3999">
        <v>23</v>
      </c>
      <c r="O3999" t="s">
        <v>40</v>
      </c>
      <c r="P3999" t="s">
        <v>40</v>
      </c>
      <c r="Q3999" t="s">
        <v>40</v>
      </c>
      <c r="S3999" t="s">
        <v>40</v>
      </c>
      <c r="V3999" t="s">
        <v>41</v>
      </c>
      <c r="W3999" t="s">
        <v>95</v>
      </c>
      <c r="X3999" t="str">
        <f>"7101001"</f>
        <v>7101001</v>
      </c>
      <c r="Y3999" t="s">
        <v>1577</v>
      </c>
      <c r="Z3999" t="s">
        <v>1564</v>
      </c>
      <c r="AA3999" t="s">
        <v>1565</v>
      </c>
      <c r="AB3999" t="s">
        <v>1548</v>
      </c>
      <c r="AC3999" t="s">
        <v>51</v>
      </c>
      <c r="AD3999" t="s">
        <v>45</v>
      </c>
      <c r="AE3999" s="1">
        <v>24821</v>
      </c>
      <c r="AF3999">
        <v>1</v>
      </c>
      <c r="AG3999" t="s">
        <v>1565</v>
      </c>
      <c r="AH3999" s="36">
        <f t="shared" si="62"/>
        <v>51.766666666666666</v>
      </c>
      <c r="AI3999" s="41" t="s">
        <v>1781</v>
      </c>
    </row>
    <row r="4000" spans="1:35" x14ac:dyDescent="0.25">
      <c r="A4000" s="36">
        <v>99913998</v>
      </c>
      <c r="B4000" s="17" t="s">
        <v>56</v>
      </c>
      <c r="C4000" t="s">
        <v>58</v>
      </c>
      <c r="D4000" t="s">
        <v>59</v>
      </c>
      <c r="G4000" s="17" t="s">
        <v>48</v>
      </c>
      <c r="H4000" s="17">
        <v>1</v>
      </c>
      <c r="K4000" t="s">
        <v>157</v>
      </c>
      <c r="L4000" t="s">
        <v>158</v>
      </c>
      <c r="M4000" t="s">
        <v>131</v>
      </c>
      <c r="N4000">
        <v>22</v>
      </c>
      <c r="O4000" t="s">
        <v>40</v>
      </c>
      <c r="P4000" t="s">
        <v>40</v>
      </c>
      <c r="Q4000" t="s">
        <v>40</v>
      </c>
      <c r="R4000" t="s">
        <v>40</v>
      </c>
      <c r="S4000" t="s">
        <v>40</v>
      </c>
      <c r="V4000" t="s">
        <v>41</v>
      </c>
      <c r="W4000" t="s">
        <v>42</v>
      </c>
      <c r="X4000" t="str">
        <f>"0580735"</f>
        <v>0580735</v>
      </c>
      <c r="Y4000" t="s">
        <v>180</v>
      </c>
      <c r="Z4000" t="s">
        <v>157</v>
      </c>
      <c r="AA4000" t="s">
        <v>158</v>
      </c>
      <c r="AB4000" t="s">
        <v>131</v>
      </c>
      <c r="AC4000" t="s">
        <v>51</v>
      </c>
      <c r="AD4000" t="s">
        <v>45</v>
      </c>
      <c r="AE4000" s="1">
        <v>24819</v>
      </c>
      <c r="AF4000">
        <v>2</v>
      </c>
      <c r="AG4000" t="s">
        <v>158</v>
      </c>
      <c r="AH4000" s="36">
        <f t="shared" si="62"/>
        <v>51.772222222222226</v>
      </c>
      <c r="AI4000" s="41" t="s">
        <v>1781</v>
      </c>
    </row>
    <row r="4001" spans="1:35" x14ac:dyDescent="0.25">
      <c r="A4001" s="36">
        <v>99913999</v>
      </c>
      <c r="B4001" s="17" t="s">
        <v>32</v>
      </c>
      <c r="C4001" t="s">
        <v>111</v>
      </c>
      <c r="D4001" t="s">
        <v>112</v>
      </c>
      <c r="G4001" s="17" t="s">
        <v>48</v>
      </c>
      <c r="H4001" s="17">
        <v>1</v>
      </c>
      <c r="K4001" t="s">
        <v>1198</v>
      </c>
      <c r="L4001" t="s">
        <v>1199</v>
      </c>
      <c r="M4001" t="s">
        <v>1130</v>
      </c>
      <c r="N4001">
        <v>23</v>
      </c>
      <c r="O4001" t="s">
        <v>40</v>
      </c>
      <c r="P4001" t="s">
        <v>40</v>
      </c>
      <c r="Q4001" t="s">
        <v>40</v>
      </c>
      <c r="S4001" t="s">
        <v>40</v>
      </c>
      <c r="V4001" t="s">
        <v>41</v>
      </c>
      <c r="W4001" t="s">
        <v>75</v>
      </c>
      <c r="X4001" t="str">
        <f>"7311006"</f>
        <v>7311006</v>
      </c>
      <c r="Y4001" t="s">
        <v>1200</v>
      </c>
      <c r="Z4001" t="s">
        <v>1198</v>
      </c>
      <c r="AA4001" t="s">
        <v>1199</v>
      </c>
      <c r="AB4001" t="s">
        <v>1130</v>
      </c>
      <c r="AC4001" t="s">
        <v>51</v>
      </c>
      <c r="AD4001" t="s">
        <v>45</v>
      </c>
      <c r="AE4001" s="1">
        <v>24818</v>
      </c>
      <c r="AF4001">
        <v>1</v>
      </c>
      <c r="AG4001" t="s">
        <v>1199</v>
      </c>
      <c r="AH4001" s="36">
        <f t="shared" si="62"/>
        <v>51.774999999999999</v>
      </c>
      <c r="AI4001" s="41" t="s">
        <v>1781</v>
      </c>
    </row>
    <row r="4002" spans="1:35" x14ac:dyDescent="0.25">
      <c r="A4002" s="36">
        <v>99914000</v>
      </c>
      <c r="B4002" s="17" t="s">
        <v>32</v>
      </c>
      <c r="C4002" t="s">
        <v>46</v>
      </c>
      <c r="D4002" t="s">
        <v>47</v>
      </c>
      <c r="G4002" s="17" t="s">
        <v>35</v>
      </c>
      <c r="H4002" s="17">
        <v>1</v>
      </c>
      <c r="K4002" t="s">
        <v>157</v>
      </c>
      <c r="L4002" t="s">
        <v>158</v>
      </c>
      <c r="M4002" t="s">
        <v>131</v>
      </c>
      <c r="N4002">
        <v>20</v>
      </c>
      <c r="O4002" t="s">
        <v>40</v>
      </c>
      <c r="P4002" t="s">
        <v>40</v>
      </c>
      <c r="Q4002" t="s">
        <v>40</v>
      </c>
      <c r="S4002" t="s">
        <v>40</v>
      </c>
      <c r="V4002" t="s">
        <v>41</v>
      </c>
      <c r="W4002" t="s">
        <v>42</v>
      </c>
      <c r="X4002" t="str">
        <f>"0580725"</f>
        <v>0580725</v>
      </c>
      <c r="Y4002" t="s">
        <v>167</v>
      </c>
      <c r="Z4002" t="s">
        <v>157</v>
      </c>
      <c r="AA4002" t="s">
        <v>158</v>
      </c>
      <c r="AB4002" t="s">
        <v>131</v>
      </c>
      <c r="AC4002" t="s">
        <v>51</v>
      </c>
      <c r="AD4002" t="s">
        <v>45</v>
      </c>
      <c r="AE4002" s="1">
        <v>24817</v>
      </c>
      <c r="AF4002">
        <v>2</v>
      </c>
      <c r="AG4002" t="s">
        <v>158</v>
      </c>
      <c r="AH4002" s="36">
        <f t="shared" si="62"/>
        <v>51.777777777777779</v>
      </c>
      <c r="AI4002" s="41" t="s">
        <v>1781</v>
      </c>
    </row>
    <row r="4003" spans="1:35" x14ac:dyDescent="0.25">
      <c r="A4003" s="36">
        <v>99914001</v>
      </c>
      <c r="B4003" s="17" t="s">
        <v>32</v>
      </c>
      <c r="C4003" t="s">
        <v>46</v>
      </c>
      <c r="D4003" t="s">
        <v>47</v>
      </c>
      <c r="G4003" s="17" t="s">
        <v>35</v>
      </c>
      <c r="H4003" s="17">
        <v>1</v>
      </c>
      <c r="I4003">
        <v>0</v>
      </c>
      <c r="J4003" s="1">
        <v>43344</v>
      </c>
      <c r="K4003" t="s">
        <v>223</v>
      </c>
      <c r="L4003" t="s">
        <v>224</v>
      </c>
      <c r="M4003" t="s">
        <v>131</v>
      </c>
      <c r="N4003">
        <v>18</v>
      </c>
      <c r="O4003" t="s">
        <v>40</v>
      </c>
      <c r="S4003" t="s">
        <v>40</v>
      </c>
      <c r="U4003" s="1">
        <v>43344</v>
      </c>
      <c r="V4003" t="s">
        <v>41</v>
      </c>
      <c r="W4003" t="s">
        <v>42</v>
      </c>
      <c r="X4003" t="str">
        <f>"0580207"</f>
        <v>0580207</v>
      </c>
      <c r="Y4003" t="s">
        <v>229</v>
      </c>
      <c r="Z4003" t="s">
        <v>223</v>
      </c>
      <c r="AA4003" t="s">
        <v>224</v>
      </c>
      <c r="AB4003" t="s">
        <v>131</v>
      </c>
      <c r="AC4003" t="s">
        <v>51</v>
      </c>
      <c r="AD4003" t="s">
        <v>45</v>
      </c>
      <c r="AE4003" s="1">
        <v>24816</v>
      </c>
      <c r="AF4003">
        <v>2</v>
      </c>
      <c r="AG4003" t="s">
        <v>224</v>
      </c>
      <c r="AH4003" s="36">
        <f t="shared" si="62"/>
        <v>51.780555555555559</v>
      </c>
      <c r="AI4003" s="41" t="s">
        <v>1781</v>
      </c>
    </row>
    <row r="4004" spans="1:35" x14ac:dyDescent="0.25">
      <c r="A4004" s="36">
        <v>99914002</v>
      </c>
      <c r="B4004" s="17" t="s">
        <v>32</v>
      </c>
      <c r="C4004" t="s">
        <v>52</v>
      </c>
      <c r="D4004" t="s">
        <v>53</v>
      </c>
      <c r="G4004" s="17" t="s">
        <v>48</v>
      </c>
      <c r="H4004" s="17">
        <v>1</v>
      </c>
      <c r="K4004" t="s">
        <v>223</v>
      </c>
      <c r="L4004" t="s">
        <v>224</v>
      </c>
      <c r="M4004" t="s">
        <v>131</v>
      </c>
      <c r="N4004">
        <v>19</v>
      </c>
      <c r="O4004" t="s">
        <v>40</v>
      </c>
      <c r="P4004" t="s">
        <v>40</v>
      </c>
      <c r="Q4004" t="s">
        <v>40</v>
      </c>
      <c r="R4004" t="s">
        <v>40</v>
      </c>
      <c r="S4004" t="s">
        <v>40</v>
      </c>
      <c r="V4004" t="s">
        <v>41</v>
      </c>
      <c r="W4004" t="s">
        <v>42</v>
      </c>
      <c r="X4004" t="str">
        <f>"0580206"</f>
        <v>0580206</v>
      </c>
      <c r="Y4004" t="s">
        <v>237</v>
      </c>
      <c r="Z4004" t="s">
        <v>223</v>
      </c>
      <c r="AA4004" t="s">
        <v>224</v>
      </c>
      <c r="AB4004" t="s">
        <v>131</v>
      </c>
      <c r="AC4004" t="s">
        <v>51</v>
      </c>
      <c r="AD4004" t="s">
        <v>45</v>
      </c>
      <c r="AE4004" s="1">
        <v>24816</v>
      </c>
      <c r="AF4004">
        <v>2</v>
      </c>
      <c r="AG4004" t="s">
        <v>224</v>
      </c>
      <c r="AH4004" s="36">
        <f t="shared" si="62"/>
        <v>51.780555555555559</v>
      </c>
      <c r="AI4004" s="41" t="s">
        <v>1781</v>
      </c>
    </row>
    <row r="4005" spans="1:35" x14ac:dyDescent="0.25">
      <c r="A4005" s="36">
        <v>99914003</v>
      </c>
      <c r="B4005" s="17" t="s">
        <v>56</v>
      </c>
      <c r="C4005" t="s">
        <v>68</v>
      </c>
      <c r="D4005" t="s">
        <v>69</v>
      </c>
      <c r="G4005" s="17" t="s">
        <v>48</v>
      </c>
      <c r="H4005" s="17">
        <v>1</v>
      </c>
      <c r="K4005" t="s">
        <v>345</v>
      </c>
      <c r="L4005" t="s">
        <v>346</v>
      </c>
      <c r="M4005" t="s">
        <v>131</v>
      </c>
      <c r="N4005">
        <v>20</v>
      </c>
      <c r="O4005" t="s">
        <v>40</v>
      </c>
      <c r="P4005" t="s">
        <v>40</v>
      </c>
      <c r="Q4005" t="s">
        <v>40</v>
      </c>
      <c r="R4005" t="s">
        <v>40</v>
      </c>
      <c r="S4005" t="s">
        <v>40</v>
      </c>
      <c r="V4005" t="s">
        <v>41</v>
      </c>
      <c r="W4005" t="s">
        <v>49</v>
      </c>
      <c r="X4005" t="str">
        <f>"0561021"</f>
        <v>0561021</v>
      </c>
      <c r="Y4005" t="s">
        <v>352</v>
      </c>
      <c r="Z4005" t="s">
        <v>345</v>
      </c>
      <c r="AA4005" t="s">
        <v>346</v>
      </c>
      <c r="AB4005" t="s">
        <v>131</v>
      </c>
      <c r="AC4005" t="s">
        <v>51</v>
      </c>
      <c r="AD4005" t="s">
        <v>45</v>
      </c>
      <c r="AE4005" s="1">
        <v>24815</v>
      </c>
      <c r="AF4005">
        <v>2</v>
      </c>
      <c r="AG4005" t="s">
        <v>346</v>
      </c>
      <c r="AH4005" s="36">
        <f t="shared" si="62"/>
        <v>51.783333333333331</v>
      </c>
      <c r="AI4005" s="41" t="s">
        <v>1781</v>
      </c>
    </row>
    <row r="4006" spans="1:35" x14ac:dyDescent="0.25">
      <c r="A4006" s="36">
        <v>99914004</v>
      </c>
      <c r="B4006" s="17" t="s">
        <v>32</v>
      </c>
      <c r="C4006" t="s">
        <v>46</v>
      </c>
      <c r="D4006" t="s">
        <v>47</v>
      </c>
      <c r="G4006" s="17" t="s">
        <v>35</v>
      </c>
      <c r="H4006" s="17">
        <v>1</v>
      </c>
      <c r="I4006">
        <v>0</v>
      </c>
      <c r="J4006" s="1">
        <v>43344</v>
      </c>
      <c r="K4006" t="s">
        <v>223</v>
      </c>
      <c r="L4006" t="s">
        <v>224</v>
      </c>
      <c r="M4006" t="s">
        <v>131</v>
      </c>
      <c r="N4006">
        <v>22</v>
      </c>
      <c r="O4006" t="s">
        <v>40</v>
      </c>
      <c r="P4006" t="s">
        <v>40</v>
      </c>
      <c r="Q4006" t="s">
        <v>40</v>
      </c>
      <c r="R4006" t="s">
        <v>40</v>
      </c>
      <c r="S4006" t="s">
        <v>40</v>
      </c>
      <c r="U4006" s="1">
        <v>43344</v>
      </c>
      <c r="V4006" t="s">
        <v>41</v>
      </c>
      <c r="W4006" t="s">
        <v>49</v>
      </c>
      <c r="X4006" t="str">
        <f>"0581207"</f>
        <v>0581207</v>
      </c>
      <c r="Y4006" t="s">
        <v>233</v>
      </c>
      <c r="Z4006" t="s">
        <v>223</v>
      </c>
      <c r="AA4006" t="s">
        <v>224</v>
      </c>
      <c r="AB4006" t="s">
        <v>131</v>
      </c>
      <c r="AC4006" t="s">
        <v>165</v>
      </c>
      <c r="AD4006" t="s">
        <v>45</v>
      </c>
      <c r="AE4006" s="1">
        <v>24813</v>
      </c>
      <c r="AF4006">
        <v>2</v>
      </c>
      <c r="AG4006" t="s">
        <v>224</v>
      </c>
      <c r="AH4006" s="36">
        <f t="shared" si="62"/>
        <v>51.788888888888891</v>
      </c>
      <c r="AI4006" s="41" t="s">
        <v>1781</v>
      </c>
    </row>
    <row r="4007" spans="1:35" x14ac:dyDescent="0.25">
      <c r="A4007" s="36">
        <v>99914005</v>
      </c>
      <c r="B4007" s="17" t="s">
        <v>56</v>
      </c>
      <c r="C4007" t="s">
        <v>52</v>
      </c>
      <c r="D4007" t="s">
        <v>53</v>
      </c>
      <c r="G4007" s="17" t="s">
        <v>35</v>
      </c>
      <c r="H4007" s="17">
        <v>1</v>
      </c>
      <c r="I4007">
        <v>0</v>
      </c>
      <c r="J4007" s="1">
        <v>43344</v>
      </c>
      <c r="K4007" t="s">
        <v>223</v>
      </c>
      <c r="L4007" t="s">
        <v>224</v>
      </c>
      <c r="M4007" t="s">
        <v>131</v>
      </c>
      <c r="N4007">
        <v>20</v>
      </c>
      <c r="O4007" t="s">
        <v>40</v>
      </c>
      <c r="S4007" t="s">
        <v>40</v>
      </c>
      <c r="U4007" s="1">
        <v>43344</v>
      </c>
      <c r="V4007" t="s">
        <v>41</v>
      </c>
      <c r="W4007" t="s">
        <v>42</v>
      </c>
      <c r="X4007" t="str">
        <f>"0580206"</f>
        <v>0580206</v>
      </c>
      <c r="Y4007" t="s">
        <v>237</v>
      </c>
      <c r="Z4007" t="s">
        <v>223</v>
      </c>
      <c r="AA4007" t="s">
        <v>224</v>
      </c>
      <c r="AB4007" t="s">
        <v>131</v>
      </c>
      <c r="AC4007" t="s">
        <v>51</v>
      </c>
      <c r="AD4007" t="s">
        <v>45</v>
      </c>
      <c r="AE4007" s="1">
        <v>24813</v>
      </c>
      <c r="AF4007">
        <v>2</v>
      </c>
      <c r="AG4007" t="s">
        <v>224</v>
      </c>
      <c r="AH4007" s="36">
        <f t="shared" si="62"/>
        <v>51.788888888888891</v>
      </c>
      <c r="AI4007" s="41" t="s">
        <v>1781</v>
      </c>
    </row>
    <row r="4008" spans="1:35" x14ac:dyDescent="0.25">
      <c r="A4008" s="36">
        <v>99914006</v>
      </c>
      <c r="B4008" s="17" t="s">
        <v>32</v>
      </c>
      <c r="C4008" t="s">
        <v>79</v>
      </c>
      <c r="D4008" t="s">
        <v>80</v>
      </c>
      <c r="G4008" s="17" t="s">
        <v>35</v>
      </c>
      <c r="H4008" s="17">
        <v>1</v>
      </c>
      <c r="K4008" t="s">
        <v>268</v>
      </c>
      <c r="L4008" t="s">
        <v>269</v>
      </c>
      <c r="M4008" t="s">
        <v>131</v>
      </c>
      <c r="N4008">
        <v>16</v>
      </c>
      <c r="O4008" t="s">
        <v>40</v>
      </c>
      <c r="P4008" t="s">
        <v>40</v>
      </c>
      <c r="Q4008" t="s">
        <v>40</v>
      </c>
      <c r="R4008" t="s">
        <v>40</v>
      </c>
      <c r="S4008" t="s">
        <v>40</v>
      </c>
      <c r="V4008" t="s">
        <v>41</v>
      </c>
      <c r="W4008" t="s">
        <v>75</v>
      </c>
      <c r="X4008" t="str">
        <f>"7052010"</f>
        <v>7052010</v>
      </c>
      <c r="Y4008" t="s">
        <v>615</v>
      </c>
      <c r="Z4008" t="s">
        <v>268</v>
      </c>
      <c r="AA4008" t="s">
        <v>269</v>
      </c>
      <c r="AB4008" t="s">
        <v>131</v>
      </c>
      <c r="AC4008" t="s">
        <v>51</v>
      </c>
      <c r="AD4008" t="s">
        <v>45</v>
      </c>
      <c r="AE4008" s="1">
        <v>24813</v>
      </c>
      <c r="AF4008">
        <v>1</v>
      </c>
      <c r="AG4008" t="s">
        <v>269</v>
      </c>
      <c r="AH4008" s="36">
        <f t="shared" si="62"/>
        <v>51.788888888888891</v>
      </c>
      <c r="AI4008" s="41" t="s">
        <v>1781</v>
      </c>
    </row>
    <row r="4009" spans="1:35" x14ac:dyDescent="0.25">
      <c r="A4009" s="36">
        <v>99914007</v>
      </c>
      <c r="B4009" s="17" t="s">
        <v>32</v>
      </c>
      <c r="C4009" t="s">
        <v>79</v>
      </c>
      <c r="D4009" t="s">
        <v>80</v>
      </c>
      <c r="G4009" s="17" t="s">
        <v>48</v>
      </c>
      <c r="H4009" s="17">
        <v>1</v>
      </c>
      <c r="K4009" t="s">
        <v>154</v>
      </c>
      <c r="L4009" t="s">
        <v>155</v>
      </c>
      <c r="M4009" t="s">
        <v>131</v>
      </c>
      <c r="N4009">
        <v>19</v>
      </c>
      <c r="O4009" t="s">
        <v>40</v>
      </c>
      <c r="P4009" t="s">
        <v>40</v>
      </c>
      <c r="Q4009" t="s">
        <v>40</v>
      </c>
      <c r="S4009" t="s">
        <v>40</v>
      </c>
      <c r="V4009" t="s">
        <v>41</v>
      </c>
      <c r="W4009" t="s">
        <v>75</v>
      </c>
      <c r="X4009" t="str">
        <f>"7051022"</f>
        <v>7051022</v>
      </c>
      <c r="Y4009" t="s">
        <v>153</v>
      </c>
      <c r="Z4009" t="s">
        <v>154</v>
      </c>
      <c r="AA4009" t="s">
        <v>155</v>
      </c>
      <c r="AB4009" t="s">
        <v>131</v>
      </c>
      <c r="AC4009" t="s">
        <v>51</v>
      </c>
      <c r="AD4009" t="s">
        <v>45</v>
      </c>
      <c r="AE4009" s="1">
        <v>24812</v>
      </c>
      <c r="AF4009">
        <v>1</v>
      </c>
      <c r="AG4009" t="s">
        <v>155</v>
      </c>
      <c r="AH4009" s="36">
        <f t="shared" si="62"/>
        <v>51.791666666666664</v>
      </c>
      <c r="AI4009" s="41" t="s">
        <v>1781</v>
      </c>
    </row>
    <row r="4010" spans="1:35" x14ac:dyDescent="0.25">
      <c r="A4010" s="36">
        <v>99914008</v>
      </c>
      <c r="B4010" s="17" t="s">
        <v>32</v>
      </c>
      <c r="C4010" t="s">
        <v>64</v>
      </c>
      <c r="D4010" t="s">
        <v>65</v>
      </c>
      <c r="G4010" s="17" t="s">
        <v>48</v>
      </c>
      <c r="H4010" s="17">
        <v>1</v>
      </c>
      <c r="K4010" t="s">
        <v>223</v>
      </c>
      <c r="L4010" t="s">
        <v>224</v>
      </c>
      <c r="M4010" t="s">
        <v>131</v>
      </c>
      <c r="N4010">
        <v>23</v>
      </c>
      <c r="O4010" t="s">
        <v>40</v>
      </c>
      <c r="P4010" t="s">
        <v>40</v>
      </c>
      <c r="Q4010" t="s">
        <v>40</v>
      </c>
      <c r="S4010" t="s">
        <v>40</v>
      </c>
      <c r="V4010" t="s">
        <v>41</v>
      </c>
      <c r="W4010" t="s">
        <v>49</v>
      </c>
      <c r="X4010" t="str">
        <f>"0581206"</f>
        <v>0581206</v>
      </c>
      <c r="Y4010" t="s">
        <v>232</v>
      </c>
      <c r="Z4010" t="s">
        <v>223</v>
      </c>
      <c r="AA4010" t="s">
        <v>224</v>
      </c>
      <c r="AB4010" t="s">
        <v>131</v>
      </c>
      <c r="AC4010" t="s">
        <v>51</v>
      </c>
      <c r="AD4010" t="s">
        <v>45</v>
      </c>
      <c r="AE4010" s="1">
        <v>24810</v>
      </c>
      <c r="AF4010">
        <v>2</v>
      </c>
      <c r="AG4010" t="s">
        <v>224</v>
      </c>
      <c r="AH4010" s="36">
        <f t="shared" si="62"/>
        <v>51.797222222222224</v>
      </c>
      <c r="AI4010" s="41" t="s">
        <v>1781</v>
      </c>
    </row>
    <row r="4011" spans="1:35" x14ac:dyDescent="0.25">
      <c r="A4011" s="36">
        <v>99914009</v>
      </c>
      <c r="B4011" s="17" t="s">
        <v>32</v>
      </c>
      <c r="C4011" t="s">
        <v>141</v>
      </c>
      <c r="D4011" t="s">
        <v>142</v>
      </c>
      <c r="G4011" s="17" t="s">
        <v>35</v>
      </c>
      <c r="H4011" s="17">
        <v>1</v>
      </c>
      <c r="K4011" t="s">
        <v>1581</v>
      </c>
      <c r="L4011" t="s">
        <v>1582</v>
      </c>
      <c r="M4011" t="s">
        <v>1548</v>
      </c>
      <c r="N4011">
        <v>7</v>
      </c>
      <c r="O4011" t="s">
        <v>40</v>
      </c>
      <c r="P4011" t="s">
        <v>40</v>
      </c>
      <c r="Q4011" t="s">
        <v>40</v>
      </c>
      <c r="R4011" t="s">
        <v>40</v>
      </c>
      <c r="S4011" t="s">
        <v>40</v>
      </c>
      <c r="V4011" t="s">
        <v>41</v>
      </c>
      <c r="W4011" t="s">
        <v>75</v>
      </c>
      <c r="X4011" t="str">
        <f>"7291000"</f>
        <v>7291000</v>
      </c>
      <c r="Y4011" t="s">
        <v>1584</v>
      </c>
      <c r="Z4011" t="s">
        <v>1581</v>
      </c>
      <c r="AA4011" t="s">
        <v>1582</v>
      </c>
      <c r="AB4011" t="s">
        <v>1548</v>
      </c>
      <c r="AC4011" t="s">
        <v>51</v>
      </c>
      <c r="AD4011" t="s">
        <v>45</v>
      </c>
      <c r="AE4011" s="1">
        <v>24808</v>
      </c>
      <c r="AF4011">
        <v>1</v>
      </c>
      <c r="AG4011" t="s">
        <v>1582</v>
      </c>
      <c r="AH4011" s="36">
        <f t="shared" si="62"/>
        <v>51.802777777777777</v>
      </c>
      <c r="AI4011" s="41" t="s">
        <v>1781</v>
      </c>
    </row>
    <row r="4012" spans="1:35" x14ac:dyDescent="0.25">
      <c r="A4012" s="36">
        <v>99914010</v>
      </c>
      <c r="B4012" s="17" t="s">
        <v>56</v>
      </c>
      <c r="C4012" t="s">
        <v>79</v>
      </c>
      <c r="D4012" t="s">
        <v>80</v>
      </c>
      <c r="G4012" s="17" t="s">
        <v>48</v>
      </c>
      <c r="H4012" s="17">
        <v>1</v>
      </c>
      <c r="K4012" t="s">
        <v>431</v>
      </c>
      <c r="L4012" t="s">
        <v>196</v>
      </c>
      <c r="M4012" t="s">
        <v>131</v>
      </c>
      <c r="N4012">
        <v>19</v>
      </c>
      <c r="O4012" t="s">
        <v>40</v>
      </c>
      <c r="P4012" t="s">
        <v>40</v>
      </c>
      <c r="Q4012" t="s">
        <v>40</v>
      </c>
      <c r="R4012" t="s">
        <v>40</v>
      </c>
      <c r="S4012" t="s">
        <v>40</v>
      </c>
      <c r="V4012" t="s">
        <v>41</v>
      </c>
      <c r="W4012" t="s">
        <v>75</v>
      </c>
      <c r="X4012" t="str">
        <f>"7521012"</f>
        <v>7521012</v>
      </c>
      <c r="Y4012" t="s">
        <v>432</v>
      </c>
      <c r="Z4012" t="s">
        <v>431</v>
      </c>
      <c r="AA4012" t="s">
        <v>196</v>
      </c>
      <c r="AB4012" t="s">
        <v>131</v>
      </c>
      <c r="AC4012" t="s">
        <v>51</v>
      </c>
      <c r="AD4012" t="s">
        <v>45</v>
      </c>
      <c r="AE4012" s="1">
        <v>24802</v>
      </c>
      <c r="AF4012">
        <v>1</v>
      </c>
      <c r="AG4012" t="s">
        <v>196</v>
      </c>
      <c r="AH4012" s="36">
        <f t="shared" si="62"/>
        <v>51.819444444444443</v>
      </c>
      <c r="AI4012" s="41" t="s">
        <v>1781</v>
      </c>
    </row>
    <row r="4013" spans="1:35" x14ac:dyDescent="0.25">
      <c r="A4013" s="36">
        <v>99914011</v>
      </c>
      <c r="B4013" s="17" t="s">
        <v>32</v>
      </c>
      <c r="C4013" t="s">
        <v>90</v>
      </c>
      <c r="D4013" t="s">
        <v>91</v>
      </c>
      <c r="G4013" s="17" t="s">
        <v>35</v>
      </c>
      <c r="H4013" s="17">
        <v>1</v>
      </c>
      <c r="I4013">
        <v>5876</v>
      </c>
      <c r="J4013" s="1">
        <v>43364</v>
      </c>
      <c r="K4013" t="s">
        <v>1029</v>
      </c>
      <c r="L4013" t="s">
        <v>1030</v>
      </c>
      <c r="M4013" t="s">
        <v>938</v>
      </c>
      <c r="N4013">
        <v>25</v>
      </c>
      <c r="O4013" t="s">
        <v>40</v>
      </c>
      <c r="S4013" t="s">
        <v>40</v>
      </c>
      <c r="U4013" s="1">
        <v>43364</v>
      </c>
      <c r="V4013" t="s">
        <v>41</v>
      </c>
      <c r="W4013" t="s">
        <v>95</v>
      </c>
      <c r="X4013" t="str">
        <f>"7151001"</f>
        <v>7151001</v>
      </c>
      <c r="Y4013" t="s">
        <v>1031</v>
      </c>
      <c r="Z4013" t="s">
        <v>1029</v>
      </c>
      <c r="AA4013" t="s">
        <v>1030</v>
      </c>
      <c r="AB4013" t="s">
        <v>938</v>
      </c>
      <c r="AC4013" t="s">
        <v>51</v>
      </c>
      <c r="AD4013" t="s">
        <v>45</v>
      </c>
      <c r="AE4013" s="1">
        <v>24799</v>
      </c>
      <c r="AF4013">
        <v>1</v>
      </c>
      <c r="AG4013" t="s">
        <v>1030</v>
      </c>
      <c r="AH4013" s="36">
        <f t="shared" si="62"/>
        <v>51.827777777777776</v>
      </c>
      <c r="AI4013" s="41" t="s">
        <v>1781</v>
      </c>
    </row>
    <row r="4014" spans="1:35" x14ac:dyDescent="0.25">
      <c r="A4014" s="36">
        <v>99914012</v>
      </c>
      <c r="B4014" s="17" t="s">
        <v>56</v>
      </c>
      <c r="C4014" t="s">
        <v>111</v>
      </c>
      <c r="D4014" t="s">
        <v>112</v>
      </c>
      <c r="G4014" s="17" t="s">
        <v>35</v>
      </c>
      <c r="H4014" s="17">
        <v>1</v>
      </c>
      <c r="K4014" t="s">
        <v>154</v>
      </c>
      <c r="L4014" t="s">
        <v>155</v>
      </c>
      <c r="M4014" t="s">
        <v>131</v>
      </c>
      <c r="N4014">
        <v>21</v>
      </c>
      <c r="O4014" t="s">
        <v>40</v>
      </c>
      <c r="P4014" t="s">
        <v>40</v>
      </c>
      <c r="Q4014" t="s">
        <v>40</v>
      </c>
      <c r="R4014" t="s">
        <v>40</v>
      </c>
      <c r="S4014" t="s">
        <v>40</v>
      </c>
      <c r="V4014" t="s">
        <v>41</v>
      </c>
      <c r="W4014" t="s">
        <v>75</v>
      </c>
      <c r="X4014" t="str">
        <f>"7051010"</f>
        <v>7051010</v>
      </c>
      <c r="Y4014" t="s">
        <v>403</v>
      </c>
      <c r="Z4014" t="s">
        <v>154</v>
      </c>
      <c r="AA4014" t="s">
        <v>155</v>
      </c>
      <c r="AB4014" t="s">
        <v>131</v>
      </c>
      <c r="AC4014" t="s">
        <v>51</v>
      </c>
      <c r="AD4014" t="s">
        <v>45</v>
      </c>
      <c r="AE4014" s="1">
        <v>24796</v>
      </c>
      <c r="AF4014">
        <v>1</v>
      </c>
      <c r="AG4014" t="s">
        <v>155</v>
      </c>
      <c r="AH4014" s="36">
        <f t="shared" si="62"/>
        <v>51.836111111111109</v>
      </c>
      <c r="AI4014" s="41" t="s">
        <v>1781</v>
      </c>
    </row>
    <row r="4015" spans="1:35" x14ac:dyDescent="0.25">
      <c r="A4015" s="36">
        <v>99914013</v>
      </c>
      <c r="B4015" s="17" t="s">
        <v>32</v>
      </c>
      <c r="C4015" t="s">
        <v>90</v>
      </c>
      <c r="D4015" t="s">
        <v>91</v>
      </c>
      <c r="G4015" s="17" t="s">
        <v>48</v>
      </c>
      <c r="H4015" s="17">
        <v>1</v>
      </c>
      <c r="K4015" t="s">
        <v>1725</v>
      </c>
      <c r="L4015" t="s">
        <v>1726</v>
      </c>
      <c r="M4015" t="s">
        <v>1705</v>
      </c>
      <c r="N4015">
        <v>25</v>
      </c>
      <c r="O4015" t="s">
        <v>40</v>
      </c>
      <c r="P4015" t="s">
        <v>40</v>
      </c>
      <c r="Q4015" t="s">
        <v>40</v>
      </c>
      <c r="S4015" t="s">
        <v>40</v>
      </c>
      <c r="V4015" t="s">
        <v>41</v>
      </c>
      <c r="W4015" t="s">
        <v>95</v>
      </c>
      <c r="X4015" t="str">
        <f>"7461005"</f>
        <v>7461005</v>
      </c>
      <c r="Y4015" t="s">
        <v>1741</v>
      </c>
      <c r="Z4015" t="s">
        <v>1725</v>
      </c>
      <c r="AA4015" t="s">
        <v>1726</v>
      </c>
      <c r="AB4015" t="s">
        <v>1705</v>
      </c>
      <c r="AC4015" t="s">
        <v>51</v>
      </c>
      <c r="AD4015" t="s">
        <v>45</v>
      </c>
      <c r="AE4015" s="1">
        <v>24794</v>
      </c>
      <c r="AF4015">
        <v>1</v>
      </c>
      <c r="AG4015" t="s">
        <v>1726</v>
      </c>
      <c r="AH4015" s="36">
        <f t="shared" si="62"/>
        <v>51.841666666666669</v>
      </c>
      <c r="AI4015" s="41" t="s">
        <v>1781</v>
      </c>
    </row>
    <row r="4016" spans="1:35" x14ac:dyDescent="0.25">
      <c r="A4016" s="36">
        <v>99914014</v>
      </c>
      <c r="B4016" s="17" t="s">
        <v>56</v>
      </c>
      <c r="C4016" t="s">
        <v>79</v>
      </c>
      <c r="D4016" t="s">
        <v>80</v>
      </c>
      <c r="G4016" s="17" t="s">
        <v>48</v>
      </c>
      <c r="H4016" s="17">
        <v>1</v>
      </c>
      <c r="K4016" t="s">
        <v>1502</v>
      </c>
      <c r="L4016" t="s">
        <v>1503</v>
      </c>
      <c r="M4016" t="s">
        <v>670</v>
      </c>
      <c r="N4016">
        <v>18</v>
      </c>
      <c r="O4016" t="s">
        <v>40</v>
      </c>
      <c r="P4016" t="s">
        <v>40</v>
      </c>
      <c r="Q4016" t="s">
        <v>40</v>
      </c>
      <c r="S4016" t="s">
        <v>40</v>
      </c>
      <c r="V4016" t="s">
        <v>41</v>
      </c>
      <c r="W4016" t="s">
        <v>75</v>
      </c>
      <c r="X4016" t="str">
        <f>"7171000"</f>
        <v>7171000</v>
      </c>
      <c r="Y4016" t="s">
        <v>1506</v>
      </c>
      <c r="Z4016" t="s">
        <v>1502</v>
      </c>
      <c r="AA4016" t="s">
        <v>1503</v>
      </c>
      <c r="AB4016" t="s">
        <v>670</v>
      </c>
      <c r="AC4016" t="s">
        <v>51</v>
      </c>
      <c r="AD4016" t="s">
        <v>45</v>
      </c>
      <c r="AE4016" s="1">
        <v>24790</v>
      </c>
      <c r="AF4016">
        <v>1</v>
      </c>
      <c r="AG4016" t="s">
        <v>1503</v>
      </c>
      <c r="AH4016" s="36">
        <f t="shared" si="62"/>
        <v>51.852777777777774</v>
      </c>
      <c r="AI4016" s="41" t="s">
        <v>1781</v>
      </c>
    </row>
    <row r="4017" spans="1:35" x14ac:dyDescent="0.25">
      <c r="A4017" s="36">
        <v>99914015</v>
      </c>
      <c r="B4017" s="17" t="s">
        <v>56</v>
      </c>
      <c r="C4017" t="s">
        <v>52</v>
      </c>
      <c r="D4017" t="s">
        <v>53</v>
      </c>
      <c r="G4017" s="17" t="s">
        <v>35</v>
      </c>
      <c r="H4017" s="17">
        <v>1</v>
      </c>
      <c r="I4017">
        <v>0</v>
      </c>
      <c r="J4017" s="1">
        <v>43344</v>
      </c>
      <c r="K4017" t="s">
        <v>223</v>
      </c>
      <c r="L4017" t="s">
        <v>224</v>
      </c>
      <c r="M4017" t="s">
        <v>131</v>
      </c>
      <c r="N4017">
        <v>20</v>
      </c>
      <c r="O4017" t="s">
        <v>40</v>
      </c>
      <c r="S4017" t="s">
        <v>40</v>
      </c>
      <c r="U4017" s="1">
        <v>43344</v>
      </c>
      <c r="V4017" t="s">
        <v>41</v>
      </c>
      <c r="W4017" t="s">
        <v>42</v>
      </c>
      <c r="X4017" t="str">
        <f>"0580206"</f>
        <v>0580206</v>
      </c>
      <c r="Y4017" t="s">
        <v>237</v>
      </c>
      <c r="Z4017" t="s">
        <v>223</v>
      </c>
      <c r="AA4017" t="s">
        <v>224</v>
      </c>
      <c r="AB4017" t="s">
        <v>131</v>
      </c>
      <c r="AC4017" t="s">
        <v>51</v>
      </c>
      <c r="AD4017" t="s">
        <v>45</v>
      </c>
      <c r="AE4017" s="1">
        <v>24789</v>
      </c>
      <c r="AF4017">
        <v>2</v>
      </c>
      <c r="AG4017" t="s">
        <v>224</v>
      </c>
      <c r="AH4017" s="36">
        <f t="shared" si="62"/>
        <v>51.855555555555554</v>
      </c>
      <c r="AI4017" s="41" t="s">
        <v>1781</v>
      </c>
    </row>
    <row r="4018" spans="1:35" x14ac:dyDescent="0.25">
      <c r="A4018" s="36">
        <v>99914016</v>
      </c>
      <c r="B4018" s="17" t="s">
        <v>32</v>
      </c>
      <c r="C4018" t="s">
        <v>139</v>
      </c>
      <c r="D4018" t="s">
        <v>140</v>
      </c>
      <c r="G4018" s="17" t="s">
        <v>88</v>
      </c>
      <c r="H4018" s="17">
        <v>2</v>
      </c>
      <c r="I4018" t="s">
        <v>433</v>
      </c>
      <c r="J4018" s="1">
        <v>40422</v>
      </c>
      <c r="K4018" t="s">
        <v>431</v>
      </c>
      <c r="L4018" t="s">
        <v>196</v>
      </c>
      <c r="M4018" t="s">
        <v>131</v>
      </c>
      <c r="N4018">
        <v>8</v>
      </c>
      <c r="O4018" t="s">
        <v>40</v>
      </c>
      <c r="P4018" t="s">
        <v>40</v>
      </c>
      <c r="Q4018" t="s">
        <v>40</v>
      </c>
      <c r="R4018" t="s">
        <v>40</v>
      </c>
      <c r="S4018" t="s">
        <v>40</v>
      </c>
      <c r="U4018" s="1">
        <v>40422</v>
      </c>
      <c r="V4018" t="s">
        <v>41</v>
      </c>
      <c r="W4018" t="s">
        <v>75</v>
      </c>
      <c r="X4018" t="str">
        <f>"7521012"</f>
        <v>7521012</v>
      </c>
      <c r="Y4018" t="s">
        <v>432</v>
      </c>
      <c r="Z4018" t="s">
        <v>431</v>
      </c>
      <c r="AA4018" t="s">
        <v>196</v>
      </c>
      <c r="AB4018" t="s">
        <v>131</v>
      </c>
      <c r="AC4018" t="s">
        <v>165</v>
      </c>
      <c r="AD4018" t="s">
        <v>45</v>
      </c>
      <c r="AE4018" s="1">
        <v>24783</v>
      </c>
      <c r="AF4018">
        <v>1</v>
      </c>
      <c r="AG4018" t="s">
        <v>196</v>
      </c>
      <c r="AH4018" s="36">
        <f t="shared" si="62"/>
        <v>51.87222222222222</v>
      </c>
      <c r="AI4018" s="41" t="s">
        <v>1781</v>
      </c>
    </row>
    <row r="4019" spans="1:35" x14ac:dyDescent="0.25">
      <c r="A4019" s="36">
        <v>99914017</v>
      </c>
      <c r="B4019" s="17" t="s">
        <v>32</v>
      </c>
      <c r="C4019" t="s">
        <v>111</v>
      </c>
      <c r="D4019" t="s">
        <v>112</v>
      </c>
      <c r="G4019" s="17" t="s">
        <v>35</v>
      </c>
      <c r="H4019" s="17">
        <v>1</v>
      </c>
      <c r="K4019" t="s">
        <v>154</v>
      </c>
      <c r="L4019" t="s">
        <v>155</v>
      </c>
      <c r="M4019" t="s">
        <v>131</v>
      </c>
      <c r="N4019">
        <v>12</v>
      </c>
      <c r="O4019" t="s">
        <v>40</v>
      </c>
      <c r="P4019" t="s">
        <v>40</v>
      </c>
      <c r="Q4019" t="s">
        <v>40</v>
      </c>
      <c r="S4019" t="s">
        <v>40</v>
      </c>
      <c r="V4019" t="s">
        <v>41</v>
      </c>
      <c r="W4019" t="s">
        <v>75</v>
      </c>
      <c r="X4019" t="str">
        <f>"7051032"</f>
        <v>7051032</v>
      </c>
      <c r="Y4019" t="s">
        <v>400</v>
      </c>
      <c r="Z4019" t="s">
        <v>154</v>
      </c>
      <c r="AA4019" t="s">
        <v>155</v>
      </c>
      <c r="AB4019" t="s">
        <v>131</v>
      </c>
      <c r="AC4019" t="s">
        <v>51</v>
      </c>
      <c r="AD4019" t="s">
        <v>45</v>
      </c>
      <c r="AE4019" s="1">
        <v>24780</v>
      </c>
      <c r="AF4019">
        <v>1</v>
      </c>
      <c r="AG4019" t="s">
        <v>155</v>
      </c>
      <c r="AH4019" s="36">
        <f t="shared" si="62"/>
        <v>51.880555555555553</v>
      </c>
      <c r="AI4019" s="41" t="s">
        <v>1781</v>
      </c>
    </row>
    <row r="4020" spans="1:35" x14ac:dyDescent="0.25">
      <c r="A4020" s="36">
        <v>99914018</v>
      </c>
      <c r="B4020" s="17" t="s">
        <v>32</v>
      </c>
      <c r="C4020" t="s">
        <v>64</v>
      </c>
      <c r="D4020" t="s">
        <v>65</v>
      </c>
      <c r="G4020" s="17" t="s">
        <v>48</v>
      </c>
      <c r="H4020" s="17">
        <v>1</v>
      </c>
      <c r="K4020" t="s">
        <v>162</v>
      </c>
      <c r="L4020" t="s">
        <v>158</v>
      </c>
      <c r="M4020" t="s">
        <v>131</v>
      </c>
      <c r="N4020">
        <v>2</v>
      </c>
      <c r="O4020" t="s">
        <v>40</v>
      </c>
      <c r="P4020" t="s">
        <v>40</v>
      </c>
      <c r="Q4020" t="s">
        <v>40</v>
      </c>
      <c r="S4020" t="s">
        <v>40</v>
      </c>
      <c r="V4020" t="s">
        <v>41</v>
      </c>
      <c r="W4020" t="s">
        <v>49</v>
      </c>
      <c r="X4020" t="str">
        <f>"0560027"</f>
        <v>0560027</v>
      </c>
      <c r="Y4020" t="s">
        <v>178</v>
      </c>
      <c r="Z4020" t="s">
        <v>162</v>
      </c>
      <c r="AA4020" t="s">
        <v>158</v>
      </c>
      <c r="AB4020" t="s">
        <v>131</v>
      </c>
      <c r="AC4020" t="s">
        <v>51</v>
      </c>
      <c r="AD4020" t="s">
        <v>45</v>
      </c>
      <c r="AE4020" s="1">
        <v>24778</v>
      </c>
      <c r="AF4020">
        <v>2</v>
      </c>
      <c r="AG4020" t="s">
        <v>158</v>
      </c>
      <c r="AH4020" s="36">
        <f t="shared" si="62"/>
        <v>51.886111111111113</v>
      </c>
      <c r="AI4020" s="41" t="s">
        <v>1781</v>
      </c>
    </row>
    <row r="4021" spans="1:35" x14ac:dyDescent="0.25">
      <c r="A4021" s="36">
        <v>99914019</v>
      </c>
      <c r="B4021" s="17" t="s">
        <v>56</v>
      </c>
      <c r="C4021" t="s">
        <v>79</v>
      </c>
      <c r="D4021" t="s">
        <v>80</v>
      </c>
      <c r="G4021" s="17" t="s">
        <v>48</v>
      </c>
      <c r="H4021" s="17">
        <v>1</v>
      </c>
      <c r="K4021" t="s">
        <v>223</v>
      </c>
      <c r="L4021" t="s">
        <v>224</v>
      </c>
      <c r="M4021" t="s">
        <v>131</v>
      </c>
      <c r="N4021">
        <v>18</v>
      </c>
      <c r="O4021" t="s">
        <v>40</v>
      </c>
      <c r="P4021" t="s">
        <v>40</v>
      </c>
      <c r="Q4021" t="s">
        <v>40</v>
      </c>
      <c r="R4021" t="s">
        <v>40</v>
      </c>
      <c r="S4021" t="s">
        <v>40</v>
      </c>
      <c r="V4021" t="s">
        <v>41</v>
      </c>
      <c r="W4021" t="s">
        <v>49</v>
      </c>
      <c r="X4021" t="str">
        <f>"0581200"</f>
        <v>0581200</v>
      </c>
      <c r="Y4021" t="s">
        <v>238</v>
      </c>
      <c r="Z4021" t="s">
        <v>223</v>
      </c>
      <c r="AA4021" t="s">
        <v>224</v>
      </c>
      <c r="AB4021" t="s">
        <v>131</v>
      </c>
      <c r="AC4021" t="s">
        <v>51</v>
      </c>
      <c r="AD4021" t="s">
        <v>45</v>
      </c>
      <c r="AE4021" s="1">
        <v>24778</v>
      </c>
      <c r="AF4021">
        <v>2</v>
      </c>
      <c r="AG4021" t="s">
        <v>224</v>
      </c>
      <c r="AH4021" s="36">
        <f t="shared" si="62"/>
        <v>51.886111111111113</v>
      </c>
      <c r="AI4021" s="41" t="s">
        <v>1781</v>
      </c>
    </row>
    <row r="4022" spans="1:35" x14ac:dyDescent="0.25">
      <c r="A4022" s="36">
        <v>99914020</v>
      </c>
      <c r="B4022" s="17" t="s">
        <v>32</v>
      </c>
      <c r="C4022" t="s">
        <v>46</v>
      </c>
      <c r="D4022" t="s">
        <v>47</v>
      </c>
      <c r="G4022" s="17" t="s">
        <v>48</v>
      </c>
      <c r="H4022" s="17">
        <v>1</v>
      </c>
      <c r="K4022" t="s">
        <v>345</v>
      </c>
      <c r="L4022" t="s">
        <v>346</v>
      </c>
      <c r="M4022" t="s">
        <v>131</v>
      </c>
      <c r="N4022">
        <v>14</v>
      </c>
      <c r="O4022" t="s">
        <v>40</v>
      </c>
      <c r="P4022" t="s">
        <v>40</v>
      </c>
      <c r="Q4022" t="s">
        <v>40</v>
      </c>
      <c r="R4022" t="s">
        <v>40</v>
      </c>
      <c r="S4022" t="s">
        <v>40</v>
      </c>
      <c r="V4022" t="s">
        <v>41</v>
      </c>
      <c r="W4022" t="s">
        <v>49</v>
      </c>
      <c r="X4022" t="str">
        <f>"0561021"</f>
        <v>0561021</v>
      </c>
      <c r="Y4022" t="s">
        <v>352</v>
      </c>
      <c r="Z4022" t="s">
        <v>345</v>
      </c>
      <c r="AA4022" t="s">
        <v>346</v>
      </c>
      <c r="AB4022" t="s">
        <v>131</v>
      </c>
      <c r="AC4022" t="s">
        <v>51</v>
      </c>
      <c r="AD4022" t="s">
        <v>45</v>
      </c>
      <c r="AE4022" s="1">
        <v>24777</v>
      </c>
      <c r="AF4022">
        <v>2</v>
      </c>
      <c r="AG4022" t="s">
        <v>346</v>
      </c>
      <c r="AH4022" s="36">
        <f t="shared" si="62"/>
        <v>51.888888888888886</v>
      </c>
      <c r="AI4022" s="41" t="s">
        <v>1781</v>
      </c>
    </row>
    <row r="4023" spans="1:35" x14ac:dyDescent="0.25">
      <c r="A4023" s="36">
        <v>99914021</v>
      </c>
      <c r="B4023" s="17" t="s">
        <v>32</v>
      </c>
      <c r="C4023" t="s">
        <v>85</v>
      </c>
      <c r="D4023" t="s">
        <v>86</v>
      </c>
      <c r="G4023" s="17" t="s">
        <v>48</v>
      </c>
      <c r="H4023" s="17">
        <v>1</v>
      </c>
      <c r="K4023" t="s">
        <v>1613</v>
      </c>
      <c r="L4023" t="s">
        <v>1614</v>
      </c>
      <c r="M4023" t="s">
        <v>1592</v>
      </c>
      <c r="N4023">
        <v>19</v>
      </c>
      <c r="O4023" t="s">
        <v>40</v>
      </c>
      <c r="P4023" t="s">
        <v>40</v>
      </c>
      <c r="Q4023" t="s">
        <v>40</v>
      </c>
      <c r="R4023" t="s">
        <v>40</v>
      </c>
      <c r="S4023" t="s">
        <v>40</v>
      </c>
      <c r="V4023" t="s">
        <v>41</v>
      </c>
      <c r="W4023" t="s">
        <v>42</v>
      </c>
      <c r="X4023" t="str">
        <f>"2880010"</f>
        <v>2880010</v>
      </c>
      <c r="Y4023" t="s">
        <v>1623</v>
      </c>
      <c r="Z4023" t="s">
        <v>1613</v>
      </c>
      <c r="AA4023" t="s">
        <v>1614</v>
      </c>
      <c r="AB4023" t="s">
        <v>1592</v>
      </c>
      <c r="AC4023" t="s">
        <v>51</v>
      </c>
      <c r="AD4023" t="s">
        <v>45</v>
      </c>
      <c r="AE4023" s="1">
        <v>24772</v>
      </c>
      <c r="AF4023">
        <v>2</v>
      </c>
      <c r="AG4023" t="s">
        <v>1614</v>
      </c>
      <c r="AH4023" s="36">
        <f t="shared" si="62"/>
        <v>51.902777777777779</v>
      </c>
      <c r="AI4023" s="41" t="s">
        <v>1781</v>
      </c>
    </row>
    <row r="4024" spans="1:35" x14ac:dyDescent="0.25">
      <c r="A4024" s="36">
        <v>99914022</v>
      </c>
      <c r="B4024" s="17" t="s">
        <v>32</v>
      </c>
      <c r="C4024" t="s">
        <v>64</v>
      </c>
      <c r="D4024" t="s">
        <v>65</v>
      </c>
      <c r="G4024" s="17" t="s">
        <v>48</v>
      </c>
      <c r="H4024" s="17">
        <v>1</v>
      </c>
      <c r="K4024" t="s">
        <v>223</v>
      </c>
      <c r="L4024" t="s">
        <v>224</v>
      </c>
      <c r="M4024" t="s">
        <v>131</v>
      </c>
      <c r="N4024">
        <v>30</v>
      </c>
      <c r="O4024" t="s">
        <v>40</v>
      </c>
      <c r="P4024" t="s">
        <v>40</v>
      </c>
      <c r="Q4024" t="s">
        <v>40</v>
      </c>
      <c r="R4024" t="s">
        <v>40</v>
      </c>
      <c r="S4024" t="s">
        <v>40</v>
      </c>
      <c r="V4024" t="s">
        <v>41</v>
      </c>
      <c r="W4024" t="s">
        <v>42</v>
      </c>
      <c r="X4024" t="str">
        <f>"0580200"</f>
        <v>0580200</v>
      </c>
      <c r="Y4024" t="s">
        <v>245</v>
      </c>
      <c r="Z4024" t="s">
        <v>223</v>
      </c>
      <c r="AA4024" t="s">
        <v>224</v>
      </c>
      <c r="AB4024" t="s">
        <v>131</v>
      </c>
      <c r="AC4024" t="s">
        <v>51</v>
      </c>
      <c r="AD4024" t="s">
        <v>45</v>
      </c>
      <c r="AE4024" s="1">
        <v>24771</v>
      </c>
      <c r="AF4024">
        <v>2</v>
      </c>
      <c r="AG4024" t="s">
        <v>224</v>
      </c>
      <c r="AH4024" s="36">
        <f t="shared" si="62"/>
        <v>51.905555555555559</v>
      </c>
      <c r="AI4024" s="41" t="s">
        <v>1781</v>
      </c>
    </row>
    <row r="4025" spans="1:35" x14ac:dyDescent="0.25">
      <c r="A4025" s="36">
        <v>99914023</v>
      </c>
      <c r="B4025" s="17" t="s">
        <v>32</v>
      </c>
      <c r="C4025" t="s">
        <v>90</v>
      </c>
      <c r="D4025" t="s">
        <v>91</v>
      </c>
      <c r="G4025" s="17" t="s">
        <v>35</v>
      </c>
      <c r="H4025" s="17">
        <v>1</v>
      </c>
      <c r="I4025">
        <v>10603</v>
      </c>
      <c r="J4025" s="1">
        <v>43344</v>
      </c>
      <c r="K4025" t="s">
        <v>354</v>
      </c>
      <c r="L4025" t="s">
        <v>355</v>
      </c>
      <c r="M4025" t="s">
        <v>131</v>
      </c>
      <c r="N4025">
        <v>25</v>
      </c>
      <c r="O4025" t="s">
        <v>40</v>
      </c>
      <c r="P4025" t="s">
        <v>40</v>
      </c>
      <c r="Q4025" t="s">
        <v>40</v>
      </c>
      <c r="S4025" t="s">
        <v>40</v>
      </c>
      <c r="U4025" s="1">
        <v>43344</v>
      </c>
      <c r="V4025" t="s">
        <v>41</v>
      </c>
      <c r="W4025" t="s">
        <v>95</v>
      </c>
      <c r="X4025" t="str">
        <f>"7054025"</f>
        <v>7054025</v>
      </c>
      <c r="Y4025" t="s">
        <v>794</v>
      </c>
      <c r="Z4025" t="s">
        <v>354</v>
      </c>
      <c r="AA4025" t="s">
        <v>355</v>
      </c>
      <c r="AB4025" t="s">
        <v>131</v>
      </c>
      <c r="AC4025" t="s">
        <v>44</v>
      </c>
      <c r="AD4025" t="s">
        <v>45</v>
      </c>
      <c r="AE4025" s="1">
        <v>24769</v>
      </c>
      <c r="AF4025">
        <v>1</v>
      </c>
      <c r="AG4025" t="s">
        <v>355</v>
      </c>
      <c r="AH4025" s="36">
        <f t="shared" si="62"/>
        <v>51.911111111111111</v>
      </c>
      <c r="AI4025" s="41" t="s">
        <v>1781</v>
      </c>
    </row>
    <row r="4026" spans="1:35" x14ac:dyDescent="0.25">
      <c r="A4026" s="36">
        <v>99914024</v>
      </c>
      <c r="B4026" s="17" t="s">
        <v>56</v>
      </c>
      <c r="C4026" t="s">
        <v>79</v>
      </c>
      <c r="D4026" t="s">
        <v>80</v>
      </c>
      <c r="G4026" s="17" t="s">
        <v>48</v>
      </c>
      <c r="H4026" s="17">
        <v>1</v>
      </c>
      <c r="K4026" t="s">
        <v>129</v>
      </c>
      <c r="L4026" t="s">
        <v>130</v>
      </c>
      <c r="M4026" t="s">
        <v>131</v>
      </c>
      <c r="N4026">
        <v>20</v>
      </c>
      <c r="O4026" t="s">
        <v>40</v>
      </c>
      <c r="P4026" t="s">
        <v>40</v>
      </c>
      <c r="Q4026" t="s">
        <v>40</v>
      </c>
      <c r="R4026" t="s">
        <v>40</v>
      </c>
      <c r="S4026" t="s">
        <v>40</v>
      </c>
      <c r="V4026" t="s">
        <v>41</v>
      </c>
      <c r="W4026" t="s">
        <v>49</v>
      </c>
      <c r="X4026" t="str">
        <f>"0591905"</f>
        <v>0591905</v>
      </c>
      <c r="Y4026" t="s">
        <v>135</v>
      </c>
      <c r="Z4026" t="s">
        <v>129</v>
      </c>
      <c r="AA4026" t="s">
        <v>130</v>
      </c>
      <c r="AB4026" t="s">
        <v>131</v>
      </c>
      <c r="AC4026" t="s">
        <v>51</v>
      </c>
      <c r="AD4026" t="s">
        <v>45</v>
      </c>
      <c r="AE4026" s="1">
        <v>24766</v>
      </c>
      <c r="AF4026">
        <v>2</v>
      </c>
      <c r="AG4026" t="s">
        <v>130</v>
      </c>
      <c r="AH4026" s="36">
        <f t="shared" si="62"/>
        <v>51.919444444444444</v>
      </c>
      <c r="AI4026" s="41" t="s">
        <v>1781</v>
      </c>
    </row>
    <row r="4027" spans="1:35" x14ac:dyDescent="0.25">
      <c r="A4027" s="36">
        <v>99914025</v>
      </c>
      <c r="B4027" s="17" t="s">
        <v>32</v>
      </c>
      <c r="C4027" t="s">
        <v>85</v>
      </c>
      <c r="D4027" t="s">
        <v>86</v>
      </c>
      <c r="G4027" s="17" t="s">
        <v>48</v>
      </c>
      <c r="H4027" s="17">
        <v>1</v>
      </c>
      <c r="K4027" t="s">
        <v>1496</v>
      </c>
      <c r="L4027" t="s">
        <v>1497</v>
      </c>
      <c r="M4027" t="s">
        <v>670</v>
      </c>
      <c r="N4027">
        <v>20</v>
      </c>
      <c r="O4027" t="s">
        <v>40</v>
      </c>
      <c r="P4027" t="s">
        <v>40</v>
      </c>
      <c r="Q4027" t="s">
        <v>40</v>
      </c>
      <c r="R4027" t="s">
        <v>40</v>
      </c>
      <c r="S4027" t="s">
        <v>40</v>
      </c>
      <c r="V4027" t="s">
        <v>41</v>
      </c>
      <c r="W4027" t="s">
        <v>49</v>
      </c>
      <c r="X4027" t="str">
        <f>"5060001"</f>
        <v>5060001</v>
      </c>
      <c r="Y4027" t="s">
        <v>1499</v>
      </c>
      <c r="Z4027" t="s">
        <v>1496</v>
      </c>
      <c r="AA4027" t="s">
        <v>1497</v>
      </c>
      <c r="AB4027" t="s">
        <v>670</v>
      </c>
      <c r="AC4027" t="s">
        <v>51</v>
      </c>
      <c r="AD4027" t="s">
        <v>45</v>
      </c>
      <c r="AE4027" s="1">
        <v>24765</v>
      </c>
      <c r="AF4027">
        <v>2</v>
      </c>
      <c r="AG4027" t="s">
        <v>1497</v>
      </c>
      <c r="AH4027" s="36">
        <f t="shared" si="62"/>
        <v>51.922222222222224</v>
      </c>
      <c r="AI4027" s="41" t="s">
        <v>1781</v>
      </c>
    </row>
    <row r="4028" spans="1:35" x14ac:dyDescent="0.25">
      <c r="A4028" s="36">
        <v>99914026</v>
      </c>
      <c r="B4028" s="17" t="s">
        <v>32</v>
      </c>
      <c r="C4028" t="s">
        <v>46</v>
      </c>
      <c r="D4028" t="s">
        <v>47</v>
      </c>
      <c r="G4028" s="17" t="s">
        <v>35</v>
      </c>
      <c r="H4028" s="17">
        <v>1</v>
      </c>
      <c r="I4028">
        <v>21085</v>
      </c>
      <c r="J4028" s="1">
        <v>43005</v>
      </c>
      <c r="K4028" t="s">
        <v>380</v>
      </c>
      <c r="L4028" t="s">
        <v>381</v>
      </c>
      <c r="M4028" t="s">
        <v>131</v>
      </c>
      <c r="N4028">
        <v>23</v>
      </c>
      <c r="O4028" t="s">
        <v>40</v>
      </c>
      <c r="P4028" t="s">
        <v>40</v>
      </c>
      <c r="Q4028" t="s">
        <v>40</v>
      </c>
      <c r="R4028" t="s">
        <v>40</v>
      </c>
      <c r="S4028" t="s">
        <v>40</v>
      </c>
      <c r="U4028" s="1">
        <v>43005</v>
      </c>
      <c r="V4028" t="s">
        <v>41</v>
      </c>
      <c r="W4028" t="s">
        <v>42</v>
      </c>
      <c r="X4028" t="str">
        <f>"0561016"</f>
        <v>0561016</v>
      </c>
      <c r="Y4028" t="s">
        <v>389</v>
      </c>
      <c r="Z4028" t="s">
        <v>380</v>
      </c>
      <c r="AA4028" t="s">
        <v>381</v>
      </c>
      <c r="AB4028" t="s">
        <v>131</v>
      </c>
      <c r="AC4028" t="s">
        <v>44</v>
      </c>
      <c r="AD4028" t="s">
        <v>45</v>
      </c>
      <c r="AE4028" s="1">
        <v>24762</v>
      </c>
      <c r="AF4028">
        <v>2</v>
      </c>
      <c r="AG4028" t="s">
        <v>381</v>
      </c>
      <c r="AH4028" s="36">
        <f t="shared" si="62"/>
        <v>51.930555555555557</v>
      </c>
      <c r="AI4028" s="41" t="s">
        <v>1781</v>
      </c>
    </row>
    <row r="4029" spans="1:35" x14ac:dyDescent="0.25">
      <c r="A4029" s="36">
        <v>99914027</v>
      </c>
      <c r="B4029" s="17" t="s">
        <v>56</v>
      </c>
      <c r="C4029" t="s">
        <v>111</v>
      </c>
      <c r="D4029" t="s">
        <v>112</v>
      </c>
      <c r="G4029" s="17" t="s">
        <v>35</v>
      </c>
      <c r="H4029" s="17">
        <v>1</v>
      </c>
      <c r="I4029" s="1">
        <v>40057</v>
      </c>
      <c r="J4029" s="1">
        <v>43344</v>
      </c>
      <c r="K4029" t="s">
        <v>1341</v>
      </c>
      <c r="L4029" t="s">
        <v>1342</v>
      </c>
      <c r="M4029" t="s">
        <v>1270</v>
      </c>
      <c r="N4029">
        <v>24</v>
      </c>
      <c r="O4029" t="s">
        <v>40</v>
      </c>
      <c r="S4029" t="s">
        <v>40</v>
      </c>
      <c r="U4029" s="1">
        <v>43344</v>
      </c>
      <c r="V4029" t="s">
        <v>41</v>
      </c>
      <c r="W4029" t="s">
        <v>75</v>
      </c>
      <c r="X4029" t="str">
        <f>"7191004"</f>
        <v>7191004</v>
      </c>
      <c r="Y4029" t="s">
        <v>1344</v>
      </c>
      <c r="Z4029" t="s">
        <v>1341</v>
      </c>
      <c r="AA4029" t="s">
        <v>1342</v>
      </c>
      <c r="AB4029" t="s">
        <v>1270</v>
      </c>
      <c r="AC4029" t="s">
        <v>51</v>
      </c>
      <c r="AD4029" t="s">
        <v>45</v>
      </c>
      <c r="AE4029" s="1">
        <v>24762</v>
      </c>
      <c r="AF4029">
        <v>1</v>
      </c>
      <c r="AG4029" t="s">
        <v>1342</v>
      </c>
      <c r="AH4029" s="36">
        <f t="shared" si="62"/>
        <v>51.930555555555557</v>
      </c>
      <c r="AI4029" s="41" t="s">
        <v>1781</v>
      </c>
    </row>
    <row r="4030" spans="1:35" x14ac:dyDescent="0.25">
      <c r="A4030" s="36">
        <v>99914028</v>
      </c>
      <c r="B4030" s="17" t="s">
        <v>32</v>
      </c>
      <c r="C4030" t="s">
        <v>64</v>
      </c>
      <c r="D4030" t="s">
        <v>65</v>
      </c>
      <c r="G4030" s="17" t="s">
        <v>48</v>
      </c>
      <c r="H4030" s="17">
        <v>1</v>
      </c>
      <c r="K4030" t="s">
        <v>268</v>
      </c>
      <c r="L4030" t="s">
        <v>269</v>
      </c>
      <c r="M4030" t="s">
        <v>131</v>
      </c>
      <c r="N4030">
        <v>23</v>
      </c>
      <c r="O4030" t="s">
        <v>40</v>
      </c>
      <c r="P4030" t="s">
        <v>40</v>
      </c>
      <c r="Q4030" t="s">
        <v>40</v>
      </c>
      <c r="R4030" t="s">
        <v>40</v>
      </c>
      <c r="S4030" t="s">
        <v>40</v>
      </c>
      <c r="V4030" t="s">
        <v>41</v>
      </c>
      <c r="W4030" t="s">
        <v>75</v>
      </c>
      <c r="X4030" t="str">
        <f>"7052040"</f>
        <v>7052040</v>
      </c>
      <c r="Y4030" t="s">
        <v>591</v>
      </c>
      <c r="Z4030" t="s">
        <v>268</v>
      </c>
      <c r="AA4030" t="s">
        <v>269</v>
      </c>
      <c r="AB4030" t="s">
        <v>131</v>
      </c>
      <c r="AC4030" t="s">
        <v>51</v>
      </c>
      <c r="AD4030" t="s">
        <v>45</v>
      </c>
      <c r="AE4030" s="1">
        <v>24761</v>
      </c>
      <c r="AF4030">
        <v>1</v>
      </c>
      <c r="AG4030" t="s">
        <v>269</v>
      </c>
      <c r="AH4030" s="36">
        <f t="shared" si="62"/>
        <v>51.93333333333333</v>
      </c>
      <c r="AI4030" s="41" t="s">
        <v>1781</v>
      </c>
    </row>
    <row r="4031" spans="1:35" x14ac:dyDescent="0.25">
      <c r="A4031" s="36">
        <v>99914029</v>
      </c>
      <c r="B4031" s="17" t="s">
        <v>32</v>
      </c>
      <c r="C4031" t="s">
        <v>46</v>
      </c>
      <c r="D4031" t="s">
        <v>47</v>
      </c>
      <c r="G4031" s="17" t="s">
        <v>48</v>
      </c>
      <c r="H4031" s="17">
        <v>1</v>
      </c>
      <c r="K4031" t="s">
        <v>223</v>
      </c>
      <c r="L4031" t="s">
        <v>224</v>
      </c>
      <c r="M4031" t="s">
        <v>131</v>
      </c>
      <c r="N4031">
        <v>20</v>
      </c>
      <c r="O4031" t="s">
        <v>40</v>
      </c>
      <c r="P4031" t="s">
        <v>40</v>
      </c>
      <c r="Q4031" t="s">
        <v>40</v>
      </c>
      <c r="R4031" t="s">
        <v>40</v>
      </c>
      <c r="S4031" t="s">
        <v>40</v>
      </c>
      <c r="V4031" t="s">
        <v>41</v>
      </c>
      <c r="W4031" t="s">
        <v>42</v>
      </c>
      <c r="X4031" t="str">
        <f>"0590910"</f>
        <v>0590910</v>
      </c>
      <c r="Y4031" t="s">
        <v>227</v>
      </c>
      <c r="Z4031" t="s">
        <v>223</v>
      </c>
      <c r="AA4031" t="s">
        <v>224</v>
      </c>
      <c r="AB4031" t="s">
        <v>131</v>
      </c>
      <c r="AC4031" t="s">
        <v>51</v>
      </c>
      <c r="AD4031" t="s">
        <v>45</v>
      </c>
      <c r="AE4031" s="1">
        <v>24760</v>
      </c>
      <c r="AF4031">
        <v>2</v>
      </c>
      <c r="AG4031" t="s">
        <v>224</v>
      </c>
      <c r="AH4031" s="36">
        <f t="shared" si="62"/>
        <v>51.93611111111111</v>
      </c>
      <c r="AI4031" s="41" t="s">
        <v>1781</v>
      </c>
    </row>
    <row r="4032" spans="1:35" x14ac:dyDescent="0.25">
      <c r="A4032" s="36">
        <v>99914030</v>
      </c>
      <c r="B4032" s="17" t="s">
        <v>32</v>
      </c>
      <c r="C4032" t="s">
        <v>68</v>
      </c>
      <c r="D4032" t="s">
        <v>69</v>
      </c>
      <c r="G4032" s="17" t="s">
        <v>35</v>
      </c>
      <c r="H4032" s="17">
        <v>1</v>
      </c>
      <c r="K4032" t="s">
        <v>300</v>
      </c>
      <c r="L4032" t="s">
        <v>301</v>
      </c>
      <c r="M4032" t="s">
        <v>131</v>
      </c>
      <c r="N4032">
        <v>17</v>
      </c>
      <c r="O4032" t="s">
        <v>40</v>
      </c>
      <c r="P4032" t="s">
        <v>40</v>
      </c>
      <c r="Q4032" t="s">
        <v>40</v>
      </c>
      <c r="R4032" t="s">
        <v>40</v>
      </c>
      <c r="S4032" t="s">
        <v>40</v>
      </c>
      <c r="V4032" t="s">
        <v>41</v>
      </c>
      <c r="W4032" t="s">
        <v>49</v>
      </c>
      <c r="X4032" t="str">
        <f>"0560002"</f>
        <v>0560002</v>
      </c>
      <c r="Y4032" t="s">
        <v>315</v>
      </c>
      <c r="Z4032" t="s">
        <v>300</v>
      </c>
      <c r="AA4032" t="s">
        <v>301</v>
      </c>
      <c r="AB4032" t="s">
        <v>131</v>
      </c>
      <c r="AC4032" t="s">
        <v>165</v>
      </c>
      <c r="AD4032" t="s">
        <v>45</v>
      </c>
      <c r="AE4032" s="1">
        <v>24759</v>
      </c>
      <c r="AF4032">
        <v>2</v>
      </c>
      <c r="AG4032" t="s">
        <v>301</v>
      </c>
      <c r="AH4032" s="36">
        <f t="shared" si="62"/>
        <v>51.93888888888889</v>
      </c>
      <c r="AI4032" s="41" t="s">
        <v>1781</v>
      </c>
    </row>
    <row r="4033" spans="1:35" x14ac:dyDescent="0.25">
      <c r="A4033" s="36">
        <v>99914031</v>
      </c>
      <c r="B4033" s="17" t="s">
        <v>32</v>
      </c>
      <c r="C4033" t="s">
        <v>46</v>
      </c>
      <c r="D4033" t="s">
        <v>47</v>
      </c>
      <c r="G4033" s="17" t="s">
        <v>48</v>
      </c>
      <c r="H4033" s="17">
        <v>1</v>
      </c>
      <c r="K4033" t="s">
        <v>157</v>
      </c>
      <c r="L4033" t="s">
        <v>158</v>
      </c>
      <c r="M4033" t="s">
        <v>131</v>
      </c>
      <c r="N4033">
        <v>18</v>
      </c>
      <c r="O4033" t="s">
        <v>40</v>
      </c>
      <c r="P4033" t="s">
        <v>40</v>
      </c>
      <c r="Q4033" t="s">
        <v>40</v>
      </c>
      <c r="R4033" t="s">
        <v>40</v>
      </c>
      <c r="S4033" t="s">
        <v>40</v>
      </c>
      <c r="V4033" t="s">
        <v>41</v>
      </c>
      <c r="W4033" t="s">
        <v>49</v>
      </c>
      <c r="X4033" t="str">
        <f>"0560010"</f>
        <v>0560010</v>
      </c>
      <c r="Y4033" t="s">
        <v>179</v>
      </c>
      <c r="Z4033" t="s">
        <v>157</v>
      </c>
      <c r="AA4033" t="s">
        <v>158</v>
      </c>
      <c r="AB4033" t="s">
        <v>131</v>
      </c>
      <c r="AC4033" t="s">
        <v>51</v>
      </c>
      <c r="AD4033" t="s">
        <v>45</v>
      </c>
      <c r="AE4033" s="1">
        <v>24756</v>
      </c>
      <c r="AF4033">
        <v>2</v>
      </c>
      <c r="AG4033" t="s">
        <v>158</v>
      </c>
      <c r="AH4033" s="36">
        <f t="shared" si="62"/>
        <v>51.947222222222223</v>
      </c>
      <c r="AI4033" s="41" t="s">
        <v>1781</v>
      </c>
    </row>
    <row r="4034" spans="1:35" x14ac:dyDescent="0.25">
      <c r="A4034" s="36">
        <v>99914032</v>
      </c>
      <c r="B4034" s="17" t="s">
        <v>32</v>
      </c>
      <c r="C4034" t="s">
        <v>33</v>
      </c>
      <c r="D4034" t="s">
        <v>34</v>
      </c>
      <c r="G4034" s="17" t="s">
        <v>48</v>
      </c>
      <c r="H4034" s="17">
        <v>1</v>
      </c>
      <c r="K4034" t="s">
        <v>223</v>
      </c>
      <c r="L4034" t="s">
        <v>224</v>
      </c>
      <c r="M4034" t="s">
        <v>131</v>
      </c>
      <c r="N4034">
        <v>20</v>
      </c>
      <c r="O4034" t="s">
        <v>40</v>
      </c>
      <c r="P4034" t="s">
        <v>40</v>
      </c>
      <c r="Q4034" t="s">
        <v>40</v>
      </c>
      <c r="R4034" t="s">
        <v>40</v>
      </c>
      <c r="S4034" t="s">
        <v>40</v>
      </c>
      <c r="V4034" t="s">
        <v>41</v>
      </c>
      <c r="W4034" t="s">
        <v>42</v>
      </c>
      <c r="X4034" t="str">
        <f>"0580204"</f>
        <v>0580204</v>
      </c>
      <c r="Y4034" t="s">
        <v>235</v>
      </c>
      <c r="Z4034" t="s">
        <v>223</v>
      </c>
      <c r="AA4034" t="s">
        <v>224</v>
      </c>
      <c r="AB4034" t="s">
        <v>131</v>
      </c>
      <c r="AC4034" t="s">
        <v>165</v>
      </c>
      <c r="AD4034" t="s">
        <v>45</v>
      </c>
      <c r="AE4034" s="1">
        <v>24754</v>
      </c>
      <c r="AF4034">
        <v>2</v>
      </c>
      <c r="AG4034" t="s">
        <v>224</v>
      </c>
      <c r="AH4034" s="36">
        <f t="shared" ref="AH4034:AH4097" si="63">($AJ$1-AE4034)/360</f>
        <v>51.952777777777776</v>
      </c>
      <c r="AI4034" s="41" t="s">
        <v>1781</v>
      </c>
    </row>
    <row r="4035" spans="1:35" x14ac:dyDescent="0.25">
      <c r="A4035" s="36">
        <v>99914033</v>
      </c>
      <c r="B4035" s="17" t="s">
        <v>56</v>
      </c>
      <c r="C4035" t="s">
        <v>52</v>
      </c>
      <c r="D4035" t="s">
        <v>53</v>
      </c>
      <c r="G4035" s="17" t="s">
        <v>35</v>
      </c>
      <c r="H4035" s="17">
        <v>1</v>
      </c>
      <c r="K4035" t="s">
        <v>157</v>
      </c>
      <c r="L4035" t="s">
        <v>158</v>
      </c>
      <c r="M4035" t="s">
        <v>131</v>
      </c>
      <c r="N4035">
        <v>20</v>
      </c>
      <c r="O4035" t="s">
        <v>40</v>
      </c>
      <c r="P4035" t="s">
        <v>40</v>
      </c>
      <c r="Q4035" t="s">
        <v>40</v>
      </c>
      <c r="S4035" t="s">
        <v>40</v>
      </c>
      <c r="V4035" t="s">
        <v>41</v>
      </c>
      <c r="W4035" t="s">
        <v>49</v>
      </c>
      <c r="X4035" t="str">
        <f>"0581725"</f>
        <v>0581725</v>
      </c>
      <c r="Y4035" t="s">
        <v>161</v>
      </c>
      <c r="Z4035" t="s">
        <v>157</v>
      </c>
      <c r="AA4035" t="s">
        <v>158</v>
      </c>
      <c r="AB4035" t="s">
        <v>131</v>
      </c>
      <c r="AC4035" t="s">
        <v>51</v>
      </c>
      <c r="AD4035" t="s">
        <v>45</v>
      </c>
      <c r="AE4035" s="1">
        <v>24753</v>
      </c>
      <c r="AF4035">
        <v>2</v>
      </c>
      <c r="AG4035" t="s">
        <v>158</v>
      </c>
      <c r="AH4035" s="36">
        <f t="shared" si="63"/>
        <v>51.955555555555556</v>
      </c>
      <c r="AI4035" s="41" t="s">
        <v>1781</v>
      </c>
    </row>
    <row r="4036" spans="1:35" x14ac:dyDescent="0.25">
      <c r="A4036" s="36">
        <v>99914034</v>
      </c>
      <c r="B4036" s="17" t="s">
        <v>56</v>
      </c>
      <c r="C4036" t="s">
        <v>52</v>
      </c>
      <c r="D4036" t="s">
        <v>53</v>
      </c>
      <c r="G4036" s="17" t="s">
        <v>48</v>
      </c>
      <c r="H4036" s="17">
        <v>1</v>
      </c>
      <c r="K4036" t="s">
        <v>380</v>
      </c>
      <c r="L4036" t="s">
        <v>381</v>
      </c>
      <c r="M4036" t="s">
        <v>131</v>
      </c>
      <c r="N4036">
        <v>13</v>
      </c>
      <c r="O4036" t="s">
        <v>40</v>
      </c>
      <c r="P4036" t="s">
        <v>40</v>
      </c>
      <c r="Q4036" t="s">
        <v>40</v>
      </c>
      <c r="R4036" t="s">
        <v>40</v>
      </c>
      <c r="S4036" t="s">
        <v>40</v>
      </c>
      <c r="V4036" t="s">
        <v>41</v>
      </c>
      <c r="W4036" t="s">
        <v>42</v>
      </c>
      <c r="X4036" t="str">
        <f>"0590908"</f>
        <v>0590908</v>
      </c>
      <c r="Y4036" t="s">
        <v>382</v>
      </c>
      <c r="Z4036" t="s">
        <v>380</v>
      </c>
      <c r="AA4036" t="s">
        <v>381</v>
      </c>
      <c r="AB4036" t="s">
        <v>131</v>
      </c>
      <c r="AC4036" t="s">
        <v>51</v>
      </c>
      <c r="AD4036" t="s">
        <v>45</v>
      </c>
      <c r="AE4036" s="1">
        <v>24753</v>
      </c>
      <c r="AF4036">
        <v>2</v>
      </c>
      <c r="AG4036" t="s">
        <v>381</v>
      </c>
      <c r="AH4036" s="36">
        <f t="shared" si="63"/>
        <v>51.955555555555556</v>
      </c>
      <c r="AI4036" s="41" t="s">
        <v>1781</v>
      </c>
    </row>
    <row r="4037" spans="1:35" x14ac:dyDescent="0.25">
      <c r="A4037" s="36">
        <v>99914035</v>
      </c>
      <c r="B4037" s="17" t="s">
        <v>56</v>
      </c>
      <c r="C4037" t="s">
        <v>46</v>
      </c>
      <c r="D4037" t="s">
        <v>47</v>
      </c>
      <c r="G4037" s="17" t="s">
        <v>48</v>
      </c>
      <c r="H4037" s="17">
        <v>1</v>
      </c>
      <c r="K4037" t="s">
        <v>345</v>
      </c>
      <c r="L4037" t="s">
        <v>346</v>
      </c>
      <c r="M4037" t="s">
        <v>131</v>
      </c>
      <c r="N4037">
        <v>18</v>
      </c>
      <c r="O4037" t="s">
        <v>40</v>
      </c>
      <c r="P4037" t="s">
        <v>40</v>
      </c>
      <c r="Q4037" t="s">
        <v>40</v>
      </c>
      <c r="S4037" t="s">
        <v>40</v>
      </c>
      <c r="V4037" t="s">
        <v>41</v>
      </c>
      <c r="W4037" t="s">
        <v>42</v>
      </c>
      <c r="X4037" t="str">
        <f>"0580605"</f>
        <v>0580605</v>
      </c>
      <c r="Y4037" t="s">
        <v>362</v>
      </c>
      <c r="Z4037" t="s">
        <v>345</v>
      </c>
      <c r="AA4037" t="s">
        <v>346</v>
      </c>
      <c r="AB4037" t="s">
        <v>131</v>
      </c>
      <c r="AC4037" t="s">
        <v>51</v>
      </c>
      <c r="AD4037" t="s">
        <v>45</v>
      </c>
      <c r="AE4037" s="1">
        <v>24751</v>
      </c>
      <c r="AF4037">
        <v>2</v>
      </c>
      <c r="AG4037" t="s">
        <v>346</v>
      </c>
      <c r="AH4037" s="36">
        <f t="shared" si="63"/>
        <v>51.961111111111109</v>
      </c>
      <c r="AI4037" s="41" t="s">
        <v>1781</v>
      </c>
    </row>
    <row r="4038" spans="1:35" x14ac:dyDescent="0.25">
      <c r="A4038" s="36">
        <v>99914036</v>
      </c>
      <c r="B4038" s="17" t="s">
        <v>32</v>
      </c>
      <c r="C4038" t="s">
        <v>139</v>
      </c>
      <c r="D4038" t="s">
        <v>140</v>
      </c>
      <c r="G4038" s="17" t="s">
        <v>35</v>
      </c>
      <c r="H4038" s="17">
        <v>1</v>
      </c>
      <c r="K4038" t="s">
        <v>877</v>
      </c>
      <c r="L4038" t="s">
        <v>878</v>
      </c>
      <c r="M4038" t="s">
        <v>131</v>
      </c>
      <c r="N4038">
        <v>19</v>
      </c>
      <c r="O4038" t="s">
        <v>40</v>
      </c>
      <c r="P4038" t="s">
        <v>40</v>
      </c>
      <c r="Q4038" t="s">
        <v>40</v>
      </c>
      <c r="S4038" t="s">
        <v>40</v>
      </c>
      <c r="V4038" t="s">
        <v>41</v>
      </c>
      <c r="W4038" t="s">
        <v>75</v>
      </c>
      <c r="X4038" t="str">
        <f>"7700025"</f>
        <v>7700025</v>
      </c>
      <c r="Y4038" t="s">
        <v>880</v>
      </c>
      <c r="Z4038" t="s">
        <v>877</v>
      </c>
      <c r="AA4038" t="s">
        <v>878</v>
      </c>
      <c r="AB4038" t="s">
        <v>131</v>
      </c>
      <c r="AC4038" t="s">
        <v>51</v>
      </c>
      <c r="AD4038" t="s">
        <v>45</v>
      </c>
      <c r="AE4038" s="1">
        <v>24750</v>
      </c>
      <c r="AF4038">
        <v>1</v>
      </c>
      <c r="AG4038" t="s">
        <v>878</v>
      </c>
      <c r="AH4038" s="36">
        <f t="shared" si="63"/>
        <v>51.963888888888889</v>
      </c>
      <c r="AI4038" s="41" t="s">
        <v>1781</v>
      </c>
    </row>
    <row r="4039" spans="1:35" x14ac:dyDescent="0.25">
      <c r="A4039" s="36">
        <v>99914037</v>
      </c>
      <c r="B4039" s="17" t="s">
        <v>32</v>
      </c>
      <c r="C4039" t="s">
        <v>139</v>
      </c>
      <c r="D4039" t="s">
        <v>140</v>
      </c>
      <c r="G4039" s="17" t="s">
        <v>48</v>
      </c>
      <c r="H4039" s="17">
        <v>1</v>
      </c>
      <c r="K4039" t="s">
        <v>380</v>
      </c>
      <c r="L4039" t="s">
        <v>381</v>
      </c>
      <c r="M4039" t="s">
        <v>131</v>
      </c>
      <c r="N4039">
        <v>20</v>
      </c>
      <c r="O4039" t="s">
        <v>40</v>
      </c>
      <c r="P4039" t="s">
        <v>40</v>
      </c>
      <c r="Q4039" t="s">
        <v>40</v>
      </c>
      <c r="R4039" t="s">
        <v>40</v>
      </c>
      <c r="S4039" t="s">
        <v>40</v>
      </c>
      <c r="V4039" t="s">
        <v>41</v>
      </c>
      <c r="W4039" t="s">
        <v>42</v>
      </c>
      <c r="X4039" t="str">
        <f>"0590908"</f>
        <v>0590908</v>
      </c>
      <c r="Y4039" t="s">
        <v>382</v>
      </c>
      <c r="Z4039" t="s">
        <v>380</v>
      </c>
      <c r="AA4039" t="s">
        <v>381</v>
      </c>
      <c r="AB4039" t="s">
        <v>131</v>
      </c>
      <c r="AC4039" t="s">
        <v>51</v>
      </c>
      <c r="AD4039" t="s">
        <v>45</v>
      </c>
      <c r="AE4039" s="1">
        <v>24749</v>
      </c>
      <c r="AF4039">
        <v>2</v>
      </c>
      <c r="AG4039" t="s">
        <v>381</v>
      </c>
      <c r="AH4039" s="36">
        <f t="shared" si="63"/>
        <v>51.966666666666669</v>
      </c>
      <c r="AI4039" s="41" t="s">
        <v>1781</v>
      </c>
    </row>
    <row r="4040" spans="1:35" x14ac:dyDescent="0.25">
      <c r="A4040" s="36">
        <v>99914038</v>
      </c>
      <c r="B4040" s="17" t="s">
        <v>32</v>
      </c>
      <c r="C4040" t="s">
        <v>64</v>
      </c>
      <c r="D4040" t="s">
        <v>65</v>
      </c>
      <c r="G4040" s="17" t="s">
        <v>48</v>
      </c>
      <c r="H4040" s="17">
        <v>1</v>
      </c>
      <c r="K4040" t="s">
        <v>162</v>
      </c>
      <c r="L4040" t="s">
        <v>158</v>
      </c>
      <c r="M4040" t="s">
        <v>131</v>
      </c>
      <c r="N4040">
        <v>18</v>
      </c>
      <c r="O4040" t="s">
        <v>40</v>
      </c>
      <c r="P4040" t="s">
        <v>40</v>
      </c>
      <c r="Q4040" t="s">
        <v>40</v>
      </c>
      <c r="R4040" t="s">
        <v>40</v>
      </c>
      <c r="S4040" t="s">
        <v>40</v>
      </c>
      <c r="V4040" t="s">
        <v>41</v>
      </c>
      <c r="W4040" t="s">
        <v>42</v>
      </c>
      <c r="X4040" t="str">
        <f>"0580325"</f>
        <v>0580325</v>
      </c>
      <c r="Y4040" t="s">
        <v>170</v>
      </c>
      <c r="Z4040" t="s">
        <v>162</v>
      </c>
      <c r="AA4040" t="s">
        <v>158</v>
      </c>
      <c r="AB4040" t="s">
        <v>131</v>
      </c>
      <c r="AC4040" t="s">
        <v>165</v>
      </c>
      <c r="AD4040" t="s">
        <v>45</v>
      </c>
      <c r="AE4040" s="1">
        <v>24748</v>
      </c>
      <c r="AF4040">
        <v>2</v>
      </c>
      <c r="AG4040" t="s">
        <v>158</v>
      </c>
      <c r="AH4040" s="36">
        <f t="shared" si="63"/>
        <v>51.969444444444441</v>
      </c>
      <c r="AI4040" s="41" t="s">
        <v>1781</v>
      </c>
    </row>
    <row r="4041" spans="1:35" x14ac:dyDescent="0.25">
      <c r="A4041" s="36">
        <v>99914039</v>
      </c>
      <c r="B4041" s="17" t="s">
        <v>32</v>
      </c>
      <c r="C4041" t="s">
        <v>139</v>
      </c>
      <c r="D4041" t="s">
        <v>140</v>
      </c>
      <c r="G4041" s="17" t="s">
        <v>48</v>
      </c>
      <c r="H4041" s="17">
        <v>1</v>
      </c>
      <c r="K4041" t="s">
        <v>877</v>
      </c>
      <c r="L4041" t="s">
        <v>878</v>
      </c>
      <c r="M4041" t="s">
        <v>131</v>
      </c>
      <c r="N4041">
        <v>18</v>
      </c>
      <c r="O4041" t="s">
        <v>40</v>
      </c>
      <c r="P4041" t="s">
        <v>40</v>
      </c>
      <c r="Q4041" t="s">
        <v>40</v>
      </c>
      <c r="R4041" t="s">
        <v>40</v>
      </c>
      <c r="S4041" t="s">
        <v>40</v>
      </c>
      <c r="V4041" t="s">
        <v>41</v>
      </c>
      <c r="W4041" t="s">
        <v>75</v>
      </c>
      <c r="X4041" t="str">
        <f>"7700025"</f>
        <v>7700025</v>
      </c>
      <c r="Y4041" t="s">
        <v>880</v>
      </c>
      <c r="Z4041" t="s">
        <v>877</v>
      </c>
      <c r="AA4041" t="s">
        <v>878</v>
      </c>
      <c r="AB4041" t="s">
        <v>131</v>
      </c>
      <c r="AC4041" t="s">
        <v>51</v>
      </c>
      <c r="AD4041" t="s">
        <v>45</v>
      </c>
      <c r="AE4041" s="1">
        <v>24743</v>
      </c>
      <c r="AF4041">
        <v>1</v>
      </c>
      <c r="AG4041" t="s">
        <v>878</v>
      </c>
      <c r="AH4041" s="36">
        <f t="shared" si="63"/>
        <v>51.983333333333334</v>
      </c>
      <c r="AI4041" s="41" t="s">
        <v>1781</v>
      </c>
    </row>
    <row r="4042" spans="1:35" x14ac:dyDescent="0.25">
      <c r="A4042" s="36">
        <v>99914040</v>
      </c>
      <c r="B4042" s="17" t="s">
        <v>32</v>
      </c>
      <c r="C4042" t="s">
        <v>46</v>
      </c>
      <c r="D4042" t="s">
        <v>47</v>
      </c>
      <c r="G4042" s="17" t="s">
        <v>48</v>
      </c>
      <c r="H4042" s="17">
        <v>1</v>
      </c>
      <c r="K4042" t="s">
        <v>380</v>
      </c>
      <c r="L4042" t="s">
        <v>381</v>
      </c>
      <c r="M4042" t="s">
        <v>131</v>
      </c>
      <c r="N4042">
        <v>18</v>
      </c>
      <c r="O4042" t="s">
        <v>40</v>
      </c>
      <c r="P4042" t="s">
        <v>40</v>
      </c>
      <c r="Q4042" t="s">
        <v>40</v>
      </c>
      <c r="S4042" t="s">
        <v>40</v>
      </c>
      <c r="V4042" t="s">
        <v>41</v>
      </c>
      <c r="W4042" t="s">
        <v>42</v>
      </c>
      <c r="X4042" t="str">
        <f>"0590908"</f>
        <v>0590908</v>
      </c>
      <c r="Y4042" t="s">
        <v>382</v>
      </c>
      <c r="Z4042" t="s">
        <v>380</v>
      </c>
      <c r="AA4042" t="s">
        <v>381</v>
      </c>
      <c r="AB4042" t="s">
        <v>131</v>
      </c>
      <c r="AC4042" t="s">
        <v>51</v>
      </c>
      <c r="AD4042" t="s">
        <v>45</v>
      </c>
      <c r="AE4042" s="1">
        <v>24740</v>
      </c>
      <c r="AF4042">
        <v>2</v>
      </c>
      <c r="AG4042" t="s">
        <v>381</v>
      </c>
      <c r="AH4042" s="36">
        <f t="shared" si="63"/>
        <v>51.991666666666667</v>
      </c>
      <c r="AI4042" s="41" t="s">
        <v>1781</v>
      </c>
    </row>
    <row r="4043" spans="1:35" x14ac:dyDescent="0.25">
      <c r="A4043" s="36">
        <v>99914041</v>
      </c>
      <c r="B4043" s="17" t="s">
        <v>32</v>
      </c>
      <c r="C4043" t="s">
        <v>46</v>
      </c>
      <c r="D4043" t="s">
        <v>47</v>
      </c>
      <c r="G4043" s="17" t="s">
        <v>35</v>
      </c>
      <c r="H4043" s="17">
        <v>1</v>
      </c>
      <c r="K4043" t="s">
        <v>223</v>
      </c>
      <c r="L4043" t="s">
        <v>224</v>
      </c>
      <c r="M4043" t="s">
        <v>131</v>
      </c>
      <c r="N4043">
        <v>18</v>
      </c>
      <c r="O4043" t="s">
        <v>40</v>
      </c>
      <c r="P4043" t="s">
        <v>40</v>
      </c>
      <c r="Q4043" t="s">
        <v>40</v>
      </c>
      <c r="S4043" t="s">
        <v>40</v>
      </c>
      <c r="V4043" t="s">
        <v>41</v>
      </c>
      <c r="W4043" t="s">
        <v>42</v>
      </c>
      <c r="X4043" t="str">
        <f>"0590903"</f>
        <v>0590903</v>
      </c>
      <c r="Y4043" t="s">
        <v>226</v>
      </c>
      <c r="Z4043" t="s">
        <v>223</v>
      </c>
      <c r="AA4043" t="s">
        <v>224</v>
      </c>
      <c r="AB4043" t="s">
        <v>131</v>
      </c>
      <c r="AC4043" t="s">
        <v>51</v>
      </c>
      <c r="AD4043" t="s">
        <v>45</v>
      </c>
      <c r="AE4043" s="1">
        <v>24737</v>
      </c>
      <c r="AF4043">
        <v>2</v>
      </c>
      <c r="AG4043" t="s">
        <v>224</v>
      </c>
      <c r="AH4043" s="36">
        <f t="shared" si="63"/>
        <v>52</v>
      </c>
      <c r="AI4043" s="41" t="s">
        <v>1781</v>
      </c>
    </row>
    <row r="4044" spans="1:35" x14ac:dyDescent="0.25">
      <c r="A4044" s="36">
        <v>99914042</v>
      </c>
      <c r="B4044" s="17" t="s">
        <v>32</v>
      </c>
      <c r="C4044" t="s">
        <v>90</v>
      </c>
      <c r="D4044" t="s">
        <v>91</v>
      </c>
      <c r="G4044" s="17" t="s">
        <v>35</v>
      </c>
      <c r="H4044" s="17">
        <v>1</v>
      </c>
      <c r="I4044" t="s">
        <v>1372</v>
      </c>
      <c r="J4044" s="1">
        <v>43344</v>
      </c>
      <c r="K4044" t="s">
        <v>1341</v>
      </c>
      <c r="L4044" t="s">
        <v>1342</v>
      </c>
      <c r="M4044" t="s">
        <v>1270</v>
      </c>
      <c r="N4044">
        <v>24</v>
      </c>
      <c r="O4044" t="s">
        <v>40</v>
      </c>
      <c r="S4044" t="s">
        <v>40</v>
      </c>
      <c r="U4044" s="1">
        <v>43344</v>
      </c>
      <c r="V4044" t="s">
        <v>41</v>
      </c>
      <c r="W4044" t="s">
        <v>95</v>
      </c>
      <c r="X4044" t="str">
        <f>"7191059"</f>
        <v>7191059</v>
      </c>
      <c r="Y4044" t="s">
        <v>1346</v>
      </c>
      <c r="Z4044" t="s">
        <v>1341</v>
      </c>
      <c r="AA4044" t="s">
        <v>1342</v>
      </c>
      <c r="AB4044" t="s">
        <v>1270</v>
      </c>
      <c r="AC4044" t="s">
        <v>51</v>
      </c>
      <c r="AD4044" t="s">
        <v>45</v>
      </c>
      <c r="AE4044" s="1">
        <v>24736</v>
      </c>
      <c r="AF4044">
        <v>1</v>
      </c>
      <c r="AG4044" t="s">
        <v>1342</v>
      </c>
      <c r="AH4044" s="36">
        <f t="shared" si="63"/>
        <v>52.00277777777778</v>
      </c>
      <c r="AI4044" s="41" t="s">
        <v>1781</v>
      </c>
    </row>
    <row r="4045" spans="1:35" x14ac:dyDescent="0.25">
      <c r="A4045" s="36">
        <v>99914043</v>
      </c>
      <c r="B4045" s="17" t="s">
        <v>56</v>
      </c>
      <c r="C4045" t="s">
        <v>46</v>
      </c>
      <c r="D4045" t="s">
        <v>47</v>
      </c>
      <c r="G4045" s="17" t="s">
        <v>48</v>
      </c>
      <c r="H4045" s="17">
        <v>1</v>
      </c>
      <c r="K4045" t="s">
        <v>162</v>
      </c>
      <c r="L4045" t="s">
        <v>158</v>
      </c>
      <c r="M4045" t="s">
        <v>131</v>
      </c>
      <c r="N4045">
        <v>20</v>
      </c>
      <c r="O4045" t="s">
        <v>40</v>
      </c>
      <c r="P4045" t="s">
        <v>40</v>
      </c>
      <c r="Q4045" t="s">
        <v>40</v>
      </c>
      <c r="R4045" t="s">
        <v>40</v>
      </c>
      <c r="S4045" t="s">
        <v>40</v>
      </c>
      <c r="V4045" t="s">
        <v>41</v>
      </c>
      <c r="W4045" t="s">
        <v>49</v>
      </c>
      <c r="X4045" t="str">
        <f>"0581325"</f>
        <v>0581325</v>
      </c>
      <c r="Y4045" t="s">
        <v>169</v>
      </c>
      <c r="Z4045" t="s">
        <v>162</v>
      </c>
      <c r="AA4045" t="s">
        <v>158</v>
      </c>
      <c r="AB4045" t="s">
        <v>131</v>
      </c>
      <c r="AC4045" t="s">
        <v>51</v>
      </c>
      <c r="AD4045" t="s">
        <v>45</v>
      </c>
      <c r="AE4045" s="1">
        <v>24734</v>
      </c>
      <c r="AF4045">
        <v>2</v>
      </c>
      <c r="AG4045" t="s">
        <v>158</v>
      </c>
      <c r="AH4045" s="36">
        <f t="shared" si="63"/>
        <v>52.008333333333333</v>
      </c>
      <c r="AI4045" s="41" t="s">
        <v>1781</v>
      </c>
    </row>
    <row r="4046" spans="1:35" x14ac:dyDescent="0.25">
      <c r="A4046" s="36">
        <v>99914044</v>
      </c>
      <c r="B4046" s="17" t="s">
        <v>56</v>
      </c>
      <c r="C4046" t="s">
        <v>82</v>
      </c>
      <c r="D4046" t="s">
        <v>83</v>
      </c>
      <c r="G4046" s="17" t="s">
        <v>48</v>
      </c>
      <c r="H4046" s="17">
        <v>1</v>
      </c>
      <c r="K4046" t="s">
        <v>223</v>
      </c>
      <c r="L4046" t="s">
        <v>224</v>
      </c>
      <c r="M4046" t="s">
        <v>131</v>
      </c>
      <c r="N4046">
        <v>21</v>
      </c>
      <c r="O4046" t="s">
        <v>40</v>
      </c>
      <c r="P4046" t="s">
        <v>40</v>
      </c>
      <c r="Q4046" t="s">
        <v>40</v>
      </c>
      <c r="R4046" t="s">
        <v>40</v>
      </c>
      <c r="S4046" t="s">
        <v>40</v>
      </c>
      <c r="V4046" t="s">
        <v>41</v>
      </c>
      <c r="W4046" t="s">
        <v>42</v>
      </c>
      <c r="X4046" t="str">
        <f>"0580207"</f>
        <v>0580207</v>
      </c>
      <c r="Y4046" t="s">
        <v>229</v>
      </c>
      <c r="Z4046" t="s">
        <v>223</v>
      </c>
      <c r="AA4046" t="s">
        <v>224</v>
      </c>
      <c r="AB4046" t="s">
        <v>131</v>
      </c>
      <c r="AC4046" t="s">
        <v>51</v>
      </c>
      <c r="AD4046" t="s">
        <v>45</v>
      </c>
      <c r="AE4046" s="1">
        <v>24734</v>
      </c>
      <c r="AF4046">
        <v>2</v>
      </c>
      <c r="AG4046" t="s">
        <v>224</v>
      </c>
      <c r="AH4046" s="36">
        <f t="shared" si="63"/>
        <v>52.008333333333333</v>
      </c>
      <c r="AI4046" s="41" t="s">
        <v>1781</v>
      </c>
    </row>
    <row r="4047" spans="1:35" x14ac:dyDescent="0.25">
      <c r="A4047" s="36">
        <v>99914045</v>
      </c>
      <c r="B4047" s="17" t="s">
        <v>56</v>
      </c>
      <c r="C4047" t="s">
        <v>90</v>
      </c>
      <c r="D4047" t="s">
        <v>91</v>
      </c>
      <c r="G4047" s="17" t="s">
        <v>48</v>
      </c>
      <c r="H4047" s="17">
        <v>1</v>
      </c>
      <c r="K4047" t="s">
        <v>1695</v>
      </c>
      <c r="L4047" t="s">
        <v>1696</v>
      </c>
      <c r="M4047" t="s">
        <v>1592</v>
      </c>
      <c r="N4047">
        <v>5</v>
      </c>
      <c r="O4047" t="s">
        <v>40</v>
      </c>
      <c r="P4047" t="s">
        <v>40</v>
      </c>
      <c r="Q4047" t="s">
        <v>40</v>
      </c>
      <c r="R4047" t="s">
        <v>40</v>
      </c>
      <c r="S4047" t="s">
        <v>40</v>
      </c>
      <c r="V4047" t="s">
        <v>41</v>
      </c>
      <c r="W4047" t="s">
        <v>95</v>
      </c>
      <c r="X4047" t="str">
        <f>"7361011"</f>
        <v>7361011</v>
      </c>
      <c r="Y4047" t="s">
        <v>1699</v>
      </c>
      <c r="Z4047" t="s">
        <v>1695</v>
      </c>
      <c r="AA4047" t="s">
        <v>1696</v>
      </c>
      <c r="AB4047" t="s">
        <v>1592</v>
      </c>
      <c r="AC4047" t="s">
        <v>51</v>
      </c>
      <c r="AD4047" t="s">
        <v>45</v>
      </c>
      <c r="AE4047" s="1">
        <v>24732</v>
      </c>
      <c r="AF4047">
        <v>1</v>
      </c>
      <c r="AG4047" t="s">
        <v>1696</v>
      </c>
      <c r="AH4047" s="36">
        <f t="shared" si="63"/>
        <v>52.013888888888886</v>
      </c>
      <c r="AI4047" s="41" t="s">
        <v>1781</v>
      </c>
    </row>
    <row r="4048" spans="1:35" x14ac:dyDescent="0.25">
      <c r="A4048" s="36">
        <v>99914046</v>
      </c>
      <c r="B4048" s="17" t="s">
        <v>32</v>
      </c>
      <c r="C4048" t="s">
        <v>64</v>
      </c>
      <c r="D4048" t="s">
        <v>65</v>
      </c>
      <c r="G4048" s="17" t="s">
        <v>35</v>
      </c>
      <c r="H4048" s="17">
        <v>11</v>
      </c>
      <c r="K4048" t="s">
        <v>268</v>
      </c>
      <c r="L4048" t="s">
        <v>269</v>
      </c>
      <c r="M4048" t="s">
        <v>131</v>
      </c>
      <c r="N4048">
        <v>22</v>
      </c>
      <c r="O4048" t="s">
        <v>40</v>
      </c>
      <c r="P4048" t="s">
        <v>40</v>
      </c>
      <c r="Q4048" t="s">
        <v>40</v>
      </c>
      <c r="R4048" t="s">
        <v>40</v>
      </c>
      <c r="S4048" t="s">
        <v>40</v>
      </c>
      <c r="V4048" t="s">
        <v>41</v>
      </c>
      <c r="W4048" t="s">
        <v>75</v>
      </c>
      <c r="X4048" t="str">
        <f>"7052006"</f>
        <v>7052006</v>
      </c>
      <c r="Y4048" t="s">
        <v>575</v>
      </c>
      <c r="Z4048" t="s">
        <v>268</v>
      </c>
      <c r="AA4048" t="s">
        <v>269</v>
      </c>
      <c r="AB4048" t="s">
        <v>131</v>
      </c>
      <c r="AC4048" t="s">
        <v>51</v>
      </c>
      <c r="AD4048" t="s">
        <v>45</v>
      </c>
      <c r="AE4048" s="1">
        <v>24730</v>
      </c>
      <c r="AF4048">
        <v>1</v>
      </c>
      <c r="AG4048" t="s">
        <v>269</v>
      </c>
      <c r="AH4048" s="36">
        <f t="shared" si="63"/>
        <v>52.019444444444446</v>
      </c>
      <c r="AI4048" s="41" t="s">
        <v>1781</v>
      </c>
    </row>
    <row r="4049" spans="1:35" x14ac:dyDescent="0.25">
      <c r="A4049" s="36">
        <v>99914047</v>
      </c>
      <c r="B4049" s="17" t="s">
        <v>32</v>
      </c>
      <c r="C4049" t="s">
        <v>139</v>
      </c>
      <c r="D4049" t="s">
        <v>140</v>
      </c>
      <c r="G4049" s="17" t="s">
        <v>48</v>
      </c>
      <c r="H4049" s="17">
        <v>1</v>
      </c>
      <c r="K4049" t="s">
        <v>268</v>
      </c>
      <c r="L4049" t="s">
        <v>269</v>
      </c>
      <c r="M4049" t="s">
        <v>131</v>
      </c>
      <c r="N4049">
        <v>8</v>
      </c>
      <c r="O4049" t="s">
        <v>40</v>
      </c>
      <c r="P4049" t="s">
        <v>40</v>
      </c>
      <c r="Q4049" t="s">
        <v>40</v>
      </c>
      <c r="S4049" t="s">
        <v>40</v>
      </c>
      <c r="V4049" t="s">
        <v>41</v>
      </c>
      <c r="W4049" t="s">
        <v>75</v>
      </c>
      <c r="X4049" t="str">
        <f>"7052044"</f>
        <v>7052044</v>
      </c>
      <c r="Y4049" t="s">
        <v>589</v>
      </c>
      <c r="Z4049" t="s">
        <v>268</v>
      </c>
      <c r="AA4049" t="s">
        <v>269</v>
      </c>
      <c r="AB4049" t="s">
        <v>131</v>
      </c>
      <c r="AC4049" t="s">
        <v>51</v>
      </c>
      <c r="AD4049" t="s">
        <v>45</v>
      </c>
      <c r="AE4049" s="1">
        <v>24728</v>
      </c>
      <c r="AF4049">
        <v>1</v>
      </c>
      <c r="AG4049" t="s">
        <v>269</v>
      </c>
      <c r="AH4049" s="36">
        <f t="shared" si="63"/>
        <v>52.024999999999999</v>
      </c>
      <c r="AI4049" s="41" t="s">
        <v>1781</v>
      </c>
    </row>
    <row r="4050" spans="1:35" x14ac:dyDescent="0.25">
      <c r="A4050" s="36">
        <v>99914048</v>
      </c>
      <c r="B4050" s="17" t="s">
        <v>32</v>
      </c>
      <c r="C4050" t="s">
        <v>64</v>
      </c>
      <c r="D4050" t="s">
        <v>65</v>
      </c>
      <c r="G4050" s="17" t="s">
        <v>48</v>
      </c>
      <c r="H4050" s="17">
        <v>1</v>
      </c>
      <c r="K4050" t="s">
        <v>345</v>
      </c>
      <c r="L4050" t="s">
        <v>346</v>
      </c>
      <c r="M4050" t="s">
        <v>131</v>
      </c>
      <c r="N4050">
        <v>18</v>
      </c>
      <c r="O4050" t="s">
        <v>40</v>
      </c>
      <c r="P4050" t="s">
        <v>40</v>
      </c>
      <c r="Q4050" t="s">
        <v>40</v>
      </c>
      <c r="S4050" t="s">
        <v>40</v>
      </c>
      <c r="V4050" t="s">
        <v>41</v>
      </c>
      <c r="W4050" t="s">
        <v>49</v>
      </c>
      <c r="X4050" t="str">
        <f>"0581605"</f>
        <v>0581605</v>
      </c>
      <c r="Y4050" t="s">
        <v>366</v>
      </c>
      <c r="Z4050" t="s">
        <v>345</v>
      </c>
      <c r="AA4050" t="s">
        <v>346</v>
      </c>
      <c r="AB4050" t="s">
        <v>131</v>
      </c>
      <c r="AC4050" t="s">
        <v>51</v>
      </c>
      <c r="AD4050" t="s">
        <v>45</v>
      </c>
      <c r="AE4050" s="1">
        <v>24723</v>
      </c>
      <c r="AF4050">
        <v>2</v>
      </c>
      <c r="AG4050" t="s">
        <v>346</v>
      </c>
      <c r="AH4050" s="36">
        <f t="shared" si="63"/>
        <v>52.038888888888891</v>
      </c>
      <c r="AI4050" s="41" t="s">
        <v>1781</v>
      </c>
    </row>
    <row r="4051" spans="1:35" x14ac:dyDescent="0.25">
      <c r="A4051" s="36">
        <v>99914049</v>
      </c>
      <c r="B4051" s="17" t="s">
        <v>56</v>
      </c>
      <c r="C4051" t="s">
        <v>46</v>
      </c>
      <c r="D4051" t="s">
        <v>47</v>
      </c>
      <c r="G4051" s="17" t="s">
        <v>35</v>
      </c>
      <c r="H4051" s="17">
        <v>1</v>
      </c>
      <c r="K4051" t="s">
        <v>1268</v>
      </c>
      <c r="L4051" t="s">
        <v>1269</v>
      </c>
      <c r="M4051" t="s">
        <v>1270</v>
      </c>
      <c r="N4051">
        <v>20</v>
      </c>
      <c r="O4051" t="s">
        <v>40</v>
      </c>
      <c r="P4051" t="s">
        <v>40</v>
      </c>
      <c r="Q4051" t="s">
        <v>40</v>
      </c>
      <c r="S4051" t="s">
        <v>40</v>
      </c>
      <c r="V4051" t="s">
        <v>41</v>
      </c>
      <c r="W4051" t="s">
        <v>42</v>
      </c>
      <c r="X4051" t="str">
        <f>"1990914"</f>
        <v>1990914</v>
      </c>
      <c r="Y4051" t="s">
        <v>1275</v>
      </c>
      <c r="Z4051" t="s">
        <v>1268</v>
      </c>
      <c r="AA4051" t="s">
        <v>1269</v>
      </c>
      <c r="AB4051" t="s">
        <v>1270</v>
      </c>
      <c r="AC4051" t="s">
        <v>51</v>
      </c>
      <c r="AD4051" t="s">
        <v>45</v>
      </c>
      <c r="AE4051" s="1">
        <v>24721</v>
      </c>
      <c r="AF4051">
        <v>2</v>
      </c>
      <c r="AG4051" t="s">
        <v>1269</v>
      </c>
      <c r="AH4051" s="36">
        <f t="shared" si="63"/>
        <v>52.044444444444444</v>
      </c>
      <c r="AI4051" s="41" t="s">
        <v>1781</v>
      </c>
    </row>
    <row r="4052" spans="1:35" x14ac:dyDescent="0.25">
      <c r="A4052" s="36">
        <v>99914050</v>
      </c>
      <c r="B4052" s="17" t="s">
        <v>56</v>
      </c>
      <c r="C4052" t="s">
        <v>33</v>
      </c>
      <c r="D4052" t="s">
        <v>34</v>
      </c>
      <c r="G4052" s="17" t="s">
        <v>48</v>
      </c>
      <c r="H4052" s="17">
        <v>1</v>
      </c>
      <c r="K4052" t="s">
        <v>1187</v>
      </c>
      <c r="L4052" t="s">
        <v>1188</v>
      </c>
      <c r="M4052" t="s">
        <v>1130</v>
      </c>
      <c r="N4052">
        <v>20</v>
      </c>
      <c r="O4052" t="s">
        <v>40</v>
      </c>
      <c r="P4052" t="s">
        <v>40</v>
      </c>
      <c r="Q4052" t="s">
        <v>40</v>
      </c>
      <c r="R4052" t="s">
        <v>40</v>
      </c>
      <c r="S4052" t="s">
        <v>40</v>
      </c>
      <c r="V4052" t="s">
        <v>41</v>
      </c>
      <c r="W4052" t="s">
        <v>49</v>
      </c>
      <c r="X4052" t="str">
        <f>"4581015"</f>
        <v>4581015</v>
      </c>
      <c r="Y4052" t="s">
        <v>1190</v>
      </c>
      <c r="Z4052" t="s">
        <v>1187</v>
      </c>
      <c r="AA4052" t="s">
        <v>1188</v>
      </c>
      <c r="AB4052" t="s">
        <v>1130</v>
      </c>
      <c r="AC4052" t="s">
        <v>51</v>
      </c>
      <c r="AD4052" t="s">
        <v>45</v>
      </c>
      <c r="AE4052" s="1">
        <v>24719</v>
      </c>
      <c r="AF4052">
        <v>2</v>
      </c>
      <c r="AG4052" t="s">
        <v>1188</v>
      </c>
      <c r="AH4052" s="36">
        <f t="shared" si="63"/>
        <v>52.05</v>
      </c>
      <c r="AI4052" s="41" t="s">
        <v>1781</v>
      </c>
    </row>
    <row r="4053" spans="1:35" x14ac:dyDescent="0.25">
      <c r="A4053" s="36">
        <v>99914051</v>
      </c>
      <c r="B4053" s="17" t="s">
        <v>56</v>
      </c>
      <c r="C4053" t="s">
        <v>68</v>
      </c>
      <c r="D4053" t="s">
        <v>69</v>
      </c>
      <c r="G4053" s="17" t="s">
        <v>35</v>
      </c>
      <c r="H4053" s="17">
        <v>6</v>
      </c>
      <c r="K4053" t="s">
        <v>345</v>
      </c>
      <c r="L4053" t="s">
        <v>346</v>
      </c>
      <c r="M4053" t="s">
        <v>131</v>
      </c>
      <c r="N4053">
        <v>20</v>
      </c>
      <c r="O4053" t="s">
        <v>40</v>
      </c>
      <c r="P4053" t="s">
        <v>40</v>
      </c>
      <c r="Q4053" t="s">
        <v>40</v>
      </c>
      <c r="R4053" t="s">
        <v>40</v>
      </c>
      <c r="S4053" t="s">
        <v>40</v>
      </c>
      <c r="V4053" t="s">
        <v>41</v>
      </c>
      <c r="W4053" t="s">
        <v>49</v>
      </c>
      <c r="X4053" t="str">
        <f>"0560007"</f>
        <v>0560007</v>
      </c>
      <c r="Y4053" t="s">
        <v>357</v>
      </c>
      <c r="Z4053" t="s">
        <v>345</v>
      </c>
      <c r="AA4053" t="s">
        <v>346</v>
      </c>
      <c r="AB4053" t="s">
        <v>131</v>
      </c>
      <c r="AC4053" t="s">
        <v>51</v>
      </c>
      <c r="AD4053" t="s">
        <v>45</v>
      </c>
      <c r="AE4053" s="1">
        <v>24715</v>
      </c>
      <c r="AF4053">
        <v>2</v>
      </c>
      <c r="AG4053" t="s">
        <v>346</v>
      </c>
      <c r="AH4053" s="36">
        <f t="shared" si="63"/>
        <v>52.06111111111111</v>
      </c>
      <c r="AI4053" s="41" t="s">
        <v>1781</v>
      </c>
    </row>
    <row r="4054" spans="1:35" x14ac:dyDescent="0.25">
      <c r="A4054" s="36">
        <v>99914052</v>
      </c>
      <c r="B4054" s="17" t="s">
        <v>32</v>
      </c>
      <c r="C4054" t="s">
        <v>71</v>
      </c>
      <c r="D4054" t="s">
        <v>72</v>
      </c>
      <c r="G4054" s="17" t="s">
        <v>48</v>
      </c>
      <c r="H4054" s="17">
        <v>1</v>
      </c>
      <c r="K4054" t="s">
        <v>157</v>
      </c>
      <c r="L4054" t="s">
        <v>158</v>
      </c>
      <c r="M4054" t="s">
        <v>131</v>
      </c>
      <c r="N4054">
        <v>21</v>
      </c>
      <c r="O4054" t="s">
        <v>40</v>
      </c>
      <c r="P4054" t="s">
        <v>40</v>
      </c>
      <c r="Q4054" t="s">
        <v>40</v>
      </c>
      <c r="R4054" t="s">
        <v>40</v>
      </c>
      <c r="S4054" t="s">
        <v>40</v>
      </c>
      <c r="V4054" t="s">
        <v>41</v>
      </c>
      <c r="W4054" t="s">
        <v>49</v>
      </c>
      <c r="X4054" t="str">
        <f>"0560010"</f>
        <v>0560010</v>
      </c>
      <c r="Y4054" t="s">
        <v>179</v>
      </c>
      <c r="Z4054" t="s">
        <v>157</v>
      </c>
      <c r="AA4054" t="s">
        <v>158</v>
      </c>
      <c r="AB4054" t="s">
        <v>131</v>
      </c>
      <c r="AC4054" t="s">
        <v>51</v>
      </c>
      <c r="AD4054" t="s">
        <v>45</v>
      </c>
      <c r="AE4054" s="1">
        <v>24712</v>
      </c>
      <c r="AF4054">
        <v>2</v>
      </c>
      <c r="AG4054" t="s">
        <v>158</v>
      </c>
      <c r="AH4054" s="36">
        <f t="shared" si="63"/>
        <v>52.069444444444443</v>
      </c>
      <c r="AI4054" s="41" t="s">
        <v>1781</v>
      </c>
    </row>
    <row r="4055" spans="1:35" x14ac:dyDescent="0.25">
      <c r="A4055" s="36">
        <v>99914053</v>
      </c>
      <c r="B4055" s="17" t="s">
        <v>32</v>
      </c>
      <c r="C4055" t="s">
        <v>46</v>
      </c>
      <c r="D4055" t="s">
        <v>47</v>
      </c>
      <c r="G4055" s="17" t="s">
        <v>48</v>
      </c>
      <c r="H4055" s="17">
        <v>1</v>
      </c>
      <c r="K4055" t="s">
        <v>162</v>
      </c>
      <c r="L4055" t="s">
        <v>158</v>
      </c>
      <c r="M4055" t="s">
        <v>131</v>
      </c>
      <c r="N4055">
        <v>18</v>
      </c>
      <c r="O4055" t="s">
        <v>40</v>
      </c>
      <c r="P4055" t="s">
        <v>40</v>
      </c>
      <c r="Q4055" t="s">
        <v>40</v>
      </c>
      <c r="R4055" t="s">
        <v>40</v>
      </c>
      <c r="S4055" t="s">
        <v>40</v>
      </c>
      <c r="V4055" t="s">
        <v>41</v>
      </c>
      <c r="W4055" t="s">
        <v>49</v>
      </c>
      <c r="X4055" t="str">
        <f>"0581325"</f>
        <v>0581325</v>
      </c>
      <c r="Y4055" t="s">
        <v>169</v>
      </c>
      <c r="Z4055" t="s">
        <v>162</v>
      </c>
      <c r="AA4055" t="s">
        <v>158</v>
      </c>
      <c r="AB4055" t="s">
        <v>131</v>
      </c>
      <c r="AC4055" t="s">
        <v>51</v>
      </c>
      <c r="AD4055" t="s">
        <v>45</v>
      </c>
      <c r="AE4055" s="1">
        <v>24711</v>
      </c>
      <c r="AF4055">
        <v>2</v>
      </c>
      <c r="AG4055" t="s">
        <v>158</v>
      </c>
      <c r="AH4055" s="36">
        <f t="shared" si="63"/>
        <v>52.072222222222223</v>
      </c>
      <c r="AI4055" s="41" t="s">
        <v>1781</v>
      </c>
    </row>
    <row r="4056" spans="1:35" x14ac:dyDescent="0.25">
      <c r="A4056" s="36">
        <v>99914054</v>
      </c>
      <c r="B4056" s="17" t="s">
        <v>32</v>
      </c>
      <c r="C4056" t="s">
        <v>46</v>
      </c>
      <c r="D4056" t="s">
        <v>47</v>
      </c>
      <c r="G4056" s="17" t="s">
        <v>48</v>
      </c>
      <c r="H4056" s="17">
        <v>1</v>
      </c>
      <c r="K4056" t="s">
        <v>223</v>
      </c>
      <c r="L4056" t="s">
        <v>224</v>
      </c>
      <c r="M4056" t="s">
        <v>131</v>
      </c>
      <c r="N4056">
        <v>18</v>
      </c>
      <c r="O4056" t="s">
        <v>40</v>
      </c>
      <c r="P4056" t="s">
        <v>40</v>
      </c>
      <c r="Q4056" t="s">
        <v>40</v>
      </c>
      <c r="S4056" t="s">
        <v>40</v>
      </c>
      <c r="V4056" t="s">
        <v>41</v>
      </c>
      <c r="W4056" t="s">
        <v>42</v>
      </c>
      <c r="X4056" t="str">
        <f>"0580204"</f>
        <v>0580204</v>
      </c>
      <c r="Y4056" t="s">
        <v>235</v>
      </c>
      <c r="Z4056" t="s">
        <v>223</v>
      </c>
      <c r="AA4056" t="s">
        <v>224</v>
      </c>
      <c r="AB4056" t="s">
        <v>131</v>
      </c>
      <c r="AC4056" t="s">
        <v>165</v>
      </c>
      <c r="AD4056" t="s">
        <v>45</v>
      </c>
      <c r="AE4056" s="1">
        <v>24709</v>
      </c>
      <c r="AF4056">
        <v>2</v>
      </c>
      <c r="AG4056" t="s">
        <v>224</v>
      </c>
      <c r="AH4056" s="36">
        <f t="shared" si="63"/>
        <v>52.077777777777776</v>
      </c>
      <c r="AI4056" s="41" t="s">
        <v>1781</v>
      </c>
    </row>
    <row r="4057" spans="1:35" x14ac:dyDescent="0.25">
      <c r="A4057" s="36">
        <v>99914055</v>
      </c>
      <c r="B4057" s="17" t="s">
        <v>32</v>
      </c>
      <c r="C4057" t="s">
        <v>111</v>
      </c>
      <c r="D4057" t="s">
        <v>112</v>
      </c>
      <c r="G4057" s="17" t="s">
        <v>48</v>
      </c>
      <c r="H4057" s="17">
        <v>13</v>
      </c>
      <c r="K4057" t="s">
        <v>195</v>
      </c>
      <c r="L4057" t="s">
        <v>196</v>
      </c>
      <c r="M4057" t="s">
        <v>131</v>
      </c>
      <c r="N4057">
        <v>21</v>
      </c>
      <c r="O4057" t="s">
        <v>40</v>
      </c>
      <c r="P4057" t="s">
        <v>40</v>
      </c>
      <c r="Q4057" t="s">
        <v>40</v>
      </c>
      <c r="R4057" t="s">
        <v>40</v>
      </c>
      <c r="S4057" t="s">
        <v>40</v>
      </c>
      <c r="U4057" s="1">
        <v>34124</v>
      </c>
      <c r="V4057" t="s">
        <v>41</v>
      </c>
      <c r="W4057" t="s">
        <v>75</v>
      </c>
      <c r="X4057" t="str">
        <f>"7521042"</f>
        <v>7521042</v>
      </c>
      <c r="Y4057" t="s">
        <v>440</v>
      </c>
      <c r="Z4057" t="s">
        <v>195</v>
      </c>
      <c r="AA4057" t="s">
        <v>196</v>
      </c>
      <c r="AB4057" t="s">
        <v>131</v>
      </c>
      <c r="AC4057" t="s">
        <v>165</v>
      </c>
      <c r="AD4057" t="s">
        <v>45</v>
      </c>
      <c r="AE4057" s="1">
        <v>24709</v>
      </c>
      <c r="AF4057">
        <v>1</v>
      </c>
      <c r="AG4057" t="s">
        <v>196</v>
      </c>
      <c r="AH4057" s="36">
        <f t="shared" si="63"/>
        <v>52.077777777777776</v>
      </c>
      <c r="AI4057" s="41" t="s">
        <v>1781</v>
      </c>
    </row>
    <row r="4058" spans="1:35" x14ac:dyDescent="0.25">
      <c r="A4058" s="36">
        <v>99914056</v>
      </c>
      <c r="B4058" s="17" t="s">
        <v>32</v>
      </c>
      <c r="C4058" t="s">
        <v>61</v>
      </c>
      <c r="D4058" t="s">
        <v>62</v>
      </c>
      <c r="G4058" s="17" t="s">
        <v>48</v>
      </c>
      <c r="H4058" s="17">
        <v>1</v>
      </c>
      <c r="K4058" t="s">
        <v>223</v>
      </c>
      <c r="L4058" t="s">
        <v>224</v>
      </c>
      <c r="M4058" t="s">
        <v>131</v>
      </c>
      <c r="N4058">
        <v>20</v>
      </c>
      <c r="O4058" t="s">
        <v>40</v>
      </c>
      <c r="P4058" t="s">
        <v>40</v>
      </c>
      <c r="Q4058" t="s">
        <v>40</v>
      </c>
      <c r="R4058" t="s">
        <v>40</v>
      </c>
      <c r="S4058" t="s">
        <v>40</v>
      </c>
      <c r="V4058" t="s">
        <v>41</v>
      </c>
      <c r="W4058" t="s">
        <v>49</v>
      </c>
      <c r="X4058" t="str">
        <f>"0581202"</f>
        <v>0581202</v>
      </c>
      <c r="Y4058" t="s">
        <v>248</v>
      </c>
      <c r="Z4058" t="s">
        <v>223</v>
      </c>
      <c r="AA4058" t="s">
        <v>224</v>
      </c>
      <c r="AB4058" t="s">
        <v>131</v>
      </c>
      <c r="AC4058" t="s">
        <v>51</v>
      </c>
      <c r="AD4058" t="s">
        <v>45</v>
      </c>
      <c r="AE4058" s="1">
        <v>24708</v>
      </c>
      <c r="AF4058">
        <v>2</v>
      </c>
      <c r="AG4058" t="s">
        <v>224</v>
      </c>
      <c r="AH4058" s="36">
        <f t="shared" si="63"/>
        <v>52.080555555555556</v>
      </c>
      <c r="AI4058" s="41" t="s">
        <v>1781</v>
      </c>
    </row>
    <row r="4059" spans="1:35" x14ac:dyDescent="0.25">
      <c r="A4059" s="36">
        <v>99914057</v>
      </c>
      <c r="B4059" s="17" t="s">
        <v>32</v>
      </c>
      <c r="C4059" t="s">
        <v>139</v>
      </c>
      <c r="D4059" t="s">
        <v>140</v>
      </c>
      <c r="G4059" s="17" t="s">
        <v>35</v>
      </c>
      <c r="H4059" s="17">
        <v>1</v>
      </c>
      <c r="J4059" s="1">
        <v>38230</v>
      </c>
      <c r="K4059" t="s">
        <v>1336</v>
      </c>
      <c r="L4059" t="s">
        <v>1337</v>
      </c>
      <c r="M4059" t="s">
        <v>1270</v>
      </c>
      <c r="N4059">
        <v>10</v>
      </c>
      <c r="O4059" t="s">
        <v>40</v>
      </c>
      <c r="P4059" t="s">
        <v>40</v>
      </c>
      <c r="Q4059" t="s">
        <v>40</v>
      </c>
      <c r="R4059" t="s">
        <v>40</v>
      </c>
      <c r="S4059" t="s">
        <v>40</v>
      </c>
      <c r="U4059" s="1">
        <v>38230</v>
      </c>
      <c r="V4059" t="s">
        <v>41</v>
      </c>
      <c r="W4059" t="s">
        <v>49</v>
      </c>
      <c r="X4059" t="str">
        <f>"4475075"</f>
        <v>4475075</v>
      </c>
      <c r="Y4059" t="s">
        <v>1339</v>
      </c>
      <c r="Z4059" t="s">
        <v>1336</v>
      </c>
      <c r="AA4059" t="s">
        <v>1337</v>
      </c>
      <c r="AB4059" t="s">
        <v>1270</v>
      </c>
      <c r="AC4059" t="s">
        <v>51</v>
      </c>
      <c r="AD4059" t="s">
        <v>45</v>
      </c>
      <c r="AE4059" s="1">
        <v>24708</v>
      </c>
      <c r="AF4059">
        <v>2</v>
      </c>
      <c r="AG4059" t="s">
        <v>1337</v>
      </c>
      <c r="AH4059" s="36">
        <f t="shared" si="63"/>
        <v>52.080555555555556</v>
      </c>
      <c r="AI4059" s="41" t="s">
        <v>1781</v>
      </c>
    </row>
    <row r="4060" spans="1:35" x14ac:dyDescent="0.25">
      <c r="A4060" s="36">
        <v>99914058</v>
      </c>
      <c r="B4060" s="17" t="s">
        <v>32</v>
      </c>
      <c r="C4060" t="s">
        <v>52</v>
      </c>
      <c r="D4060" t="s">
        <v>53</v>
      </c>
      <c r="G4060" s="17" t="s">
        <v>48</v>
      </c>
      <c r="H4060" s="17">
        <v>1</v>
      </c>
      <c r="K4060" t="s">
        <v>223</v>
      </c>
      <c r="L4060" t="s">
        <v>224</v>
      </c>
      <c r="M4060" t="s">
        <v>131</v>
      </c>
      <c r="N4060">
        <v>21</v>
      </c>
      <c r="O4060" t="s">
        <v>40</v>
      </c>
      <c r="P4060" t="s">
        <v>40</v>
      </c>
      <c r="Q4060" t="s">
        <v>40</v>
      </c>
      <c r="R4060" t="s">
        <v>40</v>
      </c>
      <c r="S4060" t="s">
        <v>40</v>
      </c>
      <c r="V4060" t="s">
        <v>41</v>
      </c>
      <c r="W4060" t="s">
        <v>49</v>
      </c>
      <c r="X4060" t="str">
        <f>"0591910"</f>
        <v>0591910</v>
      </c>
      <c r="Y4060" t="s">
        <v>228</v>
      </c>
      <c r="Z4060" t="s">
        <v>223</v>
      </c>
      <c r="AA4060" t="s">
        <v>224</v>
      </c>
      <c r="AB4060" t="s">
        <v>131</v>
      </c>
      <c r="AC4060" t="s">
        <v>51</v>
      </c>
      <c r="AD4060" t="s">
        <v>45</v>
      </c>
      <c r="AE4060" s="1">
        <v>24704</v>
      </c>
      <c r="AF4060">
        <v>2</v>
      </c>
      <c r="AG4060" t="s">
        <v>224</v>
      </c>
      <c r="AH4060" s="36">
        <f t="shared" si="63"/>
        <v>52.091666666666669</v>
      </c>
      <c r="AI4060" s="41" t="s">
        <v>1781</v>
      </c>
    </row>
    <row r="4061" spans="1:35" x14ac:dyDescent="0.25">
      <c r="A4061" s="36">
        <v>99914059</v>
      </c>
      <c r="B4061" s="17" t="s">
        <v>32</v>
      </c>
      <c r="C4061" t="s">
        <v>79</v>
      </c>
      <c r="D4061" t="s">
        <v>80</v>
      </c>
      <c r="G4061" s="17" t="s">
        <v>48</v>
      </c>
      <c r="H4061" s="17">
        <v>11</v>
      </c>
      <c r="I4061">
        <v>164</v>
      </c>
      <c r="J4061" s="1">
        <v>37454</v>
      </c>
      <c r="K4061" t="s">
        <v>195</v>
      </c>
      <c r="L4061" t="s">
        <v>196</v>
      </c>
      <c r="M4061" t="s">
        <v>131</v>
      </c>
      <c r="N4061">
        <v>21</v>
      </c>
      <c r="O4061" t="s">
        <v>40</v>
      </c>
      <c r="P4061" t="s">
        <v>40</v>
      </c>
      <c r="Q4061" t="s">
        <v>40</v>
      </c>
      <c r="R4061" t="s">
        <v>40</v>
      </c>
      <c r="S4061" t="s">
        <v>40</v>
      </c>
      <c r="U4061" s="1">
        <v>37454</v>
      </c>
      <c r="V4061" t="s">
        <v>41</v>
      </c>
      <c r="W4061" t="s">
        <v>75</v>
      </c>
      <c r="X4061" t="str">
        <f>"7521046"</f>
        <v>7521046</v>
      </c>
      <c r="Y4061" t="s">
        <v>436</v>
      </c>
      <c r="Z4061" t="s">
        <v>195</v>
      </c>
      <c r="AA4061" t="s">
        <v>196</v>
      </c>
      <c r="AB4061" t="s">
        <v>131</v>
      </c>
      <c r="AC4061" t="s">
        <v>165</v>
      </c>
      <c r="AD4061" t="s">
        <v>45</v>
      </c>
      <c r="AE4061" s="1">
        <v>24704</v>
      </c>
      <c r="AF4061">
        <v>1</v>
      </c>
      <c r="AG4061" t="s">
        <v>196</v>
      </c>
      <c r="AH4061" s="36">
        <f t="shared" si="63"/>
        <v>52.091666666666669</v>
      </c>
      <c r="AI4061" s="41" t="s">
        <v>1781</v>
      </c>
    </row>
    <row r="4062" spans="1:35" x14ac:dyDescent="0.25">
      <c r="A4062" s="36">
        <v>99914060</v>
      </c>
      <c r="B4062" s="17" t="s">
        <v>32</v>
      </c>
      <c r="C4062" t="s">
        <v>139</v>
      </c>
      <c r="D4062" t="s">
        <v>140</v>
      </c>
      <c r="G4062" s="17" t="s">
        <v>35</v>
      </c>
      <c r="H4062" s="17">
        <v>1</v>
      </c>
      <c r="K4062" t="s">
        <v>1268</v>
      </c>
      <c r="L4062" t="s">
        <v>1269</v>
      </c>
      <c r="M4062" t="s">
        <v>1270</v>
      </c>
      <c r="N4062">
        <v>21</v>
      </c>
      <c r="O4062" t="s">
        <v>40</v>
      </c>
      <c r="P4062" t="s">
        <v>40</v>
      </c>
      <c r="Q4062" t="s">
        <v>40</v>
      </c>
      <c r="S4062" t="s">
        <v>40</v>
      </c>
      <c r="V4062" t="s">
        <v>41</v>
      </c>
      <c r="W4062" t="s">
        <v>42</v>
      </c>
      <c r="X4062" t="str">
        <f>"1990914"</f>
        <v>1990914</v>
      </c>
      <c r="Y4062" t="s">
        <v>1275</v>
      </c>
      <c r="Z4062" t="s">
        <v>1268</v>
      </c>
      <c r="AA4062" t="s">
        <v>1269</v>
      </c>
      <c r="AB4062" t="s">
        <v>1270</v>
      </c>
      <c r="AC4062" t="s">
        <v>51</v>
      </c>
      <c r="AD4062" t="s">
        <v>45</v>
      </c>
      <c r="AE4062" s="1">
        <v>24703</v>
      </c>
      <c r="AF4062">
        <v>2</v>
      </c>
      <c r="AG4062" t="s">
        <v>1269</v>
      </c>
      <c r="AH4062" s="36">
        <f t="shared" si="63"/>
        <v>52.094444444444441</v>
      </c>
      <c r="AI4062" s="41" t="s">
        <v>1781</v>
      </c>
    </row>
    <row r="4063" spans="1:35" x14ac:dyDescent="0.25">
      <c r="A4063" s="36">
        <v>99914061</v>
      </c>
      <c r="B4063" s="17" t="s">
        <v>56</v>
      </c>
      <c r="C4063" t="s">
        <v>79</v>
      </c>
      <c r="D4063" t="s">
        <v>80</v>
      </c>
      <c r="G4063" s="17" t="s">
        <v>48</v>
      </c>
      <c r="H4063" s="17">
        <v>1</v>
      </c>
      <c r="K4063" t="s">
        <v>300</v>
      </c>
      <c r="L4063" t="s">
        <v>301</v>
      </c>
      <c r="M4063" t="s">
        <v>131</v>
      </c>
      <c r="N4063">
        <v>10</v>
      </c>
      <c r="O4063" t="s">
        <v>40</v>
      </c>
      <c r="P4063" t="s">
        <v>40</v>
      </c>
      <c r="Q4063" t="s">
        <v>40</v>
      </c>
      <c r="S4063" t="s">
        <v>40</v>
      </c>
      <c r="V4063" t="s">
        <v>41</v>
      </c>
      <c r="W4063" t="s">
        <v>49</v>
      </c>
      <c r="X4063" t="str">
        <f>"0560020"</f>
        <v>0560020</v>
      </c>
      <c r="Y4063" t="s">
        <v>302</v>
      </c>
      <c r="Z4063" t="s">
        <v>300</v>
      </c>
      <c r="AA4063" t="s">
        <v>301</v>
      </c>
      <c r="AB4063" t="s">
        <v>131</v>
      </c>
      <c r="AC4063" t="s">
        <v>51</v>
      </c>
      <c r="AD4063" t="s">
        <v>45</v>
      </c>
      <c r="AE4063" s="1">
        <v>24700</v>
      </c>
      <c r="AF4063">
        <v>2</v>
      </c>
      <c r="AG4063" t="s">
        <v>301</v>
      </c>
      <c r="AH4063" s="36">
        <f t="shared" si="63"/>
        <v>52.102777777777774</v>
      </c>
      <c r="AI4063" s="41" t="s">
        <v>1781</v>
      </c>
    </row>
    <row r="4064" spans="1:35" x14ac:dyDescent="0.25">
      <c r="A4064" s="36">
        <v>99914062</v>
      </c>
      <c r="B4064" s="17" t="s">
        <v>32</v>
      </c>
      <c r="C4064" t="s">
        <v>79</v>
      </c>
      <c r="D4064" t="s">
        <v>80</v>
      </c>
      <c r="G4064" s="17" t="s">
        <v>35</v>
      </c>
      <c r="H4064" s="17">
        <v>1</v>
      </c>
      <c r="K4064" t="s">
        <v>223</v>
      </c>
      <c r="L4064" t="s">
        <v>224</v>
      </c>
      <c r="M4064" t="s">
        <v>131</v>
      </c>
      <c r="N4064">
        <v>18</v>
      </c>
      <c r="O4064" t="s">
        <v>40</v>
      </c>
      <c r="P4064" t="s">
        <v>40</v>
      </c>
      <c r="Q4064" t="s">
        <v>40</v>
      </c>
      <c r="S4064" t="s">
        <v>40</v>
      </c>
      <c r="V4064" t="s">
        <v>41</v>
      </c>
      <c r="W4064" t="s">
        <v>42</v>
      </c>
      <c r="X4064" t="str">
        <f>"0590907"</f>
        <v>0590907</v>
      </c>
      <c r="Y4064" t="s">
        <v>285</v>
      </c>
      <c r="Z4064" t="s">
        <v>223</v>
      </c>
      <c r="AA4064" t="s">
        <v>224</v>
      </c>
      <c r="AB4064" t="s">
        <v>131</v>
      </c>
      <c r="AC4064" t="s">
        <v>51</v>
      </c>
      <c r="AD4064" t="s">
        <v>45</v>
      </c>
      <c r="AE4064" s="1">
        <v>24699</v>
      </c>
      <c r="AF4064">
        <v>2</v>
      </c>
      <c r="AG4064" t="s">
        <v>224</v>
      </c>
      <c r="AH4064" s="36">
        <f t="shared" si="63"/>
        <v>52.105555555555554</v>
      </c>
      <c r="AI4064" s="41" t="s">
        <v>1781</v>
      </c>
    </row>
    <row r="4065" spans="1:35" x14ac:dyDescent="0.25">
      <c r="A4065" s="36">
        <v>99914063</v>
      </c>
      <c r="B4065" s="17" t="s">
        <v>32</v>
      </c>
      <c r="C4065" t="s">
        <v>141</v>
      </c>
      <c r="D4065" t="s">
        <v>142</v>
      </c>
      <c r="G4065" s="17" t="s">
        <v>35</v>
      </c>
      <c r="H4065" s="17">
        <v>1</v>
      </c>
      <c r="K4065" t="s">
        <v>268</v>
      </c>
      <c r="L4065" t="s">
        <v>269</v>
      </c>
      <c r="M4065" t="s">
        <v>131</v>
      </c>
      <c r="N4065">
        <v>6</v>
      </c>
      <c r="O4065" t="s">
        <v>40</v>
      </c>
      <c r="P4065" t="s">
        <v>40</v>
      </c>
      <c r="Q4065" t="s">
        <v>40</v>
      </c>
      <c r="S4065" t="s">
        <v>40</v>
      </c>
      <c r="V4065" t="s">
        <v>41</v>
      </c>
      <c r="W4065" t="s">
        <v>75</v>
      </c>
      <c r="X4065" t="str">
        <f>"7052000"</f>
        <v>7052000</v>
      </c>
      <c r="Y4065" t="s">
        <v>656</v>
      </c>
      <c r="Z4065" t="s">
        <v>268</v>
      </c>
      <c r="AA4065" t="s">
        <v>269</v>
      </c>
      <c r="AB4065" t="s">
        <v>131</v>
      </c>
      <c r="AC4065" t="s">
        <v>51</v>
      </c>
      <c r="AD4065" t="s">
        <v>45</v>
      </c>
      <c r="AE4065" s="1">
        <v>24697</v>
      </c>
      <c r="AF4065">
        <v>1</v>
      </c>
      <c r="AG4065" t="s">
        <v>269</v>
      </c>
      <c r="AH4065" s="36">
        <f t="shared" si="63"/>
        <v>52.111111111111114</v>
      </c>
      <c r="AI4065" s="41" t="s">
        <v>1781</v>
      </c>
    </row>
    <row r="4066" spans="1:35" x14ac:dyDescent="0.25">
      <c r="A4066" s="36">
        <v>99914064</v>
      </c>
      <c r="B4066" s="17" t="s">
        <v>56</v>
      </c>
      <c r="C4066" t="s">
        <v>68</v>
      </c>
      <c r="D4066" t="s">
        <v>69</v>
      </c>
      <c r="G4066" s="17" t="s">
        <v>48</v>
      </c>
      <c r="H4066" s="17">
        <v>1</v>
      </c>
      <c r="K4066" t="s">
        <v>1268</v>
      </c>
      <c r="L4066" t="s">
        <v>1269</v>
      </c>
      <c r="M4066" t="s">
        <v>1270</v>
      </c>
      <c r="N4066">
        <v>236</v>
      </c>
      <c r="O4066" t="s">
        <v>40</v>
      </c>
      <c r="P4066" t="s">
        <v>40</v>
      </c>
      <c r="Q4066" t="s">
        <v>40</v>
      </c>
      <c r="R4066" t="s">
        <v>40</v>
      </c>
      <c r="S4066" t="s">
        <v>40</v>
      </c>
      <c r="V4066" t="s">
        <v>41</v>
      </c>
      <c r="W4066" t="s">
        <v>42</v>
      </c>
      <c r="X4066" t="str">
        <f>"1990912"</f>
        <v>1990912</v>
      </c>
      <c r="Y4066" t="s">
        <v>1271</v>
      </c>
      <c r="Z4066" t="s">
        <v>1268</v>
      </c>
      <c r="AA4066" t="s">
        <v>1269</v>
      </c>
      <c r="AB4066" t="s">
        <v>1270</v>
      </c>
      <c r="AC4066" t="s">
        <v>51</v>
      </c>
      <c r="AD4066" t="s">
        <v>45</v>
      </c>
      <c r="AE4066" s="1">
        <v>24695</v>
      </c>
      <c r="AF4066">
        <v>2</v>
      </c>
      <c r="AG4066" t="s">
        <v>1269</v>
      </c>
      <c r="AH4066" s="36">
        <f t="shared" si="63"/>
        <v>52.116666666666667</v>
      </c>
      <c r="AI4066" s="41" t="s">
        <v>1781</v>
      </c>
    </row>
    <row r="4067" spans="1:35" x14ac:dyDescent="0.25">
      <c r="A4067" s="36">
        <v>99914065</v>
      </c>
      <c r="B4067" s="17" t="s">
        <v>32</v>
      </c>
      <c r="C4067" t="s">
        <v>82</v>
      </c>
      <c r="D4067" t="s">
        <v>83</v>
      </c>
      <c r="G4067" s="17" t="s">
        <v>35</v>
      </c>
      <c r="H4067" s="17">
        <v>1</v>
      </c>
      <c r="I4067" t="s">
        <v>329</v>
      </c>
      <c r="J4067" s="1">
        <v>43344</v>
      </c>
      <c r="K4067" t="s">
        <v>300</v>
      </c>
      <c r="L4067" t="s">
        <v>301</v>
      </c>
      <c r="M4067" t="s">
        <v>131</v>
      </c>
      <c r="N4067">
        <v>11</v>
      </c>
      <c r="O4067" t="s">
        <v>40</v>
      </c>
      <c r="P4067" t="s">
        <v>40</v>
      </c>
      <c r="Q4067" t="s">
        <v>40</v>
      </c>
      <c r="R4067" t="s">
        <v>40</v>
      </c>
      <c r="S4067" t="s">
        <v>40</v>
      </c>
      <c r="U4067" s="1">
        <v>43344</v>
      </c>
      <c r="V4067" t="s">
        <v>41</v>
      </c>
      <c r="W4067" t="s">
        <v>42</v>
      </c>
      <c r="X4067" t="str">
        <f>"0580175"</f>
        <v>0580175</v>
      </c>
      <c r="Y4067" t="s">
        <v>303</v>
      </c>
      <c r="Z4067" t="s">
        <v>300</v>
      </c>
      <c r="AA4067" t="s">
        <v>301</v>
      </c>
      <c r="AB4067" t="s">
        <v>131</v>
      </c>
      <c r="AC4067" t="s">
        <v>51</v>
      </c>
      <c r="AD4067" t="s">
        <v>45</v>
      </c>
      <c r="AE4067" s="1">
        <v>24694</v>
      </c>
      <c r="AF4067">
        <v>2</v>
      </c>
      <c r="AG4067" t="s">
        <v>301</v>
      </c>
      <c r="AH4067" s="36">
        <f t="shared" si="63"/>
        <v>52.119444444444447</v>
      </c>
      <c r="AI4067" s="41" t="s">
        <v>1781</v>
      </c>
    </row>
    <row r="4068" spans="1:35" x14ac:dyDescent="0.25">
      <c r="A4068" s="36">
        <v>99914066</v>
      </c>
      <c r="B4068" s="17" t="s">
        <v>32</v>
      </c>
      <c r="C4068" t="s">
        <v>79</v>
      </c>
      <c r="D4068" t="s">
        <v>80</v>
      </c>
      <c r="G4068" s="17" t="s">
        <v>48</v>
      </c>
      <c r="H4068" s="17">
        <v>1</v>
      </c>
      <c r="K4068" t="s">
        <v>223</v>
      </c>
      <c r="L4068" t="s">
        <v>224</v>
      </c>
      <c r="M4068" t="s">
        <v>131</v>
      </c>
      <c r="N4068">
        <v>18</v>
      </c>
      <c r="O4068" t="s">
        <v>40</v>
      </c>
      <c r="P4068" t="s">
        <v>40</v>
      </c>
      <c r="Q4068" t="s">
        <v>40</v>
      </c>
      <c r="R4068" t="s">
        <v>40</v>
      </c>
      <c r="S4068" t="s">
        <v>40</v>
      </c>
      <c r="V4068" t="s">
        <v>41</v>
      </c>
      <c r="W4068" t="s">
        <v>49</v>
      </c>
      <c r="X4068" t="str">
        <f>"0581202"</f>
        <v>0581202</v>
      </c>
      <c r="Y4068" t="s">
        <v>248</v>
      </c>
      <c r="Z4068" t="s">
        <v>223</v>
      </c>
      <c r="AA4068" t="s">
        <v>224</v>
      </c>
      <c r="AB4068" t="s">
        <v>131</v>
      </c>
      <c r="AC4068" t="s">
        <v>165</v>
      </c>
      <c r="AD4068" t="s">
        <v>45</v>
      </c>
      <c r="AE4068" s="1">
        <v>24692</v>
      </c>
      <c r="AF4068">
        <v>2</v>
      </c>
      <c r="AG4068" t="s">
        <v>224</v>
      </c>
      <c r="AH4068" s="36">
        <f t="shared" si="63"/>
        <v>52.125</v>
      </c>
      <c r="AI4068" s="41" t="s">
        <v>1781</v>
      </c>
    </row>
    <row r="4069" spans="1:35" x14ac:dyDescent="0.25">
      <c r="A4069" s="36">
        <v>99914067</v>
      </c>
      <c r="B4069" s="17" t="s">
        <v>32</v>
      </c>
      <c r="C4069" t="s">
        <v>139</v>
      </c>
      <c r="D4069" t="s">
        <v>140</v>
      </c>
      <c r="G4069" s="17" t="s">
        <v>48</v>
      </c>
      <c r="H4069" s="17">
        <v>1</v>
      </c>
      <c r="K4069" t="s">
        <v>345</v>
      </c>
      <c r="L4069" t="s">
        <v>346</v>
      </c>
      <c r="M4069" t="s">
        <v>131</v>
      </c>
      <c r="N4069">
        <v>21</v>
      </c>
      <c r="O4069" t="s">
        <v>40</v>
      </c>
      <c r="P4069" t="s">
        <v>40</v>
      </c>
      <c r="Q4069" t="s">
        <v>40</v>
      </c>
      <c r="R4069" t="s">
        <v>40</v>
      </c>
      <c r="S4069" t="s">
        <v>40</v>
      </c>
      <c r="V4069" t="s">
        <v>41</v>
      </c>
      <c r="W4069" t="s">
        <v>42</v>
      </c>
      <c r="X4069" t="str">
        <f>"0561019"</f>
        <v>0561019</v>
      </c>
      <c r="Y4069" t="s">
        <v>351</v>
      </c>
      <c r="Z4069" t="s">
        <v>345</v>
      </c>
      <c r="AA4069" t="s">
        <v>346</v>
      </c>
      <c r="AB4069" t="s">
        <v>131</v>
      </c>
      <c r="AC4069" t="s">
        <v>51</v>
      </c>
      <c r="AD4069" t="s">
        <v>45</v>
      </c>
      <c r="AE4069" s="1">
        <v>24692</v>
      </c>
      <c r="AF4069">
        <v>2</v>
      </c>
      <c r="AG4069" t="s">
        <v>346</v>
      </c>
      <c r="AH4069" s="36">
        <f t="shared" si="63"/>
        <v>52.125</v>
      </c>
      <c r="AI4069" s="41" t="s">
        <v>1781</v>
      </c>
    </row>
    <row r="4070" spans="1:35" x14ac:dyDescent="0.25">
      <c r="A4070" s="36">
        <v>99914068</v>
      </c>
      <c r="B4070" s="17" t="s">
        <v>32</v>
      </c>
      <c r="C4070" t="s">
        <v>90</v>
      </c>
      <c r="D4070" t="s">
        <v>91</v>
      </c>
      <c r="G4070" s="17" t="s">
        <v>35</v>
      </c>
      <c r="H4070" s="17">
        <v>1</v>
      </c>
      <c r="K4070" t="s">
        <v>268</v>
      </c>
      <c r="L4070" t="s">
        <v>269</v>
      </c>
      <c r="M4070" t="s">
        <v>131</v>
      </c>
      <c r="N4070">
        <v>25</v>
      </c>
      <c r="O4070" t="s">
        <v>40</v>
      </c>
      <c r="P4070" t="s">
        <v>40</v>
      </c>
      <c r="Q4070" t="s">
        <v>40</v>
      </c>
      <c r="R4070" t="s">
        <v>40</v>
      </c>
      <c r="S4070" t="s">
        <v>40</v>
      </c>
      <c r="V4070" t="s">
        <v>41</v>
      </c>
      <c r="W4070" t="s">
        <v>95</v>
      </c>
      <c r="X4070" t="str">
        <f>"7052005"</f>
        <v>7052005</v>
      </c>
      <c r="Y4070" t="s">
        <v>730</v>
      </c>
      <c r="Z4070" t="s">
        <v>268</v>
      </c>
      <c r="AA4070" t="s">
        <v>269</v>
      </c>
      <c r="AB4070" t="s">
        <v>131</v>
      </c>
      <c r="AC4070" t="s">
        <v>51</v>
      </c>
      <c r="AD4070" t="s">
        <v>45</v>
      </c>
      <c r="AE4070" s="1">
        <v>24690</v>
      </c>
      <c r="AF4070">
        <v>1</v>
      </c>
      <c r="AG4070" t="s">
        <v>269</v>
      </c>
      <c r="AH4070" s="36">
        <f t="shared" si="63"/>
        <v>52.130555555555553</v>
      </c>
      <c r="AI4070" s="41" t="s">
        <v>1781</v>
      </c>
    </row>
    <row r="4071" spans="1:35" x14ac:dyDescent="0.25">
      <c r="A4071" s="36">
        <v>99914069</v>
      </c>
      <c r="B4071" s="17" t="s">
        <v>32</v>
      </c>
      <c r="C4071" t="s">
        <v>46</v>
      </c>
      <c r="D4071" t="s">
        <v>47</v>
      </c>
      <c r="G4071" s="17" t="s">
        <v>35</v>
      </c>
      <c r="H4071" s="17">
        <v>1</v>
      </c>
      <c r="K4071" t="s">
        <v>300</v>
      </c>
      <c r="L4071" t="s">
        <v>301</v>
      </c>
      <c r="M4071" t="s">
        <v>131</v>
      </c>
      <c r="N4071">
        <v>20</v>
      </c>
      <c r="O4071" t="s">
        <v>40</v>
      </c>
      <c r="P4071" t="s">
        <v>40</v>
      </c>
      <c r="Q4071" t="s">
        <v>40</v>
      </c>
      <c r="R4071" t="s">
        <v>40</v>
      </c>
      <c r="S4071" t="s">
        <v>40</v>
      </c>
      <c r="V4071" t="s">
        <v>41</v>
      </c>
      <c r="W4071" t="s">
        <v>42</v>
      </c>
      <c r="X4071" t="str">
        <f>"0580023"</f>
        <v>0580023</v>
      </c>
      <c r="Y4071" t="s">
        <v>313</v>
      </c>
      <c r="Z4071" t="s">
        <v>300</v>
      </c>
      <c r="AA4071" t="s">
        <v>301</v>
      </c>
      <c r="AB4071" t="s">
        <v>131</v>
      </c>
      <c r="AC4071" t="s">
        <v>165</v>
      </c>
      <c r="AD4071" t="s">
        <v>45</v>
      </c>
      <c r="AE4071" s="1">
        <v>24687</v>
      </c>
      <c r="AF4071">
        <v>2</v>
      </c>
      <c r="AG4071" t="s">
        <v>301</v>
      </c>
      <c r="AH4071" s="36">
        <f t="shared" si="63"/>
        <v>52.138888888888886</v>
      </c>
      <c r="AI4071" s="41" t="s">
        <v>1781</v>
      </c>
    </row>
    <row r="4072" spans="1:35" x14ac:dyDescent="0.25">
      <c r="A4072" s="36">
        <v>99914070</v>
      </c>
      <c r="B4072" s="17" t="s">
        <v>56</v>
      </c>
      <c r="C4072" t="s">
        <v>82</v>
      </c>
      <c r="D4072" t="s">
        <v>83</v>
      </c>
      <c r="G4072" s="17" t="s">
        <v>48</v>
      </c>
      <c r="H4072" s="17">
        <v>1</v>
      </c>
      <c r="K4072" t="s">
        <v>1487</v>
      </c>
      <c r="L4072" t="s">
        <v>1488</v>
      </c>
      <c r="M4072" t="s">
        <v>670</v>
      </c>
      <c r="N4072">
        <v>16</v>
      </c>
      <c r="O4072" t="s">
        <v>40</v>
      </c>
      <c r="P4072" t="s">
        <v>40</v>
      </c>
      <c r="Q4072" t="s">
        <v>40</v>
      </c>
      <c r="R4072" t="s">
        <v>40</v>
      </c>
      <c r="S4072" t="s">
        <v>40</v>
      </c>
      <c r="V4072" t="s">
        <v>41</v>
      </c>
      <c r="W4072" t="s">
        <v>49</v>
      </c>
      <c r="X4072" t="str">
        <f>"1760001"</f>
        <v>1760001</v>
      </c>
      <c r="Y4072" t="s">
        <v>1489</v>
      </c>
      <c r="Z4072" t="s">
        <v>1487</v>
      </c>
      <c r="AA4072" t="s">
        <v>1488</v>
      </c>
      <c r="AB4072" t="s">
        <v>670</v>
      </c>
      <c r="AC4072" t="s">
        <v>51</v>
      </c>
      <c r="AD4072" t="s">
        <v>45</v>
      </c>
      <c r="AE4072" s="1">
        <v>24687</v>
      </c>
      <c r="AF4072">
        <v>2</v>
      </c>
      <c r="AG4072" t="s">
        <v>1488</v>
      </c>
      <c r="AH4072" s="36">
        <f t="shared" si="63"/>
        <v>52.138888888888886</v>
      </c>
      <c r="AI4072" s="41" t="s">
        <v>1781</v>
      </c>
    </row>
    <row r="4073" spans="1:35" x14ac:dyDescent="0.25">
      <c r="A4073" s="36">
        <v>99914071</v>
      </c>
      <c r="B4073" s="17" t="s">
        <v>32</v>
      </c>
      <c r="C4073" t="s">
        <v>46</v>
      </c>
      <c r="D4073" t="s">
        <v>47</v>
      </c>
      <c r="G4073" s="17" t="s">
        <v>35</v>
      </c>
      <c r="H4073" s="17">
        <v>1</v>
      </c>
      <c r="K4073" t="s">
        <v>223</v>
      </c>
      <c r="L4073" t="s">
        <v>224</v>
      </c>
      <c r="M4073" t="s">
        <v>131</v>
      </c>
      <c r="N4073">
        <v>18</v>
      </c>
      <c r="O4073" t="s">
        <v>40</v>
      </c>
      <c r="P4073" t="s">
        <v>40</v>
      </c>
      <c r="Q4073" t="s">
        <v>40</v>
      </c>
      <c r="R4073" t="s">
        <v>40</v>
      </c>
      <c r="S4073" t="s">
        <v>40</v>
      </c>
      <c r="V4073" t="s">
        <v>41</v>
      </c>
      <c r="W4073" t="s">
        <v>42</v>
      </c>
      <c r="X4073" t="str">
        <f>"0590901"</f>
        <v>0590901</v>
      </c>
      <c r="Y4073" t="s">
        <v>242</v>
      </c>
      <c r="Z4073" t="s">
        <v>223</v>
      </c>
      <c r="AA4073" t="s">
        <v>224</v>
      </c>
      <c r="AB4073" t="s">
        <v>131</v>
      </c>
      <c r="AC4073" t="s">
        <v>165</v>
      </c>
      <c r="AD4073" t="s">
        <v>45</v>
      </c>
      <c r="AE4073" s="1">
        <v>24684</v>
      </c>
      <c r="AF4073">
        <v>2</v>
      </c>
      <c r="AG4073" t="s">
        <v>224</v>
      </c>
      <c r="AH4073" s="36">
        <f t="shared" si="63"/>
        <v>52.147222222222226</v>
      </c>
      <c r="AI4073" s="41" t="s">
        <v>1781</v>
      </c>
    </row>
    <row r="4074" spans="1:35" x14ac:dyDescent="0.25">
      <c r="A4074" s="36">
        <v>99914072</v>
      </c>
      <c r="B4074" s="17" t="s">
        <v>32</v>
      </c>
      <c r="C4074" t="s">
        <v>90</v>
      </c>
      <c r="D4074" t="s">
        <v>91</v>
      </c>
      <c r="G4074" s="17" t="s">
        <v>35</v>
      </c>
      <c r="H4074" s="17">
        <v>1</v>
      </c>
      <c r="K4074" t="s">
        <v>268</v>
      </c>
      <c r="L4074" t="s">
        <v>269</v>
      </c>
      <c r="M4074" t="s">
        <v>131</v>
      </c>
      <c r="N4074">
        <v>6</v>
      </c>
      <c r="O4074" t="s">
        <v>40</v>
      </c>
      <c r="P4074" t="s">
        <v>40</v>
      </c>
      <c r="Q4074" t="s">
        <v>40</v>
      </c>
      <c r="S4074" t="s">
        <v>40</v>
      </c>
      <c r="V4074" t="s">
        <v>41</v>
      </c>
      <c r="W4074" t="s">
        <v>95</v>
      </c>
      <c r="X4074" t="str">
        <f>"7052121"</f>
        <v>7052121</v>
      </c>
      <c r="Y4074" t="s">
        <v>749</v>
      </c>
      <c r="Z4074" t="s">
        <v>268</v>
      </c>
      <c r="AA4074" t="s">
        <v>269</v>
      </c>
      <c r="AB4074" t="s">
        <v>131</v>
      </c>
      <c r="AC4074" t="s">
        <v>51</v>
      </c>
      <c r="AD4074" t="s">
        <v>45</v>
      </c>
      <c r="AE4074" s="1">
        <v>24682</v>
      </c>
      <c r="AF4074">
        <v>1</v>
      </c>
      <c r="AG4074" t="s">
        <v>269</v>
      </c>
      <c r="AH4074" s="36">
        <f t="shared" si="63"/>
        <v>52.152777777777779</v>
      </c>
      <c r="AI4074" s="41" t="s">
        <v>1781</v>
      </c>
    </row>
    <row r="4075" spans="1:35" x14ac:dyDescent="0.25">
      <c r="A4075" s="36">
        <v>99914073</v>
      </c>
      <c r="B4075" s="17" t="s">
        <v>56</v>
      </c>
      <c r="C4075" t="s">
        <v>33</v>
      </c>
      <c r="D4075" t="s">
        <v>34</v>
      </c>
      <c r="G4075" s="17" t="s">
        <v>35</v>
      </c>
      <c r="H4075" s="17">
        <v>1</v>
      </c>
      <c r="J4075" s="1">
        <v>38230</v>
      </c>
      <c r="K4075" t="s">
        <v>1336</v>
      </c>
      <c r="L4075" t="s">
        <v>1337</v>
      </c>
      <c r="M4075" t="s">
        <v>1270</v>
      </c>
      <c r="N4075">
        <v>17</v>
      </c>
      <c r="O4075" t="s">
        <v>40</v>
      </c>
      <c r="P4075" t="s">
        <v>40</v>
      </c>
      <c r="Q4075" t="s">
        <v>40</v>
      </c>
      <c r="R4075" t="s">
        <v>40</v>
      </c>
      <c r="S4075" t="s">
        <v>40</v>
      </c>
      <c r="U4075" s="1">
        <v>38230</v>
      </c>
      <c r="V4075" t="s">
        <v>41</v>
      </c>
      <c r="W4075" t="s">
        <v>49</v>
      </c>
      <c r="X4075" t="str">
        <f>"4475075"</f>
        <v>4475075</v>
      </c>
      <c r="Y4075" t="s">
        <v>1339</v>
      </c>
      <c r="Z4075" t="s">
        <v>1336</v>
      </c>
      <c r="AA4075" t="s">
        <v>1337</v>
      </c>
      <c r="AB4075" t="s">
        <v>1270</v>
      </c>
      <c r="AC4075" t="s">
        <v>51</v>
      </c>
      <c r="AD4075" t="s">
        <v>45</v>
      </c>
      <c r="AE4075" s="1">
        <v>24682</v>
      </c>
      <c r="AF4075">
        <v>2</v>
      </c>
      <c r="AG4075" t="s">
        <v>1337</v>
      </c>
      <c r="AH4075" s="36">
        <f t="shared" si="63"/>
        <v>52.152777777777779</v>
      </c>
      <c r="AI4075" s="41" t="s">
        <v>1781</v>
      </c>
    </row>
    <row r="4076" spans="1:35" x14ac:dyDescent="0.25">
      <c r="A4076" s="36">
        <v>99914074</v>
      </c>
      <c r="B4076" s="17" t="s">
        <v>32</v>
      </c>
      <c r="C4076" t="s">
        <v>46</v>
      </c>
      <c r="D4076" t="s">
        <v>47</v>
      </c>
      <c r="G4076" s="17" t="s">
        <v>48</v>
      </c>
      <c r="H4076" s="17">
        <v>1</v>
      </c>
      <c r="K4076" t="s">
        <v>380</v>
      </c>
      <c r="L4076" t="s">
        <v>381</v>
      </c>
      <c r="M4076" t="s">
        <v>131</v>
      </c>
      <c r="N4076">
        <v>21</v>
      </c>
      <c r="O4076" t="s">
        <v>40</v>
      </c>
      <c r="P4076" t="s">
        <v>40</v>
      </c>
      <c r="Q4076" t="s">
        <v>40</v>
      </c>
      <c r="R4076" t="s">
        <v>40</v>
      </c>
      <c r="S4076" t="s">
        <v>40</v>
      </c>
      <c r="V4076" t="s">
        <v>41</v>
      </c>
      <c r="W4076" t="s">
        <v>42</v>
      </c>
      <c r="X4076" t="str">
        <f>"0561010"</f>
        <v>0561010</v>
      </c>
      <c r="Y4076" t="s">
        <v>387</v>
      </c>
      <c r="Z4076" t="s">
        <v>380</v>
      </c>
      <c r="AA4076" t="s">
        <v>381</v>
      </c>
      <c r="AB4076" t="s">
        <v>131</v>
      </c>
      <c r="AC4076" t="s">
        <v>51</v>
      </c>
      <c r="AD4076" t="s">
        <v>45</v>
      </c>
      <c r="AE4076" s="1">
        <v>24681</v>
      </c>
      <c r="AF4076">
        <v>2</v>
      </c>
      <c r="AG4076" t="s">
        <v>381</v>
      </c>
      <c r="AH4076" s="36">
        <f t="shared" si="63"/>
        <v>52.155555555555559</v>
      </c>
      <c r="AI4076" s="41" t="s">
        <v>1781</v>
      </c>
    </row>
    <row r="4077" spans="1:35" x14ac:dyDescent="0.25">
      <c r="A4077" s="36">
        <v>99914075</v>
      </c>
      <c r="B4077" s="17" t="s">
        <v>56</v>
      </c>
      <c r="C4077" t="s">
        <v>79</v>
      </c>
      <c r="D4077" t="s">
        <v>80</v>
      </c>
      <c r="G4077" s="17" t="s">
        <v>48</v>
      </c>
      <c r="H4077" s="17">
        <v>1</v>
      </c>
      <c r="K4077" t="s">
        <v>162</v>
      </c>
      <c r="L4077" t="s">
        <v>158</v>
      </c>
      <c r="M4077" t="s">
        <v>131</v>
      </c>
      <c r="N4077">
        <v>18</v>
      </c>
      <c r="O4077" t="s">
        <v>40</v>
      </c>
      <c r="P4077" t="s">
        <v>40</v>
      </c>
      <c r="Q4077" t="s">
        <v>40</v>
      </c>
      <c r="R4077" t="s">
        <v>40</v>
      </c>
      <c r="S4077" t="s">
        <v>40</v>
      </c>
      <c r="V4077" t="s">
        <v>41</v>
      </c>
      <c r="W4077" t="s">
        <v>42</v>
      </c>
      <c r="X4077" t="str">
        <f>"0580325"</f>
        <v>0580325</v>
      </c>
      <c r="Y4077" t="s">
        <v>170</v>
      </c>
      <c r="Z4077" t="s">
        <v>162</v>
      </c>
      <c r="AA4077" t="s">
        <v>158</v>
      </c>
      <c r="AB4077" t="s">
        <v>131</v>
      </c>
      <c r="AC4077" t="s">
        <v>165</v>
      </c>
      <c r="AD4077" t="s">
        <v>45</v>
      </c>
      <c r="AE4077" s="1">
        <v>24679</v>
      </c>
      <c r="AF4077">
        <v>2</v>
      </c>
      <c r="AG4077" t="s">
        <v>158</v>
      </c>
      <c r="AH4077" s="36">
        <f t="shared" si="63"/>
        <v>52.161111111111111</v>
      </c>
      <c r="AI4077" s="41" t="s">
        <v>1781</v>
      </c>
    </row>
    <row r="4078" spans="1:35" x14ac:dyDescent="0.25">
      <c r="A4078" s="36">
        <v>99914076</v>
      </c>
      <c r="B4078" s="17" t="s">
        <v>56</v>
      </c>
      <c r="C4078" t="s">
        <v>79</v>
      </c>
      <c r="D4078" t="s">
        <v>80</v>
      </c>
      <c r="G4078" s="17" t="s">
        <v>35</v>
      </c>
      <c r="H4078" s="17">
        <v>1</v>
      </c>
      <c r="K4078" t="s">
        <v>223</v>
      </c>
      <c r="L4078" t="s">
        <v>224</v>
      </c>
      <c r="M4078" t="s">
        <v>131</v>
      </c>
      <c r="N4078">
        <v>20</v>
      </c>
      <c r="O4078" t="s">
        <v>40</v>
      </c>
      <c r="P4078" t="s">
        <v>40</v>
      </c>
      <c r="Q4078" t="s">
        <v>40</v>
      </c>
      <c r="S4078" t="s">
        <v>40</v>
      </c>
      <c r="V4078" t="s">
        <v>41</v>
      </c>
      <c r="W4078" t="s">
        <v>42</v>
      </c>
      <c r="X4078" t="str">
        <f>"0590903"</f>
        <v>0590903</v>
      </c>
      <c r="Y4078" t="s">
        <v>226</v>
      </c>
      <c r="Z4078" t="s">
        <v>223</v>
      </c>
      <c r="AA4078" t="s">
        <v>224</v>
      </c>
      <c r="AB4078" t="s">
        <v>131</v>
      </c>
      <c r="AC4078" t="s">
        <v>51</v>
      </c>
      <c r="AD4078" t="s">
        <v>45</v>
      </c>
      <c r="AE4078" s="1">
        <v>24674</v>
      </c>
      <c r="AF4078">
        <v>2</v>
      </c>
      <c r="AG4078" t="s">
        <v>224</v>
      </c>
      <c r="AH4078" s="36">
        <f t="shared" si="63"/>
        <v>52.174999999999997</v>
      </c>
      <c r="AI4078" s="41" t="s">
        <v>1781</v>
      </c>
    </row>
    <row r="4079" spans="1:35" x14ac:dyDescent="0.25">
      <c r="A4079" s="36">
        <v>99914077</v>
      </c>
      <c r="B4079" s="17" t="s">
        <v>32</v>
      </c>
      <c r="C4079" t="s">
        <v>90</v>
      </c>
      <c r="D4079" t="s">
        <v>91</v>
      </c>
      <c r="G4079" s="17" t="s">
        <v>48</v>
      </c>
      <c r="H4079" s="17">
        <v>4</v>
      </c>
      <c r="K4079" t="s">
        <v>1426</v>
      </c>
      <c r="L4079" t="s">
        <v>1427</v>
      </c>
      <c r="M4079" t="s">
        <v>1270</v>
      </c>
      <c r="N4079">
        <v>25</v>
      </c>
      <c r="O4079" t="s">
        <v>40</v>
      </c>
      <c r="P4079" t="s">
        <v>40</v>
      </c>
      <c r="Q4079" t="s">
        <v>40</v>
      </c>
      <c r="R4079" t="s">
        <v>40</v>
      </c>
      <c r="S4079" t="s">
        <v>40</v>
      </c>
      <c r="V4079" t="s">
        <v>41</v>
      </c>
      <c r="W4079" t="s">
        <v>95</v>
      </c>
      <c r="X4079" t="str">
        <f>"7192039"</f>
        <v>7192039</v>
      </c>
      <c r="Y4079" t="s">
        <v>1435</v>
      </c>
      <c r="Z4079" t="s">
        <v>1426</v>
      </c>
      <c r="AA4079" t="s">
        <v>1427</v>
      </c>
      <c r="AB4079" t="s">
        <v>1270</v>
      </c>
      <c r="AC4079" t="s">
        <v>51</v>
      </c>
      <c r="AD4079" t="s">
        <v>45</v>
      </c>
      <c r="AE4079" s="1">
        <v>24673</v>
      </c>
      <c r="AF4079">
        <v>1</v>
      </c>
      <c r="AG4079" t="s">
        <v>1427</v>
      </c>
      <c r="AH4079" s="36">
        <f t="shared" si="63"/>
        <v>52.177777777777777</v>
      </c>
      <c r="AI4079" s="41" t="s">
        <v>1781</v>
      </c>
    </row>
    <row r="4080" spans="1:35" x14ac:dyDescent="0.25">
      <c r="A4080" s="36">
        <v>99914078</v>
      </c>
      <c r="B4080" s="17" t="s">
        <v>32</v>
      </c>
      <c r="C4080" t="s">
        <v>79</v>
      </c>
      <c r="D4080" t="s">
        <v>80</v>
      </c>
      <c r="G4080" s="17" t="s">
        <v>35</v>
      </c>
      <c r="H4080" s="17">
        <v>1</v>
      </c>
      <c r="K4080" t="s">
        <v>1502</v>
      </c>
      <c r="L4080" t="s">
        <v>1503</v>
      </c>
      <c r="M4080" t="s">
        <v>670</v>
      </c>
      <c r="N4080">
        <v>9</v>
      </c>
      <c r="O4080" t="s">
        <v>40</v>
      </c>
      <c r="P4080" t="s">
        <v>40</v>
      </c>
      <c r="Q4080" t="s">
        <v>40</v>
      </c>
      <c r="R4080" t="s">
        <v>40</v>
      </c>
      <c r="S4080" t="s">
        <v>40</v>
      </c>
      <c r="V4080" t="s">
        <v>41</v>
      </c>
      <c r="W4080" t="s">
        <v>75</v>
      </c>
      <c r="X4080" t="str">
        <f>"7171000"</f>
        <v>7171000</v>
      </c>
      <c r="Y4080" t="s">
        <v>1506</v>
      </c>
      <c r="Z4080" t="s">
        <v>1502</v>
      </c>
      <c r="AA4080" t="s">
        <v>1503</v>
      </c>
      <c r="AB4080" t="s">
        <v>670</v>
      </c>
      <c r="AC4080" t="s">
        <v>51</v>
      </c>
      <c r="AD4080" t="s">
        <v>45</v>
      </c>
      <c r="AE4080" s="1">
        <v>24671</v>
      </c>
      <c r="AF4080">
        <v>1</v>
      </c>
      <c r="AG4080" t="s">
        <v>1503</v>
      </c>
      <c r="AH4080" s="36">
        <f t="shared" si="63"/>
        <v>52.18333333333333</v>
      </c>
      <c r="AI4080" s="41" t="s">
        <v>1781</v>
      </c>
    </row>
    <row r="4081" spans="1:35" x14ac:dyDescent="0.25">
      <c r="A4081" s="36">
        <v>99914079</v>
      </c>
      <c r="B4081" s="17" t="s">
        <v>56</v>
      </c>
      <c r="C4081" t="s">
        <v>46</v>
      </c>
      <c r="D4081" t="s">
        <v>47</v>
      </c>
      <c r="G4081" s="17" t="s">
        <v>48</v>
      </c>
      <c r="H4081" s="17">
        <v>1</v>
      </c>
      <c r="K4081" t="s">
        <v>223</v>
      </c>
      <c r="L4081" t="s">
        <v>224</v>
      </c>
      <c r="M4081" t="s">
        <v>131</v>
      </c>
      <c r="N4081">
        <v>18</v>
      </c>
      <c r="O4081" t="s">
        <v>40</v>
      </c>
      <c r="P4081" t="s">
        <v>40</v>
      </c>
      <c r="Q4081" t="s">
        <v>40</v>
      </c>
      <c r="S4081" t="s">
        <v>40</v>
      </c>
      <c r="V4081" t="s">
        <v>41</v>
      </c>
      <c r="W4081" t="s">
        <v>42</v>
      </c>
      <c r="X4081" t="str">
        <f>"0580265"</f>
        <v>0580265</v>
      </c>
      <c r="Y4081" t="s">
        <v>231</v>
      </c>
      <c r="Z4081" t="s">
        <v>223</v>
      </c>
      <c r="AA4081" t="s">
        <v>224</v>
      </c>
      <c r="AB4081" t="s">
        <v>131</v>
      </c>
      <c r="AC4081" t="s">
        <v>51</v>
      </c>
      <c r="AD4081" t="s">
        <v>45</v>
      </c>
      <c r="AE4081" s="1">
        <v>24669</v>
      </c>
      <c r="AF4081">
        <v>2</v>
      </c>
      <c r="AG4081" t="s">
        <v>224</v>
      </c>
      <c r="AH4081" s="36">
        <f t="shared" si="63"/>
        <v>52.18888888888889</v>
      </c>
      <c r="AI4081" s="41" t="s">
        <v>1781</v>
      </c>
    </row>
    <row r="4082" spans="1:35" x14ac:dyDescent="0.25">
      <c r="A4082" s="36">
        <v>99914080</v>
      </c>
      <c r="B4082" s="17" t="s">
        <v>32</v>
      </c>
      <c r="C4082" t="s">
        <v>90</v>
      </c>
      <c r="D4082" t="s">
        <v>91</v>
      </c>
      <c r="G4082" s="17" t="s">
        <v>35</v>
      </c>
      <c r="H4082" s="17">
        <v>1</v>
      </c>
      <c r="I4082" s="1">
        <v>36770</v>
      </c>
      <c r="J4082" s="1">
        <v>43344</v>
      </c>
      <c r="K4082" t="s">
        <v>1341</v>
      </c>
      <c r="L4082" t="s">
        <v>1342</v>
      </c>
      <c r="M4082" t="s">
        <v>1270</v>
      </c>
      <c r="N4082">
        <v>24</v>
      </c>
      <c r="O4082" t="s">
        <v>40</v>
      </c>
      <c r="S4082" t="s">
        <v>40</v>
      </c>
      <c r="U4082" s="1">
        <v>43344</v>
      </c>
      <c r="V4082" t="s">
        <v>41</v>
      </c>
      <c r="W4082" t="s">
        <v>75</v>
      </c>
      <c r="X4082" t="str">
        <f>"7191006"</f>
        <v>7191006</v>
      </c>
      <c r="Y4082" t="s">
        <v>1351</v>
      </c>
      <c r="Z4082" t="s">
        <v>1341</v>
      </c>
      <c r="AA4082" t="s">
        <v>1342</v>
      </c>
      <c r="AB4082" t="s">
        <v>1270</v>
      </c>
      <c r="AC4082" t="s">
        <v>51</v>
      </c>
      <c r="AD4082" t="s">
        <v>45</v>
      </c>
      <c r="AE4082" s="1">
        <v>24667</v>
      </c>
      <c r="AF4082">
        <v>1</v>
      </c>
      <c r="AG4082" t="s">
        <v>1342</v>
      </c>
      <c r="AH4082" s="36">
        <f t="shared" si="63"/>
        <v>52.194444444444443</v>
      </c>
      <c r="AI4082" s="41" t="s">
        <v>1781</v>
      </c>
    </row>
    <row r="4083" spans="1:35" x14ac:dyDescent="0.25">
      <c r="A4083" s="36">
        <v>99914081</v>
      </c>
      <c r="B4083" s="17" t="s">
        <v>32</v>
      </c>
      <c r="C4083" t="s">
        <v>90</v>
      </c>
      <c r="D4083" t="s">
        <v>91</v>
      </c>
      <c r="G4083" s="17" t="s">
        <v>48</v>
      </c>
      <c r="H4083" s="17">
        <v>4</v>
      </c>
      <c r="K4083" t="s">
        <v>1426</v>
      </c>
      <c r="L4083" t="s">
        <v>1427</v>
      </c>
      <c r="M4083" t="s">
        <v>1270</v>
      </c>
      <c r="N4083">
        <v>25</v>
      </c>
      <c r="O4083" t="s">
        <v>40</v>
      </c>
      <c r="P4083" t="s">
        <v>40</v>
      </c>
      <c r="Q4083" t="s">
        <v>40</v>
      </c>
      <c r="R4083" t="s">
        <v>40</v>
      </c>
      <c r="S4083" t="s">
        <v>40</v>
      </c>
      <c r="V4083" t="s">
        <v>41</v>
      </c>
      <c r="W4083" t="s">
        <v>95</v>
      </c>
      <c r="X4083" t="str">
        <f>"7192007"</f>
        <v>7192007</v>
      </c>
      <c r="Y4083" t="s">
        <v>1434</v>
      </c>
      <c r="Z4083" t="s">
        <v>1426</v>
      </c>
      <c r="AA4083" t="s">
        <v>1427</v>
      </c>
      <c r="AB4083" t="s">
        <v>1270</v>
      </c>
      <c r="AC4083" t="s">
        <v>51</v>
      </c>
      <c r="AD4083" t="s">
        <v>45</v>
      </c>
      <c r="AE4083" s="1">
        <v>24666</v>
      </c>
      <c r="AF4083">
        <v>1</v>
      </c>
      <c r="AG4083" t="s">
        <v>1427</v>
      </c>
      <c r="AH4083" s="36">
        <f t="shared" si="63"/>
        <v>52.197222222222223</v>
      </c>
      <c r="AI4083" s="41" t="s">
        <v>1781</v>
      </c>
    </row>
    <row r="4084" spans="1:35" x14ac:dyDescent="0.25">
      <c r="A4084" s="36">
        <v>99914082</v>
      </c>
      <c r="B4084" s="17" t="s">
        <v>56</v>
      </c>
      <c r="C4084" t="s">
        <v>52</v>
      </c>
      <c r="D4084" t="s">
        <v>53</v>
      </c>
      <c r="G4084" s="17" t="s">
        <v>48</v>
      </c>
      <c r="H4084" s="17">
        <v>1</v>
      </c>
      <c r="K4084" t="s">
        <v>223</v>
      </c>
      <c r="L4084" t="s">
        <v>224</v>
      </c>
      <c r="M4084" t="s">
        <v>131</v>
      </c>
      <c r="N4084">
        <v>20</v>
      </c>
      <c r="O4084" t="s">
        <v>40</v>
      </c>
      <c r="P4084" t="s">
        <v>40</v>
      </c>
      <c r="Q4084" t="s">
        <v>40</v>
      </c>
      <c r="R4084" t="s">
        <v>40</v>
      </c>
      <c r="S4084" t="s">
        <v>40</v>
      </c>
      <c r="V4084" t="s">
        <v>41</v>
      </c>
      <c r="W4084" t="s">
        <v>42</v>
      </c>
      <c r="X4084" t="str">
        <f>"0590910"</f>
        <v>0590910</v>
      </c>
      <c r="Y4084" t="s">
        <v>227</v>
      </c>
      <c r="Z4084" t="s">
        <v>223</v>
      </c>
      <c r="AA4084" t="s">
        <v>224</v>
      </c>
      <c r="AB4084" t="s">
        <v>131</v>
      </c>
      <c r="AC4084" t="s">
        <v>51</v>
      </c>
      <c r="AD4084" t="s">
        <v>45</v>
      </c>
      <c r="AE4084" s="1">
        <v>24665</v>
      </c>
      <c r="AF4084">
        <v>2</v>
      </c>
      <c r="AG4084" t="s">
        <v>224</v>
      </c>
      <c r="AH4084" s="36">
        <f t="shared" si="63"/>
        <v>52.2</v>
      </c>
      <c r="AI4084" s="41" t="s">
        <v>1781</v>
      </c>
    </row>
    <row r="4085" spans="1:35" x14ac:dyDescent="0.25">
      <c r="A4085" s="36">
        <v>99914083</v>
      </c>
      <c r="B4085" s="17" t="s">
        <v>32</v>
      </c>
      <c r="C4085" t="s">
        <v>46</v>
      </c>
      <c r="D4085" t="s">
        <v>47</v>
      </c>
      <c r="G4085" s="17" t="s">
        <v>35</v>
      </c>
      <c r="H4085" s="17">
        <v>1</v>
      </c>
      <c r="K4085" t="s">
        <v>947</v>
      </c>
      <c r="L4085" t="s">
        <v>948</v>
      </c>
      <c r="M4085" t="s">
        <v>938</v>
      </c>
      <c r="N4085">
        <v>20</v>
      </c>
      <c r="O4085" t="s">
        <v>40</v>
      </c>
      <c r="P4085" t="s">
        <v>40</v>
      </c>
      <c r="Q4085" t="s">
        <v>40</v>
      </c>
      <c r="S4085" t="s">
        <v>40</v>
      </c>
      <c r="V4085" t="s">
        <v>41</v>
      </c>
      <c r="W4085" t="s">
        <v>42</v>
      </c>
      <c r="X4085" t="str">
        <f>"0680030"</f>
        <v>0680030</v>
      </c>
      <c r="Y4085" t="s">
        <v>951</v>
      </c>
      <c r="Z4085" t="s">
        <v>947</v>
      </c>
      <c r="AA4085" t="s">
        <v>948</v>
      </c>
      <c r="AB4085" t="s">
        <v>938</v>
      </c>
      <c r="AC4085" t="s">
        <v>165</v>
      </c>
      <c r="AD4085" t="s">
        <v>45</v>
      </c>
      <c r="AE4085" s="1">
        <v>24664</v>
      </c>
      <c r="AF4085">
        <v>2</v>
      </c>
      <c r="AG4085" t="s">
        <v>948</v>
      </c>
      <c r="AH4085" s="36">
        <f t="shared" si="63"/>
        <v>52.202777777777776</v>
      </c>
      <c r="AI4085" s="41" t="s">
        <v>1781</v>
      </c>
    </row>
    <row r="4086" spans="1:35" x14ac:dyDescent="0.25">
      <c r="A4086" s="36">
        <v>99914084</v>
      </c>
      <c r="B4086" s="17" t="s">
        <v>56</v>
      </c>
      <c r="C4086" t="s">
        <v>52</v>
      </c>
      <c r="D4086" t="s">
        <v>53</v>
      </c>
      <c r="G4086" s="17" t="s">
        <v>48</v>
      </c>
      <c r="H4086" s="17">
        <v>9</v>
      </c>
      <c r="K4086" t="s">
        <v>1128</v>
      </c>
      <c r="L4086" t="s">
        <v>1129</v>
      </c>
      <c r="M4086" t="s">
        <v>1130</v>
      </c>
      <c r="N4086">
        <v>20</v>
      </c>
      <c r="O4086" t="s">
        <v>40</v>
      </c>
      <c r="P4086" t="s">
        <v>40</v>
      </c>
      <c r="Q4086" t="s">
        <v>40</v>
      </c>
      <c r="R4086" t="s">
        <v>40</v>
      </c>
      <c r="S4086" t="s">
        <v>40</v>
      </c>
      <c r="V4086" t="s">
        <v>41</v>
      </c>
      <c r="W4086" t="s">
        <v>42</v>
      </c>
      <c r="X4086" t="str">
        <f>"3180015"</f>
        <v>3180015</v>
      </c>
      <c r="Y4086" t="s">
        <v>1139</v>
      </c>
      <c r="Z4086" t="s">
        <v>1128</v>
      </c>
      <c r="AA4086" t="s">
        <v>1129</v>
      </c>
      <c r="AB4086" t="s">
        <v>1130</v>
      </c>
      <c r="AC4086" t="s">
        <v>51</v>
      </c>
      <c r="AD4086" t="s">
        <v>45</v>
      </c>
      <c r="AE4086" s="1">
        <v>24663</v>
      </c>
      <c r="AF4086">
        <v>2</v>
      </c>
      <c r="AG4086" t="s">
        <v>1129</v>
      </c>
      <c r="AH4086" s="36">
        <f t="shared" si="63"/>
        <v>52.205555555555556</v>
      </c>
      <c r="AI4086" s="41" t="s">
        <v>1781</v>
      </c>
    </row>
    <row r="4087" spans="1:35" x14ac:dyDescent="0.25">
      <c r="A4087" s="36">
        <v>99914085</v>
      </c>
      <c r="B4087" s="17" t="s">
        <v>56</v>
      </c>
      <c r="C4087" t="s">
        <v>52</v>
      </c>
      <c r="D4087" t="s">
        <v>53</v>
      </c>
      <c r="G4087" s="17" t="s">
        <v>48</v>
      </c>
      <c r="H4087" s="17">
        <v>1</v>
      </c>
      <c r="K4087" t="s">
        <v>223</v>
      </c>
      <c r="L4087" t="s">
        <v>224</v>
      </c>
      <c r="M4087" t="s">
        <v>131</v>
      </c>
      <c r="N4087">
        <v>20</v>
      </c>
      <c r="O4087" t="s">
        <v>40</v>
      </c>
      <c r="P4087" t="s">
        <v>40</v>
      </c>
      <c r="Q4087" t="s">
        <v>40</v>
      </c>
      <c r="S4087" t="s">
        <v>40</v>
      </c>
      <c r="V4087" t="s">
        <v>41</v>
      </c>
      <c r="W4087" t="s">
        <v>42</v>
      </c>
      <c r="X4087" t="str">
        <f>"0580202"</f>
        <v>0580202</v>
      </c>
      <c r="Y4087" t="s">
        <v>240</v>
      </c>
      <c r="Z4087" t="s">
        <v>223</v>
      </c>
      <c r="AA4087" t="s">
        <v>224</v>
      </c>
      <c r="AB4087" t="s">
        <v>131</v>
      </c>
      <c r="AC4087" t="s">
        <v>51</v>
      </c>
      <c r="AD4087" t="s">
        <v>45</v>
      </c>
      <c r="AE4087" s="1">
        <v>24662</v>
      </c>
      <c r="AF4087">
        <v>2</v>
      </c>
      <c r="AG4087" t="s">
        <v>224</v>
      </c>
      <c r="AH4087" s="36">
        <f t="shared" si="63"/>
        <v>52.208333333333336</v>
      </c>
      <c r="AI4087" s="41" t="s">
        <v>1781</v>
      </c>
    </row>
    <row r="4088" spans="1:35" x14ac:dyDescent="0.25">
      <c r="A4088" s="36">
        <v>99914086</v>
      </c>
      <c r="B4088" s="17" t="s">
        <v>56</v>
      </c>
      <c r="C4088" t="s">
        <v>46</v>
      </c>
      <c r="D4088" t="s">
        <v>47</v>
      </c>
      <c r="G4088" s="17" t="s">
        <v>48</v>
      </c>
      <c r="H4088" s="17">
        <v>3</v>
      </c>
      <c r="K4088" t="s">
        <v>129</v>
      </c>
      <c r="L4088" t="s">
        <v>130</v>
      </c>
      <c r="M4088" t="s">
        <v>131</v>
      </c>
      <c r="N4088">
        <v>18</v>
      </c>
      <c r="O4088" t="s">
        <v>40</v>
      </c>
      <c r="P4088" t="s">
        <v>40</v>
      </c>
      <c r="Q4088" t="s">
        <v>40</v>
      </c>
      <c r="R4088" t="s">
        <v>40</v>
      </c>
      <c r="S4088" t="s">
        <v>40</v>
      </c>
      <c r="V4088" t="s">
        <v>41</v>
      </c>
      <c r="W4088" t="s">
        <v>42</v>
      </c>
      <c r="X4088" t="str">
        <f>"0590905"</f>
        <v>0590905</v>
      </c>
      <c r="Y4088" t="s">
        <v>133</v>
      </c>
      <c r="Z4088" t="s">
        <v>129</v>
      </c>
      <c r="AA4088" t="s">
        <v>130</v>
      </c>
      <c r="AB4088" t="s">
        <v>131</v>
      </c>
      <c r="AC4088" t="s">
        <v>51</v>
      </c>
      <c r="AD4088" t="s">
        <v>45</v>
      </c>
      <c r="AE4088" s="1">
        <v>24656</v>
      </c>
      <c r="AF4088">
        <v>2</v>
      </c>
      <c r="AG4088" t="s">
        <v>130</v>
      </c>
      <c r="AH4088" s="36">
        <f t="shared" si="63"/>
        <v>52.225000000000001</v>
      </c>
      <c r="AI4088" s="41" t="s">
        <v>1781</v>
      </c>
    </row>
    <row r="4089" spans="1:35" x14ac:dyDescent="0.25">
      <c r="A4089" s="36">
        <v>99914087</v>
      </c>
      <c r="B4089" s="17" t="s">
        <v>56</v>
      </c>
      <c r="C4089" t="s">
        <v>46</v>
      </c>
      <c r="D4089" t="s">
        <v>47</v>
      </c>
      <c r="G4089" s="17" t="s">
        <v>35</v>
      </c>
      <c r="H4089" s="17">
        <v>1</v>
      </c>
      <c r="K4089" t="s">
        <v>1268</v>
      </c>
      <c r="L4089" t="s">
        <v>1269</v>
      </c>
      <c r="M4089" t="s">
        <v>1270</v>
      </c>
      <c r="N4089">
        <v>18</v>
      </c>
      <c r="O4089" t="s">
        <v>40</v>
      </c>
      <c r="P4089" t="s">
        <v>40</v>
      </c>
      <c r="Q4089" t="s">
        <v>40</v>
      </c>
      <c r="R4089" t="s">
        <v>40</v>
      </c>
      <c r="S4089" t="s">
        <v>40</v>
      </c>
      <c r="V4089" t="s">
        <v>41</v>
      </c>
      <c r="W4089" t="s">
        <v>42</v>
      </c>
      <c r="X4089" t="str">
        <f>"1990001"</f>
        <v>1990001</v>
      </c>
      <c r="Y4089" t="s">
        <v>1294</v>
      </c>
      <c r="Z4089" t="s">
        <v>1268</v>
      </c>
      <c r="AA4089" t="s">
        <v>1269</v>
      </c>
      <c r="AB4089" t="s">
        <v>1270</v>
      </c>
      <c r="AC4089" t="s">
        <v>51</v>
      </c>
      <c r="AD4089" t="s">
        <v>45</v>
      </c>
      <c r="AE4089" s="1">
        <v>24656</v>
      </c>
      <c r="AF4089">
        <v>2</v>
      </c>
      <c r="AG4089" t="s">
        <v>1269</v>
      </c>
      <c r="AH4089" s="36">
        <f t="shared" si="63"/>
        <v>52.225000000000001</v>
      </c>
      <c r="AI4089" s="41" t="s">
        <v>1781</v>
      </c>
    </row>
    <row r="4090" spans="1:35" x14ac:dyDescent="0.25">
      <c r="A4090" s="36">
        <v>99914088</v>
      </c>
      <c r="B4090" s="17" t="s">
        <v>32</v>
      </c>
      <c r="C4090" t="s">
        <v>46</v>
      </c>
      <c r="D4090" t="s">
        <v>47</v>
      </c>
      <c r="G4090" s="17" t="s">
        <v>48</v>
      </c>
      <c r="H4090" s="17">
        <v>1</v>
      </c>
      <c r="K4090" t="s">
        <v>223</v>
      </c>
      <c r="L4090" t="s">
        <v>224</v>
      </c>
      <c r="M4090" t="s">
        <v>131</v>
      </c>
      <c r="N4090">
        <v>18</v>
      </c>
      <c r="O4090" t="s">
        <v>40</v>
      </c>
      <c r="P4090" t="s">
        <v>40</v>
      </c>
      <c r="Q4090" t="s">
        <v>40</v>
      </c>
      <c r="R4090" t="s">
        <v>40</v>
      </c>
      <c r="S4090" t="s">
        <v>40</v>
      </c>
      <c r="V4090" t="s">
        <v>41</v>
      </c>
      <c r="W4090" t="s">
        <v>42</v>
      </c>
      <c r="X4090" t="str">
        <f>"0580203"</f>
        <v>0580203</v>
      </c>
      <c r="Y4090" t="s">
        <v>239</v>
      </c>
      <c r="Z4090" t="s">
        <v>223</v>
      </c>
      <c r="AA4090" t="s">
        <v>224</v>
      </c>
      <c r="AB4090" t="s">
        <v>131</v>
      </c>
      <c r="AC4090" t="s">
        <v>165</v>
      </c>
      <c r="AD4090" t="s">
        <v>45</v>
      </c>
      <c r="AE4090" s="1">
        <v>24654</v>
      </c>
      <c r="AF4090">
        <v>2</v>
      </c>
      <c r="AG4090" t="s">
        <v>224</v>
      </c>
      <c r="AH4090" s="36">
        <f t="shared" si="63"/>
        <v>52.230555555555554</v>
      </c>
      <c r="AI4090" s="41" t="s">
        <v>1781</v>
      </c>
    </row>
    <row r="4091" spans="1:35" x14ac:dyDescent="0.25">
      <c r="A4091" s="36">
        <v>99914089</v>
      </c>
      <c r="B4091" s="17" t="s">
        <v>32</v>
      </c>
      <c r="C4091" t="s">
        <v>46</v>
      </c>
      <c r="D4091" t="s">
        <v>47</v>
      </c>
      <c r="G4091" s="17" t="s">
        <v>48</v>
      </c>
      <c r="H4091" s="17">
        <v>1</v>
      </c>
      <c r="K4091" t="s">
        <v>162</v>
      </c>
      <c r="L4091" t="s">
        <v>158</v>
      </c>
      <c r="M4091" t="s">
        <v>131</v>
      </c>
      <c r="N4091">
        <v>17</v>
      </c>
      <c r="O4091" t="s">
        <v>40</v>
      </c>
      <c r="P4091" t="s">
        <v>40</v>
      </c>
      <c r="Q4091" t="s">
        <v>40</v>
      </c>
      <c r="R4091" t="s">
        <v>40</v>
      </c>
      <c r="S4091" t="s">
        <v>40</v>
      </c>
      <c r="V4091" t="s">
        <v>41</v>
      </c>
      <c r="W4091" t="s">
        <v>49</v>
      </c>
      <c r="X4091" t="str">
        <f>"0560027"</f>
        <v>0560027</v>
      </c>
      <c r="Y4091" t="s">
        <v>178</v>
      </c>
      <c r="Z4091" t="s">
        <v>162</v>
      </c>
      <c r="AA4091" t="s">
        <v>158</v>
      </c>
      <c r="AB4091" t="s">
        <v>131</v>
      </c>
      <c r="AC4091" t="s">
        <v>51</v>
      </c>
      <c r="AD4091" t="s">
        <v>45</v>
      </c>
      <c r="AE4091" s="1">
        <v>24647</v>
      </c>
      <c r="AF4091">
        <v>2</v>
      </c>
      <c r="AG4091" t="s">
        <v>158</v>
      </c>
      <c r="AH4091" s="36">
        <f t="shared" si="63"/>
        <v>52.25</v>
      </c>
      <c r="AI4091" s="41" t="s">
        <v>1781</v>
      </c>
    </row>
    <row r="4092" spans="1:35" x14ac:dyDescent="0.25">
      <c r="A4092" s="36">
        <v>99914090</v>
      </c>
      <c r="B4092" s="17" t="s">
        <v>56</v>
      </c>
      <c r="C4092" t="s">
        <v>145</v>
      </c>
      <c r="D4092" t="s">
        <v>146</v>
      </c>
      <c r="G4092" s="17" t="s">
        <v>48</v>
      </c>
      <c r="H4092" s="17">
        <v>1</v>
      </c>
      <c r="K4092" t="s">
        <v>345</v>
      </c>
      <c r="L4092" t="s">
        <v>346</v>
      </c>
      <c r="M4092" t="s">
        <v>131</v>
      </c>
      <c r="N4092">
        <v>20</v>
      </c>
      <c r="O4092" t="s">
        <v>40</v>
      </c>
      <c r="P4092" t="s">
        <v>40</v>
      </c>
      <c r="Q4092" t="s">
        <v>40</v>
      </c>
      <c r="R4092" t="s">
        <v>40</v>
      </c>
      <c r="S4092" t="s">
        <v>40</v>
      </c>
      <c r="V4092" t="s">
        <v>41</v>
      </c>
      <c r="W4092" t="s">
        <v>42</v>
      </c>
      <c r="X4092" t="str">
        <f>"0580605"</f>
        <v>0580605</v>
      </c>
      <c r="Y4092" t="s">
        <v>362</v>
      </c>
      <c r="Z4092" t="s">
        <v>345</v>
      </c>
      <c r="AA4092" t="s">
        <v>346</v>
      </c>
      <c r="AB4092" t="s">
        <v>131</v>
      </c>
      <c r="AC4092" t="s">
        <v>51</v>
      </c>
      <c r="AD4092" t="s">
        <v>45</v>
      </c>
      <c r="AE4092" s="1">
        <v>24645</v>
      </c>
      <c r="AF4092">
        <v>2</v>
      </c>
      <c r="AG4092" t="s">
        <v>346</v>
      </c>
      <c r="AH4092" s="36">
        <f t="shared" si="63"/>
        <v>52.255555555555553</v>
      </c>
      <c r="AI4092" s="41" t="s">
        <v>1781</v>
      </c>
    </row>
    <row r="4093" spans="1:35" x14ac:dyDescent="0.25">
      <c r="A4093" s="36">
        <v>99914091</v>
      </c>
      <c r="B4093" s="17" t="s">
        <v>56</v>
      </c>
      <c r="C4093" t="s">
        <v>52</v>
      </c>
      <c r="D4093" t="s">
        <v>53</v>
      </c>
      <c r="G4093" s="17" t="s">
        <v>48</v>
      </c>
      <c r="H4093" s="17">
        <v>1</v>
      </c>
      <c r="K4093" t="s">
        <v>157</v>
      </c>
      <c r="L4093" t="s">
        <v>158</v>
      </c>
      <c r="M4093" t="s">
        <v>131</v>
      </c>
      <c r="N4093">
        <v>18</v>
      </c>
      <c r="O4093" t="s">
        <v>40</v>
      </c>
      <c r="P4093" t="s">
        <v>40</v>
      </c>
      <c r="Q4093" t="s">
        <v>40</v>
      </c>
      <c r="S4093" t="s">
        <v>40</v>
      </c>
      <c r="V4093" t="s">
        <v>41</v>
      </c>
      <c r="W4093" t="s">
        <v>42</v>
      </c>
      <c r="X4093" t="str">
        <f>"0580735"</f>
        <v>0580735</v>
      </c>
      <c r="Y4093" t="s">
        <v>180</v>
      </c>
      <c r="Z4093" t="s">
        <v>157</v>
      </c>
      <c r="AA4093" t="s">
        <v>158</v>
      </c>
      <c r="AB4093" t="s">
        <v>131</v>
      </c>
      <c r="AC4093" t="s">
        <v>51</v>
      </c>
      <c r="AD4093" t="s">
        <v>45</v>
      </c>
      <c r="AE4093" s="1">
        <v>24644</v>
      </c>
      <c r="AF4093">
        <v>2</v>
      </c>
      <c r="AG4093" t="s">
        <v>158</v>
      </c>
      <c r="AH4093" s="36">
        <f t="shared" si="63"/>
        <v>52.258333333333333</v>
      </c>
      <c r="AI4093" s="41" t="s">
        <v>1781</v>
      </c>
    </row>
    <row r="4094" spans="1:35" x14ac:dyDescent="0.25">
      <c r="A4094" s="36">
        <v>99914092</v>
      </c>
      <c r="B4094" s="17" t="s">
        <v>56</v>
      </c>
      <c r="C4094" t="s">
        <v>79</v>
      </c>
      <c r="D4094" t="s">
        <v>80</v>
      </c>
      <c r="G4094" s="17" t="s">
        <v>48</v>
      </c>
      <c r="H4094" s="17">
        <v>1</v>
      </c>
      <c r="K4094" t="s">
        <v>223</v>
      </c>
      <c r="L4094" t="s">
        <v>224</v>
      </c>
      <c r="M4094" t="s">
        <v>131</v>
      </c>
      <c r="N4094">
        <v>18</v>
      </c>
      <c r="O4094" t="s">
        <v>40</v>
      </c>
      <c r="P4094" t="s">
        <v>40</v>
      </c>
      <c r="Q4094" t="s">
        <v>40</v>
      </c>
      <c r="R4094" t="s">
        <v>40</v>
      </c>
      <c r="S4094" t="s">
        <v>40</v>
      </c>
      <c r="V4094" t="s">
        <v>41</v>
      </c>
      <c r="W4094" t="s">
        <v>42</v>
      </c>
      <c r="X4094" t="str">
        <f>"0580202"</f>
        <v>0580202</v>
      </c>
      <c r="Y4094" t="s">
        <v>240</v>
      </c>
      <c r="Z4094" t="s">
        <v>223</v>
      </c>
      <c r="AA4094" t="s">
        <v>224</v>
      </c>
      <c r="AB4094" t="s">
        <v>131</v>
      </c>
      <c r="AC4094" t="s">
        <v>165</v>
      </c>
      <c r="AD4094" t="s">
        <v>45</v>
      </c>
      <c r="AE4094" s="1">
        <v>24644</v>
      </c>
      <c r="AF4094">
        <v>2</v>
      </c>
      <c r="AG4094" t="s">
        <v>224</v>
      </c>
      <c r="AH4094" s="36">
        <f t="shared" si="63"/>
        <v>52.258333333333333</v>
      </c>
      <c r="AI4094" s="41" t="s">
        <v>1781</v>
      </c>
    </row>
    <row r="4095" spans="1:35" x14ac:dyDescent="0.25">
      <c r="A4095" s="36">
        <v>99914093</v>
      </c>
      <c r="B4095" s="17" t="s">
        <v>32</v>
      </c>
      <c r="C4095" t="s">
        <v>46</v>
      </c>
      <c r="D4095" t="s">
        <v>47</v>
      </c>
      <c r="G4095" s="17" t="s">
        <v>48</v>
      </c>
      <c r="H4095" s="17">
        <v>1</v>
      </c>
      <c r="K4095" t="s">
        <v>162</v>
      </c>
      <c r="L4095" t="s">
        <v>158</v>
      </c>
      <c r="M4095" t="s">
        <v>131</v>
      </c>
      <c r="N4095">
        <v>18</v>
      </c>
      <c r="O4095" t="s">
        <v>40</v>
      </c>
      <c r="P4095" t="s">
        <v>40</v>
      </c>
      <c r="Q4095" t="s">
        <v>40</v>
      </c>
      <c r="R4095" t="s">
        <v>40</v>
      </c>
      <c r="S4095" t="s">
        <v>40</v>
      </c>
      <c r="V4095" t="s">
        <v>41</v>
      </c>
      <c r="W4095" t="s">
        <v>42</v>
      </c>
      <c r="X4095" t="str">
        <f>"0580320"</f>
        <v>0580320</v>
      </c>
      <c r="Y4095" t="s">
        <v>164</v>
      </c>
      <c r="Z4095" t="s">
        <v>162</v>
      </c>
      <c r="AA4095" t="s">
        <v>158</v>
      </c>
      <c r="AB4095" t="s">
        <v>131</v>
      </c>
      <c r="AC4095" t="s">
        <v>165</v>
      </c>
      <c r="AD4095" t="s">
        <v>45</v>
      </c>
      <c r="AE4095" s="1">
        <v>24643</v>
      </c>
      <c r="AF4095">
        <v>2</v>
      </c>
      <c r="AG4095" t="s">
        <v>158</v>
      </c>
      <c r="AH4095" s="36">
        <f t="shared" si="63"/>
        <v>52.261111111111113</v>
      </c>
      <c r="AI4095" s="41" t="s">
        <v>1781</v>
      </c>
    </row>
    <row r="4096" spans="1:35" x14ac:dyDescent="0.25">
      <c r="A4096" s="36">
        <v>99914094</v>
      </c>
      <c r="B4096" s="17" t="s">
        <v>32</v>
      </c>
      <c r="C4096" t="s">
        <v>111</v>
      </c>
      <c r="D4096" t="s">
        <v>112</v>
      </c>
      <c r="G4096" s="17" t="s">
        <v>48</v>
      </c>
      <c r="H4096" s="17">
        <v>13</v>
      </c>
      <c r="J4096" s="1">
        <v>43344</v>
      </c>
      <c r="K4096" t="s">
        <v>354</v>
      </c>
      <c r="L4096" t="s">
        <v>355</v>
      </c>
      <c r="M4096" t="s">
        <v>131</v>
      </c>
      <c r="N4096">
        <v>21</v>
      </c>
      <c r="O4096" t="s">
        <v>40</v>
      </c>
      <c r="P4096" t="s">
        <v>40</v>
      </c>
      <c r="Q4096" t="s">
        <v>40</v>
      </c>
      <c r="R4096" t="s">
        <v>40</v>
      </c>
      <c r="S4096" t="s">
        <v>40</v>
      </c>
      <c r="U4096" s="1">
        <v>43344</v>
      </c>
      <c r="V4096" t="s">
        <v>41</v>
      </c>
      <c r="W4096" t="s">
        <v>75</v>
      </c>
      <c r="X4096" t="str">
        <f>"7054020"</f>
        <v>7054020</v>
      </c>
      <c r="Y4096" t="s">
        <v>765</v>
      </c>
      <c r="Z4096" t="s">
        <v>354</v>
      </c>
      <c r="AA4096" t="s">
        <v>355</v>
      </c>
      <c r="AB4096" t="s">
        <v>131</v>
      </c>
      <c r="AC4096" t="s">
        <v>51</v>
      </c>
      <c r="AD4096" t="s">
        <v>45</v>
      </c>
      <c r="AE4096" s="1">
        <v>24643</v>
      </c>
      <c r="AF4096">
        <v>1</v>
      </c>
      <c r="AG4096" t="s">
        <v>355</v>
      </c>
      <c r="AH4096" s="36">
        <f t="shared" si="63"/>
        <v>52.261111111111113</v>
      </c>
      <c r="AI4096" s="41" t="s">
        <v>1781</v>
      </c>
    </row>
    <row r="4097" spans="1:35" x14ac:dyDescent="0.25">
      <c r="A4097" s="36">
        <v>99914095</v>
      </c>
      <c r="B4097" s="17" t="s">
        <v>32</v>
      </c>
      <c r="C4097" t="s">
        <v>46</v>
      </c>
      <c r="D4097" t="s">
        <v>47</v>
      </c>
      <c r="G4097" s="17" t="s">
        <v>48</v>
      </c>
      <c r="H4097" s="17">
        <v>1</v>
      </c>
      <c r="K4097" t="s">
        <v>1128</v>
      </c>
      <c r="L4097" t="s">
        <v>1129</v>
      </c>
      <c r="M4097" t="s">
        <v>1130</v>
      </c>
      <c r="N4097">
        <v>20</v>
      </c>
      <c r="O4097" t="s">
        <v>40</v>
      </c>
      <c r="P4097" t="s">
        <v>40</v>
      </c>
      <c r="Q4097" t="s">
        <v>40</v>
      </c>
      <c r="R4097" t="s">
        <v>40</v>
      </c>
      <c r="S4097" t="s">
        <v>40</v>
      </c>
      <c r="V4097" t="s">
        <v>41</v>
      </c>
      <c r="W4097" t="s">
        <v>49</v>
      </c>
      <c r="X4097" t="str">
        <f>"3181015"</f>
        <v>3181015</v>
      </c>
      <c r="Y4097" t="s">
        <v>1131</v>
      </c>
      <c r="Z4097" t="s">
        <v>1128</v>
      </c>
      <c r="AA4097" t="s">
        <v>1129</v>
      </c>
      <c r="AB4097" t="s">
        <v>1130</v>
      </c>
      <c r="AC4097" t="s">
        <v>51</v>
      </c>
      <c r="AD4097" t="s">
        <v>45</v>
      </c>
      <c r="AE4097" s="1">
        <v>24637</v>
      </c>
      <c r="AF4097">
        <v>2</v>
      </c>
      <c r="AG4097" t="s">
        <v>1129</v>
      </c>
      <c r="AH4097" s="36">
        <f t="shared" si="63"/>
        <v>52.277777777777779</v>
      </c>
      <c r="AI4097" s="41" t="s">
        <v>1781</v>
      </c>
    </row>
    <row r="4098" spans="1:35" x14ac:dyDescent="0.25">
      <c r="A4098" s="36">
        <v>99914096</v>
      </c>
      <c r="B4098" s="17" t="s">
        <v>32</v>
      </c>
      <c r="C4098" t="s">
        <v>111</v>
      </c>
      <c r="D4098" t="s">
        <v>112</v>
      </c>
      <c r="G4098" s="17" t="s">
        <v>35</v>
      </c>
      <c r="H4098" s="17">
        <v>1</v>
      </c>
      <c r="I4098">
        <v>359</v>
      </c>
      <c r="J4098" s="1">
        <v>43344</v>
      </c>
      <c r="K4098" t="s">
        <v>1341</v>
      </c>
      <c r="L4098" t="s">
        <v>1342</v>
      </c>
      <c r="M4098" t="s">
        <v>1270</v>
      </c>
      <c r="N4098">
        <v>24</v>
      </c>
      <c r="O4098" t="s">
        <v>40</v>
      </c>
      <c r="P4098" t="s">
        <v>1352</v>
      </c>
      <c r="Q4098" t="s">
        <v>40</v>
      </c>
      <c r="R4098" t="s">
        <v>40</v>
      </c>
      <c r="S4098" t="s">
        <v>40</v>
      </c>
      <c r="U4098" s="1">
        <v>43344</v>
      </c>
      <c r="V4098" t="s">
        <v>41</v>
      </c>
      <c r="W4098" t="s">
        <v>75</v>
      </c>
      <c r="X4098" t="str">
        <f>"7191036"</f>
        <v>7191036</v>
      </c>
      <c r="Y4098" t="s">
        <v>1348</v>
      </c>
      <c r="Z4098" t="s">
        <v>1341</v>
      </c>
      <c r="AA4098" t="s">
        <v>1342</v>
      </c>
      <c r="AB4098" t="s">
        <v>1270</v>
      </c>
      <c r="AC4098" t="s">
        <v>44</v>
      </c>
      <c r="AD4098" t="s">
        <v>45</v>
      </c>
      <c r="AE4098" s="1">
        <v>24635</v>
      </c>
      <c r="AF4098">
        <v>1</v>
      </c>
      <c r="AG4098" t="s">
        <v>1342</v>
      </c>
      <c r="AH4098" s="36">
        <f t="shared" ref="AH4098:AH4161" si="64">($AJ$1-AE4098)/360</f>
        <v>52.283333333333331</v>
      </c>
      <c r="AI4098" s="41" t="s">
        <v>1781</v>
      </c>
    </row>
    <row r="4099" spans="1:35" x14ac:dyDescent="0.25">
      <c r="A4099" s="36">
        <v>99914097</v>
      </c>
      <c r="B4099" s="17" t="s">
        <v>32</v>
      </c>
      <c r="C4099" t="s">
        <v>64</v>
      </c>
      <c r="D4099" t="s">
        <v>65</v>
      </c>
      <c r="G4099" s="17" t="s">
        <v>48</v>
      </c>
      <c r="H4099" s="17">
        <v>1</v>
      </c>
      <c r="K4099" t="s">
        <v>268</v>
      </c>
      <c r="L4099" t="s">
        <v>269</v>
      </c>
      <c r="M4099" t="s">
        <v>131</v>
      </c>
      <c r="N4099">
        <v>16</v>
      </c>
      <c r="O4099" t="s">
        <v>40</v>
      </c>
      <c r="P4099" t="s">
        <v>40</v>
      </c>
      <c r="Q4099" t="s">
        <v>40</v>
      </c>
      <c r="S4099" t="s">
        <v>40</v>
      </c>
      <c r="V4099" t="s">
        <v>41</v>
      </c>
      <c r="W4099" t="s">
        <v>75</v>
      </c>
      <c r="X4099" t="str">
        <f>"7052034"</f>
        <v>7052034</v>
      </c>
      <c r="Y4099" t="s">
        <v>604</v>
      </c>
      <c r="Z4099" t="s">
        <v>268</v>
      </c>
      <c r="AA4099" t="s">
        <v>269</v>
      </c>
      <c r="AB4099" t="s">
        <v>131</v>
      </c>
      <c r="AC4099" t="s">
        <v>51</v>
      </c>
      <c r="AD4099" t="s">
        <v>45</v>
      </c>
      <c r="AE4099" s="1">
        <v>24634</v>
      </c>
      <c r="AF4099">
        <v>1</v>
      </c>
      <c r="AG4099" t="s">
        <v>269</v>
      </c>
      <c r="AH4099" s="36">
        <f t="shared" si="64"/>
        <v>52.286111111111111</v>
      </c>
      <c r="AI4099" s="41" t="s">
        <v>1781</v>
      </c>
    </row>
    <row r="4100" spans="1:35" x14ac:dyDescent="0.25">
      <c r="A4100" s="36">
        <v>99914098</v>
      </c>
      <c r="B4100" s="17" t="s">
        <v>32</v>
      </c>
      <c r="C4100" t="s">
        <v>139</v>
      </c>
      <c r="D4100" t="s">
        <v>140</v>
      </c>
      <c r="G4100" s="17" t="s">
        <v>48</v>
      </c>
      <c r="H4100" s="17">
        <v>3</v>
      </c>
      <c r="K4100" t="s">
        <v>268</v>
      </c>
      <c r="L4100" t="s">
        <v>269</v>
      </c>
      <c r="M4100" t="s">
        <v>131</v>
      </c>
      <c r="N4100">
        <v>24</v>
      </c>
      <c r="O4100" t="s">
        <v>40</v>
      </c>
      <c r="P4100" t="s">
        <v>40</v>
      </c>
      <c r="Q4100" t="s">
        <v>40</v>
      </c>
      <c r="R4100" t="s">
        <v>40</v>
      </c>
      <c r="S4100" t="s">
        <v>40</v>
      </c>
      <c r="V4100" t="s">
        <v>41</v>
      </c>
      <c r="W4100" t="s">
        <v>75</v>
      </c>
      <c r="X4100" t="str">
        <f>"7052002"</f>
        <v>7052002</v>
      </c>
      <c r="Y4100" t="s">
        <v>590</v>
      </c>
      <c r="Z4100" t="s">
        <v>268</v>
      </c>
      <c r="AA4100" t="s">
        <v>269</v>
      </c>
      <c r="AB4100" t="s">
        <v>131</v>
      </c>
      <c r="AC4100" t="s">
        <v>51</v>
      </c>
      <c r="AD4100" t="s">
        <v>45</v>
      </c>
      <c r="AE4100" s="1">
        <v>24633</v>
      </c>
      <c r="AF4100">
        <v>1</v>
      </c>
      <c r="AG4100" t="s">
        <v>269</v>
      </c>
      <c r="AH4100" s="36">
        <f t="shared" si="64"/>
        <v>52.288888888888891</v>
      </c>
      <c r="AI4100" s="41" t="s">
        <v>1781</v>
      </c>
    </row>
    <row r="4101" spans="1:35" x14ac:dyDescent="0.25">
      <c r="A4101" s="36">
        <v>99914099</v>
      </c>
      <c r="B4101" s="17" t="s">
        <v>56</v>
      </c>
      <c r="C4101" t="s">
        <v>64</v>
      </c>
      <c r="D4101" t="s">
        <v>65</v>
      </c>
      <c r="G4101" s="17" t="s">
        <v>48</v>
      </c>
      <c r="H4101" s="17">
        <v>1</v>
      </c>
      <c r="K4101" t="s">
        <v>1325</v>
      </c>
      <c r="L4101" t="s">
        <v>1326</v>
      </c>
      <c r="M4101" t="s">
        <v>1270</v>
      </c>
      <c r="N4101">
        <v>20</v>
      </c>
      <c r="O4101" t="s">
        <v>40</v>
      </c>
      <c r="P4101" t="s">
        <v>40</v>
      </c>
      <c r="Q4101" t="s">
        <v>40</v>
      </c>
      <c r="R4101" t="s">
        <v>40</v>
      </c>
      <c r="S4101" t="s">
        <v>40</v>
      </c>
      <c r="V4101" t="s">
        <v>41</v>
      </c>
      <c r="W4101" t="s">
        <v>49</v>
      </c>
      <c r="X4101" t="str">
        <f>"3981100"</f>
        <v>3981100</v>
      </c>
      <c r="Y4101" t="s">
        <v>1327</v>
      </c>
      <c r="Z4101" t="s">
        <v>1325</v>
      </c>
      <c r="AA4101" t="s">
        <v>1326</v>
      </c>
      <c r="AB4101" t="s">
        <v>1270</v>
      </c>
      <c r="AC4101" t="s">
        <v>51</v>
      </c>
      <c r="AD4101" t="s">
        <v>45</v>
      </c>
      <c r="AE4101" s="1">
        <v>24633</v>
      </c>
      <c r="AF4101">
        <v>2</v>
      </c>
      <c r="AG4101" t="s">
        <v>1326</v>
      </c>
      <c r="AH4101" s="36">
        <f t="shared" si="64"/>
        <v>52.288888888888891</v>
      </c>
      <c r="AI4101" s="41" t="s">
        <v>1781</v>
      </c>
    </row>
    <row r="4102" spans="1:35" x14ac:dyDescent="0.25">
      <c r="A4102" s="36">
        <v>99914100</v>
      </c>
      <c r="B4102" s="17" t="s">
        <v>56</v>
      </c>
      <c r="C4102" t="s">
        <v>52</v>
      </c>
      <c r="D4102" t="s">
        <v>53</v>
      </c>
      <c r="G4102" s="17" t="s">
        <v>48</v>
      </c>
      <c r="H4102" s="17">
        <v>1</v>
      </c>
      <c r="K4102" t="s">
        <v>223</v>
      </c>
      <c r="L4102" t="s">
        <v>224</v>
      </c>
      <c r="M4102" t="s">
        <v>131</v>
      </c>
      <c r="N4102">
        <v>21</v>
      </c>
      <c r="O4102" t="s">
        <v>40</v>
      </c>
      <c r="P4102" t="s">
        <v>40</v>
      </c>
      <c r="Q4102" t="s">
        <v>40</v>
      </c>
      <c r="S4102" t="s">
        <v>40</v>
      </c>
      <c r="V4102" t="s">
        <v>41</v>
      </c>
      <c r="W4102" t="s">
        <v>49</v>
      </c>
      <c r="X4102" t="str">
        <f>"0581206"</f>
        <v>0581206</v>
      </c>
      <c r="Y4102" t="s">
        <v>232</v>
      </c>
      <c r="Z4102" t="s">
        <v>223</v>
      </c>
      <c r="AA4102" t="s">
        <v>224</v>
      </c>
      <c r="AB4102" t="s">
        <v>131</v>
      </c>
      <c r="AC4102" t="s">
        <v>51</v>
      </c>
      <c r="AD4102" t="s">
        <v>45</v>
      </c>
      <c r="AE4102" s="1">
        <v>24630</v>
      </c>
      <c r="AF4102">
        <v>2</v>
      </c>
      <c r="AG4102" t="s">
        <v>224</v>
      </c>
      <c r="AH4102" s="36">
        <f t="shared" si="64"/>
        <v>52.297222222222224</v>
      </c>
      <c r="AI4102" s="41" t="s">
        <v>1781</v>
      </c>
    </row>
    <row r="4103" spans="1:35" x14ac:dyDescent="0.25">
      <c r="A4103" s="36">
        <v>99914101</v>
      </c>
      <c r="B4103" s="17" t="s">
        <v>56</v>
      </c>
      <c r="C4103" t="s">
        <v>79</v>
      </c>
      <c r="D4103" t="s">
        <v>80</v>
      </c>
      <c r="G4103" s="17" t="s">
        <v>48</v>
      </c>
      <c r="H4103" s="17">
        <v>1</v>
      </c>
      <c r="K4103" t="s">
        <v>380</v>
      </c>
      <c r="L4103" t="s">
        <v>381</v>
      </c>
      <c r="M4103" t="s">
        <v>131</v>
      </c>
      <c r="N4103">
        <v>6</v>
      </c>
      <c r="O4103" t="s">
        <v>40</v>
      </c>
      <c r="P4103" t="s">
        <v>40</v>
      </c>
      <c r="Q4103" t="s">
        <v>40</v>
      </c>
      <c r="R4103" t="s">
        <v>40</v>
      </c>
      <c r="S4103" t="s">
        <v>40</v>
      </c>
      <c r="V4103" t="s">
        <v>41</v>
      </c>
      <c r="W4103" t="s">
        <v>49</v>
      </c>
      <c r="X4103" t="str">
        <f>"0591908"</f>
        <v>0591908</v>
      </c>
      <c r="Y4103" t="s">
        <v>383</v>
      </c>
      <c r="Z4103" t="s">
        <v>380</v>
      </c>
      <c r="AA4103" t="s">
        <v>381</v>
      </c>
      <c r="AB4103" t="s">
        <v>131</v>
      </c>
      <c r="AC4103" t="s">
        <v>51</v>
      </c>
      <c r="AD4103" t="s">
        <v>45</v>
      </c>
      <c r="AE4103" s="1">
        <v>24630</v>
      </c>
      <c r="AF4103">
        <v>2</v>
      </c>
      <c r="AG4103" t="s">
        <v>381</v>
      </c>
      <c r="AH4103" s="36">
        <f t="shared" si="64"/>
        <v>52.297222222222224</v>
      </c>
      <c r="AI4103" s="41" t="s">
        <v>1781</v>
      </c>
    </row>
    <row r="4104" spans="1:35" x14ac:dyDescent="0.25">
      <c r="A4104" s="36">
        <v>99914102</v>
      </c>
      <c r="B4104" s="17" t="s">
        <v>32</v>
      </c>
      <c r="C4104" t="s">
        <v>90</v>
      </c>
      <c r="D4104" t="s">
        <v>91</v>
      </c>
      <c r="G4104" s="17" t="s">
        <v>35</v>
      </c>
      <c r="H4104" s="17">
        <v>1</v>
      </c>
      <c r="K4104" t="s">
        <v>268</v>
      </c>
      <c r="L4104" t="s">
        <v>269</v>
      </c>
      <c r="M4104" t="s">
        <v>131</v>
      </c>
      <c r="N4104">
        <v>25</v>
      </c>
      <c r="O4104" t="s">
        <v>40</v>
      </c>
      <c r="P4104" t="s">
        <v>40</v>
      </c>
      <c r="Q4104" t="s">
        <v>40</v>
      </c>
      <c r="R4104" t="s">
        <v>40</v>
      </c>
      <c r="S4104" t="s">
        <v>40</v>
      </c>
      <c r="V4104" t="s">
        <v>41</v>
      </c>
      <c r="W4104" t="s">
        <v>95</v>
      </c>
      <c r="X4104" t="str">
        <f>"7052075"</f>
        <v>7052075</v>
      </c>
      <c r="Y4104" t="s">
        <v>586</v>
      </c>
      <c r="Z4104" t="s">
        <v>268</v>
      </c>
      <c r="AA4104" t="s">
        <v>269</v>
      </c>
      <c r="AB4104" t="s">
        <v>131</v>
      </c>
      <c r="AC4104" t="s">
        <v>51</v>
      </c>
      <c r="AD4104" t="s">
        <v>45</v>
      </c>
      <c r="AE4104" s="1">
        <v>24629</v>
      </c>
      <c r="AF4104">
        <v>1</v>
      </c>
      <c r="AG4104" t="s">
        <v>269</v>
      </c>
      <c r="AH4104" s="36">
        <f t="shared" si="64"/>
        <v>52.3</v>
      </c>
      <c r="AI4104" s="41" t="s">
        <v>1781</v>
      </c>
    </row>
    <row r="4105" spans="1:35" x14ac:dyDescent="0.25">
      <c r="A4105" s="36">
        <v>99914103</v>
      </c>
      <c r="B4105" s="17" t="s">
        <v>32</v>
      </c>
      <c r="C4105" t="s">
        <v>90</v>
      </c>
      <c r="D4105" t="s">
        <v>91</v>
      </c>
      <c r="G4105" s="17" t="s">
        <v>35</v>
      </c>
      <c r="H4105" s="17">
        <v>1</v>
      </c>
      <c r="I4105">
        <v>2802</v>
      </c>
      <c r="J4105" s="1">
        <v>43344</v>
      </c>
      <c r="K4105" t="s">
        <v>354</v>
      </c>
      <c r="L4105" t="s">
        <v>355</v>
      </c>
      <c r="M4105" t="s">
        <v>131</v>
      </c>
      <c r="N4105">
        <v>25</v>
      </c>
      <c r="O4105" t="s">
        <v>40</v>
      </c>
      <c r="S4105" t="s">
        <v>40</v>
      </c>
      <c r="U4105" s="1">
        <v>43344</v>
      </c>
      <c r="V4105" t="s">
        <v>41</v>
      </c>
      <c r="W4105" t="s">
        <v>95</v>
      </c>
      <c r="X4105" t="str">
        <f>"7054067"</f>
        <v>7054067</v>
      </c>
      <c r="Y4105" t="s">
        <v>820</v>
      </c>
      <c r="Z4105" t="s">
        <v>354</v>
      </c>
      <c r="AA4105" t="s">
        <v>355</v>
      </c>
      <c r="AB4105" t="s">
        <v>131</v>
      </c>
      <c r="AC4105" t="s">
        <v>51</v>
      </c>
      <c r="AD4105" t="s">
        <v>45</v>
      </c>
      <c r="AE4105" s="1">
        <v>24628</v>
      </c>
      <c r="AF4105">
        <v>1</v>
      </c>
      <c r="AG4105" t="s">
        <v>355</v>
      </c>
      <c r="AH4105" s="36">
        <f t="shared" si="64"/>
        <v>52.302777777777777</v>
      </c>
      <c r="AI4105" s="41" t="s">
        <v>1781</v>
      </c>
    </row>
    <row r="4106" spans="1:35" x14ac:dyDescent="0.25">
      <c r="A4106" s="36">
        <v>99914104</v>
      </c>
      <c r="B4106" s="17" t="s">
        <v>56</v>
      </c>
      <c r="C4106" t="s">
        <v>46</v>
      </c>
      <c r="D4106" t="s">
        <v>47</v>
      </c>
      <c r="G4106" s="17" t="s">
        <v>48</v>
      </c>
      <c r="H4106" s="17">
        <v>1</v>
      </c>
      <c r="K4106" t="s">
        <v>1268</v>
      </c>
      <c r="L4106" t="s">
        <v>1269</v>
      </c>
      <c r="M4106" t="s">
        <v>1270</v>
      </c>
      <c r="N4106">
        <v>20</v>
      </c>
      <c r="O4106" t="s">
        <v>40</v>
      </c>
      <c r="P4106" t="s">
        <v>40</v>
      </c>
      <c r="Q4106" t="s">
        <v>40</v>
      </c>
      <c r="S4106" t="s">
        <v>40</v>
      </c>
      <c r="V4106" t="s">
        <v>41</v>
      </c>
      <c r="W4106" t="s">
        <v>42</v>
      </c>
      <c r="X4106" t="str">
        <f>"1980050"</f>
        <v>1980050</v>
      </c>
      <c r="Y4106" t="s">
        <v>1278</v>
      </c>
      <c r="Z4106" t="s">
        <v>1268</v>
      </c>
      <c r="AA4106" t="s">
        <v>1269</v>
      </c>
      <c r="AB4106" t="s">
        <v>1270</v>
      </c>
      <c r="AC4106" t="s">
        <v>51</v>
      </c>
      <c r="AD4106" t="s">
        <v>45</v>
      </c>
      <c r="AE4106" s="1">
        <v>24627</v>
      </c>
      <c r="AF4106">
        <v>2</v>
      </c>
      <c r="AG4106" t="s">
        <v>1269</v>
      </c>
      <c r="AH4106" s="36">
        <f t="shared" si="64"/>
        <v>52.305555555555557</v>
      </c>
      <c r="AI4106" s="41" t="s">
        <v>1781</v>
      </c>
    </row>
    <row r="4107" spans="1:35" x14ac:dyDescent="0.25">
      <c r="A4107" s="36">
        <v>99914105</v>
      </c>
      <c r="B4107" s="17" t="s">
        <v>32</v>
      </c>
      <c r="C4107" t="s">
        <v>79</v>
      </c>
      <c r="D4107" t="s">
        <v>80</v>
      </c>
      <c r="G4107" s="17" t="s">
        <v>48</v>
      </c>
      <c r="H4107" s="17">
        <v>1</v>
      </c>
      <c r="K4107" t="s">
        <v>431</v>
      </c>
      <c r="L4107" t="s">
        <v>196</v>
      </c>
      <c r="M4107" t="s">
        <v>131</v>
      </c>
      <c r="N4107">
        <v>18</v>
      </c>
      <c r="O4107" t="s">
        <v>40</v>
      </c>
      <c r="P4107" t="s">
        <v>40</v>
      </c>
      <c r="Q4107" t="s">
        <v>40</v>
      </c>
      <c r="R4107" t="s">
        <v>40</v>
      </c>
      <c r="S4107" t="s">
        <v>40</v>
      </c>
      <c r="V4107" t="s">
        <v>41</v>
      </c>
      <c r="W4107" t="s">
        <v>75</v>
      </c>
      <c r="X4107" t="str">
        <f>"7521022"</f>
        <v>7521022</v>
      </c>
      <c r="Y4107" t="s">
        <v>445</v>
      </c>
      <c r="Z4107" t="s">
        <v>431</v>
      </c>
      <c r="AA4107" t="s">
        <v>196</v>
      </c>
      <c r="AB4107" t="s">
        <v>131</v>
      </c>
      <c r="AC4107" t="s">
        <v>51</v>
      </c>
      <c r="AD4107" t="s">
        <v>45</v>
      </c>
      <c r="AE4107" s="1">
        <v>24626</v>
      </c>
      <c r="AF4107">
        <v>1</v>
      </c>
      <c r="AG4107" t="s">
        <v>196</v>
      </c>
      <c r="AH4107" s="36">
        <f t="shared" si="64"/>
        <v>52.30833333333333</v>
      </c>
      <c r="AI4107" s="41" t="s">
        <v>1781</v>
      </c>
    </row>
    <row r="4108" spans="1:35" x14ac:dyDescent="0.25">
      <c r="A4108" s="36">
        <v>99914106</v>
      </c>
      <c r="B4108" s="17" t="s">
        <v>56</v>
      </c>
      <c r="C4108" t="s">
        <v>52</v>
      </c>
      <c r="D4108" t="s">
        <v>53</v>
      </c>
      <c r="G4108" s="17" t="s">
        <v>35</v>
      </c>
      <c r="H4108" s="17">
        <v>1</v>
      </c>
      <c r="K4108" t="s">
        <v>1051</v>
      </c>
      <c r="L4108" t="s">
        <v>1052</v>
      </c>
      <c r="M4108" t="s">
        <v>1053</v>
      </c>
      <c r="N4108">
        <v>23</v>
      </c>
      <c r="O4108" t="s">
        <v>40</v>
      </c>
      <c r="P4108" t="s">
        <v>40</v>
      </c>
      <c r="Q4108" t="s">
        <v>40</v>
      </c>
      <c r="S4108" t="s">
        <v>40</v>
      </c>
      <c r="V4108" t="s">
        <v>41</v>
      </c>
      <c r="W4108" t="s">
        <v>42</v>
      </c>
      <c r="X4108" t="str">
        <f>"2061003"</f>
        <v>2061003</v>
      </c>
      <c r="Y4108" t="s">
        <v>1060</v>
      </c>
      <c r="Z4108" t="s">
        <v>1051</v>
      </c>
      <c r="AA4108" t="s">
        <v>1052</v>
      </c>
      <c r="AB4108" t="s">
        <v>1053</v>
      </c>
      <c r="AC4108" t="s">
        <v>51</v>
      </c>
      <c r="AD4108" t="s">
        <v>45</v>
      </c>
      <c r="AE4108" s="1">
        <v>24623</v>
      </c>
      <c r="AF4108">
        <v>2</v>
      </c>
      <c r="AG4108" t="s">
        <v>1052</v>
      </c>
      <c r="AH4108" s="36">
        <f t="shared" si="64"/>
        <v>52.31666666666667</v>
      </c>
      <c r="AI4108" s="41" t="s">
        <v>1781</v>
      </c>
    </row>
    <row r="4109" spans="1:35" x14ac:dyDescent="0.25">
      <c r="A4109" s="36">
        <v>99914107</v>
      </c>
      <c r="B4109" s="17" t="s">
        <v>56</v>
      </c>
      <c r="C4109" t="s">
        <v>52</v>
      </c>
      <c r="D4109" t="s">
        <v>53</v>
      </c>
      <c r="G4109" s="17" t="s">
        <v>48</v>
      </c>
      <c r="H4109" s="17">
        <v>1</v>
      </c>
      <c r="K4109" t="s">
        <v>1051</v>
      </c>
      <c r="L4109" t="s">
        <v>1052</v>
      </c>
      <c r="M4109" t="s">
        <v>1053</v>
      </c>
      <c r="N4109">
        <v>20</v>
      </c>
      <c r="O4109" t="s">
        <v>40</v>
      </c>
      <c r="P4109" t="s">
        <v>40</v>
      </c>
      <c r="Q4109" t="s">
        <v>40</v>
      </c>
      <c r="S4109" t="s">
        <v>40</v>
      </c>
      <c r="V4109" t="s">
        <v>41</v>
      </c>
      <c r="W4109" t="s">
        <v>42</v>
      </c>
      <c r="X4109" t="str">
        <f>"2061001"</f>
        <v>2061001</v>
      </c>
      <c r="Y4109" t="s">
        <v>1058</v>
      </c>
      <c r="Z4109" t="s">
        <v>1051</v>
      </c>
      <c r="AA4109" t="s">
        <v>1052</v>
      </c>
      <c r="AB4109" t="s">
        <v>1053</v>
      </c>
      <c r="AC4109" t="s">
        <v>51</v>
      </c>
      <c r="AD4109" t="s">
        <v>45</v>
      </c>
      <c r="AE4109" s="1">
        <v>24623</v>
      </c>
      <c r="AF4109">
        <v>2</v>
      </c>
      <c r="AG4109" t="s">
        <v>1052</v>
      </c>
      <c r="AH4109" s="36">
        <f t="shared" si="64"/>
        <v>52.31666666666667</v>
      </c>
      <c r="AI4109" s="41" t="s">
        <v>1781</v>
      </c>
    </row>
    <row r="4110" spans="1:35" x14ac:dyDescent="0.25">
      <c r="A4110" s="36">
        <v>99914108</v>
      </c>
      <c r="B4110" s="17" t="s">
        <v>32</v>
      </c>
      <c r="C4110" t="s">
        <v>82</v>
      </c>
      <c r="D4110" t="s">
        <v>83</v>
      </c>
      <c r="G4110" s="17" t="s">
        <v>48</v>
      </c>
      <c r="H4110" s="17">
        <v>1</v>
      </c>
      <c r="K4110" t="s">
        <v>162</v>
      </c>
      <c r="L4110" t="s">
        <v>158</v>
      </c>
      <c r="M4110" t="s">
        <v>131</v>
      </c>
      <c r="N4110">
        <v>18</v>
      </c>
      <c r="O4110" t="s">
        <v>40</v>
      </c>
      <c r="P4110" t="s">
        <v>40</v>
      </c>
      <c r="Q4110" t="s">
        <v>40</v>
      </c>
      <c r="S4110" t="s">
        <v>40</v>
      </c>
      <c r="V4110" t="s">
        <v>41</v>
      </c>
      <c r="W4110" t="s">
        <v>42</v>
      </c>
      <c r="X4110" t="str">
        <f>"0580320"</f>
        <v>0580320</v>
      </c>
      <c r="Y4110" t="s">
        <v>164</v>
      </c>
      <c r="Z4110" t="s">
        <v>162</v>
      </c>
      <c r="AA4110" t="s">
        <v>158</v>
      </c>
      <c r="AB4110" t="s">
        <v>131</v>
      </c>
      <c r="AC4110" t="s">
        <v>165</v>
      </c>
      <c r="AD4110" t="s">
        <v>45</v>
      </c>
      <c r="AE4110" s="1">
        <v>24618</v>
      </c>
      <c r="AF4110">
        <v>2</v>
      </c>
      <c r="AG4110" t="s">
        <v>158</v>
      </c>
      <c r="AH4110" s="36">
        <f t="shared" si="64"/>
        <v>52.330555555555556</v>
      </c>
      <c r="AI4110" s="41" t="s">
        <v>1781</v>
      </c>
    </row>
    <row r="4111" spans="1:35" x14ac:dyDescent="0.25">
      <c r="A4111" s="36">
        <v>99914109</v>
      </c>
      <c r="B4111" s="17" t="s">
        <v>56</v>
      </c>
      <c r="C4111" t="s">
        <v>85</v>
      </c>
      <c r="D4111" t="s">
        <v>86</v>
      </c>
      <c r="G4111" s="17" t="s">
        <v>48</v>
      </c>
      <c r="H4111" s="17">
        <v>1</v>
      </c>
      <c r="K4111" t="s">
        <v>162</v>
      </c>
      <c r="L4111" t="s">
        <v>158</v>
      </c>
      <c r="M4111" t="s">
        <v>131</v>
      </c>
      <c r="N4111">
        <v>20</v>
      </c>
      <c r="O4111" t="s">
        <v>40</v>
      </c>
      <c r="P4111" t="s">
        <v>40</v>
      </c>
      <c r="Q4111" t="s">
        <v>40</v>
      </c>
      <c r="S4111" t="s">
        <v>40</v>
      </c>
      <c r="V4111" t="s">
        <v>41</v>
      </c>
      <c r="W4111" t="s">
        <v>49</v>
      </c>
      <c r="X4111" t="str">
        <f>"0560003"</f>
        <v>0560003</v>
      </c>
      <c r="Y4111" t="s">
        <v>181</v>
      </c>
      <c r="Z4111" t="s">
        <v>162</v>
      </c>
      <c r="AA4111" t="s">
        <v>158</v>
      </c>
      <c r="AB4111" t="s">
        <v>131</v>
      </c>
      <c r="AC4111" t="s">
        <v>51</v>
      </c>
      <c r="AD4111" t="s">
        <v>45</v>
      </c>
      <c r="AE4111" s="1">
        <v>24618</v>
      </c>
      <c r="AF4111">
        <v>2</v>
      </c>
      <c r="AG4111" t="s">
        <v>158</v>
      </c>
      <c r="AH4111" s="36">
        <f t="shared" si="64"/>
        <v>52.330555555555556</v>
      </c>
      <c r="AI4111" s="41" t="s">
        <v>1781</v>
      </c>
    </row>
    <row r="4112" spans="1:35" x14ac:dyDescent="0.25">
      <c r="A4112" s="36">
        <v>99914110</v>
      </c>
      <c r="B4112" s="17" t="s">
        <v>56</v>
      </c>
      <c r="C4112" t="s">
        <v>85</v>
      </c>
      <c r="D4112" t="s">
        <v>86</v>
      </c>
      <c r="G4112" s="17" t="s">
        <v>48</v>
      </c>
      <c r="H4112" s="17">
        <v>11</v>
      </c>
      <c r="K4112" t="s">
        <v>1268</v>
      </c>
      <c r="L4112" t="s">
        <v>1269</v>
      </c>
      <c r="M4112" t="s">
        <v>1270</v>
      </c>
      <c r="N4112">
        <v>18</v>
      </c>
      <c r="O4112" t="s">
        <v>40</v>
      </c>
      <c r="P4112" t="s">
        <v>40</v>
      </c>
      <c r="Q4112" t="s">
        <v>40</v>
      </c>
      <c r="R4112" t="s">
        <v>40</v>
      </c>
      <c r="S4112" t="s">
        <v>40</v>
      </c>
      <c r="V4112" t="s">
        <v>41</v>
      </c>
      <c r="W4112" t="s">
        <v>49</v>
      </c>
      <c r="X4112" t="str">
        <f>"1981911"</f>
        <v>1981911</v>
      </c>
      <c r="Y4112" t="s">
        <v>1286</v>
      </c>
      <c r="Z4112" t="s">
        <v>1268</v>
      </c>
      <c r="AA4112" t="s">
        <v>1269</v>
      </c>
      <c r="AB4112" t="s">
        <v>1270</v>
      </c>
      <c r="AC4112" t="s">
        <v>51</v>
      </c>
      <c r="AD4112" t="s">
        <v>45</v>
      </c>
      <c r="AE4112" s="1">
        <v>24618</v>
      </c>
      <c r="AF4112">
        <v>2</v>
      </c>
      <c r="AG4112" t="s">
        <v>1269</v>
      </c>
      <c r="AH4112" s="36">
        <f t="shared" si="64"/>
        <v>52.330555555555556</v>
      </c>
      <c r="AI4112" s="41" t="s">
        <v>1781</v>
      </c>
    </row>
    <row r="4113" spans="1:35" x14ac:dyDescent="0.25">
      <c r="A4113" s="36">
        <v>99914111</v>
      </c>
      <c r="B4113" s="17" t="s">
        <v>32</v>
      </c>
      <c r="C4113" t="s">
        <v>46</v>
      </c>
      <c r="D4113" t="s">
        <v>47</v>
      </c>
      <c r="G4113" s="17" t="s">
        <v>48</v>
      </c>
      <c r="H4113" s="17">
        <v>1</v>
      </c>
      <c r="K4113" t="s">
        <v>129</v>
      </c>
      <c r="L4113" t="s">
        <v>130</v>
      </c>
      <c r="M4113" t="s">
        <v>131</v>
      </c>
      <c r="N4113">
        <v>22</v>
      </c>
      <c r="O4113" t="s">
        <v>40</v>
      </c>
      <c r="P4113" t="s">
        <v>40</v>
      </c>
      <c r="Q4113" t="s">
        <v>40</v>
      </c>
      <c r="S4113" t="s">
        <v>40</v>
      </c>
      <c r="V4113" t="s">
        <v>41</v>
      </c>
      <c r="W4113" t="s">
        <v>49</v>
      </c>
      <c r="X4113" t="str">
        <f>"0560024"</f>
        <v>0560024</v>
      </c>
      <c r="Y4113" t="s">
        <v>138</v>
      </c>
      <c r="Z4113" t="s">
        <v>129</v>
      </c>
      <c r="AA4113" t="s">
        <v>130</v>
      </c>
      <c r="AB4113" t="s">
        <v>131</v>
      </c>
      <c r="AC4113" t="s">
        <v>51</v>
      </c>
      <c r="AD4113" t="s">
        <v>45</v>
      </c>
      <c r="AE4113" s="1">
        <v>24616</v>
      </c>
      <c r="AF4113">
        <v>2</v>
      </c>
      <c r="AG4113" t="s">
        <v>130</v>
      </c>
      <c r="AH4113" s="36">
        <f t="shared" si="64"/>
        <v>52.336111111111109</v>
      </c>
      <c r="AI4113" s="41" t="s">
        <v>1781</v>
      </c>
    </row>
    <row r="4114" spans="1:35" x14ac:dyDescent="0.25">
      <c r="A4114" s="36">
        <v>99914112</v>
      </c>
      <c r="B4114" s="17" t="s">
        <v>32</v>
      </c>
      <c r="C4114" t="s">
        <v>71</v>
      </c>
      <c r="D4114" t="s">
        <v>72</v>
      </c>
      <c r="G4114" s="17" t="s">
        <v>35</v>
      </c>
      <c r="H4114" s="17">
        <v>1</v>
      </c>
      <c r="I4114" t="s">
        <v>250</v>
      </c>
      <c r="J4114" s="1">
        <v>43348</v>
      </c>
      <c r="K4114" t="s">
        <v>354</v>
      </c>
      <c r="L4114" t="s">
        <v>355</v>
      </c>
      <c r="M4114" t="s">
        <v>131</v>
      </c>
      <c r="N4114">
        <v>5</v>
      </c>
      <c r="O4114" t="s">
        <v>40</v>
      </c>
      <c r="P4114" t="s">
        <v>40</v>
      </c>
      <c r="Q4114" t="s">
        <v>40</v>
      </c>
      <c r="R4114" t="s">
        <v>40</v>
      </c>
      <c r="S4114" t="s">
        <v>40</v>
      </c>
      <c r="U4114" s="1">
        <v>43348</v>
      </c>
      <c r="V4114" t="s">
        <v>41</v>
      </c>
      <c r="W4114" t="s">
        <v>75</v>
      </c>
      <c r="X4114" t="str">
        <f>"7054038"</f>
        <v>7054038</v>
      </c>
      <c r="Y4114" t="s">
        <v>377</v>
      </c>
      <c r="Z4114" t="s">
        <v>354</v>
      </c>
      <c r="AA4114" t="s">
        <v>355</v>
      </c>
      <c r="AB4114" t="s">
        <v>131</v>
      </c>
      <c r="AC4114" t="s">
        <v>51</v>
      </c>
      <c r="AD4114" t="s">
        <v>45</v>
      </c>
      <c r="AE4114" s="1">
        <v>24616</v>
      </c>
      <c r="AF4114">
        <v>1</v>
      </c>
      <c r="AG4114" t="s">
        <v>355</v>
      </c>
      <c r="AH4114" s="36">
        <f t="shared" si="64"/>
        <v>52.336111111111109</v>
      </c>
      <c r="AI4114" s="41" t="s">
        <v>1781</v>
      </c>
    </row>
    <row r="4115" spans="1:35" x14ac:dyDescent="0.25">
      <c r="A4115" s="36">
        <v>99914113</v>
      </c>
      <c r="B4115" s="17" t="s">
        <v>32</v>
      </c>
      <c r="C4115" t="s">
        <v>139</v>
      </c>
      <c r="D4115" t="s">
        <v>140</v>
      </c>
      <c r="G4115" s="17" t="s">
        <v>48</v>
      </c>
      <c r="H4115" s="17">
        <v>1</v>
      </c>
      <c r="K4115" t="s">
        <v>1268</v>
      </c>
      <c r="L4115" t="s">
        <v>1269</v>
      </c>
      <c r="M4115" t="s">
        <v>1270</v>
      </c>
      <c r="N4115">
        <v>20</v>
      </c>
      <c r="O4115" t="s">
        <v>40</v>
      </c>
      <c r="P4115" t="s">
        <v>40</v>
      </c>
      <c r="Q4115" t="s">
        <v>40</v>
      </c>
      <c r="R4115" t="s">
        <v>40</v>
      </c>
      <c r="S4115" t="s">
        <v>40</v>
      </c>
      <c r="V4115" t="s">
        <v>41</v>
      </c>
      <c r="W4115" t="s">
        <v>49</v>
      </c>
      <c r="X4115" t="str">
        <f>"1981912"</f>
        <v>1981912</v>
      </c>
      <c r="Y4115" t="s">
        <v>1279</v>
      </c>
      <c r="Z4115" t="s">
        <v>1268</v>
      </c>
      <c r="AA4115" t="s">
        <v>1269</v>
      </c>
      <c r="AB4115" t="s">
        <v>1270</v>
      </c>
      <c r="AC4115" t="s">
        <v>51</v>
      </c>
      <c r="AD4115" t="s">
        <v>45</v>
      </c>
      <c r="AE4115" s="1">
        <v>24615</v>
      </c>
      <c r="AF4115">
        <v>2</v>
      </c>
      <c r="AG4115" t="s">
        <v>1269</v>
      </c>
      <c r="AH4115" s="36">
        <f t="shared" si="64"/>
        <v>52.338888888888889</v>
      </c>
      <c r="AI4115" s="41" t="s">
        <v>1781</v>
      </c>
    </row>
    <row r="4116" spans="1:35" x14ac:dyDescent="0.25">
      <c r="A4116" s="36">
        <v>99914114</v>
      </c>
      <c r="B4116" s="17" t="s">
        <v>32</v>
      </c>
      <c r="C4116" t="s">
        <v>82</v>
      </c>
      <c r="D4116" t="s">
        <v>83</v>
      </c>
      <c r="G4116" s="17" t="s">
        <v>48</v>
      </c>
      <c r="H4116" s="17">
        <v>1</v>
      </c>
      <c r="K4116" t="s">
        <v>1268</v>
      </c>
      <c r="L4116" t="s">
        <v>1269</v>
      </c>
      <c r="M4116" t="s">
        <v>1270</v>
      </c>
      <c r="N4116">
        <v>18</v>
      </c>
      <c r="O4116" t="s">
        <v>40</v>
      </c>
      <c r="P4116" t="s">
        <v>40</v>
      </c>
      <c r="Q4116" t="s">
        <v>40</v>
      </c>
      <c r="S4116" t="s">
        <v>40</v>
      </c>
      <c r="V4116" t="s">
        <v>41</v>
      </c>
      <c r="W4116" t="s">
        <v>42</v>
      </c>
      <c r="X4116" t="str">
        <f>"1990910"</f>
        <v>1990910</v>
      </c>
      <c r="Y4116" t="s">
        <v>1281</v>
      </c>
      <c r="Z4116" t="s">
        <v>1268</v>
      </c>
      <c r="AA4116" t="s">
        <v>1269</v>
      </c>
      <c r="AB4116" t="s">
        <v>1270</v>
      </c>
      <c r="AC4116" t="s">
        <v>165</v>
      </c>
      <c r="AD4116" t="s">
        <v>45</v>
      </c>
      <c r="AE4116" s="1">
        <v>24614</v>
      </c>
      <c r="AF4116">
        <v>2</v>
      </c>
      <c r="AG4116" t="s">
        <v>1269</v>
      </c>
      <c r="AH4116" s="36">
        <f t="shared" si="64"/>
        <v>52.341666666666669</v>
      </c>
      <c r="AI4116" s="41" t="s">
        <v>1781</v>
      </c>
    </row>
    <row r="4117" spans="1:35" x14ac:dyDescent="0.25">
      <c r="A4117" s="36">
        <v>99914115</v>
      </c>
      <c r="B4117" s="17" t="s">
        <v>32</v>
      </c>
      <c r="C4117" t="s">
        <v>82</v>
      </c>
      <c r="D4117" t="s">
        <v>83</v>
      </c>
      <c r="G4117" s="17" t="s">
        <v>35</v>
      </c>
      <c r="H4117" s="17">
        <v>1</v>
      </c>
      <c r="K4117" t="s">
        <v>1546</v>
      </c>
      <c r="L4117" t="s">
        <v>1547</v>
      </c>
      <c r="M4117" t="s">
        <v>1548</v>
      </c>
      <c r="N4117">
        <v>20</v>
      </c>
      <c r="O4117" t="s">
        <v>40</v>
      </c>
      <c r="P4117" t="s">
        <v>40</v>
      </c>
      <c r="Q4117" t="s">
        <v>40</v>
      </c>
      <c r="R4117" t="s">
        <v>40</v>
      </c>
      <c r="S4117" t="s">
        <v>40</v>
      </c>
      <c r="V4117" t="s">
        <v>41</v>
      </c>
      <c r="W4117" t="s">
        <v>42</v>
      </c>
      <c r="X4117" t="str">
        <f>"1080010"</f>
        <v>1080010</v>
      </c>
      <c r="Y4117" t="s">
        <v>1549</v>
      </c>
      <c r="Z4117" t="s">
        <v>1546</v>
      </c>
      <c r="AA4117" t="s">
        <v>1547</v>
      </c>
      <c r="AB4117" t="s">
        <v>1548</v>
      </c>
      <c r="AC4117" t="s">
        <v>51</v>
      </c>
      <c r="AD4117" t="s">
        <v>45</v>
      </c>
      <c r="AE4117" s="1">
        <v>24614</v>
      </c>
      <c r="AF4117">
        <v>2</v>
      </c>
      <c r="AG4117" t="s">
        <v>1547</v>
      </c>
      <c r="AH4117" s="36">
        <f t="shared" si="64"/>
        <v>52.341666666666669</v>
      </c>
      <c r="AI4117" s="41" t="s">
        <v>1781</v>
      </c>
    </row>
    <row r="4118" spans="1:35" x14ac:dyDescent="0.25">
      <c r="A4118" s="36">
        <v>99914116</v>
      </c>
      <c r="B4118" s="17" t="s">
        <v>32</v>
      </c>
      <c r="C4118" t="s">
        <v>79</v>
      </c>
      <c r="D4118" t="s">
        <v>80</v>
      </c>
      <c r="G4118" s="17" t="s">
        <v>48</v>
      </c>
      <c r="H4118" s="17">
        <v>1</v>
      </c>
      <c r="K4118" t="s">
        <v>877</v>
      </c>
      <c r="L4118" t="s">
        <v>878</v>
      </c>
      <c r="M4118" t="s">
        <v>131</v>
      </c>
      <c r="N4118">
        <v>22</v>
      </c>
      <c r="O4118" t="s">
        <v>40</v>
      </c>
      <c r="P4118" t="s">
        <v>40</v>
      </c>
      <c r="Q4118" t="s">
        <v>40</v>
      </c>
      <c r="R4118" t="s">
        <v>40</v>
      </c>
      <c r="S4118" t="s">
        <v>40</v>
      </c>
      <c r="V4118" t="s">
        <v>41</v>
      </c>
      <c r="W4118" t="s">
        <v>75</v>
      </c>
      <c r="X4118" t="str">
        <f>"7700025"</f>
        <v>7700025</v>
      </c>
      <c r="Y4118" t="s">
        <v>880</v>
      </c>
      <c r="Z4118" t="s">
        <v>877</v>
      </c>
      <c r="AA4118" t="s">
        <v>878</v>
      </c>
      <c r="AB4118" t="s">
        <v>131</v>
      </c>
      <c r="AC4118" t="s">
        <v>51</v>
      </c>
      <c r="AD4118" t="s">
        <v>45</v>
      </c>
      <c r="AE4118" s="1">
        <v>24608</v>
      </c>
      <c r="AF4118">
        <v>1</v>
      </c>
      <c r="AG4118" t="s">
        <v>878</v>
      </c>
      <c r="AH4118" s="36">
        <f t="shared" si="64"/>
        <v>52.358333333333334</v>
      </c>
      <c r="AI4118" s="41" t="s">
        <v>1781</v>
      </c>
    </row>
    <row r="4119" spans="1:35" x14ac:dyDescent="0.25">
      <c r="A4119" s="36">
        <v>99914117</v>
      </c>
      <c r="B4119" s="17" t="s">
        <v>32</v>
      </c>
      <c r="C4119" t="s">
        <v>111</v>
      </c>
      <c r="D4119" t="s">
        <v>112</v>
      </c>
      <c r="G4119" s="17" t="s">
        <v>35</v>
      </c>
      <c r="H4119" s="17">
        <v>12</v>
      </c>
      <c r="K4119" t="s">
        <v>268</v>
      </c>
      <c r="L4119" t="s">
        <v>269</v>
      </c>
      <c r="M4119" t="s">
        <v>131</v>
      </c>
      <c r="N4119">
        <v>21</v>
      </c>
      <c r="O4119" t="s">
        <v>40</v>
      </c>
      <c r="P4119" t="s">
        <v>40</v>
      </c>
      <c r="Q4119" t="s">
        <v>40</v>
      </c>
      <c r="R4119" t="s">
        <v>40</v>
      </c>
      <c r="S4119" t="s">
        <v>40</v>
      </c>
      <c r="V4119" t="s">
        <v>41</v>
      </c>
      <c r="W4119" t="s">
        <v>75</v>
      </c>
      <c r="X4119" t="str">
        <f>"7052006"</f>
        <v>7052006</v>
      </c>
      <c r="Y4119" t="s">
        <v>575</v>
      </c>
      <c r="Z4119" t="s">
        <v>268</v>
      </c>
      <c r="AA4119" t="s">
        <v>269</v>
      </c>
      <c r="AB4119" t="s">
        <v>131</v>
      </c>
      <c r="AC4119" t="s">
        <v>165</v>
      </c>
      <c r="AD4119" t="s">
        <v>45</v>
      </c>
      <c r="AE4119" s="1">
        <v>24607</v>
      </c>
      <c r="AF4119">
        <v>1</v>
      </c>
      <c r="AG4119" t="s">
        <v>269</v>
      </c>
      <c r="AH4119" s="36">
        <f t="shared" si="64"/>
        <v>52.361111111111114</v>
      </c>
      <c r="AI4119" s="41" t="s">
        <v>1781</v>
      </c>
    </row>
    <row r="4120" spans="1:35" x14ac:dyDescent="0.25">
      <c r="A4120" s="36">
        <v>99914118</v>
      </c>
      <c r="B4120" s="17" t="s">
        <v>32</v>
      </c>
      <c r="C4120" t="s">
        <v>79</v>
      </c>
      <c r="D4120" t="s">
        <v>80</v>
      </c>
      <c r="G4120" s="17" t="s">
        <v>35</v>
      </c>
      <c r="H4120" s="17">
        <v>1</v>
      </c>
      <c r="K4120" t="s">
        <v>223</v>
      </c>
      <c r="L4120" t="s">
        <v>224</v>
      </c>
      <c r="M4120" t="s">
        <v>131</v>
      </c>
      <c r="N4120">
        <v>20</v>
      </c>
      <c r="O4120" t="s">
        <v>40</v>
      </c>
      <c r="P4120" t="s">
        <v>40</v>
      </c>
      <c r="Q4120" t="s">
        <v>40</v>
      </c>
      <c r="S4120" t="s">
        <v>40</v>
      </c>
      <c r="V4120" t="s">
        <v>41</v>
      </c>
      <c r="W4120" t="s">
        <v>49</v>
      </c>
      <c r="X4120" t="str">
        <f>"0591907"</f>
        <v>0591907</v>
      </c>
      <c r="Y4120" t="s">
        <v>243</v>
      </c>
      <c r="Z4120" t="s">
        <v>223</v>
      </c>
      <c r="AA4120" t="s">
        <v>224</v>
      </c>
      <c r="AB4120" t="s">
        <v>131</v>
      </c>
      <c r="AC4120" t="s">
        <v>51</v>
      </c>
      <c r="AD4120" t="s">
        <v>45</v>
      </c>
      <c r="AE4120" s="1">
        <v>24606</v>
      </c>
      <c r="AF4120">
        <v>2</v>
      </c>
      <c r="AG4120" t="s">
        <v>224</v>
      </c>
      <c r="AH4120" s="36">
        <f t="shared" si="64"/>
        <v>52.363888888888887</v>
      </c>
      <c r="AI4120" s="41" t="s">
        <v>1781</v>
      </c>
    </row>
    <row r="4121" spans="1:35" x14ac:dyDescent="0.25">
      <c r="A4121" s="36">
        <v>99914119</v>
      </c>
      <c r="B4121" s="17" t="s">
        <v>56</v>
      </c>
      <c r="C4121" t="s">
        <v>251</v>
      </c>
      <c r="D4121" t="s">
        <v>252</v>
      </c>
      <c r="G4121" s="17" t="s">
        <v>48</v>
      </c>
      <c r="H4121" s="17">
        <v>1</v>
      </c>
      <c r="K4121" t="s">
        <v>300</v>
      </c>
      <c r="L4121" t="s">
        <v>301</v>
      </c>
      <c r="M4121" t="s">
        <v>131</v>
      </c>
      <c r="N4121">
        <v>18</v>
      </c>
      <c r="O4121" t="s">
        <v>40</v>
      </c>
      <c r="P4121" t="s">
        <v>40</v>
      </c>
      <c r="Q4121" t="s">
        <v>40</v>
      </c>
      <c r="R4121" t="s">
        <v>40</v>
      </c>
      <c r="S4121" t="s">
        <v>40</v>
      </c>
      <c r="V4121" t="s">
        <v>41</v>
      </c>
      <c r="W4121" t="s">
        <v>49</v>
      </c>
      <c r="X4121" t="str">
        <f>"0560020"</f>
        <v>0560020</v>
      </c>
      <c r="Y4121" t="s">
        <v>302</v>
      </c>
      <c r="Z4121" t="s">
        <v>300</v>
      </c>
      <c r="AA4121" t="s">
        <v>301</v>
      </c>
      <c r="AB4121" t="s">
        <v>131</v>
      </c>
      <c r="AC4121" t="s">
        <v>51</v>
      </c>
      <c r="AD4121" t="s">
        <v>45</v>
      </c>
      <c r="AE4121" s="1">
        <v>24605</v>
      </c>
      <c r="AF4121">
        <v>2</v>
      </c>
      <c r="AG4121" t="s">
        <v>301</v>
      </c>
      <c r="AH4121" s="36">
        <f t="shared" si="64"/>
        <v>52.366666666666667</v>
      </c>
      <c r="AI4121" s="41" t="s">
        <v>1781</v>
      </c>
    </row>
    <row r="4122" spans="1:35" x14ac:dyDescent="0.25">
      <c r="A4122" s="36">
        <v>99914120</v>
      </c>
      <c r="B4122" s="17" t="s">
        <v>32</v>
      </c>
      <c r="C4122" t="s">
        <v>111</v>
      </c>
      <c r="D4122" t="s">
        <v>112</v>
      </c>
      <c r="G4122" s="17" t="s">
        <v>48</v>
      </c>
      <c r="H4122" s="17">
        <v>13</v>
      </c>
      <c r="K4122" t="s">
        <v>195</v>
      </c>
      <c r="L4122" t="s">
        <v>196</v>
      </c>
      <c r="M4122" t="s">
        <v>131</v>
      </c>
      <c r="N4122">
        <v>21</v>
      </c>
      <c r="O4122" t="s">
        <v>40</v>
      </c>
      <c r="P4122" t="s">
        <v>40</v>
      </c>
      <c r="Q4122" t="s">
        <v>40</v>
      </c>
      <c r="R4122" t="s">
        <v>40</v>
      </c>
      <c r="S4122" t="s">
        <v>40</v>
      </c>
      <c r="U4122" s="1">
        <v>36055</v>
      </c>
      <c r="V4122" t="s">
        <v>41</v>
      </c>
      <c r="W4122" t="s">
        <v>75</v>
      </c>
      <c r="X4122" t="str">
        <f>"7521042"</f>
        <v>7521042</v>
      </c>
      <c r="Y4122" t="s">
        <v>440</v>
      </c>
      <c r="Z4122" t="s">
        <v>195</v>
      </c>
      <c r="AA4122" t="s">
        <v>196</v>
      </c>
      <c r="AB4122" t="s">
        <v>131</v>
      </c>
      <c r="AC4122" t="s">
        <v>165</v>
      </c>
      <c r="AD4122" t="s">
        <v>45</v>
      </c>
      <c r="AE4122" s="1">
        <v>24605</v>
      </c>
      <c r="AF4122">
        <v>1</v>
      </c>
      <c r="AG4122" t="s">
        <v>196</v>
      </c>
      <c r="AH4122" s="36">
        <f t="shared" si="64"/>
        <v>52.366666666666667</v>
      </c>
      <c r="AI4122" s="41" t="s">
        <v>1781</v>
      </c>
    </row>
    <row r="4123" spans="1:35" x14ac:dyDescent="0.25">
      <c r="A4123" s="36">
        <v>99914121</v>
      </c>
      <c r="B4123" s="17" t="s">
        <v>32</v>
      </c>
      <c r="C4123" t="s">
        <v>143</v>
      </c>
      <c r="D4123" t="s">
        <v>144</v>
      </c>
      <c r="G4123" s="17" t="s">
        <v>48</v>
      </c>
      <c r="H4123" s="17">
        <v>1</v>
      </c>
      <c r="K4123" t="s">
        <v>223</v>
      </c>
      <c r="L4123" t="s">
        <v>224</v>
      </c>
      <c r="M4123" t="s">
        <v>131</v>
      </c>
      <c r="N4123">
        <v>18</v>
      </c>
      <c r="O4123" t="s">
        <v>40</v>
      </c>
      <c r="P4123" t="s">
        <v>40</v>
      </c>
      <c r="Q4123" t="s">
        <v>40</v>
      </c>
      <c r="R4123" t="s">
        <v>40</v>
      </c>
      <c r="S4123" t="s">
        <v>40</v>
      </c>
      <c r="V4123" t="s">
        <v>41</v>
      </c>
      <c r="W4123" t="s">
        <v>49</v>
      </c>
      <c r="X4123" t="str">
        <f>"0509999"</f>
        <v>0509999</v>
      </c>
      <c r="Y4123" t="s">
        <v>247</v>
      </c>
      <c r="Z4123" t="s">
        <v>223</v>
      </c>
      <c r="AA4123" t="s">
        <v>224</v>
      </c>
      <c r="AB4123" t="s">
        <v>131</v>
      </c>
      <c r="AC4123" t="s">
        <v>51</v>
      </c>
      <c r="AD4123" t="s">
        <v>45</v>
      </c>
      <c r="AE4123" s="1">
        <v>24601</v>
      </c>
      <c r="AF4123">
        <v>2</v>
      </c>
      <c r="AG4123" t="s">
        <v>224</v>
      </c>
      <c r="AH4123" s="36">
        <f t="shared" si="64"/>
        <v>52.37777777777778</v>
      </c>
      <c r="AI4123" s="41" t="s">
        <v>1781</v>
      </c>
    </row>
    <row r="4124" spans="1:35" x14ac:dyDescent="0.25">
      <c r="A4124" s="36">
        <v>99914122</v>
      </c>
      <c r="B4124" s="17" t="s">
        <v>32</v>
      </c>
      <c r="C4124" t="s">
        <v>85</v>
      </c>
      <c r="D4124" t="s">
        <v>86</v>
      </c>
      <c r="G4124" s="17" t="s">
        <v>35</v>
      </c>
      <c r="H4124" s="17">
        <v>1</v>
      </c>
      <c r="K4124" t="s">
        <v>223</v>
      </c>
      <c r="L4124" t="s">
        <v>224</v>
      </c>
      <c r="M4124" t="s">
        <v>131</v>
      </c>
      <c r="N4124">
        <v>20</v>
      </c>
      <c r="O4124" t="s">
        <v>40</v>
      </c>
      <c r="P4124" t="s">
        <v>40</v>
      </c>
      <c r="Q4124" t="s">
        <v>40</v>
      </c>
      <c r="R4124" t="s">
        <v>40</v>
      </c>
      <c r="S4124" t="s">
        <v>40</v>
      </c>
      <c r="V4124" t="s">
        <v>41</v>
      </c>
      <c r="W4124" t="s">
        <v>42</v>
      </c>
      <c r="X4124" t="str">
        <f>"0590901"</f>
        <v>0590901</v>
      </c>
      <c r="Y4124" t="s">
        <v>242</v>
      </c>
      <c r="Z4124" t="s">
        <v>223</v>
      </c>
      <c r="AA4124" t="s">
        <v>224</v>
      </c>
      <c r="AB4124" t="s">
        <v>131</v>
      </c>
      <c r="AC4124" t="s">
        <v>165</v>
      </c>
      <c r="AD4124" t="s">
        <v>45</v>
      </c>
      <c r="AE4124" s="1">
        <v>24600</v>
      </c>
      <c r="AF4124">
        <v>2</v>
      </c>
      <c r="AG4124" t="s">
        <v>224</v>
      </c>
      <c r="AH4124" s="36">
        <f t="shared" si="64"/>
        <v>52.380555555555553</v>
      </c>
      <c r="AI4124" s="41" t="s">
        <v>1781</v>
      </c>
    </row>
    <row r="4125" spans="1:35" x14ac:dyDescent="0.25">
      <c r="A4125" s="36">
        <v>99914123</v>
      </c>
      <c r="B4125" s="17" t="s">
        <v>32</v>
      </c>
      <c r="C4125" t="s">
        <v>90</v>
      </c>
      <c r="D4125" t="s">
        <v>91</v>
      </c>
      <c r="G4125" s="17" t="s">
        <v>48</v>
      </c>
      <c r="H4125" s="17">
        <v>6</v>
      </c>
      <c r="K4125" t="s">
        <v>1221</v>
      </c>
      <c r="L4125" t="s">
        <v>1222</v>
      </c>
      <c r="M4125" t="s">
        <v>1130</v>
      </c>
      <c r="N4125">
        <v>25</v>
      </c>
      <c r="O4125" t="s">
        <v>40</v>
      </c>
      <c r="P4125" t="s">
        <v>40</v>
      </c>
      <c r="Q4125" t="s">
        <v>40</v>
      </c>
      <c r="R4125" t="s">
        <v>40</v>
      </c>
      <c r="S4125" t="s">
        <v>40</v>
      </c>
      <c r="V4125" t="s">
        <v>41</v>
      </c>
      <c r="W4125" t="s">
        <v>95</v>
      </c>
      <c r="X4125" t="str">
        <f>"7351005"</f>
        <v>7351005</v>
      </c>
      <c r="Y4125" t="s">
        <v>1231</v>
      </c>
      <c r="Z4125" t="s">
        <v>1221</v>
      </c>
      <c r="AA4125" t="s">
        <v>1222</v>
      </c>
      <c r="AB4125" t="s">
        <v>1130</v>
      </c>
      <c r="AC4125" t="s">
        <v>51</v>
      </c>
      <c r="AD4125" t="s">
        <v>45</v>
      </c>
      <c r="AE4125" s="1">
        <v>24600</v>
      </c>
      <c r="AF4125">
        <v>1</v>
      </c>
      <c r="AG4125" t="s">
        <v>1222</v>
      </c>
      <c r="AH4125" s="36">
        <f t="shared" si="64"/>
        <v>52.380555555555553</v>
      </c>
      <c r="AI4125" s="41" t="s">
        <v>1781</v>
      </c>
    </row>
    <row r="4126" spans="1:35" x14ac:dyDescent="0.25">
      <c r="A4126" s="36">
        <v>99914124</v>
      </c>
      <c r="B4126" s="17" t="s">
        <v>32</v>
      </c>
      <c r="C4126" t="s">
        <v>111</v>
      </c>
      <c r="D4126" t="s">
        <v>112</v>
      </c>
      <c r="G4126" s="17" t="s">
        <v>48</v>
      </c>
      <c r="H4126" s="17">
        <v>13</v>
      </c>
      <c r="K4126" t="s">
        <v>431</v>
      </c>
      <c r="L4126" t="s">
        <v>196</v>
      </c>
      <c r="M4126" t="s">
        <v>131</v>
      </c>
      <c r="N4126">
        <v>21</v>
      </c>
      <c r="O4126" t="s">
        <v>40</v>
      </c>
      <c r="P4126" t="s">
        <v>40</v>
      </c>
      <c r="Q4126" t="s">
        <v>40</v>
      </c>
      <c r="R4126" t="s">
        <v>40</v>
      </c>
      <c r="S4126" t="s">
        <v>40</v>
      </c>
      <c r="V4126" t="s">
        <v>41</v>
      </c>
      <c r="W4126" t="s">
        <v>75</v>
      </c>
      <c r="X4126" t="str">
        <f>"7521012"</f>
        <v>7521012</v>
      </c>
      <c r="Y4126" t="s">
        <v>432</v>
      </c>
      <c r="Z4126" t="s">
        <v>431</v>
      </c>
      <c r="AA4126" t="s">
        <v>196</v>
      </c>
      <c r="AB4126" t="s">
        <v>131</v>
      </c>
      <c r="AC4126" t="s">
        <v>165</v>
      </c>
      <c r="AD4126" t="s">
        <v>45</v>
      </c>
      <c r="AE4126" s="1">
        <v>24599</v>
      </c>
      <c r="AF4126">
        <v>1</v>
      </c>
      <c r="AG4126" t="s">
        <v>196</v>
      </c>
      <c r="AH4126" s="36">
        <f t="shared" si="64"/>
        <v>52.383333333333333</v>
      </c>
      <c r="AI4126" s="41" t="s">
        <v>1781</v>
      </c>
    </row>
    <row r="4127" spans="1:35" x14ac:dyDescent="0.25">
      <c r="A4127" s="36">
        <v>99914125</v>
      </c>
      <c r="B4127" s="17" t="s">
        <v>32</v>
      </c>
      <c r="C4127" t="s">
        <v>52</v>
      </c>
      <c r="D4127" t="s">
        <v>53</v>
      </c>
      <c r="G4127" s="17" t="s">
        <v>35</v>
      </c>
      <c r="H4127" s="17">
        <v>1</v>
      </c>
      <c r="K4127" t="s">
        <v>223</v>
      </c>
      <c r="L4127" t="s">
        <v>224</v>
      </c>
      <c r="M4127" t="s">
        <v>131</v>
      </c>
      <c r="N4127">
        <v>18</v>
      </c>
      <c r="O4127" t="s">
        <v>40</v>
      </c>
      <c r="P4127" t="s">
        <v>40</v>
      </c>
      <c r="Q4127" t="s">
        <v>40</v>
      </c>
      <c r="R4127" t="s">
        <v>40</v>
      </c>
      <c r="S4127" t="s">
        <v>40</v>
      </c>
      <c r="V4127" t="s">
        <v>41</v>
      </c>
      <c r="W4127" t="s">
        <v>42</v>
      </c>
      <c r="X4127" t="str">
        <f>"0580395"</f>
        <v>0580395</v>
      </c>
      <c r="Y4127" t="s">
        <v>265</v>
      </c>
      <c r="Z4127" t="s">
        <v>223</v>
      </c>
      <c r="AA4127" t="s">
        <v>224</v>
      </c>
      <c r="AB4127" t="s">
        <v>131</v>
      </c>
      <c r="AC4127" t="s">
        <v>51</v>
      </c>
      <c r="AD4127" t="s">
        <v>45</v>
      </c>
      <c r="AE4127" s="1">
        <v>24598</v>
      </c>
      <c r="AF4127">
        <v>2</v>
      </c>
      <c r="AG4127" t="s">
        <v>224</v>
      </c>
      <c r="AH4127" s="36">
        <f t="shared" si="64"/>
        <v>52.386111111111113</v>
      </c>
      <c r="AI4127" s="41" t="s">
        <v>1781</v>
      </c>
    </row>
    <row r="4128" spans="1:35" x14ac:dyDescent="0.25">
      <c r="A4128" s="36">
        <v>99914126</v>
      </c>
      <c r="B4128" s="17" t="s">
        <v>56</v>
      </c>
      <c r="C4128" t="s">
        <v>85</v>
      </c>
      <c r="D4128" t="s">
        <v>86</v>
      </c>
      <c r="G4128" s="17" t="s">
        <v>35</v>
      </c>
      <c r="H4128" s="17">
        <v>1</v>
      </c>
      <c r="I4128">
        <v>0</v>
      </c>
      <c r="J4128" s="1">
        <v>43344</v>
      </c>
      <c r="K4128" t="s">
        <v>223</v>
      </c>
      <c r="L4128" t="s">
        <v>224</v>
      </c>
      <c r="M4128" t="s">
        <v>131</v>
      </c>
      <c r="N4128">
        <v>20</v>
      </c>
      <c r="O4128" t="s">
        <v>40</v>
      </c>
      <c r="P4128" t="s">
        <v>40</v>
      </c>
      <c r="Q4128" t="s">
        <v>40</v>
      </c>
      <c r="R4128" t="s">
        <v>40</v>
      </c>
      <c r="S4128" t="s">
        <v>40</v>
      </c>
      <c r="U4128" s="1">
        <v>43344</v>
      </c>
      <c r="V4128" t="s">
        <v>41</v>
      </c>
      <c r="W4128" t="s">
        <v>42</v>
      </c>
      <c r="X4128" t="str">
        <f>"0580202"</f>
        <v>0580202</v>
      </c>
      <c r="Y4128" t="s">
        <v>240</v>
      </c>
      <c r="Z4128" t="s">
        <v>223</v>
      </c>
      <c r="AA4128" t="s">
        <v>224</v>
      </c>
      <c r="AB4128" t="s">
        <v>131</v>
      </c>
      <c r="AC4128" t="s">
        <v>44</v>
      </c>
      <c r="AD4128" t="s">
        <v>45</v>
      </c>
      <c r="AE4128" s="1">
        <v>24597</v>
      </c>
      <c r="AF4128">
        <v>2</v>
      </c>
      <c r="AG4128" t="s">
        <v>224</v>
      </c>
      <c r="AH4128" s="36">
        <f t="shared" si="64"/>
        <v>52.388888888888886</v>
      </c>
      <c r="AI4128" s="41" t="s">
        <v>1781</v>
      </c>
    </row>
    <row r="4129" spans="1:35" x14ac:dyDescent="0.25">
      <c r="A4129" s="36">
        <v>99914127</v>
      </c>
      <c r="B4129" s="17" t="s">
        <v>32</v>
      </c>
      <c r="C4129" t="s">
        <v>90</v>
      </c>
      <c r="D4129" t="s">
        <v>91</v>
      </c>
      <c r="G4129" s="17" t="s">
        <v>48</v>
      </c>
      <c r="H4129" s="17">
        <v>1</v>
      </c>
      <c r="K4129" t="s">
        <v>1708</v>
      </c>
      <c r="L4129" t="s">
        <v>1709</v>
      </c>
      <c r="M4129" t="s">
        <v>1705</v>
      </c>
      <c r="N4129">
        <v>25</v>
      </c>
      <c r="O4129" t="s">
        <v>40</v>
      </c>
      <c r="P4129" t="s">
        <v>40</v>
      </c>
      <c r="Q4129" t="s">
        <v>40</v>
      </c>
      <c r="S4129" t="s">
        <v>40</v>
      </c>
      <c r="V4129" t="s">
        <v>41</v>
      </c>
      <c r="W4129" t="s">
        <v>95</v>
      </c>
      <c r="X4129" t="str">
        <f>"7121007"</f>
        <v>7121007</v>
      </c>
      <c r="Y4129" t="s">
        <v>1710</v>
      </c>
      <c r="Z4129" t="s">
        <v>1708</v>
      </c>
      <c r="AA4129" t="s">
        <v>1709</v>
      </c>
      <c r="AB4129" t="s">
        <v>1705</v>
      </c>
      <c r="AC4129" t="s">
        <v>51</v>
      </c>
      <c r="AD4129" t="s">
        <v>45</v>
      </c>
      <c r="AE4129" s="1">
        <v>24597</v>
      </c>
      <c r="AF4129">
        <v>1</v>
      </c>
      <c r="AG4129" t="s">
        <v>1709</v>
      </c>
      <c r="AH4129" s="36">
        <f t="shared" si="64"/>
        <v>52.388888888888886</v>
      </c>
      <c r="AI4129" s="41" t="s">
        <v>1781</v>
      </c>
    </row>
    <row r="4130" spans="1:35" x14ac:dyDescent="0.25">
      <c r="A4130" s="36">
        <v>99914128</v>
      </c>
      <c r="B4130" s="17" t="s">
        <v>56</v>
      </c>
      <c r="C4130" t="s">
        <v>79</v>
      </c>
      <c r="D4130" t="s">
        <v>80</v>
      </c>
      <c r="G4130" s="17" t="s">
        <v>35</v>
      </c>
      <c r="H4130" s="17">
        <v>1</v>
      </c>
      <c r="K4130" t="s">
        <v>1581</v>
      </c>
      <c r="L4130" t="s">
        <v>1582</v>
      </c>
      <c r="M4130" t="s">
        <v>1548</v>
      </c>
      <c r="N4130">
        <v>21</v>
      </c>
      <c r="O4130" t="s">
        <v>40</v>
      </c>
      <c r="P4130" t="s">
        <v>40</v>
      </c>
      <c r="Q4130" t="s">
        <v>40</v>
      </c>
      <c r="R4130" t="s">
        <v>40</v>
      </c>
      <c r="S4130" t="s">
        <v>40</v>
      </c>
      <c r="V4130" t="s">
        <v>41</v>
      </c>
      <c r="W4130" t="s">
        <v>75</v>
      </c>
      <c r="X4130" t="str">
        <f>"7291002"</f>
        <v>7291002</v>
      </c>
      <c r="Y4130" t="s">
        <v>1583</v>
      </c>
      <c r="Z4130" t="s">
        <v>1581</v>
      </c>
      <c r="AA4130" t="s">
        <v>1582</v>
      </c>
      <c r="AB4130" t="s">
        <v>1548</v>
      </c>
      <c r="AC4130" t="s">
        <v>51</v>
      </c>
      <c r="AD4130" t="s">
        <v>45</v>
      </c>
      <c r="AE4130" s="1">
        <v>24595</v>
      </c>
      <c r="AF4130">
        <v>1</v>
      </c>
      <c r="AG4130" t="s">
        <v>1582</v>
      </c>
      <c r="AH4130" s="36">
        <f t="shared" si="64"/>
        <v>52.394444444444446</v>
      </c>
      <c r="AI4130" s="41" t="s">
        <v>1781</v>
      </c>
    </row>
    <row r="4131" spans="1:35" x14ac:dyDescent="0.25">
      <c r="A4131" s="36">
        <v>99914129</v>
      </c>
      <c r="B4131" s="17" t="s">
        <v>32</v>
      </c>
      <c r="C4131" t="s">
        <v>46</v>
      </c>
      <c r="D4131" t="s">
        <v>47</v>
      </c>
      <c r="G4131" s="17" t="s">
        <v>48</v>
      </c>
      <c r="H4131" s="17">
        <v>1</v>
      </c>
      <c r="K4131" t="s">
        <v>380</v>
      </c>
      <c r="L4131" t="s">
        <v>381</v>
      </c>
      <c r="M4131" t="s">
        <v>131</v>
      </c>
      <c r="N4131">
        <v>18</v>
      </c>
      <c r="O4131" t="s">
        <v>40</v>
      </c>
      <c r="P4131" t="s">
        <v>40</v>
      </c>
      <c r="Q4131" t="s">
        <v>40</v>
      </c>
      <c r="R4131" t="s">
        <v>40</v>
      </c>
      <c r="S4131" t="s">
        <v>40</v>
      </c>
      <c r="V4131" t="s">
        <v>41</v>
      </c>
      <c r="W4131" t="s">
        <v>42</v>
      </c>
      <c r="X4131" t="str">
        <f>"0590908"</f>
        <v>0590908</v>
      </c>
      <c r="Y4131" t="s">
        <v>382</v>
      </c>
      <c r="Z4131" t="s">
        <v>380</v>
      </c>
      <c r="AA4131" t="s">
        <v>381</v>
      </c>
      <c r="AB4131" t="s">
        <v>131</v>
      </c>
      <c r="AC4131" t="s">
        <v>51</v>
      </c>
      <c r="AD4131" t="s">
        <v>45</v>
      </c>
      <c r="AE4131" s="1">
        <v>24588</v>
      </c>
      <c r="AF4131">
        <v>2</v>
      </c>
      <c r="AG4131" t="s">
        <v>381</v>
      </c>
      <c r="AH4131" s="36">
        <f t="shared" si="64"/>
        <v>52.413888888888891</v>
      </c>
      <c r="AI4131" s="41" t="s">
        <v>1781</v>
      </c>
    </row>
    <row r="4132" spans="1:35" x14ac:dyDescent="0.25">
      <c r="A4132" s="36">
        <v>99914130</v>
      </c>
      <c r="B4132" s="17" t="s">
        <v>32</v>
      </c>
      <c r="C4132" t="s">
        <v>90</v>
      </c>
      <c r="D4132" t="s">
        <v>91</v>
      </c>
      <c r="G4132" s="17" t="s">
        <v>48</v>
      </c>
      <c r="H4132" s="17">
        <v>1</v>
      </c>
      <c r="K4132" t="s">
        <v>1631</v>
      </c>
      <c r="L4132" t="s">
        <v>1632</v>
      </c>
      <c r="M4132" t="s">
        <v>1592</v>
      </c>
      <c r="N4132">
        <v>5</v>
      </c>
      <c r="O4132" t="s">
        <v>40</v>
      </c>
      <c r="P4132" t="s">
        <v>40</v>
      </c>
      <c r="Q4132" t="s">
        <v>40</v>
      </c>
      <c r="R4132" t="s">
        <v>40</v>
      </c>
      <c r="S4132" t="s">
        <v>40</v>
      </c>
      <c r="V4132" t="s">
        <v>41</v>
      </c>
      <c r="W4132" t="s">
        <v>95</v>
      </c>
      <c r="X4132" t="str">
        <f>"7021019"</f>
        <v>7021019</v>
      </c>
      <c r="Y4132" t="s">
        <v>1645</v>
      </c>
      <c r="Z4132" t="s">
        <v>1631</v>
      </c>
      <c r="AA4132" t="s">
        <v>1632</v>
      </c>
      <c r="AB4132" t="s">
        <v>1592</v>
      </c>
      <c r="AC4132" t="s">
        <v>51</v>
      </c>
      <c r="AD4132" t="s">
        <v>45</v>
      </c>
      <c r="AE4132" s="1">
        <v>24582</v>
      </c>
      <c r="AF4132">
        <v>1</v>
      </c>
      <c r="AG4132" t="s">
        <v>1632</v>
      </c>
      <c r="AH4132" s="36">
        <f t="shared" si="64"/>
        <v>52.430555555555557</v>
      </c>
      <c r="AI4132" s="41" t="s">
        <v>1781</v>
      </c>
    </row>
    <row r="4133" spans="1:35" x14ac:dyDescent="0.25">
      <c r="A4133" s="36">
        <v>99914131</v>
      </c>
      <c r="B4133" s="17" t="s">
        <v>32</v>
      </c>
      <c r="C4133" t="s">
        <v>46</v>
      </c>
      <c r="D4133" t="s">
        <v>47</v>
      </c>
      <c r="G4133" s="17" t="s">
        <v>48</v>
      </c>
      <c r="H4133" s="17">
        <v>1</v>
      </c>
      <c r="K4133" t="s">
        <v>129</v>
      </c>
      <c r="L4133" t="s">
        <v>130</v>
      </c>
      <c r="M4133" t="s">
        <v>131</v>
      </c>
      <c r="N4133">
        <v>14</v>
      </c>
      <c r="O4133" t="s">
        <v>40</v>
      </c>
      <c r="P4133" t="s">
        <v>40</v>
      </c>
      <c r="Q4133" t="s">
        <v>40</v>
      </c>
      <c r="R4133" t="s">
        <v>40</v>
      </c>
      <c r="S4133" t="s">
        <v>40</v>
      </c>
      <c r="V4133" t="s">
        <v>41</v>
      </c>
      <c r="W4133" t="s">
        <v>42</v>
      </c>
      <c r="X4133" t="str">
        <f>"0590905"</f>
        <v>0590905</v>
      </c>
      <c r="Y4133" t="s">
        <v>133</v>
      </c>
      <c r="Z4133" t="s">
        <v>129</v>
      </c>
      <c r="AA4133" t="s">
        <v>130</v>
      </c>
      <c r="AB4133" t="s">
        <v>131</v>
      </c>
      <c r="AC4133" t="s">
        <v>51</v>
      </c>
      <c r="AD4133" t="s">
        <v>45</v>
      </c>
      <c r="AE4133" s="1">
        <v>24581</v>
      </c>
      <c r="AF4133">
        <v>2</v>
      </c>
      <c r="AG4133" t="s">
        <v>130</v>
      </c>
      <c r="AH4133" s="36">
        <f t="shared" si="64"/>
        <v>52.43333333333333</v>
      </c>
      <c r="AI4133" s="41" t="s">
        <v>1781</v>
      </c>
    </row>
    <row r="4134" spans="1:35" x14ac:dyDescent="0.25">
      <c r="A4134" s="36">
        <v>99914132</v>
      </c>
      <c r="B4134" s="17" t="s">
        <v>32</v>
      </c>
      <c r="C4134" t="s">
        <v>85</v>
      </c>
      <c r="D4134" t="s">
        <v>86</v>
      </c>
      <c r="G4134" s="17" t="s">
        <v>48</v>
      </c>
      <c r="H4134" s="17">
        <v>1</v>
      </c>
      <c r="K4134" t="s">
        <v>345</v>
      </c>
      <c r="L4134" t="s">
        <v>346</v>
      </c>
      <c r="M4134" t="s">
        <v>131</v>
      </c>
      <c r="N4134">
        <v>18</v>
      </c>
      <c r="O4134" t="s">
        <v>40</v>
      </c>
      <c r="P4134" t="s">
        <v>40</v>
      </c>
      <c r="Q4134" t="s">
        <v>40</v>
      </c>
      <c r="R4134" t="s">
        <v>40</v>
      </c>
      <c r="S4134" t="s">
        <v>40</v>
      </c>
      <c r="V4134" t="s">
        <v>41</v>
      </c>
      <c r="W4134" t="s">
        <v>42</v>
      </c>
      <c r="X4134" t="str">
        <f>"0580650"</f>
        <v>0580650</v>
      </c>
      <c r="Y4134" t="s">
        <v>356</v>
      </c>
      <c r="Z4134" t="s">
        <v>345</v>
      </c>
      <c r="AA4134" t="s">
        <v>346</v>
      </c>
      <c r="AB4134" t="s">
        <v>131</v>
      </c>
      <c r="AC4134" t="s">
        <v>51</v>
      </c>
      <c r="AD4134" t="s">
        <v>45</v>
      </c>
      <c r="AE4134" s="1">
        <v>24580</v>
      </c>
      <c r="AF4134">
        <v>2</v>
      </c>
      <c r="AG4134" t="s">
        <v>346</v>
      </c>
      <c r="AH4134" s="36">
        <f t="shared" si="64"/>
        <v>52.43611111111111</v>
      </c>
      <c r="AI4134" s="41" t="s">
        <v>1781</v>
      </c>
    </row>
    <row r="4135" spans="1:35" x14ac:dyDescent="0.25">
      <c r="A4135" s="36">
        <v>99914133</v>
      </c>
      <c r="B4135" s="17" t="s">
        <v>56</v>
      </c>
      <c r="C4135" t="s">
        <v>68</v>
      </c>
      <c r="D4135" t="s">
        <v>69</v>
      </c>
      <c r="G4135" s="17" t="s">
        <v>35</v>
      </c>
      <c r="H4135" s="17">
        <v>1</v>
      </c>
      <c r="I4135">
        <v>21868</v>
      </c>
      <c r="J4135" s="1">
        <v>43344</v>
      </c>
      <c r="K4135" t="s">
        <v>380</v>
      </c>
      <c r="L4135" t="s">
        <v>381</v>
      </c>
      <c r="M4135" t="s">
        <v>131</v>
      </c>
      <c r="N4135">
        <v>12</v>
      </c>
      <c r="O4135" t="s">
        <v>40</v>
      </c>
      <c r="S4135" t="s">
        <v>40</v>
      </c>
      <c r="U4135" s="1">
        <v>43344</v>
      </c>
      <c r="V4135" t="s">
        <v>41</v>
      </c>
      <c r="W4135" t="s">
        <v>42</v>
      </c>
      <c r="X4135" t="str">
        <f>"0590908"</f>
        <v>0590908</v>
      </c>
      <c r="Y4135" t="s">
        <v>382</v>
      </c>
      <c r="Z4135" t="s">
        <v>380</v>
      </c>
      <c r="AA4135" t="s">
        <v>381</v>
      </c>
      <c r="AB4135" t="s">
        <v>131</v>
      </c>
      <c r="AC4135" t="s">
        <v>44</v>
      </c>
      <c r="AD4135" t="s">
        <v>45</v>
      </c>
      <c r="AE4135" s="1">
        <v>24574</v>
      </c>
      <c r="AF4135">
        <v>2</v>
      </c>
      <c r="AG4135" t="s">
        <v>381</v>
      </c>
      <c r="AH4135" s="36">
        <f t="shared" si="64"/>
        <v>52.452777777777776</v>
      </c>
      <c r="AI4135" s="41" t="s">
        <v>1781</v>
      </c>
    </row>
    <row r="4136" spans="1:35" x14ac:dyDescent="0.25">
      <c r="A4136" s="36">
        <v>99914134</v>
      </c>
      <c r="B4136" s="17" t="s">
        <v>56</v>
      </c>
      <c r="C4136" t="s">
        <v>52</v>
      </c>
      <c r="D4136" t="s">
        <v>53</v>
      </c>
      <c r="G4136" s="17" t="s">
        <v>48</v>
      </c>
      <c r="H4136" s="17">
        <v>1</v>
      </c>
      <c r="K4136" t="s">
        <v>1268</v>
      </c>
      <c r="L4136" t="s">
        <v>1269</v>
      </c>
      <c r="M4136" t="s">
        <v>1270</v>
      </c>
      <c r="N4136">
        <v>20</v>
      </c>
      <c r="O4136" t="s">
        <v>40</v>
      </c>
      <c r="P4136" t="s">
        <v>40</v>
      </c>
      <c r="Q4136" t="s">
        <v>40</v>
      </c>
      <c r="R4136" t="s">
        <v>40</v>
      </c>
      <c r="S4136" t="s">
        <v>40</v>
      </c>
      <c r="V4136" t="s">
        <v>41</v>
      </c>
      <c r="W4136" t="s">
        <v>42</v>
      </c>
      <c r="X4136" t="str">
        <f>"1990910"</f>
        <v>1990910</v>
      </c>
      <c r="Y4136" t="s">
        <v>1281</v>
      </c>
      <c r="Z4136" t="s">
        <v>1268</v>
      </c>
      <c r="AA4136" t="s">
        <v>1269</v>
      </c>
      <c r="AB4136" t="s">
        <v>1270</v>
      </c>
      <c r="AC4136" t="s">
        <v>165</v>
      </c>
      <c r="AD4136" t="s">
        <v>45</v>
      </c>
      <c r="AE4136" s="1">
        <v>24574</v>
      </c>
      <c r="AF4136">
        <v>2</v>
      </c>
      <c r="AG4136" t="s">
        <v>1269</v>
      </c>
      <c r="AH4136" s="36">
        <f t="shared" si="64"/>
        <v>52.452777777777776</v>
      </c>
      <c r="AI4136" s="41" t="s">
        <v>1781</v>
      </c>
    </row>
    <row r="4137" spans="1:35" x14ac:dyDescent="0.25">
      <c r="A4137" s="36">
        <v>99914135</v>
      </c>
      <c r="B4137" s="17" t="s">
        <v>32</v>
      </c>
      <c r="C4137" t="s">
        <v>46</v>
      </c>
      <c r="D4137" t="s">
        <v>47</v>
      </c>
      <c r="G4137" s="17" t="s">
        <v>48</v>
      </c>
      <c r="H4137" s="17">
        <v>1</v>
      </c>
      <c r="K4137" t="s">
        <v>157</v>
      </c>
      <c r="L4137" t="s">
        <v>158</v>
      </c>
      <c r="M4137" t="s">
        <v>131</v>
      </c>
      <c r="N4137">
        <v>18</v>
      </c>
      <c r="O4137" t="s">
        <v>40</v>
      </c>
      <c r="P4137" t="s">
        <v>40</v>
      </c>
      <c r="Q4137" t="s">
        <v>40</v>
      </c>
      <c r="S4137" t="s">
        <v>40</v>
      </c>
      <c r="V4137" t="s">
        <v>41</v>
      </c>
      <c r="W4137" t="s">
        <v>42</v>
      </c>
      <c r="X4137" t="str">
        <f>"0580470"</f>
        <v>0580470</v>
      </c>
      <c r="Y4137" t="s">
        <v>175</v>
      </c>
      <c r="Z4137" t="s">
        <v>157</v>
      </c>
      <c r="AA4137" t="s">
        <v>158</v>
      </c>
      <c r="AB4137" t="s">
        <v>131</v>
      </c>
      <c r="AC4137" t="s">
        <v>165</v>
      </c>
      <c r="AD4137" t="s">
        <v>45</v>
      </c>
      <c r="AE4137" s="1">
        <v>24569</v>
      </c>
      <c r="AF4137">
        <v>2</v>
      </c>
      <c r="AG4137" t="s">
        <v>158</v>
      </c>
      <c r="AH4137" s="36">
        <f t="shared" si="64"/>
        <v>52.466666666666669</v>
      </c>
      <c r="AI4137" s="41" t="s">
        <v>1781</v>
      </c>
    </row>
    <row r="4138" spans="1:35" x14ac:dyDescent="0.25">
      <c r="A4138" s="36">
        <v>99914136</v>
      </c>
      <c r="B4138" s="17" t="s">
        <v>32</v>
      </c>
      <c r="C4138" t="s">
        <v>111</v>
      </c>
      <c r="D4138" t="s">
        <v>112</v>
      </c>
      <c r="G4138" s="17" t="s">
        <v>48</v>
      </c>
      <c r="H4138" s="17">
        <v>13</v>
      </c>
      <c r="K4138" t="s">
        <v>195</v>
      </c>
      <c r="L4138" t="s">
        <v>196</v>
      </c>
      <c r="M4138" t="s">
        <v>131</v>
      </c>
      <c r="N4138">
        <v>21</v>
      </c>
      <c r="O4138" t="s">
        <v>40</v>
      </c>
      <c r="P4138" t="s">
        <v>40</v>
      </c>
      <c r="Q4138" t="s">
        <v>40</v>
      </c>
      <c r="R4138" t="s">
        <v>40</v>
      </c>
      <c r="S4138" t="s">
        <v>40</v>
      </c>
      <c r="U4138" s="1">
        <v>36055</v>
      </c>
      <c r="V4138" t="s">
        <v>41</v>
      </c>
      <c r="W4138" t="s">
        <v>75</v>
      </c>
      <c r="X4138" t="str">
        <f>"7521046"</f>
        <v>7521046</v>
      </c>
      <c r="Y4138" t="s">
        <v>436</v>
      </c>
      <c r="Z4138" t="s">
        <v>195</v>
      </c>
      <c r="AA4138" t="s">
        <v>196</v>
      </c>
      <c r="AB4138" t="s">
        <v>131</v>
      </c>
      <c r="AC4138" t="s">
        <v>165</v>
      </c>
      <c r="AD4138" t="s">
        <v>45</v>
      </c>
      <c r="AE4138" s="1">
        <v>24563</v>
      </c>
      <c r="AF4138">
        <v>1</v>
      </c>
      <c r="AG4138" t="s">
        <v>196</v>
      </c>
      <c r="AH4138" s="36">
        <f t="shared" si="64"/>
        <v>52.483333333333334</v>
      </c>
      <c r="AI4138" s="41" t="s">
        <v>1781</v>
      </c>
    </row>
    <row r="4139" spans="1:35" x14ac:dyDescent="0.25">
      <c r="A4139" s="36">
        <v>99914137</v>
      </c>
      <c r="B4139" s="17" t="s">
        <v>32</v>
      </c>
      <c r="C4139" t="s">
        <v>111</v>
      </c>
      <c r="D4139" t="s">
        <v>112</v>
      </c>
      <c r="G4139" s="17" t="s">
        <v>35</v>
      </c>
      <c r="H4139" s="17">
        <v>1</v>
      </c>
      <c r="K4139" t="s">
        <v>268</v>
      </c>
      <c r="L4139" t="s">
        <v>269</v>
      </c>
      <c r="M4139" t="s">
        <v>131</v>
      </c>
      <c r="N4139">
        <v>21</v>
      </c>
      <c r="O4139" t="s">
        <v>40</v>
      </c>
      <c r="P4139" t="s">
        <v>40</v>
      </c>
      <c r="Q4139" t="s">
        <v>40</v>
      </c>
      <c r="S4139" t="s">
        <v>40</v>
      </c>
      <c r="V4139" t="s">
        <v>41</v>
      </c>
      <c r="W4139" t="s">
        <v>75</v>
      </c>
      <c r="X4139" t="str">
        <f>"7052008"</f>
        <v>7052008</v>
      </c>
      <c r="Y4139" t="s">
        <v>274</v>
      </c>
      <c r="Z4139" t="s">
        <v>268</v>
      </c>
      <c r="AA4139" t="s">
        <v>269</v>
      </c>
      <c r="AB4139" t="s">
        <v>131</v>
      </c>
      <c r="AC4139" t="s">
        <v>51</v>
      </c>
      <c r="AD4139" t="s">
        <v>45</v>
      </c>
      <c r="AE4139" s="1">
        <v>24563</v>
      </c>
      <c r="AF4139">
        <v>1</v>
      </c>
      <c r="AG4139" t="s">
        <v>269</v>
      </c>
      <c r="AH4139" s="36">
        <f t="shared" si="64"/>
        <v>52.483333333333334</v>
      </c>
      <c r="AI4139" s="41" t="s">
        <v>1781</v>
      </c>
    </row>
    <row r="4140" spans="1:35" x14ac:dyDescent="0.25">
      <c r="A4140" s="36">
        <v>99914138</v>
      </c>
      <c r="B4140" s="17" t="s">
        <v>56</v>
      </c>
      <c r="C4140" t="s">
        <v>85</v>
      </c>
      <c r="D4140" t="s">
        <v>86</v>
      </c>
      <c r="G4140" s="17" t="s">
        <v>48</v>
      </c>
      <c r="H4140" s="17">
        <v>1</v>
      </c>
      <c r="K4140" t="s">
        <v>162</v>
      </c>
      <c r="L4140" t="s">
        <v>158</v>
      </c>
      <c r="M4140" t="s">
        <v>131</v>
      </c>
      <c r="N4140">
        <v>8</v>
      </c>
      <c r="O4140" t="s">
        <v>40</v>
      </c>
      <c r="P4140" t="s">
        <v>40</v>
      </c>
      <c r="Q4140" t="s">
        <v>40</v>
      </c>
      <c r="S4140" t="s">
        <v>40</v>
      </c>
      <c r="V4140" t="s">
        <v>41</v>
      </c>
      <c r="W4140" t="s">
        <v>49</v>
      </c>
      <c r="X4140" t="str">
        <f>"0581350"</f>
        <v>0581350</v>
      </c>
      <c r="Y4140" t="s">
        <v>187</v>
      </c>
      <c r="Z4140" t="s">
        <v>162</v>
      </c>
      <c r="AA4140" t="s">
        <v>158</v>
      </c>
      <c r="AB4140" t="s">
        <v>131</v>
      </c>
      <c r="AC4140" t="s">
        <v>51</v>
      </c>
      <c r="AD4140" t="s">
        <v>45</v>
      </c>
      <c r="AE4140" s="1">
        <v>24562</v>
      </c>
      <c r="AF4140">
        <v>2</v>
      </c>
      <c r="AG4140" t="s">
        <v>158</v>
      </c>
      <c r="AH4140" s="36">
        <f t="shared" si="64"/>
        <v>52.486111111111114</v>
      </c>
      <c r="AI4140" s="41" t="s">
        <v>1781</v>
      </c>
    </row>
    <row r="4141" spans="1:35" x14ac:dyDescent="0.25">
      <c r="A4141" s="36">
        <v>99914139</v>
      </c>
      <c r="B4141" s="17" t="s">
        <v>32</v>
      </c>
      <c r="C4141" t="s">
        <v>46</v>
      </c>
      <c r="D4141" t="s">
        <v>47</v>
      </c>
      <c r="G4141" s="17" t="s">
        <v>48</v>
      </c>
      <c r="H4141" s="17">
        <v>1</v>
      </c>
      <c r="K4141" t="s">
        <v>223</v>
      </c>
      <c r="L4141" t="s">
        <v>224</v>
      </c>
      <c r="M4141" t="s">
        <v>131</v>
      </c>
      <c r="N4141">
        <v>2</v>
      </c>
      <c r="O4141" t="s">
        <v>40</v>
      </c>
      <c r="P4141" t="s">
        <v>40</v>
      </c>
      <c r="Q4141" t="s">
        <v>40</v>
      </c>
      <c r="R4141" t="s">
        <v>40</v>
      </c>
      <c r="S4141" t="s">
        <v>40</v>
      </c>
      <c r="V4141" t="s">
        <v>41</v>
      </c>
      <c r="W4141" t="s">
        <v>49</v>
      </c>
      <c r="X4141" t="str">
        <f>"0581204"</f>
        <v>0581204</v>
      </c>
      <c r="Y4141" t="s">
        <v>249</v>
      </c>
      <c r="Z4141" t="s">
        <v>223</v>
      </c>
      <c r="AA4141" t="s">
        <v>224</v>
      </c>
      <c r="AB4141" t="s">
        <v>131</v>
      </c>
      <c r="AC4141" t="s">
        <v>165</v>
      </c>
      <c r="AD4141" t="s">
        <v>45</v>
      </c>
      <c r="AE4141" s="1">
        <v>24559</v>
      </c>
      <c r="AF4141">
        <v>2</v>
      </c>
      <c r="AG4141" t="s">
        <v>224</v>
      </c>
      <c r="AH4141" s="36">
        <f t="shared" si="64"/>
        <v>52.494444444444447</v>
      </c>
      <c r="AI4141" s="41" t="s">
        <v>1781</v>
      </c>
    </row>
    <row r="4142" spans="1:35" x14ac:dyDescent="0.25">
      <c r="A4142" s="36">
        <v>99914140</v>
      </c>
      <c r="B4142" s="17" t="s">
        <v>32</v>
      </c>
      <c r="C4142" t="s">
        <v>64</v>
      </c>
      <c r="D4142" t="s">
        <v>65</v>
      </c>
      <c r="G4142" s="17" t="s">
        <v>48</v>
      </c>
      <c r="H4142" s="17">
        <v>9</v>
      </c>
      <c r="K4142" t="s">
        <v>195</v>
      </c>
      <c r="L4142" t="s">
        <v>196</v>
      </c>
      <c r="M4142" t="s">
        <v>131</v>
      </c>
      <c r="N4142">
        <v>22</v>
      </c>
      <c r="O4142" t="s">
        <v>40</v>
      </c>
      <c r="P4142" t="s">
        <v>40</v>
      </c>
      <c r="Q4142" t="s">
        <v>40</v>
      </c>
      <c r="R4142" t="s">
        <v>40</v>
      </c>
      <c r="S4142" t="s">
        <v>40</v>
      </c>
      <c r="U4142" s="1">
        <v>39692</v>
      </c>
      <c r="V4142" t="s">
        <v>41</v>
      </c>
      <c r="W4142" t="s">
        <v>75</v>
      </c>
      <c r="X4142" t="str">
        <f>"7521044"</f>
        <v>7521044</v>
      </c>
      <c r="Y4142" t="s">
        <v>453</v>
      </c>
      <c r="Z4142" t="s">
        <v>195</v>
      </c>
      <c r="AA4142" t="s">
        <v>196</v>
      </c>
      <c r="AB4142" t="s">
        <v>131</v>
      </c>
      <c r="AC4142" t="s">
        <v>51</v>
      </c>
      <c r="AD4142" t="s">
        <v>45</v>
      </c>
      <c r="AE4142" s="1">
        <v>24558</v>
      </c>
      <c r="AF4142">
        <v>1</v>
      </c>
      <c r="AG4142" t="s">
        <v>196</v>
      </c>
      <c r="AH4142" s="36">
        <f t="shared" si="64"/>
        <v>52.49722222222222</v>
      </c>
      <c r="AI4142" s="41" t="s">
        <v>1781</v>
      </c>
    </row>
    <row r="4143" spans="1:35" x14ac:dyDescent="0.25">
      <c r="A4143" s="36">
        <v>99914141</v>
      </c>
      <c r="B4143" s="17" t="s">
        <v>32</v>
      </c>
      <c r="C4143" t="s">
        <v>90</v>
      </c>
      <c r="D4143" t="s">
        <v>91</v>
      </c>
      <c r="G4143" s="17" t="s">
        <v>35</v>
      </c>
      <c r="H4143" s="17">
        <v>1</v>
      </c>
      <c r="I4143">
        <v>3899</v>
      </c>
      <c r="J4143" s="1">
        <v>43344</v>
      </c>
      <c r="K4143" t="s">
        <v>1695</v>
      </c>
      <c r="L4143" t="s">
        <v>1696</v>
      </c>
      <c r="M4143" t="s">
        <v>1592</v>
      </c>
      <c r="N4143">
        <v>25</v>
      </c>
      <c r="O4143" t="s">
        <v>40</v>
      </c>
      <c r="S4143" t="s">
        <v>40</v>
      </c>
      <c r="U4143" s="1">
        <v>43344</v>
      </c>
      <c r="V4143" t="s">
        <v>41</v>
      </c>
      <c r="W4143" t="s">
        <v>95</v>
      </c>
      <c r="X4143" t="str">
        <f>"7361005"</f>
        <v>7361005</v>
      </c>
      <c r="Y4143" t="s">
        <v>1701</v>
      </c>
      <c r="Z4143" t="s">
        <v>1695</v>
      </c>
      <c r="AA4143" t="s">
        <v>1696</v>
      </c>
      <c r="AB4143" t="s">
        <v>1592</v>
      </c>
      <c r="AC4143" t="s">
        <v>51</v>
      </c>
      <c r="AD4143" t="s">
        <v>45</v>
      </c>
      <c r="AE4143" s="1">
        <v>24557</v>
      </c>
      <c r="AF4143">
        <v>1</v>
      </c>
      <c r="AG4143" t="s">
        <v>1696</v>
      </c>
      <c r="AH4143" s="36">
        <f t="shared" si="64"/>
        <v>52.5</v>
      </c>
      <c r="AI4143" s="41" t="s">
        <v>1781</v>
      </c>
    </row>
    <row r="4144" spans="1:35" x14ac:dyDescent="0.25">
      <c r="A4144" s="36">
        <v>99914142</v>
      </c>
      <c r="B4144" s="17" t="s">
        <v>32</v>
      </c>
      <c r="C4144" t="s">
        <v>139</v>
      </c>
      <c r="D4144" t="s">
        <v>140</v>
      </c>
      <c r="G4144" s="17" t="s">
        <v>48</v>
      </c>
      <c r="H4144" s="17">
        <v>1</v>
      </c>
      <c r="K4144" t="s">
        <v>157</v>
      </c>
      <c r="L4144" t="s">
        <v>158</v>
      </c>
      <c r="M4144" t="s">
        <v>131</v>
      </c>
      <c r="N4144">
        <v>24</v>
      </c>
      <c r="O4144" t="s">
        <v>40</v>
      </c>
      <c r="P4144" t="s">
        <v>40</v>
      </c>
      <c r="Q4144" t="s">
        <v>40</v>
      </c>
      <c r="R4144" t="s">
        <v>40</v>
      </c>
      <c r="S4144" t="s">
        <v>40</v>
      </c>
      <c r="V4144" t="s">
        <v>41</v>
      </c>
      <c r="W4144" t="s">
        <v>49</v>
      </c>
      <c r="X4144" t="str">
        <f>"0560010"</f>
        <v>0560010</v>
      </c>
      <c r="Y4144" t="s">
        <v>179</v>
      </c>
      <c r="Z4144" t="s">
        <v>157</v>
      </c>
      <c r="AA4144" t="s">
        <v>158</v>
      </c>
      <c r="AB4144" t="s">
        <v>131</v>
      </c>
      <c r="AC4144" t="s">
        <v>51</v>
      </c>
      <c r="AD4144" t="s">
        <v>45</v>
      </c>
      <c r="AE4144" s="1">
        <v>24555</v>
      </c>
      <c r="AF4144">
        <v>2</v>
      </c>
      <c r="AG4144" t="s">
        <v>158</v>
      </c>
      <c r="AH4144" s="36">
        <f t="shared" si="64"/>
        <v>52.505555555555553</v>
      </c>
      <c r="AI4144" s="41" t="s">
        <v>1781</v>
      </c>
    </row>
    <row r="4145" spans="1:35" x14ac:dyDescent="0.25">
      <c r="A4145" s="36">
        <v>99914143</v>
      </c>
      <c r="B4145" s="17" t="s">
        <v>32</v>
      </c>
      <c r="C4145" t="s">
        <v>111</v>
      </c>
      <c r="D4145" t="s">
        <v>112</v>
      </c>
      <c r="G4145" s="17" t="s">
        <v>35</v>
      </c>
      <c r="H4145" s="17">
        <v>15</v>
      </c>
      <c r="K4145" t="s">
        <v>268</v>
      </c>
      <c r="L4145" t="s">
        <v>269</v>
      </c>
      <c r="M4145" t="s">
        <v>131</v>
      </c>
      <c r="N4145">
        <v>21</v>
      </c>
      <c r="O4145" t="s">
        <v>40</v>
      </c>
      <c r="P4145" t="s">
        <v>40</v>
      </c>
      <c r="Q4145" t="s">
        <v>40</v>
      </c>
      <c r="R4145" t="s">
        <v>40</v>
      </c>
      <c r="S4145" t="s">
        <v>40</v>
      </c>
      <c r="V4145" t="s">
        <v>41</v>
      </c>
      <c r="W4145" t="s">
        <v>75</v>
      </c>
      <c r="X4145" t="str">
        <f>"7052006"</f>
        <v>7052006</v>
      </c>
      <c r="Y4145" t="s">
        <v>575</v>
      </c>
      <c r="Z4145" t="s">
        <v>268</v>
      </c>
      <c r="AA4145" t="s">
        <v>269</v>
      </c>
      <c r="AB4145" t="s">
        <v>131</v>
      </c>
      <c r="AC4145" t="s">
        <v>165</v>
      </c>
      <c r="AD4145" t="s">
        <v>45</v>
      </c>
      <c r="AE4145" s="1">
        <v>24555</v>
      </c>
      <c r="AF4145">
        <v>1</v>
      </c>
      <c r="AG4145" t="s">
        <v>269</v>
      </c>
      <c r="AH4145" s="36">
        <f t="shared" si="64"/>
        <v>52.505555555555553</v>
      </c>
      <c r="AI4145" s="41" t="s">
        <v>1781</v>
      </c>
    </row>
    <row r="4146" spans="1:35" x14ac:dyDescent="0.25">
      <c r="A4146" s="36">
        <v>99914144</v>
      </c>
      <c r="B4146" s="17" t="s">
        <v>32</v>
      </c>
      <c r="C4146" t="s">
        <v>90</v>
      </c>
      <c r="D4146" t="s">
        <v>91</v>
      </c>
      <c r="G4146" s="17" t="s">
        <v>48</v>
      </c>
      <c r="H4146" s="17">
        <v>1</v>
      </c>
      <c r="K4146" t="s">
        <v>963</v>
      </c>
      <c r="L4146" t="s">
        <v>964</v>
      </c>
      <c r="M4146" t="s">
        <v>938</v>
      </c>
      <c r="N4146">
        <v>25</v>
      </c>
      <c r="O4146" t="s">
        <v>40</v>
      </c>
      <c r="P4146" t="s">
        <v>40</v>
      </c>
      <c r="Q4146" t="s">
        <v>40</v>
      </c>
      <c r="S4146" t="s">
        <v>40</v>
      </c>
      <c r="V4146" t="s">
        <v>41</v>
      </c>
      <c r="W4146" t="s">
        <v>95</v>
      </c>
      <c r="X4146" t="str">
        <f>"7061029"</f>
        <v>7061029</v>
      </c>
      <c r="Y4146" t="s">
        <v>999</v>
      </c>
      <c r="Z4146" t="s">
        <v>963</v>
      </c>
      <c r="AA4146" t="s">
        <v>964</v>
      </c>
      <c r="AB4146" t="s">
        <v>938</v>
      </c>
      <c r="AC4146" t="s">
        <v>51</v>
      </c>
      <c r="AD4146" t="s">
        <v>45</v>
      </c>
      <c r="AE4146" s="1">
        <v>24552</v>
      </c>
      <c r="AF4146">
        <v>1</v>
      </c>
      <c r="AG4146" t="s">
        <v>964</v>
      </c>
      <c r="AH4146" s="36">
        <f t="shared" si="64"/>
        <v>52.513888888888886</v>
      </c>
      <c r="AI4146" s="41" t="s">
        <v>1781</v>
      </c>
    </row>
    <row r="4147" spans="1:35" x14ac:dyDescent="0.25">
      <c r="A4147" s="36">
        <v>99914145</v>
      </c>
      <c r="B4147" s="17" t="s">
        <v>32</v>
      </c>
      <c r="C4147" t="s">
        <v>52</v>
      </c>
      <c r="D4147" t="s">
        <v>53</v>
      </c>
      <c r="G4147" s="17" t="s">
        <v>48</v>
      </c>
      <c r="H4147" s="17">
        <v>12</v>
      </c>
      <c r="K4147" t="s">
        <v>1268</v>
      </c>
      <c r="L4147" t="s">
        <v>1269</v>
      </c>
      <c r="M4147" t="s">
        <v>1270</v>
      </c>
      <c r="N4147">
        <v>18</v>
      </c>
      <c r="O4147" t="s">
        <v>40</v>
      </c>
      <c r="P4147" t="s">
        <v>40</v>
      </c>
      <c r="Q4147" t="s">
        <v>40</v>
      </c>
      <c r="R4147" t="s">
        <v>40</v>
      </c>
      <c r="S4147" t="s">
        <v>40</v>
      </c>
      <c r="U4147" s="1">
        <v>43344</v>
      </c>
      <c r="V4147" t="s">
        <v>41</v>
      </c>
      <c r="W4147" t="s">
        <v>49</v>
      </c>
      <c r="X4147" t="str">
        <f>"1981055"</f>
        <v>1981055</v>
      </c>
      <c r="Y4147" t="s">
        <v>1280</v>
      </c>
      <c r="Z4147" t="s">
        <v>1268</v>
      </c>
      <c r="AA4147" t="s">
        <v>1269</v>
      </c>
      <c r="AB4147" t="s">
        <v>1270</v>
      </c>
      <c r="AC4147" t="s">
        <v>165</v>
      </c>
      <c r="AD4147" t="s">
        <v>45</v>
      </c>
      <c r="AE4147" s="1">
        <v>24551</v>
      </c>
      <c r="AF4147">
        <v>2</v>
      </c>
      <c r="AG4147" t="s">
        <v>1269</v>
      </c>
      <c r="AH4147" s="36">
        <f t="shared" si="64"/>
        <v>52.516666666666666</v>
      </c>
      <c r="AI4147" s="41" t="s">
        <v>1781</v>
      </c>
    </row>
    <row r="4148" spans="1:35" x14ac:dyDescent="0.25">
      <c r="A4148" s="36">
        <v>99914146</v>
      </c>
      <c r="B4148" s="17" t="s">
        <v>56</v>
      </c>
      <c r="C4148" t="s">
        <v>68</v>
      </c>
      <c r="D4148" t="s">
        <v>69</v>
      </c>
      <c r="G4148" s="17" t="s">
        <v>48</v>
      </c>
      <c r="H4148" s="17">
        <v>1</v>
      </c>
      <c r="K4148" t="s">
        <v>380</v>
      </c>
      <c r="L4148" t="s">
        <v>381</v>
      </c>
      <c r="M4148" t="s">
        <v>131</v>
      </c>
      <c r="N4148">
        <v>18</v>
      </c>
      <c r="O4148" t="s">
        <v>40</v>
      </c>
      <c r="P4148" t="s">
        <v>40</v>
      </c>
      <c r="Q4148" t="s">
        <v>40</v>
      </c>
      <c r="S4148" t="s">
        <v>40</v>
      </c>
      <c r="V4148" t="s">
        <v>41</v>
      </c>
      <c r="W4148" t="s">
        <v>49</v>
      </c>
      <c r="X4148" t="str">
        <f>"0591909"</f>
        <v>0591909</v>
      </c>
      <c r="Y4148" t="s">
        <v>385</v>
      </c>
      <c r="Z4148" t="s">
        <v>380</v>
      </c>
      <c r="AA4148" t="s">
        <v>381</v>
      </c>
      <c r="AB4148" t="s">
        <v>131</v>
      </c>
      <c r="AC4148" t="s">
        <v>51</v>
      </c>
      <c r="AD4148" t="s">
        <v>45</v>
      </c>
      <c r="AE4148" s="1">
        <v>24547</v>
      </c>
      <c r="AF4148">
        <v>2</v>
      </c>
      <c r="AG4148" t="s">
        <v>381</v>
      </c>
      <c r="AH4148" s="36">
        <f t="shared" si="64"/>
        <v>52.527777777777779</v>
      </c>
      <c r="AI4148" s="41" t="s">
        <v>1781</v>
      </c>
    </row>
    <row r="4149" spans="1:35" x14ac:dyDescent="0.25">
      <c r="A4149" s="36">
        <v>99914147</v>
      </c>
      <c r="B4149" s="17" t="s">
        <v>32</v>
      </c>
      <c r="C4149" t="s">
        <v>46</v>
      </c>
      <c r="D4149" t="s">
        <v>47</v>
      </c>
      <c r="G4149" s="17" t="s">
        <v>48</v>
      </c>
      <c r="H4149" s="17">
        <v>1</v>
      </c>
      <c r="K4149" t="s">
        <v>162</v>
      </c>
      <c r="L4149" t="s">
        <v>158</v>
      </c>
      <c r="M4149" t="s">
        <v>131</v>
      </c>
      <c r="N4149">
        <v>9</v>
      </c>
      <c r="O4149" t="s">
        <v>40</v>
      </c>
      <c r="P4149" t="s">
        <v>40</v>
      </c>
      <c r="Q4149" t="s">
        <v>40</v>
      </c>
      <c r="R4149" t="s">
        <v>40</v>
      </c>
      <c r="S4149" t="s">
        <v>40</v>
      </c>
      <c r="V4149" t="s">
        <v>41</v>
      </c>
      <c r="W4149" t="s">
        <v>42</v>
      </c>
      <c r="X4149" t="str">
        <f>"0580320"</f>
        <v>0580320</v>
      </c>
      <c r="Y4149" t="s">
        <v>164</v>
      </c>
      <c r="Z4149" t="s">
        <v>162</v>
      </c>
      <c r="AA4149" t="s">
        <v>158</v>
      </c>
      <c r="AB4149" t="s">
        <v>131</v>
      </c>
      <c r="AC4149" t="s">
        <v>165</v>
      </c>
      <c r="AD4149" t="s">
        <v>45</v>
      </c>
      <c r="AE4149" s="1">
        <v>24545</v>
      </c>
      <c r="AF4149">
        <v>2</v>
      </c>
      <c r="AG4149" t="s">
        <v>158</v>
      </c>
      <c r="AH4149" s="36">
        <f t="shared" si="64"/>
        <v>52.533333333333331</v>
      </c>
      <c r="AI4149" s="41" t="s">
        <v>1781</v>
      </c>
    </row>
    <row r="4150" spans="1:35" x14ac:dyDescent="0.25">
      <c r="A4150" s="36">
        <v>99914148</v>
      </c>
      <c r="B4150" s="17" t="s">
        <v>32</v>
      </c>
      <c r="C4150" t="s">
        <v>52</v>
      </c>
      <c r="D4150" t="s">
        <v>53</v>
      </c>
      <c r="G4150" s="17" t="s">
        <v>48</v>
      </c>
      <c r="H4150" s="17">
        <v>1</v>
      </c>
      <c r="K4150" t="s">
        <v>157</v>
      </c>
      <c r="L4150" t="s">
        <v>158</v>
      </c>
      <c r="M4150" t="s">
        <v>131</v>
      </c>
      <c r="N4150">
        <v>16</v>
      </c>
      <c r="O4150" t="s">
        <v>40</v>
      </c>
      <c r="P4150" t="s">
        <v>40</v>
      </c>
      <c r="Q4150" t="s">
        <v>40</v>
      </c>
      <c r="S4150" t="s">
        <v>40</v>
      </c>
      <c r="V4150" t="s">
        <v>41</v>
      </c>
      <c r="W4150" t="s">
        <v>42</v>
      </c>
      <c r="X4150" t="str">
        <f>"0580290"</f>
        <v>0580290</v>
      </c>
      <c r="Y4150" t="s">
        <v>171</v>
      </c>
      <c r="Z4150" t="s">
        <v>157</v>
      </c>
      <c r="AA4150" t="s">
        <v>158</v>
      </c>
      <c r="AB4150" t="s">
        <v>131</v>
      </c>
      <c r="AC4150" t="s">
        <v>51</v>
      </c>
      <c r="AD4150" t="s">
        <v>45</v>
      </c>
      <c r="AE4150" s="1">
        <v>24545</v>
      </c>
      <c r="AF4150">
        <v>2</v>
      </c>
      <c r="AG4150" t="s">
        <v>158</v>
      </c>
      <c r="AH4150" s="36">
        <f t="shared" si="64"/>
        <v>52.533333333333331</v>
      </c>
      <c r="AI4150" s="41" t="s">
        <v>1781</v>
      </c>
    </row>
    <row r="4151" spans="1:35" x14ac:dyDescent="0.25">
      <c r="A4151" s="36">
        <v>99914149</v>
      </c>
      <c r="B4151" s="17" t="s">
        <v>56</v>
      </c>
      <c r="C4151" t="s">
        <v>33</v>
      </c>
      <c r="D4151" t="s">
        <v>34</v>
      </c>
      <c r="G4151" s="17" t="s">
        <v>35</v>
      </c>
      <c r="H4151" s="17">
        <v>1</v>
      </c>
      <c r="K4151" t="s">
        <v>223</v>
      </c>
      <c r="L4151" t="s">
        <v>224</v>
      </c>
      <c r="M4151" t="s">
        <v>131</v>
      </c>
      <c r="N4151">
        <v>16</v>
      </c>
      <c r="O4151" t="s">
        <v>40</v>
      </c>
      <c r="P4151" t="s">
        <v>40</v>
      </c>
      <c r="Q4151" t="s">
        <v>40</v>
      </c>
      <c r="R4151" t="s">
        <v>40</v>
      </c>
      <c r="S4151" t="s">
        <v>40</v>
      </c>
      <c r="V4151" t="s">
        <v>41</v>
      </c>
      <c r="W4151" t="s">
        <v>42</v>
      </c>
      <c r="X4151" t="str">
        <f>"0590901"</f>
        <v>0590901</v>
      </c>
      <c r="Y4151" t="s">
        <v>242</v>
      </c>
      <c r="Z4151" t="s">
        <v>223</v>
      </c>
      <c r="AA4151" t="s">
        <v>224</v>
      </c>
      <c r="AB4151" t="s">
        <v>131</v>
      </c>
      <c r="AC4151" t="s">
        <v>51</v>
      </c>
      <c r="AD4151" t="s">
        <v>45</v>
      </c>
      <c r="AE4151" s="1">
        <v>24542</v>
      </c>
      <c r="AF4151">
        <v>2</v>
      </c>
      <c r="AG4151" t="s">
        <v>224</v>
      </c>
      <c r="AH4151" s="36">
        <f t="shared" si="64"/>
        <v>52.541666666666664</v>
      </c>
      <c r="AI4151" s="41" t="s">
        <v>1781</v>
      </c>
    </row>
    <row r="4152" spans="1:35" x14ac:dyDescent="0.25">
      <c r="A4152" s="36">
        <v>99914150</v>
      </c>
      <c r="B4152" s="17" t="s">
        <v>32</v>
      </c>
      <c r="C4152" t="s">
        <v>90</v>
      </c>
      <c r="D4152" t="s">
        <v>91</v>
      </c>
      <c r="G4152" s="17" t="s">
        <v>48</v>
      </c>
      <c r="H4152" s="17">
        <v>1</v>
      </c>
      <c r="K4152" t="s">
        <v>93</v>
      </c>
      <c r="L4152" t="s">
        <v>94</v>
      </c>
      <c r="M4152" t="s">
        <v>39</v>
      </c>
      <c r="N4152">
        <v>25</v>
      </c>
      <c r="O4152" t="s">
        <v>40</v>
      </c>
      <c r="P4152" t="s">
        <v>40</v>
      </c>
      <c r="Q4152" t="s">
        <v>40</v>
      </c>
      <c r="S4152" t="s">
        <v>40</v>
      </c>
      <c r="V4152" t="s">
        <v>41</v>
      </c>
      <c r="W4152" t="s">
        <v>95</v>
      </c>
      <c r="X4152" t="str">
        <f>"7091001"</f>
        <v>7091001</v>
      </c>
      <c r="Y4152" t="s">
        <v>98</v>
      </c>
      <c r="Z4152" t="s">
        <v>93</v>
      </c>
      <c r="AA4152" t="s">
        <v>94</v>
      </c>
      <c r="AB4152" t="s">
        <v>39</v>
      </c>
      <c r="AC4152" t="s">
        <v>51</v>
      </c>
      <c r="AD4152" t="s">
        <v>45</v>
      </c>
      <c r="AE4152" s="1">
        <v>24539</v>
      </c>
      <c r="AF4152">
        <v>1</v>
      </c>
      <c r="AG4152" t="s">
        <v>94</v>
      </c>
      <c r="AH4152" s="36">
        <f t="shared" si="64"/>
        <v>52.55</v>
      </c>
      <c r="AI4152" s="41" t="s">
        <v>1781</v>
      </c>
    </row>
    <row r="4153" spans="1:35" x14ac:dyDescent="0.25">
      <c r="A4153" s="36">
        <v>99914151</v>
      </c>
      <c r="B4153" s="17" t="s">
        <v>32</v>
      </c>
      <c r="C4153" t="s">
        <v>46</v>
      </c>
      <c r="D4153" t="s">
        <v>47</v>
      </c>
      <c r="G4153" s="17" t="s">
        <v>35</v>
      </c>
      <c r="H4153" s="17">
        <v>1</v>
      </c>
      <c r="K4153" t="s">
        <v>162</v>
      </c>
      <c r="L4153" t="s">
        <v>158</v>
      </c>
      <c r="M4153" t="s">
        <v>131</v>
      </c>
      <c r="N4153">
        <v>18</v>
      </c>
      <c r="O4153" t="s">
        <v>40</v>
      </c>
      <c r="P4153" t="s">
        <v>40</v>
      </c>
      <c r="Q4153" t="s">
        <v>40</v>
      </c>
      <c r="R4153" t="s">
        <v>40</v>
      </c>
      <c r="S4153" t="s">
        <v>40</v>
      </c>
      <c r="V4153" t="s">
        <v>41</v>
      </c>
      <c r="W4153" t="s">
        <v>49</v>
      </c>
      <c r="X4153" t="str">
        <f>"0581325"</f>
        <v>0581325</v>
      </c>
      <c r="Y4153" t="s">
        <v>169</v>
      </c>
      <c r="Z4153" t="s">
        <v>162</v>
      </c>
      <c r="AA4153" t="s">
        <v>158</v>
      </c>
      <c r="AB4153" t="s">
        <v>131</v>
      </c>
      <c r="AC4153" t="s">
        <v>165</v>
      </c>
      <c r="AD4153" t="s">
        <v>45</v>
      </c>
      <c r="AE4153" s="1">
        <v>24535</v>
      </c>
      <c r="AF4153">
        <v>2</v>
      </c>
      <c r="AG4153" t="s">
        <v>158</v>
      </c>
      <c r="AH4153" s="36">
        <f t="shared" si="64"/>
        <v>52.56111111111111</v>
      </c>
      <c r="AI4153" s="41" t="s">
        <v>1781</v>
      </c>
    </row>
    <row r="4154" spans="1:35" x14ac:dyDescent="0.25">
      <c r="A4154" s="36">
        <v>99914152</v>
      </c>
      <c r="B4154" s="17" t="s">
        <v>32</v>
      </c>
      <c r="C4154" t="s">
        <v>46</v>
      </c>
      <c r="D4154" t="s">
        <v>47</v>
      </c>
      <c r="G4154" s="17" t="s">
        <v>48</v>
      </c>
      <c r="H4154" s="17">
        <v>1</v>
      </c>
      <c r="K4154" t="s">
        <v>380</v>
      </c>
      <c r="L4154" t="s">
        <v>381</v>
      </c>
      <c r="M4154" t="s">
        <v>131</v>
      </c>
      <c r="N4154">
        <v>18</v>
      </c>
      <c r="O4154" t="s">
        <v>40</v>
      </c>
      <c r="P4154" t="s">
        <v>40</v>
      </c>
      <c r="Q4154" t="s">
        <v>40</v>
      </c>
      <c r="R4154" t="s">
        <v>40</v>
      </c>
      <c r="S4154" t="s">
        <v>40</v>
      </c>
      <c r="V4154" t="s">
        <v>41</v>
      </c>
      <c r="W4154" t="s">
        <v>42</v>
      </c>
      <c r="X4154" t="str">
        <f>"0590909"</f>
        <v>0590909</v>
      </c>
      <c r="Y4154" t="s">
        <v>388</v>
      </c>
      <c r="Z4154" t="s">
        <v>380</v>
      </c>
      <c r="AA4154" t="s">
        <v>381</v>
      </c>
      <c r="AB4154" t="s">
        <v>131</v>
      </c>
      <c r="AC4154" t="s">
        <v>51</v>
      </c>
      <c r="AD4154" t="s">
        <v>45</v>
      </c>
      <c r="AE4154" s="1">
        <v>24533</v>
      </c>
      <c r="AF4154">
        <v>2</v>
      </c>
      <c r="AG4154" t="s">
        <v>381</v>
      </c>
      <c r="AH4154" s="36">
        <f t="shared" si="64"/>
        <v>52.56666666666667</v>
      </c>
      <c r="AI4154" s="41" t="s">
        <v>1781</v>
      </c>
    </row>
    <row r="4155" spans="1:35" x14ac:dyDescent="0.25">
      <c r="A4155" s="36">
        <v>99914153</v>
      </c>
      <c r="B4155" s="17" t="s">
        <v>32</v>
      </c>
      <c r="C4155" t="s">
        <v>64</v>
      </c>
      <c r="D4155" t="s">
        <v>65</v>
      </c>
      <c r="G4155" s="17" t="s">
        <v>48</v>
      </c>
      <c r="H4155" s="17">
        <v>1</v>
      </c>
      <c r="K4155" t="s">
        <v>431</v>
      </c>
      <c r="L4155" t="s">
        <v>196</v>
      </c>
      <c r="M4155" t="s">
        <v>131</v>
      </c>
      <c r="N4155">
        <v>18</v>
      </c>
      <c r="O4155" t="s">
        <v>40</v>
      </c>
      <c r="P4155" t="s">
        <v>40</v>
      </c>
      <c r="Q4155" t="s">
        <v>40</v>
      </c>
      <c r="S4155" t="s">
        <v>40</v>
      </c>
      <c r="V4155" t="s">
        <v>41</v>
      </c>
      <c r="W4155" t="s">
        <v>49</v>
      </c>
      <c r="X4155" t="str">
        <f>"0560006"</f>
        <v>0560006</v>
      </c>
      <c r="Y4155" t="s">
        <v>191</v>
      </c>
      <c r="Z4155" t="s">
        <v>157</v>
      </c>
      <c r="AA4155" t="s">
        <v>158</v>
      </c>
      <c r="AB4155" t="s">
        <v>131</v>
      </c>
      <c r="AC4155" t="s">
        <v>51</v>
      </c>
      <c r="AD4155" t="s">
        <v>45</v>
      </c>
      <c r="AE4155" s="1">
        <v>24532</v>
      </c>
      <c r="AF4155">
        <v>1</v>
      </c>
      <c r="AG4155" t="s">
        <v>196</v>
      </c>
      <c r="AH4155" s="36">
        <f t="shared" si="64"/>
        <v>52.569444444444443</v>
      </c>
      <c r="AI4155" s="41" t="s">
        <v>1781</v>
      </c>
    </row>
    <row r="4156" spans="1:35" x14ac:dyDescent="0.25">
      <c r="A4156" s="36">
        <v>99914154</v>
      </c>
      <c r="B4156" s="17" t="s">
        <v>56</v>
      </c>
      <c r="C4156" t="s">
        <v>52</v>
      </c>
      <c r="D4156" t="s">
        <v>53</v>
      </c>
      <c r="G4156" s="17" t="s">
        <v>48</v>
      </c>
      <c r="H4156" s="17">
        <v>1</v>
      </c>
      <c r="K4156" t="s">
        <v>129</v>
      </c>
      <c r="L4156" t="s">
        <v>130</v>
      </c>
      <c r="M4156" t="s">
        <v>131</v>
      </c>
      <c r="N4156">
        <v>20</v>
      </c>
      <c r="O4156" t="s">
        <v>40</v>
      </c>
      <c r="P4156" t="s">
        <v>40</v>
      </c>
      <c r="Q4156" t="s">
        <v>40</v>
      </c>
      <c r="R4156" t="s">
        <v>40</v>
      </c>
      <c r="S4156" t="s">
        <v>40</v>
      </c>
      <c r="V4156" t="s">
        <v>41</v>
      </c>
      <c r="W4156" t="s">
        <v>42</v>
      </c>
      <c r="X4156" t="str">
        <f>"0580715"</f>
        <v>0580715</v>
      </c>
      <c r="Y4156" t="s">
        <v>147</v>
      </c>
      <c r="Z4156" t="s">
        <v>129</v>
      </c>
      <c r="AA4156" t="s">
        <v>130</v>
      </c>
      <c r="AB4156" t="s">
        <v>131</v>
      </c>
      <c r="AC4156" t="s">
        <v>51</v>
      </c>
      <c r="AD4156" t="s">
        <v>45</v>
      </c>
      <c r="AE4156" s="1">
        <v>24528</v>
      </c>
      <c r="AF4156">
        <v>2</v>
      </c>
      <c r="AG4156" t="s">
        <v>130</v>
      </c>
      <c r="AH4156" s="36">
        <f t="shared" si="64"/>
        <v>52.580555555555556</v>
      </c>
      <c r="AI4156" s="41" t="s">
        <v>1781</v>
      </c>
    </row>
    <row r="4157" spans="1:35" x14ac:dyDescent="0.25">
      <c r="A4157" s="36">
        <v>99914155</v>
      </c>
      <c r="B4157" s="17" t="s">
        <v>32</v>
      </c>
      <c r="C4157" t="s">
        <v>33</v>
      </c>
      <c r="D4157" t="s">
        <v>34</v>
      </c>
      <c r="G4157" s="17" t="s">
        <v>48</v>
      </c>
      <c r="H4157" s="17">
        <v>1</v>
      </c>
      <c r="K4157" t="s">
        <v>380</v>
      </c>
      <c r="L4157" t="s">
        <v>381</v>
      </c>
      <c r="M4157" t="s">
        <v>131</v>
      </c>
      <c r="N4157">
        <v>10</v>
      </c>
      <c r="O4157" t="s">
        <v>40</v>
      </c>
      <c r="P4157" t="s">
        <v>40</v>
      </c>
      <c r="Q4157" t="s">
        <v>40</v>
      </c>
      <c r="R4157" t="s">
        <v>40</v>
      </c>
      <c r="S4157" t="s">
        <v>40</v>
      </c>
      <c r="V4157" t="s">
        <v>41</v>
      </c>
      <c r="W4157" t="s">
        <v>49</v>
      </c>
      <c r="X4157" t="str">
        <f>"0581575"</f>
        <v>0581575</v>
      </c>
      <c r="Y4157" t="s">
        <v>392</v>
      </c>
      <c r="Z4157" t="s">
        <v>380</v>
      </c>
      <c r="AA4157" t="s">
        <v>381</v>
      </c>
      <c r="AB4157" t="s">
        <v>131</v>
      </c>
      <c r="AC4157" t="s">
        <v>51</v>
      </c>
      <c r="AD4157" t="s">
        <v>45</v>
      </c>
      <c r="AE4157" s="1">
        <v>24527</v>
      </c>
      <c r="AF4157">
        <v>2</v>
      </c>
      <c r="AG4157" t="s">
        <v>381</v>
      </c>
      <c r="AH4157" s="36">
        <f t="shared" si="64"/>
        <v>52.583333333333336</v>
      </c>
      <c r="AI4157" s="41" t="s">
        <v>1781</v>
      </c>
    </row>
    <row r="4158" spans="1:35" x14ac:dyDescent="0.25">
      <c r="A4158" s="36">
        <v>99914156</v>
      </c>
      <c r="B4158" s="17" t="s">
        <v>32</v>
      </c>
      <c r="C4158" t="s">
        <v>46</v>
      </c>
      <c r="D4158" t="s">
        <v>47</v>
      </c>
      <c r="G4158" s="17" t="s">
        <v>48</v>
      </c>
      <c r="H4158" s="17">
        <v>1</v>
      </c>
      <c r="K4158" t="s">
        <v>223</v>
      </c>
      <c r="L4158" t="s">
        <v>224</v>
      </c>
      <c r="M4158" t="s">
        <v>131</v>
      </c>
      <c r="N4158">
        <v>20</v>
      </c>
      <c r="O4158" t="s">
        <v>40</v>
      </c>
      <c r="P4158" t="s">
        <v>40</v>
      </c>
      <c r="Q4158" t="s">
        <v>40</v>
      </c>
      <c r="R4158" t="s">
        <v>40</v>
      </c>
      <c r="S4158" t="s">
        <v>40</v>
      </c>
      <c r="V4158" t="s">
        <v>41</v>
      </c>
      <c r="W4158" t="s">
        <v>49</v>
      </c>
      <c r="X4158" t="str">
        <f>"0540902"</f>
        <v>0540902</v>
      </c>
      <c r="Y4158" t="s">
        <v>256</v>
      </c>
      <c r="Z4158" t="s">
        <v>223</v>
      </c>
      <c r="AA4158" t="s">
        <v>224</v>
      </c>
      <c r="AB4158" t="s">
        <v>131</v>
      </c>
      <c r="AC4158" t="s">
        <v>51</v>
      </c>
      <c r="AD4158" t="s">
        <v>45</v>
      </c>
      <c r="AE4158" s="1">
        <v>24525</v>
      </c>
      <c r="AF4158">
        <v>2</v>
      </c>
      <c r="AG4158" t="s">
        <v>224</v>
      </c>
      <c r="AH4158" s="36">
        <f t="shared" si="64"/>
        <v>52.588888888888889</v>
      </c>
      <c r="AI4158" s="41" t="s">
        <v>1781</v>
      </c>
    </row>
    <row r="4159" spans="1:35" x14ac:dyDescent="0.25">
      <c r="A4159" s="36">
        <v>99914157</v>
      </c>
      <c r="B4159" s="17" t="s">
        <v>56</v>
      </c>
      <c r="C4159" t="s">
        <v>257</v>
      </c>
      <c r="D4159" t="s">
        <v>258</v>
      </c>
      <c r="E4159" t="s">
        <v>61</v>
      </c>
      <c r="F4159" t="s">
        <v>62</v>
      </c>
      <c r="G4159" s="17" t="s">
        <v>48</v>
      </c>
      <c r="H4159" s="17">
        <v>1</v>
      </c>
      <c r="K4159" t="s">
        <v>1496</v>
      </c>
      <c r="L4159" t="s">
        <v>1497</v>
      </c>
      <c r="M4159" t="s">
        <v>670</v>
      </c>
      <c r="N4159">
        <v>20</v>
      </c>
      <c r="O4159" t="s">
        <v>40</v>
      </c>
      <c r="P4159" t="s">
        <v>40</v>
      </c>
      <c r="Q4159" t="s">
        <v>40</v>
      </c>
      <c r="R4159" t="s">
        <v>40</v>
      </c>
      <c r="S4159" t="s">
        <v>40</v>
      </c>
      <c r="V4159" t="s">
        <v>41</v>
      </c>
      <c r="W4159" t="s">
        <v>42</v>
      </c>
      <c r="X4159" t="str">
        <f>"5080015"</f>
        <v>5080015</v>
      </c>
      <c r="Y4159" t="s">
        <v>1498</v>
      </c>
      <c r="Z4159" t="s">
        <v>1496</v>
      </c>
      <c r="AA4159" t="s">
        <v>1497</v>
      </c>
      <c r="AB4159" t="s">
        <v>670</v>
      </c>
      <c r="AC4159" t="s">
        <v>51</v>
      </c>
      <c r="AD4159" t="s">
        <v>45</v>
      </c>
      <c r="AE4159" s="1">
        <v>24523</v>
      </c>
      <c r="AF4159">
        <v>2</v>
      </c>
      <c r="AG4159" t="s">
        <v>1497</v>
      </c>
      <c r="AH4159" s="36">
        <f t="shared" si="64"/>
        <v>52.594444444444441</v>
      </c>
      <c r="AI4159" s="41" t="s">
        <v>1781</v>
      </c>
    </row>
    <row r="4160" spans="1:35" x14ac:dyDescent="0.25">
      <c r="A4160" s="36">
        <v>99914158</v>
      </c>
      <c r="B4160" s="17" t="s">
        <v>32</v>
      </c>
      <c r="C4160" t="s">
        <v>85</v>
      </c>
      <c r="D4160" t="s">
        <v>86</v>
      </c>
      <c r="G4160" s="17" t="s">
        <v>48</v>
      </c>
      <c r="H4160" s="17">
        <v>1</v>
      </c>
      <c r="K4160" t="s">
        <v>300</v>
      </c>
      <c r="L4160" t="s">
        <v>301</v>
      </c>
      <c r="M4160" t="s">
        <v>131</v>
      </c>
      <c r="N4160">
        <v>8</v>
      </c>
      <c r="O4160" t="s">
        <v>40</v>
      </c>
      <c r="P4160" t="s">
        <v>40</v>
      </c>
      <c r="Q4160" t="s">
        <v>40</v>
      </c>
      <c r="R4160" t="s">
        <v>40</v>
      </c>
      <c r="S4160" t="s">
        <v>40</v>
      </c>
      <c r="V4160" t="s">
        <v>41</v>
      </c>
      <c r="W4160" t="s">
        <v>42</v>
      </c>
      <c r="X4160" t="str">
        <f>"0561001"</f>
        <v>0561001</v>
      </c>
      <c r="Y4160" t="s">
        <v>308</v>
      </c>
      <c r="Z4160" t="s">
        <v>300</v>
      </c>
      <c r="AA4160" t="s">
        <v>301</v>
      </c>
      <c r="AB4160" t="s">
        <v>131</v>
      </c>
      <c r="AC4160" t="s">
        <v>165</v>
      </c>
      <c r="AD4160" t="s">
        <v>45</v>
      </c>
      <c r="AE4160" s="1">
        <v>24521</v>
      </c>
      <c r="AF4160">
        <v>2</v>
      </c>
      <c r="AG4160" t="s">
        <v>301</v>
      </c>
      <c r="AH4160" s="36">
        <f t="shared" si="64"/>
        <v>52.6</v>
      </c>
      <c r="AI4160" s="41" t="s">
        <v>1781</v>
      </c>
    </row>
    <row r="4161" spans="1:35" x14ac:dyDescent="0.25">
      <c r="A4161" s="36">
        <v>99914159</v>
      </c>
      <c r="B4161" s="17" t="s">
        <v>56</v>
      </c>
      <c r="C4161" t="s">
        <v>68</v>
      </c>
      <c r="D4161" t="s">
        <v>69</v>
      </c>
      <c r="G4161" s="17" t="s">
        <v>48</v>
      </c>
      <c r="H4161" s="17">
        <v>1</v>
      </c>
      <c r="K4161" t="s">
        <v>1187</v>
      </c>
      <c r="L4161" t="s">
        <v>1188</v>
      </c>
      <c r="M4161" t="s">
        <v>1130</v>
      </c>
      <c r="N4161">
        <v>20</v>
      </c>
      <c r="O4161" t="s">
        <v>40</v>
      </c>
      <c r="P4161" t="s">
        <v>40</v>
      </c>
      <c r="Q4161" t="s">
        <v>40</v>
      </c>
      <c r="R4161" t="s">
        <v>40</v>
      </c>
      <c r="S4161" t="s">
        <v>40</v>
      </c>
      <c r="V4161" t="s">
        <v>41</v>
      </c>
      <c r="W4161" t="s">
        <v>42</v>
      </c>
      <c r="X4161" t="str">
        <f>"4580015"</f>
        <v>4580015</v>
      </c>
      <c r="Y4161" t="s">
        <v>1189</v>
      </c>
      <c r="Z4161" t="s">
        <v>1187</v>
      </c>
      <c r="AA4161" t="s">
        <v>1188</v>
      </c>
      <c r="AB4161" t="s">
        <v>1130</v>
      </c>
      <c r="AC4161" t="s">
        <v>51</v>
      </c>
      <c r="AD4161" t="s">
        <v>45</v>
      </c>
      <c r="AE4161" s="1">
        <v>24521</v>
      </c>
      <c r="AF4161">
        <v>2</v>
      </c>
      <c r="AG4161" t="s">
        <v>1188</v>
      </c>
      <c r="AH4161" s="36">
        <f t="shared" si="64"/>
        <v>52.6</v>
      </c>
      <c r="AI4161" s="41" t="s">
        <v>1781</v>
      </c>
    </row>
    <row r="4162" spans="1:35" x14ac:dyDescent="0.25">
      <c r="A4162" s="36">
        <v>99914160</v>
      </c>
      <c r="B4162" s="17" t="s">
        <v>32</v>
      </c>
      <c r="C4162" t="s">
        <v>64</v>
      </c>
      <c r="D4162" t="s">
        <v>65</v>
      </c>
      <c r="G4162" s="17" t="s">
        <v>48</v>
      </c>
      <c r="H4162" s="17">
        <v>1</v>
      </c>
      <c r="K4162" t="s">
        <v>129</v>
      </c>
      <c r="L4162" t="s">
        <v>130</v>
      </c>
      <c r="M4162" t="s">
        <v>131</v>
      </c>
      <c r="N4162">
        <v>18</v>
      </c>
      <c r="O4162" t="s">
        <v>40</v>
      </c>
      <c r="P4162" t="s">
        <v>40</v>
      </c>
      <c r="Q4162" t="s">
        <v>40</v>
      </c>
      <c r="R4162" t="s">
        <v>40</v>
      </c>
      <c r="S4162" t="s">
        <v>40</v>
      </c>
      <c r="V4162" t="s">
        <v>41</v>
      </c>
      <c r="W4162" t="s">
        <v>49</v>
      </c>
      <c r="X4162" t="str">
        <f>"0591905"</f>
        <v>0591905</v>
      </c>
      <c r="Y4162" t="s">
        <v>135</v>
      </c>
      <c r="Z4162" t="s">
        <v>129</v>
      </c>
      <c r="AA4162" t="s">
        <v>130</v>
      </c>
      <c r="AB4162" t="s">
        <v>131</v>
      </c>
      <c r="AC4162" t="s">
        <v>51</v>
      </c>
      <c r="AD4162" t="s">
        <v>45</v>
      </c>
      <c r="AE4162" s="1">
        <v>24518</v>
      </c>
      <c r="AF4162">
        <v>2</v>
      </c>
      <c r="AG4162" t="s">
        <v>130</v>
      </c>
      <c r="AH4162" s="36">
        <f t="shared" ref="AH4162:AH4225" si="65">($AJ$1-AE4162)/360</f>
        <v>52.608333333333334</v>
      </c>
      <c r="AI4162" s="41" t="s">
        <v>1781</v>
      </c>
    </row>
    <row r="4163" spans="1:35" x14ac:dyDescent="0.25">
      <c r="A4163" s="36">
        <v>99914161</v>
      </c>
      <c r="B4163" s="17" t="s">
        <v>32</v>
      </c>
      <c r="C4163" t="s">
        <v>64</v>
      </c>
      <c r="D4163" t="s">
        <v>65</v>
      </c>
      <c r="G4163" s="17" t="s">
        <v>35</v>
      </c>
      <c r="H4163" s="17">
        <v>1</v>
      </c>
      <c r="K4163" t="s">
        <v>157</v>
      </c>
      <c r="L4163" t="s">
        <v>158</v>
      </c>
      <c r="M4163" t="s">
        <v>131</v>
      </c>
      <c r="N4163">
        <v>21</v>
      </c>
      <c r="O4163" t="s">
        <v>40</v>
      </c>
      <c r="P4163" t="s">
        <v>40</v>
      </c>
      <c r="Q4163" t="s">
        <v>40</v>
      </c>
      <c r="S4163" t="s">
        <v>40</v>
      </c>
      <c r="V4163" t="s">
        <v>41</v>
      </c>
      <c r="W4163" t="s">
        <v>49</v>
      </c>
      <c r="X4163" t="str">
        <f>"0560019"</f>
        <v>0560019</v>
      </c>
      <c r="Y4163" t="s">
        <v>166</v>
      </c>
      <c r="Z4163" t="s">
        <v>157</v>
      </c>
      <c r="AA4163" t="s">
        <v>158</v>
      </c>
      <c r="AB4163" t="s">
        <v>131</v>
      </c>
      <c r="AC4163" t="s">
        <v>51</v>
      </c>
      <c r="AD4163" t="s">
        <v>45</v>
      </c>
      <c r="AE4163" s="1">
        <v>24518</v>
      </c>
      <c r="AF4163">
        <v>2</v>
      </c>
      <c r="AG4163" t="s">
        <v>158</v>
      </c>
      <c r="AH4163" s="36">
        <f t="shared" si="65"/>
        <v>52.608333333333334</v>
      </c>
      <c r="AI4163" s="41" t="s">
        <v>1781</v>
      </c>
    </row>
    <row r="4164" spans="1:35" x14ac:dyDescent="0.25">
      <c r="A4164" s="36">
        <v>99914162</v>
      </c>
      <c r="B4164" s="17" t="s">
        <v>32</v>
      </c>
      <c r="C4164" t="s">
        <v>46</v>
      </c>
      <c r="D4164" t="s">
        <v>47</v>
      </c>
      <c r="G4164" s="17" t="s">
        <v>48</v>
      </c>
      <c r="H4164" s="17">
        <v>1</v>
      </c>
      <c r="K4164" t="s">
        <v>223</v>
      </c>
      <c r="L4164" t="s">
        <v>224</v>
      </c>
      <c r="M4164" t="s">
        <v>131</v>
      </c>
      <c r="N4164">
        <v>18</v>
      </c>
      <c r="O4164" t="s">
        <v>40</v>
      </c>
      <c r="P4164" t="s">
        <v>40</v>
      </c>
      <c r="Q4164" t="s">
        <v>40</v>
      </c>
      <c r="S4164" t="s">
        <v>40</v>
      </c>
      <c r="V4164" t="s">
        <v>41</v>
      </c>
      <c r="W4164" t="s">
        <v>42</v>
      </c>
      <c r="X4164" t="str">
        <f>"0580203"</f>
        <v>0580203</v>
      </c>
      <c r="Y4164" t="s">
        <v>239</v>
      </c>
      <c r="Z4164" t="s">
        <v>223</v>
      </c>
      <c r="AA4164" t="s">
        <v>224</v>
      </c>
      <c r="AB4164" t="s">
        <v>131</v>
      </c>
      <c r="AC4164" t="s">
        <v>165</v>
      </c>
      <c r="AD4164" t="s">
        <v>45</v>
      </c>
      <c r="AE4164" s="1">
        <v>24517</v>
      </c>
      <c r="AF4164">
        <v>2</v>
      </c>
      <c r="AG4164" t="s">
        <v>224</v>
      </c>
      <c r="AH4164" s="36">
        <f t="shared" si="65"/>
        <v>52.611111111111114</v>
      </c>
      <c r="AI4164" s="41" t="s">
        <v>1781</v>
      </c>
    </row>
    <row r="4165" spans="1:35" x14ac:dyDescent="0.25">
      <c r="A4165" s="36">
        <v>99914163</v>
      </c>
      <c r="B4165" s="17" t="s">
        <v>32</v>
      </c>
      <c r="C4165" t="s">
        <v>90</v>
      </c>
      <c r="D4165" t="s">
        <v>91</v>
      </c>
      <c r="G4165" s="17" t="s">
        <v>88</v>
      </c>
      <c r="H4165" s="17">
        <v>2</v>
      </c>
      <c r="K4165" t="s">
        <v>1426</v>
      </c>
      <c r="L4165" t="s">
        <v>1427</v>
      </c>
      <c r="M4165" t="s">
        <v>1270</v>
      </c>
      <c r="N4165">
        <v>25</v>
      </c>
      <c r="O4165" t="s">
        <v>40</v>
      </c>
      <c r="P4165" t="s">
        <v>40</v>
      </c>
      <c r="Q4165" t="s">
        <v>40</v>
      </c>
      <c r="R4165" t="s">
        <v>40</v>
      </c>
      <c r="S4165" t="s">
        <v>40</v>
      </c>
      <c r="V4165" t="s">
        <v>41</v>
      </c>
      <c r="W4165" t="s">
        <v>95</v>
      </c>
      <c r="X4165" t="str">
        <f>"7192037"</f>
        <v>7192037</v>
      </c>
      <c r="Y4165" t="s">
        <v>1451</v>
      </c>
      <c r="Z4165" t="s">
        <v>1426</v>
      </c>
      <c r="AA4165" t="s">
        <v>1427</v>
      </c>
      <c r="AB4165" t="s">
        <v>1270</v>
      </c>
      <c r="AC4165" t="s">
        <v>51</v>
      </c>
      <c r="AD4165" t="s">
        <v>45</v>
      </c>
      <c r="AE4165" s="1">
        <v>24516</v>
      </c>
      <c r="AF4165">
        <v>1</v>
      </c>
      <c r="AG4165" t="s">
        <v>1427</v>
      </c>
      <c r="AH4165" s="36">
        <f t="shared" si="65"/>
        <v>52.613888888888887</v>
      </c>
      <c r="AI4165" s="41" t="s">
        <v>1781</v>
      </c>
    </row>
    <row r="4166" spans="1:35" x14ac:dyDescent="0.25">
      <c r="A4166" s="36">
        <v>99914164</v>
      </c>
      <c r="B4166" s="17" t="s">
        <v>56</v>
      </c>
      <c r="C4166" t="s">
        <v>68</v>
      </c>
      <c r="D4166" t="s">
        <v>69</v>
      </c>
      <c r="G4166" s="17" t="s">
        <v>48</v>
      </c>
      <c r="H4166" s="17">
        <v>1</v>
      </c>
      <c r="K4166" t="s">
        <v>380</v>
      </c>
      <c r="L4166" t="s">
        <v>381</v>
      </c>
      <c r="M4166" t="s">
        <v>131</v>
      </c>
      <c r="N4166">
        <v>18</v>
      </c>
      <c r="O4166" t="s">
        <v>40</v>
      </c>
      <c r="P4166" t="s">
        <v>40</v>
      </c>
      <c r="Q4166" t="s">
        <v>40</v>
      </c>
      <c r="S4166" t="s">
        <v>40</v>
      </c>
      <c r="V4166" t="s">
        <v>41</v>
      </c>
      <c r="W4166" t="s">
        <v>49</v>
      </c>
      <c r="X4166" t="str">
        <f>"0591909"</f>
        <v>0591909</v>
      </c>
      <c r="Y4166" t="s">
        <v>385</v>
      </c>
      <c r="Z4166" t="s">
        <v>380</v>
      </c>
      <c r="AA4166" t="s">
        <v>381</v>
      </c>
      <c r="AB4166" t="s">
        <v>131</v>
      </c>
      <c r="AC4166" t="s">
        <v>51</v>
      </c>
      <c r="AD4166" t="s">
        <v>45</v>
      </c>
      <c r="AE4166" s="1">
        <v>24514</v>
      </c>
      <c r="AF4166">
        <v>2</v>
      </c>
      <c r="AG4166" t="s">
        <v>381</v>
      </c>
      <c r="AH4166" s="36">
        <f t="shared" si="65"/>
        <v>52.619444444444447</v>
      </c>
      <c r="AI4166" s="41" t="s">
        <v>1781</v>
      </c>
    </row>
    <row r="4167" spans="1:35" x14ac:dyDescent="0.25">
      <c r="A4167" s="36">
        <v>99914165</v>
      </c>
      <c r="B4167" s="17" t="s">
        <v>32</v>
      </c>
      <c r="C4167" t="s">
        <v>90</v>
      </c>
      <c r="D4167" t="s">
        <v>91</v>
      </c>
      <c r="G4167" s="17" t="s">
        <v>48</v>
      </c>
      <c r="H4167" s="17">
        <v>1</v>
      </c>
      <c r="K4167" t="s">
        <v>154</v>
      </c>
      <c r="L4167" t="s">
        <v>155</v>
      </c>
      <c r="M4167" t="s">
        <v>131</v>
      </c>
      <c r="N4167">
        <v>20</v>
      </c>
      <c r="O4167" t="s">
        <v>40</v>
      </c>
      <c r="P4167" t="s">
        <v>40</v>
      </c>
      <c r="Q4167" t="s">
        <v>40</v>
      </c>
      <c r="S4167" t="s">
        <v>40</v>
      </c>
      <c r="V4167" t="s">
        <v>41</v>
      </c>
      <c r="W4167" t="s">
        <v>95</v>
      </c>
      <c r="X4167" t="str">
        <f>"7051049"</f>
        <v>7051049</v>
      </c>
      <c r="Y4167" t="s">
        <v>418</v>
      </c>
      <c r="Z4167" t="s">
        <v>154</v>
      </c>
      <c r="AA4167" t="s">
        <v>155</v>
      </c>
      <c r="AB4167" t="s">
        <v>131</v>
      </c>
      <c r="AC4167" t="s">
        <v>51</v>
      </c>
      <c r="AD4167" t="s">
        <v>45</v>
      </c>
      <c r="AE4167" s="1">
        <v>24514</v>
      </c>
      <c r="AF4167">
        <v>1</v>
      </c>
      <c r="AG4167" t="s">
        <v>155</v>
      </c>
      <c r="AH4167" s="36">
        <f t="shared" si="65"/>
        <v>52.619444444444447</v>
      </c>
      <c r="AI4167" s="41" t="s">
        <v>1781</v>
      </c>
    </row>
    <row r="4168" spans="1:35" x14ac:dyDescent="0.25">
      <c r="A4168" s="36">
        <v>99914166</v>
      </c>
      <c r="B4168" s="17" t="s">
        <v>32</v>
      </c>
      <c r="C4168" t="s">
        <v>111</v>
      </c>
      <c r="D4168" t="s">
        <v>112</v>
      </c>
      <c r="G4168" s="17" t="s">
        <v>35</v>
      </c>
      <c r="H4168" s="17">
        <v>1</v>
      </c>
      <c r="I4168">
        <v>179</v>
      </c>
      <c r="J4168" s="1">
        <v>35674</v>
      </c>
      <c r="K4168" t="s">
        <v>1081</v>
      </c>
      <c r="L4168" t="s">
        <v>1082</v>
      </c>
      <c r="M4168" t="s">
        <v>1053</v>
      </c>
      <c r="N4168">
        <v>21</v>
      </c>
      <c r="O4168" t="s">
        <v>40</v>
      </c>
      <c r="P4168" t="s">
        <v>40</v>
      </c>
      <c r="Q4168" t="s">
        <v>40</v>
      </c>
      <c r="R4168" t="s">
        <v>40</v>
      </c>
      <c r="S4168" t="s">
        <v>40</v>
      </c>
      <c r="U4168" s="1">
        <v>35681</v>
      </c>
      <c r="V4168" t="s">
        <v>41</v>
      </c>
      <c r="W4168" t="s">
        <v>75</v>
      </c>
      <c r="X4168" t="str">
        <f>"7201006"</f>
        <v>7201006</v>
      </c>
      <c r="Y4168" t="s">
        <v>1083</v>
      </c>
      <c r="Z4168" t="s">
        <v>1081</v>
      </c>
      <c r="AA4168" t="s">
        <v>1082</v>
      </c>
      <c r="AB4168" t="s">
        <v>1053</v>
      </c>
      <c r="AC4168" t="s">
        <v>51</v>
      </c>
      <c r="AD4168" t="s">
        <v>45</v>
      </c>
      <c r="AE4168" s="1">
        <v>24511</v>
      </c>
      <c r="AF4168">
        <v>1</v>
      </c>
      <c r="AG4168" t="s">
        <v>1082</v>
      </c>
      <c r="AH4168" s="36">
        <f t="shared" si="65"/>
        <v>52.62777777777778</v>
      </c>
      <c r="AI4168" s="41" t="s">
        <v>1781</v>
      </c>
    </row>
    <row r="4169" spans="1:35" x14ac:dyDescent="0.25">
      <c r="A4169" s="36">
        <v>99914167</v>
      </c>
      <c r="B4169" s="17" t="s">
        <v>32</v>
      </c>
      <c r="C4169" t="s">
        <v>90</v>
      </c>
      <c r="D4169" t="s">
        <v>91</v>
      </c>
      <c r="G4169" s="17" t="s">
        <v>35</v>
      </c>
      <c r="H4169" s="17">
        <v>1</v>
      </c>
      <c r="I4169">
        <v>55</v>
      </c>
      <c r="J4169" s="1">
        <v>43344</v>
      </c>
      <c r="K4169" t="s">
        <v>1631</v>
      </c>
      <c r="L4169" t="s">
        <v>1632</v>
      </c>
      <c r="M4169" t="s">
        <v>1592</v>
      </c>
      <c r="N4169">
        <v>25</v>
      </c>
      <c r="O4169" t="s">
        <v>40</v>
      </c>
      <c r="S4169" t="s">
        <v>40</v>
      </c>
      <c r="U4169" s="1">
        <v>43344</v>
      </c>
      <c r="V4169" t="s">
        <v>41</v>
      </c>
      <c r="W4169" t="s">
        <v>95</v>
      </c>
      <c r="X4169" t="str">
        <f>"7021001"</f>
        <v>7021001</v>
      </c>
      <c r="Y4169" t="s">
        <v>1641</v>
      </c>
      <c r="Z4169" t="s">
        <v>1631</v>
      </c>
      <c r="AA4169" t="s">
        <v>1632</v>
      </c>
      <c r="AB4169" t="s">
        <v>1592</v>
      </c>
      <c r="AC4169" t="s">
        <v>51</v>
      </c>
      <c r="AD4169" t="s">
        <v>45</v>
      </c>
      <c r="AE4169" s="1">
        <v>24511</v>
      </c>
      <c r="AF4169">
        <v>1</v>
      </c>
      <c r="AG4169" t="s">
        <v>1632</v>
      </c>
      <c r="AH4169" s="36">
        <f t="shared" si="65"/>
        <v>52.62777777777778</v>
      </c>
      <c r="AI4169" s="41" t="s">
        <v>1781</v>
      </c>
    </row>
    <row r="4170" spans="1:35" x14ac:dyDescent="0.25">
      <c r="A4170" s="36">
        <v>99914168</v>
      </c>
      <c r="B4170" s="17" t="s">
        <v>32</v>
      </c>
      <c r="C4170" t="s">
        <v>64</v>
      </c>
      <c r="D4170" t="s">
        <v>65</v>
      </c>
      <c r="G4170" s="17" t="s">
        <v>35</v>
      </c>
      <c r="H4170" s="17">
        <v>1</v>
      </c>
      <c r="I4170" s="1">
        <v>34293</v>
      </c>
      <c r="J4170" s="1">
        <v>43344</v>
      </c>
      <c r="K4170" t="s">
        <v>1341</v>
      </c>
      <c r="L4170" t="s">
        <v>1342</v>
      </c>
      <c r="M4170" t="s">
        <v>1270</v>
      </c>
      <c r="N4170">
        <v>24</v>
      </c>
      <c r="O4170" t="s">
        <v>40</v>
      </c>
      <c r="S4170" t="s">
        <v>40</v>
      </c>
      <c r="U4170" s="1">
        <v>43344</v>
      </c>
      <c r="V4170" t="s">
        <v>41</v>
      </c>
      <c r="W4170" t="s">
        <v>75</v>
      </c>
      <c r="X4170" t="str">
        <f>"7191004"</f>
        <v>7191004</v>
      </c>
      <c r="Y4170" t="s">
        <v>1344</v>
      </c>
      <c r="Z4170" t="s">
        <v>1341</v>
      </c>
      <c r="AA4170" t="s">
        <v>1342</v>
      </c>
      <c r="AB4170" t="s">
        <v>1270</v>
      </c>
      <c r="AC4170" t="s">
        <v>51</v>
      </c>
      <c r="AD4170" t="s">
        <v>45</v>
      </c>
      <c r="AE4170" s="1">
        <v>24510</v>
      </c>
      <c r="AF4170">
        <v>1</v>
      </c>
      <c r="AG4170" t="s">
        <v>1342</v>
      </c>
      <c r="AH4170" s="36">
        <f t="shared" si="65"/>
        <v>52.630555555555553</v>
      </c>
      <c r="AI4170" s="41" t="s">
        <v>1781</v>
      </c>
    </row>
    <row r="4171" spans="1:35" x14ac:dyDescent="0.25">
      <c r="A4171" s="36">
        <v>99914169</v>
      </c>
      <c r="B4171" s="17" t="s">
        <v>32</v>
      </c>
      <c r="C4171" t="s">
        <v>145</v>
      </c>
      <c r="D4171" t="s">
        <v>146</v>
      </c>
      <c r="G4171" s="17" t="s">
        <v>48</v>
      </c>
      <c r="H4171" s="17">
        <v>1</v>
      </c>
      <c r="K4171" t="s">
        <v>1051</v>
      </c>
      <c r="L4171" t="s">
        <v>1052</v>
      </c>
      <c r="M4171" t="s">
        <v>1053</v>
      </c>
      <c r="N4171">
        <v>23</v>
      </c>
      <c r="O4171" t="s">
        <v>40</v>
      </c>
      <c r="P4171" t="s">
        <v>40</v>
      </c>
      <c r="Q4171" t="s">
        <v>40</v>
      </c>
      <c r="R4171" t="s">
        <v>40</v>
      </c>
      <c r="S4171" t="s">
        <v>40</v>
      </c>
      <c r="V4171" t="s">
        <v>41</v>
      </c>
      <c r="W4171" t="s">
        <v>42</v>
      </c>
      <c r="X4171" t="str">
        <f>"2061001"</f>
        <v>2061001</v>
      </c>
      <c r="Y4171" t="s">
        <v>1058</v>
      </c>
      <c r="Z4171" t="s">
        <v>1051</v>
      </c>
      <c r="AA4171" t="s">
        <v>1052</v>
      </c>
      <c r="AB4171" t="s">
        <v>1053</v>
      </c>
      <c r="AC4171" t="s">
        <v>51</v>
      </c>
      <c r="AD4171" t="s">
        <v>45</v>
      </c>
      <c r="AE4171" s="1">
        <v>24508</v>
      </c>
      <c r="AF4171">
        <v>2</v>
      </c>
      <c r="AG4171" t="s">
        <v>1052</v>
      </c>
      <c r="AH4171" s="36">
        <f t="shared" si="65"/>
        <v>52.636111111111113</v>
      </c>
      <c r="AI4171" s="41" t="s">
        <v>1781</v>
      </c>
    </row>
    <row r="4172" spans="1:35" x14ac:dyDescent="0.25">
      <c r="A4172" s="36">
        <v>99914170</v>
      </c>
      <c r="B4172" s="17" t="s">
        <v>32</v>
      </c>
      <c r="C4172" t="s">
        <v>85</v>
      </c>
      <c r="D4172" t="s">
        <v>86</v>
      </c>
      <c r="G4172" s="17" t="s">
        <v>35</v>
      </c>
      <c r="H4172" s="17">
        <v>1</v>
      </c>
      <c r="K4172" t="s">
        <v>223</v>
      </c>
      <c r="L4172" t="s">
        <v>224</v>
      </c>
      <c r="M4172" t="s">
        <v>131</v>
      </c>
      <c r="N4172">
        <v>18</v>
      </c>
      <c r="O4172" t="s">
        <v>40</v>
      </c>
      <c r="P4172" t="s">
        <v>40</v>
      </c>
      <c r="Q4172" t="s">
        <v>40</v>
      </c>
      <c r="S4172" t="s">
        <v>40</v>
      </c>
      <c r="V4172" t="s">
        <v>41</v>
      </c>
      <c r="W4172" t="s">
        <v>49</v>
      </c>
      <c r="X4172" t="str">
        <f>"0591907"</f>
        <v>0591907</v>
      </c>
      <c r="Y4172" t="s">
        <v>243</v>
      </c>
      <c r="Z4172" t="s">
        <v>223</v>
      </c>
      <c r="AA4172" t="s">
        <v>224</v>
      </c>
      <c r="AB4172" t="s">
        <v>131</v>
      </c>
      <c r="AC4172" t="s">
        <v>51</v>
      </c>
      <c r="AD4172" t="s">
        <v>45</v>
      </c>
      <c r="AE4172" s="1">
        <v>24501</v>
      </c>
      <c r="AF4172">
        <v>2</v>
      </c>
      <c r="AG4172" t="s">
        <v>224</v>
      </c>
      <c r="AH4172" s="36">
        <f t="shared" si="65"/>
        <v>52.655555555555559</v>
      </c>
      <c r="AI4172" s="41" t="s">
        <v>1781</v>
      </c>
    </row>
    <row r="4173" spans="1:35" x14ac:dyDescent="0.25">
      <c r="A4173" s="36">
        <v>99914171</v>
      </c>
      <c r="B4173" s="17" t="s">
        <v>32</v>
      </c>
      <c r="C4173" t="s">
        <v>52</v>
      </c>
      <c r="D4173" t="s">
        <v>53</v>
      </c>
      <c r="G4173" s="17" t="s">
        <v>48</v>
      </c>
      <c r="H4173" s="17">
        <v>1</v>
      </c>
      <c r="K4173" t="s">
        <v>223</v>
      </c>
      <c r="L4173" t="s">
        <v>224</v>
      </c>
      <c r="M4173" t="s">
        <v>131</v>
      </c>
      <c r="N4173">
        <v>18</v>
      </c>
      <c r="O4173" t="s">
        <v>40</v>
      </c>
      <c r="P4173" t="s">
        <v>40</v>
      </c>
      <c r="Q4173" t="s">
        <v>40</v>
      </c>
      <c r="S4173" t="s">
        <v>40</v>
      </c>
      <c r="V4173" t="s">
        <v>41</v>
      </c>
      <c r="W4173" t="s">
        <v>49</v>
      </c>
      <c r="X4173" t="str">
        <f>"0581206"</f>
        <v>0581206</v>
      </c>
      <c r="Y4173" t="s">
        <v>232</v>
      </c>
      <c r="Z4173" t="s">
        <v>223</v>
      </c>
      <c r="AA4173" t="s">
        <v>224</v>
      </c>
      <c r="AB4173" t="s">
        <v>131</v>
      </c>
      <c r="AC4173" t="s">
        <v>51</v>
      </c>
      <c r="AD4173" t="s">
        <v>45</v>
      </c>
      <c r="AE4173" s="1">
        <v>24501</v>
      </c>
      <c r="AF4173">
        <v>2</v>
      </c>
      <c r="AG4173" t="s">
        <v>224</v>
      </c>
      <c r="AH4173" s="36">
        <f t="shared" si="65"/>
        <v>52.655555555555559</v>
      </c>
      <c r="AI4173" s="41" t="s">
        <v>1781</v>
      </c>
    </row>
    <row r="4174" spans="1:35" x14ac:dyDescent="0.25">
      <c r="A4174" s="36">
        <v>99914172</v>
      </c>
      <c r="B4174" s="17" t="s">
        <v>32</v>
      </c>
      <c r="C4174" t="s">
        <v>82</v>
      </c>
      <c r="D4174" t="s">
        <v>83</v>
      </c>
      <c r="G4174" s="17" t="s">
        <v>48</v>
      </c>
      <c r="H4174" s="17">
        <v>1</v>
      </c>
      <c r="K4174" t="s">
        <v>223</v>
      </c>
      <c r="L4174" t="s">
        <v>224</v>
      </c>
      <c r="M4174" t="s">
        <v>131</v>
      </c>
      <c r="N4174">
        <v>20</v>
      </c>
      <c r="O4174" t="s">
        <v>40</v>
      </c>
      <c r="P4174" t="s">
        <v>40</v>
      </c>
      <c r="Q4174" t="s">
        <v>40</v>
      </c>
      <c r="R4174" t="s">
        <v>40</v>
      </c>
      <c r="S4174" t="s">
        <v>40</v>
      </c>
      <c r="V4174" t="s">
        <v>41</v>
      </c>
      <c r="W4174" t="s">
        <v>42</v>
      </c>
      <c r="X4174" t="str">
        <f>"0580200"</f>
        <v>0580200</v>
      </c>
      <c r="Y4174" t="s">
        <v>245</v>
      </c>
      <c r="Z4174" t="s">
        <v>223</v>
      </c>
      <c r="AA4174" t="s">
        <v>224</v>
      </c>
      <c r="AB4174" t="s">
        <v>131</v>
      </c>
      <c r="AC4174" t="s">
        <v>51</v>
      </c>
      <c r="AD4174" t="s">
        <v>45</v>
      </c>
      <c r="AE4174" s="1">
        <v>24499</v>
      </c>
      <c r="AF4174">
        <v>2</v>
      </c>
      <c r="AG4174" t="s">
        <v>224</v>
      </c>
      <c r="AH4174" s="36">
        <f t="shared" si="65"/>
        <v>52.661111111111111</v>
      </c>
      <c r="AI4174" s="41" t="s">
        <v>1781</v>
      </c>
    </row>
    <row r="4175" spans="1:35" x14ac:dyDescent="0.25">
      <c r="A4175" s="36">
        <v>99914173</v>
      </c>
      <c r="B4175" s="17" t="s">
        <v>32</v>
      </c>
      <c r="C4175" t="s">
        <v>90</v>
      </c>
      <c r="D4175" t="s">
        <v>91</v>
      </c>
      <c r="G4175" s="17" t="s">
        <v>35</v>
      </c>
      <c r="H4175" s="17">
        <v>1</v>
      </c>
      <c r="K4175" t="s">
        <v>985</v>
      </c>
      <c r="L4175" t="s">
        <v>986</v>
      </c>
      <c r="M4175" t="s">
        <v>938</v>
      </c>
      <c r="N4175">
        <v>20</v>
      </c>
      <c r="O4175" t="s">
        <v>40</v>
      </c>
      <c r="P4175" t="s">
        <v>40</v>
      </c>
      <c r="Q4175" t="s">
        <v>40</v>
      </c>
      <c r="S4175" t="s">
        <v>40</v>
      </c>
      <c r="V4175" t="s">
        <v>41</v>
      </c>
      <c r="W4175" t="s">
        <v>95</v>
      </c>
      <c r="X4175" t="str">
        <f>"7011011"</f>
        <v>7011011</v>
      </c>
      <c r="Y4175" t="s">
        <v>997</v>
      </c>
      <c r="Z4175" t="s">
        <v>985</v>
      </c>
      <c r="AA4175" t="s">
        <v>986</v>
      </c>
      <c r="AB4175" t="s">
        <v>938</v>
      </c>
      <c r="AC4175" t="s">
        <v>165</v>
      </c>
      <c r="AD4175" t="s">
        <v>45</v>
      </c>
      <c r="AE4175" s="1">
        <v>24499</v>
      </c>
      <c r="AF4175">
        <v>1</v>
      </c>
      <c r="AG4175" t="s">
        <v>986</v>
      </c>
      <c r="AH4175" s="36">
        <f t="shared" si="65"/>
        <v>52.661111111111111</v>
      </c>
      <c r="AI4175" s="41" t="s">
        <v>1781</v>
      </c>
    </row>
    <row r="4176" spans="1:35" x14ac:dyDescent="0.25">
      <c r="A4176" s="36">
        <v>99914174</v>
      </c>
      <c r="B4176" s="17" t="s">
        <v>56</v>
      </c>
      <c r="C4176" t="s">
        <v>46</v>
      </c>
      <c r="D4176" t="s">
        <v>47</v>
      </c>
      <c r="G4176" s="17" t="s">
        <v>48</v>
      </c>
      <c r="H4176" s="17">
        <v>1</v>
      </c>
      <c r="K4176" t="s">
        <v>1268</v>
      </c>
      <c r="L4176" t="s">
        <v>1269</v>
      </c>
      <c r="M4176" t="s">
        <v>1270</v>
      </c>
      <c r="N4176">
        <v>14</v>
      </c>
      <c r="O4176" t="s">
        <v>40</v>
      </c>
      <c r="P4176" t="s">
        <v>40</v>
      </c>
      <c r="Q4176" t="s">
        <v>40</v>
      </c>
      <c r="S4176" t="s">
        <v>40</v>
      </c>
      <c r="V4176" t="s">
        <v>41</v>
      </c>
      <c r="W4176" t="s">
        <v>49</v>
      </c>
      <c r="X4176" t="str">
        <f>"1981914"</f>
        <v>1981914</v>
      </c>
      <c r="Y4176" t="s">
        <v>1287</v>
      </c>
      <c r="Z4176" t="s">
        <v>1268</v>
      </c>
      <c r="AA4176" t="s">
        <v>1269</v>
      </c>
      <c r="AB4176" t="s">
        <v>1270</v>
      </c>
      <c r="AC4176" t="s">
        <v>51</v>
      </c>
      <c r="AD4176" t="s">
        <v>45</v>
      </c>
      <c r="AE4176" s="1">
        <v>24497</v>
      </c>
      <c r="AF4176">
        <v>2</v>
      </c>
      <c r="AG4176" t="s">
        <v>1269</v>
      </c>
      <c r="AH4176" s="36">
        <f t="shared" si="65"/>
        <v>52.666666666666664</v>
      </c>
      <c r="AI4176" s="41" t="s">
        <v>1781</v>
      </c>
    </row>
    <row r="4177" spans="1:35" x14ac:dyDescent="0.25">
      <c r="A4177" s="36">
        <v>99914175</v>
      </c>
      <c r="B4177" s="17" t="s">
        <v>32</v>
      </c>
      <c r="C4177" t="s">
        <v>71</v>
      </c>
      <c r="D4177" t="s">
        <v>72</v>
      </c>
      <c r="G4177" s="17" t="s">
        <v>35</v>
      </c>
      <c r="H4177" s="17">
        <v>1</v>
      </c>
      <c r="K4177" t="s">
        <v>154</v>
      </c>
      <c r="L4177" t="s">
        <v>155</v>
      </c>
      <c r="M4177" t="s">
        <v>131</v>
      </c>
      <c r="N4177">
        <v>21</v>
      </c>
      <c r="O4177" t="s">
        <v>40</v>
      </c>
      <c r="P4177" t="s">
        <v>40</v>
      </c>
      <c r="Q4177" t="s">
        <v>40</v>
      </c>
      <c r="S4177" t="s">
        <v>40</v>
      </c>
      <c r="V4177" t="s">
        <v>41</v>
      </c>
      <c r="W4177" t="s">
        <v>75</v>
      </c>
      <c r="X4177" t="str">
        <f>"7051032"</f>
        <v>7051032</v>
      </c>
      <c r="Y4177" t="s">
        <v>400</v>
      </c>
      <c r="Z4177" t="s">
        <v>154</v>
      </c>
      <c r="AA4177" t="s">
        <v>155</v>
      </c>
      <c r="AB4177" t="s">
        <v>131</v>
      </c>
      <c r="AC4177" t="s">
        <v>51</v>
      </c>
      <c r="AD4177" t="s">
        <v>45</v>
      </c>
      <c r="AE4177" s="1">
        <v>24496</v>
      </c>
      <c r="AF4177">
        <v>1</v>
      </c>
      <c r="AG4177" t="s">
        <v>155</v>
      </c>
      <c r="AH4177" s="36">
        <f t="shared" si="65"/>
        <v>52.669444444444444</v>
      </c>
      <c r="AI4177" s="41" t="s">
        <v>1781</v>
      </c>
    </row>
    <row r="4178" spans="1:35" x14ac:dyDescent="0.25">
      <c r="A4178" s="36">
        <v>99914176</v>
      </c>
      <c r="B4178" s="17" t="s">
        <v>32</v>
      </c>
      <c r="C4178" t="s">
        <v>111</v>
      </c>
      <c r="D4178" t="s">
        <v>112</v>
      </c>
      <c r="G4178" s="17" t="s">
        <v>35</v>
      </c>
      <c r="H4178" s="17">
        <v>15</v>
      </c>
      <c r="K4178" t="s">
        <v>268</v>
      </c>
      <c r="L4178" t="s">
        <v>269</v>
      </c>
      <c r="M4178" t="s">
        <v>131</v>
      </c>
      <c r="N4178">
        <v>21</v>
      </c>
      <c r="O4178" t="s">
        <v>40</v>
      </c>
      <c r="P4178" t="s">
        <v>40</v>
      </c>
      <c r="Q4178" t="s">
        <v>40</v>
      </c>
      <c r="R4178" t="s">
        <v>40</v>
      </c>
      <c r="S4178" t="s">
        <v>40</v>
      </c>
      <c r="V4178" t="s">
        <v>41</v>
      </c>
      <c r="W4178" t="s">
        <v>75</v>
      </c>
      <c r="X4178" t="str">
        <f>"7052002"</f>
        <v>7052002</v>
      </c>
      <c r="Y4178" t="s">
        <v>590</v>
      </c>
      <c r="Z4178" t="s">
        <v>268</v>
      </c>
      <c r="AA4178" t="s">
        <v>269</v>
      </c>
      <c r="AB4178" t="s">
        <v>131</v>
      </c>
      <c r="AC4178" t="s">
        <v>165</v>
      </c>
      <c r="AD4178" t="s">
        <v>45</v>
      </c>
      <c r="AE4178" s="1">
        <v>24484</v>
      </c>
      <c r="AF4178">
        <v>1</v>
      </c>
      <c r="AG4178" t="s">
        <v>269</v>
      </c>
      <c r="AH4178" s="36">
        <f t="shared" si="65"/>
        <v>52.702777777777776</v>
      </c>
      <c r="AI4178" s="41" t="s">
        <v>1781</v>
      </c>
    </row>
    <row r="4179" spans="1:35" x14ac:dyDescent="0.25">
      <c r="A4179" s="36">
        <v>99914177</v>
      </c>
      <c r="B4179" s="17" t="s">
        <v>32</v>
      </c>
      <c r="C4179" t="s">
        <v>52</v>
      </c>
      <c r="D4179" t="s">
        <v>53</v>
      </c>
      <c r="G4179" s="17" t="s">
        <v>48</v>
      </c>
      <c r="H4179" s="17">
        <v>1</v>
      </c>
      <c r="K4179" t="s">
        <v>162</v>
      </c>
      <c r="L4179" t="s">
        <v>158</v>
      </c>
      <c r="M4179" t="s">
        <v>131</v>
      </c>
      <c r="N4179">
        <v>19</v>
      </c>
      <c r="O4179" t="s">
        <v>40</v>
      </c>
      <c r="P4179" t="s">
        <v>40</v>
      </c>
      <c r="Q4179" t="s">
        <v>40</v>
      </c>
      <c r="S4179" t="s">
        <v>40</v>
      </c>
      <c r="V4179" t="s">
        <v>41</v>
      </c>
      <c r="W4179" t="s">
        <v>42</v>
      </c>
      <c r="X4179" t="str">
        <f>"0580330"</f>
        <v>0580330</v>
      </c>
      <c r="Y4179" t="s">
        <v>176</v>
      </c>
      <c r="Z4179" t="s">
        <v>162</v>
      </c>
      <c r="AA4179" t="s">
        <v>158</v>
      </c>
      <c r="AB4179" t="s">
        <v>131</v>
      </c>
      <c r="AC4179" t="s">
        <v>51</v>
      </c>
      <c r="AD4179" t="s">
        <v>45</v>
      </c>
      <c r="AE4179" s="1">
        <v>24484</v>
      </c>
      <c r="AF4179">
        <v>2</v>
      </c>
      <c r="AG4179" t="s">
        <v>158</v>
      </c>
      <c r="AH4179" s="36">
        <f t="shared" si="65"/>
        <v>52.702777777777776</v>
      </c>
      <c r="AI4179" s="41" t="s">
        <v>1781</v>
      </c>
    </row>
    <row r="4180" spans="1:35" x14ac:dyDescent="0.25">
      <c r="A4180" s="36">
        <v>99914178</v>
      </c>
      <c r="B4180" s="17" t="s">
        <v>32</v>
      </c>
      <c r="C4180" t="s">
        <v>139</v>
      </c>
      <c r="D4180" t="s">
        <v>140</v>
      </c>
      <c r="G4180" s="17" t="s">
        <v>35</v>
      </c>
      <c r="H4180" s="17">
        <v>1</v>
      </c>
      <c r="K4180" t="s">
        <v>223</v>
      </c>
      <c r="L4180" t="s">
        <v>224</v>
      </c>
      <c r="M4180" t="s">
        <v>131</v>
      </c>
      <c r="N4180">
        <v>21</v>
      </c>
      <c r="O4180" t="s">
        <v>40</v>
      </c>
      <c r="P4180" t="s">
        <v>40</v>
      </c>
      <c r="Q4180" t="s">
        <v>40</v>
      </c>
      <c r="R4180" t="s">
        <v>40</v>
      </c>
      <c r="S4180" t="s">
        <v>40</v>
      </c>
      <c r="V4180" t="s">
        <v>41</v>
      </c>
      <c r="W4180" t="s">
        <v>42</v>
      </c>
      <c r="X4180" t="str">
        <f>"0590902"</f>
        <v>0590902</v>
      </c>
      <c r="Y4180" t="s">
        <v>241</v>
      </c>
      <c r="Z4180" t="s">
        <v>223</v>
      </c>
      <c r="AA4180" t="s">
        <v>224</v>
      </c>
      <c r="AB4180" t="s">
        <v>131</v>
      </c>
      <c r="AC4180" t="s">
        <v>51</v>
      </c>
      <c r="AD4180" t="s">
        <v>45</v>
      </c>
      <c r="AE4180" s="1">
        <v>24483</v>
      </c>
      <c r="AF4180">
        <v>2</v>
      </c>
      <c r="AG4180" t="s">
        <v>224</v>
      </c>
      <c r="AH4180" s="36">
        <f t="shared" si="65"/>
        <v>52.705555555555556</v>
      </c>
      <c r="AI4180" s="41" t="s">
        <v>1781</v>
      </c>
    </row>
    <row r="4181" spans="1:35" x14ac:dyDescent="0.25">
      <c r="A4181" s="36">
        <v>99914179</v>
      </c>
      <c r="B4181" s="17" t="s">
        <v>56</v>
      </c>
      <c r="C4181" t="s">
        <v>111</v>
      </c>
      <c r="D4181" t="s">
        <v>112</v>
      </c>
      <c r="G4181" s="17" t="s">
        <v>48</v>
      </c>
      <c r="H4181" s="17">
        <v>11</v>
      </c>
      <c r="I4181" t="s">
        <v>447</v>
      </c>
      <c r="J4181" s="1">
        <v>40057</v>
      </c>
      <c r="K4181" t="s">
        <v>431</v>
      </c>
      <c r="L4181" t="s">
        <v>196</v>
      </c>
      <c r="M4181" t="s">
        <v>131</v>
      </c>
      <c r="N4181">
        <v>22</v>
      </c>
      <c r="O4181" t="s">
        <v>40</v>
      </c>
      <c r="P4181" t="s">
        <v>40</v>
      </c>
      <c r="Q4181" t="s">
        <v>40</v>
      </c>
      <c r="R4181" t="s">
        <v>40</v>
      </c>
      <c r="S4181" t="s">
        <v>40</v>
      </c>
      <c r="U4181" s="1">
        <v>40057</v>
      </c>
      <c r="V4181" t="s">
        <v>41</v>
      </c>
      <c r="W4181" t="s">
        <v>75</v>
      </c>
      <c r="X4181" t="str">
        <f>"7521012"</f>
        <v>7521012</v>
      </c>
      <c r="Y4181" t="s">
        <v>432</v>
      </c>
      <c r="Z4181" t="s">
        <v>431</v>
      </c>
      <c r="AA4181" t="s">
        <v>196</v>
      </c>
      <c r="AB4181" t="s">
        <v>131</v>
      </c>
      <c r="AC4181" t="s">
        <v>165</v>
      </c>
      <c r="AD4181" t="s">
        <v>45</v>
      </c>
      <c r="AE4181" s="1">
        <v>24480</v>
      </c>
      <c r="AF4181">
        <v>1</v>
      </c>
      <c r="AG4181" t="s">
        <v>196</v>
      </c>
      <c r="AH4181" s="36">
        <f t="shared" si="65"/>
        <v>52.713888888888889</v>
      </c>
      <c r="AI4181" s="41" t="s">
        <v>1781</v>
      </c>
    </row>
    <row r="4182" spans="1:35" x14ac:dyDescent="0.25">
      <c r="A4182" s="36">
        <v>99914180</v>
      </c>
      <c r="B4182" s="17" t="s">
        <v>32</v>
      </c>
      <c r="C4182" t="s">
        <v>79</v>
      </c>
      <c r="D4182" t="s">
        <v>80</v>
      </c>
      <c r="G4182" s="17" t="s">
        <v>48</v>
      </c>
      <c r="H4182" s="17">
        <v>1</v>
      </c>
      <c r="K4182" t="s">
        <v>223</v>
      </c>
      <c r="L4182" t="s">
        <v>224</v>
      </c>
      <c r="M4182" t="s">
        <v>131</v>
      </c>
      <c r="N4182">
        <v>18</v>
      </c>
      <c r="O4182" t="s">
        <v>40</v>
      </c>
      <c r="P4182" t="s">
        <v>40</v>
      </c>
      <c r="Q4182" t="s">
        <v>40</v>
      </c>
      <c r="R4182" t="s">
        <v>40</v>
      </c>
      <c r="S4182" t="s">
        <v>40</v>
      </c>
      <c r="V4182" t="s">
        <v>41</v>
      </c>
      <c r="W4182" t="s">
        <v>75</v>
      </c>
      <c r="X4182" t="str">
        <f>"7052008"</f>
        <v>7052008</v>
      </c>
      <c r="Y4182" t="s">
        <v>274</v>
      </c>
      <c r="Z4182" t="s">
        <v>268</v>
      </c>
      <c r="AA4182" t="s">
        <v>269</v>
      </c>
      <c r="AB4182" t="s">
        <v>131</v>
      </c>
      <c r="AC4182" t="s">
        <v>51</v>
      </c>
      <c r="AD4182" t="s">
        <v>45</v>
      </c>
      <c r="AE4182" s="1">
        <v>24478</v>
      </c>
      <c r="AF4182">
        <v>2</v>
      </c>
      <c r="AG4182" t="s">
        <v>224</v>
      </c>
      <c r="AH4182" s="36">
        <f t="shared" si="65"/>
        <v>52.719444444444441</v>
      </c>
      <c r="AI4182" s="41" t="s">
        <v>1781</v>
      </c>
    </row>
    <row r="4183" spans="1:35" x14ac:dyDescent="0.25">
      <c r="A4183" s="36">
        <v>99914181</v>
      </c>
      <c r="B4183" s="17" t="s">
        <v>56</v>
      </c>
      <c r="C4183" t="s">
        <v>79</v>
      </c>
      <c r="D4183" t="s">
        <v>80</v>
      </c>
      <c r="G4183" s="17" t="s">
        <v>35</v>
      </c>
      <c r="H4183" s="17">
        <v>1</v>
      </c>
      <c r="J4183" s="1">
        <v>38230</v>
      </c>
      <c r="K4183" t="s">
        <v>1336</v>
      </c>
      <c r="L4183" t="s">
        <v>1337</v>
      </c>
      <c r="M4183" t="s">
        <v>1270</v>
      </c>
      <c r="N4183">
        <v>11</v>
      </c>
      <c r="O4183" t="s">
        <v>40</v>
      </c>
      <c r="P4183" t="s">
        <v>40</v>
      </c>
      <c r="Q4183" t="s">
        <v>40</v>
      </c>
      <c r="R4183" t="s">
        <v>40</v>
      </c>
      <c r="S4183" t="s">
        <v>40</v>
      </c>
      <c r="U4183" s="1">
        <v>38230</v>
      </c>
      <c r="V4183" t="s">
        <v>41</v>
      </c>
      <c r="W4183" t="s">
        <v>42</v>
      </c>
      <c r="X4183" t="str">
        <f>"4475070"</f>
        <v>4475070</v>
      </c>
      <c r="Y4183" t="s">
        <v>1338</v>
      </c>
      <c r="Z4183" t="s">
        <v>1336</v>
      </c>
      <c r="AA4183" t="s">
        <v>1337</v>
      </c>
      <c r="AB4183" t="s">
        <v>1270</v>
      </c>
      <c r="AC4183" t="s">
        <v>51</v>
      </c>
      <c r="AD4183" t="s">
        <v>45</v>
      </c>
      <c r="AE4183" s="1">
        <v>24478</v>
      </c>
      <c r="AF4183">
        <v>2</v>
      </c>
      <c r="AG4183" t="s">
        <v>1337</v>
      </c>
      <c r="AH4183" s="36">
        <f t="shared" si="65"/>
        <v>52.719444444444441</v>
      </c>
      <c r="AI4183" s="41" t="s">
        <v>1781</v>
      </c>
    </row>
    <row r="4184" spans="1:35" x14ac:dyDescent="0.25">
      <c r="A4184" s="36">
        <v>99914182</v>
      </c>
      <c r="B4184" s="17" t="s">
        <v>32</v>
      </c>
      <c r="C4184" t="s">
        <v>64</v>
      </c>
      <c r="D4184" t="s">
        <v>65</v>
      </c>
      <c r="G4184" s="17" t="s">
        <v>48</v>
      </c>
      <c r="H4184" s="17">
        <v>1</v>
      </c>
      <c r="K4184" t="s">
        <v>129</v>
      </c>
      <c r="L4184" t="s">
        <v>130</v>
      </c>
      <c r="M4184" t="s">
        <v>131</v>
      </c>
      <c r="N4184">
        <v>18</v>
      </c>
      <c r="O4184" t="s">
        <v>40</v>
      </c>
      <c r="P4184" t="s">
        <v>40</v>
      </c>
      <c r="Q4184" t="s">
        <v>40</v>
      </c>
      <c r="R4184" t="s">
        <v>40</v>
      </c>
      <c r="S4184" t="s">
        <v>40</v>
      </c>
      <c r="V4184" t="s">
        <v>41</v>
      </c>
      <c r="W4184" t="s">
        <v>49</v>
      </c>
      <c r="X4184" t="str">
        <f>"0591905"</f>
        <v>0591905</v>
      </c>
      <c r="Y4184" t="s">
        <v>135</v>
      </c>
      <c r="Z4184" t="s">
        <v>129</v>
      </c>
      <c r="AA4184" t="s">
        <v>130</v>
      </c>
      <c r="AB4184" t="s">
        <v>131</v>
      </c>
      <c r="AC4184" t="s">
        <v>51</v>
      </c>
      <c r="AD4184" t="s">
        <v>45</v>
      </c>
      <c r="AE4184" s="1">
        <v>24477</v>
      </c>
      <c r="AF4184">
        <v>2</v>
      </c>
      <c r="AG4184" t="s">
        <v>130</v>
      </c>
      <c r="AH4184" s="36">
        <f t="shared" si="65"/>
        <v>52.722222222222221</v>
      </c>
      <c r="AI4184" s="41" t="s">
        <v>1781</v>
      </c>
    </row>
    <row r="4185" spans="1:35" x14ac:dyDescent="0.25">
      <c r="A4185" s="36">
        <v>99914183</v>
      </c>
      <c r="B4185" s="17" t="s">
        <v>56</v>
      </c>
      <c r="C4185" t="s">
        <v>111</v>
      </c>
      <c r="D4185" t="s">
        <v>112</v>
      </c>
      <c r="G4185" s="17" t="s">
        <v>35</v>
      </c>
      <c r="H4185" s="17">
        <v>1</v>
      </c>
      <c r="I4185" t="s">
        <v>1112</v>
      </c>
      <c r="J4185" s="1">
        <v>43344</v>
      </c>
      <c r="K4185" t="s">
        <v>1081</v>
      </c>
      <c r="L4185" t="s">
        <v>1082</v>
      </c>
      <c r="M4185" t="s">
        <v>1053</v>
      </c>
      <c r="N4185">
        <v>21</v>
      </c>
      <c r="O4185" t="s">
        <v>40</v>
      </c>
      <c r="S4185" t="s">
        <v>40</v>
      </c>
      <c r="U4185" s="1">
        <v>43344</v>
      </c>
      <c r="V4185" t="s">
        <v>41</v>
      </c>
      <c r="W4185" t="s">
        <v>75</v>
      </c>
      <c r="X4185" t="str">
        <f>"7201000"</f>
        <v>7201000</v>
      </c>
      <c r="Y4185" t="s">
        <v>1088</v>
      </c>
      <c r="Z4185" t="s">
        <v>1081</v>
      </c>
      <c r="AA4185" t="s">
        <v>1082</v>
      </c>
      <c r="AB4185" t="s">
        <v>1053</v>
      </c>
      <c r="AC4185" t="s">
        <v>51</v>
      </c>
      <c r="AD4185" t="s">
        <v>45</v>
      </c>
      <c r="AE4185" s="1">
        <v>24477</v>
      </c>
      <c r="AF4185">
        <v>1</v>
      </c>
      <c r="AG4185" t="s">
        <v>1082</v>
      </c>
      <c r="AH4185" s="36">
        <f t="shared" si="65"/>
        <v>52.722222222222221</v>
      </c>
      <c r="AI4185" s="41" t="s">
        <v>1781</v>
      </c>
    </row>
    <row r="4186" spans="1:35" x14ac:dyDescent="0.25">
      <c r="A4186" s="36">
        <v>99914184</v>
      </c>
      <c r="B4186" s="17" t="s">
        <v>56</v>
      </c>
      <c r="C4186" t="s">
        <v>79</v>
      </c>
      <c r="D4186" t="s">
        <v>80</v>
      </c>
      <c r="G4186" s="17" t="s">
        <v>48</v>
      </c>
      <c r="H4186" s="17">
        <v>1</v>
      </c>
      <c r="K4186" t="s">
        <v>223</v>
      </c>
      <c r="L4186" t="s">
        <v>224</v>
      </c>
      <c r="M4186" t="s">
        <v>131</v>
      </c>
      <c r="N4186">
        <v>21</v>
      </c>
      <c r="O4186" t="s">
        <v>40</v>
      </c>
      <c r="P4186" t="s">
        <v>40</v>
      </c>
      <c r="Q4186" t="s">
        <v>40</v>
      </c>
      <c r="S4186" t="s">
        <v>40</v>
      </c>
      <c r="V4186" t="s">
        <v>41</v>
      </c>
      <c r="W4186" t="s">
        <v>42</v>
      </c>
      <c r="X4186" t="str">
        <f>"0580265"</f>
        <v>0580265</v>
      </c>
      <c r="Y4186" t="s">
        <v>231</v>
      </c>
      <c r="Z4186" t="s">
        <v>223</v>
      </c>
      <c r="AA4186" t="s">
        <v>224</v>
      </c>
      <c r="AB4186" t="s">
        <v>131</v>
      </c>
      <c r="AC4186" t="s">
        <v>51</v>
      </c>
      <c r="AD4186" t="s">
        <v>45</v>
      </c>
      <c r="AE4186" s="1">
        <v>24474</v>
      </c>
      <c r="AF4186">
        <v>2</v>
      </c>
      <c r="AG4186" t="s">
        <v>224</v>
      </c>
      <c r="AH4186" s="36">
        <f t="shared" si="65"/>
        <v>52.730555555555554</v>
      </c>
      <c r="AI4186" s="41" t="s">
        <v>1781</v>
      </c>
    </row>
    <row r="4187" spans="1:35" x14ac:dyDescent="0.25">
      <c r="A4187" s="36">
        <v>99914185</v>
      </c>
      <c r="B4187" s="17" t="s">
        <v>56</v>
      </c>
      <c r="C4187" t="s">
        <v>46</v>
      </c>
      <c r="D4187" t="s">
        <v>47</v>
      </c>
      <c r="G4187" s="17" t="s">
        <v>48</v>
      </c>
      <c r="H4187" s="17">
        <v>1</v>
      </c>
      <c r="K4187" t="s">
        <v>129</v>
      </c>
      <c r="L4187" t="s">
        <v>130</v>
      </c>
      <c r="M4187" t="s">
        <v>131</v>
      </c>
      <c r="N4187">
        <v>18</v>
      </c>
      <c r="O4187" t="s">
        <v>40</v>
      </c>
      <c r="P4187" t="s">
        <v>40</v>
      </c>
      <c r="Q4187" t="s">
        <v>40</v>
      </c>
      <c r="R4187" t="s">
        <v>40</v>
      </c>
      <c r="S4187" t="s">
        <v>40</v>
      </c>
      <c r="V4187" t="s">
        <v>41</v>
      </c>
      <c r="W4187" t="s">
        <v>49</v>
      </c>
      <c r="X4187" t="str">
        <f>"0591905"</f>
        <v>0591905</v>
      </c>
      <c r="Y4187" t="s">
        <v>135</v>
      </c>
      <c r="Z4187" t="s">
        <v>129</v>
      </c>
      <c r="AA4187" t="s">
        <v>130</v>
      </c>
      <c r="AB4187" t="s">
        <v>131</v>
      </c>
      <c r="AC4187" t="s">
        <v>51</v>
      </c>
      <c r="AD4187" t="s">
        <v>45</v>
      </c>
      <c r="AE4187" s="1">
        <v>24473</v>
      </c>
      <c r="AF4187">
        <v>2</v>
      </c>
      <c r="AG4187" t="s">
        <v>130</v>
      </c>
      <c r="AH4187" s="36">
        <f t="shared" si="65"/>
        <v>52.733333333333334</v>
      </c>
      <c r="AI4187" s="41" t="s">
        <v>1781</v>
      </c>
    </row>
    <row r="4188" spans="1:35" x14ac:dyDescent="0.25">
      <c r="A4188" s="36">
        <v>99914186</v>
      </c>
      <c r="B4188" s="17" t="s">
        <v>32</v>
      </c>
      <c r="C4188" t="s">
        <v>64</v>
      </c>
      <c r="D4188" t="s">
        <v>65</v>
      </c>
      <c r="G4188" s="17" t="s">
        <v>35</v>
      </c>
      <c r="H4188" s="17">
        <v>1</v>
      </c>
      <c r="K4188" t="s">
        <v>162</v>
      </c>
      <c r="L4188" t="s">
        <v>158</v>
      </c>
      <c r="M4188" t="s">
        <v>131</v>
      </c>
      <c r="N4188">
        <v>18</v>
      </c>
      <c r="O4188" t="s">
        <v>40</v>
      </c>
      <c r="P4188" t="s">
        <v>40</v>
      </c>
      <c r="Q4188" t="s">
        <v>40</v>
      </c>
      <c r="R4188" t="s">
        <v>40</v>
      </c>
      <c r="S4188" t="s">
        <v>40</v>
      </c>
      <c r="V4188" t="s">
        <v>41</v>
      </c>
      <c r="W4188" t="s">
        <v>49</v>
      </c>
      <c r="X4188" t="str">
        <f>"0505050"</f>
        <v>0505050</v>
      </c>
      <c r="Y4188" t="s">
        <v>163</v>
      </c>
      <c r="Z4188" t="s">
        <v>162</v>
      </c>
      <c r="AA4188" t="s">
        <v>158</v>
      </c>
      <c r="AB4188" t="s">
        <v>131</v>
      </c>
      <c r="AC4188" t="s">
        <v>165</v>
      </c>
      <c r="AD4188" t="s">
        <v>45</v>
      </c>
      <c r="AE4188" s="1">
        <v>24473</v>
      </c>
      <c r="AF4188">
        <v>2</v>
      </c>
      <c r="AG4188" t="s">
        <v>158</v>
      </c>
      <c r="AH4188" s="36">
        <f t="shared" si="65"/>
        <v>52.733333333333334</v>
      </c>
      <c r="AI4188" s="41" t="s">
        <v>1781</v>
      </c>
    </row>
    <row r="4189" spans="1:35" x14ac:dyDescent="0.25">
      <c r="A4189" s="36">
        <v>99914187</v>
      </c>
      <c r="B4189" s="17" t="s">
        <v>32</v>
      </c>
      <c r="C4189" t="s">
        <v>143</v>
      </c>
      <c r="D4189" t="s">
        <v>144</v>
      </c>
      <c r="G4189" s="17" t="s">
        <v>48</v>
      </c>
      <c r="H4189" s="17">
        <v>1</v>
      </c>
      <c r="K4189" t="s">
        <v>157</v>
      </c>
      <c r="L4189" t="s">
        <v>158</v>
      </c>
      <c r="M4189" t="s">
        <v>131</v>
      </c>
      <c r="N4189">
        <v>8</v>
      </c>
      <c r="O4189" t="s">
        <v>40</v>
      </c>
      <c r="P4189" t="s">
        <v>40</v>
      </c>
      <c r="Q4189" t="s">
        <v>40</v>
      </c>
      <c r="R4189" t="s">
        <v>40</v>
      </c>
      <c r="S4189" t="s">
        <v>40</v>
      </c>
      <c r="V4189" t="s">
        <v>41</v>
      </c>
      <c r="W4189" t="s">
        <v>42</v>
      </c>
      <c r="X4189" t="str">
        <f>"0580735"</f>
        <v>0580735</v>
      </c>
      <c r="Y4189" t="s">
        <v>180</v>
      </c>
      <c r="Z4189" t="s">
        <v>157</v>
      </c>
      <c r="AA4189" t="s">
        <v>158</v>
      </c>
      <c r="AB4189" t="s">
        <v>131</v>
      </c>
      <c r="AC4189" t="s">
        <v>51</v>
      </c>
      <c r="AD4189" t="s">
        <v>45</v>
      </c>
      <c r="AE4189" s="1">
        <v>24473</v>
      </c>
      <c r="AF4189">
        <v>2</v>
      </c>
      <c r="AG4189" t="s">
        <v>158</v>
      </c>
      <c r="AH4189" s="36">
        <f t="shared" si="65"/>
        <v>52.733333333333334</v>
      </c>
      <c r="AI4189" s="41" t="s">
        <v>1781</v>
      </c>
    </row>
    <row r="4190" spans="1:35" x14ac:dyDescent="0.25">
      <c r="A4190" s="36">
        <v>99914188</v>
      </c>
      <c r="B4190" s="17" t="s">
        <v>32</v>
      </c>
      <c r="C4190" t="s">
        <v>141</v>
      </c>
      <c r="D4190" t="s">
        <v>142</v>
      </c>
      <c r="G4190" s="17" t="s">
        <v>48</v>
      </c>
      <c r="H4190" s="17">
        <v>1</v>
      </c>
      <c r="K4190" t="s">
        <v>223</v>
      </c>
      <c r="L4190" t="s">
        <v>224</v>
      </c>
      <c r="M4190" t="s">
        <v>131</v>
      </c>
      <c r="N4190">
        <v>3</v>
      </c>
      <c r="O4190" t="s">
        <v>40</v>
      </c>
      <c r="P4190" t="s">
        <v>40</v>
      </c>
      <c r="Q4190" t="s">
        <v>40</v>
      </c>
      <c r="R4190" t="s">
        <v>40</v>
      </c>
      <c r="S4190" t="s">
        <v>40</v>
      </c>
      <c r="V4190" t="s">
        <v>41</v>
      </c>
      <c r="W4190" t="s">
        <v>49</v>
      </c>
      <c r="X4190" t="str">
        <f>"0560030"</f>
        <v>0560030</v>
      </c>
      <c r="Y4190" t="s">
        <v>244</v>
      </c>
      <c r="Z4190" t="s">
        <v>223</v>
      </c>
      <c r="AA4190" t="s">
        <v>224</v>
      </c>
      <c r="AB4190" t="s">
        <v>131</v>
      </c>
      <c r="AC4190" t="s">
        <v>51</v>
      </c>
      <c r="AD4190" t="s">
        <v>45</v>
      </c>
      <c r="AE4190" s="1">
        <v>24473</v>
      </c>
      <c r="AF4190">
        <v>2</v>
      </c>
      <c r="AG4190" t="s">
        <v>224</v>
      </c>
      <c r="AH4190" s="36">
        <f t="shared" si="65"/>
        <v>52.733333333333334</v>
      </c>
      <c r="AI4190" s="41" t="s">
        <v>1781</v>
      </c>
    </row>
    <row r="4191" spans="1:35" x14ac:dyDescent="0.25">
      <c r="A4191" s="36">
        <v>99914189</v>
      </c>
      <c r="B4191" s="17" t="s">
        <v>32</v>
      </c>
      <c r="C4191" t="s">
        <v>46</v>
      </c>
      <c r="D4191" t="s">
        <v>47</v>
      </c>
      <c r="G4191" s="17" t="s">
        <v>48</v>
      </c>
      <c r="H4191" s="17">
        <v>1</v>
      </c>
      <c r="K4191" t="s">
        <v>300</v>
      </c>
      <c r="L4191" t="s">
        <v>301</v>
      </c>
      <c r="M4191" t="s">
        <v>131</v>
      </c>
      <c r="N4191">
        <v>21</v>
      </c>
      <c r="O4191" t="s">
        <v>40</v>
      </c>
      <c r="P4191" t="s">
        <v>40</v>
      </c>
      <c r="Q4191" t="s">
        <v>40</v>
      </c>
      <c r="R4191" t="s">
        <v>40</v>
      </c>
      <c r="S4191" t="s">
        <v>40</v>
      </c>
      <c r="V4191" t="s">
        <v>41</v>
      </c>
      <c r="W4191" t="s">
        <v>42</v>
      </c>
      <c r="X4191" t="str">
        <f>"0580106"</f>
        <v>0580106</v>
      </c>
      <c r="Y4191" t="s">
        <v>306</v>
      </c>
      <c r="Z4191" t="s">
        <v>300</v>
      </c>
      <c r="AA4191" t="s">
        <v>301</v>
      </c>
      <c r="AB4191" t="s">
        <v>131</v>
      </c>
      <c r="AC4191" t="s">
        <v>51</v>
      </c>
      <c r="AD4191" t="s">
        <v>45</v>
      </c>
      <c r="AE4191" s="1">
        <v>24473</v>
      </c>
      <c r="AF4191">
        <v>2</v>
      </c>
      <c r="AG4191" t="s">
        <v>301</v>
      </c>
      <c r="AH4191" s="36">
        <f t="shared" si="65"/>
        <v>52.733333333333334</v>
      </c>
      <c r="AI4191" s="41" t="s">
        <v>1781</v>
      </c>
    </row>
    <row r="4192" spans="1:35" x14ac:dyDescent="0.25">
      <c r="A4192" s="36">
        <v>99914190</v>
      </c>
      <c r="B4192" s="17" t="s">
        <v>32</v>
      </c>
      <c r="C4192" t="s">
        <v>46</v>
      </c>
      <c r="D4192" t="s">
        <v>47</v>
      </c>
      <c r="G4192" s="17" t="s">
        <v>48</v>
      </c>
      <c r="H4192" s="17">
        <v>1</v>
      </c>
      <c r="K4192" t="s">
        <v>300</v>
      </c>
      <c r="L4192" t="s">
        <v>301</v>
      </c>
      <c r="M4192" t="s">
        <v>131</v>
      </c>
      <c r="N4192">
        <v>20</v>
      </c>
      <c r="O4192" t="s">
        <v>40</v>
      </c>
      <c r="P4192" t="s">
        <v>40</v>
      </c>
      <c r="Q4192" t="s">
        <v>40</v>
      </c>
      <c r="R4192" t="s">
        <v>40</v>
      </c>
      <c r="S4192" t="s">
        <v>40</v>
      </c>
      <c r="V4192" t="s">
        <v>41</v>
      </c>
      <c r="W4192" t="s">
        <v>49</v>
      </c>
      <c r="X4192" t="str">
        <f>"0560020"</f>
        <v>0560020</v>
      </c>
      <c r="Y4192" t="s">
        <v>302</v>
      </c>
      <c r="Z4192" t="s">
        <v>300</v>
      </c>
      <c r="AA4192" t="s">
        <v>301</v>
      </c>
      <c r="AB4192" t="s">
        <v>131</v>
      </c>
      <c r="AC4192" t="s">
        <v>51</v>
      </c>
      <c r="AD4192" t="s">
        <v>45</v>
      </c>
      <c r="AE4192" s="1">
        <v>24473</v>
      </c>
      <c r="AF4192">
        <v>2</v>
      </c>
      <c r="AG4192" t="s">
        <v>301</v>
      </c>
      <c r="AH4192" s="36">
        <f t="shared" si="65"/>
        <v>52.733333333333334</v>
      </c>
      <c r="AI4192" s="41" t="s">
        <v>1781</v>
      </c>
    </row>
    <row r="4193" spans="1:35" x14ac:dyDescent="0.25">
      <c r="A4193" s="36">
        <v>99914191</v>
      </c>
      <c r="B4193" s="17" t="s">
        <v>32</v>
      </c>
      <c r="C4193" t="s">
        <v>117</v>
      </c>
      <c r="D4193" t="s">
        <v>118</v>
      </c>
      <c r="G4193" s="17" t="s">
        <v>35</v>
      </c>
      <c r="H4193" s="17">
        <v>1</v>
      </c>
      <c r="I4193" t="s">
        <v>348</v>
      </c>
      <c r="J4193" s="1">
        <v>43344</v>
      </c>
      <c r="K4193" t="s">
        <v>345</v>
      </c>
      <c r="L4193" t="s">
        <v>346</v>
      </c>
      <c r="M4193" t="s">
        <v>131</v>
      </c>
      <c r="N4193">
        <v>23</v>
      </c>
      <c r="O4193" t="s">
        <v>40</v>
      </c>
      <c r="P4193" t="s">
        <v>40</v>
      </c>
      <c r="Q4193" t="s">
        <v>40</v>
      </c>
      <c r="R4193" t="s">
        <v>40</v>
      </c>
      <c r="S4193" t="s">
        <v>40</v>
      </c>
      <c r="U4193" s="1">
        <v>43344</v>
      </c>
      <c r="V4193" t="s">
        <v>41</v>
      </c>
      <c r="W4193" t="s">
        <v>49</v>
      </c>
      <c r="X4193" t="str">
        <f>"0581155"</f>
        <v>0581155</v>
      </c>
      <c r="Y4193" t="s">
        <v>349</v>
      </c>
      <c r="Z4193" t="s">
        <v>345</v>
      </c>
      <c r="AA4193" t="s">
        <v>346</v>
      </c>
      <c r="AB4193" t="s">
        <v>131</v>
      </c>
      <c r="AC4193" t="s">
        <v>51</v>
      </c>
      <c r="AD4193" t="s">
        <v>45</v>
      </c>
      <c r="AE4193" s="1">
        <v>24473</v>
      </c>
      <c r="AF4193">
        <v>2</v>
      </c>
      <c r="AG4193" t="s">
        <v>346</v>
      </c>
      <c r="AH4193" s="36">
        <f t="shared" si="65"/>
        <v>52.733333333333334</v>
      </c>
      <c r="AI4193" s="41" t="s">
        <v>1781</v>
      </c>
    </row>
    <row r="4194" spans="1:35" x14ac:dyDescent="0.25">
      <c r="A4194" s="36">
        <v>99914192</v>
      </c>
      <c r="B4194" s="17" t="s">
        <v>32</v>
      </c>
      <c r="C4194" t="s">
        <v>46</v>
      </c>
      <c r="D4194" t="s">
        <v>47</v>
      </c>
      <c r="G4194" s="17" t="s">
        <v>48</v>
      </c>
      <c r="H4194" s="17">
        <v>1</v>
      </c>
      <c r="K4194" t="s">
        <v>345</v>
      </c>
      <c r="L4194" t="s">
        <v>346</v>
      </c>
      <c r="M4194" t="s">
        <v>131</v>
      </c>
      <c r="N4194">
        <v>18</v>
      </c>
      <c r="O4194" t="s">
        <v>40</v>
      </c>
      <c r="P4194" t="s">
        <v>40</v>
      </c>
      <c r="Q4194" t="s">
        <v>40</v>
      </c>
      <c r="R4194" t="s">
        <v>40</v>
      </c>
      <c r="S4194" t="s">
        <v>40</v>
      </c>
      <c r="V4194" t="s">
        <v>41</v>
      </c>
      <c r="W4194" t="s">
        <v>42</v>
      </c>
      <c r="X4194" t="str">
        <f>"0590906"</f>
        <v>0590906</v>
      </c>
      <c r="Y4194" t="s">
        <v>361</v>
      </c>
      <c r="Z4194" t="s">
        <v>345</v>
      </c>
      <c r="AA4194" t="s">
        <v>346</v>
      </c>
      <c r="AB4194" t="s">
        <v>131</v>
      </c>
      <c r="AC4194" t="s">
        <v>51</v>
      </c>
      <c r="AD4194" t="s">
        <v>45</v>
      </c>
      <c r="AE4194" s="1">
        <v>24473</v>
      </c>
      <c r="AF4194">
        <v>2</v>
      </c>
      <c r="AG4194" t="s">
        <v>346</v>
      </c>
      <c r="AH4194" s="36">
        <f t="shared" si="65"/>
        <v>52.733333333333334</v>
      </c>
      <c r="AI4194" s="41" t="s">
        <v>1781</v>
      </c>
    </row>
    <row r="4195" spans="1:35" x14ac:dyDescent="0.25">
      <c r="A4195" s="36">
        <v>99914193</v>
      </c>
      <c r="B4195" s="17" t="s">
        <v>56</v>
      </c>
      <c r="C4195" t="s">
        <v>68</v>
      </c>
      <c r="D4195" t="s">
        <v>69</v>
      </c>
      <c r="G4195" s="17" t="s">
        <v>35</v>
      </c>
      <c r="H4195" s="17">
        <v>1</v>
      </c>
      <c r="I4195" t="s">
        <v>348</v>
      </c>
      <c r="J4195" s="1">
        <v>43344</v>
      </c>
      <c r="K4195" t="s">
        <v>345</v>
      </c>
      <c r="L4195" t="s">
        <v>346</v>
      </c>
      <c r="M4195" t="s">
        <v>131</v>
      </c>
      <c r="N4195">
        <v>20</v>
      </c>
      <c r="O4195" t="s">
        <v>40</v>
      </c>
      <c r="P4195" t="s">
        <v>40</v>
      </c>
      <c r="Q4195" t="s">
        <v>40</v>
      </c>
      <c r="R4195" t="s">
        <v>40</v>
      </c>
      <c r="S4195" t="s">
        <v>40</v>
      </c>
      <c r="U4195" s="1">
        <v>43344</v>
      </c>
      <c r="V4195" t="s">
        <v>41</v>
      </c>
      <c r="W4195" t="s">
        <v>49</v>
      </c>
      <c r="X4195" t="str">
        <f>"0581155"</f>
        <v>0581155</v>
      </c>
      <c r="Y4195" t="s">
        <v>349</v>
      </c>
      <c r="Z4195" t="s">
        <v>345</v>
      </c>
      <c r="AA4195" t="s">
        <v>346</v>
      </c>
      <c r="AB4195" t="s">
        <v>131</v>
      </c>
      <c r="AC4195" t="s">
        <v>51</v>
      </c>
      <c r="AD4195" t="s">
        <v>45</v>
      </c>
      <c r="AE4195" s="1">
        <v>24473</v>
      </c>
      <c r="AF4195">
        <v>2</v>
      </c>
      <c r="AG4195" t="s">
        <v>346</v>
      </c>
      <c r="AH4195" s="36">
        <f t="shared" si="65"/>
        <v>52.733333333333334</v>
      </c>
      <c r="AI4195" s="41" t="s">
        <v>1781</v>
      </c>
    </row>
    <row r="4196" spans="1:35" x14ac:dyDescent="0.25">
      <c r="A4196" s="36">
        <v>99914194</v>
      </c>
      <c r="B4196" s="17" t="s">
        <v>32</v>
      </c>
      <c r="C4196" t="s">
        <v>33</v>
      </c>
      <c r="D4196" t="s">
        <v>34</v>
      </c>
      <c r="G4196" s="17" t="s">
        <v>35</v>
      </c>
      <c r="H4196" s="17">
        <v>1</v>
      </c>
      <c r="I4196">
        <v>17327</v>
      </c>
      <c r="J4196" s="1">
        <v>43346</v>
      </c>
      <c r="K4196" t="s">
        <v>345</v>
      </c>
      <c r="L4196" t="s">
        <v>346</v>
      </c>
      <c r="M4196" t="s">
        <v>131</v>
      </c>
      <c r="N4196">
        <v>9</v>
      </c>
      <c r="O4196" t="s">
        <v>40</v>
      </c>
      <c r="P4196" t="s">
        <v>40</v>
      </c>
      <c r="Q4196" t="s">
        <v>40</v>
      </c>
      <c r="R4196" t="s">
        <v>40</v>
      </c>
      <c r="S4196" t="s">
        <v>40</v>
      </c>
      <c r="U4196" s="1">
        <v>43346</v>
      </c>
      <c r="V4196" t="s">
        <v>41</v>
      </c>
      <c r="W4196" t="s">
        <v>42</v>
      </c>
      <c r="X4196" t="str">
        <f>"0561019"</f>
        <v>0561019</v>
      </c>
      <c r="Y4196" t="s">
        <v>351</v>
      </c>
      <c r="Z4196" t="s">
        <v>345</v>
      </c>
      <c r="AA4196" t="s">
        <v>346</v>
      </c>
      <c r="AB4196" t="s">
        <v>131</v>
      </c>
      <c r="AC4196" t="s">
        <v>55</v>
      </c>
      <c r="AD4196" t="s">
        <v>45</v>
      </c>
      <c r="AE4196" s="1">
        <v>24473</v>
      </c>
      <c r="AF4196">
        <v>2</v>
      </c>
      <c r="AG4196" t="s">
        <v>346</v>
      </c>
      <c r="AH4196" s="36">
        <f t="shared" si="65"/>
        <v>52.733333333333334</v>
      </c>
      <c r="AI4196" s="41" t="s">
        <v>1781</v>
      </c>
    </row>
    <row r="4197" spans="1:35" x14ac:dyDescent="0.25">
      <c r="A4197" s="36">
        <v>99914195</v>
      </c>
      <c r="B4197" s="17" t="s">
        <v>56</v>
      </c>
      <c r="C4197" t="s">
        <v>52</v>
      </c>
      <c r="D4197" t="s">
        <v>53</v>
      </c>
      <c r="G4197" s="17" t="s">
        <v>48</v>
      </c>
      <c r="H4197" s="17">
        <v>1</v>
      </c>
      <c r="K4197" t="s">
        <v>380</v>
      </c>
      <c r="L4197" t="s">
        <v>381</v>
      </c>
      <c r="M4197" t="s">
        <v>131</v>
      </c>
      <c r="N4197">
        <v>20</v>
      </c>
      <c r="O4197" t="s">
        <v>40</v>
      </c>
      <c r="P4197" t="s">
        <v>40</v>
      </c>
      <c r="Q4197" t="s">
        <v>40</v>
      </c>
      <c r="R4197" t="s">
        <v>40</v>
      </c>
      <c r="S4197" t="s">
        <v>40</v>
      </c>
      <c r="V4197" t="s">
        <v>41</v>
      </c>
      <c r="W4197" t="s">
        <v>42</v>
      </c>
      <c r="X4197" t="str">
        <f>"0561010"</f>
        <v>0561010</v>
      </c>
      <c r="Y4197" t="s">
        <v>387</v>
      </c>
      <c r="Z4197" t="s">
        <v>380</v>
      </c>
      <c r="AA4197" t="s">
        <v>381</v>
      </c>
      <c r="AB4197" t="s">
        <v>131</v>
      </c>
      <c r="AC4197" t="s">
        <v>51</v>
      </c>
      <c r="AD4197" t="s">
        <v>45</v>
      </c>
      <c r="AE4197" s="1">
        <v>24473</v>
      </c>
      <c r="AF4197">
        <v>2</v>
      </c>
      <c r="AG4197" t="s">
        <v>381</v>
      </c>
      <c r="AH4197" s="36">
        <f t="shared" si="65"/>
        <v>52.733333333333334</v>
      </c>
      <c r="AI4197" s="41" t="s">
        <v>1781</v>
      </c>
    </row>
    <row r="4198" spans="1:35" x14ac:dyDescent="0.25">
      <c r="A4198" s="36">
        <v>99914196</v>
      </c>
      <c r="B4198" s="17" t="s">
        <v>32</v>
      </c>
      <c r="C4198" t="s">
        <v>139</v>
      </c>
      <c r="D4198" t="s">
        <v>140</v>
      </c>
      <c r="G4198" s="17" t="s">
        <v>35</v>
      </c>
      <c r="H4198" s="17">
        <v>1</v>
      </c>
      <c r="K4198" t="s">
        <v>268</v>
      </c>
      <c r="L4198" t="s">
        <v>269</v>
      </c>
      <c r="M4198" t="s">
        <v>131</v>
      </c>
      <c r="N4198">
        <v>4</v>
      </c>
      <c r="O4198" t="s">
        <v>40</v>
      </c>
      <c r="P4198" t="s">
        <v>40</v>
      </c>
      <c r="Q4198" t="s">
        <v>40</v>
      </c>
      <c r="R4198" t="s">
        <v>40</v>
      </c>
      <c r="S4198" t="s">
        <v>40</v>
      </c>
      <c r="V4198" t="s">
        <v>41</v>
      </c>
      <c r="W4198" t="s">
        <v>75</v>
      </c>
      <c r="X4198" t="str">
        <f>"7052010"</f>
        <v>7052010</v>
      </c>
      <c r="Y4198" t="s">
        <v>615</v>
      </c>
      <c r="Z4198" t="s">
        <v>268</v>
      </c>
      <c r="AA4198" t="s">
        <v>269</v>
      </c>
      <c r="AB4198" t="s">
        <v>131</v>
      </c>
      <c r="AC4198" t="s">
        <v>51</v>
      </c>
      <c r="AD4198" t="s">
        <v>45</v>
      </c>
      <c r="AE4198" s="1">
        <v>24473</v>
      </c>
      <c r="AF4198">
        <v>1</v>
      </c>
      <c r="AG4198" t="s">
        <v>269</v>
      </c>
      <c r="AH4198" s="36">
        <f t="shared" si="65"/>
        <v>52.733333333333334</v>
      </c>
      <c r="AI4198" s="41" t="s">
        <v>1781</v>
      </c>
    </row>
    <row r="4199" spans="1:35" x14ac:dyDescent="0.25">
      <c r="A4199" s="36">
        <v>99914197</v>
      </c>
      <c r="B4199" s="17" t="s">
        <v>32</v>
      </c>
      <c r="C4199" t="s">
        <v>61</v>
      </c>
      <c r="D4199" t="s">
        <v>62</v>
      </c>
      <c r="G4199" s="17" t="s">
        <v>35</v>
      </c>
      <c r="H4199" s="17">
        <v>1</v>
      </c>
      <c r="I4199" t="s">
        <v>286</v>
      </c>
      <c r="J4199" s="1">
        <v>43344</v>
      </c>
      <c r="K4199" t="s">
        <v>268</v>
      </c>
      <c r="L4199" t="s">
        <v>269</v>
      </c>
      <c r="M4199" t="s">
        <v>131</v>
      </c>
      <c r="N4199">
        <v>11</v>
      </c>
      <c r="O4199" t="s">
        <v>40</v>
      </c>
      <c r="P4199" t="s">
        <v>40</v>
      </c>
      <c r="Q4199" t="s">
        <v>40</v>
      </c>
      <c r="R4199" t="s">
        <v>40</v>
      </c>
      <c r="S4199" t="s">
        <v>40</v>
      </c>
      <c r="U4199" s="1">
        <v>43344</v>
      </c>
      <c r="V4199" t="s">
        <v>41</v>
      </c>
      <c r="W4199" t="s">
        <v>75</v>
      </c>
      <c r="X4199" t="str">
        <f>"7052018"</f>
        <v>7052018</v>
      </c>
      <c r="Y4199" t="s">
        <v>577</v>
      </c>
      <c r="Z4199" t="s">
        <v>268</v>
      </c>
      <c r="AA4199" t="s">
        <v>269</v>
      </c>
      <c r="AB4199" t="s">
        <v>131</v>
      </c>
      <c r="AC4199" t="s">
        <v>51</v>
      </c>
      <c r="AD4199" t="s">
        <v>45</v>
      </c>
      <c r="AE4199" s="1">
        <v>24473</v>
      </c>
      <c r="AF4199">
        <v>1</v>
      </c>
      <c r="AG4199" t="s">
        <v>269</v>
      </c>
      <c r="AH4199" s="36">
        <f t="shared" si="65"/>
        <v>52.733333333333334</v>
      </c>
      <c r="AI4199" s="41" t="s">
        <v>1781</v>
      </c>
    </row>
    <row r="4200" spans="1:35" x14ac:dyDescent="0.25">
      <c r="A4200" s="36">
        <v>99914198</v>
      </c>
      <c r="B4200" s="17" t="s">
        <v>56</v>
      </c>
      <c r="C4200" t="s">
        <v>79</v>
      </c>
      <c r="D4200" t="s">
        <v>80</v>
      </c>
      <c r="G4200" s="17" t="s">
        <v>35</v>
      </c>
      <c r="H4200" s="17">
        <v>1</v>
      </c>
      <c r="I4200">
        <v>14194</v>
      </c>
      <c r="J4200" s="1">
        <v>43344</v>
      </c>
      <c r="K4200" t="s">
        <v>354</v>
      </c>
      <c r="L4200" t="s">
        <v>355</v>
      </c>
      <c r="M4200" t="s">
        <v>131</v>
      </c>
      <c r="N4200">
        <v>12</v>
      </c>
      <c r="O4200" t="s">
        <v>40</v>
      </c>
      <c r="S4200" t="s">
        <v>40</v>
      </c>
      <c r="U4200" s="1">
        <v>43344</v>
      </c>
      <c r="V4200" t="s">
        <v>41</v>
      </c>
      <c r="W4200" t="s">
        <v>75</v>
      </c>
      <c r="X4200" t="str">
        <f>"7054028"</f>
        <v>7054028</v>
      </c>
      <c r="Y4200" t="s">
        <v>788</v>
      </c>
      <c r="Z4200" t="s">
        <v>354</v>
      </c>
      <c r="AA4200" t="s">
        <v>355</v>
      </c>
      <c r="AB4200" t="s">
        <v>131</v>
      </c>
      <c r="AC4200" t="s">
        <v>51</v>
      </c>
      <c r="AD4200" t="s">
        <v>45</v>
      </c>
      <c r="AE4200" s="1">
        <v>24473</v>
      </c>
      <c r="AF4200">
        <v>1</v>
      </c>
      <c r="AG4200" t="s">
        <v>355</v>
      </c>
      <c r="AH4200" s="36">
        <f t="shared" si="65"/>
        <v>52.733333333333334</v>
      </c>
      <c r="AI4200" s="41" t="s">
        <v>1781</v>
      </c>
    </row>
    <row r="4201" spans="1:35" x14ac:dyDescent="0.25">
      <c r="A4201" s="36">
        <v>99914199</v>
      </c>
      <c r="B4201" s="17" t="s">
        <v>32</v>
      </c>
      <c r="C4201" t="s">
        <v>111</v>
      </c>
      <c r="D4201" t="s">
        <v>112</v>
      </c>
      <c r="G4201" s="17" t="s">
        <v>35</v>
      </c>
      <c r="H4201" s="17">
        <v>1</v>
      </c>
      <c r="I4201" t="s">
        <v>827</v>
      </c>
      <c r="J4201" s="1">
        <v>43344</v>
      </c>
      <c r="K4201" t="s">
        <v>354</v>
      </c>
      <c r="L4201" t="s">
        <v>355</v>
      </c>
      <c r="M4201" t="s">
        <v>131</v>
      </c>
      <c r="N4201">
        <v>21</v>
      </c>
      <c r="O4201" t="s">
        <v>40</v>
      </c>
      <c r="S4201" t="s">
        <v>40</v>
      </c>
      <c r="U4201" s="1">
        <v>43344</v>
      </c>
      <c r="V4201" t="s">
        <v>41</v>
      </c>
      <c r="W4201" t="s">
        <v>75</v>
      </c>
      <c r="X4201" t="str">
        <f>"7054024"</f>
        <v>7054024</v>
      </c>
      <c r="Y4201" t="s">
        <v>793</v>
      </c>
      <c r="Z4201" t="s">
        <v>354</v>
      </c>
      <c r="AA4201" t="s">
        <v>355</v>
      </c>
      <c r="AB4201" t="s">
        <v>131</v>
      </c>
      <c r="AC4201" t="s">
        <v>51</v>
      </c>
      <c r="AD4201" t="s">
        <v>45</v>
      </c>
      <c r="AE4201" s="1">
        <v>24473</v>
      </c>
      <c r="AF4201">
        <v>1</v>
      </c>
      <c r="AG4201" t="s">
        <v>355</v>
      </c>
      <c r="AH4201" s="36">
        <f t="shared" si="65"/>
        <v>52.733333333333334</v>
      </c>
      <c r="AI4201" s="41" t="s">
        <v>1781</v>
      </c>
    </row>
    <row r="4202" spans="1:35" x14ac:dyDescent="0.25">
      <c r="A4202" s="36">
        <v>99914200</v>
      </c>
      <c r="B4202" s="17" t="s">
        <v>32</v>
      </c>
      <c r="C4202" t="s">
        <v>141</v>
      </c>
      <c r="D4202" t="s">
        <v>142</v>
      </c>
      <c r="G4202" s="17" t="s">
        <v>35</v>
      </c>
      <c r="H4202" s="17">
        <v>1</v>
      </c>
      <c r="I4202">
        <v>731</v>
      </c>
      <c r="J4202" s="1">
        <v>43344</v>
      </c>
      <c r="K4202" t="s">
        <v>354</v>
      </c>
      <c r="L4202" t="s">
        <v>355</v>
      </c>
      <c r="M4202" t="s">
        <v>131</v>
      </c>
      <c r="N4202">
        <v>21</v>
      </c>
      <c r="O4202" t="s">
        <v>40</v>
      </c>
      <c r="S4202" t="s">
        <v>40</v>
      </c>
      <c r="U4202" s="1">
        <v>43344</v>
      </c>
      <c r="V4202" t="s">
        <v>41</v>
      </c>
      <c r="W4202" t="s">
        <v>75</v>
      </c>
      <c r="X4202" t="str">
        <f>"7054032"</f>
        <v>7054032</v>
      </c>
      <c r="Y4202" t="s">
        <v>767</v>
      </c>
      <c r="Z4202" t="s">
        <v>354</v>
      </c>
      <c r="AA4202" t="s">
        <v>355</v>
      </c>
      <c r="AB4202" t="s">
        <v>131</v>
      </c>
      <c r="AC4202" t="s">
        <v>51</v>
      </c>
      <c r="AD4202" t="s">
        <v>45</v>
      </c>
      <c r="AE4202" s="1">
        <v>24473</v>
      </c>
      <c r="AF4202">
        <v>1</v>
      </c>
      <c r="AG4202" t="s">
        <v>355</v>
      </c>
      <c r="AH4202" s="36">
        <f t="shared" si="65"/>
        <v>52.733333333333334</v>
      </c>
      <c r="AI4202" s="41" t="s">
        <v>1781</v>
      </c>
    </row>
    <row r="4203" spans="1:35" x14ac:dyDescent="0.25">
      <c r="A4203" s="36">
        <v>99914201</v>
      </c>
      <c r="B4203" s="17" t="s">
        <v>32</v>
      </c>
      <c r="C4203" t="s">
        <v>79</v>
      </c>
      <c r="D4203" t="s">
        <v>80</v>
      </c>
      <c r="G4203" s="17" t="s">
        <v>35</v>
      </c>
      <c r="H4203" s="17">
        <v>1</v>
      </c>
      <c r="K4203" t="s">
        <v>877</v>
      </c>
      <c r="L4203" t="s">
        <v>878</v>
      </c>
      <c r="M4203" t="s">
        <v>131</v>
      </c>
      <c r="N4203">
        <v>13</v>
      </c>
      <c r="O4203" t="s">
        <v>40</v>
      </c>
      <c r="P4203" t="s">
        <v>40</v>
      </c>
      <c r="Q4203" t="s">
        <v>40</v>
      </c>
      <c r="R4203" t="s">
        <v>40</v>
      </c>
      <c r="S4203" t="s">
        <v>40</v>
      </c>
      <c r="V4203" t="s">
        <v>41</v>
      </c>
      <c r="W4203" t="s">
        <v>75</v>
      </c>
      <c r="X4203" t="str">
        <f>"7700025"</f>
        <v>7700025</v>
      </c>
      <c r="Y4203" t="s">
        <v>880</v>
      </c>
      <c r="Z4203" t="s">
        <v>877</v>
      </c>
      <c r="AA4203" t="s">
        <v>878</v>
      </c>
      <c r="AB4203" t="s">
        <v>131</v>
      </c>
      <c r="AC4203" t="s">
        <v>51</v>
      </c>
      <c r="AD4203" t="s">
        <v>45</v>
      </c>
      <c r="AE4203" s="1">
        <v>24473</v>
      </c>
      <c r="AF4203">
        <v>1</v>
      </c>
      <c r="AG4203" t="s">
        <v>878</v>
      </c>
      <c r="AH4203" s="36">
        <f t="shared" si="65"/>
        <v>52.733333333333334</v>
      </c>
      <c r="AI4203" s="41" t="s">
        <v>1781</v>
      </c>
    </row>
    <row r="4204" spans="1:35" x14ac:dyDescent="0.25">
      <c r="A4204" s="36">
        <v>99914202</v>
      </c>
      <c r="B4204" s="17" t="s">
        <v>56</v>
      </c>
      <c r="C4204" t="s">
        <v>82</v>
      </c>
      <c r="D4204" t="s">
        <v>83</v>
      </c>
      <c r="G4204" s="17" t="s">
        <v>35</v>
      </c>
      <c r="H4204" s="17">
        <v>1</v>
      </c>
      <c r="K4204" t="s">
        <v>947</v>
      </c>
      <c r="L4204" t="s">
        <v>948</v>
      </c>
      <c r="M4204" t="s">
        <v>938</v>
      </c>
      <c r="N4204">
        <v>8</v>
      </c>
      <c r="O4204" t="s">
        <v>40</v>
      </c>
      <c r="P4204" t="s">
        <v>40</v>
      </c>
      <c r="Q4204" t="s">
        <v>40</v>
      </c>
      <c r="R4204" t="s">
        <v>40</v>
      </c>
      <c r="S4204" t="s">
        <v>40</v>
      </c>
      <c r="V4204" t="s">
        <v>41</v>
      </c>
      <c r="W4204" t="s">
        <v>49</v>
      </c>
      <c r="X4204" t="str">
        <f>"0605000"</f>
        <v>0605000</v>
      </c>
      <c r="Y4204" t="s">
        <v>950</v>
      </c>
      <c r="Z4204" t="s">
        <v>947</v>
      </c>
      <c r="AA4204" t="s">
        <v>948</v>
      </c>
      <c r="AB4204" t="s">
        <v>938</v>
      </c>
      <c r="AC4204" t="s">
        <v>51</v>
      </c>
      <c r="AD4204" t="s">
        <v>45</v>
      </c>
      <c r="AE4204" s="1">
        <v>24473</v>
      </c>
      <c r="AF4204">
        <v>2</v>
      </c>
      <c r="AG4204" t="s">
        <v>948</v>
      </c>
      <c r="AH4204" s="36">
        <f t="shared" si="65"/>
        <v>52.733333333333334</v>
      </c>
      <c r="AI4204" s="41" t="s">
        <v>1781</v>
      </c>
    </row>
    <row r="4205" spans="1:35" x14ac:dyDescent="0.25">
      <c r="A4205" s="36">
        <v>99914203</v>
      </c>
      <c r="B4205" s="17" t="s">
        <v>56</v>
      </c>
      <c r="C4205" t="s">
        <v>85</v>
      </c>
      <c r="D4205" t="s">
        <v>86</v>
      </c>
      <c r="G4205" s="17" t="s">
        <v>35</v>
      </c>
      <c r="H4205" s="17">
        <v>1</v>
      </c>
      <c r="K4205" t="s">
        <v>1268</v>
      </c>
      <c r="L4205" t="s">
        <v>1269</v>
      </c>
      <c r="M4205" t="s">
        <v>1270</v>
      </c>
      <c r="N4205">
        <v>23</v>
      </c>
      <c r="O4205" t="s">
        <v>40</v>
      </c>
      <c r="P4205" t="s">
        <v>40</v>
      </c>
      <c r="Q4205" t="s">
        <v>40</v>
      </c>
      <c r="R4205" t="s">
        <v>40</v>
      </c>
      <c r="S4205" t="s">
        <v>40</v>
      </c>
      <c r="V4205" t="s">
        <v>41</v>
      </c>
      <c r="W4205" t="s">
        <v>49</v>
      </c>
      <c r="X4205" t="str">
        <f>"1981914"</f>
        <v>1981914</v>
      </c>
      <c r="Y4205" t="s">
        <v>1287</v>
      </c>
      <c r="Z4205" t="s">
        <v>1268</v>
      </c>
      <c r="AA4205" t="s">
        <v>1269</v>
      </c>
      <c r="AB4205" t="s">
        <v>1270</v>
      </c>
      <c r="AC4205" t="s">
        <v>51</v>
      </c>
      <c r="AD4205" t="s">
        <v>45</v>
      </c>
      <c r="AE4205" s="1">
        <v>24473</v>
      </c>
      <c r="AF4205">
        <v>2</v>
      </c>
      <c r="AG4205" t="s">
        <v>1269</v>
      </c>
      <c r="AH4205" s="36">
        <f t="shared" si="65"/>
        <v>52.733333333333334</v>
      </c>
      <c r="AI4205" s="41" t="s">
        <v>1781</v>
      </c>
    </row>
    <row r="4206" spans="1:35" x14ac:dyDescent="0.25">
      <c r="A4206" s="36">
        <v>99914204</v>
      </c>
      <c r="B4206" s="17" t="s">
        <v>32</v>
      </c>
      <c r="C4206" t="s">
        <v>64</v>
      </c>
      <c r="D4206" t="s">
        <v>65</v>
      </c>
      <c r="G4206" s="17" t="s">
        <v>35</v>
      </c>
      <c r="H4206" s="17">
        <v>1</v>
      </c>
      <c r="K4206" t="s">
        <v>1268</v>
      </c>
      <c r="L4206" t="s">
        <v>1269</v>
      </c>
      <c r="M4206" t="s">
        <v>1270</v>
      </c>
      <c r="N4206">
        <v>20</v>
      </c>
      <c r="O4206" t="s">
        <v>40</v>
      </c>
      <c r="P4206" t="s">
        <v>40</v>
      </c>
      <c r="Q4206" t="s">
        <v>40</v>
      </c>
      <c r="R4206" t="s">
        <v>40</v>
      </c>
      <c r="S4206" t="s">
        <v>40</v>
      </c>
      <c r="V4206" t="s">
        <v>41</v>
      </c>
      <c r="W4206" t="s">
        <v>42</v>
      </c>
      <c r="X4206" t="str">
        <f>"1990001"</f>
        <v>1990001</v>
      </c>
      <c r="Y4206" t="s">
        <v>1294</v>
      </c>
      <c r="Z4206" t="s">
        <v>1268</v>
      </c>
      <c r="AA4206" t="s">
        <v>1269</v>
      </c>
      <c r="AB4206" t="s">
        <v>1270</v>
      </c>
      <c r="AC4206" t="s">
        <v>51</v>
      </c>
      <c r="AD4206" t="s">
        <v>45</v>
      </c>
      <c r="AE4206" s="1">
        <v>24473</v>
      </c>
      <c r="AF4206">
        <v>2</v>
      </c>
      <c r="AG4206" t="s">
        <v>1269</v>
      </c>
      <c r="AH4206" s="36">
        <f t="shared" si="65"/>
        <v>52.733333333333334</v>
      </c>
      <c r="AI4206" s="41" t="s">
        <v>1781</v>
      </c>
    </row>
    <row r="4207" spans="1:35" x14ac:dyDescent="0.25">
      <c r="A4207" s="36">
        <v>99914205</v>
      </c>
      <c r="B4207" s="17" t="s">
        <v>32</v>
      </c>
      <c r="C4207" t="s">
        <v>90</v>
      </c>
      <c r="D4207" t="s">
        <v>91</v>
      </c>
      <c r="G4207" s="17" t="s">
        <v>35</v>
      </c>
      <c r="H4207" s="17">
        <v>1</v>
      </c>
      <c r="I4207">
        <v>195</v>
      </c>
      <c r="J4207" s="1">
        <v>37497</v>
      </c>
      <c r="K4207" t="s">
        <v>1341</v>
      </c>
      <c r="L4207" t="s">
        <v>1342</v>
      </c>
      <c r="M4207" t="s">
        <v>1270</v>
      </c>
      <c r="N4207">
        <v>20</v>
      </c>
      <c r="O4207" t="s">
        <v>40</v>
      </c>
      <c r="P4207" t="s">
        <v>40</v>
      </c>
      <c r="Q4207" t="s">
        <v>40</v>
      </c>
      <c r="R4207" t="s">
        <v>40</v>
      </c>
      <c r="S4207" t="s">
        <v>40</v>
      </c>
      <c r="U4207" s="1">
        <v>37497</v>
      </c>
      <c r="V4207" t="s">
        <v>41</v>
      </c>
      <c r="W4207" t="s">
        <v>95</v>
      </c>
      <c r="X4207" t="str">
        <f>"7191047"</f>
        <v>7191047</v>
      </c>
      <c r="Y4207" t="s">
        <v>1396</v>
      </c>
      <c r="Z4207" t="s">
        <v>1341</v>
      </c>
      <c r="AA4207" t="s">
        <v>1342</v>
      </c>
      <c r="AB4207" t="s">
        <v>1270</v>
      </c>
      <c r="AC4207" t="s">
        <v>165</v>
      </c>
      <c r="AD4207" t="s">
        <v>45</v>
      </c>
      <c r="AE4207" s="1">
        <v>24473</v>
      </c>
      <c r="AF4207">
        <v>1</v>
      </c>
      <c r="AG4207" t="s">
        <v>1342</v>
      </c>
      <c r="AH4207" s="36">
        <f t="shared" si="65"/>
        <v>52.733333333333334</v>
      </c>
      <c r="AI4207" s="41" t="s">
        <v>1781</v>
      </c>
    </row>
    <row r="4208" spans="1:35" x14ac:dyDescent="0.25">
      <c r="A4208" s="36">
        <v>99914206</v>
      </c>
      <c r="B4208" s="17" t="s">
        <v>32</v>
      </c>
      <c r="C4208" t="s">
        <v>117</v>
      </c>
      <c r="D4208" t="s">
        <v>118</v>
      </c>
      <c r="G4208" s="17" t="s">
        <v>35</v>
      </c>
      <c r="H4208" s="17">
        <v>1</v>
      </c>
      <c r="I4208" s="1">
        <v>40057</v>
      </c>
      <c r="J4208" s="1">
        <v>43344</v>
      </c>
      <c r="K4208" t="s">
        <v>1341</v>
      </c>
      <c r="L4208" t="s">
        <v>1342</v>
      </c>
      <c r="M4208" t="s">
        <v>1270</v>
      </c>
      <c r="N4208">
        <v>24</v>
      </c>
      <c r="O4208" t="s">
        <v>40</v>
      </c>
      <c r="P4208" t="s">
        <v>40</v>
      </c>
      <c r="Q4208" t="s">
        <v>40</v>
      </c>
      <c r="R4208" t="s">
        <v>40</v>
      </c>
      <c r="S4208" t="s">
        <v>40</v>
      </c>
      <c r="U4208" s="1">
        <v>43344</v>
      </c>
      <c r="V4208" t="s">
        <v>41</v>
      </c>
      <c r="W4208" t="s">
        <v>75</v>
      </c>
      <c r="X4208" t="str">
        <f>"7191000"</f>
        <v>7191000</v>
      </c>
      <c r="Y4208" t="s">
        <v>1347</v>
      </c>
      <c r="Z4208" t="s">
        <v>1341</v>
      </c>
      <c r="AA4208" t="s">
        <v>1342</v>
      </c>
      <c r="AB4208" t="s">
        <v>1270</v>
      </c>
      <c r="AC4208" t="s">
        <v>51</v>
      </c>
      <c r="AD4208" t="s">
        <v>45</v>
      </c>
      <c r="AE4208" s="1">
        <v>24473</v>
      </c>
      <c r="AF4208">
        <v>1</v>
      </c>
      <c r="AG4208" t="s">
        <v>1342</v>
      </c>
      <c r="AH4208" s="36">
        <f t="shared" si="65"/>
        <v>52.733333333333334</v>
      </c>
      <c r="AI4208" s="41" t="s">
        <v>1781</v>
      </c>
    </row>
    <row r="4209" spans="1:35" x14ac:dyDescent="0.25">
      <c r="A4209" s="36">
        <v>99914207</v>
      </c>
      <c r="B4209" s="17" t="s">
        <v>32</v>
      </c>
      <c r="C4209" t="s">
        <v>58</v>
      </c>
      <c r="D4209" t="s">
        <v>59</v>
      </c>
      <c r="G4209" s="17" t="s">
        <v>48</v>
      </c>
      <c r="H4209" s="17">
        <v>1</v>
      </c>
      <c r="K4209" t="s">
        <v>1496</v>
      </c>
      <c r="L4209" t="s">
        <v>1497</v>
      </c>
      <c r="M4209" t="s">
        <v>670</v>
      </c>
      <c r="N4209">
        <v>21</v>
      </c>
      <c r="O4209" t="s">
        <v>40</v>
      </c>
      <c r="P4209" t="s">
        <v>40</v>
      </c>
      <c r="Q4209" t="s">
        <v>40</v>
      </c>
      <c r="R4209" t="s">
        <v>40</v>
      </c>
      <c r="S4209" t="s">
        <v>40</v>
      </c>
      <c r="V4209" t="s">
        <v>41</v>
      </c>
      <c r="W4209" t="s">
        <v>42</v>
      </c>
      <c r="X4209" t="str">
        <f>"5080015"</f>
        <v>5080015</v>
      </c>
      <c r="Y4209" t="s">
        <v>1498</v>
      </c>
      <c r="Z4209" t="s">
        <v>1496</v>
      </c>
      <c r="AA4209" t="s">
        <v>1497</v>
      </c>
      <c r="AB4209" t="s">
        <v>670</v>
      </c>
      <c r="AC4209" t="s">
        <v>51</v>
      </c>
      <c r="AD4209" t="s">
        <v>45</v>
      </c>
      <c r="AE4209" s="1">
        <v>24473</v>
      </c>
      <c r="AF4209">
        <v>2</v>
      </c>
      <c r="AG4209" t="s">
        <v>1497</v>
      </c>
      <c r="AH4209" s="36">
        <f t="shared" si="65"/>
        <v>52.733333333333334</v>
      </c>
      <c r="AI4209" s="41" t="s">
        <v>1781</v>
      </c>
    </row>
    <row r="4210" spans="1:35" x14ac:dyDescent="0.25">
      <c r="A4210" s="36">
        <v>99914208</v>
      </c>
      <c r="B4210" s="17" t="s">
        <v>56</v>
      </c>
      <c r="C4210" t="s">
        <v>52</v>
      </c>
      <c r="D4210" t="s">
        <v>53</v>
      </c>
      <c r="G4210" s="17" t="s">
        <v>48</v>
      </c>
      <c r="H4210" s="17">
        <v>1</v>
      </c>
      <c r="K4210" t="s">
        <v>1613</v>
      </c>
      <c r="L4210" t="s">
        <v>1614</v>
      </c>
      <c r="M4210" t="s">
        <v>1592</v>
      </c>
      <c r="N4210">
        <v>9</v>
      </c>
      <c r="O4210" t="s">
        <v>40</v>
      </c>
      <c r="P4210" t="s">
        <v>40</v>
      </c>
      <c r="Q4210" t="s">
        <v>40</v>
      </c>
      <c r="R4210" t="s">
        <v>40</v>
      </c>
      <c r="S4210" t="s">
        <v>40</v>
      </c>
      <c r="V4210" t="s">
        <v>41</v>
      </c>
      <c r="W4210" t="s">
        <v>42</v>
      </c>
      <c r="X4210" t="str">
        <f>"2861001"</f>
        <v>2861001</v>
      </c>
      <c r="Y4210" t="s">
        <v>1621</v>
      </c>
      <c r="Z4210" t="s">
        <v>1613</v>
      </c>
      <c r="AA4210" t="s">
        <v>1614</v>
      </c>
      <c r="AB4210" t="s">
        <v>1592</v>
      </c>
      <c r="AC4210" t="s">
        <v>51</v>
      </c>
      <c r="AD4210" t="s">
        <v>45</v>
      </c>
      <c r="AE4210" s="1">
        <v>24473</v>
      </c>
      <c r="AF4210">
        <v>2</v>
      </c>
      <c r="AG4210" t="s">
        <v>1614</v>
      </c>
      <c r="AH4210" s="36">
        <f t="shared" si="65"/>
        <v>52.733333333333334</v>
      </c>
      <c r="AI4210" s="41" t="s">
        <v>1781</v>
      </c>
    </row>
    <row r="4211" spans="1:35" x14ac:dyDescent="0.25">
      <c r="A4211" s="36">
        <v>99914209</v>
      </c>
      <c r="B4211" s="17" t="s">
        <v>32</v>
      </c>
      <c r="C4211" t="s">
        <v>79</v>
      </c>
      <c r="D4211" t="s">
        <v>80</v>
      </c>
      <c r="G4211" s="17" t="s">
        <v>35</v>
      </c>
      <c r="H4211" s="17">
        <v>4</v>
      </c>
      <c r="K4211" t="s">
        <v>1619</v>
      </c>
      <c r="L4211" t="s">
        <v>1620</v>
      </c>
      <c r="M4211" t="s">
        <v>1592</v>
      </c>
      <c r="N4211">
        <v>15</v>
      </c>
      <c r="O4211" t="s">
        <v>40</v>
      </c>
      <c r="P4211" t="s">
        <v>40</v>
      </c>
      <c r="Q4211" t="s">
        <v>40</v>
      </c>
      <c r="R4211" t="s">
        <v>40</v>
      </c>
      <c r="S4211" t="s">
        <v>40</v>
      </c>
      <c r="V4211" t="s">
        <v>41</v>
      </c>
      <c r="W4211" t="s">
        <v>75</v>
      </c>
      <c r="X4211" t="str">
        <f>"7281000"</f>
        <v>7281000</v>
      </c>
      <c r="Y4211" t="s">
        <v>1648</v>
      </c>
      <c r="Z4211" t="s">
        <v>1619</v>
      </c>
      <c r="AA4211" t="s">
        <v>1620</v>
      </c>
      <c r="AB4211" t="s">
        <v>1592</v>
      </c>
      <c r="AC4211" t="s">
        <v>51</v>
      </c>
      <c r="AD4211" t="s">
        <v>45</v>
      </c>
      <c r="AE4211" s="1">
        <v>24473</v>
      </c>
      <c r="AF4211">
        <v>1</v>
      </c>
      <c r="AG4211" t="s">
        <v>1620</v>
      </c>
      <c r="AH4211" s="36">
        <f t="shared" si="65"/>
        <v>52.733333333333334</v>
      </c>
      <c r="AI4211" s="41" t="s">
        <v>1781</v>
      </c>
    </row>
    <row r="4212" spans="1:35" x14ac:dyDescent="0.25">
      <c r="A4212" s="36">
        <v>99914210</v>
      </c>
      <c r="B4212" s="17" t="s">
        <v>56</v>
      </c>
      <c r="C4212" t="s">
        <v>68</v>
      </c>
      <c r="D4212" t="s">
        <v>69</v>
      </c>
      <c r="G4212" s="17" t="s">
        <v>48</v>
      </c>
      <c r="H4212" s="17">
        <v>1</v>
      </c>
      <c r="K4212" t="s">
        <v>129</v>
      </c>
      <c r="L4212" t="s">
        <v>130</v>
      </c>
      <c r="M4212" t="s">
        <v>131</v>
      </c>
      <c r="N4212">
        <v>21</v>
      </c>
      <c r="O4212" t="s">
        <v>40</v>
      </c>
      <c r="P4212" t="s">
        <v>40</v>
      </c>
      <c r="Q4212" t="s">
        <v>40</v>
      </c>
      <c r="S4212" t="s">
        <v>40</v>
      </c>
      <c r="V4212" t="s">
        <v>41</v>
      </c>
      <c r="W4212" t="s">
        <v>42</v>
      </c>
      <c r="X4212" t="str">
        <f>"0580715"</f>
        <v>0580715</v>
      </c>
      <c r="Y4212" t="s">
        <v>147</v>
      </c>
      <c r="Z4212" t="s">
        <v>129</v>
      </c>
      <c r="AA4212" t="s">
        <v>130</v>
      </c>
      <c r="AB4212" t="s">
        <v>131</v>
      </c>
      <c r="AC4212" t="s">
        <v>51</v>
      </c>
      <c r="AD4212" t="s">
        <v>45</v>
      </c>
      <c r="AE4212" s="1">
        <v>24465</v>
      </c>
      <c r="AF4212">
        <v>2</v>
      </c>
      <c r="AG4212" t="s">
        <v>130</v>
      </c>
      <c r="AH4212" s="36">
        <f t="shared" si="65"/>
        <v>52.755555555555553</v>
      </c>
      <c r="AI4212" s="41" t="s">
        <v>1781</v>
      </c>
    </row>
    <row r="4213" spans="1:35" x14ac:dyDescent="0.25">
      <c r="A4213" s="36">
        <v>99914211</v>
      </c>
      <c r="B4213" s="17" t="s">
        <v>32</v>
      </c>
      <c r="C4213" t="s">
        <v>52</v>
      </c>
      <c r="D4213" t="s">
        <v>53</v>
      </c>
      <c r="G4213" s="17" t="s">
        <v>48</v>
      </c>
      <c r="H4213" s="17">
        <v>1</v>
      </c>
      <c r="K4213" t="s">
        <v>223</v>
      </c>
      <c r="L4213" t="s">
        <v>224</v>
      </c>
      <c r="M4213" t="s">
        <v>131</v>
      </c>
      <c r="N4213">
        <v>20</v>
      </c>
      <c r="O4213" t="s">
        <v>40</v>
      </c>
      <c r="P4213" t="s">
        <v>40</v>
      </c>
      <c r="Q4213" t="s">
        <v>40</v>
      </c>
      <c r="S4213" t="s">
        <v>40</v>
      </c>
      <c r="V4213" t="s">
        <v>41</v>
      </c>
      <c r="W4213" t="s">
        <v>49</v>
      </c>
      <c r="X4213" t="str">
        <f>"0581204"</f>
        <v>0581204</v>
      </c>
      <c r="Y4213" t="s">
        <v>249</v>
      </c>
      <c r="Z4213" t="s">
        <v>223</v>
      </c>
      <c r="AA4213" t="s">
        <v>224</v>
      </c>
      <c r="AB4213" t="s">
        <v>131</v>
      </c>
      <c r="AC4213" t="s">
        <v>51</v>
      </c>
      <c r="AD4213" t="s">
        <v>45</v>
      </c>
      <c r="AE4213" s="1">
        <v>24463</v>
      </c>
      <c r="AF4213">
        <v>2</v>
      </c>
      <c r="AG4213" t="s">
        <v>224</v>
      </c>
      <c r="AH4213" s="36">
        <f t="shared" si="65"/>
        <v>52.761111111111113</v>
      </c>
      <c r="AI4213" s="41" t="s">
        <v>1781</v>
      </c>
    </row>
    <row r="4214" spans="1:35" x14ac:dyDescent="0.25">
      <c r="A4214" s="36">
        <v>99914212</v>
      </c>
      <c r="B4214" s="17" t="s">
        <v>32</v>
      </c>
      <c r="C4214" t="s">
        <v>46</v>
      </c>
      <c r="D4214" t="s">
        <v>47</v>
      </c>
      <c r="G4214" s="17" t="s">
        <v>48</v>
      </c>
      <c r="H4214" s="17">
        <v>1</v>
      </c>
      <c r="K4214" t="s">
        <v>1268</v>
      </c>
      <c r="L4214" t="s">
        <v>1269</v>
      </c>
      <c r="M4214" t="s">
        <v>1270</v>
      </c>
      <c r="N4214">
        <v>18</v>
      </c>
      <c r="O4214" t="s">
        <v>40</v>
      </c>
      <c r="P4214" t="s">
        <v>40</v>
      </c>
      <c r="Q4214" t="s">
        <v>40</v>
      </c>
      <c r="R4214" t="s">
        <v>40</v>
      </c>
      <c r="S4214" t="s">
        <v>40</v>
      </c>
      <c r="V4214" t="s">
        <v>41</v>
      </c>
      <c r="W4214" t="s">
        <v>49</v>
      </c>
      <c r="X4214" t="str">
        <f>"1981912"</f>
        <v>1981912</v>
      </c>
      <c r="Y4214" t="s">
        <v>1279</v>
      </c>
      <c r="Z4214" t="s">
        <v>1268</v>
      </c>
      <c r="AA4214" t="s">
        <v>1269</v>
      </c>
      <c r="AB4214" t="s">
        <v>1270</v>
      </c>
      <c r="AC4214" t="s">
        <v>51</v>
      </c>
      <c r="AD4214" t="s">
        <v>45</v>
      </c>
      <c r="AE4214" s="1">
        <v>24452</v>
      </c>
      <c r="AF4214">
        <v>2</v>
      </c>
      <c r="AG4214" t="s">
        <v>1269</v>
      </c>
      <c r="AH4214" s="36">
        <f t="shared" si="65"/>
        <v>52.791666666666664</v>
      </c>
      <c r="AI4214" s="41" t="s">
        <v>1781</v>
      </c>
    </row>
    <row r="4215" spans="1:35" x14ac:dyDescent="0.25">
      <c r="A4215" s="36">
        <v>99914213</v>
      </c>
      <c r="B4215" s="17" t="s">
        <v>32</v>
      </c>
      <c r="C4215" t="s">
        <v>71</v>
      </c>
      <c r="D4215" t="s">
        <v>72</v>
      </c>
      <c r="G4215" s="17" t="s">
        <v>48</v>
      </c>
      <c r="H4215" s="17">
        <v>1</v>
      </c>
      <c r="K4215" t="s">
        <v>223</v>
      </c>
      <c r="L4215" t="s">
        <v>224</v>
      </c>
      <c r="M4215" t="s">
        <v>131</v>
      </c>
      <c r="N4215">
        <v>18</v>
      </c>
      <c r="O4215" t="s">
        <v>40</v>
      </c>
      <c r="P4215" t="s">
        <v>40</v>
      </c>
      <c r="Q4215" t="s">
        <v>40</v>
      </c>
      <c r="S4215" t="s">
        <v>40</v>
      </c>
      <c r="V4215" t="s">
        <v>41</v>
      </c>
      <c r="W4215" t="s">
        <v>49</v>
      </c>
      <c r="X4215" t="str">
        <f>"0581202"</f>
        <v>0581202</v>
      </c>
      <c r="Y4215" t="s">
        <v>248</v>
      </c>
      <c r="Z4215" t="s">
        <v>223</v>
      </c>
      <c r="AA4215" t="s">
        <v>224</v>
      </c>
      <c r="AB4215" t="s">
        <v>131</v>
      </c>
      <c r="AC4215" t="s">
        <v>165</v>
      </c>
      <c r="AD4215" t="s">
        <v>45</v>
      </c>
      <c r="AE4215" s="1">
        <v>24451</v>
      </c>
      <c r="AF4215">
        <v>2</v>
      </c>
      <c r="AG4215" t="s">
        <v>224</v>
      </c>
      <c r="AH4215" s="36">
        <f t="shared" si="65"/>
        <v>52.794444444444444</v>
      </c>
      <c r="AI4215" s="41" t="s">
        <v>1781</v>
      </c>
    </row>
    <row r="4216" spans="1:35" x14ac:dyDescent="0.25">
      <c r="A4216" s="36">
        <v>99914214</v>
      </c>
      <c r="B4216" s="17" t="s">
        <v>32</v>
      </c>
      <c r="C4216" t="s">
        <v>46</v>
      </c>
      <c r="D4216" t="s">
        <v>47</v>
      </c>
      <c r="G4216" s="17" t="s">
        <v>48</v>
      </c>
      <c r="H4216" s="17">
        <v>1</v>
      </c>
      <c r="K4216" t="s">
        <v>162</v>
      </c>
      <c r="L4216" t="s">
        <v>158</v>
      </c>
      <c r="M4216" t="s">
        <v>131</v>
      </c>
      <c r="N4216">
        <v>18</v>
      </c>
      <c r="O4216" t="s">
        <v>40</v>
      </c>
      <c r="P4216" t="s">
        <v>40</v>
      </c>
      <c r="Q4216" t="s">
        <v>40</v>
      </c>
      <c r="S4216" t="s">
        <v>40</v>
      </c>
      <c r="V4216" t="s">
        <v>41</v>
      </c>
      <c r="W4216" t="s">
        <v>42</v>
      </c>
      <c r="X4216" t="str">
        <f>"0580320"</f>
        <v>0580320</v>
      </c>
      <c r="Y4216" t="s">
        <v>164</v>
      </c>
      <c r="Z4216" t="s">
        <v>162</v>
      </c>
      <c r="AA4216" t="s">
        <v>158</v>
      </c>
      <c r="AB4216" t="s">
        <v>131</v>
      </c>
      <c r="AC4216" t="s">
        <v>165</v>
      </c>
      <c r="AD4216" t="s">
        <v>45</v>
      </c>
      <c r="AE4216" s="1">
        <v>24449</v>
      </c>
      <c r="AF4216">
        <v>2</v>
      </c>
      <c r="AG4216" t="s">
        <v>158</v>
      </c>
      <c r="AH4216" s="36">
        <f t="shared" si="65"/>
        <v>52.8</v>
      </c>
      <c r="AI4216" s="41" t="s">
        <v>1781</v>
      </c>
    </row>
    <row r="4217" spans="1:35" x14ac:dyDescent="0.25">
      <c r="A4217" s="36">
        <v>99914215</v>
      </c>
      <c r="B4217" s="17" t="s">
        <v>56</v>
      </c>
      <c r="C4217" t="s">
        <v>79</v>
      </c>
      <c r="D4217" t="s">
        <v>80</v>
      </c>
      <c r="G4217" s="17" t="s">
        <v>35</v>
      </c>
      <c r="H4217" s="17">
        <v>13</v>
      </c>
      <c r="K4217" t="s">
        <v>345</v>
      </c>
      <c r="L4217" t="s">
        <v>346</v>
      </c>
      <c r="M4217" t="s">
        <v>131</v>
      </c>
      <c r="N4217">
        <v>18</v>
      </c>
      <c r="O4217" t="s">
        <v>40</v>
      </c>
      <c r="P4217" t="s">
        <v>40</v>
      </c>
      <c r="Q4217" t="s">
        <v>40</v>
      </c>
      <c r="R4217" t="s">
        <v>40</v>
      </c>
      <c r="S4217" t="s">
        <v>40</v>
      </c>
      <c r="V4217" t="s">
        <v>41</v>
      </c>
      <c r="W4217" t="s">
        <v>49</v>
      </c>
      <c r="X4217" t="str">
        <f>"0560007"</f>
        <v>0560007</v>
      </c>
      <c r="Y4217" t="s">
        <v>357</v>
      </c>
      <c r="Z4217" t="s">
        <v>345</v>
      </c>
      <c r="AA4217" t="s">
        <v>346</v>
      </c>
      <c r="AB4217" t="s">
        <v>131</v>
      </c>
      <c r="AC4217" t="s">
        <v>51</v>
      </c>
      <c r="AD4217" t="s">
        <v>45</v>
      </c>
      <c r="AE4217" s="1">
        <v>24448</v>
      </c>
      <c r="AF4217">
        <v>2</v>
      </c>
      <c r="AG4217" t="s">
        <v>346</v>
      </c>
      <c r="AH4217" s="36">
        <f t="shared" si="65"/>
        <v>52.802777777777777</v>
      </c>
      <c r="AI4217" s="41" t="s">
        <v>1781</v>
      </c>
    </row>
    <row r="4218" spans="1:35" x14ac:dyDescent="0.25">
      <c r="A4218" s="36">
        <v>99914216</v>
      </c>
      <c r="B4218" s="17" t="s">
        <v>32</v>
      </c>
      <c r="C4218" t="s">
        <v>46</v>
      </c>
      <c r="D4218" t="s">
        <v>47</v>
      </c>
      <c r="G4218" s="17" t="s">
        <v>35</v>
      </c>
      <c r="H4218" s="17">
        <v>1</v>
      </c>
      <c r="K4218" t="s">
        <v>223</v>
      </c>
      <c r="L4218" t="s">
        <v>224</v>
      </c>
      <c r="M4218" t="s">
        <v>131</v>
      </c>
      <c r="N4218">
        <v>20</v>
      </c>
      <c r="O4218" t="s">
        <v>40</v>
      </c>
      <c r="P4218" t="s">
        <v>40</v>
      </c>
      <c r="Q4218" t="s">
        <v>40</v>
      </c>
      <c r="S4218" t="s">
        <v>40</v>
      </c>
      <c r="V4218" t="s">
        <v>41</v>
      </c>
      <c r="W4218" t="s">
        <v>42</v>
      </c>
      <c r="X4218" t="str">
        <f>"0590903"</f>
        <v>0590903</v>
      </c>
      <c r="Y4218" t="s">
        <v>226</v>
      </c>
      <c r="Z4218" t="s">
        <v>223</v>
      </c>
      <c r="AA4218" t="s">
        <v>224</v>
      </c>
      <c r="AB4218" t="s">
        <v>131</v>
      </c>
      <c r="AC4218" t="s">
        <v>51</v>
      </c>
      <c r="AD4218" t="s">
        <v>45</v>
      </c>
      <c r="AE4218" s="1">
        <v>24447</v>
      </c>
      <c r="AF4218">
        <v>2</v>
      </c>
      <c r="AG4218" t="s">
        <v>224</v>
      </c>
      <c r="AH4218" s="36">
        <f t="shared" si="65"/>
        <v>52.805555555555557</v>
      </c>
      <c r="AI4218" s="41" t="s">
        <v>1781</v>
      </c>
    </row>
    <row r="4219" spans="1:35" x14ac:dyDescent="0.25">
      <c r="A4219" s="36">
        <v>99914217</v>
      </c>
      <c r="B4219" s="17" t="s">
        <v>32</v>
      </c>
      <c r="C4219" t="s">
        <v>85</v>
      </c>
      <c r="D4219" t="s">
        <v>86</v>
      </c>
      <c r="G4219" s="17" t="s">
        <v>48</v>
      </c>
      <c r="H4219" s="17">
        <v>1</v>
      </c>
      <c r="K4219" t="s">
        <v>380</v>
      </c>
      <c r="L4219" t="s">
        <v>381</v>
      </c>
      <c r="M4219" t="s">
        <v>131</v>
      </c>
      <c r="N4219">
        <v>9</v>
      </c>
      <c r="O4219" t="s">
        <v>40</v>
      </c>
      <c r="P4219" t="s">
        <v>40</v>
      </c>
      <c r="Q4219" t="s">
        <v>40</v>
      </c>
      <c r="R4219" t="s">
        <v>40</v>
      </c>
      <c r="S4219" t="s">
        <v>40</v>
      </c>
      <c r="V4219" t="s">
        <v>41</v>
      </c>
      <c r="W4219" t="s">
        <v>49</v>
      </c>
      <c r="X4219" t="str">
        <f>"0581575"</f>
        <v>0581575</v>
      </c>
      <c r="Y4219" t="s">
        <v>392</v>
      </c>
      <c r="Z4219" t="s">
        <v>380</v>
      </c>
      <c r="AA4219" t="s">
        <v>381</v>
      </c>
      <c r="AB4219" t="s">
        <v>131</v>
      </c>
      <c r="AC4219" t="s">
        <v>51</v>
      </c>
      <c r="AD4219" t="s">
        <v>45</v>
      </c>
      <c r="AE4219" s="1">
        <v>24447</v>
      </c>
      <c r="AF4219">
        <v>2</v>
      </c>
      <c r="AG4219" t="s">
        <v>381</v>
      </c>
      <c r="AH4219" s="36">
        <f t="shared" si="65"/>
        <v>52.805555555555557</v>
      </c>
      <c r="AI4219" s="41" t="s">
        <v>1781</v>
      </c>
    </row>
    <row r="4220" spans="1:35" x14ac:dyDescent="0.25">
      <c r="A4220" s="36">
        <v>99914218</v>
      </c>
      <c r="B4220" s="17" t="s">
        <v>32</v>
      </c>
      <c r="C4220" t="s">
        <v>143</v>
      </c>
      <c r="D4220" t="s">
        <v>144</v>
      </c>
      <c r="G4220" s="17" t="s">
        <v>48</v>
      </c>
      <c r="H4220" s="17">
        <v>1</v>
      </c>
      <c r="K4220" t="s">
        <v>223</v>
      </c>
      <c r="L4220" t="s">
        <v>224</v>
      </c>
      <c r="M4220" t="s">
        <v>131</v>
      </c>
      <c r="N4220">
        <v>20</v>
      </c>
      <c r="O4220" t="s">
        <v>40</v>
      </c>
      <c r="P4220" t="s">
        <v>40</v>
      </c>
      <c r="Q4220" t="s">
        <v>40</v>
      </c>
      <c r="R4220" t="s">
        <v>40</v>
      </c>
      <c r="S4220" t="s">
        <v>40</v>
      </c>
      <c r="V4220" t="s">
        <v>41</v>
      </c>
      <c r="W4220" t="s">
        <v>49</v>
      </c>
      <c r="X4220" t="str">
        <f>"0581202"</f>
        <v>0581202</v>
      </c>
      <c r="Y4220" t="s">
        <v>248</v>
      </c>
      <c r="Z4220" t="s">
        <v>223</v>
      </c>
      <c r="AA4220" t="s">
        <v>224</v>
      </c>
      <c r="AB4220" t="s">
        <v>131</v>
      </c>
      <c r="AC4220" t="s">
        <v>165</v>
      </c>
      <c r="AD4220" t="s">
        <v>45</v>
      </c>
      <c r="AE4220" s="1">
        <v>24446</v>
      </c>
      <c r="AF4220">
        <v>2</v>
      </c>
      <c r="AG4220" t="s">
        <v>224</v>
      </c>
      <c r="AH4220" s="36">
        <f t="shared" si="65"/>
        <v>52.80833333333333</v>
      </c>
      <c r="AI4220" s="41" t="s">
        <v>1781</v>
      </c>
    </row>
    <row r="4221" spans="1:35" x14ac:dyDescent="0.25">
      <c r="A4221" s="36">
        <v>99914219</v>
      </c>
      <c r="B4221" s="17" t="s">
        <v>32</v>
      </c>
      <c r="C4221" t="s">
        <v>33</v>
      </c>
      <c r="D4221" t="s">
        <v>34</v>
      </c>
      <c r="G4221" s="17" t="s">
        <v>48</v>
      </c>
      <c r="H4221" s="17">
        <v>1</v>
      </c>
      <c r="K4221" t="s">
        <v>223</v>
      </c>
      <c r="L4221" t="s">
        <v>224</v>
      </c>
      <c r="M4221" t="s">
        <v>131</v>
      </c>
      <c r="N4221">
        <v>20</v>
      </c>
      <c r="O4221" t="s">
        <v>40</v>
      </c>
      <c r="P4221" t="s">
        <v>40</v>
      </c>
      <c r="Q4221" t="s">
        <v>40</v>
      </c>
      <c r="R4221" t="s">
        <v>40</v>
      </c>
      <c r="S4221" t="s">
        <v>40</v>
      </c>
      <c r="V4221" t="s">
        <v>41</v>
      </c>
      <c r="W4221" t="s">
        <v>42</v>
      </c>
      <c r="X4221" t="str">
        <f>"0590902"</f>
        <v>0590902</v>
      </c>
      <c r="Y4221" t="s">
        <v>241</v>
      </c>
      <c r="Z4221" t="s">
        <v>223</v>
      </c>
      <c r="AA4221" t="s">
        <v>224</v>
      </c>
      <c r="AB4221" t="s">
        <v>131</v>
      </c>
      <c r="AC4221" t="s">
        <v>51</v>
      </c>
      <c r="AD4221" t="s">
        <v>45</v>
      </c>
      <c r="AE4221" s="1">
        <v>24446</v>
      </c>
      <c r="AF4221">
        <v>2</v>
      </c>
      <c r="AG4221" t="s">
        <v>224</v>
      </c>
      <c r="AH4221" s="36">
        <f t="shared" si="65"/>
        <v>52.80833333333333</v>
      </c>
      <c r="AI4221" s="41" t="s">
        <v>1781</v>
      </c>
    </row>
    <row r="4222" spans="1:35" x14ac:dyDescent="0.25">
      <c r="A4222" s="36">
        <v>99914220</v>
      </c>
      <c r="B4222" s="17" t="s">
        <v>32</v>
      </c>
      <c r="C4222" t="s">
        <v>46</v>
      </c>
      <c r="D4222" t="s">
        <v>47</v>
      </c>
      <c r="G4222" s="17" t="s">
        <v>48</v>
      </c>
      <c r="H4222" s="17">
        <v>1</v>
      </c>
      <c r="K4222" t="s">
        <v>162</v>
      </c>
      <c r="L4222" t="s">
        <v>158</v>
      </c>
      <c r="M4222" t="s">
        <v>131</v>
      </c>
      <c r="N4222">
        <v>18</v>
      </c>
      <c r="O4222" t="s">
        <v>40</v>
      </c>
      <c r="P4222" t="s">
        <v>40</v>
      </c>
      <c r="Q4222" t="s">
        <v>40</v>
      </c>
      <c r="S4222" t="s">
        <v>40</v>
      </c>
      <c r="V4222" t="s">
        <v>41</v>
      </c>
      <c r="W4222" t="s">
        <v>42</v>
      </c>
      <c r="X4222" t="str">
        <f>"0580325"</f>
        <v>0580325</v>
      </c>
      <c r="Y4222" t="s">
        <v>170</v>
      </c>
      <c r="Z4222" t="s">
        <v>162</v>
      </c>
      <c r="AA4222" t="s">
        <v>158</v>
      </c>
      <c r="AB4222" t="s">
        <v>131</v>
      </c>
      <c r="AC4222" t="s">
        <v>165</v>
      </c>
      <c r="AD4222" t="s">
        <v>45</v>
      </c>
      <c r="AE4222" s="1">
        <v>24441</v>
      </c>
      <c r="AF4222">
        <v>2</v>
      </c>
      <c r="AG4222" t="s">
        <v>158</v>
      </c>
      <c r="AH4222" s="36">
        <f t="shared" si="65"/>
        <v>52.822222222222223</v>
      </c>
      <c r="AI4222" s="41" t="s">
        <v>1781</v>
      </c>
    </row>
    <row r="4223" spans="1:35" x14ac:dyDescent="0.25">
      <c r="A4223" s="36">
        <v>99914221</v>
      </c>
      <c r="B4223" s="17" t="s">
        <v>56</v>
      </c>
      <c r="C4223" t="s">
        <v>52</v>
      </c>
      <c r="D4223" t="s">
        <v>53</v>
      </c>
      <c r="G4223" s="17" t="s">
        <v>35</v>
      </c>
      <c r="H4223" s="17">
        <v>1</v>
      </c>
      <c r="K4223" t="s">
        <v>223</v>
      </c>
      <c r="L4223" t="s">
        <v>224</v>
      </c>
      <c r="M4223" t="s">
        <v>131</v>
      </c>
      <c r="N4223">
        <v>18</v>
      </c>
      <c r="O4223" t="s">
        <v>40</v>
      </c>
      <c r="P4223" t="s">
        <v>40</v>
      </c>
      <c r="Q4223" t="s">
        <v>40</v>
      </c>
      <c r="R4223" t="s">
        <v>40</v>
      </c>
      <c r="S4223" t="s">
        <v>40</v>
      </c>
      <c r="V4223" t="s">
        <v>41</v>
      </c>
      <c r="W4223" t="s">
        <v>49</v>
      </c>
      <c r="X4223" t="str">
        <f>"0591907"</f>
        <v>0591907</v>
      </c>
      <c r="Y4223" t="s">
        <v>243</v>
      </c>
      <c r="Z4223" t="s">
        <v>223</v>
      </c>
      <c r="AA4223" t="s">
        <v>224</v>
      </c>
      <c r="AB4223" t="s">
        <v>131</v>
      </c>
      <c r="AC4223" t="s">
        <v>51</v>
      </c>
      <c r="AD4223" t="s">
        <v>45</v>
      </c>
      <c r="AE4223" s="1">
        <v>24439</v>
      </c>
      <c r="AF4223">
        <v>2</v>
      </c>
      <c r="AG4223" t="s">
        <v>224</v>
      </c>
      <c r="AH4223" s="36">
        <f t="shared" si="65"/>
        <v>52.827777777777776</v>
      </c>
      <c r="AI4223" s="41" t="s">
        <v>1781</v>
      </c>
    </row>
    <row r="4224" spans="1:35" x14ac:dyDescent="0.25">
      <c r="A4224" s="36">
        <v>99914222</v>
      </c>
      <c r="B4224" s="17" t="s">
        <v>32</v>
      </c>
      <c r="C4224" t="s">
        <v>85</v>
      </c>
      <c r="D4224" t="s">
        <v>86</v>
      </c>
      <c r="G4224" s="17" t="s">
        <v>48</v>
      </c>
      <c r="H4224" s="17">
        <v>1</v>
      </c>
      <c r="K4224" t="s">
        <v>157</v>
      </c>
      <c r="L4224" t="s">
        <v>158</v>
      </c>
      <c r="M4224" t="s">
        <v>131</v>
      </c>
      <c r="N4224">
        <v>18</v>
      </c>
      <c r="O4224" t="s">
        <v>40</v>
      </c>
      <c r="P4224" t="s">
        <v>40</v>
      </c>
      <c r="Q4224" t="s">
        <v>40</v>
      </c>
      <c r="S4224" t="s">
        <v>40</v>
      </c>
      <c r="V4224" t="s">
        <v>41</v>
      </c>
      <c r="W4224" t="s">
        <v>49</v>
      </c>
      <c r="X4224" t="str">
        <f>"0560010"</f>
        <v>0560010</v>
      </c>
      <c r="Y4224" t="s">
        <v>179</v>
      </c>
      <c r="Z4224" t="s">
        <v>157</v>
      </c>
      <c r="AA4224" t="s">
        <v>158</v>
      </c>
      <c r="AB4224" t="s">
        <v>131</v>
      </c>
      <c r="AC4224" t="s">
        <v>51</v>
      </c>
      <c r="AD4224" t="s">
        <v>45</v>
      </c>
      <c r="AE4224" s="1">
        <v>24435</v>
      </c>
      <c r="AF4224">
        <v>2</v>
      </c>
      <c r="AG4224" t="s">
        <v>158</v>
      </c>
      <c r="AH4224" s="36">
        <f t="shared" si="65"/>
        <v>52.838888888888889</v>
      </c>
      <c r="AI4224" s="41" t="s">
        <v>1781</v>
      </c>
    </row>
    <row r="4225" spans="1:35" x14ac:dyDescent="0.25">
      <c r="A4225" s="36">
        <v>99914223</v>
      </c>
      <c r="B4225" s="17" t="s">
        <v>32</v>
      </c>
      <c r="C4225" t="s">
        <v>46</v>
      </c>
      <c r="D4225" t="s">
        <v>47</v>
      </c>
      <c r="G4225" s="17" t="s">
        <v>35</v>
      </c>
      <c r="H4225" s="17">
        <v>1</v>
      </c>
      <c r="K4225" t="s">
        <v>223</v>
      </c>
      <c r="L4225" t="s">
        <v>224</v>
      </c>
      <c r="M4225" t="s">
        <v>131</v>
      </c>
      <c r="N4225">
        <v>15</v>
      </c>
      <c r="O4225" t="s">
        <v>40</v>
      </c>
      <c r="P4225" t="s">
        <v>40</v>
      </c>
      <c r="Q4225" t="s">
        <v>40</v>
      </c>
      <c r="R4225" t="s">
        <v>40</v>
      </c>
      <c r="S4225" t="s">
        <v>40</v>
      </c>
      <c r="V4225" t="s">
        <v>41</v>
      </c>
      <c r="W4225" t="s">
        <v>49</v>
      </c>
      <c r="X4225" t="str">
        <f>"0591901"</f>
        <v>0591901</v>
      </c>
      <c r="Y4225" t="s">
        <v>230</v>
      </c>
      <c r="Z4225" t="s">
        <v>223</v>
      </c>
      <c r="AA4225" t="s">
        <v>224</v>
      </c>
      <c r="AB4225" t="s">
        <v>131</v>
      </c>
      <c r="AC4225" t="s">
        <v>51</v>
      </c>
      <c r="AD4225" t="s">
        <v>45</v>
      </c>
      <c r="AE4225" s="1">
        <v>24433</v>
      </c>
      <c r="AF4225">
        <v>2</v>
      </c>
      <c r="AG4225" t="s">
        <v>224</v>
      </c>
      <c r="AH4225" s="36">
        <f t="shared" si="65"/>
        <v>52.844444444444441</v>
      </c>
      <c r="AI4225" s="41" t="s">
        <v>1781</v>
      </c>
    </row>
    <row r="4226" spans="1:35" x14ac:dyDescent="0.25">
      <c r="A4226" s="36">
        <v>99914224</v>
      </c>
      <c r="B4226" s="17" t="s">
        <v>32</v>
      </c>
      <c r="C4226" t="s">
        <v>79</v>
      </c>
      <c r="D4226" t="s">
        <v>80</v>
      </c>
      <c r="G4226" s="17" t="s">
        <v>48</v>
      </c>
      <c r="H4226" s="17">
        <v>13</v>
      </c>
      <c r="K4226" t="s">
        <v>195</v>
      </c>
      <c r="L4226" t="s">
        <v>196</v>
      </c>
      <c r="M4226" t="s">
        <v>131</v>
      </c>
      <c r="N4226">
        <v>21</v>
      </c>
      <c r="O4226" t="s">
        <v>40</v>
      </c>
      <c r="P4226" t="s">
        <v>40</v>
      </c>
      <c r="Q4226" t="s">
        <v>40</v>
      </c>
      <c r="R4226" t="s">
        <v>40</v>
      </c>
      <c r="S4226" t="s">
        <v>40</v>
      </c>
      <c r="U4226" s="1">
        <v>36055</v>
      </c>
      <c r="V4226" t="s">
        <v>41</v>
      </c>
      <c r="W4226" t="s">
        <v>75</v>
      </c>
      <c r="X4226" t="str">
        <f>"7521042"</f>
        <v>7521042</v>
      </c>
      <c r="Y4226" t="s">
        <v>440</v>
      </c>
      <c r="Z4226" t="s">
        <v>195</v>
      </c>
      <c r="AA4226" t="s">
        <v>196</v>
      </c>
      <c r="AB4226" t="s">
        <v>131</v>
      </c>
      <c r="AC4226" t="s">
        <v>165</v>
      </c>
      <c r="AD4226" t="s">
        <v>45</v>
      </c>
      <c r="AE4226" s="1">
        <v>24432</v>
      </c>
      <c r="AF4226">
        <v>1</v>
      </c>
      <c r="AG4226" t="s">
        <v>196</v>
      </c>
      <c r="AH4226" s="36">
        <f t="shared" ref="AH4226:AH4289" si="66">($AJ$1-AE4226)/360</f>
        <v>52.847222222222221</v>
      </c>
      <c r="AI4226" s="41" t="s">
        <v>1781</v>
      </c>
    </row>
    <row r="4227" spans="1:35" x14ac:dyDescent="0.25">
      <c r="A4227" s="36">
        <v>99914225</v>
      </c>
      <c r="B4227" s="17" t="s">
        <v>56</v>
      </c>
      <c r="C4227" t="s">
        <v>68</v>
      </c>
      <c r="D4227" t="s">
        <v>69</v>
      </c>
      <c r="G4227" s="17" t="s">
        <v>48</v>
      </c>
      <c r="H4227" s="17">
        <v>1</v>
      </c>
      <c r="K4227" t="s">
        <v>1268</v>
      </c>
      <c r="L4227" t="s">
        <v>1269</v>
      </c>
      <c r="M4227" t="s">
        <v>1270</v>
      </c>
      <c r="N4227">
        <v>9</v>
      </c>
      <c r="O4227" t="s">
        <v>40</v>
      </c>
      <c r="P4227" t="s">
        <v>40</v>
      </c>
      <c r="Q4227" t="s">
        <v>40</v>
      </c>
      <c r="R4227" t="s">
        <v>40</v>
      </c>
      <c r="S4227" t="s">
        <v>40</v>
      </c>
      <c r="V4227" t="s">
        <v>41</v>
      </c>
      <c r="W4227" t="s">
        <v>42</v>
      </c>
      <c r="X4227" t="str">
        <f>"1990910"</f>
        <v>1990910</v>
      </c>
      <c r="Y4227" t="s">
        <v>1281</v>
      </c>
      <c r="Z4227" t="s">
        <v>1268</v>
      </c>
      <c r="AA4227" t="s">
        <v>1269</v>
      </c>
      <c r="AB4227" t="s">
        <v>1270</v>
      </c>
      <c r="AC4227" t="s">
        <v>165</v>
      </c>
      <c r="AD4227" t="s">
        <v>45</v>
      </c>
      <c r="AE4227" s="1">
        <v>24430</v>
      </c>
      <c r="AF4227">
        <v>2</v>
      </c>
      <c r="AG4227" t="s">
        <v>1269</v>
      </c>
      <c r="AH4227" s="36">
        <f t="shared" si="66"/>
        <v>52.852777777777774</v>
      </c>
      <c r="AI4227" s="41" t="s">
        <v>1781</v>
      </c>
    </row>
    <row r="4228" spans="1:35" x14ac:dyDescent="0.25">
      <c r="A4228" s="36">
        <v>99914226</v>
      </c>
      <c r="B4228" s="17" t="s">
        <v>56</v>
      </c>
      <c r="C4228" t="s">
        <v>52</v>
      </c>
      <c r="D4228" t="s">
        <v>53</v>
      </c>
      <c r="G4228" s="17" t="s">
        <v>35</v>
      </c>
      <c r="H4228" s="17">
        <v>1</v>
      </c>
      <c r="I4228" t="s">
        <v>333</v>
      </c>
      <c r="J4228" s="1">
        <v>43344</v>
      </c>
      <c r="K4228" t="s">
        <v>300</v>
      </c>
      <c r="L4228" t="s">
        <v>301</v>
      </c>
      <c r="M4228" t="s">
        <v>131</v>
      </c>
      <c r="N4228">
        <v>24</v>
      </c>
      <c r="O4228" t="s">
        <v>40</v>
      </c>
      <c r="P4228" t="s">
        <v>40</v>
      </c>
      <c r="Q4228" t="s">
        <v>40</v>
      </c>
      <c r="R4228" t="s">
        <v>40</v>
      </c>
      <c r="S4228" t="s">
        <v>40</v>
      </c>
      <c r="U4228" s="1">
        <v>43344</v>
      </c>
      <c r="V4228" t="s">
        <v>41</v>
      </c>
      <c r="W4228" t="s">
        <v>42</v>
      </c>
      <c r="X4228" t="str">
        <f>"0580176"</f>
        <v>0580176</v>
      </c>
      <c r="Y4228" t="s">
        <v>305</v>
      </c>
      <c r="Z4228" t="s">
        <v>300</v>
      </c>
      <c r="AA4228" t="s">
        <v>301</v>
      </c>
      <c r="AB4228" t="s">
        <v>131</v>
      </c>
      <c r="AC4228" t="s">
        <v>51</v>
      </c>
      <c r="AD4228" t="s">
        <v>45</v>
      </c>
      <c r="AE4228" s="1">
        <v>24429</v>
      </c>
      <c r="AF4228">
        <v>2</v>
      </c>
      <c r="AG4228" t="s">
        <v>301</v>
      </c>
      <c r="AH4228" s="36">
        <f t="shared" si="66"/>
        <v>52.855555555555554</v>
      </c>
      <c r="AI4228" s="41" t="s">
        <v>1781</v>
      </c>
    </row>
    <row r="4229" spans="1:35" x14ac:dyDescent="0.25">
      <c r="A4229" s="36">
        <v>99914227</v>
      </c>
      <c r="B4229" s="17" t="s">
        <v>32</v>
      </c>
      <c r="C4229" t="s">
        <v>58</v>
      </c>
      <c r="D4229" t="s">
        <v>59</v>
      </c>
      <c r="G4229" s="17" t="s">
        <v>48</v>
      </c>
      <c r="H4229" s="17">
        <v>2</v>
      </c>
      <c r="K4229" t="s">
        <v>129</v>
      </c>
      <c r="L4229" t="s">
        <v>130</v>
      </c>
      <c r="M4229" t="s">
        <v>131</v>
      </c>
      <c r="N4229">
        <v>18</v>
      </c>
      <c r="O4229" t="s">
        <v>40</v>
      </c>
      <c r="P4229" t="s">
        <v>40</v>
      </c>
      <c r="Q4229" t="s">
        <v>40</v>
      </c>
      <c r="R4229" t="s">
        <v>40</v>
      </c>
      <c r="S4229" t="s">
        <v>40</v>
      </c>
      <c r="V4229" t="s">
        <v>41</v>
      </c>
      <c r="W4229" t="s">
        <v>49</v>
      </c>
      <c r="X4229" t="str">
        <f>"0591905"</f>
        <v>0591905</v>
      </c>
      <c r="Y4229" t="s">
        <v>135</v>
      </c>
      <c r="Z4229" t="s">
        <v>129</v>
      </c>
      <c r="AA4229" t="s">
        <v>130</v>
      </c>
      <c r="AB4229" t="s">
        <v>131</v>
      </c>
      <c r="AC4229" t="s">
        <v>51</v>
      </c>
      <c r="AD4229" t="s">
        <v>45</v>
      </c>
      <c r="AE4229" s="1">
        <v>24423</v>
      </c>
      <c r="AF4229">
        <v>2</v>
      </c>
      <c r="AG4229" t="s">
        <v>130</v>
      </c>
      <c r="AH4229" s="36">
        <f t="shared" si="66"/>
        <v>52.87222222222222</v>
      </c>
      <c r="AI4229" s="41" t="s">
        <v>1781</v>
      </c>
    </row>
    <row r="4230" spans="1:35" x14ac:dyDescent="0.25">
      <c r="A4230" s="36">
        <v>99914228</v>
      </c>
      <c r="B4230" s="17" t="s">
        <v>32</v>
      </c>
      <c r="C4230" t="s">
        <v>68</v>
      </c>
      <c r="D4230" t="s">
        <v>69</v>
      </c>
      <c r="G4230" s="17" t="s">
        <v>35</v>
      </c>
      <c r="H4230" s="17">
        <v>1</v>
      </c>
      <c r="I4230">
        <v>5775</v>
      </c>
      <c r="J4230" s="1">
        <v>43348</v>
      </c>
      <c r="K4230" t="s">
        <v>162</v>
      </c>
      <c r="L4230" t="s">
        <v>158</v>
      </c>
      <c r="M4230" t="s">
        <v>131</v>
      </c>
      <c r="N4230">
        <v>20</v>
      </c>
      <c r="O4230" t="s">
        <v>40</v>
      </c>
      <c r="P4230" t="s">
        <v>40</v>
      </c>
      <c r="Q4230" t="s">
        <v>40</v>
      </c>
      <c r="R4230" t="s">
        <v>40</v>
      </c>
      <c r="S4230" t="s">
        <v>40</v>
      </c>
      <c r="U4230" s="1">
        <v>43348</v>
      </c>
      <c r="V4230" t="s">
        <v>41</v>
      </c>
      <c r="W4230" t="s">
        <v>49</v>
      </c>
      <c r="X4230" t="str">
        <f>"0581325"</f>
        <v>0581325</v>
      </c>
      <c r="Y4230" t="s">
        <v>169</v>
      </c>
      <c r="Z4230" t="s">
        <v>162</v>
      </c>
      <c r="AA4230" t="s">
        <v>158</v>
      </c>
      <c r="AB4230" t="s">
        <v>131</v>
      </c>
      <c r="AC4230" t="s">
        <v>165</v>
      </c>
      <c r="AD4230" t="s">
        <v>45</v>
      </c>
      <c r="AE4230" s="1">
        <v>24423</v>
      </c>
      <c r="AF4230">
        <v>2</v>
      </c>
      <c r="AG4230" t="s">
        <v>158</v>
      </c>
      <c r="AH4230" s="36">
        <f t="shared" si="66"/>
        <v>52.87222222222222</v>
      </c>
      <c r="AI4230" s="41" t="s">
        <v>1781</v>
      </c>
    </row>
    <row r="4231" spans="1:35" x14ac:dyDescent="0.25">
      <c r="A4231" s="36">
        <v>99914229</v>
      </c>
      <c r="B4231" s="17" t="s">
        <v>32</v>
      </c>
      <c r="C4231" t="s">
        <v>46</v>
      </c>
      <c r="D4231" t="s">
        <v>47</v>
      </c>
      <c r="G4231" s="17" t="s">
        <v>48</v>
      </c>
      <c r="H4231" s="17">
        <v>1</v>
      </c>
      <c r="K4231" t="s">
        <v>223</v>
      </c>
      <c r="L4231" t="s">
        <v>224</v>
      </c>
      <c r="M4231" t="s">
        <v>131</v>
      </c>
      <c r="N4231">
        <v>18</v>
      </c>
      <c r="O4231" t="s">
        <v>40</v>
      </c>
      <c r="P4231" t="s">
        <v>40</v>
      </c>
      <c r="Q4231" t="s">
        <v>40</v>
      </c>
      <c r="R4231" t="s">
        <v>40</v>
      </c>
      <c r="S4231" t="s">
        <v>40</v>
      </c>
      <c r="V4231" t="s">
        <v>41</v>
      </c>
      <c r="W4231" t="s">
        <v>42</v>
      </c>
      <c r="X4231" t="str">
        <f>"0580200"</f>
        <v>0580200</v>
      </c>
      <c r="Y4231" t="s">
        <v>245</v>
      </c>
      <c r="Z4231" t="s">
        <v>223</v>
      </c>
      <c r="AA4231" t="s">
        <v>224</v>
      </c>
      <c r="AB4231" t="s">
        <v>131</v>
      </c>
      <c r="AC4231" t="s">
        <v>51</v>
      </c>
      <c r="AD4231" t="s">
        <v>45</v>
      </c>
      <c r="AE4231" s="1">
        <v>24423</v>
      </c>
      <c r="AF4231">
        <v>2</v>
      </c>
      <c r="AG4231" t="s">
        <v>224</v>
      </c>
      <c r="AH4231" s="36">
        <f t="shared" si="66"/>
        <v>52.87222222222222</v>
      </c>
      <c r="AI4231" s="41" t="s">
        <v>1781</v>
      </c>
    </row>
    <row r="4232" spans="1:35" x14ac:dyDescent="0.25">
      <c r="A4232" s="36">
        <v>99914230</v>
      </c>
      <c r="B4232" s="17" t="s">
        <v>32</v>
      </c>
      <c r="C4232" t="s">
        <v>79</v>
      </c>
      <c r="D4232" t="s">
        <v>80</v>
      </c>
      <c r="G4232" s="17" t="s">
        <v>35</v>
      </c>
      <c r="H4232" s="17">
        <v>1</v>
      </c>
      <c r="K4232" t="s">
        <v>300</v>
      </c>
      <c r="L4232" t="s">
        <v>301</v>
      </c>
      <c r="M4232" t="s">
        <v>131</v>
      </c>
      <c r="N4232">
        <v>14</v>
      </c>
      <c r="O4232" t="s">
        <v>40</v>
      </c>
      <c r="P4232" t="s">
        <v>40</v>
      </c>
      <c r="Q4232" t="s">
        <v>40</v>
      </c>
      <c r="R4232" t="s">
        <v>40</v>
      </c>
      <c r="S4232" t="s">
        <v>40</v>
      </c>
      <c r="V4232" t="s">
        <v>41</v>
      </c>
      <c r="W4232" t="s">
        <v>42</v>
      </c>
      <c r="X4232" t="str">
        <f>"0580023"</f>
        <v>0580023</v>
      </c>
      <c r="Y4232" t="s">
        <v>313</v>
      </c>
      <c r="Z4232" t="s">
        <v>300</v>
      </c>
      <c r="AA4232" t="s">
        <v>301</v>
      </c>
      <c r="AB4232" t="s">
        <v>131</v>
      </c>
      <c r="AC4232" t="s">
        <v>165</v>
      </c>
      <c r="AD4232" t="s">
        <v>45</v>
      </c>
      <c r="AE4232" s="1">
        <v>24423</v>
      </c>
      <c r="AF4232">
        <v>2</v>
      </c>
      <c r="AG4232" t="s">
        <v>301</v>
      </c>
      <c r="AH4232" s="36">
        <f t="shared" si="66"/>
        <v>52.87222222222222</v>
      </c>
      <c r="AI4232" s="41" t="s">
        <v>1781</v>
      </c>
    </row>
    <row r="4233" spans="1:35" x14ac:dyDescent="0.25">
      <c r="A4233" s="36">
        <v>99914231</v>
      </c>
      <c r="B4233" s="17" t="s">
        <v>56</v>
      </c>
      <c r="C4233" t="s">
        <v>46</v>
      </c>
      <c r="D4233" t="s">
        <v>47</v>
      </c>
      <c r="G4233" s="17" t="s">
        <v>48</v>
      </c>
      <c r="H4233" s="17">
        <v>1</v>
      </c>
      <c r="K4233" t="s">
        <v>223</v>
      </c>
      <c r="L4233" t="s">
        <v>224</v>
      </c>
      <c r="M4233" t="s">
        <v>131</v>
      </c>
      <c r="N4233">
        <v>22</v>
      </c>
      <c r="O4233" t="s">
        <v>40</v>
      </c>
      <c r="P4233" t="s">
        <v>40</v>
      </c>
      <c r="Q4233" t="s">
        <v>40</v>
      </c>
      <c r="R4233" t="s">
        <v>40</v>
      </c>
      <c r="S4233" t="s">
        <v>40</v>
      </c>
      <c r="V4233" t="s">
        <v>41</v>
      </c>
      <c r="W4233" t="s">
        <v>42</v>
      </c>
      <c r="X4233" t="str">
        <f>"0590910"</f>
        <v>0590910</v>
      </c>
      <c r="Y4233" t="s">
        <v>227</v>
      </c>
      <c r="Z4233" t="s">
        <v>223</v>
      </c>
      <c r="AA4233" t="s">
        <v>224</v>
      </c>
      <c r="AB4233" t="s">
        <v>131</v>
      </c>
      <c r="AC4233" t="s">
        <v>51</v>
      </c>
      <c r="AD4233" t="s">
        <v>45</v>
      </c>
      <c r="AE4233" s="1">
        <v>24418</v>
      </c>
      <c r="AF4233">
        <v>2</v>
      </c>
      <c r="AG4233" t="s">
        <v>224</v>
      </c>
      <c r="AH4233" s="36">
        <f t="shared" si="66"/>
        <v>52.886111111111113</v>
      </c>
      <c r="AI4233" s="41" t="s">
        <v>1781</v>
      </c>
    </row>
    <row r="4234" spans="1:35" x14ac:dyDescent="0.25">
      <c r="A4234" s="36">
        <v>99914232</v>
      </c>
      <c r="B4234" s="17" t="s">
        <v>56</v>
      </c>
      <c r="C4234" t="s">
        <v>111</v>
      </c>
      <c r="D4234" t="s">
        <v>112</v>
      </c>
      <c r="G4234" s="17" t="s">
        <v>48</v>
      </c>
      <c r="H4234" s="17">
        <v>8</v>
      </c>
      <c r="K4234" t="s">
        <v>354</v>
      </c>
      <c r="L4234" t="s">
        <v>355</v>
      </c>
      <c r="M4234" t="s">
        <v>131</v>
      </c>
      <c r="N4234">
        <v>23</v>
      </c>
      <c r="O4234" t="s">
        <v>40</v>
      </c>
      <c r="P4234" t="s">
        <v>40</v>
      </c>
      <c r="Q4234" t="s">
        <v>40</v>
      </c>
      <c r="R4234" t="s">
        <v>40</v>
      </c>
      <c r="S4234" t="s">
        <v>40</v>
      </c>
      <c r="V4234" t="s">
        <v>41</v>
      </c>
      <c r="W4234" t="s">
        <v>75</v>
      </c>
      <c r="X4234" t="str">
        <f>"7054038"</f>
        <v>7054038</v>
      </c>
      <c r="Y4234" t="s">
        <v>377</v>
      </c>
      <c r="Z4234" t="s">
        <v>354</v>
      </c>
      <c r="AA4234" t="s">
        <v>355</v>
      </c>
      <c r="AB4234" t="s">
        <v>131</v>
      </c>
      <c r="AC4234" t="s">
        <v>51</v>
      </c>
      <c r="AD4234" t="s">
        <v>45</v>
      </c>
      <c r="AE4234" s="1">
        <v>24416</v>
      </c>
      <c r="AF4234">
        <v>1</v>
      </c>
      <c r="AG4234" t="s">
        <v>355</v>
      </c>
      <c r="AH4234" s="36">
        <f t="shared" si="66"/>
        <v>52.891666666666666</v>
      </c>
      <c r="AI4234" s="41" t="s">
        <v>1781</v>
      </c>
    </row>
    <row r="4235" spans="1:35" x14ac:dyDescent="0.25">
      <c r="A4235" s="36">
        <v>99914233</v>
      </c>
      <c r="B4235" s="17" t="s">
        <v>56</v>
      </c>
      <c r="C4235" t="s">
        <v>111</v>
      </c>
      <c r="D4235" t="s">
        <v>112</v>
      </c>
      <c r="G4235" s="17" t="s">
        <v>48</v>
      </c>
      <c r="H4235" s="17">
        <v>13</v>
      </c>
      <c r="I4235" t="s">
        <v>521</v>
      </c>
      <c r="J4235" s="1">
        <v>40422</v>
      </c>
      <c r="K4235" t="s">
        <v>431</v>
      </c>
      <c r="L4235" t="s">
        <v>196</v>
      </c>
      <c r="M4235" t="s">
        <v>131</v>
      </c>
      <c r="N4235">
        <v>21</v>
      </c>
      <c r="O4235" t="s">
        <v>40</v>
      </c>
      <c r="P4235" t="s">
        <v>40</v>
      </c>
      <c r="Q4235" t="s">
        <v>40</v>
      </c>
      <c r="R4235" t="s">
        <v>40</v>
      </c>
      <c r="S4235" t="s">
        <v>40</v>
      </c>
      <c r="U4235" s="1">
        <v>40422</v>
      </c>
      <c r="V4235" t="s">
        <v>41</v>
      </c>
      <c r="W4235" t="s">
        <v>75</v>
      </c>
      <c r="X4235" t="str">
        <f>"7521032"</f>
        <v>7521032</v>
      </c>
      <c r="Y4235" t="s">
        <v>462</v>
      </c>
      <c r="Z4235" t="s">
        <v>431</v>
      </c>
      <c r="AA4235" t="s">
        <v>196</v>
      </c>
      <c r="AB4235" t="s">
        <v>131</v>
      </c>
      <c r="AC4235" t="s">
        <v>51</v>
      </c>
      <c r="AD4235" t="s">
        <v>45</v>
      </c>
      <c r="AE4235" s="1">
        <v>24414</v>
      </c>
      <c r="AF4235">
        <v>1</v>
      </c>
      <c r="AG4235" t="s">
        <v>196</v>
      </c>
      <c r="AH4235" s="36">
        <f t="shared" si="66"/>
        <v>52.897222222222226</v>
      </c>
      <c r="AI4235" s="41" t="s">
        <v>1781</v>
      </c>
    </row>
    <row r="4236" spans="1:35" x14ac:dyDescent="0.25">
      <c r="A4236" s="36">
        <v>99914234</v>
      </c>
      <c r="B4236" s="17" t="s">
        <v>32</v>
      </c>
      <c r="C4236" t="s">
        <v>46</v>
      </c>
      <c r="D4236" t="s">
        <v>47</v>
      </c>
      <c r="G4236" s="17" t="s">
        <v>35</v>
      </c>
      <c r="H4236" s="17">
        <v>1</v>
      </c>
      <c r="K4236" t="s">
        <v>223</v>
      </c>
      <c r="L4236" t="s">
        <v>224</v>
      </c>
      <c r="M4236" t="s">
        <v>131</v>
      </c>
      <c r="N4236">
        <v>18</v>
      </c>
      <c r="O4236" t="s">
        <v>40</v>
      </c>
      <c r="P4236" t="s">
        <v>40</v>
      </c>
      <c r="Q4236" t="s">
        <v>40</v>
      </c>
      <c r="R4236" t="s">
        <v>40</v>
      </c>
      <c r="S4236" t="s">
        <v>40</v>
      </c>
      <c r="V4236" t="s">
        <v>41</v>
      </c>
      <c r="W4236" t="s">
        <v>42</v>
      </c>
      <c r="X4236" t="str">
        <f>"0590901"</f>
        <v>0590901</v>
      </c>
      <c r="Y4236" t="s">
        <v>242</v>
      </c>
      <c r="Z4236" t="s">
        <v>223</v>
      </c>
      <c r="AA4236" t="s">
        <v>224</v>
      </c>
      <c r="AB4236" t="s">
        <v>131</v>
      </c>
      <c r="AC4236" t="s">
        <v>165</v>
      </c>
      <c r="AD4236" t="s">
        <v>45</v>
      </c>
      <c r="AE4236" s="1">
        <v>24411</v>
      </c>
      <c r="AF4236">
        <v>2</v>
      </c>
      <c r="AG4236" t="s">
        <v>224</v>
      </c>
      <c r="AH4236" s="36">
        <f t="shared" si="66"/>
        <v>52.905555555555559</v>
      </c>
      <c r="AI4236" s="41" t="s">
        <v>1781</v>
      </c>
    </row>
    <row r="4237" spans="1:35" x14ac:dyDescent="0.25">
      <c r="A4237" s="36">
        <v>99914235</v>
      </c>
      <c r="B4237" s="17" t="s">
        <v>56</v>
      </c>
      <c r="C4237" t="s">
        <v>143</v>
      </c>
      <c r="D4237" t="s">
        <v>144</v>
      </c>
      <c r="G4237" s="17" t="s">
        <v>48</v>
      </c>
      <c r="H4237" s="17">
        <v>1</v>
      </c>
      <c r="K4237" t="s">
        <v>300</v>
      </c>
      <c r="L4237" t="s">
        <v>301</v>
      </c>
      <c r="M4237" t="s">
        <v>131</v>
      </c>
      <c r="N4237">
        <v>15</v>
      </c>
      <c r="O4237" t="s">
        <v>40</v>
      </c>
      <c r="P4237" t="s">
        <v>40</v>
      </c>
      <c r="Q4237" t="s">
        <v>40</v>
      </c>
      <c r="R4237" t="s">
        <v>40</v>
      </c>
      <c r="S4237" t="s">
        <v>40</v>
      </c>
      <c r="V4237" t="s">
        <v>41</v>
      </c>
      <c r="W4237" t="s">
        <v>49</v>
      </c>
      <c r="X4237" t="str">
        <f>"0560001"</f>
        <v>0560001</v>
      </c>
      <c r="Y4237" t="s">
        <v>304</v>
      </c>
      <c r="Z4237" t="s">
        <v>300</v>
      </c>
      <c r="AA4237" t="s">
        <v>301</v>
      </c>
      <c r="AB4237" t="s">
        <v>131</v>
      </c>
      <c r="AC4237" t="s">
        <v>51</v>
      </c>
      <c r="AD4237" t="s">
        <v>45</v>
      </c>
      <c r="AE4237" s="1">
        <v>24410</v>
      </c>
      <c r="AF4237">
        <v>2</v>
      </c>
      <c r="AG4237" t="s">
        <v>301</v>
      </c>
      <c r="AH4237" s="36">
        <f t="shared" si="66"/>
        <v>52.908333333333331</v>
      </c>
      <c r="AI4237" s="41" t="s">
        <v>1781</v>
      </c>
    </row>
    <row r="4238" spans="1:35" x14ac:dyDescent="0.25">
      <c r="A4238" s="36">
        <v>99914236</v>
      </c>
      <c r="B4238" s="17" t="s">
        <v>32</v>
      </c>
      <c r="C4238" t="s">
        <v>111</v>
      </c>
      <c r="D4238" t="s">
        <v>112</v>
      </c>
      <c r="G4238" s="17" t="s">
        <v>48</v>
      </c>
      <c r="H4238" s="17">
        <v>1</v>
      </c>
      <c r="K4238" t="s">
        <v>1341</v>
      </c>
      <c r="L4238" t="s">
        <v>1342</v>
      </c>
      <c r="M4238" t="s">
        <v>1270</v>
      </c>
      <c r="N4238">
        <v>24</v>
      </c>
      <c r="O4238" t="s">
        <v>40</v>
      </c>
      <c r="P4238" t="s">
        <v>40</v>
      </c>
      <c r="Q4238" t="s">
        <v>40</v>
      </c>
      <c r="S4238" t="s">
        <v>40</v>
      </c>
      <c r="V4238" t="s">
        <v>41</v>
      </c>
      <c r="W4238" t="s">
        <v>75</v>
      </c>
      <c r="X4238" t="str">
        <f>"7191036"</f>
        <v>7191036</v>
      </c>
      <c r="Y4238" t="s">
        <v>1348</v>
      </c>
      <c r="Z4238" t="s">
        <v>1341</v>
      </c>
      <c r="AA4238" t="s">
        <v>1342</v>
      </c>
      <c r="AB4238" t="s">
        <v>1270</v>
      </c>
      <c r="AC4238" t="s">
        <v>165</v>
      </c>
      <c r="AD4238" t="s">
        <v>45</v>
      </c>
      <c r="AE4238" s="1">
        <v>24410</v>
      </c>
      <c r="AF4238">
        <v>1</v>
      </c>
      <c r="AG4238" t="s">
        <v>1342</v>
      </c>
      <c r="AH4238" s="36">
        <f t="shared" si="66"/>
        <v>52.908333333333331</v>
      </c>
      <c r="AI4238" s="41" t="s">
        <v>1781</v>
      </c>
    </row>
    <row r="4239" spans="1:35" x14ac:dyDescent="0.25">
      <c r="A4239" s="36">
        <v>99914237</v>
      </c>
      <c r="B4239" s="17" t="s">
        <v>56</v>
      </c>
      <c r="C4239" t="s">
        <v>46</v>
      </c>
      <c r="D4239" t="s">
        <v>47</v>
      </c>
      <c r="G4239" s="17" t="s">
        <v>35</v>
      </c>
      <c r="H4239" s="17">
        <v>1</v>
      </c>
      <c r="K4239" t="s">
        <v>223</v>
      </c>
      <c r="L4239" t="s">
        <v>224</v>
      </c>
      <c r="M4239" t="s">
        <v>131</v>
      </c>
      <c r="N4239">
        <v>14</v>
      </c>
      <c r="O4239" t="s">
        <v>40</v>
      </c>
      <c r="P4239" t="s">
        <v>40</v>
      </c>
      <c r="Q4239" t="s">
        <v>40</v>
      </c>
      <c r="R4239" t="s">
        <v>40</v>
      </c>
      <c r="S4239" t="s">
        <v>40</v>
      </c>
      <c r="V4239" t="s">
        <v>41</v>
      </c>
      <c r="W4239" t="s">
        <v>42</v>
      </c>
      <c r="X4239" t="str">
        <f>"0590901"</f>
        <v>0590901</v>
      </c>
      <c r="Y4239" t="s">
        <v>242</v>
      </c>
      <c r="Z4239" t="s">
        <v>223</v>
      </c>
      <c r="AA4239" t="s">
        <v>224</v>
      </c>
      <c r="AB4239" t="s">
        <v>131</v>
      </c>
      <c r="AC4239" t="s">
        <v>165</v>
      </c>
      <c r="AD4239" t="s">
        <v>45</v>
      </c>
      <c r="AE4239" s="1">
        <v>24405</v>
      </c>
      <c r="AF4239">
        <v>2</v>
      </c>
      <c r="AG4239" t="s">
        <v>224</v>
      </c>
      <c r="AH4239" s="36">
        <f t="shared" si="66"/>
        <v>52.922222222222224</v>
      </c>
      <c r="AI4239" s="41" t="s">
        <v>1781</v>
      </c>
    </row>
    <row r="4240" spans="1:35" x14ac:dyDescent="0.25">
      <c r="A4240" s="36">
        <v>99914238</v>
      </c>
      <c r="B4240" s="17" t="s">
        <v>56</v>
      </c>
      <c r="C4240" t="s">
        <v>85</v>
      </c>
      <c r="D4240" t="s">
        <v>86</v>
      </c>
      <c r="G4240" s="17" t="s">
        <v>48</v>
      </c>
      <c r="H4240" s="17">
        <v>1</v>
      </c>
      <c r="K4240" t="s">
        <v>936</v>
      </c>
      <c r="L4240" t="s">
        <v>937</v>
      </c>
      <c r="M4240" t="s">
        <v>938</v>
      </c>
      <c r="N4240">
        <v>12</v>
      </c>
      <c r="O4240" t="s">
        <v>40</v>
      </c>
      <c r="P4240" t="s">
        <v>40</v>
      </c>
      <c r="Q4240" t="s">
        <v>40</v>
      </c>
      <c r="S4240" t="s">
        <v>40</v>
      </c>
      <c r="V4240" t="s">
        <v>41</v>
      </c>
      <c r="W4240" t="s">
        <v>49</v>
      </c>
      <c r="X4240" t="str">
        <f>"0180017"</f>
        <v>0180017</v>
      </c>
      <c r="Y4240" t="s">
        <v>943</v>
      </c>
      <c r="Z4240" t="s">
        <v>936</v>
      </c>
      <c r="AA4240" t="s">
        <v>937</v>
      </c>
      <c r="AB4240" t="s">
        <v>938</v>
      </c>
      <c r="AC4240" t="s">
        <v>51</v>
      </c>
      <c r="AD4240" t="s">
        <v>45</v>
      </c>
      <c r="AE4240" s="1">
        <v>24405</v>
      </c>
      <c r="AF4240">
        <v>2</v>
      </c>
      <c r="AG4240" t="s">
        <v>937</v>
      </c>
      <c r="AH4240" s="36">
        <f t="shared" si="66"/>
        <v>52.922222222222224</v>
      </c>
      <c r="AI4240" s="41" t="s">
        <v>1781</v>
      </c>
    </row>
    <row r="4241" spans="1:35" x14ac:dyDescent="0.25">
      <c r="A4241" s="36">
        <v>99914239</v>
      </c>
      <c r="B4241" s="17" t="s">
        <v>32</v>
      </c>
      <c r="C4241" t="s">
        <v>52</v>
      </c>
      <c r="D4241" t="s">
        <v>53</v>
      </c>
      <c r="G4241" s="17" t="s">
        <v>35</v>
      </c>
      <c r="H4241" s="17">
        <v>1</v>
      </c>
      <c r="K4241" t="s">
        <v>1626</v>
      </c>
      <c r="L4241" t="s">
        <v>1627</v>
      </c>
      <c r="M4241" t="s">
        <v>1592</v>
      </c>
      <c r="N4241">
        <v>21</v>
      </c>
      <c r="O4241" t="s">
        <v>40</v>
      </c>
      <c r="P4241" t="s">
        <v>40</v>
      </c>
      <c r="Q4241" t="s">
        <v>40</v>
      </c>
      <c r="S4241" t="s">
        <v>40</v>
      </c>
      <c r="V4241" t="s">
        <v>41</v>
      </c>
      <c r="W4241" t="s">
        <v>42</v>
      </c>
      <c r="X4241" t="str">
        <f>"3680015"</f>
        <v>3680015</v>
      </c>
      <c r="Y4241" t="s">
        <v>1628</v>
      </c>
      <c r="Z4241" t="s">
        <v>1626</v>
      </c>
      <c r="AA4241" t="s">
        <v>1627</v>
      </c>
      <c r="AB4241" t="s">
        <v>1592</v>
      </c>
      <c r="AC4241" t="s">
        <v>51</v>
      </c>
      <c r="AD4241" t="s">
        <v>45</v>
      </c>
      <c r="AE4241" s="1">
        <v>24405</v>
      </c>
      <c r="AF4241">
        <v>2</v>
      </c>
      <c r="AG4241" t="s">
        <v>1627</v>
      </c>
      <c r="AH4241" s="36">
        <f t="shared" si="66"/>
        <v>52.922222222222224</v>
      </c>
      <c r="AI4241" s="41" t="s">
        <v>1781</v>
      </c>
    </row>
    <row r="4242" spans="1:35" x14ac:dyDescent="0.25">
      <c r="A4242" s="36">
        <v>99914240</v>
      </c>
      <c r="B4242" s="17" t="s">
        <v>32</v>
      </c>
      <c r="C4242" t="s">
        <v>71</v>
      </c>
      <c r="D4242" t="s">
        <v>72</v>
      </c>
      <c r="G4242" s="17" t="s">
        <v>48</v>
      </c>
      <c r="H4242" s="17">
        <v>1</v>
      </c>
      <c r="K4242" t="s">
        <v>223</v>
      </c>
      <c r="L4242" t="s">
        <v>224</v>
      </c>
      <c r="M4242" t="s">
        <v>131</v>
      </c>
      <c r="N4242">
        <v>8</v>
      </c>
      <c r="O4242" t="s">
        <v>40</v>
      </c>
      <c r="P4242" t="s">
        <v>40</v>
      </c>
      <c r="Q4242" t="s">
        <v>40</v>
      </c>
      <c r="R4242" t="s">
        <v>40</v>
      </c>
      <c r="S4242" t="s">
        <v>40</v>
      </c>
      <c r="V4242" t="s">
        <v>41</v>
      </c>
      <c r="W4242" t="s">
        <v>49</v>
      </c>
      <c r="X4242" t="str">
        <f>"0581200"</f>
        <v>0581200</v>
      </c>
      <c r="Y4242" t="s">
        <v>238</v>
      </c>
      <c r="Z4242" t="s">
        <v>223</v>
      </c>
      <c r="AA4242" t="s">
        <v>224</v>
      </c>
      <c r="AB4242" t="s">
        <v>131</v>
      </c>
      <c r="AC4242" t="s">
        <v>51</v>
      </c>
      <c r="AD4242" t="s">
        <v>45</v>
      </c>
      <c r="AE4242" s="1">
        <v>24403</v>
      </c>
      <c r="AF4242">
        <v>2</v>
      </c>
      <c r="AG4242" t="s">
        <v>224</v>
      </c>
      <c r="AH4242" s="36">
        <f t="shared" si="66"/>
        <v>52.927777777777777</v>
      </c>
      <c r="AI4242" s="41" t="s">
        <v>1781</v>
      </c>
    </row>
    <row r="4243" spans="1:35" x14ac:dyDescent="0.25">
      <c r="A4243" s="36">
        <v>99914241</v>
      </c>
      <c r="B4243" s="17" t="s">
        <v>32</v>
      </c>
      <c r="C4243" t="s">
        <v>52</v>
      </c>
      <c r="D4243" t="s">
        <v>53</v>
      </c>
      <c r="G4243" s="17" t="s">
        <v>35</v>
      </c>
      <c r="H4243" s="17">
        <v>1</v>
      </c>
      <c r="I4243" t="s">
        <v>209</v>
      </c>
      <c r="J4243" s="1">
        <v>43344</v>
      </c>
      <c r="K4243" t="s">
        <v>162</v>
      </c>
      <c r="L4243" t="s">
        <v>158</v>
      </c>
      <c r="M4243" t="s">
        <v>131</v>
      </c>
      <c r="N4243">
        <v>20</v>
      </c>
      <c r="O4243" t="s">
        <v>40</v>
      </c>
      <c r="P4243" t="s">
        <v>40</v>
      </c>
      <c r="Q4243" t="s">
        <v>40</v>
      </c>
      <c r="R4243" t="s">
        <v>40</v>
      </c>
      <c r="S4243" t="s">
        <v>40</v>
      </c>
      <c r="U4243" s="1">
        <v>43344</v>
      </c>
      <c r="V4243" t="s">
        <v>41</v>
      </c>
      <c r="W4243" t="s">
        <v>49</v>
      </c>
      <c r="X4243" t="str">
        <f>"0505050"</f>
        <v>0505050</v>
      </c>
      <c r="Y4243" t="s">
        <v>163</v>
      </c>
      <c r="Z4243" t="s">
        <v>162</v>
      </c>
      <c r="AA4243" t="s">
        <v>158</v>
      </c>
      <c r="AB4243" t="s">
        <v>131</v>
      </c>
      <c r="AC4243" t="s">
        <v>165</v>
      </c>
      <c r="AD4243" t="s">
        <v>45</v>
      </c>
      <c r="AE4243" s="1">
        <v>24401</v>
      </c>
      <c r="AF4243">
        <v>2</v>
      </c>
      <c r="AG4243" t="s">
        <v>158</v>
      </c>
      <c r="AH4243" s="36">
        <f t="shared" si="66"/>
        <v>52.93333333333333</v>
      </c>
      <c r="AI4243" s="41" t="s">
        <v>1781</v>
      </c>
    </row>
    <row r="4244" spans="1:35" x14ac:dyDescent="0.25">
      <c r="A4244" s="36">
        <v>99914242</v>
      </c>
      <c r="B4244" s="17" t="s">
        <v>32</v>
      </c>
      <c r="C4244" t="s">
        <v>71</v>
      </c>
      <c r="D4244" t="s">
        <v>72</v>
      </c>
      <c r="G4244" s="17" t="s">
        <v>35</v>
      </c>
      <c r="H4244" s="17">
        <v>1</v>
      </c>
      <c r="I4244" t="s">
        <v>348</v>
      </c>
      <c r="J4244" s="1">
        <v>43344</v>
      </c>
      <c r="K4244" t="s">
        <v>345</v>
      </c>
      <c r="L4244" t="s">
        <v>346</v>
      </c>
      <c r="M4244" t="s">
        <v>131</v>
      </c>
      <c r="N4244">
        <v>21</v>
      </c>
      <c r="O4244" t="s">
        <v>40</v>
      </c>
      <c r="S4244" t="s">
        <v>40</v>
      </c>
      <c r="U4244" s="1">
        <v>43344</v>
      </c>
      <c r="V4244" t="s">
        <v>41</v>
      </c>
      <c r="W4244" t="s">
        <v>49</v>
      </c>
      <c r="X4244" t="str">
        <f>"0581155"</f>
        <v>0581155</v>
      </c>
      <c r="Y4244" t="s">
        <v>349</v>
      </c>
      <c r="Z4244" t="s">
        <v>345</v>
      </c>
      <c r="AA4244" t="s">
        <v>346</v>
      </c>
      <c r="AB4244" t="s">
        <v>131</v>
      </c>
      <c r="AC4244" t="s">
        <v>51</v>
      </c>
      <c r="AD4244" t="s">
        <v>45</v>
      </c>
      <c r="AE4244" s="1">
        <v>24401</v>
      </c>
      <c r="AF4244">
        <v>2</v>
      </c>
      <c r="AG4244" t="s">
        <v>346</v>
      </c>
      <c r="AH4244" s="36">
        <f t="shared" si="66"/>
        <v>52.93333333333333</v>
      </c>
      <c r="AI4244" s="41" t="s">
        <v>1781</v>
      </c>
    </row>
    <row r="4245" spans="1:35" x14ac:dyDescent="0.25">
      <c r="A4245" s="36">
        <v>99914243</v>
      </c>
      <c r="B4245" s="17" t="s">
        <v>32</v>
      </c>
      <c r="C4245" t="s">
        <v>46</v>
      </c>
      <c r="D4245" t="s">
        <v>47</v>
      </c>
      <c r="G4245" s="17" t="s">
        <v>35</v>
      </c>
      <c r="H4245" s="17">
        <v>1</v>
      </c>
      <c r="K4245" t="s">
        <v>157</v>
      </c>
      <c r="L4245" t="s">
        <v>158</v>
      </c>
      <c r="M4245" t="s">
        <v>131</v>
      </c>
      <c r="N4245">
        <v>30</v>
      </c>
      <c r="O4245" t="s">
        <v>40</v>
      </c>
      <c r="P4245" t="s">
        <v>40</v>
      </c>
      <c r="Q4245" t="s">
        <v>40</v>
      </c>
      <c r="S4245" t="s">
        <v>40</v>
      </c>
      <c r="V4245" t="s">
        <v>41</v>
      </c>
      <c r="W4245" t="s">
        <v>49</v>
      </c>
      <c r="X4245" t="str">
        <f>"0581725"</f>
        <v>0581725</v>
      </c>
      <c r="Y4245" t="s">
        <v>161</v>
      </c>
      <c r="Z4245" t="s">
        <v>157</v>
      </c>
      <c r="AA4245" t="s">
        <v>158</v>
      </c>
      <c r="AB4245" t="s">
        <v>131</v>
      </c>
      <c r="AC4245" t="s">
        <v>51</v>
      </c>
      <c r="AD4245" t="s">
        <v>45</v>
      </c>
      <c r="AE4245" s="1">
        <v>24399</v>
      </c>
      <c r="AF4245">
        <v>2</v>
      </c>
      <c r="AG4245" t="s">
        <v>158</v>
      </c>
      <c r="AH4245" s="36">
        <f t="shared" si="66"/>
        <v>52.93888888888889</v>
      </c>
      <c r="AI4245" s="41" t="s">
        <v>1781</v>
      </c>
    </row>
    <row r="4246" spans="1:35" x14ac:dyDescent="0.25">
      <c r="A4246" s="36">
        <v>99914244</v>
      </c>
      <c r="B4246" s="17" t="s">
        <v>56</v>
      </c>
      <c r="C4246" t="s">
        <v>46</v>
      </c>
      <c r="D4246" t="s">
        <v>47</v>
      </c>
      <c r="G4246" s="17" t="s">
        <v>48</v>
      </c>
      <c r="H4246" s="17">
        <v>1</v>
      </c>
      <c r="K4246" t="s">
        <v>1268</v>
      </c>
      <c r="L4246" t="s">
        <v>1269</v>
      </c>
      <c r="M4246" t="s">
        <v>1270</v>
      </c>
      <c r="N4246">
        <v>18</v>
      </c>
      <c r="O4246" t="s">
        <v>40</v>
      </c>
      <c r="P4246" t="s">
        <v>40</v>
      </c>
      <c r="Q4246" t="s">
        <v>40</v>
      </c>
      <c r="R4246" t="s">
        <v>40</v>
      </c>
      <c r="S4246" t="s">
        <v>40</v>
      </c>
      <c r="V4246" t="s">
        <v>41</v>
      </c>
      <c r="W4246" t="s">
        <v>42</v>
      </c>
      <c r="X4246" t="str">
        <f>"1990911"</f>
        <v>1990911</v>
      </c>
      <c r="Y4246" t="s">
        <v>1276</v>
      </c>
      <c r="Z4246" t="s">
        <v>1268</v>
      </c>
      <c r="AA4246" t="s">
        <v>1269</v>
      </c>
      <c r="AB4246" t="s">
        <v>1270</v>
      </c>
      <c r="AC4246" t="s">
        <v>51</v>
      </c>
      <c r="AD4246" t="s">
        <v>45</v>
      </c>
      <c r="AE4246" s="1">
        <v>24397</v>
      </c>
      <c r="AF4246">
        <v>2</v>
      </c>
      <c r="AG4246" t="s">
        <v>1269</v>
      </c>
      <c r="AH4246" s="36">
        <f t="shared" si="66"/>
        <v>52.944444444444443</v>
      </c>
      <c r="AI4246" s="41" t="s">
        <v>1781</v>
      </c>
    </row>
    <row r="4247" spans="1:35" x14ac:dyDescent="0.25">
      <c r="A4247" s="36">
        <v>99914245</v>
      </c>
      <c r="B4247" s="17" t="s">
        <v>32</v>
      </c>
      <c r="C4247" t="s">
        <v>46</v>
      </c>
      <c r="D4247" t="s">
        <v>47</v>
      </c>
      <c r="G4247" s="17" t="s">
        <v>35</v>
      </c>
      <c r="H4247" s="17">
        <v>1</v>
      </c>
      <c r="K4247" t="s">
        <v>223</v>
      </c>
      <c r="L4247" t="s">
        <v>224</v>
      </c>
      <c r="M4247" t="s">
        <v>131</v>
      </c>
      <c r="N4247">
        <v>18</v>
      </c>
      <c r="O4247" t="s">
        <v>40</v>
      </c>
      <c r="P4247" t="s">
        <v>40</v>
      </c>
      <c r="Q4247" t="s">
        <v>40</v>
      </c>
      <c r="R4247" t="s">
        <v>40</v>
      </c>
      <c r="S4247" t="s">
        <v>40</v>
      </c>
      <c r="V4247" t="s">
        <v>41</v>
      </c>
      <c r="W4247" t="s">
        <v>42</v>
      </c>
      <c r="X4247" t="str">
        <f>"0590901"</f>
        <v>0590901</v>
      </c>
      <c r="Y4247" t="s">
        <v>242</v>
      </c>
      <c r="Z4247" t="s">
        <v>223</v>
      </c>
      <c r="AA4247" t="s">
        <v>224</v>
      </c>
      <c r="AB4247" t="s">
        <v>131</v>
      </c>
      <c r="AC4247" t="s">
        <v>165</v>
      </c>
      <c r="AD4247" t="s">
        <v>45</v>
      </c>
      <c r="AE4247" s="1">
        <v>24396</v>
      </c>
      <c r="AF4247">
        <v>2</v>
      </c>
      <c r="AG4247" t="s">
        <v>224</v>
      </c>
      <c r="AH4247" s="36">
        <f t="shared" si="66"/>
        <v>52.947222222222223</v>
      </c>
      <c r="AI4247" s="41" t="s">
        <v>1781</v>
      </c>
    </row>
    <row r="4248" spans="1:35" x14ac:dyDescent="0.25">
      <c r="A4248" s="36">
        <v>99914246</v>
      </c>
      <c r="B4248" s="17" t="s">
        <v>32</v>
      </c>
      <c r="C4248" t="s">
        <v>46</v>
      </c>
      <c r="D4248" t="s">
        <v>47</v>
      </c>
      <c r="G4248" s="17" t="s">
        <v>48</v>
      </c>
      <c r="H4248" s="17">
        <v>1</v>
      </c>
      <c r="K4248" t="s">
        <v>223</v>
      </c>
      <c r="L4248" t="s">
        <v>224</v>
      </c>
      <c r="M4248" t="s">
        <v>131</v>
      </c>
      <c r="N4248">
        <v>18</v>
      </c>
      <c r="O4248" t="s">
        <v>40</v>
      </c>
      <c r="P4248" t="s">
        <v>40</v>
      </c>
      <c r="Q4248" t="s">
        <v>40</v>
      </c>
      <c r="R4248" t="s">
        <v>40</v>
      </c>
      <c r="S4248" t="s">
        <v>40</v>
      </c>
      <c r="V4248" t="s">
        <v>41</v>
      </c>
      <c r="W4248" t="s">
        <v>42</v>
      </c>
      <c r="X4248" t="str">
        <f>"0580203"</f>
        <v>0580203</v>
      </c>
      <c r="Y4248" t="s">
        <v>239</v>
      </c>
      <c r="Z4248" t="s">
        <v>223</v>
      </c>
      <c r="AA4248" t="s">
        <v>224</v>
      </c>
      <c r="AB4248" t="s">
        <v>131</v>
      </c>
      <c r="AC4248" t="s">
        <v>165</v>
      </c>
      <c r="AD4248" t="s">
        <v>45</v>
      </c>
      <c r="AE4248" s="1">
        <v>24394</v>
      </c>
      <c r="AF4248">
        <v>2</v>
      </c>
      <c r="AG4248" t="s">
        <v>224</v>
      </c>
      <c r="AH4248" s="36">
        <f t="shared" si="66"/>
        <v>52.952777777777776</v>
      </c>
      <c r="AI4248" s="41" t="s">
        <v>1781</v>
      </c>
    </row>
    <row r="4249" spans="1:35" x14ac:dyDescent="0.25">
      <c r="A4249" s="36">
        <v>99914247</v>
      </c>
      <c r="B4249" s="17" t="s">
        <v>32</v>
      </c>
      <c r="C4249" t="s">
        <v>64</v>
      </c>
      <c r="D4249" t="s">
        <v>65</v>
      </c>
      <c r="G4249" s="17" t="s">
        <v>48</v>
      </c>
      <c r="H4249" s="17">
        <v>1</v>
      </c>
      <c r="K4249" t="s">
        <v>223</v>
      </c>
      <c r="L4249" t="s">
        <v>224</v>
      </c>
      <c r="M4249" t="s">
        <v>131</v>
      </c>
      <c r="N4249">
        <v>20</v>
      </c>
      <c r="O4249" t="s">
        <v>40</v>
      </c>
      <c r="P4249" t="s">
        <v>40</v>
      </c>
      <c r="Q4249" t="s">
        <v>40</v>
      </c>
      <c r="R4249" t="s">
        <v>40</v>
      </c>
      <c r="S4249" t="s">
        <v>40</v>
      </c>
      <c r="V4249" t="s">
        <v>41</v>
      </c>
      <c r="W4249" t="s">
        <v>49</v>
      </c>
      <c r="X4249" t="str">
        <f>"0581204"</f>
        <v>0581204</v>
      </c>
      <c r="Y4249" t="s">
        <v>249</v>
      </c>
      <c r="Z4249" t="s">
        <v>223</v>
      </c>
      <c r="AA4249" t="s">
        <v>224</v>
      </c>
      <c r="AB4249" t="s">
        <v>131</v>
      </c>
      <c r="AC4249" t="s">
        <v>165</v>
      </c>
      <c r="AD4249" t="s">
        <v>45</v>
      </c>
      <c r="AE4249" s="1">
        <v>24393</v>
      </c>
      <c r="AF4249">
        <v>2</v>
      </c>
      <c r="AG4249" t="s">
        <v>224</v>
      </c>
      <c r="AH4249" s="36">
        <f t="shared" si="66"/>
        <v>52.955555555555556</v>
      </c>
      <c r="AI4249" s="41" t="s">
        <v>1781</v>
      </c>
    </row>
    <row r="4250" spans="1:35" x14ac:dyDescent="0.25">
      <c r="A4250" s="36">
        <v>99914248</v>
      </c>
      <c r="B4250" s="17" t="s">
        <v>32</v>
      </c>
      <c r="C4250" t="s">
        <v>46</v>
      </c>
      <c r="D4250" t="s">
        <v>47</v>
      </c>
      <c r="G4250" s="17" t="s">
        <v>48</v>
      </c>
      <c r="H4250" s="17">
        <v>1</v>
      </c>
      <c r="K4250" t="s">
        <v>223</v>
      </c>
      <c r="L4250" t="s">
        <v>224</v>
      </c>
      <c r="M4250" t="s">
        <v>131</v>
      </c>
      <c r="N4250">
        <v>20</v>
      </c>
      <c r="O4250" t="s">
        <v>40</v>
      </c>
      <c r="P4250" t="s">
        <v>40</v>
      </c>
      <c r="Q4250" t="s">
        <v>40</v>
      </c>
      <c r="S4250" t="s">
        <v>40</v>
      </c>
      <c r="V4250" t="s">
        <v>41</v>
      </c>
      <c r="W4250" t="s">
        <v>49</v>
      </c>
      <c r="X4250" t="str">
        <f>"0581204"</f>
        <v>0581204</v>
      </c>
      <c r="Y4250" t="s">
        <v>249</v>
      </c>
      <c r="Z4250" t="s">
        <v>223</v>
      </c>
      <c r="AA4250" t="s">
        <v>224</v>
      </c>
      <c r="AB4250" t="s">
        <v>131</v>
      </c>
      <c r="AC4250" t="s">
        <v>165</v>
      </c>
      <c r="AD4250" t="s">
        <v>45</v>
      </c>
      <c r="AE4250" s="1">
        <v>24392</v>
      </c>
      <c r="AF4250">
        <v>2</v>
      </c>
      <c r="AG4250" t="s">
        <v>224</v>
      </c>
      <c r="AH4250" s="36">
        <f t="shared" si="66"/>
        <v>52.958333333333336</v>
      </c>
      <c r="AI4250" s="41" t="s">
        <v>1781</v>
      </c>
    </row>
    <row r="4251" spans="1:35" x14ac:dyDescent="0.25">
      <c r="A4251" s="36">
        <v>99914249</v>
      </c>
      <c r="B4251" s="17" t="s">
        <v>32</v>
      </c>
      <c r="C4251" t="s">
        <v>46</v>
      </c>
      <c r="D4251" t="s">
        <v>47</v>
      </c>
      <c r="G4251" s="17" t="s">
        <v>48</v>
      </c>
      <c r="H4251" s="17">
        <v>1</v>
      </c>
      <c r="K4251" t="s">
        <v>380</v>
      </c>
      <c r="L4251" t="s">
        <v>381</v>
      </c>
      <c r="M4251" t="s">
        <v>131</v>
      </c>
      <c r="N4251">
        <v>20</v>
      </c>
      <c r="O4251" t="s">
        <v>40</v>
      </c>
      <c r="P4251" t="s">
        <v>40</v>
      </c>
      <c r="Q4251" t="s">
        <v>40</v>
      </c>
      <c r="R4251" t="s">
        <v>40</v>
      </c>
      <c r="S4251" t="s">
        <v>40</v>
      </c>
      <c r="V4251" t="s">
        <v>41</v>
      </c>
      <c r="W4251" t="s">
        <v>49</v>
      </c>
      <c r="X4251" t="str">
        <f>"0591908"</f>
        <v>0591908</v>
      </c>
      <c r="Y4251" t="s">
        <v>383</v>
      </c>
      <c r="Z4251" t="s">
        <v>380</v>
      </c>
      <c r="AA4251" t="s">
        <v>381</v>
      </c>
      <c r="AB4251" t="s">
        <v>131</v>
      </c>
      <c r="AC4251" t="s">
        <v>51</v>
      </c>
      <c r="AD4251" t="s">
        <v>45</v>
      </c>
      <c r="AE4251" s="1">
        <v>24390</v>
      </c>
      <c r="AF4251">
        <v>2</v>
      </c>
      <c r="AG4251" t="s">
        <v>381</v>
      </c>
      <c r="AH4251" s="36">
        <f t="shared" si="66"/>
        <v>52.963888888888889</v>
      </c>
      <c r="AI4251" s="41" t="s">
        <v>1781</v>
      </c>
    </row>
    <row r="4252" spans="1:35" x14ac:dyDescent="0.25">
      <c r="A4252" s="36">
        <v>99914250</v>
      </c>
      <c r="B4252" s="17" t="s">
        <v>32</v>
      </c>
      <c r="C4252" t="s">
        <v>90</v>
      </c>
      <c r="D4252" t="s">
        <v>91</v>
      </c>
      <c r="G4252" s="17" t="s">
        <v>48</v>
      </c>
      <c r="H4252" s="17">
        <v>1</v>
      </c>
      <c r="K4252" t="s">
        <v>1725</v>
      </c>
      <c r="L4252" t="s">
        <v>1726</v>
      </c>
      <c r="M4252" t="s">
        <v>1705</v>
      </c>
      <c r="N4252">
        <v>25</v>
      </c>
      <c r="O4252" t="s">
        <v>40</v>
      </c>
      <c r="P4252" t="s">
        <v>40</v>
      </c>
      <c r="Q4252" t="s">
        <v>40</v>
      </c>
      <c r="R4252" t="s">
        <v>40</v>
      </c>
      <c r="S4252" t="s">
        <v>40</v>
      </c>
      <c r="V4252" t="s">
        <v>41</v>
      </c>
      <c r="W4252" t="s">
        <v>95</v>
      </c>
      <c r="X4252" t="str">
        <f>"7461015"</f>
        <v>7461015</v>
      </c>
      <c r="Y4252" t="s">
        <v>1735</v>
      </c>
      <c r="Z4252" t="s">
        <v>1725</v>
      </c>
      <c r="AA4252" t="s">
        <v>1726</v>
      </c>
      <c r="AB4252" t="s">
        <v>1705</v>
      </c>
      <c r="AC4252" t="s">
        <v>51</v>
      </c>
      <c r="AD4252" t="s">
        <v>45</v>
      </c>
      <c r="AE4252" s="1">
        <v>24388</v>
      </c>
      <c r="AF4252">
        <v>1</v>
      </c>
      <c r="AG4252" t="s">
        <v>1726</v>
      </c>
      <c r="AH4252" s="36">
        <f t="shared" si="66"/>
        <v>52.969444444444441</v>
      </c>
      <c r="AI4252" s="41" t="s">
        <v>1781</v>
      </c>
    </row>
    <row r="4253" spans="1:35" x14ac:dyDescent="0.25">
      <c r="A4253" s="36">
        <v>99914251</v>
      </c>
      <c r="B4253" s="17" t="s">
        <v>32</v>
      </c>
      <c r="C4253" t="s">
        <v>141</v>
      </c>
      <c r="D4253" t="s">
        <v>142</v>
      </c>
      <c r="G4253" s="17" t="s">
        <v>48</v>
      </c>
      <c r="H4253" s="17">
        <v>1</v>
      </c>
      <c r="K4253" t="s">
        <v>129</v>
      </c>
      <c r="L4253" t="s">
        <v>130</v>
      </c>
      <c r="M4253" t="s">
        <v>131</v>
      </c>
      <c r="N4253">
        <v>4</v>
      </c>
      <c r="O4253" t="s">
        <v>40</v>
      </c>
      <c r="P4253" t="s">
        <v>40</v>
      </c>
      <c r="Q4253" t="s">
        <v>40</v>
      </c>
      <c r="S4253" t="s">
        <v>40</v>
      </c>
      <c r="V4253" t="s">
        <v>41</v>
      </c>
      <c r="W4253" t="s">
        <v>49</v>
      </c>
      <c r="X4253" t="str">
        <f>"0560024"</f>
        <v>0560024</v>
      </c>
      <c r="Y4253" t="s">
        <v>138</v>
      </c>
      <c r="Z4253" t="s">
        <v>129</v>
      </c>
      <c r="AA4253" t="s">
        <v>130</v>
      </c>
      <c r="AB4253" t="s">
        <v>131</v>
      </c>
      <c r="AC4253" t="s">
        <v>51</v>
      </c>
      <c r="AD4253" t="s">
        <v>45</v>
      </c>
      <c r="AE4253" s="1">
        <v>24381</v>
      </c>
      <c r="AF4253">
        <v>2</v>
      </c>
      <c r="AG4253" t="s">
        <v>130</v>
      </c>
      <c r="AH4253" s="36">
        <f t="shared" si="66"/>
        <v>52.988888888888887</v>
      </c>
      <c r="AI4253" s="41" t="s">
        <v>1781</v>
      </c>
    </row>
    <row r="4254" spans="1:35" x14ac:dyDescent="0.25">
      <c r="A4254" s="36">
        <v>99914252</v>
      </c>
      <c r="B4254" s="17" t="s">
        <v>32</v>
      </c>
      <c r="C4254" t="s">
        <v>139</v>
      </c>
      <c r="D4254" t="s">
        <v>140</v>
      </c>
      <c r="G4254" s="17" t="s">
        <v>35</v>
      </c>
      <c r="H4254" s="17">
        <v>1</v>
      </c>
      <c r="K4254" t="s">
        <v>345</v>
      </c>
      <c r="L4254" t="s">
        <v>346</v>
      </c>
      <c r="M4254" t="s">
        <v>131</v>
      </c>
      <c r="N4254">
        <v>25</v>
      </c>
      <c r="O4254" t="s">
        <v>40</v>
      </c>
      <c r="P4254" t="s">
        <v>40</v>
      </c>
      <c r="Q4254" t="s">
        <v>40</v>
      </c>
      <c r="R4254" t="s">
        <v>40</v>
      </c>
      <c r="S4254" t="s">
        <v>40</v>
      </c>
      <c r="V4254" t="s">
        <v>41</v>
      </c>
      <c r="W4254" t="s">
        <v>75</v>
      </c>
      <c r="X4254" t="str">
        <f>"7054012"</f>
        <v>7054012</v>
      </c>
      <c r="Y4254" t="s">
        <v>353</v>
      </c>
      <c r="Z4254" t="s">
        <v>354</v>
      </c>
      <c r="AA4254" t="s">
        <v>355</v>
      </c>
      <c r="AB4254" t="s">
        <v>131</v>
      </c>
      <c r="AC4254" t="s">
        <v>51</v>
      </c>
      <c r="AD4254" t="s">
        <v>45</v>
      </c>
      <c r="AE4254" s="1">
        <v>24380</v>
      </c>
      <c r="AF4254">
        <v>2</v>
      </c>
      <c r="AG4254" t="s">
        <v>346</v>
      </c>
      <c r="AH4254" s="36">
        <f t="shared" si="66"/>
        <v>52.991666666666667</v>
      </c>
      <c r="AI4254" s="41" t="s">
        <v>1781</v>
      </c>
    </row>
    <row r="4255" spans="1:35" x14ac:dyDescent="0.25">
      <c r="A4255" s="36">
        <v>99914253</v>
      </c>
      <c r="B4255" s="17" t="s">
        <v>32</v>
      </c>
      <c r="C4255" t="s">
        <v>64</v>
      </c>
      <c r="D4255" t="s">
        <v>65</v>
      </c>
      <c r="G4255" s="17" t="s">
        <v>48</v>
      </c>
      <c r="H4255" s="17">
        <v>13</v>
      </c>
      <c r="K4255" t="s">
        <v>195</v>
      </c>
      <c r="L4255" t="s">
        <v>196</v>
      </c>
      <c r="M4255" t="s">
        <v>131</v>
      </c>
      <c r="N4255">
        <v>21</v>
      </c>
      <c r="O4255" t="s">
        <v>40</v>
      </c>
      <c r="P4255" t="s">
        <v>40</v>
      </c>
      <c r="Q4255" t="s">
        <v>40</v>
      </c>
      <c r="R4255" t="s">
        <v>40</v>
      </c>
      <c r="S4255" t="s">
        <v>40</v>
      </c>
      <c r="U4255" s="1">
        <v>39326</v>
      </c>
      <c r="V4255" t="s">
        <v>41</v>
      </c>
      <c r="W4255" t="s">
        <v>75</v>
      </c>
      <c r="X4255" t="str">
        <f>"7521042"</f>
        <v>7521042</v>
      </c>
      <c r="Y4255" t="s">
        <v>440</v>
      </c>
      <c r="Z4255" t="s">
        <v>195</v>
      </c>
      <c r="AA4255" t="s">
        <v>196</v>
      </c>
      <c r="AB4255" t="s">
        <v>131</v>
      </c>
      <c r="AC4255" t="s">
        <v>51</v>
      </c>
      <c r="AD4255" t="s">
        <v>45</v>
      </c>
      <c r="AE4255" s="1">
        <v>24374</v>
      </c>
      <c r="AF4255">
        <v>1</v>
      </c>
      <c r="AG4255" t="s">
        <v>196</v>
      </c>
      <c r="AH4255" s="36">
        <f t="shared" si="66"/>
        <v>53.008333333333333</v>
      </c>
      <c r="AI4255" s="41" t="s">
        <v>1781</v>
      </c>
    </row>
    <row r="4256" spans="1:35" x14ac:dyDescent="0.25">
      <c r="A4256" s="36">
        <v>99914254</v>
      </c>
      <c r="B4256" s="17" t="s">
        <v>56</v>
      </c>
      <c r="C4256" t="s">
        <v>85</v>
      </c>
      <c r="D4256" t="s">
        <v>86</v>
      </c>
      <c r="G4256" s="17" t="s">
        <v>48</v>
      </c>
      <c r="H4256" s="17">
        <v>1</v>
      </c>
      <c r="K4256" t="s">
        <v>223</v>
      </c>
      <c r="L4256" t="s">
        <v>224</v>
      </c>
      <c r="M4256" t="s">
        <v>131</v>
      </c>
      <c r="N4256">
        <v>20</v>
      </c>
      <c r="O4256" t="s">
        <v>40</v>
      </c>
      <c r="P4256" t="s">
        <v>40</v>
      </c>
      <c r="Q4256" t="s">
        <v>40</v>
      </c>
      <c r="S4256" t="s">
        <v>40</v>
      </c>
      <c r="V4256" t="s">
        <v>41</v>
      </c>
      <c r="W4256" t="s">
        <v>49</v>
      </c>
      <c r="X4256" t="str">
        <f>"0581206"</f>
        <v>0581206</v>
      </c>
      <c r="Y4256" t="s">
        <v>232</v>
      </c>
      <c r="Z4256" t="s">
        <v>223</v>
      </c>
      <c r="AA4256" t="s">
        <v>224</v>
      </c>
      <c r="AB4256" t="s">
        <v>131</v>
      </c>
      <c r="AC4256" t="s">
        <v>51</v>
      </c>
      <c r="AD4256" t="s">
        <v>45</v>
      </c>
      <c r="AE4256" s="1">
        <v>24372</v>
      </c>
      <c r="AF4256">
        <v>2</v>
      </c>
      <c r="AG4256" t="s">
        <v>224</v>
      </c>
      <c r="AH4256" s="36">
        <f t="shared" si="66"/>
        <v>53.013888888888886</v>
      </c>
      <c r="AI4256" s="41" t="s">
        <v>1781</v>
      </c>
    </row>
    <row r="4257" spans="1:35" x14ac:dyDescent="0.25">
      <c r="A4257" s="36">
        <v>99914255</v>
      </c>
      <c r="B4257" s="17" t="s">
        <v>56</v>
      </c>
      <c r="C4257" t="s">
        <v>68</v>
      </c>
      <c r="D4257" t="s">
        <v>69</v>
      </c>
      <c r="G4257" s="17" t="s">
        <v>48</v>
      </c>
      <c r="H4257" s="17">
        <v>1</v>
      </c>
      <c r="K4257" t="s">
        <v>162</v>
      </c>
      <c r="L4257" t="s">
        <v>158</v>
      </c>
      <c r="M4257" t="s">
        <v>131</v>
      </c>
      <c r="N4257">
        <v>23</v>
      </c>
      <c r="O4257" t="s">
        <v>40</v>
      </c>
      <c r="P4257" t="s">
        <v>40</v>
      </c>
      <c r="Q4257" t="s">
        <v>40</v>
      </c>
      <c r="R4257" t="s">
        <v>40</v>
      </c>
      <c r="S4257" t="s">
        <v>40</v>
      </c>
      <c r="V4257" t="s">
        <v>41</v>
      </c>
      <c r="W4257" t="s">
        <v>49</v>
      </c>
      <c r="X4257" t="str">
        <f>"0560003"</f>
        <v>0560003</v>
      </c>
      <c r="Y4257" t="s">
        <v>181</v>
      </c>
      <c r="Z4257" t="s">
        <v>162</v>
      </c>
      <c r="AA4257" t="s">
        <v>158</v>
      </c>
      <c r="AB4257" t="s">
        <v>131</v>
      </c>
      <c r="AC4257" t="s">
        <v>51</v>
      </c>
      <c r="AD4257" t="s">
        <v>45</v>
      </c>
      <c r="AE4257" s="1">
        <v>24368</v>
      </c>
      <c r="AF4257">
        <v>2</v>
      </c>
      <c r="AG4257" t="s">
        <v>158</v>
      </c>
      <c r="AH4257" s="36">
        <f t="shared" si="66"/>
        <v>53.024999999999999</v>
      </c>
      <c r="AI4257" s="41" t="s">
        <v>1781</v>
      </c>
    </row>
    <row r="4258" spans="1:35" x14ac:dyDescent="0.25">
      <c r="A4258" s="36">
        <v>99914256</v>
      </c>
      <c r="B4258" s="17" t="s">
        <v>56</v>
      </c>
      <c r="C4258" t="s">
        <v>1282</v>
      </c>
      <c r="D4258" t="s">
        <v>1283</v>
      </c>
      <c r="G4258" s="17" t="s">
        <v>35</v>
      </c>
      <c r="H4258" s="17">
        <v>1</v>
      </c>
      <c r="K4258" t="s">
        <v>1268</v>
      </c>
      <c r="L4258" t="s">
        <v>1269</v>
      </c>
      <c r="M4258" t="s">
        <v>1270</v>
      </c>
      <c r="N4258">
        <v>18</v>
      </c>
      <c r="O4258" t="s">
        <v>40</v>
      </c>
      <c r="P4258" t="s">
        <v>40</v>
      </c>
      <c r="Q4258" t="s">
        <v>40</v>
      </c>
      <c r="S4258" t="s">
        <v>40</v>
      </c>
      <c r="V4258" t="s">
        <v>41</v>
      </c>
      <c r="W4258" t="s">
        <v>922</v>
      </c>
      <c r="X4258" t="str">
        <f>"1950001"</f>
        <v>1950001</v>
      </c>
      <c r="Y4258" t="s">
        <v>1284</v>
      </c>
      <c r="Z4258" t="s">
        <v>1268</v>
      </c>
      <c r="AA4258" t="s">
        <v>1269</v>
      </c>
      <c r="AB4258" t="s">
        <v>1270</v>
      </c>
      <c r="AC4258" t="s">
        <v>51</v>
      </c>
      <c r="AD4258" t="s">
        <v>45</v>
      </c>
      <c r="AE4258" s="1">
        <v>24367</v>
      </c>
      <c r="AF4258">
        <v>2</v>
      </c>
      <c r="AG4258" t="s">
        <v>1269</v>
      </c>
      <c r="AH4258" s="36">
        <f t="shared" si="66"/>
        <v>53.027777777777779</v>
      </c>
      <c r="AI4258" s="41" t="s">
        <v>1781</v>
      </c>
    </row>
    <row r="4259" spans="1:35" x14ac:dyDescent="0.25">
      <c r="A4259" s="36">
        <v>99914257</v>
      </c>
      <c r="B4259" s="17" t="s">
        <v>32</v>
      </c>
      <c r="C4259" t="s">
        <v>46</v>
      </c>
      <c r="D4259" t="s">
        <v>47</v>
      </c>
      <c r="G4259" s="17" t="s">
        <v>48</v>
      </c>
      <c r="H4259" s="17">
        <v>1</v>
      </c>
      <c r="K4259" t="s">
        <v>223</v>
      </c>
      <c r="L4259" t="s">
        <v>224</v>
      </c>
      <c r="M4259" t="s">
        <v>131</v>
      </c>
      <c r="N4259">
        <v>18</v>
      </c>
      <c r="O4259" t="s">
        <v>40</v>
      </c>
      <c r="P4259" t="s">
        <v>40</v>
      </c>
      <c r="Q4259" t="s">
        <v>40</v>
      </c>
      <c r="S4259" t="s">
        <v>40</v>
      </c>
      <c r="V4259" t="s">
        <v>41</v>
      </c>
      <c r="W4259" t="s">
        <v>49</v>
      </c>
      <c r="X4259" t="str">
        <f>"0509999"</f>
        <v>0509999</v>
      </c>
      <c r="Y4259" t="s">
        <v>247</v>
      </c>
      <c r="Z4259" t="s">
        <v>223</v>
      </c>
      <c r="AA4259" t="s">
        <v>224</v>
      </c>
      <c r="AB4259" t="s">
        <v>131</v>
      </c>
      <c r="AC4259" t="s">
        <v>51</v>
      </c>
      <c r="AD4259" t="s">
        <v>45</v>
      </c>
      <c r="AE4259" s="1">
        <v>24364</v>
      </c>
      <c r="AF4259">
        <v>2</v>
      </c>
      <c r="AG4259" t="s">
        <v>224</v>
      </c>
      <c r="AH4259" s="36">
        <f t="shared" si="66"/>
        <v>53.036111111111111</v>
      </c>
      <c r="AI4259" s="41" t="s">
        <v>1781</v>
      </c>
    </row>
    <row r="4260" spans="1:35" x14ac:dyDescent="0.25">
      <c r="A4260" s="36">
        <v>99914258</v>
      </c>
      <c r="B4260" s="17" t="s">
        <v>56</v>
      </c>
      <c r="C4260" t="s">
        <v>79</v>
      </c>
      <c r="D4260" t="s">
        <v>80</v>
      </c>
      <c r="G4260" s="17" t="s">
        <v>35</v>
      </c>
      <c r="H4260" s="17">
        <v>1</v>
      </c>
      <c r="K4260" t="s">
        <v>223</v>
      </c>
      <c r="L4260" t="s">
        <v>224</v>
      </c>
      <c r="M4260" t="s">
        <v>131</v>
      </c>
      <c r="N4260">
        <v>20</v>
      </c>
      <c r="O4260" t="s">
        <v>40</v>
      </c>
      <c r="P4260" t="s">
        <v>40</v>
      </c>
      <c r="Q4260" t="s">
        <v>40</v>
      </c>
      <c r="S4260" t="s">
        <v>40</v>
      </c>
      <c r="V4260" t="s">
        <v>41</v>
      </c>
      <c r="W4260" t="s">
        <v>49</v>
      </c>
      <c r="X4260" t="str">
        <f>"0591907"</f>
        <v>0591907</v>
      </c>
      <c r="Y4260" t="s">
        <v>243</v>
      </c>
      <c r="Z4260" t="s">
        <v>223</v>
      </c>
      <c r="AA4260" t="s">
        <v>224</v>
      </c>
      <c r="AB4260" t="s">
        <v>131</v>
      </c>
      <c r="AC4260" t="s">
        <v>51</v>
      </c>
      <c r="AD4260" t="s">
        <v>45</v>
      </c>
      <c r="AE4260" s="1">
        <v>24359</v>
      </c>
      <c r="AF4260">
        <v>2</v>
      </c>
      <c r="AG4260" t="s">
        <v>224</v>
      </c>
      <c r="AH4260" s="36">
        <f t="shared" si="66"/>
        <v>53.05</v>
      </c>
      <c r="AI4260" s="41" t="s">
        <v>1781</v>
      </c>
    </row>
    <row r="4261" spans="1:35" x14ac:dyDescent="0.25">
      <c r="A4261" s="36">
        <v>99914259</v>
      </c>
      <c r="B4261" s="17" t="s">
        <v>56</v>
      </c>
      <c r="C4261" t="s">
        <v>52</v>
      </c>
      <c r="D4261" t="s">
        <v>53</v>
      </c>
      <c r="G4261" s="17" t="s">
        <v>48</v>
      </c>
      <c r="H4261" s="17">
        <v>1</v>
      </c>
      <c r="K4261" t="s">
        <v>223</v>
      </c>
      <c r="L4261" t="s">
        <v>224</v>
      </c>
      <c r="M4261" t="s">
        <v>131</v>
      </c>
      <c r="N4261">
        <v>17</v>
      </c>
      <c r="O4261" t="s">
        <v>40</v>
      </c>
      <c r="P4261" t="s">
        <v>40</v>
      </c>
      <c r="Q4261" t="s">
        <v>40</v>
      </c>
      <c r="R4261" t="s">
        <v>40</v>
      </c>
      <c r="S4261" t="s">
        <v>40</v>
      </c>
      <c r="V4261" t="s">
        <v>41</v>
      </c>
      <c r="W4261" t="s">
        <v>42</v>
      </c>
      <c r="X4261" t="str">
        <f>"0580207"</f>
        <v>0580207</v>
      </c>
      <c r="Y4261" t="s">
        <v>229</v>
      </c>
      <c r="Z4261" t="s">
        <v>223</v>
      </c>
      <c r="AA4261" t="s">
        <v>224</v>
      </c>
      <c r="AB4261" t="s">
        <v>131</v>
      </c>
      <c r="AC4261" t="s">
        <v>51</v>
      </c>
      <c r="AD4261" t="s">
        <v>45</v>
      </c>
      <c r="AE4261" s="1">
        <v>24359</v>
      </c>
      <c r="AF4261">
        <v>2</v>
      </c>
      <c r="AG4261" t="s">
        <v>224</v>
      </c>
      <c r="AH4261" s="36">
        <f t="shared" si="66"/>
        <v>53.05</v>
      </c>
      <c r="AI4261" s="41" t="s">
        <v>1781</v>
      </c>
    </row>
    <row r="4262" spans="1:35" x14ac:dyDescent="0.25">
      <c r="A4262" s="36">
        <v>99914260</v>
      </c>
      <c r="B4262" s="17" t="s">
        <v>56</v>
      </c>
      <c r="C4262" t="s">
        <v>46</v>
      </c>
      <c r="D4262" t="s">
        <v>47</v>
      </c>
      <c r="G4262" s="17" t="s">
        <v>35</v>
      </c>
      <c r="H4262" s="17">
        <v>1</v>
      </c>
      <c r="K4262" t="s">
        <v>223</v>
      </c>
      <c r="L4262" t="s">
        <v>224</v>
      </c>
      <c r="M4262" t="s">
        <v>131</v>
      </c>
      <c r="N4262">
        <v>18</v>
      </c>
      <c r="O4262" t="s">
        <v>40</v>
      </c>
      <c r="P4262" t="s">
        <v>40</v>
      </c>
      <c r="Q4262" t="s">
        <v>40</v>
      </c>
      <c r="R4262" t="s">
        <v>40</v>
      </c>
      <c r="S4262" t="s">
        <v>40</v>
      </c>
      <c r="V4262" t="s">
        <v>41</v>
      </c>
      <c r="W4262" t="s">
        <v>49</v>
      </c>
      <c r="X4262" t="str">
        <f>"0591901"</f>
        <v>0591901</v>
      </c>
      <c r="Y4262" t="s">
        <v>230</v>
      </c>
      <c r="Z4262" t="s">
        <v>223</v>
      </c>
      <c r="AA4262" t="s">
        <v>224</v>
      </c>
      <c r="AB4262" t="s">
        <v>131</v>
      </c>
      <c r="AC4262" t="s">
        <v>165</v>
      </c>
      <c r="AD4262" t="s">
        <v>45</v>
      </c>
      <c r="AE4262" s="1">
        <v>24358</v>
      </c>
      <c r="AF4262">
        <v>2</v>
      </c>
      <c r="AG4262" t="s">
        <v>224</v>
      </c>
      <c r="AH4262" s="36">
        <f t="shared" si="66"/>
        <v>53.052777777777777</v>
      </c>
      <c r="AI4262" s="41" t="s">
        <v>1781</v>
      </c>
    </row>
    <row r="4263" spans="1:35" x14ac:dyDescent="0.25">
      <c r="A4263" s="36">
        <v>99914261</v>
      </c>
      <c r="B4263" s="17" t="s">
        <v>32</v>
      </c>
      <c r="C4263" t="s">
        <v>79</v>
      </c>
      <c r="D4263" t="s">
        <v>80</v>
      </c>
      <c r="G4263" s="17" t="s">
        <v>48</v>
      </c>
      <c r="H4263" s="17">
        <v>14</v>
      </c>
      <c r="I4263" t="s">
        <v>210</v>
      </c>
      <c r="J4263" s="1">
        <v>37500</v>
      </c>
      <c r="K4263" t="s">
        <v>431</v>
      </c>
      <c r="L4263" t="s">
        <v>196</v>
      </c>
      <c r="M4263" t="s">
        <v>131</v>
      </c>
      <c r="N4263">
        <v>18</v>
      </c>
      <c r="O4263" t="s">
        <v>40</v>
      </c>
      <c r="P4263" t="s">
        <v>40</v>
      </c>
      <c r="Q4263" t="s">
        <v>40</v>
      </c>
      <c r="R4263" t="s">
        <v>40</v>
      </c>
      <c r="S4263" t="s">
        <v>40</v>
      </c>
      <c r="U4263" s="1">
        <v>37500</v>
      </c>
      <c r="V4263" t="s">
        <v>41</v>
      </c>
      <c r="W4263" t="s">
        <v>75</v>
      </c>
      <c r="X4263" t="str">
        <f>"7521022"</f>
        <v>7521022</v>
      </c>
      <c r="Y4263" t="s">
        <v>445</v>
      </c>
      <c r="Z4263" t="s">
        <v>431</v>
      </c>
      <c r="AA4263" t="s">
        <v>196</v>
      </c>
      <c r="AB4263" t="s">
        <v>131</v>
      </c>
      <c r="AC4263" t="s">
        <v>51</v>
      </c>
      <c r="AD4263" t="s">
        <v>45</v>
      </c>
      <c r="AE4263" s="1">
        <v>24355</v>
      </c>
      <c r="AF4263">
        <v>1</v>
      </c>
      <c r="AG4263" t="s">
        <v>196</v>
      </c>
      <c r="AH4263" s="36">
        <f t="shared" si="66"/>
        <v>53.06111111111111</v>
      </c>
      <c r="AI4263" s="41" t="s">
        <v>1781</v>
      </c>
    </row>
    <row r="4264" spans="1:35" x14ac:dyDescent="0.25">
      <c r="A4264" s="36">
        <v>99914262</v>
      </c>
      <c r="B4264" s="17" t="s">
        <v>32</v>
      </c>
      <c r="C4264" t="s">
        <v>90</v>
      </c>
      <c r="D4264" t="s">
        <v>91</v>
      </c>
      <c r="G4264" s="17" t="s">
        <v>35</v>
      </c>
      <c r="H4264" s="17">
        <v>1</v>
      </c>
      <c r="I4264" t="s">
        <v>286</v>
      </c>
      <c r="J4264" s="1">
        <v>43344</v>
      </c>
      <c r="K4264" t="s">
        <v>268</v>
      </c>
      <c r="L4264" t="s">
        <v>269</v>
      </c>
      <c r="M4264" t="s">
        <v>131</v>
      </c>
      <c r="N4264">
        <v>20</v>
      </c>
      <c r="O4264" t="s">
        <v>40</v>
      </c>
      <c r="S4264" t="s">
        <v>40</v>
      </c>
      <c r="V4264" t="s">
        <v>41</v>
      </c>
      <c r="W4264" t="s">
        <v>95</v>
      </c>
      <c r="X4264" t="str">
        <f>"7052015"</f>
        <v>7052015</v>
      </c>
      <c r="Y4264" t="s">
        <v>653</v>
      </c>
      <c r="Z4264" t="s">
        <v>268</v>
      </c>
      <c r="AA4264" t="s">
        <v>269</v>
      </c>
      <c r="AB4264" t="s">
        <v>131</v>
      </c>
      <c r="AC4264" t="s">
        <v>51</v>
      </c>
      <c r="AD4264" t="s">
        <v>45</v>
      </c>
      <c r="AE4264" s="1">
        <v>24355</v>
      </c>
      <c r="AF4264">
        <v>1</v>
      </c>
      <c r="AG4264" t="s">
        <v>269</v>
      </c>
      <c r="AH4264" s="36">
        <f t="shared" si="66"/>
        <v>53.06111111111111</v>
      </c>
      <c r="AI4264" s="41" t="s">
        <v>1781</v>
      </c>
    </row>
    <row r="4265" spans="1:35" x14ac:dyDescent="0.25">
      <c r="A4265" s="36">
        <v>99914263</v>
      </c>
      <c r="B4265" s="17" t="s">
        <v>56</v>
      </c>
      <c r="C4265" t="s">
        <v>145</v>
      </c>
      <c r="D4265" t="s">
        <v>146</v>
      </c>
      <c r="G4265" s="17" t="s">
        <v>48</v>
      </c>
      <c r="H4265" s="17">
        <v>1</v>
      </c>
      <c r="K4265" t="s">
        <v>157</v>
      </c>
      <c r="L4265" t="s">
        <v>158</v>
      </c>
      <c r="M4265" t="s">
        <v>131</v>
      </c>
      <c r="N4265">
        <v>20</v>
      </c>
      <c r="O4265" t="s">
        <v>40</v>
      </c>
      <c r="P4265" t="s">
        <v>40</v>
      </c>
      <c r="Q4265" t="s">
        <v>40</v>
      </c>
      <c r="R4265" t="s">
        <v>40</v>
      </c>
      <c r="S4265" t="s">
        <v>40</v>
      </c>
      <c r="V4265" t="s">
        <v>41</v>
      </c>
      <c r="W4265" t="s">
        <v>42</v>
      </c>
      <c r="X4265" t="str">
        <f>"0580290"</f>
        <v>0580290</v>
      </c>
      <c r="Y4265" t="s">
        <v>171</v>
      </c>
      <c r="Z4265" t="s">
        <v>157</v>
      </c>
      <c r="AA4265" t="s">
        <v>158</v>
      </c>
      <c r="AB4265" t="s">
        <v>131</v>
      </c>
      <c r="AC4265" t="s">
        <v>51</v>
      </c>
      <c r="AD4265" t="s">
        <v>45</v>
      </c>
      <c r="AE4265" s="1">
        <v>24353</v>
      </c>
      <c r="AF4265">
        <v>2</v>
      </c>
      <c r="AG4265" t="s">
        <v>158</v>
      </c>
      <c r="AH4265" s="36">
        <f t="shared" si="66"/>
        <v>53.06666666666667</v>
      </c>
      <c r="AI4265" s="41" t="s">
        <v>1781</v>
      </c>
    </row>
    <row r="4266" spans="1:35" x14ac:dyDescent="0.25">
      <c r="A4266" s="36">
        <v>99914264</v>
      </c>
      <c r="B4266" s="17" t="s">
        <v>56</v>
      </c>
      <c r="C4266" t="s">
        <v>82</v>
      </c>
      <c r="D4266" t="s">
        <v>83</v>
      </c>
      <c r="G4266" s="17" t="s">
        <v>48</v>
      </c>
      <c r="H4266" s="17">
        <v>1</v>
      </c>
      <c r="K4266" t="s">
        <v>345</v>
      </c>
      <c r="L4266" t="s">
        <v>346</v>
      </c>
      <c r="M4266" t="s">
        <v>131</v>
      </c>
      <c r="N4266">
        <v>20</v>
      </c>
      <c r="O4266" t="s">
        <v>40</v>
      </c>
      <c r="P4266" t="s">
        <v>40</v>
      </c>
      <c r="Q4266" t="s">
        <v>40</v>
      </c>
      <c r="R4266" t="s">
        <v>40</v>
      </c>
      <c r="S4266" t="s">
        <v>40</v>
      </c>
      <c r="V4266" t="s">
        <v>41</v>
      </c>
      <c r="W4266" t="s">
        <v>42</v>
      </c>
      <c r="X4266" t="str">
        <f>"0561019"</f>
        <v>0561019</v>
      </c>
      <c r="Y4266" t="s">
        <v>351</v>
      </c>
      <c r="Z4266" t="s">
        <v>345</v>
      </c>
      <c r="AA4266" t="s">
        <v>346</v>
      </c>
      <c r="AB4266" t="s">
        <v>131</v>
      </c>
      <c r="AC4266" t="s">
        <v>51</v>
      </c>
      <c r="AD4266" t="s">
        <v>45</v>
      </c>
      <c r="AE4266" s="1">
        <v>24353</v>
      </c>
      <c r="AF4266">
        <v>2</v>
      </c>
      <c r="AG4266" t="s">
        <v>346</v>
      </c>
      <c r="AH4266" s="36">
        <f t="shared" si="66"/>
        <v>53.06666666666667</v>
      </c>
      <c r="AI4266" s="41" t="s">
        <v>1781</v>
      </c>
    </row>
    <row r="4267" spans="1:35" x14ac:dyDescent="0.25">
      <c r="A4267" s="36">
        <v>99914265</v>
      </c>
      <c r="B4267" s="17" t="s">
        <v>56</v>
      </c>
      <c r="C4267" t="s">
        <v>1282</v>
      </c>
      <c r="D4267" t="s">
        <v>1283</v>
      </c>
      <c r="G4267" s="17" t="s">
        <v>35</v>
      </c>
      <c r="H4267" s="17">
        <v>1</v>
      </c>
      <c r="K4267" t="s">
        <v>1268</v>
      </c>
      <c r="L4267" t="s">
        <v>1269</v>
      </c>
      <c r="M4267" t="s">
        <v>1270</v>
      </c>
      <c r="N4267">
        <v>20</v>
      </c>
      <c r="O4267" t="s">
        <v>40</v>
      </c>
      <c r="P4267" t="s">
        <v>40</v>
      </c>
      <c r="Q4267" t="s">
        <v>40</v>
      </c>
      <c r="S4267" t="s">
        <v>40</v>
      </c>
      <c r="V4267" t="s">
        <v>41</v>
      </c>
      <c r="W4267" t="s">
        <v>922</v>
      </c>
      <c r="X4267" t="str">
        <f>"1950001"</f>
        <v>1950001</v>
      </c>
      <c r="Y4267" t="s">
        <v>1284</v>
      </c>
      <c r="Z4267" t="s">
        <v>1268</v>
      </c>
      <c r="AA4267" t="s">
        <v>1269</v>
      </c>
      <c r="AB4267" t="s">
        <v>1270</v>
      </c>
      <c r="AC4267" t="s">
        <v>51</v>
      </c>
      <c r="AD4267" t="s">
        <v>45</v>
      </c>
      <c r="AE4267" s="1">
        <v>24352</v>
      </c>
      <c r="AF4267">
        <v>2</v>
      </c>
      <c r="AG4267" t="s">
        <v>1269</v>
      </c>
      <c r="AH4267" s="36">
        <f t="shared" si="66"/>
        <v>53.069444444444443</v>
      </c>
      <c r="AI4267" s="41" t="s">
        <v>1781</v>
      </c>
    </row>
    <row r="4268" spans="1:35" x14ac:dyDescent="0.25">
      <c r="A4268" s="36">
        <v>99914266</v>
      </c>
      <c r="B4268" s="17" t="s">
        <v>56</v>
      </c>
      <c r="C4268" t="s">
        <v>145</v>
      </c>
      <c r="D4268" t="s">
        <v>146</v>
      </c>
      <c r="G4268" s="17" t="s">
        <v>35</v>
      </c>
      <c r="H4268" s="17">
        <v>1</v>
      </c>
      <c r="K4268" t="s">
        <v>223</v>
      </c>
      <c r="L4268" t="s">
        <v>224</v>
      </c>
      <c r="M4268" t="s">
        <v>131</v>
      </c>
      <c r="N4268">
        <v>9</v>
      </c>
      <c r="O4268" t="s">
        <v>40</v>
      </c>
      <c r="P4268" t="s">
        <v>40</v>
      </c>
      <c r="Q4268" t="s">
        <v>40</v>
      </c>
      <c r="R4268" t="s">
        <v>40</v>
      </c>
      <c r="S4268" t="s">
        <v>40</v>
      </c>
      <c r="V4268" t="s">
        <v>41</v>
      </c>
      <c r="W4268" t="s">
        <v>42</v>
      </c>
      <c r="X4268" t="str">
        <f>"0580396"</f>
        <v>0580396</v>
      </c>
      <c r="Y4268" t="s">
        <v>255</v>
      </c>
      <c r="Z4268" t="s">
        <v>223</v>
      </c>
      <c r="AA4268" t="s">
        <v>224</v>
      </c>
      <c r="AB4268" t="s">
        <v>131</v>
      </c>
      <c r="AC4268" t="s">
        <v>51</v>
      </c>
      <c r="AD4268" t="s">
        <v>45</v>
      </c>
      <c r="AE4268" s="1">
        <v>24351</v>
      </c>
      <c r="AF4268">
        <v>2</v>
      </c>
      <c r="AG4268" t="s">
        <v>224</v>
      </c>
      <c r="AH4268" s="36">
        <f t="shared" si="66"/>
        <v>53.072222222222223</v>
      </c>
      <c r="AI4268" s="41" t="s">
        <v>1781</v>
      </c>
    </row>
    <row r="4269" spans="1:35" x14ac:dyDescent="0.25">
      <c r="A4269" s="36">
        <v>99914267</v>
      </c>
      <c r="B4269" s="17" t="s">
        <v>56</v>
      </c>
      <c r="C4269" t="s">
        <v>58</v>
      </c>
      <c r="D4269" t="s">
        <v>59</v>
      </c>
      <c r="G4269" s="17" t="s">
        <v>35</v>
      </c>
      <c r="H4269" s="17">
        <v>1</v>
      </c>
      <c r="K4269" t="s">
        <v>1268</v>
      </c>
      <c r="L4269" t="s">
        <v>1269</v>
      </c>
      <c r="M4269" t="s">
        <v>1270</v>
      </c>
      <c r="N4269">
        <v>20</v>
      </c>
      <c r="O4269" t="s">
        <v>40</v>
      </c>
      <c r="P4269" t="s">
        <v>40</v>
      </c>
      <c r="Q4269" t="s">
        <v>40</v>
      </c>
      <c r="R4269" t="s">
        <v>40</v>
      </c>
      <c r="S4269" t="s">
        <v>40</v>
      </c>
      <c r="V4269" t="s">
        <v>41</v>
      </c>
      <c r="W4269" t="s">
        <v>42</v>
      </c>
      <c r="X4269" t="str">
        <f>"1990001"</f>
        <v>1990001</v>
      </c>
      <c r="Y4269" t="s">
        <v>1294</v>
      </c>
      <c r="Z4269" t="s">
        <v>1268</v>
      </c>
      <c r="AA4269" t="s">
        <v>1269</v>
      </c>
      <c r="AB4269" t="s">
        <v>1270</v>
      </c>
      <c r="AC4269" t="s">
        <v>51</v>
      </c>
      <c r="AD4269" t="s">
        <v>45</v>
      </c>
      <c r="AE4269" s="1">
        <v>24351</v>
      </c>
      <c r="AF4269">
        <v>2</v>
      </c>
      <c r="AG4269" t="s">
        <v>1269</v>
      </c>
      <c r="AH4269" s="36">
        <f t="shared" si="66"/>
        <v>53.072222222222223</v>
      </c>
      <c r="AI4269" s="41" t="s">
        <v>1781</v>
      </c>
    </row>
    <row r="4270" spans="1:35" x14ac:dyDescent="0.25">
      <c r="A4270" s="36">
        <v>99914268</v>
      </c>
      <c r="B4270" s="17" t="s">
        <v>32</v>
      </c>
      <c r="C4270" t="s">
        <v>52</v>
      </c>
      <c r="D4270" t="s">
        <v>53</v>
      </c>
      <c r="G4270" s="17" t="s">
        <v>35</v>
      </c>
      <c r="H4270" s="17">
        <v>1</v>
      </c>
      <c r="K4270" t="s">
        <v>223</v>
      </c>
      <c r="L4270" t="s">
        <v>224</v>
      </c>
      <c r="M4270" t="s">
        <v>131</v>
      </c>
      <c r="N4270">
        <v>17</v>
      </c>
      <c r="O4270" t="s">
        <v>40</v>
      </c>
      <c r="P4270" t="s">
        <v>40</v>
      </c>
      <c r="Q4270" t="s">
        <v>40</v>
      </c>
      <c r="R4270" t="s">
        <v>40</v>
      </c>
      <c r="S4270" t="s">
        <v>40</v>
      </c>
      <c r="V4270" t="s">
        <v>41</v>
      </c>
      <c r="W4270" t="s">
        <v>42</v>
      </c>
      <c r="X4270" t="str">
        <f>"0590902"</f>
        <v>0590902</v>
      </c>
      <c r="Y4270" t="s">
        <v>241</v>
      </c>
      <c r="Z4270" t="s">
        <v>223</v>
      </c>
      <c r="AA4270" t="s">
        <v>224</v>
      </c>
      <c r="AB4270" t="s">
        <v>131</v>
      </c>
      <c r="AC4270" t="s">
        <v>51</v>
      </c>
      <c r="AD4270" t="s">
        <v>45</v>
      </c>
      <c r="AE4270" s="1">
        <v>24347</v>
      </c>
      <c r="AF4270">
        <v>2</v>
      </c>
      <c r="AG4270" t="s">
        <v>224</v>
      </c>
      <c r="AH4270" s="36">
        <f t="shared" si="66"/>
        <v>53.083333333333336</v>
      </c>
      <c r="AI4270" s="41" t="s">
        <v>1781</v>
      </c>
    </row>
    <row r="4271" spans="1:35" x14ac:dyDescent="0.25">
      <c r="A4271" s="36">
        <v>99914269</v>
      </c>
      <c r="B4271" s="17" t="s">
        <v>56</v>
      </c>
      <c r="C4271" t="s">
        <v>46</v>
      </c>
      <c r="D4271" t="s">
        <v>47</v>
      </c>
      <c r="G4271" s="17" t="s">
        <v>48</v>
      </c>
      <c r="H4271" s="17">
        <v>1</v>
      </c>
      <c r="K4271" t="s">
        <v>345</v>
      </c>
      <c r="L4271" t="s">
        <v>346</v>
      </c>
      <c r="M4271" t="s">
        <v>131</v>
      </c>
      <c r="N4271">
        <v>18</v>
      </c>
      <c r="O4271" t="s">
        <v>40</v>
      </c>
      <c r="P4271" t="s">
        <v>40</v>
      </c>
      <c r="Q4271" t="s">
        <v>40</v>
      </c>
      <c r="R4271" t="s">
        <v>40</v>
      </c>
      <c r="S4271" t="s">
        <v>40</v>
      </c>
      <c r="V4271" t="s">
        <v>41</v>
      </c>
      <c r="W4271" t="s">
        <v>42</v>
      </c>
      <c r="X4271" t="str">
        <f>"0580931"</f>
        <v>0580931</v>
      </c>
      <c r="Y4271" t="s">
        <v>369</v>
      </c>
      <c r="Z4271" t="s">
        <v>345</v>
      </c>
      <c r="AA4271" t="s">
        <v>346</v>
      </c>
      <c r="AB4271" t="s">
        <v>131</v>
      </c>
      <c r="AC4271" t="s">
        <v>51</v>
      </c>
      <c r="AD4271" t="s">
        <v>45</v>
      </c>
      <c r="AE4271" s="1">
        <v>24342</v>
      </c>
      <c r="AF4271">
        <v>2</v>
      </c>
      <c r="AG4271" t="s">
        <v>346</v>
      </c>
      <c r="AH4271" s="36">
        <f t="shared" si="66"/>
        <v>53.097222222222221</v>
      </c>
      <c r="AI4271" s="41" t="s">
        <v>1781</v>
      </c>
    </row>
    <row r="4272" spans="1:35" x14ac:dyDescent="0.25">
      <c r="A4272" s="36">
        <v>99914270</v>
      </c>
      <c r="B4272" s="17" t="s">
        <v>56</v>
      </c>
      <c r="C4272" t="s">
        <v>79</v>
      </c>
      <c r="D4272" t="s">
        <v>80</v>
      </c>
      <c r="G4272" s="17" t="s">
        <v>35</v>
      </c>
      <c r="H4272" s="17">
        <v>1</v>
      </c>
      <c r="K4272" t="s">
        <v>223</v>
      </c>
      <c r="L4272" t="s">
        <v>224</v>
      </c>
      <c r="M4272" t="s">
        <v>131</v>
      </c>
      <c r="N4272">
        <v>18</v>
      </c>
      <c r="O4272" t="s">
        <v>40</v>
      </c>
      <c r="P4272" t="s">
        <v>40</v>
      </c>
      <c r="Q4272" t="s">
        <v>40</v>
      </c>
      <c r="S4272" t="s">
        <v>40</v>
      </c>
      <c r="V4272" t="s">
        <v>41</v>
      </c>
      <c r="W4272" t="s">
        <v>42</v>
      </c>
      <c r="X4272" t="str">
        <f>"0590903"</f>
        <v>0590903</v>
      </c>
      <c r="Y4272" t="s">
        <v>226</v>
      </c>
      <c r="Z4272" t="s">
        <v>223</v>
      </c>
      <c r="AA4272" t="s">
        <v>224</v>
      </c>
      <c r="AB4272" t="s">
        <v>131</v>
      </c>
      <c r="AC4272" t="s">
        <v>51</v>
      </c>
      <c r="AD4272" t="s">
        <v>45</v>
      </c>
      <c r="AE4272" s="1">
        <v>24338</v>
      </c>
      <c r="AF4272">
        <v>2</v>
      </c>
      <c r="AG4272" t="s">
        <v>224</v>
      </c>
      <c r="AH4272" s="36">
        <f t="shared" si="66"/>
        <v>53.108333333333334</v>
      </c>
      <c r="AI4272" s="41" t="s">
        <v>1781</v>
      </c>
    </row>
    <row r="4273" spans="1:35" x14ac:dyDescent="0.25">
      <c r="A4273" s="36">
        <v>99914271</v>
      </c>
      <c r="B4273" s="17" t="s">
        <v>56</v>
      </c>
      <c r="C4273" t="s">
        <v>111</v>
      </c>
      <c r="D4273" t="s">
        <v>112</v>
      </c>
      <c r="G4273" s="17" t="s">
        <v>48</v>
      </c>
      <c r="H4273" s="17">
        <v>14</v>
      </c>
      <c r="K4273" t="s">
        <v>195</v>
      </c>
      <c r="L4273" t="s">
        <v>196</v>
      </c>
      <c r="M4273" t="s">
        <v>131</v>
      </c>
      <c r="N4273">
        <v>21</v>
      </c>
      <c r="O4273" t="s">
        <v>40</v>
      </c>
      <c r="P4273" t="s">
        <v>40</v>
      </c>
      <c r="Q4273" t="s">
        <v>40</v>
      </c>
      <c r="R4273" t="s">
        <v>40</v>
      </c>
      <c r="S4273" t="s">
        <v>40</v>
      </c>
      <c r="U4273" s="1">
        <v>34124</v>
      </c>
      <c r="V4273" t="s">
        <v>41</v>
      </c>
      <c r="W4273" t="s">
        <v>75</v>
      </c>
      <c r="X4273" t="str">
        <f>"7521044"</f>
        <v>7521044</v>
      </c>
      <c r="Y4273" t="s">
        <v>453</v>
      </c>
      <c r="Z4273" t="s">
        <v>195</v>
      </c>
      <c r="AA4273" t="s">
        <v>196</v>
      </c>
      <c r="AB4273" t="s">
        <v>131</v>
      </c>
      <c r="AC4273" t="s">
        <v>165</v>
      </c>
      <c r="AD4273" t="s">
        <v>45</v>
      </c>
      <c r="AE4273" s="1">
        <v>24329</v>
      </c>
      <c r="AF4273">
        <v>1</v>
      </c>
      <c r="AG4273" t="s">
        <v>196</v>
      </c>
      <c r="AH4273" s="36">
        <f t="shared" si="66"/>
        <v>53.133333333333333</v>
      </c>
      <c r="AI4273" s="41" t="s">
        <v>1781</v>
      </c>
    </row>
    <row r="4274" spans="1:35" x14ac:dyDescent="0.25">
      <c r="A4274" s="36">
        <v>99914272</v>
      </c>
      <c r="B4274" s="17" t="s">
        <v>32</v>
      </c>
      <c r="C4274" t="s">
        <v>46</v>
      </c>
      <c r="D4274" t="s">
        <v>47</v>
      </c>
      <c r="G4274" s="17" t="s">
        <v>48</v>
      </c>
      <c r="H4274" s="17">
        <v>1</v>
      </c>
      <c r="K4274" t="s">
        <v>223</v>
      </c>
      <c r="L4274" t="s">
        <v>224</v>
      </c>
      <c r="M4274" t="s">
        <v>131</v>
      </c>
      <c r="N4274">
        <v>11</v>
      </c>
      <c r="O4274" t="s">
        <v>40</v>
      </c>
      <c r="P4274" t="s">
        <v>40</v>
      </c>
      <c r="Q4274" t="s">
        <v>40</v>
      </c>
      <c r="R4274" t="s">
        <v>40</v>
      </c>
      <c r="S4274" t="s">
        <v>40</v>
      </c>
      <c r="V4274" t="s">
        <v>41</v>
      </c>
      <c r="W4274" t="s">
        <v>49</v>
      </c>
      <c r="X4274" t="str">
        <f>"0591910"</f>
        <v>0591910</v>
      </c>
      <c r="Y4274" t="s">
        <v>228</v>
      </c>
      <c r="Z4274" t="s">
        <v>223</v>
      </c>
      <c r="AA4274" t="s">
        <v>224</v>
      </c>
      <c r="AB4274" t="s">
        <v>131</v>
      </c>
      <c r="AC4274" t="s">
        <v>51</v>
      </c>
      <c r="AD4274" t="s">
        <v>45</v>
      </c>
      <c r="AE4274" s="1">
        <v>24327</v>
      </c>
      <c r="AF4274">
        <v>2</v>
      </c>
      <c r="AG4274" t="s">
        <v>224</v>
      </c>
      <c r="AH4274" s="36">
        <f t="shared" si="66"/>
        <v>53.138888888888886</v>
      </c>
      <c r="AI4274" s="41" t="s">
        <v>1781</v>
      </c>
    </row>
    <row r="4275" spans="1:35" x14ac:dyDescent="0.25">
      <c r="A4275" s="36">
        <v>99914273</v>
      </c>
      <c r="B4275" s="17" t="s">
        <v>32</v>
      </c>
      <c r="C4275" t="s">
        <v>111</v>
      </c>
      <c r="D4275" t="s">
        <v>112</v>
      </c>
      <c r="G4275" s="17" t="s">
        <v>48</v>
      </c>
      <c r="H4275" s="17">
        <v>8</v>
      </c>
      <c r="K4275" t="s">
        <v>1426</v>
      </c>
      <c r="L4275" t="s">
        <v>1427</v>
      </c>
      <c r="M4275" t="s">
        <v>1270</v>
      </c>
      <c r="N4275">
        <v>22</v>
      </c>
      <c r="O4275" t="s">
        <v>40</v>
      </c>
      <c r="P4275" t="s">
        <v>40</v>
      </c>
      <c r="Q4275" t="s">
        <v>40</v>
      </c>
      <c r="R4275" t="s">
        <v>40</v>
      </c>
      <c r="S4275" t="s">
        <v>40</v>
      </c>
      <c r="V4275" t="s">
        <v>41</v>
      </c>
      <c r="W4275" t="s">
        <v>75</v>
      </c>
      <c r="X4275" t="str">
        <f>"7192000"</f>
        <v>7192000</v>
      </c>
      <c r="Y4275" t="s">
        <v>1429</v>
      </c>
      <c r="Z4275" t="s">
        <v>1426</v>
      </c>
      <c r="AA4275" t="s">
        <v>1427</v>
      </c>
      <c r="AB4275" t="s">
        <v>1270</v>
      </c>
      <c r="AC4275" t="s">
        <v>51</v>
      </c>
      <c r="AD4275" t="s">
        <v>45</v>
      </c>
      <c r="AE4275" s="1">
        <v>24327</v>
      </c>
      <c r="AF4275">
        <v>1</v>
      </c>
      <c r="AG4275" t="s">
        <v>1427</v>
      </c>
      <c r="AH4275" s="36">
        <f t="shared" si="66"/>
        <v>53.138888888888886</v>
      </c>
      <c r="AI4275" s="41" t="s">
        <v>1781</v>
      </c>
    </row>
    <row r="4276" spans="1:35" x14ac:dyDescent="0.25">
      <c r="A4276" s="36">
        <v>99914274</v>
      </c>
      <c r="B4276" s="17" t="s">
        <v>56</v>
      </c>
      <c r="C4276" t="s">
        <v>79</v>
      </c>
      <c r="D4276" t="s">
        <v>80</v>
      </c>
      <c r="G4276" s="17" t="s">
        <v>48</v>
      </c>
      <c r="H4276" s="17">
        <v>1</v>
      </c>
      <c r="K4276" t="s">
        <v>223</v>
      </c>
      <c r="L4276" t="s">
        <v>224</v>
      </c>
      <c r="M4276" t="s">
        <v>131</v>
      </c>
      <c r="N4276">
        <v>19</v>
      </c>
      <c r="O4276" t="s">
        <v>40</v>
      </c>
      <c r="P4276" t="s">
        <v>40</v>
      </c>
      <c r="Q4276" t="s">
        <v>40</v>
      </c>
      <c r="R4276" t="s">
        <v>40</v>
      </c>
      <c r="S4276" t="s">
        <v>40</v>
      </c>
      <c r="V4276" t="s">
        <v>41</v>
      </c>
      <c r="W4276" t="s">
        <v>42</v>
      </c>
      <c r="X4276" t="str">
        <f>"0580207"</f>
        <v>0580207</v>
      </c>
      <c r="Y4276" t="s">
        <v>229</v>
      </c>
      <c r="Z4276" t="s">
        <v>223</v>
      </c>
      <c r="AA4276" t="s">
        <v>224</v>
      </c>
      <c r="AB4276" t="s">
        <v>131</v>
      </c>
      <c r="AC4276" t="s">
        <v>51</v>
      </c>
      <c r="AD4276" t="s">
        <v>45</v>
      </c>
      <c r="AE4276" s="1">
        <v>24322</v>
      </c>
      <c r="AF4276">
        <v>2</v>
      </c>
      <c r="AG4276" t="s">
        <v>224</v>
      </c>
      <c r="AH4276" s="36">
        <f t="shared" si="66"/>
        <v>53.152777777777779</v>
      </c>
      <c r="AI4276" s="41" t="s">
        <v>1781</v>
      </c>
    </row>
    <row r="4277" spans="1:35" x14ac:dyDescent="0.25">
      <c r="A4277" s="36">
        <v>99914275</v>
      </c>
      <c r="B4277" s="17" t="s">
        <v>56</v>
      </c>
      <c r="C4277" t="s">
        <v>68</v>
      </c>
      <c r="D4277" t="s">
        <v>69</v>
      </c>
      <c r="G4277" s="17" t="s">
        <v>48</v>
      </c>
      <c r="H4277" s="17">
        <v>1</v>
      </c>
      <c r="K4277" t="s">
        <v>157</v>
      </c>
      <c r="L4277" t="s">
        <v>158</v>
      </c>
      <c r="M4277" t="s">
        <v>131</v>
      </c>
      <c r="N4277">
        <v>2</v>
      </c>
      <c r="O4277" t="s">
        <v>40</v>
      </c>
      <c r="P4277" t="s">
        <v>40</v>
      </c>
      <c r="Q4277" t="s">
        <v>40</v>
      </c>
      <c r="S4277" t="s">
        <v>40</v>
      </c>
      <c r="V4277" t="s">
        <v>41</v>
      </c>
      <c r="W4277" t="s">
        <v>42</v>
      </c>
      <c r="X4277" t="str">
        <f>"0580470"</f>
        <v>0580470</v>
      </c>
      <c r="Y4277" t="s">
        <v>175</v>
      </c>
      <c r="Z4277" t="s">
        <v>157</v>
      </c>
      <c r="AA4277" t="s">
        <v>158</v>
      </c>
      <c r="AB4277" t="s">
        <v>131</v>
      </c>
      <c r="AC4277" t="s">
        <v>51</v>
      </c>
      <c r="AD4277" t="s">
        <v>45</v>
      </c>
      <c r="AE4277" s="1">
        <v>24320</v>
      </c>
      <c r="AF4277">
        <v>2</v>
      </c>
      <c r="AG4277" t="s">
        <v>158</v>
      </c>
      <c r="AH4277" s="36">
        <f t="shared" si="66"/>
        <v>53.158333333333331</v>
      </c>
      <c r="AI4277" s="41" t="s">
        <v>1781</v>
      </c>
    </row>
    <row r="4278" spans="1:35" x14ac:dyDescent="0.25">
      <c r="A4278" s="36">
        <v>99914276</v>
      </c>
      <c r="B4278" s="17" t="s">
        <v>32</v>
      </c>
      <c r="C4278" t="s">
        <v>90</v>
      </c>
      <c r="D4278" t="s">
        <v>91</v>
      </c>
      <c r="G4278" s="17" t="s">
        <v>48</v>
      </c>
      <c r="H4278" s="17">
        <v>1</v>
      </c>
      <c r="K4278" t="s">
        <v>1341</v>
      </c>
      <c r="L4278" t="s">
        <v>1342</v>
      </c>
      <c r="M4278" t="s">
        <v>1270</v>
      </c>
      <c r="N4278">
        <v>25</v>
      </c>
      <c r="O4278" t="s">
        <v>40</v>
      </c>
      <c r="P4278" t="s">
        <v>40</v>
      </c>
      <c r="Q4278" t="s">
        <v>40</v>
      </c>
      <c r="S4278" t="s">
        <v>40</v>
      </c>
      <c r="V4278" t="s">
        <v>41</v>
      </c>
      <c r="W4278" t="s">
        <v>95</v>
      </c>
      <c r="X4278" t="str">
        <f>"7191013"</f>
        <v>7191013</v>
      </c>
      <c r="Y4278" t="s">
        <v>1358</v>
      </c>
      <c r="Z4278" t="s">
        <v>1341</v>
      </c>
      <c r="AA4278" t="s">
        <v>1342</v>
      </c>
      <c r="AB4278" t="s">
        <v>1270</v>
      </c>
      <c r="AC4278" t="s">
        <v>51</v>
      </c>
      <c r="AD4278" t="s">
        <v>45</v>
      </c>
      <c r="AE4278" s="1">
        <v>24320</v>
      </c>
      <c r="AF4278">
        <v>1</v>
      </c>
      <c r="AG4278" t="s">
        <v>1342</v>
      </c>
      <c r="AH4278" s="36">
        <f t="shared" si="66"/>
        <v>53.158333333333331</v>
      </c>
      <c r="AI4278" s="41" t="s">
        <v>1781</v>
      </c>
    </row>
    <row r="4279" spans="1:35" x14ac:dyDescent="0.25">
      <c r="A4279" s="36">
        <v>99914277</v>
      </c>
      <c r="B4279" s="17" t="s">
        <v>32</v>
      </c>
      <c r="C4279" t="s">
        <v>139</v>
      </c>
      <c r="D4279" t="s">
        <v>140</v>
      </c>
      <c r="G4279" s="17" t="s">
        <v>48</v>
      </c>
      <c r="H4279" s="17">
        <v>12</v>
      </c>
      <c r="I4279" t="s">
        <v>557</v>
      </c>
      <c r="J4279" s="1">
        <v>43344</v>
      </c>
      <c r="K4279" t="s">
        <v>195</v>
      </c>
      <c r="L4279" t="s">
        <v>196</v>
      </c>
      <c r="M4279" t="s">
        <v>131</v>
      </c>
      <c r="N4279">
        <v>21</v>
      </c>
      <c r="O4279" t="s">
        <v>40</v>
      </c>
      <c r="P4279" t="s">
        <v>40</v>
      </c>
      <c r="Q4279" t="s">
        <v>40</v>
      </c>
      <c r="R4279" t="s">
        <v>40</v>
      </c>
      <c r="S4279" t="s">
        <v>40</v>
      </c>
      <c r="U4279" s="1">
        <v>43344</v>
      </c>
      <c r="V4279" t="s">
        <v>41</v>
      </c>
      <c r="W4279" t="s">
        <v>75</v>
      </c>
      <c r="X4279" t="str">
        <f>"7521044"</f>
        <v>7521044</v>
      </c>
      <c r="Y4279" t="s">
        <v>453</v>
      </c>
      <c r="Z4279" t="s">
        <v>195</v>
      </c>
      <c r="AA4279" t="s">
        <v>196</v>
      </c>
      <c r="AB4279" t="s">
        <v>131</v>
      </c>
      <c r="AC4279" t="s">
        <v>165</v>
      </c>
      <c r="AD4279" t="s">
        <v>45</v>
      </c>
      <c r="AE4279" s="1">
        <v>24316</v>
      </c>
      <c r="AF4279">
        <v>1</v>
      </c>
      <c r="AG4279" t="s">
        <v>196</v>
      </c>
      <c r="AH4279" s="36">
        <f t="shared" si="66"/>
        <v>53.169444444444444</v>
      </c>
      <c r="AI4279" s="41" t="s">
        <v>1781</v>
      </c>
    </row>
    <row r="4280" spans="1:35" x14ac:dyDescent="0.25">
      <c r="A4280" s="36">
        <v>99914278</v>
      </c>
      <c r="B4280" s="17" t="s">
        <v>56</v>
      </c>
      <c r="C4280" t="s">
        <v>85</v>
      </c>
      <c r="D4280" t="s">
        <v>86</v>
      </c>
      <c r="G4280" s="17" t="s">
        <v>35</v>
      </c>
      <c r="H4280" s="17">
        <v>1</v>
      </c>
      <c r="K4280" t="s">
        <v>162</v>
      </c>
      <c r="L4280" t="s">
        <v>158</v>
      </c>
      <c r="M4280" t="s">
        <v>131</v>
      </c>
      <c r="N4280">
        <v>20</v>
      </c>
      <c r="O4280" t="s">
        <v>40</v>
      </c>
      <c r="P4280" t="s">
        <v>40</v>
      </c>
      <c r="Q4280" t="s">
        <v>40</v>
      </c>
      <c r="R4280" t="s">
        <v>40</v>
      </c>
      <c r="S4280" t="s">
        <v>40</v>
      </c>
      <c r="V4280" t="s">
        <v>41</v>
      </c>
      <c r="W4280" t="s">
        <v>49</v>
      </c>
      <c r="X4280" t="str">
        <f>"0505050"</f>
        <v>0505050</v>
      </c>
      <c r="Y4280" t="s">
        <v>163</v>
      </c>
      <c r="Z4280" t="s">
        <v>162</v>
      </c>
      <c r="AA4280" t="s">
        <v>158</v>
      </c>
      <c r="AB4280" t="s">
        <v>131</v>
      </c>
      <c r="AC4280" t="s">
        <v>165</v>
      </c>
      <c r="AD4280" t="s">
        <v>45</v>
      </c>
      <c r="AE4280" s="1">
        <v>24313</v>
      </c>
      <c r="AF4280">
        <v>2</v>
      </c>
      <c r="AG4280" t="s">
        <v>158</v>
      </c>
      <c r="AH4280" s="36">
        <f t="shared" si="66"/>
        <v>53.177777777777777</v>
      </c>
      <c r="AI4280" s="41" t="s">
        <v>1781</v>
      </c>
    </row>
    <row r="4281" spans="1:35" x14ac:dyDescent="0.25">
      <c r="A4281" s="36">
        <v>99914279</v>
      </c>
      <c r="B4281" s="17" t="s">
        <v>56</v>
      </c>
      <c r="C4281" t="s">
        <v>33</v>
      </c>
      <c r="D4281" t="s">
        <v>34</v>
      </c>
      <c r="G4281" s="17" t="s">
        <v>35</v>
      </c>
      <c r="H4281" s="17">
        <v>1</v>
      </c>
      <c r="I4281">
        <v>0</v>
      </c>
      <c r="J4281" s="1">
        <v>43344</v>
      </c>
      <c r="K4281" t="s">
        <v>223</v>
      </c>
      <c r="L4281" t="s">
        <v>224</v>
      </c>
      <c r="M4281" t="s">
        <v>131</v>
      </c>
      <c r="N4281">
        <v>20</v>
      </c>
      <c r="O4281" t="s">
        <v>40</v>
      </c>
      <c r="S4281" t="s">
        <v>40</v>
      </c>
      <c r="U4281" s="1">
        <v>43344</v>
      </c>
      <c r="V4281" t="s">
        <v>41</v>
      </c>
      <c r="W4281" t="s">
        <v>42</v>
      </c>
      <c r="X4281" t="str">
        <f>"0580206"</f>
        <v>0580206</v>
      </c>
      <c r="Y4281" t="s">
        <v>237</v>
      </c>
      <c r="Z4281" t="s">
        <v>223</v>
      </c>
      <c r="AA4281" t="s">
        <v>224</v>
      </c>
      <c r="AB4281" t="s">
        <v>131</v>
      </c>
      <c r="AC4281" t="s">
        <v>51</v>
      </c>
      <c r="AD4281" t="s">
        <v>45</v>
      </c>
      <c r="AE4281" s="1">
        <v>24312</v>
      </c>
      <c r="AF4281">
        <v>2</v>
      </c>
      <c r="AG4281" t="s">
        <v>224</v>
      </c>
      <c r="AH4281" s="36">
        <f t="shared" si="66"/>
        <v>53.180555555555557</v>
      </c>
      <c r="AI4281" s="41" t="s">
        <v>1781</v>
      </c>
    </row>
    <row r="4282" spans="1:35" x14ac:dyDescent="0.25">
      <c r="A4282" s="36">
        <v>99914280</v>
      </c>
      <c r="B4282" s="17" t="s">
        <v>32</v>
      </c>
      <c r="C4282" t="s">
        <v>46</v>
      </c>
      <c r="D4282" t="s">
        <v>47</v>
      </c>
      <c r="G4282" s="17" t="s">
        <v>48</v>
      </c>
      <c r="H4282" s="17">
        <v>1</v>
      </c>
      <c r="K4282" t="s">
        <v>1268</v>
      </c>
      <c r="L4282" t="s">
        <v>1269</v>
      </c>
      <c r="M4282" t="s">
        <v>1270</v>
      </c>
      <c r="N4282">
        <v>21</v>
      </c>
      <c r="O4282" t="s">
        <v>40</v>
      </c>
      <c r="P4282" t="s">
        <v>40</v>
      </c>
      <c r="Q4282" t="s">
        <v>40</v>
      </c>
      <c r="R4282" t="s">
        <v>40</v>
      </c>
      <c r="S4282" t="s">
        <v>40</v>
      </c>
      <c r="V4282" t="s">
        <v>41</v>
      </c>
      <c r="W4282" t="s">
        <v>49</v>
      </c>
      <c r="X4282" t="str">
        <f>"1981914"</f>
        <v>1981914</v>
      </c>
      <c r="Y4282" t="s">
        <v>1287</v>
      </c>
      <c r="Z4282" t="s">
        <v>1268</v>
      </c>
      <c r="AA4282" t="s">
        <v>1269</v>
      </c>
      <c r="AB4282" t="s">
        <v>1270</v>
      </c>
      <c r="AC4282" t="s">
        <v>51</v>
      </c>
      <c r="AD4282" t="s">
        <v>45</v>
      </c>
      <c r="AE4282" s="1">
        <v>24312</v>
      </c>
      <c r="AF4282">
        <v>2</v>
      </c>
      <c r="AG4282" t="s">
        <v>1269</v>
      </c>
      <c r="AH4282" s="36">
        <f t="shared" si="66"/>
        <v>53.180555555555557</v>
      </c>
      <c r="AI4282" s="41" t="s">
        <v>1781</v>
      </c>
    </row>
    <row r="4283" spans="1:35" x14ac:dyDescent="0.25">
      <c r="A4283" s="36">
        <v>99914281</v>
      </c>
      <c r="B4283" s="17" t="s">
        <v>56</v>
      </c>
      <c r="C4283" t="s">
        <v>68</v>
      </c>
      <c r="D4283" t="s">
        <v>69</v>
      </c>
      <c r="G4283" s="17" t="s">
        <v>48</v>
      </c>
      <c r="H4283" s="17">
        <v>1</v>
      </c>
      <c r="K4283" t="s">
        <v>345</v>
      </c>
      <c r="L4283" t="s">
        <v>346</v>
      </c>
      <c r="M4283" t="s">
        <v>131</v>
      </c>
      <c r="N4283">
        <v>20</v>
      </c>
      <c r="O4283" t="s">
        <v>40</v>
      </c>
      <c r="P4283" t="s">
        <v>40</v>
      </c>
      <c r="Q4283" t="s">
        <v>40</v>
      </c>
      <c r="R4283" t="s">
        <v>40</v>
      </c>
      <c r="S4283" t="s">
        <v>40</v>
      </c>
      <c r="V4283" t="s">
        <v>41</v>
      </c>
      <c r="W4283" t="s">
        <v>42</v>
      </c>
      <c r="X4283" t="str">
        <f>"0590906"</f>
        <v>0590906</v>
      </c>
      <c r="Y4283" t="s">
        <v>361</v>
      </c>
      <c r="Z4283" t="s">
        <v>345</v>
      </c>
      <c r="AA4283" t="s">
        <v>346</v>
      </c>
      <c r="AB4283" t="s">
        <v>131</v>
      </c>
      <c r="AC4283" t="s">
        <v>51</v>
      </c>
      <c r="AD4283" t="s">
        <v>45</v>
      </c>
      <c r="AE4283" s="1">
        <v>24308</v>
      </c>
      <c r="AF4283">
        <v>2</v>
      </c>
      <c r="AG4283" t="s">
        <v>346</v>
      </c>
      <c r="AH4283" s="36">
        <f t="shared" si="66"/>
        <v>53.19166666666667</v>
      </c>
      <c r="AI4283" s="41" t="s">
        <v>1781</v>
      </c>
    </row>
    <row r="4284" spans="1:35" x14ac:dyDescent="0.25">
      <c r="A4284" s="36">
        <v>99914282</v>
      </c>
      <c r="B4284" s="17" t="s">
        <v>56</v>
      </c>
      <c r="C4284" t="s">
        <v>275</v>
      </c>
      <c r="D4284" t="s">
        <v>276</v>
      </c>
      <c r="G4284" s="17" t="s">
        <v>48</v>
      </c>
      <c r="H4284" s="17">
        <v>1</v>
      </c>
      <c r="K4284" t="s">
        <v>223</v>
      </c>
      <c r="L4284" t="s">
        <v>224</v>
      </c>
      <c r="M4284" t="s">
        <v>131</v>
      </c>
      <c r="N4284">
        <v>20</v>
      </c>
      <c r="O4284" t="s">
        <v>40</v>
      </c>
      <c r="P4284" t="s">
        <v>40</v>
      </c>
      <c r="Q4284" t="s">
        <v>40</v>
      </c>
      <c r="R4284" t="s">
        <v>40</v>
      </c>
      <c r="S4284" t="s">
        <v>40</v>
      </c>
      <c r="V4284" t="s">
        <v>41</v>
      </c>
      <c r="W4284" t="s">
        <v>49</v>
      </c>
      <c r="X4284" t="str">
        <f>"0581200"</f>
        <v>0581200</v>
      </c>
      <c r="Y4284" t="s">
        <v>238</v>
      </c>
      <c r="Z4284" t="s">
        <v>223</v>
      </c>
      <c r="AA4284" t="s">
        <v>224</v>
      </c>
      <c r="AB4284" t="s">
        <v>131</v>
      </c>
      <c r="AC4284" t="s">
        <v>51</v>
      </c>
      <c r="AD4284" t="s">
        <v>45</v>
      </c>
      <c r="AE4284" s="1">
        <v>24307</v>
      </c>
      <c r="AF4284">
        <v>2</v>
      </c>
      <c r="AG4284" t="s">
        <v>224</v>
      </c>
      <c r="AH4284" s="36">
        <f t="shared" si="66"/>
        <v>53.194444444444443</v>
      </c>
      <c r="AI4284" s="41" t="s">
        <v>1781</v>
      </c>
    </row>
    <row r="4285" spans="1:35" x14ac:dyDescent="0.25">
      <c r="A4285" s="36">
        <v>99914283</v>
      </c>
      <c r="B4285" s="17" t="s">
        <v>32</v>
      </c>
      <c r="C4285" t="s">
        <v>143</v>
      </c>
      <c r="D4285" t="s">
        <v>144</v>
      </c>
      <c r="G4285" s="17" t="s">
        <v>35</v>
      </c>
      <c r="H4285" s="17">
        <v>1</v>
      </c>
      <c r="K4285" t="s">
        <v>268</v>
      </c>
      <c r="L4285" t="s">
        <v>269</v>
      </c>
      <c r="M4285" t="s">
        <v>131</v>
      </c>
      <c r="N4285">
        <v>8</v>
      </c>
      <c r="O4285" t="s">
        <v>40</v>
      </c>
      <c r="P4285" t="s">
        <v>40</v>
      </c>
      <c r="Q4285" t="s">
        <v>40</v>
      </c>
      <c r="S4285" t="s">
        <v>40</v>
      </c>
      <c r="V4285" t="s">
        <v>41</v>
      </c>
      <c r="W4285" t="s">
        <v>75</v>
      </c>
      <c r="X4285" t="str">
        <f>"7052010"</f>
        <v>7052010</v>
      </c>
      <c r="Y4285" t="s">
        <v>615</v>
      </c>
      <c r="Z4285" t="s">
        <v>268</v>
      </c>
      <c r="AA4285" t="s">
        <v>269</v>
      </c>
      <c r="AB4285" t="s">
        <v>131</v>
      </c>
      <c r="AC4285" t="s">
        <v>51</v>
      </c>
      <c r="AD4285" t="s">
        <v>45</v>
      </c>
      <c r="AE4285" s="1">
        <v>24305</v>
      </c>
      <c r="AF4285">
        <v>1</v>
      </c>
      <c r="AG4285" t="s">
        <v>269</v>
      </c>
      <c r="AH4285" s="36">
        <f t="shared" si="66"/>
        <v>53.2</v>
      </c>
      <c r="AI4285" s="41" t="s">
        <v>1781</v>
      </c>
    </row>
    <row r="4286" spans="1:35" x14ac:dyDescent="0.25">
      <c r="A4286" s="36">
        <v>99914284</v>
      </c>
      <c r="B4286" s="17" t="s">
        <v>32</v>
      </c>
      <c r="C4286" t="s">
        <v>111</v>
      </c>
      <c r="D4286" t="s">
        <v>112</v>
      </c>
      <c r="G4286" s="17" t="s">
        <v>48</v>
      </c>
      <c r="H4286" s="17">
        <v>12</v>
      </c>
      <c r="K4286" t="s">
        <v>195</v>
      </c>
      <c r="L4286" t="s">
        <v>196</v>
      </c>
      <c r="M4286" t="s">
        <v>131</v>
      </c>
      <c r="N4286">
        <v>21</v>
      </c>
      <c r="O4286" t="s">
        <v>40</v>
      </c>
      <c r="P4286" t="s">
        <v>40</v>
      </c>
      <c r="Q4286" t="s">
        <v>40</v>
      </c>
      <c r="R4286" t="s">
        <v>40</v>
      </c>
      <c r="S4286" t="s">
        <v>40</v>
      </c>
      <c r="U4286" s="1">
        <v>36055</v>
      </c>
      <c r="V4286" t="s">
        <v>41</v>
      </c>
      <c r="W4286" t="s">
        <v>75</v>
      </c>
      <c r="X4286" t="str">
        <f>"7521042"</f>
        <v>7521042</v>
      </c>
      <c r="Y4286" t="s">
        <v>440</v>
      </c>
      <c r="Z4286" t="s">
        <v>195</v>
      </c>
      <c r="AA4286" t="s">
        <v>196</v>
      </c>
      <c r="AB4286" t="s">
        <v>131</v>
      </c>
      <c r="AC4286" t="s">
        <v>165</v>
      </c>
      <c r="AD4286" t="s">
        <v>45</v>
      </c>
      <c r="AE4286" s="1">
        <v>24301</v>
      </c>
      <c r="AF4286">
        <v>1</v>
      </c>
      <c r="AG4286" t="s">
        <v>196</v>
      </c>
      <c r="AH4286" s="36">
        <f t="shared" si="66"/>
        <v>53.211111111111109</v>
      </c>
      <c r="AI4286" s="41" t="s">
        <v>1781</v>
      </c>
    </row>
    <row r="4287" spans="1:35" x14ac:dyDescent="0.25">
      <c r="A4287" s="36">
        <v>99914285</v>
      </c>
      <c r="B4287" s="17" t="s">
        <v>56</v>
      </c>
      <c r="C4287" t="s">
        <v>111</v>
      </c>
      <c r="D4287" t="s">
        <v>112</v>
      </c>
      <c r="G4287" s="17" t="s">
        <v>48</v>
      </c>
      <c r="H4287" s="17">
        <v>1</v>
      </c>
      <c r="K4287" t="s">
        <v>667</v>
      </c>
      <c r="L4287" t="s">
        <v>669</v>
      </c>
      <c r="M4287" t="s">
        <v>670</v>
      </c>
      <c r="N4287">
        <v>8</v>
      </c>
      <c r="O4287" t="s">
        <v>40</v>
      </c>
      <c r="P4287" t="s">
        <v>40</v>
      </c>
      <c r="Q4287" t="s">
        <v>40</v>
      </c>
      <c r="R4287" t="s">
        <v>40</v>
      </c>
      <c r="S4287" t="s">
        <v>40</v>
      </c>
      <c r="V4287" t="s">
        <v>41</v>
      </c>
      <c r="W4287" t="s">
        <v>75</v>
      </c>
      <c r="X4287" t="str">
        <f>"7501000"</f>
        <v>7501000</v>
      </c>
      <c r="Y4287" t="s">
        <v>668</v>
      </c>
      <c r="Z4287" t="s">
        <v>667</v>
      </c>
      <c r="AA4287" t="s">
        <v>669</v>
      </c>
      <c r="AB4287" t="s">
        <v>670</v>
      </c>
      <c r="AC4287" t="s">
        <v>51</v>
      </c>
      <c r="AD4287" t="s">
        <v>45</v>
      </c>
      <c r="AE4287" s="1">
        <v>24299</v>
      </c>
      <c r="AF4287">
        <v>1</v>
      </c>
      <c r="AG4287" t="s">
        <v>669</v>
      </c>
      <c r="AH4287" s="36">
        <f t="shared" si="66"/>
        <v>53.216666666666669</v>
      </c>
      <c r="AI4287" s="41" t="s">
        <v>1781</v>
      </c>
    </row>
    <row r="4288" spans="1:35" x14ac:dyDescent="0.25">
      <c r="A4288" s="36">
        <v>99914286</v>
      </c>
      <c r="B4288" s="17" t="s">
        <v>32</v>
      </c>
      <c r="C4288" t="s">
        <v>85</v>
      </c>
      <c r="D4288" t="s">
        <v>86</v>
      </c>
      <c r="G4288" s="17" t="s">
        <v>48</v>
      </c>
      <c r="H4288" s="17">
        <v>1</v>
      </c>
      <c r="K4288" t="s">
        <v>380</v>
      </c>
      <c r="L4288" t="s">
        <v>381</v>
      </c>
      <c r="M4288" t="s">
        <v>131</v>
      </c>
      <c r="N4288">
        <v>18</v>
      </c>
      <c r="O4288" t="s">
        <v>40</v>
      </c>
      <c r="P4288" t="s">
        <v>40</v>
      </c>
      <c r="Q4288" t="s">
        <v>40</v>
      </c>
      <c r="R4288" t="s">
        <v>40</v>
      </c>
      <c r="S4288" t="s">
        <v>40</v>
      </c>
      <c r="V4288" t="s">
        <v>41</v>
      </c>
      <c r="W4288" t="s">
        <v>49</v>
      </c>
      <c r="X4288" t="str">
        <f>"0591908"</f>
        <v>0591908</v>
      </c>
      <c r="Y4288" t="s">
        <v>383</v>
      </c>
      <c r="Z4288" t="s">
        <v>380</v>
      </c>
      <c r="AA4288" t="s">
        <v>381</v>
      </c>
      <c r="AB4288" t="s">
        <v>131</v>
      </c>
      <c r="AC4288" t="s">
        <v>51</v>
      </c>
      <c r="AD4288" t="s">
        <v>45</v>
      </c>
      <c r="AE4288" s="1">
        <v>24296</v>
      </c>
      <c r="AF4288">
        <v>2</v>
      </c>
      <c r="AG4288" t="s">
        <v>381</v>
      </c>
      <c r="AH4288" s="36">
        <f t="shared" si="66"/>
        <v>53.225000000000001</v>
      </c>
      <c r="AI4288" s="41" t="s">
        <v>1781</v>
      </c>
    </row>
    <row r="4289" spans="1:35" x14ac:dyDescent="0.25">
      <c r="A4289" s="36">
        <v>99914287</v>
      </c>
      <c r="B4289" s="17" t="s">
        <v>56</v>
      </c>
      <c r="C4289" t="s">
        <v>33</v>
      </c>
      <c r="D4289" t="s">
        <v>34</v>
      </c>
      <c r="G4289" s="17" t="s">
        <v>48</v>
      </c>
      <c r="H4289" s="17">
        <v>1</v>
      </c>
      <c r="K4289" t="s">
        <v>1268</v>
      </c>
      <c r="L4289" t="s">
        <v>1269</v>
      </c>
      <c r="M4289" t="s">
        <v>1270</v>
      </c>
      <c r="N4289">
        <v>20</v>
      </c>
      <c r="O4289" t="s">
        <v>40</v>
      </c>
      <c r="P4289" t="s">
        <v>40</v>
      </c>
      <c r="Q4289" t="s">
        <v>40</v>
      </c>
      <c r="S4289" t="s">
        <v>40</v>
      </c>
      <c r="V4289" t="s">
        <v>41</v>
      </c>
      <c r="W4289" t="s">
        <v>42</v>
      </c>
      <c r="X4289" t="str">
        <f>"1980050"</f>
        <v>1980050</v>
      </c>
      <c r="Y4289" t="s">
        <v>1278</v>
      </c>
      <c r="Z4289" t="s">
        <v>1268</v>
      </c>
      <c r="AA4289" t="s">
        <v>1269</v>
      </c>
      <c r="AB4289" t="s">
        <v>1270</v>
      </c>
      <c r="AC4289" t="s">
        <v>51</v>
      </c>
      <c r="AD4289" t="s">
        <v>45</v>
      </c>
      <c r="AE4289" s="1">
        <v>24291</v>
      </c>
      <c r="AF4289">
        <v>2</v>
      </c>
      <c r="AG4289" t="s">
        <v>1269</v>
      </c>
      <c r="AH4289" s="36">
        <f t="shared" si="66"/>
        <v>53.238888888888887</v>
      </c>
      <c r="AI4289" s="41" t="s">
        <v>1781</v>
      </c>
    </row>
    <row r="4290" spans="1:35" x14ac:dyDescent="0.25">
      <c r="A4290" s="36">
        <v>99914288</v>
      </c>
      <c r="B4290" s="17" t="s">
        <v>32</v>
      </c>
      <c r="C4290" t="s">
        <v>85</v>
      </c>
      <c r="D4290" t="s">
        <v>86</v>
      </c>
      <c r="G4290" s="17" t="s">
        <v>48</v>
      </c>
      <c r="H4290" s="17">
        <v>1</v>
      </c>
      <c r="K4290" t="s">
        <v>223</v>
      </c>
      <c r="L4290" t="s">
        <v>224</v>
      </c>
      <c r="M4290" t="s">
        <v>131</v>
      </c>
      <c r="N4290">
        <v>15</v>
      </c>
      <c r="O4290" t="s">
        <v>40</v>
      </c>
      <c r="P4290" t="s">
        <v>40</v>
      </c>
      <c r="Q4290" t="s">
        <v>40</v>
      </c>
      <c r="R4290" t="s">
        <v>40</v>
      </c>
      <c r="S4290" t="s">
        <v>40</v>
      </c>
      <c r="V4290" t="s">
        <v>41</v>
      </c>
      <c r="W4290" t="s">
        <v>42</v>
      </c>
      <c r="X4290" t="str">
        <f>"0590910"</f>
        <v>0590910</v>
      </c>
      <c r="Y4290" t="s">
        <v>227</v>
      </c>
      <c r="Z4290" t="s">
        <v>223</v>
      </c>
      <c r="AA4290" t="s">
        <v>224</v>
      </c>
      <c r="AB4290" t="s">
        <v>131</v>
      </c>
      <c r="AC4290" t="s">
        <v>51</v>
      </c>
      <c r="AD4290" t="s">
        <v>45</v>
      </c>
      <c r="AE4290" s="1">
        <v>24289</v>
      </c>
      <c r="AF4290">
        <v>2</v>
      </c>
      <c r="AG4290" t="s">
        <v>224</v>
      </c>
      <c r="AH4290" s="36">
        <f t="shared" ref="AH4290:AH4353" si="67">($AJ$1-AE4290)/360</f>
        <v>53.244444444444447</v>
      </c>
      <c r="AI4290" s="41" t="s">
        <v>1781</v>
      </c>
    </row>
    <row r="4291" spans="1:35" x14ac:dyDescent="0.25">
      <c r="A4291" s="36">
        <v>99914289</v>
      </c>
      <c r="B4291" s="17" t="s">
        <v>32</v>
      </c>
      <c r="C4291" t="s">
        <v>111</v>
      </c>
      <c r="D4291" t="s">
        <v>112</v>
      </c>
      <c r="G4291" s="17" t="s">
        <v>48</v>
      </c>
      <c r="H4291" s="17">
        <v>13</v>
      </c>
      <c r="K4291" t="s">
        <v>195</v>
      </c>
      <c r="L4291" t="s">
        <v>196</v>
      </c>
      <c r="M4291" t="s">
        <v>131</v>
      </c>
      <c r="N4291">
        <v>21</v>
      </c>
      <c r="O4291" t="s">
        <v>40</v>
      </c>
      <c r="P4291" t="s">
        <v>40</v>
      </c>
      <c r="Q4291" t="s">
        <v>40</v>
      </c>
      <c r="R4291" t="s">
        <v>40</v>
      </c>
      <c r="S4291" t="s">
        <v>40</v>
      </c>
      <c r="U4291" s="1">
        <v>36055</v>
      </c>
      <c r="V4291" t="s">
        <v>41</v>
      </c>
      <c r="W4291" t="s">
        <v>75</v>
      </c>
      <c r="X4291" t="str">
        <f>"7521046"</f>
        <v>7521046</v>
      </c>
      <c r="Y4291" t="s">
        <v>436</v>
      </c>
      <c r="Z4291" t="s">
        <v>195</v>
      </c>
      <c r="AA4291" t="s">
        <v>196</v>
      </c>
      <c r="AB4291" t="s">
        <v>131</v>
      </c>
      <c r="AC4291" t="s">
        <v>165</v>
      </c>
      <c r="AD4291" t="s">
        <v>45</v>
      </c>
      <c r="AE4291" s="1">
        <v>24286</v>
      </c>
      <c r="AF4291">
        <v>1</v>
      </c>
      <c r="AG4291" t="s">
        <v>196</v>
      </c>
      <c r="AH4291" s="36">
        <f t="shared" si="67"/>
        <v>53.25277777777778</v>
      </c>
      <c r="AI4291" s="41" t="s">
        <v>1781</v>
      </c>
    </row>
    <row r="4292" spans="1:35" x14ac:dyDescent="0.25">
      <c r="A4292" s="36">
        <v>99914290</v>
      </c>
      <c r="B4292" s="17" t="s">
        <v>56</v>
      </c>
      <c r="C4292" t="s">
        <v>1290</v>
      </c>
      <c r="D4292" t="s">
        <v>1291</v>
      </c>
      <c r="G4292" s="17" t="s">
        <v>35</v>
      </c>
      <c r="H4292" s="17">
        <v>1</v>
      </c>
      <c r="K4292" t="s">
        <v>1268</v>
      </c>
      <c r="L4292" t="s">
        <v>1269</v>
      </c>
      <c r="M4292" t="s">
        <v>1270</v>
      </c>
      <c r="N4292">
        <v>20</v>
      </c>
      <c r="O4292" t="s">
        <v>40</v>
      </c>
      <c r="P4292" t="s">
        <v>40</v>
      </c>
      <c r="Q4292" t="s">
        <v>40</v>
      </c>
      <c r="R4292" t="s">
        <v>40</v>
      </c>
      <c r="S4292" t="s">
        <v>40</v>
      </c>
      <c r="V4292" t="s">
        <v>41</v>
      </c>
      <c r="W4292" t="s">
        <v>922</v>
      </c>
      <c r="X4292" t="str">
        <f>"1950001"</f>
        <v>1950001</v>
      </c>
      <c r="Y4292" t="s">
        <v>1284</v>
      </c>
      <c r="Z4292" t="s">
        <v>1268</v>
      </c>
      <c r="AA4292" t="s">
        <v>1269</v>
      </c>
      <c r="AB4292" t="s">
        <v>1270</v>
      </c>
      <c r="AC4292" t="s">
        <v>51</v>
      </c>
      <c r="AD4292" t="s">
        <v>45</v>
      </c>
      <c r="AE4292" s="1">
        <v>24285</v>
      </c>
      <c r="AF4292">
        <v>2</v>
      </c>
      <c r="AG4292" t="s">
        <v>1269</v>
      </c>
      <c r="AH4292" s="36">
        <f t="shared" si="67"/>
        <v>53.255555555555553</v>
      </c>
      <c r="AI4292" s="41" t="s">
        <v>1781</v>
      </c>
    </row>
    <row r="4293" spans="1:35" x14ac:dyDescent="0.25">
      <c r="A4293" s="36">
        <v>99914291</v>
      </c>
      <c r="B4293" s="17" t="s">
        <v>32</v>
      </c>
      <c r="C4293" t="s">
        <v>79</v>
      </c>
      <c r="D4293" t="s">
        <v>80</v>
      </c>
      <c r="G4293" s="17" t="s">
        <v>35</v>
      </c>
      <c r="H4293" s="17">
        <v>13</v>
      </c>
      <c r="K4293" t="s">
        <v>268</v>
      </c>
      <c r="L4293" t="s">
        <v>269</v>
      </c>
      <c r="M4293" t="s">
        <v>131</v>
      </c>
      <c r="N4293">
        <v>21</v>
      </c>
      <c r="O4293" t="s">
        <v>40</v>
      </c>
      <c r="P4293" t="s">
        <v>40</v>
      </c>
      <c r="Q4293" t="s">
        <v>40</v>
      </c>
      <c r="R4293" t="s">
        <v>40</v>
      </c>
      <c r="S4293" t="s">
        <v>40</v>
      </c>
      <c r="V4293" t="s">
        <v>41</v>
      </c>
      <c r="W4293" t="s">
        <v>75</v>
      </c>
      <c r="X4293" t="str">
        <f>"7052002"</f>
        <v>7052002</v>
      </c>
      <c r="Y4293" t="s">
        <v>590</v>
      </c>
      <c r="Z4293" t="s">
        <v>268</v>
      </c>
      <c r="AA4293" t="s">
        <v>269</v>
      </c>
      <c r="AB4293" t="s">
        <v>131</v>
      </c>
      <c r="AC4293" t="s">
        <v>165</v>
      </c>
      <c r="AD4293" t="s">
        <v>45</v>
      </c>
      <c r="AE4293" s="1">
        <v>24284</v>
      </c>
      <c r="AF4293">
        <v>1</v>
      </c>
      <c r="AG4293" t="s">
        <v>269</v>
      </c>
      <c r="AH4293" s="36">
        <f t="shared" si="67"/>
        <v>53.258333333333333</v>
      </c>
      <c r="AI4293" s="41" t="s">
        <v>1781</v>
      </c>
    </row>
    <row r="4294" spans="1:35" x14ac:dyDescent="0.25">
      <c r="A4294" s="36">
        <v>99914292</v>
      </c>
      <c r="B4294" s="17" t="s">
        <v>56</v>
      </c>
      <c r="C4294" t="s">
        <v>52</v>
      </c>
      <c r="D4294" t="s">
        <v>53</v>
      </c>
      <c r="G4294" s="17" t="s">
        <v>48</v>
      </c>
      <c r="H4294" s="17">
        <v>1</v>
      </c>
      <c r="K4294" t="s">
        <v>345</v>
      </c>
      <c r="L4294" t="s">
        <v>346</v>
      </c>
      <c r="M4294" t="s">
        <v>131</v>
      </c>
      <c r="N4294">
        <v>23</v>
      </c>
      <c r="O4294" t="s">
        <v>40</v>
      </c>
      <c r="P4294" t="s">
        <v>40</v>
      </c>
      <c r="Q4294" t="s">
        <v>40</v>
      </c>
      <c r="S4294" t="s">
        <v>40</v>
      </c>
      <c r="V4294" t="s">
        <v>41</v>
      </c>
      <c r="W4294" t="s">
        <v>42</v>
      </c>
      <c r="X4294" t="str">
        <f>"0580650"</f>
        <v>0580650</v>
      </c>
      <c r="Y4294" t="s">
        <v>356</v>
      </c>
      <c r="Z4294" t="s">
        <v>345</v>
      </c>
      <c r="AA4294" t="s">
        <v>346</v>
      </c>
      <c r="AB4294" t="s">
        <v>131</v>
      </c>
      <c r="AC4294" t="s">
        <v>51</v>
      </c>
      <c r="AD4294" t="s">
        <v>45</v>
      </c>
      <c r="AE4294" s="1">
        <v>24282</v>
      </c>
      <c r="AF4294">
        <v>2</v>
      </c>
      <c r="AG4294" t="s">
        <v>346</v>
      </c>
      <c r="AH4294" s="36">
        <f t="shared" si="67"/>
        <v>53.263888888888886</v>
      </c>
      <c r="AI4294" s="41" t="s">
        <v>1781</v>
      </c>
    </row>
    <row r="4295" spans="1:35" x14ac:dyDescent="0.25">
      <c r="A4295" s="36">
        <v>99914293</v>
      </c>
      <c r="B4295" s="17" t="s">
        <v>32</v>
      </c>
      <c r="C4295" t="s">
        <v>90</v>
      </c>
      <c r="D4295" t="s">
        <v>91</v>
      </c>
      <c r="G4295" s="17" t="s">
        <v>35</v>
      </c>
      <c r="H4295" s="17">
        <v>1</v>
      </c>
      <c r="K4295" t="s">
        <v>877</v>
      </c>
      <c r="L4295" t="s">
        <v>878</v>
      </c>
      <c r="M4295" t="s">
        <v>131</v>
      </c>
      <c r="N4295">
        <v>22</v>
      </c>
      <c r="O4295" t="s">
        <v>40</v>
      </c>
      <c r="P4295" t="s">
        <v>40</v>
      </c>
      <c r="Q4295" t="s">
        <v>40</v>
      </c>
      <c r="S4295" t="s">
        <v>40</v>
      </c>
      <c r="V4295" t="s">
        <v>41</v>
      </c>
      <c r="W4295" t="s">
        <v>75</v>
      </c>
      <c r="X4295" t="str">
        <f>"7700025"</f>
        <v>7700025</v>
      </c>
      <c r="Y4295" t="s">
        <v>880</v>
      </c>
      <c r="Z4295" t="s">
        <v>877</v>
      </c>
      <c r="AA4295" t="s">
        <v>878</v>
      </c>
      <c r="AB4295" t="s">
        <v>131</v>
      </c>
      <c r="AC4295" t="s">
        <v>51</v>
      </c>
      <c r="AD4295" t="s">
        <v>45</v>
      </c>
      <c r="AE4295" s="1">
        <v>24280</v>
      </c>
      <c r="AF4295">
        <v>1</v>
      </c>
      <c r="AG4295" t="s">
        <v>878</v>
      </c>
      <c r="AH4295" s="36">
        <f t="shared" si="67"/>
        <v>53.269444444444446</v>
      </c>
      <c r="AI4295" s="41" t="s">
        <v>1781</v>
      </c>
    </row>
    <row r="4296" spans="1:35" x14ac:dyDescent="0.25">
      <c r="A4296" s="36">
        <v>99914294</v>
      </c>
      <c r="B4296" s="17" t="s">
        <v>56</v>
      </c>
      <c r="C4296" t="s">
        <v>52</v>
      </c>
      <c r="D4296" t="s">
        <v>53</v>
      </c>
      <c r="G4296" s="17" t="s">
        <v>48</v>
      </c>
      <c r="H4296" s="17">
        <v>1</v>
      </c>
      <c r="K4296" t="s">
        <v>300</v>
      </c>
      <c r="L4296" t="s">
        <v>301</v>
      </c>
      <c r="M4296" t="s">
        <v>131</v>
      </c>
      <c r="N4296">
        <v>18</v>
      </c>
      <c r="O4296" t="s">
        <v>40</v>
      </c>
      <c r="P4296" t="s">
        <v>40</v>
      </c>
      <c r="Q4296" t="s">
        <v>40</v>
      </c>
      <c r="R4296" t="s">
        <v>40</v>
      </c>
      <c r="S4296" t="s">
        <v>40</v>
      </c>
      <c r="V4296" t="s">
        <v>41</v>
      </c>
      <c r="W4296" t="s">
        <v>42</v>
      </c>
      <c r="X4296" t="str">
        <f>"0561001"</f>
        <v>0561001</v>
      </c>
      <c r="Y4296" t="s">
        <v>308</v>
      </c>
      <c r="Z4296" t="s">
        <v>300</v>
      </c>
      <c r="AA4296" t="s">
        <v>301</v>
      </c>
      <c r="AB4296" t="s">
        <v>131</v>
      </c>
      <c r="AC4296" t="s">
        <v>51</v>
      </c>
      <c r="AD4296" t="s">
        <v>45</v>
      </c>
      <c r="AE4296" s="1">
        <v>24279</v>
      </c>
      <c r="AF4296">
        <v>2</v>
      </c>
      <c r="AG4296" t="s">
        <v>301</v>
      </c>
      <c r="AH4296" s="36">
        <f t="shared" si="67"/>
        <v>53.272222222222226</v>
      </c>
      <c r="AI4296" s="41" t="s">
        <v>1781</v>
      </c>
    </row>
    <row r="4297" spans="1:35" x14ac:dyDescent="0.25">
      <c r="A4297" s="36">
        <v>99914295</v>
      </c>
      <c r="B4297" s="17" t="s">
        <v>56</v>
      </c>
      <c r="C4297" t="s">
        <v>79</v>
      </c>
      <c r="D4297" t="s">
        <v>80</v>
      </c>
      <c r="G4297" s="17" t="s">
        <v>48</v>
      </c>
      <c r="H4297" s="17">
        <v>8</v>
      </c>
      <c r="K4297" t="s">
        <v>1221</v>
      </c>
      <c r="L4297" t="s">
        <v>1222</v>
      </c>
      <c r="M4297" t="s">
        <v>1130</v>
      </c>
      <c r="N4297">
        <v>22</v>
      </c>
      <c r="O4297" t="s">
        <v>40</v>
      </c>
      <c r="P4297" t="s">
        <v>40</v>
      </c>
      <c r="Q4297" t="s">
        <v>40</v>
      </c>
      <c r="R4297" t="s">
        <v>40</v>
      </c>
      <c r="S4297" t="s">
        <v>40</v>
      </c>
      <c r="V4297" t="s">
        <v>41</v>
      </c>
      <c r="W4297" t="s">
        <v>75</v>
      </c>
      <c r="X4297" t="str">
        <f>"7351000"</f>
        <v>7351000</v>
      </c>
      <c r="Y4297" t="s">
        <v>1223</v>
      </c>
      <c r="Z4297" t="s">
        <v>1221</v>
      </c>
      <c r="AA4297" t="s">
        <v>1222</v>
      </c>
      <c r="AB4297" t="s">
        <v>1130</v>
      </c>
      <c r="AC4297" t="s">
        <v>51</v>
      </c>
      <c r="AD4297" t="s">
        <v>45</v>
      </c>
      <c r="AE4297" s="1">
        <v>24272</v>
      </c>
      <c r="AF4297">
        <v>1</v>
      </c>
      <c r="AG4297" t="s">
        <v>1222</v>
      </c>
      <c r="AH4297" s="36">
        <f t="shared" si="67"/>
        <v>53.291666666666664</v>
      </c>
      <c r="AI4297" s="41" t="s">
        <v>1781</v>
      </c>
    </row>
    <row r="4298" spans="1:35" x14ac:dyDescent="0.25">
      <c r="A4298" s="36">
        <v>99914296</v>
      </c>
      <c r="B4298" s="17" t="s">
        <v>32</v>
      </c>
      <c r="C4298" t="s">
        <v>111</v>
      </c>
      <c r="D4298" t="s">
        <v>112</v>
      </c>
      <c r="G4298" s="17" t="s">
        <v>48</v>
      </c>
      <c r="H4298" s="17">
        <v>1</v>
      </c>
      <c r="K4298" t="s">
        <v>1198</v>
      </c>
      <c r="L4298" t="s">
        <v>1199</v>
      </c>
      <c r="M4298" t="s">
        <v>1130</v>
      </c>
      <c r="N4298">
        <v>10</v>
      </c>
      <c r="O4298" t="s">
        <v>40</v>
      </c>
      <c r="P4298" t="s">
        <v>40</v>
      </c>
      <c r="Q4298" t="s">
        <v>40</v>
      </c>
      <c r="R4298" t="s">
        <v>40</v>
      </c>
      <c r="S4298" t="s">
        <v>40</v>
      </c>
      <c r="V4298" t="s">
        <v>41</v>
      </c>
      <c r="W4298" t="s">
        <v>75</v>
      </c>
      <c r="X4298" t="str">
        <f>"7311008"</f>
        <v>7311008</v>
      </c>
      <c r="Y4298" t="s">
        <v>1205</v>
      </c>
      <c r="Z4298" t="s">
        <v>1198</v>
      </c>
      <c r="AA4298" t="s">
        <v>1199</v>
      </c>
      <c r="AB4298" t="s">
        <v>1130</v>
      </c>
      <c r="AC4298" t="s">
        <v>51</v>
      </c>
      <c r="AD4298" t="s">
        <v>45</v>
      </c>
      <c r="AE4298" s="1">
        <v>24271</v>
      </c>
      <c r="AF4298">
        <v>1</v>
      </c>
      <c r="AG4298" t="s">
        <v>1199</v>
      </c>
      <c r="AH4298" s="36">
        <f t="shared" si="67"/>
        <v>53.294444444444444</v>
      </c>
      <c r="AI4298" s="41" t="s">
        <v>1781</v>
      </c>
    </row>
    <row r="4299" spans="1:35" x14ac:dyDescent="0.25">
      <c r="A4299" s="36">
        <v>99914297</v>
      </c>
      <c r="B4299" s="17" t="s">
        <v>56</v>
      </c>
      <c r="C4299" t="s">
        <v>52</v>
      </c>
      <c r="D4299" t="s">
        <v>53</v>
      </c>
      <c r="G4299" s="17" t="s">
        <v>35</v>
      </c>
      <c r="H4299" s="17">
        <v>1</v>
      </c>
      <c r="K4299" t="s">
        <v>223</v>
      </c>
      <c r="L4299" t="s">
        <v>224</v>
      </c>
      <c r="M4299" t="s">
        <v>131</v>
      </c>
      <c r="N4299">
        <v>20</v>
      </c>
      <c r="O4299" t="s">
        <v>40</v>
      </c>
      <c r="P4299" t="s">
        <v>40</v>
      </c>
      <c r="Q4299" t="s">
        <v>40</v>
      </c>
      <c r="S4299" t="s">
        <v>40</v>
      </c>
      <c r="V4299" t="s">
        <v>41</v>
      </c>
      <c r="W4299" t="s">
        <v>42</v>
      </c>
      <c r="X4299" t="str">
        <f>"0590903"</f>
        <v>0590903</v>
      </c>
      <c r="Y4299" t="s">
        <v>226</v>
      </c>
      <c r="Z4299" t="s">
        <v>223</v>
      </c>
      <c r="AA4299" t="s">
        <v>224</v>
      </c>
      <c r="AB4299" t="s">
        <v>131</v>
      </c>
      <c r="AC4299" t="s">
        <v>51</v>
      </c>
      <c r="AD4299" t="s">
        <v>45</v>
      </c>
      <c r="AE4299" s="1">
        <v>24270</v>
      </c>
      <c r="AF4299">
        <v>2</v>
      </c>
      <c r="AG4299" t="s">
        <v>224</v>
      </c>
      <c r="AH4299" s="36">
        <f t="shared" si="67"/>
        <v>53.297222222222224</v>
      </c>
      <c r="AI4299" s="41" t="s">
        <v>1781</v>
      </c>
    </row>
    <row r="4300" spans="1:35" x14ac:dyDescent="0.25">
      <c r="A4300" s="36">
        <v>99914298</v>
      </c>
      <c r="B4300" s="17" t="s">
        <v>32</v>
      </c>
      <c r="C4300" t="s">
        <v>111</v>
      </c>
      <c r="D4300" t="s">
        <v>112</v>
      </c>
      <c r="G4300" s="17" t="s">
        <v>48</v>
      </c>
      <c r="H4300" s="17">
        <v>14</v>
      </c>
      <c r="I4300" t="s">
        <v>519</v>
      </c>
      <c r="J4300" s="1">
        <v>43344</v>
      </c>
      <c r="K4300" t="s">
        <v>195</v>
      </c>
      <c r="L4300" t="s">
        <v>196</v>
      </c>
      <c r="M4300" t="s">
        <v>131</v>
      </c>
      <c r="N4300">
        <v>21</v>
      </c>
      <c r="O4300" t="s">
        <v>40</v>
      </c>
      <c r="P4300" t="s">
        <v>40</v>
      </c>
      <c r="Q4300" t="s">
        <v>40</v>
      </c>
      <c r="R4300" t="s">
        <v>40</v>
      </c>
      <c r="S4300" t="s">
        <v>40</v>
      </c>
      <c r="U4300" s="1">
        <v>43344</v>
      </c>
      <c r="V4300" t="s">
        <v>41</v>
      </c>
      <c r="W4300" t="s">
        <v>75</v>
      </c>
      <c r="X4300" t="str">
        <f>"7521046"</f>
        <v>7521046</v>
      </c>
      <c r="Y4300" t="s">
        <v>436</v>
      </c>
      <c r="Z4300" t="s">
        <v>195</v>
      </c>
      <c r="AA4300" t="s">
        <v>196</v>
      </c>
      <c r="AB4300" t="s">
        <v>131</v>
      </c>
      <c r="AC4300" t="s">
        <v>165</v>
      </c>
      <c r="AD4300" t="s">
        <v>45</v>
      </c>
      <c r="AE4300" s="1">
        <v>24270</v>
      </c>
      <c r="AF4300">
        <v>1</v>
      </c>
      <c r="AG4300" t="s">
        <v>196</v>
      </c>
      <c r="AH4300" s="36">
        <f t="shared" si="67"/>
        <v>53.297222222222224</v>
      </c>
      <c r="AI4300" s="41" t="s">
        <v>1781</v>
      </c>
    </row>
    <row r="4301" spans="1:35" x14ac:dyDescent="0.25">
      <c r="A4301" s="36">
        <v>99914299</v>
      </c>
      <c r="B4301" s="17" t="s">
        <v>32</v>
      </c>
      <c r="C4301" t="s">
        <v>64</v>
      </c>
      <c r="D4301" t="s">
        <v>65</v>
      </c>
      <c r="G4301" s="17" t="s">
        <v>48</v>
      </c>
      <c r="H4301" s="17">
        <v>1</v>
      </c>
      <c r="K4301" t="s">
        <v>1051</v>
      </c>
      <c r="L4301" t="s">
        <v>1052</v>
      </c>
      <c r="M4301" t="s">
        <v>1053</v>
      </c>
      <c r="N4301">
        <v>21</v>
      </c>
      <c r="O4301" t="s">
        <v>40</v>
      </c>
      <c r="P4301" t="s">
        <v>40</v>
      </c>
      <c r="Q4301" t="s">
        <v>40</v>
      </c>
      <c r="R4301" t="s">
        <v>40</v>
      </c>
      <c r="S4301" t="s">
        <v>40</v>
      </c>
      <c r="V4301" t="s">
        <v>41</v>
      </c>
      <c r="W4301" t="s">
        <v>49</v>
      </c>
      <c r="X4301" t="str">
        <f>"2080025"</f>
        <v>2080025</v>
      </c>
      <c r="Y4301" t="s">
        <v>1057</v>
      </c>
      <c r="Z4301" t="s">
        <v>1051</v>
      </c>
      <c r="AA4301" t="s">
        <v>1052</v>
      </c>
      <c r="AB4301" t="s">
        <v>1053</v>
      </c>
      <c r="AC4301" t="s">
        <v>51</v>
      </c>
      <c r="AD4301" t="s">
        <v>45</v>
      </c>
      <c r="AE4301" s="1">
        <v>24270</v>
      </c>
      <c r="AF4301">
        <v>2</v>
      </c>
      <c r="AG4301" t="s">
        <v>1052</v>
      </c>
      <c r="AH4301" s="36">
        <f t="shared" si="67"/>
        <v>53.297222222222224</v>
      </c>
      <c r="AI4301" s="41" t="s">
        <v>1781</v>
      </c>
    </row>
    <row r="4302" spans="1:35" x14ac:dyDescent="0.25">
      <c r="A4302" s="36">
        <v>99914300</v>
      </c>
      <c r="B4302" s="17" t="s">
        <v>56</v>
      </c>
      <c r="C4302" t="s">
        <v>61</v>
      </c>
      <c r="D4302" t="s">
        <v>62</v>
      </c>
      <c r="G4302" s="17" t="s">
        <v>48</v>
      </c>
      <c r="H4302" s="17">
        <v>1</v>
      </c>
      <c r="K4302" t="s">
        <v>223</v>
      </c>
      <c r="L4302" t="s">
        <v>224</v>
      </c>
      <c r="M4302" t="s">
        <v>131</v>
      </c>
      <c r="N4302">
        <v>20</v>
      </c>
      <c r="O4302" t="s">
        <v>40</v>
      </c>
      <c r="P4302" t="s">
        <v>40</v>
      </c>
      <c r="Q4302" t="s">
        <v>40</v>
      </c>
      <c r="R4302" t="s">
        <v>40</v>
      </c>
      <c r="S4302" t="s">
        <v>40</v>
      </c>
      <c r="V4302" t="s">
        <v>41</v>
      </c>
      <c r="W4302" t="s">
        <v>42</v>
      </c>
      <c r="X4302" t="str">
        <f>"0580203"</f>
        <v>0580203</v>
      </c>
      <c r="Y4302" t="s">
        <v>239</v>
      </c>
      <c r="Z4302" t="s">
        <v>223</v>
      </c>
      <c r="AA4302" t="s">
        <v>224</v>
      </c>
      <c r="AB4302" t="s">
        <v>131</v>
      </c>
      <c r="AC4302" t="s">
        <v>51</v>
      </c>
      <c r="AD4302" t="s">
        <v>45</v>
      </c>
      <c r="AE4302" s="1">
        <v>24269</v>
      </c>
      <c r="AF4302">
        <v>2</v>
      </c>
      <c r="AG4302" t="s">
        <v>224</v>
      </c>
      <c r="AH4302" s="36">
        <f t="shared" si="67"/>
        <v>53.3</v>
      </c>
      <c r="AI4302" s="41" t="s">
        <v>1781</v>
      </c>
    </row>
    <row r="4303" spans="1:35" x14ac:dyDescent="0.25">
      <c r="A4303" s="36">
        <v>99914301</v>
      </c>
      <c r="B4303" s="17" t="s">
        <v>32</v>
      </c>
      <c r="C4303" t="s">
        <v>71</v>
      </c>
      <c r="D4303" t="s">
        <v>72</v>
      </c>
      <c r="G4303" s="17" t="s">
        <v>35</v>
      </c>
      <c r="H4303" s="17">
        <v>1</v>
      </c>
      <c r="K4303" t="s">
        <v>223</v>
      </c>
      <c r="L4303" t="s">
        <v>224</v>
      </c>
      <c r="M4303" t="s">
        <v>131</v>
      </c>
      <c r="N4303">
        <v>20</v>
      </c>
      <c r="O4303" t="s">
        <v>40</v>
      </c>
      <c r="P4303" t="s">
        <v>40</v>
      </c>
      <c r="Q4303" t="s">
        <v>40</v>
      </c>
      <c r="S4303" t="s">
        <v>40</v>
      </c>
      <c r="V4303" t="s">
        <v>41</v>
      </c>
      <c r="W4303" t="s">
        <v>42</v>
      </c>
      <c r="X4303" t="str">
        <f>"0590903"</f>
        <v>0590903</v>
      </c>
      <c r="Y4303" t="s">
        <v>226</v>
      </c>
      <c r="Z4303" t="s">
        <v>223</v>
      </c>
      <c r="AA4303" t="s">
        <v>224</v>
      </c>
      <c r="AB4303" t="s">
        <v>131</v>
      </c>
      <c r="AC4303" t="s">
        <v>51</v>
      </c>
      <c r="AD4303" t="s">
        <v>45</v>
      </c>
      <c r="AE4303" s="1">
        <v>24268</v>
      </c>
      <c r="AF4303">
        <v>2</v>
      </c>
      <c r="AG4303" t="s">
        <v>224</v>
      </c>
      <c r="AH4303" s="36">
        <f t="shared" si="67"/>
        <v>53.302777777777777</v>
      </c>
      <c r="AI4303" s="41" t="s">
        <v>1781</v>
      </c>
    </row>
    <row r="4304" spans="1:35" x14ac:dyDescent="0.25">
      <c r="A4304" s="36">
        <v>99914302</v>
      </c>
      <c r="B4304" s="17" t="s">
        <v>32</v>
      </c>
      <c r="C4304" t="s">
        <v>111</v>
      </c>
      <c r="D4304" t="s">
        <v>112</v>
      </c>
      <c r="G4304" s="17" t="s">
        <v>48</v>
      </c>
      <c r="H4304" s="17">
        <v>15</v>
      </c>
      <c r="I4304" t="s">
        <v>547</v>
      </c>
      <c r="J4304" s="1">
        <v>43344</v>
      </c>
      <c r="K4304" t="s">
        <v>195</v>
      </c>
      <c r="L4304" t="s">
        <v>196</v>
      </c>
      <c r="M4304" t="s">
        <v>131</v>
      </c>
      <c r="N4304">
        <v>21</v>
      </c>
      <c r="O4304" t="s">
        <v>40</v>
      </c>
      <c r="P4304" t="s">
        <v>40</v>
      </c>
      <c r="Q4304" t="s">
        <v>40</v>
      </c>
      <c r="R4304" t="s">
        <v>40</v>
      </c>
      <c r="S4304" t="s">
        <v>40</v>
      </c>
      <c r="U4304" s="1">
        <v>43344</v>
      </c>
      <c r="X4304" t="str">
        <f>""</f>
        <v/>
      </c>
      <c r="AA4304" t="s">
        <v>196</v>
      </c>
      <c r="AB4304" t="s">
        <v>131</v>
      </c>
      <c r="AC4304" t="s">
        <v>165</v>
      </c>
      <c r="AD4304" t="s">
        <v>45</v>
      </c>
      <c r="AE4304" s="1">
        <v>24264</v>
      </c>
      <c r="AF4304">
        <v>1</v>
      </c>
      <c r="AG4304" t="s">
        <v>196</v>
      </c>
      <c r="AH4304" s="36">
        <f t="shared" si="67"/>
        <v>53.31388888888889</v>
      </c>
      <c r="AI4304" s="41" t="s">
        <v>1781</v>
      </c>
    </row>
    <row r="4305" spans="1:35" x14ac:dyDescent="0.25">
      <c r="A4305" s="36">
        <v>99914303</v>
      </c>
      <c r="B4305" s="17" t="s">
        <v>32</v>
      </c>
      <c r="C4305" t="s">
        <v>111</v>
      </c>
      <c r="D4305" t="s">
        <v>112</v>
      </c>
      <c r="G4305" s="17" t="s">
        <v>48</v>
      </c>
      <c r="H4305" s="17">
        <v>11</v>
      </c>
      <c r="K4305" t="s">
        <v>195</v>
      </c>
      <c r="L4305" t="s">
        <v>196</v>
      </c>
      <c r="M4305" t="s">
        <v>131</v>
      </c>
      <c r="N4305">
        <v>21</v>
      </c>
      <c r="O4305" t="s">
        <v>40</v>
      </c>
      <c r="P4305" t="s">
        <v>40</v>
      </c>
      <c r="Q4305" t="s">
        <v>40</v>
      </c>
      <c r="R4305" t="s">
        <v>40</v>
      </c>
      <c r="S4305" t="s">
        <v>40</v>
      </c>
      <c r="U4305" s="1">
        <v>38280</v>
      </c>
      <c r="V4305" t="s">
        <v>41</v>
      </c>
      <c r="W4305" t="s">
        <v>75</v>
      </c>
      <c r="X4305" t="str">
        <f>"7521044"</f>
        <v>7521044</v>
      </c>
      <c r="Y4305" t="s">
        <v>453</v>
      </c>
      <c r="Z4305" t="s">
        <v>195</v>
      </c>
      <c r="AA4305" t="s">
        <v>196</v>
      </c>
      <c r="AB4305" t="s">
        <v>131</v>
      </c>
      <c r="AC4305" t="s">
        <v>165</v>
      </c>
      <c r="AD4305" t="s">
        <v>45</v>
      </c>
      <c r="AE4305" s="1">
        <v>24263</v>
      </c>
      <c r="AF4305">
        <v>1</v>
      </c>
      <c r="AG4305" t="s">
        <v>196</v>
      </c>
      <c r="AH4305" s="36">
        <f t="shared" si="67"/>
        <v>53.31666666666667</v>
      </c>
      <c r="AI4305" s="41" t="s">
        <v>1781</v>
      </c>
    </row>
    <row r="4306" spans="1:35" x14ac:dyDescent="0.25">
      <c r="A4306" s="36">
        <v>99914304</v>
      </c>
      <c r="B4306" s="17" t="s">
        <v>32</v>
      </c>
      <c r="C4306" t="s">
        <v>33</v>
      </c>
      <c r="D4306" t="s">
        <v>34</v>
      </c>
      <c r="G4306" s="17" t="s">
        <v>48</v>
      </c>
      <c r="H4306" s="17">
        <v>1</v>
      </c>
      <c r="K4306" t="s">
        <v>345</v>
      </c>
      <c r="L4306" t="s">
        <v>346</v>
      </c>
      <c r="M4306" t="s">
        <v>131</v>
      </c>
      <c r="N4306">
        <v>18</v>
      </c>
      <c r="O4306" t="s">
        <v>40</v>
      </c>
      <c r="P4306" t="s">
        <v>40</v>
      </c>
      <c r="Q4306" t="s">
        <v>40</v>
      </c>
      <c r="S4306" t="s">
        <v>40</v>
      </c>
      <c r="V4306" t="s">
        <v>41</v>
      </c>
      <c r="W4306" t="s">
        <v>42</v>
      </c>
      <c r="X4306" t="str">
        <f>"0590906"</f>
        <v>0590906</v>
      </c>
      <c r="Y4306" t="s">
        <v>361</v>
      </c>
      <c r="Z4306" t="s">
        <v>345</v>
      </c>
      <c r="AA4306" t="s">
        <v>346</v>
      </c>
      <c r="AB4306" t="s">
        <v>131</v>
      </c>
      <c r="AC4306" t="s">
        <v>51</v>
      </c>
      <c r="AD4306" t="s">
        <v>45</v>
      </c>
      <c r="AE4306" s="1">
        <v>24258</v>
      </c>
      <c r="AF4306">
        <v>2</v>
      </c>
      <c r="AG4306" t="s">
        <v>346</v>
      </c>
      <c r="AH4306" s="36">
        <f t="shared" si="67"/>
        <v>53.330555555555556</v>
      </c>
      <c r="AI4306" s="41" t="s">
        <v>1781</v>
      </c>
    </row>
    <row r="4307" spans="1:35" x14ac:dyDescent="0.25">
      <c r="A4307" s="36">
        <v>99914305</v>
      </c>
      <c r="B4307" s="17" t="s">
        <v>32</v>
      </c>
      <c r="C4307" t="s">
        <v>111</v>
      </c>
      <c r="D4307" t="s">
        <v>112</v>
      </c>
      <c r="G4307" s="17" t="s">
        <v>35</v>
      </c>
      <c r="H4307" s="17">
        <v>14</v>
      </c>
      <c r="K4307" t="s">
        <v>268</v>
      </c>
      <c r="L4307" t="s">
        <v>269</v>
      </c>
      <c r="M4307" t="s">
        <v>131</v>
      </c>
      <c r="N4307">
        <v>21</v>
      </c>
      <c r="O4307" t="s">
        <v>40</v>
      </c>
      <c r="P4307" t="s">
        <v>40</v>
      </c>
      <c r="Q4307" t="s">
        <v>40</v>
      </c>
      <c r="R4307" t="s">
        <v>40</v>
      </c>
      <c r="S4307" t="s">
        <v>40</v>
      </c>
      <c r="V4307" t="s">
        <v>41</v>
      </c>
      <c r="W4307" t="s">
        <v>75</v>
      </c>
      <c r="X4307" t="str">
        <f>"7052004"</f>
        <v>7052004</v>
      </c>
      <c r="Y4307" t="s">
        <v>584</v>
      </c>
      <c r="Z4307" t="s">
        <v>268</v>
      </c>
      <c r="AA4307" t="s">
        <v>269</v>
      </c>
      <c r="AB4307" t="s">
        <v>131</v>
      </c>
      <c r="AC4307" t="s">
        <v>165</v>
      </c>
      <c r="AD4307" t="s">
        <v>45</v>
      </c>
      <c r="AE4307" s="1">
        <v>24257</v>
      </c>
      <c r="AF4307">
        <v>1</v>
      </c>
      <c r="AG4307" t="s">
        <v>269</v>
      </c>
      <c r="AH4307" s="36">
        <f t="shared" si="67"/>
        <v>53.333333333333336</v>
      </c>
      <c r="AI4307" s="41" t="s">
        <v>1781</v>
      </c>
    </row>
    <row r="4308" spans="1:35" x14ac:dyDescent="0.25">
      <c r="A4308" s="36">
        <v>99914306</v>
      </c>
      <c r="B4308" s="17" t="s">
        <v>32</v>
      </c>
      <c r="C4308" t="s">
        <v>139</v>
      </c>
      <c r="D4308" t="s">
        <v>140</v>
      </c>
      <c r="G4308" s="17" t="s">
        <v>35</v>
      </c>
      <c r="H4308" s="17">
        <v>1</v>
      </c>
      <c r="K4308" t="s">
        <v>1695</v>
      </c>
      <c r="L4308" t="s">
        <v>1696</v>
      </c>
      <c r="M4308" t="s">
        <v>1592</v>
      </c>
      <c r="N4308">
        <v>12</v>
      </c>
      <c r="O4308" t="s">
        <v>40</v>
      </c>
      <c r="P4308" t="s">
        <v>40</v>
      </c>
      <c r="Q4308" t="s">
        <v>40</v>
      </c>
      <c r="R4308" t="s">
        <v>40</v>
      </c>
      <c r="S4308" t="s">
        <v>40</v>
      </c>
      <c r="V4308" t="s">
        <v>41</v>
      </c>
      <c r="W4308" t="s">
        <v>75</v>
      </c>
      <c r="X4308" t="str">
        <f>"7361000"</f>
        <v>7361000</v>
      </c>
      <c r="Y4308" t="s">
        <v>1698</v>
      </c>
      <c r="Z4308" t="s">
        <v>1695</v>
      </c>
      <c r="AA4308" t="s">
        <v>1696</v>
      </c>
      <c r="AB4308" t="s">
        <v>1592</v>
      </c>
      <c r="AC4308" t="s">
        <v>51</v>
      </c>
      <c r="AD4308" t="s">
        <v>45</v>
      </c>
      <c r="AE4308" s="1">
        <v>24257</v>
      </c>
      <c r="AF4308">
        <v>1</v>
      </c>
      <c r="AG4308" t="s">
        <v>1696</v>
      </c>
      <c r="AH4308" s="36">
        <f t="shared" si="67"/>
        <v>53.333333333333336</v>
      </c>
      <c r="AI4308" s="41" t="s">
        <v>1781</v>
      </c>
    </row>
    <row r="4309" spans="1:35" x14ac:dyDescent="0.25">
      <c r="A4309" s="36">
        <v>99914307</v>
      </c>
      <c r="B4309" s="17" t="s">
        <v>32</v>
      </c>
      <c r="C4309" t="s">
        <v>111</v>
      </c>
      <c r="D4309" t="s">
        <v>112</v>
      </c>
      <c r="G4309" s="17" t="s">
        <v>48</v>
      </c>
      <c r="H4309" s="17">
        <v>16</v>
      </c>
      <c r="K4309" t="s">
        <v>195</v>
      </c>
      <c r="L4309" t="s">
        <v>196</v>
      </c>
      <c r="M4309" t="s">
        <v>131</v>
      </c>
      <c r="N4309">
        <v>21</v>
      </c>
      <c r="O4309" t="s">
        <v>40</v>
      </c>
      <c r="P4309" t="s">
        <v>40</v>
      </c>
      <c r="Q4309" t="s">
        <v>40</v>
      </c>
      <c r="R4309" t="s">
        <v>40</v>
      </c>
      <c r="S4309" t="s">
        <v>40</v>
      </c>
      <c r="U4309" s="1">
        <v>34124</v>
      </c>
      <c r="V4309" t="s">
        <v>41</v>
      </c>
      <c r="W4309" t="s">
        <v>75</v>
      </c>
      <c r="X4309" t="str">
        <f>"7521042"</f>
        <v>7521042</v>
      </c>
      <c r="Y4309" t="s">
        <v>440</v>
      </c>
      <c r="Z4309" t="s">
        <v>195</v>
      </c>
      <c r="AA4309" t="s">
        <v>196</v>
      </c>
      <c r="AB4309" t="s">
        <v>131</v>
      </c>
      <c r="AC4309" t="s">
        <v>165</v>
      </c>
      <c r="AD4309" t="s">
        <v>45</v>
      </c>
      <c r="AE4309" s="1">
        <v>24254</v>
      </c>
      <c r="AF4309">
        <v>1</v>
      </c>
      <c r="AG4309" t="s">
        <v>196</v>
      </c>
      <c r="AH4309" s="36">
        <f t="shared" si="67"/>
        <v>53.341666666666669</v>
      </c>
      <c r="AI4309" s="41" t="s">
        <v>1781</v>
      </c>
    </row>
    <row r="4310" spans="1:35" x14ac:dyDescent="0.25">
      <c r="A4310" s="36">
        <v>99914308</v>
      </c>
      <c r="B4310" s="17" t="s">
        <v>56</v>
      </c>
      <c r="C4310" t="s">
        <v>111</v>
      </c>
      <c r="D4310" t="s">
        <v>112</v>
      </c>
      <c r="G4310" s="17" t="s">
        <v>48</v>
      </c>
      <c r="H4310" s="17">
        <v>14</v>
      </c>
      <c r="I4310" t="s">
        <v>1449</v>
      </c>
      <c r="J4310" s="1">
        <v>43344</v>
      </c>
      <c r="K4310" t="s">
        <v>1426</v>
      </c>
      <c r="L4310" t="s">
        <v>1427</v>
      </c>
      <c r="M4310" t="s">
        <v>1270</v>
      </c>
      <c r="N4310">
        <v>21</v>
      </c>
      <c r="O4310" t="s">
        <v>40</v>
      </c>
      <c r="P4310" t="s">
        <v>40</v>
      </c>
      <c r="Q4310" t="s">
        <v>40</v>
      </c>
      <c r="R4310" t="s">
        <v>40</v>
      </c>
      <c r="S4310" t="s">
        <v>40</v>
      </c>
      <c r="U4310" s="1">
        <v>43344</v>
      </c>
      <c r="V4310" t="s">
        <v>41</v>
      </c>
      <c r="W4310" t="s">
        <v>75</v>
      </c>
      <c r="X4310" t="str">
        <f>"7192002"</f>
        <v>7192002</v>
      </c>
      <c r="Y4310" t="s">
        <v>1438</v>
      </c>
      <c r="Z4310" t="s">
        <v>1426</v>
      </c>
      <c r="AA4310" t="s">
        <v>1427</v>
      </c>
      <c r="AB4310" t="s">
        <v>1270</v>
      </c>
      <c r="AC4310" t="s">
        <v>51</v>
      </c>
      <c r="AD4310" t="s">
        <v>45</v>
      </c>
      <c r="AE4310" s="1">
        <v>24253</v>
      </c>
      <c r="AF4310">
        <v>1</v>
      </c>
      <c r="AG4310" t="s">
        <v>1427</v>
      </c>
      <c r="AH4310" s="36">
        <f t="shared" si="67"/>
        <v>53.344444444444441</v>
      </c>
      <c r="AI4310" s="41" t="s">
        <v>1781</v>
      </c>
    </row>
    <row r="4311" spans="1:35" x14ac:dyDescent="0.25">
      <c r="A4311" s="36">
        <v>99914309</v>
      </c>
      <c r="B4311" s="17" t="s">
        <v>56</v>
      </c>
      <c r="C4311" t="s">
        <v>68</v>
      </c>
      <c r="D4311" t="s">
        <v>69</v>
      </c>
      <c r="G4311" s="17" t="s">
        <v>35</v>
      </c>
      <c r="H4311" s="17">
        <v>1</v>
      </c>
      <c r="K4311" t="s">
        <v>1546</v>
      </c>
      <c r="L4311" t="s">
        <v>1547</v>
      </c>
      <c r="M4311" t="s">
        <v>1548</v>
      </c>
      <c r="N4311">
        <v>20</v>
      </c>
      <c r="O4311" t="s">
        <v>40</v>
      </c>
      <c r="P4311" t="s">
        <v>40</v>
      </c>
      <c r="Q4311" t="s">
        <v>40</v>
      </c>
      <c r="R4311" t="s">
        <v>40</v>
      </c>
      <c r="S4311" t="s">
        <v>40</v>
      </c>
      <c r="V4311" t="s">
        <v>41</v>
      </c>
      <c r="W4311" t="s">
        <v>42</v>
      </c>
      <c r="X4311" t="str">
        <f>"1080010"</f>
        <v>1080010</v>
      </c>
      <c r="Y4311" t="s">
        <v>1549</v>
      </c>
      <c r="Z4311" t="s">
        <v>1546</v>
      </c>
      <c r="AA4311" t="s">
        <v>1547</v>
      </c>
      <c r="AB4311" t="s">
        <v>1548</v>
      </c>
      <c r="AC4311" t="s">
        <v>51</v>
      </c>
      <c r="AD4311" t="s">
        <v>45</v>
      </c>
      <c r="AE4311" s="1">
        <v>24251</v>
      </c>
      <c r="AF4311">
        <v>2</v>
      </c>
      <c r="AG4311" t="s">
        <v>1547</v>
      </c>
      <c r="AH4311" s="36">
        <f t="shared" si="67"/>
        <v>53.35</v>
      </c>
      <c r="AI4311" s="41" t="s">
        <v>1781</v>
      </c>
    </row>
    <row r="4312" spans="1:35" x14ac:dyDescent="0.25">
      <c r="A4312" s="36">
        <v>99914310</v>
      </c>
      <c r="B4312" s="17" t="s">
        <v>32</v>
      </c>
      <c r="C4312" t="s">
        <v>52</v>
      </c>
      <c r="D4312" t="s">
        <v>53</v>
      </c>
      <c r="G4312" s="17" t="s">
        <v>35</v>
      </c>
      <c r="H4312" s="17">
        <v>1</v>
      </c>
      <c r="K4312" t="s">
        <v>1626</v>
      </c>
      <c r="L4312" t="s">
        <v>1627</v>
      </c>
      <c r="M4312" t="s">
        <v>1592</v>
      </c>
      <c r="N4312">
        <v>21</v>
      </c>
      <c r="O4312" t="s">
        <v>40</v>
      </c>
      <c r="P4312" t="s">
        <v>40</v>
      </c>
      <c r="Q4312" t="s">
        <v>40</v>
      </c>
      <c r="S4312" t="s">
        <v>40</v>
      </c>
      <c r="V4312" t="s">
        <v>41</v>
      </c>
      <c r="W4312" t="s">
        <v>49</v>
      </c>
      <c r="X4312" t="str">
        <f>"3681015"</f>
        <v>3681015</v>
      </c>
      <c r="Y4312" t="s">
        <v>1629</v>
      </c>
      <c r="Z4312" t="s">
        <v>1626</v>
      </c>
      <c r="AA4312" t="s">
        <v>1627</v>
      </c>
      <c r="AB4312" t="s">
        <v>1592</v>
      </c>
      <c r="AC4312" t="s">
        <v>51</v>
      </c>
      <c r="AD4312" t="s">
        <v>45</v>
      </c>
      <c r="AE4312" s="1">
        <v>24249</v>
      </c>
      <c r="AF4312">
        <v>2</v>
      </c>
      <c r="AG4312" t="s">
        <v>1627</v>
      </c>
      <c r="AH4312" s="36">
        <f t="shared" si="67"/>
        <v>53.355555555555554</v>
      </c>
      <c r="AI4312" s="41" t="s">
        <v>1781</v>
      </c>
    </row>
    <row r="4313" spans="1:35" x14ac:dyDescent="0.25">
      <c r="A4313" s="36">
        <v>99914311</v>
      </c>
      <c r="B4313" s="17" t="s">
        <v>32</v>
      </c>
      <c r="C4313" t="s">
        <v>111</v>
      </c>
      <c r="D4313" t="s">
        <v>112</v>
      </c>
      <c r="G4313" s="17" t="s">
        <v>48</v>
      </c>
      <c r="H4313" s="17">
        <v>14</v>
      </c>
      <c r="K4313" t="s">
        <v>354</v>
      </c>
      <c r="L4313" t="s">
        <v>355</v>
      </c>
      <c r="M4313" t="s">
        <v>131</v>
      </c>
      <c r="N4313">
        <v>6</v>
      </c>
      <c r="O4313" t="s">
        <v>40</v>
      </c>
      <c r="P4313" t="s">
        <v>40</v>
      </c>
      <c r="Q4313" t="s">
        <v>40</v>
      </c>
      <c r="R4313" t="s">
        <v>40</v>
      </c>
      <c r="S4313" t="s">
        <v>40</v>
      </c>
      <c r="V4313" t="s">
        <v>41</v>
      </c>
      <c r="W4313" t="s">
        <v>75</v>
      </c>
      <c r="X4313" t="str">
        <f>"7054042"</f>
        <v>7054042</v>
      </c>
      <c r="Y4313" t="s">
        <v>776</v>
      </c>
      <c r="Z4313" t="s">
        <v>354</v>
      </c>
      <c r="AA4313" t="s">
        <v>355</v>
      </c>
      <c r="AB4313" t="s">
        <v>131</v>
      </c>
      <c r="AC4313" t="s">
        <v>51</v>
      </c>
      <c r="AD4313" t="s">
        <v>45</v>
      </c>
      <c r="AE4313" s="1">
        <v>24247</v>
      </c>
      <c r="AF4313">
        <v>1</v>
      </c>
      <c r="AG4313" t="s">
        <v>355</v>
      </c>
      <c r="AH4313" s="36">
        <f t="shared" si="67"/>
        <v>53.361111111111114</v>
      </c>
      <c r="AI4313" s="41" t="s">
        <v>1781</v>
      </c>
    </row>
    <row r="4314" spans="1:35" x14ac:dyDescent="0.25">
      <c r="A4314" s="36">
        <v>99914312</v>
      </c>
      <c r="B4314" s="17" t="s">
        <v>56</v>
      </c>
      <c r="C4314" t="s">
        <v>85</v>
      </c>
      <c r="D4314" t="s">
        <v>86</v>
      </c>
      <c r="G4314" s="17" t="s">
        <v>48</v>
      </c>
      <c r="H4314" s="17">
        <v>8</v>
      </c>
      <c r="K4314" t="s">
        <v>345</v>
      </c>
      <c r="L4314" t="s">
        <v>346</v>
      </c>
      <c r="M4314" t="s">
        <v>131</v>
      </c>
      <c r="N4314">
        <v>20</v>
      </c>
      <c r="O4314" t="s">
        <v>40</v>
      </c>
      <c r="P4314" t="s">
        <v>40</v>
      </c>
      <c r="Q4314" t="s">
        <v>40</v>
      </c>
      <c r="R4314" t="s">
        <v>40</v>
      </c>
      <c r="S4314" t="s">
        <v>40</v>
      </c>
      <c r="V4314" t="s">
        <v>41</v>
      </c>
      <c r="W4314" t="s">
        <v>42</v>
      </c>
      <c r="X4314" t="str">
        <f>"0590906"</f>
        <v>0590906</v>
      </c>
      <c r="Y4314" t="s">
        <v>361</v>
      </c>
      <c r="Z4314" t="s">
        <v>345</v>
      </c>
      <c r="AA4314" t="s">
        <v>346</v>
      </c>
      <c r="AB4314" t="s">
        <v>131</v>
      </c>
      <c r="AC4314" t="s">
        <v>51</v>
      </c>
      <c r="AD4314" t="s">
        <v>45</v>
      </c>
      <c r="AE4314" s="1">
        <v>24241</v>
      </c>
      <c r="AF4314">
        <v>2</v>
      </c>
      <c r="AG4314" t="s">
        <v>346</v>
      </c>
      <c r="AH4314" s="36">
        <f t="shared" si="67"/>
        <v>53.37777777777778</v>
      </c>
      <c r="AI4314" s="41" t="s">
        <v>1781</v>
      </c>
    </row>
    <row r="4315" spans="1:35" x14ac:dyDescent="0.25">
      <c r="A4315" s="36">
        <v>99914313</v>
      </c>
      <c r="B4315" s="17" t="s">
        <v>32</v>
      </c>
      <c r="C4315" t="s">
        <v>71</v>
      </c>
      <c r="D4315" t="s">
        <v>72</v>
      </c>
      <c r="G4315" s="17" t="s">
        <v>48</v>
      </c>
      <c r="H4315" s="17">
        <v>1</v>
      </c>
      <c r="K4315" t="s">
        <v>223</v>
      </c>
      <c r="L4315" t="s">
        <v>224</v>
      </c>
      <c r="M4315" t="s">
        <v>131</v>
      </c>
      <c r="N4315">
        <v>18</v>
      </c>
      <c r="O4315" t="s">
        <v>40</v>
      </c>
      <c r="P4315" t="s">
        <v>40</v>
      </c>
      <c r="Q4315" t="s">
        <v>40</v>
      </c>
      <c r="R4315" t="s">
        <v>40</v>
      </c>
      <c r="S4315" t="s">
        <v>40</v>
      </c>
      <c r="V4315" t="s">
        <v>41</v>
      </c>
      <c r="W4315" t="s">
        <v>49</v>
      </c>
      <c r="X4315" t="str">
        <f>"0581204"</f>
        <v>0581204</v>
      </c>
      <c r="Y4315" t="s">
        <v>249</v>
      </c>
      <c r="Z4315" t="s">
        <v>223</v>
      </c>
      <c r="AA4315" t="s">
        <v>224</v>
      </c>
      <c r="AB4315" t="s">
        <v>131</v>
      </c>
      <c r="AC4315" t="s">
        <v>165</v>
      </c>
      <c r="AD4315" t="s">
        <v>45</v>
      </c>
      <c r="AE4315" s="1">
        <v>24240</v>
      </c>
      <c r="AF4315">
        <v>2</v>
      </c>
      <c r="AG4315" t="s">
        <v>224</v>
      </c>
      <c r="AH4315" s="36">
        <f t="shared" si="67"/>
        <v>53.380555555555553</v>
      </c>
      <c r="AI4315" s="41" t="s">
        <v>1781</v>
      </c>
    </row>
    <row r="4316" spans="1:35" x14ac:dyDescent="0.25">
      <c r="A4316" s="36">
        <v>99914314</v>
      </c>
      <c r="B4316" s="17" t="s">
        <v>32</v>
      </c>
      <c r="C4316" t="s">
        <v>64</v>
      </c>
      <c r="D4316" t="s">
        <v>65</v>
      </c>
      <c r="G4316" s="17" t="s">
        <v>35</v>
      </c>
      <c r="H4316" s="17">
        <v>1</v>
      </c>
      <c r="I4316" t="s">
        <v>348</v>
      </c>
      <c r="J4316" s="1">
        <v>43344</v>
      </c>
      <c r="K4316" t="s">
        <v>345</v>
      </c>
      <c r="L4316" t="s">
        <v>346</v>
      </c>
      <c r="M4316" t="s">
        <v>131</v>
      </c>
      <c r="N4316">
        <v>18</v>
      </c>
      <c r="O4316" t="s">
        <v>40</v>
      </c>
      <c r="S4316" t="s">
        <v>40</v>
      </c>
      <c r="U4316" s="1">
        <v>43344</v>
      </c>
      <c r="V4316" t="s">
        <v>41</v>
      </c>
      <c r="W4316" t="s">
        <v>42</v>
      </c>
      <c r="X4316" t="str">
        <f>"0580155"</f>
        <v>0580155</v>
      </c>
      <c r="Y4316" t="s">
        <v>365</v>
      </c>
      <c r="Z4316" t="s">
        <v>345</v>
      </c>
      <c r="AA4316" t="s">
        <v>346</v>
      </c>
      <c r="AB4316" t="s">
        <v>131</v>
      </c>
      <c r="AC4316" t="s">
        <v>51</v>
      </c>
      <c r="AD4316" t="s">
        <v>45</v>
      </c>
      <c r="AE4316" s="1">
        <v>24238</v>
      </c>
      <c r="AF4316">
        <v>2</v>
      </c>
      <c r="AG4316" t="s">
        <v>346</v>
      </c>
      <c r="AH4316" s="36">
        <f t="shared" si="67"/>
        <v>53.386111111111113</v>
      </c>
      <c r="AI4316" s="41" t="s">
        <v>1781</v>
      </c>
    </row>
    <row r="4317" spans="1:35" x14ac:dyDescent="0.25">
      <c r="A4317" s="36">
        <v>99914315</v>
      </c>
      <c r="B4317" s="17" t="s">
        <v>32</v>
      </c>
      <c r="C4317" t="s">
        <v>111</v>
      </c>
      <c r="D4317" t="s">
        <v>112</v>
      </c>
      <c r="G4317" s="17" t="s">
        <v>35</v>
      </c>
      <c r="H4317" s="17">
        <v>1</v>
      </c>
      <c r="I4317">
        <v>1</v>
      </c>
      <c r="J4317" s="1">
        <v>43406</v>
      </c>
      <c r="K4317" t="s">
        <v>1341</v>
      </c>
      <c r="L4317" t="s">
        <v>1342</v>
      </c>
      <c r="M4317" t="s">
        <v>1270</v>
      </c>
      <c r="N4317">
        <v>24</v>
      </c>
      <c r="O4317" t="s">
        <v>40</v>
      </c>
      <c r="S4317" t="s">
        <v>40</v>
      </c>
      <c r="U4317" s="1">
        <v>43406</v>
      </c>
      <c r="V4317" t="s">
        <v>41</v>
      </c>
      <c r="W4317" t="s">
        <v>75</v>
      </c>
      <c r="X4317" t="str">
        <f>"7700012"</f>
        <v>7700012</v>
      </c>
      <c r="Y4317" t="s">
        <v>1357</v>
      </c>
      <c r="Z4317" t="s">
        <v>1341</v>
      </c>
      <c r="AA4317" t="s">
        <v>1342</v>
      </c>
      <c r="AB4317" t="s">
        <v>1270</v>
      </c>
      <c r="AC4317" t="s">
        <v>51</v>
      </c>
      <c r="AD4317" t="s">
        <v>45</v>
      </c>
      <c r="AE4317" s="1">
        <v>24238</v>
      </c>
      <c r="AF4317">
        <v>1</v>
      </c>
      <c r="AG4317" t="s">
        <v>1342</v>
      </c>
      <c r="AH4317" s="36">
        <f t="shared" si="67"/>
        <v>53.386111111111113</v>
      </c>
      <c r="AI4317" s="41" t="s">
        <v>1781</v>
      </c>
    </row>
    <row r="4318" spans="1:35" x14ac:dyDescent="0.25">
      <c r="A4318" s="36">
        <v>99914316</v>
      </c>
      <c r="B4318" s="17" t="s">
        <v>32</v>
      </c>
      <c r="C4318" t="s">
        <v>79</v>
      </c>
      <c r="D4318" t="s">
        <v>80</v>
      </c>
      <c r="G4318" s="17" t="s">
        <v>48</v>
      </c>
      <c r="H4318" s="17">
        <v>1</v>
      </c>
      <c r="K4318" t="s">
        <v>268</v>
      </c>
      <c r="L4318" t="s">
        <v>269</v>
      </c>
      <c r="M4318" t="s">
        <v>131</v>
      </c>
      <c r="N4318">
        <v>18</v>
      </c>
      <c r="O4318" t="s">
        <v>40</v>
      </c>
      <c r="P4318" t="s">
        <v>40</v>
      </c>
      <c r="Q4318" t="s">
        <v>40</v>
      </c>
      <c r="R4318" t="s">
        <v>40</v>
      </c>
      <c r="S4318" t="s">
        <v>40</v>
      </c>
      <c r="V4318" t="s">
        <v>41</v>
      </c>
      <c r="W4318" t="s">
        <v>75</v>
      </c>
      <c r="X4318" t="str">
        <f>"7052008"</f>
        <v>7052008</v>
      </c>
      <c r="Y4318" t="s">
        <v>274</v>
      </c>
      <c r="Z4318" t="s">
        <v>268</v>
      </c>
      <c r="AA4318" t="s">
        <v>269</v>
      </c>
      <c r="AB4318" t="s">
        <v>131</v>
      </c>
      <c r="AC4318" t="s">
        <v>51</v>
      </c>
      <c r="AD4318" t="s">
        <v>45</v>
      </c>
      <c r="AE4318" s="1">
        <v>24235</v>
      </c>
      <c r="AF4318">
        <v>1</v>
      </c>
      <c r="AG4318" t="s">
        <v>269</v>
      </c>
      <c r="AH4318" s="36">
        <f t="shared" si="67"/>
        <v>53.394444444444446</v>
      </c>
      <c r="AI4318" s="41" t="s">
        <v>1781</v>
      </c>
    </row>
    <row r="4319" spans="1:35" x14ac:dyDescent="0.25">
      <c r="A4319" s="36">
        <v>99914317</v>
      </c>
      <c r="B4319" s="17" t="s">
        <v>56</v>
      </c>
      <c r="C4319" t="s">
        <v>111</v>
      </c>
      <c r="D4319" t="s">
        <v>112</v>
      </c>
      <c r="G4319" s="17" t="s">
        <v>35</v>
      </c>
      <c r="H4319" s="17">
        <v>1</v>
      </c>
      <c r="I4319">
        <v>7768</v>
      </c>
      <c r="J4319" s="1">
        <v>43383</v>
      </c>
      <c r="K4319" t="s">
        <v>1198</v>
      </c>
      <c r="L4319" t="s">
        <v>1199</v>
      </c>
      <c r="M4319" t="s">
        <v>1130</v>
      </c>
      <c r="N4319">
        <v>24</v>
      </c>
      <c r="O4319" t="s">
        <v>40</v>
      </c>
      <c r="S4319" t="s">
        <v>40</v>
      </c>
      <c r="U4319" s="1">
        <v>43383</v>
      </c>
      <c r="V4319" t="s">
        <v>41</v>
      </c>
      <c r="W4319" t="s">
        <v>75</v>
      </c>
      <c r="X4319" t="str">
        <f>"7311002"</f>
        <v>7311002</v>
      </c>
      <c r="Y4319" t="s">
        <v>1203</v>
      </c>
      <c r="Z4319" t="s">
        <v>1198</v>
      </c>
      <c r="AA4319" t="s">
        <v>1199</v>
      </c>
      <c r="AB4319" t="s">
        <v>1130</v>
      </c>
      <c r="AC4319" t="s">
        <v>55</v>
      </c>
      <c r="AD4319" t="s">
        <v>45</v>
      </c>
      <c r="AE4319" s="1">
        <v>24229</v>
      </c>
      <c r="AF4319">
        <v>1</v>
      </c>
      <c r="AG4319" t="s">
        <v>1199</v>
      </c>
      <c r="AH4319" s="36">
        <f t="shared" si="67"/>
        <v>53.411111111111111</v>
      </c>
      <c r="AI4319" s="41" t="s">
        <v>1781</v>
      </c>
    </row>
    <row r="4320" spans="1:35" x14ac:dyDescent="0.25">
      <c r="A4320" s="36">
        <v>99914318</v>
      </c>
      <c r="B4320" s="17" t="s">
        <v>32</v>
      </c>
      <c r="C4320" t="s">
        <v>64</v>
      </c>
      <c r="D4320" t="s">
        <v>65</v>
      </c>
      <c r="G4320" s="17" t="s">
        <v>48</v>
      </c>
      <c r="H4320" s="17">
        <v>1</v>
      </c>
      <c r="I4320" t="s">
        <v>1314</v>
      </c>
      <c r="K4320" t="s">
        <v>1306</v>
      </c>
      <c r="L4320" t="s">
        <v>1307</v>
      </c>
      <c r="M4320" t="s">
        <v>1270</v>
      </c>
      <c r="N4320">
        <v>9</v>
      </c>
      <c r="O4320" t="s">
        <v>40</v>
      </c>
      <c r="P4320" t="s">
        <v>40</v>
      </c>
      <c r="Q4320" t="s">
        <v>40</v>
      </c>
      <c r="R4320" t="s">
        <v>40</v>
      </c>
      <c r="S4320" t="s">
        <v>40</v>
      </c>
      <c r="V4320" t="s">
        <v>41</v>
      </c>
      <c r="W4320" t="s">
        <v>49</v>
      </c>
      <c r="X4320" t="str">
        <f>"1991913"</f>
        <v>1991913</v>
      </c>
      <c r="Y4320" t="s">
        <v>1310</v>
      </c>
      <c r="Z4320" t="s">
        <v>1306</v>
      </c>
      <c r="AA4320" t="s">
        <v>1307</v>
      </c>
      <c r="AB4320" t="s">
        <v>1270</v>
      </c>
      <c r="AC4320" t="s">
        <v>51</v>
      </c>
      <c r="AD4320" t="s">
        <v>45</v>
      </c>
      <c r="AE4320" s="1">
        <v>24225</v>
      </c>
      <c r="AF4320">
        <v>2</v>
      </c>
      <c r="AG4320" t="s">
        <v>1307</v>
      </c>
      <c r="AH4320" s="36">
        <f t="shared" si="67"/>
        <v>53.422222222222224</v>
      </c>
      <c r="AI4320" s="41" t="s">
        <v>1781</v>
      </c>
    </row>
    <row r="4321" spans="1:35" x14ac:dyDescent="0.25">
      <c r="A4321" s="36">
        <v>99914319</v>
      </c>
      <c r="B4321" s="17" t="s">
        <v>56</v>
      </c>
      <c r="C4321" t="s">
        <v>298</v>
      </c>
      <c r="D4321" t="s">
        <v>299</v>
      </c>
      <c r="G4321" s="17" t="s">
        <v>35</v>
      </c>
      <c r="H4321" s="17">
        <v>1</v>
      </c>
      <c r="I4321" t="s">
        <v>1594</v>
      </c>
      <c r="J4321" s="1">
        <v>43344</v>
      </c>
      <c r="K4321" t="s">
        <v>1590</v>
      </c>
      <c r="L4321" t="s">
        <v>1591</v>
      </c>
      <c r="M4321" t="s">
        <v>1592</v>
      </c>
      <c r="N4321">
        <v>14</v>
      </c>
      <c r="O4321" t="s">
        <v>40</v>
      </c>
      <c r="S4321" t="s">
        <v>40</v>
      </c>
      <c r="U4321" s="1">
        <v>43344</v>
      </c>
      <c r="V4321" t="s">
        <v>41</v>
      </c>
      <c r="W4321" t="s">
        <v>42</v>
      </c>
      <c r="X4321" t="str">
        <f>"0280020"</f>
        <v>0280020</v>
      </c>
      <c r="Y4321" t="s">
        <v>1597</v>
      </c>
      <c r="Z4321" t="s">
        <v>1590</v>
      </c>
      <c r="AA4321" t="s">
        <v>1591</v>
      </c>
      <c r="AB4321" t="s">
        <v>1592</v>
      </c>
      <c r="AC4321" t="s">
        <v>51</v>
      </c>
      <c r="AD4321" t="s">
        <v>45</v>
      </c>
      <c r="AE4321" s="1">
        <v>24220</v>
      </c>
      <c r="AF4321">
        <v>2</v>
      </c>
      <c r="AG4321" t="s">
        <v>1591</v>
      </c>
      <c r="AH4321" s="36">
        <f t="shared" si="67"/>
        <v>53.43611111111111</v>
      </c>
      <c r="AI4321" s="41" t="s">
        <v>1781</v>
      </c>
    </row>
    <row r="4322" spans="1:35" x14ac:dyDescent="0.25">
      <c r="A4322" s="36">
        <v>99914320</v>
      </c>
      <c r="B4322" s="17" t="s">
        <v>56</v>
      </c>
      <c r="C4322" t="s">
        <v>68</v>
      </c>
      <c r="D4322" t="s">
        <v>69</v>
      </c>
      <c r="G4322" s="17" t="s">
        <v>48</v>
      </c>
      <c r="H4322" s="17">
        <v>10</v>
      </c>
      <c r="K4322" t="s">
        <v>1268</v>
      </c>
      <c r="L4322" t="s">
        <v>1269</v>
      </c>
      <c r="M4322" t="s">
        <v>1270</v>
      </c>
      <c r="N4322">
        <v>7</v>
      </c>
      <c r="O4322" t="s">
        <v>40</v>
      </c>
      <c r="P4322" t="s">
        <v>40</v>
      </c>
      <c r="Q4322" t="s">
        <v>40</v>
      </c>
      <c r="R4322" t="s">
        <v>40</v>
      </c>
      <c r="S4322" t="s">
        <v>40</v>
      </c>
      <c r="V4322" t="s">
        <v>41</v>
      </c>
      <c r="W4322" t="s">
        <v>49</v>
      </c>
      <c r="X4322" t="str">
        <f>"1981911"</f>
        <v>1981911</v>
      </c>
      <c r="Y4322" t="s">
        <v>1286</v>
      </c>
      <c r="Z4322" t="s">
        <v>1268</v>
      </c>
      <c r="AA4322" t="s">
        <v>1269</v>
      </c>
      <c r="AB4322" t="s">
        <v>1270</v>
      </c>
      <c r="AC4322" t="s">
        <v>51</v>
      </c>
      <c r="AD4322" t="s">
        <v>45</v>
      </c>
      <c r="AE4322" s="1">
        <v>24219</v>
      </c>
      <c r="AF4322">
        <v>2</v>
      </c>
      <c r="AG4322" t="s">
        <v>1269</v>
      </c>
      <c r="AH4322" s="36">
        <f t="shared" si="67"/>
        <v>53.43888888888889</v>
      </c>
      <c r="AI4322" s="41" t="s">
        <v>1781</v>
      </c>
    </row>
    <row r="4323" spans="1:35" x14ac:dyDescent="0.25">
      <c r="A4323" s="36">
        <v>99914321</v>
      </c>
      <c r="B4323" s="17" t="s">
        <v>32</v>
      </c>
      <c r="C4323" t="s">
        <v>64</v>
      </c>
      <c r="D4323" t="s">
        <v>65</v>
      </c>
      <c r="G4323" s="17" t="s">
        <v>35</v>
      </c>
      <c r="H4323" s="17">
        <v>1</v>
      </c>
      <c r="I4323" t="s">
        <v>307</v>
      </c>
      <c r="J4323" s="1">
        <v>43344</v>
      </c>
      <c r="K4323" t="s">
        <v>300</v>
      </c>
      <c r="L4323" t="s">
        <v>301</v>
      </c>
      <c r="M4323" t="s">
        <v>131</v>
      </c>
      <c r="N4323">
        <v>19</v>
      </c>
      <c r="O4323" t="s">
        <v>40</v>
      </c>
      <c r="P4323" t="s">
        <v>40</v>
      </c>
      <c r="Q4323" t="s">
        <v>40</v>
      </c>
      <c r="R4323" t="s">
        <v>40</v>
      </c>
      <c r="S4323" t="s">
        <v>40</v>
      </c>
      <c r="U4323" s="1">
        <v>43344</v>
      </c>
      <c r="V4323" t="s">
        <v>41</v>
      </c>
      <c r="W4323" t="s">
        <v>49</v>
      </c>
      <c r="X4323" t="str">
        <f>"0560001"</f>
        <v>0560001</v>
      </c>
      <c r="Y4323" t="s">
        <v>304</v>
      </c>
      <c r="Z4323" t="s">
        <v>300</v>
      </c>
      <c r="AA4323" t="s">
        <v>301</v>
      </c>
      <c r="AB4323" t="s">
        <v>131</v>
      </c>
      <c r="AC4323" t="s">
        <v>51</v>
      </c>
      <c r="AD4323" t="s">
        <v>45</v>
      </c>
      <c r="AE4323" s="1">
        <v>24218</v>
      </c>
      <c r="AF4323">
        <v>2</v>
      </c>
      <c r="AG4323" t="s">
        <v>301</v>
      </c>
      <c r="AH4323" s="36">
        <f t="shared" si="67"/>
        <v>53.44166666666667</v>
      </c>
      <c r="AI4323" s="41" t="s">
        <v>1781</v>
      </c>
    </row>
    <row r="4324" spans="1:35" x14ac:dyDescent="0.25">
      <c r="A4324" s="36">
        <v>99914322</v>
      </c>
      <c r="B4324" s="17" t="s">
        <v>32</v>
      </c>
      <c r="C4324" t="s">
        <v>52</v>
      </c>
      <c r="D4324" t="s">
        <v>53</v>
      </c>
      <c r="G4324" s="17" t="s">
        <v>35</v>
      </c>
      <c r="H4324" s="17">
        <v>1</v>
      </c>
      <c r="K4324" t="s">
        <v>1546</v>
      </c>
      <c r="L4324" t="s">
        <v>1547</v>
      </c>
      <c r="M4324" t="s">
        <v>1548</v>
      </c>
      <c r="N4324">
        <v>10</v>
      </c>
      <c r="O4324" t="s">
        <v>40</v>
      </c>
      <c r="P4324" t="s">
        <v>40</v>
      </c>
      <c r="Q4324" t="s">
        <v>40</v>
      </c>
      <c r="R4324" t="s">
        <v>40</v>
      </c>
      <c r="S4324" t="s">
        <v>40</v>
      </c>
      <c r="V4324" t="s">
        <v>41</v>
      </c>
      <c r="W4324" t="s">
        <v>49</v>
      </c>
      <c r="X4324" t="str">
        <f>"1081010"</f>
        <v>1081010</v>
      </c>
      <c r="Y4324" t="s">
        <v>1552</v>
      </c>
      <c r="Z4324" t="s">
        <v>1546</v>
      </c>
      <c r="AA4324" t="s">
        <v>1547</v>
      </c>
      <c r="AB4324" t="s">
        <v>1548</v>
      </c>
      <c r="AC4324" t="s">
        <v>51</v>
      </c>
      <c r="AD4324" t="s">
        <v>45</v>
      </c>
      <c r="AE4324" s="1">
        <v>24218</v>
      </c>
      <c r="AF4324">
        <v>2</v>
      </c>
      <c r="AG4324" t="s">
        <v>1547</v>
      </c>
      <c r="AH4324" s="36">
        <f t="shared" si="67"/>
        <v>53.44166666666667</v>
      </c>
      <c r="AI4324" s="41" t="s">
        <v>1781</v>
      </c>
    </row>
    <row r="4325" spans="1:35" x14ac:dyDescent="0.25">
      <c r="A4325" s="36">
        <v>99914323</v>
      </c>
      <c r="B4325" s="17" t="s">
        <v>32</v>
      </c>
      <c r="C4325" t="s">
        <v>46</v>
      </c>
      <c r="D4325" t="s">
        <v>47</v>
      </c>
      <c r="G4325" s="17" t="s">
        <v>48</v>
      </c>
      <c r="H4325" s="17">
        <v>1</v>
      </c>
      <c r="K4325" t="s">
        <v>223</v>
      </c>
      <c r="L4325" t="s">
        <v>224</v>
      </c>
      <c r="M4325" t="s">
        <v>131</v>
      </c>
      <c r="N4325">
        <v>18</v>
      </c>
      <c r="O4325" t="s">
        <v>40</v>
      </c>
      <c r="P4325" t="s">
        <v>40</v>
      </c>
      <c r="Q4325" t="s">
        <v>40</v>
      </c>
      <c r="S4325" t="s">
        <v>40</v>
      </c>
      <c r="V4325" t="s">
        <v>41</v>
      </c>
      <c r="W4325" t="s">
        <v>42</v>
      </c>
      <c r="X4325" t="str">
        <f>"0580200"</f>
        <v>0580200</v>
      </c>
      <c r="Y4325" t="s">
        <v>245</v>
      </c>
      <c r="Z4325" t="s">
        <v>223</v>
      </c>
      <c r="AA4325" t="s">
        <v>224</v>
      </c>
      <c r="AB4325" t="s">
        <v>131</v>
      </c>
      <c r="AC4325" t="s">
        <v>51</v>
      </c>
      <c r="AD4325" t="s">
        <v>45</v>
      </c>
      <c r="AE4325" s="1">
        <v>24216</v>
      </c>
      <c r="AF4325">
        <v>2</v>
      </c>
      <c r="AG4325" t="s">
        <v>224</v>
      </c>
      <c r="AH4325" s="36">
        <f t="shared" si="67"/>
        <v>53.447222222222223</v>
      </c>
      <c r="AI4325" s="41" t="s">
        <v>1781</v>
      </c>
    </row>
    <row r="4326" spans="1:35" x14ac:dyDescent="0.25">
      <c r="A4326" s="36">
        <v>99914324</v>
      </c>
      <c r="B4326" s="17" t="s">
        <v>32</v>
      </c>
      <c r="C4326" t="s">
        <v>139</v>
      </c>
      <c r="D4326" t="s">
        <v>140</v>
      </c>
      <c r="G4326" s="17" t="s">
        <v>48</v>
      </c>
      <c r="H4326" s="17">
        <v>1</v>
      </c>
      <c r="K4326" t="s">
        <v>162</v>
      </c>
      <c r="L4326" t="s">
        <v>158</v>
      </c>
      <c r="M4326" t="s">
        <v>131</v>
      </c>
      <c r="N4326">
        <v>6</v>
      </c>
      <c r="O4326" t="s">
        <v>40</v>
      </c>
      <c r="P4326" t="s">
        <v>40</v>
      </c>
      <c r="Q4326" t="s">
        <v>40</v>
      </c>
      <c r="S4326" t="s">
        <v>40</v>
      </c>
      <c r="V4326" t="s">
        <v>41</v>
      </c>
      <c r="W4326" t="s">
        <v>49</v>
      </c>
      <c r="X4326" t="str">
        <f>"0560027"</f>
        <v>0560027</v>
      </c>
      <c r="Y4326" t="s">
        <v>178</v>
      </c>
      <c r="Z4326" t="s">
        <v>162</v>
      </c>
      <c r="AA4326" t="s">
        <v>158</v>
      </c>
      <c r="AB4326" t="s">
        <v>131</v>
      </c>
      <c r="AC4326" t="s">
        <v>51</v>
      </c>
      <c r="AD4326" t="s">
        <v>45</v>
      </c>
      <c r="AE4326" s="1">
        <v>24215</v>
      </c>
      <c r="AF4326">
        <v>2</v>
      </c>
      <c r="AG4326" t="s">
        <v>158</v>
      </c>
      <c r="AH4326" s="36">
        <f t="shared" si="67"/>
        <v>53.45</v>
      </c>
      <c r="AI4326" s="41" t="s">
        <v>1781</v>
      </c>
    </row>
    <row r="4327" spans="1:35" x14ac:dyDescent="0.25">
      <c r="A4327" s="36">
        <v>99914325</v>
      </c>
      <c r="B4327" s="17" t="s">
        <v>32</v>
      </c>
      <c r="C4327" t="s">
        <v>90</v>
      </c>
      <c r="D4327" t="s">
        <v>91</v>
      </c>
      <c r="G4327" s="17" t="s">
        <v>35</v>
      </c>
      <c r="H4327" s="17">
        <v>1</v>
      </c>
      <c r="K4327" t="s">
        <v>195</v>
      </c>
      <c r="L4327" t="s">
        <v>196</v>
      </c>
      <c r="M4327" t="s">
        <v>131</v>
      </c>
      <c r="N4327">
        <v>24</v>
      </c>
      <c r="O4327" t="s">
        <v>40</v>
      </c>
      <c r="Q4327" t="s">
        <v>40</v>
      </c>
      <c r="S4327" t="s">
        <v>40</v>
      </c>
      <c r="V4327" t="s">
        <v>41</v>
      </c>
      <c r="W4327" t="s">
        <v>75</v>
      </c>
      <c r="X4327" t="str">
        <f>"7521000"</f>
        <v>7521000</v>
      </c>
      <c r="Y4327" t="s">
        <v>450</v>
      </c>
      <c r="Z4327" t="s">
        <v>195</v>
      </c>
      <c r="AA4327" t="s">
        <v>196</v>
      </c>
      <c r="AB4327" t="s">
        <v>131</v>
      </c>
      <c r="AC4327" t="s">
        <v>51</v>
      </c>
      <c r="AD4327" t="s">
        <v>45</v>
      </c>
      <c r="AE4327" s="1">
        <v>24213</v>
      </c>
      <c r="AF4327">
        <v>1</v>
      </c>
      <c r="AG4327" t="s">
        <v>196</v>
      </c>
      <c r="AH4327" s="36">
        <f t="shared" si="67"/>
        <v>53.455555555555556</v>
      </c>
      <c r="AI4327" s="41" t="s">
        <v>1781</v>
      </c>
    </row>
    <row r="4328" spans="1:35" x14ac:dyDescent="0.25">
      <c r="A4328" s="36">
        <v>99914326</v>
      </c>
      <c r="B4328" s="17" t="s">
        <v>56</v>
      </c>
      <c r="C4328" t="s">
        <v>141</v>
      </c>
      <c r="D4328" t="s">
        <v>142</v>
      </c>
      <c r="G4328" s="17" t="s">
        <v>48</v>
      </c>
      <c r="H4328" s="17">
        <v>1</v>
      </c>
      <c r="K4328" t="s">
        <v>1502</v>
      </c>
      <c r="L4328" t="s">
        <v>1503</v>
      </c>
      <c r="M4328" t="s">
        <v>670</v>
      </c>
      <c r="N4328">
        <v>22</v>
      </c>
      <c r="O4328" t="s">
        <v>40</v>
      </c>
      <c r="P4328" t="s">
        <v>40</v>
      </c>
      <c r="Q4328" t="s">
        <v>40</v>
      </c>
      <c r="R4328" t="s">
        <v>40</v>
      </c>
      <c r="S4328" t="s">
        <v>40</v>
      </c>
      <c r="V4328" t="s">
        <v>41</v>
      </c>
      <c r="W4328" t="s">
        <v>75</v>
      </c>
      <c r="X4328" t="str">
        <f>"7171000"</f>
        <v>7171000</v>
      </c>
      <c r="Y4328" t="s">
        <v>1506</v>
      </c>
      <c r="Z4328" t="s">
        <v>1502</v>
      </c>
      <c r="AA4328" t="s">
        <v>1503</v>
      </c>
      <c r="AB4328" t="s">
        <v>670</v>
      </c>
      <c r="AC4328" t="s">
        <v>51</v>
      </c>
      <c r="AD4328" t="s">
        <v>45</v>
      </c>
      <c r="AE4328" s="1">
        <v>24213</v>
      </c>
      <c r="AF4328">
        <v>1</v>
      </c>
      <c r="AG4328" t="s">
        <v>1503</v>
      </c>
      <c r="AH4328" s="36">
        <f t="shared" si="67"/>
        <v>53.455555555555556</v>
      </c>
      <c r="AI4328" s="41" t="s">
        <v>1781</v>
      </c>
    </row>
    <row r="4329" spans="1:35" x14ac:dyDescent="0.25">
      <c r="A4329" s="36">
        <v>99914327</v>
      </c>
      <c r="B4329" s="17" t="s">
        <v>32</v>
      </c>
      <c r="C4329" t="s">
        <v>71</v>
      </c>
      <c r="D4329" t="s">
        <v>72</v>
      </c>
      <c r="G4329" s="17" t="s">
        <v>48</v>
      </c>
      <c r="H4329" s="17">
        <v>1</v>
      </c>
      <c r="K4329" t="s">
        <v>223</v>
      </c>
      <c r="L4329" t="s">
        <v>224</v>
      </c>
      <c r="M4329" t="s">
        <v>131</v>
      </c>
      <c r="N4329">
        <v>18</v>
      </c>
      <c r="O4329" t="s">
        <v>40</v>
      </c>
      <c r="P4329" t="s">
        <v>40</v>
      </c>
      <c r="Q4329" t="s">
        <v>40</v>
      </c>
      <c r="R4329" t="s">
        <v>40</v>
      </c>
      <c r="S4329" t="s">
        <v>40</v>
      </c>
      <c r="V4329" t="s">
        <v>41</v>
      </c>
      <c r="W4329" t="s">
        <v>49</v>
      </c>
      <c r="X4329" t="str">
        <f>"0581200"</f>
        <v>0581200</v>
      </c>
      <c r="Y4329" t="s">
        <v>238</v>
      </c>
      <c r="Z4329" t="s">
        <v>223</v>
      </c>
      <c r="AA4329" t="s">
        <v>224</v>
      </c>
      <c r="AB4329" t="s">
        <v>131</v>
      </c>
      <c r="AC4329" t="s">
        <v>51</v>
      </c>
      <c r="AD4329" t="s">
        <v>45</v>
      </c>
      <c r="AE4329" s="1">
        <v>24208</v>
      </c>
      <c r="AF4329">
        <v>2</v>
      </c>
      <c r="AG4329" t="s">
        <v>224</v>
      </c>
      <c r="AH4329" s="36">
        <f t="shared" si="67"/>
        <v>53.469444444444441</v>
      </c>
      <c r="AI4329" s="41" t="s">
        <v>1781</v>
      </c>
    </row>
    <row r="4330" spans="1:35" x14ac:dyDescent="0.25">
      <c r="A4330" s="36">
        <v>99914328</v>
      </c>
      <c r="B4330" s="17" t="s">
        <v>32</v>
      </c>
      <c r="C4330" t="s">
        <v>64</v>
      </c>
      <c r="D4330" t="s">
        <v>65</v>
      </c>
      <c r="G4330" s="17" t="s">
        <v>35</v>
      </c>
      <c r="H4330" s="17">
        <v>14</v>
      </c>
      <c r="K4330" t="s">
        <v>268</v>
      </c>
      <c r="L4330" t="s">
        <v>269</v>
      </c>
      <c r="M4330" t="s">
        <v>131</v>
      </c>
      <c r="N4330">
        <v>21</v>
      </c>
      <c r="O4330" t="s">
        <v>40</v>
      </c>
      <c r="P4330" t="s">
        <v>40</v>
      </c>
      <c r="Q4330" t="s">
        <v>40</v>
      </c>
      <c r="R4330" t="s">
        <v>40</v>
      </c>
      <c r="S4330" t="s">
        <v>40</v>
      </c>
      <c r="V4330" t="s">
        <v>41</v>
      </c>
      <c r="W4330" t="s">
        <v>75</v>
      </c>
      <c r="X4330" t="str">
        <f>"7052002"</f>
        <v>7052002</v>
      </c>
      <c r="Y4330" t="s">
        <v>590</v>
      </c>
      <c r="Z4330" t="s">
        <v>268</v>
      </c>
      <c r="AA4330" t="s">
        <v>269</v>
      </c>
      <c r="AB4330" t="s">
        <v>131</v>
      </c>
      <c r="AC4330" t="s">
        <v>165</v>
      </c>
      <c r="AD4330" t="s">
        <v>45</v>
      </c>
      <c r="AE4330" s="1">
        <v>24201</v>
      </c>
      <c r="AF4330">
        <v>1</v>
      </c>
      <c r="AG4330" t="s">
        <v>269</v>
      </c>
      <c r="AH4330" s="36">
        <f t="shared" si="67"/>
        <v>53.488888888888887</v>
      </c>
      <c r="AI4330" s="41" t="s">
        <v>1781</v>
      </c>
    </row>
    <row r="4331" spans="1:35" x14ac:dyDescent="0.25">
      <c r="A4331" s="36">
        <v>99914329</v>
      </c>
      <c r="B4331" s="17" t="s">
        <v>32</v>
      </c>
      <c r="C4331" t="s">
        <v>111</v>
      </c>
      <c r="D4331" t="s">
        <v>112</v>
      </c>
      <c r="G4331" s="17" t="s">
        <v>35</v>
      </c>
      <c r="H4331" s="17">
        <v>1</v>
      </c>
      <c r="K4331" t="s">
        <v>1502</v>
      </c>
      <c r="L4331" t="s">
        <v>1503</v>
      </c>
      <c r="M4331" t="s">
        <v>670</v>
      </c>
      <c r="N4331">
        <v>21</v>
      </c>
      <c r="O4331" t="s">
        <v>40</v>
      </c>
      <c r="P4331" t="s">
        <v>40</v>
      </c>
      <c r="Q4331" t="s">
        <v>40</v>
      </c>
      <c r="R4331" t="s">
        <v>40</v>
      </c>
      <c r="S4331" t="s">
        <v>40</v>
      </c>
      <c r="V4331" t="s">
        <v>41</v>
      </c>
      <c r="W4331" t="s">
        <v>75</v>
      </c>
      <c r="X4331" t="str">
        <f>"7171000"</f>
        <v>7171000</v>
      </c>
      <c r="Y4331" t="s">
        <v>1506</v>
      </c>
      <c r="Z4331" t="s">
        <v>1502</v>
      </c>
      <c r="AA4331" t="s">
        <v>1503</v>
      </c>
      <c r="AB4331" t="s">
        <v>670</v>
      </c>
      <c r="AC4331" t="s">
        <v>51</v>
      </c>
      <c r="AD4331" t="s">
        <v>45</v>
      </c>
      <c r="AE4331" s="1">
        <v>24200</v>
      </c>
      <c r="AF4331">
        <v>1</v>
      </c>
      <c r="AG4331" t="s">
        <v>1503</v>
      </c>
      <c r="AH4331" s="36">
        <f t="shared" si="67"/>
        <v>53.491666666666667</v>
      </c>
      <c r="AI4331" s="41" t="s">
        <v>1781</v>
      </c>
    </row>
    <row r="4332" spans="1:35" x14ac:dyDescent="0.25">
      <c r="A4332" s="36">
        <v>99914330</v>
      </c>
      <c r="B4332" s="17" t="s">
        <v>32</v>
      </c>
      <c r="C4332" t="s">
        <v>145</v>
      </c>
      <c r="D4332" t="s">
        <v>146</v>
      </c>
      <c r="G4332" s="17" t="s">
        <v>48</v>
      </c>
      <c r="H4332" s="17">
        <v>1</v>
      </c>
      <c r="K4332" t="s">
        <v>162</v>
      </c>
      <c r="L4332" t="s">
        <v>158</v>
      </c>
      <c r="M4332" t="s">
        <v>131</v>
      </c>
      <c r="N4332">
        <v>18</v>
      </c>
      <c r="O4332" t="s">
        <v>40</v>
      </c>
      <c r="P4332" t="s">
        <v>40</v>
      </c>
      <c r="Q4332" t="s">
        <v>40</v>
      </c>
      <c r="S4332" t="s">
        <v>40</v>
      </c>
      <c r="V4332" t="s">
        <v>41</v>
      </c>
      <c r="W4332" t="s">
        <v>42</v>
      </c>
      <c r="X4332" t="str">
        <f>"0580325"</f>
        <v>0580325</v>
      </c>
      <c r="Y4332" t="s">
        <v>170</v>
      </c>
      <c r="Z4332" t="s">
        <v>162</v>
      </c>
      <c r="AA4332" t="s">
        <v>158</v>
      </c>
      <c r="AB4332" t="s">
        <v>131</v>
      </c>
      <c r="AC4332" t="s">
        <v>165</v>
      </c>
      <c r="AD4332" t="s">
        <v>45</v>
      </c>
      <c r="AE4332" s="1">
        <v>24197</v>
      </c>
      <c r="AF4332">
        <v>2</v>
      </c>
      <c r="AG4332" t="s">
        <v>158</v>
      </c>
      <c r="AH4332" s="36">
        <f t="shared" si="67"/>
        <v>53.5</v>
      </c>
      <c r="AI4332" s="41" t="s">
        <v>1781</v>
      </c>
    </row>
    <row r="4333" spans="1:35" x14ac:dyDescent="0.25">
      <c r="A4333" s="36">
        <v>99914331</v>
      </c>
      <c r="B4333" s="17" t="s">
        <v>56</v>
      </c>
      <c r="C4333" t="s">
        <v>79</v>
      </c>
      <c r="D4333" t="s">
        <v>80</v>
      </c>
      <c r="G4333" s="17" t="s">
        <v>48</v>
      </c>
      <c r="H4333" s="17">
        <v>1</v>
      </c>
      <c r="K4333" t="s">
        <v>1268</v>
      </c>
      <c r="L4333" t="s">
        <v>1269</v>
      </c>
      <c r="M4333" t="s">
        <v>1270</v>
      </c>
      <c r="N4333">
        <v>20</v>
      </c>
      <c r="O4333" t="s">
        <v>40</v>
      </c>
      <c r="P4333" t="s">
        <v>40</v>
      </c>
      <c r="Q4333" t="s">
        <v>40</v>
      </c>
      <c r="R4333" t="s">
        <v>40</v>
      </c>
      <c r="S4333" t="s">
        <v>40</v>
      </c>
      <c r="V4333" t="s">
        <v>41</v>
      </c>
      <c r="W4333" t="s">
        <v>42</v>
      </c>
      <c r="X4333" t="str">
        <f>"1990910"</f>
        <v>1990910</v>
      </c>
      <c r="Y4333" t="s">
        <v>1281</v>
      </c>
      <c r="Z4333" t="s">
        <v>1268</v>
      </c>
      <c r="AA4333" t="s">
        <v>1269</v>
      </c>
      <c r="AB4333" t="s">
        <v>1270</v>
      </c>
      <c r="AC4333" t="s">
        <v>165</v>
      </c>
      <c r="AD4333" t="s">
        <v>45</v>
      </c>
      <c r="AE4333" s="1">
        <v>24197</v>
      </c>
      <c r="AF4333">
        <v>2</v>
      </c>
      <c r="AG4333" t="s">
        <v>1269</v>
      </c>
      <c r="AH4333" s="36">
        <f t="shared" si="67"/>
        <v>53.5</v>
      </c>
      <c r="AI4333" s="41" t="s">
        <v>1781</v>
      </c>
    </row>
    <row r="4334" spans="1:35" x14ac:dyDescent="0.25">
      <c r="A4334" s="36">
        <v>99914332</v>
      </c>
      <c r="B4334" s="17" t="s">
        <v>32</v>
      </c>
      <c r="C4334" t="s">
        <v>71</v>
      </c>
      <c r="D4334" t="s">
        <v>72</v>
      </c>
      <c r="G4334" s="17" t="s">
        <v>48</v>
      </c>
      <c r="H4334" s="17">
        <v>1</v>
      </c>
      <c r="K4334" t="s">
        <v>300</v>
      </c>
      <c r="L4334" t="s">
        <v>301</v>
      </c>
      <c r="M4334" t="s">
        <v>131</v>
      </c>
      <c r="N4334">
        <v>8</v>
      </c>
      <c r="O4334" t="s">
        <v>40</v>
      </c>
      <c r="P4334" t="s">
        <v>40</v>
      </c>
      <c r="Q4334" t="s">
        <v>40</v>
      </c>
      <c r="R4334" t="s">
        <v>40</v>
      </c>
      <c r="S4334" t="s">
        <v>40</v>
      </c>
      <c r="V4334" t="s">
        <v>41</v>
      </c>
      <c r="W4334" t="s">
        <v>49</v>
      </c>
      <c r="X4334" t="str">
        <f>"0560020"</f>
        <v>0560020</v>
      </c>
      <c r="Y4334" t="s">
        <v>302</v>
      </c>
      <c r="Z4334" t="s">
        <v>300</v>
      </c>
      <c r="AA4334" t="s">
        <v>301</v>
      </c>
      <c r="AB4334" t="s">
        <v>131</v>
      </c>
      <c r="AC4334" t="s">
        <v>51</v>
      </c>
      <c r="AD4334" t="s">
        <v>45</v>
      </c>
      <c r="AE4334" s="1">
        <v>24186</v>
      </c>
      <c r="AF4334">
        <v>2</v>
      </c>
      <c r="AG4334" t="s">
        <v>301</v>
      </c>
      <c r="AH4334" s="36">
        <f t="shared" si="67"/>
        <v>53.530555555555559</v>
      </c>
      <c r="AI4334" s="41" t="s">
        <v>1781</v>
      </c>
    </row>
    <row r="4335" spans="1:35" x14ac:dyDescent="0.25">
      <c r="A4335" s="36">
        <v>99914333</v>
      </c>
      <c r="B4335" s="17" t="s">
        <v>32</v>
      </c>
      <c r="C4335" t="s">
        <v>64</v>
      </c>
      <c r="D4335" t="s">
        <v>65</v>
      </c>
      <c r="G4335" s="17" t="s">
        <v>48</v>
      </c>
      <c r="H4335" s="17">
        <v>11</v>
      </c>
      <c r="I4335">
        <v>1894</v>
      </c>
      <c r="J4335" s="1">
        <v>43344</v>
      </c>
      <c r="K4335" t="s">
        <v>1426</v>
      </c>
      <c r="L4335" t="s">
        <v>1427</v>
      </c>
      <c r="M4335" t="s">
        <v>1270</v>
      </c>
      <c r="N4335">
        <v>21</v>
      </c>
      <c r="O4335" t="s">
        <v>40</v>
      </c>
      <c r="P4335" t="s">
        <v>40</v>
      </c>
      <c r="Q4335" t="s">
        <v>40</v>
      </c>
      <c r="R4335" t="s">
        <v>40</v>
      </c>
      <c r="S4335" t="s">
        <v>40</v>
      </c>
      <c r="U4335" s="1">
        <v>43344</v>
      </c>
      <c r="V4335" t="s">
        <v>41</v>
      </c>
      <c r="W4335" t="s">
        <v>75</v>
      </c>
      <c r="X4335" t="str">
        <f>"7192002"</f>
        <v>7192002</v>
      </c>
      <c r="Y4335" t="s">
        <v>1438</v>
      </c>
      <c r="Z4335" t="s">
        <v>1426</v>
      </c>
      <c r="AA4335" t="s">
        <v>1427</v>
      </c>
      <c r="AB4335" t="s">
        <v>1270</v>
      </c>
      <c r="AC4335" t="s">
        <v>51</v>
      </c>
      <c r="AD4335" t="s">
        <v>45</v>
      </c>
      <c r="AE4335" s="1">
        <v>24184</v>
      </c>
      <c r="AF4335">
        <v>1</v>
      </c>
      <c r="AG4335" t="s">
        <v>1427</v>
      </c>
      <c r="AH4335" s="36">
        <f t="shared" si="67"/>
        <v>53.536111111111111</v>
      </c>
      <c r="AI4335" s="41" t="s">
        <v>1781</v>
      </c>
    </row>
    <row r="4336" spans="1:35" x14ac:dyDescent="0.25">
      <c r="A4336" s="36">
        <v>99914334</v>
      </c>
      <c r="B4336" s="17" t="s">
        <v>32</v>
      </c>
      <c r="C4336" t="s">
        <v>61</v>
      </c>
      <c r="D4336" t="s">
        <v>62</v>
      </c>
      <c r="E4336" t="s">
        <v>68</v>
      </c>
      <c r="F4336" t="s">
        <v>69</v>
      </c>
      <c r="G4336" s="17" t="s">
        <v>48</v>
      </c>
      <c r="H4336" s="17">
        <v>1</v>
      </c>
      <c r="K4336" t="s">
        <v>162</v>
      </c>
      <c r="L4336" t="s">
        <v>158</v>
      </c>
      <c r="M4336" t="s">
        <v>131</v>
      </c>
      <c r="N4336">
        <v>20</v>
      </c>
      <c r="O4336" t="s">
        <v>40</v>
      </c>
      <c r="P4336" t="s">
        <v>40</v>
      </c>
      <c r="Q4336" t="s">
        <v>40</v>
      </c>
      <c r="R4336" t="s">
        <v>40</v>
      </c>
      <c r="S4336" t="s">
        <v>40</v>
      </c>
      <c r="V4336" t="s">
        <v>41</v>
      </c>
      <c r="W4336" t="s">
        <v>49</v>
      </c>
      <c r="X4336" t="str">
        <f>"0581325"</f>
        <v>0581325</v>
      </c>
      <c r="Y4336" t="s">
        <v>169</v>
      </c>
      <c r="Z4336" t="s">
        <v>162</v>
      </c>
      <c r="AA4336" t="s">
        <v>158</v>
      </c>
      <c r="AB4336" t="s">
        <v>131</v>
      </c>
      <c r="AC4336" t="s">
        <v>51</v>
      </c>
      <c r="AD4336" t="s">
        <v>45</v>
      </c>
      <c r="AE4336" s="1">
        <v>24181</v>
      </c>
      <c r="AF4336">
        <v>2</v>
      </c>
      <c r="AG4336" t="s">
        <v>158</v>
      </c>
      <c r="AH4336" s="36">
        <f t="shared" si="67"/>
        <v>53.544444444444444</v>
      </c>
      <c r="AI4336" s="41" t="s">
        <v>1781</v>
      </c>
    </row>
    <row r="4337" spans="1:35" x14ac:dyDescent="0.25">
      <c r="A4337" s="36">
        <v>99914335</v>
      </c>
      <c r="B4337" s="17" t="s">
        <v>32</v>
      </c>
      <c r="C4337" t="s">
        <v>52</v>
      </c>
      <c r="D4337" t="s">
        <v>53</v>
      </c>
      <c r="G4337" s="17" t="s">
        <v>35</v>
      </c>
      <c r="H4337" s="17">
        <v>1</v>
      </c>
      <c r="K4337" t="s">
        <v>1546</v>
      </c>
      <c r="L4337" t="s">
        <v>1547</v>
      </c>
      <c r="M4337" t="s">
        <v>1548</v>
      </c>
      <c r="N4337">
        <v>20</v>
      </c>
      <c r="O4337" t="s">
        <v>40</v>
      </c>
      <c r="P4337" t="s">
        <v>40</v>
      </c>
      <c r="Q4337" t="s">
        <v>40</v>
      </c>
      <c r="S4337" t="s">
        <v>40</v>
      </c>
      <c r="V4337" t="s">
        <v>41</v>
      </c>
      <c r="W4337" t="s">
        <v>42</v>
      </c>
      <c r="X4337" t="str">
        <f>"1080010"</f>
        <v>1080010</v>
      </c>
      <c r="Y4337" t="s">
        <v>1549</v>
      </c>
      <c r="Z4337" t="s">
        <v>1546</v>
      </c>
      <c r="AA4337" t="s">
        <v>1547</v>
      </c>
      <c r="AB4337" t="s">
        <v>1548</v>
      </c>
      <c r="AC4337" t="s">
        <v>51</v>
      </c>
      <c r="AD4337" t="s">
        <v>45</v>
      </c>
      <c r="AE4337" s="1">
        <v>24179</v>
      </c>
      <c r="AF4337">
        <v>2</v>
      </c>
      <c r="AG4337" t="s">
        <v>1547</v>
      </c>
      <c r="AH4337" s="36">
        <f t="shared" si="67"/>
        <v>53.55</v>
      </c>
      <c r="AI4337" s="41" t="s">
        <v>1781</v>
      </c>
    </row>
    <row r="4338" spans="1:35" x14ac:dyDescent="0.25">
      <c r="A4338" s="36">
        <v>99914336</v>
      </c>
      <c r="B4338" s="17" t="s">
        <v>56</v>
      </c>
      <c r="C4338" t="s">
        <v>79</v>
      </c>
      <c r="D4338" t="s">
        <v>80</v>
      </c>
      <c r="G4338" s="17" t="s">
        <v>48</v>
      </c>
      <c r="H4338" s="17">
        <v>1</v>
      </c>
      <c r="K4338" t="s">
        <v>223</v>
      </c>
      <c r="L4338" t="s">
        <v>224</v>
      </c>
      <c r="M4338" t="s">
        <v>131</v>
      </c>
      <c r="N4338">
        <v>18</v>
      </c>
      <c r="O4338" t="s">
        <v>40</v>
      </c>
      <c r="P4338" t="s">
        <v>40</v>
      </c>
      <c r="Q4338" t="s">
        <v>40</v>
      </c>
      <c r="R4338" t="s">
        <v>40</v>
      </c>
      <c r="S4338" t="s">
        <v>40</v>
      </c>
      <c r="V4338" t="s">
        <v>41</v>
      </c>
      <c r="W4338" t="s">
        <v>49</v>
      </c>
      <c r="X4338" t="str">
        <f>"0581202"</f>
        <v>0581202</v>
      </c>
      <c r="Y4338" t="s">
        <v>248</v>
      </c>
      <c r="Z4338" t="s">
        <v>223</v>
      </c>
      <c r="AA4338" t="s">
        <v>224</v>
      </c>
      <c r="AB4338" t="s">
        <v>131</v>
      </c>
      <c r="AC4338" t="s">
        <v>165</v>
      </c>
      <c r="AD4338" t="s">
        <v>45</v>
      </c>
      <c r="AE4338" s="1">
        <v>24175</v>
      </c>
      <c r="AF4338">
        <v>2</v>
      </c>
      <c r="AG4338" t="s">
        <v>224</v>
      </c>
      <c r="AH4338" s="36">
        <f t="shared" si="67"/>
        <v>53.56111111111111</v>
      </c>
      <c r="AI4338" s="41" t="s">
        <v>1781</v>
      </c>
    </row>
    <row r="4339" spans="1:35" x14ac:dyDescent="0.25">
      <c r="A4339" s="36">
        <v>99914337</v>
      </c>
      <c r="B4339" s="17" t="s">
        <v>56</v>
      </c>
      <c r="C4339" t="s">
        <v>68</v>
      </c>
      <c r="D4339" t="s">
        <v>69</v>
      </c>
      <c r="G4339" s="17" t="s">
        <v>48</v>
      </c>
      <c r="H4339" s="17">
        <v>1</v>
      </c>
      <c r="K4339" t="s">
        <v>223</v>
      </c>
      <c r="L4339" t="s">
        <v>224</v>
      </c>
      <c r="M4339" t="s">
        <v>131</v>
      </c>
      <c r="N4339">
        <v>20</v>
      </c>
      <c r="O4339" t="s">
        <v>40</v>
      </c>
      <c r="P4339" t="s">
        <v>40</v>
      </c>
      <c r="Q4339" t="s">
        <v>40</v>
      </c>
      <c r="R4339" t="s">
        <v>40</v>
      </c>
      <c r="S4339" t="s">
        <v>40</v>
      </c>
      <c r="V4339" t="s">
        <v>41</v>
      </c>
      <c r="W4339" t="s">
        <v>42</v>
      </c>
      <c r="X4339" t="str">
        <f>"0590902"</f>
        <v>0590902</v>
      </c>
      <c r="Y4339" t="s">
        <v>241</v>
      </c>
      <c r="Z4339" t="s">
        <v>223</v>
      </c>
      <c r="AA4339" t="s">
        <v>224</v>
      </c>
      <c r="AB4339" t="s">
        <v>131</v>
      </c>
      <c r="AC4339" t="s">
        <v>51</v>
      </c>
      <c r="AD4339" t="s">
        <v>45</v>
      </c>
      <c r="AE4339" s="1">
        <v>24174</v>
      </c>
      <c r="AF4339">
        <v>2</v>
      </c>
      <c r="AG4339" t="s">
        <v>224</v>
      </c>
      <c r="AH4339" s="36">
        <f t="shared" si="67"/>
        <v>53.56388888888889</v>
      </c>
      <c r="AI4339" s="41" t="s">
        <v>1781</v>
      </c>
    </row>
    <row r="4340" spans="1:35" x14ac:dyDescent="0.25">
      <c r="A4340" s="36">
        <v>99914338</v>
      </c>
      <c r="B4340" s="17" t="s">
        <v>32</v>
      </c>
      <c r="C4340" t="s">
        <v>111</v>
      </c>
      <c r="D4340" t="s">
        <v>112</v>
      </c>
      <c r="G4340" s="17" t="s">
        <v>48</v>
      </c>
      <c r="H4340" s="17">
        <v>1</v>
      </c>
      <c r="K4340" t="s">
        <v>268</v>
      </c>
      <c r="L4340" t="s">
        <v>269</v>
      </c>
      <c r="M4340" t="s">
        <v>131</v>
      </c>
      <c r="N4340">
        <v>21</v>
      </c>
      <c r="O4340" t="s">
        <v>40</v>
      </c>
      <c r="P4340" t="s">
        <v>40</v>
      </c>
      <c r="Q4340" t="s">
        <v>40</v>
      </c>
      <c r="S4340" t="s">
        <v>40</v>
      </c>
      <c r="V4340" t="s">
        <v>41</v>
      </c>
      <c r="W4340" t="s">
        <v>75</v>
      </c>
      <c r="X4340" t="str">
        <f>"7052008"</f>
        <v>7052008</v>
      </c>
      <c r="Y4340" t="s">
        <v>274</v>
      </c>
      <c r="Z4340" t="s">
        <v>268</v>
      </c>
      <c r="AA4340" t="s">
        <v>269</v>
      </c>
      <c r="AB4340" t="s">
        <v>131</v>
      </c>
      <c r="AC4340" t="s">
        <v>51</v>
      </c>
      <c r="AD4340" t="s">
        <v>45</v>
      </c>
      <c r="AE4340" s="1">
        <v>24171</v>
      </c>
      <c r="AF4340">
        <v>1</v>
      </c>
      <c r="AG4340" t="s">
        <v>269</v>
      </c>
      <c r="AH4340" s="36">
        <f t="shared" si="67"/>
        <v>53.572222222222223</v>
      </c>
      <c r="AI4340" s="41" t="s">
        <v>1781</v>
      </c>
    </row>
    <row r="4341" spans="1:35" x14ac:dyDescent="0.25">
      <c r="A4341" s="36">
        <v>99914339</v>
      </c>
      <c r="B4341" s="17" t="s">
        <v>56</v>
      </c>
      <c r="C4341" t="s">
        <v>52</v>
      </c>
      <c r="D4341" t="s">
        <v>53</v>
      </c>
      <c r="G4341" s="17" t="s">
        <v>35</v>
      </c>
      <c r="H4341" s="17">
        <v>1</v>
      </c>
      <c r="K4341" t="s">
        <v>300</v>
      </c>
      <c r="L4341" t="s">
        <v>301</v>
      </c>
      <c r="M4341" t="s">
        <v>131</v>
      </c>
      <c r="N4341">
        <v>20</v>
      </c>
      <c r="O4341" t="s">
        <v>40</v>
      </c>
      <c r="P4341" t="s">
        <v>40</v>
      </c>
      <c r="Q4341" t="s">
        <v>40</v>
      </c>
      <c r="R4341" t="s">
        <v>40</v>
      </c>
      <c r="S4341" t="s">
        <v>40</v>
      </c>
      <c r="V4341" t="s">
        <v>41</v>
      </c>
      <c r="W4341" t="s">
        <v>42</v>
      </c>
      <c r="X4341" t="str">
        <f>"0580023"</f>
        <v>0580023</v>
      </c>
      <c r="Y4341" t="s">
        <v>313</v>
      </c>
      <c r="Z4341" t="s">
        <v>300</v>
      </c>
      <c r="AA4341" t="s">
        <v>301</v>
      </c>
      <c r="AB4341" t="s">
        <v>131</v>
      </c>
      <c r="AC4341" t="s">
        <v>165</v>
      </c>
      <c r="AD4341" t="s">
        <v>45</v>
      </c>
      <c r="AE4341" s="1">
        <v>24170</v>
      </c>
      <c r="AF4341">
        <v>2</v>
      </c>
      <c r="AG4341" t="s">
        <v>301</v>
      </c>
      <c r="AH4341" s="36">
        <f t="shared" si="67"/>
        <v>53.575000000000003</v>
      </c>
      <c r="AI4341" s="41" t="s">
        <v>1781</v>
      </c>
    </row>
    <row r="4342" spans="1:35" x14ac:dyDescent="0.25">
      <c r="A4342" s="36">
        <v>99914340</v>
      </c>
      <c r="B4342" s="17" t="s">
        <v>32</v>
      </c>
      <c r="C4342" t="s">
        <v>79</v>
      </c>
      <c r="D4342" t="s">
        <v>80</v>
      </c>
      <c r="G4342" s="17" t="s">
        <v>48</v>
      </c>
      <c r="H4342" s="17">
        <v>1</v>
      </c>
      <c r="J4342" s="1">
        <v>33117</v>
      </c>
      <c r="K4342" t="s">
        <v>1268</v>
      </c>
      <c r="L4342" t="s">
        <v>1269</v>
      </c>
      <c r="M4342" t="s">
        <v>1270</v>
      </c>
      <c r="N4342">
        <v>18</v>
      </c>
      <c r="O4342" t="s">
        <v>40</v>
      </c>
      <c r="P4342" t="s">
        <v>40</v>
      </c>
      <c r="Q4342" t="s">
        <v>40</v>
      </c>
      <c r="R4342" t="s">
        <v>40</v>
      </c>
      <c r="S4342" t="s">
        <v>40</v>
      </c>
      <c r="U4342" s="1">
        <v>33117</v>
      </c>
      <c r="V4342" t="s">
        <v>41</v>
      </c>
      <c r="W4342" t="s">
        <v>42</v>
      </c>
      <c r="X4342" t="str">
        <f>"1990910"</f>
        <v>1990910</v>
      </c>
      <c r="Y4342" t="s">
        <v>1281</v>
      </c>
      <c r="Z4342" t="s">
        <v>1268</v>
      </c>
      <c r="AA4342" t="s">
        <v>1269</v>
      </c>
      <c r="AB4342" t="s">
        <v>1270</v>
      </c>
      <c r="AC4342" t="s">
        <v>51</v>
      </c>
      <c r="AD4342" t="s">
        <v>45</v>
      </c>
      <c r="AE4342" s="1">
        <v>24170</v>
      </c>
      <c r="AF4342">
        <v>2</v>
      </c>
      <c r="AG4342" t="s">
        <v>1269</v>
      </c>
      <c r="AH4342" s="36">
        <f t="shared" si="67"/>
        <v>53.575000000000003</v>
      </c>
      <c r="AI4342" s="41" t="s">
        <v>1781</v>
      </c>
    </row>
    <row r="4343" spans="1:35" x14ac:dyDescent="0.25">
      <c r="A4343" s="36">
        <v>99914341</v>
      </c>
      <c r="B4343" s="17" t="s">
        <v>32</v>
      </c>
      <c r="C4343" t="s">
        <v>111</v>
      </c>
      <c r="D4343" t="s">
        <v>112</v>
      </c>
      <c r="G4343" s="17" t="s">
        <v>48</v>
      </c>
      <c r="H4343" s="17">
        <v>1</v>
      </c>
      <c r="K4343" t="s">
        <v>268</v>
      </c>
      <c r="L4343" t="s">
        <v>269</v>
      </c>
      <c r="M4343" t="s">
        <v>131</v>
      </c>
      <c r="N4343">
        <v>21</v>
      </c>
      <c r="O4343" t="s">
        <v>40</v>
      </c>
      <c r="P4343" t="s">
        <v>40</v>
      </c>
      <c r="Q4343" t="s">
        <v>40</v>
      </c>
      <c r="S4343" t="s">
        <v>40</v>
      </c>
      <c r="V4343" t="s">
        <v>41</v>
      </c>
      <c r="W4343" t="s">
        <v>75</v>
      </c>
      <c r="X4343" t="str">
        <f>"7052008"</f>
        <v>7052008</v>
      </c>
      <c r="Y4343" t="s">
        <v>274</v>
      </c>
      <c r="Z4343" t="s">
        <v>268</v>
      </c>
      <c r="AA4343" t="s">
        <v>269</v>
      </c>
      <c r="AB4343" t="s">
        <v>131</v>
      </c>
      <c r="AC4343" t="s">
        <v>51</v>
      </c>
      <c r="AD4343" t="s">
        <v>45</v>
      </c>
      <c r="AE4343" s="1">
        <v>24169</v>
      </c>
      <c r="AF4343">
        <v>1</v>
      </c>
      <c r="AG4343" t="s">
        <v>269</v>
      </c>
      <c r="AH4343" s="36">
        <f t="shared" si="67"/>
        <v>53.577777777777776</v>
      </c>
      <c r="AI4343" s="41" t="s">
        <v>1781</v>
      </c>
    </row>
    <row r="4344" spans="1:35" x14ac:dyDescent="0.25">
      <c r="A4344" s="36">
        <v>99914342</v>
      </c>
      <c r="B4344" s="17" t="s">
        <v>32</v>
      </c>
      <c r="C4344" t="s">
        <v>64</v>
      </c>
      <c r="D4344" t="s">
        <v>65</v>
      </c>
      <c r="G4344" s="17" t="s">
        <v>48</v>
      </c>
      <c r="H4344" s="17">
        <v>1</v>
      </c>
      <c r="K4344" t="s">
        <v>223</v>
      </c>
      <c r="L4344" t="s">
        <v>224</v>
      </c>
      <c r="M4344" t="s">
        <v>131</v>
      </c>
      <c r="N4344">
        <v>18</v>
      </c>
      <c r="O4344" t="s">
        <v>40</v>
      </c>
      <c r="P4344" t="s">
        <v>40</v>
      </c>
      <c r="Q4344" t="s">
        <v>40</v>
      </c>
      <c r="S4344" t="s">
        <v>40</v>
      </c>
      <c r="V4344" t="s">
        <v>41</v>
      </c>
      <c r="W4344" t="s">
        <v>49</v>
      </c>
      <c r="X4344" t="str">
        <f>"0581206"</f>
        <v>0581206</v>
      </c>
      <c r="Y4344" t="s">
        <v>232</v>
      </c>
      <c r="Z4344" t="s">
        <v>223</v>
      </c>
      <c r="AA4344" t="s">
        <v>224</v>
      </c>
      <c r="AB4344" t="s">
        <v>131</v>
      </c>
      <c r="AC4344" t="s">
        <v>51</v>
      </c>
      <c r="AD4344" t="s">
        <v>45</v>
      </c>
      <c r="AE4344" s="1">
        <v>24166</v>
      </c>
      <c r="AF4344">
        <v>2</v>
      </c>
      <c r="AG4344" t="s">
        <v>224</v>
      </c>
      <c r="AH4344" s="36">
        <f t="shared" si="67"/>
        <v>53.586111111111109</v>
      </c>
      <c r="AI4344" s="41" t="s">
        <v>1781</v>
      </c>
    </row>
    <row r="4345" spans="1:35" x14ac:dyDescent="0.25">
      <c r="A4345" s="36">
        <v>99914343</v>
      </c>
      <c r="B4345" s="17" t="s">
        <v>56</v>
      </c>
      <c r="C4345" t="s">
        <v>61</v>
      </c>
      <c r="D4345" t="s">
        <v>62</v>
      </c>
      <c r="G4345" s="17" t="s">
        <v>48</v>
      </c>
      <c r="H4345" s="17">
        <v>1</v>
      </c>
      <c r="K4345" t="s">
        <v>223</v>
      </c>
      <c r="L4345" t="s">
        <v>224</v>
      </c>
      <c r="M4345" t="s">
        <v>131</v>
      </c>
      <c r="N4345">
        <v>12</v>
      </c>
      <c r="O4345" t="s">
        <v>40</v>
      </c>
      <c r="P4345" t="s">
        <v>40</v>
      </c>
      <c r="Q4345" t="s">
        <v>40</v>
      </c>
      <c r="R4345" t="s">
        <v>40</v>
      </c>
      <c r="S4345" t="s">
        <v>40</v>
      </c>
      <c r="V4345" t="s">
        <v>41</v>
      </c>
      <c r="W4345" t="s">
        <v>42</v>
      </c>
      <c r="X4345" t="str">
        <f>"0590910"</f>
        <v>0590910</v>
      </c>
      <c r="Y4345" t="s">
        <v>227</v>
      </c>
      <c r="Z4345" t="s">
        <v>223</v>
      </c>
      <c r="AA4345" t="s">
        <v>224</v>
      </c>
      <c r="AB4345" t="s">
        <v>131</v>
      </c>
      <c r="AC4345" t="s">
        <v>51</v>
      </c>
      <c r="AD4345" t="s">
        <v>45</v>
      </c>
      <c r="AE4345" s="1">
        <v>24165</v>
      </c>
      <c r="AF4345">
        <v>2</v>
      </c>
      <c r="AG4345" t="s">
        <v>224</v>
      </c>
      <c r="AH4345" s="36">
        <f t="shared" si="67"/>
        <v>53.588888888888889</v>
      </c>
      <c r="AI4345" s="41" t="s">
        <v>1781</v>
      </c>
    </row>
    <row r="4346" spans="1:35" x14ac:dyDescent="0.25">
      <c r="A4346" s="36">
        <v>99914344</v>
      </c>
      <c r="B4346" s="17" t="s">
        <v>56</v>
      </c>
      <c r="C4346" t="s">
        <v>68</v>
      </c>
      <c r="D4346" t="s">
        <v>69</v>
      </c>
      <c r="G4346" s="17" t="s">
        <v>48</v>
      </c>
      <c r="H4346" s="17">
        <v>1</v>
      </c>
      <c r="K4346" t="s">
        <v>162</v>
      </c>
      <c r="L4346" t="s">
        <v>158</v>
      </c>
      <c r="M4346" t="s">
        <v>131</v>
      </c>
      <c r="N4346">
        <v>18</v>
      </c>
      <c r="O4346" t="s">
        <v>40</v>
      </c>
      <c r="P4346" t="s">
        <v>40</v>
      </c>
      <c r="Q4346" t="s">
        <v>40</v>
      </c>
      <c r="R4346" t="s">
        <v>40</v>
      </c>
      <c r="S4346" t="s">
        <v>40</v>
      </c>
      <c r="V4346" t="s">
        <v>41</v>
      </c>
      <c r="W4346" t="s">
        <v>42</v>
      </c>
      <c r="X4346" t="str">
        <f>"0580320"</f>
        <v>0580320</v>
      </c>
      <c r="Y4346" t="s">
        <v>164</v>
      </c>
      <c r="Z4346" t="s">
        <v>162</v>
      </c>
      <c r="AA4346" t="s">
        <v>158</v>
      </c>
      <c r="AB4346" t="s">
        <v>131</v>
      </c>
      <c r="AC4346" t="s">
        <v>165</v>
      </c>
      <c r="AD4346" t="s">
        <v>45</v>
      </c>
      <c r="AE4346" s="1">
        <v>24164</v>
      </c>
      <c r="AF4346">
        <v>2</v>
      </c>
      <c r="AG4346" t="s">
        <v>158</v>
      </c>
      <c r="AH4346" s="36">
        <f t="shared" si="67"/>
        <v>53.591666666666669</v>
      </c>
      <c r="AI4346" s="41" t="s">
        <v>1781</v>
      </c>
    </row>
    <row r="4347" spans="1:35" x14ac:dyDescent="0.25">
      <c r="A4347" s="36">
        <v>99914345</v>
      </c>
      <c r="B4347" s="17" t="s">
        <v>32</v>
      </c>
      <c r="C4347" t="s">
        <v>46</v>
      </c>
      <c r="D4347" t="s">
        <v>47</v>
      </c>
      <c r="G4347" s="17" t="s">
        <v>48</v>
      </c>
      <c r="H4347" s="17">
        <v>1</v>
      </c>
      <c r="K4347" t="s">
        <v>223</v>
      </c>
      <c r="L4347" t="s">
        <v>224</v>
      </c>
      <c r="M4347" t="s">
        <v>131</v>
      </c>
      <c r="N4347">
        <v>18</v>
      </c>
      <c r="O4347" t="s">
        <v>40</v>
      </c>
      <c r="P4347" t="s">
        <v>40</v>
      </c>
      <c r="Q4347" t="s">
        <v>40</v>
      </c>
      <c r="S4347" t="s">
        <v>40</v>
      </c>
      <c r="V4347" t="s">
        <v>41</v>
      </c>
      <c r="W4347" t="s">
        <v>42</v>
      </c>
      <c r="X4347" t="str">
        <f>"0580265"</f>
        <v>0580265</v>
      </c>
      <c r="Y4347" t="s">
        <v>231</v>
      </c>
      <c r="Z4347" t="s">
        <v>223</v>
      </c>
      <c r="AA4347" t="s">
        <v>224</v>
      </c>
      <c r="AB4347" t="s">
        <v>131</v>
      </c>
      <c r="AC4347" t="s">
        <v>51</v>
      </c>
      <c r="AD4347" t="s">
        <v>45</v>
      </c>
      <c r="AE4347" s="1">
        <v>24162</v>
      </c>
      <c r="AF4347">
        <v>2</v>
      </c>
      <c r="AG4347" t="s">
        <v>224</v>
      </c>
      <c r="AH4347" s="36">
        <f t="shared" si="67"/>
        <v>53.597222222222221</v>
      </c>
      <c r="AI4347" s="41" t="s">
        <v>1781</v>
      </c>
    </row>
    <row r="4348" spans="1:35" x14ac:dyDescent="0.25">
      <c r="A4348" s="36">
        <v>99914346</v>
      </c>
      <c r="B4348" s="17" t="s">
        <v>32</v>
      </c>
      <c r="C4348" t="s">
        <v>111</v>
      </c>
      <c r="D4348" t="s">
        <v>112</v>
      </c>
      <c r="G4348" s="17" t="s">
        <v>35</v>
      </c>
      <c r="H4348" s="17">
        <v>16</v>
      </c>
      <c r="K4348" t="s">
        <v>268</v>
      </c>
      <c r="L4348" t="s">
        <v>269</v>
      </c>
      <c r="M4348" t="s">
        <v>131</v>
      </c>
      <c r="N4348">
        <v>21</v>
      </c>
      <c r="O4348" t="s">
        <v>40</v>
      </c>
      <c r="P4348" t="s">
        <v>40</v>
      </c>
      <c r="Q4348" t="s">
        <v>40</v>
      </c>
      <c r="R4348" t="s">
        <v>40</v>
      </c>
      <c r="S4348" t="s">
        <v>40</v>
      </c>
      <c r="V4348" t="s">
        <v>41</v>
      </c>
      <c r="W4348" t="s">
        <v>75</v>
      </c>
      <c r="X4348" t="str">
        <f>"7052006"</f>
        <v>7052006</v>
      </c>
      <c r="Y4348" t="s">
        <v>575</v>
      </c>
      <c r="Z4348" t="s">
        <v>268</v>
      </c>
      <c r="AA4348" t="s">
        <v>269</v>
      </c>
      <c r="AB4348" t="s">
        <v>131</v>
      </c>
      <c r="AC4348" t="s">
        <v>165</v>
      </c>
      <c r="AD4348" t="s">
        <v>45</v>
      </c>
      <c r="AE4348" s="1">
        <v>24158</v>
      </c>
      <c r="AF4348">
        <v>1</v>
      </c>
      <c r="AG4348" t="s">
        <v>269</v>
      </c>
      <c r="AH4348" s="36">
        <f t="shared" si="67"/>
        <v>53.608333333333334</v>
      </c>
      <c r="AI4348" s="41" t="s">
        <v>1781</v>
      </c>
    </row>
    <row r="4349" spans="1:35" x14ac:dyDescent="0.25">
      <c r="A4349" s="36">
        <v>99914347</v>
      </c>
      <c r="B4349" s="17" t="s">
        <v>32</v>
      </c>
      <c r="C4349" t="s">
        <v>52</v>
      </c>
      <c r="D4349" t="s">
        <v>53</v>
      </c>
      <c r="G4349" s="17" t="s">
        <v>48</v>
      </c>
      <c r="H4349" s="17">
        <v>2</v>
      </c>
      <c r="K4349" t="s">
        <v>129</v>
      </c>
      <c r="L4349" t="s">
        <v>130</v>
      </c>
      <c r="M4349" t="s">
        <v>131</v>
      </c>
      <c r="N4349">
        <v>20</v>
      </c>
      <c r="O4349" t="s">
        <v>40</v>
      </c>
      <c r="P4349" t="s">
        <v>40</v>
      </c>
      <c r="Q4349" t="s">
        <v>40</v>
      </c>
      <c r="R4349" t="s">
        <v>40</v>
      </c>
      <c r="S4349" t="s">
        <v>40</v>
      </c>
      <c r="U4349" s="1">
        <v>40066</v>
      </c>
      <c r="V4349" t="s">
        <v>41</v>
      </c>
      <c r="W4349" t="s">
        <v>42</v>
      </c>
      <c r="X4349" t="str">
        <f>"0561011"</f>
        <v>0561011</v>
      </c>
      <c r="Y4349" t="s">
        <v>132</v>
      </c>
      <c r="Z4349" t="s">
        <v>129</v>
      </c>
      <c r="AA4349" t="s">
        <v>130</v>
      </c>
      <c r="AB4349" t="s">
        <v>131</v>
      </c>
      <c r="AC4349" t="s">
        <v>51</v>
      </c>
      <c r="AD4349" t="s">
        <v>45</v>
      </c>
      <c r="AE4349" s="1">
        <v>24155</v>
      </c>
      <c r="AF4349">
        <v>2</v>
      </c>
      <c r="AG4349" t="s">
        <v>130</v>
      </c>
      <c r="AH4349" s="36">
        <f t="shared" si="67"/>
        <v>53.616666666666667</v>
      </c>
      <c r="AI4349" s="41" t="s">
        <v>1781</v>
      </c>
    </row>
    <row r="4350" spans="1:35" x14ac:dyDescent="0.25">
      <c r="A4350" s="36">
        <v>99914348</v>
      </c>
      <c r="B4350" s="17" t="s">
        <v>32</v>
      </c>
      <c r="C4350" t="s">
        <v>46</v>
      </c>
      <c r="D4350" t="s">
        <v>47</v>
      </c>
      <c r="G4350" s="17" t="s">
        <v>35</v>
      </c>
      <c r="H4350" s="17">
        <v>1</v>
      </c>
      <c r="I4350">
        <v>18104</v>
      </c>
      <c r="J4350" s="1">
        <v>43344</v>
      </c>
      <c r="K4350" t="s">
        <v>345</v>
      </c>
      <c r="L4350" t="s">
        <v>346</v>
      </c>
      <c r="M4350" t="s">
        <v>131</v>
      </c>
      <c r="N4350">
        <v>18</v>
      </c>
      <c r="O4350" t="s">
        <v>40</v>
      </c>
      <c r="S4350" t="s">
        <v>40</v>
      </c>
      <c r="U4350" s="1">
        <v>43344</v>
      </c>
      <c r="V4350" t="s">
        <v>41</v>
      </c>
      <c r="W4350" t="s">
        <v>367</v>
      </c>
      <c r="X4350" t="str">
        <f>"0580655"</f>
        <v>0580655</v>
      </c>
      <c r="Y4350" t="s">
        <v>368</v>
      </c>
      <c r="Z4350" t="s">
        <v>345</v>
      </c>
      <c r="AA4350" t="s">
        <v>346</v>
      </c>
      <c r="AB4350" t="s">
        <v>131</v>
      </c>
      <c r="AC4350" t="s">
        <v>51</v>
      </c>
      <c r="AD4350" t="s">
        <v>45</v>
      </c>
      <c r="AE4350" s="1">
        <v>24149</v>
      </c>
      <c r="AF4350">
        <v>2</v>
      </c>
      <c r="AG4350" t="s">
        <v>346</v>
      </c>
      <c r="AH4350" s="36">
        <f t="shared" si="67"/>
        <v>53.633333333333333</v>
      </c>
      <c r="AI4350" s="41" t="s">
        <v>1781</v>
      </c>
    </row>
    <row r="4351" spans="1:35" x14ac:dyDescent="0.25">
      <c r="A4351" s="36">
        <v>99914349</v>
      </c>
      <c r="B4351" s="17" t="s">
        <v>32</v>
      </c>
      <c r="C4351" t="s">
        <v>61</v>
      </c>
      <c r="D4351" t="s">
        <v>62</v>
      </c>
      <c r="G4351" s="17" t="s">
        <v>48</v>
      </c>
      <c r="H4351" s="17">
        <v>1</v>
      </c>
      <c r="K4351" t="s">
        <v>345</v>
      </c>
      <c r="L4351" t="s">
        <v>346</v>
      </c>
      <c r="M4351" t="s">
        <v>131</v>
      </c>
      <c r="N4351">
        <v>18</v>
      </c>
      <c r="O4351" t="s">
        <v>40</v>
      </c>
      <c r="P4351" t="s">
        <v>40</v>
      </c>
      <c r="Q4351" t="s">
        <v>40</v>
      </c>
      <c r="R4351" t="s">
        <v>40</v>
      </c>
      <c r="S4351" t="s">
        <v>40</v>
      </c>
      <c r="V4351" t="s">
        <v>41</v>
      </c>
      <c r="W4351" t="s">
        <v>42</v>
      </c>
      <c r="X4351" t="str">
        <f>"0590906"</f>
        <v>0590906</v>
      </c>
      <c r="Y4351" t="s">
        <v>361</v>
      </c>
      <c r="Z4351" t="s">
        <v>345</v>
      </c>
      <c r="AA4351" t="s">
        <v>346</v>
      </c>
      <c r="AB4351" t="s">
        <v>131</v>
      </c>
      <c r="AC4351" t="s">
        <v>51</v>
      </c>
      <c r="AD4351" t="s">
        <v>45</v>
      </c>
      <c r="AE4351" s="1">
        <v>24147</v>
      </c>
      <c r="AF4351">
        <v>2</v>
      </c>
      <c r="AG4351" t="s">
        <v>346</v>
      </c>
      <c r="AH4351" s="36">
        <f t="shared" si="67"/>
        <v>53.638888888888886</v>
      </c>
      <c r="AI4351" s="41" t="s">
        <v>1781</v>
      </c>
    </row>
    <row r="4352" spans="1:35" x14ac:dyDescent="0.25">
      <c r="A4352" s="36">
        <v>99914350</v>
      </c>
      <c r="B4352" s="17" t="s">
        <v>32</v>
      </c>
      <c r="C4352" t="s">
        <v>64</v>
      </c>
      <c r="D4352" t="s">
        <v>65</v>
      </c>
      <c r="G4352" s="17" t="s">
        <v>48</v>
      </c>
      <c r="H4352" s="17">
        <v>1</v>
      </c>
      <c r="K4352" t="s">
        <v>223</v>
      </c>
      <c r="L4352" t="s">
        <v>224</v>
      </c>
      <c r="M4352" t="s">
        <v>131</v>
      </c>
      <c r="N4352">
        <v>20</v>
      </c>
      <c r="O4352" t="s">
        <v>40</v>
      </c>
      <c r="P4352" t="s">
        <v>40</v>
      </c>
      <c r="Q4352" t="s">
        <v>40</v>
      </c>
      <c r="R4352" t="s">
        <v>40</v>
      </c>
      <c r="S4352" t="s">
        <v>40</v>
      </c>
      <c r="V4352" t="s">
        <v>41</v>
      </c>
      <c r="W4352" t="s">
        <v>49</v>
      </c>
      <c r="X4352" t="str">
        <f>"0581202"</f>
        <v>0581202</v>
      </c>
      <c r="Y4352" t="s">
        <v>248</v>
      </c>
      <c r="Z4352" t="s">
        <v>223</v>
      </c>
      <c r="AA4352" t="s">
        <v>224</v>
      </c>
      <c r="AB4352" t="s">
        <v>131</v>
      </c>
      <c r="AC4352" t="s">
        <v>51</v>
      </c>
      <c r="AD4352" t="s">
        <v>45</v>
      </c>
      <c r="AE4352" s="1">
        <v>24145</v>
      </c>
      <c r="AF4352">
        <v>2</v>
      </c>
      <c r="AG4352" t="s">
        <v>224</v>
      </c>
      <c r="AH4352" s="36">
        <f t="shared" si="67"/>
        <v>53.644444444444446</v>
      </c>
      <c r="AI4352" s="41" t="s">
        <v>1781</v>
      </c>
    </row>
    <row r="4353" spans="1:35" x14ac:dyDescent="0.25">
      <c r="A4353" s="36">
        <v>99914351</v>
      </c>
      <c r="B4353" s="17" t="s">
        <v>32</v>
      </c>
      <c r="C4353" t="s">
        <v>139</v>
      </c>
      <c r="D4353" t="s">
        <v>140</v>
      </c>
      <c r="G4353" s="17" t="s">
        <v>35</v>
      </c>
      <c r="H4353" s="17">
        <v>1</v>
      </c>
      <c r="K4353" t="s">
        <v>223</v>
      </c>
      <c r="L4353" t="s">
        <v>224</v>
      </c>
      <c r="M4353" t="s">
        <v>131</v>
      </c>
      <c r="N4353">
        <v>8</v>
      </c>
      <c r="O4353" t="s">
        <v>40</v>
      </c>
      <c r="P4353" t="s">
        <v>40</v>
      </c>
      <c r="Q4353" t="s">
        <v>40</v>
      </c>
      <c r="S4353" t="s">
        <v>40</v>
      </c>
      <c r="V4353" t="s">
        <v>41</v>
      </c>
      <c r="W4353" t="s">
        <v>49</v>
      </c>
      <c r="X4353" t="str">
        <f>"0591901"</f>
        <v>0591901</v>
      </c>
      <c r="Y4353" t="s">
        <v>230</v>
      </c>
      <c r="Z4353" t="s">
        <v>223</v>
      </c>
      <c r="AA4353" t="s">
        <v>224</v>
      </c>
      <c r="AB4353" t="s">
        <v>131</v>
      </c>
      <c r="AC4353" t="s">
        <v>51</v>
      </c>
      <c r="AD4353" t="s">
        <v>45</v>
      </c>
      <c r="AE4353" s="1">
        <v>24141</v>
      </c>
      <c r="AF4353">
        <v>2</v>
      </c>
      <c r="AG4353" t="s">
        <v>224</v>
      </c>
      <c r="AH4353" s="36">
        <f t="shared" si="67"/>
        <v>53.655555555555559</v>
      </c>
      <c r="AI4353" s="41" t="s">
        <v>1781</v>
      </c>
    </row>
    <row r="4354" spans="1:35" x14ac:dyDescent="0.25">
      <c r="A4354" s="36">
        <v>99914352</v>
      </c>
      <c r="B4354" s="17" t="s">
        <v>32</v>
      </c>
      <c r="C4354" t="s">
        <v>46</v>
      </c>
      <c r="D4354" t="s">
        <v>47</v>
      </c>
      <c r="G4354" s="17" t="s">
        <v>35</v>
      </c>
      <c r="H4354" s="17">
        <v>1</v>
      </c>
      <c r="I4354">
        <v>0</v>
      </c>
      <c r="J4354" s="1">
        <v>43344</v>
      </c>
      <c r="K4354" t="s">
        <v>223</v>
      </c>
      <c r="L4354" t="s">
        <v>224</v>
      </c>
      <c r="M4354" t="s">
        <v>131</v>
      </c>
      <c r="N4354">
        <v>7</v>
      </c>
      <c r="O4354" t="s">
        <v>40</v>
      </c>
      <c r="S4354" t="s">
        <v>40</v>
      </c>
      <c r="U4354" s="1">
        <v>43344</v>
      </c>
      <c r="V4354" t="s">
        <v>41</v>
      </c>
      <c r="W4354" t="s">
        <v>42</v>
      </c>
      <c r="X4354" t="str">
        <f>"0590907"</f>
        <v>0590907</v>
      </c>
      <c r="Y4354" t="s">
        <v>285</v>
      </c>
      <c r="Z4354" t="s">
        <v>223</v>
      </c>
      <c r="AA4354" t="s">
        <v>224</v>
      </c>
      <c r="AB4354" t="s">
        <v>131</v>
      </c>
      <c r="AC4354" t="s">
        <v>51</v>
      </c>
      <c r="AD4354" t="s">
        <v>45</v>
      </c>
      <c r="AE4354" s="1">
        <v>24141</v>
      </c>
      <c r="AF4354">
        <v>2</v>
      </c>
      <c r="AG4354" t="s">
        <v>224</v>
      </c>
      <c r="AH4354" s="36">
        <f t="shared" ref="AH4354:AH4417" si="68">($AJ$1-AE4354)/360</f>
        <v>53.655555555555559</v>
      </c>
      <c r="AI4354" s="41" t="s">
        <v>1781</v>
      </c>
    </row>
    <row r="4355" spans="1:35" x14ac:dyDescent="0.25">
      <c r="A4355" s="36">
        <v>99914353</v>
      </c>
      <c r="B4355" s="17" t="s">
        <v>32</v>
      </c>
      <c r="C4355" t="s">
        <v>149</v>
      </c>
      <c r="D4355" t="s">
        <v>150</v>
      </c>
      <c r="G4355" s="17" t="s">
        <v>48</v>
      </c>
      <c r="H4355" s="17">
        <v>1</v>
      </c>
      <c r="K4355" t="s">
        <v>380</v>
      </c>
      <c r="L4355" t="s">
        <v>381</v>
      </c>
      <c r="M4355" t="s">
        <v>131</v>
      </c>
      <c r="N4355">
        <v>9</v>
      </c>
      <c r="O4355" t="s">
        <v>40</v>
      </c>
      <c r="P4355" t="s">
        <v>40</v>
      </c>
      <c r="Q4355" t="s">
        <v>40</v>
      </c>
      <c r="S4355" t="s">
        <v>40</v>
      </c>
      <c r="V4355" t="s">
        <v>41</v>
      </c>
      <c r="W4355" t="s">
        <v>49</v>
      </c>
      <c r="X4355" t="str">
        <f>"0591908"</f>
        <v>0591908</v>
      </c>
      <c r="Y4355" t="s">
        <v>383</v>
      </c>
      <c r="Z4355" t="s">
        <v>380</v>
      </c>
      <c r="AA4355" t="s">
        <v>381</v>
      </c>
      <c r="AB4355" t="s">
        <v>131</v>
      </c>
      <c r="AC4355" t="s">
        <v>51</v>
      </c>
      <c r="AD4355" t="s">
        <v>45</v>
      </c>
      <c r="AE4355" s="1">
        <v>24140</v>
      </c>
      <c r="AF4355">
        <v>2</v>
      </c>
      <c r="AG4355" t="s">
        <v>381</v>
      </c>
      <c r="AH4355" s="36">
        <f t="shared" si="68"/>
        <v>53.658333333333331</v>
      </c>
      <c r="AI4355" s="41" t="s">
        <v>1781</v>
      </c>
    </row>
    <row r="4356" spans="1:35" x14ac:dyDescent="0.25">
      <c r="A4356" s="36">
        <v>99914354</v>
      </c>
      <c r="B4356" s="17" t="s">
        <v>56</v>
      </c>
      <c r="C4356" t="s">
        <v>85</v>
      </c>
      <c r="D4356" t="s">
        <v>86</v>
      </c>
      <c r="G4356" s="17" t="s">
        <v>48</v>
      </c>
      <c r="H4356" s="17">
        <v>17</v>
      </c>
      <c r="K4356" t="s">
        <v>1268</v>
      </c>
      <c r="L4356" t="s">
        <v>1269</v>
      </c>
      <c r="M4356" t="s">
        <v>1270</v>
      </c>
      <c r="N4356">
        <v>18</v>
      </c>
      <c r="O4356" t="s">
        <v>40</v>
      </c>
      <c r="P4356" t="s">
        <v>40</v>
      </c>
      <c r="Q4356" t="s">
        <v>40</v>
      </c>
      <c r="R4356" t="s">
        <v>40</v>
      </c>
      <c r="S4356" t="s">
        <v>40</v>
      </c>
      <c r="U4356" s="1">
        <v>43344</v>
      </c>
      <c r="V4356" t="s">
        <v>41</v>
      </c>
      <c r="W4356" t="s">
        <v>49</v>
      </c>
      <c r="X4356" t="str">
        <f>"1981055"</f>
        <v>1981055</v>
      </c>
      <c r="Y4356" t="s">
        <v>1280</v>
      </c>
      <c r="Z4356" t="s">
        <v>1268</v>
      </c>
      <c r="AA4356" t="s">
        <v>1269</v>
      </c>
      <c r="AB4356" t="s">
        <v>1270</v>
      </c>
      <c r="AC4356" t="s">
        <v>165</v>
      </c>
      <c r="AD4356" t="s">
        <v>45</v>
      </c>
      <c r="AE4356" s="1">
        <v>24139</v>
      </c>
      <c r="AF4356">
        <v>2</v>
      </c>
      <c r="AG4356" t="s">
        <v>1269</v>
      </c>
      <c r="AH4356" s="36">
        <f t="shared" si="68"/>
        <v>53.661111111111111</v>
      </c>
      <c r="AI4356" s="41" t="s">
        <v>1781</v>
      </c>
    </row>
    <row r="4357" spans="1:35" x14ac:dyDescent="0.25">
      <c r="A4357" s="36">
        <v>99914355</v>
      </c>
      <c r="B4357" s="17" t="s">
        <v>56</v>
      </c>
      <c r="C4357" t="s">
        <v>79</v>
      </c>
      <c r="D4357" t="s">
        <v>80</v>
      </c>
      <c r="G4357" s="17" t="s">
        <v>48</v>
      </c>
      <c r="H4357" s="17">
        <v>1</v>
      </c>
      <c r="K4357" t="s">
        <v>223</v>
      </c>
      <c r="L4357" t="s">
        <v>224</v>
      </c>
      <c r="M4357" t="s">
        <v>131</v>
      </c>
      <c r="N4357">
        <v>18</v>
      </c>
      <c r="O4357" t="s">
        <v>40</v>
      </c>
      <c r="P4357" t="s">
        <v>40</v>
      </c>
      <c r="Q4357" t="s">
        <v>40</v>
      </c>
      <c r="R4357" t="s">
        <v>40</v>
      </c>
      <c r="S4357" t="s">
        <v>40</v>
      </c>
      <c r="V4357" t="s">
        <v>41</v>
      </c>
      <c r="W4357" t="s">
        <v>42</v>
      </c>
      <c r="X4357" t="str">
        <f>"0580200"</f>
        <v>0580200</v>
      </c>
      <c r="Y4357" t="s">
        <v>245</v>
      </c>
      <c r="Z4357" t="s">
        <v>223</v>
      </c>
      <c r="AA4357" t="s">
        <v>224</v>
      </c>
      <c r="AB4357" t="s">
        <v>131</v>
      </c>
      <c r="AC4357" t="s">
        <v>51</v>
      </c>
      <c r="AD4357" t="s">
        <v>45</v>
      </c>
      <c r="AE4357" s="1">
        <v>24137</v>
      </c>
      <c r="AF4357">
        <v>2</v>
      </c>
      <c r="AG4357" t="s">
        <v>224</v>
      </c>
      <c r="AH4357" s="36">
        <f t="shared" si="68"/>
        <v>53.666666666666664</v>
      </c>
      <c r="AI4357" s="41" t="s">
        <v>1781</v>
      </c>
    </row>
    <row r="4358" spans="1:35" x14ac:dyDescent="0.25">
      <c r="A4358" s="36">
        <v>99914356</v>
      </c>
      <c r="B4358" s="17" t="s">
        <v>32</v>
      </c>
      <c r="C4358" t="s">
        <v>141</v>
      </c>
      <c r="D4358" t="s">
        <v>142</v>
      </c>
      <c r="G4358" s="17" t="s">
        <v>48</v>
      </c>
      <c r="H4358" s="17">
        <v>1</v>
      </c>
      <c r="K4358" t="s">
        <v>936</v>
      </c>
      <c r="L4358" t="s">
        <v>937</v>
      </c>
      <c r="M4358" t="s">
        <v>938</v>
      </c>
      <c r="N4358">
        <v>6</v>
      </c>
      <c r="O4358" t="s">
        <v>40</v>
      </c>
      <c r="P4358" t="s">
        <v>40</v>
      </c>
      <c r="Q4358" t="s">
        <v>40</v>
      </c>
      <c r="S4358" t="s">
        <v>40</v>
      </c>
      <c r="V4358" t="s">
        <v>41</v>
      </c>
      <c r="W4358" t="s">
        <v>49</v>
      </c>
      <c r="X4358" t="str">
        <f>"0180017"</f>
        <v>0180017</v>
      </c>
      <c r="Y4358" t="s">
        <v>943</v>
      </c>
      <c r="Z4358" t="s">
        <v>936</v>
      </c>
      <c r="AA4358" t="s">
        <v>937</v>
      </c>
      <c r="AB4358" t="s">
        <v>938</v>
      </c>
      <c r="AC4358" t="s">
        <v>51</v>
      </c>
      <c r="AD4358" t="s">
        <v>45</v>
      </c>
      <c r="AE4358" s="1">
        <v>24135</v>
      </c>
      <c r="AF4358">
        <v>2</v>
      </c>
      <c r="AG4358" t="s">
        <v>937</v>
      </c>
      <c r="AH4358" s="36">
        <f t="shared" si="68"/>
        <v>53.672222222222224</v>
      </c>
      <c r="AI4358" s="41" t="s">
        <v>1781</v>
      </c>
    </row>
    <row r="4359" spans="1:35" x14ac:dyDescent="0.25">
      <c r="A4359" s="36">
        <v>99914357</v>
      </c>
      <c r="B4359" s="17" t="s">
        <v>32</v>
      </c>
      <c r="C4359" t="s">
        <v>85</v>
      </c>
      <c r="D4359" t="s">
        <v>86</v>
      </c>
      <c r="G4359" s="17" t="s">
        <v>48</v>
      </c>
      <c r="H4359" s="17">
        <v>1</v>
      </c>
      <c r="K4359" t="s">
        <v>162</v>
      </c>
      <c r="L4359" t="s">
        <v>158</v>
      </c>
      <c r="M4359" t="s">
        <v>131</v>
      </c>
      <c r="N4359">
        <v>18</v>
      </c>
      <c r="O4359" t="s">
        <v>40</v>
      </c>
      <c r="P4359" t="s">
        <v>40</v>
      </c>
      <c r="Q4359" t="s">
        <v>40</v>
      </c>
      <c r="S4359" t="s">
        <v>40</v>
      </c>
      <c r="V4359" t="s">
        <v>41</v>
      </c>
      <c r="W4359" t="s">
        <v>42</v>
      </c>
      <c r="X4359" t="str">
        <f>"0580325"</f>
        <v>0580325</v>
      </c>
      <c r="Y4359" t="s">
        <v>170</v>
      </c>
      <c r="Z4359" t="s">
        <v>162</v>
      </c>
      <c r="AA4359" t="s">
        <v>158</v>
      </c>
      <c r="AB4359" t="s">
        <v>131</v>
      </c>
      <c r="AC4359" t="s">
        <v>165</v>
      </c>
      <c r="AD4359" t="s">
        <v>45</v>
      </c>
      <c r="AE4359" s="1">
        <v>24134</v>
      </c>
      <c r="AF4359">
        <v>2</v>
      </c>
      <c r="AG4359" t="s">
        <v>158</v>
      </c>
      <c r="AH4359" s="36">
        <f t="shared" si="68"/>
        <v>53.674999999999997</v>
      </c>
      <c r="AI4359" s="41" t="s">
        <v>1781</v>
      </c>
    </row>
    <row r="4360" spans="1:35" x14ac:dyDescent="0.25">
      <c r="A4360" s="36">
        <v>99914358</v>
      </c>
      <c r="B4360" s="17" t="s">
        <v>32</v>
      </c>
      <c r="C4360" t="s">
        <v>90</v>
      </c>
      <c r="D4360" t="s">
        <v>91</v>
      </c>
      <c r="E4360" t="s">
        <v>85</v>
      </c>
      <c r="F4360" t="s">
        <v>86</v>
      </c>
      <c r="G4360" s="17" t="s">
        <v>35</v>
      </c>
      <c r="H4360" s="17">
        <v>1</v>
      </c>
      <c r="I4360">
        <v>160</v>
      </c>
      <c r="J4360" s="1">
        <v>43344</v>
      </c>
      <c r="K4360" t="s">
        <v>1341</v>
      </c>
      <c r="L4360" t="s">
        <v>1342</v>
      </c>
      <c r="M4360" t="s">
        <v>1270</v>
      </c>
      <c r="N4360">
        <v>24</v>
      </c>
      <c r="O4360" t="s">
        <v>40</v>
      </c>
      <c r="P4360" t="s">
        <v>40</v>
      </c>
      <c r="Q4360" t="s">
        <v>40</v>
      </c>
      <c r="R4360" t="s">
        <v>40</v>
      </c>
      <c r="S4360" t="s">
        <v>40</v>
      </c>
      <c r="U4360" s="1">
        <v>43344</v>
      </c>
      <c r="V4360" t="s">
        <v>41</v>
      </c>
      <c r="W4360" t="s">
        <v>75</v>
      </c>
      <c r="X4360" t="str">
        <f>"7191036"</f>
        <v>7191036</v>
      </c>
      <c r="Y4360" t="s">
        <v>1348</v>
      </c>
      <c r="Z4360" t="s">
        <v>1341</v>
      </c>
      <c r="AA4360" t="s">
        <v>1342</v>
      </c>
      <c r="AB4360" t="s">
        <v>1270</v>
      </c>
      <c r="AC4360" t="s">
        <v>51</v>
      </c>
      <c r="AD4360" t="s">
        <v>45</v>
      </c>
      <c r="AE4360" s="1">
        <v>24134</v>
      </c>
      <c r="AF4360">
        <v>1</v>
      </c>
      <c r="AG4360" t="s">
        <v>1342</v>
      </c>
      <c r="AH4360" s="36">
        <f t="shared" si="68"/>
        <v>53.674999999999997</v>
      </c>
      <c r="AI4360" s="41" t="s">
        <v>1781</v>
      </c>
    </row>
    <row r="4361" spans="1:35" x14ac:dyDescent="0.25">
      <c r="A4361" s="36">
        <v>99914359</v>
      </c>
      <c r="B4361" s="17" t="s">
        <v>32</v>
      </c>
      <c r="C4361" t="s">
        <v>68</v>
      </c>
      <c r="D4361" t="s">
        <v>69</v>
      </c>
      <c r="G4361" s="17" t="s">
        <v>48</v>
      </c>
      <c r="H4361" s="17">
        <v>1</v>
      </c>
      <c r="K4361" t="s">
        <v>223</v>
      </c>
      <c r="L4361" t="s">
        <v>224</v>
      </c>
      <c r="M4361" t="s">
        <v>131</v>
      </c>
      <c r="N4361">
        <v>20</v>
      </c>
      <c r="O4361" t="s">
        <v>40</v>
      </c>
      <c r="P4361" t="s">
        <v>40</v>
      </c>
      <c r="Q4361" t="s">
        <v>40</v>
      </c>
      <c r="S4361" t="s">
        <v>40</v>
      </c>
      <c r="V4361" t="s">
        <v>41</v>
      </c>
      <c r="W4361" t="s">
        <v>49</v>
      </c>
      <c r="X4361" t="str">
        <f>"0581206"</f>
        <v>0581206</v>
      </c>
      <c r="Y4361" t="s">
        <v>232</v>
      </c>
      <c r="Z4361" t="s">
        <v>223</v>
      </c>
      <c r="AA4361" t="s">
        <v>224</v>
      </c>
      <c r="AB4361" t="s">
        <v>131</v>
      </c>
      <c r="AC4361" t="s">
        <v>51</v>
      </c>
      <c r="AD4361" t="s">
        <v>45</v>
      </c>
      <c r="AE4361" s="1">
        <v>24131</v>
      </c>
      <c r="AF4361">
        <v>2</v>
      </c>
      <c r="AG4361" t="s">
        <v>224</v>
      </c>
      <c r="AH4361" s="36">
        <f t="shared" si="68"/>
        <v>53.68333333333333</v>
      </c>
      <c r="AI4361" s="41" t="s">
        <v>1781</v>
      </c>
    </row>
    <row r="4362" spans="1:35" x14ac:dyDescent="0.25">
      <c r="A4362" s="36">
        <v>99914360</v>
      </c>
      <c r="B4362" s="17" t="s">
        <v>32</v>
      </c>
      <c r="C4362" t="s">
        <v>111</v>
      </c>
      <c r="D4362" t="s">
        <v>112</v>
      </c>
      <c r="G4362" s="17" t="s">
        <v>48</v>
      </c>
      <c r="H4362" s="17">
        <v>13</v>
      </c>
      <c r="K4362" t="s">
        <v>1426</v>
      </c>
      <c r="L4362" t="s">
        <v>1427</v>
      </c>
      <c r="M4362" t="s">
        <v>1270</v>
      </c>
      <c r="N4362">
        <v>21</v>
      </c>
      <c r="O4362" t="s">
        <v>40</v>
      </c>
      <c r="P4362" t="s">
        <v>40</v>
      </c>
      <c r="Q4362" t="s">
        <v>40</v>
      </c>
      <c r="R4362" t="s">
        <v>40</v>
      </c>
      <c r="S4362" t="s">
        <v>40</v>
      </c>
      <c r="V4362" t="s">
        <v>41</v>
      </c>
      <c r="W4362" t="s">
        <v>75</v>
      </c>
      <c r="X4362" t="str">
        <f>"7192004"</f>
        <v>7192004</v>
      </c>
      <c r="Y4362" t="s">
        <v>1428</v>
      </c>
      <c r="Z4362" t="s">
        <v>1426</v>
      </c>
      <c r="AA4362" t="s">
        <v>1427</v>
      </c>
      <c r="AB4362" t="s">
        <v>1270</v>
      </c>
      <c r="AC4362" t="s">
        <v>51</v>
      </c>
      <c r="AD4362" t="s">
        <v>45</v>
      </c>
      <c r="AE4362" s="1">
        <v>24130</v>
      </c>
      <c r="AF4362">
        <v>1</v>
      </c>
      <c r="AG4362" t="s">
        <v>1427</v>
      </c>
      <c r="AH4362" s="36">
        <f t="shared" si="68"/>
        <v>53.68611111111111</v>
      </c>
      <c r="AI4362" s="41" t="s">
        <v>1781</v>
      </c>
    </row>
    <row r="4363" spans="1:35" x14ac:dyDescent="0.25">
      <c r="A4363" s="36">
        <v>99914361</v>
      </c>
      <c r="B4363" s="17" t="s">
        <v>56</v>
      </c>
      <c r="C4363" t="s">
        <v>68</v>
      </c>
      <c r="D4363" t="s">
        <v>69</v>
      </c>
      <c r="G4363" s="17" t="s">
        <v>35</v>
      </c>
      <c r="H4363" s="17">
        <v>13</v>
      </c>
      <c r="K4363" t="s">
        <v>1268</v>
      </c>
      <c r="L4363" t="s">
        <v>1269</v>
      </c>
      <c r="M4363" t="s">
        <v>1270</v>
      </c>
      <c r="N4363">
        <v>18</v>
      </c>
      <c r="O4363" t="s">
        <v>40</v>
      </c>
      <c r="P4363" t="s">
        <v>40</v>
      </c>
      <c r="Q4363" t="s">
        <v>40</v>
      </c>
      <c r="R4363" t="s">
        <v>40</v>
      </c>
      <c r="S4363" t="s">
        <v>40</v>
      </c>
      <c r="V4363" t="s">
        <v>41</v>
      </c>
      <c r="W4363" t="s">
        <v>42</v>
      </c>
      <c r="X4363" t="str">
        <f>"1980060"</f>
        <v>1980060</v>
      </c>
      <c r="Y4363" t="s">
        <v>1277</v>
      </c>
      <c r="Z4363" t="s">
        <v>1268</v>
      </c>
      <c r="AA4363" t="s">
        <v>1269</v>
      </c>
      <c r="AB4363" t="s">
        <v>1270</v>
      </c>
      <c r="AC4363" t="s">
        <v>51</v>
      </c>
      <c r="AD4363" t="s">
        <v>45</v>
      </c>
      <c r="AE4363" s="1">
        <v>24129</v>
      </c>
      <c r="AF4363">
        <v>2</v>
      </c>
      <c r="AG4363" t="s">
        <v>1269</v>
      </c>
      <c r="AH4363" s="36">
        <f t="shared" si="68"/>
        <v>53.68888888888889</v>
      </c>
      <c r="AI4363" s="41" t="s">
        <v>1781</v>
      </c>
    </row>
    <row r="4364" spans="1:35" x14ac:dyDescent="0.25">
      <c r="A4364" s="36">
        <v>99914362</v>
      </c>
      <c r="B4364" s="17" t="s">
        <v>32</v>
      </c>
      <c r="C4364" t="s">
        <v>46</v>
      </c>
      <c r="D4364" t="s">
        <v>47</v>
      </c>
      <c r="G4364" s="17" t="s">
        <v>48</v>
      </c>
      <c r="H4364" s="17">
        <v>12</v>
      </c>
      <c r="K4364" t="s">
        <v>1268</v>
      </c>
      <c r="L4364" t="s">
        <v>1269</v>
      </c>
      <c r="M4364" t="s">
        <v>1270</v>
      </c>
      <c r="N4364">
        <v>18</v>
      </c>
      <c r="O4364" t="s">
        <v>40</v>
      </c>
      <c r="P4364" t="s">
        <v>40</v>
      </c>
      <c r="Q4364" t="s">
        <v>40</v>
      </c>
      <c r="R4364" t="s">
        <v>40</v>
      </c>
      <c r="S4364" t="s">
        <v>40</v>
      </c>
      <c r="U4364" s="1">
        <v>43344</v>
      </c>
      <c r="V4364" t="s">
        <v>41</v>
      </c>
      <c r="W4364" t="s">
        <v>42</v>
      </c>
      <c r="X4364" t="str">
        <f>"1980060"</f>
        <v>1980060</v>
      </c>
      <c r="Y4364" t="s">
        <v>1277</v>
      </c>
      <c r="Z4364" t="s">
        <v>1268</v>
      </c>
      <c r="AA4364" t="s">
        <v>1269</v>
      </c>
      <c r="AB4364" t="s">
        <v>1270</v>
      </c>
      <c r="AC4364" t="s">
        <v>51</v>
      </c>
      <c r="AD4364" t="s">
        <v>45</v>
      </c>
      <c r="AE4364" s="1">
        <v>24129</v>
      </c>
      <c r="AF4364">
        <v>2</v>
      </c>
      <c r="AG4364" t="s">
        <v>1269</v>
      </c>
      <c r="AH4364" s="36">
        <f t="shared" si="68"/>
        <v>53.68888888888889</v>
      </c>
      <c r="AI4364" s="41" t="s">
        <v>1781</v>
      </c>
    </row>
    <row r="4365" spans="1:35" x14ac:dyDescent="0.25">
      <c r="A4365" s="36">
        <v>99914363</v>
      </c>
      <c r="B4365" s="17" t="s">
        <v>32</v>
      </c>
      <c r="C4365" t="s">
        <v>58</v>
      </c>
      <c r="D4365" t="s">
        <v>59</v>
      </c>
      <c r="G4365" s="17" t="s">
        <v>35</v>
      </c>
      <c r="H4365" s="17">
        <v>1</v>
      </c>
      <c r="I4365" t="s">
        <v>945</v>
      </c>
      <c r="J4365" s="1">
        <v>43382</v>
      </c>
      <c r="K4365" t="s">
        <v>936</v>
      </c>
      <c r="L4365" t="s">
        <v>937</v>
      </c>
      <c r="M4365" t="s">
        <v>938</v>
      </c>
      <c r="N4365">
        <v>13</v>
      </c>
      <c r="O4365" t="s">
        <v>40</v>
      </c>
      <c r="P4365" t="s">
        <v>40</v>
      </c>
      <c r="Q4365" t="s">
        <v>40</v>
      </c>
      <c r="R4365" t="s">
        <v>40</v>
      </c>
      <c r="S4365" t="s">
        <v>40</v>
      </c>
      <c r="U4365" s="1">
        <v>43382</v>
      </c>
      <c r="V4365" t="s">
        <v>41</v>
      </c>
      <c r="W4365" t="s">
        <v>42</v>
      </c>
      <c r="X4365" t="str">
        <f>"0161002"</f>
        <v>0161002</v>
      </c>
      <c r="Y4365" t="s">
        <v>941</v>
      </c>
      <c r="Z4365" t="s">
        <v>936</v>
      </c>
      <c r="AA4365" t="s">
        <v>937</v>
      </c>
      <c r="AB4365" t="s">
        <v>938</v>
      </c>
      <c r="AC4365" t="s">
        <v>44</v>
      </c>
      <c r="AD4365" t="s">
        <v>45</v>
      </c>
      <c r="AE4365" s="1">
        <v>24127</v>
      </c>
      <c r="AF4365">
        <v>2</v>
      </c>
      <c r="AG4365" t="s">
        <v>937</v>
      </c>
      <c r="AH4365" s="36">
        <f t="shared" si="68"/>
        <v>53.694444444444443</v>
      </c>
      <c r="AI4365" s="41" t="s">
        <v>1781</v>
      </c>
    </row>
    <row r="4366" spans="1:35" x14ac:dyDescent="0.25">
      <c r="A4366" s="36">
        <v>99914364</v>
      </c>
      <c r="B4366" s="17" t="s">
        <v>56</v>
      </c>
      <c r="C4366" t="s">
        <v>145</v>
      </c>
      <c r="D4366" t="s">
        <v>146</v>
      </c>
      <c r="G4366" s="17" t="s">
        <v>35</v>
      </c>
      <c r="H4366" s="17">
        <v>1</v>
      </c>
      <c r="K4366" t="s">
        <v>947</v>
      </c>
      <c r="L4366" t="s">
        <v>948</v>
      </c>
      <c r="M4366" t="s">
        <v>938</v>
      </c>
      <c r="N4366">
        <v>18</v>
      </c>
      <c r="O4366" t="s">
        <v>40</v>
      </c>
      <c r="P4366" t="s">
        <v>40</v>
      </c>
      <c r="Q4366" t="s">
        <v>40</v>
      </c>
      <c r="R4366" t="s">
        <v>40</v>
      </c>
      <c r="S4366" t="s">
        <v>40</v>
      </c>
      <c r="V4366" t="s">
        <v>41</v>
      </c>
      <c r="W4366" t="s">
        <v>42</v>
      </c>
      <c r="X4366" t="str">
        <f>"0680030"</f>
        <v>0680030</v>
      </c>
      <c r="Y4366" t="s">
        <v>951</v>
      </c>
      <c r="Z4366" t="s">
        <v>947</v>
      </c>
      <c r="AA4366" t="s">
        <v>948</v>
      </c>
      <c r="AB4366" t="s">
        <v>938</v>
      </c>
      <c r="AC4366" t="s">
        <v>165</v>
      </c>
      <c r="AD4366" t="s">
        <v>45</v>
      </c>
      <c r="AE4366" s="1">
        <v>24126</v>
      </c>
      <c r="AF4366">
        <v>2</v>
      </c>
      <c r="AG4366" t="s">
        <v>948</v>
      </c>
      <c r="AH4366" s="36">
        <f t="shared" si="68"/>
        <v>53.697222222222223</v>
      </c>
      <c r="AI4366" s="41" t="s">
        <v>1781</v>
      </c>
    </row>
    <row r="4367" spans="1:35" x14ac:dyDescent="0.25">
      <c r="A4367" s="36">
        <v>99914365</v>
      </c>
      <c r="B4367" s="17" t="s">
        <v>56</v>
      </c>
      <c r="C4367" t="s">
        <v>61</v>
      </c>
      <c r="D4367" t="s">
        <v>62</v>
      </c>
      <c r="G4367" s="17" t="s">
        <v>48</v>
      </c>
      <c r="H4367" s="17">
        <v>1</v>
      </c>
      <c r="K4367" t="s">
        <v>223</v>
      </c>
      <c r="L4367" t="s">
        <v>224</v>
      </c>
      <c r="M4367" t="s">
        <v>131</v>
      </c>
      <c r="N4367">
        <v>20</v>
      </c>
      <c r="O4367" t="s">
        <v>40</v>
      </c>
      <c r="P4367" t="s">
        <v>40</v>
      </c>
      <c r="Q4367" t="s">
        <v>40</v>
      </c>
      <c r="R4367" t="s">
        <v>40</v>
      </c>
      <c r="S4367" t="s">
        <v>40</v>
      </c>
      <c r="V4367" t="s">
        <v>41</v>
      </c>
      <c r="W4367" t="s">
        <v>49</v>
      </c>
      <c r="X4367" t="str">
        <f>"0581207"</f>
        <v>0581207</v>
      </c>
      <c r="Y4367" t="s">
        <v>233</v>
      </c>
      <c r="Z4367" t="s">
        <v>223</v>
      </c>
      <c r="AA4367" t="s">
        <v>224</v>
      </c>
      <c r="AB4367" t="s">
        <v>131</v>
      </c>
      <c r="AC4367" t="s">
        <v>51</v>
      </c>
      <c r="AD4367" t="s">
        <v>45</v>
      </c>
      <c r="AE4367" s="1">
        <v>24118</v>
      </c>
      <c r="AF4367">
        <v>2</v>
      </c>
      <c r="AG4367" t="s">
        <v>224</v>
      </c>
      <c r="AH4367" s="36">
        <f t="shared" si="68"/>
        <v>53.719444444444441</v>
      </c>
      <c r="AI4367" s="41" t="s">
        <v>1781</v>
      </c>
    </row>
    <row r="4368" spans="1:35" x14ac:dyDescent="0.25">
      <c r="A4368" s="36">
        <v>99914366</v>
      </c>
      <c r="B4368" s="17" t="s">
        <v>56</v>
      </c>
      <c r="C4368" t="s">
        <v>46</v>
      </c>
      <c r="D4368" t="s">
        <v>47</v>
      </c>
      <c r="G4368" s="17" t="s">
        <v>48</v>
      </c>
      <c r="H4368" s="17">
        <v>1</v>
      </c>
      <c r="K4368" t="s">
        <v>223</v>
      </c>
      <c r="L4368" t="s">
        <v>224</v>
      </c>
      <c r="M4368" t="s">
        <v>131</v>
      </c>
      <c r="N4368">
        <v>18</v>
      </c>
      <c r="O4368" t="s">
        <v>40</v>
      </c>
      <c r="P4368" t="s">
        <v>40</v>
      </c>
      <c r="Q4368" t="s">
        <v>40</v>
      </c>
      <c r="S4368" t="s">
        <v>40</v>
      </c>
      <c r="V4368" t="s">
        <v>41</v>
      </c>
      <c r="W4368" t="s">
        <v>42</v>
      </c>
      <c r="X4368" t="str">
        <f>"0580204"</f>
        <v>0580204</v>
      </c>
      <c r="Y4368" t="s">
        <v>235</v>
      </c>
      <c r="Z4368" t="s">
        <v>223</v>
      </c>
      <c r="AA4368" t="s">
        <v>224</v>
      </c>
      <c r="AB4368" t="s">
        <v>131</v>
      </c>
      <c r="AC4368" t="s">
        <v>165</v>
      </c>
      <c r="AD4368" t="s">
        <v>45</v>
      </c>
      <c r="AE4368" s="1">
        <v>24116</v>
      </c>
      <c r="AF4368">
        <v>2</v>
      </c>
      <c r="AG4368" t="s">
        <v>224</v>
      </c>
      <c r="AH4368" s="36">
        <f t="shared" si="68"/>
        <v>53.725000000000001</v>
      </c>
      <c r="AI4368" s="41" t="s">
        <v>1781</v>
      </c>
    </row>
    <row r="4369" spans="1:35" x14ac:dyDescent="0.25">
      <c r="A4369" s="36">
        <v>99914367</v>
      </c>
      <c r="B4369" s="17" t="s">
        <v>32</v>
      </c>
      <c r="C4369" t="s">
        <v>111</v>
      </c>
      <c r="D4369" t="s">
        <v>112</v>
      </c>
      <c r="G4369" s="17" t="s">
        <v>35</v>
      </c>
      <c r="H4369" s="17">
        <v>16</v>
      </c>
      <c r="K4369" t="s">
        <v>268</v>
      </c>
      <c r="L4369" t="s">
        <v>269</v>
      </c>
      <c r="M4369" t="s">
        <v>131</v>
      </c>
      <c r="N4369">
        <v>21</v>
      </c>
      <c r="O4369" t="s">
        <v>40</v>
      </c>
      <c r="P4369" t="s">
        <v>40</v>
      </c>
      <c r="Q4369" t="s">
        <v>40</v>
      </c>
      <c r="R4369" t="s">
        <v>40</v>
      </c>
      <c r="S4369" t="s">
        <v>40</v>
      </c>
      <c r="V4369" t="s">
        <v>41</v>
      </c>
      <c r="W4369" t="s">
        <v>75</v>
      </c>
      <c r="X4369" t="str">
        <f>"7052004"</f>
        <v>7052004</v>
      </c>
      <c r="Y4369" t="s">
        <v>584</v>
      </c>
      <c r="Z4369" t="s">
        <v>268</v>
      </c>
      <c r="AA4369" t="s">
        <v>269</v>
      </c>
      <c r="AB4369" t="s">
        <v>131</v>
      </c>
      <c r="AC4369" t="s">
        <v>165</v>
      </c>
      <c r="AD4369" t="s">
        <v>45</v>
      </c>
      <c r="AE4369" s="1">
        <v>24115</v>
      </c>
      <c r="AF4369">
        <v>1</v>
      </c>
      <c r="AG4369" t="s">
        <v>269</v>
      </c>
      <c r="AH4369" s="36">
        <f t="shared" si="68"/>
        <v>53.727777777777774</v>
      </c>
      <c r="AI4369" s="41" t="s">
        <v>1781</v>
      </c>
    </row>
    <row r="4370" spans="1:35" x14ac:dyDescent="0.25">
      <c r="A4370" s="36">
        <v>99914368</v>
      </c>
      <c r="B4370" s="17" t="s">
        <v>56</v>
      </c>
      <c r="C4370" t="s">
        <v>61</v>
      </c>
      <c r="D4370" t="s">
        <v>62</v>
      </c>
      <c r="G4370" s="17" t="s">
        <v>35</v>
      </c>
      <c r="H4370" s="17">
        <v>12</v>
      </c>
      <c r="K4370" t="s">
        <v>345</v>
      </c>
      <c r="L4370" t="s">
        <v>346</v>
      </c>
      <c r="M4370" t="s">
        <v>131</v>
      </c>
      <c r="N4370">
        <v>8</v>
      </c>
      <c r="O4370" t="s">
        <v>40</v>
      </c>
      <c r="P4370" t="s">
        <v>40</v>
      </c>
      <c r="Q4370" t="s">
        <v>40</v>
      </c>
      <c r="R4370" t="s">
        <v>40</v>
      </c>
      <c r="S4370" t="s">
        <v>40</v>
      </c>
      <c r="V4370" t="s">
        <v>41</v>
      </c>
      <c r="W4370" t="s">
        <v>49</v>
      </c>
      <c r="X4370" t="str">
        <f>"0560007"</f>
        <v>0560007</v>
      </c>
      <c r="Y4370" t="s">
        <v>357</v>
      </c>
      <c r="Z4370" t="s">
        <v>345</v>
      </c>
      <c r="AA4370" t="s">
        <v>346</v>
      </c>
      <c r="AB4370" t="s">
        <v>131</v>
      </c>
      <c r="AC4370" t="s">
        <v>51</v>
      </c>
      <c r="AD4370" t="s">
        <v>45</v>
      </c>
      <c r="AE4370" s="1">
        <v>24114</v>
      </c>
      <c r="AF4370">
        <v>2</v>
      </c>
      <c r="AG4370" t="s">
        <v>346</v>
      </c>
      <c r="AH4370" s="36">
        <f t="shared" si="68"/>
        <v>53.730555555555554</v>
      </c>
      <c r="AI4370" s="41" t="s">
        <v>1781</v>
      </c>
    </row>
    <row r="4371" spans="1:35" x14ac:dyDescent="0.25">
      <c r="A4371" s="36">
        <v>99914369</v>
      </c>
      <c r="B4371" s="17" t="s">
        <v>32</v>
      </c>
      <c r="C4371" t="s">
        <v>46</v>
      </c>
      <c r="D4371" t="s">
        <v>47</v>
      </c>
      <c r="G4371" s="17" t="s">
        <v>48</v>
      </c>
      <c r="H4371" s="17">
        <v>1</v>
      </c>
      <c r="K4371" t="s">
        <v>300</v>
      </c>
      <c r="L4371" t="s">
        <v>301</v>
      </c>
      <c r="M4371" t="s">
        <v>131</v>
      </c>
      <c r="N4371">
        <v>20</v>
      </c>
      <c r="O4371" t="s">
        <v>40</v>
      </c>
      <c r="P4371" t="s">
        <v>40</v>
      </c>
      <c r="Q4371" t="s">
        <v>40</v>
      </c>
      <c r="R4371" t="s">
        <v>40</v>
      </c>
      <c r="S4371" t="s">
        <v>40</v>
      </c>
      <c r="V4371" t="s">
        <v>41</v>
      </c>
      <c r="W4371" t="s">
        <v>42</v>
      </c>
      <c r="X4371" t="str">
        <f>"0580176"</f>
        <v>0580176</v>
      </c>
      <c r="Y4371" t="s">
        <v>305</v>
      </c>
      <c r="Z4371" t="s">
        <v>300</v>
      </c>
      <c r="AA4371" t="s">
        <v>301</v>
      </c>
      <c r="AB4371" t="s">
        <v>131</v>
      </c>
      <c r="AC4371" t="s">
        <v>51</v>
      </c>
      <c r="AD4371" t="s">
        <v>45</v>
      </c>
      <c r="AE4371" s="1">
        <v>24112</v>
      </c>
      <c r="AF4371">
        <v>2</v>
      </c>
      <c r="AG4371" t="s">
        <v>301</v>
      </c>
      <c r="AH4371" s="36">
        <f t="shared" si="68"/>
        <v>53.736111111111114</v>
      </c>
      <c r="AI4371" s="41" t="s">
        <v>1781</v>
      </c>
    </row>
    <row r="4372" spans="1:35" x14ac:dyDescent="0.25">
      <c r="A4372" s="36">
        <v>99914370</v>
      </c>
      <c r="B4372" s="17" t="s">
        <v>32</v>
      </c>
      <c r="C4372" t="s">
        <v>145</v>
      </c>
      <c r="D4372" t="s">
        <v>146</v>
      </c>
      <c r="G4372" s="17" t="s">
        <v>48</v>
      </c>
      <c r="H4372" s="17">
        <v>9</v>
      </c>
      <c r="K4372" t="s">
        <v>1268</v>
      </c>
      <c r="L4372" t="s">
        <v>1269</v>
      </c>
      <c r="M4372" t="s">
        <v>1270</v>
      </c>
      <c r="N4372">
        <v>20</v>
      </c>
      <c r="O4372" t="s">
        <v>40</v>
      </c>
      <c r="P4372" t="s">
        <v>40</v>
      </c>
      <c r="Q4372" t="s">
        <v>40</v>
      </c>
      <c r="R4372" t="s">
        <v>40</v>
      </c>
      <c r="S4372" t="s">
        <v>40</v>
      </c>
      <c r="U4372" s="1">
        <v>43344</v>
      </c>
      <c r="V4372" t="s">
        <v>41</v>
      </c>
      <c r="W4372" t="s">
        <v>42</v>
      </c>
      <c r="X4372" t="str">
        <f>"1980060"</f>
        <v>1980060</v>
      </c>
      <c r="Y4372" t="s">
        <v>1277</v>
      </c>
      <c r="Z4372" t="s">
        <v>1268</v>
      </c>
      <c r="AA4372" t="s">
        <v>1269</v>
      </c>
      <c r="AB4372" t="s">
        <v>1270</v>
      </c>
      <c r="AC4372" t="s">
        <v>51</v>
      </c>
      <c r="AD4372" t="s">
        <v>45</v>
      </c>
      <c r="AE4372" s="1">
        <v>24110</v>
      </c>
      <c r="AF4372">
        <v>2</v>
      </c>
      <c r="AG4372" t="s">
        <v>1269</v>
      </c>
      <c r="AH4372" s="36">
        <f t="shared" si="68"/>
        <v>53.741666666666667</v>
      </c>
      <c r="AI4372" s="41" t="s">
        <v>1781</v>
      </c>
    </row>
    <row r="4373" spans="1:35" x14ac:dyDescent="0.25">
      <c r="A4373" s="36">
        <v>99914371</v>
      </c>
      <c r="B4373" s="17" t="s">
        <v>32</v>
      </c>
      <c r="C4373" t="s">
        <v>71</v>
      </c>
      <c r="D4373" t="s">
        <v>72</v>
      </c>
      <c r="G4373" s="17" t="s">
        <v>35</v>
      </c>
      <c r="H4373" s="17">
        <v>1</v>
      </c>
      <c r="I4373">
        <v>0</v>
      </c>
      <c r="J4373" s="1">
        <v>43344</v>
      </c>
      <c r="K4373" t="s">
        <v>223</v>
      </c>
      <c r="L4373" t="s">
        <v>224</v>
      </c>
      <c r="M4373" t="s">
        <v>131</v>
      </c>
      <c r="N4373">
        <v>23</v>
      </c>
      <c r="O4373" t="s">
        <v>40</v>
      </c>
      <c r="P4373" t="s">
        <v>40</v>
      </c>
      <c r="Q4373" t="s">
        <v>40</v>
      </c>
      <c r="R4373" t="s">
        <v>40</v>
      </c>
      <c r="S4373" t="s">
        <v>40</v>
      </c>
      <c r="U4373" s="1">
        <v>43344</v>
      </c>
      <c r="V4373" t="s">
        <v>41</v>
      </c>
      <c r="W4373" t="s">
        <v>49</v>
      </c>
      <c r="X4373" t="str">
        <f>"0581207"</f>
        <v>0581207</v>
      </c>
      <c r="Y4373" t="s">
        <v>233</v>
      </c>
      <c r="Z4373" t="s">
        <v>223</v>
      </c>
      <c r="AA4373" t="s">
        <v>224</v>
      </c>
      <c r="AB4373" t="s">
        <v>131</v>
      </c>
      <c r="AC4373" t="s">
        <v>44</v>
      </c>
      <c r="AD4373" t="s">
        <v>45</v>
      </c>
      <c r="AE4373" s="1">
        <v>24108</v>
      </c>
      <c r="AF4373">
        <v>2</v>
      </c>
      <c r="AG4373" t="s">
        <v>224</v>
      </c>
      <c r="AH4373" s="36">
        <f t="shared" si="68"/>
        <v>53.74722222222222</v>
      </c>
      <c r="AI4373" s="41" t="s">
        <v>1781</v>
      </c>
    </row>
    <row r="4374" spans="1:35" x14ac:dyDescent="0.25">
      <c r="A4374" s="36">
        <v>99914372</v>
      </c>
      <c r="B4374" s="17" t="s">
        <v>32</v>
      </c>
      <c r="C4374" t="s">
        <v>141</v>
      </c>
      <c r="D4374" t="s">
        <v>142</v>
      </c>
      <c r="G4374" s="17" t="s">
        <v>48</v>
      </c>
      <c r="H4374" s="17">
        <v>1</v>
      </c>
      <c r="K4374" t="s">
        <v>223</v>
      </c>
      <c r="L4374" t="s">
        <v>224</v>
      </c>
      <c r="M4374" t="s">
        <v>131</v>
      </c>
      <c r="N4374">
        <v>21</v>
      </c>
      <c r="O4374" t="s">
        <v>40</v>
      </c>
      <c r="P4374" t="s">
        <v>40</v>
      </c>
      <c r="Q4374" t="s">
        <v>40</v>
      </c>
      <c r="R4374" t="s">
        <v>40</v>
      </c>
      <c r="S4374" t="s">
        <v>40</v>
      </c>
      <c r="V4374" t="s">
        <v>41</v>
      </c>
      <c r="W4374" t="s">
        <v>49</v>
      </c>
      <c r="X4374" t="str">
        <f>"0581202"</f>
        <v>0581202</v>
      </c>
      <c r="Y4374" t="s">
        <v>248</v>
      </c>
      <c r="Z4374" t="s">
        <v>223</v>
      </c>
      <c r="AA4374" t="s">
        <v>224</v>
      </c>
      <c r="AB4374" t="s">
        <v>131</v>
      </c>
      <c r="AC4374" t="s">
        <v>51</v>
      </c>
      <c r="AD4374" t="s">
        <v>45</v>
      </c>
      <c r="AE4374" s="1">
        <v>24108</v>
      </c>
      <c r="AF4374">
        <v>2</v>
      </c>
      <c r="AG4374" t="s">
        <v>224</v>
      </c>
      <c r="AH4374" s="36">
        <f t="shared" si="68"/>
        <v>53.74722222222222</v>
      </c>
      <c r="AI4374" s="41" t="s">
        <v>1781</v>
      </c>
    </row>
    <row r="4375" spans="1:35" x14ac:dyDescent="0.25">
      <c r="A4375" s="36">
        <v>99914373</v>
      </c>
      <c r="B4375" s="17" t="s">
        <v>56</v>
      </c>
      <c r="C4375" t="s">
        <v>52</v>
      </c>
      <c r="D4375" t="s">
        <v>53</v>
      </c>
      <c r="G4375" s="17" t="s">
        <v>35</v>
      </c>
      <c r="H4375" s="17">
        <v>1</v>
      </c>
      <c r="I4375" t="s">
        <v>348</v>
      </c>
      <c r="J4375" s="1">
        <v>43344</v>
      </c>
      <c r="K4375" t="s">
        <v>345</v>
      </c>
      <c r="L4375" t="s">
        <v>346</v>
      </c>
      <c r="M4375" t="s">
        <v>131</v>
      </c>
      <c r="N4375">
        <v>18</v>
      </c>
      <c r="O4375" t="s">
        <v>40</v>
      </c>
      <c r="P4375" t="s">
        <v>40</v>
      </c>
      <c r="Q4375" t="s">
        <v>40</v>
      </c>
      <c r="R4375" t="s">
        <v>40</v>
      </c>
      <c r="S4375" t="s">
        <v>40</v>
      </c>
      <c r="U4375" s="1">
        <v>43344</v>
      </c>
      <c r="V4375" t="s">
        <v>41</v>
      </c>
      <c r="W4375" t="s">
        <v>42</v>
      </c>
      <c r="X4375" t="str">
        <f>"0580155"</f>
        <v>0580155</v>
      </c>
      <c r="Y4375" t="s">
        <v>365</v>
      </c>
      <c r="Z4375" t="s">
        <v>345</v>
      </c>
      <c r="AA4375" t="s">
        <v>346</v>
      </c>
      <c r="AB4375" t="s">
        <v>131</v>
      </c>
      <c r="AC4375" t="s">
        <v>51</v>
      </c>
      <c r="AD4375" t="s">
        <v>45</v>
      </c>
      <c r="AE4375" s="1">
        <v>24108</v>
      </c>
      <c r="AF4375">
        <v>2</v>
      </c>
      <c r="AG4375" t="s">
        <v>346</v>
      </c>
      <c r="AH4375" s="36">
        <f t="shared" si="68"/>
        <v>53.74722222222222</v>
      </c>
      <c r="AI4375" s="41" t="s">
        <v>1781</v>
      </c>
    </row>
    <row r="4376" spans="1:35" x14ac:dyDescent="0.25">
      <c r="A4376" s="36">
        <v>99914374</v>
      </c>
      <c r="B4376" s="17" t="s">
        <v>32</v>
      </c>
      <c r="C4376" t="s">
        <v>139</v>
      </c>
      <c r="D4376" t="s">
        <v>140</v>
      </c>
      <c r="G4376" s="17" t="s">
        <v>35</v>
      </c>
      <c r="H4376" s="17">
        <v>1</v>
      </c>
      <c r="K4376" t="s">
        <v>154</v>
      </c>
      <c r="L4376" t="s">
        <v>155</v>
      </c>
      <c r="M4376" t="s">
        <v>131</v>
      </c>
      <c r="N4376">
        <v>23</v>
      </c>
      <c r="O4376" t="s">
        <v>40</v>
      </c>
      <c r="P4376" t="s">
        <v>40</v>
      </c>
      <c r="Q4376" t="s">
        <v>40</v>
      </c>
      <c r="R4376" t="s">
        <v>40</v>
      </c>
      <c r="S4376" t="s">
        <v>40</v>
      </c>
      <c r="V4376" t="s">
        <v>41</v>
      </c>
      <c r="W4376" t="s">
        <v>75</v>
      </c>
      <c r="X4376" t="str">
        <f>"7051014"</f>
        <v>7051014</v>
      </c>
      <c r="Y4376" t="s">
        <v>398</v>
      </c>
      <c r="Z4376" t="s">
        <v>154</v>
      </c>
      <c r="AA4376" t="s">
        <v>155</v>
      </c>
      <c r="AB4376" t="s">
        <v>131</v>
      </c>
      <c r="AC4376" t="s">
        <v>165</v>
      </c>
      <c r="AD4376" t="s">
        <v>45</v>
      </c>
      <c r="AE4376" s="1">
        <v>24108</v>
      </c>
      <c r="AF4376">
        <v>1</v>
      </c>
      <c r="AG4376" t="s">
        <v>155</v>
      </c>
      <c r="AH4376" s="36">
        <f t="shared" si="68"/>
        <v>53.74722222222222</v>
      </c>
      <c r="AI4376" s="41" t="s">
        <v>1781</v>
      </c>
    </row>
    <row r="4377" spans="1:35" x14ac:dyDescent="0.25">
      <c r="A4377" s="36">
        <v>99914375</v>
      </c>
      <c r="B4377" s="17" t="s">
        <v>32</v>
      </c>
      <c r="C4377" t="s">
        <v>90</v>
      </c>
      <c r="D4377" t="s">
        <v>91</v>
      </c>
      <c r="G4377" s="17" t="s">
        <v>48</v>
      </c>
      <c r="H4377" s="17">
        <v>1</v>
      </c>
      <c r="I4377">
        <v>176</v>
      </c>
      <c r="J4377" s="1">
        <v>36403</v>
      </c>
      <c r="K4377" t="s">
        <v>431</v>
      </c>
      <c r="L4377" t="s">
        <v>196</v>
      </c>
      <c r="M4377" t="s">
        <v>131</v>
      </c>
      <c r="N4377">
        <v>20</v>
      </c>
      <c r="O4377" t="s">
        <v>40</v>
      </c>
      <c r="P4377" t="s">
        <v>40</v>
      </c>
      <c r="Q4377" t="s">
        <v>40</v>
      </c>
      <c r="R4377" t="s">
        <v>40</v>
      </c>
      <c r="S4377" t="s">
        <v>40</v>
      </c>
      <c r="U4377" s="1">
        <v>36403</v>
      </c>
      <c r="V4377" t="s">
        <v>41</v>
      </c>
      <c r="W4377" t="s">
        <v>95</v>
      </c>
      <c r="X4377" t="str">
        <f>"7521049"</f>
        <v>7521049</v>
      </c>
      <c r="Y4377" t="s">
        <v>517</v>
      </c>
      <c r="Z4377" t="s">
        <v>431</v>
      </c>
      <c r="AA4377" t="s">
        <v>196</v>
      </c>
      <c r="AB4377" t="s">
        <v>131</v>
      </c>
      <c r="AC4377" t="s">
        <v>51</v>
      </c>
      <c r="AD4377" t="s">
        <v>45</v>
      </c>
      <c r="AE4377" s="1">
        <v>24108</v>
      </c>
      <c r="AF4377">
        <v>1</v>
      </c>
      <c r="AG4377" t="s">
        <v>196</v>
      </c>
      <c r="AH4377" s="36">
        <f t="shared" si="68"/>
        <v>53.74722222222222</v>
      </c>
      <c r="AI4377" s="41" t="s">
        <v>1781</v>
      </c>
    </row>
    <row r="4378" spans="1:35" x14ac:dyDescent="0.25">
      <c r="A4378" s="36">
        <v>99914376</v>
      </c>
      <c r="B4378" s="17" t="s">
        <v>32</v>
      </c>
      <c r="C4378" t="s">
        <v>111</v>
      </c>
      <c r="D4378" t="s">
        <v>112</v>
      </c>
      <c r="G4378" s="17" t="s">
        <v>48</v>
      </c>
      <c r="H4378" s="17">
        <v>13</v>
      </c>
      <c r="K4378" t="s">
        <v>195</v>
      </c>
      <c r="L4378" t="s">
        <v>196</v>
      </c>
      <c r="M4378" t="s">
        <v>131</v>
      </c>
      <c r="N4378">
        <v>21</v>
      </c>
      <c r="O4378" t="s">
        <v>40</v>
      </c>
      <c r="P4378" t="s">
        <v>40</v>
      </c>
      <c r="Q4378" t="s">
        <v>40</v>
      </c>
      <c r="R4378" t="s">
        <v>40</v>
      </c>
      <c r="S4378" t="s">
        <v>40</v>
      </c>
      <c r="U4378" s="1">
        <v>36055</v>
      </c>
      <c r="V4378" t="s">
        <v>41</v>
      </c>
      <c r="W4378" t="s">
        <v>75</v>
      </c>
      <c r="X4378" t="str">
        <f>"7521044"</f>
        <v>7521044</v>
      </c>
      <c r="Y4378" t="s">
        <v>453</v>
      </c>
      <c r="Z4378" t="s">
        <v>195</v>
      </c>
      <c r="AA4378" t="s">
        <v>196</v>
      </c>
      <c r="AB4378" t="s">
        <v>131</v>
      </c>
      <c r="AC4378" t="s">
        <v>165</v>
      </c>
      <c r="AD4378" t="s">
        <v>45</v>
      </c>
      <c r="AE4378" s="1">
        <v>24108</v>
      </c>
      <c r="AF4378">
        <v>1</v>
      </c>
      <c r="AG4378" t="s">
        <v>196</v>
      </c>
      <c r="AH4378" s="36">
        <f t="shared" si="68"/>
        <v>53.74722222222222</v>
      </c>
      <c r="AI4378" s="41" t="s">
        <v>1781</v>
      </c>
    </row>
    <row r="4379" spans="1:35" x14ac:dyDescent="0.25">
      <c r="A4379" s="36">
        <v>99914377</v>
      </c>
      <c r="B4379" s="17" t="s">
        <v>32</v>
      </c>
      <c r="C4379" t="s">
        <v>90</v>
      </c>
      <c r="D4379" t="s">
        <v>91</v>
      </c>
      <c r="G4379" s="17" t="s">
        <v>35</v>
      </c>
      <c r="H4379" s="17">
        <v>1</v>
      </c>
      <c r="I4379" t="s">
        <v>286</v>
      </c>
      <c r="J4379" s="1">
        <v>43344</v>
      </c>
      <c r="K4379" t="s">
        <v>268</v>
      </c>
      <c r="L4379" t="s">
        <v>269</v>
      </c>
      <c r="M4379" t="s">
        <v>131</v>
      </c>
      <c r="N4379">
        <v>24</v>
      </c>
      <c r="O4379" t="s">
        <v>40</v>
      </c>
      <c r="P4379" t="s">
        <v>40</v>
      </c>
      <c r="Q4379" t="s">
        <v>40</v>
      </c>
      <c r="R4379" t="s">
        <v>40</v>
      </c>
      <c r="S4379" t="s">
        <v>40</v>
      </c>
      <c r="U4379" s="1">
        <v>43344</v>
      </c>
      <c r="V4379" t="s">
        <v>41</v>
      </c>
      <c r="W4379" t="s">
        <v>95</v>
      </c>
      <c r="X4379" t="str">
        <f>"7052071"</f>
        <v>7052071</v>
      </c>
      <c r="Y4379" t="s">
        <v>628</v>
      </c>
      <c r="Z4379" t="s">
        <v>268</v>
      </c>
      <c r="AA4379" t="s">
        <v>269</v>
      </c>
      <c r="AB4379" t="s">
        <v>131</v>
      </c>
      <c r="AC4379" t="s">
        <v>51</v>
      </c>
      <c r="AD4379" t="s">
        <v>45</v>
      </c>
      <c r="AE4379" s="1">
        <v>24108</v>
      </c>
      <c r="AF4379">
        <v>1</v>
      </c>
      <c r="AG4379" t="s">
        <v>269</v>
      </c>
      <c r="AH4379" s="36">
        <f t="shared" si="68"/>
        <v>53.74722222222222</v>
      </c>
      <c r="AI4379" s="41" t="s">
        <v>1781</v>
      </c>
    </row>
    <row r="4380" spans="1:35" x14ac:dyDescent="0.25">
      <c r="A4380" s="36">
        <v>99914378</v>
      </c>
      <c r="B4380" s="17" t="s">
        <v>32</v>
      </c>
      <c r="C4380" t="s">
        <v>79</v>
      </c>
      <c r="D4380" t="s">
        <v>80</v>
      </c>
      <c r="G4380" s="17" t="s">
        <v>35</v>
      </c>
      <c r="H4380" s="17">
        <v>1</v>
      </c>
      <c r="K4380" t="s">
        <v>354</v>
      </c>
      <c r="L4380" t="s">
        <v>355</v>
      </c>
      <c r="M4380" t="s">
        <v>131</v>
      </c>
      <c r="N4380">
        <v>21</v>
      </c>
      <c r="O4380" t="s">
        <v>40</v>
      </c>
      <c r="P4380" t="s">
        <v>40</v>
      </c>
      <c r="Q4380" t="s">
        <v>40</v>
      </c>
      <c r="R4380" t="s">
        <v>40</v>
      </c>
      <c r="S4380" t="s">
        <v>40</v>
      </c>
      <c r="V4380" t="s">
        <v>41</v>
      </c>
      <c r="W4380" t="s">
        <v>75</v>
      </c>
      <c r="X4380" t="str">
        <f>"7054032"</f>
        <v>7054032</v>
      </c>
      <c r="Y4380" t="s">
        <v>767</v>
      </c>
      <c r="Z4380" t="s">
        <v>354</v>
      </c>
      <c r="AA4380" t="s">
        <v>355</v>
      </c>
      <c r="AB4380" t="s">
        <v>131</v>
      </c>
      <c r="AC4380" t="s">
        <v>51</v>
      </c>
      <c r="AD4380" t="s">
        <v>45</v>
      </c>
      <c r="AE4380" s="1">
        <v>24108</v>
      </c>
      <c r="AF4380">
        <v>1</v>
      </c>
      <c r="AG4380" t="s">
        <v>355</v>
      </c>
      <c r="AH4380" s="36">
        <f t="shared" si="68"/>
        <v>53.74722222222222</v>
      </c>
      <c r="AI4380" s="41" t="s">
        <v>1781</v>
      </c>
    </row>
    <row r="4381" spans="1:35" x14ac:dyDescent="0.25">
      <c r="A4381" s="36">
        <v>99914379</v>
      </c>
      <c r="B4381" s="17" t="s">
        <v>32</v>
      </c>
      <c r="C4381" t="s">
        <v>90</v>
      </c>
      <c r="D4381" t="s">
        <v>91</v>
      </c>
      <c r="G4381" s="17" t="s">
        <v>35</v>
      </c>
      <c r="H4381" s="17">
        <v>1</v>
      </c>
      <c r="I4381">
        <v>9623</v>
      </c>
      <c r="J4381" s="1">
        <v>43344</v>
      </c>
      <c r="K4381" t="s">
        <v>1198</v>
      </c>
      <c r="L4381" t="s">
        <v>1199</v>
      </c>
      <c r="M4381" t="s">
        <v>1130</v>
      </c>
      <c r="N4381">
        <v>25</v>
      </c>
      <c r="O4381" t="s">
        <v>40</v>
      </c>
      <c r="P4381" t="s">
        <v>40</v>
      </c>
      <c r="Q4381" t="s">
        <v>40</v>
      </c>
      <c r="R4381" t="s">
        <v>40</v>
      </c>
      <c r="S4381" t="s">
        <v>40</v>
      </c>
      <c r="U4381" s="1">
        <v>43344</v>
      </c>
      <c r="V4381" t="s">
        <v>41</v>
      </c>
      <c r="W4381" t="s">
        <v>95</v>
      </c>
      <c r="X4381" t="str">
        <f>"7311029"</f>
        <v>7311029</v>
      </c>
      <c r="Y4381" t="s">
        <v>1204</v>
      </c>
      <c r="Z4381" t="s">
        <v>1198</v>
      </c>
      <c r="AA4381" t="s">
        <v>1199</v>
      </c>
      <c r="AB4381" t="s">
        <v>1130</v>
      </c>
      <c r="AC4381" t="s">
        <v>51</v>
      </c>
      <c r="AD4381" t="s">
        <v>45</v>
      </c>
      <c r="AE4381" s="1">
        <v>24108</v>
      </c>
      <c r="AF4381">
        <v>1</v>
      </c>
      <c r="AG4381" t="s">
        <v>1199</v>
      </c>
      <c r="AH4381" s="36">
        <f t="shared" si="68"/>
        <v>53.74722222222222</v>
      </c>
      <c r="AI4381" s="41" t="s">
        <v>1781</v>
      </c>
    </row>
    <row r="4382" spans="1:35" x14ac:dyDescent="0.25">
      <c r="A4382" s="36">
        <v>99914380</v>
      </c>
      <c r="B4382" s="17" t="s">
        <v>56</v>
      </c>
      <c r="C4382" t="s">
        <v>46</v>
      </c>
      <c r="D4382" t="s">
        <v>47</v>
      </c>
      <c r="G4382" s="17" t="s">
        <v>35</v>
      </c>
      <c r="H4382" s="17">
        <v>1</v>
      </c>
      <c r="I4382">
        <v>6983</v>
      </c>
      <c r="J4382" s="1">
        <v>43344</v>
      </c>
      <c r="K4382" t="s">
        <v>1306</v>
      </c>
      <c r="L4382" t="s">
        <v>1307</v>
      </c>
      <c r="M4382" t="s">
        <v>1270</v>
      </c>
      <c r="N4382">
        <v>20</v>
      </c>
      <c r="O4382" t="s">
        <v>40</v>
      </c>
      <c r="P4382" t="s">
        <v>40</v>
      </c>
      <c r="Q4382" t="s">
        <v>40</v>
      </c>
      <c r="R4382" t="s">
        <v>40</v>
      </c>
      <c r="S4382" t="s">
        <v>40</v>
      </c>
      <c r="U4382" s="1">
        <v>43344</v>
      </c>
      <c r="V4382" t="s">
        <v>41</v>
      </c>
      <c r="W4382" t="s">
        <v>42</v>
      </c>
      <c r="X4382" t="str">
        <f>"1990915"</f>
        <v>1990915</v>
      </c>
      <c r="Y4382" t="s">
        <v>1308</v>
      </c>
      <c r="Z4382" t="s">
        <v>1306</v>
      </c>
      <c r="AA4382" t="s">
        <v>1307</v>
      </c>
      <c r="AB4382" t="s">
        <v>1270</v>
      </c>
      <c r="AC4382" t="s">
        <v>51</v>
      </c>
      <c r="AD4382" t="s">
        <v>45</v>
      </c>
      <c r="AE4382" s="1">
        <v>24108</v>
      </c>
      <c r="AF4382">
        <v>2</v>
      </c>
      <c r="AG4382" t="s">
        <v>1307</v>
      </c>
      <c r="AH4382" s="36">
        <f t="shared" si="68"/>
        <v>53.74722222222222</v>
      </c>
      <c r="AI4382" s="41" t="s">
        <v>1781</v>
      </c>
    </row>
    <row r="4383" spans="1:35" x14ac:dyDescent="0.25">
      <c r="A4383" s="36">
        <v>99914381</v>
      </c>
      <c r="B4383" s="17" t="s">
        <v>32</v>
      </c>
      <c r="C4383" t="s">
        <v>139</v>
      </c>
      <c r="D4383" t="s">
        <v>140</v>
      </c>
      <c r="G4383" s="17" t="s">
        <v>48</v>
      </c>
      <c r="H4383" s="17">
        <v>1</v>
      </c>
      <c r="K4383" t="s">
        <v>345</v>
      </c>
      <c r="L4383" t="s">
        <v>346</v>
      </c>
      <c r="M4383" t="s">
        <v>131</v>
      </c>
      <c r="N4383">
        <v>18</v>
      </c>
      <c r="O4383" t="s">
        <v>40</v>
      </c>
      <c r="P4383" t="s">
        <v>40</v>
      </c>
      <c r="Q4383" t="s">
        <v>40</v>
      </c>
      <c r="R4383" t="s">
        <v>40</v>
      </c>
      <c r="S4383" t="s">
        <v>40</v>
      </c>
      <c r="V4383" t="s">
        <v>41</v>
      </c>
      <c r="W4383" t="s">
        <v>49</v>
      </c>
      <c r="X4383" t="str">
        <f>"0591906"</f>
        <v>0591906</v>
      </c>
      <c r="Y4383" t="s">
        <v>350</v>
      </c>
      <c r="Z4383" t="s">
        <v>345</v>
      </c>
      <c r="AA4383" t="s">
        <v>346</v>
      </c>
      <c r="AB4383" t="s">
        <v>131</v>
      </c>
      <c r="AC4383" t="s">
        <v>51</v>
      </c>
      <c r="AD4383" t="s">
        <v>45</v>
      </c>
      <c r="AE4383" s="1">
        <v>24101</v>
      </c>
      <c r="AF4383">
        <v>2</v>
      </c>
      <c r="AG4383" t="s">
        <v>346</v>
      </c>
      <c r="AH4383" s="36">
        <f t="shared" si="68"/>
        <v>53.766666666666666</v>
      </c>
      <c r="AI4383" s="41" t="s">
        <v>1781</v>
      </c>
    </row>
    <row r="4384" spans="1:35" x14ac:dyDescent="0.25">
      <c r="A4384" s="36">
        <v>99914382</v>
      </c>
      <c r="B4384" s="17" t="s">
        <v>32</v>
      </c>
      <c r="C4384" t="s">
        <v>68</v>
      </c>
      <c r="D4384" t="s">
        <v>69</v>
      </c>
      <c r="G4384" s="17" t="s">
        <v>48</v>
      </c>
      <c r="H4384" s="17">
        <v>1</v>
      </c>
      <c r="K4384" t="s">
        <v>162</v>
      </c>
      <c r="L4384" t="s">
        <v>158</v>
      </c>
      <c r="M4384" t="s">
        <v>131</v>
      </c>
      <c r="N4384">
        <v>12</v>
      </c>
      <c r="O4384" t="s">
        <v>40</v>
      </c>
      <c r="P4384" t="s">
        <v>40</v>
      </c>
      <c r="Q4384" t="s">
        <v>40</v>
      </c>
      <c r="S4384" t="s">
        <v>40</v>
      </c>
      <c r="V4384" t="s">
        <v>41</v>
      </c>
      <c r="W4384" t="s">
        <v>42</v>
      </c>
      <c r="X4384" t="str">
        <f>"0580330"</f>
        <v>0580330</v>
      </c>
      <c r="Y4384" t="s">
        <v>176</v>
      </c>
      <c r="Z4384" t="s">
        <v>162</v>
      </c>
      <c r="AA4384" t="s">
        <v>158</v>
      </c>
      <c r="AB4384" t="s">
        <v>131</v>
      </c>
      <c r="AC4384" t="s">
        <v>51</v>
      </c>
      <c r="AD4384" t="s">
        <v>45</v>
      </c>
      <c r="AE4384" s="1">
        <v>24092</v>
      </c>
      <c r="AF4384">
        <v>2</v>
      </c>
      <c r="AG4384" t="s">
        <v>158</v>
      </c>
      <c r="AH4384" s="36">
        <f t="shared" si="68"/>
        <v>53.791666666666664</v>
      </c>
      <c r="AI4384" s="41" t="s">
        <v>1781</v>
      </c>
    </row>
    <row r="4385" spans="1:35" x14ac:dyDescent="0.25">
      <c r="A4385" s="36">
        <v>99914383</v>
      </c>
      <c r="B4385" s="17" t="s">
        <v>56</v>
      </c>
      <c r="C4385" t="s">
        <v>46</v>
      </c>
      <c r="D4385" t="s">
        <v>47</v>
      </c>
      <c r="G4385" s="17" t="s">
        <v>48</v>
      </c>
      <c r="H4385" s="17">
        <v>1</v>
      </c>
      <c r="K4385" t="s">
        <v>157</v>
      </c>
      <c r="L4385" t="s">
        <v>158</v>
      </c>
      <c r="M4385" t="s">
        <v>131</v>
      </c>
      <c r="N4385">
        <v>18</v>
      </c>
      <c r="O4385" t="s">
        <v>40</v>
      </c>
      <c r="P4385" t="s">
        <v>40</v>
      </c>
      <c r="Q4385" t="s">
        <v>40</v>
      </c>
      <c r="S4385" t="s">
        <v>40</v>
      </c>
      <c r="V4385" t="s">
        <v>41</v>
      </c>
      <c r="W4385" t="s">
        <v>42</v>
      </c>
      <c r="X4385" t="str">
        <f>"0580470"</f>
        <v>0580470</v>
      </c>
      <c r="Y4385" t="s">
        <v>175</v>
      </c>
      <c r="Z4385" t="s">
        <v>157</v>
      </c>
      <c r="AA4385" t="s">
        <v>158</v>
      </c>
      <c r="AB4385" t="s">
        <v>131</v>
      </c>
      <c r="AC4385" t="s">
        <v>51</v>
      </c>
      <c r="AD4385" t="s">
        <v>45</v>
      </c>
      <c r="AE4385" s="1">
        <v>24085</v>
      </c>
      <c r="AF4385">
        <v>2</v>
      </c>
      <c r="AG4385" t="s">
        <v>158</v>
      </c>
      <c r="AH4385" s="36">
        <f t="shared" si="68"/>
        <v>53.81111111111111</v>
      </c>
      <c r="AI4385" s="41" t="s">
        <v>1781</v>
      </c>
    </row>
    <row r="4386" spans="1:35" x14ac:dyDescent="0.25">
      <c r="A4386" s="36">
        <v>99914384</v>
      </c>
      <c r="B4386" s="17" t="s">
        <v>32</v>
      </c>
      <c r="C4386" t="s">
        <v>52</v>
      </c>
      <c r="D4386" t="s">
        <v>53</v>
      </c>
      <c r="G4386" s="17" t="s">
        <v>48</v>
      </c>
      <c r="H4386" s="17">
        <v>1</v>
      </c>
      <c r="K4386" t="s">
        <v>223</v>
      </c>
      <c r="L4386" t="s">
        <v>224</v>
      </c>
      <c r="M4386" t="s">
        <v>131</v>
      </c>
      <c r="N4386">
        <v>20</v>
      </c>
      <c r="O4386" t="s">
        <v>40</v>
      </c>
      <c r="P4386" t="s">
        <v>40</v>
      </c>
      <c r="Q4386" t="s">
        <v>40</v>
      </c>
      <c r="S4386" t="s">
        <v>40</v>
      </c>
      <c r="V4386" t="s">
        <v>41</v>
      </c>
      <c r="W4386" t="s">
        <v>49</v>
      </c>
      <c r="X4386" t="str">
        <f>"0581200"</f>
        <v>0581200</v>
      </c>
      <c r="Y4386" t="s">
        <v>238</v>
      </c>
      <c r="Z4386" t="s">
        <v>223</v>
      </c>
      <c r="AA4386" t="s">
        <v>224</v>
      </c>
      <c r="AB4386" t="s">
        <v>131</v>
      </c>
      <c r="AC4386" t="s">
        <v>51</v>
      </c>
      <c r="AD4386" t="s">
        <v>45</v>
      </c>
      <c r="AE4386" s="1">
        <v>24077</v>
      </c>
      <c r="AF4386">
        <v>2</v>
      </c>
      <c r="AG4386" t="s">
        <v>224</v>
      </c>
      <c r="AH4386" s="36">
        <f t="shared" si="68"/>
        <v>53.833333333333336</v>
      </c>
      <c r="AI4386" s="41" t="s">
        <v>1781</v>
      </c>
    </row>
    <row r="4387" spans="1:35" x14ac:dyDescent="0.25">
      <c r="A4387" s="36">
        <v>99914385</v>
      </c>
      <c r="B4387" s="17" t="s">
        <v>32</v>
      </c>
      <c r="C4387" t="s">
        <v>58</v>
      </c>
      <c r="D4387" t="s">
        <v>59</v>
      </c>
      <c r="E4387" t="s">
        <v>85</v>
      </c>
      <c r="F4387" t="s">
        <v>86</v>
      </c>
      <c r="G4387" s="17" t="s">
        <v>48</v>
      </c>
      <c r="H4387" s="17">
        <v>15</v>
      </c>
      <c r="K4387" t="s">
        <v>345</v>
      </c>
      <c r="L4387" t="s">
        <v>346</v>
      </c>
      <c r="M4387" t="s">
        <v>131</v>
      </c>
      <c r="N4387">
        <v>18</v>
      </c>
      <c r="O4387" t="s">
        <v>40</v>
      </c>
      <c r="P4387" t="s">
        <v>40</v>
      </c>
      <c r="Q4387" t="s">
        <v>40</v>
      </c>
      <c r="R4387" t="s">
        <v>40</v>
      </c>
      <c r="S4387" t="s">
        <v>40</v>
      </c>
      <c r="V4387" t="s">
        <v>41</v>
      </c>
      <c r="W4387" t="s">
        <v>49</v>
      </c>
      <c r="X4387" t="str">
        <f>"0591906"</f>
        <v>0591906</v>
      </c>
      <c r="Y4387" t="s">
        <v>350</v>
      </c>
      <c r="Z4387" t="s">
        <v>345</v>
      </c>
      <c r="AA4387" t="s">
        <v>346</v>
      </c>
      <c r="AB4387" t="s">
        <v>131</v>
      </c>
      <c r="AC4387" t="s">
        <v>51</v>
      </c>
      <c r="AD4387" t="s">
        <v>45</v>
      </c>
      <c r="AE4387" s="1">
        <v>24076</v>
      </c>
      <c r="AF4387">
        <v>2</v>
      </c>
      <c r="AG4387" t="s">
        <v>346</v>
      </c>
      <c r="AH4387" s="36">
        <f t="shared" si="68"/>
        <v>53.836111111111109</v>
      </c>
      <c r="AI4387" s="41" t="s">
        <v>1781</v>
      </c>
    </row>
    <row r="4388" spans="1:35" x14ac:dyDescent="0.25">
      <c r="A4388" s="36">
        <v>99914386</v>
      </c>
      <c r="B4388" s="17" t="s">
        <v>32</v>
      </c>
      <c r="C4388" t="s">
        <v>111</v>
      </c>
      <c r="D4388" t="s">
        <v>112</v>
      </c>
      <c r="G4388" s="17" t="s">
        <v>48</v>
      </c>
      <c r="H4388" s="17">
        <v>6</v>
      </c>
      <c r="J4388" s="1">
        <v>43344</v>
      </c>
      <c r="K4388" t="s">
        <v>354</v>
      </c>
      <c r="L4388" t="s">
        <v>355</v>
      </c>
      <c r="M4388" t="s">
        <v>131</v>
      </c>
      <c r="N4388">
        <v>23</v>
      </c>
      <c r="O4388" t="s">
        <v>40</v>
      </c>
      <c r="P4388" t="s">
        <v>40</v>
      </c>
      <c r="Q4388" t="s">
        <v>40</v>
      </c>
      <c r="R4388" t="s">
        <v>40</v>
      </c>
      <c r="S4388" t="s">
        <v>40</v>
      </c>
      <c r="U4388" s="1">
        <v>43344</v>
      </c>
      <c r="V4388" t="s">
        <v>41</v>
      </c>
      <c r="W4388" t="s">
        <v>75</v>
      </c>
      <c r="X4388" t="str">
        <f>"7054002"</f>
        <v>7054002</v>
      </c>
      <c r="Y4388" t="s">
        <v>376</v>
      </c>
      <c r="Z4388" t="s">
        <v>354</v>
      </c>
      <c r="AA4388" t="s">
        <v>355</v>
      </c>
      <c r="AB4388" t="s">
        <v>131</v>
      </c>
      <c r="AC4388" t="s">
        <v>51</v>
      </c>
      <c r="AD4388" t="s">
        <v>45</v>
      </c>
      <c r="AE4388" s="1">
        <v>24073</v>
      </c>
      <c r="AF4388">
        <v>1</v>
      </c>
      <c r="AG4388" t="s">
        <v>355</v>
      </c>
      <c r="AH4388" s="36">
        <f t="shared" si="68"/>
        <v>53.844444444444441</v>
      </c>
      <c r="AI4388" s="41" t="s">
        <v>1781</v>
      </c>
    </row>
    <row r="4389" spans="1:35" x14ac:dyDescent="0.25">
      <c r="A4389" s="36">
        <v>99914387</v>
      </c>
      <c r="B4389" s="17" t="s">
        <v>56</v>
      </c>
      <c r="C4389" t="s">
        <v>68</v>
      </c>
      <c r="D4389" t="s">
        <v>69</v>
      </c>
      <c r="G4389" s="17" t="s">
        <v>35</v>
      </c>
      <c r="H4389" s="17">
        <v>1</v>
      </c>
      <c r="K4389" t="s">
        <v>223</v>
      </c>
      <c r="L4389" t="s">
        <v>224</v>
      </c>
      <c r="M4389" t="s">
        <v>131</v>
      </c>
      <c r="N4389">
        <v>20</v>
      </c>
      <c r="O4389" t="s">
        <v>40</v>
      </c>
      <c r="P4389" t="s">
        <v>40</v>
      </c>
      <c r="Q4389" t="s">
        <v>40</v>
      </c>
      <c r="S4389" t="s">
        <v>40</v>
      </c>
      <c r="V4389" t="s">
        <v>41</v>
      </c>
      <c r="W4389" t="s">
        <v>42</v>
      </c>
      <c r="X4389" t="str">
        <f>"0590903"</f>
        <v>0590903</v>
      </c>
      <c r="Y4389" t="s">
        <v>226</v>
      </c>
      <c r="Z4389" t="s">
        <v>223</v>
      </c>
      <c r="AA4389" t="s">
        <v>224</v>
      </c>
      <c r="AB4389" t="s">
        <v>131</v>
      </c>
      <c r="AC4389" t="s">
        <v>51</v>
      </c>
      <c r="AD4389" t="s">
        <v>45</v>
      </c>
      <c r="AE4389" s="1">
        <v>24068</v>
      </c>
      <c r="AF4389">
        <v>2</v>
      </c>
      <c r="AG4389" t="s">
        <v>224</v>
      </c>
      <c r="AH4389" s="36">
        <f t="shared" si="68"/>
        <v>53.858333333333334</v>
      </c>
      <c r="AI4389" s="41" t="s">
        <v>1781</v>
      </c>
    </row>
    <row r="4390" spans="1:35" x14ac:dyDescent="0.25">
      <c r="A4390" s="36">
        <v>99914388</v>
      </c>
      <c r="B4390" s="17" t="s">
        <v>56</v>
      </c>
      <c r="C4390" t="s">
        <v>52</v>
      </c>
      <c r="D4390" t="s">
        <v>53</v>
      </c>
      <c r="G4390" s="17" t="s">
        <v>48</v>
      </c>
      <c r="H4390" s="17">
        <v>1</v>
      </c>
      <c r="K4390" t="s">
        <v>345</v>
      </c>
      <c r="L4390" t="s">
        <v>346</v>
      </c>
      <c r="M4390" t="s">
        <v>131</v>
      </c>
      <c r="N4390">
        <v>18</v>
      </c>
      <c r="O4390" t="s">
        <v>40</v>
      </c>
      <c r="P4390" t="s">
        <v>40</v>
      </c>
      <c r="Q4390" t="s">
        <v>40</v>
      </c>
      <c r="R4390" t="s">
        <v>40</v>
      </c>
      <c r="S4390" t="s">
        <v>40</v>
      </c>
      <c r="V4390" t="s">
        <v>41</v>
      </c>
      <c r="W4390" t="s">
        <v>42</v>
      </c>
      <c r="X4390" t="str">
        <f>"0590906"</f>
        <v>0590906</v>
      </c>
      <c r="Y4390" t="s">
        <v>361</v>
      </c>
      <c r="Z4390" t="s">
        <v>345</v>
      </c>
      <c r="AA4390" t="s">
        <v>346</v>
      </c>
      <c r="AB4390" t="s">
        <v>131</v>
      </c>
      <c r="AC4390" t="s">
        <v>51</v>
      </c>
      <c r="AD4390" t="s">
        <v>45</v>
      </c>
      <c r="AE4390" s="1">
        <v>24066</v>
      </c>
      <c r="AF4390">
        <v>2</v>
      </c>
      <c r="AG4390" t="s">
        <v>346</v>
      </c>
      <c r="AH4390" s="36">
        <f t="shared" si="68"/>
        <v>53.863888888888887</v>
      </c>
      <c r="AI4390" s="41" t="s">
        <v>1781</v>
      </c>
    </row>
    <row r="4391" spans="1:35" x14ac:dyDescent="0.25">
      <c r="A4391" s="36">
        <v>99914389</v>
      </c>
      <c r="B4391" s="17" t="s">
        <v>32</v>
      </c>
      <c r="C4391" t="s">
        <v>46</v>
      </c>
      <c r="D4391" t="s">
        <v>47</v>
      </c>
      <c r="G4391" s="17" t="s">
        <v>48</v>
      </c>
      <c r="H4391" s="17">
        <v>1</v>
      </c>
      <c r="K4391" t="s">
        <v>223</v>
      </c>
      <c r="L4391" t="s">
        <v>224</v>
      </c>
      <c r="M4391" t="s">
        <v>131</v>
      </c>
      <c r="N4391">
        <v>19</v>
      </c>
      <c r="O4391" t="s">
        <v>40</v>
      </c>
      <c r="P4391" t="s">
        <v>40</v>
      </c>
      <c r="Q4391" t="s">
        <v>40</v>
      </c>
      <c r="R4391" t="s">
        <v>40</v>
      </c>
      <c r="S4391" t="s">
        <v>40</v>
      </c>
      <c r="V4391" t="s">
        <v>41</v>
      </c>
      <c r="W4391" t="s">
        <v>49</v>
      </c>
      <c r="X4391" t="str">
        <f>"0591910"</f>
        <v>0591910</v>
      </c>
      <c r="Y4391" t="s">
        <v>228</v>
      </c>
      <c r="Z4391" t="s">
        <v>223</v>
      </c>
      <c r="AA4391" t="s">
        <v>224</v>
      </c>
      <c r="AB4391" t="s">
        <v>131</v>
      </c>
      <c r="AC4391" t="s">
        <v>51</v>
      </c>
      <c r="AD4391" t="s">
        <v>45</v>
      </c>
      <c r="AE4391" s="1">
        <v>24065</v>
      </c>
      <c r="AF4391">
        <v>2</v>
      </c>
      <c r="AG4391" t="s">
        <v>224</v>
      </c>
      <c r="AH4391" s="36">
        <f t="shared" si="68"/>
        <v>53.866666666666667</v>
      </c>
      <c r="AI4391" s="41" t="s">
        <v>1781</v>
      </c>
    </row>
    <row r="4392" spans="1:35" x14ac:dyDescent="0.25">
      <c r="A4392" s="36">
        <v>99914390</v>
      </c>
      <c r="B4392" s="17" t="s">
        <v>32</v>
      </c>
      <c r="C4392" t="s">
        <v>85</v>
      </c>
      <c r="D4392" t="s">
        <v>86</v>
      </c>
      <c r="G4392" s="17" t="s">
        <v>48</v>
      </c>
      <c r="H4392" s="17">
        <v>1</v>
      </c>
      <c r="K4392" t="s">
        <v>162</v>
      </c>
      <c r="L4392" t="s">
        <v>158</v>
      </c>
      <c r="M4392" t="s">
        <v>131</v>
      </c>
      <c r="N4392">
        <v>18</v>
      </c>
      <c r="O4392" t="s">
        <v>40</v>
      </c>
      <c r="P4392" t="s">
        <v>40</v>
      </c>
      <c r="Q4392" t="s">
        <v>40</v>
      </c>
      <c r="S4392" t="s">
        <v>40</v>
      </c>
      <c r="V4392" t="s">
        <v>41</v>
      </c>
      <c r="W4392" t="s">
        <v>42</v>
      </c>
      <c r="X4392" t="str">
        <f>"0580320"</f>
        <v>0580320</v>
      </c>
      <c r="Y4392" t="s">
        <v>164</v>
      </c>
      <c r="Z4392" t="s">
        <v>162</v>
      </c>
      <c r="AA4392" t="s">
        <v>158</v>
      </c>
      <c r="AB4392" t="s">
        <v>131</v>
      </c>
      <c r="AC4392" t="s">
        <v>165</v>
      </c>
      <c r="AD4392" t="s">
        <v>45</v>
      </c>
      <c r="AE4392" s="1">
        <v>24063</v>
      </c>
      <c r="AF4392">
        <v>2</v>
      </c>
      <c r="AG4392" t="s">
        <v>158</v>
      </c>
      <c r="AH4392" s="36">
        <f t="shared" si="68"/>
        <v>53.87222222222222</v>
      </c>
      <c r="AI4392" s="41" t="s">
        <v>1781</v>
      </c>
    </row>
    <row r="4393" spans="1:35" x14ac:dyDescent="0.25">
      <c r="A4393" s="36">
        <v>99914391</v>
      </c>
      <c r="B4393" s="17" t="s">
        <v>56</v>
      </c>
      <c r="C4393" t="s">
        <v>33</v>
      </c>
      <c r="D4393" t="s">
        <v>34</v>
      </c>
      <c r="G4393" s="17" t="s">
        <v>35</v>
      </c>
      <c r="H4393" s="17">
        <v>1</v>
      </c>
      <c r="K4393" t="s">
        <v>223</v>
      </c>
      <c r="L4393" t="s">
        <v>224</v>
      </c>
      <c r="M4393" t="s">
        <v>131</v>
      </c>
      <c r="N4393">
        <v>5</v>
      </c>
      <c r="O4393" t="s">
        <v>40</v>
      </c>
      <c r="P4393" t="s">
        <v>40</v>
      </c>
      <c r="Q4393" t="s">
        <v>40</v>
      </c>
      <c r="S4393" t="s">
        <v>40</v>
      </c>
      <c r="V4393" t="s">
        <v>41</v>
      </c>
      <c r="W4393" t="s">
        <v>42</v>
      </c>
      <c r="X4393" t="str">
        <f>"0590903"</f>
        <v>0590903</v>
      </c>
      <c r="Y4393" t="s">
        <v>226</v>
      </c>
      <c r="Z4393" t="s">
        <v>223</v>
      </c>
      <c r="AA4393" t="s">
        <v>224</v>
      </c>
      <c r="AB4393" t="s">
        <v>131</v>
      </c>
      <c r="AC4393" t="s">
        <v>51</v>
      </c>
      <c r="AD4393" t="s">
        <v>45</v>
      </c>
      <c r="AE4393" s="1">
        <v>24055</v>
      </c>
      <c r="AF4393">
        <v>2</v>
      </c>
      <c r="AG4393" t="s">
        <v>224</v>
      </c>
      <c r="AH4393" s="36">
        <f t="shared" si="68"/>
        <v>53.894444444444446</v>
      </c>
      <c r="AI4393" s="41" t="s">
        <v>1781</v>
      </c>
    </row>
    <row r="4394" spans="1:35" x14ac:dyDescent="0.25">
      <c r="A4394" s="36">
        <v>99914392</v>
      </c>
      <c r="B4394" s="17" t="s">
        <v>56</v>
      </c>
      <c r="C4394" t="s">
        <v>46</v>
      </c>
      <c r="D4394" t="s">
        <v>47</v>
      </c>
      <c r="G4394" s="17" t="s">
        <v>35</v>
      </c>
      <c r="H4394" s="17">
        <v>1</v>
      </c>
      <c r="K4394" t="s">
        <v>223</v>
      </c>
      <c r="L4394" t="s">
        <v>224</v>
      </c>
      <c r="M4394" t="s">
        <v>131</v>
      </c>
      <c r="N4394">
        <v>18</v>
      </c>
      <c r="O4394" t="s">
        <v>40</v>
      </c>
      <c r="P4394" t="s">
        <v>40</v>
      </c>
      <c r="Q4394" t="s">
        <v>40</v>
      </c>
      <c r="R4394" t="s">
        <v>40</v>
      </c>
      <c r="S4394" t="s">
        <v>40</v>
      </c>
      <c r="V4394" t="s">
        <v>41</v>
      </c>
      <c r="W4394" t="s">
        <v>42</v>
      </c>
      <c r="X4394" t="str">
        <f>"0590901"</f>
        <v>0590901</v>
      </c>
      <c r="Y4394" t="s">
        <v>242</v>
      </c>
      <c r="Z4394" t="s">
        <v>223</v>
      </c>
      <c r="AA4394" t="s">
        <v>224</v>
      </c>
      <c r="AB4394" t="s">
        <v>131</v>
      </c>
      <c r="AC4394" t="s">
        <v>165</v>
      </c>
      <c r="AD4394" t="s">
        <v>45</v>
      </c>
      <c r="AE4394" s="1">
        <v>24054</v>
      </c>
      <c r="AF4394">
        <v>2</v>
      </c>
      <c r="AG4394" t="s">
        <v>224</v>
      </c>
      <c r="AH4394" s="36">
        <f t="shared" si="68"/>
        <v>53.897222222222226</v>
      </c>
      <c r="AI4394" s="41" t="s">
        <v>1781</v>
      </c>
    </row>
    <row r="4395" spans="1:35" x14ac:dyDescent="0.25">
      <c r="A4395" s="36">
        <v>99914393</v>
      </c>
      <c r="B4395" s="17" t="s">
        <v>32</v>
      </c>
      <c r="C4395" t="s">
        <v>111</v>
      </c>
      <c r="D4395" t="s">
        <v>112</v>
      </c>
      <c r="G4395" s="17" t="s">
        <v>35</v>
      </c>
      <c r="H4395" s="17">
        <v>16</v>
      </c>
      <c r="K4395" t="s">
        <v>268</v>
      </c>
      <c r="L4395" t="s">
        <v>269</v>
      </c>
      <c r="M4395" t="s">
        <v>131</v>
      </c>
      <c r="N4395">
        <v>21</v>
      </c>
      <c r="O4395" t="s">
        <v>40</v>
      </c>
      <c r="P4395" t="s">
        <v>40</v>
      </c>
      <c r="Q4395" t="s">
        <v>40</v>
      </c>
      <c r="R4395" t="s">
        <v>40</v>
      </c>
      <c r="S4395" t="s">
        <v>40</v>
      </c>
      <c r="V4395" t="s">
        <v>41</v>
      </c>
      <c r="W4395" t="s">
        <v>75</v>
      </c>
      <c r="X4395" t="str">
        <f>"7052006"</f>
        <v>7052006</v>
      </c>
      <c r="Y4395" t="s">
        <v>575</v>
      </c>
      <c r="Z4395" t="s">
        <v>268</v>
      </c>
      <c r="AA4395" t="s">
        <v>269</v>
      </c>
      <c r="AB4395" t="s">
        <v>131</v>
      </c>
      <c r="AC4395" t="s">
        <v>165</v>
      </c>
      <c r="AD4395" t="s">
        <v>45</v>
      </c>
      <c r="AE4395" s="1">
        <v>24041</v>
      </c>
      <c r="AF4395">
        <v>1</v>
      </c>
      <c r="AG4395" t="s">
        <v>269</v>
      </c>
      <c r="AH4395" s="36">
        <f t="shared" si="68"/>
        <v>53.93333333333333</v>
      </c>
      <c r="AI4395" s="41" t="s">
        <v>1781</v>
      </c>
    </row>
    <row r="4396" spans="1:35" x14ac:dyDescent="0.25">
      <c r="A4396" s="36">
        <v>99914394</v>
      </c>
      <c r="B4396" s="17" t="s">
        <v>32</v>
      </c>
      <c r="C4396" t="s">
        <v>111</v>
      </c>
      <c r="D4396" t="s">
        <v>112</v>
      </c>
      <c r="G4396" s="17" t="s">
        <v>35</v>
      </c>
      <c r="H4396" s="17">
        <v>7</v>
      </c>
      <c r="K4396" t="s">
        <v>268</v>
      </c>
      <c r="L4396" t="s">
        <v>269</v>
      </c>
      <c r="M4396" t="s">
        <v>131</v>
      </c>
      <c r="N4396">
        <v>23</v>
      </c>
      <c r="O4396" t="s">
        <v>40</v>
      </c>
      <c r="P4396" t="s">
        <v>40</v>
      </c>
      <c r="Q4396" t="s">
        <v>40</v>
      </c>
      <c r="R4396" t="s">
        <v>40</v>
      </c>
      <c r="S4396" t="s">
        <v>40</v>
      </c>
      <c r="V4396" t="s">
        <v>41</v>
      </c>
      <c r="W4396" t="s">
        <v>75</v>
      </c>
      <c r="X4396" t="str">
        <f>"7052004"</f>
        <v>7052004</v>
      </c>
      <c r="Y4396" t="s">
        <v>584</v>
      </c>
      <c r="Z4396" t="s">
        <v>268</v>
      </c>
      <c r="AA4396" t="s">
        <v>269</v>
      </c>
      <c r="AB4396" t="s">
        <v>131</v>
      </c>
      <c r="AC4396" t="s">
        <v>51</v>
      </c>
      <c r="AD4396" t="s">
        <v>45</v>
      </c>
      <c r="AE4396" s="1">
        <v>24041</v>
      </c>
      <c r="AF4396">
        <v>1</v>
      </c>
      <c r="AG4396" t="s">
        <v>269</v>
      </c>
      <c r="AH4396" s="36">
        <f t="shared" si="68"/>
        <v>53.93333333333333</v>
      </c>
      <c r="AI4396" s="41" t="s">
        <v>1781</v>
      </c>
    </row>
    <row r="4397" spans="1:35" x14ac:dyDescent="0.25">
      <c r="A4397" s="36">
        <v>99914395</v>
      </c>
      <c r="B4397" s="17" t="s">
        <v>32</v>
      </c>
      <c r="C4397" t="s">
        <v>64</v>
      </c>
      <c r="D4397" t="s">
        <v>65</v>
      </c>
      <c r="G4397" s="17" t="s">
        <v>48</v>
      </c>
      <c r="H4397" s="17">
        <v>1</v>
      </c>
      <c r="K4397" t="s">
        <v>162</v>
      </c>
      <c r="L4397" t="s">
        <v>158</v>
      </c>
      <c r="M4397" t="s">
        <v>131</v>
      </c>
      <c r="N4397">
        <v>6</v>
      </c>
      <c r="O4397" t="s">
        <v>40</v>
      </c>
      <c r="P4397" t="s">
        <v>40</v>
      </c>
      <c r="Q4397" t="s">
        <v>40</v>
      </c>
      <c r="S4397" t="s">
        <v>40</v>
      </c>
      <c r="V4397" t="s">
        <v>41</v>
      </c>
      <c r="W4397" t="s">
        <v>42</v>
      </c>
      <c r="X4397" t="str">
        <f>"0580320"</f>
        <v>0580320</v>
      </c>
      <c r="Y4397" t="s">
        <v>164</v>
      </c>
      <c r="Z4397" t="s">
        <v>162</v>
      </c>
      <c r="AA4397" t="s">
        <v>158</v>
      </c>
      <c r="AB4397" t="s">
        <v>131</v>
      </c>
      <c r="AC4397" t="s">
        <v>165</v>
      </c>
      <c r="AD4397" t="s">
        <v>45</v>
      </c>
      <c r="AE4397" s="1">
        <v>24037</v>
      </c>
      <c r="AF4397">
        <v>2</v>
      </c>
      <c r="AG4397" t="s">
        <v>158</v>
      </c>
      <c r="AH4397" s="36">
        <f t="shared" si="68"/>
        <v>53.944444444444443</v>
      </c>
      <c r="AI4397" s="41" t="s">
        <v>1781</v>
      </c>
    </row>
    <row r="4398" spans="1:35" x14ac:dyDescent="0.25">
      <c r="A4398" s="36">
        <v>99914396</v>
      </c>
      <c r="B4398" s="17" t="s">
        <v>32</v>
      </c>
      <c r="C4398" t="s">
        <v>111</v>
      </c>
      <c r="D4398" t="s">
        <v>112</v>
      </c>
      <c r="G4398" s="17" t="s">
        <v>48</v>
      </c>
      <c r="H4398" s="17">
        <v>15</v>
      </c>
      <c r="K4398" t="s">
        <v>195</v>
      </c>
      <c r="L4398" t="s">
        <v>196</v>
      </c>
      <c r="M4398" t="s">
        <v>131</v>
      </c>
      <c r="N4398">
        <v>21</v>
      </c>
      <c r="O4398" t="s">
        <v>40</v>
      </c>
      <c r="P4398" t="s">
        <v>40</v>
      </c>
      <c r="Q4398" t="s">
        <v>40</v>
      </c>
      <c r="R4398" t="s">
        <v>40</v>
      </c>
      <c r="S4398" t="s">
        <v>40</v>
      </c>
      <c r="U4398" s="1">
        <v>33238</v>
      </c>
      <c r="V4398" t="s">
        <v>41</v>
      </c>
      <c r="W4398" t="s">
        <v>75</v>
      </c>
      <c r="X4398" t="str">
        <f>"7521042"</f>
        <v>7521042</v>
      </c>
      <c r="Y4398" t="s">
        <v>440</v>
      </c>
      <c r="Z4398" t="s">
        <v>195</v>
      </c>
      <c r="AA4398" t="s">
        <v>196</v>
      </c>
      <c r="AB4398" t="s">
        <v>131</v>
      </c>
      <c r="AC4398" t="s">
        <v>165</v>
      </c>
      <c r="AD4398" t="s">
        <v>45</v>
      </c>
      <c r="AE4398" s="1">
        <v>24037</v>
      </c>
      <c r="AF4398">
        <v>1</v>
      </c>
      <c r="AG4398" t="s">
        <v>196</v>
      </c>
      <c r="AH4398" s="36">
        <f t="shared" si="68"/>
        <v>53.944444444444443</v>
      </c>
      <c r="AI4398" s="41" t="s">
        <v>1781</v>
      </c>
    </row>
    <row r="4399" spans="1:35" x14ac:dyDescent="0.25">
      <c r="A4399" s="36">
        <v>99914397</v>
      </c>
      <c r="B4399" s="17" t="s">
        <v>32</v>
      </c>
      <c r="C4399" t="s">
        <v>79</v>
      </c>
      <c r="D4399" t="s">
        <v>80</v>
      </c>
      <c r="G4399" s="17" t="s">
        <v>48</v>
      </c>
      <c r="H4399" s="17">
        <v>1</v>
      </c>
      <c r="K4399" t="s">
        <v>223</v>
      </c>
      <c r="L4399" t="s">
        <v>224</v>
      </c>
      <c r="M4399" t="s">
        <v>131</v>
      </c>
      <c r="N4399">
        <v>20</v>
      </c>
      <c r="O4399" t="s">
        <v>40</v>
      </c>
      <c r="P4399" t="s">
        <v>40</v>
      </c>
      <c r="Q4399" t="s">
        <v>40</v>
      </c>
      <c r="S4399" t="s">
        <v>40</v>
      </c>
      <c r="V4399" t="s">
        <v>41</v>
      </c>
      <c r="W4399" t="s">
        <v>49</v>
      </c>
      <c r="X4399" t="str">
        <f>"0581204"</f>
        <v>0581204</v>
      </c>
      <c r="Y4399" t="s">
        <v>249</v>
      </c>
      <c r="Z4399" t="s">
        <v>223</v>
      </c>
      <c r="AA4399" t="s">
        <v>224</v>
      </c>
      <c r="AB4399" t="s">
        <v>131</v>
      </c>
      <c r="AC4399" t="s">
        <v>165</v>
      </c>
      <c r="AD4399" t="s">
        <v>45</v>
      </c>
      <c r="AE4399" s="1">
        <v>24032</v>
      </c>
      <c r="AF4399">
        <v>2</v>
      </c>
      <c r="AG4399" t="s">
        <v>224</v>
      </c>
      <c r="AH4399" s="36">
        <f t="shared" si="68"/>
        <v>53.958333333333336</v>
      </c>
      <c r="AI4399" s="41" t="s">
        <v>1781</v>
      </c>
    </row>
    <row r="4400" spans="1:35" x14ac:dyDescent="0.25">
      <c r="A4400" s="36">
        <v>99914398</v>
      </c>
      <c r="B4400" s="17" t="s">
        <v>32</v>
      </c>
      <c r="C4400" t="s">
        <v>46</v>
      </c>
      <c r="D4400" t="s">
        <v>47</v>
      </c>
      <c r="G4400" s="17" t="s">
        <v>48</v>
      </c>
      <c r="H4400" s="17">
        <v>1</v>
      </c>
      <c r="K4400" t="s">
        <v>223</v>
      </c>
      <c r="L4400" t="s">
        <v>224</v>
      </c>
      <c r="M4400" t="s">
        <v>131</v>
      </c>
      <c r="N4400">
        <v>18</v>
      </c>
      <c r="O4400" t="s">
        <v>40</v>
      </c>
      <c r="P4400" t="s">
        <v>40</v>
      </c>
      <c r="Q4400" t="s">
        <v>40</v>
      </c>
      <c r="S4400" t="s">
        <v>40</v>
      </c>
      <c r="V4400" t="s">
        <v>41</v>
      </c>
      <c r="W4400" t="s">
        <v>49</v>
      </c>
      <c r="X4400" t="str">
        <f>"0581202"</f>
        <v>0581202</v>
      </c>
      <c r="Y4400" t="s">
        <v>248</v>
      </c>
      <c r="Z4400" t="s">
        <v>223</v>
      </c>
      <c r="AA4400" t="s">
        <v>224</v>
      </c>
      <c r="AB4400" t="s">
        <v>131</v>
      </c>
      <c r="AC4400" t="s">
        <v>165</v>
      </c>
      <c r="AD4400" t="s">
        <v>45</v>
      </c>
      <c r="AE4400" s="1">
        <v>24032</v>
      </c>
      <c r="AF4400">
        <v>2</v>
      </c>
      <c r="AG4400" t="s">
        <v>224</v>
      </c>
      <c r="AH4400" s="36">
        <f t="shared" si="68"/>
        <v>53.958333333333336</v>
      </c>
      <c r="AI4400" s="41" t="s">
        <v>1781</v>
      </c>
    </row>
    <row r="4401" spans="1:35" x14ac:dyDescent="0.25">
      <c r="A4401" s="36">
        <v>99914399</v>
      </c>
      <c r="B4401" s="17" t="s">
        <v>56</v>
      </c>
      <c r="C4401" t="s">
        <v>295</v>
      </c>
      <c r="D4401" t="s">
        <v>296</v>
      </c>
      <c r="G4401" s="17" t="s">
        <v>48</v>
      </c>
      <c r="H4401" s="17">
        <v>7</v>
      </c>
      <c r="I4401" t="s">
        <v>522</v>
      </c>
      <c r="J4401" s="1">
        <v>40057</v>
      </c>
      <c r="K4401" t="s">
        <v>195</v>
      </c>
      <c r="L4401" t="s">
        <v>196</v>
      </c>
      <c r="M4401" t="s">
        <v>131</v>
      </c>
      <c r="N4401">
        <v>22</v>
      </c>
      <c r="O4401" t="s">
        <v>40</v>
      </c>
      <c r="P4401" t="s">
        <v>40</v>
      </c>
      <c r="Q4401" t="s">
        <v>40</v>
      </c>
      <c r="R4401" t="s">
        <v>40</v>
      </c>
      <c r="S4401" t="s">
        <v>40</v>
      </c>
      <c r="U4401" s="1">
        <v>40057</v>
      </c>
      <c r="V4401" t="s">
        <v>41</v>
      </c>
      <c r="W4401" t="s">
        <v>75</v>
      </c>
      <c r="X4401" t="str">
        <f>"7521050"</f>
        <v>7521050</v>
      </c>
      <c r="Y4401" t="s">
        <v>194</v>
      </c>
      <c r="Z4401" t="s">
        <v>195</v>
      </c>
      <c r="AA4401" t="s">
        <v>196</v>
      </c>
      <c r="AB4401" t="s">
        <v>131</v>
      </c>
      <c r="AC4401" t="s">
        <v>51</v>
      </c>
      <c r="AD4401" t="s">
        <v>45</v>
      </c>
      <c r="AE4401" s="1">
        <v>24031</v>
      </c>
      <c r="AF4401">
        <v>1</v>
      </c>
      <c r="AG4401" t="s">
        <v>196</v>
      </c>
      <c r="AH4401" s="36">
        <f t="shared" si="68"/>
        <v>53.961111111111109</v>
      </c>
      <c r="AI4401" s="41" t="s">
        <v>1781</v>
      </c>
    </row>
    <row r="4402" spans="1:35" x14ac:dyDescent="0.25">
      <c r="A4402" s="36">
        <v>99914400</v>
      </c>
      <c r="B4402" s="17" t="s">
        <v>32</v>
      </c>
      <c r="C4402" t="s">
        <v>46</v>
      </c>
      <c r="D4402" t="s">
        <v>47</v>
      </c>
      <c r="G4402" s="17" t="s">
        <v>48</v>
      </c>
      <c r="H4402" s="17">
        <v>1</v>
      </c>
      <c r="K4402" t="s">
        <v>157</v>
      </c>
      <c r="L4402" t="s">
        <v>158</v>
      </c>
      <c r="M4402" t="s">
        <v>131</v>
      </c>
      <c r="N4402">
        <v>18</v>
      </c>
      <c r="O4402" t="s">
        <v>40</v>
      </c>
      <c r="P4402" t="s">
        <v>40</v>
      </c>
      <c r="Q4402" t="s">
        <v>40</v>
      </c>
      <c r="R4402" t="s">
        <v>40</v>
      </c>
      <c r="S4402" t="s">
        <v>40</v>
      </c>
      <c r="V4402" t="s">
        <v>41</v>
      </c>
      <c r="W4402" t="s">
        <v>49</v>
      </c>
      <c r="X4402" t="str">
        <f>"0560011"</f>
        <v>0560011</v>
      </c>
      <c r="Y4402" t="s">
        <v>185</v>
      </c>
      <c r="Z4402" t="s">
        <v>157</v>
      </c>
      <c r="AA4402" t="s">
        <v>158</v>
      </c>
      <c r="AB4402" t="s">
        <v>131</v>
      </c>
      <c r="AC4402" t="s">
        <v>51</v>
      </c>
      <c r="AD4402" t="s">
        <v>45</v>
      </c>
      <c r="AE4402" s="1">
        <v>24026</v>
      </c>
      <c r="AF4402">
        <v>2</v>
      </c>
      <c r="AG4402" t="s">
        <v>158</v>
      </c>
      <c r="AH4402" s="36">
        <f t="shared" si="68"/>
        <v>53.975000000000001</v>
      </c>
      <c r="AI4402" s="41" t="s">
        <v>1781</v>
      </c>
    </row>
    <row r="4403" spans="1:35" x14ac:dyDescent="0.25">
      <c r="A4403" s="36">
        <v>99914401</v>
      </c>
      <c r="B4403" s="17" t="s">
        <v>32</v>
      </c>
      <c r="C4403" t="s">
        <v>58</v>
      </c>
      <c r="D4403" t="s">
        <v>59</v>
      </c>
      <c r="G4403" s="17" t="s">
        <v>35</v>
      </c>
      <c r="H4403" s="17">
        <v>1</v>
      </c>
      <c r="K4403" t="s">
        <v>223</v>
      </c>
      <c r="L4403" t="s">
        <v>224</v>
      </c>
      <c r="M4403" t="s">
        <v>131</v>
      </c>
      <c r="N4403">
        <v>20</v>
      </c>
      <c r="O4403" t="s">
        <v>40</v>
      </c>
      <c r="P4403" t="s">
        <v>40</v>
      </c>
      <c r="Q4403" t="s">
        <v>40</v>
      </c>
      <c r="S4403" t="s">
        <v>40</v>
      </c>
      <c r="V4403" t="s">
        <v>41</v>
      </c>
      <c r="W4403" t="s">
        <v>49</v>
      </c>
      <c r="X4403" t="str">
        <f>"0581207"</f>
        <v>0581207</v>
      </c>
      <c r="Y4403" t="s">
        <v>233</v>
      </c>
      <c r="Z4403" t="s">
        <v>223</v>
      </c>
      <c r="AA4403" t="s">
        <v>224</v>
      </c>
      <c r="AB4403" t="s">
        <v>131</v>
      </c>
      <c r="AC4403" t="s">
        <v>165</v>
      </c>
      <c r="AD4403" t="s">
        <v>45</v>
      </c>
      <c r="AE4403" s="1">
        <v>24026</v>
      </c>
      <c r="AF4403">
        <v>2</v>
      </c>
      <c r="AG4403" t="s">
        <v>224</v>
      </c>
      <c r="AH4403" s="36">
        <f t="shared" si="68"/>
        <v>53.975000000000001</v>
      </c>
      <c r="AI4403" s="41" t="s">
        <v>1781</v>
      </c>
    </row>
    <row r="4404" spans="1:35" x14ac:dyDescent="0.25">
      <c r="A4404" s="36">
        <v>99914402</v>
      </c>
      <c r="B4404" s="17" t="s">
        <v>56</v>
      </c>
      <c r="C4404" t="s">
        <v>58</v>
      </c>
      <c r="D4404" t="s">
        <v>59</v>
      </c>
      <c r="G4404" s="17" t="s">
        <v>48</v>
      </c>
      <c r="H4404" s="17">
        <v>1</v>
      </c>
      <c r="K4404" t="s">
        <v>162</v>
      </c>
      <c r="L4404" t="s">
        <v>158</v>
      </c>
      <c r="M4404" t="s">
        <v>131</v>
      </c>
      <c r="N4404">
        <v>19</v>
      </c>
      <c r="O4404" t="s">
        <v>40</v>
      </c>
      <c r="P4404" t="s">
        <v>40</v>
      </c>
      <c r="Q4404" t="s">
        <v>40</v>
      </c>
      <c r="S4404" t="s">
        <v>40</v>
      </c>
      <c r="V4404" t="s">
        <v>41</v>
      </c>
      <c r="W4404" t="s">
        <v>42</v>
      </c>
      <c r="X4404" t="str">
        <f>"0580330"</f>
        <v>0580330</v>
      </c>
      <c r="Y4404" t="s">
        <v>176</v>
      </c>
      <c r="Z4404" t="s">
        <v>162</v>
      </c>
      <c r="AA4404" t="s">
        <v>158</v>
      </c>
      <c r="AB4404" t="s">
        <v>131</v>
      </c>
      <c r="AC4404" t="s">
        <v>51</v>
      </c>
      <c r="AD4404" t="s">
        <v>45</v>
      </c>
      <c r="AE4404" s="1">
        <v>24024</v>
      </c>
      <c r="AF4404">
        <v>2</v>
      </c>
      <c r="AG4404" t="s">
        <v>158</v>
      </c>
      <c r="AH4404" s="36">
        <f t="shared" si="68"/>
        <v>53.980555555555554</v>
      </c>
      <c r="AI4404" s="41" t="s">
        <v>1781</v>
      </c>
    </row>
    <row r="4405" spans="1:35" x14ac:dyDescent="0.25">
      <c r="A4405" s="36">
        <v>99914403</v>
      </c>
      <c r="B4405" s="17" t="s">
        <v>32</v>
      </c>
      <c r="C4405" t="s">
        <v>139</v>
      </c>
      <c r="D4405" t="s">
        <v>140</v>
      </c>
      <c r="G4405" s="17" t="s">
        <v>48</v>
      </c>
      <c r="H4405" s="17">
        <v>1</v>
      </c>
      <c r="K4405" t="s">
        <v>129</v>
      </c>
      <c r="L4405" t="s">
        <v>130</v>
      </c>
      <c r="M4405" t="s">
        <v>131</v>
      </c>
      <c r="N4405">
        <v>18</v>
      </c>
      <c r="O4405" t="s">
        <v>40</v>
      </c>
      <c r="P4405" t="s">
        <v>40</v>
      </c>
      <c r="Q4405" t="s">
        <v>40</v>
      </c>
      <c r="R4405" t="s">
        <v>40</v>
      </c>
      <c r="S4405" t="s">
        <v>40</v>
      </c>
      <c r="V4405" t="s">
        <v>41</v>
      </c>
      <c r="W4405" t="s">
        <v>49</v>
      </c>
      <c r="X4405" t="str">
        <f>"0591905"</f>
        <v>0591905</v>
      </c>
      <c r="Y4405" t="s">
        <v>135</v>
      </c>
      <c r="Z4405" t="s">
        <v>129</v>
      </c>
      <c r="AA4405" t="s">
        <v>130</v>
      </c>
      <c r="AB4405" t="s">
        <v>131</v>
      </c>
      <c r="AC4405" t="s">
        <v>51</v>
      </c>
      <c r="AD4405" t="s">
        <v>45</v>
      </c>
      <c r="AE4405" s="1">
        <v>24021</v>
      </c>
      <c r="AF4405">
        <v>2</v>
      </c>
      <c r="AG4405" t="s">
        <v>130</v>
      </c>
      <c r="AH4405" s="36">
        <f t="shared" si="68"/>
        <v>53.988888888888887</v>
      </c>
      <c r="AI4405" s="41" t="s">
        <v>1781</v>
      </c>
    </row>
    <row r="4406" spans="1:35" x14ac:dyDescent="0.25">
      <c r="A4406" s="36">
        <v>99914404</v>
      </c>
      <c r="B4406" s="17" t="s">
        <v>32</v>
      </c>
      <c r="C4406" t="s">
        <v>46</v>
      </c>
      <c r="D4406" t="s">
        <v>47</v>
      </c>
      <c r="G4406" s="17" t="s">
        <v>48</v>
      </c>
      <c r="H4406" s="17">
        <v>1</v>
      </c>
      <c r="K4406" t="s">
        <v>345</v>
      </c>
      <c r="L4406" t="s">
        <v>346</v>
      </c>
      <c r="M4406" t="s">
        <v>131</v>
      </c>
      <c r="N4406">
        <v>18</v>
      </c>
      <c r="O4406" t="s">
        <v>40</v>
      </c>
      <c r="P4406" t="s">
        <v>40</v>
      </c>
      <c r="Q4406" t="s">
        <v>40</v>
      </c>
      <c r="S4406" t="s">
        <v>40</v>
      </c>
      <c r="V4406" t="s">
        <v>41</v>
      </c>
      <c r="W4406" t="s">
        <v>42</v>
      </c>
      <c r="X4406" t="str">
        <f>"0590906"</f>
        <v>0590906</v>
      </c>
      <c r="Y4406" t="s">
        <v>361</v>
      </c>
      <c r="Z4406" t="s">
        <v>345</v>
      </c>
      <c r="AA4406" t="s">
        <v>346</v>
      </c>
      <c r="AB4406" t="s">
        <v>131</v>
      </c>
      <c r="AC4406" t="s">
        <v>51</v>
      </c>
      <c r="AD4406" t="s">
        <v>45</v>
      </c>
      <c r="AE4406" s="1">
        <v>24020</v>
      </c>
      <c r="AF4406">
        <v>2</v>
      </c>
      <c r="AG4406" t="s">
        <v>346</v>
      </c>
      <c r="AH4406" s="36">
        <f t="shared" si="68"/>
        <v>53.991666666666667</v>
      </c>
      <c r="AI4406" s="41" t="s">
        <v>1781</v>
      </c>
    </row>
    <row r="4407" spans="1:35" x14ac:dyDescent="0.25">
      <c r="A4407" s="36">
        <v>99914405</v>
      </c>
      <c r="B4407" s="17" t="s">
        <v>32</v>
      </c>
      <c r="C4407" t="s">
        <v>90</v>
      </c>
      <c r="D4407" t="s">
        <v>91</v>
      </c>
      <c r="G4407" s="17" t="s">
        <v>35</v>
      </c>
      <c r="H4407" s="17">
        <v>1</v>
      </c>
      <c r="I4407">
        <v>9956</v>
      </c>
      <c r="J4407" s="1">
        <v>43344</v>
      </c>
      <c r="K4407" t="s">
        <v>1426</v>
      </c>
      <c r="L4407" t="s">
        <v>1427</v>
      </c>
      <c r="M4407" t="s">
        <v>1270</v>
      </c>
      <c r="N4407">
        <v>25</v>
      </c>
      <c r="O4407" t="s">
        <v>40</v>
      </c>
      <c r="P4407" t="s">
        <v>40</v>
      </c>
      <c r="Q4407" t="s">
        <v>40</v>
      </c>
      <c r="R4407" t="s">
        <v>40</v>
      </c>
      <c r="S4407" t="s">
        <v>40</v>
      </c>
      <c r="U4407" s="1">
        <v>43344</v>
      </c>
      <c r="V4407" t="s">
        <v>41</v>
      </c>
      <c r="W4407" t="s">
        <v>95</v>
      </c>
      <c r="X4407" t="str">
        <f>"7192041"</f>
        <v>7192041</v>
      </c>
      <c r="Y4407" t="s">
        <v>1439</v>
      </c>
      <c r="Z4407" t="s">
        <v>1426</v>
      </c>
      <c r="AA4407" t="s">
        <v>1427</v>
      </c>
      <c r="AB4407" t="s">
        <v>1270</v>
      </c>
      <c r="AC4407" t="s">
        <v>51</v>
      </c>
      <c r="AD4407" t="s">
        <v>45</v>
      </c>
      <c r="AE4407" s="1">
        <v>24020</v>
      </c>
      <c r="AF4407">
        <v>1</v>
      </c>
      <c r="AG4407" t="s">
        <v>1427</v>
      </c>
      <c r="AH4407" s="36">
        <f t="shared" si="68"/>
        <v>53.991666666666667</v>
      </c>
      <c r="AI4407" s="41" t="s">
        <v>1781</v>
      </c>
    </row>
    <row r="4408" spans="1:35" x14ac:dyDescent="0.25">
      <c r="A4408" s="36">
        <v>99914406</v>
      </c>
      <c r="B4408" s="17" t="s">
        <v>32</v>
      </c>
      <c r="C4408" t="s">
        <v>46</v>
      </c>
      <c r="D4408" t="s">
        <v>47</v>
      </c>
      <c r="G4408" s="17" t="s">
        <v>35</v>
      </c>
      <c r="H4408" s="17">
        <v>1</v>
      </c>
      <c r="K4408" t="s">
        <v>223</v>
      </c>
      <c r="L4408" t="s">
        <v>224</v>
      </c>
      <c r="M4408" t="s">
        <v>131</v>
      </c>
      <c r="N4408">
        <v>21</v>
      </c>
      <c r="O4408" t="s">
        <v>40</v>
      </c>
      <c r="P4408" t="s">
        <v>40</v>
      </c>
      <c r="Q4408" t="s">
        <v>40</v>
      </c>
      <c r="S4408" t="s">
        <v>40</v>
      </c>
      <c r="V4408" t="s">
        <v>41</v>
      </c>
      <c r="W4408" t="s">
        <v>42</v>
      </c>
      <c r="X4408" t="str">
        <f>"0580345"</f>
        <v>0580345</v>
      </c>
      <c r="Y4408" t="s">
        <v>261</v>
      </c>
      <c r="Z4408" t="s">
        <v>223</v>
      </c>
      <c r="AA4408" t="s">
        <v>224</v>
      </c>
      <c r="AB4408" t="s">
        <v>131</v>
      </c>
      <c r="AC4408" t="s">
        <v>51</v>
      </c>
      <c r="AD4408" t="s">
        <v>45</v>
      </c>
      <c r="AE4408" s="1">
        <v>24019</v>
      </c>
      <c r="AF4408">
        <v>2</v>
      </c>
      <c r="AG4408" t="s">
        <v>224</v>
      </c>
      <c r="AH4408" s="36">
        <f t="shared" si="68"/>
        <v>53.994444444444447</v>
      </c>
      <c r="AI4408" s="41" t="s">
        <v>1781</v>
      </c>
    </row>
    <row r="4409" spans="1:35" x14ac:dyDescent="0.25">
      <c r="A4409" s="36">
        <v>99914407</v>
      </c>
      <c r="B4409" s="17" t="s">
        <v>56</v>
      </c>
      <c r="C4409" t="s">
        <v>68</v>
      </c>
      <c r="D4409" t="s">
        <v>69</v>
      </c>
      <c r="G4409" s="17" t="s">
        <v>48</v>
      </c>
      <c r="H4409" s="17">
        <v>1</v>
      </c>
      <c r="K4409" t="s">
        <v>223</v>
      </c>
      <c r="L4409" t="s">
        <v>224</v>
      </c>
      <c r="M4409" t="s">
        <v>131</v>
      </c>
      <c r="N4409">
        <v>21</v>
      </c>
      <c r="O4409" t="s">
        <v>40</v>
      </c>
      <c r="P4409" t="s">
        <v>40</v>
      </c>
      <c r="Q4409" t="s">
        <v>40</v>
      </c>
      <c r="R4409" t="s">
        <v>40</v>
      </c>
      <c r="S4409" t="s">
        <v>40</v>
      </c>
      <c r="V4409" t="s">
        <v>41</v>
      </c>
      <c r="W4409" t="s">
        <v>42</v>
      </c>
      <c r="X4409" t="str">
        <f>"0580200"</f>
        <v>0580200</v>
      </c>
      <c r="Y4409" t="s">
        <v>245</v>
      </c>
      <c r="Z4409" t="s">
        <v>223</v>
      </c>
      <c r="AA4409" t="s">
        <v>224</v>
      </c>
      <c r="AB4409" t="s">
        <v>131</v>
      </c>
      <c r="AC4409" t="s">
        <v>51</v>
      </c>
      <c r="AD4409" t="s">
        <v>45</v>
      </c>
      <c r="AE4409" s="1">
        <v>24019</v>
      </c>
      <c r="AF4409">
        <v>2</v>
      </c>
      <c r="AG4409" t="s">
        <v>224</v>
      </c>
      <c r="AH4409" s="36">
        <f t="shared" si="68"/>
        <v>53.994444444444447</v>
      </c>
      <c r="AI4409" s="41" t="s">
        <v>1781</v>
      </c>
    </row>
    <row r="4410" spans="1:35" x14ac:dyDescent="0.25">
      <c r="A4410" s="36">
        <v>99914408</v>
      </c>
      <c r="B4410" s="17" t="s">
        <v>56</v>
      </c>
      <c r="C4410" t="s">
        <v>145</v>
      </c>
      <c r="D4410" t="s">
        <v>146</v>
      </c>
      <c r="G4410" s="17" t="s">
        <v>48</v>
      </c>
      <c r="H4410" s="17">
        <v>1</v>
      </c>
      <c r="K4410" t="s">
        <v>380</v>
      </c>
      <c r="L4410" t="s">
        <v>381</v>
      </c>
      <c r="M4410" t="s">
        <v>131</v>
      </c>
      <c r="N4410">
        <v>21</v>
      </c>
      <c r="O4410" t="s">
        <v>40</v>
      </c>
      <c r="P4410" t="s">
        <v>40</v>
      </c>
      <c r="Q4410" t="s">
        <v>40</v>
      </c>
      <c r="R4410" t="s">
        <v>40</v>
      </c>
      <c r="S4410" t="s">
        <v>40</v>
      </c>
      <c r="V4410" t="s">
        <v>41</v>
      </c>
      <c r="W4410" t="s">
        <v>42</v>
      </c>
      <c r="X4410" t="str">
        <f>"0561010"</f>
        <v>0561010</v>
      </c>
      <c r="Y4410" t="s">
        <v>387</v>
      </c>
      <c r="Z4410" t="s">
        <v>380</v>
      </c>
      <c r="AA4410" t="s">
        <v>381</v>
      </c>
      <c r="AB4410" t="s">
        <v>131</v>
      </c>
      <c r="AC4410" t="s">
        <v>51</v>
      </c>
      <c r="AD4410" t="s">
        <v>45</v>
      </c>
      <c r="AE4410" s="1">
        <v>24015</v>
      </c>
      <c r="AF4410">
        <v>2</v>
      </c>
      <c r="AG4410" t="s">
        <v>381</v>
      </c>
      <c r="AH4410" s="36">
        <f t="shared" si="68"/>
        <v>54.005555555555553</v>
      </c>
      <c r="AI4410" s="41" t="s">
        <v>1781</v>
      </c>
    </row>
    <row r="4411" spans="1:35" x14ac:dyDescent="0.25">
      <c r="A4411" s="36">
        <v>99914409</v>
      </c>
      <c r="B4411" s="17" t="s">
        <v>56</v>
      </c>
      <c r="C4411" t="s">
        <v>79</v>
      </c>
      <c r="D4411" t="s">
        <v>80</v>
      </c>
      <c r="G4411" s="17" t="s">
        <v>35</v>
      </c>
      <c r="H4411" s="17">
        <v>1</v>
      </c>
      <c r="K4411" t="s">
        <v>223</v>
      </c>
      <c r="L4411" t="s">
        <v>224</v>
      </c>
      <c r="M4411" t="s">
        <v>131</v>
      </c>
      <c r="N4411">
        <v>7</v>
      </c>
      <c r="O4411" t="s">
        <v>40</v>
      </c>
      <c r="P4411" t="s">
        <v>40</v>
      </c>
      <c r="Q4411" t="s">
        <v>40</v>
      </c>
      <c r="S4411" t="s">
        <v>40</v>
      </c>
      <c r="V4411" t="s">
        <v>41</v>
      </c>
      <c r="W4411" t="s">
        <v>49</v>
      </c>
      <c r="X4411" t="str">
        <f>"0581207"</f>
        <v>0581207</v>
      </c>
      <c r="Y4411" t="s">
        <v>233</v>
      </c>
      <c r="Z4411" t="s">
        <v>223</v>
      </c>
      <c r="AA4411" t="s">
        <v>224</v>
      </c>
      <c r="AB4411" t="s">
        <v>131</v>
      </c>
      <c r="AC4411" t="s">
        <v>165</v>
      </c>
      <c r="AD4411" t="s">
        <v>45</v>
      </c>
      <c r="AE4411" s="1">
        <v>24012</v>
      </c>
      <c r="AF4411">
        <v>2</v>
      </c>
      <c r="AG4411" t="s">
        <v>224</v>
      </c>
      <c r="AH4411" s="36">
        <f t="shared" si="68"/>
        <v>54.013888888888886</v>
      </c>
      <c r="AI4411" s="41" t="s">
        <v>1781</v>
      </c>
    </row>
    <row r="4412" spans="1:35" x14ac:dyDescent="0.25">
      <c r="A4412" s="36">
        <v>99914410</v>
      </c>
      <c r="B4412" s="17" t="s">
        <v>32</v>
      </c>
      <c r="C4412" t="s">
        <v>111</v>
      </c>
      <c r="D4412" t="s">
        <v>112</v>
      </c>
      <c r="G4412" s="17" t="s">
        <v>35</v>
      </c>
      <c r="H4412" s="17">
        <v>1</v>
      </c>
      <c r="K4412" t="s">
        <v>963</v>
      </c>
      <c r="L4412" t="s">
        <v>964</v>
      </c>
      <c r="M4412" t="s">
        <v>938</v>
      </c>
      <c r="N4412">
        <v>21</v>
      </c>
      <c r="O4412" t="s">
        <v>40</v>
      </c>
      <c r="P4412" t="s">
        <v>40</v>
      </c>
      <c r="Q4412" t="s">
        <v>40</v>
      </c>
      <c r="S4412" t="s">
        <v>40</v>
      </c>
      <c r="V4412" t="s">
        <v>41</v>
      </c>
      <c r="W4412" t="s">
        <v>75</v>
      </c>
      <c r="X4412" t="str">
        <f>"7061000"</f>
        <v>7061000</v>
      </c>
      <c r="Y4412" t="s">
        <v>962</v>
      </c>
      <c r="Z4412" t="s">
        <v>963</v>
      </c>
      <c r="AA4412" t="s">
        <v>964</v>
      </c>
      <c r="AB4412" t="s">
        <v>938</v>
      </c>
      <c r="AC4412" t="s">
        <v>165</v>
      </c>
      <c r="AD4412" t="s">
        <v>45</v>
      </c>
      <c r="AE4412" s="1">
        <v>24006</v>
      </c>
      <c r="AF4412">
        <v>1</v>
      </c>
      <c r="AG4412" t="s">
        <v>964</v>
      </c>
      <c r="AH4412" s="36">
        <f t="shared" si="68"/>
        <v>54.030555555555559</v>
      </c>
      <c r="AI4412" s="41" t="s">
        <v>1781</v>
      </c>
    </row>
    <row r="4413" spans="1:35" x14ac:dyDescent="0.25">
      <c r="A4413" s="36">
        <v>99914411</v>
      </c>
      <c r="B4413" s="17" t="s">
        <v>32</v>
      </c>
      <c r="C4413" t="s">
        <v>111</v>
      </c>
      <c r="D4413" t="s">
        <v>112</v>
      </c>
      <c r="G4413" s="17" t="s">
        <v>48</v>
      </c>
      <c r="H4413" s="17">
        <v>19</v>
      </c>
      <c r="I4413">
        <v>213</v>
      </c>
      <c r="J4413" s="1">
        <v>33238</v>
      </c>
      <c r="K4413" t="s">
        <v>195</v>
      </c>
      <c r="L4413" t="s">
        <v>196</v>
      </c>
      <c r="M4413" t="s">
        <v>131</v>
      </c>
      <c r="N4413">
        <v>21</v>
      </c>
      <c r="O4413" t="s">
        <v>40</v>
      </c>
      <c r="P4413" t="s">
        <v>40</v>
      </c>
      <c r="Q4413" t="s">
        <v>40</v>
      </c>
      <c r="R4413" t="s">
        <v>40</v>
      </c>
      <c r="S4413" t="s">
        <v>40</v>
      </c>
      <c r="U4413" s="1">
        <v>33238</v>
      </c>
      <c r="V4413" t="s">
        <v>41</v>
      </c>
      <c r="W4413" t="s">
        <v>75</v>
      </c>
      <c r="X4413" t="str">
        <f>"7521042"</f>
        <v>7521042</v>
      </c>
      <c r="Y4413" t="s">
        <v>440</v>
      </c>
      <c r="Z4413" t="s">
        <v>195</v>
      </c>
      <c r="AA4413" t="s">
        <v>196</v>
      </c>
      <c r="AB4413" t="s">
        <v>131</v>
      </c>
      <c r="AC4413" t="s">
        <v>165</v>
      </c>
      <c r="AD4413" t="s">
        <v>45</v>
      </c>
      <c r="AE4413" s="1">
        <v>24003</v>
      </c>
      <c r="AF4413">
        <v>1</v>
      </c>
      <c r="AG4413" t="s">
        <v>196</v>
      </c>
      <c r="AH4413" s="36">
        <f t="shared" si="68"/>
        <v>54.038888888888891</v>
      </c>
      <c r="AI4413" s="41" t="s">
        <v>1781</v>
      </c>
    </row>
    <row r="4414" spans="1:35" x14ac:dyDescent="0.25">
      <c r="A4414" s="36">
        <v>99914412</v>
      </c>
      <c r="B4414" s="17" t="s">
        <v>56</v>
      </c>
      <c r="C4414" t="s">
        <v>149</v>
      </c>
      <c r="D4414" t="s">
        <v>150</v>
      </c>
      <c r="G4414" s="17" t="s">
        <v>48</v>
      </c>
      <c r="H4414" s="17">
        <v>1</v>
      </c>
      <c r="K4414" t="s">
        <v>223</v>
      </c>
      <c r="L4414" t="s">
        <v>224</v>
      </c>
      <c r="M4414" t="s">
        <v>131</v>
      </c>
      <c r="N4414">
        <v>25</v>
      </c>
      <c r="O4414" t="s">
        <v>40</v>
      </c>
      <c r="P4414" t="s">
        <v>40</v>
      </c>
      <c r="Q4414" t="s">
        <v>40</v>
      </c>
      <c r="S4414" t="s">
        <v>40</v>
      </c>
      <c r="V4414" t="s">
        <v>41</v>
      </c>
      <c r="W4414" t="s">
        <v>49</v>
      </c>
      <c r="X4414" t="str">
        <f>"0581207"</f>
        <v>0581207</v>
      </c>
      <c r="Y4414" t="s">
        <v>233</v>
      </c>
      <c r="Z4414" t="s">
        <v>223</v>
      </c>
      <c r="AA4414" t="s">
        <v>224</v>
      </c>
      <c r="AB4414" t="s">
        <v>131</v>
      </c>
      <c r="AC4414" t="s">
        <v>51</v>
      </c>
      <c r="AD4414" t="s">
        <v>45</v>
      </c>
      <c r="AE4414" s="1">
        <v>24001</v>
      </c>
      <c r="AF4414">
        <v>2</v>
      </c>
      <c r="AG4414" t="s">
        <v>224</v>
      </c>
      <c r="AH4414" s="36">
        <f t="shared" si="68"/>
        <v>54.044444444444444</v>
      </c>
      <c r="AI4414" s="41" t="s">
        <v>1781</v>
      </c>
    </row>
    <row r="4415" spans="1:35" x14ac:dyDescent="0.25">
      <c r="A4415" s="36">
        <v>99914413</v>
      </c>
      <c r="B4415" s="17" t="s">
        <v>56</v>
      </c>
      <c r="C4415" t="s">
        <v>71</v>
      </c>
      <c r="D4415" t="s">
        <v>72</v>
      </c>
      <c r="G4415" s="17" t="s">
        <v>48</v>
      </c>
      <c r="H4415" s="17">
        <v>1</v>
      </c>
      <c r="K4415" t="s">
        <v>300</v>
      </c>
      <c r="L4415" t="s">
        <v>301</v>
      </c>
      <c r="M4415" t="s">
        <v>131</v>
      </c>
      <c r="N4415">
        <v>11</v>
      </c>
      <c r="O4415" t="s">
        <v>40</v>
      </c>
      <c r="P4415" t="s">
        <v>40</v>
      </c>
      <c r="Q4415" t="s">
        <v>40</v>
      </c>
      <c r="R4415" t="s">
        <v>40</v>
      </c>
      <c r="S4415" t="s">
        <v>40</v>
      </c>
      <c r="V4415" t="s">
        <v>41</v>
      </c>
      <c r="W4415" t="s">
        <v>49</v>
      </c>
      <c r="X4415" t="str">
        <f>"0560001"</f>
        <v>0560001</v>
      </c>
      <c r="Y4415" t="s">
        <v>304</v>
      </c>
      <c r="Z4415" t="s">
        <v>300</v>
      </c>
      <c r="AA4415" t="s">
        <v>301</v>
      </c>
      <c r="AB4415" t="s">
        <v>131</v>
      </c>
      <c r="AC4415" t="s">
        <v>51</v>
      </c>
      <c r="AD4415" t="s">
        <v>45</v>
      </c>
      <c r="AE4415" s="1">
        <v>24001</v>
      </c>
      <c r="AF4415">
        <v>2</v>
      </c>
      <c r="AG4415" t="s">
        <v>301</v>
      </c>
      <c r="AH4415" s="36">
        <f t="shared" si="68"/>
        <v>54.044444444444444</v>
      </c>
      <c r="AI4415" s="41" t="s">
        <v>1781</v>
      </c>
    </row>
    <row r="4416" spans="1:35" x14ac:dyDescent="0.25">
      <c r="A4416" s="36">
        <v>99914414</v>
      </c>
      <c r="B4416" s="17" t="s">
        <v>32</v>
      </c>
      <c r="C4416" t="s">
        <v>90</v>
      </c>
      <c r="D4416" t="s">
        <v>91</v>
      </c>
      <c r="G4416" s="17" t="s">
        <v>35</v>
      </c>
      <c r="H4416" s="17">
        <v>1</v>
      </c>
      <c r="I4416" t="s">
        <v>605</v>
      </c>
      <c r="J4416" s="1">
        <v>43344</v>
      </c>
      <c r="K4416" t="s">
        <v>268</v>
      </c>
      <c r="L4416" t="s">
        <v>269</v>
      </c>
      <c r="M4416" t="s">
        <v>131</v>
      </c>
      <c r="N4416">
        <v>25</v>
      </c>
      <c r="O4416" t="s">
        <v>40</v>
      </c>
      <c r="S4416" t="s">
        <v>40</v>
      </c>
      <c r="U4416" s="1">
        <v>43344</v>
      </c>
      <c r="V4416" t="s">
        <v>41</v>
      </c>
      <c r="W4416" t="s">
        <v>95</v>
      </c>
      <c r="X4416" t="str">
        <f>"7052079"</f>
        <v>7052079</v>
      </c>
      <c r="Y4416" t="s">
        <v>606</v>
      </c>
      <c r="Z4416" t="s">
        <v>268</v>
      </c>
      <c r="AA4416" t="s">
        <v>269</v>
      </c>
      <c r="AB4416" t="s">
        <v>131</v>
      </c>
      <c r="AC4416" t="s">
        <v>51</v>
      </c>
      <c r="AD4416" t="s">
        <v>45</v>
      </c>
      <c r="AE4416" s="1">
        <v>23994</v>
      </c>
      <c r="AF4416">
        <v>1</v>
      </c>
      <c r="AG4416" t="s">
        <v>269</v>
      </c>
      <c r="AH4416" s="36">
        <f t="shared" si="68"/>
        <v>54.06388888888889</v>
      </c>
      <c r="AI4416" s="41" t="s">
        <v>1781</v>
      </c>
    </row>
    <row r="4417" spans="1:35" x14ac:dyDescent="0.25">
      <c r="A4417" s="36">
        <v>99914415</v>
      </c>
      <c r="B4417" s="17" t="s">
        <v>32</v>
      </c>
      <c r="C4417" t="s">
        <v>79</v>
      </c>
      <c r="D4417" t="s">
        <v>80</v>
      </c>
      <c r="G4417" s="17" t="s">
        <v>48</v>
      </c>
      <c r="H4417" s="17">
        <v>5</v>
      </c>
      <c r="I4417" t="s">
        <v>550</v>
      </c>
      <c r="J4417" s="1">
        <v>39326</v>
      </c>
      <c r="K4417" t="s">
        <v>431</v>
      </c>
      <c r="L4417" t="s">
        <v>196</v>
      </c>
      <c r="M4417" t="s">
        <v>131</v>
      </c>
      <c r="N4417">
        <v>14</v>
      </c>
      <c r="O4417" t="s">
        <v>40</v>
      </c>
      <c r="P4417" t="s">
        <v>40</v>
      </c>
      <c r="Q4417" t="s">
        <v>40</v>
      </c>
      <c r="R4417" t="s">
        <v>40</v>
      </c>
      <c r="S4417" t="s">
        <v>40</v>
      </c>
      <c r="U4417" s="1">
        <v>39326</v>
      </c>
      <c r="V4417" t="s">
        <v>41</v>
      </c>
      <c r="W4417" t="s">
        <v>75</v>
      </c>
      <c r="X4417" t="str">
        <f>"7521022"</f>
        <v>7521022</v>
      </c>
      <c r="Y4417" t="s">
        <v>445</v>
      </c>
      <c r="Z4417" t="s">
        <v>431</v>
      </c>
      <c r="AA4417" t="s">
        <v>196</v>
      </c>
      <c r="AB4417" t="s">
        <v>131</v>
      </c>
      <c r="AC4417" t="s">
        <v>51</v>
      </c>
      <c r="AD4417" t="s">
        <v>45</v>
      </c>
      <c r="AE4417" s="1">
        <v>23993</v>
      </c>
      <c r="AF4417">
        <v>1</v>
      </c>
      <c r="AG4417" t="s">
        <v>196</v>
      </c>
      <c r="AH4417" s="36">
        <f t="shared" si="68"/>
        <v>54.06666666666667</v>
      </c>
      <c r="AI4417" s="41" t="s">
        <v>1781</v>
      </c>
    </row>
    <row r="4418" spans="1:35" x14ac:dyDescent="0.25">
      <c r="A4418" s="36">
        <v>99914416</v>
      </c>
      <c r="B4418" s="17" t="s">
        <v>56</v>
      </c>
      <c r="C4418" t="s">
        <v>79</v>
      </c>
      <c r="D4418" t="s">
        <v>80</v>
      </c>
      <c r="G4418" s="17" t="s">
        <v>48</v>
      </c>
      <c r="H4418" s="17">
        <v>1</v>
      </c>
      <c r="K4418" t="s">
        <v>223</v>
      </c>
      <c r="L4418" t="s">
        <v>224</v>
      </c>
      <c r="M4418" t="s">
        <v>131</v>
      </c>
      <c r="N4418">
        <v>18</v>
      </c>
      <c r="O4418" t="s">
        <v>40</v>
      </c>
      <c r="P4418" t="s">
        <v>40</v>
      </c>
      <c r="Q4418" t="s">
        <v>40</v>
      </c>
      <c r="R4418" t="s">
        <v>40</v>
      </c>
      <c r="S4418" t="s">
        <v>40</v>
      </c>
      <c r="V4418" t="s">
        <v>41</v>
      </c>
      <c r="W4418" t="s">
        <v>49</v>
      </c>
      <c r="X4418" t="str">
        <f>"0581200"</f>
        <v>0581200</v>
      </c>
      <c r="Y4418" t="s">
        <v>238</v>
      </c>
      <c r="Z4418" t="s">
        <v>223</v>
      </c>
      <c r="AA4418" t="s">
        <v>224</v>
      </c>
      <c r="AB4418" t="s">
        <v>131</v>
      </c>
      <c r="AC4418" t="s">
        <v>51</v>
      </c>
      <c r="AD4418" t="s">
        <v>45</v>
      </c>
      <c r="AE4418" s="1">
        <v>23991</v>
      </c>
      <c r="AF4418">
        <v>2</v>
      </c>
      <c r="AG4418" t="s">
        <v>224</v>
      </c>
      <c r="AH4418" s="36">
        <f t="shared" ref="AH4418:AH4481" si="69">($AJ$1-AE4418)/360</f>
        <v>54.072222222222223</v>
      </c>
      <c r="AI4418" s="41" t="s">
        <v>1781</v>
      </c>
    </row>
    <row r="4419" spans="1:35" x14ac:dyDescent="0.25">
      <c r="A4419" s="36">
        <v>99914417</v>
      </c>
      <c r="B4419" s="17" t="s">
        <v>32</v>
      </c>
      <c r="C4419" t="s">
        <v>64</v>
      </c>
      <c r="D4419" t="s">
        <v>65</v>
      </c>
      <c r="G4419" s="17" t="s">
        <v>48</v>
      </c>
      <c r="H4419" s="17">
        <v>8</v>
      </c>
      <c r="K4419" t="s">
        <v>1268</v>
      </c>
      <c r="L4419" t="s">
        <v>1269</v>
      </c>
      <c r="M4419" t="s">
        <v>1270</v>
      </c>
      <c r="N4419">
        <v>20</v>
      </c>
      <c r="O4419" t="s">
        <v>40</v>
      </c>
      <c r="P4419" t="s">
        <v>40</v>
      </c>
      <c r="Q4419" t="s">
        <v>40</v>
      </c>
      <c r="R4419" t="s">
        <v>40</v>
      </c>
      <c r="S4419" t="s">
        <v>40</v>
      </c>
      <c r="U4419" s="1">
        <v>43344</v>
      </c>
      <c r="V4419" t="s">
        <v>41</v>
      </c>
      <c r="W4419" t="s">
        <v>49</v>
      </c>
      <c r="X4419" t="str">
        <f>"1960001"</f>
        <v>1960001</v>
      </c>
      <c r="Y4419" t="s">
        <v>1272</v>
      </c>
      <c r="Z4419" t="s">
        <v>1268</v>
      </c>
      <c r="AA4419" t="s">
        <v>1269</v>
      </c>
      <c r="AB4419" t="s">
        <v>1270</v>
      </c>
      <c r="AC4419" t="s">
        <v>51</v>
      </c>
      <c r="AD4419" t="s">
        <v>45</v>
      </c>
      <c r="AE4419" s="1">
        <v>23989</v>
      </c>
      <c r="AF4419">
        <v>2</v>
      </c>
      <c r="AG4419" t="s">
        <v>1269</v>
      </c>
      <c r="AH4419" s="36">
        <f t="shared" si="69"/>
        <v>54.077777777777776</v>
      </c>
      <c r="AI4419" s="41" t="s">
        <v>1781</v>
      </c>
    </row>
    <row r="4420" spans="1:35" x14ac:dyDescent="0.25">
      <c r="A4420" s="36">
        <v>99914418</v>
      </c>
      <c r="B4420" s="17" t="s">
        <v>32</v>
      </c>
      <c r="C4420" t="s">
        <v>85</v>
      </c>
      <c r="D4420" t="s">
        <v>86</v>
      </c>
      <c r="G4420" s="17" t="s">
        <v>35</v>
      </c>
      <c r="H4420" s="17">
        <v>1</v>
      </c>
      <c r="I4420">
        <v>21562</v>
      </c>
      <c r="J4420" s="1">
        <v>43344</v>
      </c>
      <c r="K4420" t="s">
        <v>223</v>
      </c>
      <c r="L4420" t="s">
        <v>224</v>
      </c>
      <c r="M4420" t="s">
        <v>131</v>
      </c>
      <c r="N4420">
        <v>12</v>
      </c>
      <c r="O4420" t="s">
        <v>40</v>
      </c>
      <c r="S4420" t="s">
        <v>40</v>
      </c>
      <c r="U4420" s="1">
        <v>43344</v>
      </c>
      <c r="V4420" t="s">
        <v>41</v>
      </c>
      <c r="W4420" t="s">
        <v>49</v>
      </c>
      <c r="X4420" t="str">
        <f>"0561022"</f>
        <v>0561022</v>
      </c>
      <c r="Y4420" t="s">
        <v>225</v>
      </c>
      <c r="Z4420" t="s">
        <v>223</v>
      </c>
      <c r="AA4420" t="s">
        <v>224</v>
      </c>
      <c r="AB4420" t="s">
        <v>131</v>
      </c>
      <c r="AC4420" t="s">
        <v>44</v>
      </c>
      <c r="AD4420" t="s">
        <v>45</v>
      </c>
      <c r="AE4420" s="1">
        <v>23984</v>
      </c>
      <c r="AF4420">
        <v>2</v>
      </c>
      <c r="AG4420" t="s">
        <v>224</v>
      </c>
      <c r="AH4420" s="36">
        <f t="shared" si="69"/>
        <v>54.091666666666669</v>
      </c>
      <c r="AI4420" s="41" t="s">
        <v>1781</v>
      </c>
    </row>
    <row r="4421" spans="1:35" x14ac:dyDescent="0.25">
      <c r="A4421" s="36">
        <v>99914419</v>
      </c>
      <c r="B4421" s="17" t="s">
        <v>56</v>
      </c>
      <c r="C4421" t="s">
        <v>52</v>
      </c>
      <c r="D4421" t="s">
        <v>53</v>
      </c>
      <c r="G4421" s="17" t="s">
        <v>35</v>
      </c>
      <c r="H4421" s="17">
        <v>1</v>
      </c>
      <c r="K4421" t="s">
        <v>1268</v>
      </c>
      <c r="L4421" t="s">
        <v>1269</v>
      </c>
      <c r="M4421" t="s">
        <v>1270</v>
      </c>
      <c r="N4421">
        <v>20</v>
      </c>
      <c r="O4421" t="s">
        <v>40</v>
      </c>
      <c r="P4421" t="s">
        <v>40</v>
      </c>
      <c r="Q4421" t="s">
        <v>40</v>
      </c>
      <c r="S4421" t="s">
        <v>40</v>
      </c>
      <c r="V4421" t="s">
        <v>41</v>
      </c>
      <c r="W4421" t="s">
        <v>42</v>
      </c>
      <c r="X4421" t="str">
        <f>"1990914"</f>
        <v>1990914</v>
      </c>
      <c r="Y4421" t="s">
        <v>1275</v>
      </c>
      <c r="Z4421" t="s">
        <v>1268</v>
      </c>
      <c r="AA4421" t="s">
        <v>1269</v>
      </c>
      <c r="AB4421" t="s">
        <v>1270</v>
      </c>
      <c r="AC4421" t="s">
        <v>51</v>
      </c>
      <c r="AD4421" t="s">
        <v>45</v>
      </c>
      <c r="AE4421" s="1">
        <v>23981</v>
      </c>
      <c r="AF4421">
        <v>2</v>
      </c>
      <c r="AG4421" t="s">
        <v>1269</v>
      </c>
      <c r="AH4421" s="36">
        <f t="shared" si="69"/>
        <v>54.1</v>
      </c>
      <c r="AI4421" s="41" t="s">
        <v>1781</v>
      </c>
    </row>
    <row r="4422" spans="1:35" x14ac:dyDescent="0.25">
      <c r="A4422" s="36">
        <v>99914420</v>
      </c>
      <c r="B4422" s="17" t="s">
        <v>56</v>
      </c>
      <c r="C4422" t="s">
        <v>52</v>
      </c>
      <c r="D4422" t="s">
        <v>53</v>
      </c>
      <c r="G4422" s="17" t="s">
        <v>48</v>
      </c>
      <c r="H4422" s="17">
        <v>1</v>
      </c>
      <c r="K4422" t="s">
        <v>223</v>
      </c>
      <c r="L4422" t="s">
        <v>224</v>
      </c>
      <c r="M4422" t="s">
        <v>131</v>
      </c>
      <c r="N4422">
        <v>20</v>
      </c>
      <c r="O4422" t="s">
        <v>40</v>
      </c>
      <c r="P4422" t="s">
        <v>40</v>
      </c>
      <c r="Q4422" t="s">
        <v>40</v>
      </c>
      <c r="R4422" t="s">
        <v>40</v>
      </c>
      <c r="S4422" t="s">
        <v>40</v>
      </c>
      <c r="V4422" t="s">
        <v>41</v>
      </c>
      <c r="W4422" t="s">
        <v>42</v>
      </c>
      <c r="X4422" t="str">
        <f>"0590910"</f>
        <v>0590910</v>
      </c>
      <c r="Y4422" t="s">
        <v>227</v>
      </c>
      <c r="Z4422" t="s">
        <v>223</v>
      </c>
      <c r="AA4422" t="s">
        <v>224</v>
      </c>
      <c r="AB4422" t="s">
        <v>131</v>
      </c>
      <c r="AC4422" t="s">
        <v>51</v>
      </c>
      <c r="AD4422" t="s">
        <v>45</v>
      </c>
      <c r="AE4422" s="1">
        <v>23976</v>
      </c>
      <c r="AF4422">
        <v>2</v>
      </c>
      <c r="AG4422" t="s">
        <v>224</v>
      </c>
      <c r="AH4422" s="36">
        <f t="shared" si="69"/>
        <v>54.113888888888887</v>
      </c>
      <c r="AI4422" s="41" t="s">
        <v>1781</v>
      </c>
    </row>
    <row r="4423" spans="1:35" x14ac:dyDescent="0.25">
      <c r="A4423" s="36">
        <v>99914421</v>
      </c>
      <c r="B4423" s="17" t="s">
        <v>32</v>
      </c>
      <c r="C4423" t="s">
        <v>46</v>
      </c>
      <c r="D4423" t="s">
        <v>47</v>
      </c>
      <c r="G4423" s="17" t="s">
        <v>48</v>
      </c>
      <c r="H4423" s="17">
        <v>1</v>
      </c>
      <c r="K4423" t="s">
        <v>345</v>
      </c>
      <c r="L4423" t="s">
        <v>346</v>
      </c>
      <c r="M4423" t="s">
        <v>131</v>
      </c>
      <c r="N4423">
        <v>20</v>
      </c>
      <c r="O4423" t="s">
        <v>40</v>
      </c>
      <c r="P4423" t="s">
        <v>40</v>
      </c>
      <c r="Q4423" t="s">
        <v>40</v>
      </c>
      <c r="R4423" t="s">
        <v>40</v>
      </c>
      <c r="S4423" t="s">
        <v>40</v>
      </c>
      <c r="V4423" t="s">
        <v>41</v>
      </c>
      <c r="W4423" t="s">
        <v>49</v>
      </c>
      <c r="X4423" t="str">
        <f>"0561021"</f>
        <v>0561021</v>
      </c>
      <c r="Y4423" t="s">
        <v>352</v>
      </c>
      <c r="Z4423" t="s">
        <v>345</v>
      </c>
      <c r="AA4423" t="s">
        <v>346</v>
      </c>
      <c r="AB4423" t="s">
        <v>131</v>
      </c>
      <c r="AC4423" t="s">
        <v>51</v>
      </c>
      <c r="AD4423" t="s">
        <v>45</v>
      </c>
      <c r="AE4423" s="1">
        <v>23975</v>
      </c>
      <c r="AF4423">
        <v>2</v>
      </c>
      <c r="AG4423" t="s">
        <v>346</v>
      </c>
      <c r="AH4423" s="36">
        <f t="shared" si="69"/>
        <v>54.116666666666667</v>
      </c>
      <c r="AI4423" s="41" t="s">
        <v>1781</v>
      </c>
    </row>
    <row r="4424" spans="1:35" x14ac:dyDescent="0.25">
      <c r="A4424" s="36">
        <v>99914422</v>
      </c>
      <c r="B4424" s="17" t="s">
        <v>56</v>
      </c>
      <c r="C4424" t="s">
        <v>68</v>
      </c>
      <c r="D4424" t="s">
        <v>69</v>
      </c>
      <c r="G4424" s="17" t="s">
        <v>48</v>
      </c>
      <c r="H4424" s="17">
        <v>1</v>
      </c>
      <c r="K4424" t="s">
        <v>157</v>
      </c>
      <c r="L4424" t="s">
        <v>158</v>
      </c>
      <c r="M4424" t="s">
        <v>131</v>
      </c>
      <c r="N4424">
        <v>18</v>
      </c>
      <c r="O4424" t="s">
        <v>40</v>
      </c>
      <c r="P4424" t="s">
        <v>40</v>
      </c>
      <c r="Q4424" t="s">
        <v>40</v>
      </c>
      <c r="R4424" t="s">
        <v>40</v>
      </c>
      <c r="S4424" t="s">
        <v>40</v>
      </c>
      <c r="V4424" t="s">
        <v>41</v>
      </c>
      <c r="W4424" t="s">
        <v>49</v>
      </c>
      <c r="X4424" t="str">
        <f>"0560010"</f>
        <v>0560010</v>
      </c>
      <c r="Y4424" t="s">
        <v>179</v>
      </c>
      <c r="Z4424" t="s">
        <v>157</v>
      </c>
      <c r="AA4424" t="s">
        <v>158</v>
      </c>
      <c r="AB4424" t="s">
        <v>131</v>
      </c>
      <c r="AC4424" t="s">
        <v>51</v>
      </c>
      <c r="AD4424" t="s">
        <v>45</v>
      </c>
      <c r="AE4424" s="1">
        <v>23969</v>
      </c>
      <c r="AF4424">
        <v>2</v>
      </c>
      <c r="AG4424" t="s">
        <v>158</v>
      </c>
      <c r="AH4424" s="36">
        <f t="shared" si="69"/>
        <v>54.133333333333333</v>
      </c>
      <c r="AI4424" s="41" t="s">
        <v>1781</v>
      </c>
    </row>
    <row r="4425" spans="1:35" x14ac:dyDescent="0.25">
      <c r="A4425" s="36">
        <v>99914423</v>
      </c>
      <c r="B4425" s="17" t="s">
        <v>32</v>
      </c>
      <c r="C4425" t="s">
        <v>85</v>
      </c>
      <c r="D4425" t="s">
        <v>86</v>
      </c>
      <c r="G4425" s="17" t="s">
        <v>35</v>
      </c>
      <c r="H4425" s="17">
        <v>1</v>
      </c>
      <c r="K4425" t="s">
        <v>300</v>
      </c>
      <c r="L4425" t="s">
        <v>301</v>
      </c>
      <c r="M4425" t="s">
        <v>131</v>
      </c>
      <c r="N4425">
        <v>13</v>
      </c>
      <c r="O4425" t="s">
        <v>40</v>
      </c>
      <c r="P4425" t="s">
        <v>40</v>
      </c>
      <c r="Q4425" t="s">
        <v>40</v>
      </c>
      <c r="R4425" t="s">
        <v>40</v>
      </c>
      <c r="S4425" t="s">
        <v>40</v>
      </c>
      <c r="V4425" t="s">
        <v>41</v>
      </c>
      <c r="W4425" t="s">
        <v>49</v>
      </c>
      <c r="X4425" t="str">
        <f>"0560002"</f>
        <v>0560002</v>
      </c>
      <c r="Y4425" t="s">
        <v>315</v>
      </c>
      <c r="Z4425" t="s">
        <v>300</v>
      </c>
      <c r="AA4425" t="s">
        <v>301</v>
      </c>
      <c r="AB4425" t="s">
        <v>131</v>
      </c>
      <c r="AC4425" t="s">
        <v>165</v>
      </c>
      <c r="AD4425" t="s">
        <v>45</v>
      </c>
      <c r="AE4425" s="1">
        <v>23966</v>
      </c>
      <c r="AF4425">
        <v>2</v>
      </c>
      <c r="AG4425" t="s">
        <v>301</v>
      </c>
      <c r="AH4425" s="36">
        <f t="shared" si="69"/>
        <v>54.141666666666666</v>
      </c>
      <c r="AI4425" s="41" t="s">
        <v>1781</v>
      </c>
    </row>
    <row r="4426" spans="1:35" x14ac:dyDescent="0.25">
      <c r="A4426" s="36">
        <v>99914424</v>
      </c>
      <c r="B4426" s="17" t="s">
        <v>56</v>
      </c>
      <c r="C4426" t="s">
        <v>79</v>
      </c>
      <c r="D4426" t="s">
        <v>80</v>
      </c>
      <c r="G4426" s="17" t="s">
        <v>48</v>
      </c>
      <c r="H4426" s="17">
        <v>1</v>
      </c>
      <c r="K4426" t="s">
        <v>300</v>
      </c>
      <c r="L4426" t="s">
        <v>301</v>
      </c>
      <c r="M4426" t="s">
        <v>131</v>
      </c>
      <c r="N4426">
        <v>2</v>
      </c>
      <c r="O4426" t="s">
        <v>40</v>
      </c>
      <c r="P4426" t="s">
        <v>40</v>
      </c>
      <c r="Q4426" t="s">
        <v>40</v>
      </c>
      <c r="R4426" t="s">
        <v>40</v>
      </c>
      <c r="S4426" t="s">
        <v>40</v>
      </c>
      <c r="V4426" t="s">
        <v>41</v>
      </c>
      <c r="W4426" t="s">
        <v>49</v>
      </c>
      <c r="X4426" t="str">
        <f>"0560001"</f>
        <v>0560001</v>
      </c>
      <c r="Y4426" t="s">
        <v>304</v>
      </c>
      <c r="Z4426" t="s">
        <v>300</v>
      </c>
      <c r="AA4426" t="s">
        <v>301</v>
      </c>
      <c r="AB4426" t="s">
        <v>131</v>
      </c>
      <c r="AC4426" t="s">
        <v>51</v>
      </c>
      <c r="AD4426" t="s">
        <v>45</v>
      </c>
      <c r="AE4426" s="1">
        <v>23962</v>
      </c>
      <c r="AF4426">
        <v>2</v>
      </c>
      <c r="AG4426" t="s">
        <v>301</v>
      </c>
      <c r="AH4426" s="36">
        <f t="shared" si="69"/>
        <v>54.152777777777779</v>
      </c>
      <c r="AI4426" s="41" t="s">
        <v>1781</v>
      </c>
    </row>
    <row r="4427" spans="1:35" x14ac:dyDescent="0.25">
      <c r="A4427" s="36">
        <v>99914425</v>
      </c>
      <c r="B4427" s="17" t="s">
        <v>56</v>
      </c>
      <c r="C4427" t="s">
        <v>111</v>
      </c>
      <c r="D4427" t="s">
        <v>112</v>
      </c>
      <c r="G4427" s="17" t="s">
        <v>35</v>
      </c>
      <c r="H4427" s="17">
        <v>1</v>
      </c>
      <c r="K4427" t="s">
        <v>268</v>
      </c>
      <c r="L4427" t="s">
        <v>269</v>
      </c>
      <c r="M4427" t="s">
        <v>131</v>
      </c>
      <c r="N4427">
        <v>21</v>
      </c>
      <c r="O4427" t="s">
        <v>40</v>
      </c>
      <c r="Q4427" t="s">
        <v>40</v>
      </c>
      <c r="S4427" t="s">
        <v>40</v>
      </c>
      <c r="V4427" t="s">
        <v>41</v>
      </c>
      <c r="W4427" t="s">
        <v>75</v>
      </c>
      <c r="X4427" t="str">
        <f>"7052028"</f>
        <v>7052028</v>
      </c>
      <c r="Y4427" t="s">
        <v>601</v>
      </c>
      <c r="Z4427" t="s">
        <v>268</v>
      </c>
      <c r="AA4427" t="s">
        <v>269</v>
      </c>
      <c r="AB4427" t="s">
        <v>131</v>
      </c>
      <c r="AC4427" t="s">
        <v>51</v>
      </c>
      <c r="AD4427" t="s">
        <v>45</v>
      </c>
      <c r="AE4427" s="1">
        <v>23962</v>
      </c>
      <c r="AF4427">
        <v>1</v>
      </c>
      <c r="AG4427" t="s">
        <v>269</v>
      </c>
      <c r="AH4427" s="36">
        <f t="shared" si="69"/>
        <v>54.152777777777779</v>
      </c>
      <c r="AI4427" s="41" t="s">
        <v>1781</v>
      </c>
    </row>
    <row r="4428" spans="1:35" x14ac:dyDescent="0.25">
      <c r="A4428" s="36">
        <v>99914426</v>
      </c>
      <c r="B4428" s="17" t="s">
        <v>32</v>
      </c>
      <c r="C4428" t="s">
        <v>111</v>
      </c>
      <c r="D4428" t="s">
        <v>112</v>
      </c>
      <c r="G4428" s="17" t="s">
        <v>48</v>
      </c>
      <c r="H4428" s="17">
        <v>1</v>
      </c>
      <c r="K4428" t="s">
        <v>985</v>
      </c>
      <c r="L4428" t="s">
        <v>986</v>
      </c>
      <c r="M4428" t="s">
        <v>938</v>
      </c>
      <c r="N4428">
        <v>21</v>
      </c>
      <c r="O4428" t="s">
        <v>40</v>
      </c>
      <c r="P4428" t="s">
        <v>40</v>
      </c>
      <c r="Q4428" t="s">
        <v>40</v>
      </c>
      <c r="S4428" t="s">
        <v>40</v>
      </c>
      <c r="V4428" t="s">
        <v>41</v>
      </c>
      <c r="W4428" t="s">
        <v>75</v>
      </c>
      <c r="X4428" t="str">
        <f>"7011000"</f>
        <v>7011000</v>
      </c>
      <c r="Y4428" t="s">
        <v>989</v>
      </c>
      <c r="Z4428" t="s">
        <v>985</v>
      </c>
      <c r="AA4428" t="s">
        <v>986</v>
      </c>
      <c r="AB4428" t="s">
        <v>938</v>
      </c>
      <c r="AC4428" t="s">
        <v>51</v>
      </c>
      <c r="AD4428" t="s">
        <v>45</v>
      </c>
      <c r="AE4428" s="1">
        <v>23961</v>
      </c>
      <c r="AF4428">
        <v>1</v>
      </c>
      <c r="AG4428" t="s">
        <v>986</v>
      </c>
      <c r="AH4428" s="36">
        <f t="shared" si="69"/>
        <v>54.155555555555559</v>
      </c>
      <c r="AI4428" s="41" t="s">
        <v>1781</v>
      </c>
    </row>
    <row r="4429" spans="1:35" x14ac:dyDescent="0.25">
      <c r="A4429" s="36">
        <v>99914427</v>
      </c>
      <c r="B4429" s="17" t="s">
        <v>56</v>
      </c>
      <c r="C4429" t="s">
        <v>111</v>
      </c>
      <c r="D4429" t="s">
        <v>112</v>
      </c>
      <c r="G4429" s="17" t="s">
        <v>35</v>
      </c>
      <c r="H4429" s="17">
        <v>14</v>
      </c>
      <c r="K4429" t="s">
        <v>268</v>
      </c>
      <c r="L4429" t="s">
        <v>269</v>
      </c>
      <c r="M4429" t="s">
        <v>131</v>
      </c>
      <c r="N4429">
        <v>21</v>
      </c>
      <c r="O4429" t="s">
        <v>40</v>
      </c>
      <c r="P4429" t="s">
        <v>40</v>
      </c>
      <c r="Q4429" t="s">
        <v>40</v>
      </c>
      <c r="R4429" t="s">
        <v>40</v>
      </c>
      <c r="S4429" t="s">
        <v>40</v>
      </c>
      <c r="V4429" t="s">
        <v>41</v>
      </c>
      <c r="W4429" t="s">
        <v>75</v>
      </c>
      <c r="X4429" t="str">
        <f>"7052002"</f>
        <v>7052002</v>
      </c>
      <c r="Y4429" t="s">
        <v>590</v>
      </c>
      <c r="Z4429" t="s">
        <v>268</v>
      </c>
      <c r="AA4429" t="s">
        <v>269</v>
      </c>
      <c r="AB4429" t="s">
        <v>131</v>
      </c>
      <c r="AC4429" t="s">
        <v>165</v>
      </c>
      <c r="AD4429" t="s">
        <v>45</v>
      </c>
      <c r="AE4429" s="1">
        <v>23957</v>
      </c>
      <c r="AF4429">
        <v>1</v>
      </c>
      <c r="AG4429" t="s">
        <v>269</v>
      </c>
      <c r="AH4429" s="36">
        <f t="shared" si="69"/>
        <v>54.166666666666664</v>
      </c>
      <c r="AI4429" s="41" t="s">
        <v>1781</v>
      </c>
    </row>
    <row r="4430" spans="1:35" x14ac:dyDescent="0.25">
      <c r="A4430" s="36">
        <v>99914428</v>
      </c>
      <c r="B4430" s="17" t="s">
        <v>32</v>
      </c>
      <c r="C4430" t="s">
        <v>64</v>
      </c>
      <c r="D4430" t="s">
        <v>65</v>
      </c>
      <c r="G4430" s="17" t="s">
        <v>35</v>
      </c>
      <c r="H4430" s="17">
        <v>1</v>
      </c>
      <c r="I4430" t="s">
        <v>182</v>
      </c>
      <c r="J4430" s="1">
        <v>43344</v>
      </c>
      <c r="K4430" t="s">
        <v>162</v>
      </c>
      <c r="L4430" t="s">
        <v>158</v>
      </c>
      <c r="M4430" t="s">
        <v>131</v>
      </c>
      <c r="N4430">
        <v>20</v>
      </c>
      <c r="O4430" t="s">
        <v>40</v>
      </c>
      <c r="P4430" t="s">
        <v>40</v>
      </c>
      <c r="Q4430" t="s">
        <v>40</v>
      </c>
      <c r="R4430" t="s">
        <v>40</v>
      </c>
      <c r="S4430" t="s">
        <v>40</v>
      </c>
      <c r="U4430" s="1">
        <v>43344</v>
      </c>
      <c r="V4430" t="s">
        <v>41</v>
      </c>
      <c r="W4430" t="s">
        <v>42</v>
      </c>
      <c r="X4430" t="str">
        <f>"0580325"</f>
        <v>0580325</v>
      </c>
      <c r="Y4430" t="s">
        <v>170</v>
      </c>
      <c r="Z4430" t="s">
        <v>162</v>
      </c>
      <c r="AA4430" t="s">
        <v>158</v>
      </c>
      <c r="AB4430" t="s">
        <v>131</v>
      </c>
      <c r="AC4430" t="s">
        <v>165</v>
      </c>
      <c r="AD4430" t="s">
        <v>45</v>
      </c>
      <c r="AE4430" s="1">
        <v>23955</v>
      </c>
      <c r="AF4430">
        <v>2</v>
      </c>
      <c r="AG4430" t="s">
        <v>158</v>
      </c>
      <c r="AH4430" s="36">
        <f t="shared" si="69"/>
        <v>54.172222222222224</v>
      </c>
      <c r="AI4430" s="41" t="s">
        <v>1781</v>
      </c>
    </row>
    <row r="4431" spans="1:35" x14ac:dyDescent="0.25">
      <c r="A4431" s="36">
        <v>99914429</v>
      </c>
      <c r="B4431" s="17" t="s">
        <v>32</v>
      </c>
      <c r="C4431" t="s">
        <v>79</v>
      </c>
      <c r="D4431" t="s">
        <v>80</v>
      </c>
      <c r="G4431" s="17" t="s">
        <v>48</v>
      </c>
      <c r="H4431" s="17">
        <v>1</v>
      </c>
      <c r="K4431" t="s">
        <v>268</v>
      </c>
      <c r="L4431" t="s">
        <v>269</v>
      </c>
      <c r="M4431" t="s">
        <v>131</v>
      </c>
      <c r="N4431">
        <v>18</v>
      </c>
      <c r="O4431" t="s">
        <v>40</v>
      </c>
      <c r="P4431" t="s">
        <v>40</v>
      </c>
      <c r="Q4431" t="s">
        <v>40</v>
      </c>
      <c r="R4431" t="s">
        <v>40</v>
      </c>
      <c r="S4431" t="s">
        <v>40</v>
      </c>
      <c r="V4431" t="s">
        <v>41</v>
      </c>
      <c r="W4431" t="s">
        <v>75</v>
      </c>
      <c r="X4431" t="str">
        <f>"7052008"</f>
        <v>7052008</v>
      </c>
      <c r="Y4431" t="s">
        <v>274</v>
      </c>
      <c r="Z4431" t="s">
        <v>268</v>
      </c>
      <c r="AA4431" t="s">
        <v>269</v>
      </c>
      <c r="AB4431" t="s">
        <v>131</v>
      </c>
      <c r="AC4431" t="s">
        <v>51</v>
      </c>
      <c r="AD4431" t="s">
        <v>45</v>
      </c>
      <c r="AE4431" s="1">
        <v>23953</v>
      </c>
      <c r="AF4431">
        <v>1</v>
      </c>
      <c r="AG4431" t="s">
        <v>269</v>
      </c>
      <c r="AH4431" s="36">
        <f t="shared" si="69"/>
        <v>54.177777777777777</v>
      </c>
      <c r="AI4431" s="41" t="s">
        <v>1781</v>
      </c>
    </row>
    <row r="4432" spans="1:35" x14ac:dyDescent="0.25">
      <c r="A4432" s="36">
        <v>99914430</v>
      </c>
      <c r="B4432" s="17" t="s">
        <v>32</v>
      </c>
      <c r="C4432" t="s">
        <v>46</v>
      </c>
      <c r="D4432" t="s">
        <v>47</v>
      </c>
      <c r="G4432" s="17" t="s">
        <v>48</v>
      </c>
      <c r="H4432" s="17">
        <v>1</v>
      </c>
      <c r="K4432" t="s">
        <v>223</v>
      </c>
      <c r="L4432" t="s">
        <v>224</v>
      </c>
      <c r="M4432" t="s">
        <v>131</v>
      </c>
      <c r="N4432">
        <v>18</v>
      </c>
      <c r="O4432" t="s">
        <v>40</v>
      </c>
      <c r="P4432" t="s">
        <v>40</v>
      </c>
      <c r="Q4432" t="s">
        <v>40</v>
      </c>
      <c r="S4432" t="s">
        <v>40</v>
      </c>
      <c r="V4432" t="s">
        <v>41</v>
      </c>
      <c r="W4432" t="s">
        <v>42</v>
      </c>
      <c r="X4432" t="str">
        <f>"0580204"</f>
        <v>0580204</v>
      </c>
      <c r="Y4432" t="s">
        <v>235</v>
      </c>
      <c r="Z4432" t="s">
        <v>223</v>
      </c>
      <c r="AA4432" t="s">
        <v>224</v>
      </c>
      <c r="AB4432" t="s">
        <v>131</v>
      </c>
      <c r="AC4432" t="s">
        <v>165</v>
      </c>
      <c r="AD4432" t="s">
        <v>45</v>
      </c>
      <c r="AE4432" s="1">
        <v>23950</v>
      </c>
      <c r="AF4432">
        <v>2</v>
      </c>
      <c r="AG4432" t="s">
        <v>224</v>
      </c>
      <c r="AH4432" s="36">
        <f t="shared" si="69"/>
        <v>54.18611111111111</v>
      </c>
      <c r="AI4432" s="41" t="s">
        <v>1781</v>
      </c>
    </row>
    <row r="4433" spans="1:35" x14ac:dyDescent="0.25">
      <c r="A4433" s="36">
        <v>99914431</v>
      </c>
      <c r="B4433" s="17" t="s">
        <v>32</v>
      </c>
      <c r="C4433" t="s">
        <v>46</v>
      </c>
      <c r="D4433" t="s">
        <v>47</v>
      </c>
      <c r="G4433" s="17" t="s">
        <v>48</v>
      </c>
      <c r="H4433" s="17">
        <v>1</v>
      </c>
      <c r="K4433" t="s">
        <v>223</v>
      </c>
      <c r="L4433" t="s">
        <v>224</v>
      </c>
      <c r="M4433" t="s">
        <v>131</v>
      </c>
      <c r="N4433">
        <v>5</v>
      </c>
      <c r="O4433" t="s">
        <v>40</v>
      </c>
      <c r="P4433" t="s">
        <v>40</v>
      </c>
      <c r="Q4433" t="s">
        <v>40</v>
      </c>
      <c r="S4433" t="s">
        <v>40</v>
      </c>
      <c r="V4433" t="s">
        <v>41</v>
      </c>
      <c r="W4433" t="s">
        <v>42</v>
      </c>
      <c r="X4433" t="str">
        <f>"0580202"</f>
        <v>0580202</v>
      </c>
      <c r="Y4433" t="s">
        <v>240</v>
      </c>
      <c r="Z4433" t="s">
        <v>223</v>
      </c>
      <c r="AA4433" t="s">
        <v>224</v>
      </c>
      <c r="AB4433" t="s">
        <v>131</v>
      </c>
      <c r="AC4433" t="s">
        <v>51</v>
      </c>
      <c r="AD4433" t="s">
        <v>45</v>
      </c>
      <c r="AE4433" s="1">
        <v>23949</v>
      </c>
      <c r="AF4433">
        <v>2</v>
      </c>
      <c r="AG4433" t="s">
        <v>224</v>
      </c>
      <c r="AH4433" s="36">
        <f t="shared" si="69"/>
        <v>54.18888888888889</v>
      </c>
      <c r="AI4433" s="41" t="s">
        <v>1781</v>
      </c>
    </row>
    <row r="4434" spans="1:35" x14ac:dyDescent="0.25">
      <c r="A4434" s="36">
        <v>99914432</v>
      </c>
      <c r="B4434" s="17" t="s">
        <v>56</v>
      </c>
      <c r="C4434" t="s">
        <v>46</v>
      </c>
      <c r="D4434" t="s">
        <v>47</v>
      </c>
      <c r="G4434" s="17" t="s">
        <v>48</v>
      </c>
      <c r="H4434" s="17">
        <v>4</v>
      </c>
      <c r="K4434" t="s">
        <v>129</v>
      </c>
      <c r="L4434" t="s">
        <v>130</v>
      </c>
      <c r="M4434" t="s">
        <v>131</v>
      </c>
      <c r="N4434">
        <v>18</v>
      </c>
      <c r="O4434" t="s">
        <v>40</v>
      </c>
      <c r="P4434" t="s">
        <v>40</v>
      </c>
      <c r="Q4434" t="s">
        <v>40</v>
      </c>
      <c r="R4434" t="s">
        <v>40</v>
      </c>
      <c r="S4434" t="s">
        <v>40</v>
      </c>
      <c r="V4434" t="s">
        <v>41</v>
      </c>
      <c r="W4434" t="s">
        <v>42</v>
      </c>
      <c r="X4434" t="str">
        <f>"0590905"</f>
        <v>0590905</v>
      </c>
      <c r="Y4434" t="s">
        <v>133</v>
      </c>
      <c r="Z4434" t="s">
        <v>129</v>
      </c>
      <c r="AA4434" t="s">
        <v>130</v>
      </c>
      <c r="AB4434" t="s">
        <v>131</v>
      </c>
      <c r="AC4434" t="s">
        <v>51</v>
      </c>
      <c r="AD4434" t="s">
        <v>45</v>
      </c>
      <c r="AE4434" s="1">
        <v>23948</v>
      </c>
      <c r="AF4434">
        <v>2</v>
      </c>
      <c r="AG4434" t="s">
        <v>130</v>
      </c>
      <c r="AH4434" s="36">
        <f t="shared" si="69"/>
        <v>54.19166666666667</v>
      </c>
      <c r="AI4434" s="41" t="s">
        <v>1781</v>
      </c>
    </row>
    <row r="4435" spans="1:35" x14ac:dyDescent="0.25">
      <c r="A4435" s="36">
        <v>99914433</v>
      </c>
      <c r="B4435" s="17" t="s">
        <v>56</v>
      </c>
      <c r="C4435" t="s">
        <v>52</v>
      </c>
      <c r="D4435" t="s">
        <v>53</v>
      </c>
      <c r="G4435" s="17" t="s">
        <v>35</v>
      </c>
      <c r="H4435" s="17">
        <v>11</v>
      </c>
      <c r="K4435" t="s">
        <v>1268</v>
      </c>
      <c r="L4435" t="s">
        <v>1269</v>
      </c>
      <c r="M4435" t="s">
        <v>1270</v>
      </c>
      <c r="N4435">
        <v>18</v>
      </c>
      <c r="O4435" t="s">
        <v>40</v>
      </c>
      <c r="P4435" t="s">
        <v>40</v>
      </c>
      <c r="Q4435" t="s">
        <v>40</v>
      </c>
      <c r="R4435" t="s">
        <v>40</v>
      </c>
      <c r="S4435" t="s">
        <v>40</v>
      </c>
      <c r="U4435" s="1">
        <v>43344</v>
      </c>
      <c r="V4435" t="s">
        <v>41</v>
      </c>
      <c r="W4435" t="s">
        <v>922</v>
      </c>
      <c r="X4435" t="str">
        <f>"1950001"</f>
        <v>1950001</v>
      </c>
      <c r="Y4435" t="s">
        <v>1284</v>
      </c>
      <c r="Z4435" t="s">
        <v>1268</v>
      </c>
      <c r="AA4435" t="s">
        <v>1269</v>
      </c>
      <c r="AB4435" t="s">
        <v>1270</v>
      </c>
      <c r="AC4435" t="s">
        <v>51</v>
      </c>
      <c r="AD4435" t="s">
        <v>45</v>
      </c>
      <c r="AE4435" s="1">
        <v>23947</v>
      </c>
      <c r="AF4435">
        <v>2</v>
      </c>
      <c r="AG4435" t="s">
        <v>1269</v>
      </c>
      <c r="AH4435" s="36">
        <f t="shared" si="69"/>
        <v>54.194444444444443</v>
      </c>
      <c r="AI4435" s="41" t="s">
        <v>1781</v>
      </c>
    </row>
    <row r="4436" spans="1:35" x14ac:dyDescent="0.25">
      <c r="A4436" s="36">
        <v>99914434</v>
      </c>
      <c r="B4436" s="17" t="s">
        <v>32</v>
      </c>
      <c r="C4436" t="s">
        <v>71</v>
      </c>
      <c r="D4436" t="s">
        <v>72</v>
      </c>
      <c r="G4436" s="17" t="s">
        <v>48</v>
      </c>
      <c r="H4436" s="17">
        <v>1</v>
      </c>
      <c r="K4436" t="s">
        <v>157</v>
      </c>
      <c r="L4436" t="s">
        <v>158</v>
      </c>
      <c r="M4436" t="s">
        <v>131</v>
      </c>
      <c r="N4436">
        <v>6</v>
      </c>
      <c r="O4436" t="s">
        <v>40</v>
      </c>
      <c r="P4436" t="s">
        <v>40</v>
      </c>
      <c r="Q4436" t="s">
        <v>40</v>
      </c>
      <c r="S4436" t="s">
        <v>40</v>
      </c>
      <c r="V4436" t="s">
        <v>41</v>
      </c>
      <c r="W4436" t="s">
        <v>42</v>
      </c>
      <c r="X4436" t="str">
        <f>"0580290"</f>
        <v>0580290</v>
      </c>
      <c r="Y4436" t="s">
        <v>171</v>
      </c>
      <c r="Z4436" t="s">
        <v>157</v>
      </c>
      <c r="AA4436" t="s">
        <v>158</v>
      </c>
      <c r="AB4436" t="s">
        <v>131</v>
      </c>
      <c r="AC4436" t="s">
        <v>51</v>
      </c>
      <c r="AD4436" t="s">
        <v>45</v>
      </c>
      <c r="AE4436" s="1">
        <v>23942</v>
      </c>
      <c r="AF4436">
        <v>2</v>
      </c>
      <c r="AG4436" t="s">
        <v>158</v>
      </c>
      <c r="AH4436" s="36">
        <f t="shared" si="69"/>
        <v>54.208333333333336</v>
      </c>
      <c r="AI4436" s="41" t="s">
        <v>1781</v>
      </c>
    </row>
    <row r="4437" spans="1:35" x14ac:dyDescent="0.25">
      <c r="A4437" s="36">
        <v>99914435</v>
      </c>
      <c r="B4437" s="17" t="s">
        <v>56</v>
      </c>
      <c r="C4437" t="s">
        <v>33</v>
      </c>
      <c r="D4437" t="s">
        <v>34</v>
      </c>
      <c r="G4437" s="17" t="s">
        <v>35</v>
      </c>
      <c r="H4437" s="17">
        <v>1</v>
      </c>
      <c r="K4437" t="s">
        <v>223</v>
      </c>
      <c r="L4437" t="s">
        <v>224</v>
      </c>
      <c r="M4437" t="s">
        <v>131</v>
      </c>
      <c r="N4437">
        <v>18</v>
      </c>
      <c r="O4437" t="s">
        <v>40</v>
      </c>
      <c r="P4437" t="s">
        <v>40</v>
      </c>
      <c r="Q4437" t="s">
        <v>40</v>
      </c>
      <c r="S4437" t="s">
        <v>40</v>
      </c>
      <c r="V4437" t="s">
        <v>41</v>
      </c>
      <c r="W4437" t="s">
        <v>42</v>
      </c>
      <c r="X4437" t="str">
        <f>"0590903"</f>
        <v>0590903</v>
      </c>
      <c r="Y4437" t="s">
        <v>226</v>
      </c>
      <c r="Z4437" t="s">
        <v>223</v>
      </c>
      <c r="AA4437" t="s">
        <v>224</v>
      </c>
      <c r="AB4437" t="s">
        <v>131</v>
      </c>
      <c r="AC4437" t="s">
        <v>51</v>
      </c>
      <c r="AD4437" t="s">
        <v>45</v>
      </c>
      <c r="AE4437" s="1">
        <v>23939</v>
      </c>
      <c r="AF4437">
        <v>2</v>
      </c>
      <c r="AG4437" t="s">
        <v>224</v>
      </c>
      <c r="AH4437" s="36">
        <f t="shared" si="69"/>
        <v>54.216666666666669</v>
      </c>
      <c r="AI4437" s="41" t="s">
        <v>1781</v>
      </c>
    </row>
    <row r="4438" spans="1:35" x14ac:dyDescent="0.25">
      <c r="A4438" s="36">
        <v>99914436</v>
      </c>
      <c r="B4438" s="17" t="s">
        <v>32</v>
      </c>
      <c r="C4438" t="s">
        <v>85</v>
      </c>
      <c r="D4438" t="s">
        <v>86</v>
      </c>
      <c r="G4438" s="17" t="s">
        <v>48</v>
      </c>
      <c r="H4438" s="17">
        <v>6</v>
      </c>
      <c r="K4438" t="s">
        <v>1268</v>
      </c>
      <c r="L4438" t="s">
        <v>1269</v>
      </c>
      <c r="M4438" t="s">
        <v>1270</v>
      </c>
      <c r="N4438">
        <v>21</v>
      </c>
      <c r="O4438" t="s">
        <v>40</v>
      </c>
      <c r="P4438" t="s">
        <v>40</v>
      </c>
      <c r="Q4438" t="s">
        <v>40</v>
      </c>
      <c r="R4438" t="s">
        <v>40</v>
      </c>
      <c r="S4438" t="s">
        <v>40</v>
      </c>
      <c r="V4438" t="s">
        <v>41</v>
      </c>
      <c r="W4438" t="s">
        <v>49</v>
      </c>
      <c r="X4438" t="str">
        <f>"1960001"</f>
        <v>1960001</v>
      </c>
      <c r="Y4438" t="s">
        <v>1272</v>
      </c>
      <c r="Z4438" t="s">
        <v>1268</v>
      </c>
      <c r="AA4438" t="s">
        <v>1269</v>
      </c>
      <c r="AB4438" t="s">
        <v>1270</v>
      </c>
      <c r="AC4438" t="s">
        <v>51</v>
      </c>
      <c r="AD4438" t="s">
        <v>45</v>
      </c>
      <c r="AE4438" s="1">
        <v>23938</v>
      </c>
      <c r="AF4438">
        <v>2</v>
      </c>
      <c r="AG4438" t="s">
        <v>1269</v>
      </c>
      <c r="AH4438" s="36">
        <f t="shared" si="69"/>
        <v>54.219444444444441</v>
      </c>
      <c r="AI4438" s="41" t="s">
        <v>1781</v>
      </c>
    </row>
    <row r="4439" spans="1:35" x14ac:dyDescent="0.25">
      <c r="A4439" s="36">
        <v>99914437</v>
      </c>
      <c r="B4439" s="17" t="s">
        <v>56</v>
      </c>
      <c r="C4439" t="s">
        <v>111</v>
      </c>
      <c r="D4439" t="s">
        <v>112</v>
      </c>
      <c r="G4439" s="17" t="s">
        <v>48</v>
      </c>
      <c r="H4439" s="17">
        <v>14</v>
      </c>
      <c r="I4439" t="s">
        <v>444</v>
      </c>
      <c r="J4439" s="1">
        <v>42614</v>
      </c>
      <c r="K4439" t="s">
        <v>431</v>
      </c>
      <c r="L4439" t="s">
        <v>196</v>
      </c>
      <c r="M4439" t="s">
        <v>131</v>
      </c>
      <c r="N4439">
        <v>21</v>
      </c>
      <c r="O4439" t="s">
        <v>40</v>
      </c>
      <c r="P4439" t="s">
        <v>40</v>
      </c>
      <c r="Q4439" t="s">
        <v>40</v>
      </c>
      <c r="R4439" t="s">
        <v>40</v>
      </c>
      <c r="S4439" t="s">
        <v>40</v>
      </c>
      <c r="U4439" s="1">
        <v>42614</v>
      </c>
      <c r="V4439" t="s">
        <v>41</v>
      </c>
      <c r="W4439" t="s">
        <v>75</v>
      </c>
      <c r="X4439" t="str">
        <f>"7521022"</f>
        <v>7521022</v>
      </c>
      <c r="Y4439" t="s">
        <v>445</v>
      </c>
      <c r="Z4439" t="s">
        <v>431</v>
      </c>
      <c r="AA4439" t="s">
        <v>196</v>
      </c>
      <c r="AB4439" t="s">
        <v>131</v>
      </c>
      <c r="AC4439" t="s">
        <v>51</v>
      </c>
      <c r="AD4439" t="s">
        <v>45</v>
      </c>
      <c r="AE4439" s="1">
        <v>23936</v>
      </c>
      <c r="AF4439">
        <v>1</v>
      </c>
      <c r="AG4439" t="s">
        <v>196</v>
      </c>
      <c r="AH4439" s="36">
        <f t="shared" si="69"/>
        <v>54.225000000000001</v>
      </c>
      <c r="AI4439" s="41" t="s">
        <v>1781</v>
      </c>
    </row>
    <row r="4440" spans="1:35" x14ac:dyDescent="0.25">
      <c r="A4440" s="36">
        <v>99914438</v>
      </c>
      <c r="B4440" s="17" t="s">
        <v>56</v>
      </c>
      <c r="C4440" t="s">
        <v>141</v>
      </c>
      <c r="D4440" t="s">
        <v>142</v>
      </c>
      <c r="G4440" s="17" t="s">
        <v>48</v>
      </c>
      <c r="H4440" s="17">
        <v>1</v>
      </c>
      <c r="K4440" t="s">
        <v>345</v>
      </c>
      <c r="L4440" t="s">
        <v>346</v>
      </c>
      <c r="M4440" t="s">
        <v>131</v>
      </c>
      <c r="N4440">
        <v>18</v>
      </c>
      <c r="O4440" t="s">
        <v>40</v>
      </c>
      <c r="P4440" t="s">
        <v>40</v>
      </c>
      <c r="Q4440" t="s">
        <v>40</v>
      </c>
      <c r="R4440" t="s">
        <v>40</v>
      </c>
      <c r="S4440" t="s">
        <v>40</v>
      </c>
      <c r="V4440" t="s">
        <v>41</v>
      </c>
      <c r="W4440" t="s">
        <v>49</v>
      </c>
      <c r="X4440" t="str">
        <f>"0591906"</f>
        <v>0591906</v>
      </c>
      <c r="Y4440" t="s">
        <v>350</v>
      </c>
      <c r="Z4440" t="s">
        <v>345</v>
      </c>
      <c r="AA4440" t="s">
        <v>346</v>
      </c>
      <c r="AB4440" t="s">
        <v>131</v>
      </c>
      <c r="AC4440" t="s">
        <v>51</v>
      </c>
      <c r="AD4440" t="s">
        <v>45</v>
      </c>
      <c r="AE4440" s="1">
        <v>23933</v>
      </c>
      <c r="AF4440">
        <v>2</v>
      </c>
      <c r="AG4440" t="s">
        <v>346</v>
      </c>
      <c r="AH4440" s="36">
        <f t="shared" si="69"/>
        <v>54.233333333333334</v>
      </c>
      <c r="AI4440" s="41" t="s">
        <v>1781</v>
      </c>
    </row>
    <row r="4441" spans="1:35" x14ac:dyDescent="0.25">
      <c r="A4441" s="36">
        <v>99914439</v>
      </c>
      <c r="B4441" s="17" t="s">
        <v>32</v>
      </c>
      <c r="C4441" t="s">
        <v>139</v>
      </c>
      <c r="D4441" t="s">
        <v>140</v>
      </c>
      <c r="G4441" s="17" t="s">
        <v>35</v>
      </c>
      <c r="H4441" s="17">
        <v>1</v>
      </c>
      <c r="I4441" t="s">
        <v>1162</v>
      </c>
      <c r="J4441" s="1">
        <v>43344</v>
      </c>
      <c r="K4441" t="s">
        <v>1128</v>
      </c>
      <c r="L4441" t="s">
        <v>1129</v>
      </c>
      <c r="M4441" t="s">
        <v>1130</v>
      </c>
      <c r="N4441">
        <v>10</v>
      </c>
      <c r="O4441" t="s">
        <v>40</v>
      </c>
      <c r="P4441" t="s">
        <v>40</v>
      </c>
      <c r="Q4441" t="s">
        <v>40</v>
      </c>
      <c r="R4441" t="s">
        <v>40</v>
      </c>
      <c r="S4441" t="s">
        <v>40</v>
      </c>
      <c r="U4441" s="1">
        <v>43344</v>
      </c>
      <c r="V4441" t="s">
        <v>41</v>
      </c>
      <c r="W4441" t="s">
        <v>49</v>
      </c>
      <c r="X4441" t="str">
        <f>"3160002"</f>
        <v>3160002</v>
      </c>
      <c r="Y4441" t="s">
        <v>1143</v>
      </c>
      <c r="Z4441" t="s">
        <v>1128</v>
      </c>
      <c r="AA4441" t="s">
        <v>1129</v>
      </c>
      <c r="AB4441" t="s">
        <v>1130</v>
      </c>
      <c r="AC4441" t="s">
        <v>51</v>
      </c>
      <c r="AD4441" t="s">
        <v>45</v>
      </c>
      <c r="AE4441" s="1">
        <v>23933</v>
      </c>
      <c r="AF4441">
        <v>2</v>
      </c>
      <c r="AG4441" t="s">
        <v>1129</v>
      </c>
      <c r="AH4441" s="36">
        <f t="shared" si="69"/>
        <v>54.233333333333334</v>
      </c>
      <c r="AI4441" s="41" t="s">
        <v>1781</v>
      </c>
    </row>
    <row r="4442" spans="1:35" x14ac:dyDescent="0.25">
      <c r="A4442" s="36">
        <v>99914440</v>
      </c>
      <c r="B4442" s="17" t="s">
        <v>32</v>
      </c>
      <c r="C4442" t="s">
        <v>90</v>
      </c>
      <c r="D4442" t="s">
        <v>91</v>
      </c>
      <c r="G4442" s="17" t="s">
        <v>48</v>
      </c>
      <c r="H4442" s="17">
        <v>1</v>
      </c>
      <c r="K4442" t="s">
        <v>1334</v>
      </c>
      <c r="L4442" t="s">
        <v>1335</v>
      </c>
      <c r="M4442" t="s">
        <v>1270</v>
      </c>
      <c r="N4442">
        <v>25</v>
      </c>
      <c r="O4442" t="s">
        <v>40</v>
      </c>
      <c r="P4442" t="s">
        <v>40</v>
      </c>
      <c r="Q4442" t="s">
        <v>40</v>
      </c>
      <c r="S4442" t="s">
        <v>40</v>
      </c>
      <c r="V4442" t="s">
        <v>41</v>
      </c>
      <c r="W4442" t="s">
        <v>95</v>
      </c>
      <c r="X4442" t="str">
        <f>"7391005"</f>
        <v>7391005</v>
      </c>
      <c r="Y4442" t="s">
        <v>1470</v>
      </c>
      <c r="Z4442" t="s">
        <v>1334</v>
      </c>
      <c r="AA4442" t="s">
        <v>1335</v>
      </c>
      <c r="AB4442" t="s">
        <v>1270</v>
      </c>
      <c r="AC4442" t="s">
        <v>51</v>
      </c>
      <c r="AD4442" t="s">
        <v>45</v>
      </c>
      <c r="AE4442" s="1">
        <v>23933</v>
      </c>
      <c r="AF4442">
        <v>1</v>
      </c>
      <c r="AG4442" t="s">
        <v>1335</v>
      </c>
      <c r="AH4442" s="36">
        <f t="shared" si="69"/>
        <v>54.233333333333334</v>
      </c>
      <c r="AI4442" s="41" t="s">
        <v>1781</v>
      </c>
    </row>
    <row r="4443" spans="1:35" x14ac:dyDescent="0.25">
      <c r="A4443" s="36">
        <v>99914441</v>
      </c>
      <c r="B4443" s="17" t="s">
        <v>32</v>
      </c>
      <c r="C4443" t="s">
        <v>282</v>
      </c>
      <c r="D4443" t="s">
        <v>283</v>
      </c>
      <c r="G4443" s="17" t="s">
        <v>35</v>
      </c>
      <c r="H4443" s="17">
        <v>1</v>
      </c>
      <c r="K4443" t="s">
        <v>223</v>
      </c>
      <c r="L4443" t="s">
        <v>224</v>
      </c>
      <c r="M4443" t="s">
        <v>131</v>
      </c>
      <c r="N4443">
        <v>18</v>
      </c>
      <c r="O4443" t="s">
        <v>40</v>
      </c>
      <c r="P4443" t="s">
        <v>40</v>
      </c>
      <c r="Q4443" t="s">
        <v>40</v>
      </c>
      <c r="S4443" t="s">
        <v>40</v>
      </c>
      <c r="V4443" t="s">
        <v>41</v>
      </c>
      <c r="W4443" t="s">
        <v>49</v>
      </c>
      <c r="X4443" t="str">
        <f>"0581207"</f>
        <v>0581207</v>
      </c>
      <c r="Y4443" t="s">
        <v>233</v>
      </c>
      <c r="Z4443" t="s">
        <v>223</v>
      </c>
      <c r="AA4443" t="s">
        <v>224</v>
      </c>
      <c r="AB4443" t="s">
        <v>131</v>
      </c>
      <c r="AC4443" t="s">
        <v>165</v>
      </c>
      <c r="AD4443" t="s">
        <v>45</v>
      </c>
      <c r="AE4443" s="1">
        <v>23932</v>
      </c>
      <c r="AF4443">
        <v>2</v>
      </c>
      <c r="AG4443" t="s">
        <v>224</v>
      </c>
      <c r="AH4443" s="36">
        <f t="shared" si="69"/>
        <v>54.236111111111114</v>
      </c>
      <c r="AI4443" s="41" t="s">
        <v>1781</v>
      </c>
    </row>
    <row r="4444" spans="1:35" x14ac:dyDescent="0.25">
      <c r="A4444" s="36">
        <v>99914442</v>
      </c>
      <c r="B4444" s="17" t="s">
        <v>32</v>
      </c>
      <c r="C4444" t="s">
        <v>52</v>
      </c>
      <c r="D4444" t="s">
        <v>53</v>
      </c>
      <c r="G4444" s="17" t="s">
        <v>48</v>
      </c>
      <c r="H4444" s="17">
        <v>1</v>
      </c>
      <c r="K4444" t="s">
        <v>157</v>
      </c>
      <c r="L4444" t="s">
        <v>158</v>
      </c>
      <c r="M4444" t="s">
        <v>131</v>
      </c>
      <c r="N4444">
        <v>5</v>
      </c>
      <c r="O4444" t="s">
        <v>40</v>
      </c>
      <c r="P4444" t="s">
        <v>40</v>
      </c>
      <c r="Q4444" t="s">
        <v>40</v>
      </c>
      <c r="S4444" t="s">
        <v>40</v>
      </c>
      <c r="V4444" t="s">
        <v>41</v>
      </c>
      <c r="W4444" t="s">
        <v>42</v>
      </c>
      <c r="X4444" t="str">
        <f>"0580290"</f>
        <v>0580290</v>
      </c>
      <c r="Y4444" t="s">
        <v>171</v>
      </c>
      <c r="Z4444" t="s">
        <v>157</v>
      </c>
      <c r="AA4444" t="s">
        <v>158</v>
      </c>
      <c r="AB4444" t="s">
        <v>131</v>
      </c>
      <c r="AC4444" t="s">
        <v>51</v>
      </c>
      <c r="AD4444" t="s">
        <v>45</v>
      </c>
      <c r="AE4444" s="1">
        <v>23927</v>
      </c>
      <c r="AF4444">
        <v>2</v>
      </c>
      <c r="AG4444" t="s">
        <v>158</v>
      </c>
      <c r="AH4444" s="36">
        <f t="shared" si="69"/>
        <v>54.25</v>
      </c>
      <c r="AI4444" s="41" t="s">
        <v>1781</v>
      </c>
    </row>
    <row r="4445" spans="1:35" x14ac:dyDescent="0.25">
      <c r="A4445" s="36">
        <v>99914443</v>
      </c>
      <c r="B4445" s="17" t="s">
        <v>32</v>
      </c>
      <c r="C4445" t="s">
        <v>139</v>
      </c>
      <c r="D4445" t="s">
        <v>140</v>
      </c>
      <c r="G4445" s="17" t="s">
        <v>48</v>
      </c>
      <c r="H4445" s="17">
        <v>1</v>
      </c>
      <c r="K4445" t="s">
        <v>380</v>
      </c>
      <c r="L4445" t="s">
        <v>381</v>
      </c>
      <c r="M4445" t="s">
        <v>131</v>
      </c>
      <c r="N4445">
        <v>18</v>
      </c>
      <c r="O4445" t="s">
        <v>40</v>
      </c>
      <c r="P4445" t="s">
        <v>40</v>
      </c>
      <c r="Q4445" t="s">
        <v>40</v>
      </c>
      <c r="S4445" t="s">
        <v>40</v>
      </c>
      <c r="V4445" t="s">
        <v>41</v>
      </c>
      <c r="W4445" t="s">
        <v>42</v>
      </c>
      <c r="X4445" t="str">
        <f>"0590909"</f>
        <v>0590909</v>
      </c>
      <c r="Y4445" t="s">
        <v>388</v>
      </c>
      <c r="Z4445" t="s">
        <v>380</v>
      </c>
      <c r="AA4445" t="s">
        <v>381</v>
      </c>
      <c r="AB4445" t="s">
        <v>131</v>
      </c>
      <c r="AC4445" t="s">
        <v>51</v>
      </c>
      <c r="AD4445" t="s">
        <v>45</v>
      </c>
      <c r="AE4445" s="1">
        <v>23927</v>
      </c>
      <c r="AF4445">
        <v>2</v>
      </c>
      <c r="AG4445" t="s">
        <v>381</v>
      </c>
      <c r="AH4445" s="36">
        <f t="shared" si="69"/>
        <v>54.25</v>
      </c>
      <c r="AI4445" s="41" t="s">
        <v>1781</v>
      </c>
    </row>
    <row r="4446" spans="1:35" x14ac:dyDescent="0.25">
      <c r="A4446" s="36">
        <v>99914444</v>
      </c>
      <c r="B4446" s="17" t="s">
        <v>32</v>
      </c>
      <c r="C4446" t="s">
        <v>64</v>
      </c>
      <c r="D4446" t="s">
        <v>65</v>
      </c>
      <c r="G4446" s="17" t="s">
        <v>35</v>
      </c>
      <c r="H4446" s="17">
        <v>1</v>
      </c>
      <c r="I4446">
        <v>6983</v>
      </c>
      <c r="J4446" s="1">
        <v>43344</v>
      </c>
      <c r="K4446" t="s">
        <v>1306</v>
      </c>
      <c r="L4446" t="s">
        <v>1307</v>
      </c>
      <c r="M4446" t="s">
        <v>1270</v>
      </c>
      <c r="N4446">
        <v>18</v>
      </c>
      <c r="O4446" t="s">
        <v>40</v>
      </c>
      <c r="P4446" t="s">
        <v>40</v>
      </c>
      <c r="Q4446" t="s">
        <v>40</v>
      </c>
      <c r="R4446" t="s">
        <v>40</v>
      </c>
      <c r="S4446" t="s">
        <v>40</v>
      </c>
      <c r="U4446" s="1">
        <v>43344</v>
      </c>
      <c r="V4446" t="s">
        <v>41</v>
      </c>
      <c r="W4446" t="s">
        <v>49</v>
      </c>
      <c r="X4446" t="str">
        <f>"1991915"</f>
        <v>1991915</v>
      </c>
      <c r="Y4446" t="s">
        <v>1316</v>
      </c>
      <c r="Z4446" t="s">
        <v>1306</v>
      </c>
      <c r="AA4446" t="s">
        <v>1307</v>
      </c>
      <c r="AB4446" t="s">
        <v>1270</v>
      </c>
      <c r="AC4446" t="s">
        <v>51</v>
      </c>
      <c r="AD4446" t="s">
        <v>45</v>
      </c>
      <c r="AE4446" s="1">
        <v>23927</v>
      </c>
      <c r="AF4446">
        <v>2</v>
      </c>
      <c r="AG4446" t="s">
        <v>1307</v>
      </c>
      <c r="AH4446" s="36">
        <f t="shared" si="69"/>
        <v>54.25</v>
      </c>
      <c r="AI4446" s="41" t="s">
        <v>1781</v>
      </c>
    </row>
    <row r="4447" spans="1:35" x14ac:dyDescent="0.25">
      <c r="A4447" s="36">
        <v>99914445</v>
      </c>
      <c r="B4447" s="17" t="s">
        <v>32</v>
      </c>
      <c r="C4447" t="s">
        <v>90</v>
      </c>
      <c r="D4447" t="s">
        <v>91</v>
      </c>
      <c r="G4447" s="17" t="s">
        <v>35</v>
      </c>
      <c r="H4447" s="17">
        <v>1</v>
      </c>
      <c r="K4447" t="s">
        <v>667</v>
      </c>
      <c r="L4447" t="s">
        <v>669</v>
      </c>
      <c r="M4447" t="s">
        <v>670</v>
      </c>
      <c r="N4447">
        <v>25</v>
      </c>
      <c r="O4447" t="s">
        <v>40</v>
      </c>
      <c r="P4447" t="s">
        <v>40</v>
      </c>
      <c r="Q4447" t="s">
        <v>40</v>
      </c>
      <c r="S4447" t="s">
        <v>40</v>
      </c>
      <c r="V4447" t="s">
        <v>41</v>
      </c>
      <c r="W4447" t="s">
        <v>95</v>
      </c>
      <c r="X4447" t="str">
        <f>"7501001"</f>
        <v>7501001</v>
      </c>
      <c r="Y4447" t="s">
        <v>1525</v>
      </c>
      <c r="Z4447" t="s">
        <v>667</v>
      </c>
      <c r="AA4447" t="s">
        <v>669</v>
      </c>
      <c r="AB4447" t="s">
        <v>670</v>
      </c>
      <c r="AC4447" t="s">
        <v>51</v>
      </c>
      <c r="AD4447" t="s">
        <v>45</v>
      </c>
      <c r="AE4447" s="1">
        <v>23923</v>
      </c>
      <c r="AF4447">
        <v>1</v>
      </c>
      <c r="AG4447" t="s">
        <v>669</v>
      </c>
      <c r="AH4447" s="36">
        <f t="shared" si="69"/>
        <v>54.261111111111113</v>
      </c>
      <c r="AI4447" s="41" t="s">
        <v>1781</v>
      </c>
    </row>
    <row r="4448" spans="1:35" x14ac:dyDescent="0.25">
      <c r="A4448" s="36">
        <v>99914446</v>
      </c>
      <c r="B4448" s="17" t="s">
        <v>32</v>
      </c>
      <c r="C4448" t="s">
        <v>46</v>
      </c>
      <c r="D4448" t="s">
        <v>47</v>
      </c>
      <c r="G4448" s="17" t="s">
        <v>48</v>
      </c>
      <c r="H4448" s="17">
        <v>13</v>
      </c>
      <c r="K4448" t="s">
        <v>129</v>
      </c>
      <c r="L4448" t="s">
        <v>130</v>
      </c>
      <c r="M4448" t="s">
        <v>131</v>
      </c>
      <c r="N4448">
        <v>18</v>
      </c>
      <c r="O4448" t="s">
        <v>40</v>
      </c>
      <c r="P4448" t="s">
        <v>40</v>
      </c>
      <c r="Q4448" t="s">
        <v>40</v>
      </c>
      <c r="R4448" t="s">
        <v>40</v>
      </c>
      <c r="S4448" t="s">
        <v>40</v>
      </c>
      <c r="U4448" s="1">
        <v>32752</v>
      </c>
      <c r="V4448" t="s">
        <v>41</v>
      </c>
      <c r="W4448" t="s">
        <v>42</v>
      </c>
      <c r="X4448" t="str">
        <f>"0561011"</f>
        <v>0561011</v>
      </c>
      <c r="Y4448" t="s">
        <v>132</v>
      </c>
      <c r="Z4448" t="s">
        <v>129</v>
      </c>
      <c r="AA4448" t="s">
        <v>130</v>
      </c>
      <c r="AB4448" t="s">
        <v>131</v>
      </c>
      <c r="AC4448" t="s">
        <v>51</v>
      </c>
      <c r="AD4448" t="s">
        <v>45</v>
      </c>
      <c r="AE4448" s="1">
        <v>23922</v>
      </c>
      <c r="AF4448">
        <v>2</v>
      </c>
      <c r="AG4448" t="s">
        <v>130</v>
      </c>
      <c r="AH4448" s="36">
        <f t="shared" si="69"/>
        <v>54.263888888888886</v>
      </c>
      <c r="AI4448" s="41" t="s">
        <v>1781</v>
      </c>
    </row>
    <row r="4449" spans="1:35" x14ac:dyDescent="0.25">
      <c r="A4449" s="36">
        <v>99914447</v>
      </c>
      <c r="B4449" s="17" t="s">
        <v>32</v>
      </c>
      <c r="C4449" t="s">
        <v>46</v>
      </c>
      <c r="D4449" t="s">
        <v>47</v>
      </c>
      <c r="G4449" s="17" t="s">
        <v>48</v>
      </c>
      <c r="H4449" s="17">
        <v>14</v>
      </c>
      <c r="K4449" t="s">
        <v>1268</v>
      </c>
      <c r="L4449" t="s">
        <v>1269</v>
      </c>
      <c r="M4449" t="s">
        <v>1270</v>
      </c>
      <c r="N4449">
        <v>18</v>
      </c>
      <c r="O4449" t="s">
        <v>40</v>
      </c>
      <c r="P4449" t="s">
        <v>40</v>
      </c>
      <c r="Q4449" t="s">
        <v>40</v>
      </c>
      <c r="R4449" t="s">
        <v>40</v>
      </c>
      <c r="S4449" t="s">
        <v>40</v>
      </c>
      <c r="V4449" t="s">
        <v>41</v>
      </c>
      <c r="W4449" t="s">
        <v>42</v>
      </c>
      <c r="X4449" t="str">
        <f>"1980060"</f>
        <v>1980060</v>
      </c>
      <c r="Y4449" t="s">
        <v>1277</v>
      </c>
      <c r="Z4449" t="s">
        <v>1268</v>
      </c>
      <c r="AA4449" t="s">
        <v>1269</v>
      </c>
      <c r="AB4449" t="s">
        <v>1270</v>
      </c>
      <c r="AC4449" t="s">
        <v>51</v>
      </c>
      <c r="AD4449" t="s">
        <v>45</v>
      </c>
      <c r="AE4449" s="1">
        <v>23921</v>
      </c>
      <c r="AF4449">
        <v>2</v>
      </c>
      <c r="AG4449" t="s">
        <v>1269</v>
      </c>
      <c r="AH4449" s="36">
        <f t="shared" si="69"/>
        <v>54.266666666666666</v>
      </c>
      <c r="AI4449" s="41" t="s">
        <v>1781</v>
      </c>
    </row>
    <row r="4450" spans="1:35" x14ac:dyDescent="0.25">
      <c r="A4450" s="36">
        <v>99914448</v>
      </c>
      <c r="B4450" s="17" t="s">
        <v>56</v>
      </c>
      <c r="C4450" t="s">
        <v>52</v>
      </c>
      <c r="D4450" t="s">
        <v>53</v>
      </c>
      <c r="G4450" s="17" t="s">
        <v>48</v>
      </c>
      <c r="H4450" s="17">
        <v>1</v>
      </c>
      <c r="K4450" t="s">
        <v>345</v>
      </c>
      <c r="L4450" t="s">
        <v>346</v>
      </c>
      <c r="M4450" t="s">
        <v>131</v>
      </c>
      <c r="N4450">
        <v>20</v>
      </c>
      <c r="O4450" t="s">
        <v>40</v>
      </c>
      <c r="P4450" t="s">
        <v>40</v>
      </c>
      <c r="Q4450" t="s">
        <v>40</v>
      </c>
      <c r="R4450" t="s">
        <v>40</v>
      </c>
      <c r="S4450" t="s">
        <v>40</v>
      </c>
      <c r="V4450" t="s">
        <v>41</v>
      </c>
      <c r="W4450" t="s">
        <v>42</v>
      </c>
      <c r="X4450" t="str">
        <f>"0590906"</f>
        <v>0590906</v>
      </c>
      <c r="Y4450" t="s">
        <v>361</v>
      </c>
      <c r="Z4450" t="s">
        <v>345</v>
      </c>
      <c r="AA4450" t="s">
        <v>346</v>
      </c>
      <c r="AB4450" t="s">
        <v>131</v>
      </c>
      <c r="AC4450" t="s">
        <v>51</v>
      </c>
      <c r="AD4450" t="s">
        <v>45</v>
      </c>
      <c r="AE4450" s="1">
        <v>23920</v>
      </c>
      <c r="AF4450">
        <v>2</v>
      </c>
      <c r="AG4450" t="s">
        <v>346</v>
      </c>
      <c r="AH4450" s="36">
        <f t="shared" si="69"/>
        <v>54.269444444444446</v>
      </c>
      <c r="AI4450" s="41" t="s">
        <v>1781</v>
      </c>
    </row>
    <row r="4451" spans="1:35" x14ac:dyDescent="0.25">
      <c r="A4451" s="36">
        <v>99914449</v>
      </c>
      <c r="B4451" s="17" t="s">
        <v>32</v>
      </c>
      <c r="C4451" t="s">
        <v>52</v>
      </c>
      <c r="D4451" t="s">
        <v>53</v>
      </c>
      <c r="G4451" s="17" t="s">
        <v>35</v>
      </c>
      <c r="H4451" s="17">
        <v>1</v>
      </c>
      <c r="K4451" t="s">
        <v>345</v>
      </c>
      <c r="L4451" t="s">
        <v>346</v>
      </c>
      <c r="M4451" t="s">
        <v>131</v>
      </c>
      <c r="N4451">
        <v>21</v>
      </c>
      <c r="O4451" t="s">
        <v>40</v>
      </c>
      <c r="P4451" t="s">
        <v>40</v>
      </c>
      <c r="Q4451" t="s">
        <v>40</v>
      </c>
      <c r="S4451" t="s">
        <v>40</v>
      </c>
      <c r="V4451" t="s">
        <v>41</v>
      </c>
      <c r="W4451" t="s">
        <v>49</v>
      </c>
      <c r="X4451" t="str">
        <f>"0560007"</f>
        <v>0560007</v>
      </c>
      <c r="Y4451" t="s">
        <v>357</v>
      </c>
      <c r="Z4451" t="s">
        <v>345</v>
      </c>
      <c r="AA4451" t="s">
        <v>346</v>
      </c>
      <c r="AB4451" t="s">
        <v>131</v>
      </c>
      <c r="AC4451" t="s">
        <v>51</v>
      </c>
      <c r="AD4451" t="s">
        <v>45</v>
      </c>
      <c r="AE4451" s="1">
        <v>23919</v>
      </c>
      <c r="AF4451">
        <v>2</v>
      </c>
      <c r="AG4451" t="s">
        <v>346</v>
      </c>
      <c r="AH4451" s="36">
        <f t="shared" si="69"/>
        <v>54.272222222222226</v>
      </c>
      <c r="AI4451" s="41" t="s">
        <v>1781</v>
      </c>
    </row>
    <row r="4452" spans="1:35" x14ac:dyDescent="0.25">
      <c r="A4452" s="36">
        <v>99914450</v>
      </c>
      <c r="B4452" s="17" t="s">
        <v>56</v>
      </c>
      <c r="C4452" t="s">
        <v>79</v>
      </c>
      <c r="D4452" t="s">
        <v>80</v>
      </c>
      <c r="G4452" s="17" t="s">
        <v>35</v>
      </c>
      <c r="H4452" s="17">
        <v>1</v>
      </c>
      <c r="K4452" t="s">
        <v>354</v>
      </c>
      <c r="L4452" t="s">
        <v>355</v>
      </c>
      <c r="M4452" t="s">
        <v>131</v>
      </c>
      <c r="N4452">
        <v>16</v>
      </c>
      <c r="O4452" t="s">
        <v>40</v>
      </c>
      <c r="Q4452" t="s">
        <v>40</v>
      </c>
      <c r="S4452" t="s">
        <v>40</v>
      </c>
      <c r="V4452" t="s">
        <v>41</v>
      </c>
      <c r="W4452" t="s">
        <v>75</v>
      </c>
      <c r="X4452" t="str">
        <f>"7054028"</f>
        <v>7054028</v>
      </c>
      <c r="Y4452" t="s">
        <v>788</v>
      </c>
      <c r="Z4452" t="s">
        <v>354</v>
      </c>
      <c r="AA4452" t="s">
        <v>355</v>
      </c>
      <c r="AB4452" t="s">
        <v>131</v>
      </c>
      <c r="AC4452" t="s">
        <v>51</v>
      </c>
      <c r="AD4452" t="s">
        <v>45</v>
      </c>
      <c r="AE4452" s="1">
        <v>23917</v>
      </c>
      <c r="AF4452">
        <v>1</v>
      </c>
      <c r="AG4452" t="s">
        <v>355</v>
      </c>
      <c r="AH4452" s="36">
        <f t="shared" si="69"/>
        <v>54.277777777777779</v>
      </c>
      <c r="AI4452" s="41" t="s">
        <v>1781</v>
      </c>
    </row>
    <row r="4453" spans="1:35" x14ac:dyDescent="0.25">
      <c r="A4453" s="36">
        <v>99914451</v>
      </c>
      <c r="B4453" s="17" t="s">
        <v>56</v>
      </c>
      <c r="C4453" t="s">
        <v>145</v>
      </c>
      <c r="D4453" t="s">
        <v>146</v>
      </c>
      <c r="G4453" s="17" t="s">
        <v>48</v>
      </c>
      <c r="H4453" s="17">
        <v>1</v>
      </c>
      <c r="K4453" t="s">
        <v>1128</v>
      </c>
      <c r="L4453" t="s">
        <v>1129</v>
      </c>
      <c r="M4453" t="s">
        <v>1130</v>
      </c>
      <c r="N4453">
        <v>20</v>
      </c>
      <c r="O4453" t="s">
        <v>40</v>
      </c>
      <c r="P4453" t="s">
        <v>40</v>
      </c>
      <c r="Q4453" t="s">
        <v>40</v>
      </c>
      <c r="R4453" t="s">
        <v>40</v>
      </c>
      <c r="S4453" t="s">
        <v>40</v>
      </c>
      <c r="V4453" t="s">
        <v>41</v>
      </c>
      <c r="W4453" t="s">
        <v>42</v>
      </c>
      <c r="X4453" t="str">
        <f>"3180010"</f>
        <v>3180010</v>
      </c>
      <c r="Y4453" t="s">
        <v>1132</v>
      </c>
      <c r="Z4453" t="s">
        <v>1128</v>
      </c>
      <c r="AA4453" t="s">
        <v>1129</v>
      </c>
      <c r="AB4453" t="s">
        <v>1130</v>
      </c>
      <c r="AC4453" t="s">
        <v>51</v>
      </c>
      <c r="AD4453" t="s">
        <v>45</v>
      </c>
      <c r="AE4453" s="1">
        <v>23916</v>
      </c>
      <c r="AF4453">
        <v>2</v>
      </c>
      <c r="AG4453" t="s">
        <v>1129</v>
      </c>
      <c r="AH4453" s="36">
        <f t="shared" si="69"/>
        <v>54.280555555555559</v>
      </c>
      <c r="AI4453" s="41" t="s">
        <v>1781</v>
      </c>
    </row>
    <row r="4454" spans="1:35" x14ac:dyDescent="0.25">
      <c r="A4454" s="36">
        <v>99914452</v>
      </c>
      <c r="B4454" s="17" t="s">
        <v>32</v>
      </c>
      <c r="C4454" t="s">
        <v>46</v>
      </c>
      <c r="D4454" t="s">
        <v>47</v>
      </c>
      <c r="G4454" s="17" t="s">
        <v>48</v>
      </c>
      <c r="H4454" s="17">
        <v>1</v>
      </c>
      <c r="K4454" t="s">
        <v>157</v>
      </c>
      <c r="L4454" t="s">
        <v>158</v>
      </c>
      <c r="M4454" t="s">
        <v>131</v>
      </c>
      <c r="N4454">
        <v>18</v>
      </c>
      <c r="O4454" t="s">
        <v>40</v>
      </c>
      <c r="P4454" t="s">
        <v>40</v>
      </c>
      <c r="Q4454" t="s">
        <v>40</v>
      </c>
      <c r="R4454" t="s">
        <v>40</v>
      </c>
      <c r="S4454" t="s">
        <v>40</v>
      </c>
      <c r="V4454" t="s">
        <v>41</v>
      </c>
      <c r="W4454" t="s">
        <v>42</v>
      </c>
      <c r="X4454" t="str">
        <f>"0580290"</f>
        <v>0580290</v>
      </c>
      <c r="Y4454" t="s">
        <v>171</v>
      </c>
      <c r="Z4454" t="s">
        <v>157</v>
      </c>
      <c r="AA4454" t="s">
        <v>158</v>
      </c>
      <c r="AB4454" t="s">
        <v>131</v>
      </c>
      <c r="AC4454" t="s">
        <v>51</v>
      </c>
      <c r="AD4454" t="s">
        <v>45</v>
      </c>
      <c r="AE4454" s="1">
        <v>23915</v>
      </c>
      <c r="AF4454">
        <v>2</v>
      </c>
      <c r="AG4454" t="s">
        <v>158</v>
      </c>
      <c r="AH4454" s="36">
        <f t="shared" si="69"/>
        <v>54.283333333333331</v>
      </c>
      <c r="AI4454" s="41" t="s">
        <v>1781</v>
      </c>
    </row>
    <row r="4455" spans="1:35" x14ac:dyDescent="0.25">
      <c r="A4455" s="36">
        <v>99914453</v>
      </c>
      <c r="B4455" s="17" t="s">
        <v>32</v>
      </c>
      <c r="C4455" t="s">
        <v>46</v>
      </c>
      <c r="D4455" t="s">
        <v>47</v>
      </c>
      <c r="G4455" s="17" t="s">
        <v>48</v>
      </c>
      <c r="H4455" s="17">
        <v>13</v>
      </c>
      <c r="K4455" t="s">
        <v>1268</v>
      </c>
      <c r="L4455" t="s">
        <v>1269</v>
      </c>
      <c r="M4455" t="s">
        <v>1270</v>
      </c>
      <c r="N4455">
        <v>18</v>
      </c>
      <c r="O4455" t="s">
        <v>40</v>
      </c>
      <c r="P4455" t="s">
        <v>40</v>
      </c>
      <c r="Q4455" t="s">
        <v>40</v>
      </c>
      <c r="R4455" t="s">
        <v>40</v>
      </c>
      <c r="S4455" t="s">
        <v>40</v>
      </c>
      <c r="U4455" s="1">
        <v>43344</v>
      </c>
      <c r="V4455" t="s">
        <v>41</v>
      </c>
      <c r="W4455" t="s">
        <v>42</v>
      </c>
      <c r="X4455" t="str">
        <f>"1980055"</f>
        <v>1980055</v>
      </c>
      <c r="Y4455" t="s">
        <v>1285</v>
      </c>
      <c r="Z4455" t="s">
        <v>1268</v>
      </c>
      <c r="AA4455" t="s">
        <v>1269</v>
      </c>
      <c r="AB4455" t="s">
        <v>1270</v>
      </c>
      <c r="AC4455" t="s">
        <v>165</v>
      </c>
      <c r="AD4455" t="s">
        <v>45</v>
      </c>
      <c r="AE4455" s="1">
        <v>23915</v>
      </c>
      <c r="AF4455">
        <v>2</v>
      </c>
      <c r="AG4455" t="s">
        <v>1269</v>
      </c>
      <c r="AH4455" s="36">
        <f t="shared" si="69"/>
        <v>54.283333333333331</v>
      </c>
      <c r="AI4455" s="41" t="s">
        <v>1781</v>
      </c>
    </row>
    <row r="4456" spans="1:35" x14ac:dyDescent="0.25">
      <c r="A4456" s="36">
        <v>99914454</v>
      </c>
      <c r="B4456" s="17" t="s">
        <v>32</v>
      </c>
      <c r="C4456" t="s">
        <v>111</v>
      </c>
      <c r="D4456" t="s">
        <v>112</v>
      </c>
      <c r="G4456" s="17" t="s">
        <v>35</v>
      </c>
      <c r="H4456" s="17">
        <v>15</v>
      </c>
      <c r="K4456" t="s">
        <v>268</v>
      </c>
      <c r="L4456" t="s">
        <v>269</v>
      </c>
      <c r="M4456" t="s">
        <v>131</v>
      </c>
      <c r="N4456">
        <v>21</v>
      </c>
      <c r="O4456" t="s">
        <v>40</v>
      </c>
      <c r="P4456" t="s">
        <v>40</v>
      </c>
      <c r="Q4456" t="s">
        <v>40</v>
      </c>
      <c r="R4456" t="s">
        <v>40</v>
      </c>
      <c r="S4456" t="s">
        <v>40</v>
      </c>
      <c r="V4456" t="s">
        <v>41</v>
      </c>
      <c r="W4456" t="s">
        <v>75</v>
      </c>
      <c r="X4456" t="str">
        <f>"7052004"</f>
        <v>7052004</v>
      </c>
      <c r="Y4456" t="s">
        <v>584</v>
      </c>
      <c r="Z4456" t="s">
        <v>268</v>
      </c>
      <c r="AA4456" t="s">
        <v>269</v>
      </c>
      <c r="AB4456" t="s">
        <v>131</v>
      </c>
      <c r="AC4456" t="s">
        <v>165</v>
      </c>
      <c r="AD4456" t="s">
        <v>45</v>
      </c>
      <c r="AE4456" s="1">
        <v>23911</v>
      </c>
      <c r="AF4456">
        <v>1</v>
      </c>
      <c r="AG4456" t="s">
        <v>269</v>
      </c>
      <c r="AH4456" s="36">
        <f t="shared" si="69"/>
        <v>54.294444444444444</v>
      </c>
      <c r="AI4456" s="41" t="s">
        <v>1781</v>
      </c>
    </row>
    <row r="4457" spans="1:35" x14ac:dyDescent="0.25">
      <c r="A4457" s="36">
        <v>99914455</v>
      </c>
      <c r="B4457" s="17" t="s">
        <v>32</v>
      </c>
      <c r="C4457" t="s">
        <v>145</v>
      </c>
      <c r="D4457" t="s">
        <v>146</v>
      </c>
      <c r="G4457" s="17" t="s">
        <v>48</v>
      </c>
      <c r="H4457" s="17">
        <v>1</v>
      </c>
      <c r="K4457" t="s">
        <v>162</v>
      </c>
      <c r="L4457" t="s">
        <v>158</v>
      </c>
      <c r="M4457" t="s">
        <v>131</v>
      </c>
      <c r="N4457">
        <v>20</v>
      </c>
      <c r="O4457" t="s">
        <v>40</v>
      </c>
      <c r="P4457" t="s">
        <v>40</v>
      </c>
      <c r="Q4457" t="s">
        <v>40</v>
      </c>
      <c r="R4457" t="s">
        <v>40</v>
      </c>
      <c r="S4457" t="s">
        <v>40</v>
      </c>
      <c r="V4457" t="s">
        <v>41</v>
      </c>
      <c r="W4457" t="s">
        <v>42</v>
      </c>
      <c r="X4457" t="str">
        <f>"0580320"</f>
        <v>0580320</v>
      </c>
      <c r="Y4457" t="s">
        <v>164</v>
      </c>
      <c r="Z4457" t="s">
        <v>162</v>
      </c>
      <c r="AA4457" t="s">
        <v>158</v>
      </c>
      <c r="AB4457" t="s">
        <v>131</v>
      </c>
      <c r="AC4457" t="s">
        <v>165</v>
      </c>
      <c r="AD4457" t="s">
        <v>45</v>
      </c>
      <c r="AE4457" s="1">
        <v>23909</v>
      </c>
      <c r="AF4457">
        <v>2</v>
      </c>
      <c r="AG4457" t="s">
        <v>158</v>
      </c>
      <c r="AH4457" s="36">
        <f t="shared" si="69"/>
        <v>54.3</v>
      </c>
      <c r="AI4457" s="41" t="s">
        <v>1781</v>
      </c>
    </row>
    <row r="4458" spans="1:35" x14ac:dyDescent="0.25">
      <c r="A4458" s="36">
        <v>99914456</v>
      </c>
      <c r="B4458" s="17" t="s">
        <v>32</v>
      </c>
      <c r="C4458" t="s">
        <v>64</v>
      </c>
      <c r="D4458" t="s">
        <v>65</v>
      </c>
      <c r="G4458" s="17" t="s">
        <v>35</v>
      </c>
      <c r="H4458" s="17">
        <v>13</v>
      </c>
      <c r="K4458" t="s">
        <v>268</v>
      </c>
      <c r="L4458" t="s">
        <v>269</v>
      </c>
      <c r="M4458" t="s">
        <v>131</v>
      </c>
      <c r="N4458">
        <v>21</v>
      </c>
      <c r="O4458" t="s">
        <v>40</v>
      </c>
      <c r="P4458" t="s">
        <v>40</v>
      </c>
      <c r="Q4458" t="s">
        <v>40</v>
      </c>
      <c r="R4458" t="s">
        <v>40</v>
      </c>
      <c r="S4458" t="s">
        <v>40</v>
      </c>
      <c r="V4458" t="s">
        <v>41</v>
      </c>
      <c r="W4458" t="s">
        <v>75</v>
      </c>
      <c r="X4458" t="str">
        <f>"7052004"</f>
        <v>7052004</v>
      </c>
      <c r="Y4458" t="s">
        <v>584</v>
      </c>
      <c r="Z4458" t="s">
        <v>268</v>
      </c>
      <c r="AA4458" t="s">
        <v>269</v>
      </c>
      <c r="AB4458" t="s">
        <v>131</v>
      </c>
      <c r="AC4458" t="s">
        <v>51</v>
      </c>
      <c r="AD4458" t="s">
        <v>45</v>
      </c>
      <c r="AE4458" s="1">
        <v>23904</v>
      </c>
      <c r="AF4458">
        <v>1</v>
      </c>
      <c r="AG4458" t="s">
        <v>269</v>
      </c>
      <c r="AH4458" s="36">
        <f t="shared" si="69"/>
        <v>54.31388888888889</v>
      </c>
      <c r="AI4458" s="41" t="s">
        <v>1781</v>
      </c>
    </row>
    <row r="4459" spans="1:35" x14ac:dyDescent="0.25">
      <c r="A4459" s="36">
        <v>99914457</v>
      </c>
      <c r="B4459" s="17" t="s">
        <v>56</v>
      </c>
      <c r="C4459" t="s">
        <v>52</v>
      </c>
      <c r="D4459" t="s">
        <v>53</v>
      </c>
      <c r="G4459" s="17" t="s">
        <v>48</v>
      </c>
      <c r="H4459" s="17">
        <v>1</v>
      </c>
      <c r="K4459" t="s">
        <v>345</v>
      </c>
      <c r="L4459" t="s">
        <v>346</v>
      </c>
      <c r="M4459" t="s">
        <v>131</v>
      </c>
      <c r="N4459">
        <v>18</v>
      </c>
      <c r="O4459" t="s">
        <v>40</v>
      </c>
      <c r="P4459" t="s">
        <v>40</v>
      </c>
      <c r="Q4459" t="s">
        <v>40</v>
      </c>
      <c r="R4459" t="s">
        <v>40</v>
      </c>
      <c r="S4459" t="s">
        <v>40</v>
      </c>
      <c r="V4459" t="s">
        <v>41</v>
      </c>
      <c r="W4459" t="s">
        <v>42</v>
      </c>
      <c r="X4459" t="str">
        <f>"0590906"</f>
        <v>0590906</v>
      </c>
      <c r="Y4459" t="s">
        <v>361</v>
      </c>
      <c r="Z4459" t="s">
        <v>345</v>
      </c>
      <c r="AA4459" t="s">
        <v>346</v>
      </c>
      <c r="AB4459" t="s">
        <v>131</v>
      </c>
      <c r="AC4459" t="s">
        <v>51</v>
      </c>
      <c r="AD4459" t="s">
        <v>45</v>
      </c>
      <c r="AE4459" s="1">
        <v>23902</v>
      </c>
      <c r="AF4459">
        <v>2</v>
      </c>
      <c r="AG4459" t="s">
        <v>346</v>
      </c>
      <c r="AH4459" s="36">
        <f t="shared" si="69"/>
        <v>54.319444444444443</v>
      </c>
      <c r="AI4459" s="41" t="s">
        <v>1781</v>
      </c>
    </row>
    <row r="4460" spans="1:35" x14ac:dyDescent="0.25">
      <c r="A4460" s="36">
        <v>99914458</v>
      </c>
      <c r="B4460" s="17" t="s">
        <v>32</v>
      </c>
      <c r="C4460" t="s">
        <v>64</v>
      </c>
      <c r="D4460" t="s">
        <v>65</v>
      </c>
      <c r="G4460" s="17" t="s">
        <v>48</v>
      </c>
      <c r="H4460" s="17">
        <v>15</v>
      </c>
      <c r="K4460" t="s">
        <v>1268</v>
      </c>
      <c r="L4460" t="s">
        <v>1269</v>
      </c>
      <c r="M4460" t="s">
        <v>1270</v>
      </c>
      <c r="N4460">
        <v>18</v>
      </c>
      <c r="O4460" t="s">
        <v>40</v>
      </c>
      <c r="P4460" t="s">
        <v>40</v>
      </c>
      <c r="Q4460" t="s">
        <v>40</v>
      </c>
      <c r="R4460" t="s">
        <v>40</v>
      </c>
      <c r="S4460" t="s">
        <v>40</v>
      </c>
      <c r="U4460" s="1">
        <v>43344</v>
      </c>
      <c r="V4460" t="s">
        <v>41</v>
      </c>
      <c r="W4460" t="s">
        <v>49</v>
      </c>
      <c r="X4460" t="str">
        <f>"1981055"</f>
        <v>1981055</v>
      </c>
      <c r="Y4460" t="s">
        <v>1280</v>
      </c>
      <c r="Z4460" t="s">
        <v>1268</v>
      </c>
      <c r="AA4460" t="s">
        <v>1269</v>
      </c>
      <c r="AB4460" t="s">
        <v>1270</v>
      </c>
      <c r="AC4460" t="s">
        <v>51</v>
      </c>
      <c r="AD4460" t="s">
        <v>45</v>
      </c>
      <c r="AE4460" s="1">
        <v>23902</v>
      </c>
      <c r="AF4460">
        <v>2</v>
      </c>
      <c r="AG4460" t="s">
        <v>1269</v>
      </c>
      <c r="AH4460" s="36">
        <f t="shared" si="69"/>
        <v>54.319444444444443</v>
      </c>
      <c r="AI4460" s="41" t="s">
        <v>1781</v>
      </c>
    </row>
    <row r="4461" spans="1:35" x14ac:dyDescent="0.25">
      <c r="A4461" s="36">
        <v>99914459</v>
      </c>
      <c r="B4461" s="17" t="s">
        <v>32</v>
      </c>
      <c r="C4461" t="s">
        <v>46</v>
      </c>
      <c r="D4461" t="s">
        <v>47</v>
      </c>
      <c r="G4461" s="17" t="s">
        <v>48</v>
      </c>
      <c r="H4461" s="17">
        <v>1</v>
      </c>
      <c r="K4461" t="s">
        <v>162</v>
      </c>
      <c r="L4461" t="s">
        <v>158</v>
      </c>
      <c r="M4461" t="s">
        <v>131</v>
      </c>
      <c r="N4461">
        <v>18</v>
      </c>
      <c r="O4461" t="s">
        <v>40</v>
      </c>
      <c r="P4461" t="s">
        <v>40</v>
      </c>
      <c r="Q4461" t="s">
        <v>40</v>
      </c>
      <c r="S4461" t="s">
        <v>40</v>
      </c>
      <c r="V4461" t="s">
        <v>41</v>
      </c>
      <c r="W4461" t="s">
        <v>42</v>
      </c>
      <c r="X4461" t="str">
        <f>"0580320"</f>
        <v>0580320</v>
      </c>
      <c r="Y4461" t="s">
        <v>164</v>
      </c>
      <c r="Z4461" t="s">
        <v>162</v>
      </c>
      <c r="AA4461" t="s">
        <v>158</v>
      </c>
      <c r="AB4461" t="s">
        <v>131</v>
      </c>
      <c r="AC4461" t="s">
        <v>165</v>
      </c>
      <c r="AD4461" t="s">
        <v>45</v>
      </c>
      <c r="AE4461" s="1">
        <v>23899</v>
      </c>
      <c r="AF4461">
        <v>2</v>
      </c>
      <c r="AG4461" t="s">
        <v>158</v>
      </c>
      <c r="AH4461" s="36">
        <f t="shared" si="69"/>
        <v>54.327777777777776</v>
      </c>
      <c r="AI4461" s="41" t="s">
        <v>1781</v>
      </c>
    </row>
    <row r="4462" spans="1:35" x14ac:dyDescent="0.25">
      <c r="A4462" s="36">
        <v>99914460</v>
      </c>
      <c r="B4462" s="17" t="s">
        <v>32</v>
      </c>
      <c r="C4462" t="s">
        <v>79</v>
      </c>
      <c r="D4462" t="s">
        <v>80</v>
      </c>
      <c r="G4462" s="17" t="s">
        <v>35</v>
      </c>
      <c r="H4462" s="17">
        <v>1</v>
      </c>
      <c r="I4462">
        <v>2025</v>
      </c>
      <c r="J4462" s="1">
        <v>43344</v>
      </c>
      <c r="K4462" t="s">
        <v>354</v>
      </c>
      <c r="L4462" t="s">
        <v>355</v>
      </c>
      <c r="M4462" t="s">
        <v>131</v>
      </c>
      <c r="N4462">
        <v>6</v>
      </c>
      <c r="O4462" t="s">
        <v>40</v>
      </c>
      <c r="S4462" t="s">
        <v>40</v>
      </c>
      <c r="U4462" s="1">
        <v>43344</v>
      </c>
      <c r="V4462" t="s">
        <v>41</v>
      </c>
      <c r="W4462" t="s">
        <v>75</v>
      </c>
      <c r="X4462" t="str">
        <f>"7054012"</f>
        <v>7054012</v>
      </c>
      <c r="Y4462" t="s">
        <v>353</v>
      </c>
      <c r="Z4462" t="s">
        <v>354</v>
      </c>
      <c r="AA4462" t="s">
        <v>355</v>
      </c>
      <c r="AB4462" t="s">
        <v>131</v>
      </c>
      <c r="AC4462" t="s">
        <v>51</v>
      </c>
      <c r="AD4462" t="s">
        <v>45</v>
      </c>
      <c r="AE4462" s="1">
        <v>23897</v>
      </c>
      <c r="AF4462">
        <v>1</v>
      </c>
      <c r="AG4462" t="s">
        <v>355</v>
      </c>
      <c r="AH4462" s="36">
        <f t="shared" si="69"/>
        <v>54.333333333333336</v>
      </c>
      <c r="AI4462" s="41" t="s">
        <v>1781</v>
      </c>
    </row>
    <row r="4463" spans="1:35" x14ac:dyDescent="0.25">
      <c r="A4463" s="36">
        <v>99914461</v>
      </c>
      <c r="B4463" s="17" t="s">
        <v>56</v>
      </c>
      <c r="C4463" t="s">
        <v>68</v>
      </c>
      <c r="D4463" t="s">
        <v>69</v>
      </c>
      <c r="G4463" s="17" t="s">
        <v>48</v>
      </c>
      <c r="H4463" s="17">
        <v>1</v>
      </c>
      <c r="K4463" t="s">
        <v>1051</v>
      </c>
      <c r="L4463" t="s">
        <v>1052</v>
      </c>
      <c r="M4463" t="s">
        <v>1053</v>
      </c>
      <c r="N4463">
        <v>14</v>
      </c>
      <c r="O4463" t="s">
        <v>40</v>
      </c>
      <c r="P4463" t="s">
        <v>40</v>
      </c>
      <c r="Q4463" t="s">
        <v>40</v>
      </c>
      <c r="R4463" t="s">
        <v>40</v>
      </c>
      <c r="S4463" t="s">
        <v>40</v>
      </c>
      <c r="V4463" t="s">
        <v>41</v>
      </c>
      <c r="W4463" t="s">
        <v>42</v>
      </c>
      <c r="X4463" t="str">
        <f>"2061001"</f>
        <v>2061001</v>
      </c>
      <c r="Y4463" t="s">
        <v>1058</v>
      </c>
      <c r="Z4463" t="s">
        <v>1051</v>
      </c>
      <c r="AA4463" t="s">
        <v>1052</v>
      </c>
      <c r="AB4463" t="s">
        <v>1053</v>
      </c>
      <c r="AC4463" t="s">
        <v>51</v>
      </c>
      <c r="AD4463" t="s">
        <v>45</v>
      </c>
      <c r="AE4463" s="1">
        <v>23894</v>
      </c>
      <c r="AF4463">
        <v>2</v>
      </c>
      <c r="AG4463" t="s">
        <v>1052</v>
      </c>
      <c r="AH4463" s="36">
        <f t="shared" si="69"/>
        <v>54.341666666666669</v>
      </c>
      <c r="AI4463" s="41" t="s">
        <v>1781</v>
      </c>
    </row>
    <row r="4464" spans="1:35" x14ac:dyDescent="0.25">
      <c r="A4464" s="36">
        <v>99914462</v>
      </c>
      <c r="B4464" s="17" t="s">
        <v>56</v>
      </c>
      <c r="C4464" t="s">
        <v>52</v>
      </c>
      <c r="D4464" t="s">
        <v>53</v>
      </c>
      <c r="G4464" s="17" t="s">
        <v>48</v>
      </c>
      <c r="H4464" s="17">
        <v>1</v>
      </c>
      <c r="K4464" t="s">
        <v>1268</v>
      </c>
      <c r="L4464" t="s">
        <v>1269</v>
      </c>
      <c r="M4464" t="s">
        <v>1270</v>
      </c>
      <c r="N4464">
        <v>18</v>
      </c>
      <c r="O4464" t="s">
        <v>40</v>
      </c>
      <c r="P4464" t="s">
        <v>40</v>
      </c>
      <c r="Q4464" t="s">
        <v>40</v>
      </c>
      <c r="S4464" t="s">
        <v>40</v>
      </c>
      <c r="V4464" t="s">
        <v>41</v>
      </c>
      <c r="W4464" t="s">
        <v>42</v>
      </c>
      <c r="X4464" t="str">
        <f>"1980050"</f>
        <v>1980050</v>
      </c>
      <c r="Y4464" t="s">
        <v>1278</v>
      </c>
      <c r="Z4464" t="s">
        <v>1268</v>
      </c>
      <c r="AA4464" t="s">
        <v>1269</v>
      </c>
      <c r="AB4464" t="s">
        <v>1270</v>
      </c>
      <c r="AC4464" t="s">
        <v>51</v>
      </c>
      <c r="AD4464" t="s">
        <v>45</v>
      </c>
      <c r="AE4464" s="1">
        <v>23894</v>
      </c>
      <c r="AF4464">
        <v>2</v>
      </c>
      <c r="AG4464" t="s">
        <v>1269</v>
      </c>
      <c r="AH4464" s="36">
        <f t="shared" si="69"/>
        <v>54.341666666666669</v>
      </c>
      <c r="AI4464" s="41" t="s">
        <v>1781</v>
      </c>
    </row>
    <row r="4465" spans="1:35" x14ac:dyDescent="0.25">
      <c r="A4465" s="36">
        <v>99914463</v>
      </c>
      <c r="B4465" s="17" t="s">
        <v>32</v>
      </c>
      <c r="C4465" t="s">
        <v>52</v>
      </c>
      <c r="D4465" t="s">
        <v>53</v>
      </c>
      <c r="G4465" s="17" t="s">
        <v>35</v>
      </c>
      <c r="H4465" s="17">
        <v>1</v>
      </c>
      <c r="K4465" t="s">
        <v>223</v>
      </c>
      <c r="L4465" t="s">
        <v>224</v>
      </c>
      <c r="M4465" t="s">
        <v>131</v>
      </c>
      <c r="N4465">
        <v>20</v>
      </c>
      <c r="O4465" t="s">
        <v>40</v>
      </c>
      <c r="P4465" t="s">
        <v>40</v>
      </c>
      <c r="Q4465" t="s">
        <v>40</v>
      </c>
      <c r="S4465" t="s">
        <v>40</v>
      </c>
      <c r="V4465" t="s">
        <v>41</v>
      </c>
      <c r="W4465" t="s">
        <v>49</v>
      </c>
      <c r="X4465" t="str">
        <f>"0591901"</f>
        <v>0591901</v>
      </c>
      <c r="Y4465" t="s">
        <v>230</v>
      </c>
      <c r="Z4465" t="s">
        <v>223</v>
      </c>
      <c r="AA4465" t="s">
        <v>224</v>
      </c>
      <c r="AB4465" t="s">
        <v>131</v>
      </c>
      <c r="AC4465" t="s">
        <v>51</v>
      </c>
      <c r="AD4465" t="s">
        <v>45</v>
      </c>
      <c r="AE4465" s="1">
        <v>23892</v>
      </c>
      <c r="AF4465">
        <v>2</v>
      </c>
      <c r="AG4465" t="s">
        <v>224</v>
      </c>
      <c r="AH4465" s="36">
        <f t="shared" si="69"/>
        <v>54.347222222222221</v>
      </c>
      <c r="AI4465" s="41" t="s">
        <v>1781</v>
      </c>
    </row>
    <row r="4466" spans="1:35" x14ac:dyDescent="0.25">
      <c r="A4466" s="36">
        <v>99914464</v>
      </c>
      <c r="B4466" s="17" t="s">
        <v>32</v>
      </c>
      <c r="C4466" t="s">
        <v>139</v>
      </c>
      <c r="D4466" t="s">
        <v>140</v>
      </c>
      <c r="G4466" s="17" t="s">
        <v>35</v>
      </c>
      <c r="H4466" s="17">
        <v>1</v>
      </c>
      <c r="I4466" t="s">
        <v>608</v>
      </c>
      <c r="J4466" s="1">
        <v>43344</v>
      </c>
      <c r="K4466" t="s">
        <v>268</v>
      </c>
      <c r="L4466" t="s">
        <v>269</v>
      </c>
      <c r="M4466" t="s">
        <v>131</v>
      </c>
      <c r="N4466">
        <v>10</v>
      </c>
      <c r="O4466" t="s">
        <v>40</v>
      </c>
      <c r="S4466" t="s">
        <v>40</v>
      </c>
      <c r="U4466" s="1">
        <v>43344</v>
      </c>
      <c r="V4466" t="s">
        <v>41</v>
      </c>
      <c r="W4466" t="s">
        <v>75</v>
      </c>
      <c r="X4466" t="str">
        <f>"7052020"</f>
        <v>7052020</v>
      </c>
      <c r="Y4466" t="s">
        <v>267</v>
      </c>
      <c r="Z4466" t="s">
        <v>268</v>
      </c>
      <c r="AA4466" t="s">
        <v>269</v>
      </c>
      <c r="AB4466" t="s">
        <v>131</v>
      </c>
      <c r="AC4466" t="s">
        <v>51</v>
      </c>
      <c r="AD4466" t="s">
        <v>45</v>
      </c>
      <c r="AE4466" s="1">
        <v>23892</v>
      </c>
      <c r="AF4466">
        <v>1</v>
      </c>
      <c r="AG4466" t="s">
        <v>269</v>
      </c>
      <c r="AH4466" s="36">
        <f t="shared" si="69"/>
        <v>54.347222222222221</v>
      </c>
      <c r="AI4466" s="41" t="s">
        <v>1781</v>
      </c>
    </row>
    <row r="4467" spans="1:35" x14ac:dyDescent="0.25">
      <c r="A4467" s="36">
        <v>99914465</v>
      </c>
      <c r="B4467" s="17" t="s">
        <v>32</v>
      </c>
      <c r="C4467" t="s">
        <v>143</v>
      </c>
      <c r="D4467" t="s">
        <v>144</v>
      </c>
      <c r="G4467" s="17" t="s">
        <v>35</v>
      </c>
      <c r="H4467" s="17">
        <v>1</v>
      </c>
      <c r="K4467" t="s">
        <v>223</v>
      </c>
      <c r="L4467" t="s">
        <v>224</v>
      </c>
      <c r="M4467" t="s">
        <v>131</v>
      </c>
      <c r="N4467">
        <v>18</v>
      </c>
      <c r="O4467" t="s">
        <v>40</v>
      </c>
      <c r="P4467" t="s">
        <v>40</v>
      </c>
      <c r="Q4467" t="s">
        <v>40</v>
      </c>
      <c r="R4467" t="s">
        <v>40</v>
      </c>
      <c r="S4467" t="s">
        <v>40</v>
      </c>
      <c r="V4467" t="s">
        <v>41</v>
      </c>
      <c r="W4467" t="s">
        <v>49</v>
      </c>
      <c r="X4467" t="str">
        <f>"0591901"</f>
        <v>0591901</v>
      </c>
      <c r="Y4467" t="s">
        <v>230</v>
      </c>
      <c r="Z4467" t="s">
        <v>223</v>
      </c>
      <c r="AA4467" t="s">
        <v>224</v>
      </c>
      <c r="AB4467" t="s">
        <v>131</v>
      </c>
      <c r="AC4467" t="s">
        <v>51</v>
      </c>
      <c r="AD4467" t="s">
        <v>45</v>
      </c>
      <c r="AE4467" s="1">
        <v>23891</v>
      </c>
      <c r="AF4467">
        <v>2</v>
      </c>
      <c r="AG4467" t="s">
        <v>224</v>
      </c>
      <c r="AH4467" s="36">
        <f t="shared" si="69"/>
        <v>54.35</v>
      </c>
      <c r="AI4467" s="41" t="s">
        <v>1781</v>
      </c>
    </row>
    <row r="4468" spans="1:35" x14ac:dyDescent="0.25">
      <c r="A4468" s="36">
        <v>99914466</v>
      </c>
      <c r="B4468" s="17" t="s">
        <v>56</v>
      </c>
      <c r="C4468" t="s">
        <v>139</v>
      </c>
      <c r="D4468" t="s">
        <v>140</v>
      </c>
      <c r="G4468" s="17" t="s">
        <v>48</v>
      </c>
      <c r="H4468" s="17">
        <v>1</v>
      </c>
      <c r="K4468" t="s">
        <v>345</v>
      </c>
      <c r="L4468" t="s">
        <v>346</v>
      </c>
      <c r="M4468" t="s">
        <v>131</v>
      </c>
      <c r="N4468">
        <v>20</v>
      </c>
      <c r="O4468" t="s">
        <v>40</v>
      </c>
      <c r="P4468" t="s">
        <v>40</v>
      </c>
      <c r="Q4468" t="s">
        <v>40</v>
      </c>
      <c r="R4468" t="s">
        <v>40</v>
      </c>
      <c r="S4468" t="s">
        <v>40</v>
      </c>
      <c r="V4468" t="s">
        <v>41</v>
      </c>
      <c r="W4468" t="s">
        <v>42</v>
      </c>
      <c r="X4468" t="str">
        <f>"0590906"</f>
        <v>0590906</v>
      </c>
      <c r="Y4468" t="s">
        <v>361</v>
      </c>
      <c r="Z4468" t="s">
        <v>345</v>
      </c>
      <c r="AA4468" t="s">
        <v>346</v>
      </c>
      <c r="AB4468" t="s">
        <v>131</v>
      </c>
      <c r="AC4468" t="s">
        <v>51</v>
      </c>
      <c r="AD4468" t="s">
        <v>45</v>
      </c>
      <c r="AE4468" s="1">
        <v>23891</v>
      </c>
      <c r="AF4468">
        <v>2</v>
      </c>
      <c r="AG4468" t="s">
        <v>346</v>
      </c>
      <c r="AH4468" s="36">
        <f t="shared" si="69"/>
        <v>54.35</v>
      </c>
      <c r="AI4468" s="41" t="s">
        <v>1781</v>
      </c>
    </row>
    <row r="4469" spans="1:35" x14ac:dyDescent="0.25">
      <c r="A4469" s="36">
        <v>99914467</v>
      </c>
      <c r="B4469" s="17" t="s">
        <v>56</v>
      </c>
      <c r="C4469" t="s">
        <v>52</v>
      </c>
      <c r="D4469" t="s">
        <v>53</v>
      </c>
      <c r="G4469" s="17" t="s">
        <v>48</v>
      </c>
      <c r="H4469" s="17">
        <v>1</v>
      </c>
      <c r="K4469" t="s">
        <v>345</v>
      </c>
      <c r="L4469" t="s">
        <v>346</v>
      </c>
      <c r="M4469" t="s">
        <v>131</v>
      </c>
      <c r="N4469">
        <v>8</v>
      </c>
      <c r="O4469" t="s">
        <v>40</v>
      </c>
      <c r="P4469" t="s">
        <v>40</v>
      </c>
      <c r="Q4469" t="s">
        <v>40</v>
      </c>
      <c r="S4469" t="s">
        <v>40</v>
      </c>
      <c r="V4469" t="s">
        <v>41</v>
      </c>
      <c r="W4469" t="s">
        <v>42</v>
      </c>
      <c r="X4469" t="str">
        <f>"0580931"</f>
        <v>0580931</v>
      </c>
      <c r="Y4469" t="s">
        <v>369</v>
      </c>
      <c r="Z4469" t="s">
        <v>345</v>
      </c>
      <c r="AA4469" t="s">
        <v>346</v>
      </c>
      <c r="AB4469" t="s">
        <v>131</v>
      </c>
      <c r="AC4469" t="s">
        <v>51</v>
      </c>
      <c r="AD4469" t="s">
        <v>45</v>
      </c>
      <c r="AE4469" s="1">
        <v>23889</v>
      </c>
      <c r="AF4469">
        <v>2</v>
      </c>
      <c r="AG4469" t="s">
        <v>346</v>
      </c>
      <c r="AH4469" s="36">
        <f t="shared" si="69"/>
        <v>54.355555555555554</v>
      </c>
      <c r="AI4469" s="41" t="s">
        <v>1781</v>
      </c>
    </row>
    <row r="4470" spans="1:35" x14ac:dyDescent="0.25">
      <c r="A4470" s="36">
        <v>99914468</v>
      </c>
      <c r="B4470" s="17" t="s">
        <v>32</v>
      </c>
      <c r="C4470" t="s">
        <v>90</v>
      </c>
      <c r="D4470" t="s">
        <v>91</v>
      </c>
      <c r="G4470" s="17" t="s">
        <v>35</v>
      </c>
      <c r="H4470" s="17">
        <v>1</v>
      </c>
      <c r="K4470" t="s">
        <v>667</v>
      </c>
      <c r="L4470" t="s">
        <v>669</v>
      </c>
      <c r="M4470" t="s">
        <v>670</v>
      </c>
      <c r="N4470">
        <v>25</v>
      </c>
      <c r="O4470" t="s">
        <v>40</v>
      </c>
      <c r="P4470" t="s">
        <v>40</v>
      </c>
      <c r="Q4470" t="s">
        <v>40</v>
      </c>
      <c r="S4470" t="s">
        <v>40</v>
      </c>
      <c r="V4470" t="s">
        <v>41</v>
      </c>
      <c r="W4470" t="s">
        <v>95</v>
      </c>
      <c r="X4470" t="str">
        <f>"7501007"</f>
        <v>7501007</v>
      </c>
      <c r="Y4470" t="s">
        <v>1524</v>
      </c>
      <c r="Z4470" t="s">
        <v>667</v>
      </c>
      <c r="AA4470" t="s">
        <v>669</v>
      </c>
      <c r="AB4470" t="s">
        <v>670</v>
      </c>
      <c r="AC4470" t="s">
        <v>51</v>
      </c>
      <c r="AD4470" t="s">
        <v>45</v>
      </c>
      <c r="AE4470" s="1">
        <v>23889</v>
      </c>
      <c r="AF4470">
        <v>1</v>
      </c>
      <c r="AG4470" t="s">
        <v>669</v>
      </c>
      <c r="AH4470" s="36">
        <f t="shared" si="69"/>
        <v>54.355555555555554</v>
      </c>
      <c r="AI4470" s="41" t="s">
        <v>1781</v>
      </c>
    </row>
    <row r="4471" spans="1:35" x14ac:dyDescent="0.25">
      <c r="A4471" s="36">
        <v>99914469</v>
      </c>
      <c r="B4471" s="17" t="s">
        <v>32</v>
      </c>
      <c r="C4471" t="s">
        <v>111</v>
      </c>
      <c r="D4471" t="s">
        <v>112</v>
      </c>
      <c r="G4471" s="17" t="s">
        <v>35</v>
      </c>
      <c r="H4471" s="17">
        <v>1</v>
      </c>
      <c r="I4471" s="1">
        <v>31307</v>
      </c>
      <c r="J4471" s="1">
        <v>43344</v>
      </c>
      <c r="K4471" t="s">
        <v>1341</v>
      </c>
      <c r="L4471" t="s">
        <v>1342</v>
      </c>
      <c r="M4471" t="s">
        <v>1270</v>
      </c>
      <c r="N4471">
        <v>24</v>
      </c>
      <c r="O4471" t="s">
        <v>40</v>
      </c>
      <c r="S4471" t="s">
        <v>40</v>
      </c>
      <c r="U4471" s="1">
        <v>43344</v>
      </c>
      <c r="V4471" t="s">
        <v>41</v>
      </c>
      <c r="W4471" t="s">
        <v>75</v>
      </c>
      <c r="X4471" t="str">
        <f>"7191000"</f>
        <v>7191000</v>
      </c>
      <c r="Y4471" t="s">
        <v>1347</v>
      </c>
      <c r="Z4471" t="s">
        <v>1341</v>
      </c>
      <c r="AA4471" t="s">
        <v>1342</v>
      </c>
      <c r="AB4471" t="s">
        <v>1270</v>
      </c>
      <c r="AC4471" t="s">
        <v>51</v>
      </c>
      <c r="AD4471" t="s">
        <v>45</v>
      </c>
      <c r="AE4471" s="1">
        <v>23888</v>
      </c>
      <c r="AF4471">
        <v>1</v>
      </c>
      <c r="AG4471" t="s">
        <v>1342</v>
      </c>
      <c r="AH4471" s="36">
        <f t="shared" si="69"/>
        <v>54.358333333333334</v>
      </c>
      <c r="AI4471" s="41" t="s">
        <v>1781</v>
      </c>
    </row>
    <row r="4472" spans="1:35" x14ac:dyDescent="0.25">
      <c r="A4472" s="36">
        <v>99914470</v>
      </c>
      <c r="B4472" s="17" t="s">
        <v>32</v>
      </c>
      <c r="C4472" t="s">
        <v>33</v>
      </c>
      <c r="D4472" t="s">
        <v>34</v>
      </c>
      <c r="G4472" s="17" t="s">
        <v>48</v>
      </c>
      <c r="H4472" s="17">
        <v>1</v>
      </c>
      <c r="K4472" t="s">
        <v>300</v>
      </c>
      <c r="L4472" t="s">
        <v>301</v>
      </c>
      <c r="M4472" t="s">
        <v>131</v>
      </c>
      <c r="N4472">
        <v>27</v>
      </c>
      <c r="O4472" t="s">
        <v>40</v>
      </c>
      <c r="P4472" t="s">
        <v>40</v>
      </c>
      <c r="Q4472" t="s">
        <v>40</v>
      </c>
      <c r="R4472" t="s">
        <v>40</v>
      </c>
      <c r="S4472" t="s">
        <v>40</v>
      </c>
      <c r="V4472" t="s">
        <v>41</v>
      </c>
      <c r="W4472" t="s">
        <v>42</v>
      </c>
      <c r="X4472" t="str">
        <f>"0580457"</f>
        <v>0580457</v>
      </c>
      <c r="Y4472" t="s">
        <v>310</v>
      </c>
      <c r="Z4472" t="s">
        <v>300</v>
      </c>
      <c r="AA4472" t="s">
        <v>301</v>
      </c>
      <c r="AB4472" t="s">
        <v>131</v>
      </c>
      <c r="AC4472" t="s">
        <v>51</v>
      </c>
      <c r="AD4472" t="s">
        <v>45</v>
      </c>
      <c r="AE4472" s="1">
        <v>23886</v>
      </c>
      <c r="AF4472">
        <v>2</v>
      </c>
      <c r="AG4472" t="s">
        <v>301</v>
      </c>
      <c r="AH4472" s="36">
        <f t="shared" si="69"/>
        <v>54.363888888888887</v>
      </c>
      <c r="AI4472" s="41" t="s">
        <v>1781</v>
      </c>
    </row>
    <row r="4473" spans="1:35" x14ac:dyDescent="0.25">
      <c r="A4473" s="36">
        <v>99914471</v>
      </c>
      <c r="B4473" s="17" t="s">
        <v>32</v>
      </c>
      <c r="C4473" t="s">
        <v>111</v>
      </c>
      <c r="D4473" t="s">
        <v>112</v>
      </c>
      <c r="G4473" s="17" t="s">
        <v>48</v>
      </c>
      <c r="H4473" s="17">
        <v>15</v>
      </c>
      <c r="K4473" t="s">
        <v>354</v>
      </c>
      <c r="L4473" t="s">
        <v>355</v>
      </c>
      <c r="M4473" t="s">
        <v>131</v>
      </c>
      <c r="N4473">
        <v>21</v>
      </c>
      <c r="O4473" t="s">
        <v>40</v>
      </c>
      <c r="P4473" t="s">
        <v>40</v>
      </c>
      <c r="Q4473" t="s">
        <v>40</v>
      </c>
      <c r="R4473" t="s">
        <v>40</v>
      </c>
      <c r="S4473" t="s">
        <v>40</v>
      </c>
      <c r="V4473" t="s">
        <v>41</v>
      </c>
      <c r="W4473" t="s">
        <v>75</v>
      </c>
      <c r="X4473" t="str">
        <f>"7054002"</f>
        <v>7054002</v>
      </c>
      <c r="Y4473" t="s">
        <v>376</v>
      </c>
      <c r="Z4473" t="s">
        <v>354</v>
      </c>
      <c r="AA4473" t="s">
        <v>355</v>
      </c>
      <c r="AB4473" t="s">
        <v>131</v>
      </c>
      <c r="AC4473" t="s">
        <v>51</v>
      </c>
      <c r="AD4473" t="s">
        <v>45</v>
      </c>
      <c r="AE4473" s="1">
        <v>23883</v>
      </c>
      <c r="AF4473">
        <v>1</v>
      </c>
      <c r="AG4473" t="s">
        <v>355</v>
      </c>
      <c r="AH4473" s="36">
        <f t="shared" si="69"/>
        <v>54.37222222222222</v>
      </c>
      <c r="AI4473" s="41" t="s">
        <v>1781</v>
      </c>
    </row>
    <row r="4474" spans="1:35" x14ac:dyDescent="0.25">
      <c r="A4474" s="36">
        <v>99914472</v>
      </c>
      <c r="B4474" s="17" t="s">
        <v>56</v>
      </c>
      <c r="C4474" t="s">
        <v>68</v>
      </c>
      <c r="D4474" t="s">
        <v>69</v>
      </c>
      <c r="G4474" s="17" t="s">
        <v>48</v>
      </c>
      <c r="H4474" s="17">
        <v>1</v>
      </c>
      <c r="K4474" t="s">
        <v>223</v>
      </c>
      <c r="L4474" t="s">
        <v>224</v>
      </c>
      <c r="M4474" t="s">
        <v>131</v>
      </c>
      <c r="N4474">
        <v>20</v>
      </c>
      <c r="O4474" t="s">
        <v>40</v>
      </c>
      <c r="P4474" t="s">
        <v>40</v>
      </c>
      <c r="Q4474" t="s">
        <v>40</v>
      </c>
      <c r="S4474" t="s">
        <v>40</v>
      </c>
      <c r="V4474" t="s">
        <v>41</v>
      </c>
      <c r="W4474" t="s">
        <v>42</v>
      </c>
      <c r="X4474" t="str">
        <f>"0580395"</f>
        <v>0580395</v>
      </c>
      <c r="Y4474" t="s">
        <v>265</v>
      </c>
      <c r="Z4474" t="s">
        <v>223</v>
      </c>
      <c r="AA4474" t="s">
        <v>224</v>
      </c>
      <c r="AB4474" t="s">
        <v>131</v>
      </c>
      <c r="AC4474" t="s">
        <v>51</v>
      </c>
      <c r="AD4474" t="s">
        <v>45</v>
      </c>
      <c r="AE4474" s="1">
        <v>23882</v>
      </c>
      <c r="AF4474">
        <v>2</v>
      </c>
      <c r="AG4474" t="s">
        <v>224</v>
      </c>
      <c r="AH4474" s="36">
        <f t="shared" si="69"/>
        <v>54.375</v>
      </c>
      <c r="AI4474" s="41" t="s">
        <v>1781</v>
      </c>
    </row>
    <row r="4475" spans="1:35" x14ac:dyDescent="0.25">
      <c r="A4475" s="36">
        <v>99914473</v>
      </c>
      <c r="B4475" s="17" t="s">
        <v>56</v>
      </c>
      <c r="C4475" t="s">
        <v>58</v>
      </c>
      <c r="D4475" t="s">
        <v>59</v>
      </c>
      <c r="G4475" s="17" t="s">
        <v>48</v>
      </c>
      <c r="H4475" s="17">
        <v>1</v>
      </c>
      <c r="K4475" t="s">
        <v>223</v>
      </c>
      <c r="L4475" t="s">
        <v>224</v>
      </c>
      <c r="M4475" t="s">
        <v>131</v>
      </c>
      <c r="N4475">
        <v>19</v>
      </c>
      <c r="O4475" t="s">
        <v>40</v>
      </c>
      <c r="P4475" t="s">
        <v>40</v>
      </c>
      <c r="Q4475" t="s">
        <v>40</v>
      </c>
      <c r="S4475" t="s">
        <v>40</v>
      </c>
      <c r="V4475" t="s">
        <v>41</v>
      </c>
      <c r="W4475" t="s">
        <v>42</v>
      </c>
      <c r="X4475" t="str">
        <f>"0561014"</f>
        <v>0561014</v>
      </c>
      <c r="Y4475" t="s">
        <v>264</v>
      </c>
      <c r="Z4475" t="s">
        <v>223</v>
      </c>
      <c r="AA4475" t="s">
        <v>224</v>
      </c>
      <c r="AB4475" t="s">
        <v>131</v>
      </c>
      <c r="AC4475" t="s">
        <v>51</v>
      </c>
      <c r="AD4475" t="s">
        <v>45</v>
      </c>
      <c r="AE4475" s="1">
        <v>23882</v>
      </c>
      <c r="AF4475">
        <v>2</v>
      </c>
      <c r="AG4475" t="s">
        <v>224</v>
      </c>
      <c r="AH4475" s="36">
        <f t="shared" si="69"/>
        <v>54.375</v>
      </c>
      <c r="AI4475" s="41" t="s">
        <v>1781</v>
      </c>
    </row>
    <row r="4476" spans="1:35" x14ac:dyDescent="0.25">
      <c r="A4476" s="36">
        <v>99914474</v>
      </c>
      <c r="B4476" s="17" t="s">
        <v>32</v>
      </c>
      <c r="C4476" t="s">
        <v>71</v>
      </c>
      <c r="D4476" t="s">
        <v>72</v>
      </c>
      <c r="G4476" s="17" t="s">
        <v>48</v>
      </c>
      <c r="H4476" s="17">
        <v>1</v>
      </c>
      <c r="K4476" t="s">
        <v>223</v>
      </c>
      <c r="L4476" t="s">
        <v>224</v>
      </c>
      <c r="M4476" t="s">
        <v>131</v>
      </c>
      <c r="N4476">
        <v>10</v>
      </c>
      <c r="O4476" t="s">
        <v>40</v>
      </c>
      <c r="P4476" t="s">
        <v>40</v>
      </c>
      <c r="Q4476" t="s">
        <v>40</v>
      </c>
      <c r="R4476" t="s">
        <v>40</v>
      </c>
      <c r="S4476" t="s">
        <v>40</v>
      </c>
      <c r="V4476" t="s">
        <v>41</v>
      </c>
      <c r="W4476" t="s">
        <v>49</v>
      </c>
      <c r="X4476" t="str">
        <f>"0581204"</f>
        <v>0581204</v>
      </c>
      <c r="Y4476" t="s">
        <v>249</v>
      </c>
      <c r="Z4476" t="s">
        <v>223</v>
      </c>
      <c r="AA4476" t="s">
        <v>224</v>
      </c>
      <c r="AB4476" t="s">
        <v>131</v>
      </c>
      <c r="AC4476" t="s">
        <v>165</v>
      </c>
      <c r="AD4476" t="s">
        <v>45</v>
      </c>
      <c r="AE4476" s="1">
        <v>23881</v>
      </c>
      <c r="AF4476">
        <v>2</v>
      </c>
      <c r="AG4476" t="s">
        <v>224</v>
      </c>
      <c r="AH4476" s="36">
        <f t="shared" si="69"/>
        <v>54.37777777777778</v>
      </c>
      <c r="AI4476" s="41" t="s">
        <v>1781</v>
      </c>
    </row>
    <row r="4477" spans="1:35" x14ac:dyDescent="0.25">
      <c r="A4477" s="36">
        <v>99914475</v>
      </c>
      <c r="B4477" s="17" t="s">
        <v>32</v>
      </c>
      <c r="C4477" t="s">
        <v>64</v>
      </c>
      <c r="D4477" t="s">
        <v>65</v>
      </c>
      <c r="G4477" s="17" t="s">
        <v>48</v>
      </c>
      <c r="H4477" s="17">
        <v>1</v>
      </c>
      <c r="K4477" t="s">
        <v>157</v>
      </c>
      <c r="L4477" t="s">
        <v>158</v>
      </c>
      <c r="M4477" t="s">
        <v>131</v>
      </c>
      <c r="N4477">
        <v>18</v>
      </c>
      <c r="O4477" t="s">
        <v>40</v>
      </c>
      <c r="P4477" t="s">
        <v>40</v>
      </c>
      <c r="Q4477" t="s">
        <v>40</v>
      </c>
      <c r="S4477" t="s">
        <v>40</v>
      </c>
      <c r="V4477" t="s">
        <v>41</v>
      </c>
      <c r="W4477" t="s">
        <v>49</v>
      </c>
      <c r="X4477" t="str">
        <f>"0560006"</f>
        <v>0560006</v>
      </c>
      <c r="Y4477" t="s">
        <v>191</v>
      </c>
      <c r="Z4477" t="s">
        <v>157</v>
      </c>
      <c r="AA4477" t="s">
        <v>158</v>
      </c>
      <c r="AB4477" t="s">
        <v>131</v>
      </c>
      <c r="AC4477" t="s">
        <v>51</v>
      </c>
      <c r="AD4477" t="s">
        <v>45</v>
      </c>
      <c r="AE4477" s="1">
        <v>23871</v>
      </c>
      <c r="AF4477">
        <v>2</v>
      </c>
      <c r="AG4477" t="s">
        <v>158</v>
      </c>
      <c r="AH4477" s="36">
        <f t="shared" si="69"/>
        <v>54.405555555555559</v>
      </c>
      <c r="AI4477" s="41" t="s">
        <v>1781</v>
      </c>
    </row>
    <row r="4478" spans="1:35" x14ac:dyDescent="0.25">
      <c r="A4478" s="36">
        <v>99914476</v>
      </c>
      <c r="B4478" s="17" t="s">
        <v>56</v>
      </c>
      <c r="C4478" t="s">
        <v>46</v>
      </c>
      <c r="D4478" t="s">
        <v>47</v>
      </c>
      <c r="G4478" s="17" t="s">
        <v>48</v>
      </c>
      <c r="H4478" s="17">
        <v>1</v>
      </c>
      <c r="K4478" t="s">
        <v>223</v>
      </c>
      <c r="L4478" t="s">
        <v>224</v>
      </c>
      <c r="M4478" t="s">
        <v>131</v>
      </c>
      <c r="N4478">
        <v>18</v>
      </c>
      <c r="O4478" t="s">
        <v>40</v>
      </c>
      <c r="P4478" t="s">
        <v>40</v>
      </c>
      <c r="Q4478" t="s">
        <v>40</v>
      </c>
      <c r="S4478" t="s">
        <v>40</v>
      </c>
      <c r="V4478" t="s">
        <v>41</v>
      </c>
      <c r="W4478" t="s">
        <v>42</v>
      </c>
      <c r="X4478" t="str">
        <f>"0580200"</f>
        <v>0580200</v>
      </c>
      <c r="Y4478" t="s">
        <v>245</v>
      </c>
      <c r="Z4478" t="s">
        <v>223</v>
      </c>
      <c r="AA4478" t="s">
        <v>224</v>
      </c>
      <c r="AB4478" t="s">
        <v>131</v>
      </c>
      <c r="AC4478" t="s">
        <v>51</v>
      </c>
      <c r="AD4478" t="s">
        <v>45</v>
      </c>
      <c r="AE4478" s="1">
        <v>23871</v>
      </c>
      <c r="AF4478">
        <v>2</v>
      </c>
      <c r="AG4478" t="s">
        <v>224</v>
      </c>
      <c r="AH4478" s="36">
        <f t="shared" si="69"/>
        <v>54.405555555555559</v>
      </c>
      <c r="AI4478" s="41" t="s">
        <v>1781</v>
      </c>
    </row>
    <row r="4479" spans="1:35" x14ac:dyDescent="0.25">
      <c r="A4479" s="36">
        <v>99914477</v>
      </c>
      <c r="B4479" s="17" t="s">
        <v>56</v>
      </c>
      <c r="C4479" t="s">
        <v>68</v>
      </c>
      <c r="D4479" t="s">
        <v>69</v>
      </c>
      <c r="G4479" s="17" t="s">
        <v>48</v>
      </c>
      <c r="H4479" s="17">
        <v>1</v>
      </c>
      <c r="K4479" t="s">
        <v>157</v>
      </c>
      <c r="L4479" t="s">
        <v>158</v>
      </c>
      <c r="M4479" t="s">
        <v>131</v>
      </c>
      <c r="N4479">
        <v>21</v>
      </c>
      <c r="O4479" t="s">
        <v>40</v>
      </c>
      <c r="P4479" t="s">
        <v>40</v>
      </c>
      <c r="Q4479" t="s">
        <v>40</v>
      </c>
      <c r="S4479" t="s">
        <v>40</v>
      </c>
      <c r="V4479" t="s">
        <v>41</v>
      </c>
      <c r="W4479" t="s">
        <v>42</v>
      </c>
      <c r="X4479" t="str">
        <f>"0580735"</f>
        <v>0580735</v>
      </c>
      <c r="Y4479" t="s">
        <v>180</v>
      </c>
      <c r="Z4479" t="s">
        <v>157</v>
      </c>
      <c r="AA4479" t="s">
        <v>158</v>
      </c>
      <c r="AB4479" t="s">
        <v>131</v>
      </c>
      <c r="AC4479" t="s">
        <v>51</v>
      </c>
      <c r="AD4479" t="s">
        <v>45</v>
      </c>
      <c r="AE4479" s="1">
        <v>23870</v>
      </c>
      <c r="AF4479">
        <v>2</v>
      </c>
      <c r="AG4479" t="s">
        <v>158</v>
      </c>
      <c r="AH4479" s="36">
        <f t="shared" si="69"/>
        <v>54.408333333333331</v>
      </c>
      <c r="AI4479" s="41" t="s">
        <v>1781</v>
      </c>
    </row>
    <row r="4480" spans="1:35" x14ac:dyDescent="0.25">
      <c r="A4480" s="36">
        <v>99914478</v>
      </c>
      <c r="B4480" s="17" t="s">
        <v>32</v>
      </c>
      <c r="C4480" t="s">
        <v>111</v>
      </c>
      <c r="D4480" t="s">
        <v>112</v>
      </c>
      <c r="G4480" s="17" t="s">
        <v>48</v>
      </c>
      <c r="H4480" s="17">
        <v>1</v>
      </c>
      <c r="K4480" t="s">
        <v>268</v>
      </c>
      <c r="L4480" t="s">
        <v>269</v>
      </c>
      <c r="M4480" t="s">
        <v>131</v>
      </c>
      <c r="N4480">
        <v>21</v>
      </c>
      <c r="O4480" t="s">
        <v>40</v>
      </c>
      <c r="P4480" t="s">
        <v>40</v>
      </c>
      <c r="Q4480" t="s">
        <v>40</v>
      </c>
      <c r="S4480" t="s">
        <v>40</v>
      </c>
      <c r="V4480" t="s">
        <v>41</v>
      </c>
      <c r="W4480" t="s">
        <v>75</v>
      </c>
      <c r="X4480" t="str">
        <f>"7052008"</f>
        <v>7052008</v>
      </c>
      <c r="Y4480" t="s">
        <v>274</v>
      </c>
      <c r="Z4480" t="s">
        <v>268</v>
      </c>
      <c r="AA4480" t="s">
        <v>269</v>
      </c>
      <c r="AB4480" t="s">
        <v>131</v>
      </c>
      <c r="AC4480" t="s">
        <v>51</v>
      </c>
      <c r="AD4480" t="s">
        <v>45</v>
      </c>
      <c r="AE4480" s="1">
        <v>23868</v>
      </c>
      <c r="AF4480">
        <v>1</v>
      </c>
      <c r="AG4480" t="s">
        <v>269</v>
      </c>
      <c r="AH4480" s="36">
        <f t="shared" si="69"/>
        <v>54.413888888888891</v>
      </c>
      <c r="AI4480" s="41" t="s">
        <v>1781</v>
      </c>
    </row>
    <row r="4481" spans="1:35" x14ac:dyDescent="0.25">
      <c r="A4481" s="36">
        <v>99914479</v>
      </c>
      <c r="B4481" s="17" t="s">
        <v>56</v>
      </c>
      <c r="C4481" t="s">
        <v>79</v>
      </c>
      <c r="D4481" t="s">
        <v>80</v>
      </c>
      <c r="G4481" s="17" t="s">
        <v>48</v>
      </c>
      <c r="H4481" s="17">
        <v>1</v>
      </c>
      <c r="K4481" t="s">
        <v>1051</v>
      </c>
      <c r="L4481" t="s">
        <v>1052</v>
      </c>
      <c r="M4481" t="s">
        <v>1053</v>
      </c>
      <c r="N4481">
        <v>19</v>
      </c>
      <c r="O4481" t="s">
        <v>40</v>
      </c>
      <c r="P4481" t="s">
        <v>40</v>
      </c>
      <c r="Q4481" t="s">
        <v>40</v>
      </c>
      <c r="R4481" t="s">
        <v>40</v>
      </c>
      <c r="S4481" t="s">
        <v>40</v>
      </c>
      <c r="V4481" t="s">
        <v>41</v>
      </c>
      <c r="W4481" t="s">
        <v>42</v>
      </c>
      <c r="X4481" t="str">
        <f>"2061001"</f>
        <v>2061001</v>
      </c>
      <c r="Y4481" t="s">
        <v>1058</v>
      </c>
      <c r="Z4481" t="s">
        <v>1051</v>
      </c>
      <c r="AA4481" t="s">
        <v>1052</v>
      </c>
      <c r="AB4481" t="s">
        <v>1053</v>
      </c>
      <c r="AC4481" t="s">
        <v>51</v>
      </c>
      <c r="AD4481" t="s">
        <v>45</v>
      </c>
      <c r="AE4481" s="1">
        <v>23868</v>
      </c>
      <c r="AF4481">
        <v>2</v>
      </c>
      <c r="AG4481" t="s">
        <v>1052</v>
      </c>
      <c r="AH4481" s="36">
        <f t="shared" si="69"/>
        <v>54.413888888888891</v>
      </c>
      <c r="AI4481" s="41" t="s">
        <v>1781</v>
      </c>
    </row>
    <row r="4482" spans="1:35" x14ac:dyDescent="0.25">
      <c r="A4482" s="36">
        <v>99914480</v>
      </c>
      <c r="B4482" s="17" t="s">
        <v>32</v>
      </c>
      <c r="C4482" t="s">
        <v>64</v>
      </c>
      <c r="D4482" t="s">
        <v>65</v>
      </c>
      <c r="G4482" s="17" t="s">
        <v>48</v>
      </c>
      <c r="H4482" s="17">
        <v>13</v>
      </c>
      <c r="K4482" t="s">
        <v>195</v>
      </c>
      <c r="L4482" t="s">
        <v>196</v>
      </c>
      <c r="M4482" t="s">
        <v>131</v>
      </c>
      <c r="N4482">
        <v>21</v>
      </c>
      <c r="O4482" t="s">
        <v>40</v>
      </c>
      <c r="P4482" t="s">
        <v>40</v>
      </c>
      <c r="Q4482" t="s">
        <v>40</v>
      </c>
      <c r="R4482" t="s">
        <v>40</v>
      </c>
      <c r="S4482" t="s">
        <v>40</v>
      </c>
      <c r="U4482" s="1">
        <v>36770</v>
      </c>
      <c r="V4482" t="s">
        <v>41</v>
      </c>
      <c r="W4482" t="s">
        <v>75</v>
      </c>
      <c r="X4482" t="str">
        <f>"7521046"</f>
        <v>7521046</v>
      </c>
      <c r="Y4482" t="s">
        <v>436</v>
      </c>
      <c r="Z4482" t="s">
        <v>195</v>
      </c>
      <c r="AA4482" t="s">
        <v>196</v>
      </c>
      <c r="AB4482" t="s">
        <v>131</v>
      </c>
      <c r="AC4482" t="s">
        <v>51</v>
      </c>
      <c r="AD4482" t="s">
        <v>45</v>
      </c>
      <c r="AE4482" s="1">
        <v>23863</v>
      </c>
      <c r="AF4482">
        <v>1</v>
      </c>
      <c r="AG4482" t="s">
        <v>196</v>
      </c>
      <c r="AH4482" s="36">
        <f t="shared" ref="AH4482:AH4545" si="70">($AJ$1-AE4482)/360</f>
        <v>54.427777777777777</v>
      </c>
      <c r="AI4482" s="41" t="s">
        <v>1781</v>
      </c>
    </row>
    <row r="4483" spans="1:35" x14ac:dyDescent="0.25">
      <c r="A4483" s="36">
        <v>99914481</v>
      </c>
      <c r="B4483" s="17" t="s">
        <v>32</v>
      </c>
      <c r="C4483" t="s">
        <v>64</v>
      </c>
      <c r="D4483" t="s">
        <v>65</v>
      </c>
      <c r="G4483" s="17" t="s">
        <v>35</v>
      </c>
      <c r="H4483" s="17">
        <v>14</v>
      </c>
      <c r="K4483" t="s">
        <v>268</v>
      </c>
      <c r="L4483" t="s">
        <v>269</v>
      </c>
      <c r="M4483" t="s">
        <v>131</v>
      </c>
      <c r="N4483">
        <v>21</v>
      </c>
      <c r="O4483" t="s">
        <v>40</v>
      </c>
      <c r="P4483" t="s">
        <v>40</v>
      </c>
      <c r="Q4483" t="s">
        <v>40</v>
      </c>
      <c r="R4483" t="s">
        <v>40</v>
      </c>
      <c r="S4483" t="s">
        <v>40</v>
      </c>
      <c r="V4483" t="s">
        <v>41</v>
      </c>
      <c r="W4483" t="s">
        <v>75</v>
      </c>
      <c r="X4483" t="str">
        <f>"7052006"</f>
        <v>7052006</v>
      </c>
      <c r="Y4483" t="s">
        <v>575</v>
      </c>
      <c r="Z4483" t="s">
        <v>268</v>
      </c>
      <c r="AA4483" t="s">
        <v>269</v>
      </c>
      <c r="AB4483" t="s">
        <v>131</v>
      </c>
      <c r="AC4483" t="s">
        <v>165</v>
      </c>
      <c r="AD4483" t="s">
        <v>45</v>
      </c>
      <c r="AE4483" s="1">
        <v>23863</v>
      </c>
      <c r="AF4483">
        <v>1</v>
      </c>
      <c r="AG4483" t="s">
        <v>269</v>
      </c>
      <c r="AH4483" s="36">
        <f t="shared" si="70"/>
        <v>54.427777777777777</v>
      </c>
      <c r="AI4483" s="41" t="s">
        <v>1781</v>
      </c>
    </row>
    <row r="4484" spans="1:35" x14ac:dyDescent="0.25">
      <c r="A4484" s="36">
        <v>99914482</v>
      </c>
      <c r="B4484" s="17" t="s">
        <v>56</v>
      </c>
      <c r="C4484" t="s">
        <v>68</v>
      </c>
      <c r="D4484" t="s">
        <v>69</v>
      </c>
      <c r="G4484" s="17" t="s">
        <v>35</v>
      </c>
      <c r="H4484" s="17">
        <v>1</v>
      </c>
      <c r="I4484" t="s">
        <v>974</v>
      </c>
      <c r="J4484" s="1">
        <v>43344</v>
      </c>
      <c r="K4484" t="s">
        <v>947</v>
      </c>
      <c r="L4484" t="s">
        <v>948</v>
      </c>
      <c r="M4484" t="s">
        <v>938</v>
      </c>
      <c r="N4484">
        <v>20</v>
      </c>
      <c r="O4484" t="s">
        <v>40</v>
      </c>
      <c r="S4484" t="s">
        <v>40</v>
      </c>
      <c r="U4484" s="1">
        <v>43344</v>
      </c>
      <c r="V4484" t="s">
        <v>41</v>
      </c>
      <c r="W4484" t="s">
        <v>42</v>
      </c>
      <c r="X4484" t="str">
        <f>"0680030"</f>
        <v>0680030</v>
      </c>
      <c r="Y4484" t="s">
        <v>951</v>
      </c>
      <c r="Z4484" t="s">
        <v>947</v>
      </c>
      <c r="AA4484" t="s">
        <v>948</v>
      </c>
      <c r="AB4484" t="s">
        <v>938</v>
      </c>
      <c r="AC4484" t="s">
        <v>51</v>
      </c>
      <c r="AD4484" t="s">
        <v>45</v>
      </c>
      <c r="AE4484" s="1">
        <v>23863</v>
      </c>
      <c r="AF4484">
        <v>2</v>
      </c>
      <c r="AG4484" t="s">
        <v>948</v>
      </c>
      <c r="AH4484" s="36">
        <f t="shared" si="70"/>
        <v>54.427777777777777</v>
      </c>
      <c r="AI4484" s="41" t="s">
        <v>1781</v>
      </c>
    </row>
    <row r="4485" spans="1:35" x14ac:dyDescent="0.25">
      <c r="A4485" s="36">
        <v>99914483</v>
      </c>
      <c r="B4485" s="17" t="s">
        <v>32</v>
      </c>
      <c r="C4485" t="s">
        <v>90</v>
      </c>
      <c r="D4485" t="s">
        <v>91</v>
      </c>
      <c r="G4485" s="17" t="s">
        <v>35</v>
      </c>
      <c r="H4485" s="17">
        <v>1</v>
      </c>
      <c r="I4485" t="s">
        <v>1366</v>
      </c>
      <c r="J4485" s="1">
        <v>43344</v>
      </c>
      <c r="K4485" t="s">
        <v>1341</v>
      </c>
      <c r="L4485" t="s">
        <v>1342</v>
      </c>
      <c r="M4485" t="s">
        <v>1270</v>
      </c>
      <c r="N4485">
        <v>24</v>
      </c>
      <c r="O4485" t="s">
        <v>40</v>
      </c>
      <c r="S4485" t="s">
        <v>40</v>
      </c>
      <c r="U4485" s="1">
        <v>43344</v>
      </c>
      <c r="V4485" t="s">
        <v>41</v>
      </c>
      <c r="W4485" t="s">
        <v>95</v>
      </c>
      <c r="X4485" t="str">
        <f>"7191079"</f>
        <v>7191079</v>
      </c>
      <c r="Y4485" t="s">
        <v>1367</v>
      </c>
      <c r="Z4485" t="s">
        <v>1341</v>
      </c>
      <c r="AA4485" t="s">
        <v>1342</v>
      </c>
      <c r="AB4485" t="s">
        <v>1270</v>
      </c>
      <c r="AC4485" t="s">
        <v>51</v>
      </c>
      <c r="AD4485" t="s">
        <v>45</v>
      </c>
      <c r="AE4485" s="1">
        <v>23863</v>
      </c>
      <c r="AF4485">
        <v>1</v>
      </c>
      <c r="AG4485" t="s">
        <v>1342</v>
      </c>
      <c r="AH4485" s="36">
        <f t="shared" si="70"/>
        <v>54.427777777777777</v>
      </c>
      <c r="AI4485" s="41" t="s">
        <v>1781</v>
      </c>
    </row>
    <row r="4486" spans="1:35" x14ac:dyDescent="0.25">
      <c r="A4486" s="36">
        <v>99914484</v>
      </c>
      <c r="B4486" s="17" t="s">
        <v>32</v>
      </c>
      <c r="C4486" t="s">
        <v>64</v>
      </c>
      <c r="D4486" t="s">
        <v>65</v>
      </c>
      <c r="G4486" s="17" t="s">
        <v>48</v>
      </c>
      <c r="H4486" s="17">
        <v>1</v>
      </c>
      <c r="K4486" t="s">
        <v>162</v>
      </c>
      <c r="L4486" t="s">
        <v>158</v>
      </c>
      <c r="M4486" t="s">
        <v>131</v>
      </c>
      <c r="N4486">
        <v>18</v>
      </c>
      <c r="O4486" t="s">
        <v>40</v>
      </c>
      <c r="P4486" t="s">
        <v>40</v>
      </c>
      <c r="Q4486" t="s">
        <v>40</v>
      </c>
      <c r="R4486" t="s">
        <v>40</v>
      </c>
      <c r="S4486" t="s">
        <v>40</v>
      </c>
      <c r="V4486" t="s">
        <v>41</v>
      </c>
      <c r="W4486" t="s">
        <v>42</v>
      </c>
      <c r="X4486" t="str">
        <f>"0580325"</f>
        <v>0580325</v>
      </c>
      <c r="Y4486" t="s">
        <v>170</v>
      </c>
      <c r="Z4486" t="s">
        <v>162</v>
      </c>
      <c r="AA4486" t="s">
        <v>158</v>
      </c>
      <c r="AB4486" t="s">
        <v>131</v>
      </c>
      <c r="AC4486" t="s">
        <v>165</v>
      </c>
      <c r="AD4486" t="s">
        <v>45</v>
      </c>
      <c r="AE4486" s="1">
        <v>23859</v>
      </c>
      <c r="AF4486">
        <v>2</v>
      </c>
      <c r="AG4486" t="s">
        <v>158</v>
      </c>
      <c r="AH4486" s="36">
        <f t="shared" si="70"/>
        <v>54.43888888888889</v>
      </c>
      <c r="AI4486" s="41" t="s">
        <v>1781</v>
      </c>
    </row>
    <row r="4487" spans="1:35" x14ac:dyDescent="0.25">
      <c r="A4487" s="36">
        <v>99914485</v>
      </c>
      <c r="B4487" s="17" t="s">
        <v>56</v>
      </c>
      <c r="C4487" t="s">
        <v>90</v>
      </c>
      <c r="D4487" t="s">
        <v>91</v>
      </c>
      <c r="G4487" s="17" t="s">
        <v>35</v>
      </c>
      <c r="H4487" s="17">
        <v>1</v>
      </c>
      <c r="K4487" t="s">
        <v>1426</v>
      </c>
      <c r="L4487" t="s">
        <v>1427</v>
      </c>
      <c r="M4487" t="s">
        <v>1270</v>
      </c>
      <c r="N4487">
        <v>25</v>
      </c>
      <c r="O4487" t="s">
        <v>40</v>
      </c>
      <c r="P4487" t="s">
        <v>40</v>
      </c>
      <c r="Q4487" t="s">
        <v>40</v>
      </c>
      <c r="R4487" t="s">
        <v>40</v>
      </c>
      <c r="S4487" t="s">
        <v>40</v>
      </c>
      <c r="V4487" t="s">
        <v>41</v>
      </c>
      <c r="W4487" t="s">
        <v>95</v>
      </c>
      <c r="X4487" t="str">
        <f>"7192001"</f>
        <v>7192001</v>
      </c>
      <c r="Y4487" t="s">
        <v>1436</v>
      </c>
      <c r="Z4487" t="s">
        <v>1426</v>
      </c>
      <c r="AA4487" t="s">
        <v>1427</v>
      </c>
      <c r="AB4487" t="s">
        <v>1270</v>
      </c>
      <c r="AC4487" t="s">
        <v>51</v>
      </c>
      <c r="AD4487" t="s">
        <v>45</v>
      </c>
      <c r="AE4487" s="1">
        <v>23859</v>
      </c>
      <c r="AF4487">
        <v>1</v>
      </c>
      <c r="AG4487" t="s">
        <v>1427</v>
      </c>
      <c r="AH4487" s="36">
        <f t="shared" si="70"/>
        <v>54.43888888888889</v>
      </c>
      <c r="AI4487" s="41" t="s">
        <v>1781</v>
      </c>
    </row>
    <row r="4488" spans="1:35" x14ac:dyDescent="0.25">
      <c r="A4488" s="36">
        <v>99914486</v>
      </c>
      <c r="B4488" s="17" t="s">
        <v>32</v>
      </c>
      <c r="C4488" t="s">
        <v>79</v>
      </c>
      <c r="D4488" t="s">
        <v>80</v>
      </c>
      <c r="G4488" s="17" t="s">
        <v>48</v>
      </c>
      <c r="H4488" s="17">
        <v>1</v>
      </c>
      <c r="K4488" t="s">
        <v>223</v>
      </c>
      <c r="L4488" t="s">
        <v>224</v>
      </c>
      <c r="M4488" t="s">
        <v>131</v>
      </c>
      <c r="N4488">
        <v>20</v>
      </c>
      <c r="O4488" t="s">
        <v>40</v>
      </c>
      <c r="P4488" t="s">
        <v>40</v>
      </c>
      <c r="Q4488" t="s">
        <v>40</v>
      </c>
      <c r="R4488" t="s">
        <v>40</v>
      </c>
      <c r="S4488" t="s">
        <v>40</v>
      </c>
      <c r="V4488" t="s">
        <v>41</v>
      </c>
      <c r="W4488" t="s">
        <v>42</v>
      </c>
      <c r="X4488" t="str">
        <f>"0590910"</f>
        <v>0590910</v>
      </c>
      <c r="Y4488" t="s">
        <v>227</v>
      </c>
      <c r="Z4488" t="s">
        <v>223</v>
      </c>
      <c r="AA4488" t="s">
        <v>224</v>
      </c>
      <c r="AB4488" t="s">
        <v>131</v>
      </c>
      <c r="AC4488" t="s">
        <v>51</v>
      </c>
      <c r="AD4488" t="s">
        <v>45</v>
      </c>
      <c r="AE4488" s="1">
        <v>23855</v>
      </c>
      <c r="AF4488">
        <v>2</v>
      </c>
      <c r="AG4488" t="s">
        <v>224</v>
      </c>
      <c r="AH4488" s="36">
        <f t="shared" si="70"/>
        <v>54.45</v>
      </c>
      <c r="AI4488" s="41" t="s">
        <v>1781</v>
      </c>
    </row>
    <row r="4489" spans="1:35" x14ac:dyDescent="0.25">
      <c r="A4489" s="36">
        <v>99914487</v>
      </c>
      <c r="B4489" s="17" t="s">
        <v>32</v>
      </c>
      <c r="C4489" t="s">
        <v>79</v>
      </c>
      <c r="D4489" t="s">
        <v>80</v>
      </c>
      <c r="G4489" s="17" t="s">
        <v>48</v>
      </c>
      <c r="H4489" s="17">
        <v>15</v>
      </c>
      <c r="K4489" t="s">
        <v>1268</v>
      </c>
      <c r="L4489" t="s">
        <v>1269</v>
      </c>
      <c r="M4489" t="s">
        <v>1270</v>
      </c>
      <c r="N4489">
        <v>18</v>
      </c>
      <c r="O4489" t="s">
        <v>40</v>
      </c>
      <c r="P4489" t="s">
        <v>40</v>
      </c>
      <c r="Q4489" t="s">
        <v>40</v>
      </c>
      <c r="R4489" t="s">
        <v>40</v>
      </c>
      <c r="S4489" t="s">
        <v>40</v>
      </c>
      <c r="V4489" t="s">
        <v>41</v>
      </c>
      <c r="W4489" t="s">
        <v>42</v>
      </c>
      <c r="X4489" t="str">
        <f>"1980060"</f>
        <v>1980060</v>
      </c>
      <c r="Y4489" t="s">
        <v>1277</v>
      </c>
      <c r="Z4489" t="s">
        <v>1268</v>
      </c>
      <c r="AA4489" t="s">
        <v>1269</v>
      </c>
      <c r="AB4489" t="s">
        <v>1270</v>
      </c>
      <c r="AC4489" t="s">
        <v>51</v>
      </c>
      <c r="AD4489" t="s">
        <v>45</v>
      </c>
      <c r="AE4489" s="1">
        <v>23847</v>
      </c>
      <c r="AF4489">
        <v>2</v>
      </c>
      <c r="AG4489" t="s">
        <v>1269</v>
      </c>
      <c r="AH4489" s="36">
        <f t="shared" si="70"/>
        <v>54.472222222222221</v>
      </c>
      <c r="AI4489" s="41" t="s">
        <v>1781</v>
      </c>
    </row>
    <row r="4490" spans="1:35" x14ac:dyDescent="0.25">
      <c r="A4490" s="36">
        <v>99914488</v>
      </c>
      <c r="B4490" s="17" t="s">
        <v>56</v>
      </c>
      <c r="C4490" t="s">
        <v>79</v>
      </c>
      <c r="D4490" t="s">
        <v>80</v>
      </c>
      <c r="G4490" s="17" t="s">
        <v>35</v>
      </c>
      <c r="H4490" s="17">
        <v>1</v>
      </c>
      <c r="K4490" t="s">
        <v>157</v>
      </c>
      <c r="L4490" t="s">
        <v>158</v>
      </c>
      <c r="M4490" t="s">
        <v>131</v>
      </c>
      <c r="N4490">
        <v>18</v>
      </c>
      <c r="O4490" t="s">
        <v>40</v>
      </c>
      <c r="P4490" t="s">
        <v>40</v>
      </c>
      <c r="Q4490" t="s">
        <v>40</v>
      </c>
      <c r="R4490" t="s">
        <v>40</v>
      </c>
      <c r="S4490" t="s">
        <v>40</v>
      </c>
      <c r="V4490" t="s">
        <v>41</v>
      </c>
      <c r="W4490" t="s">
        <v>49</v>
      </c>
      <c r="X4490" t="str">
        <f>"0560011"</f>
        <v>0560011</v>
      </c>
      <c r="Y4490" t="s">
        <v>185</v>
      </c>
      <c r="Z4490" t="s">
        <v>157</v>
      </c>
      <c r="AA4490" t="s">
        <v>158</v>
      </c>
      <c r="AB4490" t="s">
        <v>131</v>
      </c>
      <c r="AC4490" t="s">
        <v>165</v>
      </c>
      <c r="AD4490" t="s">
        <v>45</v>
      </c>
      <c r="AE4490" s="1">
        <v>23836</v>
      </c>
      <c r="AF4490">
        <v>2</v>
      </c>
      <c r="AG4490" t="s">
        <v>158</v>
      </c>
      <c r="AH4490" s="36">
        <f t="shared" si="70"/>
        <v>54.50277777777778</v>
      </c>
      <c r="AI4490" s="41" t="s">
        <v>1781</v>
      </c>
    </row>
    <row r="4491" spans="1:35" x14ac:dyDescent="0.25">
      <c r="A4491" s="36">
        <v>99914489</v>
      </c>
      <c r="B4491" s="17" t="s">
        <v>32</v>
      </c>
      <c r="C4491" t="s">
        <v>79</v>
      </c>
      <c r="D4491" t="s">
        <v>80</v>
      </c>
      <c r="G4491" s="17" t="s">
        <v>35</v>
      </c>
      <c r="H4491" s="17">
        <v>13</v>
      </c>
      <c r="K4491" t="s">
        <v>268</v>
      </c>
      <c r="L4491" t="s">
        <v>269</v>
      </c>
      <c r="M4491" t="s">
        <v>131</v>
      </c>
      <c r="N4491">
        <v>21</v>
      </c>
      <c r="O4491" t="s">
        <v>40</v>
      </c>
      <c r="P4491" t="s">
        <v>40</v>
      </c>
      <c r="Q4491" t="s">
        <v>40</v>
      </c>
      <c r="R4491" t="s">
        <v>40</v>
      </c>
      <c r="S4491" t="s">
        <v>40</v>
      </c>
      <c r="V4491" t="s">
        <v>41</v>
      </c>
      <c r="W4491" t="s">
        <v>75</v>
      </c>
      <c r="X4491" t="str">
        <f>"7052002"</f>
        <v>7052002</v>
      </c>
      <c r="Y4491" t="s">
        <v>590</v>
      </c>
      <c r="Z4491" t="s">
        <v>268</v>
      </c>
      <c r="AA4491" t="s">
        <v>269</v>
      </c>
      <c r="AB4491" t="s">
        <v>131</v>
      </c>
      <c r="AC4491" t="s">
        <v>165</v>
      </c>
      <c r="AD4491" t="s">
        <v>45</v>
      </c>
      <c r="AE4491" s="1">
        <v>23834</v>
      </c>
      <c r="AF4491">
        <v>1</v>
      </c>
      <c r="AG4491" t="s">
        <v>269</v>
      </c>
      <c r="AH4491" s="36">
        <f t="shared" si="70"/>
        <v>54.508333333333333</v>
      </c>
      <c r="AI4491" s="41" t="s">
        <v>1781</v>
      </c>
    </row>
    <row r="4492" spans="1:35" x14ac:dyDescent="0.25">
      <c r="A4492" s="36">
        <v>99914490</v>
      </c>
      <c r="B4492" s="17" t="s">
        <v>56</v>
      </c>
      <c r="C4492" t="s">
        <v>52</v>
      </c>
      <c r="D4492" t="s">
        <v>53</v>
      </c>
      <c r="G4492" s="17" t="s">
        <v>48</v>
      </c>
      <c r="H4492" s="17">
        <v>12</v>
      </c>
      <c r="K4492" t="s">
        <v>1268</v>
      </c>
      <c r="L4492" t="s">
        <v>1269</v>
      </c>
      <c r="M4492" t="s">
        <v>1270</v>
      </c>
      <c r="N4492">
        <v>18</v>
      </c>
      <c r="O4492" t="s">
        <v>40</v>
      </c>
      <c r="P4492" t="s">
        <v>40</v>
      </c>
      <c r="Q4492" t="s">
        <v>40</v>
      </c>
      <c r="R4492" t="s">
        <v>40</v>
      </c>
      <c r="S4492" t="s">
        <v>40</v>
      </c>
      <c r="U4492" s="1">
        <v>43344</v>
      </c>
      <c r="V4492" t="s">
        <v>41</v>
      </c>
      <c r="W4492" t="s">
        <v>42</v>
      </c>
      <c r="X4492" t="str">
        <f>"1980060"</f>
        <v>1980060</v>
      </c>
      <c r="Y4492" t="s">
        <v>1277</v>
      </c>
      <c r="Z4492" t="s">
        <v>1268</v>
      </c>
      <c r="AA4492" t="s">
        <v>1269</v>
      </c>
      <c r="AB4492" t="s">
        <v>1270</v>
      </c>
      <c r="AC4492" t="s">
        <v>51</v>
      </c>
      <c r="AD4492" t="s">
        <v>45</v>
      </c>
      <c r="AE4492" s="1">
        <v>23829</v>
      </c>
      <c r="AF4492">
        <v>2</v>
      </c>
      <c r="AG4492" t="s">
        <v>1269</v>
      </c>
      <c r="AH4492" s="36">
        <f t="shared" si="70"/>
        <v>54.522222222222226</v>
      </c>
      <c r="AI4492" s="41" t="s">
        <v>1781</v>
      </c>
    </row>
    <row r="4493" spans="1:35" x14ac:dyDescent="0.25">
      <c r="A4493" s="36">
        <v>99914491</v>
      </c>
      <c r="B4493" s="17" t="s">
        <v>32</v>
      </c>
      <c r="C4493" t="s">
        <v>139</v>
      </c>
      <c r="D4493" t="s">
        <v>140</v>
      </c>
      <c r="G4493" s="17" t="s">
        <v>48</v>
      </c>
      <c r="H4493" s="17">
        <v>1</v>
      </c>
      <c r="K4493" t="s">
        <v>223</v>
      </c>
      <c r="L4493" t="s">
        <v>224</v>
      </c>
      <c r="M4493" t="s">
        <v>131</v>
      </c>
      <c r="N4493">
        <v>21</v>
      </c>
      <c r="O4493" t="s">
        <v>40</v>
      </c>
      <c r="P4493" t="s">
        <v>40</v>
      </c>
      <c r="Q4493" t="s">
        <v>40</v>
      </c>
      <c r="R4493" t="s">
        <v>40</v>
      </c>
      <c r="S4493" t="s">
        <v>40</v>
      </c>
      <c r="V4493" t="s">
        <v>41</v>
      </c>
      <c r="W4493" t="s">
        <v>49</v>
      </c>
      <c r="X4493" t="str">
        <f>"0591910"</f>
        <v>0591910</v>
      </c>
      <c r="Y4493" t="s">
        <v>228</v>
      </c>
      <c r="Z4493" t="s">
        <v>223</v>
      </c>
      <c r="AA4493" t="s">
        <v>224</v>
      </c>
      <c r="AB4493" t="s">
        <v>131</v>
      </c>
      <c r="AC4493" t="s">
        <v>51</v>
      </c>
      <c r="AD4493" t="s">
        <v>45</v>
      </c>
      <c r="AE4493" s="1">
        <v>23828</v>
      </c>
      <c r="AF4493">
        <v>2</v>
      </c>
      <c r="AG4493" t="s">
        <v>224</v>
      </c>
      <c r="AH4493" s="36">
        <f t="shared" si="70"/>
        <v>54.524999999999999</v>
      </c>
      <c r="AI4493" s="41" t="s">
        <v>1781</v>
      </c>
    </row>
    <row r="4494" spans="1:35" x14ac:dyDescent="0.25">
      <c r="A4494" s="36">
        <v>99914492</v>
      </c>
      <c r="B4494" s="17" t="s">
        <v>32</v>
      </c>
      <c r="C4494" t="s">
        <v>52</v>
      </c>
      <c r="D4494" t="s">
        <v>53</v>
      </c>
      <c r="G4494" s="17" t="s">
        <v>48</v>
      </c>
      <c r="H4494" s="17">
        <v>12</v>
      </c>
      <c r="K4494" t="s">
        <v>129</v>
      </c>
      <c r="L4494" t="s">
        <v>130</v>
      </c>
      <c r="M4494" t="s">
        <v>131</v>
      </c>
      <c r="N4494">
        <v>18</v>
      </c>
      <c r="O4494" t="s">
        <v>40</v>
      </c>
      <c r="P4494" t="s">
        <v>40</v>
      </c>
      <c r="Q4494" t="s">
        <v>40</v>
      </c>
      <c r="R4494" t="s">
        <v>40</v>
      </c>
      <c r="S4494" t="s">
        <v>40</v>
      </c>
      <c r="U4494" s="1">
        <v>34213</v>
      </c>
      <c r="V4494" t="s">
        <v>41</v>
      </c>
      <c r="W4494" t="s">
        <v>42</v>
      </c>
      <c r="X4494" t="str">
        <f>"0561011"</f>
        <v>0561011</v>
      </c>
      <c r="Y4494" t="s">
        <v>132</v>
      </c>
      <c r="Z4494" t="s">
        <v>129</v>
      </c>
      <c r="AA4494" t="s">
        <v>130</v>
      </c>
      <c r="AB4494" t="s">
        <v>131</v>
      </c>
      <c r="AC4494" t="s">
        <v>51</v>
      </c>
      <c r="AD4494" t="s">
        <v>45</v>
      </c>
      <c r="AE4494" s="1">
        <v>23822</v>
      </c>
      <c r="AF4494">
        <v>2</v>
      </c>
      <c r="AG4494" t="s">
        <v>130</v>
      </c>
      <c r="AH4494" s="36">
        <f t="shared" si="70"/>
        <v>54.541666666666664</v>
      </c>
      <c r="AI4494" s="41" t="s">
        <v>1781</v>
      </c>
    </row>
    <row r="4495" spans="1:35" x14ac:dyDescent="0.25">
      <c r="A4495" s="36">
        <v>99914493</v>
      </c>
      <c r="B4495" s="17" t="s">
        <v>32</v>
      </c>
      <c r="C4495" t="s">
        <v>46</v>
      </c>
      <c r="D4495" t="s">
        <v>47</v>
      </c>
      <c r="G4495" s="17" t="s">
        <v>48</v>
      </c>
      <c r="H4495" s="17">
        <v>1</v>
      </c>
      <c r="K4495" t="s">
        <v>223</v>
      </c>
      <c r="L4495" t="s">
        <v>224</v>
      </c>
      <c r="M4495" t="s">
        <v>131</v>
      </c>
      <c r="N4495">
        <v>18</v>
      </c>
      <c r="O4495" t="s">
        <v>40</v>
      </c>
      <c r="P4495" t="s">
        <v>40</v>
      </c>
      <c r="Q4495" t="s">
        <v>40</v>
      </c>
      <c r="R4495" t="s">
        <v>40</v>
      </c>
      <c r="S4495" t="s">
        <v>40</v>
      </c>
      <c r="V4495" t="s">
        <v>41</v>
      </c>
      <c r="W4495" t="s">
        <v>49</v>
      </c>
      <c r="X4495" t="str">
        <f>"0540902"</f>
        <v>0540902</v>
      </c>
      <c r="Y4495" t="s">
        <v>256</v>
      </c>
      <c r="Z4495" t="s">
        <v>223</v>
      </c>
      <c r="AA4495" t="s">
        <v>224</v>
      </c>
      <c r="AB4495" t="s">
        <v>131</v>
      </c>
      <c r="AC4495" t="s">
        <v>51</v>
      </c>
      <c r="AD4495" t="s">
        <v>45</v>
      </c>
      <c r="AE4495" s="1">
        <v>23821</v>
      </c>
      <c r="AF4495">
        <v>2</v>
      </c>
      <c r="AG4495" t="s">
        <v>224</v>
      </c>
      <c r="AH4495" s="36">
        <f t="shared" si="70"/>
        <v>54.544444444444444</v>
      </c>
      <c r="AI4495" s="41" t="s">
        <v>1781</v>
      </c>
    </row>
    <row r="4496" spans="1:35" x14ac:dyDescent="0.25">
      <c r="A4496" s="36">
        <v>99914494</v>
      </c>
      <c r="B4496" s="17" t="s">
        <v>32</v>
      </c>
      <c r="C4496" t="s">
        <v>64</v>
      </c>
      <c r="D4496" t="s">
        <v>65</v>
      </c>
      <c r="G4496" s="17" t="s">
        <v>35</v>
      </c>
      <c r="H4496" s="17">
        <v>1</v>
      </c>
      <c r="K4496" t="s">
        <v>154</v>
      </c>
      <c r="L4496" t="s">
        <v>155</v>
      </c>
      <c r="M4496" t="s">
        <v>131</v>
      </c>
      <c r="N4496">
        <v>15</v>
      </c>
      <c r="O4496" t="s">
        <v>40</v>
      </c>
      <c r="P4496" t="s">
        <v>40</v>
      </c>
      <c r="Q4496" t="s">
        <v>40</v>
      </c>
      <c r="R4496" t="s">
        <v>40</v>
      </c>
      <c r="S4496" t="s">
        <v>40</v>
      </c>
      <c r="V4496" t="s">
        <v>41</v>
      </c>
      <c r="W4496" t="s">
        <v>75</v>
      </c>
      <c r="X4496" t="str">
        <f>"7700026"</f>
        <v>7700026</v>
      </c>
      <c r="Y4496" t="s">
        <v>397</v>
      </c>
      <c r="Z4496" t="s">
        <v>154</v>
      </c>
      <c r="AA4496" t="s">
        <v>155</v>
      </c>
      <c r="AB4496" t="s">
        <v>131</v>
      </c>
      <c r="AC4496" t="s">
        <v>51</v>
      </c>
      <c r="AD4496" t="s">
        <v>45</v>
      </c>
      <c r="AE4496" s="1">
        <v>23821</v>
      </c>
      <c r="AF4496">
        <v>1</v>
      </c>
      <c r="AG4496" t="s">
        <v>155</v>
      </c>
      <c r="AH4496" s="36">
        <f t="shared" si="70"/>
        <v>54.544444444444444</v>
      </c>
      <c r="AI4496" s="41" t="s">
        <v>1781</v>
      </c>
    </row>
    <row r="4497" spans="1:35" x14ac:dyDescent="0.25">
      <c r="A4497" s="36">
        <v>99914495</v>
      </c>
      <c r="B4497" s="17" t="s">
        <v>32</v>
      </c>
      <c r="C4497" t="s">
        <v>52</v>
      </c>
      <c r="D4497" t="s">
        <v>53</v>
      </c>
      <c r="G4497" s="17" t="s">
        <v>35</v>
      </c>
      <c r="H4497" s="17">
        <v>1</v>
      </c>
      <c r="K4497" t="s">
        <v>223</v>
      </c>
      <c r="L4497" t="s">
        <v>224</v>
      </c>
      <c r="M4497" t="s">
        <v>131</v>
      </c>
      <c r="N4497">
        <v>22</v>
      </c>
      <c r="O4497" t="s">
        <v>40</v>
      </c>
      <c r="P4497" t="s">
        <v>40</v>
      </c>
      <c r="Q4497" t="s">
        <v>40</v>
      </c>
      <c r="R4497" t="s">
        <v>40</v>
      </c>
      <c r="S4497" t="s">
        <v>40</v>
      </c>
      <c r="V4497" t="s">
        <v>41</v>
      </c>
      <c r="W4497" t="s">
        <v>49</v>
      </c>
      <c r="X4497" t="str">
        <f>"0560008"</f>
        <v>0560008</v>
      </c>
      <c r="Y4497" t="s">
        <v>263</v>
      </c>
      <c r="Z4497" t="s">
        <v>223</v>
      </c>
      <c r="AA4497" t="s">
        <v>224</v>
      </c>
      <c r="AB4497" t="s">
        <v>131</v>
      </c>
      <c r="AC4497" t="s">
        <v>51</v>
      </c>
      <c r="AD4497" t="s">
        <v>45</v>
      </c>
      <c r="AE4497" s="1">
        <v>23807</v>
      </c>
      <c r="AF4497">
        <v>2</v>
      </c>
      <c r="AG4497" t="s">
        <v>224</v>
      </c>
      <c r="AH4497" s="36">
        <f t="shared" si="70"/>
        <v>54.583333333333336</v>
      </c>
      <c r="AI4497" s="41" t="s">
        <v>1781</v>
      </c>
    </row>
    <row r="4498" spans="1:35" x14ac:dyDescent="0.25">
      <c r="A4498" s="36">
        <v>99914496</v>
      </c>
      <c r="B4498" s="17" t="s">
        <v>32</v>
      </c>
      <c r="C4498" t="s">
        <v>64</v>
      </c>
      <c r="D4498" t="s">
        <v>65</v>
      </c>
      <c r="G4498" s="17" t="s">
        <v>35</v>
      </c>
      <c r="H4498" s="17">
        <v>1</v>
      </c>
      <c r="K4498" t="s">
        <v>223</v>
      </c>
      <c r="L4498" t="s">
        <v>224</v>
      </c>
      <c r="M4498" t="s">
        <v>131</v>
      </c>
      <c r="N4498">
        <v>18</v>
      </c>
      <c r="O4498" t="s">
        <v>40</v>
      </c>
      <c r="P4498" t="s">
        <v>40</v>
      </c>
      <c r="Q4498" t="s">
        <v>40</v>
      </c>
      <c r="S4498" t="s">
        <v>40</v>
      </c>
      <c r="V4498" t="s">
        <v>41</v>
      </c>
      <c r="W4498" t="s">
        <v>49</v>
      </c>
      <c r="X4498" t="str">
        <f>"0581207"</f>
        <v>0581207</v>
      </c>
      <c r="Y4498" t="s">
        <v>233</v>
      </c>
      <c r="Z4498" t="s">
        <v>223</v>
      </c>
      <c r="AA4498" t="s">
        <v>224</v>
      </c>
      <c r="AB4498" t="s">
        <v>131</v>
      </c>
      <c r="AC4498" t="s">
        <v>165</v>
      </c>
      <c r="AD4498" t="s">
        <v>45</v>
      </c>
      <c r="AE4498" s="1">
        <v>23804</v>
      </c>
      <c r="AF4498">
        <v>2</v>
      </c>
      <c r="AG4498" t="s">
        <v>224</v>
      </c>
      <c r="AH4498" s="36">
        <f t="shared" si="70"/>
        <v>54.591666666666669</v>
      </c>
      <c r="AI4498" s="41" t="s">
        <v>1781</v>
      </c>
    </row>
    <row r="4499" spans="1:35" x14ac:dyDescent="0.25">
      <c r="A4499" s="36">
        <v>99914497</v>
      </c>
      <c r="B4499" s="17" t="s">
        <v>32</v>
      </c>
      <c r="C4499" t="s">
        <v>46</v>
      </c>
      <c r="D4499" t="s">
        <v>47</v>
      </c>
      <c r="G4499" s="17" t="s">
        <v>48</v>
      </c>
      <c r="H4499" s="17">
        <v>1</v>
      </c>
      <c r="K4499" t="s">
        <v>1487</v>
      </c>
      <c r="L4499" t="s">
        <v>1488</v>
      </c>
      <c r="M4499" t="s">
        <v>670</v>
      </c>
      <c r="N4499">
        <v>15</v>
      </c>
      <c r="O4499" t="s">
        <v>40</v>
      </c>
      <c r="P4499" t="s">
        <v>40</v>
      </c>
      <c r="Q4499" t="s">
        <v>40</v>
      </c>
      <c r="R4499" t="s">
        <v>40</v>
      </c>
      <c r="S4499" t="s">
        <v>40</v>
      </c>
      <c r="V4499" t="s">
        <v>41</v>
      </c>
      <c r="W4499" t="s">
        <v>49</v>
      </c>
      <c r="X4499" t="str">
        <f>"1760001"</f>
        <v>1760001</v>
      </c>
      <c r="Y4499" t="s">
        <v>1489</v>
      </c>
      <c r="Z4499" t="s">
        <v>1487</v>
      </c>
      <c r="AA4499" t="s">
        <v>1488</v>
      </c>
      <c r="AB4499" t="s">
        <v>670</v>
      </c>
      <c r="AC4499" t="s">
        <v>51</v>
      </c>
      <c r="AD4499" t="s">
        <v>45</v>
      </c>
      <c r="AE4499" s="1">
        <v>23802</v>
      </c>
      <c r="AF4499">
        <v>2</v>
      </c>
      <c r="AG4499" t="s">
        <v>1488</v>
      </c>
      <c r="AH4499" s="36">
        <f t="shared" si="70"/>
        <v>54.597222222222221</v>
      </c>
      <c r="AI4499" s="41" t="s">
        <v>1781</v>
      </c>
    </row>
    <row r="4500" spans="1:35" x14ac:dyDescent="0.25">
      <c r="A4500" s="36">
        <v>99914498</v>
      </c>
      <c r="B4500" s="17" t="s">
        <v>56</v>
      </c>
      <c r="C4500" t="s">
        <v>52</v>
      </c>
      <c r="D4500" t="s">
        <v>53</v>
      </c>
      <c r="G4500" s="17" t="s">
        <v>48</v>
      </c>
      <c r="H4500" s="17">
        <v>1</v>
      </c>
      <c r="K4500" t="s">
        <v>1487</v>
      </c>
      <c r="L4500" t="s">
        <v>1488</v>
      </c>
      <c r="M4500" t="s">
        <v>670</v>
      </c>
      <c r="N4500">
        <v>21</v>
      </c>
      <c r="O4500" t="s">
        <v>40</v>
      </c>
      <c r="P4500" t="s">
        <v>40</v>
      </c>
      <c r="Q4500" t="s">
        <v>40</v>
      </c>
      <c r="R4500" t="s">
        <v>40</v>
      </c>
      <c r="S4500" t="s">
        <v>40</v>
      </c>
      <c r="V4500" t="s">
        <v>41</v>
      </c>
      <c r="W4500" t="s">
        <v>42</v>
      </c>
      <c r="X4500" t="str">
        <f>"1780020"</f>
        <v>1780020</v>
      </c>
      <c r="Y4500" t="s">
        <v>1490</v>
      </c>
      <c r="Z4500" t="s">
        <v>1487</v>
      </c>
      <c r="AA4500" t="s">
        <v>1488</v>
      </c>
      <c r="AB4500" t="s">
        <v>670</v>
      </c>
      <c r="AC4500" t="s">
        <v>51</v>
      </c>
      <c r="AD4500" t="s">
        <v>45</v>
      </c>
      <c r="AE4500" s="1">
        <v>23801</v>
      </c>
      <c r="AF4500">
        <v>2</v>
      </c>
      <c r="AG4500" t="s">
        <v>1488</v>
      </c>
      <c r="AH4500" s="36">
        <f t="shared" si="70"/>
        <v>54.6</v>
      </c>
      <c r="AI4500" s="41" t="s">
        <v>1781</v>
      </c>
    </row>
    <row r="4501" spans="1:35" x14ac:dyDescent="0.25">
      <c r="A4501" s="36">
        <v>99914499</v>
      </c>
      <c r="B4501" s="17" t="s">
        <v>32</v>
      </c>
      <c r="C4501" t="s">
        <v>46</v>
      </c>
      <c r="D4501" t="s">
        <v>47</v>
      </c>
      <c r="G4501" s="17" t="s">
        <v>48</v>
      </c>
      <c r="H4501" s="17">
        <v>1</v>
      </c>
      <c r="K4501" t="s">
        <v>223</v>
      </c>
      <c r="L4501" t="s">
        <v>224</v>
      </c>
      <c r="M4501" t="s">
        <v>131</v>
      </c>
      <c r="N4501">
        <v>18</v>
      </c>
      <c r="O4501" t="s">
        <v>40</v>
      </c>
      <c r="P4501" t="s">
        <v>40</v>
      </c>
      <c r="Q4501" t="s">
        <v>40</v>
      </c>
      <c r="S4501" t="s">
        <v>40</v>
      </c>
      <c r="V4501" t="s">
        <v>41</v>
      </c>
      <c r="W4501" t="s">
        <v>42</v>
      </c>
      <c r="X4501" t="str">
        <f>"0580200"</f>
        <v>0580200</v>
      </c>
      <c r="Y4501" t="s">
        <v>245</v>
      </c>
      <c r="Z4501" t="s">
        <v>223</v>
      </c>
      <c r="AA4501" t="s">
        <v>224</v>
      </c>
      <c r="AB4501" t="s">
        <v>131</v>
      </c>
      <c r="AC4501" t="s">
        <v>51</v>
      </c>
      <c r="AD4501" t="s">
        <v>45</v>
      </c>
      <c r="AE4501" s="1">
        <v>23798</v>
      </c>
      <c r="AF4501">
        <v>2</v>
      </c>
      <c r="AG4501" t="s">
        <v>224</v>
      </c>
      <c r="AH4501" s="36">
        <f t="shared" si="70"/>
        <v>54.608333333333334</v>
      </c>
      <c r="AI4501" s="41" t="s">
        <v>1781</v>
      </c>
    </row>
    <row r="4502" spans="1:35" x14ac:dyDescent="0.25">
      <c r="A4502" s="36">
        <v>99914500</v>
      </c>
      <c r="B4502" s="17" t="s">
        <v>32</v>
      </c>
      <c r="C4502" t="s">
        <v>46</v>
      </c>
      <c r="D4502" t="s">
        <v>47</v>
      </c>
      <c r="G4502" s="17" t="s">
        <v>35</v>
      </c>
      <c r="H4502" s="17">
        <v>1</v>
      </c>
      <c r="K4502" t="s">
        <v>223</v>
      </c>
      <c r="L4502" t="s">
        <v>224</v>
      </c>
      <c r="M4502" t="s">
        <v>131</v>
      </c>
      <c r="N4502">
        <v>18</v>
      </c>
      <c r="O4502" t="s">
        <v>40</v>
      </c>
      <c r="P4502" t="s">
        <v>40</v>
      </c>
      <c r="Q4502" t="s">
        <v>40</v>
      </c>
      <c r="S4502" t="s">
        <v>40</v>
      </c>
      <c r="V4502" t="s">
        <v>41</v>
      </c>
      <c r="W4502" t="s">
        <v>42</v>
      </c>
      <c r="X4502" t="str">
        <f>"0590901"</f>
        <v>0590901</v>
      </c>
      <c r="Y4502" t="s">
        <v>242</v>
      </c>
      <c r="Z4502" t="s">
        <v>223</v>
      </c>
      <c r="AA4502" t="s">
        <v>224</v>
      </c>
      <c r="AB4502" t="s">
        <v>131</v>
      </c>
      <c r="AC4502" t="s">
        <v>165</v>
      </c>
      <c r="AD4502" t="s">
        <v>45</v>
      </c>
      <c r="AE4502" s="1">
        <v>23792</v>
      </c>
      <c r="AF4502">
        <v>2</v>
      </c>
      <c r="AG4502" t="s">
        <v>224</v>
      </c>
      <c r="AH4502" s="36">
        <f t="shared" si="70"/>
        <v>54.625</v>
      </c>
      <c r="AI4502" s="41" t="s">
        <v>1781</v>
      </c>
    </row>
    <row r="4503" spans="1:35" x14ac:dyDescent="0.25">
      <c r="A4503" s="36">
        <v>99914501</v>
      </c>
      <c r="B4503" s="17" t="s">
        <v>32</v>
      </c>
      <c r="C4503" t="s">
        <v>33</v>
      </c>
      <c r="D4503" t="s">
        <v>34</v>
      </c>
      <c r="G4503" s="17" t="s">
        <v>48</v>
      </c>
      <c r="H4503" s="17">
        <v>1</v>
      </c>
      <c r="K4503" t="s">
        <v>223</v>
      </c>
      <c r="L4503" t="s">
        <v>224</v>
      </c>
      <c r="M4503" t="s">
        <v>131</v>
      </c>
      <c r="N4503">
        <v>17</v>
      </c>
      <c r="O4503" t="s">
        <v>40</v>
      </c>
      <c r="P4503" t="s">
        <v>40</v>
      </c>
      <c r="Q4503" t="s">
        <v>40</v>
      </c>
      <c r="R4503" t="s">
        <v>40</v>
      </c>
      <c r="S4503" t="s">
        <v>40</v>
      </c>
      <c r="V4503" t="s">
        <v>41</v>
      </c>
      <c r="W4503" t="s">
        <v>42</v>
      </c>
      <c r="X4503" t="str">
        <f>"0580265"</f>
        <v>0580265</v>
      </c>
      <c r="Y4503" t="s">
        <v>231</v>
      </c>
      <c r="Z4503" t="s">
        <v>223</v>
      </c>
      <c r="AA4503" t="s">
        <v>224</v>
      </c>
      <c r="AB4503" t="s">
        <v>131</v>
      </c>
      <c r="AC4503" t="s">
        <v>51</v>
      </c>
      <c r="AD4503" t="s">
        <v>45</v>
      </c>
      <c r="AE4503" s="1">
        <v>23792</v>
      </c>
      <c r="AF4503">
        <v>2</v>
      </c>
      <c r="AG4503" t="s">
        <v>224</v>
      </c>
      <c r="AH4503" s="36">
        <f t="shared" si="70"/>
        <v>54.625</v>
      </c>
      <c r="AI4503" s="41" t="s">
        <v>1781</v>
      </c>
    </row>
    <row r="4504" spans="1:35" x14ac:dyDescent="0.25">
      <c r="A4504" s="36">
        <v>99914502</v>
      </c>
      <c r="B4504" s="17" t="s">
        <v>56</v>
      </c>
      <c r="C4504" t="s">
        <v>1292</v>
      </c>
      <c r="D4504" t="s">
        <v>1293</v>
      </c>
      <c r="G4504" s="17" t="s">
        <v>48</v>
      </c>
      <c r="H4504" s="17">
        <v>1</v>
      </c>
      <c r="K4504" t="s">
        <v>1613</v>
      </c>
      <c r="L4504" t="s">
        <v>1614</v>
      </c>
      <c r="M4504" t="s">
        <v>1592</v>
      </c>
      <c r="N4504">
        <v>3</v>
      </c>
      <c r="O4504" t="s">
        <v>40</v>
      </c>
      <c r="P4504" t="s">
        <v>40</v>
      </c>
      <c r="Q4504" t="s">
        <v>40</v>
      </c>
      <c r="R4504" t="s">
        <v>40</v>
      </c>
      <c r="S4504" t="s">
        <v>40</v>
      </c>
      <c r="V4504" t="s">
        <v>41</v>
      </c>
      <c r="W4504" t="s">
        <v>49</v>
      </c>
      <c r="X4504" t="str">
        <f>"2860001"</f>
        <v>2860001</v>
      </c>
      <c r="Y4504" t="s">
        <v>1616</v>
      </c>
      <c r="Z4504" t="s">
        <v>1613</v>
      </c>
      <c r="AA4504" t="s">
        <v>1614</v>
      </c>
      <c r="AB4504" t="s">
        <v>1592</v>
      </c>
      <c r="AC4504" t="s">
        <v>51</v>
      </c>
      <c r="AD4504" t="s">
        <v>45</v>
      </c>
      <c r="AE4504" s="1">
        <v>23791</v>
      </c>
      <c r="AF4504">
        <v>2</v>
      </c>
      <c r="AG4504" t="s">
        <v>1614</v>
      </c>
      <c r="AH4504" s="36">
        <f t="shared" si="70"/>
        <v>54.62777777777778</v>
      </c>
      <c r="AI4504" s="41" t="s">
        <v>1781</v>
      </c>
    </row>
    <row r="4505" spans="1:35" x14ac:dyDescent="0.25">
      <c r="A4505" s="36">
        <v>99914503</v>
      </c>
      <c r="B4505" s="17" t="s">
        <v>32</v>
      </c>
      <c r="C4505" t="s">
        <v>141</v>
      </c>
      <c r="D4505" t="s">
        <v>142</v>
      </c>
      <c r="G4505" s="17" t="s">
        <v>48</v>
      </c>
      <c r="H4505" s="17">
        <v>1</v>
      </c>
      <c r="K4505" t="s">
        <v>354</v>
      </c>
      <c r="L4505" t="s">
        <v>355</v>
      </c>
      <c r="M4505" t="s">
        <v>131</v>
      </c>
      <c r="N4505">
        <v>21</v>
      </c>
      <c r="O4505" t="s">
        <v>40</v>
      </c>
      <c r="P4505" t="s">
        <v>40</v>
      </c>
      <c r="Q4505" t="s">
        <v>40</v>
      </c>
      <c r="S4505" t="s">
        <v>40</v>
      </c>
      <c r="V4505" t="s">
        <v>41</v>
      </c>
      <c r="W4505" t="s">
        <v>75</v>
      </c>
      <c r="X4505" t="str">
        <f>"7054022"</f>
        <v>7054022</v>
      </c>
      <c r="Y4505" t="s">
        <v>770</v>
      </c>
      <c r="Z4505" t="s">
        <v>354</v>
      </c>
      <c r="AA4505" t="s">
        <v>355</v>
      </c>
      <c r="AB4505" t="s">
        <v>131</v>
      </c>
      <c r="AC4505" t="s">
        <v>51</v>
      </c>
      <c r="AD4505" t="s">
        <v>45</v>
      </c>
      <c r="AE4505" s="1">
        <v>23786</v>
      </c>
      <c r="AF4505">
        <v>1</v>
      </c>
      <c r="AG4505" t="s">
        <v>355</v>
      </c>
      <c r="AH4505" s="36">
        <f t="shared" si="70"/>
        <v>54.641666666666666</v>
      </c>
      <c r="AI4505" s="41" t="s">
        <v>1781</v>
      </c>
    </row>
    <row r="4506" spans="1:35" x14ac:dyDescent="0.25">
      <c r="A4506" s="36">
        <v>99914504</v>
      </c>
      <c r="B4506" s="17" t="s">
        <v>32</v>
      </c>
      <c r="C4506" t="s">
        <v>141</v>
      </c>
      <c r="D4506" t="s">
        <v>142</v>
      </c>
      <c r="G4506" s="17" t="s">
        <v>35</v>
      </c>
      <c r="H4506" s="17">
        <v>1</v>
      </c>
      <c r="K4506" t="s">
        <v>354</v>
      </c>
      <c r="L4506" t="s">
        <v>355</v>
      </c>
      <c r="M4506" t="s">
        <v>131</v>
      </c>
      <c r="N4506">
        <v>21</v>
      </c>
      <c r="O4506" t="s">
        <v>40</v>
      </c>
      <c r="P4506" t="s">
        <v>40</v>
      </c>
      <c r="Q4506" t="s">
        <v>40</v>
      </c>
      <c r="S4506" t="s">
        <v>40</v>
      </c>
      <c r="V4506" t="s">
        <v>41</v>
      </c>
      <c r="W4506" t="s">
        <v>75</v>
      </c>
      <c r="X4506" t="str">
        <f>"7054020"</f>
        <v>7054020</v>
      </c>
      <c r="Y4506" t="s">
        <v>765</v>
      </c>
      <c r="Z4506" t="s">
        <v>354</v>
      </c>
      <c r="AA4506" t="s">
        <v>355</v>
      </c>
      <c r="AB4506" t="s">
        <v>131</v>
      </c>
      <c r="AC4506" t="s">
        <v>51</v>
      </c>
      <c r="AD4506" t="s">
        <v>45</v>
      </c>
      <c r="AE4506" s="1">
        <v>23786</v>
      </c>
      <c r="AF4506">
        <v>1</v>
      </c>
      <c r="AG4506" t="s">
        <v>355</v>
      </c>
      <c r="AH4506" s="36">
        <f t="shared" si="70"/>
        <v>54.641666666666666</v>
      </c>
      <c r="AI4506" s="41" t="s">
        <v>1781</v>
      </c>
    </row>
    <row r="4507" spans="1:35" x14ac:dyDescent="0.25">
      <c r="A4507" s="36">
        <v>99914505</v>
      </c>
      <c r="B4507" s="17" t="s">
        <v>32</v>
      </c>
      <c r="C4507" t="s">
        <v>64</v>
      </c>
      <c r="D4507" t="s">
        <v>65</v>
      </c>
      <c r="G4507" s="17" t="s">
        <v>48</v>
      </c>
      <c r="H4507" s="17">
        <v>1</v>
      </c>
      <c r="K4507" t="s">
        <v>157</v>
      </c>
      <c r="L4507" t="s">
        <v>158</v>
      </c>
      <c r="M4507" t="s">
        <v>131</v>
      </c>
      <c r="N4507">
        <v>18</v>
      </c>
      <c r="O4507" t="s">
        <v>40</v>
      </c>
      <c r="P4507" t="s">
        <v>40</v>
      </c>
      <c r="Q4507" t="s">
        <v>40</v>
      </c>
      <c r="R4507" t="s">
        <v>40</v>
      </c>
      <c r="S4507" t="s">
        <v>40</v>
      </c>
      <c r="V4507" t="s">
        <v>41</v>
      </c>
      <c r="W4507" t="s">
        <v>49</v>
      </c>
      <c r="X4507" t="str">
        <f>"0560010"</f>
        <v>0560010</v>
      </c>
      <c r="Y4507" t="s">
        <v>179</v>
      </c>
      <c r="Z4507" t="s">
        <v>157</v>
      </c>
      <c r="AA4507" t="s">
        <v>158</v>
      </c>
      <c r="AB4507" t="s">
        <v>131</v>
      </c>
      <c r="AC4507" t="s">
        <v>51</v>
      </c>
      <c r="AD4507" t="s">
        <v>45</v>
      </c>
      <c r="AE4507" s="1">
        <v>23781</v>
      </c>
      <c r="AF4507">
        <v>2</v>
      </c>
      <c r="AG4507" t="s">
        <v>158</v>
      </c>
      <c r="AH4507" s="36">
        <f t="shared" si="70"/>
        <v>54.655555555555559</v>
      </c>
      <c r="AI4507" s="41" t="s">
        <v>1781</v>
      </c>
    </row>
    <row r="4508" spans="1:35" x14ac:dyDescent="0.25">
      <c r="A4508" s="36">
        <v>99914506</v>
      </c>
      <c r="B4508" s="17" t="s">
        <v>56</v>
      </c>
      <c r="C4508" t="s">
        <v>46</v>
      </c>
      <c r="D4508" t="s">
        <v>47</v>
      </c>
      <c r="G4508" s="17" t="s">
        <v>48</v>
      </c>
      <c r="H4508" s="17">
        <v>1</v>
      </c>
      <c r="K4508" t="s">
        <v>223</v>
      </c>
      <c r="L4508" t="s">
        <v>224</v>
      </c>
      <c r="M4508" t="s">
        <v>131</v>
      </c>
      <c r="N4508">
        <v>18</v>
      </c>
      <c r="O4508" t="s">
        <v>40</v>
      </c>
      <c r="P4508" t="s">
        <v>40</v>
      </c>
      <c r="Q4508" t="s">
        <v>40</v>
      </c>
      <c r="R4508" t="s">
        <v>40</v>
      </c>
      <c r="S4508" t="s">
        <v>40</v>
      </c>
      <c r="V4508" t="s">
        <v>41</v>
      </c>
      <c r="W4508" t="s">
        <v>42</v>
      </c>
      <c r="X4508" t="str">
        <f>"0580206"</f>
        <v>0580206</v>
      </c>
      <c r="Y4508" t="s">
        <v>237</v>
      </c>
      <c r="Z4508" t="s">
        <v>223</v>
      </c>
      <c r="AA4508" t="s">
        <v>224</v>
      </c>
      <c r="AB4508" t="s">
        <v>131</v>
      </c>
      <c r="AC4508" t="s">
        <v>51</v>
      </c>
      <c r="AD4508" t="s">
        <v>45</v>
      </c>
      <c r="AE4508" s="1">
        <v>23781</v>
      </c>
      <c r="AF4508">
        <v>2</v>
      </c>
      <c r="AG4508" t="s">
        <v>224</v>
      </c>
      <c r="AH4508" s="36">
        <f t="shared" si="70"/>
        <v>54.655555555555559</v>
      </c>
      <c r="AI4508" s="41" t="s">
        <v>1781</v>
      </c>
    </row>
    <row r="4509" spans="1:35" x14ac:dyDescent="0.25">
      <c r="A4509" s="36">
        <v>99914507</v>
      </c>
      <c r="B4509" s="17" t="s">
        <v>32</v>
      </c>
      <c r="C4509" t="s">
        <v>145</v>
      </c>
      <c r="D4509" t="s">
        <v>146</v>
      </c>
      <c r="G4509" s="17" t="s">
        <v>48</v>
      </c>
      <c r="H4509" s="17">
        <v>1</v>
      </c>
      <c r="K4509" t="s">
        <v>223</v>
      </c>
      <c r="L4509" t="s">
        <v>224</v>
      </c>
      <c r="M4509" t="s">
        <v>131</v>
      </c>
      <c r="N4509">
        <v>18</v>
      </c>
      <c r="O4509" t="s">
        <v>40</v>
      </c>
      <c r="P4509" t="s">
        <v>40</v>
      </c>
      <c r="Q4509" t="s">
        <v>40</v>
      </c>
      <c r="S4509" t="s">
        <v>40</v>
      </c>
      <c r="V4509" t="s">
        <v>41</v>
      </c>
      <c r="W4509" t="s">
        <v>42</v>
      </c>
      <c r="X4509" t="str">
        <f>"0580202"</f>
        <v>0580202</v>
      </c>
      <c r="Y4509" t="s">
        <v>240</v>
      </c>
      <c r="Z4509" t="s">
        <v>223</v>
      </c>
      <c r="AA4509" t="s">
        <v>224</v>
      </c>
      <c r="AB4509" t="s">
        <v>131</v>
      </c>
      <c r="AC4509" t="s">
        <v>51</v>
      </c>
      <c r="AD4509" t="s">
        <v>45</v>
      </c>
      <c r="AE4509" s="1">
        <v>23780</v>
      </c>
      <c r="AF4509">
        <v>2</v>
      </c>
      <c r="AG4509" t="s">
        <v>224</v>
      </c>
      <c r="AH4509" s="36">
        <f t="shared" si="70"/>
        <v>54.658333333333331</v>
      </c>
      <c r="AI4509" s="41" t="s">
        <v>1781</v>
      </c>
    </row>
    <row r="4510" spans="1:35" x14ac:dyDescent="0.25">
      <c r="A4510" s="36">
        <v>99914508</v>
      </c>
      <c r="B4510" s="17" t="s">
        <v>56</v>
      </c>
      <c r="C4510" t="s">
        <v>79</v>
      </c>
      <c r="D4510" t="s">
        <v>80</v>
      </c>
      <c r="G4510" s="17" t="s">
        <v>48</v>
      </c>
      <c r="H4510" s="17">
        <v>1</v>
      </c>
      <c r="K4510" t="s">
        <v>157</v>
      </c>
      <c r="L4510" t="s">
        <v>158</v>
      </c>
      <c r="M4510" t="s">
        <v>131</v>
      </c>
      <c r="N4510">
        <v>18</v>
      </c>
      <c r="O4510" t="s">
        <v>40</v>
      </c>
      <c r="P4510" t="s">
        <v>40</v>
      </c>
      <c r="Q4510" t="s">
        <v>40</v>
      </c>
      <c r="R4510" t="s">
        <v>40</v>
      </c>
      <c r="S4510" t="s">
        <v>40</v>
      </c>
      <c r="V4510" t="s">
        <v>41</v>
      </c>
      <c r="W4510" t="s">
        <v>42</v>
      </c>
      <c r="X4510" t="str">
        <f>"0580250"</f>
        <v>0580250</v>
      </c>
      <c r="Y4510" t="s">
        <v>160</v>
      </c>
      <c r="Z4510" t="s">
        <v>157</v>
      </c>
      <c r="AA4510" t="s">
        <v>158</v>
      </c>
      <c r="AB4510" t="s">
        <v>131</v>
      </c>
      <c r="AC4510" t="s">
        <v>51</v>
      </c>
      <c r="AD4510" t="s">
        <v>45</v>
      </c>
      <c r="AE4510" s="1">
        <v>23775</v>
      </c>
      <c r="AF4510">
        <v>2</v>
      </c>
      <c r="AG4510" t="s">
        <v>158</v>
      </c>
      <c r="AH4510" s="36">
        <f t="shared" si="70"/>
        <v>54.672222222222224</v>
      </c>
      <c r="AI4510" s="41" t="s">
        <v>1781</v>
      </c>
    </row>
    <row r="4511" spans="1:35" x14ac:dyDescent="0.25">
      <c r="A4511" s="36">
        <v>99914509</v>
      </c>
      <c r="B4511" s="17" t="s">
        <v>32</v>
      </c>
      <c r="C4511" t="s">
        <v>46</v>
      </c>
      <c r="D4511" t="s">
        <v>47</v>
      </c>
      <c r="G4511" s="17" t="s">
        <v>48</v>
      </c>
      <c r="H4511" s="17">
        <v>1</v>
      </c>
      <c r="K4511" t="s">
        <v>345</v>
      </c>
      <c r="L4511" t="s">
        <v>346</v>
      </c>
      <c r="M4511" t="s">
        <v>131</v>
      </c>
      <c r="N4511">
        <v>18</v>
      </c>
      <c r="O4511" t="s">
        <v>40</v>
      </c>
      <c r="P4511" t="s">
        <v>40</v>
      </c>
      <c r="Q4511" t="s">
        <v>40</v>
      </c>
      <c r="R4511" t="s">
        <v>40</v>
      </c>
      <c r="S4511" t="s">
        <v>40</v>
      </c>
      <c r="V4511" t="s">
        <v>41</v>
      </c>
      <c r="W4511" t="s">
        <v>42</v>
      </c>
      <c r="X4511" t="str">
        <f>"0561019"</f>
        <v>0561019</v>
      </c>
      <c r="Y4511" t="s">
        <v>351</v>
      </c>
      <c r="Z4511" t="s">
        <v>345</v>
      </c>
      <c r="AA4511" t="s">
        <v>346</v>
      </c>
      <c r="AB4511" t="s">
        <v>131</v>
      </c>
      <c r="AC4511" t="s">
        <v>51</v>
      </c>
      <c r="AD4511" t="s">
        <v>45</v>
      </c>
      <c r="AE4511" s="1">
        <v>23773</v>
      </c>
      <c r="AF4511">
        <v>2</v>
      </c>
      <c r="AG4511" t="s">
        <v>346</v>
      </c>
      <c r="AH4511" s="36">
        <f t="shared" si="70"/>
        <v>54.677777777777777</v>
      </c>
      <c r="AI4511" s="41" t="s">
        <v>1781</v>
      </c>
    </row>
    <row r="4512" spans="1:35" x14ac:dyDescent="0.25">
      <c r="A4512" s="36">
        <v>99914510</v>
      </c>
      <c r="B4512" s="17" t="s">
        <v>56</v>
      </c>
      <c r="C4512" t="s">
        <v>79</v>
      </c>
      <c r="D4512" t="s">
        <v>80</v>
      </c>
      <c r="G4512" s="17" t="s">
        <v>48</v>
      </c>
      <c r="H4512" s="17">
        <v>1</v>
      </c>
      <c r="K4512" t="s">
        <v>1268</v>
      </c>
      <c r="L4512" t="s">
        <v>1269</v>
      </c>
      <c r="M4512" t="s">
        <v>1270</v>
      </c>
      <c r="N4512">
        <v>18</v>
      </c>
      <c r="O4512" t="s">
        <v>40</v>
      </c>
      <c r="P4512" t="s">
        <v>40</v>
      </c>
      <c r="Q4512" t="s">
        <v>40</v>
      </c>
      <c r="S4512" t="s">
        <v>40</v>
      </c>
      <c r="V4512" t="s">
        <v>41</v>
      </c>
      <c r="W4512" t="s">
        <v>42</v>
      </c>
      <c r="X4512" t="str">
        <f>"1980050"</f>
        <v>1980050</v>
      </c>
      <c r="Y4512" t="s">
        <v>1278</v>
      </c>
      <c r="Z4512" t="s">
        <v>1268</v>
      </c>
      <c r="AA4512" t="s">
        <v>1269</v>
      </c>
      <c r="AB4512" t="s">
        <v>1270</v>
      </c>
      <c r="AC4512" t="s">
        <v>51</v>
      </c>
      <c r="AD4512" t="s">
        <v>45</v>
      </c>
      <c r="AE4512" s="1">
        <v>23772</v>
      </c>
      <c r="AF4512">
        <v>2</v>
      </c>
      <c r="AG4512" t="s">
        <v>1269</v>
      </c>
      <c r="AH4512" s="36">
        <f t="shared" si="70"/>
        <v>54.680555555555557</v>
      </c>
      <c r="AI4512" s="41" t="s">
        <v>1781</v>
      </c>
    </row>
    <row r="4513" spans="1:35" x14ac:dyDescent="0.25">
      <c r="A4513" s="36">
        <v>99914511</v>
      </c>
      <c r="B4513" s="17" t="s">
        <v>56</v>
      </c>
      <c r="C4513" t="s">
        <v>79</v>
      </c>
      <c r="D4513" t="s">
        <v>80</v>
      </c>
      <c r="G4513" s="17" t="s">
        <v>35</v>
      </c>
      <c r="H4513" s="17">
        <v>1</v>
      </c>
      <c r="K4513" t="s">
        <v>223</v>
      </c>
      <c r="L4513" t="s">
        <v>224</v>
      </c>
      <c r="M4513" t="s">
        <v>131</v>
      </c>
      <c r="N4513">
        <v>18</v>
      </c>
      <c r="O4513" t="s">
        <v>40</v>
      </c>
      <c r="P4513" t="s">
        <v>40</v>
      </c>
      <c r="Q4513" t="s">
        <v>40</v>
      </c>
      <c r="R4513" t="s">
        <v>40</v>
      </c>
      <c r="S4513" t="s">
        <v>40</v>
      </c>
      <c r="V4513" t="s">
        <v>41</v>
      </c>
      <c r="W4513" t="s">
        <v>49</v>
      </c>
      <c r="X4513" t="str">
        <f>"0591901"</f>
        <v>0591901</v>
      </c>
      <c r="Y4513" t="s">
        <v>230</v>
      </c>
      <c r="Z4513" t="s">
        <v>223</v>
      </c>
      <c r="AA4513" t="s">
        <v>224</v>
      </c>
      <c r="AB4513" t="s">
        <v>131</v>
      </c>
      <c r="AC4513" t="s">
        <v>165</v>
      </c>
      <c r="AD4513" t="s">
        <v>45</v>
      </c>
      <c r="AE4513" s="1">
        <v>23765</v>
      </c>
      <c r="AF4513">
        <v>2</v>
      </c>
      <c r="AG4513" t="s">
        <v>224</v>
      </c>
      <c r="AH4513" s="36">
        <f t="shared" si="70"/>
        <v>54.7</v>
      </c>
      <c r="AI4513" s="41" t="s">
        <v>1781</v>
      </c>
    </row>
    <row r="4514" spans="1:35" x14ac:dyDescent="0.25">
      <c r="A4514" s="36">
        <v>99914512</v>
      </c>
      <c r="B4514" s="17" t="s">
        <v>32</v>
      </c>
      <c r="C4514" t="s">
        <v>33</v>
      </c>
      <c r="D4514" t="s">
        <v>34</v>
      </c>
      <c r="G4514" s="17" t="s">
        <v>48</v>
      </c>
      <c r="H4514" s="17">
        <v>9</v>
      </c>
      <c r="K4514" t="s">
        <v>1268</v>
      </c>
      <c r="L4514" t="s">
        <v>1269</v>
      </c>
      <c r="M4514" t="s">
        <v>1270</v>
      </c>
      <c r="N4514">
        <v>20</v>
      </c>
      <c r="O4514" t="s">
        <v>40</v>
      </c>
      <c r="P4514" t="s">
        <v>40</v>
      </c>
      <c r="Q4514" t="s">
        <v>40</v>
      </c>
      <c r="R4514" t="s">
        <v>40</v>
      </c>
      <c r="S4514" t="s">
        <v>40</v>
      </c>
      <c r="U4514" s="1">
        <v>43344</v>
      </c>
      <c r="V4514" t="s">
        <v>41</v>
      </c>
      <c r="W4514" t="s">
        <v>49</v>
      </c>
      <c r="X4514" t="str">
        <f>"1981055"</f>
        <v>1981055</v>
      </c>
      <c r="Y4514" t="s">
        <v>1280</v>
      </c>
      <c r="Z4514" t="s">
        <v>1268</v>
      </c>
      <c r="AA4514" t="s">
        <v>1269</v>
      </c>
      <c r="AB4514" t="s">
        <v>1270</v>
      </c>
      <c r="AC4514" t="s">
        <v>51</v>
      </c>
      <c r="AD4514" t="s">
        <v>45</v>
      </c>
      <c r="AE4514" s="1">
        <v>23763</v>
      </c>
      <c r="AF4514">
        <v>2</v>
      </c>
      <c r="AG4514" t="s">
        <v>1269</v>
      </c>
      <c r="AH4514" s="36">
        <f t="shared" si="70"/>
        <v>54.705555555555556</v>
      </c>
      <c r="AI4514" s="41" t="s">
        <v>1781</v>
      </c>
    </row>
    <row r="4515" spans="1:35" x14ac:dyDescent="0.25">
      <c r="A4515" s="36">
        <v>99914513</v>
      </c>
      <c r="B4515" s="17" t="s">
        <v>32</v>
      </c>
      <c r="C4515" t="s">
        <v>46</v>
      </c>
      <c r="D4515" t="s">
        <v>47</v>
      </c>
      <c r="G4515" s="17" t="s">
        <v>48</v>
      </c>
      <c r="H4515" s="17">
        <v>1</v>
      </c>
      <c r="K4515" t="s">
        <v>223</v>
      </c>
      <c r="L4515" t="s">
        <v>224</v>
      </c>
      <c r="M4515" t="s">
        <v>131</v>
      </c>
      <c r="N4515">
        <v>3</v>
      </c>
      <c r="O4515" t="s">
        <v>40</v>
      </c>
      <c r="P4515" t="s">
        <v>40</v>
      </c>
      <c r="Q4515" t="s">
        <v>40</v>
      </c>
      <c r="R4515" t="s">
        <v>40</v>
      </c>
      <c r="S4515" t="s">
        <v>40</v>
      </c>
      <c r="V4515" t="s">
        <v>41</v>
      </c>
      <c r="W4515" t="s">
        <v>49</v>
      </c>
      <c r="X4515" t="str">
        <f>"0581202"</f>
        <v>0581202</v>
      </c>
      <c r="Y4515" t="s">
        <v>248</v>
      </c>
      <c r="Z4515" t="s">
        <v>223</v>
      </c>
      <c r="AA4515" t="s">
        <v>224</v>
      </c>
      <c r="AB4515" t="s">
        <v>131</v>
      </c>
      <c r="AC4515" t="s">
        <v>165</v>
      </c>
      <c r="AD4515" t="s">
        <v>45</v>
      </c>
      <c r="AE4515" s="1">
        <v>23762</v>
      </c>
      <c r="AF4515">
        <v>2</v>
      </c>
      <c r="AG4515" t="s">
        <v>224</v>
      </c>
      <c r="AH4515" s="36">
        <f t="shared" si="70"/>
        <v>54.708333333333336</v>
      </c>
      <c r="AI4515" s="41" t="s">
        <v>1781</v>
      </c>
    </row>
    <row r="4516" spans="1:35" x14ac:dyDescent="0.25">
      <c r="A4516" s="36">
        <v>99914514</v>
      </c>
      <c r="B4516" s="17" t="s">
        <v>32</v>
      </c>
      <c r="C4516" t="s">
        <v>145</v>
      </c>
      <c r="D4516" t="s">
        <v>146</v>
      </c>
      <c r="G4516" s="17" t="s">
        <v>48</v>
      </c>
      <c r="H4516" s="17">
        <v>1</v>
      </c>
      <c r="K4516" t="s">
        <v>1613</v>
      </c>
      <c r="L4516" t="s">
        <v>1614</v>
      </c>
      <c r="M4516" t="s">
        <v>1592</v>
      </c>
      <c r="N4516">
        <v>18</v>
      </c>
      <c r="O4516" t="s">
        <v>40</v>
      </c>
      <c r="P4516" t="s">
        <v>40</v>
      </c>
      <c r="Q4516" t="s">
        <v>40</v>
      </c>
      <c r="R4516" t="s">
        <v>40</v>
      </c>
      <c r="S4516" t="s">
        <v>40</v>
      </c>
      <c r="V4516" t="s">
        <v>41</v>
      </c>
      <c r="W4516" t="s">
        <v>42</v>
      </c>
      <c r="X4516" t="str">
        <f>"2880010"</f>
        <v>2880010</v>
      </c>
      <c r="Y4516" t="s">
        <v>1623</v>
      </c>
      <c r="Z4516" t="s">
        <v>1613</v>
      </c>
      <c r="AA4516" t="s">
        <v>1614</v>
      </c>
      <c r="AB4516" t="s">
        <v>1592</v>
      </c>
      <c r="AC4516" t="s">
        <v>51</v>
      </c>
      <c r="AD4516" t="s">
        <v>45</v>
      </c>
      <c r="AE4516" s="1">
        <v>23761</v>
      </c>
      <c r="AF4516">
        <v>2</v>
      </c>
      <c r="AG4516" t="s">
        <v>1614</v>
      </c>
      <c r="AH4516" s="36">
        <f t="shared" si="70"/>
        <v>54.711111111111109</v>
      </c>
      <c r="AI4516" s="41" t="s">
        <v>1781</v>
      </c>
    </row>
    <row r="4517" spans="1:35" x14ac:dyDescent="0.25">
      <c r="A4517" s="36">
        <v>99914515</v>
      </c>
      <c r="B4517" s="17" t="s">
        <v>32</v>
      </c>
      <c r="C4517" t="s">
        <v>90</v>
      </c>
      <c r="D4517" t="s">
        <v>91</v>
      </c>
      <c r="G4517" s="17" t="s">
        <v>35</v>
      </c>
      <c r="H4517" s="17">
        <v>1</v>
      </c>
      <c r="I4517" t="s">
        <v>1089</v>
      </c>
      <c r="J4517" s="1">
        <v>43344</v>
      </c>
      <c r="K4517" t="s">
        <v>1081</v>
      </c>
      <c r="L4517" t="s">
        <v>1082</v>
      </c>
      <c r="M4517" t="s">
        <v>1053</v>
      </c>
      <c r="N4517">
        <v>25</v>
      </c>
      <c r="O4517" t="s">
        <v>40</v>
      </c>
      <c r="S4517" t="s">
        <v>40</v>
      </c>
      <c r="U4517" s="1">
        <v>43344</v>
      </c>
      <c r="V4517" t="s">
        <v>41</v>
      </c>
      <c r="W4517" t="s">
        <v>95</v>
      </c>
      <c r="X4517" t="str">
        <f>"7201003"</f>
        <v>7201003</v>
      </c>
      <c r="Y4517" t="s">
        <v>1114</v>
      </c>
      <c r="Z4517" t="s">
        <v>1081</v>
      </c>
      <c r="AA4517" t="s">
        <v>1082</v>
      </c>
      <c r="AB4517" t="s">
        <v>1053</v>
      </c>
      <c r="AC4517" t="s">
        <v>51</v>
      </c>
      <c r="AD4517" t="s">
        <v>45</v>
      </c>
      <c r="AE4517" s="1">
        <v>23755</v>
      </c>
      <c r="AF4517">
        <v>1</v>
      </c>
      <c r="AG4517" t="s">
        <v>1082</v>
      </c>
      <c r="AH4517" s="36">
        <f t="shared" si="70"/>
        <v>54.727777777777774</v>
      </c>
      <c r="AI4517" s="41" t="s">
        <v>1781</v>
      </c>
    </row>
    <row r="4518" spans="1:35" x14ac:dyDescent="0.25">
      <c r="A4518" s="36">
        <v>99914516</v>
      </c>
      <c r="B4518" s="17" t="s">
        <v>32</v>
      </c>
      <c r="C4518" t="s">
        <v>64</v>
      </c>
      <c r="D4518" t="s">
        <v>65</v>
      </c>
      <c r="G4518" s="17" t="s">
        <v>48</v>
      </c>
      <c r="H4518" s="17">
        <v>1</v>
      </c>
      <c r="K4518" t="s">
        <v>1268</v>
      </c>
      <c r="L4518" t="s">
        <v>1269</v>
      </c>
      <c r="M4518" t="s">
        <v>1270</v>
      </c>
      <c r="N4518">
        <v>18</v>
      </c>
      <c r="O4518" t="s">
        <v>40</v>
      </c>
      <c r="P4518" t="s">
        <v>40</v>
      </c>
      <c r="Q4518" t="s">
        <v>40</v>
      </c>
      <c r="R4518" t="s">
        <v>40</v>
      </c>
      <c r="S4518" t="s">
        <v>40</v>
      </c>
      <c r="V4518" t="s">
        <v>41</v>
      </c>
      <c r="W4518" t="s">
        <v>42</v>
      </c>
      <c r="X4518" t="str">
        <f>"1990910"</f>
        <v>1990910</v>
      </c>
      <c r="Y4518" t="s">
        <v>1281</v>
      </c>
      <c r="Z4518" t="s">
        <v>1268</v>
      </c>
      <c r="AA4518" t="s">
        <v>1269</v>
      </c>
      <c r="AB4518" t="s">
        <v>1270</v>
      </c>
      <c r="AC4518" t="s">
        <v>165</v>
      </c>
      <c r="AD4518" t="s">
        <v>45</v>
      </c>
      <c r="AE4518" s="1">
        <v>23752</v>
      </c>
      <c r="AF4518">
        <v>2</v>
      </c>
      <c r="AG4518" t="s">
        <v>1269</v>
      </c>
      <c r="AH4518" s="36">
        <f t="shared" si="70"/>
        <v>54.736111111111114</v>
      </c>
      <c r="AI4518" s="41" t="s">
        <v>1781</v>
      </c>
    </row>
    <row r="4519" spans="1:35" x14ac:dyDescent="0.25">
      <c r="A4519" s="36">
        <v>99914517</v>
      </c>
      <c r="B4519" s="17" t="s">
        <v>32</v>
      </c>
      <c r="C4519" t="s">
        <v>145</v>
      </c>
      <c r="D4519" t="s">
        <v>146</v>
      </c>
      <c r="G4519" s="17" t="s">
        <v>48</v>
      </c>
      <c r="H4519" s="17">
        <v>1</v>
      </c>
      <c r="K4519" t="s">
        <v>380</v>
      </c>
      <c r="L4519" t="s">
        <v>381</v>
      </c>
      <c r="M4519" t="s">
        <v>131</v>
      </c>
      <c r="N4519">
        <v>20</v>
      </c>
      <c r="O4519" t="s">
        <v>40</v>
      </c>
      <c r="P4519" t="s">
        <v>40</v>
      </c>
      <c r="Q4519" t="s">
        <v>40</v>
      </c>
      <c r="S4519" t="s">
        <v>40</v>
      </c>
      <c r="V4519" t="s">
        <v>41</v>
      </c>
      <c r="W4519" t="s">
        <v>42</v>
      </c>
      <c r="X4519" t="str">
        <f>"0590909"</f>
        <v>0590909</v>
      </c>
      <c r="Y4519" t="s">
        <v>388</v>
      </c>
      <c r="Z4519" t="s">
        <v>380</v>
      </c>
      <c r="AA4519" t="s">
        <v>381</v>
      </c>
      <c r="AB4519" t="s">
        <v>131</v>
      </c>
      <c r="AC4519" t="s">
        <v>51</v>
      </c>
      <c r="AD4519" t="s">
        <v>45</v>
      </c>
      <c r="AE4519" s="1">
        <v>23750</v>
      </c>
      <c r="AF4519">
        <v>2</v>
      </c>
      <c r="AG4519" t="s">
        <v>381</v>
      </c>
      <c r="AH4519" s="36">
        <f t="shared" si="70"/>
        <v>54.741666666666667</v>
      </c>
      <c r="AI4519" s="41" t="s">
        <v>1781</v>
      </c>
    </row>
    <row r="4520" spans="1:35" x14ac:dyDescent="0.25">
      <c r="A4520" s="36">
        <v>99914518</v>
      </c>
      <c r="B4520" s="17" t="s">
        <v>32</v>
      </c>
      <c r="C4520" t="s">
        <v>64</v>
      </c>
      <c r="D4520" t="s">
        <v>65</v>
      </c>
      <c r="G4520" s="17" t="s">
        <v>48</v>
      </c>
      <c r="H4520" s="17">
        <v>13</v>
      </c>
      <c r="K4520" t="s">
        <v>345</v>
      </c>
      <c r="L4520" t="s">
        <v>346</v>
      </c>
      <c r="M4520" t="s">
        <v>131</v>
      </c>
      <c r="N4520">
        <v>18</v>
      </c>
      <c r="O4520" t="s">
        <v>40</v>
      </c>
      <c r="P4520" t="s">
        <v>40</v>
      </c>
      <c r="Q4520" t="s">
        <v>40</v>
      </c>
      <c r="R4520" t="s">
        <v>40</v>
      </c>
      <c r="S4520" t="s">
        <v>40</v>
      </c>
      <c r="V4520" t="s">
        <v>41</v>
      </c>
      <c r="W4520" t="s">
        <v>49</v>
      </c>
      <c r="X4520" t="str">
        <f>"0591906"</f>
        <v>0591906</v>
      </c>
      <c r="Y4520" t="s">
        <v>350</v>
      </c>
      <c r="Z4520" t="s">
        <v>345</v>
      </c>
      <c r="AA4520" t="s">
        <v>346</v>
      </c>
      <c r="AB4520" t="s">
        <v>131</v>
      </c>
      <c r="AC4520" t="s">
        <v>51</v>
      </c>
      <c r="AD4520" t="s">
        <v>45</v>
      </c>
      <c r="AE4520" s="1">
        <v>23746</v>
      </c>
      <c r="AF4520">
        <v>2</v>
      </c>
      <c r="AG4520" t="s">
        <v>346</v>
      </c>
      <c r="AH4520" s="36">
        <f t="shared" si="70"/>
        <v>54.75277777777778</v>
      </c>
      <c r="AI4520" s="41" t="s">
        <v>1781</v>
      </c>
    </row>
    <row r="4521" spans="1:35" x14ac:dyDescent="0.25">
      <c r="A4521" s="36">
        <v>99914519</v>
      </c>
      <c r="B4521" s="17" t="s">
        <v>56</v>
      </c>
      <c r="C4521" t="s">
        <v>68</v>
      </c>
      <c r="D4521" t="s">
        <v>69</v>
      </c>
      <c r="G4521" s="17" t="s">
        <v>48</v>
      </c>
      <c r="H4521" s="17">
        <v>1</v>
      </c>
      <c r="K4521" t="s">
        <v>162</v>
      </c>
      <c r="L4521" t="s">
        <v>158</v>
      </c>
      <c r="M4521" t="s">
        <v>131</v>
      </c>
      <c r="N4521">
        <v>18</v>
      </c>
      <c r="O4521" t="s">
        <v>40</v>
      </c>
      <c r="P4521" t="s">
        <v>40</v>
      </c>
      <c r="Q4521" t="s">
        <v>40</v>
      </c>
      <c r="S4521" t="s">
        <v>40</v>
      </c>
      <c r="V4521" t="s">
        <v>41</v>
      </c>
      <c r="W4521" t="s">
        <v>42</v>
      </c>
      <c r="X4521" t="str">
        <f>"0580330"</f>
        <v>0580330</v>
      </c>
      <c r="Y4521" t="s">
        <v>176</v>
      </c>
      <c r="Z4521" t="s">
        <v>162</v>
      </c>
      <c r="AA4521" t="s">
        <v>158</v>
      </c>
      <c r="AB4521" t="s">
        <v>131</v>
      </c>
      <c r="AC4521" t="s">
        <v>51</v>
      </c>
      <c r="AD4521" t="s">
        <v>45</v>
      </c>
      <c r="AE4521" s="1">
        <v>23745</v>
      </c>
      <c r="AF4521">
        <v>2</v>
      </c>
      <c r="AG4521" t="s">
        <v>158</v>
      </c>
      <c r="AH4521" s="36">
        <f t="shared" si="70"/>
        <v>54.755555555555553</v>
      </c>
      <c r="AI4521" s="41" t="s">
        <v>1781</v>
      </c>
    </row>
    <row r="4522" spans="1:35" x14ac:dyDescent="0.25">
      <c r="A4522" s="36">
        <v>99914520</v>
      </c>
      <c r="B4522" s="17" t="s">
        <v>32</v>
      </c>
      <c r="C4522" t="s">
        <v>143</v>
      </c>
      <c r="D4522" t="s">
        <v>144</v>
      </c>
      <c r="G4522" s="17" t="s">
        <v>48</v>
      </c>
      <c r="H4522" s="17">
        <v>1</v>
      </c>
      <c r="K4522" t="s">
        <v>345</v>
      </c>
      <c r="L4522" t="s">
        <v>346</v>
      </c>
      <c r="M4522" t="s">
        <v>131</v>
      </c>
      <c r="N4522">
        <v>20</v>
      </c>
      <c r="O4522" t="s">
        <v>40</v>
      </c>
      <c r="P4522" t="s">
        <v>40</v>
      </c>
      <c r="Q4522" t="s">
        <v>40</v>
      </c>
      <c r="R4522" t="s">
        <v>40</v>
      </c>
      <c r="S4522" t="s">
        <v>40</v>
      </c>
      <c r="V4522" t="s">
        <v>41</v>
      </c>
      <c r="W4522" t="s">
        <v>49</v>
      </c>
      <c r="X4522" t="str">
        <f>"0561021"</f>
        <v>0561021</v>
      </c>
      <c r="Y4522" t="s">
        <v>352</v>
      </c>
      <c r="Z4522" t="s">
        <v>345</v>
      </c>
      <c r="AA4522" t="s">
        <v>346</v>
      </c>
      <c r="AB4522" t="s">
        <v>131</v>
      </c>
      <c r="AC4522" t="s">
        <v>51</v>
      </c>
      <c r="AD4522" t="s">
        <v>45</v>
      </c>
      <c r="AE4522" s="1">
        <v>23745</v>
      </c>
      <c r="AF4522">
        <v>2</v>
      </c>
      <c r="AG4522" t="s">
        <v>346</v>
      </c>
      <c r="AH4522" s="36">
        <f t="shared" si="70"/>
        <v>54.755555555555553</v>
      </c>
      <c r="AI4522" s="41" t="s">
        <v>1781</v>
      </c>
    </row>
    <row r="4523" spans="1:35" x14ac:dyDescent="0.25">
      <c r="A4523" s="36">
        <v>99914521</v>
      </c>
      <c r="B4523" s="17" t="s">
        <v>56</v>
      </c>
      <c r="C4523" t="s">
        <v>68</v>
      </c>
      <c r="D4523" t="s">
        <v>69</v>
      </c>
      <c r="G4523" s="17" t="s">
        <v>35</v>
      </c>
      <c r="H4523" s="17">
        <v>1</v>
      </c>
      <c r="K4523" t="s">
        <v>1546</v>
      </c>
      <c r="L4523" t="s">
        <v>1547</v>
      </c>
      <c r="M4523" t="s">
        <v>1548</v>
      </c>
      <c r="N4523">
        <v>20</v>
      </c>
      <c r="O4523" t="s">
        <v>40</v>
      </c>
      <c r="P4523" t="s">
        <v>40</v>
      </c>
      <c r="Q4523" t="s">
        <v>40</v>
      </c>
      <c r="R4523" t="s">
        <v>40</v>
      </c>
      <c r="S4523" t="s">
        <v>40</v>
      </c>
      <c r="V4523" t="s">
        <v>41</v>
      </c>
      <c r="W4523" t="s">
        <v>42</v>
      </c>
      <c r="X4523" t="str">
        <f>"1080010"</f>
        <v>1080010</v>
      </c>
      <c r="Y4523" t="s">
        <v>1549</v>
      </c>
      <c r="Z4523" t="s">
        <v>1546</v>
      </c>
      <c r="AA4523" t="s">
        <v>1547</v>
      </c>
      <c r="AB4523" t="s">
        <v>1548</v>
      </c>
      <c r="AC4523" t="s">
        <v>51</v>
      </c>
      <c r="AD4523" t="s">
        <v>45</v>
      </c>
      <c r="AE4523" s="1">
        <v>23744</v>
      </c>
      <c r="AF4523">
        <v>2</v>
      </c>
      <c r="AG4523" t="s">
        <v>1547</v>
      </c>
      <c r="AH4523" s="36">
        <f t="shared" si="70"/>
        <v>54.758333333333333</v>
      </c>
      <c r="AI4523" s="41" t="s">
        <v>1781</v>
      </c>
    </row>
    <row r="4524" spans="1:35" x14ac:dyDescent="0.25">
      <c r="A4524" s="36">
        <v>99914522</v>
      </c>
      <c r="B4524" s="17" t="s">
        <v>32</v>
      </c>
      <c r="C4524" t="s">
        <v>46</v>
      </c>
      <c r="D4524" t="s">
        <v>47</v>
      </c>
      <c r="G4524" s="17" t="s">
        <v>35</v>
      </c>
      <c r="H4524" s="17">
        <v>1</v>
      </c>
      <c r="K4524" t="s">
        <v>223</v>
      </c>
      <c r="L4524" t="s">
        <v>224</v>
      </c>
      <c r="M4524" t="s">
        <v>131</v>
      </c>
      <c r="N4524">
        <v>15</v>
      </c>
      <c r="O4524" t="s">
        <v>40</v>
      </c>
      <c r="P4524" t="s">
        <v>40</v>
      </c>
      <c r="Q4524" t="s">
        <v>40</v>
      </c>
      <c r="R4524" t="s">
        <v>40</v>
      </c>
      <c r="S4524" t="s">
        <v>40</v>
      </c>
      <c r="V4524" t="s">
        <v>41</v>
      </c>
      <c r="W4524" t="s">
        <v>49</v>
      </c>
      <c r="X4524" t="str">
        <f>"0581207"</f>
        <v>0581207</v>
      </c>
      <c r="Y4524" t="s">
        <v>233</v>
      </c>
      <c r="Z4524" t="s">
        <v>223</v>
      </c>
      <c r="AA4524" t="s">
        <v>224</v>
      </c>
      <c r="AB4524" t="s">
        <v>131</v>
      </c>
      <c r="AC4524" t="s">
        <v>165</v>
      </c>
      <c r="AD4524" t="s">
        <v>45</v>
      </c>
      <c r="AE4524" s="1">
        <v>23743</v>
      </c>
      <c r="AF4524">
        <v>2</v>
      </c>
      <c r="AG4524" t="s">
        <v>224</v>
      </c>
      <c r="AH4524" s="36">
        <f t="shared" si="70"/>
        <v>54.761111111111113</v>
      </c>
      <c r="AI4524" s="41" t="s">
        <v>1781</v>
      </c>
    </row>
    <row r="4525" spans="1:35" x14ac:dyDescent="0.25">
      <c r="A4525" s="36">
        <v>99914523</v>
      </c>
      <c r="B4525" s="17" t="s">
        <v>32</v>
      </c>
      <c r="C4525" t="s">
        <v>82</v>
      </c>
      <c r="D4525" t="s">
        <v>83</v>
      </c>
      <c r="G4525" s="17" t="s">
        <v>48</v>
      </c>
      <c r="H4525" s="17">
        <v>1</v>
      </c>
      <c r="K4525" t="s">
        <v>223</v>
      </c>
      <c r="L4525" t="s">
        <v>224</v>
      </c>
      <c r="M4525" t="s">
        <v>131</v>
      </c>
      <c r="N4525">
        <v>20</v>
      </c>
      <c r="O4525" t="s">
        <v>40</v>
      </c>
      <c r="P4525" t="s">
        <v>40</v>
      </c>
      <c r="Q4525" t="s">
        <v>40</v>
      </c>
      <c r="R4525" t="s">
        <v>40</v>
      </c>
      <c r="S4525" t="s">
        <v>40</v>
      </c>
      <c r="V4525" t="s">
        <v>41</v>
      </c>
      <c r="W4525" t="s">
        <v>42</v>
      </c>
      <c r="X4525" t="str">
        <f>"0580207"</f>
        <v>0580207</v>
      </c>
      <c r="Y4525" t="s">
        <v>229</v>
      </c>
      <c r="Z4525" t="s">
        <v>223</v>
      </c>
      <c r="AA4525" t="s">
        <v>224</v>
      </c>
      <c r="AB4525" t="s">
        <v>131</v>
      </c>
      <c r="AC4525" t="s">
        <v>51</v>
      </c>
      <c r="AD4525" t="s">
        <v>45</v>
      </c>
      <c r="AE4525" s="1">
        <v>23743</v>
      </c>
      <c r="AF4525">
        <v>2</v>
      </c>
      <c r="AG4525" t="s">
        <v>224</v>
      </c>
      <c r="AH4525" s="36">
        <f t="shared" si="70"/>
        <v>54.761111111111113</v>
      </c>
      <c r="AI4525" s="41" t="s">
        <v>1781</v>
      </c>
    </row>
    <row r="4526" spans="1:35" x14ac:dyDescent="0.25">
      <c r="A4526" s="36">
        <v>99914524</v>
      </c>
      <c r="B4526" s="17" t="s">
        <v>32</v>
      </c>
      <c r="C4526" t="s">
        <v>111</v>
      </c>
      <c r="D4526" t="s">
        <v>112</v>
      </c>
      <c r="G4526" s="17" t="s">
        <v>48</v>
      </c>
      <c r="H4526" s="17">
        <v>16</v>
      </c>
      <c r="K4526" t="s">
        <v>195</v>
      </c>
      <c r="L4526" t="s">
        <v>196</v>
      </c>
      <c r="M4526" t="s">
        <v>131</v>
      </c>
      <c r="N4526">
        <v>21</v>
      </c>
      <c r="O4526" t="s">
        <v>40</v>
      </c>
      <c r="P4526" t="s">
        <v>40</v>
      </c>
      <c r="Q4526" t="s">
        <v>40</v>
      </c>
      <c r="R4526" t="s">
        <v>40</v>
      </c>
      <c r="S4526" t="s">
        <v>40</v>
      </c>
      <c r="U4526" s="1">
        <v>34124</v>
      </c>
      <c r="V4526" t="s">
        <v>41</v>
      </c>
      <c r="W4526" t="s">
        <v>75</v>
      </c>
      <c r="X4526" t="str">
        <f>"7521046"</f>
        <v>7521046</v>
      </c>
      <c r="Y4526" t="s">
        <v>436</v>
      </c>
      <c r="Z4526" t="s">
        <v>195</v>
      </c>
      <c r="AA4526" t="s">
        <v>196</v>
      </c>
      <c r="AB4526" t="s">
        <v>131</v>
      </c>
      <c r="AC4526" t="s">
        <v>165</v>
      </c>
      <c r="AD4526" t="s">
        <v>45</v>
      </c>
      <c r="AE4526" s="1">
        <v>23743</v>
      </c>
      <c r="AF4526">
        <v>1</v>
      </c>
      <c r="AG4526" t="s">
        <v>196</v>
      </c>
      <c r="AH4526" s="36">
        <f t="shared" si="70"/>
        <v>54.761111111111113</v>
      </c>
      <c r="AI4526" s="41" t="s">
        <v>1781</v>
      </c>
    </row>
    <row r="4527" spans="1:35" x14ac:dyDescent="0.25">
      <c r="A4527" s="36">
        <v>99914525</v>
      </c>
      <c r="B4527" s="17" t="s">
        <v>56</v>
      </c>
      <c r="C4527" t="s">
        <v>79</v>
      </c>
      <c r="D4527" t="s">
        <v>80</v>
      </c>
      <c r="G4527" s="17" t="s">
        <v>35</v>
      </c>
      <c r="H4527" s="17">
        <v>1</v>
      </c>
      <c r="I4527">
        <v>2732</v>
      </c>
      <c r="J4527" s="1">
        <v>43344</v>
      </c>
      <c r="K4527" t="s">
        <v>268</v>
      </c>
      <c r="L4527" t="s">
        <v>269</v>
      </c>
      <c r="M4527" t="s">
        <v>131</v>
      </c>
      <c r="N4527">
        <v>18</v>
      </c>
      <c r="O4527" t="s">
        <v>40</v>
      </c>
      <c r="S4527" t="s">
        <v>40</v>
      </c>
      <c r="V4527" t="s">
        <v>41</v>
      </c>
      <c r="W4527" t="s">
        <v>75</v>
      </c>
      <c r="X4527" t="str">
        <f>"7052012"</f>
        <v>7052012</v>
      </c>
      <c r="Y4527" t="s">
        <v>270</v>
      </c>
      <c r="Z4527" t="s">
        <v>268</v>
      </c>
      <c r="AA4527" t="s">
        <v>269</v>
      </c>
      <c r="AB4527" t="s">
        <v>131</v>
      </c>
      <c r="AC4527" t="s">
        <v>51</v>
      </c>
      <c r="AD4527" t="s">
        <v>45</v>
      </c>
      <c r="AE4527" s="1">
        <v>23743</v>
      </c>
      <c r="AF4527">
        <v>1</v>
      </c>
      <c r="AG4527" t="s">
        <v>269</v>
      </c>
      <c r="AH4527" s="36">
        <f t="shared" si="70"/>
        <v>54.761111111111113</v>
      </c>
      <c r="AI4527" s="41" t="s">
        <v>1781</v>
      </c>
    </row>
    <row r="4528" spans="1:35" x14ac:dyDescent="0.25">
      <c r="A4528" s="36">
        <v>99914526</v>
      </c>
      <c r="B4528" s="17" t="s">
        <v>56</v>
      </c>
      <c r="C4528" t="s">
        <v>79</v>
      </c>
      <c r="D4528" t="s">
        <v>80</v>
      </c>
      <c r="G4528" s="17" t="s">
        <v>35</v>
      </c>
      <c r="H4528" s="17">
        <v>1</v>
      </c>
      <c r="I4528">
        <v>13010</v>
      </c>
      <c r="J4528" s="1">
        <v>43344</v>
      </c>
      <c r="K4528" t="s">
        <v>354</v>
      </c>
      <c r="L4528" t="s">
        <v>355</v>
      </c>
      <c r="M4528" t="s">
        <v>131</v>
      </c>
      <c r="N4528">
        <v>20</v>
      </c>
      <c r="O4528" t="s">
        <v>40</v>
      </c>
      <c r="S4528" t="s">
        <v>40</v>
      </c>
      <c r="U4528" s="1">
        <v>43344</v>
      </c>
      <c r="V4528" t="s">
        <v>41</v>
      </c>
      <c r="W4528" t="s">
        <v>75</v>
      </c>
      <c r="X4528" t="str">
        <f>"7054024"</f>
        <v>7054024</v>
      </c>
      <c r="Y4528" t="s">
        <v>793</v>
      </c>
      <c r="Z4528" t="s">
        <v>354</v>
      </c>
      <c r="AA4528" t="s">
        <v>355</v>
      </c>
      <c r="AB4528" t="s">
        <v>131</v>
      </c>
      <c r="AC4528" t="s">
        <v>51</v>
      </c>
      <c r="AD4528" t="s">
        <v>45</v>
      </c>
      <c r="AE4528" s="1">
        <v>23743</v>
      </c>
      <c r="AF4528">
        <v>1</v>
      </c>
      <c r="AG4528" t="s">
        <v>355</v>
      </c>
      <c r="AH4528" s="36">
        <f t="shared" si="70"/>
        <v>54.761111111111113</v>
      </c>
      <c r="AI4528" s="41" t="s">
        <v>1781</v>
      </c>
    </row>
    <row r="4529" spans="1:35" x14ac:dyDescent="0.25">
      <c r="A4529" s="36">
        <v>99914527</v>
      </c>
      <c r="B4529" s="17" t="s">
        <v>32</v>
      </c>
      <c r="C4529" t="s">
        <v>85</v>
      </c>
      <c r="D4529" t="s">
        <v>86</v>
      </c>
      <c r="G4529" s="17" t="s">
        <v>35</v>
      </c>
      <c r="H4529" s="17">
        <v>1</v>
      </c>
      <c r="K4529" t="s">
        <v>1187</v>
      </c>
      <c r="L4529" t="s">
        <v>1188</v>
      </c>
      <c r="M4529" t="s">
        <v>1130</v>
      </c>
      <c r="N4529">
        <v>21</v>
      </c>
      <c r="O4529" t="s">
        <v>40</v>
      </c>
      <c r="P4529" t="s">
        <v>40</v>
      </c>
      <c r="Q4529" t="s">
        <v>40</v>
      </c>
      <c r="R4529" t="s">
        <v>40</v>
      </c>
      <c r="S4529" t="s">
        <v>40</v>
      </c>
      <c r="V4529" t="s">
        <v>41</v>
      </c>
      <c r="W4529" t="s">
        <v>49</v>
      </c>
      <c r="X4529" t="str">
        <f>"4581015"</f>
        <v>4581015</v>
      </c>
      <c r="Y4529" t="s">
        <v>1190</v>
      </c>
      <c r="Z4529" t="s">
        <v>1187</v>
      </c>
      <c r="AA4529" t="s">
        <v>1188</v>
      </c>
      <c r="AB4529" t="s">
        <v>1130</v>
      </c>
      <c r="AC4529" t="s">
        <v>51</v>
      </c>
      <c r="AD4529" t="s">
        <v>45</v>
      </c>
      <c r="AE4529" s="1">
        <v>23743</v>
      </c>
      <c r="AF4529">
        <v>2</v>
      </c>
      <c r="AG4529" t="s">
        <v>1188</v>
      </c>
      <c r="AH4529" s="36">
        <f t="shared" si="70"/>
        <v>54.761111111111113</v>
      </c>
      <c r="AI4529" s="41" t="s">
        <v>1781</v>
      </c>
    </row>
    <row r="4530" spans="1:35" x14ac:dyDescent="0.25">
      <c r="A4530" s="36">
        <v>99914528</v>
      </c>
      <c r="B4530" s="17" t="s">
        <v>32</v>
      </c>
      <c r="C4530" t="s">
        <v>111</v>
      </c>
      <c r="D4530" t="s">
        <v>112</v>
      </c>
      <c r="G4530" s="17" t="s">
        <v>48</v>
      </c>
      <c r="H4530" s="17">
        <v>1</v>
      </c>
      <c r="I4530">
        <v>179</v>
      </c>
      <c r="J4530" s="1">
        <v>35674</v>
      </c>
      <c r="K4530" t="s">
        <v>1341</v>
      </c>
      <c r="L4530" t="s">
        <v>1342</v>
      </c>
      <c r="M4530" t="s">
        <v>1270</v>
      </c>
      <c r="N4530">
        <v>24</v>
      </c>
      <c r="O4530" t="s">
        <v>40</v>
      </c>
      <c r="P4530" t="s">
        <v>40</v>
      </c>
      <c r="Q4530" t="s">
        <v>40</v>
      </c>
      <c r="R4530" t="s">
        <v>40</v>
      </c>
      <c r="S4530" t="s">
        <v>40</v>
      </c>
      <c r="U4530" s="1">
        <v>35681</v>
      </c>
      <c r="V4530" t="s">
        <v>41</v>
      </c>
      <c r="W4530" t="s">
        <v>75</v>
      </c>
      <c r="X4530" t="str">
        <f>"7191036"</f>
        <v>7191036</v>
      </c>
      <c r="Y4530" t="s">
        <v>1348</v>
      </c>
      <c r="Z4530" t="s">
        <v>1341</v>
      </c>
      <c r="AA4530" t="s">
        <v>1342</v>
      </c>
      <c r="AB4530" t="s">
        <v>1270</v>
      </c>
      <c r="AC4530" t="s">
        <v>165</v>
      </c>
      <c r="AD4530" t="s">
        <v>45</v>
      </c>
      <c r="AE4530" s="1">
        <v>23743</v>
      </c>
      <c r="AF4530">
        <v>1</v>
      </c>
      <c r="AG4530" t="s">
        <v>1342</v>
      </c>
      <c r="AH4530" s="36">
        <f t="shared" si="70"/>
        <v>54.761111111111113</v>
      </c>
      <c r="AI4530" s="41" t="s">
        <v>1781</v>
      </c>
    </row>
    <row r="4531" spans="1:35" x14ac:dyDescent="0.25">
      <c r="A4531" s="36">
        <v>99914529</v>
      </c>
      <c r="B4531" s="17" t="s">
        <v>32</v>
      </c>
      <c r="C4531" t="s">
        <v>64</v>
      </c>
      <c r="D4531" t="s">
        <v>65</v>
      </c>
      <c r="G4531" s="17" t="s">
        <v>48</v>
      </c>
      <c r="H4531" s="17">
        <v>1</v>
      </c>
      <c r="I4531">
        <v>177</v>
      </c>
      <c r="J4531" s="1">
        <v>36403</v>
      </c>
      <c r="K4531" t="s">
        <v>1496</v>
      </c>
      <c r="L4531" t="s">
        <v>1497</v>
      </c>
      <c r="M4531" t="s">
        <v>670</v>
      </c>
      <c r="N4531">
        <v>21</v>
      </c>
      <c r="O4531" t="s">
        <v>40</v>
      </c>
      <c r="P4531" t="s">
        <v>40</v>
      </c>
      <c r="Q4531" t="s">
        <v>40</v>
      </c>
      <c r="R4531" t="s">
        <v>40</v>
      </c>
      <c r="S4531" t="s">
        <v>40</v>
      </c>
      <c r="U4531" s="1">
        <v>36403</v>
      </c>
      <c r="V4531" t="s">
        <v>41</v>
      </c>
      <c r="W4531" t="s">
        <v>42</v>
      </c>
      <c r="X4531" t="str">
        <f>"5080015"</f>
        <v>5080015</v>
      </c>
      <c r="Y4531" t="s">
        <v>1498</v>
      </c>
      <c r="Z4531" t="s">
        <v>1496</v>
      </c>
      <c r="AA4531" t="s">
        <v>1497</v>
      </c>
      <c r="AB4531" t="s">
        <v>670</v>
      </c>
      <c r="AC4531" t="s">
        <v>51</v>
      </c>
      <c r="AD4531" t="s">
        <v>45</v>
      </c>
      <c r="AE4531" s="1">
        <v>23743</v>
      </c>
      <c r="AF4531">
        <v>2</v>
      </c>
      <c r="AG4531" t="s">
        <v>1497</v>
      </c>
      <c r="AH4531" s="36">
        <f t="shared" si="70"/>
        <v>54.761111111111113</v>
      </c>
      <c r="AI4531" s="41" t="s">
        <v>1781</v>
      </c>
    </row>
    <row r="4532" spans="1:35" x14ac:dyDescent="0.25">
      <c r="A4532" s="36">
        <v>99914530</v>
      </c>
      <c r="B4532" s="17" t="s">
        <v>32</v>
      </c>
      <c r="C4532" t="s">
        <v>71</v>
      </c>
      <c r="D4532" t="s">
        <v>72</v>
      </c>
      <c r="G4532" s="17" t="s">
        <v>35</v>
      </c>
      <c r="H4532" s="17">
        <v>1</v>
      </c>
      <c r="K4532" t="s">
        <v>223</v>
      </c>
      <c r="L4532" t="s">
        <v>224</v>
      </c>
      <c r="M4532" t="s">
        <v>131</v>
      </c>
      <c r="N4532">
        <v>25</v>
      </c>
      <c r="O4532" t="s">
        <v>40</v>
      </c>
      <c r="P4532" t="s">
        <v>40</v>
      </c>
      <c r="Q4532" t="s">
        <v>40</v>
      </c>
      <c r="S4532" t="s">
        <v>40</v>
      </c>
      <c r="V4532" t="s">
        <v>41</v>
      </c>
      <c r="W4532" t="s">
        <v>42</v>
      </c>
      <c r="X4532" t="str">
        <f>"0590903"</f>
        <v>0590903</v>
      </c>
      <c r="Y4532" t="s">
        <v>226</v>
      </c>
      <c r="Z4532" t="s">
        <v>223</v>
      </c>
      <c r="AA4532" t="s">
        <v>224</v>
      </c>
      <c r="AB4532" t="s">
        <v>131</v>
      </c>
      <c r="AC4532" t="s">
        <v>51</v>
      </c>
      <c r="AD4532" t="s">
        <v>45</v>
      </c>
      <c r="AE4532" s="1">
        <v>23741</v>
      </c>
      <c r="AF4532">
        <v>2</v>
      </c>
      <c r="AG4532" t="s">
        <v>224</v>
      </c>
      <c r="AH4532" s="36">
        <f t="shared" si="70"/>
        <v>54.766666666666666</v>
      </c>
      <c r="AI4532" s="41" t="s">
        <v>1781</v>
      </c>
    </row>
    <row r="4533" spans="1:35" x14ac:dyDescent="0.25">
      <c r="A4533" s="36">
        <v>99914531</v>
      </c>
      <c r="B4533" s="17" t="s">
        <v>56</v>
      </c>
      <c r="C4533" t="s">
        <v>52</v>
      </c>
      <c r="D4533" t="s">
        <v>53</v>
      </c>
      <c r="G4533" s="17" t="s">
        <v>48</v>
      </c>
      <c r="H4533" s="17">
        <v>1</v>
      </c>
      <c r="K4533" t="s">
        <v>223</v>
      </c>
      <c r="L4533" t="s">
        <v>224</v>
      </c>
      <c r="M4533" t="s">
        <v>131</v>
      </c>
      <c r="N4533">
        <v>18</v>
      </c>
      <c r="O4533" t="s">
        <v>40</v>
      </c>
      <c r="P4533" t="s">
        <v>40</v>
      </c>
      <c r="Q4533" t="s">
        <v>40</v>
      </c>
      <c r="S4533" t="s">
        <v>40</v>
      </c>
      <c r="V4533" t="s">
        <v>41</v>
      </c>
      <c r="W4533" t="s">
        <v>42</v>
      </c>
      <c r="X4533" t="str">
        <f>"0580204"</f>
        <v>0580204</v>
      </c>
      <c r="Y4533" t="s">
        <v>235</v>
      </c>
      <c r="Z4533" t="s">
        <v>223</v>
      </c>
      <c r="AA4533" t="s">
        <v>224</v>
      </c>
      <c r="AB4533" t="s">
        <v>131</v>
      </c>
      <c r="AC4533" t="s">
        <v>165</v>
      </c>
      <c r="AD4533" t="s">
        <v>45</v>
      </c>
      <c r="AE4533" s="1">
        <v>23731</v>
      </c>
      <c r="AF4533">
        <v>2</v>
      </c>
      <c r="AG4533" t="s">
        <v>224</v>
      </c>
      <c r="AH4533" s="36">
        <f t="shared" si="70"/>
        <v>54.794444444444444</v>
      </c>
      <c r="AI4533" s="41" t="s">
        <v>1781</v>
      </c>
    </row>
    <row r="4534" spans="1:35" x14ac:dyDescent="0.25">
      <c r="A4534" s="36">
        <v>99914532</v>
      </c>
      <c r="B4534" s="17" t="s">
        <v>56</v>
      </c>
      <c r="C4534" t="s">
        <v>68</v>
      </c>
      <c r="D4534" t="s">
        <v>69</v>
      </c>
      <c r="G4534" s="17" t="s">
        <v>48</v>
      </c>
      <c r="H4534" s="17">
        <v>1</v>
      </c>
      <c r="I4534" t="s">
        <v>1315</v>
      </c>
      <c r="K4534" t="s">
        <v>1306</v>
      </c>
      <c r="L4534" t="s">
        <v>1307</v>
      </c>
      <c r="M4534" t="s">
        <v>1270</v>
      </c>
      <c r="N4534">
        <v>18</v>
      </c>
      <c r="O4534" t="s">
        <v>40</v>
      </c>
      <c r="P4534" t="s">
        <v>40</v>
      </c>
      <c r="Q4534" t="s">
        <v>40</v>
      </c>
      <c r="R4534" t="s">
        <v>40</v>
      </c>
      <c r="S4534" t="s">
        <v>40</v>
      </c>
      <c r="V4534" t="s">
        <v>41</v>
      </c>
      <c r="W4534" t="s">
        <v>49</v>
      </c>
      <c r="X4534" t="str">
        <f>"1991913"</f>
        <v>1991913</v>
      </c>
      <c r="Y4534" t="s">
        <v>1310</v>
      </c>
      <c r="Z4534" t="s">
        <v>1306</v>
      </c>
      <c r="AA4534" t="s">
        <v>1307</v>
      </c>
      <c r="AB4534" t="s">
        <v>1270</v>
      </c>
      <c r="AC4534" t="s">
        <v>51</v>
      </c>
      <c r="AD4534" t="s">
        <v>45</v>
      </c>
      <c r="AE4534" s="1">
        <v>23730</v>
      </c>
      <c r="AF4534">
        <v>2</v>
      </c>
      <c r="AG4534" t="s">
        <v>1307</v>
      </c>
      <c r="AH4534" s="36">
        <f t="shared" si="70"/>
        <v>54.797222222222224</v>
      </c>
      <c r="AI4534" s="41" t="s">
        <v>1781</v>
      </c>
    </row>
    <row r="4535" spans="1:35" x14ac:dyDescent="0.25">
      <c r="A4535" s="36">
        <v>99914533</v>
      </c>
      <c r="B4535" s="17" t="s">
        <v>56</v>
      </c>
      <c r="C4535" t="s">
        <v>68</v>
      </c>
      <c r="D4535" t="s">
        <v>69</v>
      </c>
      <c r="G4535" s="17" t="s">
        <v>48</v>
      </c>
      <c r="H4535" s="17">
        <v>1</v>
      </c>
      <c r="K4535" t="s">
        <v>380</v>
      </c>
      <c r="L4535" t="s">
        <v>381</v>
      </c>
      <c r="M4535" t="s">
        <v>131</v>
      </c>
      <c r="N4535">
        <v>21</v>
      </c>
      <c r="O4535" t="s">
        <v>40</v>
      </c>
      <c r="P4535" t="s">
        <v>40</v>
      </c>
      <c r="Q4535" t="s">
        <v>40</v>
      </c>
      <c r="R4535" t="s">
        <v>40</v>
      </c>
      <c r="S4535" t="s">
        <v>40</v>
      </c>
      <c r="V4535" t="s">
        <v>41</v>
      </c>
      <c r="W4535" t="s">
        <v>42</v>
      </c>
      <c r="X4535" t="str">
        <f>"0590908"</f>
        <v>0590908</v>
      </c>
      <c r="Y4535" t="s">
        <v>382</v>
      </c>
      <c r="Z4535" t="s">
        <v>380</v>
      </c>
      <c r="AA4535" t="s">
        <v>381</v>
      </c>
      <c r="AB4535" t="s">
        <v>131</v>
      </c>
      <c r="AC4535" t="s">
        <v>51</v>
      </c>
      <c r="AD4535" t="s">
        <v>45</v>
      </c>
      <c r="AE4535" s="1">
        <v>23728</v>
      </c>
      <c r="AF4535">
        <v>2</v>
      </c>
      <c r="AG4535" t="s">
        <v>381</v>
      </c>
      <c r="AH4535" s="36">
        <f t="shared" si="70"/>
        <v>54.802777777777777</v>
      </c>
      <c r="AI4535" s="41" t="s">
        <v>1781</v>
      </c>
    </row>
    <row r="4536" spans="1:35" x14ac:dyDescent="0.25">
      <c r="A4536" s="36">
        <v>99914534</v>
      </c>
      <c r="B4536" s="17" t="s">
        <v>32</v>
      </c>
      <c r="C4536" t="s">
        <v>139</v>
      </c>
      <c r="D4536" t="s">
        <v>140</v>
      </c>
      <c r="G4536" s="17" t="s">
        <v>48</v>
      </c>
      <c r="H4536" s="17">
        <v>1</v>
      </c>
      <c r="K4536" t="s">
        <v>223</v>
      </c>
      <c r="L4536" t="s">
        <v>224</v>
      </c>
      <c r="M4536" t="s">
        <v>131</v>
      </c>
      <c r="N4536">
        <v>18</v>
      </c>
      <c r="O4536" t="s">
        <v>40</v>
      </c>
      <c r="P4536" t="s">
        <v>40</v>
      </c>
      <c r="Q4536" t="s">
        <v>40</v>
      </c>
      <c r="R4536" t="s">
        <v>40</v>
      </c>
      <c r="S4536" t="s">
        <v>40</v>
      </c>
      <c r="V4536" t="s">
        <v>41</v>
      </c>
      <c r="W4536" t="s">
        <v>49</v>
      </c>
      <c r="X4536" t="str">
        <f>"0581206"</f>
        <v>0581206</v>
      </c>
      <c r="Y4536" t="s">
        <v>232</v>
      </c>
      <c r="Z4536" t="s">
        <v>223</v>
      </c>
      <c r="AA4536" t="s">
        <v>224</v>
      </c>
      <c r="AB4536" t="s">
        <v>131</v>
      </c>
      <c r="AC4536" t="s">
        <v>51</v>
      </c>
      <c r="AD4536" t="s">
        <v>45</v>
      </c>
      <c r="AE4536" s="1">
        <v>23726</v>
      </c>
      <c r="AF4536">
        <v>2</v>
      </c>
      <c r="AG4536" t="s">
        <v>224</v>
      </c>
      <c r="AH4536" s="36">
        <f t="shared" si="70"/>
        <v>54.80833333333333</v>
      </c>
      <c r="AI4536" s="41" t="s">
        <v>1781</v>
      </c>
    </row>
    <row r="4537" spans="1:35" x14ac:dyDescent="0.25">
      <c r="A4537" s="36">
        <v>99914535</v>
      </c>
      <c r="B4537" s="17" t="s">
        <v>56</v>
      </c>
      <c r="C4537" t="s">
        <v>1282</v>
      </c>
      <c r="D4537" t="s">
        <v>1283</v>
      </c>
      <c r="G4537" s="17" t="s">
        <v>35</v>
      </c>
      <c r="H4537" s="17">
        <v>1</v>
      </c>
      <c r="K4537" t="s">
        <v>1268</v>
      </c>
      <c r="L4537" t="s">
        <v>1269</v>
      </c>
      <c r="M4537" t="s">
        <v>1270</v>
      </c>
      <c r="N4537">
        <v>15</v>
      </c>
      <c r="O4537" t="s">
        <v>40</v>
      </c>
      <c r="P4537" t="s">
        <v>40</v>
      </c>
      <c r="Q4537" t="s">
        <v>40</v>
      </c>
      <c r="S4537" t="s">
        <v>40</v>
      </c>
      <c r="V4537" t="s">
        <v>41</v>
      </c>
      <c r="W4537" t="s">
        <v>922</v>
      </c>
      <c r="X4537" t="str">
        <f>"1950001"</f>
        <v>1950001</v>
      </c>
      <c r="Y4537" t="s">
        <v>1284</v>
      </c>
      <c r="Z4537" t="s">
        <v>1268</v>
      </c>
      <c r="AA4537" t="s">
        <v>1269</v>
      </c>
      <c r="AB4537" t="s">
        <v>1270</v>
      </c>
      <c r="AC4537" t="s">
        <v>51</v>
      </c>
      <c r="AD4537" t="s">
        <v>45</v>
      </c>
      <c r="AE4537" s="1">
        <v>23724</v>
      </c>
      <c r="AF4537">
        <v>2</v>
      </c>
      <c r="AG4537" t="s">
        <v>1269</v>
      </c>
      <c r="AH4537" s="36">
        <f t="shared" si="70"/>
        <v>54.81388888888889</v>
      </c>
      <c r="AI4537" s="41" t="s">
        <v>1781</v>
      </c>
    </row>
    <row r="4538" spans="1:35" x14ac:dyDescent="0.25">
      <c r="A4538" s="36">
        <v>99914536</v>
      </c>
      <c r="B4538" s="17" t="s">
        <v>32</v>
      </c>
      <c r="C4538" t="s">
        <v>90</v>
      </c>
      <c r="D4538" t="s">
        <v>91</v>
      </c>
      <c r="G4538" s="17" t="s">
        <v>48</v>
      </c>
      <c r="H4538" s="17">
        <v>13</v>
      </c>
      <c r="J4538" s="1">
        <v>43344</v>
      </c>
      <c r="K4538" t="s">
        <v>354</v>
      </c>
      <c r="L4538" t="s">
        <v>355</v>
      </c>
      <c r="M4538" t="s">
        <v>131</v>
      </c>
      <c r="N4538">
        <v>25</v>
      </c>
      <c r="O4538" t="s">
        <v>40</v>
      </c>
      <c r="P4538" t="s">
        <v>40</v>
      </c>
      <c r="Q4538" t="s">
        <v>40</v>
      </c>
      <c r="R4538" t="s">
        <v>40</v>
      </c>
      <c r="S4538" t="s">
        <v>40</v>
      </c>
      <c r="U4538" s="1">
        <v>43344</v>
      </c>
      <c r="V4538" t="s">
        <v>41</v>
      </c>
      <c r="W4538" t="s">
        <v>95</v>
      </c>
      <c r="X4538" t="str">
        <f>"7054025"</f>
        <v>7054025</v>
      </c>
      <c r="Y4538" t="s">
        <v>794</v>
      </c>
      <c r="Z4538" t="s">
        <v>354</v>
      </c>
      <c r="AA4538" t="s">
        <v>355</v>
      </c>
      <c r="AB4538" t="s">
        <v>131</v>
      </c>
      <c r="AC4538" t="s">
        <v>51</v>
      </c>
      <c r="AD4538" t="s">
        <v>45</v>
      </c>
      <c r="AE4538" s="1">
        <v>23721</v>
      </c>
      <c r="AF4538">
        <v>1</v>
      </c>
      <c r="AG4538" t="s">
        <v>355</v>
      </c>
      <c r="AH4538" s="36">
        <f t="shared" si="70"/>
        <v>54.822222222222223</v>
      </c>
      <c r="AI4538" s="41" t="s">
        <v>1781</v>
      </c>
    </row>
    <row r="4539" spans="1:35" x14ac:dyDescent="0.25">
      <c r="A4539" s="36">
        <v>99914537</v>
      </c>
      <c r="B4539" s="17" t="s">
        <v>32</v>
      </c>
      <c r="C4539" t="s">
        <v>46</v>
      </c>
      <c r="D4539" t="s">
        <v>47</v>
      </c>
      <c r="G4539" s="17" t="s">
        <v>48</v>
      </c>
      <c r="H4539" s="17">
        <v>2</v>
      </c>
      <c r="K4539" t="s">
        <v>129</v>
      </c>
      <c r="L4539" t="s">
        <v>130</v>
      </c>
      <c r="M4539" t="s">
        <v>131</v>
      </c>
      <c r="N4539">
        <v>18</v>
      </c>
      <c r="O4539" t="s">
        <v>40</v>
      </c>
      <c r="P4539" t="s">
        <v>40</v>
      </c>
      <c r="Q4539" t="s">
        <v>40</v>
      </c>
      <c r="R4539" t="s">
        <v>40</v>
      </c>
      <c r="S4539" t="s">
        <v>40</v>
      </c>
      <c r="V4539" t="s">
        <v>41</v>
      </c>
      <c r="W4539" t="s">
        <v>42</v>
      </c>
      <c r="X4539" t="str">
        <f>"0590905"</f>
        <v>0590905</v>
      </c>
      <c r="Y4539" t="s">
        <v>133</v>
      </c>
      <c r="Z4539" t="s">
        <v>129</v>
      </c>
      <c r="AA4539" t="s">
        <v>130</v>
      </c>
      <c r="AB4539" t="s">
        <v>131</v>
      </c>
      <c r="AC4539" t="s">
        <v>51</v>
      </c>
      <c r="AD4539" t="s">
        <v>45</v>
      </c>
      <c r="AE4539" s="1">
        <v>23718</v>
      </c>
      <c r="AF4539">
        <v>2</v>
      </c>
      <c r="AG4539" t="s">
        <v>130</v>
      </c>
      <c r="AH4539" s="36">
        <f t="shared" si="70"/>
        <v>54.830555555555556</v>
      </c>
      <c r="AI4539" s="41" t="s">
        <v>1781</v>
      </c>
    </row>
    <row r="4540" spans="1:35" x14ac:dyDescent="0.25">
      <c r="A4540" s="36">
        <v>99914538</v>
      </c>
      <c r="B4540" s="17" t="s">
        <v>56</v>
      </c>
      <c r="C4540" t="s">
        <v>275</v>
      </c>
      <c r="D4540" t="s">
        <v>276</v>
      </c>
      <c r="G4540" s="17" t="s">
        <v>35</v>
      </c>
      <c r="H4540" s="17">
        <v>1</v>
      </c>
      <c r="K4540" t="s">
        <v>223</v>
      </c>
      <c r="L4540" t="s">
        <v>224</v>
      </c>
      <c r="M4540" t="s">
        <v>131</v>
      </c>
      <c r="N4540">
        <v>4</v>
      </c>
      <c r="O4540" t="s">
        <v>40</v>
      </c>
      <c r="P4540" t="s">
        <v>40</v>
      </c>
      <c r="Q4540" t="s">
        <v>40</v>
      </c>
      <c r="R4540" t="s">
        <v>40</v>
      </c>
      <c r="S4540" t="s">
        <v>40</v>
      </c>
      <c r="V4540" t="s">
        <v>41</v>
      </c>
      <c r="W4540" t="s">
        <v>49</v>
      </c>
      <c r="X4540" t="str">
        <f>"0560018"</f>
        <v>0560018</v>
      </c>
      <c r="Y4540" t="s">
        <v>234</v>
      </c>
      <c r="Z4540" t="s">
        <v>223</v>
      </c>
      <c r="AA4540" t="s">
        <v>224</v>
      </c>
      <c r="AB4540" t="s">
        <v>131</v>
      </c>
      <c r="AC4540" t="s">
        <v>51</v>
      </c>
      <c r="AD4540" t="s">
        <v>45</v>
      </c>
      <c r="AE4540" s="1">
        <v>23713</v>
      </c>
      <c r="AF4540">
        <v>2</v>
      </c>
      <c r="AG4540" t="s">
        <v>224</v>
      </c>
      <c r="AH4540" s="36">
        <f t="shared" si="70"/>
        <v>54.844444444444441</v>
      </c>
      <c r="AI4540" s="41" t="s">
        <v>1781</v>
      </c>
    </row>
    <row r="4541" spans="1:35" x14ac:dyDescent="0.25">
      <c r="A4541" s="36">
        <v>99914539</v>
      </c>
      <c r="B4541" s="17" t="s">
        <v>56</v>
      </c>
      <c r="C4541" t="s">
        <v>79</v>
      </c>
      <c r="D4541" t="s">
        <v>80</v>
      </c>
      <c r="G4541" s="17" t="s">
        <v>48</v>
      </c>
      <c r="H4541" s="17">
        <v>1</v>
      </c>
      <c r="K4541" t="s">
        <v>223</v>
      </c>
      <c r="L4541" t="s">
        <v>224</v>
      </c>
      <c r="M4541" t="s">
        <v>131</v>
      </c>
      <c r="N4541">
        <v>13</v>
      </c>
      <c r="O4541" t="s">
        <v>40</v>
      </c>
      <c r="P4541" t="s">
        <v>40</v>
      </c>
      <c r="Q4541" t="s">
        <v>40</v>
      </c>
      <c r="R4541" t="s">
        <v>40</v>
      </c>
      <c r="S4541" t="s">
        <v>40</v>
      </c>
      <c r="V4541" t="s">
        <v>41</v>
      </c>
      <c r="W4541" t="s">
        <v>49</v>
      </c>
      <c r="X4541" t="str">
        <f>"0540902"</f>
        <v>0540902</v>
      </c>
      <c r="Y4541" t="s">
        <v>256</v>
      </c>
      <c r="Z4541" t="s">
        <v>223</v>
      </c>
      <c r="AA4541" t="s">
        <v>224</v>
      </c>
      <c r="AB4541" t="s">
        <v>131</v>
      </c>
      <c r="AC4541" t="s">
        <v>51</v>
      </c>
      <c r="AD4541" t="s">
        <v>45</v>
      </c>
      <c r="AE4541" s="1">
        <v>23713</v>
      </c>
      <c r="AF4541">
        <v>2</v>
      </c>
      <c r="AG4541" t="s">
        <v>224</v>
      </c>
      <c r="AH4541" s="36">
        <f t="shared" si="70"/>
        <v>54.844444444444441</v>
      </c>
      <c r="AI4541" s="41" t="s">
        <v>1781</v>
      </c>
    </row>
    <row r="4542" spans="1:35" x14ac:dyDescent="0.25">
      <c r="A4542" s="36">
        <v>99914540</v>
      </c>
      <c r="B4542" s="17" t="s">
        <v>56</v>
      </c>
      <c r="C4542" t="s">
        <v>79</v>
      </c>
      <c r="D4542" t="s">
        <v>80</v>
      </c>
      <c r="G4542" s="17" t="s">
        <v>35</v>
      </c>
      <c r="H4542" s="17">
        <v>1</v>
      </c>
      <c r="K4542" t="s">
        <v>268</v>
      </c>
      <c r="L4542" t="s">
        <v>269</v>
      </c>
      <c r="M4542" t="s">
        <v>131</v>
      </c>
      <c r="N4542">
        <v>22</v>
      </c>
      <c r="O4542" t="s">
        <v>40</v>
      </c>
      <c r="P4542" t="s">
        <v>40</v>
      </c>
      <c r="Q4542" t="s">
        <v>40</v>
      </c>
      <c r="R4542" t="s">
        <v>40</v>
      </c>
      <c r="S4542" t="s">
        <v>40</v>
      </c>
      <c r="V4542" t="s">
        <v>41</v>
      </c>
      <c r="W4542" t="s">
        <v>75</v>
      </c>
      <c r="X4542" t="str">
        <f>"7052028"</f>
        <v>7052028</v>
      </c>
      <c r="Y4542" t="s">
        <v>601</v>
      </c>
      <c r="Z4542" t="s">
        <v>268</v>
      </c>
      <c r="AA4542" t="s">
        <v>269</v>
      </c>
      <c r="AB4542" t="s">
        <v>131</v>
      </c>
      <c r="AC4542" t="s">
        <v>51</v>
      </c>
      <c r="AD4542" t="s">
        <v>45</v>
      </c>
      <c r="AE4542" s="1">
        <v>23709</v>
      </c>
      <c r="AF4542">
        <v>1</v>
      </c>
      <c r="AG4542" t="s">
        <v>269</v>
      </c>
      <c r="AH4542" s="36">
        <f t="shared" si="70"/>
        <v>54.855555555555554</v>
      </c>
      <c r="AI4542" s="41" t="s">
        <v>1781</v>
      </c>
    </row>
    <row r="4543" spans="1:35" x14ac:dyDescent="0.25">
      <c r="A4543" s="36">
        <v>99914541</v>
      </c>
      <c r="B4543" s="17" t="s">
        <v>32</v>
      </c>
      <c r="C4543" t="s">
        <v>52</v>
      </c>
      <c r="D4543" t="s">
        <v>53</v>
      </c>
      <c r="G4543" s="17" t="s">
        <v>35</v>
      </c>
      <c r="H4543" s="17">
        <v>1</v>
      </c>
      <c r="I4543">
        <v>13814</v>
      </c>
      <c r="J4543" s="1">
        <v>43355</v>
      </c>
      <c r="K4543" t="s">
        <v>345</v>
      </c>
      <c r="L4543" t="s">
        <v>346</v>
      </c>
      <c r="M4543" t="s">
        <v>131</v>
      </c>
      <c r="N4543">
        <v>17</v>
      </c>
      <c r="O4543" t="s">
        <v>40</v>
      </c>
      <c r="P4543" t="s">
        <v>40</v>
      </c>
      <c r="Q4543" t="s">
        <v>40</v>
      </c>
      <c r="S4543" t="s">
        <v>40</v>
      </c>
      <c r="U4543" s="1">
        <v>43355</v>
      </c>
      <c r="V4543" t="s">
        <v>41</v>
      </c>
      <c r="W4543" t="s">
        <v>49</v>
      </c>
      <c r="X4543" t="str">
        <f>"0581605"</f>
        <v>0581605</v>
      </c>
      <c r="Y4543" t="s">
        <v>366</v>
      </c>
      <c r="Z4543" t="s">
        <v>345</v>
      </c>
      <c r="AA4543" t="s">
        <v>346</v>
      </c>
      <c r="AB4543" t="s">
        <v>131</v>
      </c>
      <c r="AC4543" t="s">
        <v>51</v>
      </c>
      <c r="AD4543" t="s">
        <v>45</v>
      </c>
      <c r="AE4543" s="1">
        <v>23707</v>
      </c>
      <c r="AF4543">
        <v>2</v>
      </c>
      <c r="AG4543" t="s">
        <v>346</v>
      </c>
      <c r="AH4543" s="36">
        <f t="shared" si="70"/>
        <v>54.861111111111114</v>
      </c>
      <c r="AI4543" s="41" t="s">
        <v>1781</v>
      </c>
    </row>
    <row r="4544" spans="1:35" x14ac:dyDescent="0.25">
      <c r="A4544" s="36">
        <v>99914542</v>
      </c>
      <c r="B4544" s="17" t="s">
        <v>32</v>
      </c>
      <c r="C4544" t="s">
        <v>46</v>
      </c>
      <c r="D4544" t="s">
        <v>47</v>
      </c>
      <c r="G4544" s="17" t="s">
        <v>48</v>
      </c>
      <c r="H4544" s="17">
        <v>17</v>
      </c>
      <c r="K4544" t="s">
        <v>1268</v>
      </c>
      <c r="L4544" t="s">
        <v>1269</v>
      </c>
      <c r="M4544" t="s">
        <v>1270</v>
      </c>
      <c r="N4544">
        <v>18</v>
      </c>
      <c r="O4544" t="s">
        <v>40</v>
      </c>
      <c r="P4544" t="s">
        <v>40</v>
      </c>
      <c r="Q4544" t="s">
        <v>40</v>
      </c>
      <c r="R4544" t="s">
        <v>40</v>
      </c>
      <c r="S4544" t="s">
        <v>40</v>
      </c>
      <c r="U4544" s="1">
        <v>43344</v>
      </c>
      <c r="V4544" t="s">
        <v>41</v>
      </c>
      <c r="W4544" t="s">
        <v>42</v>
      </c>
      <c r="X4544" t="str">
        <f>"1980055"</f>
        <v>1980055</v>
      </c>
      <c r="Y4544" t="s">
        <v>1285</v>
      </c>
      <c r="Z4544" t="s">
        <v>1268</v>
      </c>
      <c r="AA4544" t="s">
        <v>1269</v>
      </c>
      <c r="AB4544" t="s">
        <v>1270</v>
      </c>
      <c r="AC4544" t="s">
        <v>165</v>
      </c>
      <c r="AD4544" t="s">
        <v>45</v>
      </c>
      <c r="AE4544" s="1">
        <v>23703</v>
      </c>
      <c r="AF4544">
        <v>2</v>
      </c>
      <c r="AG4544" t="s">
        <v>1269</v>
      </c>
      <c r="AH4544" s="36">
        <f t="shared" si="70"/>
        <v>54.87222222222222</v>
      </c>
      <c r="AI4544" s="41" t="s">
        <v>1781</v>
      </c>
    </row>
    <row r="4545" spans="1:35" x14ac:dyDescent="0.25">
      <c r="A4545" s="36">
        <v>99914543</v>
      </c>
      <c r="B4545" s="17" t="s">
        <v>32</v>
      </c>
      <c r="C4545" t="s">
        <v>139</v>
      </c>
      <c r="D4545" t="s">
        <v>140</v>
      </c>
      <c r="G4545" s="17" t="s">
        <v>35</v>
      </c>
      <c r="H4545" s="17">
        <v>1</v>
      </c>
      <c r="I4545" t="s">
        <v>1144</v>
      </c>
      <c r="J4545" s="1">
        <v>42979</v>
      </c>
      <c r="K4545" t="s">
        <v>1128</v>
      </c>
      <c r="L4545" t="s">
        <v>1129</v>
      </c>
      <c r="M4545" t="s">
        <v>1130</v>
      </c>
      <c r="N4545">
        <v>9</v>
      </c>
      <c r="O4545" t="s">
        <v>40</v>
      </c>
      <c r="P4545" t="s">
        <v>40</v>
      </c>
      <c r="Q4545" t="s">
        <v>40</v>
      </c>
      <c r="R4545" t="s">
        <v>40</v>
      </c>
      <c r="S4545" t="s">
        <v>40</v>
      </c>
      <c r="U4545" s="1">
        <v>42979</v>
      </c>
      <c r="V4545" t="s">
        <v>41</v>
      </c>
      <c r="W4545" t="s">
        <v>49</v>
      </c>
      <c r="X4545" t="str">
        <f>"3181015"</f>
        <v>3181015</v>
      </c>
      <c r="Y4545" t="s">
        <v>1131</v>
      </c>
      <c r="Z4545" t="s">
        <v>1128</v>
      </c>
      <c r="AA4545" t="s">
        <v>1129</v>
      </c>
      <c r="AB4545" t="s">
        <v>1130</v>
      </c>
      <c r="AC4545" t="s">
        <v>51</v>
      </c>
      <c r="AD4545" t="s">
        <v>45</v>
      </c>
      <c r="AE4545" s="1">
        <v>23700</v>
      </c>
      <c r="AF4545">
        <v>2</v>
      </c>
      <c r="AG4545" t="s">
        <v>1129</v>
      </c>
      <c r="AH4545" s="36">
        <f t="shared" si="70"/>
        <v>54.880555555555553</v>
      </c>
      <c r="AI4545" s="41" t="s">
        <v>1781</v>
      </c>
    </row>
    <row r="4546" spans="1:35" x14ac:dyDescent="0.25">
      <c r="A4546" s="36">
        <v>99914544</v>
      </c>
      <c r="B4546" s="17" t="s">
        <v>32</v>
      </c>
      <c r="C4546" t="s">
        <v>64</v>
      </c>
      <c r="D4546" t="s">
        <v>65</v>
      </c>
      <c r="G4546" s="17" t="s">
        <v>48</v>
      </c>
      <c r="H4546" s="17">
        <v>1</v>
      </c>
      <c r="K4546" t="s">
        <v>162</v>
      </c>
      <c r="L4546" t="s">
        <v>158</v>
      </c>
      <c r="M4546" t="s">
        <v>131</v>
      </c>
      <c r="N4546">
        <v>18</v>
      </c>
      <c r="O4546" t="s">
        <v>40</v>
      </c>
      <c r="P4546" t="s">
        <v>40</v>
      </c>
      <c r="Q4546" t="s">
        <v>40</v>
      </c>
      <c r="R4546" t="s">
        <v>40</v>
      </c>
      <c r="S4546" t="s">
        <v>40</v>
      </c>
      <c r="V4546" t="s">
        <v>41</v>
      </c>
      <c r="W4546" t="s">
        <v>49</v>
      </c>
      <c r="X4546" t="str">
        <f>"0581325"</f>
        <v>0581325</v>
      </c>
      <c r="Y4546" t="s">
        <v>169</v>
      </c>
      <c r="Z4546" t="s">
        <v>162</v>
      </c>
      <c r="AA4546" t="s">
        <v>158</v>
      </c>
      <c r="AB4546" t="s">
        <v>131</v>
      </c>
      <c r="AC4546" t="s">
        <v>165</v>
      </c>
      <c r="AD4546" t="s">
        <v>45</v>
      </c>
      <c r="AE4546" s="1">
        <v>23698</v>
      </c>
      <c r="AF4546">
        <v>2</v>
      </c>
      <c r="AG4546" t="s">
        <v>158</v>
      </c>
      <c r="AH4546" s="36">
        <f t="shared" ref="AH4546:AH4609" si="71">($AJ$1-AE4546)/360</f>
        <v>54.886111111111113</v>
      </c>
      <c r="AI4546" s="41" t="s">
        <v>1781</v>
      </c>
    </row>
    <row r="4547" spans="1:35" x14ac:dyDescent="0.25">
      <c r="A4547" s="36">
        <v>99914545</v>
      </c>
      <c r="B4547" s="17" t="s">
        <v>56</v>
      </c>
      <c r="C4547" t="s">
        <v>111</v>
      </c>
      <c r="D4547" t="s">
        <v>112</v>
      </c>
      <c r="G4547" s="17" t="s">
        <v>48</v>
      </c>
      <c r="H4547" s="17">
        <v>14</v>
      </c>
      <c r="I4547" t="s">
        <v>481</v>
      </c>
      <c r="J4547" s="1">
        <v>34943</v>
      </c>
      <c r="K4547" t="s">
        <v>431</v>
      </c>
      <c r="L4547" t="s">
        <v>196</v>
      </c>
      <c r="M4547" t="s">
        <v>131</v>
      </c>
      <c r="N4547">
        <v>8</v>
      </c>
      <c r="O4547" t="s">
        <v>40</v>
      </c>
      <c r="P4547" t="s">
        <v>40</v>
      </c>
      <c r="Q4547" t="s">
        <v>40</v>
      </c>
      <c r="R4547" t="s">
        <v>40</v>
      </c>
      <c r="S4547" t="s">
        <v>40</v>
      </c>
      <c r="U4547" s="1">
        <v>34943</v>
      </c>
      <c r="V4547" t="s">
        <v>41</v>
      </c>
      <c r="W4547" t="s">
        <v>75</v>
      </c>
      <c r="X4547" t="str">
        <f>"7521012"</f>
        <v>7521012</v>
      </c>
      <c r="Y4547" t="s">
        <v>432</v>
      </c>
      <c r="Z4547" t="s">
        <v>431</v>
      </c>
      <c r="AA4547" t="s">
        <v>196</v>
      </c>
      <c r="AB4547" t="s">
        <v>131</v>
      </c>
      <c r="AC4547" t="s">
        <v>165</v>
      </c>
      <c r="AD4547" t="s">
        <v>45</v>
      </c>
      <c r="AE4547" s="1">
        <v>23698</v>
      </c>
      <c r="AF4547">
        <v>1</v>
      </c>
      <c r="AG4547" t="s">
        <v>196</v>
      </c>
      <c r="AH4547" s="36">
        <f t="shared" si="71"/>
        <v>54.886111111111113</v>
      </c>
      <c r="AI4547" s="41" t="s">
        <v>1781</v>
      </c>
    </row>
    <row r="4548" spans="1:35" x14ac:dyDescent="0.25">
      <c r="A4548" s="36">
        <v>99914546</v>
      </c>
      <c r="B4548" s="17" t="s">
        <v>32</v>
      </c>
      <c r="C4548" t="s">
        <v>46</v>
      </c>
      <c r="D4548" t="s">
        <v>47</v>
      </c>
      <c r="G4548" s="17" t="s">
        <v>35</v>
      </c>
      <c r="H4548" s="17">
        <v>1</v>
      </c>
      <c r="K4548" t="s">
        <v>223</v>
      </c>
      <c r="L4548" t="s">
        <v>224</v>
      </c>
      <c r="M4548" t="s">
        <v>131</v>
      </c>
      <c r="N4548">
        <v>18</v>
      </c>
      <c r="O4548" t="s">
        <v>40</v>
      </c>
      <c r="P4548" t="s">
        <v>40</v>
      </c>
      <c r="Q4548" t="s">
        <v>40</v>
      </c>
      <c r="S4548" t="s">
        <v>40</v>
      </c>
      <c r="V4548" t="s">
        <v>41</v>
      </c>
      <c r="W4548" t="s">
        <v>42</v>
      </c>
      <c r="X4548" t="str">
        <f>"0590903"</f>
        <v>0590903</v>
      </c>
      <c r="Y4548" t="s">
        <v>226</v>
      </c>
      <c r="Z4548" t="s">
        <v>223</v>
      </c>
      <c r="AA4548" t="s">
        <v>224</v>
      </c>
      <c r="AB4548" t="s">
        <v>131</v>
      </c>
      <c r="AC4548" t="s">
        <v>51</v>
      </c>
      <c r="AD4548" t="s">
        <v>45</v>
      </c>
      <c r="AE4548" s="1">
        <v>23694</v>
      </c>
      <c r="AF4548">
        <v>2</v>
      </c>
      <c r="AG4548" t="s">
        <v>224</v>
      </c>
      <c r="AH4548" s="36">
        <f t="shared" si="71"/>
        <v>54.897222222222226</v>
      </c>
      <c r="AI4548" s="41" t="s">
        <v>1781</v>
      </c>
    </row>
    <row r="4549" spans="1:35" x14ac:dyDescent="0.25">
      <c r="A4549" s="36">
        <v>99914547</v>
      </c>
      <c r="B4549" s="17" t="s">
        <v>32</v>
      </c>
      <c r="C4549" t="s">
        <v>111</v>
      </c>
      <c r="D4549" t="s">
        <v>112</v>
      </c>
      <c r="G4549" s="17" t="s">
        <v>35</v>
      </c>
      <c r="H4549" s="17">
        <v>1</v>
      </c>
      <c r="I4549">
        <v>135362</v>
      </c>
      <c r="J4549" s="1">
        <v>43344</v>
      </c>
      <c r="K4549" t="s">
        <v>877</v>
      </c>
      <c r="L4549" t="s">
        <v>878</v>
      </c>
      <c r="M4549" t="s">
        <v>131</v>
      </c>
      <c r="N4549">
        <v>21</v>
      </c>
      <c r="O4549" t="s">
        <v>40</v>
      </c>
      <c r="S4549" t="s">
        <v>40</v>
      </c>
      <c r="U4549" s="1">
        <v>43344</v>
      </c>
      <c r="V4549" t="s">
        <v>41</v>
      </c>
      <c r="W4549" t="s">
        <v>75</v>
      </c>
      <c r="X4549" t="str">
        <f>"7541024"</f>
        <v>7541024</v>
      </c>
      <c r="Y4549" t="s">
        <v>885</v>
      </c>
      <c r="Z4549" t="s">
        <v>877</v>
      </c>
      <c r="AA4549" t="s">
        <v>878</v>
      </c>
      <c r="AB4549" t="s">
        <v>131</v>
      </c>
      <c r="AC4549" t="s">
        <v>51</v>
      </c>
      <c r="AD4549" t="s">
        <v>45</v>
      </c>
      <c r="AE4549" s="1">
        <v>23685</v>
      </c>
      <c r="AF4549">
        <v>1</v>
      </c>
      <c r="AG4549" t="s">
        <v>878</v>
      </c>
      <c r="AH4549" s="36">
        <f t="shared" si="71"/>
        <v>54.922222222222224</v>
      </c>
      <c r="AI4549" s="41" t="s">
        <v>1781</v>
      </c>
    </row>
    <row r="4550" spans="1:35" x14ac:dyDescent="0.25">
      <c r="A4550" s="36">
        <v>99914548</v>
      </c>
      <c r="B4550" s="17" t="s">
        <v>56</v>
      </c>
      <c r="C4550" t="s">
        <v>33</v>
      </c>
      <c r="D4550" t="s">
        <v>34</v>
      </c>
      <c r="G4550" s="17" t="s">
        <v>48</v>
      </c>
      <c r="H4550" s="17">
        <v>1</v>
      </c>
      <c r="K4550" t="s">
        <v>345</v>
      </c>
      <c r="L4550" t="s">
        <v>346</v>
      </c>
      <c r="M4550" t="s">
        <v>131</v>
      </c>
      <c r="N4550">
        <v>9</v>
      </c>
      <c r="O4550" t="s">
        <v>40</v>
      </c>
      <c r="P4550" t="s">
        <v>40</v>
      </c>
      <c r="Q4550" t="s">
        <v>40</v>
      </c>
      <c r="R4550" t="s">
        <v>40</v>
      </c>
      <c r="S4550" t="s">
        <v>40</v>
      </c>
      <c r="V4550" t="s">
        <v>41</v>
      </c>
      <c r="W4550" t="s">
        <v>42</v>
      </c>
      <c r="X4550" t="str">
        <f>"0580650"</f>
        <v>0580650</v>
      </c>
      <c r="Y4550" t="s">
        <v>356</v>
      </c>
      <c r="Z4550" t="s">
        <v>345</v>
      </c>
      <c r="AA4550" t="s">
        <v>346</v>
      </c>
      <c r="AB4550" t="s">
        <v>131</v>
      </c>
      <c r="AC4550" t="s">
        <v>51</v>
      </c>
      <c r="AD4550" t="s">
        <v>45</v>
      </c>
      <c r="AE4550" s="1">
        <v>23676</v>
      </c>
      <c r="AF4550">
        <v>2</v>
      </c>
      <c r="AG4550" t="s">
        <v>346</v>
      </c>
      <c r="AH4550" s="36">
        <f t="shared" si="71"/>
        <v>54.947222222222223</v>
      </c>
      <c r="AI4550" s="41" t="s">
        <v>1781</v>
      </c>
    </row>
    <row r="4551" spans="1:35" x14ac:dyDescent="0.25">
      <c r="A4551" s="36">
        <v>99914549</v>
      </c>
      <c r="B4551" s="17" t="s">
        <v>32</v>
      </c>
      <c r="C4551" t="s">
        <v>111</v>
      </c>
      <c r="D4551" t="s">
        <v>112</v>
      </c>
      <c r="G4551" s="17" t="s">
        <v>35</v>
      </c>
      <c r="H4551" s="17">
        <v>13</v>
      </c>
      <c r="K4551" t="s">
        <v>268</v>
      </c>
      <c r="L4551" t="s">
        <v>269</v>
      </c>
      <c r="M4551" t="s">
        <v>131</v>
      </c>
      <c r="N4551">
        <v>21</v>
      </c>
      <c r="O4551" t="s">
        <v>40</v>
      </c>
      <c r="P4551" t="s">
        <v>40</v>
      </c>
      <c r="Q4551" t="s">
        <v>40</v>
      </c>
      <c r="R4551" t="s">
        <v>40</v>
      </c>
      <c r="S4551" t="s">
        <v>40</v>
      </c>
      <c r="V4551" t="s">
        <v>41</v>
      </c>
      <c r="W4551" t="s">
        <v>75</v>
      </c>
      <c r="X4551" t="str">
        <f>"7052002"</f>
        <v>7052002</v>
      </c>
      <c r="Y4551" t="s">
        <v>590</v>
      </c>
      <c r="Z4551" t="s">
        <v>268</v>
      </c>
      <c r="AA4551" t="s">
        <v>269</v>
      </c>
      <c r="AB4551" t="s">
        <v>131</v>
      </c>
      <c r="AC4551" t="s">
        <v>165</v>
      </c>
      <c r="AD4551" t="s">
        <v>45</v>
      </c>
      <c r="AE4551" s="1">
        <v>23672</v>
      </c>
      <c r="AF4551">
        <v>1</v>
      </c>
      <c r="AG4551" t="s">
        <v>269</v>
      </c>
      <c r="AH4551" s="36">
        <f t="shared" si="71"/>
        <v>54.958333333333336</v>
      </c>
      <c r="AI4551" s="41" t="s">
        <v>1781</v>
      </c>
    </row>
    <row r="4552" spans="1:35" x14ac:dyDescent="0.25">
      <c r="A4552" s="36">
        <v>99914550</v>
      </c>
      <c r="B4552" s="17" t="s">
        <v>56</v>
      </c>
      <c r="C4552" t="s">
        <v>52</v>
      </c>
      <c r="D4552" t="s">
        <v>53</v>
      </c>
      <c r="G4552" s="17" t="s">
        <v>48</v>
      </c>
      <c r="H4552" s="17">
        <v>10</v>
      </c>
      <c r="K4552" t="s">
        <v>345</v>
      </c>
      <c r="L4552" t="s">
        <v>346</v>
      </c>
      <c r="M4552" t="s">
        <v>131</v>
      </c>
      <c r="N4552">
        <v>5</v>
      </c>
      <c r="O4552" t="s">
        <v>40</v>
      </c>
      <c r="P4552" t="s">
        <v>40</v>
      </c>
      <c r="Q4552" t="s">
        <v>40</v>
      </c>
      <c r="R4552" t="s">
        <v>40</v>
      </c>
      <c r="S4552" t="s">
        <v>40</v>
      </c>
      <c r="V4552" t="s">
        <v>41</v>
      </c>
      <c r="W4552" t="s">
        <v>42</v>
      </c>
      <c r="X4552" t="str">
        <f>"0561019"</f>
        <v>0561019</v>
      </c>
      <c r="Y4552" t="s">
        <v>351</v>
      </c>
      <c r="Z4552" t="s">
        <v>345</v>
      </c>
      <c r="AA4552" t="s">
        <v>346</v>
      </c>
      <c r="AB4552" t="s">
        <v>131</v>
      </c>
      <c r="AC4552" t="s">
        <v>51</v>
      </c>
      <c r="AD4552" t="s">
        <v>45</v>
      </c>
      <c r="AE4552" s="1">
        <v>23669</v>
      </c>
      <c r="AF4552">
        <v>2</v>
      </c>
      <c r="AG4552" t="s">
        <v>346</v>
      </c>
      <c r="AH4552" s="36">
        <f t="shared" si="71"/>
        <v>54.966666666666669</v>
      </c>
      <c r="AI4552" s="41" t="s">
        <v>1781</v>
      </c>
    </row>
    <row r="4553" spans="1:35" x14ac:dyDescent="0.25">
      <c r="A4553" s="36">
        <v>99914551</v>
      </c>
      <c r="B4553" s="17" t="s">
        <v>32</v>
      </c>
      <c r="C4553" t="s">
        <v>139</v>
      </c>
      <c r="D4553" t="s">
        <v>140</v>
      </c>
      <c r="G4553" s="17" t="s">
        <v>35</v>
      </c>
      <c r="H4553" s="17">
        <v>1</v>
      </c>
      <c r="K4553" t="s">
        <v>268</v>
      </c>
      <c r="L4553" t="s">
        <v>269</v>
      </c>
      <c r="M4553" t="s">
        <v>131</v>
      </c>
      <c r="N4553">
        <v>5</v>
      </c>
      <c r="O4553" t="s">
        <v>40</v>
      </c>
      <c r="Q4553" t="s">
        <v>40</v>
      </c>
      <c r="S4553" t="s">
        <v>40</v>
      </c>
      <c r="V4553" t="s">
        <v>41</v>
      </c>
      <c r="W4553" t="s">
        <v>75</v>
      </c>
      <c r="X4553" t="str">
        <f>"7052028"</f>
        <v>7052028</v>
      </c>
      <c r="Y4553" t="s">
        <v>601</v>
      </c>
      <c r="Z4553" t="s">
        <v>268</v>
      </c>
      <c r="AA4553" t="s">
        <v>269</v>
      </c>
      <c r="AB4553" t="s">
        <v>131</v>
      </c>
      <c r="AC4553" t="s">
        <v>51</v>
      </c>
      <c r="AD4553" t="s">
        <v>45</v>
      </c>
      <c r="AE4553" s="1">
        <v>23664</v>
      </c>
      <c r="AF4553">
        <v>1</v>
      </c>
      <c r="AG4553" t="s">
        <v>269</v>
      </c>
      <c r="AH4553" s="36">
        <f t="shared" si="71"/>
        <v>54.980555555555554</v>
      </c>
      <c r="AI4553" s="41" t="s">
        <v>1781</v>
      </c>
    </row>
    <row r="4554" spans="1:35" x14ac:dyDescent="0.25">
      <c r="A4554" s="36">
        <v>99914552</v>
      </c>
      <c r="B4554" s="17" t="s">
        <v>32</v>
      </c>
      <c r="C4554" t="s">
        <v>79</v>
      </c>
      <c r="D4554" t="s">
        <v>80</v>
      </c>
      <c r="G4554" s="17" t="s">
        <v>48</v>
      </c>
      <c r="H4554" s="17">
        <v>1</v>
      </c>
      <c r="K4554" t="s">
        <v>268</v>
      </c>
      <c r="L4554" t="s">
        <v>269</v>
      </c>
      <c r="M4554" t="s">
        <v>131</v>
      </c>
      <c r="N4554">
        <v>18</v>
      </c>
      <c r="O4554" t="s">
        <v>40</v>
      </c>
      <c r="P4554" t="s">
        <v>40</v>
      </c>
      <c r="Q4554" t="s">
        <v>40</v>
      </c>
      <c r="R4554" t="s">
        <v>40</v>
      </c>
      <c r="S4554" t="s">
        <v>40</v>
      </c>
      <c r="V4554" t="s">
        <v>41</v>
      </c>
      <c r="W4554" t="s">
        <v>75</v>
      </c>
      <c r="X4554" t="str">
        <f>"7052008"</f>
        <v>7052008</v>
      </c>
      <c r="Y4554" t="s">
        <v>274</v>
      </c>
      <c r="Z4554" t="s">
        <v>268</v>
      </c>
      <c r="AA4554" t="s">
        <v>269</v>
      </c>
      <c r="AB4554" t="s">
        <v>131</v>
      </c>
      <c r="AC4554" t="s">
        <v>51</v>
      </c>
      <c r="AD4554" t="s">
        <v>45</v>
      </c>
      <c r="AE4554" s="1">
        <v>23664</v>
      </c>
      <c r="AF4554">
        <v>1</v>
      </c>
      <c r="AG4554" t="s">
        <v>269</v>
      </c>
      <c r="AH4554" s="36">
        <f t="shared" si="71"/>
        <v>54.980555555555554</v>
      </c>
      <c r="AI4554" s="41" t="s">
        <v>1781</v>
      </c>
    </row>
    <row r="4555" spans="1:35" x14ac:dyDescent="0.25">
      <c r="A4555" s="36">
        <v>99914553</v>
      </c>
      <c r="B4555" s="17" t="s">
        <v>32</v>
      </c>
      <c r="C4555" t="s">
        <v>111</v>
      </c>
      <c r="D4555" t="s">
        <v>112</v>
      </c>
      <c r="G4555" s="17" t="s">
        <v>48</v>
      </c>
      <c r="H4555" s="17">
        <v>11</v>
      </c>
      <c r="K4555" t="s">
        <v>1221</v>
      </c>
      <c r="L4555" t="s">
        <v>1222</v>
      </c>
      <c r="M4555" t="s">
        <v>1130</v>
      </c>
      <c r="N4555">
        <v>21</v>
      </c>
      <c r="O4555" t="s">
        <v>40</v>
      </c>
      <c r="P4555" t="s">
        <v>40</v>
      </c>
      <c r="Q4555" t="s">
        <v>40</v>
      </c>
      <c r="R4555" t="s">
        <v>40</v>
      </c>
      <c r="S4555" t="s">
        <v>40</v>
      </c>
      <c r="V4555" t="s">
        <v>41</v>
      </c>
      <c r="W4555" t="s">
        <v>75</v>
      </c>
      <c r="X4555" t="str">
        <f>"7351000"</f>
        <v>7351000</v>
      </c>
      <c r="Y4555" t="s">
        <v>1223</v>
      </c>
      <c r="Z4555" t="s">
        <v>1221</v>
      </c>
      <c r="AA4555" t="s">
        <v>1222</v>
      </c>
      <c r="AB4555" t="s">
        <v>1130</v>
      </c>
      <c r="AC4555" t="s">
        <v>51</v>
      </c>
      <c r="AD4555" t="s">
        <v>45</v>
      </c>
      <c r="AE4555" s="1">
        <v>23664</v>
      </c>
      <c r="AF4555">
        <v>1</v>
      </c>
      <c r="AG4555" t="s">
        <v>1222</v>
      </c>
      <c r="AH4555" s="36">
        <f t="shared" si="71"/>
        <v>54.980555555555554</v>
      </c>
      <c r="AI4555" s="41" t="s">
        <v>1781</v>
      </c>
    </row>
    <row r="4556" spans="1:35" x14ac:dyDescent="0.25">
      <c r="A4556" s="36">
        <v>99914554</v>
      </c>
      <c r="B4556" s="17" t="s">
        <v>56</v>
      </c>
      <c r="C4556" t="s">
        <v>46</v>
      </c>
      <c r="D4556" t="s">
        <v>47</v>
      </c>
      <c r="G4556" s="17" t="s">
        <v>48</v>
      </c>
      <c r="H4556" s="17">
        <v>1</v>
      </c>
      <c r="K4556" t="s">
        <v>300</v>
      </c>
      <c r="L4556" t="s">
        <v>301</v>
      </c>
      <c r="M4556" t="s">
        <v>131</v>
      </c>
      <c r="N4556">
        <v>20</v>
      </c>
      <c r="O4556" t="s">
        <v>40</v>
      </c>
      <c r="P4556" t="s">
        <v>40</v>
      </c>
      <c r="Q4556" t="s">
        <v>40</v>
      </c>
      <c r="R4556" t="s">
        <v>40</v>
      </c>
      <c r="S4556" t="s">
        <v>40</v>
      </c>
      <c r="V4556" t="s">
        <v>41</v>
      </c>
      <c r="W4556" t="s">
        <v>42</v>
      </c>
      <c r="X4556" t="str">
        <f>"0580176"</f>
        <v>0580176</v>
      </c>
      <c r="Y4556" t="s">
        <v>305</v>
      </c>
      <c r="Z4556" t="s">
        <v>300</v>
      </c>
      <c r="AA4556" t="s">
        <v>301</v>
      </c>
      <c r="AB4556" t="s">
        <v>131</v>
      </c>
      <c r="AC4556" t="s">
        <v>51</v>
      </c>
      <c r="AD4556" t="s">
        <v>45</v>
      </c>
      <c r="AE4556" s="1">
        <v>23662</v>
      </c>
      <c r="AF4556">
        <v>2</v>
      </c>
      <c r="AG4556" t="s">
        <v>301</v>
      </c>
      <c r="AH4556" s="36">
        <f t="shared" si="71"/>
        <v>54.986111111111114</v>
      </c>
      <c r="AI4556" s="41" t="s">
        <v>1781</v>
      </c>
    </row>
    <row r="4557" spans="1:35" x14ac:dyDescent="0.25">
      <c r="A4557" s="36">
        <v>99914555</v>
      </c>
      <c r="B4557" s="17" t="s">
        <v>32</v>
      </c>
      <c r="C4557" t="s">
        <v>79</v>
      </c>
      <c r="D4557" t="s">
        <v>80</v>
      </c>
      <c r="G4557" s="17" t="s">
        <v>35</v>
      </c>
      <c r="H4557" s="17">
        <v>1</v>
      </c>
      <c r="K4557" t="s">
        <v>877</v>
      </c>
      <c r="L4557" t="s">
        <v>878</v>
      </c>
      <c r="M4557" t="s">
        <v>131</v>
      </c>
      <c r="N4557">
        <v>22</v>
      </c>
      <c r="O4557" t="s">
        <v>40</v>
      </c>
      <c r="P4557" t="s">
        <v>40</v>
      </c>
      <c r="Q4557" t="s">
        <v>40</v>
      </c>
      <c r="S4557" t="s">
        <v>40</v>
      </c>
      <c r="V4557" t="s">
        <v>41</v>
      </c>
      <c r="W4557" t="s">
        <v>75</v>
      </c>
      <c r="X4557" t="str">
        <f>"7700025"</f>
        <v>7700025</v>
      </c>
      <c r="Y4557" t="s">
        <v>880</v>
      </c>
      <c r="Z4557" t="s">
        <v>877</v>
      </c>
      <c r="AA4557" t="s">
        <v>878</v>
      </c>
      <c r="AB4557" t="s">
        <v>131</v>
      </c>
      <c r="AC4557" t="s">
        <v>51</v>
      </c>
      <c r="AD4557" t="s">
        <v>45</v>
      </c>
      <c r="AE4557" s="1">
        <v>23658</v>
      </c>
      <c r="AF4557">
        <v>1</v>
      </c>
      <c r="AG4557" t="s">
        <v>878</v>
      </c>
      <c r="AH4557" s="36">
        <f t="shared" si="71"/>
        <v>54.99722222222222</v>
      </c>
      <c r="AI4557" s="41" t="s">
        <v>1781</v>
      </c>
    </row>
    <row r="4558" spans="1:35" x14ac:dyDescent="0.25">
      <c r="A4558" s="36">
        <v>99914556</v>
      </c>
      <c r="B4558" s="17" t="s">
        <v>32</v>
      </c>
      <c r="C4558" t="s">
        <v>79</v>
      </c>
      <c r="D4558" t="s">
        <v>80</v>
      </c>
      <c r="G4558" s="17" t="s">
        <v>48</v>
      </c>
      <c r="H4558" s="17">
        <v>1</v>
      </c>
      <c r="K4558" t="s">
        <v>1198</v>
      </c>
      <c r="L4558" t="s">
        <v>1199</v>
      </c>
      <c r="M4558" t="s">
        <v>1130</v>
      </c>
      <c r="N4558">
        <v>9</v>
      </c>
      <c r="O4558" t="s">
        <v>40</v>
      </c>
      <c r="P4558" t="s">
        <v>40</v>
      </c>
      <c r="Q4558" t="s">
        <v>40</v>
      </c>
      <c r="R4558" t="s">
        <v>40</v>
      </c>
      <c r="S4558" t="s">
        <v>40</v>
      </c>
      <c r="V4558" t="s">
        <v>41</v>
      </c>
      <c r="W4558" t="s">
        <v>75</v>
      </c>
      <c r="X4558" t="str">
        <f>"7311006"</f>
        <v>7311006</v>
      </c>
      <c r="Y4558" t="s">
        <v>1200</v>
      </c>
      <c r="Z4558" t="s">
        <v>1198</v>
      </c>
      <c r="AA4558" t="s">
        <v>1199</v>
      </c>
      <c r="AB4558" t="s">
        <v>1130</v>
      </c>
      <c r="AC4558" t="s">
        <v>51</v>
      </c>
      <c r="AD4558" t="s">
        <v>45</v>
      </c>
      <c r="AE4558" s="1">
        <v>23652</v>
      </c>
      <c r="AF4558">
        <v>1</v>
      </c>
      <c r="AG4558" t="s">
        <v>1199</v>
      </c>
      <c r="AH4558" s="36">
        <f t="shared" si="71"/>
        <v>55.013888888888886</v>
      </c>
      <c r="AI4558" s="41" t="s">
        <v>1781</v>
      </c>
    </row>
    <row r="4559" spans="1:35" x14ac:dyDescent="0.25">
      <c r="A4559" s="36">
        <v>99914557</v>
      </c>
      <c r="B4559" s="17" t="s">
        <v>56</v>
      </c>
      <c r="C4559" t="s">
        <v>64</v>
      </c>
      <c r="D4559" t="s">
        <v>65</v>
      </c>
      <c r="G4559" s="17" t="s">
        <v>48</v>
      </c>
      <c r="H4559" s="17">
        <v>1</v>
      </c>
      <c r="K4559" t="s">
        <v>345</v>
      </c>
      <c r="L4559" t="s">
        <v>346</v>
      </c>
      <c r="M4559" t="s">
        <v>131</v>
      </c>
      <c r="N4559">
        <v>18</v>
      </c>
      <c r="O4559" t="s">
        <v>40</v>
      </c>
      <c r="P4559" t="s">
        <v>40</v>
      </c>
      <c r="Q4559" t="s">
        <v>40</v>
      </c>
      <c r="R4559" t="s">
        <v>40</v>
      </c>
      <c r="S4559" t="s">
        <v>40</v>
      </c>
      <c r="V4559" t="s">
        <v>41</v>
      </c>
      <c r="W4559" t="s">
        <v>49</v>
      </c>
      <c r="X4559" t="str">
        <f>"0561021"</f>
        <v>0561021</v>
      </c>
      <c r="Y4559" t="s">
        <v>352</v>
      </c>
      <c r="Z4559" t="s">
        <v>345</v>
      </c>
      <c r="AA4559" t="s">
        <v>346</v>
      </c>
      <c r="AB4559" t="s">
        <v>131</v>
      </c>
      <c r="AC4559" t="s">
        <v>51</v>
      </c>
      <c r="AD4559" t="s">
        <v>45</v>
      </c>
      <c r="AE4559" s="1">
        <v>23650</v>
      </c>
      <c r="AF4559">
        <v>2</v>
      </c>
      <c r="AG4559" t="s">
        <v>346</v>
      </c>
      <c r="AH4559" s="36">
        <f t="shared" si="71"/>
        <v>55.019444444444446</v>
      </c>
      <c r="AI4559" s="41" t="s">
        <v>1781</v>
      </c>
    </row>
    <row r="4560" spans="1:35" x14ac:dyDescent="0.25">
      <c r="A4560" s="36">
        <v>99914558</v>
      </c>
      <c r="B4560" s="17" t="s">
        <v>32</v>
      </c>
      <c r="C4560" t="s">
        <v>71</v>
      </c>
      <c r="D4560" t="s">
        <v>72</v>
      </c>
      <c r="G4560" s="17" t="s">
        <v>48</v>
      </c>
      <c r="H4560" s="17">
        <v>1</v>
      </c>
      <c r="K4560" t="s">
        <v>223</v>
      </c>
      <c r="L4560" t="s">
        <v>224</v>
      </c>
      <c r="M4560" t="s">
        <v>131</v>
      </c>
      <c r="N4560">
        <v>20</v>
      </c>
      <c r="O4560" t="s">
        <v>40</v>
      </c>
      <c r="P4560" t="s">
        <v>40</v>
      </c>
      <c r="Q4560" t="s">
        <v>40</v>
      </c>
      <c r="R4560" t="s">
        <v>40</v>
      </c>
      <c r="S4560" t="s">
        <v>40</v>
      </c>
      <c r="V4560" t="s">
        <v>41</v>
      </c>
      <c r="W4560" t="s">
        <v>49</v>
      </c>
      <c r="X4560" t="str">
        <f>"0581207"</f>
        <v>0581207</v>
      </c>
      <c r="Y4560" t="s">
        <v>233</v>
      </c>
      <c r="Z4560" t="s">
        <v>223</v>
      </c>
      <c r="AA4560" t="s">
        <v>224</v>
      </c>
      <c r="AB4560" t="s">
        <v>131</v>
      </c>
      <c r="AC4560" t="s">
        <v>51</v>
      </c>
      <c r="AD4560" t="s">
        <v>45</v>
      </c>
      <c r="AE4560" s="1">
        <v>23649</v>
      </c>
      <c r="AF4560">
        <v>2</v>
      </c>
      <c r="AG4560" t="s">
        <v>224</v>
      </c>
      <c r="AH4560" s="36">
        <f t="shared" si="71"/>
        <v>55.022222222222226</v>
      </c>
      <c r="AI4560" s="41" t="s">
        <v>1781</v>
      </c>
    </row>
    <row r="4561" spans="1:35" x14ac:dyDescent="0.25">
      <c r="A4561" s="36">
        <v>99914559</v>
      </c>
      <c r="B4561" s="17" t="s">
        <v>56</v>
      </c>
      <c r="C4561" t="s">
        <v>52</v>
      </c>
      <c r="D4561" t="s">
        <v>53</v>
      </c>
      <c r="G4561" s="17" t="s">
        <v>48</v>
      </c>
      <c r="H4561" s="17">
        <v>1</v>
      </c>
      <c r="K4561" t="s">
        <v>223</v>
      </c>
      <c r="L4561" t="s">
        <v>224</v>
      </c>
      <c r="M4561" t="s">
        <v>131</v>
      </c>
      <c r="N4561">
        <v>18</v>
      </c>
      <c r="O4561" t="s">
        <v>40</v>
      </c>
      <c r="P4561" t="s">
        <v>40</v>
      </c>
      <c r="Q4561" t="s">
        <v>40</v>
      </c>
      <c r="R4561" t="s">
        <v>40</v>
      </c>
      <c r="S4561" t="s">
        <v>40</v>
      </c>
      <c r="V4561" t="s">
        <v>41</v>
      </c>
      <c r="W4561" t="s">
        <v>42</v>
      </c>
      <c r="X4561" t="str">
        <f>"0590902"</f>
        <v>0590902</v>
      </c>
      <c r="Y4561" t="s">
        <v>241</v>
      </c>
      <c r="Z4561" t="s">
        <v>223</v>
      </c>
      <c r="AA4561" t="s">
        <v>224</v>
      </c>
      <c r="AB4561" t="s">
        <v>131</v>
      </c>
      <c r="AC4561" t="s">
        <v>51</v>
      </c>
      <c r="AD4561" t="s">
        <v>45</v>
      </c>
      <c r="AE4561" s="1">
        <v>23648</v>
      </c>
      <c r="AF4561">
        <v>2</v>
      </c>
      <c r="AG4561" t="s">
        <v>224</v>
      </c>
      <c r="AH4561" s="36">
        <f t="shared" si="71"/>
        <v>55.024999999999999</v>
      </c>
      <c r="AI4561" s="41" t="s">
        <v>1781</v>
      </c>
    </row>
    <row r="4562" spans="1:35" x14ac:dyDescent="0.25">
      <c r="A4562" s="36">
        <v>99914560</v>
      </c>
      <c r="B4562" s="17" t="s">
        <v>32</v>
      </c>
      <c r="C4562" t="s">
        <v>64</v>
      </c>
      <c r="D4562" t="s">
        <v>65</v>
      </c>
      <c r="G4562" s="17" t="s">
        <v>48</v>
      </c>
      <c r="H4562" s="17">
        <v>1</v>
      </c>
      <c r="K4562" t="s">
        <v>300</v>
      </c>
      <c r="L4562" t="s">
        <v>301</v>
      </c>
      <c r="M4562" t="s">
        <v>131</v>
      </c>
      <c r="N4562">
        <v>15</v>
      </c>
      <c r="O4562" t="s">
        <v>40</v>
      </c>
      <c r="P4562" t="s">
        <v>40</v>
      </c>
      <c r="Q4562" t="s">
        <v>40</v>
      </c>
      <c r="R4562" t="s">
        <v>40</v>
      </c>
      <c r="S4562" t="s">
        <v>40</v>
      </c>
      <c r="V4562" t="s">
        <v>41</v>
      </c>
      <c r="W4562" t="s">
        <v>49</v>
      </c>
      <c r="X4562" t="str">
        <f>"0560020"</f>
        <v>0560020</v>
      </c>
      <c r="Y4562" t="s">
        <v>302</v>
      </c>
      <c r="Z4562" t="s">
        <v>300</v>
      </c>
      <c r="AA4562" t="s">
        <v>301</v>
      </c>
      <c r="AB4562" t="s">
        <v>131</v>
      </c>
      <c r="AC4562" t="s">
        <v>51</v>
      </c>
      <c r="AD4562" t="s">
        <v>45</v>
      </c>
      <c r="AE4562" s="1">
        <v>23648</v>
      </c>
      <c r="AF4562">
        <v>2</v>
      </c>
      <c r="AG4562" t="s">
        <v>301</v>
      </c>
      <c r="AH4562" s="36">
        <f t="shared" si="71"/>
        <v>55.024999999999999</v>
      </c>
      <c r="AI4562" s="41" t="s">
        <v>1781</v>
      </c>
    </row>
    <row r="4563" spans="1:35" x14ac:dyDescent="0.25">
      <c r="A4563" s="36">
        <v>99914561</v>
      </c>
      <c r="B4563" s="17" t="s">
        <v>56</v>
      </c>
      <c r="C4563" t="s">
        <v>68</v>
      </c>
      <c r="D4563" t="s">
        <v>69</v>
      </c>
      <c r="G4563" s="17" t="s">
        <v>35</v>
      </c>
      <c r="H4563" s="17">
        <v>1</v>
      </c>
      <c r="I4563">
        <v>0</v>
      </c>
      <c r="J4563" s="1">
        <v>43344</v>
      </c>
      <c r="K4563" t="s">
        <v>223</v>
      </c>
      <c r="L4563" t="s">
        <v>224</v>
      </c>
      <c r="M4563" t="s">
        <v>131</v>
      </c>
      <c r="N4563">
        <v>20</v>
      </c>
      <c r="O4563" t="s">
        <v>40</v>
      </c>
      <c r="S4563" t="s">
        <v>40</v>
      </c>
      <c r="U4563" s="1">
        <v>43344</v>
      </c>
      <c r="V4563" t="s">
        <v>41</v>
      </c>
      <c r="W4563" t="s">
        <v>42</v>
      </c>
      <c r="X4563" t="str">
        <f>"0580206"</f>
        <v>0580206</v>
      </c>
      <c r="Y4563" t="s">
        <v>237</v>
      </c>
      <c r="Z4563" t="s">
        <v>223</v>
      </c>
      <c r="AA4563" t="s">
        <v>224</v>
      </c>
      <c r="AB4563" t="s">
        <v>131</v>
      </c>
      <c r="AC4563" t="s">
        <v>51</v>
      </c>
      <c r="AD4563" t="s">
        <v>45</v>
      </c>
      <c r="AE4563" s="1">
        <v>23646</v>
      </c>
      <c r="AF4563">
        <v>2</v>
      </c>
      <c r="AG4563" t="s">
        <v>224</v>
      </c>
      <c r="AH4563" s="36">
        <f t="shared" si="71"/>
        <v>55.030555555555559</v>
      </c>
      <c r="AI4563" s="41" t="s">
        <v>1781</v>
      </c>
    </row>
    <row r="4564" spans="1:35" x14ac:dyDescent="0.25">
      <c r="A4564" s="36">
        <v>99914562</v>
      </c>
      <c r="B4564" s="17" t="s">
        <v>56</v>
      </c>
      <c r="C4564" t="s">
        <v>46</v>
      </c>
      <c r="D4564" t="s">
        <v>47</v>
      </c>
      <c r="G4564" s="17" t="s">
        <v>48</v>
      </c>
      <c r="H4564" s="17">
        <v>1</v>
      </c>
      <c r="K4564" t="s">
        <v>223</v>
      </c>
      <c r="L4564" t="s">
        <v>224</v>
      </c>
      <c r="M4564" t="s">
        <v>131</v>
      </c>
      <c r="N4564">
        <v>18</v>
      </c>
      <c r="O4564" t="s">
        <v>40</v>
      </c>
      <c r="P4564" t="s">
        <v>40</v>
      </c>
      <c r="Q4564" t="s">
        <v>40</v>
      </c>
      <c r="S4564" t="s">
        <v>40</v>
      </c>
      <c r="V4564" t="s">
        <v>41</v>
      </c>
      <c r="W4564" t="s">
        <v>42</v>
      </c>
      <c r="X4564" t="str">
        <f>"0580207"</f>
        <v>0580207</v>
      </c>
      <c r="Y4564" t="s">
        <v>229</v>
      </c>
      <c r="Z4564" t="s">
        <v>223</v>
      </c>
      <c r="AA4564" t="s">
        <v>224</v>
      </c>
      <c r="AB4564" t="s">
        <v>131</v>
      </c>
      <c r="AC4564" t="s">
        <v>51</v>
      </c>
      <c r="AD4564" t="s">
        <v>45</v>
      </c>
      <c r="AE4564" s="1">
        <v>23642</v>
      </c>
      <c r="AF4564">
        <v>2</v>
      </c>
      <c r="AG4564" t="s">
        <v>224</v>
      </c>
      <c r="AH4564" s="36">
        <f t="shared" si="71"/>
        <v>55.041666666666664</v>
      </c>
      <c r="AI4564" s="41" t="s">
        <v>1781</v>
      </c>
    </row>
    <row r="4565" spans="1:35" x14ac:dyDescent="0.25">
      <c r="A4565" s="36">
        <v>99914563</v>
      </c>
      <c r="B4565" s="17" t="s">
        <v>32</v>
      </c>
      <c r="C4565" t="s">
        <v>46</v>
      </c>
      <c r="D4565" t="s">
        <v>47</v>
      </c>
      <c r="G4565" s="17" t="s">
        <v>48</v>
      </c>
      <c r="H4565" s="17">
        <v>1</v>
      </c>
      <c r="K4565" t="s">
        <v>129</v>
      </c>
      <c r="L4565" t="s">
        <v>130</v>
      </c>
      <c r="M4565" t="s">
        <v>131</v>
      </c>
      <c r="N4565">
        <v>18</v>
      </c>
      <c r="O4565" t="s">
        <v>40</v>
      </c>
      <c r="P4565" t="s">
        <v>40</v>
      </c>
      <c r="Q4565" t="s">
        <v>40</v>
      </c>
      <c r="R4565" t="s">
        <v>40</v>
      </c>
      <c r="S4565" t="s">
        <v>40</v>
      </c>
      <c r="V4565" t="s">
        <v>41</v>
      </c>
      <c r="W4565" t="s">
        <v>42</v>
      </c>
      <c r="X4565" t="str">
        <f>"0590905"</f>
        <v>0590905</v>
      </c>
      <c r="Y4565" t="s">
        <v>133</v>
      </c>
      <c r="Z4565" t="s">
        <v>129</v>
      </c>
      <c r="AA4565" t="s">
        <v>130</v>
      </c>
      <c r="AB4565" t="s">
        <v>131</v>
      </c>
      <c r="AC4565" t="s">
        <v>51</v>
      </c>
      <c r="AD4565" t="s">
        <v>45</v>
      </c>
      <c r="AE4565" s="1">
        <v>23641</v>
      </c>
      <c r="AF4565">
        <v>2</v>
      </c>
      <c r="AG4565" t="s">
        <v>130</v>
      </c>
      <c r="AH4565" s="36">
        <f t="shared" si="71"/>
        <v>55.044444444444444</v>
      </c>
      <c r="AI4565" s="41" t="s">
        <v>1781</v>
      </c>
    </row>
    <row r="4566" spans="1:35" x14ac:dyDescent="0.25">
      <c r="A4566" s="36">
        <v>99914564</v>
      </c>
      <c r="B4566" s="17" t="s">
        <v>32</v>
      </c>
      <c r="C4566" t="s">
        <v>46</v>
      </c>
      <c r="D4566" t="s">
        <v>47</v>
      </c>
      <c r="G4566" s="17" t="s">
        <v>48</v>
      </c>
      <c r="H4566" s="17">
        <v>1</v>
      </c>
      <c r="K4566" t="s">
        <v>223</v>
      </c>
      <c r="L4566" t="s">
        <v>224</v>
      </c>
      <c r="M4566" t="s">
        <v>131</v>
      </c>
      <c r="N4566">
        <v>18</v>
      </c>
      <c r="O4566" t="s">
        <v>40</v>
      </c>
      <c r="P4566" t="s">
        <v>40</v>
      </c>
      <c r="Q4566" t="s">
        <v>40</v>
      </c>
      <c r="S4566" t="s">
        <v>40</v>
      </c>
      <c r="V4566" t="s">
        <v>41</v>
      </c>
      <c r="W4566" t="s">
        <v>49</v>
      </c>
      <c r="X4566" t="str">
        <f>"0581202"</f>
        <v>0581202</v>
      </c>
      <c r="Y4566" t="s">
        <v>248</v>
      </c>
      <c r="Z4566" t="s">
        <v>223</v>
      </c>
      <c r="AA4566" t="s">
        <v>224</v>
      </c>
      <c r="AB4566" t="s">
        <v>131</v>
      </c>
      <c r="AC4566" t="s">
        <v>165</v>
      </c>
      <c r="AD4566" t="s">
        <v>45</v>
      </c>
      <c r="AE4566" s="1">
        <v>23641</v>
      </c>
      <c r="AF4566">
        <v>2</v>
      </c>
      <c r="AG4566" t="s">
        <v>224</v>
      </c>
      <c r="AH4566" s="36">
        <f t="shared" si="71"/>
        <v>55.044444444444444</v>
      </c>
      <c r="AI4566" s="41" t="s">
        <v>1781</v>
      </c>
    </row>
    <row r="4567" spans="1:35" x14ac:dyDescent="0.25">
      <c r="A4567" s="36">
        <v>99914565</v>
      </c>
      <c r="B4567" s="17" t="s">
        <v>56</v>
      </c>
      <c r="C4567" t="s">
        <v>52</v>
      </c>
      <c r="D4567" t="s">
        <v>53</v>
      </c>
      <c r="G4567" s="17" t="s">
        <v>48</v>
      </c>
      <c r="H4567" s="17">
        <v>1</v>
      </c>
      <c r="K4567" t="s">
        <v>345</v>
      </c>
      <c r="L4567" t="s">
        <v>346</v>
      </c>
      <c r="M4567" t="s">
        <v>131</v>
      </c>
      <c r="N4567">
        <v>18</v>
      </c>
      <c r="O4567" t="s">
        <v>40</v>
      </c>
      <c r="P4567" t="s">
        <v>40</v>
      </c>
      <c r="Q4567" t="s">
        <v>40</v>
      </c>
      <c r="R4567" t="s">
        <v>40</v>
      </c>
      <c r="S4567" t="s">
        <v>40</v>
      </c>
      <c r="V4567" t="s">
        <v>41</v>
      </c>
      <c r="W4567" t="s">
        <v>49</v>
      </c>
      <c r="X4567" t="str">
        <f>"0561021"</f>
        <v>0561021</v>
      </c>
      <c r="Y4567" t="s">
        <v>352</v>
      </c>
      <c r="Z4567" t="s">
        <v>345</v>
      </c>
      <c r="AA4567" t="s">
        <v>346</v>
      </c>
      <c r="AB4567" t="s">
        <v>131</v>
      </c>
      <c r="AC4567" t="s">
        <v>51</v>
      </c>
      <c r="AD4567" t="s">
        <v>45</v>
      </c>
      <c r="AE4567" s="1">
        <v>23636</v>
      </c>
      <c r="AF4567">
        <v>2</v>
      </c>
      <c r="AG4567" t="s">
        <v>346</v>
      </c>
      <c r="AH4567" s="36">
        <f t="shared" si="71"/>
        <v>55.05833333333333</v>
      </c>
      <c r="AI4567" s="41" t="s">
        <v>1781</v>
      </c>
    </row>
    <row r="4568" spans="1:35" x14ac:dyDescent="0.25">
      <c r="A4568" s="36">
        <v>99914566</v>
      </c>
      <c r="B4568" s="17" t="s">
        <v>32</v>
      </c>
      <c r="C4568" t="s">
        <v>61</v>
      </c>
      <c r="D4568" t="s">
        <v>62</v>
      </c>
      <c r="E4568" t="s">
        <v>52</v>
      </c>
      <c r="F4568" t="s">
        <v>53</v>
      </c>
      <c r="G4568" s="17" t="s">
        <v>48</v>
      </c>
      <c r="H4568" s="17">
        <v>1</v>
      </c>
      <c r="K4568" t="s">
        <v>1268</v>
      </c>
      <c r="L4568" t="s">
        <v>1269</v>
      </c>
      <c r="M4568" t="s">
        <v>1270</v>
      </c>
      <c r="N4568">
        <v>14</v>
      </c>
      <c r="O4568" t="s">
        <v>40</v>
      </c>
      <c r="P4568" t="s">
        <v>40</v>
      </c>
      <c r="Q4568" t="s">
        <v>40</v>
      </c>
      <c r="R4568" t="s">
        <v>40</v>
      </c>
      <c r="S4568" t="s">
        <v>40</v>
      </c>
      <c r="V4568" t="s">
        <v>41</v>
      </c>
      <c r="W4568" t="s">
        <v>42</v>
      </c>
      <c r="X4568" t="str">
        <f>"1990910"</f>
        <v>1990910</v>
      </c>
      <c r="Y4568" t="s">
        <v>1281</v>
      </c>
      <c r="Z4568" t="s">
        <v>1268</v>
      </c>
      <c r="AA4568" t="s">
        <v>1269</v>
      </c>
      <c r="AB4568" t="s">
        <v>1270</v>
      </c>
      <c r="AC4568" t="s">
        <v>165</v>
      </c>
      <c r="AD4568" t="s">
        <v>45</v>
      </c>
      <c r="AE4568" s="1">
        <v>23634</v>
      </c>
      <c r="AF4568">
        <v>2</v>
      </c>
      <c r="AG4568" t="s">
        <v>1269</v>
      </c>
      <c r="AH4568" s="36">
        <f t="shared" si="71"/>
        <v>55.06388888888889</v>
      </c>
      <c r="AI4568" s="41" t="s">
        <v>1781</v>
      </c>
    </row>
    <row r="4569" spans="1:35" x14ac:dyDescent="0.25">
      <c r="A4569" s="36">
        <v>99914567</v>
      </c>
      <c r="B4569" s="17" t="s">
        <v>32</v>
      </c>
      <c r="C4569" t="s">
        <v>85</v>
      </c>
      <c r="D4569" t="s">
        <v>86</v>
      </c>
      <c r="G4569" s="17" t="s">
        <v>48</v>
      </c>
      <c r="H4569" s="17">
        <v>1</v>
      </c>
      <c r="K4569" t="s">
        <v>223</v>
      </c>
      <c r="L4569" t="s">
        <v>224</v>
      </c>
      <c r="M4569" t="s">
        <v>131</v>
      </c>
      <c r="N4569">
        <v>20</v>
      </c>
      <c r="O4569" t="s">
        <v>40</v>
      </c>
      <c r="P4569" t="s">
        <v>40</v>
      </c>
      <c r="Q4569" t="s">
        <v>40</v>
      </c>
      <c r="R4569" t="s">
        <v>40</v>
      </c>
      <c r="S4569" t="s">
        <v>40</v>
      </c>
      <c r="V4569" t="s">
        <v>41</v>
      </c>
      <c r="W4569" t="s">
        <v>42</v>
      </c>
      <c r="X4569" t="str">
        <f>"0580395"</f>
        <v>0580395</v>
      </c>
      <c r="Y4569" t="s">
        <v>265</v>
      </c>
      <c r="Z4569" t="s">
        <v>223</v>
      </c>
      <c r="AA4569" t="s">
        <v>224</v>
      </c>
      <c r="AB4569" t="s">
        <v>131</v>
      </c>
      <c r="AC4569" t="s">
        <v>51</v>
      </c>
      <c r="AD4569" t="s">
        <v>45</v>
      </c>
      <c r="AE4569" s="1">
        <v>23629</v>
      </c>
      <c r="AF4569">
        <v>2</v>
      </c>
      <c r="AG4569" t="s">
        <v>224</v>
      </c>
      <c r="AH4569" s="36">
        <f t="shared" si="71"/>
        <v>55.077777777777776</v>
      </c>
      <c r="AI4569" s="41" t="s">
        <v>1781</v>
      </c>
    </row>
    <row r="4570" spans="1:35" x14ac:dyDescent="0.25">
      <c r="A4570" s="36">
        <v>99914568</v>
      </c>
      <c r="B4570" s="17" t="s">
        <v>56</v>
      </c>
      <c r="C4570" t="s">
        <v>68</v>
      </c>
      <c r="D4570" t="s">
        <v>69</v>
      </c>
      <c r="G4570" s="17" t="s">
        <v>48</v>
      </c>
      <c r="H4570" s="17">
        <v>3</v>
      </c>
      <c r="K4570" t="s">
        <v>129</v>
      </c>
      <c r="L4570" t="s">
        <v>130</v>
      </c>
      <c r="M4570" t="s">
        <v>131</v>
      </c>
      <c r="N4570">
        <v>20</v>
      </c>
      <c r="O4570" t="s">
        <v>40</v>
      </c>
      <c r="P4570" t="s">
        <v>40</v>
      </c>
      <c r="Q4570" t="s">
        <v>40</v>
      </c>
      <c r="R4570" t="s">
        <v>40</v>
      </c>
      <c r="S4570" t="s">
        <v>40</v>
      </c>
      <c r="V4570" t="s">
        <v>41</v>
      </c>
      <c r="W4570" t="s">
        <v>42</v>
      </c>
      <c r="X4570" t="str">
        <f>"0590905"</f>
        <v>0590905</v>
      </c>
      <c r="Y4570" t="s">
        <v>133</v>
      </c>
      <c r="Z4570" t="s">
        <v>129</v>
      </c>
      <c r="AA4570" t="s">
        <v>130</v>
      </c>
      <c r="AB4570" t="s">
        <v>131</v>
      </c>
      <c r="AC4570" t="s">
        <v>51</v>
      </c>
      <c r="AD4570" t="s">
        <v>45</v>
      </c>
      <c r="AE4570" s="1">
        <v>23625</v>
      </c>
      <c r="AF4570">
        <v>2</v>
      </c>
      <c r="AG4570" t="s">
        <v>130</v>
      </c>
      <c r="AH4570" s="36">
        <f t="shared" si="71"/>
        <v>55.088888888888889</v>
      </c>
      <c r="AI4570" s="41" t="s">
        <v>1781</v>
      </c>
    </row>
    <row r="4571" spans="1:35" x14ac:dyDescent="0.25">
      <c r="A4571" s="36">
        <v>99914569</v>
      </c>
      <c r="B4571" s="17" t="s">
        <v>56</v>
      </c>
      <c r="C4571" t="s">
        <v>64</v>
      </c>
      <c r="D4571" t="s">
        <v>65</v>
      </c>
      <c r="G4571" s="17" t="s">
        <v>35</v>
      </c>
      <c r="H4571" s="17">
        <v>1</v>
      </c>
      <c r="K4571" t="s">
        <v>223</v>
      </c>
      <c r="L4571" t="s">
        <v>224</v>
      </c>
      <c r="M4571" t="s">
        <v>131</v>
      </c>
      <c r="N4571">
        <v>18</v>
      </c>
      <c r="O4571" t="s">
        <v>40</v>
      </c>
      <c r="P4571" t="s">
        <v>40</v>
      </c>
      <c r="Q4571" t="s">
        <v>40</v>
      </c>
      <c r="S4571" t="s">
        <v>40</v>
      </c>
      <c r="V4571" t="s">
        <v>41</v>
      </c>
      <c r="W4571" t="s">
        <v>42</v>
      </c>
      <c r="X4571" t="str">
        <f>"0590901"</f>
        <v>0590901</v>
      </c>
      <c r="Y4571" t="s">
        <v>242</v>
      </c>
      <c r="Z4571" t="s">
        <v>223</v>
      </c>
      <c r="AA4571" t="s">
        <v>224</v>
      </c>
      <c r="AB4571" t="s">
        <v>131</v>
      </c>
      <c r="AC4571" t="s">
        <v>51</v>
      </c>
      <c r="AD4571" t="s">
        <v>45</v>
      </c>
      <c r="AE4571" s="1">
        <v>23624</v>
      </c>
      <c r="AF4571">
        <v>2</v>
      </c>
      <c r="AG4571" t="s">
        <v>224</v>
      </c>
      <c r="AH4571" s="36">
        <f t="shared" si="71"/>
        <v>55.091666666666669</v>
      </c>
      <c r="AI4571" s="41" t="s">
        <v>1781</v>
      </c>
    </row>
    <row r="4572" spans="1:35" x14ac:dyDescent="0.25">
      <c r="A4572" s="36">
        <v>99914570</v>
      </c>
      <c r="B4572" s="17" t="s">
        <v>32</v>
      </c>
      <c r="C4572" t="s">
        <v>64</v>
      </c>
      <c r="D4572" t="s">
        <v>65</v>
      </c>
      <c r="G4572" s="17" t="s">
        <v>48</v>
      </c>
      <c r="H4572" s="17">
        <v>1</v>
      </c>
      <c r="K4572" t="s">
        <v>162</v>
      </c>
      <c r="L4572" t="s">
        <v>158</v>
      </c>
      <c r="M4572" t="s">
        <v>131</v>
      </c>
      <c r="N4572">
        <v>18</v>
      </c>
      <c r="O4572" t="s">
        <v>40</v>
      </c>
      <c r="P4572" t="s">
        <v>40</v>
      </c>
      <c r="Q4572" t="s">
        <v>40</v>
      </c>
      <c r="R4572" t="s">
        <v>40</v>
      </c>
      <c r="S4572" t="s">
        <v>40</v>
      </c>
      <c r="V4572" t="s">
        <v>41</v>
      </c>
      <c r="W4572" t="s">
        <v>42</v>
      </c>
      <c r="X4572" t="str">
        <f>"0580325"</f>
        <v>0580325</v>
      </c>
      <c r="Y4572" t="s">
        <v>170</v>
      </c>
      <c r="Z4572" t="s">
        <v>162</v>
      </c>
      <c r="AA4572" t="s">
        <v>158</v>
      </c>
      <c r="AB4572" t="s">
        <v>131</v>
      </c>
      <c r="AC4572" t="s">
        <v>165</v>
      </c>
      <c r="AD4572" t="s">
        <v>45</v>
      </c>
      <c r="AE4572" s="1">
        <v>23621</v>
      </c>
      <c r="AF4572">
        <v>2</v>
      </c>
      <c r="AG4572" t="s">
        <v>158</v>
      </c>
      <c r="AH4572" s="36">
        <f t="shared" si="71"/>
        <v>55.1</v>
      </c>
      <c r="AI4572" s="41" t="s">
        <v>1781</v>
      </c>
    </row>
    <row r="4573" spans="1:35" x14ac:dyDescent="0.25">
      <c r="A4573" s="36">
        <v>99914571</v>
      </c>
      <c r="B4573" s="17" t="s">
        <v>56</v>
      </c>
      <c r="C4573" t="s">
        <v>52</v>
      </c>
      <c r="D4573" t="s">
        <v>53</v>
      </c>
      <c r="G4573" s="17" t="s">
        <v>35</v>
      </c>
      <c r="H4573" s="17">
        <v>1</v>
      </c>
      <c r="K4573" t="s">
        <v>162</v>
      </c>
      <c r="L4573" t="s">
        <v>158</v>
      </c>
      <c r="M4573" t="s">
        <v>131</v>
      </c>
      <c r="N4573">
        <v>18</v>
      </c>
      <c r="O4573" t="s">
        <v>40</v>
      </c>
      <c r="P4573" t="s">
        <v>40</v>
      </c>
      <c r="Q4573" t="s">
        <v>40</v>
      </c>
      <c r="S4573" t="s">
        <v>40</v>
      </c>
      <c r="V4573" t="s">
        <v>41</v>
      </c>
      <c r="W4573" t="s">
        <v>42</v>
      </c>
      <c r="X4573" t="str">
        <f>"0580320"</f>
        <v>0580320</v>
      </c>
      <c r="Y4573" t="s">
        <v>164</v>
      </c>
      <c r="Z4573" t="s">
        <v>162</v>
      </c>
      <c r="AA4573" t="s">
        <v>158</v>
      </c>
      <c r="AB4573" t="s">
        <v>131</v>
      </c>
      <c r="AC4573" t="s">
        <v>165</v>
      </c>
      <c r="AD4573" t="s">
        <v>45</v>
      </c>
      <c r="AE4573" s="1">
        <v>23620</v>
      </c>
      <c r="AF4573">
        <v>2</v>
      </c>
      <c r="AG4573" t="s">
        <v>158</v>
      </c>
      <c r="AH4573" s="36">
        <f t="shared" si="71"/>
        <v>55.102777777777774</v>
      </c>
      <c r="AI4573" s="41" t="s">
        <v>1781</v>
      </c>
    </row>
    <row r="4574" spans="1:35" x14ac:dyDescent="0.25">
      <c r="A4574" s="36">
        <v>99914572</v>
      </c>
      <c r="B4574" s="17" t="s">
        <v>32</v>
      </c>
      <c r="C4574" t="s">
        <v>46</v>
      </c>
      <c r="D4574" t="s">
        <v>47</v>
      </c>
      <c r="G4574" s="17" t="s">
        <v>48</v>
      </c>
      <c r="H4574" s="17">
        <v>14</v>
      </c>
      <c r="I4574">
        <v>0</v>
      </c>
      <c r="J4574" s="1">
        <v>43344</v>
      </c>
      <c r="K4574" t="s">
        <v>223</v>
      </c>
      <c r="L4574" t="s">
        <v>224</v>
      </c>
      <c r="M4574" t="s">
        <v>131</v>
      </c>
      <c r="N4574">
        <v>4</v>
      </c>
      <c r="O4574" t="s">
        <v>40</v>
      </c>
      <c r="P4574" t="s">
        <v>40</v>
      </c>
      <c r="Q4574" t="s">
        <v>40</v>
      </c>
      <c r="R4574" t="s">
        <v>40</v>
      </c>
      <c r="S4574" t="s">
        <v>40</v>
      </c>
      <c r="U4574" s="1">
        <v>43344</v>
      </c>
      <c r="V4574" t="s">
        <v>41</v>
      </c>
      <c r="W4574" t="s">
        <v>42</v>
      </c>
      <c r="X4574" t="str">
        <f>"0580206"</f>
        <v>0580206</v>
      </c>
      <c r="Y4574" t="s">
        <v>237</v>
      </c>
      <c r="Z4574" t="s">
        <v>223</v>
      </c>
      <c r="AA4574" t="s">
        <v>224</v>
      </c>
      <c r="AB4574" t="s">
        <v>131</v>
      </c>
      <c r="AC4574" t="s">
        <v>51</v>
      </c>
      <c r="AD4574" t="s">
        <v>45</v>
      </c>
      <c r="AE4574" s="1">
        <v>23620</v>
      </c>
      <c r="AF4574">
        <v>2</v>
      </c>
      <c r="AG4574" t="s">
        <v>224</v>
      </c>
      <c r="AH4574" s="36">
        <f t="shared" si="71"/>
        <v>55.102777777777774</v>
      </c>
      <c r="AI4574" s="41" t="s">
        <v>1781</v>
      </c>
    </row>
    <row r="4575" spans="1:35" x14ac:dyDescent="0.25">
      <c r="A4575" s="36">
        <v>99914573</v>
      </c>
      <c r="B4575" s="17" t="s">
        <v>56</v>
      </c>
      <c r="C4575" t="s">
        <v>79</v>
      </c>
      <c r="D4575" t="s">
        <v>80</v>
      </c>
      <c r="G4575" s="17" t="s">
        <v>48</v>
      </c>
      <c r="H4575" s="17">
        <v>1</v>
      </c>
      <c r="K4575" t="s">
        <v>667</v>
      </c>
      <c r="L4575" t="s">
        <v>669</v>
      </c>
      <c r="M4575" t="s">
        <v>670</v>
      </c>
      <c r="N4575">
        <v>22</v>
      </c>
      <c r="O4575" t="s">
        <v>40</v>
      </c>
      <c r="P4575" t="s">
        <v>40</v>
      </c>
      <c r="Q4575" t="s">
        <v>40</v>
      </c>
      <c r="R4575" t="s">
        <v>40</v>
      </c>
      <c r="S4575" t="s">
        <v>40</v>
      </c>
      <c r="V4575" t="s">
        <v>41</v>
      </c>
      <c r="W4575" t="s">
        <v>75</v>
      </c>
      <c r="X4575" t="str">
        <f>"7501002"</f>
        <v>7501002</v>
      </c>
      <c r="Y4575" t="s">
        <v>1519</v>
      </c>
      <c r="Z4575" t="s">
        <v>667</v>
      </c>
      <c r="AA4575" t="s">
        <v>669</v>
      </c>
      <c r="AB4575" t="s">
        <v>670</v>
      </c>
      <c r="AC4575" t="s">
        <v>51</v>
      </c>
      <c r="AD4575" t="s">
        <v>45</v>
      </c>
      <c r="AE4575" s="1">
        <v>23616</v>
      </c>
      <c r="AF4575">
        <v>1</v>
      </c>
      <c r="AG4575" t="s">
        <v>669</v>
      </c>
      <c r="AH4575" s="36">
        <f t="shared" si="71"/>
        <v>55.113888888888887</v>
      </c>
      <c r="AI4575" s="41" t="s">
        <v>1781</v>
      </c>
    </row>
    <row r="4576" spans="1:35" x14ac:dyDescent="0.25">
      <c r="A4576" s="36">
        <v>99914574</v>
      </c>
      <c r="B4576" s="17" t="s">
        <v>32</v>
      </c>
      <c r="C4576" t="s">
        <v>139</v>
      </c>
      <c r="D4576" t="s">
        <v>140</v>
      </c>
      <c r="G4576" s="17" t="s">
        <v>48</v>
      </c>
      <c r="H4576" s="17">
        <v>1</v>
      </c>
      <c r="K4576" t="s">
        <v>162</v>
      </c>
      <c r="L4576" t="s">
        <v>158</v>
      </c>
      <c r="M4576" t="s">
        <v>131</v>
      </c>
      <c r="N4576">
        <v>18</v>
      </c>
      <c r="O4576" t="s">
        <v>40</v>
      </c>
      <c r="P4576" t="s">
        <v>40</v>
      </c>
      <c r="Q4576" t="s">
        <v>40</v>
      </c>
      <c r="R4576" t="s">
        <v>40</v>
      </c>
      <c r="S4576" t="s">
        <v>40</v>
      </c>
      <c r="V4576" t="s">
        <v>41</v>
      </c>
      <c r="W4576" t="s">
        <v>49</v>
      </c>
      <c r="X4576" t="str">
        <f>"0505050"</f>
        <v>0505050</v>
      </c>
      <c r="Y4576" t="s">
        <v>163</v>
      </c>
      <c r="Z4576" t="s">
        <v>162</v>
      </c>
      <c r="AA4576" t="s">
        <v>158</v>
      </c>
      <c r="AB4576" t="s">
        <v>131</v>
      </c>
      <c r="AC4576" t="s">
        <v>165</v>
      </c>
      <c r="AD4576" t="s">
        <v>45</v>
      </c>
      <c r="AE4576" s="1">
        <v>23614</v>
      </c>
      <c r="AF4576">
        <v>2</v>
      </c>
      <c r="AG4576" t="s">
        <v>158</v>
      </c>
      <c r="AH4576" s="36">
        <f t="shared" si="71"/>
        <v>55.119444444444447</v>
      </c>
      <c r="AI4576" s="41" t="s">
        <v>1781</v>
      </c>
    </row>
    <row r="4577" spans="1:35" x14ac:dyDescent="0.25">
      <c r="A4577" s="36">
        <v>99914575</v>
      </c>
      <c r="B4577" s="17" t="s">
        <v>32</v>
      </c>
      <c r="C4577" t="s">
        <v>33</v>
      </c>
      <c r="D4577" t="s">
        <v>34</v>
      </c>
      <c r="G4577" s="17" t="s">
        <v>48</v>
      </c>
      <c r="H4577" s="17">
        <v>1</v>
      </c>
      <c r="K4577" t="s">
        <v>162</v>
      </c>
      <c r="L4577" t="s">
        <v>158</v>
      </c>
      <c r="M4577" t="s">
        <v>131</v>
      </c>
      <c r="N4577">
        <v>19</v>
      </c>
      <c r="O4577" t="s">
        <v>40</v>
      </c>
      <c r="P4577" t="s">
        <v>40</v>
      </c>
      <c r="Q4577" t="s">
        <v>40</v>
      </c>
      <c r="S4577" t="s">
        <v>40</v>
      </c>
      <c r="V4577" t="s">
        <v>41</v>
      </c>
      <c r="W4577" t="s">
        <v>49</v>
      </c>
      <c r="X4577" t="str">
        <f>"0560027"</f>
        <v>0560027</v>
      </c>
      <c r="Y4577" t="s">
        <v>178</v>
      </c>
      <c r="Z4577" t="s">
        <v>162</v>
      </c>
      <c r="AA4577" t="s">
        <v>158</v>
      </c>
      <c r="AB4577" t="s">
        <v>131</v>
      </c>
      <c r="AC4577" t="s">
        <v>51</v>
      </c>
      <c r="AD4577" t="s">
        <v>45</v>
      </c>
      <c r="AE4577" s="1">
        <v>23612</v>
      </c>
      <c r="AF4577">
        <v>2</v>
      </c>
      <c r="AG4577" t="s">
        <v>158</v>
      </c>
      <c r="AH4577" s="36">
        <f t="shared" si="71"/>
        <v>55.125</v>
      </c>
      <c r="AI4577" s="41" t="s">
        <v>1781</v>
      </c>
    </row>
    <row r="4578" spans="1:35" x14ac:dyDescent="0.25">
      <c r="A4578" s="36">
        <v>99914576</v>
      </c>
      <c r="B4578" s="17" t="s">
        <v>56</v>
      </c>
      <c r="C4578" t="s">
        <v>79</v>
      </c>
      <c r="D4578" t="s">
        <v>80</v>
      </c>
      <c r="G4578" s="17" t="s">
        <v>35</v>
      </c>
      <c r="H4578" s="17">
        <v>1</v>
      </c>
      <c r="K4578" t="s">
        <v>947</v>
      </c>
      <c r="L4578" t="s">
        <v>948</v>
      </c>
      <c r="M4578" t="s">
        <v>938</v>
      </c>
      <c r="N4578">
        <v>20</v>
      </c>
      <c r="O4578" t="s">
        <v>40</v>
      </c>
      <c r="P4578" t="s">
        <v>40</v>
      </c>
      <c r="Q4578" t="s">
        <v>40</v>
      </c>
      <c r="R4578" t="s">
        <v>40</v>
      </c>
      <c r="S4578" t="s">
        <v>40</v>
      </c>
      <c r="V4578" t="s">
        <v>41</v>
      </c>
      <c r="W4578" t="s">
        <v>49</v>
      </c>
      <c r="X4578" t="str">
        <f>"0605000"</f>
        <v>0605000</v>
      </c>
      <c r="Y4578" t="s">
        <v>950</v>
      </c>
      <c r="Z4578" t="s">
        <v>947</v>
      </c>
      <c r="AA4578" t="s">
        <v>948</v>
      </c>
      <c r="AB4578" t="s">
        <v>938</v>
      </c>
      <c r="AC4578" t="s">
        <v>51</v>
      </c>
      <c r="AD4578" t="s">
        <v>45</v>
      </c>
      <c r="AE4578" s="1">
        <v>23612</v>
      </c>
      <c r="AF4578">
        <v>2</v>
      </c>
      <c r="AG4578" t="s">
        <v>948</v>
      </c>
      <c r="AH4578" s="36">
        <f t="shared" si="71"/>
        <v>55.125</v>
      </c>
      <c r="AI4578" s="41" t="s">
        <v>1781</v>
      </c>
    </row>
    <row r="4579" spans="1:35" x14ac:dyDescent="0.25">
      <c r="A4579" s="36">
        <v>99914577</v>
      </c>
      <c r="B4579" s="17" t="s">
        <v>32</v>
      </c>
      <c r="C4579" t="s">
        <v>68</v>
      </c>
      <c r="D4579" t="s">
        <v>69</v>
      </c>
      <c r="G4579" s="17" t="s">
        <v>48</v>
      </c>
      <c r="H4579" s="17">
        <v>1</v>
      </c>
      <c r="K4579" t="s">
        <v>380</v>
      </c>
      <c r="L4579" t="s">
        <v>381</v>
      </c>
      <c r="M4579" t="s">
        <v>131</v>
      </c>
      <c r="N4579">
        <v>21</v>
      </c>
      <c r="O4579" t="s">
        <v>40</v>
      </c>
      <c r="P4579" t="s">
        <v>40</v>
      </c>
      <c r="Q4579" t="s">
        <v>40</v>
      </c>
      <c r="R4579" t="s">
        <v>40</v>
      </c>
      <c r="S4579" t="s">
        <v>40</v>
      </c>
      <c r="V4579" t="s">
        <v>41</v>
      </c>
      <c r="W4579" t="s">
        <v>42</v>
      </c>
      <c r="X4579" t="str">
        <f>"0561016"</f>
        <v>0561016</v>
      </c>
      <c r="Y4579" t="s">
        <v>389</v>
      </c>
      <c r="Z4579" t="s">
        <v>380</v>
      </c>
      <c r="AA4579" t="s">
        <v>381</v>
      </c>
      <c r="AB4579" t="s">
        <v>131</v>
      </c>
      <c r="AC4579" t="s">
        <v>51</v>
      </c>
      <c r="AD4579" t="s">
        <v>45</v>
      </c>
      <c r="AE4579" s="1">
        <v>23611</v>
      </c>
      <c r="AF4579">
        <v>2</v>
      </c>
      <c r="AG4579" t="s">
        <v>381</v>
      </c>
      <c r="AH4579" s="36">
        <f t="shared" si="71"/>
        <v>55.12777777777778</v>
      </c>
      <c r="AI4579" s="41" t="s">
        <v>1781</v>
      </c>
    </row>
    <row r="4580" spans="1:35" x14ac:dyDescent="0.25">
      <c r="A4580" s="36">
        <v>99914578</v>
      </c>
      <c r="B4580" s="17" t="s">
        <v>32</v>
      </c>
      <c r="C4580" t="s">
        <v>82</v>
      </c>
      <c r="D4580" t="s">
        <v>83</v>
      </c>
      <c r="G4580" s="17" t="s">
        <v>48</v>
      </c>
      <c r="H4580" s="17">
        <v>1</v>
      </c>
      <c r="K4580" t="s">
        <v>223</v>
      </c>
      <c r="L4580" t="s">
        <v>224</v>
      </c>
      <c r="M4580" t="s">
        <v>131</v>
      </c>
      <c r="N4580">
        <v>20</v>
      </c>
      <c r="O4580" t="s">
        <v>40</v>
      </c>
      <c r="P4580" t="s">
        <v>40</v>
      </c>
      <c r="Q4580" t="s">
        <v>40</v>
      </c>
      <c r="R4580" t="s">
        <v>40</v>
      </c>
      <c r="S4580" t="s">
        <v>40</v>
      </c>
      <c r="V4580" t="s">
        <v>41</v>
      </c>
      <c r="W4580" t="s">
        <v>49</v>
      </c>
      <c r="X4580" t="str">
        <f>"0581206"</f>
        <v>0581206</v>
      </c>
      <c r="Y4580" t="s">
        <v>232</v>
      </c>
      <c r="Z4580" t="s">
        <v>223</v>
      </c>
      <c r="AA4580" t="s">
        <v>224</v>
      </c>
      <c r="AB4580" t="s">
        <v>131</v>
      </c>
      <c r="AC4580" t="s">
        <v>51</v>
      </c>
      <c r="AD4580" t="s">
        <v>45</v>
      </c>
      <c r="AE4580" s="1">
        <v>23608</v>
      </c>
      <c r="AF4580">
        <v>2</v>
      </c>
      <c r="AG4580" t="s">
        <v>224</v>
      </c>
      <c r="AH4580" s="36">
        <f t="shared" si="71"/>
        <v>55.136111111111113</v>
      </c>
      <c r="AI4580" s="41" t="s">
        <v>1781</v>
      </c>
    </row>
    <row r="4581" spans="1:35" x14ac:dyDescent="0.25">
      <c r="A4581" s="36">
        <v>99914579</v>
      </c>
      <c r="B4581" s="17" t="s">
        <v>32</v>
      </c>
      <c r="C4581" t="s">
        <v>139</v>
      </c>
      <c r="D4581" t="s">
        <v>140</v>
      </c>
      <c r="G4581" s="17" t="s">
        <v>48</v>
      </c>
      <c r="H4581" s="17">
        <v>1</v>
      </c>
      <c r="K4581" t="s">
        <v>380</v>
      </c>
      <c r="L4581" t="s">
        <v>381</v>
      </c>
      <c r="M4581" t="s">
        <v>131</v>
      </c>
      <c r="N4581">
        <v>18</v>
      </c>
      <c r="O4581" t="s">
        <v>40</v>
      </c>
      <c r="P4581" t="s">
        <v>40</v>
      </c>
      <c r="Q4581" t="s">
        <v>40</v>
      </c>
      <c r="S4581" t="s">
        <v>40</v>
      </c>
      <c r="V4581" t="s">
        <v>41</v>
      </c>
      <c r="W4581" t="s">
        <v>49</v>
      </c>
      <c r="X4581" t="str">
        <f>"0591909"</f>
        <v>0591909</v>
      </c>
      <c r="Y4581" t="s">
        <v>385</v>
      </c>
      <c r="Z4581" t="s">
        <v>380</v>
      </c>
      <c r="AA4581" t="s">
        <v>381</v>
      </c>
      <c r="AB4581" t="s">
        <v>131</v>
      </c>
      <c r="AC4581" t="s">
        <v>51</v>
      </c>
      <c r="AD4581" t="s">
        <v>45</v>
      </c>
      <c r="AE4581" s="1">
        <v>23608</v>
      </c>
      <c r="AF4581">
        <v>2</v>
      </c>
      <c r="AG4581" t="s">
        <v>381</v>
      </c>
      <c r="AH4581" s="36">
        <f t="shared" si="71"/>
        <v>55.136111111111113</v>
      </c>
      <c r="AI4581" s="41" t="s">
        <v>1781</v>
      </c>
    </row>
    <row r="4582" spans="1:35" x14ac:dyDescent="0.25">
      <c r="A4582" s="36">
        <v>99914580</v>
      </c>
      <c r="B4582" s="17" t="s">
        <v>32</v>
      </c>
      <c r="C4582" t="s">
        <v>46</v>
      </c>
      <c r="D4582" t="s">
        <v>47</v>
      </c>
      <c r="G4582" s="17" t="s">
        <v>48</v>
      </c>
      <c r="H4582" s="17">
        <v>1</v>
      </c>
      <c r="K4582" t="s">
        <v>1268</v>
      </c>
      <c r="L4582" t="s">
        <v>1269</v>
      </c>
      <c r="M4582" t="s">
        <v>1270</v>
      </c>
      <c r="N4582">
        <v>18</v>
      </c>
      <c r="O4582" t="s">
        <v>40</v>
      </c>
      <c r="P4582" t="s">
        <v>40</v>
      </c>
      <c r="Q4582" t="s">
        <v>40</v>
      </c>
      <c r="R4582" t="s">
        <v>40</v>
      </c>
      <c r="S4582" t="s">
        <v>40</v>
      </c>
      <c r="V4582" t="s">
        <v>41</v>
      </c>
      <c r="W4582" t="s">
        <v>49</v>
      </c>
      <c r="X4582" t="str">
        <f>"1981912"</f>
        <v>1981912</v>
      </c>
      <c r="Y4582" t="s">
        <v>1279</v>
      </c>
      <c r="Z4582" t="s">
        <v>1268</v>
      </c>
      <c r="AA4582" t="s">
        <v>1269</v>
      </c>
      <c r="AB4582" t="s">
        <v>1270</v>
      </c>
      <c r="AC4582" t="s">
        <v>51</v>
      </c>
      <c r="AD4582" t="s">
        <v>45</v>
      </c>
      <c r="AE4582" s="1">
        <v>23606</v>
      </c>
      <c r="AF4582">
        <v>2</v>
      </c>
      <c r="AG4582" t="s">
        <v>1269</v>
      </c>
      <c r="AH4582" s="36">
        <f t="shared" si="71"/>
        <v>55.141666666666666</v>
      </c>
      <c r="AI4582" s="41" t="s">
        <v>1781</v>
      </c>
    </row>
    <row r="4583" spans="1:35" x14ac:dyDescent="0.25">
      <c r="A4583" s="36">
        <v>99914581</v>
      </c>
      <c r="B4583" s="17" t="s">
        <v>56</v>
      </c>
      <c r="C4583" t="s">
        <v>68</v>
      </c>
      <c r="D4583" t="s">
        <v>69</v>
      </c>
      <c r="G4583" s="17" t="s">
        <v>48</v>
      </c>
      <c r="H4583" s="17">
        <v>1</v>
      </c>
      <c r="K4583" t="s">
        <v>223</v>
      </c>
      <c r="L4583" t="s">
        <v>224</v>
      </c>
      <c r="M4583" t="s">
        <v>131</v>
      </c>
      <c r="N4583">
        <v>8</v>
      </c>
      <c r="O4583" t="s">
        <v>40</v>
      </c>
      <c r="P4583" t="s">
        <v>40</v>
      </c>
      <c r="Q4583" t="s">
        <v>40</v>
      </c>
      <c r="R4583" t="s">
        <v>40</v>
      </c>
      <c r="S4583" t="s">
        <v>40</v>
      </c>
      <c r="V4583" t="s">
        <v>41</v>
      </c>
      <c r="W4583" t="s">
        <v>49</v>
      </c>
      <c r="X4583" t="str">
        <f>"0581200"</f>
        <v>0581200</v>
      </c>
      <c r="Y4583" t="s">
        <v>238</v>
      </c>
      <c r="Z4583" t="s">
        <v>223</v>
      </c>
      <c r="AA4583" t="s">
        <v>224</v>
      </c>
      <c r="AB4583" t="s">
        <v>131</v>
      </c>
      <c r="AC4583" t="s">
        <v>51</v>
      </c>
      <c r="AD4583" t="s">
        <v>45</v>
      </c>
      <c r="AE4583" s="1">
        <v>23604</v>
      </c>
      <c r="AF4583">
        <v>2</v>
      </c>
      <c r="AG4583" t="s">
        <v>224</v>
      </c>
      <c r="AH4583" s="36">
        <f t="shared" si="71"/>
        <v>55.147222222222226</v>
      </c>
      <c r="AI4583" s="41" t="s">
        <v>1781</v>
      </c>
    </row>
    <row r="4584" spans="1:35" x14ac:dyDescent="0.25">
      <c r="A4584" s="36">
        <v>99914582</v>
      </c>
      <c r="B4584" s="17" t="s">
        <v>56</v>
      </c>
      <c r="C4584" t="s">
        <v>111</v>
      </c>
      <c r="D4584" t="s">
        <v>112</v>
      </c>
      <c r="G4584" s="17" t="s">
        <v>35</v>
      </c>
      <c r="H4584" s="17">
        <v>1</v>
      </c>
      <c r="I4584" s="1">
        <v>43344</v>
      </c>
      <c r="J4584" s="1">
        <v>43344</v>
      </c>
      <c r="K4584" t="s">
        <v>1341</v>
      </c>
      <c r="L4584" t="s">
        <v>1342</v>
      </c>
      <c r="M4584" t="s">
        <v>1270</v>
      </c>
      <c r="N4584">
        <v>24</v>
      </c>
      <c r="O4584" t="s">
        <v>40</v>
      </c>
      <c r="P4584" t="s">
        <v>40</v>
      </c>
      <c r="Q4584" t="s">
        <v>40</v>
      </c>
      <c r="R4584" t="s">
        <v>40</v>
      </c>
      <c r="S4584" t="s">
        <v>40</v>
      </c>
      <c r="U4584" s="1">
        <v>43344</v>
      </c>
      <c r="V4584" t="s">
        <v>41</v>
      </c>
      <c r="W4584" t="s">
        <v>75</v>
      </c>
      <c r="X4584" t="str">
        <f>"7191034"</f>
        <v>7191034</v>
      </c>
      <c r="Y4584" t="s">
        <v>1343</v>
      </c>
      <c r="Z4584" t="s">
        <v>1341</v>
      </c>
      <c r="AA4584" t="s">
        <v>1342</v>
      </c>
      <c r="AB4584" t="s">
        <v>1270</v>
      </c>
      <c r="AC4584" t="s">
        <v>51</v>
      </c>
      <c r="AD4584" t="s">
        <v>45</v>
      </c>
      <c r="AE4584" s="1">
        <v>23603</v>
      </c>
      <c r="AF4584">
        <v>1</v>
      </c>
      <c r="AG4584" t="s">
        <v>1342</v>
      </c>
      <c r="AH4584" s="36">
        <f t="shared" si="71"/>
        <v>55.15</v>
      </c>
      <c r="AI4584" s="41" t="s">
        <v>1781</v>
      </c>
    </row>
    <row r="4585" spans="1:35" x14ac:dyDescent="0.25">
      <c r="A4585" s="36">
        <v>99914583</v>
      </c>
      <c r="B4585" s="17" t="s">
        <v>32</v>
      </c>
      <c r="C4585" t="s">
        <v>64</v>
      </c>
      <c r="D4585" t="s">
        <v>65</v>
      </c>
      <c r="G4585" s="17" t="s">
        <v>48</v>
      </c>
      <c r="H4585" s="17">
        <v>1</v>
      </c>
      <c r="K4585" t="s">
        <v>162</v>
      </c>
      <c r="L4585" t="s">
        <v>158</v>
      </c>
      <c r="M4585" t="s">
        <v>131</v>
      </c>
      <c r="N4585">
        <v>18</v>
      </c>
      <c r="O4585" t="s">
        <v>40</v>
      </c>
      <c r="P4585" t="s">
        <v>40</v>
      </c>
      <c r="Q4585" t="s">
        <v>40</v>
      </c>
      <c r="R4585" t="s">
        <v>40</v>
      </c>
      <c r="S4585" t="s">
        <v>40</v>
      </c>
      <c r="V4585" t="s">
        <v>41</v>
      </c>
      <c r="W4585" t="s">
        <v>49</v>
      </c>
      <c r="X4585" t="str">
        <f>"0581325"</f>
        <v>0581325</v>
      </c>
      <c r="Y4585" t="s">
        <v>169</v>
      </c>
      <c r="Z4585" t="s">
        <v>162</v>
      </c>
      <c r="AA4585" t="s">
        <v>158</v>
      </c>
      <c r="AB4585" t="s">
        <v>131</v>
      </c>
      <c r="AC4585" t="s">
        <v>165</v>
      </c>
      <c r="AD4585" t="s">
        <v>45</v>
      </c>
      <c r="AE4585" s="1">
        <v>23598</v>
      </c>
      <c r="AF4585">
        <v>2</v>
      </c>
      <c r="AG4585" t="s">
        <v>158</v>
      </c>
      <c r="AH4585" s="36">
        <f t="shared" si="71"/>
        <v>55.163888888888891</v>
      </c>
      <c r="AI4585" s="41" t="s">
        <v>1781</v>
      </c>
    </row>
    <row r="4586" spans="1:35" x14ac:dyDescent="0.25">
      <c r="A4586" s="36">
        <v>99914584</v>
      </c>
      <c r="B4586" s="17" t="s">
        <v>56</v>
      </c>
      <c r="C4586" t="s">
        <v>79</v>
      </c>
      <c r="D4586" t="s">
        <v>80</v>
      </c>
      <c r="G4586" s="17" t="s">
        <v>48</v>
      </c>
      <c r="H4586" s="17">
        <v>11</v>
      </c>
      <c r="K4586" t="s">
        <v>877</v>
      </c>
      <c r="L4586" t="s">
        <v>878</v>
      </c>
      <c r="M4586" t="s">
        <v>131</v>
      </c>
      <c r="N4586">
        <v>21</v>
      </c>
      <c r="O4586" t="s">
        <v>40</v>
      </c>
      <c r="P4586" t="s">
        <v>40</v>
      </c>
      <c r="Q4586" t="s">
        <v>40</v>
      </c>
      <c r="R4586" t="s">
        <v>40</v>
      </c>
      <c r="S4586" t="s">
        <v>40</v>
      </c>
      <c r="V4586" t="s">
        <v>41</v>
      </c>
      <c r="W4586" t="s">
        <v>75</v>
      </c>
      <c r="X4586" t="str">
        <f>"7541004"</f>
        <v>7541004</v>
      </c>
      <c r="Y4586" t="s">
        <v>889</v>
      </c>
      <c r="Z4586" t="s">
        <v>877</v>
      </c>
      <c r="AA4586" t="s">
        <v>878</v>
      </c>
      <c r="AB4586" t="s">
        <v>131</v>
      </c>
      <c r="AC4586" t="s">
        <v>51</v>
      </c>
      <c r="AD4586" t="s">
        <v>45</v>
      </c>
      <c r="AE4586" s="1">
        <v>23593</v>
      </c>
      <c r="AF4586">
        <v>1</v>
      </c>
      <c r="AG4586" t="s">
        <v>878</v>
      </c>
      <c r="AH4586" s="36">
        <f t="shared" si="71"/>
        <v>55.177777777777777</v>
      </c>
      <c r="AI4586" s="41" t="s">
        <v>1781</v>
      </c>
    </row>
    <row r="4587" spans="1:35" x14ac:dyDescent="0.25">
      <c r="A4587" s="36">
        <v>99914585</v>
      </c>
      <c r="B4587" s="17" t="s">
        <v>56</v>
      </c>
      <c r="C4587" t="s">
        <v>141</v>
      </c>
      <c r="D4587" t="s">
        <v>142</v>
      </c>
      <c r="G4587" s="17" t="s">
        <v>48</v>
      </c>
      <c r="H4587" s="17">
        <v>1</v>
      </c>
      <c r="K4587" t="s">
        <v>431</v>
      </c>
      <c r="L4587" t="s">
        <v>196</v>
      </c>
      <c r="M4587" t="s">
        <v>131</v>
      </c>
      <c r="N4587">
        <v>9</v>
      </c>
      <c r="O4587" t="s">
        <v>40</v>
      </c>
      <c r="P4587" t="s">
        <v>40</v>
      </c>
      <c r="Q4587" t="s">
        <v>40</v>
      </c>
      <c r="R4587" t="s">
        <v>40</v>
      </c>
      <c r="S4587" t="s">
        <v>40</v>
      </c>
      <c r="V4587" t="s">
        <v>41</v>
      </c>
      <c r="W4587" t="s">
        <v>75</v>
      </c>
      <c r="X4587" t="str">
        <f>"7521012"</f>
        <v>7521012</v>
      </c>
      <c r="Y4587" t="s">
        <v>432</v>
      </c>
      <c r="Z4587" t="s">
        <v>431</v>
      </c>
      <c r="AA4587" t="s">
        <v>196</v>
      </c>
      <c r="AB4587" t="s">
        <v>131</v>
      </c>
      <c r="AC4587" t="s">
        <v>51</v>
      </c>
      <c r="AD4587" t="s">
        <v>45</v>
      </c>
      <c r="AE4587" s="1">
        <v>23590</v>
      </c>
      <c r="AF4587">
        <v>1</v>
      </c>
      <c r="AG4587" t="s">
        <v>196</v>
      </c>
      <c r="AH4587" s="36">
        <f t="shared" si="71"/>
        <v>55.18611111111111</v>
      </c>
      <c r="AI4587" s="41" t="s">
        <v>1781</v>
      </c>
    </row>
    <row r="4588" spans="1:35" x14ac:dyDescent="0.25">
      <c r="A4588" s="36">
        <v>99914586</v>
      </c>
      <c r="B4588" s="17" t="s">
        <v>32</v>
      </c>
      <c r="C4588" t="s">
        <v>111</v>
      </c>
      <c r="D4588" t="s">
        <v>112</v>
      </c>
      <c r="G4588" s="17" t="s">
        <v>35</v>
      </c>
      <c r="H4588" s="17">
        <v>1</v>
      </c>
      <c r="K4588" t="s">
        <v>1502</v>
      </c>
      <c r="L4588" t="s">
        <v>1503</v>
      </c>
      <c r="M4588" t="s">
        <v>670</v>
      </c>
      <c r="N4588">
        <v>21</v>
      </c>
      <c r="O4588" t="s">
        <v>40</v>
      </c>
      <c r="P4588" t="s">
        <v>40</v>
      </c>
      <c r="Q4588" t="s">
        <v>40</v>
      </c>
      <c r="R4588" t="s">
        <v>40</v>
      </c>
      <c r="S4588" t="s">
        <v>40</v>
      </c>
      <c r="V4588" t="s">
        <v>41</v>
      </c>
      <c r="W4588" t="s">
        <v>75</v>
      </c>
      <c r="X4588" t="str">
        <f>"7171000"</f>
        <v>7171000</v>
      </c>
      <c r="Y4588" t="s">
        <v>1506</v>
      </c>
      <c r="Z4588" t="s">
        <v>1502</v>
      </c>
      <c r="AA4588" t="s">
        <v>1503</v>
      </c>
      <c r="AB4588" t="s">
        <v>670</v>
      </c>
      <c r="AC4588" t="s">
        <v>51</v>
      </c>
      <c r="AD4588" t="s">
        <v>45</v>
      </c>
      <c r="AE4588" s="1">
        <v>23590</v>
      </c>
      <c r="AF4588">
        <v>1</v>
      </c>
      <c r="AG4588" t="s">
        <v>1503</v>
      </c>
      <c r="AH4588" s="36">
        <f t="shared" si="71"/>
        <v>55.18611111111111</v>
      </c>
      <c r="AI4588" s="41" t="s">
        <v>1781</v>
      </c>
    </row>
    <row r="4589" spans="1:35" x14ac:dyDescent="0.25">
      <c r="A4589" s="36">
        <v>99914587</v>
      </c>
      <c r="B4589" s="17" t="s">
        <v>32</v>
      </c>
      <c r="C4589" t="s">
        <v>82</v>
      </c>
      <c r="D4589" t="s">
        <v>83</v>
      </c>
      <c r="G4589" s="17" t="s">
        <v>48</v>
      </c>
      <c r="H4589" s="17">
        <v>1</v>
      </c>
      <c r="K4589" t="s">
        <v>162</v>
      </c>
      <c r="L4589" t="s">
        <v>158</v>
      </c>
      <c r="M4589" t="s">
        <v>131</v>
      </c>
      <c r="N4589">
        <v>6</v>
      </c>
      <c r="O4589" t="s">
        <v>40</v>
      </c>
      <c r="P4589" t="s">
        <v>40</v>
      </c>
      <c r="Q4589" t="s">
        <v>40</v>
      </c>
      <c r="S4589" t="s">
        <v>40</v>
      </c>
      <c r="V4589" t="s">
        <v>41</v>
      </c>
      <c r="W4589" t="s">
        <v>42</v>
      </c>
      <c r="X4589" t="str">
        <f>"0580330"</f>
        <v>0580330</v>
      </c>
      <c r="Y4589" t="s">
        <v>176</v>
      </c>
      <c r="Z4589" t="s">
        <v>162</v>
      </c>
      <c r="AA4589" t="s">
        <v>158</v>
      </c>
      <c r="AB4589" t="s">
        <v>131</v>
      </c>
      <c r="AC4589" t="s">
        <v>51</v>
      </c>
      <c r="AD4589" t="s">
        <v>45</v>
      </c>
      <c r="AE4589" s="1">
        <v>23584</v>
      </c>
      <c r="AF4589">
        <v>2</v>
      </c>
      <c r="AG4589" t="s">
        <v>158</v>
      </c>
      <c r="AH4589" s="36">
        <f t="shared" si="71"/>
        <v>55.202777777777776</v>
      </c>
      <c r="AI4589" s="41" t="s">
        <v>1781</v>
      </c>
    </row>
    <row r="4590" spans="1:35" x14ac:dyDescent="0.25">
      <c r="A4590" s="36">
        <v>99914588</v>
      </c>
      <c r="B4590" s="17" t="s">
        <v>32</v>
      </c>
      <c r="C4590" t="s">
        <v>111</v>
      </c>
      <c r="D4590" t="s">
        <v>112</v>
      </c>
      <c r="G4590" s="17" t="s">
        <v>48</v>
      </c>
      <c r="H4590" s="17">
        <v>14</v>
      </c>
      <c r="K4590" t="s">
        <v>195</v>
      </c>
      <c r="L4590" t="s">
        <v>196</v>
      </c>
      <c r="M4590" t="s">
        <v>131</v>
      </c>
      <c r="N4590">
        <v>21</v>
      </c>
      <c r="O4590" t="s">
        <v>40</v>
      </c>
      <c r="P4590" t="s">
        <v>40</v>
      </c>
      <c r="Q4590" t="s">
        <v>40</v>
      </c>
      <c r="R4590" t="s">
        <v>40</v>
      </c>
      <c r="S4590" t="s">
        <v>40</v>
      </c>
      <c r="U4590" s="1">
        <v>34124</v>
      </c>
      <c r="V4590" t="s">
        <v>41</v>
      </c>
      <c r="W4590" t="s">
        <v>75</v>
      </c>
      <c r="X4590" t="str">
        <f>"7521046"</f>
        <v>7521046</v>
      </c>
      <c r="Y4590" t="s">
        <v>436</v>
      </c>
      <c r="Z4590" t="s">
        <v>195</v>
      </c>
      <c r="AA4590" t="s">
        <v>196</v>
      </c>
      <c r="AB4590" t="s">
        <v>131</v>
      </c>
      <c r="AC4590" t="s">
        <v>165</v>
      </c>
      <c r="AD4590" t="s">
        <v>45</v>
      </c>
      <c r="AE4590" s="1">
        <v>23580</v>
      </c>
      <c r="AF4590">
        <v>1</v>
      </c>
      <c r="AG4590" t="s">
        <v>196</v>
      </c>
      <c r="AH4590" s="36">
        <f t="shared" si="71"/>
        <v>55.213888888888889</v>
      </c>
      <c r="AI4590" s="41" t="s">
        <v>1781</v>
      </c>
    </row>
    <row r="4591" spans="1:35" x14ac:dyDescent="0.25">
      <c r="A4591" s="36">
        <v>99914589</v>
      </c>
      <c r="B4591" s="17" t="s">
        <v>56</v>
      </c>
      <c r="C4591" t="s">
        <v>52</v>
      </c>
      <c r="D4591" t="s">
        <v>53</v>
      </c>
      <c r="G4591" s="17" t="s">
        <v>48</v>
      </c>
      <c r="H4591" s="17">
        <v>1</v>
      </c>
      <c r="K4591" t="s">
        <v>129</v>
      </c>
      <c r="L4591" t="s">
        <v>130</v>
      </c>
      <c r="M4591" t="s">
        <v>131</v>
      </c>
      <c r="N4591">
        <v>18</v>
      </c>
      <c r="O4591" t="s">
        <v>40</v>
      </c>
      <c r="P4591" t="s">
        <v>40</v>
      </c>
      <c r="Q4591" t="s">
        <v>40</v>
      </c>
      <c r="R4591" t="s">
        <v>40</v>
      </c>
      <c r="S4591" t="s">
        <v>40</v>
      </c>
      <c r="V4591" t="s">
        <v>41</v>
      </c>
      <c r="W4591" t="s">
        <v>42</v>
      </c>
      <c r="X4591" t="str">
        <f>"0590905"</f>
        <v>0590905</v>
      </c>
      <c r="Y4591" t="s">
        <v>133</v>
      </c>
      <c r="Z4591" t="s">
        <v>129</v>
      </c>
      <c r="AA4591" t="s">
        <v>130</v>
      </c>
      <c r="AB4591" t="s">
        <v>131</v>
      </c>
      <c r="AC4591" t="s">
        <v>51</v>
      </c>
      <c r="AD4591" t="s">
        <v>45</v>
      </c>
      <c r="AE4591" s="1">
        <v>23577</v>
      </c>
      <c r="AF4591">
        <v>2</v>
      </c>
      <c r="AG4591" t="s">
        <v>130</v>
      </c>
      <c r="AH4591" s="36">
        <f t="shared" si="71"/>
        <v>55.222222222222221</v>
      </c>
      <c r="AI4591" s="41" t="s">
        <v>1781</v>
      </c>
    </row>
    <row r="4592" spans="1:35" x14ac:dyDescent="0.25">
      <c r="A4592" s="36">
        <v>99914590</v>
      </c>
      <c r="B4592" s="17" t="s">
        <v>32</v>
      </c>
      <c r="C4592" t="s">
        <v>68</v>
      </c>
      <c r="D4592" t="s">
        <v>69</v>
      </c>
      <c r="G4592" s="17" t="s">
        <v>35</v>
      </c>
      <c r="H4592" s="17">
        <v>1</v>
      </c>
      <c r="K4592" t="s">
        <v>162</v>
      </c>
      <c r="L4592" t="s">
        <v>158</v>
      </c>
      <c r="M4592" t="s">
        <v>131</v>
      </c>
      <c r="N4592">
        <v>18</v>
      </c>
      <c r="O4592" t="s">
        <v>40</v>
      </c>
      <c r="P4592" t="s">
        <v>40</v>
      </c>
      <c r="Q4592" t="s">
        <v>40</v>
      </c>
      <c r="R4592" t="s">
        <v>40</v>
      </c>
      <c r="S4592" t="s">
        <v>40</v>
      </c>
      <c r="V4592" t="s">
        <v>41</v>
      </c>
      <c r="W4592" t="s">
        <v>49</v>
      </c>
      <c r="X4592" t="str">
        <f>"0505050"</f>
        <v>0505050</v>
      </c>
      <c r="Y4592" t="s">
        <v>163</v>
      </c>
      <c r="Z4592" t="s">
        <v>162</v>
      </c>
      <c r="AA4592" t="s">
        <v>158</v>
      </c>
      <c r="AB4592" t="s">
        <v>131</v>
      </c>
      <c r="AC4592" t="s">
        <v>165</v>
      </c>
      <c r="AD4592" t="s">
        <v>45</v>
      </c>
      <c r="AE4592" s="1">
        <v>23577</v>
      </c>
      <c r="AF4592">
        <v>2</v>
      </c>
      <c r="AG4592" t="s">
        <v>158</v>
      </c>
      <c r="AH4592" s="36">
        <f t="shared" si="71"/>
        <v>55.222222222222221</v>
      </c>
      <c r="AI4592" s="41" t="s">
        <v>1781</v>
      </c>
    </row>
    <row r="4593" spans="1:35" x14ac:dyDescent="0.25">
      <c r="A4593" s="36">
        <v>99914591</v>
      </c>
      <c r="B4593" s="17" t="s">
        <v>56</v>
      </c>
      <c r="C4593" t="s">
        <v>79</v>
      </c>
      <c r="D4593" t="s">
        <v>80</v>
      </c>
      <c r="G4593" s="17" t="s">
        <v>35</v>
      </c>
      <c r="H4593" s="17">
        <v>1</v>
      </c>
      <c r="K4593" t="s">
        <v>1546</v>
      </c>
      <c r="L4593" t="s">
        <v>1547</v>
      </c>
      <c r="M4593" t="s">
        <v>1548</v>
      </c>
      <c r="N4593">
        <v>20</v>
      </c>
      <c r="O4593" t="s">
        <v>40</v>
      </c>
      <c r="P4593" t="s">
        <v>40</v>
      </c>
      <c r="Q4593" t="s">
        <v>40</v>
      </c>
      <c r="R4593" t="s">
        <v>40</v>
      </c>
      <c r="S4593" t="s">
        <v>40</v>
      </c>
      <c r="V4593" t="s">
        <v>41</v>
      </c>
      <c r="W4593" t="s">
        <v>49</v>
      </c>
      <c r="X4593" t="str">
        <f>"1081010"</f>
        <v>1081010</v>
      </c>
      <c r="Y4593" t="s">
        <v>1552</v>
      </c>
      <c r="Z4593" t="s">
        <v>1546</v>
      </c>
      <c r="AA4593" t="s">
        <v>1547</v>
      </c>
      <c r="AB4593" t="s">
        <v>1548</v>
      </c>
      <c r="AC4593" t="s">
        <v>51</v>
      </c>
      <c r="AD4593" t="s">
        <v>45</v>
      </c>
      <c r="AE4593" s="1">
        <v>23577</v>
      </c>
      <c r="AF4593">
        <v>2</v>
      </c>
      <c r="AG4593" t="s">
        <v>1547</v>
      </c>
      <c r="AH4593" s="36">
        <f t="shared" si="71"/>
        <v>55.222222222222221</v>
      </c>
      <c r="AI4593" s="41" t="s">
        <v>1781</v>
      </c>
    </row>
    <row r="4594" spans="1:35" x14ac:dyDescent="0.25">
      <c r="A4594" s="36">
        <v>99914592</v>
      </c>
      <c r="B4594" s="17" t="s">
        <v>32</v>
      </c>
      <c r="C4594" t="s">
        <v>90</v>
      </c>
      <c r="D4594" t="s">
        <v>91</v>
      </c>
      <c r="G4594" s="17" t="s">
        <v>35</v>
      </c>
      <c r="H4594" s="17">
        <v>1</v>
      </c>
      <c r="I4594" t="s">
        <v>746</v>
      </c>
      <c r="J4594" s="1">
        <v>43344</v>
      </c>
      <c r="K4594" t="s">
        <v>268</v>
      </c>
      <c r="L4594" t="s">
        <v>269</v>
      </c>
      <c r="M4594" t="s">
        <v>131</v>
      </c>
      <c r="N4594">
        <v>20</v>
      </c>
      <c r="O4594" t="s">
        <v>40</v>
      </c>
      <c r="S4594" t="s">
        <v>40</v>
      </c>
      <c r="U4594" s="1">
        <v>43344</v>
      </c>
      <c r="V4594" t="s">
        <v>41</v>
      </c>
      <c r="W4594" t="s">
        <v>95</v>
      </c>
      <c r="X4594" t="str">
        <f>"7052043"</f>
        <v>7052043</v>
      </c>
      <c r="Y4594" t="s">
        <v>651</v>
      </c>
      <c r="Z4594" t="s">
        <v>268</v>
      </c>
      <c r="AA4594" t="s">
        <v>269</v>
      </c>
      <c r="AB4594" t="s">
        <v>131</v>
      </c>
      <c r="AC4594" t="s">
        <v>51</v>
      </c>
      <c r="AD4594" t="s">
        <v>45</v>
      </c>
      <c r="AE4594" s="1">
        <v>23571</v>
      </c>
      <c r="AF4594">
        <v>1</v>
      </c>
      <c r="AG4594" t="s">
        <v>269</v>
      </c>
      <c r="AH4594" s="36">
        <f t="shared" si="71"/>
        <v>55.238888888888887</v>
      </c>
      <c r="AI4594" s="41" t="s">
        <v>1781</v>
      </c>
    </row>
    <row r="4595" spans="1:35" x14ac:dyDescent="0.25">
      <c r="A4595" s="36">
        <v>99914593</v>
      </c>
      <c r="B4595" s="17" t="s">
        <v>32</v>
      </c>
      <c r="C4595" t="s">
        <v>64</v>
      </c>
      <c r="D4595" t="s">
        <v>65</v>
      </c>
      <c r="G4595" s="17" t="s">
        <v>35</v>
      </c>
      <c r="H4595" s="17">
        <v>1</v>
      </c>
      <c r="I4595" t="s">
        <v>748</v>
      </c>
      <c r="J4595" s="1">
        <v>43344</v>
      </c>
      <c r="K4595" t="s">
        <v>268</v>
      </c>
      <c r="L4595" t="s">
        <v>269</v>
      </c>
      <c r="M4595" t="s">
        <v>131</v>
      </c>
      <c r="N4595">
        <v>20</v>
      </c>
      <c r="O4595" t="s">
        <v>40</v>
      </c>
      <c r="S4595" t="s">
        <v>40</v>
      </c>
      <c r="U4595" s="1">
        <v>43344</v>
      </c>
      <c r="V4595" t="s">
        <v>41</v>
      </c>
      <c r="W4595" t="s">
        <v>75</v>
      </c>
      <c r="X4595" t="str">
        <f>"7052020"</f>
        <v>7052020</v>
      </c>
      <c r="Y4595" t="s">
        <v>267</v>
      </c>
      <c r="Z4595" t="s">
        <v>268</v>
      </c>
      <c r="AA4595" t="s">
        <v>269</v>
      </c>
      <c r="AB4595" t="s">
        <v>131</v>
      </c>
      <c r="AC4595" t="s">
        <v>51</v>
      </c>
      <c r="AD4595" t="s">
        <v>45</v>
      </c>
      <c r="AE4595" s="1">
        <v>23569</v>
      </c>
      <c r="AF4595">
        <v>1</v>
      </c>
      <c r="AG4595" t="s">
        <v>269</v>
      </c>
      <c r="AH4595" s="36">
        <f t="shared" si="71"/>
        <v>55.244444444444447</v>
      </c>
      <c r="AI4595" s="41" t="s">
        <v>1781</v>
      </c>
    </row>
    <row r="4596" spans="1:35" x14ac:dyDescent="0.25">
      <c r="A4596" s="36">
        <v>99914594</v>
      </c>
      <c r="B4596" s="17" t="s">
        <v>56</v>
      </c>
      <c r="C4596" t="s">
        <v>145</v>
      </c>
      <c r="D4596" t="s">
        <v>146</v>
      </c>
      <c r="G4596" s="17" t="s">
        <v>35</v>
      </c>
      <c r="H4596" s="17">
        <v>1</v>
      </c>
      <c r="K4596" t="s">
        <v>1268</v>
      </c>
      <c r="L4596" t="s">
        <v>1269</v>
      </c>
      <c r="M4596" t="s">
        <v>1270</v>
      </c>
      <c r="N4596">
        <v>18</v>
      </c>
      <c r="O4596" t="s">
        <v>40</v>
      </c>
      <c r="P4596" t="s">
        <v>40</v>
      </c>
      <c r="Q4596" t="s">
        <v>40</v>
      </c>
      <c r="S4596" t="s">
        <v>40</v>
      </c>
      <c r="V4596" t="s">
        <v>41</v>
      </c>
      <c r="W4596" t="s">
        <v>42</v>
      </c>
      <c r="X4596" t="str">
        <f>"1990914"</f>
        <v>1990914</v>
      </c>
      <c r="Y4596" t="s">
        <v>1275</v>
      </c>
      <c r="Z4596" t="s">
        <v>1268</v>
      </c>
      <c r="AA4596" t="s">
        <v>1269</v>
      </c>
      <c r="AB4596" t="s">
        <v>1270</v>
      </c>
      <c r="AC4596" t="s">
        <v>51</v>
      </c>
      <c r="AD4596" t="s">
        <v>45</v>
      </c>
      <c r="AE4596" s="1">
        <v>23569</v>
      </c>
      <c r="AF4596">
        <v>2</v>
      </c>
      <c r="AG4596" t="s">
        <v>1269</v>
      </c>
      <c r="AH4596" s="36">
        <f t="shared" si="71"/>
        <v>55.244444444444447</v>
      </c>
      <c r="AI4596" s="41" t="s">
        <v>1781</v>
      </c>
    </row>
    <row r="4597" spans="1:35" x14ac:dyDescent="0.25">
      <c r="A4597" s="36">
        <v>99914595</v>
      </c>
      <c r="B4597" s="17" t="s">
        <v>32</v>
      </c>
      <c r="C4597" t="s">
        <v>111</v>
      </c>
      <c r="D4597" t="s">
        <v>112</v>
      </c>
      <c r="G4597" s="17" t="s">
        <v>48</v>
      </c>
      <c r="H4597" s="17">
        <v>14</v>
      </c>
      <c r="K4597" t="s">
        <v>1426</v>
      </c>
      <c r="L4597" t="s">
        <v>1427</v>
      </c>
      <c r="M4597" t="s">
        <v>1270</v>
      </c>
      <c r="N4597">
        <v>21</v>
      </c>
      <c r="O4597" t="s">
        <v>40</v>
      </c>
      <c r="P4597" t="s">
        <v>40</v>
      </c>
      <c r="Q4597" t="s">
        <v>40</v>
      </c>
      <c r="R4597" t="s">
        <v>40</v>
      </c>
      <c r="S4597" t="s">
        <v>40</v>
      </c>
      <c r="V4597" t="s">
        <v>41</v>
      </c>
      <c r="W4597" t="s">
        <v>75</v>
      </c>
      <c r="X4597" t="str">
        <f>"7192004"</f>
        <v>7192004</v>
      </c>
      <c r="Y4597" t="s">
        <v>1428</v>
      </c>
      <c r="Z4597" t="s">
        <v>1426</v>
      </c>
      <c r="AA4597" t="s">
        <v>1427</v>
      </c>
      <c r="AB4597" t="s">
        <v>1270</v>
      </c>
      <c r="AC4597" t="s">
        <v>51</v>
      </c>
      <c r="AD4597" t="s">
        <v>45</v>
      </c>
      <c r="AE4597" s="1">
        <v>23567</v>
      </c>
      <c r="AF4597">
        <v>1</v>
      </c>
      <c r="AG4597" t="s">
        <v>1427</v>
      </c>
      <c r="AH4597" s="36">
        <f t="shared" si="71"/>
        <v>55.25</v>
      </c>
      <c r="AI4597" s="41" t="s">
        <v>1781</v>
      </c>
    </row>
    <row r="4598" spans="1:35" x14ac:dyDescent="0.25">
      <c r="A4598" s="36">
        <v>99914596</v>
      </c>
      <c r="B4598" s="17" t="s">
        <v>32</v>
      </c>
      <c r="C4598" t="s">
        <v>46</v>
      </c>
      <c r="D4598" t="s">
        <v>47</v>
      </c>
      <c r="G4598" s="17" t="s">
        <v>48</v>
      </c>
      <c r="H4598" s="17">
        <v>1</v>
      </c>
      <c r="K4598" t="s">
        <v>223</v>
      </c>
      <c r="L4598" t="s">
        <v>224</v>
      </c>
      <c r="M4598" t="s">
        <v>131</v>
      </c>
      <c r="N4598">
        <v>18</v>
      </c>
      <c r="O4598" t="s">
        <v>40</v>
      </c>
      <c r="P4598" t="s">
        <v>40</v>
      </c>
      <c r="Q4598" t="s">
        <v>40</v>
      </c>
      <c r="S4598" t="s">
        <v>40</v>
      </c>
      <c r="V4598" t="s">
        <v>41</v>
      </c>
      <c r="W4598" t="s">
        <v>42</v>
      </c>
      <c r="X4598" t="str">
        <f>"0580395"</f>
        <v>0580395</v>
      </c>
      <c r="Y4598" t="s">
        <v>265</v>
      </c>
      <c r="Z4598" t="s">
        <v>223</v>
      </c>
      <c r="AA4598" t="s">
        <v>224</v>
      </c>
      <c r="AB4598" t="s">
        <v>131</v>
      </c>
      <c r="AC4598" t="s">
        <v>51</v>
      </c>
      <c r="AD4598" t="s">
        <v>45</v>
      </c>
      <c r="AE4598" s="1">
        <v>23566</v>
      </c>
      <c r="AF4598">
        <v>2</v>
      </c>
      <c r="AG4598" t="s">
        <v>224</v>
      </c>
      <c r="AH4598" s="36">
        <f t="shared" si="71"/>
        <v>55.25277777777778</v>
      </c>
      <c r="AI4598" s="41" t="s">
        <v>1781</v>
      </c>
    </row>
    <row r="4599" spans="1:35" x14ac:dyDescent="0.25">
      <c r="A4599" s="36">
        <v>99914597</v>
      </c>
      <c r="B4599" s="17" t="s">
        <v>32</v>
      </c>
      <c r="C4599" t="s">
        <v>141</v>
      </c>
      <c r="D4599" t="s">
        <v>142</v>
      </c>
      <c r="G4599" s="17" t="s">
        <v>35</v>
      </c>
      <c r="H4599" s="17">
        <v>1</v>
      </c>
      <c r="K4599" t="s">
        <v>157</v>
      </c>
      <c r="L4599" t="s">
        <v>158</v>
      </c>
      <c r="M4599" t="s">
        <v>131</v>
      </c>
      <c r="N4599">
        <v>2</v>
      </c>
      <c r="O4599" t="s">
        <v>40</v>
      </c>
      <c r="P4599" t="s">
        <v>40</v>
      </c>
      <c r="Q4599" t="s">
        <v>40</v>
      </c>
      <c r="R4599" t="s">
        <v>40</v>
      </c>
      <c r="S4599" t="s">
        <v>40</v>
      </c>
      <c r="V4599" t="s">
        <v>41</v>
      </c>
      <c r="W4599" t="s">
        <v>49</v>
      </c>
      <c r="X4599" t="str">
        <f>"0560011"</f>
        <v>0560011</v>
      </c>
      <c r="Y4599" t="s">
        <v>185</v>
      </c>
      <c r="Z4599" t="s">
        <v>157</v>
      </c>
      <c r="AA4599" t="s">
        <v>158</v>
      </c>
      <c r="AB4599" t="s">
        <v>131</v>
      </c>
      <c r="AC4599" t="s">
        <v>51</v>
      </c>
      <c r="AD4599" t="s">
        <v>45</v>
      </c>
      <c r="AE4599" s="1">
        <v>23562</v>
      </c>
      <c r="AF4599">
        <v>2</v>
      </c>
      <c r="AG4599" t="s">
        <v>158</v>
      </c>
      <c r="AH4599" s="36">
        <f t="shared" si="71"/>
        <v>55.263888888888886</v>
      </c>
      <c r="AI4599" s="41" t="s">
        <v>1781</v>
      </c>
    </row>
    <row r="4600" spans="1:35" x14ac:dyDescent="0.25">
      <c r="A4600" s="36">
        <v>99914598</v>
      </c>
      <c r="B4600" s="17" t="s">
        <v>32</v>
      </c>
      <c r="C4600" t="s">
        <v>64</v>
      </c>
      <c r="D4600" t="s">
        <v>65</v>
      </c>
      <c r="G4600" s="17" t="s">
        <v>48</v>
      </c>
      <c r="H4600" s="17">
        <v>1</v>
      </c>
      <c r="K4600" t="s">
        <v>1268</v>
      </c>
      <c r="L4600" t="s">
        <v>1269</v>
      </c>
      <c r="M4600" t="s">
        <v>1270</v>
      </c>
      <c r="N4600">
        <v>21</v>
      </c>
      <c r="O4600" t="s">
        <v>40</v>
      </c>
      <c r="P4600" t="s">
        <v>40</v>
      </c>
      <c r="Q4600" t="s">
        <v>40</v>
      </c>
      <c r="S4600" t="s">
        <v>40</v>
      </c>
      <c r="V4600" t="s">
        <v>41</v>
      </c>
      <c r="W4600" t="s">
        <v>49</v>
      </c>
      <c r="X4600" t="str">
        <f>"1981914"</f>
        <v>1981914</v>
      </c>
      <c r="Y4600" t="s">
        <v>1287</v>
      </c>
      <c r="Z4600" t="s">
        <v>1268</v>
      </c>
      <c r="AA4600" t="s">
        <v>1269</v>
      </c>
      <c r="AB4600" t="s">
        <v>1270</v>
      </c>
      <c r="AC4600" t="s">
        <v>51</v>
      </c>
      <c r="AD4600" t="s">
        <v>45</v>
      </c>
      <c r="AE4600" s="1">
        <v>23562</v>
      </c>
      <c r="AF4600">
        <v>2</v>
      </c>
      <c r="AG4600" t="s">
        <v>1269</v>
      </c>
      <c r="AH4600" s="36">
        <f t="shared" si="71"/>
        <v>55.263888888888886</v>
      </c>
      <c r="AI4600" s="41" t="s">
        <v>1781</v>
      </c>
    </row>
    <row r="4601" spans="1:35" x14ac:dyDescent="0.25">
      <c r="A4601" s="36">
        <v>99914599</v>
      </c>
      <c r="B4601" s="17" t="s">
        <v>32</v>
      </c>
      <c r="C4601" t="s">
        <v>52</v>
      </c>
      <c r="D4601" t="s">
        <v>53</v>
      </c>
      <c r="G4601" s="17" t="s">
        <v>48</v>
      </c>
      <c r="H4601" s="17">
        <v>1</v>
      </c>
      <c r="K4601" t="s">
        <v>223</v>
      </c>
      <c r="L4601" t="s">
        <v>224</v>
      </c>
      <c r="M4601" t="s">
        <v>131</v>
      </c>
      <c r="N4601">
        <v>18</v>
      </c>
      <c r="O4601" t="s">
        <v>40</v>
      </c>
      <c r="P4601" t="s">
        <v>40</v>
      </c>
      <c r="Q4601" t="s">
        <v>40</v>
      </c>
      <c r="S4601" t="s">
        <v>40</v>
      </c>
      <c r="V4601" t="s">
        <v>41</v>
      </c>
      <c r="W4601" t="s">
        <v>49</v>
      </c>
      <c r="X4601" t="str">
        <f>"0581265"</f>
        <v>0581265</v>
      </c>
      <c r="Y4601" t="s">
        <v>236</v>
      </c>
      <c r="Z4601" t="s">
        <v>223</v>
      </c>
      <c r="AA4601" t="s">
        <v>224</v>
      </c>
      <c r="AB4601" t="s">
        <v>131</v>
      </c>
      <c r="AC4601" t="s">
        <v>51</v>
      </c>
      <c r="AD4601" t="s">
        <v>45</v>
      </c>
      <c r="AE4601" s="1">
        <v>23561</v>
      </c>
      <c r="AF4601">
        <v>2</v>
      </c>
      <c r="AG4601" t="s">
        <v>224</v>
      </c>
      <c r="AH4601" s="36">
        <f t="shared" si="71"/>
        <v>55.266666666666666</v>
      </c>
      <c r="AI4601" s="41" t="s">
        <v>1781</v>
      </c>
    </row>
    <row r="4602" spans="1:35" x14ac:dyDescent="0.25">
      <c r="A4602" s="36">
        <v>99914600</v>
      </c>
      <c r="B4602" s="17" t="s">
        <v>32</v>
      </c>
      <c r="C4602" t="s">
        <v>46</v>
      </c>
      <c r="D4602" t="s">
        <v>47</v>
      </c>
      <c r="G4602" s="17" t="s">
        <v>48</v>
      </c>
      <c r="H4602" s="17">
        <v>1</v>
      </c>
      <c r="K4602" t="s">
        <v>223</v>
      </c>
      <c r="L4602" t="s">
        <v>224</v>
      </c>
      <c r="M4602" t="s">
        <v>131</v>
      </c>
      <c r="N4602">
        <v>11</v>
      </c>
      <c r="O4602" t="s">
        <v>40</v>
      </c>
      <c r="P4602" t="s">
        <v>40</v>
      </c>
      <c r="Q4602" t="s">
        <v>40</v>
      </c>
      <c r="R4602" t="s">
        <v>40</v>
      </c>
      <c r="S4602" t="s">
        <v>40</v>
      </c>
      <c r="V4602" t="s">
        <v>41</v>
      </c>
      <c r="W4602" t="s">
        <v>49</v>
      </c>
      <c r="X4602" t="str">
        <f>"0591910"</f>
        <v>0591910</v>
      </c>
      <c r="Y4602" t="s">
        <v>228</v>
      </c>
      <c r="Z4602" t="s">
        <v>223</v>
      </c>
      <c r="AA4602" t="s">
        <v>224</v>
      </c>
      <c r="AB4602" t="s">
        <v>131</v>
      </c>
      <c r="AC4602" t="s">
        <v>51</v>
      </c>
      <c r="AD4602" t="s">
        <v>45</v>
      </c>
      <c r="AE4602" s="1">
        <v>23558</v>
      </c>
      <c r="AF4602">
        <v>2</v>
      </c>
      <c r="AG4602" t="s">
        <v>224</v>
      </c>
      <c r="AH4602" s="36">
        <f t="shared" si="71"/>
        <v>55.274999999999999</v>
      </c>
      <c r="AI4602" s="41" t="s">
        <v>1781</v>
      </c>
    </row>
    <row r="4603" spans="1:35" x14ac:dyDescent="0.25">
      <c r="A4603" s="36">
        <v>99914601</v>
      </c>
      <c r="B4603" s="17" t="s">
        <v>56</v>
      </c>
      <c r="C4603" t="s">
        <v>46</v>
      </c>
      <c r="D4603" t="s">
        <v>47</v>
      </c>
      <c r="G4603" s="17" t="s">
        <v>48</v>
      </c>
      <c r="H4603" s="17">
        <v>1</v>
      </c>
      <c r="K4603" t="s">
        <v>129</v>
      </c>
      <c r="L4603" t="s">
        <v>130</v>
      </c>
      <c r="M4603" t="s">
        <v>131</v>
      </c>
      <c r="N4603">
        <v>18</v>
      </c>
      <c r="O4603" t="s">
        <v>40</v>
      </c>
      <c r="P4603" t="s">
        <v>40</v>
      </c>
      <c r="Q4603" t="s">
        <v>40</v>
      </c>
      <c r="R4603" t="s">
        <v>40</v>
      </c>
      <c r="S4603" t="s">
        <v>40</v>
      </c>
      <c r="V4603" t="s">
        <v>41</v>
      </c>
      <c r="W4603" t="s">
        <v>42</v>
      </c>
      <c r="X4603" t="str">
        <f>"0590905"</f>
        <v>0590905</v>
      </c>
      <c r="Y4603" t="s">
        <v>133</v>
      </c>
      <c r="Z4603" t="s">
        <v>129</v>
      </c>
      <c r="AA4603" t="s">
        <v>130</v>
      </c>
      <c r="AB4603" t="s">
        <v>131</v>
      </c>
      <c r="AC4603" t="s">
        <v>51</v>
      </c>
      <c r="AD4603" t="s">
        <v>45</v>
      </c>
      <c r="AE4603" s="1">
        <v>23552</v>
      </c>
      <c r="AF4603">
        <v>2</v>
      </c>
      <c r="AG4603" t="s">
        <v>130</v>
      </c>
      <c r="AH4603" s="36">
        <f t="shared" si="71"/>
        <v>55.291666666666664</v>
      </c>
      <c r="AI4603" s="41" t="s">
        <v>1781</v>
      </c>
    </row>
    <row r="4604" spans="1:35" x14ac:dyDescent="0.25">
      <c r="A4604" s="36">
        <v>99914602</v>
      </c>
      <c r="B4604" s="17" t="s">
        <v>56</v>
      </c>
      <c r="C4604" t="s">
        <v>111</v>
      </c>
      <c r="D4604" t="s">
        <v>112</v>
      </c>
      <c r="G4604" s="17" t="s">
        <v>48</v>
      </c>
      <c r="H4604" s="17">
        <v>1</v>
      </c>
      <c r="K4604" t="s">
        <v>1341</v>
      </c>
      <c r="L4604" t="s">
        <v>1342</v>
      </c>
      <c r="M4604" t="s">
        <v>1270</v>
      </c>
      <c r="N4604">
        <v>8</v>
      </c>
      <c r="O4604" t="s">
        <v>40</v>
      </c>
      <c r="P4604" t="s">
        <v>40</v>
      </c>
      <c r="Q4604" t="s">
        <v>40</v>
      </c>
      <c r="R4604" t="s">
        <v>40</v>
      </c>
      <c r="S4604" t="s">
        <v>40</v>
      </c>
      <c r="V4604" t="s">
        <v>41</v>
      </c>
      <c r="W4604" t="s">
        <v>75</v>
      </c>
      <c r="X4604" t="str">
        <f>"7191000"</f>
        <v>7191000</v>
      </c>
      <c r="Y4604" t="s">
        <v>1347</v>
      </c>
      <c r="Z4604" t="s">
        <v>1341</v>
      </c>
      <c r="AA4604" t="s">
        <v>1342</v>
      </c>
      <c r="AB4604" t="s">
        <v>1270</v>
      </c>
      <c r="AC4604" t="s">
        <v>51</v>
      </c>
      <c r="AD4604" t="s">
        <v>45</v>
      </c>
      <c r="AE4604" s="1">
        <v>23551</v>
      </c>
      <c r="AF4604">
        <v>1</v>
      </c>
      <c r="AG4604" t="s">
        <v>1342</v>
      </c>
      <c r="AH4604" s="36">
        <f t="shared" si="71"/>
        <v>55.294444444444444</v>
      </c>
      <c r="AI4604" s="41" t="s">
        <v>1781</v>
      </c>
    </row>
    <row r="4605" spans="1:35" x14ac:dyDescent="0.25">
      <c r="A4605" s="36">
        <v>99914603</v>
      </c>
      <c r="B4605" s="17" t="s">
        <v>32</v>
      </c>
      <c r="C4605" t="s">
        <v>111</v>
      </c>
      <c r="D4605" t="s">
        <v>112</v>
      </c>
      <c r="G4605" s="17" t="s">
        <v>35</v>
      </c>
      <c r="H4605" s="17">
        <v>1</v>
      </c>
      <c r="I4605">
        <v>2289</v>
      </c>
      <c r="J4605" s="1">
        <v>43344</v>
      </c>
      <c r="K4605" t="s">
        <v>1198</v>
      </c>
      <c r="L4605" t="s">
        <v>1199</v>
      </c>
      <c r="M4605" t="s">
        <v>1130</v>
      </c>
      <c r="N4605">
        <v>24</v>
      </c>
      <c r="O4605" t="s">
        <v>40</v>
      </c>
      <c r="S4605" t="s">
        <v>40</v>
      </c>
      <c r="U4605" s="1">
        <v>43344</v>
      </c>
      <c r="V4605" t="s">
        <v>41</v>
      </c>
      <c r="W4605" t="s">
        <v>75</v>
      </c>
      <c r="X4605" t="str">
        <f>"7311000"</f>
        <v>7311000</v>
      </c>
      <c r="Y4605" t="s">
        <v>1208</v>
      </c>
      <c r="Z4605" t="s">
        <v>1198</v>
      </c>
      <c r="AA4605" t="s">
        <v>1199</v>
      </c>
      <c r="AB4605" t="s">
        <v>1130</v>
      </c>
      <c r="AC4605" t="s">
        <v>51</v>
      </c>
      <c r="AD4605" t="s">
        <v>45</v>
      </c>
      <c r="AE4605" s="1">
        <v>23543</v>
      </c>
      <c r="AF4605">
        <v>1</v>
      </c>
      <c r="AG4605" t="s">
        <v>1199</v>
      </c>
      <c r="AH4605" s="36">
        <f t="shared" si="71"/>
        <v>55.31666666666667</v>
      </c>
      <c r="AI4605" s="41" t="s">
        <v>1781</v>
      </c>
    </row>
    <row r="4606" spans="1:35" x14ac:dyDescent="0.25">
      <c r="A4606" s="36">
        <v>99914604</v>
      </c>
      <c r="B4606" s="17" t="s">
        <v>56</v>
      </c>
      <c r="C4606" t="s">
        <v>85</v>
      </c>
      <c r="D4606" t="s">
        <v>86</v>
      </c>
      <c r="G4606" s="17" t="s">
        <v>48</v>
      </c>
      <c r="H4606" s="17">
        <v>1</v>
      </c>
      <c r="K4606" t="s">
        <v>223</v>
      </c>
      <c r="L4606" t="s">
        <v>224</v>
      </c>
      <c r="M4606" t="s">
        <v>131</v>
      </c>
      <c r="N4606">
        <v>7</v>
      </c>
      <c r="O4606" t="s">
        <v>40</v>
      </c>
      <c r="P4606" t="s">
        <v>40</v>
      </c>
      <c r="Q4606" t="s">
        <v>40</v>
      </c>
      <c r="R4606" t="s">
        <v>40</v>
      </c>
      <c r="S4606" t="s">
        <v>40</v>
      </c>
      <c r="V4606" t="s">
        <v>41</v>
      </c>
      <c r="W4606" t="s">
        <v>49</v>
      </c>
      <c r="X4606" t="str">
        <f>"0540902"</f>
        <v>0540902</v>
      </c>
      <c r="Y4606" t="s">
        <v>256</v>
      </c>
      <c r="Z4606" t="s">
        <v>223</v>
      </c>
      <c r="AA4606" t="s">
        <v>224</v>
      </c>
      <c r="AB4606" t="s">
        <v>131</v>
      </c>
      <c r="AC4606" t="s">
        <v>51</v>
      </c>
      <c r="AD4606" t="s">
        <v>45</v>
      </c>
      <c r="AE4606" s="1">
        <v>23542</v>
      </c>
      <c r="AF4606">
        <v>2</v>
      </c>
      <c r="AG4606" t="s">
        <v>224</v>
      </c>
      <c r="AH4606" s="36">
        <f t="shared" si="71"/>
        <v>55.319444444444443</v>
      </c>
      <c r="AI4606" s="41" t="s">
        <v>1781</v>
      </c>
    </row>
    <row r="4607" spans="1:35" x14ac:dyDescent="0.25">
      <c r="A4607" s="36">
        <v>99914605</v>
      </c>
      <c r="B4607" s="17" t="s">
        <v>32</v>
      </c>
      <c r="C4607" t="s">
        <v>111</v>
      </c>
      <c r="D4607" t="s">
        <v>112</v>
      </c>
      <c r="G4607" s="17" t="s">
        <v>48</v>
      </c>
      <c r="H4607" s="17">
        <v>1</v>
      </c>
      <c r="K4607" t="s">
        <v>1341</v>
      </c>
      <c r="L4607" t="s">
        <v>1342</v>
      </c>
      <c r="M4607" t="s">
        <v>1270</v>
      </c>
      <c r="N4607">
        <v>12</v>
      </c>
      <c r="O4607" t="s">
        <v>40</v>
      </c>
      <c r="P4607" t="s">
        <v>40</v>
      </c>
      <c r="Q4607" t="s">
        <v>40</v>
      </c>
      <c r="S4607" t="s">
        <v>40</v>
      </c>
      <c r="V4607" t="s">
        <v>41</v>
      </c>
      <c r="W4607" t="s">
        <v>75</v>
      </c>
      <c r="X4607" t="str">
        <f>"7191016"</f>
        <v>7191016</v>
      </c>
      <c r="Y4607" t="s">
        <v>1403</v>
      </c>
      <c r="Z4607" t="s">
        <v>1341</v>
      </c>
      <c r="AA4607" t="s">
        <v>1342</v>
      </c>
      <c r="AB4607" t="s">
        <v>1270</v>
      </c>
      <c r="AC4607" t="s">
        <v>51</v>
      </c>
      <c r="AD4607" t="s">
        <v>45</v>
      </c>
      <c r="AE4607" s="1">
        <v>23538</v>
      </c>
      <c r="AF4607">
        <v>1</v>
      </c>
      <c r="AG4607" t="s">
        <v>1342</v>
      </c>
      <c r="AH4607" s="36">
        <f t="shared" si="71"/>
        <v>55.330555555555556</v>
      </c>
      <c r="AI4607" s="41" t="s">
        <v>1781</v>
      </c>
    </row>
    <row r="4608" spans="1:35" x14ac:dyDescent="0.25">
      <c r="A4608" s="36">
        <v>99914606</v>
      </c>
      <c r="B4608" s="17" t="s">
        <v>56</v>
      </c>
      <c r="C4608" t="s">
        <v>71</v>
      </c>
      <c r="D4608" t="s">
        <v>72</v>
      </c>
      <c r="G4608" s="17" t="s">
        <v>35</v>
      </c>
      <c r="H4608" s="17">
        <v>1</v>
      </c>
      <c r="K4608" t="s">
        <v>223</v>
      </c>
      <c r="L4608" t="s">
        <v>224</v>
      </c>
      <c r="M4608" t="s">
        <v>131</v>
      </c>
      <c r="N4608">
        <v>18</v>
      </c>
      <c r="O4608" t="s">
        <v>40</v>
      </c>
      <c r="P4608" t="s">
        <v>40</v>
      </c>
      <c r="Q4608" t="s">
        <v>40</v>
      </c>
      <c r="S4608" t="s">
        <v>40</v>
      </c>
      <c r="V4608" t="s">
        <v>41</v>
      </c>
      <c r="W4608" t="s">
        <v>42</v>
      </c>
      <c r="X4608" t="str">
        <f>"0590903"</f>
        <v>0590903</v>
      </c>
      <c r="Y4608" t="s">
        <v>226</v>
      </c>
      <c r="Z4608" t="s">
        <v>223</v>
      </c>
      <c r="AA4608" t="s">
        <v>224</v>
      </c>
      <c r="AB4608" t="s">
        <v>131</v>
      </c>
      <c r="AC4608" t="s">
        <v>51</v>
      </c>
      <c r="AD4608" t="s">
        <v>45</v>
      </c>
      <c r="AE4608" s="1">
        <v>23536</v>
      </c>
      <c r="AF4608">
        <v>2</v>
      </c>
      <c r="AG4608" t="s">
        <v>224</v>
      </c>
      <c r="AH4608" s="36">
        <f t="shared" si="71"/>
        <v>55.336111111111109</v>
      </c>
      <c r="AI4608" s="41" t="s">
        <v>1781</v>
      </c>
    </row>
    <row r="4609" spans="1:35" x14ac:dyDescent="0.25">
      <c r="A4609" s="36">
        <v>99914607</v>
      </c>
      <c r="B4609" s="17" t="s">
        <v>32</v>
      </c>
      <c r="C4609" t="s">
        <v>82</v>
      </c>
      <c r="D4609" t="s">
        <v>83</v>
      </c>
      <c r="G4609" s="17" t="s">
        <v>48</v>
      </c>
      <c r="H4609" s="17">
        <v>1</v>
      </c>
      <c r="K4609" t="s">
        <v>223</v>
      </c>
      <c r="L4609" t="s">
        <v>224</v>
      </c>
      <c r="M4609" t="s">
        <v>131</v>
      </c>
      <c r="N4609">
        <v>18</v>
      </c>
      <c r="O4609" t="s">
        <v>40</v>
      </c>
      <c r="P4609" t="s">
        <v>40</v>
      </c>
      <c r="Q4609" t="s">
        <v>40</v>
      </c>
      <c r="R4609" t="s">
        <v>40</v>
      </c>
      <c r="S4609" t="s">
        <v>40</v>
      </c>
      <c r="V4609" t="s">
        <v>41</v>
      </c>
      <c r="W4609" t="s">
        <v>42</v>
      </c>
      <c r="X4609" t="str">
        <f>"0580204"</f>
        <v>0580204</v>
      </c>
      <c r="Y4609" t="s">
        <v>235</v>
      </c>
      <c r="Z4609" t="s">
        <v>223</v>
      </c>
      <c r="AA4609" t="s">
        <v>224</v>
      </c>
      <c r="AB4609" t="s">
        <v>131</v>
      </c>
      <c r="AC4609" t="s">
        <v>165</v>
      </c>
      <c r="AD4609" t="s">
        <v>45</v>
      </c>
      <c r="AE4609" s="1">
        <v>23536</v>
      </c>
      <c r="AF4609">
        <v>2</v>
      </c>
      <c r="AG4609" t="s">
        <v>224</v>
      </c>
      <c r="AH4609" s="36">
        <f t="shared" si="71"/>
        <v>55.336111111111109</v>
      </c>
      <c r="AI4609" s="41" t="s">
        <v>1781</v>
      </c>
    </row>
    <row r="4610" spans="1:35" x14ac:dyDescent="0.25">
      <c r="A4610" s="36">
        <v>99914608</v>
      </c>
      <c r="B4610" s="17" t="s">
        <v>32</v>
      </c>
      <c r="C4610" t="s">
        <v>139</v>
      </c>
      <c r="D4610" t="s">
        <v>140</v>
      </c>
      <c r="G4610" s="17" t="s">
        <v>48</v>
      </c>
      <c r="H4610" s="17">
        <v>1</v>
      </c>
      <c r="K4610" t="s">
        <v>223</v>
      </c>
      <c r="L4610" t="s">
        <v>224</v>
      </c>
      <c r="M4610" t="s">
        <v>131</v>
      </c>
      <c r="N4610">
        <v>6</v>
      </c>
      <c r="O4610" t="s">
        <v>40</v>
      </c>
      <c r="P4610" t="s">
        <v>40</v>
      </c>
      <c r="Q4610" t="s">
        <v>40</v>
      </c>
      <c r="S4610" t="s">
        <v>40</v>
      </c>
      <c r="V4610" t="s">
        <v>41</v>
      </c>
      <c r="W4610" t="s">
        <v>49</v>
      </c>
      <c r="X4610" t="str">
        <f>"0581265"</f>
        <v>0581265</v>
      </c>
      <c r="Y4610" t="s">
        <v>236</v>
      </c>
      <c r="Z4610" t="s">
        <v>223</v>
      </c>
      <c r="AA4610" t="s">
        <v>224</v>
      </c>
      <c r="AB4610" t="s">
        <v>131</v>
      </c>
      <c r="AC4610" t="s">
        <v>51</v>
      </c>
      <c r="AD4610" t="s">
        <v>45</v>
      </c>
      <c r="AE4610" s="1">
        <v>23536</v>
      </c>
      <c r="AF4610">
        <v>2</v>
      </c>
      <c r="AG4610" t="s">
        <v>224</v>
      </c>
      <c r="AH4610" s="36">
        <f t="shared" ref="AH4610:AH4673" si="72">($AJ$1-AE4610)/360</f>
        <v>55.336111111111109</v>
      </c>
      <c r="AI4610" s="41" t="s">
        <v>1781</v>
      </c>
    </row>
    <row r="4611" spans="1:35" x14ac:dyDescent="0.25">
      <c r="A4611" s="36">
        <v>99914609</v>
      </c>
      <c r="B4611" s="17" t="s">
        <v>56</v>
      </c>
      <c r="C4611" t="s">
        <v>52</v>
      </c>
      <c r="D4611" t="s">
        <v>53</v>
      </c>
      <c r="G4611" s="17" t="s">
        <v>48</v>
      </c>
      <c r="H4611" s="17">
        <v>1</v>
      </c>
      <c r="K4611" t="s">
        <v>162</v>
      </c>
      <c r="L4611" t="s">
        <v>158</v>
      </c>
      <c r="M4611" t="s">
        <v>131</v>
      </c>
      <c r="N4611">
        <v>16</v>
      </c>
      <c r="O4611" t="s">
        <v>40</v>
      </c>
      <c r="P4611" t="s">
        <v>40</v>
      </c>
      <c r="Q4611" t="s">
        <v>40</v>
      </c>
      <c r="S4611" t="s">
        <v>40</v>
      </c>
      <c r="V4611" t="s">
        <v>41</v>
      </c>
      <c r="W4611" t="s">
        <v>42</v>
      </c>
      <c r="X4611" t="str">
        <f>"0580325"</f>
        <v>0580325</v>
      </c>
      <c r="Y4611" t="s">
        <v>170</v>
      </c>
      <c r="Z4611" t="s">
        <v>162</v>
      </c>
      <c r="AA4611" t="s">
        <v>158</v>
      </c>
      <c r="AB4611" t="s">
        <v>131</v>
      </c>
      <c r="AC4611" t="s">
        <v>165</v>
      </c>
      <c r="AD4611" t="s">
        <v>45</v>
      </c>
      <c r="AE4611" s="1">
        <v>23533</v>
      </c>
      <c r="AF4611">
        <v>2</v>
      </c>
      <c r="AG4611" t="s">
        <v>158</v>
      </c>
      <c r="AH4611" s="36">
        <f t="shared" si="72"/>
        <v>55.344444444444441</v>
      </c>
      <c r="AI4611" s="41" t="s">
        <v>1781</v>
      </c>
    </row>
    <row r="4612" spans="1:35" x14ac:dyDescent="0.25">
      <c r="A4612" s="36">
        <v>99914610</v>
      </c>
      <c r="B4612" s="17" t="s">
        <v>32</v>
      </c>
      <c r="C4612" t="s">
        <v>64</v>
      </c>
      <c r="D4612" t="s">
        <v>65</v>
      </c>
      <c r="G4612" s="17" t="s">
        <v>48</v>
      </c>
      <c r="H4612" s="17">
        <v>1</v>
      </c>
      <c r="K4612" t="s">
        <v>129</v>
      </c>
      <c r="L4612" t="s">
        <v>130</v>
      </c>
      <c r="M4612" t="s">
        <v>131</v>
      </c>
      <c r="N4612">
        <v>18</v>
      </c>
      <c r="O4612" t="s">
        <v>40</v>
      </c>
      <c r="P4612" t="s">
        <v>40</v>
      </c>
      <c r="Q4612" t="s">
        <v>40</v>
      </c>
      <c r="R4612" t="s">
        <v>40</v>
      </c>
      <c r="S4612" t="s">
        <v>40</v>
      </c>
      <c r="V4612" t="s">
        <v>41</v>
      </c>
      <c r="W4612" t="s">
        <v>49</v>
      </c>
      <c r="X4612" t="str">
        <f>"0591905"</f>
        <v>0591905</v>
      </c>
      <c r="Y4612" t="s">
        <v>135</v>
      </c>
      <c r="Z4612" t="s">
        <v>129</v>
      </c>
      <c r="AA4612" t="s">
        <v>130</v>
      </c>
      <c r="AB4612" t="s">
        <v>131</v>
      </c>
      <c r="AC4612" t="s">
        <v>51</v>
      </c>
      <c r="AD4612" t="s">
        <v>45</v>
      </c>
      <c r="AE4612" s="1">
        <v>23531</v>
      </c>
      <c r="AF4612">
        <v>2</v>
      </c>
      <c r="AG4612" t="s">
        <v>130</v>
      </c>
      <c r="AH4612" s="36">
        <f t="shared" si="72"/>
        <v>55.35</v>
      </c>
      <c r="AI4612" s="41" t="s">
        <v>1781</v>
      </c>
    </row>
    <row r="4613" spans="1:35" x14ac:dyDescent="0.25">
      <c r="A4613" s="36">
        <v>99914611</v>
      </c>
      <c r="B4613" s="17" t="s">
        <v>32</v>
      </c>
      <c r="C4613" t="s">
        <v>111</v>
      </c>
      <c r="D4613" t="s">
        <v>112</v>
      </c>
      <c r="G4613" s="17" t="s">
        <v>48</v>
      </c>
      <c r="H4613" s="17">
        <v>1</v>
      </c>
      <c r="K4613" t="s">
        <v>268</v>
      </c>
      <c r="L4613" t="s">
        <v>269</v>
      </c>
      <c r="M4613" t="s">
        <v>131</v>
      </c>
      <c r="N4613">
        <v>6</v>
      </c>
      <c r="O4613" t="s">
        <v>40</v>
      </c>
      <c r="P4613" t="s">
        <v>40</v>
      </c>
      <c r="Q4613" t="s">
        <v>40</v>
      </c>
      <c r="R4613" t="s">
        <v>40</v>
      </c>
      <c r="S4613" t="s">
        <v>40</v>
      </c>
      <c r="V4613" t="s">
        <v>41</v>
      </c>
      <c r="W4613" t="s">
        <v>75</v>
      </c>
      <c r="X4613" t="str">
        <f>"7052040"</f>
        <v>7052040</v>
      </c>
      <c r="Y4613" t="s">
        <v>591</v>
      </c>
      <c r="Z4613" t="s">
        <v>268</v>
      </c>
      <c r="AA4613" t="s">
        <v>269</v>
      </c>
      <c r="AB4613" t="s">
        <v>131</v>
      </c>
      <c r="AC4613" t="s">
        <v>51</v>
      </c>
      <c r="AD4613" t="s">
        <v>45</v>
      </c>
      <c r="AE4613" s="1">
        <v>23526</v>
      </c>
      <c r="AF4613">
        <v>1</v>
      </c>
      <c r="AG4613" t="s">
        <v>269</v>
      </c>
      <c r="AH4613" s="36">
        <f t="shared" si="72"/>
        <v>55.363888888888887</v>
      </c>
      <c r="AI4613" s="41" t="s">
        <v>1781</v>
      </c>
    </row>
    <row r="4614" spans="1:35" x14ac:dyDescent="0.25">
      <c r="A4614" s="36">
        <v>99914612</v>
      </c>
      <c r="B4614" s="17" t="s">
        <v>56</v>
      </c>
      <c r="C4614" t="s">
        <v>68</v>
      </c>
      <c r="D4614" t="s">
        <v>69</v>
      </c>
      <c r="G4614" s="17" t="s">
        <v>48</v>
      </c>
      <c r="H4614" s="17">
        <v>1</v>
      </c>
      <c r="K4614" t="s">
        <v>936</v>
      </c>
      <c r="L4614" t="s">
        <v>937</v>
      </c>
      <c r="M4614" t="s">
        <v>938</v>
      </c>
      <c r="N4614">
        <v>20</v>
      </c>
      <c r="O4614" t="s">
        <v>40</v>
      </c>
      <c r="P4614" t="s">
        <v>40</v>
      </c>
      <c r="Q4614" t="s">
        <v>40</v>
      </c>
      <c r="R4614" t="s">
        <v>40</v>
      </c>
      <c r="S4614" t="s">
        <v>40</v>
      </c>
      <c r="V4614" t="s">
        <v>41</v>
      </c>
      <c r="W4614" t="s">
        <v>42</v>
      </c>
      <c r="X4614" t="str">
        <f>"0161002"</f>
        <v>0161002</v>
      </c>
      <c r="Y4614" t="s">
        <v>941</v>
      </c>
      <c r="Z4614" t="s">
        <v>936</v>
      </c>
      <c r="AA4614" t="s">
        <v>937</v>
      </c>
      <c r="AB4614" t="s">
        <v>938</v>
      </c>
      <c r="AC4614" t="s">
        <v>51</v>
      </c>
      <c r="AD4614" t="s">
        <v>45</v>
      </c>
      <c r="AE4614" s="1">
        <v>23524</v>
      </c>
      <c r="AF4614">
        <v>2</v>
      </c>
      <c r="AG4614" t="s">
        <v>937</v>
      </c>
      <c r="AH4614" s="36">
        <f t="shared" si="72"/>
        <v>55.369444444444447</v>
      </c>
      <c r="AI4614" s="41" t="s">
        <v>1781</v>
      </c>
    </row>
    <row r="4615" spans="1:35" x14ac:dyDescent="0.25">
      <c r="A4615" s="36">
        <v>99914613</v>
      </c>
      <c r="B4615" s="17" t="s">
        <v>56</v>
      </c>
      <c r="C4615" t="s">
        <v>46</v>
      </c>
      <c r="D4615" t="s">
        <v>47</v>
      </c>
      <c r="G4615" s="17" t="s">
        <v>48</v>
      </c>
      <c r="H4615" s="17">
        <v>1</v>
      </c>
      <c r="K4615" t="s">
        <v>1268</v>
      </c>
      <c r="L4615" t="s">
        <v>1269</v>
      </c>
      <c r="M4615" t="s">
        <v>1270</v>
      </c>
      <c r="N4615">
        <v>20</v>
      </c>
      <c r="O4615" t="s">
        <v>40</v>
      </c>
      <c r="P4615" t="s">
        <v>40</v>
      </c>
      <c r="Q4615" t="s">
        <v>40</v>
      </c>
      <c r="S4615" t="s">
        <v>40</v>
      </c>
      <c r="V4615" t="s">
        <v>41</v>
      </c>
      <c r="W4615" t="s">
        <v>42</v>
      </c>
      <c r="X4615" t="str">
        <f>"1990911"</f>
        <v>1990911</v>
      </c>
      <c r="Y4615" t="s">
        <v>1276</v>
      </c>
      <c r="Z4615" t="s">
        <v>1268</v>
      </c>
      <c r="AA4615" t="s">
        <v>1269</v>
      </c>
      <c r="AB4615" t="s">
        <v>1270</v>
      </c>
      <c r="AC4615" t="s">
        <v>165</v>
      </c>
      <c r="AD4615" t="s">
        <v>45</v>
      </c>
      <c r="AE4615" s="1">
        <v>23522</v>
      </c>
      <c r="AF4615">
        <v>2</v>
      </c>
      <c r="AG4615" t="s">
        <v>1269</v>
      </c>
      <c r="AH4615" s="36">
        <f t="shared" si="72"/>
        <v>55.375</v>
      </c>
      <c r="AI4615" s="41" t="s">
        <v>1781</v>
      </c>
    </row>
    <row r="4616" spans="1:35" x14ac:dyDescent="0.25">
      <c r="A4616" s="36">
        <v>99914614</v>
      </c>
      <c r="B4616" s="17" t="s">
        <v>56</v>
      </c>
      <c r="C4616" t="s">
        <v>79</v>
      </c>
      <c r="D4616" t="s">
        <v>80</v>
      </c>
      <c r="G4616" s="17" t="s">
        <v>35</v>
      </c>
      <c r="H4616" s="17">
        <v>1</v>
      </c>
      <c r="K4616" t="s">
        <v>1268</v>
      </c>
      <c r="L4616" t="s">
        <v>1269</v>
      </c>
      <c r="M4616" t="s">
        <v>1270</v>
      </c>
      <c r="N4616">
        <v>10</v>
      </c>
      <c r="O4616" t="s">
        <v>40</v>
      </c>
      <c r="P4616" t="s">
        <v>40</v>
      </c>
      <c r="Q4616" t="s">
        <v>40</v>
      </c>
      <c r="S4616" t="s">
        <v>40</v>
      </c>
      <c r="V4616" t="s">
        <v>41</v>
      </c>
      <c r="W4616" t="s">
        <v>42</v>
      </c>
      <c r="X4616" t="str">
        <f>"1990001"</f>
        <v>1990001</v>
      </c>
      <c r="Y4616" t="s">
        <v>1294</v>
      </c>
      <c r="Z4616" t="s">
        <v>1268</v>
      </c>
      <c r="AA4616" t="s">
        <v>1269</v>
      </c>
      <c r="AB4616" t="s">
        <v>1270</v>
      </c>
      <c r="AC4616" t="s">
        <v>51</v>
      </c>
      <c r="AD4616" t="s">
        <v>45</v>
      </c>
      <c r="AE4616" s="1">
        <v>23522</v>
      </c>
      <c r="AF4616">
        <v>2</v>
      </c>
      <c r="AG4616" t="s">
        <v>1269</v>
      </c>
      <c r="AH4616" s="36">
        <f t="shared" si="72"/>
        <v>55.375</v>
      </c>
      <c r="AI4616" s="41" t="s">
        <v>1781</v>
      </c>
    </row>
    <row r="4617" spans="1:35" x14ac:dyDescent="0.25">
      <c r="A4617" s="36">
        <v>99914615</v>
      </c>
      <c r="B4617" s="17" t="s">
        <v>56</v>
      </c>
      <c r="C4617" t="s">
        <v>68</v>
      </c>
      <c r="D4617" t="s">
        <v>69</v>
      </c>
      <c r="G4617" s="17" t="s">
        <v>48</v>
      </c>
      <c r="H4617" s="17">
        <v>9</v>
      </c>
      <c r="K4617" t="s">
        <v>129</v>
      </c>
      <c r="L4617" t="s">
        <v>130</v>
      </c>
      <c r="M4617" t="s">
        <v>131</v>
      </c>
      <c r="N4617">
        <v>20</v>
      </c>
      <c r="O4617" t="s">
        <v>40</v>
      </c>
      <c r="P4617" t="s">
        <v>40</v>
      </c>
      <c r="Q4617" t="s">
        <v>40</v>
      </c>
      <c r="R4617" t="s">
        <v>40</v>
      </c>
      <c r="S4617" t="s">
        <v>40</v>
      </c>
      <c r="U4617" s="1">
        <v>36130</v>
      </c>
      <c r="V4617" t="s">
        <v>41</v>
      </c>
      <c r="W4617" t="s">
        <v>42</v>
      </c>
      <c r="X4617" t="str">
        <f>"0561011"</f>
        <v>0561011</v>
      </c>
      <c r="Y4617" t="s">
        <v>132</v>
      </c>
      <c r="Z4617" t="s">
        <v>129</v>
      </c>
      <c r="AA4617" t="s">
        <v>130</v>
      </c>
      <c r="AB4617" t="s">
        <v>131</v>
      </c>
      <c r="AC4617" t="s">
        <v>51</v>
      </c>
      <c r="AD4617" t="s">
        <v>45</v>
      </c>
      <c r="AE4617" s="1">
        <v>23521</v>
      </c>
      <c r="AF4617">
        <v>2</v>
      </c>
      <c r="AG4617" t="s">
        <v>130</v>
      </c>
      <c r="AH4617" s="36">
        <f t="shared" si="72"/>
        <v>55.37777777777778</v>
      </c>
      <c r="AI4617" s="41" t="s">
        <v>1781</v>
      </c>
    </row>
    <row r="4618" spans="1:35" x14ac:dyDescent="0.25">
      <c r="A4618" s="36">
        <v>99914616</v>
      </c>
      <c r="B4618" s="17" t="s">
        <v>56</v>
      </c>
      <c r="C4618" t="s">
        <v>46</v>
      </c>
      <c r="D4618" t="s">
        <v>47</v>
      </c>
      <c r="G4618" s="17" t="s">
        <v>48</v>
      </c>
      <c r="H4618" s="17">
        <v>1</v>
      </c>
      <c r="K4618" t="s">
        <v>157</v>
      </c>
      <c r="L4618" t="s">
        <v>158</v>
      </c>
      <c r="M4618" t="s">
        <v>131</v>
      </c>
      <c r="N4618">
        <v>12</v>
      </c>
      <c r="O4618" t="s">
        <v>40</v>
      </c>
      <c r="P4618" t="s">
        <v>40</v>
      </c>
      <c r="Q4618" t="s">
        <v>40</v>
      </c>
      <c r="R4618" t="s">
        <v>40</v>
      </c>
      <c r="S4618" t="s">
        <v>40</v>
      </c>
      <c r="V4618" t="s">
        <v>41</v>
      </c>
      <c r="W4618" t="s">
        <v>42</v>
      </c>
      <c r="X4618" t="str">
        <f>"0580290"</f>
        <v>0580290</v>
      </c>
      <c r="Y4618" t="s">
        <v>171</v>
      </c>
      <c r="Z4618" t="s">
        <v>157</v>
      </c>
      <c r="AA4618" t="s">
        <v>158</v>
      </c>
      <c r="AB4618" t="s">
        <v>131</v>
      </c>
      <c r="AC4618" t="s">
        <v>51</v>
      </c>
      <c r="AD4618" t="s">
        <v>45</v>
      </c>
      <c r="AE4618" s="1">
        <v>23515</v>
      </c>
      <c r="AF4618">
        <v>2</v>
      </c>
      <c r="AG4618" t="s">
        <v>158</v>
      </c>
      <c r="AH4618" s="36">
        <f t="shared" si="72"/>
        <v>55.394444444444446</v>
      </c>
      <c r="AI4618" s="41" t="s">
        <v>1781</v>
      </c>
    </row>
    <row r="4619" spans="1:35" x14ac:dyDescent="0.25">
      <c r="A4619" s="36">
        <v>99914617</v>
      </c>
      <c r="B4619" s="17" t="s">
        <v>56</v>
      </c>
      <c r="C4619" t="s">
        <v>68</v>
      </c>
      <c r="D4619" t="s">
        <v>69</v>
      </c>
      <c r="G4619" s="17" t="s">
        <v>48</v>
      </c>
      <c r="H4619" s="17">
        <v>1</v>
      </c>
      <c r="K4619" t="s">
        <v>129</v>
      </c>
      <c r="L4619" t="s">
        <v>130</v>
      </c>
      <c r="M4619" t="s">
        <v>131</v>
      </c>
      <c r="N4619">
        <v>20</v>
      </c>
      <c r="O4619" t="s">
        <v>40</v>
      </c>
      <c r="P4619" t="s">
        <v>40</v>
      </c>
      <c r="Q4619" t="s">
        <v>40</v>
      </c>
      <c r="R4619" t="s">
        <v>40</v>
      </c>
      <c r="S4619" t="s">
        <v>40</v>
      </c>
      <c r="V4619" t="s">
        <v>41</v>
      </c>
      <c r="W4619" t="s">
        <v>42</v>
      </c>
      <c r="X4619" t="str">
        <f>"0590905"</f>
        <v>0590905</v>
      </c>
      <c r="Y4619" t="s">
        <v>133</v>
      </c>
      <c r="Z4619" t="s">
        <v>129</v>
      </c>
      <c r="AA4619" t="s">
        <v>130</v>
      </c>
      <c r="AB4619" t="s">
        <v>131</v>
      </c>
      <c r="AC4619" t="s">
        <v>51</v>
      </c>
      <c r="AD4619" t="s">
        <v>45</v>
      </c>
      <c r="AE4619" s="1">
        <v>23511</v>
      </c>
      <c r="AF4619">
        <v>2</v>
      </c>
      <c r="AG4619" t="s">
        <v>130</v>
      </c>
      <c r="AH4619" s="36">
        <f t="shared" si="72"/>
        <v>55.405555555555559</v>
      </c>
      <c r="AI4619" s="41" t="s">
        <v>1781</v>
      </c>
    </row>
    <row r="4620" spans="1:35" x14ac:dyDescent="0.25">
      <c r="A4620" s="36">
        <v>99914618</v>
      </c>
      <c r="B4620" s="17" t="s">
        <v>32</v>
      </c>
      <c r="C4620" t="s">
        <v>46</v>
      </c>
      <c r="D4620" t="s">
        <v>47</v>
      </c>
      <c r="G4620" s="17" t="s">
        <v>35</v>
      </c>
      <c r="H4620" s="17">
        <v>1</v>
      </c>
      <c r="K4620" t="s">
        <v>1268</v>
      </c>
      <c r="L4620" t="s">
        <v>1269</v>
      </c>
      <c r="M4620" t="s">
        <v>1270</v>
      </c>
      <c r="N4620">
        <v>18</v>
      </c>
      <c r="O4620" t="s">
        <v>40</v>
      </c>
      <c r="P4620" t="s">
        <v>40</v>
      </c>
      <c r="Q4620" t="s">
        <v>40</v>
      </c>
      <c r="S4620" t="s">
        <v>40</v>
      </c>
      <c r="V4620" t="s">
        <v>41</v>
      </c>
      <c r="W4620" t="s">
        <v>42</v>
      </c>
      <c r="X4620" t="str">
        <f>"1990914"</f>
        <v>1990914</v>
      </c>
      <c r="Y4620" t="s">
        <v>1275</v>
      </c>
      <c r="Z4620" t="s">
        <v>1268</v>
      </c>
      <c r="AA4620" t="s">
        <v>1269</v>
      </c>
      <c r="AB4620" t="s">
        <v>1270</v>
      </c>
      <c r="AC4620" t="s">
        <v>51</v>
      </c>
      <c r="AD4620" t="s">
        <v>45</v>
      </c>
      <c r="AE4620" s="1">
        <v>23507</v>
      </c>
      <c r="AF4620">
        <v>2</v>
      </c>
      <c r="AG4620" t="s">
        <v>1269</v>
      </c>
      <c r="AH4620" s="36">
        <f t="shared" si="72"/>
        <v>55.416666666666664</v>
      </c>
      <c r="AI4620" s="41" t="s">
        <v>1781</v>
      </c>
    </row>
    <row r="4621" spans="1:35" x14ac:dyDescent="0.25">
      <c r="A4621" s="36">
        <v>99914619</v>
      </c>
      <c r="B4621" s="17" t="s">
        <v>32</v>
      </c>
      <c r="C4621" t="s">
        <v>82</v>
      </c>
      <c r="D4621" t="s">
        <v>83</v>
      </c>
      <c r="G4621" s="17" t="s">
        <v>48</v>
      </c>
      <c r="H4621" s="17">
        <v>1</v>
      </c>
      <c r="K4621" t="s">
        <v>129</v>
      </c>
      <c r="L4621" t="s">
        <v>130</v>
      </c>
      <c r="M4621" t="s">
        <v>131</v>
      </c>
      <c r="N4621">
        <v>20</v>
      </c>
      <c r="O4621" t="s">
        <v>40</v>
      </c>
      <c r="P4621" t="s">
        <v>40</v>
      </c>
      <c r="Q4621" t="s">
        <v>40</v>
      </c>
      <c r="R4621" t="s">
        <v>40</v>
      </c>
      <c r="S4621" t="s">
        <v>40</v>
      </c>
      <c r="V4621" t="s">
        <v>41</v>
      </c>
      <c r="W4621" t="s">
        <v>42</v>
      </c>
      <c r="X4621" t="str">
        <f>"0590905"</f>
        <v>0590905</v>
      </c>
      <c r="Y4621" t="s">
        <v>133</v>
      </c>
      <c r="Z4621" t="s">
        <v>129</v>
      </c>
      <c r="AA4621" t="s">
        <v>130</v>
      </c>
      <c r="AB4621" t="s">
        <v>131</v>
      </c>
      <c r="AC4621" t="s">
        <v>51</v>
      </c>
      <c r="AD4621" t="s">
        <v>45</v>
      </c>
      <c r="AE4621" s="1">
        <v>23505</v>
      </c>
      <c r="AF4621">
        <v>2</v>
      </c>
      <c r="AG4621" t="s">
        <v>130</v>
      </c>
      <c r="AH4621" s="36">
        <f t="shared" si="72"/>
        <v>55.422222222222224</v>
      </c>
      <c r="AI4621" s="41" t="s">
        <v>1781</v>
      </c>
    </row>
    <row r="4622" spans="1:35" x14ac:dyDescent="0.25">
      <c r="A4622" s="36">
        <v>99914620</v>
      </c>
      <c r="B4622" s="17" t="s">
        <v>32</v>
      </c>
      <c r="C4622" t="s">
        <v>111</v>
      </c>
      <c r="D4622" t="s">
        <v>112</v>
      </c>
      <c r="G4622" s="17" t="s">
        <v>35</v>
      </c>
      <c r="H4622" s="17">
        <v>15</v>
      </c>
      <c r="K4622" t="s">
        <v>268</v>
      </c>
      <c r="L4622" t="s">
        <v>269</v>
      </c>
      <c r="M4622" t="s">
        <v>131</v>
      </c>
      <c r="N4622">
        <v>21</v>
      </c>
      <c r="O4622" t="s">
        <v>40</v>
      </c>
      <c r="P4622" t="s">
        <v>40</v>
      </c>
      <c r="Q4622" t="s">
        <v>40</v>
      </c>
      <c r="R4622" t="s">
        <v>40</v>
      </c>
      <c r="S4622" t="s">
        <v>40</v>
      </c>
      <c r="V4622" t="s">
        <v>41</v>
      </c>
      <c r="W4622" t="s">
        <v>75</v>
      </c>
      <c r="X4622" t="str">
        <f>"7052006"</f>
        <v>7052006</v>
      </c>
      <c r="Y4622" t="s">
        <v>575</v>
      </c>
      <c r="Z4622" t="s">
        <v>268</v>
      </c>
      <c r="AA4622" t="s">
        <v>269</v>
      </c>
      <c r="AB4622" t="s">
        <v>131</v>
      </c>
      <c r="AC4622" t="s">
        <v>165</v>
      </c>
      <c r="AD4622" t="s">
        <v>45</v>
      </c>
      <c r="AE4622" s="1">
        <v>23502</v>
      </c>
      <c r="AF4622">
        <v>1</v>
      </c>
      <c r="AG4622" t="s">
        <v>269</v>
      </c>
      <c r="AH4622" s="36">
        <f t="shared" si="72"/>
        <v>55.430555555555557</v>
      </c>
      <c r="AI4622" s="41" t="s">
        <v>1781</v>
      </c>
    </row>
    <row r="4623" spans="1:35" x14ac:dyDescent="0.25">
      <c r="A4623" s="36">
        <v>99914621</v>
      </c>
      <c r="B4623" s="17" t="s">
        <v>32</v>
      </c>
      <c r="C4623" t="s">
        <v>52</v>
      </c>
      <c r="D4623" t="s">
        <v>53</v>
      </c>
      <c r="G4623" s="17" t="s">
        <v>48</v>
      </c>
      <c r="H4623" s="17">
        <v>1</v>
      </c>
      <c r="K4623" t="s">
        <v>129</v>
      </c>
      <c r="L4623" t="s">
        <v>130</v>
      </c>
      <c r="M4623" t="s">
        <v>131</v>
      </c>
      <c r="N4623">
        <v>20</v>
      </c>
      <c r="O4623" t="s">
        <v>40</v>
      </c>
      <c r="P4623" t="s">
        <v>40</v>
      </c>
      <c r="Q4623" t="s">
        <v>40</v>
      </c>
      <c r="R4623" t="s">
        <v>40</v>
      </c>
      <c r="S4623" t="s">
        <v>40</v>
      </c>
      <c r="V4623" t="s">
        <v>41</v>
      </c>
      <c r="W4623" t="s">
        <v>49</v>
      </c>
      <c r="X4623" t="str">
        <f>"0591905"</f>
        <v>0591905</v>
      </c>
      <c r="Y4623" t="s">
        <v>135</v>
      </c>
      <c r="Z4623" t="s">
        <v>129</v>
      </c>
      <c r="AA4623" t="s">
        <v>130</v>
      </c>
      <c r="AB4623" t="s">
        <v>131</v>
      </c>
      <c r="AC4623" t="s">
        <v>51</v>
      </c>
      <c r="AD4623" t="s">
        <v>45</v>
      </c>
      <c r="AE4623" s="1">
        <v>23501</v>
      </c>
      <c r="AF4623">
        <v>2</v>
      </c>
      <c r="AG4623" t="s">
        <v>130</v>
      </c>
      <c r="AH4623" s="36">
        <f t="shared" si="72"/>
        <v>55.43333333333333</v>
      </c>
      <c r="AI4623" s="41" t="s">
        <v>1781</v>
      </c>
    </row>
    <row r="4624" spans="1:35" x14ac:dyDescent="0.25">
      <c r="A4624" s="36">
        <v>99914622</v>
      </c>
      <c r="B4624" s="17" t="s">
        <v>32</v>
      </c>
      <c r="C4624" t="s">
        <v>58</v>
      </c>
      <c r="D4624" t="s">
        <v>59</v>
      </c>
      <c r="E4624" t="s">
        <v>46</v>
      </c>
      <c r="F4624" t="s">
        <v>47</v>
      </c>
      <c r="G4624" s="17" t="s">
        <v>48</v>
      </c>
      <c r="H4624" s="17">
        <v>12</v>
      </c>
      <c r="K4624" t="s">
        <v>345</v>
      </c>
      <c r="L4624" t="s">
        <v>346</v>
      </c>
      <c r="M4624" t="s">
        <v>131</v>
      </c>
      <c r="N4624">
        <v>18</v>
      </c>
      <c r="O4624" t="s">
        <v>40</v>
      </c>
      <c r="P4624" t="s">
        <v>40</v>
      </c>
      <c r="Q4624" t="s">
        <v>40</v>
      </c>
      <c r="R4624" t="s">
        <v>40</v>
      </c>
      <c r="S4624" t="s">
        <v>40</v>
      </c>
      <c r="V4624" t="s">
        <v>41</v>
      </c>
      <c r="W4624" t="s">
        <v>42</v>
      </c>
      <c r="X4624" t="str">
        <f>"0590906"</f>
        <v>0590906</v>
      </c>
      <c r="Y4624" t="s">
        <v>361</v>
      </c>
      <c r="Z4624" t="s">
        <v>345</v>
      </c>
      <c r="AA4624" t="s">
        <v>346</v>
      </c>
      <c r="AB4624" t="s">
        <v>131</v>
      </c>
      <c r="AC4624" t="s">
        <v>51</v>
      </c>
      <c r="AD4624" t="s">
        <v>45</v>
      </c>
      <c r="AE4624" s="1">
        <v>23496</v>
      </c>
      <c r="AF4624">
        <v>2</v>
      </c>
      <c r="AG4624" t="s">
        <v>346</v>
      </c>
      <c r="AH4624" s="36">
        <f t="shared" si="72"/>
        <v>55.447222222222223</v>
      </c>
      <c r="AI4624" s="41" t="s">
        <v>1781</v>
      </c>
    </row>
    <row r="4625" spans="1:35" x14ac:dyDescent="0.25">
      <c r="A4625" s="36">
        <v>99914623</v>
      </c>
      <c r="B4625" s="17" t="s">
        <v>32</v>
      </c>
      <c r="C4625" t="s">
        <v>111</v>
      </c>
      <c r="D4625" t="s">
        <v>112</v>
      </c>
      <c r="G4625" s="17" t="s">
        <v>35</v>
      </c>
      <c r="H4625" s="17">
        <v>1</v>
      </c>
      <c r="K4625" t="s">
        <v>1502</v>
      </c>
      <c r="L4625" t="s">
        <v>1503</v>
      </c>
      <c r="M4625" t="s">
        <v>670</v>
      </c>
      <c r="N4625">
        <v>21</v>
      </c>
      <c r="O4625" t="s">
        <v>40</v>
      </c>
      <c r="P4625" t="s">
        <v>40</v>
      </c>
      <c r="Q4625" t="s">
        <v>40</v>
      </c>
      <c r="R4625" t="s">
        <v>40</v>
      </c>
      <c r="S4625" t="s">
        <v>40</v>
      </c>
      <c r="V4625" t="s">
        <v>41</v>
      </c>
      <c r="W4625" t="s">
        <v>75</v>
      </c>
      <c r="X4625" t="str">
        <f>"7171000"</f>
        <v>7171000</v>
      </c>
      <c r="Y4625" t="s">
        <v>1506</v>
      </c>
      <c r="Z4625" t="s">
        <v>1502</v>
      </c>
      <c r="AA4625" t="s">
        <v>1503</v>
      </c>
      <c r="AB4625" t="s">
        <v>670</v>
      </c>
      <c r="AC4625" t="s">
        <v>51</v>
      </c>
      <c r="AD4625" t="s">
        <v>45</v>
      </c>
      <c r="AE4625" s="1">
        <v>23493</v>
      </c>
      <c r="AF4625">
        <v>1</v>
      </c>
      <c r="AG4625" t="s">
        <v>1503</v>
      </c>
      <c r="AH4625" s="36">
        <f t="shared" si="72"/>
        <v>55.455555555555556</v>
      </c>
      <c r="AI4625" s="41" t="s">
        <v>1781</v>
      </c>
    </row>
    <row r="4626" spans="1:35" x14ac:dyDescent="0.25">
      <c r="A4626" s="36">
        <v>99914624</v>
      </c>
      <c r="B4626" s="17" t="s">
        <v>56</v>
      </c>
      <c r="C4626" t="s">
        <v>68</v>
      </c>
      <c r="D4626" t="s">
        <v>69</v>
      </c>
      <c r="G4626" s="17" t="s">
        <v>35</v>
      </c>
      <c r="H4626" s="17">
        <v>1</v>
      </c>
      <c r="K4626" t="s">
        <v>947</v>
      </c>
      <c r="L4626" t="s">
        <v>948</v>
      </c>
      <c r="M4626" t="s">
        <v>938</v>
      </c>
      <c r="N4626">
        <v>9</v>
      </c>
      <c r="O4626" t="s">
        <v>40</v>
      </c>
      <c r="P4626" t="s">
        <v>40</v>
      </c>
      <c r="Q4626" t="s">
        <v>40</v>
      </c>
      <c r="R4626" t="s">
        <v>40</v>
      </c>
      <c r="S4626" t="s">
        <v>40</v>
      </c>
      <c r="V4626" t="s">
        <v>41</v>
      </c>
      <c r="W4626" t="s">
        <v>42</v>
      </c>
      <c r="X4626" t="str">
        <f>"0680030"</f>
        <v>0680030</v>
      </c>
      <c r="Y4626" t="s">
        <v>951</v>
      </c>
      <c r="Z4626" t="s">
        <v>947</v>
      </c>
      <c r="AA4626" t="s">
        <v>948</v>
      </c>
      <c r="AB4626" t="s">
        <v>938</v>
      </c>
      <c r="AC4626" t="s">
        <v>165</v>
      </c>
      <c r="AD4626" t="s">
        <v>45</v>
      </c>
      <c r="AE4626" s="1">
        <v>23492</v>
      </c>
      <c r="AF4626">
        <v>2</v>
      </c>
      <c r="AG4626" t="s">
        <v>948</v>
      </c>
      <c r="AH4626" s="36">
        <f t="shared" si="72"/>
        <v>55.458333333333336</v>
      </c>
      <c r="AI4626" s="41" t="s">
        <v>1781</v>
      </c>
    </row>
    <row r="4627" spans="1:35" x14ac:dyDescent="0.25">
      <c r="A4627" s="36">
        <v>99914625</v>
      </c>
      <c r="B4627" s="17" t="s">
        <v>56</v>
      </c>
      <c r="C4627" t="s">
        <v>68</v>
      </c>
      <c r="D4627" t="s">
        <v>69</v>
      </c>
      <c r="G4627" s="17" t="s">
        <v>48</v>
      </c>
      <c r="H4627" s="17">
        <v>1</v>
      </c>
      <c r="K4627" t="s">
        <v>1546</v>
      </c>
      <c r="L4627" t="s">
        <v>1547</v>
      </c>
      <c r="M4627" t="s">
        <v>1548</v>
      </c>
      <c r="N4627">
        <v>23</v>
      </c>
      <c r="O4627" t="s">
        <v>40</v>
      </c>
      <c r="P4627" t="s">
        <v>40</v>
      </c>
      <c r="Q4627" t="s">
        <v>40</v>
      </c>
      <c r="R4627" t="s">
        <v>40</v>
      </c>
      <c r="S4627" t="s">
        <v>40</v>
      </c>
      <c r="V4627" t="s">
        <v>41</v>
      </c>
      <c r="W4627" t="s">
        <v>49</v>
      </c>
      <c r="X4627" t="str">
        <f>"1060001"</f>
        <v>1060001</v>
      </c>
      <c r="Y4627" t="s">
        <v>1553</v>
      </c>
      <c r="Z4627" t="s">
        <v>1546</v>
      </c>
      <c r="AA4627" t="s">
        <v>1547</v>
      </c>
      <c r="AB4627" t="s">
        <v>1548</v>
      </c>
      <c r="AC4627" t="s">
        <v>51</v>
      </c>
      <c r="AD4627" t="s">
        <v>45</v>
      </c>
      <c r="AE4627" s="1">
        <v>23492</v>
      </c>
      <c r="AF4627">
        <v>2</v>
      </c>
      <c r="AG4627" t="s">
        <v>1547</v>
      </c>
      <c r="AH4627" s="36">
        <f t="shared" si="72"/>
        <v>55.458333333333336</v>
      </c>
      <c r="AI4627" s="41" t="s">
        <v>1781</v>
      </c>
    </row>
    <row r="4628" spans="1:35" x14ac:dyDescent="0.25">
      <c r="A4628" s="36">
        <v>99914626</v>
      </c>
      <c r="B4628" s="17" t="s">
        <v>32</v>
      </c>
      <c r="C4628" t="s">
        <v>52</v>
      </c>
      <c r="D4628" t="s">
        <v>53</v>
      </c>
      <c r="G4628" s="17" t="s">
        <v>35</v>
      </c>
      <c r="H4628" s="17">
        <v>1</v>
      </c>
      <c r="I4628">
        <v>789</v>
      </c>
      <c r="J4628" s="1">
        <v>43344</v>
      </c>
      <c r="K4628" t="s">
        <v>1546</v>
      </c>
      <c r="L4628" t="s">
        <v>1547</v>
      </c>
      <c r="M4628" t="s">
        <v>1548</v>
      </c>
      <c r="N4628">
        <v>6</v>
      </c>
      <c r="O4628" t="s">
        <v>40</v>
      </c>
      <c r="P4628" t="s">
        <v>40</v>
      </c>
      <c r="Q4628" t="s">
        <v>40</v>
      </c>
      <c r="R4628" t="s">
        <v>40</v>
      </c>
      <c r="S4628" t="s">
        <v>40</v>
      </c>
      <c r="U4628" s="1">
        <v>43344</v>
      </c>
      <c r="V4628" t="s">
        <v>41</v>
      </c>
      <c r="W4628" t="s">
        <v>42</v>
      </c>
      <c r="X4628" t="str">
        <f>"1061001"</f>
        <v>1061001</v>
      </c>
      <c r="Y4628" t="s">
        <v>1550</v>
      </c>
      <c r="Z4628" t="s">
        <v>1546</v>
      </c>
      <c r="AA4628" t="s">
        <v>1547</v>
      </c>
      <c r="AB4628" t="s">
        <v>1548</v>
      </c>
      <c r="AC4628" t="s">
        <v>44</v>
      </c>
      <c r="AD4628" t="s">
        <v>45</v>
      </c>
      <c r="AE4628" s="1">
        <v>23490</v>
      </c>
      <c r="AF4628">
        <v>2</v>
      </c>
      <c r="AG4628" t="s">
        <v>1547</v>
      </c>
      <c r="AH4628" s="36">
        <f t="shared" si="72"/>
        <v>55.463888888888889</v>
      </c>
      <c r="AI4628" s="41" t="s">
        <v>1781</v>
      </c>
    </row>
    <row r="4629" spans="1:35" x14ac:dyDescent="0.25">
      <c r="A4629" s="36">
        <v>99914627</v>
      </c>
      <c r="B4629" s="17" t="s">
        <v>32</v>
      </c>
      <c r="C4629" t="s">
        <v>71</v>
      </c>
      <c r="D4629" t="s">
        <v>72</v>
      </c>
      <c r="G4629" s="17" t="s">
        <v>48</v>
      </c>
      <c r="H4629" s="17">
        <v>1</v>
      </c>
      <c r="K4629" t="s">
        <v>354</v>
      </c>
      <c r="L4629" t="s">
        <v>355</v>
      </c>
      <c r="M4629" t="s">
        <v>131</v>
      </c>
      <c r="N4629">
        <v>23</v>
      </c>
      <c r="O4629" t="s">
        <v>40</v>
      </c>
      <c r="P4629" t="s">
        <v>40</v>
      </c>
      <c r="Q4629" t="s">
        <v>40</v>
      </c>
      <c r="S4629" t="s">
        <v>40</v>
      </c>
      <c r="V4629" t="s">
        <v>41</v>
      </c>
      <c r="W4629" t="s">
        <v>75</v>
      </c>
      <c r="X4629" t="str">
        <f>"7054038"</f>
        <v>7054038</v>
      </c>
      <c r="Y4629" t="s">
        <v>377</v>
      </c>
      <c r="Z4629" t="s">
        <v>354</v>
      </c>
      <c r="AA4629" t="s">
        <v>355</v>
      </c>
      <c r="AB4629" t="s">
        <v>131</v>
      </c>
      <c r="AC4629" t="s">
        <v>51</v>
      </c>
      <c r="AD4629" t="s">
        <v>45</v>
      </c>
      <c r="AE4629" s="1">
        <v>23488</v>
      </c>
      <c r="AF4629">
        <v>1</v>
      </c>
      <c r="AG4629" t="s">
        <v>355</v>
      </c>
      <c r="AH4629" s="36">
        <f t="shared" si="72"/>
        <v>55.469444444444441</v>
      </c>
      <c r="AI4629" s="41" t="s">
        <v>1781</v>
      </c>
    </row>
    <row r="4630" spans="1:35" x14ac:dyDescent="0.25">
      <c r="A4630" s="36">
        <v>99914628</v>
      </c>
      <c r="B4630" s="17" t="s">
        <v>32</v>
      </c>
      <c r="C4630" t="s">
        <v>139</v>
      </c>
      <c r="D4630" t="s">
        <v>140</v>
      </c>
      <c r="G4630" s="17" t="s">
        <v>48</v>
      </c>
      <c r="H4630" s="17">
        <v>1</v>
      </c>
      <c r="K4630" t="s">
        <v>162</v>
      </c>
      <c r="L4630" t="s">
        <v>158</v>
      </c>
      <c r="M4630" t="s">
        <v>131</v>
      </c>
      <c r="N4630">
        <v>8</v>
      </c>
      <c r="O4630" t="s">
        <v>40</v>
      </c>
      <c r="P4630" t="s">
        <v>40</v>
      </c>
      <c r="Q4630" t="s">
        <v>40</v>
      </c>
      <c r="R4630" t="s">
        <v>40</v>
      </c>
      <c r="S4630" t="s">
        <v>40</v>
      </c>
      <c r="V4630" t="s">
        <v>41</v>
      </c>
      <c r="W4630" t="s">
        <v>42</v>
      </c>
      <c r="X4630" t="str">
        <f>"0580325"</f>
        <v>0580325</v>
      </c>
      <c r="Y4630" t="s">
        <v>170</v>
      </c>
      <c r="Z4630" t="s">
        <v>162</v>
      </c>
      <c r="AA4630" t="s">
        <v>158</v>
      </c>
      <c r="AB4630" t="s">
        <v>131</v>
      </c>
      <c r="AC4630" t="s">
        <v>165</v>
      </c>
      <c r="AD4630" t="s">
        <v>45</v>
      </c>
      <c r="AE4630" s="1">
        <v>23482</v>
      </c>
      <c r="AF4630">
        <v>2</v>
      </c>
      <c r="AG4630" t="s">
        <v>158</v>
      </c>
      <c r="AH4630" s="36">
        <f t="shared" si="72"/>
        <v>55.486111111111114</v>
      </c>
      <c r="AI4630" s="41" t="s">
        <v>1781</v>
      </c>
    </row>
    <row r="4631" spans="1:35" x14ac:dyDescent="0.25">
      <c r="A4631" s="36">
        <v>99914629</v>
      </c>
      <c r="B4631" s="17" t="s">
        <v>32</v>
      </c>
      <c r="C4631" t="s">
        <v>46</v>
      </c>
      <c r="D4631" t="s">
        <v>47</v>
      </c>
      <c r="G4631" s="17" t="s">
        <v>35</v>
      </c>
      <c r="H4631" s="17">
        <v>1</v>
      </c>
      <c r="K4631" t="s">
        <v>223</v>
      </c>
      <c r="L4631" t="s">
        <v>224</v>
      </c>
      <c r="M4631" t="s">
        <v>131</v>
      </c>
      <c r="N4631">
        <v>18</v>
      </c>
      <c r="O4631" t="s">
        <v>40</v>
      </c>
      <c r="P4631" t="s">
        <v>40</v>
      </c>
      <c r="Q4631" t="s">
        <v>40</v>
      </c>
      <c r="S4631" t="s">
        <v>40</v>
      </c>
      <c r="V4631" t="s">
        <v>41</v>
      </c>
      <c r="W4631" t="s">
        <v>49</v>
      </c>
      <c r="X4631" t="str">
        <f>"0591901"</f>
        <v>0591901</v>
      </c>
      <c r="Y4631" t="s">
        <v>230</v>
      </c>
      <c r="Z4631" t="s">
        <v>223</v>
      </c>
      <c r="AA4631" t="s">
        <v>224</v>
      </c>
      <c r="AB4631" t="s">
        <v>131</v>
      </c>
      <c r="AC4631" t="s">
        <v>165</v>
      </c>
      <c r="AD4631" t="s">
        <v>45</v>
      </c>
      <c r="AE4631" s="1">
        <v>23482</v>
      </c>
      <c r="AF4631">
        <v>2</v>
      </c>
      <c r="AG4631" t="s">
        <v>224</v>
      </c>
      <c r="AH4631" s="36">
        <f t="shared" si="72"/>
        <v>55.486111111111114</v>
      </c>
      <c r="AI4631" s="41" t="s">
        <v>1781</v>
      </c>
    </row>
    <row r="4632" spans="1:35" x14ac:dyDescent="0.25">
      <c r="A4632" s="36">
        <v>99914630</v>
      </c>
      <c r="B4632" s="17" t="s">
        <v>32</v>
      </c>
      <c r="C4632" t="s">
        <v>46</v>
      </c>
      <c r="D4632" t="s">
        <v>47</v>
      </c>
      <c r="G4632" s="17" t="s">
        <v>48</v>
      </c>
      <c r="H4632" s="17">
        <v>1</v>
      </c>
      <c r="K4632" t="s">
        <v>345</v>
      </c>
      <c r="L4632" t="s">
        <v>346</v>
      </c>
      <c r="M4632" t="s">
        <v>131</v>
      </c>
      <c r="N4632">
        <v>18</v>
      </c>
      <c r="O4632" t="s">
        <v>40</v>
      </c>
      <c r="P4632" t="s">
        <v>40</v>
      </c>
      <c r="Q4632" t="s">
        <v>40</v>
      </c>
      <c r="S4632" t="s">
        <v>40</v>
      </c>
      <c r="V4632" t="s">
        <v>41</v>
      </c>
      <c r="W4632" t="s">
        <v>42</v>
      </c>
      <c r="X4632" t="str">
        <f>"0590906"</f>
        <v>0590906</v>
      </c>
      <c r="Y4632" t="s">
        <v>361</v>
      </c>
      <c r="Z4632" t="s">
        <v>345</v>
      </c>
      <c r="AA4632" t="s">
        <v>346</v>
      </c>
      <c r="AB4632" t="s">
        <v>131</v>
      </c>
      <c r="AC4632" t="s">
        <v>51</v>
      </c>
      <c r="AD4632" t="s">
        <v>45</v>
      </c>
      <c r="AE4632" s="1">
        <v>23481</v>
      </c>
      <c r="AF4632">
        <v>2</v>
      </c>
      <c r="AG4632" t="s">
        <v>346</v>
      </c>
      <c r="AH4632" s="36">
        <f t="shared" si="72"/>
        <v>55.488888888888887</v>
      </c>
      <c r="AI4632" s="41" t="s">
        <v>1781</v>
      </c>
    </row>
    <row r="4633" spans="1:35" x14ac:dyDescent="0.25">
      <c r="A4633" s="36">
        <v>99914631</v>
      </c>
      <c r="B4633" s="17" t="s">
        <v>56</v>
      </c>
      <c r="C4633" t="s">
        <v>46</v>
      </c>
      <c r="D4633" t="s">
        <v>47</v>
      </c>
      <c r="G4633" s="17" t="s">
        <v>48</v>
      </c>
      <c r="H4633" s="17">
        <v>3</v>
      </c>
      <c r="K4633" t="s">
        <v>129</v>
      </c>
      <c r="L4633" t="s">
        <v>130</v>
      </c>
      <c r="M4633" t="s">
        <v>131</v>
      </c>
      <c r="N4633">
        <v>18</v>
      </c>
      <c r="O4633" t="s">
        <v>40</v>
      </c>
      <c r="P4633" t="s">
        <v>40</v>
      </c>
      <c r="Q4633" t="s">
        <v>40</v>
      </c>
      <c r="R4633" t="s">
        <v>40</v>
      </c>
      <c r="S4633" t="s">
        <v>40</v>
      </c>
      <c r="V4633" t="s">
        <v>41</v>
      </c>
      <c r="W4633" t="s">
        <v>42</v>
      </c>
      <c r="X4633" t="str">
        <f>"0590905"</f>
        <v>0590905</v>
      </c>
      <c r="Y4633" t="s">
        <v>133</v>
      </c>
      <c r="Z4633" t="s">
        <v>129</v>
      </c>
      <c r="AA4633" t="s">
        <v>130</v>
      </c>
      <c r="AB4633" t="s">
        <v>131</v>
      </c>
      <c r="AC4633" t="s">
        <v>51</v>
      </c>
      <c r="AD4633" t="s">
        <v>45</v>
      </c>
      <c r="AE4633" s="1">
        <v>23479</v>
      </c>
      <c r="AF4633">
        <v>2</v>
      </c>
      <c r="AG4633" t="s">
        <v>130</v>
      </c>
      <c r="AH4633" s="36">
        <f t="shared" si="72"/>
        <v>55.494444444444447</v>
      </c>
      <c r="AI4633" s="41" t="s">
        <v>1781</v>
      </c>
    </row>
    <row r="4634" spans="1:35" x14ac:dyDescent="0.25">
      <c r="A4634" s="36">
        <v>99914632</v>
      </c>
      <c r="B4634" s="17" t="s">
        <v>56</v>
      </c>
      <c r="C4634" t="s">
        <v>61</v>
      </c>
      <c r="D4634" t="s">
        <v>62</v>
      </c>
      <c r="E4634" t="s">
        <v>68</v>
      </c>
      <c r="F4634" t="s">
        <v>69</v>
      </c>
      <c r="G4634" s="17" t="s">
        <v>48</v>
      </c>
      <c r="H4634" s="17">
        <v>13</v>
      </c>
      <c r="K4634" t="s">
        <v>345</v>
      </c>
      <c r="L4634" t="s">
        <v>346</v>
      </c>
      <c r="M4634" t="s">
        <v>131</v>
      </c>
      <c r="N4634">
        <v>7</v>
      </c>
      <c r="O4634" t="s">
        <v>40</v>
      </c>
      <c r="P4634" t="s">
        <v>40</v>
      </c>
      <c r="Q4634" t="s">
        <v>40</v>
      </c>
      <c r="R4634" t="s">
        <v>40</v>
      </c>
      <c r="S4634" t="s">
        <v>40</v>
      </c>
      <c r="V4634" t="s">
        <v>41</v>
      </c>
      <c r="W4634" t="s">
        <v>42</v>
      </c>
      <c r="X4634" t="str">
        <f>"0561019"</f>
        <v>0561019</v>
      </c>
      <c r="Y4634" t="s">
        <v>351</v>
      </c>
      <c r="Z4634" t="s">
        <v>345</v>
      </c>
      <c r="AA4634" t="s">
        <v>346</v>
      </c>
      <c r="AB4634" t="s">
        <v>131</v>
      </c>
      <c r="AC4634" t="s">
        <v>51</v>
      </c>
      <c r="AD4634" t="s">
        <v>45</v>
      </c>
      <c r="AE4634" s="1">
        <v>23479</v>
      </c>
      <c r="AF4634">
        <v>2</v>
      </c>
      <c r="AG4634" t="s">
        <v>346</v>
      </c>
      <c r="AH4634" s="36">
        <f t="shared" si="72"/>
        <v>55.494444444444447</v>
      </c>
      <c r="AI4634" s="41" t="s">
        <v>1781</v>
      </c>
    </row>
    <row r="4635" spans="1:35" x14ac:dyDescent="0.25">
      <c r="A4635" s="36">
        <v>99914633</v>
      </c>
      <c r="B4635" s="17" t="s">
        <v>56</v>
      </c>
      <c r="C4635" t="s">
        <v>52</v>
      </c>
      <c r="D4635" t="s">
        <v>53</v>
      </c>
      <c r="G4635" s="17" t="s">
        <v>35</v>
      </c>
      <c r="H4635" s="17">
        <v>1</v>
      </c>
      <c r="K4635" t="s">
        <v>1268</v>
      </c>
      <c r="L4635" t="s">
        <v>1269</v>
      </c>
      <c r="M4635" t="s">
        <v>1270</v>
      </c>
      <c r="N4635">
        <v>18</v>
      </c>
      <c r="O4635" t="s">
        <v>40</v>
      </c>
      <c r="P4635" t="s">
        <v>40</v>
      </c>
      <c r="Q4635" t="s">
        <v>40</v>
      </c>
      <c r="S4635" t="s">
        <v>40</v>
      </c>
      <c r="V4635" t="s">
        <v>41</v>
      </c>
      <c r="W4635" t="s">
        <v>42</v>
      </c>
      <c r="X4635" t="str">
        <f>"1990914"</f>
        <v>1990914</v>
      </c>
      <c r="Y4635" t="s">
        <v>1275</v>
      </c>
      <c r="Z4635" t="s">
        <v>1268</v>
      </c>
      <c r="AA4635" t="s">
        <v>1269</v>
      </c>
      <c r="AB4635" t="s">
        <v>1270</v>
      </c>
      <c r="AC4635" t="s">
        <v>51</v>
      </c>
      <c r="AD4635" t="s">
        <v>45</v>
      </c>
      <c r="AE4635" s="1">
        <v>23478</v>
      </c>
      <c r="AF4635">
        <v>2</v>
      </c>
      <c r="AG4635" t="s">
        <v>1269</v>
      </c>
      <c r="AH4635" s="36">
        <f t="shared" si="72"/>
        <v>55.49722222222222</v>
      </c>
      <c r="AI4635" s="41" t="s">
        <v>1781</v>
      </c>
    </row>
    <row r="4636" spans="1:35" x14ac:dyDescent="0.25">
      <c r="A4636" s="36">
        <v>99914634</v>
      </c>
      <c r="B4636" s="17" t="s">
        <v>32</v>
      </c>
      <c r="C4636" t="s">
        <v>139</v>
      </c>
      <c r="D4636" t="s">
        <v>140</v>
      </c>
      <c r="G4636" s="17" t="s">
        <v>35</v>
      </c>
      <c r="H4636" s="17">
        <v>1</v>
      </c>
      <c r="K4636" t="s">
        <v>300</v>
      </c>
      <c r="L4636" t="s">
        <v>301</v>
      </c>
      <c r="M4636" t="s">
        <v>131</v>
      </c>
      <c r="N4636">
        <v>22</v>
      </c>
      <c r="O4636" t="s">
        <v>40</v>
      </c>
      <c r="P4636" t="s">
        <v>40</v>
      </c>
      <c r="Q4636" t="s">
        <v>40</v>
      </c>
      <c r="R4636" t="s">
        <v>40</v>
      </c>
      <c r="S4636" t="s">
        <v>40</v>
      </c>
      <c r="V4636" t="s">
        <v>41</v>
      </c>
      <c r="W4636" t="s">
        <v>49</v>
      </c>
      <c r="X4636" t="str">
        <f>"0560002"</f>
        <v>0560002</v>
      </c>
      <c r="Y4636" t="s">
        <v>315</v>
      </c>
      <c r="Z4636" t="s">
        <v>300</v>
      </c>
      <c r="AA4636" t="s">
        <v>301</v>
      </c>
      <c r="AB4636" t="s">
        <v>131</v>
      </c>
      <c r="AC4636" t="s">
        <v>51</v>
      </c>
      <c r="AD4636" t="s">
        <v>45</v>
      </c>
      <c r="AE4636" s="1">
        <v>23477</v>
      </c>
      <c r="AF4636">
        <v>2</v>
      </c>
      <c r="AG4636" t="s">
        <v>301</v>
      </c>
      <c r="AH4636" s="36">
        <f t="shared" si="72"/>
        <v>55.5</v>
      </c>
      <c r="AI4636" s="41" t="s">
        <v>1782</v>
      </c>
    </row>
    <row r="4637" spans="1:35" x14ac:dyDescent="0.25">
      <c r="A4637" s="36">
        <v>99914635</v>
      </c>
      <c r="B4637" s="17" t="s">
        <v>32</v>
      </c>
      <c r="C4637" t="s">
        <v>61</v>
      </c>
      <c r="D4637" t="s">
        <v>62</v>
      </c>
      <c r="G4637" s="17" t="s">
        <v>48</v>
      </c>
      <c r="H4637" s="17">
        <v>1</v>
      </c>
      <c r="K4637" t="s">
        <v>223</v>
      </c>
      <c r="L4637" t="s">
        <v>224</v>
      </c>
      <c r="M4637" t="s">
        <v>131</v>
      </c>
      <c r="N4637">
        <v>13</v>
      </c>
      <c r="O4637" t="s">
        <v>40</v>
      </c>
      <c r="P4637" t="s">
        <v>40</v>
      </c>
      <c r="Q4637" t="s">
        <v>40</v>
      </c>
      <c r="R4637" t="s">
        <v>40</v>
      </c>
      <c r="S4637" t="s">
        <v>40</v>
      </c>
      <c r="V4637" t="s">
        <v>41</v>
      </c>
      <c r="W4637" t="s">
        <v>49</v>
      </c>
      <c r="X4637" t="str">
        <f>"0581202"</f>
        <v>0581202</v>
      </c>
      <c r="Y4637" t="s">
        <v>248</v>
      </c>
      <c r="Z4637" t="s">
        <v>223</v>
      </c>
      <c r="AA4637" t="s">
        <v>224</v>
      </c>
      <c r="AB4637" t="s">
        <v>131</v>
      </c>
      <c r="AC4637" t="s">
        <v>51</v>
      </c>
      <c r="AD4637" t="s">
        <v>45</v>
      </c>
      <c r="AE4637" s="1">
        <v>23472</v>
      </c>
      <c r="AF4637">
        <v>2</v>
      </c>
      <c r="AG4637" t="s">
        <v>224</v>
      </c>
      <c r="AH4637" s="36">
        <f t="shared" si="72"/>
        <v>55.513888888888886</v>
      </c>
      <c r="AI4637" s="41" t="s">
        <v>1782</v>
      </c>
    </row>
    <row r="4638" spans="1:35" x14ac:dyDescent="0.25">
      <c r="A4638" s="36">
        <v>99914636</v>
      </c>
      <c r="B4638" s="17" t="s">
        <v>32</v>
      </c>
      <c r="C4638" t="s">
        <v>139</v>
      </c>
      <c r="D4638" t="s">
        <v>140</v>
      </c>
      <c r="G4638" s="17" t="s">
        <v>48</v>
      </c>
      <c r="H4638" s="17">
        <v>1</v>
      </c>
      <c r="K4638" t="s">
        <v>431</v>
      </c>
      <c r="L4638" t="s">
        <v>196</v>
      </c>
      <c r="M4638" t="s">
        <v>131</v>
      </c>
      <c r="N4638">
        <v>24</v>
      </c>
      <c r="O4638" t="s">
        <v>40</v>
      </c>
      <c r="P4638" t="s">
        <v>40</v>
      </c>
      <c r="Q4638" t="s">
        <v>40</v>
      </c>
      <c r="R4638" t="s">
        <v>40</v>
      </c>
      <c r="S4638" t="s">
        <v>40</v>
      </c>
      <c r="V4638" t="s">
        <v>41</v>
      </c>
      <c r="W4638" t="s">
        <v>75</v>
      </c>
      <c r="X4638" t="str">
        <f>"7521016"</f>
        <v>7521016</v>
      </c>
      <c r="Y4638" t="s">
        <v>448</v>
      </c>
      <c r="Z4638" t="s">
        <v>431</v>
      </c>
      <c r="AA4638" t="s">
        <v>196</v>
      </c>
      <c r="AB4638" t="s">
        <v>131</v>
      </c>
      <c r="AC4638" t="s">
        <v>51</v>
      </c>
      <c r="AD4638" t="s">
        <v>45</v>
      </c>
      <c r="AE4638" s="1">
        <v>23472</v>
      </c>
      <c r="AF4638">
        <v>1</v>
      </c>
      <c r="AG4638" t="s">
        <v>196</v>
      </c>
      <c r="AH4638" s="36">
        <f t="shared" si="72"/>
        <v>55.513888888888886</v>
      </c>
      <c r="AI4638" s="41" t="s">
        <v>1782</v>
      </c>
    </row>
    <row r="4639" spans="1:35" x14ac:dyDescent="0.25">
      <c r="A4639" s="36">
        <v>99914637</v>
      </c>
      <c r="B4639" s="17" t="s">
        <v>56</v>
      </c>
      <c r="C4639" t="s">
        <v>79</v>
      </c>
      <c r="D4639" t="s">
        <v>80</v>
      </c>
      <c r="G4639" s="17" t="s">
        <v>35</v>
      </c>
      <c r="H4639" s="17">
        <v>1</v>
      </c>
      <c r="K4639" t="s">
        <v>223</v>
      </c>
      <c r="L4639" t="s">
        <v>224</v>
      </c>
      <c r="M4639" t="s">
        <v>131</v>
      </c>
      <c r="N4639">
        <v>18</v>
      </c>
      <c r="O4639" t="s">
        <v>40</v>
      </c>
      <c r="P4639" t="s">
        <v>40</v>
      </c>
      <c r="Q4639" t="s">
        <v>40</v>
      </c>
      <c r="S4639" t="s">
        <v>40</v>
      </c>
      <c r="V4639" t="s">
        <v>41</v>
      </c>
      <c r="W4639" t="s">
        <v>49</v>
      </c>
      <c r="X4639" t="str">
        <f>"0581207"</f>
        <v>0581207</v>
      </c>
      <c r="Y4639" t="s">
        <v>233</v>
      </c>
      <c r="Z4639" t="s">
        <v>223</v>
      </c>
      <c r="AA4639" t="s">
        <v>224</v>
      </c>
      <c r="AB4639" t="s">
        <v>131</v>
      </c>
      <c r="AC4639" t="s">
        <v>51</v>
      </c>
      <c r="AD4639" t="s">
        <v>45</v>
      </c>
      <c r="AE4639" s="1">
        <v>23471</v>
      </c>
      <c r="AF4639">
        <v>2</v>
      </c>
      <c r="AG4639" t="s">
        <v>224</v>
      </c>
      <c r="AH4639" s="36">
        <f t="shared" si="72"/>
        <v>55.516666666666666</v>
      </c>
      <c r="AI4639" s="41" t="s">
        <v>1782</v>
      </c>
    </row>
    <row r="4640" spans="1:35" x14ac:dyDescent="0.25">
      <c r="A4640" s="36">
        <v>99914638</v>
      </c>
      <c r="B4640" s="17" t="s">
        <v>32</v>
      </c>
      <c r="C4640" t="s">
        <v>46</v>
      </c>
      <c r="D4640" t="s">
        <v>47</v>
      </c>
      <c r="G4640" s="17" t="s">
        <v>48</v>
      </c>
      <c r="H4640" s="17">
        <v>1</v>
      </c>
      <c r="K4640" t="s">
        <v>162</v>
      </c>
      <c r="L4640" t="s">
        <v>158</v>
      </c>
      <c r="M4640" t="s">
        <v>131</v>
      </c>
      <c r="N4640">
        <v>18</v>
      </c>
      <c r="O4640" t="s">
        <v>40</v>
      </c>
      <c r="P4640" t="s">
        <v>40</v>
      </c>
      <c r="Q4640" t="s">
        <v>40</v>
      </c>
      <c r="S4640" t="s">
        <v>40</v>
      </c>
      <c r="V4640" t="s">
        <v>41</v>
      </c>
      <c r="W4640" t="s">
        <v>42</v>
      </c>
      <c r="X4640" t="str">
        <f>"0580325"</f>
        <v>0580325</v>
      </c>
      <c r="Y4640" t="s">
        <v>170</v>
      </c>
      <c r="Z4640" t="s">
        <v>162</v>
      </c>
      <c r="AA4640" t="s">
        <v>158</v>
      </c>
      <c r="AB4640" t="s">
        <v>131</v>
      </c>
      <c r="AC4640" t="s">
        <v>165</v>
      </c>
      <c r="AD4640" t="s">
        <v>45</v>
      </c>
      <c r="AE4640" s="1">
        <v>23468</v>
      </c>
      <c r="AF4640">
        <v>2</v>
      </c>
      <c r="AG4640" t="s">
        <v>158</v>
      </c>
      <c r="AH4640" s="36">
        <f t="shared" si="72"/>
        <v>55.524999999999999</v>
      </c>
      <c r="AI4640" s="41" t="s">
        <v>1782</v>
      </c>
    </row>
    <row r="4641" spans="1:35" x14ac:dyDescent="0.25">
      <c r="A4641" s="36">
        <v>99914639</v>
      </c>
      <c r="B4641" s="17" t="s">
        <v>56</v>
      </c>
      <c r="C4641" t="s">
        <v>52</v>
      </c>
      <c r="D4641" t="s">
        <v>53</v>
      </c>
      <c r="G4641" s="17" t="s">
        <v>35</v>
      </c>
      <c r="H4641" s="17">
        <v>1</v>
      </c>
      <c r="K4641" t="s">
        <v>345</v>
      </c>
      <c r="L4641" t="s">
        <v>346</v>
      </c>
      <c r="M4641" t="s">
        <v>131</v>
      </c>
      <c r="N4641">
        <v>20</v>
      </c>
      <c r="O4641" t="s">
        <v>40</v>
      </c>
      <c r="P4641" t="s">
        <v>40</v>
      </c>
      <c r="Q4641" t="s">
        <v>40</v>
      </c>
      <c r="S4641" t="s">
        <v>40</v>
      </c>
      <c r="V4641" t="s">
        <v>41</v>
      </c>
      <c r="W4641" t="s">
        <v>42</v>
      </c>
      <c r="X4641" t="str">
        <f>"0580615"</f>
        <v>0580615</v>
      </c>
      <c r="Y4641" t="s">
        <v>364</v>
      </c>
      <c r="Z4641" t="s">
        <v>345</v>
      </c>
      <c r="AA4641" t="s">
        <v>346</v>
      </c>
      <c r="AB4641" t="s">
        <v>131</v>
      </c>
      <c r="AC4641" t="s">
        <v>51</v>
      </c>
      <c r="AD4641" t="s">
        <v>45</v>
      </c>
      <c r="AE4641" s="1">
        <v>23468</v>
      </c>
      <c r="AF4641">
        <v>2</v>
      </c>
      <c r="AG4641" t="s">
        <v>346</v>
      </c>
      <c r="AH4641" s="36">
        <f t="shared" si="72"/>
        <v>55.524999999999999</v>
      </c>
      <c r="AI4641" s="41" t="s">
        <v>1782</v>
      </c>
    </row>
    <row r="4642" spans="1:35" x14ac:dyDescent="0.25">
      <c r="A4642" s="36">
        <v>99914640</v>
      </c>
      <c r="B4642" s="17" t="s">
        <v>56</v>
      </c>
      <c r="C4642" t="s">
        <v>33</v>
      </c>
      <c r="D4642" t="s">
        <v>34</v>
      </c>
      <c r="G4642" s="17" t="s">
        <v>48</v>
      </c>
      <c r="H4642" s="17">
        <v>1</v>
      </c>
      <c r="K4642" t="s">
        <v>1187</v>
      </c>
      <c r="L4642" t="s">
        <v>1188</v>
      </c>
      <c r="M4642" t="s">
        <v>1130</v>
      </c>
      <c r="N4642">
        <v>20</v>
      </c>
      <c r="O4642" t="s">
        <v>40</v>
      </c>
      <c r="P4642" t="s">
        <v>40</v>
      </c>
      <c r="Q4642" t="s">
        <v>40</v>
      </c>
      <c r="R4642" t="s">
        <v>40</v>
      </c>
      <c r="S4642" t="s">
        <v>40</v>
      </c>
      <c r="V4642" t="s">
        <v>41</v>
      </c>
      <c r="W4642" t="s">
        <v>49</v>
      </c>
      <c r="X4642" t="str">
        <f>"4581015"</f>
        <v>4581015</v>
      </c>
      <c r="Y4642" t="s">
        <v>1190</v>
      </c>
      <c r="Z4642" t="s">
        <v>1187</v>
      </c>
      <c r="AA4642" t="s">
        <v>1188</v>
      </c>
      <c r="AB4642" t="s">
        <v>1130</v>
      </c>
      <c r="AC4642" t="s">
        <v>51</v>
      </c>
      <c r="AD4642" t="s">
        <v>45</v>
      </c>
      <c r="AE4642" s="1">
        <v>23462</v>
      </c>
      <c r="AF4642">
        <v>2</v>
      </c>
      <c r="AG4642" t="s">
        <v>1188</v>
      </c>
      <c r="AH4642" s="36">
        <f t="shared" si="72"/>
        <v>55.541666666666664</v>
      </c>
      <c r="AI4642" s="41" t="s">
        <v>1782</v>
      </c>
    </row>
    <row r="4643" spans="1:35" x14ac:dyDescent="0.25">
      <c r="A4643" s="36">
        <v>99914641</v>
      </c>
      <c r="B4643" s="17" t="s">
        <v>56</v>
      </c>
      <c r="C4643" t="s">
        <v>141</v>
      </c>
      <c r="D4643" t="s">
        <v>142</v>
      </c>
      <c r="G4643" s="17" t="s">
        <v>48</v>
      </c>
      <c r="H4643" s="17">
        <v>1</v>
      </c>
      <c r="I4643" t="s">
        <v>1455</v>
      </c>
      <c r="K4643" t="s">
        <v>1426</v>
      </c>
      <c r="L4643" t="s">
        <v>1427</v>
      </c>
      <c r="M4643" t="s">
        <v>1270</v>
      </c>
      <c r="N4643">
        <v>20</v>
      </c>
      <c r="O4643" t="s">
        <v>40</v>
      </c>
      <c r="P4643" t="s">
        <v>40</v>
      </c>
      <c r="Q4643" t="s">
        <v>40</v>
      </c>
      <c r="R4643" t="s">
        <v>40</v>
      </c>
      <c r="S4643" t="s">
        <v>40</v>
      </c>
      <c r="V4643" t="s">
        <v>41</v>
      </c>
      <c r="W4643" t="s">
        <v>75</v>
      </c>
      <c r="X4643" t="str">
        <f>"7192000"</f>
        <v>7192000</v>
      </c>
      <c r="Y4643" t="s">
        <v>1429</v>
      </c>
      <c r="Z4643" t="s">
        <v>1426</v>
      </c>
      <c r="AA4643" t="s">
        <v>1427</v>
      </c>
      <c r="AB4643" t="s">
        <v>1270</v>
      </c>
      <c r="AC4643" t="s">
        <v>51</v>
      </c>
      <c r="AD4643" t="s">
        <v>45</v>
      </c>
      <c r="AE4643" s="1">
        <v>23455</v>
      </c>
      <c r="AF4643">
        <v>1</v>
      </c>
      <c r="AG4643" t="s">
        <v>1427</v>
      </c>
      <c r="AH4643" s="36">
        <f t="shared" si="72"/>
        <v>55.56111111111111</v>
      </c>
      <c r="AI4643" s="41" t="s">
        <v>1782</v>
      </c>
    </row>
    <row r="4644" spans="1:35" x14ac:dyDescent="0.25">
      <c r="A4644" s="36">
        <v>99914642</v>
      </c>
      <c r="B4644" s="17" t="s">
        <v>32</v>
      </c>
      <c r="C4644" t="s">
        <v>141</v>
      </c>
      <c r="D4644" t="s">
        <v>142</v>
      </c>
      <c r="G4644" s="17" t="s">
        <v>48</v>
      </c>
      <c r="H4644" s="17">
        <v>1</v>
      </c>
      <c r="K4644" t="s">
        <v>345</v>
      </c>
      <c r="L4644" t="s">
        <v>346</v>
      </c>
      <c r="M4644" t="s">
        <v>131</v>
      </c>
      <c r="N4644">
        <v>21</v>
      </c>
      <c r="O4644" t="s">
        <v>40</v>
      </c>
      <c r="P4644" t="s">
        <v>40</v>
      </c>
      <c r="Q4644" t="s">
        <v>40</v>
      </c>
      <c r="R4644" t="s">
        <v>40</v>
      </c>
      <c r="S4644" t="s">
        <v>40</v>
      </c>
      <c r="V4644" t="s">
        <v>41</v>
      </c>
      <c r="W4644" t="s">
        <v>49</v>
      </c>
      <c r="X4644" t="str">
        <f>"0561021"</f>
        <v>0561021</v>
      </c>
      <c r="Y4644" t="s">
        <v>352</v>
      </c>
      <c r="Z4644" t="s">
        <v>345</v>
      </c>
      <c r="AA4644" t="s">
        <v>346</v>
      </c>
      <c r="AB4644" t="s">
        <v>131</v>
      </c>
      <c r="AC4644" t="s">
        <v>51</v>
      </c>
      <c r="AD4644" t="s">
        <v>45</v>
      </c>
      <c r="AE4644" s="1">
        <v>23454</v>
      </c>
      <c r="AF4644">
        <v>2</v>
      </c>
      <c r="AG4644" t="s">
        <v>346</v>
      </c>
      <c r="AH4644" s="36">
        <f t="shared" si="72"/>
        <v>55.56388888888889</v>
      </c>
      <c r="AI4644" s="41" t="s">
        <v>1782</v>
      </c>
    </row>
    <row r="4645" spans="1:35" x14ac:dyDescent="0.25">
      <c r="A4645" s="36">
        <v>99914643</v>
      </c>
      <c r="B4645" s="17" t="s">
        <v>32</v>
      </c>
      <c r="C4645" t="s">
        <v>143</v>
      </c>
      <c r="D4645" t="s">
        <v>144</v>
      </c>
      <c r="G4645" s="17" t="s">
        <v>48</v>
      </c>
      <c r="H4645" s="17">
        <v>12</v>
      </c>
      <c r="I4645" t="s">
        <v>496</v>
      </c>
      <c r="J4645" s="1">
        <v>37865</v>
      </c>
      <c r="K4645" t="s">
        <v>431</v>
      </c>
      <c r="L4645" t="s">
        <v>196</v>
      </c>
      <c r="M4645" t="s">
        <v>131</v>
      </c>
      <c r="N4645">
        <v>21</v>
      </c>
      <c r="O4645" t="s">
        <v>40</v>
      </c>
      <c r="P4645" t="s">
        <v>40</v>
      </c>
      <c r="Q4645" t="s">
        <v>40</v>
      </c>
      <c r="R4645" t="s">
        <v>40</v>
      </c>
      <c r="S4645" t="s">
        <v>40</v>
      </c>
      <c r="U4645" s="1">
        <v>37865</v>
      </c>
      <c r="V4645" t="s">
        <v>41</v>
      </c>
      <c r="W4645" t="s">
        <v>75</v>
      </c>
      <c r="X4645" t="str">
        <f>"7521022"</f>
        <v>7521022</v>
      </c>
      <c r="Y4645" t="s">
        <v>445</v>
      </c>
      <c r="Z4645" t="s">
        <v>431</v>
      </c>
      <c r="AA4645" t="s">
        <v>196</v>
      </c>
      <c r="AB4645" t="s">
        <v>131</v>
      </c>
      <c r="AC4645" t="s">
        <v>51</v>
      </c>
      <c r="AD4645" t="s">
        <v>45</v>
      </c>
      <c r="AE4645" s="1">
        <v>23453</v>
      </c>
      <c r="AF4645">
        <v>1</v>
      </c>
      <c r="AG4645" t="s">
        <v>196</v>
      </c>
      <c r="AH4645" s="36">
        <f t="shared" si="72"/>
        <v>55.56666666666667</v>
      </c>
      <c r="AI4645" s="41" t="s">
        <v>1782</v>
      </c>
    </row>
    <row r="4646" spans="1:35" x14ac:dyDescent="0.25">
      <c r="A4646" s="36">
        <v>99914644</v>
      </c>
      <c r="B4646" s="17" t="s">
        <v>56</v>
      </c>
      <c r="C4646" t="s">
        <v>141</v>
      </c>
      <c r="D4646" t="s">
        <v>142</v>
      </c>
      <c r="G4646" s="17" t="s">
        <v>35</v>
      </c>
      <c r="H4646" s="17">
        <v>1</v>
      </c>
      <c r="K4646" t="s">
        <v>1564</v>
      </c>
      <c r="L4646" t="s">
        <v>1565</v>
      </c>
      <c r="M4646" t="s">
        <v>1548</v>
      </c>
      <c r="N4646">
        <v>23</v>
      </c>
      <c r="O4646" t="s">
        <v>40</v>
      </c>
      <c r="P4646" t="s">
        <v>40</v>
      </c>
      <c r="Q4646" t="s">
        <v>40</v>
      </c>
      <c r="S4646" t="s">
        <v>40</v>
      </c>
      <c r="V4646" t="s">
        <v>41</v>
      </c>
      <c r="W4646" t="s">
        <v>75</v>
      </c>
      <c r="X4646" t="str">
        <f>"7101000"</f>
        <v>7101000</v>
      </c>
      <c r="Y4646" t="s">
        <v>1572</v>
      </c>
      <c r="Z4646" t="s">
        <v>1564</v>
      </c>
      <c r="AA4646" t="s">
        <v>1565</v>
      </c>
      <c r="AB4646" t="s">
        <v>1548</v>
      </c>
      <c r="AC4646" t="s">
        <v>51</v>
      </c>
      <c r="AD4646" t="s">
        <v>45</v>
      </c>
      <c r="AE4646" s="1">
        <v>23450</v>
      </c>
      <c r="AF4646">
        <v>1</v>
      </c>
      <c r="AG4646" t="s">
        <v>1565</v>
      </c>
      <c r="AH4646" s="36">
        <f t="shared" si="72"/>
        <v>55.575000000000003</v>
      </c>
      <c r="AI4646" s="41" t="s">
        <v>1782</v>
      </c>
    </row>
    <row r="4647" spans="1:35" x14ac:dyDescent="0.25">
      <c r="A4647" s="36">
        <v>99914645</v>
      </c>
      <c r="B4647" s="17" t="s">
        <v>32</v>
      </c>
      <c r="C4647" t="s">
        <v>71</v>
      </c>
      <c r="D4647" t="s">
        <v>72</v>
      </c>
      <c r="G4647" s="17" t="s">
        <v>48</v>
      </c>
      <c r="H4647" s="17">
        <v>1</v>
      </c>
      <c r="K4647" t="s">
        <v>162</v>
      </c>
      <c r="L4647" t="s">
        <v>158</v>
      </c>
      <c r="M4647" t="s">
        <v>131</v>
      </c>
      <c r="N4647">
        <v>12</v>
      </c>
      <c r="O4647" t="s">
        <v>40</v>
      </c>
      <c r="P4647" t="s">
        <v>40</v>
      </c>
      <c r="Q4647" t="s">
        <v>40</v>
      </c>
      <c r="R4647" t="s">
        <v>40</v>
      </c>
      <c r="S4647" t="s">
        <v>40</v>
      </c>
      <c r="V4647" t="s">
        <v>41</v>
      </c>
      <c r="W4647" t="s">
        <v>49</v>
      </c>
      <c r="X4647" t="str">
        <f>"0505050"</f>
        <v>0505050</v>
      </c>
      <c r="Y4647" t="s">
        <v>163</v>
      </c>
      <c r="Z4647" t="s">
        <v>162</v>
      </c>
      <c r="AA4647" t="s">
        <v>158</v>
      </c>
      <c r="AB4647" t="s">
        <v>131</v>
      </c>
      <c r="AC4647" t="s">
        <v>51</v>
      </c>
      <c r="AD4647" t="s">
        <v>45</v>
      </c>
      <c r="AE4647" s="1">
        <v>23448</v>
      </c>
      <c r="AF4647">
        <v>2</v>
      </c>
      <c r="AG4647" t="s">
        <v>158</v>
      </c>
      <c r="AH4647" s="36">
        <f t="shared" si="72"/>
        <v>55.580555555555556</v>
      </c>
      <c r="AI4647" s="41" t="s">
        <v>1782</v>
      </c>
    </row>
    <row r="4648" spans="1:35" x14ac:dyDescent="0.25">
      <c r="A4648" s="36">
        <v>99914646</v>
      </c>
      <c r="B4648" s="17" t="s">
        <v>56</v>
      </c>
      <c r="C4648" t="s">
        <v>1282</v>
      </c>
      <c r="D4648" t="s">
        <v>1283</v>
      </c>
      <c r="G4648" s="17" t="s">
        <v>35</v>
      </c>
      <c r="H4648" s="17">
        <v>1</v>
      </c>
      <c r="K4648" t="s">
        <v>1268</v>
      </c>
      <c r="L4648" t="s">
        <v>1269</v>
      </c>
      <c r="M4648" t="s">
        <v>1270</v>
      </c>
      <c r="N4648">
        <v>20</v>
      </c>
      <c r="O4648" t="s">
        <v>40</v>
      </c>
      <c r="P4648" t="s">
        <v>40</v>
      </c>
      <c r="Q4648" t="s">
        <v>40</v>
      </c>
      <c r="S4648" t="s">
        <v>40</v>
      </c>
      <c r="V4648" t="s">
        <v>41</v>
      </c>
      <c r="W4648" t="s">
        <v>922</v>
      </c>
      <c r="X4648" t="str">
        <f>"1950001"</f>
        <v>1950001</v>
      </c>
      <c r="Y4648" t="s">
        <v>1284</v>
      </c>
      <c r="Z4648" t="s">
        <v>1268</v>
      </c>
      <c r="AA4648" t="s">
        <v>1269</v>
      </c>
      <c r="AB4648" t="s">
        <v>1270</v>
      </c>
      <c r="AC4648" t="s">
        <v>51</v>
      </c>
      <c r="AD4648" t="s">
        <v>45</v>
      </c>
      <c r="AE4648" s="1">
        <v>23447</v>
      </c>
      <c r="AF4648">
        <v>2</v>
      </c>
      <c r="AG4648" t="s">
        <v>1269</v>
      </c>
      <c r="AH4648" s="36">
        <f t="shared" si="72"/>
        <v>55.583333333333336</v>
      </c>
      <c r="AI4648" s="41" t="s">
        <v>1782</v>
      </c>
    </row>
    <row r="4649" spans="1:35" x14ac:dyDescent="0.25">
      <c r="A4649" s="36">
        <v>99914647</v>
      </c>
      <c r="B4649" s="17" t="s">
        <v>32</v>
      </c>
      <c r="C4649" t="s">
        <v>145</v>
      </c>
      <c r="D4649" t="s">
        <v>146</v>
      </c>
      <c r="G4649" s="17" t="s">
        <v>48</v>
      </c>
      <c r="H4649" s="17">
        <v>1</v>
      </c>
      <c r="K4649" t="s">
        <v>162</v>
      </c>
      <c r="L4649" t="s">
        <v>158</v>
      </c>
      <c r="M4649" t="s">
        <v>131</v>
      </c>
      <c r="N4649">
        <v>18</v>
      </c>
      <c r="O4649" t="s">
        <v>40</v>
      </c>
      <c r="P4649" t="s">
        <v>40</v>
      </c>
      <c r="Q4649" t="s">
        <v>40</v>
      </c>
      <c r="S4649" t="s">
        <v>40</v>
      </c>
      <c r="V4649" t="s">
        <v>41</v>
      </c>
      <c r="W4649" t="s">
        <v>42</v>
      </c>
      <c r="X4649" t="str">
        <f>"0580320"</f>
        <v>0580320</v>
      </c>
      <c r="Y4649" t="s">
        <v>164</v>
      </c>
      <c r="Z4649" t="s">
        <v>162</v>
      </c>
      <c r="AA4649" t="s">
        <v>158</v>
      </c>
      <c r="AB4649" t="s">
        <v>131</v>
      </c>
      <c r="AC4649" t="s">
        <v>165</v>
      </c>
      <c r="AD4649" t="s">
        <v>45</v>
      </c>
      <c r="AE4649" s="1">
        <v>23439</v>
      </c>
      <c r="AF4649">
        <v>2</v>
      </c>
      <c r="AG4649" t="s">
        <v>158</v>
      </c>
      <c r="AH4649" s="36">
        <f t="shared" si="72"/>
        <v>55.605555555555554</v>
      </c>
      <c r="AI4649" s="41" t="s">
        <v>1782</v>
      </c>
    </row>
    <row r="4650" spans="1:35" x14ac:dyDescent="0.25">
      <c r="A4650" s="36">
        <v>99914648</v>
      </c>
      <c r="B4650" s="17" t="s">
        <v>32</v>
      </c>
      <c r="C4650" t="s">
        <v>111</v>
      </c>
      <c r="D4650" t="s">
        <v>112</v>
      </c>
      <c r="G4650" s="17" t="s">
        <v>48</v>
      </c>
      <c r="H4650" s="17">
        <v>1</v>
      </c>
      <c r="K4650" t="s">
        <v>1198</v>
      </c>
      <c r="L4650" t="s">
        <v>1199</v>
      </c>
      <c r="M4650" t="s">
        <v>1130</v>
      </c>
      <c r="N4650">
        <v>10</v>
      </c>
      <c r="O4650" t="s">
        <v>40</v>
      </c>
      <c r="P4650" t="s">
        <v>40</v>
      </c>
      <c r="Q4650" t="s">
        <v>40</v>
      </c>
      <c r="S4650" t="s">
        <v>40</v>
      </c>
      <c r="V4650" t="s">
        <v>41</v>
      </c>
      <c r="W4650" t="s">
        <v>75</v>
      </c>
      <c r="X4650" t="str">
        <f>"7311010"</f>
        <v>7311010</v>
      </c>
      <c r="Y4650" t="s">
        <v>1202</v>
      </c>
      <c r="Z4650" t="s">
        <v>1198</v>
      </c>
      <c r="AA4650" t="s">
        <v>1199</v>
      </c>
      <c r="AB4650" t="s">
        <v>1130</v>
      </c>
      <c r="AC4650" t="s">
        <v>51</v>
      </c>
      <c r="AD4650" t="s">
        <v>45</v>
      </c>
      <c r="AE4650" s="1">
        <v>23439</v>
      </c>
      <c r="AF4650">
        <v>1</v>
      </c>
      <c r="AG4650" t="s">
        <v>1199</v>
      </c>
      <c r="AH4650" s="36">
        <f t="shared" si="72"/>
        <v>55.605555555555554</v>
      </c>
      <c r="AI4650" s="41" t="s">
        <v>1782</v>
      </c>
    </row>
    <row r="4651" spans="1:35" x14ac:dyDescent="0.25">
      <c r="A4651" s="36">
        <v>99914649</v>
      </c>
      <c r="B4651" s="17" t="s">
        <v>32</v>
      </c>
      <c r="C4651" t="s">
        <v>46</v>
      </c>
      <c r="D4651" t="s">
        <v>47</v>
      </c>
      <c r="G4651" s="17" t="s">
        <v>35</v>
      </c>
      <c r="H4651" s="17">
        <v>1</v>
      </c>
      <c r="K4651" t="s">
        <v>162</v>
      </c>
      <c r="L4651" t="s">
        <v>158</v>
      </c>
      <c r="M4651" t="s">
        <v>131</v>
      </c>
      <c r="N4651">
        <v>5</v>
      </c>
      <c r="O4651" t="s">
        <v>40</v>
      </c>
      <c r="P4651" t="s">
        <v>40</v>
      </c>
      <c r="Q4651" t="s">
        <v>40</v>
      </c>
      <c r="R4651" t="s">
        <v>40</v>
      </c>
      <c r="S4651" t="s">
        <v>40</v>
      </c>
      <c r="V4651" t="s">
        <v>41</v>
      </c>
      <c r="W4651" t="s">
        <v>49</v>
      </c>
      <c r="X4651" t="str">
        <f>"0581325"</f>
        <v>0581325</v>
      </c>
      <c r="Y4651" t="s">
        <v>169</v>
      </c>
      <c r="Z4651" t="s">
        <v>162</v>
      </c>
      <c r="AA4651" t="s">
        <v>158</v>
      </c>
      <c r="AB4651" t="s">
        <v>131</v>
      </c>
      <c r="AC4651" t="s">
        <v>165</v>
      </c>
      <c r="AD4651" t="s">
        <v>45</v>
      </c>
      <c r="AE4651" s="1">
        <v>23437</v>
      </c>
      <c r="AF4651">
        <v>2</v>
      </c>
      <c r="AG4651" t="s">
        <v>158</v>
      </c>
      <c r="AH4651" s="36">
        <f t="shared" si="72"/>
        <v>55.611111111111114</v>
      </c>
      <c r="AI4651" s="41" t="s">
        <v>1782</v>
      </c>
    </row>
    <row r="4652" spans="1:35" x14ac:dyDescent="0.25">
      <c r="A4652" s="36">
        <v>99914650</v>
      </c>
      <c r="B4652" s="17" t="s">
        <v>32</v>
      </c>
      <c r="C4652" t="s">
        <v>46</v>
      </c>
      <c r="D4652" t="s">
        <v>47</v>
      </c>
      <c r="G4652" s="17" t="s">
        <v>35</v>
      </c>
      <c r="H4652" s="17">
        <v>1</v>
      </c>
      <c r="K4652" t="s">
        <v>223</v>
      </c>
      <c r="L4652" t="s">
        <v>224</v>
      </c>
      <c r="M4652" t="s">
        <v>131</v>
      </c>
      <c r="N4652">
        <v>18</v>
      </c>
      <c r="O4652" t="s">
        <v>40</v>
      </c>
      <c r="P4652" t="s">
        <v>40</v>
      </c>
      <c r="Q4652" t="s">
        <v>40</v>
      </c>
      <c r="S4652" t="s">
        <v>40</v>
      </c>
      <c r="V4652" t="s">
        <v>41</v>
      </c>
      <c r="W4652" t="s">
        <v>42</v>
      </c>
      <c r="X4652" t="str">
        <f>"0590901"</f>
        <v>0590901</v>
      </c>
      <c r="Y4652" t="s">
        <v>242</v>
      </c>
      <c r="Z4652" t="s">
        <v>223</v>
      </c>
      <c r="AA4652" t="s">
        <v>224</v>
      </c>
      <c r="AB4652" t="s">
        <v>131</v>
      </c>
      <c r="AC4652" t="s">
        <v>165</v>
      </c>
      <c r="AD4652" t="s">
        <v>45</v>
      </c>
      <c r="AE4652" s="1">
        <v>23437</v>
      </c>
      <c r="AF4652">
        <v>2</v>
      </c>
      <c r="AG4652" t="s">
        <v>224</v>
      </c>
      <c r="AH4652" s="36">
        <f t="shared" si="72"/>
        <v>55.611111111111114</v>
      </c>
      <c r="AI4652" s="41" t="s">
        <v>1782</v>
      </c>
    </row>
    <row r="4653" spans="1:35" x14ac:dyDescent="0.25">
      <c r="A4653" s="36">
        <v>99914651</v>
      </c>
      <c r="B4653" s="17" t="s">
        <v>32</v>
      </c>
      <c r="C4653" t="s">
        <v>139</v>
      </c>
      <c r="D4653" t="s">
        <v>140</v>
      </c>
      <c r="G4653" s="17" t="s">
        <v>48</v>
      </c>
      <c r="H4653" s="17">
        <v>1</v>
      </c>
      <c r="K4653" t="s">
        <v>1268</v>
      </c>
      <c r="L4653" t="s">
        <v>1269</v>
      </c>
      <c r="M4653" t="s">
        <v>1270</v>
      </c>
      <c r="N4653">
        <v>18</v>
      </c>
      <c r="O4653" t="s">
        <v>40</v>
      </c>
      <c r="P4653" t="s">
        <v>40</v>
      </c>
      <c r="Q4653" t="s">
        <v>40</v>
      </c>
      <c r="S4653" t="s">
        <v>40</v>
      </c>
      <c r="V4653" t="s">
        <v>41</v>
      </c>
      <c r="W4653" t="s">
        <v>49</v>
      </c>
      <c r="X4653" t="str">
        <f>"1981914"</f>
        <v>1981914</v>
      </c>
      <c r="Y4653" t="s">
        <v>1287</v>
      </c>
      <c r="Z4653" t="s">
        <v>1268</v>
      </c>
      <c r="AA4653" t="s">
        <v>1269</v>
      </c>
      <c r="AB4653" t="s">
        <v>1270</v>
      </c>
      <c r="AC4653" t="s">
        <v>51</v>
      </c>
      <c r="AD4653" t="s">
        <v>45</v>
      </c>
      <c r="AE4653" s="1">
        <v>23427</v>
      </c>
      <c r="AF4653">
        <v>2</v>
      </c>
      <c r="AG4653" t="s">
        <v>1269</v>
      </c>
      <c r="AH4653" s="36">
        <f t="shared" si="72"/>
        <v>55.638888888888886</v>
      </c>
      <c r="AI4653" s="41" t="s">
        <v>1782</v>
      </c>
    </row>
    <row r="4654" spans="1:35" x14ac:dyDescent="0.25">
      <c r="A4654" s="36">
        <v>99914652</v>
      </c>
      <c r="B4654" s="17" t="s">
        <v>32</v>
      </c>
      <c r="C4654" t="s">
        <v>111</v>
      </c>
      <c r="D4654" t="s">
        <v>112</v>
      </c>
      <c r="G4654" s="17" t="s">
        <v>48</v>
      </c>
      <c r="H4654" s="17">
        <v>1</v>
      </c>
      <c r="K4654" t="s">
        <v>268</v>
      </c>
      <c r="L4654" t="s">
        <v>269</v>
      </c>
      <c r="M4654" t="s">
        <v>131</v>
      </c>
      <c r="N4654">
        <v>21</v>
      </c>
      <c r="O4654" t="s">
        <v>40</v>
      </c>
      <c r="P4654" t="s">
        <v>40</v>
      </c>
      <c r="Q4654" t="s">
        <v>40</v>
      </c>
      <c r="R4654" t="s">
        <v>40</v>
      </c>
      <c r="S4654" t="s">
        <v>40</v>
      </c>
      <c r="V4654" t="s">
        <v>41</v>
      </c>
      <c r="W4654" t="s">
        <v>75</v>
      </c>
      <c r="X4654" t="str">
        <f>"7052034"</f>
        <v>7052034</v>
      </c>
      <c r="Y4654" t="s">
        <v>604</v>
      </c>
      <c r="Z4654" t="s">
        <v>268</v>
      </c>
      <c r="AA4654" t="s">
        <v>269</v>
      </c>
      <c r="AB4654" t="s">
        <v>131</v>
      </c>
      <c r="AC4654" t="s">
        <v>51</v>
      </c>
      <c r="AD4654" t="s">
        <v>45</v>
      </c>
      <c r="AE4654" s="1">
        <v>23426</v>
      </c>
      <c r="AF4654">
        <v>1</v>
      </c>
      <c r="AG4654" t="s">
        <v>269</v>
      </c>
      <c r="AH4654" s="36">
        <f t="shared" si="72"/>
        <v>55.641666666666666</v>
      </c>
      <c r="AI4654" s="41" t="s">
        <v>1782</v>
      </c>
    </row>
    <row r="4655" spans="1:35" x14ac:dyDescent="0.25">
      <c r="A4655" s="36">
        <v>99914653</v>
      </c>
      <c r="B4655" s="17" t="s">
        <v>56</v>
      </c>
      <c r="C4655" t="s">
        <v>79</v>
      </c>
      <c r="D4655" t="s">
        <v>80</v>
      </c>
      <c r="G4655" s="17" t="s">
        <v>48</v>
      </c>
      <c r="H4655" s="17">
        <v>1</v>
      </c>
      <c r="K4655" t="s">
        <v>129</v>
      </c>
      <c r="L4655" t="s">
        <v>130</v>
      </c>
      <c r="M4655" t="s">
        <v>131</v>
      </c>
      <c r="N4655">
        <v>18</v>
      </c>
      <c r="O4655" t="s">
        <v>40</v>
      </c>
      <c r="P4655" t="s">
        <v>40</v>
      </c>
      <c r="Q4655" t="s">
        <v>40</v>
      </c>
      <c r="R4655" t="s">
        <v>40</v>
      </c>
      <c r="S4655" t="s">
        <v>40</v>
      </c>
      <c r="V4655" t="s">
        <v>41</v>
      </c>
      <c r="W4655" t="s">
        <v>42</v>
      </c>
      <c r="X4655" t="str">
        <f>"0590905"</f>
        <v>0590905</v>
      </c>
      <c r="Y4655" t="s">
        <v>133</v>
      </c>
      <c r="Z4655" t="s">
        <v>129</v>
      </c>
      <c r="AA4655" t="s">
        <v>130</v>
      </c>
      <c r="AB4655" t="s">
        <v>131</v>
      </c>
      <c r="AC4655" t="s">
        <v>51</v>
      </c>
      <c r="AD4655" t="s">
        <v>45</v>
      </c>
      <c r="AE4655" s="1">
        <v>23422</v>
      </c>
      <c r="AF4655">
        <v>2</v>
      </c>
      <c r="AG4655" t="s">
        <v>130</v>
      </c>
      <c r="AH4655" s="36">
        <f t="shared" si="72"/>
        <v>55.652777777777779</v>
      </c>
      <c r="AI4655" s="41" t="s">
        <v>1782</v>
      </c>
    </row>
    <row r="4656" spans="1:35" x14ac:dyDescent="0.25">
      <c r="A4656" s="36">
        <v>99914654</v>
      </c>
      <c r="B4656" s="17" t="s">
        <v>56</v>
      </c>
      <c r="C4656" t="s">
        <v>79</v>
      </c>
      <c r="D4656" t="s">
        <v>80</v>
      </c>
      <c r="G4656" s="17" t="s">
        <v>48</v>
      </c>
      <c r="H4656" s="17">
        <v>9</v>
      </c>
      <c r="K4656" t="s">
        <v>354</v>
      </c>
      <c r="L4656" t="s">
        <v>355</v>
      </c>
      <c r="M4656" t="s">
        <v>131</v>
      </c>
      <c r="N4656">
        <v>12</v>
      </c>
      <c r="O4656" t="s">
        <v>40</v>
      </c>
      <c r="P4656" t="s">
        <v>40</v>
      </c>
      <c r="Q4656" t="s">
        <v>40</v>
      </c>
      <c r="R4656" t="s">
        <v>40</v>
      </c>
      <c r="S4656" t="s">
        <v>40</v>
      </c>
      <c r="V4656" t="s">
        <v>41</v>
      </c>
      <c r="W4656" t="s">
        <v>75</v>
      </c>
      <c r="X4656" t="str">
        <f>"7054004"</f>
        <v>7054004</v>
      </c>
      <c r="Y4656" t="s">
        <v>798</v>
      </c>
      <c r="Z4656" t="s">
        <v>354</v>
      </c>
      <c r="AA4656" t="s">
        <v>355</v>
      </c>
      <c r="AB4656" t="s">
        <v>131</v>
      </c>
      <c r="AC4656" t="s">
        <v>51</v>
      </c>
      <c r="AD4656" t="s">
        <v>45</v>
      </c>
      <c r="AE4656" s="1">
        <v>23422</v>
      </c>
      <c r="AF4656">
        <v>1</v>
      </c>
      <c r="AG4656" t="s">
        <v>355</v>
      </c>
      <c r="AH4656" s="36">
        <f t="shared" si="72"/>
        <v>55.652777777777779</v>
      </c>
      <c r="AI4656" s="41" t="s">
        <v>1782</v>
      </c>
    </row>
    <row r="4657" spans="1:35" x14ac:dyDescent="0.25">
      <c r="A4657" s="36">
        <v>99914655</v>
      </c>
      <c r="B4657" s="17" t="s">
        <v>32</v>
      </c>
      <c r="C4657" t="s">
        <v>111</v>
      </c>
      <c r="D4657" t="s">
        <v>112</v>
      </c>
      <c r="G4657" s="17" t="s">
        <v>48</v>
      </c>
      <c r="H4657" s="17">
        <v>10</v>
      </c>
      <c r="K4657" t="s">
        <v>1221</v>
      </c>
      <c r="L4657" t="s">
        <v>1222</v>
      </c>
      <c r="M4657" t="s">
        <v>1130</v>
      </c>
      <c r="N4657">
        <v>21</v>
      </c>
      <c r="O4657" t="s">
        <v>40</v>
      </c>
      <c r="P4657" t="s">
        <v>40</v>
      </c>
      <c r="Q4657" t="s">
        <v>40</v>
      </c>
      <c r="R4657" t="s">
        <v>40</v>
      </c>
      <c r="S4657" t="s">
        <v>40</v>
      </c>
      <c r="V4657" t="s">
        <v>41</v>
      </c>
      <c r="W4657" t="s">
        <v>75</v>
      </c>
      <c r="X4657" t="str">
        <f>"7351000"</f>
        <v>7351000</v>
      </c>
      <c r="Y4657" t="s">
        <v>1223</v>
      </c>
      <c r="Z4657" t="s">
        <v>1221</v>
      </c>
      <c r="AA4657" t="s">
        <v>1222</v>
      </c>
      <c r="AB4657" t="s">
        <v>1130</v>
      </c>
      <c r="AC4657" t="s">
        <v>51</v>
      </c>
      <c r="AD4657" t="s">
        <v>45</v>
      </c>
      <c r="AE4657" s="1">
        <v>23419</v>
      </c>
      <c r="AF4657">
        <v>1</v>
      </c>
      <c r="AG4657" t="s">
        <v>1222</v>
      </c>
      <c r="AH4657" s="36">
        <f t="shared" si="72"/>
        <v>55.661111111111111</v>
      </c>
      <c r="AI4657" s="41" t="s">
        <v>1782</v>
      </c>
    </row>
    <row r="4658" spans="1:35" x14ac:dyDescent="0.25">
      <c r="A4658" s="36">
        <v>99914656</v>
      </c>
      <c r="B4658" s="17" t="s">
        <v>56</v>
      </c>
      <c r="C4658" t="s">
        <v>52</v>
      </c>
      <c r="D4658" t="s">
        <v>53</v>
      </c>
      <c r="G4658" s="17" t="s">
        <v>48</v>
      </c>
      <c r="H4658" s="17">
        <v>1</v>
      </c>
      <c r="K4658" t="s">
        <v>1268</v>
      </c>
      <c r="L4658" t="s">
        <v>1269</v>
      </c>
      <c r="M4658" t="s">
        <v>1270</v>
      </c>
      <c r="N4658">
        <v>20</v>
      </c>
      <c r="O4658" t="s">
        <v>40</v>
      </c>
      <c r="P4658" t="s">
        <v>40</v>
      </c>
      <c r="Q4658" t="s">
        <v>40</v>
      </c>
      <c r="R4658" t="s">
        <v>40</v>
      </c>
      <c r="S4658" t="s">
        <v>40</v>
      </c>
      <c r="V4658" t="s">
        <v>41</v>
      </c>
      <c r="W4658" t="s">
        <v>42</v>
      </c>
      <c r="X4658" t="str">
        <f>"1990911"</f>
        <v>1990911</v>
      </c>
      <c r="Y4658" t="s">
        <v>1276</v>
      </c>
      <c r="Z4658" t="s">
        <v>1268</v>
      </c>
      <c r="AA4658" t="s">
        <v>1269</v>
      </c>
      <c r="AB4658" t="s">
        <v>1270</v>
      </c>
      <c r="AC4658" t="s">
        <v>165</v>
      </c>
      <c r="AD4658" t="s">
        <v>45</v>
      </c>
      <c r="AE4658" s="1">
        <v>23411</v>
      </c>
      <c r="AF4658">
        <v>2</v>
      </c>
      <c r="AG4658" t="s">
        <v>1269</v>
      </c>
      <c r="AH4658" s="36">
        <f t="shared" si="72"/>
        <v>55.68333333333333</v>
      </c>
      <c r="AI4658" s="41" t="s">
        <v>1782</v>
      </c>
    </row>
    <row r="4659" spans="1:35" x14ac:dyDescent="0.25">
      <c r="A4659" s="36">
        <v>99914657</v>
      </c>
      <c r="B4659" s="17" t="s">
        <v>32</v>
      </c>
      <c r="C4659" t="s">
        <v>68</v>
      </c>
      <c r="D4659" t="s">
        <v>69</v>
      </c>
      <c r="G4659" s="17" t="s">
        <v>48</v>
      </c>
      <c r="H4659" s="17">
        <v>1</v>
      </c>
      <c r="K4659" t="s">
        <v>162</v>
      </c>
      <c r="L4659" t="s">
        <v>158</v>
      </c>
      <c r="M4659" t="s">
        <v>131</v>
      </c>
      <c r="N4659">
        <v>18</v>
      </c>
      <c r="O4659" t="s">
        <v>40</v>
      </c>
      <c r="P4659" t="s">
        <v>40</v>
      </c>
      <c r="Q4659" t="s">
        <v>40</v>
      </c>
      <c r="S4659" t="s">
        <v>40</v>
      </c>
      <c r="V4659" t="s">
        <v>41</v>
      </c>
      <c r="W4659" t="s">
        <v>42</v>
      </c>
      <c r="X4659" t="str">
        <f>"0580325"</f>
        <v>0580325</v>
      </c>
      <c r="Y4659" t="s">
        <v>170</v>
      </c>
      <c r="Z4659" t="s">
        <v>162</v>
      </c>
      <c r="AA4659" t="s">
        <v>158</v>
      </c>
      <c r="AB4659" t="s">
        <v>131</v>
      </c>
      <c r="AC4659" t="s">
        <v>165</v>
      </c>
      <c r="AD4659" t="s">
        <v>45</v>
      </c>
      <c r="AE4659" s="1">
        <v>23401</v>
      </c>
      <c r="AF4659">
        <v>2</v>
      </c>
      <c r="AG4659" t="s">
        <v>158</v>
      </c>
      <c r="AH4659" s="36">
        <f t="shared" si="72"/>
        <v>55.711111111111109</v>
      </c>
      <c r="AI4659" s="41" t="s">
        <v>1782</v>
      </c>
    </row>
    <row r="4660" spans="1:35" x14ac:dyDescent="0.25">
      <c r="A4660" s="36">
        <v>99914658</v>
      </c>
      <c r="B4660" s="17" t="s">
        <v>56</v>
      </c>
      <c r="C4660" t="s">
        <v>68</v>
      </c>
      <c r="D4660" t="s">
        <v>69</v>
      </c>
      <c r="G4660" s="17" t="s">
        <v>35</v>
      </c>
      <c r="H4660" s="17">
        <v>1</v>
      </c>
      <c r="I4660" t="s">
        <v>940</v>
      </c>
      <c r="J4660" s="1">
        <v>42979</v>
      </c>
      <c r="K4660" t="s">
        <v>936</v>
      </c>
      <c r="L4660" t="s">
        <v>937</v>
      </c>
      <c r="M4660" t="s">
        <v>938</v>
      </c>
      <c r="N4660">
        <v>16</v>
      </c>
      <c r="O4660" t="s">
        <v>40</v>
      </c>
      <c r="P4660" t="s">
        <v>40</v>
      </c>
      <c r="Q4660" t="s">
        <v>40</v>
      </c>
      <c r="R4660" t="s">
        <v>40</v>
      </c>
      <c r="S4660" t="s">
        <v>40</v>
      </c>
      <c r="U4660" s="1">
        <v>42979</v>
      </c>
      <c r="V4660" t="s">
        <v>41</v>
      </c>
      <c r="W4660" t="s">
        <v>42</v>
      </c>
      <c r="X4660" t="str">
        <f>"0161002"</f>
        <v>0161002</v>
      </c>
      <c r="Y4660" t="s">
        <v>941</v>
      </c>
      <c r="Z4660" t="s">
        <v>936</v>
      </c>
      <c r="AA4660" t="s">
        <v>937</v>
      </c>
      <c r="AB4660" t="s">
        <v>938</v>
      </c>
      <c r="AC4660" t="s">
        <v>44</v>
      </c>
      <c r="AD4660" t="s">
        <v>45</v>
      </c>
      <c r="AE4660" s="1">
        <v>23400</v>
      </c>
      <c r="AF4660">
        <v>2</v>
      </c>
      <c r="AG4660" t="s">
        <v>937</v>
      </c>
      <c r="AH4660" s="36">
        <f t="shared" si="72"/>
        <v>55.713888888888889</v>
      </c>
      <c r="AI4660" s="41" t="s">
        <v>1782</v>
      </c>
    </row>
    <row r="4661" spans="1:35" x14ac:dyDescent="0.25">
      <c r="A4661" s="36">
        <v>99914659</v>
      </c>
      <c r="B4661" s="17" t="s">
        <v>32</v>
      </c>
      <c r="C4661" t="s">
        <v>111</v>
      </c>
      <c r="D4661" t="s">
        <v>112</v>
      </c>
      <c r="G4661" s="17" t="s">
        <v>48</v>
      </c>
      <c r="H4661" s="17">
        <v>16</v>
      </c>
      <c r="K4661" t="s">
        <v>195</v>
      </c>
      <c r="L4661" t="s">
        <v>196</v>
      </c>
      <c r="M4661" t="s">
        <v>131</v>
      </c>
      <c r="N4661">
        <v>21</v>
      </c>
      <c r="O4661" t="s">
        <v>40</v>
      </c>
      <c r="P4661" t="s">
        <v>40</v>
      </c>
      <c r="Q4661" t="s">
        <v>40</v>
      </c>
      <c r="R4661" t="s">
        <v>40</v>
      </c>
      <c r="S4661" t="s">
        <v>40</v>
      </c>
      <c r="U4661" s="1">
        <v>32189</v>
      </c>
      <c r="V4661" t="s">
        <v>41</v>
      </c>
      <c r="W4661" t="s">
        <v>75</v>
      </c>
      <c r="X4661" t="str">
        <f>"7521046"</f>
        <v>7521046</v>
      </c>
      <c r="Y4661" t="s">
        <v>436</v>
      </c>
      <c r="Z4661" t="s">
        <v>195</v>
      </c>
      <c r="AA4661" t="s">
        <v>196</v>
      </c>
      <c r="AB4661" t="s">
        <v>131</v>
      </c>
      <c r="AC4661" t="s">
        <v>165</v>
      </c>
      <c r="AD4661" t="s">
        <v>45</v>
      </c>
      <c r="AE4661" s="1">
        <v>23395</v>
      </c>
      <c r="AF4661">
        <v>1</v>
      </c>
      <c r="AG4661" t="s">
        <v>196</v>
      </c>
      <c r="AH4661" s="36">
        <f t="shared" si="72"/>
        <v>55.727777777777774</v>
      </c>
      <c r="AI4661" s="41" t="s">
        <v>1782</v>
      </c>
    </row>
    <row r="4662" spans="1:35" x14ac:dyDescent="0.25">
      <c r="A4662" s="36">
        <v>99914660</v>
      </c>
      <c r="B4662" s="17" t="s">
        <v>56</v>
      </c>
      <c r="C4662" t="s">
        <v>68</v>
      </c>
      <c r="D4662" t="s">
        <v>69</v>
      </c>
      <c r="G4662" s="17" t="s">
        <v>48</v>
      </c>
      <c r="H4662" s="17">
        <v>1</v>
      </c>
      <c r="K4662" t="s">
        <v>223</v>
      </c>
      <c r="L4662" t="s">
        <v>224</v>
      </c>
      <c r="M4662" t="s">
        <v>131</v>
      </c>
      <c r="N4662">
        <v>20</v>
      </c>
      <c r="O4662" t="s">
        <v>40</v>
      </c>
      <c r="P4662" t="s">
        <v>40</v>
      </c>
      <c r="Q4662" t="s">
        <v>40</v>
      </c>
      <c r="R4662" t="s">
        <v>40</v>
      </c>
      <c r="S4662" t="s">
        <v>40</v>
      </c>
      <c r="V4662" t="s">
        <v>41</v>
      </c>
      <c r="W4662" t="s">
        <v>49</v>
      </c>
      <c r="X4662" t="str">
        <f>"0581200"</f>
        <v>0581200</v>
      </c>
      <c r="Y4662" t="s">
        <v>238</v>
      </c>
      <c r="Z4662" t="s">
        <v>223</v>
      </c>
      <c r="AA4662" t="s">
        <v>224</v>
      </c>
      <c r="AB4662" t="s">
        <v>131</v>
      </c>
      <c r="AC4662" t="s">
        <v>51</v>
      </c>
      <c r="AD4662" t="s">
        <v>45</v>
      </c>
      <c r="AE4662" s="1">
        <v>23394</v>
      </c>
      <c r="AF4662">
        <v>2</v>
      </c>
      <c r="AG4662" t="s">
        <v>224</v>
      </c>
      <c r="AH4662" s="36">
        <f t="shared" si="72"/>
        <v>55.730555555555554</v>
      </c>
      <c r="AI4662" s="41" t="s">
        <v>1782</v>
      </c>
    </row>
    <row r="4663" spans="1:35" x14ac:dyDescent="0.25">
      <c r="A4663" s="36">
        <v>99914661</v>
      </c>
      <c r="B4663" s="17" t="s">
        <v>56</v>
      </c>
      <c r="C4663" t="s">
        <v>68</v>
      </c>
      <c r="D4663" t="s">
        <v>69</v>
      </c>
      <c r="G4663" s="17" t="s">
        <v>35</v>
      </c>
      <c r="H4663" s="17">
        <v>1</v>
      </c>
      <c r="K4663" t="s">
        <v>1546</v>
      </c>
      <c r="L4663" t="s">
        <v>1547</v>
      </c>
      <c r="M4663" t="s">
        <v>1548</v>
      </c>
      <c r="N4663">
        <v>9</v>
      </c>
      <c r="O4663" t="s">
        <v>40</v>
      </c>
      <c r="P4663" t="s">
        <v>40</v>
      </c>
      <c r="Q4663" t="s">
        <v>40</v>
      </c>
      <c r="R4663" t="s">
        <v>40</v>
      </c>
      <c r="S4663" t="s">
        <v>40</v>
      </c>
      <c r="V4663" t="s">
        <v>41</v>
      </c>
      <c r="W4663" t="s">
        <v>49</v>
      </c>
      <c r="X4663" t="str">
        <f>"1081010"</f>
        <v>1081010</v>
      </c>
      <c r="Y4663" t="s">
        <v>1552</v>
      </c>
      <c r="Z4663" t="s">
        <v>1546</v>
      </c>
      <c r="AA4663" t="s">
        <v>1547</v>
      </c>
      <c r="AB4663" t="s">
        <v>1548</v>
      </c>
      <c r="AC4663" t="s">
        <v>51</v>
      </c>
      <c r="AD4663" t="s">
        <v>45</v>
      </c>
      <c r="AE4663" s="1">
        <v>23393</v>
      </c>
      <c r="AF4663">
        <v>2</v>
      </c>
      <c r="AG4663" t="s">
        <v>1547</v>
      </c>
      <c r="AH4663" s="36">
        <f t="shared" si="72"/>
        <v>55.733333333333334</v>
      </c>
      <c r="AI4663" s="41" t="s">
        <v>1782</v>
      </c>
    </row>
    <row r="4664" spans="1:35" x14ac:dyDescent="0.25">
      <c r="A4664" s="36">
        <v>99914662</v>
      </c>
      <c r="B4664" s="17" t="s">
        <v>56</v>
      </c>
      <c r="C4664" t="s">
        <v>52</v>
      </c>
      <c r="D4664" t="s">
        <v>53</v>
      </c>
      <c r="G4664" s="17" t="s">
        <v>48</v>
      </c>
      <c r="H4664" s="17">
        <v>1</v>
      </c>
      <c r="K4664" t="s">
        <v>157</v>
      </c>
      <c r="L4664" t="s">
        <v>158</v>
      </c>
      <c r="M4664" t="s">
        <v>131</v>
      </c>
      <c r="N4664">
        <v>18</v>
      </c>
      <c r="O4664" t="s">
        <v>40</v>
      </c>
      <c r="P4664" t="s">
        <v>40</v>
      </c>
      <c r="Q4664" t="s">
        <v>40</v>
      </c>
      <c r="R4664" t="s">
        <v>40</v>
      </c>
      <c r="S4664" t="s">
        <v>40</v>
      </c>
      <c r="V4664" t="s">
        <v>41</v>
      </c>
      <c r="W4664" t="s">
        <v>42</v>
      </c>
      <c r="X4664" t="str">
        <f>"0580735"</f>
        <v>0580735</v>
      </c>
      <c r="Y4664" t="s">
        <v>180</v>
      </c>
      <c r="Z4664" t="s">
        <v>157</v>
      </c>
      <c r="AA4664" t="s">
        <v>158</v>
      </c>
      <c r="AB4664" t="s">
        <v>131</v>
      </c>
      <c r="AC4664" t="s">
        <v>51</v>
      </c>
      <c r="AD4664" t="s">
        <v>45</v>
      </c>
      <c r="AE4664" s="1">
        <v>23377</v>
      </c>
      <c r="AF4664">
        <v>2</v>
      </c>
      <c r="AG4664" t="s">
        <v>158</v>
      </c>
      <c r="AH4664" s="36">
        <f t="shared" si="72"/>
        <v>55.777777777777779</v>
      </c>
      <c r="AI4664" s="41" t="s">
        <v>1782</v>
      </c>
    </row>
    <row r="4665" spans="1:35" x14ac:dyDescent="0.25">
      <c r="A4665" s="36">
        <v>99914663</v>
      </c>
      <c r="B4665" s="17" t="s">
        <v>56</v>
      </c>
      <c r="C4665" t="s">
        <v>141</v>
      </c>
      <c r="D4665" t="s">
        <v>142</v>
      </c>
      <c r="G4665" s="17" t="s">
        <v>35</v>
      </c>
      <c r="H4665" s="17">
        <v>1</v>
      </c>
      <c r="I4665">
        <v>0</v>
      </c>
      <c r="J4665" s="1">
        <v>43344</v>
      </c>
      <c r="K4665" t="s">
        <v>223</v>
      </c>
      <c r="L4665" t="s">
        <v>224</v>
      </c>
      <c r="M4665" t="s">
        <v>131</v>
      </c>
      <c r="N4665">
        <v>13</v>
      </c>
      <c r="O4665" t="s">
        <v>40</v>
      </c>
      <c r="P4665" t="s">
        <v>40</v>
      </c>
      <c r="Q4665" t="s">
        <v>40</v>
      </c>
      <c r="R4665" t="s">
        <v>40</v>
      </c>
      <c r="S4665" t="s">
        <v>40</v>
      </c>
      <c r="U4665" s="1">
        <v>43344</v>
      </c>
      <c r="V4665" t="s">
        <v>41</v>
      </c>
      <c r="W4665" t="s">
        <v>42</v>
      </c>
      <c r="X4665" t="str">
        <f>"0590903"</f>
        <v>0590903</v>
      </c>
      <c r="Y4665" t="s">
        <v>226</v>
      </c>
      <c r="Z4665" t="s">
        <v>223</v>
      </c>
      <c r="AA4665" t="s">
        <v>224</v>
      </c>
      <c r="AB4665" t="s">
        <v>131</v>
      </c>
      <c r="AC4665" t="s">
        <v>44</v>
      </c>
      <c r="AD4665" t="s">
        <v>45</v>
      </c>
      <c r="AE4665" s="1">
        <v>23377</v>
      </c>
      <c r="AF4665">
        <v>2</v>
      </c>
      <c r="AG4665" t="s">
        <v>224</v>
      </c>
      <c r="AH4665" s="36">
        <f t="shared" si="72"/>
        <v>55.777777777777779</v>
      </c>
      <c r="AI4665" s="41" t="s">
        <v>1782</v>
      </c>
    </row>
    <row r="4666" spans="1:35" x14ac:dyDescent="0.25">
      <c r="A4666" s="36">
        <v>99914664</v>
      </c>
      <c r="B4666" s="17" t="s">
        <v>32</v>
      </c>
      <c r="C4666" t="s">
        <v>52</v>
      </c>
      <c r="D4666" t="s">
        <v>53</v>
      </c>
      <c r="G4666" s="17" t="s">
        <v>48</v>
      </c>
      <c r="H4666" s="17">
        <v>1</v>
      </c>
      <c r="K4666" t="s">
        <v>300</v>
      </c>
      <c r="L4666" t="s">
        <v>301</v>
      </c>
      <c r="M4666" t="s">
        <v>131</v>
      </c>
      <c r="N4666">
        <v>21</v>
      </c>
      <c r="O4666" t="s">
        <v>40</v>
      </c>
      <c r="P4666" t="s">
        <v>40</v>
      </c>
      <c r="Q4666" t="s">
        <v>40</v>
      </c>
      <c r="R4666" t="s">
        <v>40</v>
      </c>
      <c r="S4666" t="s">
        <v>40</v>
      </c>
      <c r="V4666" t="s">
        <v>41</v>
      </c>
      <c r="W4666" t="s">
        <v>49</v>
      </c>
      <c r="X4666" t="str">
        <f>"0560001"</f>
        <v>0560001</v>
      </c>
      <c r="Y4666" t="s">
        <v>304</v>
      </c>
      <c r="Z4666" t="s">
        <v>300</v>
      </c>
      <c r="AA4666" t="s">
        <v>301</v>
      </c>
      <c r="AB4666" t="s">
        <v>131</v>
      </c>
      <c r="AC4666" t="s">
        <v>51</v>
      </c>
      <c r="AD4666" t="s">
        <v>45</v>
      </c>
      <c r="AE4666" s="1">
        <v>23377</v>
      </c>
      <c r="AF4666">
        <v>2</v>
      </c>
      <c r="AG4666" t="s">
        <v>301</v>
      </c>
      <c r="AH4666" s="36">
        <f t="shared" si="72"/>
        <v>55.777777777777779</v>
      </c>
      <c r="AI4666" s="41" t="s">
        <v>1782</v>
      </c>
    </row>
    <row r="4667" spans="1:35" x14ac:dyDescent="0.25">
      <c r="A4667" s="36">
        <v>99914665</v>
      </c>
      <c r="B4667" s="17" t="s">
        <v>32</v>
      </c>
      <c r="C4667" t="s">
        <v>79</v>
      </c>
      <c r="D4667" t="s">
        <v>80</v>
      </c>
      <c r="G4667" s="17" t="s">
        <v>35</v>
      </c>
      <c r="H4667" s="17">
        <v>1</v>
      </c>
      <c r="I4667">
        <v>28878</v>
      </c>
      <c r="J4667" s="1">
        <v>43344</v>
      </c>
      <c r="K4667" t="s">
        <v>354</v>
      </c>
      <c r="L4667" t="s">
        <v>355</v>
      </c>
      <c r="M4667" t="s">
        <v>131</v>
      </c>
      <c r="N4667">
        <v>21</v>
      </c>
      <c r="O4667" t="s">
        <v>40</v>
      </c>
      <c r="S4667" t="s">
        <v>40</v>
      </c>
      <c r="U4667" s="1">
        <v>43344</v>
      </c>
      <c r="V4667" t="s">
        <v>41</v>
      </c>
      <c r="W4667" t="s">
        <v>75</v>
      </c>
      <c r="X4667" t="str">
        <f>"7054032"</f>
        <v>7054032</v>
      </c>
      <c r="Y4667" t="s">
        <v>767</v>
      </c>
      <c r="Z4667" t="s">
        <v>354</v>
      </c>
      <c r="AA4667" t="s">
        <v>355</v>
      </c>
      <c r="AB4667" t="s">
        <v>131</v>
      </c>
      <c r="AC4667" t="s">
        <v>51</v>
      </c>
      <c r="AD4667" t="s">
        <v>45</v>
      </c>
      <c r="AE4667" s="1">
        <v>23377</v>
      </c>
      <c r="AF4667">
        <v>1</v>
      </c>
      <c r="AG4667" t="s">
        <v>355</v>
      </c>
      <c r="AH4667" s="36">
        <f t="shared" si="72"/>
        <v>55.777777777777779</v>
      </c>
      <c r="AI4667" s="41" t="s">
        <v>1782</v>
      </c>
    </row>
    <row r="4668" spans="1:35" x14ac:dyDescent="0.25">
      <c r="A4668" s="36">
        <v>99914666</v>
      </c>
      <c r="B4668" s="17" t="s">
        <v>32</v>
      </c>
      <c r="C4668" t="s">
        <v>71</v>
      </c>
      <c r="D4668" t="s">
        <v>72</v>
      </c>
      <c r="G4668" s="17" t="s">
        <v>35</v>
      </c>
      <c r="H4668" s="17">
        <v>1</v>
      </c>
      <c r="K4668" t="s">
        <v>947</v>
      </c>
      <c r="L4668" t="s">
        <v>948</v>
      </c>
      <c r="M4668" t="s">
        <v>938</v>
      </c>
      <c r="N4668">
        <v>18</v>
      </c>
      <c r="O4668" t="s">
        <v>40</v>
      </c>
      <c r="P4668" t="s">
        <v>40</v>
      </c>
      <c r="Q4668" t="s">
        <v>40</v>
      </c>
      <c r="R4668" t="s">
        <v>40</v>
      </c>
      <c r="S4668" t="s">
        <v>40</v>
      </c>
      <c r="V4668" t="s">
        <v>41</v>
      </c>
      <c r="W4668" t="s">
        <v>42</v>
      </c>
      <c r="X4668" t="str">
        <f>"0680030"</f>
        <v>0680030</v>
      </c>
      <c r="Y4668" t="s">
        <v>951</v>
      </c>
      <c r="Z4668" t="s">
        <v>947</v>
      </c>
      <c r="AA4668" t="s">
        <v>948</v>
      </c>
      <c r="AB4668" t="s">
        <v>938</v>
      </c>
      <c r="AC4668" t="s">
        <v>165</v>
      </c>
      <c r="AD4668" t="s">
        <v>45</v>
      </c>
      <c r="AE4668" s="1">
        <v>23377</v>
      </c>
      <c r="AF4668">
        <v>2</v>
      </c>
      <c r="AG4668" t="s">
        <v>948</v>
      </c>
      <c r="AH4668" s="36">
        <f t="shared" si="72"/>
        <v>55.777777777777779</v>
      </c>
      <c r="AI4668" s="41" t="s">
        <v>1782</v>
      </c>
    </row>
    <row r="4669" spans="1:35" x14ac:dyDescent="0.25">
      <c r="A4669" s="36">
        <v>99914667</v>
      </c>
      <c r="B4669" s="17" t="s">
        <v>32</v>
      </c>
      <c r="C4669" t="s">
        <v>52</v>
      </c>
      <c r="D4669" t="s">
        <v>53</v>
      </c>
      <c r="G4669" s="17" t="s">
        <v>48</v>
      </c>
      <c r="H4669" s="17">
        <v>1</v>
      </c>
      <c r="K4669" t="s">
        <v>1268</v>
      </c>
      <c r="L4669" t="s">
        <v>1269</v>
      </c>
      <c r="M4669" t="s">
        <v>1270</v>
      </c>
      <c r="N4669">
        <v>19</v>
      </c>
      <c r="O4669" t="s">
        <v>40</v>
      </c>
      <c r="P4669" t="s">
        <v>40</v>
      </c>
      <c r="Q4669" t="s">
        <v>40</v>
      </c>
      <c r="R4669" t="s">
        <v>40</v>
      </c>
      <c r="S4669" t="s">
        <v>40</v>
      </c>
      <c r="V4669" t="s">
        <v>41</v>
      </c>
      <c r="W4669" t="s">
        <v>42</v>
      </c>
      <c r="X4669" t="str">
        <f>"1990911"</f>
        <v>1990911</v>
      </c>
      <c r="Y4669" t="s">
        <v>1276</v>
      </c>
      <c r="Z4669" t="s">
        <v>1268</v>
      </c>
      <c r="AA4669" t="s">
        <v>1269</v>
      </c>
      <c r="AB4669" t="s">
        <v>1270</v>
      </c>
      <c r="AC4669" t="s">
        <v>165</v>
      </c>
      <c r="AD4669" t="s">
        <v>45</v>
      </c>
      <c r="AE4669" s="1">
        <v>23377</v>
      </c>
      <c r="AF4669">
        <v>2</v>
      </c>
      <c r="AG4669" t="s">
        <v>1269</v>
      </c>
      <c r="AH4669" s="36">
        <f t="shared" si="72"/>
        <v>55.777777777777779</v>
      </c>
      <c r="AI4669" s="41" t="s">
        <v>1782</v>
      </c>
    </row>
    <row r="4670" spans="1:35" x14ac:dyDescent="0.25">
      <c r="A4670" s="36">
        <v>99914668</v>
      </c>
      <c r="B4670" s="17" t="s">
        <v>56</v>
      </c>
      <c r="C4670" t="s">
        <v>68</v>
      </c>
      <c r="D4670" t="s">
        <v>69</v>
      </c>
      <c r="G4670" s="17" t="s">
        <v>48</v>
      </c>
      <c r="H4670" s="17">
        <v>1</v>
      </c>
      <c r="K4670" t="s">
        <v>1487</v>
      </c>
      <c r="L4670" t="s">
        <v>1488</v>
      </c>
      <c r="M4670" t="s">
        <v>670</v>
      </c>
      <c r="N4670">
        <v>18</v>
      </c>
      <c r="O4670" t="s">
        <v>40</v>
      </c>
      <c r="P4670" t="s">
        <v>40</v>
      </c>
      <c r="Q4670" t="s">
        <v>40</v>
      </c>
      <c r="R4670" t="s">
        <v>40</v>
      </c>
      <c r="S4670" t="s">
        <v>40</v>
      </c>
      <c r="V4670" t="s">
        <v>41</v>
      </c>
      <c r="W4670" t="s">
        <v>42</v>
      </c>
      <c r="X4670" t="str">
        <f>"1780020"</f>
        <v>1780020</v>
      </c>
      <c r="Y4670" t="s">
        <v>1490</v>
      </c>
      <c r="Z4670" t="s">
        <v>1487</v>
      </c>
      <c r="AA4670" t="s">
        <v>1488</v>
      </c>
      <c r="AB4670" t="s">
        <v>670</v>
      </c>
      <c r="AC4670" t="s">
        <v>51</v>
      </c>
      <c r="AD4670" t="s">
        <v>45</v>
      </c>
      <c r="AE4670" s="1">
        <v>23377</v>
      </c>
      <c r="AF4670">
        <v>2</v>
      </c>
      <c r="AG4670" t="s">
        <v>1488</v>
      </c>
      <c r="AH4670" s="36">
        <f t="shared" si="72"/>
        <v>55.777777777777779</v>
      </c>
      <c r="AI4670" s="41" t="s">
        <v>1782</v>
      </c>
    </row>
    <row r="4671" spans="1:35" x14ac:dyDescent="0.25">
      <c r="A4671" s="36">
        <v>99914669</v>
      </c>
      <c r="B4671" s="17" t="s">
        <v>32</v>
      </c>
      <c r="C4671" t="s">
        <v>68</v>
      </c>
      <c r="D4671" t="s">
        <v>69</v>
      </c>
      <c r="G4671" s="17" t="s">
        <v>48</v>
      </c>
      <c r="H4671" s="17">
        <v>1</v>
      </c>
      <c r="K4671" t="s">
        <v>223</v>
      </c>
      <c r="L4671" t="s">
        <v>224</v>
      </c>
      <c r="M4671" t="s">
        <v>131</v>
      </c>
      <c r="N4671">
        <v>20</v>
      </c>
      <c r="O4671" t="s">
        <v>40</v>
      </c>
      <c r="P4671" t="s">
        <v>40</v>
      </c>
      <c r="Q4671" t="s">
        <v>40</v>
      </c>
      <c r="S4671" t="s">
        <v>40</v>
      </c>
      <c r="V4671" t="s">
        <v>41</v>
      </c>
      <c r="W4671" t="s">
        <v>49</v>
      </c>
      <c r="X4671" t="str">
        <f>"0581204"</f>
        <v>0581204</v>
      </c>
      <c r="Y4671" t="s">
        <v>249</v>
      </c>
      <c r="Z4671" t="s">
        <v>223</v>
      </c>
      <c r="AA4671" t="s">
        <v>224</v>
      </c>
      <c r="AB4671" t="s">
        <v>131</v>
      </c>
      <c r="AC4671" t="s">
        <v>51</v>
      </c>
      <c r="AD4671" t="s">
        <v>45</v>
      </c>
      <c r="AE4671" s="1">
        <v>23375</v>
      </c>
      <c r="AF4671">
        <v>2</v>
      </c>
      <c r="AG4671" t="s">
        <v>224</v>
      </c>
      <c r="AH4671" s="36">
        <f t="shared" si="72"/>
        <v>55.783333333333331</v>
      </c>
      <c r="AI4671" s="41" t="s">
        <v>1782</v>
      </c>
    </row>
    <row r="4672" spans="1:35" x14ac:dyDescent="0.25">
      <c r="A4672" s="36">
        <v>99914670</v>
      </c>
      <c r="B4672" s="17" t="s">
        <v>56</v>
      </c>
      <c r="C4672" t="s">
        <v>298</v>
      </c>
      <c r="D4672" t="s">
        <v>299</v>
      </c>
      <c r="G4672" s="17" t="s">
        <v>48</v>
      </c>
      <c r="H4672" s="17">
        <v>1</v>
      </c>
      <c r="K4672" t="s">
        <v>345</v>
      </c>
      <c r="L4672" t="s">
        <v>346</v>
      </c>
      <c r="M4672" t="s">
        <v>131</v>
      </c>
      <c r="N4672">
        <v>21</v>
      </c>
      <c r="O4672" t="s">
        <v>40</v>
      </c>
      <c r="P4672" t="s">
        <v>40</v>
      </c>
      <c r="Q4672" t="s">
        <v>40</v>
      </c>
      <c r="R4672" t="s">
        <v>40</v>
      </c>
      <c r="S4672" t="s">
        <v>40</v>
      </c>
      <c r="V4672" t="s">
        <v>41</v>
      </c>
      <c r="W4672" t="s">
        <v>42</v>
      </c>
      <c r="X4672" t="str">
        <f>"0580931"</f>
        <v>0580931</v>
      </c>
      <c r="Y4672" t="s">
        <v>369</v>
      </c>
      <c r="Z4672" t="s">
        <v>345</v>
      </c>
      <c r="AA4672" t="s">
        <v>346</v>
      </c>
      <c r="AB4672" t="s">
        <v>131</v>
      </c>
      <c r="AC4672" t="s">
        <v>51</v>
      </c>
      <c r="AD4672" t="s">
        <v>45</v>
      </c>
      <c r="AE4672" s="1">
        <v>23375</v>
      </c>
      <c r="AF4672">
        <v>2</v>
      </c>
      <c r="AG4672" t="s">
        <v>346</v>
      </c>
      <c r="AH4672" s="36">
        <f t="shared" si="72"/>
        <v>55.783333333333331</v>
      </c>
      <c r="AI4672" s="41" t="s">
        <v>1782</v>
      </c>
    </row>
    <row r="4673" spans="1:35" x14ac:dyDescent="0.25">
      <c r="A4673" s="36">
        <v>99914671</v>
      </c>
      <c r="B4673" s="17" t="s">
        <v>56</v>
      </c>
      <c r="C4673" t="s">
        <v>79</v>
      </c>
      <c r="D4673" t="s">
        <v>80</v>
      </c>
      <c r="G4673" s="17" t="s">
        <v>35</v>
      </c>
      <c r="H4673" s="17">
        <v>1</v>
      </c>
      <c r="I4673" s="1">
        <v>36404</v>
      </c>
      <c r="J4673" s="1">
        <v>43344</v>
      </c>
      <c r="K4673" t="s">
        <v>1341</v>
      </c>
      <c r="L4673" t="s">
        <v>1342</v>
      </c>
      <c r="M4673" t="s">
        <v>1270</v>
      </c>
      <c r="N4673">
        <v>24</v>
      </c>
      <c r="O4673" t="s">
        <v>40</v>
      </c>
      <c r="S4673" t="s">
        <v>40</v>
      </c>
      <c r="U4673" s="1">
        <v>43344</v>
      </c>
      <c r="V4673" t="s">
        <v>41</v>
      </c>
      <c r="W4673" t="s">
        <v>75</v>
      </c>
      <c r="X4673" t="str">
        <f>"7191000"</f>
        <v>7191000</v>
      </c>
      <c r="Y4673" t="s">
        <v>1347</v>
      </c>
      <c r="Z4673" t="s">
        <v>1341</v>
      </c>
      <c r="AA4673" t="s">
        <v>1342</v>
      </c>
      <c r="AB4673" t="s">
        <v>1270</v>
      </c>
      <c r="AC4673" t="s">
        <v>51</v>
      </c>
      <c r="AD4673" t="s">
        <v>45</v>
      </c>
      <c r="AE4673" s="1">
        <v>23375</v>
      </c>
      <c r="AF4673">
        <v>1</v>
      </c>
      <c r="AG4673" t="s">
        <v>1342</v>
      </c>
      <c r="AH4673" s="36">
        <f t="shared" si="72"/>
        <v>55.783333333333331</v>
      </c>
      <c r="AI4673" s="41" t="s">
        <v>1782</v>
      </c>
    </row>
    <row r="4674" spans="1:35" x14ac:dyDescent="0.25">
      <c r="A4674" s="36">
        <v>99914672</v>
      </c>
      <c r="B4674" s="17" t="s">
        <v>32</v>
      </c>
      <c r="C4674" t="s">
        <v>141</v>
      </c>
      <c r="D4674" t="s">
        <v>142</v>
      </c>
      <c r="G4674" s="17" t="s">
        <v>35</v>
      </c>
      <c r="H4674" s="17">
        <v>1</v>
      </c>
      <c r="I4674">
        <v>13814</v>
      </c>
      <c r="J4674" s="1">
        <v>43355</v>
      </c>
      <c r="K4674" t="s">
        <v>345</v>
      </c>
      <c r="L4674" t="s">
        <v>346</v>
      </c>
      <c r="M4674" t="s">
        <v>131</v>
      </c>
      <c r="N4674">
        <v>1</v>
      </c>
      <c r="O4674" t="s">
        <v>40</v>
      </c>
      <c r="Q4674" t="s">
        <v>40</v>
      </c>
      <c r="S4674" t="s">
        <v>40</v>
      </c>
      <c r="U4674" s="1">
        <v>43355</v>
      </c>
      <c r="V4674" t="s">
        <v>41</v>
      </c>
      <c r="W4674" t="s">
        <v>49</v>
      </c>
      <c r="X4674" t="str">
        <f>"0560032"</f>
        <v>0560032</v>
      </c>
      <c r="Y4674" t="s">
        <v>347</v>
      </c>
      <c r="Z4674" t="s">
        <v>345</v>
      </c>
      <c r="AA4674" t="s">
        <v>346</v>
      </c>
      <c r="AB4674" t="s">
        <v>131</v>
      </c>
      <c r="AC4674" t="s">
        <v>51</v>
      </c>
      <c r="AD4674" t="s">
        <v>45</v>
      </c>
      <c r="AE4674" s="1">
        <v>23366</v>
      </c>
      <c r="AF4674">
        <v>2</v>
      </c>
      <c r="AG4674" t="s">
        <v>346</v>
      </c>
      <c r="AH4674" s="36">
        <f t="shared" ref="AH4674:AH4737" si="73">($AJ$1-AE4674)/360</f>
        <v>55.80833333333333</v>
      </c>
      <c r="AI4674" s="41" t="s">
        <v>1782</v>
      </c>
    </row>
    <row r="4675" spans="1:35" x14ac:dyDescent="0.25">
      <c r="A4675" s="36">
        <v>99914673</v>
      </c>
      <c r="B4675" s="17" t="s">
        <v>32</v>
      </c>
      <c r="C4675" t="s">
        <v>64</v>
      </c>
      <c r="D4675" t="s">
        <v>65</v>
      </c>
      <c r="G4675" s="17" t="s">
        <v>48</v>
      </c>
      <c r="H4675" s="17">
        <v>12</v>
      </c>
      <c r="I4675" t="s">
        <v>505</v>
      </c>
      <c r="J4675" s="1">
        <v>36404</v>
      </c>
      <c r="K4675" t="s">
        <v>431</v>
      </c>
      <c r="L4675" t="s">
        <v>196</v>
      </c>
      <c r="M4675" t="s">
        <v>131</v>
      </c>
      <c r="N4675">
        <v>20</v>
      </c>
      <c r="O4675" t="s">
        <v>40</v>
      </c>
      <c r="P4675" t="s">
        <v>40</v>
      </c>
      <c r="Q4675" t="s">
        <v>40</v>
      </c>
      <c r="R4675" t="s">
        <v>40</v>
      </c>
      <c r="S4675" t="s">
        <v>40</v>
      </c>
      <c r="U4675" s="1">
        <v>36404</v>
      </c>
      <c r="V4675" t="s">
        <v>41</v>
      </c>
      <c r="W4675" t="s">
        <v>75</v>
      </c>
      <c r="X4675" t="str">
        <f>"7521022"</f>
        <v>7521022</v>
      </c>
      <c r="Y4675" t="s">
        <v>445</v>
      </c>
      <c r="Z4675" t="s">
        <v>431</v>
      </c>
      <c r="AA4675" t="s">
        <v>196</v>
      </c>
      <c r="AB4675" t="s">
        <v>131</v>
      </c>
      <c r="AC4675" t="s">
        <v>51</v>
      </c>
      <c r="AD4675" t="s">
        <v>45</v>
      </c>
      <c r="AE4675" s="1">
        <v>23359</v>
      </c>
      <c r="AF4675">
        <v>1</v>
      </c>
      <c r="AG4675" t="s">
        <v>196</v>
      </c>
      <c r="AH4675" s="36">
        <f t="shared" si="73"/>
        <v>55.827777777777776</v>
      </c>
      <c r="AI4675" s="41" t="s">
        <v>1782</v>
      </c>
    </row>
    <row r="4676" spans="1:35" x14ac:dyDescent="0.25">
      <c r="A4676" s="36">
        <v>99914674</v>
      </c>
      <c r="B4676" s="17" t="s">
        <v>56</v>
      </c>
      <c r="C4676" t="s">
        <v>52</v>
      </c>
      <c r="D4676" t="s">
        <v>53</v>
      </c>
      <c r="G4676" s="17" t="s">
        <v>35</v>
      </c>
      <c r="H4676" s="17">
        <v>1</v>
      </c>
      <c r="I4676">
        <v>0</v>
      </c>
      <c r="J4676" s="1">
        <v>43344</v>
      </c>
      <c r="K4676" t="s">
        <v>223</v>
      </c>
      <c r="L4676" t="s">
        <v>224</v>
      </c>
      <c r="M4676" t="s">
        <v>131</v>
      </c>
      <c r="N4676">
        <v>20</v>
      </c>
      <c r="O4676" t="s">
        <v>40</v>
      </c>
      <c r="S4676" t="s">
        <v>40</v>
      </c>
      <c r="U4676" s="1">
        <v>43344</v>
      </c>
      <c r="V4676" t="s">
        <v>41</v>
      </c>
      <c r="W4676" t="s">
        <v>42</v>
      </c>
      <c r="X4676" t="str">
        <f>"0580206"</f>
        <v>0580206</v>
      </c>
      <c r="Y4676" t="s">
        <v>237</v>
      </c>
      <c r="Z4676" t="s">
        <v>223</v>
      </c>
      <c r="AA4676" t="s">
        <v>224</v>
      </c>
      <c r="AB4676" t="s">
        <v>131</v>
      </c>
      <c r="AC4676" t="s">
        <v>51</v>
      </c>
      <c r="AD4676" t="s">
        <v>45</v>
      </c>
      <c r="AE4676" s="1">
        <v>23352</v>
      </c>
      <c r="AF4676">
        <v>2</v>
      </c>
      <c r="AG4676" t="s">
        <v>224</v>
      </c>
      <c r="AH4676" s="36">
        <f t="shared" si="73"/>
        <v>55.847222222222221</v>
      </c>
      <c r="AI4676" s="41" t="s">
        <v>1782</v>
      </c>
    </row>
    <row r="4677" spans="1:35" x14ac:dyDescent="0.25">
      <c r="A4677" s="36">
        <v>99914675</v>
      </c>
      <c r="B4677" s="17" t="s">
        <v>56</v>
      </c>
      <c r="C4677" t="s">
        <v>68</v>
      </c>
      <c r="D4677" t="s">
        <v>69</v>
      </c>
      <c r="G4677" s="17" t="s">
        <v>35</v>
      </c>
      <c r="H4677" s="17">
        <v>1</v>
      </c>
      <c r="K4677" t="s">
        <v>1546</v>
      </c>
      <c r="L4677" t="s">
        <v>1547</v>
      </c>
      <c r="M4677" t="s">
        <v>1548</v>
      </c>
      <c r="N4677">
        <v>21</v>
      </c>
      <c r="O4677" t="s">
        <v>40</v>
      </c>
      <c r="P4677" t="s">
        <v>40</v>
      </c>
      <c r="Q4677" t="s">
        <v>40</v>
      </c>
      <c r="S4677" t="s">
        <v>40</v>
      </c>
      <c r="V4677" t="s">
        <v>41</v>
      </c>
      <c r="W4677" t="s">
        <v>42</v>
      </c>
      <c r="X4677" t="str">
        <f>"1061001"</f>
        <v>1061001</v>
      </c>
      <c r="Y4677" t="s">
        <v>1550</v>
      </c>
      <c r="Z4677" t="s">
        <v>1546</v>
      </c>
      <c r="AA4677" t="s">
        <v>1547</v>
      </c>
      <c r="AB4677" t="s">
        <v>1548</v>
      </c>
      <c r="AC4677" t="s">
        <v>165</v>
      </c>
      <c r="AD4677" t="s">
        <v>45</v>
      </c>
      <c r="AE4677" s="1">
        <v>23351</v>
      </c>
      <c r="AF4677">
        <v>2</v>
      </c>
      <c r="AG4677" t="s">
        <v>1547</v>
      </c>
      <c r="AH4677" s="36">
        <f t="shared" si="73"/>
        <v>55.85</v>
      </c>
      <c r="AI4677" s="41" t="s">
        <v>1782</v>
      </c>
    </row>
    <row r="4678" spans="1:35" x14ac:dyDescent="0.25">
      <c r="A4678" s="36">
        <v>99914676</v>
      </c>
      <c r="B4678" s="17" t="s">
        <v>56</v>
      </c>
      <c r="C4678" t="s">
        <v>145</v>
      </c>
      <c r="D4678" t="s">
        <v>146</v>
      </c>
      <c r="G4678" s="17" t="s">
        <v>48</v>
      </c>
      <c r="H4678" s="17">
        <v>1</v>
      </c>
      <c r="K4678" t="s">
        <v>223</v>
      </c>
      <c r="L4678" t="s">
        <v>224</v>
      </c>
      <c r="M4678" t="s">
        <v>131</v>
      </c>
      <c r="N4678">
        <v>20</v>
      </c>
      <c r="O4678" t="s">
        <v>40</v>
      </c>
      <c r="P4678" t="s">
        <v>40</v>
      </c>
      <c r="Q4678" t="s">
        <v>40</v>
      </c>
      <c r="R4678" t="s">
        <v>40</v>
      </c>
      <c r="S4678" t="s">
        <v>40</v>
      </c>
      <c r="V4678" t="s">
        <v>41</v>
      </c>
      <c r="W4678" t="s">
        <v>42</v>
      </c>
      <c r="X4678" t="str">
        <f>"0580200"</f>
        <v>0580200</v>
      </c>
      <c r="Y4678" t="s">
        <v>245</v>
      </c>
      <c r="Z4678" t="s">
        <v>223</v>
      </c>
      <c r="AA4678" t="s">
        <v>224</v>
      </c>
      <c r="AB4678" t="s">
        <v>131</v>
      </c>
      <c r="AC4678" t="s">
        <v>51</v>
      </c>
      <c r="AD4678" t="s">
        <v>45</v>
      </c>
      <c r="AE4678" s="1">
        <v>23347</v>
      </c>
      <c r="AF4678">
        <v>2</v>
      </c>
      <c r="AG4678" t="s">
        <v>224</v>
      </c>
      <c r="AH4678" s="36">
        <f t="shared" si="73"/>
        <v>55.861111111111114</v>
      </c>
      <c r="AI4678" s="41" t="s">
        <v>1782</v>
      </c>
    </row>
    <row r="4679" spans="1:35" x14ac:dyDescent="0.25">
      <c r="A4679" s="36">
        <v>99914677</v>
      </c>
      <c r="B4679" s="17" t="s">
        <v>56</v>
      </c>
      <c r="C4679" t="s">
        <v>85</v>
      </c>
      <c r="D4679" t="s">
        <v>86</v>
      </c>
      <c r="G4679" s="17" t="s">
        <v>48</v>
      </c>
      <c r="H4679" s="17">
        <v>1</v>
      </c>
      <c r="K4679" t="s">
        <v>223</v>
      </c>
      <c r="L4679" t="s">
        <v>224</v>
      </c>
      <c r="M4679" t="s">
        <v>131</v>
      </c>
      <c r="N4679">
        <v>18</v>
      </c>
      <c r="O4679" t="s">
        <v>40</v>
      </c>
      <c r="P4679" t="s">
        <v>40</v>
      </c>
      <c r="Q4679" t="s">
        <v>40</v>
      </c>
      <c r="R4679" t="s">
        <v>40</v>
      </c>
      <c r="S4679" t="s">
        <v>40</v>
      </c>
      <c r="V4679" t="s">
        <v>41</v>
      </c>
      <c r="W4679" t="s">
        <v>49</v>
      </c>
      <c r="X4679" t="str">
        <f>"0591910"</f>
        <v>0591910</v>
      </c>
      <c r="Y4679" t="s">
        <v>228</v>
      </c>
      <c r="Z4679" t="s">
        <v>223</v>
      </c>
      <c r="AA4679" t="s">
        <v>224</v>
      </c>
      <c r="AB4679" t="s">
        <v>131</v>
      </c>
      <c r="AC4679" t="s">
        <v>51</v>
      </c>
      <c r="AD4679" t="s">
        <v>45</v>
      </c>
      <c r="AE4679" s="1">
        <v>23346</v>
      </c>
      <c r="AF4679">
        <v>2</v>
      </c>
      <c r="AG4679" t="s">
        <v>224</v>
      </c>
      <c r="AH4679" s="36">
        <f t="shared" si="73"/>
        <v>55.863888888888887</v>
      </c>
      <c r="AI4679" s="41" t="s">
        <v>1782</v>
      </c>
    </row>
    <row r="4680" spans="1:35" x14ac:dyDescent="0.25">
      <c r="A4680" s="36">
        <v>99914678</v>
      </c>
      <c r="B4680" s="17" t="s">
        <v>32</v>
      </c>
      <c r="C4680" t="s">
        <v>61</v>
      </c>
      <c r="D4680" t="s">
        <v>62</v>
      </c>
      <c r="G4680" s="17" t="s">
        <v>35</v>
      </c>
      <c r="H4680" s="17">
        <v>1</v>
      </c>
      <c r="K4680" t="s">
        <v>223</v>
      </c>
      <c r="L4680" t="s">
        <v>224</v>
      </c>
      <c r="M4680" t="s">
        <v>131</v>
      </c>
      <c r="N4680">
        <v>19</v>
      </c>
      <c r="O4680" t="s">
        <v>40</v>
      </c>
      <c r="P4680" t="s">
        <v>40</v>
      </c>
      <c r="Q4680" t="s">
        <v>40</v>
      </c>
      <c r="R4680" t="s">
        <v>40</v>
      </c>
      <c r="S4680" t="s">
        <v>40</v>
      </c>
      <c r="V4680" t="s">
        <v>41</v>
      </c>
      <c r="W4680" t="s">
        <v>49</v>
      </c>
      <c r="X4680" t="str">
        <f>"0591901"</f>
        <v>0591901</v>
      </c>
      <c r="Y4680" t="s">
        <v>230</v>
      </c>
      <c r="Z4680" t="s">
        <v>223</v>
      </c>
      <c r="AA4680" t="s">
        <v>224</v>
      </c>
      <c r="AB4680" t="s">
        <v>131</v>
      </c>
      <c r="AC4680" t="s">
        <v>165</v>
      </c>
      <c r="AD4680" t="s">
        <v>45</v>
      </c>
      <c r="AE4680" s="1">
        <v>23346</v>
      </c>
      <c r="AF4680">
        <v>2</v>
      </c>
      <c r="AG4680" t="s">
        <v>224</v>
      </c>
      <c r="AH4680" s="36">
        <f t="shared" si="73"/>
        <v>55.863888888888887</v>
      </c>
      <c r="AI4680" s="41" t="s">
        <v>1782</v>
      </c>
    </row>
    <row r="4681" spans="1:35" x14ac:dyDescent="0.25">
      <c r="A4681" s="36">
        <v>99914679</v>
      </c>
      <c r="B4681" s="17" t="s">
        <v>56</v>
      </c>
      <c r="C4681" t="s">
        <v>79</v>
      </c>
      <c r="D4681" t="s">
        <v>80</v>
      </c>
      <c r="G4681" s="17" t="s">
        <v>48</v>
      </c>
      <c r="H4681" s="17">
        <v>1</v>
      </c>
      <c r="K4681" t="s">
        <v>157</v>
      </c>
      <c r="L4681" t="s">
        <v>158</v>
      </c>
      <c r="M4681" t="s">
        <v>131</v>
      </c>
      <c r="N4681">
        <v>18</v>
      </c>
      <c r="O4681" t="s">
        <v>40</v>
      </c>
      <c r="P4681" t="s">
        <v>40</v>
      </c>
      <c r="Q4681" t="s">
        <v>40</v>
      </c>
      <c r="S4681" t="s">
        <v>40</v>
      </c>
      <c r="V4681" t="s">
        <v>41</v>
      </c>
      <c r="W4681" t="s">
        <v>49</v>
      </c>
      <c r="X4681" t="str">
        <f>"0560006"</f>
        <v>0560006</v>
      </c>
      <c r="Y4681" t="s">
        <v>191</v>
      </c>
      <c r="Z4681" t="s">
        <v>157</v>
      </c>
      <c r="AA4681" t="s">
        <v>158</v>
      </c>
      <c r="AB4681" t="s">
        <v>131</v>
      </c>
      <c r="AC4681" t="s">
        <v>51</v>
      </c>
      <c r="AD4681" t="s">
        <v>45</v>
      </c>
      <c r="AE4681" s="1">
        <v>23344</v>
      </c>
      <c r="AF4681">
        <v>2</v>
      </c>
      <c r="AG4681" t="s">
        <v>158</v>
      </c>
      <c r="AH4681" s="36">
        <f t="shared" si="73"/>
        <v>55.869444444444447</v>
      </c>
      <c r="AI4681" s="41" t="s">
        <v>1782</v>
      </c>
    </row>
    <row r="4682" spans="1:35" x14ac:dyDescent="0.25">
      <c r="A4682" s="36">
        <v>99914680</v>
      </c>
      <c r="B4682" s="17" t="s">
        <v>32</v>
      </c>
      <c r="C4682" t="s">
        <v>111</v>
      </c>
      <c r="D4682" t="s">
        <v>112</v>
      </c>
      <c r="G4682" s="17" t="s">
        <v>35</v>
      </c>
      <c r="H4682" s="17">
        <v>19</v>
      </c>
      <c r="K4682" t="s">
        <v>268</v>
      </c>
      <c r="L4682" t="s">
        <v>269</v>
      </c>
      <c r="M4682" t="s">
        <v>131</v>
      </c>
      <c r="N4682">
        <v>21</v>
      </c>
      <c r="O4682" t="s">
        <v>40</v>
      </c>
      <c r="P4682" t="s">
        <v>40</v>
      </c>
      <c r="Q4682" t="s">
        <v>40</v>
      </c>
      <c r="R4682" t="s">
        <v>40</v>
      </c>
      <c r="S4682" t="s">
        <v>40</v>
      </c>
      <c r="V4682" t="s">
        <v>41</v>
      </c>
      <c r="W4682" t="s">
        <v>75</v>
      </c>
      <c r="X4682" t="str">
        <f>"7052004"</f>
        <v>7052004</v>
      </c>
      <c r="Y4682" t="s">
        <v>584</v>
      </c>
      <c r="Z4682" t="s">
        <v>268</v>
      </c>
      <c r="AA4682" t="s">
        <v>269</v>
      </c>
      <c r="AB4682" t="s">
        <v>131</v>
      </c>
      <c r="AC4682" t="s">
        <v>165</v>
      </c>
      <c r="AD4682" t="s">
        <v>45</v>
      </c>
      <c r="AE4682" s="1">
        <v>23337</v>
      </c>
      <c r="AF4682">
        <v>1</v>
      </c>
      <c r="AG4682" t="s">
        <v>269</v>
      </c>
      <c r="AH4682" s="36">
        <f t="shared" si="73"/>
        <v>55.888888888888886</v>
      </c>
      <c r="AI4682" s="41" t="s">
        <v>1782</v>
      </c>
    </row>
    <row r="4683" spans="1:35" x14ac:dyDescent="0.25">
      <c r="A4683" s="36">
        <v>99914681</v>
      </c>
      <c r="B4683" s="17" t="s">
        <v>32</v>
      </c>
      <c r="C4683" t="s">
        <v>46</v>
      </c>
      <c r="D4683" t="s">
        <v>47</v>
      </c>
      <c r="G4683" s="17" t="s">
        <v>48</v>
      </c>
      <c r="H4683" s="17">
        <v>1</v>
      </c>
      <c r="K4683" t="s">
        <v>1268</v>
      </c>
      <c r="L4683" t="s">
        <v>1269</v>
      </c>
      <c r="M4683" t="s">
        <v>1270</v>
      </c>
      <c r="N4683">
        <v>18</v>
      </c>
      <c r="O4683" t="s">
        <v>40</v>
      </c>
      <c r="P4683" t="s">
        <v>40</v>
      </c>
      <c r="Q4683" t="s">
        <v>40</v>
      </c>
      <c r="R4683" t="s">
        <v>40</v>
      </c>
      <c r="S4683" t="s">
        <v>40</v>
      </c>
      <c r="V4683" t="s">
        <v>41</v>
      </c>
      <c r="W4683" t="s">
        <v>42</v>
      </c>
      <c r="X4683" t="str">
        <f>"1990910"</f>
        <v>1990910</v>
      </c>
      <c r="Y4683" t="s">
        <v>1281</v>
      </c>
      <c r="Z4683" t="s">
        <v>1268</v>
      </c>
      <c r="AA4683" t="s">
        <v>1269</v>
      </c>
      <c r="AB4683" t="s">
        <v>1270</v>
      </c>
      <c r="AC4683" t="s">
        <v>165</v>
      </c>
      <c r="AD4683" t="s">
        <v>45</v>
      </c>
      <c r="AE4683" s="1">
        <v>23330</v>
      </c>
      <c r="AF4683">
        <v>2</v>
      </c>
      <c r="AG4683" t="s">
        <v>1269</v>
      </c>
      <c r="AH4683" s="36">
        <f t="shared" si="73"/>
        <v>55.908333333333331</v>
      </c>
      <c r="AI4683" s="41" t="s">
        <v>1782</v>
      </c>
    </row>
    <row r="4684" spans="1:35" x14ac:dyDescent="0.25">
      <c r="A4684" s="36">
        <v>99914682</v>
      </c>
      <c r="B4684" s="17" t="s">
        <v>56</v>
      </c>
      <c r="C4684" t="s">
        <v>117</v>
      </c>
      <c r="D4684" t="s">
        <v>118</v>
      </c>
      <c r="G4684" s="17" t="s">
        <v>88</v>
      </c>
      <c r="H4684" s="17">
        <v>1</v>
      </c>
      <c r="K4684" t="s">
        <v>877</v>
      </c>
      <c r="L4684" t="s">
        <v>878</v>
      </c>
      <c r="M4684" t="s">
        <v>131</v>
      </c>
      <c r="N4684">
        <v>24</v>
      </c>
      <c r="O4684" t="s">
        <v>40</v>
      </c>
      <c r="P4684" t="s">
        <v>40</v>
      </c>
      <c r="Q4684" t="s">
        <v>40</v>
      </c>
      <c r="R4684" t="s">
        <v>40</v>
      </c>
      <c r="S4684" t="s">
        <v>40</v>
      </c>
      <c r="V4684" t="s">
        <v>41</v>
      </c>
      <c r="W4684" t="s">
        <v>75</v>
      </c>
      <c r="X4684" t="str">
        <f>"7541008"</f>
        <v>7541008</v>
      </c>
      <c r="Y4684" t="s">
        <v>879</v>
      </c>
      <c r="Z4684" t="s">
        <v>877</v>
      </c>
      <c r="AA4684" t="s">
        <v>878</v>
      </c>
      <c r="AB4684" t="s">
        <v>131</v>
      </c>
      <c r="AC4684" t="s">
        <v>51</v>
      </c>
      <c r="AD4684" t="s">
        <v>45</v>
      </c>
      <c r="AE4684" s="1">
        <v>23325</v>
      </c>
      <c r="AF4684">
        <v>1</v>
      </c>
      <c r="AG4684" t="s">
        <v>878</v>
      </c>
      <c r="AH4684" s="36">
        <f t="shared" si="73"/>
        <v>55.922222222222224</v>
      </c>
      <c r="AI4684" s="41" t="s">
        <v>1782</v>
      </c>
    </row>
    <row r="4685" spans="1:35" x14ac:dyDescent="0.25">
      <c r="A4685" s="36">
        <v>99914683</v>
      </c>
      <c r="B4685" s="17" t="s">
        <v>32</v>
      </c>
      <c r="C4685" t="s">
        <v>111</v>
      </c>
      <c r="D4685" t="s">
        <v>112</v>
      </c>
      <c r="G4685" s="17" t="s">
        <v>48</v>
      </c>
      <c r="H4685" s="17">
        <v>1</v>
      </c>
      <c r="K4685" t="s">
        <v>154</v>
      </c>
      <c r="L4685" t="s">
        <v>155</v>
      </c>
      <c r="M4685" t="s">
        <v>131</v>
      </c>
      <c r="N4685">
        <v>21</v>
      </c>
      <c r="O4685" t="s">
        <v>40</v>
      </c>
      <c r="P4685" t="s">
        <v>40</v>
      </c>
      <c r="Q4685" t="s">
        <v>40</v>
      </c>
      <c r="S4685" t="s">
        <v>40</v>
      </c>
      <c r="V4685" t="s">
        <v>41</v>
      </c>
      <c r="W4685" t="s">
        <v>75</v>
      </c>
      <c r="X4685" t="str">
        <f>"7051022"</f>
        <v>7051022</v>
      </c>
      <c r="Y4685" t="s">
        <v>153</v>
      </c>
      <c r="Z4685" t="s">
        <v>154</v>
      </c>
      <c r="AA4685" t="s">
        <v>155</v>
      </c>
      <c r="AB4685" t="s">
        <v>131</v>
      </c>
      <c r="AC4685" t="s">
        <v>51</v>
      </c>
      <c r="AD4685" t="s">
        <v>45</v>
      </c>
      <c r="AE4685" s="1">
        <v>23323</v>
      </c>
      <c r="AF4685">
        <v>1</v>
      </c>
      <c r="AG4685" t="s">
        <v>155</v>
      </c>
      <c r="AH4685" s="36">
        <f t="shared" si="73"/>
        <v>55.927777777777777</v>
      </c>
      <c r="AI4685" s="41" t="s">
        <v>1782</v>
      </c>
    </row>
    <row r="4686" spans="1:35" x14ac:dyDescent="0.25">
      <c r="A4686" s="36">
        <v>99914684</v>
      </c>
      <c r="B4686" s="17" t="s">
        <v>56</v>
      </c>
      <c r="C4686" t="s">
        <v>139</v>
      </c>
      <c r="D4686" t="s">
        <v>140</v>
      </c>
      <c r="G4686" s="17" t="s">
        <v>48</v>
      </c>
      <c r="H4686" s="17">
        <v>2</v>
      </c>
      <c r="K4686" t="s">
        <v>129</v>
      </c>
      <c r="L4686" t="s">
        <v>130</v>
      </c>
      <c r="M4686" t="s">
        <v>131</v>
      </c>
      <c r="N4686">
        <v>18</v>
      </c>
      <c r="O4686" t="s">
        <v>40</v>
      </c>
      <c r="P4686" t="s">
        <v>40</v>
      </c>
      <c r="Q4686" t="s">
        <v>40</v>
      </c>
      <c r="R4686" t="s">
        <v>40</v>
      </c>
      <c r="S4686" t="s">
        <v>40</v>
      </c>
      <c r="V4686" t="s">
        <v>41</v>
      </c>
      <c r="W4686" t="s">
        <v>42</v>
      </c>
      <c r="X4686" t="str">
        <f>"0590905"</f>
        <v>0590905</v>
      </c>
      <c r="Y4686" t="s">
        <v>133</v>
      </c>
      <c r="Z4686" t="s">
        <v>129</v>
      </c>
      <c r="AA4686" t="s">
        <v>130</v>
      </c>
      <c r="AB4686" t="s">
        <v>131</v>
      </c>
      <c r="AC4686" t="s">
        <v>51</v>
      </c>
      <c r="AD4686" t="s">
        <v>45</v>
      </c>
      <c r="AE4686" s="1">
        <v>23322</v>
      </c>
      <c r="AF4686">
        <v>2</v>
      </c>
      <c r="AG4686" t="s">
        <v>130</v>
      </c>
      <c r="AH4686" s="36">
        <f t="shared" si="73"/>
        <v>55.930555555555557</v>
      </c>
      <c r="AI4686" s="41" t="s">
        <v>1782</v>
      </c>
    </row>
    <row r="4687" spans="1:35" x14ac:dyDescent="0.25">
      <c r="A4687" s="36">
        <v>99914685</v>
      </c>
      <c r="B4687" s="17" t="s">
        <v>56</v>
      </c>
      <c r="C4687" t="s">
        <v>85</v>
      </c>
      <c r="D4687" t="s">
        <v>86</v>
      </c>
      <c r="G4687" s="17" t="s">
        <v>35</v>
      </c>
      <c r="H4687" s="17">
        <v>1</v>
      </c>
      <c r="K4687" t="s">
        <v>223</v>
      </c>
      <c r="L4687" t="s">
        <v>224</v>
      </c>
      <c r="M4687" t="s">
        <v>131</v>
      </c>
      <c r="N4687">
        <v>15</v>
      </c>
      <c r="O4687" t="s">
        <v>40</v>
      </c>
      <c r="P4687" t="s">
        <v>40</v>
      </c>
      <c r="Q4687" t="s">
        <v>40</v>
      </c>
      <c r="S4687" t="s">
        <v>40</v>
      </c>
      <c r="V4687" t="s">
        <v>41</v>
      </c>
      <c r="W4687" t="s">
        <v>42</v>
      </c>
      <c r="X4687" t="str">
        <f>"0590903"</f>
        <v>0590903</v>
      </c>
      <c r="Y4687" t="s">
        <v>226</v>
      </c>
      <c r="Z4687" t="s">
        <v>223</v>
      </c>
      <c r="AA4687" t="s">
        <v>224</v>
      </c>
      <c r="AB4687" t="s">
        <v>131</v>
      </c>
      <c r="AC4687" t="s">
        <v>51</v>
      </c>
      <c r="AD4687" t="s">
        <v>45</v>
      </c>
      <c r="AE4687" s="1">
        <v>23317</v>
      </c>
      <c r="AF4687">
        <v>2</v>
      </c>
      <c r="AG4687" t="s">
        <v>224</v>
      </c>
      <c r="AH4687" s="36">
        <f t="shared" si="73"/>
        <v>55.944444444444443</v>
      </c>
      <c r="AI4687" s="41" t="s">
        <v>1782</v>
      </c>
    </row>
    <row r="4688" spans="1:35" x14ac:dyDescent="0.25">
      <c r="A4688" s="36">
        <v>99914686</v>
      </c>
      <c r="B4688" s="17" t="s">
        <v>56</v>
      </c>
      <c r="C4688" t="s">
        <v>143</v>
      </c>
      <c r="D4688" t="s">
        <v>144</v>
      </c>
      <c r="G4688" s="17" t="s">
        <v>48</v>
      </c>
      <c r="H4688" s="17">
        <v>1</v>
      </c>
      <c r="K4688" t="s">
        <v>877</v>
      </c>
      <c r="L4688" t="s">
        <v>878</v>
      </c>
      <c r="M4688" t="s">
        <v>131</v>
      </c>
      <c r="N4688">
        <v>11</v>
      </c>
      <c r="O4688" t="s">
        <v>40</v>
      </c>
      <c r="P4688" t="s">
        <v>40</v>
      </c>
      <c r="Q4688" t="s">
        <v>40</v>
      </c>
      <c r="R4688" t="s">
        <v>40</v>
      </c>
      <c r="S4688" t="s">
        <v>40</v>
      </c>
      <c r="V4688" t="s">
        <v>41</v>
      </c>
      <c r="W4688" t="s">
        <v>75</v>
      </c>
      <c r="X4688" t="str">
        <f>"7541008"</f>
        <v>7541008</v>
      </c>
      <c r="Y4688" t="s">
        <v>879</v>
      </c>
      <c r="Z4688" t="s">
        <v>877</v>
      </c>
      <c r="AA4688" t="s">
        <v>878</v>
      </c>
      <c r="AB4688" t="s">
        <v>131</v>
      </c>
      <c r="AC4688" t="s">
        <v>51</v>
      </c>
      <c r="AD4688" t="s">
        <v>45</v>
      </c>
      <c r="AE4688" s="1">
        <v>23313</v>
      </c>
      <c r="AF4688">
        <v>1</v>
      </c>
      <c r="AG4688" t="s">
        <v>878</v>
      </c>
      <c r="AH4688" s="36">
        <f t="shared" si="73"/>
        <v>55.955555555555556</v>
      </c>
      <c r="AI4688" s="41" t="s">
        <v>1782</v>
      </c>
    </row>
    <row r="4689" spans="1:35" x14ac:dyDescent="0.25">
      <c r="A4689" s="36">
        <v>99914687</v>
      </c>
      <c r="B4689" s="17" t="s">
        <v>56</v>
      </c>
      <c r="C4689" t="s">
        <v>46</v>
      </c>
      <c r="D4689" t="s">
        <v>47</v>
      </c>
      <c r="G4689" s="17" t="s">
        <v>35</v>
      </c>
      <c r="H4689" s="17">
        <v>1</v>
      </c>
      <c r="K4689" t="s">
        <v>223</v>
      </c>
      <c r="L4689" t="s">
        <v>224</v>
      </c>
      <c r="M4689" t="s">
        <v>131</v>
      </c>
      <c r="N4689">
        <v>18</v>
      </c>
      <c r="O4689" t="s">
        <v>40</v>
      </c>
      <c r="P4689" t="s">
        <v>40</v>
      </c>
      <c r="Q4689" t="s">
        <v>40</v>
      </c>
      <c r="R4689" t="s">
        <v>40</v>
      </c>
      <c r="S4689" t="s">
        <v>40</v>
      </c>
      <c r="V4689" t="s">
        <v>41</v>
      </c>
      <c r="W4689" t="s">
        <v>42</v>
      </c>
      <c r="X4689" t="str">
        <f>"0590901"</f>
        <v>0590901</v>
      </c>
      <c r="Y4689" t="s">
        <v>242</v>
      </c>
      <c r="Z4689" t="s">
        <v>223</v>
      </c>
      <c r="AA4689" t="s">
        <v>224</v>
      </c>
      <c r="AB4689" t="s">
        <v>131</v>
      </c>
      <c r="AC4689" t="s">
        <v>165</v>
      </c>
      <c r="AD4689" t="s">
        <v>45</v>
      </c>
      <c r="AE4689" s="1">
        <v>23312</v>
      </c>
      <c r="AF4689">
        <v>2</v>
      </c>
      <c r="AG4689" t="s">
        <v>224</v>
      </c>
      <c r="AH4689" s="36">
        <f t="shared" si="73"/>
        <v>55.958333333333336</v>
      </c>
      <c r="AI4689" s="41" t="s">
        <v>1782</v>
      </c>
    </row>
    <row r="4690" spans="1:35" x14ac:dyDescent="0.25">
      <c r="A4690" s="36">
        <v>99914688</v>
      </c>
      <c r="B4690" s="17" t="s">
        <v>32</v>
      </c>
      <c r="C4690" t="s">
        <v>68</v>
      </c>
      <c r="D4690" t="s">
        <v>69</v>
      </c>
      <c r="G4690" s="17" t="s">
        <v>48</v>
      </c>
      <c r="H4690" s="17">
        <v>1</v>
      </c>
      <c r="K4690" t="s">
        <v>162</v>
      </c>
      <c r="L4690" t="s">
        <v>158</v>
      </c>
      <c r="M4690" t="s">
        <v>131</v>
      </c>
      <c r="N4690">
        <v>18</v>
      </c>
      <c r="O4690" t="s">
        <v>40</v>
      </c>
      <c r="P4690" t="s">
        <v>40</v>
      </c>
      <c r="Q4690" t="s">
        <v>40</v>
      </c>
      <c r="R4690" t="s">
        <v>40</v>
      </c>
      <c r="S4690" t="s">
        <v>40</v>
      </c>
      <c r="V4690" t="s">
        <v>41</v>
      </c>
      <c r="W4690" t="s">
        <v>49</v>
      </c>
      <c r="X4690" t="str">
        <f>"0505050"</f>
        <v>0505050</v>
      </c>
      <c r="Y4690" t="s">
        <v>163</v>
      </c>
      <c r="Z4690" t="s">
        <v>162</v>
      </c>
      <c r="AA4690" t="s">
        <v>158</v>
      </c>
      <c r="AB4690" t="s">
        <v>131</v>
      </c>
      <c r="AC4690" t="s">
        <v>165</v>
      </c>
      <c r="AD4690" t="s">
        <v>45</v>
      </c>
      <c r="AE4690" s="1">
        <v>23308</v>
      </c>
      <c r="AF4690">
        <v>2</v>
      </c>
      <c r="AG4690" t="s">
        <v>158</v>
      </c>
      <c r="AH4690" s="36">
        <f t="shared" si="73"/>
        <v>55.969444444444441</v>
      </c>
      <c r="AI4690" s="41" t="s">
        <v>1782</v>
      </c>
    </row>
    <row r="4691" spans="1:35" x14ac:dyDescent="0.25">
      <c r="A4691" s="36">
        <v>99914689</v>
      </c>
      <c r="B4691" s="17" t="s">
        <v>56</v>
      </c>
      <c r="C4691" t="s">
        <v>145</v>
      </c>
      <c r="D4691" t="s">
        <v>146</v>
      </c>
      <c r="G4691" s="17" t="s">
        <v>48</v>
      </c>
      <c r="H4691" s="17">
        <v>1</v>
      </c>
      <c r="K4691" t="s">
        <v>345</v>
      </c>
      <c r="L4691" t="s">
        <v>346</v>
      </c>
      <c r="M4691" t="s">
        <v>131</v>
      </c>
      <c r="N4691">
        <v>18</v>
      </c>
      <c r="O4691" t="s">
        <v>40</v>
      </c>
      <c r="P4691" t="s">
        <v>40</v>
      </c>
      <c r="Q4691" t="s">
        <v>40</v>
      </c>
      <c r="S4691" t="s">
        <v>40</v>
      </c>
      <c r="V4691" t="s">
        <v>41</v>
      </c>
      <c r="W4691" t="s">
        <v>42</v>
      </c>
      <c r="X4691" t="str">
        <f>"0561019"</f>
        <v>0561019</v>
      </c>
      <c r="Y4691" t="s">
        <v>351</v>
      </c>
      <c r="Z4691" t="s">
        <v>345</v>
      </c>
      <c r="AA4691" t="s">
        <v>346</v>
      </c>
      <c r="AB4691" t="s">
        <v>131</v>
      </c>
      <c r="AC4691" t="s">
        <v>51</v>
      </c>
      <c r="AD4691" t="s">
        <v>45</v>
      </c>
      <c r="AE4691" s="1">
        <v>23306</v>
      </c>
      <c r="AF4691">
        <v>2</v>
      </c>
      <c r="AG4691" t="s">
        <v>346</v>
      </c>
      <c r="AH4691" s="36">
        <f t="shared" si="73"/>
        <v>55.975000000000001</v>
      </c>
      <c r="AI4691" s="41" t="s">
        <v>1782</v>
      </c>
    </row>
    <row r="4692" spans="1:35" x14ac:dyDescent="0.25">
      <c r="A4692" s="36">
        <v>99914690</v>
      </c>
      <c r="B4692" s="17" t="s">
        <v>32</v>
      </c>
      <c r="C4692" t="s">
        <v>64</v>
      </c>
      <c r="D4692" t="s">
        <v>65</v>
      </c>
      <c r="G4692" s="17" t="s">
        <v>35</v>
      </c>
      <c r="H4692" s="17">
        <v>1</v>
      </c>
      <c r="K4692" t="s">
        <v>354</v>
      </c>
      <c r="L4692" t="s">
        <v>355</v>
      </c>
      <c r="M4692" t="s">
        <v>131</v>
      </c>
      <c r="N4692">
        <v>21</v>
      </c>
      <c r="O4692" t="s">
        <v>40</v>
      </c>
      <c r="P4692" t="s">
        <v>40</v>
      </c>
      <c r="Q4692" t="s">
        <v>40</v>
      </c>
      <c r="S4692" t="s">
        <v>40</v>
      </c>
      <c r="V4692" t="s">
        <v>41</v>
      </c>
      <c r="W4692" t="s">
        <v>75</v>
      </c>
      <c r="X4692" t="str">
        <f>"7054020"</f>
        <v>7054020</v>
      </c>
      <c r="Y4692" t="s">
        <v>765</v>
      </c>
      <c r="Z4692" t="s">
        <v>354</v>
      </c>
      <c r="AA4692" t="s">
        <v>355</v>
      </c>
      <c r="AB4692" t="s">
        <v>131</v>
      </c>
      <c r="AC4692" t="s">
        <v>51</v>
      </c>
      <c r="AD4692" t="s">
        <v>45</v>
      </c>
      <c r="AE4692" s="1">
        <v>23305</v>
      </c>
      <c r="AF4692">
        <v>1</v>
      </c>
      <c r="AG4692" t="s">
        <v>355</v>
      </c>
      <c r="AH4692" s="36">
        <f t="shared" si="73"/>
        <v>55.977777777777774</v>
      </c>
      <c r="AI4692" s="41" t="s">
        <v>1782</v>
      </c>
    </row>
    <row r="4693" spans="1:35" x14ac:dyDescent="0.25">
      <c r="A4693" s="36">
        <v>99914691</v>
      </c>
      <c r="B4693" s="17" t="s">
        <v>32</v>
      </c>
      <c r="C4693" t="s">
        <v>71</v>
      </c>
      <c r="D4693" t="s">
        <v>72</v>
      </c>
      <c r="G4693" s="17" t="s">
        <v>48</v>
      </c>
      <c r="H4693" s="17">
        <v>1</v>
      </c>
      <c r="K4693" t="s">
        <v>223</v>
      </c>
      <c r="L4693" t="s">
        <v>224</v>
      </c>
      <c r="M4693" t="s">
        <v>131</v>
      </c>
      <c r="N4693">
        <v>14</v>
      </c>
      <c r="O4693" t="s">
        <v>40</v>
      </c>
      <c r="P4693" t="s">
        <v>40</v>
      </c>
      <c r="Q4693" t="s">
        <v>40</v>
      </c>
      <c r="R4693" t="s">
        <v>40</v>
      </c>
      <c r="S4693" t="s">
        <v>40</v>
      </c>
      <c r="V4693" t="s">
        <v>41</v>
      </c>
      <c r="W4693" t="s">
        <v>42</v>
      </c>
      <c r="X4693" t="str">
        <f>"0580265"</f>
        <v>0580265</v>
      </c>
      <c r="Y4693" t="s">
        <v>231</v>
      </c>
      <c r="Z4693" t="s">
        <v>223</v>
      </c>
      <c r="AA4693" t="s">
        <v>224</v>
      </c>
      <c r="AB4693" t="s">
        <v>131</v>
      </c>
      <c r="AC4693" t="s">
        <v>51</v>
      </c>
      <c r="AD4693" t="s">
        <v>45</v>
      </c>
      <c r="AE4693" s="1">
        <v>23302</v>
      </c>
      <c r="AF4693">
        <v>2</v>
      </c>
      <c r="AG4693" t="s">
        <v>224</v>
      </c>
      <c r="AH4693" s="36">
        <f t="shared" si="73"/>
        <v>55.986111111111114</v>
      </c>
      <c r="AI4693" s="41" t="s">
        <v>1782</v>
      </c>
    </row>
    <row r="4694" spans="1:35" x14ac:dyDescent="0.25">
      <c r="A4694" s="36">
        <v>99914692</v>
      </c>
      <c r="B4694" s="17" t="s">
        <v>32</v>
      </c>
      <c r="C4694" t="s">
        <v>71</v>
      </c>
      <c r="D4694" t="s">
        <v>72</v>
      </c>
      <c r="G4694" s="17" t="s">
        <v>48</v>
      </c>
      <c r="H4694" s="17">
        <v>1</v>
      </c>
      <c r="K4694" t="s">
        <v>1051</v>
      </c>
      <c r="L4694" t="s">
        <v>1052</v>
      </c>
      <c r="M4694" t="s">
        <v>1053</v>
      </c>
      <c r="N4694">
        <v>17</v>
      </c>
      <c r="O4694" t="s">
        <v>40</v>
      </c>
      <c r="P4694" t="s">
        <v>40</v>
      </c>
      <c r="Q4694" t="s">
        <v>40</v>
      </c>
      <c r="R4694" t="s">
        <v>40</v>
      </c>
      <c r="S4694" t="s">
        <v>40</v>
      </c>
      <c r="V4694" t="s">
        <v>41</v>
      </c>
      <c r="W4694" t="s">
        <v>49</v>
      </c>
      <c r="X4694" t="str">
        <f>"2080025"</f>
        <v>2080025</v>
      </c>
      <c r="Y4694" t="s">
        <v>1057</v>
      </c>
      <c r="Z4694" t="s">
        <v>1051</v>
      </c>
      <c r="AA4694" t="s">
        <v>1052</v>
      </c>
      <c r="AB4694" t="s">
        <v>1053</v>
      </c>
      <c r="AC4694" t="s">
        <v>51</v>
      </c>
      <c r="AD4694" t="s">
        <v>45</v>
      </c>
      <c r="AE4694" s="1">
        <v>23298</v>
      </c>
      <c r="AF4694">
        <v>2</v>
      </c>
      <c r="AG4694" t="s">
        <v>1052</v>
      </c>
      <c r="AH4694" s="36">
        <f t="shared" si="73"/>
        <v>55.99722222222222</v>
      </c>
      <c r="AI4694" s="41" t="s">
        <v>1782</v>
      </c>
    </row>
    <row r="4695" spans="1:35" x14ac:dyDescent="0.25">
      <c r="A4695" s="36">
        <v>99914693</v>
      </c>
      <c r="B4695" s="17" t="s">
        <v>56</v>
      </c>
      <c r="C4695" t="s">
        <v>82</v>
      </c>
      <c r="D4695" t="s">
        <v>83</v>
      </c>
      <c r="G4695" s="17" t="s">
        <v>48</v>
      </c>
      <c r="H4695" s="17">
        <v>1</v>
      </c>
      <c r="K4695" t="s">
        <v>162</v>
      </c>
      <c r="L4695" t="s">
        <v>158</v>
      </c>
      <c r="M4695" t="s">
        <v>131</v>
      </c>
      <c r="N4695">
        <v>20</v>
      </c>
      <c r="O4695" t="s">
        <v>40</v>
      </c>
      <c r="P4695" t="s">
        <v>40</v>
      </c>
      <c r="Q4695" t="s">
        <v>40</v>
      </c>
      <c r="S4695" t="s">
        <v>40</v>
      </c>
      <c r="V4695" t="s">
        <v>41</v>
      </c>
      <c r="W4695" t="s">
        <v>42</v>
      </c>
      <c r="X4695" t="str">
        <f>"0580325"</f>
        <v>0580325</v>
      </c>
      <c r="Y4695" t="s">
        <v>170</v>
      </c>
      <c r="Z4695" t="s">
        <v>162</v>
      </c>
      <c r="AA4695" t="s">
        <v>158</v>
      </c>
      <c r="AB4695" t="s">
        <v>131</v>
      </c>
      <c r="AC4695" t="s">
        <v>51</v>
      </c>
      <c r="AD4695" t="s">
        <v>45</v>
      </c>
      <c r="AE4695" s="1">
        <v>23297</v>
      </c>
      <c r="AF4695">
        <v>2</v>
      </c>
      <c r="AG4695" t="s">
        <v>158</v>
      </c>
      <c r="AH4695" s="36">
        <f t="shared" si="73"/>
        <v>56</v>
      </c>
      <c r="AI4695" s="41" t="s">
        <v>1782</v>
      </c>
    </row>
    <row r="4696" spans="1:35" x14ac:dyDescent="0.25">
      <c r="A4696" s="36">
        <v>99914694</v>
      </c>
      <c r="B4696" s="17" t="s">
        <v>32</v>
      </c>
      <c r="C4696" t="s">
        <v>68</v>
      </c>
      <c r="D4696" t="s">
        <v>69</v>
      </c>
      <c r="G4696" s="17" t="s">
        <v>35</v>
      </c>
      <c r="H4696" s="17">
        <v>1</v>
      </c>
      <c r="K4696" t="s">
        <v>223</v>
      </c>
      <c r="L4696" t="s">
        <v>224</v>
      </c>
      <c r="M4696" t="s">
        <v>131</v>
      </c>
      <c r="N4696">
        <v>18</v>
      </c>
      <c r="O4696" t="s">
        <v>40</v>
      </c>
      <c r="P4696" t="s">
        <v>40</v>
      </c>
      <c r="Q4696" t="s">
        <v>40</v>
      </c>
      <c r="S4696" t="s">
        <v>40</v>
      </c>
      <c r="V4696" t="s">
        <v>41</v>
      </c>
      <c r="W4696" t="s">
        <v>49</v>
      </c>
      <c r="X4696" t="str">
        <f>"0591907"</f>
        <v>0591907</v>
      </c>
      <c r="Y4696" t="s">
        <v>243</v>
      </c>
      <c r="Z4696" t="s">
        <v>223</v>
      </c>
      <c r="AA4696" t="s">
        <v>224</v>
      </c>
      <c r="AB4696" t="s">
        <v>131</v>
      </c>
      <c r="AC4696" t="s">
        <v>51</v>
      </c>
      <c r="AD4696" t="s">
        <v>45</v>
      </c>
      <c r="AE4696" s="1">
        <v>23291</v>
      </c>
      <c r="AF4696">
        <v>2</v>
      </c>
      <c r="AG4696" t="s">
        <v>224</v>
      </c>
      <c r="AH4696" s="36">
        <f t="shared" si="73"/>
        <v>56.016666666666666</v>
      </c>
      <c r="AI4696" s="41" t="s">
        <v>1782</v>
      </c>
    </row>
    <row r="4697" spans="1:35" x14ac:dyDescent="0.25">
      <c r="A4697" s="36">
        <v>99914695</v>
      </c>
      <c r="B4697" s="17" t="s">
        <v>32</v>
      </c>
      <c r="C4697" t="s">
        <v>111</v>
      </c>
      <c r="D4697" t="s">
        <v>112</v>
      </c>
      <c r="G4697" s="17" t="s">
        <v>35</v>
      </c>
      <c r="H4697" s="17">
        <v>1</v>
      </c>
      <c r="K4697" t="s">
        <v>268</v>
      </c>
      <c r="L4697" t="s">
        <v>269</v>
      </c>
      <c r="M4697" t="s">
        <v>131</v>
      </c>
      <c r="N4697">
        <v>21</v>
      </c>
      <c r="O4697" t="s">
        <v>40</v>
      </c>
      <c r="P4697" t="s">
        <v>40</v>
      </c>
      <c r="Q4697" t="s">
        <v>40</v>
      </c>
      <c r="R4697" t="s">
        <v>40</v>
      </c>
      <c r="S4697" t="s">
        <v>40</v>
      </c>
      <c r="V4697" t="s">
        <v>41</v>
      </c>
      <c r="W4697" t="s">
        <v>75</v>
      </c>
      <c r="X4697" t="str">
        <f>"7052004"</f>
        <v>7052004</v>
      </c>
      <c r="Y4697" t="s">
        <v>584</v>
      </c>
      <c r="Z4697" t="s">
        <v>268</v>
      </c>
      <c r="AA4697" t="s">
        <v>269</v>
      </c>
      <c r="AB4697" t="s">
        <v>131</v>
      </c>
      <c r="AC4697" t="s">
        <v>165</v>
      </c>
      <c r="AD4697" t="s">
        <v>45</v>
      </c>
      <c r="AE4697" s="1">
        <v>23289</v>
      </c>
      <c r="AF4697">
        <v>1</v>
      </c>
      <c r="AG4697" t="s">
        <v>269</v>
      </c>
      <c r="AH4697" s="36">
        <f t="shared" si="73"/>
        <v>56.022222222222226</v>
      </c>
      <c r="AI4697" s="41" t="s">
        <v>1782</v>
      </c>
    </row>
    <row r="4698" spans="1:35" x14ac:dyDescent="0.25">
      <c r="A4698" s="36">
        <v>99914696</v>
      </c>
      <c r="B4698" s="17" t="s">
        <v>56</v>
      </c>
      <c r="C4698" t="s">
        <v>111</v>
      </c>
      <c r="D4698" t="s">
        <v>112</v>
      </c>
      <c r="G4698" s="17" t="s">
        <v>48</v>
      </c>
      <c r="H4698" s="17">
        <v>1</v>
      </c>
      <c r="K4698" t="s">
        <v>268</v>
      </c>
      <c r="L4698" t="s">
        <v>269</v>
      </c>
      <c r="M4698" t="s">
        <v>131</v>
      </c>
      <c r="N4698">
        <v>20</v>
      </c>
      <c r="O4698" t="s">
        <v>40</v>
      </c>
      <c r="P4698" t="s">
        <v>40</v>
      </c>
      <c r="Q4698" t="s">
        <v>40</v>
      </c>
      <c r="S4698" t="s">
        <v>40</v>
      </c>
      <c r="V4698" t="s">
        <v>41</v>
      </c>
      <c r="W4698" t="s">
        <v>75</v>
      </c>
      <c r="X4698" t="str">
        <f>"7052042"</f>
        <v>7052042</v>
      </c>
      <c r="Y4698" t="s">
        <v>583</v>
      </c>
      <c r="Z4698" t="s">
        <v>268</v>
      </c>
      <c r="AA4698" t="s">
        <v>269</v>
      </c>
      <c r="AB4698" t="s">
        <v>131</v>
      </c>
      <c r="AC4698" t="s">
        <v>51</v>
      </c>
      <c r="AD4698" t="s">
        <v>45</v>
      </c>
      <c r="AE4698" s="1">
        <v>23286</v>
      </c>
      <c r="AF4698">
        <v>1</v>
      </c>
      <c r="AG4698" t="s">
        <v>269</v>
      </c>
      <c r="AH4698" s="36">
        <f t="shared" si="73"/>
        <v>56.030555555555559</v>
      </c>
      <c r="AI4698" s="41" t="s">
        <v>1782</v>
      </c>
    </row>
    <row r="4699" spans="1:35" x14ac:dyDescent="0.25">
      <c r="A4699" s="36">
        <v>99914697</v>
      </c>
      <c r="B4699" s="17" t="s">
        <v>56</v>
      </c>
      <c r="C4699" t="s">
        <v>90</v>
      </c>
      <c r="D4699" t="s">
        <v>91</v>
      </c>
      <c r="G4699" s="17" t="s">
        <v>35</v>
      </c>
      <c r="H4699" s="17">
        <v>1</v>
      </c>
      <c r="I4699" t="s">
        <v>1362</v>
      </c>
      <c r="J4699" s="1">
        <v>43344</v>
      </c>
      <c r="K4699" t="s">
        <v>1341</v>
      </c>
      <c r="L4699" t="s">
        <v>1342</v>
      </c>
      <c r="M4699" t="s">
        <v>1270</v>
      </c>
      <c r="N4699">
        <v>25</v>
      </c>
      <c r="O4699" t="s">
        <v>40</v>
      </c>
      <c r="P4699" t="s">
        <v>40</v>
      </c>
      <c r="Q4699" t="s">
        <v>40</v>
      </c>
      <c r="S4699" t="s">
        <v>40</v>
      </c>
      <c r="U4699" s="1">
        <v>43344</v>
      </c>
      <c r="V4699" t="s">
        <v>41</v>
      </c>
      <c r="W4699" t="s">
        <v>95</v>
      </c>
      <c r="X4699" t="str">
        <f>"7191027"</f>
        <v>7191027</v>
      </c>
      <c r="Y4699" t="s">
        <v>1363</v>
      </c>
      <c r="Z4699" t="s">
        <v>1341</v>
      </c>
      <c r="AA4699" t="s">
        <v>1342</v>
      </c>
      <c r="AB4699" t="s">
        <v>1270</v>
      </c>
      <c r="AC4699" t="s">
        <v>51</v>
      </c>
      <c r="AD4699" t="s">
        <v>45</v>
      </c>
      <c r="AE4699" s="1">
        <v>23286</v>
      </c>
      <c r="AF4699">
        <v>1</v>
      </c>
      <c r="AG4699" t="s">
        <v>1342</v>
      </c>
      <c r="AH4699" s="36">
        <f t="shared" si="73"/>
        <v>56.030555555555559</v>
      </c>
      <c r="AI4699" s="41" t="s">
        <v>1782</v>
      </c>
    </row>
    <row r="4700" spans="1:35" x14ac:dyDescent="0.25">
      <c r="A4700" s="36">
        <v>99914698</v>
      </c>
      <c r="B4700" s="17" t="s">
        <v>32</v>
      </c>
      <c r="C4700" t="s">
        <v>71</v>
      </c>
      <c r="D4700" t="s">
        <v>72</v>
      </c>
      <c r="G4700" s="17" t="s">
        <v>48</v>
      </c>
      <c r="H4700" s="17">
        <v>1</v>
      </c>
      <c r="K4700" t="s">
        <v>162</v>
      </c>
      <c r="L4700" t="s">
        <v>158</v>
      </c>
      <c r="M4700" t="s">
        <v>131</v>
      </c>
      <c r="N4700">
        <v>12</v>
      </c>
      <c r="O4700" t="s">
        <v>40</v>
      </c>
      <c r="P4700" t="s">
        <v>40</v>
      </c>
      <c r="Q4700" t="s">
        <v>40</v>
      </c>
      <c r="R4700" t="s">
        <v>40</v>
      </c>
      <c r="S4700" t="s">
        <v>40</v>
      </c>
      <c r="V4700" t="s">
        <v>41</v>
      </c>
      <c r="W4700" t="s">
        <v>42</v>
      </c>
      <c r="X4700" t="str">
        <f>"0580325"</f>
        <v>0580325</v>
      </c>
      <c r="Y4700" t="s">
        <v>170</v>
      </c>
      <c r="Z4700" t="s">
        <v>162</v>
      </c>
      <c r="AA4700" t="s">
        <v>158</v>
      </c>
      <c r="AB4700" t="s">
        <v>131</v>
      </c>
      <c r="AC4700" t="s">
        <v>165</v>
      </c>
      <c r="AD4700" t="s">
        <v>45</v>
      </c>
      <c r="AE4700" s="1">
        <v>23284</v>
      </c>
      <c r="AF4700">
        <v>2</v>
      </c>
      <c r="AG4700" t="s">
        <v>158</v>
      </c>
      <c r="AH4700" s="36">
        <f t="shared" si="73"/>
        <v>56.036111111111111</v>
      </c>
      <c r="AI4700" s="41" t="s">
        <v>1782</v>
      </c>
    </row>
    <row r="4701" spans="1:35" x14ac:dyDescent="0.25">
      <c r="A4701" s="36">
        <v>99914699</v>
      </c>
      <c r="B4701" s="17" t="s">
        <v>56</v>
      </c>
      <c r="C4701" t="s">
        <v>68</v>
      </c>
      <c r="D4701" t="s">
        <v>69</v>
      </c>
      <c r="G4701" s="17" t="s">
        <v>48</v>
      </c>
      <c r="H4701" s="17">
        <v>1</v>
      </c>
      <c r="K4701" t="s">
        <v>1325</v>
      </c>
      <c r="L4701" t="s">
        <v>1326</v>
      </c>
      <c r="M4701" t="s">
        <v>1270</v>
      </c>
      <c r="N4701">
        <v>18</v>
      </c>
      <c r="O4701" t="s">
        <v>40</v>
      </c>
      <c r="P4701" t="s">
        <v>40</v>
      </c>
      <c r="Q4701" t="s">
        <v>40</v>
      </c>
      <c r="R4701" t="s">
        <v>40</v>
      </c>
      <c r="S4701" t="s">
        <v>40</v>
      </c>
      <c r="V4701" t="s">
        <v>41</v>
      </c>
      <c r="W4701" t="s">
        <v>42</v>
      </c>
      <c r="X4701" t="str">
        <f>"3980100"</f>
        <v>3980100</v>
      </c>
      <c r="Y4701" t="s">
        <v>1328</v>
      </c>
      <c r="Z4701" t="s">
        <v>1325</v>
      </c>
      <c r="AA4701" t="s">
        <v>1326</v>
      </c>
      <c r="AB4701" t="s">
        <v>1270</v>
      </c>
      <c r="AC4701" t="s">
        <v>51</v>
      </c>
      <c r="AD4701" t="s">
        <v>45</v>
      </c>
      <c r="AE4701" s="1">
        <v>23283</v>
      </c>
      <c r="AF4701">
        <v>2</v>
      </c>
      <c r="AG4701" t="s">
        <v>1326</v>
      </c>
      <c r="AH4701" s="36">
        <f t="shared" si="73"/>
        <v>56.038888888888891</v>
      </c>
      <c r="AI4701" s="41" t="s">
        <v>1782</v>
      </c>
    </row>
    <row r="4702" spans="1:35" x14ac:dyDescent="0.25">
      <c r="A4702" s="36">
        <v>99914700</v>
      </c>
      <c r="B4702" s="17" t="s">
        <v>56</v>
      </c>
      <c r="C4702" t="s">
        <v>33</v>
      </c>
      <c r="D4702" t="s">
        <v>34</v>
      </c>
      <c r="G4702" s="17" t="s">
        <v>48</v>
      </c>
      <c r="H4702" s="17">
        <v>1</v>
      </c>
      <c r="K4702" t="s">
        <v>223</v>
      </c>
      <c r="L4702" t="s">
        <v>224</v>
      </c>
      <c r="M4702" t="s">
        <v>131</v>
      </c>
      <c r="N4702">
        <v>21</v>
      </c>
      <c r="O4702" t="s">
        <v>40</v>
      </c>
      <c r="P4702" t="s">
        <v>40</v>
      </c>
      <c r="Q4702" t="s">
        <v>40</v>
      </c>
      <c r="R4702" t="s">
        <v>40</v>
      </c>
      <c r="S4702" t="s">
        <v>40</v>
      </c>
      <c r="V4702" t="s">
        <v>41</v>
      </c>
      <c r="W4702" t="s">
        <v>42</v>
      </c>
      <c r="X4702" t="str">
        <f>"0580315"</f>
        <v>0580315</v>
      </c>
      <c r="Y4702" t="s">
        <v>246</v>
      </c>
      <c r="Z4702" t="s">
        <v>223</v>
      </c>
      <c r="AA4702" t="s">
        <v>224</v>
      </c>
      <c r="AB4702" t="s">
        <v>131</v>
      </c>
      <c r="AC4702" t="s">
        <v>51</v>
      </c>
      <c r="AD4702" t="s">
        <v>45</v>
      </c>
      <c r="AE4702" s="1">
        <v>23280</v>
      </c>
      <c r="AF4702">
        <v>2</v>
      </c>
      <c r="AG4702" t="s">
        <v>224</v>
      </c>
      <c r="AH4702" s="36">
        <f t="shared" si="73"/>
        <v>56.047222222222224</v>
      </c>
      <c r="AI4702" s="41" t="s">
        <v>1782</v>
      </c>
    </row>
    <row r="4703" spans="1:35" x14ac:dyDescent="0.25">
      <c r="A4703" s="36">
        <v>99914701</v>
      </c>
      <c r="B4703" s="17" t="s">
        <v>56</v>
      </c>
      <c r="C4703" t="s">
        <v>298</v>
      </c>
      <c r="D4703" t="s">
        <v>299</v>
      </c>
      <c r="G4703" s="17" t="s">
        <v>48</v>
      </c>
      <c r="H4703" s="17">
        <v>1</v>
      </c>
      <c r="K4703" t="s">
        <v>1187</v>
      </c>
      <c r="L4703" t="s">
        <v>1188</v>
      </c>
      <c r="M4703" t="s">
        <v>1130</v>
      </c>
      <c r="N4703">
        <v>20</v>
      </c>
      <c r="O4703" t="s">
        <v>40</v>
      </c>
      <c r="P4703" t="s">
        <v>40</v>
      </c>
      <c r="Q4703" t="s">
        <v>40</v>
      </c>
      <c r="R4703" t="s">
        <v>40</v>
      </c>
      <c r="S4703" t="s">
        <v>40</v>
      </c>
      <c r="V4703" t="s">
        <v>41</v>
      </c>
      <c r="W4703" t="s">
        <v>42</v>
      </c>
      <c r="X4703" t="str">
        <f>"4580015"</f>
        <v>4580015</v>
      </c>
      <c r="Y4703" t="s">
        <v>1189</v>
      </c>
      <c r="Z4703" t="s">
        <v>1187</v>
      </c>
      <c r="AA4703" t="s">
        <v>1188</v>
      </c>
      <c r="AB4703" t="s">
        <v>1130</v>
      </c>
      <c r="AC4703" t="s">
        <v>51</v>
      </c>
      <c r="AD4703" t="s">
        <v>45</v>
      </c>
      <c r="AE4703" s="1">
        <v>23279</v>
      </c>
      <c r="AF4703">
        <v>2</v>
      </c>
      <c r="AG4703" t="s">
        <v>1188</v>
      </c>
      <c r="AH4703" s="36">
        <f t="shared" si="73"/>
        <v>56.05</v>
      </c>
      <c r="AI4703" s="41" t="s">
        <v>1782</v>
      </c>
    </row>
    <row r="4704" spans="1:35" x14ac:dyDescent="0.25">
      <c r="A4704" s="36">
        <v>99914702</v>
      </c>
      <c r="B4704" s="17" t="s">
        <v>32</v>
      </c>
      <c r="C4704" t="s">
        <v>111</v>
      </c>
      <c r="D4704" t="s">
        <v>112</v>
      </c>
      <c r="G4704" s="17" t="s">
        <v>35</v>
      </c>
      <c r="H4704" s="17">
        <v>1</v>
      </c>
      <c r="K4704" t="s">
        <v>963</v>
      </c>
      <c r="L4704" t="s">
        <v>964</v>
      </c>
      <c r="M4704" t="s">
        <v>938</v>
      </c>
      <c r="N4704">
        <v>21</v>
      </c>
      <c r="O4704" t="s">
        <v>40</v>
      </c>
      <c r="P4704" t="s">
        <v>40</v>
      </c>
      <c r="Q4704" t="s">
        <v>40</v>
      </c>
      <c r="S4704" t="s">
        <v>40</v>
      </c>
      <c r="V4704" t="s">
        <v>41</v>
      </c>
      <c r="W4704" t="s">
        <v>75</v>
      </c>
      <c r="X4704" t="str">
        <f>"7061000"</f>
        <v>7061000</v>
      </c>
      <c r="Y4704" t="s">
        <v>962</v>
      </c>
      <c r="Z4704" t="s">
        <v>963</v>
      </c>
      <c r="AA4704" t="s">
        <v>964</v>
      </c>
      <c r="AB4704" t="s">
        <v>938</v>
      </c>
      <c r="AC4704" t="s">
        <v>165</v>
      </c>
      <c r="AD4704" t="s">
        <v>45</v>
      </c>
      <c r="AE4704" s="1">
        <v>23277</v>
      </c>
      <c r="AF4704">
        <v>1</v>
      </c>
      <c r="AG4704" t="s">
        <v>964</v>
      </c>
      <c r="AH4704" s="36">
        <f t="shared" si="73"/>
        <v>56.055555555555557</v>
      </c>
      <c r="AI4704" s="41" t="s">
        <v>1782</v>
      </c>
    </row>
    <row r="4705" spans="1:35" x14ac:dyDescent="0.25">
      <c r="A4705" s="36">
        <v>99914703</v>
      </c>
      <c r="B4705" s="17" t="s">
        <v>32</v>
      </c>
      <c r="C4705" t="s">
        <v>52</v>
      </c>
      <c r="D4705" t="s">
        <v>53</v>
      </c>
      <c r="G4705" s="17" t="s">
        <v>48</v>
      </c>
      <c r="H4705" s="17">
        <v>1</v>
      </c>
      <c r="K4705" t="s">
        <v>162</v>
      </c>
      <c r="L4705" t="s">
        <v>158</v>
      </c>
      <c r="M4705" t="s">
        <v>131</v>
      </c>
      <c r="N4705">
        <v>15</v>
      </c>
      <c r="O4705" t="s">
        <v>40</v>
      </c>
      <c r="P4705" t="s">
        <v>40</v>
      </c>
      <c r="Q4705" t="s">
        <v>40</v>
      </c>
      <c r="S4705" t="s">
        <v>40</v>
      </c>
      <c r="V4705" t="s">
        <v>41</v>
      </c>
      <c r="W4705" t="s">
        <v>49</v>
      </c>
      <c r="X4705" t="str">
        <f>"0581350"</f>
        <v>0581350</v>
      </c>
      <c r="Y4705" t="s">
        <v>187</v>
      </c>
      <c r="Z4705" t="s">
        <v>162</v>
      </c>
      <c r="AA4705" t="s">
        <v>158</v>
      </c>
      <c r="AB4705" t="s">
        <v>131</v>
      </c>
      <c r="AC4705" t="s">
        <v>51</v>
      </c>
      <c r="AD4705" t="s">
        <v>45</v>
      </c>
      <c r="AE4705" s="1">
        <v>23273</v>
      </c>
      <c r="AF4705">
        <v>2</v>
      </c>
      <c r="AG4705" t="s">
        <v>158</v>
      </c>
      <c r="AH4705" s="36">
        <f t="shared" si="73"/>
        <v>56.06666666666667</v>
      </c>
      <c r="AI4705" s="41" t="s">
        <v>1782</v>
      </c>
    </row>
    <row r="4706" spans="1:35" x14ac:dyDescent="0.25">
      <c r="A4706" s="36">
        <v>99914704</v>
      </c>
      <c r="B4706" s="17" t="s">
        <v>32</v>
      </c>
      <c r="C4706" t="s">
        <v>139</v>
      </c>
      <c r="D4706" t="s">
        <v>140</v>
      </c>
      <c r="G4706" s="17" t="s">
        <v>48</v>
      </c>
      <c r="H4706" s="17">
        <v>1</v>
      </c>
      <c r="K4706" t="s">
        <v>223</v>
      </c>
      <c r="L4706" t="s">
        <v>224</v>
      </c>
      <c r="M4706" t="s">
        <v>131</v>
      </c>
      <c r="N4706">
        <v>18</v>
      </c>
      <c r="O4706" t="s">
        <v>40</v>
      </c>
      <c r="P4706" t="s">
        <v>40</v>
      </c>
      <c r="Q4706" t="s">
        <v>40</v>
      </c>
      <c r="R4706" t="s">
        <v>40</v>
      </c>
      <c r="S4706" t="s">
        <v>40</v>
      </c>
      <c r="V4706" t="s">
        <v>41</v>
      </c>
      <c r="W4706" t="s">
        <v>49</v>
      </c>
      <c r="X4706" t="str">
        <f>"0581206"</f>
        <v>0581206</v>
      </c>
      <c r="Y4706" t="s">
        <v>232</v>
      </c>
      <c r="Z4706" t="s">
        <v>223</v>
      </c>
      <c r="AA4706" t="s">
        <v>224</v>
      </c>
      <c r="AB4706" t="s">
        <v>131</v>
      </c>
      <c r="AC4706" t="s">
        <v>51</v>
      </c>
      <c r="AD4706" t="s">
        <v>45</v>
      </c>
      <c r="AE4706" s="1">
        <v>23269</v>
      </c>
      <c r="AF4706">
        <v>2</v>
      </c>
      <c r="AG4706" t="s">
        <v>224</v>
      </c>
      <c r="AH4706" s="36">
        <f t="shared" si="73"/>
        <v>56.077777777777776</v>
      </c>
      <c r="AI4706" s="41" t="s">
        <v>1782</v>
      </c>
    </row>
    <row r="4707" spans="1:35" x14ac:dyDescent="0.25">
      <c r="A4707" s="36">
        <v>99914705</v>
      </c>
      <c r="B4707" s="17" t="s">
        <v>56</v>
      </c>
      <c r="C4707" t="s">
        <v>52</v>
      </c>
      <c r="D4707" t="s">
        <v>53</v>
      </c>
      <c r="G4707" s="17" t="s">
        <v>35</v>
      </c>
      <c r="H4707" s="17">
        <v>1</v>
      </c>
      <c r="I4707">
        <v>23821</v>
      </c>
      <c r="J4707" s="1">
        <v>43382</v>
      </c>
      <c r="K4707" t="s">
        <v>380</v>
      </c>
      <c r="L4707" t="s">
        <v>381</v>
      </c>
      <c r="M4707" t="s">
        <v>131</v>
      </c>
      <c r="N4707">
        <v>11</v>
      </c>
      <c r="O4707" t="s">
        <v>40</v>
      </c>
      <c r="S4707" t="s">
        <v>40</v>
      </c>
      <c r="U4707" s="1">
        <v>43382</v>
      </c>
      <c r="V4707" t="s">
        <v>41</v>
      </c>
      <c r="W4707" t="s">
        <v>42</v>
      </c>
      <c r="X4707" t="str">
        <f>"0561010"</f>
        <v>0561010</v>
      </c>
      <c r="Y4707" t="s">
        <v>387</v>
      </c>
      <c r="Z4707" t="s">
        <v>380</v>
      </c>
      <c r="AA4707" t="s">
        <v>381</v>
      </c>
      <c r="AB4707" t="s">
        <v>131</v>
      </c>
      <c r="AC4707" t="s">
        <v>44</v>
      </c>
      <c r="AD4707" t="s">
        <v>45</v>
      </c>
      <c r="AE4707" s="1">
        <v>23259</v>
      </c>
      <c r="AF4707">
        <v>2</v>
      </c>
      <c r="AG4707" t="s">
        <v>381</v>
      </c>
      <c r="AH4707" s="36">
        <f t="shared" si="73"/>
        <v>56.105555555555554</v>
      </c>
      <c r="AI4707" s="41" t="s">
        <v>1782</v>
      </c>
    </row>
    <row r="4708" spans="1:35" x14ac:dyDescent="0.25">
      <c r="A4708" s="36">
        <v>99914706</v>
      </c>
      <c r="B4708" s="17" t="s">
        <v>56</v>
      </c>
      <c r="C4708" t="s">
        <v>64</v>
      </c>
      <c r="D4708" t="s">
        <v>65</v>
      </c>
      <c r="G4708" s="17" t="s">
        <v>48</v>
      </c>
      <c r="H4708" s="17">
        <v>12</v>
      </c>
      <c r="K4708" t="s">
        <v>345</v>
      </c>
      <c r="L4708" t="s">
        <v>346</v>
      </c>
      <c r="M4708" t="s">
        <v>131</v>
      </c>
      <c r="N4708">
        <v>21</v>
      </c>
      <c r="O4708" t="s">
        <v>40</v>
      </c>
      <c r="P4708" t="s">
        <v>40</v>
      </c>
      <c r="Q4708" t="s">
        <v>40</v>
      </c>
      <c r="R4708" t="s">
        <v>40</v>
      </c>
      <c r="S4708" t="s">
        <v>40</v>
      </c>
      <c r="V4708" t="s">
        <v>41</v>
      </c>
      <c r="W4708" t="s">
        <v>75</v>
      </c>
      <c r="X4708" t="str">
        <f>"7054002"</f>
        <v>7054002</v>
      </c>
      <c r="Y4708" t="s">
        <v>376</v>
      </c>
      <c r="Z4708" t="s">
        <v>354</v>
      </c>
      <c r="AA4708" t="s">
        <v>355</v>
      </c>
      <c r="AB4708" t="s">
        <v>131</v>
      </c>
      <c r="AC4708" t="s">
        <v>51</v>
      </c>
      <c r="AD4708" t="s">
        <v>45</v>
      </c>
      <c r="AE4708" s="1">
        <v>23257</v>
      </c>
      <c r="AF4708">
        <v>2</v>
      </c>
      <c r="AG4708" t="s">
        <v>346</v>
      </c>
      <c r="AH4708" s="36">
        <f t="shared" si="73"/>
        <v>56.111111111111114</v>
      </c>
      <c r="AI4708" s="41" t="s">
        <v>1782</v>
      </c>
    </row>
    <row r="4709" spans="1:35" x14ac:dyDescent="0.25">
      <c r="A4709" s="36">
        <v>99914707</v>
      </c>
      <c r="B4709" s="17" t="s">
        <v>32</v>
      </c>
      <c r="C4709" t="s">
        <v>46</v>
      </c>
      <c r="D4709" t="s">
        <v>47</v>
      </c>
      <c r="G4709" s="17" t="s">
        <v>35</v>
      </c>
      <c r="H4709" s="17">
        <v>1</v>
      </c>
      <c r="K4709" t="s">
        <v>223</v>
      </c>
      <c r="L4709" t="s">
        <v>224</v>
      </c>
      <c r="M4709" t="s">
        <v>131</v>
      </c>
      <c r="N4709">
        <v>18</v>
      </c>
      <c r="O4709" t="s">
        <v>40</v>
      </c>
      <c r="P4709" t="s">
        <v>40</v>
      </c>
      <c r="Q4709" t="s">
        <v>40</v>
      </c>
      <c r="S4709" t="s">
        <v>40</v>
      </c>
      <c r="V4709" t="s">
        <v>41</v>
      </c>
      <c r="W4709" t="s">
        <v>49</v>
      </c>
      <c r="X4709" t="str">
        <f>"0581207"</f>
        <v>0581207</v>
      </c>
      <c r="Y4709" t="s">
        <v>233</v>
      </c>
      <c r="Z4709" t="s">
        <v>223</v>
      </c>
      <c r="AA4709" t="s">
        <v>224</v>
      </c>
      <c r="AB4709" t="s">
        <v>131</v>
      </c>
      <c r="AC4709" t="s">
        <v>165</v>
      </c>
      <c r="AD4709" t="s">
        <v>45</v>
      </c>
      <c r="AE4709" s="1">
        <v>23255</v>
      </c>
      <c r="AF4709">
        <v>2</v>
      </c>
      <c r="AG4709" t="s">
        <v>224</v>
      </c>
      <c r="AH4709" s="36">
        <f t="shared" si="73"/>
        <v>56.116666666666667</v>
      </c>
      <c r="AI4709" s="41" t="s">
        <v>1782</v>
      </c>
    </row>
    <row r="4710" spans="1:35" x14ac:dyDescent="0.25">
      <c r="A4710" s="36">
        <v>99914708</v>
      </c>
      <c r="B4710" s="17" t="s">
        <v>32</v>
      </c>
      <c r="C4710" t="s">
        <v>33</v>
      </c>
      <c r="D4710" t="s">
        <v>34</v>
      </c>
      <c r="G4710" s="17" t="s">
        <v>48</v>
      </c>
      <c r="H4710" s="17">
        <v>1</v>
      </c>
      <c r="K4710" t="s">
        <v>380</v>
      </c>
      <c r="L4710" t="s">
        <v>381</v>
      </c>
      <c r="M4710" t="s">
        <v>131</v>
      </c>
      <c r="N4710">
        <v>18</v>
      </c>
      <c r="O4710" t="s">
        <v>40</v>
      </c>
      <c r="P4710" t="s">
        <v>40</v>
      </c>
      <c r="Q4710" t="s">
        <v>40</v>
      </c>
      <c r="S4710" t="s">
        <v>40</v>
      </c>
      <c r="V4710" t="s">
        <v>41</v>
      </c>
      <c r="W4710" t="s">
        <v>49</v>
      </c>
      <c r="X4710" t="str">
        <f>"0591908"</f>
        <v>0591908</v>
      </c>
      <c r="Y4710" t="s">
        <v>383</v>
      </c>
      <c r="Z4710" t="s">
        <v>380</v>
      </c>
      <c r="AA4710" t="s">
        <v>381</v>
      </c>
      <c r="AB4710" t="s">
        <v>131</v>
      </c>
      <c r="AC4710" t="s">
        <v>51</v>
      </c>
      <c r="AD4710" t="s">
        <v>45</v>
      </c>
      <c r="AE4710" s="1">
        <v>23252</v>
      </c>
      <c r="AF4710">
        <v>2</v>
      </c>
      <c r="AG4710" t="s">
        <v>381</v>
      </c>
      <c r="AH4710" s="36">
        <f t="shared" si="73"/>
        <v>56.125</v>
      </c>
      <c r="AI4710" s="41" t="s">
        <v>1782</v>
      </c>
    </row>
    <row r="4711" spans="1:35" x14ac:dyDescent="0.25">
      <c r="A4711" s="36">
        <v>99914709</v>
      </c>
      <c r="B4711" s="17" t="s">
        <v>56</v>
      </c>
      <c r="C4711" t="s">
        <v>52</v>
      </c>
      <c r="D4711" t="s">
        <v>53</v>
      </c>
      <c r="G4711" s="17" t="s">
        <v>35</v>
      </c>
      <c r="H4711" s="17">
        <v>1</v>
      </c>
      <c r="K4711" t="s">
        <v>223</v>
      </c>
      <c r="L4711" t="s">
        <v>224</v>
      </c>
      <c r="M4711" t="s">
        <v>131</v>
      </c>
      <c r="N4711">
        <v>20</v>
      </c>
      <c r="O4711" t="s">
        <v>40</v>
      </c>
      <c r="P4711" t="s">
        <v>40</v>
      </c>
      <c r="Q4711" t="s">
        <v>40</v>
      </c>
      <c r="R4711" t="s">
        <v>40</v>
      </c>
      <c r="S4711" t="s">
        <v>40</v>
      </c>
      <c r="V4711" t="s">
        <v>41</v>
      </c>
      <c r="W4711" t="s">
        <v>49</v>
      </c>
      <c r="X4711" t="str">
        <f>"0560018"</f>
        <v>0560018</v>
      </c>
      <c r="Y4711" t="s">
        <v>234</v>
      </c>
      <c r="Z4711" t="s">
        <v>223</v>
      </c>
      <c r="AA4711" t="s">
        <v>224</v>
      </c>
      <c r="AB4711" t="s">
        <v>131</v>
      </c>
      <c r="AC4711" t="s">
        <v>51</v>
      </c>
      <c r="AD4711" t="s">
        <v>45</v>
      </c>
      <c r="AE4711" s="1">
        <v>23251</v>
      </c>
      <c r="AF4711">
        <v>2</v>
      </c>
      <c r="AG4711" t="s">
        <v>224</v>
      </c>
      <c r="AH4711" s="36">
        <f t="shared" si="73"/>
        <v>56.12777777777778</v>
      </c>
      <c r="AI4711" s="41" t="s">
        <v>1782</v>
      </c>
    </row>
    <row r="4712" spans="1:35" x14ac:dyDescent="0.25">
      <c r="A4712" s="36">
        <v>99914710</v>
      </c>
      <c r="B4712" s="17" t="s">
        <v>32</v>
      </c>
      <c r="C4712" t="s">
        <v>46</v>
      </c>
      <c r="D4712" t="s">
        <v>47</v>
      </c>
      <c r="G4712" s="17" t="s">
        <v>48</v>
      </c>
      <c r="H4712" s="17">
        <v>16</v>
      </c>
      <c r="K4712" t="s">
        <v>1268</v>
      </c>
      <c r="L4712" t="s">
        <v>1269</v>
      </c>
      <c r="M4712" t="s">
        <v>1270</v>
      </c>
      <c r="N4712">
        <v>18</v>
      </c>
      <c r="O4712" t="s">
        <v>40</v>
      </c>
      <c r="P4712" t="s">
        <v>40</v>
      </c>
      <c r="Q4712" t="s">
        <v>40</v>
      </c>
      <c r="R4712" t="s">
        <v>40</v>
      </c>
      <c r="S4712" t="s">
        <v>40</v>
      </c>
      <c r="U4712" s="1">
        <v>43344</v>
      </c>
      <c r="V4712" t="s">
        <v>41</v>
      </c>
      <c r="W4712" t="s">
        <v>42</v>
      </c>
      <c r="X4712" t="str">
        <f>"1980060"</f>
        <v>1980060</v>
      </c>
      <c r="Y4712" t="s">
        <v>1277</v>
      </c>
      <c r="Z4712" t="s">
        <v>1268</v>
      </c>
      <c r="AA4712" t="s">
        <v>1269</v>
      </c>
      <c r="AB4712" t="s">
        <v>1270</v>
      </c>
      <c r="AC4712" t="s">
        <v>51</v>
      </c>
      <c r="AD4712" t="s">
        <v>45</v>
      </c>
      <c r="AE4712" s="1">
        <v>23251</v>
      </c>
      <c r="AF4712">
        <v>2</v>
      </c>
      <c r="AG4712" t="s">
        <v>1269</v>
      </c>
      <c r="AH4712" s="36">
        <f t="shared" si="73"/>
        <v>56.12777777777778</v>
      </c>
      <c r="AI4712" s="41" t="s">
        <v>1782</v>
      </c>
    </row>
    <row r="4713" spans="1:35" x14ac:dyDescent="0.25">
      <c r="A4713" s="36">
        <v>99914711</v>
      </c>
      <c r="B4713" s="17" t="s">
        <v>56</v>
      </c>
      <c r="C4713" t="s">
        <v>68</v>
      </c>
      <c r="D4713" t="s">
        <v>69</v>
      </c>
      <c r="G4713" s="17" t="s">
        <v>48</v>
      </c>
      <c r="H4713" s="17">
        <v>1</v>
      </c>
      <c r="K4713" t="s">
        <v>223</v>
      </c>
      <c r="L4713" t="s">
        <v>224</v>
      </c>
      <c r="M4713" t="s">
        <v>131</v>
      </c>
      <c r="N4713">
        <v>20</v>
      </c>
      <c r="O4713" t="s">
        <v>40</v>
      </c>
      <c r="P4713" t="s">
        <v>40</v>
      </c>
      <c r="Q4713" t="s">
        <v>40</v>
      </c>
      <c r="S4713" t="s">
        <v>40</v>
      </c>
      <c r="V4713" t="s">
        <v>41</v>
      </c>
      <c r="W4713" t="s">
        <v>42</v>
      </c>
      <c r="X4713" t="str">
        <f>"0580204"</f>
        <v>0580204</v>
      </c>
      <c r="Y4713" t="s">
        <v>235</v>
      </c>
      <c r="Z4713" t="s">
        <v>223</v>
      </c>
      <c r="AA4713" t="s">
        <v>224</v>
      </c>
      <c r="AB4713" t="s">
        <v>131</v>
      </c>
      <c r="AC4713" t="s">
        <v>51</v>
      </c>
      <c r="AD4713" t="s">
        <v>45</v>
      </c>
      <c r="AE4713" s="1">
        <v>23248</v>
      </c>
      <c r="AF4713">
        <v>2</v>
      </c>
      <c r="AG4713" t="s">
        <v>224</v>
      </c>
      <c r="AH4713" s="36">
        <f t="shared" si="73"/>
        <v>56.136111111111113</v>
      </c>
      <c r="AI4713" s="41" t="s">
        <v>1782</v>
      </c>
    </row>
    <row r="4714" spans="1:35" x14ac:dyDescent="0.25">
      <c r="A4714" s="36">
        <v>99914712</v>
      </c>
      <c r="B4714" s="17" t="s">
        <v>56</v>
      </c>
      <c r="C4714" t="s">
        <v>68</v>
      </c>
      <c r="D4714" t="s">
        <v>69</v>
      </c>
      <c r="G4714" s="17" t="s">
        <v>48</v>
      </c>
      <c r="H4714" s="17">
        <v>14</v>
      </c>
      <c r="K4714" t="s">
        <v>1268</v>
      </c>
      <c r="L4714" t="s">
        <v>1269</v>
      </c>
      <c r="M4714" t="s">
        <v>1270</v>
      </c>
      <c r="N4714">
        <v>18</v>
      </c>
      <c r="O4714" t="s">
        <v>40</v>
      </c>
      <c r="P4714" t="s">
        <v>40</v>
      </c>
      <c r="Q4714" t="s">
        <v>40</v>
      </c>
      <c r="R4714" t="s">
        <v>40</v>
      </c>
      <c r="S4714" t="s">
        <v>40</v>
      </c>
      <c r="U4714" s="1">
        <v>43344</v>
      </c>
      <c r="V4714" t="s">
        <v>41</v>
      </c>
      <c r="W4714" t="s">
        <v>42</v>
      </c>
      <c r="X4714" t="str">
        <f>"1980055"</f>
        <v>1980055</v>
      </c>
      <c r="Y4714" t="s">
        <v>1285</v>
      </c>
      <c r="Z4714" t="s">
        <v>1268</v>
      </c>
      <c r="AA4714" t="s">
        <v>1269</v>
      </c>
      <c r="AB4714" t="s">
        <v>1270</v>
      </c>
      <c r="AC4714" t="s">
        <v>165</v>
      </c>
      <c r="AD4714" t="s">
        <v>45</v>
      </c>
      <c r="AE4714" s="1">
        <v>23248</v>
      </c>
      <c r="AF4714">
        <v>2</v>
      </c>
      <c r="AG4714" t="s">
        <v>1269</v>
      </c>
      <c r="AH4714" s="36">
        <f t="shared" si="73"/>
        <v>56.136111111111113</v>
      </c>
      <c r="AI4714" s="41" t="s">
        <v>1782</v>
      </c>
    </row>
    <row r="4715" spans="1:35" x14ac:dyDescent="0.25">
      <c r="A4715" s="36">
        <v>99914713</v>
      </c>
      <c r="B4715" s="17" t="s">
        <v>32</v>
      </c>
      <c r="C4715" t="s">
        <v>90</v>
      </c>
      <c r="D4715" t="s">
        <v>91</v>
      </c>
      <c r="G4715" s="17" t="s">
        <v>48</v>
      </c>
      <c r="H4715" s="17">
        <v>1</v>
      </c>
      <c r="K4715" t="s">
        <v>431</v>
      </c>
      <c r="L4715" t="s">
        <v>196</v>
      </c>
      <c r="M4715" t="s">
        <v>131</v>
      </c>
      <c r="N4715">
        <v>25</v>
      </c>
      <c r="O4715" t="s">
        <v>40</v>
      </c>
      <c r="P4715" t="s">
        <v>40</v>
      </c>
      <c r="Q4715" t="s">
        <v>40</v>
      </c>
      <c r="S4715" t="s">
        <v>40</v>
      </c>
      <c r="V4715" t="s">
        <v>41</v>
      </c>
      <c r="W4715" t="s">
        <v>95</v>
      </c>
      <c r="X4715" t="str">
        <f>"7521095"</f>
        <v>7521095</v>
      </c>
      <c r="Y4715" t="s">
        <v>465</v>
      </c>
      <c r="Z4715" t="s">
        <v>431</v>
      </c>
      <c r="AA4715" t="s">
        <v>196</v>
      </c>
      <c r="AB4715" t="s">
        <v>131</v>
      </c>
      <c r="AC4715" t="s">
        <v>51</v>
      </c>
      <c r="AD4715" t="s">
        <v>45</v>
      </c>
      <c r="AE4715" s="1">
        <v>23239</v>
      </c>
      <c r="AF4715">
        <v>1</v>
      </c>
      <c r="AG4715" t="s">
        <v>196</v>
      </c>
      <c r="AH4715" s="36">
        <f t="shared" si="73"/>
        <v>56.161111111111111</v>
      </c>
      <c r="AI4715" s="41" t="s">
        <v>1782</v>
      </c>
    </row>
    <row r="4716" spans="1:35" x14ac:dyDescent="0.25">
      <c r="A4716" s="36">
        <v>99914714</v>
      </c>
      <c r="B4716" s="17" t="s">
        <v>56</v>
      </c>
      <c r="C4716" t="s">
        <v>52</v>
      </c>
      <c r="D4716" t="s">
        <v>53</v>
      </c>
      <c r="G4716" s="17" t="s">
        <v>48</v>
      </c>
      <c r="H4716" s="17">
        <v>1</v>
      </c>
      <c r="K4716" t="s">
        <v>345</v>
      </c>
      <c r="L4716" t="s">
        <v>346</v>
      </c>
      <c r="M4716" t="s">
        <v>131</v>
      </c>
      <c r="N4716">
        <v>18</v>
      </c>
      <c r="O4716" t="s">
        <v>40</v>
      </c>
      <c r="P4716" t="s">
        <v>40</v>
      </c>
      <c r="Q4716" t="s">
        <v>40</v>
      </c>
      <c r="R4716" t="s">
        <v>40</v>
      </c>
      <c r="S4716" t="s">
        <v>40</v>
      </c>
      <c r="V4716" t="s">
        <v>41</v>
      </c>
      <c r="W4716" t="s">
        <v>49</v>
      </c>
      <c r="X4716" t="str">
        <f>"0560004"</f>
        <v>0560004</v>
      </c>
      <c r="Y4716" t="s">
        <v>371</v>
      </c>
      <c r="Z4716" t="s">
        <v>345</v>
      </c>
      <c r="AA4716" t="s">
        <v>346</v>
      </c>
      <c r="AB4716" t="s">
        <v>131</v>
      </c>
      <c r="AC4716" t="s">
        <v>51</v>
      </c>
      <c r="AD4716" t="s">
        <v>45</v>
      </c>
      <c r="AE4716" s="1">
        <v>23232</v>
      </c>
      <c r="AF4716">
        <v>2</v>
      </c>
      <c r="AG4716" t="s">
        <v>346</v>
      </c>
      <c r="AH4716" s="36">
        <f t="shared" si="73"/>
        <v>56.180555555555557</v>
      </c>
      <c r="AI4716" s="41" t="s">
        <v>1782</v>
      </c>
    </row>
    <row r="4717" spans="1:35" x14ac:dyDescent="0.25">
      <c r="A4717" s="36">
        <v>99914715</v>
      </c>
      <c r="B4717" s="17" t="s">
        <v>32</v>
      </c>
      <c r="C4717" t="s">
        <v>111</v>
      </c>
      <c r="D4717" t="s">
        <v>112</v>
      </c>
      <c r="G4717" s="17" t="s">
        <v>35</v>
      </c>
      <c r="H4717" s="17">
        <v>17</v>
      </c>
      <c r="K4717" t="s">
        <v>268</v>
      </c>
      <c r="L4717" t="s">
        <v>269</v>
      </c>
      <c r="M4717" t="s">
        <v>131</v>
      </c>
      <c r="N4717">
        <v>21</v>
      </c>
      <c r="O4717" t="s">
        <v>40</v>
      </c>
      <c r="P4717" t="s">
        <v>40</v>
      </c>
      <c r="Q4717" t="s">
        <v>40</v>
      </c>
      <c r="R4717" t="s">
        <v>40</v>
      </c>
      <c r="S4717" t="s">
        <v>40</v>
      </c>
      <c r="V4717" t="s">
        <v>41</v>
      </c>
      <c r="W4717" t="s">
        <v>75</v>
      </c>
      <c r="X4717" t="str">
        <f>"7052004"</f>
        <v>7052004</v>
      </c>
      <c r="Y4717" t="s">
        <v>584</v>
      </c>
      <c r="Z4717" t="s">
        <v>268</v>
      </c>
      <c r="AA4717" t="s">
        <v>269</v>
      </c>
      <c r="AB4717" t="s">
        <v>131</v>
      </c>
      <c r="AC4717" t="s">
        <v>165</v>
      </c>
      <c r="AD4717" t="s">
        <v>45</v>
      </c>
      <c r="AE4717" s="1">
        <v>23232</v>
      </c>
      <c r="AF4717">
        <v>1</v>
      </c>
      <c r="AG4717" t="s">
        <v>269</v>
      </c>
      <c r="AH4717" s="36">
        <f t="shared" si="73"/>
        <v>56.180555555555557</v>
      </c>
      <c r="AI4717" s="41" t="s">
        <v>1782</v>
      </c>
    </row>
    <row r="4718" spans="1:35" x14ac:dyDescent="0.25">
      <c r="A4718" s="36">
        <v>99914716</v>
      </c>
      <c r="B4718" s="17" t="s">
        <v>32</v>
      </c>
      <c r="C4718" t="s">
        <v>90</v>
      </c>
      <c r="D4718" t="s">
        <v>91</v>
      </c>
      <c r="G4718" s="17" t="s">
        <v>48</v>
      </c>
      <c r="H4718" s="17">
        <v>8</v>
      </c>
      <c r="K4718" t="s">
        <v>1426</v>
      </c>
      <c r="L4718" t="s">
        <v>1427</v>
      </c>
      <c r="M4718" t="s">
        <v>1270</v>
      </c>
      <c r="N4718">
        <v>22</v>
      </c>
      <c r="O4718" t="s">
        <v>40</v>
      </c>
      <c r="P4718" t="s">
        <v>40</v>
      </c>
      <c r="Q4718" t="s">
        <v>40</v>
      </c>
      <c r="R4718" t="s">
        <v>40</v>
      </c>
      <c r="S4718" t="s">
        <v>40</v>
      </c>
      <c r="V4718" t="s">
        <v>41</v>
      </c>
      <c r="W4718" t="s">
        <v>95</v>
      </c>
      <c r="X4718" t="str">
        <f>"7192017"</f>
        <v>7192017</v>
      </c>
      <c r="Y4718" t="s">
        <v>1433</v>
      </c>
      <c r="Z4718" t="s">
        <v>1426</v>
      </c>
      <c r="AA4718" t="s">
        <v>1427</v>
      </c>
      <c r="AB4718" t="s">
        <v>1270</v>
      </c>
      <c r="AC4718" t="s">
        <v>51</v>
      </c>
      <c r="AD4718" t="s">
        <v>45</v>
      </c>
      <c r="AE4718" s="1">
        <v>23224</v>
      </c>
      <c r="AF4718">
        <v>1</v>
      </c>
      <c r="AG4718" t="s">
        <v>1427</v>
      </c>
      <c r="AH4718" s="36">
        <f t="shared" si="73"/>
        <v>56.202777777777776</v>
      </c>
      <c r="AI4718" s="41" t="s">
        <v>1782</v>
      </c>
    </row>
    <row r="4719" spans="1:35" x14ac:dyDescent="0.25">
      <c r="A4719" s="36">
        <v>99914717</v>
      </c>
      <c r="B4719" s="17" t="s">
        <v>32</v>
      </c>
      <c r="C4719" t="s">
        <v>33</v>
      </c>
      <c r="D4719" t="s">
        <v>34</v>
      </c>
      <c r="G4719" s="17" t="s">
        <v>48</v>
      </c>
      <c r="H4719" s="17">
        <v>12</v>
      </c>
      <c r="K4719" t="s">
        <v>129</v>
      </c>
      <c r="L4719" t="s">
        <v>130</v>
      </c>
      <c r="M4719" t="s">
        <v>131</v>
      </c>
      <c r="N4719">
        <v>18</v>
      </c>
      <c r="O4719" t="s">
        <v>40</v>
      </c>
      <c r="P4719" t="s">
        <v>40</v>
      </c>
      <c r="Q4719" t="s">
        <v>40</v>
      </c>
      <c r="R4719" t="s">
        <v>40</v>
      </c>
      <c r="S4719" t="s">
        <v>40</v>
      </c>
      <c r="U4719" s="1">
        <v>34213</v>
      </c>
      <c r="V4719" t="s">
        <v>41</v>
      </c>
      <c r="W4719" t="s">
        <v>42</v>
      </c>
      <c r="X4719" t="str">
        <f>"0561011"</f>
        <v>0561011</v>
      </c>
      <c r="Y4719" t="s">
        <v>132</v>
      </c>
      <c r="Z4719" t="s">
        <v>129</v>
      </c>
      <c r="AA4719" t="s">
        <v>130</v>
      </c>
      <c r="AB4719" t="s">
        <v>131</v>
      </c>
      <c r="AC4719" t="s">
        <v>51</v>
      </c>
      <c r="AD4719" t="s">
        <v>45</v>
      </c>
      <c r="AE4719" s="1">
        <v>23222</v>
      </c>
      <c r="AF4719">
        <v>2</v>
      </c>
      <c r="AG4719" t="s">
        <v>130</v>
      </c>
      <c r="AH4719" s="36">
        <f t="shared" si="73"/>
        <v>56.208333333333336</v>
      </c>
      <c r="AI4719" s="41" t="s">
        <v>1782</v>
      </c>
    </row>
    <row r="4720" spans="1:35" x14ac:dyDescent="0.25">
      <c r="A4720" s="36">
        <v>99914718</v>
      </c>
      <c r="B4720" s="17" t="s">
        <v>56</v>
      </c>
      <c r="C4720" t="s">
        <v>58</v>
      </c>
      <c r="D4720" t="s">
        <v>59</v>
      </c>
      <c r="G4720" s="17" t="s">
        <v>35</v>
      </c>
      <c r="H4720" s="17">
        <v>1</v>
      </c>
      <c r="K4720" t="s">
        <v>223</v>
      </c>
      <c r="L4720" t="s">
        <v>224</v>
      </c>
      <c r="M4720" t="s">
        <v>131</v>
      </c>
      <c r="N4720">
        <v>22</v>
      </c>
      <c r="O4720" t="s">
        <v>40</v>
      </c>
      <c r="P4720" t="s">
        <v>40</v>
      </c>
      <c r="Q4720" t="s">
        <v>40</v>
      </c>
      <c r="S4720" t="s">
        <v>40</v>
      </c>
      <c r="V4720" t="s">
        <v>41</v>
      </c>
      <c r="W4720" t="s">
        <v>42</v>
      </c>
      <c r="X4720" t="str">
        <f>"0590901"</f>
        <v>0590901</v>
      </c>
      <c r="Y4720" t="s">
        <v>242</v>
      </c>
      <c r="Z4720" t="s">
        <v>223</v>
      </c>
      <c r="AA4720" t="s">
        <v>224</v>
      </c>
      <c r="AB4720" t="s">
        <v>131</v>
      </c>
      <c r="AC4720" t="s">
        <v>51</v>
      </c>
      <c r="AD4720" t="s">
        <v>45</v>
      </c>
      <c r="AE4720" s="1">
        <v>23221</v>
      </c>
      <c r="AF4720">
        <v>2</v>
      </c>
      <c r="AG4720" t="s">
        <v>224</v>
      </c>
      <c r="AH4720" s="36">
        <f t="shared" si="73"/>
        <v>56.211111111111109</v>
      </c>
      <c r="AI4720" s="41" t="s">
        <v>1782</v>
      </c>
    </row>
    <row r="4721" spans="1:35" x14ac:dyDescent="0.25">
      <c r="A4721" s="36">
        <v>99914719</v>
      </c>
      <c r="B4721" s="17" t="s">
        <v>32</v>
      </c>
      <c r="C4721" t="s">
        <v>111</v>
      </c>
      <c r="D4721" t="s">
        <v>112</v>
      </c>
      <c r="G4721" s="17" t="s">
        <v>35</v>
      </c>
      <c r="H4721" s="17">
        <v>1</v>
      </c>
      <c r="K4721" t="s">
        <v>268</v>
      </c>
      <c r="L4721" t="s">
        <v>269</v>
      </c>
      <c r="M4721" t="s">
        <v>131</v>
      </c>
      <c r="N4721">
        <v>6</v>
      </c>
      <c r="O4721" t="s">
        <v>40</v>
      </c>
      <c r="P4721" t="s">
        <v>40</v>
      </c>
      <c r="Q4721" t="s">
        <v>40</v>
      </c>
      <c r="R4721" t="s">
        <v>40</v>
      </c>
      <c r="S4721" t="s">
        <v>40</v>
      </c>
      <c r="V4721" t="s">
        <v>41</v>
      </c>
      <c r="W4721" t="s">
        <v>75</v>
      </c>
      <c r="X4721" t="str">
        <f>"7052002"</f>
        <v>7052002</v>
      </c>
      <c r="Y4721" t="s">
        <v>590</v>
      </c>
      <c r="Z4721" t="s">
        <v>268</v>
      </c>
      <c r="AA4721" t="s">
        <v>269</v>
      </c>
      <c r="AB4721" t="s">
        <v>131</v>
      </c>
      <c r="AC4721" t="s">
        <v>165</v>
      </c>
      <c r="AD4721" t="s">
        <v>45</v>
      </c>
      <c r="AE4721" s="1">
        <v>23205</v>
      </c>
      <c r="AF4721">
        <v>1</v>
      </c>
      <c r="AG4721" t="s">
        <v>269</v>
      </c>
      <c r="AH4721" s="36">
        <f t="shared" si="73"/>
        <v>56.255555555555553</v>
      </c>
      <c r="AI4721" s="41" t="s">
        <v>1782</v>
      </c>
    </row>
    <row r="4722" spans="1:35" x14ac:dyDescent="0.25">
      <c r="A4722" s="36">
        <v>99914720</v>
      </c>
      <c r="B4722" s="17" t="s">
        <v>32</v>
      </c>
      <c r="C4722" t="s">
        <v>33</v>
      </c>
      <c r="D4722" t="s">
        <v>34</v>
      </c>
      <c r="G4722" s="17" t="s">
        <v>48</v>
      </c>
      <c r="H4722" s="17">
        <v>1</v>
      </c>
      <c r="K4722" t="s">
        <v>223</v>
      </c>
      <c r="L4722" t="s">
        <v>224</v>
      </c>
      <c r="M4722" t="s">
        <v>131</v>
      </c>
      <c r="N4722">
        <v>18</v>
      </c>
      <c r="O4722" t="s">
        <v>40</v>
      </c>
      <c r="P4722" t="s">
        <v>40</v>
      </c>
      <c r="Q4722" t="s">
        <v>40</v>
      </c>
      <c r="R4722" t="s">
        <v>40</v>
      </c>
      <c r="S4722" t="s">
        <v>40</v>
      </c>
      <c r="V4722" t="s">
        <v>41</v>
      </c>
      <c r="W4722" t="s">
        <v>42</v>
      </c>
      <c r="X4722" t="str">
        <f>"0580395"</f>
        <v>0580395</v>
      </c>
      <c r="Y4722" t="s">
        <v>265</v>
      </c>
      <c r="Z4722" t="s">
        <v>223</v>
      </c>
      <c r="AA4722" t="s">
        <v>224</v>
      </c>
      <c r="AB4722" t="s">
        <v>131</v>
      </c>
      <c r="AC4722" t="s">
        <v>51</v>
      </c>
      <c r="AD4722" t="s">
        <v>45</v>
      </c>
      <c r="AE4722" s="1">
        <v>23193</v>
      </c>
      <c r="AF4722">
        <v>2</v>
      </c>
      <c r="AG4722" t="s">
        <v>224</v>
      </c>
      <c r="AH4722" s="36">
        <f t="shared" si="73"/>
        <v>56.288888888888891</v>
      </c>
      <c r="AI4722" s="41" t="s">
        <v>1782</v>
      </c>
    </row>
    <row r="4723" spans="1:35" x14ac:dyDescent="0.25">
      <c r="A4723" s="36">
        <v>99914721</v>
      </c>
      <c r="B4723" s="17" t="s">
        <v>32</v>
      </c>
      <c r="C4723" t="s">
        <v>46</v>
      </c>
      <c r="D4723" t="s">
        <v>47</v>
      </c>
      <c r="G4723" s="17" t="s">
        <v>48</v>
      </c>
      <c r="H4723" s="17">
        <v>1</v>
      </c>
      <c r="K4723" t="s">
        <v>380</v>
      </c>
      <c r="L4723" t="s">
        <v>381</v>
      </c>
      <c r="M4723" t="s">
        <v>131</v>
      </c>
      <c r="N4723">
        <v>18</v>
      </c>
      <c r="O4723" t="s">
        <v>40</v>
      </c>
      <c r="P4723" t="s">
        <v>40</v>
      </c>
      <c r="Q4723" t="s">
        <v>40</v>
      </c>
      <c r="R4723" t="s">
        <v>40</v>
      </c>
      <c r="S4723" t="s">
        <v>40</v>
      </c>
      <c r="V4723" t="s">
        <v>41</v>
      </c>
      <c r="W4723" t="s">
        <v>49</v>
      </c>
      <c r="X4723" t="str">
        <f>"0591909"</f>
        <v>0591909</v>
      </c>
      <c r="Y4723" t="s">
        <v>385</v>
      </c>
      <c r="Z4723" t="s">
        <v>380</v>
      </c>
      <c r="AA4723" t="s">
        <v>381</v>
      </c>
      <c r="AB4723" t="s">
        <v>131</v>
      </c>
      <c r="AC4723" t="s">
        <v>51</v>
      </c>
      <c r="AD4723" t="s">
        <v>45</v>
      </c>
      <c r="AE4723" s="1">
        <v>23191</v>
      </c>
      <c r="AF4723">
        <v>2</v>
      </c>
      <c r="AG4723" t="s">
        <v>381</v>
      </c>
      <c r="AH4723" s="36">
        <f t="shared" si="73"/>
        <v>56.294444444444444</v>
      </c>
      <c r="AI4723" s="41" t="s">
        <v>1782</v>
      </c>
    </row>
    <row r="4724" spans="1:35" x14ac:dyDescent="0.25">
      <c r="A4724" s="36">
        <v>99914722</v>
      </c>
      <c r="B4724" s="17" t="s">
        <v>32</v>
      </c>
      <c r="C4724" t="s">
        <v>61</v>
      </c>
      <c r="D4724" t="s">
        <v>62</v>
      </c>
      <c r="E4724" t="s">
        <v>52</v>
      </c>
      <c r="F4724" t="s">
        <v>53</v>
      </c>
      <c r="G4724" s="17" t="s">
        <v>48</v>
      </c>
      <c r="H4724" s="17">
        <v>1</v>
      </c>
      <c r="K4724" t="s">
        <v>162</v>
      </c>
      <c r="L4724" t="s">
        <v>158</v>
      </c>
      <c r="M4724" t="s">
        <v>131</v>
      </c>
      <c r="N4724">
        <v>14</v>
      </c>
      <c r="O4724" t="s">
        <v>40</v>
      </c>
      <c r="P4724" t="s">
        <v>40</v>
      </c>
      <c r="Q4724" t="s">
        <v>40</v>
      </c>
      <c r="R4724" t="s">
        <v>40</v>
      </c>
      <c r="S4724" t="s">
        <v>40</v>
      </c>
      <c r="V4724" t="s">
        <v>41</v>
      </c>
      <c r="W4724" t="s">
        <v>42</v>
      </c>
      <c r="X4724" t="str">
        <f>"0580325"</f>
        <v>0580325</v>
      </c>
      <c r="Y4724" t="s">
        <v>170</v>
      </c>
      <c r="Z4724" t="s">
        <v>162</v>
      </c>
      <c r="AA4724" t="s">
        <v>158</v>
      </c>
      <c r="AB4724" t="s">
        <v>131</v>
      </c>
      <c r="AC4724" t="s">
        <v>165</v>
      </c>
      <c r="AD4724" t="s">
        <v>45</v>
      </c>
      <c r="AE4724" s="1">
        <v>23187</v>
      </c>
      <c r="AF4724">
        <v>2</v>
      </c>
      <c r="AG4724" t="s">
        <v>158</v>
      </c>
      <c r="AH4724" s="36">
        <f t="shared" si="73"/>
        <v>56.305555555555557</v>
      </c>
      <c r="AI4724" s="41" t="s">
        <v>1782</v>
      </c>
    </row>
    <row r="4725" spans="1:35" x14ac:dyDescent="0.25">
      <c r="A4725" s="36">
        <v>99914723</v>
      </c>
      <c r="B4725" s="17" t="s">
        <v>32</v>
      </c>
      <c r="C4725" t="s">
        <v>145</v>
      </c>
      <c r="D4725" t="s">
        <v>146</v>
      </c>
      <c r="G4725" s="17" t="s">
        <v>35</v>
      </c>
      <c r="H4725" s="17">
        <v>1</v>
      </c>
      <c r="K4725" t="s">
        <v>157</v>
      </c>
      <c r="L4725" t="s">
        <v>158</v>
      </c>
      <c r="M4725" t="s">
        <v>131</v>
      </c>
      <c r="N4725">
        <v>20</v>
      </c>
      <c r="O4725" t="s">
        <v>40</v>
      </c>
      <c r="P4725" t="s">
        <v>40</v>
      </c>
      <c r="Q4725" t="s">
        <v>40</v>
      </c>
      <c r="S4725" t="s">
        <v>40</v>
      </c>
      <c r="V4725" t="s">
        <v>41</v>
      </c>
      <c r="W4725" t="s">
        <v>42</v>
      </c>
      <c r="X4725" t="str">
        <f>"0580725"</f>
        <v>0580725</v>
      </c>
      <c r="Y4725" t="s">
        <v>167</v>
      </c>
      <c r="Z4725" t="s">
        <v>157</v>
      </c>
      <c r="AA4725" t="s">
        <v>158</v>
      </c>
      <c r="AB4725" t="s">
        <v>131</v>
      </c>
      <c r="AC4725" t="s">
        <v>51</v>
      </c>
      <c r="AD4725" t="s">
        <v>45</v>
      </c>
      <c r="AE4725" s="1">
        <v>23186</v>
      </c>
      <c r="AF4725">
        <v>2</v>
      </c>
      <c r="AG4725" t="s">
        <v>158</v>
      </c>
      <c r="AH4725" s="36">
        <f t="shared" si="73"/>
        <v>56.30833333333333</v>
      </c>
      <c r="AI4725" s="41" t="s">
        <v>1782</v>
      </c>
    </row>
    <row r="4726" spans="1:35" x14ac:dyDescent="0.25">
      <c r="A4726" s="36">
        <v>99914724</v>
      </c>
      <c r="B4726" s="17" t="s">
        <v>32</v>
      </c>
      <c r="C4726" t="s">
        <v>64</v>
      </c>
      <c r="D4726" t="s">
        <v>65</v>
      </c>
      <c r="G4726" s="17" t="s">
        <v>35</v>
      </c>
      <c r="H4726" s="17">
        <v>1</v>
      </c>
      <c r="K4726" t="s">
        <v>268</v>
      </c>
      <c r="L4726" t="s">
        <v>269</v>
      </c>
      <c r="M4726" t="s">
        <v>131</v>
      </c>
      <c r="N4726">
        <v>21</v>
      </c>
      <c r="O4726" t="s">
        <v>40</v>
      </c>
      <c r="P4726" t="s">
        <v>40</v>
      </c>
      <c r="Q4726" t="s">
        <v>40</v>
      </c>
      <c r="S4726" t="s">
        <v>40</v>
      </c>
      <c r="V4726" t="s">
        <v>41</v>
      </c>
      <c r="W4726" t="s">
        <v>75</v>
      </c>
      <c r="X4726" t="str">
        <f>"7052008"</f>
        <v>7052008</v>
      </c>
      <c r="Y4726" t="s">
        <v>274</v>
      </c>
      <c r="Z4726" t="s">
        <v>268</v>
      </c>
      <c r="AA4726" t="s">
        <v>269</v>
      </c>
      <c r="AB4726" t="s">
        <v>131</v>
      </c>
      <c r="AC4726" t="s">
        <v>51</v>
      </c>
      <c r="AD4726" t="s">
        <v>45</v>
      </c>
      <c r="AE4726" s="1">
        <v>23186</v>
      </c>
      <c r="AF4726">
        <v>1</v>
      </c>
      <c r="AG4726" t="s">
        <v>269</v>
      </c>
      <c r="AH4726" s="36">
        <f t="shared" si="73"/>
        <v>56.30833333333333</v>
      </c>
      <c r="AI4726" s="41" t="s">
        <v>1782</v>
      </c>
    </row>
    <row r="4727" spans="1:35" x14ac:dyDescent="0.25">
      <c r="A4727" s="36">
        <v>99914725</v>
      </c>
      <c r="B4727" s="17" t="s">
        <v>56</v>
      </c>
      <c r="C4727" t="s">
        <v>68</v>
      </c>
      <c r="D4727" t="s">
        <v>69</v>
      </c>
      <c r="G4727" s="17" t="s">
        <v>48</v>
      </c>
      <c r="H4727" s="17">
        <v>1</v>
      </c>
      <c r="K4727" t="s">
        <v>1187</v>
      </c>
      <c r="L4727" t="s">
        <v>1188</v>
      </c>
      <c r="M4727" t="s">
        <v>1130</v>
      </c>
      <c r="N4727">
        <v>20</v>
      </c>
      <c r="O4727" t="s">
        <v>40</v>
      </c>
      <c r="P4727" t="s">
        <v>40</v>
      </c>
      <c r="Q4727" t="s">
        <v>40</v>
      </c>
      <c r="S4727" t="s">
        <v>40</v>
      </c>
      <c r="V4727" t="s">
        <v>41</v>
      </c>
      <c r="W4727" t="s">
        <v>42</v>
      </c>
      <c r="X4727" t="str">
        <f>"4580015"</f>
        <v>4580015</v>
      </c>
      <c r="Y4727" t="s">
        <v>1189</v>
      </c>
      <c r="Z4727" t="s">
        <v>1187</v>
      </c>
      <c r="AA4727" t="s">
        <v>1188</v>
      </c>
      <c r="AB4727" t="s">
        <v>1130</v>
      </c>
      <c r="AC4727" t="s">
        <v>51</v>
      </c>
      <c r="AD4727" t="s">
        <v>45</v>
      </c>
      <c r="AE4727" s="1">
        <v>23183</v>
      </c>
      <c r="AF4727">
        <v>2</v>
      </c>
      <c r="AG4727" t="s">
        <v>1188</v>
      </c>
      <c r="AH4727" s="36">
        <f t="shared" si="73"/>
        <v>56.31666666666667</v>
      </c>
      <c r="AI4727" s="41" t="s">
        <v>1782</v>
      </c>
    </row>
    <row r="4728" spans="1:35" x14ac:dyDescent="0.25">
      <c r="A4728" s="36">
        <v>99914726</v>
      </c>
      <c r="B4728" s="17" t="s">
        <v>32</v>
      </c>
      <c r="C4728" t="s">
        <v>139</v>
      </c>
      <c r="D4728" t="s">
        <v>140</v>
      </c>
      <c r="G4728" s="17" t="s">
        <v>35</v>
      </c>
      <c r="H4728" s="17">
        <v>1</v>
      </c>
      <c r="K4728" t="s">
        <v>223</v>
      </c>
      <c r="L4728" t="s">
        <v>224</v>
      </c>
      <c r="M4728" t="s">
        <v>131</v>
      </c>
      <c r="N4728">
        <v>11</v>
      </c>
      <c r="O4728" t="s">
        <v>40</v>
      </c>
      <c r="P4728" t="s">
        <v>40</v>
      </c>
      <c r="Q4728" t="s">
        <v>40</v>
      </c>
      <c r="R4728" t="s">
        <v>40</v>
      </c>
      <c r="S4728" t="s">
        <v>40</v>
      </c>
      <c r="V4728" t="s">
        <v>41</v>
      </c>
      <c r="W4728" t="s">
        <v>49</v>
      </c>
      <c r="X4728" t="str">
        <f>"0591901"</f>
        <v>0591901</v>
      </c>
      <c r="Y4728" t="s">
        <v>230</v>
      </c>
      <c r="Z4728" t="s">
        <v>223</v>
      </c>
      <c r="AA4728" t="s">
        <v>224</v>
      </c>
      <c r="AB4728" t="s">
        <v>131</v>
      </c>
      <c r="AC4728" t="s">
        <v>51</v>
      </c>
      <c r="AD4728" t="s">
        <v>45</v>
      </c>
      <c r="AE4728" s="1">
        <v>23179</v>
      </c>
      <c r="AF4728">
        <v>2</v>
      </c>
      <c r="AG4728" t="s">
        <v>224</v>
      </c>
      <c r="AH4728" s="36">
        <f t="shared" si="73"/>
        <v>56.327777777777776</v>
      </c>
      <c r="AI4728" s="41" t="s">
        <v>1782</v>
      </c>
    </row>
    <row r="4729" spans="1:35" x14ac:dyDescent="0.25">
      <c r="A4729" s="36">
        <v>99914727</v>
      </c>
      <c r="B4729" s="17" t="s">
        <v>32</v>
      </c>
      <c r="C4729" t="s">
        <v>52</v>
      </c>
      <c r="D4729" t="s">
        <v>53</v>
      </c>
      <c r="G4729" s="17" t="s">
        <v>48</v>
      </c>
      <c r="H4729" s="17">
        <v>1</v>
      </c>
      <c r="K4729" t="s">
        <v>162</v>
      </c>
      <c r="L4729" t="s">
        <v>158</v>
      </c>
      <c r="M4729" t="s">
        <v>131</v>
      </c>
      <c r="N4729">
        <v>20</v>
      </c>
      <c r="O4729" t="s">
        <v>40</v>
      </c>
      <c r="P4729" t="s">
        <v>40</v>
      </c>
      <c r="Q4729" t="s">
        <v>40</v>
      </c>
      <c r="S4729" t="s">
        <v>40</v>
      </c>
      <c r="V4729" t="s">
        <v>41</v>
      </c>
      <c r="W4729" t="s">
        <v>42</v>
      </c>
      <c r="X4729" t="str">
        <f>"0580325"</f>
        <v>0580325</v>
      </c>
      <c r="Y4729" t="s">
        <v>170</v>
      </c>
      <c r="Z4729" t="s">
        <v>162</v>
      </c>
      <c r="AA4729" t="s">
        <v>158</v>
      </c>
      <c r="AB4729" t="s">
        <v>131</v>
      </c>
      <c r="AC4729" t="s">
        <v>51</v>
      </c>
      <c r="AD4729" t="s">
        <v>45</v>
      </c>
      <c r="AE4729" s="1">
        <v>23175</v>
      </c>
      <c r="AF4729">
        <v>2</v>
      </c>
      <c r="AG4729" t="s">
        <v>158</v>
      </c>
      <c r="AH4729" s="36">
        <f t="shared" si="73"/>
        <v>56.338888888888889</v>
      </c>
      <c r="AI4729" s="41" t="s">
        <v>1782</v>
      </c>
    </row>
    <row r="4730" spans="1:35" x14ac:dyDescent="0.25">
      <c r="A4730" s="36">
        <v>99914728</v>
      </c>
      <c r="B4730" s="17" t="s">
        <v>32</v>
      </c>
      <c r="C4730" t="s">
        <v>143</v>
      </c>
      <c r="D4730" t="s">
        <v>144</v>
      </c>
      <c r="G4730" s="17" t="s">
        <v>35</v>
      </c>
      <c r="H4730" s="17">
        <v>1</v>
      </c>
      <c r="I4730" s="1">
        <v>40787</v>
      </c>
      <c r="J4730" s="1">
        <v>43344</v>
      </c>
      <c r="K4730" t="s">
        <v>1341</v>
      </c>
      <c r="L4730" t="s">
        <v>1342</v>
      </c>
      <c r="M4730" t="s">
        <v>1270</v>
      </c>
      <c r="N4730">
        <v>24</v>
      </c>
      <c r="O4730" t="s">
        <v>40</v>
      </c>
      <c r="S4730" t="s">
        <v>40</v>
      </c>
      <c r="U4730" s="1">
        <v>43344</v>
      </c>
      <c r="V4730" t="s">
        <v>41</v>
      </c>
      <c r="W4730" t="s">
        <v>75</v>
      </c>
      <c r="X4730" t="str">
        <f>"7191004"</f>
        <v>7191004</v>
      </c>
      <c r="Y4730" t="s">
        <v>1344</v>
      </c>
      <c r="Z4730" t="s">
        <v>1341</v>
      </c>
      <c r="AA4730" t="s">
        <v>1342</v>
      </c>
      <c r="AB4730" t="s">
        <v>1270</v>
      </c>
      <c r="AC4730" t="s">
        <v>51</v>
      </c>
      <c r="AD4730" t="s">
        <v>45</v>
      </c>
      <c r="AE4730" s="1">
        <v>23175</v>
      </c>
      <c r="AF4730">
        <v>1</v>
      </c>
      <c r="AG4730" t="s">
        <v>1342</v>
      </c>
      <c r="AH4730" s="36">
        <f t="shared" si="73"/>
        <v>56.338888888888889</v>
      </c>
      <c r="AI4730" s="41" t="s">
        <v>1782</v>
      </c>
    </row>
    <row r="4731" spans="1:35" x14ac:dyDescent="0.25">
      <c r="A4731" s="36">
        <v>99914729</v>
      </c>
      <c r="B4731" s="17" t="s">
        <v>32</v>
      </c>
      <c r="C4731" t="s">
        <v>71</v>
      </c>
      <c r="D4731" t="s">
        <v>72</v>
      </c>
      <c r="G4731" s="17" t="s">
        <v>48</v>
      </c>
      <c r="H4731" s="17">
        <v>1</v>
      </c>
      <c r="K4731" t="s">
        <v>157</v>
      </c>
      <c r="L4731" t="s">
        <v>158</v>
      </c>
      <c r="M4731" t="s">
        <v>131</v>
      </c>
      <c r="N4731">
        <v>18</v>
      </c>
      <c r="O4731" t="s">
        <v>40</v>
      </c>
      <c r="P4731" t="s">
        <v>40</v>
      </c>
      <c r="Q4731" t="s">
        <v>40</v>
      </c>
      <c r="R4731" t="s">
        <v>40</v>
      </c>
      <c r="S4731" t="s">
        <v>40</v>
      </c>
      <c r="V4731" t="s">
        <v>41</v>
      </c>
      <c r="W4731" t="s">
        <v>49</v>
      </c>
      <c r="X4731" t="str">
        <f>"0560006"</f>
        <v>0560006</v>
      </c>
      <c r="Y4731" t="s">
        <v>191</v>
      </c>
      <c r="Z4731" t="s">
        <v>157</v>
      </c>
      <c r="AA4731" t="s">
        <v>158</v>
      </c>
      <c r="AB4731" t="s">
        <v>131</v>
      </c>
      <c r="AC4731" t="s">
        <v>51</v>
      </c>
      <c r="AD4731" t="s">
        <v>45</v>
      </c>
      <c r="AE4731" s="1">
        <v>23162</v>
      </c>
      <c r="AF4731">
        <v>2</v>
      </c>
      <c r="AG4731" t="s">
        <v>158</v>
      </c>
      <c r="AH4731" s="36">
        <f t="shared" si="73"/>
        <v>56.375</v>
      </c>
      <c r="AI4731" s="41" t="s">
        <v>1782</v>
      </c>
    </row>
    <row r="4732" spans="1:35" x14ac:dyDescent="0.25">
      <c r="A4732" s="36">
        <v>99914730</v>
      </c>
      <c r="B4732" s="17" t="s">
        <v>32</v>
      </c>
      <c r="C4732" t="s">
        <v>64</v>
      </c>
      <c r="D4732" t="s">
        <v>65</v>
      </c>
      <c r="G4732" s="17" t="s">
        <v>48</v>
      </c>
      <c r="H4732" s="17">
        <v>1</v>
      </c>
      <c r="K4732" t="s">
        <v>223</v>
      </c>
      <c r="L4732" t="s">
        <v>224</v>
      </c>
      <c r="M4732" t="s">
        <v>131</v>
      </c>
      <c r="N4732">
        <v>18</v>
      </c>
      <c r="O4732" t="s">
        <v>40</v>
      </c>
      <c r="P4732" t="s">
        <v>40</v>
      </c>
      <c r="Q4732" t="s">
        <v>40</v>
      </c>
      <c r="R4732" t="s">
        <v>40</v>
      </c>
      <c r="S4732" t="s">
        <v>40</v>
      </c>
      <c r="V4732" t="s">
        <v>41</v>
      </c>
      <c r="W4732" t="s">
        <v>42</v>
      </c>
      <c r="X4732" t="str">
        <f>"0580203"</f>
        <v>0580203</v>
      </c>
      <c r="Y4732" t="s">
        <v>239</v>
      </c>
      <c r="Z4732" t="s">
        <v>223</v>
      </c>
      <c r="AA4732" t="s">
        <v>224</v>
      </c>
      <c r="AB4732" t="s">
        <v>131</v>
      </c>
      <c r="AC4732" t="s">
        <v>165</v>
      </c>
      <c r="AD4732" t="s">
        <v>45</v>
      </c>
      <c r="AE4732" s="1">
        <v>23162</v>
      </c>
      <c r="AF4732">
        <v>2</v>
      </c>
      <c r="AG4732" t="s">
        <v>224</v>
      </c>
      <c r="AH4732" s="36">
        <f t="shared" si="73"/>
        <v>56.375</v>
      </c>
      <c r="AI4732" s="41" t="s">
        <v>1782</v>
      </c>
    </row>
    <row r="4733" spans="1:35" x14ac:dyDescent="0.25">
      <c r="A4733" s="36">
        <v>99914731</v>
      </c>
      <c r="B4733" s="17" t="s">
        <v>32</v>
      </c>
      <c r="C4733" t="s">
        <v>90</v>
      </c>
      <c r="D4733" t="s">
        <v>91</v>
      </c>
      <c r="G4733" s="17" t="s">
        <v>48</v>
      </c>
      <c r="H4733" s="17">
        <v>1</v>
      </c>
      <c r="K4733" t="s">
        <v>1695</v>
      </c>
      <c r="L4733" t="s">
        <v>1696</v>
      </c>
      <c r="M4733" t="s">
        <v>1592</v>
      </c>
      <c r="N4733">
        <v>25</v>
      </c>
      <c r="O4733" t="s">
        <v>40</v>
      </c>
      <c r="P4733" t="s">
        <v>40</v>
      </c>
      <c r="Q4733" t="s">
        <v>40</v>
      </c>
      <c r="R4733" t="s">
        <v>40</v>
      </c>
      <c r="S4733" t="s">
        <v>40</v>
      </c>
      <c r="V4733" t="s">
        <v>41</v>
      </c>
      <c r="W4733" t="s">
        <v>95</v>
      </c>
      <c r="X4733" t="str">
        <f>"7361003"</f>
        <v>7361003</v>
      </c>
      <c r="Y4733" t="s">
        <v>1700</v>
      </c>
      <c r="Z4733" t="s">
        <v>1695</v>
      </c>
      <c r="AA4733" t="s">
        <v>1696</v>
      </c>
      <c r="AB4733" t="s">
        <v>1592</v>
      </c>
      <c r="AC4733" t="s">
        <v>51</v>
      </c>
      <c r="AD4733" t="s">
        <v>45</v>
      </c>
      <c r="AE4733" s="1">
        <v>23152</v>
      </c>
      <c r="AF4733">
        <v>1</v>
      </c>
      <c r="AG4733" t="s">
        <v>1696</v>
      </c>
      <c r="AH4733" s="36">
        <f t="shared" si="73"/>
        <v>56.402777777777779</v>
      </c>
      <c r="AI4733" s="41" t="s">
        <v>1782</v>
      </c>
    </row>
    <row r="4734" spans="1:35" x14ac:dyDescent="0.25">
      <c r="A4734" s="36">
        <v>99914732</v>
      </c>
      <c r="B4734" s="17" t="s">
        <v>56</v>
      </c>
      <c r="C4734" t="s">
        <v>52</v>
      </c>
      <c r="D4734" t="s">
        <v>53</v>
      </c>
      <c r="G4734" s="17" t="s">
        <v>48</v>
      </c>
      <c r="H4734" s="17">
        <v>1</v>
      </c>
      <c r="K4734" t="s">
        <v>157</v>
      </c>
      <c r="L4734" t="s">
        <v>158</v>
      </c>
      <c r="M4734" t="s">
        <v>131</v>
      </c>
      <c r="N4734">
        <v>18</v>
      </c>
      <c r="O4734" t="s">
        <v>40</v>
      </c>
      <c r="P4734" t="s">
        <v>40</v>
      </c>
      <c r="Q4734" t="s">
        <v>40</v>
      </c>
      <c r="R4734" t="s">
        <v>40</v>
      </c>
      <c r="S4734" t="s">
        <v>40</v>
      </c>
      <c r="V4734" t="s">
        <v>41</v>
      </c>
      <c r="W4734" t="s">
        <v>49</v>
      </c>
      <c r="X4734" t="str">
        <f>"0560010"</f>
        <v>0560010</v>
      </c>
      <c r="Y4734" t="s">
        <v>179</v>
      </c>
      <c r="Z4734" t="s">
        <v>157</v>
      </c>
      <c r="AA4734" t="s">
        <v>158</v>
      </c>
      <c r="AB4734" t="s">
        <v>131</v>
      </c>
      <c r="AC4734" t="s">
        <v>51</v>
      </c>
      <c r="AD4734" t="s">
        <v>45</v>
      </c>
      <c r="AE4734" s="1">
        <v>23149</v>
      </c>
      <c r="AF4734">
        <v>2</v>
      </c>
      <c r="AG4734" t="s">
        <v>158</v>
      </c>
      <c r="AH4734" s="36">
        <f t="shared" si="73"/>
        <v>56.411111111111111</v>
      </c>
      <c r="AI4734" s="41" t="s">
        <v>1782</v>
      </c>
    </row>
    <row r="4735" spans="1:35" x14ac:dyDescent="0.25">
      <c r="A4735" s="36">
        <v>99914733</v>
      </c>
      <c r="B4735" s="17" t="s">
        <v>32</v>
      </c>
      <c r="C4735" t="s">
        <v>71</v>
      </c>
      <c r="D4735" t="s">
        <v>72</v>
      </c>
      <c r="G4735" s="17" t="s">
        <v>48</v>
      </c>
      <c r="H4735" s="17">
        <v>1</v>
      </c>
      <c r="K4735" t="s">
        <v>162</v>
      </c>
      <c r="L4735" t="s">
        <v>158</v>
      </c>
      <c r="M4735" t="s">
        <v>131</v>
      </c>
      <c r="N4735">
        <v>18</v>
      </c>
      <c r="O4735" t="s">
        <v>40</v>
      </c>
      <c r="P4735" t="s">
        <v>40</v>
      </c>
      <c r="Q4735" t="s">
        <v>40</v>
      </c>
      <c r="R4735" t="s">
        <v>40</v>
      </c>
      <c r="S4735" t="s">
        <v>40</v>
      </c>
      <c r="V4735" t="s">
        <v>41</v>
      </c>
      <c r="W4735" t="s">
        <v>49</v>
      </c>
      <c r="X4735" t="str">
        <f>"0581325"</f>
        <v>0581325</v>
      </c>
      <c r="Y4735" t="s">
        <v>169</v>
      </c>
      <c r="Z4735" t="s">
        <v>162</v>
      </c>
      <c r="AA4735" t="s">
        <v>158</v>
      </c>
      <c r="AB4735" t="s">
        <v>131</v>
      </c>
      <c r="AC4735" t="s">
        <v>51</v>
      </c>
      <c r="AD4735" t="s">
        <v>45</v>
      </c>
      <c r="AE4735" s="1">
        <v>23149</v>
      </c>
      <c r="AF4735">
        <v>2</v>
      </c>
      <c r="AG4735" t="s">
        <v>158</v>
      </c>
      <c r="AH4735" s="36">
        <f t="shared" si="73"/>
        <v>56.411111111111111</v>
      </c>
      <c r="AI4735" s="41" t="s">
        <v>1782</v>
      </c>
    </row>
    <row r="4736" spans="1:35" x14ac:dyDescent="0.25">
      <c r="A4736" s="36">
        <v>99914734</v>
      </c>
      <c r="B4736" s="17" t="s">
        <v>32</v>
      </c>
      <c r="C4736" t="s">
        <v>145</v>
      </c>
      <c r="D4736" t="s">
        <v>146</v>
      </c>
      <c r="E4736" t="s">
        <v>139</v>
      </c>
      <c r="F4736" t="s">
        <v>140</v>
      </c>
      <c r="G4736" s="17" t="s">
        <v>48</v>
      </c>
      <c r="H4736" s="17">
        <v>1</v>
      </c>
      <c r="K4736" t="s">
        <v>223</v>
      </c>
      <c r="L4736" t="s">
        <v>224</v>
      </c>
      <c r="M4736" t="s">
        <v>131</v>
      </c>
      <c r="N4736">
        <v>20</v>
      </c>
      <c r="O4736" t="s">
        <v>40</v>
      </c>
      <c r="P4736" t="s">
        <v>40</v>
      </c>
      <c r="Q4736" t="s">
        <v>40</v>
      </c>
      <c r="R4736" t="s">
        <v>40</v>
      </c>
      <c r="S4736" t="s">
        <v>40</v>
      </c>
      <c r="V4736" t="s">
        <v>41</v>
      </c>
      <c r="W4736" t="s">
        <v>42</v>
      </c>
      <c r="X4736" t="str">
        <f>"0580203"</f>
        <v>0580203</v>
      </c>
      <c r="Y4736" t="s">
        <v>239</v>
      </c>
      <c r="Z4736" t="s">
        <v>223</v>
      </c>
      <c r="AA4736" t="s">
        <v>224</v>
      </c>
      <c r="AB4736" t="s">
        <v>131</v>
      </c>
      <c r="AC4736" t="s">
        <v>51</v>
      </c>
      <c r="AD4736" t="s">
        <v>45</v>
      </c>
      <c r="AE4736" s="1">
        <v>23145</v>
      </c>
      <c r="AF4736">
        <v>2</v>
      </c>
      <c r="AG4736" t="s">
        <v>224</v>
      </c>
      <c r="AH4736" s="36">
        <f t="shared" si="73"/>
        <v>56.422222222222224</v>
      </c>
      <c r="AI4736" s="41" t="s">
        <v>1782</v>
      </c>
    </row>
    <row r="4737" spans="1:35" x14ac:dyDescent="0.25">
      <c r="A4737" s="36">
        <v>99914735</v>
      </c>
      <c r="B4737" s="17" t="s">
        <v>32</v>
      </c>
      <c r="C4737" t="s">
        <v>46</v>
      </c>
      <c r="D4737" t="s">
        <v>47</v>
      </c>
      <c r="G4737" s="17" t="s">
        <v>48</v>
      </c>
      <c r="H4737" s="17">
        <v>19</v>
      </c>
      <c r="K4737" t="s">
        <v>1268</v>
      </c>
      <c r="L4737" t="s">
        <v>1269</v>
      </c>
      <c r="M4737" t="s">
        <v>1270</v>
      </c>
      <c r="N4737">
        <v>18</v>
      </c>
      <c r="O4737" t="s">
        <v>40</v>
      </c>
      <c r="P4737" t="s">
        <v>40</v>
      </c>
      <c r="Q4737" t="s">
        <v>40</v>
      </c>
      <c r="R4737" t="s">
        <v>40</v>
      </c>
      <c r="S4737" t="s">
        <v>40</v>
      </c>
      <c r="U4737" s="1">
        <v>43344</v>
      </c>
      <c r="V4737" t="s">
        <v>41</v>
      </c>
      <c r="W4737" t="s">
        <v>42</v>
      </c>
      <c r="X4737" t="str">
        <f>"1980055"</f>
        <v>1980055</v>
      </c>
      <c r="Y4737" t="s">
        <v>1285</v>
      </c>
      <c r="Z4737" t="s">
        <v>1268</v>
      </c>
      <c r="AA4737" t="s">
        <v>1269</v>
      </c>
      <c r="AB4737" t="s">
        <v>1270</v>
      </c>
      <c r="AC4737" t="s">
        <v>165</v>
      </c>
      <c r="AD4737" t="s">
        <v>45</v>
      </c>
      <c r="AE4737" s="1">
        <v>23142</v>
      </c>
      <c r="AF4737">
        <v>2</v>
      </c>
      <c r="AG4737" t="s">
        <v>1269</v>
      </c>
      <c r="AH4737" s="36">
        <f t="shared" si="73"/>
        <v>56.430555555555557</v>
      </c>
      <c r="AI4737" s="41" t="s">
        <v>1782</v>
      </c>
    </row>
    <row r="4738" spans="1:35" x14ac:dyDescent="0.25">
      <c r="A4738" s="36">
        <v>99914736</v>
      </c>
      <c r="B4738" s="17" t="s">
        <v>32</v>
      </c>
      <c r="C4738" t="s">
        <v>46</v>
      </c>
      <c r="D4738" t="s">
        <v>47</v>
      </c>
      <c r="G4738" s="17" t="s">
        <v>48</v>
      </c>
      <c r="H4738" s="17">
        <v>1</v>
      </c>
      <c r="K4738" t="s">
        <v>157</v>
      </c>
      <c r="L4738" t="s">
        <v>158</v>
      </c>
      <c r="M4738" t="s">
        <v>131</v>
      </c>
      <c r="N4738">
        <v>21</v>
      </c>
      <c r="O4738" t="s">
        <v>40</v>
      </c>
      <c r="P4738" t="s">
        <v>40</v>
      </c>
      <c r="Q4738" t="s">
        <v>40</v>
      </c>
      <c r="S4738" t="s">
        <v>40</v>
      </c>
      <c r="V4738" t="s">
        <v>41</v>
      </c>
      <c r="W4738" t="s">
        <v>42</v>
      </c>
      <c r="X4738" t="str">
        <f>"0580290"</f>
        <v>0580290</v>
      </c>
      <c r="Y4738" t="s">
        <v>171</v>
      </c>
      <c r="Z4738" t="s">
        <v>157</v>
      </c>
      <c r="AA4738" t="s">
        <v>158</v>
      </c>
      <c r="AB4738" t="s">
        <v>131</v>
      </c>
      <c r="AC4738" t="s">
        <v>51</v>
      </c>
      <c r="AD4738" t="s">
        <v>45</v>
      </c>
      <c r="AE4738" s="1">
        <v>23136</v>
      </c>
      <c r="AF4738">
        <v>2</v>
      </c>
      <c r="AG4738" t="s">
        <v>158</v>
      </c>
      <c r="AH4738" s="36">
        <f t="shared" ref="AH4738:AH4801" si="74">($AJ$1-AE4738)/360</f>
        <v>56.447222222222223</v>
      </c>
      <c r="AI4738" s="41" t="s">
        <v>1782</v>
      </c>
    </row>
    <row r="4739" spans="1:35" x14ac:dyDescent="0.25">
      <c r="A4739" s="36">
        <v>99914737</v>
      </c>
      <c r="B4739" s="17" t="s">
        <v>32</v>
      </c>
      <c r="C4739" t="s">
        <v>64</v>
      </c>
      <c r="D4739" t="s">
        <v>65</v>
      </c>
      <c r="G4739" s="17" t="s">
        <v>48</v>
      </c>
      <c r="H4739" s="17">
        <v>15</v>
      </c>
      <c r="K4739" t="s">
        <v>1268</v>
      </c>
      <c r="L4739" t="s">
        <v>1269</v>
      </c>
      <c r="M4739" t="s">
        <v>1270</v>
      </c>
      <c r="N4739">
        <v>18</v>
      </c>
      <c r="O4739" t="s">
        <v>40</v>
      </c>
      <c r="P4739" t="s">
        <v>40</v>
      </c>
      <c r="Q4739" t="s">
        <v>40</v>
      </c>
      <c r="R4739" t="s">
        <v>40</v>
      </c>
      <c r="S4739" t="s">
        <v>40</v>
      </c>
      <c r="U4739" s="1">
        <v>43344</v>
      </c>
      <c r="V4739" t="s">
        <v>41</v>
      </c>
      <c r="W4739" t="s">
        <v>49</v>
      </c>
      <c r="X4739" t="str">
        <f>"1981055"</f>
        <v>1981055</v>
      </c>
      <c r="Y4739" t="s">
        <v>1280</v>
      </c>
      <c r="Z4739" t="s">
        <v>1268</v>
      </c>
      <c r="AA4739" t="s">
        <v>1269</v>
      </c>
      <c r="AB4739" t="s">
        <v>1270</v>
      </c>
      <c r="AC4739" t="s">
        <v>51</v>
      </c>
      <c r="AD4739" t="s">
        <v>45</v>
      </c>
      <c r="AE4739" s="1">
        <v>23121</v>
      </c>
      <c r="AF4739">
        <v>2</v>
      </c>
      <c r="AG4739" t="s">
        <v>1269</v>
      </c>
      <c r="AH4739" s="36">
        <f t="shared" si="74"/>
        <v>56.488888888888887</v>
      </c>
      <c r="AI4739" s="41" t="s">
        <v>1782</v>
      </c>
    </row>
    <row r="4740" spans="1:35" x14ac:dyDescent="0.25">
      <c r="A4740" s="36">
        <v>99914738</v>
      </c>
      <c r="B4740" s="17" t="s">
        <v>56</v>
      </c>
      <c r="C4740" t="s">
        <v>52</v>
      </c>
      <c r="D4740" t="s">
        <v>53</v>
      </c>
      <c r="G4740" s="17" t="s">
        <v>48</v>
      </c>
      <c r="H4740" s="17">
        <v>1</v>
      </c>
      <c r="K4740" t="s">
        <v>345</v>
      </c>
      <c r="L4740" t="s">
        <v>346</v>
      </c>
      <c r="M4740" t="s">
        <v>131</v>
      </c>
      <c r="N4740">
        <v>18</v>
      </c>
      <c r="O4740" t="s">
        <v>40</v>
      </c>
      <c r="P4740" t="s">
        <v>40</v>
      </c>
      <c r="Q4740" t="s">
        <v>40</v>
      </c>
      <c r="R4740" t="s">
        <v>40</v>
      </c>
      <c r="S4740" t="s">
        <v>40</v>
      </c>
      <c r="V4740" t="s">
        <v>41</v>
      </c>
      <c r="W4740" t="s">
        <v>42</v>
      </c>
      <c r="X4740" t="str">
        <f>"0590906"</f>
        <v>0590906</v>
      </c>
      <c r="Y4740" t="s">
        <v>361</v>
      </c>
      <c r="Z4740" t="s">
        <v>345</v>
      </c>
      <c r="AA4740" t="s">
        <v>346</v>
      </c>
      <c r="AB4740" t="s">
        <v>131</v>
      </c>
      <c r="AC4740" t="s">
        <v>51</v>
      </c>
      <c r="AD4740" t="s">
        <v>45</v>
      </c>
      <c r="AE4740" s="1">
        <v>23119</v>
      </c>
      <c r="AF4740">
        <v>2</v>
      </c>
      <c r="AG4740" t="s">
        <v>346</v>
      </c>
      <c r="AH4740" s="36">
        <f t="shared" si="74"/>
        <v>56.494444444444447</v>
      </c>
      <c r="AI4740" s="41" t="s">
        <v>1782</v>
      </c>
    </row>
    <row r="4741" spans="1:35" x14ac:dyDescent="0.25">
      <c r="A4741" s="36">
        <v>99914739</v>
      </c>
      <c r="B4741" s="17" t="s">
        <v>56</v>
      </c>
      <c r="C4741" t="s">
        <v>68</v>
      </c>
      <c r="D4741" t="s">
        <v>69</v>
      </c>
      <c r="G4741" s="17" t="s">
        <v>35</v>
      </c>
      <c r="H4741" s="17">
        <v>1</v>
      </c>
      <c r="K4741" t="s">
        <v>1268</v>
      </c>
      <c r="L4741" t="s">
        <v>1269</v>
      </c>
      <c r="M4741" t="s">
        <v>1270</v>
      </c>
      <c r="N4741">
        <v>20</v>
      </c>
      <c r="O4741" t="s">
        <v>40</v>
      </c>
      <c r="P4741" t="s">
        <v>40</v>
      </c>
      <c r="Q4741" t="s">
        <v>40</v>
      </c>
      <c r="S4741" t="s">
        <v>40</v>
      </c>
      <c r="V4741" t="s">
        <v>41</v>
      </c>
      <c r="W4741" t="s">
        <v>49</v>
      </c>
      <c r="X4741" t="str">
        <f>"1981914"</f>
        <v>1981914</v>
      </c>
      <c r="Y4741" t="s">
        <v>1287</v>
      </c>
      <c r="Z4741" t="s">
        <v>1268</v>
      </c>
      <c r="AA4741" t="s">
        <v>1269</v>
      </c>
      <c r="AB4741" t="s">
        <v>1270</v>
      </c>
      <c r="AC4741" t="s">
        <v>51</v>
      </c>
      <c r="AD4741" t="s">
        <v>45</v>
      </c>
      <c r="AE4741" s="1">
        <v>23119</v>
      </c>
      <c r="AF4741">
        <v>2</v>
      </c>
      <c r="AG4741" t="s">
        <v>1269</v>
      </c>
      <c r="AH4741" s="36">
        <f t="shared" si="74"/>
        <v>56.494444444444447</v>
      </c>
      <c r="AI4741" s="41" t="s">
        <v>1782</v>
      </c>
    </row>
    <row r="4742" spans="1:35" x14ac:dyDescent="0.25">
      <c r="A4742" s="36">
        <v>99914740</v>
      </c>
      <c r="B4742" s="17" t="s">
        <v>56</v>
      </c>
      <c r="C4742" t="s">
        <v>61</v>
      </c>
      <c r="D4742" t="s">
        <v>62</v>
      </c>
      <c r="G4742" s="17" t="s">
        <v>48</v>
      </c>
      <c r="H4742" s="17">
        <v>11</v>
      </c>
      <c r="K4742" t="s">
        <v>1268</v>
      </c>
      <c r="L4742" t="s">
        <v>1269</v>
      </c>
      <c r="M4742" t="s">
        <v>1270</v>
      </c>
      <c r="N4742">
        <v>20</v>
      </c>
      <c r="O4742" t="s">
        <v>40</v>
      </c>
      <c r="P4742" t="s">
        <v>40</v>
      </c>
      <c r="Q4742" t="s">
        <v>40</v>
      </c>
      <c r="R4742" t="s">
        <v>40</v>
      </c>
      <c r="S4742" t="s">
        <v>40</v>
      </c>
      <c r="V4742" t="s">
        <v>41</v>
      </c>
      <c r="W4742" t="s">
        <v>49</v>
      </c>
      <c r="X4742" t="str">
        <f>"1981912"</f>
        <v>1981912</v>
      </c>
      <c r="Y4742" t="s">
        <v>1279</v>
      </c>
      <c r="Z4742" t="s">
        <v>1268</v>
      </c>
      <c r="AA4742" t="s">
        <v>1269</v>
      </c>
      <c r="AB4742" t="s">
        <v>1270</v>
      </c>
      <c r="AC4742" t="s">
        <v>51</v>
      </c>
      <c r="AD4742" t="s">
        <v>45</v>
      </c>
      <c r="AE4742" s="1">
        <v>23112</v>
      </c>
      <c r="AF4742">
        <v>2</v>
      </c>
      <c r="AG4742" t="s">
        <v>1269</v>
      </c>
      <c r="AH4742" s="36">
        <f t="shared" si="74"/>
        <v>56.513888888888886</v>
      </c>
      <c r="AI4742" s="41" t="s">
        <v>1782</v>
      </c>
    </row>
    <row r="4743" spans="1:35" x14ac:dyDescent="0.25">
      <c r="A4743" s="36">
        <v>99914741</v>
      </c>
      <c r="B4743" s="17" t="s">
        <v>32</v>
      </c>
      <c r="C4743" t="s">
        <v>52</v>
      </c>
      <c r="D4743" t="s">
        <v>53</v>
      </c>
      <c r="G4743" s="17" t="s">
        <v>48</v>
      </c>
      <c r="H4743" s="17">
        <v>1</v>
      </c>
      <c r="K4743" t="s">
        <v>1268</v>
      </c>
      <c r="L4743" t="s">
        <v>1269</v>
      </c>
      <c r="M4743" t="s">
        <v>1270</v>
      </c>
      <c r="N4743">
        <v>30</v>
      </c>
      <c r="O4743" t="s">
        <v>40</v>
      </c>
      <c r="P4743" t="s">
        <v>40</v>
      </c>
      <c r="Q4743" t="s">
        <v>40</v>
      </c>
      <c r="S4743" t="s">
        <v>40</v>
      </c>
      <c r="V4743" t="s">
        <v>41</v>
      </c>
      <c r="W4743" t="s">
        <v>42</v>
      </c>
      <c r="X4743" t="str">
        <f>"1980050"</f>
        <v>1980050</v>
      </c>
      <c r="Y4743" t="s">
        <v>1278</v>
      </c>
      <c r="Z4743" t="s">
        <v>1268</v>
      </c>
      <c r="AA4743" t="s">
        <v>1269</v>
      </c>
      <c r="AB4743" t="s">
        <v>1270</v>
      </c>
      <c r="AC4743" t="s">
        <v>51</v>
      </c>
      <c r="AD4743" t="s">
        <v>45</v>
      </c>
      <c r="AE4743" s="1">
        <v>23104</v>
      </c>
      <c r="AF4743">
        <v>2</v>
      </c>
      <c r="AG4743" t="s">
        <v>1269</v>
      </c>
      <c r="AH4743" s="36">
        <f t="shared" si="74"/>
        <v>56.536111111111111</v>
      </c>
      <c r="AI4743" s="41" t="s">
        <v>1782</v>
      </c>
    </row>
    <row r="4744" spans="1:35" x14ac:dyDescent="0.25">
      <c r="A4744" s="36">
        <v>99914742</v>
      </c>
      <c r="B4744" s="17" t="s">
        <v>32</v>
      </c>
      <c r="C4744" t="s">
        <v>139</v>
      </c>
      <c r="D4744" t="s">
        <v>140</v>
      </c>
      <c r="G4744" s="17" t="s">
        <v>35</v>
      </c>
      <c r="H4744" s="17">
        <v>1</v>
      </c>
      <c r="I4744">
        <v>0</v>
      </c>
      <c r="J4744" s="1">
        <v>43344</v>
      </c>
      <c r="K4744" t="s">
        <v>223</v>
      </c>
      <c r="L4744" t="s">
        <v>224</v>
      </c>
      <c r="M4744" t="s">
        <v>131</v>
      </c>
      <c r="N4744">
        <v>21</v>
      </c>
      <c r="O4744" t="s">
        <v>40</v>
      </c>
      <c r="P4744" t="s">
        <v>40</v>
      </c>
      <c r="Q4744" t="s">
        <v>40</v>
      </c>
      <c r="R4744" t="s">
        <v>40</v>
      </c>
      <c r="S4744" t="s">
        <v>40</v>
      </c>
      <c r="U4744" s="1">
        <v>43344</v>
      </c>
      <c r="V4744" t="s">
        <v>41</v>
      </c>
      <c r="W4744" t="s">
        <v>49</v>
      </c>
      <c r="X4744" t="str">
        <f>"0581202"</f>
        <v>0581202</v>
      </c>
      <c r="Y4744" t="s">
        <v>248</v>
      </c>
      <c r="Z4744" t="s">
        <v>223</v>
      </c>
      <c r="AA4744" t="s">
        <v>224</v>
      </c>
      <c r="AB4744" t="s">
        <v>131</v>
      </c>
      <c r="AC4744" t="s">
        <v>44</v>
      </c>
      <c r="AD4744" t="s">
        <v>45</v>
      </c>
      <c r="AE4744" s="1">
        <v>23103</v>
      </c>
      <c r="AF4744">
        <v>2</v>
      </c>
      <c r="AG4744" t="s">
        <v>224</v>
      </c>
      <c r="AH4744" s="36">
        <f t="shared" si="74"/>
        <v>56.538888888888891</v>
      </c>
      <c r="AI4744" s="41" t="s">
        <v>1782</v>
      </c>
    </row>
    <row r="4745" spans="1:35" x14ac:dyDescent="0.25">
      <c r="A4745" s="36">
        <v>99914743</v>
      </c>
      <c r="B4745" s="17" t="s">
        <v>32</v>
      </c>
      <c r="C4745" t="s">
        <v>46</v>
      </c>
      <c r="D4745" t="s">
        <v>47</v>
      </c>
      <c r="G4745" s="17" t="s">
        <v>48</v>
      </c>
      <c r="H4745" s="17">
        <v>1</v>
      </c>
      <c r="K4745" t="s">
        <v>1268</v>
      </c>
      <c r="L4745" t="s">
        <v>1269</v>
      </c>
      <c r="M4745" t="s">
        <v>1270</v>
      </c>
      <c r="N4745">
        <v>14</v>
      </c>
      <c r="O4745" t="s">
        <v>40</v>
      </c>
      <c r="P4745" t="s">
        <v>40</v>
      </c>
      <c r="Q4745" t="s">
        <v>40</v>
      </c>
      <c r="S4745" t="s">
        <v>40</v>
      </c>
      <c r="V4745" t="s">
        <v>41</v>
      </c>
      <c r="W4745" t="s">
        <v>42</v>
      </c>
      <c r="X4745" t="str">
        <f>"1990911"</f>
        <v>1990911</v>
      </c>
      <c r="Y4745" t="s">
        <v>1276</v>
      </c>
      <c r="Z4745" t="s">
        <v>1268</v>
      </c>
      <c r="AA4745" t="s">
        <v>1269</v>
      </c>
      <c r="AB4745" t="s">
        <v>1270</v>
      </c>
      <c r="AC4745" t="s">
        <v>51</v>
      </c>
      <c r="AD4745" t="s">
        <v>45</v>
      </c>
      <c r="AE4745" s="1">
        <v>23099</v>
      </c>
      <c r="AF4745">
        <v>2</v>
      </c>
      <c r="AG4745" t="s">
        <v>1269</v>
      </c>
      <c r="AH4745" s="36">
        <f t="shared" si="74"/>
        <v>56.55</v>
      </c>
      <c r="AI4745" s="41" t="s">
        <v>1782</v>
      </c>
    </row>
    <row r="4746" spans="1:35" x14ac:dyDescent="0.25">
      <c r="A4746" s="36">
        <v>99914744</v>
      </c>
      <c r="B4746" s="17" t="s">
        <v>56</v>
      </c>
      <c r="C4746" t="s">
        <v>52</v>
      </c>
      <c r="D4746" t="s">
        <v>53</v>
      </c>
      <c r="G4746" s="17" t="s">
        <v>35</v>
      </c>
      <c r="H4746" s="17">
        <v>1</v>
      </c>
      <c r="K4746" t="s">
        <v>223</v>
      </c>
      <c r="L4746" t="s">
        <v>224</v>
      </c>
      <c r="M4746" t="s">
        <v>131</v>
      </c>
      <c r="N4746">
        <v>20</v>
      </c>
      <c r="O4746" t="s">
        <v>40</v>
      </c>
      <c r="P4746" t="s">
        <v>40</v>
      </c>
      <c r="Q4746" t="s">
        <v>40</v>
      </c>
      <c r="S4746" t="s">
        <v>40</v>
      </c>
      <c r="V4746" t="s">
        <v>41</v>
      </c>
      <c r="W4746" t="s">
        <v>42</v>
      </c>
      <c r="X4746" t="str">
        <f>"0580207"</f>
        <v>0580207</v>
      </c>
      <c r="Y4746" t="s">
        <v>229</v>
      </c>
      <c r="Z4746" t="s">
        <v>223</v>
      </c>
      <c r="AA4746" t="s">
        <v>224</v>
      </c>
      <c r="AB4746" t="s">
        <v>131</v>
      </c>
      <c r="AC4746" t="s">
        <v>51</v>
      </c>
      <c r="AD4746" t="s">
        <v>45</v>
      </c>
      <c r="AE4746" s="1">
        <v>23096</v>
      </c>
      <c r="AF4746">
        <v>2</v>
      </c>
      <c r="AG4746" t="s">
        <v>224</v>
      </c>
      <c r="AH4746" s="36">
        <f t="shared" si="74"/>
        <v>56.55833333333333</v>
      </c>
      <c r="AI4746" s="41" t="s">
        <v>1782</v>
      </c>
    </row>
    <row r="4747" spans="1:35" x14ac:dyDescent="0.25">
      <c r="A4747" s="36">
        <v>99914745</v>
      </c>
      <c r="B4747" s="17" t="s">
        <v>32</v>
      </c>
      <c r="C4747" t="s">
        <v>90</v>
      </c>
      <c r="D4747" t="s">
        <v>91</v>
      </c>
      <c r="G4747" s="17" t="s">
        <v>35</v>
      </c>
      <c r="H4747" s="17">
        <v>1</v>
      </c>
      <c r="I4747" s="1">
        <v>31677</v>
      </c>
      <c r="J4747" s="1">
        <v>43344</v>
      </c>
      <c r="K4747" t="s">
        <v>1341</v>
      </c>
      <c r="L4747" t="s">
        <v>1342</v>
      </c>
      <c r="M4747" t="s">
        <v>1270</v>
      </c>
      <c r="N4747">
        <v>24</v>
      </c>
      <c r="O4747" t="s">
        <v>40</v>
      </c>
      <c r="S4747" t="s">
        <v>40</v>
      </c>
      <c r="U4747" s="1">
        <v>43344</v>
      </c>
      <c r="V4747" t="s">
        <v>41</v>
      </c>
      <c r="W4747" t="s">
        <v>95</v>
      </c>
      <c r="X4747" t="str">
        <f>"7191121"</f>
        <v>7191121</v>
      </c>
      <c r="Y4747" t="s">
        <v>1369</v>
      </c>
      <c r="Z4747" t="s">
        <v>1341</v>
      </c>
      <c r="AA4747" t="s">
        <v>1342</v>
      </c>
      <c r="AB4747" t="s">
        <v>1270</v>
      </c>
      <c r="AC4747" t="s">
        <v>51</v>
      </c>
      <c r="AD4747" t="s">
        <v>45</v>
      </c>
      <c r="AE4747" s="1">
        <v>23094</v>
      </c>
      <c r="AF4747">
        <v>1</v>
      </c>
      <c r="AG4747" t="s">
        <v>1342</v>
      </c>
      <c r="AH4747" s="36">
        <f t="shared" si="74"/>
        <v>56.56388888888889</v>
      </c>
      <c r="AI4747" s="41" t="s">
        <v>1782</v>
      </c>
    </row>
    <row r="4748" spans="1:35" x14ac:dyDescent="0.25">
      <c r="A4748" s="36">
        <v>99914746</v>
      </c>
      <c r="B4748" s="17" t="s">
        <v>32</v>
      </c>
      <c r="C4748" t="s">
        <v>64</v>
      </c>
      <c r="D4748" t="s">
        <v>65</v>
      </c>
      <c r="G4748" s="17" t="s">
        <v>48</v>
      </c>
      <c r="H4748" s="17">
        <v>1</v>
      </c>
      <c r="K4748" t="s">
        <v>1268</v>
      </c>
      <c r="L4748" t="s">
        <v>1269</v>
      </c>
      <c r="M4748" t="s">
        <v>1270</v>
      </c>
      <c r="N4748">
        <v>21</v>
      </c>
      <c r="O4748" t="s">
        <v>40</v>
      </c>
      <c r="P4748" t="s">
        <v>40</v>
      </c>
      <c r="Q4748" t="s">
        <v>40</v>
      </c>
      <c r="R4748" t="s">
        <v>40</v>
      </c>
      <c r="S4748" t="s">
        <v>40</v>
      </c>
      <c r="V4748" t="s">
        <v>41</v>
      </c>
      <c r="W4748" t="s">
        <v>49</v>
      </c>
      <c r="X4748" t="str">
        <f>"1981912"</f>
        <v>1981912</v>
      </c>
      <c r="Y4748" t="s">
        <v>1279</v>
      </c>
      <c r="Z4748" t="s">
        <v>1268</v>
      </c>
      <c r="AA4748" t="s">
        <v>1269</v>
      </c>
      <c r="AB4748" t="s">
        <v>1270</v>
      </c>
      <c r="AC4748" t="s">
        <v>51</v>
      </c>
      <c r="AD4748" t="s">
        <v>45</v>
      </c>
      <c r="AE4748" s="1">
        <v>23083</v>
      </c>
      <c r="AF4748">
        <v>2</v>
      </c>
      <c r="AG4748" t="s">
        <v>1269</v>
      </c>
      <c r="AH4748" s="36">
        <f t="shared" si="74"/>
        <v>56.594444444444441</v>
      </c>
      <c r="AI4748" s="41" t="s">
        <v>1782</v>
      </c>
    </row>
    <row r="4749" spans="1:35" x14ac:dyDescent="0.25">
      <c r="A4749" s="36">
        <v>99914747</v>
      </c>
      <c r="B4749" s="17" t="s">
        <v>56</v>
      </c>
      <c r="C4749" t="s">
        <v>85</v>
      </c>
      <c r="D4749" t="s">
        <v>86</v>
      </c>
      <c r="G4749" s="17" t="s">
        <v>35</v>
      </c>
      <c r="H4749" s="17">
        <v>1</v>
      </c>
      <c r="K4749" t="s">
        <v>223</v>
      </c>
      <c r="L4749" t="s">
        <v>224</v>
      </c>
      <c r="M4749" t="s">
        <v>131</v>
      </c>
      <c r="N4749">
        <v>18</v>
      </c>
      <c r="O4749" t="s">
        <v>40</v>
      </c>
      <c r="P4749" t="s">
        <v>40</v>
      </c>
      <c r="Q4749" t="s">
        <v>40</v>
      </c>
      <c r="S4749" t="s">
        <v>40</v>
      </c>
      <c r="V4749" t="s">
        <v>41</v>
      </c>
      <c r="W4749" t="s">
        <v>42</v>
      </c>
      <c r="X4749" t="str">
        <f>"0590903"</f>
        <v>0590903</v>
      </c>
      <c r="Y4749" t="s">
        <v>226</v>
      </c>
      <c r="Z4749" t="s">
        <v>223</v>
      </c>
      <c r="AA4749" t="s">
        <v>224</v>
      </c>
      <c r="AB4749" t="s">
        <v>131</v>
      </c>
      <c r="AC4749" t="s">
        <v>51</v>
      </c>
      <c r="AD4749" t="s">
        <v>45</v>
      </c>
      <c r="AE4749" s="1">
        <v>23081</v>
      </c>
      <c r="AF4749">
        <v>2</v>
      </c>
      <c r="AG4749" t="s">
        <v>224</v>
      </c>
      <c r="AH4749" s="36">
        <f t="shared" si="74"/>
        <v>56.6</v>
      </c>
      <c r="AI4749" s="41" t="s">
        <v>1782</v>
      </c>
    </row>
    <row r="4750" spans="1:35" x14ac:dyDescent="0.25">
      <c r="A4750" s="36">
        <v>99914748</v>
      </c>
      <c r="B4750" s="17" t="s">
        <v>56</v>
      </c>
      <c r="C4750" t="s">
        <v>52</v>
      </c>
      <c r="D4750" t="s">
        <v>53</v>
      </c>
      <c r="G4750" s="17" t="s">
        <v>35</v>
      </c>
      <c r="H4750" s="17">
        <v>1</v>
      </c>
      <c r="J4750" s="1">
        <v>38230</v>
      </c>
      <c r="K4750" t="s">
        <v>1336</v>
      </c>
      <c r="L4750" t="s">
        <v>1337</v>
      </c>
      <c r="M4750" t="s">
        <v>1270</v>
      </c>
      <c r="N4750">
        <v>16</v>
      </c>
      <c r="O4750" t="s">
        <v>40</v>
      </c>
      <c r="P4750" t="s">
        <v>40</v>
      </c>
      <c r="Q4750" t="s">
        <v>40</v>
      </c>
      <c r="R4750" t="s">
        <v>40</v>
      </c>
      <c r="S4750" t="s">
        <v>40</v>
      </c>
      <c r="U4750" s="1">
        <v>38230</v>
      </c>
      <c r="V4750" t="s">
        <v>41</v>
      </c>
      <c r="W4750" t="s">
        <v>49</v>
      </c>
      <c r="X4750" t="str">
        <f>"4475075"</f>
        <v>4475075</v>
      </c>
      <c r="Y4750" t="s">
        <v>1339</v>
      </c>
      <c r="Z4750" t="s">
        <v>1336</v>
      </c>
      <c r="AA4750" t="s">
        <v>1337</v>
      </c>
      <c r="AB4750" t="s">
        <v>1270</v>
      </c>
      <c r="AC4750" t="s">
        <v>51</v>
      </c>
      <c r="AD4750" t="s">
        <v>45</v>
      </c>
      <c r="AE4750" s="1">
        <v>23077</v>
      </c>
      <c r="AF4750">
        <v>2</v>
      </c>
      <c r="AG4750" t="s">
        <v>1337</v>
      </c>
      <c r="AH4750" s="36">
        <f t="shared" si="74"/>
        <v>56.611111111111114</v>
      </c>
      <c r="AI4750" s="41" t="s">
        <v>1782</v>
      </c>
    </row>
    <row r="4751" spans="1:35" x14ac:dyDescent="0.25">
      <c r="A4751" s="36">
        <v>99914749</v>
      </c>
      <c r="B4751" s="17" t="s">
        <v>56</v>
      </c>
      <c r="C4751" t="s">
        <v>52</v>
      </c>
      <c r="D4751" t="s">
        <v>53</v>
      </c>
      <c r="G4751" s="17" t="s">
        <v>48</v>
      </c>
      <c r="H4751" s="17">
        <v>1</v>
      </c>
      <c r="K4751" t="s">
        <v>223</v>
      </c>
      <c r="L4751" t="s">
        <v>224</v>
      </c>
      <c r="M4751" t="s">
        <v>131</v>
      </c>
      <c r="N4751">
        <v>20</v>
      </c>
      <c r="O4751" t="s">
        <v>40</v>
      </c>
      <c r="P4751" t="s">
        <v>40</v>
      </c>
      <c r="Q4751" t="s">
        <v>40</v>
      </c>
      <c r="S4751" t="s">
        <v>40</v>
      </c>
      <c r="V4751" t="s">
        <v>41</v>
      </c>
      <c r="W4751" t="s">
        <v>42</v>
      </c>
      <c r="X4751" t="str">
        <f>"0580204"</f>
        <v>0580204</v>
      </c>
      <c r="Y4751" t="s">
        <v>235</v>
      </c>
      <c r="Z4751" t="s">
        <v>223</v>
      </c>
      <c r="AA4751" t="s">
        <v>224</v>
      </c>
      <c r="AB4751" t="s">
        <v>131</v>
      </c>
      <c r="AC4751" t="s">
        <v>165</v>
      </c>
      <c r="AD4751" t="s">
        <v>45</v>
      </c>
      <c r="AE4751" s="1">
        <v>23076</v>
      </c>
      <c r="AF4751">
        <v>2</v>
      </c>
      <c r="AG4751" t="s">
        <v>224</v>
      </c>
      <c r="AH4751" s="36">
        <f t="shared" si="74"/>
        <v>56.613888888888887</v>
      </c>
      <c r="AI4751" s="41" t="s">
        <v>1782</v>
      </c>
    </row>
    <row r="4752" spans="1:35" x14ac:dyDescent="0.25">
      <c r="A4752" s="36">
        <v>99914750</v>
      </c>
      <c r="B4752" s="17" t="s">
        <v>32</v>
      </c>
      <c r="C4752" t="s">
        <v>139</v>
      </c>
      <c r="D4752" t="s">
        <v>140</v>
      </c>
      <c r="G4752" s="17" t="s">
        <v>35</v>
      </c>
      <c r="H4752" s="17">
        <v>14</v>
      </c>
      <c r="K4752" t="s">
        <v>268</v>
      </c>
      <c r="L4752" t="s">
        <v>269</v>
      </c>
      <c r="M4752" t="s">
        <v>131</v>
      </c>
      <c r="N4752">
        <v>21</v>
      </c>
      <c r="O4752" t="s">
        <v>40</v>
      </c>
      <c r="P4752" t="s">
        <v>40</v>
      </c>
      <c r="Q4752" t="s">
        <v>40</v>
      </c>
      <c r="R4752" t="s">
        <v>40</v>
      </c>
      <c r="S4752" t="s">
        <v>40</v>
      </c>
      <c r="V4752" t="s">
        <v>41</v>
      </c>
      <c r="W4752" t="s">
        <v>75</v>
      </c>
      <c r="X4752" t="str">
        <f>"7052004"</f>
        <v>7052004</v>
      </c>
      <c r="Y4752" t="s">
        <v>584</v>
      </c>
      <c r="Z4752" t="s">
        <v>268</v>
      </c>
      <c r="AA4752" t="s">
        <v>269</v>
      </c>
      <c r="AB4752" t="s">
        <v>131</v>
      </c>
      <c r="AC4752" t="s">
        <v>51</v>
      </c>
      <c r="AD4752" t="s">
        <v>45</v>
      </c>
      <c r="AE4752" s="1">
        <v>23075</v>
      </c>
      <c r="AF4752">
        <v>1</v>
      </c>
      <c r="AG4752" t="s">
        <v>269</v>
      </c>
      <c r="AH4752" s="36">
        <f t="shared" si="74"/>
        <v>56.616666666666667</v>
      </c>
      <c r="AI4752" s="41" t="s">
        <v>1782</v>
      </c>
    </row>
    <row r="4753" spans="1:35" x14ac:dyDescent="0.25">
      <c r="A4753" s="36">
        <v>99914751</v>
      </c>
      <c r="B4753" s="17" t="s">
        <v>56</v>
      </c>
      <c r="C4753" t="s">
        <v>68</v>
      </c>
      <c r="D4753" t="s">
        <v>69</v>
      </c>
      <c r="G4753" s="17" t="s">
        <v>48</v>
      </c>
      <c r="H4753" s="17">
        <v>1</v>
      </c>
      <c r="K4753" t="s">
        <v>223</v>
      </c>
      <c r="L4753" t="s">
        <v>224</v>
      </c>
      <c r="M4753" t="s">
        <v>131</v>
      </c>
      <c r="N4753">
        <v>18</v>
      </c>
      <c r="O4753" t="s">
        <v>40</v>
      </c>
      <c r="P4753" t="s">
        <v>40</v>
      </c>
      <c r="Q4753" t="s">
        <v>40</v>
      </c>
      <c r="S4753" t="s">
        <v>40</v>
      </c>
      <c r="V4753" t="s">
        <v>41</v>
      </c>
      <c r="W4753" t="s">
        <v>49</v>
      </c>
      <c r="X4753" t="str">
        <f>"0581206"</f>
        <v>0581206</v>
      </c>
      <c r="Y4753" t="s">
        <v>232</v>
      </c>
      <c r="Z4753" t="s">
        <v>223</v>
      </c>
      <c r="AA4753" t="s">
        <v>224</v>
      </c>
      <c r="AB4753" t="s">
        <v>131</v>
      </c>
      <c r="AC4753" t="s">
        <v>51</v>
      </c>
      <c r="AD4753" t="s">
        <v>45</v>
      </c>
      <c r="AE4753" s="1">
        <v>23072</v>
      </c>
      <c r="AF4753">
        <v>2</v>
      </c>
      <c r="AG4753" t="s">
        <v>224</v>
      </c>
      <c r="AH4753" s="36">
        <f t="shared" si="74"/>
        <v>56.625</v>
      </c>
      <c r="AI4753" s="41" t="s">
        <v>1782</v>
      </c>
    </row>
    <row r="4754" spans="1:35" x14ac:dyDescent="0.25">
      <c r="A4754" s="36">
        <v>99914752</v>
      </c>
      <c r="B4754" s="17" t="s">
        <v>56</v>
      </c>
      <c r="C4754" t="s">
        <v>68</v>
      </c>
      <c r="D4754" t="s">
        <v>69</v>
      </c>
      <c r="G4754" s="17" t="s">
        <v>48</v>
      </c>
      <c r="H4754" s="17">
        <v>1</v>
      </c>
      <c r="K4754" t="s">
        <v>380</v>
      </c>
      <c r="L4754" t="s">
        <v>381</v>
      </c>
      <c r="M4754" t="s">
        <v>131</v>
      </c>
      <c r="N4754">
        <v>19</v>
      </c>
      <c r="O4754" t="s">
        <v>40</v>
      </c>
      <c r="P4754" t="s">
        <v>40</v>
      </c>
      <c r="Q4754" t="s">
        <v>40</v>
      </c>
      <c r="R4754" t="s">
        <v>40</v>
      </c>
      <c r="S4754" t="s">
        <v>40</v>
      </c>
      <c r="V4754" t="s">
        <v>41</v>
      </c>
      <c r="W4754" t="s">
        <v>49</v>
      </c>
      <c r="X4754" t="str">
        <f>"0581859"</f>
        <v>0581859</v>
      </c>
      <c r="Y4754" t="s">
        <v>394</v>
      </c>
      <c r="Z4754" t="s">
        <v>380</v>
      </c>
      <c r="AA4754" t="s">
        <v>381</v>
      </c>
      <c r="AB4754" t="s">
        <v>131</v>
      </c>
      <c r="AC4754" t="s">
        <v>51</v>
      </c>
      <c r="AD4754" t="s">
        <v>45</v>
      </c>
      <c r="AE4754" s="1">
        <v>23069</v>
      </c>
      <c r="AF4754">
        <v>2</v>
      </c>
      <c r="AG4754" t="s">
        <v>381</v>
      </c>
      <c r="AH4754" s="36">
        <f t="shared" si="74"/>
        <v>56.633333333333333</v>
      </c>
      <c r="AI4754" s="41" t="s">
        <v>1782</v>
      </c>
    </row>
    <row r="4755" spans="1:35" x14ac:dyDescent="0.25">
      <c r="A4755" s="36">
        <v>99914753</v>
      </c>
      <c r="B4755" s="17" t="s">
        <v>32</v>
      </c>
      <c r="C4755" t="s">
        <v>64</v>
      </c>
      <c r="D4755" t="s">
        <v>65</v>
      </c>
      <c r="G4755" s="17" t="s">
        <v>48</v>
      </c>
      <c r="H4755" s="17">
        <v>1</v>
      </c>
      <c r="K4755" t="s">
        <v>431</v>
      </c>
      <c r="L4755" t="s">
        <v>196</v>
      </c>
      <c r="M4755" t="s">
        <v>131</v>
      </c>
      <c r="N4755">
        <v>21</v>
      </c>
      <c r="O4755" t="s">
        <v>40</v>
      </c>
      <c r="P4755" t="s">
        <v>40</v>
      </c>
      <c r="Q4755" t="s">
        <v>40</v>
      </c>
      <c r="R4755" t="s">
        <v>40</v>
      </c>
      <c r="S4755" t="s">
        <v>40</v>
      </c>
      <c r="V4755" t="s">
        <v>41</v>
      </c>
      <c r="W4755" t="s">
        <v>75</v>
      </c>
      <c r="X4755" t="str">
        <f>"7521012"</f>
        <v>7521012</v>
      </c>
      <c r="Y4755" t="s">
        <v>432</v>
      </c>
      <c r="Z4755" t="s">
        <v>431</v>
      </c>
      <c r="AA4755" t="s">
        <v>196</v>
      </c>
      <c r="AB4755" t="s">
        <v>131</v>
      </c>
      <c r="AC4755" t="s">
        <v>51</v>
      </c>
      <c r="AD4755" t="s">
        <v>45</v>
      </c>
      <c r="AE4755" s="1">
        <v>23054</v>
      </c>
      <c r="AF4755">
        <v>1</v>
      </c>
      <c r="AG4755" t="s">
        <v>196</v>
      </c>
      <c r="AH4755" s="36">
        <f t="shared" si="74"/>
        <v>56.674999999999997</v>
      </c>
      <c r="AI4755" s="41" t="s">
        <v>1782</v>
      </c>
    </row>
    <row r="4756" spans="1:35" x14ac:dyDescent="0.25">
      <c r="A4756" s="36">
        <v>99914754</v>
      </c>
      <c r="B4756" s="17" t="s">
        <v>32</v>
      </c>
      <c r="C4756" t="s">
        <v>111</v>
      </c>
      <c r="D4756" t="s">
        <v>112</v>
      </c>
      <c r="G4756" s="17" t="s">
        <v>48</v>
      </c>
      <c r="H4756" s="17">
        <v>1</v>
      </c>
      <c r="K4756" t="s">
        <v>268</v>
      </c>
      <c r="L4756" t="s">
        <v>269</v>
      </c>
      <c r="M4756" t="s">
        <v>131</v>
      </c>
      <c r="N4756">
        <v>21</v>
      </c>
      <c r="O4756" t="s">
        <v>40</v>
      </c>
      <c r="P4756" t="s">
        <v>40</v>
      </c>
      <c r="Q4756" t="s">
        <v>40</v>
      </c>
      <c r="S4756" t="s">
        <v>40</v>
      </c>
      <c r="V4756" t="s">
        <v>41</v>
      </c>
      <c r="W4756" t="s">
        <v>75</v>
      </c>
      <c r="X4756" t="str">
        <f>"7052008"</f>
        <v>7052008</v>
      </c>
      <c r="Y4756" t="s">
        <v>274</v>
      </c>
      <c r="Z4756" t="s">
        <v>268</v>
      </c>
      <c r="AA4756" t="s">
        <v>269</v>
      </c>
      <c r="AB4756" t="s">
        <v>131</v>
      </c>
      <c r="AC4756" t="s">
        <v>51</v>
      </c>
      <c r="AD4756" t="s">
        <v>45</v>
      </c>
      <c r="AE4756" s="1">
        <v>23053</v>
      </c>
      <c r="AF4756">
        <v>1</v>
      </c>
      <c r="AG4756" t="s">
        <v>269</v>
      </c>
      <c r="AH4756" s="36">
        <f t="shared" si="74"/>
        <v>56.677777777777777</v>
      </c>
      <c r="AI4756" s="41" t="s">
        <v>1782</v>
      </c>
    </row>
    <row r="4757" spans="1:35" x14ac:dyDescent="0.25">
      <c r="A4757" s="36">
        <v>99914755</v>
      </c>
      <c r="B4757" s="17" t="s">
        <v>56</v>
      </c>
      <c r="C4757" t="s">
        <v>52</v>
      </c>
      <c r="D4757" t="s">
        <v>53</v>
      </c>
      <c r="G4757" s="17" t="s">
        <v>35</v>
      </c>
      <c r="H4757" s="17">
        <v>1</v>
      </c>
      <c r="K4757" t="s">
        <v>1546</v>
      </c>
      <c r="L4757" t="s">
        <v>1547</v>
      </c>
      <c r="M4757" t="s">
        <v>1548</v>
      </c>
      <c r="N4757">
        <v>20</v>
      </c>
      <c r="O4757" t="s">
        <v>40</v>
      </c>
      <c r="P4757" t="s">
        <v>40</v>
      </c>
      <c r="Q4757" t="s">
        <v>40</v>
      </c>
      <c r="R4757" t="s">
        <v>40</v>
      </c>
      <c r="S4757" t="s">
        <v>40</v>
      </c>
      <c r="V4757" t="s">
        <v>41</v>
      </c>
      <c r="W4757" t="s">
        <v>42</v>
      </c>
      <c r="X4757" t="str">
        <f>"1061001"</f>
        <v>1061001</v>
      </c>
      <c r="Y4757" t="s">
        <v>1550</v>
      </c>
      <c r="Z4757" t="s">
        <v>1546</v>
      </c>
      <c r="AA4757" t="s">
        <v>1547</v>
      </c>
      <c r="AB4757" t="s">
        <v>1548</v>
      </c>
      <c r="AC4757" t="s">
        <v>165</v>
      </c>
      <c r="AD4757" t="s">
        <v>45</v>
      </c>
      <c r="AE4757" s="1">
        <v>23052</v>
      </c>
      <c r="AF4757">
        <v>2</v>
      </c>
      <c r="AG4757" t="s">
        <v>1547</v>
      </c>
      <c r="AH4757" s="36">
        <f t="shared" si="74"/>
        <v>56.680555555555557</v>
      </c>
      <c r="AI4757" s="41" t="s">
        <v>1782</v>
      </c>
    </row>
    <row r="4758" spans="1:35" x14ac:dyDescent="0.25">
      <c r="A4758" s="36">
        <v>99914756</v>
      </c>
      <c r="B4758" s="17" t="s">
        <v>56</v>
      </c>
      <c r="C4758" t="s">
        <v>111</v>
      </c>
      <c r="D4758" t="s">
        <v>112</v>
      </c>
      <c r="G4758" s="17" t="s">
        <v>35</v>
      </c>
      <c r="H4758" s="17">
        <v>1</v>
      </c>
      <c r="K4758" t="s">
        <v>354</v>
      </c>
      <c r="L4758" t="s">
        <v>355</v>
      </c>
      <c r="M4758" t="s">
        <v>131</v>
      </c>
      <c r="N4758">
        <v>21</v>
      </c>
      <c r="O4758" t="s">
        <v>40</v>
      </c>
      <c r="P4758" t="s">
        <v>40</v>
      </c>
      <c r="Q4758" t="s">
        <v>40</v>
      </c>
      <c r="S4758" t="s">
        <v>40</v>
      </c>
      <c r="V4758" t="s">
        <v>41</v>
      </c>
      <c r="W4758" t="s">
        <v>75</v>
      </c>
      <c r="X4758" t="str">
        <f>"7054020"</f>
        <v>7054020</v>
      </c>
      <c r="Y4758" t="s">
        <v>765</v>
      </c>
      <c r="Z4758" t="s">
        <v>354</v>
      </c>
      <c r="AA4758" t="s">
        <v>355</v>
      </c>
      <c r="AB4758" t="s">
        <v>131</v>
      </c>
      <c r="AC4758" t="s">
        <v>51</v>
      </c>
      <c r="AD4758" t="s">
        <v>45</v>
      </c>
      <c r="AE4758" s="1">
        <v>23048</v>
      </c>
      <c r="AF4758">
        <v>1</v>
      </c>
      <c r="AG4758" t="s">
        <v>355</v>
      </c>
      <c r="AH4758" s="36">
        <f t="shared" si="74"/>
        <v>56.69166666666667</v>
      </c>
      <c r="AI4758" s="41" t="s">
        <v>1782</v>
      </c>
    </row>
    <row r="4759" spans="1:35" x14ac:dyDescent="0.25">
      <c r="A4759" s="36">
        <v>99914757</v>
      </c>
      <c r="B4759" s="17" t="s">
        <v>32</v>
      </c>
      <c r="C4759" t="s">
        <v>79</v>
      </c>
      <c r="D4759" t="s">
        <v>80</v>
      </c>
      <c r="G4759" s="17" t="s">
        <v>35</v>
      </c>
      <c r="H4759" s="17">
        <v>16</v>
      </c>
      <c r="K4759" t="s">
        <v>268</v>
      </c>
      <c r="L4759" t="s">
        <v>269</v>
      </c>
      <c r="M4759" t="s">
        <v>131</v>
      </c>
      <c r="N4759">
        <v>21</v>
      </c>
      <c r="O4759" t="s">
        <v>40</v>
      </c>
      <c r="P4759" t="s">
        <v>40</v>
      </c>
      <c r="Q4759" t="s">
        <v>40</v>
      </c>
      <c r="R4759" t="s">
        <v>40</v>
      </c>
      <c r="S4759" t="s">
        <v>40</v>
      </c>
      <c r="V4759" t="s">
        <v>41</v>
      </c>
      <c r="W4759" t="s">
        <v>75</v>
      </c>
      <c r="X4759" t="str">
        <f>"7052004"</f>
        <v>7052004</v>
      </c>
      <c r="Y4759" t="s">
        <v>584</v>
      </c>
      <c r="Z4759" t="s">
        <v>268</v>
      </c>
      <c r="AA4759" t="s">
        <v>269</v>
      </c>
      <c r="AB4759" t="s">
        <v>131</v>
      </c>
      <c r="AC4759" t="s">
        <v>165</v>
      </c>
      <c r="AD4759" t="s">
        <v>45</v>
      </c>
      <c r="AE4759" s="1">
        <v>23042</v>
      </c>
      <c r="AF4759">
        <v>1</v>
      </c>
      <c r="AG4759" t="s">
        <v>269</v>
      </c>
      <c r="AH4759" s="36">
        <f t="shared" si="74"/>
        <v>56.708333333333336</v>
      </c>
      <c r="AI4759" s="41" t="s">
        <v>1782</v>
      </c>
    </row>
    <row r="4760" spans="1:35" x14ac:dyDescent="0.25">
      <c r="A4760" s="36">
        <v>99914758</v>
      </c>
      <c r="B4760" s="17" t="s">
        <v>56</v>
      </c>
      <c r="C4760" t="s">
        <v>52</v>
      </c>
      <c r="D4760" t="s">
        <v>53</v>
      </c>
      <c r="G4760" s="17" t="s">
        <v>35</v>
      </c>
      <c r="H4760" s="17">
        <v>1</v>
      </c>
      <c r="K4760" t="s">
        <v>300</v>
      </c>
      <c r="L4760" t="s">
        <v>301</v>
      </c>
      <c r="M4760" t="s">
        <v>131</v>
      </c>
      <c r="N4760">
        <v>22</v>
      </c>
      <c r="O4760" t="s">
        <v>40</v>
      </c>
      <c r="P4760" t="s">
        <v>40</v>
      </c>
      <c r="Q4760" t="s">
        <v>40</v>
      </c>
      <c r="R4760" t="s">
        <v>40</v>
      </c>
      <c r="S4760" t="s">
        <v>40</v>
      </c>
      <c r="V4760" t="s">
        <v>41</v>
      </c>
      <c r="W4760" t="s">
        <v>42</v>
      </c>
      <c r="X4760" t="str">
        <f>"0580457"</f>
        <v>0580457</v>
      </c>
      <c r="Y4760" t="s">
        <v>310</v>
      </c>
      <c r="Z4760" t="s">
        <v>300</v>
      </c>
      <c r="AA4760" t="s">
        <v>301</v>
      </c>
      <c r="AB4760" t="s">
        <v>131</v>
      </c>
      <c r="AC4760" t="s">
        <v>51</v>
      </c>
      <c r="AD4760" t="s">
        <v>45</v>
      </c>
      <c r="AE4760" s="1">
        <v>23041</v>
      </c>
      <c r="AF4760">
        <v>2</v>
      </c>
      <c r="AG4760" t="s">
        <v>301</v>
      </c>
      <c r="AH4760" s="36">
        <f t="shared" si="74"/>
        <v>56.711111111111109</v>
      </c>
      <c r="AI4760" s="41" t="s">
        <v>1782</v>
      </c>
    </row>
    <row r="4761" spans="1:35" x14ac:dyDescent="0.25">
      <c r="A4761" s="36">
        <v>99914759</v>
      </c>
      <c r="B4761" s="17" t="s">
        <v>56</v>
      </c>
      <c r="C4761" t="s">
        <v>111</v>
      </c>
      <c r="D4761" t="s">
        <v>112</v>
      </c>
      <c r="G4761" s="17" t="s">
        <v>48</v>
      </c>
      <c r="H4761" s="17">
        <v>14</v>
      </c>
      <c r="I4761" t="s">
        <v>498</v>
      </c>
      <c r="J4761" s="1">
        <v>38231</v>
      </c>
      <c r="K4761" t="s">
        <v>431</v>
      </c>
      <c r="L4761" t="s">
        <v>196</v>
      </c>
      <c r="M4761" t="s">
        <v>131</v>
      </c>
      <c r="N4761">
        <v>21</v>
      </c>
      <c r="O4761" t="s">
        <v>40</v>
      </c>
      <c r="P4761" t="s">
        <v>40</v>
      </c>
      <c r="Q4761" t="s">
        <v>40</v>
      </c>
      <c r="R4761" t="s">
        <v>40</v>
      </c>
      <c r="S4761" t="s">
        <v>40</v>
      </c>
      <c r="U4761" s="1">
        <v>38231</v>
      </c>
      <c r="V4761" t="s">
        <v>41</v>
      </c>
      <c r="W4761" t="s">
        <v>75</v>
      </c>
      <c r="X4761" t="str">
        <f>"7521012"</f>
        <v>7521012</v>
      </c>
      <c r="Y4761" t="s">
        <v>432</v>
      </c>
      <c r="Z4761" t="s">
        <v>431</v>
      </c>
      <c r="AA4761" t="s">
        <v>196</v>
      </c>
      <c r="AB4761" t="s">
        <v>131</v>
      </c>
      <c r="AC4761" t="s">
        <v>165</v>
      </c>
      <c r="AD4761" t="s">
        <v>45</v>
      </c>
      <c r="AE4761" s="1">
        <v>23041</v>
      </c>
      <c r="AF4761">
        <v>1</v>
      </c>
      <c r="AG4761" t="s">
        <v>196</v>
      </c>
      <c r="AH4761" s="36">
        <f t="shared" si="74"/>
        <v>56.711111111111109</v>
      </c>
      <c r="AI4761" s="41" t="s">
        <v>1782</v>
      </c>
    </row>
    <row r="4762" spans="1:35" x14ac:dyDescent="0.25">
      <c r="A4762" s="36">
        <v>99914760</v>
      </c>
      <c r="B4762" s="17" t="s">
        <v>56</v>
      </c>
      <c r="C4762" t="s">
        <v>33</v>
      </c>
      <c r="D4762" t="s">
        <v>34</v>
      </c>
      <c r="G4762" s="17" t="s">
        <v>48</v>
      </c>
      <c r="H4762" s="17">
        <v>19</v>
      </c>
      <c r="K4762" t="s">
        <v>1268</v>
      </c>
      <c r="L4762" t="s">
        <v>1269</v>
      </c>
      <c r="M4762" t="s">
        <v>1270</v>
      </c>
      <c r="N4762">
        <v>18</v>
      </c>
      <c r="O4762" t="s">
        <v>40</v>
      </c>
      <c r="P4762" t="s">
        <v>40</v>
      </c>
      <c r="Q4762" t="s">
        <v>40</v>
      </c>
      <c r="R4762" t="s">
        <v>40</v>
      </c>
      <c r="S4762" t="s">
        <v>40</v>
      </c>
      <c r="U4762" s="1">
        <v>43344</v>
      </c>
      <c r="V4762" t="s">
        <v>41</v>
      </c>
      <c r="W4762" t="s">
        <v>42</v>
      </c>
      <c r="X4762" t="str">
        <f>"1980055"</f>
        <v>1980055</v>
      </c>
      <c r="Y4762" t="s">
        <v>1285</v>
      </c>
      <c r="Z4762" t="s">
        <v>1268</v>
      </c>
      <c r="AA4762" t="s">
        <v>1269</v>
      </c>
      <c r="AB4762" t="s">
        <v>1270</v>
      </c>
      <c r="AC4762" t="s">
        <v>165</v>
      </c>
      <c r="AD4762" t="s">
        <v>45</v>
      </c>
      <c r="AE4762" s="1">
        <v>23040</v>
      </c>
      <c r="AF4762">
        <v>2</v>
      </c>
      <c r="AG4762" t="s">
        <v>1269</v>
      </c>
      <c r="AH4762" s="36">
        <f t="shared" si="74"/>
        <v>56.713888888888889</v>
      </c>
      <c r="AI4762" s="41" t="s">
        <v>1782</v>
      </c>
    </row>
    <row r="4763" spans="1:35" x14ac:dyDescent="0.25">
      <c r="A4763" s="36">
        <v>99914761</v>
      </c>
      <c r="B4763" s="17" t="s">
        <v>32</v>
      </c>
      <c r="C4763" t="s">
        <v>111</v>
      </c>
      <c r="D4763" t="s">
        <v>112</v>
      </c>
      <c r="G4763" s="17" t="s">
        <v>35</v>
      </c>
      <c r="H4763" s="17">
        <v>1</v>
      </c>
      <c r="K4763" t="s">
        <v>877</v>
      </c>
      <c r="L4763" t="s">
        <v>878</v>
      </c>
      <c r="M4763" t="s">
        <v>131</v>
      </c>
      <c r="N4763">
        <v>21</v>
      </c>
      <c r="O4763" t="s">
        <v>40</v>
      </c>
      <c r="P4763" t="s">
        <v>40</v>
      </c>
      <c r="Q4763" t="s">
        <v>40</v>
      </c>
      <c r="S4763" t="s">
        <v>40</v>
      </c>
      <c r="V4763" t="s">
        <v>41</v>
      </c>
      <c r="W4763" t="s">
        <v>75</v>
      </c>
      <c r="X4763" t="str">
        <f>"7700025"</f>
        <v>7700025</v>
      </c>
      <c r="Y4763" t="s">
        <v>880</v>
      </c>
      <c r="Z4763" t="s">
        <v>877</v>
      </c>
      <c r="AA4763" t="s">
        <v>878</v>
      </c>
      <c r="AB4763" t="s">
        <v>131</v>
      </c>
      <c r="AC4763" t="s">
        <v>51</v>
      </c>
      <c r="AD4763" t="s">
        <v>45</v>
      </c>
      <c r="AE4763" s="1">
        <v>23038</v>
      </c>
      <c r="AF4763">
        <v>1</v>
      </c>
      <c r="AG4763" t="s">
        <v>878</v>
      </c>
      <c r="AH4763" s="36">
        <f t="shared" si="74"/>
        <v>56.719444444444441</v>
      </c>
      <c r="AI4763" s="41" t="s">
        <v>1782</v>
      </c>
    </row>
    <row r="4764" spans="1:35" x14ac:dyDescent="0.25">
      <c r="A4764" s="36">
        <v>99914762</v>
      </c>
      <c r="B4764" s="17" t="s">
        <v>32</v>
      </c>
      <c r="C4764" t="s">
        <v>71</v>
      </c>
      <c r="D4764" t="s">
        <v>72</v>
      </c>
      <c r="G4764" s="17" t="s">
        <v>48</v>
      </c>
      <c r="H4764" s="17">
        <v>1</v>
      </c>
      <c r="K4764" t="s">
        <v>431</v>
      </c>
      <c r="L4764" t="s">
        <v>196</v>
      </c>
      <c r="M4764" t="s">
        <v>131</v>
      </c>
      <c r="N4764">
        <v>14</v>
      </c>
      <c r="O4764" t="s">
        <v>40</v>
      </c>
      <c r="P4764" t="s">
        <v>40</v>
      </c>
      <c r="Q4764" t="s">
        <v>40</v>
      </c>
      <c r="R4764" t="s">
        <v>40</v>
      </c>
      <c r="S4764" t="s">
        <v>40</v>
      </c>
      <c r="V4764" t="s">
        <v>41</v>
      </c>
      <c r="W4764" t="s">
        <v>75</v>
      </c>
      <c r="X4764" t="str">
        <f>"7521022"</f>
        <v>7521022</v>
      </c>
      <c r="Y4764" t="s">
        <v>445</v>
      </c>
      <c r="Z4764" t="s">
        <v>431</v>
      </c>
      <c r="AA4764" t="s">
        <v>196</v>
      </c>
      <c r="AB4764" t="s">
        <v>131</v>
      </c>
      <c r="AC4764" t="s">
        <v>51</v>
      </c>
      <c r="AD4764" t="s">
        <v>45</v>
      </c>
      <c r="AE4764" s="1">
        <v>23035</v>
      </c>
      <c r="AF4764">
        <v>1</v>
      </c>
      <c r="AG4764" t="s">
        <v>196</v>
      </c>
      <c r="AH4764" s="36">
        <f t="shared" si="74"/>
        <v>56.727777777777774</v>
      </c>
      <c r="AI4764" s="41" t="s">
        <v>1782</v>
      </c>
    </row>
    <row r="4765" spans="1:35" x14ac:dyDescent="0.25">
      <c r="A4765" s="36">
        <v>99914763</v>
      </c>
      <c r="B4765" s="17" t="s">
        <v>32</v>
      </c>
      <c r="C4765" t="s">
        <v>46</v>
      </c>
      <c r="D4765" t="s">
        <v>47</v>
      </c>
      <c r="G4765" s="17" t="s">
        <v>48</v>
      </c>
      <c r="H4765" s="17">
        <v>1</v>
      </c>
      <c r="K4765" t="s">
        <v>223</v>
      </c>
      <c r="L4765" t="s">
        <v>224</v>
      </c>
      <c r="M4765" t="s">
        <v>131</v>
      </c>
      <c r="N4765">
        <v>18</v>
      </c>
      <c r="O4765" t="s">
        <v>40</v>
      </c>
      <c r="P4765" t="s">
        <v>40</v>
      </c>
      <c r="Q4765" t="s">
        <v>40</v>
      </c>
      <c r="R4765" t="s">
        <v>40</v>
      </c>
      <c r="S4765" t="s">
        <v>40</v>
      </c>
      <c r="V4765" t="s">
        <v>41</v>
      </c>
      <c r="W4765" t="s">
        <v>42</v>
      </c>
      <c r="X4765" t="str">
        <f>"0580200"</f>
        <v>0580200</v>
      </c>
      <c r="Y4765" t="s">
        <v>245</v>
      </c>
      <c r="Z4765" t="s">
        <v>223</v>
      </c>
      <c r="AA4765" t="s">
        <v>224</v>
      </c>
      <c r="AB4765" t="s">
        <v>131</v>
      </c>
      <c r="AC4765" t="s">
        <v>51</v>
      </c>
      <c r="AD4765" t="s">
        <v>45</v>
      </c>
      <c r="AE4765" s="1">
        <v>23021</v>
      </c>
      <c r="AF4765">
        <v>2</v>
      </c>
      <c r="AG4765" t="s">
        <v>224</v>
      </c>
      <c r="AH4765" s="36">
        <f t="shared" si="74"/>
        <v>56.766666666666666</v>
      </c>
      <c r="AI4765" s="41" t="s">
        <v>1782</v>
      </c>
    </row>
    <row r="4766" spans="1:35" x14ac:dyDescent="0.25">
      <c r="A4766" s="36">
        <v>99914764</v>
      </c>
      <c r="B4766" s="17" t="s">
        <v>56</v>
      </c>
      <c r="C4766" t="s">
        <v>79</v>
      </c>
      <c r="D4766" t="s">
        <v>80</v>
      </c>
      <c r="G4766" s="17" t="s">
        <v>48</v>
      </c>
      <c r="H4766" s="17">
        <v>1</v>
      </c>
      <c r="K4766" t="s">
        <v>223</v>
      </c>
      <c r="L4766" t="s">
        <v>224</v>
      </c>
      <c r="M4766" t="s">
        <v>131</v>
      </c>
      <c r="N4766">
        <v>18</v>
      </c>
      <c r="O4766" t="s">
        <v>40</v>
      </c>
      <c r="P4766" t="s">
        <v>40</v>
      </c>
      <c r="Q4766" t="s">
        <v>40</v>
      </c>
      <c r="R4766" t="s">
        <v>40</v>
      </c>
      <c r="S4766" t="s">
        <v>40</v>
      </c>
      <c r="V4766" t="s">
        <v>41</v>
      </c>
      <c r="W4766" t="s">
        <v>42</v>
      </c>
      <c r="X4766" t="str">
        <f>"0580207"</f>
        <v>0580207</v>
      </c>
      <c r="Y4766" t="s">
        <v>229</v>
      </c>
      <c r="Z4766" t="s">
        <v>223</v>
      </c>
      <c r="AA4766" t="s">
        <v>224</v>
      </c>
      <c r="AB4766" t="s">
        <v>131</v>
      </c>
      <c r="AC4766" t="s">
        <v>51</v>
      </c>
      <c r="AD4766" t="s">
        <v>45</v>
      </c>
      <c r="AE4766" s="1">
        <v>23014</v>
      </c>
      <c r="AF4766">
        <v>2</v>
      </c>
      <c r="AG4766" t="s">
        <v>224</v>
      </c>
      <c r="AH4766" s="36">
        <f t="shared" si="74"/>
        <v>56.786111111111111</v>
      </c>
      <c r="AI4766" s="41" t="s">
        <v>1782</v>
      </c>
    </row>
    <row r="4767" spans="1:35" x14ac:dyDescent="0.25">
      <c r="A4767" s="36">
        <v>99914765</v>
      </c>
      <c r="B4767" s="17" t="s">
        <v>32</v>
      </c>
      <c r="C4767" t="s">
        <v>68</v>
      </c>
      <c r="D4767" t="s">
        <v>69</v>
      </c>
      <c r="G4767" s="17" t="s">
        <v>48</v>
      </c>
      <c r="H4767" s="17">
        <v>1</v>
      </c>
      <c r="K4767" t="s">
        <v>345</v>
      </c>
      <c r="L4767" t="s">
        <v>346</v>
      </c>
      <c r="M4767" t="s">
        <v>131</v>
      </c>
      <c r="N4767">
        <v>21</v>
      </c>
      <c r="O4767" t="s">
        <v>40</v>
      </c>
      <c r="P4767" t="s">
        <v>40</v>
      </c>
      <c r="Q4767" t="s">
        <v>40</v>
      </c>
      <c r="R4767" t="s">
        <v>40</v>
      </c>
      <c r="S4767" t="s">
        <v>40</v>
      </c>
      <c r="V4767" t="s">
        <v>41</v>
      </c>
      <c r="W4767" t="s">
        <v>49</v>
      </c>
      <c r="X4767" t="str">
        <f>"0561021"</f>
        <v>0561021</v>
      </c>
      <c r="Y4767" t="s">
        <v>352</v>
      </c>
      <c r="Z4767" t="s">
        <v>345</v>
      </c>
      <c r="AA4767" t="s">
        <v>346</v>
      </c>
      <c r="AB4767" t="s">
        <v>131</v>
      </c>
      <c r="AC4767" t="s">
        <v>51</v>
      </c>
      <c r="AD4767" t="s">
        <v>45</v>
      </c>
      <c r="AE4767" s="1">
        <v>23012</v>
      </c>
      <c r="AF4767">
        <v>2</v>
      </c>
      <c r="AG4767" t="s">
        <v>346</v>
      </c>
      <c r="AH4767" s="36">
        <f t="shared" si="74"/>
        <v>56.791666666666664</v>
      </c>
      <c r="AI4767" s="41" t="s">
        <v>1782</v>
      </c>
    </row>
    <row r="4768" spans="1:35" x14ac:dyDescent="0.25">
      <c r="A4768" s="36">
        <v>99914766</v>
      </c>
      <c r="B4768" s="17" t="s">
        <v>32</v>
      </c>
      <c r="C4768" t="s">
        <v>68</v>
      </c>
      <c r="D4768" t="s">
        <v>69</v>
      </c>
      <c r="G4768" s="17" t="s">
        <v>48</v>
      </c>
      <c r="H4768" s="17">
        <v>1</v>
      </c>
      <c r="K4768" t="s">
        <v>345</v>
      </c>
      <c r="L4768" t="s">
        <v>346</v>
      </c>
      <c r="M4768" t="s">
        <v>131</v>
      </c>
      <c r="N4768">
        <v>20</v>
      </c>
      <c r="O4768" t="s">
        <v>40</v>
      </c>
      <c r="P4768" t="s">
        <v>40</v>
      </c>
      <c r="Q4768" t="s">
        <v>40</v>
      </c>
      <c r="R4768" t="s">
        <v>40</v>
      </c>
      <c r="S4768" t="s">
        <v>40</v>
      </c>
      <c r="V4768" t="s">
        <v>41</v>
      </c>
      <c r="W4768" t="s">
        <v>42</v>
      </c>
      <c r="X4768" t="str">
        <f>"0561019"</f>
        <v>0561019</v>
      </c>
      <c r="Y4768" t="s">
        <v>351</v>
      </c>
      <c r="Z4768" t="s">
        <v>345</v>
      </c>
      <c r="AA4768" t="s">
        <v>346</v>
      </c>
      <c r="AB4768" t="s">
        <v>131</v>
      </c>
      <c r="AC4768" t="s">
        <v>51</v>
      </c>
      <c r="AD4768" t="s">
        <v>45</v>
      </c>
      <c r="AE4768" s="1">
        <v>23012</v>
      </c>
      <c r="AF4768">
        <v>2</v>
      </c>
      <c r="AG4768" t="s">
        <v>346</v>
      </c>
      <c r="AH4768" s="36">
        <f t="shared" si="74"/>
        <v>56.791666666666664</v>
      </c>
      <c r="AI4768" s="41" t="s">
        <v>1782</v>
      </c>
    </row>
    <row r="4769" spans="1:35" x14ac:dyDescent="0.25">
      <c r="A4769" s="36">
        <v>99914767</v>
      </c>
      <c r="B4769" s="17" t="s">
        <v>32</v>
      </c>
      <c r="C4769" t="s">
        <v>79</v>
      </c>
      <c r="D4769" t="s">
        <v>80</v>
      </c>
      <c r="G4769" s="17" t="s">
        <v>35</v>
      </c>
      <c r="H4769" s="17">
        <v>1</v>
      </c>
      <c r="I4769">
        <v>1981</v>
      </c>
      <c r="J4769" s="1">
        <v>43344</v>
      </c>
      <c r="K4769" t="s">
        <v>268</v>
      </c>
      <c r="L4769" t="s">
        <v>269</v>
      </c>
      <c r="M4769" t="s">
        <v>131</v>
      </c>
      <c r="N4769">
        <v>18</v>
      </c>
      <c r="O4769" t="s">
        <v>40</v>
      </c>
      <c r="S4769" t="s">
        <v>40</v>
      </c>
      <c r="V4769" t="s">
        <v>41</v>
      </c>
      <c r="W4769" t="s">
        <v>75</v>
      </c>
      <c r="X4769" t="str">
        <f>"7052012"</f>
        <v>7052012</v>
      </c>
      <c r="Y4769" t="s">
        <v>270</v>
      </c>
      <c r="Z4769" t="s">
        <v>268</v>
      </c>
      <c r="AA4769" t="s">
        <v>269</v>
      </c>
      <c r="AB4769" t="s">
        <v>131</v>
      </c>
      <c r="AC4769" t="s">
        <v>51</v>
      </c>
      <c r="AD4769" t="s">
        <v>45</v>
      </c>
      <c r="AE4769" s="1">
        <v>23012</v>
      </c>
      <c r="AF4769">
        <v>1</v>
      </c>
      <c r="AG4769" t="s">
        <v>269</v>
      </c>
      <c r="AH4769" s="36">
        <f t="shared" si="74"/>
        <v>56.791666666666664</v>
      </c>
      <c r="AI4769" s="41" t="s">
        <v>1782</v>
      </c>
    </row>
    <row r="4770" spans="1:35" x14ac:dyDescent="0.25">
      <c r="A4770" s="36">
        <v>99914768</v>
      </c>
      <c r="B4770" s="17" t="s">
        <v>32</v>
      </c>
      <c r="C4770" t="s">
        <v>117</v>
      </c>
      <c r="D4770" t="s">
        <v>118</v>
      </c>
      <c r="G4770" s="17" t="s">
        <v>88</v>
      </c>
      <c r="H4770" s="17">
        <v>5</v>
      </c>
      <c r="K4770" t="s">
        <v>354</v>
      </c>
      <c r="L4770" t="s">
        <v>355</v>
      </c>
      <c r="M4770" t="s">
        <v>131</v>
      </c>
      <c r="N4770">
        <v>20</v>
      </c>
      <c r="O4770" t="s">
        <v>40</v>
      </c>
      <c r="P4770" t="s">
        <v>40</v>
      </c>
      <c r="Q4770" t="s">
        <v>40</v>
      </c>
      <c r="R4770" t="s">
        <v>40</v>
      </c>
      <c r="S4770" t="s">
        <v>40</v>
      </c>
      <c r="V4770" t="s">
        <v>41</v>
      </c>
      <c r="W4770" t="s">
        <v>75</v>
      </c>
      <c r="X4770" t="str">
        <f>"7054000"</f>
        <v>7054000</v>
      </c>
      <c r="Y4770" t="s">
        <v>786</v>
      </c>
      <c r="Z4770" t="s">
        <v>354</v>
      </c>
      <c r="AA4770" t="s">
        <v>355</v>
      </c>
      <c r="AB4770" t="s">
        <v>131</v>
      </c>
      <c r="AC4770" t="s">
        <v>51</v>
      </c>
      <c r="AD4770" t="s">
        <v>45</v>
      </c>
      <c r="AE4770" s="1">
        <v>23012</v>
      </c>
      <c r="AF4770">
        <v>1</v>
      </c>
      <c r="AG4770" t="s">
        <v>355</v>
      </c>
      <c r="AH4770" s="36">
        <f t="shared" si="74"/>
        <v>56.791666666666664</v>
      </c>
      <c r="AI4770" s="41" t="s">
        <v>1782</v>
      </c>
    </row>
    <row r="4771" spans="1:35" x14ac:dyDescent="0.25">
      <c r="A4771" s="36">
        <v>99914769</v>
      </c>
      <c r="B4771" s="17" t="s">
        <v>56</v>
      </c>
      <c r="C4771" t="s">
        <v>79</v>
      </c>
      <c r="D4771" t="s">
        <v>80</v>
      </c>
      <c r="G4771" s="17" t="s">
        <v>35</v>
      </c>
      <c r="H4771" s="17">
        <v>1</v>
      </c>
      <c r="K4771" t="s">
        <v>1081</v>
      </c>
      <c r="L4771" t="s">
        <v>1082</v>
      </c>
      <c r="M4771" t="s">
        <v>1053</v>
      </c>
      <c r="N4771">
        <v>24</v>
      </c>
      <c r="O4771" t="s">
        <v>40</v>
      </c>
      <c r="P4771" t="s">
        <v>40</v>
      </c>
      <c r="Q4771" t="s">
        <v>40</v>
      </c>
      <c r="R4771" t="s">
        <v>40</v>
      </c>
      <c r="S4771" t="s">
        <v>40</v>
      </c>
      <c r="V4771" t="s">
        <v>41</v>
      </c>
      <c r="W4771" t="s">
        <v>75</v>
      </c>
      <c r="X4771" t="str">
        <f>"7201006"</f>
        <v>7201006</v>
      </c>
      <c r="Y4771" t="s">
        <v>1083</v>
      </c>
      <c r="Z4771" t="s">
        <v>1081</v>
      </c>
      <c r="AA4771" t="s">
        <v>1082</v>
      </c>
      <c r="AB4771" t="s">
        <v>1053</v>
      </c>
      <c r="AC4771" t="s">
        <v>51</v>
      </c>
      <c r="AD4771" t="s">
        <v>45</v>
      </c>
      <c r="AE4771" s="1">
        <v>23012</v>
      </c>
      <c r="AF4771">
        <v>1</v>
      </c>
      <c r="AG4771" t="s">
        <v>1082</v>
      </c>
      <c r="AH4771" s="36">
        <f t="shared" si="74"/>
        <v>56.791666666666664</v>
      </c>
      <c r="AI4771" s="41" t="s">
        <v>1782</v>
      </c>
    </row>
    <row r="4772" spans="1:35" x14ac:dyDescent="0.25">
      <c r="A4772" s="36">
        <v>99914770</v>
      </c>
      <c r="B4772" s="17" t="s">
        <v>56</v>
      </c>
      <c r="C4772" t="s">
        <v>68</v>
      </c>
      <c r="D4772" t="s">
        <v>69</v>
      </c>
      <c r="G4772" s="17" t="s">
        <v>35</v>
      </c>
      <c r="H4772" s="17">
        <v>1</v>
      </c>
      <c r="K4772" t="s">
        <v>223</v>
      </c>
      <c r="L4772" t="s">
        <v>224</v>
      </c>
      <c r="M4772" t="s">
        <v>131</v>
      </c>
      <c r="N4772">
        <v>18</v>
      </c>
      <c r="O4772" t="s">
        <v>40</v>
      </c>
      <c r="P4772" t="s">
        <v>40</v>
      </c>
      <c r="Q4772" t="s">
        <v>40</v>
      </c>
      <c r="S4772" t="s">
        <v>40</v>
      </c>
      <c r="V4772" t="s">
        <v>41</v>
      </c>
      <c r="W4772" t="s">
        <v>42</v>
      </c>
      <c r="X4772" t="str">
        <f>"0590903"</f>
        <v>0590903</v>
      </c>
      <c r="Y4772" t="s">
        <v>226</v>
      </c>
      <c r="Z4772" t="s">
        <v>223</v>
      </c>
      <c r="AA4772" t="s">
        <v>224</v>
      </c>
      <c r="AB4772" t="s">
        <v>131</v>
      </c>
      <c r="AC4772" t="s">
        <v>51</v>
      </c>
      <c r="AD4772" t="s">
        <v>45</v>
      </c>
      <c r="AE4772" s="1">
        <v>23009</v>
      </c>
      <c r="AF4772">
        <v>2</v>
      </c>
      <c r="AG4772" t="s">
        <v>224</v>
      </c>
      <c r="AH4772" s="36">
        <f t="shared" si="74"/>
        <v>56.8</v>
      </c>
      <c r="AI4772" s="41" t="s">
        <v>1782</v>
      </c>
    </row>
    <row r="4773" spans="1:35" x14ac:dyDescent="0.25">
      <c r="A4773" s="36">
        <v>99914771</v>
      </c>
      <c r="B4773" s="17" t="s">
        <v>32</v>
      </c>
      <c r="C4773" t="s">
        <v>64</v>
      </c>
      <c r="D4773" t="s">
        <v>65</v>
      </c>
      <c r="G4773" s="17" t="s">
        <v>35</v>
      </c>
      <c r="H4773" s="17">
        <v>1</v>
      </c>
      <c r="K4773" t="s">
        <v>223</v>
      </c>
      <c r="L4773" t="s">
        <v>224</v>
      </c>
      <c r="M4773" t="s">
        <v>131</v>
      </c>
      <c r="N4773">
        <v>24</v>
      </c>
      <c r="O4773" t="s">
        <v>40</v>
      </c>
      <c r="P4773" t="s">
        <v>40</v>
      </c>
      <c r="Q4773" t="s">
        <v>40</v>
      </c>
      <c r="R4773" t="s">
        <v>40</v>
      </c>
      <c r="S4773" t="s">
        <v>40</v>
      </c>
      <c r="V4773" t="s">
        <v>41</v>
      </c>
      <c r="W4773" t="s">
        <v>42</v>
      </c>
      <c r="X4773" t="str">
        <f>"0590901"</f>
        <v>0590901</v>
      </c>
      <c r="Y4773" t="s">
        <v>242</v>
      </c>
      <c r="Z4773" t="s">
        <v>223</v>
      </c>
      <c r="AA4773" t="s">
        <v>224</v>
      </c>
      <c r="AB4773" t="s">
        <v>131</v>
      </c>
      <c r="AC4773" t="s">
        <v>51</v>
      </c>
      <c r="AD4773" t="s">
        <v>45</v>
      </c>
      <c r="AE4773" s="1">
        <v>22992</v>
      </c>
      <c r="AF4773">
        <v>2</v>
      </c>
      <c r="AG4773" t="s">
        <v>224</v>
      </c>
      <c r="AH4773" s="36">
        <f t="shared" si="74"/>
        <v>56.847222222222221</v>
      </c>
      <c r="AI4773" s="41" t="s">
        <v>1782</v>
      </c>
    </row>
    <row r="4774" spans="1:35" x14ac:dyDescent="0.25">
      <c r="A4774" s="36">
        <v>99914772</v>
      </c>
      <c r="B4774" s="17" t="s">
        <v>32</v>
      </c>
      <c r="C4774" t="s">
        <v>46</v>
      </c>
      <c r="D4774" t="s">
        <v>47</v>
      </c>
      <c r="G4774" s="17" t="s">
        <v>48</v>
      </c>
      <c r="H4774" s="17">
        <v>1</v>
      </c>
      <c r="K4774" t="s">
        <v>162</v>
      </c>
      <c r="L4774" t="s">
        <v>158</v>
      </c>
      <c r="M4774" t="s">
        <v>131</v>
      </c>
      <c r="N4774">
        <v>18</v>
      </c>
      <c r="O4774" t="s">
        <v>40</v>
      </c>
      <c r="P4774" t="s">
        <v>40</v>
      </c>
      <c r="Q4774" t="s">
        <v>40</v>
      </c>
      <c r="S4774" t="s">
        <v>40</v>
      </c>
      <c r="V4774" t="s">
        <v>41</v>
      </c>
      <c r="W4774" t="s">
        <v>42</v>
      </c>
      <c r="X4774" t="str">
        <f>"0580325"</f>
        <v>0580325</v>
      </c>
      <c r="Y4774" t="s">
        <v>170</v>
      </c>
      <c r="Z4774" t="s">
        <v>162</v>
      </c>
      <c r="AA4774" t="s">
        <v>158</v>
      </c>
      <c r="AB4774" t="s">
        <v>131</v>
      </c>
      <c r="AC4774" t="s">
        <v>165</v>
      </c>
      <c r="AD4774" t="s">
        <v>45</v>
      </c>
      <c r="AE4774" s="1">
        <v>22987</v>
      </c>
      <c r="AF4774">
        <v>2</v>
      </c>
      <c r="AG4774" t="s">
        <v>158</v>
      </c>
      <c r="AH4774" s="36">
        <f t="shared" si="74"/>
        <v>56.861111111111114</v>
      </c>
      <c r="AI4774" s="41" t="s">
        <v>1782</v>
      </c>
    </row>
    <row r="4775" spans="1:35" x14ac:dyDescent="0.25">
      <c r="A4775" s="36">
        <v>99914773</v>
      </c>
      <c r="B4775" s="17" t="s">
        <v>56</v>
      </c>
      <c r="C4775" t="s">
        <v>52</v>
      </c>
      <c r="D4775" t="s">
        <v>53</v>
      </c>
      <c r="G4775" s="17" t="s">
        <v>48</v>
      </c>
      <c r="H4775" s="17">
        <v>1</v>
      </c>
      <c r="K4775" t="s">
        <v>223</v>
      </c>
      <c r="L4775" t="s">
        <v>224</v>
      </c>
      <c r="M4775" t="s">
        <v>131</v>
      </c>
      <c r="N4775">
        <v>3</v>
      </c>
      <c r="O4775" t="s">
        <v>40</v>
      </c>
      <c r="P4775" t="s">
        <v>40</v>
      </c>
      <c r="Q4775" t="s">
        <v>40</v>
      </c>
      <c r="R4775" t="s">
        <v>40</v>
      </c>
      <c r="S4775" t="s">
        <v>40</v>
      </c>
      <c r="V4775" t="s">
        <v>41</v>
      </c>
      <c r="W4775" t="s">
        <v>42</v>
      </c>
      <c r="X4775" t="str">
        <f>"0580207"</f>
        <v>0580207</v>
      </c>
      <c r="Y4775" t="s">
        <v>229</v>
      </c>
      <c r="Z4775" t="s">
        <v>223</v>
      </c>
      <c r="AA4775" t="s">
        <v>224</v>
      </c>
      <c r="AB4775" t="s">
        <v>131</v>
      </c>
      <c r="AC4775" t="s">
        <v>165</v>
      </c>
      <c r="AD4775" t="s">
        <v>45</v>
      </c>
      <c r="AE4775" s="1">
        <v>22987</v>
      </c>
      <c r="AF4775">
        <v>2</v>
      </c>
      <c r="AG4775" t="s">
        <v>224</v>
      </c>
      <c r="AH4775" s="36">
        <f t="shared" si="74"/>
        <v>56.861111111111114</v>
      </c>
      <c r="AI4775" s="41" t="s">
        <v>1782</v>
      </c>
    </row>
    <row r="4776" spans="1:35" x14ac:dyDescent="0.25">
      <c r="A4776" s="36">
        <v>99914774</v>
      </c>
      <c r="B4776" s="17" t="s">
        <v>56</v>
      </c>
      <c r="C4776" t="s">
        <v>111</v>
      </c>
      <c r="D4776" t="s">
        <v>112</v>
      </c>
      <c r="G4776" s="17" t="s">
        <v>48</v>
      </c>
      <c r="H4776" s="17">
        <v>6</v>
      </c>
      <c r="I4776" t="s">
        <v>490</v>
      </c>
      <c r="J4776" s="1">
        <v>35309</v>
      </c>
      <c r="K4776" t="s">
        <v>431</v>
      </c>
      <c r="L4776" t="s">
        <v>196</v>
      </c>
      <c r="M4776" t="s">
        <v>131</v>
      </c>
      <c r="N4776">
        <v>21</v>
      </c>
      <c r="O4776" t="s">
        <v>40</v>
      </c>
      <c r="P4776" t="s">
        <v>40</v>
      </c>
      <c r="Q4776" t="s">
        <v>40</v>
      </c>
      <c r="R4776" t="s">
        <v>40</v>
      </c>
      <c r="S4776" t="s">
        <v>40</v>
      </c>
      <c r="U4776" s="1">
        <v>35309</v>
      </c>
      <c r="V4776" t="s">
        <v>41</v>
      </c>
      <c r="W4776" t="s">
        <v>75</v>
      </c>
      <c r="X4776" t="str">
        <f>"7521012"</f>
        <v>7521012</v>
      </c>
      <c r="Y4776" t="s">
        <v>432</v>
      </c>
      <c r="Z4776" t="s">
        <v>431</v>
      </c>
      <c r="AA4776" t="s">
        <v>196</v>
      </c>
      <c r="AB4776" t="s">
        <v>131</v>
      </c>
      <c r="AC4776" t="s">
        <v>165</v>
      </c>
      <c r="AD4776" t="s">
        <v>45</v>
      </c>
      <c r="AE4776" s="1">
        <v>22984</v>
      </c>
      <c r="AF4776">
        <v>1</v>
      </c>
      <c r="AG4776" t="s">
        <v>196</v>
      </c>
      <c r="AH4776" s="36">
        <f t="shared" si="74"/>
        <v>56.869444444444447</v>
      </c>
      <c r="AI4776" s="41" t="s">
        <v>1782</v>
      </c>
    </row>
    <row r="4777" spans="1:35" x14ac:dyDescent="0.25">
      <c r="A4777" s="36">
        <v>99914775</v>
      </c>
      <c r="B4777" s="17" t="s">
        <v>32</v>
      </c>
      <c r="C4777" t="s">
        <v>141</v>
      </c>
      <c r="D4777" t="s">
        <v>142</v>
      </c>
      <c r="G4777" s="17" t="s">
        <v>35</v>
      </c>
      <c r="H4777" s="17">
        <v>1</v>
      </c>
      <c r="K4777" t="s">
        <v>963</v>
      </c>
      <c r="L4777" t="s">
        <v>964</v>
      </c>
      <c r="M4777" t="s">
        <v>938</v>
      </c>
      <c r="N4777">
        <v>20</v>
      </c>
      <c r="O4777" t="s">
        <v>40</v>
      </c>
      <c r="P4777" t="s">
        <v>40</v>
      </c>
      <c r="Q4777" t="s">
        <v>40</v>
      </c>
      <c r="S4777" t="s">
        <v>40</v>
      </c>
      <c r="V4777" t="s">
        <v>41</v>
      </c>
      <c r="W4777" t="s">
        <v>75</v>
      </c>
      <c r="X4777" t="str">
        <f>"7061000"</f>
        <v>7061000</v>
      </c>
      <c r="Y4777" t="s">
        <v>962</v>
      </c>
      <c r="Z4777" t="s">
        <v>963</v>
      </c>
      <c r="AA4777" t="s">
        <v>964</v>
      </c>
      <c r="AB4777" t="s">
        <v>938</v>
      </c>
      <c r="AC4777" t="s">
        <v>165</v>
      </c>
      <c r="AD4777" t="s">
        <v>45</v>
      </c>
      <c r="AE4777" s="1">
        <v>22979</v>
      </c>
      <c r="AF4777">
        <v>1</v>
      </c>
      <c r="AG4777" t="s">
        <v>964</v>
      </c>
      <c r="AH4777" s="36">
        <f t="shared" si="74"/>
        <v>56.883333333333333</v>
      </c>
      <c r="AI4777" s="41" t="s">
        <v>1782</v>
      </c>
    </row>
    <row r="4778" spans="1:35" x14ac:dyDescent="0.25">
      <c r="A4778" s="36">
        <v>99914776</v>
      </c>
      <c r="B4778" s="17" t="s">
        <v>32</v>
      </c>
      <c r="C4778" t="s">
        <v>64</v>
      </c>
      <c r="D4778" t="s">
        <v>65</v>
      </c>
      <c r="G4778" s="17" t="s">
        <v>35</v>
      </c>
      <c r="H4778" s="17">
        <v>1</v>
      </c>
      <c r="I4778" s="1">
        <v>33504</v>
      </c>
      <c r="J4778" s="1">
        <v>43344</v>
      </c>
      <c r="K4778" t="s">
        <v>1341</v>
      </c>
      <c r="L4778" t="s">
        <v>1342</v>
      </c>
      <c r="M4778" t="s">
        <v>1270</v>
      </c>
      <c r="N4778">
        <v>24</v>
      </c>
      <c r="O4778" t="s">
        <v>40</v>
      </c>
      <c r="S4778" t="s">
        <v>40</v>
      </c>
      <c r="U4778" s="1">
        <v>43344</v>
      </c>
      <c r="V4778" t="s">
        <v>41</v>
      </c>
      <c r="W4778" t="s">
        <v>75</v>
      </c>
      <c r="X4778" t="str">
        <f>"7191004"</f>
        <v>7191004</v>
      </c>
      <c r="Y4778" t="s">
        <v>1344</v>
      </c>
      <c r="Z4778" t="s">
        <v>1341</v>
      </c>
      <c r="AA4778" t="s">
        <v>1342</v>
      </c>
      <c r="AB4778" t="s">
        <v>1270</v>
      </c>
      <c r="AC4778" t="s">
        <v>51</v>
      </c>
      <c r="AD4778" t="s">
        <v>45</v>
      </c>
      <c r="AE4778" s="1">
        <v>22970</v>
      </c>
      <c r="AF4778">
        <v>1</v>
      </c>
      <c r="AG4778" t="s">
        <v>1342</v>
      </c>
      <c r="AH4778" s="36">
        <f t="shared" si="74"/>
        <v>56.908333333333331</v>
      </c>
      <c r="AI4778" s="41" t="s">
        <v>1782</v>
      </c>
    </row>
    <row r="4779" spans="1:35" x14ac:dyDescent="0.25">
      <c r="A4779" s="36">
        <v>99914777</v>
      </c>
      <c r="B4779" s="17" t="s">
        <v>32</v>
      </c>
      <c r="C4779" t="s">
        <v>139</v>
      </c>
      <c r="D4779" t="s">
        <v>140</v>
      </c>
      <c r="G4779" s="17" t="s">
        <v>48</v>
      </c>
      <c r="H4779" s="17">
        <v>1</v>
      </c>
      <c r="K4779" t="s">
        <v>162</v>
      </c>
      <c r="L4779" t="s">
        <v>158</v>
      </c>
      <c r="M4779" t="s">
        <v>131</v>
      </c>
      <c r="N4779">
        <v>18</v>
      </c>
      <c r="O4779" t="s">
        <v>40</v>
      </c>
      <c r="P4779" t="s">
        <v>40</v>
      </c>
      <c r="Q4779" t="s">
        <v>40</v>
      </c>
      <c r="S4779" t="s">
        <v>40</v>
      </c>
      <c r="V4779" t="s">
        <v>41</v>
      </c>
      <c r="W4779" t="s">
        <v>49</v>
      </c>
      <c r="X4779" t="str">
        <f>"0581325"</f>
        <v>0581325</v>
      </c>
      <c r="Y4779" t="s">
        <v>169</v>
      </c>
      <c r="Z4779" t="s">
        <v>162</v>
      </c>
      <c r="AA4779" t="s">
        <v>158</v>
      </c>
      <c r="AB4779" t="s">
        <v>131</v>
      </c>
      <c r="AC4779" t="s">
        <v>165</v>
      </c>
      <c r="AD4779" t="s">
        <v>45</v>
      </c>
      <c r="AE4779" s="1">
        <v>22967</v>
      </c>
      <c r="AF4779">
        <v>2</v>
      </c>
      <c r="AG4779" t="s">
        <v>158</v>
      </c>
      <c r="AH4779" s="36">
        <f t="shared" si="74"/>
        <v>56.916666666666664</v>
      </c>
      <c r="AI4779" s="41" t="s">
        <v>1782</v>
      </c>
    </row>
    <row r="4780" spans="1:35" x14ac:dyDescent="0.25">
      <c r="A4780" s="36">
        <v>99914778</v>
      </c>
      <c r="B4780" s="17" t="s">
        <v>56</v>
      </c>
      <c r="C4780" t="s">
        <v>68</v>
      </c>
      <c r="D4780" t="s">
        <v>69</v>
      </c>
      <c r="G4780" s="17" t="s">
        <v>35</v>
      </c>
      <c r="H4780" s="17">
        <v>1</v>
      </c>
      <c r="I4780" t="s">
        <v>294</v>
      </c>
      <c r="J4780" s="1">
        <v>43344</v>
      </c>
      <c r="K4780" t="s">
        <v>223</v>
      </c>
      <c r="L4780" t="s">
        <v>224</v>
      </c>
      <c r="M4780" t="s">
        <v>131</v>
      </c>
      <c r="N4780">
        <v>23</v>
      </c>
      <c r="O4780" t="s">
        <v>40</v>
      </c>
      <c r="P4780" t="s">
        <v>40</v>
      </c>
      <c r="Q4780" t="s">
        <v>40</v>
      </c>
      <c r="R4780" t="s">
        <v>40</v>
      </c>
      <c r="S4780" t="s">
        <v>40</v>
      </c>
      <c r="U4780" s="1">
        <v>43344</v>
      </c>
      <c r="V4780" t="s">
        <v>41</v>
      </c>
      <c r="W4780" t="s">
        <v>42</v>
      </c>
      <c r="X4780" t="str">
        <f>"0590903"</f>
        <v>0590903</v>
      </c>
      <c r="Y4780" t="s">
        <v>226</v>
      </c>
      <c r="Z4780" t="s">
        <v>223</v>
      </c>
      <c r="AA4780" t="s">
        <v>224</v>
      </c>
      <c r="AB4780" t="s">
        <v>131</v>
      </c>
      <c r="AC4780" t="s">
        <v>44</v>
      </c>
      <c r="AD4780" t="s">
        <v>45</v>
      </c>
      <c r="AE4780" s="1">
        <v>22967</v>
      </c>
      <c r="AF4780">
        <v>2</v>
      </c>
      <c r="AG4780" t="s">
        <v>224</v>
      </c>
      <c r="AH4780" s="36">
        <f t="shared" si="74"/>
        <v>56.916666666666664</v>
      </c>
      <c r="AI4780" s="41" t="s">
        <v>1782</v>
      </c>
    </row>
    <row r="4781" spans="1:35" x14ac:dyDescent="0.25">
      <c r="A4781" s="36">
        <v>99914779</v>
      </c>
      <c r="B4781" s="17" t="s">
        <v>56</v>
      </c>
      <c r="C4781" t="s">
        <v>85</v>
      </c>
      <c r="D4781" t="s">
        <v>86</v>
      </c>
      <c r="G4781" s="17" t="s">
        <v>35</v>
      </c>
      <c r="H4781" s="17">
        <v>1</v>
      </c>
      <c r="K4781" t="s">
        <v>223</v>
      </c>
      <c r="L4781" t="s">
        <v>224</v>
      </c>
      <c r="M4781" t="s">
        <v>131</v>
      </c>
      <c r="N4781">
        <v>15</v>
      </c>
      <c r="O4781" t="s">
        <v>40</v>
      </c>
      <c r="P4781" t="s">
        <v>40</v>
      </c>
      <c r="Q4781" t="s">
        <v>40</v>
      </c>
      <c r="R4781" t="s">
        <v>40</v>
      </c>
      <c r="S4781" t="s">
        <v>40</v>
      </c>
      <c r="V4781" t="s">
        <v>41</v>
      </c>
      <c r="W4781" t="s">
        <v>49</v>
      </c>
      <c r="X4781" t="str">
        <f>"0540902"</f>
        <v>0540902</v>
      </c>
      <c r="Y4781" t="s">
        <v>256</v>
      </c>
      <c r="Z4781" t="s">
        <v>223</v>
      </c>
      <c r="AA4781" t="s">
        <v>224</v>
      </c>
      <c r="AB4781" t="s">
        <v>131</v>
      </c>
      <c r="AC4781" t="s">
        <v>51</v>
      </c>
      <c r="AD4781" t="s">
        <v>45</v>
      </c>
      <c r="AE4781" s="1">
        <v>22966</v>
      </c>
      <c r="AF4781">
        <v>2</v>
      </c>
      <c r="AG4781" t="s">
        <v>224</v>
      </c>
      <c r="AH4781" s="36">
        <f t="shared" si="74"/>
        <v>56.919444444444444</v>
      </c>
      <c r="AI4781" s="41" t="s">
        <v>1782</v>
      </c>
    </row>
    <row r="4782" spans="1:35" x14ac:dyDescent="0.25">
      <c r="A4782" s="36">
        <v>99914780</v>
      </c>
      <c r="B4782" s="17" t="s">
        <v>32</v>
      </c>
      <c r="C4782" t="s">
        <v>85</v>
      </c>
      <c r="D4782" t="s">
        <v>86</v>
      </c>
      <c r="G4782" s="17" t="s">
        <v>48</v>
      </c>
      <c r="H4782" s="17">
        <v>1</v>
      </c>
      <c r="K4782" t="s">
        <v>223</v>
      </c>
      <c r="L4782" t="s">
        <v>224</v>
      </c>
      <c r="M4782" t="s">
        <v>131</v>
      </c>
      <c r="N4782">
        <v>18</v>
      </c>
      <c r="O4782" t="s">
        <v>40</v>
      </c>
      <c r="P4782" t="s">
        <v>40</v>
      </c>
      <c r="Q4782" t="s">
        <v>40</v>
      </c>
      <c r="R4782" t="s">
        <v>40</v>
      </c>
      <c r="S4782" t="s">
        <v>40</v>
      </c>
      <c r="V4782" t="s">
        <v>41</v>
      </c>
      <c r="W4782" t="s">
        <v>49</v>
      </c>
      <c r="X4782" t="str">
        <f>"0581202"</f>
        <v>0581202</v>
      </c>
      <c r="Y4782" t="s">
        <v>248</v>
      </c>
      <c r="Z4782" t="s">
        <v>223</v>
      </c>
      <c r="AA4782" t="s">
        <v>224</v>
      </c>
      <c r="AB4782" t="s">
        <v>131</v>
      </c>
      <c r="AC4782" t="s">
        <v>165</v>
      </c>
      <c r="AD4782" t="s">
        <v>45</v>
      </c>
      <c r="AE4782" s="1">
        <v>22962</v>
      </c>
      <c r="AF4782">
        <v>2</v>
      </c>
      <c r="AG4782" t="s">
        <v>224</v>
      </c>
      <c r="AH4782" s="36">
        <f t="shared" si="74"/>
        <v>56.930555555555557</v>
      </c>
      <c r="AI4782" s="41" t="s">
        <v>1782</v>
      </c>
    </row>
    <row r="4783" spans="1:35" x14ac:dyDescent="0.25">
      <c r="A4783" s="36">
        <v>99914781</v>
      </c>
      <c r="B4783" s="17" t="s">
        <v>32</v>
      </c>
      <c r="C4783" t="s">
        <v>82</v>
      </c>
      <c r="D4783" t="s">
        <v>83</v>
      </c>
      <c r="G4783" s="17" t="s">
        <v>35</v>
      </c>
      <c r="H4783" s="17">
        <v>1</v>
      </c>
      <c r="K4783" t="s">
        <v>223</v>
      </c>
      <c r="L4783" t="s">
        <v>224</v>
      </c>
      <c r="M4783" t="s">
        <v>131</v>
      </c>
      <c r="N4783">
        <v>18</v>
      </c>
      <c r="O4783" t="s">
        <v>40</v>
      </c>
      <c r="P4783" t="s">
        <v>40</v>
      </c>
      <c r="Q4783" t="s">
        <v>40</v>
      </c>
      <c r="R4783" t="s">
        <v>40</v>
      </c>
      <c r="S4783" t="s">
        <v>40</v>
      </c>
      <c r="V4783" t="s">
        <v>41</v>
      </c>
      <c r="W4783" t="s">
        <v>42</v>
      </c>
      <c r="X4783" t="str">
        <f>"0590907"</f>
        <v>0590907</v>
      </c>
      <c r="Y4783" t="s">
        <v>285</v>
      </c>
      <c r="Z4783" t="s">
        <v>223</v>
      </c>
      <c r="AA4783" t="s">
        <v>224</v>
      </c>
      <c r="AB4783" t="s">
        <v>131</v>
      </c>
      <c r="AC4783" t="s">
        <v>51</v>
      </c>
      <c r="AD4783" t="s">
        <v>45</v>
      </c>
      <c r="AE4783" s="1">
        <v>22961</v>
      </c>
      <c r="AF4783">
        <v>2</v>
      </c>
      <c r="AG4783" t="s">
        <v>224</v>
      </c>
      <c r="AH4783" s="36">
        <f t="shared" si="74"/>
        <v>56.93333333333333</v>
      </c>
      <c r="AI4783" s="41" t="s">
        <v>1782</v>
      </c>
    </row>
    <row r="4784" spans="1:35" x14ac:dyDescent="0.25">
      <c r="A4784" s="36">
        <v>99914782</v>
      </c>
      <c r="B4784" s="17" t="s">
        <v>32</v>
      </c>
      <c r="C4784" t="s">
        <v>79</v>
      </c>
      <c r="D4784" t="s">
        <v>80</v>
      </c>
      <c r="G4784" s="17" t="s">
        <v>48</v>
      </c>
      <c r="H4784" s="17">
        <v>1</v>
      </c>
      <c r="K4784" t="s">
        <v>380</v>
      </c>
      <c r="L4784" t="s">
        <v>381</v>
      </c>
      <c r="M4784" t="s">
        <v>131</v>
      </c>
      <c r="N4784">
        <v>18</v>
      </c>
      <c r="O4784" t="s">
        <v>40</v>
      </c>
      <c r="P4784" t="s">
        <v>40</v>
      </c>
      <c r="Q4784" t="s">
        <v>40</v>
      </c>
      <c r="S4784" t="s">
        <v>40</v>
      </c>
      <c r="V4784" t="s">
        <v>41</v>
      </c>
      <c r="W4784" t="s">
        <v>49</v>
      </c>
      <c r="X4784" t="str">
        <f>"0591909"</f>
        <v>0591909</v>
      </c>
      <c r="Y4784" t="s">
        <v>385</v>
      </c>
      <c r="Z4784" t="s">
        <v>380</v>
      </c>
      <c r="AA4784" t="s">
        <v>381</v>
      </c>
      <c r="AB4784" t="s">
        <v>131</v>
      </c>
      <c r="AC4784" t="s">
        <v>51</v>
      </c>
      <c r="AD4784" t="s">
        <v>45</v>
      </c>
      <c r="AE4784" s="1">
        <v>22960</v>
      </c>
      <c r="AF4784">
        <v>2</v>
      </c>
      <c r="AG4784" t="s">
        <v>381</v>
      </c>
      <c r="AH4784" s="36">
        <f t="shared" si="74"/>
        <v>56.93611111111111</v>
      </c>
      <c r="AI4784" s="41" t="s">
        <v>1782</v>
      </c>
    </row>
    <row r="4785" spans="1:35" x14ac:dyDescent="0.25">
      <c r="A4785" s="36">
        <v>99914783</v>
      </c>
      <c r="B4785" s="17" t="s">
        <v>56</v>
      </c>
      <c r="C4785" t="s">
        <v>68</v>
      </c>
      <c r="D4785" t="s">
        <v>69</v>
      </c>
      <c r="G4785" s="17" t="s">
        <v>48</v>
      </c>
      <c r="H4785" s="17">
        <v>1</v>
      </c>
      <c r="K4785" t="s">
        <v>345</v>
      </c>
      <c r="L4785" t="s">
        <v>346</v>
      </c>
      <c r="M4785" t="s">
        <v>131</v>
      </c>
      <c r="N4785">
        <v>18</v>
      </c>
      <c r="O4785" t="s">
        <v>40</v>
      </c>
      <c r="P4785" t="s">
        <v>40</v>
      </c>
      <c r="Q4785" t="s">
        <v>40</v>
      </c>
      <c r="S4785" t="s">
        <v>40</v>
      </c>
      <c r="V4785" t="s">
        <v>41</v>
      </c>
      <c r="W4785" t="s">
        <v>42</v>
      </c>
      <c r="X4785" t="str">
        <f>"0580605"</f>
        <v>0580605</v>
      </c>
      <c r="Y4785" t="s">
        <v>362</v>
      </c>
      <c r="Z4785" t="s">
        <v>345</v>
      </c>
      <c r="AA4785" t="s">
        <v>346</v>
      </c>
      <c r="AB4785" t="s">
        <v>131</v>
      </c>
      <c r="AC4785" t="s">
        <v>51</v>
      </c>
      <c r="AD4785" t="s">
        <v>45</v>
      </c>
      <c r="AE4785" s="1">
        <v>22955</v>
      </c>
      <c r="AF4785">
        <v>2</v>
      </c>
      <c r="AG4785" t="s">
        <v>346</v>
      </c>
      <c r="AH4785" s="36">
        <f t="shared" si="74"/>
        <v>56.95</v>
      </c>
      <c r="AI4785" s="41" t="s">
        <v>1782</v>
      </c>
    </row>
    <row r="4786" spans="1:35" x14ac:dyDescent="0.25">
      <c r="A4786" s="36">
        <v>99914784</v>
      </c>
      <c r="B4786" s="17" t="s">
        <v>56</v>
      </c>
      <c r="C4786" t="s">
        <v>68</v>
      </c>
      <c r="D4786" t="s">
        <v>69</v>
      </c>
      <c r="G4786" s="17" t="s">
        <v>48</v>
      </c>
      <c r="H4786" s="17">
        <v>1</v>
      </c>
      <c r="K4786" t="s">
        <v>345</v>
      </c>
      <c r="L4786" t="s">
        <v>346</v>
      </c>
      <c r="M4786" t="s">
        <v>131</v>
      </c>
      <c r="N4786">
        <v>18</v>
      </c>
      <c r="O4786" t="s">
        <v>40</v>
      </c>
      <c r="P4786" t="s">
        <v>40</v>
      </c>
      <c r="Q4786" t="s">
        <v>40</v>
      </c>
      <c r="R4786" t="s">
        <v>40</v>
      </c>
      <c r="S4786" t="s">
        <v>40</v>
      </c>
      <c r="V4786" t="s">
        <v>41</v>
      </c>
      <c r="W4786" t="s">
        <v>49</v>
      </c>
      <c r="X4786" t="str">
        <f>"0591906"</f>
        <v>0591906</v>
      </c>
      <c r="Y4786" t="s">
        <v>350</v>
      </c>
      <c r="Z4786" t="s">
        <v>345</v>
      </c>
      <c r="AA4786" t="s">
        <v>346</v>
      </c>
      <c r="AB4786" t="s">
        <v>131</v>
      </c>
      <c r="AC4786" t="s">
        <v>51</v>
      </c>
      <c r="AD4786" t="s">
        <v>45</v>
      </c>
      <c r="AE4786" s="1">
        <v>22946</v>
      </c>
      <c r="AF4786">
        <v>2</v>
      </c>
      <c r="AG4786" t="s">
        <v>346</v>
      </c>
      <c r="AH4786" s="36">
        <f t="shared" si="74"/>
        <v>56.975000000000001</v>
      </c>
      <c r="AI4786" s="41" t="s">
        <v>1782</v>
      </c>
    </row>
    <row r="4787" spans="1:35" x14ac:dyDescent="0.25">
      <c r="A4787" s="36">
        <v>99914785</v>
      </c>
      <c r="B4787" s="17" t="s">
        <v>32</v>
      </c>
      <c r="C4787" t="s">
        <v>68</v>
      </c>
      <c r="D4787" t="s">
        <v>69</v>
      </c>
      <c r="G4787" s="17" t="s">
        <v>48</v>
      </c>
      <c r="H4787" s="17">
        <v>1</v>
      </c>
      <c r="K4787" t="s">
        <v>223</v>
      </c>
      <c r="L4787" t="s">
        <v>224</v>
      </c>
      <c r="M4787" t="s">
        <v>131</v>
      </c>
      <c r="N4787">
        <v>20</v>
      </c>
      <c r="O4787" t="s">
        <v>40</v>
      </c>
      <c r="P4787" t="s">
        <v>40</v>
      </c>
      <c r="Q4787" t="s">
        <v>40</v>
      </c>
      <c r="R4787" t="s">
        <v>40</v>
      </c>
      <c r="S4787" t="s">
        <v>40</v>
      </c>
      <c r="V4787" t="s">
        <v>41</v>
      </c>
      <c r="W4787" t="s">
        <v>49</v>
      </c>
      <c r="X4787" t="str">
        <f>"0581200"</f>
        <v>0581200</v>
      </c>
      <c r="Y4787" t="s">
        <v>238</v>
      </c>
      <c r="Z4787" t="s">
        <v>223</v>
      </c>
      <c r="AA4787" t="s">
        <v>224</v>
      </c>
      <c r="AB4787" t="s">
        <v>131</v>
      </c>
      <c r="AC4787" t="s">
        <v>51</v>
      </c>
      <c r="AD4787" t="s">
        <v>45</v>
      </c>
      <c r="AE4787" s="1">
        <v>22943</v>
      </c>
      <c r="AF4787">
        <v>2</v>
      </c>
      <c r="AG4787" t="s">
        <v>224</v>
      </c>
      <c r="AH4787" s="36">
        <f t="shared" si="74"/>
        <v>56.983333333333334</v>
      </c>
      <c r="AI4787" s="41" t="s">
        <v>1782</v>
      </c>
    </row>
    <row r="4788" spans="1:35" x14ac:dyDescent="0.25">
      <c r="A4788" s="36">
        <v>99914786</v>
      </c>
      <c r="B4788" s="17" t="s">
        <v>56</v>
      </c>
      <c r="C4788" t="s">
        <v>52</v>
      </c>
      <c r="D4788" t="s">
        <v>53</v>
      </c>
      <c r="G4788" s="17" t="s">
        <v>35</v>
      </c>
      <c r="H4788" s="17">
        <v>1</v>
      </c>
      <c r="K4788" t="s">
        <v>947</v>
      </c>
      <c r="L4788" t="s">
        <v>948</v>
      </c>
      <c r="M4788" t="s">
        <v>938</v>
      </c>
      <c r="N4788">
        <v>18</v>
      </c>
      <c r="O4788" t="s">
        <v>40</v>
      </c>
      <c r="P4788" t="s">
        <v>40</v>
      </c>
      <c r="Q4788" t="s">
        <v>40</v>
      </c>
      <c r="R4788" t="s">
        <v>40</v>
      </c>
      <c r="S4788" t="s">
        <v>40</v>
      </c>
      <c r="V4788" t="s">
        <v>41</v>
      </c>
      <c r="W4788" t="s">
        <v>42</v>
      </c>
      <c r="X4788" t="str">
        <f>"0680030"</f>
        <v>0680030</v>
      </c>
      <c r="Y4788" t="s">
        <v>951</v>
      </c>
      <c r="Z4788" t="s">
        <v>947</v>
      </c>
      <c r="AA4788" t="s">
        <v>948</v>
      </c>
      <c r="AB4788" t="s">
        <v>938</v>
      </c>
      <c r="AC4788" t="s">
        <v>165</v>
      </c>
      <c r="AD4788" t="s">
        <v>45</v>
      </c>
      <c r="AE4788" s="1">
        <v>22943</v>
      </c>
      <c r="AF4788">
        <v>2</v>
      </c>
      <c r="AG4788" t="s">
        <v>948</v>
      </c>
      <c r="AH4788" s="36">
        <f t="shared" si="74"/>
        <v>56.983333333333334</v>
      </c>
      <c r="AI4788" s="41" t="s">
        <v>1782</v>
      </c>
    </row>
    <row r="4789" spans="1:35" x14ac:dyDescent="0.25">
      <c r="A4789" s="36">
        <v>99914787</v>
      </c>
      <c r="B4789" s="17" t="s">
        <v>32</v>
      </c>
      <c r="C4789" t="s">
        <v>64</v>
      </c>
      <c r="D4789" t="s">
        <v>65</v>
      </c>
      <c r="G4789" s="17" t="s">
        <v>48</v>
      </c>
      <c r="H4789" s="17">
        <v>1</v>
      </c>
      <c r="K4789" t="s">
        <v>162</v>
      </c>
      <c r="L4789" t="s">
        <v>158</v>
      </c>
      <c r="M4789" t="s">
        <v>131</v>
      </c>
      <c r="N4789">
        <v>18</v>
      </c>
      <c r="O4789" t="s">
        <v>40</v>
      </c>
      <c r="P4789" t="s">
        <v>40</v>
      </c>
      <c r="Q4789" t="s">
        <v>40</v>
      </c>
      <c r="R4789" t="s">
        <v>40</v>
      </c>
      <c r="S4789" t="s">
        <v>40</v>
      </c>
      <c r="V4789" t="s">
        <v>41</v>
      </c>
      <c r="W4789" t="s">
        <v>42</v>
      </c>
      <c r="X4789" t="str">
        <f>"0580325"</f>
        <v>0580325</v>
      </c>
      <c r="Y4789" t="s">
        <v>170</v>
      </c>
      <c r="Z4789" t="s">
        <v>162</v>
      </c>
      <c r="AA4789" t="s">
        <v>158</v>
      </c>
      <c r="AB4789" t="s">
        <v>131</v>
      </c>
      <c r="AC4789" t="s">
        <v>165</v>
      </c>
      <c r="AD4789" t="s">
        <v>45</v>
      </c>
      <c r="AE4789" s="1">
        <v>22942</v>
      </c>
      <c r="AF4789">
        <v>2</v>
      </c>
      <c r="AG4789" t="s">
        <v>158</v>
      </c>
      <c r="AH4789" s="36">
        <f t="shared" si="74"/>
        <v>56.986111111111114</v>
      </c>
      <c r="AI4789" s="41" t="s">
        <v>1782</v>
      </c>
    </row>
    <row r="4790" spans="1:35" x14ac:dyDescent="0.25">
      <c r="A4790" s="36">
        <v>99914788</v>
      </c>
      <c r="B4790" s="17" t="s">
        <v>56</v>
      </c>
      <c r="C4790" t="s">
        <v>79</v>
      </c>
      <c r="D4790" t="s">
        <v>80</v>
      </c>
      <c r="G4790" s="17" t="s">
        <v>48</v>
      </c>
      <c r="H4790" s="17">
        <v>1</v>
      </c>
      <c r="K4790" t="s">
        <v>354</v>
      </c>
      <c r="L4790" t="s">
        <v>355</v>
      </c>
      <c r="M4790" t="s">
        <v>131</v>
      </c>
      <c r="N4790">
        <v>18</v>
      </c>
      <c r="O4790" t="s">
        <v>40</v>
      </c>
      <c r="P4790" t="s">
        <v>40</v>
      </c>
      <c r="Q4790" t="s">
        <v>40</v>
      </c>
      <c r="R4790" t="s">
        <v>40</v>
      </c>
      <c r="S4790" t="s">
        <v>40</v>
      </c>
      <c r="V4790" t="s">
        <v>41</v>
      </c>
      <c r="W4790" t="s">
        <v>75</v>
      </c>
      <c r="X4790" t="str">
        <f>"7054002"</f>
        <v>7054002</v>
      </c>
      <c r="Y4790" t="s">
        <v>376</v>
      </c>
      <c r="Z4790" t="s">
        <v>354</v>
      </c>
      <c r="AA4790" t="s">
        <v>355</v>
      </c>
      <c r="AB4790" t="s">
        <v>131</v>
      </c>
      <c r="AC4790" t="s">
        <v>51</v>
      </c>
      <c r="AD4790" t="s">
        <v>45</v>
      </c>
      <c r="AE4790" s="1">
        <v>22942</v>
      </c>
      <c r="AF4790">
        <v>1</v>
      </c>
      <c r="AG4790" t="s">
        <v>355</v>
      </c>
      <c r="AH4790" s="36">
        <f t="shared" si="74"/>
        <v>56.986111111111114</v>
      </c>
      <c r="AI4790" s="41" t="s">
        <v>1782</v>
      </c>
    </row>
    <row r="4791" spans="1:35" x14ac:dyDescent="0.25">
      <c r="A4791" s="36">
        <v>99914789</v>
      </c>
      <c r="B4791" s="17" t="s">
        <v>56</v>
      </c>
      <c r="C4791" t="s">
        <v>82</v>
      </c>
      <c r="D4791" t="s">
        <v>83</v>
      </c>
      <c r="G4791" s="17" t="s">
        <v>48</v>
      </c>
      <c r="H4791" s="17">
        <v>1</v>
      </c>
      <c r="K4791" t="s">
        <v>345</v>
      </c>
      <c r="L4791" t="s">
        <v>346</v>
      </c>
      <c r="M4791" t="s">
        <v>131</v>
      </c>
      <c r="N4791">
        <v>18</v>
      </c>
      <c r="O4791" t="s">
        <v>40</v>
      </c>
      <c r="P4791" t="s">
        <v>40</v>
      </c>
      <c r="Q4791" t="s">
        <v>40</v>
      </c>
      <c r="R4791" t="s">
        <v>40</v>
      </c>
      <c r="S4791" t="s">
        <v>40</v>
      </c>
      <c r="V4791" t="s">
        <v>41</v>
      </c>
      <c r="W4791" t="s">
        <v>42</v>
      </c>
      <c r="X4791" t="str">
        <f>"0590906"</f>
        <v>0590906</v>
      </c>
      <c r="Y4791" t="s">
        <v>361</v>
      </c>
      <c r="Z4791" t="s">
        <v>345</v>
      </c>
      <c r="AA4791" t="s">
        <v>346</v>
      </c>
      <c r="AB4791" t="s">
        <v>131</v>
      </c>
      <c r="AC4791" t="s">
        <v>51</v>
      </c>
      <c r="AD4791" t="s">
        <v>45</v>
      </c>
      <c r="AE4791" s="1">
        <v>22940</v>
      </c>
      <c r="AF4791">
        <v>2</v>
      </c>
      <c r="AG4791" t="s">
        <v>346</v>
      </c>
      <c r="AH4791" s="36">
        <f t="shared" si="74"/>
        <v>56.991666666666667</v>
      </c>
      <c r="AI4791" s="41" t="s">
        <v>1782</v>
      </c>
    </row>
    <row r="4792" spans="1:35" x14ac:dyDescent="0.25">
      <c r="A4792" s="36">
        <v>99914790</v>
      </c>
      <c r="B4792" s="17" t="s">
        <v>32</v>
      </c>
      <c r="C4792" t="s">
        <v>145</v>
      </c>
      <c r="D4792" t="s">
        <v>146</v>
      </c>
      <c r="G4792" s="17" t="s">
        <v>48</v>
      </c>
      <c r="H4792" s="17">
        <v>1</v>
      </c>
      <c r="K4792" t="s">
        <v>129</v>
      </c>
      <c r="L4792" t="s">
        <v>130</v>
      </c>
      <c r="M4792" t="s">
        <v>131</v>
      </c>
      <c r="N4792">
        <v>18</v>
      </c>
      <c r="O4792" t="s">
        <v>40</v>
      </c>
      <c r="P4792" t="s">
        <v>40</v>
      </c>
      <c r="Q4792" t="s">
        <v>40</v>
      </c>
      <c r="R4792" t="s">
        <v>40</v>
      </c>
      <c r="S4792" t="s">
        <v>40</v>
      </c>
      <c r="V4792" t="s">
        <v>41</v>
      </c>
      <c r="W4792" t="s">
        <v>42</v>
      </c>
      <c r="X4792" t="str">
        <f>"0590905"</f>
        <v>0590905</v>
      </c>
      <c r="Y4792" t="s">
        <v>133</v>
      </c>
      <c r="Z4792" t="s">
        <v>129</v>
      </c>
      <c r="AA4792" t="s">
        <v>130</v>
      </c>
      <c r="AB4792" t="s">
        <v>131</v>
      </c>
      <c r="AC4792" t="s">
        <v>51</v>
      </c>
      <c r="AD4792" t="s">
        <v>45</v>
      </c>
      <c r="AE4792" s="1">
        <v>22936</v>
      </c>
      <c r="AF4792">
        <v>2</v>
      </c>
      <c r="AG4792" t="s">
        <v>130</v>
      </c>
      <c r="AH4792" s="36">
        <f t="shared" si="74"/>
        <v>57.00277777777778</v>
      </c>
      <c r="AI4792" s="41" t="s">
        <v>1782</v>
      </c>
    </row>
    <row r="4793" spans="1:35" x14ac:dyDescent="0.25">
      <c r="A4793" s="36">
        <v>99914791</v>
      </c>
      <c r="B4793" s="17" t="s">
        <v>56</v>
      </c>
      <c r="C4793" t="s">
        <v>52</v>
      </c>
      <c r="D4793" t="s">
        <v>53</v>
      </c>
      <c r="G4793" s="17" t="s">
        <v>48</v>
      </c>
      <c r="H4793" s="17">
        <v>1</v>
      </c>
      <c r="K4793" t="s">
        <v>380</v>
      </c>
      <c r="L4793" t="s">
        <v>381</v>
      </c>
      <c r="M4793" t="s">
        <v>131</v>
      </c>
      <c r="N4793">
        <v>20</v>
      </c>
      <c r="O4793" t="s">
        <v>40</v>
      </c>
      <c r="P4793" t="s">
        <v>40</v>
      </c>
      <c r="Q4793" t="s">
        <v>40</v>
      </c>
      <c r="R4793" t="s">
        <v>40</v>
      </c>
      <c r="S4793" t="s">
        <v>40</v>
      </c>
      <c r="V4793" t="s">
        <v>41</v>
      </c>
      <c r="W4793" t="s">
        <v>42</v>
      </c>
      <c r="X4793" t="str">
        <f>"0590909"</f>
        <v>0590909</v>
      </c>
      <c r="Y4793" t="s">
        <v>388</v>
      </c>
      <c r="Z4793" t="s">
        <v>380</v>
      </c>
      <c r="AA4793" t="s">
        <v>381</v>
      </c>
      <c r="AB4793" t="s">
        <v>131</v>
      </c>
      <c r="AC4793" t="s">
        <v>51</v>
      </c>
      <c r="AD4793" t="s">
        <v>45</v>
      </c>
      <c r="AE4793" s="1">
        <v>22936</v>
      </c>
      <c r="AF4793">
        <v>2</v>
      </c>
      <c r="AG4793" t="s">
        <v>381</v>
      </c>
      <c r="AH4793" s="36">
        <f t="shared" si="74"/>
        <v>57.00277777777778</v>
      </c>
      <c r="AI4793" s="41" t="s">
        <v>1782</v>
      </c>
    </row>
    <row r="4794" spans="1:35" x14ac:dyDescent="0.25">
      <c r="A4794" s="36">
        <v>99914792</v>
      </c>
      <c r="B4794" s="17" t="s">
        <v>32</v>
      </c>
      <c r="C4794" t="s">
        <v>64</v>
      </c>
      <c r="D4794" t="s">
        <v>65</v>
      </c>
      <c r="G4794" s="17" t="s">
        <v>48</v>
      </c>
      <c r="H4794" s="17">
        <v>1</v>
      </c>
      <c r="K4794" t="s">
        <v>345</v>
      </c>
      <c r="L4794" t="s">
        <v>346</v>
      </c>
      <c r="M4794" t="s">
        <v>131</v>
      </c>
      <c r="N4794">
        <v>8</v>
      </c>
      <c r="O4794" t="s">
        <v>40</v>
      </c>
      <c r="P4794" t="s">
        <v>40</v>
      </c>
      <c r="Q4794" t="s">
        <v>40</v>
      </c>
      <c r="R4794" t="s">
        <v>40</v>
      </c>
      <c r="S4794" t="s">
        <v>40</v>
      </c>
      <c r="V4794" t="s">
        <v>41</v>
      </c>
      <c r="W4794" t="s">
        <v>49</v>
      </c>
      <c r="X4794" t="str">
        <f>"0560004"</f>
        <v>0560004</v>
      </c>
      <c r="Y4794" t="s">
        <v>371</v>
      </c>
      <c r="Z4794" t="s">
        <v>345</v>
      </c>
      <c r="AA4794" t="s">
        <v>346</v>
      </c>
      <c r="AB4794" t="s">
        <v>131</v>
      </c>
      <c r="AC4794" t="s">
        <v>51</v>
      </c>
      <c r="AD4794" t="s">
        <v>45</v>
      </c>
      <c r="AE4794" s="1">
        <v>22935</v>
      </c>
      <c r="AF4794">
        <v>2</v>
      </c>
      <c r="AG4794" t="s">
        <v>346</v>
      </c>
      <c r="AH4794" s="36">
        <f t="shared" si="74"/>
        <v>57.005555555555553</v>
      </c>
      <c r="AI4794" s="41" t="s">
        <v>1782</v>
      </c>
    </row>
    <row r="4795" spans="1:35" x14ac:dyDescent="0.25">
      <c r="A4795" s="36">
        <v>99914793</v>
      </c>
      <c r="B4795" s="17" t="s">
        <v>32</v>
      </c>
      <c r="C4795" t="s">
        <v>64</v>
      </c>
      <c r="D4795" t="s">
        <v>65</v>
      </c>
      <c r="G4795" s="17" t="s">
        <v>35</v>
      </c>
      <c r="H4795" s="17">
        <v>1</v>
      </c>
      <c r="K4795" t="s">
        <v>223</v>
      </c>
      <c r="L4795" t="s">
        <v>224</v>
      </c>
      <c r="M4795" t="s">
        <v>131</v>
      </c>
      <c r="N4795">
        <v>18</v>
      </c>
      <c r="O4795" t="s">
        <v>40</v>
      </c>
      <c r="P4795" t="s">
        <v>40</v>
      </c>
      <c r="Q4795" t="s">
        <v>40</v>
      </c>
      <c r="S4795" t="s">
        <v>40</v>
      </c>
      <c r="V4795" t="s">
        <v>41</v>
      </c>
      <c r="W4795" t="s">
        <v>49</v>
      </c>
      <c r="X4795" t="str">
        <f>"0591901"</f>
        <v>0591901</v>
      </c>
      <c r="Y4795" t="s">
        <v>230</v>
      </c>
      <c r="Z4795" t="s">
        <v>223</v>
      </c>
      <c r="AA4795" t="s">
        <v>224</v>
      </c>
      <c r="AB4795" t="s">
        <v>131</v>
      </c>
      <c r="AC4795" t="s">
        <v>51</v>
      </c>
      <c r="AD4795" t="s">
        <v>45</v>
      </c>
      <c r="AE4795" s="1">
        <v>22931</v>
      </c>
      <c r="AF4795">
        <v>2</v>
      </c>
      <c r="AG4795" t="s">
        <v>224</v>
      </c>
      <c r="AH4795" s="36">
        <f t="shared" si="74"/>
        <v>57.016666666666666</v>
      </c>
      <c r="AI4795" s="41" t="s">
        <v>1782</v>
      </c>
    </row>
    <row r="4796" spans="1:35" x14ac:dyDescent="0.25">
      <c r="A4796" s="36">
        <v>99914794</v>
      </c>
      <c r="B4796" s="17" t="s">
        <v>32</v>
      </c>
      <c r="C4796" t="s">
        <v>139</v>
      </c>
      <c r="D4796" t="s">
        <v>140</v>
      </c>
      <c r="G4796" s="17" t="s">
        <v>48</v>
      </c>
      <c r="H4796" s="17">
        <v>1</v>
      </c>
      <c r="K4796" t="s">
        <v>223</v>
      </c>
      <c r="L4796" t="s">
        <v>224</v>
      </c>
      <c r="M4796" t="s">
        <v>131</v>
      </c>
      <c r="N4796">
        <v>20</v>
      </c>
      <c r="O4796" t="s">
        <v>40</v>
      </c>
      <c r="P4796" t="s">
        <v>40</v>
      </c>
      <c r="Q4796" t="s">
        <v>40</v>
      </c>
      <c r="R4796" t="s">
        <v>40</v>
      </c>
      <c r="S4796" t="s">
        <v>40</v>
      </c>
      <c r="V4796" t="s">
        <v>41</v>
      </c>
      <c r="W4796" t="s">
        <v>49</v>
      </c>
      <c r="X4796" t="str">
        <f>"0581206"</f>
        <v>0581206</v>
      </c>
      <c r="Y4796" t="s">
        <v>232</v>
      </c>
      <c r="Z4796" t="s">
        <v>223</v>
      </c>
      <c r="AA4796" t="s">
        <v>224</v>
      </c>
      <c r="AB4796" t="s">
        <v>131</v>
      </c>
      <c r="AC4796" t="s">
        <v>51</v>
      </c>
      <c r="AD4796" t="s">
        <v>45</v>
      </c>
      <c r="AE4796" s="1">
        <v>22930</v>
      </c>
      <c r="AF4796">
        <v>2</v>
      </c>
      <c r="AG4796" t="s">
        <v>224</v>
      </c>
      <c r="AH4796" s="36">
        <f t="shared" si="74"/>
        <v>57.019444444444446</v>
      </c>
      <c r="AI4796" s="41" t="s">
        <v>1782</v>
      </c>
    </row>
    <row r="4797" spans="1:35" x14ac:dyDescent="0.25">
      <c r="A4797" s="36">
        <v>99914795</v>
      </c>
      <c r="B4797" s="17" t="s">
        <v>32</v>
      </c>
      <c r="C4797" t="s">
        <v>46</v>
      </c>
      <c r="D4797" t="s">
        <v>47</v>
      </c>
      <c r="G4797" s="17" t="s">
        <v>48</v>
      </c>
      <c r="H4797" s="17">
        <v>17</v>
      </c>
      <c r="K4797" t="s">
        <v>1268</v>
      </c>
      <c r="L4797" t="s">
        <v>1269</v>
      </c>
      <c r="M4797" t="s">
        <v>1270</v>
      </c>
      <c r="N4797">
        <v>18</v>
      </c>
      <c r="O4797" t="s">
        <v>40</v>
      </c>
      <c r="P4797" t="s">
        <v>40</v>
      </c>
      <c r="Q4797" t="s">
        <v>40</v>
      </c>
      <c r="R4797" t="s">
        <v>40</v>
      </c>
      <c r="S4797" t="s">
        <v>40</v>
      </c>
      <c r="U4797" s="1">
        <v>43344</v>
      </c>
      <c r="V4797" t="s">
        <v>41</v>
      </c>
      <c r="W4797" t="s">
        <v>42</v>
      </c>
      <c r="X4797" t="str">
        <f>"1980055"</f>
        <v>1980055</v>
      </c>
      <c r="Y4797" t="s">
        <v>1285</v>
      </c>
      <c r="Z4797" t="s">
        <v>1268</v>
      </c>
      <c r="AA4797" t="s">
        <v>1269</v>
      </c>
      <c r="AB4797" t="s">
        <v>1270</v>
      </c>
      <c r="AC4797" t="s">
        <v>165</v>
      </c>
      <c r="AD4797" t="s">
        <v>45</v>
      </c>
      <c r="AE4797" s="1">
        <v>22930</v>
      </c>
      <c r="AF4797">
        <v>2</v>
      </c>
      <c r="AG4797" t="s">
        <v>1269</v>
      </c>
      <c r="AH4797" s="36">
        <f t="shared" si="74"/>
        <v>57.019444444444446</v>
      </c>
      <c r="AI4797" s="41" t="s">
        <v>1782</v>
      </c>
    </row>
    <row r="4798" spans="1:35" x14ac:dyDescent="0.25">
      <c r="A4798" s="36">
        <v>99914796</v>
      </c>
      <c r="B4798" s="17" t="s">
        <v>32</v>
      </c>
      <c r="C4798" t="s">
        <v>111</v>
      </c>
      <c r="D4798" t="s">
        <v>112</v>
      </c>
      <c r="G4798" s="17" t="s">
        <v>35</v>
      </c>
      <c r="H4798" s="17">
        <v>1</v>
      </c>
      <c r="K4798" t="s">
        <v>154</v>
      </c>
      <c r="L4798" t="s">
        <v>155</v>
      </c>
      <c r="M4798" t="s">
        <v>131</v>
      </c>
      <c r="N4798">
        <v>21</v>
      </c>
      <c r="O4798" t="s">
        <v>40</v>
      </c>
      <c r="P4798" t="s">
        <v>40</v>
      </c>
      <c r="Q4798" t="s">
        <v>40</v>
      </c>
      <c r="S4798" t="s">
        <v>40</v>
      </c>
      <c r="V4798" t="s">
        <v>41</v>
      </c>
      <c r="W4798" t="s">
        <v>75</v>
      </c>
      <c r="X4798" t="str">
        <f>"7051014"</f>
        <v>7051014</v>
      </c>
      <c r="Y4798" t="s">
        <v>398</v>
      </c>
      <c r="Z4798" t="s">
        <v>154</v>
      </c>
      <c r="AA4798" t="s">
        <v>155</v>
      </c>
      <c r="AB4798" t="s">
        <v>131</v>
      </c>
      <c r="AC4798" t="s">
        <v>165</v>
      </c>
      <c r="AD4798" t="s">
        <v>45</v>
      </c>
      <c r="AE4798" s="1">
        <v>22923</v>
      </c>
      <c r="AF4798">
        <v>1</v>
      </c>
      <c r="AG4798" t="s">
        <v>155</v>
      </c>
      <c r="AH4798" s="36">
        <f t="shared" si="74"/>
        <v>57.038888888888891</v>
      </c>
      <c r="AI4798" s="41" t="s">
        <v>1782</v>
      </c>
    </row>
    <row r="4799" spans="1:35" x14ac:dyDescent="0.25">
      <c r="A4799" s="36">
        <v>99914797</v>
      </c>
      <c r="B4799" s="17" t="s">
        <v>56</v>
      </c>
      <c r="C4799" t="s">
        <v>68</v>
      </c>
      <c r="D4799" t="s">
        <v>69</v>
      </c>
      <c r="G4799" s="17" t="s">
        <v>48</v>
      </c>
      <c r="H4799" s="17">
        <v>1</v>
      </c>
      <c r="K4799" t="s">
        <v>157</v>
      </c>
      <c r="L4799" t="s">
        <v>158</v>
      </c>
      <c r="M4799" t="s">
        <v>131</v>
      </c>
      <c r="N4799">
        <v>16</v>
      </c>
      <c r="O4799" t="s">
        <v>40</v>
      </c>
      <c r="P4799" t="s">
        <v>40</v>
      </c>
      <c r="Q4799" t="s">
        <v>40</v>
      </c>
      <c r="R4799" t="s">
        <v>40</v>
      </c>
      <c r="S4799" t="s">
        <v>40</v>
      </c>
      <c r="V4799" t="s">
        <v>41</v>
      </c>
      <c r="W4799" t="s">
        <v>42</v>
      </c>
      <c r="X4799" t="str">
        <f>"0580290"</f>
        <v>0580290</v>
      </c>
      <c r="Y4799" t="s">
        <v>171</v>
      </c>
      <c r="Z4799" t="s">
        <v>157</v>
      </c>
      <c r="AA4799" t="s">
        <v>158</v>
      </c>
      <c r="AB4799" t="s">
        <v>131</v>
      </c>
      <c r="AC4799" t="s">
        <v>51</v>
      </c>
      <c r="AD4799" t="s">
        <v>45</v>
      </c>
      <c r="AE4799" s="1">
        <v>22922</v>
      </c>
      <c r="AF4799">
        <v>2</v>
      </c>
      <c r="AG4799" t="s">
        <v>158</v>
      </c>
      <c r="AH4799" s="36">
        <f t="shared" si="74"/>
        <v>57.041666666666664</v>
      </c>
      <c r="AI4799" s="41" t="s">
        <v>1782</v>
      </c>
    </row>
    <row r="4800" spans="1:35" x14ac:dyDescent="0.25">
      <c r="A4800" s="36">
        <v>99914798</v>
      </c>
      <c r="B4800" s="17" t="s">
        <v>32</v>
      </c>
      <c r="C4800" t="s">
        <v>71</v>
      </c>
      <c r="D4800" t="s">
        <v>72</v>
      </c>
      <c r="G4800" s="17" t="s">
        <v>48</v>
      </c>
      <c r="H4800" s="17">
        <v>1</v>
      </c>
      <c r="K4800" t="s">
        <v>223</v>
      </c>
      <c r="L4800" t="s">
        <v>224</v>
      </c>
      <c r="M4800" t="s">
        <v>131</v>
      </c>
      <c r="N4800">
        <v>22</v>
      </c>
      <c r="O4800" t="s">
        <v>40</v>
      </c>
      <c r="P4800" t="s">
        <v>40</v>
      </c>
      <c r="Q4800" t="s">
        <v>40</v>
      </c>
      <c r="S4800" t="s">
        <v>40</v>
      </c>
      <c r="V4800" t="s">
        <v>41</v>
      </c>
      <c r="W4800" t="s">
        <v>49</v>
      </c>
      <c r="X4800" t="str">
        <f>"0581206"</f>
        <v>0581206</v>
      </c>
      <c r="Y4800" t="s">
        <v>232</v>
      </c>
      <c r="Z4800" t="s">
        <v>223</v>
      </c>
      <c r="AA4800" t="s">
        <v>224</v>
      </c>
      <c r="AB4800" t="s">
        <v>131</v>
      </c>
      <c r="AC4800" t="s">
        <v>51</v>
      </c>
      <c r="AD4800" t="s">
        <v>45</v>
      </c>
      <c r="AE4800" s="1">
        <v>22913</v>
      </c>
      <c r="AF4800">
        <v>2</v>
      </c>
      <c r="AG4800" t="s">
        <v>224</v>
      </c>
      <c r="AH4800" s="36">
        <f t="shared" si="74"/>
        <v>57.06666666666667</v>
      </c>
      <c r="AI4800" s="41" t="s">
        <v>1782</v>
      </c>
    </row>
    <row r="4801" spans="1:35" x14ac:dyDescent="0.25">
      <c r="A4801" s="36">
        <v>99914799</v>
      </c>
      <c r="B4801" s="17" t="s">
        <v>32</v>
      </c>
      <c r="C4801" t="s">
        <v>111</v>
      </c>
      <c r="D4801" t="s">
        <v>112</v>
      </c>
      <c r="G4801" s="17" t="s">
        <v>35</v>
      </c>
      <c r="H4801" s="17">
        <v>17</v>
      </c>
      <c r="K4801" t="s">
        <v>268</v>
      </c>
      <c r="L4801" t="s">
        <v>269</v>
      </c>
      <c r="M4801" t="s">
        <v>131</v>
      </c>
      <c r="N4801">
        <v>21</v>
      </c>
      <c r="O4801" t="s">
        <v>40</v>
      </c>
      <c r="P4801" t="s">
        <v>40</v>
      </c>
      <c r="Q4801" t="s">
        <v>40</v>
      </c>
      <c r="R4801" t="s">
        <v>40</v>
      </c>
      <c r="S4801" t="s">
        <v>40</v>
      </c>
      <c r="V4801" t="s">
        <v>41</v>
      </c>
      <c r="W4801" t="s">
        <v>75</v>
      </c>
      <c r="X4801" t="str">
        <f>"7052002"</f>
        <v>7052002</v>
      </c>
      <c r="Y4801" t="s">
        <v>590</v>
      </c>
      <c r="Z4801" t="s">
        <v>268</v>
      </c>
      <c r="AA4801" t="s">
        <v>269</v>
      </c>
      <c r="AB4801" t="s">
        <v>131</v>
      </c>
      <c r="AC4801" t="s">
        <v>165</v>
      </c>
      <c r="AD4801" t="s">
        <v>45</v>
      </c>
      <c r="AE4801" s="1">
        <v>22913</v>
      </c>
      <c r="AF4801">
        <v>1</v>
      </c>
      <c r="AG4801" t="s">
        <v>269</v>
      </c>
      <c r="AH4801" s="36">
        <f t="shared" si="74"/>
        <v>57.06666666666667</v>
      </c>
      <c r="AI4801" s="41" t="s">
        <v>1782</v>
      </c>
    </row>
    <row r="4802" spans="1:35" x14ac:dyDescent="0.25">
      <c r="A4802" s="36">
        <v>99914800</v>
      </c>
      <c r="B4802" s="17" t="s">
        <v>32</v>
      </c>
      <c r="C4802" t="s">
        <v>64</v>
      </c>
      <c r="D4802" t="s">
        <v>65</v>
      </c>
      <c r="G4802" s="17" t="s">
        <v>48</v>
      </c>
      <c r="H4802" s="17">
        <v>1</v>
      </c>
      <c r="K4802" t="s">
        <v>157</v>
      </c>
      <c r="L4802" t="s">
        <v>158</v>
      </c>
      <c r="M4802" t="s">
        <v>131</v>
      </c>
      <c r="N4802">
        <v>19</v>
      </c>
      <c r="O4802" t="s">
        <v>40</v>
      </c>
      <c r="P4802" t="s">
        <v>40</v>
      </c>
      <c r="Q4802" t="s">
        <v>40</v>
      </c>
      <c r="R4802" t="s">
        <v>40</v>
      </c>
      <c r="S4802" t="s">
        <v>40</v>
      </c>
      <c r="V4802" t="s">
        <v>41</v>
      </c>
      <c r="W4802" t="s">
        <v>49</v>
      </c>
      <c r="X4802" t="str">
        <f>"0560006"</f>
        <v>0560006</v>
      </c>
      <c r="Y4802" t="s">
        <v>191</v>
      </c>
      <c r="Z4802" t="s">
        <v>157</v>
      </c>
      <c r="AA4802" t="s">
        <v>158</v>
      </c>
      <c r="AB4802" t="s">
        <v>131</v>
      </c>
      <c r="AC4802" t="s">
        <v>51</v>
      </c>
      <c r="AD4802" t="s">
        <v>45</v>
      </c>
      <c r="AE4802" s="1">
        <v>22910</v>
      </c>
      <c r="AF4802">
        <v>2</v>
      </c>
      <c r="AG4802" t="s">
        <v>158</v>
      </c>
      <c r="AH4802" s="36">
        <f t="shared" ref="AH4802:AH4865" si="75">($AJ$1-AE4802)/360</f>
        <v>57.075000000000003</v>
      </c>
      <c r="AI4802" s="41" t="s">
        <v>1782</v>
      </c>
    </row>
    <row r="4803" spans="1:35" x14ac:dyDescent="0.25">
      <c r="A4803" s="36">
        <v>99914801</v>
      </c>
      <c r="B4803" s="17" t="s">
        <v>56</v>
      </c>
      <c r="C4803" t="s">
        <v>52</v>
      </c>
      <c r="D4803" t="s">
        <v>53</v>
      </c>
      <c r="G4803" s="17" t="s">
        <v>48</v>
      </c>
      <c r="H4803" s="17">
        <v>1</v>
      </c>
      <c r="K4803" t="s">
        <v>157</v>
      </c>
      <c r="L4803" t="s">
        <v>158</v>
      </c>
      <c r="M4803" t="s">
        <v>131</v>
      </c>
      <c r="N4803">
        <v>12</v>
      </c>
      <c r="O4803" t="s">
        <v>40</v>
      </c>
      <c r="P4803" t="s">
        <v>40</v>
      </c>
      <c r="Q4803" t="s">
        <v>40</v>
      </c>
      <c r="S4803" t="s">
        <v>40</v>
      </c>
      <c r="V4803" t="s">
        <v>41</v>
      </c>
      <c r="W4803" t="s">
        <v>42</v>
      </c>
      <c r="X4803" t="str">
        <f>"0580735"</f>
        <v>0580735</v>
      </c>
      <c r="Y4803" t="s">
        <v>180</v>
      </c>
      <c r="Z4803" t="s">
        <v>157</v>
      </c>
      <c r="AA4803" t="s">
        <v>158</v>
      </c>
      <c r="AB4803" t="s">
        <v>131</v>
      </c>
      <c r="AC4803" t="s">
        <v>51</v>
      </c>
      <c r="AD4803" t="s">
        <v>45</v>
      </c>
      <c r="AE4803" s="1">
        <v>22909</v>
      </c>
      <c r="AF4803">
        <v>2</v>
      </c>
      <c r="AG4803" t="s">
        <v>158</v>
      </c>
      <c r="AH4803" s="36">
        <f t="shared" si="75"/>
        <v>57.077777777777776</v>
      </c>
      <c r="AI4803" s="41" t="s">
        <v>1782</v>
      </c>
    </row>
    <row r="4804" spans="1:35" x14ac:dyDescent="0.25">
      <c r="A4804" s="36">
        <v>99914802</v>
      </c>
      <c r="B4804" s="17" t="s">
        <v>32</v>
      </c>
      <c r="C4804" t="s">
        <v>136</v>
      </c>
      <c r="D4804" t="s">
        <v>137</v>
      </c>
      <c r="G4804" s="17" t="s">
        <v>48</v>
      </c>
      <c r="H4804" s="17">
        <v>6</v>
      </c>
      <c r="I4804" t="s">
        <v>467</v>
      </c>
      <c r="J4804" s="1">
        <v>43344</v>
      </c>
      <c r="K4804" t="s">
        <v>431</v>
      </c>
      <c r="L4804" t="s">
        <v>196</v>
      </c>
      <c r="M4804" t="s">
        <v>131</v>
      </c>
      <c r="N4804">
        <v>24</v>
      </c>
      <c r="O4804" t="s">
        <v>40</v>
      </c>
      <c r="P4804" t="s">
        <v>40</v>
      </c>
      <c r="Q4804" t="s">
        <v>40</v>
      </c>
      <c r="R4804" t="s">
        <v>40</v>
      </c>
      <c r="S4804" t="s">
        <v>40</v>
      </c>
      <c r="U4804" s="1">
        <v>43344</v>
      </c>
      <c r="V4804" t="s">
        <v>41</v>
      </c>
      <c r="W4804" t="s">
        <v>75</v>
      </c>
      <c r="X4804" t="str">
        <f>"7521012"</f>
        <v>7521012</v>
      </c>
      <c r="Y4804" t="s">
        <v>432</v>
      </c>
      <c r="Z4804" t="s">
        <v>431</v>
      </c>
      <c r="AA4804" t="s">
        <v>196</v>
      </c>
      <c r="AB4804" t="s">
        <v>131</v>
      </c>
      <c r="AC4804" t="s">
        <v>44</v>
      </c>
      <c r="AD4804" t="s">
        <v>45</v>
      </c>
      <c r="AE4804" s="1">
        <v>22908</v>
      </c>
      <c r="AF4804">
        <v>1</v>
      </c>
      <c r="AG4804" t="s">
        <v>196</v>
      </c>
      <c r="AH4804" s="36">
        <f t="shared" si="75"/>
        <v>57.080555555555556</v>
      </c>
      <c r="AI4804" s="41" t="s">
        <v>1782</v>
      </c>
    </row>
    <row r="4805" spans="1:35" x14ac:dyDescent="0.25">
      <c r="A4805" s="36">
        <v>99914803</v>
      </c>
      <c r="B4805" s="17" t="s">
        <v>32</v>
      </c>
      <c r="C4805" t="s">
        <v>64</v>
      </c>
      <c r="D4805" t="s">
        <v>65</v>
      </c>
      <c r="G4805" s="17" t="s">
        <v>35</v>
      </c>
      <c r="H4805" s="17">
        <v>1</v>
      </c>
      <c r="K4805" t="s">
        <v>223</v>
      </c>
      <c r="L4805" t="s">
        <v>224</v>
      </c>
      <c r="M4805" t="s">
        <v>131</v>
      </c>
      <c r="N4805">
        <v>18</v>
      </c>
      <c r="O4805" t="s">
        <v>40</v>
      </c>
      <c r="P4805" t="s">
        <v>40</v>
      </c>
      <c r="Q4805" t="s">
        <v>40</v>
      </c>
      <c r="R4805" t="s">
        <v>40</v>
      </c>
      <c r="S4805" t="s">
        <v>40</v>
      </c>
      <c r="V4805" t="s">
        <v>41</v>
      </c>
      <c r="W4805" t="s">
        <v>42</v>
      </c>
      <c r="X4805" t="str">
        <f>"0590901"</f>
        <v>0590901</v>
      </c>
      <c r="Y4805" t="s">
        <v>242</v>
      </c>
      <c r="Z4805" t="s">
        <v>223</v>
      </c>
      <c r="AA4805" t="s">
        <v>224</v>
      </c>
      <c r="AB4805" t="s">
        <v>131</v>
      </c>
      <c r="AC4805" t="s">
        <v>51</v>
      </c>
      <c r="AD4805" t="s">
        <v>45</v>
      </c>
      <c r="AE4805" s="1">
        <v>22902</v>
      </c>
      <c r="AF4805">
        <v>2</v>
      </c>
      <c r="AG4805" t="s">
        <v>224</v>
      </c>
      <c r="AH4805" s="36">
        <f t="shared" si="75"/>
        <v>57.097222222222221</v>
      </c>
      <c r="AI4805" s="41" t="s">
        <v>1782</v>
      </c>
    </row>
    <row r="4806" spans="1:35" x14ac:dyDescent="0.25">
      <c r="A4806" s="36">
        <v>99914804</v>
      </c>
      <c r="B4806" s="17" t="s">
        <v>32</v>
      </c>
      <c r="C4806" t="s">
        <v>139</v>
      </c>
      <c r="D4806" t="s">
        <v>140</v>
      </c>
      <c r="G4806" s="17" t="s">
        <v>48</v>
      </c>
      <c r="H4806" s="17">
        <v>1</v>
      </c>
      <c r="K4806" t="s">
        <v>380</v>
      </c>
      <c r="L4806" t="s">
        <v>381</v>
      </c>
      <c r="M4806" t="s">
        <v>131</v>
      </c>
      <c r="N4806">
        <v>18</v>
      </c>
      <c r="O4806" t="s">
        <v>40</v>
      </c>
      <c r="P4806" t="s">
        <v>40</v>
      </c>
      <c r="Q4806" t="s">
        <v>40</v>
      </c>
      <c r="S4806" t="s">
        <v>40</v>
      </c>
      <c r="V4806" t="s">
        <v>41</v>
      </c>
      <c r="W4806" t="s">
        <v>49</v>
      </c>
      <c r="X4806" t="str">
        <f>"0591909"</f>
        <v>0591909</v>
      </c>
      <c r="Y4806" t="s">
        <v>385</v>
      </c>
      <c r="Z4806" t="s">
        <v>380</v>
      </c>
      <c r="AA4806" t="s">
        <v>381</v>
      </c>
      <c r="AB4806" t="s">
        <v>131</v>
      </c>
      <c r="AC4806" t="s">
        <v>51</v>
      </c>
      <c r="AD4806" t="s">
        <v>45</v>
      </c>
      <c r="AE4806" s="1">
        <v>22899</v>
      </c>
      <c r="AF4806">
        <v>2</v>
      </c>
      <c r="AG4806" t="s">
        <v>381</v>
      </c>
      <c r="AH4806" s="36">
        <f t="shared" si="75"/>
        <v>57.105555555555554</v>
      </c>
      <c r="AI4806" s="41" t="s">
        <v>1782</v>
      </c>
    </row>
    <row r="4807" spans="1:35" x14ac:dyDescent="0.25">
      <c r="A4807" s="36">
        <v>99914805</v>
      </c>
      <c r="B4807" s="17" t="s">
        <v>32</v>
      </c>
      <c r="C4807" t="s">
        <v>64</v>
      </c>
      <c r="D4807" t="s">
        <v>65</v>
      </c>
      <c r="G4807" s="17" t="s">
        <v>48</v>
      </c>
      <c r="H4807" s="17">
        <v>1</v>
      </c>
      <c r="K4807" t="s">
        <v>223</v>
      </c>
      <c r="L4807" t="s">
        <v>224</v>
      </c>
      <c r="M4807" t="s">
        <v>131</v>
      </c>
      <c r="N4807">
        <v>18</v>
      </c>
      <c r="O4807" t="s">
        <v>40</v>
      </c>
      <c r="P4807" t="s">
        <v>40</v>
      </c>
      <c r="Q4807" t="s">
        <v>40</v>
      </c>
      <c r="R4807" t="s">
        <v>40</v>
      </c>
      <c r="S4807" t="s">
        <v>40</v>
      </c>
      <c r="V4807" t="s">
        <v>41</v>
      </c>
      <c r="W4807" t="s">
        <v>49</v>
      </c>
      <c r="X4807" t="str">
        <f>"0581204"</f>
        <v>0581204</v>
      </c>
      <c r="Y4807" t="s">
        <v>249</v>
      </c>
      <c r="Z4807" t="s">
        <v>223</v>
      </c>
      <c r="AA4807" t="s">
        <v>224</v>
      </c>
      <c r="AB4807" t="s">
        <v>131</v>
      </c>
      <c r="AC4807" t="s">
        <v>165</v>
      </c>
      <c r="AD4807" t="s">
        <v>45</v>
      </c>
      <c r="AE4807" s="1">
        <v>22897</v>
      </c>
      <c r="AF4807">
        <v>2</v>
      </c>
      <c r="AG4807" t="s">
        <v>224</v>
      </c>
      <c r="AH4807" s="36">
        <f t="shared" si="75"/>
        <v>57.111111111111114</v>
      </c>
      <c r="AI4807" s="41" t="s">
        <v>1782</v>
      </c>
    </row>
    <row r="4808" spans="1:35" x14ac:dyDescent="0.25">
      <c r="A4808" s="36">
        <v>99914806</v>
      </c>
      <c r="B4808" s="17" t="s">
        <v>56</v>
      </c>
      <c r="C4808" t="s">
        <v>79</v>
      </c>
      <c r="D4808" t="s">
        <v>80</v>
      </c>
      <c r="G4808" s="17" t="s">
        <v>48</v>
      </c>
      <c r="H4808" s="17">
        <v>1</v>
      </c>
      <c r="K4808" t="s">
        <v>223</v>
      </c>
      <c r="L4808" t="s">
        <v>224</v>
      </c>
      <c r="M4808" t="s">
        <v>131</v>
      </c>
      <c r="N4808">
        <v>18</v>
      </c>
      <c r="O4808" t="s">
        <v>40</v>
      </c>
      <c r="P4808" t="s">
        <v>40</v>
      </c>
      <c r="Q4808" t="s">
        <v>40</v>
      </c>
      <c r="S4808" t="s">
        <v>40</v>
      </c>
      <c r="V4808" t="s">
        <v>41</v>
      </c>
      <c r="W4808" t="s">
        <v>49</v>
      </c>
      <c r="X4808" t="str">
        <f>"0581206"</f>
        <v>0581206</v>
      </c>
      <c r="Y4808" t="s">
        <v>232</v>
      </c>
      <c r="Z4808" t="s">
        <v>223</v>
      </c>
      <c r="AA4808" t="s">
        <v>224</v>
      </c>
      <c r="AB4808" t="s">
        <v>131</v>
      </c>
      <c r="AC4808" t="s">
        <v>51</v>
      </c>
      <c r="AD4808" t="s">
        <v>45</v>
      </c>
      <c r="AE4808" s="1">
        <v>22895</v>
      </c>
      <c r="AF4808">
        <v>2</v>
      </c>
      <c r="AG4808" t="s">
        <v>224</v>
      </c>
      <c r="AH4808" s="36">
        <f t="shared" si="75"/>
        <v>57.116666666666667</v>
      </c>
      <c r="AI4808" s="41" t="s">
        <v>1782</v>
      </c>
    </row>
    <row r="4809" spans="1:35" x14ac:dyDescent="0.25">
      <c r="A4809" s="36">
        <v>99914807</v>
      </c>
      <c r="B4809" s="17" t="s">
        <v>32</v>
      </c>
      <c r="C4809" t="s">
        <v>52</v>
      </c>
      <c r="D4809" t="s">
        <v>53</v>
      </c>
      <c r="G4809" s="17" t="s">
        <v>35</v>
      </c>
      <c r="H4809" s="17">
        <v>1</v>
      </c>
      <c r="K4809" t="s">
        <v>162</v>
      </c>
      <c r="L4809" t="s">
        <v>158</v>
      </c>
      <c r="M4809" t="s">
        <v>131</v>
      </c>
      <c r="N4809">
        <v>10</v>
      </c>
      <c r="O4809" t="s">
        <v>40</v>
      </c>
      <c r="P4809" t="s">
        <v>40</v>
      </c>
      <c r="Q4809" t="s">
        <v>40</v>
      </c>
      <c r="R4809" t="s">
        <v>40</v>
      </c>
      <c r="S4809" t="s">
        <v>40</v>
      </c>
      <c r="V4809" t="s">
        <v>41</v>
      </c>
      <c r="W4809" t="s">
        <v>49</v>
      </c>
      <c r="X4809" t="str">
        <f>"0505050"</f>
        <v>0505050</v>
      </c>
      <c r="Y4809" t="s">
        <v>163</v>
      </c>
      <c r="Z4809" t="s">
        <v>162</v>
      </c>
      <c r="AA4809" t="s">
        <v>158</v>
      </c>
      <c r="AB4809" t="s">
        <v>131</v>
      </c>
      <c r="AC4809" t="s">
        <v>165</v>
      </c>
      <c r="AD4809" t="s">
        <v>45</v>
      </c>
      <c r="AE4809" s="1">
        <v>22890</v>
      </c>
      <c r="AF4809">
        <v>2</v>
      </c>
      <c r="AG4809" t="s">
        <v>158</v>
      </c>
      <c r="AH4809" s="36">
        <f t="shared" si="75"/>
        <v>57.130555555555553</v>
      </c>
      <c r="AI4809" s="41" t="s">
        <v>1782</v>
      </c>
    </row>
    <row r="4810" spans="1:35" x14ac:dyDescent="0.25">
      <c r="A4810" s="36">
        <v>99914808</v>
      </c>
      <c r="B4810" s="17" t="s">
        <v>56</v>
      </c>
      <c r="C4810" t="s">
        <v>71</v>
      </c>
      <c r="D4810" t="s">
        <v>72</v>
      </c>
      <c r="G4810" s="17" t="s">
        <v>48</v>
      </c>
      <c r="H4810" s="17">
        <v>1</v>
      </c>
      <c r="K4810" t="s">
        <v>1187</v>
      </c>
      <c r="L4810" t="s">
        <v>1188</v>
      </c>
      <c r="M4810" t="s">
        <v>1130</v>
      </c>
      <c r="N4810">
        <v>12</v>
      </c>
      <c r="O4810" t="s">
        <v>40</v>
      </c>
      <c r="P4810" t="s">
        <v>40</v>
      </c>
      <c r="Q4810" t="s">
        <v>40</v>
      </c>
      <c r="S4810" t="s">
        <v>40</v>
      </c>
      <c r="V4810" t="s">
        <v>41</v>
      </c>
      <c r="W4810" t="s">
        <v>49</v>
      </c>
      <c r="X4810" t="str">
        <f>"4581015"</f>
        <v>4581015</v>
      </c>
      <c r="Y4810" t="s">
        <v>1190</v>
      </c>
      <c r="Z4810" t="s">
        <v>1187</v>
      </c>
      <c r="AA4810" t="s">
        <v>1188</v>
      </c>
      <c r="AB4810" t="s">
        <v>1130</v>
      </c>
      <c r="AC4810" t="s">
        <v>51</v>
      </c>
      <c r="AD4810" t="s">
        <v>45</v>
      </c>
      <c r="AE4810" s="1">
        <v>22886</v>
      </c>
      <c r="AF4810">
        <v>2</v>
      </c>
      <c r="AG4810" t="s">
        <v>1188</v>
      </c>
      <c r="AH4810" s="36">
        <f t="shared" si="75"/>
        <v>57.141666666666666</v>
      </c>
      <c r="AI4810" s="41" t="s">
        <v>1782</v>
      </c>
    </row>
    <row r="4811" spans="1:35" x14ac:dyDescent="0.25">
      <c r="A4811" s="36">
        <v>99914809</v>
      </c>
      <c r="B4811" s="17" t="s">
        <v>32</v>
      </c>
      <c r="C4811" t="s">
        <v>33</v>
      </c>
      <c r="D4811" t="s">
        <v>34</v>
      </c>
      <c r="G4811" s="17" t="s">
        <v>35</v>
      </c>
      <c r="H4811" s="17">
        <v>1</v>
      </c>
      <c r="K4811" t="s">
        <v>223</v>
      </c>
      <c r="L4811" t="s">
        <v>224</v>
      </c>
      <c r="M4811" t="s">
        <v>131</v>
      </c>
      <c r="N4811">
        <v>20</v>
      </c>
      <c r="O4811" t="s">
        <v>40</v>
      </c>
      <c r="P4811" t="s">
        <v>40</v>
      </c>
      <c r="Q4811" t="s">
        <v>40</v>
      </c>
      <c r="S4811" t="s">
        <v>40</v>
      </c>
      <c r="V4811" t="s">
        <v>41</v>
      </c>
      <c r="W4811" t="s">
        <v>42</v>
      </c>
      <c r="X4811" t="str">
        <f>"0580345"</f>
        <v>0580345</v>
      </c>
      <c r="Y4811" t="s">
        <v>261</v>
      </c>
      <c r="Z4811" t="s">
        <v>223</v>
      </c>
      <c r="AA4811" t="s">
        <v>224</v>
      </c>
      <c r="AB4811" t="s">
        <v>131</v>
      </c>
      <c r="AC4811" t="s">
        <v>51</v>
      </c>
      <c r="AD4811" t="s">
        <v>45</v>
      </c>
      <c r="AE4811" s="1">
        <v>22885</v>
      </c>
      <c r="AF4811">
        <v>2</v>
      </c>
      <c r="AG4811" t="s">
        <v>224</v>
      </c>
      <c r="AH4811" s="36">
        <f t="shared" si="75"/>
        <v>57.144444444444446</v>
      </c>
      <c r="AI4811" s="41" t="s">
        <v>1782</v>
      </c>
    </row>
    <row r="4812" spans="1:35" x14ac:dyDescent="0.25">
      <c r="A4812" s="36">
        <v>99914810</v>
      </c>
      <c r="B4812" s="17" t="s">
        <v>32</v>
      </c>
      <c r="C4812" t="s">
        <v>46</v>
      </c>
      <c r="D4812" t="s">
        <v>47</v>
      </c>
      <c r="G4812" s="17" t="s">
        <v>35</v>
      </c>
      <c r="H4812" s="17">
        <v>1</v>
      </c>
      <c r="K4812" t="s">
        <v>223</v>
      </c>
      <c r="L4812" t="s">
        <v>224</v>
      </c>
      <c r="M4812" t="s">
        <v>131</v>
      </c>
      <c r="N4812">
        <v>18</v>
      </c>
      <c r="O4812" t="s">
        <v>40</v>
      </c>
      <c r="P4812" t="s">
        <v>40</v>
      </c>
      <c r="Q4812" t="s">
        <v>40</v>
      </c>
      <c r="S4812" t="s">
        <v>40</v>
      </c>
      <c r="V4812" t="s">
        <v>41</v>
      </c>
      <c r="W4812" t="s">
        <v>49</v>
      </c>
      <c r="X4812" t="str">
        <f>"0581207"</f>
        <v>0581207</v>
      </c>
      <c r="Y4812" t="s">
        <v>233</v>
      </c>
      <c r="Z4812" t="s">
        <v>223</v>
      </c>
      <c r="AA4812" t="s">
        <v>224</v>
      </c>
      <c r="AB4812" t="s">
        <v>131</v>
      </c>
      <c r="AC4812" t="s">
        <v>165</v>
      </c>
      <c r="AD4812" t="s">
        <v>45</v>
      </c>
      <c r="AE4812" s="1">
        <v>22883</v>
      </c>
      <c r="AF4812">
        <v>2</v>
      </c>
      <c r="AG4812" t="s">
        <v>224</v>
      </c>
      <c r="AH4812" s="36">
        <f t="shared" si="75"/>
        <v>57.15</v>
      </c>
      <c r="AI4812" s="41" t="s">
        <v>1782</v>
      </c>
    </row>
    <row r="4813" spans="1:35" x14ac:dyDescent="0.25">
      <c r="A4813" s="36">
        <v>99914811</v>
      </c>
      <c r="B4813" s="17" t="s">
        <v>32</v>
      </c>
      <c r="C4813" t="s">
        <v>46</v>
      </c>
      <c r="D4813" t="s">
        <v>47</v>
      </c>
      <c r="G4813" s="17" t="s">
        <v>48</v>
      </c>
      <c r="H4813" s="17">
        <v>1</v>
      </c>
      <c r="K4813" t="s">
        <v>223</v>
      </c>
      <c r="L4813" t="s">
        <v>224</v>
      </c>
      <c r="M4813" t="s">
        <v>131</v>
      </c>
      <c r="N4813">
        <v>18</v>
      </c>
      <c r="O4813" t="s">
        <v>40</v>
      </c>
      <c r="P4813" t="s">
        <v>40</v>
      </c>
      <c r="Q4813" t="s">
        <v>40</v>
      </c>
      <c r="R4813" t="s">
        <v>40</v>
      </c>
      <c r="S4813" t="s">
        <v>40</v>
      </c>
      <c r="V4813" t="s">
        <v>41</v>
      </c>
      <c r="W4813" t="s">
        <v>42</v>
      </c>
      <c r="X4813" t="str">
        <f>"0580203"</f>
        <v>0580203</v>
      </c>
      <c r="Y4813" t="s">
        <v>239</v>
      </c>
      <c r="Z4813" t="s">
        <v>223</v>
      </c>
      <c r="AA4813" t="s">
        <v>224</v>
      </c>
      <c r="AB4813" t="s">
        <v>131</v>
      </c>
      <c r="AC4813" t="s">
        <v>165</v>
      </c>
      <c r="AD4813" t="s">
        <v>45</v>
      </c>
      <c r="AE4813" s="1">
        <v>22878</v>
      </c>
      <c r="AF4813">
        <v>2</v>
      </c>
      <c r="AG4813" t="s">
        <v>224</v>
      </c>
      <c r="AH4813" s="36">
        <f t="shared" si="75"/>
        <v>57.163888888888891</v>
      </c>
      <c r="AI4813" s="41" t="s">
        <v>1782</v>
      </c>
    </row>
    <row r="4814" spans="1:35" x14ac:dyDescent="0.25">
      <c r="A4814" s="36">
        <v>99914812</v>
      </c>
      <c r="B4814" s="17" t="s">
        <v>56</v>
      </c>
      <c r="C4814" t="s">
        <v>68</v>
      </c>
      <c r="D4814" t="s">
        <v>69</v>
      </c>
      <c r="G4814" s="17" t="s">
        <v>48</v>
      </c>
      <c r="H4814" s="17">
        <v>1</v>
      </c>
      <c r="K4814" t="s">
        <v>223</v>
      </c>
      <c r="L4814" t="s">
        <v>224</v>
      </c>
      <c r="M4814" t="s">
        <v>131</v>
      </c>
      <c r="N4814">
        <v>18</v>
      </c>
      <c r="O4814" t="s">
        <v>40</v>
      </c>
      <c r="P4814" t="s">
        <v>40</v>
      </c>
      <c r="Q4814" t="s">
        <v>40</v>
      </c>
      <c r="S4814" t="s">
        <v>40</v>
      </c>
      <c r="V4814" t="s">
        <v>41</v>
      </c>
      <c r="W4814" t="s">
        <v>42</v>
      </c>
      <c r="X4814" t="str">
        <f>"0580204"</f>
        <v>0580204</v>
      </c>
      <c r="Y4814" t="s">
        <v>235</v>
      </c>
      <c r="Z4814" t="s">
        <v>223</v>
      </c>
      <c r="AA4814" t="s">
        <v>224</v>
      </c>
      <c r="AB4814" t="s">
        <v>131</v>
      </c>
      <c r="AC4814" t="s">
        <v>165</v>
      </c>
      <c r="AD4814" t="s">
        <v>45</v>
      </c>
      <c r="AE4814" s="1">
        <v>22877</v>
      </c>
      <c r="AF4814">
        <v>2</v>
      </c>
      <c r="AG4814" t="s">
        <v>224</v>
      </c>
      <c r="AH4814" s="36">
        <f t="shared" si="75"/>
        <v>57.166666666666664</v>
      </c>
      <c r="AI4814" s="41" t="s">
        <v>1782</v>
      </c>
    </row>
    <row r="4815" spans="1:35" x14ac:dyDescent="0.25">
      <c r="A4815" s="36">
        <v>99914813</v>
      </c>
      <c r="B4815" s="17" t="s">
        <v>56</v>
      </c>
      <c r="C4815" t="s">
        <v>68</v>
      </c>
      <c r="D4815" t="s">
        <v>69</v>
      </c>
      <c r="G4815" s="17" t="s">
        <v>35</v>
      </c>
      <c r="H4815" s="17">
        <v>1</v>
      </c>
      <c r="I4815">
        <v>0</v>
      </c>
      <c r="J4815" s="1">
        <v>43344</v>
      </c>
      <c r="K4815" t="s">
        <v>223</v>
      </c>
      <c r="L4815" t="s">
        <v>224</v>
      </c>
      <c r="M4815" t="s">
        <v>131</v>
      </c>
      <c r="N4815">
        <v>20</v>
      </c>
      <c r="O4815" t="s">
        <v>40</v>
      </c>
      <c r="S4815" t="s">
        <v>40</v>
      </c>
      <c r="U4815" s="1">
        <v>43344</v>
      </c>
      <c r="V4815" t="s">
        <v>41</v>
      </c>
      <c r="W4815" t="s">
        <v>42</v>
      </c>
      <c r="X4815" t="str">
        <f>"0580206"</f>
        <v>0580206</v>
      </c>
      <c r="Y4815" t="s">
        <v>237</v>
      </c>
      <c r="Z4815" t="s">
        <v>223</v>
      </c>
      <c r="AA4815" t="s">
        <v>224</v>
      </c>
      <c r="AB4815" t="s">
        <v>131</v>
      </c>
      <c r="AC4815" t="s">
        <v>51</v>
      </c>
      <c r="AD4815" t="s">
        <v>45</v>
      </c>
      <c r="AE4815" s="1">
        <v>22874</v>
      </c>
      <c r="AF4815">
        <v>2</v>
      </c>
      <c r="AG4815" t="s">
        <v>224</v>
      </c>
      <c r="AH4815" s="36">
        <f t="shared" si="75"/>
        <v>57.174999999999997</v>
      </c>
      <c r="AI4815" s="41" t="s">
        <v>1782</v>
      </c>
    </row>
    <row r="4816" spans="1:35" x14ac:dyDescent="0.25">
      <c r="A4816" s="36">
        <v>99914814</v>
      </c>
      <c r="B4816" s="17" t="s">
        <v>56</v>
      </c>
      <c r="C4816" t="s">
        <v>68</v>
      </c>
      <c r="D4816" t="s">
        <v>69</v>
      </c>
      <c r="G4816" s="17" t="s">
        <v>48</v>
      </c>
      <c r="H4816" s="17">
        <v>12</v>
      </c>
      <c r="K4816" t="s">
        <v>1268</v>
      </c>
      <c r="L4816" t="s">
        <v>1269</v>
      </c>
      <c r="M4816" t="s">
        <v>1270</v>
      </c>
      <c r="N4816">
        <v>18</v>
      </c>
      <c r="O4816" t="s">
        <v>40</v>
      </c>
      <c r="P4816" t="s">
        <v>40</v>
      </c>
      <c r="Q4816" t="s">
        <v>40</v>
      </c>
      <c r="R4816" t="s">
        <v>40</v>
      </c>
      <c r="S4816" t="s">
        <v>40</v>
      </c>
      <c r="U4816" s="1">
        <v>43344</v>
      </c>
      <c r="V4816" t="s">
        <v>41</v>
      </c>
      <c r="W4816" t="s">
        <v>42</v>
      </c>
      <c r="X4816" t="str">
        <f>"1980055"</f>
        <v>1980055</v>
      </c>
      <c r="Y4816" t="s">
        <v>1285</v>
      </c>
      <c r="Z4816" t="s">
        <v>1268</v>
      </c>
      <c r="AA4816" t="s">
        <v>1269</v>
      </c>
      <c r="AB4816" t="s">
        <v>1270</v>
      </c>
      <c r="AC4816" t="s">
        <v>165</v>
      </c>
      <c r="AD4816" t="s">
        <v>45</v>
      </c>
      <c r="AE4816" s="1">
        <v>22874</v>
      </c>
      <c r="AF4816">
        <v>2</v>
      </c>
      <c r="AG4816" t="s">
        <v>1269</v>
      </c>
      <c r="AH4816" s="36">
        <f t="shared" si="75"/>
        <v>57.174999999999997</v>
      </c>
      <c r="AI4816" s="41" t="s">
        <v>1782</v>
      </c>
    </row>
    <row r="4817" spans="1:35" x14ac:dyDescent="0.25">
      <c r="A4817" s="36">
        <v>99914815</v>
      </c>
      <c r="B4817" s="17" t="s">
        <v>56</v>
      </c>
      <c r="C4817" t="s">
        <v>111</v>
      </c>
      <c r="D4817" t="s">
        <v>112</v>
      </c>
      <c r="G4817" s="17" t="s">
        <v>48</v>
      </c>
      <c r="H4817" s="17">
        <v>1</v>
      </c>
      <c r="K4817" t="s">
        <v>354</v>
      </c>
      <c r="L4817" t="s">
        <v>355</v>
      </c>
      <c r="M4817" t="s">
        <v>131</v>
      </c>
      <c r="N4817">
        <v>21</v>
      </c>
      <c r="O4817" t="s">
        <v>40</v>
      </c>
      <c r="P4817" t="s">
        <v>40</v>
      </c>
      <c r="Q4817" t="s">
        <v>40</v>
      </c>
      <c r="S4817" t="s">
        <v>40</v>
      </c>
      <c r="V4817" t="s">
        <v>41</v>
      </c>
      <c r="W4817" t="s">
        <v>75</v>
      </c>
      <c r="X4817" t="str">
        <f>"7054022"</f>
        <v>7054022</v>
      </c>
      <c r="Y4817" t="s">
        <v>770</v>
      </c>
      <c r="Z4817" t="s">
        <v>354</v>
      </c>
      <c r="AA4817" t="s">
        <v>355</v>
      </c>
      <c r="AB4817" t="s">
        <v>131</v>
      </c>
      <c r="AC4817" t="s">
        <v>51</v>
      </c>
      <c r="AD4817" t="s">
        <v>45</v>
      </c>
      <c r="AE4817" s="1">
        <v>22870</v>
      </c>
      <c r="AF4817">
        <v>1</v>
      </c>
      <c r="AG4817" t="s">
        <v>355</v>
      </c>
      <c r="AH4817" s="36">
        <f t="shared" si="75"/>
        <v>57.18611111111111</v>
      </c>
      <c r="AI4817" s="41" t="s">
        <v>1782</v>
      </c>
    </row>
    <row r="4818" spans="1:35" x14ac:dyDescent="0.25">
      <c r="A4818" s="36">
        <v>99914816</v>
      </c>
      <c r="B4818" s="17" t="s">
        <v>56</v>
      </c>
      <c r="C4818" t="s">
        <v>111</v>
      </c>
      <c r="D4818" t="s">
        <v>112</v>
      </c>
      <c r="G4818" s="17" t="s">
        <v>35</v>
      </c>
      <c r="H4818" s="17">
        <v>1</v>
      </c>
      <c r="I4818" t="s">
        <v>596</v>
      </c>
      <c r="J4818" s="1">
        <v>43344</v>
      </c>
      <c r="K4818" t="s">
        <v>268</v>
      </c>
      <c r="L4818" t="s">
        <v>269</v>
      </c>
      <c r="M4818" t="s">
        <v>131</v>
      </c>
      <c r="N4818">
        <v>23</v>
      </c>
      <c r="O4818" t="s">
        <v>40</v>
      </c>
      <c r="S4818" t="s">
        <v>40</v>
      </c>
      <c r="U4818" s="1">
        <v>43344</v>
      </c>
      <c r="V4818" t="s">
        <v>41</v>
      </c>
      <c r="W4818" t="s">
        <v>75</v>
      </c>
      <c r="X4818" t="str">
        <f>"7052020"</f>
        <v>7052020</v>
      </c>
      <c r="Y4818" t="s">
        <v>267</v>
      </c>
      <c r="Z4818" t="s">
        <v>268</v>
      </c>
      <c r="AA4818" t="s">
        <v>269</v>
      </c>
      <c r="AB4818" t="s">
        <v>131</v>
      </c>
      <c r="AC4818" t="s">
        <v>51</v>
      </c>
      <c r="AD4818" t="s">
        <v>45</v>
      </c>
      <c r="AE4818" s="1">
        <v>22868</v>
      </c>
      <c r="AF4818">
        <v>1</v>
      </c>
      <c r="AG4818" t="s">
        <v>269</v>
      </c>
      <c r="AH4818" s="36">
        <f t="shared" si="75"/>
        <v>57.19166666666667</v>
      </c>
      <c r="AI4818" s="41" t="s">
        <v>1782</v>
      </c>
    </row>
    <row r="4819" spans="1:35" x14ac:dyDescent="0.25">
      <c r="A4819" s="36">
        <v>99914817</v>
      </c>
      <c r="B4819" s="17" t="s">
        <v>32</v>
      </c>
      <c r="C4819" t="s">
        <v>111</v>
      </c>
      <c r="D4819" t="s">
        <v>112</v>
      </c>
      <c r="G4819" s="17" t="s">
        <v>48</v>
      </c>
      <c r="H4819" s="17">
        <v>1</v>
      </c>
      <c r="K4819" t="s">
        <v>268</v>
      </c>
      <c r="L4819" t="s">
        <v>269</v>
      </c>
      <c r="M4819" t="s">
        <v>131</v>
      </c>
      <c r="N4819">
        <v>21</v>
      </c>
      <c r="O4819" t="s">
        <v>40</v>
      </c>
      <c r="P4819" t="s">
        <v>40</v>
      </c>
      <c r="Q4819" t="s">
        <v>40</v>
      </c>
      <c r="S4819" t="s">
        <v>40</v>
      </c>
      <c r="V4819" t="s">
        <v>41</v>
      </c>
      <c r="W4819" t="s">
        <v>75</v>
      </c>
      <c r="X4819" t="str">
        <f>"7052040"</f>
        <v>7052040</v>
      </c>
      <c r="Y4819" t="s">
        <v>591</v>
      </c>
      <c r="Z4819" t="s">
        <v>268</v>
      </c>
      <c r="AA4819" t="s">
        <v>269</v>
      </c>
      <c r="AB4819" t="s">
        <v>131</v>
      </c>
      <c r="AC4819" t="s">
        <v>51</v>
      </c>
      <c r="AD4819" t="s">
        <v>45</v>
      </c>
      <c r="AE4819" s="1">
        <v>22862</v>
      </c>
      <c r="AF4819">
        <v>1</v>
      </c>
      <c r="AG4819" t="s">
        <v>269</v>
      </c>
      <c r="AH4819" s="36">
        <f t="shared" si="75"/>
        <v>57.208333333333336</v>
      </c>
      <c r="AI4819" s="41" t="s">
        <v>1782</v>
      </c>
    </row>
    <row r="4820" spans="1:35" x14ac:dyDescent="0.25">
      <c r="A4820" s="36">
        <v>99914818</v>
      </c>
      <c r="B4820" s="17" t="s">
        <v>32</v>
      </c>
      <c r="C4820" t="s">
        <v>64</v>
      </c>
      <c r="D4820" t="s">
        <v>65</v>
      </c>
      <c r="G4820" s="17" t="s">
        <v>48</v>
      </c>
      <c r="H4820" s="17">
        <v>1</v>
      </c>
      <c r="K4820" t="s">
        <v>223</v>
      </c>
      <c r="L4820" t="s">
        <v>224</v>
      </c>
      <c r="M4820" t="s">
        <v>131</v>
      </c>
      <c r="N4820">
        <v>18</v>
      </c>
      <c r="O4820" t="s">
        <v>40</v>
      </c>
      <c r="P4820" t="s">
        <v>40</v>
      </c>
      <c r="Q4820" t="s">
        <v>40</v>
      </c>
      <c r="S4820" t="s">
        <v>40</v>
      </c>
      <c r="V4820" t="s">
        <v>41</v>
      </c>
      <c r="W4820" t="s">
        <v>42</v>
      </c>
      <c r="X4820" t="str">
        <f>"0580200"</f>
        <v>0580200</v>
      </c>
      <c r="Y4820" t="s">
        <v>245</v>
      </c>
      <c r="Z4820" t="s">
        <v>223</v>
      </c>
      <c r="AA4820" t="s">
        <v>224</v>
      </c>
      <c r="AB4820" t="s">
        <v>131</v>
      </c>
      <c r="AC4820" t="s">
        <v>51</v>
      </c>
      <c r="AD4820" t="s">
        <v>45</v>
      </c>
      <c r="AE4820" s="1">
        <v>22861</v>
      </c>
      <c r="AF4820">
        <v>2</v>
      </c>
      <c r="AG4820" t="s">
        <v>224</v>
      </c>
      <c r="AH4820" s="36">
        <f t="shared" si="75"/>
        <v>57.211111111111109</v>
      </c>
      <c r="AI4820" s="41" t="s">
        <v>1782</v>
      </c>
    </row>
    <row r="4821" spans="1:35" x14ac:dyDescent="0.25">
      <c r="A4821" s="36">
        <v>99914819</v>
      </c>
      <c r="B4821" s="17" t="s">
        <v>56</v>
      </c>
      <c r="C4821" t="s">
        <v>111</v>
      </c>
      <c r="D4821" t="s">
        <v>112</v>
      </c>
      <c r="G4821" s="17" t="s">
        <v>35</v>
      </c>
      <c r="H4821" s="17">
        <v>1</v>
      </c>
      <c r="K4821" t="s">
        <v>154</v>
      </c>
      <c r="L4821" t="s">
        <v>155</v>
      </c>
      <c r="M4821" t="s">
        <v>131</v>
      </c>
      <c r="N4821">
        <v>21</v>
      </c>
      <c r="O4821" t="s">
        <v>40</v>
      </c>
      <c r="P4821" t="s">
        <v>40</v>
      </c>
      <c r="Q4821" t="s">
        <v>40</v>
      </c>
      <c r="S4821" t="s">
        <v>40</v>
      </c>
      <c r="V4821" t="s">
        <v>41</v>
      </c>
      <c r="W4821" t="s">
        <v>75</v>
      </c>
      <c r="X4821" t="str">
        <f>"7700026"</f>
        <v>7700026</v>
      </c>
      <c r="Y4821" t="s">
        <v>397</v>
      </c>
      <c r="Z4821" t="s">
        <v>154</v>
      </c>
      <c r="AA4821" t="s">
        <v>155</v>
      </c>
      <c r="AB4821" t="s">
        <v>131</v>
      </c>
      <c r="AC4821" t="s">
        <v>51</v>
      </c>
      <c r="AD4821" t="s">
        <v>45</v>
      </c>
      <c r="AE4821" s="1">
        <v>22858</v>
      </c>
      <c r="AF4821">
        <v>1</v>
      </c>
      <c r="AG4821" t="s">
        <v>155</v>
      </c>
      <c r="AH4821" s="36">
        <f t="shared" si="75"/>
        <v>57.219444444444441</v>
      </c>
      <c r="AI4821" s="41" t="s">
        <v>1782</v>
      </c>
    </row>
    <row r="4822" spans="1:35" x14ac:dyDescent="0.25">
      <c r="A4822" s="36">
        <v>99914820</v>
      </c>
      <c r="B4822" s="17" t="s">
        <v>56</v>
      </c>
      <c r="C4822" t="s">
        <v>52</v>
      </c>
      <c r="D4822" t="s">
        <v>53</v>
      </c>
      <c r="G4822" s="17" t="s">
        <v>48</v>
      </c>
      <c r="H4822" s="17">
        <v>1</v>
      </c>
      <c r="K4822" t="s">
        <v>1268</v>
      </c>
      <c r="L4822" t="s">
        <v>1269</v>
      </c>
      <c r="M4822" t="s">
        <v>1270</v>
      </c>
      <c r="N4822">
        <v>18</v>
      </c>
      <c r="O4822" t="s">
        <v>40</v>
      </c>
      <c r="P4822" t="s">
        <v>40</v>
      </c>
      <c r="Q4822" t="s">
        <v>40</v>
      </c>
      <c r="R4822" t="s">
        <v>40</v>
      </c>
      <c r="S4822" t="s">
        <v>40</v>
      </c>
      <c r="V4822" t="s">
        <v>41</v>
      </c>
      <c r="W4822" t="s">
        <v>49</v>
      </c>
      <c r="X4822" t="str">
        <f>"1981912"</f>
        <v>1981912</v>
      </c>
      <c r="Y4822" t="s">
        <v>1279</v>
      </c>
      <c r="Z4822" t="s">
        <v>1268</v>
      </c>
      <c r="AA4822" t="s">
        <v>1269</v>
      </c>
      <c r="AB4822" t="s">
        <v>1270</v>
      </c>
      <c r="AC4822" t="s">
        <v>51</v>
      </c>
      <c r="AD4822" t="s">
        <v>45</v>
      </c>
      <c r="AE4822" s="1">
        <v>22858</v>
      </c>
      <c r="AF4822">
        <v>2</v>
      </c>
      <c r="AG4822" t="s">
        <v>1269</v>
      </c>
      <c r="AH4822" s="36">
        <f t="shared" si="75"/>
        <v>57.219444444444441</v>
      </c>
      <c r="AI4822" s="41" t="s">
        <v>1782</v>
      </c>
    </row>
    <row r="4823" spans="1:35" x14ac:dyDescent="0.25">
      <c r="A4823" s="36">
        <v>99914821</v>
      </c>
      <c r="B4823" s="17" t="s">
        <v>56</v>
      </c>
      <c r="C4823" t="s">
        <v>52</v>
      </c>
      <c r="D4823" t="s">
        <v>53</v>
      </c>
      <c r="G4823" s="17" t="s">
        <v>48</v>
      </c>
      <c r="H4823" s="17">
        <v>1</v>
      </c>
      <c r="K4823" t="s">
        <v>345</v>
      </c>
      <c r="L4823" t="s">
        <v>346</v>
      </c>
      <c r="M4823" t="s">
        <v>131</v>
      </c>
      <c r="N4823">
        <v>21</v>
      </c>
      <c r="O4823" t="s">
        <v>40</v>
      </c>
      <c r="P4823" t="s">
        <v>40</v>
      </c>
      <c r="Q4823" t="s">
        <v>40</v>
      </c>
      <c r="S4823" t="s">
        <v>40</v>
      </c>
      <c r="V4823" t="s">
        <v>41</v>
      </c>
      <c r="W4823" t="s">
        <v>42</v>
      </c>
      <c r="X4823" t="str">
        <f>"0580605"</f>
        <v>0580605</v>
      </c>
      <c r="Y4823" t="s">
        <v>362</v>
      </c>
      <c r="Z4823" t="s">
        <v>345</v>
      </c>
      <c r="AA4823" t="s">
        <v>346</v>
      </c>
      <c r="AB4823" t="s">
        <v>131</v>
      </c>
      <c r="AC4823" t="s">
        <v>51</v>
      </c>
      <c r="AD4823" t="s">
        <v>45</v>
      </c>
      <c r="AE4823" s="1">
        <v>22853</v>
      </c>
      <c r="AF4823">
        <v>2</v>
      </c>
      <c r="AG4823" t="s">
        <v>346</v>
      </c>
      <c r="AH4823" s="36">
        <f t="shared" si="75"/>
        <v>57.233333333333334</v>
      </c>
      <c r="AI4823" s="41" t="s">
        <v>1782</v>
      </c>
    </row>
    <row r="4824" spans="1:35" x14ac:dyDescent="0.25">
      <c r="A4824" s="36">
        <v>99914822</v>
      </c>
      <c r="B4824" s="17" t="s">
        <v>32</v>
      </c>
      <c r="C4824" t="s">
        <v>90</v>
      </c>
      <c r="D4824" t="s">
        <v>91</v>
      </c>
      <c r="G4824" s="17" t="s">
        <v>48</v>
      </c>
      <c r="H4824" s="17">
        <v>4</v>
      </c>
      <c r="K4824" t="s">
        <v>963</v>
      </c>
      <c r="L4824" t="s">
        <v>964</v>
      </c>
      <c r="M4824" t="s">
        <v>938</v>
      </c>
      <c r="N4824">
        <v>25</v>
      </c>
      <c r="O4824" t="s">
        <v>40</v>
      </c>
      <c r="P4824" t="s">
        <v>40</v>
      </c>
      <c r="Q4824" t="s">
        <v>40</v>
      </c>
      <c r="R4824" t="s">
        <v>40</v>
      </c>
      <c r="S4824" t="s">
        <v>40</v>
      </c>
      <c r="V4824" t="s">
        <v>41</v>
      </c>
      <c r="W4824" t="s">
        <v>95</v>
      </c>
      <c r="X4824" t="str">
        <f>"7061023"</f>
        <v>7061023</v>
      </c>
      <c r="Y4824" t="s">
        <v>1010</v>
      </c>
      <c r="Z4824" t="s">
        <v>963</v>
      </c>
      <c r="AA4824" t="s">
        <v>964</v>
      </c>
      <c r="AB4824" t="s">
        <v>938</v>
      </c>
      <c r="AC4824" t="s">
        <v>51</v>
      </c>
      <c r="AD4824" t="s">
        <v>45</v>
      </c>
      <c r="AE4824" s="1">
        <v>22850</v>
      </c>
      <c r="AF4824">
        <v>1</v>
      </c>
      <c r="AG4824" t="s">
        <v>964</v>
      </c>
      <c r="AH4824" s="36">
        <f t="shared" si="75"/>
        <v>57.241666666666667</v>
      </c>
      <c r="AI4824" s="41" t="s">
        <v>1782</v>
      </c>
    </row>
    <row r="4825" spans="1:35" x14ac:dyDescent="0.25">
      <c r="A4825" s="36">
        <v>99914823</v>
      </c>
      <c r="B4825" s="17" t="s">
        <v>32</v>
      </c>
      <c r="C4825" t="s">
        <v>46</v>
      </c>
      <c r="D4825" t="s">
        <v>47</v>
      </c>
      <c r="G4825" s="17" t="s">
        <v>48</v>
      </c>
      <c r="H4825" s="17">
        <v>1</v>
      </c>
      <c r="K4825" t="s">
        <v>223</v>
      </c>
      <c r="L4825" t="s">
        <v>224</v>
      </c>
      <c r="M4825" t="s">
        <v>131</v>
      </c>
      <c r="N4825">
        <v>18</v>
      </c>
      <c r="O4825" t="s">
        <v>40</v>
      </c>
      <c r="P4825" t="s">
        <v>40</v>
      </c>
      <c r="Q4825" t="s">
        <v>40</v>
      </c>
      <c r="S4825" t="s">
        <v>40</v>
      </c>
      <c r="V4825" t="s">
        <v>41</v>
      </c>
      <c r="W4825" t="s">
        <v>42</v>
      </c>
      <c r="X4825" t="str">
        <f>"0580204"</f>
        <v>0580204</v>
      </c>
      <c r="Y4825" t="s">
        <v>235</v>
      </c>
      <c r="Z4825" t="s">
        <v>223</v>
      </c>
      <c r="AA4825" t="s">
        <v>224</v>
      </c>
      <c r="AB4825" t="s">
        <v>131</v>
      </c>
      <c r="AC4825" t="s">
        <v>165</v>
      </c>
      <c r="AD4825" t="s">
        <v>45</v>
      </c>
      <c r="AE4825" s="1">
        <v>22847</v>
      </c>
      <c r="AF4825">
        <v>2</v>
      </c>
      <c r="AG4825" t="s">
        <v>224</v>
      </c>
      <c r="AH4825" s="36">
        <f t="shared" si="75"/>
        <v>57.25</v>
      </c>
      <c r="AI4825" s="41" t="s">
        <v>1782</v>
      </c>
    </row>
    <row r="4826" spans="1:35" x14ac:dyDescent="0.25">
      <c r="A4826" s="36">
        <v>99914824</v>
      </c>
      <c r="B4826" s="17" t="s">
        <v>56</v>
      </c>
      <c r="C4826" t="s">
        <v>79</v>
      </c>
      <c r="D4826" t="s">
        <v>80</v>
      </c>
      <c r="G4826" s="17" t="s">
        <v>48</v>
      </c>
      <c r="H4826" s="17">
        <v>1</v>
      </c>
      <c r="K4826" t="s">
        <v>345</v>
      </c>
      <c r="L4826" t="s">
        <v>346</v>
      </c>
      <c r="M4826" t="s">
        <v>131</v>
      </c>
      <c r="N4826">
        <v>14</v>
      </c>
      <c r="O4826" t="s">
        <v>40</v>
      </c>
      <c r="P4826" t="s">
        <v>40</v>
      </c>
      <c r="Q4826" t="s">
        <v>40</v>
      </c>
      <c r="R4826" t="s">
        <v>40</v>
      </c>
      <c r="S4826" t="s">
        <v>40</v>
      </c>
      <c r="V4826" t="s">
        <v>41</v>
      </c>
      <c r="W4826" t="s">
        <v>49</v>
      </c>
      <c r="X4826" t="str">
        <f>"0561021"</f>
        <v>0561021</v>
      </c>
      <c r="Y4826" t="s">
        <v>352</v>
      </c>
      <c r="Z4826" t="s">
        <v>345</v>
      </c>
      <c r="AA4826" t="s">
        <v>346</v>
      </c>
      <c r="AB4826" t="s">
        <v>131</v>
      </c>
      <c r="AC4826" t="s">
        <v>51</v>
      </c>
      <c r="AD4826" t="s">
        <v>45</v>
      </c>
      <c r="AE4826" s="1">
        <v>22836</v>
      </c>
      <c r="AF4826">
        <v>2</v>
      </c>
      <c r="AG4826" t="s">
        <v>346</v>
      </c>
      <c r="AH4826" s="36">
        <f t="shared" si="75"/>
        <v>57.280555555555559</v>
      </c>
      <c r="AI4826" s="41" t="s">
        <v>1782</v>
      </c>
    </row>
    <row r="4827" spans="1:35" x14ac:dyDescent="0.25">
      <c r="A4827" s="36">
        <v>99914825</v>
      </c>
      <c r="B4827" s="17" t="s">
        <v>32</v>
      </c>
      <c r="C4827" t="s">
        <v>90</v>
      </c>
      <c r="D4827" t="s">
        <v>91</v>
      </c>
      <c r="G4827" s="17" t="s">
        <v>48</v>
      </c>
      <c r="H4827" s="17">
        <v>1</v>
      </c>
      <c r="K4827" t="s">
        <v>431</v>
      </c>
      <c r="L4827" t="s">
        <v>196</v>
      </c>
      <c r="M4827" t="s">
        <v>131</v>
      </c>
      <c r="N4827">
        <v>21</v>
      </c>
      <c r="O4827" t="s">
        <v>40</v>
      </c>
      <c r="P4827" t="s">
        <v>40</v>
      </c>
      <c r="Q4827" t="s">
        <v>40</v>
      </c>
      <c r="S4827" t="s">
        <v>40</v>
      </c>
      <c r="V4827" t="s">
        <v>41</v>
      </c>
      <c r="W4827" t="s">
        <v>95</v>
      </c>
      <c r="X4827" t="str">
        <f>"7521011"</f>
        <v>7521011</v>
      </c>
      <c r="Y4827" t="s">
        <v>506</v>
      </c>
      <c r="Z4827" t="s">
        <v>431</v>
      </c>
      <c r="AA4827" t="s">
        <v>196</v>
      </c>
      <c r="AB4827" t="s">
        <v>131</v>
      </c>
      <c r="AC4827" t="s">
        <v>51</v>
      </c>
      <c r="AD4827" t="s">
        <v>45</v>
      </c>
      <c r="AE4827" s="1">
        <v>22828</v>
      </c>
      <c r="AF4827">
        <v>1</v>
      </c>
      <c r="AG4827" t="s">
        <v>196</v>
      </c>
      <c r="AH4827" s="36">
        <f t="shared" si="75"/>
        <v>57.302777777777777</v>
      </c>
      <c r="AI4827" s="41" t="s">
        <v>1782</v>
      </c>
    </row>
    <row r="4828" spans="1:35" x14ac:dyDescent="0.25">
      <c r="A4828" s="36">
        <v>99914826</v>
      </c>
      <c r="B4828" s="17" t="s">
        <v>32</v>
      </c>
      <c r="C4828" t="s">
        <v>46</v>
      </c>
      <c r="D4828" t="s">
        <v>47</v>
      </c>
      <c r="G4828" s="17" t="s">
        <v>48</v>
      </c>
      <c r="H4828" s="17">
        <v>1</v>
      </c>
      <c r="K4828" t="s">
        <v>223</v>
      </c>
      <c r="L4828" t="s">
        <v>224</v>
      </c>
      <c r="M4828" t="s">
        <v>131</v>
      </c>
      <c r="N4828">
        <v>18</v>
      </c>
      <c r="O4828" t="s">
        <v>40</v>
      </c>
      <c r="P4828" t="s">
        <v>40</v>
      </c>
      <c r="Q4828" t="s">
        <v>40</v>
      </c>
      <c r="S4828" t="s">
        <v>40</v>
      </c>
      <c r="V4828" t="s">
        <v>41</v>
      </c>
      <c r="W4828" t="s">
        <v>49</v>
      </c>
      <c r="X4828" t="str">
        <f>"0581204"</f>
        <v>0581204</v>
      </c>
      <c r="Y4828" t="s">
        <v>249</v>
      </c>
      <c r="Z4828" t="s">
        <v>223</v>
      </c>
      <c r="AA4828" t="s">
        <v>224</v>
      </c>
      <c r="AB4828" t="s">
        <v>131</v>
      </c>
      <c r="AC4828" t="s">
        <v>165</v>
      </c>
      <c r="AD4828" t="s">
        <v>45</v>
      </c>
      <c r="AE4828" s="1">
        <v>22827</v>
      </c>
      <c r="AF4828">
        <v>2</v>
      </c>
      <c r="AG4828" t="s">
        <v>224</v>
      </c>
      <c r="AH4828" s="36">
        <f t="shared" si="75"/>
        <v>57.305555555555557</v>
      </c>
      <c r="AI4828" s="41" t="s">
        <v>1782</v>
      </c>
    </row>
    <row r="4829" spans="1:35" x14ac:dyDescent="0.25">
      <c r="A4829" s="36">
        <v>99914827</v>
      </c>
      <c r="B4829" s="17" t="s">
        <v>32</v>
      </c>
      <c r="C4829" t="s">
        <v>139</v>
      </c>
      <c r="D4829" t="s">
        <v>140</v>
      </c>
      <c r="G4829" s="17" t="s">
        <v>48</v>
      </c>
      <c r="H4829" s="17">
        <v>1</v>
      </c>
      <c r="K4829" t="s">
        <v>223</v>
      </c>
      <c r="L4829" t="s">
        <v>224</v>
      </c>
      <c r="M4829" t="s">
        <v>131</v>
      </c>
      <c r="N4829">
        <v>20</v>
      </c>
      <c r="O4829" t="s">
        <v>40</v>
      </c>
      <c r="P4829" t="s">
        <v>40</v>
      </c>
      <c r="Q4829" t="s">
        <v>40</v>
      </c>
      <c r="R4829" t="s">
        <v>40</v>
      </c>
      <c r="S4829" t="s">
        <v>40</v>
      </c>
      <c r="V4829" t="s">
        <v>41</v>
      </c>
      <c r="W4829" t="s">
        <v>49</v>
      </c>
      <c r="X4829" t="str">
        <f>"0591910"</f>
        <v>0591910</v>
      </c>
      <c r="Y4829" t="s">
        <v>228</v>
      </c>
      <c r="Z4829" t="s">
        <v>223</v>
      </c>
      <c r="AA4829" t="s">
        <v>224</v>
      </c>
      <c r="AB4829" t="s">
        <v>131</v>
      </c>
      <c r="AC4829" t="s">
        <v>51</v>
      </c>
      <c r="AD4829" t="s">
        <v>45</v>
      </c>
      <c r="AE4829" s="1">
        <v>22823</v>
      </c>
      <c r="AF4829">
        <v>2</v>
      </c>
      <c r="AG4829" t="s">
        <v>224</v>
      </c>
      <c r="AH4829" s="36">
        <f t="shared" si="75"/>
        <v>57.31666666666667</v>
      </c>
      <c r="AI4829" s="41" t="s">
        <v>1782</v>
      </c>
    </row>
    <row r="4830" spans="1:35" x14ac:dyDescent="0.25">
      <c r="A4830" s="36">
        <v>99914828</v>
      </c>
      <c r="B4830" s="17" t="s">
        <v>32</v>
      </c>
      <c r="C4830" t="s">
        <v>46</v>
      </c>
      <c r="D4830" t="s">
        <v>47</v>
      </c>
      <c r="G4830" s="17" t="s">
        <v>35</v>
      </c>
      <c r="H4830" s="17">
        <v>1</v>
      </c>
      <c r="K4830" t="s">
        <v>345</v>
      </c>
      <c r="L4830" t="s">
        <v>346</v>
      </c>
      <c r="M4830" t="s">
        <v>131</v>
      </c>
      <c r="N4830">
        <v>18</v>
      </c>
      <c r="O4830" t="s">
        <v>40</v>
      </c>
      <c r="P4830" t="s">
        <v>40</v>
      </c>
      <c r="Q4830" t="s">
        <v>40</v>
      </c>
      <c r="S4830" t="s">
        <v>40</v>
      </c>
      <c r="V4830" t="s">
        <v>41</v>
      </c>
      <c r="W4830" t="s">
        <v>49</v>
      </c>
      <c r="X4830" t="str">
        <f>"0560007"</f>
        <v>0560007</v>
      </c>
      <c r="Y4830" t="s">
        <v>357</v>
      </c>
      <c r="Z4830" t="s">
        <v>345</v>
      </c>
      <c r="AA4830" t="s">
        <v>346</v>
      </c>
      <c r="AB4830" t="s">
        <v>131</v>
      </c>
      <c r="AC4830" t="s">
        <v>51</v>
      </c>
      <c r="AD4830" t="s">
        <v>45</v>
      </c>
      <c r="AE4830" s="1">
        <v>22819</v>
      </c>
      <c r="AF4830">
        <v>2</v>
      </c>
      <c r="AG4830" t="s">
        <v>346</v>
      </c>
      <c r="AH4830" s="36">
        <f t="shared" si="75"/>
        <v>57.327777777777776</v>
      </c>
      <c r="AI4830" s="41" t="s">
        <v>1782</v>
      </c>
    </row>
    <row r="4831" spans="1:35" x14ac:dyDescent="0.25">
      <c r="A4831" s="36">
        <v>99914829</v>
      </c>
      <c r="B4831" s="17" t="s">
        <v>32</v>
      </c>
      <c r="C4831" t="s">
        <v>139</v>
      </c>
      <c r="D4831" t="s">
        <v>140</v>
      </c>
      <c r="G4831" s="17" t="s">
        <v>48</v>
      </c>
      <c r="H4831" s="17">
        <v>1</v>
      </c>
      <c r="K4831" t="s">
        <v>1268</v>
      </c>
      <c r="L4831" t="s">
        <v>1269</v>
      </c>
      <c r="M4831" t="s">
        <v>1270</v>
      </c>
      <c r="N4831">
        <v>20</v>
      </c>
      <c r="O4831" t="s">
        <v>40</v>
      </c>
      <c r="P4831" t="s">
        <v>40</v>
      </c>
      <c r="Q4831" t="s">
        <v>40</v>
      </c>
      <c r="R4831" t="s">
        <v>40</v>
      </c>
      <c r="S4831" t="s">
        <v>40</v>
      </c>
      <c r="V4831" t="s">
        <v>41</v>
      </c>
      <c r="W4831" t="s">
        <v>49</v>
      </c>
      <c r="X4831" t="str">
        <f>"1981912"</f>
        <v>1981912</v>
      </c>
      <c r="Y4831" t="s">
        <v>1279</v>
      </c>
      <c r="Z4831" t="s">
        <v>1268</v>
      </c>
      <c r="AA4831" t="s">
        <v>1269</v>
      </c>
      <c r="AB4831" t="s">
        <v>1270</v>
      </c>
      <c r="AC4831" t="s">
        <v>51</v>
      </c>
      <c r="AD4831" t="s">
        <v>45</v>
      </c>
      <c r="AE4831" s="1">
        <v>22816</v>
      </c>
      <c r="AF4831">
        <v>2</v>
      </c>
      <c r="AG4831" t="s">
        <v>1269</v>
      </c>
      <c r="AH4831" s="36">
        <f t="shared" si="75"/>
        <v>57.336111111111109</v>
      </c>
      <c r="AI4831" s="41" t="s">
        <v>1782</v>
      </c>
    </row>
    <row r="4832" spans="1:35" x14ac:dyDescent="0.25">
      <c r="A4832" s="36">
        <v>99914830</v>
      </c>
      <c r="B4832" s="17" t="s">
        <v>32</v>
      </c>
      <c r="C4832" t="s">
        <v>111</v>
      </c>
      <c r="D4832" t="s">
        <v>112</v>
      </c>
      <c r="G4832" s="17" t="s">
        <v>35</v>
      </c>
      <c r="H4832" s="17">
        <v>1</v>
      </c>
      <c r="K4832" t="s">
        <v>268</v>
      </c>
      <c r="L4832" t="s">
        <v>269</v>
      </c>
      <c r="M4832" t="s">
        <v>131</v>
      </c>
      <c r="N4832">
        <v>6</v>
      </c>
      <c r="O4832" t="s">
        <v>40</v>
      </c>
      <c r="P4832" t="s">
        <v>40</v>
      </c>
      <c r="Q4832" t="s">
        <v>40</v>
      </c>
      <c r="R4832" t="s">
        <v>40</v>
      </c>
      <c r="S4832" t="s">
        <v>40</v>
      </c>
      <c r="V4832" t="s">
        <v>41</v>
      </c>
      <c r="W4832" t="s">
        <v>75</v>
      </c>
      <c r="X4832" t="str">
        <f>"7052004"</f>
        <v>7052004</v>
      </c>
      <c r="Y4832" t="s">
        <v>584</v>
      </c>
      <c r="Z4832" t="s">
        <v>268</v>
      </c>
      <c r="AA4832" t="s">
        <v>269</v>
      </c>
      <c r="AB4832" t="s">
        <v>131</v>
      </c>
      <c r="AC4832" t="s">
        <v>165</v>
      </c>
      <c r="AD4832" t="s">
        <v>45</v>
      </c>
      <c r="AE4832" s="1">
        <v>22812</v>
      </c>
      <c r="AF4832">
        <v>1</v>
      </c>
      <c r="AG4832" t="s">
        <v>269</v>
      </c>
      <c r="AH4832" s="36">
        <f t="shared" si="75"/>
        <v>57.347222222222221</v>
      </c>
      <c r="AI4832" s="41" t="s">
        <v>1782</v>
      </c>
    </row>
    <row r="4833" spans="1:35" x14ac:dyDescent="0.25">
      <c r="A4833" s="36">
        <v>99914831</v>
      </c>
      <c r="B4833" s="17" t="s">
        <v>32</v>
      </c>
      <c r="C4833" t="s">
        <v>64</v>
      </c>
      <c r="D4833" t="s">
        <v>65</v>
      </c>
      <c r="G4833" s="17" t="s">
        <v>35</v>
      </c>
      <c r="H4833" s="17">
        <v>1</v>
      </c>
      <c r="K4833" t="s">
        <v>162</v>
      </c>
      <c r="L4833" t="s">
        <v>158</v>
      </c>
      <c r="M4833" t="s">
        <v>131</v>
      </c>
      <c r="N4833">
        <v>16</v>
      </c>
      <c r="O4833" t="s">
        <v>40</v>
      </c>
      <c r="P4833" t="s">
        <v>40</v>
      </c>
      <c r="Q4833" t="s">
        <v>40</v>
      </c>
      <c r="R4833" t="s">
        <v>40</v>
      </c>
      <c r="S4833" t="s">
        <v>40</v>
      </c>
      <c r="V4833" t="s">
        <v>41</v>
      </c>
      <c r="W4833" t="s">
        <v>49</v>
      </c>
      <c r="X4833" t="str">
        <f>"0505050"</f>
        <v>0505050</v>
      </c>
      <c r="Y4833" t="s">
        <v>163</v>
      </c>
      <c r="Z4833" t="s">
        <v>162</v>
      </c>
      <c r="AA4833" t="s">
        <v>158</v>
      </c>
      <c r="AB4833" t="s">
        <v>131</v>
      </c>
      <c r="AC4833" t="s">
        <v>165</v>
      </c>
      <c r="AD4833" t="s">
        <v>45</v>
      </c>
      <c r="AE4833" s="1">
        <v>22807</v>
      </c>
      <c r="AF4833">
        <v>2</v>
      </c>
      <c r="AG4833" t="s">
        <v>158</v>
      </c>
      <c r="AH4833" s="36">
        <f t="shared" si="75"/>
        <v>57.361111111111114</v>
      </c>
      <c r="AI4833" s="41" t="s">
        <v>1782</v>
      </c>
    </row>
    <row r="4834" spans="1:35" x14ac:dyDescent="0.25">
      <c r="A4834" s="36">
        <v>99914832</v>
      </c>
      <c r="B4834" s="17" t="s">
        <v>32</v>
      </c>
      <c r="C4834" t="s">
        <v>79</v>
      </c>
      <c r="D4834" t="s">
        <v>80</v>
      </c>
      <c r="G4834" s="17" t="s">
        <v>48</v>
      </c>
      <c r="H4834" s="17">
        <v>1</v>
      </c>
      <c r="K4834" t="s">
        <v>223</v>
      </c>
      <c r="L4834" t="s">
        <v>224</v>
      </c>
      <c r="M4834" t="s">
        <v>131</v>
      </c>
      <c r="N4834">
        <v>18</v>
      </c>
      <c r="O4834" t="s">
        <v>40</v>
      </c>
      <c r="P4834" t="s">
        <v>40</v>
      </c>
      <c r="Q4834" t="s">
        <v>40</v>
      </c>
      <c r="R4834" t="s">
        <v>40</v>
      </c>
      <c r="S4834" t="s">
        <v>40</v>
      </c>
      <c r="V4834" t="s">
        <v>41</v>
      </c>
      <c r="W4834" t="s">
        <v>42</v>
      </c>
      <c r="X4834" t="str">
        <f>"0561007"</f>
        <v>0561007</v>
      </c>
      <c r="Y4834" t="s">
        <v>262</v>
      </c>
      <c r="Z4834" t="s">
        <v>223</v>
      </c>
      <c r="AA4834" t="s">
        <v>224</v>
      </c>
      <c r="AB4834" t="s">
        <v>131</v>
      </c>
      <c r="AC4834" t="s">
        <v>51</v>
      </c>
      <c r="AD4834" t="s">
        <v>45</v>
      </c>
      <c r="AE4834" s="1">
        <v>22797</v>
      </c>
      <c r="AF4834">
        <v>2</v>
      </c>
      <c r="AG4834" t="s">
        <v>224</v>
      </c>
      <c r="AH4834" s="36">
        <f t="shared" si="75"/>
        <v>57.388888888888886</v>
      </c>
      <c r="AI4834" s="41" t="s">
        <v>1782</v>
      </c>
    </row>
    <row r="4835" spans="1:35" x14ac:dyDescent="0.25">
      <c r="A4835" s="36">
        <v>99914833</v>
      </c>
      <c r="B4835" s="17" t="s">
        <v>56</v>
      </c>
      <c r="C4835" t="s">
        <v>68</v>
      </c>
      <c r="D4835" t="s">
        <v>69</v>
      </c>
      <c r="G4835" s="17" t="s">
        <v>35</v>
      </c>
      <c r="H4835" s="17">
        <v>1</v>
      </c>
      <c r="J4835" s="1">
        <v>38230</v>
      </c>
      <c r="K4835" t="s">
        <v>1336</v>
      </c>
      <c r="L4835" t="s">
        <v>1337</v>
      </c>
      <c r="M4835" t="s">
        <v>1270</v>
      </c>
      <c r="N4835">
        <v>17</v>
      </c>
      <c r="O4835" t="s">
        <v>40</v>
      </c>
      <c r="P4835" t="s">
        <v>40</v>
      </c>
      <c r="Q4835" t="s">
        <v>40</v>
      </c>
      <c r="R4835" t="s">
        <v>40</v>
      </c>
      <c r="S4835" t="s">
        <v>40</v>
      </c>
      <c r="U4835" s="1">
        <v>38230</v>
      </c>
      <c r="V4835" t="s">
        <v>41</v>
      </c>
      <c r="W4835" t="s">
        <v>42</v>
      </c>
      <c r="X4835" t="str">
        <f>"4475070"</f>
        <v>4475070</v>
      </c>
      <c r="Y4835" t="s">
        <v>1338</v>
      </c>
      <c r="Z4835" t="s">
        <v>1336</v>
      </c>
      <c r="AA4835" t="s">
        <v>1337</v>
      </c>
      <c r="AB4835" t="s">
        <v>1270</v>
      </c>
      <c r="AC4835" t="s">
        <v>51</v>
      </c>
      <c r="AD4835" t="s">
        <v>45</v>
      </c>
      <c r="AE4835" s="1">
        <v>22796</v>
      </c>
      <c r="AF4835">
        <v>2</v>
      </c>
      <c r="AG4835" t="s">
        <v>1337</v>
      </c>
      <c r="AH4835" s="36">
        <f t="shared" si="75"/>
        <v>57.391666666666666</v>
      </c>
      <c r="AI4835" s="41" t="s">
        <v>1782</v>
      </c>
    </row>
    <row r="4836" spans="1:35" x14ac:dyDescent="0.25">
      <c r="A4836" s="36">
        <v>99914834</v>
      </c>
      <c r="B4836" s="17" t="s">
        <v>56</v>
      </c>
      <c r="C4836" t="s">
        <v>141</v>
      </c>
      <c r="D4836" t="s">
        <v>142</v>
      </c>
      <c r="G4836" s="17" t="s">
        <v>35</v>
      </c>
      <c r="H4836" s="17">
        <v>1</v>
      </c>
      <c r="K4836" t="s">
        <v>154</v>
      </c>
      <c r="L4836" t="s">
        <v>155</v>
      </c>
      <c r="M4836" t="s">
        <v>131</v>
      </c>
      <c r="N4836">
        <v>8</v>
      </c>
      <c r="O4836" t="s">
        <v>40</v>
      </c>
      <c r="P4836" t="s">
        <v>40</v>
      </c>
      <c r="Q4836" t="s">
        <v>40</v>
      </c>
      <c r="R4836" t="s">
        <v>40</v>
      </c>
      <c r="S4836" t="s">
        <v>40</v>
      </c>
      <c r="V4836" t="s">
        <v>41</v>
      </c>
      <c r="W4836" t="s">
        <v>75</v>
      </c>
      <c r="X4836" t="str">
        <f>"7700026"</f>
        <v>7700026</v>
      </c>
      <c r="Y4836" t="s">
        <v>397</v>
      </c>
      <c r="Z4836" t="s">
        <v>154</v>
      </c>
      <c r="AA4836" t="s">
        <v>155</v>
      </c>
      <c r="AB4836" t="s">
        <v>131</v>
      </c>
      <c r="AC4836" t="s">
        <v>51</v>
      </c>
      <c r="AD4836" t="s">
        <v>45</v>
      </c>
      <c r="AE4836" s="1">
        <v>22794</v>
      </c>
      <c r="AF4836">
        <v>1</v>
      </c>
      <c r="AG4836" t="s">
        <v>155</v>
      </c>
      <c r="AH4836" s="36">
        <f t="shared" si="75"/>
        <v>57.397222222222226</v>
      </c>
      <c r="AI4836" s="41" t="s">
        <v>1782</v>
      </c>
    </row>
    <row r="4837" spans="1:35" x14ac:dyDescent="0.25">
      <c r="A4837" s="36">
        <v>99914835</v>
      </c>
      <c r="B4837" s="17" t="s">
        <v>56</v>
      </c>
      <c r="C4837" t="s">
        <v>52</v>
      </c>
      <c r="D4837" t="s">
        <v>53</v>
      </c>
      <c r="G4837" s="17" t="s">
        <v>35</v>
      </c>
      <c r="H4837" s="17">
        <v>1</v>
      </c>
      <c r="K4837" t="s">
        <v>157</v>
      </c>
      <c r="L4837" t="s">
        <v>158</v>
      </c>
      <c r="M4837" t="s">
        <v>131</v>
      </c>
      <c r="N4837">
        <v>20</v>
      </c>
      <c r="O4837" t="s">
        <v>40</v>
      </c>
      <c r="P4837" t="s">
        <v>40</v>
      </c>
      <c r="Q4837" t="s">
        <v>40</v>
      </c>
      <c r="S4837" t="s">
        <v>40</v>
      </c>
      <c r="V4837" t="s">
        <v>41</v>
      </c>
      <c r="W4837" t="s">
        <v>42</v>
      </c>
      <c r="X4837" t="str">
        <f>"0561005"</f>
        <v>0561005</v>
      </c>
      <c r="Y4837" t="s">
        <v>174</v>
      </c>
      <c r="Z4837" t="s">
        <v>157</v>
      </c>
      <c r="AA4837" t="s">
        <v>158</v>
      </c>
      <c r="AB4837" t="s">
        <v>131</v>
      </c>
      <c r="AC4837" t="s">
        <v>51</v>
      </c>
      <c r="AD4837" t="s">
        <v>45</v>
      </c>
      <c r="AE4837" s="1">
        <v>22791</v>
      </c>
      <c r="AF4837">
        <v>2</v>
      </c>
      <c r="AG4837" t="s">
        <v>158</v>
      </c>
      <c r="AH4837" s="36">
        <f t="shared" si="75"/>
        <v>57.405555555555559</v>
      </c>
      <c r="AI4837" s="41" t="s">
        <v>1782</v>
      </c>
    </row>
    <row r="4838" spans="1:35" x14ac:dyDescent="0.25">
      <c r="A4838" s="36">
        <v>99914836</v>
      </c>
      <c r="B4838" s="17" t="s">
        <v>56</v>
      </c>
      <c r="C4838" t="s">
        <v>52</v>
      </c>
      <c r="D4838" t="s">
        <v>53</v>
      </c>
      <c r="G4838" s="17" t="s">
        <v>48</v>
      </c>
      <c r="H4838" s="17">
        <v>1</v>
      </c>
      <c r="K4838" t="s">
        <v>157</v>
      </c>
      <c r="L4838" t="s">
        <v>158</v>
      </c>
      <c r="M4838" t="s">
        <v>131</v>
      </c>
      <c r="N4838">
        <v>18</v>
      </c>
      <c r="O4838" t="s">
        <v>40</v>
      </c>
      <c r="P4838" t="s">
        <v>40</v>
      </c>
      <c r="Q4838" t="s">
        <v>40</v>
      </c>
      <c r="S4838" t="s">
        <v>40</v>
      </c>
      <c r="V4838" t="s">
        <v>41</v>
      </c>
      <c r="W4838" t="s">
        <v>42</v>
      </c>
      <c r="X4838" t="str">
        <f>"0580290"</f>
        <v>0580290</v>
      </c>
      <c r="Y4838" t="s">
        <v>171</v>
      </c>
      <c r="Z4838" t="s">
        <v>157</v>
      </c>
      <c r="AA4838" t="s">
        <v>158</v>
      </c>
      <c r="AB4838" t="s">
        <v>131</v>
      </c>
      <c r="AC4838" t="s">
        <v>51</v>
      </c>
      <c r="AD4838" t="s">
        <v>45</v>
      </c>
      <c r="AE4838" s="1">
        <v>22791</v>
      </c>
      <c r="AF4838">
        <v>2</v>
      </c>
      <c r="AG4838" t="s">
        <v>158</v>
      </c>
      <c r="AH4838" s="36">
        <f t="shared" si="75"/>
        <v>57.405555555555559</v>
      </c>
      <c r="AI4838" s="41" t="s">
        <v>1782</v>
      </c>
    </row>
    <row r="4839" spans="1:35" x14ac:dyDescent="0.25">
      <c r="A4839" s="36">
        <v>99914837</v>
      </c>
      <c r="B4839" s="17" t="s">
        <v>32</v>
      </c>
      <c r="C4839" t="s">
        <v>64</v>
      </c>
      <c r="D4839" t="s">
        <v>65</v>
      </c>
      <c r="G4839" s="17" t="s">
        <v>35</v>
      </c>
      <c r="H4839" s="17">
        <v>1</v>
      </c>
      <c r="K4839" t="s">
        <v>223</v>
      </c>
      <c r="L4839" t="s">
        <v>224</v>
      </c>
      <c r="M4839" t="s">
        <v>131</v>
      </c>
      <c r="N4839">
        <v>18</v>
      </c>
      <c r="O4839" t="s">
        <v>40</v>
      </c>
      <c r="P4839" t="s">
        <v>40</v>
      </c>
      <c r="Q4839" t="s">
        <v>40</v>
      </c>
      <c r="S4839" t="s">
        <v>40</v>
      </c>
      <c r="V4839" t="s">
        <v>41</v>
      </c>
      <c r="W4839" t="s">
        <v>49</v>
      </c>
      <c r="X4839" t="str">
        <f>"0591901"</f>
        <v>0591901</v>
      </c>
      <c r="Y4839" t="s">
        <v>230</v>
      </c>
      <c r="Z4839" t="s">
        <v>223</v>
      </c>
      <c r="AA4839" t="s">
        <v>224</v>
      </c>
      <c r="AB4839" t="s">
        <v>131</v>
      </c>
      <c r="AC4839" t="s">
        <v>51</v>
      </c>
      <c r="AD4839" t="s">
        <v>45</v>
      </c>
      <c r="AE4839" s="1">
        <v>22788</v>
      </c>
      <c r="AF4839">
        <v>2</v>
      </c>
      <c r="AG4839" t="s">
        <v>224</v>
      </c>
      <c r="AH4839" s="36">
        <f t="shared" si="75"/>
        <v>57.413888888888891</v>
      </c>
      <c r="AI4839" s="41" t="s">
        <v>1782</v>
      </c>
    </row>
    <row r="4840" spans="1:35" x14ac:dyDescent="0.25">
      <c r="A4840" s="36">
        <v>99914838</v>
      </c>
      <c r="B4840" s="17" t="s">
        <v>32</v>
      </c>
      <c r="C4840" t="s">
        <v>52</v>
      </c>
      <c r="D4840" t="s">
        <v>53</v>
      </c>
      <c r="G4840" s="17" t="s">
        <v>48</v>
      </c>
      <c r="H4840" s="17">
        <v>1</v>
      </c>
      <c r="K4840" t="s">
        <v>1546</v>
      </c>
      <c r="L4840" t="s">
        <v>1547</v>
      </c>
      <c r="M4840" t="s">
        <v>1548</v>
      </c>
      <c r="N4840">
        <v>10</v>
      </c>
      <c r="O4840" t="s">
        <v>40</v>
      </c>
      <c r="P4840" t="s">
        <v>40</v>
      </c>
      <c r="Q4840" t="s">
        <v>40</v>
      </c>
      <c r="R4840" t="s">
        <v>40</v>
      </c>
      <c r="S4840" t="s">
        <v>40</v>
      </c>
      <c r="V4840" t="s">
        <v>41</v>
      </c>
      <c r="W4840" t="s">
        <v>49</v>
      </c>
      <c r="X4840" t="str">
        <f>"1060001"</f>
        <v>1060001</v>
      </c>
      <c r="Y4840" t="s">
        <v>1553</v>
      </c>
      <c r="Z4840" t="s">
        <v>1546</v>
      </c>
      <c r="AA4840" t="s">
        <v>1547</v>
      </c>
      <c r="AB4840" t="s">
        <v>1548</v>
      </c>
      <c r="AC4840" t="s">
        <v>51</v>
      </c>
      <c r="AD4840" t="s">
        <v>45</v>
      </c>
      <c r="AE4840" s="1">
        <v>22782</v>
      </c>
      <c r="AF4840">
        <v>2</v>
      </c>
      <c r="AG4840" t="s">
        <v>1547</v>
      </c>
      <c r="AH4840" s="36">
        <f t="shared" si="75"/>
        <v>57.430555555555557</v>
      </c>
      <c r="AI4840" s="41" t="s">
        <v>1782</v>
      </c>
    </row>
    <row r="4841" spans="1:35" x14ac:dyDescent="0.25">
      <c r="A4841" s="36">
        <v>99914839</v>
      </c>
      <c r="B4841" s="17" t="s">
        <v>56</v>
      </c>
      <c r="C4841" t="s">
        <v>52</v>
      </c>
      <c r="D4841" t="s">
        <v>53</v>
      </c>
      <c r="G4841" s="17" t="s">
        <v>48</v>
      </c>
      <c r="H4841" s="17">
        <v>1</v>
      </c>
      <c r="K4841" t="s">
        <v>223</v>
      </c>
      <c r="L4841" t="s">
        <v>224</v>
      </c>
      <c r="M4841" t="s">
        <v>131</v>
      </c>
      <c r="N4841">
        <v>21</v>
      </c>
      <c r="O4841" t="s">
        <v>40</v>
      </c>
      <c r="P4841" t="s">
        <v>40</v>
      </c>
      <c r="Q4841" t="s">
        <v>40</v>
      </c>
      <c r="S4841" t="s">
        <v>40</v>
      </c>
      <c r="V4841" t="s">
        <v>41</v>
      </c>
      <c r="W4841" t="s">
        <v>42</v>
      </c>
      <c r="X4841" t="str">
        <f>"0580200"</f>
        <v>0580200</v>
      </c>
      <c r="Y4841" t="s">
        <v>245</v>
      </c>
      <c r="Z4841" t="s">
        <v>223</v>
      </c>
      <c r="AA4841" t="s">
        <v>224</v>
      </c>
      <c r="AB4841" t="s">
        <v>131</v>
      </c>
      <c r="AC4841" t="s">
        <v>51</v>
      </c>
      <c r="AD4841" t="s">
        <v>45</v>
      </c>
      <c r="AE4841" s="1">
        <v>22780</v>
      </c>
      <c r="AF4841">
        <v>2</v>
      </c>
      <c r="AG4841" t="s">
        <v>224</v>
      </c>
      <c r="AH4841" s="36">
        <f t="shared" si="75"/>
        <v>57.43611111111111</v>
      </c>
      <c r="AI4841" s="41" t="s">
        <v>1782</v>
      </c>
    </row>
    <row r="4842" spans="1:35" x14ac:dyDescent="0.25">
      <c r="A4842" s="36">
        <v>99914840</v>
      </c>
      <c r="B4842" s="17" t="s">
        <v>56</v>
      </c>
      <c r="C4842" t="s">
        <v>68</v>
      </c>
      <c r="D4842" t="s">
        <v>69</v>
      </c>
      <c r="G4842" s="17" t="s">
        <v>48</v>
      </c>
      <c r="H4842" s="17">
        <v>1</v>
      </c>
      <c r="K4842" t="s">
        <v>380</v>
      </c>
      <c r="L4842" t="s">
        <v>381</v>
      </c>
      <c r="M4842" t="s">
        <v>131</v>
      </c>
      <c r="N4842">
        <v>17</v>
      </c>
      <c r="O4842" t="s">
        <v>40</v>
      </c>
      <c r="P4842" t="s">
        <v>40</v>
      </c>
      <c r="Q4842" t="s">
        <v>40</v>
      </c>
      <c r="R4842" t="s">
        <v>40</v>
      </c>
      <c r="S4842" t="s">
        <v>40</v>
      </c>
      <c r="V4842" t="s">
        <v>41</v>
      </c>
      <c r="W4842" t="s">
        <v>42</v>
      </c>
      <c r="X4842" t="str">
        <f>"0561010"</f>
        <v>0561010</v>
      </c>
      <c r="Y4842" t="s">
        <v>387</v>
      </c>
      <c r="Z4842" t="s">
        <v>380</v>
      </c>
      <c r="AA4842" t="s">
        <v>381</v>
      </c>
      <c r="AB4842" t="s">
        <v>131</v>
      </c>
      <c r="AC4842" t="s">
        <v>51</v>
      </c>
      <c r="AD4842" t="s">
        <v>45</v>
      </c>
      <c r="AE4842" s="1">
        <v>22780</v>
      </c>
      <c r="AF4842">
        <v>2</v>
      </c>
      <c r="AG4842" t="s">
        <v>381</v>
      </c>
      <c r="AH4842" s="36">
        <f t="shared" si="75"/>
        <v>57.43611111111111</v>
      </c>
      <c r="AI4842" s="41" t="s">
        <v>1782</v>
      </c>
    </row>
    <row r="4843" spans="1:35" x14ac:dyDescent="0.25">
      <c r="A4843" s="36">
        <v>99914841</v>
      </c>
      <c r="B4843" s="17" t="s">
        <v>32</v>
      </c>
      <c r="C4843" t="s">
        <v>46</v>
      </c>
      <c r="D4843" t="s">
        <v>47</v>
      </c>
      <c r="G4843" s="17" t="s">
        <v>48</v>
      </c>
      <c r="H4843" s="17">
        <v>1</v>
      </c>
      <c r="K4843" t="s">
        <v>223</v>
      </c>
      <c r="L4843" t="s">
        <v>224</v>
      </c>
      <c r="M4843" t="s">
        <v>131</v>
      </c>
      <c r="N4843">
        <v>9</v>
      </c>
      <c r="O4843" t="s">
        <v>40</v>
      </c>
      <c r="P4843" t="s">
        <v>40</v>
      </c>
      <c r="Q4843" t="s">
        <v>40</v>
      </c>
      <c r="R4843" t="s">
        <v>40</v>
      </c>
      <c r="S4843" t="s">
        <v>40</v>
      </c>
      <c r="V4843" t="s">
        <v>41</v>
      </c>
      <c r="W4843" t="s">
        <v>42</v>
      </c>
      <c r="X4843" t="str">
        <f>"0580200"</f>
        <v>0580200</v>
      </c>
      <c r="Y4843" t="s">
        <v>245</v>
      </c>
      <c r="Z4843" t="s">
        <v>223</v>
      </c>
      <c r="AA4843" t="s">
        <v>224</v>
      </c>
      <c r="AB4843" t="s">
        <v>131</v>
      </c>
      <c r="AC4843" t="s">
        <v>51</v>
      </c>
      <c r="AD4843" t="s">
        <v>45</v>
      </c>
      <c r="AE4843" s="1">
        <v>22778</v>
      </c>
      <c r="AF4843">
        <v>2</v>
      </c>
      <c r="AG4843" t="s">
        <v>224</v>
      </c>
      <c r="AH4843" s="36">
        <f t="shared" si="75"/>
        <v>57.44166666666667</v>
      </c>
      <c r="AI4843" s="41" t="s">
        <v>1782</v>
      </c>
    </row>
    <row r="4844" spans="1:35" x14ac:dyDescent="0.25">
      <c r="A4844" s="36">
        <v>99914842</v>
      </c>
      <c r="B4844" s="17" t="s">
        <v>56</v>
      </c>
      <c r="C4844" t="s">
        <v>68</v>
      </c>
      <c r="D4844" t="s">
        <v>69</v>
      </c>
      <c r="G4844" s="17" t="s">
        <v>35</v>
      </c>
      <c r="H4844" s="17">
        <v>1</v>
      </c>
      <c r="I4844" t="s">
        <v>968</v>
      </c>
      <c r="J4844" s="1">
        <v>43344</v>
      </c>
      <c r="K4844" t="s">
        <v>947</v>
      </c>
      <c r="L4844" t="s">
        <v>948</v>
      </c>
      <c r="M4844" t="s">
        <v>938</v>
      </c>
      <c r="N4844">
        <v>15</v>
      </c>
      <c r="O4844" t="s">
        <v>40</v>
      </c>
      <c r="P4844" t="s">
        <v>40</v>
      </c>
      <c r="Q4844" t="s">
        <v>40</v>
      </c>
      <c r="S4844" t="s">
        <v>40</v>
      </c>
      <c r="U4844" s="1">
        <v>43344</v>
      </c>
      <c r="V4844" t="s">
        <v>41</v>
      </c>
      <c r="W4844" t="s">
        <v>42</v>
      </c>
      <c r="X4844" t="str">
        <f>"0680039"</f>
        <v>0680039</v>
      </c>
      <c r="Y4844" t="s">
        <v>949</v>
      </c>
      <c r="Z4844" t="s">
        <v>947</v>
      </c>
      <c r="AA4844" t="s">
        <v>948</v>
      </c>
      <c r="AB4844" t="s">
        <v>938</v>
      </c>
      <c r="AC4844" t="s">
        <v>51</v>
      </c>
      <c r="AD4844" t="s">
        <v>45</v>
      </c>
      <c r="AE4844" s="1">
        <v>22774</v>
      </c>
      <c r="AF4844">
        <v>2</v>
      </c>
      <c r="AG4844" t="s">
        <v>948</v>
      </c>
      <c r="AH4844" s="36">
        <f t="shared" si="75"/>
        <v>57.452777777777776</v>
      </c>
      <c r="AI4844" s="41" t="s">
        <v>1782</v>
      </c>
    </row>
    <row r="4845" spans="1:35" x14ac:dyDescent="0.25">
      <c r="A4845" s="36">
        <v>99914843</v>
      </c>
      <c r="B4845" s="17" t="s">
        <v>32</v>
      </c>
      <c r="C4845" t="s">
        <v>82</v>
      </c>
      <c r="D4845" t="s">
        <v>83</v>
      </c>
      <c r="G4845" s="17" t="s">
        <v>35</v>
      </c>
      <c r="H4845" s="17">
        <v>1</v>
      </c>
      <c r="K4845" t="s">
        <v>1546</v>
      </c>
      <c r="L4845" t="s">
        <v>1547</v>
      </c>
      <c r="M4845" t="s">
        <v>1548</v>
      </c>
      <c r="N4845">
        <v>9</v>
      </c>
      <c r="O4845" t="s">
        <v>40</v>
      </c>
      <c r="P4845" t="s">
        <v>40</v>
      </c>
      <c r="Q4845" t="s">
        <v>40</v>
      </c>
      <c r="R4845" t="s">
        <v>40</v>
      </c>
      <c r="S4845" t="s">
        <v>40</v>
      </c>
      <c r="V4845" t="s">
        <v>41</v>
      </c>
      <c r="W4845" t="s">
        <v>42</v>
      </c>
      <c r="X4845" t="str">
        <f>"1061001"</f>
        <v>1061001</v>
      </c>
      <c r="Y4845" t="s">
        <v>1550</v>
      </c>
      <c r="Z4845" t="s">
        <v>1546</v>
      </c>
      <c r="AA4845" t="s">
        <v>1547</v>
      </c>
      <c r="AB4845" t="s">
        <v>1548</v>
      </c>
      <c r="AC4845" t="s">
        <v>165</v>
      </c>
      <c r="AD4845" t="s">
        <v>45</v>
      </c>
      <c r="AE4845" s="1">
        <v>22765</v>
      </c>
      <c r="AF4845">
        <v>2</v>
      </c>
      <c r="AG4845" t="s">
        <v>1547</v>
      </c>
      <c r="AH4845" s="36">
        <f t="shared" si="75"/>
        <v>57.477777777777774</v>
      </c>
      <c r="AI4845" s="41" t="s">
        <v>1782</v>
      </c>
    </row>
    <row r="4846" spans="1:35" x14ac:dyDescent="0.25">
      <c r="A4846" s="36">
        <v>99914844</v>
      </c>
      <c r="B4846" s="17" t="s">
        <v>32</v>
      </c>
      <c r="C4846" t="s">
        <v>46</v>
      </c>
      <c r="D4846" t="s">
        <v>47</v>
      </c>
      <c r="G4846" s="17" t="s">
        <v>48</v>
      </c>
      <c r="H4846" s="17">
        <v>1</v>
      </c>
      <c r="K4846" t="s">
        <v>380</v>
      </c>
      <c r="L4846" t="s">
        <v>381</v>
      </c>
      <c r="M4846" t="s">
        <v>131</v>
      </c>
      <c r="N4846">
        <v>2</v>
      </c>
      <c r="O4846" t="s">
        <v>40</v>
      </c>
      <c r="P4846" t="s">
        <v>40</v>
      </c>
      <c r="Q4846" t="s">
        <v>40</v>
      </c>
      <c r="R4846" t="s">
        <v>40</v>
      </c>
      <c r="S4846" t="s">
        <v>40</v>
      </c>
      <c r="V4846" t="s">
        <v>41</v>
      </c>
      <c r="W4846" t="s">
        <v>49</v>
      </c>
      <c r="X4846" t="str">
        <f>"0580552"</f>
        <v>0580552</v>
      </c>
      <c r="Y4846" t="s">
        <v>386</v>
      </c>
      <c r="Z4846" t="s">
        <v>380</v>
      </c>
      <c r="AA4846" t="s">
        <v>381</v>
      </c>
      <c r="AB4846" t="s">
        <v>131</v>
      </c>
      <c r="AC4846" t="s">
        <v>51</v>
      </c>
      <c r="AD4846" t="s">
        <v>45</v>
      </c>
      <c r="AE4846" s="1">
        <v>22762</v>
      </c>
      <c r="AF4846">
        <v>2</v>
      </c>
      <c r="AG4846" t="s">
        <v>381</v>
      </c>
      <c r="AH4846" s="36">
        <f t="shared" si="75"/>
        <v>57.486111111111114</v>
      </c>
      <c r="AI4846" s="41" t="s">
        <v>1782</v>
      </c>
    </row>
    <row r="4847" spans="1:35" x14ac:dyDescent="0.25">
      <c r="A4847" s="36">
        <v>99914845</v>
      </c>
      <c r="B4847" s="17" t="s">
        <v>56</v>
      </c>
      <c r="C4847" t="s">
        <v>68</v>
      </c>
      <c r="D4847" t="s">
        <v>69</v>
      </c>
      <c r="G4847" s="17" t="s">
        <v>48</v>
      </c>
      <c r="H4847" s="17">
        <v>1</v>
      </c>
      <c r="K4847" t="s">
        <v>1268</v>
      </c>
      <c r="L4847" t="s">
        <v>1269</v>
      </c>
      <c r="M4847" t="s">
        <v>1270</v>
      </c>
      <c r="N4847">
        <v>18</v>
      </c>
      <c r="O4847" t="s">
        <v>40</v>
      </c>
      <c r="P4847" t="s">
        <v>40</v>
      </c>
      <c r="Q4847" t="s">
        <v>40</v>
      </c>
      <c r="R4847" t="s">
        <v>40</v>
      </c>
      <c r="S4847" t="s">
        <v>40</v>
      </c>
      <c r="V4847" t="s">
        <v>41</v>
      </c>
      <c r="W4847" t="s">
        <v>42</v>
      </c>
      <c r="X4847" t="str">
        <f>"1990911"</f>
        <v>1990911</v>
      </c>
      <c r="Y4847" t="s">
        <v>1276</v>
      </c>
      <c r="Z4847" t="s">
        <v>1268</v>
      </c>
      <c r="AA4847" t="s">
        <v>1269</v>
      </c>
      <c r="AB4847" t="s">
        <v>1270</v>
      </c>
      <c r="AC4847" t="s">
        <v>51</v>
      </c>
      <c r="AD4847" t="s">
        <v>45</v>
      </c>
      <c r="AE4847" s="1">
        <v>22762</v>
      </c>
      <c r="AF4847">
        <v>2</v>
      </c>
      <c r="AG4847" t="s">
        <v>1269</v>
      </c>
      <c r="AH4847" s="36">
        <f t="shared" si="75"/>
        <v>57.486111111111114</v>
      </c>
      <c r="AI4847" s="41" t="s">
        <v>1782</v>
      </c>
    </row>
    <row r="4848" spans="1:35" x14ac:dyDescent="0.25">
      <c r="A4848" s="36">
        <v>99914846</v>
      </c>
      <c r="B4848" s="17" t="s">
        <v>32</v>
      </c>
      <c r="C4848" t="s">
        <v>64</v>
      </c>
      <c r="D4848" t="s">
        <v>65</v>
      </c>
      <c r="G4848" s="17" t="s">
        <v>35</v>
      </c>
      <c r="H4848" s="17">
        <v>1</v>
      </c>
      <c r="K4848" t="s">
        <v>223</v>
      </c>
      <c r="L4848" t="s">
        <v>224</v>
      </c>
      <c r="M4848" t="s">
        <v>131</v>
      </c>
      <c r="N4848">
        <v>18</v>
      </c>
      <c r="O4848" t="s">
        <v>40</v>
      </c>
      <c r="P4848" t="s">
        <v>40</v>
      </c>
      <c r="Q4848" t="s">
        <v>40</v>
      </c>
      <c r="S4848" t="s">
        <v>40</v>
      </c>
      <c r="V4848" t="s">
        <v>41</v>
      </c>
      <c r="W4848" t="s">
        <v>49</v>
      </c>
      <c r="X4848" t="str">
        <f>"0581207"</f>
        <v>0581207</v>
      </c>
      <c r="Y4848" t="s">
        <v>233</v>
      </c>
      <c r="Z4848" t="s">
        <v>223</v>
      </c>
      <c r="AA4848" t="s">
        <v>224</v>
      </c>
      <c r="AB4848" t="s">
        <v>131</v>
      </c>
      <c r="AC4848" t="s">
        <v>165</v>
      </c>
      <c r="AD4848" t="s">
        <v>45</v>
      </c>
      <c r="AE4848" s="1">
        <v>22759</v>
      </c>
      <c r="AF4848">
        <v>2</v>
      </c>
      <c r="AG4848" t="s">
        <v>224</v>
      </c>
      <c r="AH4848" s="36">
        <f t="shared" si="75"/>
        <v>57.494444444444447</v>
      </c>
      <c r="AI4848" s="41" t="s">
        <v>1782</v>
      </c>
    </row>
    <row r="4849" spans="1:35" x14ac:dyDescent="0.25">
      <c r="A4849" s="36">
        <v>99914847</v>
      </c>
      <c r="B4849" s="17" t="s">
        <v>32</v>
      </c>
      <c r="C4849" t="s">
        <v>64</v>
      </c>
      <c r="D4849" t="s">
        <v>65</v>
      </c>
      <c r="G4849" s="17" t="s">
        <v>48</v>
      </c>
      <c r="H4849" s="17">
        <v>1</v>
      </c>
      <c r="K4849" t="s">
        <v>223</v>
      </c>
      <c r="L4849" t="s">
        <v>224</v>
      </c>
      <c r="M4849" t="s">
        <v>131</v>
      </c>
      <c r="N4849">
        <v>19</v>
      </c>
      <c r="O4849" t="s">
        <v>40</v>
      </c>
      <c r="P4849" t="s">
        <v>40</v>
      </c>
      <c r="Q4849" t="s">
        <v>40</v>
      </c>
      <c r="R4849" t="s">
        <v>40</v>
      </c>
      <c r="S4849" t="s">
        <v>40</v>
      </c>
      <c r="V4849" t="s">
        <v>41</v>
      </c>
      <c r="W4849" t="s">
        <v>49</v>
      </c>
      <c r="X4849" t="str">
        <f>"0581200"</f>
        <v>0581200</v>
      </c>
      <c r="Y4849" t="s">
        <v>238</v>
      </c>
      <c r="Z4849" t="s">
        <v>223</v>
      </c>
      <c r="AA4849" t="s">
        <v>224</v>
      </c>
      <c r="AB4849" t="s">
        <v>131</v>
      </c>
      <c r="AC4849" t="s">
        <v>51</v>
      </c>
      <c r="AD4849" t="s">
        <v>45</v>
      </c>
      <c r="AE4849" s="1">
        <v>22751</v>
      </c>
      <c r="AF4849">
        <v>2</v>
      </c>
      <c r="AG4849" t="s">
        <v>224</v>
      </c>
      <c r="AH4849" s="36">
        <f t="shared" si="75"/>
        <v>57.516666666666666</v>
      </c>
      <c r="AI4849" s="41" t="s">
        <v>1782</v>
      </c>
    </row>
    <row r="4850" spans="1:35" x14ac:dyDescent="0.25">
      <c r="A4850" s="36">
        <v>99914848</v>
      </c>
      <c r="B4850" s="17" t="s">
        <v>32</v>
      </c>
      <c r="C4850" t="s">
        <v>68</v>
      </c>
      <c r="D4850" t="s">
        <v>69</v>
      </c>
      <c r="G4850" s="17" t="s">
        <v>48</v>
      </c>
      <c r="H4850" s="17">
        <v>1</v>
      </c>
      <c r="K4850" t="s">
        <v>162</v>
      </c>
      <c r="L4850" t="s">
        <v>158</v>
      </c>
      <c r="M4850" t="s">
        <v>131</v>
      </c>
      <c r="N4850">
        <v>18</v>
      </c>
      <c r="O4850" t="s">
        <v>40</v>
      </c>
      <c r="P4850" t="s">
        <v>40</v>
      </c>
      <c r="Q4850" t="s">
        <v>40</v>
      </c>
      <c r="S4850" t="s">
        <v>40</v>
      </c>
      <c r="V4850" t="s">
        <v>41</v>
      </c>
      <c r="W4850" t="s">
        <v>42</v>
      </c>
      <c r="X4850" t="str">
        <f>"0580325"</f>
        <v>0580325</v>
      </c>
      <c r="Y4850" t="s">
        <v>170</v>
      </c>
      <c r="Z4850" t="s">
        <v>162</v>
      </c>
      <c r="AA4850" t="s">
        <v>158</v>
      </c>
      <c r="AB4850" t="s">
        <v>131</v>
      </c>
      <c r="AC4850" t="s">
        <v>165</v>
      </c>
      <c r="AD4850" t="s">
        <v>45</v>
      </c>
      <c r="AE4850" s="1">
        <v>22749</v>
      </c>
      <c r="AF4850">
        <v>2</v>
      </c>
      <c r="AG4850" t="s">
        <v>158</v>
      </c>
      <c r="AH4850" s="36">
        <f t="shared" si="75"/>
        <v>57.522222222222226</v>
      </c>
      <c r="AI4850" s="41" t="s">
        <v>1782</v>
      </c>
    </row>
    <row r="4851" spans="1:35" x14ac:dyDescent="0.25">
      <c r="A4851" s="36">
        <v>99914849</v>
      </c>
      <c r="B4851" s="17" t="s">
        <v>56</v>
      </c>
      <c r="C4851" t="s">
        <v>145</v>
      </c>
      <c r="D4851" t="s">
        <v>146</v>
      </c>
      <c r="G4851" s="17" t="s">
        <v>35</v>
      </c>
      <c r="H4851" s="17">
        <v>1</v>
      </c>
      <c r="I4851">
        <v>22501</v>
      </c>
      <c r="J4851" s="1">
        <v>43398</v>
      </c>
      <c r="K4851" t="s">
        <v>380</v>
      </c>
      <c r="L4851" t="s">
        <v>381</v>
      </c>
      <c r="M4851" t="s">
        <v>131</v>
      </c>
      <c r="N4851">
        <v>2</v>
      </c>
      <c r="O4851" t="s">
        <v>40</v>
      </c>
      <c r="S4851" t="s">
        <v>40</v>
      </c>
      <c r="U4851" s="1">
        <v>43398</v>
      </c>
      <c r="V4851" t="s">
        <v>41</v>
      </c>
      <c r="W4851" t="s">
        <v>49</v>
      </c>
      <c r="X4851" t="str">
        <f>"0581575"</f>
        <v>0581575</v>
      </c>
      <c r="Y4851" t="s">
        <v>392</v>
      </c>
      <c r="Z4851" t="s">
        <v>380</v>
      </c>
      <c r="AA4851" t="s">
        <v>381</v>
      </c>
      <c r="AB4851" t="s">
        <v>131</v>
      </c>
      <c r="AC4851" t="s">
        <v>44</v>
      </c>
      <c r="AD4851" t="s">
        <v>45</v>
      </c>
      <c r="AE4851" s="1">
        <v>22746</v>
      </c>
      <c r="AF4851">
        <v>2</v>
      </c>
      <c r="AG4851" t="s">
        <v>381</v>
      </c>
      <c r="AH4851" s="36">
        <f t="shared" si="75"/>
        <v>57.530555555555559</v>
      </c>
      <c r="AI4851" s="41" t="s">
        <v>1782</v>
      </c>
    </row>
    <row r="4852" spans="1:35" x14ac:dyDescent="0.25">
      <c r="A4852" s="36">
        <v>99914850</v>
      </c>
      <c r="B4852" s="17" t="s">
        <v>56</v>
      </c>
      <c r="C4852" t="s">
        <v>79</v>
      </c>
      <c r="D4852" t="s">
        <v>80</v>
      </c>
      <c r="G4852" s="17" t="s">
        <v>48</v>
      </c>
      <c r="H4852" s="17">
        <v>15</v>
      </c>
      <c r="K4852" t="s">
        <v>1268</v>
      </c>
      <c r="L4852" t="s">
        <v>1269</v>
      </c>
      <c r="M4852" t="s">
        <v>1270</v>
      </c>
      <c r="N4852">
        <v>18</v>
      </c>
      <c r="O4852" t="s">
        <v>40</v>
      </c>
      <c r="P4852" t="s">
        <v>40</v>
      </c>
      <c r="Q4852" t="s">
        <v>40</v>
      </c>
      <c r="R4852" t="s">
        <v>40</v>
      </c>
      <c r="S4852" t="s">
        <v>40</v>
      </c>
      <c r="V4852" t="s">
        <v>41</v>
      </c>
      <c r="W4852" t="s">
        <v>49</v>
      </c>
      <c r="X4852" t="str">
        <f>"1960001"</f>
        <v>1960001</v>
      </c>
      <c r="Y4852" t="s">
        <v>1272</v>
      </c>
      <c r="Z4852" t="s">
        <v>1268</v>
      </c>
      <c r="AA4852" t="s">
        <v>1269</v>
      </c>
      <c r="AB4852" t="s">
        <v>1270</v>
      </c>
      <c r="AC4852" t="s">
        <v>51</v>
      </c>
      <c r="AD4852" t="s">
        <v>45</v>
      </c>
      <c r="AE4852" s="1">
        <v>22746</v>
      </c>
      <c r="AF4852">
        <v>2</v>
      </c>
      <c r="AG4852" t="s">
        <v>1269</v>
      </c>
      <c r="AH4852" s="36">
        <f t="shared" si="75"/>
        <v>57.530555555555559</v>
      </c>
      <c r="AI4852" s="41" t="s">
        <v>1782</v>
      </c>
    </row>
    <row r="4853" spans="1:35" x14ac:dyDescent="0.25">
      <c r="A4853" s="36">
        <v>99914851</v>
      </c>
      <c r="B4853" s="17" t="s">
        <v>32</v>
      </c>
      <c r="C4853" t="s">
        <v>52</v>
      </c>
      <c r="D4853" t="s">
        <v>53</v>
      </c>
      <c r="G4853" s="17" t="s">
        <v>48</v>
      </c>
      <c r="H4853" s="17">
        <v>15</v>
      </c>
      <c r="K4853" t="s">
        <v>1268</v>
      </c>
      <c r="L4853" t="s">
        <v>1269</v>
      </c>
      <c r="M4853" t="s">
        <v>1270</v>
      </c>
      <c r="N4853">
        <v>18</v>
      </c>
      <c r="O4853" t="s">
        <v>40</v>
      </c>
      <c r="P4853" t="s">
        <v>40</v>
      </c>
      <c r="Q4853" t="s">
        <v>40</v>
      </c>
      <c r="R4853" t="s">
        <v>40</v>
      </c>
      <c r="S4853" t="s">
        <v>40</v>
      </c>
      <c r="U4853" s="1">
        <v>43344</v>
      </c>
      <c r="V4853" t="s">
        <v>41</v>
      </c>
      <c r="W4853" t="s">
        <v>49</v>
      </c>
      <c r="X4853" t="str">
        <f>"1981055"</f>
        <v>1981055</v>
      </c>
      <c r="Y4853" t="s">
        <v>1280</v>
      </c>
      <c r="Z4853" t="s">
        <v>1268</v>
      </c>
      <c r="AA4853" t="s">
        <v>1269</v>
      </c>
      <c r="AB4853" t="s">
        <v>1270</v>
      </c>
      <c r="AC4853" t="s">
        <v>165</v>
      </c>
      <c r="AD4853" t="s">
        <v>45</v>
      </c>
      <c r="AE4853" s="1">
        <v>22745</v>
      </c>
      <c r="AF4853">
        <v>2</v>
      </c>
      <c r="AG4853" t="s">
        <v>1269</v>
      </c>
      <c r="AH4853" s="36">
        <f t="shared" si="75"/>
        <v>57.533333333333331</v>
      </c>
      <c r="AI4853" s="41" t="s">
        <v>1782</v>
      </c>
    </row>
    <row r="4854" spans="1:35" x14ac:dyDescent="0.25">
      <c r="A4854" s="36">
        <v>99914852</v>
      </c>
      <c r="B4854" s="17" t="s">
        <v>32</v>
      </c>
      <c r="C4854" t="s">
        <v>111</v>
      </c>
      <c r="D4854" t="s">
        <v>112</v>
      </c>
      <c r="G4854" s="17" t="s">
        <v>35</v>
      </c>
      <c r="H4854" s="17">
        <v>1</v>
      </c>
      <c r="K4854" t="s">
        <v>154</v>
      </c>
      <c r="L4854" t="s">
        <v>155</v>
      </c>
      <c r="M4854" t="s">
        <v>131</v>
      </c>
      <c r="N4854">
        <v>21</v>
      </c>
      <c r="O4854" t="s">
        <v>40</v>
      </c>
      <c r="P4854" t="s">
        <v>40</v>
      </c>
      <c r="Q4854" t="s">
        <v>40</v>
      </c>
      <c r="S4854" t="s">
        <v>40</v>
      </c>
      <c r="V4854" t="s">
        <v>41</v>
      </c>
      <c r="W4854" t="s">
        <v>75</v>
      </c>
      <c r="X4854" t="str">
        <f>"7700026"</f>
        <v>7700026</v>
      </c>
      <c r="Y4854" t="s">
        <v>397</v>
      </c>
      <c r="Z4854" t="s">
        <v>154</v>
      </c>
      <c r="AA4854" t="s">
        <v>155</v>
      </c>
      <c r="AB4854" t="s">
        <v>131</v>
      </c>
      <c r="AC4854" t="s">
        <v>51</v>
      </c>
      <c r="AD4854" t="s">
        <v>45</v>
      </c>
      <c r="AE4854" s="1">
        <v>22742</v>
      </c>
      <c r="AF4854">
        <v>1</v>
      </c>
      <c r="AG4854" t="s">
        <v>155</v>
      </c>
      <c r="AH4854" s="36">
        <f t="shared" si="75"/>
        <v>57.541666666666664</v>
      </c>
      <c r="AI4854" s="41" t="s">
        <v>1782</v>
      </c>
    </row>
    <row r="4855" spans="1:35" x14ac:dyDescent="0.25">
      <c r="A4855" s="36">
        <v>99914853</v>
      </c>
      <c r="B4855" s="17" t="s">
        <v>56</v>
      </c>
      <c r="C4855" t="s">
        <v>52</v>
      </c>
      <c r="D4855" t="s">
        <v>53</v>
      </c>
      <c r="G4855" s="17" t="s">
        <v>35</v>
      </c>
      <c r="H4855" s="17">
        <v>8</v>
      </c>
      <c r="K4855" t="s">
        <v>345</v>
      </c>
      <c r="L4855" t="s">
        <v>346</v>
      </c>
      <c r="M4855" t="s">
        <v>131</v>
      </c>
      <c r="N4855">
        <v>9</v>
      </c>
      <c r="O4855" t="s">
        <v>40</v>
      </c>
      <c r="P4855" t="s">
        <v>40</v>
      </c>
      <c r="Q4855" t="s">
        <v>40</v>
      </c>
      <c r="R4855" t="s">
        <v>40</v>
      </c>
      <c r="S4855" t="s">
        <v>40</v>
      </c>
      <c r="V4855" t="s">
        <v>41</v>
      </c>
      <c r="W4855" t="s">
        <v>49</v>
      </c>
      <c r="X4855" t="str">
        <f>"0560007"</f>
        <v>0560007</v>
      </c>
      <c r="Y4855" t="s">
        <v>357</v>
      </c>
      <c r="Z4855" t="s">
        <v>345</v>
      </c>
      <c r="AA4855" t="s">
        <v>346</v>
      </c>
      <c r="AB4855" t="s">
        <v>131</v>
      </c>
      <c r="AC4855" t="s">
        <v>51</v>
      </c>
      <c r="AD4855" t="s">
        <v>45</v>
      </c>
      <c r="AE4855" s="1">
        <v>22737</v>
      </c>
      <c r="AF4855">
        <v>2</v>
      </c>
      <c r="AG4855" t="s">
        <v>346</v>
      </c>
      <c r="AH4855" s="36">
        <f t="shared" si="75"/>
        <v>57.555555555555557</v>
      </c>
      <c r="AI4855" s="41" t="s">
        <v>1782</v>
      </c>
    </row>
    <row r="4856" spans="1:35" x14ac:dyDescent="0.25">
      <c r="A4856" s="36">
        <v>99914854</v>
      </c>
      <c r="B4856" s="17" t="s">
        <v>56</v>
      </c>
      <c r="C4856" t="s">
        <v>52</v>
      </c>
      <c r="D4856" t="s">
        <v>53</v>
      </c>
      <c r="G4856" s="17" t="s">
        <v>48</v>
      </c>
      <c r="H4856" s="17">
        <v>1</v>
      </c>
      <c r="K4856" t="s">
        <v>345</v>
      </c>
      <c r="L4856" t="s">
        <v>346</v>
      </c>
      <c r="M4856" t="s">
        <v>131</v>
      </c>
      <c r="N4856">
        <v>18</v>
      </c>
      <c r="O4856" t="s">
        <v>40</v>
      </c>
      <c r="P4856" t="s">
        <v>40</v>
      </c>
      <c r="Q4856" t="s">
        <v>40</v>
      </c>
      <c r="R4856" t="s">
        <v>40</v>
      </c>
      <c r="S4856" t="s">
        <v>40</v>
      </c>
      <c r="V4856" t="s">
        <v>41</v>
      </c>
      <c r="W4856" t="s">
        <v>49</v>
      </c>
      <c r="X4856" t="str">
        <f>"0561003"</f>
        <v>0561003</v>
      </c>
      <c r="Y4856" t="s">
        <v>370</v>
      </c>
      <c r="Z4856" t="s">
        <v>345</v>
      </c>
      <c r="AA4856" t="s">
        <v>346</v>
      </c>
      <c r="AB4856" t="s">
        <v>131</v>
      </c>
      <c r="AC4856" t="s">
        <v>51</v>
      </c>
      <c r="AD4856" t="s">
        <v>45</v>
      </c>
      <c r="AE4856" s="1">
        <v>22736</v>
      </c>
      <c r="AF4856">
        <v>2</v>
      </c>
      <c r="AG4856" t="s">
        <v>346</v>
      </c>
      <c r="AH4856" s="36">
        <f t="shared" si="75"/>
        <v>57.55833333333333</v>
      </c>
      <c r="AI4856" s="41" t="s">
        <v>1782</v>
      </c>
    </row>
    <row r="4857" spans="1:35" x14ac:dyDescent="0.25">
      <c r="A4857" s="36">
        <v>99914855</v>
      </c>
      <c r="B4857" s="17" t="s">
        <v>56</v>
      </c>
      <c r="C4857" t="s">
        <v>68</v>
      </c>
      <c r="D4857" t="s">
        <v>69</v>
      </c>
      <c r="G4857" s="17" t="s">
        <v>48</v>
      </c>
      <c r="H4857" s="17">
        <v>1</v>
      </c>
      <c r="K4857" t="s">
        <v>129</v>
      </c>
      <c r="L4857" t="s">
        <v>130</v>
      </c>
      <c r="M4857" t="s">
        <v>131</v>
      </c>
      <c r="N4857">
        <v>20</v>
      </c>
      <c r="O4857" t="s">
        <v>40</v>
      </c>
      <c r="P4857" t="s">
        <v>40</v>
      </c>
      <c r="Q4857" t="s">
        <v>40</v>
      </c>
      <c r="R4857" t="s">
        <v>40</v>
      </c>
      <c r="S4857" t="s">
        <v>40</v>
      </c>
      <c r="V4857" t="s">
        <v>41</v>
      </c>
      <c r="W4857" t="s">
        <v>42</v>
      </c>
      <c r="X4857" t="str">
        <f>"0590905"</f>
        <v>0590905</v>
      </c>
      <c r="Y4857" t="s">
        <v>133</v>
      </c>
      <c r="Z4857" t="s">
        <v>129</v>
      </c>
      <c r="AA4857" t="s">
        <v>130</v>
      </c>
      <c r="AB4857" t="s">
        <v>131</v>
      </c>
      <c r="AC4857" t="s">
        <v>51</v>
      </c>
      <c r="AD4857" t="s">
        <v>45</v>
      </c>
      <c r="AE4857" s="1">
        <v>22734</v>
      </c>
      <c r="AF4857">
        <v>2</v>
      </c>
      <c r="AG4857" t="s">
        <v>130</v>
      </c>
      <c r="AH4857" s="36">
        <f t="shared" si="75"/>
        <v>57.56388888888889</v>
      </c>
      <c r="AI4857" s="41" t="s">
        <v>1782</v>
      </c>
    </row>
    <row r="4858" spans="1:35" x14ac:dyDescent="0.25">
      <c r="A4858" s="36">
        <v>99914856</v>
      </c>
      <c r="B4858" s="17" t="s">
        <v>56</v>
      </c>
      <c r="C4858" t="s">
        <v>52</v>
      </c>
      <c r="D4858" t="s">
        <v>53</v>
      </c>
      <c r="G4858" s="17" t="s">
        <v>35</v>
      </c>
      <c r="H4858" s="17">
        <v>1</v>
      </c>
      <c r="K4858" t="s">
        <v>223</v>
      </c>
      <c r="L4858" t="s">
        <v>224</v>
      </c>
      <c r="M4858" t="s">
        <v>131</v>
      </c>
      <c r="N4858">
        <v>19</v>
      </c>
      <c r="O4858" t="s">
        <v>40</v>
      </c>
      <c r="P4858" t="s">
        <v>40</v>
      </c>
      <c r="Q4858" t="s">
        <v>40</v>
      </c>
      <c r="S4858" t="s">
        <v>40</v>
      </c>
      <c r="V4858" t="s">
        <v>41</v>
      </c>
      <c r="W4858" t="s">
        <v>42</v>
      </c>
      <c r="X4858" t="str">
        <f>"0590901"</f>
        <v>0590901</v>
      </c>
      <c r="Y4858" t="s">
        <v>242</v>
      </c>
      <c r="Z4858" t="s">
        <v>223</v>
      </c>
      <c r="AA4858" t="s">
        <v>224</v>
      </c>
      <c r="AB4858" t="s">
        <v>131</v>
      </c>
      <c r="AC4858" t="s">
        <v>51</v>
      </c>
      <c r="AD4858" t="s">
        <v>45</v>
      </c>
      <c r="AE4858" s="1">
        <v>22732</v>
      </c>
      <c r="AF4858">
        <v>2</v>
      </c>
      <c r="AG4858" t="s">
        <v>224</v>
      </c>
      <c r="AH4858" s="36">
        <f t="shared" si="75"/>
        <v>57.569444444444443</v>
      </c>
      <c r="AI4858" s="41" t="s">
        <v>1782</v>
      </c>
    </row>
    <row r="4859" spans="1:35" x14ac:dyDescent="0.25">
      <c r="A4859" s="36">
        <v>99914857</v>
      </c>
      <c r="B4859" s="17" t="s">
        <v>32</v>
      </c>
      <c r="C4859" t="s">
        <v>139</v>
      </c>
      <c r="D4859" t="s">
        <v>140</v>
      </c>
      <c r="G4859" s="17" t="s">
        <v>48</v>
      </c>
      <c r="H4859" s="17">
        <v>11</v>
      </c>
      <c r="K4859" t="s">
        <v>354</v>
      </c>
      <c r="L4859" t="s">
        <v>355</v>
      </c>
      <c r="M4859" t="s">
        <v>131</v>
      </c>
      <c r="N4859">
        <v>21</v>
      </c>
      <c r="O4859" t="s">
        <v>40</v>
      </c>
      <c r="P4859" t="s">
        <v>40</v>
      </c>
      <c r="Q4859" t="s">
        <v>40</v>
      </c>
      <c r="R4859" t="s">
        <v>40</v>
      </c>
      <c r="S4859" t="s">
        <v>40</v>
      </c>
      <c r="V4859" t="s">
        <v>41</v>
      </c>
      <c r="W4859" t="s">
        <v>75</v>
      </c>
      <c r="X4859" t="str">
        <f>"7054022"</f>
        <v>7054022</v>
      </c>
      <c r="Y4859" t="s">
        <v>770</v>
      </c>
      <c r="Z4859" t="s">
        <v>354</v>
      </c>
      <c r="AA4859" t="s">
        <v>355</v>
      </c>
      <c r="AB4859" t="s">
        <v>131</v>
      </c>
      <c r="AC4859" t="s">
        <v>51</v>
      </c>
      <c r="AD4859" t="s">
        <v>45</v>
      </c>
      <c r="AE4859" s="1">
        <v>22729</v>
      </c>
      <c r="AF4859">
        <v>1</v>
      </c>
      <c r="AG4859" t="s">
        <v>355</v>
      </c>
      <c r="AH4859" s="36">
        <f t="shared" si="75"/>
        <v>57.577777777777776</v>
      </c>
      <c r="AI4859" s="41" t="s">
        <v>1782</v>
      </c>
    </row>
    <row r="4860" spans="1:35" x14ac:dyDescent="0.25">
      <c r="A4860" s="36">
        <v>99914858</v>
      </c>
      <c r="B4860" s="17" t="s">
        <v>32</v>
      </c>
      <c r="C4860" t="s">
        <v>68</v>
      </c>
      <c r="D4860" t="s">
        <v>69</v>
      </c>
      <c r="G4860" s="17" t="s">
        <v>35</v>
      </c>
      <c r="H4860" s="17">
        <v>1</v>
      </c>
      <c r="K4860" t="s">
        <v>157</v>
      </c>
      <c r="L4860" t="s">
        <v>158</v>
      </c>
      <c r="M4860" t="s">
        <v>131</v>
      </c>
      <c r="N4860">
        <v>7</v>
      </c>
      <c r="O4860" t="s">
        <v>40</v>
      </c>
      <c r="P4860" t="s">
        <v>40</v>
      </c>
      <c r="Q4860" t="s">
        <v>40</v>
      </c>
      <c r="R4860" t="s">
        <v>40</v>
      </c>
      <c r="S4860" t="s">
        <v>40</v>
      </c>
      <c r="V4860" t="s">
        <v>41</v>
      </c>
      <c r="W4860" t="s">
        <v>49</v>
      </c>
      <c r="X4860" t="str">
        <f>"0581725"</f>
        <v>0581725</v>
      </c>
      <c r="Y4860" t="s">
        <v>161</v>
      </c>
      <c r="Z4860" t="s">
        <v>157</v>
      </c>
      <c r="AA4860" t="s">
        <v>158</v>
      </c>
      <c r="AB4860" t="s">
        <v>131</v>
      </c>
      <c r="AC4860" t="s">
        <v>51</v>
      </c>
      <c r="AD4860" t="s">
        <v>45</v>
      </c>
      <c r="AE4860" s="1">
        <v>22725</v>
      </c>
      <c r="AF4860">
        <v>2</v>
      </c>
      <c r="AG4860" t="s">
        <v>158</v>
      </c>
      <c r="AH4860" s="36">
        <f t="shared" si="75"/>
        <v>57.588888888888889</v>
      </c>
      <c r="AI4860" s="41" t="s">
        <v>1782</v>
      </c>
    </row>
    <row r="4861" spans="1:35" x14ac:dyDescent="0.25">
      <c r="A4861" s="36">
        <v>99914859</v>
      </c>
      <c r="B4861" s="17" t="s">
        <v>32</v>
      </c>
      <c r="C4861" t="s">
        <v>111</v>
      </c>
      <c r="D4861" t="s">
        <v>112</v>
      </c>
      <c r="G4861" s="17" t="s">
        <v>48</v>
      </c>
      <c r="H4861" s="17">
        <v>1</v>
      </c>
      <c r="K4861" t="s">
        <v>354</v>
      </c>
      <c r="L4861" t="s">
        <v>355</v>
      </c>
      <c r="M4861" t="s">
        <v>131</v>
      </c>
      <c r="N4861">
        <v>21</v>
      </c>
      <c r="O4861" t="s">
        <v>40</v>
      </c>
      <c r="P4861" t="s">
        <v>40</v>
      </c>
      <c r="Q4861" t="s">
        <v>40</v>
      </c>
      <c r="S4861" t="s">
        <v>40</v>
      </c>
      <c r="V4861" t="s">
        <v>41</v>
      </c>
      <c r="W4861" t="s">
        <v>75</v>
      </c>
      <c r="X4861" t="str">
        <f>"7054038"</f>
        <v>7054038</v>
      </c>
      <c r="Y4861" t="s">
        <v>377</v>
      </c>
      <c r="Z4861" t="s">
        <v>354</v>
      </c>
      <c r="AA4861" t="s">
        <v>355</v>
      </c>
      <c r="AB4861" t="s">
        <v>131</v>
      </c>
      <c r="AC4861" t="s">
        <v>51</v>
      </c>
      <c r="AD4861" t="s">
        <v>45</v>
      </c>
      <c r="AE4861" s="1">
        <v>22722</v>
      </c>
      <c r="AF4861">
        <v>1</v>
      </c>
      <c r="AG4861" t="s">
        <v>355</v>
      </c>
      <c r="AH4861" s="36">
        <f t="shared" si="75"/>
        <v>57.597222222222221</v>
      </c>
      <c r="AI4861" s="41" t="s">
        <v>1782</v>
      </c>
    </row>
    <row r="4862" spans="1:35" x14ac:dyDescent="0.25">
      <c r="A4862" s="36">
        <v>99914860</v>
      </c>
      <c r="B4862" s="17" t="s">
        <v>32</v>
      </c>
      <c r="C4862" t="s">
        <v>257</v>
      </c>
      <c r="D4862" t="s">
        <v>258</v>
      </c>
      <c r="G4862" s="17" t="s">
        <v>35</v>
      </c>
      <c r="H4862" s="17">
        <v>1</v>
      </c>
      <c r="K4862" t="s">
        <v>300</v>
      </c>
      <c r="L4862" t="s">
        <v>301</v>
      </c>
      <c r="M4862" t="s">
        <v>131</v>
      </c>
      <c r="N4862">
        <v>5</v>
      </c>
      <c r="O4862" t="s">
        <v>40</v>
      </c>
      <c r="P4862" t="s">
        <v>40</v>
      </c>
      <c r="Q4862" t="s">
        <v>40</v>
      </c>
      <c r="R4862" t="s">
        <v>40</v>
      </c>
      <c r="S4862" t="s">
        <v>40</v>
      </c>
      <c r="V4862" t="s">
        <v>41</v>
      </c>
      <c r="W4862" t="s">
        <v>49</v>
      </c>
      <c r="X4862" t="str">
        <f>"0560029"</f>
        <v>0560029</v>
      </c>
      <c r="Y4862" t="s">
        <v>309</v>
      </c>
      <c r="Z4862" t="s">
        <v>300</v>
      </c>
      <c r="AA4862" t="s">
        <v>301</v>
      </c>
      <c r="AB4862" t="s">
        <v>131</v>
      </c>
      <c r="AC4862" t="s">
        <v>51</v>
      </c>
      <c r="AD4862" t="s">
        <v>45</v>
      </c>
      <c r="AE4862" s="1">
        <v>22721</v>
      </c>
      <c r="AF4862">
        <v>2</v>
      </c>
      <c r="AG4862" t="s">
        <v>301</v>
      </c>
      <c r="AH4862" s="36">
        <f t="shared" si="75"/>
        <v>57.6</v>
      </c>
      <c r="AI4862" s="41" t="s">
        <v>1782</v>
      </c>
    </row>
    <row r="4863" spans="1:35" x14ac:dyDescent="0.25">
      <c r="A4863" s="36">
        <v>99914861</v>
      </c>
      <c r="B4863" s="17" t="s">
        <v>32</v>
      </c>
      <c r="C4863" t="s">
        <v>64</v>
      </c>
      <c r="D4863" t="s">
        <v>65</v>
      </c>
      <c r="G4863" s="17" t="s">
        <v>35</v>
      </c>
      <c r="H4863" s="17">
        <v>1</v>
      </c>
      <c r="K4863" t="s">
        <v>947</v>
      </c>
      <c r="L4863" t="s">
        <v>948</v>
      </c>
      <c r="M4863" t="s">
        <v>938</v>
      </c>
      <c r="N4863">
        <v>18</v>
      </c>
      <c r="O4863" t="s">
        <v>40</v>
      </c>
      <c r="P4863" t="s">
        <v>40</v>
      </c>
      <c r="Q4863" t="s">
        <v>40</v>
      </c>
      <c r="R4863" t="s">
        <v>40</v>
      </c>
      <c r="S4863" t="s">
        <v>40</v>
      </c>
      <c r="V4863" t="s">
        <v>41</v>
      </c>
      <c r="W4863" t="s">
        <v>42</v>
      </c>
      <c r="X4863" t="str">
        <f>"0680030"</f>
        <v>0680030</v>
      </c>
      <c r="Y4863" t="s">
        <v>951</v>
      </c>
      <c r="Z4863" t="s">
        <v>947</v>
      </c>
      <c r="AA4863" t="s">
        <v>948</v>
      </c>
      <c r="AB4863" t="s">
        <v>938</v>
      </c>
      <c r="AC4863" t="s">
        <v>165</v>
      </c>
      <c r="AD4863" t="s">
        <v>45</v>
      </c>
      <c r="AE4863" s="1">
        <v>22709</v>
      </c>
      <c r="AF4863">
        <v>2</v>
      </c>
      <c r="AG4863" t="s">
        <v>948</v>
      </c>
      <c r="AH4863" s="36">
        <f t="shared" si="75"/>
        <v>57.633333333333333</v>
      </c>
      <c r="AI4863" s="41" t="s">
        <v>1782</v>
      </c>
    </row>
    <row r="4864" spans="1:35" x14ac:dyDescent="0.25">
      <c r="A4864" s="36">
        <v>99914862</v>
      </c>
      <c r="B4864" s="17" t="s">
        <v>56</v>
      </c>
      <c r="C4864" t="s">
        <v>46</v>
      </c>
      <c r="D4864" t="s">
        <v>47</v>
      </c>
      <c r="G4864" s="17" t="s">
        <v>48</v>
      </c>
      <c r="H4864" s="17">
        <v>13</v>
      </c>
      <c r="K4864" t="s">
        <v>1268</v>
      </c>
      <c r="L4864" t="s">
        <v>1269</v>
      </c>
      <c r="M4864" t="s">
        <v>1270</v>
      </c>
      <c r="N4864">
        <v>18</v>
      </c>
      <c r="O4864" t="s">
        <v>40</v>
      </c>
      <c r="P4864" t="s">
        <v>40</v>
      </c>
      <c r="Q4864" t="s">
        <v>40</v>
      </c>
      <c r="R4864" t="s">
        <v>40</v>
      </c>
      <c r="S4864" t="s">
        <v>40</v>
      </c>
      <c r="U4864" s="1">
        <v>43344</v>
      </c>
      <c r="V4864" t="s">
        <v>41</v>
      </c>
      <c r="W4864" t="s">
        <v>49</v>
      </c>
      <c r="X4864" t="str">
        <f>"1981055"</f>
        <v>1981055</v>
      </c>
      <c r="Y4864" t="s">
        <v>1280</v>
      </c>
      <c r="Z4864" t="s">
        <v>1268</v>
      </c>
      <c r="AA4864" t="s">
        <v>1269</v>
      </c>
      <c r="AB4864" t="s">
        <v>1270</v>
      </c>
      <c r="AC4864" t="s">
        <v>165</v>
      </c>
      <c r="AD4864" t="s">
        <v>45</v>
      </c>
      <c r="AE4864" s="1">
        <v>22707</v>
      </c>
      <c r="AF4864">
        <v>2</v>
      </c>
      <c r="AG4864" t="s">
        <v>1269</v>
      </c>
      <c r="AH4864" s="36">
        <f t="shared" si="75"/>
        <v>57.638888888888886</v>
      </c>
      <c r="AI4864" s="41" t="s">
        <v>1782</v>
      </c>
    </row>
    <row r="4865" spans="1:35" x14ac:dyDescent="0.25">
      <c r="A4865" s="36">
        <v>99914863</v>
      </c>
      <c r="B4865" s="17" t="s">
        <v>32</v>
      </c>
      <c r="C4865" t="s">
        <v>71</v>
      </c>
      <c r="D4865" t="s">
        <v>72</v>
      </c>
      <c r="G4865" s="17" t="s">
        <v>35</v>
      </c>
      <c r="H4865" s="17">
        <v>1</v>
      </c>
      <c r="K4865" t="s">
        <v>223</v>
      </c>
      <c r="L4865" t="s">
        <v>224</v>
      </c>
      <c r="M4865" t="s">
        <v>131</v>
      </c>
      <c r="N4865">
        <v>11</v>
      </c>
      <c r="O4865" t="s">
        <v>40</v>
      </c>
      <c r="P4865" t="s">
        <v>40</v>
      </c>
      <c r="Q4865" t="s">
        <v>40</v>
      </c>
      <c r="R4865" t="s">
        <v>40</v>
      </c>
      <c r="S4865" t="s">
        <v>40</v>
      </c>
      <c r="V4865" t="s">
        <v>41</v>
      </c>
      <c r="W4865" t="s">
        <v>49</v>
      </c>
      <c r="X4865" t="str">
        <f>"0591901"</f>
        <v>0591901</v>
      </c>
      <c r="Y4865" t="s">
        <v>230</v>
      </c>
      <c r="Z4865" t="s">
        <v>223</v>
      </c>
      <c r="AA4865" t="s">
        <v>224</v>
      </c>
      <c r="AB4865" t="s">
        <v>131</v>
      </c>
      <c r="AC4865" t="s">
        <v>51</v>
      </c>
      <c r="AD4865" t="s">
        <v>45</v>
      </c>
      <c r="AE4865" s="1">
        <v>22706</v>
      </c>
      <c r="AF4865">
        <v>2</v>
      </c>
      <c r="AG4865" t="s">
        <v>224</v>
      </c>
      <c r="AH4865" s="36">
        <f t="shared" si="75"/>
        <v>57.641666666666666</v>
      </c>
      <c r="AI4865" s="41" t="s">
        <v>1782</v>
      </c>
    </row>
    <row r="4866" spans="1:35" x14ac:dyDescent="0.25">
      <c r="A4866" s="36">
        <v>99914864</v>
      </c>
      <c r="B4866" s="17" t="s">
        <v>56</v>
      </c>
      <c r="C4866" t="s">
        <v>68</v>
      </c>
      <c r="D4866" t="s">
        <v>69</v>
      </c>
      <c r="G4866" s="17" t="s">
        <v>48</v>
      </c>
      <c r="H4866" s="17">
        <v>1</v>
      </c>
      <c r="K4866" t="s">
        <v>223</v>
      </c>
      <c r="L4866" t="s">
        <v>224</v>
      </c>
      <c r="M4866" t="s">
        <v>131</v>
      </c>
      <c r="N4866">
        <v>18</v>
      </c>
      <c r="O4866" t="s">
        <v>40</v>
      </c>
      <c r="P4866" t="s">
        <v>40</v>
      </c>
      <c r="Q4866" t="s">
        <v>40</v>
      </c>
      <c r="S4866" t="s">
        <v>40</v>
      </c>
      <c r="V4866" t="s">
        <v>41</v>
      </c>
      <c r="W4866" t="s">
        <v>42</v>
      </c>
      <c r="X4866" t="str">
        <f>"0580204"</f>
        <v>0580204</v>
      </c>
      <c r="Y4866" t="s">
        <v>235</v>
      </c>
      <c r="Z4866" t="s">
        <v>223</v>
      </c>
      <c r="AA4866" t="s">
        <v>224</v>
      </c>
      <c r="AB4866" t="s">
        <v>131</v>
      </c>
      <c r="AC4866" t="s">
        <v>165</v>
      </c>
      <c r="AD4866" t="s">
        <v>45</v>
      </c>
      <c r="AE4866" s="1">
        <v>22694</v>
      </c>
      <c r="AF4866">
        <v>2</v>
      </c>
      <c r="AG4866" t="s">
        <v>224</v>
      </c>
      <c r="AH4866" s="36">
        <f t="shared" ref="AH4866:AH4929" si="76">($AJ$1-AE4866)/360</f>
        <v>57.674999999999997</v>
      </c>
      <c r="AI4866" s="41" t="s">
        <v>1782</v>
      </c>
    </row>
    <row r="4867" spans="1:35" x14ac:dyDescent="0.25">
      <c r="A4867" s="36">
        <v>99914865</v>
      </c>
      <c r="B4867" s="17" t="s">
        <v>32</v>
      </c>
      <c r="C4867" t="s">
        <v>46</v>
      </c>
      <c r="D4867" t="s">
        <v>47</v>
      </c>
      <c r="G4867" s="17" t="s">
        <v>35</v>
      </c>
      <c r="H4867" s="17">
        <v>1</v>
      </c>
      <c r="K4867" t="s">
        <v>162</v>
      </c>
      <c r="L4867" t="s">
        <v>158</v>
      </c>
      <c r="M4867" t="s">
        <v>131</v>
      </c>
      <c r="N4867">
        <v>18</v>
      </c>
      <c r="O4867" t="s">
        <v>40</v>
      </c>
      <c r="P4867" t="s">
        <v>40</v>
      </c>
      <c r="Q4867" t="s">
        <v>40</v>
      </c>
      <c r="S4867" t="s">
        <v>40</v>
      </c>
      <c r="V4867" t="s">
        <v>41</v>
      </c>
      <c r="W4867" t="s">
        <v>49</v>
      </c>
      <c r="X4867" t="str">
        <f>"0581325"</f>
        <v>0581325</v>
      </c>
      <c r="Y4867" t="s">
        <v>169</v>
      </c>
      <c r="Z4867" t="s">
        <v>162</v>
      </c>
      <c r="AA4867" t="s">
        <v>158</v>
      </c>
      <c r="AB4867" t="s">
        <v>131</v>
      </c>
      <c r="AC4867" t="s">
        <v>165</v>
      </c>
      <c r="AD4867" t="s">
        <v>45</v>
      </c>
      <c r="AE4867" s="1">
        <v>22689</v>
      </c>
      <c r="AF4867">
        <v>2</v>
      </c>
      <c r="AG4867" t="s">
        <v>158</v>
      </c>
      <c r="AH4867" s="36">
        <f t="shared" si="76"/>
        <v>57.68888888888889</v>
      </c>
      <c r="AI4867" s="41" t="s">
        <v>1782</v>
      </c>
    </row>
    <row r="4868" spans="1:35" x14ac:dyDescent="0.25">
      <c r="A4868" s="36">
        <v>99914866</v>
      </c>
      <c r="B4868" s="17" t="s">
        <v>56</v>
      </c>
      <c r="C4868" t="s">
        <v>46</v>
      </c>
      <c r="D4868" t="s">
        <v>47</v>
      </c>
      <c r="G4868" s="17" t="s">
        <v>48</v>
      </c>
      <c r="H4868" s="17">
        <v>16</v>
      </c>
      <c r="I4868">
        <v>18255</v>
      </c>
      <c r="J4868" s="1">
        <v>43344</v>
      </c>
      <c r="K4868" t="s">
        <v>223</v>
      </c>
      <c r="L4868" t="s">
        <v>224</v>
      </c>
      <c r="M4868" t="s">
        <v>131</v>
      </c>
      <c r="N4868">
        <v>8</v>
      </c>
      <c r="O4868" t="s">
        <v>40</v>
      </c>
      <c r="P4868" t="s">
        <v>40</v>
      </c>
      <c r="Q4868" t="s">
        <v>40</v>
      </c>
      <c r="R4868" t="s">
        <v>40</v>
      </c>
      <c r="S4868" t="s">
        <v>40</v>
      </c>
      <c r="U4868" s="1">
        <v>43344</v>
      </c>
      <c r="V4868" t="s">
        <v>41</v>
      </c>
      <c r="W4868" t="s">
        <v>49</v>
      </c>
      <c r="X4868" t="str">
        <f>"0560008"</f>
        <v>0560008</v>
      </c>
      <c r="Y4868" t="s">
        <v>263</v>
      </c>
      <c r="Z4868" t="s">
        <v>223</v>
      </c>
      <c r="AA4868" t="s">
        <v>224</v>
      </c>
      <c r="AB4868" t="s">
        <v>131</v>
      </c>
      <c r="AC4868" t="s">
        <v>51</v>
      </c>
      <c r="AD4868" t="s">
        <v>45</v>
      </c>
      <c r="AE4868" s="1">
        <v>22685</v>
      </c>
      <c r="AF4868">
        <v>2</v>
      </c>
      <c r="AG4868" t="s">
        <v>224</v>
      </c>
      <c r="AH4868" s="36">
        <f t="shared" si="76"/>
        <v>57.7</v>
      </c>
      <c r="AI4868" s="41" t="s">
        <v>1782</v>
      </c>
    </row>
    <row r="4869" spans="1:35" x14ac:dyDescent="0.25">
      <c r="A4869" s="36">
        <v>99914867</v>
      </c>
      <c r="B4869" s="17" t="s">
        <v>32</v>
      </c>
      <c r="C4869" t="s">
        <v>90</v>
      </c>
      <c r="D4869" t="s">
        <v>91</v>
      </c>
      <c r="G4869" s="17" t="s">
        <v>35</v>
      </c>
      <c r="H4869" s="17">
        <v>1</v>
      </c>
      <c r="I4869" t="s">
        <v>750</v>
      </c>
      <c r="J4869" s="1">
        <v>43344</v>
      </c>
      <c r="K4869" t="s">
        <v>268</v>
      </c>
      <c r="L4869" t="s">
        <v>269</v>
      </c>
      <c r="M4869" t="s">
        <v>131</v>
      </c>
      <c r="N4869">
        <v>21</v>
      </c>
      <c r="O4869" t="s">
        <v>40</v>
      </c>
      <c r="S4869" t="s">
        <v>40</v>
      </c>
      <c r="V4869" t="s">
        <v>41</v>
      </c>
      <c r="W4869" t="s">
        <v>95</v>
      </c>
      <c r="X4869" t="str">
        <f>"7052071"</f>
        <v>7052071</v>
      </c>
      <c r="Y4869" t="s">
        <v>628</v>
      </c>
      <c r="Z4869" t="s">
        <v>268</v>
      </c>
      <c r="AA4869" t="s">
        <v>269</v>
      </c>
      <c r="AB4869" t="s">
        <v>131</v>
      </c>
      <c r="AC4869" t="s">
        <v>51</v>
      </c>
      <c r="AD4869" t="s">
        <v>45</v>
      </c>
      <c r="AE4869" s="1">
        <v>22684</v>
      </c>
      <c r="AF4869">
        <v>1</v>
      </c>
      <c r="AG4869" t="s">
        <v>269</v>
      </c>
      <c r="AH4869" s="36">
        <f t="shared" si="76"/>
        <v>57.702777777777776</v>
      </c>
      <c r="AI4869" s="41" t="s">
        <v>1782</v>
      </c>
    </row>
    <row r="4870" spans="1:35" x14ac:dyDescent="0.25">
      <c r="A4870" s="36">
        <v>99914868</v>
      </c>
      <c r="B4870" s="17" t="s">
        <v>32</v>
      </c>
      <c r="C4870" t="s">
        <v>46</v>
      </c>
      <c r="D4870" t="s">
        <v>47</v>
      </c>
      <c r="G4870" s="17" t="s">
        <v>35</v>
      </c>
      <c r="H4870" s="17">
        <v>1</v>
      </c>
      <c r="K4870" t="s">
        <v>162</v>
      </c>
      <c r="L4870" t="s">
        <v>158</v>
      </c>
      <c r="M4870" t="s">
        <v>131</v>
      </c>
      <c r="N4870">
        <v>3</v>
      </c>
      <c r="O4870" t="s">
        <v>40</v>
      </c>
      <c r="P4870" t="s">
        <v>40</v>
      </c>
      <c r="Q4870" t="s">
        <v>40</v>
      </c>
      <c r="R4870" t="s">
        <v>40</v>
      </c>
      <c r="S4870" t="s">
        <v>40</v>
      </c>
      <c r="V4870" t="s">
        <v>41</v>
      </c>
      <c r="W4870" t="s">
        <v>49</v>
      </c>
      <c r="X4870" t="str">
        <f>"0505050"</f>
        <v>0505050</v>
      </c>
      <c r="Y4870" t="s">
        <v>163</v>
      </c>
      <c r="Z4870" t="s">
        <v>162</v>
      </c>
      <c r="AA4870" t="s">
        <v>158</v>
      </c>
      <c r="AB4870" t="s">
        <v>131</v>
      </c>
      <c r="AC4870" t="s">
        <v>165</v>
      </c>
      <c r="AD4870" t="s">
        <v>45</v>
      </c>
      <c r="AE4870" s="1">
        <v>22674</v>
      </c>
      <c r="AF4870">
        <v>2</v>
      </c>
      <c r="AG4870" t="s">
        <v>158</v>
      </c>
      <c r="AH4870" s="36">
        <f t="shared" si="76"/>
        <v>57.730555555555554</v>
      </c>
      <c r="AI4870" s="41" t="s">
        <v>1782</v>
      </c>
    </row>
    <row r="4871" spans="1:35" x14ac:dyDescent="0.25">
      <c r="A4871" s="36">
        <v>99914869</v>
      </c>
      <c r="B4871" s="17" t="s">
        <v>32</v>
      </c>
      <c r="C4871" t="s">
        <v>90</v>
      </c>
      <c r="D4871" t="s">
        <v>91</v>
      </c>
      <c r="G4871" s="17" t="s">
        <v>48</v>
      </c>
      <c r="H4871" s="17">
        <v>1</v>
      </c>
      <c r="K4871" t="s">
        <v>1341</v>
      </c>
      <c r="L4871" t="s">
        <v>1342</v>
      </c>
      <c r="M4871" t="s">
        <v>1270</v>
      </c>
      <c r="N4871">
        <v>25</v>
      </c>
      <c r="O4871" t="s">
        <v>40</v>
      </c>
      <c r="P4871" t="s">
        <v>40</v>
      </c>
      <c r="Q4871" t="s">
        <v>40</v>
      </c>
      <c r="S4871" t="s">
        <v>40</v>
      </c>
      <c r="V4871" t="s">
        <v>41</v>
      </c>
      <c r="W4871" t="s">
        <v>95</v>
      </c>
      <c r="X4871" t="str">
        <f>"7191021"</f>
        <v>7191021</v>
      </c>
      <c r="Y4871" t="s">
        <v>1418</v>
      </c>
      <c r="Z4871" t="s">
        <v>1341</v>
      </c>
      <c r="AA4871" t="s">
        <v>1342</v>
      </c>
      <c r="AB4871" t="s">
        <v>1270</v>
      </c>
      <c r="AC4871" t="s">
        <v>51</v>
      </c>
      <c r="AD4871" t="s">
        <v>45</v>
      </c>
      <c r="AE4871" s="1">
        <v>22665</v>
      </c>
      <c r="AF4871">
        <v>1</v>
      </c>
      <c r="AG4871" t="s">
        <v>1342</v>
      </c>
      <c r="AH4871" s="36">
        <f t="shared" si="76"/>
        <v>57.755555555555553</v>
      </c>
      <c r="AI4871" s="41" t="s">
        <v>1782</v>
      </c>
    </row>
    <row r="4872" spans="1:35" x14ac:dyDescent="0.25">
      <c r="A4872" s="36">
        <v>99914870</v>
      </c>
      <c r="B4872" s="17" t="s">
        <v>32</v>
      </c>
      <c r="C4872" t="s">
        <v>111</v>
      </c>
      <c r="D4872" t="s">
        <v>112</v>
      </c>
      <c r="G4872" s="17" t="s">
        <v>35</v>
      </c>
      <c r="H4872" s="17">
        <v>1</v>
      </c>
      <c r="K4872" t="s">
        <v>1502</v>
      </c>
      <c r="L4872" t="s">
        <v>1503</v>
      </c>
      <c r="M4872" t="s">
        <v>670</v>
      </c>
      <c r="N4872">
        <v>21</v>
      </c>
      <c r="O4872" t="s">
        <v>40</v>
      </c>
      <c r="P4872" t="s">
        <v>40</v>
      </c>
      <c r="Q4872" t="s">
        <v>40</v>
      </c>
      <c r="R4872" t="s">
        <v>40</v>
      </c>
      <c r="S4872" t="s">
        <v>40</v>
      </c>
      <c r="V4872" t="s">
        <v>41</v>
      </c>
      <c r="W4872" t="s">
        <v>75</v>
      </c>
      <c r="X4872" t="str">
        <f>"7171000"</f>
        <v>7171000</v>
      </c>
      <c r="Y4872" t="s">
        <v>1506</v>
      </c>
      <c r="Z4872" t="s">
        <v>1502</v>
      </c>
      <c r="AA4872" t="s">
        <v>1503</v>
      </c>
      <c r="AB4872" t="s">
        <v>670</v>
      </c>
      <c r="AC4872" t="s">
        <v>51</v>
      </c>
      <c r="AD4872" t="s">
        <v>45</v>
      </c>
      <c r="AE4872" s="1">
        <v>22652</v>
      </c>
      <c r="AF4872">
        <v>1</v>
      </c>
      <c r="AG4872" t="s">
        <v>1503</v>
      </c>
      <c r="AH4872" s="36">
        <f t="shared" si="76"/>
        <v>57.791666666666664</v>
      </c>
      <c r="AI4872" s="41" t="s">
        <v>1782</v>
      </c>
    </row>
    <row r="4873" spans="1:35" x14ac:dyDescent="0.25">
      <c r="A4873" s="36">
        <v>99914871</v>
      </c>
      <c r="B4873" s="17" t="s">
        <v>32</v>
      </c>
      <c r="C4873" t="s">
        <v>145</v>
      </c>
      <c r="D4873" t="s">
        <v>146</v>
      </c>
      <c r="G4873" s="17" t="s">
        <v>48</v>
      </c>
      <c r="H4873" s="17">
        <v>4</v>
      </c>
      <c r="K4873" t="s">
        <v>129</v>
      </c>
      <c r="L4873" t="s">
        <v>130</v>
      </c>
      <c r="M4873" t="s">
        <v>131</v>
      </c>
      <c r="N4873">
        <v>18</v>
      </c>
      <c r="O4873" t="s">
        <v>40</v>
      </c>
      <c r="P4873" t="s">
        <v>40</v>
      </c>
      <c r="Q4873" t="s">
        <v>40</v>
      </c>
      <c r="R4873" t="s">
        <v>40</v>
      </c>
      <c r="S4873" t="s">
        <v>40</v>
      </c>
      <c r="V4873" t="s">
        <v>41</v>
      </c>
      <c r="W4873" t="s">
        <v>42</v>
      </c>
      <c r="X4873" t="str">
        <f>"0590905"</f>
        <v>0590905</v>
      </c>
      <c r="Y4873" t="s">
        <v>133</v>
      </c>
      <c r="Z4873" t="s">
        <v>129</v>
      </c>
      <c r="AA4873" t="s">
        <v>130</v>
      </c>
      <c r="AB4873" t="s">
        <v>131</v>
      </c>
      <c r="AC4873" t="s">
        <v>51</v>
      </c>
      <c r="AD4873" t="s">
        <v>45</v>
      </c>
      <c r="AE4873" s="1">
        <v>22647</v>
      </c>
      <c r="AF4873">
        <v>2</v>
      </c>
      <c r="AG4873" t="s">
        <v>130</v>
      </c>
      <c r="AH4873" s="36">
        <f t="shared" si="76"/>
        <v>57.805555555555557</v>
      </c>
      <c r="AI4873" s="41" t="s">
        <v>1782</v>
      </c>
    </row>
    <row r="4874" spans="1:35" x14ac:dyDescent="0.25">
      <c r="A4874" s="36">
        <v>99914872</v>
      </c>
      <c r="B4874" s="17" t="s">
        <v>56</v>
      </c>
      <c r="C4874" t="s">
        <v>85</v>
      </c>
      <c r="D4874" t="s">
        <v>86</v>
      </c>
      <c r="G4874" s="17" t="s">
        <v>48</v>
      </c>
      <c r="H4874" s="17">
        <v>1</v>
      </c>
      <c r="K4874" t="s">
        <v>162</v>
      </c>
      <c r="L4874" t="s">
        <v>158</v>
      </c>
      <c r="M4874" t="s">
        <v>131</v>
      </c>
      <c r="N4874">
        <v>18</v>
      </c>
      <c r="O4874" t="s">
        <v>40</v>
      </c>
      <c r="P4874" t="s">
        <v>40</v>
      </c>
      <c r="Q4874" t="s">
        <v>40</v>
      </c>
      <c r="R4874" t="s">
        <v>40</v>
      </c>
      <c r="S4874" t="s">
        <v>40</v>
      </c>
      <c r="V4874" t="s">
        <v>41</v>
      </c>
      <c r="W4874" t="s">
        <v>42</v>
      </c>
      <c r="X4874" t="str">
        <f>"0580310"</f>
        <v>0580310</v>
      </c>
      <c r="Y4874" t="s">
        <v>173</v>
      </c>
      <c r="Z4874" t="s">
        <v>162</v>
      </c>
      <c r="AA4874" t="s">
        <v>158</v>
      </c>
      <c r="AB4874" t="s">
        <v>131</v>
      </c>
      <c r="AC4874" t="s">
        <v>51</v>
      </c>
      <c r="AD4874" t="s">
        <v>45</v>
      </c>
      <c r="AE4874" s="1">
        <v>22647</v>
      </c>
      <c r="AF4874">
        <v>2</v>
      </c>
      <c r="AG4874" t="s">
        <v>158</v>
      </c>
      <c r="AH4874" s="36">
        <f t="shared" si="76"/>
        <v>57.805555555555557</v>
      </c>
      <c r="AI4874" s="41" t="s">
        <v>1782</v>
      </c>
    </row>
    <row r="4875" spans="1:35" x14ac:dyDescent="0.25">
      <c r="A4875" s="36">
        <v>99914873</v>
      </c>
      <c r="B4875" s="17" t="s">
        <v>56</v>
      </c>
      <c r="C4875" t="s">
        <v>145</v>
      </c>
      <c r="D4875" t="s">
        <v>146</v>
      </c>
      <c r="G4875" s="17" t="s">
        <v>48</v>
      </c>
      <c r="H4875" s="17">
        <v>1</v>
      </c>
      <c r="K4875" t="s">
        <v>380</v>
      </c>
      <c r="L4875" t="s">
        <v>381</v>
      </c>
      <c r="M4875" t="s">
        <v>131</v>
      </c>
      <c r="N4875">
        <v>8</v>
      </c>
      <c r="O4875" t="s">
        <v>40</v>
      </c>
      <c r="P4875" t="s">
        <v>40</v>
      </c>
      <c r="Q4875" t="s">
        <v>40</v>
      </c>
      <c r="S4875" t="s">
        <v>40</v>
      </c>
      <c r="V4875" t="s">
        <v>41</v>
      </c>
      <c r="W4875" t="s">
        <v>49</v>
      </c>
      <c r="X4875" t="str">
        <f>"0581859"</f>
        <v>0581859</v>
      </c>
      <c r="Y4875" t="s">
        <v>394</v>
      </c>
      <c r="Z4875" t="s">
        <v>380</v>
      </c>
      <c r="AA4875" t="s">
        <v>381</v>
      </c>
      <c r="AB4875" t="s">
        <v>131</v>
      </c>
      <c r="AC4875" t="s">
        <v>51</v>
      </c>
      <c r="AD4875" t="s">
        <v>45</v>
      </c>
      <c r="AE4875" s="1">
        <v>22647</v>
      </c>
      <c r="AF4875">
        <v>2</v>
      </c>
      <c r="AG4875" t="s">
        <v>381</v>
      </c>
      <c r="AH4875" s="36">
        <f t="shared" si="76"/>
        <v>57.805555555555557</v>
      </c>
      <c r="AI4875" s="41" t="s">
        <v>1782</v>
      </c>
    </row>
    <row r="4876" spans="1:35" x14ac:dyDescent="0.25">
      <c r="A4876" s="36">
        <v>99914874</v>
      </c>
      <c r="B4876" s="17" t="s">
        <v>56</v>
      </c>
      <c r="C4876" t="s">
        <v>139</v>
      </c>
      <c r="D4876" t="s">
        <v>140</v>
      </c>
      <c r="G4876" s="17" t="s">
        <v>48</v>
      </c>
      <c r="H4876" s="17">
        <v>5</v>
      </c>
      <c r="K4876" t="s">
        <v>345</v>
      </c>
      <c r="L4876" t="s">
        <v>346</v>
      </c>
      <c r="M4876" t="s">
        <v>131</v>
      </c>
      <c r="N4876">
        <v>21</v>
      </c>
      <c r="O4876" t="s">
        <v>40</v>
      </c>
      <c r="P4876" t="s">
        <v>40</v>
      </c>
      <c r="Q4876" t="s">
        <v>40</v>
      </c>
      <c r="R4876" t="s">
        <v>40</v>
      </c>
      <c r="S4876" t="s">
        <v>40</v>
      </c>
      <c r="V4876" t="s">
        <v>41</v>
      </c>
      <c r="W4876" t="s">
        <v>49</v>
      </c>
      <c r="X4876" t="str">
        <f>"0591906"</f>
        <v>0591906</v>
      </c>
      <c r="Y4876" t="s">
        <v>350</v>
      </c>
      <c r="Z4876" t="s">
        <v>345</v>
      </c>
      <c r="AA4876" t="s">
        <v>346</v>
      </c>
      <c r="AB4876" t="s">
        <v>131</v>
      </c>
      <c r="AC4876" t="s">
        <v>51</v>
      </c>
      <c r="AD4876" t="s">
        <v>45</v>
      </c>
      <c r="AE4876" s="1">
        <v>22643</v>
      </c>
      <c r="AF4876">
        <v>2</v>
      </c>
      <c r="AG4876" t="s">
        <v>346</v>
      </c>
      <c r="AH4876" s="36">
        <f t="shared" si="76"/>
        <v>57.81666666666667</v>
      </c>
      <c r="AI4876" s="41" t="s">
        <v>1782</v>
      </c>
    </row>
    <row r="4877" spans="1:35" x14ac:dyDescent="0.25">
      <c r="A4877" s="36">
        <v>99914875</v>
      </c>
      <c r="B4877" s="17" t="s">
        <v>56</v>
      </c>
      <c r="C4877" t="s">
        <v>46</v>
      </c>
      <c r="D4877" t="s">
        <v>47</v>
      </c>
      <c r="G4877" s="17" t="s">
        <v>48</v>
      </c>
      <c r="H4877" s="17">
        <v>1</v>
      </c>
      <c r="K4877" t="s">
        <v>1268</v>
      </c>
      <c r="L4877" t="s">
        <v>1269</v>
      </c>
      <c r="M4877" t="s">
        <v>1270</v>
      </c>
      <c r="N4877">
        <v>1</v>
      </c>
      <c r="O4877" t="s">
        <v>40</v>
      </c>
      <c r="P4877" t="s">
        <v>40</v>
      </c>
      <c r="Q4877" t="s">
        <v>40</v>
      </c>
      <c r="S4877" t="s">
        <v>40</v>
      </c>
      <c r="V4877" t="s">
        <v>41</v>
      </c>
      <c r="W4877" t="s">
        <v>42</v>
      </c>
      <c r="X4877" t="str">
        <f>"1980050"</f>
        <v>1980050</v>
      </c>
      <c r="Y4877" t="s">
        <v>1278</v>
      </c>
      <c r="Z4877" t="s">
        <v>1268</v>
      </c>
      <c r="AA4877" t="s">
        <v>1269</v>
      </c>
      <c r="AB4877" t="s">
        <v>1270</v>
      </c>
      <c r="AC4877" t="s">
        <v>51</v>
      </c>
      <c r="AD4877" t="s">
        <v>45</v>
      </c>
      <c r="AE4877" s="1">
        <v>22640</v>
      </c>
      <c r="AF4877">
        <v>2</v>
      </c>
      <c r="AG4877" t="s">
        <v>1269</v>
      </c>
      <c r="AH4877" s="36">
        <f t="shared" si="76"/>
        <v>57.825000000000003</v>
      </c>
      <c r="AI4877" s="41" t="s">
        <v>1782</v>
      </c>
    </row>
    <row r="4878" spans="1:35" x14ac:dyDescent="0.25">
      <c r="A4878" s="36">
        <v>99914876</v>
      </c>
      <c r="B4878" s="17" t="s">
        <v>32</v>
      </c>
      <c r="C4878" t="s">
        <v>139</v>
      </c>
      <c r="D4878" t="s">
        <v>140</v>
      </c>
      <c r="G4878" s="17" t="s">
        <v>48</v>
      </c>
      <c r="H4878" s="17">
        <v>1</v>
      </c>
      <c r="K4878" t="s">
        <v>223</v>
      </c>
      <c r="L4878" t="s">
        <v>224</v>
      </c>
      <c r="M4878" t="s">
        <v>131</v>
      </c>
      <c r="N4878">
        <v>14</v>
      </c>
      <c r="O4878" t="s">
        <v>40</v>
      </c>
      <c r="P4878" t="s">
        <v>40</v>
      </c>
      <c r="Q4878" t="s">
        <v>40</v>
      </c>
      <c r="R4878" t="s">
        <v>40</v>
      </c>
      <c r="S4878" t="s">
        <v>40</v>
      </c>
      <c r="V4878" t="s">
        <v>41</v>
      </c>
      <c r="W4878" t="s">
        <v>42</v>
      </c>
      <c r="X4878" t="str">
        <f>"0580200"</f>
        <v>0580200</v>
      </c>
      <c r="Y4878" t="s">
        <v>245</v>
      </c>
      <c r="Z4878" t="s">
        <v>223</v>
      </c>
      <c r="AA4878" t="s">
        <v>224</v>
      </c>
      <c r="AB4878" t="s">
        <v>131</v>
      </c>
      <c r="AC4878" t="s">
        <v>51</v>
      </c>
      <c r="AD4878" t="s">
        <v>45</v>
      </c>
      <c r="AE4878" s="1">
        <v>22632</v>
      </c>
      <c r="AF4878">
        <v>2</v>
      </c>
      <c r="AG4878" t="s">
        <v>224</v>
      </c>
      <c r="AH4878" s="36">
        <f t="shared" si="76"/>
        <v>57.847222222222221</v>
      </c>
      <c r="AI4878" s="41" t="s">
        <v>1782</v>
      </c>
    </row>
    <row r="4879" spans="1:35" x14ac:dyDescent="0.25">
      <c r="A4879" s="36">
        <v>99914877</v>
      </c>
      <c r="B4879" s="17" t="s">
        <v>32</v>
      </c>
      <c r="C4879" t="s">
        <v>46</v>
      </c>
      <c r="D4879" t="s">
        <v>47</v>
      </c>
      <c r="G4879" s="17" t="s">
        <v>48</v>
      </c>
      <c r="H4879" s="17">
        <v>15</v>
      </c>
      <c r="K4879" t="s">
        <v>129</v>
      </c>
      <c r="L4879" t="s">
        <v>130</v>
      </c>
      <c r="M4879" t="s">
        <v>131</v>
      </c>
      <c r="N4879">
        <v>6</v>
      </c>
      <c r="O4879" t="s">
        <v>40</v>
      </c>
      <c r="P4879" t="s">
        <v>40</v>
      </c>
      <c r="Q4879" t="s">
        <v>40</v>
      </c>
      <c r="R4879" t="s">
        <v>40</v>
      </c>
      <c r="S4879" t="s">
        <v>40</v>
      </c>
      <c r="U4879" s="1">
        <v>33848</v>
      </c>
      <c r="V4879" t="s">
        <v>41</v>
      </c>
      <c r="W4879" t="s">
        <v>42</v>
      </c>
      <c r="X4879" t="str">
        <f>"0561011"</f>
        <v>0561011</v>
      </c>
      <c r="Y4879" t="s">
        <v>132</v>
      </c>
      <c r="Z4879" t="s">
        <v>129</v>
      </c>
      <c r="AA4879" t="s">
        <v>130</v>
      </c>
      <c r="AB4879" t="s">
        <v>131</v>
      </c>
      <c r="AC4879" t="s">
        <v>51</v>
      </c>
      <c r="AD4879" t="s">
        <v>45</v>
      </c>
      <c r="AE4879" s="1">
        <v>22617</v>
      </c>
      <c r="AF4879">
        <v>2</v>
      </c>
      <c r="AG4879" t="s">
        <v>130</v>
      </c>
      <c r="AH4879" s="36">
        <f t="shared" si="76"/>
        <v>57.888888888888886</v>
      </c>
      <c r="AI4879" s="41" t="s">
        <v>1782</v>
      </c>
    </row>
    <row r="4880" spans="1:35" x14ac:dyDescent="0.25">
      <c r="A4880" s="36">
        <v>99914878</v>
      </c>
      <c r="B4880" s="17" t="s">
        <v>32</v>
      </c>
      <c r="C4880" t="s">
        <v>52</v>
      </c>
      <c r="D4880" t="s">
        <v>53</v>
      </c>
      <c r="G4880" s="17" t="s">
        <v>48</v>
      </c>
      <c r="H4880" s="17">
        <v>1</v>
      </c>
      <c r="K4880" t="s">
        <v>223</v>
      </c>
      <c r="L4880" t="s">
        <v>224</v>
      </c>
      <c r="M4880" t="s">
        <v>131</v>
      </c>
      <c r="N4880">
        <v>20</v>
      </c>
      <c r="O4880" t="s">
        <v>40</v>
      </c>
      <c r="P4880" t="s">
        <v>40</v>
      </c>
      <c r="Q4880" t="s">
        <v>40</v>
      </c>
      <c r="R4880" t="s">
        <v>40</v>
      </c>
      <c r="S4880" t="s">
        <v>40</v>
      </c>
      <c r="V4880" t="s">
        <v>41</v>
      </c>
      <c r="W4880" t="s">
        <v>49</v>
      </c>
      <c r="X4880" t="str">
        <f>"0581200"</f>
        <v>0581200</v>
      </c>
      <c r="Y4880" t="s">
        <v>238</v>
      </c>
      <c r="Z4880" t="s">
        <v>223</v>
      </c>
      <c r="AA4880" t="s">
        <v>224</v>
      </c>
      <c r="AB4880" t="s">
        <v>131</v>
      </c>
      <c r="AC4880" t="s">
        <v>51</v>
      </c>
      <c r="AD4880" t="s">
        <v>45</v>
      </c>
      <c r="AE4880" s="1">
        <v>22613</v>
      </c>
      <c r="AF4880">
        <v>2</v>
      </c>
      <c r="AG4880" t="s">
        <v>224</v>
      </c>
      <c r="AH4880" s="36">
        <f t="shared" si="76"/>
        <v>57.9</v>
      </c>
      <c r="AI4880" s="41" t="s">
        <v>1782</v>
      </c>
    </row>
    <row r="4881" spans="1:35" x14ac:dyDescent="0.25">
      <c r="A4881" s="36">
        <v>99914879</v>
      </c>
      <c r="B4881" s="17" t="s">
        <v>32</v>
      </c>
      <c r="C4881" t="s">
        <v>46</v>
      </c>
      <c r="D4881" t="s">
        <v>47</v>
      </c>
      <c r="G4881" s="17" t="s">
        <v>48</v>
      </c>
      <c r="H4881" s="17">
        <v>1</v>
      </c>
      <c r="K4881" t="s">
        <v>1268</v>
      </c>
      <c r="L4881" t="s">
        <v>1269</v>
      </c>
      <c r="M4881" t="s">
        <v>1270</v>
      </c>
      <c r="N4881">
        <v>12</v>
      </c>
      <c r="O4881" t="s">
        <v>40</v>
      </c>
      <c r="P4881" t="s">
        <v>40</v>
      </c>
      <c r="Q4881" t="s">
        <v>40</v>
      </c>
      <c r="S4881" t="s">
        <v>40</v>
      </c>
      <c r="V4881" t="s">
        <v>41</v>
      </c>
      <c r="W4881" t="s">
        <v>42</v>
      </c>
      <c r="X4881" t="str">
        <f>"1990911"</f>
        <v>1990911</v>
      </c>
      <c r="Y4881" t="s">
        <v>1276</v>
      </c>
      <c r="Z4881" t="s">
        <v>1268</v>
      </c>
      <c r="AA4881" t="s">
        <v>1269</v>
      </c>
      <c r="AB4881" t="s">
        <v>1270</v>
      </c>
      <c r="AC4881" t="s">
        <v>165</v>
      </c>
      <c r="AD4881" t="s">
        <v>45</v>
      </c>
      <c r="AE4881" s="1">
        <v>22611</v>
      </c>
      <c r="AF4881">
        <v>2</v>
      </c>
      <c r="AG4881" t="s">
        <v>1269</v>
      </c>
      <c r="AH4881" s="36">
        <f t="shared" si="76"/>
        <v>57.905555555555559</v>
      </c>
      <c r="AI4881" s="41" t="s">
        <v>1782</v>
      </c>
    </row>
    <row r="4882" spans="1:35" x14ac:dyDescent="0.25">
      <c r="A4882" s="36">
        <v>99914880</v>
      </c>
      <c r="B4882" s="17" t="s">
        <v>56</v>
      </c>
      <c r="C4882" t="s">
        <v>85</v>
      </c>
      <c r="D4882" t="s">
        <v>86</v>
      </c>
      <c r="G4882" s="17" t="s">
        <v>48</v>
      </c>
      <c r="H4882" s="17">
        <v>1</v>
      </c>
      <c r="K4882" t="s">
        <v>223</v>
      </c>
      <c r="L4882" t="s">
        <v>224</v>
      </c>
      <c r="M4882" t="s">
        <v>131</v>
      </c>
      <c r="N4882">
        <v>18</v>
      </c>
      <c r="O4882" t="s">
        <v>40</v>
      </c>
      <c r="P4882" t="s">
        <v>40</v>
      </c>
      <c r="Q4882" t="s">
        <v>40</v>
      </c>
      <c r="R4882" t="s">
        <v>40</v>
      </c>
      <c r="S4882" t="s">
        <v>40</v>
      </c>
      <c r="V4882" t="s">
        <v>41</v>
      </c>
      <c r="W4882" t="s">
        <v>42</v>
      </c>
      <c r="X4882" t="str">
        <f>"0580265"</f>
        <v>0580265</v>
      </c>
      <c r="Y4882" t="s">
        <v>231</v>
      </c>
      <c r="Z4882" t="s">
        <v>223</v>
      </c>
      <c r="AA4882" t="s">
        <v>224</v>
      </c>
      <c r="AB4882" t="s">
        <v>131</v>
      </c>
      <c r="AC4882" t="s">
        <v>51</v>
      </c>
      <c r="AD4882" t="s">
        <v>45</v>
      </c>
      <c r="AE4882" s="1">
        <v>22595</v>
      </c>
      <c r="AF4882">
        <v>2</v>
      </c>
      <c r="AG4882" t="s">
        <v>224</v>
      </c>
      <c r="AH4882" s="36">
        <f t="shared" si="76"/>
        <v>57.95</v>
      </c>
      <c r="AI4882" s="41" t="s">
        <v>1782</v>
      </c>
    </row>
    <row r="4883" spans="1:35" x14ac:dyDescent="0.25">
      <c r="A4883" s="36">
        <v>99914881</v>
      </c>
      <c r="B4883" s="17" t="s">
        <v>56</v>
      </c>
      <c r="C4883" t="s">
        <v>33</v>
      </c>
      <c r="D4883" t="s">
        <v>34</v>
      </c>
      <c r="G4883" s="17" t="s">
        <v>48</v>
      </c>
      <c r="H4883" s="17">
        <v>11</v>
      </c>
      <c r="K4883" t="s">
        <v>1268</v>
      </c>
      <c r="L4883" t="s">
        <v>1269</v>
      </c>
      <c r="M4883" t="s">
        <v>1270</v>
      </c>
      <c r="N4883">
        <v>18</v>
      </c>
      <c r="O4883" t="s">
        <v>40</v>
      </c>
      <c r="P4883" t="s">
        <v>40</v>
      </c>
      <c r="Q4883" t="s">
        <v>40</v>
      </c>
      <c r="R4883" t="s">
        <v>40</v>
      </c>
      <c r="S4883" t="s">
        <v>40</v>
      </c>
      <c r="V4883" t="s">
        <v>41</v>
      </c>
      <c r="W4883" t="s">
        <v>42</v>
      </c>
      <c r="X4883" t="str">
        <f>"1980060"</f>
        <v>1980060</v>
      </c>
      <c r="Y4883" t="s">
        <v>1277</v>
      </c>
      <c r="Z4883" t="s">
        <v>1268</v>
      </c>
      <c r="AA4883" t="s">
        <v>1269</v>
      </c>
      <c r="AB4883" t="s">
        <v>1270</v>
      </c>
      <c r="AC4883" t="s">
        <v>51</v>
      </c>
      <c r="AD4883" t="s">
        <v>45</v>
      </c>
      <c r="AE4883" s="1">
        <v>22591</v>
      </c>
      <c r="AF4883">
        <v>2</v>
      </c>
      <c r="AG4883" t="s">
        <v>1269</v>
      </c>
      <c r="AH4883" s="36">
        <f t="shared" si="76"/>
        <v>57.961111111111109</v>
      </c>
      <c r="AI4883" s="41" t="s">
        <v>1782</v>
      </c>
    </row>
    <row r="4884" spans="1:35" x14ac:dyDescent="0.25">
      <c r="A4884" s="36">
        <v>99914882</v>
      </c>
      <c r="B4884" s="17" t="s">
        <v>56</v>
      </c>
      <c r="C4884" t="s">
        <v>52</v>
      </c>
      <c r="D4884" t="s">
        <v>53</v>
      </c>
      <c r="G4884" s="17" t="s">
        <v>48</v>
      </c>
      <c r="H4884" s="17">
        <v>1</v>
      </c>
      <c r="K4884" t="s">
        <v>157</v>
      </c>
      <c r="L4884" t="s">
        <v>158</v>
      </c>
      <c r="M4884" t="s">
        <v>131</v>
      </c>
      <c r="N4884">
        <v>8</v>
      </c>
      <c r="O4884" t="s">
        <v>40</v>
      </c>
      <c r="P4884" t="s">
        <v>40</v>
      </c>
      <c r="Q4884" t="s">
        <v>40</v>
      </c>
      <c r="R4884" t="s">
        <v>40</v>
      </c>
      <c r="S4884" t="s">
        <v>40</v>
      </c>
      <c r="V4884" t="s">
        <v>41</v>
      </c>
      <c r="W4884" t="s">
        <v>49</v>
      </c>
      <c r="X4884" t="str">
        <f>"0560010"</f>
        <v>0560010</v>
      </c>
      <c r="Y4884" t="s">
        <v>179</v>
      </c>
      <c r="Z4884" t="s">
        <v>157</v>
      </c>
      <c r="AA4884" t="s">
        <v>158</v>
      </c>
      <c r="AB4884" t="s">
        <v>131</v>
      </c>
      <c r="AC4884" t="s">
        <v>51</v>
      </c>
      <c r="AD4884" t="s">
        <v>45</v>
      </c>
      <c r="AE4884" s="1">
        <v>22589</v>
      </c>
      <c r="AF4884">
        <v>2</v>
      </c>
      <c r="AG4884" t="s">
        <v>158</v>
      </c>
      <c r="AH4884" s="36">
        <f t="shared" si="76"/>
        <v>57.966666666666669</v>
      </c>
      <c r="AI4884" s="41" t="s">
        <v>1782</v>
      </c>
    </row>
    <row r="4885" spans="1:35" x14ac:dyDescent="0.25">
      <c r="A4885" s="36">
        <v>99914883</v>
      </c>
      <c r="B4885" s="17" t="s">
        <v>32</v>
      </c>
      <c r="C4885" t="s">
        <v>64</v>
      </c>
      <c r="D4885" t="s">
        <v>65</v>
      </c>
      <c r="G4885" s="17" t="s">
        <v>35</v>
      </c>
      <c r="H4885" s="17">
        <v>1</v>
      </c>
      <c r="I4885">
        <v>0</v>
      </c>
      <c r="J4885" s="1">
        <v>43344</v>
      </c>
      <c r="K4885" t="s">
        <v>223</v>
      </c>
      <c r="L4885" t="s">
        <v>224</v>
      </c>
      <c r="M4885" t="s">
        <v>131</v>
      </c>
      <c r="N4885">
        <v>13</v>
      </c>
      <c r="O4885" t="s">
        <v>40</v>
      </c>
      <c r="P4885" t="s">
        <v>40</v>
      </c>
      <c r="Q4885" t="s">
        <v>40</v>
      </c>
      <c r="S4885" t="s">
        <v>40</v>
      </c>
      <c r="U4885" s="1">
        <v>43344</v>
      </c>
      <c r="V4885" t="s">
        <v>41</v>
      </c>
      <c r="W4885" t="s">
        <v>49</v>
      </c>
      <c r="X4885" t="str">
        <f>"0591901"</f>
        <v>0591901</v>
      </c>
      <c r="Y4885" t="s">
        <v>230</v>
      </c>
      <c r="Z4885" t="s">
        <v>223</v>
      </c>
      <c r="AA4885" t="s">
        <v>224</v>
      </c>
      <c r="AB4885" t="s">
        <v>131</v>
      </c>
      <c r="AC4885" t="s">
        <v>44</v>
      </c>
      <c r="AD4885" t="s">
        <v>45</v>
      </c>
      <c r="AE4885" s="1">
        <v>22585</v>
      </c>
      <c r="AF4885">
        <v>2</v>
      </c>
      <c r="AG4885" t="s">
        <v>224</v>
      </c>
      <c r="AH4885" s="36">
        <f t="shared" si="76"/>
        <v>57.977777777777774</v>
      </c>
      <c r="AI4885" s="41" t="s">
        <v>1782</v>
      </c>
    </row>
    <row r="4886" spans="1:35" x14ac:dyDescent="0.25">
      <c r="A4886" s="36">
        <v>99914884</v>
      </c>
      <c r="B4886" s="17" t="s">
        <v>32</v>
      </c>
      <c r="C4886" t="s">
        <v>290</v>
      </c>
      <c r="D4886" t="s">
        <v>291</v>
      </c>
      <c r="E4886" t="s">
        <v>145</v>
      </c>
      <c r="F4886" t="s">
        <v>146</v>
      </c>
      <c r="G4886" s="17" t="s">
        <v>35</v>
      </c>
      <c r="H4886" s="17">
        <v>1</v>
      </c>
      <c r="K4886" t="s">
        <v>223</v>
      </c>
      <c r="L4886" t="s">
        <v>224</v>
      </c>
      <c r="M4886" t="s">
        <v>131</v>
      </c>
      <c r="N4886">
        <v>22</v>
      </c>
      <c r="O4886" t="s">
        <v>40</v>
      </c>
      <c r="P4886" t="s">
        <v>40</v>
      </c>
      <c r="Q4886" t="s">
        <v>40</v>
      </c>
      <c r="R4886" t="s">
        <v>40</v>
      </c>
      <c r="S4886" t="s">
        <v>40</v>
      </c>
      <c r="V4886" t="s">
        <v>41</v>
      </c>
      <c r="W4886" t="s">
        <v>49</v>
      </c>
      <c r="X4886" t="str">
        <f>"0591901"</f>
        <v>0591901</v>
      </c>
      <c r="Y4886" t="s">
        <v>230</v>
      </c>
      <c r="Z4886" t="s">
        <v>223</v>
      </c>
      <c r="AA4886" t="s">
        <v>224</v>
      </c>
      <c r="AB4886" t="s">
        <v>131</v>
      </c>
      <c r="AC4886" t="s">
        <v>51</v>
      </c>
      <c r="AD4886" t="s">
        <v>45</v>
      </c>
      <c r="AE4886" s="1">
        <v>22584</v>
      </c>
      <c r="AF4886">
        <v>2</v>
      </c>
      <c r="AG4886" t="s">
        <v>224</v>
      </c>
      <c r="AH4886" s="36">
        <f t="shared" si="76"/>
        <v>57.980555555555554</v>
      </c>
      <c r="AI4886" s="41" t="s">
        <v>1782</v>
      </c>
    </row>
    <row r="4887" spans="1:35" x14ac:dyDescent="0.25">
      <c r="A4887" s="36">
        <v>99914885</v>
      </c>
      <c r="B4887" s="17" t="s">
        <v>32</v>
      </c>
      <c r="C4887" t="s">
        <v>139</v>
      </c>
      <c r="D4887" t="s">
        <v>140</v>
      </c>
      <c r="G4887" s="17" t="s">
        <v>48</v>
      </c>
      <c r="H4887" s="17">
        <v>1</v>
      </c>
      <c r="K4887" t="s">
        <v>1051</v>
      </c>
      <c r="L4887" t="s">
        <v>1052</v>
      </c>
      <c r="M4887" t="s">
        <v>1053</v>
      </c>
      <c r="N4887">
        <v>15</v>
      </c>
      <c r="O4887" t="s">
        <v>40</v>
      </c>
      <c r="P4887" t="s">
        <v>40</v>
      </c>
      <c r="Q4887" t="s">
        <v>40</v>
      </c>
      <c r="R4887" t="s">
        <v>40</v>
      </c>
      <c r="S4887" t="s">
        <v>40</v>
      </c>
      <c r="V4887" t="s">
        <v>41</v>
      </c>
      <c r="W4887" t="s">
        <v>49</v>
      </c>
      <c r="X4887" t="str">
        <f>"2080025"</f>
        <v>2080025</v>
      </c>
      <c r="Y4887" t="s">
        <v>1057</v>
      </c>
      <c r="Z4887" t="s">
        <v>1051</v>
      </c>
      <c r="AA4887" t="s">
        <v>1052</v>
      </c>
      <c r="AB4887" t="s">
        <v>1053</v>
      </c>
      <c r="AC4887" t="s">
        <v>51</v>
      </c>
      <c r="AD4887" t="s">
        <v>45</v>
      </c>
      <c r="AE4887" s="1">
        <v>22584</v>
      </c>
      <c r="AF4887">
        <v>2</v>
      </c>
      <c r="AG4887" t="s">
        <v>1052</v>
      </c>
      <c r="AH4887" s="36">
        <f t="shared" si="76"/>
        <v>57.980555555555554</v>
      </c>
      <c r="AI4887" s="41" t="s">
        <v>1782</v>
      </c>
    </row>
    <row r="4888" spans="1:35" x14ac:dyDescent="0.25">
      <c r="A4888" s="36">
        <v>99914886</v>
      </c>
      <c r="B4888" s="17" t="s">
        <v>32</v>
      </c>
      <c r="C4888" t="s">
        <v>85</v>
      </c>
      <c r="D4888" t="s">
        <v>86</v>
      </c>
      <c r="G4888" s="17" t="s">
        <v>35</v>
      </c>
      <c r="H4888" s="17">
        <v>1</v>
      </c>
      <c r="K4888" t="s">
        <v>223</v>
      </c>
      <c r="L4888" t="s">
        <v>224</v>
      </c>
      <c r="M4888" t="s">
        <v>131</v>
      </c>
      <c r="N4888">
        <v>18</v>
      </c>
      <c r="O4888" t="s">
        <v>40</v>
      </c>
      <c r="P4888" t="s">
        <v>40</v>
      </c>
      <c r="Q4888" t="s">
        <v>40</v>
      </c>
      <c r="S4888" t="s">
        <v>40</v>
      </c>
      <c r="V4888" t="s">
        <v>41</v>
      </c>
      <c r="W4888" t="s">
        <v>49</v>
      </c>
      <c r="X4888" t="str">
        <f>"0581207"</f>
        <v>0581207</v>
      </c>
      <c r="Y4888" t="s">
        <v>233</v>
      </c>
      <c r="Z4888" t="s">
        <v>223</v>
      </c>
      <c r="AA4888" t="s">
        <v>224</v>
      </c>
      <c r="AB4888" t="s">
        <v>131</v>
      </c>
      <c r="AC4888" t="s">
        <v>165</v>
      </c>
      <c r="AD4888" t="s">
        <v>45</v>
      </c>
      <c r="AE4888" s="1">
        <v>22583</v>
      </c>
      <c r="AF4888">
        <v>2</v>
      </c>
      <c r="AG4888" t="s">
        <v>224</v>
      </c>
      <c r="AH4888" s="36">
        <f t="shared" si="76"/>
        <v>57.983333333333334</v>
      </c>
      <c r="AI4888" s="41" t="s">
        <v>1782</v>
      </c>
    </row>
    <row r="4889" spans="1:35" x14ac:dyDescent="0.25">
      <c r="A4889" s="36">
        <v>99914887</v>
      </c>
      <c r="B4889" s="17" t="s">
        <v>32</v>
      </c>
      <c r="C4889" t="s">
        <v>145</v>
      </c>
      <c r="D4889" t="s">
        <v>146</v>
      </c>
      <c r="G4889" s="17" t="s">
        <v>48</v>
      </c>
      <c r="H4889" s="17">
        <v>1</v>
      </c>
      <c r="K4889" t="s">
        <v>345</v>
      </c>
      <c r="L4889" t="s">
        <v>346</v>
      </c>
      <c r="M4889" t="s">
        <v>131</v>
      </c>
      <c r="N4889">
        <v>18</v>
      </c>
      <c r="O4889" t="s">
        <v>40</v>
      </c>
      <c r="P4889" t="s">
        <v>40</v>
      </c>
      <c r="Q4889" t="s">
        <v>40</v>
      </c>
      <c r="S4889" t="s">
        <v>40</v>
      </c>
      <c r="V4889" t="s">
        <v>41</v>
      </c>
      <c r="W4889" t="s">
        <v>42</v>
      </c>
      <c r="X4889" t="str">
        <f>"0590906"</f>
        <v>0590906</v>
      </c>
      <c r="Y4889" t="s">
        <v>361</v>
      </c>
      <c r="Z4889" t="s">
        <v>345</v>
      </c>
      <c r="AA4889" t="s">
        <v>346</v>
      </c>
      <c r="AB4889" t="s">
        <v>131</v>
      </c>
      <c r="AC4889" t="s">
        <v>51</v>
      </c>
      <c r="AD4889" t="s">
        <v>45</v>
      </c>
      <c r="AE4889" s="1">
        <v>22581</v>
      </c>
      <c r="AF4889">
        <v>2</v>
      </c>
      <c r="AG4889" t="s">
        <v>346</v>
      </c>
      <c r="AH4889" s="36">
        <f t="shared" si="76"/>
        <v>57.988888888888887</v>
      </c>
      <c r="AI4889" s="41" t="s">
        <v>1782</v>
      </c>
    </row>
    <row r="4890" spans="1:35" x14ac:dyDescent="0.25">
      <c r="A4890" s="36">
        <v>99914888</v>
      </c>
      <c r="B4890" s="17" t="s">
        <v>32</v>
      </c>
      <c r="C4890" t="s">
        <v>64</v>
      </c>
      <c r="D4890" t="s">
        <v>65</v>
      </c>
      <c r="G4890" s="17" t="s">
        <v>48</v>
      </c>
      <c r="H4890" s="17">
        <v>1</v>
      </c>
      <c r="K4890" t="s">
        <v>223</v>
      </c>
      <c r="L4890" t="s">
        <v>224</v>
      </c>
      <c r="M4890" t="s">
        <v>131</v>
      </c>
      <c r="N4890">
        <v>18</v>
      </c>
      <c r="O4890" t="s">
        <v>40</v>
      </c>
      <c r="P4890" t="s">
        <v>40</v>
      </c>
      <c r="Q4890" t="s">
        <v>40</v>
      </c>
      <c r="R4890" t="s">
        <v>40</v>
      </c>
      <c r="S4890" t="s">
        <v>40</v>
      </c>
      <c r="V4890" t="s">
        <v>41</v>
      </c>
      <c r="W4890" t="s">
        <v>49</v>
      </c>
      <c r="X4890" t="str">
        <f>"0581202"</f>
        <v>0581202</v>
      </c>
      <c r="Y4890" t="s">
        <v>248</v>
      </c>
      <c r="Z4890" t="s">
        <v>223</v>
      </c>
      <c r="AA4890" t="s">
        <v>224</v>
      </c>
      <c r="AB4890" t="s">
        <v>131</v>
      </c>
      <c r="AC4890" t="s">
        <v>165</v>
      </c>
      <c r="AD4890" t="s">
        <v>45</v>
      </c>
      <c r="AE4890" s="1">
        <v>22579</v>
      </c>
      <c r="AF4890">
        <v>2</v>
      </c>
      <c r="AG4890" t="s">
        <v>224</v>
      </c>
      <c r="AH4890" s="36">
        <f t="shared" si="76"/>
        <v>57.994444444444447</v>
      </c>
      <c r="AI4890" s="41" t="s">
        <v>1782</v>
      </c>
    </row>
    <row r="4891" spans="1:35" x14ac:dyDescent="0.25">
      <c r="A4891" s="36">
        <v>99914889</v>
      </c>
      <c r="B4891" s="17" t="s">
        <v>32</v>
      </c>
      <c r="C4891" t="s">
        <v>64</v>
      </c>
      <c r="D4891" t="s">
        <v>65</v>
      </c>
      <c r="G4891" s="17" t="s">
        <v>35</v>
      </c>
      <c r="H4891" s="17">
        <v>1</v>
      </c>
      <c r="K4891" t="s">
        <v>268</v>
      </c>
      <c r="L4891" t="s">
        <v>269</v>
      </c>
      <c r="M4891" t="s">
        <v>131</v>
      </c>
      <c r="N4891">
        <v>21</v>
      </c>
      <c r="O4891" t="s">
        <v>40</v>
      </c>
      <c r="P4891" t="s">
        <v>40</v>
      </c>
      <c r="Q4891" t="s">
        <v>40</v>
      </c>
      <c r="R4891" t="s">
        <v>40</v>
      </c>
      <c r="S4891" t="s">
        <v>40</v>
      </c>
      <c r="V4891" t="s">
        <v>41</v>
      </c>
      <c r="W4891" t="s">
        <v>75</v>
      </c>
      <c r="X4891" t="str">
        <f>"7052000"</f>
        <v>7052000</v>
      </c>
      <c r="Y4891" t="s">
        <v>656</v>
      </c>
      <c r="Z4891" t="s">
        <v>268</v>
      </c>
      <c r="AA4891" t="s">
        <v>269</v>
      </c>
      <c r="AB4891" t="s">
        <v>131</v>
      </c>
      <c r="AC4891" t="s">
        <v>51</v>
      </c>
      <c r="AD4891" t="s">
        <v>45</v>
      </c>
      <c r="AE4891" s="1">
        <v>22579</v>
      </c>
      <c r="AF4891">
        <v>1</v>
      </c>
      <c r="AG4891" t="s">
        <v>269</v>
      </c>
      <c r="AH4891" s="36">
        <f t="shared" si="76"/>
        <v>57.994444444444447</v>
      </c>
      <c r="AI4891" s="41" t="s">
        <v>1782</v>
      </c>
    </row>
    <row r="4892" spans="1:35" x14ac:dyDescent="0.25">
      <c r="A4892" s="36">
        <v>99914890</v>
      </c>
      <c r="B4892" s="17" t="s">
        <v>56</v>
      </c>
      <c r="C4892" t="s">
        <v>68</v>
      </c>
      <c r="D4892" t="s">
        <v>69</v>
      </c>
      <c r="G4892" s="17" t="s">
        <v>48</v>
      </c>
      <c r="H4892" s="17">
        <v>1</v>
      </c>
      <c r="K4892" t="s">
        <v>223</v>
      </c>
      <c r="L4892" t="s">
        <v>224</v>
      </c>
      <c r="M4892" t="s">
        <v>131</v>
      </c>
      <c r="N4892">
        <v>18</v>
      </c>
      <c r="O4892" t="s">
        <v>40</v>
      </c>
      <c r="P4892" t="s">
        <v>40</v>
      </c>
      <c r="Q4892" t="s">
        <v>40</v>
      </c>
      <c r="S4892" t="s">
        <v>40</v>
      </c>
      <c r="V4892" t="s">
        <v>41</v>
      </c>
      <c r="W4892" t="s">
        <v>42</v>
      </c>
      <c r="X4892" t="str">
        <f>"0580265"</f>
        <v>0580265</v>
      </c>
      <c r="Y4892" t="s">
        <v>231</v>
      </c>
      <c r="Z4892" t="s">
        <v>223</v>
      </c>
      <c r="AA4892" t="s">
        <v>224</v>
      </c>
      <c r="AB4892" t="s">
        <v>131</v>
      </c>
      <c r="AC4892" t="s">
        <v>51</v>
      </c>
      <c r="AD4892" t="s">
        <v>45</v>
      </c>
      <c r="AE4892" s="1">
        <v>22572</v>
      </c>
      <c r="AF4892">
        <v>2</v>
      </c>
      <c r="AG4892" t="s">
        <v>224</v>
      </c>
      <c r="AH4892" s="36">
        <f t="shared" si="76"/>
        <v>58.013888888888886</v>
      </c>
      <c r="AI4892" s="41" t="s">
        <v>1782</v>
      </c>
    </row>
    <row r="4893" spans="1:35" x14ac:dyDescent="0.25">
      <c r="A4893" s="36">
        <v>99914891</v>
      </c>
      <c r="B4893" s="17" t="s">
        <v>32</v>
      </c>
      <c r="C4893" t="s">
        <v>139</v>
      </c>
      <c r="D4893" t="s">
        <v>140</v>
      </c>
      <c r="G4893" s="17" t="s">
        <v>48</v>
      </c>
      <c r="H4893" s="17">
        <v>1</v>
      </c>
      <c r="K4893" t="s">
        <v>223</v>
      </c>
      <c r="L4893" t="s">
        <v>224</v>
      </c>
      <c r="M4893" t="s">
        <v>131</v>
      </c>
      <c r="N4893">
        <v>18</v>
      </c>
      <c r="O4893" t="s">
        <v>40</v>
      </c>
      <c r="P4893" t="s">
        <v>40</v>
      </c>
      <c r="Q4893" t="s">
        <v>40</v>
      </c>
      <c r="R4893" t="s">
        <v>40</v>
      </c>
      <c r="S4893" t="s">
        <v>40</v>
      </c>
      <c r="V4893" t="s">
        <v>41</v>
      </c>
      <c r="W4893" t="s">
        <v>49</v>
      </c>
      <c r="X4893" t="str">
        <f>"0581202"</f>
        <v>0581202</v>
      </c>
      <c r="Y4893" t="s">
        <v>248</v>
      </c>
      <c r="Z4893" t="s">
        <v>223</v>
      </c>
      <c r="AA4893" t="s">
        <v>224</v>
      </c>
      <c r="AB4893" t="s">
        <v>131</v>
      </c>
      <c r="AC4893" t="s">
        <v>165</v>
      </c>
      <c r="AD4893" t="s">
        <v>45</v>
      </c>
      <c r="AE4893" s="1">
        <v>22568</v>
      </c>
      <c r="AF4893">
        <v>2</v>
      </c>
      <c r="AG4893" t="s">
        <v>224</v>
      </c>
      <c r="AH4893" s="36">
        <f t="shared" si="76"/>
        <v>58.024999999999999</v>
      </c>
      <c r="AI4893" s="41" t="s">
        <v>1782</v>
      </c>
    </row>
    <row r="4894" spans="1:35" x14ac:dyDescent="0.25">
      <c r="A4894" s="36">
        <v>99914892</v>
      </c>
      <c r="B4894" s="17" t="s">
        <v>56</v>
      </c>
      <c r="C4894" t="s">
        <v>151</v>
      </c>
      <c r="D4894" t="s">
        <v>152</v>
      </c>
      <c r="G4894" s="17" t="s">
        <v>48</v>
      </c>
      <c r="H4894" s="17">
        <v>1</v>
      </c>
      <c r="K4894" t="s">
        <v>345</v>
      </c>
      <c r="L4894" t="s">
        <v>346</v>
      </c>
      <c r="M4894" t="s">
        <v>131</v>
      </c>
      <c r="N4894">
        <v>21</v>
      </c>
      <c r="O4894" t="s">
        <v>40</v>
      </c>
      <c r="P4894" t="s">
        <v>40</v>
      </c>
      <c r="Q4894" t="s">
        <v>40</v>
      </c>
      <c r="R4894" t="s">
        <v>40</v>
      </c>
      <c r="S4894" t="s">
        <v>40</v>
      </c>
      <c r="V4894" t="s">
        <v>41</v>
      </c>
      <c r="W4894" t="s">
        <v>49</v>
      </c>
      <c r="X4894" t="str">
        <f>"0561021"</f>
        <v>0561021</v>
      </c>
      <c r="Y4894" t="s">
        <v>352</v>
      </c>
      <c r="Z4894" t="s">
        <v>345</v>
      </c>
      <c r="AA4894" t="s">
        <v>346</v>
      </c>
      <c r="AB4894" t="s">
        <v>131</v>
      </c>
      <c r="AC4894" t="s">
        <v>51</v>
      </c>
      <c r="AD4894" t="s">
        <v>45</v>
      </c>
      <c r="AE4894" s="1">
        <v>22565</v>
      </c>
      <c r="AF4894">
        <v>2</v>
      </c>
      <c r="AG4894" t="s">
        <v>346</v>
      </c>
      <c r="AH4894" s="36">
        <f t="shared" si="76"/>
        <v>58.033333333333331</v>
      </c>
      <c r="AI4894" s="41" t="s">
        <v>1782</v>
      </c>
    </row>
    <row r="4895" spans="1:35" x14ac:dyDescent="0.25">
      <c r="A4895" s="36">
        <v>99914893</v>
      </c>
      <c r="B4895" s="17" t="s">
        <v>56</v>
      </c>
      <c r="C4895" t="s">
        <v>141</v>
      </c>
      <c r="D4895" t="s">
        <v>142</v>
      </c>
      <c r="G4895" s="17" t="s">
        <v>48</v>
      </c>
      <c r="H4895" s="17">
        <v>1</v>
      </c>
      <c r="K4895" t="s">
        <v>300</v>
      </c>
      <c r="L4895" t="s">
        <v>301</v>
      </c>
      <c r="M4895" t="s">
        <v>131</v>
      </c>
      <c r="N4895">
        <v>3</v>
      </c>
      <c r="O4895" t="s">
        <v>40</v>
      </c>
      <c r="P4895" t="s">
        <v>40</v>
      </c>
      <c r="Q4895" t="s">
        <v>40</v>
      </c>
      <c r="R4895" t="s">
        <v>40</v>
      </c>
      <c r="S4895" t="s">
        <v>40</v>
      </c>
      <c r="V4895" t="s">
        <v>41</v>
      </c>
      <c r="W4895" t="s">
        <v>49</v>
      </c>
      <c r="X4895" t="str">
        <f>"0560013"</f>
        <v>0560013</v>
      </c>
      <c r="Y4895" t="s">
        <v>324</v>
      </c>
      <c r="Z4895" t="s">
        <v>300</v>
      </c>
      <c r="AA4895" t="s">
        <v>301</v>
      </c>
      <c r="AB4895" t="s">
        <v>131</v>
      </c>
      <c r="AC4895" t="s">
        <v>51</v>
      </c>
      <c r="AD4895" t="s">
        <v>45</v>
      </c>
      <c r="AE4895" s="1">
        <v>22564</v>
      </c>
      <c r="AF4895">
        <v>2</v>
      </c>
      <c r="AG4895" t="s">
        <v>301</v>
      </c>
      <c r="AH4895" s="36">
        <f t="shared" si="76"/>
        <v>58.036111111111111</v>
      </c>
      <c r="AI4895" s="41" t="s">
        <v>1782</v>
      </c>
    </row>
    <row r="4896" spans="1:35" x14ac:dyDescent="0.25">
      <c r="A4896" s="36">
        <v>99914894</v>
      </c>
      <c r="B4896" s="17" t="s">
        <v>32</v>
      </c>
      <c r="C4896" t="s">
        <v>111</v>
      </c>
      <c r="D4896" t="s">
        <v>112</v>
      </c>
      <c r="G4896" s="17" t="s">
        <v>35</v>
      </c>
      <c r="H4896" s="17">
        <v>19</v>
      </c>
      <c r="K4896" t="s">
        <v>268</v>
      </c>
      <c r="L4896" t="s">
        <v>269</v>
      </c>
      <c r="M4896" t="s">
        <v>131</v>
      </c>
      <c r="N4896">
        <v>21</v>
      </c>
      <c r="O4896" t="s">
        <v>40</v>
      </c>
      <c r="P4896" t="s">
        <v>40</v>
      </c>
      <c r="Q4896" t="s">
        <v>40</v>
      </c>
      <c r="R4896" t="s">
        <v>40</v>
      </c>
      <c r="S4896" t="s">
        <v>40</v>
      </c>
      <c r="V4896" t="s">
        <v>41</v>
      </c>
      <c r="W4896" t="s">
        <v>75</v>
      </c>
      <c r="X4896" t="str">
        <f>"7052006"</f>
        <v>7052006</v>
      </c>
      <c r="Y4896" t="s">
        <v>575</v>
      </c>
      <c r="Z4896" t="s">
        <v>268</v>
      </c>
      <c r="AA4896" t="s">
        <v>269</v>
      </c>
      <c r="AB4896" t="s">
        <v>131</v>
      </c>
      <c r="AC4896" t="s">
        <v>165</v>
      </c>
      <c r="AD4896" t="s">
        <v>45</v>
      </c>
      <c r="AE4896" s="1">
        <v>22563</v>
      </c>
      <c r="AF4896">
        <v>1</v>
      </c>
      <c r="AG4896" t="s">
        <v>269</v>
      </c>
      <c r="AH4896" s="36">
        <f t="shared" si="76"/>
        <v>58.038888888888891</v>
      </c>
      <c r="AI4896" s="41" t="s">
        <v>1782</v>
      </c>
    </row>
    <row r="4897" spans="1:35" x14ac:dyDescent="0.25">
      <c r="A4897" s="36">
        <v>99914895</v>
      </c>
      <c r="B4897" s="17" t="s">
        <v>32</v>
      </c>
      <c r="C4897" t="s">
        <v>64</v>
      </c>
      <c r="D4897" t="s">
        <v>65</v>
      </c>
      <c r="G4897" s="17" t="s">
        <v>35</v>
      </c>
      <c r="H4897" s="17">
        <v>13</v>
      </c>
      <c r="K4897" t="s">
        <v>268</v>
      </c>
      <c r="L4897" t="s">
        <v>269</v>
      </c>
      <c r="M4897" t="s">
        <v>131</v>
      </c>
      <c r="N4897">
        <v>17</v>
      </c>
      <c r="O4897" t="s">
        <v>40</v>
      </c>
      <c r="P4897" t="s">
        <v>40</v>
      </c>
      <c r="Q4897" t="s">
        <v>40</v>
      </c>
      <c r="R4897" t="s">
        <v>40</v>
      </c>
      <c r="S4897" t="s">
        <v>40</v>
      </c>
      <c r="V4897" t="s">
        <v>41</v>
      </c>
      <c r="W4897" t="s">
        <v>75</v>
      </c>
      <c r="X4897" t="str">
        <f>"7052002"</f>
        <v>7052002</v>
      </c>
      <c r="Y4897" t="s">
        <v>590</v>
      </c>
      <c r="Z4897" t="s">
        <v>268</v>
      </c>
      <c r="AA4897" t="s">
        <v>269</v>
      </c>
      <c r="AB4897" t="s">
        <v>131</v>
      </c>
      <c r="AC4897" t="s">
        <v>51</v>
      </c>
      <c r="AD4897" t="s">
        <v>45</v>
      </c>
      <c r="AE4897" s="1">
        <v>22555</v>
      </c>
      <c r="AF4897">
        <v>1</v>
      </c>
      <c r="AG4897" t="s">
        <v>269</v>
      </c>
      <c r="AH4897" s="36">
        <f t="shared" si="76"/>
        <v>58.06111111111111</v>
      </c>
      <c r="AI4897" s="41" t="s">
        <v>1782</v>
      </c>
    </row>
    <row r="4898" spans="1:35" x14ac:dyDescent="0.25">
      <c r="A4898" s="36">
        <v>99914896</v>
      </c>
      <c r="B4898" s="17" t="s">
        <v>32</v>
      </c>
      <c r="C4898" t="s">
        <v>139</v>
      </c>
      <c r="D4898" t="s">
        <v>140</v>
      </c>
      <c r="G4898" s="17" t="s">
        <v>35</v>
      </c>
      <c r="H4898" s="17">
        <v>1</v>
      </c>
      <c r="I4898" t="s">
        <v>643</v>
      </c>
      <c r="J4898" s="1">
        <v>43344</v>
      </c>
      <c r="K4898" t="s">
        <v>268</v>
      </c>
      <c r="L4898" t="s">
        <v>269</v>
      </c>
      <c r="M4898" t="s">
        <v>131</v>
      </c>
      <c r="N4898">
        <v>13</v>
      </c>
      <c r="O4898" t="s">
        <v>40</v>
      </c>
      <c r="S4898" t="s">
        <v>40</v>
      </c>
      <c r="U4898" s="1">
        <v>43344</v>
      </c>
      <c r="V4898" t="s">
        <v>41</v>
      </c>
      <c r="W4898" t="s">
        <v>75</v>
      </c>
      <c r="X4898" t="str">
        <f>"7052020"</f>
        <v>7052020</v>
      </c>
      <c r="Y4898" t="s">
        <v>267</v>
      </c>
      <c r="Z4898" t="s">
        <v>268</v>
      </c>
      <c r="AA4898" t="s">
        <v>269</v>
      </c>
      <c r="AB4898" t="s">
        <v>131</v>
      </c>
      <c r="AC4898" t="s">
        <v>51</v>
      </c>
      <c r="AD4898" t="s">
        <v>45</v>
      </c>
      <c r="AE4898" s="1">
        <v>22555</v>
      </c>
      <c r="AF4898">
        <v>1</v>
      </c>
      <c r="AG4898" t="s">
        <v>269</v>
      </c>
      <c r="AH4898" s="36">
        <f t="shared" si="76"/>
        <v>58.06111111111111</v>
      </c>
      <c r="AI4898" s="41" t="s">
        <v>1782</v>
      </c>
    </row>
    <row r="4899" spans="1:35" x14ac:dyDescent="0.25">
      <c r="A4899" s="36">
        <v>99914897</v>
      </c>
      <c r="B4899" s="17" t="s">
        <v>32</v>
      </c>
      <c r="C4899" t="s">
        <v>46</v>
      </c>
      <c r="D4899" t="s">
        <v>47</v>
      </c>
      <c r="G4899" s="17" t="s">
        <v>48</v>
      </c>
      <c r="H4899" s="17">
        <v>16</v>
      </c>
      <c r="K4899" t="s">
        <v>1268</v>
      </c>
      <c r="L4899" t="s">
        <v>1269</v>
      </c>
      <c r="M4899" t="s">
        <v>1270</v>
      </c>
      <c r="N4899">
        <v>18</v>
      </c>
      <c r="O4899" t="s">
        <v>40</v>
      </c>
      <c r="P4899" t="s">
        <v>40</v>
      </c>
      <c r="Q4899" t="s">
        <v>40</v>
      </c>
      <c r="R4899" t="s">
        <v>40</v>
      </c>
      <c r="S4899" t="s">
        <v>40</v>
      </c>
      <c r="V4899" t="s">
        <v>41</v>
      </c>
      <c r="W4899" t="s">
        <v>49</v>
      </c>
      <c r="X4899" t="str">
        <f>"1960001"</f>
        <v>1960001</v>
      </c>
      <c r="Y4899" t="s">
        <v>1272</v>
      </c>
      <c r="Z4899" t="s">
        <v>1268</v>
      </c>
      <c r="AA4899" t="s">
        <v>1269</v>
      </c>
      <c r="AB4899" t="s">
        <v>1270</v>
      </c>
      <c r="AC4899" t="s">
        <v>51</v>
      </c>
      <c r="AD4899" t="s">
        <v>45</v>
      </c>
      <c r="AE4899" s="1">
        <v>22555</v>
      </c>
      <c r="AF4899">
        <v>2</v>
      </c>
      <c r="AG4899" t="s">
        <v>1269</v>
      </c>
      <c r="AH4899" s="36">
        <f t="shared" si="76"/>
        <v>58.06111111111111</v>
      </c>
      <c r="AI4899" s="41" t="s">
        <v>1782</v>
      </c>
    </row>
    <row r="4900" spans="1:35" x14ac:dyDescent="0.25">
      <c r="A4900" s="36">
        <v>99914898</v>
      </c>
      <c r="B4900" s="17" t="s">
        <v>56</v>
      </c>
      <c r="C4900" t="s">
        <v>33</v>
      </c>
      <c r="D4900" t="s">
        <v>34</v>
      </c>
      <c r="G4900" s="17" t="s">
        <v>48</v>
      </c>
      <c r="H4900" s="17">
        <v>1</v>
      </c>
      <c r="K4900" t="s">
        <v>157</v>
      </c>
      <c r="L4900" t="s">
        <v>158</v>
      </c>
      <c r="M4900" t="s">
        <v>131</v>
      </c>
      <c r="N4900">
        <v>20</v>
      </c>
      <c r="O4900" t="s">
        <v>40</v>
      </c>
      <c r="P4900" t="s">
        <v>40</v>
      </c>
      <c r="Q4900" t="s">
        <v>40</v>
      </c>
      <c r="S4900" t="s">
        <v>40</v>
      </c>
      <c r="V4900" t="s">
        <v>41</v>
      </c>
      <c r="W4900" t="s">
        <v>42</v>
      </c>
      <c r="X4900" t="str">
        <f>"0580735"</f>
        <v>0580735</v>
      </c>
      <c r="Y4900" t="s">
        <v>180</v>
      </c>
      <c r="Z4900" t="s">
        <v>157</v>
      </c>
      <c r="AA4900" t="s">
        <v>158</v>
      </c>
      <c r="AB4900" t="s">
        <v>131</v>
      </c>
      <c r="AC4900" t="s">
        <v>51</v>
      </c>
      <c r="AD4900" t="s">
        <v>45</v>
      </c>
      <c r="AE4900" s="1">
        <v>22546</v>
      </c>
      <c r="AF4900">
        <v>2</v>
      </c>
      <c r="AG4900" t="s">
        <v>158</v>
      </c>
      <c r="AH4900" s="36">
        <f t="shared" si="76"/>
        <v>58.086111111111109</v>
      </c>
      <c r="AI4900" s="41" t="s">
        <v>1782</v>
      </c>
    </row>
    <row r="4901" spans="1:35" x14ac:dyDescent="0.25">
      <c r="A4901" s="36">
        <v>99914899</v>
      </c>
      <c r="B4901" s="17" t="s">
        <v>32</v>
      </c>
      <c r="C4901" t="s">
        <v>71</v>
      </c>
      <c r="D4901" t="s">
        <v>72</v>
      </c>
      <c r="G4901" s="17" t="s">
        <v>48</v>
      </c>
      <c r="H4901" s="17">
        <v>1</v>
      </c>
      <c r="K4901" t="s">
        <v>223</v>
      </c>
      <c r="L4901" t="s">
        <v>224</v>
      </c>
      <c r="M4901" t="s">
        <v>131</v>
      </c>
      <c r="N4901">
        <v>12</v>
      </c>
      <c r="O4901" t="s">
        <v>40</v>
      </c>
      <c r="P4901" t="s">
        <v>40</v>
      </c>
      <c r="Q4901" t="s">
        <v>40</v>
      </c>
      <c r="R4901" t="s">
        <v>40</v>
      </c>
      <c r="S4901" t="s">
        <v>40</v>
      </c>
      <c r="V4901" t="s">
        <v>41</v>
      </c>
      <c r="W4901" t="s">
        <v>49</v>
      </c>
      <c r="X4901" t="str">
        <f>"0581200"</f>
        <v>0581200</v>
      </c>
      <c r="Y4901" t="s">
        <v>238</v>
      </c>
      <c r="Z4901" t="s">
        <v>223</v>
      </c>
      <c r="AA4901" t="s">
        <v>224</v>
      </c>
      <c r="AB4901" t="s">
        <v>131</v>
      </c>
      <c r="AC4901" t="s">
        <v>51</v>
      </c>
      <c r="AD4901" t="s">
        <v>45</v>
      </c>
      <c r="AE4901" s="1">
        <v>22546</v>
      </c>
      <c r="AF4901">
        <v>2</v>
      </c>
      <c r="AG4901" t="s">
        <v>224</v>
      </c>
      <c r="AH4901" s="36">
        <f t="shared" si="76"/>
        <v>58.086111111111109</v>
      </c>
      <c r="AI4901" s="41" t="s">
        <v>1782</v>
      </c>
    </row>
    <row r="4902" spans="1:35" x14ac:dyDescent="0.25">
      <c r="A4902" s="36">
        <v>99914900</v>
      </c>
      <c r="B4902" s="17" t="s">
        <v>56</v>
      </c>
      <c r="C4902" t="s">
        <v>111</v>
      </c>
      <c r="D4902" t="s">
        <v>112</v>
      </c>
      <c r="G4902" s="17" t="s">
        <v>35</v>
      </c>
      <c r="H4902" s="17">
        <v>1</v>
      </c>
      <c r="I4902" s="1">
        <v>40057</v>
      </c>
      <c r="J4902" s="1">
        <v>43344</v>
      </c>
      <c r="K4902" t="s">
        <v>1341</v>
      </c>
      <c r="L4902" t="s">
        <v>1342</v>
      </c>
      <c r="M4902" t="s">
        <v>1270</v>
      </c>
      <c r="N4902">
        <v>24</v>
      </c>
      <c r="O4902" t="s">
        <v>40</v>
      </c>
      <c r="S4902" t="s">
        <v>40</v>
      </c>
      <c r="U4902" s="1">
        <v>43344</v>
      </c>
      <c r="V4902" t="s">
        <v>41</v>
      </c>
      <c r="W4902" t="s">
        <v>75</v>
      </c>
      <c r="X4902" t="str">
        <f>"7191004"</f>
        <v>7191004</v>
      </c>
      <c r="Y4902" t="s">
        <v>1344</v>
      </c>
      <c r="Z4902" t="s">
        <v>1341</v>
      </c>
      <c r="AA4902" t="s">
        <v>1342</v>
      </c>
      <c r="AB4902" t="s">
        <v>1270</v>
      </c>
      <c r="AC4902" t="s">
        <v>51</v>
      </c>
      <c r="AD4902" t="s">
        <v>45</v>
      </c>
      <c r="AE4902" s="1">
        <v>22543</v>
      </c>
      <c r="AF4902">
        <v>1</v>
      </c>
      <c r="AG4902" t="s">
        <v>1342</v>
      </c>
      <c r="AH4902" s="36">
        <f t="shared" si="76"/>
        <v>58.094444444444441</v>
      </c>
      <c r="AI4902" s="41" t="s">
        <v>1782</v>
      </c>
    </row>
    <row r="4903" spans="1:35" x14ac:dyDescent="0.25">
      <c r="A4903" s="36">
        <v>99914901</v>
      </c>
      <c r="B4903" s="17" t="s">
        <v>56</v>
      </c>
      <c r="C4903" t="s">
        <v>52</v>
      </c>
      <c r="D4903" t="s">
        <v>53</v>
      </c>
      <c r="G4903" s="17" t="s">
        <v>48</v>
      </c>
      <c r="H4903" s="17">
        <v>1</v>
      </c>
      <c r="K4903" t="s">
        <v>157</v>
      </c>
      <c r="L4903" t="s">
        <v>158</v>
      </c>
      <c r="M4903" t="s">
        <v>131</v>
      </c>
      <c r="N4903">
        <v>20</v>
      </c>
      <c r="O4903" t="s">
        <v>40</v>
      </c>
      <c r="P4903" t="s">
        <v>40</v>
      </c>
      <c r="Q4903" t="s">
        <v>40</v>
      </c>
      <c r="R4903" t="s">
        <v>40</v>
      </c>
      <c r="S4903" t="s">
        <v>40</v>
      </c>
      <c r="V4903" t="s">
        <v>41</v>
      </c>
      <c r="W4903" t="s">
        <v>42</v>
      </c>
      <c r="X4903" t="str">
        <f>"0580735"</f>
        <v>0580735</v>
      </c>
      <c r="Y4903" t="s">
        <v>180</v>
      </c>
      <c r="Z4903" t="s">
        <v>157</v>
      </c>
      <c r="AA4903" t="s">
        <v>158</v>
      </c>
      <c r="AB4903" t="s">
        <v>131</v>
      </c>
      <c r="AC4903" t="s">
        <v>51</v>
      </c>
      <c r="AD4903" t="s">
        <v>45</v>
      </c>
      <c r="AE4903" s="1">
        <v>22541</v>
      </c>
      <c r="AF4903">
        <v>2</v>
      </c>
      <c r="AG4903" t="s">
        <v>158</v>
      </c>
      <c r="AH4903" s="36">
        <f t="shared" si="76"/>
        <v>58.1</v>
      </c>
      <c r="AI4903" s="41" t="s">
        <v>1782</v>
      </c>
    </row>
    <row r="4904" spans="1:35" x14ac:dyDescent="0.25">
      <c r="A4904" s="36">
        <v>99914902</v>
      </c>
      <c r="B4904" s="17" t="s">
        <v>56</v>
      </c>
      <c r="C4904" t="s">
        <v>52</v>
      </c>
      <c r="D4904" t="s">
        <v>53</v>
      </c>
      <c r="G4904" s="17" t="s">
        <v>48</v>
      </c>
      <c r="H4904" s="17">
        <v>1</v>
      </c>
      <c r="K4904" t="s">
        <v>345</v>
      </c>
      <c r="L4904" t="s">
        <v>346</v>
      </c>
      <c r="M4904" t="s">
        <v>131</v>
      </c>
      <c r="N4904">
        <v>18</v>
      </c>
      <c r="O4904" t="s">
        <v>40</v>
      </c>
      <c r="P4904" t="s">
        <v>40</v>
      </c>
      <c r="Q4904" t="s">
        <v>40</v>
      </c>
      <c r="R4904" t="s">
        <v>40</v>
      </c>
      <c r="S4904" t="s">
        <v>40</v>
      </c>
      <c r="V4904" t="s">
        <v>41</v>
      </c>
      <c r="W4904" t="s">
        <v>49</v>
      </c>
      <c r="X4904" t="str">
        <f>"0591906"</f>
        <v>0591906</v>
      </c>
      <c r="Y4904" t="s">
        <v>350</v>
      </c>
      <c r="Z4904" t="s">
        <v>345</v>
      </c>
      <c r="AA4904" t="s">
        <v>346</v>
      </c>
      <c r="AB4904" t="s">
        <v>131</v>
      </c>
      <c r="AC4904" t="s">
        <v>51</v>
      </c>
      <c r="AD4904" t="s">
        <v>45</v>
      </c>
      <c r="AE4904" s="1">
        <v>22540</v>
      </c>
      <c r="AF4904">
        <v>2</v>
      </c>
      <c r="AG4904" t="s">
        <v>346</v>
      </c>
      <c r="AH4904" s="36">
        <f t="shared" si="76"/>
        <v>58.102777777777774</v>
      </c>
      <c r="AI4904" s="41" t="s">
        <v>1782</v>
      </c>
    </row>
    <row r="4905" spans="1:35" x14ac:dyDescent="0.25">
      <c r="A4905" s="36">
        <v>99914903</v>
      </c>
      <c r="B4905" s="17" t="s">
        <v>56</v>
      </c>
      <c r="C4905" t="s">
        <v>85</v>
      </c>
      <c r="D4905" t="s">
        <v>86</v>
      </c>
      <c r="G4905" s="17" t="s">
        <v>48</v>
      </c>
      <c r="H4905" s="17">
        <v>1</v>
      </c>
      <c r="K4905" t="s">
        <v>223</v>
      </c>
      <c r="L4905" t="s">
        <v>224</v>
      </c>
      <c r="M4905" t="s">
        <v>131</v>
      </c>
      <c r="N4905">
        <v>14</v>
      </c>
      <c r="O4905" t="s">
        <v>40</v>
      </c>
      <c r="P4905" t="s">
        <v>40</v>
      </c>
      <c r="Q4905" t="s">
        <v>40</v>
      </c>
      <c r="S4905" t="s">
        <v>40</v>
      </c>
      <c r="V4905" t="s">
        <v>41</v>
      </c>
      <c r="W4905" t="s">
        <v>42</v>
      </c>
      <c r="X4905" t="str">
        <f>"0580202"</f>
        <v>0580202</v>
      </c>
      <c r="Y4905" t="s">
        <v>240</v>
      </c>
      <c r="Z4905" t="s">
        <v>223</v>
      </c>
      <c r="AA4905" t="s">
        <v>224</v>
      </c>
      <c r="AB4905" t="s">
        <v>131</v>
      </c>
      <c r="AC4905" t="s">
        <v>51</v>
      </c>
      <c r="AD4905" t="s">
        <v>45</v>
      </c>
      <c r="AE4905" s="1">
        <v>22525</v>
      </c>
      <c r="AF4905">
        <v>2</v>
      </c>
      <c r="AG4905" t="s">
        <v>224</v>
      </c>
      <c r="AH4905" s="36">
        <f t="shared" si="76"/>
        <v>58.144444444444446</v>
      </c>
      <c r="AI4905" s="41" t="s">
        <v>1782</v>
      </c>
    </row>
    <row r="4906" spans="1:35" x14ac:dyDescent="0.25">
      <c r="A4906" s="36">
        <v>99914904</v>
      </c>
      <c r="B4906" s="17" t="s">
        <v>32</v>
      </c>
      <c r="C4906" t="s">
        <v>46</v>
      </c>
      <c r="D4906" t="s">
        <v>47</v>
      </c>
      <c r="G4906" s="17" t="s">
        <v>48</v>
      </c>
      <c r="H4906" s="17">
        <v>1</v>
      </c>
      <c r="K4906" t="s">
        <v>223</v>
      </c>
      <c r="L4906" t="s">
        <v>224</v>
      </c>
      <c r="M4906" t="s">
        <v>131</v>
      </c>
      <c r="N4906">
        <v>18</v>
      </c>
      <c r="O4906" t="s">
        <v>40</v>
      </c>
      <c r="P4906" t="s">
        <v>40</v>
      </c>
      <c r="Q4906" t="s">
        <v>40</v>
      </c>
      <c r="R4906" t="s">
        <v>40</v>
      </c>
      <c r="S4906" t="s">
        <v>40</v>
      </c>
      <c r="V4906" t="s">
        <v>41</v>
      </c>
      <c r="W4906" t="s">
        <v>49</v>
      </c>
      <c r="X4906" t="str">
        <f>"0581200"</f>
        <v>0581200</v>
      </c>
      <c r="Y4906" t="s">
        <v>238</v>
      </c>
      <c r="Z4906" t="s">
        <v>223</v>
      </c>
      <c r="AA4906" t="s">
        <v>224</v>
      </c>
      <c r="AB4906" t="s">
        <v>131</v>
      </c>
      <c r="AC4906" t="s">
        <v>51</v>
      </c>
      <c r="AD4906" t="s">
        <v>45</v>
      </c>
      <c r="AE4906" s="1">
        <v>22524</v>
      </c>
      <c r="AF4906">
        <v>2</v>
      </c>
      <c r="AG4906" t="s">
        <v>224</v>
      </c>
      <c r="AH4906" s="36">
        <f t="shared" si="76"/>
        <v>58.147222222222226</v>
      </c>
      <c r="AI4906" s="41" t="s">
        <v>1782</v>
      </c>
    </row>
    <row r="4907" spans="1:35" x14ac:dyDescent="0.25">
      <c r="A4907" s="36">
        <v>99914905</v>
      </c>
      <c r="B4907" s="17" t="s">
        <v>56</v>
      </c>
      <c r="C4907" t="s">
        <v>52</v>
      </c>
      <c r="D4907" t="s">
        <v>53</v>
      </c>
      <c r="G4907" s="17" t="s">
        <v>48</v>
      </c>
      <c r="H4907" s="17">
        <v>1</v>
      </c>
      <c r="K4907" t="s">
        <v>300</v>
      </c>
      <c r="L4907" t="s">
        <v>301</v>
      </c>
      <c r="M4907" t="s">
        <v>131</v>
      </c>
      <c r="N4907">
        <v>22</v>
      </c>
      <c r="O4907" t="s">
        <v>40</v>
      </c>
      <c r="P4907" t="s">
        <v>40</v>
      </c>
      <c r="Q4907" t="s">
        <v>40</v>
      </c>
      <c r="R4907" t="s">
        <v>40</v>
      </c>
      <c r="S4907" t="s">
        <v>40</v>
      </c>
      <c r="V4907" t="s">
        <v>41</v>
      </c>
      <c r="W4907" t="s">
        <v>49</v>
      </c>
      <c r="X4907" t="str">
        <f>"0560029"</f>
        <v>0560029</v>
      </c>
      <c r="Y4907" t="s">
        <v>309</v>
      </c>
      <c r="Z4907" t="s">
        <v>300</v>
      </c>
      <c r="AA4907" t="s">
        <v>301</v>
      </c>
      <c r="AB4907" t="s">
        <v>131</v>
      </c>
      <c r="AC4907" t="s">
        <v>51</v>
      </c>
      <c r="AD4907" t="s">
        <v>45</v>
      </c>
      <c r="AE4907" s="1">
        <v>22523</v>
      </c>
      <c r="AF4907">
        <v>2</v>
      </c>
      <c r="AG4907" t="s">
        <v>301</v>
      </c>
      <c r="AH4907" s="36">
        <f t="shared" si="76"/>
        <v>58.15</v>
      </c>
      <c r="AI4907" s="41" t="s">
        <v>1782</v>
      </c>
    </row>
    <row r="4908" spans="1:35" x14ac:dyDescent="0.25">
      <c r="A4908" s="36">
        <v>99914906</v>
      </c>
      <c r="B4908" s="17" t="s">
        <v>32</v>
      </c>
      <c r="C4908" t="s">
        <v>82</v>
      </c>
      <c r="D4908" t="s">
        <v>83</v>
      </c>
      <c r="G4908" s="17" t="s">
        <v>48</v>
      </c>
      <c r="H4908" s="17">
        <v>1</v>
      </c>
      <c r="K4908" t="s">
        <v>223</v>
      </c>
      <c r="L4908" t="s">
        <v>224</v>
      </c>
      <c r="M4908" t="s">
        <v>131</v>
      </c>
      <c r="N4908">
        <v>2</v>
      </c>
      <c r="O4908" t="s">
        <v>40</v>
      </c>
      <c r="P4908" t="s">
        <v>40</v>
      </c>
      <c r="Q4908" t="s">
        <v>40</v>
      </c>
      <c r="S4908" t="s">
        <v>40</v>
      </c>
      <c r="V4908" t="s">
        <v>41</v>
      </c>
      <c r="W4908" t="s">
        <v>42</v>
      </c>
      <c r="X4908" t="str">
        <f>"0561007"</f>
        <v>0561007</v>
      </c>
      <c r="Y4908" t="s">
        <v>262</v>
      </c>
      <c r="Z4908" t="s">
        <v>223</v>
      </c>
      <c r="AA4908" t="s">
        <v>224</v>
      </c>
      <c r="AB4908" t="s">
        <v>131</v>
      </c>
      <c r="AC4908" t="s">
        <v>51</v>
      </c>
      <c r="AD4908" t="s">
        <v>45</v>
      </c>
      <c r="AE4908" s="1">
        <v>22520</v>
      </c>
      <c r="AF4908">
        <v>2</v>
      </c>
      <c r="AG4908" t="s">
        <v>224</v>
      </c>
      <c r="AH4908" s="36">
        <f t="shared" si="76"/>
        <v>58.158333333333331</v>
      </c>
      <c r="AI4908" s="41" t="s">
        <v>1782</v>
      </c>
    </row>
    <row r="4909" spans="1:35" x14ac:dyDescent="0.25">
      <c r="A4909" s="36">
        <v>99914907</v>
      </c>
      <c r="B4909" s="17" t="s">
        <v>32</v>
      </c>
      <c r="C4909" t="s">
        <v>139</v>
      </c>
      <c r="D4909" t="s">
        <v>140</v>
      </c>
      <c r="G4909" s="17" t="s">
        <v>48</v>
      </c>
      <c r="H4909" s="17">
        <v>1</v>
      </c>
      <c r="K4909" t="s">
        <v>154</v>
      </c>
      <c r="L4909" t="s">
        <v>155</v>
      </c>
      <c r="M4909" t="s">
        <v>131</v>
      </c>
      <c r="N4909">
        <v>5</v>
      </c>
      <c r="O4909" t="s">
        <v>40</v>
      </c>
      <c r="P4909" t="s">
        <v>40</v>
      </c>
      <c r="Q4909" t="s">
        <v>40</v>
      </c>
      <c r="R4909" t="s">
        <v>40</v>
      </c>
      <c r="S4909" t="s">
        <v>40</v>
      </c>
      <c r="V4909" t="s">
        <v>41</v>
      </c>
      <c r="W4909" t="s">
        <v>75</v>
      </c>
      <c r="X4909" t="str">
        <f>"7700026"</f>
        <v>7700026</v>
      </c>
      <c r="Y4909" t="s">
        <v>397</v>
      </c>
      <c r="Z4909" t="s">
        <v>154</v>
      </c>
      <c r="AA4909" t="s">
        <v>155</v>
      </c>
      <c r="AB4909" t="s">
        <v>131</v>
      </c>
      <c r="AC4909" t="s">
        <v>51</v>
      </c>
      <c r="AD4909" t="s">
        <v>45</v>
      </c>
      <c r="AE4909" s="1">
        <v>22499</v>
      </c>
      <c r="AF4909">
        <v>1</v>
      </c>
      <c r="AG4909" t="s">
        <v>155</v>
      </c>
      <c r="AH4909" s="36">
        <f t="shared" si="76"/>
        <v>58.216666666666669</v>
      </c>
      <c r="AI4909" s="41" t="s">
        <v>1782</v>
      </c>
    </row>
    <row r="4910" spans="1:35" x14ac:dyDescent="0.25">
      <c r="A4910" s="36">
        <v>99914908</v>
      </c>
      <c r="B4910" s="17" t="s">
        <v>32</v>
      </c>
      <c r="C4910" t="s">
        <v>64</v>
      </c>
      <c r="D4910" t="s">
        <v>65</v>
      </c>
      <c r="G4910" s="17" t="s">
        <v>48</v>
      </c>
      <c r="H4910" s="17">
        <v>1</v>
      </c>
      <c r="K4910" t="s">
        <v>223</v>
      </c>
      <c r="L4910" t="s">
        <v>224</v>
      </c>
      <c r="M4910" t="s">
        <v>131</v>
      </c>
      <c r="N4910">
        <v>16</v>
      </c>
      <c r="O4910" t="s">
        <v>40</v>
      </c>
      <c r="P4910" t="s">
        <v>40</v>
      </c>
      <c r="Q4910" t="s">
        <v>40</v>
      </c>
      <c r="R4910" t="s">
        <v>40</v>
      </c>
      <c r="S4910" t="s">
        <v>40</v>
      </c>
      <c r="V4910" t="s">
        <v>41</v>
      </c>
      <c r="W4910" t="s">
        <v>42</v>
      </c>
      <c r="X4910" t="str">
        <f>"0580204"</f>
        <v>0580204</v>
      </c>
      <c r="Y4910" t="s">
        <v>235</v>
      </c>
      <c r="Z4910" t="s">
        <v>223</v>
      </c>
      <c r="AA4910" t="s">
        <v>224</v>
      </c>
      <c r="AB4910" t="s">
        <v>131</v>
      </c>
      <c r="AC4910" t="s">
        <v>165</v>
      </c>
      <c r="AD4910" t="s">
        <v>45</v>
      </c>
      <c r="AE4910" s="1">
        <v>22478</v>
      </c>
      <c r="AF4910">
        <v>2</v>
      </c>
      <c r="AG4910" t="s">
        <v>224</v>
      </c>
      <c r="AH4910" s="36">
        <f t="shared" si="76"/>
        <v>58.274999999999999</v>
      </c>
      <c r="AI4910" s="41" t="s">
        <v>1782</v>
      </c>
    </row>
    <row r="4911" spans="1:35" x14ac:dyDescent="0.25">
      <c r="A4911" s="36">
        <v>99914909</v>
      </c>
      <c r="B4911" s="17" t="s">
        <v>32</v>
      </c>
      <c r="C4911" t="s">
        <v>64</v>
      </c>
      <c r="D4911" t="s">
        <v>65</v>
      </c>
      <c r="G4911" s="17" t="s">
        <v>35</v>
      </c>
      <c r="H4911" s="17">
        <v>1</v>
      </c>
      <c r="I4911">
        <v>1</v>
      </c>
      <c r="J4911" s="1">
        <v>43406</v>
      </c>
      <c r="K4911" t="s">
        <v>1341</v>
      </c>
      <c r="L4911" t="s">
        <v>1342</v>
      </c>
      <c r="M4911" t="s">
        <v>1270</v>
      </c>
      <c r="N4911">
        <v>24</v>
      </c>
      <c r="O4911" t="s">
        <v>40</v>
      </c>
      <c r="S4911" t="s">
        <v>40</v>
      </c>
      <c r="U4911" s="1">
        <v>43406</v>
      </c>
      <c r="V4911" t="s">
        <v>41</v>
      </c>
      <c r="W4911" t="s">
        <v>75</v>
      </c>
      <c r="X4911" t="str">
        <f>"7700012"</f>
        <v>7700012</v>
      </c>
      <c r="Y4911" t="s">
        <v>1357</v>
      </c>
      <c r="Z4911" t="s">
        <v>1341</v>
      </c>
      <c r="AA4911" t="s">
        <v>1342</v>
      </c>
      <c r="AB4911" t="s">
        <v>1270</v>
      </c>
      <c r="AC4911" t="s">
        <v>51</v>
      </c>
      <c r="AD4911" t="s">
        <v>45</v>
      </c>
      <c r="AE4911" s="1">
        <v>22476</v>
      </c>
      <c r="AF4911">
        <v>1</v>
      </c>
      <c r="AG4911" t="s">
        <v>1342</v>
      </c>
      <c r="AH4911" s="36">
        <f t="shared" si="76"/>
        <v>58.280555555555559</v>
      </c>
      <c r="AI4911" s="41" t="s">
        <v>1782</v>
      </c>
    </row>
    <row r="4912" spans="1:35" x14ac:dyDescent="0.25">
      <c r="A4912" s="36">
        <v>99914910</v>
      </c>
      <c r="B4912" s="17" t="s">
        <v>56</v>
      </c>
      <c r="C4912" t="s">
        <v>52</v>
      </c>
      <c r="D4912" t="s">
        <v>53</v>
      </c>
      <c r="G4912" s="17" t="s">
        <v>35</v>
      </c>
      <c r="H4912" s="17">
        <v>1</v>
      </c>
      <c r="I4912">
        <v>0</v>
      </c>
      <c r="J4912" s="1">
        <v>43344</v>
      </c>
      <c r="K4912" t="s">
        <v>223</v>
      </c>
      <c r="L4912" t="s">
        <v>224</v>
      </c>
      <c r="M4912" t="s">
        <v>131</v>
      </c>
      <c r="N4912">
        <v>20</v>
      </c>
      <c r="O4912" t="s">
        <v>40</v>
      </c>
      <c r="S4912" t="s">
        <v>40</v>
      </c>
      <c r="U4912" s="1">
        <v>43344</v>
      </c>
      <c r="V4912" t="s">
        <v>41</v>
      </c>
      <c r="W4912" t="s">
        <v>42</v>
      </c>
      <c r="X4912" t="str">
        <f>"0580206"</f>
        <v>0580206</v>
      </c>
      <c r="Y4912" t="s">
        <v>237</v>
      </c>
      <c r="Z4912" t="s">
        <v>223</v>
      </c>
      <c r="AA4912" t="s">
        <v>224</v>
      </c>
      <c r="AB4912" t="s">
        <v>131</v>
      </c>
      <c r="AC4912" t="s">
        <v>51</v>
      </c>
      <c r="AD4912" t="s">
        <v>45</v>
      </c>
      <c r="AE4912" s="1">
        <v>22475</v>
      </c>
      <c r="AF4912">
        <v>2</v>
      </c>
      <c r="AG4912" t="s">
        <v>224</v>
      </c>
      <c r="AH4912" s="36">
        <f t="shared" si="76"/>
        <v>58.283333333333331</v>
      </c>
      <c r="AI4912" s="41" t="s">
        <v>1782</v>
      </c>
    </row>
    <row r="4913" spans="1:35" x14ac:dyDescent="0.25">
      <c r="A4913" s="36">
        <v>99914911</v>
      </c>
      <c r="B4913" s="17" t="s">
        <v>56</v>
      </c>
      <c r="C4913" t="s">
        <v>46</v>
      </c>
      <c r="D4913" t="s">
        <v>47</v>
      </c>
      <c r="G4913" s="17" t="s">
        <v>48</v>
      </c>
      <c r="H4913" s="17">
        <v>1</v>
      </c>
      <c r="K4913" t="s">
        <v>157</v>
      </c>
      <c r="L4913" t="s">
        <v>158</v>
      </c>
      <c r="M4913" t="s">
        <v>131</v>
      </c>
      <c r="N4913">
        <v>18</v>
      </c>
      <c r="O4913" t="s">
        <v>40</v>
      </c>
      <c r="P4913" t="s">
        <v>40</v>
      </c>
      <c r="Q4913" t="s">
        <v>40</v>
      </c>
      <c r="S4913" t="s">
        <v>40</v>
      </c>
      <c r="V4913" t="s">
        <v>41</v>
      </c>
      <c r="W4913" t="s">
        <v>42</v>
      </c>
      <c r="X4913" t="str">
        <f>"0580290"</f>
        <v>0580290</v>
      </c>
      <c r="Y4913" t="s">
        <v>171</v>
      </c>
      <c r="Z4913" t="s">
        <v>157</v>
      </c>
      <c r="AA4913" t="s">
        <v>158</v>
      </c>
      <c r="AB4913" t="s">
        <v>131</v>
      </c>
      <c r="AC4913" t="s">
        <v>51</v>
      </c>
      <c r="AD4913" t="s">
        <v>45</v>
      </c>
      <c r="AE4913" s="1">
        <v>22473</v>
      </c>
      <c r="AF4913">
        <v>2</v>
      </c>
      <c r="AG4913" t="s">
        <v>158</v>
      </c>
      <c r="AH4913" s="36">
        <f t="shared" si="76"/>
        <v>58.288888888888891</v>
      </c>
      <c r="AI4913" s="41" t="s">
        <v>1782</v>
      </c>
    </row>
    <row r="4914" spans="1:35" x14ac:dyDescent="0.25">
      <c r="A4914" s="36">
        <v>99914912</v>
      </c>
      <c r="B4914" s="17" t="s">
        <v>32</v>
      </c>
      <c r="C4914" t="s">
        <v>79</v>
      </c>
      <c r="D4914" t="s">
        <v>80</v>
      </c>
      <c r="G4914" s="17" t="s">
        <v>48</v>
      </c>
      <c r="H4914" s="17">
        <v>1</v>
      </c>
      <c r="K4914" t="s">
        <v>157</v>
      </c>
      <c r="L4914" t="s">
        <v>158</v>
      </c>
      <c r="M4914" t="s">
        <v>131</v>
      </c>
      <c r="N4914">
        <v>16</v>
      </c>
      <c r="O4914" t="s">
        <v>40</v>
      </c>
      <c r="P4914" t="s">
        <v>40</v>
      </c>
      <c r="Q4914" t="s">
        <v>40</v>
      </c>
      <c r="R4914" t="s">
        <v>40</v>
      </c>
      <c r="S4914" t="s">
        <v>40</v>
      </c>
      <c r="V4914" t="s">
        <v>41</v>
      </c>
      <c r="W4914" t="s">
        <v>49</v>
      </c>
      <c r="X4914" t="str">
        <f>"0560010"</f>
        <v>0560010</v>
      </c>
      <c r="Y4914" t="s">
        <v>179</v>
      </c>
      <c r="Z4914" t="s">
        <v>157</v>
      </c>
      <c r="AA4914" t="s">
        <v>158</v>
      </c>
      <c r="AB4914" t="s">
        <v>131</v>
      </c>
      <c r="AC4914" t="s">
        <v>51</v>
      </c>
      <c r="AD4914" t="s">
        <v>45</v>
      </c>
      <c r="AE4914" s="1">
        <v>22471</v>
      </c>
      <c r="AF4914">
        <v>2</v>
      </c>
      <c r="AG4914" t="s">
        <v>158</v>
      </c>
      <c r="AH4914" s="36">
        <f t="shared" si="76"/>
        <v>58.294444444444444</v>
      </c>
      <c r="AI4914" s="41" t="s">
        <v>1782</v>
      </c>
    </row>
    <row r="4915" spans="1:35" x14ac:dyDescent="0.25">
      <c r="A4915" s="36">
        <v>99914913</v>
      </c>
      <c r="B4915" s="17" t="s">
        <v>32</v>
      </c>
      <c r="C4915" t="s">
        <v>52</v>
      </c>
      <c r="D4915" t="s">
        <v>53</v>
      </c>
      <c r="G4915" s="17" t="s">
        <v>48</v>
      </c>
      <c r="H4915" s="17">
        <v>14</v>
      </c>
      <c r="K4915" t="s">
        <v>129</v>
      </c>
      <c r="L4915" t="s">
        <v>130</v>
      </c>
      <c r="M4915" t="s">
        <v>131</v>
      </c>
      <c r="N4915">
        <v>18</v>
      </c>
      <c r="O4915" t="s">
        <v>40</v>
      </c>
      <c r="P4915" t="s">
        <v>40</v>
      </c>
      <c r="Q4915" t="s">
        <v>40</v>
      </c>
      <c r="R4915" t="s">
        <v>40</v>
      </c>
      <c r="S4915" t="s">
        <v>40</v>
      </c>
      <c r="U4915" s="1">
        <v>33848</v>
      </c>
      <c r="V4915" t="s">
        <v>41</v>
      </c>
      <c r="W4915" t="s">
        <v>49</v>
      </c>
      <c r="X4915" t="str">
        <f>"0580150"</f>
        <v>0580150</v>
      </c>
      <c r="Y4915" t="s">
        <v>134</v>
      </c>
      <c r="Z4915" t="s">
        <v>129</v>
      </c>
      <c r="AA4915" t="s">
        <v>130</v>
      </c>
      <c r="AB4915" t="s">
        <v>131</v>
      </c>
      <c r="AC4915" t="s">
        <v>51</v>
      </c>
      <c r="AD4915" t="s">
        <v>45</v>
      </c>
      <c r="AE4915" s="1">
        <v>22469</v>
      </c>
      <c r="AF4915">
        <v>2</v>
      </c>
      <c r="AG4915" t="s">
        <v>130</v>
      </c>
      <c r="AH4915" s="36">
        <f t="shared" si="76"/>
        <v>58.3</v>
      </c>
      <c r="AI4915" s="41" t="s">
        <v>1782</v>
      </c>
    </row>
    <row r="4916" spans="1:35" x14ac:dyDescent="0.25">
      <c r="A4916" s="36">
        <v>99914914</v>
      </c>
      <c r="B4916" s="17" t="s">
        <v>32</v>
      </c>
      <c r="C4916" t="s">
        <v>46</v>
      </c>
      <c r="D4916" t="s">
        <v>47</v>
      </c>
      <c r="G4916" s="17" t="s">
        <v>48</v>
      </c>
      <c r="H4916" s="17">
        <v>13</v>
      </c>
      <c r="K4916" t="s">
        <v>129</v>
      </c>
      <c r="L4916" t="s">
        <v>130</v>
      </c>
      <c r="M4916" t="s">
        <v>131</v>
      </c>
      <c r="N4916">
        <v>18</v>
      </c>
      <c r="O4916" t="s">
        <v>40</v>
      </c>
      <c r="P4916" t="s">
        <v>40</v>
      </c>
      <c r="Q4916" t="s">
        <v>40</v>
      </c>
      <c r="R4916" t="s">
        <v>40</v>
      </c>
      <c r="S4916" t="s">
        <v>40</v>
      </c>
      <c r="U4916" s="1">
        <v>33117</v>
      </c>
      <c r="V4916" t="s">
        <v>41</v>
      </c>
      <c r="W4916" t="s">
        <v>49</v>
      </c>
      <c r="X4916" t="str">
        <f>"0580150"</f>
        <v>0580150</v>
      </c>
      <c r="Y4916" t="s">
        <v>134</v>
      </c>
      <c r="Z4916" t="s">
        <v>129</v>
      </c>
      <c r="AA4916" t="s">
        <v>130</v>
      </c>
      <c r="AB4916" t="s">
        <v>131</v>
      </c>
      <c r="AC4916" t="s">
        <v>51</v>
      </c>
      <c r="AD4916" t="s">
        <v>45</v>
      </c>
      <c r="AE4916" s="1">
        <v>22468</v>
      </c>
      <c r="AF4916">
        <v>2</v>
      </c>
      <c r="AG4916" t="s">
        <v>130</v>
      </c>
      <c r="AH4916" s="36">
        <f t="shared" si="76"/>
        <v>58.302777777777777</v>
      </c>
      <c r="AI4916" s="41" t="s">
        <v>1782</v>
      </c>
    </row>
    <row r="4917" spans="1:35" x14ac:dyDescent="0.25">
      <c r="A4917" s="36">
        <v>99914915</v>
      </c>
      <c r="B4917" s="17" t="s">
        <v>56</v>
      </c>
      <c r="C4917" t="s">
        <v>33</v>
      </c>
      <c r="D4917" t="s">
        <v>34</v>
      </c>
      <c r="G4917" s="17" t="s">
        <v>48</v>
      </c>
      <c r="H4917" s="17">
        <v>1</v>
      </c>
      <c r="K4917" t="s">
        <v>162</v>
      </c>
      <c r="L4917" t="s">
        <v>158</v>
      </c>
      <c r="M4917" t="s">
        <v>131</v>
      </c>
      <c r="N4917">
        <v>7</v>
      </c>
      <c r="O4917" t="s">
        <v>40</v>
      </c>
      <c r="P4917" t="s">
        <v>40</v>
      </c>
      <c r="Q4917" t="s">
        <v>40</v>
      </c>
      <c r="R4917" t="s">
        <v>40</v>
      </c>
      <c r="S4917" t="s">
        <v>40</v>
      </c>
      <c r="V4917" t="s">
        <v>41</v>
      </c>
      <c r="W4917" t="s">
        <v>42</v>
      </c>
      <c r="X4917" t="str">
        <f>"0580310"</f>
        <v>0580310</v>
      </c>
      <c r="Y4917" t="s">
        <v>173</v>
      </c>
      <c r="Z4917" t="s">
        <v>162</v>
      </c>
      <c r="AA4917" t="s">
        <v>158</v>
      </c>
      <c r="AB4917" t="s">
        <v>131</v>
      </c>
      <c r="AC4917" t="s">
        <v>51</v>
      </c>
      <c r="AD4917" t="s">
        <v>45</v>
      </c>
      <c r="AE4917" s="1">
        <v>22463</v>
      </c>
      <c r="AF4917">
        <v>2</v>
      </c>
      <c r="AG4917" t="s">
        <v>158</v>
      </c>
      <c r="AH4917" s="36">
        <f t="shared" si="76"/>
        <v>58.31666666666667</v>
      </c>
      <c r="AI4917" s="41" t="s">
        <v>1782</v>
      </c>
    </row>
    <row r="4918" spans="1:35" x14ac:dyDescent="0.25">
      <c r="A4918" s="36">
        <v>99914916</v>
      </c>
      <c r="B4918" s="17" t="s">
        <v>32</v>
      </c>
      <c r="C4918" t="s">
        <v>141</v>
      </c>
      <c r="D4918" t="s">
        <v>142</v>
      </c>
      <c r="G4918" s="17" t="s">
        <v>48</v>
      </c>
      <c r="H4918" s="17">
        <v>1</v>
      </c>
      <c r="K4918" t="s">
        <v>1268</v>
      </c>
      <c r="L4918" t="s">
        <v>1269</v>
      </c>
      <c r="M4918" t="s">
        <v>1270</v>
      </c>
      <c r="N4918">
        <v>18</v>
      </c>
      <c r="O4918" t="s">
        <v>40</v>
      </c>
      <c r="P4918" t="s">
        <v>40</v>
      </c>
      <c r="Q4918" t="s">
        <v>40</v>
      </c>
      <c r="S4918" t="s">
        <v>40</v>
      </c>
      <c r="V4918" t="s">
        <v>41</v>
      </c>
      <c r="W4918" t="s">
        <v>49</v>
      </c>
      <c r="X4918" t="str">
        <f>"1981914"</f>
        <v>1981914</v>
      </c>
      <c r="Y4918" t="s">
        <v>1287</v>
      </c>
      <c r="Z4918" t="s">
        <v>1268</v>
      </c>
      <c r="AA4918" t="s">
        <v>1269</v>
      </c>
      <c r="AB4918" t="s">
        <v>1270</v>
      </c>
      <c r="AC4918" t="s">
        <v>51</v>
      </c>
      <c r="AD4918" t="s">
        <v>45</v>
      </c>
      <c r="AE4918" s="1">
        <v>22462</v>
      </c>
      <c r="AF4918">
        <v>2</v>
      </c>
      <c r="AG4918" t="s">
        <v>1269</v>
      </c>
      <c r="AH4918" s="36">
        <f t="shared" si="76"/>
        <v>58.319444444444443</v>
      </c>
      <c r="AI4918" s="41" t="s">
        <v>1782</v>
      </c>
    </row>
    <row r="4919" spans="1:35" x14ac:dyDescent="0.25">
      <c r="A4919" s="36">
        <v>99914917</v>
      </c>
      <c r="B4919" s="17" t="s">
        <v>56</v>
      </c>
      <c r="C4919" t="s">
        <v>68</v>
      </c>
      <c r="D4919" t="s">
        <v>69</v>
      </c>
      <c r="G4919" s="17" t="s">
        <v>48</v>
      </c>
      <c r="H4919" s="17">
        <v>1</v>
      </c>
      <c r="K4919" t="s">
        <v>223</v>
      </c>
      <c r="L4919" t="s">
        <v>224</v>
      </c>
      <c r="M4919" t="s">
        <v>131</v>
      </c>
      <c r="N4919">
        <v>18</v>
      </c>
      <c r="O4919" t="s">
        <v>40</v>
      </c>
      <c r="P4919" t="s">
        <v>40</v>
      </c>
      <c r="Q4919" t="s">
        <v>40</v>
      </c>
      <c r="S4919" t="s">
        <v>40</v>
      </c>
      <c r="V4919" t="s">
        <v>41</v>
      </c>
      <c r="W4919" t="s">
        <v>42</v>
      </c>
      <c r="X4919" t="str">
        <f>"0580200"</f>
        <v>0580200</v>
      </c>
      <c r="Y4919" t="s">
        <v>245</v>
      </c>
      <c r="Z4919" t="s">
        <v>223</v>
      </c>
      <c r="AA4919" t="s">
        <v>224</v>
      </c>
      <c r="AB4919" t="s">
        <v>131</v>
      </c>
      <c r="AC4919" t="s">
        <v>51</v>
      </c>
      <c r="AD4919" t="s">
        <v>45</v>
      </c>
      <c r="AE4919" s="1">
        <v>22459</v>
      </c>
      <c r="AF4919">
        <v>2</v>
      </c>
      <c r="AG4919" t="s">
        <v>224</v>
      </c>
      <c r="AH4919" s="36">
        <f t="shared" si="76"/>
        <v>58.327777777777776</v>
      </c>
      <c r="AI4919" s="41" t="s">
        <v>1782</v>
      </c>
    </row>
    <row r="4920" spans="1:35" x14ac:dyDescent="0.25">
      <c r="A4920" s="36">
        <v>99914918</v>
      </c>
      <c r="B4920" s="17" t="s">
        <v>32</v>
      </c>
      <c r="C4920" t="s">
        <v>52</v>
      </c>
      <c r="D4920" t="s">
        <v>53</v>
      </c>
      <c r="G4920" s="17" t="s">
        <v>48</v>
      </c>
      <c r="H4920" s="17">
        <v>1</v>
      </c>
      <c r="K4920" t="s">
        <v>1268</v>
      </c>
      <c r="L4920" t="s">
        <v>1269</v>
      </c>
      <c r="M4920" t="s">
        <v>1270</v>
      </c>
      <c r="N4920">
        <v>18</v>
      </c>
      <c r="O4920" t="s">
        <v>40</v>
      </c>
      <c r="P4920" t="s">
        <v>40</v>
      </c>
      <c r="Q4920" t="s">
        <v>40</v>
      </c>
      <c r="R4920" t="s">
        <v>40</v>
      </c>
      <c r="S4920" t="s">
        <v>40</v>
      </c>
      <c r="V4920" t="s">
        <v>41</v>
      </c>
      <c r="W4920" t="s">
        <v>49</v>
      </c>
      <c r="X4920" t="str">
        <f>"1981912"</f>
        <v>1981912</v>
      </c>
      <c r="Y4920" t="s">
        <v>1279</v>
      </c>
      <c r="Z4920" t="s">
        <v>1268</v>
      </c>
      <c r="AA4920" t="s">
        <v>1269</v>
      </c>
      <c r="AB4920" t="s">
        <v>1270</v>
      </c>
      <c r="AC4920" t="s">
        <v>51</v>
      </c>
      <c r="AD4920" t="s">
        <v>45</v>
      </c>
      <c r="AE4920" s="1">
        <v>22456</v>
      </c>
      <c r="AF4920">
        <v>2</v>
      </c>
      <c r="AG4920" t="s">
        <v>1269</v>
      </c>
      <c r="AH4920" s="36">
        <f t="shared" si="76"/>
        <v>58.336111111111109</v>
      </c>
      <c r="AI4920" s="41" t="s">
        <v>1782</v>
      </c>
    </row>
    <row r="4921" spans="1:35" x14ac:dyDescent="0.25">
      <c r="A4921" s="36">
        <v>99914919</v>
      </c>
      <c r="B4921" s="17" t="s">
        <v>32</v>
      </c>
      <c r="C4921" t="s">
        <v>71</v>
      </c>
      <c r="D4921" t="s">
        <v>72</v>
      </c>
      <c r="G4921" s="17" t="s">
        <v>48</v>
      </c>
      <c r="H4921" s="17">
        <v>1</v>
      </c>
      <c r="K4921" t="s">
        <v>223</v>
      </c>
      <c r="L4921" t="s">
        <v>224</v>
      </c>
      <c r="M4921" t="s">
        <v>131</v>
      </c>
      <c r="N4921">
        <v>18</v>
      </c>
      <c r="O4921" t="s">
        <v>40</v>
      </c>
      <c r="P4921" t="s">
        <v>40</v>
      </c>
      <c r="Q4921" t="s">
        <v>40</v>
      </c>
      <c r="R4921" t="s">
        <v>40</v>
      </c>
      <c r="S4921" t="s">
        <v>40</v>
      </c>
      <c r="V4921" t="s">
        <v>41</v>
      </c>
      <c r="W4921" t="s">
        <v>49</v>
      </c>
      <c r="X4921" t="str">
        <f>"0581200"</f>
        <v>0581200</v>
      </c>
      <c r="Y4921" t="s">
        <v>238</v>
      </c>
      <c r="Z4921" t="s">
        <v>223</v>
      </c>
      <c r="AA4921" t="s">
        <v>224</v>
      </c>
      <c r="AB4921" t="s">
        <v>131</v>
      </c>
      <c r="AC4921" t="s">
        <v>51</v>
      </c>
      <c r="AD4921" t="s">
        <v>45</v>
      </c>
      <c r="AE4921" s="1">
        <v>22449</v>
      </c>
      <c r="AF4921">
        <v>2</v>
      </c>
      <c r="AG4921" t="s">
        <v>224</v>
      </c>
      <c r="AH4921" s="36">
        <f t="shared" si="76"/>
        <v>58.355555555555554</v>
      </c>
      <c r="AI4921" s="41" t="s">
        <v>1782</v>
      </c>
    </row>
    <row r="4922" spans="1:35" x14ac:dyDescent="0.25">
      <c r="A4922" s="36">
        <v>99914920</v>
      </c>
      <c r="B4922" s="17" t="s">
        <v>56</v>
      </c>
      <c r="C4922" t="s">
        <v>52</v>
      </c>
      <c r="D4922" t="s">
        <v>53</v>
      </c>
      <c r="G4922" s="17" t="s">
        <v>35</v>
      </c>
      <c r="H4922" s="17">
        <v>1</v>
      </c>
      <c r="J4922" s="1">
        <v>38230</v>
      </c>
      <c r="K4922" t="s">
        <v>1336</v>
      </c>
      <c r="L4922" t="s">
        <v>1337</v>
      </c>
      <c r="M4922" t="s">
        <v>1270</v>
      </c>
      <c r="N4922">
        <v>15</v>
      </c>
      <c r="O4922" t="s">
        <v>40</v>
      </c>
      <c r="P4922" t="s">
        <v>40</v>
      </c>
      <c r="Q4922" t="s">
        <v>40</v>
      </c>
      <c r="R4922" t="s">
        <v>40</v>
      </c>
      <c r="S4922" t="s">
        <v>40</v>
      </c>
      <c r="U4922" s="1">
        <v>38230</v>
      </c>
      <c r="V4922" t="s">
        <v>41</v>
      </c>
      <c r="W4922" t="s">
        <v>42</v>
      </c>
      <c r="X4922" t="str">
        <f>"4475070"</f>
        <v>4475070</v>
      </c>
      <c r="Y4922" t="s">
        <v>1338</v>
      </c>
      <c r="Z4922" t="s">
        <v>1336</v>
      </c>
      <c r="AA4922" t="s">
        <v>1337</v>
      </c>
      <c r="AB4922" t="s">
        <v>1270</v>
      </c>
      <c r="AC4922" t="s">
        <v>51</v>
      </c>
      <c r="AD4922" t="s">
        <v>45</v>
      </c>
      <c r="AE4922" s="1">
        <v>22448</v>
      </c>
      <c r="AF4922">
        <v>2</v>
      </c>
      <c r="AG4922" t="s">
        <v>1337</v>
      </c>
      <c r="AH4922" s="36">
        <f t="shared" si="76"/>
        <v>58.358333333333334</v>
      </c>
      <c r="AI4922" s="41" t="s">
        <v>1782</v>
      </c>
    </row>
    <row r="4923" spans="1:35" x14ac:dyDescent="0.25">
      <c r="A4923" s="36">
        <v>99914921</v>
      </c>
      <c r="B4923" s="17" t="s">
        <v>56</v>
      </c>
      <c r="C4923" t="s">
        <v>52</v>
      </c>
      <c r="D4923" t="s">
        <v>53</v>
      </c>
      <c r="G4923" s="17" t="s">
        <v>48</v>
      </c>
      <c r="H4923" s="17">
        <v>14</v>
      </c>
      <c r="K4923" t="s">
        <v>345</v>
      </c>
      <c r="L4923" t="s">
        <v>346</v>
      </c>
      <c r="M4923" t="s">
        <v>131</v>
      </c>
      <c r="N4923">
        <v>18</v>
      </c>
      <c r="O4923" t="s">
        <v>40</v>
      </c>
      <c r="P4923" t="s">
        <v>40</v>
      </c>
      <c r="Q4923" t="s">
        <v>40</v>
      </c>
      <c r="R4923" t="s">
        <v>40</v>
      </c>
      <c r="S4923" t="s">
        <v>40</v>
      </c>
      <c r="V4923" t="s">
        <v>41</v>
      </c>
      <c r="W4923" t="s">
        <v>42</v>
      </c>
      <c r="X4923" t="str">
        <f>"0590906"</f>
        <v>0590906</v>
      </c>
      <c r="Y4923" t="s">
        <v>361</v>
      </c>
      <c r="Z4923" t="s">
        <v>345</v>
      </c>
      <c r="AA4923" t="s">
        <v>346</v>
      </c>
      <c r="AB4923" t="s">
        <v>131</v>
      </c>
      <c r="AC4923" t="s">
        <v>51</v>
      </c>
      <c r="AD4923" t="s">
        <v>45</v>
      </c>
      <c r="AE4923" s="1">
        <v>22440</v>
      </c>
      <c r="AF4923">
        <v>2</v>
      </c>
      <c r="AG4923" t="s">
        <v>346</v>
      </c>
      <c r="AH4923" s="36">
        <f t="shared" si="76"/>
        <v>58.380555555555553</v>
      </c>
      <c r="AI4923" s="41" t="s">
        <v>1782</v>
      </c>
    </row>
    <row r="4924" spans="1:35" x14ac:dyDescent="0.25">
      <c r="A4924" s="36">
        <v>99914922</v>
      </c>
      <c r="B4924" s="17" t="s">
        <v>56</v>
      </c>
      <c r="C4924" t="s">
        <v>111</v>
      </c>
      <c r="D4924" t="s">
        <v>112</v>
      </c>
      <c r="G4924" s="17" t="s">
        <v>48</v>
      </c>
      <c r="H4924" s="17">
        <v>14</v>
      </c>
      <c r="I4924" t="s">
        <v>491</v>
      </c>
      <c r="J4924" s="1">
        <v>37865</v>
      </c>
      <c r="K4924" t="s">
        <v>431</v>
      </c>
      <c r="L4924" t="s">
        <v>196</v>
      </c>
      <c r="M4924" t="s">
        <v>131</v>
      </c>
      <c r="N4924">
        <v>21</v>
      </c>
      <c r="O4924" t="s">
        <v>40</v>
      </c>
      <c r="P4924" t="s">
        <v>40</v>
      </c>
      <c r="Q4924" t="s">
        <v>40</v>
      </c>
      <c r="R4924" t="s">
        <v>40</v>
      </c>
      <c r="S4924" t="s">
        <v>40</v>
      </c>
      <c r="U4924" s="1">
        <v>37865</v>
      </c>
      <c r="V4924" t="s">
        <v>41</v>
      </c>
      <c r="W4924" t="s">
        <v>75</v>
      </c>
      <c r="X4924" t="str">
        <f>"7521012"</f>
        <v>7521012</v>
      </c>
      <c r="Y4924" t="s">
        <v>432</v>
      </c>
      <c r="Z4924" t="s">
        <v>431</v>
      </c>
      <c r="AA4924" t="s">
        <v>196</v>
      </c>
      <c r="AB4924" t="s">
        <v>131</v>
      </c>
      <c r="AC4924" t="s">
        <v>165</v>
      </c>
      <c r="AD4924" t="s">
        <v>45</v>
      </c>
      <c r="AE4924" s="1">
        <v>22439</v>
      </c>
      <c r="AF4924">
        <v>1</v>
      </c>
      <c r="AG4924" t="s">
        <v>196</v>
      </c>
      <c r="AH4924" s="36">
        <f t="shared" si="76"/>
        <v>58.383333333333333</v>
      </c>
      <c r="AI4924" s="41" t="s">
        <v>1782</v>
      </c>
    </row>
    <row r="4925" spans="1:35" x14ac:dyDescent="0.25">
      <c r="A4925" s="36">
        <v>99914923</v>
      </c>
      <c r="B4925" s="17" t="s">
        <v>56</v>
      </c>
      <c r="C4925" t="s">
        <v>1292</v>
      </c>
      <c r="D4925" t="s">
        <v>1293</v>
      </c>
      <c r="G4925" s="17" t="s">
        <v>35</v>
      </c>
      <c r="H4925" s="17">
        <v>1</v>
      </c>
      <c r="K4925" t="s">
        <v>1268</v>
      </c>
      <c r="L4925" t="s">
        <v>1269</v>
      </c>
      <c r="M4925" t="s">
        <v>1270</v>
      </c>
      <c r="N4925">
        <v>18</v>
      </c>
      <c r="O4925" t="s">
        <v>40</v>
      </c>
      <c r="P4925" t="s">
        <v>40</v>
      </c>
      <c r="Q4925" t="s">
        <v>40</v>
      </c>
      <c r="R4925" t="s">
        <v>40</v>
      </c>
      <c r="S4925" t="s">
        <v>40</v>
      </c>
      <c r="V4925" t="s">
        <v>41</v>
      </c>
      <c r="W4925" t="s">
        <v>922</v>
      </c>
      <c r="X4925" t="str">
        <f>"1950001"</f>
        <v>1950001</v>
      </c>
      <c r="Y4925" t="s">
        <v>1284</v>
      </c>
      <c r="Z4925" t="s">
        <v>1268</v>
      </c>
      <c r="AA4925" t="s">
        <v>1269</v>
      </c>
      <c r="AB4925" t="s">
        <v>1270</v>
      </c>
      <c r="AC4925" t="s">
        <v>51</v>
      </c>
      <c r="AD4925" t="s">
        <v>45</v>
      </c>
      <c r="AE4925" s="1">
        <v>22433</v>
      </c>
      <c r="AF4925">
        <v>2</v>
      </c>
      <c r="AG4925" t="s">
        <v>1269</v>
      </c>
      <c r="AH4925" s="36">
        <f t="shared" si="76"/>
        <v>58.4</v>
      </c>
      <c r="AI4925" s="41" t="s">
        <v>1782</v>
      </c>
    </row>
    <row r="4926" spans="1:35" x14ac:dyDescent="0.25">
      <c r="A4926" s="36">
        <v>99914924</v>
      </c>
      <c r="B4926" s="17" t="s">
        <v>32</v>
      </c>
      <c r="C4926" t="s">
        <v>90</v>
      </c>
      <c r="D4926" t="s">
        <v>91</v>
      </c>
      <c r="G4926" s="17" t="s">
        <v>48</v>
      </c>
      <c r="H4926" s="17">
        <v>4</v>
      </c>
      <c r="K4926" t="s">
        <v>1619</v>
      </c>
      <c r="L4926" t="s">
        <v>1620</v>
      </c>
      <c r="M4926" t="s">
        <v>1592</v>
      </c>
      <c r="N4926">
        <v>25</v>
      </c>
      <c r="O4926" t="s">
        <v>40</v>
      </c>
      <c r="P4926" t="s">
        <v>40</v>
      </c>
      <c r="Q4926" t="s">
        <v>40</v>
      </c>
      <c r="R4926" t="s">
        <v>40</v>
      </c>
      <c r="S4926" t="s">
        <v>40</v>
      </c>
      <c r="V4926" t="s">
        <v>41</v>
      </c>
      <c r="W4926" t="s">
        <v>95</v>
      </c>
      <c r="X4926" t="str">
        <f>"7281009"</f>
        <v>7281009</v>
      </c>
      <c r="Y4926" t="s">
        <v>1667</v>
      </c>
      <c r="Z4926" t="s">
        <v>1619</v>
      </c>
      <c r="AA4926" t="s">
        <v>1620</v>
      </c>
      <c r="AB4926" t="s">
        <v>1592</v>
      </c>
      <c r="AC4926" t="s">
        <v>51</v>
      </c>
      <c r="AD4926" t="s">
        <v>45</v>
      </c>
      <c r="AE4926" s="1">
        <v>22433</v>
      </c>
      <c r="AF4926">
        <v>1</v>
      </c>
      <c r="AG4926" t="s">
        <v>1620</v>
      </c>
      <c r="AH4926" s="36">
        <f t="shared" si="76"/>
        <v>58.4</v>
      </c>
      <c r="AI4926" s="41" t="s">
        <v>1782</v>
      </c>
    </row>
    <row r="4927" spans="1:35" x14ac:dyDescent="0.25">
      <c r="A4927" s="36">
        <v>99914925</v>
      </c>
      <c r="B4927" s="17" t="s">
        <v>56</v>
      </c>
      <c r="C4927" t="s">
        <v>52</v>
      </c>
      <c r="D4927" t="s">
        <v>53</v>
      </c>
      <c r="G4927" s="17" t="s">
        <v>35</v>
      </c>
      <c r="H4927" s="17">
        <v>1</v>
      </c>
      <c r="I4927">
        <v>0</v>
      </c>
      <c r="J4927" s="1">
        <v>43344</v>
      </c>
      <c r="K4927" t="s">
        <v>223</v>
      </c>
      <c r="L4927" t="s">
        <v>224</v>
      </c>
      <c r="M4927" t="s">
        <v>131</v>
      </c>
      <c r="N4927">
        <v>20</v>
      </c>
      <c r="O4927" t="s">
        <v>40</v>
      </c>
      <c r="S4927" t="s">
        <v>40</v>
      </c>
      <c r="U4927" s="1">
        <v>43344</v>
      </c>
      <c r="V4927" t="s">
        <v>41</v>
      </c>
      <c r="W4927" t="s">
        <v>42</v>
      </c>
      <c r="X4927" t="str">
        <f>"0580206"</f>
        <v>0580206</v>
      </c>
      <c r="Y4927" t="s">
        <v>237</v>
      </c>
      <c r="Z4927" t="s">
        <v>223</v>
      </c>
      <c r="AA4927" t="s">
        <v>224</v>
      </c>
      <c r="AB4927" t="s">
        <v>131</v>
      </c>
      <c r="AC4927" t="s">
        <v>51</v>
      </c>
      <c r="AD4927" t="s">
        <v>45</v>
      </c>
      <c r="AE4927" s="1">
        <v>22429</v>
      </c>
      <c r="AF4927">
        <v>2</v>
      </c>
      <c r="AG4927" t="s">
        <v>224</v>
      </c>
      <c r="AH4927" s="36">
        <f t="shared" si="76"/>
        <v>58.411111111111111</v>
      </c>
      <c r="AI4927" s="41" t="s">
        <v>1782</v>
      </c>
    </row>
    <row r="4928" spans="1:35" x14ac:dyDescent="0.25">
      <c r="A4928" s="36">
        <v>99914926</v>
      </c>
      <c r="B4928" s="17" t="s">
        <v>56</v>
      </c>
      <c r="C4928" t="s">
        <v>33</v>
      </c>
      <c r="D4928" t="s">
        <v>34</v>
      </c>
      <c r="G4928" s="17" t="s">
        <v>48</v>
      </c>
      <c r="H4928" s="17">
        <v>1</v>
      </c>
      <c r="K4928" t="s">
        <v>223</v>
      </c>
      <c r="L4928" t="s">
        <v>224</v>
      </c>
      <c r="M4928" t="s">
        <v>131</v>
      </c>
      <c r="N4928">
        <v>7</v>
      </c>
      <c r="O4928" t="s">
        <v>40</v>
      </c>
      <c r="P4928" t="s">
        <v>40</v>
      </c>
      <c r="Q4928" t="s">
        <v>40</v>
      </c>
      <c r="R4928" t="s">
        <v>40</v>
      </c>
      <c r="S4928" t="s">
        <v>40</v>
      </c>
      <c r="V4928" t="s">
        <v>41</v>
      </c>
      <c r="W4928" t="s">
        <v>42</v>
      </c>
      <c r="X4928" t="str">
        <f>"0590910"</f>
        <v>0590910</v>
      </c>
      <c r="Y4928" t="s">
        <v>227</v>
      </c>
      <c r="Z4928" t="s">
        <v>223</v>
      </c>
      <c r="AA4928" t="s">
        <v>224</v>
      </c>
      <c r="AB4928" t="s">
        <v>131</v>
      </c>
      <c r="AC4928" t="s">
        <v>51</v>
      </c>
      <c r="AD4928" t="s">
        <v>45</v>
      </c>
      <c r="AE4928" s="1">
        <v>22427</v>
      </c>
      <c r="AF4928">
        <v>2</v>
      </c>
      <c r="AG4928" t="s">
        <v>224</v>
      </c>
      <c r="AH4928" s="36">
        <f t="shared" si="76"/>
        <v>58.416666666666664</v>
      </c>
      <c r="AI4928" s="41" t="s">
        <v>1782</v>
      </c>
    </row>
    <row r="4929" spans="1:35" x14ac:dyDescent="0.25">
      <c r="A4929" s="36">
        <v>99914927</v>
      </c>
      <c r="B4929" s="17" t="s">
        <v>56</v>
      </c>
      <c r="C4929" t="s">
        <v>68</v>
      </c>
      <c r="D4929" t="s">
        <v>69</v>
      </c>
      <c r="G4929" s="17" t="s">
        <v>48</v>
      </c>
      <c r="H4929" s="17">
        <v>1</v>
      </c>
      <c r="K4929" t="s">
        <v>162</v>
      </c>
      <c r="L4929" t="s">
        <v>158</v>
      </c>
      <c r="M4929" t="s">
        <v>131</v>
      </c>
      <c r="N4929">
        <v>6</v>
      </c>
      <c r="O4929" t="s">
        <v>40</v>
      </c>
      <c r="P4929" t="s">
        <v>40</v>
      </c>
      <c r="Q4929" t="s">
        <v>40</v>
      </c>
      <c r="R4929" t="s">
        <v>40</v>
      </c>
      <c r="S4929" t="s">
        <v>40</v>
      </c>
      <c r="V4929" t="s">
        <v>41</v>
      </c>
      <c r="W4929" t="s">
        <v>42</v>
      </c>
      <c r="X4929" t="str">
        <f>"0580320"</f>
        <v>0580320</v>
      </c>
      <c r="Y4929" t="s">
        <v>164</v>
      </c>
      <c r="Z4929" t="s">
        <v>162</v>
      </c>
      <c r="AA4929" t="s">
        <v>158</v>
      </c>
      <c r="AB4929" t="s">
        <v>131</v>
      </c>
      <c r="AC4929" t="s">
        <v>165</v>
      </c>
      <c r="AD4929" t="s">
        <v>45</v>
      </c>
      <c r="AE4929" s="1">
        <v>22415</v>
      </c>
      <c r="AF4929">
        <v>2</v>
      </c>
      <c r="AG4929" t="s">
        <v>158</v>
      </c>
      <c r="AH4929" s="36">
        <f t="shared" si="76"/>
        <v>58.45</v>
      </c>
      <c r="AI4929" s="41" t="s">
        <v>1782</v>
      </c>
    </row>
    <row r="4930" spans="1:35" x14ac:dyDescent="0.25">
      <c r="A4930" s="36">
        <v>99914928</v>
      </c>
      <c r="B4930" s="17" t="s">
        <v>32</v>
      </c>
      <c r="C4930" t="s">
        <v>139</v>
      </c>
      <c r="D4930" t="s">
        <v>140</v>
      </c>
      <c r="G4930" s="17" t="s">
        <v>48</v>
      </c>
      <c r="H4930" s="17">
        <v>1</v>
      </c>
      <c r="K4930" t="s">
        <v>157</v>
      </c>
      <c r="L4930" t="s">
        <v>158</v>
      </c>
      <c r="M4930" t="s">
        <v>131</v>
      </c>
      <c r="N4930">
        <v>18</v>
      </c>
      <c r="O4930" t="s">
        <v>40</v>
      </c>
      <c r="P4930" t="s">
        <v>40</v>
      </c>
      <c r="Q4930" t="s">
        <v>40</v>
      </c>
      <c r="R4930" t="s">
        <v>40</v>
      </c>
      <c r="S4930" t="s">
        <v>40</v>
      </c>
      <c r="V4930" t="s">
        <v>41</v>
      </c>
      <c r="W4930" t="s">
        <v>49</v>
      </c>
      <c r="X4930" t="str">
        <f>"0560006"</f>
        <v>0560006</v>
      </c>
      <c r="Y4930" t="s">
        <v>191</v>
      </c>
      <c r="Z4930" t="s">
        <v>157</v>
      </c>
      <c r="AA4930" t="s">
        <v>158</v>
      </c>
      <c r="AB4930" t="s">
        <v>131</v>
      </c>
      <c r="AC4930" t="s">
        <v>51</v>
      </c>
      <c r="AD4930" t="s">
        <v>45</v>
      </c>
      <c r="AE4930" s="1">
        <v>22412</v>
      </c>
      <c r="AF4930">
        <v>2</v>
      </c>
      <c r="AG4930" t="s">
        <v>158</v>
      </c>
      <c r="AH4930" s="36">
        <f t="shared" ref="AH4930:AH4993" si="77">($AJ$1-AE4930)/360</f>
        <v>58.458333333333336</v>
      </c>
      <c r="AI4930" s="41" t="s">
        <v>1782</v>
      </c>
    </row>
    <row r="4931" spans="1:35" x14ac:dyDescent="0.25">
      <c r="A4931" s="36">
        <v>99914929</v>
      </c>
      <c r="B4931" s="17" t="s">
        <v>32</v>
      </c>
      <c r="C4931" t="s">
        <v>46</v>
      </c>
      <c r="D4931" t="s">
        <v>47</v>
      </c>
      <c r="G4931" s="17" t="s">
        <v>48</v>
      </c>
      <c r="H4931" s="17">
        <v>1</v>
      </c>
      <c r="K4931" t="s">
        <v>1268</v>
      </c>
      <c r="L4931" t="s">
        <v>1269</v>
      </c>
      <c r="M4931" t="s">
        <v>1270</v>
      </c>
      <c r="N4931">
        <v>7</v>
      </c>
      <c r="O4931" t="s">
        <v>40</v>
      </c>
      <c r="P4931" t="s">
        <v>40</v>
      </c>
      <c r="Q4931" t="s">
        <v>40</v>
      </c>
      <c r="S4931" t="s">
        <v>40</v>
      </c>
      <c r="V4931" t="s">
        <v>41</v>
      </c>
      <c r="W4931" t="s">
        <v>49</v>
      </c>
      <c r="X4931" t="str">
        <f>"1981914"</f>
        <v>1981914</v>
      </c>
      <c r="Y4931" t="s">
        <v>1287</v>
      </c>
      <c r="Z4931" t="s">
        <v>1268</v>
      </c>
      <c r="AA4931" t="s">
        <v>1269</v>
      </c>
      <c r="AB4931" t="s">
        <v>1270</v>
      </c>
      <c r="AC4931" t="s">
        <v>51</v>
      </c>
      <c r="AD4931" t="s">
        <v>45</v>
      </c>
      <c r="AE4931" s="1">
        <v>22401</v>
      </c>
      <c r="AF4931">
        <v>2</v>
      </c>
      <c r="AG4931" t="s">
        <v>1269</v>
      </c>
      <c r="AH4931" s="36">
        <f t="shared" si="77"/>
        <v>58.488888888888887</v>
      </c>
      <c r="AI4931" s="41" t="s">
        <v>1782</v>
      </c>
    </row>
    <row r="4932" spans="1:35" x14ac:dyDescent="0.25">
      <c r="A4932" s="36">
        <v>99914930</v>
      </c>
      <c r="B4932" s="17" t="s">
        <v>56</v>
      </c>
      <c r="C4932" t="s">
        <v>68</v>
      </c>
      <c r="D4932" t="s">
        <v>69</v>
      </c>
      <c r="G4932" s="17" t="s">
        <v>48</v>
      </c>
      <c r="H4932" s="17">
        <v>14</v>
      </c>
      <c r="K4932" t="s">
        <v>345</v>
      </c>
      <c r="L4932" t="s">
        <v>346</v>
      </c>
      <c r="M4932" t="s">
        <v>131</v>
      </c>
      <c r="N4932">
        <v>18</v>
      </c>
      <c r="O4932" t="s">
        <v>40</v>
      </c>
      <c r="P4932" t="s">
        <v>40</v>
      </c>
      <c r="Q4932" t="s">
        <v>40</v>
      </c>
      <c r="R4932" t="s">
        <v>40</v>
      </c>
      <c r="S4932" t="s">
        <v>40</v>
      </c>
      <c r="V4932" t="s">
        <v>41</v>
      </c>
      <c r="W4932" t="s">
        <v>42</v>
      </c>
      <c r="X4932" t="str">
        <f>"0590906"</f>
        <v>0590906</v>
      </c>
      <c r="Y4932" t="s">
        <v>361</v>
      </c>
      <c r="Z4932" t="s">
        <v>345</v>
      </c>
      <c r="AA4932" t="s">
        <v>346</v>
      </c>
      <c r="AB4932" t="s">
        <v>131</v>
      </c>
      <c r="AC4932" t="s">
        <v>51</v>
      </c>
      <c r="AD4932" t="s">
        <v>45</v>
      </c>
      <c r="AE4932" s="1">
        <v>22398</v>
      </c>
      <c r="AF4932">
        <v>2</v>
      </c>
      <c r="AG4932" t="s">
        <v>346</v>
      </c>
      <c r="AH4932" s="36">
        <f t="shared" si="77"/>
        <v>58.49722222222222</v>
      </c>
      <c r="AI4932" s="41" t="s">
        <v>1782</v>
      </c>
    </row>
    <row r="4933" spans="1:35" x14ac:dyDescent="0.25">
      <c r="A4933" s="36">
        <v>99914931</v>
      </c>
      <c r="B4933" s="17" t="s">
        <v>56</v>
      </c>
      <c r="C4933" t="s">
        <v>82</v>
      </c>
      <c r="D4933" t="s">
        <v>83</v>
      </c>
      <c r="G4933" s="17" t="s">
        <v>48</v>
      </c>
      <c r="H4933" s="17">
        <v>1</v>
      </c>
      <c r="K4933" t="s">
        <v>300</v>
      </c>
      <c r="L4933" t="s">
        <v>301</v>
      </c>
      <c r="M4933" t="s">
        <v>131</v>
      </c>
      <c r="N4933">
        <v>18</v>
      </c>
      <c r="O4933" t="s">
        <v>40</v>
      </c>
      <c r="P4933" t="s">
        <v>40</v>
      </c>
      <c r="Q4933" t="s">
        <v>40</v>
      </c>
      <c r="R4933" t="s">
        <v>40</v>
      </c>
      <c r="S4933" t="s">
        <v>40</v>
      </c>
      <c r="V4933" t="s">
        <v>41</v>
      </c>
      <c r="W4933" t="s">
        <v>42</v>
      </c>
      <c r="X4933" t="str">
        <f>"0580023"</f>
        <v>0580023</v>
      </c>
      <c r="Y4933" t="s">
        <v>313</v>
      </c>
      <c r="Z4933" t="s">
        <v>300</v>
      </c>
      <c r="AA4933" t="s">
        <v>301</v>
      </c>
      <c r="AB4933" t="s">
        <v>131</v>
      </c>
      <c r="AC4933" t="s">
        <v>165</v>
      </c>
      <c r="AD4933" t="s">
        <v>45</v>
      </c>
      <c r="AE4933" s="1">
        <v>22394</v>
      </c>
      <c r="AF4933">
        <v>2</v>
      </c>
      <c r="AG4933" t="s">
        <v>301</v>
      </c>
      <c r="AH4933" s="36">
        <f t="shared" si="77"/>
        <v>58.508333333333333</v>
      </c>
      <c r="AI4933" s="41" t="s">
        <v>1782</v>
      </c>
    </row>
    <row r="4934" spans="1:35" x14ac:dyDescent="0.25">
      <c r="A4934" s="36">
        <v>99914932</v>
      </c>
      <c r="B4934" s="17" t="s">
        <v>56</v>
      </c>
      <c r="C4934" t="s">
        <v>52</v>
      </c>
      <c r="D4934" t="s">
        <v>53</v>
      </c>
      <c r="G4934" s="17" t="s">
        <v>48</v>
      </c>
      <c r="H4934" s="17">
        <v>1</v>
      </c>
      <c r="K4934" t="s">
        <v>1546</v>
      </c>
      <c r="L4934" t="s">
        <v>1547</v>
      </c>
      <c r="M4934" t="s">
        <v>1548</v>
      </c>
      <c r="N4934">
        <v>21</v>
      </c>
      <c r="O4934" t="s">
        <v>40</v>
      </c>
      <c r="P4934" t="s">
        <v>40</v>
      </c>
      <c r="Q4934" t="s">
        <v>40</v>
      </c>
      <c r="R4934" t="s">
        <v>40</v>
      </c>
      <c r="S4934" t="s">
        <v>40</v>
      </c>
      <c r="V4934" t="s">
        <v>41</v>
      </c>
      <c r="W4934" t="s">
        <v>42</v>
      </c>
      <c r="X4934" t="str">
        <f>"1061001"</f>
        <v>1061001</v>
      </c>
      <c r="Y4934" t="s">
        <v>1550</v>
      </c>
      <c r="Z4934" t="s">
        <v>1546</v>
      </c>
      <c r="AA4934" t="s">
        <v>1547</v>
      </c>
      <c r="AB4934" t="s">
        <v>1548</v>
      </c>
      <c r="AC4934" t="s">
        <v>51</v>
      </c>
      <c r="AD4934" t="s">
        <v>45</v>
      </c>
      <c r="AE4934" s="1">
        <v>22393</v>
      </c>
      <c r="AF4934">
        <v>2</v>
      </c>
      <c r="AG4934" t="s">
        <v>1547</v>
      </c>
      <c r="AH4934" s="36">
        <f t="shared" si="77"/>
        <v>58.511111111111113</v>
      </c>
      <c r="AI4934" s="41" t="s">
        <v>1782</v>
      </c>
    </row>
    <row r="4935" spans="1:35" x14ac:dyDescent="0.25">
      <c r="A4935" s="36">
        <v>99914933</v>
      </c>
      <c r="B4935" s="17" t="s">
        <v>32</v>
      </c>
      <c r="C4935" t="s">
        <v>52</v>
      </c>
      <c r="D4935" t="s">
        <v>53</v>
      </c>
      <c r="G4935" s="17" t="s">
        <v>48</v>
      </c>
      <c r="H4935" s="17">
        <v>1</v>
      </c>
      <c r="K4935" t="s">
        <v>1268</v>
      </c>
      <c r="L4935" t="s">
        <v>1269</v>
      </c>
      <c r="M4935" t="s">
        <v>1270</v>
      </c>
      <c r="N4935">
        <v>18</v>
      </c>
      <c r="O4935" t="s">
        <v>40</v>
      </c>
      <c r="P4935" t="s">
        <v>40</v>
      </c>
      <c r="Q4935" t="s">
        <v>40</v>
      </c>
      <c r="R4935" t="s">
        <v>40</v>
      </c>
      <c r="S4935" t="s">
        <v>40</v>
      </c>
      <c r="V4935" t="s">
        <v>41</v>
      </c>
      <c r="W4935" t="s">
        <v>42</v>
      </c>
      <c r="X4935" t="str">
        <f>"1990910"</f>
        <v>1990910</v>
      </c>
      <c r="Y4935" t="s">
        <v>1281</v>
      </c>
      <c r="Z4935" t="s">
        <v>1268</v>
      </c>
      <c r="AA4935" t="s">
        <v>1269</v>
      </c>
      <c r="AB4935" t="s">
        <v>1270</v>
      </c>
      <c r="AC4935" t="s">
        <v>165</v>
      </c>
      <c r="AD4935" t="s">
        <v>45</v>
      </c>
      <c r="AE4935" s="1">
        <v>22372</v>
      </c>
      <c r="AF4935">
        <v>2</v>
      </c>
      <c r="AG4935" t="s">
        <v>1269</v>
      </c>
      <c r="AH4935" s="36">
        <f t="shared" si="77"/>
        <v>58.569444444444443</v>
      </c>
      <c r="AI4935" s="41" t="s">
        <v>1782</v>
      </c>
    </row>
    <row r="4936" spans="1:35" x14ac:dyDescent="0.25">
      <c r="A4936" s="36">
        <v>99914934</v>
      </c>
      <c r="B4936" s="17" t="s">
        <v>32</v>
      </c>
      <c r="C4936" t="s">
        <v>46</v>
      </c>
      <c r="D4936" t="s">
        <v>47</v>
      </c>
      <c r="G4936" s="17" t="s">
        <v>48</v>
      </c>
      <c r="H4936" s="17">
        <v>1</v>
      </c>
      <c r="K4936" t="s">
        <v>223</v>
      </c>
      <c r="L4936" t="s">
        <v>224</v>
      </c>
      <c r="M4936" t="s">
        <v>131</v>
      </c>
      <c r="N4936">
        <v>18</v>
      </c>
      <c r="O4936" t="s">
        <v>40</v>
      </c>
      <c r="P4936" t="s">
        <v>40</v>
      </c>
      <c r="Q4936" t="s">
        <v>40</v>
      </c>
      <c r="S4936" t="s">
        <v>40</v>
      </c>
      <c r="V4936" t="s">
        <v>41</v>
      </c>
      <c r="W4936" t="s">
        <v>42</v>
      </c>
      <c r="X4936" t="str">
        <f>"0580202"</f>
        <v>0580202</v>
      </c>
      <c r="Y4936" t="s">
        <v>240</v>
      </c>
      <c r="Z4936" t="s">
        <v>223</v>
      </c>
      <c r="AA4936" t="s">
        <v>224</v>
      </c>
      <c r="AB4936" t="s">
        <v>131</v>
      </c>
      <c r="AC4936" t="s">
        <v>165</v>
      </c>
      <c r="AD4936" t="s">
        <v>45</v>
      </c>
      <c r="AE4936" s="1">
        <v>22367</v>
      </c>
      <c r="AF4936">
        <v>2</v>
      </c>
      <c r="AG4936" t="s">
        <v>224</v>
      </c>
      <c r="AH4936" s="36">
        <f t="shared" si="77"/>
        <v>58.583333333333336</v>
      </c>
      <c r="AI4936" s="41" t="s">
        <v>1782</v>
      </c>
    </row>
    <row r="4937" spans="1:35" x14ac:dyDescent="0.25">
      <c r="A4937" s="36">
        <v>99914935</v>
      </c>
      <c r="B4937" s="17" t="s">
        <v>56</v>
      </c>
      <c r="C4937" t="s">
        <v>68</v>
      </c>
      <c r="D4937" t="s">
        <v>69</v>
      </c>
      <c r="G4937" s="17" t="s">
        <v>48</v>
      </c>
      <c r="H4937" s="17">
        <v>1</v>
      </c>
      <c r="K4937" t="s">
        <v>157</v>
      </c>
      <c r="L4937" t="s">
        <v>158</v>
      </c>
      <c r="M4937" t="s">
        <v>131</v>
      </c>
      <c r="N4937">
        <v>18</v>
      </c>
      <c r="O4937" t="s">
        <v>40</v>
      </c>
      <c r="P4937" t="s">
        <v>40</v>
      </c>
      <c r="Q4937" t="s">
        <v>40</v>
      </c>
      <c r="R4937" t="s">
        <v>40</v>
      </c>
      <c r="S4937" t="s">
        <v>40</v>
      </c>
      <c r="V4937" t="s">
        <v>41</v>
      </c>
      <c r="W4937" t="s">
        <v>42</v>
      </c>
      <c r="X4937" t="str">
        <f>"0580470"</f>
        <v>0580470</v>
      </c>
      <c r="Y4937" t="s">
        <v>175</v>
      </c>
      <c r="Z4937" t="s">
        <v>157</v>
      </c>
      <c r="AA4937" t="s">
        <v>158</v>
      </c>
      <c r="AB4937" t="s">
        <v>131</v>
      </c>
      <c r="AC4937" t="s">
        <v>51</v>
      </c>
      <c r="AD4937" t="s">
        <v>45</v>
      </c>
      <c r="AE4937" s="1">
        <v>22366</v>
      </c>
      <c r="AF4937">
        <v>2</v>
      </c>
      <c r="AG4937" t="s">
        <v>158</v>
      </c>
      <c r="AH4937" s="36">
        <f t="shared" si="77"/>
        <v>58.586111111111109</v>
      </c>
      <c r="AI4937" s="41" t="s">
        <v>1782</v>
      </c>
    </row>
    <row r="4938" spans="1:35" x14ac:dyDescent="0.25">
      <c r="A4938" s="36">
        <v>99914936</v>
      </c>
      <c r="B4938" s="17" t="s">
        <v>56</v>
      </c>
      <c r="C4938" t="s">
        <v>68</v>
      </c>
      <c r="D4938" t="s">
        <v>69</v>
      </c>
      <c r="G4938" s="17" t="s">
        <v>35</v>
      </c>
      <c r="H4938" s="17">
        <v>1</v>
      </c>
      <c r="K4938" t="s">
        <v>223</v>
      </c>
      <c r="L4938" t="s">
        <v>224</v>
      </c>
      <c r="M4938" t="s">
        <v>131</v>
      </c>
      <c r="N4938">
        <v>17</v>
      </c>
      <c r="O4938" t="s">
        <v>40</v>
      </c>
      <c r="P4938" t="s">
        <v>40</v>
      </c>
      <c r="Q4938" t="s">
        <v>40</v>
      </c>
      <c r="R4938" t="s">
        <v>40</v>
      </c>
      <c r="S4938" t="s">
        <v>40</v>
      </c>
      <c r="V4938" t="s">
        <v>41</v>
      </c>
      <c r="W4938" t="s">
        <v>42</v>
      </c>
      <c r="X4938" t="str">
        <f>"0590901"</f>
        <v>0590901</v>
      </c>
      <c r="Y4938" t="s">
        <v>242</v>
      </c>
      <c r="Z4938" t="s">
        <v>223</v>
      </c>
      <c r="AA4938" t="s">
        <v>224</v>
      </c>
      <c r="AB4938" t="s">
        <v>131</v>
      </c>
      <c r="AC4938" t="s">
        <v>165</v>
      </c>
      <c r="AD4938" t="s">
        <v>45</v>
      </c>
      <c r="AE4938" s="1">
        <v>22364</v>
      </c>
      <c r="AF4938">
        <v>2</v>
      </c>
      <c r="AG4938" t="s">
        <v>224</v>
      </c>
      <c r="AH4938" s="36">
        <f t="shared" si="77"/>
        <v>58.591666666666669</v>
      </c>
      <c r="AI4938" s="41" t="s">
        <v>1782</v>
      </c>
    </row>
    <row r="4939" spans="1:35" x14ac:dyDescent="0.25">
      <c r="A4939" s="36">
        <v>99914937</v>
      </c>
      <c r="B4939" s="17" t="s">
        <v>32</v>
      </c>
      <c r="C4939" t="s">
        <v>82</v>
      </c>
      <c r="D4939" t="s">
        <v>83</v>
      </c>
      <c r="G4939" s="17" t="s">
        <v>48</v>
      </c>
      <c r="H4939" s="17">
        <v>1</v>
      </c>
      <c r="K4939" t="s">
        <v>223</v>
      </c>
      <c r="L4939" t="s">
        <v>224</v>
      </c>
      <c r="M4939" t="s">
        <v>131</v>
      </c>
      <c r="N4939">
        <v>18</v>
      </c>
      <c r="O4939" t="s">
        <v>40</v>
      </c>
      <c r="P4939" t="s">
        <v>40</v>
      </c>
      <c r="Q4939" t="s">
        <v>40</v>
      </c>
      <c r="R4939" t="s">
        <v>40</v>
      </c>
      <c r="S4939" t="s">
        <v>40</v>
      </c>
      <c r="V4939" t="s">
        <v>41</v>
      </c>
      <c r="W4939" t="s">
        <v>42</v>
      </c>
      <c r="X4939" t="str">
        <f>"0590902"</f>
        <v>0590902</v>
      </c>
      <c r="Y4939" t="s">
        <v>241</v>
      </c>
      <c r="Z4939" t="s">
        <v>223</v>
      </c>
      <c r="AA4939" t="s">
        <v>224</v>
      </c>
      <c r="AB4939" t="s">
        <v>131</v>
      </c>
      <c r="AC4939" t="s">
        <v>51</v>
      </c>
      <c r="AD4939" t="s">
        <v>45</v>
      </c>
      <c r="AE4939" s="1">
        <v>22361</v>
      </c>
      <c r="AF4939">
        <v>2</v>
      </c>
      <c r="AG4939" t="s">
        <v>224</v>
      </c>
      <c r="AH4939" s="36">
        <f t="shared" si="77"/>
        <v>58.6</v>
      </c>
      <c r="AI4939" s="41" t="s">
        <v>1782</v>
      </c>
    </row>
    <row r="4940" spans="1:35" x14ac:dyDescent="0.25">
      <c r="A4940" s="36">
        <v>99914938</v>
      </c>
      <c r="B4940" s="17" t="s">
        <v>32</v>
      </c>
      <c r="C4940" t="s">
        <v>64</v>
      </c>
      <c r="D4940" t="s">
        <v>65</v>
      </c>
      <c r="G4940" s="17" t="s">
        <v>48</v>
      </c>
      <c r="H4940" s="17">
        <v>1</v>
      </c>
      <c r="K4940" t="s">
        <v>223</v>
      </c>
      <c r="L4940" t="s">
        <v>224</v>
      </c>
      <c r="M4940" t="s">
        <v>131</v>
      </c>
      <c r="N4940">
        <v>5</v>
      </c>
      <c r="O4940" t="s">
        <v>40</v>
      </c>
      <c r="P4940" t="s">
        <v>40</v>
      </c>
      <c r="Q4940" t="s">
        <v>40</v>
      </c>
      <c r="S4940" t="s">
        <v>40</v>
      </c>
      <c r="V4940" t="s">
        <v>41</v>
      </c>
      <c r="W4940" t="s">
        <v>42</v>
      </c>
      <c r="X4940" t="str">
        <f>"0561007"</f>
        <v>0561007</v>
      </c>
      <c r="Y4940" t="s">
        <v>262</v>
      </c>
      <c r="Z4940" t="s">
        <v>223</v>
      </c>
      <c r="AA4940" t="s">
        <v>224</v>
      </c>
      <c r="AB4940" t="s">
        <v>131</v>
      </c>
      <c r="AC4940" t="s">
        <v>51</v>
      </c>
      <c r="AD4940" t="s">
        <v>45</v>
      </c>
      <c r="AE4940" s="1">
        <v>22360</v>
      </c>
      <c r="AF4940">
        <v>2</v>
      </c>
      <c r="AG4940" t="s">
        <v>224</v>
      </c>
      <c r="AH4940" s="36">
        <f t="shared" si="77"/>
        <v>58.602777777777774</v>
      </c>
      <c r="AI4940" s="41" t="s">
        <v>1782</v>
      </c>
    </row>
    <row r="4941" spans="1:35" x14ac:dyDescent="0.25">
      <c r="A4941" s="36">
        <v>99914939</v>
      </c>
      <c r="B4941" s="17" t="s">
        <v>56</v>
      </c>
      <c r="C4941" t="s">
        <v>46</v>
      </c>
      <c r="D4941" t="s">
        <v>47</v>
      </c>
      <c r="G4941" s="17" t="s">
        <v>35</v>
      </c>
      <c r="H4941" s="17">
        <v>1</v>
      </c>
      <c r="K4941" t="s">
        <v>223</v>
      </c>
      <c r="L4941" t="s">
        <v>224</v>
      </c>
      <c r="M4941" t="s">
        <v>131</v>
      </c>
      <c r="N4941">
        <v>5</v>
      </c>
      <c r="O4941" t="s">
        <v>40</v>
      </c>
      <c r="P4941" t="s">
        <v>40</v>
      </c>
      <c r="Q4941" t="s">
        <v>40</v>
      </c>
      <c r="R4941" t="s">
        <v>40</v>
      </c>
      <c r="S4941" t="s">
        <v>40</v>
      </c>
      <c r="V4941" t="s">
        <v>41</v>
      </c>
      <c r="W4941" t="s">
        <v>42</v>
      </c>
      <c r="X4941" t="str">
        <f>"0590902"</f>
        <v>0590902</v>
      </c>
      <c r="Y4941" t="s">
        <v>241</v>
      </c>
      <c r="Z4941" t="s">
        <v>223</v>
      </c>
      <c r="AA4941" t="s">
        <v>224</v>
      </c>
      <c r="AB4941" t="s">
        <v>131</v>
      </c>
      <c r="AC4941" t="s">
        <v>51</v>
      </c>
      <c r="AD4941" t="s">
        <v>45</v>
      </c>
      <c r="AE4941" s="1">
        <v>22359</v>
      </c>
      <c r="AF4941">
        <v>2</v>
      </c>
      <c r="AG4941" t="s">
        <v>224</v>
      </c>
      <c r="AH4941" s="36">
        <f t="shared" si="77"/>
        <v>58.605555555555554</v>
      </c>
      <c r="AI4941" s="41" t="s">
        <v>1782</v>
      </c>
    </row>
    <row r="4942" spans="1:35" x14ac:dyDescent="0.25">
      <c r="A4942" s="36">
        <v>99914940</v>
      </c>
      <c r="B4942" s="17" t="s">
        <v>56</v>
      </c>
      <c r="C4942" t="s">
        <v>33</v>
      </c>
      <c r="D4942" t="s">
        <v>34</v>
      </c>
      <c r="G4942" s="17" t="s">
        <v>48</v>
      </c>
      <c r="H4942" s="17">
        <v>1</v>
      </c>
      <c r="K4942" t="s">
        <v>223</v>
      </c>
      <c r="L4942" t="s">
        <v>224</v>
      </c>
      <c r="M4942" t="s">
        <v>131</v>
      </c>
      <c r="N4942">
        <v>18</v>
      </c>
      <c r="O4942" t="s">
        <v>40</v>
      </c>
      <c r="P4942" t="s">
        <v>40</v>
      </c>
      <c r="Q4942" t="s">
        <v>40</v>
      </c>
      <c r="R4942" t="s">
        <v>40</v>
      </c>
      <c r="S4942" t="s">
        <v>40</v>
      </c>
      <c r="V4942" t="s">
        <v>41</v>
      </c>
      <c r="W4942" t="s">
        <v>42</v>
      </c>
      <c r="X4942" t="str">
        <f>"0580202"</f>
        <v>0580202</v>
      </c>
      <c r="Y4942" t="s">
        <v>240</v>
      </c>
      <c r="Z4942" t="s">
        <v>223</v>
      </c>
      <c r="AA4942" t="s">
        <v>224</v>
      </c>
      <c r="AB4942" t="s">
        <v>131</v>
      </c>
      <c r="AC4942" t="s">
        <v>165</v>
      </c>
      <c r="AD4942" t="s">
        <v>45</v>
      </c>
      <c r="AE4942" s="1">
        <v>22352</v>
      </c>
      <c r="AF4942">
        <v>2</v>
      </c>
      <c r="AG4942" t="s">
        <v>224</v>
      </c>
      <c r="AH4942" s="36">
        <f t="shared" si="77"/>
        <v>58.625</v>
      </c>
      <c r="AI4942" s="41" t="s">
        <v>1782</v>
      </c>
    </row>
    <row r="4943" spans="1:35" x14ac:dyDescent="0.25">
      <c r="A4943" s="36">
        <v>99914941</v>
      </c>
      <c r="B4943" s="17" t="s">
        <v>32</v>
      </c>
      <c r="C4943" t="s">
        <v>79</v>
      </c>
      <c r="D4943" t="s">
        <v>80</v>
      </c>
      <c r="G4943" s="17" t="s">
        <v>48</v>
      </c>
      <c r="H4943" s="17">
        <v>1</v>
      </c>
      <c r="K4943" t="s">
        <v>431</v>
      </c>
      <c r="L4943" t="s">
        <v>196</v>
      </c>
      <c r="M4943" t="s">
        <v>131</v>
      </c>
      <c r="N4943">
        <v>14</v>
      </c>
      <c r="O4943" t="s">
        <v>40</v>
      </c>
      <c r="P4943" t="s">
        <v>40</v>
      </c>
      <c r="Q4943" t="s">
        <v>40</v>
      </c>
      <c r="R4943" t="s">
        <v>40</v>
      </c>
      <c r="S4943" t="s">
        <v>40</v>
      </c>
      <c r="V4943" t="s">
        <v>41</v>
      </c>
      <c r="W4943" t="s">
        <v>75</v>
      </c>
      <c r="X4943" t="str">
        <f>"7521012"</f>
        <v>7521012</v>
      </c>
      <c r="Y4943" t="s">
        <v>432</v>
      </c>
      <c r="Z4943" t="s">
        <v>431</v>
      </c>
      <c r="AA4943" t="s">
        <v>196</v>
      </c>
      <c r="AB4943" t="s">
        <v>131</v>
      </c>
      <c r="AC4943" t="s">
        <v>51</v>
      </c>
      <c r="AD4943" t="s">
        <v>45</v>
      </c>
      <c r="AE4943" s="1">
        <v>22351</v>
      </c>
      <c r="AF4943">
        <v>1</v>
      </c>
      <c r="AG4943" t="s">
        <v>196</v>
      </c>
      <c r="AH4943" s="36">
        <f t="shared" si="77"/>
        <v>58.62777777777778</v>
      </c>
      <c r="AI4943" s="41" t="s">
        <v>1782</v>
      </c>
    </row>
    <row r="4944" spans="1:35" x14ac:dyDescent="0.25">
      <c r="A4944" s="36">
        <v>99914942</v>
      </c>
      <c r="B4944" s="17" t="s">
        <v>56</v>
      </c>
      <c r="C4944" t="s">
        <v>82</v>
      </c>
      <c r="D4944" t="s">
        <v>83</v>
      </c>
      <c r="G4944" s="17" t="s">
        <v>35</v>
      </c>
      <c r="H4944" s="17">
        <v>1</v>
      </c>
      <c r="K4944" t="s">
        <v>223</v>
      </c>
      <c r="L4944" t="s">
        <v>224</v>
      </c>
      <c r="M4944" t="s">
        <v>131</v>
      </c>
      <c r="N4944">
        <v>2</v>
      </c>
      <c r="O4944" t="s">
        <v>40</v>
      </c>
      <c r="P4944" t="s">
        <v>40</v>
      </c>
      <c r="Q4944" t="s">
        <v>40</v>
      </c>
      <c r="R4944" t="s">
        <v>40</v>
      </c>
      <c r="S4944" t="s">
        <v>40</v>
      </c>
      <c r="V4944" t="s">
        <v>41</v>
      </c>
      <c r="W4944" t="s">
        <v>42</v>
      </c>
      <c r="X4944" t="str">
        <f>"0590901"</f>
        <v>0590901</v>
      </c>
      <c r="Y4944" t="s">
        <v>242</v>
      </c>
      <c r="Z4944" t="s">
        <v>223</v>
      </c>
      <c r="AA4944" t="s">
        <v>224</v>
      </c>
      <c r="AB4944" t="s">
        <v>131</v>
      </c>
      <c r="AC4944" t="s">
        <v>165</v>
      </c>
      <c r="AD4944" t="s">
        <v>45</v>
      </c>
      <c r="AE4944" s="1">
        <v>22350</v>
      </c>
      <c r="AF4944">
        <v>2</v>
      </c>
      <c r="AG4944" t="s">
        <v>224</v>
      </c>
      <c r="AH4944" s="36">
        <f t="shared" si="77"/>
        <v>58.630555555555553</v>
      </c>
      <c r="AI4944" s="41" t="s">
        <v>1782</v>
      </c>
    </row>
    <row r="4945" spans="1:35" x14ac:dyDescent="0.25">
      <c r="A4945" s="36">
        <v>99914943</v>
      </c>
      <c r="B4945" s="17" t="s">
        <v>32</v>
      </c>
      <c r="C4945" t="s">
        <v>721</v>
      </c>
      <c r="D4945" t="s">
        <v>722</v>
      </c>
      <c r="G4945" s="17" t="s">
        <v>35</v>
      </c>
      <c r="H4945" s="17">
        <v>14</v>
      </c>
      <c r="K4945" t="s">
        <v>268</v>
      </c>
      <c r="L4945" t="s">
        <v>269</v>
      </c>
      <c r="M4945" t="s">
        <v>131</v>
      </c>
      <c r="N4945">
        <v>21</v>
      </c>
      <c r="O4945" t="s">
        <v>40</v>
      </c>
      <c r="P4945" t="s">
        <v>40</v>
      </c>
      <c r="Q4945" t="s">
        <v>40</v>
      </c>
      <c r="R4945" t="s">
        <v>40</v>
      </c>
      <c r="S4945" t="s">
        <v>40</v>
      </c>
      <c r="V4945" t="s">
        <v>41</v>
      </c>
      <c r="W4945" t="s">
        <v>75</v>
      </c>
      <c r="X4945" t="str">
        <f>"7052002"</f>
        <v>7052002</v>
      </c>
      <c r="Y4945" t="s">
        <v>590</v>
      </c>
      <c r="Z4945" t="s">
        <v>268</v>
      </c>
      <c r="AA4945" t="s">
        <v>269</v>
      </c>
      <c r="AB4945" t="s">
        <v>131</v>
      </c>
      <c r="AC4945" t="s">
        <v>165</v>
      </c>
      <c r="AD4945" t="s">
        <v>45</v>
      </c>
      <c r="AE4945" s="1">
        <v>22346</v>
      </c>
      <c r="AF4945">
        <v>1</v>
      </c>
      <c r="AG4945" t="s">
        <v>269</v>
      </c>
      <c r="AH4945" s="36">
        <f t="shared" si="77"/>
        <v>58.641666666666666</v>
      </c>
      <c r="AI4945" s="41" t="s">
        <v>1782</v>
      </c>
    </row>
    <row r="4946" spans="1:35" x14ac:dyDescent="0.25">
      <c r="A4946" s="36">
        <v>99914944</v>
      </c>
      <c r="B4946" s="17" t="s">
        <v>32</v>
      </c>
      <c r="C4946" t="s">
        <v>111</v>
      </c>
      <c r="D4946" t="s">
        <v>112</v>
      </c>
      <c r="G4946" s="17" t="s">
        <v>48</v>
      </c>
      <c r="H4946" s="17">
        <v>17</v>
      </c>
      <c r="K4946" t="s">
        <v>195</v>
      </c>
      <c r="L4946" t="s">
        <v>196</v>
      </c>
      <c r="M4946" t="s">
        <v>131</v>
      </c>
      <c r="N4946">
        <v>21</v>
      </c>
      <c r="O4946" t="s">
        <v>40</v>
      </c>
      <c r="P4946" t="s">
        <v>40</v>
      </c>
      <c r="Q4946" t="s">
        <v>40</v>
      </c>
      <c r="R4946" t="s">
        <v>40</v>
      </c>
      <c r="S4946" t="s">
        <v>40</v>
      </c>
      <c r="U4946" s="1">
        <v>31079</v>
      </c>
      <c r="V4946" t="s">
        <v>41</v>
      </c>
      <c r="W4946" t="s">
        <v>75</v>
      </c>
      <c r="X4946" t="str">
        <f>"7521042"</f>
        <v>7521042</v>
      </c>
      <c r="Y4946" t="s">
        <v>440</v>
      </c>
      <c r="Z4946" t="s">
        <v>195</v>
      </c>
      <c r="AA4946" t="s">
        <v>196</v>
      </c>
      <c r="AB4946" t="s">
        <v>131</v>
      </c>
      <c r="AC4946" t="s">
        <v>165</v>
      </c>
      <c r="AD4946" t="s">
        <v>45</v>
      </c>
      <c r="AE4946" s="1">
        <v>22315</v>
      </c>
      <c r="AF4946">
        <v>1</v>
      </c>
      <c r="AG4946" t="s">
        <v>196</v>
      </c>
      <c r="AH4946" s="36">
        <f t="shared" si="77"/>
        <v>58.727777777777774</v>
      </c>
      <c r="AI4946" s="41" t="s">
        <v>1782</v>
      </c>
    </row>
    <row r="4947" spans="1:35" x14ac:dyDescent="0.25">
      <c r="A4947" s="36">
        <v>99914945</v>
      </c>
      <c r="B4947" s="17" t="s">
        <v>32</v>
      </c>
      <c r="C4947" t="s">
        <v>90</v>
      </c>
      <c r="D4947" t="s">
        <v>91</v>
      </c>
      <c r="G4947" s="17" t="s">
        <v>35</v>
      </c>
      <c r="H4947" s="17">
        <v>1</v>
      </c>
      <c r="K4947" t="s">
        <v>154</v>
      </c>
      <c r="L4947" t="s">
        <v>155</v>
      </c>
      <c r="M4947" t="s">
        <v>131</v>
      </c>
      <c r="N4947">
        <v>20</v>
      </c>
      <c r="O4947" t="s">
        <v>40</v>
      </c>
      <c r="P4947" t="s">
        <v>40</v>
      </c>
      <c r="Q4947" t="s">
        <v>40</v>
      </c>
      <c r="R4947" t="s">
        <v>40</v>
      </c>
      <c r="S4947" t="s">
        <v>40</v>
      </c>
      <c r="V4947" t="s">
        <v>41</v>
      </c>
      <c r="W4947" t="s">
        <v>95</v>
      </c>
      <c r="X4947" t="str">
        <f>"7051109"</f>
        <v>7051109</v>
      </c>
      <c r="Y4947" t="s">
        <v>414</v>
      </c>
      <c r="Z4947" t="s">
        <v>154</v>
      </c>
      <c r="AA4947" t="s">
        <v>155</v>
      </c>
      <c r="AB4947" t="s">
        <v>131</v>
      </c>
      <c r="AC4947" t="s">
        <v>51</v>
      </c>
      <c r="AD4947" t="s">
        <v>45</v>
      </c>
      <c r="AE4947" s="1">
        <v>22314</v>
      </c>
      <c r="AF4947">
        <v>1</v>
      </c>
      <c r="AG4947" t="s">
        <v>155</v>
      </c>
      <c r="AH4947" s="36">
        <f t="shared" si="77"/>
        <v>58.730555555555554</v>
      </c>
      <c r="AI4947" s="41" t="s">
        <v>1782</v>
      </c>
    </row>
    <row r="4948" spans="1:35" x14ac:dyDescent="0.25">
      <c r="A4948" s="36">
        <v>99914946</v>
      </c>
      <c r="B4948" s="17" t="s">
        <v>32</v>
      </c>
      <c r="C4948" t="s">
        <v>64</v>
      </c>
      <c r="D4948" t="s">
        <v>65</v>
      </c>
      <c r="G4948" s="17" t="s">
        <v>35</v>
      </c>
      <c r="H4948" s="17">
        <v>15</v>
      </c>
      <c r="K4948" t="s">
        <v>268</v>
      </c>
      <c r="L4948" t="s">
        <v>269</v>
      </c>
      <c r="M4948" t="s">
        <v>131</v>
      </c>
      <c r="N4948">
        <v>21</v>
      </c>
      <c r="O4948" t="s">
        <v>40</v>
      </c>
      <c r="P4948" t="s">
        <v>40</v>
      </c>
      <c r="Q4948" t="s">
        <v>40</v>
      </c>
      <c r="R4948" t="s">
        <v>40</v>
      </c>
      <c r="S4948" t="s">
        <v>40</v>
      </c>
      <c r="V4948" t="s">
        <v>41</v>
      </c>
      <c r="W4948" t="s">
        <v>75</v>
      </c>
      <c r="X4948" t="str">
        <f>"7052006"</f>
        <v>7052006</v>
      </c>
      <c r="Y4948" t="s">
        <v>575</v>
      </c>
      <c r="Z4948" t="s">
        <v>268</v>
      </c>
      <c r="AA4948" t="s">
        <v>269</v>
      </c>
      <c r="AB4948" t="s">
        <v>131</v>
      </c>
      <c r="AC4948" t="s">
        <v>165</v>
      </c>
      <c r="AD4948" t="s">
        <v>45</v>
      </c>
      <c r="AE4948" s="1">
        <v>22313</v>
      </c>
      <c r="AF4948">
        <v>1</v>
      </c>
      <c r="AG4948" t="s">
        <v>269</v>
      </c>
      <c r="AH4948" s="36">
        <f t="shared" si="77"/>
        <v>58.733333333333334</v>
      </c>
      <c r="AI4948" s="41" t="s">
        <v>1782</v>
      </c>
    </row>
    <row r="4949" spans="1:35" x14ac:dyDescent="0.25">
      <c r="A4949" s="36">
        <v>99914947</v>
      </c>
      <c r="B4949" s="17" t="s">
        <v>32</v>
      </c>
      <c r="C4949" t="s">
        <v>52</v>
      </c>
      <c r="D4949" t="s">
        <v>53</v>
      </c>
      <c r="G4949" s="17" t="s">
        <v>48</v>
      </c>
      <c r="H4949" s="17">
        <v>1</v>
      </c>
      <c r="K4949" t="s">
        <v>162</v>
      </c>
      <c r="L4949" t="s">
        <v>158</v>
      </c>
      <c r="M4949" t="s">
        <v>131</v>
      </c>
      <c r="N4949">
        <v>18</v>
      </c>
      <c r="O4949" t="s">
        <v>40</v>
      </c>
      <c r="P4949" t="s">
        <v>40</v>
      </c>
      <c r="Q4949" t="s">
        <v>40</v>
      </c>
      <c r="S4949" t="s">
        <v>40</v>
      </c>
      <c r="V4949" t="s">
        <v>41</v>
      </c>
      <c r="W4949" t="s">
        <v>42</v>
      </c>
      <c r="X4949" t="str">
        <f>"0580320"</f>
        <v>0580320</v>
      </c>
      <c r="Y4949" t="s">
        <v>164</v>
      </c>
      <c r="Z4949" t="s">
        <v>162</v>
      </c>
      <c r="AA4949" t="s">
        <v>158</v>
      </c>
      <c r="AB4949" t="s">
        <v>131</v>
      </c>
      <c r="AC4949" t="s">
        <v>165</v>
      </c>
      <c r="AD4949" t="s">
        <v>45</v>
      </c>
      <c r="AE4949" s="1">
        <v>22302</v>
      </c>
      <c r="AF4949">
        <v>2</v>
      </c>
      <c r="AG4949" t="s">
        <v>158</v>
      </c>
      <c r="AH4949" s="36">
        <f t="shared" si="77"/>
        <v>58.763888888888886</v>
      </c>
      <c r="AI4949" s="41" t="s">
        <v>1782</v>
      </c>
    </row>
    <row r="4950" spans="1:35" x14ac:dyDescent="0.25">
      <c r="A4950" s="36">
        <v>99914948</v>
      </c>
      <c r="B4950" s="17" t="s">
        <v>32</v>
      </c>
      <c r="C4950" t="s">
        <v>46</v>
      </c>
      <c r="D4950" t="s">
        <v>47</v>
      </c>
      <c r="G4950" s="17" t="s">
        <v>35</v>
      </c>
      <c r="H4950" s="17">
        <v>1</v>
      </c>
      <c r="K4950" t="s">
        <v>223</v>
      </c>
      <c r="L4950" t="s">
        <v>224</v>
      </c>
      <c r="M4950" t="s">
        <v>131</v>
      </c>
      <c r="N4950">
        <v>18</v>
      </c>
      <c r="O4950" t="s">
        <v>40</v>
      </c>
      <c r="P4950" t="s">
        <v>40</v>
      </c>
      <c r="Q4950" t="s">
        <v>40</v>
      </c>
      <c r="S4950" t="s">
        <v>40</v>
      </c>
      <c r="V4950" t="s">
        <v>41</v>
      </c>
      <c r="W4950" t="s">
        <v>49</v>
      </c>
      <c r="X4950" t="str">
        <f>"0581207"</f>
        <v>0581207</v>
      </c>
      <c r="Y4950" t="s">
        <v>233</v>
      </c>
      <c r="Z4950" t="s">
        <v>223</v>
      </c>
      <c r="AA4950" t="s">
        <v>224</v>
      </c>
      <c r="AB4950" t="s">
        <v>131</v>
      </c>
      <c r="AC4950" t="s">
        <v>165</v>
      </c>
      <c r="AD4950" t="s">
        <v>45</v>
      </c>
      <c r="AE4950" s="1">
        <v>22302</v>
      </c>
      <c r="AF4950">
        <v>2</v>
      </c>
      <c r="AG4950" t="s">
        <v>224</v>
      </c>
      <c r="AH4950" s="36">
        <f t="shared" si="77"/>
        <v>58.763888888888886</v>
      </c>
      <c r="AI4950" s="41" t="s">
        <v>1782</v>
      </c>
    </row>
    <row r="4951" spans="1:35" x14ac:dyDescent="0.25">
      <c r="A4951" s="36">
        <v>99914949</v>
      </c>
      <c r="B4951" s="17" t="s">
        <v>56</v>
      </c>
      <c r="C4951" t="s">
        <v>141</v>
      </c>
      <c r="D4951" t="s">
        <v>142</v>
      </c>
      <c r="G4951" s="17" t="s">
        <v>35</v>
      </c>
      <c r="H4951" s="17">
        <v>1</v>
      </c>
      <c r="I4951" t="s">
        <v>286</v>
      </c>
      <c r="J4951" s="1">
        <v>43344</v>
      </c>
      <c r="K4951" t="s">
        <v>268</v>
      </c>
      <c r="L4951" t="s">
        <v>269</v>
      </c>
      <c r="M4951" t="s">
        <v>131</v>
      </c>
      <c r="N4951">
        <v>15</v>
      </c>
      <c r="O4951" t="s">
        <v>40</v>
      </c>
      <c r="S4951" t="s">
        <v>40</v>
      </c>
      <c r="V4951" t="s">
        <v>41</v>
      </c>
      <c r="W4951" t="s">
        <v>75</v>
      </c>
      <c r="X4951" t="str">
        <f>"7052018"</f>
        <v>7052018</v>
      </c>
      <c r="Y4951" t="s">
        <v>577</v>
      </c>
      <c r="Z4951" t="s">
        <v>268</v>
      </c>
      <c r="AA4951" t="s">
        <v>269</v>
      </c>
      <c r="AB4951" t="s">
        <v>131</v>
      </c>
      <c r="AC4951" t="s">
        <v>51</v>
      </c>
      <c r="AD4951" t="s">
        <v>45</v>
      </c>
      <c r="AE4951" s="1">
        <v>22296</v>
      </c>
      <c r="AF4951">
        <v>1</v>
      </c>
      <c r="AG4951" t="s">
        <v>269</v>
      </c>
      <c r="AH4951" s="36">
        <f t="shared" si="77"/>
        <v>58.780555555555559</v>
      </c>
      <c r="AI4951" s="41" t="s">
        <v>1782</v>
      </c>
    </row>
    <row r="4952" spans="1:35" x14ac:dyDescent="0.25">
      <c r="A4952" s="36">
        <v>99914950</v>
      </c>
      <c r="B4952" s="17" t="s">
        <v>32</v>
      </c>
      <c r="C4952" t="s">
        <v>64</v>
      </c>
      <c r="D4952" t="s">
        <v>65</v>
      </c>
      <c r="G4952" s="17" t="s">
        <v>35</v>
      </c>
      <c r="H4952" s="17">
        <v>1</v>
      </c>
      <c r="K4952" t="s">
        <v>268</v>
      </c>
      <c r="L4952" t="s">
        <v>269</v>
      </c>
      <c r="M4952" t="s">
        <v>131</v>
      </c>
      <c r="N4952">
        <v>18</v>
      </c>
      <c r="O4952" t="s">
        <v>40</v>
      </c>
      <c r="P4952" t="s">
        <v>40</v>
      </c>
      <c r="Q4952" t="s">
        <v>40</v>
      </c>
      <c r="R4952" t="s">
        <v>40</v>
      </c>
      <c r="S4952" t="s">
        <v>40</v>
      </c>
      <c r="V4952" t="s">
        <v>41</v>
      </c>
      <c r="W4952" t="s">
        <v>75</v>
      </c>
      <c r="X4952" t="str">
        <f>"7052028"</f>
        <v>7052028</v>
      </c>
      <c r="Y4952" t="s">
        <v>601</v>
      </c>
      <c r="Z4952" t="s">
        <v>268</v>
      </c>
      <c r="AA4952" t="s">
        <v>269</v>
      </c>
      <c r="AB4952" t="s">
        <v>131</v>
      </c>
      <c r="AC4952" t="s">
        <v>51</v>
      </c>
      <c r="AD4952" t="s">
        <v>45</v>
      </c>
      <c r="AE4952" s="1">
        <v>22292</v>
      </c>
      <c r="AF4952">
        <v>1</v>
      </c>
      <c r="AG4952" t="s">
        <v>269</v>
      </c>
      <c r="AH4952" s="36">
        <f t="shared" si="77"/>
        <v>58.791666666666664</v>
      </c>
      <c r="AI4952" s="41" t="s">
        <v>1782</v>
      </c>
    </row>
    <row r="4953" spans="1:35" x14ac:dyDescent="0.25">
      <c r="A4953" s="36">
        <v>99914951</v>
      </c>
      <c r="B4953" s="17" t="s">
        <v>56</v>
      </c>
      <c r="C4953" t="s">
        <v>52</v>
      </c>
      <c r="D4953" t="s">
        <v>53</v>
      </c>
      <c r="G4953" s="17" t="s">
        <v>48</v>
      </c>
      <c r="H4953" s="17">
        <v>1</v>
      </c>
      <c r="K4953" t="s">
        <v>380</v>
      </c>
      <c r="L4953" t="s">
        <v>381</v>
      </c>
      <c r="M4953" t="s">
        <v>131</v>
      </c>
      <c r="N4953">
        <v>18</v>
      </c>
      <c r="O4953" t="s">
        <v>40</v>
      </c>
      <c r="P4953" t="s">
        <v>40</v>
      </c>
      <c r="Q4953" t="s">
        <v>40</v>
      </c>
      <c r="R4953" t="s">
        <v>40</v>
      </c>
      <c r="S4953" t="s">
        <v>40</v>
      </c>
      <c r="V4953" t="s">
        <v>41</v>
      </c>
      <c r="W4953" t="s">
        <v>42</v>
      </c>
      <c r="X4953" t="str">
        <f>"0561010"</f>
        <v>0561010</v>
      </c>
      <c r="Y4953" t="s">
        <v>387</v>
      </c>
      <c r="Z4953" t="s">
        <v>380</v>
      </c>
      <c r="AA4953" t="s">
        <v>381</v>
      </c>
      <c r="AB4953" t="s">
        <v>131</v>
      </c>
      <c r="AC4953" t="s">
        <v>51</v>
      </c>
      <c r="AD4953" t="s">
        <v>45</v>
      </c>
      <c r="AE4953" s="1">
        <v>22282</v>
      </c>
      <c r="AF4953">
        <v>2</v>
      </c>
      <c r="AG4953" t="s">
        <v>381</v>
      </c>
      <c r="AH4953" s="36">
        <f t="shared" si="77"/>
        <v>58.819444444444443</v>
      </c>
      <c r="AI4953" s="41" t="s">
        <v>1782</v>
      </c>
    </row>
    <row r="4954" spans="1:35" x14ac:dyDescent="0.25">
      <c r="A4954" s="36">
        <v>99914952</v>
      </c>
      <c r="B4954" s="17" t="s">
        <v>32</v>
      </c>
      <c r="C4954" t="s">
        <v>111</v>
      </c>
      <c r="D4954" t="s">
        <v>112</v>
      </c>
      <c r="E4954" t="s">
        <v>68</v>
      </c>
      <c r="F4954" t="s">
        <v>69</v>
      </c>
      <c r="G4954" s="17" t="s">
        <v>48</v>
      </c>
      <c r="H4954" s="17">
        <v>17</v>
      </c>
      <c r="I4954">
        <v>213</v>
      </c>
      <c r="J4954" s="1">
        <v>33238</v>
      </c>
      <c r="K4954" t="s">
        <v>195</v>
      </c>
      <c r="L4954" t="s">
        <v>196</v>
      </c>
      <c r="M4954" t="s">
        <v>131</v>
      </c>
      <c r="N4954">
        <v>21</v>
      </c>
      <c r="O4954" t="s">
        <v>40</v>
      </c>
      <c r="P4954" t="s">
        <v>40</v>
      </c>
      <c r="Q4954" t="s">
        <v>40</v>
      </c>
      <c r="R4954" t="s">
        <v>40</v>
      </c>
      <c r="S4954" t="s">
        <v>40</v>
      </c>
      <c r="U4954" s="1">
        <v>33238</v>
      </c>
      <c r="V4954" t="s">
        <v>41</v>
      </c>
      <c r="W4954" t="s">
        <v>75</v>
      </c>
      <c r="X4954" t="str">
        <f>"7521044"</f>
        <v>7521044</v>
      </c>
      <c r="Y4954" t="s">
        <v>453</v>
      </c>
      <c r="Z4954" t="s">
        <v>195</v>
      </c>
      <c r="AA4954" t="s">
        <v>196</v>
      </c>
      <c r="AB4954" t="s">
        <v>131</v>
      </c>
      <c r="AC4954" t="s">
        <v>165</v>
      </c>
      <c r="AD4954" t="s">
        <v>45</v>
      </c>
      <c r="AE4954" s="1">
        <v>22282</v>
      </c>
      <c r="AF4954">
        <v>1</v>
      </c>
      <c r="AG4954" t="s">
        <v>196</v>
      </c>
      <c r="AH4954" s="36">
        <f t="shared" si="77"/>
        <v>58.819444444444443</v>
      </c>
      <c r="AI4954" s="41" t="s">
        <v>1782</v>
      </c>
    </row>
    <row r="4955" spans="1:35" x14ac:dyDescent="0.25">
      <c r="A4955" s="36">
        <v>99914953</v>
      </c>
      <c r="B4955" s="17" t="s">
        <v>32</v>
      </c>
      <c r="C4955" t="s">
        <v>90</v>
      </c>
      <c r="D4955" t="s">
        <v>91</v>
      </c>
      <c r="G4955" s="17" t="s">
        <v>48</v>
      </c>
      <c r="H4955" s="17">
        <v>18</v>
      </c>
      <c r="I4955">
        <v>155181</v>
      </c>
      <c r="J4955" s="1">
        <v>43344</v>
      </c>
      <c r="K4955" t="s">
        <v>354</v>
      </c>
      <c r="L4955" t="s">
        <v>355</v>
      </c>
      <c r="M4955" t="s">
        <v>131</v>
      </c>
      <c r="N4955">
        <v>25</v>
      </c>
      <c r="O4955" t="s">
        <v>40</v>
      </c>
      <c r="P4955" t="s">
        <v>40</v>
      </c>
      <c r="Q4955" t="s">
        <v>40</v>
      </c>
      <c r="R4955" t="s">
        <v>40</v>
      </c>
      <c r="S4955" t="s">
        <v>40</v>
      </c>
      <c r="U4955" s="1">
        <v>43344</v>
      </c>
      <c r="V4955" t="s">
        <v>41</v>
      </c>
      <c r="W4955" t="s">
        <v>95</v>
      </c>
      <c r="X4955" t="str">
        <f>"7054005"</f>
        <v>7054005</v>
      </c>
      <c r="Y4955" t="s">
        <v>769</v>
      </c>
      <c r="Z4955" t="s">
        <v>354</v>
      </c>
      <c r="AA4955" t="s">
        <v>355</v>
      </c>
      <c r="AB4955" t="s">
        <v>131</v>
      </c>
      <c r="AC4955" t="s">
        <v>51</v>
      </c>
      <c r="AD4955" t="s">
        <v>45</v>
      </c>
      <c r="AE4955" s="1">
        <v>22282</v>
      </c>
      <c r="AF4955">
        <v>1</v>
      </c>
      <c r="AG4955" t="s">
        <v>355</v>
      </c>
      <c r="AH4955" s="36">
        <f t="shared" si="77"/>
        <v>58.819444444444443</v>
      </c>
      <c r="AI4955" s="41" t="s">
        <v>1782</v>
      </c>
    </row>
    <row r="4956" spans="1:35" x14ac:dyDescent="0.25">
      <c r="A4956" s="36">
        <v>99914954</v>
      </c>
      <c r="B4956" s="17" t="s">
        <v>32</v>
      </c>
      <c r="C4956" t="s">
        <v>139</v>
      </c>
      <c r="D4956" t="s">
        <v>140</v>
      </c>
      <c r="G4956" s="17" t="s">
        <v>48</v>
      </c>
      <c r="H4956" s="17">
        <v>1</v>
      </c>
      <c r="K4956" t="s">
        <v>300</v>
      </c>
      <c r="L4956" t="s">
        <v>301</v>
      </c>
      <c r="M4956" t="s">
        <v>131</v>
      </c>
      <c r="N4956">
        <v>8</v>
      </c>
      <c r="O4956" t="s">
        <v>40</v>
      </c>
      <c r="P4956" t="s">
        <v>40</v>
      </c>
      <c r="Q4956" t="s">
        <v>40</v>
      </c>
      <c r="S4956" t="s">
        <v>40</v>
      </c>
      <c r="V4956" t="s">
        <v>41</v>
      </c>
      <c r="W4956" t="s">
        <v>49</v>
      </c>
      <c r="X4956" t="str">
        <f>"0560020"</f>
        <v>0560020</v>
      </c>
      <c r="Y4956" t="s">
        <v>302</v>
      </c>
      <c r="Z4956" t="s">
        <v>300</v>
      </c>
      <c r="AA4956" t="s">
        <v>301</v>
      </c>
      <c r="AB4956" t="s">
        <v>131</v>
      </c>
      <c r="AC4956" t="s">
        <v>51</v>
      </c>
      <c r="AD4956" t="s">
        <v>45</v>
      </c>
      <c r="AE4956" s="1">
        <v>22273</v>
      </c>
      <c r="AF4956">
        <v>2</v>
      </c>
      <c r="AG4956" t="s">
        <v>301</v>
      </c>
      <c r="AH4956" s="36">
        <f t="shared" si="77"/>
        <v>58.844444444444441</v>
      </c>
      <c r="AI4956" s="41" t="s">
        <v>1782</v>
      </c>
    </row>
    <row r="4957" spans="1:35" x14ac:dyDescent="0.25">
      <c r="A4957" s="36">
        <v>99914955</v>
      </c>
      <c r="B4957" s="17" t="s">
        <v>32</v>
      </c>
      <c r="C4957" t="s">
        <v>90</v>
      </c>
      <c r="D4957" t="s">
        <v>91</v>
      </c>
      <c r="G4957" s="17" t="s">
        <v>48</v>
      </c>
      <c r="H4957" s="17">
        <v>1</v>
      </c>
      <c r="K4957" t="s">
        <v>268</v>
      </c>
      <c r="L4957" t="s">
        <v>269</v>
      </c>
      <c r="M4957" t="s">
        <v>131</v>
      </c>
      <c r="N4957">
        <v>25</v>
      </c>
      <c r="O4957" t="s">
        <v>40</v>
      </c>
      <c r="P4957" t="s">
        <v>40</v>
      </c>
      <c r="Q4957" t="s">
        <v>40</v>
      </c>
      <c r="S4957" t="s">
        <v>40</v>
      </c>
      <c r="V4957" t="s">
        <v>41</v>
      </c>
      <c r="W4957" t="s">
        <v>95</v>
      </c>
      <c r="X4957" t="str">
        <f>"7052017"</f>
        <v>7052017</v>
      </c>
      <c r="Y4957" t="s">
        <v>587</v>
      </c>
      <c r="Z4957" t="s">
        <v>268</v>
      </c>
      <c r="AA4957" t="s">
        <v>269</v>
      </c>
      <c r="AB4957" t="s">
        <v>131</v>
      </c>
      <c r="AC4957" t="s">
        <v>51</v>
      </c>
      <c r="AD4957" t="s">
        <v>45</v>
      </c>
      <c r="AE4957" s="1">
        <v>22264</v>
      </c>
      <c r="AF4957">
        <v>1</v>
      </c>
      <c r="AG4957" t="s">
        <v>269</v>
      </c>
      <c r="AH4957" s="36">
        <f t="shared" si="77"/>
        <v>58.869444444444447</v>
      </c>
      <c r="AI4957" s="41" t="s">
        <v>1782</v>
      </c>
    </row>
    <row r="4958" spans="1:35" x14ac:dyDescent="0.25">
      <c r="A4958" s="36">
        <v>99914956</v>
      </c>
      <c r="B4958" s="17" t="s">
        <v>32</v>
      </c>
      <c r="C4958" t="s">
        <v>61</v>
      </c>
      <c r="D4958" t="s">
        <v>62</v>
      </c>
      <c r="G4958" s="17" t="s">
        <v>48</v>
      </c>
      <c r="H4958" s="17">
        <v>1</v>
      </c>
      <c r="K4958" t="s">
        <v>223</v>
      </c>
      <c r="L4958" t="s">
        <v>224</v>
      </c>
      <c r="M4958" t="s">
        <v>131</v>
      </c>
      <c r="N4958">
        <v>6</v>
      </c>
      <c r="O4958" t="s">
        <v>40</v>
      </c>
      <c r="P4958" t="s">
        <v>40</v>
      </c>
      <c r="Q4958" t="s">
        <v>40</v>
      </c>
      <c r="S4958" t="s">
        <v>40</v>
      </c>
      <c r="V4958" t="s">
        <v>41</v>
      </c>
      <c r="W4958" t="s">
        <v>49</v>
      </c>
      <c r="X4958" t="str">
        <f>"0581204"</f>
        <v>0581204</v>
      </c>
      <c r="Y4958" t="s">
        <v>249</v>
      </c>
      <c r="Z4958" t="s">
        <v>223</v>
      </c>
      <c r="AA4958" t="s">
        <v>224</v>
      </c>
      <c r="AB4958" t="s">
        <v>131</v>
      </c>
      <c r="AC4958" t="s">
        <v>165</v>
      </c>
      <c r="AD4958" t="s">
        <v>45</v>
      </c>
      <c r="AE4958" s="1">
        <v>22259</v>
      </c>
      <c r="AF4958">
        <v>2</v>
      </c>
      <c r="AG4958" t="s">
        <v>224</v>
      </c>
      <c r="AH4958" s="36">
        <f t="shared" si="77"/>
        <v>58.883333333333333</v>
      </c>
      <c r="AI4958" s="41" t="s">
        <v>1782</v>
      </c>
    </row>
    <row r="4959" spans="1:35" x14ac:dyDescent="0.25">
      <c r="A4959" s="36">
        <v>99914957</v>
      </c>
      <c r="B4959" s="17" t="s">
        <v>32</v>
      </c>
      <c r="C4959" t="s">
        <v>141</v>
      </c>
      <c r="D4959" t="s">
        <v>142</v>
      </c>
      <c r="G4959" s="17" t="s">
        <v>48</v>
      </c>
      <c r="H4959" s="17">
        <v>11</v>
      </c>
      <c r="K4959" t="s">
        <v>195</v>
      </c>
      <c r="L4959" t="s">
        <v>196</v>
      </c>
      <c r="M4959" t="s">
        <v>131</v>
      </c>
      <c r="N4959">
        <v>21</v>
      </c>
      <c r="O4959" t="s">
        <v>40</v>
      </c>
      <c r="P4959" t="s">
        <v>40</v>
      </c>
      <c r="Q4959" t="s">
        <v>40</v>
      </c>
      <c r="R4959" t="s">
        <v>40</v>
      </c>
      <c r="S4959" t="s">
        <v>40</v>
      </c>
      <c r="U4959" s="1">
        <v>37454</v>
      </c>
      <c r="V4959" t="s">
        <v>41</v>
      </c>
      <c r="W4959" t="s">
        <v>75</v>
      </c>
      <c r="X4959" t="str">
        <f>"7521042"</f>
        <v>7521042</v>
      </c>
      <c r="Y4959" t="s">
        <v>440</v>
      </c>
      <c r="Z4959" t="s">
        <v>195</v>
      </c>
      <c r="AA4959" t="s">
        <v>196</v>
      </c>
      <c r="AB4959" t="s">
        <v>131</v>
      </c>
      <c r="AC4959" t="s">
        <v>165</v>
      </c>
      <c r="AD4959" t="s">
        <v>45</v>
      </c>
      <c r="AE4959" s="1">
        <v>22247</v>
      </c>
      <c r="AF4959">
        <v>1</v>
      </c>
      <c r="AG4959" t="s">
        <v>196</v>
      </c>
      <c r="AH4959" s="36">
        <f t="shared" si="77"/>
        <v>58.916666666666664</v>
      </c>
      <c r="AI4959" s="41" t="s">
        <v>1782</v>
      </c>
    </row>
    <row r="4960" spans="1:35" x14ac:dyDescent="0.25">
      <c r="A4960" s="36">
        <v>99914958</v>
      </c>
      <c r="B4960" s="17" t="s">
        <v>56</v>
      </c>
      <c r="C4960" t="s">
        <v>52</v>
      </c>
      <c r="D4960" t="s">
        <v>53</v>
      </c>
      <c r="G4960" s="17" t="s">
        <v>35</v>
      </c>
      <c r="H4960" s="17">
        <v>1</v>
      </c>
      <c r="K4960" t="s">
        <v>1268</v>
      </c>
      <c r="L4960" t="s">
        <v>1269</v>
      </c>
      <c r="M4960" t="s">
        <v>1270</v>
      </c>
      <c r="N4960">
        <v>14</v>
      </c>
      <c r="O4960" t="s">
        <v>40</v>
      </c>
      <c r="P4960" t="s">
        <v>40</v>
      </c>
      <c r="Q4960" t="s">
        <v>40</v>
      </c>
      <c r="R4960" t="s">
        <v>40</v>
      </c>
      <c r="S4960" t="s">
        <v>40</v>
      </c>
      <c r="V4960" t="s">
        <v>41</v>
      </c>
      <c r="W4960" t="s">
        <v>42</v>
      </c>
      <c r="X4960" t="str">
        <f>"1990001"</f>
        <v>1990001</v>
      </c>
      <c r="Y4960" t="s">
        <v>1294</v>
      </c>
      <c r="Z4960" t="s">
        <v>1268</v>
      </c>
      <c r="AA4960" t="s">
        <v>1269</v>
      </c>
      <c r="AB4960" t="s">
        <v>1270</v>
      </c>
      <c r="AC4960" t="s">
        <v>51</v>
      </c>
      <c r="AD4960" t="s">
        <v>45</v>
      </c>
      <c r="AE4960" s="1">
        <v>22242</v>
      </c>
      <c r="AF4960">
        <v>2</v>
      </c>
      <c r="AG4960" t="s">
        <v>1269</v>
      </c>
      <c r="AH4960" s="36">
        <f t="shared" si="77"/>
        <v>58.930555555555557</v>
      </c>
      <c r="AI4960" s="41" t="s">
        <v>1782</v>
      </c>
    </row>
    <row r="4961" spans="1:35" x14ac:dyDescent="0.25">
      <c r="A4961" s="36">
        <v>99914959</v>
      </c>
      <c r="B4961" s="17" t="s">
        <v>56</v>
      </c>
      <c r="C4961" t="s">
        <v>79</v>
      </c>
      <c r="D4961" t="s">
        <v>80</v>
      </c>
      <c r="G4961" s="17" t="s">
        <v>48</v>
      </c>
      <c r="H4961" s="17">
        <v>1</v>
      </c>
      <c r="K4961" t="s">
        <v>431</v>
      </c>
      <c r="L4961" t="s">
        <v>196</v>
      </c>
      <c r="M4961" t="s">
        <v>131</v>
      </c>
      <c r="N4961">
        <v>21</v>
      </c>
      <c r="O4961" t="s">
        <v>40</v>
      </c>
      <c r="P4961" t="s">
        <v>40</v>
      </c>
      <c r="Q4961" t="s">
        <v>40</v>
      </c>
      <c r="S4961" t="s">
        <v>40</v>
      </c>
      <c r="V4961" t="s">
        <v>41</v>
      </c>
      <c r="W4961" t="s">
        <v>75</v>
      </c>
      <c r="X4961" t="str">
        <f>"7521016"</f>
        <v>7521016</v>
      </c>
      <c r="Y4961" t="s">
        <v>448</v>
      </c>
      <c r="Z4961" t="s">
        <v>431</v>
      </c>
      <c r="AA4961" t="s">
        <v>196</v>
      </c>
      <c r="AB4961" t="s">
        <v>131</v>
      </c>
      <c r="AC4961" t="s">
        <v>51</v>
      </c>
      <c r="AD4961" t="s">
        <v>45</v>
      </c>
      <c r="AE4961" s="1">
        <v>22239</v>
      </c>
      <c r="AF4961">
        <v>1</v>
      </c>
      <c r="AG4961" t="s">
        <v>196</v>
      </c>
      <c r="AH4961" s="36">
        <f t="shared" si="77"/>
        <v>58.93888888888889</v>
      </c>
      <c r="AI4961" s="41" t="s">
        <v>1782</v>
      </c>
    </row>
    <row r="4962" spans="1:35" x14ac:dyDescent="0.25">
      <c r="A4962" s="36">
        <v>99914960</v>
      </c>
      <c r="B4962" s="17" t="s">
        <v>32</v>
      </c>
      <c r="C4962" t="s">
        <v>52</v>
      </c>
      <c r="D4962" t="s">
        <v>53</v>
      </c>
      <c r="G4962" s="17" t="s">
        <v>35</v>
      </c>
      <c r="H4962" s="17">
        <v>1</v>
      </c>
      <c r="J4962" s="1">
        <v>38230</v>
      </c>
      <c r="K4962" t="s">
        <v>1336</v>
      </c>
      <c r="L4962" t="s">
        <v>1337</v>
      </c>
      <c r="M4962" t="s">
        <v>1270</v>
      </c>
      <c r="N4962">
        <v>15</v>
      </c>
      <c r="O4962" t="s">
        <v>40</v>
      </c>
      <c r="P4962" t="s">
        <v>40</v>
      </c>
      <c r="Q4962" t="s">
        <v>40</v>
      </c>
      <c r="R4962" t="s">
        <v>40</v>
      </c>
      <c r="S4962" t="s">
        <v>40</v>
      </c>
      <c r="U4962" s="1">
        <v>38230</v>
      </c>
      <c r="V4962" t="s">
        <v>41</v>
      </c>
      <c r="W4962" t="s">
        <v>42</v>
      </c>
      <c r="X4962" t="str">
        <f>"4475070"</f>
        <v>4475070</v>
      </c>
      <c r="Y4962" t="s">
        <v>1338</v>
      </c>
      <c r="Z4962" t="s">
        <v>1336</v>
      </c>
      <c r="AA4962" t="s">
        <v>1337</v>
      </c>
      <c r="AB4962" t="s">
        <v>1270</v>
      </c>
      <c r="AC4962" t="s">
        <v>51</v>
      </c>
      <c r="AD4962" t="s">
        <v>45</v>
      </c>
      <c r="AE4962" s="1">
        <v>22239</v>
      </c>
      <c r="AF4962">
        <v>2</v>
      </c>
      <c r="AG4962" t="s">
        <v>1337</v>
      </c>
      <c r="AH4962" s="36">
        <f t="shared" si="77"/>
        <v>58.93888888888889</v>
      </c>
      <c r="AI4962" s="41" t="s">
        <v>1782</v>
      </c>
    </row>
    <row r="4963" spans="1:35" x14ac:dyDescent="0.25">
      <c r="A4963" s="36">
        <v>99914961</v>
      </c>
      <c r="B4963" s="17" t="s">
        <v>56</v>
      </c>
      <c r="C4963" t="s">
        <v>141</v>
      </c>
      <c r="D4963" t="s">
        <v>142</v>
      </c>
      <c r="G4963" s="17" t="s">
        <v>48</v>
      </c>
      <c r="H4963" s="17">
        <v>1</v>
      </c>
      <c r="K4963" t="s">
        <v>877</v>
      </c>
      <c r="L4963" t="s">
        <v>878</v>
      </c>
      <c r="M4963" t="s">
        <v>131</v>
      </c>
      <c r="N4963">
        <v>20</v>
      </c>
      <c r="O4963" t="s">
        <v>40</v>
      </c>
      <c r="P4963" t="s">
        <v>40</v>
      </c>
      <c r="Q4963" t="s">
        <v>40</v>
      </c>
      <c r="R4963" t="s">
        <v>40</v>
      </c>
      <c r="S4963" t="s">
        <v>40</v>
      </c>
      <c r="V4963" t="s">
        <v>41</v>
      </c>
      <c r="W4963" t="s">
        <v>49</v>
      </c>
      <c r="X4963" t="str">
        <f>"0591908"</f>
        <v>0591908</v>
      </c>
      <c r="Y4963" t="s">
        <v>383</v>
      </c>
      <c r="Z4963" t="s">
        <v>380</v>
      </c>
      <c r="AA4963" t="s">
        <v>381</v>
      </c>
      <c r="AB4963" t="s">
        <v>131</v>
      </c>
      <c r="AC4963" t="s">
        <v>51</v>
      </c>
      <c r="AD4963" t="s">
        <v>45</v>
      </c>
      <c r="AE4963" s="1">
        <v>22233</v>
      </c>
      <c r="AF4963">
        <v>1</v>
      </c>
      <c r="AG4963" t="s">
        <v>878</v>
      </c>
      <c r="AH4963" s="36">
        <f t="shared" si="77"/>
        <v>58.955555555555556</v>
      </c>
      <c r="AI4963" s="41" t="s">
        <v>1782</v>
      </c>
    </row>
    <row r="4964" spans="1:35" x14ac:dyDescent="0.25">
      <c r="A4964" s="36">
        <v>99914962</v>
      </c>
      <c r="B4964" s="17" t="s">
        <v>32</v>
      </c>
      <c r="C4964" t="s">
        <v>139</v>
      </c>
      <c r="D4964" t="s">
        <v>140</v>
      </c>
      <c r="G4964" s="17" t="s">
        <v>48</v>
      </c>
      <c r="H4964" s="17">
        <v>1</v>
      </c>
      <c r="K4964" t="s">
        <v>380</v>
      </c>
      <c r="L4964" t="s">
        <v>381</v>
      </c>
      <c r="M4964" t="s">
        <v>131</v>
      </c>
      <c r="N4964">
        <v>5</v>
      </c>
      <c r="O4964" t="s">
        <v>40</v>
      </c>
      <c r="P4964" t="s">
        <v>40</v>
      </c>
      <c r="Q4964" t="s">
        <v>40</v>
      </c>
      <c r="R4964" t="s">
        <v>40</v>
      </c>
      <c r="S4964" t="s">
        <v>40</v>
      </c>
      <c r="V4964" t="s">
        <v>41</v>
      </c>
      <c r="W4964" t="s">
        <v>42</v>
      </c>
      <c r="X4964" t="str">
        <f>"0590908"</f>
        <v>0590908</v>
      </c>
      <c r="Y4964" t="s">
        <v>382</v>
      </c>
      <c r="Z4964" t="s">
        <v>380</v>
      </c>
      <c r="AA4964" t="s">
        <v>381</v>
      </c>
      <c r="AB4964" t="s">
        <v>131</v>
      </c>
      <c r="AC4964" t="s">
        <v>44</v>
      </c>
      <c r="AD4964" t="s">
        <v>45</v>
      </c>
      <c r="AE4964" s="1">
        <v>22228</v>
      </c>
      <c r="AF4964">
        <v>2</v>
      </c>
      <c r="AG4964" t="s">
        <v>381</v>
      </c>
      <c r="AH4964" s="36">
        <f t="shared" si="77"/>
        <v>58.969444444444441</v>
      </c>
      <c r="AI4964" s="41" t="s">
        <v>1782</v>
      </c>
    </row>
    <row r="4965" spans="1:35" x14ac:dyDescent="0.25">
      <c r="A4965" s="36">
        <v>99914963</v>
      </c>
      <c r="B4965" s="17" t="s">
        <v>32</v>
      </c>
      <c r="C4965" t="s">
        <v>139</v>
      </c>
      <c r="D4965" t="s">
        <v>140</v>
      </c>
      <c r="G4965" s="17" t="s">
        <v>48</v>
      </c>
      <c r="H4965" s="17">
        <v>1</v>
      </c>
      <c r="K4965" t="s">
        <v>1268</v>
      </c>
      <c r="L4965" t="s">
        <v>1269</v>
      </c>
      <c r="M4965" t="s">
        <v>1270</v>
      </c>
      <c r="N4965">
        <v>18</v>
      </c>
      <c r="O4965" t="s">
        <v>40</v>
      </c>
      <c r="P4965" t="s">
        <v>40</v>
      </c>
      <c r="Q4965" t="s">
        <v>40</v>
      </c>
      <c r="S4965" t="s">
        <v>40</v>
      </c>
      <c r="V4965" t="s">
        <v>41</v>
      </c>
      <c r="W4965" t="s">
        <v>42</v>
      </c>
      <c r="X4965" t="str">
        <f>"1980050"</f>
        <v>1980050</v>
      </c>
      <c r="Y4965" t="s">
        <v>1278</v>
      </c>
      <c r="Z4965" t="s">
        <v>1268</v>
      </c>
      <c r="AA4965" t="s">
        <v>1269</v>
      </c>
      <c r="AB4965" t="s">
        <v>1270</v>
      </c>
      <c r="AC4965" t="s">
        <v>51</v>
      </c>
      <c r="AD4965" t="s">
        <v>45</v>
      </c>
      <c r="AE4965" s="1">
        <v>22224</v>
      </c>
      <c r="AF4965">
        <v>2</v>
      </c>
      <c r="AG4965" t="s">
        <v>1269</v>
      </c>
      <c r="AH4965" s="36">
        <f t="shared" si="77"/>
        <v>58.980555555555554</v>
      </c>
      <c r="AI4965" s="41" t="s">
        <v>1782</v>
      </c>
    </row>
    <row r="4966" spans="1:35" x14ac:dyDescent="0.25">
      <c r="A4966" s="36">
        <v>99914964</v>
      </c>
      <c r="B4966" s="17" t="s">
        <v>56</v>
      </c>
      <c r="C4966" t="s">
        <v>52</v>
      </c>
      <c r="D4966" t="s">
        <v>53</v>
      </c>
      <c r="G4966" s="17" t="s">
        <v>48</v>
      </c>
      <c r="H4966" s="17">
        <v>1</v>
      </c>
      <c r="K4966" t="s">
        <v>223</v>
      </c>
      <c r="L4966" t="s">
        <v>224</v>
      </c>
      <c r="M4966" t="s">
        <v>131</v>
      </c>
      <c r="N4966">
        <v>18</v>
      </c>
      <c r="O4966" t="s">
        <v>40</v>
      </c>
      <c r="P4966" t="s">
        <v>40</v>
      </c>
      <c r="Q4966" t="s">
        <v>40</v>
      </c>
      <c r="R4966" t="s">
        <v>40</v>
      </c>
      <c r="S4966" t="s">
        <v>40</v>
      </c>
      <c r="V4966" t="s">
        <v>41</v>
      </c>
      <c r="W4966" t="s">
        <v>42</v>
      </c>
      <c r="X4966" t="str">
        <f>"0580200"</f>
        <v>0580200</v>
      </c>
      <c r="Y4966" t="s">
        <v>245</v>
      </c>
      <c r="Z4966" t="s">
        <v>223</v>
      </c>
      <c r="AA4966" t="s">
        <v>224</v>
      </c>
      <c r="AB4966" t="s">
        <v>131</v>
      </c>
      <c r="AC4966" t="s">
        <v>51</v>
      </c>
      <c r="AD4966" t="s">
        <v>45</v>
      </c>
      <c r="AE4966" s="1">
        <v>22212</v>
      </c>
      <c r="AF4966">
        <v>2</v>
      </c>
      <c r="AG4966" t="s">
        <v>224</v>
      </c>
      <c r="AH4966" s="36">
        <f t="shared" si="77"/>
        <v>59.013888888888886</v>
      </c>
      <c r="AI4966" s="41" t="s">
        <v>1782</v>
      </c>
    </row>
    <row r="4967" spans="1:35" x14ac:dyDescent="0.25">
      <c r="A4967" s="36">
        <v>99914965</v>
      </c>
      <c r="B4967" s="17" t="s">
        <v>56</v>
      </c>
      <c r="C4967" t="s">
        <v>79</v>
      </c>
      <c r="D4967" t="s">
        <v>80</v>
      </c>
      <c r="G4967" s="17" t="s">
        <v>35</v>
      </c>
      <c r="H4967" s="17">
        <v>1</v>
      </c>
      <c r="K4967" t="s">
        <v>223</v>
      </c>
      <c r="L4967" t="s">
        <v>224</v>
      </c>
      <c r="M4967" t="s">
        <v>131</v>
      </c>
      <c r="N4967">
        <v>18</v>
      </c>
      <c r="O4967" t="s">
        <v>40</v>
      </c>
      <c r="P4967" t="s">
        <v>40</v>
      </c>
      <c r="Q4967" t="s">
        <v>40</v>
      </c>
      <c r="S4967" t="s">
        <v>40</v>
      </c>
      <c r="V4967" t="s">
        <v>41</v>
      </c>
      <c r="W4967" t="s">
        <v>49</v>
      </c>
      <c r="X4967" t="str">
        <f>"0581207"</f>
        <v>0581207</v>
      </c>
      <c r="Y4967" t="s">
        <v>233</v>
      </c>
      <c r="Z4967" t="s">
        <v>223</v>
      </c>
      <c r="AA4967" t="s">
        <v>224</v>
      </c>
      <c r="AB4967" t="s">
        <v>131</v>
      </c>
      <c r="AC4967" t="s">
        <v>51</v>
      </c>
      <c r="AD4967" t="s">
        <v>45</v>
      </c>
      <c r="AE4967" s="1">
        <v>22207</v>
      </c>
      <c r="AF4967">
        <v>2</v>
      </c>
      <c r="AG4967" t="s">
        <v>224</v>
      </c>
      <c r="AH4967" s="36">
        <f t="shared" si="77"/>
        <v>59.027777777777779</v>
      </c>
      <c r="AI4967" s="41" t="s">
        <v>1782</v>
      </c>
    </row>
    <row r="4968" spans="1:35" x14ac:dyDescent="0.25">
      <c r="A4968" s="36">
        <v>99914966</v>
      </c>
      <c r="B4968" s="17" t="s">
        <v>32</v>
      </c>
      <c r="C4968" t="s">
        <v>33</v>
      </c>
      <c r="D4968" t="s">
        <v>34</v>
      </c>
      <c r="G4968" s="17" t="s">
        <v>48</v>
      </c>
      <c r="H4968" s="17">
        <v>1</v>
      </c>
      <c r="K4968" t="s">
        <v>223</v>
      </c>
      <c r="L4968" t="s">
        <v>224</v>
      </c>
      <c r="M4968" t="s">
        <v>131</v>
      </c>
      <c r="N4968">
        <v>20</v>
      </c>
      <c r="O4968" t="s">
        <v>40</v>
      </c>
      <c r="P4968" t="s">
        <v>40</v>
      </c>
      <c r="Q4968" t="s">
        <v>40</v>
      </c>
      <c r="R4968" t="s">
        <v>40</v>
      </c>
      <c r="S4968" t="s">
        <v>40</v>
      </c>
      <c r="V4968" t="s">
        <v>41</v>
      </c>
      <c r="W4968" t="s">
        <v>42</v>
      </c>
      <c r="X4968" t="str">
        <f>"0580202"</f>
        <v>0580202</v>
      </c>
      <c r="Y4968" t="s">
        <v>240</v>
      </c>
      <c r="Z4968" t="s">
        <v>223</v>
      </c>
      <c r="AA4968" t="s">
        <v>224</v>
      </c>
      <c r="AB4968" t="s">
        <v>131</v>
      </c>
      <c r="AC4968" t="s">
        <v>165</v>
      </c>
      <c r="AD4968" t="s">
        <v>45</v>
      </c>
      <c r="AE4968" s="1">
        <v>22200</v>
      </c>
      <c r="AF4968">
        <v>2</v>
      </c>
      <c r="AG4968" t="s">
        <v>224</v>
      </c>
      <c r="AH4968" s="36">
        <f t="shared" si="77"/>
        <v>59.047222222222224</v>
      </c>
      <c r="AI4968" s="41" t="s">
        <v>1782</v>
      </c>
    </row>
    <row r="4969" spans="1:35" x14ac:dyDescent="0.25">
      <c r="A4969" s="36">
        <v>99914967</v>
      </c>
      <c r="B4969" s="17" t="s">
        <v>56</v>
      </c>
      <c r="C4969" t="s">
        <v>46</v>
      </c>
      <c r="D4969" t="s">
        <v>47</v>
      </c>
      <c r="G4969" s="17" t="s">
        <v>35</v>
      </c>
      <c r="H4969" s="17">
        <v>1</v>
      </c>
      <c r="K4969" t="s">
        <v>223</v>
      </c>
      <c r="L4969" t="s">
        <v>224</v>
      </c>
      <c r="M4969" t="s">
        <v>131</v>
      </c>
      <c r="N4969">
        <v>18</v>
      </c>
      <c r="O4969" t="s">
        <v>40</v>
      </c>
      <c r="P4969" t="s">
        <v>40</v>
      </c>
      <c r="Q4969" t="s">
        <v>40</v>
      </c>
      <c r="S4969" t="s">
        <v>40</v>
      </c>
      <c r="V4969" t="s">
        <v>41</v>
      </c>
      <c r="W4969" t="s">
        <v>42</v>
      </c>
      <c r="X4969" t="str">
        <f>"0590901"</f>
        <v>0590901</v>
      </c>
      <c r="Y4969" t="s">
        <v>242</v>
      </c>
      <c r="Z4969" t="s">
        <v>223</v>
      </c>
      <c r="AA4969" t="s">
        <v>224</v>
      </c>
      <c r="AB4969" t="s">
        <v>131</v>
      </c>
      <c r="AC4969" t="s">
        <v>165</v>
      </c>
      <c r="AD4969" t="s">
        <v>45</v>
      </c>
      <c r="AE4969" s="1">
        <v>22194</v>
      </c>
      <c r="AF4969">
        <v>2</v>
      </c>
      <c r="AG4969" t="s">
        <v>224</v>
      </c>
      <c r="AH4969" s="36">
        <f t="shared" si="77"/>
        <v>59.06388888888889</v>
      </c>
      <c r="AI4969" s="41" t="s">
        <v>1782</v>
      </c>
    </row>
    <row r="4970" spans="1:35" x14ac:dyDescent="0.25">
      <c r="A4970" s="36">
        <v>99914968</v>
      </c>
      <c r="B4970" s="17" t="s">
        <v>32</v>
      </c>
      <c r="C4970" t="s">
        <v>52</v>
      </c>
      <c r="D4970" t="s">
        <v>53</v>
      </c>
      <c r="G4970" s="17" t="s">
        <v>48</v>
      </c>
      <c r="H4970" s="17">
        <v>1</v>
      </c>
      <c r="K4970" t="s">
        <v>223</v>
      </c>
      <c r="L4970" t="s">
        <v>224</v>
      </c>
      <c r="M4970" t="s">
        <v>131</v>
      </c>
      <c r="N4970">
        <v>18</v>
      </c>
      <c r="O4970" t="s">
        <v>40</v>
      </c>
      <c r="P4970" t="s">
        <v>40</v>
      </c>
      <c r="Q4970" t="s">
        <v>40</v>
      </c>
      <c r="S4970" t="s">
        <v>40</v>
      </c>
      <c r="V4970" t="s">
        <v>41</v>
      </c>
      <c r="W4970" t="s">
        <v>42</v>
      </c>
      <c r="X4970" t="str">
        <f>"0580265"</f>
        <v>0580265</v>
      </c>
      <c r="Y4970" t="s">
        <v>231</v>
      </c>
      <c r="Z4970" t="s">
        <v>223</v>
      </c>
      <c r="AA4970" t="s">
        <v>224</v>
      </c>
      <c r="AB4970" t="s">
        <v>131</v>
      </c>
      <c r="AC4970" t="s">
        <v>51</v>
      </c>
      <c r="AD4970" t="s">
        <v>45</v>
      </c>
      <c r="AE4970" s="1">
        <v>22193</v>
      </c>
      <c r="AF4970">
        <v>2</v>
      </c>
      <c r="AG4970" t="s">
        <v>224</v>
      </c>
      <c r="AH4970" s="36">
        <f t="shared" si="77"/>
        <v>59.06666666666667</v>
      </c>
      <c r="AI4970" s="41" t="s">
        <v>1782</v>
      </c>
    </row>
    <row r="4971" spans="1:35" x14ac:dyDescent="0.25">
      <c r="A4971" s="36">
        <v>99914969</v>
      </c>
      <c r="B4971" s="17" t="s">
        <v>56</v>
      </c>
      <c r="C4971" t="s">
        <v>52</v>
      </c>
      <c r="D4971" t="s">
        <v>53</v>
      </c>
      <c r="G4971" s="17" t="s">
        <v>48</v>
      </c>
      <c r="H4971" s="17">
        <v>1</v>
      </c>
      <c r="K4971" t="s">
        <v>129</v>
      </c>
      <c r="L4971" t="s">
        <v>130</v>
      </c>
      <c r="M4971" t="s">
        <v>131</v>
      </c>
      <c r="N4971">
        <v>18</v>
      </c>
      <c r="O4971" t="s">
        <v>40</v>
      </c>
      <c r="P4971" t="s">
        <v>40</v>
      </c>
      <c r="Q4971" t="s">
        <v>40</v>
      </c>
      <c r="R4971" t="s">
        <v>40</v>
      </c>
      <c r="S4971" t="s">
        <v>40</v>
      </c>
      <c r="V4971" t="s">
        <v>41</v>
      </c>
      <c r="W4971" t="s">
        <v>42</v>
      </c>
      <c r="X4971" t="str">
        <f>"0590905"</f>
        <v>0590905</v>
      </c>
      <c r="Y4971" t="s">
        <v>133</v>
      </c>
      <c r="Z4971" t="s">
        <v>129</v>
      </c>
      <c r="AA4971" t="s">
        <v>130</v>
      </c>
      <c r="AB4971" t="s">
        <v>131</v>
      </c>
      <c r="AC4971" t="s">
        <v>51</v>
      </c>
      <c r="AD4971" t="s">
        <v>45</v>
      </c>
      <c r="AE4971" s="1">
        <v>22189</v>
      </c>
      <c r="AF4971">
        <v>2</v>
      </c>
      <c r="AG4971" t="s">
        <v>130</v>
      </c>
      <c r="AH4971" s="36">
        <f t="shared" si="77"/>
        <v>59.077777777777776</v>
      </c>
      <c r="AI4971" s="41" t="s">
        <v>1782</v>
      </c>
    </row>
    <row r="4972" spans="1:35" x14ac:dyDescent="0.25">
      <c r="A4972" s="36">
        <v>99914970</v>
      </c>
      <c r="B4972" s="17" t="s">
        <v>32</v>
      </c>
      <c r="C4972" t="s">
        <v>46</v>
      </c>
      <c r="D4972" t="s">
        <v>47</v>
      </c>
      <c r="G4972" s="17" t="s">
        <v>48</v>
      </c>
      <c r="H4972" s="17">
        <v>1</v>
      </c>
      <c r="K4972" t="s">
        <v>1268</v>
      </c>
      <c r="L4972" t="s">
        <v>1269</v>
      </c>
      <c r="M4972" t="s">
        <v>1270</v>
      </c>
      <c r="N4972">
        <v>18</v>
      </c>
      <c r="O4972" t="s">
        <v>40</v>
      </c>
      <c r="P4972" t="s">
        <v>40</v>
      </c>
      <c r="Q4972" t="s">
        <v>40</v>
      </c>
      <c r="S4972" t="s">
        <v>40</v>
      </c>
      <c r="V4972" t="s">
        <v>41</v>
      </c>
      <c r="W4972" t="s">
        <v>42</v>
      </c>
      <c r="X4972" t="str">
        <f>"1990911"</f>
        <v>1990911</v>
      </c>
      <c r="Y4972" t="s">
        <v>1276</v>
      </c>
      <c r="Z4972" t="s">
        <v>1268</v>
      </c>
      <c r="AA4972" t="s">
        <v>1269</v>
      </c>
      <c r="AB4972" t="s">
        <v>1270</v>
      </c>
      <c r="AC4972" t="s">
        <v>51</v>
      </c>
      <c r="AD4972" t="s">
        <v>45</v>
      </c>
      <c r="AE4972" s="1">
        <v>22188</v>
      </c>
      <c r="AF4972">
        <v>2</v>
      </c>
      <c r="AG4972" t="s">
        <v>1269</v>
      </c>
      <c r="AH4972" s="36">
        <f t="shared" si="77"/>
        <v>59.080555555555556</v>
      </c>
      <c r="AI4972" s="41" t="s">
        <v>1782</v>
      </c>
    </row>
    <row r="4973" spans="1:35" x14ac:dyDescent="0.25">
      <c r="A4973" s="36">
        <v>99914971</v>
      </c>
      <c r="B4973" s="17" t="s">
        <v>56</v>
      </c>
      <c r="C4973" t="s">
        <v>52</v>
      </c>
      <c r="D4973" t="s">
        <v>53</v>
      </c>
      <c r="G4973" s="17" t="s">
        <v>48</v>
      </c>
      <c r="H4973" s="17">
        <v>1</v>
      </c>
      <c r="K4973" t="s">
        <v>129</v>
      </c>
      <c r="L4973" t="s">
        <v>130</v>
      </c>
      <c r="M4973" t="s">
        <v>131</v>
      </c>
      <c r="N4973">
        <v>18</v>
      </c>
      <c r="O4973" t="s">
        <v>40</v>
      </c>
      <c r="P4973" t="s">
        <v>40</v>
      </c>
      <c r="Q4973" t="s">
        <v>40</v>
      </c>
      <c r="R4973" t="s">
        <v>40</v>
      </c>
      <c r="S4973" t="s">
        <v>40</v>
      </c>
      <c r="V4973" t="s">
        <v>41</v>
      </c>
      <c r="W4973" t="s">
        <v>49</v>
      </c>
      <c r="X4973" t="str">
        <f>"0591905"</f>
        <v>0591905</v>
      </c>
      <c r="Y4973" t="s">
        <v>135</v>
      </c>
      <c r="Z4973" t="s">
        <v>129</v>
      </c>
      <c r="AA4973" t="s">
        <v>130</v>
      </c>
      <c r="AB4973" t="s">
        <v>131</v>
      </c>
      <c r="AC4973" t="s">
        <v>51</v>
      </c>
      <c r="AD4973" t="s">
        <v>45</v>
      </c>
      <c r="AE4973" s="1">
        <v>22180</v>
      </c>
      <c r="AF4973">
        <v>2</v>
      </c>
      <c r="AG4973" t="s">
        <v>130</v>
      </c>
      <c r="AH4973" s="36">
        <f t="shared" si="77"/>
        <v>59.102777777777774</v>
      </c>
      <c r="AI4973" s="41" t="s">
        <v>1782</v>
      </c>
    </row>
    <row r="4974" spans="1:35" x14ac:dyDescent="0.25">
      <c r="A4974" s="36">
        <v>99914972</v>
      </c>
      <c r="B4974" s="17" t="s">
        <v>32</v>
      </c>
      <c r="C4974" t="s">
        <v>141</v>
      </c>
      <c r="D4974" t="s">
        <v>142</v>
      </c>
      <c r="G4974" s="17" t="s">
        <v>48</v>
      </c>
      <c r="H4974" s="17">
        <v>1</v>
      </c>
      <c r="K4974" t="s">
        <v>345</v>
      </c>
      <c r="L4974" t="s">
        <v>346</v>
      </c>
      <c r="M4974" t="s">
        <v>131</v>
      </c>
      <c r="N4974">
        <v>3</v>
      </c>
      <c r="O4974" t="s">
        <v>40</v>
      </c>
      <c r="P4974" t="s">
        <v>40</v>
      </c>
      <c r="Q4974" t="s">
        <v>40</v>
      </c>
      <c r="R4974" t="s">
        <v>40</v>
      </c>
      <c r="S4974" t="s">
        <v>40</v>
      </c>
      <c r="V4974" t="s">
        <v>41</v>
      </c>
      <c r="W4974" t="s">
        <v>49</v>
      </c>
      <c r="X4974" t="str">
        <f>"0561003"</f>
        <v>0561003</v>
      </c>
      <c r="Y4974" t="s">
        <v>370</v>
      </c>
      <c r="Z4974" t="s">
        <v>345</v>
      </c>
      <c r="AA4974" t="s">
        <v>346</v>
      </c>
      <c r="AB4974" t="s">
        <v>131</v>
      </c>
      <c r="AC4974" t="s">
        <v>51</v>
      </c>
      <c r="AD4974" t="s">
        <v>45</v>
      </c>
      <c r="AE4974" s="1">
        <v>22179</v>
      </c>
      <c r="AF4974">
        <v>2</v>
      </c>
      <c r="AG4974" t="s">
        <v>346</v>
      </c>
      <c r="AH4974" s="36">
        <f t="shared" si="77"/>
        <v>59.105555555555554</v>
      </c>
      <c r="AI4974" s="41" t="s">
        <v>1782</v>
      </c>
    </row>
    <row r="4975" spans="1:35" x14ac:dyDescent="0.25">
      <c r="A4975" s="36">
        <v>99914973</v>
      </c>
      <c r="B4975" s="17" t="s">
        <v>56</v>
      </c>
      <c r="C4975" t="s">
        <v>79</v>
      </c>
      <c r="D4975" t="s">
        <v>80</v>
      </c>
      <c r="G4975" s="17" t="s">
        <v>35</v>
      </c>
      <c r="H4975" s="17">
        <v>1</v>
      </c>
      <c r="K4975" t="s">
        <v>223</v>
      </c>
      <c r="L4975" t="s">
        <v>224</v>
      </c>
      <c r="M4975" t="s">
        <v>131</v>
      </c>
      <c r="N4975">
        <v>18</v>
      </c>
      <c r="O4975" t="s">
        <v>40</v>
      </c>
      <c r="P4975" t="s">
        <v>40</v>
      </c>
      <c r="Q4975" t="s">
        <v>40</v>
      </c>
      <c r="S4975" t="s">
        <v>40</v>
      </c>
      <c r="V4975" t="s">
        <v>41</v>
      </c>
      <c r="W4975" t="s">
        <v>42</v>
      </c>
      <c r="X4975" t="str">
        <f>"0590903"</f>
        <v>0590903</v>
      </c>
      <c r="Y4975" t="s">
        <v>226</v>
      </c>
      <c r="Z4975" t="s">
        <v>223</v>
      </c>
      <c r="AA4975" t="s">
        <v>224</v>
      </c>
      <c r="AB4975" t="s">
        <v>131</v>
      </c>
      <c r="AC4975" t="s">
        <v>51</v>
      </c>
      <c r="AD4975" t="s">
        <v>45</v>
      </c>
      <c r="AE4975" s="1">
        <v>22177</v>
      </c>
      <c r="AF4975">
        <v>2</v>
      </c>
      <c r="AG4975" t="s">
        <v>224</v>
      </c>
      <c r="AH4975" s="36">
        <f t="shared" si="77"/>
        <v>59.111111111111114</v>
      </c>
      <c r="AI4975" s="41" t="s">
        <v>1782</v>
      </c>
    </row>
    <row r="4976" spans="1:35" x14ac:dyDescent="0.25">
      <c r="A4976" s="36">
        <v>99914974</v>
      </c>
      <c r="B4976" s="17" t="s">
        <v>56</v>
      </c>
      <c r="C4976" t="s">
        <v>52</v>
      </c>
      <c r="D4976" t="s">
        <v>53</v>
      </c>
      <c r="G4976" s="17" t="s">
        <v>35</v>
      </c>
      <c r="H4976" s="17">
        <v>1</v>
      </c>
      <c r="K4976" t="s">
        <v>1268</v>
      </c>
      <c r="L4976" t="s">
        <v>1269</v>
      </c>
      <c r="M4976" t="s">
        <v>1270</v>
      </c>
      <c r="N4976">
        <v>20</v>
      </c>
      <c r="O4976" t="s">
        <v>40</v>
      </c>
      <c r="P4976" t="s">
        <v>40</v>
      </c>
      <c r="Q4976" t="s">
        <v>40</v>
      </c>
      <c r="R4976" t="s">
        <v>40</v>
      </c>
      <c r="S4976" t="s">
        <v>40</v>
      </c>
      <c r="V4976" t="s">
        <v>41</v>
      </c>
      <c r="W4976" t="s">
        <v>49</v>
      </c>
      <c r="X4976" t="str">
        <f>"1960004"</f>
        <v>1960004</v>
      </c>
      <c r="Y4976" t="s">
        <v>1305</v>
      </c>
      <c r="Z4976" t="s">
        <v>1268</v>
      </c>
      <c r="AA4976" t="s">
        <v>1269</v>
      </c>
      <c r="AB4976" t="s">
        <v>1270</v>
      </c>
      <c r="AC4976" t="s">
        <v>51</v>
      </c>
      <c r="AD4976" t="s">
        <v>45</v>
      </c>
      <c r="AE4976" s="1">
        <v>22177</v>
      </c>
      <c r="AF4976">
        <v>2</v>
      </c>
      <c r="AG4976" t="s">
        <v>1269</v>
      </c>
      <c r="AH4976" s="36">
        <f t="shared" si="77"/>
        <v>59.111111111111114</v>
      </c>
      <c r="AI4976" s="41" t="s">
        <v>1782</v>
      </c>
    </row>
    <row r="4977" spans="1:35" x14ac:dyDescent="0.25">
      <c r="A4977" s="36">
        <v>99914975</v>
      </c>
      <c r="B4977" s="17" t="s">
        <v>56</v>
      </c>
      <c r="C4977" t="s">
        <v>52</v>
      </c>
      <c r="D4977" t="s">
        <v>53</v>
      </c>
      <c r="G4977" s="17" t="s">
        <v>35</v>
      </c>
      <c r="H4977" s="17">
        <v>1</v>
      </c>
      <c r="I4977">
        <v>0</v>
      </c>
      <c r="J4977" s="1">
        <v>43344</v>
      </c>
      <c r="K4977" t="s">
        <v>223</v>
      </c>
      <c r="L4977" t="s">
        <v>224</v>
      </c>
      <c r="M4977" t="s">
        <v>131</v>
      </c>
      <c r="N4977">
        <v>18</v>
      </c>
      <c r="O4977" t="s">
        <v>40</v>
      </c>
      <c r="S4977" t="s">
        <v>40</v>
      </c>
      <c r="U4977" s="1">
        <v>43344</v>
      </c>
      <c r="V4977" t="s">
        <v>41</v>
      </c>
      <c r="W4977" t="s">
        <v>42</v>
      </c>
      <c r="X4977" t="str">
        <f>"0590907"</f>
        <v>0590907</v>
      </c>
      <c r="Y4977" t="s">
        <v>285</v>
      </c>
      <c r="Z4977" t="s">
        <v>223</v>
      </c>
      <c r="AA4977" t="s">
        <v>224</v>
      </c>
      <c r="AB4977" t="s">
        <v>131</v>
      </c>
      <c r="AC4977" t="s">
        <v>51</v>
      </c>
      <c r="AD4977" t="s">
        <v>45</v>
      </c>
      <c r="AE4977" s="1">
        <v>22171</v>
      </c>
      <c r="AF4977">
        <v>2</v>
      </c>
      <c r="AG4977" t="s">
        <v>224</v>
      </c>
      <c r="AH4977" s="36">
        <f t="shared" si="77"/>
        <v>59.12777777777778</v>
      </c>
      <c r="AI4977" s="41" t="s">
        <v>1782</v>
      </c>
    </row>
    <row r="4978" spans="1:35" x14ac:dyDescent="0.25">
      <c r="A4978" s="36">
        <v>99914976</v>
      </c>
      <c r="B4978" s="17" t="s">
        <v>56</v>
      </c>
      <c r="C4978" t="s">
        <v>111</v>
      </c>
      <c r="D4978" t="s">
        <v>112</v>
      </c>
      <c r="G4978" s="17" t="s">
        <v>48</v>
      </c>
      <c r="H4978" s="17">
        <v>17</v>
      </c>
      <c r="J4978" s="1">
        <v>43344</v>
      </c>
      <c r="K4978" t="s">
        <v>354</v>
      </c>
      <c r="L4978" t="s">
        <v>355</v>
      </c>
      <c r="M4978" t="s">
        <v>131</v>
      </c>
      <c r="N4978">
        <v>21</v>
      </c>
      <c r="O4978" t="s">
        <v>40</v>
      </c>
      <c r="P4978" t="s">
        <v>40</v>
      </c>
      <c r="Q4978" t="s">
        <v>40</v>
      </c>
      <c r="R4978" t="s">
        <v>40</v>
      </c>
      <c r="S4978" t="s">
        <v>40</v>
      </c>
      <c r="U4978" s="1">
        <v>43344</v>
      </c>
      <c r="V4978" t="s">
        <v>41</v>
      </c>
      <c r="W4978" t="s">
        <v>75</v>
      </c>
      <c r="X4978" t="str">
        <f>"7054038"</f>
        <v>7054038</v>
      </c>
      <c r="Y4978" t="s">
        <v>377</v>
      </c>
      <c r="Z4978" t="s">
        <v>354</v>
      </c>
      <c r="AA4978" t="s">
        <v>355</v>
      </c>
      <c r="AB4978" t="s">
        <v>131</v>
      </c>
      <c r="AC4978" t="s">
        <v>51</v>
      </c>
      <c r="AD4978" t="s">
        <v>45</v>
      </c>
      <c r="AE4978" s="1">
        <v>22164</v>
      </c>
      <c r="AF4978">
        <v>1</v>
      </c>
      <c r="AG4978" t="s">
        <v>355</v>
      </c>
      <c r="AH4978" s="36">
        <f t="shared" si="77"/>
        <v>59.147222222222226</v>
      </c>
      <c r="AI4978" s="41" t="s">
        <v>1782</v>
      </c>
    </row>
    <row r="4979" spans="1:35" x14ac:dyDescent="0.25">
      <c r="A4979" s="36">
        <v>99914977</v>
      </c>
      <c r="B4979" s="17" t="s">
        <v>56</v>
      </c>
      <c r="C4979" t="s">
        <v>82</v>
      </c>
      <c r="D4979" t="s">
        <v>83</v>
      </c>
      <c r="G4979" s="17" t="s">
        <v>48</v>
      </c>
      <c r="H4979" s="17">
        <v>11</v>
      </c>
      <c r="K4979" t="s">
        <v>1268</v>
      </c>
      <c r="L4979" t="s">
        <v>1269</v>
      </c>
      <c r="M4979" t="s">
        <v>1270</v>
      </c>
      <c r="N4979">
        <v>18</v>
      </c>
      <c r="O4979" t="s">
        <v>40</v>
      </c>
      <c r="P4979" t="s">
        <v>40</v>
      </c>
      <c r="Q4979" t="s">
        <v>40</v>
      </c>
      <c r="R4979" t="s">
        <v>40</v>
      </c>
      <c r="S4979" t="s">
        <v>40</v>
      </c>
      <c r="U4979" s="1">
        <v>43344</v>
      </c>
      <c r="V4979" t="s">
        <v>41</v>
      </c>
      <c r="W4979" t="s">
        <v>42</v>
      </c>
      <c r="X4979" t="str">
        <f>"1980055"</f>
        <v>1980055</v>
      </c>
      <c r="Y4979" t="s">
        <v>1285</v>
      </c>
      <c r="Z4979" t="s">
        <v>1268</v>
      </c>
      <c r="AA4979" t="s">
        <v>1269</v>
      </c>
      <c r="AB4979" t="s">
        <v>1270</v>
      </c>
      <c r="AC4979" t="s">
        <v>165</v>
      </c>
      <c r="AD4979" t="s">
        <v>45</v>
      </c>
      <c r="AE4979" s="1">
        <v>22151</v>
      </c>
      <c r="AF4979">
        <v>2</v>
      </c>
      <c r="AG4979" t="s">
        <v>1269</v>
      </c>
      <c r="AH4979" s="36">
        <f t="shared" si="77"/>
        <v>59.18333333333333</v>
      </c>
      <c r="AI4979" s="41" t="s">
        <v>1782</v>
      </c>
    </row>
    <row r="4980" spans="1:35" x14ac:dyDescent="0.25">
      <c r="A4980" s="36">
        <v>99914978</v>
      </c>
      <c r="B4980" s="17" t="s">
        <v>32</v>
      </c>
      <c r="C4980" t="s">
        <v>111</v>
      </c>
      <c r="D4980" t="s">
        <v>112</v>
      </c>
      <c r="G4980" s="17" t="s">
        <v>35</v>
      </c>
      <c r="H4980" s="17">
        <v>1</v>
      </c>
      <c r="K4980" t="s">
        <v>1502</v>
      </c>
      <c r="L4980" t="s">
        <v>1503</v>
      </c>
      <c r="M4980" t="s">
        <v>670</v>
      </c>
      <c r="N4980">
        <v>21</v>
      </c>
      <c r="O4980" t="s">
        <v>40</v>
      </c>
      <c r="P4980" t="s">
        <v>40</v>
      </c>
      <c r="Q4980" t="s">
        <v>40</v>
      </c>
      <c r="R4980" t="s">
        <v>40</v>
      </c>
      <c r="S4980" t="s">
        <v>40</v>
      </c>
      <c r="V4980" t="s">
        <v>41</v>
      </c>
      <c r="W4980" t="s">
        <v>75</v>
      </c>
      <c r="X4980" t="str">
        <f>"7171000"</f>
        <v>7171000</v>
      </c>
      <c r="Y4980" t="s">
        <v>1506</v>
      </c>
      <c r="Z4980" t="s">
        <v>1502</v>
      </c>
      <c r="AA4980" t="s">
        <v>1503</v>
      </c>
      <c r="AB4980" t="s">
        <v>670</v>
      </c>
      <c r="AC4980" t="s">
        <v>51</v>
      </c>
      <c r="AD4980" t="s">
        <v>45</v>
      </c>
      <c r="AE4980" s="1">
        <v>22150</v>
      </c>
      <c r="AF4980">
        <v>1</v>
      </c>
      <c r="AG4980" t="s">
        <v>1503</v>
      </c>
      <c r="AH4980" s="36">
        <f t="shared" si="77"/>
        <v>59.18611111111111</v>
      </c>
      <c r="AI4980" s="41" t="s">
        <v>1782</v>
      </c>
    </row>
    <row r="4981" spans="1:35" x14ac:dyDescent="0.25">
      <c r="A4981" s="36">
        <v>99914979</v>
      </c>
      <c r="B4981" s="17" t="s">
        <v>32</v>
      </c>
      <c r="C4981" t="s">
        <v>90</v>
      </c>
      <c r="D4981" t="s">
        <v>91</v>
      </c>
      <c r="G4981" s="17" t="s">
        <v>35</v>
      </c>
      <c r="H4981" s="17">
        <v>1</v>
      </c>
      <c r="K4981" t="s">
        <v>667</v>
      </c>
      <c r="L4981" t="s">
        <v>669</v>
      </c>
      <c r="M4981" t="s">
        <v>670</v>
      </c>
      <c r="N4981">
        <v>25</v>
      </c>
      <c r="O4981" t="s">
        <v>40</v>
      </c>
      <c r="P4981" t="s">
        <v>40</v>
      </c>
      <c r="Q4981" t="s">
        <v>40</v>
      </c>
      <c r="S4981" t="s">
        <v>40</v>
      </c>
      <c r="V4981" t="s">
        <v>41</v>
      </c>
      <c r="W4981" t="s">
        <v>95</v>
      </c>
      <c r="X4981" t="str">
        <f>"7501003"</f>
        <v>7501003</v>
      </c>
      <c r="Y4981" t="s">
        <v>1544</v>
      </c>
      <c r="Z4981" t="s">
        <v>667</v>
      </c>
      <c r="AA4981" t="s">
        <v>669</v>
      </c>
      <c r="AB4981" t="s">
        <v>670</v>
      </c>
      <c r="AC4981" t="s">
        <v>51</v>
      </c>
      <c r="AD4981" t="s">
        <v>45</v>
      </c>
      <c r="AE4981" s="1">
        <v>22150</v>
      </c>
      <c r="AF4981">
        <v>1</v>
      </c>
      <c r="AG4981" t="s">
        <v>669</v>
      </c>
      <c r="AH4981" s="36">
        <f t="shared" si="77"/>
        <v>59.18611111111111</v>
      </c>
      <c r="AI4981" s="41" t="s">
        <v>1782</v>
      </c>
    </row>
    <row r="4982" spans="1:35" x14ac:dyDescent="0.25">
      <c r="A4982" s="36">
        <v>99914980</v>
      </c>
      <c r="B4982" s="17" t="s">
        <v>32</v>
      </c>
      <c r="C4982" t="s">
        <v>68</v>
      </c>
      <c r="D4982" t="s">
        <v>69</v>
      </c>
      <c r="G4982" s="17" t="s">
        <v>48</v>
      </c>
      <c r="H4982" s="17">
        <v>1</v>
      </c>
      <c r="K4982" t="s">
        <v>162</v>
      </c>
      <c r="L4982" t="s">
        <v>158</v>
      </c>
      <c r="M4982" t="s">
        <v>131</v>
      </c>
      <c r="N4982">
        <v>18</v>
      </c>
      <c r="O4982" t="s">
        <v>40</v>
      </c>
      <c r="P4982" t="s">
        <v>40</v>
      </c>
      <c r="Q4982" t="s">
        <v>40</v>
      </c>
      <c r="R4982" t="s">
        <v>40</v>
      </c>
      <c r="S4982" t="s">
        <v>40</v>
      </c>
      <c r="V4982" t="s">
        <v>41</v>
      </c>
      <c r="W4982" t="s">
        <v>42</v>
      </c>
      <c r="X4982" t="str">
        <f>"0580320"</f>
        <v>0580320</v>
      </c>
      <c r="Y4982" t="s">
        <v>164</v>
      </c>
      <c r="Z4982" t="s">
        <v>162</v>
      </c>
      <c r="AA4982" t="s">
        <v>158</v>
      </c>
      <c r="AB4982" t="s">
        <v>131</v>
      </c>
      <c r="AC4982" t="s">
        <v>165</v>
      </c>
      <c r="AD4982" t="s">
        <v>45</v>
      </c>
      <c r="AE4982" s="1">
        <v>22143</v>
      </c>
      <c r="AF4982">
        <v>2</v>
      </c>
      <c r="AG4982" t="s">
        <v>158</v>
      </c>
      <c r="AH4982" s="36">
        <f t="shared" si="77"/>
        <v>59.205555555555556</v>
      </c>
      <c r="AI4982" s="41" t="s">
        <v>1782</v>
      </c>
    </row>
    <row r="4983" spans="1:35" x14ac:dyDescent="0.25">
      <c r="A4983" s="36">
        <v>99914981</v>
      </c>
      <c r="B4983" s="17" t="s">
        <v>32</v>
      </c>
      <c r="C4983" t="s">
        <v>58</v>
      </c>
      <c r="D4983" t="s">
        <v>59</v>
      </c>
      <c r="E4983" t="s">
        <v>188</v>
      </c>
      <c r="F4983" t="s">
        <v>189</v>
      </c>
      <c r="G4983" s="17" t="s">
        <v>48</v>
      </c>
      <c r="H4983" s="17">
        <v>1</v>
      </c>
      <c r="K4983" t="s">
        <v>223</v>
      </c>
      <c r="L4983" t="s">
        <v>224</v>
      </c>
      <c r="M4983" t="s">
        <v>131</v>
      </c>
      <c r="N4983">
        <v>20</v>
      </c>
      <c r="O4983" t="s">
        <v>40</v>
      </c>
      <c r="P4983" t="s">
        <v>40</v>
      </c>
      <c r="Q4983" t="s">
        <v>40</v>
      </c>
      <c r="R4983" t="s">
        <v>40</v>
      </c>
      <c r="S4983" t="s">
        <v>40</v>
      </c>
      <c r="V4983" t="s">
        <v>41</v>
      </c>
      <c r="W4983" t="s">
        <v>49</v>
      </c>
      <c r="X4983" t="str">
        <f>"0540902"</f>
        <v>0540902</v>
      </c>
      <c r="Y4983" t="s">
        <v>256</v>
      </c>
      <c r="Z4983" t="s">
        <v>223</v>
      </c>
      <c r="AA4983" t="s">
        <v>224</v>
      </c>
      <c r="AB4983" t="s">
        <v>131</v>
      </c>
      <c r="AC4983" t="s">
        <v>51</v>
      </c>
      <c r="AD4983" t="s">
        <v>45</v>
      </c>
      <c r="AE4983" s="1">
        <v>22141</v>
      </c>
      <c r="AF4983">
        <v>2</v>
      </c>
      <c r="AG4983" t="s">
        <v>224</v>
      </c>
      <c r="AH4983" s="36">
        <f t="shared" si="77"/>
        <v>59.211111111111109</v>
      </c>
      <c r="AI4983" s="41" t="s">
        <v>1782</v>
      </c>
    </row>
    <row r="4984" spans="1:35" x14ac:dyDescent="0.25">
      <c r="A4984" s="36">
        <v>99914982</v>
      </c>
      <c r="B4984" s="17" t="s">
        <v>56</v>
      </c>
      <c r="C4984" t="s">
        <v>79</v>
      </c>
      <c r="D4984" t="s">
        <v>80</v>
      </c>
      <c r="G4984" s="17" t="s">
        <v>35</v>
      </c>
      <c r="H4984" s="17">
        <v>1</v>
      </c>
      <c r="K4984" t="s">
        <v>354</v>
      </c>
      <c r="L4984" t="s">
        <v>355</v>
      </c>
      <c r="M4984" t="s">
        <v>131</v>
      </c>
      <c r="N4984">
        <v>21</v>
      </c>
      <c r="O4984" t="s">
        <v>40</v>
      </c>
      <c r="P4984" t="s">
        <v>40</v>
      </c>
      <c r="Q4984" t="s">
        <v>40</v>
      </c>
      <c r="S4984" t="s">
        <v>40</v>
      </c>
      <c r="V4984" t="s">
        <v>41</v>
      </c>
      <c r="W4984" t="s">
        <v>75</v>
      </c>
      <c r="X4984" t="str">
        <f>"7054022"</f>
        <v>7054022</v>
      </c>
      <c r="Y4984" t="s">
        <v>770</v>
      </c>
      <c r="Z4984" t="s">
        <v>354</v>
      </c>
      <c r="AA4984" t="s">
        <v>355</v>
      </c>
      <c r="AB4984" t="s">
        <v>131</v>
      </c>
      <c r="AC4984" t="s">
        <v>51</v>
      </c>
      <c r="AD4984" t="s">
        <v>45</v>
      </c>
      <c r="AE4984" s="1">
        <v>22140</v>
      </c>
      <c r="AF4984">
        <v>1</v>
      </c>
      <c r="AG4984" t="s">
        <v>355</v>
      </c>
      <c r="AH4984" s="36">
        <f t="shared" si="77"/>
        <v>59.213888888888889</v>
      </c>
      <c r="AI4984" s="41" t="s">
        <v>1782</v>
      </c>
    </row>
    <row r="4985" spans="1:35" x14ac:dyDescent="0.25">
      <c r="A4985" s="36">
        <v>99914983</v>
      </c>
      <c r="B4985" s="17" t="s">
        <v>56</v>
      </c>
      <c r="C4985" t="s">
        <v>68</v>
      </c>
      <c r="D4985" t="s">
        <v>69</v>
      </c>
      <c r="G4985" s="17" t="s">
        <v>48</v>
      </c>
      <c r="H4985" s="17">
        <v>1</v>
      </c>
      <c r="K4985" t="s">
        <v>345</v>
      </c>
      <c r="L4985" t="s">
        <v>346</v>
      </c>
      <c r="M4985" t="s">
        <v>131</v>
      </c>
      <c r="N4985">
        <v>18</v>
      </c>
      <c r="O4985" t="s">
        <v>40</v>
      </c>
      <c r="P4985" t="s">
        <v>40</v>
      </c>
      <c r="Q4985" t="s">
        <v>40</v>
      </c>
      <c r="S4985" t="s">
        <v>40</v>
      </c>
      <c r="V4985" t="s">
        <v>41</v>
      </c>
      <c r="W4985" t="s">
        <v>49</v>
      </c>
      <c r="X4985" t="str">
        <f>"0581605"</f>
        <v>0581605</v>
      </c>
      <c r="Y4985" t="s">
        <v>366</v>
      </c>
      <c r="Z4985" t="s">
        <v>345</v>
      </c>
      <c r="AA4985" t="s">
        <v>346</v>
      </c>
      <c r="AB4985" t="s">
        <v>131</v>
      </c>
      <c r="AC4985" t="s">
        <v>51</v>
      </c>
      <c r="AD4985" t="s">
        <v>45</v>
      </c>
      <c r="AE4985" s="1">
        <v>22138</v>
      </c>
      <c r="AF4985">
        <v>2</v>
      </c>
      <c r="AG4985" t="s">
        <v>346</v>
      </c>
      <c r="AH4985" s="36">
        <f t="shared" si="77"/>
        <v>59.219444444444441</v>
      </c>
      <c r="AI4985" s="41" t="s">
        <v>1782</v>
      </c>
    </row>
    <row r="4986" spans="1:35" x14ac:dyDescent="0.25">
      <c r="A4986" s="36">
        <v>99914984</v>
      </c>
      <c r="B4986" s="17" t="s">
        <v>56</v>
      </c>
      <c r="C4986" t="s">
        <v>79</v>
      </c>
      <c r="D4986" t="s">
        <v>80</v>
      </c>
      <c r="G4986" s="17" t="s">
        <v>48</v>
      </c>
      <c r="H4986" s="17">
        <v>1</v>
      </c>
      <c r="K4986" t="s">
        <v>223</v>
      </c>
      <c r="L4986" t="s">
        <v>224</v>
      </c>
      <c r="M4986" t="s">
        <v>131</v>
      </c>
      <c r="N4986">
        <v>18</v>
      </c>
      <c r="O4986" t="s">
        <v>40</v>
      </c>
      <c r="P4986" t="s">
        <v>40</v>
      </c>
      <c r="Q4986" t="s">
        <v>40</v>
      </c>
      <c r="S4986" t="s">
        <v>40</v>
      </c>
      <c r="V4986" t="s">
        <v>41</v>
      </c>
      <c r="W4986" t="s">
        <v>49</v>
      </c>
      <c r="X4986" t="str">
        <f>"0581206"</f>
        <v>0581206</v>
      </c>
      <c r="Y4986" t="s">
        <v>232</v>
      </c>
      <c r="Z4986" t="s">
        <v>223</v>
      </c>
      <c r="AA4986" t="s">
        <v>224</v>
      </c>
      <c r="AB4986" t="s">
        <v>131</v>
      </c>
      <c r="AC4986" t="s">
        <v>51</v>
      </c>
      <c r="AD4986" t="s">
        <v>45</v>
      </c>
      <c r="AE4986" s="1">
        <v>22110</v>
      </c>
      <c r="AF4986">
        <v>2</v>
      </c>
      <c r="AG4986" t="s">
        <v>224</v>
      </c>
      <c r="AH4986" s="36">
        <f t="shared" si="77"/>
        <v>59.297222222222224</v>
      </c>
      <c r="AI4986" s="41" t="s">
        <v>1782</v>
      </c>
    </row>
    <row r="4987" spans="1:35" x14ac:dyDescent="0.25">
      <c r="A4987" s="36">
        <v>99914985</v>
      </c>
      <c r="B4987" s="17" t="s">
        <v>56</v>
      </c>
      <c r="C4987" t="s">
        <v>52</v>
      </c>
      <c r="D4987" t="s">
        <v>53</v>
      </c>
      <c r="G4987" s="17" t="s">
        <v>48</v>
      </c>
      <c r="H4987" s="17">
        <v>1</v>
      </c>
      <c r="K4987" t="s">
        <v>223</v>
      </c>
      <c r="L4987" t="s">
        <v>224</v>
      </c>
      <c r="M4987" t="s">
        <v>131</v>
      </c>
      <c r="N4987">
        <v>18</v>
      </c>
      <c r="O4987" t="s">
        <v>40</v>
      </c>
      <c r="P4987" t="s">
        <v>40</v>
      </c>
      <c r="Q4987" t="s">
        <v>40</v>
      </c>
      <c r="S4987" t="s">
        <v>40</v>
      </c>
      <c r="V4987" t="s">
        <v>41</v>
      </c>
      <c r="W4987" t="s">
        <v>42</v>
      </c>
      <c r="X4987" t="str">
        <f>"0580204"</f>
        <v>0580204</v>
      </c>
      <c r="Y4987" t="s">
        <v>235</v>
      </c>
      <c r="Z4987" t="s">
        <v>223</v>
      </c>
      <c r="AA4987" t="s">
        <v>224</v>
      </c>
      <c r="AB4987" t="s">
        <v>131</v>
      </c>
      <c r="AC4987" t="s">
        <v>165</v>
      </c>
      <c r="AD4987" t="s">
        <v>45</v>
      </c>
      <c r="AE4987" s="1">
        <v>22093</v>
      </c>
      <c r="AF4987">
        <v>2</v>
      </c>
      <c r="AG4987" t="s">
        <v>224</v>
      </c>
      <c r="AH4987" s="36">
        <f t="shared" si="77"/>
        <v>59.344444444444441</v>
      </c>
      <c r="AI4987" s="41" t="s">
        <v>1782</v>
      </c>
    </row>
    <row r="4988" spans="1:35" x14ac:dyDescent="0.25">
      <c r="A4988" s="36">
        <v>99914986</v>
      </c>
      <c r="B4988" s="17" t="s">
        <v>56</v>
      </c>
      <c r="C4988" t="s">
        <v>79</v>
      </c>
      <c r="D4988" t="s">
        <v>80</v>
      </c>
      <c r="G4988" s="17" t="s">
        <v>35</v>
      </c>
      <c r="H4988" s="17">
        <v>1</v>
      </c>
      <c r="K4988" t="s">
        <v>223</v>
      </c>
      <c r="L4988" t="s">
        <v>224</v>
      </c>
      <c r="M4988" t="s">
        <v>131</v>
      </c>
      <c r="N4988">
        <v>17</v>
      </c>
      <c r="O4988" t="s">
        <v>40</v>
      </c>
      <c r="P4988" t="s">
        <v>40</v>
      </c>
      <c r="Q4988" t="s">
        <v>40</v>
      </c>
      <c r="R4988" t="s">
        <v>40</v>
      </c>
      <c r="S4988" t="s">
        <v>40</v>
      </c>
      <c r="V4988" t="s">
        <v>41</v>
      </c>
      <c r="W4988" t="s">
        <v>49</v>
      </c>
      <c r="X4988" t="str">
        <f>"0591901"</f>
        <v>0591901</v>
      </c>
      <c r="Y4988" t="s">
        <v>230</v>
      </c>
      <c r="Z4988" t="s">
        <v>223</v>
      </c>
      <c r="AA4988" t="s">
        <v>224</v>
      </c>
      <c r="AB4988" t="s">
        <v>131</v>
      </c>
      <c r="AC4988" t="s">
        <v>165</v>
      </c>
      <c r="AD4988" t="s">
        <v>45</v>
      </c>
      <c r="AE4988" s="1">
        <v>22088</v>
      </c>
      <c r="AF4988">
        <v>2</v>
      </c>
      <c r="AG4988" t="s">
        <v>224</v>
      </c>
      <c r="AH4988" s="36">
        <f t="shared" si="77"/>
        <v>59.358333333333334</v>
      </c>
      <c r="AI4988" s="41" t="s">
        <v>1782</v>
      </c>
    </row>
    <row r="4989" spans="1:35" x14ac:dyDescent="0.25">
      <c r="A4989" s="36">
        <v>99914987</v>
      </c>
      <c r="B4989" s="17" t="s">
        <v>32</v>
      </c>
      <c r="C4989" t="s">
        <v>61</v>
      </c>
      <c r="D4989" t="s">
        <v>62</v>
      </c>
      <c r="G4989" s="17" t="s">
        <v>35</v>
      </c>
      <c r="H4989" s="17">
        <v>1</v>
      </c>
      <c r="K4989" t="s">
        <v>877</v>
      </c>
      <c r="L4989" t="s">
        <v>878</v>
      </c>
      <c r="M4989" t="s">
        <v>131</v>
      </c>
      <c r="N4989">
        <v>17</v>
      </c>
      <c r="O4989" t="s">
        <v>40</v>
      </c>
      <c r="P4989" t="s">
        <v>40</v>
      </c>
      <c r="Q4989" t="s">
        <v>40</v>
      </c>
      <c r="S4989" t="s">
        <v>40</v>
      </c>
      <c r="V4989" t="s">
        <v>41</v>
      </c>
      <c r="W4989" t="s">
        <v>75</v>
      </c>
      <c r="X4989" t="str">
        <f>"7700025"</f>
        <v>7700025</v>
      </c>
      <c r="Y4989" t="s">
        <v>880</v>
      </c>
      <c r="Z4989" t="s">
        <v>877</v>
      </c>
      <c r="AA4989" t="s">
        <v>878</v>
      </c>
      <c r="AB4989" t="s">
        <v>131</v>
      </c>
      <c r="AC4989" t="s">
        <v>51</v>
      </c>
      <c r="AD4989" t="s">
        <v>45</v>
      </c>
      <c r="AE4989" s="1">
        <v>22088</v>
      </c>
      <c r="AF4989">
        <v>1</v>
      </c>
      <c r="AG4989" t="s">
        <v>878</v>
      </c>
      <c r="AH4989" s="36">
        <f t="shared" si="77"/>
        <v>59.358333333333334</v>
      </c>
      <c r="AI4989" s="41" t="s">
        <v>1782</v>
      </c>
    </row>
    <row r="4990" spans="1:35" x14ac:dyDescent="0.25">
      <c r="A4990" s="36">
        <v>99914988</v>
      </c>
      <c r="B4990" s="17" t="s">
        <v>32</v>
      </c>
      <c r="C4990" t="s">
        <v>143</v>
      </c>
      <c r="D4990" t="s">
        <v>144</v>
      </c>
      <c r="G4990" s="17" t="s">
        <v>35</v>
      </c>
      <c r="H4990" s="17">
        <v>1</v>
      </c>
      <c r="K4990" t="s">
        <v>223</v>
      </c>
      <c r="L4990" t="s">
        <v>224</v>
      </c>
      <c r="M4990" t="s">
        <v>131</v>
      </c>
      <c r="N4990">
        <v>18</v>
      </c>
      <c r="O4990" t="s">
        <v>40</v>
      </c>
      <c r="P4990" t="s">
        <v>40</v>
      </c>
      <c r="Q4990" t="s">
        <v>40</v>
      </c>
      <c r="S4990" t="s">
        <v>40</v>
      </c>
      <c r="V4990" t="s">
        <v>41</v>
      </c>
      <c r="W4990" t="s">
        <v>49</v>
      </c>
      <c r="X4990" t="str">
        <f>"0591901"</f>
        <v>0591901</v>
      </c>
      <c r="Y4990" t="s">
        <v>230</v>
      </c>
      <c r="Z4990" t="s">
        <v>223</v>
      </c>
      <c r="AA4990" t="s">
        <v>224</v>
      </c>
      <c r="AB4990" t="s">
        <v>131</v>
      </c>
      <c r="AC4990" t="s">
        <v>165</v>
      </c>
      <c r="AD4990" t="s">
        <v>45</v>
      </c>
      <c r="AE4990" s="1">
        <v>22086</v>
      </c>
      <c r="AF4990">
        <v>2</v>
      </c>
      <c r="AG4990" t="s">
        <v>224</v>
      </c>
      <c r="AH4990" s="36">
        <f t="shared" si="77"/>
        <v>59.363888888888887</v>
      </c>
      <c r="AI4990" s="41" t="s">
        <v>1782</v>
      </c>
    </row>
    <row r="4991" spans="1:35" x14ac:dyDescent="0.25">
      <c r="A4991" s="36">
        <v>99914989</v>
      </c>
      <c r="B4991" s="17" t="s">
        <v>56</v>
      </c>
      <c r="C4991" t="s">
        <v>52</v>
      </c>
      <c r="D4991" t="s">
        <v>53</v>
      </c>
      <c r="G4991" s="17" t="s">
        <v>48</v>
      </c>
      <c r="H4991" s="17">
        <v>1</v>
      </c>
      <c r="K4991" t="s">
        <v>223</v>
      </c>
      <c r="L4991" t="s">
        <v>224</v>
      </c>
      <c r="M4991" t="s">
        <v>131</v>
      </c>
      <c r="N4991">
        <v>18</v>
      </c>
      <c r="O4991" t="s">
        <v>40</v>
      </c>
      <c r="P4991" t="s">
        <v>40</v>
      </c>
      <c r="Q4991" t="s">
        <v>40</v>
      </c>
      <c r="S4991" t="s">
        <v>40</v>
      </c>
      <c r="V4991" t="s">
        <v>41</v>
      </c>
      <c r="W4991" t="s">
        <v>42</v>
      </c>
      <c r="X4991" t="str">
        <f>"0580203"</f>
        <v>0580203</v>
      </c>
      <c r="Y4991" t="s">
        <v>239</v>
      </c>
      <c r="Z4991" t="s">
        <v>223</v>
      </c>
      <c r="AA4991" t="s">
        <v>224</v>
      </c>
      <c r="AB4991" t="s">
        <v>131</v>
      </c>
      <c r="AC4991" t="s">
        <v>51</v>
      </c>
      <c r="AD4991" t="s">
        <v>45</v>
      </c>
      <c r="AE4991" s="1">
        <v>22086</v>
      </c>
      <c r="AF4991">
        <v>2</v>
      </c>
      <c r="AG4991" t="s">
        <v>224</v>
      </c>
      <c r="AH4991" s="36">
        <f t="shared" si="77"/>
        <v>59.363888888888887</v>
      </c>
      <c r="AI4991" s="41" t="s">
        <v>1782</v>
      </c>
    </row>
    <row r="4992" spans="1:35" x14ac:dyDescent="0.25">
      <c r="A4992" s="36">
        <v>99914990</v>
      </c>
      <c r="B4992" s="17" t="s">
        <v>56</v>
      </c>
      <c r="C4992" t="s">
        <v>52</v>
      </c>
      <c r="D4992" t="s">
        <v>53</v>
      </c>
      <c r="G4992" s="17" t="s">
        <v>48</v>
      </c>
      <c r="H4992" s="17">
        <v>1</v>
      </c>
      <c r="K4992" t="s">
        <v>157</v>
      </c>
      <c r="L4992" t="s">
        <v>158</v>
      </c>
      <c r="M4992" t="s">
        <v>131</v>
      </c>
      <c r="N4992">
        <v>19</v>
      </c>
      <c r="O4992" t="s">
        <v>40</v>
      </c>
      <c r="P4992" t="s">
        <v>40</v>
      </c>
      <c r="Q4992" t="s">
        <v>40</v>
      </c>
      <c r="S4992" t="s">
        <v>40</v>
      </c>
      <c r="V4992" t="s">
        <v>41</v>
      </c>
      <c r="W4992" t="s">
        <v>42</v>
      </c>
      <c r="X4992" t="str">
        <f>"0580470"</f>
        <v>0580470</v>
      </c>
      <c r="Y4992" t="s">
        <v>175</v>
      </c>
      <c r="Z4992" t="s">
        <v>157</v>
      </c>
      <c r="AA4992" t="s">
        <v>158</v>
      </c>
      <c r="AB4992" t="s">
        <v>131</v>
      </c>
      <c r="AC4992" t="s">
        <v>51</v>
      </c>
      <c r="AD4992" t="s">
        <v>45</v>
      </c>
      <c r="AE4992" s="1">
        <v>22082</v>
      </c>
      <c r="AF4992">
        <v>2</v>
      </c>
      <c r="AG4992" t="s">
        <v>158</v>
      </c>
      <c r="AH4992" s="36">
        <f t="shared" si="77"/>
        <v>59.375</v>
      </c>
      <c r="AI4992" s="41" t="s">
        <v>1782</v>
      </c>
    </row>
    <row r="4993" spans="1:35" x14ac:dyDescent="0.25">
      <c r="A4993" s="36">
        <v>99914991</v>
      </c>
      <c r="B4993" s="17" t="s">
        <v>32</v>
      </c>
      <c r="C4993" t="s">
        <v>111</v>
      </c>
      <c r="D4993" t="s">
        <v>112</v>
      </c>
      <c r="G4993" s="17" t="s">
        <v>35</v>
      </c>
      <c r="H4993" s="17">
        <v>1</v>
      </c>
      <c r="I4993" t="s">
        <v>581</v>
      </c>
      <c r="J4993" s="1">
        <v>43344</v>
      </c>
      <c r="K4993" t="s">
        <v>268</v>
      </c>
      <c r="L4993" t="s">
        <v>269</v>
      </c>
      <c r="M4993" t="s">
        <v>131</v>
      </c>
      <c r="N4993">
        <v>21</v>
      </c>
      <c r="O4993" t="s">
        <v>40</v>
      </c>
      <c r="S4993" t="s">
        <v>40</v>
      </c>
      <c r="U4993" s="1">
        <v>43344</v>
      </c>
      <c r="V4993" t="s">
        <v>41</v>
      </c>
      <c r="W4993" t="s">
        <v>75</v>
      </c>
      <c r="X4993" t="str">
        <f>"7052020"</f>
        <v>7052020</v>
      </c>
      <c r="Y4993" t="s">
        <v>267</v>
      </c>
      <c r="Z4993" t="s">
        <v>268</v>
      </c>
      <c r="AA4993" t="s">
        <v>269</v>
      </c>
      <c r="AB4993" t="s">
        <v>131</v>
      </c>
      <c r="AC4993" t="s">
        <v>51</v>
      </c>
      <c r="AD4993" t="s">
        <v>45</v>
      </c>
      <c r="AE4993" s="1">
        <v>22078</v>
      </c>
      <c r="AF4993">
        <v>1</v>
      </c>
      <c r="AG4993" t="s">
        <v>269</v>
      </c>
      <c r="AH4993" s="36">
        <f t="shared" si="77"/>
        <v>59.386111111111113</v>
      </c>
      <c r="AI4993" s="41" t="s">
        <v>1782</v>
      </c>
    </row>
    <row r="4994" spans="1:35" x14ac:dyDescent="0.25">
      <c r="A4994" s="36">
        <v>99914992</v>
      </c>
      <c r="B4994" s="17" t="s">
        <v>56</v>
      </c>
      <c r="C4994" t="s">
        <v>68</v>
      </c>
      <c r="D4994" t="s">
        <v>69</v>
      </c>
      <c r="G4994" s="17" t="s">
        <v>35</v>
      </c>
      <c r="H4994" s="17">
        <v>1</v>
      </c>
      <c r="I4994">
        <v>0</v>
      </c>
      <c r="J4994" s="1">
        <v>43344</v>
      </c>
      <c r="K4994" t="s">
        <v>223</v>
      </c>
      <c r="L4994" t="s">
        <v>224</v>
      </c>
      <c r="M4994" t="s">
        <v>131</v>
      </c>
      <c r="N4994">
        <v>18</v>
      </c>
      <c r="O4994" t="s">
        <v>40</v>
      </c>
      <c r="S4994" t="s">
        <v>40</v>
      </c>
      <c r="U4994" s="1">
        <v>43344</v>
      </c>
      <c r="V4994" t="s">
        <v>41</v>
      </c>
      <c r="W4994" t="s">
        <v>42</v>
      </c>
      <c r="X4994" t="str">
        <f>"0590907"</f>
        <v>0590907</v>
      </c>
      <c r="Y4994" t="s">
        <v>285</v>
      </c>
      <c r="Z4994" t="s">
        <v>223</v>
      </c>
      <c r="AA4994" t="s">
        <v>224</v>
      </c>
      <c r="AB4994" t="s">
        <v>131</v>
      </c>
      <c r="AC4994" t="s">
        <v>51</v>
      </c>
      <c r="AD4994" t="s">
        <v>45</v>
      </c>
      <c r="AE4994" s="1">
        <v>22077</v>
      </c>
      <c r="AF4994">
        <v>2</v>
      </c>
      <c r="AG4994" t="s">
        <v>224</v>
      </c>
      <c r="AH4994" s="36">
        <f t="shared" ref="AH4994:AH5057" si="78">($AJ$1-AE4994)/360</f>
        <v>59.388888888888886</v>
      </c>
      <c r="AI4994" s="41" t="s">
        <v>1782</v>
      </c>
    </row>
    <row r="4995" spans="1:35" x14ac:dyDescent="0.25">
      <c r="A4995" s="36">
        <v>99914993</v>
      </c>
      <c r="B4995" s="17" t="s">
        <v>32</v>
      </c>
      <c r="C4995" t="s">
        <v>64</v>
      </c>
      <c r="D4995" t="s">
        <v>65</v>
      </c>
      <c r="G4995" s="17" t="s">
        <v>48</v>
      </c>
      <c r="H4995" s="17">
        <v>1</v>
      </c>
      <c r="K4995" t="s">
        <v>1187</v>
      </c>
      <c r="L4995" t="s">
        <v>1188</v>
      </c>
      <c r="M4995" t="s">
        <v>1130</v>
      </c>
      <c r="N4995">
        <v>20</v>
      </c>
      <c r="O4995" t="s">
        <v>40</v>
      </c>
      <c r="P4995" t="s">
        <v>40</v>
      </c>
      <c r="Q4995" t="s">
        <v>40</v>
      </c>
      <c r="R4995" t="s">
        <v>40</v>
      </c>
      <c r="S4995" t="s">
        <v>40</v>
      </c>
      <c r="V4995" t="s">
        <v>41</v>
      </c>
      <c r="W4995" t="s">
        <v>42</v>
      </c>
      <c r="X4995" t="str">
        <f>"4580015"</f>
        <v>4580015</v>
      </c>
      <c r="Y4995" t="s">
        <v>1189</v>
      </c>
      <c r="Z4995" t="s">
        <v>1187</v>
      </c>
      <c r="AA4995" t="s">
        <v>1188</v>
      </c>
      <c r="AB4995" t="s">
        <v>1130</v>
      </c>
      <c r="AC4995" t="s">
        <v>51</v>
      </c>
      <c r="AD4995" t="s">
        <v>45</v>
      </c>
      <c r="AE4995" s="1">
        <v>22066</v>
      </c>
      <c r="AF4995">
        <v>2</v>
      </c>
      <c r="AG4995" t="s">
        <v>1188</v>
      </c>
      <c r="AH4995" s="36">
        <f t="shared" si="78"/>
        <v>59.419444444444444</v>
      </c>
      <c r="AI4995" s="41" t="s">
        <v>1782</v>
      </c>
    </row>
    <row r="4996" spans="1:35" x14ac:dyDescent="0.25">
      <c r="A4996" s="36">
        <v>99914994</v>
      </c>
      <c r="B4996" s="17" t="s">
        <v>32</v>
      </c>
      <c r="C4996" t="s">
        <v>111</v>
      </c>
      <c r="D4996" t="s">
        <v>112</v>
      </c>
      <c r="G4996" s="17" t="s">
        <v>35</v>
      </c>
      <c r="H4996" s="17">
        <v>1</v>
      </c>
      <c r="K4996" t="s">
        <v>268</v>
      </c>
      <c r="L4996" t="s">
        <v>269</v>
      </c>
      <c r="M4996" t="s">
        <v>131</v>
      </c>
      <c r="N4996">
        <v>10</v>
      </c>
      <c r="O4996" t="s">
        <v>40</v>
      </c>
      <c r="P4996" t="s">
        <v>40</v>
      </c>
      <c r="Q4996" t="s">
        <v>40</v>
      </c>
      <c r="R4996" t="s">
        <v>40</v>
      </c>
      <c r="S4996" t="s">
        <v>40</v>
      </c>
      <c r="V4996" t="s">
        <v>41</v>
      </c>
      <c r="W4996" t="s">
        <v>75</v>
      </c>
      <c r="X4996" t="str">
        <f>"7052028"</f>
        <v>7052028</v>
      </c>
      <c r="Y4996" t="s">
        <v>601</v>
      </c>
      <c r="Z4996" t="s">
        <v>268</v>
      </c>
      <c r="AA4996" t="s">
        <v>269</v>
      </c>
      <c r="AB4996" t="s">
        <v>131</v>
      </c>
      <c r="AC4996" t="s">
        <v>51</v>
      </c>
      <c r="AD4996" t="s">
        <v>45</v>
      </c>
      <c r="AE4996" s="1">
        <v>22059</v>
      </c>
      <c r="AF4996">
        <v>1</v>
      </c>
      <c r="AG4996" t="s">
        <v>269</v>
      </c>
      <c r="AH4996" s="36">
        <f t="shared" si="78"/>
        <v>59.43888888888889</v>
      </c>
      <c r="AI4996" s="41" t="s">
        <v>1782</v>
      </c>
    </row>
    <row r="4997" spans="1:35" x14ac:dyDescent="0.25">
      <c r="A4997" s="36">
        <v>99914995</v>
      </c>
      <c r="B4997" s="17" t="s">
        <v>56</v>
      </c>
      <c r="C4997" t="s">
        <v>145</v>
      </c>
      <c r="D4997" t="s">
        <v>146</v>
      </c>
      <c r="G4997" s="17" t="s">
        <v>48</v>
      </c>
      <c r="H4997" s="17">
        <v>1</v>
      </c>
      <c r="K4997" t="s">
        <v>223</v>
      </c>
      <c r="L4997" t="s">
        <v>224</v>
      </c>
      <c r="M4997" t="s">
        <v>131</v>
      </c>
      <c r="N4997">
        <v>9</v>
      </c>
      <c r="O4997" t="s">
        <v>40</v>
      </c>
      <c r="P4997" t="s">
        <v>40</v>
      </c>
      <c r="Q4997" t="s">
        <v>40</v>
      </c>
      <c r="R4997" t="s">
        <v>40</v>
      </c>
      <c r="S4997" t="s">
        <v>40</v>
      </c>
      <c r="V4997" t="s">
        <v>41</v>
      </c>
      <c r="W4997" t="s">
        <v>49</v>
      </c>
      <c r="X4997" t="str">
        <f>"0560016"</f>
        <v>0560016</v>
      </c>
      <c r="Y4997" t="s">
        <v>254</v>
      </c>
      <c r="Z4997" t="s">
        <v>223</v>
      </c>
      <c r="AA4997" t="s">
        <v>224</v>
      </c>
      <c r="AB4997" t="s">
        <v>131</v>
      </c>
      <c r="AC4997" t="s">
        <v>51</v>
      </c>
      <c r="AD4997" t="s">
        <v>45</v>
      </c>
      <c r="AE4997" s="1">
        <v>22058</v>
      </c>
      <c r="AF4997">
        <v>2</v>
      </c>
      <c r="AG4997" t="s">
        <v>224</v>
      </c>
      <c r="AH4997" s="36">
        <f t="shared" si="78"/>
        <v>59.44166666666667</v>
      </c>
      <c r="AI4997" s="41" t="s">
        <v>1782</v>
      </c>
    </row>
    <row r="4998" spans="1:35" x14ac:dyDescent="0.25">
      <c r="A4998" s="36">
        <v>99914996</v>
      </c>
      <c r="B4998" s="17" t="s">
        <v>56</v>
      </c>
      <c r="C4998" t="s">
        <v>58</v>
      </c>
      <c r="D4998" t="s">
        <v>59</v>
      </c>
      <c r="G4998" s="17" t="s">
        <v>35</v>
      </c>
      <c r="H4998" s="17">
        <v>1</v>
      </c>
      <c r="K4998" t="s">
        <v>223</v>
      </c>
      <c r="L4998" t="s">
        <v>224</v>
      </c>
      <c r="M4998" t="s">
        <v>131</v>
      </c>
      <c r="N4998">
        <v>21</v>
      </c>
      <c r="O4998" t="s">
        <v>40</v>
      </c>
      <c r="P4998" t="s">
        <v>40</v>
      </c>
      <c r="Q4998" t="s">
        <v>40</v>
      </c>
      <c r="R4998" t="s">
        <v>40</v>
      </c>
      <c r="S4998" t="s">
        <v>40</v>
      </c>
      <c r="V4998" t="s">
        <v>41</v>
      </c>
      <c r="W4998" t="s">
        <v>42</v>
      </c>
      <c r="X4998" t="str">
        <f>"0590901"</f>
        <v>0590901</v>
      </c>
      <c r="Y4998" t="s">
        <v>242</v>
      </c>
      <c r="Z4998" t="s">
        <v>223</v>
      </c>
      <c r="AA4998" t="s">
        <v>224</v>
      </c>
      <c r="AB4998" t="s">
        <v>131</v>
      </c>
      <c r="AC4998" t="s">
        <v>51</v>
      </c>
      <c r="AD4998" t="s">
        <v>45</v>
      </c>
      <c r="AE4998" s="1">
        <v>22058</v>
      </c>
      <c r="AF4998">
        <v>2</v>
      </c>
      <c r="AG4998" t="s">
        <v>224</v>
      </c>
      <c r="AH4998" s="36">
        <f t="shared" si="78"/>
        <v>59.44166666666667</v>
      </c>
      <c r="AI4998" s="41" t="s">
        <v>1782</v>
      </c>
    </row>
    <row r="4999" spans="1:35" x14ac:dyDescent="0.25">
      <c r="A4999" s="36">
        <v>99914997</v>
      </c>
      <c r="B4999" s="17" t="s">
        <v>32</v>
      </c>
      <c r="C4999" t="s">
        <v>143</v>
      </c>
      <c r="D4999" t="s">
        <v>144</v>
      </c>
      <c r="G4999" s="17" t="s">
        <v>48</v>
      </c>
      <c r="H4999" s="17">
        <v>1</v>
      </c>
      <c r="K4999" t="s">
        <v>223</v>
      </c>
      <c r="L4999" t="s">
        <v>224</v>
      </c>
      <c r="M4999" t="s">
        <v>131</v>
      </c>
      <c r="N4999">
        <v>17</v>
      </c>
      <c r="O4999" t="s">
        <v>40</v>
      </c>
      <c r="P4999" t="s">
        <v>40</v>
      </c>
      <c r="Q4999" t="s">
        <v>40</v>
      </c>
      <c r="R4999" t="s">
        <v>40</v>
      </c>
      <c r="S4999" t="s">
        <v>40</v>
      </c>
      <c r="V4999" t="s">
        <v>41</v>
      </c>
      <c r="W4999" t="s">
        <v>49</v>
      </c>
      <c r="X4999" t="str">
        <f>"0581200"</f>
        <v>0581200</v>
      </c>
      <c r="Y4999" t="s">
        <v>238</v>
      </c>
      <c r="Z4999" t="s">
        <v>223</v>
      </c>
      <c r="AA4999" t="s">
        <v>224</v>
      </c>
      <c r="AB4999" t="s">
        <v>131</v>
      </c>
      <c r="AC4999" t="s">
        <v>51</v>
      </c>
      <c r="AD4999" t="s">
        <v>45</v>
      </c>
      <c r="AE4999" s="1">
        <v>22056</v>
      </c>
      <c r="AF4999">
        <v>2</v>
      </c>
      <c r="AG4999" t="s">
        <v>224</v>
      </c>
      <c r="AH4999" s="36">
        <f t="shared" si="78"/>
        <v>59.447222222222223</v>
      </c>
      <c r="AI4999" s="41" t="s">
        <v>1782</v>
      </c>
    </row>
    <row r="5000" spans="1:35" x14ac:dyDescent="0.25">
      <c r="A5000" s="36">
        <v>99914998</v>
      </c>
      <c r="B5000" s="17" t="s">
        <v>56</v>
      </c>
      <c r="C5000" t="s">
        <v>68</v>
      </c>
      <c r="D5000" t="s">
        <v>69</v>
      </c>
      <c r="G5000" s="17" t="s">
        <v>48</v>
      </c>
      <c r="H5000" s="17">
        <v>1</v>
      </c>
      <c r="K5000" t="s">
        <v>1613</v>
      </c>
      <c r="L5000" t="s">
        <v>1614</v>
      </c>
      <c r="M5000" t="s">
        <v>1592</v>
      </c>
      <c r="N5000">
        <v>15</v>
      </c>
      <c r="O5000" t="s">
        <v>40</v>
      </c>
      <c r="P5000" t="s">
        <v>40</v>
      </c>
      <c r="Q5000" t="s">
        <v>40</v>
      </c>
      <c r="R5000" t="s">
        <v>40</v>
      </c>
      <c r="S5000" t="s">
        <v>40</v>
      </c>
      <c r="V5000" t="s">
        <v>41</v>
      </c>
      <c r="W5000" t="s">
        <v>49</v>
      </c>
      <c r="X5000" t="str">
        <f>"2881010"</f>
        <v>2881010</v>
      </c>
      <c r="Y5000" t="s">
        <v>1622</v>
      </c>
      <c r="Z5000" t="s">
        <v>1613</v>
      </c>
      <c r="AA5000" t="s">
        <v>1614</v>
      </c>
      <c r="AB5000" t="s">
        <v>1592</v>
      </c>
      <c r="AC5000" t="s">
        <v>51</v>
      </c>
      <c r="AD5000" t="s">
        <v>45</v>
      </c>
      <c r="AE5000" s="1">
        <v>22052</v>
      </c>
      <c r="AF5000">
        <v>2</v>
      </c>
      <c r="AG5000" t="s">
        <v>1614</v>
      </c>
      <c r="AH5000" s="36">
        <f t="shared" si="78"/>
        <v>59.458333333333336</v>
      </c>
      <c r="AI5000" s="41" t="s">
        <v>1782</v>
      </c>
    </row>
    <row r="5001" spans="1:35" x14ac:dyDescent="0.25">
      <c r="A5001" s="36">
        <v>99914999</v>
      </c>
      <c r="B5001" s="17" t="s">
        <v>32</v>
      </c>
      <c r="C5001" t="s">
        <v>111</v>
      </c>
      <c r="D5001" t="s">
        <v>112</v>
      </c>
      <c r="G5001" s="17" t="s">
        <v>35</v>
      </c>
      <c r="H5001" s="17">
        <v>18</v>
      </c>
      <c r="K5001" t="s">
        <v>268</v>
      </c>
      <c r="L5001" t="s">
        <v>269</v>
      </c>
      <c r="M5001" t="s">
        <v>131</v>
      </c>
      <c r="N5001">
        <v>21</v>
      </c>
      <c r="O5001" t="s">
        <v>40</v>
      </c>
      <c r="P5001" t="s">
        <v>40</v>
      </c>
      <c r="Q5001" t="s">
        <v>40</v>
      </c>
      <c r="R5001" t="s">
        <v>40</v>
      </c>
      <c r="S5001" t="s">
        <v>40</v>
      </c>
      <c r="V5001" t="s">
        <v>41</v>
      </c>
      <c r="W5001" t="s">
        <v>75</v>
      </c>
      <c r="X5001" t="str">
        <f>"7052002"</f>
        <v>7052002</v>
      </c>
      <c r="Y5001" t="s">
        <v>590</v>
      </c>
      <c r="Z5001" t="s">
        <v>268</v>
      </c>
      <c r="AA5001" t="s">
        <v>269</v>
      </c>
      <c r="AB5001" t="s">
        <v>131</v>
      </c>
      <c r="AC5001" t="s">
        <v>165</v>
      </c>
      <c r="AD5001" t="s">
        <v>45</v>
      </c>
      <c r="AE5001" s="1">
        <v>22048</v>
      </c>
      <c r="AF5001">
        <v>1</v>
      </c>
      <c r="AG5001" t="s">
        <v>269</v>
      </c>
      <c r="AH5001" s="36">
        <f t="shared" si="78"/>
        <v>59.469444444444441</v>
      </c>
      <c r="AI5001" s="41" t="s">
        <v>1782</v>
      </c>
    </row>
    <row r="5002" spans="1:35" x14ac:dyDescent="0.25">
      <c r="A5002" s="36">
        <v>99915000</v>
      </c>
      <c r="B5002" s="17" t="s">
        <v>56</v>
      </c>
      <c r="C5002" t="s">
        <v>79</v>
      </c>
      <c r="D5002" t="s">
        <v>80</v>
      </c>
      <c r="G5002" s="17" t="s">
        <v>48</v>
      </c>
      <c r="H5002" s="17">
        <v>1</v>
      </c>
      <c r="I5002" t="s">
        <v>1321</v>
      </c>
      <c r="K5002" t="s">
        <v>1306</v>
      </c>
      <c r="L5002" t="s">
        <v>1307</v>
      </c>
      <c r="M5002" t="s">
        <v>1270</v>
      </c>
      <c r="N5002">
        <v>18</v>
      </c>
      <c r="O5002" t="s">
        <v>40</v>
      </c>
      <c r="P5002" t="s">
        <v>40</v>
      </c>
      <c r="Q5002" t="s">
        <v>40</v>
      </c>
      <c r="R5002" t="s">
        <v>40</v>
      </c>
      <c r="S5002" t="s">
        <v>40</v>
      </c>
      <c r="V5002" t="s">
        <v>41</v>
      </c>
      <c r="W5002" t="s">
        <v>49</v>
      </c>
      <c r="X5002" t="str">
        <f>"1991913"</f>
        <v>1991913</v>
      </c>
      <c r="Y5002" t="s">
        <v>1310</v>
      </c>
      <c r="Z5002" t="s">
        <v>1306</v>
      </c>
      <c r="AA5002" t="s">
        <v>1307</v>
      </c>
      <c r="AB5002" t="s">
        <v>1270</v>
      </c>
      <c r="AC5002" t="s">
        <v>51</v>
      </c>
      <c r="AD5002" t="s">
        <v>45</v>
      </c>
      <c r="AE5002" s="1">
        <v>22047</v>
      </c>
      <c r="AF5002">
        <v>2</v>
      </c>
      <c r="AG5002" t="s">
        <v>1307</v>
      </c>
      <c r="AH5002" s="36">
        <f t="shared" si="78"/>
        <v>59.472222222222221</v>
      </c>
      <c r="AI5002" s="41" t="s">
        <v>1782</v>
      </c>
    </row>
    <row r="5003" spans="1:35" x14ac:dyDescent="0.25">
      <c r="A5003" s="36">
        <v>99915001</v>
      </c>
      <c r="B5003" s="17" t="s">
        <v>56</v>
      </c>
      <c r="C5003" t="s">
        <v>52</v>
      </c>
      <c r="D5003" t="s">
        <v>53</v>
      </c>
      <c r="G5003" s="17" t="s">
        <v>48</v>
      </c>
      <c r="H5003" s="17">
        <v>1</v>
      </c>
      <c r="K5003" t="s">
        <v>223</v>
      </c>
      <c r="L5003" t="s">
        <v>224</v>
      </c>
      <c r="M5003" t="s">
        <v>131</v>
      </c>
      <c r="N5003">
        <v>20</v>
      </c>
      <c r="O5003" t="s">
        <v>40</v>
      </c>
      <c r="P5003" t="s">
        <v>40</v>
      </c>
      <c r="Q5003" t="s">
        <v>40</v>
      </c>
      <c r="R5003" t="s">
        <v>40</v>
      </c>
      <c r="S5003" t="s">
        <v>40</v>
      </c>
      <c r="V5003" t="s">
        <v>41</v>
      </c>
      <c r="W5003" t="s">
        <v>42</v>
      </c>
      <c r="X5003" t="str">
        <f>"0580206"</f>
        <v>0580206</v>
      </c>
      <c r="Y5003" t="s">
        <v>237</v>
      </c>
      <c r="Z5003" t="s">
        <v>223</v>
      </c>
      <c r="AA5003" t="s">
        <v>224</v>
      </c>
      <c r="AB5003" t="s">
        <v>131</v>
      </c>
      <c r="AC5003" t="s">
        <v>51</v>
      </c>
      <c r="AD5003" t="s">
        <v>45</v>
      </c>
      <c r="AE5003" s="1">
        <v>22031</v>
      </c>
      <c r="AF5003">
        <v>2</v>
      </c>
      <c r="AG5003" t="s">
        <v>224</v>
      </c>
      <c r="AH5003" s="36">
        <f t="shared" si="78"/>
        <v>59.516666666666666</v>
      </c>
      <c r="AI5003" s="41" t="s">
        <v>1782</v>
      </c>
    </row>
    <row r="5004" spans="1:35" x14ac:dyDescent="0.25">
      <c r="A5004" s="36">
        <v>99915002</v>
      </c>
      <c r="B5004" s="17" t="s">
        <v>56</v>
      </c>
      <c r="C5004" t="s">
        <v>79</v>
      </c>
      <c r="D5004" t="s">
        <v>80</v>
      </c>
      <c r="G5004" s="17" t="s">
        <v>48</v>
      </c>
      <c r="H5004" s="17">
        <v>1</v>
      </c>
      <c r="K5004" t="s">
        <v>157</v>
      </c>
      <c r="L5004" t="s">
        <v>158</v>
      </c>
      <c r="M5004" t="s">
        <v>131</v>
      </c>
      <c r="N5004">
        <v>18</v>
      </c>
      <c r="O5004" t="s">
        <v>40</v>
      </c>
      <c r="P5004" t="s">
        <v>40</v>
      </c>
      <c r="Q5004" t="s">
        <v>40</v>
      </c>
      <c r="R5004" t="s">
        <v>40</v>
      </c>
      <c r="S5004" t="s">
        <v>40</v>
      </c>
      <c r="V5004" t="s">
        <v>41</v>
      </c>
      <c r="W5004" t="s">
        <v>49</v>
      </c>
      <c r="X5004" t="str">
        <f>"0560010"</f>
        <v>0560010</v>
      </c>
      <c r="Y5004" t="s">
        <v>179</v>
      </c>
      <c r="Z5004" t="s">
        <v>157</v>
      </c>
      <c r="AA5004" t="s">
        <v>158</v>
      </c>
      <c r="AB5004" t="s">
        <v>131</v>
      </c>
      <c r="AC5004" t="s">
        <v>51</v>
      </c>
      <c r="AD5004" t="s">
        <v>45</v>
      </c>
      <c r="AE5004" s="1">
        <v>22021</v>
      </c>
      <c r="AF5004">
        <v>2</v>
      </c>
      <c r="AG5004" t="s">
        <v>158</v>
      </c>
      <c r="AH5004" s="36">
        <f t="shared" si="78"/>
        <v>59.544444444444444</v>
      </c>
      <c r="AI5004" s="41" t="s">
        <v>1782</v>
      </c>
    </row>
    <row r="5005" spans="1:35" x14ac:dyDescent="0.25">
      <c r="A5005" s="36">
        <v>99915003</v>
      </c>
      <c r="B5005" s="17" t="s">
        <v>56</v>
      </c>
      <c r="C5005" t="s">
        <v>33</v>
      </c>
      <c r="D5005" t="s">
        <v>34</v>
      </c>
      <c r="G5005" s="17" t="s">
        <v>48</v>
      </c>
      <c r="H5005" s="17">
        <v>1</v>
      </c>
      <c r="K5005" t="s">
        <v>223</v>
      </c>
      <c r="L5005" t="s">
        <v>224</v>
      </c>
      <c r="M5005" t="s">
        <v>131</v>
      </c>
      <c r="N5005">
        <v>18</v>
      </c>
      <c r="O5005" t="s">
        <v>40</v>
      </c>
      <c r="P5005" t="s">
        <v>40</v>
      </c>
      <c r="Q5005" t="s">
        <v>40</v>
      </c>
      <c r="R5005" t="s">
        <v>40</v>
      </c>
      <c r="S5005" t="s">
        <v>40</v>
      </c>
      <c r="V5005" t="s">
        <v>41</v>
      </c>
      <c r="W5005" t="s">
        <v>42</v>
      </c>
      <c r="X5005" t="str">
        <f>"0580200"</f>
        <v>0580200</v>
      </c>
      <c r="Y5005" t="s">
        <v>245</v>
      </c>
      <c r="Z5005" t="s">
        <v>223</v>
      </c>
      <c r="AA5005" t="s">
        <v>224</v>
      </c>
      <c r="AB5005" t="s">
        <v>131</v>
      </c>
      <c r="AC5005" t="s">
        <v>51</v>
      </c>
      <c r="AD5005" t="s">
        <v>45</v>
      </c>
      <c r="AE5005" s="1">
        <v>22014</v>
      </c>
      <c r="AF5005">
        <v>2</v>
      </c>
      <c r="AG5005" t="s">
        <v>224</v>
      </c>
      <c r="AH5005" s="36">
        <f t="shared" si="78"/>
        <v>59.56388888888889</v>
      </c>
      <c r="AI5005" s="41" t="s">
        <v>1782</v>
      </c>
    </row>
    <row r="5006" spans="1:35" x14ac:dyDescent="0.25">
      <c r="A5006" s="36">
        <v>99915004</v>
      </c>
      <c r="B5006" s="17" t="s">
        <v>56</v>
      </c>
      <c r="C5006" t="s">
        <v>52</v>
      </c>
      <c r="D5006" t="s">
        <v>53</v>
      </c>
      <c r="G5006" s="17" t="s">
        <v>48</v>
      </c>
      <c r="H5006" s="17">
        <v>1</v>
      </c>
      <c r="K5006" t="s">
        <v>129</v>
      </c>
      <c r="L5006" t="s">
        <v>130</v>
      </c>
      <c r="M5006" t="s">
        <v>131</v>
      </c>
      <c r="N5006">
        <v>20</v>
      </c>
      <c r="O5006" t="s">
        <v>40</v>
      </c>
      <c r="P5006" t="s">
        <v>40</v>
      </c>
      <c r="Q5006" t="s">
        <v>40</v>
      </c>
      <c r="S5006" t="s">
        <v>40</v>
      </c>
      <c r="V5006" t="s">
        <v>41</v>
      </c>
      <c r="W5006" t="s">
        <v>49</v>
      </c>
      <c r="X5006" t="str">
        <f>"0591905"</f>
        <v>0591905</v>
      </c>
      <c r="Y5006" t="s">
        <v>135</v>
      </c>
      <c r="Z5006" t="s">
        <v>129</v>
      </c>
      <c r="AA5006" t="s">
        <v>130</v>
      </c>
      <c r="AB5006" t="s">
        <v>131</v>
      </c>
      <c r="AC5006" t="s">
        <v>51</v>
      </c>
      <c r="AD5006" t="s">
        <v>45</v>
      </c>
      <c r="AE5006" s="1">
        <v>22012</v>
      </c>
      <c r="AF5006">
        <v>2</v>
      </c>
      <c r="AG5006" t="s">
        <v>130</v>
      </c>
      <c r="AH5006" s="36">
        <f t="shared" si="78"/>
        <v>59.569444444444443</v>
      </c>
      <c r="AI5006" s="41" t="s">
        <v>1782</v>
      </c>
    </row>
    <row r="5007" spans="1:35" x14ac:dyDescent="0.25">
      <c r="A5007" s="36">
        <v>99915005</v>
      </c>
      <c r="B5007" s="17" t="s">
        <v>32</v>
      </c>
      <c r="C5007" t="s">
        <v>139</v>
      </c>
      <c r="D5007" t="s">
        <v>140</v>
      </c>
      <c r="G5007" s="17" t="s">
        <v>48</v>
      </c>
      <c r="H5007" s="17">
        <v>11</v>
      </c>
      <c r="K5007" t="s">
        <v>1268</v>
      </c>
      <c r="L5007" t="s">
        <v>1269</v>
      </c>
      <c r="M5007" t="s">
        <v>1270</v>
      </c>
      <c r="N5007">
        <v>18</v>
      </c>
      <c r="O5007" t="s">
        <v>40</v>
      </c>
      <c r="P5007" t="s">
        <v>40</v>
      </c>
      <c r="Q5007" t="s">
        <v>40</v>
      </c>
      <c r="R5007" t="s">
        <v>40</v>
      </c>
      <c r="S5007" t="s">
        <v>40</v>
      </c>
      <c r="U5007" s="1">
        <v>43344</v>
      </c>
      <c r="V5007" t="s">
        <v>41</v>
      </c>
      <c r="W5007" t="s">
        <v>42</v>
      </c>
      <c r="X5007" t="str">
        <f>"1980060"</f>
        <v>1980060</v>
      </c>
      <c r="Y5007" t="s">
        <v>1277</v>
      </c>
      <c r="Z5007" t="s">
        <v>1268</v>
      </c>
      <c r="AA5007" t="s">
        <v>1269</v>
      </c>
      <c r="AB5007" t="s">
        <v>1270</v>
      </c>
      <c r="AC5007" t="s">
        <v>51</v>
      </c>
      <c r="AD5007" t="s">
        <v>45</v>
      </c>
      <c r="AE5007" s="1">
        <v>22007</v>
      </c>
      <c r="AF5007">
        <v>2</v>
      </c>
      <c r="AG5007" t="s">
        <v>1269</v>
      </c>
      <c r="AH5007" s="36">
        <f t="shared" si="78"/>
        <v>59.583333333333336</v>
      </c>
      <c r="AI5007" s="41" t="s">
        <v>1782</v>
      </c>
    </row>
    <row r="5008" spans="1:35" x14ac:dyDescent="0.25">
      <c r="A5008" s="36">
        <v>99915006</v>
      </c>
      <c r="B5008" s="17" t="s">
        <v>56</v>
      </c>
      <c r="C5008" t="s">
        <v>52</v>
      </c>
      <c r="D5008" t="s">
        <v>53</v>
      </c>
      <c r="G5008" s="17" t="s">
        <v>35</v>
      </c>
      <c r="H5008" s="17">
        <v>1</v>
      </c>
      <c r="J5008" s="1">
        <v>38224</v>
      </c>
      <c r="K5008" t="s">
        <v>1336</v>
      </c>
      <c r="L5008" t="s">
        <v>1337</v>
      </c>
      <c r="M5008" t="s">
        <v>1270</v>
      </c>
      <c r="N5008">
        <v>6</v>
      </c>
      <c r="O5008" t="s">
        <v>40</v>
      </c>
      <c r="P5008" t="s">
        <v>40</v>
      </c>
      <c r="Q5008" t="s">
        <v>40</v>
      </c>
      <c r="R5008" t="s">
        <v>40</v>
      </c>
      <c r="S5008" t="s">
        <v>40</v>
      </c>
      <c r="U5008" s="1">
        <v>38224</v>
      </c>
      <c r="V5008" t="s">
        <v>41</v>
      </c>
      <c r="W5008" t="s">
        <v>42</v>
      </c>
      <c r="X5008" t="str">
        <f>"4475070"</f>
        <v>4475070</v>
      </c>
      <c r="Y5008" t="s">
        <v>1338</v>
      </c>
      <c r="Z5008" t="s">
        <v>1336</v>
      </c>
      <c r="AA5008" t="s">
        <v>1337</v>
      </c>
      <c r="AB5008" t="s">
        <v>1270</v>
      </c>
      <c r="AC5008" t="s">
        <v>51</v>
      </c>
      <c r="AD5008" t="s">
        <v>45</v>
      </c>
      <c r="AE5008" s="1">
        <v>22005</v>
      </c>
      <c r="AF5008">
        <v>2</v>
      </c>
      <c r="AG5008" t="s">
        <v>1337</v>
      </c>
      <c r="AH5008" s="36">
        <f t="shared" si="78"/>
        <v>59.588888888888889</v>
      </c>
      <c r="AI5008" s="41" t="s">
        <v>1782</v>
      </c>
    </row>
    <row r="5009" spans="1:35" x14ac:dyDescent="0.25">
      <c r="A5009" s="36">
        <v>99915007</v>
      </c>
      <c r="B5009" s="17" t="s">
        <v>32</v>
      </c>
      <c r="C5009" t="s">
        <v>111</v>
      </c>
      <c r="D5009" t="s">
        <v>112</v>
      </c>
      <c r="G5009" s="17" t="s">
        <v>48</v>
      </c>
      <c r="H5009" s="17">
        <v>19</v>
      </c>
      <c r="K5009" t="s">
        <v>195</v>
      </c>
      <c r="L5009" t="s">
        <v>196</v>
      </c>
      <c r="M5009" t="s">
        <v>131</v>
      </c>
      <c r="N5009">
        <v>21</v>
      </c>
      <c r="O5009" t="s">
        <v>40</v>
      </c>
      <c r="P5009" t="s">
        <v>40</v>
      </c>
      <c r="Q5009" t="s">
        <v>40</v>
      </c>
      <c r="R5009" t="s">
        <v>40</v>
      </c>
      <c r="S5009" t="s">
        <v>40</v>
      </c>
      <c r="U5009" s="1">
        <v>30722</v>
      </c>
      <c r="V5009" t="s">
        <v>41</v>
      </c>
      <c r="W5009" t="s">
        <v>75</v>
      </c>
      <c r="X5009" t="str">
        <f>"7521044"</f>
        <v>7521044</v>
      </c>
      <c r="Y5009" t="s">
        <v>453</v>
      </c>
      <c r="Z5009" t="s">
        <v>195</v>
      </c>
      <c r="AA5009" t="s">
        <v>196</v>
      </c>
      <c r="AB5009" t="s">
        <v>131</v>
      </c>
      <c r="AC5009" t="s">
        <v>165</v>
      </c>
      <c r="AD5009" t="s">
        <v>45</v>
      </c>
      <c r="AE5009" s="1">
        <v>22004</v>
      </c>
      <c r="AF5009">
        <v>1</v>
      </c>
      <c r="AG5009" t="s">
        <v>196</v>
      </c>
      <c r="AH5009" s="36">
        <f t="shared" si="78"/>
        <v>59.591666666666669</v>
      </c>
      <c r="AI5009" s="41" t="s">
        <v>1782</v>
      </c>
    </row>
    <row r="5010" spans="1:35" x14ac:dyDescent="0.25">
      <c r="A5010" s="36">
        <v>99915008</v>
      </c>
      <c r="B5010" s="17" t="s">
        <v>32</v>
      </c>
      <c r="C5010" t="s">
        <v>46</v>
      </c>
      <c r="D5010" t="s">
        <v>47</v>
      </c>
      <c r="G5010" s="17" t="s">
        <v>48</v>
      </c>
      <c r="H5010" s="17">
        <v>1</v>
      </c>
      <c r="K5010" t="s">
        <v>162</v>
      </c>
      <c r="L5010" t="s">
        <v>158</v>
      </c>
      <c r="M5010" t="s">
        <v>131</v>
      </c>
      <c r="N5010">
        <v>18</v>
      </c>
      <c r="O5010" t="s">
        <v>40</v>
      </c>
      <c r="P5010" t="s">
        <v>40</v>
      </c>
      <c r="Q5010" t="s">
        <v>40</v>
      </c>
      <c r="S5010" t="s">
        <v>40</v>
      </c>
      <c r="V5010" t="s">
        <v>41</v>
      </c>
      <c r="W5010" t="s">
        <v>42</v>
      </c>
      <c r="X5010" t="str">
        <f>"0580320"</f>
        <v>0580320</v>
      </c>
      <c r="Y5010" t="s">
        <v>164</v>
      </c>
      <c r="Z5010" t="s">
        <v>162</v>
      </c>
      <c r="AA5010" t="s">
        <v>158</v>
      </c>
      <c r="AB5010" t="s">
        <v>131</v>
      </c>
      <c r="AC5010" t="s">
        <v>165</v>
      </c>
      <c r="AD5010" t="s">
        <v>45</v>
      </c>
      <c r="AE5010" s="1">
        <v>21989</v>
      </c>
      <c r="AF5010">
        <v>2</v>
      </c>
      <c r="AG5010" t="s">
        <v>158</v>
      </c>
      <c r="AH5010" s="36">
        <f t="shared" si="78"/>
        <v>59.633333333333333</v>
      </c>
      <c r="AI5010" s="41" t="s">
        <v>1782</v>
      </c>
    </row>
    <row r="5011" spans="1:35" x14ac:dyDescent="0.25">
      <c r="A5011" s="36">
        <v>99915009</v>
      </c>
      <c r="B5011" s="17" t="s">
        <v>32</v>
      </c>
      <c r="C5011" t="s">
        <v>143</v>
      </c>
      <c r="D5011" t="s">
        <v>144</v>
      </c>
      <c r="G5011" s="17" t="s">
        <v>48</v>
      </c>
      <c r="H5011" s="17">
        <v>1</v>
      </c>
      <c r="K5011" t="s">
        <v>1268</v>
      </c>
      <c r="L5011" t="s">
        <v>1269</v>
      </c>
      <c r="M5011" t="s">
        <v>1270</v>
      </c>
      <c r="N5011">
        <v>21</v>
      </c>
      <c r="O5011" t="s">
        <v>40</v>
      </c>
      <c r="P5011" t="s">
        <v>40</v>
      </c>
      <c r="Q5011" t="s">
        <v>40</v>
      </c>
      <c r="S5011" t="s">
        <v>40</v>
      </c>
      <c r="V5011" t="s">
        <v>41</v>
      </c>
      <c r="W5011" t="s">
        <v>49</v>
      </c>
      <c r="X5011" t="str">
        <f>"1981914"</f>
        <v>1981914</v>
      </c>
      <c r="Y5011" t="s">
        <v>1287</v>
      </c>
      <c r="Z5011" t="s">
        <v>1268</v>
      </c>
      <c r="AA5011" t="s">
        <v>1269</v>
      </c>
      <c r="AB5011" t="s">
        <v>1270</v>
      </c>
      <c r="AC5011" t="s">
        <v>51</v>
      </c>
      <c r="AD5011" t="s">
        <v>45</v>
      </c>
      <c r="AE5011" s="1">
        <v>21986</v>
      </c>
      <c r="AF5011">
        <v>2</v>
      </c>
      <c r="AG5011" t="s">
        <v>1269</v>
      </c>
      <c r="AH5011" s="36">
        <f t="shared" si="78"/>
        <v>59.641666666666666</v>
      </c>
      <c r="AI5011" s="41" t="s">
        <v>1782</v>
      </c>
    </row>
    <row r="5012" spans="1:35" x14ac:dyDescent="0.25">
      <c r="A5012" s="36">
        <v>99915010</v>
      </c>
      <c r="B5012" s="17" t="s">
        <v>32</v>
      </c>
      <c r="C5012" t="s">
        <v>79</v>
      </c>
      <c r="D5012" t="s">
        <v>80</v>
      </c>
      <c r="G5012" s="17" t="s">
        <v>35</v>
      </c>
      <c r="H5012" s="17">
        <v>1</v>
      </c>
      <c r="K5012" t="s">
        <v>223</v>
      </c>
      <c r="L5012" t="s">
        <v>224</v>
      </c>
      <c r="M5012" t="s">
        <v>131</v>
      </c>
      <c r="N5012">
        <v>18</v>
      </c>
      <c r="O5012" t="s">
        <v>40</v>
      </c>
      <c r="P5012" t="s">
        <v>40</v>
      </c>
      <c r="Q5012" t="s">
        <v>40</v>
      </c>
      <c r="S5012" t="s">
        <v>40</v>
      </c>
      <c r="V5012" t="s">
        <v>41</v>
      </c>
      <c r="W5012" t="s">
        <v>42</v>
      </c>
      <c r="X5012" t="str">
        <f>"0590903"</f>
        <v>0590903</v>
      </c>
      <c r="Y5012" t="s">
        <v>226</v>
      </c>
      <c r="Z5012" t="s">
        <v>223</v>
      </c>
      <c r="AA5012" t="s">
        <v>224</v>
      </c>
      <c r="AB5012" t="s">
        <v>131</v>
      </c>
      <c r="AC5012" t="s">
        <v>51</v>
      </c>
      <c r="AD5012" t="s">
        <v>45</v>
      </c>
      <c r="AE5012" s="1">
        <v>21983</v>
      </c>
      <c r="AF5012">
        <v>2</v>
      </c>
      <c r="AG5012" t="s">
        <v>224</v>
      </c>
      <c r="AH5012" s="36">
        <f t="shared" si="78"/>
        <v>59.65</v>
      </c>
      <c r="AI5012" s="41" t="s">
        <v>1782</v>
      </c>
    </row>
    <row r="5013" spans="1:35" x14ac:dyDescent="0.25">
      <c r="A5013" s="36">
        <v>99915011</v>
      </c>
      <c r="B5013" s="17" t="s">
        <v>32</v>
      </c>
      <c r="C5013" t="s">
        <v>111</v>
      </c>
      <c r="D5013" t="s">
        <v>112</v>
      </c>
      <c r="G5013" s="17" t="s">
        <v>35</v>
      </c>
      <c r="H5013" s="17">
        <v>1</v>
      </c>
      <c r="K5013" t="s">
        <v>268</v>
      </c>
      <c r="L5013" t="s">
        <v>269</v>
      </c>
      <c r="M5013" t="s">
        <v>131</v>
      </c>
      <c r="N5013">
        <v>21</v>
      </c>
      <c r="O5013" t="s">
        <v>40</v>
      </c>
      <c r="P5013" t="s">
        <v>40</v>
      </c>
      <c r="Q5013" t="s">
        <v>40</v>
      </c>
      <c r="S5013" t="s">
        <v>40</v>
      </c>
      <c r="V5013" t="s">
        <v>41</v>
      </c>
      <c r="W5013" t="s">
        <v>75</v>
      </c>
      <c r="X5013" t="str">
        <f>"7052008"</f>
        <v>7052008</v>
      </c>
      <c r="Y5013" t="s">
        <v>274</v>
      </c>
      <c r="Z5013" t="s">
        <v>268</v>
      </c>
      <c r="AA5013" t="s">
        <v>269</v>
      </c>
      <c r="AB5013" t="s">
        <v>131</v>
      </c>
      <c r="AC5013" t="s">
        <v>51</v>
      </c>
      <c r="AD5013" t="s">
        <v>45</v>
      </c>
      <c r="AE5013" s="1">
        <v>21973</v>
      </c>
      <c r="AF5013">
        <v>1</v>
      </c>
      <c r="AG5013" t="s">
        <v>269</v>
      </c>
      <c r="AH5013" s="36">
        <f t="shared" si="78"/>
        <v>59.677777777777777</v>
      </c>
      <c r="AI5013" s="41" t="s">
        <v>1782</v>
      </c>
    </row>
    <row r="5014" spans="1:35" x14ac:dyDescent="0.25">
      <c r="A5014" s="36">
        <v>99915012</v>
      </c>
      <c r="B5014" s="17" t="s">
        <v>56</v>
      </c>
      <c r="C5014" t="s">
        <v>111</v>
      </c>
      <c r="D5014" t="s">
        <v>112</v>
      </c>
      <c r="G5014" s="17" t="s">
        <v>48</v>
      </c>
      <c r="H5014" s="17">
        <v>12</v>
      </c>
      <c r="K5014" t="s">
        <v>354</v>
      </c>
      <c r="L5014" t="s">
        <v>355</v>
      </c>
      <c r="M5014" t="s">
        <v>131</v>
      </c>
      <c r="N5014">
        <v>21</v>
      </c>
      <c r="O5014" t="s">
        <v>40</v>
      </c>
      <c r="P5014" t="s">
        <v>40</v>
      </c>
      <c r="Q5014" t="s">
        <v>40</v>
      </c>
      <c r="R5014" t="s">
        <v>40</v>
      </c>
      <c r="S5014" t="s">
        <v>40</v>
      </c>
      <c r="V5014" t="s">
        <v>41</v>
      </c>
      <c r="W5014" t="s">
        <v>75</v>
      </c>
      <c r="X5014" t="str">
        <f>"7054004"</f>
        <v>7054004</v>
      </c>
      <c r="Y5014" t="s">
        <v>798</v>
      </c>
      <c r="Z5014" t="s">
        <v>354</v>
      </c>
      <c r="AA5014" t="s">
        <v>355</v>
      </c>
      <c r="AB5014" t="s">
        <v>131</v>
      </c>
      <c r="AC5014" t="s">
        <v>51</v>
      </c>
      <c r="AD5014" t="s">
        <v>45</v>
      </c>
      <c r="AE5014" s="1">
        <v>21972</v>
      </c>
      <c r="AF5014">
        <v>1</v>
      </c>
      <c r="AG5014" t="s">
        <v>355</v>
      </c>
      <c r="AH5014" s="36">
        <f t="shared" si="78"/>
        <v>59.680555555555557</v>
      </c>
      <c r="AI5014" s="41" t="s">
        <v>1782</v>
      </c>
    </row>
    <row r="5015" spans="1:35" x14ac:dyDescent="0.25">
      <c r="A5015" s="36">
        <v>99915013</v>
      </c>
      <c r="B5015" s="17" t="s">
        <v>56</v>
      </c>
      <c r="C5015" t="s">
        <v>141</v>
      </c>
      <c r="D5015" t="s">
        <v>142</v>
      </c>
      <c r="G5015" s="17" t="s">
        <v>35</v>
      </c>
      <c r="H5015" s="17">
        <v>1</v>
      </c>
      <c r="K5015" t="s">
        <v>877</v>
      </c>
      <c r="L5015" t="s">
        <v>878</v>
      </c>
      <c r="M5015" t="s">
        <v>131</v>
      </c>
      <c r="N5015">
        <v>15</v>
      </c>
      <c r="O5015" t="s">
        <v>40</v>
      </c>
      <c r="P5015" t="s">
        <v>40</v>
      </c>
      <c r="Q5015" t="s">
        <v>40</v>
      </c>
      <c r="S5015" t="s">
        <v>40</v>
      </c>
      <c r="V5015" t="s">
        <v>41</v>
      </c>
      <c r="W5015" t="s">
        <v>75</v>
      </c>
      <c r="X5015" t="str">
        <f>"7700025"</f>
        <v>7700025</v>
      </c>
      <c r="Y5015" t="s">
        <v>880</v>
      </c>
      <c r="Z5015" t="s">
        <v>877</v>
      </c>
      <c r="AA5015" t="s">
        <v>878</v>
      </c>
      <c r="AB5015" t="s">
        <v>131</v>
      </c>
      <c r="AC5015" t="s">
        <v>51</v>
      </c>
      <c r="AD5015" t="s">
        <v>45</v>
      </c>
      <c r="AE5015" s="1">
        <v>21968</v>
      </c>
      <c r="AF5015">
        <v>1</v>
      </c>
      <c r="AG5015" t="s">
        <v>878</v>
      </c>
      <c r="AH5015" s="36">
        <f t="shared" si="78"/>
        <v>59.69166666666667</v>
      </c>
      <c r="AI5015" s="41" t="s">
        <v>1782</v>
      </c>
    </row>
    <row r="5016" spans="1:35" x14ac:dyDescent="0.25">
      <c r="A5016" s="36">
        <v>99915014</v>
      </c>
      <c r="B5016" s="17" t="s">
        <v>32</v>
      </c>
      <c r="C5016" t="s">
        <v>111</v>
      </c>
      <c r="D5016" t="s">
        <v>112</v>
      </c>
      <c r="G5016" s="17" t="s">
        <v>35</v>
      </c>
      <c r="H5016" s="17">
        <v>1</v>
      </c>
      <c r="I5016" t="s">
        <v>646</v>
      </c>
      <c r="J5016" s="1">
        <v>43344</v>
      </c>
      <c r="K5016" t="s">
        <v>268</v>
      </c>
      <c r="L5016" t="s">
        <v>269</v>
      </c>
      <c r="M5016" t="s">
        <v>131</v>
      </c>
      <c r="N5016">
        <v>21</v>
      </c>
      <c r="O5016" t="s">
        <v>40</v>
      </c>
      <c r="S5016" t="s">
        <v>40</v>
      </c>
      <c r="U5016" s="1">
        <v>43344</v>
      </c>
      <c r="V5016" t="s">
        <v>41</v>
      </c>
      <c r="W5016" t="s">
        <v>75</v>
      </c>
      <c r="X5016" t="str">
        <f>"7052020"</f>
        <v>7052020</v>
      </c>
      <c r="Y5016" t="s">
        <v>267</v>
      </c>
      <c r="Z5016" t="s">
        <v>268</v>
      </c>
      <c r="AA5016" t="s">
        <v>269</v>
      </c>
      <c r="AB5016" t="s">
        <v>131</v>
      </c>
      <c r="AC5016" t="s">
        <v>51</v>
      </c>
      <c r="AD5016" t="s">
        <v>45</v>
      </c>
      <c r="AE5016" s="1">
        <v>21964</v>
      </c>
      <c r="AF5016">
        <v>1</v>
      </c>
      <c r="AG5016" t="s">
        <v>269</v>
      </c>
      <c r="AH5016" s="36">
        <f t="shared" si="78"/>
        <v>59.702777777777776</v>
      </c>
      <c r="AI5016" s="41" t="s">
        <v>1782</v>
      </c>
    </row>
    <row r="5017" spans="1:35" x14ac:dyDescent="0.25">
      <c r="A5017" s="36">
        <v>99915015</v>
      </c>
      <c r="B5017" s="17" t="s">
        <v>32</v>
      </c>
      <c r="C5017" t="s">
        <v>46</v>
      </c>
      <c r="D5017" t="s">
        <v>47</v>
      </c>
      <c r="G5017" s="17" t="s">
        <v>35</v>
      </c>
      <c r="H5017" s="17">
        <v>1</v>
      </c>
      <c r="K5017" t="s">
        <v>223</v>
      </c>
      <c r="L5017" t="s">
        <v>224</v>
      </c>
      <c r="M5017" t="s">
        <v>131</v>
      </c>
      <c r="N5017">
        <v>15</v>
      </c>
      <c r="O5017" t="s">
        <v>40</v>
      </c>
      <c r="P5017" t="s">
        <v>40</v>
      </c>
      <c r="Q5017" t="s">
        <v>40</v>
      </c>
      <c r="R5017" t="s">
        <v>40</v>
      </c>
      <c r="S5017" t="s">
        <v>40</v>
      </c>
      <c r="V5017" t="s">
        <v>41</v>
      </c>
      <c r="W5017" t="s">
        <v>42</v>
      </c>
      <c r="X5017" t="str">
        <f>"0590902"</f>
        <v>0590902</v>
      </c>
      <c r="Y5017" t="s">
        <v>241</v>
      </c>
      <c r="Z5017" t="s">
        <v>223</v>
      </c>
      <c r="AA5017" t="s">
        <v>224</v>
      </c>
      <c r="AB5017" t="s">
        <v>131</v>
      </c>
      <c r="AC5017" t="s">
        <v>51</v>
      </c>
      <c r="AD5017" t="s">
        <v>45</v>
      </c>
      <c r="AE5017" s="1">
        <v>21952</v>
      </c>
      <c r="AF5017">
        <v>2</v>
      </c>
      <c r="AG5017" t="s">
        <v>224</v>
      </c>
      <c r="AH5017" s="36">
        <f t="shared" si="78"/>
        <v>59.736111111111114</v>
      </c>
      <c r="AI5017" s="41" t="s">
        <v>1782</v>
      </c>
    </row>
    <row r="5018" spans="1:35" x14ac:dyDescent="0.25">
      <c r="A5018" s="36">
        <v>99915016</v>
      </c>
      <c r="B5018" s="17" t="s">
        <v>32</v>
      </c>
      <c r="C5018" t="s">
        <v>71</v>
      </c>
      <c r="D5018" t="s">
        <v>72</v>
      </c>
      <c r="G5018" s="17" t="s">
        <v>48</v>
      </c>
      <c r="H5018" s="17">
        <v>1</v>
      </c>
      <c r="K5018" t="s">
        <v>223</v>
      </c>
      <c r="L5018" t="s">
        <v>224</v>
      </c>
      <c r="M5018" t="s">
        <v>131</v>
      </c>
      <c r="N5018">
        <v>8</v>
      </c>
      <c r="O5018" t="s">
        <v>40</v>
      </c>
      <c r="P5018" t="s">
        <v>40</v>
      </c>
      <c r="Q5018" t="s">
        <v>40</v>
      </c>
      <c r="S5018" t="s">
        <v>40</v>
      </c>
      <c r="V5018" t="s">
        <v>41</v>
      </c>
      <c r="W5018" t="s">
        <v>42</v>
      </c>
      <c r="X5018" t="str">
        <f>"0580202"</f>
        <v>0580202</v>
      </c>
      <c r="Y5018" t="s">
        <v>240</v>
      </c>
      <c r="Z5018" t="s">
        <v>223</v>
      </c>
      <c r="AA5018" t="s">
        <v>224</v>
      </c>
      <c r="AB5018" t="s">
        <v>131</v>
      </c>
      <c r="AC5018" t="s">
        <v>51</v>
      </c>
      <c r="AD5018" t="s">
        <v>45</v>
      </c>
      <c r="AE5018" s="1">
        <v>21950</v>
      </c>
      <c r="AF5018">
        <v>2</v>
      </c>
      <c r="AG5018" t="s">
        <v>224</v>
      </c>
      <c r="AH5018" s="36">
        <f t="shared" si="78"/>
        <v>59.741666666666667</v>
      </c>
      <c r="AI5018" s="41" t="s">
        <v>1782</v>
      </c>
    </row>
    <row r="5019" spans="1:35" x14ac:dyDescent="0.25">
      <c r="A5019" s="36">
        <v>99915017</v>
      </c>
      <c r="B5019" s="17" t="s">
        <v>32</v>
      </c>
      <c r="C5019" t="s">
        <v>71</v>
      </c>
      <c r="D5019" t="s">
        <v>72</v>
      </c>
      <c r="G5019" s="17" t="s">
        <v>48</v>
      </c>
      <c r="H5019" s="17">
        <v>1</v>
      </c>
      <c r="K5019" t="s">
        <v>345</v>
      </c>
      <c r="L5019" t="s">
        <v>346</v>
      </c>
      <c r="M5019" t="s">
        <v>131</v>
      </c>
      <c r="N5019">
        <v>18</v>
      </c>
      <c r="O5019" t="s">
        <v>40</v>
      </c>
      <c r="P5019" t="s">
        <v>40</v>
      </c>
      <c r="Q5019" t="s">
        <v>40</v>
      </c>
      <c r="S5019" t="s">
        <v>40</v>
      </c>
      <c r="V5019" t="s">
        <v>41</v>
      </c>
      <c r="W5019" t="s">
        <v>49</v>
      </c>
      <c r="X5019" t="str">
        <f>"0561003"</f>
        <v>0561003</v>
      </c>
      <c r="Y5019" t="s">
        <v>370</v>
      </c>
      <c r="Z5019" t="s">
        <v>345</v>
      </c>
      <c r="AA5019" t="s">
        <v>346</v>
      </c>
      <c r="AB5019" t="s">
        <v>131</v>
      </c>
      <c r="AC5019" t="s">
        <v>51</v>
      </c>
      <c r="AD5019" t="s">
        <v>45</v>
      </c>
      <c r="AE5019" s="1">
        <v>21924</v>
      </c>
      <c r="AF5019">
        <v>2</v>
      </c>
      <c r="AG5019" t="s">
        <v>346</v>
      </c>
      <c r="AH5019" s="36">
        <f t="shared" si="78"/>
        <v>59.81388888888889</v>
      </c>
      <c r="AI5019" s="41" t="s">
        <v>1782</v>
      </c>
    </row>
    <row r="5020" spans="1:35" x14ac:dyDescent="0.25">
      <c r="A5020" s="36">
        <v>99915018</v>
      </c>
      <c r="B5020" s="17" t="s">
        <v>32</v>
      </c>
      <c r="C5020" t="s">
        <v>139</v>
      </c>
      <c r="D5020" t="s">
        <v>140</v>
      </c>
      <c r="G5020" s="17" t="s">
        <v>48</v>
      </c>
      <c r="H5020" s="17">
        <v>1</v>
      </c>
      <c r="K5020" t="s">
        <v>223</v>
      </c>
      <c r="L5020" t="s">
        <v>224</v>
      </c>
      <c r="M5020" t="s">
        <v>131</v>
      </c>
      <c r="N5020">
        <v>18</v>
      </c>
      <c r="O5020" t="s">
        <v>40</v>
      </c>
      <c r="P5020" t="s">
        <v>40</v>
      </c>
      <c r="Q5020" t="s">
        <v>40</v>
      </c>
      <c r="S5020" t="s">
        <v>40</v>
      </c>
      <c r="V5020" t="s">
        <v>41</v>
      </c>
      <c r="W5020" t="s">
        <v>42</v>
      </c>
      <c r="X5020" t="str">
        <f>"0580204"</f>
        <v>0580204</v>
      </c>
      <c r="Y5020" t="s">
        <v>235</v>
      </c>
      <c r="Z5020" t="s">
        <v>223</v>
      </c>
      <c r="AA5020" t="s">
        <v>224</v>
      </c>
      <c r="AB5020" t="s">
        <v>131</v>
      </c>
      <c r="AC5020" t="s">
        <v>165</v>
      </c>
      <c r="AD5020" t="s">
        <v>45</v>
      </c>
      <c r="AE5020" s="1">
        <v>21916</v>
      </c>
      <c r="AF5020">
        <v>2</v>
      </c>
      <c r="AG5020" t="s">
        <v>224</v>
      </c>
      <c r="AH5020" s="36">
        <f t="shared" si="78"/>
        <v>59.836111111111109</v>
      </c>
      <c r="AI5020" s="41" t="s">
        <v>1782</v>
      </c>
    </row>
    <row r="5021" spans="1:35" x14ac:dyDescent="0.25">
      <c r="A5021" s="36">
        <v>99915019</v>
      </c>
      <c r="B5021" s="17" t="s">
        <v>32</v>
      </c>
      <c r="C5021" t="s">
        <v>64</v>
      </c>
      <c r="D5021" t="s">
        <v>65</v>
      </c>
      <c r="G5021" s="17" t="s">
        <v>35</v>
      </c>
      <c r="H5021" s="17">
        <v>15</v>
      </c>
      <c r="K5021" t="s">
        <v>268</v>
      </c>
      <c r="L5021" t="s">
        <v>269</v>
      </c>
      <c r="M5021" t="s">
        <v>131</v>
      </c>
      <c r="N5021">
        <v>21</v>
      </c>
      <c r="O5021" t="s">
        <v>40</v>
      </c>
      <c r="P5021" t="s">
        <v>40</v>
      </c>
      <c r="Q5021" t="s">
        <v>40</v>
      </c>
      <c r="R5021" t="s">
        <v>40</v>
      </c>
      <c r="S5021" t="s">
        <v>40</v>
      </c>
      <c r="V5021" t="s">
        <v>41</v>
      </c>
      <c r="W5021" t="s">
        <v>75</v>
      </c>
      <c r="X5021" t="str">
        <f>"7052004"</f>
        <v>7052004</v>
      </c>
      <c r="Y5021" t="s">
        <v>584</v>
      </c>
      <c r="Z5021" t="s">
        <v>268</v>
      </c>
      <c r="AA5021" t="s">
        <v>269</v>
      </c>
      <c r="AB5021" t="s">
        <v>131</v>
      </c>
      <c r="AC5021" t="s">
        <v>165</v>
      </c>
      <c r="AD5021" t="s">
        <v>45</v>
      </c>
      <c r="AE5021" s="1">
        <v>21916</v>
      </c>
      <c r="AF5021">
        <v>1</v>
      </c>
      <c r="AG5021" t="s">
        <v>269</v>
      </c>
      <c r="AH5021" s="36">
        <f t="shared" si="78"/>
        <v>59.836111111111109</v>
      </c>
      <c r="AI5021" s="41" t="s">
        <v>1782</v>
      </c>
    </row>
    <row r="5022" spans="1:35" x14ac:dyDescent="0.25">
      <c r="A5022" s="36">
        <v>99915020</v>
      </c>
      <c r="B5022" s="17" t="s">
        <v>32</v>
      </c>
      <c r="C5022" t="s">
        <v>139</v>
      </c>
      <c r="D5022" t="s">
        <v>140</v>
      </c>
      <c r="G5022" s="17" t="s">
        <v>35</v>
      </c>
      <c r="H5022" s="17">
        <v>1</v>
      </c>
      <c r="K5022" t="s">
        <v>947</v>
      </c>
      <c r="L5022" t="s">
        <v>948</v>
      </c>
      <c r="M5022" t="s">
        <v>938</v>
      </c>
      <c r="N5022">
        <v>18</v>
      </c>
      <c r="O5022" t="s">
        <v>40</v>
      </c>
      <c r="P5022" t="s">
        <v>40</v>
      </c>
      <c r="Q5022" t="s">
        <v>40</v>
      </c>
      <c r="R5022" t="s">
        <v>40</v>
      </c>
      <c r="S5022" t="s">
        <v>40</v>
      </c>
      <c r="V5022" t="s">
        <v>41</v>
      </c>
      <c r="W5022" t="s">
        <v>49</v>
      </c>
      <c r="X5022" t="str">
        <f>"0605000"</f>
        <v>0605000</v>
      </c>
      <c r="Y5022" t="s">
        <v>950</v>
      </c>
      <c r="Z5022" t="s">
        <v>947</v>
      </c>
      <c r="AA5022" t="s">
        <v>948</v>
      </c>
      <c r="AB5022" t="s">
        <v>938</v>
      </c>
      <c r="AC5022" t="s">
        <v>51</v>
      </c>
      <c r="AD5022" t="s">
        <v>45</v>
      </c>
      <c r="AE5022" s="1">
        <v>21916</v>
      </c>
      <c r="AF5022">
        <v>2</v>
      </c>
      <c r="AG5022" t="s">
        <v>948</v>
      </c>
      <c r="AH5022" s="36">
        <f t="shared" si="78"/>
        <v>59.836111111111109</v>
      </c>
      <c r="AI5022" s="41" t="s">
        <v>1782</v>
      </c>
    </row>
    <row r="5023" spans="1:35" x14ac:dyDescent="0.25">
      <c r="A5023" s="36">
        <v>99915021</v>
      </c>
      <c r="B5023" s="17" t="s">
        <v>56</v>
      </c>
      <c r="C5023" t="s">
        <v>52</v>
      </c>
      <c r="D5023" t="s">
        <v>53</v>
      </c>
      <c r="G5023" s="17" t="s">
        <v>35</v>
      </c>
      <c r="H5023" s="17">
        <v>1</v>
      </c>
      <c r="I5023">
        <v>6726</v>
      </c>
      <c r="J5023" s="1">
        <v>43344</v>
      </c>
      <c r="K5023" t="s">
        <v>1306</v>
      </c>
      <c r="L5023" t="s">
        <v>1307</v>
      </c>
      <c r="M5023" t="s">
        <v>1270</v>
      </c>
      <c r="N5023">
        <v>20</v>
      </c>
      <c r="O5023" t="s">
        <v>40</v>
      </c>
      <c r="P5023" t="s">
        <v>40</v>
      </c>
      <c r="Q5023" t="s">
        <v>40</v>
      </c>
      <c r="R5023" t="s">
        <v>40</v>
      </c>
      <c r="S5023" t="s">
        <v>40</v>
      </c>
      <c r="U5023" s="1">
        <v>43344</v>
      </c>
      <c r="V5023" t="s">
        <v>41</v>
      </c>
      <c r="W5023" t="s">
        <v>42</v>
      </c>
      <c r="X5023" t="str">
        <f>"1990915"</f>
        <v>1990915</v>
      </c>
      <c r="Y5023" t="s">
        <v>1308</v>
      </c>
      <c r="Z5023" t="s">
        <v>1306</v>
      </c>
      <c r="AA5023" t="s">
        <v>1307</v>
      </c>
      <c r="AB5023" t="s">
        <v>1270</v>
      </c>
      <c r="AC5023" t="s">
        <v>51</v>
      </c>
      <c r="AD5023" t="s">
        <v>45</v>
      </c>
      <c r="AE5023" s="1">
        <v>21916</v>
      </c>
      <c r="AF5023">
        <v>2</v>
      </c>
      <c r="AG5023" t="s">
        <v>1307</v>
      </c>
      <c r="AH5023" s="36">
        <f t="shared" si="78"/>
        <v>59.836111111111109</v>
      </c>
      <c r="AI5023" s="41" t="s">
        <v>1782</v>
      </c>
    </row>
    <row r="5024" spans="1:35" x14ac:dyDescent="0.25">
      <c r="A5024" s="36">
        <v>99915022</v>
      </c>
      <c r="B5024" s="17" t="s">
        <v>32</v>
      </c>
      <c r="C5024" t="s">
        <v>141</v>
      </c>
      <c r="D5024" t="s">
        <v>142</v>
      </c>
      <c r="G5024" s="17" t="s">
        <v>48</v>
      </c>
      <c r="H5024" s="17">
        <v>1</v>
      </c>
      <c r="K5024" t="s">
        <v>667</v>
      </c>
      <c r="L5024" t="s">
        <v>669</v>
      </c>
      <c r="M5024" t="s">
        <v>670</v>
      </c>
      <c r="N5024">
        <v>21</v>
      </c>
      <c r="O5024" t="s">
        <v>40</v>
      </c>
      <c r="P5024" t="s">
        <v>40</v>
      </c>
      <c r="Q5024" t="s">
        <v>40</v>
      </c>
      <c r="R5024" t="s">
        <v>40</v>
      </c>
      <c r="S5024" t="s">
        <v>40</v>
      </c>
      <c r="V5024" t="s">
        <v>41</v>
      </c>
      <c r="W5024" t="s">
        <v>75</v>
      </c>
      <c r="X5024" t="str">
        <f>"7501000"</f>
        <v>7501000</v>
      </c>
      <c r="Y5024" t="s">
        <v>668</v>
      </c>
      <c r="Z5024" t="s">
        <v>667</v>
      </c>
      <c r="AA5024" t="s">
        <v>669</v>
      </c>
      <c r="AB5024" t="s">
        <v>670</v>
      </c>
      <c r="AC5024" t="s">
        <v>51</v>
      </c>
      <c r="AD5024" t="s">
        <v>45</v>
      </c>
      <c r="AE5024" s="1">
        <v>21916</v>
      </c>
      <c r="AF5024">
        <v>1</v>
      </c>
      <c r="AG5024" t="s">
        <v>669</v>
      </c>
      <c r="AH5024" s="36">
        <f t="shared" si="78"/>
        <v>59.836111111111109</v>
      </c>
      <c r="AI5024" s="41" t="s">
        <v>1782</v>
      </c>
    </row>
    <row r="5025" spans="1:35" x14ac:dyDescent="0.25">
      <c r="A5025" s="36">
        <v>99915023</v>
      </c>
      <c r="B5025" s="17" t="s">
        <v>56</v>
      </c>
      <c r="C5025" t="s">
        <v>139</v>
      </c>
      <c r="D5025" t="s">
        <v>140</v>
      </c>
      <c r="G5025" s="17" t="s">
        <v>48</v>
      </c>
      <c r="H5025" s="17">
        <v>1</v>
      </c>
      <c r="K5025" t="s">
        <v>223</v>
      </c>
      <c r="L5025" t="s">
        <v>224</v>
      </c>
      <c r="M5025" t="s">
        <v>131</v>
      </c>
      <c r="N5025">
        <v>21</v>
      </c>
      <c r="O5025" t="s">
        <v>40</v>
      </c>
      <c r="P5025" t="s">
        <v>40</v>
      </c>
      <c r="Q5025" t="s">
        <v>40</v>
      </c>
      <c r="R5025" t="s">
        <v>40</v>
      </c>
      <c r="S5025" t="s">
        <v>40</v>
      </c>
      <c r="V5025" t="s">
        <v>41</v>
      </c>
      <c r="W5025" t="s">
        <v>49</v>
      </c>
      <c r="X5025" t="str">
        <f>"0581207"</f>
        <v>0581207</v>
      </c>
      <c r="Y5025" t="s">
        <v>233</v>
      </c>
      <c r="Z5025" t="s">
        <v>223</v>
      </c>
      <c r="AA5025" t="s">
        <v>224</v>
      </c>
      <c r="AB5025" t="s">
        <v>131</v>
      </c>
      <c r="AC5025" t="s">
        <v>51</v>
      </c>
      <c r="AD5025" t="s">
        <v>45</v>
      </c>
      <c r="AE5025" s="1">
        <v>21915</v>
      </c>
      <c r="AF5025">
        <v>2</v>
      </c>
      <c r="AG5025" t="s">
        <v>224</v>
      </c>
      <c r="AH5025" s="36">
        <f t="shared" si="78"/>
        <v>59.838888888888889</v>
      </c>
      <c r="AI5025" s="41" t="s">
        <v>1782</v>
      </c>
    </row>
    <row r="5026" spans="1:35" x14ac:dyDescent="0.25">
      <c r="A5026" s="36">
        <v>99915024</v>
      </c>
      <c r="B5026" s="17" t="s">
        <v>32</v>
      </c>
      <c r="C5026" t="s">
        <v>141</v>
      </c>
      <c r="D5026" t="s">
        <v>142</v>
      </c>
      <c r="G5026" s="17" t="s">
        <v>35</v>
      </c>
      <c r="H5026" s="17">
        <v>19</v>
      </c>
      <c r="K5026" t="s">
        <v>268</v>
      </c>
      <c r="L5026" t="s">
        <v>269</v>
      </c>
      <c r="M5026" t="s">
        <v>131</v>
      </c>
      <c r="N5026">
        <v>21</v>
      </c>
      <c r="O5026" t="s">
        <v>40</v>
      </c>
      <c r="P5026" t="s">
        <v>40</v>
      </c>
      <c r="Q5026" t="s">
        <v>40</v>
      </c>
      <c r="R5026" t="s">
        <v>40</v>
      </c>
      <c r="S5026" t="s">
        <v>40</v>
      </c>
      <c r="V5026" t="s">
        <v>41</v>
      </c>
      <c r="W5026" t="s">
        <v>75</v>
      </c>
      <c r="X5026" t="str">
        <f>"7052006"</f>
        <v>7052006</v>
      </c>
      <c r="Y5026" t="s">
        <v>575</v>
      </c>
      <c r="Z5026" t="s">
        <v>268</v>
      </c>
      <c r="AA5026" t="s">
        <v>269</v>
      </c>
      <c r="AB5026" t="s">
        <v>131</v>
      </c>
      <c r="AC5026" t="s">
        <v>165</v>
      </c>
      <c r="AD5026" t="s">
        <v>45</v>
      </c>
      <c r="AE5026" s="1">
        <v>21911</v>
      </c>
      <c r="AF5026">
        <v>1</v>
      </c>
      <c r="AG5026" t="s">
        <v>269</v>
      </c>
      <c r="AH5026" s="36">
        <f t="shared" si="78"/>
        <v>59.85</v>
      </c>
      <c r="AI5026" s="41" t="s">
        <v>1782</v>
      </c>
    </row>
    <row r="5027" spans="1:35" x14ac:dyDescent="0.25">
      <c r="A5027" s="36">
        <v>99915025</v>
      </c>
      <c r="B5027" s="17" t="s">
        <v>56</v>
      </c>
      <c r="C5027" t="s">
        <v>46</v>
      </c>
      <c r="D5027" t="s">
        <v>47</v>
      </c>
      <c r="G5027" s="17" t="s">
        <v>35</v>
      </c>
      <c r="H5027" s="17">
        <v>1</v>
      </c>
      <c r="I5027">
        <v>0</v>
      </c>
      <c r="J5027" s="1">
        <v>43344</v>
      </c>
      <c r="K5027" t="s">
        <v>223</v>
      </c>
      <c r="L5027" t="s">
        <v>224</v>
      </c>
      <c r="M5027" t="s">
        <v>131</v>
      </c>
      <c r="N5027">
        <v>23</v>
      </c>
      <c r="O5027" t="s">
        <v>40</v>
      </c>
      <c r="S5027" t="s">
        <v>40</v>
      </c>
      <c r="U5027" s="1">
        <v>43344</v>
      </c>
      <c r="V5027" t="s">
        <v>41</v>
      </c>
      <c r="W5027" t="s">
        <v>49</v>
      </c>
      <c r="X5027" t="str">
        <f>"0561022"</f>
        <v>0561022</v>
      </c>
      <c r="Y5027" t="s">
        <v>225</v>
      </c>
      <c r="Z5027" t="s">
        <v>223</v>
      </c>
      <c r="AA5027" t="s">
        <v>224</v>
      </c>
      <c r="AB5027" t="s">
        <v>131</v>
      </c>
      <c r="AC5027" t="s">
        <v>44</v>
      </c>
      <c r="AD5027" t="s">
        <v>45</v>
      </c>
      <c r="AE5027" s="1">
        <v>21907</v>
      </c>
      <c r="AF5027">
        <v>2</v>
      </c>
      <c r="AG5027" t="s">
        <v>224</v>
      </c>
      <c r="AH5027" s="36">
        <f t="shared" si="78"/>
        <v>59.861111111111114</v>
      </c>
      <c r="AI5027" s="41" t="s">
        <v>1782</v>
      </c>
    </row>
    <row r="5028" spans="1:35" x14ac:dyDescent="0.25">
      <c r="A5028" s="36">
        <v>99915026</v>
      </c>
      <c r="B5028" s="17" t="s">
        <v>32</v>
      </c>
      <c r="C5028" t="s">
        <v>111</v>
      </c>
      <c r="D5028" t="s">
        <v>112</v>
      </c>
      <c r="G5028" s="17" t="s">
        <v>35</v>
      </c>
      <c r="H5028" s="17">
        <v>1</v>
      </c>
      <c r="K5028" t="s">
        <v>154</v>
      </c>
      <c r="L5028" t="s">
        <v>155</v>
      </c>
      <c r="M5028" t="s">
        <v>131</v>
      </c>
      <c r="N5028">
        <v>1</v>
      </c>
      <c r="O5028" t="s">
        <v>40</v>
      </c>
      <c r="P5028" t="s">
        <v>40</v>
      </c>
      <c r="Q5028" t="s">
        <v>40</v>
      </c>
      <c r="S5028" t="s">
        <v>40</v>
      </c>
      <c r="V5028" t="s">
        <v>41</v>
      </c>
      <c r="W5028" t="s">
        <v>75</v>
      </c>
      <c r="X5028" t="str">
        <f>"7051010"</f>
        <v>7051010</v>
      </c>
      <c r="Y5028" t="s">
        <v>403</v>
      </c>
      <c r="Z5028" t="s">
        <v>154</v>
      </c>
      <c r="AA5028" t="s">
        <v>155</v>
      </c>
      <c r="AB5028" t="s">
        <v>131</v>
      </c>
      <c r="AC5028" t="s">
        <v>51</v>
      </c>
      <c r="AD5028" t="s">
        <v>45</v>
      </c>
      <c r="AE5028" s="1">
        <v>21898</v>
      </c>
      <c r="AF5028">
        <v>1</v>
      </c>
      <c r="AG5028" t="s">
        <v>155</v>
      </c>
      <c r="AH5028" s="36">
        <f t="shared" si="78"/>
        <v>59.886111111111113</v>
      </c>
      <c r="AI5028" s="41" t="s">
        <v>1782</v>
      </c>
    </row>
    <row r="5029" spans="1:35" x14ac:dyDescent="0.25">
      <c r="A5029" s="36">
        <v>99915027</v>
      </c>
      <c r="B5029" s="17" t="s">
        <v>56</v>
      </c>
      <c r="C5029" t="s">
        <v>52</v>
      </c>
      <c r="D5029" t="s">
        <v>53</v>
      </c>
      <c r="G5029" s="17" t="s">
        <v>35</v>
      </c>
      <c r="H5029" s="17">
        <v>1</v>
      </c>
      <c r="K5029" t="s">
        <v>223</v>
      </c>
      <c r="L5029" t="s">
        <v>224</v>
      </c>
      <c r="M5029" t="s">
        <v>131</v>
      </c>
      <c r="N5029">
        <v>18</v>
      </c>
      <c r="O5029" t="s">
        <v>40</v>
      </c>
      <c r="P5029" t="s">
        <v>40</v>
      </c>
      <c r="Q5029" t="s">
        <v>40</v>
      </c>
      <c r="R5029" t="s">
        <v>40</v>
      </c>
      <c r="S5029" t="s">
        <v>40</v>
      </c>
      <c r="V5029" t="s">
        <v>41</v>
      </c>
      <c r="W5029" t="s">
        <v>42</v>
      </c>
      <c r="X5029" t="str">
        <f>"0580207"</f>
        <v>0580207</v>
      </c>
      <c r="Y5029" t="s">
        <v>229</v>
      </c>
      <c r="Z5029" t="s">
        <v>223</v>
      </c>
      <c r="AA5029" t="s">
        <v>224</v>
      </c>
      <c r="AB5029" t="s">
        <v>131</v>
      </c>
      <c r="AC5029" t="s">
        <v>165</v>
      </c>
      <c r="AD5029" t="s">
        <v>45</v>
      </c>
      <c r="AE5029" s="1">
        <v>21894</v>
      </c>
      <c r="AF5029">
        <v>2</v>
      </c>
      <c r="AG5029" t="s">
        <v>224</v>
      </c>
      <c r="AH5029" s="36">
        <f t="shared" si="78"/>
        <v>59.897222222222226</v>
      </c>
      <c r="AI5029" s="41" t="s">
        <v>1782</v>
      </c>
    </row>
    <row r="5030" spans="1:35" x14ac:dyDescent="0.25">
      <c r="A5030" s="36">
        <v>99915028</v>
      </c>
      <c r="B5030" s="17" t="s">
        <v>32</v>
      </c>
      <c r="C5030" t="s">
        <v>64</v>
      </c>
      <c r="D5030" t="s">
        <v>65</v>
      </c>
      <c r="G5030" s="17" t="s">
        <v>48</v>
      </c>
      <c r="H5030" s="17">
        <v>1</v>
      </c>
      <c r="K5030" t="s">
        <v>223</v>
      </c>
      <c r="L5030" t="s">
        <v>224</v>
      </c>
      <c r="M5030" t="s">
        <v>131</v>
      </c>
      <c r="N5030">
        <v>18</v>
      </c>
      <c r="O5030" t="s">
        <v>40</v>
      </c>
      <c r="P5030" t="s">
        <v>40</v>
      </c>
      <c r="Q5030" t="s">
        <v>40</v>
      </c>
      <c r="R5030" t="s">
        <v>40</v>
      </c>
      <c r="S5030" t="s">
        <v>40</v>
      </c>
      <c r="V5030" t="s">
        <v>41</v>
      </c>
      <c r="W5030" t="s">
        <v>49</v>
      </c>
      <c r="X5030" t="str">
        <f>"0581204"</f>
        <v>0581204</v>
      </c>
      <c r="Y5030" t="s">
        <v>249</v>
      </c>
      <c r="Z5030" t="s">
        <v>223</v>
      </c>
      <c r="AA5030" t="s">
        <v>224</v>
      </c>
      <c r="AB5030" t="s">
        <v>131</v>
      </c>
      <c r="AC5030" t="s">
        <v>165</v>
      </c>
      <c r="AD5030" t="s">
        <v>45</v>
      </c>
      <c r="AE5030" s="1">
        <v>21880</v>
      </c>
      <c r="AF5030">
        <v>2</v>
      </c>
      <c r="AG5030" t="s">
        <v>224</v>
      </c>
      <c r="AH5030" s="36">
        <f t="shared" si="78"/>
        <v>59.93611111111111</v>
      </c>
      <c r="AI5030" s="41" t="s">
        <v>1782</v>
      </c>
    </row>
    <row r="5031" spans="1:35" x14ac:dyDescent="0.25">
      <c r="A5031" s="36">
        <v>99915029</v>
      </c>
      <c r="B5031" s="17" t="s">
        <v>32</v>
      </c>
      <c r="C5031" t="s">
        <v>64</v>
      </c>
      <c r="D5031" t="s">
        <v>65</v>
      </c>
      <c r="G5031" s="17" t="s">
        <v>35</v>
      </c>
      <c r="H5031" s="17">
        <v>1</v>
      </c>
      <c r="I5031">
        <v>188</v>
      </c>
      <c r="J5031" s="1">
        <v>43344</v>
      </c>
      <c r="K5031" t="s">
        <v>1341</v>
      </c>
      <c r="L5031" t="s">
        <v>1342</v>
      </c>
      <c r="M5031" t="s">
        <v>1270</v>
      </c>
      <c r="N5031">
        <v>24</v>
      </c>
      <c r="O5031" t="s">
        <v>40</v>
      </c>
      <c r="P5031" t="s">
        <v>40</v>
      </c>
      <c r="Q5031" t="s">
        <v>40</v>
      </c>
      <c r="R5031" t="s">
        <v>40</v>
      </c>
      <c r="S5031" t="s">
        <v>40</v>
      </c>
      <c r="U5031" s="1">
        <v>43344</v>
      </c>
      <c r="V5031" t="s">
        <v>41</v>
      </c>
      <c r="W5031" t="s">
        <v>75</v>
      </c>
      <c r="X5031" t="str">
        <f>"7191036"</f>
        <v>7191036</v>
      </c>
      <c r="Y5031" t="s">
        <v>1348</v>
      </c>
      <c r="Z5031" t="s">
        <v>1341</v>
      </c>
      <c r="AA5031" t="s">
        <v>1342</v>
      </c>
      <c r="AB5031" t="s">
        <v>1270</v>
      </c>
      <c r="AC5031" t="s">
        <v>44</v>
      </c>
      <c r="AD5031" t="s">
        <v>45</v>
      </c>
      <c r="AE5031" s="1">
        <v>21860</v>
      </c>
      <c r="AF5031">
        <v>1</v>
      </c>
      <c r="AG5031" t="s">
        <v>1342</v>
      </c>
      <c r="AH5031" s="36">
        <f t="shared" si="78"/>
        <v>59.991666666666667</v>
      </c>
      <c r="AI5031" s="41" t="s">
        <v>1782</v>
      </c>
    </row>
    <row r="5032" spans="1:35" x14ac:dyDescent="0.25">
      <c r="A5032" s="36">
        <v>99915030</v>
      </c>
      <c r="B5032" s="17" t="s">
        <v>56</v>
      </c>
      <c r="C5032" t="s">
        <v>68</v>
      </c>
      <c r="D5032" t="s">
        <v>69</v>
      </c>
      <c r="G5032" s="17" t="s">
        <v>35</v>
      </c>
      <c r="H5032" s="17">
        <v>1</v>
      </c>
      <c r="K5032" t="s">
        <v>1268</v>
      </c>
      <c r="L5032" t="s">
        <v>1269</v>
      </c>
      <c r="M5032" t="s">
        <v>1270</v>
      </c>
      <c r="N5032">
        <v>18</v>
      </c>
      <c r="O5032" t="s">
        <v>40</v>
      </c>
      <c r="P5032" t="s">
        <v>40</v>
      </c>
      <c r="Q5032" t="s">
        <v>40</v>
      </c>
      <c r="R5032" t="s">
        <v>40</v>
      </c>
      <c r="S5032" t="s">
        <v>40</v>
      </c>
      <c r="V5032" t="s">
        <v>41</v>
      </c>
      <c r="W5032" t="s">
        <v>42</v>
      </c>
      <c r="X5032" t="str">
        <f>"1990001"</f>
        <v>1990001</v>
      </c>
      <c r="Y5032" t="s">
        <v>1294</v>
      </c>
      <c r="Z5032" t="s">
        <v>1268</v>
      </c>
      <c r="AA5032" t="s">
        <v>1269</v>
      </c>
      <c r="AB5032" t="s">
        <v>1270</v>
      </c>
      <c r="AC5032" t="s">
        <v>51</v>
      </c>
      <c r="AD5032" t="s">
        <v>45</v>
      </c>
      <c r="AE5032" s="1">
        <v>21851</v>
      </c>
      <c r="AF5032">
        <v>2</v>
      </c>
      <c r="AG5032" t="s">
        <v>1269</v>
      </c>
      <c r="AH5032" s="36">
        <f t="shared" si="78"/>
        <v>60.016666666666666</v>
      </c>
      <c r="AI5032" s="41" t="s">
        <v>1782</v>
      </c>
    </row>
    <row r="5033" spans="1:35" x14ac:dyDescent="0.25">
      <c r="A5033" s="36">
        <v>99915031</v>
      </c>
      <c r="B5033" s="17" t="s">
        <v>32</v>
      </c>
      <c r="C5033" t="s">
        <v>64</v>
      </c>
      <c r="D5033" t="s">
        <v>65</v>
      </c>
      <c r="G5033" s="17" t="s">
        <v>35</v>
      </c>
      <c r="H5033" s="17">
        <v>1</v>
      </c>
      <c r="K5033" t="s">
        <v>380</v>
      </c>
      <c r="L5033" t="s">
        <v>381</v>
      </c>
      <c r="M5033" t="s">
        <v>131</v>
      </c>
      <c r="N5033">
        <v>18</v>
      </c>
      <c r="O5033" t="s">
        <v>40</v>
      </c>
      <c r="P5033" t="s">
        <v>40</v>
      </c>
      <c r="Q5033" t="s">
        <v>40</v>
      </c>
      <c r="S5033" t="s">
        <v>40</v>
      </c>
      <c r="V5033" t="s">
        <v>41</v>
      </c>
      <c r="W5033" t="s">
        <v>49</v>
      </c>
      <c r="X5033" t="str">
        <f>"0591909"</f>
        <v>0591909</v>
      </c>
      <c r="Y5033" t="s">
        <v>385</v>
      </c>
      <c r="Z5033" t="s">
        <v>380</v>
      </c>
      <c r="AA5033" t="s">
        <v>381</v>
      </c>
      <c r="AB5033" t="s">
        <v>131</v>
      </c>
      <c r="AC5033" t="s">
        <v>51</v>
      </c>
      <c r="AD5033" t="s">
        <v>45</v>
      </c>
      <c r="AE5033" s="1">
        <v>21843</v>
      </c>
      <c r="AF5033">
        <v>2</v>
      </c>
      <c r="AG5033" t="s">
        <v>381</v>
      </c>
      <c r="AH5033" s="36">
        <f t="shared" si="78"/>
        <v>60.038888888888891</v>
      </c>
      <c r="AI5033" s="41" t="s">
        <v>1782</v>
      </c>
    </row>
    <row r="5034" spans="1:35" x14ac:dyDescent="0.25">
      <c r="A5034" s="36">
        <v>99915032</v>
      </c>
      <c r="B5034" s="17" t="s">
        <v>56</v>
      </c>
      <c r="C5034" t="s">
        <v>141</v>
      </c>
      <c r="D5034" t="s">
        <v>142</v>
      </c>
      <c r="G5034" s="17" t="s">
        <v>48</v>
      </c>
      <c r="H5034" s="17">
        <v>7</v>
      </c>
      <c r="I5034" t="s">
        <v>503</v>
      </c>
      <c r="J5034" s="1">
        <v>40422</v>
      </c>
      <c r="K5034" t="s">
        <v>195</v>
      </c>
      <c r="L5034" t="s">
        <v>196</v>
      </c>
      <c r="M5034" t="s">
        <v>131</v>
      </c>
      <c r="N5034">
        <v>23</v>
      </c>
      <c r="O5034" t="s">
        <v>40</v>
      </c>
      <c r="P5034" t="s">
        <v>40</v>
      </c>
      <c r="Q5034" t="s">
        <v>40</v>
      </c>
      <c r="R5034" t="s">
        <v>40</v>
      </c>
      <c r="S5034" t="s">
        <v>40</v>
      </c>
      <c r="U5034" s="1">
        <v>40422</v>
      </c>
      <c r="V5034" t="s">
        <v>41</v>
      </c>
      <c r="W5034" t="s">
        <v>75</v>
      </c>
      <c r="X5034" t="str">
        <f>"7521050"</f>
        <v>7521050</v>
      </c>
      <c r="Y5034" t="s">
        <v>194</v>
      </c>
      <c r="Z5034" t="s">
        <v>195</v>
      </c>
      <c r="AA5034" t="s">
        <v>196</v>
      </c>
      <c r="AB5034" t="s">
        <v>131</v>
      </c>
      <c r="AC5034" t="s">
        <v>51</v>
      </c>
      <c r="AD5034" t="s">
        <v>45</v>
      </c>
      <c r="AE5034" s="1">
        <v>21835</v>
      </c>
      <c r="AF5034">
        <v>1</v>
      </c>
      <c r="AG5034" t="s">
        <v>196</v>
      </c>
      <c r="AH5034" s="36">
        <f t="shared" si="78"/>
        <v>60.06111111111111</v>
      </c>
      <c r="AI5034" s="41" t="s">
        <v>1782</v>
      </c>
    </row>
    <row r="5035" spans="1:35" x14ac:dyDescent="0.25">
      <c r="A5035" s="36">
        <v>99915033</v>
      </c>
      <c r="B5035" s="17" t="s">
        <v>56</v>
      </c>
      <c r="C5035" t="s">
        <v>61</v>
      </c>
      <c r="D5035" t="s">
        <v>62</v>
      </c>
      <c r="G5035" s="17" t="s">
        <v>48</v>
      </c>
      <c r="H5035" s="17">
        <v>15</v>
      </c>
      <c r="K5035" t="s">
        <v>1268</v>
      </c>
      <c r="L5035" t="s">
        <v>1269</v>
      </c>
      <c r="M5035" t="s">
        <v>1270</v>
      </c>
      <c r="N5035">
        <v>18</v>
      </c>
      <c r="O5035" t="s">
        <v>40</v>
      </c>
      <c r="P5035" t="s">
        <v>40</v>
      </c>
      <c r="Q5035" t="s">
        <v>40</v>
      </c>
      <c r="R5035" t="s">
        <v>40</v>
      </c>
      <c r="S5035" t="s">
        <v>40</v>
      </c>
      <c r="U5035" s="1">
        <v>43344</v>
      </c>
      <c r="V5035" t="s">
        <v>41</v>
      </c>
      <c r="W5035" t="s">
        <v>49</v>
      </c>
      <c r="X5035" t="str">
        <f>"1960001"</f>
        <v>1960001</v>
      </c>
      <c r="Y5035" t="s">
        <v>1272</v>
      </c>
      <c r="Z5035" t="s">
        <v>1268</v>
      </c>
      <c r="AA5035" t="s">
        <v>1269</v>
      </c>
      <c r="AB5035" t="s">
        <v>1270</v>
      </c>
      <c r="AC5035" t="s">
        <v>51</v>
      </c>
      <c r="AD5035" t="s">
        <v>45</v>
      </c>
      <c r="AE5035" s="1">
        <v>21835</v>
      </c>
      <c r="AF5035">
        <v>2</v>
      </c>
      <c r="AG5035" t="s">
        <v>1269</v>
      </c>
      <c r="AH5035" s="36">
        <f t="shared" si="78"/>
        <v>60.06111111111111</v>
      </c>
      <c r="AI5035" s="41" t="s">
        <v>1782</v>
      </c>
    </row>
    <row r="5036" spans="1:35" x14ac:dyDescent="0.25">
      <c r="A5036" s="36">
        <v>99915034</v>
      </c>
      <c r="B5036" s="17" t="s">
        <v>56</v>
      </c>
      <c r="C5036" t="s">
        <v>52</v>
      </c>
      <c r="D5036" t="s">
        <v>53</v>
      </c>
      <c r="G5036" s="17" t="s">
        <v>48</v>
      </c>
      <c r="H5036" s="17">
        <v>1</v>
      </c>
      <c r="K5036" t="s">
        <v>223</v>
      </c>
      <c r="L5036" t="s">
        <v>224</v>
      </c>
      <c r="M5036" t="s">
        <v>131</v>
      </c>
      <c r="N5036">
        <v>20</v>
      </c>
      <c r="O5036" t="s">
        <v>40</v>
      </c>
      <c r="P5036" t="s">
        <v>40</v>
      </c>
      <c r="Q5036" t="s">
        <v>40</v>
      </c>
      <c r="S5036" t="s">
        <v>40</v>
      </c>
      <c r="V5036" t="s">
        <v>41</v>
      </c>
      <c r="W5036" t="s">
        <v>49</v>
      </c>
      <c r="X5036" t="str">
        <f>"0581206"</f>
        <v>0581206</v>
      </c>
      <c r="Y5036" t="s">
        <v>232</v>
      </c>
      <c r="Z5036" t="s">
        <v>223</v>
      </c>
      <c r="AA5036" t="s">
        <v>224</v>
      </c>
      <c r="AB5036" t="s">
        <v>131</v>
      </c>
      <c r="AC5036" t="s">
        <v>51</v>
      </c>
      <c r="AD5036" t="s">
        <v>45</v>
      </c>
      <c r="AE5036" s="1">
        <v>21833</v>
      </c>
      <c r="AF5036">
        <v>2</v>
      </c>
      <c r="AG5036" t="s">
        <v>224</v>
      </c>
      <c r="AH5036" s="36">
        <f t="shared" si="78"/>
        <v>60.06666666666667</v>
      </c>
      <c r="AI5036" s="41" t="s">
        <v>1782</v>
      </c>
    </row>
    <row r="5037" spans="1:35" x14ac:dyDescent="0.25">
      <c r="A5037" s="36">
        <v>99915035</v>
      </c>
      <c r="B5037" s="17" t="s">
        <v>32</v>
      </c>
      <c r="C5037" t="s">
        <v>90</v>
      </c>
      <c r="D5037" t="s">
        <v>91</v>
      </c>
      <c r="G5037" s="17" t="s">
        <v>48</v>
      </c>
      <c r="H5037" s="17">
        <v>1</v>
      </c>
      <c r="K5037" t="s">
        <v>1334</v>
      </c>
      <c r="L5037" t="s">
        <v>1335</v>
      </c>
      <c r="M5037" t="s">
        <v>1270</v>
      </c>
      <c r="N5037">
        <v>25</v>
      </c>
      <c r="O5037" t="s">
        <v>40</v>
      </c>
      <c r="P5037" t="s">
        <v>40</v>
      </c>
      <c r="Q5037" t="s">
        <v>40</v>
      </c>
      <c r="S5037" t="s">
        <v>40</v>
      </c>
      <c r="V5037" t="s">
        <v>41</v>
      </c>
      <c r="W5037" t="s">
        <v>95</v>
      </c>
      <c r="X5037" t="str">
        <f>"7391001"</f>
        <v>7391001</v>
      </c>
      <c r="Y5037" t="s">
        <v>1468</v>
      </c>
      <c r="Z5037" t="s">
        <v>1334</v>
      </c>
      <c r="AA5037" t="s">
        <v>1335</v>
      </c>
      <c r="AB5037" t="s">
        <v>1270</v>
      </c>
      <c r="AC5037" t="s">
        <v>51</v>
      </c>
      <c r="AD5037" t="s">
        <v>45</v>
      </c>
      <c r="AE5037" s="1">
        <v>21830</v>
      </c>
      <c r="AF5037">
        <v>1</v>
      </c>
      <c r="AG5037" t="s">
        <v>1335</v>
      </c>
      <c r="AH5037" s="36">
        <f t="shared" si="78"/>
        <v>60.075000000000003</v>
      </c>
      <c r="AI5037" s="41" t="s">
        <v>1782</v>
      </c>
    </row>
    <row r="5038" spans="1:35" x14ac:dyDescent="0.25">
      <c r="A5038" s="36">
        <v>99915036</v>
      </c>
      <c r="B5038" s="17" t="s">
        <v>56</v>
      </c>
      <c r="C5038" t="s">
        <v>52</v>
      </c>
      <c r="D5038" t="s">
        <v>53</v>
      </c>
      <c r="G5038" s="17" t="s">
        <v>48</v>
      </c>
      <c r="H5038" s="17">
        <v>1</v>
      </c>
      <c r="K5038" t="s">
        <v>157</v>
      </c>
      <c r="L5038" t="s">
        <v>158</v>
      </c>
      <c r="M5038" t="s">
        <v>131</v>
      </c>
      <c r="N5038">
        <v>18</v>
      </c>
      <c r="O5038" t="s">
        <v>40</v>
      </c>
      <c r="P5038" t="s">
        <v>40</v>
      </c>
      <c r="Q5038" t="s">
        <v>40</v>
      </c>
      <c r="S5038" t="s">
        <v>40</v>
      </c>
      <c r="V5038" t="s">
        <v>41</v>
      </c>
      <c r="W5038" t="s">
        <v>42</v>
      </c>
      <c r="X5038" t="str">
        <f>"0580290"</f>
        <v>0580290</v>
      </c>
      <c r="Y5038" t="s">
        <v>171</v>
      </c>
      <c r="Z5038" t="s">
        <v>157</v>
      </c>
      <c r="AA5038" t="s">
        <v>158</v>
      </c>
      <c r="AB5038" t="s">
        <v>131</v>
      </c>
      <c r="AC5038" t="s">
        <v>51</v>
      </c>
      <c r="AD5038" t="s">
        <v>45</v>
      </c>
      <c r="AE5038" s="1">
        <v>21819</v>
      </c>
      <c r="AF5038">
        <v>2</v>
      </c>
      <c r="AG5038" t="s">
        <v>158</v>
      </c>
      <c r="AH5038" s="36">
        <f t="shared" si="78"/>
        <v>60.105555555555554</v>
      </c>
      <c r="AI5038" s="41" t="s">
        <v>1782</v>
      </c>
    </row>
    <row r="5039" spans="1:35" x14ac:dyDescent="0.25">
      <c r="A5039" s="36">
        <v>99915037</v>
      </c>
      <c r="B5039" s="17" t="s">
        <v>32</v>
      </c>
      <c r="C5039" t="s">
        <v>64</v>
      </c>
      <c r="D5039" t="s">
        <v>65</v>
      </c>
      <c r="G5039" s="17" t="s">
        <v>48</v>
      </c>
      <c r="H5039" s="17">
        <v>1</v>
      </c>
      <c r="K5039" t="s">
        <v>345</v>
      </c>
      <c r="L5039" t="s">
        <v>346</v>
      </c>
      <c r="M5039" t="s">
        <v>131</v>
      </c>
      <c r="N5039">
        <v>18</v>
      </c>
      <c r="O5039" t="s">
        <v>40</v>
      </c>
      <c r="P5039" t="s">
        <v>40</v>
      </c>
      <c r="Q5039" t="s">
        <v>40</v>
      </c>
      <c r="R5039" t="s">
        <v>40</v>
      </c>
      <c r="S5039" t="s">
        <v>40</v>
      </c>
      <c r="V5039" t="s">
        <v>41</v>
      </c>
      <c r="W5039" t="s">
        <v>49</v>
      </c>
      <c r="X5039" t="str">
        <f>"0561003"</f>
        <v>0561003</v>
      </c>
      <c r="Y5039" t="s">
        <v>370</v>
      </c>
      <c r="Z5039" t="s">
        <v>345</v>
      </c>
      <c r="AA5039" t="s">
        <v>346</v>
      </c>
      <c r="AB5039" t="s">
        <v>131</v>
      </c>
      <c r="AC5039" t="s">
        <v>51</v>
      </c>
      <c r="AD5039" t="s">
        <v>45</v>
      </c>
      <c r="AE5039" s="1">
        <v>21815</v>
      </c>
      <c r="AF5039">
        <v>2</v>
      </c>
      <c r="AG5039" t="s">
        <v>346</v>
      </c>
      <c r="AH5039" s="36">
        <f t="shared" si="78"/>
        <v>60.116666666666667</v>
      </c>
      <c r="AI5039" s="41" t="s">
        <v>1782</v>
      </c>
    </row>
    <row r="5040" spans="1:35" x14ac:dyDescent="0.25">
      <c r="A5040" s="36">
        <v>99915038</v>
      </c>
      <c r="B5040" s="17" t="s">
        <v>32</v>
      </c>
      <c r="C5040" t="s">
        <v>85</v>
      </c>
      <c r="D5040" t="s">
        <v>86</v>
      </c>
      <c r="G5040" s="17" t="s">
        <v>35</v>
      </c>
      <c r="H5040" s="17">
        <v>1</v>
      </c>
      <c r="K5040" t="s">
        <v>223</v>
      </c>
      <c r="L5040" t="s">
        <v>224</v>
      </c>
      <c r="M5040" t="s">
        <v>131</v>
      </c>
      <c r="N5040">
        <v>18</v>
      </c>
      <c r="O5040" t="s">
        <v>40</v>
      </c>
      <c r="P5040" t="s">
        <v>40</v>
      </c>
      <c r="Q5040" t="s">
        <v>40</v>
      </c>
      <c r="S5040" t="s">
        <v>40</v>
      </c>
      <c r="V5040" t="s">
        <v>41</v>
      </c>
      <c r="W5040" t="s">
        <v>42</v>
      </c>
      <c r="X5040" t="str">
        <f>"0590903"</f>
        <v>0590903</v>
      </c>
      <c r="Y5040" t="s">
        <v>226</v>
      </c>
      <c r="Z5040" t="s">
        <v>223</v>
      </c>
      <c r="AA5040" t="s">
        <v>224</v>
      </c>
      <c r="AB5040" t="s">
        <v>131</v>
      </c>
      <c r="AC5040" t="s">
        <v>51</v>
      </c>
      <c r="AD5040" t="s">
        <v>45</v>
      </c>
      <c r="AE5040" s="1">
        <v>21801</v>
      </c>
      <c r="AF5040">
        <v>2</v>
      </c>
      <c r="AG5040" t="s">
        <v>224</v>
      </c>
      <c r="AH5040" s="36">
        <f t="shared" si="78"/>
        <v>60.155555555555559</v>
      </c>
      <c r="AI5040" s="41" t="s">
        <v>1782</v>
      </c>
    </row>
    <row r="5041" spans="1:35" x14ac:dyDescent="0.25">
      <c r="A5041" s="36">
        <v>99915039</v>
      </c>
      <c r="B5041" s="17" t="s">
        <v>56</v>
      </c>
      <c r="C5041" t="s">
        <v>33</v>
      </c>
      <c r="D5041" t="s">
        <v>34</v>
      </c>
      <c r="G5041" s="17" t="s">
        <v>48</v>
      </c>
      <c r="H5041" s="17">
        <v>1</v>
      </c>
      <c r="K5041" t="s">
        <v>1613</v>
      </c>
      <c r="L5041" t="s">
        <v>1614</v>
      </c>
      <c r="M5041" t="s">
        <v>1592</v>
      </c>
      <c r="N5041">
        <v>9</v>
      </c>
      <c r="O5041" t="s">
        <v>40</v>
      </c>
      <c r="P5041" t="s">
        <v>40</v>
      </c>
      <c r="Q5041" t="s">
        <v>40</v>
      </c>
      <c r="R5041" t="s">
        <v>40</v>
      </c>
      <c r="S5041" t="s">
        <v>40</v>
      </c>
      <c r="V5041" t="s">
        <v>41</v>
      </c>
      <c r="W5041" t="s">
        <v>49</v>
      </c>
      <c r="X5041" t="str">
        <f>"2881010"</f>
        <v>2881010</v>
      </c>
      <c r="Y5041" t="s">
        <v>1622</v>
      </c>
      <c r="Z5041" t="s">
        <v>1613</v>
      </c>
      <c r="AA5041" t="s">
        <v>1614</v>
      </c>
      <c r="AB5041" t="s">
        <v>1592</v>
      </c>
      <c r="AC5041" t="s">
        <v>51</v>
      </c>
      <c r="AD5041" t="s">
        <v>45</v>
      </c>
      <c r="AE5041" s="1">
        <v>21794</v>
      </c>
      <c r="AF5041">
        <v>2</v>
      </c>
      <c r="AG5041" t="s">
        <v>1614</v>
      </c>
      <c r="AH5041" s="36">
        <f t="shared" si="78"/>
        <v>60.174999999999997</v>
      </c>
      <c r="AI5041" s="41" t="s">
        <v>1782</v>
      </c>
    </row>
    <row r="5042" spans="1:35" x14ac:dyDescent="0.25">
      <c r="A5042" s="36">
        <v>99915040</v>
      </c>
      <c r="B5042" s="17" t="s">
        <v>32</v>
      </c>
      <c r="C5042" t="s">
        <v>111</v>
      </c>
      <c r="D5042" t="s">
        <v>112</v>
      </c>
      <c r="G5042" s="17" t="s">
        <v>35</v>
      </c>
      <c r="H5042" s="17">
        <v>1</v>
      </c>
      <c r="I5042" t="s">
        <v>690</v>
      </c>
      <c r="J5042" s="1">
        <v>43344</v>
      </c>
      <c r="K5042" t="s">
        <v>268</v>
      </c>
      <c r="L5042" t="s">
        <v>269</v>
      </c>
      <c r="M5042" t="s">
        <v>131</v>
      </c>
      <c r="N5042">
        <v>21</v>
      </c>
      <c r="O5042" t="s">
        <v>40</v>
      </c>
      <c r="S5042" t="s">
        <v>40</v>
      </c>
      <c r="U5042" s="1">
        <v>43344</v>
      </c>
      <c r="V5042" t="s">
        <v>41</v>
      </c>
      <c r="W5042" t="s">
        <v>75</v>
      </c>
      <c r="X5042" t="str">
        <f>"7052020"</f>
        <v>7052020</v>
      </c>
      <c r="Y5042" t="s">
        <v>267</v>
      </c>
      <c r="Z5042" t="s">
        <v>268</v>
      </c>
      <c r="AA5042" t="s">
        <v>269</v>
      </c>
      <c r="AB5042" t="s">
        <v>131</v>
      </c>
      <c r="AC5042" t="s">
        <v>51</v>
      </c>
      <c r="AD5042" t="s">
        <v>45</v>
      </c>
      <c r="AE5042" s="1">
        <v>21793</v>
      </c>
      <c r="AF5042">
        <v>1</v>
      </c>
      <c r="AG5042" t="s">
        <v>269</v>
      </c>
      <c r="AH5042" s="36">
        <f t="shared" si="78"/>
        <v>60.177777777777777</v>
      </c>
      <c r="AI5042" s="41" t="s">
        <v>1782</v>
      </c>
    </row>
    <row r="5043" spans="1:35" x14ac:dyDescent="0.25">
      <c r="A5043" s="36">
        <v>99915041</v>
      </c>
      <c r="B5043" s="17" t="s">
        <v>32</v>
      </c>
      <c r="C5043" t="s">
        <v>139</v>
      </c>
      <c r="D5043" t="s">
        <v>140</v>
      </c>
      <c r="G5043" s="17" t="s">
        <v>48</v>
      </c>
      <c r="H5043" s="17">
        <v>1</v>
      </c>
      <c r="K5043" t="s">
        <v>129</v>
      </c>
      <c r="L5043" t="s">
        <v>130</v>
      </c>
      <c r="M5043" t="s">
        <v>131</v>
      </c>
      <c r="N5043">
        <v>18</v>
      </c>
      <c r="O5043" t="s">
        <v>40</v>
      </c>
      <c r="P5043" t="s">
        <v>40</v>
      </c>
      <c r="Q5043" t="s">
        <v>40</v>
      </c>
      <c r="R5043" t="s">
        <v>40</v>
      </c>
      <c r="S5043" t="s">
        <v>40</v>
      </c>
      <c r="V5043" t="s">
        <v>41</v>
      </c>
      <c r="W5043" t="s">
        <v>42</v>
      </c>
      <c r="X5043" t="str">
        <f>"0590905"</f>
        <v>0590905</v>
      </c>
      <c r="Y5043" t="s">
        <v>133</v>
      </c>
      <c r="Z5043" t="s">
        <v>129</v>
      </c>
      <c r="AA5043" t="s">
        <v>130</v>
      </c>
      <c r="AB5043" t="s">
        <v>131</v>
      </c>
      <c r="AC5043" t="s">
        <v>51</v>
      </c>
      <c r="AD5043" t="s">
        <v>45</v>
      </c>
      <c r="AE5043" s="1">
        <v>21790</v>
      </c>
      <c r="AF5043">
        <v>2</v>
      </c>
      <c r="AG5043" t="s">
        <v>130</v>
      </c>
      <c r="AH5043" s="36">
        <f t="shared" si="78"/>
        <v>60.18611111111111</v>
      </c>
      <c r="AI5043" s="41" t="s">
        <v>1782</v>
      </c>
    </row>
    <row r="5044" spans="1:35" x14ac:dyDescent="0.25">
      <c r="A5044" s="36">
        <v>99915042</v>
      </c>
      <c r="B5044" s="17" t="s">
        <v>32</v>
      </c>
      <c r="C5044" t="s">
        <v>111</v>
      </c>
      <c r="D5044" t="s">
        <v>112</v>
      </c>
      <c r="G5044" s="17" t="s">
        <v>35</v>
      </c>
      <c r="H5044" s="17">
        <v>1</v>
      </c>
      <c r="I5044" t="s">
        <v>800</v>
      </c>
      <c r="J5044" s="1">
        <v>43344</v>
      </c>
      <c r="K5044" t="s">
        <v>354</v>
      </c>
      <c r="L5044" t="s">
        <v>355</v>
      </c>
      <c r="M5044" t="s">
        <v>131</v>
      </c>
      <c r="N5044">
        <v>21</v>
      </c>
      <c r="O5044" t="s">
        <v>40</v>
      </c>
      <c r="S5044" t="s">
        <v>40</v>
      </c>
      <c r="U5044" s="1">
        <v>43344</v>
      </c>
      <c r="V5044" t="s">
        <v>41</v>
      </c>
      <c r="W5044" t="s">
        <v>75</v>
      </c>
      <c r="X5044" t="str">
        <f>"7054032"</f>
        <v>7054032</v>
      </c>
      <c r="Y5044" t="s">
        <v>767</v>
      </c>
      <c r="Z5044" t="s">
        <v>354</v>
      </c>
      <c r="AA5044" t="s">
        <v>355</v>
      </c>
      <c r="AB5044" t="s">
        <v>131</v>
      </c>
      <c r="AC5044" t="s">
        <v>51</v>
      </c>
      <c r="AD5044" t="s">
        <v>45</v>
      </c>
      <c r="AE5044" s="1">
        <v>21781</v>
      </c>
      <c r="AF5044">
        <v>1</v>
      </c>
      <c r="AG5044" t="s">
        <v>355</v>
      </c>
      <c r="AH5044" s="36">
        <f t="shared" si="78"/>
        <v>60.211111111111109</v>
      </c>
      <c r="AI5044" s="41" t="s">
        <v>1782</v>
      </c>
    </row>
    <row r="5045" spans="1:35" x14ac:dyDescent="0.25">
      <c r="A5045" s="36">
        <v>99915043</v>
      </c>
      <c r="B5045" s="17" t="s">
        <v>56</v>
      </c>
      <c r="C5045" t="s">
        <v>46</v>
      </c>
      <c r="D5045" t="s">
        <v>47</v>
      </c>
      <c r="G5045" s="17" t="s">
        <v>48</v>
      </c>
      <c r="H5045" s="17">
        <v>1</v>
      </c>
      <c r="K5045" t="s">
        <v>129</v>
      </c>
      <c r="L5045" t="s">
        <v>130</v>
      </c>
      <c r="M5045" t="s">
        <v>131</v>
      </c>
      <c r="N5045">
        <v>18</v>
      </c>
      <c r="O5045" t="s">
        <v>40</v>
      </c>
      <c r="P5045" t="s">
        <v>40</v>
      </c>
      <c r="Q5045" t="s">
        <v>40</v>
      </c>
      <c r="S5045" t="s">
        <v>40</v>
      </c>
      <c r="V5045" t="s">
        <v>41</v>
      </c>
      <c r="W5045" t="s">
        <v>42</v>
      </c>
      <c r="X5045" t="str">
        <f>"0590905"</f>
        <v>0590905</v>
      </c>
      <c r="Y5045" t="s">
        <v>133</v>
      </c>
      <c r="Z5045" t="s">
        <v>129</v>
      </c>
      <c r="AA5045" t="s">
        <v>130</v>
      </c>
      <c r="AB5045" t="s">
        <v>131</v>
      </c>
      <c r="AC5045" t="s">
        <v>51</v>
      </c>
      <c r="AD5045" t="s">
        <v>45</v>
      </c>
      <c r="AE5045" s="1">
        <v>21775</v>
      </c>
      <c r="AF5045">
        <v>2</v>
      </c>
      <c r="AG5045" t="s">
        <v>130</v>
      </c>
      <c r="AH5045" s="36">
        <f t="shared" si="78"/>
        <v>60.227777777777774</v>
      </c>
      <c r="AI5045" s="41" t="s">
        <v>1782</v>
      </c>
    </row>
    <row r="5046" spans="1:35" x14ac:dyDescent="0.25">
      <c r="A5046" s="36">
        <v>99915044</v>
      </c>
      <c r="B5046" s="17" t="s">
        <v>32</v>
      </c>
      <c r="C5046" t="s">
        <v>90</v>
      </c>
      <c r="D5046" t="s">
        <v>91</v>
      </c>
      <c r="G5046" s="17" t="s">
        <v>88</v>
      </c>
      <c r="H5046" s="17">
        <v>4</v>
      </c>
      <c r="J5046" s="1">
        <v>43344</v>
      </c>
      <c r="K5046" t="s">
        <v>354</v>
      </c>
      <c r="L5046" t="s">
        <v>355</v>
      </c>
      <c r="M5046" t="s">
        <v>131</v>
      </c>
      <c r="N5046">
        <v>25</v>
      </c>
      <c r="O5046" t="s">
        <v>40</v>
      </c>
      <c r="P5046" t="s">
        <v>40</v>
      </c>
      <c r="Q5046" t="s">
        <v>40</v>
      </c>
      <c r="R5046" t="s">
        <v>40</v>
      </c>
      <c r="S5046" t="s">
        <v>40</v>
      </c>
      <c r="U5046" s="1">
        <v>43344</v>
      </c>
      <c r="V5046" t="s">
        <v>41</v>
      </c>
      <c r="W5046" t="s">
        <v>95</v>
      </c>
      <c r="X5046" t="str">
        <f>"7054027"</f>
        <v>7054027</v>
      </c>
      <c r="Y5046" t="s">
        <v>787</v>
      </c>
      <c r="Z5046" t="s">
        <v>354</v>
      </c>
      <c r="AA5046" t="s">
        <v>355</v>
      </c>
      <c r="AB5046" t="s">
        <v>131</v>
      </c>
      <c r="AC5046" t="s">
        <v>51</v>
      </c>
      <c r="AD5046" t="s">
        <v>45</v>
      </c>
      <c r="AE5046" s="1">
        <v>21765</v>
      </c>
      <c r="AF5046">
        <v>1</v>
      </c>
      <c r="AG5046" t="s">
        <v>355</v>
      </c>
      <c r="AH5046" s="36">
        <f t="shared" si="78"/>
        <v>60.255555555555553</v>
      </c>
      <c r="AI5046" s="41" t="s">
        <v>1782</v>
      </c>
    </row>
    <row r="5047" spans="1:35" x14ac:dyDescent="0.25">
      <c r="A5047" s="36">
        <v>99915045</v>
      </c>
      <c r="B5047" s="17" t="s">
        <v>56</v>
      </c>
      <c r="C5047" t="s">
        <v>33</v>
      </c>
      <c r="D5047" t="s">
        <v>34</v>
      </c>
      <c r="G5047" s="17" t="s">
        <v>35</v>
      </c>
      <c r="H5047" s="17">
        <v>1</v>
      </c>
      <c r="K5047" t="s">
        <v>947</v>
      </c>
      <c r="L5047" t="s">
        <v>948</v>
      </c>
      <c r="M5047" t="s">
        <v>938</v>
      </c>
      <c r="N5047">
        <v>9</v>
      </c>
      <c r="O5047" t="s">
        <v>40</v>
      </c>
      <c r="P5047" t="s">
        <v>40</v>
      </c>
      <c r="Q5047" t="s">
        <v>40</v>
      </c>
      <c r="R5047" t="s">
        <v>40</v>
      </c>
      <c r="S5047" t="s">
        <v>40</v>
      </c>
      <c r="V5047" t="s">
        <v>41</v>
      </c>
      <c r="W5047" t="s">
        <v>42</v>
      </c>
      <c r="X5047" t="str">
        <f>"0680039"</f>
        <v>0680039</v>
      </c>
      <c r="Y5047" t="s">
        <v>949</v>
      </c>
      <c r="Z5047" t="s">
        <v>947</v>
      </c>
      <c r="AA5047" t="s">
        <v>948</v>
      </c>
      <c r="AB5047" t="s">
        <v>938</v>
      </c>
      <c r="AC5047" t="s">
        <v>51</v>
      </c>
      <c r="AD5047" t="s">
        <v>45</v>
      </c>
      <c r="AE5047" s="1">
        <v>21751</v>
      </c>
      <c r="AF5047">
        <v>2</v>
      </c>
      <c r="AG5047" t="s">
        <v>948</v>
      </c>
      <c r="AH5047" s="36">
        <f t="shared" si="78"/>
        <v>60.294444444444444</v>
      </c>
      <c r="AI5047" s="41" t="s">
        <v>1782</v>
      </c>
    </row>
    <row r="5048" spans="1:35" x14ac:dyDescent="0.25">
      <c r="A5048" s="36">
        <v>99915046</v>
      </c>
      <c r="B5048" s="17" t="s">
        <v>32</v>
      </c>
      <c r="C5048" t="s">
        <v>46</v>
      </c>
      <c r="D5048" t="s">
        <v>47</v>
      </c>
      <c r="G5048" s="17" t="s">
        <v>48</v>
      </c>
      <c r="H5048" s="17">
        <v>1</v>
      </c>
      <c r="K5048" t="s">
        <v>223</v>
      </c>
      <c r="L5048" t="s">
        <v>224</v>
      </c>
      <c r="M5048" t="s">
        <v>131</v>
      </c>
      <c r="N5048">
        <v>18</v>
      </c>
      <c r="O5048" t="s">
        <v>40</v>
      </c>
      <c r="P5048" t="s">
        <v>40</v>
      </c>
      <c r="Q5048" t="s">
        <v>40</v>
      </c>
      <c r="S5048" t="s">
        <v>40</v>
      </c>
      <c r="V5048" t="s">
        <v>41</v>
      </c>
      <c r="W5048" t="s">
        <v>42</v>
      </c>
      <c r="X5048" t="str">
        <f>"0580202"</f>
        <v>0580202</v>
      </c>
      <c r="Y5048" t="s">
        <v>240</v>
      </c>
      <c r="Z5048" t="s">
        <v>223</v>
      </c>
      <c r="AA5048" t="s">
        <v>224</v>
      </c>
      <c r="AB5048" t="s">
        <v>131</v>
      </c>
      <c r="AC5048" t="s">
        <v>165</v>
      </c>
      <c r="AD5048" t="s">
        <v>45</v>
      </c>
      <c r="AE5048" s="1">
        <v>21750</v>
      </c>
      <c r="AF5048">
        <v>2</v>
      </c>
      <c r="AG5048" t="s">
        <v>224</v>
      </c>
      <c r="AH5048" s="36">
        <f t="shared" si="78"/>
        <v>60.297222222222224</v>
      </c>
      <c r="AI5048" s="41" t="s">
        <v>1782</v>
      </c>
    </row>
    <row r="5049" spans="1:35" x14ac:dyDescent="0.25">
      <c r="A5049" s="36">
        <v>99915047</v>
      </c>
      <c r="B5049" s="17" t="s">
        <v>32</v>
      </c>
      <c r="C5049" t="s">
        <v>46</v>
      </c>
      <c r="D5049" t="s">
        <v>47</v>
      </c>
      <c r="G5049" s="17" t="s">
        <v>48</v>
      </c>
      <c r="H5049" s="17">
        <v>1</v>
      </c>
      <c r="K5049" t="s">
        <v>157</v>
      </c>
      <c r="L5049" t="s">
        <v>158</v>
      </c>
      <c r="M5049" t="s">
        <v>131</v>
      </c>
      <c r="N5049">
        <v>18</v>
      </c>
      <c r="O5049" t="s">
        <v>40</v>
      </c>
      <c r="P5049" t="s">
        <v>40</v>
      </c>
      <c r="Q5049" t="s">
        <v>40</v>
      </c>
      <c r="S5049" t="s">
        <v>40</v>
      </c>
      <c r="V5049" t="s">
        <v>41</v>
      </c>
      <c r="W5049" t="s">
        <v>49</v>
      </c>
      <c r="X5049" t="str">
        <f>"0560010"</f>
        <v>0560010</v>
      </c>
      <c r="Y5049" t="s">
        <v>179</v>
      </c>
      <c r="Z5049" t="s">
        <v>157</v>
      </c>
      <c r="AA5049" t="s">
        <v>158</v>
      </c>
      <c r="AB5049" t="s">
        <v>131</v>
      </c>
      <c r="AC5049" t="s">
        <v>51</v>
      </c>
      <c r="AD5049" t="s">
        <v>45</v>
      </c>
      <c r="AE5049" s="1">
        <v>21748</v>
      </c>
      <c r="AF5049">
        <v>2</v>
      </c>
      <c r="AG5049" t="s">
        <v>158</v>
      </c>
      <c r="AH5049" s="36">
        <f t="shared" si="78"/>
        <v>60.302777777777777</v>
      </c>
      <c r="AI5049" s="41" t="s">
        <v>1782</v>
      </c>
    </row>
    <row r="5050" spans="1:35" x14ac:dyDescent="0.25">
      <c r="A5050" s="36">
        <v>99915048</v>
      </c>
      <c r="B5050" s="17" t="s">
        <v>32</v>
      </c>
      <c r="C5050" t="s">
        <v>64</v>
      </c>
      <c r="D5050" t="s">
        <v>65</v>
      </c>
      <c r="G5050" s="17" t="s">
        <v>35</v>
      </c>
      <c r="H5050" s="17">
        <v>1</v>
      </c>
      <c r="K5050" t="s">
        <v>223</v>
      </c>
      <c r="L5050" t="s">
        <v>224</v>
      </c>
      <c r="M5050" t="s">
        <v>131</v>
      </c>
      <c r="N5050">
        <v>18</v>
      </c>
      <c r="O5050" t="s">
        <v>40</v>
      </c>
      <c r="P5050" t="s">
        <v>40</v>
      </c>
      <c r="Q5050" t="s">
        <v>40</v>
      </c>
      <c r="S5050" t="s">
        <v>40</v>
      </c>
      <c r="V5050" t="s">
        <v>41</v>
      </c>
      <c r="W5050" t="s">
        <v>42</v>
      </c>
      <c r="X5050" t="str">
        <f>"0590903"</f>
        <v>0590903</v>
      </c>
      <c r="Y5050" t="s">
        <v>226</v>
      </c>
      <c r="Z5050" t="s">
        <v>223</v>
      </c>
      <c r="AA5050" t="s">
        <v>224</v>
      </c>
      <c r="AB5050" t="s">
        <v>131</v>
      </c>
      <c r="AC5050" t="s">
        <v>51</v>
      </c>
      <c r="AD5050" t="s">
        <v>45</v>
      </c>
      <c r="AE5050" s="1">
        <v>21745</v>
      </c>
      <c r="AF5050">
        <v>2</v>
      </c>
      <c r="AG5050" t="s">
        <v>224</v>
      </c>
      <c r="AH5050" s="36">
        <f t="shared" si="78"/>
        <v>60.31111111111111</v>
      </c>
      <c r="AI5050" s="41" t="s">
        <v>1782</v>
      </c>
    </row>
    <row r="5051" spans="1:35" x14ac:dyDescent="0.25">
      <c r="A5051" s="36">
        <v>99915049</v>
      </c>
      <c r="B5051" s="17" t="s">
        <v>32</v>
      </c>
      <c r="C5051" t="s">
        <v>46</v>
      </c>
      <c r="D5051" t="s">
        <v>47</v>
      </c>
      <c r="G5051" s="17" t="s">
        <v>48</v>
      </c>
      <c r="H5051" s="17">
        <v>1</v>
      </c>
      <c r="K5051" t="s">
        <v>1268</v>
      </c>
      <c r="L5051" t="s">
        <v>1269</v>
      </c>
      <c r="M5051" t="s">
        <v>1270</v>
      </c>
      <c r="N5051">
        <v>5</v>
      </c>
      <c r="O5051" t="s">
        <v>40</v>
      </c>
      <c r="P5051" t="s">
        <v>40</v>
      </c>
      <c r="Q5051" t="s">
        <v>40</v>
      </c>
      <c r="S5051" t="s">
        <v>40</v>
      </c>
      <c r="V5051" t="s">
        <v>41</v>
      </c>
      <c r="W5051" t="s">
        <v>42</v>
      </c>
      <c r="X5051" t="str">
        <f>"1990910"</f>
        <v>1990910</v>
      </c>
      <c r="Y5051" t="s">
        <v>1281</v>
      </c>
      <c r="Z5051" t="s">
        <v>1268</v>
      </c>
      <c r="AA5051" t="s">
        <v>1269</v>
      </c>
      <c r="AB5051" t="s">
        <v>1270</v>
      </c>
      <c r="AC5051" t="s">
        <v>165</v>
      </c>
      <c r="AD5051" t="s">
        <v>45</v>
      </c>
      <c r="AE5051" s="1">
        <v>21727</v>
      </c>
      <c r="AF5051">
        <v>2</v>
      </c>
      <c r="AG5051" t="s">
        <v>1269</v>
      </c>
      <c r="AH5051" s="36">
        <f t="shared" si="78"/>
        <v>60.361111111111114</v>
      </c>
      <c r="AI5051" s="41" t="s">
        <v>1782</v>
      </c>
    </row>
    <row r="5052" spans="1:35" x14ac:dyDescent="0.25">
      <c r="A5052" s="36">
        <v>99915050</v>
      </c>
      <c r="B5052" s="17" t="s">
        <v>56</v>
      </c>
      <c r="C5052" t="s">
        <v>52</v>
      </c>
      <c r="D5052" t="s">
        <v>53</v>
      </c>
      <c r="G5052" s="17" t="s">
        <v>48</v>
      </c>
      <c r="H5052" s="17">
        <v>1</v>
      </c>
      <c r="K5052" t="s">
        <v>300</v>
      </c>
      <c r="L5052" t="s">
        <v>301</v>
      </c>
      <c r="M5052" t="s">
        <v>131</v>
      </c>
      <c r="N5052">
        <v>20</v>
      </c>
      <c r="O5052" t="s">
        <v>40</v>
      </c>
      <c r="P5052" t="s">
        <v>40</v>
      </c>
      <c r="Q5052" t="s">
        <v>40</v>
      </c>
      <c r="R5052" t="s">
        <v>40</v>
      </c>
      <c r="S5052" t="s">
        <v>40</v>
      </c>
      <c r="V5052" t="s">
        <v>41</v>
      </c>
      <c r="W5052" t="s">
        <v>42</v>
      </c>
      <c r="X5052" t="str">
        <f>"0580176"</f>
        <v>0580176</v>
      </c>
      <c r="Y5052" t="s">
        <v>305</v>
      </c>
      <c r="Z5052" t="s">
        <v>300</v>
      </c>
      <c r="AA5052" t="s">
        <v>301</v>
      </c>
      <c r="AB5052" t="s">
        <v>131</v>
      </c>
      <c r="AC5052" t="s">
        <v>51</v>
      </c>
      <c r="AD5052" t="s">
        <v>45</v>
      </c>
      <c r="AE5052" s="1">
        <v>21704</v>
      </c>
      <c r="AF5052">
        <v>2</v>
      </c>
      <c r="AG5052" t="s">
        <v>301</v>
      </c>
      <c r="AH5052" s="36">
        <f t="shared" si="78"/>
        <v>60.424999999999997</v>
      </c>
      <c r="AI5052" s="41" t="s">
        <v>1782</v>
      </c>
    </row>
    <row r="5053" spans="1:35" x14ac:dyDescent="0.25">
      <c r="A5053" s="36">
        <v>99915051</v>
      </c>
      <c r="B5053" s="17" t="s">
        <v>32</v>
      </c>
      <c r="C5053" t="s">
        <v>64</v>
      </c>
      <c r="D5053" t="s">
        <v>65</v>
      </c>
      <c r="G5053" s="17" t="s">
        <v>35</v>
      </c>
      <c r="H5053" s="17">
        <v>1</v>
      </c>
      <c r="K5053" t="s">
        <v>223</v>
      </c>
      <c r="L5053" t="s">
        <v>224</v>
      </c>
      <c r="M5053" t="s">
        <v>131</v>
      </c>
      <c r="N5053">
        <v>18</v>
      </c>
      <c r="O5053" t="s">
        <v>40</v>
      </c>
      <c r="P5053" t="s">
        <v>40</v>
      </c>
      <c r="Q5053" t="s">
        <v>40</v>
      </c>
      <c r="S5053" t="s">
        <v>40</v>
      </c>
      <c r="V5053" t="s">
        <v>41</v>
      </c>
      <c r="W5053" t="s">
        <v>49</v>
      </c>
      <c r="X5053" t="str">
        <f>"0591901"</f>
        <v>0591901</v>
      </c>
      <c r="Y5053" t="s">
        <v>230</v>
      </c>
      <c r="Z5053" t="s">
        <v>223</v>
      </c>
      <c r="AA5053" t="s">
        <v>224</v>
      </c>
      <c r="AB5053" t="s">
        <v>131</v>
      </c>
      <c r="AC5053" t="s">
        <v>51</v>
      </c>
      <c r="AD5053" t="s">
        <v>45</v>
      </c>
      <c r="AE5053" s="1">
        <v>21673</v>
      </c>
      <c r="AF5053">
        <v>2</v>
      </c>
      <c r="AG5053" t="s">
        <v>224</v>
      </c>
      <c r="AH5053" s="36">
        <f t="shared" si="78"/>
        <v>60.511111111111113</v>
      </c>
      <c r="AI5053" s="41" t="s">
        <v>1783</v>
      </c>
    </row>
    <row r="5054" spans="1:35" x14ac:dyDescent="0.25">
      <c r="A5054" s="36">
        <v>99915052</v>
      </c>
      <c r="B5054" s="17" t="s">
        <v>56</v>
      </c>
      <c r="C5054" t="s">
        <v>52</v>
      </c>
      <c r="D5054" t="s">
        <v>53</v>
      </c>
      <c r="G5054" s="17" t="s">
        <v>48</v>
      </c>
      <c r="H5054" s="17">
        <v>1</v>
      </c>
      <c r="K5054" t="s">
        <v>162</v>
      </c>
      <c r="L5054" t="s">
        <v>158</v>
      </c>
      <c r="M5054" t="s">
        <v>131</v>
      </c>
      <c r="N5054">
        <v>18</v>
      </c>
      <c r="O5054" t="s">
        <v>40</v>
      </c>
      <c r="P5054" t="s">
        <v>40</v>
      </c>
      <c r="Q5054" t="s">
        <v>40</v>
      </c>
      <c r="S5054" t="s">
        <v>40</v>
      </c>
      <c r="V5054" t="s">
        <v>41</v>
      </c>
      <c r="W5054" t="s">
        <v>42</v>
      </c>
      <c r="X5054" t="str">
        <f>"0580320"</f>
        <v>0580320</v>
      </c>
      <c r="Y5054" t="s">
        <v>164</v>
      </c>
      <c r="Z5054" t="s">
        <v>162</v>
      </c>
      <c r="AA5054" t="s">
        <v>158</v>
      </c>
      <c r="AB5054" t="s">
        <v>131</v>
      </c>
      <c r="AC5054" t="s">
        <v>165</v>
      </c>
      <c r="AD5054" t="s">
        <v>45</v>
      </c>
      <c r="AE5054" s="1">
        <v>21669</v>
      </c>
      <c r="AF5054">
        <v>2</v>
      </c>
      <c r="AG5054" t="s">
        <v>158</v>
      </c>
      <c r="AH5054" s="36">
        <f t="shared" si="78"/>
        <v>60.522222222222226</v>
      </c>
      <c r="AI5054" s="41" t="s">
        <v>1783</v>
      </c>
    </row>
    <row r="5055" spans="1:35" x14ac:dyDescent="0.25">
      <c r="A5055" s="36">
        <v>99915053</v>
      </c>
      <c r="B5055" s="17" t="s">
        <v>56</v>
      </c>
      <c r="C5055" t="s">
        <v>46</v>
      </c>
      <c r="D5055" t="s">
        <v>47</v>
      </c>
      <c r="G5055" s="17" t="s">
        <v>48</v>
      </c>
      <c r="H5055" s="17">
        <v>1</v>
      </c>
      <c r="K5055" t="s">
        <v>129</v>
      </c>
      <c r="L5055" t="s">
        <v>130</v>
      </c>
      <c r="M5055" t="s">
        <v>131</v>
      </c>
      <c r="N5055">
        <v>18</v>
      </c>
      <c r="O5055" t="s">
        <v>40</v>
      </c>
      <c r="P5055" t="s">
        <v>40</v>
      </c>
      <c r="Q5055" t="s">
        <v>40</v>
      </c>
      <c r="R5055" t="s">
        <v>40</v>
      </c>
      <c r="S5055" t="s">
        <v>40</v>
      </c>
      <c r="V5055" t="s">
        <v>41</v>
      </c>
      <c r="W5055" t="s">
        <v>49</v>
      </c>
      <c r="X5055" t="str">
        <f>"0591905"</f>
        <v>0591905</v>
      </c>
      <c r="Y5055" t="s">
        <v>135</v>
      </c>
      <c r="Z5055" t="s">
        <v>129</v>
      </c>
      <c r="AA5055" t="s">
        <v>130</v>
      </c>
      <c r="AB5055" t="s">
        <v>131</v>
      </c>
      <c r="AC5055" t="s">
        <v>51</v>
      </c>
      <c r="AD5055" t="s">
        <v>45</v>
      </c>
      <c r="AE5055" s="1">
        <v>21667</v>
      </c>
      <c r="AF5055">
        <v>2</v>
      </c>
      <c r="AG5055" t="s">
        <v>130</v>
      </c>
      <c r="AH5055" s="36">
        <f t="shared" si="78"/>
        <v>60.527777777777779</v>
      </c>
      <c r="AI5055" s="41" t="s">
        <v>1783</v>
      </c>
    </row>
    <row r="5056" spans="1:35" x14ac:dyDescent="0.25">
      <c r="A5056" s="36">
        <v>99915054</v>
      </c>
      <c r="B5056" s="17" t="s">
        <v>32</v>
      </c>
      <c r="C5056" t="s">
        <v>52</v>
      </c>
      <c r="D5056" t="s">
        <v>53</v>
      </c>
      <c r="G5056" s="17" t="s">
        <v>48</v>
      </c>
      <c r="H5056" s="17">
        <v>1</v>
      </c>
      <c r="K5056" t="s">
        <v>223</v>
      </c>
      <c r="L5056" t="s">
        <v>224</v>
      </c>
      <c r="M5056" t="s">
        <v>131</v>
      </c>
      <c r="N5056">
        <v>7</v>
      </c>
      <c r="O5056" t="s">
        <v>40</v>
      </c>
      <c r="P5056" t="s">
        <v>40</v>
      </c>
      <c r="Q5056" t="s">
        <v>40</v>
      </c>
      <c r="R5056" t="s">
        <v>40</v>
      </c>
      <c r="S5056" t="s">
        <v>40</v>
      </c>
      <c r="V5056" t="s">
        <v>41</v>
      </c>
      <c r="W5056" t="s">
        <v>49</v>
      </c>
      <c r="X5056" t="str">
        <f>"0581207"</f>
        <v>0581207</v>
      </c>
      <c r="Y5056" t="s">
        <v>233</v>
      </c>
      <c r="Z5056" t="s">
        <v>223</v>
      </c>
      <c r="AA5056" t="s">
        <v>224</v>
      </c>
      <c r="AB5056" t="s">
        <v>131</v>
      </c>
      <c r="AC5056" t="s">
        <v>51</v>
      </c>
      <c r="AD5056" t="s">
        <v>45</v>
      </c>
      <c r="AE5056" s="1">
        <v>21665</v>
      </c>
      <c r="AF5056">
        <v>2</v>
      </c>
      <c r="AG5056" t="s">
        <v>224</v>
      </c>
      <c r="AH5056" s="36">
        <f t="shared" si="78"/>
        <v>60.533333333333331</v>
      </c>
      <c r="AI5056" s="41" t="s">
        <v>1783</v>
      </c>
    </row>
    <row r="5057" spans="1:35" x14ac:dyDescent="0.25">
      <c r="A5057" s="36">
        <v>99915055</v>
      </c>
      <c r="B5057" s="17" t="s">
        <v>32</v>
      </c>
      <c r="C5057" t="s">
        <v>46</v>
      </c>
      <c r="D5057" t="s">
        <v>47</v>
      </c>
      <c r="G5057" s="17" t="s">
        <v>48</v>
      </c>
      <c r="H5057" s="17">
        <v>18</v>
      </c>
      <c r="K5057" t="s">
        <v>1268</v>
      </c>
      <c r="L5057" t="s">
        <v>1269</v>
      </c>
      <c r="M5057" t="s">
        <v>1270</v>
      </c>
      <c r="N5057">
        <v>18</v>
      </c>
      <c r="O5057" t="s">
        <v>40</v>
      </c>
      <c r="P5057" t="s">
        <v>40</v>
      </c>
      <c r="Q5057" t="s">
        <v>40</v>
      </c>
      <c r="R5057" t="s">
        <v>40</v>
      </c>
      <c r="S5057" t="s">
        <v>40</v>
      </c>
      <c r="U5057" s="1">
        <v>43344</v>
      </c>
      <c r="V5057" t="s">
        <v>41</v>
      </c>
      <c r="W5057" t="s">
        <v>42</v>
      </c>
      <c r="X5057" t="str">
        <f>"1980055"</f>
        <v>1980055</v>
      </c>
      <c r="Y5057" t="s">
        <v>1285</v>
      </c>
      <c r="Z5057" t="s">
        <v>1268</v>
      </c>
      <c r="AA5057" t="s">
        <v>1269</v>
      </c>
      <c r="AB5057" t="s">
        <v>1270</v>
      </c>
      <c r="AC5057" t="s">
        <v>165</v>
      </c>
      <c r="AD5057" t="s">
        <v>45</v>
      </c>
      <c r="AE5057" s="1">
        <v>21663</v>
      </c>
      <c r="AF5057">
        <v>2</v>
      </c>
      <c r="AG5057" t="s">
        <v>1269</v>
      </c>
      <c r="AH5057" s="36">
        <f t="shared" si="78"/>
        <v>60.538888888888891</v>
      </c>
      <c r="AI5057" s="41" t="s">
        <v>1783</v>
      </c>
    </row>
    <row r="5058" spans="1:35" x14ac:dyDescent="0.25">
      <c r="A5058" s="36">
        <v>99915056</v>
      </c>
      <c r="B5058" s="17" t="s">
        <v>32</v>
      </c>
      <c r="C5058" t="s">
        <v>111</v>
      </c>
      <c r="D5058" t="s">
        <v>112</v>
      </c>
      <c r="G5058" s="17" t="s">
        <v>48</v>
      </c>
      <c r="H5058" s="17">
        <v>17</v>
      </c>
      <c r="J5058" s="1">
        <v>43344</v>
      </c>
      <c r="K5058" t="s">
        <v>354</v>
      </c>
      <c r="L5058" t="s">
        <v>355</v>
      </c>
      <c r="M5058" t="s">
        <v>131</v>
      </c>
      <c r="N5058">
        <v>12</v>
      </c>
      <c r="O5058" t="s">
        <v>40</v>
      </c>
      <c r="P5058" t="s">
        <v>40</v>
      </c>
      <c r="Q5058" t="s">
        <v>40</v>
      </c>
      <c r="R5058" t="s">
        <v>40</v>
      </c>
      <c r="S5058" t="s">
        <v>40</v>
      </c>
      <c r="U5058" s="1">
        <v>43344</v>
      </c>
      <c r="V5058" t="s">
        <v>41</v>
      </c>
      <c r="W5058" t="s">
        <v>75</v>
      </c>
      <c r="X5058" t="str">
        <f>"7054028"</f>
        <v>7054028</v>
      </c>
      <c r="Y5058" t="s">
        <v>788</v>
      </c>
      <c r="Z5058" t="s">
        <v>354</v>
      </c>
      <c r="AA5058" t="s">
        <v>355</v>
      </c>
      <c r="AB5058" t="s">
        <v>131</v>
      </c>
      <c r="AC5058" t="s">
        <v>51</v>
      </c>
      <c r="AD5058" t="s">
        <v>45</v>
      </c>
      <c r="AE5058" s="1">
        <v>21661</v>
      </c>
      <c r="AF5058">
        <v>1</v>
      </c>
      <c r="AG5058" t="s">
        <v>355</v>
      </c>
      <c r="AH5058" s="36">
        <f t="shared" ref="AH5058:AH5121" si="79">($AJ$1-AE5058)/360</f>
        <v>60.544444444444444</v>
      </c>
      <c r="AI5058" s="41" t="s">
        <v>1783</v>
      </c>
    </row>
    <row r="5059" spans="1:35" x14ac:dyDescent="0.25">
      <c r="A5059" s="36">
        <v>99915057</v>
      </c>
      <c r="B5059" s="17" t="s">
        <v>56</v>
      </c>
      <c r="C5059" t="s">
        <v>46</v>
      </c>
      <c r="D5059" t="s">
        <v>47</v>
      </c>
      <c r="G5059" s="17" t="s">
        <v>35</v>
      </c>
      <c r="H5059" s="17">
        <v>1</v>
      </c>
      <c r="K5059" t="s">
        <v>1268</v>
      </c>
      <c r="L5059" t="s">
        <v>1269</v>
      </c>
      <c r="M5059" t="s">
        <v>1270</v>
      </c>
      <c r="N5059">
        <v>18</v>
      </c>
      <c r="O5059" t="s">
        <v>40</v>
      </c>
      <c r="P5059" t="s">
        <v>40</v>
      </c>
      <c r="Q5059" t="s">
        <v>40</v>
      </c>
      <c r="S5059" t="s">
        <v>40</v>
      </c>
      <c r="V5059" t="s">
        <v>41</v>
      </c>
      <c r="W5059" t="s">
        <v>42</v>
      </c>
      <c r="X5059" t="str">
        <f>"1990914"</f>
        <v>1990914</v>
      </c>
      <c r="Y5059" t="s">
        <v>1275</v>
      </c>
      <c r="Z5059" t="s">
        <v>1268</v>
      </c>
      <c r="AA5059" t="s">
        <v>1269</v>
      </c>
      <c r="AB5059" t="s">
        <v>1270</v>
      </c>
      <c r="AC5059" t="s">
        <v>51</v>
      </c>
      <c r="AD5059" t="s">
        <v>45</v>
      </c>
      <c r="AE5059" s="1">
        <v>21661</v>
      </c>
      <c r="AF5059">
        <v>2</v>
      </c>
      <c r="AG5059" t="s">
        <v>1269</v>
      </c>
      <c r="AH5059" s="36">
        <f t="shared" si="79"/>
        <v>60.544444444444444</v>
      </c>
      <c r="AI5059" s="41" t="s">
        <v>1783</v>
      </c>
    </row>
    <row r="5060" spans="1:35" x14ac:dyDescent="0.25">
      <c r="A5060" s="36">
        <v>99915058</v>
      </c>
      <c r="B5060" s="17" t="s">
        <v>32</v>
      </c>
      <c r="C5060" t="s">
        <v>64</v>
      </c>
      <c r="D5060" t="s">
        <v>65</v>
      </c>
      <c r="G5060" s="17" t="s">
        <v>48</v>
      </c>
      <c r="H5060" s="17">
        <v>1</v>
      </c>
      <c r="K5060" t="s">
        <v>223</v>
      </c>
      <c r="L5060" t="s">
        <v>224</v>
      </c>
      <c r="M5060" t="s">
        <v>131</v>
      </c>
      <c r="N5060">
        <v>18</v>
      </c>
      <c r="O5060" t="s">
        <v>40</v>
      </c>
      <c r="P5060" t="s">
        <v>40</v>
      </c>
      <c r="Q5060" t="s">
        <v>40</v>
      </c>
      <c r="R5060" t="s">
        <v>40</v>
      </c>
      <c r="S5060" t="s">
        <v>40</v>
      </c>
      <c r="V5060" t="s">
        <v>41</v>
      </c>
      <c r="W5060" t="s">
        <v>49</v>
      </c>
      <c r="X5060" t="str">
        <f>"0509999"</f>
        <v>0509999</v>
      </c>
      <c r="Y5060" t="s">
        <v>247</v>
      </c>
      <c r="Z5060" t="s">
        <v>223</v>
      </c>
      <c r="AA5060" t="s">
        <v>224</v>
      </c>
      <c r="AB5060" t="s">
        <v>131</v>
      </c>
      <c r="AC5060" t="s">
        <v>51</v>
      </c>
      <c r="AD5060" t="s">
        <v>45</v>
      </c>
      <c r="AE5060" s="1">
        <v>21654</v>
      </c>
      <c r="AF5060">
        <v>2</v>
      </c>
      <c r="AG5060" t="s">
        <v>224</v>
      </c>
      <c r="AH5060" s="36">
        <f t="shared" si="79"/>
        <v>60.56388888888889</v>
      </c>
      <c r="AI5060" s="41" t="s">
        <v>1783</v>
      </c>
    </row>
    <row r="5061" spans="1:35" x14ac:dyDescent="0.25">
      <c r="A5061" s="36">
        <v>99915059</v>
      </c>
      <c r="B5061" s="17" t="s">
        <v>32</v>
      </c>
      <c r="C5061" t="s">
        <v>64</v>
      </c>
      <c r="D5061" t="s">
        <v>65</v>
      </c>
      <c r="G5061" s="17" t="s">
        <v>35</v>
      </c>
      <c r="H5061" s="17">
        <v>1</v>
      </c>
      <c r="I5061">
        <v>0</v>
      </c>
      <c r="J5061" s="1">
        <v>43344</v>
      </c>
      <c r="K5061" t="s">
        <v>223</v>
      </c>
      <c r="L5061" t="s">
        <v>224</v>
      </c>
      <c r="M5061" t="s">
        <v>131</v>
      </c>
      <c r="N5061">
        <v>20</v>
      </c>
      <c r="O5061" t="s">
        <v>40</v>
      </c>
      <c r="S5061" t="s">
        <v>40</v>
      </c>
      <c r="U5061" s="1">
        <v>43344</v>
      </c>
      <c r="V5061" t="s">
        <v>41</v>
      </c>
      <c r="W5061" t="s">
        <v>42</v>
      </c>
      <c r="X5061" t="str">
        <f>"0580206"</f>
        <v>0580206</v>
      </c>
      <c r="Y5061" t="s">
        <v>237</v>
      </c>
      <c r="Z5061" t="s">
        <v>223</v>
      </c>
      <c r="AA5061" t="s">
        <v>224</v>
      </c>
      <c r="AB5061" t="s">
        <v>131</v>
      </c>
      <c r="AC5061" t="s">
        <v>51</v>
      </c>
      <c r="AD5061" t="s">
        <v>45</v>
      </c>
      <c r="AE5061" s="1">
        <v>21648</v>
      </c>
      <c r="AF5061">
        <v>2</v>
      </c>
      <c r="AG5061" t="s">
        <v>224</v>
      </c>
      <c r="AH5061" s="36">
        <f t="shared" si="79"/>
        <v>60.580555555555556</v>
      </c>
      <c r="AI5061" s="41" t="s">
        <v>1783</v>
      </c>
    </row>
    <row r="5062" spans="1:35" x14ac:dyDescent="0.25">
      <c r="A5062" s="36">
        <v>99915060</v>
      </c>
      <c r="B5062" s="17" t="s">
        <v>32</v>
      </c>
      <c r="C5062" t="s">
        <v>46</v>
      </c>
      <c r="D5062" t="s">
        <v>47</v>
      </c>
      <c r="G5062" s="17" t="s">
        <v>48</v>
      </c>
      <c r="H5062" s="17">
        <v>1</v>
      </c>
      <c r="K5062" t="s">
        <v>223</v>
      </c>
      <c r="L5062" t="s">
        <v>224</v>
      </c>
      <c r="M5062" t="s">
        <v>131</v>
      </c>
      <c r="N5062">
        <v>18</v>
      </c>
      <c r="O5062" t="s">
        <v>40</v>
      </c>
      <c r="P5062" t="s">
        <v>40</v>
      </c>
      <c r="Q5062" t="s">
        <v>40</v>
      </c>
      <c r="S5062" t="s">
        <v>40</v>
      </c>
      <c r="V5062" t="s">
        <v>41</v>
      </c>
      <c r="W5062" t="s">
        <v>42</v>
      </c>
      <c r="X5062" t="str">
        <f>"0580204"</f>
        <v>0580204</v>
      </c>
      <c r="Y5062" t="s">
        <v>235</v>
      </c>
      <c r="Z5062" t="s">
        <v>223</v>
      </c>
      <c r="AA5062" t="s">
        <v>224</v>
      </c>
      <c r="AB5062" t="s">
        <v>131</v>
      </c>
      <c r="AC5062" t="s">
        <v>165</v>
      </c>
      <c r="AD5062" t="s">
        <v>45</v>
      </c>
      <c r="AE5062" s="1">
        <v>21629</v>
      </c>
      <c r="AF5062">
        <v>2</v>
      </c>
      <c r="AG5062" t="s">
        <v>224</v>
      </c>
      <c r="AH5062" s="36">
        <f t="shared" si="79"/>
        <v>60.633333333333333</v>
      </c>
      <c r="AI5062" s="41" t="s">
        <v>1783</v>
      </c>
    </row>
    <row r="5063" spans="1:35" x14ac:dyDescent="0.25">
      <c r="A5063" s="36">
        <v>99915061</v>
      </c>
      <c r="B5063" s="17" t="s">
        <v>32</v>
      </c>
      <c r="C5063" t="s">
        <v>111</v>
      </c>
      <c r="D5063" t="s">
        <v>112</v>
      </c>
      <c r="G5063" s="17" t="s">
        <v>35</v>
      </c>
      <c r="H5063" s="17">
        <v>1</v>
      </c>
      <c r="K5063" t="s">
        <v>1502</v>
      </c>
      <c r="L5063" t="s">
        <v>1503</v>
      </c>
      <c r="M5063" t="s">
        <v>670</v>
      </c>
      <c r="N5063">
        <v>21</v>
      </c>
      <c r="O5063" t="s">
        <v>40</v>
      </c>
      <c r="P5063" t="s">
        <v>40</v>
      </c>
      <c r="Q5063" t="s">
        <v>40</v>
      </c>
      <c r="R5063" t="s">
        <v>40</v>
      </c>
      <c r="S5063" t="s">
        <v>40</v>
      </c>
      <c r="V5063" t="s">
        <v>41</v>
      </c>
      <c r="W5063" t="s">
        <v>75</v>
      </c>
      <c r="X5063" t="str">
        <f>"7171000"</f>
        <v>7171000</v>
      </c>
      <c r="Y5063" t="s">
        <v>1506</v>
      </c>
      <c r="Z5063" t="s">
        <v>1502</v>
      </c>
      <c r="AA5063" t="s">
        <v>1503</v>
      </c>
      <c r="AB5063" t="s">
        <v>670</v>
      </c>
      <c r="AC5063" t="s">
        <v>51</v>
      </c>
      <c r="AD5063" t="s">
        <v>45</v>
      </c>
      <c r="AE5063" s="1">
        <v>21626</v>
      </c>
      <c r="AF5063">
        <v>1</v>
      </c>
      <c r="AG5063" t="s">
        <v>1503</v>
      </c>
      <c r="AH5063" s="36">
        <f t="shared" si="79"/>
        <v>60.641666666666666</v>
      </c>
      <c r="AI5063" s="41" t="s">
        <v>1783</v>
      </c>
    </row>
    <row r="5064" spans="1:35" x14ac:dyDescent="0.25">
      <c r="A5064" s="36">
        <v>99915062</v>
      </c>
      <c r="B5064" s="17" t="s">
        <v>56</v>
      </c>
      <c r="C5064" t="s">
        <v>52</v>
      </c>
      <c r="D5064" t="s">
        <v>53</v>
      </c>
      <c r="G5064" s="17" t="s">
        <v>48</v>
      </c>
      <c r="H5064" s="17">
        <v>1</v>
      </c>
      <c r="K5064" t="s">
        <v>1268</v>
      </c>
      <c r="L5064" t="s">
        <v>1269</v>
      </c>
      <c r="M5064" t="s">
        <v>1270</v>
      </c>
      <c r="N5064">
        <v>18</v>
      </c>
      <c r="O5064" t="s">
        <v>40</v>
      </c>
      <c r="P5064" t="s">
        <v>40</v>
      </c>
      <c r="Q5064" t="s">
        <v>40</v>
      </c>
      <c r="S5064" t="s">
        <v>40</v>
      </c>
      <c r="V5064" t="s">
        <v>41</v>
      </c>
      <c r="W5064" t="s">
        <v>42</v>
      </c>
      <c r="X5064" t="str">
        <f>"1980050"</f>
        <v>1980050</v>
      </c>
      <c r="Y5064" t="s">
        <v>1278</v>
      </c>
      <c r="Z5064" t="s">
        <v>1268</v>
      </c>
      <c r="AA5064" t="s">
        <v>1269</v>
      </c>
      <c r="AB5064" t="s">
        <v>1270</v>
      </c>
      <c r="AC5064" t="s">
        <v>51</v>
      </c>
      <c r="AD5064" t="s">
        <v>45</v>
      </c>
      <c r="AE5064" s="1">
        <v>21622</v>
      </c>
      <c r="AF5064">
        <v>2</v>
      </c>
      <c r="AG5064" t="s">
        <v>1269</v>
      </c>
      <c r="AH5064" s="36">
        <f t="shared" si="79"/>
        <v>60.652777777777779</v>
      </c>
      <c r="AI5064" s="41" t="s">
        <v>1783</v>
      </c>
    </row>
    <row r="5065" spans="1:35" x14ac:dyDescent="0.25">
      <c r="A5065" s="36">
        <v>99915063</v>
      </c>
      <c r="B5065" s="17" t="s">
        <v>32</v>
      </c>
      <c r="C5065" t="s">
        <v>52</v>
      </c>
      <c r="D5065" t="s">
        <v>53</v>
      </c>
      <c r="G5065" s="17" t="s">
        <v>48</v>
      </c>
      <c r="H5065" s="17">
        <v>14</v>
      </c>
      <c r="K5065" t="s">
        <v>1268</v>
      </c>
      <c r="L5065" t="s">
        <v>1269</v>
      </c>
      <c r="M5065" t="s">
        <v>1270</v>
      </c>
      <c r="N5065">
        <v>18</v>
      </c>
      <c r="O5065" t="s">
        <v>40</v>
      </c>
      <c r="P5065" t="s">
        <v>40</v>
      </c>
      <c r="Q5065" t="s">
        <v>40</v>
      </c>
      <c r="R5065" t="s">
        <v>40</v>
      </c>
      <c r="S5065" t="s">
        <v>40</v>
      </c>
      <c r="U5065" s="1">
        <v>43344</v>
      </c>
      <c r="V5065" t="s">
        <v>41</v>
      </c>
      <c r="W5065" t="s">
        <v>42</v>
      </c>
      <c r="X5065" t="str">
        <f>"1980055"</f>
        <v>1980055</v>
      </c>
      <c r="Y5065" t="s">
        <v>1285</v>
      </c>
      <c r="Z5065" t="s">
        <v>1268</v>
      </c>
      <c r="AA5065" t="s">
        <v>1269</v>
      </c>
      <c r="AB5065" t="s">
        <v>1270</v>
      </c>
      <c r="AC5065" t="s">
        <v>165</v>
      </c>
      <c r="AD5065" t="s">
        <v>45</v>
      </c>
      <c r="AE5065" s="1">
        <v>21620</v>
      </c>
      <c r="AF5065">
        <v>2</v>
      </c>
      <c r="AG5065" t="s">
        <v>1269</v>
      </c>
      <c r="AH5065" s="36">
        <f t="shared" si="79"/>
        <v>60.658333333333331</v>
      </c>
      <c r="AI5065" s="41" t="s">
        <v>1783</v>
      </c>
    </row>
    <row r="5066" spans="1:35" x14ac:dyDescent="0.25">
      <c r="A5066" s="36">
        <v>99915064</v>
      </c>
      <c r="B5066" s="17" t="s">
        <v>32</v>
      </c>
      <c r="C5066" t="s">
        <v>46</v>
      </c>
      <c r="D5066" t="s">
        <v>47</v>
      </c>
      <c r="G5066" s="17" t="s">
        <v>48</v>
      </c>
      <c r="H5066" s="17">
        <v>1</v>
      </c>
      <c r="K5066" t="s">
        <v>223</v>
      </c>
      <c r="L5066" t="s">
        <v>224</v>
      </c>
      <c r="M5066" t="s">
        <v>131</v>
      </c>
      <c r="N5066">
        <v>18</v>
      </c>
      <c r="O5066" t="s">
        <v>40</v>
      </c>
      <c r="P5066" t="s">
        <v>40</v>
      </c>
      <c r="Q5066" t="s">
        <v>40</v>
      </c>
      <c r="R5066" t="s">
        <v>40</v>
      </c>
      <c r="S5066" t="s">
        <v>40</v>
      </c>
      <c r="V5066" t="s">
        <v>41</v>
      </c>
      <c r="W5066" t="s">
        <v>42</v>
      </c>
      <c r="X5066" t="str">
        <f>"0580203"</f>
        <v>0580203</v>
      </c>
      <c r="Y5066" t="s">
        <v>239</v>
      </c>
      <c r="Z5066" t="s">
        <v>223</v>
      </c>
      <c r="AA5066" t="s">
        <v>224</v>
      </c>
      <c r="AB5066" t="s">
        <v>131</v>
      </c>
      <c r="AC5066" t="s">
        <v>165</v>
      </c>
      <c r="AD5066" t="s">
        <v>45</v>
      </c>
      <c r="AE5066" s="1">
        <v>21610</v>
      </c>
      <c r="AF5066">
        <v>2</v>
      </c>
      <c r="AG5066" t="s">
        <v>224</v>
      </c>
      <c r="AH5066" s="36">
        <f t="shared" si="79"/>
        <v>60.68611111111111</v>
      </c>
      <c r="AI5066" s="41" t="s">
        <v>1783</v>
      </c>
    </row>
    <row r="5067" spans="1:35" x14ac:dyDescent="0.25">
      <c r="A5067" s="36">
        <v>99915065</v>
      </c>
      <c r="B5067" s="17" t="s">
        <v>56</v>
      </c>
      <c r="C5067" t="s">
        <v>46</v>
      </c>
      <c r="D5067" t="s">
        <v>47</v>
      </c>
      <c r="G5067" s="17" t="s">
        <v>48</v>
      </c>
      <c r="H5067" s="17">
        <v>1</v>
      </c>
      <c r="K5067" t="s">
        <v>1566</v>
      </c>
      <c r="L5067" t="s">
        <v>1567</v>
      </c>
      <c r="M5067" t="s">
        <v>1548</v>
      </c>
      <c r="N5067">
        <v>19</v>
      </c>
      <c r="O5067" t="s">
        <v>40</v>
      </c>
      <c r="P5067" t="s">
        <v>40</v>
      </c>
      <c r="Q5067" t="s">
        <v>40</v>
      </c>
      <c r="R5067" t="s">
        <v>40</v>
      </c>
      <c r="S5067" t="s">
        <v>40</v>
      </c>
      <c r="V5067" t="s">
        <v>41</v>
      </c>
      <c r="W5067" t="s">
        <v>42</v>
      </c>
      <c r="X5067" t="str">
        <f>"2961001"</f>
        <v>2961001</v>
      </c>
      <c r="Y5067" t="s">
        <v>1568</v>
      </c>
      <c r="Z5067" t="s">
        <v>1566</v>
      </c>
      <c r="AA5067" t="s">
        <v>1567</v>
      </c>
      <c r="AB5067" t="s">
        <v>1548</v>
      </c>
      <c r="AC5067" t="s">
        <v>51</v>
      </c>
      <c r="AD5067" t="s">
        <v>45</v>
      </c>
      <c r="AE5067" s="1">
        <v>21608</v>
      </c>
      <c r="AF5067">
        <v>2</v>
      </c>
      <c r="AG5067" t="s">
        <v>1567</v>
      </c>
      <c r="AH5067" s="36">
        <f t="shared" si="79"/>
        <v>60.69166666666667</v>
      </c>
      <c r="AI5067" s="41" t="s">
        <v>1783</v>
      </c>
    </row>
    <row r="5068" spans="1:35" x14ac:dyDescent="0.25">
      <c r="A5068" s="36">
        <v>99915066</v>
      </c>
      <c r="B5068" s="17" t="s">
        <v>32</v>
      </c>
      <c r="C5068" t="s">
        <v>139</v>
      </c>
      <c r="D5068" t="s">
        <v>140</v>
      </c>
      <c r="G5068" s="17" t="s">
        <v>48</v>
      </c>
      <c r="H5068" s="17">
        <v>1</v>
      </c>
      <c r="K5068" t="s">
        <v>345</v>
      </c>
      <c r="L5068" t="s">
        <v>346</v>
      </c>
      <c r="M5068" t="s">
        <v>131</v>
      </c>
      <c r="N5068">
        <v>18</v>
      </c>
      <c r="O5068" t="s">
        <v>40</v>
      </c>
      <c r="P5068" t="s">
        <v>40</v>
      </c>
      <c r="Q5068" t="s">
        <v>40</v>
      </c>
      <c r="R5068" t="s">
        <v>40</v>
      </c>
      <c r="S5068" t="s">
        <v>40</v>
      </c>
      <c r="V5068" t="s">
        <v>41</v>
      </c>
      <c r="W5068" t="s">
        <v>49</v>
      </c>
      <c r="X5068" t="str">
        <f>"0591906"</f>
        <v>0591906</v>
      </c>
      <c r="Y5068" t="s">
        <v>350</v>
      </c>
      <c r="Z5068" t="s">
        <v>345</v>
      </c>
      <c r="AA5068" t="s">
        <v>346</v>
      </c>
      <c r="AB5068" t="s">
        <v>131</v>
      </c>
      <c r="AC5068" t="s">
        <v>51</v>
      </c>
      <c r="AD5068" t="s">
        <v>45</v>
      </c>
      <c r="AE5068" s="1">
        <v>21606</v>
      </c>
      <c r="AF5068">
        <v>2</v>
      </c>
      <c r="AG5068" t="s">
        <v>346</v>
      </c>
      <c r="AH5068" s="36">
        <f t="shared" si="79"/>
        <v>60.697222222222223</v>
      </c>
      <c r="AI5068" s="41" t="s">
        <v>1783</v>
      </c>
    </row>
    <row r="5069" spans="1:35" x14ac:dyDescent="0.25">
      <c r="A5069" s="36">
        <v>99915067</v>
      </c>
      <c r="B5069" s="17" t="s">
        <v>32</v>
      </c>
      <c r="C5069" t="s">
        <v>90</v>
      </c>
      <c r="D5069" t="s">
        <v>91</v>
      </c>
      <c r="G5069" s="17" t="s">
        <v>35</v>
      </c>
      <c r="H5069" s="17">
        <v>4</v>
      </c>
      <c r="K5069" t="s">
        <v>1077</v>
      </c>
      <c r="L5069" t="s">
        <v>1078</v>
      </c>
      <c r="M5069" t="s">
        <v>1053</v>
      </c>
      <c r="N5069">
        <v>5</v>
      </c>
      <c r="O5069" t="s">
        <v>40</v>
      </c>
      <c r="P5069" t="s">
        <v>40</v>
      </c>
      <c r="Q5069" t="s">
        <v>40</v>
      </c>
      <c r="R5069" t="s">
        <v>40</v>
      </c>
      <c r="S5069" t="s">
        <v>40</v>
      </c>
      <c r="V5069" t="s">
        <v>41</v>
      </c>
      <c r="W5069" t="s">
        <v>95</v>
      </c>
      <c r="X5069" t="str">
        <f>"7181001"</f>
        <v>7181001</v>
      </c>
      <c r="Y5069" t="s">
        <v>1079</v>
      </c>
      <c r="Z5069" t="s">
        <v>1077</v>
      </c>
      <c r="AA5069" t="s">
        <v>1078</v>
      </c>
      <c r="AB5069" t="s">
        <v>1053</v>
      </c>
      <c r="AC5069" t="s">
        <v>51</v>
      </c>
      <c r="AD5069" t="s">
        <v>45</v>
      </c>
      <c r="AE5069" s="1">
        <v>21601</v>
      </c>
      <c r="AF5069">
        <v>1</v>
      </c>
      <c r="AG5069" t="s">
        <v>1078</v>
      </c>
      <c r="AH5069" s="36">
        <f t="shared" si="79"/>
        <v>60.711111111111109</v>
      </c>
      <c r="AI5069" s="41" t="s">
        <v>1783</v>
      </c>
    </row>
    <row r="5070" spans="1:35" x14ac:dyDescent="0.25">
      <c r="A5070" s="36">
        <v>99915068</v>
      </c>
      <c r="B5070" s="17" t="s">
        <v>32</v>
      </c>
      <c r="C5070" t="s">
        <v>64</v>
      </c>
      <c r="D5070" t="s">
        <v>65</v>
      </c>
      <c r="G5070" s="17" t="s">
        <v>48</v>
      </c>
      <c r="H5070" s="17">
        <v>1</v>
      </c>
      <c r="K5070" t="s">
        <v>223</v>
      </c>
      <c r="L5070" t="s">
        <v>224</v>
      </c>
      <c r="M5070" t="s">
        <v>131</v>
      </c>
      <c r="N5070">
        <v>19</v>
      </c>
      <c r="O5070" t="s">
        <v>40</v>
      </c>
      <c r="P5070" t="s">
        <v>40</v>
      </c>
      <c r="Q5070" t="s">
        <v>40</v>
      </c>
      <c r="R5070" t="s">
        <v>40</v>
      </c>
      <c r="S5070" t="s">
        <v>40</v>
      </c>
      <c r="V5070" t="s">
        <v>41</v>
      </c>
      <c r="W5070" t="s">
        <v>49</v>
      </c>
      <c r="X5070" t="str">
        <f>"0591910"</f>
        <v>0591910</v>
      </c>
      <c r="Y5070" t="s">
        <v>228</v>
      </c>
      <c r="Z5070" t="s">
        <v>223</v>
      </c>
      <c r="AA5070" t="s">
        <v>224</v>
      </c>
      <c r="AB5070" t="s">
        <v>131</v>
      </c>
      <c r="AC5070" t="s">
        <v>51</v>
      </c>
      <c r="AD5070" t="s">
        <v>45</v>
      </c>
      <c r="AE5070" s="1">
        <v>21599</v>
      </c>
      <c r="AF5070">
        <v>2</v>
      </c>
      <c r="AG5070" t="s">
        <v>224</v>
      </c>
      <c r="AH5070" s="36">
        <f t="shared" si="79"/>
        <v>60.716666666666669</v>
      </c>
      <c r="AI5070" s="41" t="s">
        <v>1783</v>
      </c>
    </row>
    <row r="5071" spans="1:35" x14ac:dyDescent="0.25">
      <c r="A5071" s="36">
        <v>99915069</v>
      </c>
      <c r="B5071" s="17" t="s">
        <v>56</v>
      </c>
      <c r="C5071" t="s">
        <v>52</v>
      </c>
      <c r="D5071" t="s">
        <v>53</v>
      </c>
      <c r="G5071" s="17" t="s">
        <v>48</v>
      </c>
      <c r="H5071" s="17">
        <v>1</v>
      </c>
      <c r="K5071" t="s">
        <v>223</v>
      </c>
      <c r="L5071" t="s">
        <v>224</v>
      </c>
      <c r="M5071" t="s">
        <v>131</v>
      </c>
      <c r="N5071">
        <v>20</v>
      </c>
      <c r="O5071" t="s">
        <v>40</v>
      </c>
      <c r="P5071" t="s">
        <v>40</v>
      </c>
      <c r="Q5071" t="s">
        <v>40</v>
      </c>
      <c r="S5071" t="s">
        <v>40</v>
      </c>
      <c r="V5071" t="s">
        <v>41</v>
      </c>
      <c r="W5071" t="s">
        <v>42</v>
      </c>
      <c r="X5071" t="str">
        <f>"0580200"</f>
        <v>0580200</v>
      </c>
      <c r="Y5071" t="s">
        <v>245</v>
      </c>
      <c r="Z5071" t="s">
        <v>223</v>
      </c>
      <c r="AA5071" t="s">
        <v>224</v>
      </c>
      <c r="AB5071" t="s">
        <v>131</v>
      </c>
      <c r="AC5071" t="s">
        <v>51</v>
      </c>
      <c r="AD5071" t="s">
        <v>45</v>
      </c>
      <c r="AE5071" s="1">
        <v>21598</v>
      </c>
      <c r="AF5071">
        <v>2</v>
      </c>
      <c r="AG5071" t="s">
        <v>224</v>
      </c>
      <c r="AH5071" s="36">
        <f t="shared" si="79"/>
        <v>60.719444444444441</v>
      </c>
      <c r="AI5071" s="41" t="s">
        <v>1783</v>
      </c>
    </row>
    <row r="5072" spans="1:35" x14ac:dyDescent="0.25">
      <c r="A5072" s="36">
        <v>99915070</v>
      </c>
      <c r="B5072" s="17" t="s">
        <v>56</v>
      </c>
      <c r="C5072" t="s">
        <v>33</v>
      </c>
      <c r="D5072" t="s">
        <v>34</v>
      </c>
      <c r="G5072" s="17" t="s">
        <v>48</v>
      </c>
      <c r="H5072" s="17">
        <v>1</v>
      </c>
      <c r="K5072" t="s">
        <v>223</v>
      </c>
      <c r="L5072" t="s">
        <v>224</v>
      </c>
      <c r="M5072" t="s">
        <v>131</v>
      </c>
      <c r="N5072">
        <v>15</v>
      </c>
      <c r="O5072" t="s">
        <v>40</v>
      </c>
      <c r="P5072" t="s">
        <v>40</v>
      </c>
      <c r="Q5072" t="s">
        <v>40</v>
      </c>
      <c r="R5072" t="s">
        <v>40</v>
      </c>
      <c r="S5072" t="s">
        <v>40</v>
      </c>
      <c r="V5072" t="s">
        <v>41</v>
      </c>
      <c r="W5072" t="s">
        <v>49</v>
      </c>
      <c r="X5072" t="str">
        <f>"0581204"</f>
        <v>0581204</v>
      </c>
      <c r="Y5072" t="s">
        <v>249</v>
      </c>
      <c r="Z5072" t="s">
        <v>223</v>
      </c>
      <c r="AA5072" t="s">
        <v>224</v>
      </c>
      <c r="AB5072" t="s">
        <v>131</v>
      </c>
      <c r="AC5072" t="s">
        <v>165</v>
      </c>
      <c r="AD5072" t="s">
        <v>45</v>
      </c>
      <c r="AE5072" s="1">
        <v>21596</v>
      </c>
      <c r="AF5072">
        <v>2</v>
      </c>
      <c r="AG5072" t="s">
        <v>224</v>
      </c>
      <c r="AH5072" s="36">
        <f t="shared" si="79"/>
        <v>60.725000000000001</v>
      </c>
      <c r="AI5072" s="41" t="s">
        <v>1783</v>
      </c>
    </row>
    <row r="5073" spans="1:35" x14ac:dyDescent="0.25">
      <c r="A5073" s="36">
        <v>99915071</v>
      </c>
      <c r="B5073" s="17" t="s">
        <v>56</v>
      </c>
      <c r="C5073" t="s">
        <v>52</v>
      </c>
      <c r="D5073" t="s">
        <v>53</v>
      </c>
      <c r="G5073" s="17" t="s">
        <v>35</v>
      </c>
      <c r="H5073" s="17">
        <v>1</v>
      </c>
      <c r="K5073" t="s">
        <v>223</v>
      </c>
      <c r="L5073" t="s">
        <v>224</v>
      </c>
      <c r="M5073" t="s">
        <v>131</v>
      </c>
      <c r="N5073">
        <v>18</v>
      </c>
      <c r="O5073" t="s">
        <v>40</v>
      </c>
      <c r="P5073" t="s">
        <v>40</v>
      </c>
      <c r="Q5073" t="s">
        <v>40</v>
      </c>
      <c r="R5073" t="s">
        <v>40</v>
      </c>
      <c r="S5073" t="s">
        <v>40</v>
      </c>
      <c r="V5073" t="s">
        <v>41</v>
      </c>
      <c r="W5073" t="s">
        <v>42</v>
      </c>
      <c r="X5073" t="str">
        <f>"0590901"</f>
        <v>0590901</v>
      </c>
      <c r="Y5073" t="s">
        <v>242</v>
      </c>
      <c r="Z5073" t="s">
        <v>223</v>
      </c>
      <c r="AA5073" t="s">
        <v>224</v>
      </c>
      <c r="AB5073" t="s">
        <v>131</v>
      </c>
      <c r="AC5073" t="s">
        <v>165</v>
      </c>
      <c r="AD5073" t="s">
        <v>45</v>
      </c>
      <c r="AE5073" s="1">
        <v>21594</v>
      </c>
      <c r="AF5073">
        <v>2</v>
      </c>
      <c r="AG5073" t="s">
        <v>224</v>
      </c>
      <c r="AH5073" s="36">
        <f t="shared" si="79"/>
        <v>60.730555555555554</v>
      </c>
      <c r="AI5073" s="41" t="s">
        <v>1783</v>
      </c>
    </row>
    <row r="5074" spans="1:35" x14ac:dyDescent="0.25">
      <c r="A5074" s="36">
        <v>99915072</v>
      </c>
      <c r="B5074" s="17" t="s">
        <v>32</v>
      </c>
      <c r="C5074" t="s">
        <v>71</v>
      </c>
      <c r="D5074" t="s">
        <v>72</v>
      </c>
      <c r="G5074" s="17" t="s">
        <v>35</v>
      </c>
      <c r="H5074" s="17">
        <v>1</v>
      </c>
      <c r="K5074" t="s">
        <v>1546</v>
      </c>
      <c r="L5074" t="s">
        <v>1547</v>
      </c>
      <c r="M5074" t="s">
        <v>1548</v>
      </c>
      <c r="N5074">
        <v>21</v>
      </c>
      <c r="O5074" t="s">
        <v>40</v>
      </c>
      <c r="P5074" t="s">
        <v>40</v>
      </c>
      <c r="Q5074" t="s">
        <v>40</v>
      </c>
      <c r="R5074" t="s">
        <v>40</v>
      </c>
      <c r="S5074" t="s">
        <v>40</v>
      </c>
      <c r="V5074" t="s">
        <v>41</v>
      </c>
      <c r="W5074" t="s">
        <v>49</v>
      </c>
      <c r="X5074" t="str">
        <f>"1081010"</f>
        <v>1081010</v>
      </c>
      <c r="Y5074" t="s">
        <v>1552</v>
      </c>
      <c r="Z5074" t="s">
        <v>1546</v>
      </c>
      <c r="AA5074" t="s">
        <v>1547</v>
      </c>
      <c r="AB5074" t="s">
        <v>1548</v>
      </c>
      <c r="AC5074" t="s">
        <v>51</v>
      </c>
      <c r="AD5074" t="s">
        <v>45</v>
      </c>
      <c r="AE5074" s="1">
        <v>21583</v>
      </c>
      <c r="AF5074">
        <v>2</v>
      </c>
      <c r="AG5074" t="s">
        <v>1547</v>
      </c>
      <c r="AH5074" s="36">
        <f t="shared" si="79"/>
        <v>60.761111111111113</v>
      </c>
      <c r="AI5074" s="41" t="s">
        <v>1783</v>
      </c>
    </row>
    <row r="5075" spans="1:35" x14ac:dyDescent="0.25">
      <c r="A5075" s="36">
        <v>99915073</v>
      </c>
      <c r="B5075" s="17" t="s">
        <v>56</v>
      </c>
      <c r="C5075" t="s">
        <v>82</v>
      </c>
      <c r="D5075" t="s">
        <v>83</v>
      </c>
      <c r="G5075" s="17" t="s">
        <v>48</v>
      </c>
      <c r="H5075" s="17">
        <v>1</v>
      </c>
      <c r="K5075" t="s">
        <v>300</v>
      </c>
      <c r="L5075" t="s">
        <v>301</v>
      </c>
      <c r="M5075" t="s">
        <v>131</v>
      </c>
      <c r="N5075">
        <v>12</v>
      </c>
      <c r="O5075" t="s">
        <v>40</v>
      </c>
      <c r="P5075" t="s">
        <v>40</v>
      </c>
      <c r="Q5075" t="s">
        <v>40</v>
      </c>
      <c r="R5075" t="s">
        <v>40</v>
      </c>
      <c r="S5075" t="s">
        <v>40</v>
      </c>
      <c r="V5075" t="s">
        <v>41</v>
      </c>
      <c r="W5075" t="s">
        <v>42</v>
      </c>
      <c r="X5075" t="str">
        <f>"0561001"</f>
        <v>0561001</v>
      </c>
      <c r="Y5075" t="s">
        <v>308</v>
      </c>
      <c r="Z5075" t="s">
        <v>300</v>
      </c>
      <c r="AA5075" t="s">
        <v>301</v>
      </c>
      <c r="AB5075" t="s">
        <v>131</v>
      </c>
      <c r="AC5075" t="s">
        <v>51</v>
      </c>
      <c r="AD5075" t="s">
        <v>45</v>
      </c>
      <c r="AE5075" s="1">
        <v>21571</v>
      </c>
      <c r="AF5075">
        <v>2</v>
      </c>
      <c r="AG5075" t="s">
        <v>301</v>
      </c>
      <c r="AH5075" s="36">
        <f t="shared" si="79"/>
        <v>60.794444444444444</v>
      </c>
      <c r="AI5075" s="41" t="s">
        <v>1783</v>
      </c>
    </row>
    <row r="5076" spans="1:35" x14ac:dyDescent="0.25">
      <c r="A5076" s="36">
        <v>99915074</v>
      </c>
      <c r="B5076" s="17" t="s">
        <v>56</v>
      </c>
      <c r="C5076" t="s">
        <v>52</v>
      </c>
      <c r="D5076" t="s">
        <v>53</v>
      </c>
      <c r="G5076" s="17" t="s">
        <v>48</v>
      </c>
      <c r="H5076" s="17">
        <v>1</v>
      </c>
      <c r="K5076" t="s">
        <v>300</v>
      </c>
      <c r="L5076" t="s">
        <v>301</v>
      </c>
      <c r="M5076" t="s">
        <v>131</v>
      </c>
      <c r="N5076">
        <v>20</v>
      </c>
      <c r="O5076" t="s">
        <v>40</v>
      </c>
      <c r="P5076" t="s">
        <v>40</v>
      </c>
      <c r="Q5076" t="s">
        <v>40</v>
      </c>
      <c r="R5076" t="s">
        <v>40</v>
      </c>
      <c r="S5076" t="s">
        <v>40</v>
      </c>
      <c r="V5076" t="s">
        <v>41</v>
      </c>
      <c r="W5076" t="s">
        <v>42</v>
      </c>
      <c r="X5076" t="str">
        <f>"0580106"</f>
        <v>0580106</v>
      </c>
      <c r="Y5076" t="s">
        <v>306</v>
      </c>
      <c r="Z5076" t="s">
        <v>300</v>
      </c>
      <c r="AA5076" t="s">
        <v>301</v>
      </c>
      <c r="AB5076" t="s">
        <v>131</v>
      </c>
      <c r="AC5076" t="s">
        <v>51</v>
      </c>
      <c r="AD5076" t="s">
        <v>45</v>
      </c>
      <c r="AE5076" s="1">
        <v>21558</v>
      </c>
      <c r="AF5076">
        <v>2</v>
      </c>
      <c r="AG5076" t="s">
        <v>301</v>
      </c>
      <c r="AH5076" s="36">
        <f t="shared" si="79"/>
        <v>60.830555555555556</v>
      </c>
      <c r="AI5076" s="41" t="s">
        <v>1783</v>
      </c>
    </row>
    <row r="5077" spans="1:35" x14ac:dyDescent="0.25">
      <c r="A5077" s="36">
        <v>99915075</v>
      </c>
      <c r="B5077" s="17" t="s">
        <v>32</v>
      </c>
      <c r="C5077" t="s">
        <v>111</v>
      </c>
      <c r="D5077" t="s">
        <v>112</v>
      </c>
      <c r="G5077" s="17" t="s">
        <v>35</v>
      </c>
      <c r="H5077" s="17">
        <v>1</v>
      </c>
      <c r="K5077" t="s">
        <v>877</v>
      </c>
      <c r="L5077" t="s">
        <v>878</v>
      </c>
      <c r="M5077" t="s">
        <v>131</v>
      </c>
      <c r="N5077">
        <v>5</v>
      </c>
      <c r="O5077" t="s">
        <v>40</v>
      </c>
      <c r="P5077" t="s">
        <v>40</v>
      </c>
      <c r="Q5077" t="s">
        <v>40</v>
      </c>
      <c r="S5077" t="s">
        <v>40</v>
      </c>
      <c r="V5077" t="s">
        <v>41</v>
      </c>
      <c r="W5077" t="s">
        <v>75</v>
      </c>
      <c r="X5077" t="str">
        <f>"7700025"</f>
        <v>7700025</v>
      </c>
      <c r="Y5077" t="s">
        <v>880</v>
      </c>
      <c r="Z5077" t="s">
        <v>877</v>
      </c>
      <c r="AA5077" t="s">
        <v>878</v>
      </c>
      <c r="AB5077" t="s">
        <v>131</v>
      </c>
      <c r="AC5077" t="s">
        <v>51</v>
      </c>
      <c r="AD5077" t="s">
        <v>45</v>
      </c>
      <c r="AE5077" s="1">
        <v>21536</v>
      </c>
      <c r="AF5077">
        <v>1</v>
      </c>
      <c r="AG5077" t="s">
        <v>878</v>
      </c>
      <c r="AH5077" s="36">
        <f t="shared" si="79"/>
        <v>60.891666666666666</v>
      </c>
      <c r="AI5077" s="41" t="s">
        <v>1783</v>
      </c>
    </row>
    <row r="5078" spans="1:35" x14ac:dyDescent="0.25">
      <c r="A5078" s="36">
        <v>99915076</v>
      </c>
      <c r="B5078" s="17" t="s">
        <v>32</v>
      </c>
      <c r="C5078" t="s">
        <v>64</v>
      </c>
      <c r="D5078" t="s">
        <v>65</v>
      </c>
      <c r="G5078" s="17" t="s">
        <v>48</v>
      </c>
      <c r="H5078" s="17">
        <v>1</v>
      </c>
      <c r="K5078" t="s">
        <v>223</v>
      </c>
      <c r="L5078" t="s">
        <v>224</v>
      </c>
      <c r="M5078" t="s">
        <v>131</v>
      </c>
      <c r="N5078">
        <v>18</v>
      </c>
      <c r="O5078" t="s">
        <v>40</v>
      </c>
      <c r="P5078" t="s">
        <v>40</v>
      </c>
      <c r="Q5078" t="s">
        <v>40</v>
      </c>
      <c r="R5078" t="s">
        <v>40</v>
      </c>
      <c r="S5078" t="s">
        <v>40</v>
      </c>
      <c r="V5078" t="s">
        <v>41</v>
      </c>
      <c r="W5078" t="s">
        <v>49</v>
      </c>
      <c r="X5078" t="str">
        <f>"0581204"</f>
        <v>0581204</v>
      </c>
      <c r="Y5078" t="s">
        <v>249</v>
      </c>
      <c r="Z5078" t="s">
        <v>223</v>
      </c>
      <c r="AA5078" t="s">
        <v>224</v>
      </c>
      <c r="AB5078" t="s">
        <v>131</v>
      </c>
      <c r="AC5078" t="s">
        <v>165</v>
      </c>
      <c r="AD5078" t="s">
        <v>45</v>
      </c>
      <c r="AE5078" s="1">
        <v>21533</v>
      </c>
      <c r="AF5078">
        <v>2</v>
      </c>
      <c r="AG5078" t="s">
        <v>224</v>
      </c>
      <c r="AH5078" s="36">
        <f t="shared" si="79"/>
        <v>60.9</v>
      </c>
      <c r="AI5078" s="41" t="s">
        <v>1783</v>
      </c>
    </row>
    <row r="5079" spans="1:35" x14ac:dyDescent="0.25">
      <c r="A5079" s="36">
        <v>99915077</v>
      </c>
      <c r="B5079" s="17" t="s">
        <v>32</v>
      </c>
      <c r="C5079" t="s">
        <v>46</v>
      </c>
      <c r="D5079" t="s">
        <v>47</v>
      </c>
      <c r="G5079" s="17" t="s">
        <v>48</v>
      </c>
      <c r="H5079" s="17">
        <v>1</v>
      </c>
      <c r="K5079" t="s">
        <v>162</v>
      </c>
      <c r="L5079" t="s">
        <v>158</v>
      </c>
      <c r="M5079" t="s">
        <v>131</v>
      </c>
      <c r="N5079">
        <v>3</v>
      </c>
      <c r="O5079" t="s">
        <v>40</v>
      </c>
      <c r="P5079" t="s">
        <v>40</v>
      </c>
      <c r="Q5079" t="s">
        <v>40</v>
      </c>
      <c r="S5079" t="s">
        <v>40</v>
      </c>
      <c r="V5079" t="s">
        <v>41</v>
      </c>
      <c r="W5079" t="s">
        <v>42</v>
      </c>
      <c r="X5079" t="str">
        <f>"0580325"</f>
        <v>0580325</v>
      </c>
      <c r="Y5079" t="s">
        <v>170</v>
      </c>
      <c r="Z5079" t="s">
        <v>162</v>
      </c>
      <c r="AA5079" t="s">
        <v>158</v>
      </c>
      <c r="AB5079" t="s">
        <v>131</v>
      </c>
      <c r="AC5079" t="s">
        <v>165</v>
      </c>
      <c r="AD5079" t="s">
        <v>45</v>
      </c>
      <c r="AE5079" s="1">
        <v>21508</v>
      </c>
      <c r="AF5079">
        <v>2</v>
      </c>
      <c r="AG5079" t="s">
        <v>158</v>
      </c>
      <c r="AH5079" s="36">
        <f t="shared" si="79"/>
        <v>60.969444444444441</v>
      </c>
      <c r="AI5079" s="41" t="s">
        <v>1783</v>
      </c>
    </row>
    <row r="5080" spans="1:35" x14ac:dyDescent="0.25">
      <c r="A5080" s="36">
        <v>99915078</v>
      </c>
      <c r="B5080" s="17" t="s">
        <v>56</v>
      </c>
      <c r="C5080" t="s">
        <v>52</v>
      </c>
      <c r="D5080" t="s">
        <v>53</v>
      </c>
      <c r="G5080" s="17" t="s">
        <v>48</v>
      </c>
      <c r="H5080" s="17">
        <v>1</v>
      </c>
      <c r="K5080" t="s">
        <v>162</v>
      </c>
      <c r="L5080" t="s">
        <v>158</v>
      </c>
      <c r="M5080" t="s">
        <v>131</v>
      </c>
      <c r="N5080">
        <v>20</v>
      </c>
      <c r="O5080" t="s">
        <v>40</v>
      </c>
      <c r="P5080" t="s">
        <v>40</v>
      </c>
      <c r="Q5080" t="s">
        <v>40</v>
      </c>
      <c r="R5080" t="s">
        <v>40</v>
      </c>
      <c r="S5080" t="s">
        <v>40</v>
      </c>
      <c r="V5080" t="s">
        <v>41</v>
      </c>
      <c r="W5080" t="s">
        <v>42</v>
      </c>
      <c r="X5080" t="str">
        <f>"0580325"</f>
        <v>0580325</v>
      </c>
      <c r="Y5080" t="s">
        <v>170</v>
      </c>
      <c r="Z5080" t="s">
        <v>162</v>
      </c>
      <c r="AA5080" t="s">
        <v>158</v>
      </c>
      <c r="AB5080" t="s">
        <v>131</v>
      </c>
      <c r="AC5080" t="s">
        <v>51</v>
      </c>
      <c r="AD5080" t="s">
        <v>45</v>
      </c>
      <c r="AE5080" s="1">
        <v>21488</v>
      </c>
      <c r="AF5080">
        <v>2</v>
      </c>
      <c r="AG5080" t="s">
        <v>158</v>
      </c>
      <c r="AH5080" s="36">
        <f t="shared" si="79"/>
        <v>61.024999999999999</v>
      </c>
      <c r="AI5080" s="41" t="s">
        <v>1783</v>
      </c>
    </row>
    <row r="5081" spans="1:35" x14ac:dyDescent="0.25">
      <c r="A5081" s="36">
        <v>99915079</v>
      </c>
      <c r="B5081" s="17" t="s">
        <v>56</v>
      </c>
      <c r="C5081" t="s">
        <v>52</v>
      </c>
      <c r="D5081" t="s">
        <v>53</v>
      </c>
      <c r="G5081" s="17" t="s">
        <v>48</v>
      </c>
      <c r="H5081" s="17">
        <v>1</v>
      </c>
      <c r="K5081" t="s">
        <v>300</v>
      </c>
      <c r="L5081" t="s">
        <v>301</v>
      </c>
      <c r="M5081" t="s">
        <v>131</v>
      </c>
      <c r="N5081">
        <v>14</v>
      </c>
      <c r="O5081" t="s">
        <v>40</v>
      </c>
      <c r="P5081" t="s">
        <v>40</v>
      </c>
      <c r="Q5081" t="s">
        <v>40</v>
      </c>
      <c r="R5081" t="s">
        <v>40</v>
      </c>
      <c r="S5081" t="s">
        <v>40</v>
      </c>
      <c r="V5081" t="s">
        <v>41</v>
      </c>
      <c r="W5081" t="s">
        <v>42</v>
      </c>
      <c r="X5081" t="str">
        <f>"0580175"</f>
        <v>0580175</v>
      </c>
      <c r="Y5081" t="s">
        <v>303</v>
      </c>
      <c r="Z5081" t="s">
        <v>300</v>
      </c>
      <c r="AA5081" t="s">
        <v>301</v>
      </c>
      <c r="AB5081" t="s">
        <v>131</v>
      </c>
      <c r="AC5081" t="s">
        <v>51</v>
      </c>
      <c r="AD5081" t="s">
        <v>45</v>
      </c>
      <c r="AE5081" s="1">
        <v>21488</v>
      </c>
      <c r="AF5081">
        <v>2</v>
      </c>
      <c r="AG5081" t="s">
        <v>301</v>
      </c>
      <c r="AH5081" s="36">
        <f t="shared" si="79"/>
        <v>61.024999999999999</v>
      </c>
      <c r="AI5081" s="41" t="s">
        <v>1783</v>
      </c>
    </row>
    <row r="5082" spans="1:35" x14ac:dyDescent="0.25">
      <c r="A5082" s="36">
        <v>99915080</v>
      </c>
      <c r="B5082" s="17" t="s">
        <v>32</v>
      </c>
      <c r="C5082" t="s">
        <v>33</v>
      </c>
      <c r="D5082" t="s">
        <v>34</v>
      </c>
      <c r="G5082" s="17" t="s">
        <v>48</v>
      </c>
      <c r="H5082" s="17">
        <v>1</v>
      </c>
      <c r="K5082" t="s">
        <v>223</v>
      </c>
      <c r="L5082" t="s">
        <v>224</v>
      </c>
      <c r="M5082" t="s">
        <v>131</v>
      </c>
      <c r="N5082">
        <v>4</v>
      </c>
      <c r="O5082" t="s">
        <v>40</v>
      </c>
      <c r="P5082" t="s">
        <v>40</v>
      </c>
      <c r="Q5082" t="s">
        <v>40</v>
      </c>
      <c r="S5082" t="s">
        <v>40</v>
      </c>
      <c r="V5082" t="s">
        <v>41</v>
      </c>
      <c r="W5082" t="s">
        <v>42</v>
      </c>
      <c r="X5082" t="str">
        <f>"0561007"</f>
        <v>0561007</v>
      </c>
      <c r="Y5082" t="s">
        <v>262</v>
      </c>
      <c r="Z5082" t="s">
        <v>223</v>
      </c>
      <c r="AA5082" t="s">
        <v>224</v>
      </c>
      <c r="AB5082" t="s">
        <v>131</v>
      </c>
      <c r="AC5082" t="s">
        <v>51</v>
      </c>
      <c r="AD5082" t="s">
        <v>45</v>
      </c>
      <c r="AE5082" s="1">
        <v>21482</v>
      </c>
      <c r="AF5082">
        <v>2</v>
      </c>
      <c r="AG5082" t="s">
        <v>224</v>
      </c>
      <c r="AH5082" s="36">
        <f t="shared" si="79"/>
        <v>61.041666666666664</v>
      </c>
      <c r="AI5082" s="41" t="s">
        <v>1783</v>
      </c>
    </row>
    <row r="5083" spans="1:35" x14ac:dyDescent="0.25">
      <c r="A5083" s="36">
        <v>99915081</v>
      </c>
      <c r="B5083" s="17" t="s">
        <v>56</v>
      </c>
      <c r="C5083" t="s">
        <v>257</v>
      </c>
      <c r="D5083" t="s">
        <v>258</v>
      </c>
      <c r="G5083" s="17" t="s">
        <v>48</v>
      </c>
      <c r="H5083" s="17">
        <v>10</v>
      </c>
      <c r="I5083" t="s">
        <v>952</v>
      </c>
      <c r="J5083" s="1">
        <v>43344</v>
      </c>
      <c r="K5083" t="s">
        <v>947</v>
      </c>
      <c r="L5083" t="s">
        <v>948</v>
      </c>
      <c r="M5083" t="s">
        <v>938</v>
      </c>
      <c r="N5083">
        <v>6</v>
      </c>
      <c r="O5083" t="s">
        <v>40</v>
      </c>
      <c r="P5083" t="s">
        <v>40</v>
      </c>
      <c r="Q5083" t="s">
        <v>40</v>
      </c>
      <c r="R5083" t="s">
        <v>40</v>
      </c>
      <c r="S5083" t="s">
        <v>40</v>
      </c>
      <c r="U5083" s="1">
        <v>43344</v>
      </c>
      <c r="V5083" t="s">
        <v>41</v>
      </c>
      <c r="W5083" t="s">
        <v>953</v>
      </c>
      <c r="X5083" t="str">
        <f>"0610801"</f>
        <v>0610801</v>
      </c>
      <c r="Y5083" t="s">
        <v>954</v>
      </c>
      <c r="Z5083" t="s">
        <v>947</v>
      </c>
      <c r="AA5083" t="s">
        <v>948</v>
      </c>
      <c r="AB5083" t="s">
        <v>938</v>
      </c>
      <c r="AC5083" t="s">
        <v>44</v>
      </c>
      <c r="AD5083" t="s">
        <v>45</v>
      </c>
      <c r="AE5083" s="1">
        <v>21468</v>
      </c>
      <c r="AF5083">
        <v>2</v>
      </c>
      <c r="AG5083" t="s">
        <v>948</v>
      </c>
      <c r="AH5083" s="36">
        <f t="shared" si="79"/>
        <v>61.080555555555556</v>
      </c>
      <c r="AI5083" s="41" t="s">
        <v>1783</v>
      </c>
    </row>
    <row r="5084" spans="1:35" x14ac:dyDescent="0.25">
      <c r="A5084" s="36">
        <v>99915082</v>
      </c>
      <c r="B5084" s="17" t="s">
        <v>56</v>
      </c>
      <c r="C5084" t="s">
        <v>52</v>
      </c>
      <c r="D5084" t="s">
        <v>53</v>
      </c>
      <c r="G5084" s="17" t="s">
        <v>48</v>
      </c>
      <c r="H5084" s="17">
        <v>1</v>
      </c>
      <c r="K5084" t="s">
        <v>345</v>
      </c>
      <c r="L5084" t="s">
        <v>346</v>
      </c>
      <c r="M5084" t="s">
        <v>131</v>
      </c>
      <c r="N5084">
        <v>18</v>
      </c>
      <c r="O5084" t="s">
        <v>40</v>
      </c>
      <c r="P5084" t="s">
        <v>40</v>
      </c>
      <c r="Q5084" t="s">
        <v>40</v>
      </c>
      <c r="R5084" t="s">
        <v>40</v>
      </c>
      <c r="S5084" t="s">
        <v>40</v>
      </c>
      <c r="V5084" t="s">
        <v>41</v>
      </c>
      <c r="W5084" t="s">
        <v>42</v>
      </c>
      <c r="X5084" t="str">
        <f>"0590906"</f>
        <v>0590906</v>
      </c>
      <c r="Y5084" t="s">
        <v>361</v>
      </c>
      <c r="Z5084" t="s">
        <v>345</v>
      </c>
      <c r="AA5084" t="s">
        <v>346</v>
      </c>
      <c r="AB5084" t="s">
        <v>131</v>
      </c>
      <c r="AC5084" t="s">
        <v>51</v>
      </c>
      <c r="AD5084" t="s">
        <v>45</v>
      </c>
      <c r="AE5084" s="1">
        <v>21462</v>
      </c>
      <c r="AF5084">
        <v>2</v>
      </c>
      <c r="AG5084" t="s">
        <v>346</v>
      </c>
      <c r="AH5084" s="36">
        <f t="shared" si="79"/>
        <v>61.097222222222221</v>
      </c>
      <c r="AI5084" s="41" t="s">
        <v>1783</v>
      </c>
    </row>
    <row r="5085" spans="1:35" x14ac:dyDescent="0.25">
      <c r="A5085" s="36">
        <v>99915083</v>
      </c>
      <c r="B5085" s="17" t="s">
        <v>56</v>
      </c>
      <c r="C5085" t="s">
        <v>58</v>
      </c>
      <c r="D5085" t="s">
        <v>59</v>
      </c>
      <c r="G5085" s="17" t="s">
        <v>48</v>
      </c>
      <c r="H5085" s="17">
        <v>1</v>
      </c>
      <c r="K5085" t="s">
        <v>1268</v>
      </c>
      <c r="L5085" t="s">
        <v>1269</v>
      </c>
      <c r="M5085" t="s">
        <v>1270</v>
      </c>
      <c r="N5085">
        <v>18</v>
      </c>
      <c r="O5085" t="s">
        <v>40</v>
      </c>
      <c r="P5085" t="s">
        <v>40</v>
      </c>
      <c r="Q5085" t="s">
        <v>40</v>
      </c>
      <c r="R5085" t="s">
        <v>40</v>
      </c>
      <c r="S5085" t="s">
        <v>40</v>
      </c>
      <c r="V5085" t="s">
        <v>41</v>
      </c>
      <c r="W5085" t="s">
        <v>42</v>
      </c>
      <c r="X5085" t="str">
        <f>"1990911"</f>
        <v>1990911</v>
      </c>
      <c r="Y5085" t="s">
        <v>1276</v>
      </c>
      <c r="Z5085" t="s">
        <v>1268</v>
      </c>
      <c r="AA5085" t="s">
        <v>1269</v>
      </c>
      <c r="AB5085" t="s">
        <v>1270</v>
      </c>
      <c r="AC5085" t="s">
        <v>51</v>
      </c>
      <c r="AD5085" t="s">
        <v>45</v>
      </c>
      <c r="AE5085" s="1">
        <v>21462</v>
      </c>
      <c r="AF5085">
        <v>2</v>
      </c>
      <c r="AG5085" t="s">
        <v>1269</v>
      </c>
      <c r="AH5085" s="36">
        <f t="shared" si="79"/>
        <v>61.097222222222221</v>
      </c>
      <c r="AI5085" s="41" t="s">
        <v>1783</v>
      </c>
    </row>
    <row r="5086" spans="1:35" x14ac:dyDescent="0.25">
      <c r="A5086" s="36">
        <v>99915084</v>
      </c>
      <c r="B5086" s="17" t="s">
        <v>56</v>
      </c>
      <c r="C5086" t="s">
        <v>33</v>
      </c>
      <c r="D5086" t="s">
        <v>34</v>
      </c>
      <c r="G5086" s="17" t="s">
        <v>48</v>
      </c>
      <c r="H5086" s="17">
        <v>1</v>
      </c>
      <c r="K5086" t="s">
        <v>1268</v>
      </c>
      <c r="L5086" t="s">
        <v>1269</v>
      </c>
      <c r="M5086" t="s">
        <v>1270</v>
      </c>
      <c r="N5086">
        <v>10</v>
      </c>
      <c r="O5086" t="s">
        <v>40</v>
      </c>
      <c r="P5086" t="s">
        <v>40</v>
      </c>
      <c r="Q5086" t="s">
        <v>40</v>
      </c>
      <c r="R5086" t="s">
        <v>40</v>
      </c>
      <c r="S5086" t="s">
        <v>40</v>
      </c>
      <c r="V5086" t="s">
        <v>41</v>
      </c>
      <c r="W5086" t="s">
        <v>42</v>
      </c>
      <c r="X5086" t="str">
        <f>"1990911"</f>
        <v>1990911</v>
      </c>
      <c r="Y5086" t="s">
        <v>1276</v>
      </c>
      <c r="Z5086" t="s">
        <v>1268</v>
      </c>
      <c r="AA5086" t="s">
        <v>1269</v>
      </c>
      <c r="AB5086" t="s">
        <v>1270</v>
      </c>
      <c r="AC5086" t="s">
        <v>165</v>
      </c>
      <c r="AD5086" t="s">
        <v>45</v>
      </c>
      <c r="AE5086" s="1">
        <v>21451</v>
      </c>
      <c r="AF5086">
        <v>2</v>
      </c>
      <c r="AG5086" t="s">
        <v>1269</v>
      </c>
      <c r="AH5086" s="36">
        <f t="shared" si="79"/>
        <v>61.12777777777778</v>
      </c>
      <c r="AI5086" s="41" t="s">
        <v>1783</v>
      </c>
    </row>
    <row r="5087" spans="1:35" x14ac:dyDescent="0.25">
      <c r="A5087" s="36">
        <v>99915085</v>
      </c>
      <c r="B5087" s="17" t="s">
        <v>56</v>
      </c>
      <c r="C5087" t="s">
        <v>52</v>
      </c>
      <c r="D5087" t="s">
        <v>53</v>
      </c>
      <c r="G5087" s="17" t="s">
        <v>48</v>
      </c>
      <c r="H5087" s="17">
        <v>1</v>
      </c>
      <c r="K5087" t="s">
        <v>1128</v>
      </c>
      <c r="L5087" t="s">
        <v>1129</v>
      </c>
      <c r="M5087" t="s">
        <v>1130</v>
      </c>
      <c r="N5087">
        <v>20</v>
      </c>
      <c r="O5087" t="s">
        <v>40</v>
      </c>
      <c r="P5087" t="s">
        <v>40</v>
      </c>
      <c r="Q5087" t="s">
        <v>40</v>
      </c>
      <c r="S5087" t="s">
        <v>40</v>
      </c>
      <c r="V5087" t="s">
        <v>41</v>
      </c>
      <c r="W5087" t="s">
        <v>42</v>
      </c>
      <c r="X5087" t="str">
        <f>"3180010"</f>
        <v>3180010</v>
      </c>
      <c r="Y5087" t="s">
        <v>1132</v>
      </c>
      <c r="Z5087" t="s">
        <v>1128</v>
      </c>
      <c r="AA5087" t="s">
        <v>1129</v>
      </c>
      <c r="AB5087" t="s">
        <v>1130</v>
      </c>
      <c r="AC5087" t="s">
        <v>165</v>
      </c>
      <c r="AD5087" t="s">
        <v>45</v>
      </c>
      <c r="AE5087" s="1">
        <v>21448</v>
      </c>
      <c r="AF5087">
        <v>2</v>
      </c>
      <c r="AG5087" t="s">
        <v>1129</v>
      </c>
      <c r="AH5087" s="36">
        <f t="shared" si="79"/>
        <v>61.136111111111113</v>
      </c>
      <c r="AI5087" s="41" t="s">
        <v>1783</v>
      </c>
    </row>
    <row r="5088" spans="1:35" x14ac:dyDescent="0.25">
      <c r="A5088" s="36">
        <v>99915086</v>
      </c>
      <c r="B5088" s="17" t="s">
        <v>32</v>
      </c>
      <c r="C5088" t="s">
        <v>64</v>
      </c>
      <c r="D5088" t="s">
        <v>65</v>
      </c>
      <c r="G5088" s="17" t="s">
        <v>48</v>
      </c>
      <c r="H5088" s="17">
        <v>1</v>
      </c>
      <c r="K5088" t="s">
        <v>223</v>
      </c>
      <c r="L5088" t="s">
        <v>224</v>
      </c>
      <c r="M5088" t="s">
        <v>131</v>
      </c>
      <c r="N5088">
        <v>17</v>
      </c>
      <c r="O5088" t="s">
        <v>40</v>
      </c>
      <c r="P5088" t="s">
        <v>40</v>
      </c>
      <c r="Q5088" t="s">
        <v>40</v>
      </c>
      <c r="R5088" t="s">
        <v>40</v>
      </c>
      <c r="S5088" t="s">
        <v>40</v>
      </c>
      <c r="V5088" t="s">
        <v>41</v>
      </c>
      <c r="W5088" t="s">
        <v>49</v>
      </c>
      <c r="X5088" t="str">
        <f>"0581200"</f>
        <v>0581200</v>
      </c>
      <c r="Y5088" t="s">
        <v>238</v>
      </c>
      <c r="Z5088" t="s">
        <v>223</v>
      </c>
      <c r="AA5088" t="s">
        <v>224</v>
      </c>
      <c r="AB5088" t="s">
        <v>131</v>
      </c>
      <c r="AC5088" t="s">
        <v>51</v>
      </c>
      <c r="AD5088" t="s">
        <v>45</v>
      </c>
      <c r="AE5088" s="1">
        <v>21436</v>
      </c>
      <c r="AF5088">
        <v>2</v>
      </c>
      <c r="AG5088" t="s">
        <v>224</v>
      </c>
      <c r="AH5088" s="36">
        <f t="shared" si="79"/>
        <v>61.169444444444444</v>
      </c>
      <c r="AI5088" s="41" t="s">
        <v>1783</v>
      </c>
    </row>
    <row r="5089" spans="1:35" x14ac:dyDescent="0.25">
      <c r="A5089" s="36">
        <v>99915087</v>
      </c>
      <c r="B5089" s="17" t="s">
        <v>56</v>
      </c>
      <c r="C5089" t="s">
        <v>52</v>
      </c>
      <c r="D5089" t="s">
        <v>53</v>
      </c>
      <c r="G5089" s="17" t="s">
        <v>48</v>
      </c>
      <c r="H5089" s="17">
        <v>1</v>
      </c>
      <c r="K5089" t="s">
        <v>380</v>
      </c>
      <c r="L5089" t="s">
        <v>381</v>
      </c>
      <c r="M5089" t="s">
        <v>131</v>
      </c>
      <c r="N5089">
        <v>20</v>
      </c>
      <c r="O5089" t="s">
        <v>40</v>
      </c>
      <c r="P5089" t="s">
        <v>40</v>
      </c>
      <c r="Q5089" t="s">
        <v>40</v>
      </c>
      <c r="R5089" t="s">
        <v>40</v>
      </c>
      <c r="S5089" t="s">
        <v>40</v>
      </c>
      <c r="V5089" t="s">
        <v>41</v>
      </c>
      <c r="W5089" t="s">
        <v>42</v>
      </c>
      <c r="X5089" t="str">
        <f>"0590908"</f>
        <v>0590908</v>
      </c>
      <c r="Y5089" t="s">
        <v>382</v>
      </c>
      <c r="Z5089" t="s">
        <v>380</v>
      </c>
      <c r="AA5089" t="s">
        <v>381</v>
      </c>
      <c r="AB5089" t="s">
        <v>131</v>
      </c>
      <c r="AC5089" t="s">
        <v>51</v>
      </c>
      <c r="AD5089" t="s">
        <v>45</v>
      </c>
      <c r="AE5089" s="1">
        <v>21436</v>
      </c>
      <c r="AF5089">
        <v>2</v>
      </c>
      <c r="AG5089" t="s">
        <v>381</v>
      </c>
      <c r="AH5089" s="36">
        <f t="shared" si="79"/>
        <v>61.169444444444444</v>
      </c>
      <c r="AI5089" s="41" t="s">
        <v>1783</v>
      </c>
    </row>
    <row r="5090" spans="1:35" x14ac:dyDescent="0.25">
      <c r="A5090" s="36">
        <v>99915088</v>
      </c>
      <c r="B5090" s="17" t="s">
        <v>56</v>
      </c>
      <c r="C5090" t="s">
        <v>79</v>
      </c>
      <c r="D5090" t="s">
        <v>80</v>
      </c>
      <c r="G5090" s="17" t="s">
        <v>48</v>
      </c>
      <c r="H5090" s="17">
        <v>1</v>
      </c>
      <c r="K5090" t="s">
        <v>129</v>
      </c>
      <c r="L5090" t="s">
        <v>130</v>
      </c>
      <c r="M5090" t="s">
        <v>131</v>
      </c>
      <c r="N5090">
        <v>18</v>
      </c>
      <c r="O5090" t="s">
        <v>40</v>
      </c>
      <c r="P5090" t="s">
        <v>40</v>
      </c>
      <c r="Q5090" t="s">
        <v>40</v>
      </c>
      <c r="R5090" t="s">
        <v>40</v>
      </c>
      <c r="S5090" t="s">
        <v>40</v>
      </c>
      <c r="V5090" t="s">
        <v>41</v>
      </c>
      <c r="W5090" t="s">
        <v>49</v>
      </c>
      <c r="X5090" t="str">
        <f>"0591905"</f>
        <v>0591905</v>
      </c>
      <c r="Y5090" t="s">
        <v>135</v>
      </c>
      <c r="Z5090" t="s">
        <v>129</v>
      </c>
      <c r="AA5090" t="s">
        <v>130</v>
      </c>
      <c r="AB5090" t="s">
        <v>131</v>
      </c>
      <c r="AC5090" t="s">
        <v>51</v>
      </c>
      <c r="AD5090" t="s">
        <v>45</v>
      </c>
      <c r="AE5090" s="1">
        <v>21434</v>
      </c>
      <c r="AF5090">
        <v>2</v>
      </c>
      <c r="AG5090" t="s">
        <v>130</v>
      </c>
      <c r="AH5090" s="36">
        <f t="shared" si="79"/>
        <v>61.174999999999997</v>
      </c>
      <c r="AI5090" s="41" t="s">
        <v>1783</v>
      </c>
    </row>
    <row r="5091" spans="1:35" x14ac:dyDescent="0.25">
      <c r="A5091" s="36">
        <v>99915089</v>
      </c>
      <c r="B5091" s="17" t="s">
        <v>56</v>
      </c>
      <c r="C5091" t="s">
        <v>52</v>
      </c>
      <c r="D5091" t="s">
        <v>53</v>
      </c>
      <c r="G5091" s="17" t="s">
        <v>48</v>
      </c>
      <c r="H5091" s="17">
        <v>1</v>
      </c>
      <c r="K5091" t="s">
        <v>936</v>
      </c>
      <c r="L5091" t="s">
        <v>937</v>
      </c>
      <c r="M5091" t="s">
        <v>938</v>
      </c>
      <c r="N5091">
        <v>10</v>
      </c>
      <c r="O5091" t="s">
        <v>40</v>
      </c>
      <c r="P5091" t="s">
        <v>40</v>
      </c>
      <c r="Q5091" t="s">
        <v>40</v>
      </c>
      <c r="R5091" t="s">
        <v>40</v>
      </c>
      <c r="S5091" t="s">
        <v>40</v>
      </c>
      <c r="V5091" t="s">
        <v>41</v>
      </c>
      <c r="W5091" t="s">
        <v>42</v>
      </c>
      <c r="X5091" t="str">
        <f>"0161003"</f>
        <v>0161003</v>
      </c>
      <c r="Y5091" t="s">
        <v>942</v>
      </c>
      <c r="Z5091" t="s">
        <v>936</v>
      </c>
      <c r="AA5091" t="s">
        <v>937</v>
      </c>
      <c r="AB5091" t="s">
        <v>938</v>
      </c>
      <c r="AC5091" t="s">
        <v>51</v>
      </c>
      <c r="AD5091" t="s">
        <v>45</v>
      </c>
      <c r="AE5091" s="1">
        <v>21423</v>
      </c>
      <c r="AF5091">
        <v>2</v>
      </c>
      <c r="AG5091" t="s">
        <v>937</v>
      </c>
      <c r="AH5091" s="36">
        <f t="shared" si="79"/>
        <v>61.205555555555556</v>
      </c>
      <c r="AI5091" s="41" t="s">
        <v>1783</v>
      </c>
    </row>
    <row r="5092" spans="1:35" x14ac:dyDescent="0.25">
      <c r="A5092" s="36">
        <v>99915090</v>
      </c>
      <c r="B5092" s="17" t="s">
        <v>56</v>
      </c>
      <c r="C5092" t="s">
        <v>46</v>
      </c>
      <c r="D5092" t="s">
        <v>47</v>
      </c>
      <c r="G5092" s="17" t="s">
        <v>48</v>
      </c>
      <c r="H5092" s="17">
        <v>1</v>
      </c>
      <c r="K5092" t="s">
        <v>345</v>
      </c>
      <c r="L5092" t="s">
        <v>346</v>
      </c>
      <c r="M5092" t="s">
        <v>131</v>
      </c>
      <c r="N5092">
        <v>18</v>
      </c>
      <c r="O5092" t="s">
        <v>40</v>
      </c>
      <c r="P5092" t="s">
        <v>40</v>
      </c>
      <c r="Q5092" t="s">
        <v>40</v>
      </c>
      <c r="R5092" t="s">
        <v>40</v>
      </c>
      <c r="S5092" t="s">
        <v>40</v>
      </c>
      <c r="V5092" t="s">
        <v>41</v>
      </c>
      <c r="W5092" t="s">
        <v>42</v>
      </c>
      <c r="X5092" t="str">
        <f>"0590906"</f>
        <v>0590906</v>
      </c>
      <c r="Y5092" t="s">
        <v>361</v>
      </c>
      <c r="Z5092" t="s">
        <v>345</v>
      </c>
      <c r="AA5092" t="s">
        <v>346</v>
      </c>
      <c r="AB5092" t="s">
        <v>131</v>
      </c>
      <c r="AC5092" t="s">
        <v>51</v>
      </c>
      <c r="AD5092" t="s">
        <v>45</v>
      </c>
      <c r="AE5092" s="1">
        <v>21422</v>
      </c>
      <c r="AF5092">
        <v>2</v>
      </c>
      <c r="AG5092" t="s">
        <v>346</v>
      </c>
      <c r="AH5092" s="36">
        <f t="shared" si="79"/>
        <v>61.208333333333336</v>
      </c>
      <c r="AI5092" s="41" t="s">
        <v>1783</v>
      </c>
    </row>
    <row r="5093" spans="1:35" x14ac:dyDescent="0.25">
      <c r="A5093" s="36">
        <v>99915091</v>
      </c>
      <c r="B5093" s="17" t="s">
        <v>56</v>
      </c>
      <c r="C5093" t="s">
        <v>33</v>
      </c>
      <c r="D5093" t="s">
        <v>34</v>
      </c>
      <c r="G5093" s="17" t="s">
        <v>48</v>
      </c>
      <c r="H5093" s="17">
        <v>1</v>
      </c>
      <c r="K5093" t="s">
        <v>1051</v>
      </c>
      <c r="L5093" t="s">
        <v>1052</v>
      </c>
      <c r="M5093" t="s">
        <v>1053</v>
      </c>
      <c r="N5093">
        <v>10</v>
      </c>
      <c r="O5093" t="s">
        <v>40</v>
      </c>
      <c r="P5093" t="s">
        <v>40</v>
      </c>
      <c r="Q5093" t="s">
        <v>40</v>
      </c>
      <c r="S5093" t="s">
        <v>40</v>
      </c>
      <c r="V5093" t="s">
        <v>41</v>
      </c>
      <c r="W5093" t="s">
        <v>42</v>
      </c>
      <c r="X5093" t="str">
        <f>"2061003"</f>
        <v>2061003</v>
      </c>
      <c r="Y5093" t="s">
        <v>1060</v>
      </c>
      <c r="Z5093" t="s">
        <v>1051</v>
      </c>
      <c r="AA5093" t="s">
        <v>1052</v>
      </c>
      <c r="AB5093" t="s">
        <v>1053</v>
      </c>
      <c r="AC5093" t="s">
        <v>51</v>
      </c>
      <c r="AD5093" t="s">
        <v>45</v>
      </c>
      <c r="AE5093" s="1">
        <v>21418</v>
      </c>
      <c r="AF5093">
        <v>2</v>
      </c>
      <c r="AG5093" t="s">
        <v>1052</v>
      </c>
      <c r="AH5093" s="36">
        <f t="shared" si="79"/>
        <v>61.219444444444441</v>
      </c>
      <c r="AI5093" s="41" t="s">
        <v>1783</v>
      </c>
    </row>
    <row r="5094" spans="1:35" x14ac:dyDescent="0.25">
      <c r="A5094" s="36">
        <v>99915092</v>
      </c>
      <c r="B5094" s="17" t="s">
        <v>32</v>
      </c>
      <c r="C5094" t="s">
        <v>64</v>
      </c>
      <c r="D5094" t="s">
        <v>65</v>
      </c>
      <c r="G5094" s="17" t="s">
        <v>35</v>
      </c>
      <c r="H5094" s="17">
        <v>1</v>
      </c>
      <c r="K5094" t="s">
        <v>223</v>
      </c>
      <c r="L5094" t="s">
        <v>224</v>
      </c>
      <c r="M5094" t="s">
        <v>131</v>
      </c>
      <c r="N5094">
        <v>17</v>
      </c>
      <c r="O5094" t="s">
        <v>40</v>
      </c>
      <c r="P5094" t="s">
        <v>40</v>
      </c>
      <c r="Q5094" t="s">
        <v>40</v>
      </c>
      <c r="S5094" t="s">
        <v>40</v>
      </c>
      <c r="V5094" t="s">
        <v>41</v>
      </c>
      <c r="W5094" t="s">
        <v>49</v>
      </c>
      <c r="X5094" t="str">
        <f>"0591901"</f>
        <v>0591901</v>
      </c>
      <c r="Y5094" t="s">
        <v>230</v>
      </c>
      <c r="Z5094" t="s">
        <v>223</v>
      </c>
      <c r="AA5094" t="s">
        <v>224</v>
      </c>
      <c r="AB5094" t="s">
        <v>131</v>
      </c>
      <c r="AC5094" t="s">
        <v>51</v>
      </c>
      <c r="AD5094" t="s">
        <v>45</v>
      </c>
      <c r="AE5094" s="1">
        <v>21415</v>
      </c>
      <c r="AF5094">
        <v>2</v>
      </c>
      <c r="AG5094" t="s">
        <v>224</v>
      </c>
      <c r="AH5094" s="36">
        <f t="shared" si="79"/>
        <v>61.227777777777774</v>
      </c>
      <c r="AI5094" s="41" t="s">
        <v>1783</v>
      </c>
    </row>
    <row r="5095" spans="1:35" x14ac:dyDescent="0.25">
      <c r="A5095" s="36">
        <v>99915093</v>
      </c>
      <c r="B5095" s="17" t="s">
        <v>56</v>
      </c>
      <c r="C5095" t="s">
        <v>68</v>
      </c>
      <c r="D5095" t="s">
        <v>69</v>
      </c>
      <c r="G5095" s="17" t="s">
        <v>48</v>
      </c>
      <c r="H5095" s="17">
        <v>1</v>
      </c>
      <c r="K5095" t="s">
        <v>380</v>
      </c>
      <c r="L5095" t="s">
        <v>381</v>
      </c>
      <c r="M5095" t="s">
        <v>131</v>
      </c>
      <c r="N5095">
        <v>18</v>
      </c>
      <c r="O5095" t="s">
        <v>40</v>
      </c>
      <c r="P5095" t="s">
        <v>40</v>
      </c>
      <c r="Q5095" t="s">
        <v>40</v>
      </c>
      <c r="R5095" t="s">
        <v>40</v>
      </c>
      <c r="S5095" t="s">
        <v>40</v>
      </c>
      <c r="V5095" t="s">
        <v>41</v>
      </c>
      <c r="W5095" t="s">
        <v>42</v>
      </c>
      <c r="X5095" t="str">
        <f>"0590909"</f>
        <v>0590909</v>
      </c>
      <c r="Y5095" t="s">
        <v>388</v>
      </c>
      <c r="Z5095" t="s">
        <v>380</v>
      </c>
      <c r="AA5095" t="s">
        <v>381</v>
      </c>
      <c r="AB5095" t="s">
        <v>131</v>
      </c>
      <c r="AC5095" t="s">
        <v>51</v>
      </c>
      <c r="AD5095" t="s">
        <v>45</v>
      </c>
      <c r="AE5095" s="1">
        <v>21415</v>
      </c>
      <c r="AF5095">
        <v>2</v>
      </c>
      <c r="AG5095" t="s">
        <v>381</v>
      </c>
      <c r="AH5095" s="36">
        <f t="shared" si="79"/>
        <v>61.227777777777774</v>
      </c>
      <c r="AI5095" s="41" t="s">
        <v>1783</v>
      </c>
    </row>
    <row r="5096" spans="1:35" x14ac:dyDescent="0.25">
      <c r="A5096" s="36">
        <v>99915094</v>
      </c>
      <c r="B5096" s="17" t="s">
        <v>32</v>
      </c>
      <c r="C5096" t="s">
        <v>64</v>
      </c>
      <c r="D5096" t="s">
        <v>65</v>
      </c>
      <c r="G5096" s="17" t="s">
        <v>48</v>
      </c>
      <c r="H5096" s="17">
        <v>1</v>
      </c>
      <c r="K5096" t="s">
        <v>354</v>
      </c>
      <c r="L5096" t="s">
        <v>355</v>
      </c>
      <c r="M5096" t="s">
        <v>131</v>
      </c>
      <c r="N5096">
        <v>22</v>
      </c>
      <c r="O5096" t="s">
        <v>40</v>
      </c>
      <c r="P5096" t="s">
        <v>40</v>
      </c>
      <c r="Q5096" t="s">
        <v>40</v>
      </c>
      <c r="S5096" t="s">
        <v>40</v>
      </c>
      <c r="V5096" t="s">
        <v>41</v>
      </c>
      <c r="W5096" t="s">
        <v>75</v>
      </c>
      <c r="X5096" t="str">
        <f>"7054038"</f>
        <v>7054038</v>
      </c>
      <c r="Y5096" t="s">
        <v>377</v>
      </c>
      <c r="Z5096" t="s">
        <v>354</v>
      </c>
      <c r="AA5096" t="s">
        <v>355</v>
      </c>
      <c r="AB5096" t="s">
        <v>131</v>
      </c>
      <c r="AC5096" t="s">
        <v>51</v>
      </c>
      <c r="AD5096" t="s">
        <v>45</v>
      </c>
      <c r="AE5096" s="1">
        <v>21405</v>
      </c>
      <c r="AF5096">
        <v>1</v>
      </c>
      <c r="AG5096" t="s">
        <v>355</v>
      </c>
      <c r="AH5096" s="36">
        <f t="shared" si="79"/>
        <v>61.255555555555553</v>
      </c>
      <c r="AI5096" s="41" t="s">
        <v>1783</v>
      </c>
    </row>
    <row r="5097" spans="1:35" x14ac:dyDescent="0.25">
      <c r="A5097" s="36">
        <v>99915095</v>
      </c>
      <c r="B5097" s="17" t="s">
        <v>56</v>
      </c>
      <c r="C5097" t="s">
        <v>33</v>
      </c>
      <c r="D5097" t="s">
        <v>34</v>
      </c>
      <c r="G5097" s="17" t="s">
        <v>48</v>
      </c>
      <c r="H5097" s="17">
        <v>14</v>
      </c>
      <c r="K5097" t="s">
        <v>162</v>
      </c>
      <c r="L5097" t="s">
        <v>158</v>
      </c>
      <c r="M5097" t="s">
        <v>131</v>
      </c>
      <c r="N5097">
        <v>14</v>
      </c>
      <c r="O5097" t="s">
        <v>40</v>
      </c>
      <c r="P5097" t="s">
        <v>40</v>
      </c>
      <c r="Q5097" t="s">
        <v>40</v>
      </c>
      <c r="R5097" t="s">
        <v>40</v>
      </c>
      <c r="S5097" t="s">
        <v>40</v>
      </c>
      <c r="V5097" t="s">
        <v>41</v>
      </c>
      <c r="W5097" t="s">
        <v>49</v>
      </c>
      <c r="X5097" t="str">
        <f>"0581325"</f>
        <v>0581325</v>
      </c>
      <c r="Y5097" t="s">
        <v>169</v>
      </c>
      <c r="Z5097" t="s">
        <v>162</v>
      </c>
      <c r="AA5097" t="s">
        <v>158</v>
      </c>
      <c r="AB5097" t="s">
        <v>131</v>
      </c>
      <c r="AC5097" t="s">
        <v>165</v>
      </c>
      <c r="AD5097" t="s">
        <v>45</v>
      </c>
      <c r="AE5097" s="1">
        <v>21404</v>
      </c>
      <c r="AF5097">
        <v>2</v>
      </c>
      <c r="AG5097" t="s">
        <v>158</v>
      </c>
      <c r="AH5097" s="36">
        <f t="shared" si="79"/>
        <v>61.258333333333333</v>
      </c>
      <c r="AI5097" s="41" t="s">
        <v>1783</v>
      </c>
    </row>
    <row r="5098" spans="1:35" x14ac:dyDescent="0.25">
      <c r="A5098" s="36">
        <v>99915096</v>
      </c>
      <c r="B5098" s="17" t="s">
        <v>32</v>
      </c>
      <c r="C5098" t="s">
        <v>33</v>
      </c>
      <c r="D5098" t="s">
        <v>34</v>
      </c>
      <c r="G5098" s="17" t="s">
        <v>48</v>
      </c>
      <c r="H5098" s="17">
        <v>1</v>
      </c>
      <c r="K5098" t="s">
        <v>1268</v>
      </c>
      <c r="L5098" t="s">
        <v>1269</v>
      </c>
      <c r="M5098" t="s">
        <v>1270</v>
      </c>
      <c r="N5098">
        <v>10</v>
      </c>
      <c r="O5098" t="s">
        <v>40</v>
      </c>
      <c r="P5098" t="s">
        <v>40</v>
      </c>
      <c r="Q5098" t="s">
        <v>40</v>
      </c>
      <c r="S5098" t="s">
        <v>40</v>
      </c>
      <c r="V5098" t="s">
        <v>41</v>
      </c>
      <c r="W5098" t="s">
        <v>42</v>
      </c>
      <c r="X5098" t="str">
        <f>"1980050"</f>
        <v>1980050</v>
      </c>
      <c r="Y5098" t="s">
        <v>1278</v>
      </c>
      <c r="Z5098" t="s">
        <v>1268</v>
      </c>
      <c r="AA5098" t="s">
        <v>1269</v>
      </c>
      <c r="AB5098" t="s">
        <v>1270</v>
      </c>
      <c r="AC5098" t="s">
        <v>51</v>
      </c>
      <c r="AD5098" t="s">
        <v>45</v>
      </c>
      <c r="AE5098" s="1">
        <v>21380</v>
      </c>
      <c r="AF5098">
        <v>2</v>
      </c>
      <c r="AG5098" t="s">
        <v>1269</v>
      </c>
      <c r="AH5098" s="36">
        <f t="shared" si="79"/>
        <v>61.325000000000003</v>
      </c>
      <c r="AI5098" s="41" t="s">
        <v>1783</v>
      </c>
    </row>
    <row r="5099" spans="1:35" x14ac:dyDescent="0.25">
      <c r="A5099" s="36">
        <v>99915097</v>
      </c>
      <c r="B5099" s="17" t="s">
        <v>56</v>
      </c>
      <c r="C5099" t="s">
        <v>52</v>
      </c>
      <c r="D5099" t="s">
        <v>53</v>
      </c>
      <c r="G5099" s="17" t="s">
        <v>48</v>
      </c>
      <c r="H5099" s="17">
        <v>1</v>
      </c>
      <c r="K5099" t="s">
        <v>223</v>
      </c>
      <c r="L5099" t="s">
        <v>224</v>
      </c>
      <c r="M5099" t="s">
        <v>131</v>
      </c>
      <c r="N5099">
        <v>4</v>
      </c>
      <c r="O5099" t="s">
        <v>40</v>
      </c>
      <c r="P5099" t="s">
        <v>40</v>
      </c>
      <c r="Q5099" t="s">
        <v>40</v>
      </c>
      <c r="R5099" t="s">
        <v>40</v>
      </c>
      <c r="S5099" t="s">
        <v>40</v>
      </c>
      <c r="V5099" t="s">
        <v>41</v>
      </c>
      <c r="W5099" t="s">
        <v>42</v>
      </c>
      <c r="X5099" t="str">
        <f>"0580204"</f>
        <v>0580204</v>
      </c>
      <c r="Y5099" t="s">
        <v>235</v>
      </c>
      <c r="Z5099" t="s">
        <v>223</v>
      </c>
      <c r="AA5099" t="s">
        <v>224</v>
      </c>
      <c r="AB5099" t="s">
        <v>131</v>
      </c>
      <c r="AC5099" t="s">
        <v>165</v>
      </c>
      <c r="AD5099" t="s">
        <v>45</v>
      </c>
      <c r="AE5099" s="1">
        <v>21379</v>
      </c>
      <c r="AF5099">
        <v>2</v>
      </c>
      <c r="AG5099" t="s">
        <v>224</v>
      </c>
      <c r="AH5099" s="36">
        <f t="shared" si="79"/>
        <v>61.327777777777776</v>
      </c>
      <c r="AI5099" s="41" t="s">
        <v>1783</v>
      </c>
    </row>
    <row r="5100" spans="1:35" x14ac:dyDescent="0.25">
      <c r="A5100" s="36">
        <v>99915098</v>
      </c>
      <c r="B5100" s="17" t="s">
        <v>56</v>
      </c>
      <c r="C5100" t="s">
        <v>111</v>
      </c>
      <c r="D5100" t="s">
        <v>112</v>
      </c>
      <c r="G5100" s="17" t="s">
        <v>35</v>
      </c>
      <c r="H5100" s="17">
        <v>1</v>
      </c>
      <c r="I5100" t="s">
        <v>633</v>
      </c>
      <c r="J5100" s="1">
        <v>43344</v>
      </c>
      <c r="K5100" t="s">
        <v>268</v>
      </c>
      <c r="L5100" t="s">
        <v>269</v>
      </c>
      <c r="M5100" t="s">
        <v>131</v>
      </c>
      <c r="N5100">
        <v>8</v>
      </c>
      <c r="O5100" t="s">
        <v>40</v>
      </c>
      <c r="S5100" t="s">
        <v>40</v>
      </c>
      <c r="U5100" s="1">
        <v>43344</v>
      </c>
      <c r="V5100" t="s">
        <v>41</v>
      </c>
      <c r="W5100" t="s">
        <v>75</v>
      </c>
      <c r="X5100" t="str">
        <f>"7052020"</f>
        <v>7052020</v>
      </c>
      <c r="Y5100" t="s">
        <v>267</v>
      </c>
      <c r="Z5100" t="s">
        <v>268</v>
      </c>
      <c r="AA5100" t="s">
        <v>269</v>
      </c>
      <c r="AB5100" t="s">
        <v>131</v>
      </c>
      <c r="AC5100" t="s">
        <v>51</v>
      </c>
      <c r="AD5100" t="s">
        <v>45</v>
      </c>
      <c r="AE5100" s="1">
        <v>21372</v>
      </c>
      <c r="AF5100">
        <v>1</v>
      </c>
      <c r="AG5100" t="s">
        <v>269</v>
      </c>
      <c r="AH5100" s="36">
        <f t="shared" si="79"/>
        <v>61.347222222222221</v>
      </c>
      <c r="AI5100" s="41" t="s">
        <v>1783</v>
      </c>
    </row>
    <row r="5101" spans="1:35" x14ac:dyDescent="0.25">
      <c r="A5101" s="36">
        <v>99915099</v>
      </c>
      <c r="B5101" s="17" t="s">
        <v>32</v>
      </c>
      <c r="C5101" t="s">
        <v>46</v>
      </c>
      <c r="D5101" t="s">
        <v>47</v>
      </c>
      <c r="G5101" s="17" t="s">
        <v>35</v>
      </c>
      <c r="H5101" s="17">
        <v>1</v>
      </c>
      <c r="K5101" t="s">
        <v>223</v>
      </c>
      <c r="L5101" t="s">
        <v>224</v>
      </c>
      <c r="M5101" t="s">
        <v>131</v>
      </c>
      <c r="N5101">
        <v>8</v>
      </c>
      <c r="O5101" t="s">
        <v>40</v>
      </c>
      <c r="P5101" t="s">
        <v>40</v>
      </c>
      <c r="Q5101" t="s">
        <v>40</v>
      </c>
      <c r="S5101" t="s">
        <v>40</v>
      </c>
      <c r="V5101" t="s">
        <v>41</v>
      </c>
      <c r="W5101" t="s">
        <v>49</v>
      </c>
      <c r="X5101" t="str">
        <f>"0581207"</f>
        <v>0581207</v>
      </c>
      <c r="Y5101" t="s">
        <v>233</v>
      </c>
      <c r="Z5101" t="s">
        <v>223</v>
      </c>
      <c r="AA5101" t="s">
        <v>224</v>
      </c>
      <c r="AB5101" t="s">
        <v>131</v>
      </c>
      <c r="AC5101" t="s">
        <v>165</v>
      </c>
      <c r="AD5101" t="s">
        <v>45</v>
      </c>
      <c r="AE5101" s="1">
        <v>21366</v>
      </c>
      <c r="AF5101">
        <v>2</v>
      </c>
      <c r="AG5101" t="s">
        <v>224</v>
      </c>
      <c r="AH5101" s="36">
        <f t="shared" si="79"/>
        <v>61.363888888888887</v>
      </c>
      <c r="AI5101" s="41" t="s">
        <v>1783</v>
      </c>
    </row>
    <row r="5102" spans="1:35" x14ac:dyDescent="0.25">
      <c r="A5102" s="36">
        <v>99915100</v>
      </c>
      <c r="B5102" s="17" t="s">
        <v>56</v>
      </c>
      <c r="C5102" t="s">
        <v>52</v>
      </c>
      <c r="D5102" t="s">
        <v>53</v>
      </c>
      <c r="G5102" s="17" t="s">
        <v>48</v>
      </c>
      <c r="H5102" s="17">
        <v>1</v>
      </c>
      <c r="K5102" t="s">
        <v>1268</v>
      </c>
      <c r="L5102" t="s">
        <v>1269</v>
      </c>
      <c r="M5102" t="s">
        <v>1270</v>
      </c>
      <c r="N5102">
        <v>18</v>
      </c>
      <c r="O5102" t="s">
        <v>40</v>
      </c>
      <c r="P5102" t="s">
        <v>40</v>
      </c>
      <c r="Q5102" t="s">
        <v>40</v>
      </c>
      <c r="S5102" t="s">
        <v>40</v>
      </c>
      <c r="V5102" t="s">
        <v>41</v>
      </c>
      <c r="W5102" t="s">
        <v>42</v>
      </c>
      <c r="X5102" t="str">
        <f>"1990911"</f>
        <v>1990911</v>
      </c>
      <c r="Y5102" t="s">
        <v>1276</v>
      </c>
      <c r="Z5102" t="s">
        <v>1268</v>
      </c>
      <c r="AA5102" t="s">
        <v>1269</v>
      </c>
      <c r="AB5102" t="s">
        <v>1270</v>
      </c>
      <c r="AC5102" t="s">
        <v>51</v>
      </c>
      <c r="AD5102" t="s">
        <v>45</v>
      </c>
      <c r="AE5102" s="1">
        <v>21362</v>
      </c>
      <c r="AF5102">
        <v>2</v>
      </c>
      <c r="AG5102" t="s">
        <v>1269</v>
      </c>
      <c r="AH5102" s="36">
        <f t="shared" si="79"/>
        <v>61.375</v>
      </c>
      <c r="AI5102" s="41" t="s">
        <v>1783</v>
      </c>
    </row>
    <row r="5103" spans="1:35" x14ac:dyDescent="0.25">
      <c r="A5103" s="36">
        <v>99915101</v>
      </c>
      <c r="B5103" s="17" t="s">
        <v>56</v>
      </c>
      <c r="C5103" t="s">
        <v>68</v>
      </c>
      <c r="D5103" t="s">
        <v>69</v>
      </c>
      <c r="G5103" s="17" t="s">
        <v>48</v>
      </c>
      <c r="H5103" s="17">
        <v>12</v>
      </c>
      <c r="K5103" t="s">
        <v>1268</v>
      </c>
      <c r="L5103" t="s">
        <v>1269</v>
      </c>
      <c r="M5103" t="s">
        <v>1270</v>
      </c>
      <c r="N5103">
        <v>20</v>
      </c>
      <c r="O5103" t="s">
        <v>40</v>
      </c>
      <c r="P5103" t="s">
        <v>40</v>
      </c>
      <c r="Q5103" t="s">
        <v>40</v>
      </c>
      <c r="R5103" t="s">
        <v>40</v>
      </c>
      <c r="S5103" t="s">
        <v>40</v>
      </c>
      <c r="V5103" t="s">
        <v>41</v>
      </c>
      <c r="W5103" t="s">
        <v>49</v>
      </c>
      <c r="X5103" t="str">
        <f>"1981912"</f>
        <v>1981912</v>
      </c>
      <c r="Y5103" t="s">
        <v>1279</v>
      </c>
      <c r="Z5103" t="s">
        <v>1268</v>
      </c>
      <c r="AA5103" t="s">
        <v>1269</v>
      </c>
      <c r="AB5103" t="s">
        <v>1270</v>
      </c>
      <c r="AC5103" t="s">
        <v>51</v>
      </c>
      <c r="AD5103" t="s">
        <v>45</v>
      </c>
      <c r="AE5103" s="1">
        <v>21362</v>
      </c>
      <c r="AF5103">
        <v>2</v>
      </c>
      <c r="AG5103" t="s">
        <v>1269</v>
      </c>
      <c r="AH5103" s="36">
        <f t="shared" si="79"/>
        <v>61.375</v>
      </c>
      <c r="AI5103" s="41" t="s">
        <v>1783</v>
      </c>
    </row>
    <row r="5104" spans="1:35" x14ac:dyDescent="0.25">
      <c r="A5104" s="36">
        <v>99915102</v>
      </c>
      <c r="B5104" s="17" t="s">
        <v>32</v>
      </c>
      <c r="C5104" t="s">
        <v>82</v>
      </c>
      <c r="D5104" t="s">
        <v>83</v>
      </c>
      <c r="G5104" s="17" t="s">
        <v>48</v>
      </c>
      <c r="H5104" s="17">
        <v>1</v>
      </c>
      <c r="K5104" t="s">
        <v>380</v>
      </c>
      <c r="L5104" t="s">
        <v>381</v>
      </c>
      <c r="M5104" t="s">
        <v>131</v>
      </c>
      <c r="N5104">
        <v>19</v>
      </c>
      <c r="O5104" t="s">
        <v>40</v>
      </c>
      <c r="P5104" t="s">
        <v>40</v>
      </c>
      <c r="Q5104" t="s">
        <v>40</v>
      </c>
      <c r="R5104" t="s">
        <v>40</v>
      </c>
      <c r="S5104" t="s">
        <v>40</v>
      </c>
      <c r="V5104" t="s">
        <v>41</v>
      </c>
      <c r="W5104" t="s">
        <v>42</v>
      </c>
      <c r="X5104" t="str">
        <f>"0590908"</f>
        <v>0590908</v>
      </c>
      <c r="Y5104" t="s">
        <v>382</v>
      </c>
      <c r="Z5104" t="s">
        <v>380</v>
      </c>
      <c r="AA5104" t="s">
        <v>381</v>
      </c>
      <c r="AB5104" t="s">
        <v>131</v>
      </c>
      <c r="AC5104" t="s">
        <v>51</v>
      </c>
      <c r="AD5104" t="s">
        <v>45</v>
      </c>
      <c r="AE5104" s="1">
        <v>21361</v>
      </c>
      <c r="AF5104">
        <v>2</v>
      </c>
      <c r="AG5104" t="s">
        <v>381</v>
      </c>
      <c r="AH5104" s="36">
        <f t="shared" si="79"/>
        <v>61.37777777777778</v>
      </c>
      <c r="AI5104" s="41" t="s">
        <v>1783</v>
      </c>
    </row>
    <row r="5105" spans="1:35" x14ac:dyDescent="0.25">
      <c r="A5105" s="36">
        <v>99915103</v>
      </c>
      <c r="B5105" s="17" t="s">
        <v>56</v>
      </c>
      <c r="C5105" t="s">
        <v>68</v>
      </c>
      <c r="D5105" t="s">
        <v>69</v>
      </c>
      <c r="G5105" s="17" t="s">
        <v>48</v>
      </c>
      <c r="H5105" s="17">
        <v>1</v>
      </c>
      <c r="K5105" t="s">
        <v>1268</v>
      </c>
      <c r="L5105" t="s">
        <v>1269</v>
      </c>
      <c r="M5105" t="s">
        <v>1270</v>
      </c>
      <c r="N5105">
        <v>5</v>
      </c>
      <c r="O5105" t="s">
        <v>40</v>
      </c>
      <c r="P5105" t="s">
        <v>40</v>
      </c>
      <c r="Q5105" t="s">
        <v>40</v>
      </c>
      <c r="S5105" t="s">
        <v>40</v>
      </c>
      <c r="V5105" t="s">
        <v>41</v>
      </c>
      <c r="W5105" t="s">
        <v>42</v>
      </c>
      <c r="X5105" t="str">
        <f>"1990911"</f>
        <v>1990911</v>
      </c>
      <c r="Y5105" t="s">
        <v>1276</v>
      </c>
      <c r="Z5105" t="s">
        <v>1268</v>
      </c>
      <c r="AA5105" t="s">
        <v>1269</v>
      </c>
      <c r="AB5105" t="s">
        <v>1270</v>
      </c>
      <c r="AC5105" t="s">
        <v>51</v>
      </c>
      <c r="AD5105" t="s">
        <v>45</v>
      </c>
      <c r="AE5105" s="1">
        <v>21361</v>
      </c>
      <c r="AF5105">
        <v>2</v>
      </c>
      <c r="AG5105" t="s">
        <v>1269</v>
      </c>
      <c r="AH5105" s="36">
        <f t="shared" si="79"/>
        <v>61.37777777777778</v>
      </c>
      <c r="AI5105" s="41" t="s">
        <v>1783</v>
      </c>
    </row>
    <row r="5106" spans="1:35" x14ac:dyDescent="0.25">
      <c r="A5106" s="36">
        <v>99915104</v>
      </c>
      <c r="B5106" s="17" t="s">
        <v>56</v>
      </c>
      <c r="C5106" t="s">
        <v>52</v>
      </c>
      <c r="D5106" t="s">
        <v>53</v>
      </c>
      <c r="G5106" s="17" t="s">
        <v>48</v>
      </c>
      <c r="H5106" s="17">
        <v>1</v>
      </c>
      <c r="K5106" t="s">
        <v>129</v>
      </c>
      <c r="L5106" t="s">
        <v>130</v>
      </c>
      <c r="M5106" t="s">
        <v>131</v>
      </c>
      <c r="N5106">
        <v>18</v>
      </c>
      <c r="O5106" t="s">
        <v>40</v>
      </c>
      <c r="P5106" t="s">
        <v>40</v>
      </c>
      <c r="Q5106" t="s">
        <v>40</v>
      </c>
      <c r="S5106" t="s">
        <v>40</v>
      </c>
      <c r="V5106" t="s">
        <v>41</v>
      </c>
      <c r="W5106" t="s">
        <v>42</v>
      </c>
      <c r="X5106" t="str">
        <f>"0590905"</f>
        <v>0590905</v>
      </c>
      <c r="Y5106" t="s">
        <v>133</v>
      </c>
      <c r="Z5106" t="s">
        <v>129</v>
      </c>
      <c r="AA5106" t="s">
        <v>130</v>
      </c>
      <c r="AB5106" t="s">
        <v>131</v>
      </c>
      <c r="AC5106" t="s">
        <v>51</v>
      </c>
      <c r="AD5106" t="s">
        <v>45</v>
      </c>
      <c r="AE5106" s="1">
        <v>21358</v>
      </c>
      <c r="AF5106">
        <v>2</v>
      </c>
      <c r="AG5106" t="s">
        <v>130</v>
      </c>
      <c r="AH5106" s="36">
        <f t="shared" si="79"/>
        <v>61.386111111111113</v>
      </c>
      <c r="AI5106" s="41" t="s">
        <v>1783</v>
      </c>
    </row>
    <row r="5107" spans="1:35" x14ac:dyDescent="0.25">
      <c r="A5107" s="36">
        <v>99915105</v>
      </c>
      <c r="B5107" s="17" t="s">
        <v>56</v>
      </c>
      <c r="C5107" t="s">
        <v>52</v>
      </c>
      <c r="D5107" t="s">
        <v>53</v>
      </c>
      <c r="G5107" s="17" t="s">
        <v>48</v>
      </c>
      <c r="H5107" s="17">
        <v>1</v>
      </c>
      <c r="K5107" t="s">
        <v>223</v>
      </c>
      <c r="L5107" t="s">
        <v>224</v>
      </c>
      <c r="M5107" t="s">
        <v>131</v>
      </c>
      <c r="N5107">
        <v>14</v>
      </c>
      <c r="O5107" t="s">
        <v>40</v>
      </c>
      <c r="P5107" t="s">
        <v>40</v>
      </c>
      <c r="Q5107" t="s">
        <v>40</v>
      </c>
      <c r="S5107" t="s">
        <v>40</v>
      </c>
      <c r="V5107" t="s">
        <v>41</v>
      </c>
      <c r="W5107" t="s">
        <v>49</v>
      </c>
      <c r="X5107" t="str">
        <f>"0581202"</f>
        <v>0581202</v>
      </c>
      <c r="Y5107" t="s">
        <v>248</v>
      </c>
      <c r="Z5107" t="s">
        <v>223</v>
      </c>
      <c r="AA5107" t="s">
        <v>224</v>
      </c>
      <c r="AB5107" t="s">
        <v>131</v>
      </c>
      <c r="AC5107" t="s">
        <v>165</v>
      </c>
      <c r="AD5107" t="s">
        <v>45</v>
      </c>
      <c r="AE5107" s="1">
        <v>21347</v>
      </c>
      <c r="AF5107">
        <v>2</v>
      </c>
      <c r="AG5107" t="s">
        <v>224</v>
      </c>
      <c r="AH5107" s="36">
        <f t="shared" si="79"/>
        <v>61.416666666666664</v>
      </c>
      <c r="AI5107" s="41" t="s">
        <v>1783</v>
      </c>
    </row>
    <row r="5108" spans="1:35" x14ac:dyDescent="0.25">
      <c r="A5108" s="36">
        <v>99915106</v>
      </c>
      <c r="B5108" s="17" t="s">
        <v>32</v>
      </c>
      <c r="C5108" t="s">
        <v>52</v>
      </c>
      <c r="D5108" t="s">
        <v>53</v>
      </c>
      <c r="G5108" s="17" t="s">
        <v>48</v>
      </c>
      <c r="H5108" s="17">
        <v>14</v>
      </c>
      <c r="K5108" t="s">
        <v>1268</v>
      </c>
      <c r="L5108" t="s">
        <v>1269</v>
      </c>
      <c r="M5108" t="s">
        <v>1270</v>
      </c>
      <c r="N5108">
        <v>18</v>
      </c>
      <c r="O5108" t="s">
        <v>40</v>
      </c>
      <c r="P5108" t="s">
        <v>40</v>
      </c>
      <c r="Q5108" t="s">
        <v>40</v>
      </c>
      <c r="R5108" t="s">
        <v>40</v>
      </c>
      <c r="S5108" t="s">
        <v>40</v>
      </c>
      <c r="V5108" t="s">
        <v>41</v>
      </c>
      <c r="W5108" t="s">
        <v>49</v>
      </c>
      <c r="X5108" t="str">
        <f>"1960001"</f>
        <v>1960001</v>
      </c>
      <c r="Y5108" t="s">
        <v>1272</v>
      </c>
      <c r="Z5108" t="s">
        <v>1268</v>
      </c>
      <c r="AA5108" t="s">
        <v>1269</v>
      </c>
      <c r="AB5108" t="s">
        <v>1270</v>
      </c>
      <c r="AC5108" t="s">
        <v>51</v>
      </c>
      <c r="AD5108" t="s">
        <v>45</v>
      </c>
      <c r="AE5108" s="1">
        <v>21338</v>
      </c>
      <c r="AF5108">
        <v>2</v>
      </c>
      <c r="AG5108" t="s">
        <v>1269</v>
      </c>
      <c r="AH5108" s="36">
        <f t="shared" si="79"/>
        <v>61.44166666666667</v>
      </c>
      <c r="AI5108" s="41" t="s">
        <v>1783</v>
      </c>
    </row>
    <row r="5109" spans="1:35" x14ac:dyDescent="0.25">
      <c r="A5109" s="36">
        <v>99915107</v>
      </c>
      <c r="B5109" s="17" t="s">
        <v>56</v>
      </c>
      <c r="C5109" t="s">
        <v>111</v>
      </c>
      <c r="D5109" t="s">
        <v>112</v>
      </c>
      <c r="G5109" s="17" t="s">
        <v>35</v>
      </c>
      <c r="H5109" s="17">
        <v>1</v>
      </c>
      <c r="K5109" t="s">
        <v>1341</v>
      </c>
      <c r="L5109" t="s">
        <v>1342</v>
      </c>
      <c r="M5109" t="s">
        <v>1270</v>
      </c>
      <c r="N5109">
        <v>21</v>
      </c>
      <c r="O5109" t="s">
        <v>40</v>
      </c>
      <c r="P5109" t="s">
        <v>40</v>
      </c>
      <c r="Q5109" t="s">
        <v>40</v>
      </c>
      <c r="S5109" t="s">
        <v>40</v>
      </c>
      <c r="V5109" t="s">
        <v>41</v>
      </c>
      <c r="W5109" t="s">
        <v>75</v>
      </c>
      <c r="X5109" t="str">
        <f>"7191006"</f>
        <v>7191006</v>
      </c>
      <c r="Y5109" t="s">
        <v>1351</v>
      </c>
      <c r="Z5109" t="s">
        <v>1341</v>
      </c>
      <c r="AA5109" t="s">
        <v>1342</v>
      </c>
      <c r="AB5109" t="s">
        <v>1270</v>
      </c>
      <c r="AC5109" t="s">
        <v>51</v>
      </c>
      <c r="AD5109" t="s">
        <v>45</v>
      </c>
      <c r="AE5109" s="1">
        <v>21333</v>
      </c>
      <c r="AF5109">
        <v>1</v>
      </c>
      <c r="AG5109" t="s">
        <v>1342</v>
      </c>
      <c r="AH5109" s="36">
        <f t="shared" si="79"/>
        <v>61.455555555555556</v>
      </c>
      <c r="AI5109" s="41" t="s">
        <v>1783</v>
      </c>
    </row>
    <row r="5110" spans="1:35" x14ac:dyDescent="0.25">
      <c r="A5110" s="36">
        <v>99915108</v>
      </c>
      <c r="B5110" s="17" t="s">
        <v>56</v>
      </c>
      <c r="C5110" t="s">
        <v>85</v>
      </c>
      <c r="D5110" t="s">
        <v>86</v>
      </c>
      <c r="G5110" s="17" t="s">
        <v>48</v>
      </c>
      <c r="H5110" s="17">
        <v>1</v>
      </c>
      <c r="K5110" t="s">
        <v>223</v>
      </c>
      <c r="L5110" t="s">
        <v>224</v>
      </c>
      <c r="M5110" t="s">
        <v>131</v>
      </c>
      <c r="N5110">
        <v>18</v>
      </c>
      <c r="O5110" t="s">
        <v>40</v>
      </c>
      <c r="P5110" t="s">
        <v>40</v>
      </c>
      <c r="Q5110" t="s">
        <v>40</v>
      </c>
      <c r="R5110" t="s">
        <v>40</v>
      </c>
      <c r="S5110" t="s">
        <v>40</v>
      </c>
      <c r="V5110" t="s">
        <v>41</v>
      </c>
      <c r="W5110" t="s">
        <v>42</v>
      </c>
      <c r="X5110" t="str">
        <f>"0580200"</f>
        <v>0580200</v>
      </c>
      <c r="Y5110" t="s">
        <v>245</v>
      </c>
      <c r="Z5110" t="s">
        <v>223</v>
      </c>
      <c r="AA5110" t="s">
        <v>224</v>
      </c>
      <c r="AB5110" t="s">
        <v>131</v>
      </c>
      <c r="AC5110" t="s">
        <v>51</v>
      </c>
      <c r="AD5110" t="s">
        <v>45</v>
      </c>
      <c r="AE5110" s="1">
        <v>21325</v>
      </c>
      <c r="AF5110">
        <v>2</v>
      </c>
      <c r="AG5110" t="s">
        <v>224</v>
      </c>
      <c r="AH5110" s="36">
        <f t="shared" si="79"/>
        <v>61.477777777777774</v>
      </c>
      <c r="AI5110" s="41" t="s">
        <v>1783</v>
      </c>
    </row>
    <row r="5111" spans="1:35" x14ac:dyDescent="0.25">
      <c r="A5111" s="36">
        <v>99915109</v>
      </c>
      <c r="B5111" s="17" t="s">
        <v>56</v>
      </c>
      <c r="C5111" t="s">
        <v>33</v>
      </c>
      <c r="D5111" t="s">
        <v>34</v>
      </c>
      <c r="G5111" s="17" t="s">
        <v>48</v>
      </c>
      <c r="H5111" s="17">
        <v>1</v>
      </c>
      <c r="K5111" t="s">
        <v>157</v>
      </c>
      <c r="L5111" t="s">
        <v>158</v>
      </c>
      <c r="M5111" t="s">
        <v>131</v>
      </c>
      <c r="N5111">
        <v>18</v>
      </c>
      <c r="O5111" t="s">
        <v>40</v>
      </c>
      <c r="P5111" t="s">
        <v>40</v>
      </c>
      <c r="Q5111" t="s">
        <v>40</v>
      </c>
      <c r="S5111" t="s">
        <v>40</v>
      </c>
      <c r="V5111" t="s">
        <v>41</v>
      </c>
      <c r="W5111" t="s">
        <v>42</v>
      </c>
      <c r="X5111" t="str">
        <f>"0580290"</f>
        <v>0580290</v>
      </c>
      <c r="Y5111" t="s">
        <v>171</v>
      </c>
      <c r="Z5111" t="s">
        <v>157</v>
      </c>
      <c r="AA5111" t="s">
        <v>158</v>
      </c>
      <c r="AB5111" t="s">
        <v>131</v>
      </c>
      <c r="AC5111" t="s">
        <v>51</v>
      </c>
      <c r="AD5111" t="s">
        <v>45</v>
      </c>
      <c r="AE5111" s="1">
        <v>21318</v>
      </c>
      <c r="AF5111">
        <v>2</v>
      </c>
      <c r="AG5111" t="s">
        <v>158</v>
      </c>
      <c r="AH5111" s="36">
        <f t="shared" si="79"/>
        <v>61.49722222222222</v>
      </c>
      <c r="AI5111" s="41" t="s">
        <v>1783</v>
      </c>
    </row>
    <row r="5112" spans="1:35" x14ac:dyDescent="0.25">
      <c r="A5112" s="36">
        <v>99915110</v>
      </c>
      <c r="B5112" s="17" t="s">
        <v>32</v>
      </c>
      <c r="C5112" t="s">
        <v>141</v>
      </c>
      <c r="D5112" t="s">
        <v>142</v>
      </c>
      <c r="G5112" s="17" t="s">
        <v>48</v>
      </c>
      <c r="H5112" s="17">
        <v>1</v>
      </c>
      <c r="K5112" t="s">
        <v>157</v>
      </c>
      <c r="L5112" t="s">
        <v>158</v>
      </c>
      <c r="M5112" t="s">
        <v>131</v>
      </c>
      <c r="N5112">
        <v>15</v>
      </c>
      <c r="O5112" t="s">
        <v>40</v>
      </c>
      <c r="P5112" t="s">
        <v>40</v>
      </c>
      <c r="Q5112" t="s">
        <v>40</v>
      </c>
      <c r="R5112" t="s">
        <v>40</v>
      </c>
      <c r="S5112" t="s">
        <v>40</v>
      </c>
      <c r="V5112" t="s">
        <v>41</v>
      </c>
      <c r="W5112" t="s">
        <v>49</v>
      </c>
      <c r="X5112" t="str">
        <f>"0560006"</f>
        <v>0560006</v>
      </c>
      <c r="Y5112" t="s">
        <v>191</v>
      </c>
      <c r="Z5112" t="s">
        <v>157</v>
      </c>
      <c r="AA5112" t="s">
        <v>158</v>
      </c>
      <c r="AB5112" t="s">
        <v>131</v>
      </c>
      <c r="AC5112" t="s">
        <v>51</v>
      </c>
      <c r="AD5112" t="s">
        <v>45</v>
      </c>
      <c r="AE5112" s="1">
        <v>21314</v>
      </c>
      <c r="AF5112">
        <v>2</v>
      </c>
      <c r="AG5112" t="s">
        <v>158</v>
      </c>
      <c r="AH5112" s="36">
        <f t="shared" si="79"/>
        <v>61.508333333333333</v>
      </c>
      <c r="AI5112" s="41" t="s">
        <v>1783</v>
      </c>
    </row>
    <row r="5113" spans="1:35" x14ac:dyDescent="0.25">
      <c r="A5113" s="36">
        <v>99915111</v>
      </c>
      <c r="B5113" s="17" t="s">
        <v>32</v>
      </c>
      <c r="C5113" t="s">
        <v>64</v>
      </c>
      <c r="D5113" t="s">
        <v>65</v>
      </c>
      <c r="G5113" s="17" t="s">
        <v>48</v>
      </c>
      <c r="H5113" s="17">
        <v>1</v>
      </c>
      <c r="K5113" t="s">
        <v>223</v>
      </c>
      <c r="L5113" t="s">
        <v>224</v>
      </c>
      <c r="M5113" t="s">
        <v>131</v>
      </c>
      <c r="N5113">
        <v>18</v>
      </c>
      <c r="O5113" t="s">
        <v>40</v>
      </c>
      <c r="P5113" t="s">
        <v>40</v>
      </c>
      <c r="Q5113" t="s">
        <v>40</v>
      </c>
      <c r="S5113" t="s">
        <v>40</v>
      </c>
      <c r="V5113" t="s">
        <v>41</v>
      </c>
      <c r="W5113" t="s">
        <v>49</v>
      </c>
      <c r="X5113" t="str">
        <f>"0509999"</f>
        <v>0509999</v>
      </c>
      <c r="Y5113" t="s">
        <v>247</v>
      </c>
      <c r="Z5113" t="s">
        <v>223</v>
      </c>
      <c r="AA5113" t="s">
        <v>224</v>
      </c>
      <c r="AB5113" t="s">
        <v>131</v>
      </c>
      <c r="AC5113" t="s">
        <v>51</v>
      </c>
      <c r="AD5113" t="s">
        <v>45</v>
      </c>
      <c r="AE5113" s="1">
        <v>21299</v>
      </c>
      <c r="AF5113">
        <v>2</v>
      </c>
      <c r="AG5113" t="s">
        <v>224</v>
      </c>
      <c r="AH5113" s="36">
        <f t="shared" si="79"/>
        <v>61.55</v>
      </c>
      <c r="AI5113" s="41" t="s">
        <v>1783</v>
      </c>
    </row>
    <row r="5114" spans="1:35" x14ac:dyDescent="0.25">
      <c r="A5114" s="36">
        <v>99915112</v>
      </c>
      <c r="B5114" s="17" t="s">
        <v>32</v>
      </c>
      <c r="C5114" t="s">
        <v>143</v>
      </c>
      <c r="D5114" t="s">
        <v>144</v>
      </c>
      <c r="G5114" s="17" t="s">
        <v>48</v>
      </c>
      <c r="H5114" s="17">
        <v>1</v>
      </c>
      <c r="K5114" t="s">
        <v>345</v>
      </c>
      <c r="L5114" t="s">
        <v>346</v>
      </c>
      <c r="M5114" t="s">
        <v>131</v>
      </c>
      <c r="N5114">
        <v>23</v>
      </c>
      <c r="O5114" t="s">
        <v>40</v>
      </c>
      <c r="P5114" t="s">
        <v>40</v>
      </c>
      <c r="Q5114" t="s">
        <v>40</v>
      </c>
      <c r="R5114" t="s">
        <v>40</v>
      </c>
      <c r="S5114" t="s">
        <v>40</v>
      </c>
      <c r="V5114" t="s">
        <v>41</v>
      </c>
      <c r="W5114" t="s">
        <v>49</v>
      </c>
      <c r="X5114" t="str">
        <f>"0560004"</f>
        <v>0560004</v>
      </c>
      <c r="Y5114" t="s">
        <v>371</v>
      </c>
      <c r="Z5114" t="s">
        <v>345</v>
      </c>
      <c r="AA5114" t="s">
        <v>346</v>
      </c>
      <c r="AB5114" t="s">
        <v>131</v>
      </c>
      <c r="AC5114" t="s">
        <v>51</v>
      </c>
      <c r="AD5114" t="s">
        <v>45</v>
      </c>
      <c r="AE5114" s="1">
        <v>21298</v>
      </c>
      <c r="AF5114">
        <v>2</v>
      </c>
      <c r="AG5114" t="s">
        <v>346</v>
      </c>
      <c r="AH5114" s="36">
        <f t="shared" si="79"/>
        <v>61.552777777777777</v>
      </c>
      <c r="AI5114" s="41" t="s">
        <v>1783</v>
      </c>
    </row>
    <row r="5115" spans="1:35" x14ac:dyDescent="0.25">
      <c r="A5115" s="36">
        <v>99915113</v>
      </c>
      <c r="B5115" s="17" t="s">
        <v>32</v>
      </c>
      <c r="C5115" t="s">
        <v>90</v>
      </c>
      <c r="D5115" t="s">
        <v>91</v>
      </c>
      <c r="G5115" s="17" t="s">
        <v>35</v>
      </c>
      <c r="H5115" s="17">
        <v>1</v>
      </c>
      <c r="I5115">
        <v>149653</v>
      </c>
      <c r="J5115" s="1">
        <v>43344</v>
      </c>
      <c r="K5115" t="s">
        <v>354</v>
      </c>
      <c r="L5115" t="s">
        <v>355</v>
      </c>
      <c r="M5115" t="s">
        <v>131</v>
      </c>
      <c r="N5115">
        <v>25</v>
      </c>
      <c r="O5115" t="s">
        <v>40</v>
      </c>
      <c r="S5115" t="s">
        <v>40</v>
      </c>
      <c r="U5115" s="1">
        <v>43344</v>
      </c>
      <c r="V5115" t="s">
        <v>41</v>
      </c>
      <c r="W5115" t="s">
        <v>95</v>
      </c>
      <c r="X5115" t="str">
        <f>"7054023"</f>
        <v>7054023</v>
      </c>
      <c r="Y5115" t="s">
        <v>836</v>
      </c>
      <c r="Z5115" t="s">
        <v>354</v>
      </c>
      <c r="AA5115" t="s">
        <v>355</v>
      </c>
      <c r="AB5115" t="s">
        <v>131</v>
      </c>
      <c r="AC5115" t="s">
        <v>51</v>
      </c>
      <c r="AD5115" t="s">
        <v>45</v>
      </c>
      <c r="AE5115" s="1">
        <v>21286</v>
      </c>
      <c r="AF5115">
        <v>1</v>
      </c>
      <c r="AG5115" t="s">
        <v>355</v>
      </c>
      <c r="AH5115" s="36">
        <f t="shared" si="79"/>
        <v>61.586111111111109</v>
      </c>
      <c r="AI5115" s="41" t="s">
        <v>1783</v>
      </c>
    </row>
    <row r="5116" spans="1:35" x14ac:dyDescent="0.25">
      <c r="A5116" s="36">
        <v>99915114</v>
      </c>
      <c r="B5116" s="17" t="s">
        <v>32</v>
      </c>
      <c r="C5116" t="s">
        <v>64</v>
      </c>
      <c r="D5116" t="s">
        <v>65</v>
      </c>
      <c r="G5116" s="17" t="s">
        <v>48</v>
      </c>
      <c r="H5116" s="17">
        <v>1</v>
      </c>
      <c r="K5116" t="s">
        <v>157</v>
      </c>
      <c r="L5116" t="s">
        <v>158</v>
      </c>
      <c r="M5116" t="s">
        <v>131</v>
      </c>
      <c r="N5116">
        <v>21</v>
      </c>
      <c r="O5116" t="s">
        <v>40</v>
      </c>
      <c r="P5116" t="s">
        <v>40</v>
      </c>
      <c r="Q5116" t="s">
        <v>40</v>
      </c>
      <c r="S5116" t="s">
        <v>40</v>
      </c>
      <c r="V5116" t="s">
        <v>41</v>
      </c>
      <c r="W5116" t="s">
        <v>49</v>
      </c>
      <c r="X5116" t="str">
        <f>"0560019"</f>
        <v>0560019</v>
      </c>
      <c r="Y5116" t="s">
        <v>166</v>
      </c>
      <c r="Z5116" t="s">
        <v>157</v>
      </c>
      <c r="AA5116" t="s">
        <v>158</v>
      </c>
      <c r="AB5116" t="s">
        <v>131</v>
      </c>
      <c r="AC5116" t="s">
        <v>51</v>
      </c>
      <c r="AD5116" t="s">
        <v>45</v>
      </c>
      <c r="AE5116" s="1">
        <v>21282</v>
      </c>
      <c r="AF5116">
        <v>2</v>
      </c>
      <c r="AG5116" t="s">
        <v>158</v>
      </c>
      <c r="AH5116" s="36">
        <f t="shared" si="79"/>
        <v>61.597222222222221</v>
      </c>
      <c r="AI5116" s="41" t="s">
        <v>1783</v>
      </c>
    </row>
    <row r="5117" spans="1:35" x14ac:dyDescent="0.25">
      <c r="A5117" s="36">
        <v>99915115</v>
      </c>
      <c r="B5117" s="17" t="s">
        <v>56</v>
      </c>
      <c r="C5117" t="s">
        <v>68</v>
      </c>
      <c r="D5117" t="s">
        <v>69</v>
      </c>
      <c r="G5117" s="17" t="s">
        <v>48</v>
      </c>
      <c r="H5117" s="17">
        <v>1</v>
      </c>
      <c r="K5117" t="s">
        <v>162</v>
      </c>
      <c r="L5117" t="s">
        <v>158</v>
      </c>
      <c r="M5117" t="s">
        <v>131</v>
      </c>
      <c r="N5117">
        <v>20</v>
      </c>
      <c r="O5117" t="s">
        <v>40</v>
      </c>
      <c r="P5117" t="s">
        <v>40</v>
      </c>
      <c r="Q5117" t="s">
        <v>40</v>
      </c>
      <c r="R5117" t="s">
        <v>40</v>
      </c>
      <c r="S5117" t="s">
        <v>40</v>
      </c>
      <c r="V5117" t="s">
        <v>41</v>
      </c>
      <c r="W5117" t="s">
        <v>49</v>
      </c>
      <c r="X5117" t="str">
        <f>"0560003"</f>
        <v>0560003</v>
      </c>
      <c r="Y5117" t="s">
        <v>181</v>
      </c>
      <c r="Z5117" t="s">
        <v>162</v>
      </c>
      <c r="AA5117" t="s">
        <v>158</v>
      </c>
      <c r="AB5117" t="s">
        <v>131</v>
      </c>
      <c r="AC5117" t="s">
        <v>51</v>
      </c>
      <c r="AD5117" t="s">
        <v>45</v>
      </c>
      <c r="AE5117" s="1">
        <v>21272</v>
      </c>
      <c r="AF5117">
        <v>2</v>
      </c>
      <c r="AG5117" t="s">
        <v>158</v>
      </c>
      <c r="AH5117" s="36">
        <f t="shared" si="79"/>
        <v>61.625</v>
      </c>
      <c r="AI5117" s="41" t="s">
        <v>1783</v>
      </c>
    </row>
    <row r="5118" spans="1:35" x14ac:dyDescent="0.25">
      <c r="A5118" s="36">
        <v>99915116</v>
      </c>
      <c r="B5118" s="17" t="s">
        <v>56</v>
      </c>
      <c r="C5118" t="s">
        <v>141</v>
      </c>
      <c r="D5118" t="s">
        <v>142</v>
      </c>
      <c r="G5118" s="17" t="s">
        <v>35</v>
      </c>
      <c r="H5118" s="17">
        <v>1</v>
      </c>
      <c r="K5118" t="s">
        <v>354</v>
      </c>
      <c r="L5118" t="s">
        <v>355</v>
      </c>
      <c r="M5118" t="s">
        <v>131</v>
      </c>
      <c r="N5118">
        <v>19</v>
      </c>
      <c r="O5118" t="s">
        <v>40</v>
      </c>
      <c r="P5118" t="s">
        <v>40</v>
      </c>
      <c r="Q5118" t="s">
        <v>40</v>
      </c>
      <c r="R5118" t="s">
        <v>40</v>
      </c>
      <c r="S5118" t="s">
        <v>40</v>
      </c>
      <c r="V5118" t="s">
        <v>41</v>
      </c>
      <c r="W5118" t="s">
        <v>75</v>
      </c>
      <c r="X5118" t="str">
        <f>"7054006"</f>
        <v>7054006</v>
      </c>
      <c r="Y5118" t="s">
        <v>774</v>
      </c>
      <c r="Z5118" t="s">
        <v>354</v>
      </c>
      <c r="AA5118" t="s">
        <v>355</v>
      </c>
      <c r="AB5118" t="s">
        <v>131</v>
      </c>
      <c r="AC5118" t="s">
        <v>51</v>
      </c>
      <c r="AD5118" t="s">
        <v>45</v>
      </c>
      <c r="AE5118" s="1">
        <v>21272</v>
      </c>
      <c r="AF5118">
        <v>1</v>
      </c>
      <c r="AG5118" t="s">
        <v>355</v>
      </c>
      <c r="AH5118" s="36">
        <f t="shared" si="79"/>
        <v>61.625</v>
      </c>
      <c r="AI5118" s="41" t="s">
        <v>1783</v>
      </c>
    </row>
    <row r="5119" spans="1:35" x14ac:dyDescent="0.25">
      <c r="A5119" s="36">
        <v>99915117</v>
      </c>
      <c r="B5119" s="17" t="s">
        <v>56</v>
      </c>
      <c r="C5119" t="s">
        <v>52</v>
      </c>
      <c r="D5119" t="s">
        <v>53</v>
      </c>
      <c r="G5119" s="17" t="s">
        <v>35</v>
      </c>
      <c r="H5119" s="17">
        <v>1</v>
      </c>
      <c r="I5119">
        <v>6983</v>
      </c>
      <c r="J5119" s="1">
        <v>43344</v>
      </c>
      <c r="K5119" t="s">
        <v>1306</v>
      </c>
      <c r="L5119" t="s">
        <v>1307</v>
      </c>
      <c r="M5119" t="s">
        <v>1270</v>
      </c>
      <c r="N5119">
        <v>21</v>
      </c>
      <c r="O5119" t="s">
        <v>40</v>
      </c>
      <c r="P5119" t="s">
        <v>40</v>
      </c>
      <c r="Q5119" t="s">
        <v>40</v>
      </c>
      <c r="R5119" t="s">
        <v>40</v>
      </c>
      <c r="S5119" t="s">
        <v>40</v>
      </c>
      <c r="U5119" s="1">
        <v>43344</v>
      </c>
      <c r="V5119" t="s">
        <v>41</v>
      </c>
      <c r="W5119" t="s">
        <v>42</v>
      </c>
      <c r="X5119" t="str">
        <f>"1990915"</f>
        <v>1990915</v>
      </c>
      <c r="Y5119" t="s">
        <v>1308</v>
      </c>
      <c r="Z5119" t="s">
        <v>1306</v>
      </c>
      <c r="AA5119" t="s">
        <v>1307</v>
      </c>
      <c r="AB5119" t="s">
        <v>1270</v>
      </c>
      <c r="AC5119" t="s">
        <v>51</v>
      </c>
      <c r="AD5119" t="s">
        <v>45</v>
      </c>
      <c r="AE5119" s="1">
        <v>21264</v>
      </c>
      <c r="AF5119">
        <v>2</v>
      </c>
      <c r="AG5119" t="s">
        <v>1307</v>
      </c>
      <c r="AH5119" s="36">
        <f t="shared" si="79"/>
        <v>61.647222222222226</v>
      </c>
      <c r="AI5119" s="41" t="s">
        <v>1783</v>
      </c>
    </row>
    <row r="5120" spans="1:35" x14ac:dyDescent="0.25">
      <c r="A5120" s="36">
        <v>99915118</v>
      </c>
      <c r="B5120" s="17" t="s">
        <v>32</v>
      </c>
      <c r="C5120" t="s">
        <v>64</v>
      </c>
      <c r="D5120" t="s">
        <v>65</v>
      </c>
      <c r="G5120" s="17" t="s">
        <v>48</v>
      </c>
      <c r="H5120" s="17">
        <v>11</v>
      </c>
      <c r="I5120" t="s">
        <v>210</v>
      </c>
      <c r="J5120" s="1">
        <v>37500</v>
      </c>
      <c r="K5120" t="s">
        <v>157</v>
      </c>
      <c r="L5120" t="s">
        <v>158</v>
      </c>
      <c r="M5120" t="s">
        <v>131</v>
      </c>
      <c r="N5120">
        <v>20</v>
      </c>
      <c r="O5120" t="s">
        <v>40</v>
      </c>
      <c r="P5120" t="s">
        <v>40</v>
      </c>
      <c r="Q5120" t="s">
        <v>40</v>
      </c>
      <c r="R5120" t="s">
        <v>40</v>
      </c>
      <c r="S5120" t="s">
        <v>40</v>
      </c>
      <c r="U5120" s="1">
        <v>37500</v>
      </c>
      <c r="V5120" t="s">
        <v>41</v>
      </c>
      <c r="W5120" t="s">
        <v>49</v>
      </c>
      <c r="X5120" t="str">
        <f>"0560006"</f>
        <v>0560006</v>
      </c>
      <c r="Y5120" t="s">
        <v>191</v>
      </c>
      <c r="Z5120" t="s">
        <v>157</v>
      </c>
      <c r="AA5120" t="s">
        <v>158</v>
      </c>
      <c r="AB5120" t="s">
        <v>131</v>
      </c>
      <c r="AC5120" t="s">
        <v>51</v>
      </c>
      <c r="AD5120" t="s">
        <v>45</v>
      </c>
      <c r="AE5120" s="1">
        <v>21259</v>
      </c>
      <c r="AF5120">
        <v>2</v>
      </c>
      <c r="AG5120" t="s">
        <v>158</v>
      </c>
      <c r="AH5120" s="36">
        <f t="shared" si="79"/>
        <v>61.661111111111111</v>
      </c>
      <c r="AI5120" s="41" t="s">
        <v>1783</v>
      </c>
    </row>
    <row r="5121" spans="1:35" x14ac:dyDescent="0.25">
      <c r="A5121" s="36">
        <v>99915119</v>
      </c>
      <c r="B5121" s="17" t="s">
        <v>32</v>
      </c>
      <c r="C5121" t="s">
        <v>82</v>
      </c>
      <c r="D5121" t="s">
        <v>83</v>
      </c>
      <c r="G5121" s="17" t="s">
        <v>48</v>
      </c>
      <c r="H5121" s="17">
        <v>1</v>
      </c>
      <c r="K5121" t="s">
        <v>223</v>
      </c>
      <c r="L5121" t="s">
        <v>224</v>
      </c>
      <c r="M5121" t="s">
        <v>131</v>
      </c>
      <c r="N5121">
        <v>10</v>
      </c>
      <c r="O5121" t="s">
        <v>40</v>
      </c>
      <c r="P5121" t="s">
        <v>40</v>
      </c>
      <c r="Q5121" t="s">
        <v>40</v>
      </c>
      <c r="R5121" t="s">
        <v>40</v>
      </c>
      <c r="S5121" t="s">
        <v>40</v>
      </c>
      <c r="V5121" t="s">
        <v>41</v>
      </c>
      <c r="W5121" t="s">
        <v>49</v>
      </c>
      <c r="X5121" t="str">
        <f>"0581204"</f>
        <v>0581204</v>
      </c>
      <c r="Y5121" t="s">
        <v>249</v>
      </c>
      <c r="Z5121" t="s">
        <v>223</v>
      </c>
      <c r="AA5121" t="s">
        <v>224</v>
      </c>
      <c r="AB5121" t="s">
        <v>131</v>
      </c>
      <c r="AC5121" t="s">
        <v>165</v>
      </c>
      <c r="AD5121" t="s">
        <v>45</v>
      </c>
      <c r="AE5121" s="1">
        <v>21258</v>
      </c>
      <c r="AF5121">
        <v>2</v>
      </c>
      <c r="AG5121" t="s">
        <v>224</v>
      </c>
      <c r="AH5121" s="36">
        <f t="shared" si="79"/>
        <v>61.663888888888891</v>
      </c>
      <c r="AI5121" s="41" t="s">
        <v>1783</v>
      </c>
    </row>
    <row r="5122" spans="1:35" x14ac:dyDescent="0.25">
      <c r="A5122" s="36">
        <v>99915120</v>
      </c>
      <c r="B5122" s="17" t="s">
        <v>32</v>
      </c>
      <c r="C5122" t="s">
        <v>79</v>
      </c>
      <c r="D5122" t="s">
        <v>80</v>
      </c>
      <c r="G5122" s="17" t="s">
        <v>48</v>
      </c>
      <c r="H5122" s="17">
        <v>1</v>
      </c>
      <c r="K5122" t="s">
        <v>1187</v>
      </c>
      <c r="L5122" t="s">
        <v>1188</v>
      </c>
      <c r="M5122" t="s">
        <v>1130</v>
      </c>
      <c r="N5122">
        <v>18</v>
      </c>
      <c r="O5122" t="s">
        <v>40</v>
      </c>
      <c r="P5122" t="s">
        <v>40</v>
      </c>
      <c r="Q5122" t="s">
        <v>40</v>
      </c>
      <c r="R5122" t="s">
        <v>40</v>
      </c>
      <c r="S5122" t="s">
        <v>40</v>
      </c>
      <c r="V5122" t="s">
        <v>41</v>
      </c>
      <c r="W5122" t="s">
        <v>49</v>
      </c>
      <c r="X5122" t="str">
        <f>"4581015"</f>
        <v>4581015</v>
      </c>
      <c r="Y5122" t="s">
        <v>1190</v>
      </c>
      <c r="Z5122" t="s">
        <v>1187</v>
      </c>
      <c r="AA5122" t="s">
        <v>1188</v>
      </c>
      <c r="AB5122" t="s">
        <v>1130</v>
      </c>
      <c r="AC5122" t="s">
        <v>51</v>
      </c>
      <c r="AD5122" t="s">
        <v>45</v>
      </c>
      <c r="AE5122" s="1">
        <v>21244</v>
      </c>
      <c r="AF5122">
        <v>2</v>
      </c>
      <c r="AG5122" t="s">
        <v>1188</v>
      </c>
      <c r="AH5122" s="36">
        <f t="shared" ref="AH5122:AH5185" si="80">($AJ$1-AE5122)/360</f>
        <v>61.702777777777776</v>
      </c>
      <c r="AI5122" s="41" t="s">
        <v>1783</v>
      </c>
    </row>
    <row r="5123" spans="1:35" x14ac:dyDescent="0.25">
      <c r="A5123" s="36">
        <v>99915121</v>
      </c>
      <c r="B5123" s="17" t="s">
        <v>56</v>
      </c>
      <c r="C5123" t="s">
        <v>68</v>
      </c>
      <c r="D5123" t="s">
        <v>69</v>
      </c>
      <c r="G5123" s="17" t="s">
        <v>48</v>
      </c>
      <c r="H5123" s="17">
        <v>1</v>
      </c>
      <c r="K5123" t="s">
        <v>300</v>
      </c>
      <c r="L5123" t="s">
        <v>301</v>
      </c>
      <c r="M5123" t="s">
        <v>131</v>
      </c>
      <c r="N5123">
        <v>17</v>
      </c>
      <c r="O5123" t="s">
        <v>40</v>
      </c>
      <c r="P5123" t="s">
        <v>40</v>
      </c>
      <c r="Q5123" t="s">
        <v>40</v>
      </c>
      <c r="R5123" t="s">
        <v>40</v>
      </c>
      <c r="S5123" t="s">
        <v>40</v>
      </c>
      <c r="V5123" t="s">
        <v>41</v>
      </c>
      <c r="W5123" t="s">
        <v>42</v>
      </c>
      <c r="X5123" t="str">
        <f>"0580176"</f>
        <v>0580176</v>
      </c>
      <c r="Y5123" t="s">
        <v>305</v>
      </c>
      <c r="Z5123" t="s">
        <v>300</v>
      </c>
      <c r="AA5123" t="s">
        <v>301</v>
      </c>
      <c r="AB5123" t="s">
        <v>131</v>
      </c>
      <c r="AC5123" t="s">
        <v>51</v>
      </c>
      <c r="AD5123" t="s">
        <v>45</v>
      </c>
      <c r="AE5123" s="1">
        <v>21232</v>
      </c>
      <c r="AF5123">
        <v>2</v>
      </c>
      <c r="AG5123" t="s">
        <v>301</v>
      </c>
      <c r="AH5123" s="36">
        <f t="shared" si="80"/>
        <v>61.736111111111114</v>
      </c>
      <c r="AI5123" s="41" t="s">
        <v>1783</v>
      </c>
    </row>
    <row r="5124" spans="1:35" x14ac:dyDescent="0.25">
      <c r="A5124" s="36">
        <v>99915122</v>
      </c>
      <c r="B5124" s="17" t="s">
        <v>56</v>
      </c>
      <c r="C5124" t="s">
        <v>141</v>
      </c>
      <c r="D5124" t="s">
        <v>142</v>
      </c>
      <c r="G5124" s="17" t="s">
        <v>48</v>
      </c>
      <c r="H5124" s="17">
        <v>17</v>
      </c>
      <c r="K5124" t="s">
        <v>1268</v>
      </c>
      <c r="L5124" t="s">
        <v>1269</v>
      </c>
      <c r="M5124" t="s">
        <v>1270</v>
      </c>
      <c r="N5124">
        <v>18</v>
      </c>
      <c r="O5124" t="s">
        <v>40</v>
      </c>
      <c r="P5124" t="s">
        <v>40</v>
      </c>
      <c r="Q5124" t="s">
        <v>40</v>
      </c>
      <c r="R5124" t="s">
        <v>40</v>
      </c>
      <c r="S5124" t="s">
        <v>40</v>
      </c>
      <c r="V5124" t="s">
        <v>41</v>
      </c>
      <c r="W5124" t="s">
        <v>49</v>
      </c>
      <c r="X5124" t="str">
        <f>"1981912"</f>
        <v>1981912</v>
      </c>
      <c r="Y5124" t="s">
        <v>1279</v>
      </c>
      <c r="Z5124" t="s">
        <v>1268</v>
      </c>
      <c r="AA5124" t="s">
        <v>1269</v>
      </c>
      <c r="AB5124" t="s">
        <v>1270</v>
      </c>
      <c r="AC5124" t="s">
        <v>51</v>
      </c>
      <c r="AD5124" t="s">
        <v>45</v>
      </c>
      <c r="AE5124" s="1">
        <v>21216</v>
      </c>
      <c r="AF5124">
        <v>2</v>
      </c>
      <c r="AG5124" t="s">
        <v>1269</v>
      </c>
      <c r="AH5124" s="36">
        <f t="shared" si="80"/>
        <v>61.780555555555559</v>
      </c>
      <c r="AI5124" s="41" t="s">
        <v>1783</v>
      </c>
    </row>
    <row r="5125" spans="1:35" x14ac:dyDescent="0.25">
      <c r="A5125" s="36">
        <v>99915123</v>
      </c>
      <c r="B5125" s="17" t="s">
        <v>56</v>
      </c>
      <c r="C5125" t="s">
        <v>85</v>
      </c>
      <c r="D5125" t="s">
        <v>86</v>
      </c>
      <c r="G5125" s="17" t="s">
        <v>48</v>
      </c>
      <c r="H5125" s="17">
        <v>1</v>
      </c>
      <c r="K5125" t="s">
        <v>157</v>
      </c>
      <c r="L5125" t="s">
        <v>158</v>
      </c>
      <c r="M5125" t="s">
        <v>131</v>
      </c>
      <c r="N5125">
        <v>18</v>
      </c>
      <c r="O5125" t="s">
        <v>40</v>
      </c>
      <c r="P5125" t="s">
        <v>40</v>
      </c>
      <c r="Q5125" t="s">
        <v>40</v>
      </c>
      <c r="R5125" t="s">
        <v>40</v>
      </c>
      <c r="S5125" t="s">
        <v>40</v>
      </c>
      <c r="V5125" t="s">
        <v>41</v>
      </c>
      <c r="W5125" t="s">
        <v>42</v>
      </c>
      <c r="X5125" t="str">
        <f>"0580290"</f>
        <v>0580290</v>
      </c>
      <c r="Y5125" t="s">
        <v>171</v>
      </c>
      <c r="Z5125" t="s">
        <v>157</v>
      </c>
      <c r="AA5125" t="s">
        <v>158</v>
      </c>
      <c r="AB5125" t="s">
        <v>131</v>
      </c>
      <c r="AC5125" t="s">
        <v>51</v>
      </c>
      <c r="AD5125" t="s">
        <v>45</v>
      </c>
      <c r="AE5125" s="1">
        <v>21202</v>
      </c>
      <c r="AF5125">
        <v>2</v>
      </c>
      <c r="AG5125" t="s">
        <v>158</v>
      </c>
      <c r="AH5125" s="36">
        <f t="shared" si="80"/>
        <v>61.819444444444443</v>
      </c>
      <c r="AI5125" s="41" t="s">
        <v>1783</v>
      </c>
    </row>
    <row r="5126" spans="1:35" x14ac:dyDescent="0.25">
      <c r="A5126" s="36">
        <v>99915124</v>
      </c>
      <c r="B5126" s="17" t="s">
        <v>32</v>
      </c>
      <c r="C5126" t="s">
        <v>90</v>
      </c>
      <c r="D5126" t="s">
        <v>91</v>
      </c>
      <c r="G5126" s="17" t="s">
        <v>35</v>
      </c>
      <c r="H5126" s="17">
        <v>1</v>
      </c>
      <c r="I5126">
        <v>0</v>
      </c>
      <c r="J5126" s="1">
        <v>43344</v>
      </c>
      <c r="K5126" t="s">
        <v>1258</v>
      </c>
      <c r="L5126" t="s">
        <v>1259</v>
      </c>
      <c r="M5126" t="s">
        <v>1260</v>
      </c>
      <c r="N5126">
        <v>25</v>
      </c>
      <c r="O5126" t="s">
        <v>40</v>
      </c>
      <c r="S5126" t="s">
        <v>40</v>
      </c>
      <c r="U5126" s="1">
        <v>43344</v>
      </c>
      <c r="V5126" t="s">
        <v>41</v>
      </c>
      <c r="W5126" t="s">
        <v>95</v>
      </c>
      <c r="X5126" t="str">
        <f>"7241005"</f>
        <v>7241005</v>
      </c>
      <c r="Y5126" t="s">
        <v>1262</v>
      </c>
      <c r="Z5126" t="s">
        <v>1258</v>
      </c>
      <c r="AA5126" t="s">
        <v>1259</v>
      </c>
      <c r="AB5126" t="s">
        <v>1260</v>
      </c>
      <c r="AC5126" t="s">
        <v>51</v>
      </c>
      <c r="AD5126" t="s">
        <v>45</v>
      </c>
      <c r="AE5126" s="1">
        <v>21197</v>
      </c>
      <c r="AF5126">
        <v>1</v>
      </c>
      <c r="AG5126" t="s">
        <v>1259</v>
      </c>
      <c r="AH5126" s="36">
        <f t="shared" si="80"/>
        <v>61.833333333333336</v>
      </c>
      <c r="AI5126" s="41" t="s">
        <v>1783</v>
      </c>
    </row>
    <row r="5127" spans="1:35" x14ac:dyDescent="0.25">
      <c r="A5127" s="36">
        <v>99915125</v>
      </c>
      <c r="B5127" s="17" t="s">
        <v>32</v>
      </c>
      <c r="C5127" t="s">
        <v>46</v>
      </c>
      <c r="D5127" t="s">
        <v>47</v>
      </c>
      <c r="G5127" s="17" t="s">
        <v>35</v>
      </c>
      <c r="H5127" s="17">
        <v>1</v>
      </c>
      <c r="K5127" t="s">
        <v>300</v>
      </c>
      <c r="L5127" t="s">
        <v>301</v>
      </c>
      <c r="M5127" t="s">
        <v>131</v>
      </c>
      <c r="N5127">
        <v>8</v>
      </c>
      <c r="O5127" t="s">
        <v>40</v>
      </c>
      <c r="P5127" t="s">
        <v>40</v>
      </c>
      <c r="Q5127" t="s">
        <v>40</v>
      </c>
      <c r="R5127" t="s">
        <v>40</v>
      </c>
      <c r="S5127" t="s">
        <v>40</v>
      </c>
      <c r="V5127" t="s">
        <v>41</v>
      </c>
      <c r="W5127" t="s">
        <v>42</v>
      </c>
      <c r="X5127" t="str">
        <f>"0580457"</f>
        <v>0580457</v>
      </c>
      <c r="Y5127" t="s">
        <v>310</v>
      </c>
      <c r="Z5127" t="s">
        <v>300</v>
      </c>
      <c r="AA5127" t="s">
        <v>301</v>
      </c>
      <c r="AB5127" t="s">
        <v>131</v>
      </c>
      <c r="AC5127" t="s">
        <v>51</v>
      </c>
      <c r="AD5127" t="s">
        <v>45</v>
      </c>
      <c r="AE5127" s="1">
        <v>21187</v>
      </c>
      <c r="AF5127">
        <v>2</v>
      </c>
      <c r="AG5127" t="s">
        <v>301</v>
      </c>
      <c r="AH5127" s="36">
        <f t="shared" si="80"/>
        <v>61.861111111111114</v>
      </c>
      <c r="AI5127" s="41" t="s">
        <v>1783</v>
      </c>
    </row>
    <row r="5128" spans="1:35" x14ac:dyDescent="0.25">
      <c r="A5128" s="36">
        <v>99915126</v>
      </c>
      <c r="B5128" s="17" t="s">
        <v>56</v>
      </c>
      <c r="C5128" t="s">
        <v>52</v>
      </c>
      <c r="D5128" t="s">
        <v>53</v>
      </c>
      <c r="G5128" s="17" t="s">
        <v>48</v>
      </c>
      <c r="H5128" s="17">
        <v>1</v>
      </c>
      <c r="K5128" t="s">
        <v>223</v>
      </c>
      <c r="L5128" t="s">
        <v>224</v>
      </c>
      <c r="M5128" t="s">
        <v>131</v>
      </c>
      <c r="N5128">
        <v>16</v>
      </c>
      <c r="O5128" t="s">
        <v>40</v>
      </c>
      <c r="P5128" t="s">
        <v>40</v>
      </c>
      <c r="Q5128" t="s">
        <v>40</v>
      </c>
      <c r="R5128" t="s">
        <v>40</v>
      </c>
      <c r="S5128" t="s">
        <v>40</v>
      </c>
      <c r="V5128" t="s">
        <v>41</v>
      </c>
      <c r="W5128" t="s">
        <v>42</v>
      </c>
      <c r="X5128" t="str">
        <f>"0561014"</f>
        <v>0561014</v>
      </c>
      <c r="Y5128" t="s">
        <v>264</v>
      </c>
      <c r="Z5128" t="s">
        <v>223</v>
      </c>
      <c r="AA5128" t="s">
        <v>224</v>
      </c>
      <c r="AB5128" t="s">
        <v>131</v>
      </c>
      <c r="AC5128" t="s">
        <v>51</v>
      </c>
      <c r="AD5128" t="s">
        <v>45</v>
      </c>
      <c r="AE5128" s="1">
        <v>21186</v>
      </c>
      <c r="AF5128">
        <v>2</v>
      </c>
      <c r="AG5128" t="s">
        <v>224</v>
      </c>
      <c r="AH5128" s="36">
        <f t="shared" si="80"/>
        <v>61.863888888888887</v>
      </c>
      <c r="AI5128" s="41" t="s">
        <v>1783</v>
      </c>
    </row>
    <row r="5129" spans="1:35" x14ac:dyDescent="0.25">
      <c r="A5129" s="36">
        <v>99915127</v>
      </c>
      <c r="B5129" s="17" t="s">
        <v>32</v>
      </c>
      <c r="C5129" t="s">
        <v>64</v>
      </c>
      <c r="D5129" t="s">
        <v>65</v>
      </c>
      <c r="G5129" s="17" t="s">
        <v>35</v>
      </c>
      <c r="H5129" s="17">
        <v>1</v>
      </c>
      <c r="K5129" t="s">
        <v>223</v>
      </c>
      <c r="L5129" t="s">
        <v>224</v>
      </c>
      <c r="M5129" t="s">
        <v>131</v>
      </c>
      <c r="N5129">
        <v>18</v>
      </c>
      <c r="O5129" t="s">
        <v>40</v>
      </c>
      <c r="P5129" t="s">
        <v>40</v>
      </c>
      <c r="Q5129" t="s">
        <v>40</v>
      </c>
      <c r="S5129" t="s">
        <v>40</v>
      </c>
      <c r="V5129" t="s">
        <v>41</v>
      </c>
      <c r="W5129" t="s">
        <v>42</v>
      </c>
      <c r="X5129" t="str">
        <f>"0590901"</f>
        <v>0590901</v>
      </c>
      <c r="Y5129" t="s">
        <v>242</v>
      </c>
      <c r="Z5129" t="s">
        <v>223</v>
      </c>
      <c r="AA5129" t="s">
        <v>224</v>
      </c>
      <c r="AB5129" t="s">
        <v>131</v>
      </c>
      <c r="AC5129" t="s">
        <v>165</v>
      </c>
      <c r="AD5129" t="s">
        <v>45</v>
      </c>
      <c r="AE5129" s="1">
        <v>21183</v>
      </c>
      <c r="AF5129">
        <v>2</v>
      </c>
      <c r="AG5129" t="s">
        <v>224</v>
      </c>
      <c r="AH5129" s="36">
        <f t="shared" si="80"/>
        <v>61.87222222222222</v>
      </c>
      <c r="AI5129" s="41" t="s">
        <v>1783</v>
      </c>
    </row>
    <row r="5130" spans="1:35" x14ac:dyDescent="0.25">
      <c r="A5130" s="36">
        <v>99915128</v>
      </c>
      <c r="B5130" s="17" t="s">
        <v>56</v>
      </c>
      <c r="C5130" t="s">
        <v>52</v>
      </c>
      <c r="D5130" t="s">
        <v>53</v>
      </c>
      <c r="E5130" t="s">
        <v>61</v>
      </c>
      <c r="F5130" t="s">
        <v>62</v>
      </c>
      <c r="G5130" s="17" t="s">
        <v>48</v>
      </c>
      <c r="H5130" s="17">
        <v>1</v>
      </c>
      <c r="K5130" t="s">
        <v>223</v>
      </c>
      <c r="L5130" t="s">
        <v>224</v>
      </c>
      <c r="M5130" t="s">
        <v>131</v>
      </c>
      <c r="N5130">
        <v>18</v>
      </c>
      <c r="O5130" t="s">
        <v>40</v>
      </c>
      <c r="P5130" t="s">
        <v>40</v>
      </c>
      <c r="Q5130" t="s">
        <v>40</v>
      </c>
      <c r="R5130" t="s">
        <v>40</v>
      </c>
      <c r="S5130" t="s">
        <v>40</v>
      </c>
      <c r="V5130" t="s">
        <v>41</v>
      </c>
      <c r="W5130" t="s">
        <v>49</v>
      </c>
      <c r="X5130" t="str">
        <f>"0581200"</f>
        <v>0581200</v>
      </c>
      <c r="Y5130" t="s">
        <v>238</v>
      </c>
      <c r="Z5130" t="s">
        <v>223</v>
      </c>
      <c r="AA5130" t="s">
        <v>224</v>
      </c>
      <c r="AB5130" t="s">
        <v>131</v>
      </c>
      <c r="AC5130" t="s">
        <v>51</v>
      </c>
      <c r="AD5130" t="s">
        <v>45</v>
      </c>
      <c r="AE5130" s="1">
        <v>21175</v>
      </c>
      <c r="AF5130">
        <v>2</v>
      </c>
      <c r="AG5130" t="s">
        <v>224</v>
      </c>
      <c r="AH5130" s="36">
        <f t="shared" si="80"/>
        <v>61.894444444444446</v>
      </c>
      <c r="AI5130" s="41" t="s">
        <v>1783</v>
      </c>
    </row>
    <row r="5131" spans="1:35" x14ac:dyDescent="0.25">
      <c r="A5131" s="36">
        <v>99915129</v>
      </c>
      <c r="B5131" s="17" t="s">
        <v>32</v>
      </c>
      <c r="C5131" t="s">
        <v>46</v>
      </c>
      <c r="D5131" t="s">
        <v>47</v>
      </c>
      <c r="G5131" s="17" t="s">
        <v>48</v>
      </c>
      <c r="H5131" s="17">
        <v>1</v>
      </c>
      <c r="K5131" t="s">
        <v>223</v>
      </c>
      <c r="L5131" t="s">
        <v>224</v>
      </c>
      <c r="M5131" t="s">
        <v>131</v>
      </c>
      <c r="N5131">
        <v>10</v>
      </c>
      <c r="O5131" t="s">
        <v>40</v>
      </c>
      <c r="P5131" t="s">
        <v>40</v>
      </c>
      <c r="Q5131" t="s">
        <v>40</v>
      </c>
      <c r="R5131" t="s">
        <v>40</v>
      </c>
      <c r="S5131" t="s">
        <v>40</v>
      </c>
      <c r="V5131" t="s">
        <v>41</v>
      </c>
      <c r="W5131" t="s">
        <v>42</v>
      </c>
      <c r="X5131" t="str">
        <f>"0580202"</f>
        <v>0580202</v>
      </c>
      <c r="Y5131" t="s">
        <v>240</v>
      </c>
      <c r="Z5131" t="s">
        <v>223</v>
      </c>
      <c r="AA5131" t="s">
        <v>224</v>
      </c>
      <c r="AB5131" t="s">
        <v>131</v>
      </c>
      <c r="AC5131" t="s">
        <v>165</v>
      </c>
      <c r="AD5131" t="s">
        <v>45</v>
      </c>
      <c r="AE5131" s="1">
        <v>21172</v>
      </c>
      <c r="AF5131">
        <v>2</v>
      </c>
      <c r="AG5131" t="s">
        <v>224</v>
      </c>
      <c r="AH5131" s="36">
        <f t="shared" si="80"/>
        <v>61.902777777777779</v>
      </c>
      <c r="AI5131" s="41" t="s">
        <v>1783</v>
      </c>
    </row>
    <row r="5132" spans="1:35" x14ac:dyDescent="0.25">
      <c r="A5132" s="36">
        <v>99915130</v>
      </c>
      <c r="B5132" s="17" t="s">
        <v>32</v>
      </c>
      <c r="C5132" t="s">
        <v>64</v>
      </c>
      <c r="D5132" t="s">
        <v>65</v>
      </c>
      <c r="G5132" s="17" t="s">
        <v>48</v>
      </c>
      <c r="H5132" s="17">
        <v>1</v>
      </c>
      <c r="K5132" t="s">
        <v>223</v>
      </c>
      <c r="L5132" t="s">
        <v>224</v>
      </c>
      <c r="M5132" t="s">
        <v>131</v>
      </c>
      <c r="N5132">
        <v>18</v>
      </c>
      <c r="O5132" t="s">
        <v>40</v>
      </c>
      <c r="P5132" t="s">
        <v>40</v>
      </c>
      <c r="Q5132" t="s">
        <v>40</v>
      </c>
      <c r="R5132" t="s">
        <v>40</v>
      </c>
      <c r="S5132" t="s">
        <v>40</v>
      </c>
      <c r="V5132" t="s">
        <v>41</v>
      </c>
      <c r="W5132" t="s">
        <v>49</v>
      </c>
      <c r="X5132" t="str">
        <f>"0581200"</f>
        <v>0581200</v>
      </c>
      <c r="Y5132" t="s">
        <v>238</v>
      </c>
      <c r="Z5132" t="s">
        <v>223</v>
      </c>
      <c r="AA5132" t="s">
        <v>224</v>
      </c>
      <c r="AB5132" t="s">
        <v>131</v>
      </c>
      <c r="AC5132" t="s">
        <v>51</v>
      </c>
      <c r="AD5132" t="s">
        <v>45</v>
      </c>
      <c r="AE5132" s="1">
        <v>21167</v>
      </c>
      <c r="AF5132">
        <v>2</v>
      </c>
      <c r="AG5132" t="s">
        <v>224</v>
      </c>
      <c r="AH5132" s="36">
        <f t="shared" si="80"/>
        <v>61.916666666666664</v>
      </c>
      <c r="AI5132" s="41" t="s">
        <v>1783</v>
      </c>
    </row>
    <row r="5133" spans="1:35" x14ac:dyDescent="0.25">
      <c r="A5133" s="36">
        <v>99915131</v>
      </c>
      <c r="B5133" s="17" t="s">
        <v>56</v>
      </c>
      <c r="C5133" t="s">
        <v>52</v>
      </c>
      <c r="D5133" t="s">
        <v>53</v>
      </c>
      <c r="G5133" s="17" t="s">
        <v>35</v>
      </c>
      <c r="H5133" s="17">
        <v>1</v>
      </c>
      <c r="K5133" t="s">
        <v>223</v>
      </c>
      <c r="L5133" t="s">
        <v>224</v>
      </c>
      <c r="M5133" t="s">
        <v>131</v>
      </c>
      <c r="N5133">
        <v>20</v>
      </c>
      <c r="O5133" t="s">
        <v>40</v>
      </c>
      <c r="P5133" t="s">
        <v>40</v>
      </c>
      <c r="Q5133" t="s">
        <v>40</v>
      </c>
      <c r="R5133" t="s">
        <v>40</v>
      </c>
      <c r="S5133" t="s">
        <v>40</v>
      </c>
      <c r="V5133" t="s">
        <v>41</v>
      </c>
      <c r="W5133" t="s">
        <v>42</v>
      </c>
      <c r="X5133" t="str">
        <f>"0590901"</f>
        <v>0590901</v>
      </c>
      <c r="Y5133" t="s">
        <v>242</v>
      </c>
      <c r="Z5133" t="s">
        <v>223</v>
      </c>
      <c r="AA5133" t="s">
        <v>224</v>
      </c>
      <c r="AB5133" t="s">
        <v>131</v>
      </c>
      <c r="AC5133" t="s">
        <v>165</v>
      </c>
      <c r="AD5133" t="s">
        <v>45</v>
      </c>
      <c r="AE5133" s="1">
        <v>21150</v>
      </c>
      <c r="AF5133">
        <v>2</v>
      </c>
      <c r="AG5133" t="s">
        <v>224</v>
      </c>
      <c r="AH5133" s="36">
        <f t="shared" si="80"/>
        <v>61.963888888888889</v>
      </c>
      <c r="AI5133" s="41" t="s">
        <v>1783</v>
      </c>
    </row>
    <row r="5134" spans="1:35" x14ac:dyDescent="0.25">
      <c r="A5134" s="36">
        <v>99915132</v>
      </c>
      <c r="B5134" s="17" t="s">
        <v>56</v>
      </c>
      <c r="C5134" t="s">
        <v>68</v>
      </c>
      <c r="D5134" t="s">
        <v>69</v>
      </c>
      <c r="G5134" s="17" t="s">
        <v>48</v>
      </c>
      <c r="H5134" s="17">
        <v>1</v>
      </c>
      <c r="K5134" t="s">
        <v>380</v>
      </c>
      <c r="L5134" t="s">
        <v>381</v>
      </c>
      <c r="M5134" t="s">
        <v>131</v>
      </c>
      <c r="N5134">
        <v>2</v>
      </c>
      <c r="O5134" t="s">
        <v>40</v>
      </c>
      <c r="P5134" t="s">
        <v>40</v>
      </c>
      <c r="Q5134" t="s">
        <v>40</v>
      </c>
      <c r="S5134" t="s">
        <v>40</v>
      </c>
      <c r="V5134" t="s">
        <v>41</v>
      </c>
      <c r="W5134" t="s">
        <v>42</v>
      </c>
      <c r="X5134" t="str">
        <f>"0590909"</f>
        <v>0590909</v>
      </c>
      <c r="Y5134" t="s">
        <v>388</v>
      </c>
      <c r="Z5134" t="s">
        <v>380</v>
      </c>
      <c r="AA5134" t="s">
        <v>381</v>
      </c>
      <c r="AB5134" t="s">
        <v>131</v>
      </c>
      <c r="AC5134" t="s">
        <v>51</v>
      </c>
      <c r="AD5134" t="s">
        <v>45</v>
      </c>
      <c r="AE5134" s="1">
        <v>21149</v>
      </c>
      <c r="AF5134">
        <v>2</v>
      </c>
      <c r="AG5134" t="s">
        <v>381</v>
      </c>
      <c r="AH5134" s="36">
        <f t="shared" si="80"/>
        <v>61.966666666666669</v>
      </c>
      <c r="AI5134" s="41" t="s">
        <v>1783</v>
      </c>
    </row>
    <row r="5135" spans="1:35" x14ac:dyDescent="0.25">
      <c r="A5135" s="36">
        <v>99915133</v>
      </c>
      <c r="B5135" s="17" t="s">
        <v>56</v>
      </c>
      <c r="C5135" t="s">
        <v>52</v>
      </c>
      <c r="D5135" t="s">
        <v>53</v>
      </c>
      <c r="G5135" s="17" t="s">
        <v>48</v>
      </c>
      <c r="H5135" s="17">
        <v>16</v>
      </c>
      <c r="K5135" t="s">
        <v>1268</v>
      </c>
      <c r="L5135" t="s">
        <v>1269</v>
      </c>
      <c r="M5135" t="s">
        <v>1270</v>
      </c>
      <c r="N5135">
        <v>18</v>
      </c>
      <c r="O5135" t="s">
        <v>40</v>
      </c>
      <c r="P5135" t="s">
        <v>40</v>
      </c>
      <c r="Q5135" t="s">
        <v>40</v>
      </c>
      <c r="R5135" t="s">
        <v>40</v>
      </c>
      <c r="S5135" t="s">
        <v>40</v>
      </c>
      <c r="U5135" s="1">
        <v>43344</v>
      </c>
      <c r="V5135" t="s">
        <v>41</v>
      </c>
      <c r="W5135" t="s">
        <v>42</v>
      </c>
      <c r="X5135" t="str">
        <f>"1980055"</f>
        <v>1980055</v>
      </c>
      <c r="Y5135" t="s">
        <v>1285</v>
      </c>
      <c r="Z5135" t="s">
        <v>1268</v>
      </c>
      <c r="AA5135" t="s">
        <v>1269</v>
      </c>
      <c r="AB5135" t="s">
        <v>1270</v>
      </c>
      <c r="AC5135" t="s">
        <v>165</v>
      </c>
      <c r="AD5135" t="s">
        <v>45</v>
      </c>
      <c r="AE5135" s="1">
        <v>21135</v>
      </c>
      <c r="AF5135">
        <v>2</v>
      </c>
      <c r="AG5135" t="s">
        <v>1269</v>
      </c>
      <c r="AH5135" s="36">
        <f t="shared" si="80"/>
        <v>62.005555555555553</v>
      </c>
      <c r="AI5135" s="41" t="s">
        <v>1783</v>
      </c>
    </row>
    <row r="5136" spans="1:35" x14ac:dyDescent="0.25">
      <c r="A5136" s="36">
        <v>99915134</v>
      </c>
      <c r="B5136" s="17" t="s">
        <v>56</v>
      </c>
      <c r="C5136" t="s">
        <v>139</v>
      </c>
      <c r="D5136" t="s">
        <v>140</v>
      </c>
      <c r="G5136" s="17" t="s">
        <v>88</v>
      </c>
      <c r="H5136" s="17">
        <v>4</v>
      </c>
      <c r="I5136" t="s">
        <v>253</v>
      </c>
      <c r="J5136" s="1">
        <v>42248</v>
      </c>
      <c r="K5136" t="s">
        <v>223</v>
      </c>
      <c r="L5136" t="s">
        <v>224</v>
      </c>
      <c r="M5136" t="s">
        <v>131</v>
      </c>
      <c r="N5136">
        <v>26</v>
      </c>
      <c r="O5136" t="s">
        <v>40</v>
      </c>
      <c r="P5136" t="s">
        <v>40</v>
      </c>
      <c r="Q5136" t="s">
        <v>40</v>
      </c>
      <c r="R5136" t="s">
        <v>40</v>
      </c>
      <c r="S5136" t="s">
        <v>40</v>
      </c>
      <c r="U5136" s="1">
        <v>42248</v>
      </c>
      <c r="V5136" t="s">
        <v>41</v>
      </c>
      <c r="W5136" t="s">
        <v>49</v>
      </c>
      <c r="X5136" t="str">
        <f>"0560016"</f>
        <v>0560016</v>
      </c>
      <c r="Y5136" t="s">
        <v>254</v>
      </c>
      <c r="Z5136" t="s">
        <v>223</v>
      </c>
      <c r="AA5136" t="s">
        <v>224</v>
      </c>
      <c r="AB5136" t="s">
        <v>131</v>
      </c>
      <c r="AC5136" t="s">
        <v>165</v>
      </c>
      <c r="AD5136" t="s">
        <v>45</v>
      </c>
      <c r="AE5136" s="1">
        <v>21124</v>
      </c>
      <c r="AF5136">
        <v>2</v>
      </c>
      <c r="AG5136" t="s">
        <v>224</v>
      </c>
      <c r="AH5136" s="36">
        <f t="shared" si="80"/>
        <v>62.036111111111111</v>
      </c>
      <c r="AI5136" s="41" t="s">
        <v>1783</v>
      </c>
    </row>
    <row r="5137" spans="1:35" x14ac:dyDescent="0.25">
      <c r="A5137" s="36">
        <v>99915135</v>
      </c>
      <c r="B5137" s="17" t="s">
        <v>56</v>
      </c>
      <c r="C5137" t="s">
        <v>52</v>
      </c>
      <c r="D5137" t="s">
        <v>53</v>
      </c>
      <c r="G5137" s="17" t="s">
        <v>48</v>
      </c>
      <c r="H5137" s="17">
        <v>1</v>
      </c>
      <c r="K5137" t="s">
        <v>157</v>
      </c>
      <c r="L5137" t="s">
        <v>158</v>
      </c>
      <c r="M5137" t="s">
        <v>131</v>
      </c>
      <c r="N5137">
        <v>18</v>
      </c>
      <c r="O5137" t="s">
        <v>40</v>
      </c>
      <c r="P5137" t="s">
        <v>40</v>
      </c>
      <c r="Q5137" t="s">
        <v>40</v>
      </c>
      <c r="S5137" t="s">
        <v>40</v>
      </c>
      <c r="V5137" t="s">
        <v>41</v>
      </c>
      <c r="W5137" t="s">
        <v>42</v>
      </c>
      <c r="X5137" t="str">
        <f>"0580290"</f>
        <v>0580290</v>
      </c>
      <c r="Y5137" t="s">
        <v>171</v>
      </c>
      <c r="Z5137" t="s">
        <v>157</v>
      </c>
      <c r="AA5137" t="s">
        <v>158</v>
      </c>
      <c r="AB5137" t="s">
        <v>131</v>
      </c>
      <c r="AC5137" t="s">
        <v>51</v>
      </c>
      <c r="AD5137" t="s">
        <v>45</v>
      </c>
      <c r="AE5137" s="1">
        <v>21108</v>
      </c>
      <c r="AF5137">
        <v>2</v>
      </c>
      <c r="AG5137" t="s">
        <v>158</v>
      </c>
      <c r="AH5137" s="36">
        <f t="shared" si="80"/>
        <v>62.080555555555556</v>
      </c>
      <c r="AI5137" s="41" t="s">
        <v>1783</v>
      </c>
    </row>
    <row r="5138" spans="1:35" x14ac:dyDescent="0.25">
      <c r="A5138" s="36">
        <v>99915136</v>
      </c>
      <c r="B5138" s="17" t="s">
        <v>32</v>
      </c>
      <c r="C5138" t="s">
        <v>141</v>
      </c>
      <c r="D5138" t="s">
        <v>142</v>
      </c>
      <c r="G5138" s="17" t="s">
        <v>35</v>
      </c>
      <c r="H5138" s="17">
        <v>1</v>
      </c>
      <c r="K5138" t="s">
        <v>268</v>
      </c>
      <c r="L5138" t="s">
        <v>269</v>
      </c>
      <c r="M5138" t="s">
        <v>131</v>
      </c>
      <c r="N5138">
        <v>15</v>
      </c>
      <c r="O5138" t="s">
        <v>40</v>
      </c>
      <c r="P5138" t="s">
        <v>40</v>
      </c>
      <c r="Q5138" t="s">
        <v>40</v>
      </c>
      <c r="S5138" t="s">
        <v>40</v>
      </c>
      <c r="V5138" t="s">
        <v>41</v>
      </c>
      <c r="W5138" t="s">
        <v>75</v>
      </c>
      <c r="X5138" t="str">
        <f>"7052008"</f>
        <v>7052008</v>
      </c>
      <c r="Y5138" t="s">
        <v>274</v>
      </c>
      <c r="Z5138" t="s">
        <v>268</v>
      </c>
      <c r="AA5138" t="s">
        <v>269</v>
      </c>
      <c r="AB5138" t="s">
        <v>131</v>
      </c>
      <c r="AC5138" t="s">
        <v>51</v>
      </c>
      <c r="AD5138" t="s">
        <v>45</v>
      </c>
      <c r="AE5138" s="1">
        <v>21108</v>
      </c>
      <c r="AF5138">
        <v>1</v>
      </c>
      <c r="AG5138" t="s">
        <v>269</v>
      </c>
      <c r="AH5138" s="36">
        <f t="shared" si="80"/>
        <v>62.080555555555556</v>
      </c>
      <c r="AI5138" s="41" t="s">
        <v>1783</v>
      </c>
    </row>
    <row r="5139" spans="1:35" x14ac:dyDescent="0.25">
      <c r="A5139" s="36">
        <v>99915137</v>
      </c>
      <c r="B5139" s="17" t="s">
        <v>32</v>
      </c>
      <c r="C5139" t="s">
        <v>46</v>
      </c>
      <c r="D5139" t="s">
        <v>47</v>
      </c>
      <c r="G5139" s="17" t="s">
        <v>48</v>
      </c>
      <c r="H5139" s="17">
        <v>1</v>
      </c>
      <c r="K5139" t="s">
        <v>223</v>
      </c>
      <c r="L5139" t="s">
        <v>224</v>
      </c>
      <c r="M5139" t="s">
        <v>131</v>
      </c>
      <c r="N5139">
        <v>18</v>
      </c>
      <c r="O5139" t="s">
        <v>40</v>
      </c>
      <c r="P5139" t="s">
        <v>40</v>
      </c>
      <c r="Q5139" t="s">
        <v>40</v>
      </c>
      <c r="R5139" t="s">
        <v>40</v>
      </c>
      <c r="S5139" t="s">
        <v>40</v>
      </c>
      <c r="V5139" t="s">
        <v>41</v>
      </c>
      <c r="W5139" t="s">
        <v>42</v>
      </c>
      <c r="X5139" t="str">
        <f>"0580204"</f>
        <v>0580204</v>
      </c>
      <c r="Y5139" t="s">
        <v>235</v>
      </c>
      <c r="Z5139" t="s">
        <v>223</v>
      </c>
      <c r="AA5139" t="s">
        <v>224</v>
      </c>
      <c r="AB5139" t="s">
        <v>131</v>
      </c>
      <c r="AC5139" t="s">
        <v>165</v>
      </c>
      <c r="AD5139" t="s">
        <v>45</v>
      </c>
      <c r="AE5139" s="1">
        <v>21098</v>
      </c>
      <c r="AF5139">
        <v>2</v>
      </c>
      <c r="AG5139" t="s">
        <v>224</v>
      </c>
      <c r="AH5139" s="36">
        <f t="shared" si="80"/>
        <v>62.108333333333334</v>
      </c>
      <c r="AI5139" s="41" t="s">
        <v>1783</v>
      </c>
    </row>
    <row r="5140" spans="1:35" x14ac:dyDescent="0.25">
      <c r="A5140" s="36">
        <v>99915138</v>
      </c>
      <c r="B5140" s="17" t="s">
        <v>56</v>
      </c>
      <c r="C5140" t="s">
        <v>52</v>
      </c>
      <c r="D5140" t="s">
        <v>53</v>
      </c>
      <c r="G5140" s="17" t="s">
        <v>35</v>
      </c>
      <c r="H5140" s="17">
        <v>1</v>
      </c>
      <c r="K5140" t="s">
        <v>223</v>
      </c>
      <c r="L5140" t="s">
        <v>224</v>
      </c>
      <c r="M5140" t="s">
        <v>131</v>
      </c>
      <c r="N5140">
        <v>18</v>
      </c>
      <c r="O5140" t="s">
        <v>40</v>
      </c>
      <c r="P5140" t="s">
        <v>40</v>
      </c>
      <c r="Q5140" t="s">
        <v>40</v>
      </c>
      <c r="S5140" t="s">
        <v>40</v>
      </c>
      <c r="V5140" t="s">
        <v>41</v>
      </c>
      <c r="W5140" t="s">
        <v>42</v>
      </c>
      <c r="X5140" t="str">
        <f>"0590901"</f>
        <v>0590901</v>
      </c>
      <c r="Y5140" t="s">
        <v>242</v>
      </c>
      <c r="Z5140" t="s">
        <v>223</v>
      </c>
      <c r="AA5140" t="s">
        <v>224</v>
      </c>
      <c r="AB5140" t="s">
        <v>131</v>
      </c>
      <c r="AC5140" t="s">
        <v>165</v>
      </c>
      <c r="AD5140" t="s">
        <v>45</v>
      </c>
      <c r="AE5140" s="1">
        <v>21086</v>
      </c>
      <c r="AF5140">
        <v>2</v>
      </c>
      <c r="AG5140" t="s">
        <v>224</v>
      </c>
      <c r="AH5140" s="36">
        <f t="shared" si="80"/>
        <v>62.141666666666666</v>
      </c>
      <c r="AI5140" s="41" t="s">
        <v>1783</v>
      </c>
    </row>
    <row r="5141" spans="1:35" x14ac:dyDescent="0.25">
      <c r="A5141" s="36">
        <v>99915139</v>
      </c>
      <c r="B5141" s="17" t="s">
        <v>32</v>
      </c>
      <c r="C5141" t="s">
        <v>46</v>
      </c>
      <c r="D5141" t="s">
        <v>47</v>
      </c>
      <c r="G5141" s="17" t="s">
        <v>35</v>
      </c>
      <c r="H5141" s="17">
        <v>1</v>
      </c>
      <c r="K5141" t="s">
        <v>162</v>
      </c>
      <c r="L5141" t="s">
        <v>158</v>
      </c>
      <c r="M5141" t="s">
        <v>131</v>
      </c>
      <c r="N5141">
        <v>14</v>
      </c>
      <c r="O5141" t="s">
        <v>40</v>
      </c>
      <c r="P5141" t="s">
        <v>40</v>
      </c>
      <c r="Q5141" t="s">
        <v>40</v>
      </c>
      <c r="S5141" t="s">
        <v>40</v>
      </c>
      <c r="V5141" t="s">
        <v>41</v>
      </c>
      <c r="W5141" t="s">
        <v>42</v>
      </c>
      <c r="X5141" t="str">
        <f>"0580320"</f>
        <v>0580320</v>
      </c>
      <c r="Y5141" t="s">
        <v>164</v>
      </c>
      <c r="Z5141" t="s">
        <v>162</v>
      </c>
      <c r="AA5141" t="s">
        <v>158</v>
      </c>
      <c r="AB5141" t="s">
        <v>131</v>
      </c>
      <c r="AC5141" t="s">
        <v>165</v>
      </c>
      <c r="AD5141" t="s">
        <v>45</v>
      </c>
      <c r="AE5141" s="1">
        <v>21083</v>
      </c>
      <c r="AF5141">
        <v>2</v>
      </c>
      <c r="AG5141" t="s">
        <v>158</v>
      </c>
      <c r="AH5141" s="36">
        <f t="shared" si="80"/>
        <v>62.15</v>
      </c>
      <c r="AI5141" s="41" t="s">
        <v>1783</v>
      </c>
    </row>
    <row r="5142" spans="1:35" x14ac:dyDescent="0.25">
      <c r="A5142" s="36">
        <v>99915140</v>
      </c>
      <c r="B5142" s="17" t="s">
        <v>56</v>
      </c>
      <c r="C5142" t="s">
        <v>1290</v>
      </c>
      <c r="D5142" t="s">
        <v>1291</v>
      </c>
      <c r="G5142" s="17" t="s">
        <v>35</v>
      </c>
      <c r="H5142" s="17">
        <v>1</v>
      </c>
      <c r="K5142" t="s">
        <v>1268</v>
      </c>
      <c r="L5142" t="s">
        <v>1269</v>
      </c>
      <c r="M5142" t="s">
        <v>1270</v>
      </c>
      <c r="N5142">
        <v>18</v>
      </c>
      <c r="O5142" t="s">
        <v>40</v>
      </c>
      <c r="P5142" t="s">
        <v>40</v>
      </c>
      <c r="Q5142" t="s">
        <v>40</v>
      </c>
      <c r="S5142" t="s">
        <v>40</v>
      </c>
      <c r="V5142" t="s">
        <v>41</v>
      </c>
      <c r="W5142" t="s">
        <v>922</v>
      </c>
      <c r="X5142" t="str">
        <f>"1950001"</f>
        <v>1950001</v>
      </c>
      <c r="Y5142" t="s">
        <v>1284</v>
      </c>
      <c r="Z5142" t="s">
        <v>1268</v>
      </c>
      <c r="AA5142" t="s">
        <v>1269</v>
      </c>
      <c r="AB5142" t="s">
        <v>1270</v>
      </c>
      <c r="AC5142" t="s">
        <v>51</v>
      </c>
      <c r="AD5142" t="s">
        <v>45</v>
      </c>
      <c r="AE5142" s="1">
        <v>21083</v>
      </c>
      <c r="AF5142">
        <v>2</v>
      </c>
      <c r="AG5142" t="s">
        <v>1269</v>
      </c>
      <c r="AH5142" s="36">
        <f t="shared" si="80"/>
        <v>62.15</v>
      </c>
      <c r="AI5142" s="41" t="s">
        <v>1783</v>
      </c>
    </row>
    <row r="5143" spans="1:35" x14ac:dyDescent="0.25">
      <c r="A5143" s="36">
        <v>99915141</v>
      </c>
      <c r="B5143" s="17" t="s">
        <v>56</v>
      </c>
      <c r="C5143" t="s">
        <v>33</v>
      </c>
      <c r="D5143" t="s">
        <v>34</v>
      </c>
      <c r="G5143" s="17" t="s">
        <v>48</v>
      </c>
      <c r="H5143" s="17">
        <v>1</v>
      </c>
      <c r="K5143" t="s">
        <v>223</v>
      </c>
      <c r="L5143" t="s">
        <v>224</v>
      </c>
      <c r="M5143" t="s">
        <v>131</v>
      </c>
      <c r="N5143">
        <v>18</v>
      </c>
      <c r="O5143" t="s">
        <v>40</v>
      </c>
      <c r="P5143" t="s">
        <v>40</v>
      </c>
      <c r="Q5143" t="s">
        <v>40</v>
      </c>
      <c r="R5143" t="s">
        <v>40</v>
      </c>
      <c r="S5143" t="s">
        <v>40</v>
      </c>
      <c r="V5143" t="s">
        <v>41</v>
      </c>
      <c r="W5143" t="s">
        <v>42</v>
      </c>
      <c r="X5143" t="str">
        <f>"0590902"</f>
        <v>0590902</v>
      </c>
      <c r="Y5143" t="s">
        <v>241</v>
      </c>
      <c r="Z5143" t="s">
        <v>223</v>
      </c>
      <c r="AA5143" t="s">
        <v>224</v>
      </c>
      <c r="AB5143" t="s">
        <v>131</v>
      </c>
      <c r="AC5143" t="s">
        <v>51</v>
      </c>
      <c r="AD5143" t="s">
        <v>45</v>
      </c>
      <c r="AE5143" s="1">
        <v>21076</v>
      </c>
      <c r="AF5143">
        <v>2</v>
      </c>
      <c r="AG5143" t="s">
        <v>224</v>
      </c>
      <c r="AH5143" s="36">
        <f t="shared" si="80"/>
        <v>62.169444444444444</v>
      </c>
      <c r="AI5143" s="41" t="s">
        <v>1783</v>
      </c>
    </row>
    <row r="5144" spans="1:35" x14ac:dyDescent="0.25">
      <c r="A5144" s="36">
        <v>99915142</v>
      </c>
      <c r="B5144" s="17" t="s">
        <v>56</v>
      </c>
      <c r="C5144" t="s">
        <v>141</v>
      </c>
      <c r="D5144" t="s">
        <v>142</v>
      </c>
      <c r="G5144" s="17" t="s">
        <v>35</v>
      </c>
      <c r="H5144" s="17">
        <v>1</v>
      </c>
      <c r="I5144">
        <v>18253</v>
      </c>
      <c r="J5144" s="1">
        <v>43344</v>
      </c>
      <c r="K5144" t="s">
        <v>223</v>
      </c>
      <c r="L5144" t="s">
        <v>224</v>
      </c>
      <c r="M5144" t="s">
        <v>131</v>
      </c>
      <c r="N5144">
        <v>4</v>
      </c>
      <c r="O5144" t="s">
        <v>40</v>
      </c>
      <c r="Q5144" t="s">
        <v>40</v>
      </c>
      <c r="S5144" t="s">
        <v>40</v>
      </c>
      <c r="U5144" s="1">
        <v>43344</v>
      </c>
      <c r="V5144" t="s">
        <v>41</v>
      </c>
      <c r="W5144" t="s">
        <v>49</v>
      </c>
      <c r="X5144" t="str">
        <f>"0560008"</f>
        <v>0560008</v>
      </c>
      <c r="Y5144" t="s">
        <v>263</v>
      </c>
      <c r="Z5144" t="s">
        <v>223</v>
      </c>
      <c r="AA5144" t="s">
        <v>224</v>
      </c>
      <c r="AB5144" t="s">
        <v>131</v>
      </c>
      <c r="AC5144" t="s">
        <v>51</v>
      </c>
      <c r="AD5144" t="s">
        <v>45</v>
      </c>
      <c r="AE5144" s="1">
        <v>21066</v>
      </c>
      <c r="AF5144">
        <v>2</v>
      </c>
      <c r="AG5144" t="s">
        <v>224</v>
      </c>
      <c r="AH5144" s="36">
        <f t="shared" si="80"/>
        <v>62.197222222222223</v>
      </c>
      <c r="AI5144" s="41" t="s">
        <v>1783</v>
      </c>
    </row>
    <row r="5145" spans="1:35" x14ac:dyDescent="0.25">
      <c r="A5145" s="36">
        <v>99915143</v>
      </c>
      <c r="B5145" s="17" t="s">
        <v>32</v>
      </c>
      <c r="C5145" t="s">
        <v>46</v>
      </c>
      <c r="D5145" t="s">
        <v>47</v>
      </c>
      <c r="G5145" s="17" t="s">
        <v>48</v>
      </c>
      <c r="H5145" s="17">
        <v>1</v>
      </c>
      <c r="K5145" t="s">
        <v>223</v>
      </c>
      <c r="L5145" t="s">
        <v>224</v>
      </c>
      <c r="M5145" t="s">
        <v>131</v>
      </c>
      <c r="N5145">
        <v>18</v>
      </c>
      <c r="O5145" t="s">
        <v>40</v>
      </c>
      <c r="P5145" t="s">
        <v>40</v>
      </c>
      <c r="Q5145" t="s">
        <v>40</v>
      </c>
      <c r="R5145" t="s">
        <v>40</v>
      </c>
      <c r="S5145" t="s">
        <v>40</v>
      </c>
      <c r="V5145" t="s">
        <v>41</v>
      </c>
      <c r="W5145" t="s">
        <v>49</v>
      </c>
      <c r="X5145" t="str">
        <f>"0591910"</f>
        <v>0591910</v>
      </c>
      <c r="Y5145" t="s">
        <v>228</v>
      </c>
      <c r="Z5145" t="s">
        <v>223</v>
      </c>
      <c r="AA5145" t="s">
        <v>224</v>
      </c>
      <c r="AB5145" t="s">
        <v>131</v>
      </c>
      <c r="AC5145" t="s">
        <v>51</v>
      </c>
      <c r="AD5145" t="s">
        <v>45</v>
      </c>
      <c r="AE5145" s="1">
        <v>21065</v>
      </c>
      <c r="AF5145">
        <v>2</v>
      </c>
      <c r="AG5145" t="s">
        <v>224</v>
      </c>
      <c r="AH5145" s="36">
        <f t="shared" si="80"/>
        <v>62.2</v>
      </c>
      <c r="AI5145" s="41" t="s">
        <v>1783</v>
      </c>
    </row>
    <row r="5146" spans="1:35" x14ac:dyDescent="0.25">
      <c r="A5146" s="36">
        <v>99915144</v>
      </c>
      <c r="B5146" s="17" t="s">
        <v>32</v>
      </c>
      <c r="C5146" t="s">
        <v>33</v>
      </c>
      <c r="D5146" t="s">
        <v>34</v>
      </c>
      <c r="G5146" s="17" t="s">
        <v>48</v>
      </c>
      <c r="H5146" s="17">
        <v>1</v>
      </c>
      <c r="K5146" t="s">
        <v>223</v>
      </c>
      <c r="L5146" t="s">
        <v>224</v>
      </c>
      <c r="M5146" t="s">
        <v>131</v>
      </c>
      <c r="N5146">
        <v>20</v>
      </c>
      <c r="O5146" t="s">
        <v>40</v>
      </c>
      <c r="P5146" t="s">
        <v>40</v>
      </c>
      <c r="Q5146" t="s">
        <v>40</v>
      </c>
      <c r="R5146" t="s">
        <v>40</v>
      </c>
      <c r="S5146" t="s">
        <v>40</v>
      </c>
      <c r="V5146" t="s">
        <v>41</v>
      </c>
      <c r="W5146" t="s">
        <v>49</v>
      </c>
      <c r="X5146" t="str">
        <f>"0581200"</f>
        <v>0581200</v>
      </c>
      <c r="Y5146" t="s">
        <v>238</v>
      </c>
      <c r="Z5146" t="s">
        <v>223</v>
      </c>
      <c r="AA5146" t="s">
        <v>224</v>
      </c>
      <c r="AB5146" t="s">
        <v>131</v>
      </c>
      <c r="AC5146" t="s">
        <v>51</v>
      </c>
      <c r="AD5146" t="s">
        <v>45</v>
      </c>
      <c r="AE5146" s="1">
        <v>21064</v>
      </c>
      <c r="AF5146">
        <v>2</v>
      </c>
      <c r="AG5146" t="s">
        <v>224</v>
      </c>
      <c r="AH5146" s="36">
        <f t="shared" si="80"/>
        <v>62.202777777777776</v>
      </c>
      <c r="AI5146" s="41" t="s">
        <v>1783</v>
      </c>
    </row>
    <row r="5147" spans="1:35" x14ac:dyDescent="0.25">
      <c r="A5147" s="36">
        <v>99915145</v>
      </c>
      <c r="B5147" s="17" t="s">
        <v>56</v>
      </c>
      <c r="C5147" t="s">
        <v>58</v>
      </c>
      <c r="D5147" t="s">
        <v>59</v>
      </c>
      <c r="G5147" s="17" t="s">
        <v>35</v>
      </c>
      <c r="H5147" s="17">
        <v>1</v>
      </c>
      <c r="K5147" t="s">
        <v>223</v>
      </c>
      <c r="L5147" t="s">
        <v>224</v>
      </c>
      <c r="M5147" t="s">
        <v>131</v>
      </c>
      <c r="N5147">
        <v>18</v>
      </c>
      <c r="O5147" t="s">
        <v>40</v>
      </c>
      <c r="P5147" t="s">
        <v>40</v>
      </c>
      <c r="Q5147" t="s">
        <v>40</v>
      </c>
      <c r="S5147" t="s">
        <v>40</v>
      </c>
      <c r="V5147" t="s">
        <v>41</v>
      </c>
      <c r="W5147" t="s">
        <v>42</v>
      </c>
      <c r="X5147" t="str">
        <f>"0590901"</f>
        <v>0590901</v>
      </c>
      <c r="Y5147" t="s">
        <v>242</v>
      </c>
      <c r="Z5147" t="s">
        <v>223</v>
      </c>
      <c r="AA5147" t="s">
        <v>224</v>
      </c>
      <c r="AB5147" t="s">
        <v>131</v>
      </c>
      <c r="AC5147" t="s">
        <v>165</v>
      </c>
      <c r="AD5147" t="s">
        <v>45</v>
      </c>
      <c r="AE5147" s="1">
        <v>21058</v>
      </c>
      <c r="AF5147">
        <v>2</v>
      </c>
      <c r="AG5147" t="s">
        <v>224</v>
      </c>
      <c r="AH5147" s="36">
        <f t="shared" si="80"/>
        <v>62.219444444444441</v>
      </c>
      <c r="AI5147" s="41" t="s">
        <v>1783</v>
      </c>
    </row>
    <row r="5148" spans="1:35" x14ac:dyDescent="0.25">
      <c r="A5148" s="36">
        <v>99915146</v>
      </c>
      <c r="B5148" s="17" t="s">
        <v>32</v>
      </c>
      <c r="C5148" t="s">
        <v>139</v>
      </c>
      <c r="D5148" t="s">
        <v>140</v>
      </c>
      <c r="G5148" s="17" t="s">
        <v>48</v>
      </c>
      <c r="H5148" s="17">
        <v>1</v>
      </c>
      <c r="K5148" t="s">
        <v>223</v>
      </c>
      <c r="L5148" t="s">
        <v>224</v>
      </c>
      <c r="M5148" t="s">
        <v>131</v>
      </c>
      <c r="N5148">
        <v>18</v>
      </c>
      <c r="O5148" t="s">
        <v>40</v>
      </c>
      <c r="P5148" t="s">
        <v>40</v>
      </c>
      <c r="Q5148" t="s">
        <v>40</v>
      </c>
      <c r="R5148" t="s">
        <v>40</v>
      </c>
      <c r="S5148" t="s">
        <v>40</v>
      </c>
      <c r="V5148" t="s">
        <v>41</v>
      </c>
      <c r="W5148" t="s">
        <v>49</v>
      </c>
      <c r="X5148" t="str">
        <f>"0581204"</f>
        <v>0581204</v>
      </c>
      <c r="Y5148" t="s">
        <v>249</v>
      </c>
      <c r="Z5148" t="s">
        <v>223</v>
      </c>
      <c r="AA5148" t="s">
        <v>224</v>
      </c>
      <c r="AB5148" t="s">
        <v>131</v>
      </c>
      <c r="AC5148" t="s">
        <v>165</v>
      </c>
      <c r="AD5148" t="s">
        <v>45</v>
      </c>
      <c r="AE5148" s="1">
        <v>21057</v>
      </c>
      <c r="AF5148">
        <v>2</v>
      </c>
      <c r="AG5148" t="s">
        <v>224</v>
      </c>
      <c r="AH5148" s="36">
        <f t="shared" si="80"/>
        <v>62.222222222222221</v>
      </c>
      <c r="AI5148" s="41" t="s">
        <v>1783</v>
      </c>
    </row>
    <row r="5149" spans="1:35" x14ac:dyDescent="0.25">
      <c r="A5149" s="36">
        <v>99915147</v>
      </c>
      <c r="B5149" s="17" t="s">
        <v>56</v>
      </c>
      <c r="C5149" t="s">
        <v>61</v>
      </c>
      <c r="D5149" t="s">
        <v>62</v>
      </c>
      <c r="G5149" s="17" t="s">
        <v>48</v>
      </c>
      <c r="H5149" s="17">
        <v>1</v>
      </c>
      <c r="K5149" t="s">
        <v>162</v>
      </c>
      <c r="L5149" t="s">
        <v>158</v>
      </c>
      <c r="M5149" t="s">
        <v>131</v>
      </c>
      <c r="N5149">
        <v>20</v>
      </c>
      <c r="O5149" t="s">
        <v>40</v>
      </c>
      <c r="P5149" t="s">
        <v>40</v>
      </c>
      <c r="Q5149" t="s">
        <v>40</v>
      </c>
      <c r="R5149" t="s">
        <v>40</v>
      </c>
      <c r="S5149" t="s">
        <v>40</v>
      </c>
      <c r="V5149" t="s">
        <v>41</v>
      </c>
      <c r="W5149" t="s">
        <v>49</v>
      </c>
      <c r="X5149" t="str">
        <f>"0581325"</f>
        <v>0581325</v>
      </c>
      <c r="Y5149" t="s">
        <v>169</v>
      </c>
      <c r="Z5149" t="s">
        <v>162</v>
      </c>
      <c r="AA5149" t="s">
        <v>158</v>
      </c>
      <c r="AB5149" t="s">
        <v>131</v>
      </c>
      <c r="AC5149" t="s">
        <v>51</v>
      </c>
      <c r="AD5149" t="s">
        <v>45</v>
      </c>
      <c r="AE5149" s="1">
        <v>21052</v>
      </c>
      <c r="AF5149">
        <v>2</v>
      </c>
      <c r="AG5149" t="s">
        <v>158</v>
      </c>
      <c r="AH5149" s="36">
        <f t="shared" si="80"/>
        <v>62.236111111111114</v>
      </c>
      <c r="AI5149" s="41" t="s">
        <v>1783</v>
      </c>
    </row>
    <row r="5150" spans="1:35" x14ac:dyDescent="0.25">
      <c r="A5150" s="36">
        <v>99915148</v>
      </c>
      <c r="B5150" s="17" t="s">
        <v>32</v>
      </c>
      <c r="C5150" t="s">
        <v>90</v>
      </c>
      <c r="D5150" t="s">
        <v>91</v>
      </c>
      <c r="G5150" s="17" t="s">
        <v>35</v>
      </c>
      <c r="H5150" s="17">
        <v>1</v>
      </c>
      <c r="K5150" t="s">
        <v>1631</v>
      </c>
      <c r="L5150" t="s">
        <v>1632</v>
      </c>
      <c r="M5150" t="s">
        <v>1592</v>
      </c>
      <c r="N5150">
        <v>6</v>
      </c>
      <c r="O5150" t="s">
        <v>40</v>
      </c>
      <c r="P5150" t="s">
        <v>40</v>
      </c>
      <c r="Q5150" t="s">
        <v>40</v>
      </c>
      <c r="S5150" t="s">
        <v>40</v>
      </c>
      <c r="V5150" t="s">
        <v>41</v>
      </c>
      <c r="W5150" t="s">
        <v>95</v>
      </c>
      <c r="X5150" t="str">
        <f>"7021009"</f>
        <v>7021009</v>
      </c>
      <c r="Y5150" t="s">
        <v>1644</v>
      </c>
      <c r="Z5150" t="s">
        <v>1631</v>
      </c>
      <c r="AA5150" t="s">
        <v>1632</v>
      </c>
      <c r="AB5150" t="s">
        <v>1592</v>
      </c>
      <c r="AC5150" t="s">
        <v>51</v>
      </c>
      <c r="AD5150" t="s">
        <v>45</v>
      </c>
      <c r="AE5150" s="1">
        <v>21052</v>
      </c>
      <c r="AF5150">
        <v>1</v>
      </c>
      <c r="AG5150" t="s">
        <v>1632</v>
      </c>
      <c r="AH5150" s="36">
        <f t="shared" si="80"/>
        <v>62.236111111111114</v>
      </c>
      <c r="AI5150" s="41" t="s">
        <v>1783</v>
      </c>
    </row>
    <row r="5151" spans="1:35" x14ac:dyDescent="0.25">
      <c r="A5151" s="36">
        <v>99915149</v>
      </c>
      <c r="B5151" s="17" t="s">
        <v>56</v>
      </c>
      <c r="C5151" t="s">
        <v>68</v>
      </c>
      <c r="D5151" t="s">
        <v>69</v>
      </c>
      <c r="G5151" s="17" t="s">
        <v>35</v>
      </c>
      <c r="H5151" s="17">
        <v>1</v>
      </c>
      <c r="K5151" t="s">
        <v>1268</v>
      </c>
      <c r="L5151" t="s">
        <v>1269</v>
      </c>
      <c r="M5151" t="s">
        <v>1270</v>
      </c>
      <c r="N5151">
        <v>18</v>
      </c>
      <c r="O5151" t="s">
        <v>40</v>
      </c>
      <c r="P5151" t="s">
        <v>40</v>
      </c>
      <c r="Q5151" t="s">
        <v>40</v>
      </c>
      <c r="S5151" t="s">
        <v>40</v>
      </c>
      <c r="V5151" t="s">
        <v>41</v>
      </c>
      <c r="W5151" t="s">
        <v>42</v>
      </c>
      <c r="X5151" t="str">
        <f>"1990914"</f>
        <v>1990914</v>
      </c>
      <c r="Y5151" t="s">
        <v>1275</v>
      </c>
      <c r="Z5151" t="s">
        <v>1268</v>
      </c>
      <c r="AA5151" t="s">
        <v>1269</v>
      </c>
      <c r="AB5151" t="s">
        <v>1270</v>
      </c>
      <c r="AC5151" t="s">
        <v>51</v>
      </c>
      <c r="AD5151" t="s">
        <v>45</v>
      </c>
      <c r="AE5151" s="1">
        <v>21045</v>
      </c>
      <c r="AF5151">
        <v>2</v>
      </c>
      <c r="AG5151" t="s">
        <v>1269</v>
      </c>
      <c r="AH5151" s="36">
        <f t="shared" si="80"/>
        <v>62.255555555555553</v>
      </c>
      <c r="AI5151" s="41" t="s">
        <v>1783</v>
      </c>
    </row>
    <row r="5152" spans="1:35" x14ac:dyDescent="0.25">
      <c r="A5152" s="36">
        <v>99915150</v>
      </c>
      <c r="B5152" s="17" t="s">
        <v>56</v>
      </c>
      <c r="C5152" t="s">
        <v>68</v>
      </c>
      <c r="D5152" t="s">
        <v>69</v>
      </c>
      <c r="G5152" s="17" t="s">
        <v>48</v>
      </c>
      <c r="H5152" s="17">
        <v>1</v>
      </c>
      <c r="K5152" t="s">
        <v>223</v>
      </c>
      <c r="L5152" t="s">
        <v>224</v>
      </c>
      <c r="M5152" t="s">
        <v>131</v>
      </c>
      <c r="N5152">
        <v>20</v>
      </c>
      <c r="O5152" t="s">
        <v>40</v>
      </c>
      <c r="P5152" t="s">
        <v>40</v>
      </c>
      <c r="Q5152" t="s">
        <v>40</v>
      </c>
      <c r="R5152" t="s">
        <v>40</v>
      </c>
      <c r="S5152" t="s">
        <v>40</v>
      </c>
      <c r="V5152" t="s">
        <v>41</v>
      </c>
      <c r="W5152" t="s">
        <v>42</v>
      </c>
      <c r="X5152" t="str">
        <f>"0580315"</f>
        <v>0580315</v>
      </c>
      <c r="Y5152" t="s">
        <v>246</v>
      </c>
      <c r="Z5152" t="s">
        <v>223</v>
      </c>
      <c r="AA5152" t="s">
        <v>224</v>
      </c>
      <c r="AB5152" t="s">
        <v>131</v>
      </c>
      <c r="AC5152" t="s">
        <v>51</v>
      </c>
      <c r="AD5152" t="s">
        <v>45</v>
      </c>
      <c r="AE5152" s="1">
        <v>21041</v>
      </c>
      <c r="AF5152">
        <v>2</v>
      </c>
      <c r="AG5152" t="s">
        <v>224</v>
      </c>
      <c r="AH5152" s="36">
        <f t="shared" si="80"/>
        <v>62.266666666666666</v>
      </c>
      <c r="AI5152" s="41" t="s">
        <v>1783</v>
      </c>
    </row>
    <row r="5153" spans="1:35" x14ac:dyDescent="0.25">
      <c r="A5153" s="36">
        <v>99915151</v>
      </c>
      <c r="B5153" s="17" t="s">
        <v>56</v>
      </c>
      <c r="C5153" t="s">
        <v>64</v>
      </c>
      <c r="D5153" t="s">
        <v>65</v>
      </c>
      <c r="G5153" s="17" t="s">
        <v>48</v>
      </c>
      <c r="H5153" s="17">
        <v>1</v>
      </c>
      <c r="K5153" t="s">
        <v>223</v>
      </c>
      <c r="L5153" t="s">
        <v>224</v>
      </c>
      <c r="M5153" t="s">
        <v>131</v>
      </c>
      <c r="N5153">
        <v>18</v>
      </c>
      <c r="O5153" t="s">
        <v>40</v>
      </c>
      <c r="P5153" t="s">
        <v>40</v>
      </c>
      <c r="Q5153" t="s">
        <v>40</v>
      </c>
      <c r="S5153" t="s">
        <v>40</v>
      </c>
      <c r="V5153" t="s">
        <v>41</v>
      </c>
      <c r="W5153" t="s">
        <v>49</v>
      </c>
      <c r="X5153" t="str">
        <f>"0581206"</f>
        <v>0581206</v>
      </c>
      <c r="Y5153" t="s">
        <v>232</v>
      </c>
      <c r="Z5153" t="s">
        <v>223</v>
      </c>
      <c r="AA5153" t="s">
        <v>224</v>
      </c>
      <c r="AB5153" t="s">
        <v>131</v>
      </c>
      <c r="AC5153" t="s">
        <v>51</v>
      </c>
      <c r="AD5153" t="s">
        <v>45</v>
      </c>
      <c r="AE5153" s="1">
        <v>21022</v>
      </c>
      <c r="AF5153">
        <v>2</v>
      </c>
      <c r="AG5153" t="s">
        <v>224</v>
      </c>
      <c r="AH5153" s="36">
        <f t="shared" si="80"/>
        <v>62.319444444444443</v>
      </c>
      <c r="AI5153" s="41" t="s">
        <v>1783</v>
      </c>
    </row>
    <row r="5154" spans="1:35" x14ac:dyDescent="0.25">
      <c r="A5154" s="36">
        <v>99915152</v>
      </c>
      <c r="B5154" s="17" t="s">
        <v>32</v>
      </c>
      <c r="C5154" t="s">
        <v>52</v>
      </c>
      <c r="D5154" t="s">
        <v>53</v>
      </c>
      <c r="G5154" s="17" t="s">
        <v>48</v>
      </c>
      <c r="H5154" s="17">
        <v>1</v>
      </c>
      <c r="K5154" t="s">
        <v>380</v>
      </c>
      <c r="L5154" t="s">
        <v>381</v>
      </c>
      <c r="M5154" t="s">
        <v>131</v>
      </c>
      <c r="N5154">
        <v>16</v>
      </c>
      <c r="O5154" t="s">
        <v>40</v>
      </c>
      <c r="P5154" t="s">
        <v>40</v>
      </c>
      <c r="Q5154" t="s">
        <v>40</v>
      </c>
      <c r="R5154" t="s">
        <v>40</v>
      </c>
      <c r="S5154" t="s">
        <v>40</v>
      </c>
      <c r="V5154" t="s">
        <v>41</v>
      </c>
      <c r="W5154" t="s">
        <v>42</v>
      </c>
      <c r="X5154" t="str">
        <f>"0561016"</f>
        <v>0561016</v>
      </c>
      <c r="Y5154" t="s">
        <v>389</v>
      </c>
      <c r="Z5154" t="s">
        <v>380</v>
      </c>
      <c r="AA5154" t="s">
        <v>381</v>
      </c>
      <c r="AB5154" t="s">
        <v>131</v>
      </c>
      <c r="AC5154" t="s">
        <v>51</v>
      </c>
      <c r="AD5154" t="s">
        <v>45</v>
      </c>
      <c r="AE5154" s="1">
        <v>21021</v>
      </c>
      <c r="AF5154">
        <v>2</v>
      </c>
      <c r="AG5154" t="s">
        <v>381</v>
      </c>
      <c r="AH5154" s="36">
        <f t="shared" si="80"/>
        <v>62.322222222222223</v>
      </c>
      <c r="AI5154" s="41" t="s">
        <v>1783</v>
      </c>
    </row>
    <row r="5155" spans="1:35" x14ac:dyDescent="0.25">
      <c r="A5155" s="36">
        <v>99915153</v>
      </c>
      <c r="B5155" s="17" t="s">
        <v>56</v>
      </c>
      <c r="C5155" t="s">
        <v>68</v>
      </c>
      <c r="D5155" t="s">
        <v>69</v>
      </c>
      <c r="G5155" s="17" t="s">
        <v>48</v>
      </c>
      <c r="H5155" s="17">
        <v>1</v>
      </c>
      <c r="K5155" t="s">
        <v>1128</v>
      </c>
      <c r="L5155" t="s">
        <v>1129</v>
      </c>
      <c r="M5155" t="s">
        <v>1130</v>
      </c>
      <c r="N5155">
        <v>9</v>
      </c>
      <c r="O5155" t="s">
        <v>40</v>
      </c>
      <c r="P5155" t="s">
        <v>40</v>
      </c>
      <c r="Q5155" t="s">
        <v>40</v>
      </c>
      <c r="S5155" t="s">
        <v>40</v>
      </c>
      <c r="V5155" t="s">
        <v>41</v>
      </c>
      <c r="W5155" t="s">
        <v>42</v>
      </c>
      <c r="X5155" t="str">
        <f>"3180015"</f>
        <v>3180015</v>
      </c>
      <c r="Y5155" t="s">
        <v>1139</v>
      </c>
      <c r="Z5155" t="s">
        <v>1128</v>
      </c>
      <c r="AA5155" t="s">
        <v>1129</v>
      </c>
      <c r="AB5155" t="s">
        <v>1130</v>
      </c>
      <c r="AC5155" t="s">
        <v>51</v>
      </c>
      <c r="AD5155" t="s">
        <v>45</v>
      </c>
      <c r="AE5155" s="1">
        <v>21006</v>
      </c>
      <c r="AF5155">
        <v>2</v>
      </c>
      <c r="AG5155" t="s">
        <v>1129</v>
      </c>
      <c r="AH5155" s="36">
        <f t="shared" si="80"/>
        <v>62.363888888888887</v>
      </c>
      <c r="AI5155" s="41" t="s">
        <v>1783</v>
      </c>
    </row>
    <row r="5156" spans="1:35" x14ac:dyDescent="0.25">
      <c r="A5156" s="36">
        <v>99915154</v>
      </c>
      <c r="B5156" s="17" t="s">
        <v>56</v>
      </c>
      <c r="C5156" t="s">
        <v>52</v>
      </c>
      <c r="D5156" t="s">
        <v>53</v>
      </c>
      <c r="G5156" s="17" t="s">
        <v>48</v>
      </c>
      <c r="H5156" s="17">
        <v>1</v>
      </c>
      <c r="K5156" t="s">
        <v>129</v>
      </c>
      <c r="L5156" t="s">
        <v>130</v>
      </c>
      <c r="M5156" t="s">
        <v>131</v>
      </c>
      <c r="N5156">
        <v>3</v>
      </c>
      <c r="O5156" t="s">
        <v>40</v>
      </c>
      <c r="P5156" t="s">
        <v>40</v>
      </c>
      <c r="Q5156" t="s">
        <v>40</v>
      </c>
      <c r="R5156" t="s">
        <v>40</v>
      </c>
      <c r="S5156" t="s">
        <v>40</v>
      </c>
      <c r="V5156" t="s">
        <v>41</v>
      </c>
      <c r="W5156" t="s">
        <v>49</v>
      </c>
      <c r="X5156" t="str">
        <f>"0591905"</f>
        <v>0591905</v>
      </c>
      <c r="Y5156" t="s">
        <v>135</v>
      </c>
      <c r="Z5156" t="s">
        <v>129</v>
      </c>
      <c r="AA5156" t="s">
        <v>130</v>
      </c>
      <c r="AB5156" t="s">
        <v>131</v>
      </c>
      <c r="AC5156" t="s">
        <v>51</v>
      </c>
      <c r="AD5156" t="s">
        <v>45</v>
      </c>
      <c r="AE5156" s="1">
        <v>20992</v>
      </c>
      <c r="AF5156">
        <v>2</v>
      </c>
      <c r="AG5156" t="s">
        <v>130</v>
      </c>
      <c r="AH5156" s="36">
        <f t="shared" si="80"/>
        <v>62.402777777777779</v>
      </c>
      <c r="AI5156" s="41" t="s">
        <v>1783</v>
      </c>
    </row>
    <row r="5157" spans="1:35" x14ac:dyDescent="0.25">
      <c r="A5157" s="36">
        <v>99915155</v>
      </c>
      <c r="B5157" s="17" t="s">
        <v>56</v>
      </c>
      <c r="C5157" t="s">
        <v>68</v>
      </c>
      <c r="D5157" t="s">
        <v>69</v>
      </c>
      <c r="G5157" s="17" t="s">
        <v>35</v>
      </c>
      <c r="H5157" s="17">
        <v>1</v>
      </c>
      <c r="I5157" t="s">
        <v>1594</v>
      </c>
      <c r="J5157" s="1">
        <v>43344</v>
      </c>
      <c r="K5157" t="s">
        <v>1590</v>
      </c>
      <c r="L5157" t="s">
        <v>1591</v>
      </c>
      <c r="M5157" t="s">
        <v>1592</v>
      </c>
      <c r="N5157">
        <v>14</v>
      </c>
      <c r="O5157" t="s">
        <v>40</v>
      </c>
      <c r="S5157" t="s">
        <v>40</v>
      </c>
      <c r="U5157" s="1">
        <v>43344</v>
      </c>
      <c r="V5157" t="s">
        <v>41</v>
      </c>
      <c r="W5157" t="s">
        <v>42</v>
      </c>
      <c r="X5157" t="str">
        <f>"0280020"</f>
        <v>0280020</v>
      </c>
      <c r="Y5157" t="s">
        <v>1597</v>
      </c>
      <c r="Z5157" t="s">
        <v>1590</v>
      </c>
      <c r="AA5157" t="s">
        <v>1591</v>
      </c>
      <c r="AB5157" t="s">
        <v>1592</v>
      </c>
      <c r="AC5157" t="s">
        <v>51</v>
      </c>
      <c r="AD5157" t="s">
        <v>45</v>
      </c>
      <c r="AE5157" s="1">
        <v>20981</v>
      </c>
      <c r="AF5157">
        <v>2</v>
      </c>
      <c r="AG5157" t="s">
        <v>1591</v>
      </c>
      <c r="AH5157" s="36">
        <f t="shared" si="80"/>
        <v>62.43333333333333</v>
      </c>
      <c r="AI5157" s="41" t="s">
        <v>1783</v>
      </c>
    </row>
    <row r="5158" spans="1:35" x14ac:dyDescent="0.25">
      <c r="A5158" s="36">
        <v>99915156</v>
      </c>
      <c r="B5158" s="17" t="s">
        <v>56</v>
      </c>
      <c r="C5158" t="s">
        <v>33</v>
      </c>
      <c r="D5158" t="s">
        <v>34</v>
      </c>
      <c r="G5158" s="17" t="s">
        <v>35</v>
      </c>
      <c r="H5158" s="17">
        <v>1</v>
      </c>
      <c r="J5158" s="1">
        <v>38224</v>
      </c>
      <c r="K5158" t="s">
        <v>1336</v>
      </c>
      <c r="L5158" t="s">
        <v>1337</v>
      </c>
      <c r="M5158" t="s">
        <v>1270</v>
      </c>
      <c r="N5158">
        <v>6</v>
      </c>
      <c r="O5158" t="s">
        <v>40</v>
      </c>
      <c r="P5158" t="s">
        <v>40</v>
      </c>
      <c r="Q5158" t="s">
        <v>40</v>
      </c>
      <c r="R5158" t="s">
        <v>40</v>
      </c>
      <c r="S5158" t="s">
        <v>40</v>
      </c>
      <c r="U5158" s="1">
        <v>38224</v>
      </c>
      <c r="V5158" t="s">
        <v>41</v>
      </c>
      <c r="W5158" t="s">
        <v>42</v>
      </c>
      <c r="X5158" t="str">
        <f>"4475070"</f>
        <v>4475070</v>
      </c>
      <c r="Y5158" t="s">
        <v>1338</v>
      </c>
      <c r="Z5158" t="s">
        <v>1336</v>
      </c>
      <c r="AA5158" t="s">
        <v>1337</v>
      </c>
      <c r="AB5158" t="s">
        <v>1270</v>
      </c>
      <c r="AC5158" t="s">
        <v>51</v>
      </c>
      <c r="AD5158" t="s">
        <v>45</v>
      </c>
      <c r="AE5158" s="1">
        <v>20976</v>
      </c>
      <c r="AF5158">
        <v>2</v>
      </c>
      <c r="AG5158" t="s">
        <v>1337</v>
      </c>
      <c r="AH5158" s="36">
        <f t="shared" si="80"/>
        <v>62.447222222222223</v>
      </c>
      <c r="AI5158" s="41" t="s">
        <v>1783</v>
      </c>
    </row>
    <row r="5159" spans="1:35" x14ac:dyDescent="0.25">
      <c r="A5159" s="36">
        <v>99915157</v>
      </c>
      <c r="B5159" s="17" t="s">
        <v>32</v>
      </c>
      <c r="C5159" t="s">
        <v>111</v>
      </c>
      <c r="D5159" t="s">
        <v>112</v>
      </c>
      <c r="G5159" s="17" t="s">
        <v>35</v>
      </c>
      <c r="H5159" s="17">
        <v>19</v>
      </c>
      <c r="K5159" t="s">
        <v>268</v>
      </c>
      <c r="L5159" t="s">
        <v>269</v>
      </c>
      <c r="M5159" t="s">
        <v>131</v>
      </c>
      <c r="N5159">
        <v>21</v>
      </c>
      <c r="O5159" t="s">
        <v>40</v>
      </c>
      <c r="P5159" t="s">
        <v>40</v>
      </c>
      <c r="Q5159" t="s">
        <v>40</v>
      </c>
      <c r="R5159" t="s">
        <v>40</v>
      </c>
      <c r="S5159" t="s">
        <v>40</v>
      </c>
      <c r="V5159" t="s">
        <v>41</v>
      </c>
      <c r="W5159" t="s">
        <v>75</v>
      </c>
      <c r="X5159" t="str">
        <f>"7052002"</f>
        <v>7052002</v>
      </c>
      <c r="Y5159" t="s">
        <v>590</v>
      </c>
      <c r="Z5159" t="s">
        <v>268</v>
      </c>
      <c r="AA5159" t="s">
        <v>269</v>
      </c>
      <c r="AB5159" t="s">
        <v>131</v>
      </c>
      <c r="AC5159" t="s">
        <v>165</v>
      </c>
      <c r="AD5159" t="s">
        <v>45</v>
      </c>
      <c r="AE5159" s="1">
        <v>20974</v>
      </c>
      <c r="AF5159">
        <v>1</v>
      </c>
      <c r="AG5159" t="s">
        <v>269</v>
      </c>
      <c r="AH5159" s="36">
        <f t="shared" si="80"/>
        <v>62.452777777777776</v>
      </c>
      <c r="AI5159" s="41" t="s">
        <v>1783</v>
      </c>
    </row>
    <row r="5160" spans="1:35" x14ac:dyDescent="0.25">
      <c r="A5160" s="36">
        <v>99915158</v>
      </c>
      <c r="B5160" s="17" t="s">
        <v>32</v>
      </c>
      <c r="C5160" t="s">
        <v>111</v>
      </c>
      <c r="D5160" t="s">
        <v>112</v>
      </c>
      <c r="G5160" s="17" t="s">
        <v>48</v>
      </c>
      <c r="H5160" s="17">
        <v>14</v>
      </c>
      <c r="J5160" s="1">
        <v>43344</v>
      </c>
      <c r="K5160" t="s">
        <v>354</v>
      </c>
      <c r="L5160" t="s">
        <v>355</v>
      </c>
      <c r="M5160" t="s">
        <v>131</v>
      </c>
      <c r="N5160">
        <v>13</v>
      </c>
      <c r="O5160" t="s">
        <v>40</v>
      </c>
      <c r="P5160" t="s">
        <v>40</v>
      </c>
      <c r="Q5160" t="s">
        <v>40</v>
      </c>
      <c r="R5160" t="s">
        <v>40</v>
      </c>
      <c r="S5160" t="s">
        <v>40</v>
      </c>
      <c r="U5160" s="1">
        <v>43344</v>
      </c>
      <c r="V5160" t="s">
        <v>41</v>
      </c>
      <c r="W5160" t="s">
        <v>75</v>
      </c>
      <c r="X5160" t="str">
        <f>"7054006"</f>
        <v>7054006</v>
      </c>
      <c r="Y5160" t="s">
        <v>774</v>
      </c>
      <c r="Z5160" t="s">
        <v>354</v>
      </c>
      <c r="AA5160" t="s">
        <v>355</v>
      </c>
      <c r="AB5160" t="s">
        <v>131</v>
      </c>
      <c r="AC5160" t="s">
        <v>51</v>
      </c>
      <c r="AD5160" t="s">
        <v>45</v>
      </c>
      <c r="AE5160" s="1">
        <v>20974</v>
      </c>
      <c r="AF5160">
        <v>1</v>
      </c>
      <c r="AG5160" t="s">
        <v>355</v>
      </c>
      <c r="AH5160" s="36">
        <f t="shared" si="80"/>
        <v>62.452777777777776</v>
      </c>
      <c r="AI5160" s="41" t="s">
        <v>1783</v>
      </c>
    </row>
    <row r="5161" spans="1:35" x14ac:dyDescent="0.25">
      <c r="A5161" s="36">
        <v>99915159</v>
      </c>
      <c r="B5161" s="17" t="s">
        <v>32</v>
      </c>
      <c r="C5161" t="s">
        <v>1290</v>
      </c>
      <c r="D5161" t="s">
        <v>1291</v>
      </c>
      <c r="G5161" s="17" t="s">
        <v>35</v>
      </c>
      <c r="H5161" s="17">
        <v>1</v>
      </c>
      <c r="K5161" t="s">
        <v>1268</v>
      </c>
      <c r="L5161" t="s">
        <v>1269</v>
      </c>
      <c r="M5161" t="s">
        <v>1270</v>
      </c>
      <c r="N5161">
        <v>18</v>
      </c>
      <c r="O5161" t="s">
        <v>40</v>
      </c>
      <c r="P5161" t="s">
        <v>40</v>
      </c>
      <c r="Q5161" t="s">
        <v>40</v>
      </c>
      <c r="R5161" t="s">
        <v>40</v>
      </c>
      <c r="S5161" t="s">
        <v>40</v>
      </c>
      <c r="V5161" t="s">
        <v>41</v>
      </c>
      <c r="W5161" t="s">
        <v>922</v>
      </c>
      <c r="X5161" t="str">
        <f>"1950001"</f>
        <v>1950001</v>
      </c>
      <c r="Y5161" t="s">
        <v>1284</v>
      </c>
      <c r="Z5161" t="s">
        <v>1268</v>
      </c>
      <c r="AA5161" t="s">
        <v>1269</v>
      </c>
      <c r="AB5161" t="s">
        <v>1270</v>
      </c>
      <c r="AC5161" t="s">
        <v>51</v>
      </c>
      <c r="AD5161" t="s">
        <v>45</v>
      </c>
      <c r="AE5161" s="1">
        <v>20965</v>
      </c>
      <c r="AF5161">
        <v>2</v>
      </c>
      <c r="AG5161" t="s">
        <v>1269</v>
      </c>
      <c r="AH5161" s="36">
        <f t="shared" si="80"/>
        <v>62.477777777777774</v>
      </c>
      <c r="AI5161" s="41" t="s">
        <v>1783</v>
      </c>
    </row>
    <row r="5162" spans="1:35" x14ac:dyDescent="0.25">
      <c r="A5162" s="36">
        <v>99915160</v>
      </c>
      <c r="B5162" s="17" t="s">
        <v>56</v>
      </c>
      <c r="C5162" t="s">
        <v>52</v>
      </c>
      <c r="D5162" t="s">
        <v>53</v>
      </c>
      <c r="G5162" s="17" t="s">
        <v>48</v>
      </c>
      <c r="H5162" s="17">
        <v>1</v>
      </c>
      <c r="K5162" t="s">
        <v>345</v>
      </c>
      <c r="L5162" t="s">
        <v>346</v>
      </c>
      <c r="M5162" t="s">
        <v>131</v>
      </c>
      <c r="N5162">
        <v>18</v>
      </c>
      <c r="O5162" t="s">
        <v>40</v>
      </c>
      <c r="P5162" t="s">
        <v>40</v>
      </c>
      <c r="Q5162" t="s">
        <v>40</v>
      </c>
      <c r="R5162" t="s">
        <v>40</v>
      </c>
      <c r="S5162" t="s">
        <v>40</v>
      </c>
      <c r="V5162" t="s">
        <v>41</v>
      </c>
      <c r="W5162" t="s">
        <v>49</v>
      </c>
      <c r="X5162" t="str">
        <f>"0561021"</f>
        <v>0561021</v>
      </c>
      <c r="Y5162" t="s">
        <v>352</v>
      </c>
      <c r="Z5162" t="s">
        <v>345</v>
      </c>
      <c r="AA5162" t="s">
        <v>346</v>
      </c>
      <c r="AB5162" t="s">
        <v>131</v>
      </c>
      <c r="AC5162" t="s">
        <v>51</v>
      </c>
      <c r="AD5162" t="s">
        <v>45</v>
      </c>
      <c r="AE5162" s="1">
        <v>20963</v>
      </c>
      <c r="AF5162">
        <v>2</v>
      </c>
      <c r="AG5162" t="s">
        <v>346</v>
      </c>
      <c r="AH5162" s="36">
        <f t="shared" si="80"/>
        <v>62.483333333333334</v>
      </c>
      <c r="AI5162" s="41" t="s">
        <v>1783</v>
      </c>
    </row>
    <row r="5163" spans="1:35" x14ac:dyDescent="0.25">
      <c r="A5163" s="36">
        <v>99915161</v>
      </c>
      <c r="B5163" s="17" t="s">
        <v>56</v>
      </c>
      <c r="C5163" t="s">
        <v>64</v>
      </c>
      <c r="D5163" t="s">
        <v>65</v>
      </c>
      <c r="G5163" s="17" t="s">
        <v>35</v>
      </c>
      <c r="H5163" s="17">
        <v>1</v>
      </c>
      <c r="K5163" t="s">
        <v>223</v>
      </c>
      <c r="L5163" t="s">
        <v>224</v>
      </c>
      <c r="M5163" t="s">
        <v>131</v>
      </c>
      <c r="N5163">
        <v>23</v>
      </c>
      <c r="O5163" t="s">
        <v>40</v>
      </c>
      <c r="P5163" t="s">
        <v>40</v>
      </c>
      <c r="Q5163" t="s">
        <v>40</v>
      </c>
      <c r="S5163" t="s">
        <v>40</v>
      </c>
      <c r="V5163" t="s">
        <v>41</v>
      </c>
      <c r="W5163" t="s">
        <v>49</v>
      </c>
      <c r="X5163" t="str">
        <f>"0581207"</f>
        <v>0581207</v>
      </c>
      <c r="Y5163" t="s">
        <v>233</v>
      </c>
      <c r="Z5163" t="s">
        <v>223</v>
      </c>
      <c r="AA5163" t="s">
        <v>224</v>
      </c>
      <c r="AB5163" t="s">
        <v>131</v>
      </c>
      <c r="AC5163" t="s">
        <v>165</v>
      </c>
      <c r="AD5163" t="s">
        <v>45</v>
      </c>
      <c r="AE5163" s="1">
        <v>20960</v>
      </c>
      <c r="AF5163">
        <v>2</v>
      </c>
      <c r="AG5163" t="s">
        <v>224</v>
      </c>
      <c r="AH5163" s="36">
        <f t="shared" si="80"/>
        <v>62.491666666666667</v>
      </c>
      <c r="AI5163" s="41" t="s">
        <v>1783</v>
      </c>
    </row>
    <row r="5164" spans="1:35" x14ac:dyDescent="0.25">
      <c r="A5164" s="36">
        <v>99915162</v>
      </c>
      <c r="B5164" s="17" t="s">
        <v>32</v>
      </c>
      <c r="C5164" t="s">
        <v>139</v>
      </c>
      <c r="D5164" t="s">
        <v>140</v>
      </c>
      <c r="G5164" s="17" t="s">
        <v>48</v>
      </c>
      <c r="H5164" s="17">
        <v>16</v>
      </c>
      <c r="K5164" t="s">
        <v>1268</v>
      </c>
      <c r="L5164" t="s">
        <v>1269</v>
      </c>
      <c r="M5164" t="s">
        <v>1270</v>
      </c>
      <c r="N5164">
        <v>18</v>
      </c>
      <c r="O5164" t="s">
        <v>40</v>
      </c>
      <c r="P5164" t="s">
        <v>40</v>
      </c>
      <c r="Q5164" t="s">
        <v>40</v>
      </c>
      <c r="R5164" t="s">
        <v>40</v>
      </c>
      <c r="S5164" t="s">
        <v>40</v>
      </c>
      <c r="U5164" s="1">
        <v>43344</v>
      </c>
      <c r="V5164" t="s">
        <v>41</v>
      </c>
      <c r="W5164" t="s">
        <v>49</v>
      </c>
      <c r="X5164" t="str">
        <f>"1981055"</f>
        <v>1981055</v>
      </c>
      <c r="Y5164" t="s">
        <v>1280</v>
      </c>
      <c r="Z5164" t="s">
        <v>1268</v>
      </c>
      <c r="AA5164" t="s">
        <v>1269</v>
      </c>
      <c r="AB5164" t="s">
        <v>1270</v>
      </c>
      <c r="AC5164" t="s">
        <v>165</v>
      </c>
      <c r="AD5164" t="s">
        <v>45</v>
      </c>
      <c r="AE5164" s="1">
        <v>20947</v>
      </c>
      <c r="AF5164">
        <v>2</v>
      </c>
      <c r="AG5164" t="s">
        <v>1269</v>
      </c>
      <c r="AH5164" s="36">
        <f t="shared" si="80"/>
        <v>62.527777777777779</v>
      </c>
      <c r="AI5164" s="41" t="s">
        <v>1783</v>
      </c>
    </row>
    <row r="5165" spans="1:35" x14ac:dyDescent="0.25">
      <c r="A5165" s="36">
        <v>99915163</v>
      </c>
      <c r="B5165" s="17" t="s">
        <v>56</v>
      </c>
      <c r="C5165" t="s">
        <v>68</v>
      </c>
      <c r="D5165" t="s">
        <v>69</v>
      </c>
      <c r="G5165" s="17" t="s">
        <v>48</v>
      </c>
      <c r="H5165" s="17">
        <v>16</v>
      </c>
      <c r="K5165" t="s">
        <v>1268</v>
      </c>
      <c r="L5165" t="s">
        <v>1269</v>
      </c>
      <c r="M5165" t="s">
        <v>1270</v>
      </c>
      <c r="N5165">
        <v>18</v>
      </c>
      <c r="O5165" t="s">
        <v>40</v>
      </c>
      <c r="P5165" t="s">
        <v>40</v>
      </c>
      <c r="Q5165" t="s">
        <v>40</v>
      </c>
      <c r="R5165" t="s">
        <v>40</v>
      </c>
      <c r="S5165" t="s">
        <v>40</v>
      </c>
      <c r="V5165" t="s">
        <v>41</v>
      </c>
      <c r="W5165" t="s">
        <v>49</v>
      </c>
      <c r="X5165" t="str">
        <f>"1960001"</f>
        <v>1960001</v>
      </c>
      <c r="Y5165" t="s">
        <v>1272</v>
      </c>
      <c r="Z5165" t="s">
        <v>1268</v>
      </c>
      <c r="AA5165" t="s">
        <v>1269</v>
      </c>
      <c r="AB5165" t="s">
        <v>1270</v>
      </c>
      <c r="AC5165" t="s">
        <v>51</v>
      </c>
      <c r="AD5165" t="s">
        <v>45</v>
      </c>
      <c r="AE5165" s="1">
        <v>20909</v>
      </c>
      <c r="AF5165">
        <v>2</v>
      </c>
      <c r="AG5165" t="s">
        <v>1269</v>
      </c>
      <c r="AH5165" s="36">
        <f t="shared" si="80"/>
        <v>62.633333333333333</v>
      </c>
      <c r="AI5165" s="41" t="s">
        <v>1783</v>
      </c>
    </row>
    <row r="5166" spans="1:35" x14ac:dyDescent="0.25">
      <c r="A5166" s="36">
        <v>99915164</v>
      </c>
      <c r="B5166" s="17" t="s">
        <v>56</v>
      </c>
      <c r="C5166" t="s">
        <v>33</v>
      </c>
      <c r="D5166" t="s">
        <v>34</v>
      </c>
      <c r="G5166" s="17" t="s">
        <v>48</v>
      </c>
      <c r="H5166" s="17">
        <v>1</v>
      </c>
      <c r="K5166" t="s">
        <v>1487</v>
      </c>
      <c r="L5166" t="s">
        <v>1488</v>
      </c>
      <c r="M5166" t="s">
        <v>670</v>
      </c>
      <c r="N5166">
        <v>18</v>
      </c>
      <c r="O5166" t="s">
        <v>40</v>
      </c>
      <c r="P5166" t="s">
        <v>40</v>
      </c>
      <c r="Q5166" t="s">
        <v>40</v>
      </c>
      <c r="R5166" t="s">
        <v>40</v>
      </c>
      <c r="S5166" t="s">
        <v>40</v>
      </c>
      <c r="V5166" t="s">
        <v>41</v>
      </c>
      <c r="W5166" t="s">
        <v>42</v>
      </c>
      <c r="X5166" t="str">
        <f>"1780020"</f>
        <v>1780020</v>
      </c>
      <c r="Y5166" t="s">
        <v>1490</v>
      </c>
      <c r="Z5166" t="s">
        <v>1487</v>
      </c>
      <c r="AA5166" t="s">
        <v>1488</v>
      </c>
      <c r="AB5166" t="s">
        <v>670</v>
      </c>
      <c r="AC5166" t="s">
        <v>51</v>
      </c>
      <c r="AD5166" t="s">
        <v>45</v>
      </c>
      <c r="AE5166" s="1">
        <v>20908</v>
      </c>
      <c r="AF5166">
        <v>2</v>
      </c>
      <c r="AG5166" t="s">
        <v>1488</v>
      </c>
      <c r="AH5166" s="36">
        <f t="shared" si="80"/>
        <v>62.636111111111113</v>
      </c>
      <c r="AI5166" s="41" t="s">
        <v>1783</v>
      </c>
    </row>
    <row r="5167" spans="1:35" x14ac:dyDescent="0.25">
      <c r="A5167" s="36">
        <v>99915165</v>
      </c>
      <c r="B5167" s="17" t="s">
        <v>32</v>
      </c>
      <c r="C5167" t="s">
        <v>46</v>
      </c>
      <c r="D5167" t="s">
        <v>47</v>
      </c>
      <c r="G5167" s="17" t="s">
        <v>35</v>
      </c>
      <c r="H5167" s="17">
        <v>1</v>
      </c>
      <c r="K5167" t="s">
        <v>223</v>
      </c>
      <c r="L5167" t="s">
        <v>224</v>
      </c>
      <c r="M5167" t="s">
        <v>131</v>
      </c>
      <c r="N5167">
        <v>18</v>
      </c>
      <c r="O5167" t="s">
        <v>40</v>
      </c>
      <c r="P5167" t="s">
        <v>40</v>
      </c>
      <c r="Q5167" t="s">
        <v>40</v>
      </c>
      <c r="S5167" t="s">
        <v>40</v>
      </c>
      <c r="V5167" t="s">
        <v>41</v>
      </c>
      <c r="W5167" t="s">
        <v>49</v>
      </c>
      <c r="X5167" t="str">
        <f>"0581207"</f>
        <v>0581207</v>
      </c>
      <c r="Y5167" t="s">
        <v>233</v>
      </c>
      <c r="Z5167" t="s">
        <v>223</v>
      </c>
      <c r="AA5167" t="s">
        <v>224</v>
      </c>
      <c r="AB5167" t="s">
        <v>131</v>
      </c>
      <c r="AC5167" t="s">
        <v>165</v>
      </c>
      <c r="AD5167" t="s">
        <v>45</v>
      </c>
      <c r="AE5167" s="1">
        <v>20905</v>
      </c>
      <c r="AF5167">
        <v>2</v>
      </c>
      <c r="AG5167" t="s">
        <v>224</v>
      </c>
      <c r="AH5167" s="36">
        <f t="shared" si="80"/>
        <v>62.644444444444446</v>
      </c>
      <c r="AI5167" s="41" t="s">
        <v>1783</v>
      </c>
    </row>
    <row r="5168" spans="1:35" x14ac:dyDescent="0.25">
      <c r="A5168" s="36">
        <v>99915166</v>
      </c>
      <c r="B5168" s="17" t="s">
        <v>56</v>
      </c>
      <c r="C5168" t="s">
        <v>52</v>
      </c>
      <c r="D5168" t="s">
        <v>53</v>
      </c>
      <c r="G5168" s="17" t="s">
        <v>48</v>
      </c>
      <c r="H5168" s="17">
        <v>1</v>
      </c>
      <c r="K5168" t="s">
        <v>162</v>
      </c>
      <c r="L5168" t="s">
        <v>158</v>
      </c>
      <c r="M5168" t="s">
        <v>131</v>
      </c>
      <c r="N5168">
        <v>14</v>
      </c>
      <c r="O5168" t="s">
        <v>40</v>
      </c>
      <c r="P5168" t="s">
        <v>40</v>
      </c>
      <c r="Q5168" t="s">
        <v>40</v>
      </c>
      <c r="R5168" t="s">
        <v>40</v>
      </c>
      <c r="S5168" t="s">
        <v>40</v>
      </c>
      <c r="V5168" t="s">
        <v>41</v>
      </c>
      <c r="W5168" t="s">
        <v>42</v>
      </c>
      <c r="X5168" t="str">
        <f>"0580330"</f>
        <v>0580330</v>
      </c>
      <c r="Y5168" t="s">
        <v>176</v>
      </c>
      <c r="Z5168" t="s">
        <v>162</v>
      </c>
      <c r="AA5168" t="s">
        <v>158</v>
      </c>
      <c r="AB5168" t="s">
        <v>131</v>
      </c>
      <c r="AC5168" t="s">
        <v>51</v>
      </c>
      <c r="AD5168" t="s">
        <v>45</v>
      </c>
      <c r="AE5168" s="1">
        <v>20894</v>
      </c>
      <c r="AF5168">
        <v>2</v>
      </c>
      <c r="AG5168" t="s">
        <v>158</v>
      </c>
      <c r="AH5168" s="36">
        <f t="shared" si="80"/>
        <v>62.674999999999997</v>
      </c>
      <c r="AI5168" s="41" t="s">
        <v>1783</v>
      </c>
    </row>
    <row r="5169" spans="1:35" x14ac:dyDescent="0.25">
      <c r="A5169" s="36">
        <v>99915167</v>
      </c>
      <c r="B5169" s="17" t="s">
        <v>56</v>
      </c>
      <c r="C5169" t="s">
        <v>143</v>
      </c>
      <c r="D5169" t="s">
        <v>144</v>
      </c>
      <c r="G5169" s="17" t="s">
        <v>35</v>
      </c>
      <c r="H5169" s="17">
        <v>1</v>
      </c>
      <c r="I5169">
        <v>18261</v>
      </c>
      <c r="J5169" s="1">
        <v>43344</v>
      </c>
      <c r="K5169" t="s">
        <v>223</v>
      </c>
      <c r="L5169" t="s">
        <v>224</v>
      </c>
      <c r="M5169" t="s">
        <v>131</v>
      </c>
      <c r="N5169">
        <v>4</v>
      </c>
      <c r="O5169" t="s">
        <v>40</v>
      </c>
      <c r="P5169" t="s">
        <v>40</v>
      </c>
      <c r="Q5169" t="s">
        <v>40</v>
      </c>
      <c r="R5169" t="s">
        <v>40</v>
      </c>
      <c r="S5169" t="s">
        <v>40</v>
      </c>
      <c r="U5169" s="1">
        <v>43344</v>
      </c>
      <c r="V5169" t="s">
        <v>41</v>
      </c>
      <c r="W5169" t="s">
        <v>49</v>
      </c>
      <c r="X5169" t="str">
        <f>"0560008"</f>
        <v>0560008</v>
      </c>
      <c r="Y5169" t="s">
        <v>263</v>
      </c>
      <c r="Z5169" t="s">
        <v>223</v>
      </c>
      <c r="AA5169" t="s">
        <v>224</v>
      </c>
      <c r="AB5169" t="s">
        <v>131</v>
      </c>
      <c r="AC5169" t="s">
        <v>44</v>
      </c>
      <c r="AD5169" t="s">
        <v>45</v>
      </c>
      <c r="AE5169" s="1">
        <v>20862</v>
      </c>
      <c r="AF5169">
        <v>2</v>
      </c>
      <c r="AG5169" t="s">
        <v>224</v>
      </c>
      <c r="AH5169" s="36">
        <f t="shared" si="80"/>
        <v>62.763888888888886</v>
      </c>
      <c r="AI5169" s="41" t="s">
        <v>1783</v>
      </c>
    </row>
    <row r="5170" spans="1:35" x14ac:dyDescent="0.25">
      <c r="A5170" s="36">
        <v>99915168</v>
      </c>
      <c r="B5170" s="17" t="s">
        <v>32</v>
      </c>
      <c r="C5170" t="s">
        <v>111</v>
      </c>
      <c r="D5170" t="s">
        <v>112</v>
      </c>
      <c r="G5170" s="17" t="s">
        <v>35</v>
      </c>
      <c r="H5170" s="17">
        <v>1</v>
      </c>
      <c r="I5170" s="1">
        <v>30560</v>
      </c>
      <c r="J5170" s="1">
        <v>43344</v>
      </c>
      <c r="K5170" t="s">
        <v>1341</v>
      </c>
      <c r="L5170" t="s">
        <v>1342</v>
      </c>
      <c r="M5170" t="s">
        <v>1270</v>
      </c>
      <c r="N5170">
        <v>24</v>
      </c>
      <c r="O5170" t="s">
        <v>40</v>
      </c>
      <c r="S5170" t="s">
        <v>40</v>
      </c>
      <c r="U5170" s="1">
        <v>43344</v>
      </c>
      <c r="V5170" t="s">
        <v>41</v>
      </c>
      <c r="W5170" t="s">
        <v>75</v>
      </c>
      <c r="X5170" t="str">
        <f>"7191000"</f>
        <v>7191000</v>
      </c>
      <c r="Y5170" t="s">
        <v>1347</v>
      </c>
      <c r="Z5170" t="s">
        <v>1341</v>
      </c>
      <c r="AA5170" t="s">
        <v>1342</v>
      </c>
      <c r="AB5170" t="s">
        <v>1270</v>
      </c>
      <c r="AC5170" t="s">
        <v>51</v>
      </c>
      <c r="AD5170" t="s">
        <v>45</v>
      </c>
      <c r="AE5170" s="1">
        <v>20862</v>
      </c>
      <c r="AF5170">
        <v>1</v>
      </c>
      <c r="AG5170" t="s">
        <v>1342</v>
      </c>
      <c r="AH5170" s="36">
        <f t="shared" si="80"/>
        <v>62.763888888888886</v>
      </c>
      <c r="AI5170" s="41" t="s">
        <v>1783</v>
      </c>
    </row>
    <row r="5171" spans="1:35" x14ac:dyDescent="0.25">
      <c r="A5171" s="36">
        <v>99915169</v>
      </c>
      <c r="B5171" s="17" t="s">
        <v>32</v>
      </c>
      <c r="C5171" t="s">
        <v>71</v>
      </c>
      <c r="D5171" t="s">
        <v>72</v>
      </c>
      <c r="G5171" s="17" t="s">
        <v>35</v>
      </c>
      <c r="H5171" s="17">
        <v>1</v>
      </c>
      <c r="K5171" t="s">
        <v>223</v>
      </c>
      <c r="L5171" t="s">
        <v>224</v>
      </c>
      <c r="M5171" t="s">
        <v>131</v>
      </c>
      <c r="N5171">
        <v>18</v>
      </c>
      <c r="O5171" t="s">
        <v>40</v>
      </c>
      <c r="P5171" t="s">
        <v>40</v>
      </c>
      <c r="Q5171" t="s">
        <v>40</v>
      </c>
      <c r="S5171" t="s">
        <v>40</v>
      </c>
      <c r="V5171" t="s">
        <v>41</v>
      </c>
      <c r="W5171" t="s">
        <v>42</v>
      </c>
      <c r="X5171" t="str">
        <f>"0590903"</f>
        <v>0590903</v>
      </c>
      <c r="Y5171" t="s">
        <v>226</v>
      </c>
      <c r="Z5171" t="s">
        <v>223</v>
      </c>
      <c r="AA5171" t="s">
        <v>224</v>
      </c>
      <c r="AB5171" t="s">
        <v>131</v>
      </c>
      <c r="AC5171" t="s">
        <v>51</v>
      </c>
      <c r="AD5171" t="s">
        <v>45</v>
      </c>
      <c r="AE5171" s="1">
        <v>20854</v>
      </c>
      <c r="AF5171">
        <v>2</v>
      </c>
      <c r="AG5171" t="s">
        <v>224</v>
      </c>
      <c r="AH5171" s="36">
        <f t="shared" si="80"/>
        <v>62.786111111111111</v>
      </c>
      <c r="AI5171" s="41" t="s">
        <v>1783</v>
      </c>
    </row>
    <row r="5172" spans="1:35" x14ac:dyDescent="0.25">
      <c r="A5172" s="36">
        <v>99915170</v>
      </c>
      <c r="B5172" s="17" t="s">
        <v>56</v>
      </c>
      <c r="C5172" t="s">
        <v>52</v>
      </c>
      <c r="D5172" t="s">
        <v>53</v>
      </c>
      <c r="G5172" s="17" t="s">
        <v>35</v>
      </c>
      <c r="H5172" s="17">
        <v>1</v>
      </c>
      <c r="K5172" t="s">
        <v>223</v>
      </c>
      <c r="L5172" t="s">
        <v>224</v>
      </c>
      <c r="M5172" t="s">
        <v>131</v>
      </c>
      <c r="N5172">
        <v>4</v>
      </c>
      <c r="O5172" t="s">
        <v>40</v>
      </c>
      <c r="P5172" t="s">
        <v>40</v>
      </c>
      <c r="Q5172" t="s">
        <v>40</v>
      </c>
      <c r="R5172" t="s">
        <v>40</v>
      </c>
      <c r="S5172" t="s">
        <v>40</v>
      </c>
      <c r="V5172" t="s">
        <v>41</v>
      </c>
      <c r="W5172" t="s">
        <v>49</v>
      </c>
      <c r="X5172" t="str">
        <f>"0591901"</f>
        <v>0591901</v>
      </c>
      <c r="Y5172" t="s">
        <v>230</v>
      </c>
      <c r="Z5172" t="s">
        <v>223</v>
      </c>
      <c r="AA5172" t="s">
        <v>224</v>
      </c>
      <c r="AB5172" t="s">
        <v>131</v>
      </c>
      <c r="AC5172" t="s">
        <v>51</v>
      </c>
      <c r="AD5172" t="s">
        <v>45</v>
      </c>
      <c r="AE5172" s="1">
        <v>20841</v>
      </c>
      <c r="AF5172">
        <v>2</v>
      </c>
      <c r="AG5172" t="s">
        <v>224</v>
      </c>
      <c r="AH5172" s="36">
        <f t="shared" si="80"/>
        <v>62.822222222222223</v>
      </c>
      <c r="AI5172" s="41" t="s">
        <v>1783</v>
      </c>
    </row>
    <row r="5173" spans="1:35" x14ac:dyDescent="0.25">
      <c r="A5173" s="36">
        <v>99915171</v>
      </c>
      <c r="B5173" s="17" t="s">
        <v>32</v>
      </c>
      <c r="C5173" t="s">
        <v>90</v>
      </c>
      <c r="D5173" t="s">
        <v>91</v>
      </c>
      <c r="G5173" s="17" t="s">
        <v>48</v>
      </c>
      <c r="H5173" s="17">
        <v>1</v>
      </c>
      <c r="K5173" t="s">
        <v>1457</v>
      </c>
      <c r="L5173" t="s">
        <v>1458</v>
      </c>
      <c r="M5173" t="s">
        <v>1270</v>
      </c>
      <c r="N5173">
        <v>25</v>
      </c>
      <c r="O5173" t="s">
        <v>40</v>
      </c>
      <c r="P5173" t="s">
        <v>40</v>
      </c>
      <c r="Q5173" t="s">
        <v>40</v>
      </c>
      <c r="S5173" t="s">
        <v>40</v>
      </c>
      <c r="V5173" t="s">
        <v>41</v>
      </c>
      <c r="W5173" t="s">
        <v>95</v>
      </c>
      <c r="X5173" t="str">
        <f>"7161001"</f>
        <v>7161001</v>
      </c>
      <c r="Y5173" t="s">
        <v>1459</v>
      </c>
      <c r="Z5173" t="s">
        <v>1457</v>
      </c>
      <c r="AA5173" t="s">
        <v>1458</v>
      </c>
      <c r="AB5173" t="s">
        <v>1270</v>
      </c>
      <c r="AC5173" t="s">
        <v>51</v>
      </c>
      <c r="AD5173" t="s">
        <v>45</v>
      </c>
      <c r="AE5173" s="1">
        <v>20838</v>
      </c>
      <c r="AF5173">
        <v>1</v>
      </c>
      <c r="AG5173" t="s">
        <v>1458</v>
      </c>
      <c r="AH5173" s="36">
        <f t="shared" si="80"/>
        <v>62.830555555555556</v>
      </c>
      <c r="AI5173" s="41" t="s">
        <v>1783</v>
      </c>
    </row>
    <row r="5174" spans="1:35" x14ac:dyDescent="0.25">
      <c r="A5174" s="36">
        <v>99915172</v>
      </c>
      <c r="B5174" s="17" t="s">
        <v>32</v>
      </c>
      <c r="C5174" t="s">
        <v>111</v>
      </c>
      <c r="D5174" t="s">
        <v>112</v>
      </c>
      <c r="G5174" s="17" t="s">
        <v>35</v>
      </c>
      <c r="H5174" s="17">
        <v>1</v>
      </c>
      <c r="K5174" t="s">
        <v>268</v>
      </c>
      <c r="L5174" t="s">
        <v>269</v>
      </c>
      <c r="M5174" t="s">
        <v>131</v>
      </c>
      <c r="N5174">
        <v>6</v>
      </c>
      <c r="O5174" t="s">
        <v>40</v>
      </c>
      <c r="P5174" t="s">
        <v>40</v>
      </c>
      <c r="Q5174" t="s">
        <v>40</v>
      </c>
      <c r="R5174" t="s">
        <v>40</v>
      </c>
      <c r="S5174" t="s">
        <v>40</v>
      </c>
      <c r="V5174" t="s">
        <v>41</v>
      </c>
      <c r="W5174" t="s">
        <v>75</v>
      </c>
      <c r="X5174" t="str">
        <f>"7052006"</f>
        <v>7052006</v>
      </c>
      <c r="Y5174" t="s">
        <v>575</v>
      </c>
      <c r="Z5174" t="s">
        <v>268</v>
      </c>
      <c r="AA5174" t="s">
        <v>269</v>
      </c>
      <c r="AB5174" t="s">
        <v>131</v>
      </c>
      <c r="AC5174" t="s">
        <v>165</v>
      </c>
      <c r="AD5174" t="s">
        <v>45</v>
      </c>
      <c r="AE5174" s="1">
        <v>20829</v>
      </c>
      <c r="AF5174">
        <v>1</v>
      </c>
      <c r="AG5174" t="s">
        <v>269</v>
      </c>
      <c r="AH5174" s="36">
        <f t="shared" si="80"/>
        <v>62.855555555555554</v>
      </c>
      <c r="AI5174" s="41" t="s">
        <v>1783</v>
      </c>
    </row>
    <row r="5175" spans="1:35" x14ac:dyDescent="0.25">
      <c r="A5175" s="36">
        <v>99915173</v>
      </c>
      <c r="B5175" s="17" t="s">
        <v>56</v>
      </c>
      <c r="C5175" t="s">
        <v>33</v>
      </c>
      <c r="D5175" t="s">
        <v>34</v>
      </c>
      <c r="G5175" s="17" t="s">
        <v>48</v>
      </c>
      <c r="H5175" s="17">
        <v>5</v>
      </c>
      <c r="K5175" t="s">
        <v>345</v>
      </c>
      <c r="L5175" t="s">
        <v>346</v>
      </c>
      <c r="M5175" t="s">
        <v>131</v>
      </c>
      <c r="N5175">
        <v>21</v>
      </c>
      <c r="O5175" t="s">
        <v>40</v>
      </c>
      <c r="P5175" t="s">
        <v>40</v>
      </c>
      <c r="Q5175" t="s">
        <v>40</v>
      </c>
      <c r="R5175" t="s">
        <v>40</v>
      </c>
      <c r="S5175" t="s">
        <v>40</v>
      </c>
      <c r="V5175" t="s">
        <v>41</v>
      </c>
      <c r="W5175" t="s">
        <v>42</v>
      </c>
      <c r="X5175" t="str">
        <f>"0561019"</f>
        <v>0561019</v>
      </c>
      <c r="Y5175" t="s">
        <v>351</v>
      </c>
      <c r="Z5175" t="s">
        <v>345</v>
      </c>
      <c r="AA5175" t="s">
        <v>346</v>
      </c>
      <c r="AB5175" t="s">
        <v>131</v>
      </c>
      <c r="AC5175" t="s">
        <v>51</v>
      </c>
      <c r="AD5175" t="s">
        <v>45</v>
      </c>
      <c r="AE5175" s="1">
        <v>20821</v>
      </c>
      <c r="AF5175">
        <v>2</v>
      </c>
      <c r="AG5175" t="s">
        <v>346</v>
      </c>
      <c r="AH5175" s="36">
        <f t="shared" si="80"/>
        <v>62.87777777777778</v>
      </c>
      <c r="AI5175" s="41" t="s">
        <v>1783</v>
      </c>
    </row>
    <row r="5176" spans="1:35" x14ac:dyDescent="0.25">
      <c r="A5176" s="36">
        <v>99915174</v>
      </c>
      <c r="B5176" s="17" t="s">
        <v>56</v>
      </c>
      <c r="C5176" t="s">
        <v>46</v>
      </c>
      <c r="D5176" t="s">
        <v>47</v>
      </c>
      <c r="G5176" s="17" t="s">
        <v>48</v>
      </c>
      <c r="H5176" s="17">
        <v>1</v>
      </c>
      <c r="K5176" t="s">
        <v>1187</v>
      </c>
      <c r="L5176" t="s">
        <v>1188</v>
      </c>
      <c r="M5176" t="s">
        <v>1130</v>
      </c>
      <c r="N5176">
        <v>20</v>
      </c>
      <c r="O5176" t="s">
        <v>40</v>
      </c>
      <c r="P5176" t="s">
        <v>40</v>
      </c>
      <c r="Q5176" t="s">
        <v>40</v>
      </c>
      <c r="S5176" t="s">
        <v>40</v>
      </c>
      <c r="V5176" t="s">
        <v>41</v>
      </c>
      <c r="W5176" t="s">
        <v>42</v>
      </c>
      <c r="X5176" t="str">
        <f>"4580015"</f>
        <v>4580015</v>
      </c>
      <c r="Y5176" t="s">
        <v>1189</v>
      </c>
      <c r="Z5176" t="s">
        <v>1187</v>
      </c>
      <c r="AA5176" t="s">
        <v>1188</v>
      </c>
      <c r="AB5176" t="s">
        <v>1130</v>
      </c>
      <c r="AC5176" t="s">
        <v>51</v>
      </c>
      <c r="AD5176" t="s">
        <v>45</v>
      </c>
      <c r="AE5176" s="1">
        <v>20821</v>
      </c>
      <c r="AF5176">
        <v>2</v>
      </c>
      <c r="AG5176" t="s">
        <v>1188</v>
      </c>
      <c r="AH5176" s="36">
        <f t="shared" si="80"/>
        <v>62.87777777777778</v>
      </c>
      <c r="AI5176" s="41" t="s">
        <v>1783</v>
      </c>
    </row>
    <row r="5177" spans="1:35" x14ac:dyDescent="0.25">
      <c r="A5177" s="36">
        <v>99915175</v>
      </c>
      <c r="B5177" s="17" t="s">
        <v>56</v>
      </c>
      <c r="C5177" t="s">
        <v>139</v>
      </c>
      <c r="D5177" t="s">
        <v>140</v>
      </c>
      <c r="G5177" s="17" t="s">
        <v>48</v>
      </c>
      <c r="H5177" s="17">
        <v>1</v>
      </c>
      <c r="K5177" t="s">
        <v>380</v>
      </c>
      <c r="L5177" t="s">
        <v>381</v>
      </c>
      <c r="M5177" t="s">
        <v>131</v>
      </c>
      <c r="N5177">
        <v>18</v>
      </c>
      <c r="O5177" t="s">
        <v>40</v>
      </c>
      <c r="P5177" t="s">
        <v>40</v>
      </c>
      <c r="Q5177" t="s">
        <v>40</v>
      </c>
      <c r="S5177" t="s">
        <v>40</v>
      </c>
      <c r="V5177" t="s">
        <v>41</v>
      </c>
      <c r="W5177" t="s">
        <v>42</v>
      </c>
      <c r="X5177" t="str">
        <f>"0590909"</f>
        <v>0590909</v>
      </c>
      <c r="Y5177" t="s">
        <v>388</v>
      </c>
      <c r="Z5177" t="s">
        <v>380</v>
      </c>
      <c r="AA5177" t="s">
        <v>381</v>
      </c>
      <c r="AB5177" t="s">
        <v>131</v>
      </c>
      <c r="AC5177" t="s">
        <v>51</v>
      </c>
      <c r="AD5177" t="s">
        <v>45</v>
      </c>
      <c r="AE5177" s="1">
        <v>20798</v>
      </c>
      <c r="AF5177">
        <v>2</v>
      </c>
      <c r="AG5177" t="s">
        <v>381</v>
      </c>
      <c r="AH5177" s="36">
        <f t="shared" si="80"/>
        <v>62.94166666666667</v>
      </c>
      <c r="AI5177" s="41" t="s">
        <v>1783</v>
      </c>
    </row>
    <row r="5178" spans="1:35" x14ac:dyDescent="0.25">
      <c r="A5178" s="36">
        <v>99915176</v>
      </c>
      <c r="B5178" s="17" t="s">
        <v>56</v>
      </c>
      <c r="C5178" t="s">
        <v>52</v>
      </c>
      <c r="D5178" t="s">
        <v>53</v>
      </c>
      <c r="G5178" s="17" t="s">
        <v>48</v>
      </c>
      <c r="H5178" s="17">
        <v>1</v>
      </c>
      <c r="K5178" t="s">
        <v>1051</v>
      </c>
      <c r="L5178" t="s">
        <v>1052</v>
      </c>
      <c r="M5178" t="s">
        <v>1053</v>
      </c>
      <c r="N5178">
        <v>21</v>
      </c>
      <c r="O5178" t="s">
        <v>40</v>
      </c>
      <c r="P5178" t="s">
        <v>40</v>
      </c>
      <c r="Q5178" t="s">
        <v>40</v>
      </c>
      <c r="R5178" t="s">
        <v>40</v>
      </c>
      <c r="S5178" t="s">
        <v>40</v>
      </c>
      <c r="V5178" t="s">
        <v>41</v>
      </c>
      <c r="W5178" t="s">
        <v>42</v>
      </c>
      <c r="X5178" t="str">
        <f>"2061001"</f>
        <v>2061001</v>
      </c>
      <c r="Y5178" t="s">
        <v>1058</v>
      </c>
      <c r="Z5178" t="s">
        <v>1051</v>
      </c>
      <c r="AA5178" t="s">
        <v>1052</v>
      </c>
      <c r="AB5178" t="s">
        <v>1053</v>
      </c>
      <c r="AC5178" t="s">
        <v>51</v>
      </c>
      <c r="AD5178" t="s">
        <v>45</v>
      </c>
      <c r="AE5178" s="1">
        <v>20774</v>
      </c>
      <c r="AF5178">
        <v>2</v>
      </c>
      <c r="AG5178" t="s">
        <v>1052</v>
      </c>
      <c r="AH5178" s="36">
        <f t="shared" si="80"/>
        <v>63.008333333333333</v>
      </c>
      <c r="AI5178" s="41" t="s">
        <v>1783</v>
      </c>
    </row>
    <row r="5179" spans="1:35" x14ac:dyDescent="0.25">
      <c r="A5179" s="36">
        <v>99915177</v>
      </c>
      <c r="B5179" s="17" t="s">
        <v>56</v>
      </c>
      <c r="C5179" t="s">
        <v>79</v>
      </c>
      <c r="D5179" t="s">
        <v>80</v>
      </c>
      <c r="G5179" s="17" t="s">
        <v>48</v>
      </c>
      <c r="H5179" s="17">
        <v>16</v>
      </c>
      <c r="K5179" t="s">
        <v>1268</v>
      </c>
      <c r="L5179" t="s">
        <v>1269</v>
      </c>
      <c r="M5179" t="s">
        <v>1270</v>
      </c>
      <c r="N5179">
        <v>18</v>
      </c>
      <c r="O5179" t="s">
        <v>40</v>
      </c>
      <c r="P5179" t="s">
        <v>40</v>
      </c>
      <c r="Q5179" t="s">
        <v>40</v>
      </c>
      <c r="R5179" t="s">
        <v>40</v>
      </c>
      <c r="S5179" t="s">
        <v>40</v>
      </c>
      <c r="U5179" s="1">
        <v>43344</v>
      </c>
      <c r="V5179" t="s">
        <v>41</v>
      </c>
      <c r="W5179" t="s">
        <v>42</v>
      </c>
      <c r="X5179" t="str">
        <f>"1980055"</f>
        <v>1980055</v>
      </c>
      <c r="Y5179" t="s">
        <v>1285</v>
      </c>
      <c r="Z5179" t="s">
        <v>1268</v>
      </c>
      <c r="AA5179" t="s">
        <v>1269</v>
      </c>
      <c r="AB5179" t="s">
        <v>1270</v>
      </c>
      <c r="AC5179" t="s">
        <v>165</v>
      </c>
      <c r="AD5179" t="s">
        <v>45</v>
      </c>
      <c r="AE5179" s="1">
        <v>20769</v>
      </c>
      <c r="AF5179">
        <v>2</v>
      </c>
      <c r="AG5179" t="s">
        <v>1269</v>
      </c>
      <c r="AH5179" s="36">
        <f t="shared" si="80"/>
        <v>63.022222222222226</v>
      </c>
      <c r="AI5179" s="41" t="s">
        <v>1783</v>
      </c>
    </row>
    <row r="5180" spans="1:35" x14ac:dyDescent="0.25">
      <c r="A5180" s="36">
        <v>99915178</v>
      </c>
      <c r="B5180" s="17" t="s">
        <v>32</v>
      </c>
      <c r="C5180" t="s">
        <v>46</v>
      </c>
      <c r="D5180" t="s">
        <v>47</v>
      </c>
      <c r="G5180" s="17" t="s">
        <v>48</v>
      </c>
      <c r="H5180" s="17">
        <v>1</v>
      </c>
      <c r="K5180" t="s">
        <v>223</v>
      </c>
      <c r="L5180" t="s">
        <v>224</v>
      </c>
      <c r="M5180" t="s">
        <v>131</v>
      </c>
      <c r="N5180">
        <v>18</v>
      </c>
      <c r="O5180" t="s">
        <v>40</v>
      </c>
      <c r="P5180" t="s">
        <v>40</v>
      </c>
      <c r="Q5180" t="s">
        <v>40</v>
      </c>
      <c r="S5180" t="s">
        <v>40</v>
      </c>
      <c r="V5180" t="s">
        <v>41</v>
      </c>
      <c r="W5180" t="s">
        <v>42</v>
      </c>
      <c r="X5180" t="str">
        <f>"0580395"</f>
        <v>0580395</v>
      </c>
      <c r="Y5180" t="s">
        <v>265</v>
      </c>
      <c r="Z5180" t="s">
        <v>223</v>
      </c>
      <c r="AA5180" t="s">
        <v>224</v>
      </c>
      <c r="AB5180" t="s">
        <v>131</v>
      </c>
      <c r="AC5180" t="s">
        <v>51</v>
      </c>
      <c r="AD5180" t="s">
        <v>45</v>
      </c>
      <c r="AE5180" s="1">
        <v>20768</v>
      </c>
      <c r="AF5180">
        <v>2</v>
      </c>
      <c r="AG5180" t="s">
        <v>224</v>
      </c>
      <c r="AH5180" s="36">
        <f t="shared" si="80"/>
        <v>63.024999999999999</v>
      </c>
      <c r="AI5180" s="41" t="s">
        <v>1783</v>
      </c>
    </row>
    <row r="5181" spans="1:35" x14ac:dyDescent="0.25">
      <c r="A5181" s="36">
        <v>99915179</v>
      </c>
      <c r="B5181" s="17" t="s">
        <v>32</v>
      </c>
      <c r="C5181" t="s">
        <v>46</v>
      </c>
      <c r="D5181" t="s">
        <v>47</v>
      </c>
      <c r="G5181" s="17" t="s">
        <v>48</v>
      </c>
      <c r="H5181" s="17">
        <v>1</v>
      </c>
      <c r="K5181" t="s">
        <v>223</v>
      </c>
      <c r="L5181" t="s">
        <v>224</v>
      </c>
      <c r="M5181" t="s">
        <v>131</v>
      </c>
      <c r="N5181">
        <v>18</v>
      </c>
      <c r="O5181" t="s">
        <v>40</v>
      </c>
      <c r="P5181" t="s">
        <v>40</v>
      </c>
      <c r="Q5181" t="s">
        <v>40</v>
      </c>
      <c r="R5181" t="s">
        <v>40</v>
      </c>
      <c r="S5181" t="s">
        <v>40</v>
      </c>
      <c r="V5181" t="s">
        <v>41</v>
      </c>
      <c r="W5181" t="s">
        <v>49</v>
      </c>
      <c r="X5181" t="str">
        <f>"0581204"</f>
        <v>0581204</v>
      </c>
      <c r="Y5181" t="s">
        <v>249</v>
      </c>
      <c r="Z5181" t="s">
        <v>223</v>
      </c>
      <c r="AA5181" t="s">
        <v>224</v>
      </c>
      <c r="AB5181" t="s">
        <v>131</v>
      </c>
      <c r="AC5181" t="s">
        <v>165</v>
      </c>
      <c r="AD5181" t="s">
        <v>45</v>
      </c>
      <c r="AE5181" s="1">
        <v>20765</v>
      </c>
      <c r="AF5181">
        <v>2</v>
      </c>
      <c r="AG5181" t="s">
        <v>224</v>
      </c>
      <c r="AH5181" s="36">
        <f t="shared" si="80"/>
        <v>63.033333333333331</v>
      </c>
      <c r="AI5181" s="41" t="s">
        <v>1783</v>
      </c>
    </row>
    <row r="5182" spans="1:35" x14ac:dyDescent="0.25">
      <c r="A5182" s="36">
        <v>99915180</v>
      </c>
      <c r="B5182" s="17" t="s">
        <v>32</v>
      </c>
      <c r="C5182" t="s">
        <v>64</v>
      </c>
      <c r="D5182" t="s">
        <v>65</v>
      </c>
      <c r="G5182" s="17" t="s">
        <v>35</v>
      </c>
      <c r="H5182" s="17">
        <v>1</v>
      </c>
      <c r="K5182" t="s">
        <v>223</v>
      </c>
      <c r="L5182" t="s">
        <v>224</v>
      </c>
      <c r="M5182" t="s">
        <v>131</v>
      </c>
      <c r="N5182">
        <v>18</v>
      </c>
      <c r="O5182" t="s">
        <v>40</v>
      </c>
      <c r="P5182" t="s">
        <v>40</v>
      </c>
      <c r="Q5182" t="s">
        <v>40</v>
      </c>
      <c r="S5182" t="s">
        <v>40</v>
      </c>
      <c r="V5182" t="s">
        <v>41</v>
      </c>
      <c r="W5182" t="s">
        <v>42</v>
      </c>
      <c r="X5182" t="str">
        <f>"0590901"</f>
        <v>0590901</v>
      </c>
      <c r="Y5182" t="s">
        <v>242</v>
      </c>
      <c r="Z5182" t="s">
        <v>223</v>
      </c>
      <c r="AA5182" t="s">
        <v>224</v>
      </c>
      <c r="AB5182" t="s">
        <v>131</v>
      </c>
      <c r="AC5182" t="s">
        <v>165</v>
      </c>
      <c r="AD5182" t="s">
        <v>45</v>
      </c>
      <c r="AE5182" s="1">
        <v>20747</v>
      </c>
      <c r="AF5182">
        <v>2</v>
      </c>
      <c r="AG5182" t="s">
        <v>224</v>
      </c>
      <c r="AH5182" s="36">
        <f t="shared" si="80"/>
        <v>63.083333333333336</v>
      </c>
      <c r="AI5182" s="41" t="s">
        <v>1783</v>
      </c>
    </row>
    <row r="5183" spans="1:35" x14ac:dyDescent="0.25">
      <c r="A5183" s="36">
        <v>99915181</v>
      </c>
      <c r="B5183" s="17" t="s">
        <v>32</v>
      </c>
      <c r="C5183" t="s">
        <v>141</v>
      </c>
      <c r="D5183" t="s">
        <v>142</v>
      </c>
      <c r="G5183" s="17" t="s">
        <v>48</v>
      </c>
      <c r="H5183" s="17">
        <v>1</v>
      </c>
      <c r="K5183" t="s">
        <v>268</v>
      </c>
      <c r="L5183" t="s">
        <v>269</v>
      </c>
      <c r="M5183" t="s">
        <v>131</v>
      </c>
      <c r="N5183">
        <v>12</v>
      </c>
      <c r="O5183" t="s">
        <v>40</v>
      </c>
      <c r="P5183" t="s">
        <v>40</v>
      </c>
      <c r="Q5183" t="s">
        <v>40</v>
      </c>
      <c r="S5183" t="s">
        <v>40</v>
      </c>
      <c r="V5183" t="s">
        <v>41</v>
      </c>
      <c r="W5183" t="s">
        <v>75</v>
      </c>
      <c r="X5183" t="str">
        <f>"7052044"</f>
        <v>7052044</v>
      </c>
      <c r="Y5183" t="s">
        <v>589</v>
      </c>
      <c r="Z5183" t="s">
        <v>268</v>
      </c>
      <c r="AA5183" t="s">
        <v>269</v>
      </c>
      <c r="AB5183" t="s">
        <v>131</v>
      </c>
      <c r="AC5183" t="s">
        <v>51</v>
      </c>
      <c r="AD5183" t="s">
        <v>45</v>
      </c>
      <c r="AE5183" s="1">
        <v>20744</v>
      </c>
      <c r="AF5183">
        <v>1</v>
      </c>
      <c r="AG5183" t="s">
        <v>269</v>
      </c>
      <c r="AH5183" s="36">
        <f t="shared" si="80"/>
        <v>63.091666666666669</v>
      </c>
      <c r="AI5183" s="41" t="s">
        <v>1783</v>
      </c>
    </row>
    <row r="5184" spans="1:35" x14ac:dyDescent="0.25">
      <c r="A5184" s="36">
        <v>99915182</v>
      </c>
      <c r="B5184" s="17" t="s">
        <v>56</v>
      </c>
      <c r="C5184" t="s">
        <v>52</v>
      </c>
      <c r="D5184" t="s">
        <v>53</v>
      </c>
      <c r="G5184" s="17" t="s">
        <v>35</v>
      </c>
      <c r="H5184" s="17">
        <v>1</v>
      </c>
      <c r="K5184" t="s">
        <v>300</v>
      </c>
      <c r="L5184" t="s">
        <v>301</v>
      </c>
      <c r="M5184" t="s">
        <v>131</v>
      </c>
      <c r="N5184">
        <v>15</v>
      </c>
      <c r="O5184" t="s">
        <v>40</v>
      </c>
      <c r="P5184" t="s">
        <v>40</v>
      </c>
      <c r="Q5184" t="s">
        <v>40</v>
      </c>
      <c r="R5184" t="s">
        <v>40</v>
      </c>
      <c r="S5184" t="s">
        <v>40</v>
      </c>
      <c r="V5184" t="s">
        <v>41</v>
      </c>
      <c r="W5184" t="s">
        <v>49</v>
      </c>
      <c r="X5184" t="str">
        <f>"0560022"</f>
        <v>0560022</v>
      </c>
      <c r="Y5184" t="s">
        <v>314</v>
      </c>
      <c r="Z5184" t="s">
        <v>300</v>
      </c>
      <c r="AA5184" t="s">
        <v>301</v>
      </c>
      <c r="AB5184" t="s">
        <v>131</v>
      </c>
      <c r="AC5184" t="s">
        <v>51</v>
      </c>
      <c r="AD5184" t="s">
        <v>45</v>
      </c>
      <c r="AE5184" s="1">
        <v>20739</v>
      </c>
      <c r="AF5184">
        <v>2</v>
      </c>
      <c r="AG5184" t="s">
        <v>301</v>
      </c>
      <c r="AH5184" s="36">
        <f t="shared" si="80"/>
        <v>63.105555555555554</v>
      </c>
      <c r="AI5184" s="41" t="s">
        <v>1783</v>
      </c>
    </row>
    <row r="5185" spans="1:35" x14ac:dyDescent="0.25">
      <c r="A5185" s="36">
        <v>99915183</v>
      </c>
      <c r="B5185" s="17" t="s">
        <v>56</v>
      </c>
      <c r="C5185" t="s">
        <v>46</v>
      </c>
      <c r="D5185" t="s">
        <v>47</v>
      </c>
      <c r="G5185" s="17" t="s">
        <v>48</v>
      </c>
      <c r="H5185" s="17">
        <v>1</v>
      </c>
      <c r="K5185" t="s">
        <v>1128</v>
      </c>
      <c r="L5185" t="s">
        <v>1129</v>
      </c>
      <c r="M5185" t="s">
        <v>1130</v>
      </c>
      <c r="N5185">
        <v>18</v>
      </c>
      <c r="O5185" t="s">
        <v>40</v>
      </c>
      <c r="P5185" t="s">
        <v>40</v>
      </c>
      <c r="Q5185" t="s">
        <v>40</v>
      </c>
      <c r="R5185" t="s">
        <v>40</v>
      </c>
      <c r="S5185" t="s">
        <v>40</v>
      </c>
      <c r="V5185" t="s">
        <v>41</v>
      </c>
      <c r="W5185" t="s">
        <v>42</v>
      </c>
      <c r="X5185" t="str">
        <f>"3180015"</f>
        <v>3180015</v>
      </c>
      <c r="Y5185" t="s">
        <v>1139</v>
      </c>
      <c r="Z5185" t="s">
        <v>1128</v>
      </c>
      <c r="AA5185" t="s">
        <v>1129</v>
      </c>
      <c r="AB5185" t="s">
        <v>1130</v>
      </c>
      <c r="AC5185" t="s">
        <v>51</v>
      </c>
      <c r="AD5185" t="s">
        <v>45</v>
      </c>
      <c r="AE5185" s="1">
        <v>20733</v>
      </c>
      <c r="AF5185">
        <v>2</v>
      </c>
      <c r="AG5185" t="s">
        <v>1129</v>
      </c>
      <c r="AH5185" s="36">
        <f t="shared" si="80"/>
        <v>63.12222222222222</v>
      </c>
      <c r="AI5185" s="41" t="s">
        <v>1783</v>
      </c>
    </row>
    <row r="5186" spans="1:35" x14ac:dyDescent="0.25">
      <c r="A5186" s="36">
        <v>99915184</v>
      </c>
      <c r="B5186" s="17" t="s">
        <v>32</v>
      </c>
      <c r="C5186" t="s">
        <v>46</v>
      </c>
      <c r="D5186" t="s">
        <v>47</v>
      </c>
      <c r="G5186" s="17" t="s">
        <v>48</v>
      </c>
      <c r="H5186" s="17">
        <v>1</v>
      </c>
      <c r="K5186" t="s">
        <v>223</v>
      </c>
      <c r="L5186" t="s">
        <v>224</v>
      </c>
      <c r="M5186" t="s">
        <v>131</v>
      </c>
      <c r="N5186">
        <v>18</v>
      </c>
      <c r="O5186" t="s">
        <v>40</v>
      </c>
      <c r="P5186" t="s">
        <v>40</v>
      </c>
      <c r="Q5186" t="s">
        <v>40</v>
      </c>
      <c r="S5186" t="s">
        <v>40</v>
      </c>
      <c r="V5186" t="s">
        <v>41</v>
      </c>
      <c r="W5186" t="s">
        <v>42</v>
      </c>
      <c r="X5186" t="str">
        <f>"0580395"</f>
        <v>0580395</v>
      </c>
      <c r="Y5186" t="s">
        <v>265</v>
      </c>
      <c r="Z5186" t="s">
        <v>223</v>
      </c>
      <c r="AA5186" t="s">
        <v>224</v>
      </c>
      <c r="AB5186" t="s">
        <v>131</v>
      </c>
      <c r="AC5186" t="s">
        <v>51</v>
      </c>
      <c r="AD5186" t="s">
        <v>45</v>
      </c>
      <c r="AE5186" s="1">
        <v>20704</v>
      </c>
      <c r="AF5186">
        <v>2</v>
      </c>
      <c r="AG5186" t="s">
        <v>224</v>
      </c>
      <c r="AH5186" s="36">
        <f t="shared" ref="AH5186:AH5249" si="81">($AJ$1-AE5186)/360</f>
        <v>63.202777777777776</v>
      </c>
      <c r="AI5186" s="41" t="s">
        <v>1783</v>
      </c>
    </row>
    <row r="5187" spans="1:35" x14ac:dyDescent="0.25">
      <c r="A5187" s="36">
        <v>99915185</v>
      </c>
      <c r="B5187" s="17" t="s">
        <v>56</v>
      </c>
      <c r="C5187" t="s">
        <v>52</v>
      </c>
      <c r="D5187" t="s">
        <v>53</v>
      </c>
      <c r="G5187" s="17" t="s">
        <v>48</v>
      </c>
      <c r="H5187" s="17">
        <v>4</v>
      </c>
      <c r="K5187" t="s">
        <v>37</v>
      </c>
      <c r="L5187" t="s">
        <v>38</v>
      </c>
      <c r="M5187" t="s">
        <v>39</v>
      </c>
      <c r="N5187">
        <v>18</v>
      </c>
      <c r="O5187" t="s">
        <v>40</v>
      </c>
      <c r="P5187" t="s">
        <v>40</v>
      </c>
      <c r="Q5187" t="s">
        <v>40</v>
      </c>
      <c r="R5187" t="s">
        <v>40</v>
      </c>
      <c r="S5187" t="s">
        <v>40</v>
      </c>
      <c r="V5187" t="s">
        <v>41</v>
      </c>
      <c r="W5187" t="s">
        <v>42</v>
      </c>
      <c r="X5187" t="str">
        <f>"3780010"</f>
        <v>3780010</v>
      </c>
      <c r="Y5187" t="s">
        <v>43</v>
      </c>
      <c r="Z5187" t="s">
        <v>37</v>
      </c>
      <c r="AA5187" t="s">
        <v>38</v>
      </c>
      <c r="AB5187" t="s">
        <v>39</v>
      </c>
      <c r="AC5187" t="s">
        <v>51</v>
      </c>
      <c r="AD5187" t="s">
        <v>45</v>
      </c>
      <c r="AE5187" s="1">
        <v>20689</v>
      </c>
      <c r="AF5187">
        <v>2</v>
      </c>
      <c r="AG5187" t="s">
        <v>38</v>
      </c>
      <c r="AH5187" s="36">
        <f t="shared" si="81"/>
        <v>63.244444444444447</v>
      </c>
      <c r="AI5187" s="41" t="s">
        <v>1783</v>
      </c>
    </row>
    <row r="5188" spans="1:35" x14ac:dyDescent="0.25">
      <c r="A5188" s="36">
        <v>99915186</v>
      </c>
      <c r="B5188" s="17" t="s">
        <v>32</v>
      </c>
      <c r="C5188" t="s">
        <v>111</v>
      </c>
      <c r="D5188" t="s">
        <v>112</v>
      </c>
      <c r="G5188" s="17" t="s">
        <v>48</v>
      </c>
      <c r="H5188" s="17">
        <v>1</v>
      </c>
      <c r="K5188" t="s">
        <v>1502</v>
      </c>
      <c r="L5188" t="s">
        <v>1503</v>
      </c>
      <c r="M5188" t="s">
        <v>670</v>
      </c>
      <c r="N5188">
        <v>21</v>
      </c>
      <c r="O5188" t="s">
        <v>40</v>
      </c>
      <c r="P5188" t="s">
        <v>40</v>
      </c>
      <c r="Q5188" t="s">
        <v>40</v>
      </c>
      <c r="R5188" t="s">
        <v>40</v>
      </c>
      <c r="S5188" t="s">
        <v>40</v>
      </c>
      <c r="V5188" t="s">
        <v>41</v>
      </c>
      <c r="W5188" t="s">
        <v>75</v>
      </c>
      <c r="X5188" t="str">
        <f>"7171000"</f>
        <v>7171000</v>
      </c>
      <c r="Y5188" t="s">
        <v>1506</v>
      </c>
      <c r="Z5188" t="s">
        <v>1502</v>
      </c>
      <c r="AA5188" t="s">
        <v>1503</v>
      </c>
      <c r="AB5188" t="s">
        <v>670</v>
      </c>
      <c r="AC5188" t="s">
        <v>51</v>
      </c>
      <c r="AD5188" t="s">
        <v>45</v>
      </c>
      <c r="AE5188" s="1">
        <v>20685</v>
      </c>
      <c r="AF5188">
        <v>1</v>
      </c>
      <c r="AG5188" t="s">
        <v>1503</v>
      </c>
      <c r="AH5188" s="36">
        <f t="shared" si="81"/>
        <v>63.255555555555553</v>
      </c>
      <c r="AI5188" s="41" t="s">
        <v>1783</v>
      </c>
    </row>
    <row r="5189" spans="1:35" x14ac:dyDescent="0.25">
      <c r="A5189" s="36">
        <v>99915187</v>
      </c>
      <c r="B5189" s="17" t="s">
        <v>32</v>
      </c>
      <c r="C5189" t="s">
        <v>64</v>
      </c>
      <c r="D5189" t="s">
        <v>65</v>
      </c>
      <c r="G5189" s="17" t="s">
        <v>35</v>
      </c>
      <c r="H5189" s="17">
        <v>1</v>
      </c>
      <c r="K5189" t="s">
        <v>345</v>
      </c>
      <c r="L5189" t="s">
        <v>346</v>
      </c>
      <c r="M5189" t="s">
        <v>131</v>
      </c>
      <c r="N5189">
        <v>18</v>
      </c>
      <c r="O5189" t="s">
        <v>40</v>
      </c>
      <c r="P5189" t="s">
        <v>40</v>
      </c>
      <c r="Q5189" t="s">
        <v>40</v>
      </c>
      <c r="S5189" t="s">
        <v>40</v>
      </c>
      <c r="V5189" t="s">
        <v>41</v>
      </c>
      <c r="W5189" t="s">
        <v>49</v>
      </c>
      <c r="X5189" t="str">
        <f>"0560007"</f>
        <v>0560007</v>
      </c>
      <c r="Y5189" t="s">
        <v>357</v>
      </c>
      <c r="Z5189" t="s">
        <v>345</v>
      </c>
      <c r="AA5189" t="s">
        <v>346</v>
      </c>
      <c r="AB5189" t="s">
        <v>131</v>
      </c>
      <c r="AC5189" t="s">
        <v>51</v>
      </c>
      <c r="AD5189" t="s">
        <v>45</v>
      </c>
      <c r="AE5189" s="1">
        <v>20660</v>
      </c>
      <c r="AF5189">
        <v>2</v>
      </c>
      <c r="AG5189" t="s">
        <v>346</v>
      </c>
      <c r="AH5189" s="36">
        <f t="shared" si="81"/>
        <v>63.325000000000003</v>
      </c>
      <c r="AI5189" s="41" t="s">
        <v>1783</v>
      </c>
    </row>
    <row r="5190" spans="1:35" x14ac:dyDescent="0.25">
      <c r="A5190" s="36">
        <v>99915188</v>
      </c>
      <c r="B5190" s="17" t="s">
        <v>56</v>
      </c>
      <c r="C5190" t="s">
        <v>58</v>
      </c>
      <c r="D5190" t="s">
        <v>59</v>
      </c>
      <c r="G5190" s="17" t="s">
        <v>48</v>
      </c>
      <c r="H5190" s="17">
        <v>1</v>
      </c>
      <c r="K5190" t="s">
        <v>1268</v>
      </c>
      <c r="L5190" t="s">
        <v>1269</v>
      </c>
      <c r="M5190" t="s">
        <v>1270</v>
      </c>
      <c r="N5190">
        <v>18</v>
      </c>
      <c r="O5190" t="s">
        <v>40</v>
      </c>
      <c r="P5190" t="s">
        <v>40</v>
      </c>
      <c r="Q5190" t="s">
        <v>40</v>
      </c>
      <c r="S5190" t="s">
        <v>40</v>
      </c>
      <c r="V5190" t="s">
        <v>41</v>
      </c>
      <c r="W5190" t="s">
        <v>42</v>
      </c>
      <c r="X5190" t="str">
        <f>"1990910"</f>
        <v>1990910</v>
      </c>
      <c r="Y5190" t="s">
        <v>1281</v>
      </c>
      <c r="Z5190" t="s">
        <v>1268</v>
      </c>
      <c r="AA5190" t="s">
        <v>1269</v>
      </c>
      <c r="AB5190" t="s">
        <v>1270</v>
      </c>
      <c r="AC5190" t="s">
        <v>165</v>
      </c>
      <c r="AD5190" t="s">
        <v>45</v>
      </c>
      <c r="AE5190" s="1">
        <v>20659</v>
      </c>
      <c r="AF5190">
        <v>2</v>
      </c>
      <c r="AG5190" t="s">
        <v>1269</v>
      </c>
      <c r="AH5190" s="36">
        <f t="shared" si="81"/>
        <v>63.327777777777776</v>
      </c>
      <c r="AI5190" s="41" t="s">
        <v>1783</v>
      </c>
    </row>
    <row r="5191" spans="1:35" x14ac:dyDescent="0.25">
      <c r="A5191" s="36">
        <v>99915189</v>
      </c>
      <c r="B5191" s="17" t="s">
        <v>32</v>
      </c>
      <c r="C5191" t="s">
        <v>111</v>
      </c>
      <c r="D5191" t="s">
        <v>112</v>
      </c>
      <c r="G5191" s="17" t="s">
        <v>48</v>
      </c>
      <c r="H5191" s="17">
        <v>12</v>
      </c>
      <c r="J5191" s="1">
        <v>43344</v>
      </c>
      <c r="K5191" t="s">
        <v>354</v>
      </c>
      <c r="L5191" t="s">
        <v>355</v>
      </c>
      <c r="M5191" t="s">
        <v>131</v>
      </c>
      <c r="N5191">
        <v>21</v>
      </c>
      <c r="O5191" t="s">
        <v>40</v>
      </c>
      <c r="P5191" t="s">
        <v>40</v>
      </c>
      <c r="Q5191" t="s">
        <v>40</v>
      </c>
      <c r="R5191" t="s">
        <v>40</v>
      </c>
      <c r="S5191" t="s">
        <v>40</v>
      </c>
      <c r="U5191" s="1">
        <v>43344</v>
      </c>
      <c r="V5191" t="s">
        <v>41</v>
      </c>
      <c r="W5191" t="s">
        <v>75</v>
      </c>
      <c r="X5191" t="str">
        <f>"7054004"</f>
        <v>7054004</v>
      </c>
      <c r="Y5191" t="s">
        <v>798</v>
      </c>
      <c r="Z5191" t="s">
        <v>354</v>
      </c>
      <c r="AA5191" t="s">
        <v>355</v>
      </c>
      <c r="AB5191" t="s">
        <v>131</v>
      </c>
      <c r="AC5191" t="s">
        <v>51</v>
      </c>
      <c r="AD5191" t="s">
        <v>45</v>
      </c>
      <c r="AE5191" s="1">
        <v>20658</v>
      </c>
      <c r="AF5191">
        <v>1</v>
      </c>
      <c r="AG5191" t="s">
        <v>355</v>
      </c>
      <c r="AH5191" s="36">
        <f t="shared" si="81"/>
        <v>63.330555555555556</v>
      </c>
      <c r="AI5191" s="41" t="s">
        <v>1783</v>
      </c>
    </row>
    <row r="5192" spans="1:35" x14ac:dyDescent="0.25">
      <c r="A5192" s="36">
        <v>99915190</v>
      </c>
      <c r="B5192" s="17" t="s">
        <v>56</v>
      </c>
      <c r="C5192" t="s">
        <v>52</v>
      </c>
      <c r="D5192" t="s">
        <v>53</v>
      </c>
      <c r="G5192" s="17" t="s">
        <v>35</v>
      </c>
      <c r="H5192" s="17">
        <v>1</v>
      </c>
      <c r="K5192" t="s">
        <v>223</v>
      </c>
      <c r="L5192" t="s">
        <v>224</v>
      </c>
      <c r="M5192" t="s">
        <v>131</v>
      </c>
      <c r="N5192">
        <v>18</v>
      </c>
      <c r="O5192" t="s">
        <v>40</v>
      </c>
      <c r="P5192" t="s">
        <v>40</v>
      </c>
      <c r="Q5192" t="s">
        <v>40</v>
      </c>
      <c r="S5192" t="s">
        <v>40</v>
      </c>
      <c r="V5192" t="s">
        <v>41</v>
      </c>
      <c r="W5192" t="s">
        <v>49</v>
      </c>
      <c r="X5192" t="str">
        <f>"0581207"</f>
        <v>0581207</v>
      </c>
      <c r="Y5192" t="s">
        <v>233</v>
      </c>
      <c r="Z5192" t="s">
        <v>223</v>
      </c>
      <c r="AA5192" t="s">
        <v>224</v>
      </c>
      <c r="AB5192" t="s">
        <v>131</v>
      </c>
      <c r="AC5192" t="s">
        <v>51</v>
      </c>
      <c r="AD5192" t="s">
        <v>45</v>
      </c>
      <c r="AE5192" s="1">
        <v>20654</v>
      </c>
      <c r="AF5192">
        <v>2</v>
      </c>
      <c r="AG5192" t="s">
        <v>224</v>
      </c>
      <c r="AH5192" s="36">
        <f t="shared" si="81"/>
        <v>63.341666666666669</v>
      </c>
      <c r="AI5192" s="41" t="s">
        <v>1783</v>
      </c>
    </row>
    <row r="5193" spans="1:35" x14ac:dyDescent="0.25">
      <c r="A5193" s="36">
        <v>99915191</v>
      </c>
      <c r="B5193" s="17" t="s">
        <v>56</v>
      </c>
      <c r="C5193" t="s">
        <v>52</v>
      </c>
      <c r="D5193" t="s">
        <v>53</v>
      </c>
      <c r="G5193" s="17" t="s">
        <v>35</v>
      </c>
      <c r="H5193" s="17">
        <v>1</v>
      </c>
      <c r="K5193" t="s">
        <v>947</v>
      </c>
      <c r="L5193" t="s">
        <v>948</v>
      </c>
      <c r="M5193" t="s">
        <v>938</v>
      </c>
      <c r="N5193">
        <v>20</v>
      </c>
      <c r="O5193" t="s">
        <v>40</v>
      </c>
      <c r="P5193" t="s">
        <v>40</v>
      </c>
      <c r="Q5193" t="s">
        <v>40</v>
      </c>
      <c r="R5193" t="s">
        <v>40</v>
      </c>
      <c r="S5193" t="s">
        <v>40</v>
      </c>
      <c r="V5193" t="s">
        <v>41</v>
      </c>
      <c r="W5193" t="s">
        <v>49</v>
      </c>
      <c r="X5193" t="str">
        <f>"0605000"</f>
        <v>0605000</v>
      </c>
      <c r="Y5193" t="s">
        <v>950</v>
      </c>
      <c r="Z5193" t="s">
        <v>947</v>
      </c>
      <c r="AA5193" t="s">
        <v>948</v>
      </c>
      <c r="AB5193" t="s">
        <v>938</v>
      </c>
      <c r="AC5193" t="s">
        <v>51</v>
      </c>
      <c r="AD5193" t="s">
        <v>45</v>
      </c>
      <c r="AE5193" s="1">
        <v>20633</v>
      </c>
      <c r="AF5193">
        <v>2</v>
      </c>
      <c r="AG5193" t="s">
        <v>948</v>
      </c>
      <c r="AH5193" s="36">
        <f t="shared" si="81"/>
        <v>63.4</v>
      </c>
      <c r="AI5193" s="41" t="s">
        <v>1783</v>
      </c>
    </row>
    <row r="5194" spans="1:35" x14ac:dyDescent="0.25">
      <c r="A5194" s="36">
        <v>99915192</v>
      </c>
      <c r="B5194" s="17" t="s">
        <v>56</v>
      </c>
      <c r="C5194" t="s">
        <v>68</v>
      </c>
      <c r="D5194" t="s">
        <v>69</v>
      </c>
      <c r="G5194" s="17" t="s">
        <v>35</v>
      </c>
      <c r="H5194" s="17">
        <v>1</v>
      </c>
      <c r="K5194" t="s">
        <v>1268</v>
      </c>
      <c r="L5194" t="s">
        <v>1269</v>
      </c>
      <c r="M5194" t="s">
        <v>1270</v>
      </c>
      <c r="N5194">
        <v>7</v>
      </c>
      <c r="O5194" t="s">
        <v>40</v>
      </c>
      <c r="P5194" t="s">
        <v>40</v>
      </c>
      <c r="Q5194" t="s">
        <v>40</v>
      </c>
      <c r="S5194" t="s">
        <v>40</v>
      </c>
      <c r="V5194" t="s">
        <v>41</v>
      </c>
      <c r="W5194" t="s">
        <v>42</v>
      </c>
      <c r="X5194" t="str">
        <f>"1990914"</f>
        <v>1990914</v>
      </c>
      <c r="Y5194" t="s">
        <v>1275</v>
      </c>
      <c r="Z5194" t="s">
        <v>1268</v>
      </c>
      <c r="AA5194" t="s">
        <v>1269</v>
      </c>
      <c r="AB5194" t="s">
        <v>1270</v>
      </c>
      <c r="AC5194" t="s">
        <v>51</v>
      </c>
      <c r="AD5194" t="s">
        <v>45</v>
      </c>
      <c r="AE5194" s="1">
        <v>20633</v>
      </c>
      <c r="AF5194">
        <v>2</v>
      </c>
      <c r="AG5194" t="s">
        <v>1269</v>
      </c>
      <c r="AH5194" s="36">
        <f t="shared" si="81"/>
        <v>63.4</v>
      </c>
      <c r="AI5194" s="41" t="s">
        <v>1783</v>
      </c>
    </row>
    <row r="5195" spans="1:35" x14ac:dyDescent="0.25">
      <c r="A5195" s="36">
        <v>99915193</v>
      </c>
      <c r="B5195" s="17" t="s">
        <v>56</v>
      </c>
      <c r="C5195" t="s">
        <v>68</v>
      </c>
      <c r="D5195" t="s">
        <v>69</v>
      </c>
      <c r="G5195" s="17" t="s">
        <v>48</v>
      </c>
      <c r="H5195" s="17">
        <v>1</v>
      </c>
      <c r="K5195" t="s">
        <v>129</v>
      </c>
      <c r="L5195" t="s">
        <v>130</v>
      </c>
      <c r="M5195" t="s">
        <v>131</v>
      </c>
      <c r="N5195">
        <v>18</v>
      </c>
      <c r="O5195" t="s">
        <v>40</v>
      </c>
      <c r="P5195" t="s">
        <v>40</v>
      </c>
      <c r="Q5195" t="s">
        <v>40</v>
      </c>
      <c r="R5195" t="s">
        <v>40</v>
      </c>
      <c r="S5195" t="s">
        <v>40</v>
      </c>
      <c r="V5195" t="s">
        <v>41</v>
      </c>
      <c r="W5195" t="s">
        <v>49</v>
      </c>
      <c r="X5195" t="str">
        <f>"0591905"</f>
        <v>0591905</v>
      </c>
      <c r="Y5195" t="s">
        <v>135</v>
      </c>
      <c r="Z5195" t="s">
        <v>129</v>
      </c>
      <c r="AA5195" t="s">
        <v>130</v>
      </c>
      <c r="AB5195" t="s">
        <v>131</v>
      </c>
      <c r="AC5195" t="s">
        <v>51</v>
      </c>
      <c r="AD5195" t="s">
        <v>45</v>
      </c>
      <c r="AE5195" s="1">
        <v>20628</v>
      </c>
      <c r="AF5195">
        <v>2</v>
      </c>
      <c r="AG5195" t="s">
        <v>130</v>
      </c>
      <c r="AH5195" s="36">
        <f t="shared" si="81"/>
        <v>63.413888888888891</v>
      </c>
      <c r="AI5195" s="41" t="s">
        <v>1783</v>
      </c>
    </row>
    <row r="5196" spans="1:35" x14ac:dyDescent="0.25">
      <c r="A5196" s="36">
        <v>99915194</v>
      </c>
      <c r="B5196" s="17" t="s">
        <v>56</v>
      </c>
      <c r="C5196" t="s">
        <v>85</v>
      </c>
      <c r="D5196" t="s">
        <v>86</v>
      </c>
      <c r="G5196" s="17" t="s">
        <v>48</v>
      </c>
      <c r="H5196" s="17">
        <v>1</v>
      </c>
      <c r="K5196" t="s">
        <v>300</v>
      </c>
      <c r="L5196" t="s">
        <v>301</v>
      </c>
      <c r="M5196" t="s">
        <v>131</v>
      </c>
      <c r="N5196">
        <v>11</v>
      </c>
      <c r="O5196" t="s">
        <v>40</v>
      </c>
      <c r="P5196" t="s">
        <v>40</v>
      </c>
      <c r="Q5196" t="s">
        <v>40</v>
      </c>
      <c r="R5196" t="s">
        <v>40</v>
      </c>
      <c r="S5196" t="s">
        <v>40</v>
      </c>
      <c r="V5196" t="s">
        <v>41</v>
      </c>
      <c r="W5196" t="s">
        <v>49</v>
      </c>
      <c r="X5196" t="str">
        <f>"0560029"</f>
        <v>0560029</v>
      </c>
      <c r="Y5196" t="s">
        <v>309</v>
      </c>
      <c r="Z5196" t="s">
        <v>300</v>
      </c>
      <c r="AA5196" t="s">
        <v>301</v>
      </c>
      <c r="AB5196" t="s">
        <v>131</v>
      </c>
      <c r="AC5196" t="s">
        <v>165</v>
      </c>
      <c r="AD5196" t="s">
        <v>45</v>
      </c>
      <c r="AE5196" s="1">
        <v>20625</v>
      </c>
      <c r="AF5196">
        <v>2</v>
      </c>
      <c r="AG5196" t="s">
        <v>301</v>
      </c>
      <c r="AH5196" s="36">
        <f t="shared" si="81"/>
        <v>63.422222222222224</v>
      </c>
      <c r="AI5196" s="41" t="s">
        <v>1783</v>
      </c>
    </row>
    <row r="5197" spans="1:35" x14ac:dyDescent="0.25">
      <c r="A5197" s="36">
        <v>99915195</v>
      </c>
      <c r="B5197" s="17" t="s">
        <v>32</v>
      </c>
      <c r="C5197" t="s">
        <v>85</v>
      </c>
      <c r="D5197" t="s">
        <v>86</v>
      </c>
      <c r="G5197" s="17" t="s">
        <v>48</v>
      </c>
      <c r="H5197" s="17">
        <v>14</v>
      </c>
      <c r="K5197" t="s">
        <v>1268</v>
      </c>
      <c r="L5197" t="s">
        <v>1269</v>
      </c>
      <c r="M5197" t="s">
        <v>1270</v>
      </c>
      <c r="N5197">
        <v>18</v>
      </c>
      <c r="O5197" t="s">
        <v>40</v>
      </c>
      <c r="P5197" t="s">
        <v>40</v>
      </c>
      <c r="Q5197" t="s">
        <v>40</v>
      </c>
      <c r="R5197" t="s">
        <v>40</v>
      </c>
      <c r="S5197" t="s">
        <v>40</v>
      </c>
      <c r="U5197" s="1">
        <v>43344</v>
      </c>
      <c r="V5197" t="s">
        <v>41</v>
      </c>
      <c r="W5197" t="s">
        <v>42</v>
      </c>
      <c r="X5197" t="str">
        <f>"1980055"</f>
        <v>1980055</v>
      </c>
      <c r="Y5197" t="s">
        <v>1285</v>
      </c>
      <c r="Z5197" t="s">
        <v>1268</v>
      </c>
      <c r="AA5197" t="s">
        <v>1269</v>
      </c>
      <c r="AB5197" t="s">
        <v>1270</v>
      </c>
      <c r="AC5197" t="s">
        <v>165</v>
      </c>
      <c r="AD5197" t="s">
        <v>45</v>
      </c>
      <c r="AE5197" s="1">
        <v>20610</v>
      </c>
      <c r="AF5197">
        <v>2</v>
      </c>
      <c r="AG5197" t="s">
        <v>1269</v>
      </c>
      <c r="AH5197" s="36">
        <f t="shared" si="81"/>
        <v>63.463888888888889</v>
      </c>
      <c r="AI5197" s="41" t="s">
        <v>1783</v>
      </c>
    </row>
    <row r="5198" spans="1:35" x14ac:dyDescent="0.25">
      <c r="A5198" s="36">
        <v>99915196</v>
      </c>
      <c r="B5198" s="17" t="s">
        <v>56</v>
      </c>
      <c r="C5198" t="s">
        <v>79</v>
      </c>
      <c r="D5198" t="s">
        <v>80</v>
      </c>
      <c r="G5198" s="17" t="s">
        <v>35</v>
      </c>
      <c r="H5198" s="17">
        <v>3</v>
      </c>
      <c r="I5198" t="s">
        <v>1685</v>
      </c>
      <c r="J5198" s="1">
        <v>43344</v>
      </c>
      <c r="K5198" t="s">
        <v>1619</v>
      </c>
      <c r="L5198" t="s">
        <v>1620</v>
      </c>
      <c r="M5198" t="s">
        <v>1592</v>
      </c>
      <c r="N5198">
        <v>12</v>
      </c>
      <c r="O5198" t="s">
        <v>40</v>
      </c>
      <c r="P5198" t="s">
        <v>40</v>
      </c>
      <c r="Q5198" t="s">
        <v>40</v>
      </c>
      <c r="R5198" t="s">
        <v>40</v>
      </c>
      <c r="S5198" t="s">
        <v>40</v>
      </c>
      <c r="U5198" s="1">
        <v>43344</v>
      </c>
      <c r="V5198" t="s">
        <v>41</v>
      </c>
      <c r="W5198" t="s">
        <v>75</v>
      </c>
      <c r="X5198" t="str">
        <f>"7281000"</f>
        <v>7281000</v>
      </c>
      <c r="Y5198" t="s">
        <v>1648</v>
      </c>
      <c r="Z5198" t="s">
        <v>1619</v>
      </c>
      <c r="AA5198" t="s">
        <v>1620</v>
      </c>
      <c r="AB5198" t="s">
        <v>1592</v>
      </c>
      <c r="AC5198" t="s">
        <v>51</v>
      </c>
      <c r="AD5198" t="s">
        <v>45</v>
      </c>
      <c r="AE5198" s="1">
        <v>20594</v>
      </c>
      <c r="AF5198">
        <v>1</v>
      </c>
      <c r="AG5198" t="s">
        <v>1620</v>
      </c>
      <c r="AH5198" s="36">
        <f t="shared" si="81"/>
        <v>63.508333333333333</v>
      </c>
      <c r="AI5198" s="41" t="s">
        <v>1783</v>
      </c>
    </row>
    <row r="5199" spans="1:35" x14ac:dyDescent="0.25">
      <c r="A5199" s="36">
        <v>99915197</v>
      </c>
      <c r="B5199" s="17" t="s">
        <v>32</v>
      </c>
      <c r="C5199" t="s">
        <v>64</v>
      </c>
      <c r="D5199" t="s">
        <v>65</v>
      </c>
      <c r="G5199" s="17" t="s">
        <v>35</v>
      </c>
      <c r="H5199" s="17">
        <v>1</v>
      </c>
      <c r="K5199" t="s">
        <v>223</v>
      </c>
      <c r="L5199" t="s">
        <v>224</v>
      </c>
      <c r="M5199" t="s">
        <v>131</v>
      </c>
      <c r="N5199">
        <v>18</v>
      </c>
      <c r="O5199" t="s">
        <v>40</v>
      </c>
      <c r="P5199" t="s">
        <v>40</v>
      </c>
      <c r="Q5199" t="s">
        <v>40</v>
      </c>
      <c r="S5199" t="s">
        <v>40</v>
      </c>
      <c r="V5199" t="s">
        <v>41</v>
      </c>
      <c r="W5199" t="s">
        <v>49</v>
      </c>
      <c r="X5199" t="str">
        <f>"0581207"</f>
        <v>0581207</v>
      </c>
      <c r="Y5199" t="s">
        <v>233</v>
      </c>
      <c r="Z5199" t="s">
        <v>223</v>
      </c>
      <c r="AA5199" t="s">
        <v>224</v>
      </c>
      <c r="AB5199" t="s">
        <v>131</v>
      </c>
      <c r="AC5199" t="s">
        <v>165</v>
      </c>
      <c r="AD5199" t="s">
        <v>45</v>
      </c>
      <c r="AE5199" s="1">
        <v>20573</v>
      </c>
      <c r="AF5199">
        <v>2</v>
      </c>
      <c r="AG5199" t="s">
        <v>224</v>
      </c>
      <c r="AH5199" s="36">
        <f t="shared" si="81"/>
        <v>63.56666666666667</v>
      </c>
      <c r="AI5199" s="41" t="s">
        <v>1783</v>
      </c>
    </row>
    <row r="5200" spans="1:35" x14ac:dyDescent="0.25">
      <c r="A5200" s="36">
        <v>99915198</v>
      </c>
      <c r="B5200" s="17" t="s">
        <v>56</v>
      </c>
      <c r="C5200" t="s">
        <v>52</v>
      </c>
      <c r="D5200" t="s">
        <v>53</v>
      </c>
      <c r="G5200" s="17" t="s">
        <v>48</v>
      </c>
      <c r="H5200" s="17">
        <v>1</v>
      </c>
      <c r="K5200" t="s">
        <v>223</v>
      </c>
      <c r="L5200" t="s">
        <v>224</v>
      </c>
      <c r="M5200" t="s">
        <v>131</v>
      </c>
      <c r="N5200">
        <v>21</v>
      </c>
      <c r="O5200" t="s">
        <v>40</v>
      </c>
      <c r="P5200" t="s">
        <v>40</v>
      </c>
      <c r="Q5200" t="s">
        <v>40</v>
      </c>
      <c r="R5200" t="s">
        <v>40</v>
      </c>
      <c r="S5200" t="s">
        <v>40</v>
      </c>
      <c r="V5200" t="s">
        <v>41</v>
      </c>
      <c r="W5200" t="s">
        <v>49</v>
      </c>
      <c r="X5200" t="str">
        <f>"0561022"</f>
        <v>0561022</v>
      </c>
      <c r="Y5200" t="s">
        <v>225</v>
      </c>
      <c r="Z5200" t="s">
        <v>223</v>
      </c>
      <c r="AA5200" t="s">
        <v>224</v>
      </c>
      <c r="AB5200" t="s">
        <v>131</v>
      </c>
      <c r="AC5200" t="s">
        <v>51</v>
      </c>
      <c r="AD5200" t="s">
        <v>45</v>
      </c>
      <c r="AE5200" s="1">
        <v>20566</v>
      </c>
      <c r="AF5200">
        <v>2</v>
      </c>
      <c r="AG5200" t="s">
        <v>224</v>
      </c>
      <c r="AH5200" s="36">
        <f t="shared" si="81"/>
        <v>63.586111111111109</v>
      </c>
      <c r="AI5200" s="41" t="s">
        <v>1783</v>
      </c>
    </row>
    <row r="5201" spans="1:35" x14ac:dyDescent="0.25">
      <c r="A5201" s="36">
        <v>99915199</v>
      </c>
      <c r="B5201" s="17" t="s">
        <v>32</v>
      </c>
      <c r="C5201" t="s">
        <v>139</v>
      </c>
      <c r="D5201" t="s">
        <v>140</v>
      </c>
      <c r="G5201" s="17" t="s">
        <v>48</v>
      </c>
      <c r="H5201" s="17">
        <v>1</v>
      </c>
      <c r="K5201" t="s">
        <v>223</v>
      </c>
      <c r="L5201" t="s">
        <v>224</v>
      </c>
      <c r="M5201" t="s">
        <v>131</v>
      </c>
      <c r="N5201">
        <v>18</v>
      </c>
      <c r="O5201" t="s">
        <v>40</v>
      </c>
      <c r="P5201" t="s">
        <v>40</v>
      </c>
      <c r="Q5201" t="s">
        <v>40</v>
      </c>
      <c r="R5201" t="s">
        <v>40</v>
      </c>
      <c r="S5201" t="s">
        <v>40</v>
      </c>
      <c r="V5201" t="s">
        <v>41</v>
      </c>
      <c r="W5201" t="s">
        <v>42</v>
      </c>
      <c r="X5201" t="str">
        <f>"0580203"</f>
        <v>0580203</v>
      </c>
      <c r="Y5201" t="s">
        <v>239</v>
      </c>
      <c r="Z5201" t="s">
        <v>223</v>
      </c>
      <c r="AA5201" t="s">
        <v>224</v>
      </c>
      <c r="AB5201" t="s">
        <v>131</v>
      </c>
      <c r="AC5201" t="s">
        <v>165</v>
      </c>
      <c r="AD5201" t="s">
        <v>45</v>
      </c>
      <c r="AE5201" s="1">
        <v>20561</v>
      </c>
      <c r="AF5201">
        <v>2</v>
      </c>
      <c r="AG5201" t="s">
        <v>224</v>
      </c>
      <c r="AH5201" s="36">
        <f t="shared" si="81"/>
        <v>63.6</v>
      </c>
      <c r="AI5201" s="41" t="s">
        <v>1783</v>
      </c>
    </row>
    <row r="5202" spans="1:35" x14ac:dyDescent="0.25">
      <c r="A5202" s="36">
        <v>99915200</v>
      </c>
      <c r="B5202" s="17" t="s">
        <v>56</v>
      </c>
      <c r="C5202" t="s">
        <v>52</v>
      </c>
      <c r="D5202" t="s">
        <v>53</v>
      </c>
      <c r="G5202" s="17" t="s">
        <v>35</v>
      </c>
      <c r="H5202" s="17">
        <v>1</v>
      </c>
      <c r="K5202" t="s">
        <v>1187</v>
      </c>
      <c r="L5202" t="s">
        <v>1188</v>
      </c>
      <c r="M5202" t="s">
        <v>1130</v>
      </c>
      <c r="N5202">
        <v>20</v>
      </c>
      <c r="O5202" t="s">
        <v>40</v>
      </c>
      <c r="P5202" t="s">
        <v>40</v>
      </c>
      <c r="Q5202" t="s">
        <v>40</v>
      </c>
      <c r="S5202" t="s">
        <v>40</v>
      </c>
      <c r="V5202" t="s">
        <v>41</v>
      </c>
      <c r="W5202" t="s">
        <v>49</v>
      </c>
      <c r="X5202" t="str">
        <f>"4581015"</f>
        <v>4581015</v>
      </c>
      <c r="Y5202" t="s">
        <v>1190</v>
      </c>
      <c r="Z5202" t="s">
        <v>1187</v>
      </c>
      <c r="AA5202" t="s">
        <v>1188</v>
      </c>
      <c r="AB5202" t="s">
        <v>1130</v>
      </c>
      <c r="AC5202" t="s">
        <v>51</v>
      </c>
      <c r="AD5202" t="s">
        <v>45</v>
      </c>
      <c r="AE5202" s="1">
        <v>20561</v>
      </c>
      <c r="AF5202">
        <v>2</v>
      </c>
      <c r="AG5202" t="s">
        <v>1188</v>
      </c>
      <c r="AH5202" s="36">
        <f t="shared" si="81"/>
        <v>63.6</v>
      </c>
      <c r="AI5202" s="41" t="s">
        <v>1783</v>
      </c>
    </row>
    <row r="5203" spans="1:35" x14ac:dyDescent="0.25">
      <c r="A5203" s="36">
        <v>99915201</v>
      </c>
      <c r="B5203" s="17" t="s">
        <v>32</v>
      </c>
      <c r="C5203" t="s">
        <v>143</v>
      </c>
      <c r="D5203" t="s">
        <v>144</v>
      </c>
      <c r="G5203" s="17" t="s">
        <v>48</v>
      </c>
      <c r="H5203" s="17">
        <v>1</v>
      </c>
      <c r="K5203" t="s">
        <v>223</v>
      </c>
      <c r="L5203" t="s">
        <v>224</v>
      </c>
      <c r="M5203" t="s">
        <v>131</v>
      </c>
      <c r="N5203">
        <v>18</v>
      </c>
      <c r="O5203" t="s">
        <v>40</v>
      </c>
      <c r="P5203" t="s">
        <v>40</v>
      </c>
      <c r="Q5203" t="s">
        <v>40</v>
      </c>
      <c r="R5203" t="s">
        <v>40</v>
      </c>
      <c r="S5203" t="s">
        <v>40</v>
      </c>
      <c r="V5203" t="s">
        <v>41</v>
      </c>
      <c r="W5203" t="s">
        <v>49</v>
      </c>
      <c r="X5203" t="str">
        <f>"0581204"</f>
        <v>0581204</v>
      </c>
      <c r="Y5203" t="s">
        <v>249</v>
      </c>
      <c r="Z5203" t="s">
        <v>223</v>
      </c>
      <c r="AA5203" t="s">
        <v>224</v>
      </c>
      <c r="AB5203" t="s">
        <v>131</v>
      </c>
      <c r="AC5203" t="s">
        <v>165</v>
      </c>
      <c r="AD5203" t="s">
        <v>45</v>
      </c>
      <c r="AE5203" s="1">
        <v>20553</v>
      </c>
      <c r="AF5203">
        <v>2</v>
      </c>
      <c r="AG5203" t="s">
        <v>224</v>
      </c>
      <c r="AH5203" s="36">
        <f t="shared" si="81"/>
        <v>63.62222222222222</v>
      </c>
      <c r="AI5203" s="41" t="s">
        <v>1783</v>
      </c>
    </row>
    <row r="5204" spans="1:35" x14ac:dyDescent="0.25">
      <c r="A5204" s="36">
        <v>99915202</v>
      </c>
      <c r="B5204" s="17" t="s">
        <v>56</v>
      </c>
      <c r="C5204" t="s">
        <v>52</v>
      </c>
      <c r="D5204" t="s">
        <v>53</v>
      </c>
      <c r="G5204" s="17" t="s">
        <v>48</v>
      </c>
      <c r="H5204" s="17">
        <v>1</v>
      </c>
      <c r="K5204" t="s">
        <v>380</v>
      </c>
      <c r="L5204" t="s">
        <v>381</v>
      </c>
      <c r="M5204" t="s">
        <v>131</v>
      </c>
      <c r="N5204">
        <v>18</v>
      </c>
      <c r="O5204" t="s">
        <v>40</v>
      </c>
      <c r="P5204" t="s">
        <v>40</v>
      </c>
      <c r="Q5204" t="s">
        <v>40</v>
      </c>
      <c r="R5204" t="s">
        <v>40</v>
      </c>
      <c r="S5204" t="s">
        <v>40</v>
      </c>
      <c r="V5204" t="s">
        <v>41</v>
      </c>
      <c r="W5204" t="s">
        <v>42</v>
      </c>
      <c r="X5204" t="str">
        <f>"0590908"</f>
        <v>0590908</v>
      </c>
      <c r="Y5204" t="s">
        <v>382</v>
      </c>
      <c r="Z5204" t="s">
        <v>380</v>
      </c>
      <c r="AA5204" t="s">
        <v>381</v>
      </c>
      <c r="AB5204" t="s">
        <v>131</v>
      </c>
      <c r="AC5204" t="s">
        <v>51</v>
      </c>
      <c r="AD5204" t="s">
        <v>45</v>
      </c>
      <c r="AE5204" s="1">
        <v>20553</v>
      </c>
      <c r="AF5204">
        <v>2</v>
      </c>
      <c r="AG5204" t="s">
        <v>381</v>
      </c>
      <c r="AH5204" s="36">
        <f t="shared" si="81"/>
        <v>63.62222222222222</v>
      </c>
      <c r="AI5204" s="41" t="s">
        <v>1783</v>
      </c>
    </row>
    <row r="5205" spans="1:35" x14ac:dyDescent="0.25">
      <c r="A5205" s="36">
        <v>99915203</v>
      </c>
      <c r="B5205" s="17" t="s">
        <v>32</v>
      </c>
      <c r="C5205" t="s">
        <v>139</v>
      </c>
      <c r="D5205" t="s">
        <v>140</v>
      </c>
      <c r="G5205" s="17" t="s">
        <v>35</v>
      </c>
      <c r="H5205" s="17">
        <v>1</v>
      </c>
      <c r="K5205" t="s">
        <v>223</v>
      </c>
      <c r="L5205" t="s">
        <v>224</v>
      </c>
      <c r="M5205" t="s">
        <v>131</v>
      </c>
      <c r="N5205">
        <v>8</v>
      </c>
      <c r="O5205" t="s">
        <v>40</v>
      </c>
      <c r="P5205" t="s">
        <v>40</v>
      </c>
      <c r="Q5205" t="s">
        <v>40</v>
      </c>
      <c r="S5205" t="s">
        <v>40</v>
      </c>
      <c r="V5205" t="s">
        <v>41</v>
      </c>
      <c r="W5205" t="s">
        <v>49</v>
      </c>
      <c r="X5205" t="str">
        <f>"0591901"</f>
        <v>0591901</v>
      </c>
      <c r="Y5205" t="s">
        <v>230</v>
      </c>
      <c r="Z5205" t="s">
        <v>223</v>
      </c>
      <c r="AA5205" t="s">
        <v>224</v>
      </c>
      <c r="AB5205" t="s">
        <v>131</v>
      </c>
      <c r="AC5205" t="s">
        <v>51</v>
      </c>
      <c r="AD5205" t="s">
        <v>45</v>
      </c>
      <c r="AE5205" s="1">
        <v>20490</v>
      </c>
      <c r="AF5205">
        <v>2</v>
      </c>
      <c r="AG5205" t="s">
        <v>224</v>
      </c>
      <c r="AH5205" s="36">
        <f t="shared" si="81"/>
        <v>63.797222222222224</v>
      </c>
      <c r="AI5205" s="41" t="s">
        <v>1783</v>
      </c>
    </row>
    <row r="5206" spans="1:35" x14ac:dyDescent="0.25">
      <c r="A5206" s="36">
        <v>99915204</v>
      </c>
      <c r="B5206" s="17" t="s">
        <v>56</v>
      </c>
      <c r="C5206" t="s">
        <v>46</v>
      </c>
      <c r="D5206" t="s">
        <v>47</v>
      </c>
      <c r="G5206" s="17" t="s">
        <v>35</v>
      </c>
      <c r="H5206" s="17">
        <v>1</v>
      </c>
      <c r="K5206" t="s">
        <v>223</v>
      </c>
      <c r="L5206" t="s">
        <v>224</v>
      </c>
      <c r="M5206" t="s">
        <v>131</v>
      </c>
      <c r="N5206">
        <v>18</v>
      </c>
      <c r="O5206" t="s">
        <v>40</v>
      </c>
      <c r="P5206" t="s">
        <v>40</v>
      </c>
      <c r="Q5206" t="s">
        <v>40</v>
      </c>
      <c r="S5206" t="s">
        <v>40</v>
      </c>
      <c r="V5206" t="s">
        <v>41</v>
      </c>
      <c r="W5206" t="s">
        <v>49</v>
      </c>
      <c r="X5206" t="str">
        <f>"0581207"</f>
        <v>0581207</v>
      </c>
      <c r="Y5206" t="s">
        <v>233</v>
      </c>
      <c r="Z5206" t="s">
        <v>223</v>
      </c>
      <c r="AA5206" t="s">
        <v>224</v>
      </c>
      <c r="AB5206" t="s">
        <v>131</v>
      </c>
      <c r="AC5206" t="s">
        <v>165</v>
      </c>
      <c r="AD5206" t="s">
        <v>45</v>
      </c>
      <c r="AE5206" s="1">
        <v>20478</v>
      </c>
      <c r="AF5206">
        <v>2</v>
      </c>
      <c r="AG5206" t="s">
        <v>224</v>
      </c>
      <c r="AH5206" s="36">
        <f t="shared" si="81"/>
        <v>63.830555555555556</v>
      </c>
      <c r="AI5206" s="41" t="s">
        <v>1783</v>
      </c>
    </row>
    <row r="5207" spans="1:35" x14ac:dyDescent="0.25">
      <c r="A5207" s="36">
        <v>99915205</v>
      </c>
      <c r="B5207" s="17" t="s">
        <v>32</v>
      </c>
      <c r="C5207" t="s">
        <v>64</v>
      </c>
      <c r="D5207" t="s">
        <v>65</v>
      </c>
      <c r="G5207" s="17" t="s">
        <v>48</v>
      </c>
      <c r="H5207" s="17">
        <v>1</v>
      </c>
      <c r="K5207" t="s">
        <v>223</v>
      </c>
      <c r="L5207" t="s">
        <v>224</v>
      </c>
      <c r="M5207" t="s">
        <v>131</v>
      </c>
      <c r="N5207">
        <v>8</v>
      </c>
      <c r="O5207" t="s">
        <v>40</v>
      </c>
      <c r="P5207" t="s">
        <v>40</v>
      </c>
      <c r="Q5207" t="s">
        <v>40</v>
      </c>
      <c r="R5207" t="s">
        <v>40</v>
      </c>
      <c r="S5207" t="s">
        <v>40</v>
      </c>
      <c r="V5207" t="s">
        <v>41</v>
      </c>
      <c r="W5207" t="s">
        <v>42</v>
      </c>
      <c r="X5207" t="str">
        <f>"0580203"</f>
        <v>0580203</v>
      </c>
      <c r="Y5207" t="s">
        <v>239</v>
      </c>
      <c r="Z5207" t="s">
        <v>223</v>
      </c>
      <c r="AA5207" t="s">
        <v>224</v>
      </c>
      <c r="AB5207" t="s">
        <v>131</v>
      </c>
      <c r="AC5207" t="s">
        <v>165</v>
      </c>
      <c r="AD5207" t="s">
        <v>45</v>
      </c>
      <c r="AE5207" s="1">
        <v>20473</v>
      </c>
      <c r="AF5207">
        <v>2</v>
      </c>
      <c r="AG5207" t="s">
        <v>224</v>
      </c>
      <c r="AH5207" s="36">
        <f t="shared" si="81"/>
        <v>63.844444444444441</v>
      </c>
      <c r="AI5207" s="41" t="s">
        <v>1783</v>
      </c>
    </row>
    <row r="5208" spans="1:35" x14ac:dyDescent="0.25">
      <c r="A5208" s="36">
        <v>99915206</v>
      </c>
      <c r="B5208" s="17" t="s">
        <v>56</v>
      </c>
      <c r="C5208" t="s">
        <v>52</v>
      </c>
      <c r="D5208" t="s">
        <v>53</v>
      </c>
      <c r="G5208" s="17" t="s">
        <v>48</v>
      </c>
      <c r="H5208" s="17">
        <v>1</v>
      </c>
      <c r="K5208" t="s">
        <v>223</v>
      </c>
      <c r="L5208" t="s">
        <v>224</v>
      </c>
      <c r="M5208" t="s">
        <v>131</v>
      </c>
      <c r="N5208">
        <v>18</v>
      </c>
      <c r="O5208" t="s">
        <v>40</v>
      </c>
      <c r="P5208" t="s">
        <v>40</v>
      </c>
      <c r="Q5208" t="s">
        <v>40</v>
      </c>
      <c r="S5208" t="s">
        <v>40</v>
      </c>
      <c r="V5208" t="s">
        <v>41</v>
      </c>
      <c r="W5208" t="s">
        <v>42</v>
      </c>
      <c r="X5208" t="str">
        <f>"0580202"</f>
        <v>0580202</v>
      </c>
      <c r="Y5208" t="s">
        <v>240</v>
      </c>
      <c r="Z5208" t="s">
        <v>223</v>
      </c>
      <c r="AA5208" t="s">
        <v>224</v>
      </c>
      <c r="AB5208" t="s">
        <v>131</v>
      </c>
      <c r="AC5208" t="s">
        <v>51</v>
      </c>
      <c r="AD5208" t="s">
        <v>45</v>
      </c>
      <c r="AE5208" s="1">
        <v>20383</v>
      </c>
      <c r="AF5208">
        <v>2</v>
      </c>
      <c r="AG5208" t="s">
        <v>224</v>
      </c>
      <c r="AH5208" s="36">
        <f t="shared" si="81"/>
        <v>64.094444444444449</v>
      </c>
      <c r="AI5208" s="41" t="s">
        <v>1783</v>
      </c>
    </row>
    <row r="5209" spans="1:35" x14ac:dyDescent="0.25">
      <c r="A5209" s="36">
        <v>99915207</v>
      </c>
      <c r="B5209" s="17" t="s">
        <v>56</v>
      </c>
      <c r="C5209" t="s">
        <v>68</v>
      </c>
      <c r="D5209" t="s">
        <v>69</v>
      </c>
      <c r="G5209" s="17" t="s">
        <v>48</v>
      </c>
      <c r="H5209" s="17">
        <v>1</v>
      </c>
      <c r="K5209" t="s">
        <v>223</v>
      </c>
      <c r="L5209" t="s">
        <v>224</v>
      </c>
      <c r="M5209" t="s">
        <v>131</v>
      </c>
      <c r="N5209">
        <v>18</v>
      </c>
      <c r="O5209" t="s">
        <v>40</v>
      </c>
      <c r="P5209" t="s">
        <v>40</v>
      </c>
      <c r="Q5209" t="s">
        <v>40</v>
      </c>
      <c r="R5209" t="s">
        <v>40</v>
      </c>
      <c r="S5209" t="s">
        <v>40</v>
      </c>
      <c r="V5209" t="s">
        <v>41</v>
      </c>
      <c r="W5209" t="s">
        <v>42</v>
      </c>
      <c r="X5209" t="str">
        <f>"0590910"</f>
        <v>0590910</v>
      </c>
      <c r="Y5209" t="s">
        <v>227</v>
      </c>
      <c r="Z5209" t="s">
        <v>223</v>
      </c>
      <c r="AA5209" t="s">
        <v>224</v>
      </c>
      <c r="AB5209" t="s">
        <v>131</v>
      </c>
      <c r="AC5209" t="s">
        <v>51</v>
      </c>
      <c r="AD5209" t="s">
        <v>45</v>
      </c>
      <c r="AE5209" s="1">
        <v>20380</v>
      </c>
      <c r="AF5209">
        <v>2</v>
      </c>
      <c r="AG5209" t="s">
        <v>224</v>
      </c>
      <c r="AH5209" s="36">
        <f t="shared" si="81"/>
        <v>64.102777777777774</v>
      </c>
      <c r="AI5209" s="41" t="s">
        <v>1783</v>
      </c>
    </row>
    <row r="5210" spans="1:35" x14ac:dyDescent="0.25">
      <c r="A5210" s="36">
        <v>99915208</v>
      </c>
      <c r="B5210" s="17" t="s">
        <v>56</v>
      </c>
      <c r="C5210" t="s">
        <v>68</v>
      </c>
      <c r="D5210" t="s">
        <v>69</v>
      </c>
      <c r="G5210" s="17" t="s">
        <v>48</v>
      </c>
      <c r="H5210" s="17">
        <v>1</v>
      </c>
      <c r="K5210" t="s">
        <v>1268</v>
      </c>
      <c r="L5210" t="s">
        <v>1269</v>
      </c>
      <c r="M5210" t="s">
        <v>1270</v>
      </c>
      <c r="N5210">
        <v>18</v>
      </c>
      <c r="O5210" t="s">
        <v>40</v>
      </c>
      <c r="P5210" t="s">
        <v>40</v>
      </c>
      <c r="Q5210" t="s">
        <v>40</v>
      </c>
      <c r="R5210" t="s">
        <v>40</v>
      </c>
      <c r="S5210" t="s">
        <v>40</v>
      </c>
      <c r="V5210" t="s">
        <v>41</v>
      </c>
      <c r="W5210" t="s">
        <v>42</v>
      </c>
      <c r="X5210" t="str">
        <f>"1990910"</f>
        <v>1990910</v>
      </c>
      <c r="Y5210" t="s">
        <v>1281</v>
      </c>
      <c r="Z5210" t="s">
        <v>1268</v>
      </c>
      <c r="AA5210" t="s">
        <v>1269</v>
      </c>
      <c r="AB5210" t="s">
        <v>1270</v>
      </c>
      <c r="AC5210" t="s">
        <v>165</v>
      </c>
      <c r="AD5210" t="s">
        <v>45</v>
      </c>
      <c r="AE5210" s="1">
        <v>20371</v>
      </c>
      <c r="AF5210">
        <v>2</v>
      </c>
      <c r="AG5210" t="s">
        <v>1269</v>
      </c>
      <c r="AH5210" s="36">
        <f t="shared" si="81"/>
        <v>64.12777777777778</v>
      </c>
      <c r="AI5210" s="41" t="s">
        <v>1783</v>
      </c>
    </row>
    <row r="5211" spans="1:35" x14ac:dyDescent="0.25">
      <c r="A5211" s="36">
        <v>99915209</v>
      </c>
      <c r="B5211" s="17" t="s">
        <v>56</v>
      </c>
      <c r="C5211" t="s">
        <v>58</v>
      </c>
      <c r="D5211" t="s">
        <v>59</v>
      </c>
      <c r="G5211" s="17" t="s">
        <v>35</v>
      </c>
      <c r="H5211" s="17">
        <v>1</v>
      </c>
      <c r="K5211" t="s">
        <v>223</v>
      </c>
      <c r="L5211" t="s">
        <v>224</v>
      </c>
      <c r="M5211" t="s">
        <v>131</v>
      </c>
      <c r="N5211">
        <v>20</v>
      </c>
      <c r="O5211" t="s">
        <v>40</v>
      </c>
      <c r="P5211" t="s">
        <v>40</v>
      </c>
      <c r="Q5211" t="s">
        <v>40</v>
      </c>
      <c r="S5211" t="s">
        <v>40</v>
      </c>
      <c r="V5211" t="s">
        <v>41</v>
      </c>
      <c r="W5211" t="s">
        <v>42</v>
      </c>
      <c r="X5211" t="str">
        <f>"0590903"</f>
        <v>0590903</v>
      </c>
      <c r="Y5211" t="s">
        <v>226</v>
      </c>
      <c r="Z5211" t="s">
        <v>223</v>
      </c>
      <c r="AA5211" t="s">
        <v>224</v>
      </c>
      <c r="AB5211" t="s">
        <v>131</v>
      </c>
      <c r="AC5211" t="s">
        <v>51</v>
      </c>
      <c r="AD5211" t="s">
        <v>45</v>
      </c>
      <c r="AE5211" s="1">
        <v>20366</v>
      </c>
      <c r="AF5211">
        <v>2</v>
      </c>
      <c r="AG5211" t="s">
        <v>224</v>
      </c>
      <c r="AH5211" s="36">
        <f t="shared" si="81"/>
        <v>64.141666666666666</v>
      </c>
      <c r="AI5211" s="41" t="s">
        <v>1783</v>
      </c>
    </row>
    <row r="5212" spans="1:35" x14ac:dyDescent="0.25">
      <c r="A5212" s="36">
        <v>99915210</v>
      </c>
      <c r="B5212" s="17" t="s">
        <v>56</v>
      </c>
      <c r="C5212" t="s">
        <v>46</v>
      </c>
      <c r="D5212" t="s">
        <v>47</v>
      </c>
      <c r="G5212" s="17" t="s">
        <v>35</v>
      </c>
      <c r="H5212" s="17">
        <v>1</v>
      </c>
      <c r="K5212" t="s">
        <v>223</v>
      </c>
      <c r="L5212" t="s">
        <v>224</v>
      </c>
      <c r="M5212" t="s">
        <v>131</v>
      </c>
      <c r="N5212">
        <v>18</v>
      </c>
      <c r="O5212" t="s">
        <v>40</v>
      </c>
      <c r="P5212" t="s">
        <v>40</v>
      </c>
      <c r="Q5212" t="s">
        <v>40</v>
      </c>
      <c r="S5212" t="s">
        <v>40</v>
      </c>
      <c r="V5212" t="s">
        <v>41</v>
      </c>
      <c r="W5212" t="s">
        <v>42</v>
      </c>
      <c r="X5212" t="str">
        <f>"0590903"</f>
        <v>0590903</v>
      </c>
      <c r="Y5212" t="s">
        <v>226</v>
      </c>
      <c r="Z5212" t="s">
        <v>223</v>
      </c>
      <c r="AA5212" t="s">
        <v>224</v>
      </c>
      <c r="AB5212" t="s">
        <v>131</v>
      </c>
      <c r="AC5212" t="s">
        <v>51</v>
      </c>
      <c r="AD5212" t="s">
        <v>45</v>
      </c>
      <c r="AE5212" s="1">
        <v>20353</v>
      </c>
      <c r="AF5212">
        <v>2</v>
      </c>
      <c r="AG5212" t="s">
        <v>224</v>
      </c>
      <c r="AH5212" s="36">
        <f t="shared" si="81"/>
        <v>64.177777777777777</v>
      </c>
      <c r="AI5212" s="41" t="s">
        <v>1783</v>
      </c>
    </row>
    <row r="5213" spans="1:35" x14ac:dyDescent="0.25">
      <c r="A5213" s="36">
        <v>99915211</v>
      </c>
      <c r="B5213" s="17" t="s">
        <v>32</v>
      </c>
      <c r="C5213" t="s">
        <v>46</v>
      </c>
      <c r="D5213" t="s">
        <v>47</v>
      </c>
      <c r="G5213" s="17" t="s">
        <v>48</v>
      </c>
      <c r="H5213" s="17">
        <v>1</v>
      </c>
      <c r="K5213" t="s">
        <v>162</v>
      </c>
      <c r="L5213" t="s">
        <v>158</v>
      </c>
      <c r="M5213" t="s">
        <v>131</v>
      </c>
      <c r="N5213">
        <v>18</v>
      </c>
      <c r="O5213" t="s">
        <v>40</v>
      </c>
      <c r="P5213" t="s">
        <v>40</v>
      </c>
      <c r="Q5213" t="s">
        <v>40</v>
      </c>
      <c r="S5213" t="s">
        <v>40</v>
      </c>
      <c r="V5213" t="s">
        <v>41</v>
      </c>
      <c r="W5213" t="s">
        <v>42</v>
      </c>
      <c r="X5213" t="str">
        <f>"0580325"</f>
        <v>0580325</v>
      </c>
      <c r="Y5213" t="s">
        <v>170</v>
      </c>
      <c r="Z5213" t="s">
        <v>162</v>
      </c>
      <c r="AA5213" t="s">
        <v>158</v>
      </c>
      <c r="AB5213" t="s">
        <v>131</v>
      </c>
      <c r="AC5213" t="s">
        <v>165</v>
      </c>
      <c r="AD5213" t="s">
        <v>45</v>
      </c>
      <c r="AE5213" s="1">
        <v>20347</v>
      </c>
      <c r="AF5213">
        <v>2</v>
      </c>
      <c r="AG5213" t="s">
        <v>158</v>
      </c>
      <c r="AH5213" s="36">
        <f t="shared" si="81"/>
        <v>64.194444444444443</v>
      </c>
      <c r="AI5213" s="41" t="s">
        <v>1783</v>
      </c>
    </row>
    <row r="5214" spans="1:35" x14ac:dyDescent="0.25">
      <c r="A5214" s="36">
        <v>99915212</v>
      </c>
      <c r="B5214" s="17" t="s">
        <v>32</v>
      </c>
      <c r="C5214" t="s">
        <v>90</v>
      </c>
      <c r="D5214" t="s">
        <v>91</v>
      </c>
      <c r="G5214" s="17" t="s">
        <v>48</v>
      </c>
      <c r="H5214" s="17">
        <v>1</v>
      </c>
      <c r="K5214" t="s">
        <v>407</v>
      </c>
      <c r="L5214" t="s">
        <v>409</v>
      </c>
      <c r="M5214" t="s">
        <v>131</v>
      </c>
      <c r="N5214">
        <v>25</v>
      </c>
      <c r="O5214" t="s">
        <v>40</v>
      </c>
      <c r="P5214" t="s">
        <v>40</v>
      </c>
      <c r="Q5214" t="s">
        <v>40</v>
      </c>
      <c r="S5214" t="s">
        <v>40</v>
      </c>
      <c r="V5214" t="s">
        <v>41</v>
      </c>
      <c r="W5214" t="s">
        <v>95</v>
      </c>
      <c r="X5214" t="str">
        <f>"7053019"</f>
        <v>7053019</v>
      </c>
      <c r="Y5214" t="s">
        <v>761</v>
      </c>
      <c r="Z5214" t="s">
        <v>407</v>
      </c>
      <c r="AA5214" t="s">
        <v>409</v>
      </c>
      <c r="AB5214" t="s">
        <v>131</v>
      </c>
      <c r="AC5214" t="s">
        <v>51</v>
      </c>
      <c r="AD5214" t="s">
        <v>45</v>
      </c>
      <c r="AE5214" s="1">
        <v>20336</v>
      </c>
      <c r="AF5214">
        <v>1</v>
      </c>
      <c r="AG5214" t="s">
        <v>409</v>
      </c>
      <c r="AH5214" s="36">
        <f t="shared" si="81"/>
        <v>64.224999999999994</v>
      </c>
      <c r="AI5214" s="41" t="s">
        <v>1783</v>
      </c>
    </row>
    <row r="5215" spans="1:35" x14ac:dyDescent="0.25">
      <c r="A5215" s="36">
        <v>99915213</v>
      </c>
      <c r="B5215" s="17" t="s">
        <v>56</v>
      </c>
      <c r="C5215" t="s">
        <v>68</v>
      </c>
      <c r="D5215" t="s">
        <v>69</v>
      </c>
      <c r="G5215" s="17" t="s">
        <v>48</v>
      </c>
      <c r="H5215" s="17">
        <v>1</v>
      </c>
      <c r="K5215" t="s">
        <v>223</v>
      </c>
      <c r="L5215" t="s">
        <v>224</v>
      </c>
      <c r="M5215" t="s">
        <v>131</v>
      </c>
      <c r="N5215">
        <v>2</v>
      </c>
      <c r="O5215" t="s">
        <v>40</v>
      </c>
      <c r="P5215" t="s">
        <v>40</v>
      </c>
      <c r="Q5215" t="s">
        <v>40</v>
      </c>
      <c r="R5215" t="s">
        <v>40</v>
      </c>
      <c r="S5215" t="s">
        <v>40</v>
      </c>
      <c r="V5215" t="s">
        <v>41</v>
      </c>
      <c r="W5215" t="s">
        <v>42</v>
      </c>
      <c r="X5215" t="str">
        <f>"0561007"</f>
        <v>0561007</v>
      </c>
      <c r="Y5215" t="s">
        <v>262</v>
      </c>
      <c r="Z5215" t="s">
        <v>223</v>
      </c>
      <c r="AA5215" t="s">
        <v>224</v>
      </c>
      <c r="AB5215" t="s">
        <v>131</v>
      </c>
      <c r="AC5215" t="s">
        <v>51</v>
      </c>
      <c r="AD5215" t="s">
        <v>45</v>
      </c>
      <c r="AE5215" s="1">
        <v>20312</v>
      </c>
      <c r="AF5215">
        <v>2</v>
      </c>
      <c r="AG5215" t="s">
        <v>224</v>
      </c>
      <c r="AH5215" s="36">
        <f t="shared" si="81"/>
        <v>64.291666666666671</v>
      </c>
      <c r="AI5215" s="41" t="s">
        <v>1783</v>
      </c>
    </row>
    <row r="5216" spans="1:35" x14ac:dyDescent="0.25">
      <c r="A5216" s="36">
        <v>99915214</v>
      </c>
      <c r="B5216" s="17" t="s">
        <v>32</v>
      </c>
      <c r="C5216" t="s">
        <v>64</v>
      </c>
      <c r="D5216" t="s">
        <v>65</v>
      </c>
      <c r="G5216" s="17" t="s">
        <v>35</v>
      </c>
      <c r="H5216" s="17">
        <v>1</v>
      </c>
      <c r="I5216">
        <v>0</v>
      </c>
      <c r="J5216" s="1">
        <v>43344</v>
      </c>
      <c r="K5216" t="s">
        <v>223</v>
      </c>
      <c r="L5216" t="s">
        <v>224</v>
      </c>
      <c r="M5216" t="s">
        <v>131</v>
      </c>
      <c r="N5216">
        <v>18</v>
      </c>
      <c r="O5216" t="s">
        <v>40</v>
      </c>
      <c r="S5216" t="s">
        <v>40</v>
      </c>
      <c r="U5216" s="1">
        <v>43344</v>
      </c>
      <c r="V5216" t="s">
        <v>41</v>
      </c>
      <c r="W5216" t="s">
        <v>42</v>
      </c>
      <c r="X5216" t="str">
        <f>"0580206"</f>
        <v>0580206</v>
      </c>
      <c r="Y5216" t="s">
        <v>237</v>
      </c>
      <c r="Z5216" t="s">
        <v>223</v>
      </c>
      <c r="AA5216" t="s">
        <v>224</v>
      </c>
      <c r="AB5216" t="s">
        <v>131</v>
      </c>
      <c r="AC5216" t="s">
        <v>51</v>
      </c>
      <c r="AD5216" t="s">
        <v>45</v>
      </c>
      <c r="AE5216" s="1">
        <v>20298</v>
      </c>
      <c r="AF5216">
        <v>2</v>
      </c>
      <c r="AG5216" t="s">
        <v>224</v>
      </c>
      <c r="AH5216" s="36">
        <f t="shared" si="81"/>
        <v>64.330555555555549</v>
      </c>
      <c r="AI5216" s="41" t="s">
        <v>1783</v>
      </c>
    </row>
    <row r="5217" spans="1:35" x14ac:dyDescent="0.25">
      <c r="A5217" s="36">
        <v>99915215</v>
      </c>
      <c r="B5217" s="17" t="s">
        <v>32</v>
      </c>
      <c r="C5217" t="s">
        <v>46</v>
      </c>
      <c r="D5217" t="s">
        <v>47</v>
      </c>
      <c r="G5217" s="17" t="s">
        <v>35</v>
      </c>
      <c r="H5217" s="17">
        <v>1</v>
      </c>
      <c r="K5217" t="s">
        <v>223</v>
      </c>
      <c r="L5217" t="s">
        <v>224</v>
      </c>
      <c r="M5217" t="s">
        <v>131</v>
      </c>
      <c r="N5217">
        <v>18</v>
      </c>
      <c r="O5217" t="s">
        <v>40</v>
      </c>
      <c r="P5217" t="s">
        <v>40</v>
      </c>
      <c r="Q5217" t="s">
        <v>40</v>
      </c>
      <c r="R5217" t="s">
        <v>40</v>
      </c>
      <c r="S5217" t="s">
        <v>40</v>
      </c>
      <c r="V5217" t="s">
        <v>41</v>
      </c>
      <c r="W5217" t="s">
        <v>42</v>
      </c>
      <c r="X5217" t="str">
        <f>"0590901"</f>
        <v>0590901</v>
      </c>
      <c r="Y5217" t="s">
        <v>242</v>
      </c>
      <c r="Z5217" t="s">
        <v>223</v>
      </c>
      <c r="AA5217" t="s">
        <v>224</v>
      </c>
      <c r="AB5217" t="s">
        <v>131</v>
      </c>
      <c r="AC5217" t="s">
        <v>165</v>
      </c>
      <c r="AD5217" t="s">
        <v>45</v>
      </c>
      <c r="AE5217" s="1">
        <v>20209</v>
      </c>
      <c r="AF5217">
        <v>2</v>
      </c>
      <c r="AG5217" t="s">
        <v>224</v>
      </c>
      <c r="AH5217" s="36">
        <f t="shared" si="81"/>
        <v>64.577777777777783</v>
      </c>
      <c r="AI5217" s="41" t="s">
        <v>1783</v>
      </c>
    </row>
    <row r="5218" spans="1:35" x14ac:dyDescent="0.25">
      <c r="A5218" s="36">
        <v>99915216</v>
      </c>
      <c r="B5218" s="17" t="s">
        <v>56</v>
      </c>
      <c r="C5218" t="s">
        <v>52</v>
      </c>
      <c r="D5218" t="s">
        <v>53</v>
      </c>
      <c r="G5218" s="17" t="s">
        <v>35</v>
      </c>
      <c r="H5218" s="17">
        <v>1</v>
      </c>
      <c r="I5218" t="s">
        <v>1603</v>
      </c>
      <c r="J5218" s="1">
        <v>43344</v>
      </c>
      <c r="K5218" t="s">
        <v>1590</v>
      </c>
      <c r="L5218" t="s">
        <v>1591</v>
      </c>
      <c r="M5218" t="s">
        <v>1592</v>
      </c>
      <c r="N5218">
        <v>14</v>
      </c>
      <c r="O5218" t="s">
        <v>40</v>
      </c>
      <c r="S5218" t="s">
        <v>40</v>
      </c>
      <c r="U5218" s="1">
        <v>43344</v>
      </c>
      <c r="V5218" t="s">
        <v>41</v>
      </c>
      <c r="W5218" t="s">
        <v>42</v>
      </c>
      <c r="X5218" t="str">
        <f>"0280020"</f>
        <v>0280020</v>
      </c>
      <c r="Y5218" t="s">
        <v>1597</v>
      </c>
      <c r="Z5218" t="s">
        <v>1590</v>
      </c>
      <c r="AA5218" t="s">
        <v>1591</v>
      </c>
      <c r="AB5218" t="s">
        <v>1592</v>
      </c>
      <c r="AC5218" t="s">
        <v>51</v>
      </c>
      <c r="AD5218" t="s">
        <v>45</v>
      </c>
      <c r="AE5218" s="1">
        <v>20187</v>
      </c>
      <c r="AF5218">
        <v>2</v>
      </c>
      <c r="AG5218" t="s">
        <v>1591</v>
      </c>
      <c r="AH5218" s="36">
        <f t="shared" si="81"/>
        <v>64.638888888888886</v>
      </c>
      <c r="AI5218" s="41" t="s">
        <v>1783</v>
      </c>
    </row>
    <row r="5219" spans="1:35" x14ac:dyDescent="0.25">
      <c r="A5219" s="36">
        <v>99915217</v>
      </c>
      <c r="B5219" s="17" t="s">
        <v>56</v>
      </c>
      <c r="C5219" t="s">
        <v>46</v>
      </c>
      <c r="D5219" t="s">
        <v>47</v>
      </c>
      <c r="G5219" s="17" t="s">
        <v>35</v>
      </c>
      <c r="H5219" s="17">
        <v>1</v>
      </c>
      <c r="I5219">
        <v>0</v>
      </c>
      <c r="J5219" s="1">
        <v>43344</v>
      </c>
      <c r="K5219" t="s">
        <v>223</v>
      </c>
      <c r="L5219" t="s">
        <v>224</v>
      </c>
      <c r="M5219" t="s">
        <v>131</v>
      </c>
      <c r="N5219">
        <v>18</v>
      </c>
      <c r="O5219" t="s">
        <v>40</v>
      </c>
      <c r="P5219" t="s">
        <v>40</v>
      </c>
      <c r="Q5219" t="s">
        <v>40</v>
      </c>
      <c r="R5219" t="s">
        <v>40</v>
      </c>
      <c r="S5219" t="s">
        <v>40</v>
      </c>
      <c r="U5219" s="1">
        <v>43344</v>
      </c>
      <c r="V5219" t="s">
        <v>41</v>
      </c>
      <c r="W5219" t="s">
        <v>49</v>
      </c>
      <c r="X5219" t="str">
        <f>"0581202"</f>
        <v>0581202</v>
      </c>
      <c r="Y5219" t="s">
        <v>248</v>
      </c>
      <c r="Z5219" t="s">
        <v>223</v>
      </c>
      <c r="AA5219" t="s">
        <v>224</v>
      </c>
      <c r="AB5219" t="s">
        <v>131</v>
      </c>
      <c r="AC5219" t="s">
        <v>165</v>
      </c>
      <c r="AD5219" t="s">
        <v>45</v>
      </c>
      <c r="AE5219" s="1">
        <v>20181</v>
      </c>
      <c r="AF5219">
        <v>2</v>
      </c>
      <c r="AG5219" t="s">
        <v>224</v>
      </c>
      <c r="AH5219" s="36">
        <f t="shared" si="81"/>
        <v>64.655555555555551</v>
      </c>
      <c r="AI5219" s="41" t="s">
        <v>1783</v>
      </c>
    </row>
    <row r="5220" spans="1:35" x14ac:dyDescent="0.25">
      <c r="A5220" s="36">
        <v>99915218</v>
      </c>
      <c r="B5220" s="17" t="s">
        <v>56</v>
      </c>
      <c r="C5220" t="s">
        <v>68</v>
      </c>
      <c r="D5220" t="s">
        <v>69</v>
      </c>
      <c r="G5220" s="17" t="s">
        <v>48</v>
      </c>
      <c r="H5220" s="17">
        <v>1</v>
      </c>
      <c r="K5220" t="s">
        <v>300</v>
      </c>
      <c r="L5220" t="s">
        <v>301</v>
      </c>
      <c r="M5220" t="s">
        <v>131</v>
      </c>
      <c r="N5220">
        <v>9</v>
      </c>
      <c r="O5220" t="s">
        <v>40</v>
      </c>
      <c r="P5220" t="s">
        <v>40</v>
      </c>
      <c r="Q5220" t="s">
        <v>40</v>
      </c>
      <c r="S5220" t="s">
        <v>40</v>
      </c>
      <c r="V5220" t="s">
        <v>41</v>
      </c>
      <c r="W5220" t="s">
        <v>42</v>
      </c>
      <c r="X5220" t="str">
        <f>"0580106"</f>
        <v>0580106</v>
      </c>
      <c r="Y5220" t="s">
        <v>306</v>
      </c>
      <c r="Z5220" t="s">
        <v>300</v>
      </c>
      <c r="AA5220" t="s">
        <v>301</v>
      </c>
      <c r="AB5220" t="s">
        <v>131</v>
      </c>
      <c r="AC5220" t="s">
        <v>51</v>
      </c>
      <c r="AD5220" t="s">
        <v>45</v>
      </c>
      <c r="AE5220" s="1">
        <v>20176</v>
      </c>
      <c r="AF5220">
        <v>2</v>
      </c>
      <c r="AG5220" t="s">
        <v>301</v>
      </c>
      <c r="AH5220" s="36">
        <f t="shared" si="81"/>
        <v>64.669444444444451</v>
      </c>
      <c r="AI5220" s="41" t="s">
        <v>1783</v>
      </c>
    </row>
    <row r="5221" spans="1:35" x14ac:dyDescent="0.25">
      <c r="A5221" s="36">
        <v>99915219</v>
      </c>
      <c r="B5221" s="17" t="s">
        <v>56</v>
      </c>
      <c r="C5221" t="s">
        <v>46</v>
      </c>
      <c r="D5221" t="s">
        <v>47</v>
      </c>
      <c r="G5221" s="17" t="s">
        <v>48</v>
      </c>
      <c r="H5221" s="17">
        <v>1</v>
      </c>
      <c r="K5221" t="s">
        <v>1268</v>
      </c>
      <c r="L5221" t="s">
        <v>1269</v>
      </c>
      <c r="M5221" t="s">
        <v>1270</v>
      </c>
      <c r="N5221">
        <v>18</v>
      </c>
      <c r="O5221" t="s">
        <v>40</v>
      </c>
      <c r="P5221" t="s">
        <v>40</v>
      </c>
      <c r="Q5221" t="s">
        <v>40</v>
      </c>
      <c r="R5221" t="s">
        <v>40</v>
      </c>
      <c r="S5221" t="s">
        <v>40</v>
      </c>
      <c r="V5221" t="s">
        <v>41</v>
      </c>
      <c r="W5221" t="s">
        <v>42</v>
      </c>
      <c r="X5221" t="str">
        <f>"1990911"</f>
        <v>1990911</v>
      </c>
      <c r="Y5221" t="s">
        <v>1276</v>
      </c>
      <c r="Z5221" t="s">
        <v>1268</v>
      </c>
      <c r="AA5221" t="s">
        <v>1269</v>
      </c>
      <c r="AB5221" t="s">
        <v>1270</v>
      </c>
      <c r="AC5221" t="s">
        <v>165</v>
      </c>
      <c r="AD5221" t="s">
        <v>45</v>
      </c>
      <c r="AE5221" s="1">
        <v>20171</v>
      </c>
      <c r="AF5221">
        <v>2</v>
      </c>
      <c r="AG5221" t="s">
        <v>1269</v>
      </c>
      <c r="AH5221" s="36">
        <f t="shared" si="81"/>
        <v>64.683333333333337</v>
      </c>
      <c r="AI5221" s="41" t="s">
        <v>1783</v>
      </c>
    </row>
    <row r="5222" spans="1:35" x14ac:dyDescent="0.25">
      <c r="A5222" s="36">
        <v>99915220</v>
      </c>
      <c r="B5222" s="17" t="s">
        <v>56</v>
      </c>
      <c r="C5222" t="s">
        <v>68</v>
      </c>
      <c r="D5222" t="s">
        <v>69</v>
      </c>
      <c r="G5222" s="17" t="s">
        <v>48</v>
      </c>
      <c r="H5222" s="17">
        <v>1</v>
      </c>
      <c r="K5222" t="s">
        <v>380</v>
      </c>
      <c r="L5222" t="s">
        <v>381</v>
      </c>
      <c r="M5222" t="s">
        <v>131</v>
      </c>
      <c r="N5222">
        <v>17</v>
      </c>
      <c r="O5222" t="s">
        <v>40</v>
      </c>
      <c r="P5222" t="s">
        <v>40</v>
      </c>
      <c r="Q5222" t="s">
        <v>40</v>
      </c>
      <c r="R5222" t="s">
        <v>40</v>
      </c>
      <c r="S5222" t="s">
        <v>40</v>
      </c>
      <c r="V5222" t="s">
        <v>41</v>
      </c>
      <c r="W5222" t="s">
        <v>49</v>
      </c>
      <c r="X5222" t="str">
        <f>"0591908"</f>
        <v>0591908</v>
      </c>
      <c r="Y5222" t="s">
        <v>383</v>
      </c>
      <c r="Z5222" t="s">
        <v>380</v>
      </c>
      <c r="AA5222" t="s">
        <v>381</v>
      </c>
      <c r="AB5222" t="s">
        <v>131</v>
      </c>
      <c r="AC5222" t="s">
        <v>51</v>
      </c>
      <c r="AD5222" t="s">
        <v>45</v>
      </c>
      <c r="AE5222" s="1">
        <v>20136</v>
      </c>
      <c r="AF5222">
        <v>2</v>
      </c>
      <c r="AG5222" t="s">
        <v>381</v>
      </c>
      <c r="AH5222" s="36">
        <f t="shared" si="81"/>
        <v>64.780555555555551</v>
      </c>
      <c r="AI5222" s="41" t="s">
        <v>1783</v>
      </c>
    </row>
    <row r="5223" spans="1:35" x14ac:dyDescent="0.25">
      <c r="A5223" s="36">
        <v>99915221</v>
      </c>
      <c r="B5223" s="17" t="s">
        <v>32</v>
      </c>
      <c r="C5223" t="s">
        <v>64</v>
      </c>
      <c r="D5223" t="s">
        <v>65</v>
      </c>
      <c r="G5223" s="17" t="s">
        <v>35</v>
      </c>
      <c r="H5223" s="17">
        <v>17</v>
      </c>
      <c r="K5223" t="s">
        <v>268</v>
      </c>
      <c r="L5223" t="s">
        <v>269</v>
      </c>
      <c r="M5223" t="s">
        <v>131</v>
      </c>
      <c r="N5223">
        <v>21</v>
      </c>
      <c r="O5223" t="s">
        <v>40</v>
      </c>
      <c r="P5223" t="s">
        <v>40</v>
      </c>
      <c r="Q5223" t="s">
        <v>40</v>
      </c>
      <c r="R5223" t="s">
        <v>40</v>
      </c>
      <c r="S5223" t="s">
        <v>40</v>
      </c>
      <c r="V5223" t="s">
        <v>41</v>
      </c>
      <c r="W5223" t="s">
        <v>75</v>
      </c>
      <c r="X5223" t="str">
        <f>"7052006"</f>
        <v>7052006</v>
      </c>
      <c r="Y5223" t="s">
        <v>575</v>
      </c>
      <c r="Z5223" t="s">
        <v>268</v>
      </c>
      <c r="AA5223" t="s">
        <v>269</v>
      </c>
      <c r="AB5223" t="s">
        <v>131</v>
      </c>
      <c r="AC5223" t="s">
        <v>51</v>
      </c>
      <c r="AD5223" t="s">
        <v>45</v>
      </c>
      <c r="AE5223" s="1">
        <v>20131</v>
      </c>
      <c r="AF5223">
        <v>1</v>
      </c>
      <c r="AG5223" t="s">
        <v>269</v>
      </c>
      <c r="AH5223" s="36">
        <f t="shared" si="81"/>
        <v>64.794444444444451</v>
      </c>
      <c r="AI5223" s="41" t="s">
        <v>1783</v>
      </c>
    </row>
    <row r="5224" spans="1:35" x14ac:dyDescent="0.25">
      <c r="A5224" s="36">
        <v>99915222</v>
      </c>
      <c r="B5224" s="17" t="s">
        <v>32</v>
      </c>
      <c r="C5224" t="s">
        <v>139</v>
      </c>
      <c r="D5224" t="s">
        <v>140</v>
      </c>
      <c r="G5224" s="17" t="s">
        <v>35</v>
      </c>
      <c r="H5224" s="17">
        <v>1</v>
      </c>
      <c r="K5224" t="s">
        <v>162</v>
      </c>
      <c r="L5224" t="s">
        <v>158</v>
      </c>
      <c r="M5224" t="s">
        <v>131</v>
      </c>
      <c r="N5224">
        <v>18</v>
      </c>
      <c r="O5224" t="s">
        <v>40</v>
      </c>
      <c r="P5224" t="s">
        <v>40</v>
      </c>
      <c r="Q5224" t="s">
        <v>40</v>
      </c>
      <c r="R5224" t="s">
        <v>40</v>
      </c>
      <c r="S5224" t="s">
        <v>40</v>
      </c>
      <c r="V5224" t="s">
        <v>41</v>
      </c>
      <c r="W5224" t="s">
        <v>49</v>
      </c>
      <c r="X5224" t="str">
        <f>"0581325"</f>
        <v>0581325</v>
      </c>
      <c r="Y5224" t="s">
        <v>169</v>
      </c>
      <c r="Z5224" t="s">
        <v>162</v>
      </c>
      <c r="AA5224" t="s">
        <v>158</v>
      </c>
      <c r="AB5224" t="s">
        <v>131</v>
      </c>
      <c r="AC5224" t="s">
        <v>165</v>
      </c>
      <c r="AD5224" t="s">
        <v>45</v>
      </c>
      <c r="AE5224" s="1">
        <v>20128</v>
      </c>
      <c r="AF5224">
        <v>2</v>
      </c>
      <c r="AG5224" t="s">
        <v>158</v>
      </c>
      <c r="AH5224" s="36">
        <f t="shared" si="81"/>
        <v>64.802777777777777</v>
      </c>
      <c r="AI5224" s="41" t="s">
        <v>1783</v>
      </c>
    </row>
    <row r="5225" spans="1:35" x14ac:dyDescent="0.25">
      <c r="A5225" s="36">
        <v>99915223</v>
      </c>
      <c r="B5225" s="17" t="s">
        <v>56</v>
      </c>
      <c r="C5225" t="s">
        <v>68</v>
      </c>
      <c r="D5225" t="s">
        <v>69</v>
      </c>
      <c r="G5225" s="17" t="s">
        <v>48</v>
      </c>
      <c r="H5225" s="17">
        <v>1</v>
      </c>
      <c r="K5225" t="s">
        <v>157</v>
      </c>
      <c r="L5225" t="s">
        <v>158</v>
      </c>
      <c r="M5225" t="s">
        <v>131</v>
      </c>
      <c r="N5225">
        <v>12</v>
      </c>
      <c r="O5225" t="s">
        <v>40</v>
      </c>
      <c r="P5225" t="s">
        <v>40</v>
      </c>
      <c r="Q5225" t="s">
        <v>40</v>
      </c>
      <c r="S5225" t="s">
        <v>40</v>
      </c>
      <c r="V5225" t="s">
        <v>41</v>
      </c>
      <c r="W5225" t="s">
        <v>49</v>
      </c>
      <c r="X5225" t="str">
        <f>"0560019"</f>
        <v>0560019</v>
      </c>
      <c r="Y5225" t="s">
        <v>166</v>
      </c>
      <c r="Z5225" t="s">
        <v>157</v>
      </c>
      <c r="AA5225" t="s">
        <v>158</v>
      </c>
      <c r="AB5225" t="s">
        <v>131</v>
      </c>
      <c r="AC5225" t="s">
        <v>51</v>
      </c>
      <c r="AD5225" t="s">
        <v>45</v>
      </c>
      <c r="AE5225" s="1">
        <v>20125</v>
      </c>
      <c r="AF5225">
        <v>2</v>
      </c>
      <c r="AG5225" t="s">
        <v>158</v>
      </c>
      <c r="AH5225" s="36">
        <f t="shared" si="81"/>
        <v>64.811111111111117</v>
      </c>
      <c r="AI5225" s="41" t="s">
        <v>1783</v>
      </c>
    </row>
    <row r="5226" spans="1:35" x14ac:dyDescent="0.25">
      <c r="A5226" s="36">
        <v>99915224</v>
      </c>
      <c r="B5226" s="17" t="s">
        <v>56</v>
      </c>
      <c r="C5226" t="s">
        <v>52</v>
      </c>
      <c r="D5226" t="s">
        <v>53</v>
      </c>
      <c r="G5226" s="17" t="s">
        <v>48</v>
      </c>
      <c r="H5226" s="17">
        <v>1</v>
      </c>
      <c r="K5226" t="s">
        <v>1051</v>
      </c>
      <c r="L5226" t="s">
        <v>1052</v>
      </c>
      <c r="M5226" t="s">
        <v>1053</v>
      </c>
      <c r="N5226">
        <v>20</v>
      </c>
      <c r="O5226" t="s">
        <v>40</v>
      </c>
      <c r="P5226" t="s">
        <v>40</v>
      </c>
      <c r="Q5226" t="s">
        <v>40</v>
      </c>
      <c r="S5226" t="s">
        <v>40</v>
      </c>
      <c r="V5226" t="s">
        <v>41</v>
      </c>
      <c r="W5226" t="s">
        <v>42</v>
      </c>
      <c r="X5226" t="str">
        <f>"2061001"</f>
        <v>2061001</v>
      </c>
      <c r="Y5226" t="s">
        <v>1058</v>
      </c>
      <c r="Z5226" t="s">
        <v>1051</v>
      </c>
      <c r="AA5226" t="s">
        <v>1052</v>
      </c>
      <c r="AB5226" t="s">
        <v>1053</v>
      </c>
      <c r="AC5226" t="s">
        <v>51</v>
      </c>
      <c r="AD5226" t="s">
        <v>45</v>
      </c>
      <c r="AE5226" s="1">
        <v>20124</v>
      </c>
      <c r="AF5226">
        <v>2</v>
      </c>
      <c r="AG5226" t="s">
        <v>1052</v>
      </c>
      <c r="AH5226" s="36">
        <f t="shared" si="81"/>
        <v>64.813888888888883</v>
      </c>
      <c r="AI5226" s="41" t="s">
        <v>1783</v>
      </c>
    </row>
    <row r="5227" spans="1:35" x14ac:dyDescent="0.25">
      <c r="A5227" s="36">
        <v>99915225</v>
      </c>
      <c r="B5227" s="17" t="s">
        <v>32</v>
      </c>
      <c r="C5227" t="s">
        <v>64</v>
      </c>
      <c r="D5227" t="s">
        <v>65</v>
      </c>
      <c r="G5227" s="17" t="s">
        <v>48</v>
      </c>
      <c r="H5227" s="17">
        <v>1</v>
      </c>
      <c r="K5227" t="s">
        <v>223</v>
      </c>
      <c r="L5227" t="s">
        <v>224</v>
      </c>
      <c r="M5227" t="s">
        <v>131</v>
      </c>
      <c r="N5227">
        <v>20</v>
      </c>
      <c r="O5227" t="s">
        <v>40</v>
      </c>
      <c r="P5227" t="s">
        <v>40</v>
      </c>
      <c r="Q5227" t="s">
        <v>40</v>
      </c>
      <c r="R5227" t="s">
        <v>40</v>
      </c>
      <c r="S5227" t="s">
        <v>40</v>
      </c>
      <c r="V5227" t="s">
        <v>41</v>
      </c>
      <c r="W5227" t="s">
        <v>49</v>
      </c>
      <c r="X5227" t="str">
        <f>"0581200"</f>
        <v>0581200</v>
      </c>
      <c r="Y5227" t="s">
        <v>238</v>
      </c>
      <c r="Z5227" t="s">
        <v>223</v>
      </c>
      <c r="AA5227" t="s">
        <v>224</v>
      </c>
      <c r="AB5227" t="s">
        <v>131</v>
      </c>
      <c r="AC5227" t="s">
        <v>51</v>
      </c>
      <c r="AD5227" t="s">
        <v>45</v>
      </c>
      <c r="AE5227" s="1">
        <v>20091</v>
      </c>
      <c r="AF5227">
        <v>2</v>
      </c>
      <c r="AG5227" t="s">
        <v>224</v>
      </c>
      <c r="AH5227" s="36">
        <f t="shared" si="81"/>
        <v>64.905555555555551</v>
      </c>
      <c r="AI5227" s="41" t="s">
        <v>1783</v>
      </c>
    </row>
    <row r="5228" spans="1:35" x14ac:dyDescent="0.25">
      <c r="A5228" s="36">
        <v>99915226</v>
      </c>
      <c r="B5228" s="17" t="s">
        <v>56</v>
      </c>
      <c r="C5228" t="s">
        <v>52</v>
      </c>
      <c r="D5228" t="s">
        <v>53</v>
      </c>
      <c r="G5228" s="17" t="s">
        <v>48</v>
      </c>
      <c r="H5228" s="17">
        <v>8</v>
      </c>
      <c r="K5228" t="s">
        <v>345</v>
      </c>
      <c r="L5228" t="s">
        <v>346</v>
      </c>
      <c r="M5228" t="s">
        <v>131</v>
      </c>
      <c r="N5228">
        <v>20</v>
      </c>
      <c r="O5228" t="s">
        <v>40</v>
      </c>
      <c r="P5228" t="s">
        <v>40</v>
      </c>
      <c r="Q5228" t="s">
        <v>40</v>
      </c>
      <c r="R5228" t="s">
        <v>40</v>
      </c>
      <c r="S5228" t="s">
        <v>40</v>
      </c>
      <c r="V5228" t="s">
        <v>41</v>
      </c>
      <c r="W5228" t="s">
        <v>49</v>
      </c>
      <c r="X5228" t="str">
        <f>"0561021"</f>
        <v>0561021</v>
      </c>
      <c r="Y5228" t="s">
        <v>352</v>
      </c>
      <c r="Z5228" t="s">
        <v>345</v>
      </c>
      <c r="AA5228" t="s">
        <v>346</v>
      </c>
      <c r="AB5228" t="s">
        <v>131</v>
      </c>
      <c r="AC5228" t="s">
        <v>51</v>
      </c>
      <c r="AD5228" t="s">
        <v>45</v>
      </c>
      <c r="AE5228" s="1">
        <v>20090</v>
      </c>
      <c r="AF5228">
        <v>2</v>
      </c>
      <c r="AG5228" t="s">
        <v>346</v>
      </c>
      <c r="AH5228" s="36">
        <f t="shared" si="81"/>
        <v>64.908333333333331</v>
      </c>
      <c r="AI5228" s="41" t="s">
        <v>1783</v>
      </c>
    </row>
    <row r="5229" spans="1:35" x14ac:dyDescent="0.25">
      <c r="A5229" s="36">
        <v>99915227</v>
      </c>
      <c r="B5229" s="17" t="s">
        <v>56</v>
      </c>
      <c r="C5229" t="s">
        <v>68</v>
      </c>
      <c r="D5229" t="s">
        <v>69</v>
      </c>
      <c r="G5229" s="17" t="s">
        <v>35</v>
      </c>
      <c r="H5229" s="17">
        <v>1</v>
      </c>
      <c r="K5229" t="s">
        <v>223</v>
      </c>
      <c r="L5229" t="s">
        <v>224</v>
      </c>
      <c r="M5229" t="s">
        <v>131</v>
      </c>
      <c r="N5229">
        <v>18</v>
      </c>
      <c r="O5229" t="s">
        <v>40</v>
      </c>
      <c r="P5229" t="s">
        <v>40</v>
      </c>
      <c r="Q5229" t="s">
        <v>40</v>
      </c>
      <c r="S5229" t="s">
        <v>40</v>
      </c>
      <c r="V5229" t="s">
        <v>41</v>
      </c>
      <c r="W5229" t="s">
        <v>42</v>
      </c>
      <c r="X5229" t="str">
        <f>"0590901"</f>
        <v>0590901</v>
      </c>
      <c r="Y5229" t="s">
        <v>242</v>
      </c>
      <c r="Z5229" t="s">
        <v>223</v>
      </c>
      <c r="AA5229" t="s">
        <v>224</v>
      </c>
      <c r="AB5229" t="s">
        <v>131</v>
      </c>
      <c r="AC5229" t="s">
        <v>165</v>
      </c>
      <c r="AD5229" t="s">
        <v>45</v>
      </c>
      <c r="AE5229" s="1">
        <v>20057</v>
      </c>
      <c r="AF5229">
        <v>2</v>
      </c>
      <c r="AG5229" t="s">
        <v>224</v>
      </c>
      <c r="AH5229" s="36">
        <f t="shared" si="81"/>
        <v>65</v>
      </c>
      <c r="AI5229" s="41" t="s">
        <v>1783</v>
      </c>
    </row>
    <row r="5230" spans="1:35" x14ac:dyDescent="0.25">
      <c r="A5230" s="36">
        <v>99915228</v>
      </c>
      <c r="B5230" s="17" t="s">
        <v>32</v>
      </c>
      <c r="C5230" t="s">
        <v>64</v>
      </c>
      <c r="D5230" t="s">
        <v>65</v>
      </c>
      <c r="G5230" s="17" t="s">
        <v>35</v>
      </c>
      <c r="H5230" s="17">
        <v>1</v>
      </c>
      <c r="K5230" t="s">
        <v>223</v>
      </c>
      <c r="L5230" t="s">
        <v>224</v>
      </c>
      <c r="M5230" t="s">
        <v>131</v>
      </c>
      <c r="N5230">
        <v>18</v>
      </c>
      <c r="O5230" t="s">
        <v>40</v>
      </c>
      <c r="P5230" t="s">
        <v>40</v>
      </c>
      <c r="Q5230" t="s">
        <v>40</v>
      </c>
      <c r="S5230" t="s">
        <v>40</v>
      </c>
      <c r="V5230" t="s">
        <v>41</v>
      </c>
      <c r="W5230" t="s">
        <v>49</v>
      </c>
      <c r="X5230" t="str">
        <f>"0591901"</f>
        <v>0591901</v>
      </c>
      <c r="Y5230" t="s">
        <v>230</v>
      </c>
      <c r="Z5230" t="s">
        <v>223</v>
      </c>
      <c r="AA5230" t="s">
        <v>224</v>
      </c>
      <c r="AB5230" t="s">
        <v>131</v>
      </c>
      <c r="AC5230" t="s">
        <v>51</v>
      </c>
      <c r="AD5230" t="s">
        <v>45</v>
      </c>
      <c r="AE5230" s="1">
        <v>20045</v>
      </c>
      <c r="AF5230">
        <v>2</v>
      </c>
      <c r="AG5230" t="s">
        <v>224</v>
      </c>
      <c r="AH5230" s="36">
        <f t="shared" si="81"/>
        <v>65.033333333333331</v>
      </c>
      <c r="AI5230" s="41" t="s">
        <v>1783</v>
      </c>
    </row>
    <row r="5231" spans="1:35" x14ac:dyDescent="0.25">
      <c r="A5231" s="36">
        <v>99915229</v>
      </c>
      <c r="B5231" s="17" t="s">
        <v>56</v>
      </c>
      <c r="C5231" t="s">
        <v>251</v>
      </c>
      <c r="D5231" t="s">
        <v>252</v>
      </c>
      <c r="G5231" s="17" t="s">
        <v>48</v>
      </c>
      <c r="H5231" s="17">
        <v>1</v>
      </c>
      <c r="K5231" t="s">
        <v>380</v>
      </c>
      <c r="L5231" t="s">
        <v>381</v>
      </c>
      <c r="M5231" t="s">
        <v>131</v>
      </c>
      <c r="N5231">
        <v>15</v>
      </c>
      <c r="O5231" t="s">
        <v>40</v>
      </c>
      <c r="P5231" t="s">
        <v>40</v>
      </c>
      <c r="Q5231" t="s">
        <v>40</v>
      </c>
      <c r="R5231" t="s">
        <v>40</v>
      </c>
      <c r="S5231" t="s">
        <v>40</v>
      </c>
      <c r="V5231" t="s">
        <v>41</v>
      </c>
      <c r="W5231" t="s">
        <v>49</v>
      </c>
      <c r="X5231" t="str">
        <f>"0580552"</f>
        <v>0580552</v>
      </c>
      <c r="Y5231" t="s">
        <v>386</v>
      </c>
      <c r="Z5231" t="s">
        <v>380</v>
      </c>
      <c r="AA5231" t="s">
        <v>381</v>
      </c>
      <c r="AB5231" t="s">
        <v>131</v>
      </c>
      <c r="AC5231" t="s">
        <v>51</v>
      </c>
      <c r="AD5231" t="s">
        <v>45</v>
      </c>
      <c r="AE5231" s="1">
        <v>20002</v>
      </c>
      <c r="AF5231">
        <v>2</v>
      </c>
      <c r="AG5231" t="s">
        <v>381</v>
      </c>
      <c r="AH5231" s="36">
        <f t="shared" si="81"/>
        <v>65.152777777777771</v>
      </c>
      <c r="AI5231" s="41" t="s">
        <v>1783</v>
      </c>
    </row>
    <row r="5232" spans="1:35" x14ac:dyDescent="0.25">
      <c r="A5232" s="36">
        <v>99915230</v>
      </c>
      <c r="B5232" s="17" t="s">
        <v>56</v>
      </c>
      <c r="C5232" t="s">
        <v>52</v>
      </c>
      <c r="D5232" t="s">
        <v>53</v>
      </c>
      <c r="G5232" s="17" t="s">
        <v>48</v>
      </c>
      <c r="H5232" s="17">
        <v>17</v>
      </c>
      <c r="K5232" t="s">
        <v>1268</v>
      </c>
      <c r="L5232" t="s">
        <v>1269</v>
      </c>
      <c r="M5232" t="s">
        <v>1270</v>
      </c>
      <c r="N5232">
        <v>18</v>
      </c>
      <c r="O5232" t="s">
        <v>40</v>
      </c>
      <c r="P5232" t="s">
        <v>40</v>
      </c>
      <c r="Q5232" t="s">
        <v>40</v>
      </c>
      <c r="R5232" t="s">
        <v>40</v>
      </c>
      <c r="S5232" t="s">
        <v>40</v>
      </c>
      <c r="V5232" t="s">
        <v>41</v>
      </c>
      <c r="W5232" t="s">
        <v>42</v>
      </c>
      <c r="X5232" t="str">
        <f>"1990910"</f>
        <v>1990910</v>
      </c>
      <c r="Y5232" t="s">
        <v>1281</v>
      </c>
      <c r="Z5232" t="s">
        <v>1268</v>
      </c>
      <c r="AA5232" t="s">
        <v>1269</v>
      </c>
      <c r="AB5232" t="s">
        <v>1270</v>
      </c>
      <c r="AC5232" t="s">
        <v>51</v>
      </c>
      <c r="AD5232" t="s">
        <v>45</v>
      </c>
      <c r="AE5232" s="1">
        <v>19989</v>
      </c>
      <c r="AF5232">
        <v>2</v>
      </c>
      <c r="AG5232" t="s">
        <v>1269</v>
      </c>
      <c r="AH5232" s="36">
        <f t="shared" si="81"/>
        <v>65.188888888888883</v>
      </c>
      <c r="AI5232" s="41" t="s">
        <v>1783</v>
      </c>
    </row>
    <row r="5233" spans="1:35" x14ac:dyDescent="0.25">
      <c r="A5233" s="36">
        <v>99915231</v>
      </c>
      <c r="B5233" s="17" t="s">
        <v>56</v>
      </c>
      <c r="C5233" t="s">
        <v>52</v>
      </c>
      <c r="D5233" t="s">
        <v>53</v>
      </c>
      <c r="G5233" s="17" t="s">
        <v>35</v>
      </c>
      <c r="H5233" s="17">
        <v>1</v>
      </c>
      <c r="I5233">
        <v>18255</v>
      </c>
      <c r="J5233" s="1">
        <v>43344</v>
      </c>
      <c r="K5233" t="s">
        <v>223</v>
      </c>
      <c r="L5233" t="s">
        <v>224</v>
      </c>
      <c r="M5233" t="s">
        <v>131</v>
      </c>
      <c r="N5233">
        <v>8</v>
      </c>
      <c r="O5233" t="s">
        <v>40</v>
      </c>
      <c r="P5233" t="s">
        <v>40</v>
      </c>
      <c r="Q5233" t="s">
        <v>40</v>
      </c>
      <c r="R5233" t="s">
        <v>40</v>
      </c>
      <c r="S5233" t="s">
        <v>40</v>
      </c>
      <c r="U5233" s="1">
        <v>43344</v>
      </c>
      <c r="V5233" t="s">
        <v>41</v>
      </c>
      <c r="W5233" t="s">
        <v>42</v>
      </c>
      <c r="X5233" t="str">
        <f>"0580345"</f>
        <v>0580345</v>
      </c>
      <c r="Y5233" t="s">
        <v>261</v>
      </c>
      <c r="Z5233" t="s">
        <v>223</v>
      </c>
      <c r="AA5233" t="s">
        <v>224</v>
      </c>
      <c r="AB5233" t="s">
        <v>131</v>
      </c>
      <c r="AC5233" t="s">
        <v>51</v>
      </c>
      <c r="AD5233" t="s">
        <v>45</v>
      </c>
      <c r="AE5233" s="1">
        <v>19941</v>
      </c>
      <c r="AF5233">
        <v>2</v>
      </c>
      <c r="AG5233" t="s">
        <v>224</v>
      </c>
      <c r="AH5233" s="36">
        <f t="shared" si="81"/>
        <v>65.322222222222223</v>
      </c>
      <c r="AI5233" s="41" t="s">
        <v>1783</v>
      </c>
    </row>
    <row r="5234" spans="1:35" x14ac:dyDescent="0.25">
      <c r="A5234" s="36">
        <v>99915232</v>
      </c>
      <c r="B5234" s="17" t="s">
        <v>56</v>
      </c>
      <c r="C5234" t="s">
        <v>259</v>
      </c>
      <c r="D5234" t="s">
        <v>260</v>
      </c>
      <c r="G5234" s="17" t="s">
        <v>35</v>
      </c>
      <c r="H5234" s="17">
        <v>1</v>
      </c>
      <c r="I5234">
        <v>23977</v>
      </c>
      <c r="J5234" s="1">
        <v>43439</v>
      </c>
      <c r="K5234" t="s">
        <v>300</v>
      </c>
      <c r="L5234" t="s">
        <v>301</v>
      </c>
      <c r="M5234" t="s">
        <v>131</v>
      </c>
      <c r="N5234">
        <v>3</v>
      </c>
      <c r="O5234" t="s">
        <v>40</v>
      </c>
      <c r="P5234" t="s">
        <v>40</v>
      </c>
      <c r="Q5234" t="s">
        <v>40</v>
      </c>
      <c r="R5234" t="s">
        <v>40</v>
      </c>
      <c r="S5234" t="s">
        <v>40</v>
      </c>
      <c r="U5234" s="1">
        <v>43439</v>
      </c>
      <c r="V5234" t="s">
        <v>41</v>
      </c>
      <c r="W5234" t="s">
        <v>49</v>
      </c>
      <c r="X5234" t="str">
        <f>"0560013"</f>
        <v>0560013</v>
      </c>
      <c r="Y5234" t="s">
        <v>324</v>
      </c>
      <c r="Z5234" t="s">
        <v>300</v>
      </c>
      <c r="AA5234" t="s">
        <v>301</v>
      </c>
      <c r="AB5234" t="s">
        <v>131</v>
      </c>
      <c r="AC5234" t="s">
        <v>44</v>
      </c>
      <c r="AD5234" t="s">
        <v>45</v>
      </c>
      <c r="AE5234" s="1">
        <v>19923</v>
      </c>
      <c r="AF5234">
        <v>2</v>
      </c>
      <c r="AG5234" t="s">
        <v>301</v>
      </c>
      <c r="AH5234" s="36">
        <f t="shared" si="81"/>
        <v>65.37222222222222</v>
      </c>
      <c r="AI5234" s="41" t="s">
        <v>1783</v>
      </c>
    </row>
    <row r="5235" spans="1:35" x14ac:dyDescent="0.25">
      <c r="A5235" s="36">
        <v>99915233</v>
      </c>
      <c r="B5235" s="17" t="s">
        <v>32</v>
      </c>
      <c r="C5235" t="s">
        <v>64</v>
      </c>
      <c r="D5235" t="s">
        <v>65</v>
      </c>
      <c r="G5235" s="17" t="s">
        <v>48</v>
      </c>
      <c r="H5235" s="17">
        <v>1</v>
      </c>
      <c r="K5235" t="s">
        <v>1268</v>
      </c>
      <c r="L5235" t="s">
        <v>1269</v>
      </c>
      <c r="M5235" t="s">
        <v>1270</v>
      </c>
      <c r="N5235">
        <v>20</v>
      </c>
      <c r="O5235" t="s">
        <v>40</v>
      </c>
      <c r="P5235" t="s">
        <v>40</v>
      </c>
      <c r="Q5235" t="s">
        <v>40</v>
      </c>
      <c r="S5235" t="s">
        <v>40</v>
      </c>
      <c r="V5235" t="s">
        <v>41</v>
      </c>
      <c r="W5235" t="s">
        <v>49</v>
      </c>
      <c r="X5235" t="str">
        <f>"1981914"</f>
        <v>1981914</v>
      </c>
      <c r="Y5235" t="s">
        <v>1287</v>
      </c>
      <c r="Z5235" t="s">
        <v>1268</v>
      </c>
      <c r="AA5235" t="s">
        <v>1269</v>
      </c>
      <c r="AB5235" t="s">
        <v>1270</v>
      </c>
      <c r="AC5235" t="s">
        <v>51</v>
      </c>
      <c r="AD5235" t="s">
        <v>45</v>
      </c>
      <c r="AE5235" s="1">
        <v>19899</v>
      </c>
      <c r="AF5235">
        <v>2</v>
      </c>
      <c r="AG5235" t="s">
        <v>1269</v>
      </c>
      <c r="AH5235" s="36">
        <f t="shared" si="81"/>
        <v>65.438888888888883</v>
      </c>
      <c r="AI5235" s="41" t="s">
        <v>1783</v>
      </c>
    </row>
    <row r="5236" spans="1:35" x14ac:dyDescent="0.25">
      <c r="A5236" s="36">
        <v>99915234</v>
      </c>
      <c r="B5236" s="17" t="s">
        <v>32</v>
      </c>
      <c r="C5236" t="s">
        <v>82</v>
      </c>
      <c r="D5236" t="s">
        <v>83</v>
      </c>
      <c r="G5236" s="17" t="s">
        <v>48</v>
      </c>
      <c r="H5236" s="17">
        <v>1</v>
      </c>
      <c r="K5236" t="s">
        <v>223</v>
      </c>
      <c r="L5236" t="s">
        <v>224</v>
      </c>
      <c r="M5236" t="s">
        <v>131</v>
      </c>
      <c r="N5236">
        <v>18</v>
      </c>
      <c r="O5236" t="s">
        <v>40</v>
      </c>
      <c r="P5236" t="s">
        <v>40</v>
      </c>
      <c r="Q5236" t="s">
        <v>40</v>
      </c>
      <c r="R5236" t="s">
        <v>40</v>
      </c>
      <c r="S5236" t="s">
        <v>40</v>
      </c>
      <c r="V5236" t="s">
        <v>41</v>
      </c>
      <c r="W5236" t="s">
        <v>49</v>
      </c>
      <c r="X5236" t="str">
        <f>"0509999"</f>
        <v>0509999</v>
      </c>
      <c r="Y5236" t="s">
        <v>247</v>
      </c>
      <c r="Z5236" t="s">
        <v>223</v>
      </c>
      <c r="AA5236" t="s">
        <v>224</v>
      </c>
      <c r="AB5236" t="s">
        <v>131</v>
      </c>
      <c r="AC5236" t="s">
        <v>51</v>
      </c>
      <c r="AD5236" t="s">
        <v>45</v>
      </c>
      <c r="AE5236" s="1">
        <v>19882</v>
      </c>
      <c r="AF5236">
        <v>2</v>
      </c>
      <c r="AG5236" t="s">
        <v>224</v>
      </c>
      <c r="AH5236" s="36">
        <f t="shared" si="81"/>
        <v>65.486111111111114</v>
      </c>
      <c r="AI5236" s="41" t="s">
        <v>1783</v>
      </c>
    </row>
    <row r="5237" spans="1:35" x14ac:dyDescent="0.25">
      <c r="A5237" s="36">
        <v>99915235</v>
      </c>
      <c r="B5237" s="17" t="s">
        <v>32</v>
      </c>
      <c r="C5237" t="s">
        <v>90</v>
      </c>
      <c r="D5237" t="s">
        <v>91</v>
      </c>
      <c r="G5237" s="17" t="s">
        <v>35</v>
      </c>
      <c r="H5237" s="17">
        <v>1</v>
      </c>
      <c r="I5237" t="s">
        <v>1253</v>
      </c>
      <c r="J5237" s="1">
        <v>43344</v>
      </c>
      <c r="K5237" t="s">
        <v>1245</v>
      </c>
      <c r="L5237" t="s">
        <v>1246</v>
      </c>
      <c r="M5237" t="s">
        <v>1130</v>
      </c>
      <c r="N5237">
        <v>25</v>
      </c>
      <c r="O5237" t="s">
        <v>40</v>
      </c>
      <c r="S5237" t="s">
        <v>40</v>
      </c>
      <c r="U5237" s="1">
        <v>43344</v>
      </c>
      <c r="V5237" t="s">
        <v>41</v>
      </c>
      <c r="W5237" t="s">
        <v>95</v>
      </c>
      <c r="X5237" t="str">
        <f>"7451005"</f>
        <v>7451005</v>
      </c>
      <c r="Y5237" t="s">
        <v>1254</v>
      </c>
      <c r="Z5237" t="s">
        <v>1245</v>
      </c>
      <c r="AA5237" t="s">
        <v>1246</v>
      </c>
      <c r="AB5237" t="s">
        <v>1130</v>
      </c>
      <c r="AC5237" t="s">
        <v>51</v>
      </c>
      <c r="AD5237" t="s">
        <v>45</v>
      </c>
      <c r="AE5237" s="1">
        <v>19837</v>
      </c>
      <c r="AF5237">
        <v>1</v>
      </c>
      <c r="AG5237" t="s">
        <v>1246</v>
      </c>
      <c r="AH5237" s="36">
        <f t="shared" si="81"/>
        <v>65.611111111111114</v>
      </c>
      <c r="AI5237" s="41" t="s">
        <v>1772</v>
      </c>
    </row>
    <row r="5238" spans="1:35" x14ac:dyDescent="0.25">
      <c r="A5238" s="36">
        <v>99915236</v>
      </c>
      <c r="B5238" s="17" t="s">
        <v>56</v>
      </c>
      <c r="C5238" t="s">
        <v>139</v>
      </c>
      <c r="D5238" t="s">
        <v>140</v>
      </c>
      <c r="G5238" s="17" t="s">
        <v>48</v>
      </c>
      <c r="H5238" s="17">
        <v>1</v>
      </c>
      <c r="K5238" t="s">
        <v>345</v>
      </c>
      <c r="L5238" t="s">
        <v>346</v>
      </c>
      <c r="M5238" t="s">
        <v>131</v>
      </c>
      <c r="N5238">
        <v>18</v>
      </c>
      <c r="O5238" t="s">
        <v>40</v>
      </c>
      <c r="P5238" t="s">
        <v>40</v>
      </c>
      <c r="Q5238" t="s">
        <v>40</v>
      </c>
      <c r="R5238" t="s">
        <v>40</v>
      </c>
      <c r="S5238" t="s">
        <v>40</v>
      </c>
      <c r="V5238" t="s">
        <v>41</v>
      </c>
      <c r="W5238" t="s">
        <v>49</v>
      </c>
      <c r="X5238" t="str">
        <f>"0591906"</f>
        <v>0591906</v>
      </c>
      <c r="Y5238" t="s">
        <v>350</v>
      </c>
      <c r="Z5238" t="s">
        <v>345</v>
      </c>
      <c r="AA5238" t="s">
        <v>346</v>
      </c>
      <c r="AB5238" t="s">
        <v>131</v>
      </c>
      <c r="AC5238" t="s">
        <v>51</v>
      </c>
      <c r="AD5238" t="s">
        <v>45</v>
      </c>
      <c r="AE5238" s="1">
        <v>19829</v>
      </c>
      <c r="AF5238">
        <v>2</v>
      </c>
      <c r="AG5238" t="s">
        <v>346</v>
      </c>
      <c r="AH5238" s="36">
        <f t="shared" si="81"/>
        <v>65.63333333333334</v>
      </c>
      <c r="AI5238" s="41" t="s">
        <v>1772</v>
      </c>
    </row>
    <row r="5239" spans="1:35" x14ac:dyDescent="0.25">
      <c r="A5239" s="36">
        <v>99915237</v>
      </c>
      <c r="B5239" s="17" t="s">
        <v>56</v>
      </c>
      <c r="C5239" t="s">
        <v>85</v>
      </c>
      <c r="D5239" t="s">
        <v>86</v>
      </c>
      <c r="G5239" s="17" t="s">
        <v>35</v>
      </c>
      <c r="H5239" s="17">
        <v>1</v>
      </c>
      <c r="K5239" t="s">
        <v>223</v>
      </c>
      <c r="L5239" t="s">
        <v>224</v>
      </c>
      <c r="M5239" t="s">
        <v>131</v>
      </c>
      <c r="N5239">
        <v>18</v>
      </c>
      <c r="O5239" t="s">
        <v>40</v>
      </c>
      <c r="P5239" t="s">
        <v>40</v>
      </c>
      <c r="Q5239" t="s">
        <v>40</v>
      </c>
      <c r="S5239" t="s">
        <v>40</v>
      </c>
      <c r="V5239" t="s">
        <v>41</v>
      </c>
      <c r="W5239" t="s">
        <v>49</v>
      </c>
      <c r="X5239" t="str">
        <f>"0581207"</f>
        <v>0581207</v>
      </c>
      <c r="Y5239" t="s">
        <v>233</v>
      </c>
      <c r="Z5239" t="s">
        <v>223</v>
      </c>
      <c r="AA5239" t="s">
        <v>224</v>
      </c>
      <c r="AB5239" t="s">
        <v>131</v>
      </c>
      <c r="AC5239" t="s">
        <v>165</v>
      </c>
      <c r="AD5239" t="s">
        <v>45</v>
      </c>
      <c r="AE5239" s="1">
        <v>19753</v>
      </c>
      <c r="AF5239">
        <v>2</v>
      </c>
      <c r="AG5239" t="s">
        <v>224</v>
      </c>
      <c r="AH5239" s="36">
        <f t="shared" si="81"/>
        <v>65.844444444444449</v>
      </c>
      <c r="AI5239" s="41" t="s">
        <v>1772</v>
      </c>
    </row>
    <row r="5240" spans="1:35" x14ac:dyDescent="0.25">
      <c r="A5240" s="36">
        <v>99915238</v>
      </c>
      <c r="B5240" s="17" t="s">
        <v>56</v>
      </c>
      <c r="C5240" t="s">
        <v>111</v>
      </c>
      <c r="D5240" t="s">
        <v>112</v>
      </c>
      <c r="G5240" s="17" t="s">
        <v>48</v>
      </c>
      <c r="H5240" s="17">
        <v>1</v>
      </c>
      <c r="K5240" t="s">
        <v>154</v>
      </c>
      <c r="L5240" t="s">
        <v>155</v>
      </c>
      <c r="M5240" t="s">
        <v>131</v>
      </c>
      <c r="N5240">
        <v>8</v>
      </c>
      <c r="O5240" t="s">
        <v>40</v>
      </c>
      <c r="P5240" t="s">
        <v>40</v>
      </c>
      <c r="Q5240" t="s">
        <v>40</v>
      </c>
      <c r="S5240" t="s">
        <v>40</v>
      </c>
      <c r="V5240" t="s">
        <v>41</v>
      </c>
      <c r="W5240" t="s">
        <v>75</v>
      </c>
      <c r="X5240" t="str">
        <f>"7051002"</f>
        <v>7051002</v>
      </c>
      <c r="Y5240" t="s">
        <v>395</v>
      </c>
      <c r="Z5240" t="s">
        <v>154</v>
      </c>
      <c r="AA5240" t="s">
        <v>155</v>
      </c>
      <c r="AB5240" t="s">
        <v>131</v>
      </c>
      <c r="AC5240" t="s">
        <v>51</v>
      </c>
      <c r="AD5240" t="s">
        <v>45</v>
      </c>
      <c r="AE5240" s="1">
        <v>19752</v>
      </c>
      <c r="AF5240">
        <v>1</v>
      </c>
      <c r="AG5240" t="s">
        <v>155</v>
      </c>
      <c r="AH5240" s="36">
        <f t="shared" si="81"/>
        <v>65.847222222222229</v>
      </c>
      <c r="AI5240" s="41" t="s">
        <v>1772</v>
      </c>
    </row>
    <row r="5241" spans="1:35" x14ac:dyDescent="0.25">
      <c r="A5241" s="36">
        <v>99915239</v>
      </c>
      <c r="B5241" s="17" t="s">
        <v>56</v>
      </c>
      <c r="C5241" t="s">
        <v>52</v>
      </c>
      <c r="D5241" t="s">
        <v>53</v>
      </c>
      <c r="G5241" s="17" t="s">
        <v>48</v>
      </c>
      <c r="H5241" s="17">
        <v>1</v>
      </c>
      <c r="K5241" t="s">
        <v>380</v>
      </c>
      <c r="L5241" t="s">
        <v>381</v>
      </c>
      <c r="M5241" t="s">
        <v>131</v>
      </c>
      <c r="N5241">
        <v>18</v>
      </c>
      <c r="O5241" t="s">
        <v>40</v>
      </c>
      <c r="P5241" t="s">
        <v>40</v>
      </c>
      <c r="Q5241" t="s">
        <v>40</v>
      </c>
      <c r="R5241" t="s">
        <v>40</v>
      </c>
      <c r="S5241" t="s">
        <v>40</v>
      </c>
      <c r="V5241" t="s">
        <v>41</v>
      </c>
      <c r="W5241" t="s">
        <v>42</v>
      </c>
      <c r="X5241" t="str">
        <f>"0590909"</f>
        <v>0590909</v>
      </c>
      <c r="Y5241" t="s">
        <v>388</v>
      </c>
      <c r="Z5241" t="s">
        <v>380</v>
      </c>
      <c r="AA5241" t="s">
        <v>381</v>
      </c>
      <c r="AB5241" t="s">
        <v>131</v>
      </c>
      <c r="AC5241" t="s">
        <v>51</v>
      </c>
      <c r="AD5241" t="s">
        <v>45</v>
      </c>
      <c r="AE5241" s="1">
        <v>19745</v>
      </c>
      <c r="AF5241">
        <v>2</v>
      </c>
      <c r="AG5241" t="s">
        <v>381</v>
      </c>
      <c r="AH5241" s="36">
        <f t="shared" si="81"/>
        <v>65.86666666666666</v>
      </c>
      <c r="AI5241" s="41" t="s">
        <v>1772</v>
      </c>
    </row>
    <row r="5242" spans="1:35" x14ac:dyDescent="0.25">
      <c r="A5242" s="36">
        <v>99915240</v>
      </c>
      <c r="B5242" s="17" t="s">
        <v>32</v>
      </c>
      <c r="C5242" t="s">
        <v>139</v>
      </c>
      <c r="D5242" t="s">
        <v>140</v>
      </c>
      <c r="G5242" s="17" t="s">
        <v>48</v>
      </c>
      <c r="H5242" s="17">
        <v>1</v>
      </c>
      <c r="K5242" t="s">
        <v>380</v>
      </c>
      <c r="L5242" t="s">
        <v>381</v>
      </c>
      <c r="M5242" t="s">
        <v>131</v>
      </c>
      <c r="N5242">
        <v>8</v>
      </c>
      <c r="O5242" t="s">
        <v>40</v>
      </c>
      <c r="P5242" t="s">
        <v>40</v>
      </c>
      <c r="Q5242" t="s">
        <v>40</v>
      </c>
      <c r="S5242" t="s">
        <v>40</v>
      </c>
      <c r="V5242" t="s">
        <v>41</v>
      </c>
      <c r="W5242" t="s">
        <v>42</v>
      </c>
      <c r="X5242" t="str">
        <f>"0590908"</f>
        <v>0590908</v>
      </c>
      <c r="Y5242" t="s">
        <v>382</v>
      </c>
      <c r="Z5242" t="s">
        <v>380</v>
      </c>
      <c r="AA5242" t="s">
        <v>381</v>
      </c>
      <c r="AB5242" t="s">
        <v>131</v>
      </c>
      <c r="AC5242" t="s">
        <v>44</v>
      </c>
      <c r="AD5242" t="s">
        <v>45</v>
      </c>
      <c r="AE5242" s="1">
        <v>19729</v>
      </c>
      <c r="AF5242">
        <v>2</v>
      </c>
      <c r="AG5242" t="s">
        <v>381</v>
      </c>
      <c r="AH5242" s="36">
        <f t="shared" si="81"/>
        <v>65.911111111111111</v>
      </c>
      <c r="AI5242" s="41" t="s">
        <v>1772</v>
      </c>
    </row>
    <row r="5243" spans="1:35" x14ac:dyDescent="0.25">
      <c r="A5243" s="36">
        <v>99915241</v>
      </c>
      <c r="B5243" s="17" t="s">
        <v>32</v>
      </c>
      <c r="C5243" t="s">
        <v>111</v>
      </c>
      <c r="D5243" t="s">
        <v>112</v>
      </c>
      <c r="G5243" s="17" t="s">
        <v>35</v>
      </c>
      <c r="H5243" s="17">
        <v>1</v>
      </c>
      <c r="I5243">
        <v>117602</v>
      </c>
      <c r="J5243" s="1">
        <v>43344</v>
      </c>
      <c r="K5243" t="s">
        <v>354</v>
      </c>
      <c r="L5243" t="s">
        <v>355</v>
      </c>
      <c r="M5243" t="s">
        <v>131</v>
      </c>
      <c r="N5243">
        <v>21</v>
      </c>
      <c r="O5243" t="s">
        <v>40</v>
      </c>
      <c r="S5243" t="s">
        <v>40</v>
      </c>
      <c r="U5243" s="1">
        <v>43344</v>
      </c>
      <c r="V5243" t="s">
        <v>41</v>
      </c>
      <c r="W5243" t="s">
        <v>75</v>
      </c>
      <c r="X5243" t="str">
        <f>"7054008"</f>
        <v>7054008</v>
      </c>
      <c r="Y5243" t="s">
        <v>813</v>
      </c>
      <c r="Z5243" t="s">
        <v>354</v>
      </c>
      <c r="AA5243" t="s">
        <v>355</v>
      </c>
      <c r="AB5243" t="s">
        <v>131</v>
      </c>
      <c r="AC5243" t="s">
        <v>51</v>
      </c>
      <c r="AD5243" t="s">
        <v>45</v>
      </c>
      <c r="AE5243" s="1">
        <v>19725</v>
      </c>
      <c r="AF5243">
        <v>1</v>
      </c>
      <c r="AG5243" t="s">
        <v>355</v>
      </c>
      <c r="AH5243" s="36">
        <f t="shared" si="81"/>
        <v>65.922222222222217</v>
      </c>
      <c r="AI5243" s="41" t="s">
        <v>1772</v>
      </c>
    </row>
    <row r="5244" spans="1:35" x14ac:dyDescent="0.25">
      <c r="A5244" s="36">
        <v>99915242</v>
      </c>
      <c r="B5244" s="17" t="s">
        <v>56</v>
      </c>
      <c r="C5244" t="s">
        <v>111</v>
      </c>
      <c r="D5244" t="s">
        <v>112</v>
      </c>
      <c r="G5244" s="17" t="s">
        <v>48</v>
      </c>
      <c r="H5244" s="17">
        <v>1</v>
      </c>
      <c r="K5244" t="s">
        <v>407</v>
      </c>
      <c r="L5244" t="s">
        <v>409</v>
      </c>
      <c r="M5244" t="s">
        <v>131</v>
      </c>
      <c r="N5244">
        <v>12</v>
      </c>
      <c r="O5244" t="s">
        <v>40</v>
      </c>
      <c r="P5244" t="s">
        <v>40</v>
      </c>
      <c r="Q5244" t="s">
        <v>40</v>
      </c>
      <c r="S5244" t="s">
        <v>40</v>
      </c>
      <c r="V5244" t="s">
        <v>41</v>
      </c>
      <c r="W5244" t="s">
        <v>75</v>
      </c>
      <c r="X5244" t="str">
        <f>"7053000"</f>
        <v>7053000</v>
      </c>
      <c r="Y5244" t="s">
        <v>754</v>
      </c>
      <c r="Z5244" t="s">
        <v>407</v>
      </c>
      <c r="AA5244" t="s">
        <v>409</v>
      </c>
      <c r="AB5244" t="s">
        <v>131</v>
      </c>
      <c r="AC5244" t="s">
        <v>51</v>
      </c>
      <c r="AD5244" t="s">
        <v>45</v>
      </c>
      <c r="AE5244" s="1">
        <v>19705</v>
      </c>
      <c r="AF5244">
        <v>1</v>
      </c>
      <c r="AG5244" t="s">
        <v>409</v>
      </c>
      <c r="AH5244" s="36">
        <f t="shared" si="81"/>
        <v>65.977777777777774</v>
      </c>
      <c r="AI5244" s="41" t="s">
        <v>1772</v>
      </c>
    </row>
    <row r="5245" spans="1:35" x14ac:dyDescent="0.25">
      <c r="A5245" s="36">
        <v>99915243</v>
      </c>
      <c r="B5245" s="17" t="s">
        <v>32</v>
      </c>
      <c r="C5245" t="s">
        <v>111</v>
      </c>
      <c r="D5245" t="s">
        <v>112</v>
      </c>
      <c r="G5245" s="17" t="s">
        <v>48</v>
      </c>
      <c r="H5245" s="17">
        <v>7</v>
      </c>
      <c r="J5245" s="1">
        <v>43344</v>
      </c>
      <c r="K5245" t="s">
        <v>354</v>
      </c>
      <c r="L5245" t="s">
        <v>355</v>
      </c>
      <c r="M5245" t="s">
        <v>131</v>
      </c>
      <c r="N5245">
        <v>22</v>
      </c>
      <c r="O5245" t="s">
        <v>40</v>
      </c>
      <c r="P5245" t="s">
        <v>40</v>
      </c>
      <c r="Q5245" t="s">
        <v>40</v>
      </c>
      <c r="R5245" t="s">
        <v>40</v>
      </c>
      <c r="S5245" t="s">
        <v>40</v>
      </c>
      <c r="U5245" s="1">
        <v>43344</v>
      </c>
      <c r="V5245" t="s">
        <v>41</v>
      </c>
      <c r="W5245" t="s">
        <v>75</v>
      </c>
      <c r="X5245" t="str">
        <f>"7054002"</f>
        <v>7054002</v>
      </c>
      <c r="Y5245" t="s">
        <v>376</v>
      </c>
      <c r="Z5245" t="s">
        <v>354</v>
      </c>
      <c r="AA5245" t="s">
        <v>355</v>
      </c>
      <c r="AB5245" t="s">
        <v>131</v>
      </c>
      <c r="AC5245" t="s">
        <v>51</v>
      </c>
      <c r="AD5245" t="s">
        <v>45</v>
      </c>
      <c r="AE5245" s="1">
        <v>19655</v>
      </c>
      <c r="AF5245">
        <v>1</v>
      </c>
      <c r="AG5245" t="s">
        <v>355</v>
      </c>
      <c r="AH5245" s="36">
        <f t="shared" si="81"/>
        <v>66.11666666666666</v>
      </c>
      <c r="AI5245" s="41" t="s">
        <v>1772</v>
      </c>
    </row>
    <row r="5246" spans="1:35" x14ac:dyDescent="0.25">
      <c r="A5246" s="36">
        <v>99915244</v>
      </c>
      <c r="B5246" s="17" t="s">
        <v>56</v>
      </c>
      <c r="C5246" t="s">
        <v>68</v>
      </c>
      <c r="D5246" t="s">
        <v>69</v>
      </c>
      <c r="G5246" s="17" t="s">
        <v>48</v>
      </c>
      <c r="H5246" s="17">
        <v>1</v>
      </c>
      <c r="K5246" t="s">
        <v>162</v>
      </c>
      <c r="L5246" t="s">
        <v>158</v>
      </c>
      <c r="M5246" t="s">
        <v>131</v>
      </c>
      <c r="N5246">
        <v>18</v>
      </c>
      <c r="O5246" t="s">
        <v>40</v>
      </c>
      <c r="P5246" t="s">
        <v>40</v>
      </c>
      <c r="Q5246" t="s">
        <v>40</v>
      </c>
      <c r="S5246" t="s">
        <v>40</v>
      </c>
      <c r="V5246" t="s">
        <v>41</v>
      </c>
      <c r="W5246" t="s">
        <v>49</v>
      </c>
      <c r="X5246" t="str">
        <f>"0505050"</f>
        <v>0505050</v>
      </c>
      <c r="Y5246" t="s">
        <v>163</v>
      </c>
      <c r="Z5246" t="s">
        <v>162</v>
      </c>
      <c r="AA5246" t="s">
        <v>158</v>
      </c>
      <c r="AB5246" t="s">
        <v>131</v>
      </c>
      <c r="AC5246" t="s">
        <v>165</v>
      </c>
      <c r="AD5246" t="s">
        <v>45</v>
      </c>
      <c r="AE5246" s="1">
        <v>19637</v>
      </c>
      <c r="AF5246">
        <v>2</v>
      </c>
      <c r="AG5246" t="s">
        <v>158</v>
      </c>
      <c r="AH5246" s="36">
        <f t="shared" si="81"/>
        <v>66.166666666666671</v>
      </c>
      <c r="AI5246" s="41" t="s">
        <v>1772</v>
      </c>
    </row>
    <row r="5247" spans="1:35" x14ac:dyDescent="0.25">
      <c r="A5247" s="36">
        <v>99915245</v>
      </c>
      <c r="B5247" s="17" t="s">
        <v>56</v>
      </c>
      <c r="C5247" t="s">
        <v>68</v>
      </c>
      <c r="D5247" t="s">
        <v>69</v>
      </c>
      <c r="G5247" s="17" t="s">
        <v>48</v>
      </c>
      <c r="H5247" s="17">
        <v>1</v>
      </c>
      <c r="K5247" t="s">
        <v>157</v>
      </c>
      <c r="L5247" t="s">
        <v>158</v>
      </c>
      <c r="M5247" t="s">
        <v>131</v>
      </c>
      <c r="N5247">
        <v>11</v>
      </c>
      <c r="O5247" t="s">
        <v>40</v>
      </c>
      <c r="P5247" t="s">
        <v>40</v>
      </c>
      <c r="Q5247" t="s">
        <v>40</v>
      </c>
      <c r="R5247" t="s">
        <v>40</v>
      </c>
      <c r="S5247" t="s">
        <v>40</v>
      </c>
      <c r="V5247" t="s">
        <v>41</v>
      </c>
      <c r="W5247" t="s">
        <v>42</v>
      </c>
      <c r="X5247" t="str">
        <f>"0580290"</f>
        <v>0580290</v>
      </c>
      <c r="Y5247" t="s">
        <v>171</v>
      </c>
      <c r="Z5247" t="s">
        <v>157</v>
      </c>
      <c r="AA5247" t="s">
        <v>158</v>
      </c>
      <c r="AB5247" t="s">
        <v>131</v>
      </c>
      <c r="AC5247" t="s">
        <v>51</v>
      </c>
      <c r="AD5247" t="s">
        <v>45</v>
      </c>
      <c r="AE5247" s="1">
        <v>19632</v>
      </c>
      <c r="AF5247">
        <v>2</v>
      </c>
      <c r="AG5247" t="s">
        <v>158</v>
      </c>
      <c r="AH5247" s="36">
        <f t="shared" si="81"/>
        <v>66.180555555555557</v>
      </c>
      <c r="AI5247" s="41" t="s">
        <v>1772</v>
      </c>
    </row>
    <row r="5248" spans="1:35" x14ac:dyDescent="0.25">
      <c r="A5248" s="36">
        <v>99915246</v>
      </c>
      <c r="B5248" s="17" t="s">
        <v>56</v>
      </c>
      <c r="C5248" t="s">
        <v>33</v>
      </c>
      <c r="D5248" t="s">
        <v>34</v>
      </c>
      <c r="G5248" s="17" t="s">
        <v>48</v>
      </c>
      <c r="H5248" s="17">
        <v>1</v>
      </c>
      <c r="K5248" t="s">
        <v>157</v>
      </c>
      <c r="L5248" t="s">
        <v>158</v>
      </c>
      <c r="M5248" t="s">
        <v>131</v>
      </c>
      <c r="N5248">
        <v>27</v>
      </c>
      <c r="O5248" t="s">
        <v>40</v>
      </c>
      <c r="P5248" t="s">
        <v>40</v>
      </c>
      <c r="Q5248" t="s">
        <v>40</v>
      </c>
      <c r="S5248" t="s">
        <v>40</v>
      </c>
      <c r="V5248" t="s">
        <v>41</v>
      </c>
      <c r="W5248" t="s">
        <v>49</v>
      </c>
      <c r="X5248" t="str">
        <f>"0560011"</f>
        <v>0560011</v>
      </c>
      <c r="Y5248" t="s">
        <v>185</v>
      </c>
      <c r="Z5248" t="s">
        <v>157</v>
      </c>
      <c r="AA5248" t="s">
        <v>158</v>
      </c>
      <c r="AB5248" t="s">
        <v>131</v>
      </c>
      <c r="AC5248" t="s">
        <v>51</v>
      </c>
      <c r="AD5248" t="s">
        <v>45</v>
      </c>
      <c r="AE5248" s="1">
        <v>19620</v>
      </c>
      <c r="AF5248">
        <v>2</v>
      </c>
      <c r="AG5248" t="s">
        <v>158</v>
      </c>
      <c r="AH5248" s="36">
        <f t="shared" si="81"/>
        <v>66.213888888888889</v>
      </c>
      <c r="AI5248" s="41" t="s">
        <v>1772</v>
      </c>
    </row>
    <row r="5249" spans="1:35" x14ac:dyDescent="0.25">
      <c r="A5249" s="36">
        <v>99915247</v>
      </c>
      <c r="B5249" s="17" t="s">
        <v>32</v>
      </c>
      <c r="C5249" t="s">
        <v>64</v>
      </c>
      <c r="D5249" t="s">
        <v>65</v>
      </c>
      <c r="G5249" s="17" t="s">
        <v>35</v>
      </c>
      <c r="H5249" s="17">
        <v>1</v>
      </c>
      <c r="K5249" t="s">
        <v>223</v>
      </c>
      <c r="L5249" t="s">
        <v>224</v>
      </c>
      <c r="M5249" t="s">
        <v>131</v>
      </c>
      <c r="N5249">
        <v>18</v>
      </c>
      <c r="O5249" t="s">
        <v>40</v>
      </c>
      <c r="P5249" t="s">
        <v>40</v>
      </c>
      <c r="Q5249" t="s">
        <v>40</v>
      </c>
      <c r="S5249" t="s">
        <v>40</v>
      </c>
      <c r="V5249" t="s">
        <v>41</v>
      </c>
      <c r="W5249" t="s">
        <v>42</v>
      </c>
      <c r="X5249" t="str">
        <f>"0590901"</f>
        <v>0590901</v>
      </c>
      <c r="Y5249" t="s">
        <v>242</v>
      </c>
      <c r="Z5249" t="s">
        <v>223</v>
      </c>
      <c r="AA5249" t="s">
        <v>224</v>
      </c>
      <c r="AB5249" t="s">
        <v>131</v>
      </c>
      <c r="AC5249" t="s">
        <v>51</v>
      </c>
      <c r="AD5249" t="s">
        <v>45</v>
      </c>
      <c r="AE5249" s="1">
        <v>19594</v>
      </c>
      <c r="AF5249">
        <v>2</v>
      </c>
      <c r="AG5249" t="s">
        <v>224</v>
      </c>
      <c r="AH5249" s="36">
        <f t="shared" si="81"/>
        <v>66.286111111111111</v>
      </c>
      <c r="AI5249" s="41" t="s">
        <v>1772</v>
      </c>
    </row>
    <row r="5250" spans="1:35" x14ac:dyDescent="0.25">
      <c r="A5250" s="36">
        <v>99915248</v>
      </c>
      <c r="B5250" s="17" t="s">
        <v>56</v>
      </c>
      <c r="C5250" t="s">
        <v>52</v>
      </c>
      <c r="D5250" t="s">
        <v>53</v>
      </c>
      <c r="G5250" s="17" t="s">
        <v>48</v>
      </c>
      <c r="H5250" s="17">
        <v>1</v>
      </c>
      <c r="K5250" t="s">
        <v>157</v>
      </c>
      <c r="L5250" t="s">
        <v>158</v>
      </c>
      <c r="M5250" t="s">
        <v>131</v>
      </c>
      <c r="N5250">
        <v>19</v>
      </c>
      <c r="O5250" t="s">
        <v>40</v>
      </c>
      <c r="P5250" t="s">
        <v>40</v>
      </c>
      <c r="Q5250" t="s">
        <v>40</v>
      </c>
      <c r="R5250" t="s">
        <v>40</v>
      </c>
      <c r="S5250" t="s">
        <v>40</v>
      </c>
      <c r="V5250" t="s">
        <v>41</v>
      </c>
      <c r="W5250" t="s">
        <v>49</v>
      </c>
      <c r="X5250" t="str">
        <f>"0560011"</f>
        <v>0560011</v>
      </c>
      <c r="Y5250" t="s">
        <v>185</v>
      </c>
      <c r="Z5250" t="s">
        <v>157</v>
      </c>
      <c r="AA5250" t="s">
        <v>158</v>
      </c>
      <c r="AB5250" t="s">
        <v>131</v>
      </c>
      <c r="AC5250" t="s">
        <v>51</v>
      </c>
      <c r="AD5250" t="s">
        <v>45</v>
      </c>
      <c r="AE5250" s="1">
        <v>19584</v>
      </c>
      <c r="AF5250">
        <v>2</v>
      </c>
      <c r="AG5250" t="s">
        <v>158</v>
      </c>
      <c r="AH5250" s="36">
        <f t="shared" ref="AH5250:AH5313" si="82">($AJ$1-AE5250)/360</f>
        <v>66.313888888888883</v>
      </c>
      <c r="AI5250" s="41" t="s">
        <v>1772</v>
      </c>
    </row>
    <row r="5251" spans="1:35" x14ac:dyDescent="0.25">
      <c r="A5251" s="36">
        <v>99915249</v>
      </c>
      <c r="B5251" s="17" t="s">
        <v>56</v>
      </c>
      <c r="C5251" t="s">
        <v>68</v>
      </c>
      <c r="D5251" t="s">
        <v>69</v>
      </c>
      <c r="G5251" s="17" t="s">
        <v>48</v>
      </c>
      <c r="H5251" s="17">
        <v>1</v>
      </c>
      <c r="K5251" t="s">
        <v>223</v>
      </c>
      <c r="L5251" t="s">
        <v>224</v>
      </c>
      <c r="M5251" t="s">
        <v>131</v>
      </c>
      <c r="N5251">
        <v>2</v>
      </c>
      <c r="O5251" t="s">
        <v>40</v>
      </c>
      <c r="P5251" t="s">
        <v>40</v>
      </c>
      <c r="Q5251" t="s">
        <v>40</v>
      </c>
      <c r="S5251" t="s">
        <v>40</v>
      </c>
      <c r="V5251" t="s">
        <v>41</v>
      </c>
      <c r="W5251" t="s">
        <v>42</v>
      </c>
      <c r="X5251" t="str">
        <f>"0561007"</f>
        <v>0561007</v>
      </c>
      <c r="Y5251" t="s">
        <v>262</v>
      </c>
      <c r="Z5251" t="s">
        <v>223</v>
      </c>
      <c r="AA5251" t="s">
        <v>224</v>
      </c>
      <c r="AB5251" t="s">
        <v>131</v>
      </c>
      <c r="AC5251" t="s">
        <v>51</v>
      </c>
      <c r="AD5251" t="s">
        <v>45</v>
      </c>
      <c r="AE5251" s="1">
        <v>19545</v>
      </c>
      <c r="AF5251">
        <v>2</v>
      </c>
      <c r="AG5251" t="s">
        <v>224</v>
      </c>
      <c r="AH5251" s="36">
        <f t="shared" si="82"/>
        <v>66.422222222222217</v>
      </c>
      <c r="AI5251" s="41" t="s">
        <v>1772</v>
      </c>
    </row>
    <row r="5252" spans="1:35" x14ac:dyDescent="0.25">
      <c r="A5252" s="36">
        <v>99915250</v>
      </c>
      <c r="B5252" s="17" t="s">
        <v>56</v>
      </c>
      <c r="C5252" t="s">
        <v>143</v>
      </c>
      <c r="D5252" t="s">
        <v>144</v>
      </c>
      <c r="G5252" s="17" t="s">
        <v>48</v>
      </c>
      <c r="H5252" s="17">
        <v>1</v>
      </c>
      <c r="K5252" t="s">
        <v>1268</v>
      </c>
      <c r="L5252" t="s">
        <v>1269</v>
      </c>
      <c r="M5252" t="s">
        <v>1270</v>
      </c>
      <c r="N5252">
        <v>24</v>
      </c>
      <c r="O5252" t="s">
        <v>40</v>
      </c>
      <c r="P5252" t="s">
        <v>40</v>
      </c>
      <c r="Q5252" t="s">
        <v>40</v>
      </c>
      <c r="R5252" t="s">
        <v>40</v>
      </c>
      <c r="S5252" t="s">
        <v>40</v>
      </c>
      <c r="V5252" t="s">
        <v>41</v>
      </c>
      <c r="W5252" t="s">
        <v>42</v>
      </c>
      <c r="X5252" t="str">
        <f>"1990911"</f>
        <v>1990911</v>
      </c>
      <c r="Y5252" t="s">
        <v>1276</v>
      </c>
      <c r="Z5252" t="s">
        <v>1268</v>
      </c>
      <c r="AA5252" t="s">
        <v>1269</v>
      </c>
      <c r="AB5252" t="s">
        <v>1270</v>
      </c>
      <c r="AC5252" t="s">
        <v>51</v>
      </c>
      <c r="AD5252" t="s">
        <v>45</v>
      </c>
      <c r="AE5252" s="1">
        <v>19517</v>
      </c>
      <c r="AF5252">
        <v>2</v>
      </c>
      <c r="AG5252" t="s">
        <v>1269</v>
      </c>
      <c r="AH5252" s="36">
        <f t="shared" si="82"/>
        <v>66.5</v>
      </c>
      <c r="AI5252" s="41" t="s">
        <v>1772</v>
      </c>
    </row>
    <row r="5253" spans="1:35" x14ac:dyDescent="0.25">
      <c r="A5253" s="36">
        <v>99915251</v>
      </c>
      <c r="B5253" s="17" t="s">
        <v>56</v>
      </c>
      <c r="C5253" t="s">
        <v>52</v>
      </c>
      <c r="D5253" t="s">
        <v>53</v>
      </c>
      <c r="G5253" s="17" t="s">
        <v>35</v>
      </c>
      <c r="H5253" s="17">
        <v>1</v>
      </c>
      <c r="K5253" t="s">
        <v>1187</v>
      </c>
      <c r="L5253" t="s">
        <v>1188</v>
      </c>
      <c r="M5253" t="s">
        <v>1130</v>
      </c>
      <c r="N5253">
        <v>20</v>
      </c>
      <c r="O5253" t="s">
        <v>40</v>
      </c>
      <c r="P5253" t="s">
        <v>40</v>
      </c>
      <c r="Q5253" t="s">
        <v>40</v>
      </c>
      <c r="S5253" t="s">
        <v>40</v>
      </c>
      <c r="V5253" t="s">
        <v>41</v>
      </c>
      <c r="W5253" t="s">
        <v>42</v>
      </c>
      <c r="X5253" t="str">
        <f>"4580015"</f>
        <v>4580015</v>
      </c>
      <c r="Y5253" t="s">
        <v>1189</v>
      </c>
      <c r="Z5253" t="s">
        <v>1187</v>
      </c>
      <c r="AA5253" t="s">
        <v>1188</v>
      </c>
      <c r="AB5253" t="s">
        <v>1130</v>
      </c>
      <c r="AC5253" t="s">
        <v>51</v>
      </c>
      <c r="AD5253" t="s">
        <v>45</v>
      </c>
      <c r="AE5253" s="1">
        <v>19480</v>
      </c>
      <c r="AF5253">
        <v>2</v>
      </c>
      <c r="AG5253" t="s">
        <v>1188</v>
      </c>
      <c r="AH5253" s="36">
        <f t="shared" si="82"/>
        <v>66.602777777777774</v>
      </c>
      <c r="AI5253" s="41" t="s">
        <v>1772</v>
      </c>
    </row>
    <row r="5254" spans="1:35" x14ac:dyDescent="0.25">
      <c r="A5254" s="36">
        <v>99915252</v>
      </c>
      <c r="B5254" s="17" t="s">
        <v>56</v>
      </c>
      <c r="C5254" t="s">
        <v>33</v>
      </c>
      <c r="D5254" t="s">
        <v>34</v>
      </c>
      <c r="G5254" s="17" t="s">
        <v>35</v>
      </c>
      <c r="H5254" s="17">
        <v>1</v>
      </c>
      <c r="K5254" t="s">
        <v>1268</v>
      </c>
      <c r="L5254" t="s">
        <v>1269</v>
      </c>
      <c r="M5254" t="s">
        <v>1270</v>
      </c>
      <c r="N5254">
        <v>18</v>
      </c>
      <c r="O5254" t="s">
        <v>40</v>
      </c>
      <c r="P5254" t="s">
        <v>40</v>
      </c>
      <c r="Q5254" t="s">
        <v>40</v>
      </c>
      <c r="S5254" t="s">
        <v>40</v>
      </c>
      <c r="V5254" t="s">
        <v>41</v>
      </c>
      <c r="W5254" t="s">
        <v>42</v>
      </c>
      <c r="X5254" t="str">
        <f>"1990914"</f>
        <v>1990914</v>
      </c>
      <c r="Y5254" t="s">
        <v>1275</v>
      </c>
      <c r="Z5254" t="s">
        <v>1268</v>
      </c>
      <c r="AA5254" t="s">
        <v>1269</v>
      </c>
      <c r="AB5254" t="s">
        <v>1270</v>
      </c>
      <c r="AC5254" t="s">
        <v>51</v>
      </c>
      <c r="AD5254" t="s">
        <v>45</v>
      </c>
      <c r="AE5254" s="1">
        <v>19434</v>
      </c>
      <c r="AF5254">
        <v>2</v>
      </c>
      <c r="AG5254" t="s">
        <v>1269</v>
      </c>
      <c r="AH5254" s="36">
        <f t="shared" si="82"/>
        <v>66.730555555555554</v>
      </c>
      <c r="AI5254" s="41" t="s">
        <v>1772</v>
      </c>
    </row>
    <row r="5255" spans="1:35" x14ac:dyDescent="0.25">
      <c r="A5255" s="36">
        <v>99915253</v>
      </c>
      <c r="B5255" s="17" t="s">
        <v>32</v>
      </c>
      <c r="C5255" t="s">
        <v>64</v>
      </c>
      <c r="D5255" t="s">
        <v>65</v>
      </c>
      <c r="G5255" s="17" t="s">
        <v>35</v>
      </c>
      <c r="H5255" s="17">
        <v>1</v>
      </c>
      <c r="K5255" t="s">
        <v>223</v>
      </c>
      <c r="L5255" t="s">
        <v>224</v>
      </c>
      <c r="M5255" t="s">
        <v>131</v>
      </c>
      <c r="N5255">
        <v>18</v>
      </c>
      <c r="O5255" t="s">
        <v>40</v>
      </c>
      <c r="P5255" t="s">
        <v>40</v>
      </c>
      <c r="Q5255" t="s">
        <v>40</v>
      </c>
      <c r="S5255" t="s">
        <v>40</v>
      </c>
      <c r="V5255" t="s">
        <v>41</v>
      </c>
      <c r="W5255" t="s">
        <v>42</v>
      </c>
      <c r="X5255" t="str">
        <f>"0590903"</f>
        <v>0590903</v>
      </c>
      <c r="Y5255" t="s">
        <v>226</v>
      </c>
      <c r="Z5255" t="s">
        <v>223</v>
      </c>
      <c r="AA5255" t="s">
        <v>224</v>
      </c>
      <c r="AB5255" t="s">
        <v>131</v>
      </c>
      <c r="AC5255" t="s">
        <v>51</v>
      </c>
      <c r="AD5255" t="s">
        <v>45</v>
      </c>
      <c r="AE5255" s="1">
        <v>19401</v>
      </c>
      <c r="AF5255">
        <v>2</v>
      </c>
      <c r="AG5255" t="s">
        <v>224</v>
      </c>
      <c r="AH5255" s="36">
        <f t="shared" si="82"/>
        <v>66.822222222222223</v>
      </c>
      <c r="AI5255" s="41" t="s">
        <v>1772</v>
      </c>
    </row>
    <row r="5256" spans="1:35" x14ac:dyDescent="0.25">
      <c r="A5256" s="36">
        <v>99915254</v>
      </c>
      <c r="B5256" s="17" t="s">
        <v>32</v>
      </c>
      <c r="C5256" t="s">
        <v>111</v>
      </c>
      <c r="D5256" t="s">
        <v>112</v>
      </c>
      <c r="G5256" s="17" t="s">
        <v>35</v>
      </c>
      <c r="H5256" s="17">
        <v>1</v>
      </c>
      <c r="K5256" t="s">
        <v>268</v>
      </c>
      <c r="L5256" t="s">
        <v>269</v>
      </c>
      <c r="M5256" t="s">
        <v>131</v>
      </c>
      <c r="N5256">
        <v>12</v>
      </c>
      <c r="O5256" t="s">
        <v>40</v>
      </c>
      <c r="P5256" t="s">
        <v>40</v>
      </c>
      <c r="Q5256" t="s">
        <v>40</v>
      </c>
      <c r="R5256" t="s">
        <v>40</v>
      </c>
      <c r="S5256" t="s">
        <v>40</v>
      </c>
      <c r="V5256" t="s">
        <v>41</v>
      </c>
      <c r="W5256" t="s">
        <v>75</v>
      </c>
      <c r="X5256" t="str">
        <f>"7052000"</f>
        <v>7052000</v>
      </c>
      <c r="Y5256" t="s">
        <v>656</v>
      </c>
      <c r="Z5256" t="s">
        <v>268</v>
      </c>
      <c r="AA5256" t="s">
        <v>269</v>
      </c>
      <c r="AB5256" t="s">
        <v>131</v>
      </c>
      <c r="AC5256" t="s">
        <v>51</v>
      </c>
      <c r="AD5256" t="s">
        <v>45</v>
      </c>
      <c r="AE5256" s="1">
        <v>19392</v>
      </c>
      <c r="AF5256">
        <v>1</v>
      </c>
      <c r="AG5256" t="s">
        <v>269</v>
      </c>
      <c r="AH5256" s="36">
        <f t="shared" si="82"/>
        <v>66.847222222222229</v>
      </c>
      <c r="AI5256" s="41" t="s">
        <v>1772</v>
      </c>
    </row>
    <row r="5257" spans="1:35" x14ac:dyDescent="0.25">
      <c r="A5257" s="36">
        <v>99915255</v>
      </c>
      <c r="B5257" s="17" t="s">
        <v>56</v>
      </c>
      <c r="C5257" t="s">
        <v>111</v>
      </c>
      <c r="D5257" t="s">
        <v>112</v>
      </c>
      <c r="G5257" s="17" t="s">
        <v>48</v>
      </c>
      <c r="H5257" s="17">
        <v>19</v>
      </c>
      <c r="J5257" s="1">
        <v>43344</v>
      </c>
      <c r="K5257" t="s">
        <v>354</v>
      </c>
      <c r="L5257" t="s">
        <v>355</v>
      </c>
      <c r="M5257" t="s">
        <v>131</v>
      </c>
      <c r="N5257">
        <v>21</v>
      </c>
      <c r="O5257" t="s">
        <v>40</v>
      </c>
      <c r="P5257" t="s">
        <v>40</v>
      </c>
      <c r="Q5257" t="s">
        <v>40</v>
      </c>
      <c r="R5257" t="s">
        <v>40</v>
      </c>
      <c r="S5257" t="s">
        <v>40</v>
      </c>
      <c r="U5257" s="1">
        <v>43344</v>
      </c>
      <c r="V5257" t="s">
        <v>41</v>
      </c>
      <c r="W5257" t="s">
        <v>75</v>
      </c>
      <c r="X5257" t="str">
        <f>"7054022"</f>
        <v>7054022</v>
      </c>
      <c r="Y5257" t="s">
        <v>770</v>
      </c>
      <c r="Z5257" t="s">
        <v>354</v>
      </c>
      <c r="AA5257" t="s">
        <v>355</v>
      </c>
      <c r="AB5257" t="s">
        <v>131</v>
      </c>
      <c r="AC5257" t="s">
        <v>51</v>
      </c>
      <c r="AD5257" t="s">
        <v>45</v>
      </c>
      <c r="AE5257" s="1">
        <v>19385</v>
      </c>
      <c r="AF5257">
        <v>1</v>
      </c>
      <c r="AG5257" t="s">
        <v>355</v>
      </c>
      <c r="AH5257" s="36">
        <f t="shared" si="82"/>
        <v>66.86666666666666</v>
      </c>
      <c r="AI5257" s="41" t="s">
        <v>1772</v>
      </c>
    </row>
    <row r="5258" spans="1:35" x14ac:dyDescent="0.25">
      <c r="A5258" s="36">
        <v>99915256</v>
      </c>
      <c r="B5258" s="17" t="s">
        <v>32</v>
      </c>
      <c r="C5258" t="s">
        <v>139</v>
      </c>
      <c r="D5258" t="s">
        <v>140</v>
      </c>
      <c r="G5258" s="17" t="s">
        <v>48</v>
      </c>
      <c r="H5258" s="17">
        <v>17</v>
      </c>
      <c r="K5258" t="s">
        <v>345</v>
      </c>
      <c r="L5258" t="s">
        <v>346</v>
      </c>
      <c r="M5258" t="s">
        <v>131</v>
      </c>
      <c r="N5258">
        <v>18</v>
      </c>
      <c r="O5258" t="s">
        <v>40</v>
      </c>
      <c r="P5258" t="s">
        <v>40</v>
      </c>
      <c r="Q5258" t="s">
        <v>40</v>
      </c>
      <c r="R5258" t="s">
        <v>40</v>
      </c>
      <c r="S5258" t="s">
        <v>40</v>
      </c>
      <c r="V5258" t="s">
        <v>41</v>
      </c>
      <c r="W5258" t="s">
        <v>42</v>
      </c>
      <c r="X5258" t="str">
        <f>"0590906"</f>
        <v>0590906</v>
      </c>
      <c r="Y5258" t="s">
        <v>361</v>
      </c>
      <c r="Z5258" t="s">
        <v>345</v>
      </c>
      <c r="AA5258" t="s">
        <v>346</v>
      </c>
      <c r="AB5258" t="s">
        <v>131</v>
      </c>
      <c r="AC5258" t="s">
        <v>51</v>
      </c>
      <c r="AD5258" t="s">
        <v>45</v>
      </c>
      <c r="AE5258" s="1">
        <v>19384</v>
      </c>
      <c r="AF5258">
        <v>2</v>
      </c>
      <c r="AG5258" t="s">
        <v>346</v>
      </c>
      <c r="AH5258" s="36">
        <f t="shared" si="82"/>
        <v>66.86944444444444</v>
      </c>
      <c r="AI5258" s="41" t="s">
        <v>1772</v>
      </c>
    </row>
    <row r="5259" spans="1:35" x14ac:dyDescent="0.25">
      <c r="A5259" s="36">
        <v>99915257</v>
      </c>
      <c r="B5259" s="17" t="s">
        <v>56</v>
      </c>
      <c r="C5259" t="s">
        <v>111</v>
      </c>
      <c r="D5259" t="s">
        <v>112</v>
      </c>
      <c r="G5259" s="17" t="s">
        <v>35</v>
      </c>
      <c r="H5259" s="17">
        <v>1</v>
      </c>
      <c r="I5259">
        <v>136806</v>
      </c>
      <c r="J5259" s="1">
        <v>43344</v>
      </c>
      <c r="K5259" t="s">
        <v>354</v>
      </c>
      <c r="L5259" t="s">
        <v>355</v>
      </c>
      <c r="M5259" t="s">
        <v>131</v>
      </c>
      <c r="N5259">
        <v>21</v>
      </c>
      <c r="O5259" t="s">
        <v>40</v>
      </c>
      <c r="S5259" t="s">
        <v>40</v>
      </c>
      <c r="U5259" s="1">
        <v>43344</v>
      </c>
      <c r="V5259" t="s">
        <v>41</v>
      </c>
      <c r="W5259" t="s">
        <v>75</v>
      </c>
      <c r="X5259" t="str">
        <f>"7054022"</f>
        <v>7054022</v>
      </c>
      <c r="Y5259" t="s">
        <v>770</v>
      </c>
      <c r="Z5259" t="s">
        <v>354</v>
      </c>
      <c r="AA5259" t="s">
        <v>355</v>
      </c>
      <c r="AB5259" t="s">
        <v>131</v>
      </c>
      <c r="AC5259" t="s">
        <v>51</v>
      </c>
      <c r="AD5259" t="s">
        <v>45</v>
      </c>
      <c r="AE5259" s="1">
        <v>19360</v>
      </c>
      <c r="AF5259">
        <v>1</v>
      </c>
      <c r="AG5259" t="s">
        <v>355</v>
      </c>
      <c r="AH5259" s="36">
        <f t="shared" si="82"/>
        <v>66.936111111111117</v>
      </c>
      <c r="AI5259" s="41" t="s">
        <v>1772</v>
      </c>
    </row>
    <row r="5260" spans="1:35" x14ac:dyDescent="0.25">
      <c r="A5260" s="36">
        <v>99915258</v>
      </c>
      <c r="B5260" s="17" t="s">
        <v>56</v>
      </c>
      <c r="C5260" t="s">
        <v>52</v>
      </c>
      <c r="D5260" t="s">
        <v>53</v>
      </c>
      <c r="G5260" s="17" t="s">
        <v>48</v>
      </c>
      <c r="H5260" s="17">
        <v>14</v>
      </c>
      <c r="K5260" t="s">
        <v>1268</v>
      </c>
      <c r="L5260" t="s">
        <v>1269</v>
      </c>
      <c r="M5260" t="s">
        <v>1270</v>
      </c>
      <c r="N5260">
        <v>18</v>
      </c>
      <c r="O5260" t="s">
        <v>40</v>
      </c>
      <c r="P5260" t="s">
        <v>40</v>
      </c>
      <c r="Q5260" t="s">
        <v>40</v>
      </c>
      <c r="R5260" t="s">
        <v>40</v>
      </c>
      <c r="S5260" t="s">
        <v>40</v>
      </c>
      <c r="U5260" s="1">
        <v>43344</v>
      </c>
      <c r="V5260" t="s">
        <v>41</v>
      </c>
      <c r="W5260" t="s">
        <v>42</v>
      </c>
      <c r="X5260" t="str">
        <f>"1980055"</f>
        <v>1980055</v>
      </c>
      <c r="Y5260" t="s">
        <v>1285</v>
      </c>
      <c r="Z5260" t="s">
        <v>1268</v>
      </c>
      <c r="AA5260" t="s">
        <v>1269</v>
      </c>
      <c r="AB5260" t="s">
        <v>1270</v>
      </c>
      <c r="AC5260" t="s">
        <v>165</v>
      </c>
      <c r="AD5260" t="s">
        <v>45</v>
      </c>
      <c r="AE5260" s="1">
        <v>19360</v>
      </c>
      <c r="AF5260">
        <v>2</v>
      </c>
      <c r="AG5260" t="s">
        <v>1269</v>
      </c>
      <c r="AH5260" s="36">
        <f t="shared" si="82"/>
        <v>66.936111111111117</v>
      </c>
      <c r="AI5260" s="41" t="s">
        <v>1772</v>
      </c>
    </row>
    <row r="5261" spans="1:35" x14ac:dyDescent="0.25">
      <c r="A5261" s="36">
        <v>99915259</v>
      </c>
      <c r="B5261" s="17" t="s">
        <v>32</v>
      </c>
      <c r="C5261" t="s">
        <v>111</v>
      </c>
      <c r="D5261" t="s">
        <v>112</v>
      </c>
      <c r="G5261" s="17" t="s">
        <v>48</v>
      </c>
      <c r="H5261" s="17">
        <v>1</v>
      </c>
      <c r="K5261" t="s">
        <v>154</v>
      </c>
      <c r="L5261" t="s">
        <v>155</v>
      </c>
      <c r="M5261" t="s">
        <v>131</v>
      </c>
      <c r="N5261">
        <v>21</v>
      </c>
      <c r="O5261" t="s">
        <v>40</v>
      </c>
      <c r="P5261" t="s">
        <v>40</v>
      </c>
      <c r="Q5261" t="s">
        <v>40</v>
      </c>
      <c r="S5261" t="s">
        <v>40</v>
      </c>
      <c r="V5261" t="s">
        <v>41</v>
      </c>
      <c r="W5261" t="s">
        <v>75</v>
      </c>
      <c r="X5261" t="str">
        <f>"7051002"</f>
        <v>7051002</v>
      </c>
      <c r="Y5261" t="s">
        <v>395</v>
      </c>
      <c r="Z5261" t="s">
        <v>154</v>
      </c>
      <c r="AA5261" t="s">
        <v>155</v>
      </c>
      <c r="AB5261" t="s">
        <v>131</v>
      </c>
      <c r="AC5261" t="s">
        <v>51</v>
      </c>
      <c r="AD5261" t="s">
        <v>45</v>
      </c>
      <c r="AE5261" s="1">
        <v>19353</v>
      </c>
      <c r="AF5261">
        <v>1</v>
      </c>
      <c r="AG5261" t="s">
        <v>155</v>
      </c>
      <c r="AH5261" s="36">
        <f t="shared" si="82"/>
        <v>66.955555555555549</v>
      </c>
      <c r="AI5261" s="41" t="s">
        <v>1772</v>
      </c>
    </row>
    <row r="5262" spans="1:35" x14ac:dyDescent="0.25">
      <c r="A5262" s="36">
        <v>99915260</v>
      </c>
      <c r="B5262" s="17" t="s">
        <v>56</v>
      </c>
      <c r="C5262" t="s">
        <v>52</v>
      </c>
      <c r="D5262" t="s">
        <v>53</v>
      </c>
      <c r="G5262" s="17" t="s">
        <v>48</v>
      </c>
      <c r="H5262" s="17">
        <v>16</v>
      </c>
      <c r="K5262" t="s">
        <v>1268</v>
      </c>
      <c r="L5262" t="s">
        <v>1269</v>
      </c>
      <c r="M5262" t="s">
        <v>1270</v>
      </c>
      <c r="N5262">
        <v>18</v>
      </c>
      <c r="O5262" t="s">
        <v>40</v>
      </c>
      <c r="P5262" t="s">
        <v>40</v>
      </c>
      <c r="Q5262" t="s">
        <v>40</v>
      </c>
      <c r="R5262" t="s">
        <v>40</v>
      </c>
      <c r="S5262" t="s">
        <v>40</v>
      </c>
      <c r="U5262" s="1">
        <v>43344</v>
      </c>
      <c r="V5262" t="s">
        <v>41</v>
      </c>
      <c r="W5262" t="s">
        <v>42</v>
      </c>
      <c r="X5262" t="str">
        <f>"1980060"</f>
        <v>1980060</v>
      </c>
      <c r="Y5262" t="s">
        <v>1277</v>
      </c>
      <c r="Z5262" t="s">
        <v>1268</v>
      </c>
      <c r="AA5262" t="s">
        <v>1269</v>
      </c>
      <c r="AB5262" t="s">
        <v>1270</v>
      </c>
      <c r="AC5262" t="s">
        <v>51</v>
      </c>
      <c r="AD5262" t="s">
        <v>45</v>
      </c>
      <c r="AE5262" s="1">
        <v>19321</v>
      </c>
      <c r="AF5262">
        <v>2</v>
      </c>
      <c r="AG5262" t="s">
        <v>1269</v>
      </c>
      <c r="AH5262" s="36">
        <f t="shared" si="82"/>
        <v>67.044444444444451</v>
      </c>
      <c r="AI5262" s="41" t="s">
        <v>1772</v>
      </c>
    </row>
    <row r="5263" spans="1:35" x14ac:dyDescent="0.25">
      <c r="A5263" s="36">
        <v>99915261</v>
      </c>
      <c r="B5263" s="17" t="s">
        <v>32</v>
      </c>
      <c r="C5263" t="s">
        <v>139</v>
      </c>
      <c r="D5263" t="s">
        <v>140</v>
      </c>
      <c r="G5263" s="17" t="s">
        <v>48</v>
      </c>
      <c r="H5263" s="17">
        <v>1</v>
      </c>
      <c r="K5263" t="s">
        <v>162</v>
      </c>
      <c r="L5263" t="s">
        <v>158</v>
      </c>
      <c r="M5263" t="s">
        <v>131</v>
      </c>
      <c r="N5263">
        <v>18</v>
      </c>
      <c r="O5263" t="s">
        <v>40</v>
      </c>
      <c r="P5263" t="s">
        <v>40</v>
      </c>
      <c r="Q5263" t="s">
        <v>40</v>
      </c>
      <c r="R5263" t="s">
        <v>40</v>
      </c>
      <c r="S5263" t="s">
        <v>40</v>
      </c>
      <c r="V5263" t="s">
        <v>41</v>
      </c>
      <c r="W5263" t="s">
        <v>42</v>
      </c>
      <c r="X5263" t="str">
        <f>"0580320"</f>
        <v>0580320</v>
      </c>
      <c r="Y5263" t="s">
        <v>164</v>
      </c>
      <c r="Z5263" t="s">
        <v>162</v>
      </c>
      <c r="AA5263" t="s">
        <v>158</v>
      </c>
      <c r="AB5263" t="s">
        <v>131</v>
      </c>
      <c r="AC5263" t="s">
        <v>165</v>
      </c>
      <c r="AD5263" t="s">
        <v>45</v>
      </c>
      <c r="AE5263" s="1">
        <v>19320</v>
      </c>
      <c r="AF5263">
        <v>2</v>
      </c>
      <c r="AG5263" t="s">
        <v>158</v>
      </c>
      <c r="AH5263" s="36">
        <f t="shared" si="82"/>
        <v>67.047222222222217</v>
      </c>
      <c r="AI5263" s="41" t="s">
        <v>1772</v>
      </c>
    </row>
    <row r="5264" spans="1:35" x14ac:dyDescent="0.25">
      <c r="A5264" s="36">
        <v>99915262</v>
      </c>
      <c r="B5264" s="17" t="s">
        <v>32</v>
      </c>
      <c r="C5264" t="s">
        <v>64</v>
      </c>
      <c r="D5264" t="s">
        <v>65</v>
      </c>
      <c r="G5264" s="17" t="s">
        <v>35</v>
      </c>
      <c r="H5264" s="17">
        <v>1</v>
      </c>
      <c r="K5264" t="s">
        <v>223</v>
      </c>
      <c r="L5264" t="s">
        <v>224</v>
      </c>
      <c r="M5264" t="s">
        <v>131</v>
      </c>
      <c r="N5264">
        <v>30</v>
      </c>
      <c r="O5264" t="s">
        <v>40</v>
      </c>
      <c r="P5264" t="s">
        <v>40</v>
      </c>
      <c r="Q5264" t="s">
        <v>40</v>
      </c>
      <c r="R5264" t="s">
        <v>40</v>
      </c>
      <c r="S5264" t="s">
        <v>40</v>
      </c>
      <c r="V5264" t="s">
        <v>41</v>
      </c>
      <c r="W5264" t="s">
        <v>49</v>
      </c>
      <c r="X5264" t="str">
        <f>"0591901"</f>
        <v>0591901</v>
      </c>
      <c r="Y5264" t="s">
        <v>230</v>
      </c>
      <c r="Z5264" t="s">
        <v>223</v>
      </c>
      <c r="AA5264" t="s">
        <v>224</v>
      </c>
      <c r="AB5264" t="s">
        <v>131</v>
      </c>
      <c r="AC5264" t="s">
        <v>51</v>
      </c>
      <c r="AD5264" t="s">
        <v>45</v>
      </c>
      <c r="AE5264" s="1">
        <v>19312</v>
      </c>
      <c r="AF5264">
        <v>2</v>
      </c>
      <c r="AG5264" t="s">
        <v>224</v>
      </c>
      <c r="AH5264" s="36">
        <f t="shared" si="82"/>
        <v>67.069444444444443</v>
      </c>
      <c r="AI5264" s="41" t="s">
        <v>1772</v>
      </c>
    </row>
    <row r="5265" spans="1:35" x14ac:dyDescent="0.25">
      <c r="A5265" s="36">
        <v>99915263</v>
      </c>
      <c r="B5265" s="17" t="s">
        <v>32</v>
      </c>
      <c r="C5265" t="s">
        <v>71</v>
      </c>
      <c r="D5265" t="s">
        <v>72</v>
      </c>
      <c r="G5265" s="17" t="s">
        <v>48</v>
      </c>
      <c r="H5265" s="17">
        <v>1</v>
      </c>
      <c r="K5265" t="s">
        <v>223</v>
      </c>
      <c r="L5265" t="s">
        <v>224</v>
      </c>
      <c r="M5265" t="s">
        <v>131</v>
      </c>
      <c r="N5265">
        <v>18</v>
      </c>
      <c r="O5265" t="s">
        <v>40</v>
      </c>
      <c r="P5265" t="s">
        <v>40</v>
      </c>
      <c r="Q5265" t="s">
        <v>40</v>
      </c>
      <c r="R5265" t="s">
        <v>40</v>
      </c>
      <c r="S5265" t="s">
        <v>40</v>
      </c>
      <c r="V5265" t="s">
        <v>41</v>
      </c>
      <c r="W5265" t="s">
        <v>49</v>
      </c>
      <c r="X5265" t="str">
        <f>"0581202"</f>
        <v>0581202</v>
      </c>
      <c r="Y5265" t="s">
        <v>248</v>
      </c>
      <c r="Z5265" t="s">
        <v>223</v>
      </c>
      <c r="AA5265" t="s">
        <v>224</v>
      </c>
      <c r="AB5265" t="s">
        <v>131</v>
      </c>
      <c r="AC5265" t="s">
        <v>165</v>
      </c>
      <c r="AD5265" t="s">
        <v>45</v>
      </c>
      <c r="AE5265" s="1">
        <v>19303</v>
      </c>
      <c r="AF5265">
        <v>2</v>
      </c>
      <c r="AG5265" t="s">
        <v>224</v>
      </c>
      <c r="AH5265" s="36">
        <f t="shared" si="82"/>
        <v>67.094444444444449</v>
      </c>
      <c r="AI5265" s="41" t="s">
        <v>1772</v>
      </c>
    </row>
    <row r="5266" spans="1:35" x14ac:dyDescent="0.25">
      <c r="A5266" s="36">
        <v>99915264</v>
      </c>
      <c r="B5266" s="17" t="s">
        <v>32</v>
      </c>
      <c r="C5266" t="s">
        <v>64</v>
      </c>
      <c r="D5266" t="s">
        <v>65</v>
      </c>
      <c r="G5266" s="17" t="s">
        <v>35</v>
      </c>
      <c r="H5266" s="17">
        <v>1</v>
      </c>
      <c r="K5266" t="s">
        <v>223</v>
      </c>
      <c r="L5266" t="s">
        <v>224</v>
      </c>
      <c r="M5266" t="s">
        <v>131</v>
      </c>
      <c r="N5266">
        <v>21</v>
      </c>
      <c r="O5266" t="s">
        <v>40</v>
      </c>
      <c r="P5266" t="s">
        <v>40</v>
      </c>
      <c r="Q5266" t="s">
        <v>40</v>
      </c>
      <c r="R5266" t="s">
        <v>40</v>
      </c>
      <c r="S5266" t="s">
        <v>40</v>
      </c>
      <c r="V5266" t="s">
        <v>41</v>
      </c>
      <c r="W5266" t="s">
        <v>49</v>
      </c>
      <c r="X5266" t="str">
        <f>"0591901"</f>
        <v>0591901</v>
      </c>
      <c r="Y5266" t="s">
        <v>230</v>
      </c>
      <c r="Z5266" t="s">
        <v>223</v>
      </c>
      <c r="AA5266" t="s">
        <v>224</v>
      </c>
      <c r="AB5266" t="s">
        <v>131</v>
      </c>
      <c r="AC5266" t="s">
        <v>51</v>
      </c>
      <c r="AD5266" t="s">
        <v>45</v>
      </c>
      <c r="AE5266" s="1">
        <v>19150</v>
      </c>
      <c r="AF5266">
        <v>2</v>
      </c>
      <c r="AG5266" t="s">
        <v>224</v>
      </c>
      <c r="AH5266" s="36">
        <f t="shared" si="82"/>
        <v>67.519444444444446</v>
      </c>
      <c r="AI5266" s="41" t="s">
        <v>1772</v>
      </c>
    </row>
    <row r="5267" spans="1:35" x14ac:dyDescent="0.25">
      <c r="A5267" s="36">
        <v>99915265</v>
      </c>
      <c r="B5267" s="17" t="s">
        <v>56</v>
      </c>
      <c r="C5267" t="s">
        <v>259</v>
      </c>
      <c r="D5267" t="s">
        <v>260</v>
      </c>
      <c r="G5267" s="17" t="s">
        <v>48</v>
      </c>
      <c r="H5267" s="17">
        <v>1</v>
      </c>
      <c r="K5267" t="s">
        <v>300</v>
      </c>
      <c r="L5267" t="s">
        <v>301</v>
      </c>
      <c r="M5267" t="s">
        <v>131</v>
      </c>
      <c r="N5267">
        <v>5</v>
      </c>
      <c r="O5267" t="s">
        <v>40</v>
      </c>
      <c r="P5267" t="s">
        <v>40</v>
      </c>
      <c r="Q5267" t="s">
        <v>40</v>
      </c>
      <c r="R5267" t="s">
        <v>40</v>
      </c>
      <c r="S5267" t="s">
        <v>40</v>
      </c>
      <c r="V5267" t="s">
        <v>41</v>
      </c>
      <c r="W5267" t="s">
        <v>49</v>
      </c>
      <c r="X5267" t="str">
        <f>"0560001"</f>
        <v>0560001</v>
      </c>
      <c r="Y5267" t="s">
        <v>304</v>
      </c>
      <c r="Z5267" t="s">
        <v>300</v>
      </c>
      <c r="AA5267" t="s">
        <v>301</v>
      </c>
      <c r="AB5267" t="s">
        <v>131</v>
      </c>
      <c r="AC5267" t="s">
        <v>51</v>
      </c>
      <c r="AD5267" t="s">
        <v>45</v>
      </c>
      <c r="AE5267" s="1">
        <v>19009</v>
      </c>
      <c r="AF5267">
        <v>2</v>
      </c>
      <c r="AG5267" t="s">
        <v>301</v>
      </c>
      <c r="AH5267" s="36">
        <f t="shared" si="82"/>
        <v>67.911111111111111</v>
      </c>
      <c r="AI5267" s="41" t="s">
        <v>1772</v>
      </c>
    </row>
    <row r="5268" spans="1:35" x14ac:dyDescent="0.25">
      <c r="A5268" s="36">
        <v>99915266</v>
      </c>
      <c r="B5268" s="17" t="s">
        <v>32</v>
      </c>
      <c r="C5268" t="s">
        <v>64</v>
      </c>
      <c r="D5268" t="s">
        <v>65</v>
      </c>
      <c r="G5268" s="17" t="s">
        <v>48</v>
      </c>
      <c r="H5268" s="17">
        <v>1</v>
      </c>
      <c r="K5268" t="s">
        <v>157</v>
      </c>
      <c r="L5268" t="s">
        <v>158</v>
      </c>
      <c r="M5268" t="s">
        <v>131</v>
      </c>
      <c r="N5268">
        <v>13</v>
      </c>
      <c r="O5268" t="s">
        <v>40</v>
      </c>
      <c r="P5268" t="s">
        <v>40</v>
      </c>
      <c r="Q5268" t="s">
        <v>40</v>
      </c>
      <c r="S5268" t="s">
        <v>40</v>
      </c>
      <c r="V5268" t="s">
        <v>41</v>
      </c>
      <c r="W5268" t="s">
        <v>42</v>
      </c>
      <c r="X5268" t="str">
        <f>"0580290"</f>
        <v>0580290</v>
      </c>
      <c r="Y5268" t="s">
        <v>171</v>
      </c>
      <c r="Z5268" t="s">
        <v>157</v>
      </c>
      <c r="AA5268" t="s">
        <v>158</v>
      </c>
      <c r="AB5268" t="s">
        <v>131</v>
      </c>
      <c r="AC5268" t="s">
        <v>51</v>
      </c>
      <c r="AD5268" t="s">
        <v>45</v>
      </c>
      <c r="AE5268" s="1">
        <v>18920</v>
      </c>
      <c r="AF5268">
        <v>2</v>
      </c>
      <c r="AG5268" t="s">
        <v>158</v>
      </c>
      <c r="AH5268" s="36">
        <f t="shared" si="82"/>
        <v>68.158333333333331</v>
      </c>
      <c r="AI5268" s="41" t="s">
        <v>1772</v>
      </c>
    </row>
    <row r="5269" spans="1:35" x14ac:dyDescent="0.25">
      <c r="A5269" s="36">
        <v>99915267</v>
      </c>
      <c r="B5269" s="17" t="s">
        <v>32</v>
      </c>
      <c r="C5269" t="s">
        <v>71</v>
      </c>
      <c r="D5269" t="s">
        <v>72</v>
      </c>
      <c r="G5269" s="17" t="s">
        <v>35</v>
      </c>
      <c r="H5269" s="17">
        <v>1</v>
      </c>
      <c r="I5269">
        <v>3722</v>
      </c>
      <c r="J5269" s="1">
        <v>43354</v>
      </c>
      <c r="K5269" t="s">
        <v>1590</v>
      </c>
      <c r="L5269" t="s">
        <v>1591</v>
      </c>
      <c r="M5269" t="s">
        <v>1592</v>
      </c>
      <c r="N5269">
        <v>6</v>
      </c>
      <c r="O5269" t="s">
        <v>40</v>
      </c>
      <c r="P5269" t="s">
        <v>40</v>
      </c>
      <c r="Q5269" t="s">
        <v>40</v>
      </c>
      <c r="R5269" t="s">
        <v>40</v>
      </c>
      <c r="S5269" t="s">
        <v>40</v>
      </c>
      <c r="U5269" s="1">
        <v>43354</v>
      </c>
      <c r="V5269" t="s">
        <v>41</v>
      </c>
      <c r="W5269" t="s">
        <v>49</v>
      </c>
      <c r="X5269" t="str">
        <f>"0260002"</f>
        <v>0260002</v>
      </c>
      <c r="Y5269" t="s">
        <v>1593</v>
      </c>
      <c r="Z5269" t="s">
        <v>1590</v>
      </c>
      <c r="AA5269" t="s">
        <v>1591</v>
      </c>
      <c r="AB5269" t="s">
        <v>1592</v>
      </c>
      <c r="AC5269" t="s">
        <v>44</v>
      </c>
      <c r="AD5269" t="s">
        <v>45</v>
      </c>
      <c r="AE5269" s="1">
        <v>18837</v>
      </c>
      <c r="AF5269">
        <v>2</v>
      </c>
      <c r="AG5269" t="s">
        <v>1591</v>
      </c>
      <c r="AH5269" s="36">
        <f t="shared" si="82"/>
        <v>68.388888888888886</v>
      </c>
      <c r="AI5269" s="41" t="s">
        <v>1772</v>
      </c>
    </row>
    <row r="5270" spans="1:35" x14ac:dyDescent="0.25">
      <c r="A5270" s="36">
        <v>99915268</v>
      </c>
      <c r="B5270" s="17" t="s">
        <v>32</v>
      </c>
      <c r="C5270" t="s">
        <v>64</v>
      </c>
      <c r="D5270" t="s">
        <v>65</v>
      </c>
      <c r="G5270" s="17" t="s">
        <v>35</v>
      </c>
      <c r="H5270" s="17">
        <v>1</v>
      </c>
      <c r="K5270" t="s">
        <v>223</v>
      </c>
      <c r="L5270" t="s">
        <v>224</v>
      </c>
      <c r="M5270" t="s">
        <v>131</v>
      </c>
      <c r="N5270">
        <v>18</v>
      </c>
      <c r="O5270" t="s">
        <v>40</v>
      </c>
      <c r="P5270" t="s">
        <v>40</v>
      </c>
      <c r="Q5270" t="s">
        <v>40</v>
      </c>
      <c r="S5270" t="s">
        <v>40</v>
      </c>
      <c r="V5270" t="s">
        <v>41</v>
      </c>
      <c r="W5270" t="s">
        <v>49</v>
      </c>
      <c r="X5270" t="str">
        <f>"0581207"</f>
        <v>0581207</v>
      </c>
      <c r="Y5270" t="s">
        <v>233</v>
      </c>
      <c r="Z5270" t="s">
        <v>223</v>
      </c>
      <c r="AA5270" t="s">
        <v>224</v>
      </c>
      <c r="AB5270" t="s">
        <v>131</v>
      </c>
      <c r="AC5270" t="s">
        <v>165</v>
      </c>
      <c r="AD5270" t="s">
        <v>45</v>
      </c>
      <c r="AE5270" s="1">
        <v>18768</v>
      </c>
      <c r="AF5270">
        <v>2</v>
      </c>
      <c r="AG5270" t="s">
        <v>224</v>
      </c>
      <c r="AH5270" s="36">
        <f t="shared" si="82"/>
        <v>68.580555555555549</v>
      </c>
      <c r="AI5270" s="41" t="s">
        <v>1772</v>
      </c>
    </row>
    <row r="5271" spans="1:35" x14ac:dyDescent="0.25">
      <c r="A5271" s="36">
        <v>99915269</v>
      </c>
      <c r="B5271" s="17" t="s">
        <v>56</v>
      </c>
      <c r="C5271" t="s">
        <v>68</v>
      </c>
      <c r="D5271" t="s">
        <v>69</v>
      </c>
      <c r="G5271" s="17" t="s">
        <v>48</v>
      </c>
      <c r="H5271" s="17">
        <v>1</v>
      </c>
      <c r="K5271" t="s">
        <v>223</v>
      </c>
      <c r="L5271" t="s">
        <v>224</v>
      </c>
      <c r="M5271" t="s">
        <v>131</v>
      </c>
      <c r="N5271">
        <v>16</v>
      </c>
      <c r="O5271" t="s">
        <v>40</v>
      </c>
      <c r="P5271" t="s">
        <v>40</v>
      </c>
      <c r="Q5271" t="s">
        <v>40</v>
      </c>
      <c r="R5271" t="s">
        <v>40</v>
      </c>
      <c r="S5271" t="s">
        <v>40</v>
      </c>
      <c r="V5271" t="s">
        <v>41</v>
      </c>
      <c r="W5271" t="s">
        <v>42</v>
      </c>
      <c r="X5271" t="str">
        <f>"0580207"</f>
        <v>0580207</v>
      </c>
      <c r="Y5271" t="s">
        <v>229</v>
      </c>
      <c r="Z5271" t="s">
        <v>223</v>
      </c>
      <c r="AA5271" t="s">
        <v>224</v>
      </c>
      <c r="AB5271" t="s">
        <v>131</v>
      </c>
      <c r="AC5271" t="s">
        <v>51</v>
      </c>
      <c r="AD5271" t="s">
        <v>45</v>
      </c>
      <c r="AE5271" s="1">
        <v>18764</v>
      </c>
      <c r="AF5271">
        <v>2</v>
      </c>
      <c r="AG5271" t="s">
        <v>224</v>
      </c>
      <c r="AH5271" s="36">
        <f t="shared" si="82"/>
        <v>68.591666666666669</v>
      </c>
      <c r="AI5271" s="41" t="s">
        <v>1772</v>
      </c>
    </row>
    <row r="5272" spans="1:35" x14ac:dyDescent="0.25">
      <c r="A5272" s="36">
        <v>99915270</v>
      </c>
      <c r="B5272" s="17" t="s">
        <v>56</v>
      </c>
      <c r="C5272" t="s">
        <v>111</v>
      </c>
      <c r="D5272" t="s">
        <v>112</v>
      </c>
      <c r="G5272" s="17" t="s">
        <v>48</v>
      </c>
      <c r="H5272" s="17">
        <v>19</v>
      </c>
      <c r="K5272" t="s">
        <v>354</v>
      </c>
      <c r="L5272" t="s">
        <v>355</v>
      </c>
      <c r="M5272" t="s">
        <v>131</v>
      </c>
      <c r="N5272">
        <v>12</v>
      </c>
      <c r="O5272" t="s">
        <v>40</v>
      </c>
      <c r="P5272" t="s">
        <v>40</v>
      </c>
      <c r="Q5272" t="s">
        <v>40</v>
      </c>
      <c r="R5272" t="s">
        <v>40</v>
      </c>
      <c r="S5272" t="s">
        <v>40</v>
      </c>
      <c r="V5272" t="s">
        <v>41</v>
      </c>
      <c r="W5272" t="s">
        <v>75</v>
      </c>
      <c r="X5272" t="str">
        <f>"7054002"</f>
        <v>7054002</v>
      </c>
      <c r="Y5272" t="s">
        <v>376</v>
      </c>
      <c r="Z5272" t="s">
        <v>354</v>
      </c>
      <c r="AA5272" t="s">
        <v>355</v>
      </c>
      <c r="AB5272" t="s">
        <v>131</v>
      </c>
      <c r="AC5272" t="s">
        <v>51</v>
      </c>
      <c r="AD5272" t="s">
        <v>45</v>
      </c>
      <c r="AE5272" s="1">
        <v>18595</v>
      </c>
      <c r="AF5272">
        <v>1</v>
      </c>
      <c r="AG5272" t="s">
        <v>355</v>
      </c>
      <c r="AH5272" s="36">
        <f t="shared" si="82"/>
        <v>69.061111111111117</v>
      </c>
      <c r="AI5272" s="41" t="s">
        <v>1772</v>
      </c>
    </row>
    <row r="5273" spans="1:35" x14ac:dyDescent="0.25">
      <c r="A5273" s="36">
        <v>99915271</v>
      </c>
      <c r="B5273" s="17" t="s">
        <v>56</v>
      </c>
      <c r="C5273" t="s">
        <v>68</v>
      </c>
      <c r="D5273" t="s">
        <v>69</v>
      </c>
      <c r="G5273" s="17" t="s">
        <v>48</v>
      </c>
      <c r="H5273" s="17">
        <v>1</v>
      </c>
      <c r="K5273" t="s">
        <v>223</v>
      </c>
      <c r="L5273" t="s">
        <v>224</v>
      </c>
      <c r="M5273" t="s">
        <v>131</v>
      </c>
      <c r="N5273">
        <v>18</v>
      </c>
      <c r="O5273" t="s">
        <v>40</v>
      </c>
      <c r="P5273" t="s">
        <v>40</v>
      </c>
      <c r="Q5273" t="s">
        <v>40</v>
      </c>
      <c r="S5273" t="s">
        <v>40</v>
      </c>
      <c r="V5273" t="s">
        <v>41</v>
      </c>
      <c r="W5273" t="s">
        <v>49</v>
      </c>
      <c r="X5273" t="str">
        <f>"0581265"</f>
        <v>0581265</v>
      </c>
      <c r="Y5273" t="s">
        <v>236</v>
      </c>
      <c r="Z5273" t="s">
        <v>223</v>
      </c>
      <c r="AA5273" t="s">
        <v>224</v>
      </c>
      <c r="AB5273" t="s">
        <v>131</v>
      </c>
      <c r="AC5273" t="s">
        <v>51</v>
      </c>
      <c r="AD5273" t="s">
        <v>45</v>
      </c>
      <c r="AE5273" s="1">
        <v>18571</v>
      </c>
      <c r="AF5273">
        <v>2</v>
      </c>
      <c r="AG5273" t="s">
        <v>224</v>
      </c>
      <c r="AH5273" s="36">
        <f t="shared" si="82"/>
        <v>69.12777777777778</v>
      </c>
      <c r="AI5273" s="41" t="s">
        <v>1772</v>
      </c>
    </row>
    <row r="5274" spans="1:35" x14ac:dyDescent="0.25">
      <c r="A5274" s="36">
        <v>99915272</v>
      </c>
      <c r="B5274" s="17" t="s">
        <v>32</v>
      </c>
      <c r="C5274" t="s">
        <v>139</v>
      </c>
      <c r="D5274" t="s">
        <v>140</v>
      </c>
      <c r="G5274" s="17" t="s">
        <v>35</v>
      </c>
      <c r="H5274" s="17">
        <v>1</v>
      </c>
      <c r="K5274" t="s">
        <v>877</v>
      </c>
      <c r="L5274" t="s">
        <v>878</v>
      </c>
      <c r="M5274" t="s">
        <v>131</v>
      </c>
      <c r="N5274">
        <v>22</v>
      </c>
      <c r="O5274" t="s">
        <v>40</v>
      </c>
      <c r="P5274" t="s">
        <v>40</v>
      </c>
      <c r="Q5274" t="s">
        <v>40</v>
      </c>
      <c r="S5274" t="s">
        <v>40</v>
      </c>
      <c r="V5274" t="s">
        <v>41</v>
      </c>
      <c r="W5274" t="s">
        <v>75</v>
      </c>
      <c r="X5274" t="str">
        <f>"7700025"</f>
        <v>7700025</v>
      </c>
      <c r="Y5274" t="s">
        <v>880</v>
      </c>
      <c r="Z5274" t="s">
        <v>877</v>
      </c>
      <c r="AA5274" t="s">
        <v>878</v>
      </c>
      <c r="AB5274" t="s">
        <v>131</v>
      </c>
      <c r="AC5274" t="s">
        <v>51</v>
      </c>
      <c r="AD5274" t="s">
        <v>45</v>
      </c>
      <c r="AE5274" s="1">
        <v>18514</v>
      </c>
      <c r="AF5274">
        <v>1</v>
      </c>
      <c r="AG5274" t="s">
        <v>878</v>
      </c>
      <c r="AH5274" s="36">
        <f t="shared" si="82"/>
        <v>69.286111111111111</v>
      </c>
      <c r="AI5274" s="41" t="s">
        <v>1772</v>
      </c>
    </row>
    <row r="5275" spans="1:35" x14ac:dyDescent="0.25">
      <c r="A5275" s="36">
        <v>99915273</v>
      </c>
      <c r="B5275" s="17" t="s">
        <v>56</v>
      </c>
      <c r="C5275" t="s">
        <v>52</v>
      </c>
      <c r="D5275" t="s">
        <v>53</v>
      </c>
      <c r="G5275" s="17" t="s">
        <v>48</v>
      </c>
      <c r="H5275" s="17">
        <v>1</v>
      </c>
      <c r="K5275" t="s">
        <v>936</v>
      </c>
      <c r="L5275" t="s">
        <v>937</v>
      </c>
      <c r="M5275" t="s">
        <v>938</v>
      </c>
      <c r="N5275">
        <v>15</v>
      </c>
      <c r="O5275" t="s">
        <v>40</v>
      </c>
      <c r="P5275" t="s">
        <v>40</v>
      </c>
      <c r="Q5275" t="s">
        <v>40</v>
      </c>
      <c r="S5275" t="s">
        <v>40</v>
      </c>
      <c r="V5275" t="s">
        <v>41</v>
      </c>
      <c r="W5275" t="s">
        <v>42</v>
      </c>
      <c r="X5275" t="str">
        <f>"0161002"</f>
        <v>0161002</v>
      </c>
      <c r="Y5275" t="s">
        <v>941</v>
      </c>
      <c r="Z5275" t="s">
        <v>936</v>
      </c>
      <c r="AA5275" t="s">
        <v>937</v>
      </c>
      <c r="AB5275" t="s">
        <v>938</v>
      </c>
      <c r="AC5275" t="s">
        <v>51</v>
      </c>
      <c r="AD5275" t="s">
        <v>45</v>
      </c>
      <c r="AE5275" s="1">
        <v>18502</v>
      </c>
      <c r="AF5275">
        <v>2</v>
      </c>
      <c r="AG5275" t="s">
        <v>937</v>
      </c>
      <c r="AH5275" s="36">
        <f t="shared" si="82"/>
        <v>69.319444444444443</v>
      </c>
      <c r="AI5275" s="41" t="s">
        <v>1772</v>
      </c>
    </row>
    <row r="5276" spans="1:35" x14ac:dyDescent="0.25">
      <c r="A5276" s="36">
        <v>99915274</v>
      </c>
      <c r="B5276" s="17" t="s">
        <v>32</v>
      </c>
      <c r="C5276" t="s">
        <v>111</v>
      </c>
      <c r="D5276" t="s">
        <v>112</v>
      </c>
      <c r="G5276" s="17" t="s">
        <v>35</v>
      </c>
      <c r="H5276" s="17">
        <v>1</v>
      </c>
      <c r="I5276">
        <v>117773</v>
      </c>
      <c r="J5276" s="1">
        <v>43344</v>
      </c>
      <c r="K5276" t="s">
        <v>354</v>
      </c>
      <c r="L5276" t="s">
        <v>355</v>
      </c>
      <c r="M5276" t="s">
        <v>131</v>
      </c>
      <c r="N5276">
        <v>21</v>
      </c>
      <c r="O5276" t="s">
        <v>40</v>
      </c>
      <c r="S5276" t="s">
        <v>40</v>
      </c>
      <c r="U5276" s="1">
        <v>43344</v>
      </c>
      <c r="V5276" t="s">
        <v>41</v>
      </c>
      <c r="W5276" t="s">
        <v>75</v>
      </c>
      <c r="X5276" t="str">
        <f>"7054008"</f>
        <v>7054008</v>
      </c>
      <c r="Y5276" t="s">
        <v>813</v>
      </c>
      <c r="Z5276" t="s">
        <v>354</v>
      </c>
      <c r="AA5276" t="s">
        <v>355</v>
      </c>
      <c r="AB5276" t="s">
        <v>131</v>
      </c>
      <c r="AC5276" t="s">
        <v>51</v>
      </c>
      <c r="AD5276" t="s">
        <v>45</v>
      </c>
      <c r="AE5276" s="1">
        <v>18500</v>
      </c>
      <c r="AF5276">
        <v>1</v>
      </c>
      <c r="AG5276" t="s">
        <v>355</v>
      </c>
      <c r="AH5276" s="36">
        <f t="shared" si="82"/>
        <v>69.325000000000003</v>
      </c>
      <c r="AI5276" s="41" t="s">
        <v>1772</v>
      </c>
    </row>
    <row r="5277" spans="1:35" x14ac:dyDescent="0.25">
      <c r="A5277" s="36">
        <v>99915275</v>
      </c>
      <c r="B5277" s="17" t="s">
        <v>56</v>
      </c>
      <c r="C5277" t="s">
        <v>251</v>
      </c>
      <c r="D5277" t="s">
        <v>252</v>
      </c>
      <c r="G5277" s="17" t="s">
        <v>35</v>
      </c>
      <c r="H5277" s="17">
        <v>1</v>
      </c>
      <c r="K5277" t="s">
        <v>223</v>
      </c>
      <c r="L5277" t="s">
        <v>224</v>
      </c>
      <c r="M5277" t="s">
        <v>131</v>
      </c>
      <c r="N5277">
        <v>16</v>
      </c>
      <c r="O5277" t="s">
        <v>40</v>
      </c>
      <c r="P5277" t="s">
        <v>40</v>
      </c>
      <c r="Q5277" t="s">
        <v>40</v>
      </c>
      <c r="S5277" t="s">
        <v>40</v>
      </c>
      <c r="V5277" t="s">
        <v>41</v>
      </c>
      <c r="W5277" t="s">
        <v>42</v>
      </c>
      <c r="X5277" t="str">
        <f>"0590903"</f>
        <v>0590903</v>
      </c>
      <c r="Y5277" t="s">
        <v>226</v>
      </c>
      <c r="Z5277" t="s">
        <v>223</v>
      </c>
      <c r="AA5277" t="s">
        <v>224</v>
      </c>
      <c r="AB5277" t="s">
        <v>131</v>
      </c>
      <c r="AC5277" t="s">
        <v>51</v>
      </c>
      <c r="AD5277" t="s">
        <v>45</v>
      </c>
      <c r="AE5277" s="1">
        <v>18494</v>
      </c>
      <c r="AF5277">
        <v>2</v>
      </c>
      <c r="AG5277" t="s">
        <v>224</v>
      </c>
      <c r="AH5277" s="36">
        <f t="shared" si="82"/>
        <v>69.341666666666669</v>
      </c>
      <c r="AI5277" s="41" t="s">
        <v>1772</v>
      </c>
    </row>
    <row r="5278" spans="1:35" x14ac:dyDescent="0.25">
      <c r="A5278" s="36">
        <v>99915276</v>
      </c>
      <c r="B5278" s="17" t="s">
        <v>32</v>
      </c>
      <c r="C5278" t="s">
        <v>58</v>
      </c>
      <c r="D5278" t="s">
        <v>59</v>
      </c>
      <c r="G5278" s="17" t="s">
        <v>48</v>
      </c>
      <c r="H5278" s="17">
        <v>1</v>
      </c>
      <c r="K5278" t="s">
        <v>162</v>
      </c>
      <c r="L5278" t="s">
        <v>158</v>
      </c>
      <c r="M5278" t="s">
        <v>131</v>
      </c>
      <c r="N5278">
        <v>18</v>
      </c>
      <c r="O5278" t="s">
        <v>40</v>
      </c>
      <c r="P5278" t="s">
        <v>40</v>
      </c>
      <c r="Q5278" t="s">
        <v>40</v>
      </c>
      <c r="R5278" t="s">
        <v>40</v>
      </c>
      <c r="S5278" t="s">
        <v>40</v>
      </c>
      <c r="V5278" t="s">
        <v>41</v>
      </c>
      <c r="W5278" t="s">
        <v>42</v>
      </c>
      <c r="X5278" t="str">
        <f>"0580325"</f>
        <v>0580325</v>
      </c>
      <c r="Y5278" t="s">
        <v>170</v>
      </c>
      <c r="Z5278" t="s">
        <v>162</v>
      </c>
      <c r="AA5278" t="s">
        <v>158</v>
      </c>
      <c r="AB5278" t="s">
        <v>131</v>
      </c>
      <c r="AC5278" t="s">
        <v>51</v>
      </c>
      <c r="AD5278" t="s">
        <v>45</v>
      </c>
      <c r="AE5278" s="1">
        <v>18431</v>
      </c>
      <c r="AF5278">
        <v>2</v>
      </c>
      <c r="AG5278" t="s">
        <v>158</v>
      </c>
      <c r="AH5278" s="36">
        <f t="shared" si="82"/>
        <v>69.516666666666666</v>
      </c>
      <c r="AI5278" s="41" t="s">
        <v>1772</v>
      </c>
    </row>
    <row r="5279" spans="1:35" x14ac:dyDescent="0.25">
      <c r="A5279" s="36">
        <v>99915277</v>
      </c>
      <c r="B5279" s="17" t="s">
        <v>56</v>
      </c>
      <c r="C5279" t="s">
        <v>68</v>
      </c>
      <c r="D5279" t="s">
        <v>69</v>
      </c>
      <c r="G5279" s="17" t="s">
        <v>35</v>
      </c>
      <c r="H5279" s="17">
        <v>1</v>
      </c>
      <c r="K5279" t="s">
        <v>223</v>
      </c>
      <c r="L5279" t="s">
        <v>224</v>
      </c>
      <c r="M5279" t="s">
        <v>131</v>
      </c>
      <c r="N5279">
        <v>18</v>
      </c>
      <c r="O5279" t="s">
        <v>40</v>
      </c>
      <c r="P5279" t="s">
        <v>40</v>
      </c>
      <c r="Q5279" t="s">
        <v>40</v>
      </c>
      <c r="S5279" t="s">
        <v>40</v>
      </c>
      <c r="V5279" t="s">
        <v>41</v>
      </c>
      <c r="W5279" t="s">
        <v>49</v>
      </c>
      <c r="X5279" t="str">
        <f>"0581207"</f>
        <v>0581207</v>
      </c>
      <c r="Y5279" t="s">
        <v>233</v>
      </c>
      <c r="Z5279" t="s">
        <v>223</v>
      </c>
      <c r="AA5279" t="s">
        <v>224</v>
      </c>
      <c r="AB5279" t="s">
        <v>131</v>
      </c>
      <c r="AC5279" t="s">
        <v>165</v>
      </c>
      <c r="AD5279" t="s">
        <v>45</v>
      </c>
      <c r="AE5279" s="1">
        <v>18343</v>
      </c>
      <c r="AF5279">
        <v>2</v>
      </c>
      <c r="AG5279" t="s">
        <v>224</v>
      </c>
      <c r="AH5279" s="36">
        <f t="shared" si="82"/>
        <v>69.761111111111106</v>
      </c>
      <c r="AI5279" s="41" t="s">
        <v>1772</v>
      </c>
    </row>
    <row r="5280" spans="1:35" x14ac:dyDescent="0.25">
      <c r="A5280" s="36">
        <v>99915278</v>
      </c>
      <c r="B5280" s="17" t="s">
        <v>56</v>
      </c>
      <c r="C5280" t="s">
        <v>33</v>
      </c>
      <c r="D5280" t="s">
        <v>34</v>
      </c>
      <c r="G5280" s="17" t="s">
        <v>48</v>
      </c>
      <c r="H5280" s="17">
        <v>1</v>
      </c>
      <c r="K5280" t="s">
        <v>1268</v>
      </c>
      <c r="L5280" t="s">
        <v>1269</v>
      </c>
      <c r="M5280" t="s">
        <v>1270</v>
      </c>
      <c r="N5280">
        <v>21</v>
      </c>
      <c r="O5280" t="s">
        <v>40</v>
      </c>
      <c r="P5280" t="s">
        <v>40</v>
      </c>
      <c r="Q5280" t="s">
        <v>40</v>
      </c>
      <c r="R5280" t="s">
        <v>40</v>
      </c>
      <c r="S5280" t="s">
        <v>40</v>
      </c>
      <c r="V5280" t="s">
        <v>41</v>
      </c>
      <c r="W5280" t="s">
        <v>42</v>
      </c>
      <c r="X5280" t="str">
        <f>"1990911"</f>
        <v>1990911</v>
      </c>
      <c r="Y5280" t="s">
        <v>1276</v>
      </c>
      <c r="Z5280" t="s">
        <v>1268</v>
      </c>
      <c r="AA5280" t="s">
        <v>1269</v>
      </c>
      <c r="AB5280" t="s">
        <v>1270</v>
      </c>
      <c r="AC5280" t="s">
        <v>165</v>
      </c>
      <c r="AD5280" t="s">
        <v>45</v>
      </c>
      <c r="AE5280" s="1">
        <v>18169</v>
      </c>
      <c r="AF5280">
        <v>2</v>
      </c>
      <c r="AG5280" t="s">
        <v>1269</v>
      </c>
      <c r="AH5280" s="36">
        <f t="shared" si="82"/>
        <v>70.24444444444444</v>
      </c>
      <c r="AI5280" s="41" t="s">
        <v>1772</v>
      </c>
    </row>
    <row r="5281" spans="1:35" x14ac:dyDescent="0.25">
      <c r="A5281" s="36">
        <v>99915279</v>
      </c>
      <c r="B5281" s="17" t="s">
        <v>56</v>
      </c>
      <c r="C5281" t="s">
        <v>111</v>
      </c>
      <c r="D5281" t="s">
        <v>112</v>
      </c>
      <c r="G5281" s="17" t="s">
        <v>35</v>
      </c>
      <c r="H5281" s="17">
        <v>1</v>
      </c>
      <c r="K5281" t="s">
        <v>431</v>
      </c>
      <c r="L5281" t="s">
        <v>196</v>
      </c>
      <c r="M5281" t="s">
        <v>131</v>
      </c>
      <c r="N5281">
        <v>24</v>
      </c>
      <c r="O5281" t="s">
        <v>40</v>
      </c>
      <c r="P5281" t="s">
        <v>40</v>
      </c>
      <c r="Q5281" t="s">
        <v>40</v>
      </c>
      <c r="S5281" t="s">
        <v>40</v>
      </c>
      <c r="V5281" t="s">
        <v>41</v>
      </c>
      <c r="W5281" t="s">
        <v>75</v>
      </c>
      <c r="X5281" t="str">
        <f>"7521010"</f>
        <v>7521010</v>
      </c>
      <c r="Y5281" t="s">
        <v>573</v>
      </c>
      <c r="Z5281" t="s">
        <v>431</v>
      </c>
      <c r="AA5281" t="s">
        <v>196</v>
      </c>
      <c r="AB5281" t="s">
        <v>131</v>
      </c>
      <c r="AC5281" t="s">
        <v>165</v>
      </c>
      <c r="AD5281" t="s">
        <v>45</v>
      </c>
      <c r="AE5281" s="1">
        <v>17870</v>
      </c>
      <c r="AF5281">
        <v>1</v>
      </c>
      <c r="AG5281" t="s">
        <v>196</v>
      </c>
      <c r="AH5281" s="36">
        <f t="shared" si="82"/>
        <v>71.075000000000003</v>
      </c>
      <c r="AI5281" s="41" t="s">
        <v>1772</v>
      </c>
    </row>
    <row r="5282" spans="1:35" x14ac:dyDescent="0.25">
      <c r="A5282" s="36">
        <v>99915280</v>
      </c>
      <c r="B5282" s="17" t="s">
        <v>56</v>
      </c>
      <c r="C5282" t="s">
        <v>52</v>
      </c>
      <c r="D5282" t="s">
        <v>53</v>
      </c>
      <c r="G5282" s="17" t="s">
        <v>35</v>
      </c>
      <c r="H5282" s="17">
        <v>1</v>
      </c>
      <c r="K5282" t="s">
        <v>223</v>
      </c>
      <c r="L5282" t="s">
        <v>224</v>
      </c>
      <c r="M5282" t="s">
        <v>131</v>
      </c>
      <c r="N5282">
        <v>18</v>
      </c>
      <c r="O5282" t="s">
        <v>40</v>
      </c>
      <c r="P5282" t="s">
        <v>40</v>
      </c>
      <c r="Q5282" t="s">
        <v>40</v>
      </c>
      <c r="S5282" t="s">
        <v>40</v>
      </c>
      <c r="V5282" t="s">
        <v>41</v>
      </c>
      <c r="W5282" t="s">
        <v>42</v>
      </c>
      <c r="X5282" t="str">
        <f>"0590903"</f>
        <v>0590903</v>
      </c>
      <c r="Y5282" t="s">
        <v>226</v>
      </c>
      <c r="Z5282" t="s">
        <v>223</v>
      </c>
      <c r="AA5282" t="s">
        <v>224</v>
      </c>
      <c r="AB5282" t="s">
        <v>131</v>
      </c>
      <c r="AC5282" t="s">
        <v>51</v>
      </c>
      <c r="AD5282" t="s">
        <v>45</v>
      </c>
      <c r="AE5282" s="1">
        <v>17797</v>
      </c>
      <c r="AF5282">
        <v>2</v>
      </c>
      <c r="AG5282" t="s">
        <v>224</v>
      </c>
      <c r="AH5282" s="36">
        <f t="shared" si="82"/>
        <v>71.277777777777771</v>
      </c>
      <c r="AI5282" s="41" t="s">
        <v>1772</v>
      </c>
    </row>
    <row r="5283" spans="1:35" x14ac:dyDescent="0.25">
      <c r="A5283" s="36">
        <v>99915281</v>
      </c>
      <c r="B5283" s="17" t="s">
        <v>32</v>
      </c>
      <c r="C5283" t="s">
        <v>90</v>
      </c>
      <c r="D5283" t="s">
        <v>91</v>
      </c>
      <c r="G5283" s="17" t="s">
        <v>35</v>
      </c>
      <c r="H5283" s="17">
        <v>1</v>
      </c>
      <c r="I5283">
        <v>0</v>
      </c>
      <c r="J5283" s="1">
        <v>43344</v>
      </c>
      <c r="K5283" t="s">
        <v>1258</v>
      </c>
      <c r="L5283" t="s">
        <v>1259</v>
      </c>
      <c r="M5283" t="s">
        <v>1260</v>
      </c>
      <c r="N5283">
        <v>25</v>
      </c>
      <c r="O5283" t="s">
        <v>40</v>
      </c>
      <c r="S5283" t="s">
        <v>40</v>
      </c>
      <c r="U5283" s="1">
        <v>43344</v>
      </c>
      <c r="V5283" t="s">
        <v>41</v>
      </c>
      <c r="W5283" t="s">
        <v>95</v>
      </c>
      <c r="X5283" t="str">
        <f>"7241001"</f>
        <v>7241001</v>
      </c>
      <c r="Y5283" t="s">
        <v>1261</v>
      </c>
      <c r="Z5283" t="s">
        <v>1258</v>
      </c>
      <c r="AA5283" t="s">
        <v>1259</v>
      </c>
      <c r="AB5283" t="s">
        <v>1260</v>
      </c>
      <c r="AC5283" t="s">
        <v>51</v>
      </c>
      <c r="AD5283" t="s">
        <v>45</v>
      </c>
      <c r="AE5283" s="1">
        <v>17786</v>
      </c>
      <c r="AF5283">
        <v>1</v>
      </c>
      <c r="AG5283" t="s">
        <v>1259</v>
      </c>
      <c r="AH5283" s="36">
        <f t="shared" si="82"/>
        <v>71.308333333333337</v>
      </c>
      <c r="AI5283" s="41" t="s">
        <v>1772</v>
      </c>
    </row>
    <row r="5284" spans="1:35" x14ac:dyDescent="0.25">
      <c r="A5284" s="36">
        <v>99915282</v>
      </c>
      <c r="B5284" s="17" t="s">
        <v>56</v>
      </c>
      <c r="C5284" t="s">
        <v>145</v>
      </c>
      <c r="D5284" t="s">
        <v>146</v>
      </c>
      <c r="G5284" s="17" t="s">
        <v>48</v>
      </c>
      <c r="H5284" s="17">
        <v>1</v>
      </c>
      <c r="K5284" t="s">
        <v>162</v>
      </c>
      <c r="L5284" t="s">
        <v>158</v>
      </c>
      <c r="M5284" t="s">
        <v>131</v>
      </c>
      <c r="N5284">
        <v>22</v>
      </c>
      <c r="O5284" t="s">
        <v>40</v>
      </c>
      <c r="P5284" t="s">
        <v>40</v>
      </c>
      <c r="Q5284" t="s">
        <v>40</v>
      </c>
      <c r="S5284" t="s">
        <v>40</v>
      </c>
      <c r="V5284" t="s">
        <v>41</v>
      </c>
      <c r="W5284" t="s">
        <v>42</v>
      </c>
      <c r="X5284" t="str">
        <f>"0580310"</f>
        <v>0580310</v>
      </c>
      <c r="Y5284" t="s">
        <v>173</v>
      </c>
      <c r="Z5284" t="s">
        <v>162</v>
      </c>
      <c r="AA5284" t="s">
        <v>158</v>
      </c>
      <c r="AB5284" t="s">
        <v>131</v>
      </c>
      <c r="AC5284" t="s">
        <v>51</v>
      </c>
      <c r="AD5284" t="s">
        <v>45</v>
      </c>
      <c r="AE5284" s="1">
        <v>17777</v>
      </c>
      <c r="AF5284">
        <v>2</v>
      </c>
      <c r="AG5284" t="s">
        <v>158</v>
      </c>
      <c r="AH5284" s="36">
        <f t="shared" si="82"/>
        <v>71.333333333333329</v>
      </c>
      <c r="AI5284" s="41" t="s">
        <v>1772</v>
      </c>
    </row>
    <row r="5285" spans="1:35" x14ac:dyDescent="0.25">
      <c r="A5285" s="36">
        <v>99915283</v>
      </c>
      <c r="B5285" s="17" t="s">
        <v>32</v>
      </c>
      <c r="C5285" t="s">
        <v>111</v>
      </c>
      <c r="D5285" t="s">
        <v>112</v>
      </c>
      <c r="G5285" s="17" t="s">
        <v>35</v>
      </c>
      <c r="H5285" s="17">
        <v>1</v>
      </c>
      <c r="K5285" t="s">
        <v>431</v>
      </c>
      <c r="L5285" t="s">
        <v>196</v>
      </c>
      <c r="M5285" t="s">
        <v>131</v>
      </c>
      <c r="N5285">
        <v>8</v>
      </c>
      <c r="O5285" t="s">
        <v>40</v>
      </c>
      <c r="P5285" t="s">
        <v>40</v>
      </c>
      <c r="Q5285" t="s">
        <v>40</v>
      </c>
      <c r="S5285" t="s">
        <v>40</v>
      </c>
      <c r="V5285" t="s">
        <v>41</v>
      </c>
      <c r="W5285" t="s">
        <v>75</v>
      </c>
      <c r="X5285" t="str">
        <f>"7521010"</f>
        <v>7521010</v>
      </c>
      <c r="Y5285" t="s">
        <v>573</v>
      </c>
      <c r="Z5285" t="s">
        <v>431</v>
      </c>
      <c r="AA5285" t="s">
        <v>196</v>
      </c>
      <c r="AB5285" t="s">
        <v>131</v>
      </c>
      <c r="AC5285" t="s">
        <v>165</v>
      </c>
      <c r="AD5285" t="s">
        <v>45</v>
      </c>
      <c r="AE5285" s="1">
        <v>17580</v>
      </c>
      <c r="AF5285">
        <v>1</v>
      </c>
      <c r="AG5285" t="s">
        <v>196</v>
      </c>
      <c r="AH5285" s="36">
        <f t="shared" si="82"/>
        <v>71.88055555555556</v>
      </c>
      <c r="AI5285" s="41" t="s">
        <v>1772</v>
      </c>
    </row>
    <row r="5286" spans="1:35" x14ac:dyDescent="0.25">
      <c r="A5286" s="36">
        <v>99915284</v>
      </c>
      <c r="B5286" s="17" t="s">
        <v>56</v>
      </c>
      <c r="C5286" t="s">
        <v>46</v>
      </c>
      <c r="D5286" t="s">
        <v>47</v>
      </c>
      <c r="G5286" s="17" t="s">
        <v>35</v>
      </c>
      <c r="H5286" s="17">
        <v>1</v>
      </c>
      <c r="I5286">
        <v>0</v>
      </c>
      <c r="J5286" s="1">
        <v>43344</v>
      </c>
      <c r="K5286" t="s">
        <v>223</v>
      </c>
      <c r="L5286" t="s">
        <v>224</v>
      </c>
      <c r="M5286" t="s">
        <v>131</v>
      </c>
      <c r="N5286">
        <v>23</v>
      </c>
      <c r="O5286" t="s">
        <v>40</v>
      </c>
      <c r="S5286" t="s">
        <v>40</v>
      </c>
      <c r="U5286" s="1">
        <v>43344</v>
      </c>
      <c r="V5286" t="s">
        <v>41</v>
      </c>
      <c r="W5286" t="s">
        <v>49</v>
      </c>
      <c r="X5286" t="str">
        <f>"0561022"</f>
        <v>0561022</v>
      </c>
      <c r="Y5286" t="s">
        <v>225</v>
      </c>
      <c r="Z5286" t="s">
        <v>223</v>
      </c>
      <c r="AA5286" t="s">
        <v>224</v>
      </c>
      <c r="AB5286" t="s">
        <v>131</v>
      </c>
      <c r="AC5286" t="s">
        <v>44</v>
      </c>
      <c r="AD5286" t="s">
        <v>45</v>
      </c>
      <c r="AE5286" s="1">
        <v>1</v>
      </c>
      <c r="AF5286">
        <v>2</v>
      </c>
      <c r="AG5286" t="s">
        <v>224</v>
      </c>
      <c r="AH5286" s="36">
        <f t="shared" si="82"/>
        <v>120.71111111111111</v>
      </c>
      <c r="AI5286" s="17" t="s">
        <v>1773</v>
      </c>
    </row>
    <row r="5287" spans="1:35" x14ac:dyDescent="0.25">
      <c r="A5287" s="36">
        <v>99915285</v>
      </c>
      <c r="B5287" s="17" t="s">
        <v>32</v>
      </c>
      <c r="C5287" t="s">
        <v>79</v>
      </c>
      <c r="D5287" t="s">
        <v>80</v>
      </c>
      <c r="G5287" s="17" t="s">
        <v>35</v>
      </c>
      <c r="H5287" s="17">
        <v>1</v>
      </c>
      <c r="I5287" t="s">
        <v>273</v>
      </c>
      <c r="J5287" s="1">
        <v>41900</v>
      </c>
      <c r="K5287" t="s">
        <v>154</v>
      </c>
      <c r="L5287" t="s">
        <v>155</v>
      </c>
      <c r="M5287" t="s">
        <v>131</v>
      </c>
      <c r="N5287">
        <v>23</v>
      </c>
      <c r="O5287" t="s">
        <v>40</v>
      </c>
      <c r="P5287" t="s">
        <v>40</v>
      </c>
      <c r="Q5287" t="s">
        <v>40</v>
      </c>
      <c r="R5287" t="s">
        <v>40</v>
      </c>
      <c r="S5287" t="s">
        <v>40</v>
      </c>
      <c r="U5287" s="1">
        <v>41900</v>
      </c>
      <c r="V5287" t="s">
        <v>41</v>
      </c>
      <c r="W5287" t="s">
        <v>75</v>
      </c>
      <c r="X5287" t="str">
        <f>"7051032"</f>
        <v>7051032</v>
      </c>
      <c r="Y5287" t="s">
        <v>400</v>
      </c>
      <c r="Z5287" t="s">
        <v>154</v>
      </c>
      <c r="AA5287" t="s">
        <v>155</v>
      </c>
      <c r="AB5287" t="s">
        <v>131</v>
      </c>
      <c r="AC5287" t="s">
        <v>51</v>
      </c>
      <c r="AD5287" t="s">
        <v>45</v>
      </c>
      <c r="AE5287" s="1">
        <v>1</v>
      </c>
      <c r="AF5287">
        <v>1</v>
      </c>
      <c r="AG5287" t="s">
        <v>155</v>
      </c>
      <c r="AH5287" s="36">
        <f t="shared" si="82"/>
        <v>120.71111111111111</v>
      </c>
      <c r="AI5287" s="17" t="s">
        <v>1773</v>
      </c>
    </row>
    <row r="5288" spans="1:35" x14ac:dyDescent="0.25">
      <c r="A5288" s="36">
        <v>99915286</v>
      </c>
      <c r="B5288" s="17" t="s">
        <v>56</v>
      </c>
      <c r="C5288" t="s">
        <v>111</v>
      </c>
      <c r="D5288" t="s">
        <v>112</v>
      </c>
      <c r="G5288" s="17" t="s">
        <v>35</v>
      </c>
      <c r="H5288" s="17">
        <v>1</v>
      </c>
      <c r="I5288">
        <v>945</v>
      </c>
      <c r="J5288" s="1">
        <v>43344</v>
      </c>
      <c r="K5288" t="s">
        <v>1198</v>
      </c>
      <c r="L5288" t="s">
        <v>1199</v>
      </c>
      <c r="M5288" t="s">
        <v>1130</v>
      </c>
      <c r="N5288">
        <v>24</v>
      </c>
      <c r="O5288" t="s">
        <v>40</v>
      </c>
      <c r="P5288" t="s">
        <v>40</v>
      </c>
      <c r="Q5288" t="s">
        <v>40</v>
      </c>
      <c r="R5288" t="s">
        <v>40</v>
      </c>
      <c r="S5288" t="s">
        <v>40</v>
      </c>
      <c r="U5288" s="1">
        <v>43344</v>
      </c>
      <c r="V5288" t="s">
        <v>41</v>
      </c>
      <c r="W5288" t="s">
        <v>75</v>
      </c>
      <c r="X5288" t="str">
        <f>"7311002"</f>
        <v>7311002</v>
      </c>
      <c r="Y5288" t="s">
        <v>1203</v>
      </c>
      <c r="Z5288" t="s">
        <v>1198</v>
      </c>
      <c r="AA5288" t="s">
        <v>1199</v>
      </c>
      <c r="AB5288" t="s">
        <v>1130</v>
      </c>
      <c r="AC5288" t="s">
        <v>51</v>
      </c>
      <c r="AD5288" t="s">
        <v>45</v>
      </c>
      <c r="AE5288" s="1">
        <v>1</v>
      </c>
      <c r="AF5288">
        <v>1</v>
      </c>
      <c r="AG5288" t="s">
        <v>1199</v>
      </c>
      <c r="AH5288" s="36">
        <f t="shared" si="82"/>
        <v>120.71111111111111</v>
      </c>
      <c r="AI5288" s="17" t="s">
        <v>1773</v>
      </c>
    </row>
    <row r="5289" spans="1:35" x14ac:dyDescent="0.25">
      <c r="A5289" s="36">
        <v>99915287</v>
      </c>
      <c r="B5289" s="17" t="s">
        <v>32</v>
      </c>
      <c r="C5289" t="s">
        <v>46</v>
      </c>
      <c r="D5289" t="s">
        <v>47</v>
      </c>
      <c r="G5289" s="17" t="s">
        <v>48</v>
      </c>
      <c r="H5289" s="17">
        <v>1</v>
      </c>
      <c r="K5289" t="s">
        <v>129</v>
      </c>
      <c r="L5289" t="s">
        <v>130</v>
      </c>
      <c r="M5289" t="s">
        <v>131</v>
      </c>
      <c r="N5289">
        <v>18</v>
      </c>
      <c r="O5289" t="s">
        <v>40</v>
      </c>
      <c r="P5289" t="s">
        <v>40</v>
      </c>
      <c r="Q5289" t="s">
        <v>40</v>
      </c>
      <c r="S5289" t="s">
        <v>40</v>
      </c>
      <c r="V5289" t="s">
        <v>41</v>
      </c>
      <c r="W5289" t="s">
        <v>49</v>
      </c>
      <c r="X5289" t="str">
        <f t="shared" ref="X5289:X5295" si="83">"0591905"</f>
        <v>0591905</v>
      </c>
      <c r="Y5289" t="s">
        <v>135</v>
      </c>
      <c r="Z5289" t="s">
        <v>129</v>
      </c>
      <c r="AA5289" t="s">
        <v>130</v>
      </c>
      <c r="AB5289" t="s">
        <v>131</v>
      </c>
      <c r="AC5289" t="s">
        <v>51</v>
      </c>
      <c r="AD5289" t="s">
        <v>45</v>
      </c>
      <c r="AF5289">
        <v>2</v>
      </c>
      <c r="AG5289" t="s">
        <v>130</v>
      </c>
      <c r="AH5289" s="36">
        <f t="shared" si="82"/>
        <v>120.71388888888889</v>
      </c>
      <c r="AI5289" s="17" t="s">
        <v>1773</v>
      </c>
    </row>
    <row r="5290" spans="1:35" x14ac:dyDescent="0.25">
      <c r="A5290" s="36">
        <v>99915288</v>
      </c>
      <c r="B5290" s="17" t="s">
        <v>56</v>
      </c>
      <c r="C5290" t="s">
        <v>68</v>
      </c>
      <c r="D5290" t="s">
        <v>69</v>
      </c>
      <c r="G5290" s="17" t="s">
        <v>48</v>
      </c>
      <c r="H5290" s="17">
        <v>1</v>
      </c>
      <c r="K5290" t="s">
        <v>129</v>
      </c>
      <c r="L5290" t="s">
        <v>130</v>
      </c>
      <c r="M5290" t="s">
        <v>131</v>
      </c>
      <c r="N5290">
        <v>21</v>
      </c>
      <c r="O5290" t="s">
        <v>40</v>
      </c>
      <c r="P5290" t="s">
        <v>40</v>
      </c>
      <c r="Q5290" t="s">
        <v>40</v>
      </c>
      <c r="S5290" t="s">
        <v>40</v>
      </c>
      <c r="V5290" t="s">
        <v>41</v>
      </c>
      <c r="W5290" t="s">
        <v>49</v>
      </c>
      <c r="X5290" t="str">
        <f t="shared" si="83"/>
        <v>0591905</v>
      </c>
      <c r="Y5290" t="s">
        <v>135</v>
      </c>
      <c r="Z5290" t="s">
        <v>129</v>
      </c>
      <c r="AA5290" t="s">
        <v>130</v>
      </c>
      <c r="AB5290" t="s">
        <v>131</v>
      </c>
      <c r="AC5290" t="s">
        <v>51</v>
      </c>
      <c r="AD5290" t="s">
        <v>45</v>
      </c>
      <c r="AF5290">
        <v>2</v>
      </c>
      <c r="AG5290" t="s">
        <v>130</v>
      </c>
      <c r="AH5290" s="36">
        <f t="shared" si="82"/>
        <v>120.71388888888889</v>
      </c>
      <c r="AI5290" s="17" t="s">
        <v>1773</v>
      </c>
    </row>
    <row r="5291" spans="1:35" x14ac:dyDescent="0.25">
      <c r="A5291" s="36">
        <v>99915289</v>
      </c>
      <c r="B5291" s="17" t="s">
        <v>56</v>
      </c>
      <c r="C5291" t="s">
        <v>52</v>
      </c>
      <c r="D5291" t="s">
        <v>53</v>
      </c>
      <c r="G5291" s="17" t="s">
        <v>35</v>
      </c>
      <c r="H5291" s="17">
        <v>1</v>
      </c>
      <c r="I5291" t="s">
        <v>148</v>
      </c>
      <c r="J5291" s="1">
        <v>43344</v>
      </c>
      <c r="K5291" t="s">
        <v>129</v>
      </c>
      <c r="L5291" t="s">
        <v>130</v>
      </c>
      <c r="M5291" t="s">
        <v>131</v>
      </c>
      <c r="N5291">
        <v>18</v>
      </c>
      <c r="O5291" t="s">
        <v>40</v>
      </c>
      <c r="S5291" t="s">
        <v>40</v>
      </c>
      <c r="U5291" s="1">
        <v>43344</v>
      </c>
      <c r="V5291" t="s">
        <v>41</v>
      </c>
      <c r="W5291" t="s">
        <v>49</v>
      </c>
      <c r="X5291" t="str">
        <f t="shared" si="83"/>
        <v>0591905</v>
      </c>
      <c r="Y5291" t="s">
        <v>135</v>
      </c>
      <c r="Z5291" t="s">
        <v>129</v>
      </c>
      <c r="AA5291" t="s">
        <v>130</v>
      </c>
      <c r="AB5291" t="s">
        <v>131</v>
      </c>
      <c r="AC5291" t="s">
        <v>51</v>
      </c>
      <c r="AD5291" t="s">
        <v>45</v>
      </c>
      <c r="AF5291">
        <v>2</v>
      </c>
      <c r="AG5291" t="s">
        <v>130</v>
      </c>
      <c r="AH5291" s="36">
        <f t="shared" si="82"/>
        <v>120.71388888888889</v>
      </c>
      <c r="AI5291" s="17" t="s">
        <v>1773</v>
      </c>
    </row>
    <row r="5292" spans="1:35" x14ac:dyDescent="0.25">
      <c r="A5292" s="36">
        <v>99915290</v>
      </c>
      <c r="B5292" s="17" t="s">
        <v>56</v>
      </c>
      <c r="C5292" t="s">
        <v>149</v>
      </c>
      <c r="D5292" t="s">
        <v>150</v>
      </c>
      <c r="G5292" s="17" t="s">
        <v>48</v>
      </c>
      <c r="H5292" s="17">
        <v>1</v>
      </c>
      <c r="K5292" t="s">
        <v>129</v>
      </c>
      <c r="L5292" t="s">
        <v>130</v>
      </c>
      <c r="M5292" t="s">
        <v>131</v>
      </c>
      <c r="N5292">
        <v>20</v>
      </c>
      <c r="O5292" t="s">
        <v>40</v>
      </c>
      <c r="P5292" t="s">
        <v>40</v>
      </c>
      <c r="Q5292" t="s">
        <v>40</v>
      </c>
      <c r="S5292" t="s">
        <v>40</v>
      </c>
      <c r="V5292" t="s">
        <v>41</v>
      </c>
      <c r="W5292" t="s">
        <v>49</v>
      </c>
      <c r="X5292" t="str">
        <f t="shared" si="83"/>
        <v>0591905</v>
      </c>
      <c r="Y5292" t="s">
        <v>135</v>
      </c>
      <c r="Z5292" t="s">
        <v>129</v>
      </c>
      <c r="AA5292" t="s">
        <v>130</v>
      </c>
      <c r="AB5292" t="s">
        <v>131</v>
      </c>
      <c r="AC5292" t="s">
        <v>51</v>
      </c>
      <c r="AD5292" t="s">
        <v>45</v>
      </c>
      <c r="AF5292">
        <v>2</v>
      </c>
      <c r="AG5292" t="s">
        <v>130</v>
      </c>
      <c r="AH5292" s="36">
        <f t="shared" si="82"/>
        <v>120.71388888888889</v>
      </c>
      <c r="AI5292" s="17" t="s">
        <v>1773</v>
      </c>
    </row>
    <row r="5293" spans="1:35" x14ac:dyDescent="0.25">
      <c r="A5293" s="36">
        <v>99915291</v>
      </c>
      <c r="B5293" s="17" t="s">
        <v>32</v>
      </c>
      <c r="C5293" t="s">
        <v>46</v>
      </c>
      <c r="D5293" t="s">
        <v>47</v>
      </c>
      <c r="G5293" s="17" t="s">
        <v>48</v>
      </c>
      <c r="H5293" s="17">
        <v>1</v>
      </c>
      <c r="K5293" t="s">
        <v>129</v>
      </c>
      <c r="L5293" t="s">
        <v>130</v>
      </c>
      <c r="M5293" t="s">
        <v>131</v>
      </c>
      <c r="N5293">
        <v>21</v>
      </c>
      <c r="O5293" t="s">
        <v>40</v>
      </c>
      <c r="P5293" t="s">
        <v>40</v>
      </c>
      <c r="Q5293" t="s">
        <v>40</v>
      </c>
      <c r="S5293" t="s">
        <v>40</v>
      </c>
      <c r="V5293" t="s">
        <v>41</v>
      </c>
      <c r="W5293" t="s">
        <v>49</v>
      </c>
      <c r="X5293" t="str">
        <f t="shared" si="83"/>
        <v>0591905</v>
      </c>
      <c r="Y5293" t="s">
        <v>135</v>
      </c>
      <c r="Z5293" t="s">
        <v>129</v>
      </c>
      <c r="AA5293" t="s">
        <v>130</v>
      </c>
      <c r="AB5293" t="s">
        <v>131</v>
      </c>
      <c r="AC5293" t="s">
        <v>51</v>
      </c>
      <c r="AD5293" t="s">
        <v>45</v>
      </c>
      <c r="AF5293">
        <v>2</v>
      </c>
      <c r="AG5293" t="s">
        <v>130</v>
      </c>
      <c r="AH5293" s="36">
        <f t="shared" si="82"/>
        <v>120.71388888888889</v>
      </c>
      <c r="AI5293" s="17" t="s">
        <v>1773</v>
      </c>
    </row>
    <row r="5294" spans="1:35" x14ac:dyDescent="0.25">
      <c r="A5294" s="36">
        <v>99915292</v>
      </c>
      <c r="B5294" s="17" t="s">
        <v>56</v>
      </c>
      <c r="C5294" t="s">
        <v>46</v>
      </c>
      <c r="D5294" t="s">
        <v>47</v>
      </c>
      <c r="G5294" s="17" t="s">
        <v>35</v>
      </c>
      <c r="H5294" s="17">
        <v>1</v>
      </c>
      <c r="I5294">
        <v>22274</v>
      </c>
      <c r="J5294" s="1">
        <v>43397</v>
      </c>
      <c r="K5294" t="s">
        <v>129</v>
      </c>
      <c r="L5294" t="s">
        <v>130</v>
      </c>
      <c r="M5294" t="s">
        <v>131</v>
      </c>
      <c r="N5294">
        <v>18</v>
      </c>
      <c r="O5294" t="s">
        <v>40</v>
      </c>
      <c r="P5294" t="s">
        <v>40</v>
      </c>
      <c r="Q5294" t="s">
        <v>40</v>
      </c>
      <c r="S5294" t="s">
        <v>40</v>
      </c>
      <c r="U5294" s="1">
        <v>43397</v>
      </c>
      <c r="V5294" t="s">
        <v>41</v>
      </c>
      <c r="W5294" t="s">
        <v>49</v>
      </c>
      <c r="X5294" t="str">
        <f t="shared" si="83"/>
        <v>0591905</v>
      </c>
      <c r="Y5294" t="s">
        <v>135</v>
      </c>
      <c r="Z5294" t="s">
        <v>129</v>
      </c>
      <c r="AA5294" t="s">
        <v>130</v>
      </c>
      <c r="AB5294" t="s">
        <v>131</v>
      </c>
      <c r="AC5294" t="s">
        <v>51</v>
      </c>
      <c r="AD5294" t="s">
        <v>45</v>
      </c>
      <c r="AF5294">
        <v>2</v>
      </c>
      <c r="AG5294" t="s">
        <v>130</v>
      </c>
      <c r="AH5294" s="36">
        <f t="shared" si="82"/>
        <v>120.71388888888889</v>
      </c>
      <c r="AI5294" s="17" t="s">
        <v>1773</v>
      </c>
    </row>
    <row r="5295" spans="1:35" x14ac:dyDescent="0.25">
      <c r="A5295" s="36">
        <v>99915293</v>
      </c>
      <c r="B5295" s="17" t="s">
        <v>32</v>
      </c>
      <c r="C5295" t="s">
        <v>139</v>
      </c>
      <c r="D5295" t="s">
        <v>140</v>
      </c>
      <c r="G5295" s="17" t="s">
        <v>48</v>
      </c>
      <c r="H5295" s="17">
        <v>1</v>
      </c>
      <c r="K5295" t="s">
        <v>129</v>
      </c>
      <c r="L5295" t="s">
        <v>130</v>
      </c>
      <c r="M5295" t="s">
        <v>131</v>
      </c>
      <c r="N5295">
        <v>18</v>
      </c>
      <c r="O5295" t="s">
        <v>40</v>
      </c>
      <c r="P5295" t="s">
        <v>40</v>
      </c>
      <c r="Q5295" t="s">
        <v>40</v>
      </c>
      <c r="S5295" t="s">
        <v>40</v>
      </c>
      <c r="V5295" t="s">
        <v>41</v>
      </c>
      <c r="W5295" t="s">
        <v>49</v>
      </c>
      <c r="X5295" t="str">
        <f t="shared" si="83"/>
        <v>0591905</v>
      </c>
      <c r="Y5295" t="s">
        <v>135</v>
      </c>
      <c r="Z5295" t="s">
        <v>129</v>
      </c>
      <c r="AA5295" t="s">
        <v>130</v>
      </c>
      <c r="AB5295" t="s">
        <v>131</v>
      </c>
      <c r="AC5295" t="s">
        <v>51</v>
      </c>
      <c r="AD5295" t="s">
        <v>45</v>
      </c>
      <c r="AF5295">
        <v>2</v>
      </c>
      <c r="AG5295" t="s">
        <v>130</v>
      </c>
      <c r="AH5295" s="36">
        <f t="shared" si="82"/>
        <v>120.71388888888889</v>
      </c>
      <c r="AI5295" s="17" t="s">
        <v>1773</v>
      </c>
    </row>
    <row r="5296" spans="1:35" x14ac:dyDescent="0.25">
      <c r="A5296" s="36">
        <v>99915294</v>
      </c>
      <c r="B5296" s="17" t="s">
        <v>32</v>
      </c>
      <c r="C5296" t="s">
        <v>141</v>
      </c>
      <c r="D5296" t="s">
        <v>142</v>
      </c>
      <c r="G5296" s="17" t="s">
        <v>35</v>
      </c>
      <c r="H5296" s="17">
        <v>1</v>
      </c>
      <c r="I5296" s="1">
        <v>43382</v>
      </c>
      <c r="J5296" s="1">
        <v>43382</v>
      </c>
      <c r="K5296" t="s">
        <v>129</v>
      </c>
      <c r="L5296" t="s">
        <v>130</v>
      </c>
      <c r="M5296" t="s">
        <v>131</v>
      </c>
      <c r="N5296">
        <v>8</v>
      </c>
      <c r="O5296" t="s">
        <v>40</v>
      </c>
      <c r="S5296" t="s">
        <v>40</v>
      </c>
      <c r="U5296" s="1">
        <v>43382</v>
      </c>
      <c r="V5296" t="s">
        <v>41</v>
      </c>
      <c r="W5296" t="s">
        <v>49</v>
      </c>
      <c r="X5296" t="str">
        <f>"0580150"</f>
        <v>0580150</v>
      </c>
      <c r="Y5296" t="s">
        <v>134</v>
      </c>
      <c r="Z5296" t="s">
        <v>129</v>
      </c>
      <c r="AA5296" t="s">
        <v>130</v>
      </c>
      <c r="AB5296" t="s">
        <v>131</v>
      </c>
      <c r="AC5296" t="s">
        <v>44</v>
      </c>
      <c r="AD5296" t="s">
        <v>45</v>
      </c>
      <c r="AF5296">
        <v>2</v>
      </c>
      <c r="AG5296" t="s">
        <v>130</v>
      </c>
      <c r="AH5296" s="36">
        <f t="shared" si="82"/>
        <v>120.71388888888889</v>
      </c>
      <c r="AI5296" s="17" t="s">
        <v>1773</v>
      </c>
    </row>
    <row r="5297" spans="1:35" x14ac:dyDescent="0.25">
      <c r="A5297" s="36">
        <v>99915295</v>
      </c>
      <c r="B5297" s="17" t="s">
        <v>56</v>
      </c>
      <c r="C5297" t="s">
        <v>85</v>
      </c>
      <c r="D5297" t="s">
        <v>86</v>
      </c>
      <c r="G5297" s="17" t="s">
        <v>48</v>
      </c>
      <c r="H5297" s="17">
        <v>1</v>
      </c>
      <c r="K5297" t="s">
        <v>129</v>
      </c>
      <c r="L5297" t="s">
        <v>130</v>
      </c>
      <c r="M5297" t="s">
        <v>131</v>
      </c>
      <c r="N5297">
        <v>18</v>
      </c>
      <c r="O5297" t="s">
        <v>40</v>
      </c>
      <c r="P5297" t="s">
        <v>40</v>
      </c>
      <c r="Q5297" t="s">
        <v>40</v>
      </c>
      <c r="S5297" t="s">
        <v>40</v>
      </c>
      <c r="V5297" t="s">
        <v>41</v>
      </c>
      <c r="W5297" t="s">
        <v>49</v>
      </c>
      <c r="X5297" t="str">
        <f>"0591905"</f>
        <v>0591905</v>
      </c>
      <c r="Y5297" t="s">
        <v>135</v>
      </c>
      <c r="Z5297" t="s">
        <v>129</v>
      </c>
      <c r="AA5297" t="s">
        <v>130</v>
      </c>
      <c r="AB5297" t="s">
        <v>131</v>
      </c>
      <c r="AC5297" t="s">
        <v>51</v>
      </c>
      <c r="AD5297" t="s">
        <v>45</v>
      </c>
      <c r="AF5297">
        <v>2</v>
      </c>
      <c r="AG5297" t="s">
        <v>130</v>
      </c>
      <c r="AH5297" s="36">
        <f t="shared" si="82"/>
        <v>120.71388888888889</v>
      </c>
      <c r="AI5297" s="17" t="s">
        <v>1773</v>
      </c>
    </row>
    <row r="5298" spans="1:35" x14ac:dyDescent="0.25">
      <c r="A5298" s="36">
        <v>99915296</v>
      </c>
      <c r="B5298" s="17" t="s">
        <v>32</v>
      </c>
      <c r="C5298" t="s">
        <v>52</v>
      </c>
      <c r="D5298" t="s">
        <v>53</v>
      </c>
      <c r="G5298" s="17" t="s">
        <v>35</v>
      </c>
      <c r="H5298" s="17">
        <v>1</v>
      </c>
      <c r="I5298">
        <v>19614</v>
      </c>
      <c r="J5298" s="1">
        <v>43412</v>
      </c>
      <c r="K5298" t="s">
        <v>157</v>
      </c>
      <c r="L5298" t="s">
        <v>158</v>
      </c>
      <c r="M5298" t="s">
        <v>131</v>
      </c>
      <c r="N5298">
        <v>23</v>
      </c>
      <c r="O5298" t="s">
        <v>40</v>
      </c>
      <c r="S5298" t="s">
        <v>40</v>
      </c>
      <c r="U5298" s="1">
        <v>43412</v>
      </c>
      <c r="V5298" t="s">
        <v>41</v>
      </c>
      <c r="W5298" t="s">
        <v>49</v>
      </c>
      <c r="X5298" t="str">
        <f>"0560042"</f>
        <v>0560042</v>
      </c>
      <c r="Y5298" t="s">
        <v>159</v>
      </c>
      <c r="Z5298" t="s">
        <v>157</v>
      </c>
      <c r="AA5298" t="s">
        <v>158</v>
      </c>
      <c r="AB5298" t="s">
        <v>131</v>
      </c>
      <c r="AC5298" t="s">
        <v>51</v>
      </c>
      <c r="AD5298" t="s">
        <v>45</v>
      </c>
      <c r="AF5298">
        <v>2</v>
      </c>
      <c r="AG5298" t="s">
        <v>158</v>
      </c>
      <c r="AH5298" s="36">
        <f t="shared" si="82"/>
        <v>120.71388888888889</v>
      </c>
      <c r="AI5298" s="17" t="s">
        <v>1773</v>
      </c>
    </row>
    <row r="5299" spans="1:35" x14ac:dyDescent="0.25">
      <c r="A5299" s="36">
        <v>99915297</v>
      </c>
      <c r="B5299" s="17" t="s">
        <v>32</v>
      </c>
      <c r="C5299" t="s">
        <v>85</v>
      </c>
      <c r="D5299" t="s">
        <v>86</v>
      </c>
      <c r="G5299" s="17" t="s">
        <v>35</v>
      </c>
      <c r="H5299" s="17">
        <v>1</v>
      </c>
      <c r="K5299" t="s">
        <v>157</v>
      </c>
      <c r="L5299" t="s">
        <v>158</v>
      </c>
      <c r="M5299" t="s">
        <v>131</v>
      </c>
      <c r="N5299">
        <v>7</v>
      </c>
      <c r="O5299" t="s">
        <v>40</v>
      </c>
      <c r="P5299" t="s">
        <v>40</v>
      </c>
      <c r="Q5299" t="s">
        <v>40</v>
      </c>
      <c r="S5299" t="s">
        <v>40</v>
      </c>
      <c r="V5299" t="s">
        <v>41</v>
      </c>
      <c r="W5299" t="s">
        <v>42</v>
      </c>
      <c r="X5299" t="str">
        <f>"0580250"</f>
        <v>0580250</v>
      </c>
      <c r="Y5299" t="s">
        <v>160</v>
      </c>
      <c r="Z5299" t="s">
        <v>157</v>
      </c>
      <c r="AA5299" t="s">
        <v>158</v>
      </c>
      <c r="AB5299" t="s">
        <v>131</v>
      </c>
      <c r="AC5299" t="s">
        <v>51</v>
      </c>
      <c r="AD5299" t="s">
        <v>45</v>
      </c>
      <c r="AF5299">
        <v>2</v>
      </c>
      <c r="AG5299" t="s">
        <v>158</v>
      </c>
      <c r="AH5299" s="36">
        <f t="shared" si="82"/>
        <v>120.71388888888889</v>
      </c>
      <c r="AI5299" s="17" t="s">
        <v>1773</v>
      </c>
    </row>
    <row r="5300" spans="1:35" x14ac:dyDescent="0.25">
      <c r="A5300" s="36">
        <v>99915298</v>
      </c>
      <c r="B5300" s="17" t="s">
        <v>56</v>
      </c>
      <c r="C5300" t="s">
        <v>79</v>
      </c>
      <c r="D5300" t="s">
        <v>80</v>
      </c>
      <c r="G5300" s="17" t="s">
        <v>35</v>
      </c>
      <c r="H5300" s="17">
        <v>1</v>
      </c>
      <c r="K5300" t="s">
        <v>157</v>
      </c>
      <c r="L5300" t="s">
        <v>158</v>
      </c>
      <c r="M5300" t="s">
        <v>131</v>
      </c>
      <c r="N5300">
        <v>30</v>
      </c>
      <c r="O5300" t="s">
        <v>40</v>
      </c>
      <c r="P5300" t="s">
        <v>40</v>
      </c>
      <c r="Q5300" t="s">
        <v>40</v>
      </c>
      <c r="S5300" t="s">
        <v>40</v>
      </c>
      <c r="V5300" t="s">
        <v>41</v>
      </c>
      <c r="W5300" t="s">
        <v>49</v>
      </c>
      <c r="X5300" t="str">
        <f>"0581725"</f>
        <v>0581725</v>
      </c>
      <c r="Y5300" t="s">
        <v>161</v>
      </c>
      <c r="Z5300" t="s">
        <v>157</v>
      </c>
      <c r="AA5300" t="s">
        <v>158</v>
      </c>
      <c r="AB5300" t="s">
        <v>131</v>
      </c>
      <c r="AC5300" t="s">
        <v>51</v>
      </c>
      <c r="AD5300" t="s">
        <v>45</v>
      </c>
      <c r="AF5300">
        <v>2</v>
      </c>
      <c r="AG5300" t="s">
        <v>158</v>
      </c>
      <c r="AH5300" s="36">
        <f t="shared" si="82"/>
        <v>120.71388888888889</v>
      </c>
      <c r="AI5300" s="17" t="s">
        <v>1773</v>
      </c>
    </row>
    <row r="5301" spans="1:35" x14ac:dyDescent="0.25">
      <c r="A5301" s="36">
        <v>99915299</v>
      </c>
      <c r="B5301" s="17" t="s">
        <v>56</v>
      </c>
      <c r="C5301" t="s">
        <v>68</v>
      </c>
      <c r="D5301" t="s">
        <v>69</v>
      </c>
      <c r="G5301" s="17" t="s">
        <v>35</v>
      </c>
      <c r="H5301" s="17">
        <v>1</v>
      </c>
      <c r="I5301">
        <v>18994</v>
      </c>
      <c r="J5301" s="1">
        <v>43411</v>
      </c>
      <c r="K5301" t="s">
        <v>157</v>
      </c>
      <c r="L5301" t="s">
        <v>158</v>
      </c>
      <c r="M5301" t="s">
        <v>131</v>
      </c>
      <c r="N5301">
        <v>23</v>
      </c>
      <c r="O5301" t="s">
        <v>40</v>
      </c>
      <c r="S5301" t="s">
        <v>40</v>
      </c>
      <c r="U5301" s="1">
        <v>43411</v>
      </c>
      <c r="V5301" t="s">
        <v>41</v>
      </c>
      <c r="W5301" t="s">
        <v>49</v>
      </c>
      <c r="X5301" t="str">
        <f>"0560042"</f>
        <v>0560042</v>
      </c>
      <c r="Y5301" t="s">
        <v>159</v>
      </c>
      <c r="Z5301" t="s">
        <v>157</v>
      </c>
      <c r="AA5301" t="s">
        <v>158</v>
      </c>
      <c r="AB5301" t="s">
        <v>131</v>
      </c>
      <c r="AC5301" t="s">
        <v>44</v>
      </c>
      <c r="AD5301" t="s">
        <v>45</v>
      </c>
      <c r="AF5301">
        <v>2</v>
      </c>
      <c r="AG5301" t="s">
        <v>158</v>
      </c>
      <c r="AH5301" s="36">
        <f t="shared" si="82"/>
        <v>120.71388888888889</v>
      </c>
      <c r="AI5301" s="17" t="s">
        <v>1773</v>
      </c>
    </row>
    <row r="5302" spans="1:35" x14ac:dyDescent="0.25">
      <c r="A5302" s="36">
        <v>99915300</v>
      </c>
      <c r="B5302" s="17" t="s">
        <v>32</v>
      </c>
      <c r="C5302" t="s">
        <v>145</v>
      </c>
      <c r="D5302" t="s">
        <v>146</v>
      </c>
      <c r="G5302" s="17" t="s">
        <v>35</v>
      </c>
      <c r="H5302" s="17">
        <v>1</v>
      </c>
      <c r="K5302" t="s">
        <v>157</v>
      </c>
      <c r="L5302" t="s">
        <v>158</v>
      </c>
      <c r="M5302" t="s">
        <v>131</v>
      </c>
      <c r="N5302">
        <v>21</v>
      </c>
      <c r="O5302" t="s">
        <v>40</v>
      </c>
      <c r="P5302" t="s">
        <v>40</v>
      </c>
      <c r="Q5302" t="s">
        <v>40</v>
      </c>
      <c r="S5302" t="s">
        <v>40</v>
      </c>
      <c r="V5302" t="s">
        <v>41</v>
      </c>
      <c r="W5302" t="s">
        <v>49</v>
      </c>
      <c r="X5302" t="str">
        <f>"0580505"</f>
        <v>0580505</v>
      </c>
      <c r="Y5302" t="s">
        <v>168</v>
      </c>
      <c r="Z5302" t="s">
        <v>157</v>
      </c>
      <c r="AA5302" t="s">
        <v>158</v>
      </c>
      <c r="AB5302" t="s">
        <v>131</v>
      </c>
      <c r="AC5302" t="s">
        <v>51</v>
      </c>
      <c r="AD5302" t="s">
        <v>45</v>
      </c>
      <c r="AF5302">
        <v>2</v>
      </c>
      <c r="AG5302" t="s">
        <v>158</v>
      </c>
      <c r="AH5302" s="36">
        <f t="shared" si="82"/>
        <v>120.71388888888889</v>
      </c>
      <c r="AI5302" s="17" t="s">
        <v>1773</v>
      </c>
    </row>
    <row r="5303" spans="1:35" x14ac:dyDescent="0.25">
      <c r="A5303" s="36">
        <v>99915301</v>
      </c>
      <c r="B5303" s="17" t="s">
        <v>32</v>
      </c>
      <c r="C5303" t="s">
        <v>46</v>
      </c>
      <c r="D5303" t="s">
        <v>47</v>
      </c>
      <c r="G5303" s="17" t="s">
        <v>35</v>
      </c>
      <c r="H5303" s="17">
        <v>1</v>
      </c>
      <c r="K5303" t="s">
        <v>157</v>
      </c>
      <c r="L5303" t="s">
        <v>158</v>
      </c>
      <c r="M5303" t="s">
        <v>131</v>
      </c>
      <c r="N5303">
        <v>20</v>
      </c>
      <c r="O5303" t="s">
        <v>40</v>
      </c>
      <c r="P5303" t="s">
        <v>40</v>
      </c>
      <c r="Q5303" t="s">
        <v>40</v>
      </c>
      <c r="S5303" t="s">
        <v>40</v>
      </c>
      <c r="V5303" t="s">
        <v>41</v>
      </c>
      <c r="W5303" t="s">
        <v>49</v>
      </c>
      <c r="X5303" t="str">
        <f>"0580505"</f>
        <v>0580505</v>
      </c>
      <c r="Y5303" t="s">
        <v>168</v>
      </c>
      <c r="Z5303" t="s">
        <v>157</v>
      </c>
      <c r="AA5303" t="s">
        <v>158</v>
      </c>
      <c r="AB5303" t="s">
        <v>131</v>
      </c>
      <c r="AC5303" t="s">
        <v>51</v>
      </c>
      <c r="AD5303" t="s">
        <v>45</v>
      </c>
      <c r="AF5303">
        <v>2</v>
      </c>
      <c r="AG5303" t="s">
        <v>158</v>
      </c>
      <c r="AH5303" s="36">
        <f t="shared" si="82"/>
        <v>120.71388888888889</v>
      </c>
      <c r="AI5303" s="17" t="s">
        <v>1773</v>
      </c>
    </row>
    <row r="5304" spans="1:35" x14ac:dyDescent="0.25">
      <c r="A5304" s="36">
        <v>99915302</v>
      </c>
      <c r="B5304" s="17" t="s">
        <v>56</v>
      </c>
      <c r="C5304" t="s">
        <v>68</v>
      </c>
      <c r="D5304" t="s">
        <v>69</v>
      </c>
      <c r="G5304" s="17" t="s">
        <v>35</v>
      </c>
      <c r="H5304" s="17">
        <v>1</v>
      </c>
      <c r="K5304" t="s">
        <v>157</v>
      </c>
      <c r="L5304" t="s">
        <v>158</v>
      </c>
      <c r="M5304" t="s">
        <v>131</v>
      </c>
      <c r="N5304">
        <v>18</v>
      </c>
      <c r="O5304" t="s">
        <v>40</v>
      </c>
      <c r="P5304" t="s">
        <v>40</v>
      </c>
      <c r="Q5304" t="s">
        <v>40</v>
      </c>
      <c r="S5304" t="s">
        <v>40</v>
      </c>
      <c r="V5304" t="s">
        <v>41</v>
      </c>
      <c r="W5304" t="s">
        <v>42</v>
      </c>
      <c r="X5304" t="str">
        <f>"0561005"</f>
        <v>0561005</v>
      </c>
      <c r="Y5304" t="s">
        <v>174</v>
      </c>
      <c r="Z5304" t="s">
        <v>157</v>
      </c>
      <c r="AA5304" t="s">
        <v>158</v>
      </c>
      <c r="AB5304" t="s">
        <v>131</v>
      </c>
      <c r="AC5304" t="s">
        <v>51</v>
      </c>
      <c r="AD5304" t="s">
        <v>45</v>
      </c>
      <c r="AF5304">
        <v>2</v>
      </c>
      <c r="AG5304" t="s">
        <v>158</v>
      </c>
      <c r="AH5304" s="36">
        <f t="shared" si="82"/>
        <v>120.71388888888889</v>
      </c>
      <c r="AI5304" s="17" t="s">
        <v>1773</v>
      </c>
    </row>
    <row r="5305" spans="1:35" x14ac:dyDescent="0.25">
      <c r="A5305" s="36">
        <v>99915303</v>
      </c>
      <c r="B5305" s="17" t="s">
        <v>32</v>
      </c>
      <c r="C5305" t="s">
        <v>46</v>
      </c>
      <c r="D5305" t="s">
        <v>47</v>
      </c>
      <c r="G5305" s="17" t="s">
        <v>35</v>
      </c>
      <c r="H5305" s="17">
        <v>1</v>
      </c>
      <c r="K5305" t="s">
        <v>157</v>
      </c>
      <c r="L5305" t="s">
        <v>158</v>
      </c>
      <c r="M5305" t="s">
        <v>131</v>
      </c>
      <c r="N5305">
        <v>19</v>
      </c>
      <c r="O5305" t="s">
        <v>40</v>
      </c>
      <c r="P5305" t="s">
        <v>40</v>
      </c>
      <c r="Q5305" t="s">
        <v>40</v>
      </c>
      <c r="S5305" t="s">
        <v>40</v>
      </c>
      <c r="V5305" t="s">
        <v>41</v>
      </c>
      <c r="W5305" t="s">
        <v>49</v>
      </c>
      <c r="X5305" t="str">
        <f>"0580505"</f>
        <v>0580505</v>
      </c>
      <c r="Y5305" t="s">
        <v>168</v>
      </c>
      <c r="Z5305" t="s">
        <v>157</v>
      </c>
      <c r="AA5305" t="s">
        <v>158</v>
      </c>
      <c r="AB5305" t="s">
        <v>131</v>
      </c>
      <c r="AC5305" t="s">
        <v>51</v>
      </c>
      <c r="AD5305" t="s">
        <v>45</v>
      </c>
      <c r="AF5305">
        <v>2</v>
      </c>
      <c r="AG5305" t="s">
        <v>158</v>
      </c>
      <c r="AH5305" s="36">
        <f t="shared" si="82"/>
        <v>120.71388888888889</v>
      </c>
      <c r="AI5305" s="17" t="s">
        <v>1773</v>
      </c>
    </row>
    <row r="5306" spans="1:35" x14ac:dyDescent="0.25">
      <c r="A5306" s="36">
        <v>99915304</v>
      </c>
      <c r="B5306" s="17" t="s">
        <v>32</v>
      </c>
      <c r="C5306" t="s">
        <v>52</v>
      </c>
      <c r="D5306" t="s">
        <v>53</v>
      </c>
      <c r="G5306" s="17" t="s">
        <v>35</v>
      </c>
      <c r="H5306" s="17">
        <v>1</v>
      </c>
      <c r="I5306">
        <v>19616</v>
      </c>
      <c r="J5306" s="1">
        <v>43412</v>
      </c>
      <c r="K5306" t="s">
        <v>157</v>
      </c>
      <c r="L5306" t="s">
        <v>158</v>
      </c>
      <c r="M5306" t="s">
        <v>131</v>
      </c>
      <c r="N5306">
        <v>21</v>
      </c>
      <c r="O5306" t="s">
        <v>40</v>
      </c>
      <c r="S5306" t="s">
        <v>40</v>
      </c>
      <c r="U5306" s="1">
        <v>43412</v>
      </c>
      <c r="V5306" t="s">
        <v>41</v>
      </c>
      <c r="W5306" t="s">
        <v>42</v>
      </c>
      <c r="X5306" t="str">
        <f>"0561031"</f>
        <v>0561031</v>
      </c>
      <c r="Y5306" t="s">
        <v>177</v>
      </c>
      <c r="Z5306" t="s">
        <v>157</v>
      </c>
      <c r="AA5306" t="s">
        <v>158</v>
      </c>
      <c r="AB5306" t="s">
        <v>131</v>
      </c>
      <c r="AC5306" t="s">
        <v>51</v>
      </c>
      <c r="AD5306" t="s">
        <v>45</v>
      </c>
      <c r="AF5306">
        <v>2</v>
      </c>
      <c r="AG5306" t="s">
        <v>158</v>
      </c>
      <c r="AH5306" s="36">
        <f t="shared" si="82"/>
        <v>120.71388888888889</v>
      </c>
      <c r="AI5306" s="17" t="s">
        <v>1773</v>
      </c>
    </row>
    <row r="5307" spans="1:35" x14ac:dyDescent="0.25">
      <c r="A5307" s="36">
        <v>99915305</v>
      </c>
      <c r="B5307" s="17" t="s">
        <v>32</v>
      </c>
      <c r="C5307" t="s">
        <v>64</v>
      </c>
      <c r="D5307" t="s">
        <v>65</v>
      </c>
      <c r="G5307" s="17" t="s">
        <v>35</v>
      </c>
      <c r="H5307" s="17">
        <v>1</v>
      </c>
      <c r="K5307" t="s">
        <v>157</v>
      </c>
      <c r="L5307" t="s">
        <v>158</v>
      </c>
      <c r="M5307" t="s">
        <v>131</v>
      </c>
      <c r="N5307">
        <v>17</v>
      </c>
      <c r="O5307" t="s">
        <v>40</v>
      </c>
      <c r="P5307" t="s">
        <v>40</v>
      </c>
      <c r="Q5307" t="s">
        <v>40</v>
      </c>
      <c r="S5307" t="s">
        <v>40</v>
      </c>
      <c r="V5307" t="s">
        <v>41</v>
      </c>
      <c r="W5307" t="s">
        <v>42</v>
      </c>
      <c r="X5307" t="str">
        <f>"0561005"</f>
        <v>0561005</v>
      </c>
      <c r="Y5307" t="s">
        <v>174</v>
      </c>
      <c r="Z5307" t="s">
        <v>157</v>
      </c>
      <c r="AA5307" t="s">
        <v>158</v>
      </c>
      <c r="AB5307" t="s">
        <v>131</v>
      </c>
      <c r="AC5307" t="s">
        <v>51</v>
      </c>
      <c r="AD5307" t="s">
        <v>45</v>
      </c>
      <c r="AF5307">
        <v>2</v>
      </c>
      <c r="AG5307" t="s">
        <v>158</v>
      </c>
      <c r="AH5307" s="36">
        <f t="shared" si="82"/>
        <v>120.71388888888889</v>
      </c>
      <c r="AI5307" s="17" t="s">
        <v>1773</v>
      </c>
    </row>
    <row r="5308" spans="1:35" x14ac:dyDescent="0.25">
      <c r="A5308" s="36">
        <v>99915306</v>
      </c>
      <c r="B5308" s="17" t="s">
        <v>32</v>
      </c>
      <c r="C5308" t="s">
        <v>139</v>
      </c>
      <c r="D5308" t="s">
        <v>140</v>
      </c>
      <c r="G5308" s="17" t="s">
        <v>35</v>
      </c>
      <c r="H5308" s="17">
        <v>1</v>
      </c>
      <c r="K5308" t="s">
        <v>157</v>
      </c>
      <c r="L5308" t="s">
        <v>158</v>
      </c>
      <c r="M5308" t="s">
        <v>131</v>
      </c>
      <c r="N5308">
        <v>10</v>
      </c>
      <c r="O5308" t="s">
        <v>40</v>
      </c>
      <c r="P5308" t="s">
        <v>40</v>
      </c>
      <c r="Q5308" t="s">
        <v>40</v>
      </c>
      <c r="S5308" t="s">
        <v>40</v>
      </c>
      <c r="V5308" t="s">
        <v>41</v>
      </c>
      <c r="W5308" t="s">
        <v>49</v>
      </c>
      <c r="X5308" t="str">
        <f>"0580505"</f>
        <v>0580505</v>
      </c>
      <c r="Y5308" t="s">
        <v>168</v>
      </c>
      <c r="Z5308" t="s">
        <v>157</v>
      </c>
      <c r="AA5308" t="s">
        <v>158</v>
      </c>
      <c r="AB5308" t="s">
        <v>131</v>
      </c>
      <c r="AC5308" t="s">
        <v>51</v>
      </c>
      <c r="AD5308" t="s">
        <v>45</v>
      </c>
      <c r="AF5308">
        <v>2</v>
      </c>
      <c r="AG5308" t="s">
        <v>158</v>
      </c>
      <c r="AH5308" s="36">
        <f t="shared" si="82"/>
        <v>120.71388888888889</v>
      </c>
      <c r="AI5308" s="17" t="s">
        <v>1773</v>
      </c>
    </row>
    <row r="5309" spans="1:35" x14ac:dyDescent="0.25">
      <c r="A5309" s="36">
        <v>99915307</v>
      </c>
      <c r="B5309" s="17" t="s">
        <v>32</v>
      </c>
      <c r="C5309" t="s">
        <v>46</v>
      </c>
      <c r="D5309" t="s">
        <v>47</v>
      </c>
      <c r="G5309" s="17" t="s">
        <v>48</v>
      </c>
      <c r="H5309" s="17">
        <v>1</v>
      </c>
      <c r="K5309" t="s">
        <v>162</v>
      </c>
      <c r="L5309" t="s">
        <v>158</v>
      </c>
      <c r="M5309" t="s">
        <v>131</v>
      </c>
      <c r="N5309">
        <v>2</v>
      </c>
      <c r="O5309" t="s">
        <v>40</v>
      </c>
      <c r="P5309" t="s">
        <v>40</v>
      </c>
      <c r="Q5309" t="s">
        <v>40</v>
      </c>
      <c r="S5309" t="s">
        <v>40</v>
      </c>
      <c r="V5309" t="s">
        <v>41</v>
      </c>
      <c r="W5309" t="s">
        <v>49</v>
      </c>
      <c r="X5309" t="str">
        <f>"0581325"</f>
        <v>0581325</v>
      </c>
      <c r="Y5309" t="s">
        <v>169</v>
      </c>
      <c r="Z5309" t="s">
        <v>162</v>
      </c>
      <c r="AA5309" t="s">
        <v>158</v>
      </c>
      <c r="AB5309" t="s">
        <v>131</v>
      </c>
      <c r="AC5309" t="s">
        <v>51</v>
      </c>
      <c r="AD5309" t="s">
        <v>45</v>
      </c>
      <c r="AF5309">
        <v>2</v>
      </c>
      <c r="AG5309" t="s">
        <v>158</v>
      </c>
      <c r="AH5309" s="36">
        <f t="shared" si="82"/>
        <v>120.71388888888889</v>
      </c>
      <c r="AI5309" s="17" t="s">
        <v>1773</v>
      </c>
    </row>
    <row r="5310" spans="1:35" x14ac:dyDescent="0.25">
      <c r="A5310" s="36">
        <v>99915308</v>
      </c>
      <c r="B5310" s="17" t="s">
        <v>32</v>
      </c>
      <c r="C5310" t="s">
        <v>46</v>
      </c>
      <c r="D5310" t="s">
        <v>47</v>
      </c>
      <c r="G5310" s="17" t="s">
        <v>35</v>
      </c>
      <c r="H5310" s="17">
        <v>1</v>
      </c>
      <c r="K5310" t="s">
        <v>157</v>
      </c>
      <c r="L5310" t="s">
        <v>158</v>
      </c>
      <c r="M5310" t="s">
        <v>131</v>
      </c>
      <c r="N5310">
        <v>20</v>
      </c>
      <c r="O5310" t="s">
        <v>40</v>
      </c>
      <c r="P5310" t="s">
        <v>40</v>
      </c>
      <c r="Q5310" t="s">
        <v>40</v>
      </c>
      <c r="S5310" t="s">
        <v>40</v>
      </c>
      <c r="V5310" t="s">
        <v>41</v>
      </c>
      <c r="W5310" t="s">
        <v>49</v>
      </c>
      <c r="X5310" t="str">
        <f>"0580505"</f>
        <v>0580505</v>
      </c>
      <c r="Y5310" t="s">
        <v>168</v>
      </c>
      <c r="Z5310" t="s">
        <v>157</v>
      </c>
      <c r="AA5310" t="s">
        <v>158</v>
      </c>
      <c r="AB5310" t="s">
        <v>131</v>
      </c>
      <c r="AC5310" t="s">
        <v>51</v>
      </c>
      <c r="AD5310" t="s">
        <v>45</v>
      </c>
      <c r="AF5310">
        <v>2</v>
      </c>
      <c r="AG5310" t="s">
        <v>158</v>
      </c>
      <c r="AH5310" s="36">
        <f t="shared" si="82"/>
        <v>120.71388888888889</v>
      </c>
      <c r="AI5310" s="17" t="s">
        <v>1773</v>
      </c>
    </row>
    <row r="5311" spans="1:35" x14ac:dyDescent="0.25">
      <c r="A5311" s="36">
        <v>99915309</v>
      </c>
      <c r="B5311" s="17" t="s">
        <v>56</v>
      </c>
      <c r="C5311" t="s">
        <v>79</v>
      </c>
      <c r="D5311" t="s">
        <v>80</v>
      </c>
      <c r="G5311" s="17" t="s">
        <v>35</v>
      </c>
      <c r="H5311" s="17">
        <v>1</v>
      </c>
      <c r="K5311" t="s">
        <v>157</v>
      </c>
      <c r="L5311" t="s">
        <v>158</v>
      </c>
      <c r="M5311" t="s">
        <v>131</v>
      </c>
      <c r="N5311">
        <v>20</v>
      </c>
      <c r="O5311" t="s">
        <v>40</v>
      </c>
      <c r="P5311" t="s">
        <v>40</v>
      </c>
      <c r="Q5311" t="s">
        <v>40</v>
      </c>
      <c r="S5311" t="s">
        <v>40</v>
      </c>
      <c r="V5311" t="s">
        <v>41</v>
      </c>
      <c r="W5311" t="s">
        <v>49</v>
      </c>
      <c r="X5311" t="str">
        <f>"0580505"</f>
        <v>0580505</v>
      </c>
      <c r="Y5311" t="s">
        <v>168</v>
      </c>
      <c r="Z5311" t="s">
        <v>157</v>
      </c>
      <c r="AA5311" t="s">
        <v>158</v>
      </c>
      <c r="AB5311" t="s">
        <v>131</v>
      </c>
      <c r="AC5311" t="s">
        <v>51</v>
      </c>
      <c r="AD5311" t="s">
        <v>45</v>
      </c>
      <c r="AF5311">
        <v>2</v>
      </c>
      <c r="AG5311" t="s">
        <v>158</v>
      </c>
      <c r="AH5311" s="36">
        <f t="shared" si="82"/>
        <v>120.71388888888889</v>
      </c>
      <c r="AI5311" s="17" t="s">
        <v>1773</v>
      </c>
    </row>
    <row r="5312" spans="1:35" x14ac:dyDescent="0.25">
      <c r="A5312" s="36">
        <v>99915310</v>
      </c>
      <c r="B5312" s="17" t="s">
        <v>56</v>
      </c>
      <c r="C5312" t="s">
        <v>46</v>
      </c>
      <c r="D5312" t="s">
        <v>47</v>
      </c>
      <c r="G5312" s="17" t="s">
        <v>35</v>
      </c>
      <c r="H5312" s="17">
        <v>1</v>
      </c>
      <c r="K5312" t="s">
        <v>157</v>
      </c>
      <c r="L5312" t="s">
        <v>158</v>
      </c>
      <c r="M5312" t="s">
        <v>131</v>
      </c>
      <c r="N5312">
        <v>16</v>
      </c>
      <c r="O5312" t="s">
        <v>40</v>
      </c>
      <c r="P5312" t="s">
        <v>40</v>
      </c>
      <c r="Q5312" t="s">
        <v>40</v>
      </c>
      <c r="S5312" t="s">
        <v>40</v>
      </c>
      <c r="V5312" t="s">
        <v>41</v>
      </c>
      <c r="W5312" t="s">
        <v>42</v>
      </c>
      <c r="X5312" t="str">
        <f>"0561005"</f>
        <v>0561005</v>
      </c>
      <c r="Y5312" t="s">
        <v>174</v>
      </c>
      <c r="Z5312" t="s">
        <v>157</v>
      </c>
      <c r="AA5312" t="s">
        <v>158</v>
      </c>
      <c r="AB5312" t="s">
        <v>131</v>
      </c>
      <c r="AC5312" t="s">
        <v>51</v>
      </c>
      <c r="AD5312" t="s">
        <v>45</v>
      </c>
      <c r="AF5312">
        <v>2</v>
      </c>
      <c r="AG5312" t="s">
        <v>158</v>
      </c>
      <c r="AH5312" s="36">
        <f t="shared" si="82"/>
        <v>120.71388888888889</v>
      </c>
      <c r="AI5312" s="17" t="s">
        <v>1773</v>
      </c>
    </row>
    <row r="5313" spans="1:35" x14ac:dyDescent="0.25">
      <c r="A5313" s="36">
        <v>99915311</v>
      </c>
      <c r="B5313" s="17" t="s">
        <v>32</v>
      </c>
      <c r="C5313" t="s">
        <v>58</v>
      </c>
      <c r="D5313" t="s">
        <v>59</v>
      </c>
      <c r="G5313" s="17" t="s">
        <v>35</v>
      </c>
      <c r="H5313" s="17">
        <v>1</v>
      </c>
      <c r="I5313">
        <v>20235</v>
      </c>
      <c r="J5313" s="1">
        <v>43418</v>
      </c>
      <c r="K5313" t="s">
        <v>157</v>
      </c>
      <c r="L5313" t="s">
        <v>158</v>
      </c>
      <c r="M5313" t="s">
        <v>131</v>
      </c>
      <c r="N5313">
        <v>12</v>
      </c>
      <c r="O5313" t="s">
        <v>40</v>
      </c>
      <c r="S5313" t="s">
        <v>40</v>
      </c>
      <c r="U5313" s="1">
        <v>43418</v>
      </c>
      <c r="V5313" t="s">
        <v>41</v>
      </c>
      <c r="W5313" t="s">
        <v>42</v>
      </c>
      <c r="X5313" t="str">
        <f>"0580470"</f>
        <v>0580470</v>
      </c>
      <c r="Y5313" t="s">
        <v>175</v>
      </c>
      <c r="Z5313" t="s">
        <v>157</v>
      </c>
      <c r="AA5313" t="s">
        <v>158</v>
      </c>
      <c r="AB5313" t="s">
        <v>131</v>
      </c>
      <c r="AC5313" t="s">
        <v>51</v>
      </c>
      <c r="AD5313" t="s">
        <v>45</v>
      </c>
      <c r="AF5313">
        <v>2</v>
      </c>
      <c r="AG5313" t="s">
        <v>158</v>
      </c>
      <c r="AH5313" s="36">
        <f t="shared" si="82"/>
        <v>120.71388888888889</v>
      </c>
      <c r="AI5313" s="17" t="s">
        <v>1773</v>
      </c>
    </row>
    <row r="5314" spans="1:35" x14ac:dyDescent="0.25">
      <c r="A5314" s="36">
        <v>99915312</v>
      </c>
      <c r="B5314" s="17" t="s">
        <v>32</v>
      </c>
      <c r="C5314" t="s">
        <v>46</v>
      </c>
      <c r="D5314" t="s">
        <v>47</v>
      </c>
      <c r="G5314" s="17" t="s">
        <v>35</v>
      </c>
      <c r="H5314" s="17">
        <v>1</v>
      </c>
      <c r="K5314" t="s">
        <v>162</v>
      </c>
      <c r="L5314" t="s">
        <v>158</v>
      </c>
      <c r="M5314" t="s">
        <v>131</v>
      </c>
      <c r="N5314">
        <v>21</v>
      </c>
      <c r="O5314" t="s">
        <v>40</v>
      </c>
      <c r="P5314" t="s">
        <v>40</v>
      </c>
      <c r="Q5314" t="s">
        <v>40</v>
      </c>
      <c r="S5314" t="s">
        <v>40</v>
      </c>
      <c r="V5314" t="s">
        <v>41</v>
      </c>
      <c r="W5314" t="s">
        <v>49</v>
      </c>
      <c r="X5314" t="str">
        <f>"0560003"</f>
        <v>0560003</v>
      </c>
      <c r="Y5314" t="s">
        <v>181</v>
      </c>
      <c r="Z5314" t="s">
        <v>162</v>
      </c>
      <c r="AA5314" t="s">
        <v>158</v>
      </c>
      <c r="AB5314" t="s">
        <v>131</v>
      </c>
      <c r="AC5314" t="s">
        <v>51</v>
      </c>
      <c r="AD5314" t="s">
        <v>45</v>
      </c>
      <c r="AF5314">
        <v>2</v>
      </c>
      <c r="AG5314" t="s">
        <v>158</v>
      </c>
      <c r="AH5314" s="36">
        <f t="shared" ref="AH5314:AH5377" si="84">($AJ$1-AE5314)/360</f>
        <v>120.71388888888889</v>
      </c>
      <c r="AI5314" s="17" t="s">
        <v>1773</v>
      </c>
    </row>
    <row r="5315" spans="1:35" x14ac:dyDescent="0.25">
      <c r="A5315" s="36">
        <v>99915313</v>
      </c>
      <c r="B5315" s="17" t="s">
        <v>32</v>
      </c>
      <c r="C5315" t="s">
        <v>46</v>
      </c>
      <c r="D5315" t="s">
        <v>47</v>
      </c>
      <c r="G5315" s="17" t="s">
        <v>35</v>
      </c>
      <c r="H5315" s="17">
        <v>1</v>
      </c>
      <c r="K5315" t="s">
        <v>157</v>
      </c>
      <c r="L5315" t="s">
        <v>158</v>
      </c>
      <c r="M5315" t="s">
        <v>131</v>
      </c>
      <c r="N5315">
        <v>18</v>
      </c>
      <c r="O5315" t="s">
        <v>40</v>
      </c>
      <c r="P5315" t="s">
        <v>40</v>
      </c>
      <c r="Q5315" t="s">
        <v>40</v>
      </c>
      <c r="S5315" t="s">
        <v>40</v>
      </c>
      <c r="V5315" t="s">
        <v>41</v>
      </c>
      <c r="W5315" t="s">
        <v>49</v>
      </c>
      <c r="X5315" t="str">
        <f>"0580505"</f>
        <v>0580505</v>
      </c>
      <c r="Y5315" t="s">
        <v>168</v>
      </c>
      <c r="Z5315" t="s">
        <v>157</v>
      </c>
      <c r="AA5315" t="s">
        <v>158</v>
      </c>
      <c r="AB5315" t="s">
        <v>131</v>
      </c>
      <c r="AC5315" t="s">
        <v>51</v>
      </c>
      <c r="AD5315" t="s">
        <v>45</v>
      </c>
      <c r="AF5315">
        <v>2</v>
      </c>
      <c r="AG5315" t="s">
        <v>158</v>
      </c>
      <c r="AH5315" s="36">
        <f t="shared" si="84"/>
        <v>120.71388888888889</v>
      </c>
      <c r="AI5315" s="17" t="s">
        <v>1773</v>
      </c>
    </row>
    <row r="5316" spans="1:35" x14ac:dyDescent="0.25">
      <c r="A5316" s="36">
        <v>99915314</v>
      </c>
      <c r="B5316" s="17" t="s">
        <v>32</v>
      </c>
      <c r="C5316" t="s">
        <v>46</v>
      </c>
      <c r="D5316" t="s">
        <v>47</v>
      </c>
      <c r="G5316" s="17" t="s">
        <v>48</v>
      </c>
      <c r="H5316" s="17">
        <v>1</v>
      </c>
      <c r="K5316" t="s">
        <v>157</v>
      </c>
      <c r="L5316" t="s">
        <v>158</v>
      </c>
      <c r="M5316" t="s">
        <v>131</v>
      </c>
      <c r="N5316">
        <v>18</v>
      </c>
      <c r="O5316" t="s">
        <v>40</v>
      </c>
      <c r="P5316" t="s">
        <v>40</v>
      </c>
      <c r="Q5316" t="s">
        <v>40</v>
      </c>
      <c r="S5316" t="s">
        <v>40</v>
      </c>
      <c r="V5316" t="s">
        <v>41</v>
      </c>
      <c r="W5316" t="s">
        <v>49</v>
      </c>
      <c r="X5316" t="str">
        <f>"0560011"</f>
        <v>0560011</v>
      </c>
      <c r="Y5316" t="s">
        <v>185</v>
      </c>
      <c r="Z5316" t="s">
        <v>157</v>
      </c>
      <c r="AA5316" t="s">
        <v>158</v>
      </c>
      <c r="AB5316" t="s">
        <v>131</v>
      </c>
      <c r="AC5316" t="s">
        <v>51</v>
      </c>
      <c r="AD5316" t="s">
        <v>45</v>
      </c>
      <c r="AF5316">
        <v>2</v>
      </c>
      <c r="AG5316" t="s">
        <v>158</v>
      </c>
      <c r="AH5316" s="36">
        <f t="shared" si="84"/>
        <v>120.71388888888889</v>
      </c>
      <c r="AI5316" s="17" t="s">
        <v>1773</v>
      </c>
    </row>
    <row r="5317" spans="1:35" x14ac:dyDescent="0.25">
      <c r="A5317" s="36">
        <v>99915315</v>
      </c>
      <c r="B5317" s="17" t="s">
        <v>32</v>
      </c>
      <c r="C5317" t="s">
        <v>46</v>
      </c>
      <c r="D5317" t="s">
        <v>47</v>
      </c>
      <c r="G5317" s="17" t="s">
        <v>35</v>
      </c>
      <c r="H5317" s="17">
        <v>1</v>
      </c>
      <c r="K5317" t="s">
        <v>157</v>
      </c>
      <c r="L5317" t="s">
        <v>158</v>
      </c>
      <c r="M5317" t="s">
        <v>131</v>
      </c>
      <c r="N5317">
        <v>30</v>
      </c>
      <c r="O5317" t="s">
        <v>40</v>
      </c>
      <c r="P5317" t="s">
        <v>40</v>
      </c>
      <c r="Q5317" t="s">
        <v>40</v>
      </c>
      <c r="S5317" t="s">
        <v>40</v>
      </c>
      <c r="V5317" t="s">
        <v>41</v>
      </c>
      <c r="W5317" t="s">
        <v>49</v>
      </c>
      <c r="X5317" t="str">
        <f>"0581725"</f>
        <v>0581725</v>
      </c>
      <c r="Y5317" t="s">
        <v>161</v>
      </c>
      <c r="Z5317" t="s">
        <v>157</v>
      </c>
      <c r="AA5317" t="s">
        <v>158</v>
      </c>
      <c r="AB5317" t="s">
        <v>131</v>
      </c>
      <c r="AC5317" t="s">
        <v>51</v>
      </c>
      <c r="AD5317" t="s">
        <v>45</v>
      </c>
      <c r="AF5317">
        <v>2</v>
      </c>
      <c r="AG5317" t="s">
        <v>158</v>
      </c>
      <c r="AH5317" s="36">
        <f t="shared" si="84"/>
        <v>120.71388888888889</v>
      </c>
      <c r="AI5317" s="17" t="s">
        <v>1773</v>
      </c>
    </row>
    <row r="5318" spans="1:35" x14ac:dyDescent="0.25">
      <c r="A5318" s="36">
        <v>99915316</v>
      </c>
      <c r="B5318" s="17" t="s">
        <v>56</v>
      </c>
      <c r="C5318" t="s">
        <v>188</v>
      </c>
      <c r="D5318" t="s">
        <v>189</v>
      </c>
      <c r="E5318" t="s">
        <v>68</v>
      </c>
      <c r="F5318" t="s">
        <v>69</v>
      </c>
      <c r="G5318" s="17" t="s">
        <v>35</v>
      </c>
      <c r="H5318" s="17">
        <v>1</v>
      </c>
      <c r="K5318" t="s">
        <v>157</v>
      </c>
      <c r="L5318" t="s">
        <v>158</v>
      </c>
      <c r="M5318" t="s">
        <v>131</v>
      </c>
      <c r="N5318">
        <v>27</v>
      </c>
      <c r="O5318" t="s">
        <v>40</v>
      </c>
      <c r="P5318" t="s">
        <v>40</v>
      </c>
      <c r="Q5318" t="s">
        <v>40</v>
      </c>
      <c r="S5318" t="s">
        <v>40</v>
      </c>
      <c r="V5318" t="s">
        <v>41</v>
      </c>
      <c r="W5318" t="s">
        <v>49</v>
      </c>
      <c r="X5318" t="str">
        <f>"0580505"</f>
        <v>0580505</v>
      </c>
      <c r="Y5318" t="s">
        <v>168</v>
      </c>
      <c r="Z5318" t="s">
        <v>157</v>
      </c>
      <c r="AA5318" t="s">
        <v>158</v>
      </c>
      <c r="AB5318" t="s">
        <v>131</v>
      </c>
      <c r="AC5318" t="s">
        <v>51</v>
      </c>
      <c r="AD5318" t="s">
        <v>45</v>
      </c>
      <c r="AF5318">
        <v>2</v>
      </c>
      <c r="AG5318" t="s">
        <v>158</v>
      </c>
      <c r="AH5318" s="36">
        <f t="shared" si="84"/>
        <v>120.71388888888889</v>
      </c>
      <c r="AI5318" s="17" t="s">
        <v>1773</v>
      </c>
    </row>
    <row r="5319" spans="1:35" x14ac:dyDescent="0.25">
      <c r="A5319" s="36">
        <v>99915317</v>
      </c>
      <c r="B5319" s="17" t="s">
        <v>32</v>
      </c>
      <c r="C5319" t="s">
        <v>46</v>
      </c>
      <c r="D5319" t="s">
        <v>47</v>
      </c>
      <c r="G5319" s="17" t="s">
        <v>35</v>
      </c>
      <c r="H5319" s="17">
        <v>1</v>
      </c>
      <c r="I5319">
        <v>19617</v>
      </c>
      <c r="J5319" s="1">
        <v>43412</v>
      </c>
      <c r="K5319" t="s">
        <v>157</v>
      </c>
      <c r="L5319" t="s">
        <v>158</v>
      </c>
      <c r="M5319" t="s">
        <v>131</v>
      </c>
      <c r="N5319">
        <v>14</v>
      </c>
      <c r="O5319" t="s">
        <v>40</v>
      </c>
      <c r="S5319" t="s">
        <v>40</v>
      </c>
      <c r="U5319" s="1">
        <v>43412</v>
      </c>
      <c r="V5319" t="s">
        <v>41</v>
      </c>
      <c r="W5319" t="s">
        <v>42</v>
      </c>
      <c r="X5319" t="str">
        <f>"0561031"</f>
        <v>0561031</v>
      </c>
      <c r="Y5319" t="s">
        <v>177</v>
      </c>
      <c r="Z5319" t="s">
        <v>157</v>
      </c>
      <c r="AA5319" t="s">
        <v>158</v>
      </c>
      <c r="AB5319" t="s">
        <v>131</v>
      </c>
      <c r="AC5319" t="s">
        <v>51</v>
      </c>
      <c r="AD5319" t="s">
        <v>45</v>
      </c>
      <c r="AF5319">
        <v>2</v>
      </c>
      <c r="AG5319" t="s">
        <v>158</v>
      </c>
      <c r="AH5319" s="36">
        <f t="shared" si="84"/>
        <v>120.71388888888889</v>
      </c>
      <c r="AI5319" s="17" t="s">
        <v>1773</v>
      </c>
    </row>
    <row r="5320" spans="1:35" x14ac:dyDescent="0.25">
      <c r="A5320" s="36">
        <v>99915318</v>
      </c>
      <c r="B5320" s="17" t="s">
        <v>56</v>
      </c>
      <c r="C5320" t="s">
        <v>46</v>
      </c>
      <c r="D5320" t="s">
        <v>47</v>
      </c>
      <c r="G5320" s="17" t="s">
        <v>35</v>
      </c>
      <c r="H5320" s="17">
        <v>1</v>
      </c>
      <c r="K5320" t="s">
        <v>157</v>
      </c>
      <c r="L5320" t="s">
        <v>158</v>
      </c>
      <c r="M5320" t="s">
        <v>131</v>
      </c>
      <c r="N5320">
        <v>18</v>
      </c>
      <c r="O5320" t="s">
        <v>40</v>
      </c>
      <c r="P5320" t="s">
        <v>40</v>
      </c>
      <c r="Q5320" t="s">
        <v>40</v>
      </c>
      <c r="S5320" t="s">
        <v>40</v>
      </c>
      <c r="V5320" t="s">
        <v>41</v>
      </c>
      <c r="W5320" t="s">
        <v>42</v>
      </c>
      <c r="X5320" t="str">
        <f>"0580250"</f>
        <v>0580250</v>
      </c>
      <c r="Y5320" t="s">
        <v>160</v>
      </c>
      <c r="Z5320" t="s">
        <v>157</v>
      </c>
      <c r="AA5320" t="s">
        <v>158</v>
      </c>
      <c r="AB5320" t="s">
        <v>131</v>
      </c>
      <c r="AC5320" t="s">
        <v>51</v>
      </c>
      <c r="AD5320" t="s">
        <v>45</v>
      </c>
      <c r="AF5320">
        <v>2</v>
      </c>
      <c r="AG5320" t="s">
        <v>158</v>
      </c>
      <c r="AH5320" s="36">
        <f t="shared" si="84"/>
        <v>120.71388888888889</v>
      </c>
      <c r="AI5320" s="17" t="s">
        <v>1773</v>
      </c>
    </row>
    <row r="5321" spans="1:35" x14ac:dyDescent="0.25">
      <c r="A5321" s="36">
        <v>99915319</v>
      </c>
      <c r="B5321" s="17" t="s">
        <v>32</v>
      </c>
      <c r="C5321" t="s">
        <v>64</v>
      </c>
      <c r="D5321" t="s">
        <v>65</v>
      </c>
      <c r="G5321" s="17" t="s">
        <v>35</v>
      </c>
      <c r="H5321" s="17">
        <v>1</v>
      </c>
      <c r="K5321" t="s">
        <v>157</v>
      </c>
      <c r="L5321" t="s">
        <v>158</v>
      </c>
      <c r="M5321" t="s">
        <v>131</v>
      </c>
      <c r="N5321">
        <v>24</v>
      </c>
      <c r="O5321" t="s">
        <v>40</v>
      </c>
      <c r="P5321" t="s">
        <v>40</v>
      </c>
      <c r="Q5321" t="s">
        <v>40</v>
      </c>
      <c r="S5321" t="s">
        <v>40</v>
      </c>
      <c r="V5321" t="s">
        <v>41</v>
      </c>
      <c r="W5321" t="s">
        <v>49</v>
      </c>
      <c r="X5321" t="str">
        <f>"0581725"</f>
        <v>0581725</v>
      </c>
      <c r="Y5321" t="s">
        <v>161</v>
      </c>
      <c r="Z5321" t="s">
        <v>157</v>
      </c>
      <c r="AA5321" t="s">
        <v>158</v>
      </c>
      <c r="AB5321" t="s">
        <v>131</v>
      </c>
      <c r="AC5321" t="s">
        <v>51</v>
      </c>
      <c r="AD5321" t="s">
        <v>45</v>
      </c>
      <c r="AF5321">
        <v>2</v>
      </c>
      <c r="AG5321" t="s">
        <v>158</v>
      </c>
      <c r="AH5321" s="36">
        <f t="shared" si="84"/>
        <v>120.71388888888889</v>
      </c>
      <c r="AI5321" s="17" t="s">
        <v>1773</v>
      </c>
    </row>
    <row r="5322" spans="1:35" x14ac:dyDescent="0.25">
      <c r="A5322" s="36">
        <v>99915320</v>
      </c>
      <c r="B5322" s="17" t="s">
        <v>32</v>
      </c>
      <c r="C5322" t="s">
        <v>139</v>
      </c>
      <c r="D5322" t="s">
        <v>140</v>
      </c>
      <c r="G5322" s="17" t="s">
        <v>35</v>
      </c>
      <c r="H5322" s="17">
        <v>1</v>
      </c>
      <c r="K5322" t="s">
        <v>157</v>
      </c>
      <c r="L5322" t="s">
        <v>158</v>
      </c>
      <c r="M5322" t="s">
        <v>131</v>
      </c>
      <c r="N5322">
        <v>29</v>
      </c>
      <c r="O5322" t="s">
        <v>40</v>
      </c>
      <c r="P5322" t="s">
        <v>40</v>
      </c>
      <c r="Q5322" t="s">
        <v>40</v>
      </c>
      <c r="S5322" t="s">
        <v>40</v>
      </c>
      <c r="V5322" t="s">
        <v>41</v>
      </c>
      <c r="W5322" t="s">
        <v>49</v>
      </c>
      <c r="X5322" t="str">
        <f>"0580505"</f>
        <v>0580505</v>
      </c>
      <c r="Y5322" t="s">
        <v>168</v>
      </c>
      <c r="Z5322" t="s">
        <v>157</v>
      </c>
      <c r="AA5322" t="s">
        <v>158</v>
      </c>
      <c r="AB5322" t="s">
        <v>131</v>
      </c>
      <c r="AC5322" t="s">
        <v>51</v>
      </c>
      <c r="AD5322" t="s">
        <v>45</v>
      </c>
      <c r="AF5322">
        <v>2</v>
      </c>
      <c r="AG5322" t="s">
        <v>158</v>
      </c>
      <c r="AH5322" s="36">
        <f t="shared" si="84"/>
        <v>120.71388888888889</v>
      </c>
      <c r="AI5322" s="17" t="s">
        <v>1773</v>
      </c>
    </row>
    <row r="5323" spans="1:35" x14ac:dyDescent="0.25">
      <c r="A5323" s="36">
        <v>99915321</v>
      </c>
      <c r="B5323" s="17" t="s">
        <v>56</v>
      </c>
      <c r="C5323" t="s">
        <v>64</v>
      </c>
      <c r="D5323" t="s">
        <v>65</v>
      </c>
      <c r="G5323" s="17" t="s">
        <v>35</v>
      </c>
      <c r="H5323" s="17">
        <v>1</v>
      </c>
      <c r="K5323" t="s">
        <v>157</v>
      </c>
      <c r="L5323" t="s">
        <v>158</v>
      </c>
      <c r="M5323" t="s">
        <v>131</v>
      </c>
      <c r="N5323">
        <v>30</v>
      </c>
      <c r="O5323" t="s">
        <v>40</v>
      </c>
      <c r="P5323" t="s">
        <v>40</v>
      </c>
      <c r="Q5323" t="s">
        <v>40</v>
      </c>
      <c r="S5323" t="s">
        <v>40</v>
      </c>
      <c r="V5323" t="s">
        <v>41</v>
      </c>
      <c r="W5323" t="s">
        <v>49</v>
      </c>
      <c r="X5323" t="str">
        <f>"0580505"</f>
        <v>0580505</v>
      </c>
      <c r="Y5323" t="s">
        <v>168</v>
      </c>
      <c r="Z5323" t="s">
        <v>157</v>
      </c>
      <c r="AA5323" t="s">
        <v>158</v>
      </c>
      <c r="AB5323" t="s">
        <v>131</v>
      </c>
      <c r="AC5323" t="s">
        <v>51</v>
      </c>
      <c r="AD5323" t="s">
        <v>45</v>
      </c>
      <c r="AF5323">
        <v>2</v>
      </c>
      <c r="AG5323" t="s">
        <v>158</v>
      </c>
      <c r="AH5323" s="36">
        <f t="shared" si="84"/>
        <v>120.71388888888889</v>
      </c>
      <c r="AI5323" s="17" t="s">
        <v>1773</v>
      </c>
    </row>
    <row r="5324" spans="1:35" x14ac:dyDescent="0.25">
      <c r="A5324" s="36">
        <v>99915322</v>
      </c>
      <c r="B5324" s="17" t="s">
        <v>56</v>
      </c>
      <c r="C5324" t="s">
        <v>68</v>
      </c>
      <c r="D5324" t="s">
        <v>69</v>
      </c>
      <c r="G5324" s="17" t="s">
        <v>35</v>
      </c>
      <c r="H5324" s="17">
        <v>1</v>
      </c>
      <c r="K5324" t="s">
        <v>157</v>
      </c>
      <c r="L5324" t="s">
        <v>158</v>
      </c>
      <c r="M5324" t="s">
        <v>131</v>
      </c>
      <c r="N5324">
        <v>20</v>
      </c>
      <c r="O5324" t="s">
        <v>40</v>
      </c>
      <c r="P5324" t="s">
        <v>40</v>
      </c>
      <c r="Q5324" t="s">
        <v>40</v>
      </c>
      <c r="S5324" t="s">
        <v>40</v>
      </c>
      <c r="V5324" t="s">
        <v>41</v>
      </c>
      <c r="W5324" t="s">
        <v>42</v>
      </c>
      <c r="X5324" t="str">
        <f>"0580250"</f>
        <v>0580250</v>
      </c>
      <c r="Y5324" t="s">
        <v>160</v>
      </c>
      <c r="Z5324" t="s">
        <v>157</v>
      </c>
      <c r="AA5324" t="s">
        <v>158</v>
      </c>
      <c r="AB5324" t="s">
        <v>131</v>
      </c>
      <c r="AC5324" t="s">
        <v>51</v>
      </c>
      <c r="AD5324" t="s">
        <v>45</v>
      </c>
      <c r="AF5324">
        <v>2</v>
      </c>
      <c r="AG5324" t="s">
        <v>158</v>
      </c>
      <c r="AH5324" s="36">
        <f t="shared" si="84"/>
        <v>120.71388888888889</v>
      </c>
      <c r="AI5324" s="17" t="s">
        <v>1773</v>
      </c>
    </row>
    <row r="5325" spans="1:35" x14ac:dyDescent="0.25">
      <c r="A5325" s="36">
        <v>99915323</v>
      </c>
      <c r="B5325" s="17" t="s">
        <v>56</v>
      </c>
      <c r="C5325" t="s">
        <v>33</v>
      </c>
      <c r="D5325" t="s">
        <v>34</v>
      </c>
      <c r="G5325" s="17" t="s">
        <v>35</v>
      </c>
      <c r="H5325" s="17">
        <v>1</v>
      </c>
      <c r="K5325" t="s">
        <v>157</v>
      </c>
      <c r="L5325" t="s">
        <v>158</v>
      </c>
      <c r="M5325" t="s">
        <v>131</v>
      </c>
      <c r="N5325">
        <v>5</v>
      </c>
      <c r="O5325" t="s">
        <v>40</v>
      </c>
      <c r="P5325" t="s">
        <v>40</v>
      </c>
      <c r="Q5325" t="s">
        <v>40</v>
      </c>
      <c r="S5325" t="s">
        <v>40</v>
      </c>
      <c r="V5325" t="s">
        <v>41</v>
      </c>
      <c r="W5325" t="s">
        <v>42</v>
      </c>
      <c r="X5325" t="str">
        <f>"0580250"</f>
        <v>0580250</v>
      </c>
      <c r="Y5325" t="s">
        <v>160</v>
      </c>
      <c r="Z5325" t="s">
        <v>157</v>
      </c>
      <c r="AA5325" t="s">
        <v>158</v>
      </c>
      <c r="AB5325" t="s">
        <v>131</v>
      </c>
      <c r="AC5325" t="s">
        <v>51</v>
      </c>
      <c r="AD5325" t="s">
        <v>45</v>
      </c>
      <c r="AF5325">
        <v>2</v>
      </c>
      <c r="AG5325" t="s">
        <v>158</v>
      </c>
      <c r="AH5325" s="36">
        <f t="shared" si="84"/>
        <v>120.71388888888889</v>
      </c>
      <c r="AI5325" s="17" t="s">
        <v>1773</v>
      </c>
    </row>
    <row r="5326" spans="1:35" x14ac:dyDescent="0.25">
      <c r="A5326" s="36">
        <v>99915324</v>
      </c>
      <c r="B5326" s="17" t="s">
        <v>56</v>
      </c>
      <c r="C5326" t="s">
        <v>52</v>
      </c>
      <c r="D5326" t="s">
        <v>53</v>
      </c>
      <c r="G5326" s="17" t="s">
        <v>35</v>
      </c>
      <c r="H5326" s="17">
        <v>1</v>
      </c>
      <c r="I5326">
        <v>23138</v>
      </c>
      <c r="J5326" s="1">
        <v>43451</v>
      </c>
      <c r="K5326" t="s">
        <v>157</v>
      </c>
      <c r="L5326" t="s">
        <v>158</v>
      </c>
      <c r="M5326" t="s">
        <v>131</v>
      </c>
      <c r="N5326">
        <v>21</v>
      </c>
      <c r="O5326" t="s">
        <v>40</v>
      </c>
      <c r="P5326" t="s">
        <v>40</v>
      </c>
      <c r="Q5326" t="s">
        <v>40</v>
      </c>
      <c r="S5326" t="s">
        <v>40</v>
      </c>
      <c r="U5326" s="1">
        <v>43451</v>
      </c>
      <c r="X5326" t="str">
        <f>""</f>
        <v/>
      </c>
      <c r="AA5326" t="s">
        <v>158</v>
      </c>
      <c r="AB5326" t="s">
        <v>131</v>
      </c>
      <c r="AC5326" t="s">
        <v>51</v>
      </c>
      <c r="AD5326" t="s">
        <v>45</v>
      </c>
      <c r="AF5326">
        <v>2</v>
      </c>
      <c r="AG5326" t="s">
        <v>158</v>
      </c>
      <c r="AH5326" s="36">
        <f t="shared" si="84"/>
        <v>120.71388888888889</v>
      </c>
      <c r="AI5326" s="17" t="s">
        <v>1773</v>
      </c>
    </row>
    <row r="5327" spans="1:35" x14ac:dyDescent="0.25">
      <c r="A5327" s="36">
        <v>99915325</v>
      </c>
      <c r="B5327" s="17" t="s">
        <v>32</v>
      </c>
      <c r="C5327" t="s">
        <v>46</v>
      </c>
      <c r="D5327" t="s">
        <v>47</v>
      </c>
      <c r="G5327" s="17" t="s">
        <v>35</v>
      </c>
      <c r="H5327" s="17">
        <v>1</v>
      </c>
      <c r="K5327" t="s">
        <v>157</v>
      </c>
      <c r="L5327" t="s">
        <v>158</v>
      </c>
      <c r="M5327" t="s">
        <v>131</v>
      </c>
      <c r="N5327">
        <v>20</v>
      </c>
      <c r="O5327" t="s">
        <v>40</v>
      </c>
      <c r="P5327" t="s">
        <v>40</v>
      </c>
      <c r="Q5327" t="s">
        <v>40</v>
      </c>
      <c r="S5327" t="s">
        <v>40</v>
      </c>
      <c r="V5327" t="s">
        <v>41</v>
      </c>
      <c r="W5327" t="s">
        <v>42</v>
      </c>
      <c r="X5327" t="str">
        <f>"0561005"</f>
        <v>0561005</v>
      </c>
      <c r="Y5327" t="s">
        <v>174</v>
      </c>
      <c r="Z5327" t="s">
        <v>157</v>
      </c>
      <c r="AA5327" t="s">
        <v>158</v>
      </c>
      <c r="AB5327" t="s">
        <v>131</v>
      </c>
      <c r="AC5327" t="s">
        <v>51</v>
      </c>
      <c r="AD5327" t="s">
        <v>45</v>
      </c>
      <c r="AF5327">
        <v>2</v>
      </c>
      <c r="AG5327" t="s">
        <v>158</v>
      </c>
      <c r="AH5327" s="36">
        <f t="shared" si="84"/>
        <v>120.71388888888889</v>
      </c>
      <c r="AI5327" s="17" t="s">
        <v>1773</v>
      </c>
    </row>
    <row r="5328" spans="1:35" x14ac:dyDescent="0.25">
      <c r="A5328" s="36">
        <v>99915326</v>
      </c>
      <c r="B5328" s="17" t="s">
        <v>32</v>
      </c>
      <c r="C5328" t="s">
        <v>68</v>
      </c>
      <c r="D5328" t="s">
        <v>69</v>
      </c>
      <c r="G5328" s="17" t="s">
        <v>35</v>
      </c>
      <c r="H5328" s="17">
        <v>1</v>
      </c>
      <c r="K5328" t="s">
        <v>157</v>
      </c>
      <c r="L5328" t="s">
        <v>158</v>
      </c>
      <c r="M5328" t="s">
        <v>131</v>
      </c>
      <c r="N5328">
        <v>30</v>
      </c>
      <c r="O5328" t="s">
        <v>40</v>
      </c>
      <c r="P5328" t="s">
        <v>40</v>
      </c>
      <c r="Q5328" t="s">
        <v>40</v>
      </c>
      <c r="S5328" t="s">
        <v>40</v>
      </c>
      <c r="V5328" t="s">
        <v>41</v>
      </c>
      <c r="W5328" t="s">
        <v>42</v>
      </c>
      <c r="X5328" t="str">
        <f>"0561005"</f>
        <v>0561005</v>
      </c>
      <c r="Y5328" t="s">
        <v>174</v>
      </c>
      <c r="Z5328" t="s">
        <v>157</v>
      </c>
      <c r="AA5328" t="s">
        <v>158</v>
      </c>
      <c r="AB5328" t="s">
        <v>131</v>
      </c>
      <c r="AC5328" t="s">
        <v>51</v>
      </c>
      <c r="AD5328" t="s">
        <v>45</v>
      </c>
      <c r="AF5328">
        <v>2</v>
      </c>
      <c r="AG5328" t="s">
        <v>158</v>
      </c>
      <c r="AH5328" s="36">
        <f t="shared" si="84"/>
        <v>120.71388888888889</v>
      </c>
      <c r="AI5328" s="17" t="s">
        <v>1773</v>
      </c>
    </row>
    <row r="5329" spans="1:35" x14ac:dyDescent="0.25">
      <c r="A5329" s="36">
        <v>99915327</v>
      </c>
      <c r="B5329" s="17" t="s">
        <v>32</v>
      </c>
      <c r="C5329" t="s">
        <v>145</v>
      </c>
      <c r="D5329" t="s">
        <v>146</v>
      </c>
      <c r="G5329" s="17" t="s">
        <v>35</v>
      </c>
      <c r="H5329" s="17">
        <v>1</v>
      </c>
      <c r="K5329" t="s">
        <v>157</v>
      </c>
      <c r="L5329" t="s">
        <v>158</v>
      </c>
      <c r="M5329" t="s">
        <v>131</v>
      </c>
      <c r="N5329">
        <v>26</v>
      </c>
      <c r="O5329" t="s">
        <v>40</v>
      </c>
      <c r="P5329" t="s">
        <v>40</v>
      </c>
      <c r="Q5329" t="s">
        <v>40</v>
      </c>
      <c r="S5329" t="s">
        <v>40</v>
      </c>
      <c r="V5329" t="s">
        <v>41</v>
      </c>
      <c r="W5329" t="s">
        <v>49</v>
      </c>
      <c r="X5329" t="str">
        <f>"0580505"</f>
        <v>0580505</v>
      </c>
      <c r="Y5329" t="s">
        <v>168</v>
      </c>
      <c r="Z5329" t="s">
        <v>157</v>
      </c>
      <c r="AA5329" t="s">
        <v>158</v>
      </c>
      <c r="AB5329" t="s">
        <v>131</v>
      </c>
      <c r="AC5329" t="s">
        <v>51</v>
      </c>
      <c r="AD5329" t="s">
        <v>45</v>
      </c>
      <c r="AF5329">
        <v>2</v>
      </c>
      <c r="AG5329" t="s">
        <v>158</v>
      </c>
      <c r="AH5329" s="36">
        <f t="shared" si="84"/>
        <v>120.71388888888889</v>
      </c>
      <c r="AI5329" s="17" t="s">
        <v>1773</v>
      </c>
    </row>
    <row r="5330" spans="1:35" x14ac:dyDescent="0.25">
      <c r="A5330" s="36">
        <v>99915328</v>
      </c>
      <c r="B5330" s="17" t="s">
        <v>32</v>
      </c>
      <c r="C5330" t="s">
        <v>145</v>
      </c>
      <c r="D5330" t="s">
        <v>146</v>
      </c>
      <c r="G5330" s="17" t="s">
        <v>35</v>
      </c>
      <c r="H5330" s="17">
        <v>1</v>
      </c>
      <c r="I5330">
        <v>19618</v>
      </c>
      <c r="J5330" s="1">
        <v>43412</v>
      </c>
      <c r="K5330" t="s">
        <v>157</v>
      </c>
      <c r="L5330" t="s">
        <v>158</v>
      </c>
      <c r="M5330" t="s">
        <v>131</v>
      </c>
      <c r="N5330">
        <v>21</v>
      </c>
      <c r="O5330" t="s">
        <v>40</v>
      </c>
      <c r="S5330" t="s">
        <v>40</v>
      </c>
      <c r="U5330" s="1">
        <v>43412</v>
      </c>
      <c r="V5330" t="s">
        <v>41</v>
      </c>
      <c r="W5330" t="s">
        <v>42</v>
      </c>
      <c r="X5330" t="str">
        <f>"0561031"</f>
        <v>0561031</v>
      </c>
      <c r="Y5330" t="s">
        <v>177</v>
      </c>
      <c r="Z5330" t="s">
        <v>157</v>
      </c>
      <c r="AA5330" t="s">
        <v>158</v>
      </c>
      <c r="AB5330" t="s">
        <v>131</v>
      </c>
      <c r="AC5330" t="s">
        <v>51</v>
      </c>
      <c r="AD5330" t="s">
        <v>45</v>
      </c>
      <c r="AF5330">
        <v>2</v>
      </c>
      <c r="AG5330" t="s">
        <v>158</v>
      </c>
      <c r="AH5330" s="36">
        <f t="shared" si="84"/>
        <v>120.71388888888889</v>
      </c>
      <c r="AI5330" s="17" t="s">
        <v>1773</v>
      </c>
    </row>
    <row r="5331" spans="1:35" x14ac:dyDescent="0.25">
      <c r="A5331" s="36">
        <v>99915329</v>
      </c>
      <c r="B5331" s="17" t="s">
        <v>32</v>
      </c>
      <c r="C5331" t="s">
        <v>145</v>
      </c>
      <c r="D5331" t="s">
        <v>146</v>
      </c>
      <c r="G5331" s="17" t="s">
        <v>35</v>
      </c>
      <c r="H5331" s="17">
        <v>1</v>
      </c>
      <c r="K5331" t="s">
        <v>157</v>
      </c>
      <c r="L5331" t="s">
        <v>158</v>
      </c>
      <c r="M5331" t="s">
        <v>131</v>
      </c>
      <c r="N5331">
        <v>20</v>
      </c>
      <c r="O5331" t="s">
        <v>40</v>
      </c>
      <c r="P5331" t="s">
        <v>40</v>
      </c>
      <c r="Q5331" t="s">
        <v>40</v>
      </c>
      <c r="S5331" t="s">
        <v>40</v>
      </c>
      <c r="V5331" t="s">
        <v>41</v>
      </c>
      <c r="W5331" t="s">
        <v>42</v>
      </c>
      <c r="X5331" t="str">
        <f>"0561005"</f>
        <v>0561005</v>
      </c>
      <c r="Y5331" t="s">
        <v>174</v>
      </c>
      <c r="Z5331" t="s">
        <v>157</v>
      </c>
      <c r="AA5331" t="s">
        <v>158</v>
      </c>
      <c r="AB5331" t="s">
        <v>131</v>
      </c>
      <c r="AC5331" t="s">
        <v>51</v>
      </c>
      <c r="AD5331" t="s">
        <v>45</v>
      </c>
      <c r="AF5331">
        <v>2</v>
      </c>
      <c r="AG5331" t="s">
        <v>158</v>
      </c>
      <c r="AH5331" s="36">
        <f t="shared" si="84"/>
        <v>120.71388888888889</v>
      </c>
      <c r="AI5331" s="17" t="s">
        <v>1773</v>
      </c>
    </row>
    <row r="5332" spans="1:35" x14ac:dyDescent="0.25">
      <c r="A5332" s="36">
        <v>99915330</v>
      </c>
      <c r="B5332" s="17" t="s">
        <v>32</v>
      </c>
      <c r="C5332" t="s">
        <v>46</v>
      </c>
      <c r="D5332" t="s">
        <v>47</v>
      </c>
      <c r="G5332" s="17" t="s">
        <v>35</v>
      </c>
      <c r="H5332" s="17">
        <v>1</v>
      </c>
      <c r="K5332" t="s">
        <v>157</v>
      </c>
      <c r="L5332" t="s">
        <v>158</v>
      </c>
      <c r="M5332" t="s">
        <v>131</v>
      </c>
      <c r="N5332">
        <v>18</v>
      </c>
      <c r="O5332" t="s">
        <v>40</v>
      </c>
      <c r="P5332" t="s">
        <v>40</v>
      </c>
      <c r="Q5332" t="s">
        <v>40</v>
      </c>
      <c r="S5332" t="s">
        <v>40</v>
      </c>
      <c r="V5332" t="s">
        <v>41</v>
      </c>
      <c r="W5332" t="s">
        <v>42</v>
      </c>
      <c r="X5332" t="str">
        <f>"0561005"</f>
        <v>0561005</v>
      </c>
      <c r="Y5332" t="s">
        <v>174</v>
      </c>
      <c r="Z5332" t="s">
        <v>157</v>
      </c>
      <c r="AA5332" t="s">
        <v>158</v>
      </c>
      <c r="AB5332" t="s">
        <v>131</v>
      </c>
      <c r="AC5332" t="s">
        <v>51</v>
      </c>
      <c r="AD5332" t="s">
        <v>45</v>
      </c>
      <c r="AF5332">
        <v>2</v>
      </c>
      <c r="AG5332" t="s">
        <v>158</v>
      </c>
      <c r="AH5332" s="36">
        <f t="shared" si="84"/>
        <v>120.71388888888889</v>
      </c>
      <c r="AI5332" s="17" t="s">
        <v>1773</v>
      </c>
    </row>
    <row r="5333" spans="1:35" x14ac:dyDescent="0.25">
      <c r="A5333" s="36">
        <v>99915331</v>
      </c>
      <c r="B5333" s="17" t="s">
        <v>56</v>
      </c>
      <c r="C5333" t="s">
        <v>79</v>
      </c>
      <c r="D5333" t="s">
        <v>80</v>
      </c>
      <c r="G5333" s="17" t="s">
        <v>35</v>
      </c>
      <c r="H5333" s="17">
        <v>1</v>
      </c>
      <c r="K5333" t="s">
        <v>157</v>
      </c>
      <c r="L5333" t="s">
        <v>158</v>
      </c>
      <c r="M5333" t="s">
        <v>131</v>
      </c>
      <c r="N5333">
        <v>6</v>
      </c>
      <c r="O5333" t="s">
        <v>40</v>
      </c>
      <c r="P5333" t="s">
        <v>40</v>
      </c>
      <c r="Q5333" t="s">
        <v>40</v>
      </c>
      <c r="S5333" t="s">
        <v>40</v>
      </c>
      <c r="V5333" t="s">
        <v>41</v>
      </c>
      <c r="W5333" t="s">
        <v>49</v>
      </c>
      <c r="X5333" t="str">
        <f>"0580505"</f>
        <v>0580505</v>
      </c>
      <c r="Y5333" t="s">
        <v>168</v>
      </c>
      <c r="Z5333" t="s">
        <v>157</v>
      </c>
      <c r="AA5333" t="s">
        <v>158</v>
      </c>
      <c r="AB5333" t="s">
        <v>131</v>
      </c>
      <c r="AC5333" t="s">
        <v>51</v>
      </c>
      <c r="AD5333" t="s">
        <v>45</v>
      </c>
      <c r="AF5333">
        <v>2</v>
      </c>
      <c r="AG5333" t="s">
        <v>158</v>
      </c>
      <c r="AH5333" s="36">
        <f t="shared" si="84"/>
        <v>120.71388888888889</v>
      </c>
      <c r="AI5333" s="17" t="s">
        <v>1773</v>
      </c>
    </row>
    <row r="5334" spans="1:35" x14ac:dyDescent="0.25">
      <c r="A5334" s="36">
        <v>99915332</v>
      </c>
      <c r="B5334" s="17" t="s">
        <v>56</v>
      </c>
      <c r="C5334" t="s">
        <v>68</v>
      </c>
      <c r="D5334" t="s">
        <v>69</v>
      </c>
      <c r="G5334" s="17" t="s">
        <v>35</v>
      </c>
      <c r="H5334" s="17">
        <v>1</v>
      </c>
      <c r="K5334" t="s">
        <v>157</v>
      </c>
      <c r="L5334" t="s">
        <v>158</v>
      </c>
      <c r="M5334" t="s">
        <v>131</v>
      </c>
      <c r="N5334">
        <v>26</v>
      </c>
      <c r="O5334" t="s">
        <v>40</v>
      </c>
      <c r="P5334" t="s">
        <v>40</v>
      </c>
      <c r="Q5334" t="s">
        <v>40</v>
      </c>
      <c r="S5334" t="s">
        <v>40</v>
      </c>
      <c r="V5334" t="s">
        <v>41</v>
      </c>
      <c r="W5334" t="s">
        <v>42</v>
      </c>
      <c r="X5334" t="str">
        <f>"0561005"</f>
        <v>0561005</v>
      </c>
      <c r="Y5334" t="s">
        <v>174</v>
      </c>
      <c r="Z5334" t="s">
        <v>157</v>
      </c>
      <c r="AA5334" t="s">
        <v>158</v>
      </c>
      <c r="AB5334" t="s">
        <v>131</v>
      </c>
      <c r="AC5334" t="s">
        <v>51</v>
      </c>
      <c r="AD5334" t="s">
        <v>45</v>
      </c>
      <c r="AF5334">
        <v>2</v>
      </c>
      <c r="AG5334" t="s">
        <v>158</v>
      </c>
      <c r="AH5334" s="36">
        <f t="shared" si="84"/>
        <v>120.71388888888889</v>
      </c>
      <c r="AI5334" s="17" t="s">
        <v>1773</v>
      </c>
    </row>
    <row r="5335" spans="1:35" x14ac:dyDescent="0.25">
      <c r="A5335" s="36">
        <v>99915333</v>
      </c>
      <c r="B5335" s="17" t="s">
        <v>56</v>
      </c>
      <c r="C5335" t="s">
        <v>85</v>
      </c>
      <c r="D5335" t="s">
        <v>86</v>
      </c>
      <c r="G5335" s="17" t="s">
        <v>35</v>
      </c>
      <c r="H5335" s="17">
        <v>1</v>
      </c>
      <c r="K5335" t="s">
        <v>157</v>
      </c>
      <c r="L5335" t="s">
        <v>158</v>
      </c>
      <c r="M5335" t="s">
        <v>131</v>
      </c>
      <c r="N5335">
        <v>7</v>
      </c>
      <c r="O5335" t="s">
        <v>40</v>
      </c>
      <c r="P5335" t="s">
        <v>40</v>
      </c>
      <c r="Q5335" t="s">
        <v>40</v>
      </c>
      <c r="S5335" t="s">
        <v>40</v>
      </c>
      <c r="V5335" t="s">
        <v>41</v>
      </c>
      <c r="W5335" t="s">
        <v>49</v>
      </c>
      <c r="X5335" t="str">
        <f>"0560011"</f>
        <v>0560011</v>
      </c>
      <c r="Y5335" t="s">
        <v>185</v>
      </c>
      <c r="Z5335" t="s">
        <v>157</v>
      </c>
      <c r="AA5335" t="s">
        <v>158</v>
      </c>
      <c r="AB5335" t="s">
        <v>131</v>
      </c>
      <c r="AC5335" t="s">
        <v>165</v>
      </c>
      <c r="AD5335" t="s">
        <v>45</v>
      </c>
      <c r="AF5335">
        <v>2</v>
      </c>
      <c r="AG5335" t="s">
        <v>158</v>
      </c>
      <c r="AH5335" s="36">
        <f t="shared" si="84"/>
        <v>120.71388888888889</v>
      </c>
      <c r="AI5335" s="17" t="s">
        <v>1773</v>
      </c>
    </row>
    <row r="5336" spans="1:35" x14ac:dyDescent="0.25">
      <c r="A5336" s="36">
        <v>99915334</v>
      </c>
      <c r="B5336" s="17" t="s">
        <v>56</v>
      </c>
      <c r="C5336" t="s">
        <v>46</v>
      </c>
      <c r="D5336" t="s">
        <v>47</v>
      </c>
      <c r="G5336" s="17" t="s">
        <v>35</v>
      </c>
      <c r="H5336" s="17">
        <v>1</v>
      </c>
      <c r="K5336" t="s">
        <v>157</v>
      </c>
      <c r="L5336" t="s">
        <v>158</v>
      </c>
      <c r="M5336" t="s">
        <v>131</v>
      </c>
      <c r="N5336">
        <v>18</v>
      </c>
      <c r="O5336" t="s">
        <v>40</v>
      </c>
      <c r="P5336" t="s">
        <v>40</v>
      </c>
      <c r="Q5336" t="s">
        <v>40</v>
      </c>
      <c r="S5336" t="s">
        <v>40</v>
      </c>
      <c r="V5336" t="s">
        <v>41</v>
      </c>
      <c r="W5336" t="s">
        <v>42</v>
      </c>
      <c r="X5336" t="str">
        <f>"0561005"</f>
        <v>0561005</v>
      </c>
      <c r="Y5336" t="s">
        <v>174</v>
      </c>
      <c r="Z5336" t="s">
        <v>157</v>
      </c>
      <c r="AA5336" t="s">
        <v>158</v>
      </c>
      <c r="AB5336" t="s">
        <v>131</v>
      </c>
      <c r="AC5336" t="s">
        <v>51</v>
      </c>
      <c r="AD5336" t="s">
        <v>45</v>
      </c>
      <c r="AF5336">
        <v>2</v>
      </c>
      <c r="AG5336" t="s">
        <v>158</v>
      </c>
      <c r="AH5336" s="36">
        <f t="shared" si="84"/>
        <v>120.71388888888889</v>
      </c>
      <c r="AI5336" s="17" t="s">
        <v>1773</v>
      </c>
    </row>
    <row r="5337" spans="1:35" x14ac:dyDescent="0.25">
      <c r="A5337" s="36">
        <v>99915335</v>
      </c>
      <c r="B5337" s="17" t="s">
        <v>32</v>
      </c>
      <c r="C5337" t="s">
        <v>79</v>
      </c>
      <c r="D5337" t="s">
        <v>80</v>
      </c>
      <c r="G5337" s="17" t="s">
        <v>35</v>
      </c>
      <c r="H5337" s="17">
        <v>1</v>
      </c>
      <c r="I5337">
        <v>19619</v>
      </c>
      <c r="J5337" s="1">
        <v>43412</v>
      </c>
      <c r="K5337" t="s">
        <v>157</v>
      </c>
      <c r="L5337" t="s">
        <v>158</v>
      </c>
      <c r="M5337" t="s">
        <v>131</v>
      </c>
      <c r="N5337">
        <v>10</v>
      </c>
      <c r="O5337" t="s">
        <v>40</v>
      </c>
      <c r="S5337" t="s">
        <v>40</v>
      </c>
      <c r="U5337" s="1">
        <v>43412</v>
      </c>
      <c r="V5337" t="s">
        <v>41</v>
      </c>
      <c r="W5337" t="s">
        <v>49</v>
      </c>
      <c r="X5337" t="str">
        <f>"0560042"</f>
        <v>0560042</v>
      </c>
      <c r="Y5337" t="s">
        <v>159</v>
      </c>
      <c r="Z5337" t="s">
        <v>157</v>
      </c>
      <c r="AA5337" t="s">
        <v>158</v>
      </c>
      <c r="AB5337" t="s">
        <v>131</v>
      </c>
      <c r="AC5337" t="s">
        <v>51</v>
      </c>
      <c r="AD5337" t="s">
        <v>45</v>
      </c>
      <c r="AF5337">
        <v>2</v>
      </c>
      <c r="AG5337" t="s">
        <v>158</v>
      </c>
      <c r="AH5337" s="36">
        <f t="shared" si="84"/>
        <v>120.71388888888889</v>
      </c>
      <c r="AI5337" s="17" t="s">
        <v>1773</v>
      </c>
    </row>
    <row r="5338" spans="1:35" x14ac:dyDescent="0.25">
      <c r="A5338" s="36">
        <v>99915336</v>
      </c>
      <c r="B5338" s="17" t="s">
        <v>56</v>
      </c>
      <c r="C5338" t="s">
        <v>79</v>
      </c>
      <c r="D5338" t="s">
        <v>80</v>
      </c>
      <c r="G5338" s="17" t="s">
        <v>35</v>
      </c>
      <c r="H5338" s="17">
        <v>1</v>
      </c>
      <c r="K5338" t="s">
        <v>157</v>
      </c>
      <c r="L5338" t="s">
        <v>158</v>
      </c>
      <c r="M5338" t="s">
        <v>131</v>
      </c>
      <c r="N5338">
        <v>22</v>
      </c>
      <c r="O5338" t="s">
        <v>40</v>
      </c>
      <c r="P5338" t="s">
        <v>40</v>
      </c>
      <c r="Q5338" t="s">
        <v>40</v>
      </c>
      <c r="S5338" t="s">
        <v>40</v>
      </c>
      <c r="V5338" t="s">
        <v>41</v>
      </c>
      <c r="W5338" t="s">
        <v>42</v>
      </c>
      <c r="X5338" t="str">
        <f>"0561005"</f>
        <v>0561005</v>
      </c>
      <c r="Y5338" t="s">
        <v>174</v>
      </c>
      <c r="Z5338" t="s">
        <v>157</v>
      </c>
      <c r="AA5338" t="s">
        <v>158</v>
      </c>
      <c r="AB5338" t="s">
        <v>131</v>
      </c>
      <c r="AC5338" t="s">
        <v>51</v>
      </c>
      <c r="AD5338" t="s">
        <v>45</v>
      </c>
      <c r="AF5338">
        <v>2</v>
      </c>
      <c r="AG5338" t="s">
        <v>158</v>
      </c>
      <c r="AH5338" s="36">
        <f t="shared" si="84"/>
        <v>120.71388888888889</v>
      </c>
      <c r="AI5338" s="17" t="s">
        <v>1773</v>
      </c>
    </row>
    <row r="5339" spans="1:35" x14ac:dyDescent="0.25">
      <c r="A5339" s="36">
        <v>99915337</v>
      </c>
      <c r="B5339" s="17" t="s">
        <v>56</v>
      </c>
      <c r="C5339" t="s">
        <v>79</v>
      </c>
      <c r="D5339" t="s">
        <v>80</v>
      </c>
      <c r="G5339" s="17" t="s">
        <v>35</v>
      </c>
      <c r="H5339" s="17">
        <v>1</v>
      </c>
      <c r="K5339" t="s">
        <v>157</v>
      </c>
      <c r="L5339" t="s">
        <v>158</v>
      </c>
      <c r="M5339" t="s">
        <v>131</v>
      </c>
      <c r="N5339">
        <v>23</v>
      </c>
      <c r="O5339" t="s">
        <v>40</v>
      </c>
      <c r="P5339" t="s">
        <v>40</v>
      </c>
      <c r="Q5339" t="s">
        <v>40</v>
      </c>
      <c r="S5339" t="s">
        <v>40</v>
      </c>
      <c r="V5339" t="s">
        <v>41</v>
      </c>
      <c r="W5339" t="s">
        <v>49</v>
      </c>
      <c r="X5339" t="str">
        <f>"0580505"</f>
        <v>0580505</v>
      </c>
      <c r="Y5339" t="s">
        <v>168</v>
      </c>
      <c r="Z5339" t="s">
        <v>157</v>
      </c>
      <c r="AA5339" t="s">
        <v>158</v>
      </c>
      <c r="AB5339" t="s">
        <v>131</v>
      </c>
      <c r="AC5339" t="s">
        <v>51</v>
      </c>
      <c r="AD5339" t="s">
        <v>45</v>
      </c>
      <c r="AF5339">
        <v>2</v>
      </c>
      <c r="AG5339" t="s">
        <v>158</v>
      </c>
      <c r="AH5339" s="36">
        <f t="shared" si="84"/>
        <v>120.71388888888889</v>
      </c>
      <c r="AI5339" s="17" t="s">
        <v>1773</v>
      </c>
    </row>
    <row r="5340" spans="1:35" x14ac:dyDescent="0.25">
      <c r="A5340" s="36">
        <v>99915338</v>
      </c>
      <c r="B5340" s="17" t="s">
        <v>56</v>
      </c>
      <c r="C5340" t="s">
        <v>85</v>
      </c>
      <c r="D5340" t="s">
        <v>86</v>
      </c>
      <c r="G5340" s="17" t="s">
        <v>35</v>
      </c>
      <c r="H5340" s="17">
        <v>1</v>
      </c>
      <c r="K5340" t="s">
        <v>157</v>
      </c>
      <c r="L5340" t="s">
        <v>158</v>
      </c>
      <c r="M5340" t="s">
        <v>131</v>
      </c>
      <c r="N5340">
        <v>16</v>
      </c>
      <c r="O5340" t="s">
        <v>40</v>
      </c>
      <c r="P5340" t="s">
        <v>40</v>
      </c>
      <c r="Q5340" t="s">
        <v>40</v>
      </c>
      <c r="S5340" t="s">
        <v>40</v>
      </c>
      <c r="V5340" t="s">
        <v>41</v>
      </c>
      <c r="W5340" t="s">
        <v>42</v>
      </c>
      <c r="X5340" t="str">
        <f>"0580470"</f>
        <v>0580470</v>
      </c>
      <c r="Y5340" t="s">
        <v>175</v>
      </c>
      <c r="Z5340" t="s">
        <v>157</v>
      </c>
      <c r="AA5340" t="s">
        <v>158</v>
      </c>
      <c r="AB5340" t="s">
        <v>131</v>
      </c>
      <c r="AC5340" t="s">
        <v>165</v>
      </c>
      <c r="AD5340" t="s">
        <v>45</v>
      </c>
      <c r="AF5340">
        <v>2</v>
      </c>
      <c r="AG5340" t="s">
        <v>158</v>
      </c>
      <c r="AH5340" s="36">
        <f t="shared" si="84"/>
        <v>120.71388888888889</v>
      </c>
      <c r="AI5340" s="17" t="s">
        <v>1773</v>
      </c>
    </row>
    <row r="5341" spans="1:35" x14ac:dyDescent="0.25">
      <c r="A5341" s="36">
        <v>99915339</v>
      </c>
      <c r="B5341" s="17" t="s">
        <v>56</v>
      </c>
      <c r="C5341" t="s">
        <v>46</v>
      </c>
      <c r="D5341" t="s">
        <v>47</v>
      </c>
      <c r="G5341" s="17" t="s">
        <v>35</v>
      </c>
      <c r="H5341" s="17">
        <v>1</v>
      </c>
      <c r="K5341" t="s">
        <v>157</v>
      </c>
      <c r="L5341" t="s">
        <v>158</v>
      </c>
      <c r="M5341" t="s">
        <v>131</v>
      </c>
      <c r="N5341">
        <v>20</v>
      </c>
      <c r="O5341" t="s">
        <v>40</v>
      </c>
      <c r="P5341" t="s">
        <v>40</v>
      </c>
      <c r="Q5341" t="s">
        <v>40</v>
      </c>
      <c r="S5341" t="s">
        <v>40</v>
      </c>
      <c r="V5341" t="s">
        <v>41</v>
      </c>
      <c r="W5341" t="s">
        <v>42</v>
      </c>
      <c r="X5341" t="str">
        <f>"0561005"</f>
        <v>0561005</v>
      </c>
      <c r="Y5341" t="s">
        <v>174</v>
      </c>
      <c r="Z5341" t="s">
        <v>157</v>
      </c>
      <c r="AA5341" t="s">
        <v>158</v>
      </c>
      <c r="AB5341" t="s">
        <v>131</v>
      </c>
      <c r="AC5341" t="s">
        <v>51</v>
      </c>
      <c r="AD5341" t="s">
        <v>45</v>
      </c>
      <c r="AF5341">
        <v>2</v>
      </c>
      <c r="AG5341" t="s">
        <v>158</v>
      </c>
      <c r="AH5341" s="36">
        <f t="shared" si="84"/>
        <v>120.71388888888889</v>
      </c>
      <c r="AI5341" s="17" t="s">
        <v>1773</v>
      </c>
    </row>
    <row r="5342" spans="1:35" x14ac:dyDescent="0.25">
      <c r="A5342" s="36">
        <v>99915340</v>
      </c>
      <c r="B5342" s="17" t="s">
        <v>56</v>
      </c>
      <c r="C5342" t="s">
        <v>71</v>
      </c>
      <c r="D5342" t="s">
        <v>72</v>
      </c>
      <c r="G5342" s="17" t="s">
        <v>35</v>
      </c>
      <c r="H5342" s="17">
        <v>1</v>
      </c>
      <c r="K5342" t="s">
        <v>157</v>
      </c>
      <c r="L5342" t="s">
        <v>158</v>
      </c>
      <c r="M5342" t="s">
        <v>131</v>
      </c>
      <c r="N5342">
        <v>21</v>
      </c>
      <c r="O5342" t="s">
        <v>40</v>
      </c>
      <c r="P5342" t="s">
        <v>40</v>
      </c>
      <c r="Q5342" t="s">
        <v>40</v>
      </c>
      <c r="S5342" t="s">
        <v>40</v>
      </c>
      <c r="V5342" t="s">
        <v>41</v>
      </c>
      <c r="W5342" t="s">
        <v>49</v>
      </c>
      <c r="X5342" t="str">
        <f>"0580505"</f>
        <v>0580505</v>
      </c>
      <c r="Y5342" t="s">
        <v>168</v>
      </c>
      <c r="Z5342" t="s">
        <v>157</v>
      </c>
      <c r="AA5342" t="s">
        <v>158</v>
      </c>
      <c r="AB5342" t="s">
        <v>131</v>
      </c>
      <c r="AC5342" t="s">
        <v>51</v>
      </c>
      <c r="AD5342" t="s">
        <v>45</v>
      </c>
      <c r="AF5342">
        <v>2</v>
      </c>
      <c r="AG5342" t="s">
        <v>158</v>
      </c>
      <c r="AH5342" s="36">
        <f t="shared" si="84"/>
        <v>120.71388888888889</v>
      </c>
      <c r="AI5342" s="17" t="s">
        <v>1773</v>
      </c>
    </row>
    <row r="5343" spans="1:35" x14ac:dyDescent="0.25">
      <c r="A5343" s="36">
        <v>99915341</v>
      </c>
      <c r="B5343" s="17" t="s">
        <v>32</v>
      </c>
      <c r="C5343" t="s">
        <v>139</v>
      </c>
      <c r="D5343" t="s">
        <v>140</v>
      </c>
      <c r="G5343" s="17" t="s">
        <v>35</v>
      </c>
      <c r="H5343" s="17">
        <v>1</v>
      </c>
      <c r="K5343" t="s">
        <v>157</v>
      </c>
      <c r="L5343" t="s">
        <v>158</v>
      </c>
      <c r="M5343" t="s">
        <v>131</v>
      </c>
      <c r="N5343">
        <v>6</v>
      </c>
      <c r="O5343" t="s">
        <v>40</v>
      </c>
      <c r="P5343" t="s">
        <v>40</v>
      </c>
      <c r="Q5343" t="s">
        <v>40</v>
      </c>
      <c r="S5343" t="s">
        <v>40</v>
      </c>
      <c r="V5343" t="s">
        <v>41</v>
      </c>
      <c r="W5343" t="s">
        <v>49</v>
      </c>
      <c r="X5343" t="str">
        <f>"0560011"</f>
        <v>0560011</v>
      </c>
      <c r="Y5343" t="s">
        <v>185</v>
      </c>
      <c r="Z5343" t="s">
        <v>157</v>
      </c>
      <c r="AA5343" t="s">
        <v>158</v>
      </c>
      <c r="AB5343" t="s">
        <v>131</v>
      </c>
      <c r="AC5343" t="s">
        <v>51</v>
      </c>
      <c r="AD5343" t="s">
        <v>45</v>
      </c>
      <c r="AF5343">
        <v>2</v>
      </c>
      <c r="AG5343" t="s">
        <v>158</v>
      </c>
      <c r="AH5343" s="36">
        <f t="shared" si="84"/>
        <v>120.71388888888889</v>
      </c>
      <c r="AI5343" s="17" t="s">
        <v>1773</v>
      </c>
    </row>
    <row r="5344" spans="1:35" x14ac:dyDescent="0.25">
      <c r="A5344" s="36">
        <v>99915342</v>
      </c>
      <c r="B5344" s="17" t="s">
        <v>32</v>
      </c>
      <c r="C5344" t="s">
        <v>46</v>
      </c>
      <c r="D5344" t="s">
        <v>47</v>
      </c>
      <c r="G5344" s="17" t="s">
        <v>35</v>
      </c>
      <c r="H5344" s="17">
        <v>1</v>
      </c>
      <c r="K5344" t="s">
        <v>162</v>
      </c>
      <c r="L5344" t="s">
        <v>158</v>
      </c>
      <c r="M5344" t="s">
        <v>131</v>
      </c>
      <c r="N5344">
        <v>20</v>
      </c>
      <c r="O5344" t="s">
        <v>40</v>
      </c>
      <c r="P5344" t="s">
        <v>40</v>
      </c>
      <c r="Q5344" t="s">
        <v>40</v>
      </c>
      <c r="S5344" t="s">
        <v>40</v>
      </c>
      <c r="V5344" t="s">
        <v>41</v>
      </c>
      <c r="W5344" t="s">
        <v>49</v>
      </c>
      <c r="X5344" t="str">
        <f>"0505050"</f>
        <v>0505050</v>
      </c>
      <c r="Y5344" t="s">
        <v>163</v>
      </c>
      <c r="Z5344" t="s">
        <v>162</v>
      </c>
      <c r="AA5344" t="s">
        <v>158</v>
      </c>
      <c r="AB5344" t="s">
        <v>131</v>
      </c>
      <c r="AC5344" t="s">
        <v>51</v>
      </c>
      <c r="AD5344" t="s">
        <v>45</v>
      </c>
      <c r="AF5344">
        <v>2</v>
      </c>
      <c r="AG5344" t="s">
        <v>158</v>
      </c>
      <c r="AH5344" s="36">
        <f t="shared" si="84"/>
        <v>120.71388888888889</v>
      </c>
      <c r="AI5344" s="17" t="s">
        <v>1773</v>
      </c>
    </row>
    <row r="5345" spans="1:35" x14ac:dyDescent="0.25">
      <c r="A5345" s="36">
        <v>99915343</v>
      </c>
      <c r="B5345" s="17" t="s">
        <v>56</v>
      </c>
      <c r="C5345" t="s">
        <v>46</v>
      </c>
      <c r="D5345" t="s">
        <v>47</v>
      </c>
      <c r="G5345" s="17" t="s">
        <v>35</v>
      </c>
      <c r="H5345" s="17">
        <v>1</v>
      </c>
      <c r="K5345" t="s">
        <v>157</v>
      </c>
      <c r="L5345" t="s">
        <v>158</v>
      </c>
      <c r="M5345" t="s">
        <v>131</v>
      </c>
      <c r="N5345">
        <v>18</v>
      </c>
      <c r="O5345" t="s">
        <v>40</v>
      </c>
      <c r="P5345" t="s">
        <v>40</v>
      </c>
      <c r="Q5345" t="s">
        <v>40</v>
      </c>
      <c r="S5345" t="s">
        <v>40</v>
      </c>
      <c r="V5345" t="s">
        <v>41</v>
      </c>
      <c r="W5345" t="s">
        <v>49</v>
      </c>
      <c r="X5345" t="str">
        <f>"0580505"</f>
        <v>0580505</v>
      </c>
      <c r="Y5345" t="s">
        <v>168</v>
      </c>
      <c r="Z5345" t="s">
        <v>157</v>
      </c>
      <c r="AA5345" t="s">
        <v>158</v>
      </c>
      <c r="AB5345" t="s">
        <v>131</v>
      </c>
      <c r="AC5345" t="s">
        <v>51</v>
      </c>
      <c r="AD5345" t="s">
        <v>45</v>
      </c>
      <c r="AF5345">
        <v>2</v>
      </c>
      <c r="AG5345" t="s">
        <v>158</v>
      </c>
      <c r="AH5345" s="36">
        <f t="shared" si="84"/>
        <v>120.71388888888889</v>
      </c>
      <c r="AI5345" s="17" t="s">
        <v>1773</v>
      </c>
    </row>
    <row r="5346" spans="1:35" x14ac:dyDescent="0.25">
      <c r="A5346" s="36">
        <v>99915344</v>
      </c>
      <c r="B5346" s="17" t="s">
        <v>32</v>
      </c>
      <c r="C5346" t="s">
        <v>85</v>
      </c>
      <c r="D5346" t="s">
        <v>86</v>
      </c>
      <c r="G5346" s="17" t="s">
        <v>35</v>
      </c>
      <c r="H5346" s="17">
        <v>1</v>
      </c>
      <c r="K5346" t="s">
        <v>157</v>
      </c>
      <c r="L5346" t="s">
        <v>158</v>
      </c>
      <c r="M5346" t="s">
        <v>131</v>
      </c>
      <c r="N5346">
        <v>30</v>
      </c>
      <c r="O5346" t="s">
        <v>40</v>
      </c>
      <c r="P5346" t="s">
        <v>40</v>
      </c>
      <c r="Q5346" t="s">
        <v>40</v>
      </c>
      <c r="S5346" t="s">
        <v>40</v>
      </c>
      <c r="V5346" t="s">
        <v>41</v>
      </c>
      <c r="W5346" t="s">
        <v>42</v>
      </c>
      <c r="X5346" t="str">
        <f>"0561005"</f>
        <v>0561005</v>
      </c>
      <c r="Y5346" t="s">
        <v>174</v>
      </c>
      <c r="Z5346" t="s">
        <v>157</v>
      </c>
      <c r="AA5346" t="s">
        <v>158</v>
      </c>
      <c r="AB5346" t="s">
        <v>131</v>
      </c>
      <c r="AC5346" t="s">
        <v>51</v>
      </c>
      <c r="AD5346" t="s">
        <v>45</v>
      </c>
      <c r="AF5346">
        <v>2</v>
      </c>
      <c r="AG5346" t="s">
        <v>158</v>
      </c>
      <c r="AH5346" s="36">
        <f t="shared" si="84"/>
        <v>120.71388888888889</v>
      </c>
      <c r="AI5346" s="17" t="s">
        <v>1773</v>
      </c>
    </row>
    <row r="5347" spans="1:35" x14ac:dyDescent="0.25">
      <c r="A5347" s="36">
        <v>99915345</v>
      </c>
      <c r="B5347" s="17" t="s">
        <v>56</v>
      </c>
      <c r="C5347" t="s">
        <v>46</v>
      </c>
      <c r="D5347" t="s">
        <v>47</v>
      </c>
      <c r="G5347" s="17" t="s">
        <v>35</v>
      </c>
      <c r="H5347" s="17">
        <v>1</v>
      </c>
      <c r="I5347">
        <v>19615</v>
      </c>
      <c r="J5347" s="1">
        <v>43412</v>
      </c>
      <c r="K5347" t="s">
        <v>157</v>
      </c>
      <c r="L5347" t="s">
        <v>158</v>
      </c>
      <c r="M5347" t="s">
        <v>131</v>
      </c>
      <c r="N5347">
        <v>11</v>
      </c>
      <c r="O5347" t="s">
        <v>40</v>
      </c>
      <c r="S5347" t="s">
        <v>40</v>
      </c>
      <c r="U5347" s="1">
        <v>43412</v>
      </c>
      <c r="V5347" t="s">
        <v>41</v>
      </c>
      <c r="W5347" t="s">
        <v>49</v>
      </c>
      <c r="X5347" t="str">
        <f>"0560042"</f>
        <v>0560042</v>
      </c>
      <c r="Y5347" t="s">
        <v>159</v>
      </c>
      <c r="Z5347" t="s">
        <v>157</v>
      </c>
      <c r="AA5347" t="s">
        <v>158</v>
      </c>
      <c r="AB5347" t="s">
        <v>131</v>
      </c>
      <c r="AC5347" t="s">
        <v>51</v>
      </c>
      <c r="AD5347" t="s">
        <v>45</v>
      </c>
      <c r="AF5347">
        <v>2</v>
      </c>
      <c r="AG5347" t="s">
        <v>158</v>
      </c>
      <c r="AH5347" s="36">
        <f t="shared" si="84"/>
        <v>120.71388888888889</v>
      </c>
      <c r="AI5347" s="17" t="s">
        <v>1773</v>
      </c>
    </row>
    <row r="5348" spans="1:35" x14ac:dyDescent="0.25">
      <c r="A5348" s="36">
        <v>99915346</v>
      </c>
      <c r="B5348" s="17" t="s">
        <v>56</v>
      </c>
      <c r="C5348" t="s">
        <v>52</v>
      </c>
      <c r="D5348" t="s">
        <v>53</v>
      </c>
      <c r="G5348" s="17" t="s">
        <v>35</v>
      </c>
      <c r="H5348" s="17">
        <v>1</v>
      </c>
      <c r="K5348" t="s">
        <v>157</v>
      </c>
      <c r="L5348" t="s">
        <v>158</v>
      </c>
      <c r="M5348" t="s">
        <v>131</v>
      </c>
      <c r="N5348">
        <v>18</v>
      </c>
      <c r="O5348" t="s">
        <v>40</v>
      </c>
      <c r="P5348" t="s">
        <v>40</v>
      </c>
      <c r="Q5348" t="s">
        <v>40</v>
      </c>
      <c r="S5348" t="s">
        <v>40</v>
      </c>
      <c r="V5348" t="s">
        <v>41</v>
      </c>
      <c r="W5348" t="s">
        <v>42</v>
      </c>
      <c r="X5348" t="str">
        <f>"0580250"</f>
        <v>0580250</v>
      </c>
      <c r="Y5348" t="s">
        <v>160</v>
      </c>
      <c r="Z5348" t="s">
        <v>157</v>
      </c>
      <c r="AA5348" t="s">
        <v>158</v>
      </c>
      <c r="AB5348" t="s">
        <v>131</v>
      </c>
      <c r="AC5348" t="s">
        <v>51</v>
      </c>
      <c r="AD5348" t="s">
        <v>45</v>
      </c>
      <c r="AF5348">
        <v>2</v>
      </c>
      <c r="AG5348" t="s">
        <v>158</v>
      </c>
      <c r="AH5348" s="36">
        <f t="shared" si="84"/>
        <v>120.71388888888889</v>
      </c>
      <c r="AI5348" s="17" t="s">
        <v>1773</v>
      </c>
    </row>
    <row r="5349" spans="1:35" x14ac:dyDescent="0.25">
      <c r="A5349" s="36">
        <v>99915347</v>
      </c>
      <c r="B5349" s="17" t="s">
        <v>32</v>
      </c>
      <c r="C5349" t="s">
        <v>68</v>
      </c>
      <c r="D5349" t="s">
        <v>69</v>
      </c>
      <c r="G5349" s="17" t="s">
        <v>35</v>
      </c>
      <c r="H5349" s="17">
        <v>1</v>
      </c>
      <c r="K5349" t="s">
        <v>162</v>
      </c>
      <c r="L5349" t="s">
        <v>158</v>
      </c>
      <c r="M5349" t="s">
        <v>131</v>
      </c>
      <c r="N5349">
        <v>18</v>
      </c>
      <c r="O5349" t="s">
        <v>40</v>
      </c>
      <c r="P5349" t="s">
        <v>40</v>
      </c>
      <c r="Q5349" t="s">
        <v>40</v>
      </c>
      <c r="S5349" t="s">
        <v>40</v>
      </c>
      <c r="V5349" t="s">
        <v>41</v>
      </c>
      <c r="W5349" t="s">
        <v>49</v>
      </c>
      <c r="X5349" t="str">
        <f>"0581325"</f>
        <v>0581325</v>
      </c>
      <c r="Y5349" t="s">
        <v>169</v>
      </c>
      <c r="Z5349" t="s">
        <v>162</v>
      </c>
      <c r="AA5349" t="s">
        <v>158</v>
      </c>
      <c r="AB5349" t="s">
        <v>131</v>
      </c>
      <c r="AC5349" t="s">
        <v>165</v>
      </c>
      <c r="AD5349" t="s">
        <v>45</v>
      </c>
      <c r="AF5349">
        <v>2</v>
      </c>
      <c r="AG5349" t="s">
        <v>158</v>
      </c>
      <c r="AH5349" s="36">
        <f t="shared" si="84"/>
        <v>120.71388888888889</v>
      </c>
      <c r="AI5349" s="17" t="s">
        <v>1773</v>
      </c>
    </row>
    <row r="5350" spans="1:35" x14ac:dyDescent="0.25">
      <c r="A5350" s="36">
        <v>99915348</v>
      </c>
      <c r="B5350" s="17" t="s">
        <v>32</v>
      </c>
      <c r="C5350" t="s">
        <v>64</v>
      </c>
      <c r="D5350" t="s">
        <v>65</v>
      </c>
      <c r="G5350" s="17" t="s">
        <v>35</v>
      </c>
      <c r="H5350" s="17">
        <v>1</v>
      </c>
      <c r="K5350" t="s">
        <v>157</v>
      </c>
      <c r="L5350" t="s">
        <v>158</v>
      </c>
      <c r="M5350" t="s">
        <v>131</v>
      </c>
      <c r="N5350">
        <v>30</v>
      </c>
      <c r="O5350" t="s">
        <v>40</v>
      </c>
      <c r="P5350" t="s">
        <v>40</v>
      </c>
      <c r="Q5350" t="s">
        <v>40</v>
      </c>
      <c r="S5350" t="s">
        <v>40</v>
      </c>
      <c r="V5350" t="s">
        <v>41</v>
      </c>
      <c r="W5350" t="s">
        <v>49</v>
      </c>
      <c r="X5350" t="str">
        <f>"0580505"</f>
        <v>0580505</v>
      </c>
      <c r="Y5350" t="s">
        <v>168</v>
      </c>
      <c r="Z5350" t="s">
        <v>157</v>
      </c>
      <c r="AA5350" t="s">
        <v>158</v>
      </c>
      <c r="AB5350" t="s">
        <v>131</v>
      </c>
      <c r="AC5350" t="s">
        <v>51</v>
      </c>
      <c r="AD5350" t="s">
        <v>45</v>
      </c>
      <c r="AF5350">
        <v>2</v>
      </c>
      <c r="AG5350" t="s">
        <v>158</v>
      </c>
      <c r="AH5350" s="36">
        <f t="shared" si="84"/>
        <v>120.71388888888889</v>
      </c>
      <c r="AI5350" s="17" t="s">
        <v>1773</v>
      </c>
    </row>
    <row r="5351" spans="1:35" x14ac:dyDescent="0.25">
      <c r="A5351" s="36">
        <v>99915349</v>
      </c>
      <c r="B5351" s="17" t="s">
        <v>32</v>
      </c>
      <c r="C5351" t="s">
        <v>64</v>
      </c>
      <c r="D5351" t="s">
        <v>65</v>
      </c>
      <c r="G5351" s="17" t="s">
        <v>35</v>
      </c>
      <c r="H5351" s="17">
        <v>1</v>
      </c>
      <c r="K5351" t="s">
        <v>157</v>
      </c>
      <c r="L5351" t="s">
        <v>158</v>
      </c>
      <c r="M5351" t="s">
        <v>131</v>
      </c>
      <c r="N5351">
        <v>18</v>
      </c>
      <c r="O5351" t="s">
        <v>40</v>
      </c>
      <c r="P5351" t="s">
        <v>40</v>
      </c>
      <c r="Q5351" t="s">
        <v>40</v>
      </c>
      <c r="S5351" t="s">
        <v>40</v>
      </c>
      <c r="V5351" t="s">
        <v>41</v>
      </c>
      <c r="W5351" t="s">
        <v>49</v>
      </c>
      <c r="X5351" t="str">
        <f>"0560011"</f>
        <v>0560011</v>
      </c>
      <c r="Y5351" t="s">
        <v>185</v>
      </c>
      <c r="Z5351" t="s">
        <v>157</v>
      </c>
      <c r="AA5351" t="s">
        <v>158</v>
      </c>
      <c r="AB5351" t="s">
        <v>131</v>
      </c>
      <c r="AC5351" t="s">
        <v>165</v>
      </c>
      <c r="AD5351" t="s">
        <v>45</v>
      </c>
      <c r="AF5351">
        <v>2</v>
      </c>
      <c r="AG5351" t="s">
        <v>158</v>
      </c>
      <c r="AH5351" s="36">
        <f t="shared" si="84"/>
        <v>120.71388888888889</v>
      </c>
      <c r="AI5351" s="17" t="s">
        <v>1773</v>
      </c>
    </row>
    <row r="5352" spans="1:35" x14ac:dyDescent="0.25">
      <c r="A5352" s="36">
        <v>99915350</v>
      </c>
      <c r="B5352" s="17" t="s">
        <v>56</v>
      </c>
      <c r="C5352" t="s">
        <v>58</v>
      </c>
      <c r="D5352" t="s">
        <v>59</v>
      </c>
      <c r="G5352" s="17" t="s">
        <v>35</v>
      </c>
      <c r="H5352" s="17">
        <v>1</v>
      </c>
      <c r="K5352" t="s">
        <v>157</v>
      </c>
      <c r="L5352" t="s">
        <v>158</v>
      </c>
      <c r="M5352" t="s">
        <v>131</v>
      </c>
      <c r="N5352">
        <v>20</v>
      </c>
      <c r="O5352" t="s">
        <v>40</v>
      </c>
      <c r="P5352" t="s">
        <v>40</v>
      </c>
      <c r="Q5352" t="s">
        <v>40</v>
      </c>
      <c r="S5352" t="s">
        <v>40</v>
      </c>
      <c r="V5352" t="s">
        <v>41</v>
      </c>
      <c r="W5352" t="s">
        <v>42</v>
      </c>
      <c r="X5352" t="str">
        <f>"0580250"</f>
        <v>0580250</v>
      </c>
      <c r="Y5352" t="s">
        <v>160</v>
      </c>
      <c r="Z5352" t="s">
        <v>157</v>
      </c>
      <c r="AA5352" t="s">
        <v>158</v>
      </c>
      <c r="AB5352" t="s">
        <v>131</v>
      </c>
      <c r="AC5352" t="s">
        <v>51</v>
      </c>
      <c r="AD5352" t="s">
        <v>45</v>
      </c>
      <c r="AF5352">
        <v>2</v>
      </c>
      <c r="AG5352" t="s">
        <v>158</v>
      </c>
      <c r="AH5352" s="36">
        <f t="shared" si="84"/>
        <v>120.71388888888889</v>
      </c>
      <c r="AI5352" s="17" t="s">
        <v>1773</v>
      </c>
    </row>
    <row r="5353" spans="1:35" x14ac:dyDescent="0.25">
      <c r="A5353" s="36">
        <v>99915351</v>
      </c>
      <c r="B5353" s="17" t="s">
        <v>56</v>
      </c>
      <c r="C5353" t="s">
        <v>46</v>
      </c>
      <c r="D5353" t="s">
        <v>47</v>
      </c>
      <c r="G5353" s="17" t="s">
        <v>35</v>
      </c>
      <c r="H5353" s="17">
        <v>1</v>
      </c>
      <c r="K5353" t="s">
        <v>162</v>
      </c>
      <c r="L5353" t="s">
        <v>158</v>
      </c>
      <c r="M5353" t="s">
        <v>131</v>
      </c>
      <c r="N5353">
        <v>16</v>
      </c>
      <c r="O5353" t="s">
        <v>40</v>
      </c>
      <c r="P5353" t="s">
        <v>40</v>
      </c>
      <c r="Q5353" t="s">
        <v>40</v>
      </c>
      <c r="S5353" t="s">
        <v>40</v>
      </c>
      <c r="V5353" t="s">
        <v>41</v>
      </c>
      <c r="W5353" t="s">
        <v>49</v>
      </c>
      <c r="X5353" t="str">
        <f>"0505050"</f>
        <v>0505050</v>
      </c>
      <c r="Y5353" t="s">
        <v>163</v>
      </c>
      <c r="Z5353" t="s">
        <v>162</v>
      </c>
      <c r="AA5353" t="s">
        <v>158</v>
      </c>
      <c r="AB5353" t="s">
        <v>131</v>
      </c>
      <c r="AC5353" t="s">
        <v>51</v>
      </c>
      <c r="AD5353" t="s">
        <v>45</v>
      </c>
      <c r="AF5353">
        <v>2</v>
      </c>
      <c r="AG5353" t="s">
        <v>158</v>
      </c>
      <c r="AH5353" s="36">
        <f t="shared" si="84"/>
        <v>120.71388888888889</v>
      </c>
      <c r="AI5353" s="17" t="s">
        <v>1773</v>
      </c>
    </row>
    <row r="5354" spans="1:35" x14ac:dyDescent="0.25">
      <c r="A5354" s="36">
        <v>99915352</v>
      </c>
      <c r="B5354" s="17" t="s">
        <v>32</v>
      </c>
      <c r="C5354" t="s">
        <v>141</v>
      </c>
      <c r="D5354" t="s">
        <v>142</v>
      </c>
      <c r="G5354" s="17" t="s">
        <v>35</v>
      </c>
      <c r="H5354" s="17">
        <v>1</v>
      </c>
      <c r="K5354" t="s">
        <v>157</v>
      </c>
      <c r="L5354" t="s">
        <v>158</v>
      </c>
      <c r="M5354" t="s">
        <v>131</v>
      </c>
      <c r="N5354">
        <v>5</v>
      </c>
      <c r="O5354" t="s">
        <v>40</v>
      </c>
      <c r="P5354" t="s">
        <v>40</v>
      </c>
      <c r="Q5354" t="s">
        <v>40</v>
      </c>
      <c r="S5354" t="s">
        <v>40</v>
      </c>
      <c r="V5354" t="s">
        <v>41</v>
      </c>
      <c r="W5354" t="s">
        <v>49</v>
      </c>
      <c r="X5354" t="str">
        <f>"0560011"</f>
        <v>0560011</v>
      </c>
      <c r="Y5354" t="s">
        <v>185</v>
      </c>
      <c r="Z5354" t="s">
        <v>157</v>
      </c>
      <c r="AA5354" t="s">
        <v>158</v>
      </c>
      <c r="AB5354" t="s">
        <v>131</v>
      </c>
      <c r="AC5354" t="s">
        <v>51</v>
      </c>
      <c r="AD5354" t="s">
        <v>45</v>
      </c>
      <c r="AF5354">
        <v>2</v>
      </c>
      <c r="AG5354" t="s">
        <v>158</v>
      </c>
      <c r="AH5354" s="36">
        <f t="shared" si="84"/>
        <v>120.71388888888889</v>
      </c>
      <c r="AI5354" s="17" t="s">
        <v>1773</v>
      </c>
    </row>
    <row r="5355" spans="1:35" x14ac:dyDescent="0.25">
      <c r="A5355" s="36">
        <v>99915353</v>
      </c>
      <c r="B5355" s="17" t="s">
        <v>32</v>
      </c>
      <c r="C5355" t="s">
        <v>64</v>
      </c>
      <c r="D5355" t="s">
        <v>65</v>
      </c>
      <c r="G5355" s="17" t="s">
        <v>35</v>
      </c>
      <c r="H5355" s="17">
        <v>1</v>
      </c>
      <c r="K5355" t="s">
        <v>157</v>
      </c>
      <c r="L5355" t="s">
        <v>158</v>
      </c>
      <c r="M5355" t="s">
        <v>131</v>
      </c>
      <c r="N5355">
        <v>30</v>
      </c>
      <c r="O5355" t="s">
        <v>40</v>
      </c>
      <c r="P5355" t="s">
        <v>40</v>
      </c>
      <c r="Q5355" t="s">
        <v>40</v>
      </c>
      <c r="S5355" t="s">
        <v>40</v>
      </c>
      <c r="V5355" t="s">
        <v>41</v>
      </c>
      <c r="W5355" t="s">
        <v>49</v>
      </c>
      <c r="X5355" t="str">
        <f>"0581725"</f>
        <v>0581725</v>
      </c>
      <c r="Y5355" t="s">
        <v>161</v>
      </c>
      <c r="Z5355" t="s">
        <v>157</v>
      </c>
      <c r="AA5355" t="s">
        <v>158</v>
      </c>
      <c r="AB5355" t="s">
        <v>131</v>
      </c>
      <c r="AC5355" t="s">
        <v>51</v>
      </c>
      <c r="AD5355" t="s">
        <v>45</v>
      </c>
      <c r="AF5355">
        <v>2</v>
      </c>
      <c r="AG5355" t="s">
        <v>158</v>
      </c>
      <c r="AH5355" s="36">
        <f t="shared" si="84"/>
        <v>120.71388888888889</v>
      </c>
      <c r="AI5355" s="17" t="s">
        <v>1773</v>
      </c>
    </row>
    <row r="5356" spans="1:35" x14ac:dyDescent="0.25">
      <c r="A5356" s="36">
        <v>99915354</v>
      </c>
      <c r="B5356" s="17" t="s">
        <v>32</v>
      </c>
      <c r="C5356" t="s">
        <v>64</v>
      </c>
      <c r="D5356" t="s">
        <v>65</v>
      </c>
      <c r="G5356" s="17" t="s">
        <v>35</v>
      </c>
      <c r="H5356" s="17">
        <v>1</v>
      </c>
      <c r="K5356" t="s">
        <v>157</v>
      </c>
      <c r="L5356" t="s">
        <v>158</v>
      </c>
      <c r="M5356" t="s">
        <v>131</v>
      </c>
      <c r="N5356">
        <v>6</v>
      </c>
      <c r="O5356" t="s">
        <v>40</v>
      </c>
      <c r="P5356" t="s">
        <v>40</v>
      </c>
      <c r="Q5356" t="s">
        <v>40</v>
      </c>
      <c r="S5356" t="s">
        <v>40</v>
      </c>
      <c r="V5356" t="s">
        <v>41</v>
      </c>
      <c r="W5356" t="s">
        <v>42</v>
      </c>
      <c r="X5356" t="str">
        <f>"0580470"</f>
        <v>0580470</v>
      </c>
      <c r="Y5356" t="s">
        <v>175</v>
      </c>
      <c r="Z5356" t="s">
        <v>157</v>
      </c>
      <c r="AA5356" t="s">
        <v>158</v>
      </c>
      <c r="AB5356" t="s">
        <v>131</v>
      </c>
      <c r="AC5356" t="s">
        <v>165</v>
      </c>
      <c r="AD5356" t="s">
        <v>45</v>
      </c>
      <c r="AF5356">
        <v>2</v>
      </c>
      <c r="AG5356" t="s">
        <v>158</v>
      </c>
      <c r="AH5356" s="36">
        <f t="shared" si="84"/>
        <v>120.71388888888889</v>
      </c>
      <c r="AI5356" s="17" t="s">
        <v>1773</v>
      </c>
    </row>
    <row r="5357" spans="1:35" x14ac:dyDescent="0.25">
      <c r="A5357" s="36">
        <v>99915355</v>
      </c>
      <c r="B5357" s="17" t="s">
        <v>56</v>
      </c>
      <c r="C5357" t="s">
        <v>52</v>
      </c>
      <c r="D5357" t="s">
        <v>53</v>
      </c>
      <c r="G5357" s="17" t="s">
        <v>35</v>
      </c>
      <c r="H5357" s="17">
        <v>1</v>
      </c>
      <c r="K5357" t="s">
        <v>157</v>
      </c>
      <c r="L5357" t="s">
        <v>158</v>
      </c>
      <c r="M5357" t="s">
        <v>131</v>
      </c>
      <c r="N5357">
        <v>23</v>
      </c>
      <c r="O5357" t="s">
        <v>40</v>
      </c>
      <c r="P5357" t="s">
        <v>40</v>
      </c>
      <c r="Q5357" t="s">
        <v>40</v>
      </c>
      <c r="S5357" t="s">
        <v>40</v>
      </c>
      <c r="V5357" t="s">
        <v>41</v>
      </c>
      <c r="W5357" t="s">
        <v>42</v>
      </c>
      <c r="X5357" t="str">
        <f>"0580250"</f>
        <v>0580250</v>
      </c>
      <c r="Y5357" t="s">
        <v>160</v>
      </c>
      <c r="Z5357" t="s">
        <v>157</v>
      </c>
      <c r="AA5357" t="s">
        <v>158</v>
      </c>
      <c r="AB5357" t="s">
        <v>131</v>
      </c>
      <c r="AC5357" t="s">
        <v>51</v>
      </c>
      <c r="AD5357" t="s">
        <v>45</v>
      </c>
      <c r="AF5357">
        <v>2</v>
      </c>
      <c r="AG5357" t="s">
        <v>158</v>
      </c>
      <c r="AH5357" s="36">
        <f t="shared" si="84"/>
        <v>120.71388888888889</v>
      </c>
      <c r="AI5357" s="17" t="s">
        <v>1773</v>
      </c>
    </row>
    <row r="5358" spans="1:35" x14ac:dyDescent="0.25">
      <c r="A5358" s="36">
        <v>99915356</v>
      </c>
      <c r="B5358" s="17" t="s">
        <v>56</v>
      </c>
      <c r="C5358" t="s">
        <v>46</v>
      </c>
      <c r="D5358" t="s">
        <v>47</v>
      </c>
      <c r="G5358" s="17" t="s">
        <v>35</v>
      </c>
      <c r="H5358" s="17">
        <v>1</v>
      </c>
      <c r="K5358" t="s">
        <v>157</v>
      </c>
      <c r="L5358" t="s">
        <v>158</v>
      </c>
      <c r="M5358" t="s">
        <v>131</v>
      </c>
      <c r="N5358">
        <v>20</v>
      </c>
      <c r="O5358" t="s">
        <v>40</v>
      </c>
      <c r="P5358" t="s">
        <v>40</v>
      </c>
      <c r="Q5358" t="s">
        <v>40</v>
      </c>
      <c r="S5358" t="s">
        <v>40</v>
      </c>
      <c r="V5358" t="s">
        <v>41</v>
      </c>
      <c r="W5358" t="s">
        <v>42</v>
      </c>
      <c r="X5358" t="str">
        <f>"0580250"</f>
        <v>0580250</v>
      </c>
      <c r="Y5358" t="s">
        <v>160</v>
      </c>
      <c r="Z5358" t="s">
        <v>157</v>
      </c>
      <c r="AA5358" t="s">
        <v>158</v>
      </c>
      <c r="AB5358" t="s">
        <v>131</v>
      </c>
      <c r="AC5358" t="s">
        <v>51</v>
      </c>
      <c r="AD5358" t="s">
        <v>45</v>
      </c>
      <c r="AF5358">
        <v>2</v>
      </c>
      <c r="AG5358" t="s">
        <v>158</v>
      </c>
      <c r="AH5358" s="36">
        <f t="shared" si="84"/>
        <v>120.71388888888889</v>
      </c>
      <c r="AI5358" s="17" t="s">
        <v>1773</v>
      </c>
    </row>
    <row r="5359" spans="1:35" x14ac:dyDescent="0.25">
      <c r="A5359" s="36">
        <v>99915357</v>
      </c>
      <c r="B5359" s="17" t="s">
        <v>32</v>
      </c>
      <c r="C5359" t="s">
        <v>64</v>
      </c>
      <c r="D5359" t="s">
        <v>65</v>
      </c>
      <c r="G5359" s="17" t="s">
        <v>35</v>
      </c>
      <c r="H5359" s="17">
        <v>1</v>
      </c>
      <c r="K5359" t="s">
        <v>157</v>
      </c>
      <c r="L5359" t="s">
        <v>158</v>
      </c>
      <c r="M5359" t="s">
        <v>131</v>
      </c>
      <c r="N5359">
        <v>30</v>
      </c>
      <c r="O5359" t="s">
        <v>40</v>
      </c>
      <c r="P5359" t="s">
        <v>40</v>
      </c>
      <c r="Q5359" t="s">
        <v>40</v>
      </c>
      <c r="S5359" t="s">
        <v>40</v>
      </c>
      <c r="V5359" t="s">
        <v>41</v>
      </c>
      <c r="W5359" t="s">
        <v>49</v>
      </c>
      <c r="X5359" t="str">
        <f>"0580505"</f>
        <v>0580505</v>
      </c>
      <c r="Y5359" t="s">
        <v>168</v>
      </c>
      <c r="Z5359" t="s">
        <v>157</v>
      </c>
      <c r="AA5359" t="s">
        <v>158</v>
      </c>
      <c r="AB5359" t="s">
        <v>131</v>
      </c>
      <c r="AC5359" t="s">
        <v>51</v>
      </c>
      <c r="AD5359" t="s">
        <v>45</v>
      </c>
      <c r="AF5359">
        <v>2</v>
      </c>
      <c r="AG5359" t="s">
        <v>158</v>
      </c>
      <c r="AH5359" s="36">
        <f t="shared" si="84"/>
        <v>120.71388888888889</v>
      </c>
      <c r="AI5359" s="17" t="s">
        <v>1773</v>
      </c>
    </row>
    <row r="5360" spans="1:35" x14ac:dyDescent="0.25">
      <c r="A5360" s="36">
        <v>99915358</v>
      </c>
      <c r="B5360" s="17" t="s">
        <v>56</v>
      </c>
      <c r="C5360" t="s">
        <v>46</v>
      </c>
      <c r="D5360" t="s">
        <v>47</v>
      </c>
      <c r="G5360" s="17" t="s">
        <v>35</v>
      </c>
      <c r="H5360" s="17">
        <v>1</v>
      </c>
      <c r="K5360" t="s">
        <v>157</v>
      </c>
      <c r="L5360" t="s">
        <v>158</v>
      </c>
      <c r="M5360" t="s">
        <v>131</v>
      </c>
      <c r="N5360">
        <v>27</v>
      </c>
      <c r="O5360" t="s">
        <v>40</v>
      </c>
      <c r="P5360" t="s">
        <v>40</v>
      </c>
      <c r="Q5360" t="s">
        <v>40</v>
      </c>
      <c r="S5360" t="s">
        <v>40</v>
      </c>
      <c r="V5360" t="s">
        <v>41</v>
      </c>
      <c r="W5360" t="s">
        <v>42</v>
      </c>
      <c r="X5360" t="str">
        <f>"0561005"</f>
        <v>0561005</v>
      </c>
      <c r="Y5360" t="s">
        <v>174</v>
      </c>
      <c r="Z5360" t="s">
        <v>157</v>
      </c>
      <c r="AA5360" t="s">
        <v>158</v>
      </c>
      <c r="AB5360" t="s">
        <v>131</v>
      </c>
      <c r="AC5360" t="s">
        <v>51</v>
      </c>
      <c r="AD5360" t="s">
        <v>45</v>
      </c>
      <c r="AF5360">
        <v>2</v>
      </c>
      <c r="AG5360" t="s">
        <v>158</v>
      </c>
      <c r="AH5360" s="36">
        <f t="shared" si="84"/>
        <v>120.71388888888889</v>
      </c>
      <c r="AI5360" s="17" t="s">
        <v>1773</v>
      </c>
    </row>
    <row r="5361" spans="1:35" x14ac:dyDescent="0.25">
      <c r="A5361" s="36">
        <v>99915359</v>
      </c>
      <c r="B5361" s="17" t="s">
        <v>32</v>
      </c>
      <c r="C5361" t="s">
        <v>58</v>
      </c>
      <c r="D5361" t="s">
        <v>59</v>
      </c>
      <c r="G5361" s="17" t="s">
        <v>35</v>
      </c>
      <c r="H5361" s="17">
        <v>1</v>
      </c>
      <c r="K5361" t="s">
        <v>157</v>
      </c>
      <c r="L5361" t="s">
        <v>158</v>
      </c>
      <c r="M5361" t="s">
        <v>131</v>
      </c>
      <c r="N5361">
        <v>18</v>
      </c>
      <c r="O5361" t="s">
        <v>40</v>
      </c>
      <c r="P5361" t="s">
        <v>40</v>
      </c>
      <c r="Q5361" t="s">
        <v>40</v>
      </c>
      <c r="S5361" t="s">
        <v>40</v>
      </c>
      <c r="V5361" t="s">
        <v>41</v>
      </c>
      <c r="W5361" t="s">
        <v>49</v>
      </c>
      <c r="X5361" t="str">
        <f>"0580505"</f>
        <v>0580505</v>
      </c>
      <c r="Y5361" t="s">
        <v>168</v>
      </c>
      <c r="Z5361" t="s">
        <v>157</v>
      </c>
      <c r="AA5361" t="s">
        <v>158</v>
      </c>
      <c r="AB5361" t="s">
        <v>131</v>
      </c>
      <c r="AC5361" t="s">
        <v>51</v>
      </c>
      <c r="AD5361" t="s">
        <v>45</v>
      </c>
      <c r="AF5361">
        <v>2</v>
      </c>
      <c r="AG5361" t="s">
        <v>158</v>
      </c>
      <c r="AH5361" s="36">
        <f t="shared" si="84"/>
        <v>120.71388888888889</v>
      </c>
      <c r="AI5361" s="17" t="s">
        <v>1773</v>
      </c>
    </row>
    <row r="5362" spans="1:35" x14ac:dyDescent="0.25">
      <c r="A5362" s="36">
        <v>99915360</v>
      </c>
      <c r="B5362" s="17" t="s">
        <v>32</v>
      </c>
      <c r="C5362" t="s">
        <v>61</v>
      </c>
      <c r="D5362" t="s">
        <v>62</v>
      </c>
      <c r="G5362" s="17" t="s">
        <v>35</v>
      </c>
      <c r="H5362" s="17">
        <v>1</v>
      </c>
      <c r="K5362" t="s">
        <v>157</v>
      </c>
      <c r="L5362" t="s">
        <v>158</v>
      </c>
      <c r="M5362" t="s">
        <v>131</v>
      </c>
      <c r="N5362">
        <v>30</v>
      </c>
      <c r="O5362" t="s">
        <v>40</v>
      </c>
      <c r="P5362" t="s">
        <v>40</v>
      </c>
      <c r="Q5362" t="s">
        <v>40</v>
      </c>
      <c r="S5362" t="s">
        <v>40</v>
      </c>
      <c r="V5362" t="s">
        <v>41</v>
      </c>
      <c r="W5362" t="s">
        <v>49</v>
      </c>
      <c r="X5362" t="str">
        <f>"0580505"</f>
        <v>0580505</v>
      </c>
      <c r="Y5362" t="s">
        <v>168</v>
      </c>
      <c r="Z5362" t="s">
        <v>157</v>
      </c>
      <c r="AA5362" t="s">
        <v>158</v>
      </c>
      <c r="AB5362" t="s">
        <v>131</v>
      </c>
      <c r="AC5362" t="s">
        <v>51</v>
      </c>
      <c r="AD5362" t="s">
        <v>45</v>
      </c>
      <c r="AF5362">
        <v>2</v>
      </c>
      <c r="AG5362" t="s">
        <v>158</v>
      </c>
      <c r="AH5362" s="36">
        <f t="shared" si="84"/>
        <v>120.71388888888889</v>
      </c>
      <c r="AI5362" s="17" t="s">
        <v>1773</v>
      </c>
    </row>
    <row r="5363" spans="1:35" x14ac:dyDescent="0.25">
      <c r="A5363" s="36">
        <v>99915361</v>
      </c>
      <c r="B5363" s="17" t="s">
        <v>56</v>
      </c>
      <c r="C5363" t="s">
        <v>52</v>
      </c>
      <c r="D5363" t="s">
        <v>53</v>
      </c>
      <c r="G5363" s="17" t="s">
        <v>35</v>
      </c>
      <c r="H5363" s="17">
        <v>1</v>
      </c>
      <c r="K5363" t="s">
        <v>157</v>
      </c>
      <c r="L5363" t="s">
        <v>158</v>
      </c>
      <c r="M5363" t="s">
        <v>131</v>
      </c>
      <c r="N5363">
        <v>21</v>
      </c>
      <c r="O5363" t="s">
        <v>40</v>
      </c>
      <c r="P5363" t="s">
        <v>40</v>
      </c>
      <c r="Q5363" t="s">
        <v>40</v>
      </c>
      <c r="S5363" t="s">
        <v>40</v>
      </c>
      <c r="V5363" t="s">
        <v>41</v>
      </c>
      <c r="W5363" t="s">
        <v>49</v>
      </c>
      <c r="X5363" t="str">
        <f>"0580505"</f>
        <v>0580505</v>
      </c>
      <c r="Y5363" t="s">
        <v>168</v>
      </c>
      <c r="Z5363" t="s">
        <v>157</v>
      </c>
      <c r="AA5363" t="s">
        <v>158</v>
      </c>
      <c r="AB5363" t="s">
        <v>131</v>
      </c>
      <c r="AC5363" t="s">
        <v>51</v>
      </c>
      <c r="AD5363" t="s">
        <v>45</v>
      </c>
      <c r="AF5363">
        <v>2</v>
      </c>
      <c r="AG5363" t="s">
        <v>158</v>
      </c>
      <c r="AH5363" s="36">
        <f t="shared" si="84"/>
        <v>120.71388888888889</v>
      </c>
      <c r="AI5363" s="17" t="s">
        <v>1773</v>
      </c>
    </row>
    <row r="5364" spans="1:35" x14ac:dyDescent="0.25">
      <c r="A5364" s="36">
        <v>99915362</v>
      </c>
      <c r="B5364" s="17" t="s">
        <v>32</v>
      </c>
      <c r="C5364" t="s">
        <v>46</v>
      </c>
      <c r="D5364" t="s">
        <v>47</v>
      </c>
      <c r="G5364" s="17" t="s">
        <v>35</v>
      </c>
      <c r="H5364" s="17">
        <v>1</v>
      </c>
      <c r="K5364" t="s">
        <v>157</v>
      </c>
      <c r="L5364" t="s">
        <v>158</v>
      </c>
      <c r="M5364" t="s">
        <v>131</v>
      </c>
      <c r="N5364">
        <v>20</v>
      </c>
      <c r="O5364" t="s">
        <v>40</v>
      </c>
      <c r="P5364" t="s">
        <v>40</v>
      </c>
      <c r="Q5364" t="s">
        <v>40</v>
      </c>
      <c r="S5364" t="s">
        <v>40</v>
      </c>
      <c r="V5364" t="s">
        <v>41</v>
      </c>
      <c r="W5364" t="s">
        <v>49</v>
      </c>
      <c r="X5364" t="str">
        <f>"0580505"</f>
        <v>0580505</v>
      </c>
      <c r="Y5364" t="s">
        <v>168</v>
      </c>
      <c r="Z5364" t="s">
        <v>157</v>
      </c>
      <c r="AA5364" t="s">
        <v>158</v>
      </c>
      <c r="AB5364" t="s">
        <v>131</v>
      </c>
      <c r="AC5364" t="s">
        <v>51</v>
      </c>
      <c r="AD5364" t="s">
        <v>45</v>
      </c>
      <c r="AF5364">
        <v>2</v>
      </c>
      <c r="AG5364" t="s">
        <v>158</v>
      </c>
      <c r="AH5364" s="36">
        <f t="shared" si="84"/>
        <v>120.71388888888889</v>
      </c>
      <c r="AI5364" s="17" t="s">
        <v>1773</v>
      </c>
    </row>
    <row r="5365" spans="1:35" x14ac:dyDescent="0.25">
      <c r="A5365" s="36">
        <v>99915363</v>
      </c>
      <c r="B5365" s="17" t="s">
        <v>56</v>
      </c>
      <c r="C5365" t="s">
        <v>79</v>
      </c>
      <c r="D5365" t="s">
        <v>80</v>
      </c>
      <c r="G5365" s="17" t="s">
        <v>35</v>
      </c>
      <c r="H5365" s="17">
        <v>1</v>
      </c>
      <c r="K5365" t="s">
        <v>162</v>
      </c>
      <c r="L5365" t="s">
        <v>158</v>
      </c>
      <c r="M5365" t="s">
        <v>131</v>
      </c>
      <c r="N5365">
        <v>20</v>
      </c>
      <c r="O5365" t="s">
        <v>40</v>
      </c>
      <c r="P5365" t="s">
        <v>40</v>
      </c>
      <c r="Q5365" t="s">
        <v>40</v>
      </c>
      <c r="S5365" t="s">
        <v>40</v>
      </c>
      <c r="V5365" t="s">
        <v>41</v>
      </c>
      <c r="W5365" t="s">
        <v>49</v>
      </c>
      <c r="X5365" t="str">
        <f>"0505050"</f>
        <v>0505050</v>
      </c>
      <c r="Y5365" t="s">
        <v>163</v>
      </c>
      <c r="Z5365" t="s">
        <v>162</v>
      </c>
      <c r="AA5365" t="s">
        <v>158</v>
      </c>
      <c r="AB5365" t="s">
        <v>131</v>
      </c>
      <c r="AC5365" t="s">
        <v>51</v>
      </c>
      <c r="AD5365" t="s">
        <v>45</v>
      </c>
      <c r="AF5365">
        <v>2</v>
      </c>
      <c r="AG5365" t="s">
        <v>158</v>
      </c>
      <c r="AH5365" s="36">
        <f t="shared" si="84"/>
        <v>120.71388888888889</v>
      </c>
      <c r="AI5365" s="17" t="s">
        <v>1773</v>
      </c>
    </row>
    <row r="5366" spans="1:35" x14ac:dyDescent="0.25">
      <c r="A5366" s="36">
        <v>99915364</v>
      </c>
      <c r="B5366" s="17" t="s">
        <v>56</v>
      </c>
      <c r="C5366" t="s">
        <v>64</v>
      </c>
      <c r="D5366" t="s">
        <v>65</v>
      </c>
      <c r="G5366" s="17" t="s">
        <v>35</v>
      </c>
      <c r="H5366" s="17">
        <v>1</v>
      </c>
      <c r="K5366" t="s">
        <v>157</v>
      </c>
      <c r="L5366" t="s">
        <v>158</v>
      </c>
      <c r="M5366" t="s">
        <v>131</v>
      </c>
      <c r="N5366">
        <v>30</v>
      </c>
      <c r="O5366" t="s">
        <v>40</v>
      </c>
      <c r="P5366" t="s">
        <v>40</v>
      </c>
      <c r="Q5366" t="s">
        <v>40</v>
      </c>
      <c r="S5366" t="s">
        <v>40</v>
      </c>
      <c r="V5366" t="s">
        <v>41</v>
      </c>
      <c r="W5366" t="s">
        <v>42</v>
      </c>
      <c r="X5366" t="str">
        <f>"0580725"</f>
        <v>0580725</v>
      </c>
      <c r="Y5366" t="s">
        <v>167</v>
      </c>
      <c r="Z5366" t="s">
        <v>157</v>
      </c>
      <c r="AA5366" t="s">
        <v>158</v>
      </c>
      <c r="AB5366" t="s">
        <v>131</v>
      </c>
      <c r="AC5366" t="s">
        <v>51</v>
      </c>
      <c r="AD5366" t="s">
        <v>45</v>
      </c>
      <c r="AF5366">
        <v>2</v>
      </c>
      <c r="AG5366" t="s">
        <v>158</v>
      </c>
      <c r="AH5366" s="36">
        <f t="shared" si="84"/>
        <v>120.71388888888889</v>
      </c>
      <c r="AI5366" s="17" t="s">
        <v>1773</v>
      </c>
    </row>
    <row r="5367" spans="1:35" x14ac:dyDescent="0.25">
      <c r="A5367" s="36">
        <v>99915365</v>
      </c>
      <c r="B5367" s="17" t="s">
        <v>32</v>
      </c>
      <c r="C5367" t="s">
        <v>82</v>
      </c>
      <c r="D5367" t="s">
        <v>83</v>
      </c>
      <c r="G5367" s="17" t="s">
        <v>35</v>
      </c>
      <c r="H5367" s="17">
        <v>1</v>
      </c>
      <c r="K5367" t="s">
        <v>157</v>
      </c>
      <c r="L5367" t="s">
        <v>158</v>
      </c>
      <c r="M5367" t="s">
        <v>131</v>
      </c>
      <c r="N5367">
        <v>20</v>
      </c>
      <c r="O5367" t="s">
        <v>40</v>
      </c>
      <c r="P5367" t="s">
        <v>40</v>
      </c>
      <c r="Q5367" t="s">
        <v>40</v>
      </c>
      <c r="S5367" t="s">
        <v>40</v>
      </c>
      <c r="V5367" t="s">
        <v>41</v>
      </c>
      <c r="W5367" t="s">
        <v>42</v>
      </c>
      <c r="X5367" t="str">
        <f>"0580250"</f>
        <v>0580250</v>
      </c>
      <c r="Y5367" t="s">
        <v>160</v>
      </c>
      <c r="Z5367" t="s">
        <v>157</v>
      </c>
      <c r="AA5367" t="s">
        <v>158</v>
      </c>
      <c r="AB5367" t="s">
        <v>131</v>
      </c>
      <c r="AC5367" t="s">
        <v>51</v>
      </c>
      <c r="AD5367" t="s">
        <v>45</v>
      </c>
      <c r="AF5367">
        <v>2</v>
      </c>
      <c r="AG5367" t="s">
        <v>158</v>
      </c>
      <c r="AH5367" s="36">
        <f t="shared" si="84"/>
        <v>120.71388888888889</v>
      </c>
      <c r="AI5367" s="17" t="s">
        <v>1773</v>
      </c>
    </row>
    <row r="5368" spans="1:35" x14ac:dyDescent="0.25">
      <c r="A5368" s="36">
        <v>99915366</v>
      </c>
      <c r="B5368" s="17" t="s">
        <v>56</v>
      </c>
      <c r="C5368" t="s">
        <v>52</v>
      </c>
      <c r="D5368" t="s">
        <v>53</v>
      </c>
      <c r="G5368" s="17" t="s">
        <v>35</v>
      </c>
      <c r="H5368" s="17">
        <v>1</v>
      </c>
      <c r="K5368" t="s">
        <v>157</v>
      </c>
      <c r="L5368" t="s">
        <v>158</v>
      </c>
      <c r="M5368" t="s">
        <v>131</v>
      </c>
      <c r="N5368">
        <v>18</v>
      </c>
      <c r="O5368" t="s">
        <v>40</v>
      </c>
      <c r="P5368" t="s">
        <v>40</v>
      </c>
      <c r="Q5368" t="s">
        <v>40</v>
      </c>
      <c r="S5368" t="s">
        <v>40</v>
      </c>
      <c r="V5368" t="s">
        <v>41</v>
      </c>
      <c r="W5368" t="s">
        <v>42</v>
      </c>
      <c r="X5368" t="str">
        <f>"0561005"</f>
        <v>0561005</v>
      </c>
      <c r="Y5368" t="s">
        <v>174</v>
      </c>
      <c r="Z5368" t="s">
        <v>157</v>
      </c>
      <c r="AA5368" t="s">
        <v>158</v>
      </c>
      <c r="AB5368" t="s">
        <v>131</v>
      </c>
      <c r="AC5368" t="s">
        <v>51</v>
      </c>
      <c r="AD5368" t="s">
        <v>45</v>
      </c>
      <c r="AF5368">
        <v>2</v>
      </c>
      <c r="AG5368" t="s">
        <v>158</v>
      </c>
      <c r="AH5368" s="36">
        <f t="shared" si="84"/>
        <v>120.71388888888889</v>
      </c>
      <c r="AI5368" s="17" t="s">
        <v>1773</v>
      </c>
    </row>
    <row r="5369" spans="1:35" x14ac:dyDescent="0.25">
      <c r="A5369" s="36">
        <v>99915367</v>
      </c>
      <c r="B5369" s="17" t="s">
        <v>32</v>
      </c>
      <c r="C5369" t="s">
        <v>33</v>
      </c>
      <c r="D5369" t="s">
        <v>34</v>
      </c>
      <c r="G5369" s="17" t="s">
        <v>35</v>
      </c>
      <c r="H5369" s="17">
        <v>1</v>
      </c>
      <c r="K5369" t="s">
        <v>157</v>
      </c>
      <c r="L5369" t="s">
        <v>158</v>
      </c>
      <c r="M5369" t="s">
        <v>131</v>
      </c>
      <c r="N5369">
        <v>23</v>
      </c>
      <c r="O5369" t="s">
        <v>40</v>
      </c>
      <c r="P5369" t="s">
        <v>40</v>
      </c>
      <c r="Q5369" t="s">
        <v>40</v>
      </c>
      <c r="S5369" t="s">
        <v>40</v>
      </c>
      <c r="V5369" t="s">
        <v>41</v>
      </c>
      <c r="W5369" t="s">
        <v>42</v>
      </c>
      <c r="X5369" t="str">
        <f>"0561005"</f>
        <v>0561005</v>
      </c>
      <c r="Y5369" t="s">
        <v>174</v>
      </c>
      <c r="Z5369" t="s">
        <v>157</v>
      </c>
      <c r="AA5369" t="s">
        <v>158</v>
      </c>
      <c r="AB5369" t="s">
        <v>131</v>
      </c>
      <c r="AC5369" t="s">
        <v>51</v>
      </c>
      <c r="AD5369" t="s">
        <v>45</v>
      </c>
      <c r="AF5369">
        <v>2</v>
      </c>
      <c r="AG5369" t="s">
        <v>158</v>
      </c>
      <c r="AH5369" s="36">
        <f t="shared" si="84"/>
        <v>120.71388888888889</v>
      </c>
      <c r="AI5369" s="17" t="s">
        <v>1773</v>
      </c>
    </row>
    <row r="5370" spans="1:35" x14ac:dyDescent="0.25">
      <c r="A5370" s="36">
        <v>99915368</v>
      </c>
      <c r="B5370" s="17" t="s">
        <v>56</v>
      </c>
      <c r="C5370" t="s">
        <v>46</v>
      </c>
      <c r="D5370" t="s">
        <v>47</v>
      </c>
      <c r="G5370" s="17" t="s">
        <v>35</v>
      </c>
      <c r="H5370" s="17">
        <v>1</v>
      </c>
      <c r="K5370" t="s">
        <v>157</v>
      </c>
      <c r="L5370" t="s">
        <v>158</v>
      </c>
      <c r="M5370" t="s">
        <v>131</v>
      </c>
      <c r="N5370">
        <v>11</v>
      </c>
      <c r="O5370" t="s">
        <v>40</v>
      </c>
      <c r="P5370" t="s">
        <v>40</v>
      </c>
      <c r="Q5370" t="s">
        <v>40</v>
      </c>
      <c r="S5370" t="s">
        <v>40</v>
      </c>
      <c r="V5370" t="s">
        <v>41</v>
      </c>
      <c r="W5370" t="s">
        <v>42</v>
      </c>
      <c r="X5370" t="str">
        <f>"0561005"</f>
        <v>0561005</v>
      </c>
      <c r="Y5370" t="s">
        <v>174</v>
      </c>
      <c r="Z5370" t="s">
        <v>157</v>
      </c>
      <c r="AA5370" t="s">
        <v>158</v>
      </c>
      <c r="AB5370" t="s">
        <v>131</v>
      </c>
      <c r="AC5370" t="s">
        <v>51</v>
      </c>
      <c r="AD5370" t="s">
        <v>45</v>
      </c>
      <c r="AF5370">
        <v>2</v>
      </c>
      <c r="AG5370" t="s">
        <v>158</v>
      </c>
      <c r="AH5370" s="36">
        <f t="shared" si="84"/>
        <v>120.71388888888889</v>
      </c>
      <c r="AI5370" s="17" t="s">
        <v>1773</v>
      </c>
    </row>
    <row r="5371" spans="1:35" x14ac:dyDescent="0.25">
      <c r="A5371" s="36">
        <v>99915369</v>
      </c>
      <c r="B5371" s="17" t="s">
        <v>32</v>
      </c>
      <c r="C5371" t="s">
        <v>139</v>
      </c>
      <c r="D5371" t="s">
        <v>140</v>
      </c>
      <c r="G5371" s="17" t="s">
        <v>35</v>
      </c>
      <c r="H5371" s="17">
        <v>1</v>
      </c>
      <c r="K5371" t="s">
        <v>157</v>
      </c>
      <c r="L5371" t="s">
        <v>158</v>
      </c>
      <c r="M5371" t="s">
        <v>131</v>
      </c>
      <c r="N5371">
        <v>10</v>
      </c>
      <c r="O5371" t="s">
        <v>40</v>
      </c>
      <c r="P5371" t="s">
        <v>40</v>
      </c>
      <c r="Q5371" t="s">
        <v>40</v>
      </c>
      <c r="S5371" t="s">
        <v>40</v>
      </c>
      <c r="V5371" t="s">
        <v>41</v>
      </c>
      <c r="W5371" t="s">
        <v>49</v>
      </c>
      <c r="X5371" t="str">
        <f>"0580505"</f>
        <v>0580505</v>
      </c>
      <c r="Y5371" t="s">
        <v>168</v>
      </c>
      <c r="Z5371" t="s">
        <v>157</v>
      </c>
      <c r="AA5371" t="s">
        <v>158</v>
      </c>
      <c r="AB5371" t="s">
        <v>131</v>
      </c>
      <c r="AC5371" t="s">
        <v>51</v>
      </c>
      <c r="AD5371" t="s">
        <v>45</v>
      </c>
      <c r="AF5371">
        <v>2</v>
      </c>
      <c r="AG5371" t="s">
        <v>158</v>
      </c>
      <c r="AH5371" s="36">
        <f t="shared" si="84"/>
        <v>120.71388888888889</v>
      </c>
      <c r="AI5371" s="17" t="s">
        <v>1773</v>
      </c>
    </row>
    <row r="5372" spans="1:35" x14ac:dyDescent="0.25">
      <c r="A5372" s="36">
        <v>99915370</v>
      </c>
      <c r="B5372" s="17" t="s">
        <v>32</v>
      </c>
      <c r="C5372" t="s">
        <v>79</v>
      </c>
      <c r="D5372" t="s">
        <v>80</v>
      </c>
      <c r="G5372" s="17" t="s">
        <v>35</v>
      </c>
      <c r="H5372" s="17">
        <v>1</v>
      </c>
      <c r="K5372" t="s">
        <v>157</v>
      </c>
      <c r="L5372" t="s">
        <v>158</v>
      </c>
      <c r="M5372" t="s">
        <v>131</v>
      </c>
      <c r="N5372">
        <v>24</v>
      </c>
      <c r="O5372" t="s">
        <v>40</v>
      </c>
      <c r="P5372" t="s">
        <v>40</v>
      </c>
      <c r="Q5372" t="s">
        <v>40</v>
      </c>
      <c r="S5372" t="s">
        <v>40</v>
      </c>
      <c r="V5372" t="s">
        <v>41</v>
      </c>
      <c r="W5372" t="s">
        <v>49</v>
      </c>
      <c r="X5372" t="str">
        <f>"0580505"</f>
        <v>0580505</v>
      </c>
      <c r="Y5372" t="s">
        <v>168</v>
      </c>
      <c r="Z5372" t="s">
        <v>157</v>
      </c>
      <c r="AA5372" t="s">
        <v>158</v>
      </c>
      <c r="AB5372" t="s">
        <v>131</v>
      </c>
      <c r="AC5372" t="s">
        <v>51</v>
      </c>
      <c r="AD5372" t="s">
        <v>45</v>
      </c>
      <c r="AF5372">
        <v>2</v>
      </c>
      <c r="AG5372" t="s">
        <v>158</v>
      </c>
      <c r="AH5372" s="36">
        <f t="shared" si="84"/>
        <v>120.71388888888889</v>
      </c>
      <c r="AI5372" s="17" t="s">
        <v>1773</v>
      </c>
    </row>
    <row r="5373" spans="1:35" x14ac:dyDescent="0.25">
      <c r="A5373" s="36">
        <v>99915371</v>
      </c>
      <c r="B5373" s="17" t="s">
        <v>32</v>
      </c>
      <c r="C5373" t="s">
        <v>204</v>
      </c>
      <c r="D5373" t="s">
        <v>205</v>
      </c>
      <c r="G5373" s="17" t="s">
        <v>35</v>
      </c>
      <c r="H5373" s="17">
        <v>1</v>
      </c>
      <c r="K5373" t="s">
        <v>157</v>
      </c>
      <c r="L5373" t="s">
        <v>158</v>
      </c>
      <c r="M5373" t="s">
        <v>131</v>
      </c>
      <c r="N5373">
        <v>23</v>
      </c>
      <c r="O5373" t="s">
        <v>40</v>
      </c>
      <c r="P5373" t="s">
        <v>40</v>
      </c>
      <c r="Q5373" t="s">
        <v>40</v>
      </c>
      <c r="S5373" t="s">
        <v>40</v>
      </c>
      <c r="V5373" t="s">
        <v>41</v>
      </c>
      <c r="W5373" t="s">
        <v>49</v>
      </c>
      <c r="X5373" t="str">
        <f>"0581725"</f>
        <v>0581725</v>
      </c>
      <c r="Y5373" t="s">
        <v>161</v>
      </c>
      <c r="Z5373" t="s">
        <v>157</v>
      </c>
      <c r="AA5373" t="s">
        <v>158</v>
      </c>
      <c r="AB5373" t="s">
        <v>131</v>
      </c>
      <c r="AC5373" t="s">
        <v>51</v>
      </c>
      <c r="AD5373" t="s">
        <v>45</v>
      </c>
      <c r="AF5373">
        <v>2</v>
      </c>
      <c r="AG5373" t="s">
        <v>158</v>
      </c>
      <c r="AH5373" s="36">
        <f t="shared" si="84"/>
        <v>120.71388888888889</v>
      </c>
      <c r="AI5373" s="17" t="s">
        <v>1773</v>
      </c>
    </row>
    <row r="5374" spans="1:35" x14ac:dyDescent="0.25">
      <c r="A5374" s="36">
        <v>99915372</v>
      </c>
      <c r="B5374" s="17" t="s">
        <v>56</v>
      </c>
      <c r="C5374" t="s">
        <v>68</v>
      </c>
      <c r="D5374" t="s">
        <v>69</v>
      </c>
      <c r="G5374" s="17" t="s">
        <v>35</v>
      </c>
      <c r="H5374" s="17">
        <v>1</v>
      </c>
      <c r="K5374" t="s">
        <v>157</v>
      </c>
      <c r="L5374" t="s">
        <v>158</v>
      </c>
      <c r="M5374" t="s">
        <v>131</v>
      </c>
      <c r="N5374">
        <v>14</v>
      </c>
      <c r="O5374" t="s">
        <v>40</v>
      </c>
      <c r="P5374" t="s">
        <v>40</v>
      </c>
      <c r="Q5374" t="s">
        <v>40</v>
      </c>
      <c r="S5374" t="s">
        <v>40</v>
      </c>
      <c r="V5374" t="s">
        <v>41</v>
      </c>
      <c r="W5374" t="s">
        <v>42</v>
      </c>
      <c r="X5374" t="str">
        <f>"0561005"</f>
        <v>0561005</v>
      </c>
      <c r="Y5374" t="s">
        <v>174</v>
      </c>
      <c r="Z5374" t="s">
        <v>157</v>
      </c>
      <c r="AA5374" t="s">
        <v>158</v>
      </c>
      <c r="AB5374" t="s">
        <v>131</v>
      </c>
      <c r="AC5374" t="s">
        <v>51</v>
      </c>
      <c r="AD5374" t="s">
        <v>45</v>
      </c>
      <c r="AF5374">
        <v>2</v>
      </c>
      <c r="AG5374" t="s">
        <v>158</v>
      </c>
      <c r="AH5374" s="36">
        <f t="shared" si="84"/>
        <v>120.71388888888889</v>
      </c>
      <c r="AI5374" s="17" t="s">
        <v>1773</v>
      </c>
    </row>
    <row r="5375" spans="1:35" x14ac:dyDescent="0.25">
      <c r="A5375" s="36">
        <v>99915373</v>
      </c>
      <c r="B5375" s="17" t="s">
        <v>56</v>
      </c>
      <c r="C5375" t="s">
        <v>79</v>
      </c>
      <c r="D5375" t="s">
        <v>80</v>
      </c>
      <c r="G5375" s="17" t="s">
        <v>35</v>
      </c>
      <c r="H5375" s="17">
        <v>1</v>
      </c>
      <c r="K5375" t="s">
        <v>157</v>
      </c>
      <c r="L5375" t="s">
        <v>158</v>
      </c>
      <c r="M5375" t="s">
        <v>131</v>
      </c>
      <c r="N5375">
        <v>24</v>
      </c>
      <c r="O5375" t="s">
        <v>40</v>
      </c>
      <c r="P5375" t="s">
        <v>40</v>
      </c>
      <c r="Q5375" t="s">
        <v>40</v>
      </c>
      <c r="S5375" t="s">
        <v>40</v>
      </c>
      <c r="V5375" t="s">
        <v>41</v>
      </c>
      <c r="W5375" t="s">
        <v>49</v>
      </c>
      <c r="X5375" t="str">
        <f>"0580505"</f>
        <v>0580505</v>
      </c>
      <c r="Y5375" t="s">
        <v>168</v>
      </c>
      <c r="Z5375" t="s">
        <v>157</v>
      </c>
      <c r="AA5375" t="s">
        <v>158</v>
      </c>
      <c r="AB5375" t="s">
        <v>131</v>
      </c>
      <c r="AC5375" t="s">
        <v>51</v>
      </c>
      <c r="AD5375" t="s">
        <v>45</v>
      </c>
      <c r="AF5375">
        <v>2</v>
      </c>
      <c r="AG5375" t="s">
        <v>158</v>
      </c>
      <c r="AH5375" s="36">
        <f t="shared" si="84"/>
        <v>120.71388888888889</v>
      </c>
      <c r="AI5375" s="17" t="s">
        <v>1773</v>
      </c>
    </row>
    <row r="5376" spans="1:35" x14ac:dyDescent="0.25">
      <c r="A5376" s="36">
        <v>99915374</v>
      </c>
      <c r="B5376" s="17" t="s">
        <v>32</v>
      </c>
      <c r="C5376" t="s">
        <v>46</v>
      </c>
      <c r="D5376" t="s">
        <v>47</v>
      </c>
      <c r="G5376" s="17" t="s">
        <v>35</v>
      </c>
      <c r="H5376" s="17">
        <v>1</v>
      </c>
      <c r="K5376" t="s">
        <v>157</v>
      </c>
      <c r="L5376" t="s">
        <v>158</v>
      </c>
      <c r="M5376" t="s">
        <v>131</v>
      </c>
      <c r="N5376">
        <v>18</v>
      </c>
      <c r="O5376" t="s">
        <v>40</v>
      </c>
      <c r="P5376" t="s">
        <v>40</v>
      </c>
      <c r="Q5376" t="s">
        <v>40</v>
      </c>
      <c r="S5376" t="s">
        <v>40</v>
      </c>
      <c r="V5376" t="s">
        <v>41</v>
      </c>
      <c r="W5376" t="s">
        <v>42</v>
      </c>
      <c r="X5376" t="str">
        <f>"0561005"</f>
        <v>0561005</v>
      </c>
      <c r="Y5376" t="s">
        <v>174</v>
      </c>
      <c r="Z5376" t="s">
        <v>157</v>
      </c>
      <c r="AA5376" t="s">
        <v>158</v>
      </c>
      <c r="AB5376" t="s">
        <v>131</v>
      </c>
      <c r="AC5376" t="s">
        <v>51</v>
      </c>
      <c r="AD5376" t="s">
        <v>45</v>
      </c>
      <c r="AF5376">
        <v>2</v>
      </c>
      <c r="AG5376" t="s">
        <v>158</v>
      </c>
      <c r="AH5376" s="36">
        <f t="shared" si="84"/>
        <v>120.71388888888889</v>
      </c>
      <c r="AI5376" s="17" t="s">
        <v>1773</v>
      </c>
    </row>
    <row r="5377" spans="1:35" x14ac:dyDescent="0.25">
      <c r="A5377" s="36">
        <v>99915375</v>
      </c>
      <c r="B5377" s="17" t="s">
        <v>56</v>
      </c>
      <c r="C5377" t="s">
        <v>46</v>
      </c>
      <c r="D5377" t="s">
        <v>47</v>
      </c>
      <c r="G5377" s="17" t="s">
        <v>35</v>
      </c>
      <c r="H5377" s="17">
        <v>1</v>
      </c>
      <c r="K5377" t="s">
        <v>157</v>
      </c>
      <c r="L5377" t="s">
        <v>158</v>
      </c>
      <c r="M5377" t="s">
        <v>131</v>
      </c>
      <c r="N5377">
        <v>18</v>
      </c>
      <c r="O5377" t="s">
        <v>40</v>
      </c>
      <c r="P5377" t="s">
        <v>40</v>
      </c>
      <c r="Q5377" t="s">
        <v>40</v>
      </c>
      <c r="S5377" t="s">
        <v>40</v>
      </c>
      <c r="V5377" t="s">
        <v>41</v>
      </c>
      <c r="W5377" t="s">
        <v>42</v>
      </c>
      <c r="X5377" t="str">
        <f>"0561005"</f>
        <v>0561005</v>
      </c>
      <c r="Y5377" t="s">
        <v>174</v>
      </c>
      <c r="Z5377" t="s">
        <v>157</v>
      </c>
      <c r="AA5377" t="s">
        <v>158</v>
      </c>
      <c r="AB5377" t="s">
        <v>131</v>
      </c>
      <c r="AC5377" t="s">
        <v>51</v>
      </c>
      <c r="AD5377" t="s">
        <v>45</v>
      </c>
      <c r="AF5377">
        <v>2</v>
      </c>
      <c r="AG5377" t="s">
        <v>158</v>
      </c>
      <c r="AH5377" s="36">
        <f t="shared" si="84"/>
        <v>120.71388888888889</v>
      </c>
      <c r="AI5377" s="17" t="s">
        <v>1773</v>
      </c>
    </row>
    <row r="5378" spans="1:35" x14ac:dyDescent="0.25">
      <c r="A5378" s="36">
        <v>99915376</v>
      </c>
      <c r="B5378" s="17" t="s">
        <v>32</v>
      </c>
      <c r="C5378" t="s">
        <v>64</v>
      </c>
      <c r="D5378" t="s">
        <v>65</v>
      </c>
      <c r="G5378" s="17" t="s">
        <v>35</v>
      </c>
      <c r="H5378" s="17">
        <v>1</v>
      </c>
      <c r="K5378" t="s">
        <v>157</v>
      </c>
      <c r="L5378" t="s">
        <v>158</v>
      </c>
      <c r="M5378" t="s">
        <v>131</v>
      </c>
      <c r="N5378">
        <v>30</v>
      </c>
      <c r="O5378" t="s">
        <v>40</v>
      </c>
      <c r="P5378" t="s">
        <v>40</v>
      </c>
      <c r="Q5378" t="s">
        <v>40</v>
      </c>
      <c r="S5378" t="s">
        <v>40</v>
      </c>
      <c r="V5378" t="s">
        <v>41</v>
      </c>
      <c r="W5378" t="s">
        <v>49</v>
      </c>
      <c r="X5378" t="str">
        <f>"0580505"</f>
        <v>0580505</v>
      </c>
      <c r="Y5378" t="s">
        <v>168</v>
      </c>
      <c r="Z5378" t="s">
        <v>157</v>
      </c>
      <c r="AA5378" t="s">
        <v>158</v>
      </c>
      <c r="AB5378" t="s">
        <v>131</v>
      </c>
      <c r="AC5378" t="s">
        <v>51</v>
      </c>
      <c r="AD5378" t="s">
        <v>45</v>
      </c>
      <c r="AF5378">
        <v>2</v>
      </c>
      <c r="AG5378" t="s">
        <v>158</v>
      </c>
      <c r="AH5378" s="36">
        <f t="shared" ref="AH5378:AH5441" si="85">($AJ$1-AE5378)/360</f>
        <v>120.71388888888889</v>
      </c>
      <c r="AI5378" s="17" t="s">
        <v>1773</v>
      </c>
    </row>
    <row r="5379" spans="1:35" x14ac:dyDescent="0.25">
      <c r="A5379" s="36">
        <v>99915377</v>
      </c>
      <c r="B5379" s="17" t="s">
        <v>32</v>
      </c>
      <c r="C5379" t="s">
        <v>143</v>
      </c>
      <c r="D5379" t="s">
        <v>144</v>
      </c>
      <c r="G5379" s="17" t="s">
        <v>35</v>
      </c>
      <c r="H5379" s="17">
        <v>1</v>
      </c>
      <c r="I5379" t="s">
        <v>206</v>
      </c>
      <c r="J5379" s="1">
        <v>43344</v>
      </c>
      <c r="K5379" t="s">
        <v>157</v>
      </c>
      <c r="L5379" t="s">
        <v>158</v>
      </c>
      <c r="M5379" t="s">
        <v>131</v>
      </c>
      <c r="N5379">
        <v>9</v>
      </c>
      <c r="O5379" t="s">
        <v>40</v>
      </c>
      <c r="S5379" t="s">
        <v>40</v>
      </c>
      <c r="U5379" s="1">
        <v>43344</v>
      </c>
      <c r="V5379" t="s">
        <v>41</v>
      </c>
      <c r="W5379" t="s">
        <v>49</v>
      </c>
      <c r="X5379" t="str">
        <f>"0560011"</f>
        <v>0560011</v>
      </c>
      <c r="Y5379" t="s">
        <v>185</v>
      </c>
      <c r="Z5379" t="s">
        <v>157</v>
      </c>
      <c r="AA5379" t="s">
        <v>158</v>
      </c>
      <c r="AB5379" t="s">
        <v>131</v>
      </c>
      <c r="AC5379" t="s">
        <v>44</v>
      </c>
      <c r="AD5379" t="s">
        <v>45</v>
      </c>
      <c r="AF5379">
        <v>2</v>
      </c>
      <c r="AG5379" t="s">
        <v>158</v>
      </c>
      <c r="AH5379" s="36">
        <f t="shared" si="85"/>
        <v>120.71388888888889</v>
      </c>
      <c r="AI5379" s="17" t="s">
        <v>1773</v>
      </c>
    </row>
    <row r="5380" spans="1:35" x14ac:dyDescent="0.25">
      <c r="A5380" s="36">
        <v>99915378</v>
      </c>
      <c r="B5380" s="17" t="s">
        <v>56</v>
      </c>
      <c r="C5380" t="s">
        <v>52</v>
      </c>
      <c r="D5380" t="s">
        <v>53</v>
      </c>
      <c r="G5380" s="17" t="s">
        <v>35</v>
      </c>
      <c r="H5380" s="17">
        <v>1</v>
      </c>
      <c r="K5380" t="s">
        <v>157</v>
      </c>
      <c r="L5380" t="s">
        <v>158</v>
      </c>
      <c r="M5380" t="s">
        <v>131</v>
      </c>
      <c r="N5380">
        <v>18</v>
      </c>
      <c r="O5380" t="s">
        <v>40</v>
      </c>
      <c r="P5380" t="s">
        <v>40</v>
      </c>
      <c r="Q5380" t="s">
        <v>40</v>
      </c>
      <c r="S5380" t="s">
        <v>40</v>
      </c>
      <c r="V5380" t="s">
        <v>41</v>
      </c>
      <c r="W5380" t="s">
        <v>42</v>
      </c>
      <c r="X5380" t="str">
        <f>"0561005"</f>
        <v>0561005</v>
      </c>
      <c r="Y5380" t="s">
        <v>174</v>
      </c>
      <c r="Z5380" t="s">
        <v>157</v>
      </c>
      <c r="AA5380" t="s">
        <v>158</v>
      </c>
      <c r="AB5380" t="s">
        <v>131</v>
      </c>
      <c r="AC5380" t="s">
        <v>51</v>
      </c>
      <c r="AD5380" t="s">
        <v>45</v>
      </c>
      <c r="AF5380">
        <v>2</v>
      </c>
      <c r="AG5380" t="s">
        <v>158</v>
      </c>
      <c r="AH5380" s="36">
        <f t="shared" si="85"/>
        <v>120.71388888888889</v>
      </c>
      <c r="AI5380" s="17" t="s">
        <v>1773</v>
      </c>
    </row>
    <row r="5381" spans="1:35" x14ac:dyDescent="0.25">
      <c r="A5381" s="36">
        <v>99915379</v>
      </c>
      <c r="B5381" s="17" t="s">
        <v>56</v>
      </c>
      <c r="C5381" t="s">
        <v>79</v>
      </c>
      <c r="D5381" t="s">
        <v>80</v>
      </c>
      <c r="G5381" s="17" t="s">
        <v>35</v>
      </c>
      <c r="H5381" s="17">
        <v>1</v>
      </c>
      <c r="K5381" t="s">
        <v>162</v>
      </c>
      <c r="L5381" t="s">
        <v>158</v>
      </c>
      <c r="M5381" t="s">
        <v>131</v>
      </c>
      <c r="N5381">
        <v>18</v>
      </c>
      <c r="O5381" t="s">
        <v>40</v>
      </c>
      <c r="P5381" t="s">
        <v>40</v>
      </c>
      <c r="Q5381" t="s">
        <v>40</v>
      </c>
      <c r="S5381" t="s">
        <v>40</v>
      </c>
      <c r="V5381" t="s">
        <v>41</v>
      </c>
      <c r="W5381" t="s">
        <v>49</v>
      </c>
      <c r="X5381" t="str">
        <f>"0505050"</f>
        <v>0505050</v>
      </c>
      <c r="Y5381" t="s">
        <v>163</v>
      </c>
      <c r="Z5381" t="s">
        <v>162</v>
      </c>
      <c r="AA5381" t="s">
        <v>158</v>
      </c>
      <c r="AB5381" t="s">
        <v>131</v>
      </c>
      <c r="AC5381" t="s">
        <v>51</v>
      </c>
      <c r="AD5381" t="s">
        <v>45</v>
      </c>
      <c r="AF5381">
        <v>2</v>
      </c>
      <c r="AG5381" t="s">
        <v>158</v>
      </c>
      <c r="AH5381" s="36">
        <f t="shared" si="85"/>
        <v>120.71388888888889</v>
      </c>
      <c r="AI5381" s="17" t="s">
        <v>1773</v>
      </c>
    </row>
    <row r="5382" spans="1:35" x14ac:dyDescent="0.25">
      <c r="A5382" s="36">
        <v>99915380</v>
      </c>
      <c r="B5382" s="17" t="s">
        <v>32</v>
      </c>
      <c r="C5382" t="s">
        <v>46</v>
      </c>
      <c r="D5382" t="s">
        <v>47</v>
      </c>
      <c r="G5382" s="17" t="s">
        <v>35</v>
      </c>
      <c r="H5382" s="17">
        <v>1</v>
      </c>
      <c r="K5382" t="s">
        <v>157</v>
      </c>
      <c r="L5382" t="s">
        <v>158</v>
      </c>
      <c r="M5382" t="s">
        <v>131</v>
      </c>
      <c r="N5382">
        <v>18</v>
      </c>
      <c r="O5382" t="s">
        <v>40</v>
      </c>
      <c r="P5382" t="s">
        <v>40</v>
      </c>
      <c r="Q5382" t="s">
        <v>40</v>
      </c>
      <c r="S5382" t="s">
        <v>40</v>
      </c>
      <c r="V5382" t="s">
        <v>41</v>
      </c>
      <c r="W5382" t="s">
        <v>42</v>
      </c>
      <c r="X5382" t="str">
        <f>"0561005"</f>
        <v>0561005</v>
      </c>
      <c r="Y5382" t="s">
        <v>174</v>
      </c>
      <c r="Z5382" t="s">
        <v>157</v>
      </c>
      <c r="AA5382" t="s">
        <v>158</v>
      </c>
      <c r="AB5382" t="s">
        <v>131</v>
      </c>
      <c r="AC5382" t="s">
        <v>51</v>
      </c>
      <c r="AD5382" t="s">
        <v>45</v>
      </c>
      <c r="AF5382">
        <v>2</v>
      </c>
      <c r="AG5382" t="s">
        <v>158</v>
      </c>
      <c r="AH5382" s="36">
        <f t="shared" si="85"/>
        <v>120.71388888888889</v>
      </c>
      <c r="AI5382" s="17" t="s">
        <v>1773</v>
      </c>
    </row>
    <row r="5383" spans="1:35" x14ac:dyDescent="0.25">
      <c r="A5383" s="36">
        <v>99915381</v>
      </c>
      <c r="B5383" s="17" t="s">
        <v>32</v>
      </c>
      <c r="C5383" t="s">
        <v>85</v>
      </c>
      <c r="D5383" t="s">
        <v>86</v>
      </c>
      <c r="G5383" s="17" t="s">
        <v>35</v>
      </c>
      <c r="H5383" s="17">
        <v>1</v>
      </c>
      <c r="K5383" t="s">
        <v>162</v>
      </c>
      <c r="L5383" t="s">
        <v>158</v>
      </c>
      <c r="M5383" t="s">
        <v>131</v>
      </c>
      <c r="N5383">
        <v>20</v>
      </c>
      <c r="O5383" t="s">
        <v>40</v>
      </c>
      <c r="P5383" t="s">
        <v>40</v>
      </c>
      <c r="Q5383" t="s">
        <v>40</v>
      </c>
      <c r="S5383" t="s">
        <v>40</v>
      </c>
      <c r="V5383" t="s">
        <v>41</v>
      </c>
      <c r="W5383" t="s">
        <v>49</v>
      </c>
      <c r="X5383" t="str">
        <f>"0505050"</f>
        <v>0505050</v>
      </c>
      <c r="Y5383" t="s">
        <v>163</v>
      </c>
      <c r="Z5383" t="s">
        <v>162</v>
      </c>
      <c r="AA5383" t="s">
        <v>158</v>
      </c>
      <c r="AB5383" t="s">
        <v>131</v>
      </c>
      <c r="AC5383" t="s">
        <v>165</v>
      </c>
      <c r="AD5383" t="s">
        <v>45</v>
      </c>
      <c r="AF5383">
        <v>2</v>
      </c>
      <c r="AG5383" t="s">
        <v>158</v>
      </c>
      <c r="AH5383" s="36">
        <f t="shared" si="85"/>
        <v>120.71388888888889</v>
      </c>
      <c r="AI5383" s="17" t="s">
        <v>1773</v>
      </c>
    </row>
    <row r="5384" spans="1:35" x14ac:dyDescent="0.25">
      <c r="A5384" s="36">
        <v>99915382</v>
      </c>
      <c r="B5384" s="17" t="s">
        <v>32</v>
      </c>
      <c r="C5384" t="s">
        <v>68</v>
      </c>
      <c r="D5384" t="s">
        <v>69</v>
      </c>
      <c r="G5384" s="17" t="s">
        <v>35</v>
      </c>
      <c r="H5384" s="17">
        <v>1</v>
      </c>
      <c r="K5384" t="s">
        <v>157</v>
      </c>
      <c r="L5384" t="s">
        <v>158</v>
      </c>
      <c r="M5384" t="s">
        <v>131</v>
      </c>
      <c r="N5384">
        <v>24</v>
      </c>
      <c r="O5384" t="s">
        <v>40</v>
      </c>
      <c r="P5384" t="s">
        <v>40</v>
      </c>
      <c r="Q5384" t="s">
        <v>40</v>
      </c>
      <c r="S5384" t="s">
        <v>40</v>
      </c>
      <c r="V5384" t="s">
        <v>41</v>
      </c>
      <c r="W5384" t="s">
        <v>49</v>
      </c>
      <c r="X5384" t="str">
        <f>"0580505"</f>
        <v>0580505</v>
      </c>
      <c r="Y5384" t="s">
        <v>168</v>
      </c>
      <c r="Z5384" t="s">
        <v>157</v>
      </c>
      <c r="AA5384" t="s">
        <v>158</v>
      </c>
      <c r="AB5384" t="s">
        <v>131</v>
      </c>
      <c r="AC5384" t="s">
        <v>51</v>
      </c>
      <c r="AD5384" t="s">
        <v>45</v>
      </c>
      <c r="AF5384">
        <v>2</v>
      </c>
      <c r="AG5384" t="s">
        <v>158</v>
      </c>
      <c r="AH5384" s="36">
        <f t="shared" si="85"/>
        <v>120.71388888888889</v>
      </c>
      <c r="AI5384" s="17" t="s">
        <v>1773</v>
      </c>
    </row>
    <row r="5385" spans="1:35" x14ac:dyDescent="0.25">
      <c r="A5385" s="36">
        <v>99915383</v>
      </c>
      <c r="B5385" s="17" t="s">
        <v>56</v>
      </c>
      <c r="C5385" t="s">
        <v>52</v>
      </c>
      <c r="D5385" t="s">
        <v>53</v>
      </c>
      <c r="G5385" s="17" t="s">
        <v>35</v>
      </c>
      <c r="H5385" s="17">
        <v>1</v>
      </c>
      <c r="K5385" t="s">
        <v>157</v>
      </c>
      <c r="L5385" t="s">
        <v>158</v>
      </c>
      <c r="M5385" t="s">
        <v>131</v>
      </c>
      <c r="N5385">
        <v>21</v>
      </c>
      <c r="O5385" t="s">
        <v>40</v>
      </c>
      <c r="P5385" t="s">
        <v>40</v>
      </c>
      <c r="Q5385" t="s">
        <v>40</v>
      </c>
      <c r="S5385" t="s">
        <v>40</v>
      </c>
      <c r="V5385" t="s">
        <v>41</v>
      </c>
      <c r="W5385" t="s">
        <v>49</v>
      </c>
      <c r="X5385" t="str">
        <f>"0580505"</f>
        <v>0580505</v>
      </c>
      <c r="Y5385" t="s">
        <v>168</v>
      </c>
      <c r="Z5385" t="s">
        <v>157</v>
      </c>
      <c r="AA5385" t="s">
        <v>158</v>
      </c>
      <c r="AB5385" t="s">
        <v>131</v>
      </c>
      <c r="AC5385" t="s">
        <v>51</v>
      </c>
      <c r="AD5385" t="s">
        <v>45</v>
      </c>
      <c r="AF5385">
        <v>2</v>
      </c>
      <c r="AG5385" t="s">
        <v>158</v>
      </c>
      <c r="AH5385" s="36">
        <f t="shared" si="85"/>
        <v>120.71388888888889</v>
      </c>
      <c r="AI5385" s="17" t="s">
        <v>1773</v>
      </c>
    </row>
    <row r="5386" spans="1:35" x14ac:dyDescent="0.25">
      <c r="A5386" s="36">
        <v>99915384</v>
      </c>
      <c r="B5386" s="17" t="s">
        <v>32</v>
      </c>
      <c r="C5386" t="s">
        <v>64</v>
      </c>
      <c r="D5386" t="s">
        <v>65</v>
      </c>
      <c r="G5386" s="17" t="s">
        <v>35</v>
      </c>
      <c r="H5386" s="17">
        <v>1</v>
      </c>
      <c r="K5386" t="s">
        <v>157</v>
      </c>
      <c r="L5386" t="s">
        <v>158</v>
      </c>
      <c r="M5386" t="s">
        <v>131</v>
      </c>
      <c r="N5386">
        <v>26</v>
      </c>
      <c r="O5386" t="s">
        <v>40</v>
      </c>
      <c r="P5386" t="s">
        <v>40</v>
      </c>
      <c r="Q5386" t="s">
        <v>40</v>
      </c>
      <c r="S5386" t="s">
        <v>40</v>
      </c>
      <c r="V5386" t="s">
        <v>41</v>
      </c>
      <c r="W5386" t="s">
        <v>49</v>
      </c>
      <c r="X5386" t="str">
        <f>"0580505"</f>
        <v>0580505</v>
      </c>
      <c r="Y5386" t="s">
        <v>168</v>
      </c>
      <c r="Z5386" t="s">
        <v>157</v>
      </c>
      <c r="AA5386" t="s">
        <v>158</v>
      </c>
      <c r="AB5386" t="s">
        <v>131</v>
      </c>
      <c r="AC5386" t="s">
        <v>51</v>
      </c>
      <c r="AD5386" t="s">
        <v>45</v>
      </c>
      <c r="AF5386">
        <v>2</v>
      </c>
      <c r="AG5386" t="s">
        <v>158</v>
      </c>
      <c r="AH5386" s="36">
        <f t="shared" si="85"/>
        <v>120.71388888888889</v>
      </c>
      <c r="AI5386" s="17" t="s">
        <v>1773</v>
      </c>
    </row>
    <row r="5387" spans="1:35" x14ac:dyDescent="0.25">
      <c r="A5387" s="36">
        <v>99915385</v>
      </c>
      <c r="B5387" s="17" t="s">
        <v>56</v>
      </c>
      <c r="C5387" t="s">
        <v>141</v>
      </c>
      <c r="D5387" t="s">
        <v>142</v>
      </c>
      <c r="G5387" s="17" t="s">
        <v>35</v>
      </c>
      <c r="H5387" s="17">
        <v>1</v>
      </c>
      <c r="K5387" t="s">
        <v>157</v>
      </c>
      <c r="L5387" t="s">
        <v>158</v>
      </c>
      <c r="M5387" t="s">
        <v>131</v>
      </c>
      <c r="N5387">
        <v>11</v>
      </c>
      <c r="O5387" t="s">
        <v>40</v>
      </c>
      <c r="P5387" t="s">
        <v>40</v>
      </c>
      <c r="Q5387" t="s">
        <v>40</v>
      </c>
      <c r="S5387" t="s">
        <v>40</v>
      </c>
      <c r="V5387" t="s">
        <v>41</v>
      </c>
      <c r="W5387" t="s">
        <v>49</v>
      </c>
      <c r="X5387" t="str">
        <f>"0580505"</f>
        <v>0580505</v>
      </c>
      <c r="Y5387" t="s">
        <v>168</v>
      </c>
      <c r="Z5387" t="s">
        <v>157</v>
      </c>
      <c r="AA5387" t="s">
        <v>158</v>
      </c>
      <c r="AB5387" t="s">
        <v>131</v>
      </c>
      <c r="AC5387" t="s">
        <v>51</v>
      </c>
      <c r="AD5387" t="s">
        <v>45</v>
      </c>
      <c r="AF5387">
        <v>2</v>
      </c>
      <c r="AG5387" t="s">
        <v>158</v>
      </c>
      <c r="AH5387" s="36">
        <f t="shared" si="85"/>
        <v>120.71388888888889</v>
      </c>
      <c r="AI5387" s="17" t="s">
        <v>1773</v>
      </c>
    </row>
    <row r="5388" spans="1:35" x14ac:dyDescent="0.25">
      <c r="A5388" s="36">
        <v>99915386</v>
      </c>
      <c r="B5388" s="17" t="s">
        <v>32</v>
      </c>
      <c r="C5388" t="s">
        <v>79</v>
      </c>
      <c r="D5388" t="s">
        <v>80</v>
      </c>
      <c r="G5388" s="17" t="s">
        <v>35</v>
      </c>
      <c r="H5388" s="17">
        <v>1</v>
      </c>
      <c r="K5388" t="s">
        <v>157</v>
      </c>
      <c r="L5388" t="s">
        <v>158</v>
      </c>
      <c r="M5388" t="s">
        <v>131</v>
      </c>
      <c r="N5388">
        <v>3</v>
      </c>
      <c r="O5388" t="s">
        <v>40</v>
      </c>
      <c r="P5388" t="s">
        <v>40</v>
      </c>
      <c r="Q5388" t="s">
        <v>40</v>
      </c>
      <c r="S5388" t="s">
        <v>40</v>
      </c>
      <c r="V5388" t="s">
        <v>41</v>
      </c>
      <c r="W5388" t="s">
        <v>42</v>
      </c>
      <c r="X5388" t="str">
        <f>"0580470"</f>
        <v>0580470</v>
      </c>
      <c r="Y5388" t="s">
        <v>175</v>
      </c>
      <c r="Z5388" t="s">
        <v>157</v>
      </c>
      <c r="AA5388" t="s">
        <v>158</v>
      </c>
      <c r="AB5388" t="s">
        <v>131</v>
      </c>
      <c r="AC5388" t="s">
        <v>165</v>
      </c>
      <c r="AD5388" t="s">
        <v>45</v>
      </c>
      <c r="AF5388">
        <v>2</v>
      </c>
      <c r="AG5388" t="s">
        <v>158</v>
      </c>
      <c r="AH5388" s="36">
        <f t="shared" si="85"/>
        <v>120.71388888888889</v>
      </c>
      <c r="AI5388" s="17" t="s">
        <v>1773</v>
      </c>
    </row>
    <row r="5389" spans="1:35" x14ac:dyDescent="0.25">
      <c r="A5389" s="36">
        <v>99915387</v>
      </c>
      <c r="B5389" s="17" t="s">
        <v>56</v>
      </c>
      <c r="C5389" t="s">
        <v>85</v>
      </c>
      <c r="D5389" t="s">
        <v>86</v>
      </c>
      <c r="G5389" s="17" t="s">
        <v>35</v>
      </c>
      <c r="H5389" s="17">
        <v>1</v>
      </c>
      <c r="K5389" t="s">
        <v>157</v>
      </c>
      <c r="L5389" t="s">
        <v>158</v>
      </c>
      <c r="M5389" t="s">
        <v>131</v>
      </c>
      <c r="N5389">
        <v>28</v>
      </c>
      <c r="O5389" t="s">
        <v>40</v>
      </c>
      <c r="P5389" t="s">
        <v>40</v>
      </c>
      <c r="Q5389" t="s">
        <v>40</v>
      </c>
      <c r="S5389" t="s">
        <v>40</v>
      </c>
      <c r="V5389" t="s">
        <v>41</v>
      </c>
      <c r="W5389" t="s">
        <v>49</v>
      </c>
      <c r="X5389" t="str">
        <f>"0580505"</f>
        <v>0580505</v>
      </c>
      <c r="Y5389" t="s">
        <v>168</v>
      </c>
      <c r="Z5389" t="s">
        <v>157</v>
      </c>
      <c r="AA5389" t="s">
        <v>158</v>
      </c>
      <c r="AB5389" t="s">
        <v>131</v>
      </c>
      <c r="AC5389" t="s">
        <v>51</v>
      </c>
      <c r="AD5389" t="s">
        <v>45</v>
      </c>
      <c r="AF5389">
        <v>2</v>
      </c>
      <c r="AG5389" t="s">
        <v>158</v>
      </c>
      <c r="AH5389" s="36">
        <f t="shared" si="85"/>
        <v>120.71388888888889</v>
      </c>
      <c r="AI5389" s="17" t="s">
        <v>1773</v>
      </c>
    </row>
    <row r="5390" spans="1:35" x14ac:dyDescent="0.25">
      <c r="A5390" s="36">
        <v>99915388</v>
      </c>
      <c r="B5390" s="17" t="s">
        <v>56</v>
      </c>
      <c r="C5390" t="s">
        <v>52</v>
      </c>
      <c r="D5390" t="s">
        <v>53</v>
      </c>
      <c r="G5390" s="17" t="s">
        <v>35</v>
      </c>
      <c r="H5390" s="17">
        <v>1</v>
      </c>
      <c r="K5390" t="s">
        <v>157</v>
      </c>
      <c r="L5390" t="s">
        <v>158</v>
      </c>
      <c r="M5390" t="s">
        <v>131</v>
      </c>
      <c r="N5390">
        <v>14</v>
      </c>
      <c r="O5390" t="s">
        <v>40</v>
      </c>
      <c r="P5390" t="s">
        <v>40</v>
      </c>
      <c r="Q5390" t="s">
        <v>40</v>
      </c>
      <c r="S5390" t="s">
        <v>40</v>
      </c>
      <c r="V5390" t="s">
        <v>41</v>
      </c>
      <c r="W5390" t="s">
        <v>49</v>
      </c>
      <c r="X5390" t="str">
        <f>"0580505"</f>
        <v>0580505</v>
      </c>
      <c r="Y5390" t="s">
        <v>168</v>
      </c>
      <c r="Z5390" t="s">
        <v>157</v>
      </c>
      <c r="AA5390" t="s">
        <v>158</v>
      </c>
      <c r="AB5390" t="s">
        <v>131</v>
      </c>
      <c r="AC5390" t="s">
        <v>51</v>
      </c>
      <c r="AD5390" t="s">
        <v>45</v>
      </c>
      <c r="AF5390">
        <v>2</v>
      </c>
      <c r="AG5390" t="s">
        <v>158</v>
      </c>
      <c r="AH5390" s="36">
        <f t="shared" si="85"/>
        <v>120.71388888888889</v>
      </c>
      <c r="AI5390" s="17" t="s">
        <v>1773</v>
      </c>
    </row>
    <row r="5391" spans="1:35" x14ac:dyDescent="0.25">
      <c r="A5391" s="36">
        <v>99915389</v>
      </c>
      <c r="B5391" s="17" t="s">
        <v>32</v>
      </c>
      <c r="C5391" t="s">
        <v>149</v>
      </c>
      <c r="D5391" t="s">
        <v>150</v>
      </c>
      <c r="G5391" s="17" t="s">
        <v>35</v>
      </c>
      <c r="H5391" s="17">
        <v>1</v>
      </c>
      <c r="K5391" t="s">
        <v>162</v>
      </c>
      <c r="L5391" t="s">
        <v>158</v>
      </c>
      <c r="M5391" t="s">
        <v>131</v>
      </c>
      <c r="N5391">
        <v>18</v>
      </c>
      <c r="O5391" t="s">
        <v>40</v>
      </c>
      <c r="P5391" t="s">
        <v>40</v>
      </c>
      <c r="Q5391" t="s">
        <v>40</v>
      </c>
      <c r="S5391" t="s">
        <v>40</v>
      </c>
      <c r="V5391" t="s">
        <v>41</v>
      </c>
      <c r="W5391" t="s">
        <v>49</v>
      </c>
      <c r="X5391" t="str">
        <f>"0505050"</f>
        <v>0505050</v>
      </c>
      <c r="Y5391" t="s">
        <v>163</v>
      </c>
      <c r="Z5391" t="s">
        <v>162</v>
      </c>
      <c r="AA5391" t="s">
        <v>158</v>
      </c>
      <c r="AB5391" t="s">
        <v>131</v>
      </c>
      <c r="AC5391" t="s">
        <v>165</v>
      </c>
      <c r="AD5391" t="s">
        <v>45</v>
      </c>
      <c r="AF5391">
        <v>2</v>
      </c>
      <c r="AG5391" t="s">
        <v>158</v>
      </c>
      <c r="AH5391" s="36">
        <f t="shared" si="85"/>
        <v>120.71388888888889</v>
      </c>
      <c r="AI5391" s="17" t="s">
        <v>1773</v>
      </c>
    </row>
    <row r="5392" spans="1:35" x14ac:dyDescent="0.25">
      <c r="A5392" s="36">
        <v>99915390</v>
      </c>
      <c r="B5392" s="17" t="s">
        <v>32</v>
      </c>
      <c r="C5392" t="s">
        <v>52</v>
      </c>
      <c r="D5392" t="s">
        <v>53</v>
      </c>
      <c r="G5392" s="17" t="s">
        <v>35</v>
      </c>
      <c r="H5392" s="17">
        <v>1</v>
      </c>
      <c r="I5392">
        <v>19620</v>
      </c>
      <c r="J5392" s="1">
        <v>43412</v>
      </c>
      <c r="K5392" t="s">
        <v>157</v>
      </c>
      <c r="L5392" t="s">
        <v>158</v>
      </c>
      <c r="M5392" t="s">
        <v>131</v>
      </c>
      <c r="N5392">
        <v>23</v>
      </c>
      <c r="O5392" t="s">
        <v>40</v>
      </c>
      <c r="S5392" t="s">
        <v>40</v>
      </c>
      <c r="U5392" s="1">
        <v>43412</v>
      </c>
      <c r="V5392" t="s">
        <v>41</v>
      </c>
      <c r="W5392" t="s">
        <v>42</v>
      </c>
      <c r="X5392" t="str">
        <f>"0561031"</f>
        <v>0561031</v>
      </c>
      <c r="Y5392" t="s">
        <v>177</v>
      </c>
      <c r="Z5392" t="s">
        <v>157</v>
      </c>
      <c r="AA5392" t="s">
        <v>158</v>
      </c>
      <c r="AB5392" t="s">
        <v>131</v>
      </c>
      <c r="AC5392" t="s">
        <v>51</v>
      </c>
      <c r="AD5392" t="s">
        <v>45</v>
      </c>
      <c r="AF5392">
        <v>2</v>
      </c>
      <c r="AG5392" t="s">
        <v>158</v>
      </c>
      <c r="AH5392" s="36">
        <f t="shared" si="85"/>
        <v>120.71388888888889</v>
      </c>
      <c r="AI5392" s="17" t="s">
        <v>1773</v>
      </c>
    </row>
    <row r="5393" spans="1:35" x14ac:dyDescent="0.25">
      <c r="A5393" s="36">
        <v>99915391</v>
      </c>
      <c r="B5393" s="17" t="s">
        <v>32</v>
      </c>
      <c r="C5393" t="s">
        <v>149</v>
      </c>
      <c r="D5393" t="s">
        <v>150</v>
      </c>
      <c r="G5393" s="17" t="s">
        <v>35</v>
      </c>
      <c r="H5393" s="17">
        <v>1</v>
      </c>
      <c r="K5393" t="s">
        <v>157</v>
      </c>
      <c r="L5393" t="s">
        <v>158</v>
      </c>
      <c r="M5393" t="s">
        <v>131</v>
      </c>
      <c r="N5393">
        <v>12</v>
      </c>
      <c r="O5393" t="s">
        <v>40</v>
      </c>
      <c r="P5393" t="s">
        <v>40</v>
      </c>
      <c r="Q5393" t="s">
        <v>40</v>
      </c>
      <c r="S5393" t="s">
        <v>40</v>
      </c>
      <c r="V5393" t="s">
        <v>41</v>
      </c>
      <c r="W5393" t="s">
        <v>49</v>
      </c>
      <c r="X5393" t="str">
        <f>"0580505"</f>
        <v>0580505</v>
      </c>
      <c r="Y5393" t="s">
        <v>168</v>
      </c>
      <c r="Z5393" t="s">
        <v>157</v>
      </c>
      <c r="AA5393" t="s">
        <v>158</v>
      </c>
      <c r="AB5393" t="s">
        <v>131</v>
      </c>
      <c r="AC5393" t="s">
        <v>51</v>
      </c>
      <c r="AD5393" t="s">
        <v>45</v>
      </c>
      <c r="AF5393">
        <v>2</v>
      </c>
      <c r="AG5393" t="s">
        <v>158</v>
      </c>
      <c r="AH5393" s="36">
        <f t="shared" si="85"/>
        <v>120.71388888888889</v>
      </c>
      <c r="AI5393" s="17" t="s">
        <v>1773</v>
      </c>
    </row>
    <row r="5394" spans="1:35" x14ac:dyDescent="0.25">
      <c r="A5394" s="36">
        <v>99915392</v>
      </c>
      <c r="B5394" s="17" t="s">
        <v>56</v>
      </c>
      <c r="C5394" t="s">
        <v>52</v>
      </c>
      <c r="D5394" t="s">
        <v>53</v>
      </c>
      <c r="G5394" s="17" t="s">
        <v>35</v>
      </c>
      <c r="H5394" s="17">
        <v>1</v>
      </c>
      <c r="K5394" t="s">
        <v>157</v>
      </c>
      <c r="L5394" t="s">
        <v>158</v>
      </c>
      <c r="M5394" t="s">
        <v>131</v>
      </c>
      <c r="N5394">
        <v>20</v>
      </c>
      <c r="O5394" t="s">
        <v>40</v>
      </c>
      <c r="P5394" t="s">
        <v>40</v>
      </c>
      <c r="Q5394" t="s">
        <v>40</v>
      </c>
      <c r="S5394" t="s">
        <v>40</v>
      </c>
      <c r="V5394" t="s">
        <v>41</v>
      </c>
      <c r="W5394" t="s">
        <v>42</v>
      </c>
      <c r="X5394" t="str">
        <f>"0561005"</f>
        <v>0561005</v>
      </c>
      <c r="Y5394" t="s">
        <v>174</v>
      </c>
      <c r="Z5394" t="s">
        <v>157</v>
      </c>
      <c r="AA5394" t="s">
        <v>158</v>
      </c>
      <c r="AB5394" t="s">
        <v>131</v>
      </c>
      <c r="AC5394" t="s">
        <v>51</v>
      </c>
      <c r="AD5394" t="s">
        <v>45</v>
      </c>
      <c r="AF5394">
        <v>2</v>
      </c>
      <c r="AG5394" t="s">
        <v>158</v>
      </c>
      <c r="AH5394" s="36">
        <f t="shared" si="85"/>
        <v>120.71388888888889</v>
      </c>
      <c r="AI5394" s="17" t="s">
        <v>1773</v>
      </c>
    </row>
    <row r="5395" spans="1:35" x14ac:dyDescent="0.25">
      <c r="A5395" s="36">
        <v>99915393</v>
      </c>
      <c r="B5395" s="17" t="s">
        <v>32</v>
      </c>
      <c r="C5395" t="s">
        <v>52</v>
      </c>
      <c r="D5395" t="s">
        <v>53</v>
      </c>
      <c r="G5395" s="17" t="s">
        <v>35</v>
      </c>
      <c r="H5395" s="17">
        <v>1</v>
      </c>
      <c r="I5395" t="s">
        <v>216</v>
      </c>
      <c r="J5395" s="1">
        <v>43344</v>
      </c>
      <c r="K5395" t="s">
        <v>157</v>
      </c>
      <c r="L5395" t="s">
        <v>158</v>
      </c>
      <c r="M5395" t="s">
        <v>131</v>
      </c>
      <c r="N5395">
        <v>13</v>
      </c>
      <c r="O5395" t="s">
        <v>40</v>
      </c>
      <c r="S5395" t="s">
        <v>40</v>
      </c>
      <c r="U5395" s="1">
        <v>43344</v>
      </c>
      <c r="V5395" t="s">
        <v>41</v>
      </c>
      <c r="W5395" t="s">
        <v>49</v>
      </c>
      <c r="X5395" t="str">
        <f>"2990102"</f>
        <v>2990102</v>
      </c>
      <c r="Y5395" t="s">
        <v>217</v>
      </c>
      <c r="Z5395" t="s">
        <v>157</v>
      </c>
      <c r="AA5395" t="s">
        <v>158</v>
      </c>
      <c r="AB5395" t="s">
        <v>131</v>
      </c>
      <c r="AC5395" t="s">
        <v>44</v>
      </c>
      <c r="AD5395" t="s">
        <v>45</v>
      </c>
      <c r="AF5395">
        <v>2</v>
      </c>
      <c r="AG5395" t="s">
        <v>158</v>
      </c>
      <c r="AH5395" s="36">
        <f t="shared" si="85"/>
        <v>120.71388888888889</v>
      </c>
      <c r="AI5395" s="17" t="s">
        <v>1773</v>
      </c>
    </row>
    <row r="5396" spans="1:35" x14ac:dyDescent="0.25">
      <c r="A5396" s="36">
        <v>99915394</v>
      </c>
      <c r="B5396" s="17" t="s">
        <v>32</v>
      </c>
      <c r="C5396" t="s">
        <v>64</v>
      </c>
      <c r="D5396" t="s">
        <v>65</v>
      </c>
      <c r="G5396" s="17" t="s">
        <v>35</v>
      </c>
      <c r="H5396" s="17">
        <v>1</v>
      </c>
      <c r="K5396" t="s">
        <v>157</v>
      </c>
      <c r="L5396" t="s">
        <v>158</v>
      </c>
      <c r="M5396" t="s">
        <v>131</v>
      </c>
      <c r="N5396">
        <v>30</v>
      </c>
      <c r="O5396" t="s">
        <v>40</v>
      </c>
      <c r="P5396" t="s">
        <v>40</v>
      </c>
      <c r="Q5396" t="s">
        <v>40</v>
      </c>
      <c r="S5396" t="s">
        <v>40</v>
      </c>
      <c r="V5396" t="s">
        <v>41</v>
      </c>
      <c r="W5396" t="s">
        <v>49</v>
      </c>
      <c r="X5396" t="str">
        <f>"0580505"</f>
        <v>0580505</v>
      </c>
      <c r="Y5396" t="s">
        <v>168</v>
      </c>
      <c r="Z5396" t="s">
        <v>157</v>
      </c>
      <c r="AA5396" t="s">
        <v>158</v>
      </c>
      <c r="AB5396" t="s">
        <v>131</v>
      </c>
      <c r="AC5396" t="s">
        <v>51</v>
      </c>
      <c r="AD5396" t="s">
        <v>45</v>
      </c>
      <c r="AF5396">
        <v>2</v>
      </c>
      <c r="AG5396" t="s">
        <v>158</v>
      </c>
      <c r="AH5396" s="36">
        <f t="shared" si="85"/>
        <v>120.71388888888889</v>
      </c>
      <c r="AI5396" s="17" t="s">
        <v>1773</v>
      </c>
    </row>
    <row r="5397" spans="1:35" x14ac:dyDescent="0.25">
      <c r="A5397" s="36">
        <v>99915395</v>
      </c>
      <c r="B5397" s="17" t="s">
        <v>32</v>
      </c>
      <c r="C5397" t="s">
        <v>46</v>
      </c>
      <c r="D5397" t="s">
        <v>47</v>
      </c>
      <c r="G5397" s="17" t="s">
        <v>35</v>
      </c>
      <c r="H5397" s="17">
        <v>1</v>
      </c>
      <c r="I5397">
        <v>19758</v>
      </c>
      <c r="J5397" s="1">
        <v>43437</v>
      </c>
      <c r="K5397" t="s">
        <v>157</v>
      </c>
      <c r="L5397" t="s">
        <v>158</v>
      </c>
      <c r="M5397" t="s">
        <v>131</v>
      </c>
      <c r="N5397">
        <v>18</v>
      </c>
      <c r="O5397" t="s">
        <v>40</v>
      </c>
      <c r="S5397" t="s">
        <v>40</v>
      </c>
      <c r="U5397" s="1">
        <v>43437</v>
      </c>
      <c r="V5397" t="s">
        <v>41</v>
      </c>
      <c r="W5397" t="s">
        <v>42</v>
      </c>
      <c r="X5397" t="str">
        <f>"0561005"</f>
        <v>0561005</v>
      </c>
      <c r="Y5397" t="s">
        <v>174</v>
      </c>
      <c r="Z5397" t="s">
        <v>157</v>
      </c>
      <c r="AA5397" t="s">
        <v>158</v>
      </c>
      <c r="AB5397" t="s">
        <v>131</v>
      </c>
      <c r="AC5397" t="s">
        <v>44</v>
      </c>
      <c r="AD5397" t="s">
        <v>45</v>
      </c>
      <c r="AF5397">
        <v>2</v>
      </c>
      <c r="AG5397" t="s">
        <v>158</v>
      </c>
      <c r="AH5397" s="36">
        <f t="shared" si="85"/>
        <v>120.71388888888889</v>
      </c>
      <c r="AI5397" s="17" t="s">
        <v>1773</v>
      </c>
    </row>
    <row r="5398" spans="1:35" x14ac:dyDescent="0.25">
      <c r="A5398" s="36">
        <v>99915396</v>
      </c>
      <c r="B5398" s="17" t="s">
        <v>56</v>
      </c>
      <c r="C5398" t="s">
        <v>79</v>
      </c>
      <c r="D5398" t="s">
        <v>80</v>
      </c>
      <c r="G5398" s="17" t="s">
        <v>35</v>
      </c>
      <c r="H5398" s="17">
        <v>1</v>
      </c>
      <c r="K5398" t="s">
        <v>157</v>
      </c>
      <c r="L5398" t="s">
        <v>158</v>
      </c>
      <c r="M5398" t="s">
        <v>131</v>
      </c>
      <c r="N5398">
        <v>24</v>
      </c>
      <c r="O5398" t="s">
        <v>40</v>
      </c>
      <c r="P5398" t="s">
        <v>40</v>
      </c>
      <c r="Q5398" t="s">
        <v>40</v>
      </c>
      <c r="S5398" t="s">
        <v>40</v>
      </c>
      <c r="V5398" t="s">
        <v>41</v>
      </c>
      <c r="W5398" t="s">
        <v>49</v>
      </c>
      <c r="X5398" t="str">
        <f>"0580505"</f>
        <v>0580505</v>
      </c>
      <c r="Y5398" t="s">
        <v>168</v>
      </c>
      <c r="Z5398" t="s">
        <v>157</v>
      </c>
      <c r="AA5398" t="s">
        <v>158</v>
      </c>
      <c r="AB5398" t="s">
        <v>131</v>
      </c>
      <c r="AC5398" t="s">
        <v>51</v>
      </c>
      <c r="AD5398" t="s">
        <v>45</v>
      </c>
      <c r="AF5398">
        <v>2</v>
      </c>
      <c r="AG5398" t="s">
        <v>158</v>
      </c>
      <c r="AH5398" s="36">
        <f t="shared" si="85"/>
        <v>120.71388888888889</v>
      </c>
      <c r="AI5398" s="17" t="s">
        <v>1773</v>
      </c>
    </row>
    <row r="5399" spans="1:35" x14ac:dyDescent="0.25">
      <c r="A5399" s="36">
        <v>99915397</v>
      </c>
      <c r="B5399" s="17" t="s">
        <v>56</v>
      </c>
      <c r="C5399" t="s">
        <v>68</v>
      </c>
      <c r="D5399" t="s">
        <v>69</v>
      </c>
      <c r="G5399" s="17" t="s">
        <v>35</v>
      </c>
      <c r="H5399" s="17">
        <v>1</v>
      </c>
      <c r="K5399" t="s">
        <v>157</v>
      </c>
      <c r="L5399" t="s">
        <v>158</v>
      </c>
      <c r="M5399" t="s">
        <v>131</v>
      </c>
      <c r="N5399">
        <v>20</v>
      </c>
      <c r="O5399" t="s">
        <v>40</v>
      </c>
      <c r="P5399" t="s">
        <v>40</v>
      </c>
      <c r="Q5399" t="s">
        <v>40</v>
      </c>
      <c r="S5399" t="s">
        <v>40</v>
      </c>
      <c r="V5399" t="s">
        <v>41</v>
      </c>
      <c r="W5399" t="s">
        <v>42</v>
      </c>
      <c r="X5399" t="str">
        <f>"0561005"</f>
        <v>0561005</v>
      </c>
      <c r="Y5399" t="s">
        <v>174</v>
      </c>
      <c r="Z5399" t="s">
        <v>157</v>
      </c>
      <c r="AA5399" t="s">
        <v>158</v>
      </c>
      <c r="AB5399" t="s">
        <v>131</v>
      </c>
      <c r="AC5399" t="s">
        <v>51</v>
      </c>
      <c r="AD5399" t="s">
        <v>45</v>
      </c>
      <c r="AF5399">
        <v>2</v>
      </c>
      <c r="AG5399" t="s">
        <v>158</v>
      </c>
      <c r="AH5399" s="36">
        <f t="shared" si="85"/>
        <v>120.71388888888889</v>
      </c>
      <c r="AI5399" s="17" t="s">
        <v>1773</v>
      </c>
    </row>
    <row r="5400" spans="1:35" x14ac:dyDescent="0.25">
      <c r="A5400" s="36">
        <v>99915398</v>
      </c>
      <c r="B5400" s="17" t="s">
        <v>32</v>
      </c>
      <c r="C5400" t="s">
        <v>46</v>
      </c>
      <c r="D5400" t="s">
        <v>47</v>
      </c>
      <c r="G5400" s="17" t="s">
        <v>35</v>
      </c>
      <c r="H5400" s="17">
        <v>1</v>
      </c>
      <c r="K5400" t="s">
        <v>162</v>
      </c>
      <c r="L5400" t="s">
        <v>158</v>
      </c>
      <c r="M5400" t="s">
        <v>131</v>
      </c>
      <c r="N5400">
        <v>17</v>
      </c>
      <c r="O5400" t="s">
        <v>40</v>
      </c>
      <c r="P5400" t="s">
        <v>40</v>
      </c>
      <c r="Q5400" t="s">
        <v>40</v>
      </c>
      <c r="S5400" t="s">
        <v>40</v>
      </c>
      <c r="V5400" t="s">
        <v>41</v>
      </c>
      <c r="W5400" t="s">
        <v>49</v>
      </c>
      <c r="X5400" t="str">
        <f>"0505050"</f>
        <v>0505050</v>
      </c>
      <c r="Y5400" t="s">
        <v>163</v>
      </c>
      <c r="Z5400" t="s">
        <v>162</v>
      </c>
      <c r="AA5400" t="s">
        <v>158</v>
      </c>
      <c r="AB5400" t="s">
        <v>131</v>
      </c>
      <c r="AC5400" t="s">
        <v>165</v>
      </c>
      <c r="AD5400" t="s">
        <v>45</v>
      </c>
      <c r="AF5400">
        <v>2</v>
      </c>
      <c r="AG5400" t="s">
        <v>158</v>
      </c>
      <c r="AH5400" s="36">
        <f t="shared" si="85"/>
        <v>120.71388888888889</v>
      </c>
      <c r="AI5400" s="17" t="s">
        <v>1773</v>
      </c>
    </row>
    <row r="5401" spans="1:35" x14ac:dyDescent="0.25">
      <c r="A5401" s="36">
        <v>99915399</v>
      </c>
      <c r="B5401" s="17" t="s">
        <v>32</v>
      </c>
      <c r="C5401" t="s">
        <v>143</v>
      </c>
      <c r="D5401" t="s">
        <v>144</v>
      </c>
      <c r="G5401" s="17" t="s">
        <v>35</v>
      </c>
      <c r="H5401" s="17">
        <v>1</v>
      </c>
      <c r="K5401" t="s">
        <v>157</v>
      </c>
      <c r="L5401" t="s">
        <v>158</v>
      </c>
      <c r="M5401" t="s">
        <v>131</v>
      </c>
      <c r="N5401">
        <v>30</v>
      </c>
      <c r="O5401" t="s">
        <v>40</v>
      </c>
      <c r="P5401" t="s">
        <v>40</v>
      </c>
      <c r="Q5401" t="s">
        <v>40</v>
      </c>
      <c r="S5401" t="s">
        <v>40</v>
      </c>
      <c r="V5401" t="s">
        <v>41</v>
      </c>
      <c r="W5401" t="s">
        <v>49</v>
      </c>
      <c r="X5401" t="str">
        <f>"0580505"</f>
        <v>0580505</v>
      </c>
      <c r="Y5401" t="s">
        <v>168</v>
      </c>
      <c r="Z5401" t="s">
        <v>157</v>
      </c>
      <c r="AA5401" t="s">
        <v>158</v>
      </c>
      <c r="AB5401" t="s">
        <v>131</v>
      </c>
      <c r="AC5401" t="s">
        <v>51</v>
      </c>
      <c r="AD5401" t="s">
        <v>45</v>
      </c>
      <c r="AF5401">
        <v>2</v>
      </c>
      <c r="AG5401" t="s">
        <v>158</v>
      </c>
      <c r="AH5401" s="36">
        <f t="shared" si="85"/>
        <v>120.71388888888889</v>
      </c>
      <c r="AI5401" s="17" t="s">
        <v>1773</v>
      </c>
    </row>
    <row r="5402" spans="1:35" x14ac:dyDescent="0.25">
      <c r="A5402" s="36">
        <v>99915400</v>
      </c>
      <c r="B5402" s="17" t="s">
        <v>32</v>
      </c>
      <c r="C5402" t="s">
        <v>139</v>
      </c>
      <c r="D5402" t="s">
        <v>140</v>
      </c>
      <c r="G5402" s="17" t="s">
        <v>35</v>
      </c>
      <c r="H5402" s="17">
        <v>1</v>
      </c>
      <c r="K5402" t="s">
        <v>157</v>
      </c>
      <c r="L5402" t="s">
        <v>158</v>
      </c>
      <c r="M5402" t="s">
        <v>131</v>
      </c>
      <c r="N5402">
        <v>21</v>
      </c>
      <c r="O5402" t="s">
        <v>40</v>
      </c>
      <c r="P5402" t="s">
        <v>40</v>
      </c>
      <c r="Q5402" t="s">
        <v>40</v>
      </c>
      <c r="S5402" t="s">
        <v>40</v>
      </c>
      <c r="V5402" t="s">
        <v>41</v>
      </c>
      <c r="W5402" t="s">
        <v>49</v>
      </c>
      <c r="X5402" t="str">
        <f>"0581725"</f>
        <v>0581725</v>
      </c>
      <c r="Y5402" t="s">
        <v>161</v>
      </c>
      <c r="Z5402" t="s">
        <v>157</v>
      </c>
      <c r="AA5402" t="s">
        <v>158</v>
      </c>
      <c r="AB5402" t="s">
        <v>131</v>
      </c>
      <c r="AC5402" t="s">
        <v>51</v>
      </c>
      <c r="AD5402" t="s">
        <v>45</v>
      </c>
      <c r="AF5402">
        <v>2</v>
      </c>
      <c r="AG5402" t="s">
        <v>158</v>
      </c>
      <c r="AH5402" s="36">
        <f t="shared" si="85"/>
        <v>120.71388888888889</v>
      </c>
      <c r="AI5402" s="17" t="s">
        <v>1773</v>
      </c>
    </row>
    <row r="5403" spans="1:35" x14ac:dyDescent="0.25">
      <c r="A5403" s="36">
        <v>99915401</v>
      </c>
      <c r="B5403" s="17" t="s">
        <v>32</v>
      </c>
      <c r="C5403" t="s">
        <v>85</v>
      </c>
      <c r="D5403" t="s">
        <v>86</v>
      </c>
      <c r="G5403" s="17" t="s">
        <v>35</v>
      </c>
      <c r="H5403" s="17">
        <v>1</v>
      </c>
      <c r="I5403">
        <v>19621</v>
      </c>
      <c r="J5403" s="1">
        <v>43412</v>
      </c>
      <c r="K5403" t="s">
        <v>157</v>
      </c>
      <c r="L5403" t="s">
        <v>158</v>
      </c>
      <c r="M5403" t="s">
        <v>131</v>
      </c>
      <c r="N5403">
        <v>20</v>
      </c>
      <c r="O5403" t="s">
        <v>40</v>
      </c>
      <c r="S5403" t="s">
        <v>40</v>
      </c>
      <c r="U5403" s="1">
        <v>43412</v>
      </c>
      <c r="V5403" t="s">
        <v>41</v>
      </c>
      <c r="W5403" t="s">
        <v>42</v>
      </c>
      <c r="X5403" t="str">
        <f>"0561031"</f>
        <v>0561031</v>
      </c>
      <c r="Y5403" t="s">
        <v>177</v>
      </c>
      <c r="Z5403" t="s">
        <v>157</v>
      </c>
      <c r="AA5403" t="s">
        <v>158</v>
      </c>
      <c r="AB5403" t="s">
        <v>131</v>
      </c>
      <c r="AC5403" t="s">
        <v>51</v>
      </c>
      <c r="AD5403" t="s">
        <v>45</v>
      </c>
      <c r="AF5403">
        <v>2</v>
      </c>
      <c r="AG5403" t="s">
        <v>158</v>
      </c>
      <c r="AH5403" s="36">
        <f t="shared" si="85"/>
        <v>120.71388888888889</v>
      </c>
      <c r="AI5403" s="17" t="s">
        <v>1773</v>
      </c>
    </row>
    <row r="5404" spans="1:35" x14ac:dyDescent="0.25">
      <c r="A5404" s="36">
        <v>99915402</v>
      </c>
      <c r="B5404" s="17" t="s">
        <v>56</v>
      </c>
      <c r="C5404" t="s">
        <v>141</v>
      </c>
      <c r="D5404" t="s">
        <v>142</v>
      </c>
      <c r="G5404" s="17" t="s">
        <v>35</v>
      </c>
      <c r="H5404" s="17">
        <v>1</v>
      </c>
      <c r="K5404" t="s">
        <v>157</v>
      </c>
      <c r="L5404" t="s">
        <v>158</v>
      </c>
      <c r="M5404" t="s">
        <v>131</v>
      </c>
      <c r="N5404">
        <v>21</v>
      </c>
      <c r="O5404" t="s">
        <v>40</v>
      </c>
      <c r="P5404" t="s">
        <v>40</v>
      </c>
      <c r="Q5404" t="s">
        <v>40</v>
      </c>
      <c r="S5404" t="s">
        <v>40</v>
      </c>
      <c r="V5404" t="s">
        <v>41</v>
      </c>
      <c r="W5404" t="s">
        <v>49</v>
      </c>
      <c r="X5404" t="str">
        <f>"0581725"</f>
        <v>0581725</v>
      </c>
      <c r="Y5404" t="s">
        <v>161</v>
      </c>
      <c r="Z5404" t="s">
        <v>157</v>
      </c>
      <c r="AA5404" t="s">
        <v>158</v>
      </c>
      <c r="AB5404" t="s">
        <v>131</v>
      </c>
      <c r="AC5404" t="s">
        <v>51</v>
      </c>
      <c r="AD5404" t="s">
        <v>45</v>
      </c>
      <c r="AF5404">
        <v>2</v>
      </c>
      <c r="AG5404" t="s">
        <v>158</v>
      </c>
      <c r="AH5404" s="36">
        <f t="shared" si="85"/>
        <v>120.71388888888889</v>
      </c>
      <c r="AI5404" s="17" t="s">
        <v>1773</v>
      </c>
    </row>
    <row r="5405" spans="1:35" x14ac:dyDescent="0.25">
      <c r="A5405" s="36">
        <v>99915403</v>
      </c>
      <c r="B5405" s="17" t="s">
        <v>32</v>
      </c>
      <c r="C5405" t="s">
        <v>33</v>
      </c>
      <c r="D5405" t="s">
        <v>34</v>
      </c>
      <c r="G5405" s="17" t="s">
        <v>48</v>
      </c>
      <c r="H5405" s="17">
        <v>1</v>
      </c>
      <c r="K5405" t="s">
        <v>162</v>
      </c>
      <c r="L5405" t="s">
        <v>158</v>
      </c>
      <c r="M5405" t="s">
        <v>131</v>
      </c>
      <c r="N5405">
        <v>21</v>
      </c>
      <c r="O5405" t="s">
        <v>40</v>
      </c>
      <c r="P5405" t="s">
        <v>40</v>
      </c>
      <c r="Q5405" t="s">
        <v>40</v>
      </c>
      <c r="S5405" t="s">
        <v>40</v>
      </c>
      <c r="V5405" t="s">
        <v>41</v>
      </c>
      <c r="W5405" t="s">
        <v>49</v>
      </c>
      <c r="X5405" t="str">
        <f>"0505050"</f>
        <v>0505050</v>
      </c>
      <c r="Y5405" t="s">
        <v>163</v>
      </c>
      <c r="Z5405" t="s">
        <v>162</v>
      </c>
      <c r="AA5405" t="s">
        <v>158</v>
      </c>
      <c r="AB5405" t="s">
        <v>131</v>
      </c>
      <c r="AC5405" t="s">
        <v>51</v>
      </c>
      <c r="AD5405" t="s">
        <v>45</v>
      </c>
      <c r="AF5405">
        <v>2</v>
      </c>
      <c r="AG5405" t="s">
        <v>158</v>
      </c>
      <c r="AH5405" s="36">
        <f t="shared" si="85"/>
        <v>120.71388888888889</v>
      </c>
      <c r="AI5405" s="17" t="s">
        <v>1773</v>
      </c>
    </row>
    <row r="5406" spans="1:35" x14ac:dyDescent="0.25">
      <c r="A5406" s="36">
        <v>99915404</v>
      </c>
      <c r="B5406" s="17" t="s">
        <v>32</v>
      </c>
      <c r="C5406" t="s">
        <v>149</v>
      </c>
      <c r="D5406" t="s">
        <v>150</v>
      </c>
      <c r="G5406" s="17" t="s">
        <v>35</v>
      </c>
      <c r="H5406" s="17">
        <v>1</v>
      </c>
      <c r="K5406" t="s">
        <v>157</v>
      </c>
      <c r="L5406" t="s">
        <v>158</v>
      </c>
      <c r="M5406" t="s">
        <v>131</v>
      </c>
      <c r="N5406">
        <v>8</v>
      </c>
      <c r="O5406" t="s">
        <v>40</v>
      </c>
      <c r="P5406" t="s">
        <v>40</v>
      </c>
      <c r="Q5406" t="s">
        <v>40</v>
      </c>
      <c r="S5406" t="s">
        <v>40</v>
      </c>
      <c r="V5406" t="s">
        <v>41</v>
      </c>
      <c r="W5406" t="s">
        <v>49</v>
      </c>
      <c r="X5406" t="str">
        <f>"0560011"</f>
        <v>0560011</v>
      </c>
      <c r="Y5406" t="s">
        <v>185</v>
      </c>
      <c r="Z5406" t="s">
        <v>157</v>
      </c>
      <c r="AA5406" t="s">
        <v>158</v>
      </c>
      <c r="AB5406" t="s">
        <v>131</v>
      </c>
      <c r="AC5406" t="s">
        <v>51</v>
      </c>
      <c r="AD5406" t="s">
        <v>45</v>
      </c>
      <c r="AF5406">
        <v>2</v>
      </c>
      <c r="AG5406" t="s">
        <v>158</v>
      </c>
      <c r="AH5406" s="36">
        <f t="shared" si="85"/>
        <v>120.71388888888889</v>
      </c>
      <c r="AI5406" s="17" t="s">
        <v>1773</v>
      </c>
    </row>
    <row r="5407" spans="1:35" x14ac:dyDescent="0.25">
      <c r="A5407" s="36">
        <v>99915405</v>
      </c>
      <c r="B5407" s="17" t="s">
        <v>32</v>
      </c>
      <c r="C5407" t="s">
        <v>79</v>
      </c>
      <c r="D5407" t="s">
        <v>80</v>
      </c>
      <c r="G5407" s="17" t="s">
        <v>48</v>
      </c>
      <c r="H5407" s="17">
        <v>1</v>
      </c>
      <c r="K5407" t="s">
        <v>162</v>
      </c>
      <c r="L5407" t="s">
        <v>158</v>
      </c>
      <c r="M5407" t="s">
        <v>131</v>
      </c>
      <c r="N5407">
        <v>16</v>
      </c>
      <c r="O5407" t="s">
        <v>40</v>
      </c>
      <c r="P5407" t="s">
        <v>40</v>
      </c>
      <c r="Q5407" t="s">
        <v>40</v>
      </c>
      <c r="S5407" t="s">
        <v>40</v>
      </c>
      <c r="V5407" t="s">
        <v>41</v>
      </c>
      <c r="W5407" t="s">
        <v>49</v>
      </c>
      <c r="X5407" t="str">
        <f>"0581325"</f>
        <v>0581325</v>
      </c>
      <c r="Y5407" t="s">
        <v>169</v>
      </c>
      <c r="Z5407" t="s">
        <v>162</v>
      </c>
      <c r="AA5407" t="s">
        <v>158</v>
      </c>
      <c r="AB5407" t="s">
        <v>131</v>
      </c>
      <c r="AC5407" t="s">
        <v>51</v>
      </c>
      <c r="AD5407" t="s">
        <v>45</v>
      </c>
      <c r="AF5407">
        <v>2</v>
      </c>
      <c r="AG5407" t="s">
        <v>158</v>
      </c>
      <c r="AH5407" s="36">
        <f t="shared" si="85"/>
        <v>120.71388888888889</v>
      </c>
      <c r="AI5407" s="17" t="s">
        <v>1773</v>
      </c>
    </row>
    <row r="5408" spans="1:35" x14ac:dyDescent="0.25">
      <c r="A5408" s="36">
        <v>99915406</v>
      </c>
      <c r="B5408" s="17" t="s">
        <v>32</v>
      </c>
      <c r="C5408" t="s">
        <v>139</v>
      </c>
      <c r="D5408" t="s">
        <v>140</v>
      </c>
      <c r="G5408" s="17" t="s">
        <v>48</v>
      </c>
      <c r="H5408" s="17">
        <v>1</v>
      </c>
      <c r="K5408" t="s">
        <v>223</v>
      </c>
      <c r="L5408" t="s">
        <v>224</v>
      </c>
      <c r="M5408" t="s">
        <v>131</v>
      </c>
      <c r="N5408">
        <v>30</v>
      </c>
      <c r="O5408" t="s">
        <v>40</v>
      </c>
      <c r="P5408" t="s">
        <v>40</v>
      </c>
      <c r="Q5408" t="s">
        <v>40</v>
      </c>
      <c r="S5408" t="s">
        <v>40</v>
      </c>
      <c r="V5408" t="s">
        <v>41</v>
      </c>
      <c r="W5408" t="s">
        <v>42</v>
      </c>
      <c r="X5408" t="str">
        <f>"0590910"</f>
        <v>0590910</v>
      </c>
      <c r="Y5408" t="s">
        <v>227</v>
      </c>
      <c r="Z5408" t="s">
        <v>223</v>
      </c>
      <c r="AA5408" t="s">
        <v>224</v>
      </c>
      <c r="AB5408" t="s">
        <v>131</v>
      </c>
      <c r="AC5408" t="s">
        <v>51</v>
      </c>
      <c r="AD5408" t="s">
        <v>45</v>
      </c>
      <c r="AF5408">
        <v>2</v>
      </c>
      <c r="AG5408" t="s">
        <v>224</v>
      </c>
      <c r="AH5408" s="36">
        <f t="shared" si="85"/>
        <v>120.71388888888889</v>
      </c>
      <c r="AI5408" s="17" t="s">
        <v>1773</v>
      </c>
    </row>
    <row r="5409" spans="1:35" x14ac:dyDescent="0.25">
      <c r="A5409" s="36">
        <v>99915407</v>
      </c>
      <c r="B5409" s="17" t="s">
        <v>32</v>
      </c>
      <c r="C5409" t="s">
        <v>71</v>
      </c>
      <c r="D5409" t="s">
        <v>72</v>
      </c>
      <c r="G5409" s="17" t="s">
        <v>35</v>
      </c>
      <c r="H5409" s="17">
        <v>1</v>
      </c>
      <c r="K5409" t="s">
        <v>223</v>
      </c>
      <c r="L5409" t="s">
        <v>224</v>
      </c>
      <c r="M5409" t="s">
        <v>131</v>
      </c>
      <c r="N5409">
        <v>22</v>
      </c>
      <c r="O5409" t="s">
        <v>40</v>
      </c>
      <c r="P5409" t="s">
        <v>40</v>
      </c>
      <c r="Q5409" t="s">
        <v>40</v>
      </c>
      <c r="S5409" t="s">
        <v>40</v>
      </c>
      <c r="V5409" t="s">
        <v>41</v>
      </c>
      <c r="W5409" t="s">
        <v>42</v>
      </c>
      <c r="X5409" t="str">
        <f>"0590903"</f>
        <v>0590903</v>
      </c>
      <c r="Y5409" t="s">
        <v>226</v>
      </c>
      <c r="Z5409" t="s">
        <v>223</v>
      </c>
      <c r="AA5409" t="s">
        <v>224</v>
      </c>
      <c r="AB5409" t="s">
        <v>131</v>
      </c>
      <c r="AC5409" t="s">
        <v>51</v>
      </c>
      <c r="AD5409" t="s">
        <v>45</v>
      </c>
      <c r="AF5409">
        <v>2</v>
      </c>
      <c r="AG5409" t="s">
        <v>224</v>
      </c>
      <c r="AH5409" s="36">
        <f t="shared" si="85"/>
        <v>120.71388888888889</v>
      </c>
      <c r="AI5409" s="17" t="s">
        <v>1773</v>
      </c>
    </row>
    <row r="5410" spans="1:35" x14ac:dyDescent="0.25">
      <c r="A5410" s="36">
        <v>99915408</v>
      </c>
      <c r="B5410" s="17" t="s">
        <v>32</v>
      </c>
      <c r="C5410" t="s">
        <v>64</v>
      </c>
      <c r="D5410" t="s">
        <v>65</v>
      </c>
      <c r="G5410" s="17" t="s">
        <v>35</v>
      </c>
      <c r="H5410" s="17">
        <v>1</v>
      </c>
      <c r="K5410" t="s">
        <v>223</v>
      </c>
      <c r="L5410" t="s">
        <v>224</v>
      </c>
      <c r="M5410" t="s">
        <v>131</v>
      </c>
      <c r="N5410">
        <v>23</v>
      </c>
      <c r="O5410" t="s">
        <v>40</v>
      </c>
      <c r="P5410" t="s">
        <v>40</v>
      </c>
      <c r="Q5410" t="s">
        <v>40</v>
      </c>
      <c r="S5410" t="s">
        <v>40</v>
      </c>
      <c r="V5410" t="s">
        <v>41</v>
      </c>
      <c r="W5410" t="s">
        <v>42</v>
      </c>
      <c r="X5410" t="str">
        <f>"0590903"</f>
        <v>0590903</v>
      </c>
      <c r="Y5410" t="s">
        <v>226</v>
      </c>
      <c r="Z5410" t="s">
        <v>223</v>
      </c>
      <c r="AA5410" t="s">
        <v>224</v>
      </c>
      <c r="AB5410" t="s">
        <v>131</v>
      </c>
      <c r="AC5410" t="s">
        <v>51</v>
      </c>
      <c r="AD5410" t="s">
        <v>45</v>
      </c>
      <c r="AF5410">
        <v>2</v>
      </c>
      <c r="AG5410" t="s">
        <v>224</v>
      </c>
      <c r="AH5410" s="36">
        <f t="shared" si="85"/>
        <v>120.71388888888889</v>
      </c>
      <c r="AI5410" s="17" t="s">
        <v>1773</v>
      </c>
    </row>
    <row r="5411" spans="1:35" x14ac:dyDescent="0.25">
      <c r="A5411" s="36">
        <v>99915409</v>
      </c>
      <c r="B5411" s="17" t="s">
        <v>56</v>
      </c>
      <c r="C5411" t="s">
        <v>139</v>
      </c>
      <c r="D5411" t="s">
        <v>140</v>
      </c>
      <c r="G5411" s="17" t="s">
        <v>48</v>
      </c>
      <c r="H5411" s="17">
        <v>1</v>
      </c>
      <c r="K5411" t="s">
        <v>223</v>
      </c>
      <c r="L5411" t="s">
        <v>224</v>
      </c>
      <c r="M5411" t="s">
        <v>131</v>
      </c>
      <c r="N5411">
        <v>15</v>
      </c>
      <c r="O5411" t="s">
        <v>40</v>
      </c>
      <c r="P5411" t="s">
        <v>40</v>
      </c>
      <c r="Q5411" t="s">
        <v>40</v>
      </c>
      <c r="S5411" t="s">
        <v>40</v>
      </c>
      <c r="V5411" t="s">
        <v>41</v>
      </c>
      <c r="W5411" t="s">
        <v>49</v>
      </c>
      <c r="X5411" t="str">
        <f>"0591910"</f>
        <v>0591910</v>
      </c>
      <c r="Y5411" t="s">
        <v>228</v>
      </c>
      <c r="Z5411" t="s">
        <v>223</v>
      </c>
      <c r="AA5411" t="s">
        <v>224</v>
      </c>
      <c r="AB5411" t="s">
        <v>131</v>
      </c>
      <c r="AC5411" t="s">
        <v>51</v>
      </c>
      <c r="AD5411" t="s">
        <v>45</v>
      </c>
      <c r="AF5411">
        <v>2</v>
      </c>
      <c r="AG5411" t="s">
        <v>224</v>
      </c>
      <c r="AH5411" s="36">
        <f t="shared" si="85"/>
        <v>120.71388888888889</v>
      </c>
      <c r="AI5411" s="17" t="s">
        <v>1773</v>
      </c>
    </row>
    <row r="5412" spans="1:35" x14ac:dyDescent="0.25">
      <c r="A5412" s="36">
        <v>99915410</v>
      </c>
      <c r="B5412" s="17" t="s">
        <v>56</v>
      </c>
      <c r="C5412" t="s">
        <v>71</v>
      </c>
      <c r="D5412" t="s">
        <v>72</v>
      </c>
      <c r="G5412" s="17" t="s">
        <v>35</v>
      </c>
      <c r="H5412" s="17">
        <v>1</v>
      </c>
      <c r="K5412" t="s">
        <v>223</v>
      </c>
      <c r="L5412" t="s">
        <v>224</v>
      </c>
      <c r="M5412" t="s">
        <v>131</v>
      </c>
      <c r="N5412">
        <v>25</v>
      </c>
      <c r="O5412" t="s">
        <v>40</v>
      </c>
      <c r="P5412" t="s">
        <v>40</v>
      </c>
      <c r="Q5412" t="s">
        <v>40</v>
      </c>
      <c r="S5412" t="s">
        <v>40</v>
      </c>
      <c r="V5412" t="s">
        <v>41</v>
      </c>
      <c r="W5412" t="s">
        <v>42</v>
      </c>
      <c r="X5412" t="str">
        <f>"0590903"</f>
        <v>0590903</v>
      </c>
      <c r="Y5412" t="s">
        <v>226</v>
      </c>
      <c r="Z5412" t="s">
        <v>223</v>
      </c>
      <c r="AA5412" t="s">
        <v>224</v>
      </c>
      <c r="AB5412" t="s">
        <v>131</v>
      </c>
      <c r="AC5412" t="s">
        <v>51</v>
      </c>
      <c r="AD5412" t="s">
        <v>45</v>
      </c>
      <c r="AF5412">
        <v>2</v>
      </c>
      <c r="AG5412" t="s">
        <v>224</v>
      </c>
      <c r="AH5412" s="36">
        <f t="shared" si="85"/>
        <v>120.71388888888889</v>
      </c>
      <c r="AI5412" s="17" t="s">
        <v>1773</v>
      </c>
    </row>
    <row r="5413" spans="1:35" x14ac:dyDescent="0.25">
      <c r="A5413" s="36">
        <v>99915411</v>
      </c>
      <c r="B5413" s="17" t="s">
        <v>32</v>
      </c>
      <c r="C5413" t="s">
        <v>139</v>
      </c>
      <c r="D5413" t="s">
        <v>140</v>
      </c>
      <c r="G5413" s="17" t="s">
        <v>48</v>
      </c>
      <c r="H5413" s="17">
        <v>1</v>
      </c>
      <c r="K5413" t="s">
        <v>223</v>
      </c>
      <c r="L5413" t="s">
        <v>224</v>
      </c>
      <c r="M5413" t="s">
        <v>131</v>
      </c>
      <c r="N5413">
        <v>30</v>
      </c>
      <c r="O5413" t="s">
        <v>40</v>
      </c>
      <c r="P5413" t="s">
        <v>40</v>
      </c>
      <c r="Q5413" t="s">
        <v>40</v>
      </c>
      <c r="S5413" t="s">
        <v>40</v>
      </c>
      <c r="V5413" t="s">
        <v>41</v>
      </c>
      <c r="W5413" t="s">
        <v>42</v>
      </c>
      <c r="X5413" t="str">
        <f>"0590910"</f>
        <v>0590910</v>
      </c>
      <c r="Y5413" t="s">
        <v>227</v>
      </c>
      <c r="Z5413" t="s">
        <v>223</v>
      </c>
      <c r="AA5413" t="s">
        <v>224</v>
      </c>
      <c r="AB5413" t="s">
        <v>131</v>
      </c>
      <c r="AC5413" t="s">
        <v>51</v>
      </c>
      <c r="AD5413" t="s">
        <v>45</v>
      </c>
      <c r="AF5413">
        <v>2</v>
      </c>
      <c r="AG5413" t="s">
        <v>224</v>
      </c>
      <c r="AH5413" s="36">
        <f t="shared" si="85"/>
        <v>120.71388888888889</v>
      </c>
      <c r="AI5413" s="17" t="s">
        <v>1773</v>
      </c>
    </row>
    <row r="5414" spans="1:35" x14ac:dyDescent="0.25">
      <c r="A5414" s="36">
        <v>99915412</v>
      </c>
      <c r="B5414" s="17" t="s">
        <v>56</v>
      </c>
      <c r="C5414" t="s">
        <v>82</v>
      </c>
      <c r="D5414" t="s">
        <v>83</v>
      </c>
      <c r="G5414" s="17" t="s">
        <v>35</v>
      </c>
      <c r="H5414" s="17">
        <v>1</v>
      </c>
      <c r="K5414" t="s">
        <v>223</v>
      </c>
      <c r="L5414" t="s">
        <v>224</v>
      </c>
      <c r="M5414" t="s">
        <v>131</v>
      </c>
      <c r="N5414">
        <v>25</v>
      </c>
      <c r="O5414" t="s">
        <v>40</v>
      </c>
      <c r="P5414" t="s">
        <v>40</v>
      </c>
      <c r="Q5414" t="s">
        <v>40</v>
      </c>
      <c r="S5414" t="s">
        <v>40</v>
      </c>
      <c r="V5414" t="s">
        <v>41</v>
      </c>
      <c r="W5414" t="s">
        <v>42</v>
      </c>
      <c r="X5414" t="str">
        <f>"0590903"</f>
        <v>0590903</v>
      </c>
      <c r="Y5414" t="s">
        <v>226</v>
      </c>
      <c r="Z5414" t="s">
        <v>223</v>
      </c>
      <c r="AA5414" t="s">
        <v>224</v>
      </c>
      <c r="AB5414" t="s">
        <v>131</v>
      </c>
      <c r="AC5414" t="s">
        <v>51</v>
      </c>
      <c r="AD5414" t="s">
        <v>45</v>
      </c>
      <c r="AF5414">
        <v>2</v>
      </c>
      <c r="AG5414" t="s">
        <v>224</v>
      </c>
      <c r="AH5414" s="36">
        <f t="shared" si="85"/>
        <v>120.71388888888889</v>
      </c>
      <c r="AI5414" s="17" t="s">
        <v>1773</v>
      </c>
    </row>
    <row r="5415" spans="1:35" x14ac:dyDescent="0.25">
      <c r="A5415" s="36">
        <v>99915413</v>
      </c>
      <c r="B5415" s="17" t="s">
        <v>32</v>
      </c>
      <c r="C5415" t="s">
        <v>64</v>
      </c>
      <c r="D5415" t="s">
        <v>65</v>
      </c>
      <c r="G5415" s="17" t="s">
        <v>48</v>
      </c>
      <c r="H5415" s="17">
        <v>1</v>
      </c>
      <c r="K5415" t="s">
        <v>223</v>
      </c>
      <c r="L5415" t="s">
        <v>224</v>
      </c>
      <c r="M5415" t="s">
        <v>131</v>
      </c>
      <c r="N5415">
        <v>18</v>
      </c>
      <c r="O5415" t="s">
        <v>40</v>
      </c>
      <c r="P5415" t="s">
        <v>40</v>
      </c>
      <c r="Q5415" t="s">
        <v>40</v>
      </c>
      <c r="S5415" t="s">
        <v>40</v>
      </c>
      <c r="V5415" t="s">
        <v>41</v>
      </c>
      <c r="W5415" t="s">
        <v>42</v>
      </c>
      <c r="X5415" t="str">
        <f>"0580207"</f>
        <v>0580207</v>
      </c>
      <c r="Y5415" t="s">
        <v>229</v>
      </c>
      <c r="Z5415" t="s">
        <v>223</v>
      </c>
      <c r="AA5415" t="s">
        <v>224</v>
      </c>
      <c r="AB5415" t="s">
        <v>131</v>
      </c>
      <c r="AC5415" t="s">
        <v>51</v>
      </c>
      <c r="AD5415" t="s">
        <v>45</v>
      </c>
      <c r="AF5415">
        <v>2</v>
      </c>
      <c r="AG5415" t="s">
        <v>224</v>
      </c>
      <c r="AH5415" s="36">
        <f t="shared" si="85"/>
        <v>120.71388888888889</v>
      </c>
      <c r="AI5415" s="17" t="s">
        <v>1773</v>
      </c>
    </row>
    <row r="5416" spans="1:35" x14ac:dyDescent="0.25">
      <c r="A5416" s="36">
        <v>99915414</v>
      </c>
      <c r="B5416" s="17" t="s">
        <v>56</v>
      </c>
      <c r="C5416" t="s">
        <v>149</v>
      </c>
      <c r="D5416" t="s">
        <v>150</v>
      </c>
      <c r="G5416" s="17" t="s">
        <v>35</v>
      </c>
      <c r="H5416" s="17">
        <v>1</v>
      </c>
      <c r="I5416">
        <v>0</v>
      </c>
      <c r="J5416" s="1">
        <v>43344</v>
      </c>
      <c r="K5416" t="s">
        <v>223</v>
      </c>
      <c r="L5416" t="s">
        <v>224</v>
      </c>
      <c r="M5416" t="s">
        <v>131</v>
      </c>
      <c r="N5416">
        <v>23</v>
      </c>
      <c r="O5416" t="s">
        <v>40</v>
      </c>
      <c r="P5416" t="s">
        <v>40</v>
      </c>
      <c r="Q5416" t="s">
        <v>40</v>
      </c>
      <c r="S5416" t="s">
        <v>40</v>
      </c>
      <c r="U5416" s="1">
        <v>43344</v>
      </c>
      <c r="V5416" t="s">
        <v>41</v>
      </c>
      <c r="W5416" t="s">
        <v>49</v>
      </c>
      <c r="X5416" t="str">
        <f>"0581207"</f>
        <v>0581207</v>
      </c>
      <c r="Y5416" t="s">
        <v>233</v>
      </c>
      <c r="Z5416" t="s">
        <v>223</v>
      </c>
      <c r="AA5416" t="s">
        <v>224</v>
      </c>
      <c r="AB5416" t="s">
        <v>131</v>
      </c>
      <c r="AC5416" t="s">
        <v>44</v>
      </c>
      <c r="AD5416" t="s">
        <v>45</v>
      </c>
      <c r="AF5416">
        <v>2</v>
      </c>
      <c r="AG5416" t="s">
        <v>224</v>
      </c>
      <c r="AH5416" s="36">
        <f t="shared" si="85"/>
        <v>120.71388888888889</v>
      </c>
      <c r="AI5416" s="17" t="s">
        <v>1773</v>
      </c>
    </row>
    <row r="5417" spans="1:35" x14ac:dyDescent="0.25">
      <c r="A5417" s="36">
        <v>99915415</v>
      </c>
      <c r="B5417" s="17" t="s">
        <v>32</v>
      </c>
      <c r="C5417" t="s">
        <v>82</v>
      </c>
      <c r="D5417" t="s">
        <v>83</v>
      </c>
      <c r="G5417" s="17" t="s">
        <v>48</v>
      </c>
      <c r="H5417" s="17">
        <v>1</v>
      </c>
      <c r="K5417" t="s">
        <v>223</v>
      </c>
      <c r="L5417" t="s">
        <v>224</v>
      </c>
      <c r="M5417" t="s">
        <v>131</v>
      </c>
      <c r="N5417">
        <v>18</v>
      </c>
      <c r="O5417" t="s">
        <v>40</v>
      </c>
      <c r="P5417" t="s">
        <v>40</v>
      </c>
      <c r="Q5417" t="s">
        <v>40</v>
      </c>
      <c r="S5417" t="s">
        <v>40</v>
      </c>
      <c r="V5417" t="s">
        <v>41</v>
      </c>
      <c r="W5417" t="s">
        <v>42</v>
      </c>
      <c r="X5417" t="str">
        <f>"0580207"</f>
        <v>0580207</v>
      </c>
      <c r="Y5417" t="s">
        <v>229</v>
      </c>
      <c r="Z5417" t="s">
        <v>223</v>
      </c>
      <c r="AA5417" t="s">
        <v>224</v>
      </c>
      <c r="AB5417" t="s">
        <v>131</v>
      </c>
      <c r="AC5417" t="s">
        <v>165</v>
      </c>
      <c r="AD5417" t="s">
        <v>45</v>
      </c>
      <c r="AF5417">
        <v>2</v>
      </c>
      <c r="AG5417" t="s">
        <v>224</v>
      </c>
      <c r="AH5417" s="36">
        <f t="shared" si="85"/>
        <v>120.71388888888889</v>
      </c>
      <c r="AI5417" s="17" t="s">
        <v>1773</v>
      </c>
    </row>
    <row r="5418" spans="1:35" x14ac:dyDescent="0.25">
      <c r="A5418" s="36">
        <v>99915416</v>
      </c>
      <c r="B5418" s="17" t="s">
        <v>32</v>
      </c>
      <c r="C5418" t="s">
        <v>46</v>
      </c>
      <c r="D5418" t="s">
        <v>47</v>
      </c>
      <c r="G5418" s="17" t="s">
        <v>48</v>
      </c>
      <c r="H5418" s="17">
        <v>1</v>
      </c>
      <c r="K5418" t="s">
        <v>223</v>
      </c>
      <c r="L5418" t="s">
        <v>224</v>
      </c>
      <c r="M5418" t="s">
        <v>131</v>
      </c>
      <c r="N5418">
        <v>18</v>
      </c>
      <c r="O5418" t="s">
        <v>40</v>
      </c>
      <c r="P5418" t="s">
        <v>40</v>
      </c>
      <c r="Q5418" t="s">
        <v>40</v>
      </c>
      <c r="S5418" t="s">
        <v>40</v>
      </c>
      <c r="V5418" t="s">
        <v>41</v>
      </c>
      <c r="W5418" t="s">
        <v>42</v>
      </c>
      <c r="X5418" t="str">
        <f>"0580207"</f>
        <v>0580207</v>
      </c>
      <c r="Y5418" t="s">
        <v>229</v>
      </c>
      <c r="Z5418" t="s">
        <v>223</v>
      </c>
      <c r="AA5418" t="s">
        <v>224</v>
      </c>
      <c r="AB5418" t="s">
        <v>131</v>
      </c>
      <c r="AC5418" t="s">
        <v>165</v>
      </c>
      <c r="AD5418" t="s">
        <v>45</v>
      </c>
      <c r="AF5418">
        <v>2</v>
      </c>
      <c r="AG5418" t="s">
        <v>224</v>
      </c>
      <c r="AH5418" s="36">
        <f t="shared" si="85"/>
        <v>120.71388888888889</v>
      </c>
      <c r="AI5418" s="17" t="s">
        <v>1773</v>
      </c>
    </row>
    <row r="5419" spans="1:35" x14ac:dyDescent="0.25">
      <c r="A5419" s="36">
        <v>99915417</v>
      </c>
      <c r="B5419" s="17" t="s">
        <v>32</v>
      </c>
      <c r="C5419" t="s">
        <v>46</v>
      </c>
      <c r="D5419" t="s">
        <v>47</v>
      </c>
      <c r="G5419" s="17" t="s">
        <v>48</v>
      </c>
      <c r="H5419" s="17">
        <v>1</v>
      </c>
      <c r="K5419" t="s">
        <v>223</v>
      </c>
      <c r="L5419" t="s">
        <v>224</v>
      </c>
      <c r="M5419" t="s">
        <v>131</v>
      </c>
      <c r="N5419">
        <v>20</v>
      </c>
      <c r="O5419" t="s">
        <v>40</v>
      </c>
      <c r="P5419" t="s">
        <v>40</v>
      </c>
      <c r="Q5419" t="s">
        <v>40</v>
      </c>
      <c r="S5419" t="s">
        <v>40</v>
      </c>
      <c r="V5419" t="s">
        <v>41</v>
      </c>
      <c r="W5419" t="s">
        <v>42</v>
      </c>
      <c r="X5419" t="str">
        <f>"0580315"</f>
        <v>0580315</v>
      </c>
      <c r="Y5419" t="s">
        <v>246</v>
      </c>
      <c r="Z5419" t="s">
        <v>223</v>
      </c>
      <c r="AA5419" t="s">
        <v>224</v>
      </c>
      <c r="AB5419" t="s">
        <v>131</v>
      </c>
      <c r="AC5419" t="s">
        <v>51</v>
      </c>
      <c r="AD5419" t="s">
        <v>45</v>
      </c>
      <c r="AF5419">
        <v>2</v>
      </c>
      <c r="AG5419" t="s">
        <v>224</v>
      </c>
      <c r="AH5419" s="36">
        <f t="shared" si="85"/>
        <v>120.71388888888889</v>
      </c>
      <c r="AI5419" s="17" t="s">
        <v>1773</v>
      </c>
    </row>
    <row r="5420" spans="1:35" x14ac:dyDescent="0.25">
      <c r="A5420" s="36">
        <v>99915418</v>
      </c>
      <c r="B5420" s="17" t="s">
        <v>56</v>
      </c>
      <c r="C5420" t="s">
        <v>52</v>
      </c>
      <c r="D5420" t="s">
        <v>53</v>
      </c>
      <c r="G5420" s="17" t="s">
        <v>48</v>
      </c>
      <c r="H5420" s="17">
        <v>1</v>
      </c>
      <c r="K5420" t="s">
        <v>223</v>
      </c>
      <c r="L5420" t="s">
        <v>224</v>
      </c>
      <c r="M5420" t="s">
        <v>131</v>
      </c>
      <c r="N5420">
        <v>20</v>
      </c>
      <c r="O5420" t="s">
        <v>40</v>
      </c>
      <c r="P5420" t="s">
        <v>40</v>
      </c>
      <c r="Q5420" t="s">
        <v>40</v>
      </c>
      <c r="S5420" t="s">
        <v>40</v>
      </c>
      <c r="V5420" t="s">
        <v>41</v>
      </c>
      <c r="W5420" t="s">
        <v>42</v>
      </c>
      <c r="X5420" t="str">
        <f>"0580315"</f>
        <v>0580315</v>
      </c>
      <c r="Y5420" t="s">
        <v>246</v>
      </c>
      <c r="Z5420" t="s">
        <v>223</v>
      </c>
      <c r="AA5420" t="s">
        <v>224</v>
      </c>
      <c r="AB5420" t="s">
        <v>131</v>
      </c>
      <c r="AC5420" t="s">
        <v>51</v>
      </c>
      <c r="AD5420" t="s">
        <v>45</v>
      </c>
      <c r="AF5420">
        <v>2</v>
      </c>
      <c r="AG5420" t="s">
        <v>224</v>
      </c>
      <c r="AH5420" s="36">
        <f t="shared" si="85"/>
        <v>120.71388888888889</v>
      </c>
      <c r="AI5420" s="17" t="s">
        <v>1773</v>
      </c>
    </row>
    <row r="5421" spans="1:35" x14ac:dyDescent="0.25">
      <c r="A5421" s="36">
        <v>99915419</v>
      </c>
      <c r="B5421" s="17" t="s">
        <v>32</v>
      </c>
      <c r="C5421" t="s">
        <v>33</v>
      </c>
      <c r="D5421" t="s">
        <v>34</v>
      </c>
      <c r="G5421" s="17" t="s">
        <v>48</v>
      </c>
      <c r="H5421" s="17">
        <v>1</v>
      </c>
      <c r="K5421" t="s">
        <v>223</v>
      </c>
      <c r="L5421" t="s">
        <v>224</v>
      </c>
      <c r="M5421" t="s">
        <v>131</v>
      </c>
      <c r="N5421">
        <v>18</v>
      </c>
      <c r="O5421" t="s">
        <v>40</v>
      </c>
      <c r="P5421" t="s">
        <v>40</v>
      </c>
      <c r="Q5421" t="s">
        <v>40</v>
      </c>
      <c r="S5421" t="s">
        <v>40</v>
      </c>
      <c r="V5421" t="s">
        <v>41</v>
      </c>
      <c r="W5421" t="s">
        <v>42</v>
      </c>
      <c r="X5421" t="str">
        <f>"0580207"</f>
        <v>0580207</v>
      </c>
      <c r="Y5421" t="s">
        <v>229</v>
      </c>
      <c r="Z5421" t="s">
        <v>223</v>
      </c>
      <c r="AA5421" t="s">
        <v>224</v>
      </c>
      <c r="AB5421" t="s">
        <v>131</v>
      </c>
      <c r="AC5421" t="s">
        <v>51</v>
      </c>
      <c r="AD5421" t="s">
        <v>45</v>
      </c>
      <c r="AF5421">
        <v>2</v>
      </c>
      <c r="AG5421" t="s">
        <v>224</v>
      </c>
      <c r="AH5421" s="36">
        <f t="shared" si="85"/>
        <v>120.71388888888889</v>
      </c>
      <c r="AI5421" s="17" t="s">
        <v>1773</v>
      </c>
    </row>
    <row r="5422" spans="1:35" x14ac:dyDescent="0.25">
      <c r="A5422" s="36">
        <v>99915420</v>
      </c>
      <c r="B5422" s="17" t="s">
        <v>56</v>
      </c>
      <c r="C5422" t="s">
        <v>68</v>
      </c>
      <c r="D5422" t="s">
        <v>69</v>
      </c>
      <c r="G5422" s="17" t="s">
        <v>48</v>
      </c>
      <c r="H5422" s="17">
        <v>1</v>
      </c>
      <c r="K5422" t="s">
        <v>223</v>
      </c>
      <c r="L5422" t="s">
        <v>224</v>
      </c>
      <c r="M5422" t="s">
        <v>131</v>
      </c>
      <c r="N5422">
        <v>20</v>
      </c>
      <c r="O5422" t="s">
        <v>40</v>
      </c>
      <c r="P5422" t="s">
        <v>40</v>
      </c>
      <c r="Q5422" t="s">
        <v>40</v>
      </c>
      <c r="S5422" t="s">
        <v>40</v>
      </c>
      <c r="V5422" t="s">
        <v>41</v>
      </c>
      <c r="W5422" t="s">
        <v>42</v>
      </c>
      <c r="X5422" t="str">
        <f>"0580207"</f>
        <v>0580207</v>
      </c>
      <c r="Y5422" t="s">
        <v>229</v>
      </c>
      <c r="Z5422" t="s">
        <v>223</v>
      </c>
      <c r="AA5422" t="s">
        <v>224</v>
      </c>
      <c r="AB5422" t="s">
        <v>131</v>
      </c>
      <c r="AC5422" t="s">
        <v>51</v>
      </c>
      <c r="AD5422" t="s">
        <v>45</v>
      </c>
      <c r="AF5422">
        <v>2</v>
      </c>
      <c r="AG5422" t="s">
        <v>224</v>
      </c>
      <c r="AH5422" s="36">
        <f t="shared" si="85"/>
        <v>120.71388888888889</v>
      </c>
      <c r="AI5422" s="17" t="s">
        <v>1773</v>
      </c>
    </row>
    <row r="5423" spans="1:35" x14ac:dyDescent="0.25">
      <c r="A5423" s="36">
        <v>99915421</v>
      </c>
      <c r="B5423" s="17" t="s">
        <v>32</v>
      </c>
      <c r="C5423" t="s">
        <v>46</v>
      </c>
      <c r="D5423" t="s">
        <v>47</v>
      </c>
      <c r="G5423" s="17" t="s">
        <v>48</v>
      </c>
      <c r="H5423" s="17">
        <v>1</v>
      </c>
      <c r="K5423" t="s">
        <v>223</v>
      </c>
      <c r="L5423" t="s">
        <v>224</v>
      </c>
      <c r="M5423" t="s">
        <v>131</v>
      </c>
      <c r="N5423">
        <v>18</v>
      </c>
      <c r="O5423" t="s">
        <v>40</v>
      </c>
      <c r="P5423" t="s">
        <v>40</v>
      </c>
      <c r="Q5423" t="s">
        <v>40</v>
      </c>
      <c r="S5423" t="s">
        <v>40</v>
      </c>
      <c r="V5423" t="s">
        <v>41</v>
      </c>
      <c r="W5423" t="s">
        <v>42</v>
      </c>
      <c r="X5423" t="str">
        <f>"0580207"</f>
        <v>0580207</v>
      </c>
      <c r="Y5423" t="s">
        <v>229</v>
      </c>
      <c r="Z5423" t="s">
        <v>223</v>
      </c>
      <c r="AA5423" t="s">
        <v>224</v>
      </c>
      <c r="AB5423" t="s">
        <v>131</v>
      </c>
      <c r="AC5423" t="s">
        <v>165</v>
      </c>
      <c r="AD5423" t="s">
        <v>45</v>
      </c>
      <c r="AF5423">
        <v>2</v>
      </c>
      <c r="AG5423" t="s">
        <v>224</v>
      </c>
      <c r="AH5423" s="36">
        <f t="shared" si="85"/>
        <v>120.71388888888889</v>
      </c>
      <c r="AI5423" s="17" t="s">
        <v>1773</v>
      </c>
    </row>
    <row r="5424" spans="1:35" x14ac:dyDescent="0.25">
      <c r="A5424" s="36">
        <v>99915422</v>
      </c>
      <c r="B5424" s="17" t="s">
        <v>32</v>
      </c>
      <c r="C5424" t="s">
        <v>143</v>
      </c>
      <c r="D5424" t="s">
        <v>144</v>
      </c>
      <c r="G5424" s="17" t="s">
        <v>35</v>
      </c>
      <c r="H5424" s="17">
        <v>1</v>
      </c>
      <c r="I5424">
        <v>0</v>
      </c>
      <c r="J5424" s="1">
        <v>43344</v>
      </c>
      <c r="K5424" t="s">
        <v>223</v>
      </c>
      <c r="L5424" t="s">
        <v>224</v>
      </c>
      <c r="M5424" t="s">
        <v>131</v>
      </c>
      <c r="N5424">
        <v>23</v>
      </c>
      <c r="O5424" t="s">
        <v>40</v>
      </c>
      <c r="Q5424" t="s">
        <v>40</v>
      </c>
      <c r="S5424" t="s">
        <v>40</v>
      </c>
      <c r="U5424" s="1">
        <v>43344</v>
      </c>
      <c r="V5424" t="s">
        <v>41</v>
      </c>
      <c r="W5424" t="s">
        <v>49</v>
      </c>
      <c r="X5424" t="str">
        <f>"0561022"</f>
        <v>0561022</v>
      </c>
      <c r="Y5424" t="s">
        <v>225</v>
      </c>
      <c r="Z5424" t="s">
        <v>223</v>
      </c>
      <c r="AA5424" t="s">
        <v>224</v>
      </c>
      <c r="AB5424" t="s">
        <v>131</v>
      </c>
      <c r="AC5424" t="s">
        <v>44</v>
      </c>
      <c r="AD5424" t="s">
        <v>45</v>
      </c>
      <c r="AF5424">
        <v>2</v>
      </c>
      <c r="AG5424" t="s">
        <v>224</v>
      </c>
      <c r="AH5424" s="36">
        <f t="shared" si="85"/>
        <v>120.71388888888889</v>
      </c>
      <c r="AI5424" s="17" t="s">
        <v>1773</v>
      </c>
    </row>
    <row r="5425" spans="1:35" x14ac:dyDescent="0.25">
      <c r="A5425" s="36">
        <v>99915423</v>
      </c>
      <c r="B5425" s="17" t="s">
        <v>32</v>
      </c>
      <c r="C5425" t="s">
        <v>46</v>
      </c>
      <c r="D5425" t="s">
        <v>47</v>
      </c>
      <c r="G5425" s="17" t="s">
        <v>48</v>
      </c>
      <c r="H5425" s="17">
        <v>1</v>
      </c>
      <c r="K5425" t="s">
        <v>223</v>
      </c>
      <c r="L5425" t="s">
        <v>224</v>
      </c>
      <c r="M5425" t="s">
        <v>131</v>
      </c>
      <c r="N5425">
        <v>18</v>
      </c>
      <c r="O5425" t="s">
        <v>40</v>
      </c>
      <c r="P5425" t="s">
        <v>40</v>
      </c>
      <c r="Q5425" t="s">
        <v>40</v>
      </c>
      <c r="S5425" t="s">
        <v>40</v>
      </c>
      <c r="V5425" t="s">
        <v>41</v>
      </c>
      <c r="W5425" t="s">
        <v>42</v>
      </c>
      <c r="X5425" t="str">
        <f>"0580207"</f>
        <v>0580207</v>
      </c>
      <c r="Y5425" t="s">
        <v>229</v>
      </c>
      <c r="Z5425" t="s">
        <v>223</v>
      </c>
      <c r="AA5425" t="s">
        <v>224</v>
      </c>
      <c r="AB5425" t="s">
        <v>131</v>
      </c>
      <c r="AC5425" t="s">
        <v>165</v>
      </c>
      <c r="AD5425" t="s">
        <v>45</v>
      </c>
      <c r="AF5425">
        <v>2</v>
      </c>
      <c r="AG5425" t="s">
        <v>224</v>
      </c>
      <c r="AH5425" s="36">
        <f t="shared" si="85"/>
        <v>120.71388888888889</v>
      </c>
      <c r="AI5425" s="17" t="s">
        <v>1773</v>
      </c>
    </row>
    <row r="5426" spans="1:35" x14ac:dyDescent="0.25">
      <c r="A5426" s="36">
        <v>99915424</v>
      </c>
      <c r="B5426" s="17" t="s">
        <v>56</v>
      </c>
      <c r="C5426" t="s">
        <v>68</v>
      </c>
      <c r="D5426" t="s">
        <v>69</v>
      </c>
      <c r="G5426" s="17" t="s">
        <v>48</v>
      </c>
      <c r="H5426" s="17">
        <v>1</v>
      </c>
      <c r="K5426" t="s">
        <v>223</v>
      </c>
      <c r="L5426" t="s">
        <v>224</v>
      </c>
      <c r="M5426" t="s">
        <v>131</v>
      </c>
      <c r="N5426">
        <v>20</v>
      </c>
      <c r="O5426" t="s">
        <v>40</v>
      </c>
      <c r="P5426" t="s">
        <v>40</v>
      </c>
      <c r="Q5426" t="s">
        <v>40</v>
      </c>
      <c r="S5426" t="s">
        <v>40</v>
      </c>
      <c r="V5426" t="s">
        <v>41</v>
      </c>
      <c r="W5426" t="s">
        <v>42</v>
      </c>
      <c r="X5426" t="str">
        <f>"0580315"</f>
        <v>0580315</v>
      </c>
      <c r="Y5426" t="s">
        <v>246</v>
      </c>
      <c r="Z5426" t="s">
        <v>223</v>
      </c>
      <c r="AA5426" t="s">
        <v>224</v>
      </c>
      <c r="AB5426" t="s">
        <v>131</v>
      </c>
      <c r="AC5426" t="s">
        <v>51</v>
      </c>
      <c r="AD5426" t="s">
        <v>45</v>
      </c>
      <c r="AF5426">
        <v>2</v>
      </c>
      <c r="AG5426" t="s">
        <v>224</v>
      </c>
      <c r="AH5426" s="36">
        <f t="shared" si="85"/>
        <v>120.71388888888889</v>
      </c>
      <c r="AI5426" s="17" t="s">
        <v>1773</v>
      </c>
    </row>
    <row r="5427" spans="1:35" x14ac:dyDescent="0.25">
      <c r="A5427" s="36">
        <v>99915425</v>
      </c>
      <c r="B5427" s="17" t="s">
        <v>56</v>
      </c>
      <c r="C5427" t="s">
        <v>52</v>
      </c>
      <c r="D5427" t="s">
        <v>53</v>
      </c>
      <c r="G5427" s="17" t="s">
        <v>48</v>
      </c>
      <c r="H5427" s="17">
        <v>1</v>
      </c>
      <c r="K5427" t="s">
        <v>223</v>
      </c>
      <c r="L5427" t="s">
        <v>224</v>
      </c>
      <c r="M5427" t="s">
        <v>131</v>
      </c>
      <c r="N5427">
        <v>21</v>
      </c>
      <c r="O5427" t="s">
        <v>40</v>
      </c>
      <c r="P5427" t="s">
        <v>40</v>
      </c>
      <c r="Q5427" t="s">
        <v>40</v>
      </c>
      <c r="S5427" t="s">
        <v>40</v>
      </c>
      <c r="V5427" t="s">
        <v>41</v>
      </c>
      <c r="W5427" t="s">
        <v>42</v>
      </c>
      <c r="X5427" t="str">
        <f>"0580315"</f>
        <v>0580315</v>
      </c>
      <c r="Y5427" t="s">
        <v>246</v>
      </c>
      <c r="Z5427" t="s">
        <v>223</v>
      </c>
      <c r="AA5427" t="s">
        <v>224</v>
      </c>
      <c r="AB5427" t="s">
        <v>131</v>
      </c>
      <c r="AC5427" t="s">
        <v>51</v>
      </c>
      <c r="AD5427" t="s">
        <v>45</v>
      </c>
      <c r="AF5427">
        <v>2</v>
      </c>
      <c r="AG5427" t="s">
        <v>224</v>
      </c>
      <c r="AH5427" s="36">
        <f t="shared" si="85"/>
        <v>120.71388888888889</v>
      </c>
      <c r="AI5427" s="17" t="s">
        <v>1773</v>
      </c>
    </row>
    <row r="5428" spans="1:35" x14ac:dyDescent="0.25">
      <c r="A5428" s="36">
        <v>99915426</v>
      </c>
      <c r="B5428" s="17" t="s">
        <v>32</v>
      </c>
      <c r="C5428" t="s">
        <v>33</v>
      </c>
      <c r="D5428" t="s">
        <v>34</v>
      </c>
      <c r="G5428" s="17" t="s">
        <v>35</v>
      </c>
      <c r="H5428" s="17">
        <v>1</v>
      </c>
      <c r="K5428" t="s">
        <v>223</v>
      </c>
      <c r="L5428" t="s">
        <v>224</v>
      </c>
      <c r="M5428" t="s">
        <v>131</v>
      </c>
      <c r="N5428">
        <v>16</v>
      </c>
      <c r="O5428" t="s">
        <v>40</v>
      </c>
      <c r="P5428" t="s">
        <v>40</v>
      </c>
      <c r="Q5428" t="s">
        <v>40</v>
      </c>
      <c r="S5428" t="s">
        <v>40</v>
      </c>
      <c r="V5428" t="s">
        <v>41</v>
      </c>
      <c r="W5428" t="s">
        <v>42</v>
      </c>
      <c r="X5428" t="str">
        <f>"0590903"</f>
        <v>0590903</v>
      </c>
      <c r="Y5428" t="s">
        <v>226</v>
      </c>
      <c r="Z5428" t="s">
        <v>223</v>
      </c>
      <c r="AA5428" t="s">
        <v>224</v>
      </c>
      <c r="AB5428" t="s">
        <v>131</v>
      </c>
      <c r="AC5428" t="s">
        <v>51</v>
      </c>
      <c r="AD5428" t="s">
        <v>45</v>
      </c>
      <c r="AF5428">
        <v>2</v>
      </c>
      <c r="AG5428" t="s">
        <v>224</v>
      </c>
      <c r="AH5428" s="36">
        <f t="shared" si="85"/>
        <v>120.71388888888889</v>
      </c>
      <c r="AI5428" s="17" t="s">
        <v>1773</v>
      </c>
    </row>
    <row r="5429" spans="1:35" x14ac:dyDescent="0.25">
      <c r="A5429" s="36">
        <v>99915427</v>
      </c>
      <c r="B5429" s="17" t="s">
        <v>32</v>
      </c>
      <c r="C5429" t="s">
        <v>64</v>
      </c>
      <c r="D5429" t="s">
        <v>65</v>
      </c>
      <c r="G5429" s="17" t="s">
        <v>48</v>
      </c>
      <c r="H5429" s="17">
        <v>1</v>
      </c>
      <c r="K5429" t="s">
        <v>223</v>
      </c>
      <c r="L5429" t="s">
        <v>224</v>
      </c>
      <c r="M5429" t="s">
        <v>131</v>
      </c>
      <c r="N5429">
        <v>21</v>
      </c>
      <c r="O5429" t="s">
        <v>40</v>
      </c>
      <c r="P5429" t="s">
        <v>40</v>
      </c>
      <c r="Q5429" t="s">
        <v>40</v>
      </c>
      <c r="S5429" t="s">
        <v>40</v>
      </c>
      <c r="V5429" t="s">
        <v>41</v>
      </c>
      <c r="W5429" t="s">
        <v>49</v>
      </c>
      <c r="X5429" t="str">
        <f>"0560016"</f>
        <v>0560016</v>
      </c>
      <c r="Y5429" t="s">
        <v>254</v>
      </c>
      <c r="Z5429" t="s">
        <v>223</v>
      </c>
      <c r="AA5429" t="s">
        <v>224</v>
      </c>
      <c r="AB5429" t="s">
        <v>131</v>
      </c>
      <c r="AC5429" t="s">
        <v>51</v>
      </c>
      <c r="AD5429" t="s">
        <v>45</v>
      </c>
      <c r="AF5429">
        <v>2</v>
      </c>
      <c r="AG5429" t="s">
        <v>224</v>
      </c>
      <c r="AH5429" s="36">
        <f t="shared" si="85"/>
        <v>120.71388888888889</v>
      </c>
      <c r="AI5429" s="17" t="s">
        <v>1773</v>
      </c>
    </row>
    <row r="5430" spans="1:35" x14ac:dyDescent="0.25">
      <c r="A5430" s="36">
        <v>99915428</v>
      </c>
      <c r="B5430" s="17" t="s">
        <v>32</v>
      </c>
      <c r="C5430" t="s">
        <v>64</v>
      </c>
      <c r="D5430" t="s">
        <v>65</v>
      </c>
      <c r="G5430" s="17" t="s">
        <v>35</v>
      </c>
      <c r="H5430" s="17">
        <v>1</v>
      </c>
      <c r="I5430">
        <v>0</v>
      </c>
      <c r="J5430" s="1">
        <v>43344</v>
      </c>
      <c r="K5430" t="s">
        <v>223</v>
      </c>
      <c r="L5430" t="s">
        <v>224</v>
      </c>
      <c r="M5430" t="s">
        <v>131</v>
      </c>
      <c r="N5430">
        <v>13</v>
      </c>
      <c r="O5430" t="s">
        <v>40</v>
      </c>
      <c r="S5430" t="s">
        <v>40</v>
      </c>
      <c r="U5430" s="1">
        <v>43344</v>
      </c>
      <c r="V5430" t="s">
        <v>41</v>
      </c>
      <c r="W5430" t="s">
        <v>49</v>
      </c>
      <c r="X5430" t="str">
        <f>"0591901"</f>
        <v>0591901</v>
      </c>
      <c r="Y5430" t="s">
        <v>230</v>
      </c>
      <c r="Z5430" t="s">
        <v>223</v>
      </c>
      <c r="AA5430" t="s">
        <v>224</v>
      </c>
      <c r="AB5430" t="s">
        <v>131</v>
      </c>
      <c r="AC5430" t="s">
        <v>44</v>
      </c>
      <c r="AD5430" t="s">
        <v>45</v>
      </c>
      <c r="AF5430">
        <v>2</v>
      </c>
      <c r="AG5430" t="s">
        <v>224</v>
      </c>
      <c r="AH5430" s="36">
        <f t="shared" si="85"/>
        <v>120.71388888888889</v>
      </c>
      <c r="AI5430" s="17" t="s">
        <v>1773</v>
      </c>
    </row>
    <row r="5431" spans="1:35" x14ac:dyDescent="0.25">
      <c r="A5431" s="36">
        <v>99915429</v>
      </c>
      <c r="B5431" s="17" t="s">
        <v>56</v>
      </c>
      <c r="C5431" t="s">
        <v>52</v>
      </c>
      <c r="D5431" t="s">
        <v>53</v>
      </c>
      <c r="G5431" s="17" t="s">
        <v>48</v>
      </c>
      <c r="H5431" s="17">
        <v>1</v>
      </c>
      <c r="K5431" t="s">
        <v>223</v>
      </c>
      <c r="L5431" t="s">
        <v>224</v>
      </c>
      <c r="M5431" t="s">
        <v>131</v>
      </c>
      <c r="N5431">
        <v>20</v>
      </c>
      <c r="O5431" t="s">
        <v>40</v>
      </c>
      <c r="P5431" t="s">
        <v>40</v>
      </c>
      <c r="Q5431" t="s">
        <v>40</v>
      </c>
      <c r="S5431" t="s">
        <v>40</v>
      </c>
      <c r="V5431" t="s">
        <v>41</v>
      </c>
      <c r="W5431" t="s">
        <v>42</v>
      </c>
      <c r="X5431" t="str">
        <f>"0580207"</f>
        <v>0580207</v>
      </c>
      <c r="Y5431" t="s">
        <v>229</v>
      </c>
      <c r="Z5431" t="s">
        <v>223</v>
      </c>
      <c r="AA5431" t="s">
        <v>224</v>
      </c>
      <c r="AB5431" t="s">
        <v>131</v>
      </c>
      <c r="AC5431" t="s">
        <v>51</v>
      </c>
      <c r="AD5431" t="s">
        <v>45</v>
      </c>
      <c r="AF5431">
        <v>2</v>
      </c>
      <c r="AG5431" t="s">
        <v>224</v>
      </c>
      <c r="AH5431" s="36">
        <f t="shared" si="85"/>
        <v>120.71388888888889</v>
      </c>
      <c r="AI5431" s="17" t="s">
        <v>1773</v>
      </c>
    </row>
    <row r="5432" spans="1:35" x14ac:dyDescent="0.25">
      <c r="A5432" s="36">
        <v>99915430</v>
      </c>
      <c r="B5432" s="17" t="s">
        <v>32</v>
      </c>
      <c r="C5432" t="s">
        <v>52</v>
      </c>
      <c r="D5432" t="s">
        <v>53</v>
      </c>
      <c r="G5432" s="17" t="s">
        <v>35</v>
      </c>
      <c r="H5432" s="17">
        <v>1</v>
      </c>
      <c r="I5432">
        <v>0</v>
      </c>
      <c r="J5432" s="1">
        <v>43344</v>
      </c>
      <c r="K5432" t="s">
        <v>223</v>
      </c>
      <c r="L5432" t="s">
        <v>224</v>
      </c>
      <c r="M5432" t="s">
        <v>131</v>
      </c>
      <c r="N5432">
        <v>14</v>
      </c>
      <c r="O5432" t="s">
        <v>40</v>
      </c>
      <c r="S5432" t="s">
        <v>40</v>
      </c>
      <c r="U5432" s="1">
        <v>43344</v>
      </c>
      <c r="V5432" t="s">
        <v>41</v>
      </c>
      <c r="W5432" t="s">
        <v>49</v>
      </c>
      <c r="X5432" t="str">
        <f>"0591901"</f>
        <v>0591901</v>
      </c>
      <c r="Y5432" t="s">
        <v>230</v>
      </c>
      <c r="Z5432" t="s">
        <v>223</v>
      </c>
      <c r="AA5432" t="s">
        <v>224</v>
      </c>
      <c r="AB5432" t="s">
        <v>131</v>
      </c>
      <c r="AC5432" t="s">
        <v>44</v>
      </c>
      <c r="AD5432" t="s">
        <v>45</v>
      </c>
      <c r="AF5432">
        <v>2</v>
      </c>
      <c r="AG5432" t="s">
        <v>224</v>
      </c>
      <c r="AH5432" s="36">
        <f t="shared" si="85"/>
        <v>120.71388888888889</v>
      </c>
      <c r="AI5432" s="17" t="s">
        <v>1773</v>
      </c>
    </row>
    <row r="5433" spans="1:35" x14ac:dyDescent="0.25">
      <c r="A5433" s="36">
        <v>99915431</v>
      </c>
      <c r="B5433" s="17" t="s">
        <v>56</v>
      </c>
      <c r="C5433" t="s">
        <v>46</v>
      </c>
      <c r="D5433" t="s">
        <v>47</v>
      </c>
      <c r="G5433" s="17" t="s">
        <v>35</v>
      </c>
      <c r="H5433" s="17">
        <v>1</v>
      </c>
      <c r="I5433">
        <v>0</v>
      </c>
      <c r="J5433" s="1">
        <v>43344</v>
      </c>
      <c r="K5433" t="s">
        <v>223</v>
      </c>
      <c r="L5433" t="s">
        <v>224</v>
      </c>
      <c r="M5433" t="s">
        <v>131</v>
      </c>
      <c r="N5433">
        <v>23</v>
      </c>
      <c r="O5433" t="s">
        <v>40</v>
      </c>
      <c r="P5433" t="s">
        <v>40</v>
      </c>
      <c r="Q5433" t="s">
        <v>40</v>
      </c>
      <c r="S5433" t="s">
        <v>40</v>
      </c>
      <c r="U5433" s="1">
        <v>43344</v>
      </c>
      <c r="V5433" t="s">
        <v>41</v>
      </c>
      <c r="W5433" t="s">
        <v>42</v>
      </c>
      <c r="X5433" t="str">
        <f>"0580207"</f>
        <v>0580207</v>
      </c>
      <c r="Y5433" t="s">
        <v>229</v>
      </c>
      <c r="Z5433" t="s">
        <v>223</v>
      </c>
      <c r="AA5433" t="s">
        <v>224</v>
      </c>
      <c r="AB5433" t="s">
        <v>131</v>
      </c>
      <c r="AC5433" t="s">
        <v>44</v>
      </c>
      <c r="AD5433" t="s">
        <v>45</v>
      </c>
      <c r="AF5433">
        <v>2</v>
      </c>
      <c r="AG5433" t="s">
        <v>224</v>
      </c>
      <c r="AH5433" s="36">
        <f t="shared" si="85"/>
        <v>120.71388888888889</v>
      </c>
      <c r="AI5433" s="17" t="s">
        <v>1773</v>
      </c>
    </row>
    <row r="5434" spans="1:35" x14ac:dyDescent="0.25">
      <c r="A5434" s="36">
        <v>99915432</v>
      </c>
      <c r="B5434" s="17" t="s">
        <v>32</v>
      </c>
      <c r="C5434" t="s">
        <v>52</v>
      </c>
      <c r="D5434" t="s">
        <v>53</v>
      </c>
      <c r="G5434" s="17" t="s">
        <v>35</v>
      </c>
      <c r="H5434" s="17">
        <v>1</v>
      </c>
      <c r="I5434">
        <v>0</v>
      </c>
      <c r="J5434" s="1">
        <v>43344</v>
      </c>
      <c r="K5434" t="s">
        <v>223</v>
      </c>
      <c r="L5434" t="s">
        <v>224</v>
      </c>
      <c r="M5434" t="s">
        <v>131</v>
      </c>
      <c r="N5434">
        <v>13</v>
      </c>
      <c r="O5434" t="s">
        <v>40</v>
      </c>
      <c r="S5434" t="s">
        <v>40</v>
      </c>
      <c r="U5434" s="1">
        <v>43344</v>
      </c>
      <c r="V5434" t="s">
        <v>41</v>
      </c>
      <c r="W5434" t="s">
        <v>49</v>
      </c>
      <c r="X5434" t="str">
        <f>"0591901"</f>
        <v>0591901</v>
      </c>
      <c r="Y5434" t="s">
        <v>230</v>
      </c>
      <c r="Z5434" t="s">
        <v>223</v>
      </c>
      <c r="AA5434" t="s">
        <v>224</v>
      </c>
      <c r="AB5434" t="s">
        <v>131</v>
      </c>
      <c r="AC5434" t="s">
        <v>44</v>
      </c>
      <c r="AD5434" t="s">
        <v>45</v>
      </c>
      <c r="AF5434">
        <v>2</v>
      </c>
      <c r="AG5434" t="s">
        <v>224</v>
      </c>
      <c r="AH5434" s="36">
        <f t="shared" si="85"/>
        <v>120.71388888888889</v>
      </c>
      <c r="AI5434" s="17" t="s">
        <v>1773</v>
      </c>
    </row>
    <row r="5435" spans="1:35" x14ac:dyDescent="0.25">
      <c r="A5435" s="36">
        <v>99915433</v>
      </c>
      <c r="B5435" s="17" t="s">
        <v>56</v>
      </c>
      <c r="C5435" t="s">
        <v>58</v>
      </c>
      <c r="D5435" t="s">
        <v>59</v>
      </c>
      <c r="G5435" s="17" t="s">
        <v>48</v>
      </c>
      <c r="H5435" s="17">
        <v>1</v>
      </c>
      <c r="K5435" t="s">
        <v>223</v>
      </c>
      <c r="L5435" t="s">
        <v>224</v>
      </c>
      <c r="M5435" t="s">
        <v>131</v>
      </c>
      <c r="N5435">
        <v>21</v>
      </c>
      <c r="O5435" t="s">
        <v>40</v>
      </c>
      <c r="P5435" t="s">
        <v>40</v>
      </c>
      <c r="Q5435" t="s">
        <v>40</v>
      </c>
      <c r="S5435" t="s">
        <v>40</v>
      </c>
      <c r="V5435" t="s">
        <v>41</v>
      </c>
      <c r="W5435" t="s">
        <v>42</v>
      </c>
      <c r="X5435" t="str">
        <f>"0580207"</f>
        <v>0580207</v>
      </c>
      <c r="Y5435" t="s">
        <v>229</v>
      </c>
      <c r="Z5435" t="s">
        <v>223</v>
      </c>
      <c r="AA5435" t="s">
        <v>224</v>
      </c>
      <c r="AB5435" t="s">
        <v>131</v>
      </c>
      <c r="AC5435" t="s">
        <v>51</v>
      </c>
      <c r="AD5435" t="s">
        <v>45</v>
      </c>
      <c r="AF5435">
        <v>2</v>
      </c>
      <c r="AG5435" t="s">
        <v>224</v>
      </c>
      <c r="AH5435" s="36">
        <f t="shared" si="85"/>
        <v>120.71388888888889</v>
      </c>
      <c r="AI5435" s="17" t="s">
        <v>1773</v>
      </c>
    </row>
    <row r="5436" spans="1:35" x14ac:dyDescent="0.25">
      <c r="A5436" s="36">
        <v>99915434</v>
      </c>
      <c r="B5436" s="17" t="s">
        <v>56</v>
      </c>
      <c r="C5436" t="s">
        <v>46</v>
      </c>
      <c r="D5436" t="s">
        <v>47</v>
      </c>
      <c r="G5436" s="17" t="s">
        <v>48</v>
      </c>
      <c r="H5436" s="17">
        <v>1</v>
      </c>
      <c r="K5436" t="s">
        <v>223</v>
      </c>
      <c r="L5436" t="s">
        <v>224</v>
      </c>
      <c r="M5436" t="s">
        <v>131</v>
      </c>
      <c r="N5436">
        <v>20</v>
      </c>
      <c r="O5436" t="s">
        <v>40</v>
      </c>
      <c r="P5436" t="s">
        <v>40</v>
      </c>
      <c r="Q5436" t="s">
        <v>40</v>
      </c>
      <c r="S5436" t="s">
        <v>40</v>
      </c>
      <c r="V5436" t="s">
        <v>41</v>
      </c>
      <c r="W5436" t="s">
        <v>42</v>
      </c>
      <c r="X5436" t="str">
        <f>"0580207"</f>
        <v>0580207</v>
      </c>
      <c r="Y5436" t="s">
        <v>229</v>
      </c>
      <c r="Z5436" t="s">
        <v>223</v>
      </c>
      <c r="AA5436" t="s">
        <v>224</v>
      </c>
      <c r="AB5436" t="s">
        <v>131</v>
      </c>
      <c r="AC5436" t="s">
        <v>51</v>
      </c>
      <c r="AD5436" t="s">
        <v>45</v>
      </c>
      <c r="AF5436">
        <v>2</v>
      </c>
      <c r="AG5436" t="s">
        <v>224</v>
      </c>
      <c r="AH5436" s="36">
        <f t="shared" si="85"/>
        <v>120.71388888888889</v>
      </c>
      <c r="AI5436" s="17" t="s">
        <v>1773</v>
      </c>
    </row>
    <row r="5437" spans="1:35" x14ac:dyDescent="0.25">
      <c r="A5437" s="36">
        <v>99915435</v>
      </c>
      <c r="B5437" s="17" t="s">
        <v>56</v>
      </c>
      <c r="C5437" t="s">
        <v>68</v>
      </c>
      <c r="D5437" t="s">
        <v>69</v>
      </c>
      <c r="G5437" s="17" t="s">
        <v>48</v>
      </c>
      <c r="H5437" s="17">
        <v>1</v>
      </c>
      <c r="K5437" t="s">
        <v>223</v>
      </c>
      <c r="L5437" t="s">
        <v>224</v>
      </c>
      <c r="M5437" t="s">
        <v>131</v>
      </c>
      <c r="N5437">
        <v>18</v>
      </c>
      <c r="O5437" t="s">
        <v>40</v>
      </c>
      <c r="P5437" t="s">
        <v>40</v>
      </c>
      <c r="Q5437" t="s">
        <v>40</v>
      </c>
      <c r="S5437" t="s">
        <v>40</v>
      </c>
      <c r="V5437" t="s">
        <v>41</v>
      </c>
      <c r="W5437" t="s">
        <v>42</v>
      </c>
      <c r="X5437" t="str">
        <f>"0580207"</f>
        <v>0580207</v>
      </c>
      <c r="Y5437" t="s">
        <v>229</v>
      </c>
      <c r="Z5437" t="s">
        <v>223</v>
      </c>
      <c r="AA5437" t="s">
        <v>224</v>
      </c>
      <c r="AB5437" t="s">
        <v>131</v>
      </c>
      <c r="AC5437" t="s">
        <v>165</v>
      </c>
      <c r="AD5437" t="s">
        <v>45</v>
      </c>
      <c r="AF5437">
        <v>2</v>
      </c>
      <c r="AG5437" t="s">
        <v>224</v>
      </c>
      <c r="AH5437" s="36">
        <f t="shared" si="85"/>
        <v>120.71388888888889</v>
      </c>
      <c r="AI5437" s="17" t="s">
        <v>1773</v>
      </c>
    </row>
    <row r="5438" spans="1:35" x14ac:dyDescent="0.25">
      <c r="A5438" s="36">
        <v>99915436</v>
      </c>
      <c r="B5438" s="17" t="s">
        <v>56</v>
      </c>
      <c r="C5438" t="s">
        <v>33</v>
      </c>
      <c r="D5438" t="s">
        <v>34</v>
      </c>
      <c r="G5438" s="17" t="s">
        <v>48</v>
      </c>
      <c r="H5438" s="17">
        <v>1</v>
      </c>
      <c r="K5438" t="s">
        <v>223</v>
      </c>
      <c r="L5438" t="s">
        <v>224</v>
      </c>
      <c r="M5438" t="s">
        <v>131</v>
      </c>
      <c r="N5438">
        <v>20</v>
      </c>
      <c r="O5438" t="s">
        <v>40</v>
      </c>
      <c r="P5438" t="s">
        <v>40</v>
      </c>
      <c r="Q5438" t="s">
        <v>40</v>
      </c>
      <c r="S5438" t="s">
        <v>40</v>
      </c>
      <c r="V5438" t="s">
        <v>41</v>
      </c>
      <c r="W5438" t="s">
        <v>42</v>
      </c>
      <c r="X5438" t="str">
        <f>"0580207"</f>
        <v>0580207</v>
      </c>
      <c r="Y5438" t="s">
        <v>229</v>
      </c>
      <c r="Z5438" t="s">
        <v>223</v>
      </c>
      <c r="AA5438" t="s">
        <v>224</v>
      </c>
      <c r="AB5438" t="s">
        <v>131</v>
      </c>
      <c r="AC5438" t="s">
        <v>51</v>
      </c>
      <c r="AD5438" t="s">
        <v>45</v>
      </c>
      <c r="AF5438">
        <v>2</v>
      </c>
      <c r="AG5438" t="s">
        <v>224</v>
      </c>
      <c r="AH5438" s="36">
        <f t="shared" si="85"/>
        <v>120.71388888888889</v>
      </c>
      <c r="AI5438" s="17" t="s">
        <v>1773</v>
      </c>
    </row>
    <row r="5439" spans="1:35" x14ac:dyDescent="0.25">
      <c r="A5439" s="36">
        <v>99915437</v>
      </c>
      <c r="B5439" s="17" t="s">
        <v>32</v>
      </c>
      <c r="C5439" t="s">
        <v>82</v>
      </c>
      <c r="D5439" t="s">
        <v>83</v>
      </c>
      <c r="G5439" s="17" t="s">
        <v>48</v>
      </c>
      <c r="H5439" s="17">
        <v>1</v>
      </c>
      <c r="K5439" t="s">
        <v>223</v>
      </c>
      <c r="L5439" t="s">
        <v>224</v>
      </c>
      <c r="M5439" t="s">
        <v>131</v>
      </c>
      <c r="N5439">
        <v>16</v>
      </c>
      <c r="O5439" t="s">
        <v>40</v>
      </c>
      <c r="P5439" t="s">
        <v>40</v>
      </c>
      <c r="Q5439" t="s">
        <v>40</v>
      </c>
      <c r="S5439" t="s">
        <v>40</v>
      </c>
      <c r="V5439" t="s">
        <v>41</v>
      </c>
      <c r="W5439" t="s">
        <v>42</v>
      </c>
      <c r="X5439" t="str">
        <f>"0561014"</f>
        <v>0561014</v>
      </c>
      <c r="Y5439" t="s">
        <v>264</v>
      </c>
      <c r="Z5439" t="s">
        <v>223</v>
      </c>
      <c r="AA5439" t="s">
        <v>224</v>
      </c>
      <c r="AB5439" t="s">
        <v>131</v>
      </c>
      <c r="AC5439" t="s">
        <v>51</v>
      </c>
      <c r="AD5439" t="s">
        <v>45</v>
      </c>
      <c r="AF5439">
        <v>2</v>
      </c>
      <c r="AG5439" t="s">
        <v>224</v>
      </c>
      <c r="AH5439" s="36">
        <f t="shared" si="85"/>
        <v>120.71388888888889</v>
      </c>
      <c r="AI5439" s="17" t="s">
        <v>1773</v>
      </c>
    </row>
    <row r="5440" spans="1:35" x14ac:dyDescent="0.25">
      <c r="A5440" s="36">
        <v>99915438</v>
      </c>
      <c r="B5440" s="17" t="s">
        <v>32</v>
      </c>
      <c r="C5440" t="s">
        <v>52</v>
      </c>
      <c r="D5440" t="s">
        <v>53</v>
      </c>
      <c r="G5440" s="17" t="s">
        <v>35</v>
      </c>
      <c r="H5440" s="17">
        <v>1</v>
      </c>
      <c r="I5440">
        <v>0</v>
      </c>
      <c r="J5440" s="1">
        <v>43344</v>
      </c>
      <c r="K5440" t="s">
        <v>223</v>
      </c>
      <c r="L5440" t="s">
        <v>224</v>
      </c>
      <c r="M5440" t="s">
        <v>131</v>
      </c>
      <c r="N5440">
        <v>13</v>
      </c>
      <c r="O5440" t="s">
        <v>40</v>
      </c>
      <c r="P5440" t="s">
        <v>40</v>
      </c>
      <c r="Q5440" t="s">
        <v>40</v>
      </c>
      <c r="S5440" t="s">
        <v>40</v>
      </c>
      <c r="U5440" s="1">
        <v>43344</v>
      </c>
      <c r="V5440" t="s">
        <v>41</v>
      </c>
      <c r="W5440" t="s">
        <v>49</v>
      </c>
      <c r="X5440" t="str">
        <f>"0560034"</f>
        <v>0560034</v>
      </c>
      <c r="Y5440" t="s">
        <v>266</v>
      </c>
      <c r="Z5440" t="s">
        <v>223</v>
      </c>
      <c r="AA5440" t="s">
        <v>224</v>
      </c>
      <c r="AB5440" t="s">
        <v>131</v>
      </c>
      <c r="AC5440" t="s">
        <v>44</v>
      </c>
      <c r="AD5440" t="s">
        <v>45</v>
      </c>
      <c r="AF5440">
        <v>2</v>
      </c>
      <c r="AG5440" t="s">
        <v>224</v>
      </c>
      <c r="AH5440" s="36">
        <f t="shared" si="85"/>
        <v>120.71388888888889</v>
      </c>
      <c r="AI5440" s="17" t="s">
        <v>1773</v>
      </c>
    </row>
    <row r="5441" spans="1:35" x14ac:dyDescent="0.25">
      <c r="A5441" s="36">
        <v>99915439</v>
      </c>
      <c r="B5441" s="17" t="s">
        <v>56</v>
      </c>
      <c r="C5441" t="s">
        <v>46</v>
      </c>
      <c r="D5441" t="s">
        <v>47</v>
      </c>
      <c r="G5441" s="17" t="s">
        <v>48</v>
      </c>
      <c r="H5441" s="17">
        <v>1</v>
      </c>
      <c r="K5441" t="s">
        <v>223</v>
      </c>
      <c r="L5441" t="s">
        <v>224</v>
      </c>
      <c r="M5441" t="s">
        <v>131</v>
      </c>
      <c r="N5441">
        <v>18</v>
      </c>
      <c r="O5441" t="s">
        <v>40</v>
      </c>
      <c r="P5441" t="s">
        <v>40</v>
      </c>
      <c r="Q5441" t="s">
        <v>40</v>
      </c>
      <c r="S5441" t="s">
        <v>40</v>
      </c>
      <c r="V5441" t="s">
        <v>41</v>
      </c>
      <c r="W5441" t="s">
        <v>42</v>
      </c>
      <c r="X5441" t="str">
        <f>"0580207"</f>
        <v>0580207</v>
      </c>
      <c r="Y5441" t="s">
        <v>229</v>
      </c>
      <c r="Z5441" t="s">
        <v>223</v>
      </c>
      <c r="AA5441" t="s">
        <v>224</v>
      </c>
      <c r="AB5441" t="s">
        <v>131</v>
      </c>
      <c r="AC5441" t="s">
        <v>165</v>
      </c>
      <c r="AD5441" t="s">
        <v>45</v>
      </c>
      <c r="AF5441">
        <v>2</v>
      </c>
      <c r="AG5441" t="s">
        <v>224</v>
      </c>
      <c r="AH5441" s="36">
        <f t="shared" si="85"/>
        <v>120.71388888888889</v>
      </c>
      <c r="AI5441" s="17" t="s">
        <v>1773</v>
      </c>
    </row>
    <row r="5442" spans="1:35" x14ac:dyDescent="0.25">
      <c r="A5442" s="36">
        <v>99915440</v>
      </c>
      <c r="B5442" s="17" t="s">
        <v>32</v>
      </c>
      <c r="C5442" t="s">
        <v>64</v>
      </c>
      <c r="D5442" t="s">
        <v>65</v>
      </c>
      <c r="G5442" s="17" t="s">
        <v>48</v>
      </c>
      <c r="H5442" s="17">
        <v>1</v>
      </c>
      <c r="K5442" t="s">
        <v>223</v>
      </c>
      <c r="L5442" t="s">
        <v>224</v>
      </c>
      <c r="M5442" t="s">
        <v>131</v>
      </c>
      <c r="N5442">
        <v>18</v>
      </c>
      <c r="O5442" t="s">
        <v>40</v>
      </c>
      <c r="P5442" t="s">
        <v>40</v>
      </c>
      <c r="Q5442" t="s">
        <v>40</v>
      </c>
      <c r="S5442" t="s">
        <v>40</v>
      </c>
      <c r="V5442" t="s">
        <v>41</v>
      </c>
      <c r="W5442" t="s">
        <v>42</v>
      </c>
      <c r="X5442" t="str">
        <f>"0580207"</f>
        <v>0580207</v>
      </c>
      <c r="Y5442" t="s">
        <v>229</v>
      </c>
      <c r="Z5442" t="s">
        <v>223</v>
      </c>
      <c r="AA5442" t="s">
        <v>224</v>
      </c>
      <c r="AB5442" t="s">
        <v>131</v>
      </c>
      <c r="AC5442" t="s">
        <v>51</v>
      </c>
      <c r="AD5442" t="s">
        <v>45</v>
      </c>
      <c r="AF5442">
        <v>2</v>
      </c>
      <c r="AG5442" t="s">
        <v>224</v>
      </c>
      <c r="AH5442" s="36">
        <f t="shared" ref="AH5442:AH5505" si="86">($AJ$1-AE5442)/360</f>
        <v>120.71388888888889</v>
      </c>
      <c r="AI5442" s="17" t="s">
        <v>1773</v>
      </c>
    </row>
    <row r="5443" spans="1:35" x14ac:dyDescent="0.25">
      <c r="A5443" s="36">
        <v>99915441</v>
      </c>
      <c r="B5443" s="17" t="s">
        <v>56</v>
      </c>
      <c r="C5443" t="s">
        <v>143</v>
      </c>
      <c r="D5443" t="s">
        <v>144</v>
      </c>
      <c r="G5443" s="17" t="s">
        <v>48</v>
      </c>
      <c r="H5443" s="17">
        <v>1</v>
      </c>
      <c r="K5443" t="s">
        <v>223</v>
      </c>
      <c r="L5443" t="s">
        <v>224</v>
      </c>
      <c r="M5443" t="s">
        <v>131</v>
      </c>
      <c r="N5443">
        <v>20</v>
      </c>
      <c r="O5443" t="s">
        <v>40</v>
      </c>
      <c r="P5443" t="s">
        <v>40</v>
      </c>
      <c r="Q5443" t="s">
        <v>40</v>
      </c>
      <c r="S5443" t="s">
        <v>40</v>
      </c>
      <c r="V5443" t="s">
        <v>41</v>
      </c>
      <c r="W5443" t="s">
        <v>49</v>
      </c>
      <c r="X5443" t="str">
        <f>"0581206"</f>
        <v>0581206</v>
      </c>
      <c r="Y5443" t="s">
        <v>232</v>
      </c>
      <c r="Z5443" t="s">
        <v>223</v>
      </c>
      <c r="AA5443" t="s">
        <v>224</v>
      </c>
      <c r="AB5443" t="s">
        <v>131</v>
      </c>
      <c r="AC5443" t="s">
        <v>51</v>
      </c>
      <c r="AD5443" t="s">
        <v>45</v>
      </c>
      <c r="AF5443">
        <v>2</v>
      </c>
      <c r="AG5443" t="s">
        <v>224</v>
      </c>
      <c r="AH5443" s="36">
        <f t="shared" si="86"/>
        <v>120.71388888888889</v>
      </c>
      <c r="AI5443" s="17" t="s">
        <v>1773</v>
      </c>
    </row>
    <row r="5444" spans="1:35" x14ac:dyDescent="0.25">
      <c r="A5444" s="36">
        <v>99915442</v>
      </c>
      <c r="B5444" s="17" t="s">
        <v>56</v>
      </c>
      <c r="C5444" t="s">
        <v>46</v>
      </c>
      <c r="D5444" t="s">
        <v>47</v>
      </c>
      <c r="G5444" s="17" t="s">
        <v>48</v>
      </c>
      <c r="H5444" s="17">
        <v>1</v>
      </c>
      <c r="K5444" t="s">
        <v>223</v>
      </c>
      <c r="L5444" t="s">
        <v>224</v>
      </c>
      <c r="M5444" t="s">
        <v>131</v>
      </c>
      <c r="N5444">
        <v>18</v>
      </c>
      <c r="O5444" t="s">
        <v>40</v>
      </c>
      <c r="P5444" t="s">
        <v>40</v>
      </c>
      <c r="Q5444" t="s">
        <v>40</v>
      </c>
      <c r="S5444" t="s">
        <v>40</v>
      </c>
      <c r="V5444" t="s">
        <v>41</v>
      </c>
      <c r="W5444" t="s">
        <v>42</v>
      </c>
      <c r="X5444" t="str">
        <f>"0580315"</f>
        <v>0580315</v>
      </c>
      <c r="Y5444" t="s">
        <v>246</v>
      </c>
      <c r="Z5444" t="s">
        <v>223</v>
      </c>
      <c r="AA5444" t="s">
        <v>224</v>
      </c>
      <c r="AB5444" t="s">
        <v>131</v>
      </c>
      <c r="AC5444" t="s">
        <v>51</v>
      </c>
      <c r="AD5444" t="s">
        <v>45</v>
      </c>
      <c r="AF5444">
        <v>2</v>
      </c>
      <c r="AG5444" t="s">
        <v>224</v>
      </c>
      <c r="AH5444" s="36">
        <f t="shared" si="86"/>
        <v>120.71388888888889</v>
      </c>
      <c r="AI5444" s="17" t="s">
        <v>1773</v>
      </c>
    </row>
    <row r="5445" spans="1:35" x14ac:dyDescent="0.25">
      <c r="A5445" s="36">
        <v>99915443</v>
      </c>
      <c r="B5445" s="17" t="s">
        <v>56</v>
      </c>
      <c r="C5445" t="s">
        <v>68</v>
      </c>
      <c r="D5445" t="s">
        <v>69</v>
      </c>
      <c r="G5445" s="17" t="s">
        <v>35</v>
      </c>
      <c r="H5445" s="17">
        <v>1</v>
      </c>
      <c r="I5445">
        <v>0</v>
      </c>
      <c r="J5445" s="1">
        <v>43344</v>
      </c>
      <c r="K5445" t="s">
        <v>223</v>
      </c>
      <c r="L5445" t="s">
        <v>224</v>
      </c>
      <c r="M5445" t="s">
        <v>131</v>
      </c>
      <c r="N5445">
        <v>23</v>
      </c>
      <c r="O5445" t="s">
        <v>40</v>
      </c>
      <c r="S5445" t="s">
        <v>40</v>
      </c>
      <c r="U5445" s="1">
        <v>43344</v>
      </c>
      <c r="V5445" t="s">
        <v>41</v>
      </c>
      <c r="W5445" t="s">
        <v>49</v>
      </c>
      <c r="X5445" t="str">
        <f>"0581207"</f>
        <v>0581207</v>
      </c>
      <c r="Y5445" t="s">
        <v>233</v>
      </c>
      <c r="Z5445" t="s">
        <v>223</v>
      </c>
      <c r="AA5445" t="s">
        <v>224</v>
      </c>
      <c r="AB5445" t="s">
        <v>131</v>
      </c>
      <c r="AC5445" t="s">
        <v>44</v>
      </c>
      <c r="AD5445" t="s">
        <v>45</v>
      </c>
      <c r="AF5445">
        <v>2</v>
      </c>
      <c r="AG5445" t="s">
        <v>224</v>
      </c>
      <c r="AH5445" s="36">
        <f t="shared" si="86"/>
        <v>120.71388888888889</v>
      </c>
      <c r="AI5445" s="17" t="s">
        <v>1773</v>
      </c>
    </row>
    <row r="5446" spans="1:35" x14ac:dyDescent="0.25">
      <c r="A5446" s="36">
        <v>99915444</v>
      </c>
      <c r="B5446" s="17" t="s">
        <v>56</v>
      </c>
      <c r="C5446" t="s">
        <v>145</v>
      </c>
      <c r="D5446" t="s">
        <v>146</v>
      </c>
      <c r="G5446" s="17" t="s">
        <v>35</v>
      </c>
      <c r="H5446" s="17">
        <v>1</v>
      </c>
      <c r="K5446" t="s">
        <v>223</v>
      </c>
      <c r="L5446" t="s">
        <v>224</v>
      </c>
      <c r="M5446" t="s">
        <v>131</v>
      </c>
      <c r="N5446">
        <v>5</v>
      </c>
      <c r="O5446" t="s">
        <v>40</v>
      </c>
      <c r="P5446" t="s">
        <v>40</v>
      </c>
      <c r="Q5446" t="s">
        <v>40</v>
      </c>
      <c r="S5446" t="s">
        <v>40</v>
      </c>
      <c r="V5446" t="s">
        <v>41</v>
      </c>
      <c r="W5446" t="s">
        <v>42</v>
      </c>
      <c r="X5446" t="str">
        <f>"0580315"</f>
        <v>0580315</v>
      </c>
      <c r="Y5446" t="s">
        <v>246</v>
      </c>
      <c r="Z5446" t="s">
        <v>223</v>
      </c>
      <c r="AA5446" t="s">
        <v>224</v>
      </c>
      <c r="AB5446" t="s">
        <v>131</v>
      </c>
      <c r="AC5446" t="s">
        <v>51</v>
      </c>
      <c r="AD5446" t="s">
        <v>45</v>
      </c>
      <c r="AF5446">
        <v>2</v>
      </c>
      <c r="AG5446" t="s">
        <v>224</v>
      </c>
      <c r="AH5446" s="36">
        <f t="shared" si="86"/>
        <v>120.71388888888889</v>
      </c>
      <c r="AI5446" s="17" t="s">
        <v>1773</v>
      </c>
    </row>
    <row r="5447" spans="1:35" x14ac:dyDescent="0.25">
      <c r="A5447" s="36">
        <v>99915445</v>
      </c>
      <c r="B5447" s="17" t="s">
        <v>56</v>
      </c>
      <c r="C5447" t="s">
        <v>52</v>
      </c>
      <c r="D5447" t="s">
        <v>53</v>
      </c>
      <c r="G5447" s="17" t="s">
        <v>48</v>
      </c>
      <c r="H5447" s="17">
        <v>1</v>
      </c>
      <c r="K5447" t="s">
        <v>223</v>
      </c>
      <c r="L5447" t="s">
        <v>224</v>
      </c>
      <c r="M5447" t="s">
        <v>131</v>
      </c>
      <c r="N5447">
        <v>18</v>
      </c>
      <c r="O5447" t="s">
        <v>40</v>
      </c>
      <c r="P5447" t="s">
        <v>40</v>
      </c>
      <c r="Q5447" t="s">
        <v>40</v>
      </c>
      <c r="S5447" t="s">
        <v>40</v>
      </c>
      <c r="V5447" t="s">
        <v>41</v>
      </c>
      <c r="W5447" t="s">
        <v>42</v>
      </c>
      <c r="X5447" t="str">
        <f>"0580207"</f>
        <v>0580207</v>
      </c>
      <c r="Y5447" t="s">
        <v>229</v>
      </c>
      <c r="Z5447" t="s">
        <v>223</v>
      </c>
      <c r="AA5447" t="s">
        <v>224</v>
      </c>
      <c r="AB5447" t="s">
        <v>131</v>
      </c>
      <c r="AC5447" t="s">
        <v>165</v>
      </c>
      <c r="AD5447" t="s">
        <v>45</v>
      </c>
      <c r="AF5447">
        <v>2</v>
      </c>
      <c r="AG5447" t="s">
        <v>224</v>
      </c>
      <c r="AH5447" s="36">
        <f t="shared" si="86"/>
        <v>120.71388888888889</v>
      </c>
      <c r="AI5447" s="17" t="s">
        <v>1773</v>
      </c>
    </row>
    <row r="5448" spans="1:35" x14ac:dyDescent="0.25">
      <c r="A5448" s="36">
        <v>99915446</v>
      </c>
      <c r="B5448" s="17" t="s">
        <v>32</v>
      </c>
      <c r="C5448" t="s">
        <v>64</v>
      </c>
      <c r="D5448" t="s">
        <v>65</v>
      </c>
      <c r="G5448" s="17" t="s">
        <v>35</v>
      </c>
      <c r="H5448" s="17">
        <v>1</v>
      </c>
      <c r="I5448">
        <v>0</v>
      </c>
      <c r="J5448" s="1">
        <v>43344</v>
      </c>
      <c r="K5448" t="s">
        <v>223</v>
      </c>
      <c r="L5448" t="s">
        <v>224</v>
      </c>
      <c r="M5448" t="s">
        <v>131</v>
      </c>
      <c r="N5448">
        <v>21</v>
      </c>
      <c r="O5448" t="s">
        <v>40</v>
      </c>
      <c r="P5448" t="s">
        <v>40</v>
      </c>
      <c r="Q5448" t="s">
        <v>40</v>
      </c>
      <c r="S5448" t="s">
        <v>40</v>
      </c>
      <c r="U5448" s="1">
        <v>43344</v>
      </c>
      <c r="V5448" t="s">
        <v>41</v>
      </c>
      <c r="W5448" t="s">
        <v>49</v>
      </c>
      <c r="X5448" t="str">
        <f>"0581207"</f>
        <v>0581207</v>
      </c>
      <c r="Y5448" t="s">
        <v>233</v>
      </c>
      <c r="Z5448" t="s">
        <v>223</v>
      </c>
      <c r="AA5448" t="s">
        <v>224</v>
      </c>
      <c r="AB5448" t="s">
        <v>131</v>
      </c>
      <c r="AC5448" t="s">
        <v>44</v>
      </c>
      <c r="AD5448" t="s">
        <v>45</v>
      </c>
      <c r="AF5448">
        <v>2</v>
      </c>
      <c r="AG5448" t="s">
        <v>224</v>
      </c>
      <c r="AH5448" s="36">
        <f t="shared" si="86"/>
        <v>120.71388888888889</v>
      </c>
      <c r="AI5448" s="17" t="s">
        <v>1773</v>
      </c>
    </row>
    <row r="5449" spans="1:35" x14ac:dyDescent="0.25">
      <c r="A5449" s="36">
        <v>99915447</v>
      </c>
      <c r="B5449" s="17" t="s">
        <v>32</v>
      </c>
      <c r="C5449" t="s">
        <v>64</v>
      </c>
      <c r="D5449" t="s">
        <v>65</v>
      </c>
      <c r="G5449" s="17" t="s">
        <v>35</v>
      </c>
      <c r="H5449" s="17">
        <v>1</v>
      </c>
      <c r="I5449">
        <v>0</v>
      </c>
      <c r="J5449" s="1">
        <v>43344</v>
      </c>
      <c r="K5449" t="s">
        <v>223</v>
      </c>
      <c r="L5449" t="s">
        <v>224</v>
      </c>
      <c r="M5449" t="s">
        <v>131</v>
      </c>
      <c r="N5449">
        <v>6</v>
      </c>
      <c r="O5449" t="s">
        <v>40</v>
      </c>
      <c r="S5449" t="s">
        <v>40</v>
      </c>
      <c r="U5449" s="1">
        <v>43344</v>
      </c>
      <c r="V5449" t="s">
        <v>41</v>
      </c>
      <c r="W5449" t="s">
        <v>49</v>
      </c>
      <c r="X5449" t="str">
        <f>"0591901"</f>
        <v>0591901</v>
      </c>
      <c r="Y5449" t="s">
        <v>230</v>
      </c>
      <c r="Z5449" t="s">
        <v>223</v>
      </c>
      <c r="AA5449" t="s">
        <v>224</v>
      </c>
      <c r="AB5449" t="s">
        <v>131</v>
      </c>
      <c r="AC5449" t="s">
        <v>44</v>
      </c>
      <c r="AD5449" t="s">
        <v>45</v>
      </c>
      <c r="AF5449">
        <v>2</v>
      </c>
      <c r="AG5449" t="s">
        <v>224</v>
      </c>
      <c r="AH5449" s="36">
        <f t="shared" si="86"/>
        <v>120.71388888888889</v>
      </c>
      <c r="AI5449" s="17" t="s">
        <v>1773</v>
      </c>
    </row>
    <row r="5450" spans="1:35" x14ac:dyDescent="0.25">
      <c r="A5450" s="36">
        <v>99915448</v>
      </c>
      <c r="B5450" s="17" t="s">
        <v>32</v>
      </c>
      <c r="C5450" t="s">
        <v>46</v>
      </c>
      <c r="D5450" t="s">
        <v>47</v>
      </c>
      <c r="G5450" s="17" t="s">
        <v>48</v>
      </c>
      <c r="H5450" s="17">
        <v>1</v>
      </c>
      <c r="K5450" t="s">
        <v>223</v>
      </c>
      <c r="L5450" t="s">
        <v>224</v>
      </c>
      <c r="M5450" t="s">
        <v>131</v>
      </c>
      <c r="N5450">
        <v>20</v>
      </c>
      <c r="O5450" t="s">
        <v>40</v>
      </c>
      <c r="P5450" t="s">
        <v>40</v>
      </c>
      <c r="Q5450" t="s">
        <v>40</v>
      </c>
      <c r="S5450" t="s">
        <v>40</v>
      </c>
      <c r="V5450" t="s">
        <v>41</v>
      </c>
      <c r="W5450" t="s">
        <v>42</v>
      </c>
      <c r="X5450" t="str">
        <f>"0580315"</f>
        <v>0580315</v>
      </c>
      <c r="Y5450" t="s">
        <v>246</v>
      </c>
      <c r="Z5450" t="s">
        <v>223</v>
      </c>
      <c r="AA5450" t="s">
        <v>224</v>
      </c>
      <c r="AB5450" t="s">
        <v>131</v>
      </c>
      <c r="AC5450" t="s">
        <v>51</v>
      </c>
      <c r="AD5450" t="s">
        <v>45</v>
      </c>
      <c r="AF5450">
        <v>2</v>
      </c>
      <c r="AG5450" t="s">
        <v>224</v>
      </c>
      <c r="AH5450" s="36">
        <f t="shared" si="86"/>
        <v>120.71388888888889</v>
      </c>
      <c r="AI5450" s="17" t="s">
        <v>1773</v>
      </c>
    </row>
    <row r="5451" spans="1:35" x14ac:dyDescent="0.25">
      <c r="A5451" s="36">
        <v>99915449</v>
      </c>
      <c r="B5451" s="17" t="s">
        <v>32</v>
      </c>
      <c r="C5451" t="s">
        <v>46</v>
      </c>
      <c r="D5451" t="s">
        <v>47</v>
      </c>
      <c r="G5451" s="17" t="s">
        <v>35</v>
      </c>
      <c r="H5451" s="17">
        <v>1</v>
      </c>
      <c r="I5451">
        <v>0</v>
      </c>
      <c r="J5451" s="1">
        <v>43344</v>
      </c>
      <c r="K5451" t="s">
        <v>223</v>
      </c>
      <c r="L5451" t="s">
        <v>224</v>
      </c>
      <c r="M5451" t="s">
        <v>131</v>
      </c>
      <c r="N5451">
        <v>24</v>
      </c>
      <c r="O5451" t="s">
        <v>40</v>
      </c>
      <c r="S5451" t="s">
        <v>40</v>
      </c>
      <c r="U5451" s="1">
        <v>43344</v>
      </c>
      <c r="V5451" t="s">
        <v>41</v>
      </c>
      <c r="W5451" t="s">
        <v>49</v>
      </c>
      <c r="X5451" t="str">
        <f>"0591901"</f>
        <v>0591901</v>
      </c>
      <c r="Y5451" t="s">
        <v>230</v>
      </c>
      <c r="Z5451" t="s">
        <v>223</v>
      </c>
      <c r="AA5451" t="s">
        <v>224</v>
      </c>
      <c r="AB5451" t="s">
        <v>131</v>
      </c>
      <c r="AC5451" t="s">
        <v>44</v>
      </c>
      <c r="AD5451" t="s">
        <v>45</v>
      </c>
      <c r="AF5451">
        <v>2</v>
      </c>
      <c r="AG5451" t="s">
        <v>224</v>
      </c>
      <c r="AH5451" s="36">
        <f t="shared" si="86"/>
        <v>120.71388888888889</v>
      </c>
      <c r="AI5451" s="17" t="s">
        <v>1773</v>
      </c>
    </row>
    <row r="5452" spans="1:35" x14ac:dyDescent="0.25">
      <c r="A5452" s="36">
        <v>99915450</v>
      </c>
      <c r="B5452" s="17" t="s">
        <v>56</v>
      </c>
      <c r="C5452" t="s">
        <v>46</v>
      </c>
      <c r="D5452" t="s">
        <v>47</v>
      </c>
      <c r="G5452" s="17" t="s">
        <v>48</v>
      </c>
      <c r="H5452" s="17">
        <v>1</v>
      </c>
      <c r="K5452" t="s">
        <v>223</v>
      </c>
      <c r="L5452" t="s">
        <v>224</v>
      </c>
      <c r="M5452" t="s">
        <v>131</v>
      </c>
      <c r="N5452">
        <v>18</v>
      </c>
      <c r="O5452" t="s">
        <v>40</v>
      </c>
      <c r="P5452" t="s">
        <v>40</v>
      </c>
      <c r="Q5452" t="s">
        <v>40</v>
      </c>
      <c r="S5452" t="s">
        <v>40</v>
      </c>
      <c r="V5452" t="s">
        <v>41</v>
      </c>
      <c r="W5452" t="s">
        <v>42</v>
      </c>
      <c r="X5452" t="str">
        <f>"0580315"</f>
        <v>0580315</v>
      </c>
      <c r="Y5452" t="s">
        <v>246</v>
      </c>
      <c r="Z5452" t="s">
        <v>223</v>
      </c>
      <c r="AA5452" t="s">
        <v>224</v>
      </c>
      <c r="AB5452" t="s">
        <v>131</v>
      </c>
      <c r="AC5452" t="s">
        <v>51</v>
      </c>
      <c r="AD5452" t="s">
        <v>45</v>
      </c>
      <c r="AF5452">
        <v>2</v>
      </c>
      <c r="AG5452" t="s">
        <v>224</v>
      </c>
      <c r="AH5452" s="36">
        <f t="shared" si="86"/>
        <v>120.71388888888889</v>
      </c>
      <c r="AI5452" s="17" t="s">
        <v>1773</v>
      </c>
    </row>
    <row r="5453" spans="1:35" x14ac:dyDescent="0.25">
      <c r="A5453" s="36">
        <v>99915451</v>
      </c>
      <c r="B5453" s="17" t="s">
        <v>32</v>
      </c>
      <c r="C5453" t="s">
        <v>46</v>
      </c>
      <c r="D5453" t="s">
        <v>47</v>
      </c>
      <c r="G5453" s="17" t="s">
        <v>35</v>
      </c>
      <c r="H5453" s="17">
        <v>1</v>
      </c>
      <c r="I5453" t="s">
        <v>284</v>
      </c>
      <c r="J5453" s="1">
        <v>43344</v>
      </c>
      <c r="K5453" t="s">
        <v>223</v>
      </c>
      <c r="L5453" t="s">
        <v>224</v>
      </c>
      <c r="M5453" t="s">
        <v>131</v>
      </c>
      <c r="N5453">
        <v>23</v>
      </c>
      <c r="O5453" t="s">
        <v>40</v>
      </c>
      <c r="P5453" t="s">
        <v>40</v>
      </c>
      <c r="Q5453" t="s">
        <v>40</v>
      </c>
      <c r="R5453" t="s">
        <v>40</v>
      </c>
      <c r="S5453" t="s">
        <v>40</v>
      </c>
      <c r="U5453" s="1">
        <v>43344</v>
      </c>
      <c r="V5453" t="s">
        <v>41</v>
      </c>
      <c r="W5453" t="s">
        <v>42</v>
      </c>
      <c r="X5453" t="str">
        <f>"0580206"</f>
        <v>0580206</v>
      </c>
      <c r="Y5453" t="s">
        <v>237</v>
      </c>
      <c r="Z5453" t="s">
        <v>223</v>
      </c>
      <c r="AA5453" t="s">
        <v>224</v>
      </c>
      <c r="AB5453" t="s">
        <v>131</v>
      </c>
      <c r="AC5453" t="s">
        <v>51</v>
      </c>
      <c r="AD5453" t="s">
        <v>45</v>
      </c>
      <c r="AF5453">
        <v>2</v>
      </c>
      <c r="AG5453" t="s">
        <v>224</v>
      </c>
      <c r="AH5453" s="36">
        <f t="shared" si="86"/>
        <v>120.71388888888889</v>
      </c>
      <c r="AI5453" s="17" t="s">
        <v>1773</v>
      </c>
    </row>
    <row r="5454" spans="1:35" x14ac:dyDescent="0.25">
      <c r="A5454" s="36">
        <v>99915452</v>
      </c>
      <c r="B5454" s="17" t="s">
        <v>32</v>
      </c>
      <c r="C5454" t="s">
        <v>139</v>
      </c>
      <c r="D5454" t="s">
        <v>140</v>
      </c>
      <c r="G5454" s="17" t="s">
        <v>35</v>
      </c>
      <c r="H5454" s="17">
        <v>1</v>
      </c>
      <c r="I5454">
        <v>0</v>
      </c>
      <c r="J5454" s="1">
        <v>43344</v>
      </c>
      <c r="K5454" t="s">
        <v>223</v>
      </c>
      <c r="L5454" t="s">
        <v>224</v>
      </c>
      <c r="M5454" t="s">
        <v>131</v>
      </c>
      <c r="N5454">
        <v>6</v>
      </c>
      <c r="O5454" t="s">
        <v>40</v>
      </c>
      <c r="P5454" t="s">
        <v>40</v>
      </c>
      <c r="Q5454" t="s">
        <v>40</v>
      </c>
      <c r="S5454" t="s">
        <v>40</v>
      </c>
      <c r="U5454" s="1">
        <v>43344</v>
      </c>
      <c r="V5454" t="s">
        <v>41</v>
      </c>
      <c r="W5454" t="s">
        <v>49</v>
      </c>
      <c r="X5454" t="str">
        <f>"0560034"</f>
        <v>0560034</v>
      </c>
      <c r="Y5454" t="s">
        <v>266</v>
      </c>
      <c r="Z5454" t="s">
        <v>223</v>
      </c>
      <c r="AA5454" t="s">
        <v>224</v>
      </c>
      <c r="AB5454" t="s">
        <v>131</v>
      </c>
      <c r="AC5454" t="s">
        <v>44</v>
      </c>
      <c r="AD5454" t="s">
        <v>45</v>
      </c>
      <c r="AF5454">
        <v>2</v>
      </c>
      <c r="AG5454" t="s">
        <v>224</v>
      </c>
      <c r="AH5454" s="36">
        <f t="shared" si="86"/>
        <v>120.71388888888889</v>
      </c>
      <c r="AI5454" s="17" t="s">
        <v>1773</v>
      </c>
    </row>
    <row r="5455" spans="1:35" x14ac:dyDescent="0.25">
      <c r="A5455" s="36">
        <v>99915453</v>
      </c>
      <c r="B5455" s="17" t="s">
        <v>32</v>
      </c>
      <c r="C5455" t="s">
        <v>46</v>
      </c>
      <c r="D5455" t="s">
        <v>47</v>
      </c>
      <c r="G5455" s="17" t="s">
        <v>48</v>
      </c>
      <c r="H5455" s="17">
        <v>1</v>
      </c>
      <c r="K5455" t="s">
        <v>223</v>
      </c>
      <c r="L5455" t="s">
        <v>224</v>
      </c>
      <c r="M5455" t="s">
        <v>131</v>
      </c>
      <c r="N5455">
        <v>20</v>
      </c>
      <c r="O5455" t="s">
        <v>40</v>
      </c>
      <c r="P5455" t="s">
        <v>40</v>
      </c>
      <c r="Q5455" t="s">
        <v>40</v>
      </c>
      <c r="S5455" t="s">
        <v>40</v>
      </c>
      <c r="V5455" t="s">
        <v>41</v>
      </c>
      <c r="W5455" t="s">
        <v>49</v>
      </c>
      <c r="X5455" t="str">
        <f>"0560016"</f>
        <v>0560016</v>
      </c>
      <c r="Y5455" t="s">
        <v>254</v>
      </c>
      <c r="Z5455" t="s">
        <v>223</v>
      </c>
      <c r="AA5455" t="s">
        <v>224</v>
      </c>
      <c r="AB5455" t="s">
        <v>131</v>
      </c>
      <c r="AC5455" t="s">
        <v>51</v>
      </c>
      <c r="AD5455" t="s">
        <v>45</v>
      </c>
      <c r="AF5455">
        <v>2</v>
      </c>
      <c r="AG5455" t="s">
        <v>224</v>
      </c>
      <c r="AH5455" s="36">
        <f t="shared" si="86"/>
        <v>120.71388888888889</v>
      </c>
      <c r="AI5455" s="17" t="s">
        <v>1773</v>
      </c>
    </row>
    <row r="5456" spans="1:35" x14ac:dyDescent="0.25">
      <c r="A5456" s="36">
        <v>99915454</v>
      </c>
      <c r="B5456" s="17" t="s">
        <v>56</v>
      </c>
      <c r="C5456" t="s">
        <v>68</v>
      </c>
      <c r="D5456" t="s">
        <v>69</v>
      </c>
      <c r="G5456" s="17" t="s">
        <v>48</v>
      </c>
      <c r="H5456" s="17">
        <v>1</v>
      </c>
      <c r="K5456" t="s">
        <v>223</v>
      </c>
      <c r="L5456" t="s">
        <v>224</v>
      </c>
      <c r="M5456" t="s">
        <v>131</v>
      </c>
      <c r="N5456">
        <v>16</v>
      </c>
      <c r="O5456" t="s">
        <v>40</v>
      </c>
      <c r="P5456" t="s">
        <v>40</v>
      </c>
      <c r="Q5456" t="s">
        <v>40</v>
      </c>
      <c r="S5456" t="s">
        <v>40</v>
      </c>
      <c r="V5456" t="s">
        <v>41</v>
      </c>
      <c r="W5456" t="s">
        <v>42</v>
      </c>
      <c r="X5456" t="str">
        <f>"0561014"</f>
        <v>0561014</v>
      </c>
      <c r="Y5456" t="s">
        <v>264</v>
      </c>
      <c r="Z5456" t="s">
        <v>223</v>
      </c>
      <c r="AA5456" t="s">
        <v>224</v>
      </c>
      <c r="AB5456" t="s">
        <v>131</v>
      </c>
      <c r="AC5456" t="s">
        <v>51</v>
      </c>
      <c r="AD5456" t="s">
        <v>45</v>
      </c>
      <c r="AF5456">
        <v>2</v>
      </c>
      <c r="AG5456" t="s">
        <v>224</v>
      </c>
      <c r="AH5456" s="36">
        <f t="shared" si="86"/>
        <v>120.71388888888889</v>
      </c>
      <c r="AI5456" s="17" t="s">
        <v>1773</v>
      </c>
    </row>
    <row r="5457" spans="1:35" x14ac:dyDescent="0.25">
      <c r="A5457" s="36">
        <v>99915455</v>
      </c>
      <c r="B5457" s="17" t="s">
        <v>32</v>
      </c>
      <c r="C5457" t="s">
        <v>64</v>
      </c>
      <c r="D5457" t="s">
        <v>65</v>
      </c>
      <c r="G5457" s="17" t="s">
        <v>48</v>
      </c>
      <c r="H5457" s="17">
        <v>1</v>
      </c>
      <c r="K5457" t="s">
        <v>223</v>
      </c>
      <c r="L5457" t="s">
        <v>224</v>
      </c>
      <c r="M5457" t="s">
        <v>131</v>
      </c>
      <c r="N5457">
        <v>21</v>
      </c>
      <c r="O5457" t="s">
        <v>40</v>
      </c>
      <c r="P5457" t="s">
        <v>40</v>
      </c>
      <c r="Q5457" t="s">
        <v>40</v>
      </c>
      <c r="S5457" t="s">
        <v>40</v>
      </c>
      <c r="V5457" t="s">
        <v>41</v>
      </c>
      <c r="W5457" t="s">
        <v>42</v>
      </c>
      <c r="X5457" t="str">
        <f>"0580207"</f>
        <v>0580207</v>
      </c>
      <c r="Y5457" t="s">
        <v>229</v>
      </c>
      <c r="Z5457" t="s">
        <v>223</v>
      </c>
      <c r="AA5457" t="s">
        <v>224</v>
      </c>
      <c r="AB5457" t="s">
        <v>131</v>
      </c>
      <c r="AC5457" t="s">
        <v>51</v>
      </c>
      <c r="AD5457" t="s">
        <v>45</v>
      </c>
      <c r="AF5457">
        <v>2</v>
      </c>
      <c r="AG5457" t="s">
        <v>224</v>
      </c>
      <c r="AH5457" s="36">
        <f t="shared" si="86"/>
        <v>120.71388888888889</v>
      </c>
      <c r="AI5457" s="17" t="s">
        <v>1773</v>
      </c>
    </row>
    <row r="5458" spans="1:35" x14ac:dyDescent="0.25">
      <c r="A5458" s="36">
        <v>99915456</v>
      </c>
      <c r="B5458" s="17" t="s">
        <v>56</v>
      </c>
      <c r="C5458" t="s">
        <v>141</v>
      </c>
      <c r="D5458" t="s">
        <v>142</v>
      </c>
      <c r="G5458" s="17" t="s">
        <v>35</v>
      </c>
      <c r="H5458" s="17">
        <v>1</v>
      </c>
      <c r="I5458">
        <v>0</v>
      </c>
      <c r="J5458" s="1">
        <v>43344</v>
      </c>
      <c r="K5458" t="s">
        <v>223</v>
      </c>
      <c r="L5458" t="s">
        <v>224</v>
      </c>
      <c r="M5458" t="s">
        <v>131</v>
      </c>
      <c r="N5458">
        <v>20</v>
      </c>
      <c r="O5458" t="s">
        <v>40</v>
      </c>
      <c r="S5458" t="s">
        <v>40</v>
      </c>
      <c r="U5458" s="1">
        <v>43344</v>
      </c>
      <c r="V5458" t="s">
        <v>41</v>
      </c>
      <c r="W5458" t="s">
        <v>42</v>
      </c>
      <c r="X5458" t="str">
        <f>"0580206"</f>
        <v>0580206</v>
      </c>
      <c r="Y5458" t="s">
        <v>237</v>
      </c>
      <c r="Z5458" t="s">
        <v>223</v>
      </c>
      <c r="AA5458" t="s">
        <v>224</v>
      </c>
      <c r="AB5458" t="s">
        <v>131</v>
      </c>
      <c r="AC5458" t="s">
        <v>51</v>
      </c>
      <c r="AD5458" t="s">
        <v>45</v>
      </c>
      <c r="AF5458">
        <v>2</v>
      </c>
      <c r="AG5458" t="s">
        <v>224</v>
      </c>
      <c r="AH5458" s="36">
        <f t="shared" si="86"/>
        <v>120.71388888888889</v>
      </c>
      <c r="AI5458" s="17" t="s">
        <v>1773</v>
      </c>
    </row>
    <row r="5459" spans="1:35" x14ac:dyDescent="0.25">
      <c r="A5459" s="36">
        <v>99915457</v>
      </c>
      <c r="B5459" s="17" t="s">
        <v>56</v>
      </c>
      <c r="C5459" t="s">
        <v>52</v>
      </c>
      <c r="D5459" t="s">
        <v>53</v>
      </c>
      <c r="G5459" s="17" t="s">
        <v>48</v>
      </c>
      <c r="H5459" s="17">
        <v>1</v>
      </c>
      <c r="K5459" t="s">
        <v>223</v>
      </c>
      <c r="L5459" t="s">
        <v>224</v>
      </c>
      <c r="M5459" t="s">
        <v>131</v>
      </c>
      <c r="N5459">
        <v>18</v>
      </c>
      <c r="O5459" t="s">
        <v>40</v>
      </c>
      <c r="P5459" t="s">
        <v>40</v>
      </c>
      <c r="Q5459" t="s">
        <v>40</v>
      </c>
      <c r="S5459" t="s">
        <v>40</v>
      </c>
      <c r="V5459" t="s">
        <v>41</v>
      </c>
      <c r="W5459" t="s">
        <v>49</v>
      </c>
      <c r="X5459" t="str">
        <f>"0560016"</f>
        <v>0560016</v>
      </c>
      <c r="Y5459" t="s">
        <v>254</v>
      </c>
      <c r="Z5459" t="s">
        <v>223</v>
      </c>
      <c r="AA5459" t="s">
        <v>224</v>
      </c>
      <c r="AB5459" t="s">
        <v>131</v>
      </c>
      <c r="AC5459" t="s">
        <v>51</v>
      </c>
      <c r="AD5459" t="s">
        <v>45</v>
      </c>
      <c r="AF5459">
        <v>2</v>
      </c>
      <c r="AG5459" t="s">
        <v>224</v>
      </c>
      <c r="AH5459" s="36">
        <f t="shared" si="86"/>
        <v>120.71388888888889</v>
      </c>
      <c r="AI5459" s="17" t="s">
        <v>1773</v>
      </c>
    </row>
    <row r="5460" spans="1:35" x14ac:dyDescent="0.25">
      <c r="A5460" s="36">
        <v>99915458</v>
      </c>
      <c r="B5460" s="17" t="s">
        <v>56</v>
      </c>
      <c r="C5460" t="s">
        <v>143</v>
      </c>
      <c r="D5460" t="s">
        <v>144</v>
      </c>
      <c r="G5460" s="17" t="s">
        <v>35</v>
      </c>
      <c r="H5460" s="17">
        <v>1</v>
      </c>
      <c r="I5460">
        <v>0</v>
      </c>
      <c r="J5460" s="1">
        <v>43344</v>
      </c>
      <c r="K5460" t="s">
        <v>223</v>
      </c>
      <c r="L5460" t="s">
        <v>224</v>
      </c>
      <c r="M5460" t="s">
        <v>131</v>
      </c>
      <c r="N5460">
        <v>23</v>
      </c>
      <c r="O5460" t="s">
        <v>40</v>
      </c>
      <c r="P5460" t="s">
        <v>40</v>
      </c>
      <c r="Q5460" t="s">
        <v>40</v>
      </c>
      <c r="S5460" t="s">
        <v>40</v>
      </c>
      <c r="U5460" s="1">
        <v>43344</v>
      </c>
      <c r="V5460" t="s">
        <v>41</v>
      </c>
      <c r="W5460" t="s">
        <v>49</v>
      </c>
      <c r="X5460" t="str">
        <f>"0581207"</f>
        <v>0581207</v>
      </c>
      <c r="Y5460" t="s">
        <v>233</v>
      </c>
      <c r="Z5460" t="s">
        <v>223</v>
      </c>
      <c r="AA5460" t="s">
        <v>224</v>
      </c>
      <c r="AB5460" t="s">
        <v>131</v>
      </c>
      <c r="AC5460" t="s">
        <v>44</v>
      </c>
      <c r="AD5460" t="s">
        <v>45</v>
      </c>
      <c r="AF5460">
        <v>2</v>
      </c>
      <c r="AG5460" t="s">
        <v>224</v>
      </c>
      <c r="AH5460" s="36">
        <f t="shared" si="86"/>
        <v>120.71388888888889</v>
      </c>
      <c r="AI5460" s="17" t="s">
        <v>1773</v>
      </c>
    </row>
    <row r="5461" spans="1:35" x14ac:dyDescent="0.25">
      <c r="A5461" s="36">
        <v>99915459</v>
      </c>
      <c r="B5461" s="17" t="s">
        <v>56</v>
      </c>
      <c r="C5461" t="s">
        <v>68</v>
      </c>
      <c r="D5461" t="s">
        <v>69</v>
      </c>
      <c r="G5461" s="17" t="s">
        <v>48</v>
      </c>
      <c r="H5461" s="17">
        <v>1</v>
      </c>
      <c r="K5461" t="s">
        <v>223</v>
      </c>
      <c r="L5461" t="s">
        <v>224</v>
      </c>
      <c r="M5461" t="s">
        <v>131</v>
      </c>
      <c r="N5461">
        <v>15</v>
      </c>
      <c r="O5461" t="s">
        <v>40</v>
      </c>
      <c r="P5461" t="s">
        <v>40</v>
      </c>
      <c r="Q5461" t="s">
        <v>40</v>
      </c>
      <c r="S5461" t="s">
        <v>40</v>
      </c>
      <c r="V5461" t="s">
        <v>41</v>
      </c>
      <c r="W5461" t="s">
        <v>49</v>
      </c>
      <c r="X5461" t="str">
        <f>"0581207"</f>
        <v>0581207</v>
      </c>
      <c r="Y5461" t="s">
        <v>233</v>
      </c>
      <c r="Z5461" t="s">
        <v>223</v>
      </c>
      <c r="AA5461" t="s">
        <v>224</v>
      </c>
      <c r="AB5461" t="s">
        <v>131</v>
      </c>
      <c r="AC5461" t="s">
        <v>165</v>
      </c>
      <c r="AD5461" t="s">
        <v>45</v>
      </c>
      <c r="AF5461">
        <v>2</v>
      </c>
      <c r="AG5461" t="s">
        <v>224</v>
      </c>
      <c r="AH5461" s="36">
        <f t="shared" si="86"/>
        <v>120.71388888888889</v>
      </c>
      <c r="AI5461" s="17" t="s">
        <v>1773</v>
      </c>
    </row>
    <row r="5462" spans="1:35" x14ac:dyDescent="0.25">
      <c r="A5462" s="36">
        <v>99915460</v>
      </c>
      <c r="B5462" s="17" t="s">
        <v>32</v>
      </c>
      <c r="C5462" t="s">
        <v>33</v>
      </c>
      <c r="D5462" t="s">
        <v>34</v>
      </c>
      <c r="G5462" s="17" t="s">
        <v>48</v>
      </c>
      <c r="H5462" s="17">
        <v>1</v>
      </c>
      <c r="K5462" t="s">
        <v>223</v>
      </c>
      <c r="L5462" t="s">
        <v>224</v>
      </c>
      <c r="M5462" t="s">
        <v>131</v>
      </c>
      <c r="N5462">
        <v>20</v>
      </c>
      <c r="O5462" t="s">
        <v>40</v>
      </c>
      <c r="P5462" t="s">
        <v>40</v>
      </c>
      <c r="Q5462" t="s">
        <v>40</v>
      </c>
      <c r="S5462" t="s">
        <v>40</v>
      </c>
      <c r="V5462" t="s">
        <v>41</v>
      </c>
      <c r="W5462" t="s">
        <v>49</v>
      </c>
      <c r="X5462" t="str">
        <f>"0560016"</f>
        <v>0560016</v>
      </c>
      <c r="Y5462" t="s">
        <v>254</v>
      </c>
      <c r="Z5462" t="s">
        <v>223</v>
      </c>
      <c r="AA5462" t="s">
        <v>224</v>
      </c>
      <c r="AB5462" t="s">
        <v>131</v>
      </c>
      <c r="AC5462" t="s">
        <v>51</v>
      </c>
      <c r="AD5462" t="s">
        <v>45</v>
      </c>
      <c r="AF5462">
        <v>2</v>
      </c>
      <c r="AG5462" t="s">
        <v>224</v>
      </c>
      <c r="AH5462" s="36">
        <f t="shared" si="86"/>
        <v>120.71388888888889</v>
      </c>
      <c r="AI5462" s="17" t="s">
        <v>1773</v>
      </c>
    </row>
    <row r="5463" spans="1:35" x14ac:dyDescent="0.25">
      <c r="A5463" s="36">
        <v>99915461</v>
      </c>
      <c r="B5463" s="17" t="s">
        <v>32</v>
      </c>
      <c r="C5463" t="s">
        <v>46</v>
      </c>
      <c r="D5463" t="s">
        <v>47</v>
      </c>
      <c r="G5463" s="17" t="s">
        <v>35</v>
      </c>
      <c r="H5463" s="17">
        <v>1</v>
      </c>
      <c r="I5463">
        <v>0</v>
      </c>
      <c r="J5463" s="1">
        <v>43344</v>
      </c>
      <c r="K5463" t="s">
        <v>223</v>
      </c>
      <c r="L5463" t="s">
        <v>224</v>
      </c>
      <c r="M5463" t="s">
        <v>131</v>
      </c>
      <c r="N5463">
        <v>17</v>
      </c>
      <c r="O5463" t="s">
        <v>40</v>
      </c>
      <c r="P5463" t="s">
        <v>40</v>
      </c>
      <c r="Q5463" t="s">
        <v>40</v>
      </c>
      <c r="S5463" t="s">
        <v>40</v>
      </c>
      <c r="U5463" s="1">
        <v>43344</v>
      </c>
      <c r="V5463" t="s">
        <v>41</v>
      </c>
      <c r="W5463" t="s">
        <v>42</v>
      </c>
      <c r="X5463" t="str">
        <f>"0580207"</f>
        <v>0580207</v>
      </c>
      <c r="Y5463" t="s">
        <v>229</v>
      </c>
      <c r="Z5463" t="s">
        <v>223</v>
      </c>
      <c r="AA5463" t="s">
        <v>224</v>
      </c>
      <c r="AB5463" t="s">
        <v>131</v>
      </c>
      <c r="AC5463" t="s">
        <v>44</v>
      </c>
      <c r="AD5463" t="s">
        <v>45</v>
      </c>
      <c r="AF5463">
        <v>2</v>
      </c>
      <c r="AG5463" t="s">
        <v>224</v>
      </c>
      <c r="AH5463" s="36">
        <f t="shared" si="86"/>
        <v>120.71388888888889</v>
      </c>
      <c r="AI5463" s="17" t="s">
        <v>1773</v>
      </c>
    </row>
    <row r="5464" spans="1:35" x14ac:dyDescent="0.25">
      <c r="A5464" s="36">
        <v>99915462</v>
      </c>
      <c r="B5464" s="17" t="s">
        <v>56</v>
      </c>
      <c r="C5464" t="s">
        <v>58</v>
      </c>
      <c r="D5464" t="s">
        <v>59</v>
      </c>
      <c r="G5464" s="17" t="s">
        <v>48</v>
      </c>
      <c r="H5464" s="17">
        <v>1</v>
      </c>
      <c r="K5464" t="s">
        <v>223</v>
      </c>
      <c r="L5464" t="s">
        <v>224</v>
      </c>
      <c r="M5464" t="s">
        <v>131</v>
      </c>
      <c r="N5464">
        <v>18</v>
      </c>
      <c r="O5464" t="s">
        <v>40</v>
      </c>
      <c r="P5464" t="s">
        <v>40</v>
      </c>
      <c r="Q5464" t="s">
        <v>40</v>
      </c>
      <c r="S5464" t="s">
        <v>40</v>
      </c>
      <c r="V5464" t="s">
        <v>41</v>
      </c>
      <c r="W5464" t="s">
        <v>42</v>
      </c>
      <c r="X5464" t="str">
        <f>"0580207"</f>
        <v>0580207</v>
      </c>
      <c r="Y5464" t="s">
        <v>229</v>
      </c>
      <c r="Z5464" t="s">
        <v>223</v>
      </c>
      <c r="AA5464" t="s">
        <v>224</v>
      </c>
      <c r="AB5464" t="s">
        <v>131</v>
      </c>
      <c r="AC5464" t="s">
        <v>51</v>
      </c>
      <c r="AD5464" t="s">
        <v>45</v>
      </c>
      <c r="AF5464">
        <v>2</v>
      </c>
      <c r="AG5464" t="s">
        <v>224</v>
      </c>
      <c r="AH5464" s="36">
        <f t="shared" si="86"/>
        <v>120.71388888888889</v>
      </c>
      <c r="AI5464" s="17" t="s">
        <v>1773</v>
      </c>
    </row>
    <row r="5465" spans="1:35" x14ac:dyDescent="0.25">
      <c r="A5465" s="36">
        <v>99915463</v>
      </c>
      <c r="B5465" s="17" t="s">
        <v>32</v>
      </c>
      <c r="C5465" t="s">
        <v>46</v>
      </c>
      <c r="D5465" t="s">
        <v>47</v>
      </c>
      <c r="G5465" s="17" t="s">
        <v>48</v>
      </c>
      <c r="H5465" s="17">
        <v>1</v>
      </c>
      <c r="K5465" t="s">
        <v>223</v>
      </c>
      <c r="L5465" t="s">
        <v>224</v>
      </c>
      <c r="M5465" t="s">
        <v>131</v>
      </c>
      <c r="N5465">
        <v>21</v>
      </c>
      <c r="O5465" t="s">
        <v>40</v>
      </c>
      <c r="P5465" t="s">
        <v>40</v>
      </c>
      <c r="Q5465" t="s">
        <v>40</v>
      </c>
      <c r="S5465" t="s">
        <v>40</v>
      </c>
      <c r="V5465" t="s">
        <v>41</v>
      </c>
      <c r="W5465" t="s">
        <v>42</v>
      </c>
      <c r="X5465" t="str">
        <f>"0580207"</f>
        <v>0580207</v>
      </c>
      <c r="Y5465" t="s">
        <v>229</v>
      </c>
      <c r="Z5465" t="s">
        <v>223</v>
      </c>
      <c r="AA5465" t="s">
        <v>224</v>
      </c>
      <c r="AB5465" t="s">
        <v>131</v>
      </c>
      <c r="AC5465" t="s">
        <v>51</v>
      </c>
      <c r="AD5465" t="s">
        <v>45</v>
      </c>
      <c r="AF5465">
        <v>2</v>
      </c>
      <c r="AG5465" t="s">
        <v>224</v>
      </c>
      <c r="AH5465" s="36">
        <f t="shared" si="86"/>
        <v>120.71388888888889</v>
      </c>
      <c r="AI5465" s="17" t="s">
        <v>1773</v>
      </c>
    </row>
    <row r="5466" spans="1:35" x14ac:dyDescent="0.25">
      <c r="A5466" s="36">
        <v>99915464</v>
      </c>
      <c r="B5466" s="17" t="s">
        <v>56</v>
      </c>
      <c r="C5466" t="s">
        <v>85</v>
      </c>
      <c r="D5466" t="s">
        <v>86</v>
      </c>
      <c r="G5466" s="17" t="s">
        <v>48</v>
      </c>
      <c r="H5466" s="17">
        <v>1</v>
      </c>
      <c r="K5466" t="s">
        <v>223</v>
      </c>
      <c r="L5466" t="s">
        <v>224</v>
      </c>
      <c r="M5466" t="s">
        <v>131</v>
      </c>
      <c r="N5466">
        <v>20</v>
      </c>
      <c r="O5466" t="s">
        <v>40</v>
      </c>
      <c r="P5466" t="s">
        <v>40</v>
      </c>
      <c r="Q5466" t="s">
        <v>40</v>
      </c>
      <c r="S5466" t="s">
        <v>40</v>
      </c>
      <c r="V5466" t="s">
        <v>41</v>
      </c>
      <c r="W5466" t="s">
        <v>42</v>
      </c>
      <c r="X5466" t="str">
        <f>"0580315"</f>
        <v>0580315</v>
      </c>
      <c r="Y5466" t="s">
        <v>246</v>
      </c>
      <c r="Z5466" t="s">
        <v>223</v>
      </c>
      <c r="AA5466" t="s">
        <v>224</v>
      </c>
      <c r="AB5466" t="s">
        <v>131</v>
      </c>
      <c r="AC5466" t="s">
        <v>51</v>
      </c>
      <c r="AD5466" t="s">
        <v>45</v>
      </c>
      <c r="AF5466">
        <v>2</v>
      </c>
      <c r="AG5466" t="s">
        <v>224</v>
      </c>
      <c r="AH5466" s="36">
        <f t="shared" si="86"/>
        <v>120.71388888888889</v>
      </c>
      <c r="AI5466" s="17" t="s">
        <v>1773</v>
      </c>
    </row>
    <row r="5467" spans="1:35" x14ac:dyDescent="0.25">
      <c r="A5467" s="36">
        <v>99915465</v>
      </c>
      <c r="B5467" s="17" t="s">
        <v>32</v>
      </c>
      <c r="C5467" t="s">
        <v>64</v>
      </c>
      <c r="D5467" t="s">
        <v>65</v>
      </c>
      <c r="G5467" s="17" t="s">
        <v>48</v>
      </c>
      <c r="H5467" s="17">
        <v>1</v>
      </c>
      <c r="K5467" t="s">
        <v>223</v>
      </c>
      <c r="L5467" t="s">
        <v>224</v>
      </c>
      <c r="M5467" t="s">
        <v>131</v>
      </c>
      <c r="N5467">
        <v>22</v>
      </c>
      <c r="O5467" t="s">
        <v>40</v>
      </c>
      <c r="P5467" t="s">
        <v>40</v>
      </c>
      <c r="Q5467" t="s">
        <v>40</v>
      </c>
      <c r="S5467" t="s">
        <v>40</v>
      </c>
      <c r="V5467" t="s">
        <v>41</v>
      </c>
      <c r="W5467" t="s">
        <v>42</v>
      </c>
      <c r="X5467" t="str">
        <f>"0580207"</f>
        <v>0580207</v>
      </c>
      <c r="Y5467" t="s">
        <v>229</v>
      </c>
      <c r="Z5467" t="s">
        <v>223</v>
      </c>
      <c r="AA5467" t="s">
        <v>224</v>
      </c>
      <c r="AB5467" t="s">
        <v>131</v>
      </c>
      <c r="AC5467" t="s">
        <v>51</v>
      </c>
      <c r="AD5467" t="s">
        <v>45</v>
      </c>
      <c r="AF5467">
        <v>2</v>
      </c>
      <c r="AG5467" t="s">
        <v>224</v>
      </c>
      <c r="AH5467" s="36">
        <f t="shared" si="86"/>
        <v>120.71388888888889</v>
      </c>
      <c r="AI5467" s="17" t="s">
        <v>1773</v>
      </c>
    </row>
    <row r="5468" spans="1:35" x14ac:dyDescent="0.25">
      <c r="A5468" s="36">
        <v>99915466</v>
      </c>
      <c r="B5468" s="17" t="s">
        <v>32</v>
      </c>
      <c r="C5468" t="s">
        <v>46</v>
      </c>
      <c r="D5468" t="s">
        <v>47</v>
      </c>
      <c r="G5468" s="17" t="s">
        <v>48</v>
      </c>
      <c r="H5468" s="17">
        <v>1</v>
      </c>
      <c r="K5468" t="s">
        <v>223</v>
      </c>
      <c r="L5468" t="s">
        <v>224</v>
      </c>
      <c r="M5468" t="s">
        <v>131</v>
      </c>
      <c r="N5468">
        <v>18</v>
      </c>
      <c r="O5468" t="s">
        <v>40</v>
      </c>
      <c r="P5468" t="s">
        <v>40</v>
      </c>
      <c r="Q5468" t="s">
        <v>40</v>
      </c>
      <c r="S5468" t="s">
        <v>40</v>
      </c>
      <c r="V5468" t="s">
        <v>41</v>
      </c>
      <c r="W5468" t="s">
        <v>42</v>
      </c>
      <c r="X5468" t="str">
        <f>"0580315"</f>
        <v>0580315</v>
      </c>
      <c r="Y5468" t="s">
        <v>246</v>
      </c>
      <c r="Z5468" t="s">
        <v>223</v>
      </c>
      <c r="AA5468" t="s">
        <v>224</v>
      </c>
      <c r="AB5468" t="s">
        <v>131</v>
      </c>
      <c r="AC5468" t="s">
        <v>51</v>
      </c>
      <c r="AD5468" t="s">
        <v>45</v>
      </c>
      <c r="AF5468">
        <v>2</v>
      </c>
      <c r="AG5468" t="s">
        <v>224</v>
      </c>
      <c r="AH5468" s="36">
        <f t="shared" si="86"/>
        <v>120.71388888888889</v>
      </c>
      <c r="AI5468" s="17" t="s">
        <v>1773</v>
      </c>
    </row>
    <row r="5469" spans="1:35" x14ac:dyDescent="0.25">
      <c r="A5469" s="36">
        <v>99915467</v>
      </c>
      <c r="B5469" s="17" t="s">
        <v>32</v>
      </c>
      <c r="C5469" t="s">
        <v>149</v>
      </c>
      <c r="D5469" t="s">
        <v>150</v>
      </c>
      <c r="G5469" s="17" t="s">
        <v>35</v>
      </c>
      <c r="H5469" s="17">
        <v>1</v>
      </c>
      <c r="I5469">
        <v>0</v>
      </c>
      <c r="J5469" s="1">
        <v>43344</v>
      </c>
      <c r="K5469" t="s">
        <v>223</v>
      </c>
      <c r="L5469" t="s">
        <v>224</v>
      </c>
      <c r="M5469" t="s">
        <v>131</v>
      </c>
      <c r="N5469">
        <v>4</v>
      </c>
      <c r="O5469" t="s">
        <v>40</v>
      </c>
      <c r="S5469" t="s">
        <v>40</v>
      </c>
      <c r="U5469" s="1">
        <v>43344</v>
      </c>
      <c r="V5469" t="s">
        <v>41</v>
      </c>
      <c r="W5469" t="s">
        <v>49</v>
      </c>
      <c r="X5469" t="str">
        <f>"0591901"</f>
        <v>0591901</v>
      </c>
      <c r="Y5469" t="s">
        <v>230</v>
      </c>
      <c r="Z5469" t="s">
        <v>223</v>
      </c>
      <c r="AA5469" t="s">
        <v>224</v>
      </c>
      <c r="AB5469" t="s">
        <v>131</v>
      </c>
      <c r="AC5469" t="s">
        <v>44</v>
      </c>
      <c r="AD5469" t="s">
        <v>45</v>
      </c>
      <c r="AF5469">
        <v>2</v>
      </c>
      <c r="AG5469" t="s">
        <v>224</v>
      </c>
      <c r="AH5469" s="36">
        <f t="shared" si="86"/>
        <v>120.71388888888889</v>
      </c>
      <c r="AI5469" s="17" t="s">
        <v>1773</v>
      </c>
    </row>
    <row r="5470" spans="1:35" x14ac:dyDescent="0.25">
      <c r="A5470" s="36">
        <v>99915468</v>
      </c>
      <c r="B5470" s="17" t="s">
        <v>56</v>
      </c>
      <c r="C5470" t="s">
        <v>52</v>
      </c>
      <c r="D5470" t="s">
        <v>53</v>
      </c>
      <c r="G5470" s="17" t="s">
        <v>35</v>
      </c>
      <c r="H5470" s="17">
        <v>1</v>
      </c>
      <c r="I5470">
        <v>0</v>
      </c>
      <c r="J5470" s="1">
        <v>43344</v>
      </c>
      <c r="K5470" t="s">
        <v>223</v>
      </c>
      <c r="L5470" t="s">
        <v>224</v>
      </c>
      <c r="M5470" t="s">
        <v>131</v>
      </c>
      <c r="N5470">
        <v>23</v>
      </c>
      <c r="O5470" t="s">
        <v>40</v>
      </c>
      <c r="P5470" t="s">
        <v>40</v>
      </c>
      <c r="Q5470" t="s">
        <v>40</v>
      </c>
      <c r="S5470" t="s">
        <v>40</v>
      </c>
      <c r="U5470" s="1">
        <v>43344</v>
      </c>
      <c r="V5470" t="s">
        <v>41</v>
      </c>
      <c r="W5470" t="s">
        <v>42</v>
      </c>
      <c r="X5470" t="str">
        <f>"0580207"</f>
        <v>0580207</v>
      </c>
      <c r="Y5470" t="s">
        <v>229</v>
      </c>
      <c r="Z5470" t="s">
        <v>223</v>
      </c>
      <c r="AA5470" t="s">
        <v>224</v>
      </c>
      <c r="AB5470" t="s">
        <v>131</v>
      </c>
      <c r="AC5470" t="s">
        <v>44</v>
      </c>
      <c r="AD5470" t="s">
        <v>45</v>
      </c>
      <c r="AF5470">
        <v>2</v>
      </c>
      <c r="AG5470" t="s">
        <v>224</v>
      </c>
      <c r="AH5470" s="36">
        <f t="shared" si="86"/>
        <v>120.71388888888889</v>
      </c>
      <c r="AI5470" s="17" t="s">
        <v>1773</v>
      </c>
    </row>
    <row r="5471" spans="1:35" x14ac:dyDescent="0.25">
      <c r="A5471" s="36">
        <v>99915469</v>
      </c>
      <c r="B5471" s="17" t="s">
        <v>56</v>
      </c>
      <c r="C5471" t="s">
        <v>85</v>
      </c>
      <c r="D5471" t="s">
        <v>86</v>
      </c>
      <c r="G5471" s="17" t="s">
        <v>35</v>
      </c>
      <c r="H5471" s="17">
        <v>1</v>
      </c>
      <c r="I5471">
        <v>0</v>
      </c>
      <c r="J5471" s="1">
        <v>43344</v>
      </c>
      <c r="K5471" t="s">
        <v>223</v>
      </c>
      <c r="L5471" t="s">
        <v>224</v>
      </c>
      <c r="M5471" t="s">
        <v>131</v>
      </c>
      <c r="N5471">
        <v>4</v>
      </c>
      <c r="O5471" t="s">
        <v>40</v>
      </c>
      <c r="P5471" t="s">
        <v>40</v>
      </c>
      <c r="Q5471" t="s">
        <v>40</v>
      </c>
      <c r="S5471" t="s">
        <v>40</v>
      </c>
      <c r="U5471" s="1">
        <v>43344</v>
      </c>
      <c r="V5471" t="s">
        <v>41</v>
      </c>
      <c r="W5471" t="s">
        <v>42</v>
      </c>
      <c r="X5471" t="str">
        <f>"0580207"</f>
        <v>0580207</v>
      </c>
      <c r="Y5471" t="s">
        <v>229</v>
      </c>
      <c r="Z5471" t="s">
        <v>223</v>
      </c>
      <c r="AA5471" t="s">
        <v>224</v>
      </c>
      <c r="AB5471" t="s">
        <v>131</v>
      </c>
      <c r="AC5471" t="s">
        <v>51</v>
      </c>
      <c r="AD5471" t="s">
        <v>45</v>
      </c>
      <c r="AF5471">
        <v>2</v>
      </c>
      <c r="AG5471" t="s">
        <v>224</v>
      </c>
      <c r="AH5471" s="36">
        <f t="shared" si="86"/>
        <v>120.71388888888889</v>
      </c>
      <c r="AI5471" s="17" t="s">
        <v>1773</v>
      </c>
    </row>
    <row r="5472" spans="1:35" x14ac:dyDescent="0.25">
      <c r="A5472" s="36">
        <v>99915470</v>
      </c>
      <c r="B5472" s="17" t="s">
        <v>56</v>
      </c>
      <c r="C5472" t="s">
        <v>85</v>
      </c>
      <c r="D5472" t="s">
        <v>86</v>
      </c>
      <c r="G5472" s="17" t="s">
        <v>48</v>
      </c>
      <c r="H5472" s="17">
        <v>1</v>
      </c>
      <c r="K5472" t="s">
        <v>223</v>
      </c>
      <c r="L5472" t="s">
        <v>224</v>
      </c>
      <c r="M5472" t="s">
        <v>131</v>
      </c>
      <c r="N5472">
        <v>21</v>
      </c>
      <c r="O5472" t="s">
        <v>40</v>
      </c>
      <c r="P5472" t="s">
        <v>40</v>
      </c>
      <c r="Q5472" t="s">
        <v>40</v>
      </c>
      <c r="S5472" t="s">
        <v>40</v>
      </c>
      <c r="V5472" t="s">
        <v>41</v>
      </c>
      <c r="W5472" t="s">
        <v>42</v>
      </c>
      <c r="X5472" t="str">
        <f>"0580207"</f>
        <v>0580207</v>
      </c>
      <c r="Y5472" t="s">
        <v>229</v>
      </c>
      <c r="Z5472" t="s">
        <v>223</v>
      </c>
      <c r="AA5472" t="s">
        <v>224</v>
      </c>
      <c r="AB5472" t="s">
        <v>131</v>
      </c>
      <c r="AC5472" t="s">
        <v>51</v>
      </c>
      <c r="AD5472" t="s">
        <v>45</v>
      </c>
      <c r="AF5472">
        <v>2</v>
      </c>
      <c r="AG5472" t="s">
        <v>224</v>
      </c>
      <c r="AH5472" s="36">
        <f t="shared" si="86"/>
        <v>120.71388888888889</v>
      </c>
      <c r="AI5472" s="17" t="s">
        <v>1773</v>
      </c>
    </row>
    <row r="5473" spans="1:35" x14ac:dyDescent="0.25">
      <c r="A5473" s="36">
        <v>99915471</v>
      </c>
      <c r="B5473" s="17" t="s">
        <v>56</v>
      </c>
      <c r="C5473" t="s">
        <v>46</v>
      </c>
      <c r="D5473" t="s">
        <v>47</v>
      </c>
      <c r="G5473" s="17" t="s">
        <v>48</v>
      </c>
      <c r="H5473" s="17">
        <v>1</v>
      </c>
      <c r="K5473" t="s">
        <v>223</v>
      </c>
      <c r="L5473" t="s">
        <v>224</v>
      </c>
      <c r="M5473" t="s">
        <v>131</v>
      </c>
      <c r="N5473">
        <v>3</v>
      </c>
      <c r="O5473" t="s">
        <v>40</v>
      </c>
      <c r="P5473" t="s">
        <v>40</v>
      </c>
      <c r="Q5473" t="s">
        <v>40</v>
      </c>
      <c r="S5473" t="s">
        <v>40</v>
      </c>
      <c r="V5473" t="s">
        <v>41</v>
      </c>
      <c r="W5473" t="s">
        <v>42</v>
      </c>
      <c r="X5473" t="str">
        <f>"0580207"</f>
        <v>0580207</v>
      </c>
      <c r="Y5473" t="s">
        <v>229</v>
      </c>
      <c r="Z5473" t="s">
        <v>223</v>
      </c>
      <c r="AA5473" t="s">
        <v>224</v>
      </c>
      <c r="AB5473" t="s">
        <v>131</v>
      </c>
      <c r="AC5473" t="s">
        <v>165</v>
      </c>
      <c r="AD5473" t="s">
        <v>45</v>
      </c>
      <c r="AF5473">
        <v>2</v>
      </c>
      <c r="AG5473" t="s">
        <v>224</v>
      </c>
      <c r="AH5473" s="36">
        <f t="shared" si="86"/>
        <v>120.71388888888889</v>
      </c>
      <c r="AI5473" s="17" t="s">
        <v>1773</v>
      </c>
    </row>
    <row r="5474" spans="1:35" x14ac:dyDescent="0.25">
      <c r="A5474" s="36">
        <v>99915472</v>
      </c>
      <c r="B5474" s="17" t="s">
        <v>56</v>
      </c>
      <c r="C5474" t="s">
        <v>68</v>
      </c>
      <c r="D5474" t="s">
        <v>69</v>
      </c>
      <c r="G5474" s="17" t="s">
        <v>35</v>
      </c>
      <c r="H5474" s="17">
        <v>1</v>
      </c>
      <c r="I5474">
        <v>0</v>
      </c>
      <c r="J5474" s="1">
        <v>43344</v>
      </c>
      <c r="K5474" t="s">
        <v>223</v>
      </c>
      <c r="L5474" t="s">
        <v>224</v>
      </c>
      <c r="M5474" t="s">
        <v>131</v>
      </c>
      <c r="N5474">
        <v>23</v>
      </c>
      <c r="O5474" t="s">
        <v>40</v>
      </c>
      <c r="S5474" t="s">
        <v>40</v>
      </c>
      <c r="U5474" s="1">
        <v>43344</v>
      </c>
      <c r="V5474" t="s">
        <v>41</v>
      </c>
      <c r="W5474" t="s">
        <v>49</v>
      </c>
      <c r="X5474" t="str">
        <f>"0591901"</f>
        <v>0591901</v>
      </c>
      <c r="Y5474" t="s">
        <v>230</v>
      </c>
      <c r="Z5474" t="s">
        <v>223</v>
      </c>
      <c r="AA5474" t="s">
        <v>224</v>
      </c>
      <c r="AB5474" t="s">
        <v>131</v>
      </c>
      <c r="AC5474" t="s">
        <v>44</v>
      </c>
      <c r="AD5474" t="s">
        <v>45</v>
      </c>
      <c r="AF5474">
        <v>2</v>
      </c>
      <c r="AG5474" t="s">
        <v>224</v>
      </c>
      <c r="AH5474" s="36">
        <f t="shared" si="86"/>
        <v>120.71388888888889</v>
      </c>
      <c r="AI5474" s="17" t="s">
        <v>1773</v>
      </c>
    </row>
    <row r="5475" spans="1:35" x14ac:dyDescent="0.25">
      <c r="A5475" s="36">
        <v>99915473</v>
      </c>
      <c r="B5475" s="17" t="s">
        <v>56</v>
      </c>
      <c r="C5475" t="s">
        <v>46</v>
      </c>
      <c r="D5475" t="s">
        <v>47</v>
      </c>
      <c r="G5475" s="17" t="s">
        <v>48</v>
      </c>
      <c r="H5475" s="17">
        <v>1</v>
      </c>
      <c r="K5475" t="s">
        <v>223</v>
      </c>
      <c r="L5475" t="s">
        <v>224</v>
      </c>
      <c r="M5475" t="s">
        <v>131</v>
      </c>
      <c r="N5475">
        <v>21</v>
      </c>
      <c r="O5475" t="s">
        <v>40</v>
      </c>
      <c r="P5475" t="s">
        <v>40</v>
      </c>
      <c r="Q5475" t="s">
        <v>40</v>
      </c>
      <c r="S5475" t="s">
        <v>40</v>
      </c>
      <c r="V5475" t="s">
        <v>41</v>
      </c>
      <c r="W5475" t="s">
        <v>42</v>
      </c>
      <c r="X5475" t="str">
        <f>"0580207"</f>
        <v>0580207</v>
      </c>
      <c r="Y5475" t="s">
        <v>229</v>
      </c>
      <c r="Z5475" t="s">
        <v>223</v>
      </c>
      <c r="AA5475" t="s">
        <v>224</v>
      </c>
      <c r="AB5475" t="s">
        <v>131</v>
      </c>
      <c r="AC5475" t="s">
        <v>51</v>
      </c>
      <c r="AD5475" t="s">
        <v>45</v>
      </c>
      <c r="AF5475">
        <v>2</v>
      </c>
      <c r="AG5475" t="s">
        <v>224</v>
      </c>
      <c r="AH5475" s="36">
        <f t="shared" si="86"/>
        <v>120.71388888888889</v>
      </c>
      <c r="AI5475" s="17" t="s">
        <v>1773</v>
      </c>
    </row>
    <row r="5476" spans="1:35" x14ac:dyDescent="0.25">
      <c r="A5476" s="36">
        <v>99915474</v>
      </c>
      <c r="B5476" s="17" t="s">
        <v>32</v>
      </c>
      <c r="C5476" t="s">
        <v>46</v>
      </c>
      <c r="D5476" t="s">
        <v>47</v>
      </c>
      <c r="G5476" s="17" t="s">
        <v>48</v>
      </c>
      <c r="H5476" s="17">
        <v>1</v>
      </c>
      <c r="K5476" t="s">
        <v>223</v>
      </c>
      <c r="L5476" t="s">
        <v>224</v>
      </c>
      <c r="M5476" t="s">
        <v>131</v>
      </c>
      <c r="N5476">
        <v>14</v>
      </c>
      <c r="O5476" t="s">
        <v>40</v>
      </c>
      <c r="P5476" t="s">
        <v>40</v>
      </c>
      <c r="Q5476" t="s">
        <v>40</v>
      </c>
      <c r="S5476" t="s">
        <v>40</v>
      </c>
      <c r="V5476" t="s">
        <v>41</v>
      </c>
      <c r="W5476" t="s">
        <v>42</v>
      </c>
      <c r="X5476" t="str">
        <f>"0580207"</f>
        <v>0580207</v>
      </c>
      <c r="Y5476" t="s">
        <v>229</v>
      </c>
      <c r="Z5476" t="s">
        <v>223</v>
      </c>
      <c r="AA5476" t="s">
        <v>224</v>
      </c>
      <c r="AB5476" t="s">
        <v>131</v>
      </c>
      <c r="AC5476" t="s">
        <v>165</v>
      </c>
      <c r="AD5476" t="s">
        <v>45</v>
      </c>
      <c r="AF5476">
        <v>2</v>
      </c>
      <c r="AG5476" t="s">
        <v>224</v>
      </c>
      <c r="AH5476" s="36">
        <f t="shared" si="86"/>
        <v>120.71388888888889</v>
      </c>
      <c r="AI5476" s="17" t="s">
        <v>1773</v>
      </c>
    </row>
    <row r="5477" spans="1:35" x14ac:dyDescent="0.25">
      <c r="A5477" s="36">
        <v>99915475</v>
      </c>
      <c r="B5477" s="17" t="s">
        <v>56</v>
      </c>
      <c r="C5477" t="s">
        <v>85</v>
      </c>
      <c r="D5477" t="s">
        <v>86</v>
      </c>
      <c r="G5477" s="17" t="s">
        <v>48</v>
      </c>
      <c r="H5477" s="17">
        <v>1</v>
      </c>
      <c r="K5477" t="s">
        <v>223</v>
      </c>
      <c r="L5477" t="s">
        <v>224</v>
      </c>
      <c r="M5477" t="s">
        <v>131</v>
      </c>
      <c r="N5477">
        <v>18</v>
      </c>
      <c r="O5477" t="s">
        <v>40</v>
      </c>
      <c r="P5477" t="s">
        <v>40</v>
      </c>
      <c r="Q5477" t="s">
        <v>40</v>
      </c>
      <c r="S5477" t="s">
        <v>40</v>
      </c>
      <c r="V5477" t="s">
        <v>41</v>
      </c>
      <c r="W5477" t="s">
        <v>42</v>
      </c>
      <c r="X5477" t="str">
        <f>"0580207"</f>
        <v>0580207</v>
      </c>
      <c r="Y5477" t="s">
        <v>229</v>
      </c>
      <c r="Z5477" t="s">
        <v>223</v>
      </c>
      <c r="AA5477" t="s">
        <v>224</v>
      </c>
      <c r="AB5477" t="s">
        <v>131</v>
      </c>
      <c r="AC5477" t="s">
        <v>165</v>
      </c>
      <c r="AD5477" t="s">
        <v>45</v>
      </c>
      <c r="AF5477">
        <v>2</v>
      </c>
      <c r="AG5477" t="s">
        <v>224</v>
      </c>
      <c r="AH5477" s="36">
        <f t="shared" si="86"/>
        <v>120.71388888888889</v>
      </c>
      <c r="AI5477" s="17" t="s">
        <v>1773</v>
      </c>
    </row>
    <row r="5478" spans="1:35" x14ac:dyDescent="0.25">
      <c r="A5478" s="36">
        <v>99915476</v>
      </c>
      <c r="B5478" s="17" t="s">
        <v>32</v>
      </c>
      <c r="C5478" t="s">
        <v>79</v>
      </c>
      <c r="D5478" t="s">
        <v>80</v>
      </c>
      <c r="G5478" s="17" t="s">
        <v>48</v>
      </c>
      <c r="H5478" s="17">
        <v>1</v>
      </c>
      <c r="K5478" t="s">
        <v>223</v>
      </c>
      <c r="L5478" t="s">
        <v>224</v>
      </c>
      <c r="M5478" t="s">
        <v>131</v>
      </c>
      <c r="N5478">
        <v>21</v>
      </c>
      <c r="O5478" t="s">
        <v>40</v>
      </c>
      <c r="P5478" t="s">
        <v>40</v>
      </c>
      <c r="Q5478" t="s">
        <v>40</v>
      </c>
      <c r="S5478" t="s">
        <v>40</v>
      </c>
      <c r="V5478" t="s">
        <v>41</v>
      </c>
      <c r="W5478" t="s">
        <v>49</v>
      </c>
      <c r="X5478" t="str">
        <f>"0560016"</f>
        <v>0560016</v>
      </c>
      <c r="Y5478" t="s">
        <v>254</v>
      </c>
      <c r="Z5478" t="s">
        <v>223</v>
      </c>
      <c r="AA5478" t="s">
        <v>224</v>
      </c>
      <c r="AB5478" t="s">
        <v>131</v>
      </c>
      <c r="AC5478" t="s">
        <v>51</v>
      </c>
      <c r="AD5478" t="s">
        <v>45</v>
      </c>
      <c r="AF5478">
        <v>2</v>
      </c>
      <c r="AG5478" t="s">
        <v>224</v>
      </c>
      <c r="AH5478" s="36">
        <f t="shared" si="86"/>
        <v>120.71388888888889</v>
      </c>
      <c r="AI5478" s="17" t="s">
        <v>1773</v>
      </c>
    </row>
    <row r="5479" spans="1:35" x14ac:dyDescent="0.25">
      <c r="A5479" s="36">
        <v>99915477</v>
      </c>
      <c r="B5479" s="17" t="s">
        <v>56</v>
      </c>
      <c r="C5479" t="s">
        <v>52</v>
      </c>
      <c r="D5479" t="s">
        <v>53</v>
      </c>
      <c r="G5479" s="17" t="s">
        <v>48</v>
      </c>
      <c r="H5479" s="17">
        <v>1</v>
      </c>
      <c r="K5479" t="s">
        <v>223</v>
      </c>
      <c r="L5479" t="s">
        <v>224</v>
      </c>
      <c r="M5479" t="s">
        <v>131</v>
      </c>
      <c r="N5479">
        <v>18</v>
      </c>
      <c r="O5479" t="s">
        <v>40</v>
      </c>
      <c r="P5479" t="s">
        <v>40</v>
      </c>
      <c r="Q5479" t="s">
        <v>40</v>
      </c>
      <c r="S5479" t="s">
        <v>40</v>
      </c>
      <c r="V5479" t="s">
        <v>41</v>
      </c>
      <c r="W5479" t="s">
        <v>42</v>
      </c>
      <c r="X5479" t="str">
        <f>"0580207"</f>
        <v>0580207</v>
      </c>
      <c r="Y5479" t="s">
        <v>229</v>
      </c>
      <c r="Z5479" t="s">
        <v>223</v>
      </c>
      <c r="AA5479" t="s">
        <v>224</v>
      </c>
      <c r="AB5479" t="s">
        <v>131</v>
      </c>
      <c r="AC5479" t="s">
        <v>165</v>
      </c>
      <c r="AD5479" t="s">
        <v>45</v>
      </c>
      <c r="AF5479">
        <v>2</v>
      </c>
      <c r="AG5479" t="s">
        <v>224</v>
      </c>
      <c r="AH5479" s="36">
        <f t="shared" si="86"/>
        <v>120.71388888888889</v>
      </c>
      <c r="AI5479" s="17" t="s">
        <v>1773</v>
      </c>
    </row>
    <row r="5480" spans="1:35" x14ac:dyDescent="0.25">
      <c r="A5480" s="36">
        <v>99915478</v>
      </c>
      <c r="B5480" s="17" t="s">
        <v>32</v>
      </c>
      <c r="C5480" t="s">
        <v>64</v>
      </c>
      <c r="D5480" t="s">
        <v>65</v>
      </c>
      <c r="G5480" s="17" t="s">
        <v>48</v>
      </c>
      <c r="H5480" s="17">
        <v>1</v>
      </c>
      <c r="K5480" t="s">
        <v>223</v>
      </c>
      <c r="L5480" t="s">
        <v>224</v>
      </c>
      <c r="M5480" t="s">
        <v>131</v>
      </c>
      <c r="N5480">
        <v>23</v>
      </c>
      <c r="O5480" t="s">
        <v>40</v>
      </c>
      <c r="P5480" t="s">
        <v>40</v>
      </c>
      <c r="Q5480" t="s">
        <v>40</v>
      </c>
      <c r="S5480" t="s">
        <v>40</v>
      </c>
      <c r="V5480" t="s">
        <v>41</v>
      </c>
      <c r="W5480" t="s">
        <v>42</v>
      </c>
      <c r="X5480" t="str">
        <f>"0580207"</f>
        <v>0580207</v>
      </c>
      <c r="Y5480" t="s">
        <v>229</v>
      </c>
      <c r="Z5480" t="s">
        <v>223</v>
      </c>
      <c r="AA5480" t="s">
        <v>224</v>
      </c>
      <c r="AB5480" t="s">
        <v>131</v>
      </c>
      <c r="AC5480" t="s">
        <v>51</v>
      </c>
      <c r="AD5480" t="s">
        <v>45</v>
      </c>
      <c r="AF5480">
        <v>2</v>
      </c>
      <c r="AG5480" t="s">
        <v>224</v>
      </c>
      <c r="AH5480" s="36">
        <f t="shared" si="86"/>
        <v>120.71388888888889</v>
      </c>
      <c r="AI5480" s="17" t="s">
        <v>1773</v>
      </c>
    </row>
    <row r="5481" spans="1:35" x14ac:dyDescent="0.25">
      <c r="A5481" s="36">
        <v>99915479</v>
      </c>
      <c r="B5481" s="17" t="s">
        <v>32</v>
      </c>
      <c r="C5481" t="s">
        <v>68</v>
      </c>
      <c r="D5481" t="s">
        <v>69</v>
      </c>
      <c r="G5481" s="17" t="s">
        <v>35</v>
      </c>
      <c r="H5481" s="17">
        <v>1</v>
      </c>
      <c r="I5481">
        <v>0</v>
      </c>
      <c r="J5481" s="1">
        <v>43344</v>
      </c>
      <c r="K5481" t="s">
        <v>223</v>
      </c>
      <c r="L5481" t="s">
        <v>224</v>
      </c>
      <c r="M5481" t="s">
        <v>131</v>
      </c>
      <c r="N5481">
        <v>21</v>
      </c>
      <c r="O5481" t="s">
        <v>40</v>
      </c>
      <c r="S5481" t="s">
        <v>40</v>
      </c>
      <c r="U5481" s="1">
        <v>43344</v>
      </c>
      <c r="V5481" t="s">
        <v>41</v>
      </c>
      <c r="W5481" t="s">
        <v>49</v>
      </c>
      <c r="X5481" t="str">
        <f>"0591901"</f>
        <v>0591901</v>
      </c>
      <c r="Y5481" t="s">
        <v>230</v>
      </c>
      <c r="Z5481" t="s">
        <v>223</v>
      </c>
      <c r="AA5481" t="s">
        <v>224</v>
      </c>
      <c r="AB5481" t="s">
        <v>131</v>
      </c>
      <c r="AC5481" t="s">
        <v>44</v>
      </c>
      <c r="AD5481" t="s">
        <v>45</v>
      </c>
      <c r="AF5481">
        <v>2</v>
      </c>
      <c r="AG5481" t="s">
        <v>224</v>
      </c>
      <c r="AH5481" s="36">
        <f t="shared" si="86"/>
        <v>120.71388888888889</v>
      </c>
      <c r="AI5481" s="17" t="s">
        <v>1773</v>
      </c>
    </row>
    <row r="5482" spans="1:35" x14ac:dyDescent="0.25">
      <c r="A5482" s="36">
        <v>99915480</v>
      </c>
      <c r="B5482" s="17" t="s">
        <v>32</v>
      </c>
      <c r="C5482" t="s">
        <v>85</v>
      </c>
      <c r="D5482" t="s">
        <v>86</v>
      </c>
      <c r="G5482" s="17" t="s">
        <v>48</v>
      </c>
      <c r="H5482" s="17">
        <v>1</v>
      </c>
      <c r="K5482" t="s">
        <v>300</v>
      </c>
      <c r="L5482" t="s">
        <v>301</v>
      </c>
      <c r="M5482" t="s">
        <v>131</v>
      </c>
      <c r="N5482">
        <v>20</v>
      </c>
      <c r="O5482" t="s">
        <v>40</v>
      </c>
      <c r="P5482" t="s">
        <v>40</v>
      </c>
      <c r="Q5482" t="s">
        <v>40</v>
      </c>
      <c r="S5482" t="s">
        <v>40</v>
      </c>
      <c r="V5482" t="s">
        <v>41</v>
      </c>
      <c r="W5482" t="s">
        <v>49</v>
      </c>
      <c r="X5482" t="str">
        <f>"0560001"</f>
        <v>0560001</v>
      </c>
      <c r="Y5482" t="s">
        <v>304</v>
      </c>
      <c r="Z5482" t="s">
        <v>300</v>
      </c>
      <c r="AA5482" t="s">
        <v>301</v>
      </c>
      <c r="AB5482" t="s">
        <v>131</v>
      </c>
      <c r="AC5482" t="s">
        <v>51</v>
      </c>
      <c r="AD5482" t="s">
        <v>45</v>
      </c>
      <c r="AF5482">
        <v>2</v>
      </c>
      <c r="AG5482" t="s">
        <v>301</v>
      </c>
      <c r="AH5482" s="36">
        <f t="shared" si="86"/>
        <v>120.71388888888889</v>
      </c>
      <c r="AI5482" s="17" t="s">
        <v>1773</v>
      </c>
    </row>
    <row r="5483" spans="1:35" x14ac:dyDescent="0.25">
      <c r="A5483" s="36">
        <v>99915481</v>
      </c>
      <c r="B5483" s="17" t="s">
        <v>32</v>
      </c>
      <c r="C5483" t="s">
        <v>139</v>
      </c>
      <c r="D5483" t="s">
        <v>140</v>
      </c>
      <c r="G5483" s="17" t="s">
        <v>48</v>
      </c>
      <c r="H5483" s="17">
        <v>1</v>
      </c>
      <c r="K5483" t="s">
        <v>300</v>
      </c>
      <c r="L5483" t="s">
        <v>301</v>
      </c>
      <c r="M5483" t="s">
        <v>131</v>
      </c>
      <c r="N5483">
        <v>11</v>
      </c>
      <c r="O5483" t="s">
        <v>40</v>
      </c>
      <c r="P5483" t="s">
        <v>40</v>
      </c>
      <c r="Q5483" t="s">
        <v>40</v>
      </c>
      <c r="S5483" t="s">
        <v>40</v>
      </c>
      <c r="V5483" t="s">
        <v>41</v>
      </c>
      <c r="W5483" t="s">
        <v>49</v>
      </c>
      <c r="X5483" t="str">
        <f>"0560001"</f>
        <v>0560001</v>
      </c>
      <c r="Y5483" t="s">
        <v>304</v>
      </c>
      <c r="Z5483" t="s">
        <v>300</v>
      </c>
      <c r="AA5483" t="s">
        <v>301</v>
      </c>
      <c r="AB5483" t="s">
        <v>131</v>
      </c>
      <c r="AC5483" t="s">
        <v>51</v>
      </c>
      <c r="AD5483" t="s">
        <v>45</v>
      </c>
      <c r="AF5483">
        <v>2</v>
      </c>
      <c r="AG5483" t="s">
        <v>301</v>
      </c>
      <c r="AH5483" s="36">
        <f t="shared" si="86"/>
        <v>120.71388888888889</v>
      </c>
      <c r="AI5483" s="17" t="s">
        <v>1773</v>
      </c>
    </row>
    <row r="5484" spans="1:35" x14ac:dyDescent="0.25">
      <c r="A5484" s="36">
        <v>99915482</v>
      </c>
      <c r="B5484" s="17" t="s">
        <v>56</v>
      </c>
      <c r="C5484" t="s">
        <v>46</v>
      </c>
      <c r="D5484" t="s">
        <v>47</v>
      </c>
      <c r="G5484" s="17" t="s">
        <v>48</v>
      </c>
      <c r="H5484" s="17">
        <v>1</v>
      </c>
      <c r="K5484" t="s">
        <v>300</v>
      </c>
      <c r="L5484" t="s">
        <v>301</v>
      </c>
      <c r="M5484" t="s">
        <v>131</v>
      </c>
      <c r="N5484">
        <v>20</v>
      </c>
      <c r="O5484" t="s">
        <v>40</v>
      </c>
      <c r="P5484" t="s">
        <v>40</v>
      </c>
      <c r="Q5484" t="s">
        <v>40</v>
      </c>
      <c r="S5484" t="s">
        <v>40</v>
      </c>
      <c r="V5484" t="s">
        <v>41</v>
      </c>
      <c r="W5484" t="s">
        <v>49</v>
      </c>
      <c r="X5484" t="str">
        <f>"0560001"</f>
        <v>0560001</v>
      </c>
      <c r="Y5484" t="s">
        <v>304</v>
      </c>
      <c r="Z5484" t="s">
        <v>300</v>
      </c>
      <c r="AA5484" t="s">
        <v>301</v>
      </c>
      <c r="AB5484" t="s">
        <v>131</v>
      </c>
      <c r="AC5484" t="s">
        <v>51</v>
      </c>
      <c r="AD5484" t="s">
        <v>45</v>
      </c>
      <c r="AF5484">
        <v>2</v>
      </c>
      <c r="AG5484" t="s">
        <v>301</v>
      </c>
      <c r="AH5484" s="36">
        <f t="shared" si="86"/>
        <v>120.71388888888889</v>
      </c>
      <c r="AI5484" s="17" t="s">
        <v>1773</v>
      </c>
    </row>
    <row r="5485" spans="1:35" x14ac:dyDescent="0.25">
      <c r="A5485" s="36">
        <v>99915483</v>
      </c>
      <c r="B5485" s="17" t="s">
        <v>32</v>
      </c>
      <c r="C5485" t="s">
        <v>46</v>
      </c>
      <c r="D5485" t="s">
        <v>47</v>
      </c>
      <c r="G5485" s="17" t="s">
        <v>48</v>
      </c>
      <c r="H5485" s="17">
        <v>1</v>
      </c>
      <c r="K5485" t="s">
        <v>300</v>
      </c>
      <c r="L5485" t="s">
        <v>301</v>
      </c>
      <c r="M5485" t="s">
        <v>131</v>
      </c>
      <c r="N5485">
        <v>21</v>
      </c>
      <c r="O5485" t="s">
        <v>40</v>
      </c>
      <c r="P5485" t="s">
        <v>40</v>
      </c>
      <c r="Q5485" t="s">
        <v>40</v>
      </c>
      <c r="S5485" t="s">
        <v>40</v>
      </c>
      <c r="V5485" t="s">
        <v>41</v>
      </c>
      <c r="W5485" t="s">
        <v>42</v>
      </c>
      <c r="X5485" t="str">
        <f>"0580176"</f>
        <v>0580176</v>
      </c>
      <c r="Y5485" t="s">
        <v>305</v>
      </c>
      <c r="Z5485" t="s">
        <v>300</v>
      </c>
      <c r="AA5485" t="s">
        <v>301</v>
      </c>
      <c r="AB5485" t="s">
        <v>131</v>
      </c>
      <c r="AC5485" t="s">
        <v>51</v>
      </c>
      <c r="AD5485" t="s">
        <v>45</v>
      </c>
      <c r="AF5485">
        <v>2</v>
      </c>
      <c r="AG5485" t="s">
        <v>301</v>
      </c>
      <c r="AH5485" s="36">
        <f t="shared" si="86"/>
        <v>120.71388888888889</v>
      </c>
      <c r="AI5485" s="17" t="s">
        <v>1773</v>
      </c>
    </row>
    <row r="5486" spans="1:35" x14ac:dyDescent="0.25">
      <c r="A5486" s="36">
        <v>99915484</v>
      </c>
      <c r="B5486" s="17" t="s">
        <v>32</v>
      </c>
      <c r="C5486" t="s">
        <v>46</v>
      </c>
      <c r="D5486" t="s">
        <v>47</v>
      </c>
      <c r="G5486" s="17" t="s">
        <v>35</v>
      </c>
      <c r="H5486" s="17">
        <v>1</v>
      </c>
      <c r="I5486" t="s">
        <v>312</v>
      </c>
      <c r="J5486" s="1">
        <v>43344</v>
      </c>
      <c r="K5486" t="s">
        <v>300</v>
      </c>
      <c r="L5486" t="s">
        <v>301</v>
      </c>
      <c r="M5486" t="s">
        <v>131</v>
      </c>
      <c r="N5486">
        <v>5</v>
      </c>
      <c r="O5486" t="s">
        <v>40</v>
      </c>
      <c r="P5486" t="s">
        <v>40</v>
      </c>
      <c r="Q5486" t="s">
        <v>40</v>
      </c>
      <c r="S5486" t="s">
        <v>40</v>
      </c>
      <c r="U5486" s="1">
        <v>43344</v>
      </c>
      <c r="V5486" t="s">
        <v>41</v>
      </c>
      <c r="W5486" t="s">
        <v>49</v>
      </c>
      <c r="X5486" t="str">
        <f>"0560001"</f>
        <v>0560001</v>
      </c>
      <c r="Y5486" t="s">
        <v>304</v>
      </c>
      <c r="Z5486" t="s">
        <v>300</v>
      </c>
      <c r="AA5486" t="s">
        <v>301</v>
      </c>
      <c r="AB5486" t="s">
        <v>131</v>
      </c>
      <c r="AC5486" t="s">
        <v>44</v>
      </c>
      <c r="AD5486" t="s">
        <v>45</v>
      </c>
      <c r="AF5486">
        <v>2</v>
      </c>
      <c r="AG5486" t="s">
        <v>301</v>
      </c>
      <c r="AH5486" s="36">
        <f t="shared" si="86"/>
        <v>120.71388888888889</v>
      </c>
      <c r="AI5486" s="17" t="s">
        <v>1773</v>
      </c>
    </row>
    <row r="5487" spans="1:35" x14ac:dyDescent="0.25">
      <c r="A5487" s="36">
        <v>99915485</v>
      </c>
      <c r="B5487" s="17" t="s">
        <v>32</v>
      </c>
      <c r="C5487" t="s">
        <v>46</v>
      </c>
      <c r="D5487" t="s">
        <v>47</v>
      </c>
      <c r="G5487" s="17" t="s">
        <v>48</v>
      </c>
      <c r="H5487" s="17">
        <v>1</v>
      </c>
      <c r="K5487" t="s">
        <v>300</v>
      </c>
      <c r="L5487" t="s">
        <v>301</v>
      </c>
      <c r="M5487" t="s">
        <v>131</v>
      </c>
      <c r="N5487">
        <v>20</v>
      </c>
      <c r="O5487" t="s">
        <v>40</v>
      </c>
      <c r="P5487" t="s">
        <v>40</v>
      </c>
      <c r="Q5487" t="s">
        <v>40</v>
      </c>
      <c r="S5487" t="s">
        <v>40</v>
      </c>
      <c r="V5487" t="s">
        <v>41</v>
      </c>
      <c r="W5487" t="s">
        <v>49</v>
      </c>
      <c r="X5487" t="str">
        <f>"0560001"</f>
        <v>0560001</v>
      </c>
      <c r="Y5487" t="s">
        <v>304</v>
      </c>
      <c r="Z5487" t="s">
        <v>300</v>
      </c>
      <c r="AA5487" t="s">
        <v>301</v>
      </c>
      <c r="AB5487" t="s">
        <v>131</v>
      </c>
      <c r="AC5487" t="s">
        <v>51</v>
      </c>
      <c r="AD5487" t="s">
        <v>45</v>
      </c>
      <c r="AF5487">
        <v>2</v>
      </c>
      <c r="AG5487" t="s">
        <v>301</v>
      </c>
      <c r="AH5487" s="36">
        <f t="shared" si="86"/>
        <v>120.71388888888889</v>
      </c>
      <c r="AI5487" s="17" t="s">
        <v>1773</v>
      </c>
    </row>
    <row r="5488" spans="1:35" x14ac:dyDescent="0.25">
      <c r="A5488" s="36">
        <v>99915486</v>
      </c>
      <c r="B5488" s="17" t="s">
        <v>32</v>
      </c>
      <c r="C5488" t="s">
        <v>46</v>
      </c>
      <c r="D5488" t="s">
        <v>47</v>
      </c>
      <c r="G5488" s="17" t="s">
        <v>48</v>
      </c>
      <c r="H5488" s="17">
        <v>1</v>
      </c>
      <c r="K5488" t="s">
        <v>300</v>
      </c>
      <c r="L5488" t="s">
        <v>301</v>
      </c>
      <c r="M5488" t="s">
        <v>131</v>
      </c>
      <c r="N5488">
        <v>20</v>
      </c>
      <c r="O5488" t="s">
        <v>40</v>
      </c>
      <c r="P5488" t="s">
        <v>40</v>
      </c>
      <c r="Q5488" t="s">
        <v>40</v>
      </c>
      <c r="S5488" t="s">
        <v>40</v>
      </c>
      <c r="V5488" t="s">
        <v>41</v>
      </c>
      <c r="W5488" t="s">
        <v>49</v>
      </c>
      <c r="X5488" t="str">
        <f>"0560001"</f>
        <v>0560001</v>
      </c>
      <c r="Y5488" t="s">
        <v>304</v>
      </c>
      <c r="Z5488" t="s">
        <v>300</v>
      </c>
      <c r="AA5488" t="s">
        <v>301</v>
      </c>
      <c r="AB5488" t="s">
        <v>131</v>
      </c>
      <c r="AC5488" t="s">
        <v>51</v>
      </c>
      <c r="AD5488" t="s">
        <v>45</v>
      </c>
      <c r="AF5488">
        <v>2</v>
      </c>
      <c r="AG5488" t="s">
        <v>301</v>
      </c>
      <c r="AH5488" s="36">
        <f t="shared" si="86"/>
        <v>120.71388888888889</v>
      </c>
      <c r="AI5488" s="17" t="s">
        <v>1773</v>
      </c>
    </row>
    <row r="5489" spans="1:35" x14ac:dyDescent="0.25">
      <c r="A5489" s="36">
        <v>99915487</v>
      </c>
      <c r="B5489" s="17" t="s">
        <v>56</v>
      </c>
      <c r="C5489" t="s">
        <v>58</v>
      </c>
      <c r="D5489" t="s">
        <v>59</v>
      </c>
      <c r="G5489" s="17" t="s">
        <v>48</v>
      </c>
      <c r="H5489" s="17">
        <v>1</v>
      </c>
      <c r="K5489" t="s">
        <v>300</v>
      </c>
      <c r="L5489" t="s">
        <v>301</v>
      </c>
      <c r="M5489" t="s">
        <v>131</v>
      </c>
      <c r="N5489">
        <v>20</v>
      </c>
      <c r="O5489" t="s">
        <v>40</v>
      </c>
      <c r="P5489" t="s">
        <v>40</v>
      </c>
      <c r="Q5489" t="s">
        <v>40</v>
      </c>
      <c r="S5489" t="s">
        <v>40</v>
      </c>
      <c r="V5489" t="s">
        <v>41</v>
      </c>
      <c r="W5489" t="s">
        <v>42</v>
      </c>
      <c r="X5489" t="str">
        <f>"0580176"</f>
        <v>0580176</v>
      </c>
      <c r="Y5489" t="s">
        <v>305</v>
      </c>
      <c r="Z5489" t="s">
        <v>300</v>
      </c>
      <c r="AA5489" t="s">
        <v>301</v>
      </c>
      <c r="AB5489" t="s">
        <v>131</v>
      </c>
      <c r="AC5489" t="s">
        <v>51</v>
      </c>
      <c r="AD5489" t="s">
        <v>45</v>
      </c>
      <c r="AF5489">
        <v>2</v>
      </c>
      <c r="AG5489" t="s">
        <v>301</v>
      </c>
      <c r="AH5489" s="36">
        <f t="shared" si="86"/>
        <v>120.71388888888889</v>
      </c>
      <c r="AI5489" s="17" t="s">
        <v>1773</v>
      </c>
    </row>
    <row r="5490" spans="1:35" x14ac:dyDescent="0.25">
      <c r="A5490" s="36">
        <v>99915488</v>
      </c>
      <c r="B5490" s="17" t="s">
        <v>32</v>
      </c>
      <c r="C5490" t="s">
        <v>52</v>
      </c>
      <c r="D5490" t="s">
        <v>53</v>
      </c>
      <c r="G5490" s="17" t="s">
        <v>48</v>
      </c>
      <c r="H5490" s="17">
        <v>1</v>
      </c>
      <c r="K5490" t="s">
        <v>300</v>
      </c>
      <c r="L5490" t="s">
        <v>301</v>
      </c>
      <c r="M5490" t="s">
        <v>131</v>
      </c>
      <c r="N5490">
        <v>23</v>
      </c>
      <c r="O5490" t="s">
        <v>40</v>
      </c>
      <c r="P5490" t="s">
        <v>40</v>
      </c>
      <c r="Q5490" t="s">
        <v>40</v>
      </c>
      <c r="S5490" t="s">
        <v>40</v>
      </c>
      <c r="V5490" t="s">
        <v>41</v>
      </c>
      <c r="W5490" t="s">
        <v>49</v>
      </c>
      <c r="X5490" t="str">
        <f>"0560001"</f>
        <v>0560001</v>
      </c>
      <c r="Y5490" t="s">
        <v>304</v>
      </c>
      <c r="Z5490" t="s">
        <v>300</v>
      </c>
      <c r="AA5490" t="s">
        <v>301</v>
      </c>
      <c r="AB5490" t="s">
        <v>131</v>
      </c>
      <c r="AC5490" t="s">
        <v>51</v>
      </c>
      <c r="AD5490" t="s">
        <v>45</v>
      </c>
      <c r="AF5490">
        <v>2</v>
      </c>
      <c r="AG5490" t="s">
        <v>301</v>
      </c>
      <c r="AH5490" s="36">
        <f t="shared" si="86"/>
        <v>120.71388888888889</v>
      </c>
      <c r="AI5490" s="17" t="s">
        <v>1773</v>
      </c>
    </row>
    <row r="5491" spans="1:35" x14ac:dyDescent="0.25">
      <c r="A5491" s="36">
        <v>99915489</v>
      </c>
      <c r="B5491" s="17" t="s">
        <v>32</v>
      </c>
      <c r="C5491" t="s">
        <v>139</v>
      </c>
      <c r="D5491" t="s">
        <v>140</v>
      </c>
      <c r="G5491" s="17" t="s">
        <v>35</v>
      </c>
      <c r="H5491" s="17">
        <v>1</v>
      </c>
      <c r="I5491" t="s">
        <v>318</v>
      </c>
      <c r="J5491" s="1">
        <v>43344</v>
      </c>
      <c r="K5491" t="s">
        <v>300</v>
      </c>
      <c r="L5491" t="s">
        <v>301</v>
      </c>
      <c r="M5491" t="s">
        <v>131</v>
      </c>
      <c r="N5491">
        <v>9</v>
      </c>
      <c r="O5491" t="s">
        <v>40</v>
      </c>
      <c r="P5491" t="s">
        <v>40</v>
      </c>
      <c r="Q5491" t="s">
        <v>40</v>
      </c>
      <c r="S5491" t="s">
        <v>40</v>
      </c>
      <c r="U5491" s="1">
        <v>43344</v>
      </c>
      <c r="V5491" t="s">
        <v>41</v>
      </c>
      <c r="W5491" t="s">
        <v>49</v>
      </c>
      <c r="X5491" t="str">
        <f>"0560001"</f>
        <v>0560001</v>
      </c>
      <c r="Y5491" t="s">
        <v>304</v>
      </c>
      <c r="Z5491" t="s">
        <v>300</v>
      </c>
      <c r="AA5491" t="s">
        <v>301</v>
      </c>
      <c r="AB5491" t="s">
        <v>131</v>
      </c>
      <c r="AC5491" t="s">
        <v>51</v>
      </c>
      <c r="AD5491" t="s">
        <v>45</v>
      </c>
      <c r="AF5491">
        <v>2</v>
      </c>
      <c r="AG5491" t="s">
        <v>301</v>
      </c>
      <c r="AH5491" s="36">
        <f t="shared" si="86"/>
        <v>120.71388888888889</v>
      </c>
      <c r="AI5491" s="17" t="s">
        <v>1773</v>
      </c>
    </row>
    <row r="5492" spans="1:35" x14ac:dyDescent="0.25">
      <c r="A5492" s="36">
        <v>99915490</v>
      </c>
      <c r="B5492" s="17" t="s">
        <v>32</v>
      </c>
      <c r="C5492" t="s">
        <v>46</v>
      </c>
      <c r="D5492" t="s">
        <v>47</v>
      </c>
      <c r="G5492" s="17" t="s">
        <v>48</v>
      </c>
      <c r="H5492" s="17">
        <v>1</v>
      </c>
      <c r="K5492" t="s">
        <v>300</v>
      </c>
      <c r="L5492" t="s">
        <v>301</v>
      </c>
      <c r="M5492" t="s">
        <v>131</v>
      </c>
      <c r="N5492">
        <v>20</v>
      </c>
      <c r="O5492" t="s">
        <v>40</v>
      </c>
      <c r="P5492" t="s">
        <v>40</v>
      </c>
      <c r="Q5492" t="s">
        <v>40</v>
      </c>
      <c r="S5492" t="s">
        <v>40</v>
      </c>
      <c r="V5492" t="s">
        <v>41</v>
      </c>
      <c r="W5492" t="s">
        <v>49</v>
      </c>
      <c r="X5492" t="str">
        <f>"0560001"</f>
        <v>0560001</v>
      </c>
      <c r="Y5492" t="s">
        <v>304</v>
      </c>
      <c r="Z5492" t="s">
        <v>300</v>
      </c>
      <c r="AA5492" t="s">
        <v>301</v>
      </c>
      <c r="AB5492" t="s">
        <v>131</v>
      </c>
      <c r="AC5492" t="s">
        <v>51</v>
      </c>
      <c r="AD5492" t="s">
        <v>45</v>
      </c>
      <c r="AF5492">
        <v>2</v>
      </c>
      <c r="AG5492" t="s">
        <v>301</v>
      </c>
      <c r="AH5492" s="36">
        <f t="shared" si="86"/>
        <v>120.71388888888889</v>
      </c>
      <c r="AI5492" s="17" t="s">
        <v>1773</v>
      </c>
    </row>
    <row r="5493" spans="1:35" x14ac:dyDescent="0.25">
      <c r="A5493" s="36">
        <v>99915491</v>
      </c>
      <c r="B5493" s="17" t="s">
        <v>32</v>
      </c>
      <c r="C5493" t="s">
        <v>64</v>
      </c>
      <c r="D5493" t="s">
        <v>65</v>
      </c>
      <c r="G5493" s="17" t="s">
        <v>48</v>
      </c>
      <c r="H5493" s="17">
        <v>1</v>
      </c>
      <c r="K5493" t="s">
        <v>300</v>
      </c>
      <c r="L5493" t="s">
        <v>301</v>
      </c>
      <c r="M5493" t="s">
        <v>131</v>
      </c>
      <c r="N5493">
        <v>21</v>
      </c>
      <c r="O5493" t="s">
        <v>40</v>
      </c>
      <c r="P5493" t="s">
        <v>40</v>
      </c>
      <c r="Q5493" t="s">
        <v>40</v>
      </c>
      <c r="S5493" t="s">
        <v>40</v>
      </c>
      <c r="V5493" t="s">
        <v>41</v>
      </c>
      <c r="W5493" t="s">
        <v>49</v>
      </c>
      <c r="X5493" t="str">
        <f>"0560001"</f>
        <v>0560001</v>
      </c>
      <c r="Y5493" t="s">
        <v>304</v>
      </c>
      <c r="Z5493" t="s">
        <v>300</v>
      </c>
      <c r="AA5493" t="s">
        <v>301</v>
      </c>
      <c r="AB5493" t="s">
        <v>131</v>
      </c>
      <c r="AC5493" t="s">
        <v>51</v>
      </c>
      <c r="AD5493" t="s">
        <v>45</v>
      </c>
      <c r="AF5493">
        <v>2</v>
      </c>
      <c r="AG5493" t="s">
        <v>301</v>
      </c>
      <c r="AH5493" s="36">
        <f t="shared" si="86"/>
        <v>120.71388888888889</v>
      </c>
      <c r="AI5493" s="17" t="s">
        <v>1773</v>
      </c>
    </row>
    <row r="5494" spans="1:35" x14ac:dyDescent="0.25">
      <c r="A5494" s="36">
        <v>99915492</v>
      </c>
      <c r="B5494" s="17" t="s">
        <v>56</v>
      </c>
      <c r="C5494" t="s">
        <v>33</v>
      </c>
      <c r="D5494" t="s">
        <v>34</v>
      </c>
      <c r="G5494" s="17" t="s">
        <v>35</v>
      </c>
      <c r="H5494" s="17">
        <v>1</v>
      </c>
      <c r="I5494" t="s">
        <v>321</v>
      </c>
      <c r="J5494" s="1">
        <v>43344</v>
      </c>
      <c r="K5494" t="s">
        <v>300</v>
      </c>
      <c r="L5494" t="s">
        <v>301</v>
      </c>
      <c r="M5494" t="s">
        <v>131</v>
      </c>
      <c r="N5494">
        <v>19</v>
      </c>
      <c r="O5494" t="s">
        <v>40</v>
      </c>
      <c r="P5494" t="s">
        <v>40</v>
      </c>
      <c r="Q5494" t="s">
        <v>40</v>
      </c>
      <c r="S5494" t="s">
        <v>40</v>
      </c>
      <c r="U5494" s="1">
        <v>43344</v>
      </c>
      <c r="V5494" t="s">
        <v>41</v>
      </c>
      <c r="W5494" t="s">
        <v>42</v>
      </c>
      <c r="X5494" t="str">
        <f>"0580176"</f>
        <v>0580176</v>
      </c>
      <c r="Y5494" t="s">
        <v>305</v>
      </c>
      <c r="Z5494" t="s">
        <v>300</v>
      </c>
      <c r="AA5494" t="s">
        <v>301</v>
      </c>
      <c r="AB5494" t="s">
        <v>131</v>
      </c>
      <c r="AC5494" t="s">
        <v>44</v>
      </c>
      <c r="AD5494" t="s">
        <v>45</v>
      </c>
      <c r="AF5494">
        <v>2</v>
      </c>
      <c r="AG5494" t="s">
        <v>301</v>
      </c>
      <c r="AH5494" s="36">
        <f t="shared" si="86"/>
        <v>120.71388888888889</v>
      </c>
      <c r="AI5494" s="17" t="s">
        <v>1773</v>
      </c>
    </row>
    <row r="5495" spans="1:35" x14ac:dyDescent="0.25">
      <c r="A5495" s="36">
        <v>99915493</v>
      </c>
      <c r="B5495" s="17" t="s">
        <v>56</v>
      </c>
      <c r="C5495" t="s">
        <v>145</v>
      </c>
      <c r="D5495" t="s">
        <v>146</v>
      </c>
      <c r="G5495" s="17" t="s">
        <v>48</v>
      </c>
      <c r="H5495" s="17">
        <v>1</v>
      </c>
      <c r="K5495" t="s">
        <v>300</v>
      </c>
      <c r="L5495" t="s">
        <v>301</v>
      </c>
      <c r="M5495" t="s">
        <v>131</v>
      </c>
      <c r="N5495">
        <v>20</v>
      </c>
      <c r="O5495" t="s">
        <v>40</v>
      </c>
      <c r="P5495" t="s">
        <v>40</v>
      </c>
      <c r="Q5495" t="s">
        <v>40</v>
      </c>
      <c r="S5495" t="s">
        <v>40</v>
      </c>
      <c r="V5495" t="s">
        <v>41</v>
      </c>
      <c r="W5495" t="s">
        <v>42</v>
      </c>
      <c r="X5495" t="str">
        <f>"0580176"</f>
        <v>0580176</v>
      </c>
      <c r="Y5495" t="s">
        <v>305</v>
      </c>
      <c r="Z5495" t="s">
        <v>300</v>
      </c>
      <c r="AA5495" t="s">
        <v>301</v>
      </c>
      <c r="AB5495" t="s">
        <v>131</v>
      </c>
      <c r="AC5495" t="s">
        <v>51</v>
      </c>
      <c r="AD5495" t="s">
        <v>45</v>
      </c>
      <c r="AF5495">
        <v>2</v>
      </c>
      <c r="AG5495" t="s">
        <v>301</v>
      </c>
      <c r="AH5495" s="36">
        <f t="shared" si="86"/>
        <v>120.71388888888889</v>
      </c>
      <c r="AI5495" s="17" t="s">
        <v>1773</v>
      </c>
    </row>
    <row r="5496" spans="1:35" x14ac:dyDescent="0.25">
      <c r="A5496" s="36">
        <v>99915494</v>
      </c>
      <c r="B5496" s="17" t="s">
        <v>32</v>
      </c>
      <c r="C5496" t="s">
        <v>46</v>
      </c>
      <c r="D5496" t="s">
        <v>47</v>
      </c>
      <c r="G5496" s="17" t="s">
        <v>35</v>
      </c>
      <c r="H5496" s="17">
        <v>1</v>
      </c>
      <c r="I5496" t="s">
        <v>322</v>
      </c>
      <c r="J5496" s="1">
        <v>43344</v>
      </c>
      <c r="K5496" t="s">
        <v>300</v>
      </c>
      <c r="L5496" t="s">
        <v>301</v>
      </c>
      <c r="M5496" t="s">
        <v>131</v>
      </c>
      <c r="N5496">
        <v>23</v>
      </c>
      <c r="O5496" t="s">
        <v>40</v>
      </c>
      <c r="P5496" t="s">
        <v>40</v>
      </c>
      <c r="Q5496" t="s">
        <v>40</v>
      </c>
      <c r="S5496" t="s">
        <v>40</v>
      </c>
      <c r="U5496" s="1">
        <v>43344</v>
      </c>
      <c r="V5496" t="s">
        <v>41</v>
      </c>
      <c r="W5496" t="s">
        <v>49</v>
      </c>
      <c r="X5496" t="str">
        <f>"0560001"</f>
        <v>0560001</v>
      </c>
      <c r="Y5496" t="s">
        <v>304</v>
      </c>
      <c r="Z5496" t="s">
        <v>300</v>
      </c>
      <c r="AA5496" t="s">
        <v>301</v>
      </c>
      <c r="AB5496" t="s">
        <v>131</v>
      </c>
      <c r="AC5496" t="s">
        <v>44</v>
      </c>
      <c r="AD5496" t="s">
        <v>45</v>
      </c>
      <c r="AF5496">
        <v>2</v>
      </c>
      <c r="AG5496" t="s">
        <v>301</v>
      </c>
      <c r="AH5496" s="36">
        <f t="shared" si="86"/>
        <v>120.71388888888889</v>
      </c>
      <c r="AI5496" s="17" t="s">
        <v>1773</v>
      </c>
    </row>
    <row r="5497" spans="1:35" x14ac:dyDescent="0.25">
      <c r="A5497" s="36">
        <v>99915495</v>
      </c>
      <c r="B5497" s="17" t="s">
        <v>32</v>
      </c>
      <c r="C5497" t="s">
        <v>139</v>
      </c>
      <c r="D5497" t="s">
        <v>140</v>
      </c>
      <c r="G5497" s="17" t="s">
        <v>35</v>
      </c>
      <c r="H5497" s="17">
        <v>1</v>
      </c>
      <c r="I5497" t="s">
        <v>325</v>
      </c>
      <c r="J5497" s="1">
        <v>43344</v>
      </c>
      <c r="K5497" t="s">
        <v>300</v>
      </c>
      <c r="L5497" t="s">
        <v>301</v>
      </c>
      <c r="M5497" t="s">
        <v>131</v>
      </c>
      <c r="N5497">
        <v>14</v>
      </c>
      <c r="O5497" t="s">
        <v>40</v>
      </c>
      <c r="Q5497" t="s">
        <v>40</v>
      </c>
      <c r="S5497" t="s">
        <v>40</v>
      </c>
      <c r="U5497" s="1">
        <v>43344</v>
      </c>
      <c r="V5497" t="s">
        <v>41</v>
      </c>
      <c r="W5497" t="s">
        <v>49</v>
      </c>
      <c r="X5497" t="str">
        <f>"0560022"</f>
        <v>0560022</v>
      </c>
      <c r="Y5497" t="s">
        <v>314</v>
      </c>
      <c r="Z5497" t="s">
        <v>300</v>
      </c>
      <c r="AA5497" t="s">
        <v>301</v>
      </c>
      <c r="AB5497" t="s">
        <v>131</v>
      </c>
      <c r="AC5497" t="s">
        <v>51</v>
      </c>
      <c r="AD5497" t="s">
        <v>45</v>
      </c>
      <c r="AF5497">
        <v>2</v>
      </c>
      <c r="AG5497" t="s">
        <v>301</v>
      </c>
      <c r="AH5497" s="36">
        <f t="shared" si="86"/>
        <v>120.71388888888889</v>
      </c>
      <c r="AI5497" s="17" t="s">
        <v>1773</v>
      </c>
    </row>
    <row r="5498" spans="1:35" x14ac:dyDescent="0.25">
      <c r="A5498" s="36">
        <v>99915496</v>
      </c>
      <c r="B5498" s="17" t="s">
        <v>56</v>
      </c>
      <c r="C5498" t="s">
        <v>46</v>
      </c>
      <c r="D5498" t="s">
        <v>47</v>
      </c>
      <c r="G5498" s="17" t="s">
        <v>48</v>
      </c>
      <c r="H5498" s="17">
        <v>1</v>
      </c>
      <c r="K5498" t="s">
        <v>300</v>
      </c>
      <c r="L5498" t="s">
        <v>301</v>
      </c>
      <c r="M5498" t="s">
        <v>131</v>
      </c>
      <c r="N5498">
        <v>20</v>
      </c>
      <c r="O5498" t="s">
        <v>40</v>
      </c>
      <c r="P5498" t="s">
        <v>40</v>
      </c>
      <c r="Q5498" t="s">
        <v>40</v>
      </c>
      <c r="S5498" t="s">
        <v>40</v>
      </c>
      <c r="V5498" t="s">
        <v>41</v>
      </c>
      <c r="W5498" t="s">
        <v>42</v>
      </c>
      <c r="X5498" t="str">
        <f>"0580176"</f>
        <v>0580176</v>
      </c>
      <c r="Y5498" t="s">
        <v>305</v>
      </c>
      <c r="Z5498" t="s">
        <v>300</v>
      </c>
      <c r="AA5498" t="s">
        <v>301</v>
      </c>
      <c r="AB5498" t="s">
        <v>131</v>
      </c>
      <c r="AC5498" t="s">
        <v>51</v>
      </c>
      <c r="AD5498" t="s">
        <v>45</v>
      </c>
      <c r="AF5498">
        <v>2</v>
      </c>
      <c r="AG5498" t="s">
        <v>301</v>
      </c>
      <c r="AH5498" s="36">
        <f t="shared" si="86"/>
        <v>120.71388888888889</v>
      </c>
      <c r="AI5498" s="17" t="s">
        <v>1773</v>
      </c>
    </row>
    <row r="5499" spans="1:35" x14ac:dyDescent="0.25">
      <c r="A5499" s="36">
        <v>99915497</v>
      </c>
      <c r="B5499" s="17" t="s">
        <v>32</v>
      </c>
      <c r="C5499" t="s">
        <v>46</v>
      </c>
      <c r="D5499" t="s">
        <v>47</v>
      </c>
      <c r="G5499" s="17" t="s">
        <v>35</v>
      </c>
      <c r="H5499" s="17">
        <v>1</v>
      </c>
      <c r="K5499" t="s">
        <v>300</v>
      </c>
      <c r="L5499" t="s">
        <v>301</v>
      </c>
      <c r="M5499" t="s">
        <v>131</v>
      </c>
      <c r="N5499">
        <v>16</v>
      </c>
      <c r="O5499" t="s">
        <v>40</v>
      </c>
      <c r="P5499" t="s">
        <v>40</v>
      </c>
      <c r="Q5499" t="s">
        <v>40</v>
      </c>
      <c r="S5499" t="s">
        <v>40</v>
      </c>
      <c r="V5499" t="s">
        <v>41</v>
      </c>
      <c r="W5499" t="s">
        <v>49</v>
      </c>
      <c r="X5499" t="str">
        <f>"0560022"</f>
        <v>0560022</v>
      </c>
      <c r="Y5499" t="s">
        <v>314</v>
      </c>
      <c r="Z5499" t="s">
        <v>300</v>
      </c>
      <c r="AA5499" t="s">
        <v>301</v>
      </c>
      <c r="AB5499" t="s">
        <v>131</v>
      </c>
      <c r="AC5499" t="s">
        <v>51</v>
      </c>
      <c r="AD5499" t="s">
        <v>45</v>
      </c>
      <c r="AF5499">
        <v>2</v>
      </c>
      <c r="AG5499" t="s">
        <v>301</v>
      </c>
      <c r="AH5499" s="36">
        <f t="shared" si="86"/>
        <v>120.71388888888889</v>
      </c>
      <c r="AI5499" s="17" t="s">
        <v>1773</v>
      </c>
    </row>
    <row r="5500" spans="1:35" x14ac:dyDescent="0.25">
      <c r="A5500" s="36">
        <v>99915498</v>
      </c>
      <c r="B5500" s="17" t="s">
        <v>32</v>
      </c>
      <c r="C5500" t="s">
        <v>141</v>
      </c>
      <c r="D5500" t="s">
        <v>142</v>
      </c>
      <c r="G5500" s="17" t="s">
        <v>48</v>
      </c>
      <c r="H5500" s="17">
        <v>1</v>
      </c>
      <c r="K5500" t="s">
        <v>300</v>
      </c>
      <c r="L5500" t="s">
        <v>301</v>
      </c>
      <c r="M5500" t="s">
        <v>131</v>
      </c>
      <c r="N5500">
        <v>9</v>
      </c>
      <c r="O5500" t="s">
        <v>40</v>
      </c>
      <c r="P5500" t="s">
        <v>40</v>
      </c>
      <c r="Q5500" t="s">
        <v>40</v>
      </c>
      <c r="S5500" t="s">
        <v>40</v>
      </c>
      <c r="V5500" t="s">
        <v>41</v>
      </c>
      <c r="W5500" t="s">
        <v>49</v>
      </c>
      <c r="X5500" t="str">
        <f>"0560001"</f>
        <v>0560001</v>
      </c>
      <c r="Y5500" t="s">
        <v>304</v>
      </c>
      <c r="Z5500" t="s">
        <v>300</v>
      </c>
      <c r="AA5500" t="s">
        <v>301</v>
      </c>
      <c r="AB5500" t="s">
        <v>131</v>
      </c>
      <c r="AC5500" t="s">
        <v>51</v>
      </c>
      <c r="AD5500" t="s">
        <v>45</v>
      </c>
      <c r="AF5500">
        <v>2</v>
      </c>
      <c r="AG5500" t="s">
        <v>301</v>
      </c>
      <c r="AH5500" s="36">
        <f t="shared" si="86"/>
        <v>120.71388888888889</v>
      </c>
      <c r="AI5500" s="17" t="s">
        <v>1773</v>
      </c>
    </row>
    <row r="5501" spans="1:35" x14ac:dyDescent="0.25">
      <c r="A5501" s="36">
        <v>99915499</v>
      </c>
      <c r="B5501" s="17" t="s">
        <v>56</v>
      </c>
      <c r="C5501" t="s">
        <v>68</v>
      </c>
      <c r="D5501" t="s">
        <v>69</v>
      </c>
      <c r="G5501" s="17" t="s">
        <v>35</v>
      </c>
      <c r="H5501" s="17">
        <v>1</v>
      </c>
      <c r="I5501" t="s">
        <v>332</v>
      </c>
      <c r="J5501" s="1">
        <v>43344</v>
      </c>
      <c r="K5501" t="s">
        <v>300</v>
      </c>
      <c r="L5501" t="s">
        <v>301</v>
      </c>
      <c r="M5501" t="s">
        <v>131</v>
      </c>
      <c r="N5501">
        <v>23</v>
      </c>
      <c r="O5501" t="s">
        <v>40</v>
      </c>
      <c r="P5501" t="s">
        <v>40</v>
      </c>
      <c r="Q5501" t="s">
        <v>40</v>
      </c>
      <c r="S5501" t="s">
        <v>40</v>
      </c>
      <c r="U5501" s="1">
        <v>43344</v>
      </c>
      <c r="V5501" t="s">
        <v>41</v>
      </c>
      <c r="W5501" t="s">
        <v>49</v>
      </c>
      <c r="X5501" t="str">
        <f>"0560001"</f>
        <v>0560001</v>
      </c>
      <c r="Y5501" t="s">
        <v>304</v>
      </c>
      <c r="Z5501" t="s">
        <v>300</v>
      </c>
      <c r="AA5501" t="s">
        <v>301</v>
      </c>
      <c r="AB5501" t="s">
        <v>131</v>
      </c>
      <c r="AC5501" t="s">
        <v>44</v>
      </c>
      <c r="AD5501" t="s">
        <v>45</v>
      </c>
      <c r="AF5501">
        <v>2</v>
      </c>
      <c r="AG5501" t="s">
        <v>301</v>
      </c>
      <c r="AH5501" s="36">
        <f t="shared" si="86"/>
        <v>120.71388888888889</v>
      </c>
      <c r="AI5501" s="17" t="s">
        <v>1773</v>
      </c>
    </row>
    <row r="5502" spans="1:35" x14ac:dyDescent="0.25">
      <c r="A5502" s="36">
        <v>99915500</v>
      </c>
      <c r="B5502" s="17" t="s">
        <v>32</v>
      </c>
      <c r="C5502" t="s">
        <v>46</v>
      </c>
      <c r="D5502" t="s">
        <v>47</v>
      </c>
      <c r="G5502" s="17" t="s">
        <v>35</v>
      </c>
      <c r="H5502" s="17">
        <v>1</v>
      </c>
      <c r="K5502" t="s">
        <v>300</v>
      </c>
      <c r="L5502" t="s">
        <v>301</v>
      </c>
      <c r="M5502" t="s">
        <v>131</v>
      </c>
      <c r="N5502">
        <v>7</v>
      </c>
      <c r="O5502" t="s">
        <v>40</v>
      </c>
      <c r="P5502" t="s">
        <v>40</v>
      </c>
      <c r="Q5502" t="s">
        <v>40</v>
      </c>
      <c r="S5502" t="s">
        <v>40</v>
      </c>
      <c r="V5502" t="s">
        <v>41</v>
      </c>
      <c r="W5502" t="s">
        <v>42</v>
      </c>
      <c r="X5502" t="str">
        <f>"0580457"</f>
        <v>0580457</v>
      </c>
      <c r="Y5502" t="s">
        <v>310</v>
      </c>
      <c r="Z5502" t="s">
        <v>300</v>
      </c>
      <c r="AA5502" t="s">
        <v>301</v>
      </c>
      <c r="AB5502" t="s">
        <v>131</v>
      </c>
      <c r="AC5502" t="s">
        <v>51</v>
      </c>
      <c r="AD5502" t="s">
        <v>45</v>
      </c>
      <c r="AF5502">
        <v>2</v>
      </c>
      <c r="AG5502" t="s">
        <v>301</v>
      </c>
      <c r="AH5502" s="36">
        <f t="shared" si="86"/>
        <v>120.71388888888889</v>
      </c>
      <c r="AI5502" s="17" t="s">
        <v>1773</v>
      </c>
    </row>
    <row r="5503" spans="1:35" x14ac:dyDescent="0.25">
      <c r="A5503" s="36">
        <v>99915501</v>
      </c>
      <c r="B5503" s="17" t="s">
        <v>32</v>
      </c>
      <c r="C5503" t="s">
        <v>139</v>
      </c>
      <c r="D5503" t="s">
        <v>140</v>
      </c>
      <c r="G5503" s="17" t="s">
        <v>48</v>
      </c>
      <c r="H5503" s="17">
        <v>1</v>
      </c>
      <c r="K5503" t="s">
        <v>300</v>
      </c>
      <c r="L5503" t="s">
        <v>301</v>
      </c>
      <c r="M5503" t="s">
        <v>131</v>
      </c>
      <c r="N5503">
        <v>4</v>
      </c>
      <c r="O5503" t="s">
        <v>40</v>
      </c>
      <c r="P5503" t="s">
        <v>40</v>
      </c>
      <c r="Q5503" t="s">
        <v>40</v>
      </c>
      <c r="S5503" t="s">
        <v>40</v>
      </c>
      <c r="V5503" t="s">
        <v>41</v>
      </c>
      <c r="W5503" t="s">
        <v>42</v>
      </c>
      <c r="X5503" t="str">
        <f>"0580457"</f>
        <v>0580457</v>
      </c>
      <c r="Y5503" t="s">
        <v>310</v>
      </c>
      <c r="Z5503" t="s">
        <v>300</v>
      </c>
      <c r="AA5503" t="s">
        <v>301</v>
      </c>
      <c r="AB5503" t="s">
        <v>131</v>
      </c>
      <c r="AC5503" t="s">
        <v>51</v>
      </c>
      <c r="AD5503" t="s">
        <v>45</v>
      </c>
      <c r="AF5503">
        <v>2</v>
      </c>
      <c r="AG5503" t="s">
        <v>301</v>
      </c>
      <c r="AH5503" s="36">
        <f t="shared" si="86"/>
        <v>120.71388888888889</v>
      </c>
      <c r="AI5503" s="17" t="s">
        <v>1773</v>
      </c>
    </row>
    <row r="5504" spans="1:35" x14ac:dyDescent="0.25">
      <c r="A5504" s="36">
        <v>99915502</v>
      </c>
      <c r="B5504" s="17" t="s">
        <v>32</v>
      </c>
      <c r="C5504" t="s">
        <v>71</v>
      </c>
      <c r="D5504" t="s">
        <v>72</v>
      </c>
      <c r="G5504" s="17" t="s">
        <v>48</v>
      </c>
      <c r="H5504" s="17">
        <v>1</v>
      </c>
      <c r="K5504" t="s">
        <v>300</v>
      </c>
      <c r="L5504" t="s">
        <v>301</v>
      </c>
      <c r="M5504" t="s">
        <v>131</v>
      </c>
      <c r="N5504">
        <v>9</v>
      </c>
      <c r="O5504" t="s">
        <v>40</v>
      </c>
      <c r="P5504" t="s">
        <v>40</v>
      </c>
      <c r="Q5504" t="s">
        <v>40</v>
      </c>
      <c r="S5504" t="s">
        <v>40</v>
      </c>
      <c r="V5504" t="s">
        <v>41</v>
      </c>
      <c r="W5504" t="s">
        <v>49</v>
      </c>
      <c r="X5504" t="str">
        <f>"0560001"</f>
        <v>0560001</v>
      </c>
      <c r="Y5504" t="s">
        <v>304</v>
      </c>
      <c r="Z5504" t="s">
        <v>300</v>
      </c>
      <c r="AA5504" t="s">
        <v>301</v>
      </c>
      <c r="AB5504" t="s">
        <v>131</v>
      </c>
      <c r="AC5504" t="s">
        <v>51</v>
      </c>
      <c r="AD5504" t="s">
        <v>45</v>
      </c>
      <c r="AF5504">
        <v>2</v>
      </c>
      <c r="AG5504" t="s">
        <v>301</v>
      </c>
      <c r="AH5504" s="36">
        <f t="shared" si="86"/>
        <v>120.71388888888889</v>
      </c>
      <c r="AI5504" s="17" t="s">
        <v>1773</v>
      </c>
    </row>
    <row r="5505" spans="1:35" x14ac:dyDescent="0.25">
      <c r="A5505" s="36">
        <v>99915503</v>
      </c>
      <c r="B5505" s="17" t="s">
        <v>32</v>
      </c>
      <c r="C5505" t="s">
        <v>71</v>
      </c>
      <c r="D5505" t="s">
        <v>72</v>
      </c>
      <c r="G5505" s="17" t="s">
        <v>48</v>
      </c>
      <c r="H5505" s="17">
        <v>1</v>
      </c>
      <c r="K5505" t="s">
        <v>300</v>
      </c>
      <c r="L5505" t="s">
        <v>301</v>
      </c>
      <c r="M5505" t="s">
        <v>131</v>
      </c>
      <c r="N5505">
        <v>11</v>
      </c>
      <c r="O5505" t="s">
        <v>40</v>
      </c>
      <c r="P5505" t="s">
        <v>40</v>
      </c>
      <c r="Q5505" t="s">
        <v>40</v>
      </c>
      <c r="S5505" t="s">
        <v>40</v>
      </c>
      <c r="V5505" t="s">
        <v>41</v>
      </c>
      <c r="W5505" t="s">
        <v>49</v>
      </c>
      <c r="X5505" t="str">
        <f>"0560001"</f>
        <v>0560001</v>
      </c>
      <c r="Y5505" t="s">
        <v>304</v>
      </c>
      <c r="Z5505" t="s">
        <v>300</v>
      </c>
      <c r="AA5505" t="s">
        <v>301</v>
      </c>
      <c r="AB5505" t="s">
        <v>131</v>
      </c>
      <c r="AC5505" t="s">
        <v>51</v>
      </c>
      <c r="AD5505" t="s">
        <v>45</v>
      </c>
      <c r="AF5505">
        <v>2</v>
      </c>
      <c r="AG5505" t="s">
        <v>301</v>
      </c>
      <c r="AH5505" s="36">
        <f t="shared" si="86"/>
        <v>120.71388888888889</v>
      </c>
      <c r="AI5505" s="17" t="s">
        <v>1773</v>
      </c>
    </row>
    <row r="5506" spans="1:35" x14ac:dyDescent="0.25">
      <c r="A5506" s="36">
        <v>99915504</v>
      </c>
      <c r="B5506" s="17" t="s">
        <v>56</v>
      </c>
      <c r="C5506" t="s">
        <v>33</v>
      </c>
      <c r="D5506" t="s">
        <v>34</v>
      </c>
      <c r="G5506" s="17" t="s">
        <v>35</v>
      </c>
      <c r="H5506" s="17">
        <v>1</v>
      </c>
      <c r="I5506" t="s">
        <v>335</v>
      </c>
      <c r="J5506" s="1">
        <v>43344</v>
      </c>
      <c r="K5506" t="s">
        <v>300</v>
      </c>
      <c r="L5506" t="s">
        <v>301</v>
      </c>
      <c r="M5506" t="s">
        <v>131</v>
      </c>
      <c r="N5506">
        <v>8</v>
      </c>
      <c r="O5506" t="s">
        <v>40</v>
      </c>
      <c r="P5506" t="s">
        <v>40</v>
      </c>
      <c r="Q5506" t="s">
        <v>40</v>
      </c>
      <c r="S5506" t="s">
        <v>40</v>
      </c>
      <c r="U5506" s="1">
        <v>43344</v>
      </c>
      <c r="V5506" t="s">
        <v>41</v>
      </c>
      <c r="W5506" t="s">
        <v>42</v>
      </c>
      <c r="X5506" t="str">
        <f>"0580176"</f>
        <v>0580176</v>
      </c>
      <c r="Y5506" t="s">
        <v>305</v>
      </c>
      <c r="Z5506" t="s">
        <v>300</v>
      </c>
      <c r="AA5506" t="s">
        <v>301</v>
      </c>
      <c r="AB5506" t="s">
        <v>131</v>
      </c>
      <c r="AC5506" t="s">
        <v>51</v>
      </c>
      <c r="AD5506" t="s">
        <v>45</v>
      </c>
      <c r="AF5506">
        <v>2</v>
      </c>
      <c r="AG5506" t="s">
        <v>301</v>
      </c>
      <c r="AH5506" s="36">
        <f t="shared" ref="AH5506:AH5569" si="87">($AJ$1-AE5506)/360</f>
        <v>120.71388888888889</v>
      </c>
      <c r="AI5506" s="17" t="s">
        <v>1773</v>
      </c>
    </row>
    <row r="5507" spans="1:35" x14ac:dyDescent="0.25">
      <c r="A5507" s="36">
        <v>99915505</v>
      </c>
      <c r="B5507" s="17" t="s">
        <v>56</v>
      </c>
      <c r="C5507" t="s">
        <v>52</v>
      </c>
      <c r="D5507" t="s">
        <v>53</v>
      </c>
      <c r="G5507" s="17" t="s">
        <v>48</v>
      </c>
      <c r="H5507" s="17">
        <v>1</v>
      </c>
      <c r="K5507" t="s">
        <v>300</v>
      </c>
      <c r="L5507" t="s">
        <v>301</v>
      </c>
      <c r="M5507" t="s">
        <v>131</v>
      </c>
      <c r="N5507">
        <v>8</v>
      </c>
      <c r="O5507" t="s">
        <v>40</v>
      </c>
      <c r="P5507" t="s">
        <v>40</v>
      </c>
      <c r="Q5507" t="s">
        <v>40</v>
      </c>
      <c r="S5507" t="s">
        <v>40</v>
      </c>
      <c r="V5507" t="s">
        <v>41</v>
      </c>
      <c r="W5507" t="s">
        <v>42</v>
      </c>
      <c r="X5507" t="str">
        <f>"0580176"</f>
        <v>0580176</v>
      </c>
      <c r="Y5507" t="s">
        <v>305</v>
      </c>
      <c r="Z5507" t="s">
        <v>300</v>
      </c>
      <c r="AA5507" t="s">
        <v>301</v>
      </c>
      <c r="AB5507" t="s">
        <v>131</v>
      </c>
      <c r="AC5507" t="s">
        <v>51</v>
      </c>
      <c r="AD5507" t="s">
        <v>45</v>
      </c>
      <c r="AF5507">
        <v>2</v>
      </c>
      <c r="AG5507" t="s">
        <v>301</v>
      </c>
      <c r="AH5507" s="36">
        <f t="shared" si="87"/>
        <v>120.71388888888889</v>
      </c>
      <c r="AI5507" s="17" t="s">
        <v>1773</v>
      </c>
    </row>
    <row r="5508" spans="1:35" x14ac:dyDescent="0.25">
      <c r="A5508" s="36">
        <v>99915506</v>
      </c>
      <c r="B5508" s="17" t="s">
        <v>56</v>
      </c>
      <c r="C5508" t="s">
        <v>79</v>
      </c>
      <c r="D5508" t="s">
        <v>80</v>
      </c>
      <c r="G5508" s="17" t="s">
        <v>48</v>
      </c>
      <c r="H5508" s="17">
        <v>1</v>
      </c>
      <c r="K5508" t="s">
        <v>300</v>
      </c>
      <c r="L5508" t="s">
        <v>301</v>
      </c>
      <c r="M5508" t="s">
        <v>131</v>
      </c>
      <c r="N5508">
        <v>14</v>
      </c>
      <c r="O5508" t="s">
        <v>40</v>
      </c>
      <c r="P5508" t="s">
        <v>40</v>
      </c>
      <c r="Q5508" t="s">
        <v>40</v>
      </c>
      <c r="S5508" t="s">
        <v>40</v>
      </c>
      <c r="V5508" t="s">
        <v>41</v>
      </c>
      <c r="W5508" t="s">
        <v>49</v>
      </c>
      <c r="X5508" t="str">
        <f>"0560001"</f>
        <v>0560001</v>
      </c>
      <c r="Y5508" t="s">
        <v>304</v>
      </c>
      <c r="Z5508" t="s">
        <v>300</v>
      </c>
      <c r="AA5508" t="s">
        <v>301</v>
      </c>
      <c r="AB5508" t="s">
        <v>131</v>
      </c>
      <c r="AC5508" t="s">
        <v>51</v>
      </c>
      <c r="AD5508" t="s">
        <v>45</v>
      </c>
      <c r="AF5508">
        <v>2</v>
      </c>
      <c r="AG5508" t="s">
        <v>301</v>
      </c>
      <c r="AH5508" s="36">
        <f t="shared" si="87"/>
        <v>120.71388888888889</v>
      </c>
      <c r="AI5508" s="17" t="s">
        <v>1773</v>
      </c>
    </row>
    <row r="5509" spans="1:35" x14ac:dyDescent="0.25">
      <c r="A5509" s="36">
        <v>99915507</v>
      </c>
      <c r="B5509" s="17" t="s">
        <v>32</v>
      </c>
      <c r="C5509" t="s">
        <v>52</v>
      </c>
      <c r="D5509" t="s">
        <v>53</v>
      </c>
      <c r="G5509" s="17" t="s">
        <v>35</v>
      </c>
      <c r="H5509" s="17">
        <v>1</v>
      </c>
      <c r="I5509" t="s">
        <v>343</v>
      </c>
      <c r="J5509" s="1">
        <v>43344</v>
      </c>
      <c r="K5509" t="s">
        <v>300</v>
      </c>
      <c r="L5509" t="s">
        <v>301</v>
      </c>
      <c r="M5509" t="s">
        <v>131</v>
      </c>
      <c r="N5509">
        <v>19</v>
      </c>
      <c r="O5509" t="s">
        <v>40</v>
      </c>
      <c r="P5509" t="s">
        <v>40</v>
      </c>
      <c r="Q5509" t="s">
        <v>40</v>
      </c>
      <c r="S5509" t="s">
        <v>40</v>
      </c>
      <c r="U5509" s="1">
        <v>43344</v>
      </c>
      <c r="V5509" t="s">
        <v>41</v>
      </c>
      <c r="W5509" t="s">
        <v>49</v>
      </c>
      <c r="X5509" t="str">
        <f>"0560001"</f>
        <v>0560001</v>
      </c>
      <c r="Y5509" t="s">
        <v>304</v>
      </c>
      <c r="Z5509" t="s">
        <v>300</v>
      </c>
      <c r="AA5509" t="s">
        <v>301</v>
      </c>
      <c r="AB5509" t="s">
        <v>131</v>
      </c>
      <c r="AC5509" t="s">
        <v>44</v>
      </c>
      <c r="AD5509" t="s">
        <v>45</v>
      </c>
      <c r="AF5509">
        <v>2</v>
      </c>
      <c r="AG5509" t="s">
        <v>301</v>
      </c>
      <c r="AH5509" s="36">
        <f t="shared" si="87"/>
        <v>120.71388888888889</v>
      </c>
      <c r="AI5509" s="17" t="s">
        <v>1773</v>
      </c>
    </row>
    <row r="5510" spans="1:35" x14ac:dyDescent="0.25">
      <c r="A5510" s="36">
        <v>99915508</v>
      </c>
      <c r="B5510" s="17" t="s">
        <v>56</v>
      </c>
      <c r="C5510" t="s">
        <v>52</v>
      </c>
      <c r="D5510" t="s">
        <v>53</v>
      </c>
      <c r="G5510" s="17" t="s">
        <v>35</v>
      </c>
      <c r="H5510" s="17">
        <v>1</v>
      </c>
      <c r="I5510" t="s">
        <v>344</v>
      </c>
      <c r="J5510" s="1">
        <v>43344</v>
      </c>
      <c r="K5510" t="s">
        <v>300</v>
      </c>
      <c r="L5510" t="s">
        <v>301</v>
      </c>
      <c r="M5510" t="s">
        <v>131</v>
      </c>
      <c r="N5510">
        <v>23</v>
      </c>
      <c r="O5510" t="s">
        <v>40</v>
      </c>
      <c r="P5510" t="s">
        <v>40</v>
      </c>
      <c r="Q5510" t="s">
        <v>40</v>
      </c>
      <c r="S5510" t="s">
        <v>40</v>
      </c>
      <c r="U5510" s="1">
        <v>43344</v>
      </c>
      <c r="V5510" t="s">
        <v>41</v>
      </c>
      <c r="W5510" t="s">
        <v>42</v>
      </c>
      <c r="X5510" t="str">
        <f>"0580176"</f>
        <v>0580176</v>
      </c>
      <c r="Y5510" t="s">
        <v>305</v>
      </c>
      <c r="Z5510" t="s">
        <v>300</v>
      </c>
      <c r="AA5510" t="s">
        <v>301</v>
      </c>
      <c r="AB5510" t="s">
        <v>131</v>
      </c>
      <c r="AC5510" t="s">
        <v>51</v>
      </c>
      <c r="AD5510" t="s">
        <v>45</v>
      </c>
      <c r="AF5510">
        <v>2</v>
      </c>
      <c r="AG5510" t="s">
        <v>301</v>
      </c>
      <c r="AH5510" s="36">
        <f t="shared" si="87"/>
        <v>120.71388888888889</v>
      </c>
      <c r="AI5510" s="17" t="s">
        <v>1773</v>
      </c>
    </row>
    <row r="5511" spans="1:35" x14ac:dyDescent="0.25">
      <c r="A5511" s="36">
        <v>99915509</v>
      </c>
      <c r="B5511" s="17" t="s">
        <v>56</v>
      </c>
      <c r="C5511" t="s">
        <v>85</v>
      </c>
      <c r="D5511" t="s">
        <v>86</v>
      </c>
      <c r="G5511" s="17" t="s">
        <v>35</v>
      </c>
      <c r="H5511" s="17">
        <v>1</v>
      </c>
      <c r="I5511">
        <v>15011</v>
      </c>
      <c r="J5511" s="1">
        <v>43353</v>
      </c>
      <c r="K5511" t="s">
        <v>345</v>
      </c>
      <c r="L5511" t="s">
        <v>346</v>
      </c>
      <c r="M5511" t="s">
        <v>131</v>
      </c>
      <c r="N5511">
        <v>22</v>
      </c>
      <c r="O5511" t="s">
        <v>40</v>
      </c>
      <c r="S5511" t="s">
        <v>40</v>
      </c>
      <c r="U5511" s="1">
        <v>43353</v>
      </c>
      <c r="V5511" t="s">
        <v>41</v>
      </c>
      <c r="W5511" t="s">
        <v>49</v>
      </c>
      <c r="X5511" t="str">
        <f>"0581155"</f>
        <v>0581155</v>
      </c>
      <c r="Y5511" t="s">
        <v>349</v>
      </c>
      <c r="Z5511" t="s">
        <v>345</v>
      </c>
      <c r="AA5511" t="s">
        <v>346</v>
      </c>
      <c r="AB5511" t="s">
        <v>131</v>
      </c>
      <c r="AC5511" t="s">
        <v>44</v>
      </c>
      <c r="AD5511" t="s">
        <v>45</v>
      </c>
      <c r="AF5511">
        <v>2</v>
      </c>
      <c r="AG5511" t="s">
        <v>346</v>
      </c>
      <c r="AH5511" s="36">
        <f t="shared" si="87"/>
        <v>120.71388888888889</v>
      </c>
      <c r="AI5511" s="17" t="s">
        <v>1773</v>
      </c>
    </row>
    <row r="5512" spans="1:35" x14ac:dyDescent="0.25">
      <c r="A5512" s="36">
        <v>99915510</v>
      </c>
      <c r="B5512" s="17" t="s">
        <v>56</v>
      </c>
      <c r="C5512" t="s">
        <v>68</v>
      </c>
      <c r="D5512" t="s">
        <v>69</v>
      </c>
      <c r="G5512" s="17" t="s">
        <v>35</v>
      </c>
      <c r="H5512" s="17">
        <v>1</v>
      </c>
      <c r="I5512">
        <v>19694</v>
      </c>
      <c r="J5512" s="1">
        <v>43405</v>
      </c>
      <c r="K5512" t="s">
        <v>345</v>
      </c>
      <c r="L5512" t="s">
        <v>346</v>
      </c>
      <c r="M5512" t="s">
        <v>131</v>
      </c>
      <c r="N5512">
        <v>21</v>
      </c>
      <c r="O5512" t="s">
        <v>40</v>
      </c>
      <c r="S5512" t="s">
        <v>40</v>
      </c>
      <c r="U5512" s="1">
        <v>43405</v>
      </c>
      <c r="V5512" t="s">
        <v>41</v>
      </c>
      <c r="W5512" t="s">
        <v>367</v>
      </c>
      <c r="X5512" t="str">
        <f>"0580655"</f>
        <v>0580655</v>
      </c>
      <c r="Y5512" t="s">
        <v>368</v>
      </c>
      <c r="Z5512" t="s">
        <v>345</v>
      </c>
      <c r="AA5512" t="s">
        <v>346</v>
      </c>
      <c r="AB5512" t="s">
        <v>131</v>
      </c>
      <c r="AC5512" t="s">
        <v>55</v>
      </c>
      <c r="AD5512" t="s">
        <v>45</v>
      </c>
      <c r="AF5512">
        <v>2</v>
      </c>
      <c r="AG5512" t="s">
        <v>346</v>
      </c>
      <c r="AH5512" s="36">
        <f t="shared" si="87"/>
        <v>120.71388888888889</v>
      </c>
      <c r="AI5512" s="17" t="s">
        <v>1773</v>
      </c>
    </row>
    <row r="5513" spans="1:35" x14ac:dyDescent="0.25">
      <c r="A5513" s="36">
        <v>99915511</v>
      </c>
      <c r="B5513" s="17" t="s">
        <v>56</v>
      </c>
      <c r="C5513" t="s">
        <v>61</v>
      </c>
      <c r="D5513" t="s">
        <v>62</v>
      </c>
      <c r="G5513" s="17" t="s">
        <v>35</v>
      </c>
      <c r="H5513" s="17">
        <v>1</v>
      </c>
      <c r="I5513">
        <v>16634</v>
      </c>
      <c r="J5513" s="1">
        <v>43430</v>
      </c>
      <c r="K5513" t="s">
        <v>345</v>
      </c>
      <c r="L5513" t="s">
        <v>346</v>
      </c>
      <c r="M5513" t="s">
        <v>131</v>
      </c>
      <c r="N5513">
        <v>11</v>
      </c>
      <c r="O5513" t="s">
        <v>40</v>
      </c>
      <c r="S5513" t="s">
        <v>40</v>
      </c>
      <c r="U5513" s="1">
        <v>43430</v>
      </c>
      <c r="V5513" t="s">
        <v>41</v>
      </c>
      <c r="W5513" t="s">
        <v>49</v>
      </c>
      <c r="X5513" t="str">
        <f>"0581660"</f>
        <v>0581660</v>
      </c>
      <c r="Y5513" t="s">
        <v>359</v>
      </c>
      <c r="Z5513" t="s">
        <v>345</v>
      </c>
      <c r="AA5513" t="s">
        <v>346</v>
      </c>
      <c r="AB5513" t="s">
        <v>131</v>
      </c>
      <c r="AC5513" t="s">
        <v>44</v>
      </c>
      <c r="AD5513" t="s">
        <v>45</v>
      </c>
      <c r="AF5513">
        <v>2</v>
      </c>
      <c r="AG5513" t="s">
        <v>346</v>
      </c>
      <c r="AH5513" s="36">
        <f t="shared" si="87"/>
        <v>120.71388888888889</v>
      </c>
      <c r="AI5513" s="17" t="s">
        <v>1773</v>
      </c>
    </row>
    <row r="5514" spans="1:35" x14ac:dyDescent="0.25">
      <c r="A5514" s="36">
        <v>99915512</v>
      </c>
      <c r="B5514" s="17" t="s">
        <v>32</v>
      </c>
      <c r="C5514" t="s">
        <v>33</v>
      </c>
      <c r="D5514" t="s">
        <v>34</v>
      </c>
      <c r="G5514" s="17" t="s">
        <v>35</v>
      </c>
      <c r="H5514" s="17">
        <v>1</v>
      </c>
      <c r="I5514">
        <v>16635</v>
      </c>
      <c r="J5514" s="1">
        <v>43430</v>
      </c>
      <c r="K5514" t="s">
        <v>345</v>
      </c>
      <c r="L5514" t="s">
        <v>346</v>
      </c>
      <c r="M5514" t="s">
        <v>131</v>
      </c>
      <c r="N5514">
        <v>9</v>
      </c>
      <c r="O5514" t="s">
        <v>40</v>
      </c>
      <c r="S5514" t="s">
        <v>40</v>
      </c>
      <c r="U5514" s="1">
        <v>43430</v>
      </c>
      <c r="V5514" t="s">
        <v>41</v>
      </c>
      <c r="W5514" t="s">
        <v>42</v>
      </c>
      <c r="X5514" t="str">
        <f>"0580615"</f>
        <v>0580615</v>
      </c>
      <c r="Y5514" t="s">
        <v>364</v>
      </c>
      <c r="Z5514" t="s">
        <v>345</v>
      </c>
      <c r="AA5514" t="s">
        <v>346</v>
      </c>
      <c r="AB5514" t="s">
        <v>131</v>
      </c>
      <c r="AC5514" t="s">
        <v>44</v>
      </c>
      <c r="AD5514" t="s">
        <v>45</v>
      </c>
      <c r="AF5514">
        <v>2</v>
      </c>
      <c r="AG5514" t="s">
        <v>346</v>
      </c>
      <c r="AH5514" s="36">
        <f t="shared" si="87"/>
        <v>120.71388888888889</v>
      </c>
      <c r="AI5514" s="17" t="s">
        <v>1773</v>
      </c>
    </row>
    <row r="5515" spans="1:35" x14ac:dyDescent="0.25">
      <c r="A5515" s="36">
        <v>99915513</v>
      </c>
      <c r="B5515" s="17" t="s">
        <v>32</v>
      </c>
      <c r="C5515" t="s">
        <v>295</v>
      </c>
      <c r="D5515" t="s">
        <v>296</v>
      </c>
      <c r="G5515" s="17" t="s">
        <v>35</v>
      </c>
      <c r="H5515" s="17">
        <v>1</v>
      </c>
      <c r="I5515">
        <v>21564</v>
      </c>
      <c r="J5515" s="1">
        <v>43344</v>
      </c>
      <c r="K5515" t="s">
        <v>345</v>
      </c>
      <c r="L5515" t="s">
        <v>346</v>
      </c>
      <c r="M5515" t="s">
        <v>131</v>
      </c>
      <c r="N5515">
        <v>3</v>
      </c>
      <c r="O5515" t="s">
        <v>40</v>
      </c>
      <c r="S5515" t="s">
        <v>40</v>
      </c>
      <c r="U5515" s="1">
        <v>43344</v>
      </c>
      <c r="V5515" t="s">
        <v>41</v>
      </c>
      <c r="W5515" t="s">
        <v>49</v>
      </c>
      <c r="X5515" t="str">
        <f>"0581660"</f>
        <v>0581660</v>
      </c>
      <c r="Y5515" t="s">
        <v>359</v>
      </c>
      <c r="Z5515" t="s">
        <v>345</v>
      </c>
      <c r="AA5515" t="s">
        <v>346</v>
      </c>
      <c r="AB5515" t="s">
        <v>131</v>
      </c>
      <c r="AC5515" t="s">
        <v>44</v>
      </c>
      <c r="AD5515" t="s">
        <v>45</v>
      </c>
      <c r="AF5515">
        <v>2</v>
      </c>
      <c r="AG5515" t="s">
        <v>346</v>
      </c>
      <c r="AH5515" s="36">
        <f t="shared" si="87"/>
        <v>120.71388888888889</v>
      </c>
      <c r="AI5515" s="17" t="s">
        <v>1773</v>
      </c>
    </row>
    <row r="5516" spans="1:35" x14ac:dyDescent="0.25">
      <c r="A5516" s="36">
        <v>99915514</v>
      </c>
      <c r="B5516" s="17" t="s">
        <v>56</v>
      </c>
      <c r="C5516" t="s">
        <v>68</v>
      </c>
      <c r="D5516" t="s">
        <v>69</v>
      </c>
      <c r="G5516" s="17" t="s">
        <v>35</v>
      </c>
      <c r="H5516" s="17">
        <v>1</v>
      </c>
      <c r="I5516">
        <v>15011</v>
      </c>
      <c r="J5516" s="1">
        <v>43346</v>
      </c>
      <c r="K5516" t="s">
        <v>345</v>
      </c>
      <c r="L5516" t="s">
        <v>346</v>
      </c>
      <c r="M5516" t="s">
        <v>131</v>
      </c>
      <c r="N5516">
        <v>23</v>
      </c>
      <c r="O5516" t="s">
        <v>40</v>
      </c>
      <c r="S5516" t="s">
        <v>40</v>
      </c>
      <c r="U5516" s="1">
        <v>43346</v>
      </c>
      <c r="V5516" t="s">
        <v>41</v>
      </c>
      <c r="W5516" t="s">
        <v>42</v>
      </c>
      <c r="X5516" t="str">
        <f>"0580155"</f>
        <v>0580155</v>
      </c>
      <c r="Y5516" t="s">
        <v>365</v>
      </c>
      <c r="Z5516" t="s">
        <v>345</v>
      </c>
      <c r="AA5516" t="s">
        <v>346</v>
      </c>
      <c r="AB5516" t="s">
        <v>131</v>
      </c>
      <c r="AC5516" t="s">
        <v>55</v>
      </c>
      <c r="AD5516" t="s">
        <v>45</v>
      </c>
      <c r="AF5516">
        <v>2</v>
      </c>
      <c r="AG5516" t="s">
        <v>346</v>
      </c>
      <c r="AH5516" s="36">
        <f t="shared" si="87"/>
        <v>120.71388888888889</v>
      </c>
      <c r="AI5516" s="17" t="s">
        <v>1773</v>
      </c>
    </row>
    <row r="5517" spans="1:35" x14ac:dyDescent="0.25">
      <c r="A5517" s="36">
        <v>99915515</v>
      </c>
      <c r="B5517" s="17" t="s">
        <v>56</v>
      </c>
      <c r="C5517" t="s">
        <v>46</v>
      </c>
      <c r="D5517" t="s">
        <v>47</v>
      </c>
      <c r="G5517" s="17" t="s">
        <v>35</v>
      </c>
      <c r="H5517" s="17">
        <v>1</v>
      </c>
      <c r="I5517">
        <v>15011</v>
      </c>
      <c r="J5517" s="1">
        <v>43346</v>
      </c>
      <c r="K5517" t="s">
        <v>345</v>
      </c>
      <c r="L5517" t="s">
        <v>346</v>
      </c>
      <c r="M5517" t="s">
        <v>131</v>
      </c>
      <c r="N5517">
        <v>21</v>
      </c>
      <c r="O5517" t="s">
        <v>40</v>
      </c>
      <c r="S5517" t="s">
        <v>40</v>
      </c>
      <c r="U5517" s="1">
        <v>43346</v>
      </c>
      <c r="V5517" t="s">
        <v>41</v>
      </c>
      <c r="W5517" t="s">
        <v>49</v>
      </c>
      <c r="X5517" t="str">
        <f>"0581155"</f>
        <v>0581155</v>
      </c>
      <c r="Y5517" t="s">
        <v>349</v>
      </c>
      <c r="Z5517" t="s">
        <v>345</v>
      </c>
      <c r="AA5517" t="s">
        <v>346</v>
      </c>
      <c r="AB5517" t="s">
        <v>131</v>
      </c>
      <c r="AC5517" t="s">
        <v>44</v>
      </c>
      <c r="AD5517" t="s">
        <v>45</v>
      </c>
      <c r="AF5517">
        <v>2</v>
      </c>
      <c r="AG5517" t="s">
        <v>346</v>
      </c>
      <c r="AH5517" s="36">
        <f t="shared" si="87"/>
        <v>120.71388888888889</v>
      </c>
      <c r="AI5517" s="17" t="s">
        <v>1773</v>
      </c>
    </row>
    <row r="5518" spans="1:35" x14ac:dyDescent="0.25">
      <c r="A5518" s="36">
        <v>99915516</v>
      </c>
      <c r="B5518" s="17" t="s">
        <v>56</v>
      </c>
      <c r="C5518" t="s">
        <v>52</v>
      </c>
      <c r="D5518" t="s">
        <v>53</v>
      </c>
      <c r="G5518" s="17" t="s">
        <v>35</v>
      </c>
      <c r="H5518" s="17">
        <v>1</v>
      </c>
      <c r="I5518">
        <v>15011</v>
      </c>
      <c r="J5518" s="1">
        <v>43357</v>
      </c>
      <c r="K5518" t="s">
        <v>345</v>
      </c>
      <c r="L5518" t="s">
        <v>346</v>
      </c>
      <c r="M5518" t="s">
        <v>131</v>
      </c>
      <c r="N5518">
        <v>16</v>
      </c>
      <c r="O5518" t="s">
        <v>40</v>
      </c>
      <c r="P5518" t="s">
        <v>40</v>
      </c>
      <c r="Q5518" t="s">
        <v>40</v>
      </c>
      <c r="R5518" t="s">
        <v>40</v>
      </c>
      <c r="S5518" t="s">
        <v>40</v>
      </c>
      <c r="U5518" s="1">
        <v>43357</v>
      </c>
      <c r="V5518" t="s">
        <v>41</v>
      </c>
      <c r="W5518" t="s">
        <v>42</v>
      </c>
      <c r="X5518" t="str">
        <f>"0580155"</f>
        <v>0580155</v>
      </c>
      <c r="Y5518" t="s">
        <v>365</v>
      </c>
      <c r="Z5518" t="s">
        <v>345</v>
      </c>
      <c r="AA5518" t="s">
        <v>346</v>
      </c>
      <c r="AB5518" t="s">
        <v>131</v>
      </c>
      <c r="AC5518" t="s">
        <v>44</v>
      </c>
      <c r="AD5518" t="s">
        <v>45</v>
      </c>
      <c r="AF5518">
        <v>2</v>
      </c>
      <c r="AG5518" t="s">
        <v>346</v>
      </c>
      <c r="AH5518" s="36">
        <f t="shared" si="87"/>
        <v>120.71388888888889</v>
      </c>
      <c r="AI5518" s="17" t="s">
        <v>1773</v>
      </c>
    </row>
    <row r="5519" spans="1:35" x14ac:dyDescent="0.25">
      <c r="A5519" s="36">
        <v>99915517</v>
      </c>
      <c r="B5519" s="17" t="s">
        <v>32</v>
      </c>
      <c r="C5519" t="s">
        <v>79</v>
      </c>
      <c r="D5519" t="s">
        <v>80</v>
      </c>
      <c r="G5519" s="17" t="s">
        <v>35</v>
      </c>
      <c r="H5519" s="17">
        <v>1</v>
      </c>
      <c r="I5519">
        <v>15011</v>
      </c>
      <c r="J5519" s="1">
        <v>43430</v>
      </c>
      <c r="K5519" t="s">
        <v>345</v>
      </c>
      <c r="L5519" t="s">
        <v>346</v>
      </c>
      <c r="M5519" t="s">
        <v>131</v>
      </c>
      <c r="N5519">
        <v>4</v>
      </c>
      <c r="O5519" t="s">
        <v>40</v>
      </c>
      <c r="S5519" t="s">
        <v>40</v>
      </c>
      <c r="U5519" s="1">
        <v>43430</v>
      </c>
      <c r="V5519" t="s">
        <v>41</v>
      </c>
      <c r="W5519" t="s">
        <v>49</v>
      </c>
      <c r="X5519" t="str">
        <f>"0581155"</f>
        <v>0581155</v>
      </c>
      <c r="Y5519" t="s">
        <v>349</v>
      </c>
      <c r="Z5519" t="s">
        <v>345</v>
      </c>
      <c r="AA5519" t="s">
        <v>346</v>
      </c>
      <c r="AB5519" t="s">
        <v>131</v>
      </c>
      <c r="AC5519" t="s">
        <v>44</v>
      </c>
      <c r="AD5519" t="s">
        <v>45</v>
      </c>
      <c r="AF5519">
        <v>2</v>
      </c>
      <c r="AG5519" t="s">
        <v>346</v>
      </c>
      <c r="AH5519" s="36">
        <f t="shared" si="87"/>
        <v>120.71388888888889</v>
      </c>
      <c r="AI5519" s="17" t="s">
        <v>1773</v>
      </c>
    </row>
    <row r="5520" spans="1:35" x14ac:dyDescent="0.25">
      <c r="A5520" s="36">
        <v>99915518</v>
      </c>
      <c r="B5520" s="17" t="s">
        <v>56</v>
      </c>
      <c r="C5520" t="s">
        <v>85</v>
      </c>
      <c r="D5520" t="s">
        <v>86</v>
      </c>
      <c r="G5520" s="17" t="s">
        <v>35</v>
      </c>
      <c r="H5520" s="17">
        <v>1</v>
      </c>
      <c r="I5520">
        <v>16388</v>
      </c>
      <c r="J5520" s="1">
        <v>43362</v>
      </c>
      <c r="K5520" t="s">
        <v>345</v>
      </c>
      <c r="L5520" t="s">
        <v>346</v>
      </c>
      <c r="M5520" t="s">
        <v>131</v>
      </c>
      <c r="N5520">
        <v>21</v>
      </c>
      <c r="O5520" t="s">
        <v>40</v>
      </c>
      <c r="S5520" t="s">
        <v>40</v>
      </c>
      <c r="U5520" s="1">
        <v>43362</v>
      </c>
      <c r="V5520" t="s">
        <v>41</v>
      </c>
      <c r="W5520" t="s">
        <v>49</v>
      </c>
      <c r="X5520" t="str">
        <f>"0560007"</f>
        <v>0560007</v>
      </c>
      <c r="Y5520" t="s">
        <v>357</v>
      </c>
      <c r="Z5520" t="s">
        <v>345</v>
      </c>
      <c r="AA5520" t="s">
        <v>346</v>
      </c>
      <c r="AB5520" t="s">
        <v>131</v>
      </c>
      <c r="AC5520" t="s">
        <v>44</v>
      </c>
      <c r="AD5520" t="s">
        <v>45</v>
      </c>
      <c r="AF5520">
        <v>2</v>
      </c>
      <c r="AG5520" t="s">
        <v>346</v>
      </c>
      <c r="AH5520" s="36">
        <f t="shared" si="87"/>
        <v>120.71388888888889</v>
      </c>
      <c r="AI5520" s="17" t="s">
        <v>1773</v>
      </c>
    </row>
    <row r="5521" spans="1:35" x14ac:dyDescent="0.25">
      <c r="A5521" s="36">
        <v>99915519</v>
      </c>
      <c r="B5521" s="17" t="s">
        <v>56</v>
      </c>
      <c r="C5521" t="s">
        <v>61</v>
      </c>
      <c r="D5521" t="s">
        <v>62</v>
      </c>
      <c r="G5521" s="17" t="s">
        <v>35</v>
      </c>
      <c r="H5521" s="17">
        <v>1</v>
      </c>
      <c r="I5521">
        <v>16389</v>
      </c>
      <c r="J5521" s="1">
        <v>43430</v>
      </c>
      <c r="K5521" t="s">
        <v>345</v>
      </c>
      <c r="L5521" t="s">
        <v>346</v>
      </c>
      <c r="M5521" t="s">
        <v>131</v>
      </c>
      <c r="N5521">
        <v>4</v>
      </c>
      <c r="O5521" t="s">
        <v>40</v>
      </c>
      <c r="S5521" t="s">
        <v>40</v>
      </c>
      <c r="U5521" s="1">
        <v>43430</v>
      </c>
      <c r="V5521" t="s">
        <v>41</v>
      </c>
      <c r="W5521" t="s">
        <v>49</v>
      </c>
      <c r="X5521" t="str">
        <f>"0560007"</f>
        <v>0560007</v>
      </c>
      <c r="Y5521" t="s">
        <v>357</v>
      </c>
      <c r="Z5521" t="s">
        <v>345</v>
      </c>
      <c r="AA5521" t="s">
        <v>346</v>
      </c>
      <c r="AB5521" t="s">
        <v>131</v>
      </c>
      <c r="AC5521" t="s">
        <v>44</v>
      </c>
      <c r="AD5521" t="s">
        <v>45</v>
      </c>
      <c r="AF5521">
        <v>2</v>
      </c>
      <c r="AG5521" t="s">
        <v>346</v>
      </c>
      <c r="AH5521" s="36">
        <f t="shared" si="87"/>
        <v>120.71388888888889</v>
      </c>
      <c r="AI5521" s="17" t="s">
        <v>1773</v>
      </c>
    </row>
    <row r="5522" spans="1:35" x14ac:dyDescent="0.25">
      <c r="A5522" s="36">
        <v>99915520</v>
      </c>
      <c r="B5522" s="17" t="s">
        <v>56</v>
      </c>
      <c r="C5522" t="s">
        <v>259</v>
      </c>
      <c r="D5522" t="s">
        <v>260</v>
      </c>
      <c r="G5522" s="17" t="s">
        <v>35</v>
      </c>
      <c r="H5522" s="17">
        <v>1</v>
      </c>
      <c r="I5522">
        <v>18346</v>
      </c>
      <c r="J5522" s="1">
        <v>43392</v>
      </c>
      <c r="K5522" t="s">
        <v>345</v>
      </c>
      <c r="L5522" t="s">
        <v>346</v>
      </c>
      <c r="M5522" t="s">
        <v>131</v>
      </c>
      <c r="N5522">
        <v>18</v>
      </c>
      <c r="O5522" t="s">
        <v>40</v>
      </c>
      <c r="S5522" t="s">
        <v>40</v>
      </c>
      <c r="U5522" s="1">
        <v>43392</v>
      </c>
      <c r="V5522" t="s">
        <v>41</v>
      </c>
      <c r="W5522" t="s">
        <v>49</v>
      </c>
      <c r="X5522" t="str">
        <f>"0591906"</f>
        <v>0591906</v>
      </c>
      <c r="Y5522" t="s">
        <v>350</v>
      </c>
      <c r="Z5522" t="s">
        <v>345</v>
      </c>
      <c r="AA5522" t="s">
        <v>346</v>
      </c>
      <c r="AB5522" t="s">
        <v>131</v>
      </c>
      <c r="AC5522" t="s">
        <v>44</v>
      </c>
      <c r="AD5522" t="s">
        <v>45</v>
      </c>
      <c r="AF5522">
        <v>2</v>
      </c>
      <c r="AG5522" t="s">
        <v>346</v>
      </c>
      <c r="AH5522" s="36">
        <f t="shared" si="87"/>
        <v>120.71388888888889</v>
      </c>
      <c r="AI5522" s="17" t="s">
        <v>1773</v>
      </c>
    </row>
    <row r="5523" spans="1:35" x14ac:dyDescent="0.25">
      <c r="A5523" s="36">
        <v>99915521</v>
      </c>
      <c r="B5523" s="17" t="s">
        <v>32</v>
      </c>
      <c r="C5523" t="s">
        <v>139</v>
      </c>
      <c r="D5523" t="s">
        <v>140</v>
      </c>
      <c r="G5523" s="17" t="s">
        <v>35</v>
      </c>
      <c r="H5523" s="17">
        <v>1</v>
      </c>
      <c r="K5523" t="s">
        <v>154</v>
      </c>
      <c r="L5523" t="s">
        <v>155</v>
      </c>
      <c r="M5523" t="s">
        <v>131</v>
      </c>
      <c r="N5523">
        <v>21</v>
      </c>
      <c r="O5523" t="s">
        <v>40</v>
      </c>
      <c r="P5523" t="s">
        <v>40</v>
      </c>
      <c r="Q5523" t="s">
        <v>40</v>
      </c>
      <c r="S5523" t="s">
        <v>40</v>
      </c>
      <c r="V5523" t="s">
        <v>41</v>
      </c>
      <c r="W5523" t="s">
        <v>75</v>
      </c>
      <c r="X5523" t="str">
        <f>"7051014"</f>
        <v>7051014</v>
      </c>
      <c r="Y5523" t="s">
        <v>398</v>
      </c>
      <c r="Z5523" t="s">
        <v>154</v>
      </c>
      <c r="AA5523" t="s">
        <v>155</v>
      </c>
      <c r="AB5523" t="s">
        <v>131</v>
      </c>
      <c r="AC5523" t="s">
        <v>165</v>
      </c>
      <c r="AD5523" t="s">
        <v>45</v>
      </c>
      <c r="AF5523">
        <v>1</v>
      </c>
      <c r="AG5523" t="s">
        <v>155</v>
      </c>
      <c r="AH5523" s="36">
        <f t="shared" si="87"/>
        <v>120.71388888888889</v>
      </c>
      <c r="AI5523" s="17" t="s">
        <v>1773</v>
      </c>
    </row>
    <row r="5524" spans="1:35" x14ac:dyDescent="0.25">
      <c r="A5524" s="36">
        <v>99915522</v>
      </c>
      <c r="B5524" s="17" t="s">
        <v>32</v>
      </c>
      <c r="C5524" t="s">
        <v>79</v>
      </c>
      <c r="D5524" t="s">
        <v>80</v>
      </c>
      <c r="G5524" s="17" t="s">
        <v>35</v>
      </c>
      <c r="H5524" s="17">
        <v>1</v>
      </c>
      <c r="K5524" t="s">
        <v>154</v>
      </c>
      <c r="L5524" t="s">
        <v>155</v>
      </c>
      <c r="M5524" t="s">
        <v>131</v>
      </c>
      <c r="N5524">
        <v>21</v>
      </c>
      <c r="O5524" t="s">
        <v>40</v>
      </c>
      <c r="P5524" t="s">
        <v>40</v>
      </c>
      <c r="Q5524" t="s">
        <v>40</v>
      </c>
      <c r="S5524" t="s">
        <v>40</v>
      </c>
      <c r="V5524" t="s">
        <v>41</v>
      </c>
      <c r="W5524" t="s">
        <v>75</v>
      </c>
      <c r="X5524" t="str">
        <f>"7051014"</f>
        <v>7051014</v>
      </c>
      <c r="Y5524" t="s">
        <v>398</v>
      </c>
      <c r="Z5524" t="s">
        <v>154</v>
      </c>
      <c r="AA5524" t="s">
        <v>155</v>
      </c>
      <c r="AB5524" t="s">
        <v>131</v>
      </c>
      <c r="AC5524" t="s">
        <v>165</v>
      </c>
      <c r="AD5524" t="s">
        <v>45</v>
      </c>
      <c r="AF5524">
        <v>1</v>
      </c>
      <c r="AG5524" t="s">
        <v>155</v>
      </c>
      <c r="AH5524" s="36">
        <f t="shared" si="87"/>
        <v>120.71388888888889</v>
      </c>
      <c r="AI5524" s="17" t="s">
        <v>1773</v>
      </c>
    </row>
    <row r="5525" spans="1:35" x14ac:dyDescent="0.25">
      <c r="A5525" s="36">
        <v>99915523</v>
      </c>
      <c r="B5525" s="17" t="s">
        <v>32</v>
      </c>
      <c r="C5525" t="s">
        <v>139</v>
      </c>
      <c r="D5525" t="s">
        <v>140</v>
      </c>
      <c r="G5525" s="17" t="s">
        <v>35</v>
      </c>
      <c r="H5525" s="17">
        <v>1</v>
      </c>
      <c r="K5525" t="s">
        <v>154</v>
      </c>
      <c r="L5525" t="s">
        <v>155</v>
      </c>
      <c r="M5525" t="s">
        <v>131</v>
      </c>
      <c r="N5525">
        <v>18</v>
      </c>
      <c r="O5525" t="s">
        <v>40</v>
      </c>
      <c r="P5525" t="s">
        <v>40</v>
      </c>
      <c r="Q5525" t="s">
        <v>40</v>
      </c>
      <c r="S5525" t="s">
        <v>40</v>
      </c>
      <c r="V5525" t="s">
        <v>41</v>
      </c>
      <c r="W5525" t="s">
        <v>75</v>
      </c>
      <c r="X5525" t="str">
        <f>"7051014"</f>
        <v>7051014</v>
      </c>
      <c r="Y5525" t="s">
        <v>398</v>
      </c>
      <c r="Z5525" t="s">
        <v>154</v>
      </c>
      <c r="AA5525" t="s">
        <v>155</v>
      </c>
      <c r="AB5525" t="s">
        <v>131</v>
      </c>
      <c r="AC5525" t="s">
        <v>165</v>
      </c>
      <c r="AD5525" t="s">
        <v>45</v>
      </c>
      <c r="AF5525">
        <v>1</v>
      </c>
      <c r="AG5525" t="s">
        <v>155</v>
      </c>
      <c r="AH5525" s="36">
        <f t="shared" si="87"/>
        <v>120.71388888888889</v>
      </c>
      <c r="AI5525" s="17" t="s">
        <v>1773</v>
      </c>
    </row>
    <row r="5526" spans="1:35" x14ac:dyDescent="0.25">
      <c r="A5526" s="36">
        <v>99915524</v>
      </c>
      <c r="B5526" s="17" t="s">
        <v>32</v>
      </c>
      <c r="C5526" t="s">
        <v>90</v>
      </c>
      <c r="D5526" t="s">
        <v>91</v>
      </c>
      <c r="G5526" s="17" t="s">
        <v>35</v>
      </c>
      <c r="H5526" s="17">
        <v>1</v>
      </c>
      <c r="K5526" t="s">
        <v>154</v>
      </c>
      <c r="L5526" t="s">
        <v>155</v>
      </c>
      <c r="M5526" t="s">
        <v>131</v>
      </c>
      <c r="N5526">
        <v>24</v>
      </c>
      <c r="O5526" t="s">
        <v>40</v>
      </c>
      <c r="P5526" t="s">
        <v>40</v>
      </c>
      <c r="Q5526" t="s">
        <v>40</v>
      </c>
      <c r="S5526" t="s">
        <v>40</v>
      </c>
      <c r="V5526" t="s">
        <v>41</v>
      </c>
      <c r="W5526" t="s">
        <v>75</v>
      </c>
      <c r="X5526" t="str">
        <f>"7051014"</f>
        <v>7051014</v>
      </c>
      <c r="Y5526" t="s">
        <v>398</v>
      </c>
      <c r="Z5526" t="s">
        <v>154</v>
      </c>
      <c r="AA5526" t="s">
        <v>155</v>
      </c>
      <c r="AB5526" t="s">
        <v>131</v>
      </c>
      <c r="AC5526" t="s">
        <v>165</v>
      </c>
      <c r="AD5526" t="s">
        <v>45</v>
      </c>
      <c r="AF5526">
        <v>1</v>
      </c>
      <c r="AG5526" t="s">
        <v>155</v>
      </c>
      <c r="AH5526" s="36">
        <f t="shared" si="87"/>
        <v>120.71388888888889</v>
      </c>
      <c r="AI5526" s="17" t="s">
        <v>1773</v>
      </c>
    </row>
    <row r="5527" spans="1:35" x14ac:dyDescent="0.25">
      <c r="A5527" s="36">
        <v>99915525</v>
      </c>
      <c r="B5527" s="17" t="s">
        <v>32</v>
      </c>
      <c r="C5527" t="s">
        <v>64</v>
      </c>
      <c r="D5527" t="s">
        <v>65</v>
      </c>
      <c r="G5527" s="17" t="s">
        <v>35</v>
      </c>
      <c r="H5527" s="17">
        <v>1</v>
      </c>
      <c r="K5527" t="s">
        <v>154</v>
      </c>
      <c r="L5527" t="s">
        <v>155</v>
      </c>
      <c r="M5527" t="s">
        <v>131</v>
      </c>
      <c r="N5527">
        <v>23</v>
      </c>
      <c r="O5527" t="s">
        <v>40</v>
      </c>
      <c r="P5527" t="s">
        <v>40</v>
      </c>
      <c r="Q5527" t="s">
        <v>40</v>
      </c>
      <c r="S5527" t="s">
        <v>40</v>
      </c>
      <c r="V5527" t="s">
        <v>41</v>
      </c>
      <c r="W5527" t="s">
        <v>75</v>
      </c>
      <c r="X5527" t="str">
        <f>"7051014"</f>
        <v>7051014</v>
      </c>
      <c r="Y5527" t="s">
        <v>398</v>
      </c>
      <c r="Z5527" t="s">
        <v>154</v>
      </c>
      <c r="AA5527" t="s">
        <v>155</v>
      </c>
      <c r="AB5527" t="s">
        <v>131</v>
      </c>
      <c r="AC5527" t="s">
        <v>165</v>
      </c>
      <c r="AD5527" t="s">
        <v>45</v>
      </c>
      <c r="AF5527">
        <v>1</v>
      </c>
      <c r="AG5527" t="s">
        <v>155</v>
      </c>
      <c r="AH5527" s="36">
        <f t="shared" si="87"/>
        <v>120.71388888888889</v>
      </c>
      <c r="AI5527" s="17" t="s">
        <v>1773</v>
      </c>
    </row>
    <row r="5528" spans="1:35" x14ac:dyDescent="0.25">
      <c r="A5528" s="36">
        <v>99915526</v>
      </c>
      <c r="B5528" s="17" t="s">
        <v>56</v>
      </c>
      <c r="C5528" t="s">
        <v>111</v>
      </c>
      <c r="D5528" t="s">
        <v>112</v>
      </c>
      <c r="G5528" s="17" t="s">
        <v>48</v>
      </c>
      <c r="H5528" s="17">
        <v>1</v>
      </c>
      <c r="K5528" t="s">
        <v>154</v>
      </c>
      <c r="L5528" t="s">
        <v>155</v>
      </c>
      <c r="M5528" t="s">
        <v>131</v>
      </c>
      <c r="N5528">
        <v>23</v>
      </c>
      <c r="O5528" t="s">
        <v>40</v>
      </c>
      <c r="P5528" t="s">
        <v>40</v>
      </c>
      <c r="Q5528" t="s">
        <v>40</v>
      </c>
      <c r="S5528" t="s">
        <v>40</v>
      </c>
      <c r="V5528" t="s">
        <v>41</v>
      </c>
      <c r="W5528" t="s">
        <v>75</v>
      </c>
      <c r="X5528" t="str">
        <f>"7051002"</f>
        <v>7051002</v>
      </c>
      <c r="Y5528" t="s">
        <v>395</v>
      </c>
      <c r="Z5528" t="s">
        <v>154</v>
      </c>
      <c r="AA5528" t="s">
        <v>155</v>
      </c>
      <c r="AB5528" t="s">
        <v>131</v>
      </c>
      <c r="AC5528" t="s">
        <v>51</v>
      </c>
      <c r="AD5528" t="s">
        <v>45</v>
      </c>
      <c r="AF5528">
        <v>1</v>
      </c>
      <c r="AG5528" t="s">
        <v>155</v>
      </c>
      <c r="AH5528" s="36">
        <f t="shared" si="87"/>
        <v>120.71388888888889</v>
      </c>
      <c r="AI5528" s="17" t="s">
        <v>1773</v>
      </c>
    </row>
    <row r="5529" spans="1:35" x14ac:dyDescent="0.25">
      <c r="A5529" s="36">
        <v>99915527</v>
      </c>
      <c r="B5529" s="17" t="s">
        <v>32</v>
      </c>
      <c r="C5529" t="s">
        <v>111</v>
      </c>
      <c r="D5529" t="s">
        <v>112</v>
      </c>
      <c r="G5529" s="17" t="s">
        <v>48</v>
      </c>
      <c r="H5529" s="17">
        <v>1</v>
      </c>
      <c r="K5529" t="s">
        <v>154</v>
      </c>
      <c r="L5529" t="s">
        <v>155</v>
      </c>
      <c r="M5529" t="s">
        <v>131</v>
      </c>
      <c r="N5529">
        <v>8</v>
      </c>
      <c r="O5529" t="s">
        <v>40</v>
      </c>
      <c r="P5529" t="s">
        <v>40</v>
      </c>
      <c r="Q5529" t="s">
        <v>40</v>
      </c>
      <c r="S5529" t="s">
        <v>40</v>
      </c>
      <c r="V5529" t="s">
        <v>41</v>
      </c>
      <c r="W5529" t="s">
        <v>75</v>
      </c>
      <c r="X5529" t="str">
        <f>"7051016"</f>
        <v>7051016</v>
      </c>
      <c r="Y5529" t="s">
        <v>430</v>
      </c>
      <c r="Z5529" t="s">
        <v>154</v>
      </c>
      <c r="AA5529" t="s">
        <v>155</v>
      </c>
      <c r="AB5529" t="s">
        <v>131</v>
      </c>
      <c r="AC5529" t="s">
        <v>165</v>
      </c>
      <c r="AD5529" t="s">
        <v>45</v>
      </c>
      <c r="AF5529">
        <v>1</v>
      </c>
      <c r="AG5529" t="s">
        <v>155</v>
      </c>
      <c r="AH5529" s="36">
        <f t="shared" si="87"/>
        <v>120.71388888888889</v>
      </c>
      <c r="AI5529" s="17" t="s">
        <v>1773</v>
      </c>
    </row>
    <row r="5530" spans="1:35" x14ac:dyDescent="0.25">
      <c r="A5530" s="36">
        <v>99915528</v>
      </c>
      <c r="B5530" s="17" t="s">
        <v>32</v>
      </c>
      <c r="C5530" t="s">
        <v>64</v>
      </c>
      <c r="D5530" t="s">
        <v>65</v>
      </c>
      <c r="G5530" s="17" t="s">
        <v>48</v>
      </c>
      <c r="H5530" s="17">
        <v>1</v>
      </c>
      <c r="K5530" t="s">
        <v>431</v>
      </c>
      <c r="L5530" t="s">
        <v>196</v>
      </c>
      <c r="M5530" t="s">
        <v>131</v>
      </c>
      <c r="N5530">
        <v>23</v>
      </c>
      <c r="O5530" t="s">
        <v>40</v>
      </c>
      <c r="P5530" t="s">
        <v>40</v>
      </c>
      <c r="Q5530" t="s">
        <v>40</v>
      </c>
      <c r="S5530" t="s">
        <v>40</v>
      </c>
      <c r="V5530" t="s">
        <v>41</v>
      </c>
      <c r="W5530" t="s">
        <v>75</v>
      </c>
      <c r="X5530" t="str">
        <f>"7521012"</f>
        <v>7521012</v>
      </c>
      <c r="Y5530" t="s">
        <v>432</v>
      </c>
      <c r="Z5530" t="s">
        <v>431</v>
      </c>
      <c r="AA5530" t="s">
        <v>196</v>
      </c>
      <c r="AB5530" t="s">
        <v>131</v>
      </c>
      <c r="AC5530" t="s">
        <v>51</v>
      </c>
      <c r="AD5530" t="s">
        <v>45</v>
      </c>
      <c r="AF5530">
        <v>1</v>
      </c>
      <c r="AG5530" t="s">
        <v>196</v>
      </c>
      <c r="AH5530" s="36">
        <f t="shared" si="87"/>
        <v>120.71388888888889</v>
      </c>
      <c r="AI5530" s="17" t="s">
        <v>1773</v>
      </c>
    </row>
    <row r="5531" spans="1:35" x14ac:dyDescent="0.25">
      <c r="A5531" s="36">
        <v>99915529</v>
      </c>
      <c r="B5531" s="17" t="s">
        <v>56</v>
      </c>
      <c r="C5531" t="s">
        <v>79</v>
      </c>
      <c r="D5531" t="s">
        <v>80</v>
      </c>
      <c r="G5531" s="17" t="s">
        <v>35</v>
      </c>
      <c r="H5531" s="17">
        <v>1</v>
      </c>
      <c r="K5531" t="s">
        <v>431</v>
      </c>
      <c r="L5531" t="s">
        <v>196</v>
      </c>
      <c r="M5531" t="s">
        <v>131</v>
      </c>
      <c r="N5531">
        <v>16</v>
      </c>
      <c r="O5531" t="s">
        <v>40</v>
      </c>
      <c r="P5531" t="s">
        <v>40</v>
      </c>
      <c r="Q5531" t="s">
        <v>40</v>
      </c>
      <c r="S5531" t="s">
        <v>40</v>
      </c>
      <c r="V5531" t="s">
        <v>41</v>
      </c>
      <c r="W5531" t="s">
        <v>75</v>
      </c>
      <c r="X5531" t="str">
        <f t="shared" ref="X5531:X5536" si="88">"7521056"</f>
        <v>7521056</v>
      </c>
      <c r="Y5531" t="s">
        <v>437</v>
      </c>
      <c r="Z5531" t="s">
        <v>431</v>
      </c>
      <c r="AA5531" t="s">
        <v>196</v>
      </c>
      <c r="AB5531" t="s">
        <v>131</v>
      </c>
      <c r="AC5531" t="s">
        <v>51</v>
      </c>
      <c r="AD5531" t="s">
        <v>45</v>
      </c>
      <c r="AF5531">
        <v>1</v>
      </c>
      <c r="AG5531" t="s">
        <v>196</v>
      </c>
      <c r="AH5531" s="36">
        <f t="shared" si="87"/>
        <v>120.71388888888889</v>
      </c>
      <c r="AI5531" s="17" t="s">
        <v>1773</v>
      </c>
    </row>
    <row r="5532" spans="1:35" x14ac:dyDescent="0.25">
      <c r="A5532" s="36">
        <v>99915530</v>
      </c>
      <c r="B5532" s="17" t="s">
        <v>32</v>
      </c>
      <c r="C5532" t="s">
        <v>64</v>
      </c>
      <c r="D5532" t="s">
        <v>65</v>
      </c>
      <c r="G5532" s="17" t="s">
        <v>35</v>
      </c>
      <c r="H5532" s="17">
        <v>1</v>
      </c>
      <c r="K5532" t="s">
        <v>431</v>
      </c>
      <c r="L5532" t="s">
        <v>196</v>
      </c>
      <c r="M5532" t="s">
        <v>131</v>
      </c>
      <c r="N5532">
        <v>15</v>
      </c>
      <c r="O5532" t="s">
        <v>40</v>
      </c>
      <c r="P5532" t="s">
        <v>40</v>
      </c>
      <c r="Q5532" t="s">
        <v>40</v>
      </c>
      <c r="S5532" t="s">
        <v>40</v>
      </c>
      <c r="V5532" t="s">
        <v>41</v>
      </c>
      <c r="W5532" t="s">
        <v>75</v>
      </c>
      <c r="X5532" t="str">
        <f t="shared" si="88"/>
        <v>7521056</v>
      </c>
      <c r="Y5532" t="s">
        <v>437</v>
      </c>
      <c r="Z5532" t="s">
        <v>431</v>
      </c>
      <c r="AA5532" t="s">
        <v>196</v>
      </c>
      <c r="AB5532" t="s">
        <v>131</v>
      </c>
      <c r="AC5532" t="s">
        <v>51</v>
      </c>
      <c r="AD5532" t="s">
        <v>45</v>
      </c>
      <c r="AF5532">
        <v>1</v>
      </c>
      <c r="AG5532" t="s">
        <v>196</v>
      </c>
      <c r="AH5532" s="36">
        <f t="shared" si="87"/>
        <v>120.71388888888889</v>
      </c>
      <c r="AI5532" s="17" t="s">
        <v>1773</v>
      </c>
    </row>
    <row r="5533" spans="1:35" x14ac:dyDescent="0.25">
      <c r="A5533" s="36">
        <v>99915531</v>
      </c>
      <c r="B5533" s="17" t="s">
        <v>32</v>
      </c>
      <c r="C5533" t="s">
        <v>90</v>
      </c>
      <c r="D5533" t="s">
        <v>91</v>
      </c>
      <c r="G5533" s="17" t="s">
        <v>35</v>
      </c>
      <c r="H5533" s="17">
        <v>1</v>
      </c>
      <c r="K5533" t="s">
        <v>431</v>
      </c>
      <c r="L5533" t="s">
        <v>196</v>
      </c>
      <c r="M5533" t="s">
        <v>131</v>
      </c>
      <c r="N5533">
        <v>24</v>
      </c>
      <c r="O5533" t="s">
        <v>40</v>
      </c>
      <c r="P5533" t="s">
        <v>40</v>
      </c>
      <c r="Q5533" t="s">
        <v>40</v>
      </c>
      <c r="S5533" t="s">
        <v>40</v>
      </c>
      <c r="V5533" t="s">
        <v>41</v>
      </c>
      <c r="W5533" t="s">
        <v>75</v>
      </c>
      <c r="X5533" t="str">
        <f t="shared" si="88"/>
        <v>7521056</v>
      </c>
      <c r="Y5533" t="s">
        <v>437</v>
      </c>
      <c r="Z5533" t="s">
        <v>431</v>
      </c>
      <c r="AA5533" t="s">
        <v>196</v>
      </c>
      <c r="AB5533" t="s">
        <v>131</v>
      </c>
      <c r="AC5533" t="s">
        <v>51</v>
      </c>
      <c r="AD5533" t="s">
        <v>45</v>
      </c>
      <c r="AF5533">
        <v>1</v>
      </c>
      <c r="AG5533" t="s">
        <v>196</v>
      </c>
      <c r="AH5533" s="36">
        <f t="shared" si="87"/>
        <v>120.71388888888889</v>
      </c>
      <c r="AI5533" s="17" t="s">
        <v>1773</v>
      </c>
    </row>
    <row r="5534" spans="1:35" x14ac:dyDescent="0.25">
      <c r="A5534" s="36">
        <v>99915532</v>
      </c>
      <c r="B5534" s="17" t="s">
        <v>32</v>
      </c>
      <c r="C5534" t="s">
        <v>141</v>
      </c>
      <c r="D5534" t="s">
        <v>142</v>
      </c>
      <c r="G5534" s="17" t="s">
        <v>35</v>
      </c>
      <c r="H5534" s="17">
        <v>1</v>
      </c>
      <c r="K5534" t="s">
        <v>431</v>
      </c>
      <c r="L5534" t="s">
        <v>196</v>
      </c>
      <c r="M5534" t="s">
        <v>131</v>
      </c>
      <c r="N5534">
        <v>12</v>
      </c>
      <c r="O5534" t="s">
        <v>40</v>
      </c>
      <c r="P5534" t="s">
        <v>40</v>
      </c>
      <c r="Q5534" t="s">
        <v>40</v>
      </c>
      <c r="S5534" t="s">
        <v>40</v>
      </c>
      <c r="V5534" t="s">
        <v>41</v>
      </c>
      <c r="W5534" t="s">
        <v>75</v>
      </c>
      <c r="X5534" t="str">
        <f t="shared" si="88"/>
        <v>7521056</v>
      </c>
      <c r="Y5534" t="s">
        <v>437</v>
      </c>
      <c r="Z5534" t="s">
        <v>431</v>
      </c>
      <c r="AA5534" t="s">
        <v>196</v>
      </c>
      <c r="AB5534" t="s">
        <v>131</v>
      </c>
      <c r="AC5534" t="s">
        <v>51</v>
      </c>
      <c r="AD5534" t="s">
        <v>45</v>
      </c>
      <c r="AF5534">
        <v>1</v>
      </c>
      <c r="AG5534" t="s">
        <v>196</v>
      </c>
      <c r="AH5534" s="36">
        <f t="shared" si="87"/>
        <v>120.71388888888889</v>
      </c>
      <c r="AI5534" s="17" t="s">
        <v>1773</v>
      </c>
    </row>
    <row r="5535" spans="1:35" x14ac:dyDescent="0.25">
      <c r="A5535" s="36">
        <v>99915533</v>
      </c>
      <c r="B5535" s="17" t="s">
        <v>32</v>
      </c>
      <c r="C5535" t="s">
        <v>111</v>
      </c>
      <c r="D5535" t="s">
        <v>112</v>
      </c>
      <c r="G5535" s="17" t="s">
        <v>35</v>
      </c>
      <c r="H5535" s="17">
        <v>1</v>
      </c>
      <c r="K5535" t="s">
        <v>431</v>
      </c>
      <c r="L5535" t="s">
        <v>196</v>
      </c>
      <c r="M5535" t="s">
        <v>131</v>
      </c>
      <c r="N5535">
        <v>24</v>
      </c>
      <c r="O5535" t="s">
        <v>40</v>
      </c>
      <c r="P5535" t="s">
        <v>40</v>
      </c>
      <c r="Q5535" t="s">
        <v>40</v>
      </c>
      <c r="S5535" t="s">
        <v>40</v>
      </c>
      <c r="V5535" t="s">
        <v>41</v>
      </c>
      <c r="W5535" t="s">
        <v>75</v>
      </c>
      <c r="X5535" t="str">
        <f t="shared" si="88"/>
        <v>7521056</v>
      </c>
      <c r="Y5535" t="s">
        <v>437</v>
      </c>
      <c r="Z5535" t="s">
        <v>431</v>
      </c>
      <c r="AA5535" t="s">
        <v>196</v>
      </c>
      <c r="AB5535" t="s">
        <v>131</v>
      </c>
      <c r="AC5535" t="s">
        <v>51</v>
      </c>
      <c r="AD5535" t="s">
        <v>45</v>
      </c>
      <c r="AF5535">
        <v>1</v>
      </c>
      <c r="AG5535" t="s">
        <v>196</v>
      </c>
      <c r="AH5535" s="36">
        <f t="shared" si="87"/>
        <v>120.71388888888889</v>
      </c>
      <c r="AI5535" s="17" t="s">
        <v>1773</v>
      </c>
    </row>
    <row r="5536" spans="1:35" x14ac:dyDescent="0.25">
      <c r="A5536" s="36">
        <v>99915534</v>
      </c>
      <c r="B5536" s="17" t="s">
        <v>32</v>
      </c>
      <c r="C5536" t="s">
        <v>111</v>
      </c>
      <c r="D5536" t="s">
        <v>112</v>
      </c>
      <c r="G5536" s="17" t="s">
        <v>35</v>
      </c>
      <c r="H5536" s="17">
        <v>1</v>
      </c>
      <c r="K5536" t="s">
        <v>431</v>
      </c>
      <c r="L5536" t="s">
        <v>196</v>
      </c>
      <c r="M5536" t="s">
        <v>131</v>
      </c>
      <c r="N5536">
        <v>24</v>
      </c>
      <c r="O5536" t="s">
        <v>40</v>
      </c>
      <c r="P5536" t="s">
        <v>40</v>
      </c>
      <c r="Q5536" t="s">
        <v>40</v>
      </c>
      <c r="S5536" t="s">
        <v>40</v>
      </c>
      <c r="V5536" t="s">
        <v>41</v>
      </c>
      <c r="W5536" t="s">
        <v>75</v>
      </c>
      <c r="X5536" t="str">
        <f t="shared" si="88"/>
        <v>7521056</v>
      </c>
      <c r="Y5536" t="s">
        <v>437</v>
      </c>
      <c r="Z5536" t="s">
        <v>431</v>
      </c>
      <c r="AA5536" t="s">
        <v>196</v>
      </c>
      <c r="AB5536" t="s">
        <v>131</v>
      </c>
      <c r="AC5536" t="s">
        <v>51</v>
      </c>
      <c r="AD5536" t="s">
        <v>45</v>
      </c>
      <c r="AF5536">
        <v>1</v>
      </c>
      <c r="AG5536" t="s">
        <v>196</v>
      </c>
      <c r="AH5536" s="36">
        <f t="shared" si="87"/>
        <v>120.71388888888889</v>
      </c>
      <c r="AI5536" s="17" t="s">
        <v>1773</v>
      </c>
    </row>
    <row r="5537" spans="1:35" x14ac:dyDescent="0.25">
      <c r="A5537" s="36">
        <v>99915535</v>
      </c>
      <c r="B5537" s="17" t="s">
        <v>56</v>
      </c>
      <c r="C5537" t="s">
        <v>143</v>
      </c>
      <c r="D5537" t="s">
        <v>144</v>
      </c>
      <c r="G5537" s="17" t="s">
        <v>48</v>
      </c>
      <c r="H5537" s="17">
        <v>1</v>
      </c>
      <c r="K5537" t="s">
        <v>431</v>
      </c>
      <c r="L5537" t="s">
        <v>196</v>
      </c>
      <c r="M5537" t="s">
        <v>131</v>
      </c>
      <c r="N5537">
        <v>18</v>
      </c>
      <c r="O5537" t="s">
        <v>40</v>
      </c>
      <c r="P5537" t="s">
        <v>40</v>
      </c>
      <c r="Q5537" t="s">
        <v>40</v>
      </c>
      <c r="S5537" t="s">
        <v>40</v>
      </c>
      <c r="V5537" t="s">
        <v>41</v>
      </c>
      <c r="W5537" t="s">
        <v>75</v>
      </c>
      <c r="X5537" t="str">
        <f>"7521012"</f>
        <v>7521012</v>
      </c>
      <c r="Y5537" t="s">
        <v>432</v>
      </c>
      <c r="Z5537" t="s">
        <v>431</v>
      </c>
      <c r="AA5537" t="s">
        <v>196</v>
      </c>
      <c r="AB5537" t="s">
        <v>131</v>
      </c>
      <c r="AC5537" t="s">
        <v>51</v>
      </c>
      <c r="AD5537" t="s">
        <v>45</v>
      </c>
      <c r="AF5537">
        <v>1</v>
      </c>
      <c r="AG5537" t="s">
        <v>196</v>
      </c>
      <c r="AH5537" s="36">
        <f t="shared" si="87"/>
        <v>120.71388888888889</v>
      </c>
      <c r="AI5537" s="17" t="s">
        <v>1773</v>
      </c>
    </row>
    <row r="5538" spans="1:35" x14ac:dyDescent="0.25">
      <c r="A5538" s="36">
        <v>99915536</v>
      </c>
      <c r="B5538" s="17" t="s">
        <v>32</v>
      </c>
      <c r="C5538" t="s">
        <v>111</v>
      </c>
      <c r="D5538" t="s">
        <v>112</v>
      </c>
      <c r="G5538" s="17" t="s">
        <v>48</v>
      </c>
      <c r="H5538" s="17">
        <v>1</v>
      </c>
      <c r="K5538" t="s">
        <v>431</v>
      </c>
      <c r="L5538" t="s">
        <v>196</v>
      </c>
      <c r="M5538" t="s">
        <v>131</v>
      </c>
      <c r="N5538">
        <v>24</v>
      </c>
      <c r="O5538" t="s">
        <v>40</v>
      </c>
      <c r="P5538" t="s">
        <v>40</v>
      </c>
      <c r="Q5538" t="s">
        <v>40</v>
      </c>
      <c r="S5538" t="s">
        <v>40</v>
      </c>
      <c r="V5538" t="s">
        <v>41</v>
      </c>
      <c r="W5538" t="s">
        <v>75</v>
      </c>
      <c r="X5538" t="str">
        <f>"7521056"</f>
        <v>7521056</v>
      </c>
      <c r="Y5538" t="s">
        <v>437</v>
      </c>
      <c r="Z5538" t="s">
        <v>431</v>
      </c>
      <c r="AA5538" t="s">
        <v>196</v>
      </c>
      <c r="AB5538" t="s">
        <v>131</v>
      </c>
      <c r="AC5538" t="s">
        <v>51</v>
      </c>
      <c r="AD5538" t="s">
        <v>45</v>
      </c>
      <c r="AF5538">
        <v>1</v>
      </c>
      <c r="AG5538" t="s">
        <v>196</v>
      </c>
      <c r="AH5538" s="36">
        <f t="shared" si="87"/>
        <v>120.71388888888889</v>
      </c>
      <c r="AI5538" s="17" t="s">
        <v>1773</v>
      </c>
    </row>
    <row r="5539" spans="1:35" x14ac:dyDescent="0.25">
      <c r="A5539" s="36">
        <v>99915537</v>
      </c>
      <c r="B5539" s="17" t="s">
        <v>32</v>
      </c>
      <c r="C5539" t="s">
        <v>111</v>
      </c>
      <c r="D5539" t="s">
        <v>112</v>
      </c>
      <c r="G5539" s="17" t="s">
        <v>48</v>
      </c>
      <c r="H5539" s="17">
        <v>1</v>
      </c>
      <c r="K5539" t="s">
        <v>431</v>
      </c>
      <c r="L5539" t="s">
        <v>196</v>
      </c>
      <c r="M5539" t="s">
        <v>131</v>
      </c>
      <c r="N5539">
        <v>21</v>
      </c>
      <c r="O5539" t="s">
        <v>40</v>
      </c>
      <c r="P5539" t="s">
        <v>40</v>
      </c>
      <c r="Q5539" t="s">
        <v>40</v>
      </c>
      <c r="S5539" t="s">
        <v>40</v>
      </c>
      <c r="V5539" t="s">
        <v>41</v>
      </c>
      <c r="W5539" t="s">
        <v>75</v>
      </c>
      <c r="X5539" t="str">
        <f t="shared" ref="X5539:X5549" si="89">"7521012"</f>
        <v>7521012</v>
      </c>
      <c r="Y5539" t="s">
        <v>432</v>
      </c>
      <c r="Z5539" t="s">
        <v>431</v>
      </c>
      <c r="AA5539" t="s">
        <v>196</v>
      </c>
      <c r="AB5539" t="s">
        <v>131</v>
      </c>
      <c r="AC5539" t="s">
        <v>165</v>
      </c>
      <c r="AD5539" t="s">
        <v>45</v>
      </c>
      <c r="AF5539">
        <v>1</v>
      </c>
      <c r="AG5539" t="s">
        <v>196</v>
      </c>
      <c r="AH5539" s="36">
        <f t="shared" si="87"/>
        <v>120.71388888888889</v>
      </c>
      <c r="AI5539" s="17" t="s">
        <v>1773</v>
      </c>
    </row>
    <row r="5540" spans="1:35" x14ac:dyDescent="0.25">
      <c r="A5540" s="36">
        <v>99915538</v>
      </c>
      <c r="B5540" s="17" t="s">
        <v>32</v>
      </c>
      <c r="C5540" t="s">
        <v>79</v>
      </c>
      <c r="D5540" t="s">
        <v>80</v>
      </c>
      <c r="G5540" s="17" t="s">
        <v>48</v>
      </c>
      <c r="H5540" s="17">
        <v>1</v>
      </c>
      <c r="K5540" t="s">
        <v>431</v>
      </c>
      <c r="L5540" t="s">
        <v>196</v>
      </c>
      <c r="M5540" t="s">
        <v>131</v>
      </c>
      <c r="N5540">
        <v>21</v>
      </c>
      <c r="O5540" t="s">
        <v>40</v>
      </c>
      <c r="P5540" t="s">
        <v>40</v>
      </c>
      <c r="Q5540" t="s">
        <v>40</v>
      </c>
      <c r="S5540" t="s">
        <v>40</v>
      </c>
      <c r="V5540" t="s">
        <v>41</v>
      </c>
      <c r="W5540" t="s">
        <v>75</v>
      </c>
      <c r="X5540" t="str">
        <f t="shared" si="89"/>
        <v>7521012</v>
      </c>
      <c r="Y5540" t="s">
        <v>432</v>
      </c>
      <c r="Z5540" t="s">
        <v>431</v>
      </c>
      <c r="AA5540" t="s">
        <v>196</v>
      </c>
      <c r="AB5540" t="s">
        <v>131</v>
      </c>
      <c r="AC5540" t="s">
        <v>51</v>
      </c>
      <c r="AD5540" t="s">
        <v>45</v>
      </c>
      <c r="AF5540">
        <v>1</v>
      </c>
      <c r="AG5540" t="s">
        <v>196</v>
      </c>
      <c r="AH5540" s="36">
        <f t="shared" si="87"/>
        <v>120.71388888888889</v>
      </c>
      <c r="AI5540" s="17" t="s">
        <v>1773</v>
      </c>
    </row>
    <row r="5541" spans="1:35" x14ac:dyDescent="0.25">
      <c r="A5541" s="36">
        <v>99915539</v>
      </c>
      <c r="B5541" s="17" t="s">
        <v>32</v>
      </c>
      <c r="C5541" t="s">
        <v>64</v>
      </c>
      <c r="D5541" t="s">
        <v>65</v>
      </c>
      <c r="G5541" s="17" t="s">
        <v>48</v>
      </c>
      <c r="H5541" s="17">
        <v>1</v>
      </c>
      <c r="K5541" t="s">
        <v>431</v>
      </c>
      <c r="L5541" t="s">
        <v>196</v>
      </c>
      <c r="M5541" t="s">
        <v>131</v>
      </c>
      <c r="N5541">
        <v>24</v>
      </c>
      <c r="O5541" t="s">
        <v>40</v>
      </c>
      <c r="P5541" t="s">
        <v>40</v>
      </c>
      <c r="Q5541" t="s">
        <v>40</v>
      </c>
      <c r="S5541" t="s">
        <v>40</v>
      </c>
      <c r="V5541" t="s">
        <v>41</v>
      </c>
      <c r="W5541" t="s">
        <v>75</v>
      </c>
      <c r="X5541" t="str">
        <f t="shared" si="89"/>
        <v>7521012</v>
      </c>
      <c r="Y5541" t="s">
        <v>432</v>
      </c>
      <c r="Z5541" t="s">
        <v>431</v>
      </c>
      <c r="AA5541" t="s">
        <v>196</v>
      </c>
      <c r="AB5541" t="s">
        <v>131</v>
      </c>
      <c r="AC5541" t="s">
        <v>51</v>
      </c>
      <c r="AD5541" t="s">
        <v>45</v>
      </c>
      <c r="AF5541">
        <v>1</v>
      </c>
      <c r="AG5541" t="s">
        <v>196</v>
      </c>
      <c r="AH5541" s="36">
        <f t="shared" si="87"/>
        <v>120.71388888888889</v>
      </c>
      <c r="AI5541" s="17" t="s">
        <v>1773</v>
      </c>
    </row>
    <row r="5542" spans="1:35" x14ac:dyDescent="0.25">
      <c r="A5542" s="36">
        <v>99915540</v>
      </c>
      <c r="B5542" s="17" t="s">
        <v>32</v>
      </c>
      <c r="C5542" t="s">
        <v>64</v>
      </c>
      <c r="D5542" t="s">
        <v>65</v>
      </c>
      <c r="G5542" s="17" t="s">
        <v>48</v>
      </c>
      <c r="H5542" s="17">
        <v>1</v>
      </c>
      <c r="K5542" t="s">
        <v>431</v>
      </c>
      <c r="L5542" t="s">
        <v>196</v>
      </c>
      <c r="M5542" t="s">
        <v>131</v>
      </c>
      <c r="N5542">
        <v>21</v>
      </c>
      <c r="O5542" t="s">
        <v>40</v>
      </c>
      <c r="P5542" t="s">
        <v>40</v>
      </c>
      <c r="Q5542" t="s">
        <v>40</v>
      </c>
      <c r="S5542" t="s">
        <v>40</v>
      </c>
      <c r="V5542" t="s">
        <v>41</v>
      </c>
      <c r="W5542" t="s">
        <v>75</v>
      </c>
      <c r="X5542" t="str">
        <f t="shared" si="89"/>
        <v>7521012</v>
      </c>
      <c r="Y5542" t="s">
        <v>432</v>
      </c>
      <c r="Z5542" t="s">
        <v>431</v>
      </c>
      <c r="AA5542" t="s">
        <v>196</v>
      </c>
      <c r="AB5542" t="s">
        <v>131</v>
      </c>
      <c r="AC5542" t="s">
        <v>51</v>
      </c>
      <c r="AD5542" t="s">
        <v>45</v>
      </c>
      <c r="AF5542">
        <v>1</v>
      </c>
      <c r="AG5542" t="s">
        <v>196</v>
      </c>
      <c r="AH5542" s="36">
        <f t="shared" si="87"/>
        <v>120.71388888888889</v>
      </c>
      <c r="AI5542" s="17" t="s">
        <v>1773</v>
      </c>
    </row>
    <row r="5543" spans="1:35" x14ac:dyDescent="0.25">
      <c r="A5543" s="36">
        <v>99915541</v>
      </c>
      <c r="B5543" s="17" t="s">
        <v>56</v>
      </c>
      <c r="C5543" t="s">
        <v>111</v>
      </c>
      <c r="D5543" t="s">
        <v>112</v>
      </c>
      <c r="G5543" s="17" t="s">
        <v>48</v>
      </c>
      <c r="H5543" s="17">
        <v>1</v>
      </c>
      <c r="K5543" t="s">
        <v>431</v>
      </c>
      <c r="L5543" t="s">
        <v>196</v>
      </c>
      <c r="M5543" t="s">
        <v>131</v>
      </c>
      <c r="N5543">
        <v>21</v>
      </c>
      <c r="O5543" t="s">
        <v>40</v>
      </c>
      <c r="P5543" t="s">
        <v>40</v>
      </c>
      <c r="Q5543" t="s">
        <v>40</v>
      </c>
      <c r="S5543" t="s">
        <v>40</v>
      </c>
      <c r="V5543" t="s">
        <v>41</v>
      </c>
      <c r="W5543" t="s">
        <v>75</v>
      </c>
      <c r="X5543" t="str">
        <f t="shared" si="89"/>
        <v>7521012</v>
      </c>
      <c r="Y5543" t="s">
        <v>432</v>
      </c>
      <c r="Z5543" t="s">
        <v>431</v>
      </c>
      <c r="AA5543" t="s">
        <v>196</v>
      </c>
      <c r="AB5543" t="s">
        <v>131</v>
      </c>
      <c r="AC5543" t="s">
        <v>165</v>
      </c>
      <c r="AD5543" t="s">
        <v>45</v>
      </c>
      <c r="AF5543">
        <v>1</v>
      </c>
      <c r="AG5543" t="s">
        <v>196</v>
      </c>
      <c r="AH5543" s="36">
        <f t="shared" si="87"/>
        <v>120.71388888888889</v>
      </c>
      <c r="AI5543" s="17" t="s">
        <v>1773</v>
      </c>
    </row>
    <row r="5544" spans="1:35" x14ac:dyDescent="0.25">
      <c r="A5544" s="36">
        <v>99915542</v>
      </c>
      <c r="B5544" s="17" t="s">
        <v>32</v>
      </c>
      <c r="C5544" t="s">
        <v>141</v>
      </c>
      <c r="D5544" t="s">
        <v>142</v>
      </c>
      <c r="G5544" s="17" t="s">
        <v>48</v>
      </c>
      <c r="H5544" s="17">
        <v>1</v>
      </c>
      <c r="K5544" t="s">
        <v>431</v>
      </c>
      <c r="L5544" t="s">
        <v>196</v>
      </c>
      <c r="M5544" t="s">
        <v>131</v>
      </c>
      <c r="N5544">
        <v>21</v>
      </c>
      <c r="O5544" t="s">
        <v>40</v>
      </c>
      <c r="P5544" t="s">
        <v>40</v>
      </c>
      <c r="Q5544" t="s">
        <v>40</v>
      </c>
      <c r="S5544" t="s">
        <v>40</v>
      </c>
      <c r="V5544" t="s">
        <v>41</v>
      </c>
      <c r="W5544" t="s">
        <v>75</v>
      </c>
      <c r="X5544" t="str">
        <f t="shared" si="89"/>
        <v>7521012</v>
      </c>
      <c r="Y5544" t="s">
        <v>432</v>
      </c>
      <c r="Z5544" t="s">
        <v>431</v>
      </c>
      <c r="AA5544" t="s">
        <v>196</v>
      </c>
      <c r="AB5544" t="s">
        <v>131</v>
      </c>
      <c r="AC5544" t="s">
        <v>51</v>
      </c>
      <c r="AD5544" t="s">
        <v>45</v>
      </c>
      <c r="AF5544">
        <v>1</v>
      </c>
      <c r="AG5544" t="s">
        <v>196</v>
      </c>
      <c r="AH5544" s="36">
        <f t="shared" si="87"/>
        <v>120.71388888888889</v>
      </c>
      <c r="AI5544" s="17" t="s">
        <v>1773</v>
      </c>
    </row>
    <row r="5545" spans="1:35" x14ac:dyDescent="0.25">
      <c r="A5545" s="36">
        <v>99915543</v>
      </c>
      <c r="B5545" s="17" t="s">
        <v>32</v>
      </c>
      <c r="C5545" t="s">
        <v>111</v>
      </c>
      <c r="D5545" t="s">
        <v>112</v>
      </c>
      <c r="G5545" s="17" t="s">
        <v>48</v>
      </c>
      <c r="H5545" s="17">
        <v>1</v>
      </c>
      <c r="K5545" t="s">
        <v>431</v>
      </c>
      <c r="L5545" t="s">
        <v>196</v>
      </c>
      <c r="M5545" t="s">
        <v>131</v>
      </c>
      <c r="N5545">
        <v>21</v>
      </c>
      <c r="O5545" t="s">
        <v>40</v>
      </c>
      <c r="P5545" t="s">
        <v>40</v>
      </c>
      <c r="Q5545" t="s">
        <v>40</v>
      </c>
      <c r="S5545" t="s">
        <v>40</v>
      </c>
      <c r="V5545" t="s">
        <v>41</v>
      </c>
      <c r="W5545" t="s">
        <v>75</v>
      </c>
      <c r="X5545" t="str">
        <f t="shared" si="89"/>
        <v>7521012</v>
      </c>
      <c r="Y5545" t="s">
        <v>432</v>
      </c>
      <c r="Z5545" t="s">
        <v>431</v>
      </c>
      <c r="AA5545" t="s">
        <v>196</v>
      </c>
      <c r="AB5545" t="s">
        <v>131</v>
      </c>
      <c r="AC5545" t="s">
        <v>165</v>
      </c>
      <c r="AD5545" t="s">
        <v>45</v>
      </c>
      <c r="AF5545">
        <v>1</v>
      </c>
      <c r="AG5545" t="s">
        <v>196</v>
      </c>
      <c r="AH5545" s="36">
        <f t="shared" si="87"/>
        <v>120.71388888888889</v>
      </c>
      <c r="AI5545" s="17" t="s">
        <v>1773</v>
      </c>
    </row>
    <row r="5546" spans="1:35" x14ac:dyDescent="0.25">
      <c r="A5546" s="36">
        <v>99915544</v>
      </c>
      <c r="B5546" s="17" t="s">
        <v>56</v>
      </c>
      <c r="C5546" t="s">
        <v>111</v>
      </c>
      <c r="D5546" t="s">
        <v>112</v>
      </c>
      <c r="G5546" s="17" t="s">
        <v>48</v>
      </c>
      <c r="H5546" s="17">
        <v>1</v>
      </c>
      <c r="K5546" t="s">
        <v>431</v>
      </c>
      <c r="L5546" t="s">
        <v>196</v>
      </c>
      <c r="M5546" t="s">
        <v>131</v>
      </c>
      <c r="N5546">
        <v>21</v>
      </c>
      <c r="O5546" t="s">
        <v>40</v>
      </c>
      <c r="P5546" t="s">
        <v>40</v>
      </c>
      <c r="Q5546" t="s">
        <v>40</v>
      </c>
      <c r="S5546" t="s">
        <v>40</v>
      </c>
      <c r="V5546" t="s">
        <v>41</v>
      </c>
      <c r="W5546" t="s">
        <v>75</v>
      </c>
      <c r="X5546" t="str">
        <f t="shared" si="89"/>
        <v>7521012</v>
      </c>
      <c r="Y5546" t="s">
        <v>432</v>
      </c>
      <c r="Z5546" t="s">
        <v>431</v>
      </c>
      <c r="AA5546" t="s">
        <v>196</v>
      </c>
      <c r="AB5546" t="s">
        <v>131</v>
      </c>
      <c r="AC5546" t="s">
        <v>165</v>
      </c>
      <c r="AD5546" t="s">
        <v>45</v>
      </c>
      <c r="AF5546">
        <v>1</v>
      </c>
      <c r="AG5546" t="s">
        <v>196</v>
      </c>
      <c r="AH5546" s="36">
        <f t="shared" si="87"/>
        <v>120.71388888888889</v>
      </c>
      <c r="AI5546" s="17" t="s">
        <v>1773</v>
      </c>
    </row>
    <row r="5547" spans="1:35" x14ac:dyDescent="0.25">
      <c r="A5547" s="36">
        <v>99915545</v>
      </c>
      <c r="B5547" s="17" t="s">
        <v>32</v>
      </c>
      <c r="C5547" t="s">
        <v>64</v>
      </c>
      <c r="D5547" t="s">
        <v>65</v>
      </c>
      <c r="G5547" s="17" t="s">
        <v>48</v>
      </c>
      <c r="H5547" s="17">
        <v>1</v>
      </c>
      <c r="K5547" t="s">
        <v>431</v>
      </c>
      <c r="L5547" t="s">
        <v>196</v>
      </c>
      <c r="M5547" t="s">
        <v>131</v>
      </c>
      <c r="N5547">
        <v>22</v>
      </c>
      <c r="O5547" t="s">
        <v>40</v>
      </c>
      <c r="P5547" t="s">
        <v>40</v>
      </c>
      <c r="Q5547" t="s">
        <v>40</v>
      </c>
      <c r="S5547" t="s">
        <v>40</v>
      </c>
      <c r="V5547" t="s">
        <v>41</v>
      </c>
      <c r="W5547" t="s">
        <v>75</v>
      </c>
      <c r="X5547" t="str">
        <f t="shared" si="89"/>
        <v>7521012</v>
      </c>
      <c r="Y5547" t="s">
        <v>432</v>
      </c>
      <c r="Z5547" t="s">
        <v>431</v>
      </c>
      <c r="AA5547" t="s">
        <v>196</v>
      </c>
      <c r="AB5547" t="s">
        <v>131</v>
      </c>
      <c r="AC5547" t="s">
        <v>51</v>
      </c>
      <c r="AD5547" t="s">
        <v>45</v>
      </c>
      <c r="AF5547">
        <v>1</v>
      </c>
      <c r="AG5547" t="s">
        <v>196</v>
      </c>
      <c r="AH5547" s="36">
        <f t="shared" si="87"/>
        <v>120.71388888888889</v>
      </c>
      <c r="AI5547" s="17" t="s">
        <v>1773</v>
      </c>
    </row>
    <row r="5548" spans="1:35" x14ac:dyDescent="0.25">
      <c r="A5548" s="36">
        <v>99915546</v>
      </c>
      <c r="B5548" s="17" t="s">
        <v>32</v>
      </c>
      <c r="C5548" t="s">
        <v>111</v>
      </c>
      <c r="D5548" t="s">
        <v>112</v>
      </c>
      <c r="G5548" s="17" t="s">
        <v>48</v>
      </c>
      <c r="H5548" s="17">
        <v>1</v>
      </c>
      <c r="K5548" t="s">
        <v>431</v>
      </c>
      <c r="L5548" t="s">
        <v>196</v>
      </c>
      <c r="M5548" t="s">
        <v>131</v>
      </c>
      <c r="N5548">
        <v>21</v>
      </c>
      <c r="O5548" t="s">
        <v>40</v>
      </c>
      <c r="P5548" t="s">
        <v>40</v>
      </c>
      <c r="Q5548" t="s">
        <v>40</v>
      </c>
      <c r="S5548" t="s">
        <v>40</v>
      </c>
      <c r="V5548" t="s">
        <v>41</v>
      </c>
      <c r="W5548" t="s">
        <v>75</v>
      </c>
      <c r="X5548" t="str">
        <f t="shared" si="89"/>
        <v>7521012</v>
      </c>
      <c r="Y5548" t="s">
        <v>432</v>
      </c>
      <c r="Z5548" t="s">
        <v>431</v>
      </c>
      <c r="AA5548" t="s">
        <v>196</v>
      </c>
      <c r="AB5548" t="s">
        <v>131</v>
      </c>
      <c r="AC5548" t="s">
        <v>51</v>
      </c>
      <c r="AD5548" t="s">
        <v>45</v>
      </c>
      <c r="AF5548">
        <v>1</v>
      </c>
      <c r="AG5548" t="s">
        <v>196</v>
      </c>
      <c r="AH5548" s="36">
        <f t="shared" si="87"/>
        <v>120.71388888888889</v>
      </c>
      <c r="AI5548" s="17" t="s">
        <v>1773</v>
      </c>
    </row>
    <row r="5549" spans="1:35" x14ac:dyDescent="0.25">
      <c r="A5549" s="36">
        <v>99915547</v>
      </c>
      <c r="B5549" s="17" t="s">
        <v>56</v>
      </c>
      <c r="C5549" t="s">
        <v>111</v>
      </c>
      <c r="D5549" t="s">
        <v>112</v>
      </c>
      <c r="G5549" s="17" t="s">
        <v>48</v>
      </c>
      <c r="H5549" s="17">
        <v>1</v>
      </c>
      <c r="K5549" t="s">
        <v>431</v>
      </c>
      <c r="L5549" t="s">
        <v>196</v>
      </c>
      <c r="M5549" t="s">
        <v>131</v>
      </c>
      <c r="N5549">
        <v>22</v>
      </c>
      <c r="O5549" t="s">
        <v>40</v>
      </c>
      <c r="P5549" t="s">
        <v>40</v>
      </c>
      <c r="Q5549" t="s">
        <v>40</v>
      </c>
      <c r="S5549" t="s">
        <v>40</v>
      </c>
      <c r="V5549" t="s">
        <v>41</v>
      </c>
      <c r="W5549" t="s">
        <v>75</v>
      </c>
      <c r="X5549" t="str">
        <f t="shared" si="89"/>
        <v>7521012</v>
      </c>
      <c r="Y5549" t="s">
        <v>432</v>
      </c>
      <c r="Z5549" t="s">
        <v>431</v>
      </c>
      <c r="AA5549" t="s">
        <v>196</v>
      </c>
      <c r="AB5549" t="s">
        <v>131</v>
      </c>
      <c r="AC5549" t="s">
        <v>165</v>
      </c>
      <c r="AD5549" t="s">
        <v>45</v>
      </c>
      <c r="AF5549">
        <v>1</v>
      </c>
      <c r="AG5549" t="s">
        <v>196</v>
      </c>
      <c r="AH5549" s="36">
        <f t="shared" si="87"/>
        <v>120.71388888888889</v>
      </c>
      <c r="AI5549" s="17" t="s">
        <v>1773</v>
      </c>
    </row>
    <row r="5550" spans="1:35" x14ac:dyDescent="0.25">
      <c r="A5550" s="36">
        <v>99915548</v>
      </c>
      <c r="B5550" s="17" t="s">
        <v>56</v>
      </c>
      <c r="C5550" t="s">
        <v>79</v>
      </c>
      <c r="D5550" t="s">
        <v>80</v>
      </c>
      <c r="G5550" s="17" t="s">
        <v>35</v>
      </c>
      <c r="H5550" s="17">
        <v>1</v>
      </c>
      <c r="K5550" t="s">
        <v>431</v>
      </c>
      <c r="L5550" t="s">
        <v>196</v>
      </c>
      <c r="M5550" t="s">
        <v>131</v>
      </c>
      <c r="N5550">
        <v>16</v>
      </c>
      <c r="O5550" t="s">
        <v>40</v>
      </c>
      <c r="P5550" t="s">
        <v>40</v>
      </c>
      <c r="Q5550" t="s">
        <v>40</v>
      </c>
      <c r="S5550" t="s">
        <v>40</v>
      </c>
      <c r="V5550" t="s">
        <v>41</v>
      </c>
      <c r="W5550" t="s">
        <v>75</v>
      </c>
      <c r="X5550" t="str">
        <f>"7521056"</f>
        <v>7521056</v>
      </c>
      <c r="Y5550" t="s">
        <v>437</v>
      </c>
      <c r="Z5550" t="s">
        <v>431</v>
      </c>
      <c r="AA5550" t="s">
        <v>196</v>
      </c>
      <c r="AB5550" t="s">
        <v>131</v>
      </c>
      <c r="AC5550" t="s">
        <v>51</v>
      </c>
      <c r="AD5550" t="s">
        <v>45</v>
      </c>
      <c r="AF5550">
        <v>1</v>
      </c>
      <c r="AG5550" t="s">
        <v>196</v>
      </c>
      <c r="AH5550" s="36">
        <f t="shared" si="87"/>
        <v>120.71388888888889</v>
      </c>
      <c r="AI5550" s="17" t="s">
        <v>1773</v>
      </c>
    </row>
    <row r="5551" spans="1:35" x14ac:dyDescent="0.25">
      <c r="A5551" s="36">
        <v>99915549</v>
      </c>
      <c r="B5551" s="17" t="s">
        <v>56</v>
      </c>
      <c r="C5551" t="s">
        <v>111</v>
      </c>
      <c r="D5551" t="s">
        <v>112</v>
      </c>
      <c r="G5551" s="17" t="s">
        <v>35</v>
      </c>
      <c r="H5551" s="17">
        <v>1</v>
      </c>
      <c r="K5551" t="s">
        <v>195</v>
      </c>
      <c r="L5551" t="s">
        <v>196</v>
      </c>
      <c r="M5551" t="s">
        <v>131</v>
      </c>
      <c r="N5551">
        <v>24</v>
      </c>
      <c r="O5551" t="s">
        <v>40</v>
      </c>
      <c r="P5551" t="s">
        <v>40</v>
      </c>
      <c r="Q5551" t="s">
        <v>40</v>
      </c>
      <c r="S5551" t="s">
        <v>40</v>
      </c>
      <c r="V5551" t="s">
        <v>41</v>
      </c>
      <c r="W5551" t="s">
        <v>75</v>
      </c>
      <c r="X5551" t="str">
        <f>"7521046"</f>
        <v>7521046</v>
      </c>
      <c r="Y5551" t="s">
        <v>436</v>
      </c>
      <c r="Z5551" t="s">
        <v>195</v>
      </c>
      <c r="AA5551" t="s">
        <v>196</v>
      </c>
      <c r="AB5551" t="s">
        <v>131</v>
      </c>
      <c r="AC5551" t="s">
        <v>51</v>
      </c>
      <c r="AD5551" t="s">
        <v>45</v>
      </c>
      <c r="AF5551">
        <v>1</v>
      </c>
      <c r="AG5551" t="s">
        <v>196</v>
      </c>
      <c r="AH5551" s="36">
        <f t="shared" si="87"/>
        <v>120.71388888888889</v>
      </c>
      <c r="AI5551" s="17" t="s">
        <v>1773</v>
      </c>
    </row>
    <row r="5552" spans="1:35" x14ac:dyDescent="0.25">
      <c r="A5552" s="36">
        <v>99915550</v>
      </c>
      <c r="B5552" s="17" t="s">
        <v>32</v>
      </c>
      <c r="C5552" t="s">
        <v>111</v>
      </c>
      <c r="D5552" t="s">
        <v>112</v>
      </c>
      <c r="G5552" s="17" t="s">
        <v>48</v>
      </c>
      <c r="H5552" s="17">
        <v>1</v>
      </c>
      <c r="K5552" t="s">
        <v>431</v>
      </c>
      <c r="L5552" t="s">
        <v>196</v>
      </c>
      <c r="M5552" t="s">
        <v>131</v>
      </c>
      <c r="N5552">
        <v>24</v>
      </c>
      <c r="O5552" t="s">
        <v>40</v>
      </c>
      <c r="P5552" t="s">
        <v>40</v>
      </c>
      <c r="Q5552" t="s">
        <v>40</v>
      </c>
      <c r="S5552" t="s">
        <v>40</v>
      </c>
      <c r="V5552" t="s">
        <v>41</v>
      </c>
      <c r="W5552" t="s">
        <v>75</v>
      </c>
      <c r="X5552" t="str">
        <f t="shared" ref="X5552:X5559" si="90">"7521012"</f>
        <v>7521012</v>
      </c>
      <c r="Y5552" t="s">
        <v>432</v>
      </c>
      <c r="Z5552" t="s">
        <v>431</v>
      </c>
      <c r="AA5552" t="s">
        <v>196</v>
      </c>
      <c r="AB5552" t="s">
        <v>131</v>
      </c>
      <c r="AC5552" t="s">
        <v>51</v>
      </c>
      <c r="AD5552" t="s">
        <v>45</v>
      </c>
      <c r="AF5552">
        <v>1</v>
      </c>
      <c r="AG5552" t="s">
        <v>196</v>
      </c>
      <c r="AH5552" s="36">
        <f t="shared" si="87"/>
        <v>120.71388888888889</v>
      </c>
      <c r="AI5552" s="17" t="s">
        <v>1773</v>
      </c>
    </row>
    <row r="5553" spans="1:35" x14ac:dyDescent="0.25">
      <c r="A5553" s="36">
        <v>99915551</v>
      </c>
      <c r="B5553" s="17" t="s">
        <v>32</v>
      </c>
      <c r="C5553" t="s">
        <v>111</v>
      </c>
      <c r="D5553" t="s">
        <v>112</v>
      </c>
      <c r="G5553" s="17" t="s">
        <v>48</v>
      </c>
      <c r="H5553" s="17">
        <v>1</v>
      </c>
      <c r="K5553" t="s">
        <v>431</v>
      </c>
      <c r="L5553" t="s">
        <v>196</v>
      </c>
      <c r="M5553" t="s">
        <v>131</v>
      </c>
      <c r="N5553">
        <v>21</v>
      </c>
      <c r="O5553" t="s">
        <v>40</v>
      </c>
      <c r="P5553" t="s">
        <v>40</v>
      </c>
      <c r="Q5553" t="s">
        <v>40</v>
      </c>
      <c r="S5553" t="s">
        <v>40</v>
      </c>
      <c r="V5553" t="s">
        <v>41</v>
      </c>
      <c r="W5553" t="s">
        <v>75</v>
      </c>
      <c r="X5553" t="str">
        <f t="shared" si="90"/>
        <v>7521012</v>
      </c>
      <c r="Y5553" t="s">
        <v>432</v>
      </c>
      <c r="Z5553" t="s">
        <v>431</v>
      </c>
      <c r="AA5553" t="s">
        <v>196</v>
      </c>
      <c r="AB5553" t="s">
        <v>131</v>
      </c>
      <c r="AC5553" t="s">
        <v>51</v>
      </c>
      <c r="AD5553" t="s">
        <v>45</v>
      </c>
      <c r="AF5553">
        <v>1</v>
      </c>
      <c r="AG5553" t="s">
        <v>196</v>
      </c>
      <c r="AH5553" s="36">
        <f t="shared" si="87"/>
        <v>120.71388888888889</v>
      </c>
      <c r="AI5553" s="17" t="s">
        <v>1773</v>
      </c>
    </row>
    <row r="5554" spans="1:35" x14ac:dyDescent="0.25">
      <c r="A5554" s="36">
        <v>99915552</v>
      </c>
      <c r="B5554" s="17" t="s">
        <v>56</v>
      </c>
      <c r="C5554" t="s">
        <v>111</v>
      </c>
      <c r="D5554" t="s">
        <v>112</v>
      </c>
      <c r="G5554" s="17" t="s">
        <v>48</v>
      </c>
      <c r="H5554" s="17">
        <v>1</v>
      </c>
      <c r="K5554" t="s">
        <v>431</v>
      </c>
      <c r="L5554" t="s">
        <v>196</v>
      </c>
      <c r="M5554" t="s">
        <v>131</v>
      </c>
      <c r="N5554">
        <v>21</v>
      </c>
      <c r="O5554" t="s">
        <v>40</v>
      </c>
      <c r="P5554" t="s">
        <v>40</v>
      </c>
      <c r="Q5554" t="s">
        <v>40</v>
      </c>
      <c r="S5554" t="s">
        <v>40</v>
      </c>
      <c r="V5554" t="s">
        <v>41</v>
      </c>
      <c r="W5554" t="s">
        <v>75</v>
      </c>
      <c r="X5554" t="str">
        <f t="shared" si="90"/>
        <v>7521012</v>
      </c>
      <c r="Y5554" t="s">
        <v>432</v>
      </c>
      <c r="Z5554" t="s">
        <v>431</v>
      </c>
      <c r="AA5554" t="s">
        <v>196</v>
      </c>
      <c r="AB5554" t="s">
        <v>131</v>
      </c>
      <c r="AC5554" t="s">
        <v>165</v>
      </c>
      <c r="AD5554" t="s">
        <v>45</v>
      </c>
      <c r="AF5554">
        <v>1</v>
      </c>
      <c r="AG5554" t="s">
        <v>196</v>
      </c>
      <c r="AH5554" s="36">
        <f t="shared" si="87"/>
        <v>120.71388888888889</v>
      </c>
      <c r="AI5554" s="17" t="s">
        <v>1773</v>
      </c>
    </row>
    <row r="5555" spans="1:35" x14ac:dyDescent="0.25">
      <c r="A5555" s="36">
        <v>99915553</v>
      </c>
      <c r="B5555" s="17" t="s">
        <v>56</v>
      </c>
      <c r="C5555" t="s">
        <v>111</v>
      </c>
      <c r="D5555" t="s">
        <v>112</v>
      </c>
      <c r="G5555" s="17" t="s">
        <v>48</v>
      </c>
      <c r="H5555" s="17">
        <v>1</v>
      </c>
      <c r="K5555" t="s">
        <v>431</v>
      </c>
      <c r="L5555" t="s">
        <v>196</v>
      </c>
      <c r="M5555" t="s">
        <v>131</v>
      </c>
      <c r="N5555">
        <v>23</v>
      </c>
      <c r="O5555" t="s">
        <v>40</v>
      </c>
      <c r="P5555" t="s">
        <v>40</v>
      </c>
      <c r="Q5555" t="s">
        <v>40</v>
      </c>
      <c r="S5555" t="s">
        <v>40</v>
      </c>
      <c r="V5555" t="s">
        <v>41</v>
      </c>
      <c r="W5555" t="s">
        <v>75</v>
      </c>
      <c r="X5555" t="str">
        <f t="shared" si="90"/>
        <v>7521012</v>
      </c>
      <c r="Y5555" t="s">
        <v>432</v>
      </c>
      <c r="Z5555" t="s">
        <v>431</v>
      </c>
      <c r="AA5555" t="s">
        <v>196</v>
      </c>
      <c r="AB5555" t="s">
        <v>131</v>
      </c>
      <c r="AC5555" t="s">
        <v>51</v>
      </c>
      <c r="AD5555" t="s">
        <v>45</v>
      </c>
      <c r="AF5555">
        <v>1</v>
      </c>
      <c r="AG5555" t="s">
        <v>196</v>
      </c>
      <c r="AH5555" s="36">
        <f t="shared" si="87"/>
        <v>120.71388888888889</v>
      </c>
      <c r="AI5555" s="17" t="s">
        <v>1773</v>
      </c>
    </row>
    <row r="5556" spans="1:35" x14ac:dyDescent="0.25">
      <c r="A5556" s="36">
        <v>99915554</v>
      </c>
      <c r="B5556" s="17" t="s">
        <v>32</v>
      </c>
      <c r="C5556" t="s">
        <v>64</v>
      </c>
      <c r="D5556" t="s">
        <v>65</v>
      </c>
      <c r="G5556" s="17" t="s">
        <v>48</v>
      </c>
      <c r="H5556" s="17">
        <v>1</v>
      </c>
      <c r="K5556" t="s">
        <v>431</v>
      </c>
      <c r="L5556" t="s">
        <v>196</v>
      </c>
      <c r="M5556" t="s">
        <v>131</v>
      </c>
      <c r="N5556">
        <v>24</v>
      </c>
      <c r="O5556" t="s">
        <v>40</v>
      </c>
      <c r="P5556" t="s">
        <v>40</v>
      </c>
      <c r="Q5556" t="s">
        <v>40</v>
      </c>
      <c r="S5556" t="s">
        <v>40</v>
      </c>
      <c r="V5556" t="s">
        <v>41</v>
      </c>
      <c r="W5556" t="s">
        <v>75</v>
      </c>
      <c r="X5556" t="str">
        <f t="shared" si="90"/>
        <v>7521012</v>
      </c>
      <c r="Y5556" t="s">
        <v>432</v>
      </c>
      <c r="Z5556" t="s">
        <v>431</v>
      </c>
      <c r="AA5556" t="s">
        <v>196</v>
      </c>
      <c r="AB5556" t="s">
        <v>131</v>
      </c>
      <c r="AC5556" t="s">
        <v>51</v>
      </c>
      <c r="AD5556" t="s">
        <v>45</v>
      </c>
      <c r="AF5556">
        <v>1</v>
      </c>
      <c r="AG5556" t="s">
        <v>196</v>
      </c>
      <c r="AH5556" s="36">
        <f t="shared" si="87"/>
        <v>120.71388888888889</v>
      </c>
      <c r="AI5556" s="17" t="s">
        <v>1773</v>
      </c>
    </row>
    <row r="5557" spans="1:35" x14ac:dyDescent="0.25">
      <c r="A5557" s="36">
        <v>99915555</v>
      </c>
      <c r="B5557" s="17" t="s">
        <v>32</v>
      </c>
      <c r="C5557" t="s">
        <v>141</v>
      </c>
      <c r="D5557" t="s">
        <v>142</v>
      </c>
      <c r="G5557" s="17" t="s">
        <v>48</v>
      </c>
      <c r="H5557" s="17">
        <v>1</v>
      </c>
      <c r="K5557" t="s">
        <v>431</v>
      </c>
      <c r="L5557" t="s">
        <v>196</v>
      </c>
      <c r="M5557" t="s">
        <v>131</v>
      </c>
      <c r="N5557">
        <v>21</v>
      </c>
      <c r="O5557" t="s">
        <v>40</v>
      </c>
      <c r="P5557" t="s">
        <v>40</v>
      </c>
      <c r="Q5557" t="s">
        <v>40</v>
      </c>
      <c r="S5557" t="s">
        <v>40</v>
      </c>
      <c r="V5557" t="s">
        <v>41</v>
      </c>
      <c r="W5557" t="s">
        <v>75</v>
      </c>
      <c r="X5557" t="str">
        <f t="shared" si="90"/>
        <v>7521012</v>
      </c>
      <c r="Y5557" t="s">
        <v>432</v>
      </c>
      <c r="Z5557" t="s">
        <v>431</v>
      </c>
      <c r="AA5557" t="s">
        <v>196</v>
      </c>
      <c r="AB5557" t="s">
        <v>131</v>
      </c>
      <c r="AC5557" t="s">
        <v>165</v>
      </c>
      <c r="AD5557" t="s">
        <v>45</v>
      </c>
      <c r="AF5557">
        <v>1</v>
      </c>
      <c r="AG5557" t="s">
        <v>196</v>
      </c>
      <c r="AH5557" s="36">
        <f t="shared" si="87"/>
        <v>120.71388888888889</v>
      </c>
      <c r="AI5557" s="17" t="s">
        <v>1773</v>
      </c>
    </row>
    <row r="5558" spans="1:35" x14ac:dyDescent="0.25">
      <c r="A5558" s="36">
        <v>99915556</v>
      </c>
      <c r="B5558" s="17" t="s">
        <v>32</v>
      </c>
      <c r="C5558" t="s">
        <v>111</v>
      </c>
      <c r="D5558" t="s">
        <v>112</v>
      </c>
      <c r="G5558" s="17" t="s">
        <v>48</v>
      </c>
      <c r="H5558" s="17">
        <v>1</v>
      </c>
      <c r="K5558" t="s">
        <v>431</v>
      </c>
      <c r="L5558" t="s">
        <v>196</v>
      </c>
      <c r="M5558" t="s">
        <v>131</v>
      </c>
      <c r="N5558">
        <v>21</v>
      </c>
      <c r="O5558" t="s">
        <v>40</v>
      </c>
      <c r="P5558" t="s">
        <v>40</v>
      </c>
      <c r="Q5558" t="s">
        <v>40</v>
      </c>
      <c r="S5558" t="s">
        <v>40</v>
      </c>
      <c r="V5558" t="s">
        <v>41</v>
      </c>
      <c r="W5558" t="s">
        <v>75</v>
      </c>
      <c r="X5558" t="str">
        <f t="shared" si="90"/>
        <v>7521012</v>
      </c>
      <c r="Y5558" t="s">
        <v>432</v>
      </c>
      <c r="Z5558" t="s">
        <v>431</v>
      </c>
      <c r="AA5558" t="s">
        <v>196</v>
      </c>
      <c r="AB5558" t="s">
        <v>131</v>
      </c>
      <c r="AC5558" t="s">
        <v>165</v>
      </c>
      <c r="AD5558" t="s">
        <v>45</v>
      </c>
      <c r="AF5558">
        <v>1</v>
      </c>
      <c r="AG5558" t="s">
        <v>196</v>
      </c>
      <c r="AH5558" s="36">
        <f t="shared" si="87"/>
        <v>120.71388888888889</v>
      </c>
      <c r="AI5558" s="17" t="s">
        <v>1773</v>
      </c>
    </row>
    <row r="5559" spans="1:35" x14ac:dyDescent="0.25">
      <c r="A5559" s="36">
        <v>99915557</v>
      </c>
      <c r="B5559" s="17" t="s">
        <v>32</v>
      </c>
      <c r="C5559" t="s">
        <v>79</v>
      </c>
      <c r="D5559" t="s">
        <v>80</v>
      </c>
      <c r="G5559" s="17" t="s">
        <v>48</v>
      </c>
      <c r="H5559" s="17">
        <v>1</v>
      </c>
      <c r="K5559" t="s">
        <v>431</v>
      </c>
      <c r="L5559" t="s">
        <v>196</v>
      </c>
      <c r="M5559" t="s">
        <v>131</v>
      </c>
      <c r="N5559">
        <v>21</v>
      </c>
      <c r="O5559" t="s">
        <v>40</v>
      </c>
      <c r="P5559" t="s">
        <v>40</v>
      </c>
      <c r="Q5559" t="s">
        <v>40</v>
      </c>
      <c r="S5559" t="s">
        <v>40</v>
      </c>
      <c r="V5559" t="s">
        <v>41</v>
      </c>
      <c r="W5559" t="s">
        <v>75</v>
      </c>
      <c r="X5559" t="str">
        <f t="shared" si="90"/>
        <v>7521012</v>
      </c>
      <c r="Y5559" t="s">
        <v>432</v>
      </c>
      <c r="Z5559" t="s">
        <v>431</v>
      </c>
      <c r="AA5559" t="s">
        <v>196</v>
      </c>
      <c r="AB5559" t="s">
        <v>131</v>
      </c>
      <c r="AC5559" t="s">
        <v>51</v>
      </c>
      <c r="AD5559" t="s">
        <v>45</v>
      </c>
      <c r="AF5559">
        <v>1</v>
      </c>
      <c r="AG5559" t="s">
        <v>196</v>
      </c>
      <c r="AH5559" s="36">
        <f t="shared" si="87"/>
        <v>120.71388888888889</v>
      </c>
      <c r="AI5559" s="17" t="s">
        <v>1773</v>
      </c>
    </row>
    <row r="5560" spans="1:35" x14ac:dyDescent="0.25">
      <c r="A5560" s="36">
        <v>99915558</v>
      </c>
      <c r="B5560" s="17" t="s">
        <v>32</v>
      </c>
      <c r="C5560" t="s">
        <v>90</v>
      </c>
      <c r="D5560" t="s">
        <v>91</v>
      </c>
      <c r="G5560" s="17" t="s">
        <v>48</v>
      </c>
      <c r="H5560" s="17">
        <v>1</v>
      </c>
      <c r="K5560" t="s">
        <v>431</v>
      </c>
      <c r="L5560" t="s">
        <v>196</v>
      </c>
      <c r="M5560" t="s">
        <v>131</v>
      </c>
      <c r="N5560">
        <v>6</v>
      </c>
      <c r="O5560" t="s">
        <v>40</v>
      </c>
      <c r="P5560" t="s">
        <v>40</v>
      </c>
      <c r="Q5560" t="s">
        <v>40</v>
      </c>
      <c r="S5560" t="s">
        <v>40</v>
      </c>
      <c r="V5560" t="s">
        <v>41</v>
      </c>
      <c r="W5560" t="s">
        <v>95</v>
      </c>
      <c r="X5560" t="str">
        <f>"7521059"</f>
        <v>7521059</v>
      </c>
      <c r="Y5560" t="s">
        <v>540</v>
      </c>
      <c r="Z5560" t="s">
        <v>431</v>
      </c>
      <c r="AA5560" t="s">
        <v>196</v>
      </c>
      <c r="AB5560" t="s">
        <v>131</v>
      </c>
      <c r="AC5560" t="s">
        <v>51</v>
      </c>
      <c r="AD5560" t="s">
        <v>45</v>
      </c>
      <c r="AF5560">
        <v>1</v>
      </c>
      <c r="AG5560" t="s">
        <v>196</v>
      </c>
      <c r="AH5560" s="36">
        <f t="shared" si="87"/>
        <v>120.71388888888889</v>
      </c>
      <c r="AI5560" s="17" t="s">
        <v>1773</v>
      </c>
    </row>
    <row r="5561" spans="1:35" x14ac:dyDescent="0.25">
      <c r="A5561" s="36">
        <v>99915559</v>
      </c>
      <c r="B5561" s="17" t="s">
        <v>32</v>
      </c>
      <c r="C5561" t="s">
        <v>111</v>
      </c>
      <c r="D5561" t="s">
        <v>112</v>
      </c>
      <c r="G5561" s="17" t="s">
        <v>35</v>
      </c>
      <c r="H5561" s="17">
        <v>1</v>
      </c>
      <c r="K5561" t="s">
        <v>431</v>
      </c>
      <c r="L5561" t="s">
        <v>196</v>
      </c>
      <c r="M5561" t="s">
        <v>131</v>
      </c>
      <c r="N5561">
        <v>24</v>
      </c>
      <c r="O5561" t="s">
        <v>40</v>
      </c>
      <c r="P5561" t="s">
        <v>40</v>
      </c>
      <c r="Q5561" t="s">
        <v>40</v>
      </c>
      <c r="S5561" t="s">
        <v>40</v>
      </c>
      <c r="V5561" t="s">
        <v>41</v>
      </c>
      <c r="W5561" t="s">
        <v>75</v>
      </c>
      <c r="X5561" t="str">
        <f>"7521056"</f>
        <v>7521056</v>
      </c>
      <c r="Y5561" t="s">
        <v>437</v>
      </c>
      <c r="Z5561" t="s">
        <v>431</v>
      </c>
      <c r="AA5561" t="s">
        <v>196</v>
      </c>
      <c r="AB5561" t="s">
        <v>131</v>
      </c>
      <c r="AC5561" t="s">
        <v>51</v>
      </c>
      <c r="AD5561" t="s">
        <v>45</v>
      </c>
      <c r="AF5561">
        <v>1</v>
      </c>
      <c r="AG5561" t="s">
        <v>196</v>
      </c>
      <c r="AH5561" s="36">
        <f t="shared" si="87"/>
        <v>120.71388888888889</v>
      </c>
      <c r="AI5561" s="17" t="s">
        <v>1773</v>
      </c>
    </row>
    <row r="5562" spans="1:35" x14ac:dyDescent="0.25">
      <c r="A5562" s="36">
        <v>99915560</v>
      </c>
      <c r="B5562" s="17" t="s">
        <v>32</v>
      </c>
      <c r="C5562" t="s">
        <v>111</v>
      </c>
      <c r="D5562" t="s">
        <v>112</v>
      </c>
      <c r="G5562" s="17" t="s">
        <v>48</v>
      </c>
      <c r="H5562" s="17">
        <v>1</v>
      </c>
      <c r="K5562" t="s">
        <v>431</v>
      </c>
      <c r="L5562" t="s">
        <v>196</v>
      </c>
      <c r="M5562" t="s">
        <v>131</v>
      </c>
      <c r="N5562">
        <v>21</v>
      </c>
      <c r="O5562" t="s">
        <v>40</v>
      </c>
      <c r="P5562" t="s">
        <v>40</v>
      </c>
      <c r="Q5562" t="s">
        <v>40</v>
      </c>
      <c r="S5562" t="s">
        <v>40</v>
      </c>
      <c r="V5562" t="s">
        <v>41</v>
      </c>
      <c r="W5562" t="s">
        <v>75</v>
      </c>
      <c r="X5562" t="str">
        <f>"7521012"</f>
        <v>7521012</v>
      </c>
      <c r="Y5562" t="s">
        <v>432</v>
      </c>
      <c r="Z5562" t="s">
        <v>431</v>
      </c>
      <c r="AA5562" t="s">
        <v>196</v>
      </c>
      <c r="AB5562" t="s">
        <v>131</v>
      </c>
      <c r="AC5562" t="s">
        <v>51</v>
      </c>
      <c r="AD5562" t="s">
        <v>45</v>
      </c>
      <c r="AF5562">
        <v>1</v>
      </c>
      <c r="AG5562" t="s">
        <v>196</v>
      </c>
      <c r="AH5562" s="36">
        <f t="shared" si="87"/>
        <v>120.71388888888889</v>
      </c>
      <c r="AI5562" s="17" t="s">
        <v>1773</v>
      </c>
    </row>
    <row r="5563" spans="1:35" x14ac:dyDescent="0.25">
      <c r="A5563" s="36">
        <v>99915561</v>
      </c>
      <c r="B5563" s="17" t="s">
        <v>32</v>
      </c>
      <c r="C5563" t="s">
        <v>111</v>
      </c>
      <c r="D5563" t="s">
        <v>112</v>
      </c>
      <c r="G5563" s="17" t="s">
        <v>35</v>
      </c>
      <c r="H5563" s="17">
        <v>1</v>
      </c>
      <c r="K5563" t="s">
        <v>431</v>
      </c>
      <c r="L5563" t="s">
        <v>196</v>
      </c>
      <c r="M5563" t="s">
        <v>131</v>
      </c>
      <c r="N5563">
        <v>24</v>
      </c>
      <c r="O5563" t="s">
        <v>40</v>
      </c>
      <c r="P5563" t="s">
        <v>40</v>
      </c>
      <c r="Q5563" t="s">
        <v>40</v>
      </c>
      <c r="S5563" t="s">
        <v>40</v>
      </c>
      <c r="V5563" t="s">
        <v>41</v>
      </c>
      <c r="W5563" t="s">
        <v>75</v>
      </c>
      <c r="X5563" t="str">
        <f>"7521056"</f>
        <v>7521056</v>
      </c>
      <c r="Y5563" t="s">
        <v>437</v>
      </c>
      <c r="Z5563" t="s">
        <v>431</v>
      </c>
      <c r="AA5563" t="s">
        <v>196</v>
      </c>
      <c r="AB5563" t="s">
        <v>131</v>
      </c>
      <c r="AC5563" t="s">
        <v>51</v>
      </c>
      <c r="AD5563" t="s">
        <v>45</v>
      </c>
      <c r="AF5563">
        <v>1</v>
      </c>
      <c r="AG5563" t="s">
        <v>196</v>
      </c>
      <c r="AH5563" s="36">
        <f t="shared" si="87"/>
        <v>120.71388888888889</v>
      </c>
      <c r="AI5563" s="17" t="s">
        <v>1773</v>
      </c>
    </row>
    <row r="5564" spans="1:35" x14ac:dyDescent="0.25">
      <c r="A5564" s="36">
        <v>99915562</v>
      </c>
      <c r="B5564" s="17" t="s">
        <v>32</v>
      </c>
      <c r="C5564" t="s">
        <v>64</v>
      </c>
      <c r="D5564" t="s">
        <v>65</v>
      </c>
      <c r="G5564" s="17" t="s">
        <v>35</v>
      </c>
      <c r="H5564" s="17">
        <v>1</v>
      </c>
      <c r="K5564" t="s">
        <v>195</v>
      </c>
      <c r="L5564" t="s">
        <v>196</v>
      </c>
      <c r="M5564" t="s">
        <v>131</v>
      </c>
      <c r="N5564">
        <v>21</v>
      </c>
      <c r="O5564" t="s">
        <v>40</v>
      </c>
      <c r="P5564" t="s">
        <v>40</v>
      </c>
      <c r="Q5564" t="s">
        <v>40</v>
      </c>
      <c r="S5564" t="s">
        <v>40</v>
      </c>
      <c r="V5564" t="s">
        <v>41</v>
      </c>
      <c r="W5564" t="s">
        <v>75</v>
      </c>
      <c r="X5564" t="str">
        <f>"7521044"</f>
        <v>7521044</v>
      </c>
      <c r="Y5564" t="s">
        <v>453</v>
      </c>
      <c r="Z5564" t="s">
        <v>195</v>
      </c>
      <c r="AA5564" t="s">
        <v>196</v>
      </c>
      <c r="AB5564" t="s">
        <v>131</v>
      </c>
      <c r="AC5564" t="s">
        <v>51</v>
      </c>
      <c r="AD5564" t="s">
        <v>45</v>
      </c>
      <c r="AF5564">
        <v>1</v>
      </c>
      <c r="AG5564" t="s">
        <v>196</v>
      </c>
      <c r="AH5564" s="36">
        <f t="shared" si="87"/>
        <v>120.71388888888889</v>
      </c>
      <c r="AI5564" s="17" t="s">
        <v>1773</v>
      </c>
    </row>
    <row r="5565" spans="1:35" x14ac:dyDescent="0.25">
      <c r="A5565" s="36">
        <v>99915563</v>
      </c>
      <c r="B5565" s="17" t="s">
        <v>32</v>
      </c>
      <c r="C5565" t="s">
        <v>139</v>
      </c>
      <c r="D5565" t="s">
        <v>140</v>
      </c>
      <c r="G5565" s="17" t="s">
        <v>48</v>
      </c>
      <c r="H5565" s="17">
        <v>1</v>
      </c>
      <c r="K5565" t="s">
        <v>431</v>
      </c>
      <c r="L5565" t="s">
        <v>196</v>
      </c>
      <c r="M5565" t="s">
        <v>131</v>
      </c>
      <c r="N5565">
        <v>8</v>
      </c>
      <c r="O5565" t="s">
        <v>40</v>
      </c>
      <c r="P5565" t="s">
        <v>40</v>
      </c>
      <c r="Q5565" t="s">
        <v>40</v>
      </c>
      <c r="S5565" t="s">
        <v>40</v>
      </c>
      <c r="V5565" t="s">
        <v>41</v>
      </c>
      <c r="W5565" t="s">
        <v>75</v>
      </c>
      <c r="X5565" t="str">
        <f>"7521012"</f>
        <v>7521012</v>
      </c>
      <c r="Y5565" t="s">
        <v>432</v>
      </c>
      <c r="Z5565" t="s">
        <v>431</v>
      </c>
      <c r="AA5565" t="s">
        <v>196</v>
      </c>
      <c r="AB5565" t="s">
        <v>131</v>
      </c>
      <c r="AC5565" t="s">
        <v>51</v>
      </c>
      <c r="AD5565" t="s">
        <v>45</v>
      </c>
      <c r="AF5565">
        <v>1</v>
      </c>
      <c r="AG5565" t="s">
        <v>196</v>
      </c>
      <c r="AH5565" s="36">
        <f t="shared" si="87"/>
        <v>120.71388888888889</v>
      </c>
      <c r="AI5565" s="17" t="s">
        <v>1773</v>
      </c>
    </row>
    <row r="5566" spans="1:35" x14ac:dyDescent="0.25">
      <c r="A5566" s="36">
        <v>99915564</v>
      </c>
      <c r="B5566" s="17" t="s">
        <v>32</v>
      </c>
      <c r="C5566" t="s">
        <v>111</v>
      </c>
      <c r="D5566" t="s">
        <v>112</v>
      </c>
      <c r="G5566" s="17" t="s">
        <v>35</v>
      </c>
      <c r="H5566" s="17">
        <v>1</v>
      </c>
      <c r="K5566" t="s">
        <v>431</v>
      </c>
      <c r="L5566" t="s">
        <v>196</v>
      </c>
      <c r="M5566" t="s">
        <v>131</v>
      </c>
      <c r="N5566">
        <v>24</v>
      </c>
      <c r="O5566" t="s">
        <v>40</v>
      </c>
      <c r="P5566" t="s">
        <v>40</v>
      </c>
      <c r="Q5566" t="s">
        <v>40</v>
      </c>
      <c r="S5566" t="s">
        <v>40</v>
      </c>
      <c r="V5566" t="s">
        <v>41</v>
      </c>
      <c r="W5566" t="s">
        <v>75</v>
      </c>
      <c r="X5566" t="str">
        <f>"7521056"</f>
        <v>7521056</v>
      </c>
      <c r="Y5566" t="s">
        <v>437</v>
      </c>
      <c r="Z5566" t="s">
        <v>431</v>
      </c>
      <c r="AA5566" t="s">
        <v>196</v>
      </c>
      <c r="AB5566" t="s">
        <v>131</v>
      </c>
      <c r="AC5566" t="s">
        <v>51</v>
      </c>
      <c r="AD5566" t="s">
        <v>45</v>
      </c>
      <c r="AF5566">
        <v>1</v>
      </c>
      <c r="AG5566" t="s">
        <v>196</v>
      </c>
      <c r="AH5566" s="36">
        <f t="shared" si="87"/>
        <v>120.71388888888889</v>
      </c>
      <c r="AI5566" s="17" t="s">
        <v>1773</v>
      </c>
    </row>
    <row r="5567" spans="1:35" x14ac:dyDescent="0.25">
      <c r="A5567" s="36">
        <v>99915565</v>
      </c>
      <c r="B5567" s="17" t="s">
        <v>56</v>
      </c>
      <c r="C5567" t="s">
        <v>111</v>
      </c>
      <c r="D5567" t="s">
        <v>112</v>
      </c>
      <c r="G5567" s="17" t="s">
        <v>35</v>
      </c>
      <c r="H5567" s="17">
        <v>1</v>
      </c>
      <c r="K5567" t="s">
        <v>195</v>
      </c>
      <c r="L5567" t="s">
        <v>196</v>
      </c>
      <c r="M5567" t="s">
        <v>131</v>
      </c>
      <c r="N5567">
        <v>21</v>
      </c>
      <c r="O5567" t="s">
        <v>40</v>
      </c>
      <c r="P5567" t="s">
        <v>40</v>
      </c>
      <c r="Q5567" t="s">
        <v>40</v>
      </c>
      <c r="S5567" t="s">
        <v>40</v>
      </c>
      <c r="V5567" t="s">
        <v>41</v>
      </c>
      <c r="W5567" t="s">
        <v>75</v>
      </c>
      <c r="X5567" t="str">
        <f>"7521044"</f>
        <v>7521044</v>
      </c>
      <c r="Y5567" t="s">
        <v>453</v>
      </c>
      <c r="Z5567" t="s">
        <v>195</v>
      </c>
      <c r="AA5567" t="s">
        <v>196</v>
      </c>
      <c r="AB5567" t="s">
        <v>131</v>
      </c>
      <c r="AC5567" t="s">
        <v>165</v>
      </c>
      <c r="AD5567" t="s">
        <v>45</v>
      </c>
      <c r="AF5567">
        <v>1</v>
      </c>
      <c r="AG5567" t="s">
        <v>196</v>
      </c>
      <c r="AH5567" s="36">
        <f t="shared" si="87"/>
        <v>120.71388888888889</v>
      </c>
      <c r="AI5567" s="17" t="s">
        <v>1773</v>
      </c>
    </row>
    <row r="5568" spans="1:35" x14ac:dyDescent="0.25">
      <c r="A5568" s="36">
        <v>99915566</v>
      </c>
      <c r="B5568" s="17" t="s">
        <v>32</v>
      </c>
      <c r="C5568" t="s">
        <v>111</v>
      </c>
      <c r="D5568" t="s">
        <v>112</v>
      </c>
      <c r="G5568" s="17" t="s">
        <v>48</v>
      </c>
      <c r="H5568" s="17">
        <v>1</v>
      </c>
      <c r="K5568" t="s">
        <v>431</v>
      </c>
      <c r="L5568" t="s">
        <v>196</v>
      </c>
      <c r="M5568" t="s">
        <v>131</v>
      </c>
      <c r="N5568">
        <v>22</v>
      </c>
      <c r="O5568" t="s">
        <v>40</v>
      </c>
      <c r="P5568" t="s">
        <v>40</v>
      </c>
      <c r="Q5568" t="s">
        <v>40</v>
      </c>
      <c r="S5568" t="s">
        <v>40</v>
      </c>
      <c r="V5568" t="s">
        <v>41</v>
      </c>
      <c r="W5568" t="s">
        <v>75</v>
      </c>
      <c r="X5568" t="str">
        <f>"7521012"</f>
        <v>7521012</v>
      </c>
      <c r="Y5568" t="s">
        <v>432</v>
      </c>
      <c r="Z5568" t="s">
        <v>431</v>
      </c>
      <c r="AA5568" t="s">
        <v>196</v>
      </c>
      <c r="AB5568" t="s">
        <v>131</v>
      </c>
      <c r="AC5568" t="s">
        <v>51</v>
      </c>
      <c r="AD5568" t="s">
        <v>45</v>
      </c>
      <c r="AF5568">
        <v>1</v>
      </c>
      <c r="AG5568" t="s">
        <v>196</v>
      </c>
      <c r="AH5568" s="36">
        <f t="shared" si="87"/>
        <v>120.71388888888889</v>
      </c>
      <c r="AI5568" s="17" t="s">
        <v>1773</v>
      </c>
    </row>
    <row r="5569" spans="1:35" x14ac:dyDescent="0.25">
      <c r="A5569" s="36">
        <v>99915567</v>
      </c>
      <c r="B5569" s="17" t="s">
        <v>32</v>
      </c>
      <c r="C5569" t="s">
        <v>111</v>
      </c>
      <c r="D5569" t="s">
        <v>112</v>
      </c>
      <c r="G5569" s="17" t="s">
        <v>48</v>
      </c>
      <c r="H5569" s="17">
        <v>1</v>
      </c>
      <c r="K5569" t="s">
        <v>431</v>
      </c>
      <c r="L5569" t="s">
        <v>196</v>
      </c>
      <c r="M5569" t="s">
        <v>131</v>
      </c>
      <c r="N5569">
        <v>23</v>
      </c>
      <c r="O5569" t="s">
        <v>40</v>
      </c>
      <c r="P5569" t="s">
        <v>40</v>
      </c>
      <c r="Q5569" t="s">
        <v>40</v>
      </c>
      <c r="S5569" t="s">
        <v>40</v>
      </c>
      <c r="V5569" t="s">
        <v>41</v>
      </c>
      <c r="W5569" t="s">
        <v>75</v>
      </c>
      <c r="X5569" t="str">
        <f>"7521012"</f>
        <v>7521012</v>
      </c>
      <c r="Y5569" t="s">
        <v>432</v>
      </c>
      <c r="Z5569" t="s">
        <v>431</v>
      </c>
      <c r="AA5569" t="s">
        <v>196</v>
      </c>
      <c r="AB5569" t="s">
        <v>131</v>
      </c>
      <c r="AC5569" t="s">
        <v>51</v>
      </c>
      <c r="AD5569" t="s">
        <v>45</v>
      </c>
      <c r="AF5569">
        <v>1</v>
      </c>
      <c r="AG5569" t="s">
        <v>196</v>
      </c>
      <c r="AH5569" s="36">
        <f t="shared" si="87"/>
        <v>120.71388888888889</v>
      </c>
      <c r="AI5569" s="17" t="s">
        <v>1773</v>
      </c>
    </row>
    <row r="5570" spans="1:35" x14ac:dyDescent="0.25">
      <c r="A5570" s="36">
        <v>99915568</v>
      </c>
      <c r="B5570" s="17" t="s">
        <v>32</v>
      </c>
      <c r="C5570" t="s">
        <v>143</v>
      </c>
      <c r="D5570" t="s">
        <v>144</v>
      </c>
      <c r="G5570" s="17" t="s">
        <v>48</v>
      </c>
      <c r="H5570" s="17">
        <v>1</v>
      </c>
      <c r="K5570" t="s">
        <v>431</v>
      </c>
      <c r="L5570" t="s">
        <v>196</v>
      </c>
      <c r="M5570" t="s">
        <v>131</v>
      </c>
      <c r="N5570">
        <v>22</v>
      </c>
      <c r="O5570" t="s">
        <v>40</v>
      </c>
      <c r="P5570" t="s">
        <v>40</v>
      </c>
      <c r="Q5570" t="s">
        <v>40</v>
      </c>
      <c r="S5570" t="s">
        <v>40</v>
      </c>
      <c r="V5570" t="s">
        <v>41</v>
      </c>
      <c r="W5570" t="s">
        <v>75</v>
      </c>
      <c r="X5570" t="str">
        <f>"7521012"</f>
        <v>7521012</v>
      </c>
      <c r="Y5570" t="s">
        <v>432</v>
      </c>
      <c r="Z5570" t="s">
        <v>431</v>
      </c>
      <c r="AA5570" t="s">
        <v>196</v>
      </c>
      <c r="AB5570" t="s">
        <v>131</v>
      </c>
      <c r="AC5570" t="s">
        <v>51</v>
      </c>
      <c r="AD5570" t="s">
        <v>45</v>
      </c>
      <c r="AF5570">
        <v>1</v>
      </c>
      <c r="AG5570" t="s">
        <v>196</v>
      </c>
      <c r="AH5570" s="36">
        <f t="shared" ref="AH5570:AH5633" si="91">($AJ$1-AE5570)/360</f>
        <v>120.71388888888889</v>
      </c>
      <c r="AI5570" s="17" t="s">
        <v>1773</v>
      </c>
    </row>
    <row r="5571" spans="1:35" x14ac:dyDescent="0.25">
      <c r="A5571" s="36">
        <v>99915569</v>
      </c>
      <c r="B5571" s="17" t="s">
        <v>32</v>
      </c>
      <c r="C5571" t="s">
        <v>111</v>
      </c>
      <c r="D5571" t="s">
        <v>112</v>
      </c>
      <c r="G5571" s="17" t="s">
        <v>35</v>
      </c>
      <c r="H5571" s="17">
        <v>1</v>
      </c>
      <c r="K5571" t="s">
        <v>195</v>
      </c>
      <c r="L5571" t="s">
        <v>196</v>
      </c>
      <c r="M5571" t="s">
        <v>131</v>
      </c>
      <c r="N5571">
        <v>22</v>
      </c>
      <c r="O5571" t="s">
        <v>40</v>
      </c>
      <c r="P5571" t="s">
        <v>40</v>
      </c>
      <c r="Q5571" t="s">
        <v>40</v>
      </c>
      <c r="S5571" t="s">
        <v>40</v>
      </c>
      <c r="V5571" t="s">
        <v>41</v>
      </c>
      <c r="W5571" t="s">
        <v>75</v>
      </c>
      <c r="X5571" t="str">
        <f>"7521042"</f>
        <v>7521042</v>
      </c>
      <c r="Y5571" t="s">
        <v>440</v>
      </c>
      <c r="Z5571" t="s">
        <v>195</v>
      </c>
      <c r="AA5571" t="s">
        <v>196</v>
      </c>
      <c r="AB5571" t="s">
        <v>131</v>
      </c>
      <c r="AC5571" t="s">
        <v>51</v>
      </c>
      <c r="AD5571" t="s">
        <v>45</v>
      </c>
      <c r="AF5571">
        <v>1</v>
      </c>
      <c r="AG5571" t="s">
        <v>196</v>
      </c>
      <c r="AH5571" s="36">
        <f t="shared" si="91"/>
        <v>120.71388888888889</v>
      </c>
      <c r="AI5571" s="17" t="s">
        <v>1773</v>
      </c>
    </row>
    <row r="5572" spans="1:35" x14ac:dyDescent="0.25">
      <c r="A5572" s="36">
        <v>99915570</v>
      </c>
      <c r="B5572" s="17" t="s">
        <v>32</v>
      </c>
      <c r="C5572" t="s">
        <v>61</v>
      </c>
      <c r="D5572" t="s">
        <v>62</v>
      </c>
      <c r="G5572" s="17" t="s">
        <v>35</v>
      </c>
      <c r="H5572" s="17">
        <v>1</v>
      </c>
      <c r="K5572" t="s">
        <v>431</v>
      </c>
      <c r="L5572" t="s">
        <v>196</v>
      </c>
      <c r="M5572" t="s">
        <v>131</v>
      </c>
      <c r="N5572">
        <v>20</v>
      </c>
      <c r="O5572" t="s">
        <v>40</v>
      </c>
      <c r="P5572" t="s">
        <v>40</v>
      </c>
      <c r="Q5572" t="s">
        <v>40</v>
      </c>
      <c r="S5572" t="s">
        <v>40</v>
      </c>
      <c r="V5572" t="s">
        <v>41</v>
      </c>
      <c r="W5572" t="s">
        <v>75</v>
      </c>
      <c r="X5572" t="str">
        <f>"7521056"</f>
        <v>7521056</v>
      </c>
      <c r="Y5572" t="s">
        <v>437</v>
      </c>
      <c r="Z5572" t="s">
        <v>431</v>
      </c>
      <c r="AA5572" t="s">
        <v>196</v>
      </c>
      <c r="AB5572" t="s">
        <v>131</v>
      </c>
      <c r="AC5572" t="s">
        <v>51</v>
      </c>
      <c r="AD5572" t="s">
        <v>45</v>
      </c>
      <c r="AF5572">
        <v>1</v>
      </c>
      <c r="AG5572" t="s">
        <v>196</v>
      </c>
      <c r="AH5572" s="36">
        <f t="shared" si="91"/>
        <v>120.71388888888889</v>
      </c>
      <c r="AI5572" s="17" t="s">
        <v>1773</v>
      </c>
    </row>
    <row r="5573" spans="1:35" x14ac:dyDescent="0.25">
      <c r="A5573" s="36">
        <v>99915571</v>
      </c>
      <c r="B5573" s="17" t="s">
        <v>32</v>
      </c>
      <c r="C5573" t="s">
        <v>111</v>
      </c>
      <c r="D5573" t="s">
        <v>112</v>
      </c>
      <c r="G5573" s="17" t="s">
        <v>35</v>
      </c>
      <c r="H5573" s="17">
        <v>1</v>
      </c>
      <c r="K5573" t="s">
        <v>195</v>
      </c>
      <c r="L5573" t="s">
        <v>196</v>
      </c>
      <c r="M5573" t="s">
        <v>131</v>
      </c>
      <c r="N5573">
        <v>21</v>
      </c>
      <c r="O5573" t="s">
        <v>40</v>
      </c>
      <c r="P5573" t="s">
        <v>40</v>
      </c>
      <c r="Q5573" t="s">
        <v>40</v>
      </c>
      <c r="S5573" t="s">
        <v>40</v>
      </c>
      <c r="V5573" t="s">
        <v>41</v>
      </c>
      <c r="W5573" t="s">
        <v>75</v>
      </c>
      <c r="X5573" t="str">
        <f>"7521046"</f>
        <v>7521046</v>
      </c>
      <c r="Y5573" t="s">
        <v>436</v>
      </c>
      <c r="Z5573" t="s">
        <v>195</v>
      </c>
      <c r="AA5573" t="s">
        <v>196</v>
      </c>
      <c r="AB5573" t="s">
        <v>131</v>
      </c>
      <c r="AC5573" t="s">
        <v>165</v>
      </c>
      <c r="AD5573" t="s">
        <v>45</v>
      </c>
      <c r="AF5573">
        <v>1</v>
      </c>
      <c r="AG5573" t="s">
        <v>196</v>
      </c>
      <c r="AH5573" s="36">
        <f t="shared" si="91"/>
        <v>120.71388888888889</v>
      </c>
      <c r="AI5573" s="17" t="s">
        <v>1773</v>
      </c>
    </row>
    <row r="5574" spans="1:35" x14ac:dyDescent="0.25">
      <c r="A5574" s="36">
        <v>99915572</v>
      </c>
      <c r="B5574" s="17" t="s">
        <v>56</v>
      </c>
      <c r="C5574" t="s">
        <v>111</v>
      </c>
      <c r="D5574" t="s">
        <v>112</v>
      </c>
      <c r="G5574" s="17" t="s">
        <v>48</v>
      </c>
      <c r="H5574" s="17">
        <v>1</v>
      </c>
      <c r="K5574" t="s">
        <v>431</v>
      </c>
      <c r="L5574" t="s">
        <v>196</v>
      </c>
      <c r="M5574" t="s">
        <v>131</v>
      </c>
      <c r="N5574">
        <v>22</v>
      </c>
      <c r="O5574" t="s">
        <v>40</v>
      </c>
      <c r="P5574" t="s">
        <v>40</v>
      </c>
      <c r="Q5574" t="s">
        <v>40</v>
      </c>
      <c r="S5574" t="s">
        <v>40</v>
      </c>
      <c r="V5574" t="s">
        <v>41</v>
      </c>
      <c r="W5574" t="s">
        <v>75</v>
      </c>
      <c r="X5574" t="str">
        <f>"7521012"</f>
        <v>7521012</v>
      </c>
      <c r="Y5574" t="s">
        <v>432</v>
      </c>
      <c r="Z5574" t="s">
        <v>431</v>
      </c>
      <c r="AA5574" t="s">
        <v>196</v>
      </c>
      <c r="AB5574" t="s">
        <v>131</v>
      </c>
      <c r="AC5574" t="s">
        <v>51</v>
      </c>
      <c r="AD5574" t="s">
        <v>45</v>
      </c>
      <c r="AF5574">
        <v>1</v>
      </c>
      <c r="AG5574" t="s">
        <v>196</v>
      </c>
      <c r="AH5574" s="36">
        <f t="shared" si="91"/>
        <v>120.71388888888889</v>
      </c>
      <c r="AI5574" s="17" t="s">
        <v>1773</v>
      </c>
    </row>
    <row r="5575" spans="1:35" x14ac:dyDescent="0.25">
      <c r="A5575" s="36">
        <v>99915573</v>
      </c>
      <c r="B5575" s="17" t="s">
        <v>32</v>
      </c>
      <c r="C5575" t="s">
        <v>143</v>
      </c>
      <c r="D5575" t="s">
        <v>144</v>
      </c>
      <c r="G5575" s="17" t="s">
        <v>35</v>
      </c>
      <c r="H5575" s="17">
        <v>1</v>
      </c>
      <c r="K5575" t="s">
        <v>195</v>
      </c>
      <c r="L5575" t="s">
        <v>196</v>
      </c>
      <c r="M5575" t="s">
        <v>131</v>
      </c>
      <c r="N5575">
        <v>23</v>
      </c>
      <c r="O5575" t="s">
        <v>40</v>
      </c>
      <c r="P5575" t="s">
        <v>40</v>
      </c>
      <c r="Q5575" t="s">
        <v>40</v>
      </c>
      <c r="S5575" t="s">
        <v>40</v>
      </c>
      <c r="V5575" t="s">
        <v>41</v>
      </c>
      <c r="W5575" t="s">
        <v>75</v>
      </c>
      <c r="X5575" t="str">
        <f>"7521046"</f>
        <v>7521046</v>
      </c>
      <c r="Y5575" t="s">
        <v>436</v>
      </c>
      <c r="Z5575" t="s">
        <v>195</v>
      </c>
      <c r="AA5575" t="s">
        <v>196</v>
      </c>
      <c r="AB5575" t="s">
        <v>131</v>
      </c>
      <c r="AC5575" t="s">
        <v>51</v>
      </c>
      <c r="AD5575" t="s">
        <v>45</v>
      </c>
      <c r="AF5575">
        <v>1</v>
      </c>
      <c r="AG5575" t="s">
        <v>196</v>
      </c>
      <c r="AH5575" s="36">
        <f t="shared" si="91"/>
        <v>120.71388888888889</v>
      </c>
      <c r="AI5575" s="17" t="s">
        <v>1773</v>
      </c>
    </row>
    <row r="5576" spans="1:35" x14ac:dyDescent="0.25">
      <c r="A5576" s="36">
        <v>99915574</v>
      </c>
      <c r="B5576" s="17" t="s">
        <v>32</v>
      </c>
      <c r="C5576" t="s">
        <v>139</v>
      </c>
      <c r="D5576" t="s">
        <v>140</v>
      </c>
      <c r="G5576" s="17" t="s">
        <v>48</v>
      </c>
      <c r="H5576" s="17">
        <v>1</v>
      </c>
      <c r="K5576" t="s">
        <v>431</v>
      </c>
      <c r="L5576" t="s">
        <v>196</v>
      </c>
      <c r="M5576" t="s">
        <v>131</v>
      </c>
      <c r="N5576">
        <v>8</v>
      </c>
      <c r="O5576" t="s">
        <v>40</v>
      </c>
      <c r="P5576" t="s">
        <v>40</v>
      </c>
      <c r="Q5576" t="s">
        <v>40</v>
      </c>
      <c r="S5576" t="s">
        <v>40</v>
      </c>
      <c r="V5576" t="s">
        <v>41</v>
      </c>
      <c r="W5576" t="s">
        <v>75</v>
      </c>
      <c r="X5576" t="str">
        <f>"7521012"</f>
        <v>7521012</v>
      </c>
      <c r="Y5576" t="s">
        <v>432</v>
      </c>
      <c r="Z5576" t="s">
        <v>431</v>
      </c>
      <c r="AA5576" t="s">
        <v>196</v>
      </c>
      <c r="AB5576" t="s">
        <v>131</v>
      </c>
      <c r="AC5576" t="s">
        <v>51</v>
      </c>
      <c r="AD5576" t="s">
        <v>45</v>
      </c>
      <c r="AF5576">
        <v>1</v>
      </c>
      <c r="AG5576" t="s">
        <v>196</v>
      </c>
      <c r="AH5576" s="36">
        <f t="shared" si="91"/>
        <v>120.71388888888889</v>
      </c>
      <c r="AI5576" s="17" t="s">
        <v>1773</v>
      </c>
    </row>
    <row r="5577" spans="1:35" x14ac:dyDescent="0.25">
      <c r="A5577" s="36">
        <v>99915575</v>
      </c>
      <c r="B5577" s="17" t="s">
        <v>32</v>
      </c>
      <c r="C5577" t="s">
        <v>64</v>
      </c>
      <c r="D5577" t="s">
        <v>65</v>
      </c>
      <c r="G5577" s="17" t="s">
        <v>35</v>
      </c>
      <c r="H5577" s="17">
        <v>1</v>
      </c>
      <c r="K5577" t="s">
        <v>195</v>
      </c>
      <c r="L5577" t="s">
        <v>196</v>
      </c>
      <c r="M5577" t="s">
        <v>131</v>
      </c>
      <c r="N5577">
        <v>21</v>
      </c>
      <c r="O5577" t="s">
        <v>40</v>
      </c>
      <c r="P5577" t="s">
        <v>40</v>
      </c>
      <c r="Q5577" t="s">
        <v>40</v>
      </c>
      <c r="S5577" t="s">
        <v>40</v>
      </c>
      <c r="V5577" t="s">
        <v>41</v>
      </c>
      <c r="W5577" t="s">
        <v>75</v>
      </c>
      <c r="X5577" t="str">
        <f>"7521042"</f>
        <v>7521042</v>
      </c>
      <c r="Y5577" t="s">
        <v>440</v>
      </c>
      <c r="Z5577" t="s">
        <v>195</v>
      </c>
      <c r="AA5577" t="s">
        <v>196</v>
      </c>
      <c r="AB5577" t="s">
        <v>131</v>
      </c>
      <c r="AC5577" t="s">
        <v>165</v>
      </c>
      <c r="AD5577" t="s">
        <v>45</v>
      </c>
      <c r="AF5577">
        <v>1</v>
      </c>
      <c r="AG5577" t="s">
        <v>196</v>
      </c>
      <c r="AH5577" s="36">
        <f t="shared" si="91"/>
        <v>120.71388888888889</v>
      </c>
      <c r="AI5577" s="17" t="s">
        <v>1773</v>
      </c>
    </row>
    <row r="5578" spans="1:35" x14ac:dyDescent="0.25">
      <c r="A5578" s="36">
        <v>99915576</v>
      </c>
      <c r="B5578" s="17" t="s">
        <v>32</v>
      </c>
      <c r="C5578" t="s">
        <v>71</v>
      </c>
      <c r="D5578" t="s">
        <v>72</v>
      </c>
      <c r="G5578" s="17" t="s">
        <v>48</v>
      </c>
      <c r="H5578" s="17">
        <v>1</v>
      </c>
      <c r="K5578" t="s">
        <v>431</v>
      </c>
      <c r="L5578" t="s">
        <v>196</v>
      </c>
      <c r="M5578" t="s">
        <v>131</v>
      </c>
      <c r="N5578">
        <v>8</v>
      </c>
      <c r="O5578" t="s">
        <v>40</v>
      </c>
      <c r="P5578" t="s">
        <v>40</v>
      </c>
      <c r="Q5578" t="s">
        <v>40</v>
      </c>
      <c r="S5578" t="s">
        <v>40</v>
      </c>
      <c r="V5578" t="s">
        <v>41</v>
      </c>
      <c r="W5578" t="s">
        <v>75</v>
      </c>
      <c r="X5578" t="str">
        <f>"7521012"</f>
        <v>7521012</v>
      </c>
      <c r="Y5578" t="s">
        <v>432</v>
      </c>
      <c r="Z5578" t="s">
        <v>431</v>
      </c>
      <c r="AA5578" t="s">
        <v>196</v>
      </c>
      <c r="AB5578" t="s">
        <v>131</v>
      </c>
      <c r="AC5578" t="s">
        <v>51</v>
      </c>
      <c r="AD5578" t="s">
        <v>45</v>
      </c>
      <c r="AF5578">
        <v>1</v>
      </c>
      <c r="AG5578" t="s">
        <v>196</v>
      </c>
      <c r="AH5578" s="36">
        <f t="shared" si="91"/>
        <v>120.71388888888889</v>
      </c>
      <c r="AI5578" s="17" t="s">
        <v>1773</v>
      </c>
    </row>
    <row r="5579" spans="1:35" x14ac:dyDescent="0.25">
      <c r="A5579" s="36">
        <v>99915577</v>
      </c>
      <c r="B5579" s="17" t="s">
        <v>32</v>
      </c>
      <c r="C5579" t="s">
        <v>111</v>
      </c>
      <c r="D5579" t="s">
        <v>112</v>
      </c>
      <c r="G5579" s="17" t="s">
        <v>35</v>
      </c>
      <c r="H5579" s="17">
        <v>1</v>
      </c>
      <c r="K5579" t="s">
        <v>195</v>
      </c>
      <c r="L5579" t="s">
        <v>196</v>
      </c>
      <c r="M5579" t="s">
        <v>131</v>
      </c>
      <c r="N5579">
        <v>21</v>
      </c>
      <c r="O5579" t="s">
        <v>40</v>
      </c>
      <c r="P5579" t="s">
        <v>40</v>
      </c>
      <c r="Q5579" t="s">
        <v>40</v>
      </c>
      <c r="S5579" t="s">
        <v>40</v>
      </c>
      <c r="V5579" t="s">
        <v>41</v>
      </c>
      <c r="W5579" t="s">
        <v>75</v>
      </c>
      <c r="X5579" t="str">
        <f>"7521044"</f>
        <v>7521044</v>
      </c>
      <c r="Y5579" t="s">
        <v>453</v>
      </c>
      <c r="Z5579" t="s">
        <v>195</v>
      </c>
      <c r="AA5579" t="s">
        <v>196</v>
      </c>
      <c r="AB5579" t="s">
        <v>131</v>
      </c>
      <c r="AC5579" t="s">
        <v>165</v>
      </c>
      <c r="AD5579" t="s">
        <v>45</v>
      </c>
      <c r="AF5579">
        <v>1</v>
      </c>
      <c r="AG5579" t="s">
        <v>196</v>
      </c>
      <c r="AH5579" s="36">
        <f t="shared" si="91"/>
        <v>120.71388888888889</v>
      </c>
      <c r="AI5579" s="17" t="s">
        <v>1773</v>
      </c>
    </row>
    <row r="5580" spans="1:35" x14ac:dyDescent="0.25">
      <c r="A5580" s="36">
        <v>99915578</v>
      </c>
      <c r="B5580" s="17" t="s">
        <v>32</v>
      </c>
      <c r="C5580" t="s">
        <v>71</v>
      </c>
      <c r="D5580" t="s">
        <v>72</v>
      </c>
      <c r="G5580" s="17" t="s">
        <v>48</v>
      </c>
      <c r="H5580" s="17">
        <v>1</v>
      </c>
      <c r="K5580" t="s">
        <v>431</v>
      </c>
      <c r="L5580" t="s">
        <v>196</v>
      </c>
      <c r="M5580" t="s">
        <v>131</v>
      </c>
      <c r="N5580">
        <v>8</v>
      </c>
      <c r="O5580" t="s">
        <v>40</v>
      </c>
      <c r="P5580" t="s">
        <v>40</v>
      </c>
      <c r="Q5580" t="s">
        <v>40</v>
      </c>
      <c r="S5580" t="s">
        <v>40</v>
      </c>
      <c r="V5580" t="s">
        <v>41</v>
      </c>
      <c r="W5580" t="s">
        <v>75</v>
      </c>
      <c r="X5580" t="str">
        <f>"7521012"</f>
        <v>7521012</v>
      </c>
      <c r="Y5580" t="s">
        <v>432</v>
      </c>
      <c r="Z5580" t="s">
        <v>431</v>
      </c>
      <c r="AA5580" t="s">
        <v>196</v>
      </c>
      <c r="AB5580" t="s">
        <v>131</v>
      </c>
      <c r="AC5580" t="s">
        <v>51</v>
      </c>
      <c r="AD5580" t="s">
        <v>45</v>
      </c>
      <c r="AF5580">
        <v>1</v>
      </c>
      <c r="AG5580" t="s">
        <v>196</v>
      </c>
      <c r="AH5580" s="36">
        <f t="shared" si="91"/>
        <v>120.71388888888889</v>
      </c>
      <c r="AI5580" s="17" t="s">
        <v>1773</v>
      </c>
    </row>
    <row r="5581" spans="1:35" x14ac:dyDescent="0.25">
      <c r="A5581" s="36">
        <v>99915579</v>
      </c>
      <c r="B5581" s="17" t="s">
        <v>32</v>
      </c>
      <c r="C5581" t="s">
        <v>111</v>
      </c>
      <c r="D5581" t="s">
        <v>112</v>
      </c>
      <c r="G5581" s="17" t="s">
        <v>48</v>
      </c>
      <c r="H5581" s="17">
        <v>1</v>
      </c>
      <c r="K5581" t="s">
        <v>431</v>
      </c>
      <c r="L5581" t="s">
        <v>196</v>
      </c>
      <c r="M5581" t="s">
        <v>131</v>
      </c>
      <c r="N5581">
        <v>22</v>
      </c>
      <c r="O5581" t="s">
        <v>40</v>
      </c>
      <c r="P5581" t="s">
        <v>40</v>
      </c>
      <c r="Q5581" t="s">
        <v>40</v>
      </c>
      <c r="S5581" t="s">
        <v>40</v>
      </c>
      <c r="V5581" t="s">
        <v>41</v>
      </c>
      <c r="W5581" t="s">
        <v>75</v>
      </c>
      <c r="X5581" t="str">
        <f>"7521012"</f>
        <v>7521012</v>
      </c>
      <c r="Y5581" t="s">
        <v>432</v>
      </c>
      <c r="Z5581" t="s">
        <v>431</v>
      </c>
      <c r="AA5581" t="s">
        <v>196</v>
      </c>
      <c r="AB5581" t="s">
        <v>131</v>
      </c>
      <c r="AC5581" t="s">
        <v>165</v>
      </c>
      <c r="AD5581" t="s">
        <v>45</v>
      </c>
      <c r="AF5581">
        <v>1</v>
      </c>
      <c r="AG5581" t="s">
        <v>196</v>
      </c>
      <c r="AH5581" s="36">
        <f t="shared" si="91"/>
        <v>120.71388888888889</v>
      </c>
      <c r="AI5581" s="17" t="s">
        <v>1773</v>
      </c>
    </row>
    <row r="5582" spans="1:35" x14ac:dyDescent="0.25">
      <c r="A5582" s="36">
        <v>99915580</v>
      </c>
      <c r="B5582" s="17" t="s">
        <v>56</v>
      </c>
      <c r="C5582" t="s">
        <v>111</v>
      </c>
      <c r="D5582" t="s">
        <v>112</v>
      </c>
      <c r="G5582" s="17" t="s">
        <v>48</v>
      </c>
      <c r="H5582" s="17">
        <v>1</v>
      </c>
      <c r="K5582" t="s">
        <v>431</v>
      </c>
      <c r="L5582" t="s">
        <v>196</v>
      </c>
      <c r="M5582" t="s">
        <v>131</v>
      </c>
      <c r="N5582">
        <v>21</v>
      </c>
      <c r="O5582" t="s">
        <v>40</v>
      </c>
      <c r="P5582" t="s">
        <v>40</v>
      </c>
      <c r="Q5582" t="s">
        <v>40</v>
      </c>
      <c r="S5582" t="s">
        <v>40</v>
      </c>
      <c r="V5582" t="s">
        <v>41</v>
      </c>
      <c r="W5582" t="s">
        <v>75</v>
      </c>
      <c r="X5582" t="str">
        <f>"7521012"</f>
        <v>7521012</v>
      </c>
      <c r="Y5582" t="s">
        <v>432</v>
      </c>
      <c r="Z5582" t="s">
        <v>431</v>
      </c>
      <c r="AA5582" t="s">
        <v>196</v>
      </c>
      <c r="AB5582" t="s">
        <v>131</v>
      </c>
      <c r="AC5582" t="s">
        <v>165</v>
      </c>
      <c r="AD5582" t="s">
        <v>45</v>
      </c>
      <c r="AF5582">
        <v>1</v>
      </c>
      <c r="AG5582" t="s">
        <v>196</v>
      </c>
      <c r="AH5582" s="36">
        <f t="shared" si="91"/>
        <v>120.71388888888889</v>
      </c>
      <c r="AI5582" s="17" t="s">
        <v>1773</v>
      </c>
    </row>
    <row r="5583" spans="1:35" x14ac:dyDescent="0.25">
      <c r="A5583" s="36">
        <v>99915581</v>
      </c>
      <c r="B5583" s="17" t="s">
        <v>32</v>
      </c>
      <c r="C5583" t="s">
        <v>111</v>
      </c>
      <c r="D5583" t="s">
        <v>112</v>
      </c>
      <c r="G5583" s="17" t="s">
        <v>35</v>
      </c>
      <c r="H5583" s="17">
        <v>1</v>
      </c>
      <c r="K5583" t="s">
        <v>195</v>
      </c>
      <c r="L5583" t="s">
        <v>196</v>
      </c>
      <c r="M5583" t="s">
        <v>131</v>
      </c>
      <c r="N5583">
        <v>23</v>
      </c>
      <c r="O5583" t="s">
        <v>40</v>
      </c>
      <c r="P5583" t="s">
        <v>40</v>
      </c>
      <c r="Q5583" t="s">
        <v>40</v>
      </c>
      <c r="S5583" t="s">
        <v>40</v>
      </c>
      <c r="V5583" t="s">
        <v>41</v>
      </c>
      <c r="W5583" t="s">
        <v>75</v>
      </c>
      <c r="X5583" t="str">
        <f>"7521044"</f>
        <v>7521044</v>
      </c>
      <c r="Y5583" t="s">
        <v>453</v>
      </c>
      <c r="Z5583" t="s">
        <v>195</v>
      </c>
      <c r="AA5583" t="s">
        <v>196</v>
      </c>
      <c r="AB5583" t="s">
        <v>131</v>
      </c>
      <c r="AC5583" t="s">
        <v>165</v>
      </c>
      <c r="AD5583" t="s">
        <v>45</v>
      </c>
      <c r="AF5583">
        <v>1</v>
      </c>
      <c r="AG5583" t="s">
        <v>196</v>
      </c>
      <c r="AH5583" s="36">
        <f t="shared" si="91"/>
        <v>120.71388888888889</v>
      </c>
      <c r="AI5583" s="17" t="s">
        <v>1773</v>
      </c>
    </row>
    <row r="5584" spans="1:35" x14ac:dyDescent="0.25">
      <c r="A5584" s="36">
        <v>99915582</v>
      </c>
      <c r="B5584" s="17" t="s">
        <v>32</v>
      </c>
      <c r="C5584" t="s">
        <v>111</v>
      </c>
      <c r="D5584" t="s">
        <v>112</v>
      </c>
      <c r="G5584" s="17" t="s">
        <v>35</v>
      </c>
      <c r="H5584" s="17">
        <v>1</v>
      </c>
      <c r="K5584" t="s">
        <v>195</v>
      </c>
      <c r="L5584" t="s">
        <v>196</v>
      </c>
      <c r="M5584" t="s">
        <v>131</v>
      </c>
      <c r="N5584">
        <v>21</v>
      </c>
      <c r="O5584" t="s">
        <v>40</v>
      </c>
      <c r="P5584" t="s">
        <v>40</v>
      </c>
      <c r="Q5584" t="s">
        <v>40</v>
      </c>
      <c r="S5584" t="s">
        <v>40</v>
      </c>
      <c r="V5584" t="s">
        <v>41</v>
      </c>
      <c r="W5584" t="s">
        <v>75</v>
      </c>
      <c r="X5584" t="str">
        <f>"7521046"</f>
        <v>7521046</v>
      </c>
      <c r="Y5584" t="s">
        <v>436</v>
      </c>
      <c r="Z5584" t="s">
        <v>195</v>
      </c>
      <c r="AA5584" t="s">
        <v>196</v>
      </c>
      <c r="AB5584" t="s">
        <v>131</v>
      </c>
      <c r="AC5584" t="s">
        <v>165</v>
      </c>
      <c r="AD5584" t="s">
        <v>45</v>
      </c>
      <c r="AF5584">
        <v>1</v>
      </c>
      <c r="AG5584" t="s">
        <v>196</v>
      </c>
      <c r="AH5584" s="36">
        <f t="shared" si="91"/>
        <v>120.71388888888889</v>
      </c>
      <c r="AI5584" s="17" t="s">
        <v>1773</v>
      </c>
    </row>
    <row r="5585" spans="1:35" x14ac:dyDescent="0.25">
      <c r="A5585" s="36">
        <v>99915583</v>
      </c>
      <c r="B5585" s="17" t="s">
        <v>32</v>
      </c>
      <c r="C5585" t="s">
        <v>71</v>
      </c>
      <c r="D5585" t="s">
        <v>72</v>
      </c>
      <c r="G5585" s="17" t="s">
        <v>48</v>
      </c>
      <c r="H5585" s="17">
        <v>1</v>
      </c>
      <c r="K5585" t="s">
        <v>431</v>
      </c>
      <c r="L5585" t="s">
        <v>196</v>
      </c>
      <c r="M5585" t="s">
        <v>131</v>
      </c>
      <c r="N5585">
        <v>8</v>
      </c>
      <c r="O5585" t="s">
        <v>40</v>
      </c>
      <c r="P5585" t="s">
        <v>40</v>
      </c>
      <c r="Q5585" t="s">
        <v>40</v>
      </c>
      <c r="S5585" t="s">
        <v>40</v>
      </c>
      <c r="V5585" t="s">
        <v>41</v>
      </c>
      <c r="W5585" t="s">
        <v>75</v>
      </c>
      <c r="X5585" t="str">
        <f>"7521012"</f>
        <v>7521012</v>
      </c>
      <c r="Y5585" t="s">
        <v>432</v>
      </c>
      <c r="Z5585" t="s">
        <v>431</v>
      </c>
      <c r="AA5585" t="s">
        <v>196</v>
      </c>
      <c r="AB5585" t="s">
        <v>131</v>
      </c>
      <c r="AC5585" t="s">
        <v>51</v>
      </c>
      <c r="AD5585" t="s">
        <v>45</v>
      </c>
      <c r="AF5585">
        <v>1</v>
      </c>
      <c r="AG5585" t="s">
        <v>196</v>
      </c>
      <c r="AH5585" s="36">
        <f t="shared" si="91"/>
        <v>120.71388888888889</v>
      </c>
      <c r="AI5585" s="17" t="s">
        <v>1773</v>
      </c>
    </row>
    <row r="5586" spans="1:35" x14ac:dyDescent="0.25">
      <c r="A5586" s="36">
        <v>99915584</v>
      </c>
      <c r="B5586" s="17" t="s">
        <v>32</v>
      </c>
      <c r="C5586" t="s">
        <v>143</v>
      </c>
      <c r="D5586" t="s">
        <v>144</v>
      </c>
      <c r="G5586" s="17" t="s">
        <v>48</v>
      </c>
      <c r="H5586" s="17">
        <v>1</v>
      </c>
      <c r="K5586" t="s">
        <v>431</v>
      </c>
      <c r="L5586" t="s">
        <v>196</v>
      </c>
      <c r="M5586" t="s">
        <v>131</v>
      </c>
      <c r="N5586">
        <v>21</v>
      </c>
      <c r="O5586" t="s">
        <v>40</v>
      </c>
      <c r="P5586" t="s">
        <v>40</v>
      </c>
      <c r="Q5586" t="s">
        <v>40</v>
      </c>
      <c r="S5586" t="s">
        <v>40</v>
      </c>
      <c r="V5586" t="s">
        <v>41</v>
      </c>
      <c r="W5586" t="s">
        <v>75</v>
      </c>
      <c r="X5586" t="str">
        <f>"7521012"</f>
        <v>7521012</v>
      </c>
      <c r="Y5586" t="s">
        <v>432</v>
      </c>
      <c r="Z5586" t="s">
        <v>431</v>
      </c>
      <c r="AA5586" t="s">
        <v>196</v>
      </c>
      <c r="AB5586" t="s">
        <v>131</v>
      </c>
      <c r="AC5586" t="s">
        <v>51</v>
      </c>
      <c r="AD5586" t="s">
        <v>45</v>
      </c>
      <c r="AF5586">
        <v>1</v>
      </c>
      <c r="AG5586" t="s">
        <v>196</v>
      </c>
      <c r="AH5586" s="36">
        <f t="shared" si="91"/>
        <v>120.71388888888889</v>
      </c>
      <c r="AI5586" s="17" t="s">
        <v>1773</v>
      </c>
    </row>
    <row r="5587" spans="1:35" x14ac:dyDescent="0.25">
      <c r="A5587" s="36">
        <v>99915585</v>
      </c>
      <c r="B5587" s="17" t="s">
        <v>32</v>
      </c>
      <c r="C5587" t="s">
        <v>64</v>
      </c>
      <c r="D5587" t="s">
        <v>65</v>
      </c>
      <c r="G5587" s="17" t="s">
        <v>35</v>
      </c>
      <c r="H5587" s="17">
        <v>1</v>
      </c>
      <c r="K5587" t="s">
        <v>195</v>
      </c>
      <c r="L5587" t="s">
        <v>196</v>
      </c>
      <c r="M5587" t="s">
        <v>131</v>
      </c>
      <c r="N5587">
        <v>21</v>
      </c>
      <c r="O5587" t="s">
        <v>40</v>
      </c>
      <c r="P5587" t="s">
        <v>40</v>
      </c>
      <c r="Q5587" t="s">
        <v>40</v>
      </c>
      <c r="S5587" t="s">
        <v>40</v>
      </c>
      <c r="V5587" t="s">
        <v>41</v>
      </c>
      <c r="W5587" t="s">
        <v>75</v>
      </c>
      <c r="X5587" t="str">
        <f>"7521044"</f>
        <v>7521044</v>
      </c>
      <c r="Y5587" t="s">
        <v>453</v>
      </c>
      <c r="Z5587" t="s">
        <v>195</v>
      </c>
      <c r="AA5587" t="s">
        <v>196</v>
      </c>
      <c r="AB5587" t="s">
        <v>131</v>
      </c>
      <c r="AC5587" t="s">
        <v>51</v>
      </c>
      <c r="AD5587" t="s">
        <v>45</v>
      </c>
      <c r="AF5587">
        <v>1</v>
      </c>
      <c r="AG5587" t="s">
        <v>196</v>
      </c>
      <c r="AH5587" s="36">
        <f t="shared" si="91"/>
        <v>120.71388888888889</v>
      </c>
      <c r="AI5587" s="17" t="s">
        <v>1773</v>
      </c>
    </row>
    <row r="5588" spans="1:35" x14ac:dyDescent="0.25">
      <c r="A5588" s="36">
        <v>99915586</v>
      </c>
      <c r="B5588" s="17" t="s">
        <v>32</v>
      </c>
      <c r="C5588" t="s">
        <v>111</v>
      </c>
      <c r="D5588" t="s">
        <v>112</v>
      </c>
      <c r="G5588" s="17" t="s">
        <v>35</v>
      </c>
      <c r="H5588" s="17">
        <v>1</v>
      </c>
      <c r="K5588" t="s">
        <v>195</v>
      </c>
      <c r="L5588" t="s">
        <v>196</v>
      </c>
      <c r="M5588" t="s">
        <v>131</v>
      </c>
      <c r="N5588">
        <v>21</v>
      </c>
      <c r="O5588" t="s">
        <v>40</v>
      </c>
      <c r="P5588" t="s">
        <v>40</v>
      </c>
      <c r="Q5588" t="s">
        <v>40</v>
      </c>
      <c r="S5588" t="s">
        <v>40</v>
      </c>
      <c r="V5588" t="s">
        <v>41</v>
      </c>
      <c r="W5588" t="s">
        <v>75</v>
      </c>
      <c r="X5588" t="str">
        <f>"7521042"</f>
        <v>7521042</v>
      </c>
      <c r="Y5588" t="s">
        <v>440</v>
      </c>
      <c r="Z5588" t="s">
        <v>195</v>
      </c>
      <c r="AA5588" t="s">
        <v>196</v>
      </c>
      <c r="AB5588" t="s">
        <v>131</v>
      </c>
      <c r="AC5588" t="s">
        <v>165</v>
      </c>
      <c r="AD5588" t="s">
        <v>45</v>
      </c>
      <c r="AF5588">
        <v>1</v>
      </c>
      <c r="AG5588" t="s">
        <v>196</v>
      </c>
      <c r="AH5588" s="36">
        <f t="shared" si="91"/>
        <v>120.71388888888889</v>
      </c>
      <c r="AI5588" s="17" t="s">
        <v>1773</v>
      </c>
    </row>
    <row r="5589" spans="1:35" x14ac:dyDescent="0.25">
      <c r="A5589" s="36">
        <v>99915587</v>
      </c>
      <c r="B5589" s="17" t="s">
        <v>32</v>
      </c>
      <c r="C5589" t="s">
        <v>111</v>
      </c>
      <c r="D5589" t="s">
        <v>112</v>
      </c>
      <c r="G5589" s="17" t="s">
        <v>35</v>
      </c>
      <c r="H5589" s="17">
        <v>1</v>
      </c>
      <c r="K5589" t="s">
        <v>268</v>
      </c>
      <c r="L5589" t="s">
        <v>269</v>
      </c>
      <c r="M5589" t="s">
        <v>131</v>
      </c>
      <c r="N5589">
        <v>24</v>
      </c>
      <c r="O5589" t="s">
        <v>40</v>
      </c>
      <c r="P5589" t="s">
        <v>40</v>
      </c>
      <c r="Q5589" t="s">
        <v>40</v>
      </c>
      <c r="S5589" t="s">
        <v>40</v>
      </c>
      <c r="V5589" t="s">
        <v>41</v>
      </c>
      <c r="W5589" t="s">
        <v>75</v>
      </c>
      <c r="X5589" t="str">
        <f>"7052002"</f>
        <v>7052002</v>
      </c>
      <c r="Y5589" t="s">
        <v>590</v>
      </c>
      <c r="Z5589" t="s">
        <v>268</v>
      </c>
      <c r="AA5589" t="s">
        <v>269</v>
      </c>
      <c r="AB5589" t="s">
        <v>131</v>
      </c>
      <c r="AC5589" t="s">
        <v>55</v>
      </c>
      <c r="AD5589" t="s">
        <v>45</v>
      </c>
      <c r="AF5589">
        <v>1</v>
      </c>
      <c r="AG5589" t="s">
        <v>269</v>
      </c>
      <c r="AH5589" s="36">
        <f t="shared" si="91"/>
        <v>120.71388888888889</v>
      </c>
      <c r="AI5589" s="17" t="s">
        <v>1773</v>
      </c>
    </row>
    <row r="5590" spans="1:35" x14ac:dyDescent="0.25">
      <c r="A5590" s="36">
        <v>99915588</v>
      </c>
      <c r="B5590" s="17" t="s">
        <v>32</v>
      </c>
      <c r="C5590" t="s">
        <v>111</v>
      </c>
      <c r="D5590" t="s">
        <v>112</v>
      </c>
      <c r="G5590" s="17" t="s">
        <v>48</v>
      </c>
      <c r="H5590" s="17">
        <v>1</v>
      </c>
      <c r="K5590" t="s">
        <v>268</v>
      </c>
      <c r="L5590" t="s">
        <v>269</v>
      </c>
      <c r="M5590" t="s">
        <v>131</v>
      </c>
      <c r="N5590">
        <v>23</v>
      </c>
      <c r="O5590" t="s">
        <v>40</v>
      </c>
      <c r="P5590" t="s">
        <v>40</v>
      </c>
      <c r="Q5590" t="s">
        <v>40</v>
      </c>
      <c r="S5590" t="s">
        <v>40</v>
      </c>
      <c r="V5590" t="s">
        <v>41</v>
      </c>
      <c r="W5590" t="s">
        <v>75</v>
      </c>
      <c r="X5590" t="str">
        <f>"7052008"</f>
        <v>7052008</v>
      </c>
      <c r="Y5590" t="s">
        <v>274</v>
      </c>
      <c r="Z5590" t="s">
        <v>268</v>
      </c>
      <c r="AA5590" t="s">
        <v>269</v>
      </c>
      <c r="AB5590" t="s">
        <v>131</v>
      </c>
      <c r="AC5590" t="s">
        <v>51</v>
      </c>
      <c r="AD5590" t="s">
        <v>45</v>
      </c>
      <c r="AF5590">
        <v>1</v>
      </c>
      <c r="AG5590" t="s">
        <v>269</v>
      </c>
      <c r="AH5590" s="36">
        <f t="shared" si="91"/>
        <v>120.71388888888889</v>
      </c>
      <c r="AI5590" s="17" t="s">
        <v>1773</v>
      </c>
    </row>
    <row r="5591" spans="1:35" x14ac:dyDescent="0.25">
      <c r="A5591" s="36">
        <v>99915589</v>
      </c>
      <c r="B5591" s="17" t="s">
        <v>32</v>
      </c>
      <c r="C5591" t="s">
        <v>111</v>
      </c>
      <c r="D5591" t="s">
        <v>112</v>
      </c>
      <c r="G5591" s="17" t="s">
        <v>48</v>
      </c>
      <c r="H5591" s="17">
        <v>1</v>
      </c>
      <c r="K5591" t="s">
        <v>268</v>
      </c>
      <c r="L5591" t="s">
        <v>269</v>
      </c>
      <c r="M5591" t="s">
        <v>131</v>
      </c>
      <c r="N5591">
        <v>21</v>
      </c>
      <c r="O5591" t="s">
        <v>40</v>
      </c>
      <c r="P5591" t="s">
        <v>40</v>
      </c>
      <c r="Q5591" t="s">
        <v>40</v>
      </c>
      <c r="S5591" t="s">
        <v>40</v>
      </c>
      <c r="V5591" t="s">
        <v>41</v>
      </c>
      <c r="W5591" t="s">
        <v>75</v>
      </c>
      <c r="X5591" t="str">
        <f t="shared" ref="X5591:X5596" si="92">"7052044"</f>
        <v>7052044</v>
      </c>
      <c r="Y5591" t="s">
        <v>589</v>
      </c>
      <c r="Z5591" t="s">
        <v>268</v>
      </c>
      <c r="AA5591" t="s">
        <v>269</v>
      </c>
      <c r="AB5591" t="s">
        <v>131</v>
      </c>
      <c r="AC5591" t="s">
        <v>51</v>
      </c>
      <c r="AD5591" t="s">
        <v>45</v>
      </c>
      <c r="AF5591">
        <v>1</v>
      </c>
      <c r="AG5591" t="s">
        <v>269</v>
      </c>
      <c r="AH5591" s="36">
        <f t="shared" si="91"/>
        <v>120.71388888888889</v>
      </c>
      <c r="AI5591" s="17" t="s">
        <v>1773</v>
      </c>
    </row>
    <row r="5592" spans="1:35" x14ac:dyDescent="0.25">
      <c r="A5592" s="36">
        <v>99915590</v>
      </c>
      <c r="B5592" s="17" t="s">
        <v>32</v>
      </c>
      <c r="C5592" t="s">
        <v>79</v>
      </c>
      <c r="D5592" t="s">
        <v>80</v>
      </c>
      <c r="G5592" s="17" t="s">
        <v>48</v>
      </c>
      <c r="H5592" s="17">
        <v>1</v>
      </c>
      <c r="K5592" t="s">
        <v>268</v>
      </c>
      <c r="L5592" t="s">
        <v>269</v>
      </c>
      <c r="M5592" t="s">
        <v>131</v>
      </c>
      <c r="N5592">
        <v>18</v>
      </c>
      <c r="O5592" t="s">
        <v>40</v>
      </c>
      <c r="P5592" t="s">
        <v>40</v>
      </c>
      <c r="Q5592" t="s">
        <v>40</v>
      </c>
      <c r="S5592" t="s">
        <v>40</v>
      </c>
      <c r="V5592" t="s">
        <v>41</v>
      </c>
      <c r="W5592" t="s">
        <v>75</v>
      </c>
      <c r="X5592" t="str">
        <f t="shared" si="92"/>
        <v>7052044</v>
      </c>
      <c r="Y5592" t="s">
        <v>589</v>
      </c>
      <c r="Z5592" t="s">
        <v>268</v>
      </c>
      <c r="AA5592" t="s">
        <v>269</v>
      </c>
      <c r="AB5592" t="s">
        <v>131</v>
      </c>
      <c r="AC5592" t="s">
        <v>51</v>
      </c>
      <c r="AD5592" t="s">
        <v>45</v>
      </c>
      <c r="AF5592">
        <v>1</v>
      </c>
      <c r="AG5592" t="s">
        <v>269</v>
      </c>
      <c r="AH5592" s="36">
        <f t="shared" si="91"/>
        <v>120.71388888888889</v>
      </c>
      <c r="AI5592" s="17" t="s">
        <v>1773</v>
      </c>
    </row>
    <row r="5593" spans="1:35" x14ac:dyDescent="0.25">
      <c r="A5593" s="36">
        <v>99915591</v>
      </c>
      <c r="B5593" s="17" t="s">
        <v>56</v>
      </c>
      <c r="C5593" t="s">
        <v>61</v>
      </c>
      <c r="D5593" t="s">
        <v>62</v>
      </c>
      <c r="G5593" s="17" t="s">
        <v>48</v>
      </c>
      <c r="H5593" s="17">
        <v>1</v>
      </c>
      <c r="K5593" t="s">
        <v>268</v>
      </c>
      <c r="L5593" t="s">
        <v>269</v>
      </c>
      <c r="M5593" t="s">
        <v>131</v>
      </c>
      <c r="N5593">
        <v>15</v>
      </c>
      <c r="O5593" t="s">
        <v>40</v>
      </c>
      <c r="P5593" t="s">
        <v>40</v>
      </c>
      <c r="Q5593" t="s">
        <v>40</v>
      </c>
      <c r="S5593" t="s">
        <v>40</v>
      </c>
      <c r="V5593" t="s">
        <v>41</v>
      </c>
      <c r="W5593" t="s">
        <v>75</v>
      </c>
      <c r="X5593" t="str">
        <f t="shared" si="92"/>
        <v>7052044</v>
      </c>
      <c r="Y5593" t="s">
        <v>589</v>
      </c>
      <c r="Z5593" t="s">
        <v>268</v>
      </c>
      <c r="AA5593" t="s">
        <v>269</v>
      </c>
      <c r="AB5593" t="s">
        <v>131</v>
      </c>
      <c r="AC5593" t="s">
        <v>51</v>
      </c>
      <c r="AD5593" t="s">
        <v>45</v>
      </c>
      <c r="AF5593">
        <v>1</v>
      </c>
      <c r="AG5593" t="s">
        <v>269</v>
      </c>
      <c r="AH5593" s="36">
        <f t="shared" si="91"/>
        <v>120.71388888888889</v>
      </c>
      <c r="AI5593" s="17" t="s">
        <v>1773</v>
      </c>
    </row>
    <row r="5594" spans="1:35" x14ac:dyDescent="0.25">
      <c r="A5594" s="36">
        <v>99915592</v>
      </c>
      <c r="B5594" s="17" t="s">
        <v>32</v>
      </c>
      <c r="C5594" t="s">
        <v>139</v>
      </c>
      <c r="D5594" t="s">
        <v>140</v>
      </c>
      <c r="G5594" s="17" t="s">
        <v>48</v>
      </c>
      <c r="H5594" s="17">
        <v>1</v>
      </c>
      <c r="K5594" t="s">
        <v>268</v>
      </c>
      <c r="L5594" t="s">
        <v>269</v>
      </c>
      <c r="M5594" t="s">
        <v>131</v>
      </c>
      <c r="N5594">
        <v>22</v>
      </c>
      <c r="O5594" t="s">
        <v>40</v>
      </c>
      <c r="P5594" t="s">
        <v>40</v>
      </c>
      <c r="Q5594" t="s">
        <v>40</v>
      </c>
      <c r="S5594" t="s">
        <v>40</v>
      </c>
      <c r="V5594" t="s">
        <v>41</v>
      </c>
      <c r="W5594" t="s">
        <v>75</v>
      </c>
      <c r="X5594" t="str">
        <f t="shared" si="92"/>
        <v>7052044</v>
      </c>
      <c r="Y5594" t="s">
        <v>589</v>
      </c>
      <c r="Z5594" t="s">
        <v>268</v>
      </c>
      <c r="AA5594" t="s">
        <v>269</v>
      </c>
      <c r="AB5594" t="s">
        <v>131</v>
      </c>
      <c r="AC5594" t="s">
        <v>51</v>
      </c>
      <c r="AD5594" t="s">
        <v>45</v>
      </c>
      <c r="AF5594">
        <v>1</v>
      </c>
      <c r="AG5594" t="s">
        <v>269</v>
      </c>
      <c r="AH5594" s="36">
        <f t="shared" si="91"/>
        <v>120.71388888888889</v>
      </c>
      <c r="AI5594" s="17" t="s">
        <v>1773</v>
      </c>
    </row>
    <row r="5595" spans="1:35" x14ac:dyDescent="0.25">
      <c r="A5595" s="36">
        <v>99915593</v>
      </c>
      <c r="B5595" s="17" t="s">
        <v>32</v>
      </c>
      <c r="C5595" t="s">
        <v>64</v>
      </c>
      <c r="D5595" t="s">
        <v>65</v>
      </c>
      <c r="G5595" s="17" t="s">
        <v>48</v>
      </c>
      <c r="H5595" s="17">
        <v>1</v>
      </c>
      <c r="K5595" t="s">
        <v>268</v>
      </c>
      <c r="L5595" t="s">
        <v>269</v>
      </c>
      <c r="M5595" t="s">
        <v>131</v>
      </c>
      <c r="N5595">
        <v>15</v>
      </c>
      <c r="O5595" t="s">
        <v>40</v>
      </c>
      <c r="P5595" t="s">
        <v>40</v>
      </c>
      <c r="Q5595" t="s">
        <v>40</v>
      </c>
      <c r="S5595" t="s">
        <v>40</v>
      </c>
      <c r="V5595" t="s">
        <v>41</v>
      </c>
      <c r="W5595" t="s">
        <v>75</v>
      </c>
      <c r="X5595" t="str">
        <f t="shared" si="92"/>
        <v>7052044</v>
      </c>
      <c r="Y5595" t="s">
        <v>589</v>
      </c>
      <c r="Z5595" t="s">
        <v>268</v>
      </c>
      <c r="AA5595" t="s">
        <v>269</v>
      </c>
      <c r="AB5595" t="s">
        <v>131</v>
      </c>
      <c r="AC5595" t="s">
        <v>51</v>
      </c>
      <c r="AD5595" t="s">
        <v>45</v>
      </c>
      <c r="AF5595">
        <v>1</v>
      </c>
      <c r="AG5595" t="s">
        <v>269</v>
      </c>
      <c r="AH5595" s="36">
        <f t="shared" si="91"/>
        <v>120.71388888888889</v>
      </c>
      <c r="AI5595" s="17" t="s">
        <v>1773</v>
      </c>
    </row>
    <row r="5596" spans="1:35" x14ac:dyDescent="0.25">
      <c r="A5596" s="36">
        <v>99915594</v>
      </c>
      <c r="B5596" s="17" t="s">
        <v>32</v>
      </c>
      <c r="C5596" t="s">
        <v>141</v>
      </c>
      <c r="D5596" t="s">
        <v>142</v>
      </c>
      <c r="G5596" s="17" t="s">
        <v>48</v>
      </c>
      <c r="H5596" s="17">
        <v>1</v>
      </c>
      <c r="K5596" t="s">
        <v>268</v>
      </c>
      <c r="L5596" t="s">
        <v>269</v>
      </c>
      <c r="M5596" t="s">
        <v>131</v>
      </c>
      <c r="N5596">
        <v>3</v>
      </c>
      <c r="O5596" t="s">
        <v>40</v>
      </c>
      <c r="P5596" t="s">
        <v>40</v>
      </c>
      <c r="Q5596" t="s">
        <v>40</v>
      </c>
      <c r="S5596" t="s">
        <v>40</v>
      </c>
      <c r="V5596" t="s">
        <v>41</v>
      </c>
      <c r="W5596" t="s">
        <v>75</v>
      </c>
      <c r="X5596" t="str">
        <f t="shared" si="92"/>
        <v>7052044</v>
      </c>
      <c r="Y5596" t="s">
        <v>589</v>
      </c>
      <c r="Z5596" t="s">
        <v>268</v>
      </c>
      <c r="AA5596" t="s">
        <v>269</v>
      </c>
      <c r="AB5596" t="s">
        <v>131</v>
      </c>
      <c r="AC5596" t="s">
        <v>51</v>
      </c>
      <c r="AD5596" t="s">
        <v>45</v>
      </c>
      <c r="AF5596">
        <v>1</v>
      </c>
      <c r="AG5596" t="s">
        <v>269</v>
      </c>
      <c r="AH5596" s="36">
        <f t="shared" si="91"/>
        <v>120.71388888888889</v>
      </c>
      <c r="AI5596" s="17" t="s">
        <v>1773</v>
      </c>
    </row>
    <row r="5597" spans="1:35" x14ac:dyDescent="0.25">
      <c r="A5597" s="36">
        <v>99915595</v>
      </c>
      <c r="B5597" s="17" t="s">
        <v>32</v>
      </c>
      <c r="C5597" t="s">
        <v>90</v>
      </c>
      <c r="D5597" t="s">
        <v>91</v>
      </c>
      <c r="G5597" s="17" t="s">
        <v>35</v>
      </c>
      <c r="H5597" s="17">
        <v>1</v>
      </c>
      <c r="I5597">
        <v>1</v>
      </c>
      <c r="J5597" s="1">
        <v>43344</v>
      </c>
      <c r="K5597" t="s">
        <v>268</v>
      </c>
      <c r="L5597" t="s">
        <v>269</v>
      </c>
      <c r="M5597" t="s">
        <v>131</v>
      </c>
      <c r="N5597">
        <v>25</v>
      </c>
      <c r="O5597" t="s">
        <v>40</v>
      </c>
      <c r="P5597" t="s">
        <v>40</v>
      </c>
      <c r="Q5597" t="s">
        <v>40</v>
      </c>
      <c r="R5597" t="s">
        <v>40</v>
      </c>
      <c r="S5597" t="s">
        <v>40</v>
      </c>
      <c r="U5597" s="1">
        <v>43344</v>
      </c>
      <c r="V5597" t="s">
        <v>41</v>
      </c>
      <c r="W5597" t="s">
        <v>95</v>
      </c>
      <c r="X5597" t="str">
        <f>"7052069"</f>
        <v>7052069</v>
      </c>
      <c r="Y5597" t="s">
        <v>665</v>
      </c>
      <c r="Z5597" t="s">
        <v>268</v>
      </c>
      <c r="AA5597" t="s">
        <v>269</v>
      </c>
      <c r="AB5597" t="s">
        <v>131</v>
      </c>
      <c r="AC5597" t="s">
        <v>51</v>
      </c>
      <c r="AD5597" t="s">
        <v>45</v>
      </c>
      <c r="AF5597">
        <v>1</v>
      </c>
      <c r="AG5597" t="s">
        <v>269</v>
      </c>
      <c r="AH5597" s="36">
        <f t="shared" si="91"/>
        <v>120.71388888888889</v>
      </c>
      <c r="AI5597" s="17" t="s">
        <v>1773</v>
      </c>
    </row>
    <row r="5598" spans="1:35" x14ac:dyDescent="0.25">
      <c r="A5598" s="36">
        <v>99915596</v>
      </c>
      <c r="B5598" s="17" t="s">
        <v>32</v>
      </c>
      <c r="C5598" t="s">
        <v>111</v>
      </c>
      <c r="D5598" t="s">
        <v>112</v>
      </c>
      <c r="G5598" s="17" t="s">
        <v>35</v>
      </c>
      <c r="H5598" s="17">
        <v>1</v>
      </c>
      <c r="K5598" t="s">
        <v>268</v>
      </c>
      <c r="L5598" t="s">
        <v>269</v>
      </c>
      <c r="M5598" t="s">
        <v>131</v>
      </c>
      <c r="N5598">
        <v>12</v>
      </c>
      <c r="O5598" t="s">
        <v>40</v>
      </c>
      <c r="P5598" t="s">
        <v>40</v>
      </c>
      <c r="Q5598" t="s">
        <v>40</v>
      </c>
      <c r="S5598" t="s">
        <v>40</v>
      </c>
      <c r="V5598" t="s">
        <v>41</v>
      </c>
      <c r="W5598" t="s">
        <v>75</v>
      </c>
      <c r="X5598" t="str">
        <f>"7052036"</f>
        <v>7052036</v>
      </c>
      <c r="Y5598" t="s">
        <v>679</v>
      </c>
      <c r="Z5598" t="s">
        <v>268</v>
      </c>
      <c r="AA5598" t="s">
        <v>269</v>
      </c>
      <c r="AB5598" t="s">
        <v>131</v>
      </c>
      <c r="AC5598" t="s">
        <v>51</v>
      </c>
      <c r="AD5598" t="s">
        <v>45</v>
      </c>
      <c r="AF5598">
        <v>1</v>
      </c>
      <c r="AG5598" t="s">
        <v>269</v>
      </c>
      <c r="AH5598" s="36">
        <f t="shared" si="91"/>
        <v>120.71388888888889</v>
      </c>
      <c r="AI5598" s="17" t="s">
        <v>1773</v>
      </c>
    </row>
    <row r="5599" spans="1:35" x14ac:dyDescent="0.25">
      <c r="A5599" s="36">
        <v>99915597</v>
      </c>
      <c r="B5599" s="17" t="s">
        <v>56</v>
      </c>
      <c r="C5599" t="s">
        <v>111</v>
      </c>
      <c r="D5599" t="s">
        <v>112</v>
      </c>
      <c r="G5599" s="17" t="s">
        <v>48</v>
      </c>
      <c r="H5599" s="17">
        <v>1</v>
      </c>
      <c r="K5599" t="s">
        <v>268</v>
      </c>
      <c r="L5599" t="s">
        <v>269</v>
      </c>
      <c r="M5599" t="s">
        <v>131</v>
      </c>
      <c r="N5599">
        <v>24</v>
      </c>
      <c r="O5599" t="s">
        <v>40</v>
      </c>
      <c r="P5599" t="s">
        <v>40</v>
      </c>
      <c r="Q5599" t="s">
        <v>40</v>
      </c>
      <c r="S5599" t="s">
        <v>40</v>
      </c>
      <c r="V5599" t="s">
        <v>41</v>
      </c>
      <c r="W5599" t="s">
        <v>75</v>
      </c>
      <c r="X5599" t="str">
        <f>"7052044"</f>
        <v>7052044</v>
      </c>
      <c r="Y5599" t="s">
        <v>589</v>
      </c>
      <c r="Z5599" t="s">
        <v>268</v>
      </c>
      <c r="AA5599" t="s">
        <v>269</v>
      </c>
      <c r="AB5599" t="s">
        <v>131</v>
      </c>
      <c r="AC5599" t="s">
        <v>51</v>
      </c>
      <c r="AD5599" t="s">
        <v>45</v>
      </c>
      <c r="AF5599">
        <v>1</v>
      </c>
      <c r="AG5599" t="s">
        <v>269</v>
      </c>
      <c r="AH5599" s="36">
        <f t="shared" si="91"/>
        <v>120.71388888888889</v>
      </c>
      <c r="AI5599" s="17" t="s">
        <v>1773</v>
      </c>
    </row>
    <row r="5600" spans="1:35" x14ac:dyDescent="0.25">
      <c r="A5600" s="36">
        <v>99915598</v>
      </c>
      <c r="B5600" s="17" t="s">
        <v>32</v>
      </c>
      <c r="C5600" t="s">
        <v>111</v>
      </c>
      <c r="D5600" t="s">
        <v>112</v>
      </c>
      <c r="G5600" s="17" t="s">
        <v>35</v>
      </c>
      <c r="H5600" s="17">
        <v>1</v>
      </c>
      <c r="I5600">
        <v>3226</v>
      </c>
      <c r="J5600" s="1">
        <v>43344</v>
      </c>
      <c r="K5600" t="s">
        <v>268</v>
      </c>
      <c r="L5600" t="s">
        <v>269</v>
      </c>
      <c r="M5600" t="s">
        <v>131</v>
      </c>
      <c r="N5600">
        <v>24</v>
      </c>
      <c r="O5600" t="s">
        <v>40</v>
      </c>
      <c r="P5600" t="s">
        <v>40</v>
      </c>
      <c r="Q5600" t="s">
        <v>40</v>
      </c>
      <c r="S5600" t="s">
        <v>40</v>
      </c>
      <c r="U5600" s="1">
        <v>43344</v>
      </c>
      <c r="V5600" t="s">
        <v>41</v>
      </c>
      <c r="W5600" t="s">
        <v>75</v>
      </c>
      <c r="X5600" t="str">
        <f>"7052002"</f>
        <v>7052002</v>
      </c>
      <c r="Y5600" t="s">
        <v>590</v>
      </c>
      <c r="Z5600" t="s">
        <v>268</v>
      </c>
      <c r="AA5600" t="s">
        <v>269</v>
      </c>
      <c r="AB5600" t="s">
        <v>131</v>
      </c>
      <c r="AC5600" t="s">
        <v>44</v>
      </c>
      <c r="AD5600" t="s">
        <v>45</v>
      </c>
      <c r="AF5600">
        <v>1</v>
      </c>
      <c r="AG5600" t="s">
        <v>269</v>
      </c>
      <c r="AH5600" s="36">
        <f t="shared" si="91"/>
        <v>120.71388888888889</v>
      </c>
      <c r="AI5600" s="17" t="s">
        <v>1773</v>
      </c>
    </row>
    <row r="5601" spans="1:35" x14ac:dyDescent="0.25">
      <c r="A5601" s="36">
        <v>99915599</v>
      </c>
      <c r="B5601" s="17" t="s">
        <v>32</v>
      </c>
      <c r="C5601" t="s">
        <v>141</v>
      </c>
      <c r="D5601" t="s">
        <v>142</v>
      </c>
      <c r="G5601" s="17" t="s">
        <v>35</v>
      </c>
      <c r="H5601" s="17">
        <v>1</v>
      </c>
      <c r="K5601" t="s">
        <v>268</v>
      </c>
      <c r="L5601" t="s">
        <v>269</v>
      </c>
      <c r="M5601" t="s">
        <v>131</v>
      </c>
      <c r="N5601">
        <v>7</v>
      </c>
      <c r="O5601" t="s">
        <v>40</v>
      </c>
      <c r="P5601" t="s">
        <v>40</v>
      </c>
      <c r="Q5601" t="s">
        <v>40</v>
      </c>
      <c r="S5601" t="s">
        <v>40</v>
      </c>
      <c r="V5601" t="s">
        <v>41</v>
      </c>
      <c r="W5601" t="s">
        <v>75</v>
      </c>
      <c r="X5601" t="str">
        <f>"7052036"</f>
        <v>7052036</v>
      </c>
      <c r="Y5601" t="s">
        <v>679</v>
      </c>
      <c r="Z5601" t="s">
        <v>268</v>
      </c>
      <c r="AA5601" t="s">
        <v>269</v>
      </c>
      <c r="AB5601" t="s">
        <v>131</v>
      </c>
      <c r="AC5601" t="s">
        <v>51</v>
      </c>
      <c r="AD5601" t="s">
        <v>45</v>
      </c>
      <c r="AF5601">
        <v>1</v>
      </c>
      <c r="AG5601" t="s">
        <v>269</v>
      </c>
      <c r="AH5601" s="36">
        <f t="shared" si="91"/>
        <v>120.71388888888889</v>
      </c>
      <c r="AI5601" s="17" t="s">
        <v>1773</v>
      </c>
    </row>
    <row r="5602" spans="1:35" x14ac:dyDescent="0.25">
      <c r="A5602" s="36">
        <v>99915600</v>
      </c>
      <c r="B5602" s="17" t="s">
        <v>32</v>
      </c>
      <c r="C5602" t="s">
        <v>139</v>
      </c>
      <c r="D5602" t="s">
        <v>140</v>
      </c>
      <c r="G5602" s="17" t="s">
        <v>35</v>
      </c>
      <c r="H5602" s="17">
        <v>1</v>
      </c>
      <c r="K5602" t="s">
        <v>268</v>
      </c>
      <c r="L5602" t="s">
        <v>269</v>
      </c>
      <c r="M5602" t="s">
        <v>131</v>
      </c>
      <c r="N5602">
        <v>4</v>
      </c>
      <c r="O5602" t="s">
        <v>40</v>
      </c>
      <c r="P5602" t="s">
        <v>40</v>
      </c>
      <c r="Q5602" t="s">
        <v>40</v>
      </c>
      <c r="S5602" t="s">
        <v>40</v>
      </c>
      <c r="V5602" t="s">
        <v>41</v>
      </c>
      <c r="W5602" t="s">
        <v>75</v>
      </c>
      <c r="X5602" t="str">
        <f>"7052036"</f>
        <v>7052036</v>
      </c>
      <c r="Y5602" t="s">
        <v>679</v>
      </c>
      <c r="Z5602" t="s">
        <v>268</v>
      </c>
      <c r="AA5602" t="s">
        <v>269</v>
      </c>
      <c r="AB5602" t="s">
        <v>131</v>
      </c>
      <c r="AC5602" t="s">
        <v>51</v>
      </c>
      <c r="AD5602" t="s">
        <v>45</v>
      </c>
      <c r="AF5602">
        <v>1</v>
      </c>
      <c r="AG5602" t="s">
        <v>269</v>
      </c>
      <c r="AH5602" s="36">
        <f t="shared" si="91"/>
        <v>120.71388888888889</v>
      </c>
      <c r="AI5602" s="17" t="s">
        <v>1773</v>
      </c>
    </row>
    <row r="5603" spans="1:35" x14ac:dyDescent="0.25">
      <c r="A5603" s="36">
        <v>99915601</v>
      </c>
      <c r="B5603" s="17" t="s">
        <v>32</v>
      </c>
      <c r="C5603" t="s">
        <v>111</v>
      </c>
      <c r="D5603" t="s">
        <v>112</v>
      </c>
      <c r="G5603" s="17" t="s">
        <v>48</v>
      </c>
      <c r="H5603" s="17">
        <v>1</v>
      </c>
      <c r="K5603" t="s">
        <v>268</v>
      </c>
      <c r="L5603" t="s">
        <v>269</v>
      </c>
      <c r="M5603" t="s">
        <v>131</v>
      </c>
      <c r="N5603">
        <v>23</v>
      </c>
      <c r="O5603" t="s">
        <v>40</v>
      </c>
      <c r="P5603" t="s">
        <v>40</v>
      </c>
      <c r="Q5603" t="s">
        <v>40</v>
      </c>
      <c r="S5603" t="s">
        <v>40</v>
      </c>
      <c r="V5603" t="s">
        <v>41</v>
      </c>
      <c r="W5603" t="s">
        <v>75</v>
      </c>
      <c r="X5603" t="str">
        <f t="shared" ref="X5603:X5608" si="93">"7052044"</f>
        <v>7052044</v>
      </c>
      <c r="Y5603" t="s">
        <v>589</v>
      </c>
      <c r="Z5603" t="s">
        <v>268</v>
      </c>
      <c r="AA5603" t="s">
        <v>269</v>
      </c>
      <c r="AB5603" t="s">
        <v>131</v>
      </c>
      <c r="AC5603" t="s">
        <v>51</v>
      </c>
      <c r="AD5603" t="s">
        <v>45</v>
      </c>
      <c r="AF5603">
        <v>1</v>
      </c>
      <c r="AG5603" t="s">
        <v>269</v>
      </c>
      <c r="AH5603" s="36">
        <f t="shared" si="91"/>
        <v>120.71388888888889</v>
      </c>
      <c r="AI5603" s="17" t="s">
        <v>1773</v>
      </c>
    </row>
    <row r="5604" spans="1:35" x14ac:dyDescent="0.25">
      <c r="A5604" s="36">
        <v>99915602</v>
      </c>
      <c r="B5604" s="17" t="s">
        <v>56</v>
      </c>
      <c r="C5604" t="s">
        <v>111</v>
      </c>
      <c r="D5604" t="s">
        <v>112</v>
      </c>
      <c r="G5604" s="17" t="s">
        <v>48</v>
      </c>
      <c r="H5604" s="17">
        <v>1</v>
      </c>
      <c r="K5604" t="s">
        <v>268</v>
      </c>
      <c r="L5604" t="s">
        <v>269</v>
      </c>
      <c r="M5604" t="s">
        <v>131</v>
      </c>
      <c r="N5604">
        <v>24</v>
      </c>
      <c r="O5604" t="s">
        <v>40</v>
      </c>
      <c r="P5604" t="s">
        <v>40</v>
      </c>
      <c r="Q5604" t="s">
        <v>40</v>
      </c>
      <c r="S5604" t="s">
        <v>40</v>
      </c>
      <c r="V5604" t="s">
        <v>41</v>
      </c>
      <c r="W5604" t="s">
        <v>75</v>
      </c>
      <c r="X5604" t="str">
        <f t="shared" si="93"/>
        <v>7052044</v>
      </c>
      <c r="Y5604" t="s">
        <v>589</v>
      </c>
      <c r="Z5604" t="s">
        <v>268</v>
      </c>
      <c r="AA5604" t="s">
        <v>269</v>
      </c>
      <c r="AB5604" t="s">
        <v>131</v>
      </c>
      <c r="AC5604" t="s">
        <v>51</v>
      </c>
      <c r="AD5604" t="s">
        <v>45</v>
      </c>
      <c r="AF5604">
        <v>1</v>
      </c>
      <c r="AG5604" t="s">
        <v>269</v>
      </c>
      <c r="AH5604" s="36">
        <f t="shared" si="91"/>
        <v>120.71388888888889</v>
      </c>
      <c r="AI5604" s="17" t="s">
        <v>1773</v>
      </c>
    </row>
    <row r="5605" spans="1:35" x14ac:dyDescent="0.25">
      <c r="A5605" s="36">
        <v>99915603</v>
      </c>
      <c r="B5605" s="17" t="s">
        <v>32</v>
      </c>
      <c r="C5605" t="s">
        <v>111</v>
      </c>
      <c r="D5605" t="s">
        <v>112</v>
      </c>
      <c r="G5605" s="17" t="s">
        <v>48</v>
      </c>
      <c r="H5605" s="17">
        <v>1</v>
      </c>
      <c r="K5605" t="s">
        <v>268</v>
      </c>
      <c r="L5605" t="s">
        <v>269</v>
      </c>
      <c r="M5605" t="s">
        <v>131</v>
      </c>
      <c r="N5605">
        <v>21</v>
      </c>
      <c r="O5605" t="s">
        <v>40</v>
      </c>
      <c r="P5605" t="s">
        <v>40</v>
      </c>
      <c r="Q5605" t="s">
        <v>40</v>
      </c>
      <c r="S5605" t="s">
        <v>40</v>
      </c>
      <c r="V5605" t="s">
        <v>41</v>
      </c>
      <c r="W5605" t="s">
        <v>75</v>
      </c>
      <c r="X5605" t="str">
        <f t="shared" si="93"/>
        <v>7052044</v>
      </c>
      <c r="Y5605" t="s">
        <v>589</v>
      </c>
      <c r="Z5605" t="s">
        <v>268</v>
      </c>
      <c r="AA5605" t="s">
        <v>269</v>
      </c>
      <c r="AB5605" t="s">
        <v>131</v>
      </c>
      <c r="AC5605" t="s">
        <v>51</v>
      </c>
      <c r="AD5605" t="s">
        <v>45</v>
      </c>
      <c r="AF5605">
        <v>1</v>
      </c>
      <c r="AG5605" t="s">
        <v>269</v>
      </c>
      <c r="AH5605" s="36">
        <f t="shared" si="91"/>
        <v>120.71388888888889</v>
      </c>
      <c r="AI5605" s="17" t="s">
        <v>1773</v>
      </c>
    </row>
    <row r="5606" spans="1:35" x14ac:dyDescent="0.25">
      <c r="A5606" s="36">
        <v>99915604</v>
      </c>
      <c r="B5606" s="17" t="s">
        <v>32</v>
      </c>
      <c r="C5606" t="s">
        <v>139</v>
      </c>
      <c r="D5606" t="s">
        <v>140</v>
      </c>
      <c r="G5606" s="17" t="s">
        <v>48</v>
      </c>
      <c r="H5606" s="17">
        <v>1</v>
      </c>
      <c r="K5606" t="s">
        <v>268</v>
      </c>
      <c r="L5606" t="s">
        <v>269</v>
      </c>
      <c r="M5606" t="s">
        <v>131</v>
      </c>
      <c r="N5606">
        <v>18</v>
      </c>
      <c r="O5606" t="s">
        <v>40</v>
      </c>
      <c r="P5606" t="s">
        <v>40</v>
      </c>
      <c r="Q5606" t="s">
        <v>40</v>
      </c>
      <c r="S5606" t="s">
        <v>40</v>
      </c>
      <c r="V5606" t="s">
        <v>41</v>
      </c>
      <c r="W5606" t="s">
        <v>75</v>
      </c>
      <c r="X5606" t="str">
        <f t="shared" si="93"/>
        <v>7052044</v>
      </c>
      <c r="Y5606" t="s">
        <v>589</v>
      </c>
      <c r="Z5606" t="s">
        <v>268</v>
      </c>
      <c r="AA5606" t="s">
        <v>269</v>
      </c>
      <c r="AB5606" t="s">
        <v>131</v>
      </c>
      <c r="AC5606" t="s">
        <v>51</v>
      </c>
      <c r="AD5606" t="s">
        <v>45</v>
      </c>
      <c r="AF5606">
        <v>1</v>
      </c>
      <c r="AG5606" t="s">
        <v>269</v>
      </c>
      <c r="AH5606" s="36">
        <f t="shared" si="91"/>
        <v>120.71388888888889</v>
      </c>
      <c r="AI5606" s="17" t="s">
        <v>1773</v>
      </c>
    </row>
    <row r="5607" spans="1:35" x14ac:dyDescent="0.25">
      <c r="A5607" s="36">
        <v>99915605</v>
      </c>
      <c r="B5607" s="17" t="s">
        <v>32</v>
      </c>
      <c r="C5607" t="s">
        <v>111</v>
      </c>
      <c r="D5607" t="s">
        <v>112</v>
      </c>
      <c r="G5607" s="17" t="s">
        <v>48</v>
      </c>
      <c r="H5607" s="17">
        <v>1</v>
      </c>
      <c r="K5607" t="s">
        <v>268</v>
      </c>
      <c r="L5607" t="s">
        <v>269</v>
      </c>
      <c r="M5607" t="s">
        <v>131</v>
      </c>
      <c r="N5607">
        <v>24</v>
      </c>
      <c r="O5607" t="s">
        <v>40</v>
      </c>
      <c r="P5607" t="s">
        <v>40</v>
      </c>
      <c r="Q5607" t="s">
        <v>40</v>
      </c>
      <c r="S5607" t="s">
        <v>40</v>
      </c>
      <c r="V5607" t="s">
        <v>41</v>
      </c>
      <c r="W5607" t="s">
        <v>75</v>
      </c>
      <c r="X5607" t="str">
        <f t="shared" si="93"/>
        <v>7052044</v>
      </c>
      <c r="Y5607" t="s">
        <v>589</v>
      </c>
      <c r="Z5607" t="s">
        <v>268</v>
      </c>
      <c r="AA5607" t="s">
        <v>269</v>
      </c>
      <c r="AB5607" t="s">
        <v>131</v>
      </c>
      <c r="AC5607" t="s">
        <v>51</v>
      </c>
      <c r="AD5607" t="s">
        <v>45</v>
      </c>
      <c r="AF5607">
        <v>1</v>
      </c>
      <c r="AG5607" t="s">
        <v>269</v>
      </c>
      <c r="AH5607" s="36">
        <f t="shared" si="91"/>
        <v>120.71388888888889</v>
      </c>
      <c r="AI5607" s="17" t="s">
        <v>1773</v>
      </c>
    </row>
    <row r="5608" spans="1:35" x14ac:dyDescent="0.25">
      <c r="A5608" s="36">
        <v>99915606</v>
      </c>
      <c r="B5608" s="17" t="s">
        <v>32</v>
      </c>
      <c r="C5608" t="s">
        <v>139</v>
      </c>
      <c r="D5608" t="s">
        <v>140</v>
      </c>
      <c r="G5608" s="17" t="s">
        <v>48</v>
      </c>
      <c r="H5608" s="17">
        <v>1</v>
      </c>
      <c r="K5608" t="s">
        <v>268</v>
      </c>
      <c r="L5608" t="s">
        <v>269</v>
      </c>
      <c r="M5608" t="s">
        <v>131</v>
      </c>
      <c r="N5608">
        <v>18</v>
      </c>
      <c r="O5608" t="s">
        <v>40</v>
      </c>
      <c r="P5608" t="s">
        <v>40</v>
      </c>
      <c r="Q5608" t="s">
        <v>40</v>
      </c>
      <c r="S5608" t="s">
        <v>40</v>
      </c>
      <c r="V5608" t="s">
        <v>41</v>
      </c>
      <c r="W5608" t="s">
        <v>75</v>
      </c>
      <c r="X5608" t="str">
        <f t="shared" si="93"/>
        <v>7052044</v>
      </c>
      <c r="Y5608" t="s">
        <v>589</v>
      </c>
      <c r="Z5608" t="s">
        <v>268</v>
      </c>
      <c r="AA5608" t="s">
        <v>269</v>
      </c>
      <c r="AB5608" t="s">
        <v>131</v>
      </c>
      <c r="AC5608" t="s">
        <v>51</v>
      </c>
      <c r="AD5608" t="s">
        <v>45</v>
      </c>
      <c r="AF5608">
        <v>1</v>
      </c>
      <c r="AG5608" t="s">
        <v>269</v>
      </c>
      <c r="AH5608" s="36">
        <f t="shared" si="91"/>
        <v>120.71388888888889</v>
      </c>
      <c r="AI5608" s="17" t="s">
        <v>1773</v>
      </c>
    </row>
    <row r="5609" spans="1:35" x14ac:dyDescent="0.25">
      <c r="A5609" s="36">
        <v>99915607</v>
      </c>
      <c r="B5609" s="17" t="s">
        <v>32</v>
      </c>
      <c r="C5609" t="s">
        <v>139</v>
      </c>
      <c r="D5609" t="s">
        <v>140</v>
      </c>
      <c r="G5609" s="17" t="s">
        <v>48</v>
      </c>
      <c r="H5609" s="17">
        <v>1</v>
      </c>
      <c r="K5609" t="s">
        <v>407</v>
      </c>
      <c r="L5609" t="s">
        <v>409</v>
      </c>
      <c r="M5609" t="s">
        <v>131</v>
      </c>
      <c r="N5609">
        <v>4</v>
      </c>
      <c r="O5609" t="s">
        <v>40</v>
      </c>
      <c r="P5609" t="s">
        <v>40</v>
      </c>
      <c r="Q5609" t="s">
        <v>40</v>
      </c>
      <c r="S5609" t="s">
        <v>40</v>
      </c>
      <c r="V5609" t="s">
        <v>41</v>
      </c>
      <c r="W5609" t="s">
        <v>75</v>
      </c>
      <c r="X5609" t="str">
        <f>"7053018"</f>
        <v>7053018</v>
      </c>
      <c r="Y5609" t="s">
        <v>408</v>
      </c>
      <c r="Z5609" t="s">
        <v>407</v>
      </c>
      <c r="AA5609" t="s">
        <v>409</v>
      </c>
      <c r="AB5609" t="s">
        <v>131</v>
      </c>
      <c r="AC5609" t="s">
        <v>51</v>
      </c>
      <c r="AD5609" t="s">
        <v>45</v>
      </c>
      <c r="AF5609">
        <v>1</v>
      </c>
      <c r="AG5609" t="s">
        <v>409</v>
      </c>
      <c r="AH5609" s="36">
        <f t="shared" si="91"/>
        <v>120.71388888888889</v>
      </c>
      <c r="AI5609" s="17" t="s">
        <v>1773</v>
      </c>
    </row>
    <row r="5610" spans="1:35" x14ac:dyDescent="0.25">
      <c r="A5610" s="36">
        <v>99915608</v>
      </c>
      <c r="B5610" s="17" t="s">
        <v>32</v>
      </c>
      <c r="C5610" t="s">
        <v>90</v>
      </c>
      <c r="D5610" t="s">
        <v>91</v>
      </c>
      <c r="G5610" s="17" t="s">
        <v>48</v>
      </c>
      <c r="H5610" s="17">
        <v>1</v>
      </c>
      <c r="K5610" t="s">
        <v>407</v>
      </c>
      <c r="L5610" t="s">
        <v>409</v>
      </c>
      <c r="M5610" t="s">
        <v>131</v>
      </c>
      <c r="N5610">
        <v>25</v>
      </c>
      <c r="O5610" t="s">
        <v>40</v>
      </c>
      <c r="P5610" t="s">
        <v>40</v>
      </c>
      <c r="Q5610" t="s">
        <v>40</v>
      </c>
      <c r="S5610" t="s">
        <v>40</v>
      </c>
      <c r="V5610" t="s">
        <v>41</v>
      </c>
      <c r="W5610" t="s">
        <v>95</v>
      </c>
      <c r="X5610" t="str">
        <f>"7053029"</f>
        <v>7053029</v>
      </c>
      <c r="Y5610" t="s">
        <v>755</v>
      </c>
      <c r="Z5610" t="s">
        <v>407</v>
      </c>
      <c r="AA5610" t="s">
        <v>409</v>
      </c>
      <c r="AB5610" t="s">
        <v>131</v>
      </c>
      <c r="AC5610" t="s">
        <v>51</v>
      </c>
      <c r="AD5610" t="s">
        <v>45</v>
      </c>
      <c r="AF5610">
        <v>1</v>
      </c>
      <c r="AG5610" t="s">
        <v>409</v>
      </c>
      <c r="AH5610" s="36">
        <f t="shared" si="91"/>
        <v>120.71388888888889</v>
      </c>
      <c r="AI5610" s="17" t="s">
        <v>1773</v>
      </c>
    </row>
    <row r="5611" spans="1:35" x14ac:dyDescent="0.25">
      <c r="A5611" s="36">
        <v>99915609</v>
      </c>
      <c r="B5611" s="17" t="s">
        <v>32</v>
      </c>
      <c r="C5611" t="s">
        <v>64</v>
      </c>
      <c r="D5611" t="s">
        <v>65</v>
      </c>
      <c r="G5611" s="17" t="s">
        <v>35</v>
      </c>
      <c r="H5611" s="17">
        <v>1</v>
      </c>
      <c r="K5611" t="s">
        <v>354</v>
      </c>
      <c r="L5611" t="s">
        <v>355</v>
      </c>
      <c r="M5611" t="s">
        <v>131</v>
      </c>
      <c r="N5611">
        <v>20</v>
      </c>
      <c r="O5611" t="s">
        <v>40</v>
      </c>
      <c r="P5611" t="s">
        <v>40</v>
      </c>
      <c r="Q5611" t="s">
        <v>40</v>
      </c>
      <c r="S5611" t="s">
        <v>40</v>
      </c>
      <c r="V5611" t="s">
        <v>41</v>
      </c>
      <c r="W5611" t="s">
        <v>75</v>
      </c>
      <c r="X5611" t="str">
        <f>"7054000"</f>
        <v>7054000</v>
      </c>
      <c r="Y5611" t="s">
        <v>786</v>
      </c>
      <c r="Z5611" t="s">
        <v>354</v>
      </c>
      <c r="AA5611" t="s">
        <v>355</v>
      </c>
      <c r="AB5611" t="s">
        <v>131</v>
      </c>
      <c r="AC5611" t="s">
        <v>51</v>
      </c>
      <c r="AD5611" t="s">
        <v>45</v>
      </c>
      <c r="AF5611">
        <v>1</v>
      </c>
      <c r="AG5611" t="s">
        <v>355</v>
      </c>
      <c r="AH5611" s="36">
        <f t="shared" si="91"/>
        <v>120.71388888888889</v>
      </c>
      <c r="AI5611" s="17" t="s">
        <v>1773</v>
      </c>
    </row>
    <row r="5612" spans="1:35" x14ac:dyDescent="0.25">
      <c r="A5612" s="36">
        <v>99915610</v>
      </c>
      <c r="B5612" s="17" t="s">
        <v>56</v>
      </c>
      <c r="C5612" t="s">
        <v>111</v>
      </c>
      <c r="D5612" t="s">
        <v>112</v>
      </c>
      <c r="G5612" s="17" t="s">
        <v>35</v>
      </c>
      <c r="H5612" s="17">
        <v>1</v>
      </c>
      <c r="I5612" t="s">
        <v>795</v>
      </c>
      <c r="J5612" s="1">
        <v>43344</v>
      </c>
      <c r="K5612" t="s">
        <v>354</v>
      </c>
      <c r="L5612" t="s">
        <v>355</v>
      </c>
      <c r="M5612" t="s">
        <v>131</v>
      </c>
      <c r="N5612">
        <v>21</v>
      </c>
      <c r="O5612" t="s">
        <v>40</v>
      </c>
      <c r="S5612" t="s">
        <v>40</v>
      </c>
      <c r="U5612" s="1">
        <v>43344</v>
      </c>
      <c r="V5612" t="s">
        <v>41</v>
      </c>
      <c r="W5612" t="s">
        <v>75</v>
      </c>
      <c r="X5612" t="str">
        <f>"7054024"</f>
        <v>7054024</v>
      </c>
      <c r="Y5612" t="s">
        <v>793</v>
      </c>
      <c r="Z5612" t="s">
        <v>354</v>
      </c>
      <c r="AA5612" t="s">
        <v>355</v>
      </c>
      <c r="AB5612" t="s">
        <v>131</v>
      </c>
      <c r="AC5612" t="s">
        <v>51</v>
      </c>
      <c r="AD5612" t="s">
        <v>45</v>
      </c>
      <c r="AF5612">
        <v>1</v>
      </c>
      <c r="AG5612" t="s">
        <v>355</v>
      </c>
      <c r="AH5612" s="36">
        <f t="shared" si="91"/>
        <v>120.71388888888889</v>
      </c>
      <c r="AI5612" s="17" t="s">
        <v>1773</v>
      </c>
    </row>
    <row r="5613" spans="1:35" x14ac:dyDescent="0.25">
      <c r="A5613" s="36">
        <v>99915611</v>
      </c>
      <c r="B5613" s="17" t="s">
        <v>32</v>
      </c>
      <c r="C5613" t="s">
        <v>71</v>
      </c>
      <c r="D5613" t="s">
        <v>72</v>
      </c>
      <c r="G5613" s="17" t="s">
        <v>35</v>
      </c>
      <c r="H5613" s="17">
        <v>1</v>
      </c>
      <c r="K5613" t="s">
        <v>354</v>
      </c>
      <c r="L5613" t="s">
        <v>355</v>
      </c>
      <c r="M5613" t="s">
        <v>131</v>
      </c>
      <c r="N5613">
        <v>10</v>
      </c>
      <c r="O5613" t="s">
        <v>40</v>
      </c>
      <c r="P5613" t="s">
        <v>40</v>
      </c>
      <c r="Q5613" t="s">
        <v>40</v>
      </c>
      <c r="S5613" t="s">
        <v>40</v>
      </c>
      <c r="V5613" t="s">
        <v>41</v>
      </c>
      <c r="W5613" t="s">
        <v>75</v>
      </c>
      <c r="X5613" t="str">
        <f t="shared" ref="X5613:X5618" si="94">"7054000"</f>
        <v>7054000</v>
      </c>
      <c r="Y5613" t="s">
        <v>786</v>
      </c>
      <c r="Z5613" t="s">
        <v>354</v>
      </c>
      <c r="AA5613" t="s">
        <v>355</v>
      </c>
      <c r="AB5613" t="s">
        <v>131</v>
      </c>
      <c r="AC5613" t="s">
        <v>51</v>
      </c>
      <c r="AD5613" t="s">
        <v>45</v>
      </c>
      <c r="AF5613">
        <v>1</v>
      </c>
      <c r="AG5613" t="s">
        <v>355</v>
      </c>
      <c r="AH5613" s="36">
        <f t="shared" si="91"/>
        <v>120.71388888888889</v>
      </c>
      <c r="AI5613" s="17" t="s">
        <v>1773</v>
      </c>
    </row>
    <row r="5614" spans="1:35" x14ac:dyDescent="0.25">
      <c r="A5614" s="36">
        <v>99915612</v>
      </c>
      <c r="B5614" s="17" t="s">
        <v>32</v>
      </c>
      <c r="C5614" t="s">
        <v>111</v>
      </c>
      <c r="D5614" t="s">
        <v>112</v>
      </c>
      <c r="G5614" s="17" t="s">
        <v>35</v>
      </c>
      <c r="H5614" s="17">
        <v>1</v>
      </c>
      <c r="K5614" t="s">
        <v>354</v>
      </c>
      <c r="L5614" t="s">
        <v>355</v>
      </c>
      <c r="M5614" t="s">
        <v>131</v>
      </c>
      <c r="N5614">
        <v>24</v>
      </c>
      <c r="O5614" t="s">
        <v>40</v>
      </c>
      <c r="P5614" t="s">
        <v>40</v>
      </c>
      <c r="Q5614" t="s">
        <v>40</v>
      </c>
      <c r="S5614" t="s">
        <v>40</v>
      </c>
      <c r="V5614" t="s">
        <v>41</v>
      </c>
      <c r="W5614" t="s">
        <v>75</v>
      </c>
      <c r="X5614" t="str">
        <f t="shared" si="94"/>
        <v>7054000</v>
      </c>
      <c r="Y5614" t="s">
        <v>786</v>
      </c>
      <c r="Z5614" t="s">
        <v>354</v>
      </c>
      <c r="AA5614" t="s">
        <v>355</v>
      </c>
      <c r="AB5614" t="s">
        <v>131</v>
      </c>
      <c r="AC5614" t="s">
        <v>51</v>
      </c>
      <c r="AD5614" t="s">
        <v>45</v>
      </c>
      <c r="AF5614">
        <v>1</v>
      </c>
      <c r="AG5614" t="s">
        <v>355</v>
      </c>
      <c r="AH5614" s="36">
        <f t="shared" si="91"/>
        <v>120.71388888888889</v>
      </c>
      <c r="AI5614" s="17" t="s">
        <v>1773</v>
      </c>
    </row>
    <row r="5615" spans="1:35" x14ac:dyDescent="0.25">
      <c r="A5615" s="36">
        <v>99915613</v>
      </c>
      <c r="B5615" s="17" t="s">
        <v>32</v>
      </c>
      <c r="C5615" t="s">
        <v>136</v>
      </c>
      <c r="D5615" t="s">
        <v>137</v>
      </c>
      <c r="G5615" s="17" t="s">
        <v>35</v>
      </c>
      <c r="H5615" s="17">
        <v>1</v>
      </c>
      <c r="I5615">
        <v>10615</v>
      </c>
      <c r="J5615" s="1">
        <v>43344</v>
      </c>
      <c r="K5615" t="s">
        <v>354</v>
      </c>
      <c r="L5615" t="s">
        <v>355</v>
      </c>
      <c r="M5615" t="s">
        <v>131</v>
      </c>
      <c r="N5615">
        <v>10</v>
      </c>
      <c r="O5615" t="s">
        <v>40</v>
      </c>
      <c r="P5615" t="s">
        <v>40</v>
      </c>
      <c r="Q5615" t="s">
        <v>40</v>
      </c>
      <c r="S5615" t="s">
        <v>40</v>
      </c>
      <c r="U5615" s="1">
        <v>43344</v>
      </c>
      <c r="V5615" t="s">
        <v>41</v>
      </c>
      <c r="W5615" t="s">
        <v>75</v>
      </c>
      <c r="X5615" t="str">
        <f t="shared" si="94"/>
        <v>7054000</v>
      </c>
      <c r="Y5615" t="s">
        <v>786</v>
      </c>
      <c r="Z5615" t="s">
        <v>354</v>
      </c>
      <c r="AA5615" t="s">
        <v>355</v>
      </c>
      <c r="AB5615" t="s">
        <v>131</v>
      </c>
      <c r="AC5615" t="s">
        <v>44</v>
      </c>
      <c r="AD5615" t="s">
        <v>45</v>
      </c>
      <c r="AF5615">
        <v>1</v>
      </c>
      <c r="AG5615" t="s">
        <v>355</v>
      </c>
      <c r="AH5615" s="36">
        <f t="shared" si="91"/>
        <v>120.71388888888889</v>
      </c>
      <c r="AI5615" s="17" t="s">
        <v>1773</v>
      </c>
    </row>
    <row r="5616" spans="1:35" x14ac:dyDescent="0.25">
      <c r="A5616" s="36">
        <v>99915614</v>
      </c>
      <c r="B5616" s="17" t="s">
        <v>32</v>
      </c>
      <c r="C5616" t="s">
        <v>111</v>
      </c>
      <c r="D5616" t="s">
        <v>112</v>
      </c>
      <c r="G5616" s="17" t="s">
        <v>35</v>
      </c>
      <c r="H5616" s="17">
        <v>1</v>
      </c>
      <c r="K5616" t="s">
        <v>354</v>
      </c>
      <c r="L5616" t="s">
        <v>355</v>
      </c>
      <c r="M5616" t="s">
        <v>131</v>
      </c>
      <c r="N5616">
        <v>24</v>
      </c>
      <c r="O5616" t="s">
        <v>40</v>
      </c>
      <c r="P5616" t="s">
        <v>40</v>
      </c>
      <c r="Q5616" t="s">
        <v>40</v>
      </c>
      <c r="S5616" t="s">
        <v>40</v>
      </c>
      <c r="V5616" t="s">
        <v>41</v>
      </c>
      <c r="W5616" t="s">
        <v>75</v>
      </c>
      <c r="X5616" t="str">
        <f t="shared" si="94"/>
        <v>7054000</v>
      </c>
      <c r="Y5616" t="s">
        <v>786</v>
      </c>
      <c r="Z5616" t="s">
        <v>354</v>
      </c>
      <c r="AA5616" t="s">
        <v>355</v>
      </c>
      <c r="AB5616" t="s">
        <v>131</v>
      </c>
      <c r="AC5616" t="s">
        <v>51</v>
      </c>
      <c r="AD5616" t="s">
        <v>45</v>
      </c>
      <c r="AF5616">
        <v>1</v>
      </c>
      <c r="AG5616" t="s">
        <v>355</v>
      </c>
      <c r="AH5616" s="36">
        <f t="shared" si="91"/>
        <v>120.71388888888889</v>
      </c>
      <c r="AI5616" s="17" t="s">
        <v>1773</v>
      </c>
    </row>
    <row r="5617" spans="1:35" x14ac:dyDescent="0.25">
      <c r="A5617" s="36">
        <v>99915615</v>
      </c>
      <c r="B5617" s="17" t="s">
        <v>32</v>
      </c>
      <c r="C5617" t="s">
        <v>139</v>
      </c>
      <c r="D5617" t="s">
        <v>140</v>
      </c>
      <c r="G5617" s="17" t="s">
        <v>35</v>
      </c>
      <c r="H5617" s="17">
        <v>1</v>
      </c>
      <c r="K5617" t="s">
        <v>354</v>
      </c>
      <c r="L5617" t="s">
        <v>355</v>
      </c>
      <c r="M5617" t="s">
        <v>131</v>
      </c>
      <c r="N5617">
        <v>10</v>
      </c>
      <c r="O5617" t="s">
        <v>40</v>
      </c>
      <c r="P5617" t="s">
        <v>40</v>
      </c>
      <c r="Q5617" t="s">
        <v>40</v>
      </c>
      <c r="S5617" t="s">
        <v>40</v>
      </c>
      <c r="V5617" t="s">
        <v>41</v>
      </c>
      <c r="W5617" t="s">
        <v>75</v>
      </c>
      <c r="X5617" t="str">
        <f t="shared" si="94"/>
        <v>7054000</v>
      </c>
      <c r="Y5617" t="s">
        <v>786</v>
      </c>
      <c r="Z5617" t="s">
        <v>354</v>
      </c>
      <c r="AA5617" t="s">
        <v>355</v>
      </c>
      <c r="AB5617" t="s">
        <v>131</v>
      </c>
      <c r="AC5617" t="s">
        <v>51</v>
      </c>
      <c r="AD5617" t="s">
        <v>45</v>
      </c>
      <c r="AF5617">
        <v>1</v>
      </c>
      <c r="AG5617" t="s">
        <v>355</v>
      </c>
      <c r="AH5617" s="36">
        <f t="shared" si="91"/>
        <v>120.71388888888889</v>
      </c>
      <c r="AI5617" s="17" t="s">
        <v>1773</v>
      </c>
    </row>
    <row r="5618" spans="1:35" x14ac:dyDescent="0.25">
      <c r="A5618" s="36">
        <v>99915616</v>
      </c>
      <c r="B5618" s="17" t="s">
        <v>32</v>
      </c>
      <c r="C5618" t="s">
        <v>111</v>
      </c>
      <c r="D5618" t="s">
        <v>112</v>
      </c>
      <c r="G5618" s="17" t="s">
        <v>35</v>
      </c>
      <c r="H5618" s="17">
        <v>1</v>
      </c>
      <c r="K5618" t="s">
        <v>354</v>
      </c>
      <c r="L5618" t="s">
        <v>355</v>
      </c>
      <c r="M5618" t="s">
        <v>131</v>
      </c>
      <c r="N5618">
        <v>24</v>
      </c>
      <c r="O5618" t="s">
        <v>40</v>
      </c>
      <c r="P5618" t="s">
        <v>40</v>
      </c>
      <c r="Q5618" t="s">
        <v>40</v>
      </c>
      <c r="S5618" t="s">
        <v>40</v>
      </c>
      <c r="V5618" t="s">
        <v>41</v>
      </c>
      <c r="W5618" t="s">
        <v>75</v>
      </c>
      <c r="X5618" t="str">
        <f t="shared" si="94"/>
        <v>7054000</v>
      </c>
      <c r="Y5618" t="s">
        <v>786</v>
      </c>
      <c r="Z5618" t="s">
        <v>354</v>
      </c>
      <c r="AA5618" t="s">
        <v>355</v>
      </c>
      <c r="AB5618" t="s">
        <v>131</v>
      </c>
      <c r="AC5618" t="s">
        <v>51</v>
      </c>
      <c r="AD5618" t="s">
        <v>45</v>
      </c>
      <c r="AF5618">
        <v>1</v>
      </c>
      <c r="AG5618" t="s">
        <v>355</v>
      </c>
      <c r="AH5618" s="36">
        <f t="shared" si="91"/>
        <v>120.71388888888889</v>
      </c>
      <c r="AI5618" s="17" t="s">
        <v>1773</v>
      </c>
    </row>
    <row r="5619" spans="1:35" x14ac:dyDescent="0.25">
      <c r="A5619" s="36">
        <v>99915617</v>
      </c>
      <c r="B5619" s="17" t="s">
        <v>32</v>
      </c>
      <c r="C5619" t="s">
        <v>64</v>
      </c>
      <c r="D5619" t="s">
        <v>65</v>
      </c>
      <c r="G5619" s="17" t="s">
        <v>35</v>
      </c>
      <c r="H5619" s="17">
        <v>1</v>
      </c>
      <c r="I5619">
        <v>19684</v>
      </c>
      <c r="J5619" s="1">
        <v>42979</v>
      </c>
      <c r="K5619" t="s">
        <v>354</v>
      </c>
      <c r="L5619" t="s">
        <v>355</v>
      </c>
      <c r="M5619" t="s">
        <v>131</v>
      </c>
      <c r="N5619">
        <v>23</v>
      </c>
      <c r="O5619" t="s">
        <v>40</v>
      </c>
      <c r="S5619" t="s">
        <v>40</v>
      </c>
      <c r="U5619" s="1">
        <v>42979</v>
      </c>
      <c r="V5619" t="s">
        <v>41</v>
      </c>
      <c r="W5619" t="s">
        <v>75</v>
      </c>
      <c r="X5619" t="str">
        <f>"7054018"</f>
        <v>7054018</v>
      </c>
      <c r="Y5619" t="s">
        <v>773</v>
      </c>
      <c r="Z5619" t="s">
        <v>354</v>
      </c>
      <c r="AA5619" t="s">
        <v>355</v>
      </c>
      <c r="AB5619" t="s">
        <v>131</v>
      </c>
      <c r="AC5619" t="s">
        <v>44</v>
      </c>
      <c r="AD5619" t="s">
        <v>45</v>
      </c>
      <c r="AF5619">
        <v>1</v>
      </c>
      <c r="AG5619" t="s">
        <v>355</v>
      </c>
      <c r="AH5619" s="36">
        <f t="shared" si="91"/>
        <v>120.71388888888889</v>
      </c>
      <c r="AI5619" s="17" t="s">
        <v>1773</v>
      </c>
    </row>
    <row r="5620" spans="1:35" x14ac:dyDescent="0.25">
      <c r="A5620" s="36">
        <v>99915618</v>
      </c>
      <c r="B5620" s="17" t="s">
        <v>32</v>
      </c>
      <c r="C5620" t="s">
        <v>90</v>
      </c>
      <c r="D5620" t="s">
        <v>91</v>
      </c>
      <c r="G5620" s="17" t="s">
        <v>48</v>
      </c>
      <c r="H5620" s="17">
        <v>1</v>
      </c>
      <c r="K5620" t="s">
        <v>877</v>
      </c>
      <c r="L5620" t="s">
        <v>878</v>
      </c>
      <c r="M5620" t="s">
        <v>131</v>
      </c>
      <c r="N5620">
        <v>24</v>
      </c>
      <c r="O5620" t="s">
        <v>40</v>
      </c>
      <c r="P5620" t="s">
        <v>40</v>
      </c>
      <c r="Q5620" t="s">
        <v>40</v>
      </c>
      <c r="S5620" t="s">
        <v>40</v>
      </c>
      <c r="V5620" t="s">
        <v>41</v>
      </c>
      <c r="W5620" t="s">
        <v>75</v>
      </c>
      <c r="X5620" t="str">
        <f>"7541010"</f>
        <v>7541010</v>
      </c>
      <c r="Y5620" t="s">
        <v>887</v>
      </c>
      <c r="Z5620" t="s">
        <v>877</v>
      </c>
      <c r="AA5620" t="s">
        <v>878</v>
      </c>
      <c r="AB5620" t="s">
        <v>131</v>
      </c>
      <c r="AC5620" t="s">
        <v>51</v>
      </c>
      <c r="AD5620" t="s">
        <v>45</v>
      </c>
      <c r="AF5620">
        <v>1</v>
      </c>
      <c r="AG5620" t="s">
        <v>878</v>
      </c>
      <c r="AH5620" s="36">
        <f t="shared" si="91"/>
        <v>120.71388888888889</v>
      </c>
      <c r="AI5620" s="17" t="s">
        <v>1773</v>
      </c>
    </row>
    <row r="5621" spans="1:35" x14ac:dyDescent="0.25">
      <c r="A5621" s="36">
        <v>99915619</v>
      </c>
      <c r="B5621" s="17" t="s">
        <v>32</v>
      </c>
      <c r="C5621" t="s">
        <v>111</v>
      </c>
      <c r="D5621" t="s">
        <v>112</v>
      </c>
      <c r="G5621" s="17" t="s">
        <v>48</v>
      </c>
      <c r="H5621" s="17">
        <v>1</v>
      </c>
      <c r="K5621" t="s">
        <v>877</v>
      </c>
      <c r="L5621" t="s">
        <v>878</v>
      </c>
      <c r="M5621" t="s">
        <v>131</v>
      </c>
      <c r="N5621">
        <v>24</v>
      </c>
      <c r="O5621" t="s">
        <v>40</v>
      </c>
      <c r="P5621" t="s">
        <v>40</v>
      </c>
      <c r="Q5621" t="s">
        <v>40</v>
      </c>
      <c r="S5621" t="s">
        <v>40</v>
      </c>
      <c r="V5621" t="s">
        <v>41</v>
      </c>
      <c r="W5621" t="s">
        <v>75</v>
      </c>
      <c r="X5621" t="str">
        <f>"7541010"</f>
        <v>7541010</v>
      </c>
      <c r="Y5621" t="s">
        <v>887</v>
      </c>
      <c r="Z5621" t="s">
        <v>877</v>
      </c>
      <c r="AA5621" t="s">
        <v>878</v>
      </c>
      <c r="AB5621" t="s">
        <v>131</v>
      </c>
      <c r="AC5621" t="s">
        <v>51</v>
      </c>
      <c r="AD5621" t="s">
        <v>45</v>
      </c>
      <c r="AF5621">
        <v>1</v>
      </c>
      <c r="AG5621" t="s">
        <v>878</v>
      </c>
      <c r="AH5621" s="36">
        <f t="shared" si="91"/>
        <v>120.71388888888889</v>
      </c>
      <c r="AI5621" s="17" t="s">
        <v>1773</v>
      </c>
    </row>
    <row r="5622" spans="1:35" x14ac:dyDescent="0.25">
      <c r="A5622" s="36">
        <v>99915620</v>
      </c>
      <c r="B5622" s="17" t="s">
        <v>32</v>
      </c>
      <c r="C5622" t="s">
        <v>90</v>
      </c>
      <c r="D5622" t="s">
        <v>91</v>
      </c>
      <c r="G5622" s="17" t="s">
        <v>48</v>
      </c>
      <c r="H5622" s="17">
        <v>1</v>
      </c>
      <c r="K5622" t="s">
        <v>877</v>
      </c>
      <c r="L5622" t="s">
        <v>878</v>
      </c>
      <c r="M5622" t="s">
        <v>131</v>
      </c>
      <c r="N5622">
        <v>24</v>
      </c>
      <c r="O5622" t="s">
        <v>40</v>
      </c>
      <c r="P5622" t="s">
        <v>40</v>
      </c>
      <c r="Q5622" t="s">
        <v>40</v>
      </c>
      <c r="S5622" t="s">
        <v>40</v>
      </c>
      <c r="V5622" t="s">
        <v>41</v>
      </c>
      <c r="W5622" t="s">
        <v>75</v>
      </c>
      <c r="X5622" t="str">
        <f>"7541010"</f>
        <v>7541010</v>
      </c>
      <c r="Y5622" t="s">
        <v>887</v>
      </c>
      <c r="Z5622" t="s">
        <v>877</v>
      </c>
      <c r="AA5622" t="s">
        <v>878</v>
      </c>
      <c r="AB5622" t="s">
        <v>131</v>
      </c>
      <c r="AC5622" t="s">
        <v>51</v>
      </c>
      <c r="AD5622" t="s">
        <v>45</v>
      </c>
      <c r="AF5622">
        <v>1</v>
      </c>
      <c r="AG5622" t="s">
        <v>878</v>
      </c>
      <c r="AH5622" s="36">
        <f t="shared" si="91"/>
        <v>120.71388888888889</v>
      </c>
      <c r="AI5622" s="17" t="s">
        <v>1773</v>
      </c>
    </row>
    <row r="5623" spans="1:35" x14ac:dyDescent="0.25">
      <c r="A5623" s="36">
        <v>99915621</v>
      </c>
      <c r="B5623" s="17" t="s">
        <v>56</v>
      </c>
      <c r="C5623" t="s">
        <v>61</v>
      </c>
      <c r="D5623" t="s">
        <v>62</v>
      </c>
      <c r="G5623" s="17" t="s">
        <v>35</v>
      </c>
      <c r="H5623" s="17">
        <v>1</v>
      </c>
      <c r="I5623">
        <v>4616</v>
      </c>
      <c r="J5623" s="1">
        <v>43350</v>
      </c>
      <c r="K5623" t="s">
        <v>919</v>
      </c>
      <c r="L5623" t="s">
        <v>920</v>
      </c>
      <c r="M5623" t="s">
        <v>921</v>
      </c>
      <c r="N5623">
        <v>6</v>
      </c>
      <c r="O5623" t="s">
        <v>40</v>
      </c>
      <c r="S5623" t="s">
        <v>40</v>
      </c>
      <c r="U5623" s="1">
        <v>43350</v>
      </c>
      <c r="V5623" t="s">
        <v>41</v>
      </c>
      <c r="W5623" t="s">
        <v>922</v>
      </c>
      <c r="X5623" t="str">
        <f>"5162001"</f>
        <v>5162001</v>
      </c>
      <c r="Y5623" t="s">
        <v>923</v>
      </c>
      <c r="Z5623" t="s">
        <v>919</v>
      </c>
      <c r="AA5623" t="s">
        <v>920</v>
      </c>
      <c r="AB5623" t="s">
        <v>921</v>
      </c>
      <c r="AC5623" t="s">
        <v>44</v>
      </c>
      <c r="AD5623" t="s">
        <v>45</v>
      </c>
      <c r="AF5623">
        <v>2</v>
      </c>
      <c r="AG5623" t="s">
        <v>920</v>
      </c>
      <c r="AH5623" s="36">
        <f t="shared" si="91"/>
        <v>120.71388888888889</v>
      </c>
      <c r="AI5623" s="17" t="s">
        <v>1773</v>
      </c>
    </row>
    <row r="5624" spans="1:35" x14ac:dyDescent="0.25">
      <c r="A5624" s="36">
        <v>99915622</v>
      </c>
      <c r="B5624" s="17" t="s">
        <v>32</v>
      </c>
      <c r="C5624" t="s">
        <v>90</v>
      </c>
      <c r="D5624" t="s">
        <v>91</v>
      </c>
      <c r="G5624" s="17" t="s">
        <v>35</v>
      </c>
      <c r="H5624" s="17">
        <v>1</v>
      </c>
      <c r="I5624">
        <v>4665</v>
      </c>
      <c r="J5624" s="1">
        <v>43344</v>
      </c>
      <c r="K5624" t="s">
        <v>927</v>
      </c>
      <c r="L5624" t="s">
        <v>928</v>
      </c>
      <c r="M5624" t="s">
        <v>921</v>
      </c>
      <c r="N5624">
        <v>25</v>
      </c>
      <c r="O5624" t="s">
        <v>40</v>
      </c>
      <c r="S5624" t="s">
        <v>40</v>
      </c>
      <c r="U5624" s="1">
        <v>43344</v>
      </c>
      <c r="V5624" t="s">
        <v>41</v>
      </c>
      <c r="W5624" t="s">
        <v>95</v>
      </c>
      <c r="X5624" t="str">
        <f>"7331001"</f>
        <v>7331001</v>
      </c>
      <c r="Y5624" t="s">
        <v>930</v>
      </c>
      <c r="Z5624" t="s">
        <v>927</v>
      </c>
      <c r="AA5624" t="s">
        <v>928</v>
      </c>
      <c r="AB5624" t="s">
        <v>921</v>
      </c>
      <c r="AC5624" t="s">
        <v>44</v>
      </c>
      <c r="AD5624" t="s">
        <v>45</v>
      </c>
      <c r="AF5624">
        <v>1</v>
      </c>
      <c r="AG5624" t="s">
        <v>928</v>
      </c>
      <c r="AH5624" s="36">
        <f t="shared" si="91"/>
        <v>120.71388888888889</v>
      </c>
      <c r="AI5624" s="17" t="s">
        <v>1773</v>
      </c>
    </row>
    <row r="5625" spans="1:35" x14ac:dyDescent="0.25">
      <c r="A5625" s="36">
        <v>99915623</v>
      </c>
      <c r="B5625" s="17" t="s">
        <v>32</v>
      </c>
      <c r="C5625" t="s">
        <v>68</v>
      </c>
      <c r="D5625" t="s">
        <v>69</v>
      </c>
      <c r="G5625" s="17" t="s">
        <v>35</v>
      </c>
      <c r="H5625" s="17">
        <v>1</v>
      </c>
      <c r="I5625" t="s">
        <v>1065</v>
      </c>
      <c r="J5625" s="1">
        <v>43355</v>
      </c>
      <c r="K5625" t="s">
        <v>1051</v>
      </c>
      <c r="L5625" t="s">
        <v>1052</v>
      </c>
      <c r="M5625" t="s">
        <v>1053</v>
      </c>
      <c r="N5625">
        <v>13</v>
      </c>
      <c r="O5625" t="s">
        <v>40</v>
      </c>
      <c r="P5625" t="s">
        <v>40</v>
      </c>
      <c r="Q5625" t="s">
        <v>40</v>
      </c>
      <c r="R5625" t="s">
        <v>40</v>
      </c>
      <c r="S5625" t="s">
        <v>40</v>
      </c>
      <c r="U5625" s="1">
        <v>43355</v>
      </c>
      <c r="V5625" t="s">
        <v>41</v>
      </c>
      <c r="W5625" t="s">
        <v>42</v>
      </c>
      <c r="X5625" t="str">
        <f>"2061004"</f>
        <v>2061004</v>
      </c>
      <c r="Y5625" t="s">
        <v>1055</v>
      </c>
      <c r="Z5625" t="s">
        <v>1051</v>
      </c>
      <c r="AA5625" t="s">
        <v>1052</v>
      </c>
      <c r="AB5625" t="s">
        <v>1053</v>
      </c>
      <c r="AC5625" t="s">
        <v>44</v>
      </c>
      <c r="AD5625" t="s">
        <v>45</v>
      </c>
      <c r="AF5625">
        <v>2</v>
      </c>
      <c r="AG5625" t="s">
        <v>1052</v>
      </c>
      <c r="AH5625" s="36">
        <f t="shared" si="91"/>
        <v>120.71388888888889</v>
      </c>
      <c r="AI5625" s="17" t="s">
        <v>1773</v>
      </c>
    </row>
    <row r="5626" spans="1:35" x14ac:dyDescent="0.25">
      <c r="A5626" s="36">
        <v>99915624</v>
      </c>
      <c r="B5626" s="17" t="s">
        <v>32</v>
      </c>
      <c r="C5626" t="s">
        <v>58</v>
      </c>
      <c r="D5626" t="s">
        <v>59</v>
      </c>
      <c r="G5626" s="17" t="s">
        <v>48</v>
      </c>
      <c r="H5626" s="17">
        <v>1</v>
      </c>
      <c r="I5626" t="s">
        <v>1141</v>
      </c>
      <c r="J5626" s="1">
        <v>41652</v>
      </c>
      <c r="K5626" t="s">
        <v>1128</v>
      </c>
      <c r="L5626" t="s">
        <v>1129</v>
      </c>
      <c r="M5626" t="s">
        <v>1130</v>
      </c>
      <c r="N5626">
        <v>8</v>
      </c>
      <c r="O5626" t="s">
        <v>40</v>
      </c>
      <c r="P5626" t="s">
        <v>40</v>
      </c>
      <c r="Q5626" t="s">
        <v>40</v>
      </c>
      <c r="R5626" t="s">
        <v>40</v>
      </c>
      <c r="S5626" t="s">
        <v>40</v>
      </c>
      <c r="U5626" s="1">
        <v>41652</v>
      </c>
      <c r="V5626" t="s">
        <v>41</v>
      </c>
      <c r="W5626" t="s">
        <v>49</v>
      </c>
      <c r="X5626" t="str">
        <f>"3181010"</f>
        <v>3181010</v>
      </c>
      <c r="Y5626" t="s">
        <v>1134</v>
      </c>
      <c r="Z5626" t="s">
        <v>1128</v>
      </c>
      <c r="AA5626" t="s">
        <v>1129</v>
      </c>
      <c r="AB5626" t="s">
        <v>1130</v>
      </c>
      <c r="AC5626" t="s">
        <v>51</v>
      </c>
      <c r="AD5626" t="s">
        <v>45</v>
      </c>
      <c r="AF5626">
        <v>2</v>
      </c>
      <c r="AG5626" t="s">
        <v>1129</v>
      </c>
      <c r="AH5626" s="36">
        <f t="shared" si="91"/>
        <v>120.71388888888889</v>
      </c>
      <c r="AI5626" s="17" t="s">
        <v>1773</v>
      </c>
    </row>
    <row r="5627" spans="1:35" x14ac:dyDescent="0.25">
      <c r="A5627" s="36">
        <v>99915625</v>
      </c>
      <c r="B5627" s="17" t="s">
        <v>32</v>
      </c>
      <c r="C5627" t="s">
        <v>46</v>
      </c>
      <c r="D5627" t="s">
        <v>47</v>
      </c>
      <c r="G5627" s="17" t="s">
        <v>35</v>
      </c>
      <c r="H5627" s="17">
        <v>1</v>
      </c>
      <c r="I5627">
        <v>8345</v>
      </c>
      <c r="J5627" s="1">
        <v>43363</v>
      </c>
      <c r="K5627" t="s">
        <v>1187</v>
      </c>
      <c r="L5627" t="s">
        <v>1188</v>
      </c>
      <c r="M5627" t="s">
        <v>1130</v>
      </c>
      <c r="N5627">
        <v>6</v>
      </c>
      <c r="O5627" t="s">
        <v>40</v>
      </c>
      <c r="S5627" t="s">
        <v>40</v>
      </c>
      <c r="U5627" s="1">
        <v>43363</v>
      </c>
      <c r="V5627" t="s">
        <v>41</v>
      </c>
      <c r="W5627" t="s">
        <v>49</v>
      </c>
      <c r="X5627" t="str">
        <f>"4581015"</f>
        <v>4581015</v>
      </c>
      <c r="Y5627" t="s">
        <v>1190</v>
      </c>
      <c r="Z5627" t="s">
        <v>1187</v>
      </c>
      <c r="AA5627" t="s">
        <v>1188</v>
      </c>
      <c r="AB5627" t="s">
        <v>1130</v>
      </c>
      <c r="AC5627" t="s">
        <v>44</v>
      </c>
      <c r="AD5627" t="s">
        <v>45</v>
      </c>
      <c r="AF5627">
        <v>2</v>
      </c>
      <c r="AG5627" t="s">
        <v>1188</v>
      </c>
      <c r="AH5627" s="36">
        <f t="shared" si="91"/>
        <v>120.71388888888889</v>
      </c>
      <c r="AI5627" s="17" t="s">
        <v>1773</v>
      </c>
    </row>
    <row r="5628" spans="1:35" x14ac:dyDescent="0.25">
      <c r="A5628" s="36">
        <v>99915626</v>
      </c>
      <c r="B5628" s="17" t="s">
        <v>56</v>
      </c>
      <c r="C5628" t="s">
        <v>68</v>
      </c>
      <c r="D5628" t="s">
        <v>69</v>
      </c>
      <c r="G5628" s="17" t="s">
        <v>35</v>
      </c>
      <c r="H5628" s="17">
        <v>1</v>
      </c>
      <c r="I5628">
        <v>8077</v>
      </c>
      <c r="J5628" s="1">
        <v>43357</v>
      </c>
      <c r="K5628" t="s">
        <v>1187</v>
      </c>
      <c r="L5628" t="s">
        <v>1188</v>
      </c>
      <c r="M5628" t="s">
        <v>1130</v>
      </c>
      <c r="N5628">
        <v>3</v>
      </c>
      <c r="O5628" t="s">
        <v>40</v>
      </c>
      <c r="S5628" t="s">
        <v>40</v>
      </c>
      <c r="U5628" s="1">
        <v>43357</v>
      </c>
      <c r="V5628" t="s">
        <v>41</v>
      </c>
      <c r="W5628" t="s">
        <v>49</v>
      </c>
      <c r="X5628" t="str">
        <f>"4581015"</f>
        <v>4581015</v>
      </c>
      <c r="Y5628" t="s">
        <v>1190</v>
      </c>
      <c r="Z5628" t="s">
        <v>1187</v>
      </c>
      <c r="AA5628" t="s">
        <v>1188</v>
      </c>
      <c r="AB5628" t="s">
        <v>1130</v>
      </c>
      <c r="AC5628" t="s">
        <v>44</v>
      </c>
      <c r="AD5628" t="s">
        <v>45</v>
      </c>
      <c r="AF5628">
        <v>2</v>
      </c>
      <c r="AG5628" t="s">
        <v>1188</v>
      </c>
      <c r="AH5628" s="36">
        <f t="shared" si="91"/>
        <v>120.71388888888889</v>
      </c>
      <c r="AI5628" s="17" t="s">
        <v>1773</v>
      </c>
    </row>
    <row r="5629" spans="1:35" x14ac:dyDescent="0.25">
      <c r="A5629" s="36">
        <v>99915627</v>
      </c>
      <c r="B5629" s="17" t="s">
        <v>32</v>
      </c>
      <c r="C5629" t="s">
        <v>111</v>
      </c>
      <c r="D5629" t="s">
        <v>112</v>
      </c>
      <c r="G5629" s="17" t="s">
        <v>35</v>
      </c>
      <c r="H5629" s="17">
        <v>1</v>
      </c>
      <c r="I5629">
        <v>9417</v>
      </c>
      <c r="J5629" s="1">
        <v>43344</v>
      </c>
      <c r="K5629" t="s">
        <v>1198</v>
      </c>
      <c r="L5629" t="s">
        <v>1199</v>
      </c>
      <c r="M5629" t="s">
        <v>1130</v>
      </c>
      <c r="N5629">
        <v>24</v>
      </c>
      <c r="O5629" t="s">
        <v>40</v>
      </c>
      <c r="P5629" t="s">
        <v>40</v>
      </c>
      <c r="Q5629" t="s">
        <v>40</v>
      </c>
      <c r="S5629" t="s">
        <v>40</v>
      </c>
      <c r="U5629" s="1">
        <v>43344</v>
      </c>
      <c r="V5629" t="s">
        <v>41</v>
      </c>
      <c r="W5629" t="s">
        <v>75</v>
      </c>
      <c r="X5629" t="str">
        <f>"7311006"</f>
        <v>7311006</v>
      </c>
      <c r="Y5629" t="s">
        <v>1200</v>
      </c>
      <c r="Z5629" t="s">
        <v>1198</v>
      </c>
      <c r="AA5629" t="s">
        <v>1199</v>
      </c>
      <c r="AB5629" t="s">
        <v>1130</v>
      </c>
      <c r="AC5629" t="s">
        <v>44</v>
      </c>
      <c r="AD5629" t="s">
        <v>45</v>
      </c>
      <c r="AF5629">
        <v>1</v>
      </c>
      <c r="AG5629" t="s">
        <v>1199</v>
      </c>
      <c r="AH5629" s="36">
        <f t="shared" si="91"/>
        <v>120.71388888888889</v>
      </c>
      <c r="AI5629" s="17" t="s">
        <v>1773</v>
      </c>
    </row>
    <row r="5630" spans="1:35" x14ac:dyDescent="0.25">
      <c r="A5630" s="36">
        <v>99915628</v>
      </c>
      <c r="B5630" s="17" t="s">
        <v>32</v>
      </c>
      <c r="C5630" t="s">
        <v>79</v>
      </c>
      <c r="D5630" t="s">
        <v>80</v>
      </c>
      <c r="G5630" s="17" t="s">
        <v>35</v>
      </c>
      <c r="H5630" s="17">
        <v>1</v>
      </c>
      <c r="I5630">
        <v>1466</v>
      </c>
      <c r="J5630" s="1">
        <v>43344</v>
      </c>
      <c r="K5630" t="s">
        <v>1198</v>
      </c>
      <c r="L5630" t="s">
        <v>1199</v>
      </c>
      <c r="M5630" t="s">
        <v>1130</v>
      </c>
      <c r="N5630">
        <v>18</v>
      </c>
      <c r="O5630" t="s">
        <v>40</v>
      </c>
      <c r="S5630" t="s">
        <v>40</v>
      </c>
      <c r="U5630" s="1">
        <v>43344</v>
      </c>
      <c r="V5630" t="s">
        <v>41</v>
      </c>
      <c r="W5630" t="s">
        <v>75</v>
      </c>
      <c r="X5630" t="str">
        <f>"7311002"</f>
        <v>7311002</v>
      </c>
      <c r="Y5630" t="s">
        <v>1203</v>
      </c>
      <c r="Z5630" t="s">
        <v>1198</v>
      </c>
      <c r="AA5630" t="s">
        <v>1199</v>
      </c>
      <c r="AB5630" t="s">
        <v>1130</v>
      </c>
      <c r="AC5630" t="s">
        <v>51</v>
      </c>
      <c r="AD5630" t="s">
        <v>45</v>
      </c>
      <c r="AF5630">
        <v>1</v>
      </c>
      <c r="AG5630" t="s">
        <v>1199</v>
      </c>
      <c r="AH5630" s="36">
        <f t="shared" si="91"/>
        <v>120.71388888888889</v>
      </c>
      <c r="AI5630" s="17" t="s">
        <v>1773</v>
      </c>
    </row>
    <row r="5631" spans="1:35" x14ac:dyDescent="0.25">
      <c r="A5631" s="36">
        <v>99915629</v>
      </c>
      <c r="B5631" s="17" t="s">
        <v>32</v>
      </c>
      <c r="C5631" t="s">
        <v>139</v>
      </c>
      <c r="D5631" t="s">
        <v>140</v>
      </c>
      <c r="G5631" s="17" t="s">
        <v>35</v>
      </c>
      <c r="H5631" s="17">
        <v>1</v>
      </c>
      <c r="I5631">
        <v>927</v>
      </c>
      <c r="J5631" s="1">
        <v>43344</v>
      </c>
      <c r="K5631" t="s">
        <v>1198</v>
      </c>
      <c r="L5631" t="s">
        <v>1199</v>
      </c>
      <c r="M5631" t="s">
        <v>1130</v>
      </c>
      <c r="N5631">
        <v>5</v>
      </c>
      <c r="O5631" t="s">
        <v>40</v>
      </c>
      <c r="S5631" t="s">
        <v>40</v>
      </c>
      <c r="U5631" s="1">
        <v>43344</v>
      </c>
      <c r="V5631" t="s">
        <v>41</v>
      </c>
      <c r="W5631" t="s">
        <v>75</v>
      </c>
      <c r="X5631" t="str">
        <f>"7311002"</f>
        <v>7311002</v>
      </c>
      <c r="Y5631" t="s">
        <v>1203</v>
      </c>
      <c r="Z5631" t="s">
        <v>1198</v>
      </c>
      <c r="AA5631" t="s">
        <v>1199</v>
      </c>
      <c r="AB5631" t="s">
        <v>1130</v>
      </c>
      <c r="AC5631" t="s">
        <v>51</v>
      </c>
      <c r="AD5631" t="s">
        <v>45</v>
      </c>
      <c r="AF5631">
        <v>1</v>
      </c>
      <c r="AG5631" t="s">
        <v>1199</v>
      </c>
      <c r="AH5631" s="36">
        <f t="shared" si="91"/>
        <v>120.71388888888889</v>
      </c>
      <c r="AI5631" s="17" t="s">
        <v>1773</v>
      </c>
    </row>
    <row r="5632" spans="1:35" x14ac:dyDescent="0.25">
      <c r="A5632" s="36">
        <v>99915630</v>
      </c>
      <c r="B5632" s="17" t="s">
        <v>32</v>
      </c>
      <c r="C5632" t="s">
        <v>90</v>
      </c>
      <c r="D5632" t="s">
        <v>91</v>
      </c>
      <c r="G5632" s="17" t="s">
        <v>48</v>
      </c>
      <c r="H5632" s="17">
        <v>1</v>
      </c>
      <c r="K5632" t="s">
        <v>1198</v>
      </c>
      <c r="L5632" t="s">
        <v>1199</v>
      </c>
      <c r="M5632" t="s">
        <v>1130</v>
      </c>
      <c r="N5632">
        <v>25</v>
      </c>
      <c r="O5632" t="s">
        <v>40</v>
      </c>
      <c r="P5632" t="s">
        <v>40</v>
      </c>
      <c r="Q5632" t="s">
        <v>40</v>
      </c>
      <c r="S5632" t="s">
        <v>40</v>
      </c>
      <c r="V5632" t="s">
        <v>41</v>
      </c>
      <c r="W5632" t="s">
        <v>95</v>
      </c>
      <c r="X5632" t="str">
        <f>"7311019"</f>
        <v>7311019</v>
      </c>
      <c r="Y5632" t="s">
        <v>1215</v>
      </c>
      <c r="Z5632" t="s">
        <v>1198</v>
      </c>
      <c r="AA5632" t="s">
        <v>1199</v>
      </c>
      <c r="AB5632" t="s">
        <v>1130</v>
      </c>
      <c r="AC5632" t="s">
        <v>165</v>
      </c>
      <c r="AD5632" t="s">
        <v>45</v>
      </c>
      <c r="AF5632">
        <v>1</v>
      </c>
      <c r="AG5632" t="s">
        <v>1199</v>
      </c>
      <c r="AH5632" s="36">
        <f t="shared" si="91"/>
        <v>120.71388888888889</v>
      </c>
      <c r="AI5632" s="17" t="s">
        <v>1773</v>
      </c>
    </row>
    <row r="5633" spans="1:35" x14ac:dyDescent="0.25">
      <c r="A5633" s="36">
        <v>99915631</v>
      </c>
      <c r="B5633" s="17" t="s">
        <v>32</v>
      </c>
      <c r="C5633" t="s">
        <v>71</v>
      </c>
      <c r="D5633" t="s">
        <v>72</v>
      </c>
      <c r="G5633" s="17" t="s">
        <v>35</v>
      </c>
      <c r="H5633" s="17">
        <v>1</v>
      </c>
      <c r="I5633">
        <v>8037</v>
      </c>
      <c r="J5633" s="1">
        <v>43344</v>
      </c>
      <c r="K5633" t="s">
        <v>1198</v>
      </c>
      <c r="L5633" t="s">
        <v>1199</v>
      </c>
      <c r="M5633" t="s">
        <v>1130</v>
      </c>
      <c r="N5633">
        <v>5</v>
      </c>
      <c r="O5633" t="s">
        <v>40</v>
      </c>
      <c r="S5633" t="s">
        <v>40</v>
      </c>
      <c r="U5633" s="1">
        <v>43344</v>
      </c>
      <c r="V5633" t="s">
        <v>41</v>
      </c>
      <c r="W5633" t="s">
        <v>75</v>
      </c>
      <c r="X5633" t="str">
        <f>"7311002"</f>
        <v>7311002</v>
      </c>
      <c r="Y5633" t="s">
        <v>1203</v>
      </c>
      <c r="Z5633" t="s">
        <v>1198</v>
      </c>
      <c r="AA5633" t="s">
        <v>1199</v>
      </c>
      <c r="AB5633" t="s">
        <v>1130</v>
      </c>
      <c r="AC5633" t="s">
        <v>51</v>
      </c>
      <c r="AD5633" t="s">
        <v>45</v>
      </c>
      <c r="AF5633">
        <v>1</v>
      </c>
      <c r="AG5633" t="s">
        <v>1199</v>
      </c>
      <c r="AH5633" s="36">
        <f t="shared" si="91"/>
        <v>120.71388888888889</v>
      </c>
      <c r="AI5633" s="17" t="s">
        <v>1773</v>
      </c>
    </row>
    <row r="5634" spans="1:35" x14ac:dyDescent="0.25">
      <c r="A5634" s="36">
        <v>99915632</v>
      </c>
      <c r="B5634" s="17" t="s">
        <v>32</v>
      </c>
      <c r="C5634" t="s">
        <v>61</v>
      </c>
      <c r="D5634" t="s">
        <v>62</v>
      </c>
      <c r="G5634" s="17" t="s">
        <v>35</v>
      </c>
      <c r="H5634" s="17">
        <v>1</v>
      </c>
      <c r="I5634">
        <v>9288</v>
      </c>
      <c r="J5634" s="1">
        <v>43344</v>
      </c>
      <c r="K5634" t="s">
        <v>1198</v>
      </c>
      <c r="L5634" t="s">
        <v>1199</v>
      </c>
      <c r="M5634" t="s">
        <v>1130</v>
      </c>
      <c r="N5634">
        <v>19</v>
      </c>
      <c r="O5634" t="s">
        <v>40</v>
      </c>
      <c r="S5634" t="s">
        <v>40</v>
      </c>
      <c r="U5634" s="1">
        <v>43344</v>
      </c>
      <c r="V5634" t="s">
        <v>41</v>
      </c>
      <c r="W5634" t="s">
        <v>75</v>
      </c>
      <c r="X5634" t="str">
        <f>"7311002"</f>
        <v>7311002</v>
      </c>
      <c r="Y5634" t="s">
        <v>1203</v>
      </c>
      <c r="Z5634" t="s">
        <v>1198</v>
      </c>
      <c r="AA5634" t="s">
        <v>1199</v>
      </c>
      <c r="AB5634" t="s">
        <v>1130</v>
      </c>
      <c r="AC5634" t="s">
        <v>51</v>
      </c>
      <c r="AD5634" t="s">
        <v>45</v>
      </c>
      <c r="AF5634">
        <v>1</v>
      </c>
      <c r="AG5634" t="s">
        <v>1199</v>
      </c>
      <c r="AH5634" s="36">
        <f t="shared" ref="AH5634:AH5688" si="95">($AJ$1-AE5634)/360</f>
        <v>120.71388888888889</v>
      </c>
      <c r="AI5634" s="17" t="s">
        <v>1773</v>
      </c>
    </row>
    <row r="5635" spans="1:35" x14ac:dyDescent="0.25">
      <c r="A5635" s="36">
        <v>99915633</v>
      </c>
      <c r="B5635" s="17" t="s">
        <v>32</v>
      </c>
      <c r="C5635" t="s">
        <v>79</v>
      </c>
      <c r="D5635" t="s">
        <v>80</v>
      </c>
      <c r="G5635" s="17" t="s">
        <v>35</v>
      </c>
      <c r="H5635" s="17">
        <v>1</v>
      </c>
      <c r="I5635">
        <v>9286</v>
      </c>
      <c r="J5635" s="1">
        <v>43344</v>
      </c>
      <c r="K5635" t="s">
        <v>1198</v>
      </c>
      <c r="L5635" t="s">
        <v>1199</v>
      </c>
      <c r="M5635" t="s">
        <v>1130</v>
      </c>
      <c r="N5635">
        <v>22</v>
      </c>
      <c r="O5635" t="s">
        <v>40</v>
      </c>
      <c r="S5635" t="s">
        <v>40</v>
      </c>
      <c r="U5635" s="1">
        <v>43344</v>
      </c>
      <c r="V5635" t="s">
        <v>41</v>
      </c>
      <c r="W5635" t="s">
        <v>75</v>
      </c>
      <c r="X5635" t="str">
        <f>"7311002"</f>
        <v>7311002</v>
      </c>
      <c r="Y5635" t="s">
        <v>1203</v>
      </c>
      <c r="Z5635" t="s">
        <v>1198</v>
      </c>
      <c r="AA5635" t="s">
        <v>1199</v>
      </c>
      <c r="AB5635" t="s">
        <v>1130</v>
      </c>
      <c r="AC5635" t="s">
        <v>51</v>
      </c>
      <c r="AD5635" t="s">
        <v>45</v>
      </c>
      <c r="AF5635">
        <v>1</v>
      </c>
      <c r="AG5635" t="s">
        <v>1199</v>
      </c>
      <c r="AH5635" s="36">
        <f t="shared" si="95"/>
        <v>120.71388888888889</v>
      </c>
      <c r="AI5635" s="17" t="s">
        <v>1773</v>
      </c>
    </row>
    <row r="5636" spans="1:35" x14ac:dyDescent="0.25">
      <c r="A5636" s="36">
        <v>99915634</v>
      </c>
      <c r="B5636" s="17" t="s">
        <v>32</v>
      </c>
      <c r="C5636" t="s">
        <v>136</v>
      </c>
      <c r="D5636" t="s">
        <v>137</v>
      </c>
      <c r="G5636" s="17" t="s">
        <v>35</v>
      </c>
      <c r="H5636" s="17">
        <v>1</v>
      </c>
      <c r="I5636" t="s">
        <v>1228</v>
      </c>
      <c r="J5636" s="1">
        <v>43344</v>
      </c>
      <c r="K5636" t="s">
        <v>1221</v>
      </c>
      <c r="L5636" t="s">
        <v>1222</v>
      </c>
      <c r="M5636" t="s">
        <v>1130</v>
      </c>
      <c r="N5636">
        <v>1</v>
      </c>
      <c r="O5636" t="s">
        <v>40</v>
      </c>
      <c r="P5636" t="s">
        <v>40</v>
      </c>
      <c r="Q5636" t="s">
        <v>40</v>
      </c>
      <c r="R5636" t="s">
        <v>40</v>
      </c>
      <c r="S5636" t="s">
        <v>40</v>
      </c>
      <c r="U5636" s="1">
        <v>43344</v>
      </c>
      <c r="V5636" t="s">
        <v>41</v>
      </c>
      <c r="W5636" t="s">
        <v>75</v>
      </c>
      <c r="X5636" t="str">
        <f>"7351000"</f>
        <v>7351000</v>
      </c>
      <c r="Y5636" t="s">
        <v>1223</v>
      </c>
      <c r="Z5636" t="s">
        <v>1221</v>
      </c>
      <c r="AA5636" t="s">
        <v>1222</v>
      </c>
      <c r="AB5636" t="s">
        <v>1130</v>
      </c>
      <c r="AC5636" t="s">
        <v>51</v>
      </c>
      <c r="AD5636" t="s">
        <v>45</v>
      </c>
      <c r="AF5636">
        <v>1</v>
      </c>
      <c r="AG5636" t="s">
        <v>1222</v>
      </c>
      <c r="AH5636" s="36">
        <f t="shared" si="95"/>
        <v>120.71388888888889</v>
      </c>
      <c r="AI5636" s="17" t="s">
        <v>1773</v>
      </c>
    </row>
    <row r="5637" spans="1:35" x14ac:dyDescent="0.25">
      <c r="A5637" s="36">
        <v>99915635</v>
      </c>
      <c r="B5637" s="17" t="s">
        <v>32</v>
      </c>
      <c r="C5637" t="s">
        <v>64</v>
      </c>
      <c r="D5637" t="s">
        <v>65</v>
      </c>
      <c r="G5637" s="17" t="s">
        <v>48</v>
      </c>
      <c r="H5637" s="17">
        <v>1</v>
      </c>
      <c r="K5637" t="s">
        <v>1268</v>
      </c>
      <c r="L5637" t="s">
        <v>1269</v>
      </c>
      <c r="M5637" t="s">
        <v>1270</v>
      </c>
      <c r="N5637">
        <v>30</v>
      </c>
      <c r="O5637" t="s">
        <v>40</v>
      </c>
      <c r="P5637" t="s">
        <v>40</v>
      </c>
      <c r="Q5637" t="s">
        <v>40</v>
      </c>
      <c r="S5637" t="s">
        <v>40</v>
      </c>
      <c r="V5637" t="s">
        <v>41</v>
      </c>
      <c r="W5637" t="s">
        <v>42</v>
      </c>
      <c r="X5637" t="str">
        <f>"1990912"</f>
        <v>1990912</v>
      </c>
      <c r="Y5637" t="s">
        <v>1271</v>
      </c>
      <c r="Z5637" t="s">
        <v>1268</v>
      </c>
      <c r="AA5637" t="s">
        <v>1269</v>
      </c>
      <c r="AB5637" t="s">
        <v>1270</v>
      </c>
      <c r="AC5637" t="s">
        <v>51</v>
      </c>
      <c r="AD5637" t="s">
        <v>45</v>
      </c>
      <c r="AF5637">
        <v>2</v>
      </c>
      <c r="AG5637" t="s">
        <v>1269</v>
      </c>
      <c r="AH5637" s="36">
        <f t="shared" si="95"/>
        <v>120.71388888888889</v>
      </c>
      <c r="AI5637" s="17" t="s">
        <v>1773</v>
      </c>
    </row>
    <row r="5638" spans="1:35" x14ac:dyDescent="0.25">
      <c r="A5638" s="36">
        <v>99915636</v>
      </c>
      <c r="B5638" s="17" t="s">
        <v>32</v>
      </c>
      <c r="C5638" t="s">
        <v>71</v>
      </c>
      <c r="D5638" t="s">
        <v>72</v>
      </c>
      <c r="G5638" s="17" t="s">
        <v>48</v>
      </c>
      <c r="H5638" s="17">
        <v>1</v>
      </c>
      <c r="K5638" t="s">
        <v>1268</v>
      </c>
      <c r="L5638" t="s">
        <v>1269</v>
      </c>
      <c r="M5638" t="s">
        <v>1270</v>
      </c>
      <c r="N5638">
        <v>30</v>
      </c>
      <c r="O5638" t="s">
        <v>40</v>
      </c>
      <c r="P5638" t="s">
        <v>40</v>
      </c>
      <c r="Q5638" t="s">
        <v>40</v>
      </c>
      <c r="S5638" t="s">
        <v>40</v>
      </c>
      <c r="V5638" t="s">
        <v>41</v>
      </c>
      <c r="W5638" t="s">
        <v>42</v>
      </c>
      <c r="X5638" t="str">
        <f>"1990912"</f>
        <v>1990912</v>
      </c>
      <c r="Y5638" t="s">
        <v>1271</v>
      </c>
      <c r="Z5638" t="s">
        <v>1268</v>
      </c>
      <c r="AA5638" t="s">
        <v>1269</v>
      </c>
      <c r="AB5638" t="s">
        <v>1270</v>
      </c>
      <c r="AC5638" t="s">
        <v>51</v>
      </c>
      <c r="AD5638" t="s">
        <v>45</v>
      </c>
      <c r="AF5638">
        <v>2</v>
      </c>
      <c r="AG5638" t="s">
        <v>1269</v>
      </c>
      <c r="AH5638" s="36">
        <f t="shared" si="95"/>
        <v>120.71388888888889</v>
      </c>
      <c r="AI5638" s="17" t="s">
        <v>1773</v>
      </c>
    </row>
    <row r="5639" spans="1:35" x14ac:dyDescent="0.25">
      <c r="A5639" s="36">
        <v>99915637</v>
      </c>
      <c r="B5639" s="17" t="s">
        <v>32</v>
      </c>
      <c r="C5639" t="s">
        <v>52</v>
      </c>
      <c r="D5639" t="s">
        <v>53</v>
      </c>
      <c r="G5639" s="17" t="s">
        <v>48</v>
      </c>
      <c r="H5639" s="17">
        <v>1</v>
      </c>
      <c r="K5639" t="s">
        <v>1268</v>
      </c>
      <c r="L5639" t="s">
        <v>1269</v>
      </c>
      <c r="M5639" t="s">
        <v>1270</v>
      </c>
      <c r="N5639">
        <v>30</v>
      </c>
      <c r="O5639" t="s">
        <v>40</v>
      </c>
      <c r="P5639" t="s">
        <v>40</v>
      </c>
      <c r="Q5639" t="s">
        <v>40</v>
      </c>
      <c r="S5639" t="s">
        <v>40</v>
      </c>
      <c r="V5639" t="s">
        <v>41</v>
      </c>
      <c r="W5639" t="s">
        <v>42</v>
      </c>
      <c r="X5639" t="str">
        <f>"1990912"</f>
        <v>1990912</v>
      </c>
      <c r="Y5639" t="s">
        <v>1271</v>
      </c>
      <c r="Z5639" t="s">
        <v>1268</v>
      </c>
      <c r="AA5639" t="s">
        <v>1269</v>
      </c>
      <c r="AB5639" t="s">
        <v>1270</v>
      </c>
      <c r="AC5639" t="s">
        <v>51</v>
      </c>
      <c r="AD5639" t="s">
        <v>45</v>
      </c>
      <c r="AF5639">
        <v>2</v>
      </c>
      <c r="AG5639" t="s">
        <v>1269</v>
      </c>
      <c r="AH5639" s="36">
        <f t="shared" si="95"/>
        <v>120.71388888888889</v>
      </c>
      <c r="AI5639" s="17" t="s">
        <v>1773</v>
      </c>
    </row>
    <row r="5640" spans="1:35" x14ac:dyDescent="0.25">
      <c r="A5640" s="36">
        <v>99915638</v>
      </c>
      <c r="B5640" s="17" t="s">
        <v>56</v>
      </c>
      <c r="C5640" t="s">
        <v>79</v>
      </c>
      <c r="D5640" t="s">
        <v>80</v>
      </c>
      <c r="G5640" s="17" t="s">
        <v>35</v>
      </c>
      <c r="H5640" s="17">
        <v>1</v>
      </c>
      <c r="I5640" t="s">
        <v>1273</v>
      </c>
      <c r="J5640" s="1">
        <v>43344</v>
      </c>
      <c r="K5640" t="s">
        <v>1268</v>
      </c>
      <c r="L5640" t="s">
        <v>1269</v>
      </c>
      <c r="M5640" t="s">
        <v>1270</v>
      </c>
      <c r="N5640">
        <v>23</v>
      </c>
      <c r="O5640" t="s">
        <v>40</v>
      </c>
      <c r="S5640" t="s">
        <v>40</v>
      </c>
      <c r="U5640" s="1">
        <v>43344</v>
      </c>
      <c r="V5640" t="s">
        <v>41</v>
      </c>
      <c r="W5640" t="s">
        <v>42</v>
      </c>
      <c r="X5640" t="str">
        <f>"1980080"</f>
        <v>1980080</v>
      </c>
      <c r="Y5640" t="s">
        <v>1274</v>
      </c>
      <c r="Z5640" t="s">
        <v>1268</v>
      </c>
      <c r="AA5640" t="s">
        <v>1269</v>
      </c>
      <c r="AB5640" t="s">
        <v>1270</v>
      </c>
      <c r="AC5640" t="s">
        <v>51</v>
      </c>
      <c r="AD5640" t="s">
        <v>45</v>
      </c>
      <c r="AF5640">
        <v>2</v>
      </c>
      <c r="AG5640" t="s">
        <v>1269</v>
      </c>
      <c r="AH5640" s="36">
        <f t="shared" si="95"/>
        <v>120.71388888888889</v>
      </c>
      <c r="AI5640" s="17" t="s">
        <v>1773</v>
      </c>
    </row>
    <row r="5641" spans="1:35" x14ac:dyDescent="0.25">
      <c r="A5641" s="36">
        <v>99915639</v>
      </c>
      <c r="B5641" s="17" t="s">
        <v>56</v>
      </c>
      <c r="C5641" t="s">
        <v>79</v>
      </c>
      <c r="D5641" t="s">
        <v>80</v>
      </c>
      <c r="G5641" s="17" t="s">
        <v>48</v>
      </c>
      <c r="H5641" s="17">
        <v>1</v>
      </c>
      <c r="K5641" t="s">
        <v>1268</v>
      </c>
      <c r="L5641" t="s">
        <v>1269</v>
      </c>
      <c r="M5641" t="s">
        <v>1270</v>
      </c>
      <c r="N5641">
        <v>30</v>
      </c>
      <c r="O5641" t="s">
        <v>40</v>
      </c>
      <c r="P5641" t="s">
        <v>40</v>
      </c>
      <c r="Q5641" t="s">
        <v>40</v>
      </c>
      <c r="S5641" t="s">
        <v>40</v>
      </c>
      <c r="V5641" t="s">
        <v>41</v>
      </c>
      <c r="W5641" t="s">
        <v>42</v>
      </c>
      <c r="X5641" t="str">
        <f>"1990912"</f>
        <v>1990912</v>
      </c>
      <c r="Y5641" t="s">
        <v>1271</v>
      </c>
      <c r="Z5641" t="s">
        <v>1268</v>
      </c>
      <c r="AA5641" t="s">
        <v>1269</v>
      </c>
      <c r="AB5641" t="s">
        <v>1270</v>
      </c>
      <c r="AC5641" t="s">
        <v>51</v>
      </c>
      <c r="AD5641" t="s">
        <v>45</v>
      </c>
      <c r="AF5641">
        <v>2</v>
      </c>
      <c r="AG5641" t="s">
        <v>1269</v>
      </c>
      <c r="AH5641" s="36">
        <f t="shared" si="95"/>
        <v>120.71388888888889</v>
      </c>
      <c r="AI5641" s="17" t="s">
        <v>1773</v>
      </c>
    </row>
    <row r="5642" spans="1:35" x14ac:dyDescent="0.25">
      <c r="A5642" s="36">
        <v>99915640</v>
      </c>
      <c r="B5642" s="17" t="s">
        <v>32</v>
      </c>
      <c r="C5642" t="s">
        <v>85</v>
      </c>
      <c r="D5642" t="s">
        <v>86</v>
      </c>
      <c r="G5642" s="17" t="s">
        <v>48</v>
      </c>
      <c r="H5642" s="17">
        <v>1</v>
      </c>
      <c r="K5642" t="s">
        <v>1268</v>
      </c>
      <c r="L5642" t="s">
        <v>1269</v>
      </c>
      <c r="M5642" t="s">
        <v>1270</v>
      </c>
      <c r="N5642">
        <v>30</v>
      </c>
      <c r="O5642" t="s">
        <v>40</v>
      </c>
      <c r="P5642" t="s">
        <v>40</v>
      </c>
      <c r="Q5642" t="s">
        <v>40</v>
      </c>
      <c r="S5642" t="s">
        <v>40</v>
      </c>
      <c r="V5642" t="s">
        <v>41</v>
      </c>
      <c r="W5642" t="s">
        <v>42</v>
      </c>
      <c r="X5642" t="str">
        <f>"1990912"</f>
        <v>1990912</v>
      </c>
      <c r="Y5642" t="s">
        <v>1271</v>
      </c>
      <c r="Z5642" t="s">
        <v>1268</v>
      </c>
      <c r="AA5642" t="s">
        <v>1269</v>
      </c>
      <c r="AB5642" t="s">
        <v>1270</v>
      </c>
      <c r="AC5642" t="s">
        <v>51</v>
      </c>
      <c r="AD5642" t="s">
        <v>45</v>
      </c>
      <c r="AF5642">
        <v>2</v>
      </c>
      <c r="AG5642" t="s">
        <v>1269</v>
      </c>
      <c r="AH5642" s="36">
        <f t="shared" si="95"/>
        <v>120.71388888888889</v>
      </c>
      <c r="AI5642" s="17" t="s">
        <v>1773</v>
      </c>
    </row>
    <row r="5643" spans="1:35" x14ac:dyDescent="0.25">
      <c r="A5643" s="36">
        <v>99915641</v>
      </c>
      <c r="B5643" s="17" t="s">
        <v>56</v>
      </c>
      <c r="C5643" t="s">
        <v>33</v>
      </c>
      <c r="D5643" t="s">
        <v>34</v>
      </c>
      <c r="G5643" s="17" t="s">
        <v>35</v>
      </c>
      <c r="H5643" s="17">
        <v>1</v>
      </c>
      <c r="I5643" t="s">
        <v>1288</v>
      </c>
      <c r="J5643" s="1">
        <v>43344</v>
      </c>
      <c r="K5643" t="s">
        <v>1268</v>
      </c>
      <c r="L5643" t="s">
        <v>1269</v>
      </c>
      <c r="M5643" t="s">
        <v>1270</v>
      </c>
      <c r="N5643">
        <v>23</v>
      </c>
      <c r="O5643" t="s">
        <v>40</v>
      </c>
      <c r="S5643" t="s">
        <v>40</v>
      </c>
      <c r="U5643" s="1">
        <v>43344</v>
      </c>
      <c r="X5643" t="str">
        <f>""</f>
        <v/>
      </c>
      <c r="AA5643" t="s">
        <v>1269</v>
      </c>
      <c r="AB5643" t="s">
        <v>1270</v>
      </c>
      <c r="AC5643" t="s">
        <v>51</v>
      </c>
      <c r="AD5643" t="s">
        <v>45</v>
      </c>
      <c r="AF5643">
        <v>2</v>
      </c>
      <c r="AG5643" t="s">
        <v>1269</v>
      </c>
      <c r="AH5643" s="36">
        <f t="shared" si="95"/>
        <v>120.71388888888889</v>
      </c>
      <c r="AI5643" s="17" t="s">
        <v>1773</v>
      </c>
    </row>
    <row r="5644" spans="1:35" x14ac:dyDescent="0.25">
      <c r="A5644" s="36">
        <v>99915642</v>
      </c>
      <c r="B5644" s="17" t="s">
        <v>56</v>
      </c>
      <c r="C5644" t="s">
        <v>61</v>
      </c>
      <c r="D5644" t="s">
        <v>62</v>
      </c>
      <c r="G5644" s="17" t="s">
        <v>35</v>
      </c>
      <c r="H5644" s="17">
        <v>1</v>
      </c>
      <c r="K5644" t="s">
        <v>1268</v>
      </c>
      <c r="L5644" t="s">
        <v>1269</v>
      </c>
      <c r="M5644" t="s">
        <v>1270</v>
      </c>
      <c r="N5644">
        <v>7</v>
      </c>
      <c r="O5644" t="s">
        <v>40</v>
      </c>
      <c r="P5644" t="s">
        <v>40</v>
      </c>
      <c r="Q5644" t="s">
        <v>40</v>
      </c>
      <c r="S5644" t="s">
        <v>40</v>
      </c>
      <c r="V5644" t="s">
        <v>41</v>
      </c>
      <c r="W5644" t="s">
        <v>42</v>
      </c>
      <c r="X5644" t="str">
        <f>"1980030"</f>
        <v>1980030</v>
      </c>
      <c r="Y5644" t="s">
        <v>1289</v>
      </c>
      <c r="Z5644" t="s">
        <v>1268</v>
      </c>
      <c r="AA5644" t="s">
        <v>1269</v>
      </c>
      <c r="AB5644" t="s">
        <v>1270</v>
      </c>
      <c r="AC5644" t="s">
        <v>51</v>
      </c>
      <c r="AD5644" t="s">
        <v>45</v>
      </c>
      <c r="AF5644">
        <v>2</v>
      </c>
      <c r="AG5644" t="s">
        <v>1269</v>
      </c>
      <c r="AH5644" s="36">
        <f t="shared" si="95"/>
        <v>120.71388888888889</v>
      </c>
      <c r="AI5644" s="17" t="s">
        <v>1773</v>
      </c>
    </row>
    <row r="5645" spans="1:35" x14ac:dyDescent="0.25">
      <c r="A5645" s="36">
        <v>99915643</v>
      </c>
      <c r="B5645" s="17" t="s">
        <v>32</v>
      </c>
      <c r="C5645" t="s">
        <v>141</v>
      </c>
      <c r="D5645" t="s">
        <v>142</v>
      </c>
      <c r="G5645" s="17" t="s">
        <v>48</v>
      </c>
      <c r="H5645" s="17">
        <v>1</v>
      </c>
      <c r="K5645" t="s">
        <v>1268</v>
      </c>
      <c r="L5645" t="s">
        <v>1269</v>
      </c>
      <c r="M5645" t="s">
        <v>1270</v>
      </c>
      <c r="N5645">
        <v>30</v>
      </c>
      <c r="O5645" t="s">
        <v>40</v>
      </c>
      <c r="P5645" t="s">
        <v>40</v>
      </c>
      <c r="Q5645" t="s">
        <v>40</v>
      </c>
      <c r="S5645" t="s">
        <v>40</v>
      </c>
      <c r="V5645" t="s">
        <v>41</v>
      </c>
      <c r="W5645" t="s">
        <v>42</v>
      </c>
      <c r="X5645" t="str">
        <f t="shared" ref="X5645:X5663" si="96">"1990912"</f>
        <v>1990912</v>
      </c>
      <c r="Y5645" t="s">
        <v>1271</v>
      </c>
      <c r="Z5645" t="s">
        <v>1268</v>
      </c>
      <c r="AA5645" t="s">
        <v>1269</v>
      </c>
      <c r="AB5645" t="s">
        <v>1270</v>
      </c>
      <c r="AC5645" t="s">
        <v>51</v>
      </c>
      <c r="AD5645" t="s">
        <v>45</v>
      </c>
      <c r="AF5645">
        <v>2</v>
      </c>
      <c r="AG5645" t="s">
        <v>1269</v>
      </c>
      <c r="AH5645" s="36">
        <f t="shared" si="95"/>
        <v>120.71388888888889</v>
      </c>
      <c r="AI5645" s="17" t="s">
        <v>1773</v>
      </c>
    </row>
    <row r="5646" spans="1:35" x14ac:dyDescent="0.25">
      <c r="A5646" s="36">
        <v>99915644</v>
      </c>
      <c r="B5646" s="17" t="s">
        <v>56</v>
      </c>
      <c r="C5646" t="s">
        <v>58</v>
      </c>
      <c r="D5646" t="s">
        <v>59</v>
      </c>
      <c r="G5646" s="17" t="s">
        <v>48</v>
      </c>
      <c r="H5646" s="17">
        <v>1</v>
      </c>
      <c r="K5646" t="s">
        <v>1268</v>
      </c>
      <c r="L5646" t="s">
        <v>1269</v>
      </c>
      <c r="M5646" t="s">
        <v>1270</v>
      </c>
      <c r="N5646">
        <v>30</v>
      </c>
      <c r="O5646" t="s">
        <v>40</v>
      </c>
      <c r="P5646" t="s">
        <v>40</v>
      </c>
      <c r="Q5646" t="s">
        <v>40</v>
      </c>
      <c r="S5646" t="s">
        <v>40</v>
      </c>
      <c r="V5646" t="s">
        <v>41</v>
      </c>
      <c r="W5646" t="s">
        <v>42</v>
      </c>
      <c r="X5646" t="str">
        <f t="shared" si="96"/>
        <v>1990912</v>
      </c>
      <c r="Y5646" t="s">
        <v>1271</v>
      </c>
      <c r="Z5646" t="s">
        <v>1268</v>
      </c>
      <c r="AA5646" t="s">
        <v>1269</v>
      </c>
      <c r="AB5646" t="s">
        <v>1270</v>
      </c>
      <c r="AC5646" t="s">
        <v>51</v>
      </c>
      <c r="AD5646" t="s">
        <v>45</v>
      </c>
      <c r="AF5646">
        <v>2</v>
      </c>
      <c r="AG5646" t="s">
        <v>1269</v>
      </c>
      <c r="AH5646" s="36">
        <f t="shared" si="95"/>
        <v>120.71388888888889</v>
      </c>
      <c r="AI5646" s="17" t="s">
        <v>1773</v>
      </c>
    </row>
    <row r="5647" spans="1:35" x14ac:dyDescent="0.25">
      <c r="A5647" s="36">
        <v>99915645</v>
      </c>
      <c r="B5647" s="17" t="s">
        <v>32</v>
      </c>
      <c r="C5647" t="s">
        <v>33</v>
      </c>
      <c r="D5647" t="s">
        <v>34</v>
      </c>
      <c r="G5647" s="17" t="s">
        <v>48</v>
      </c>
      <c r="H5647" s="17">
        <v>1</v>
      </c>
      <c r="K5647" t="s">
        <v>1268</v>
      </c>
      <c r="L5647" t="s">
        <v>1269</v>
      </c>
      <c r="M5647" t="s">
        <v>1270</v>
      </c>
      <c r="N5647">
        <v>30</v>
      </c>
      <c r="O5647" t="s">
        <v>40</v>
      </c>
      <c r="P5647" t="s">
        <v>40</v>
      </c>
      <c r="Q5647" t="s">
        <v>40</v>
      </c>
      <c r="S5647" t="s">
        <v>40</v>
      </c>
      <c r="V5647" t="s">
        <v>41</v>
      </c>
      <c r="W5647" t="s">
        <v>42</v>
      </c>
      <c r="X5647" t="str">
        <f t="shared" si="96"/>
        <v>1990912</v>
      </c>
      <c r="Y5647" t="s">
        <v>1271</v>
      </c>
      <c r="Z5647" t="s">
        <v>1268</v>
      </c>
      <c r="AA5647" t="s">
        <v>1269</v>
      </c>
      <c r="AB5647" t="s">
        <v>1270</v>
      </c>
      <c r="AC5647" t="s">
        <v>51</v>
      </c>
      <c r="AD5647" t="s">
        <v>45</v>
      </c>
      <c r="AF5647">
        <v>2</v>
      </c>
      <c r="AG5647" t="s">
        <v>1269</v>
      </c>
      <c r="AH5647" s="36">
        <f t="shared" si="95"/>
        <v>120.71388888888889</v>
      </c>
      <c r="AI5647" s="17" t="s">
        <v>1773</v>
      </c>
    </row>
    <row r="5648" spans="1:35" x14ac:dyDescent="0.25">
      <c r="A5648" s="36">
        <v>99915646</v>
      </c>
      <c r="B5648" s="17" t="s">
        <v>32</v>
      </c>
      <c r="C5648" t="s">
        <v>46</v>
      </c>
      <c r="D5648" t="s">
        <v>47</v>
      </c>
      <c r="G5648" s="17" t="s">
        <v>48</v>
      </c>
      <c r="H5648" s="17">
        <v>1</v>
      </c>
      <c r="K5648" t="s">
        <v>1268</v>
      </c>
      <c r="L5648" t="s">
        <v>1269</v>
      </c>
      <c r="M5648" t="s">
        <v>1270</v>
      </c>
      <c r="N5648">
        <v>30</v>
      </c>
      <c r="O5648" t="s">
        <v>40</v>
      </c>
      <c r="P5648" t="s">
        <v>40</v>
      </c>
      <c r="Q5648" t="s">
        <v>40</v>
      </c>
      <c r="S5648" t="s">
        <v>40</v>
      </c>
      <c r="V5648" t="s">
        <v>41</v>
      </c>
      <c r="W5648" t="s">
        <v>42</v>
      </c>
      <c r="X5648" t="str">
        <f t="shared" si="96"/>
        <v>1990912</v>
      </c>
      <c r="Y5648" t="s">
        <v>1271</v>
      </c>
      <c r="Z5648" t="s">
        <v>1268</v>
      </c>
      <c r="AA5648" t="s">
        <v>1269</v>
      </c>
      <c r="AB5648" t="s">
        <v>1270</v>
      </c>
      <c r="AC5648" t="s">
        <v>51</v>
      </c>
      <c r="AD5648" t="s">
        <v>45</v>
      </c>
      <c r="AF5648">
        <v>2</v>
      </c>
      <c r="AG5648" t="s">
        <v>1269</v>
      </c>
      <c r="AH5648" s="36">
        <f t="shared" si="95"/>
        <v>120.71388888888889</v>
      </c>
      <c r="AI5648" s="17" t="s">
        <v>1773</v>
      </c>
    </row>
    <row r="5649" spans="1:35" x14ac:dyDescent="0.25">
      <c r="A5649" s="36">
        <v>99915647</v>
      </c>
      <c r="B5649" s="17" t="s">
        <v>56</v>
      </c>
      <c r="C5649" t="s">
        <v>61</v>
      </c>
      <c r="D5649" t="s">
        <v>62</v>
      </c>
      <c r="G5649" s="17" t="s">
        <v>48</v>
      </c>
      <c r="H5649" s="17">
        <v>1</v>
      </c>
      <c r="K5649" t="s">
        <v>1268</v>
      </c>
      <c r="L5649" t="s">
        <v>1269</v>
      </c>
      <c r="M5649" t="s">
        <v>1270</v>
      </c>
      <c r="N5649">
        <v>30</v>
      </c>
      <c r="O5649" t="s">
        <v>40</v>
      </c>
      <c r="P5649" t="s">
        <v>40</v>
      </c>
      <c r="Q5649" t="s">
        <v>40</v>
      </c>
      <c r="S5649" t="s">
        <v>40</v>
      </c>
      <c r="V5649" t="s">
        <v>41</v>
      </c>
      <c r="W5649" t="s">
        <v>42</v>
      </c>
      <c r="X5649" t="str">
        <f t="shared" si="96"/>
        <v>1990912</v>
      </c>
      <c r="Y5649" t="s">
        <v>1271</v>
      </c>
      <c r="Z5649" t="s">
        <v>1268</v>
      </c>
      <c r="AA5649" t="s">
        <v>1269</v>
      </c>
      <c r="AB5649" t="s">
        <v>1270</v>
      </c>
      <c r="AC5649" t="s">
        <v>51</v>
      </c>
      <c r="AD5649" t="s">
        <v>45</v>
      </c>
      <c r="AF5649">
        <v>2</v>
      </c>
      <c r="AG5649" t="s">
        <v>1269</v>
      </c>
      <c r="AH5649" s="36">
        <f t="shared" si="95"/>
        <v>120.71388888888889</v>
      </c>
      <c r="AI5649" s="17" t="s">
        <v>1773</v>
      </c>
    </row>
    <row r="5650" spans="1:35" x14ac:dyDescent="0.25">
      <c r="A5650" s="36">
        <v>99915648</v>
      </c>
      <c r="B5650" s="17" t="s">
        <v>32</v>
      </c>
      <c r="C5650" t="s">
        <v>46</v>
      </c>
      <c r="D5650" t="s">
        <v>47</v>
      </c>
      <c r="G5650" s="17" t="s">
        <v>48</v>
      </c>
      <c r="H5650" s="17">
        <v>1</v>
      </c>
      <c r="K5650" t="s">
        <v>1268</v>
      </c>
      <c r="L5650" t="s">
        <v>1269</v>
      </c>
      <c r="M5650" t="s">
        <v>1270</v>
      </c>
      <c r="N5650">
        <v>30</v>
      </c>
      <c r="O5650" t="s">
        <v>40</v>
      </c>
      <c r="P5650" t="s">
        <v>40</v>
      </c>
      <c r="Q5650" t="s">
        <v>40</v>
      </c>
      <c r="S5650" t="s">
        <v>40</v>
      </c>
      <c r="V5650" t="s">
        <v>41</v>
      </c>
      <c r="W5650" t="s">
        <v>42</v>
      </c>
      <c r="X5650" t="str">
        <f t="shared" si="96"/>
        <v>1990912</v>
      </c>
      <c r="Y5650" t="s">
        <v>1271</v>
      </c>
      <c r="Z5650" t="s">
        <v>1268</v>
      </c>
      <c r="AA5650" t="s">
        <v>1269</v>
      </c>
      <c r="AB5650" t="s">
        <v>1270</v>
      </c>
      <c r="AC5650" t="s">
        <v>51</v>
      </c>
      <c r="AD5650" t="s">
        <v>45</v>
      </c>
      <c r="AF5650">
        <v>2</v>
      </c>
      <c r="AG5650" t="s">
        <v>1269</v>
      </c>
      <c r="AH5650" s="36">
        <f t="shared" si="95"/>
        <v>120.71388888888889</v>
      </c>
      <c r="AI5650" s="17" t="s">
        <v>1773</v>
      </c>
    </row>
    <row r="5651" spans="1:35" x14ac:dyDescent="0.25">
      <c r="A5651" s="36">
        <v>99915649</v>
      </c>
      <c r="B5651" s="17" t="s">
        <v>56</v>
      </c>
      <c r="C5651" t="s">
        <v>46</v>
      </c>
      <c r="D5651" t="s">
        <v>47</v>
      </c>
      <c r="G5651" s="17" t="s">
        <v>48</v>
      </c>
      <c r="H5651" s="17">
        <v>1</v>
      </c>
      <c r="K5651" t="s">
        <v>1268</v>
      </c>
      <c r="L5651" t="s">
        <v>1269</v>
      </c>
      <c r="M5651" t="s">
        <v>1270</v>
      </c>
      <c r="N5651">
        <v>30</v>
      </c>
      <c r="O5651" t="s">
        <v>40</v>
      </c>
      <c r="P5651" t="s">
        <v>40</v>
      </c>
      <c r="Q5651" t="s">
        <v>40</v>
      </c>
      <c r="S5651" t="s">
        <v>40</v>
      </c>
      <c r="V5651" t="s">
        <v>41</v>
      </c>
      <c r="W5651" t="s">
        <v>42</v>
      </c>
      <c r="X5651" t="str">
        <f t="shared" si="96"/>
        <v>1990912</v>
      </c>
      <c r="Y5651" t="s">
        <v>1271</v>
      </c>
      <c r="Z5651" t="s">
        <v>1268</v>
      </c>
      <c r="AA5651" t="s">
        <v>1269</v>
      </c>
      <c r="AB5651" t="s">
        <v>1270</v>
      </c>
      <c r="AC5651" t="s">
        <v>51</v>
      </c>
      <c r="AD5651" t="s">
        <v>45</v>
      </c>
      <c r="AF5651">
        <v>2</v>
      </c>
      <c r="AG5651" t="s">
        <v>1269</v>
      </c>
      <c r="AH5651" s="36">
        <f t="shared" si="95"/>
        <v>120.71388888888889</v>
      </c>
      <c r="AI5651" s="17" t="s">
        <v>1773</v>
      </c>
    </row>
    <row r="5652" spans="1:35" x14ac:dyDescent="0.25">
      <c r="A5652" s="36">
        <v>99915650</v>
      </c>
      <c r="B5652" s="17" t="s">
        <v>56</v>
      </c>
      <c r="C5652" t="s">
        <v>79</v>
      </c>
      <c r="D5652" t="s">
        <v>80</v>
      </c>
      <c r="G5652" s="17" t="s">
        <v>48</v>
      </c>
      <c r="H5652" s="17">
        <v>1</v>
      </c>
      <c r="K5652" t="s">
        <v>1268</v>
      </c>
      <c r="L5652" t="s">
        <v>1269</v>
      </c>
      <c r="M5652" t="s">
        <v>1270</v>
      </c>
      <c r="N5652">
        <v>30</v>
      </c>
      <c r="O5652" t="s">
        <v>40</v>
      </c>
      <c r="P5652" t="s">
        <v>40</v>
      </c>
      <c r="Q5652" t="s">
        <v>40</v>
      </c>
      <c r="S5652" t="s">
        <v>40</v>
      </c>
      <c r="V5652" t="s">
        <v>41</v>
      </c>
      <c r="W5652" t="s">
        <v>42</v>
      </c>
      <c r="X5652" t="str">
        <f t="shared" si="96"/>
        <v>1990912</v>
      </c>
      <c r="Y5652" t="s">
        <v>1271</v>
      </c>
      <c r="Z5652" t="s">
        <v>1268</v>
      </c>
      <c r="AA5652" t="s">
        <v>1269</v>
      </c>
      <c r="AB5652" t="s">
        <v>1270</v>
      </c>
      <c r="AC5652" t="s">
        <v>51</v>
      </c>
      <c r="AD5652" t="s">
        <v>45</v>
      </c>
      <c r="AF5652">
        <v>2</v>
      </c>
      <c r="AG5652" t="s">
        <v>1269</v>
      </c>
      <c r="AH5652" s="36">
        <f t="shared" si="95"/>
        <v>120.71388888888889</v>
      </c>
      <c r="AI5652" s="17" t="s">
        <v>1773</v>
      </c>
    </row>
    <row r="5653" spans="1:35" x14ac:dyDescent="0.25">
      <c r="A5653" s="36">
        <v>99915651</v>
      </c>
      <c r="B5653" s="17" t="s">
        <v>32</v>
      </c>
      <c r="C5653" t="s">
        <v>46</v>
      </c>
      <c r="D5653" t="s">
        <v>47</v>
      </c>
      <c r="G5653" s="17" t="s">
        <v>48</v>
      </c>
      <c r="H5653" s="17">
        <v>1</v>
      </c>
      <c r="K5653" t="s">
        <v>1268</v>
      </c>
      <c r="L5653" t="s">
        <v>1269</v>
      </c>
      <c r="M5653" t="s">
        <v>1270</v>
      </c>
      <c r="N5653">
        <v>30</v>
      </c>
      <c r="O5653" t="s">
        <v>40</v>
      </c>
      <c r="P5653" t="s">
        <v>40</v>
      </c>
      <c r="Q5653" t="s">
        <v>40</v>
      </c>
      <c r="S5653" t="s">
        <v>40</v>
      </c>
      <c r="V5653" t="s">
        <v>41</v>
      </c>
      <c r="W5653" t="s">
        <v>42</v>
      </c>
      <c r="X5653" t="str">
        <f t="shared" si="96"/>
        <v>1990912</v>
      </c>
      <c r="Y5653" t="s">
        <v>1271</v>
      </c>
      <c r="Z5653" t="s">
        <v>1268</v>
      </c>
      <c r="AA5653" t="s">
        <v>1269</v>
      </c>
      <c r="AB5653" t="s">
        <v>1270</v>
      </c>
      <c r="AC5653" t="s">
        <v>51</v>
      </c>
      <c r="AD5653" t="s">
        <v>45</v>
      </c>
      <c r="AF5653">
        <v>2</v>
      </c>
      <c r="AG5653" t="s">
        <v>1269</v>
      </c>
      <c r="AH5653" s="36">
        <f t="shared" si="95"/>
        <v>120.71388888888889</v>
      </c>
      <c r="AI5653" s="17" t="s">
        <v>1773</v>
      </c>
    </row>
    <row r="5654" spans="1:35" x14ac:dyDescent="0.25">
      <c r="A5654" s="36">
        <v>99915652</v>
      </c>
      <c r="B5654" s="17" t="s">
        <v>32</v>
      </c>
      <c r="C5654" t="s">
        <v>82</v>
      </c>
      <c r="D5654" t="s">
        <v>83</v>
      </c>
      <c r="G5654" s="17" t="s">
        <v>48</v>
      </c>
      <c r="H5654" s="17">
        <v>1</v>
      </c>
      <c r="K5654" t="s">
        <v>1268</v>
      </c>
      <c r="L5654" t="s">
        <v>1269</v>
      </c>
      <c r="M5654" t="s">
        <v>1270</v>
      </c>
      <c r="N5654">
        <v>30</v>
      </c>
      <c r="O5654" t="s">
        <v>40</v>
      </c>
      <c r="P5654" t="s">
        <v>40</v>
      </c>
      <c r="Q5654" t="s">
        <v>40</v>
      </c>
      <c r="S5654" t="s">
        <v>40</v>
      </c>
      <c r="V5654" t="s">
        <v>41</v>
      </c>
      <c r="W5654" t="s">
        <v>42</v>
      </c>
      <c r="X5654" t="str">
        <f t="shared" si="96"/>
        <v>1990912</v>
      </c>
      <c r="Y5654" t="s">
        <v>1271</v>
      </c>
      <c r="Z5654" t="s">
        <v>1268</v>
      </c>
      <c r="AA5654" t="s">
        <v>1269</v>
      </c>
      <c r="AB5654" t="s">
        <v>1270</v>
      </c>
      <c r="AC5654" t="s">
        <v>51</v>
      </c>
      <c r="AD5654" t="s">
        <v>45</v>
      </c>
      <c r="AF5654">
        <v>2</v>
      </c>
      <c r="AG5654" t="s">
        <v>1269</v>
      </c>
      <c r="AH5654" s="36">
        <f t="shared" si="95"/>
        <v>120.71388888888889</v>
      </c>
      <c r="AI5654" s="17" t="s">
        <v>1773</v>
      </c>
    </row>
    <row r="5655" spans="1:35" x14ac:dyDescent="0.25">
      <c r="A5655" s="36">
        <v>99915653</v>
      </c>
      <c r="B5655" s="17" t="s">
        <v>56</v>
      </c>
      <c r="C5655" t="s">
        <v>33</v>
      </c>
      <c r="D5655" t="s">
        <v>34</v>
      </c>
      <c r="G5655" s="17" t="s">
        <v>48</v>
      </c>
      <c r="H5655" s="17">
        <v>1</v>
      </c>
      <c r="K5655" t="s">
        <v>1268</v>
      </c>
      <c r="L5655" t="s">
        <v>1269</v>
      </c>
      <c r="M5655" t="s">
        <v>1270</v>
      </c>
      <c r="N5655">
        <v>8</v>
      </c>
      <c r="O5655" t="s">
        <v>40</v>
      </c>
      <c r="P5655" t="s">
        <v>40</v>
      </c>
      <c r="Q5655" t="s">
        <v>40</v>
      </c>
      <c r="S5655" t="s">
        <v>40</v>
      </c>
      <c r="V5655" t="s">
        <v>41</v>
      </c>
      <c r="W5655" t="s">
        <v>42</v>
      </c>
      <c r="X5655" t="str">
        <f t="shared" si="96"/>
        <v>1990912</v>
      </c>
      <c r="Y5655" t="s">
        <v>1271</v>
      </c>
      <c r="Z5655" t="s">
        <v>1268</v>
      </c>
      <c r="AA5655" t="s">
        <v>1269</v>
      </c>
      <c r="AB5655" t="s">
        <v>1270</v>
      </c>
      <c r="AC5655" t="s">
        <v>51</v>
      </c>
      <c r="AD5655" t="s">
        <v>45</v>
      </c>
      <c r="AF5655">
        <v>2</v>
      </c>
      <c r="AG5655" t="s">
        <v>1269</v>
      </c>
      <c r="AH5655" s="36">
        <f t="shared" si="95"/>
        <v>120.71388888888889</v>
      </c>
      <c r="AI5655" s="17" t="s">
        <v>1773</v>
      </c>
    </row>
    <row r="5656" spans="1:35" x14ac:dyDescent="0.25">
      <c r="A5656" s="36">
        <v>99915654</v>
      </c>
      <c r="B5656" s="17" t="s">
        <v>32</v>
      </c>
      <c r="C5656" t="s">
        <v>71</v>
      </c>
      <c r="D5656" t="s">
        <v>72</v>
      </c>
      <c r="G5656" s="17" t="s">
        <v>48</v>
      </c>
      <c r="H5656" s="17">
        <v>1</v>
      </c>
      <c r="K5656" t="s">
        <v>1268</v>
      </c>
      <c r="L5656" t="s">
        <v>1269</v>
      </c>
      <c r="M5656" t="s">
        <v>1270</v>
      </c>
      <c r="N5656">
        <v>30</v>
      </c>
      <c r="O5656" t="s">
        <v>40</v>
      </c>
      <c r="P5656" t="s">
        <v>40</v>
      </c>
      <c r="Q5656" t="s">
        <v>40</v>
      </c>
      <c r="S5656" t="s">
        <v>40</v>
      </c>
      <c r="V5656" t="s">
        <v>41</v>
      </c>
      <c r="W5656" t="s">
        <v>42</v>
      </c>
      <c r="X5656" t="str">
        <f t="shared" si="96"/>
        <v>1990912</v>
      </c>
      <c r="Y5656" t="s">
        <v>1271</v>
      </c>
      <c r="Z5656" t="s">
        <v>1268</v>
      </c>
      <c r="AA5656" t="s">
        <v>1269</v>
      </c>
      <c r="AB5656" t="s">
        <v>1270</v>
      </c>
      <c r="AC5656" t="s">
        <v>51</v>
      </c>
      <c r="AD5656" t="s">
        <v>45</v>
      </c>
      <c r="AF5656">
        <v>2</v>
      </c>
      <c r="AG5656" t="s">
        <v>1269</v>
      </c>
      <c r="AH5656" s="36">
        <f t="shared" si="95"/>
        <v>120.71388888888889</v>
      </c>
      <c r="AI5656" s="17" t="s">
        <v>1773</v>
      </c>
    </row>
    <row r="5657" spans="1:35" x14ac:dyDescent="0.25">
      <c r="A5657" s="36">
        <v>99915655</v>
      </c>
      <c r="B5657" s="17" t="s">
        <v>32</v>
      </c>
      <c r="C5657" t="s">
        <v>71</v>
      </c>
      <c r="D5657" t="s">
        <v>72</v>
      </c>
      <c r="G5657" s="17" t="s">
        <v>48</v>
      </c>
      <c r="H5657" s="17">
        <v>1</v>
      </c>
      <c r="K5657" t="s">
        <v>1268</v>
      </c>
      <c r="L5657" t="s">
        <v>1269</v>
      </c>
      <c r="M5657" t="s">
        <v>1270</v>
      </c>
      <c r="N5657">
        <v>30</v>
      </c>
      <c r="O5657" t="s">
        <v>40</v>
      </c>
      <c r="P5657" t="s">
        <v>40</v>
      </c>
      <c r="Q5657" t="s">
        <v>40</v>
      </c>
      <c r="S5657" t="s">
        <v>40</v>
      </c>
      <c r="V5657" t="s">
        <v>41</v>
      </c>
      <c r="W5657" t="s">
        <v>42</v>
      </c>
      <c r="X5657" t="str">
        <f t="shared" si="96"/>
        <v>1990912</v>
      </c>
      <c r="Y5657" t="s">
        <v>1271</v>
      </c>
      <c r="Z5657" t="s">
        <v>1268</v>
      </c>
      <c r="AA5657" t="s">
        <v>1269</v>
      </c>
      <c r="AB5657" t="s">
        <v>1270</v>
      </c>
      <c r="AC5657" t="s">
        <v>51</v>
      </c>
      <c r="AD5657" t="s">
        <v>45</v>
      </c>
      <c r="AF5657">
        <v>2</v>
      </c>
      <c r="AG5657" t="s">
        <v>1269</v>
      </c>
      <c r="AH5657" s="36">
        <f t="shared" si="95"/>
        <v>120.71388888888889</v>
      </c>
      <c r="AI5657" s="17" t="s">
        <v>1773</v>
      </c>
    </row>
    <row r="5658" spans="1:35" x14ac:dyDescent="0.25">
      <c r="A5658" s="36">
        <v>99915656</v>
      </c>
      <c r="B5658" s="17" t="s">
        <v>32</v>
      </c>
      <c r="C5658" t="s">
        <v>46</v>
      </c>
      <c r="D5658" t="s">
        <v>47</v>
      </c>
      <c r="G5658" s="17" t="s">
        <v>48</v>
      </c>
      <c r="H5658" s="17">
        <v>1</v>
      </c>
      <c r="K5658" t="s">
        <v>1268</v>
      </c>
      <c r="L5658" t="s">
        <v>1269</v>
      </c>
      <c r="M5658" t="s">
        <v>1270</v>
      </c>
      <c r="N5658">
        <v>14</v>
      </c>
      <c r="O5658" t="s">
        <v>40</v>
      </c>
      <c r="P5658" t="s">
        <v>40</v>
      </c>
      <c r="Q5658" t="s">
        <v>40</v>
      </c>
      <c r="S5658" t="s">
        <v>40</v>
      </c>
      <c r="V5658" t="s">
        <v>41</v>
      </c>
      <c r="W5658" t="s">
        <v>42</v>
      </c>
      <c r="X5658" t="str">
        <f t="shared" si="96"/>
        <v>1990912</v>
      </c>
      <c r="Y5658" t="s">
        <v>1271</v>
      </c>
      <c r="Z5658" t="s">
        <v>1268</v>
      </c>
      <c r="AA5658" t="s">
        <v>1269</v>
      </c>
      <c r="AB5658" t="s">
        <v>1270</v>
      </c>
      <c r="AC5658" t="s">
        <v>51</v>
      </c>
      <c r="AD5658" t="s">
        <v>45</v>
      </c>
      <c r="AF5658">
        <v>2</v>
      </c>
      <c r="AG5658" t="s">
        <v>1269</v>
      </c>
      <c r="AH5658" s="36">
        <f t="shared" si="95"/>
        <v>120.71388888888889</v>
      </c>
      <c r="AI5658" s="17" t="s">
        <v>1773</v>
      </c>
    </row>
    <row r="5659" spans="1:35" x14ac:dyDescent="0.25">
      <c r="A5659" s="36">
        <v>99915657</v>
      </c>
      <c r="B5659" s="17" t="s">
        <v>32</v>
      </c>
      <c r="C5659" t="s">
        <v>46</v>
      </c>
      <c r="D5659" t="s">
        <v>47</v>
      </c>
      <c r="G5659" s="17" t="s">
        <v>48</v>
      </c>
      <c r="H5659" s="17">
        <v>1</v>
      </c>
      <c r="K5659" t="s">
        <v>1268</v>
      </c>
      <c r="L5659" t="s">
        <v>1269</v>
      </c>
      <c r="M5659" t="s">
        <v>1270</v>
      </c>
      <c r="N5659">
        <v>30</v>
      </c>
      <c r="O5659" t="s">
        <v>40</v>
      </c>
      <c r="P5659" t="s">
        <v>40</v>
      </c>
      <c r="Q5659" t="s">
        <v>40</v>
      </c>
      <c r="S5659" t="s">
        <v>40</v>
      </c>
      <c r="V5659" t="s">
        <v>41</v>
      </c>
      <c r="W5659" t="s">
        <v>42</v>
      </c>
      <c r="X5659" t="str">
        <f t="shared" si="96"/>
        <v>1990912</v>
      </c>
      <c r="Y5659" t="s">
        <v>1271</v>
      </c>
      <c r="Z5659" t="s">
        <v>1268</v>
      </c>
      <c r="AA5659" t="s">
        <v>1269</v>
      </c>
      <c r="AB5659" t="s">
        <v>1270</v>
      </c>
      <c r="AC5659" t="s">
        <v>51</v>
      </c>
      <c r="AD5659" t="s">
        <v>45</v>
      </c>
      <c r="AF5659">
        <v>2</v>
      </c>
      <c r="AG5659" t="s">
        <v>1269</v>
      </c>
      <c r="AH5659" s="36">
        <f t="shared" si="95"/>
        <v>120.71388888888889</v>
      </c>
      <c r="AI5659" s="17" t="s">
        <v>1773</v>
      </c>
    </row>
    <row r="5660" spans="1:35" x14ac:dyDescent="0.25">
      <c r="A5660" s="36">
        <v>99915658</v>
      </c>
      <c r="B5660" s="17" t="s">
        <v>32</v>
      </c>
      <c r="C5660" t="s">
        <v>145</v>
      </c>
      <c r="D5660" t="s">
        <v>146</v>
      </c>
      <c r="G5660" s="17" t="s">
        <v>48</v>
      </c>
      <c r="H5660" s="17">
        <v>1</v>
      </c>
      <c r="K5660" t="s">
        <v>1268</v>
      </c>
      <c r="L5660" t="s">
        <v>1269</v>
      </c>
      <c r="M5660" t="s">
        <v>1270</v>
      </c>
      <c r="N5660">
        <v>30</v>
      </c>
      <c r="O5660" t="s">
        <v>40</v>
      </c>
      <c r="P5660" t="s">
        <v>40</v>
      </c>
      <c r="Q5660" t="s">
        <v>40</v>
      </c>
      <c r="S5660" t="s">
        <v>40</v>
      </c>
      <c r="V5660" t="s">
        <v>41</v>
      </c>
      <c r="W5660" t="s">
        <v>42</v>
      </c>
      <c r="X5660" t="str">
        <f t="shared" si="96"/>
        <v>1990912</v>
      </c>
      <c r="Y5660" t="s">
        <v>1271</v>
      </c>
      <c r="Z5660" t="s">
        <v>1268</v>
      </c>
      <c r="AA5660" t="s">
        <v>1269</v>
      </c>
      <c r="AB5660" t="s">
        <v>1270</v>
      </c>
      <c r="AC5660" t="s">
        <v>51</v>
      </c>
      <c r="AD5660" t="s">
        <v>45</v>
      </c>
      <c r="AF5660">
        <v>2</v>
      </c>
      <c r="AG5660" t="s">
        <v>1269</v>
      </c>
      <c r="AH5660" s="36">
        <f t="shared" si="95"/>
        <v>120.71388888888889</v>
      </c>
      <c r="AI5660" s="17" t="s">
        <v>1773</v>
      </c>
    </row>
    <row r="5661" spans="1:35" x14ac:dyDescent="0.25">
      <c r="A5661" s="36">
        <v>99915659</v>
      </c>
      <c r="B5661" s="17" t="s">
        <v>56</v>
      </c>
      <c r="C5661" t="s">
        <v>68</v>
      </c>
      <c r="D5661" t="s">
        <v>69</v>
      </c>
      <c r="G5661" s="17" t="s">
        <v>48</v>
      </c>
      <c r="H5661" s="17">
        <v>1</v>
      </c>
      <c r="K5661" t="s">
        <v>1268</v>
      </c>
      <c r="L5661" t="s">
        <v>1269</v>
      </c>
      <c r="M5661" t="s">
        <v>1270</v>
      </c>
      <c r="N5661">
        <v>30</v>
      </c>
      <c r="O5661" t="s">
        <v>40</v>
      </c>
      <c r="P5661" t="s">
        <v>40</v>
      </c>
      <c r="Q5661" t="s">
        <v>40</v>
      </c>
      <c r="S5661" t="s">
        <v>40</v>
      </c>
      <c r="V5661" t="s">
        <v>41</v>
      </c>
      <c r="W5661" t="s">
        <v>42</v>
      </c>
      <c r="X5661" t="str">
        <f t="shared" si="96"/>
        <v>1990912</v>
      </c>
      <c r="Y5661" t="s">
        <v>1271</v>
      </c>
      <c r="Z5661" t="s">
        <v>1268</v>
      </c>
      <c r="AA5661" t="s">
        <v>1269</v>
      </c>
      <c r="AB5661" t="s">
        <v>1270</v>
      </c>
      <c r="AC5661" t="s">
        <v>51</v>
      </c>
      <c r="AD5661" t="s">
        <v>45</v>
      </c>
      <c r="AF5661">
        <v>2</v>
      </c>
      <c r="AG5661" t="s">
        <v>1269</v>
      </c>
      <c r="AH5661" s="36">
        <f t="shared" si="95"/>
        <v>120.71388888888889</v>
      </c>
      <c r="AI5661" s="17" t="s">
        <v>1773</v>
      </c>
    </row>
    <row r="5662" spans="1:35" x14ac:dyDescent="0.25">
      <c r="A5662" s="36">
        <v>99915660</v>
      </c>
      <c r="B5662" s="17" t="s">
        <v>32</v>
      </c>
      <c r="C5662" t="s">
        <v>79</v>
      </c>
      <c r="D5662" t="s">
        <v>80</v>
      </c>
      <c r="G5662" s="17" t="s">
        <v>48</v>
      </c>
      <c r="H5662" s="17">
        <v>1</v>
      </c>
      <c r="K5662" t="s">
        <v>1268</v>
      </c>
      <c r="L5662" t="s">
        <v>1269</v>
      </c>
      <c r="M5662" t="s">
        <v>1270</v>
      </c>
      <c r="N5662">
        <v>30</v>
      </c>
      <c r="O5662" t="s">
        <v>40</v>
      </c>
      <c r="P5662" t="s">
        <v>40</v>
      </c>
      <c r="Q5662" t="s">
        <v>40</v>
      </c>
      <c r="S5662" t="s">
        <v>40</v>
      </c>
      <c r="V5662" t="s">
        <v>41</v>
      </c>
      <c r="W5662" t="s">
        <v>42</v>
      </c>
      <c r="X5662" t="str">
        <f t="shared" si="96"/>
        <v>1990912</v>
      </c>
      <c r="Y5662" t="s">
        <v>1271</v>
      </c>
      <c r="Z5662" t="s">
        <v>1268</v>
      </c>
      <c r="AA5662" t="s">
        <v>1269</v>
      </c>
      <c r="AB5662" t="s">
        <v>1270</v>
      </c>
      <c r="AC5662" t="s">
        <v>51</v>
      </c>
      <c r="AD5662" t="s">
        <v>45</v>
      </c>
      <c r="AF5662">
        <v>2</v>
      </c>
      <c r="AG5662" t="s">
        <v>1269</v>
      </c>
      <c r="AH5662" s="36">
        <f t="shared" si="95"/>
        <v>120.71388888888889</v>
      </c>
      <c r="AI5662" s="17" t="s">
        <v>1773</v>
      </c>
    </row>
    <row r="5663" spans="1:35" x14ac:dyDescent="0.25">
      <c r="A5663" s="36">
        <v>99915661</v>
      </c>
      <c r="B5663" s="17" t="s">
        <v>56</v>
      </c>
      <c r="C5663" t="s">
        <v>85</v>
      </c>
      <c r="D5663" t="s">
        <v>86</v>
      </c>
      <c r="G5663" s="17" t="s">
        <v>48</v>
      </c>
      <c r="H5663" s="17">
        <v>1</v>
      </c>
      <c r="K5663" t="s">
        <v>1268</v>
      </c>
      <c r="L5663" t="s">
        <v>1269</v>
      </c>
      <c r="M5663" t="s">
        <v>1270</v>
      </c>
      <c r="N5663">
        <v>30</v>
      </c>
      <c r="O5663" t="s">
        <v>40</v>
      </c>
      <c r="P5663" t="s">
        <v>40</v>
      </c>
      <c r="Q5663" t="s">
        <v>40</v>
      </c>
      <c r="S5663" t="s">
        <v>40</v>
      </c>
      <c r="V5663" t="s">
        <v>41</v>
      </c>
      <c r="W5663" t="s">
        <v>42</v>
      </c>
      <c r="X5663" t="str">
        <f t="shared" si="96"/>
        <v>1990912</v>
      </c>
      <c r="Y5663" t="s">
        <v>1271</v>
      </c>
      <c r="Z5663" t="s">
        <v>1268</v>
      </c>
      <c r="AA5663" t="s">
        <v>1269</v>
      </c>
      <c r="AB5663" t="s">
        <v>1270</v>
      </c>
      <c r="AC5663" t="s">
        <v>51</v>
      </c>
      <c r="AD5663" t="s">
        <v>45</v>
      </c>
      <c r="AF5663">
        <v>2</v>
      </c>
      <c r="AG5663" t="s">
        <v>1269</v>
      </c>
      <c r="AH5663" s="36">
        <f t="shared" si="95"/>
        <v>120.71388888888889</v>
      </c>
      <c r="AI5663" s="17" t="s">
        <v>1773</v>
      </c>
    </row>
    <row r="5664" spans="1:35" x14ac:dyDescent="0.25">
      <c r="A5664" s="36">
        <v>99915662</v>
      </c>
      <c r="B5664" s="17" t="s">
        <v>32</v>
      </c>
      <c r="C5664" t="s">
        <v>46</v>
      </c>
      <c r="D5664" t="s">
        <v>47</v>
      </c>
      <c r="G5664" s="17" t="s">
        <v>35</v>
      </c>
      <c r="H5664" s="17">
        <v>1</v>
      </c>
      <c r="I5664">
        <v>6965</v>
      </c>
      <c r="J5664" s="1">
        <v>43344</v>
      </c>
      <c r="K5664" t="s">
        <v>1306</v>
      </c>
      <c r="L5664" t="s">
        <v>1307</v>
      </c>
      <c r="M5664" t="s">
        <v>1270</v>
      </c>
      <c r="N5664">
        <v>20</v>
      </c>
      <c r="O5664" t="s">
        <v>40</v>
      </c>
      <c r="S5664" t="s">
        <v>40</v>
      </c>
      <c r="U5664" s="1">
        <v>43344</v>
      </c>
      <c r="V5664" t="s">
        <v>41</v>
      </c>
      <c r="W5664" t="s">
        <v>42</v>
      </c>
      <c r="X5664" t="str">
        <f>"1990915"</f>
        <v>1990915</v>
      </c>
      <c r="Y5664" t="s">
        <v>1308</v>
      </c>
      <c r="Z5664" t="s">
        <v>1306</v>
      </c>
      <c r="AA5664" t="s">
        <v>1307</v>
      </c>
      <c r="AB5664" t="s">
        <v>1270</v>
      </c>
      <c r="AC5664" t="s">
        <v>51</v>
      </c>
      <c r="AD5664" t="s">
        <v>45</v>
      </c>
      <c r="AF5664">
        <v>2</v>
      </c>
      <c r="AG5664" t="s">
        <v>1307</v>
      </c>
      <c r="AH5664" s="36">
        <f t="shared" si="95"/>
        <v>120.71388888888889</v>
      </c>
      <c r="AI5664" s="17" t="s">
        <v>1773</v>
      </c>
    </row>
    <row r="5665" spans="1:35" x14ac:dyDescent="0.25">
      <c r="A5665" s="36">
        <v>99915663</v>
      </c>
      <c r="B5665" s="17" t="s">
        <v>56</v>
      </c>
      <c r="C5665" t="s">
        <v>82</v>
      </c>
      <c r="D5665" t="s">
        <v>83</v>
      </c>
      <c r="G5665" s="17" t="s">
        <v>35</v>
      </c>
      <c r="H5665" s="17">
        <v>1</v>
      </c>
      <c r="I5665">
        <v>6983</v>
      </c>
      <c r="J5665" s="1">
        <v>43344</v>
      </c>
      <c r="K5665" t="s">
        <v>1306</v>
      </c>
      <c r="L5665" t="s">
        <v>1307</v>
      </c>
      <c r="M5665" t="s">
        <v>1270</v>
      </c>
      <c r="N5665">
        <v>21</v>
      </c>
      <c r="O5665" t="s">
        <v>40</v>
      </c>
      <c r="S5665" t="s">
        <v>40</v>
      </c>
      <c r="U5665" s="1">
        <v>43344</v>
      </c>
      <c r="V5665" t="s">
        <v>41</v>
      </c>
      <c r="W5665" t="s">
        <v>42</v>
      </c>
      <c r="X5665" t="str">
        <f>"1990915"</f>
        <v>1990915</v>
      </c>
      <c r="Y5665" t="s">
        <v>1308</v>
      </c>
      <c r="Z5665" t="s">
        <v>1306</v>
      </c>
      <c r="AA5665" t="s">
        <v>1307</v>
      </c>
      <c r="AB5665" t="s">
        <v>1270</v>
      </c>
      <c r="AC5665" t="s">
        <v>51</v>
      </c>
      <c r="AD5665" t="s">
        <v>45</v>
      </c>
      <c r="AF5665">
        <v>2</v>
      </c>
      <c r="AG5665" t="s">
        <v>1307</v>
      </c>
      <c r="AH5665" s="36">
        <f t="shared" si="95"/>
        <v>120.71388888888889</v>
      </c>
      <c r="AI5665" s="17" t="s">
        <v>1773</v>
      </c>
    </row>
    <row r="5666" spans="1:35" x14ac:dyDescent="0.25">
      <c r="A5666" s="36">
        <v>99915664</v>
      </c>
      <c r="B5666" s="17" t="s">
        <v>32</v>
      </c>
      <c r="C5666" t="s">
        <v>90</v>
      </c>
      <c r="D5666" t="s">
        <v>91</v>
      </c>
      <c r="G5666" s="17" t="s">
        <v>35</v>
      </c>
      <c r="H5666" s="17">
        <v>1</v>
      </c>
      <c r="I5666" t="s">
        <v>1380</v>
      </c>
      <c r="J5666" s="1">
        <v>43344</v>
      </c>
      <c r="K5666" t="s">
        <v>1341</v>
      </c>
      <c r="L5666" t="s">
        <v>1342</v>
      </c>
      <c r="M5666" t="s">
        <v>1270</v>
      </c>
      <c r="N5666">
        <v>24</v>
      </c>
      <c r="O5666" t="s">
        <v>40</v>
      </c>
      <c r="S5666" t="s">
        <v>40</v>
      </c>
      <c r="U5666" s="1">
        <v>43344</v>
      </c>
      <c r="V5666" t="s">
        <v>41</v>
      </c>
      <c r="W5666" t="s">
        <v>95</v>
      </c>
      <c r="X5666" t="str">
        <f>"7191119"</f>
        <v>7191119</v>
      </c>
      <c r="Y5666" t="s">
        <v>1381</v>
      </c>
      <c r="Z5666" t="s">
        <v>1341</v>
      </c>
      <c r="AA5666" t="s">
        <v>1342</v>
      </c>
      <c r="AB5666" t="s">
        <v>1270</v>
      </c>
      <c r="AC5666" t="s">
        <v>44</v>
      </c>
      <c r="AD5666" t="s">
        <v>45</v>
      </c>
      <c r="AF5666">
        <v>1</v>
      </c>
      <c r="AG5666" t="s">
        <v>1342</v>
      </c>
      <c r="AH5666" s="36">
        <f t="shared" si="95"/>
        <v>120.71388888888889</v>
      </c>
      <c r="AI5666" s="17" t="s">
        <v>1773</v>
      </c>
    </row>
    <row r="5667" spans="1:35" x14ac:dyDescent="0.25">
      <c r="A5667" s="36">
        <v>99915665</v>
      </c>
      <c r="B5667" s="17" t="s">
        <v>32</v>
      </c>
      <c r="C5667" t="s">
        <v>1384</v>
      </c>
      <c r="D5667" t="s">
        <v>1385</v>
      </c>
      <c r="G5667" s="17" t="s">
        <v>35</v>
      </c>
      <c r="H5667" s="17">
        <v>1</v>
      </c>
      <c r="I5667" s="1">
        <v>42614</v>
      </c>
      <c r="J5667" s="1">
        <v>43344</v>
      </c>
      <c r="K5667" t="s">
        <v>1341</v>
      </c>
      <c r="L5667" t="s">
        <v>1342</v>
      </c>
      <c r="M5667" t="s">
        <v>1270</v>
      </c>
      <c r="N5667">
        <v>11</v>
      </c>
      <c r="O5667" t="s">
        <v>40</v>
      </c>
      <c r="P5667" t="s">
        <v>40</v>
      </c>
      <c r="Q5667" t="s">
        <v>40</v>
      </c>
      <c r="R5667" t="s">
        <v>40</v>
      </c>
      <c r="S5667" t="s">
        <v>40</v>
      </c>
      <c r="U5667" s="1">
        <v>43344</v>
      </c>
      <c r="V5667" t="s">
        <v>41</v>
      </c>
      <c r="W5667" t="s">
        <v>75</v>
      </c>
      <c r="X5667" t="str">
        <f>"7191034"</f>
        <v>7191034</v>
      </c>
      <c r="Y5667" t="s">
        <v>1343</v>
      </c>
      <c r="Z5667" t="s">
        <v>1341</v>
      </c>
      <c r="AA5667" t="s">
        <v>1342</v>
      </c>
      <c r="AB5667" t="s">
        <v>1270</v>
      </c>
      <c r="AC5667" t="s">
        <v>51</v>
      </c>
      <c r="AD5667" t="s">
        <v>45</v>
      </c>
      <c r="AF5667">
        <v>1</v>
      </c>
      <c r="AG5667" t="s">
        <v>1342</v>
      </c>
      <c r="AH5667" s="36">
        <f t="shared" si="95"/>
        <v>120.71388888888889</v>
      </c>
      <c r="AI5667" s="17" t="s">
        <v>1773</v>
      </c>
    </row>
    <row r="5668" spans="1:35" x14ac:dyDescent="0.25">
      <c r="A5668" s="36">
        <v>99915666</v>
      </c>
      <c r="B5668" s="17" t="s">
        <v>32</v>
      </c>
      <c r="C5668" t="s">
        <v>111</v>
      </c>
      <c r="D5668" t="s">
        <v>112</v>
      </c>
      <c r="G5668" s="17" t="s">
        <v>35</v>
      </c>
      <c r="H5668" s="17">
        <v>1</v>
      </c>
      <c r="I5668" s="1">
        <v>42614</v>
      </c>
      <c r="J5668" s="1">
        <v>43344</v>
      </c>
      <c r="K5668" t="s">
        <v>1341</v>
      </c>
      <c r="L5668" t="s">
        <v>1342</v>
      </c>
      <c r="M5668" t="s">
        <v>1270</v>
      </c>
      <c r="N5668">
        <v>24</v>
      </c>
      <c r="O5668" t="s">
        <v>40</v>
      </c>
      <c r="P5668" t="s">
        <v>40</v>
      </c>
      <c r="Q5668" t="s">
        <v>40</v>
      </c>
      <c r="R5668" t="s">
        <v>40</v>
      </c>
      <c r="S5668" t="s">
        <v>40</v>
      </c>
      <c r="U5668" s="1">
        <v>43344</v>
      </c>
      <c r="V5668" t="s">
        <v>41</v>
      </c>
      <c r="W5668" t="s">
        <v>75</v>
      </c>
      <c r="X5668" t="str">
        <f>"7191000"</f>
        <v>7191000</v>
      </c>
      <c r="Y5668" t="s">
        <v>1347</v>
      </c>
      <c r="Z5668" t="s">
        <v>1341</v>
      </c>
      <c r="AA5668" t="s">
        <v>1342</v>
      </c>
      <c r="AB5668" t="s">
        <v>1270</v>
      </c>
      <c r="AC5668" t="s">
        <v>51</v>
      </c>
      <c r="AD5668" t="s">
        <v>45</v>
      </c>
      <c r="AF5668">
        <v>1</v>
      </c>
      <c r="AG5668" t="s">
        <v>1342</v>
      </c>
      <c r="AH5668" s="36">
        <f t="shared" si="95"/>
        <v>120.71388888888889</v>
      </c>
      <c r="AI5668" s="17" t="s">
        <v>1773</v>
      </c>
    </row>
    <row r="5669" spans="1:35" x14ac:dyDescent="0.25">
      <c r="A5669" s="36">
        <v>99915667</v>
      </c>
      <c r="B5669" s="17" t="s">
        <v>32</v>
      </c>
      <c r="C5669" t="s">
        <v>143</v>
      </c>
      <c r="D5669" t="s">
        <v>144</v>
      </c>
      <c r="G5669" s="17" t="s">
        <v>35</v>
      </c>
      <c r="H5669" s="17">
        <v>1</v>
      </c>
      <c r="I5669" s="1">
        <v>42662</v>
      </c>
      <c r="J5669" s="1">
        <v>43344</v>
      </c>
      <c r="K5669" t="s">
        <v>1341</v>
      </c>
      <c r="L5669" t="s">
        <v>1342</v>
      </c>
      <c r="M5669" t="s">
        <v>1270</v>
      </c>
      <c r="N5669">
        <v>15</v>
      </c>
      <c r="O5669" t="s">
        <v>40</v>
      </c>
      <c r="P5669" t="s">
        <v>40</v>
      </c>
      <c r="Q5669" t="s">
        <v>40</v>
      </c>
      <c r="R5669" t="s">
        <v>40</v>
      </c>
      <c r="S5669" t="s">
        <v>40</v>
      </c>
      <c r="U5669" s="1">
        <v>43344</v>
      </c>
      <c r="V5669" t="s">
        <v>41</v>
      </c>
      <c r="W5669" t="s">
        <v>75</v>
      </c>
      <c r="X5669" t="str">
        <f>"7191034"</f>
        <v>7191034</v>
      </c>
      <c r="Y5669" t="s">
        <v>1343</v>
      </c>
      <c r="Z5669" t="s">
        <v>1341</v>
      </c>
      <c r="AA5669" t="s">
        <v>1342</v>
      </c>
      <c r="AB5669" t="s">
        <v>1270</v>
      </c>
      <c r="AC5669" t="s">
        <v>51</v>
      </c>
      <c r="AD5669" t="s">
        <v>45</v>
      </c>
      <c r="AF5669">
        <v>1</v>
      </c>
      <c r="AG5669" t="s">
        <v>1342</v>
      </c>
      <c r="AH5669" s="36">
        <f t="shared" si="95"/>
        <v>120.71388888888889</v>
      </c>
      <c r="AI5669" s="17" t="s">
        <v>1773</v>
      </c>
    </row>
    <row r="5670" spans="1:35" x14ac:dyDescent="0.25">
      <c r="A5670" s="36">
        <v>99915668</v>
      </c>
      <c r="B5670" s="17" t="s">
        <v>32</v>
      </c>
      <c r="C5670" t="s">
        <v>46</v>
      </c>
      <c r="D5670" t="s">
        <v>47</v>
      </c>
      <c r="G5670" s="17" t="s">
        <v>48</v>
      </c>
      <c r="H5670" s="17">
        <v>1</v>
      </c>
      <c r="K5670" t="s">
        <v>1487</v>
      </c>
      <c r="L5670" t="s">
        <v>1488</v>
      </c>
      <c r="M5670" t="s">
        <v>670</v>
      </c>
      <c r="N5670">
        <v>18</v>
      </c>
      <c r="O5670" t="s">
        <v>40</v>
      </c>
      <c r="P5670" t="s">
        <v>40</v>
      </c>
      <c r="Q5670" t="s">
        <v>40</v>
      </c>
      <c r="S5670" t="s">
        <v>40</v>
      </c>
      <c r="V5670" t="s">
        <v>41</v>
      </c>
      <c r="W5670" t="s">
        <v>49</v>
      </c>
      <c r="X5670" t="str">
        <f>"1760001"</f>
        <v>1760001</v>
      </c>
      <c r="Y5670" t="s">
        <v>1489</v>
      </c>
      <c r="Z5670" t="s">
        <v>1487</v>
      </c>
      <c r="AA5670" t="s">
        <v>1488</v>
      </c>
      <c r="AB5670" t="s">
        <v>670</v>
      </c>
      <c r="AC5670" t="s">
        <v>51</v>
      </c>
      <c r="AD5670" t="s">
        <v>45</v>
      </c>
      <c r="AF5670">
        <v>2</v>
      </c>
      <c r="AG5670" t="s">
        <v>1488</v>
      </c>
      <c r="AH5670" s="36">
        <f t="shared" si="95"/>
        <v>120.71388888888889</v>
      </c>
      <c r="AI5670" s="17" t="s">
        <v>1773</v>
      </c>
    </row>
    <row r="5671" spans="1:35" x14ac:dyDescent="0.25">
      <c r="A5671" s="36">
        <v>99915669</v>
      </c>
      <c r="B5671" s="17" t="s">
        <v>56</v>
      </c>
      <c r="C5671" t="s">
        <v>79</v>
      </c>
      <c r="D5671" t="s">
        <v>80</v>
      </c>
      <c r="G5671" s="17" t="s">
        <v>48</v>
      </c>
      <c r="H5671" s="17">
        <v>1</v>
      </c>
      <c r="K5671" t="s">
        <v>1487</v>
      </c>
      <c r="L5671" t="s">
        <v>1488</v>
      </c>
      <c r="M5671" t="s">
        <v>670</v>
      </c>
      <c r="N5671">
        <v>18</v>
      </c>
      <c r="O5671" t="s">
        <v>40</v>
      </c>
      <c r="P5671" t="s">
        <v>40</v>
      </c>
      <c r="Q5671" t="s">
        <v>40</v>
      </c>
      <c r="S5671" t="s">
        <v>40</v>
      </c>
      <c r="V5671" t="s">
        <v>41</v>
      </c>
      <c r="W5671" t="s">
        <v>49</v>
      </c>
      <c r="X5671" t="str">
        <f>"1760001"</f>
        <v>1760001</v>
      </c>
      <c r="Y5671" t="s">
        <v>1489</v>
      </c>
      <c r="Z5671" t="s">
        <v>1487</v>
      </c>
      <c r="AA5671" t="s">
        <v>1488</v>
      </c>
      <c r="AB5671" t="s">
        <v>670</v>
      </c>
      <c r="AC5671" t="s">
        <v>51</v>
      </c>
      <c r="AD5671" t="s">
        <v>45</v>
      </c>
      <c r="AF5671">
        <v>2</v>
      </c>
      <c r="AG5671" t="s">
        <v>1488</v>
      </c>
      <c r="AH5671" s="36">
        <f t="shared" si="95"/>
        <v>120.71388888888889</v>
      </c>
      <c r="AI5671" s="17" t="s">
        <v>1773</v>
      </c>
    </row>
    <row r="5672" spans="1:35" x14ac:dyDescent="0.25">
      <c r="A5672" s="36">
        <v>99915670</v>
      </c>
      <c r="B5672" s="17" t="s">
        <v>32</v>
      </c>
      <c r="C5672" t="s">
        <v>46</v>
      </c>
      <c r="D5672" t="s">
        <v>47</v>
      </c>
      <c r="G5672" s="17" t="s">
        <v>48</v>
      </c>
      <c r="H5672" s="17">
        <v>1</v>
      </c>
      <c r="K5672" t="s">
        <v>1487</v>
      </c>
      <c r="L5672" t="s">
        <v>1488</v>
      </c>
      <c r="M5672" t="s">
        <v>670</v>
      </c>
      <c r="N5672">
        <v>15</v>
      </c>
      <c r="O5672" t="s">
        <v>40</v>
      </c>
      <c r="P5672" t="s">
        <v>40</v>
      </c>
      <c r="Q5672" t="s">
        <v>40</v>
      </c>
      <c r="S5672" t="s">
        <v>40</v>
      </c>
      <c r="V5672" t="s">
        <v>41</v>
      </c>
      <c r="W5672" t="s">
        <v>42</v>
      </c>
      <c r="X5672" t="str">
        <f>"1780020"</f>
        <v>1780020</v>
      </c>
      <c r="Y5672" t="s">
        <v>1490</v>
      </c>
      <c r="Z5672" t="s">
        <v>1487</v>
      </c>
      <c r="AA5672" t="s">
        <v>1488</v>
      </c>
      <c r="AB5672" t="s">
        <v>670</v>
      </c>
      <c r="AC5672" t="s">
        <v>51</v>
      </c>
      <c r="AD5672" t="s">
        <v>45</v>
      </c>
      <c r="AF5672">
        <v>2</v>
      </c>
      <c r="AG5672" t="s">
        <v>1488</v>
      </c>
      <c r="AH5672" s="36">
        <f t="shared" si="95"/>
        <v>120.71388888888889</v>
      </c>
      <c r="AI5672" s="17" t="s">
        <v>1773</v>
      </c>
    </row>
    <row r="5673" spans="1:35" x14ac:dyDescent="0.25">
      <c r="A5673" s="36">
        <v>99915671</v>
      </c>
      <c r="B5673" s="17" t="s">
        <v>32</v>
      </c>
      <c r="C5673" t="s">
        <v>111</v>
      </c>
      <c r="D5673" t="s">
        <v>112</v>
      </c>
      <c r="G5673" s="17" t="s">
        <v>35</v>
      </c>
      <c r="H5673" s="17">
        <v>1</v>
      </c>
      <c r="I5673" t="s">
        <v>1526</v>
      </c>
      <c r="J5673" s="1">
        <v>43355</v>
      </c>
      <c r="K5673" t="s">
        <v>667</v>
      </c>
      <c r="L5673" t="s">
        <v>669</v>
      </c>
      <c r="M5673" t="s">
        <v>670</v>
      </c>
      <c r="N5673">
        <v>24</v>
      </c>
      <c r="O5673" t="s">
        <v>40</v>
      </c>
      <c r="P5673" t="s">
        <v>40</v>
      </c>
      <c r="Q5673" t="s">
        <v>40</v>
      </c>
      <c r="S5673" t="s">
        <v>40</v>
      </c>
      <c r="U5673" s="1">
        <v>43355</v>
      </c>
      <c r="V5673" t="s">
        <v>41</v>
      </c>
      <c r="W5673" t="s">
        <v>75</v>
      </c>
      <c r="X5673" t="str">
        <f>"7501000"</f>
        <v>7501000</v>
      </c>
      <c r="Y5673" t="s">
        <v>668</v>
      </c>
      <c r="Z5673" t="s">
        <v>667</v>
      </c>
      <c r="AA5673" t="s">
        <v>669</v>
      </c>
      <c r="AB5673" t="s">
        <v>670</v>
      </c>
      <c r="AC5673" t="s">
        <v>55</v>
      </c>
      <c r="AD5673" t="s">
        <v>45</v>
      </c>
      <c r="AF5673">
        <v>1</v>
      </c>
      <c r="AG5673" t="s">
        <v>669</v>
      </c>
      <c r="AH5673" s="36">
        <f t="shared" si="95"/>
        <v>120.71388888888889</v>
      </c>
      <c r="AI5673" s="17" t="s">
        <v>1773</v>
      </c>
    </row>
    <row r="5674" spans="1:35" x14ac:dyDescent="0.25">
      <c r="A5674" s="36">
        <v>99915672</v>
      </c>
      <c r="B5674" s="17" t="s">
        <v>32</v>
      </c>
      <c r="C5674" t="s">
        <v>90</v>
      </c>
      <c r="D5674" t="s">
        <v>91</v>
      </c>
      <c r="G5674" s="17" t="s">
        <v>35</v>
      </c>
      <c r="H5674" s="17">
        <v>1</v>
      </c>
      <c r="I5674" t="s">
        <v>1528</v>
      </c>
      <c r="J5674" s="1">
        <v>43344</v>
      </c>
      <c r="K5674" t="s">
        <v>667</v>
      </c>
      <c r="L5674" t="s">
        <v>669</v>
      </c>
      <c r="M5674" t="s">
        <v>670</v>
      </c>
      <c r="N5674">
        <v>25</v>
      </c>
      <c r="O5674" t="s">
        <v>40</v>
      </c>
      <c r="P5674" t="s">
        <v>40</v>
      </c>
      <c r="Q5674" t="s">
        <v>40</v>
      </c>
      <c r="R5674" t="s">
        <v>40</v>
      </c>
      <c r="S5674" t="s">
        <v>40</v>
      </c>
      <c r="U5674" s="1">
        <v>43344</v>
      </c>
      <c r="V5674" t="s">
        <v>41</v>
      </c>
      <c r="W5674" t="s">
        <v>95</v>
      </c>
      <c r="X5674" t="str">
        <f>"7501001"</f>
        <v>7501001</v>
      </c>
      <c r="Y5674" t="s">
        <v>1525</v>
      </c>
      <c r="Z5674" t="s">
        <v>667</v>
      </c>
      <c r="AA5674" t="s">
        <v>669</v>
      </c>
      <c r="AB5674" t="s">
        <v>670</v>
      </c>
      <c r="AC5674" t="s">
        <v>51</v>
      </c>
      <c r="AD5674" t="s">
        <v>45</v>
      </c>
      <c r="AF5674">
        <v>1</v>
      </c>
      <c r="AG5674" t="s">
        <v>669</v>
      </c>
      <c r="AH5674" s="36">
        <f t="shared" si="95"/>
        <v>120.71388888888889</v>
      </c>
      <c r="AI5674" s="17" t="s">
        <v>1773</v>
      </c>
    </row>
    <row r="5675" spans="1:35" x14ac:dyDescent="0.25">
      <c r="A5675" s="36">
        <v>99915673</v>
      </c>
      <c r="B5675" s="17" t="s">
        <v>32</v>
      </c>
      <c r="C5675" t="s">
        <v>111</v>
      </c>
      <c r="D5675" t="s">
        <v>112</v>
      </c>
      <c r="G5675" s="17" t="s">
        <v>48</v>
      </c>
      <c r="H5675" s="17">
        <v>1</v>
      </c>
      <c r="K5675" t="s">
        <v>667</v>
      </c>
      <c r="L5675" t="s">
        <v>669</v>
      </c>
      <c r="M5675" t="s">
        <v>670</v>
      </c>
      <c r="N5675">
        <v>23</v>
      </c>
      <c r="O5675" t="s">
        <v>40</v>
      </c>
      <c r="P5675" t="s">
        <v>40</v>
      </c>
      <c r="Q5675" t="s">
        <v>40</v>
      </c>
      <c r="S5675" t="s">
        <v>40</v>
      </c>
      <c r="V5675" t="s">
        <v>41</v>
      </c>
      <c r="W5675" t="s">
        <v>75</v>
      </c>
      <c r="X5675" t="str">
        <f>"7501000"</f>
        <v>7501000</v>
      </c>
      <c r="Y5675" t="s">
        <v>668</v>
      </c>
      <c r="Z5675" t="s">
        <v>667</v>
      </c>
      <c r="AA5675" t="s">
        <v>669</v>
      </c>
      <c r="AB5675" t="s">
        <v>670</v>
      </c>
      <c r="AC5675" t="s">
        <v>51</v>
      </c>
      <c r="AD5675" t="s">
        <v>45</v>
      </c>
      <c r="AF5675">
        <v>1</v>
      </c>
      <c r="AG5675" t="s">
        <v>669</v>
      </c>
      <c r="AH5675" s="36">
        <f t="shared" si="95"/>
        <v>120.71388888888889</v>
      </c>
      <c r="AI5675" s="17" t="s">
        <v>1773</v>
      </c>
    </row>
    <row r="5676" spans="1:35" x14ac:dyDescent="0.25">
      <c r="A5676" s="36">
        <v>99915674</v>
      </c>
      <c r="B5676" s="17" t="s">
        <v>32</v>
      </c>
      <c r="C5676" t="s">
        <v>111</v>
      </c>
      <c r="D5676" t="s">
        <v>112</v>
      </c>
      <c r="G5676" s="17" t="s">
        <v>48</v>
      </c>
      <c r="H5676" s="17">
        <v>1</v>
      </c>
      <c r="K5676" t="s">
        <v>667</v>
      </c>
      <c r="L5676" t="s">
        <v>669</v>
      </c>
      <c r="M5676" t="s">
        <v>670</v>
      </c>
      <c r="N5676">
        <v>24</v>
      </c>
      <c r="O5676" t="s">
        <v>40</v>
      </c>
      <c r="P5676" t="s">
        <v>40</v>
      </c>
      <c r="Q5676" t="s">
        <v>40</v>
      </c>
      <c r="S5676" t="s">
        <v>40</v>
      </c>
      <c r="V5676" t="s">
        <v>41</v>
      </c>
      <c r="W5676" t="s">
        <v>75</v>
      </c>
      <c r="X5676" t="str">
        <f>"7501000"</f>
        <v>7501000</v>
      </c>
      <c r="Y5676" t="s">
        <v>668</v>
      </c>
      <c r="Z5676" t="s">
        <v>667</v>
      </c>
      <c r="AA5676" t="s">
        <v>669</v>
      </c>
      <c r="AB5676" t="s">
        <v>670</v>
      </c>
      <c r="AC5676" t="s">
        <v>51</v>
      </c>
      <c r="AD5676" t="s">
        <v>45</v>
      </c>
      <c r="AF5676">
        <v>1</v>
      </c>
      <c r="AG5676" t="s">
        <v>669</v>
      </c>
      <c r="AH5676" s="36">
        <f t="shared" si="95"/>
        <v>120.71388888888889</v>
      </c>
      <c r="AI5676" s="17" t="s">
        <v>1773</v>
      </c>
    </row>
    <row r="5677" spans="1:35" x14ac:dyDescent="0.25">
      <c r="A5677" s="36">
        <v>99915675</v>
      </c>
      <c r="B5677" s="17" t="s">
        <v>32</v>
      </c>
      <c r="C5677" t="s">
        <v>111</v>
      </c>
      <c r="D5677" t="s">
        <v>112</v>
      </c>
      <c r="G5677" s="17" t="s">
        <v>48</v>
      </c>
      <c r="H5677" s="17">
        <v>1</v>
      </c>
      <c r="K5677" t="s">
        <v>667</v>
      </c>
      <c r="L5677" t="s">
        <v>669</v>
      </c>
      <c r="M5677" t="s">
        <v>670</v>
      </c>
      <c r="N5677">
        <v>23</v>
      </c>
      <c r="O5677" t="s">
        <v>40</v>
      </c>
      <c r="P5677" t="s">
        <v>40</v>
      </c>
      <c r="Q5677" t="s">
        <v>40</v>
      </c>
      <c r="S5677" t="s">
        <v>40</v>
      </c>
      <c r="V5677" t="s">
        <v>41</v>
      </c>
      <c r="W5677" t="s">
        <v>75</v>
      </c>
      <c r="X5677" t="str">
        <f>"7501000"</f>
        <v>7501000</v>
      </c>
      <c r="Y5677" t="s">
        <v>668</v>
      </c>
      <c r="Z5677" t="s">
        <v>667</v>
      </c>
      <c r="AA5677" t="s">
        <v>669</v>
      </c>
      <c r="AB5677" t="s">
        <v>670</v>
      </c>
      <c r="AC5677" t="s">
        <v>51</v>
      </c>
      <c r="AD5677" t="s">
        <v>45</v>
      </c>
      <c r="AF5677">
        <v>1</v>
      </c>
      <c r="AG5677" t="s">
        <v>669</v>
      </c>
      <c r="AH5677" s="36">
        <f t="shared" si="95"/>
        <v>120.71388888888889</v>
      </c>
      <c r="AI5677" s="17" t="s">
        <v>1773</v>
      </c>
    </row>
    <row r="5678" spans="1:35" x14ac:dyDescent="0.25">
      <c r="A5678" s="36">
        <v>99915676</v>
      </c>
      <c r="B5678" s="17" t="s">
        <v>32</v>
      </c>
      <c r="C5678" t="s">
        <v>90</v>
      </c>
      <c r="D5678" t="s">
        <v>91</v>
      </c>
      <c r="G5678" s="17" t="s">
        <v>35</v>
      </c>
      <c r="H5678" s="17">
        <v>1</v>
      </c>
      <c r="I5678" t="s">
        <v>1573</v>
      </c>
      <c r="J5678" s="1">
        <v>43344</v>
      </c>
      <c r="K5678" t="s">
        <v>1564</v>
      </c>
      <c r="L5678" t="s">
        <v>1565</v>
      </c>
      <c r="M5678" t="s">
        <v>1548</v>
      </c>
      <c r="N5678">
        <v>24</v>
      </c>
      <c r="O5678" t="s">
        <v>40</v>
      </c>
      <c r="S5678" t="s">
        <v>40</v>
      </c>
      <c r="U5678" s="1">
        <v>43344</v>
      </c>
      <c r="V5678" t="s">
        <v>41</v>
      </c>
      <c r="W5678" t="s">
        <v>95</v>
      </c>
      <c r="X5678" t="str">
        <f>"7101011"</f>
        <v>7101011</v>
      </c>
      <c r="Y5678" t="s">
        <v>1574</v>
      </c>
      <c r="Z5678" t="s">
        <v>1564</v>
      </c>
      <c r="AA5678" t="s">
        <v>1565</v>
      </c>
      <c r="AB5678" t="s">
        <v>1548</v>
      </c>
      <c r="AC5678" t="s">
        <v>51</v>
      </c>
      <c r="AD5678" t="s">
        <v>45</v>
      </c>
      <c r="AF5678">
        <v>1</v>
      </c>
      <c r="AG5678" t="s">
        <v>1565</v>
      </c>
      <c r="AH5678" s="36">
        <f t="shared" si="95"/>
        <v>120.71388888888889</v>
      </c>
      <c r="AI5678" s="17" t="s">
        <v>1773</v>
      </c>
    </row>
    <row r="5679" spans="1:35" x14ac:dyDescent="0.25">
      <c r="A5679" s="36">
        <v>99915677</v>
      </c>
      <c r="B5679" s="17" t="s">
        <v>32</v>
      </c>
      <c r="C5679" t="s">
        <v>111</v>
      </c>
      <c r="D5679" t="s">
        <v>112</v>
      </c>
      <c r="G5679" s="17" t="s">
        <v>48</v>
      </c>
      <c r="H5679" s="17">
        <v>1</v>
      </c>
      <c r="K5679" t="s">
        <v>1564</v>
      </c>
      <c r="L5679" t="s">
        <v>1565</v>
      </c>
      <c r="M5679" t="s">
        <v>1548</v>
      </c>
      <c r="N5679">
        <v>24</v>
      </c>
      <c r="O5679" t="s">
        <v>40</v>
      </c>
      <c r="P5679" t="s">
        <v>40</v>
      </c>
      <c r="Q5679" t="s">
        <v>40</v>
      </c>
      <c r="S5679" t="s">
        <v>40</v>
      </c>
      <c r="V5679" t="s">
        <v>41</v>
      </c>
      <c r="W5679" t="s">
        <v>75</v>
      </c>
      <c r="X5679" t="str">
        <f>"7101002"</f>
        <v>7101002</v>
      </c>
      <c r="Y5679" t="s">
        <v>1563</v>
      </c>
      <c r="Z5679" t="s">
        <v>1564</v>
      </c>
      <c r="AA5679" t="s">
        <v>1565</v>
      </c>
      <c r="AB5679" t="s">
        <v>1548</v>
      </c>
      <c r="AC5679" t="s">
        <v>51</v>
      </c>
      <c r="AD5679" t="s">
        <v>45</v>
      </c>
      <c r="AF5679">
        <v>1</v>
      </c>
      <c r="AG5679" t="s">
        <v>1565</v>
      </c>
      <c r="AH5679" s="36">
        <f t="shared" si="95"/>
        <v>120.71388888888889</v>
      </c>
      <c r="AI5679" s="17" t="s">
        <v>1773</v>
      </c>
    </row>
    <row r="5680" spans="1:35" x14ac:dyDescent="0.25">
      <c r="A5680" s="36">
        <v>99915678</v>
      </c>
      <c r="B5680" s="17" t="s">
        <v>32</v>
      </c>
      <c r="C5680" t="s">
        <v>64</v>
      </c>
      <c r="D5680" t="s">
        <v>65</v>
      </c>
      <c r="G5680" s="17" t="s">
        <v>35</v>
      </c>
      <c r="H5680" s="17">
        <v>1</v>
      </c>
      <c r="I5680" t="s">
        <v>1604</v>
      </c>
      <c r="J5680" s="1">
        <v>43344</v>
      </c>
      <c r="K5680" t="s">
        <v>1590</v>
      </c>
      <c r="L5680" t="s">
        <v>1591</v>
      </c>
      <c r="M5680" t="s">
        <v>1592</v>
      </c>
      <c r="N5680">
        <v>12</v>
      </c>
      <c r="O5680" t="s">
        <v>40</v>
      </c>
      <c r="S5680" t="s">
        <v>40</v>
      </c>
      <c r="U5680" s="1">
        <v>43344</v>
      </c>
      <c r="V5680" t="s">
        <v>41</v>
      </c>
      <c r="W5680" t="s">
        <v>49</v>
      </c>
      <c r="X5680" t="str">
        <f>"0260001"</f>
        <v>0260001</v>
      </c>
      <c r="Y5680" t="s">
        <v>1595</v>
      </c>
      <c r="Z5680" t="s">
        <v>1590</v>
      </c>
      <c r="AA5680" t="s">
        <v>1591</v>
      </c>
      <c r="AB5680" t="s">
        <v>1592</v>
      </c>
      <c r="AC5680" t="s">
        <v>51</v>
      </c>
      <c r="AD5680" t="s">
        <v>45</v>
      </c>
      <c r="AF5680">
        <v>2</v>
      </c>
      <c r="AG5680" t="s">
        <v>1591</v>
      </c>
      <c r="AH5680" s="36">
        <f t="shared" si="95"/>
        <v>120.71388888888889</v>
      </c>
      <c r="AI5680" s="17" t="s">
        <v>1773</v>
      </c>
    </row>
    <row r="5681" spans="1:35" x14ac:dyDescent="0.25">
      <c r="A5681" s="36">
        <v>99915679</v>
      </c>
      <c r="B5681" s="17" t="s">
        <v>32</v>
      </c>
      <c r="C5681" t="s">
        <v>111</v>
      </c>
      <c r="D5681" t="s">
        <v>112</v>
      </c>
      <c r="G5681" s="17" t="s">
        <v>48</v>
      </c>
      <c r="H5681" s="17">
        <v>1</v>
      </c>
      <c r="K5681" t="s">
        <v>1631</v>
      </c>
      <c r="L5681" t="s">
        <v>1632</v>
      </c>
      <c r="M5681" t="s">
        <v>1592</v>
      </c>
      <c r="N5681">
        <v>23</v>
      </c>
      <c r="O5681" t="s">
        <v>40</v>
      </c>
      <c r="P5681" t="s">
        <v>40</v>
      </c>
      <c r="Q5681" t="s">
        <v>40</v>
      </c>
      <c r="S5681" t="s">
        <v>40</v>
      </c>
      <c r="V5681" t="s">
        <v>41</v>
      </c>
      <c r="W5681" t="s">
        <v>75</v>
      </c>
      <c r="X5681" t="str">
        <f>"7021000"</f>
        <v>7021000</v>
      </c>
      <c r="Y5681" t="s">
        <v>1633</v>
      </c>
      <c r="Z5681" t="s">
        <v>1631</v>
      </c>
      <c r="AA5681" t="s">
        <v>1632</v>
      </c>
      <c r="AB5681" t="s">
        <v>1592</v>
      </c>
      <c r="AC5681" t="s">
        <v>51</v>
      </c>
      <c r="AD5681" t="s">
        <v>45</v>
      </c>
      <c r="AF5681">
        <v>1</v>
      </c>
      <c r="AG5681" t="s">
        <v>1632</v>
      </c>
      <c r="AH5681" s="36">
        <f t="shared" si="95"/>
        <v>120.71388888888889</v>
      </c>
      <c r="AI5681" s="17" t="s">
        <v>1773</v>
      </c>
    </row>
    <row r="5682" spans="1:35" x14ac:dyDescent="0.25">
      <c r="A5682" s="36">
        <v>99915680</v>
      </c>
      <c r="B5682" s="17" t="s">
        <v>32</v>
      </c>
      <c r="C5682" t="s">
        <v>111</v>
      </c>
      <c r="D5682" t="s">
        <v>112</v>
      </c>
      <c r="G5682" s="17" t="s">
        <v>48</v>
      </c>
      <c r="H5682" s="17">
        <v>1</v>
      </c>
      <c r="K5682" t="s">
        <v>1631</v>
      </c>
      <c r="L5682" t="s">
        <v>1632</v>
      </c>
      <c r="M5682" t="s">
        <v>1592</v>
      </c>
      <c r="N5682">
        <v>24</v>
      </c>
      <c r="O5682" t="s">
        <v>40</v>
      </c>
      <c r="P5682" t="s">
        <v>40</v>
      </c>
      <c r="Q5682" t="s">
        <v>40</v>
      </c>
      <c r="S5682" t="s">
        <v>40</v>
      </c>
      <c r="V5682" t="s">
        <v>41</v>
      </c>
      <c r="W5682" t="s">
        <v>75</v>
      </c>
      <c r="X5682" t="str">
        <f>"7021000"</f>
        <v>7021000</v>
      </c>
      <c r="Y5682" t="s">
        <v>1633</v>
      </c>
      <c r="Z5682" t="s">
        <v>1631</v>
      </c>
      <c r="AA5682" t="s">
        <v>1632</v>
      </c>
      <c r="AB5682" t="s">
        <v>1592</v>
      </c>
      <c r="AC5682" t="s">
        <v>51</v>
      </c>
      <c r="AD5682" t="s">
        <v>45</v>
      </c>
      <c r="AF5682">
        <v>1</v>
      </c>
      <c r="AG5682" t="s">
        <v>1632</v>
      </c>
      <c r="AH5682" s="36">
        <f t="shared" si="95"/>
        <v>120.71388888888889</v>
      </c>
      <c r="AI5682" s="17" t="s">
        <v>1773</v>
      </c>
    </row>
    <row r="5683" spans="1:35" x14ac:dyDescent="0.25">
      <c r="A5683" s="36">
        <v>99915681</v>
      </c>
      <c r="B5683" s="17" t="s">
        <v>32</v>
      </c>
      <c r="C5683" t="s">
        <v>117</v>
      </c>
      <c r="D5683" t="s">
        <v>118</v>
      </c>
      <c r="G5683" s="17" t="s">
        <v>48</v>
      </c>
      <c r="H5683" s="17">
        <v>1</v>
      </c>
      <c r="K5683" t="s">
        <v>1631</v>
      </c>
      <c r="L5683" t="s">
        <v>1632</v>
      </c>
      <c r="M5683" t="s">
        <v>1592</v>
      </c>
      <c r="N5683">
        <v>9</v>
      </c>
      <c r="O5683" t="s">
        <v>40</v>
      </c>
      <c r="P5683" t="s">
        <v>40</v>
      </c>
      <c r="Q5683" t="s">
        <v>40</v>
      </c>
      <c r="S5683" t="s">
        <v>40</v>
      </c>
      <c r="V5683" t="s">
        <v>41</v>
      </c>
      <c r="W5683" t="s">
        <v>75</v>
      </c>
      <c r="X5683" t="str">
        <f>"7021000"</f>
        <v>7021000</v>
      </c>
      <c r="Y5683" t="s">
        <v>1633</v>
      </c>
      <c r="Z5683" t="s">
        <v>1631</v>
      </c>
      <c r="AA5683" t="s">
        <v>1632</v>
      </c>
      <c r="AB5683" t="s">
        <v>1592</v>
      </c>
      <c r="AC5683" t="s">
        <v>51</v>
      </c>
      <c r="AD5683" t="s">
        <v>45</v>
      </c>
      <c r="AF5683">
        <v>1</v>
      </c>
      <c r="AG5683" t="s">
        <v>1632</v>
      </c>
      <c r="AH5683" s="36">
        <f t="shared" si="95"/>
        <v>120.71388888888889</v>
      </c>
      <c r="AI5683" s="17" t="s">
        <v>1773</v>
      </c>
    </row>
    <row r="5684" spans="1:35" x14ac:dyDescent="0.25">
      <c r="A5684" s="36">
        <v>99915682</v>
      </c>
      <c r="B5684" s="17" t="s">
        <v>32</v>
      </c>
      <c r="C5684" t="s">
        <v>90</v>
      </c>
      <c r="D5684" t="s">
        <v>91</v>
      </c>
      <c r="G5684" s="17" t="s">
        <v>48</v>
      </c>
      <c r="H5684" s="17">
        <v>1</v>
      </c>
      <c r="K5684" t="s">
        <v>1631</v>
      </c>
      <c r="L5684" t="s">
        <v>1632</v>
      </c>
      <c r="M5684" t="s">
        <v>1592</v>
      </c>
      <c r="N5684">
        <v>25</v>
      </c>
      <c r="O5684" t="s">
        <v>40</v>
      </c>
      <c r="P5684" t="s">
        <v>40</v>
      </c>
      <c r="Q5684" t="s">
        <v>40</v>
      </c>
      <c r="S5684" t="s">
        <v>40</v>
      </c>
      <c r="V5684" t="s">
        <v>41</v>
      </c>
      <c r="W5684" t="s">
        <v>95</v>
      </c>
      <c r="X5684" t="str">
        <f>"7021011"</f>
        <v>7021011</v>
      </c>
      <c r="Y5684" t="s">
        <v>1643</v>
      </c>
      <c r="Z5684" t="s">
        <v>1631</v>
      </c>
      <c r="AA5684" t="s">
        <v>1632</v>
      </c>
      <c r="AB5684" t="s">
        <v>1592</v>
      </c>
      <c r="AC5684" t="s">
        <v>51</v>
      </c>
      <c r="AD5684" t="s">
        <v>45</v>
      </c>
      <c r="AF5684">
        <v>1</v>
      </c>
      <c r="AG5684" t="s">
        <v>1632</v>
      </c>
      <c r="AH5684" s="36">
        <f t="shared" si="95"/>
        <v>120.71388888888889</v>
      </c>
      <c r="AI5684" s="17" t="s">
        <v>1773</v>
      </c>
    </row>
    <row r="5685" spans="1:35" x14ac:dyDescent="0.25">
      <c r="A5685" s="36">
        <v>99915683</v>
      </c>
      <c r="B5685" s="17" t="s">
        <v>32</v>
      </c>
      <c r="C5685" t="s">
        <v>111</v>
      </c>
      <c r="D5685" t="s">
        <v>112</v>
      </c>
      <c r="G5685" s="17" t="s">
        <v>35</v>
      </c>
      <c r="H5685" s="17">
        <v>1</v>
      </c>
      <c r="I5685" t="s">
        <v>1659</v>
      </c>
      <c r="J5685" s="1">
        <v>43354</v>
      </c>
      <c r="K5685" t="s">
        <v>1619</v>
      </c>
      <c r="L5685" t="s">
        <v>1620</v>
      </c>
      <c r="M5685" t="s">
        <v>1592</v>
      </c>
      <c r="N5685">
        <v>24</v>
      </c>
      <c r="O5685" t="s">
        <v>40</v>
      </c>
      <c r="S5685" t="s">
        <v>40</v>
      </c>
      <c r="U5685" s="1">
        <v>43354</v>
      </c>
      <c r="V5685" t="s">
        <v>41</v>
      </c>
      <c r="W5685" t="s">
        <v>75</v>
      </c>
      <c r="X5685" t="str">
        <f>"7281004"</f>
        <v>7281004</v>
      </c>
      <c r="Y5685" t="s">
        <v>1651</v>
      </c>
      <c r="Z5685" t="s">
        <v>1619</v>
      </c>
      <c r="AA5685" t="s">
        <v>1620</v>
      </c>
      <c r="AB5685" t="s">
        <v>1592</v>
      </c>
      <c r="AC5685" t="s">
        <v>44</v>
      </c>
      <c r="AD5685" t="s">
        <v>45</v>
      </c>
      <c r="AF5685">
        <v>1</v>
      </c>
      <c r="AG5685" t="s">
        <v>1620</v>
      </c>
      <c r="AH5685" s="36">
        <f t="shared" si="95"/>
        <v>120.71388888888889</v>
      </c>
      <c r="AI5685" s="17" t="s">
        <v>1773</v>
      </c>
    </row>
    <row r="5686" spans="1:35" x14ac:dyDescent="0.25">
      <c r="A5686" s="36">
        <v>99915684</v>
      </c>
      <c r="B5686" s="17" t="s">
        <v>32</v>
      </c>
      <c r="C5686" t="s">
        <v>61</v>
      </c>
      <c r="D5686" t="s">
        <v>62</v>
      </c>
      <c r="G5686" s="17" t="s">
        <v>35</v>
      </c>
      <c r="H5686" s="17">
        <v>1</v>
      </c>
      <c r="I5686" t="s">
        <v>1668</v>
      </c>
      <c r="J5686" s="1">
        <v>43350</v>
      </c>
      <c r="K5686" t="s">
        <v>1619</v>
      </c>
      <c r="L5686" t="s">
        <v>1620</v>
      </c>
      <c r="M5686" t="s">
        <v>1592</v>
      </c>
      <c r="N5686">
        <v>6</v>
      </c>
      <c r="O5686" t="s">
        <v>40</v>
      </c>
      <c r="S5686" t="s">
        <v>40</v>
      </c>
      <c r="U5686" s="1">
        <v>43350</v>
      </c>
      <c r="V5686" t="s">
        <v>41</v>
      </c>
      <c r="W5686" t="s">
        <v>75</v>
      </c>
      <c r="X5686" t="str">
        <f>"7281004"</f>
        <v>7281004</v>
      </c>
      <c r="Y5686" t="s">
        <v>1651</v>
      </c>
      <c r="Z5686" t="s">
        <v>1619</v>
      </c>
      <c r="AA5686" t="s">
        <v>1620</v>
      </c>
      <c r="AB5686" t="s">
        <v>1592</v>
      </c>
      <c r="AC5686" t="s">
        <v>44</v>
      </c>
      <c r="AD5686" t="s">
        <v>45</v>
      </c>
      <c r="AF5686">
        <v>1</v>
      </c>
      <c r="AG5686" t="s">
        <v>1620</v>
      </c>
      <c r="AH5686" s="36">
        <f t="shared" si="95"/>
        <v>120.71388888888889</v>
      </c>
      <c r="AI5686" s="17" t="s">
        <v>1773</v>
      </c>
    </row>
    <row r="5687" spans="1:35" x14ac:dyDescent="0.25">
      <c r="A5687" s="36">
        <v>99915685</v>
      </c>
      <c r="B5687" s="17" t="s">
        <v>32</v>
      </c>
      <c r="C5687" t="s">
        <v>111</v>
      </c>
      <c r="D5687" t="s">
        <v>112</v>
      </c>
      <c r="G5687" s="17" t="s">
        <v>35</v>
      </c>
      <c r="H5687" s="17">
        <v>1</v>
      </c>
      <c r="I5687">
        <v>5150</v>
      </c>
      <c r="J5687" s="1">
        <v>43360</v>
      </c>
      <c r="K5687" t="s">
        <v>1689</v>
      </c>
      <c r="L5687" t="s">
        <v>1690</v>
      </c>
      <c r="M5687" t="s">
        <v>1592</v>
      </c>
      <c r="N5687">
        <v>24</v>
      </c>
      <c r="O5687" t="s">
        <v>40</v>
      </c>
      <c r="S5687" t="s">
        <v>40</v>
      </c>
      <c r="U5687" s="1">
        <v>43360</v>
      </c>
      <c r="V5687" t="s">
        <v>41</v>
      </c>
      <c r="W5687" t="s">
        <v>75</v>
      </c>
      <c r="X5687" t="str">
        <f>"7301000"</f>
        <v>7301000</v>
      </c>
      <c r="Y5687" t="s">
        <v>1691</v>
      </c>
      <c r="Z5687" t="s">
        <v>1689</v>
      </c>
      <c r="AA5687" t="s">
        <v>1690</v>
      </c>
      <c r="AB5687" t="s">
        <v>1592</v>
      </c>
      <c r="AC5687" t="s">
        <v>44</v>
      </c>
      <c r="AD5687" t="s">
        <v>45</v>
      </c>
      <c r="AF5687">
        <v>1</v>
      </c>
      <c r="AG5687" t="s">
        <v>1690</v>
      </c>
      <c r="AH5687" s="36">
        <f t="shared" si="95"/>
        <v>120.71388888888889</v>
      </c>
      <c r="AI5687" s="17" t="s">
        <v>1773</v>
      </c>
    </row>
    <row r="5688" spans="1:35" x14ac:dyDescent="0.25">
      <c r="A5688" s="36">
        <v>99915686</v>
      </c>
      <c r="B5688" s="17" t="s">
        <v>32</v>
      </c>
      <c r="C5688" t="s">
        <v>90</v>
      </c>
      <c r="D5688" t="s">
        <v>91</v>
      </c>
      <c r="G5688" s="17" t="s">
        <v>35</v>
      </c>
      <c r="H5688" s="17">
        <v>1</v>
      </c>
      <c r="I5688">
        <v>4893</v>
      </c>
      <c r="J5688" s="1">
        <v>43354</v>
      </c>
      <c r="K5688" t="s">
        <v>1689</v>
      </c>
      <c r="L5688" t="s">
        <v>1690</v>
      </c>
      <c r="M5688" t="s">
        <v>1592</v>
      </c>
      <c r="N5688">
        <v>25</v>
      </c>
      <c r="O5688" t="s">
        <v>40</v>
      </c>
      <c r="S5688" t="s">
        <v>40</v>
      </c>
      <c r="U5688" s="1">
        <v>43354</v>
      </c>
      <c r="V5688" t="s">
        <v>41</v>
      </c>
      <c r="W5688" t="s">
        <v>95</v>
      </c>
      <c r="X5688" t="str">
        <f>"7301001"</f>
        <v>7301001</v>
      </c>
      <c r="Y5688" t="s">
        <v>1692</v>
      </c>
      <c r="Z5688" t="s">
        <v>1689</v>
      </c>
      <c r="AA5688" t="s">
        <v>1690</v>
      </c>
      <c r="AB5688" t="s">
        <v>1592</v>
      </c>
      <c r="AC5688" t="s">
        <v>44</v>
      </c>
      <c r="AD5688" t="s">
        <v>45</v>
      </c>
      <c r="AF5688">
        <v>1</v>
      </c>
      <c r="AG5688" t="s">
        <v>1690</v>
      </c>
      <c r="AH5688" s="36">
        <f t="shared" si="95"/>
        <v>120.71388888888889</v>
      </c>
      <c r="AI5688" s="17" t="s">
        <v>1773</v>
      </c>
    </row>
  </sheetData>
  <sortState ref="A2:AS5688">
    <sortCondition ref="AH2:AH5688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D4" sqref="D4"/>
    </sheetView>
  </sheetViews>
  <sheetFormatPr defaultRowHeight="15" x14ac:dyDescent="0.25"/>
  <cols>
    <col min="1" max="1" width="58.7109375" bestFit="1" customWidth="1"/>
    <col min="2" max="2" width="13.28515625" bestFit="1" customWidth="1"/>
    <col min="3" max="3" width="3.42578125" customWidth="1"/>
  </cols>
  <sheetData>
    <row r="1" spans="1:4" ht="45" x14ac:dyDescent="0.25">
      <c r="A1" s="175" t="s">
        <v>1844</v>
      </c>
    </row>
    <row r="3" spans="1:4" ht="30" x14ac:dyDescent="0.25">
      <c r="A3" s="7" t="s">
        <v>27</v>
      </c>
      <c r="B3" s="11" t="s">
        <v>1743</v>
      </c>
    </row>
    <row r="4" spans="1:4" x14ac:dyDescent="0.25">
      <c r="A4" t="s">
        <v>51</v>
      </c>
      <c r="B4">
        <v>4268</v>
      </c>
      <c r="D4" s="10">
        <f>B4/$B$8</f>
        <v>0.75048355899419728</v>
      </c>
    </row>
    <row r="5" spans="1:4" x14ac:dyDescent="0.25">
      <c r="A5" t="s">
        <v>44</v>
      </c>
      <c r="B5">
        <v>715</v>
      </c>
      <c r="D5" s="10">
        <f>B5/$B$8</f>
        <v>0.12572533849129594</v>
      </c>
    </row>
    <row r="6" spans="1:4" ht="30" x14ac:dyDescent="0.25">
      <c r="A6" s="9" t="s">
        <v>1745</v>
      </c>
      <c r="B6">
        <v>594</v>
      </c>
      <c r="D6" s="10">
        <f>B6/$B$8</f>
        <v>0.10444874274661509</v>
      </c>
    </row>
    <row r="7" spans="1:4" x14ac:dyDescent="0.25">
      <c r="A7" t="s">
        <v>55</v>
      </c>
      <c r="B7">
        <v>110</v>
      </c>
      <c r="D7" s="10">
        <f>B7/$B$8</f>
        <v>1.9342359767891684E-2</v>
      </c>
    </row>
    <row r="8" spans="1:4" x14ac:dyDescent="0.25">
      <c r="A8" s="8" t="s">
        <v>1742</v>
      </c>
      <c r="B8" s="7">
        <v>5687</v>
      </c>
    </row>
  </sheetData>
  <sortState ref="A4:D7">
    <sortCondition descending="1" ref="B4:B7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C5" sqref="C5"/>
    </sheetView>
  </sheetViews>
  <sheetFormatPr defaultRowHeight="15" x14ac:dyDescent="0.25"/>
  <cols>
    <col min="1" max="1" width="58.7109375" bestFit="1" customWidth="1"/>
    <col min="2" max="2" width="9.140625" customWidth="1"/>
    <col min="3" max="4" width="13.28515625" bestFit="1" customWidth="1"/>
  </cols>
  <sheetData>
    <row r="1" spans="1:9" ht="30" x14ac:dyDescent="0.25">
      <c r="A1" s="11" t="s">
        <v>1845</v>
      </c>
    </row>
    <row r="3" spans="1:9" s="7" customFormat="1" ht="30" x14ac:dyDescent="0.25">
      <c r="A3" s="7" t="s">
        <v>1746</v>
      </c>
      <c r="B3" s="11" t="s">
        <v>1749</v>
      </c>
      <c r="C3" s="20" t="s">
        <v>1750</v>
      </c>
      <c r="D3" s="20" t="s">
        <v>1751</v>
      </c>
    </row>
    <row r="4" spans="1:9" x14ac:dyDescent="0.25">
      <c r="A4" s="7" t="s">
        <v>1747</v>
      </c>
      <c r="B4" s="16">
        <v>1713</v>
      </c>
      <c r="C4" s="15">
        <f t="shared" ref="C4:C13" si="0">B4/$B$14</f>
        <v>0.30121329347634956</v>
      </c>
      <c r="I4" s="21"/>
    </row>
    <row r="5" spans="1:9" x14ac:dyDescent="0.25">
      <c r="A5" t="s">
        <v>51</v>
      </c>
      <c r="B5" s="12">
        <v>1371</v>
      </c>
      <c r="C5" s="18">
        <f t="shared" si="0"/>
        <v>0.24107613856163179</v>
      </c>
      <c r="D5" s="19">
        <f>B5/$B$4</f>
        <v>0.80035026269702281</v>
      </c>
    </row>
    <row r="6" spans="1:9" x14ac:dyDescent="0.25">
      <c r="A6" t="s">
        <v>44</v>
      </c>
      <c r="B6" s="12">
        <v>183</v>
      </c>
      <c r="C6" s="18">
        <f t="shared" si="0"/>
        <v>3.2178653068401619E-2</v>
      </c>
      <c r="D6" s="19">
        <f>B6/$B$4</f>
        <v>0.10683012259194395</v>
      </c>
    </row>
    <row r="7" spans="1:9" ht="30" x14ac:dyDescent="0.25">
      <c r="A7" s="9" t="s">
        <v>1745</v>
      </c>
      <c r="B7" s="12">
        <v>142</v>
      </c>
      <c r="C7" s="18">
        <f t="shared" si="0"/>
        <v>2.4969228064005627E-2</v>
      </c>
      <c r="D7" s="19">
        <f>B7/$B$4</f>
        <v>8.2895504962054875E-2</v>
      </c>
    </row>
    <row r="8" spans="1:9" x14ac:dyDescent="0.25">
      <c r="A8" t="s">
        <v>55</v>
      </c>
      <c r="B8" s="12">
        <v>17</v>
      </c>
      <c r="C8" s="18">
        <f t="shared" si="0"/>
        <v>2.989273782310533E-3</v>
      </c>
      <c r="D8" s="19">
        <f>B8/$B$4</f>
        <v>9.9241097489784005E-3</v>
      </c>
    </row>
    <row r="9" spans="1:9" x14ac:dyDescent="0.25">
      <c r="A9" s="7" t="s">
        <v>1748</v>
      </c>
      <c r="B9" s="16">
        <v>3974</v>
      </c>
      <c r="C9" s="15">
        <f t="shared" si="0"/>
        <v>0.69878670652365038</v>
      </c>
    </row>
    <row r="10" spans="1:9" x14ac:dyDescent="0.25">
      <c r="A10" t="s">
        <v>51</v>
      </c>
      <c r="B10" s="12">
        <v>2897</v>
      </c>
      <c r="C10" s="18">
        <f t="shared" si="0"/>
        <v>0.50940742043256548</v>
      </c>
      <c r="D10" s="19">
        <f>B10/$B$9</f>
        <v>0.72898842476094616</v>
      </c>
    </row>
    <row r="11" spans="1:9" x14ac:dyDescent="0.25">
      <c r="A11" t="s">
        <v>44</v>
      </c>
      <c r="B11" s="12">
        <v>532</v>
      </c>
      <c r="C11" s="18">
        <f t="shared" si="0"/>
        <v>9.3546685422894321E-2</v>
      </c>
      <c r="D11" s="19">
        <f>B11/$B$9</f>
        <v>0.13387015601409161</v>
      </c>
    </row>
    <row r="12" spans="1:9" ht="30" x14ac:dyDescent="0.25">
      <c r="A12" s="9" t="s">
        <v>1745</v>
      </c>
      <c r="B12" s="12">
        <v>452</v>
      </c>
      <c r="C12" s="18">
        <f t="shared" si="0"/>
        <v>7.9479514682609456E-2</v>
      </c>
      <c r="D12" s="19">
        <f>B12/$B$9</f>
        <v>0.11373930548565676</v>
      </c>
    </row>
    <row r="13" spans="1:9" x14ac:dyDescent="0.25">
      <c r="A13" t="s">
        <v>55</v>
      </c>
      <c r="B13" s="12">
        <v>93</v>
      </c>
      <c r="C13" s="18">
        <f t="shared" si="0"/>
        <v>1.6353085985581151E-2</v>
      </c>
      <c r="D13" s="19">
        <f>B13/$B$9</f>
        <v>2.3402113739305487E-2</v>
      </c>
    </row>
    <row r="14" spans="1:9" x14ac:dyDescent="0.25">
      <c r="A14" s="8" t="s">
        <v>1742</v>
      </c>
      <c r="B14" s="16">
        <v>5687</v>
      </c>
    </row>
    <row r="19" spans="1:2" x14ac:dyDescent="0.25">
      <c r="B19" s="12"/>
    </row>
    <row r="20" spans="1:2" x14ac:dyDescent="0.25">
      <c r="B20" s="12"/>
    </row>
    <row r="21" spans="1:2" x14ac:dyDescent="0.25">
      <c r="A21" s="9"/>
      <c r="B21" s="12"/>
    </row>
    <row r="22" spans="1:2" x14ac:dyDescent="0.25">
      <c r="B22" s="12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3" sqref="F3"/>
    </sheetView>
  </sheetViews>
  <sheetFormatPr defaultRowHeight="15" x14ac:dyDescent="0.25"/>
  <cols>
    <col min="1" max="1" width="40" bestFit="1" customWidth="1"/>
    <col min="2" max="2" width="9.7109375" customWidth="1"/>
    <col min="3" max="3" width="5" customWidth="1"/>
    <col min="4" max="4" width="10.85546875" customWidth="1"/>
    <col min="5" max="5" width="3.5703125" customWidth="1"/>
  </cols>
  <sheetData>
    <row r="1" spans="1:8" ht="30" x14ac:dyDescent="0.25">
      <c r="A1" s="11" t="s">
        <v>1846</v>
      </c>
    </row>
    <row r="3" spans="1:8" ht="45" x14ac:dyDescent="0.25">
      <c r="A3" s="7" t="s">
        <v>1754</v>
      </c>
      <c r="B3" s="11" t="s">
        <v>1755</v>
      </c>
      <c r="D3" s="22" t="s">
        <v>1750</v>
      </c>
      <c r="F3" s="7" t="s">
        <v>1756</v>
      </c>
    </row>
    <row r="4" spans="1:8" x14ac:dyDescent="0.25">
      <c r="A4" t="s">
        <v>75</v>
      </c>
      <c r="B4">
        <v>1845</v>
      </c>
      <c r="D4" s="10">
        <f>B4/$B$12</f>
        <v>0.3244241251978196</v>
      </c>
      <c r="F4" t="s">
        <v>1757</v>
      </c>
      <c r="G4">
        <f>B4+B7</f>
        <v>2440</v>
      </c>
      <c r="H4" s="10">
        <f>G4/$B$12</f>
        <v>0.42904870757868824</v>
      </c>
    </row>
    <row r="5" spans="1:8" x14ac:dyDescent="0.25">
      <c r="A5" t="s">
        <v>49</v>
      </c>
      <c r="B5">
        <v>1663</v>
      </c>
      <c r="D5" s="10">
        <f t="shared" ref="D5:D11" si="0">B5/$B$12</f>
        <v>0.29242131176367153</v>
      </c>
      <c r="F5" t="s">
        <v>1758</v>
      </c>
      <c r="G5">
        <f>B12-G4-B11</f>
        <v>3231</v>
      </c>
      <c r="H5" s="10">
        <f t="shared" ref="H5:H6" si="1">G5/$B$12</f>
        <v>0.5681378582732548</v>
      </c>
    </row>
    <row r="6" spans="1:8" x14ac:dyDescent="0.25">
      <c r="A6" t="s">
        <v>42</v>
      </c>
      <c r="B6">
        <v>1520</v>
      </c>
      <c r="D6" s="10">
        <f t="shared" si="0"/>
        <v>0.26727624406541234</v>
      </c>
      <c r="F6" t="s">
        <v>1753</v>
      </c>
      <c r="G6">
        <v>16</v>
      </c>
      <c r="H6" s="10">
        <f t="shared" si="1"/>
        <v>2.8134341480569721E-3</v>
      </c>
    </row>
    <row r="7" spans="1:8" x14ac:dyDescent="0.25">
      <c r="A7" t="s">
        <v>95</v>
      </c>
      <c r="B7">
        <v>595</v>
      </c>
      <c r="D7" s="10">
        <f t="shared" si="0"/>
        <v>0.10462458238086865</v>
      </c>
    </row>
    <row r="8" spans="1:8" x14ac:dyDescent="0.25">
      <c r="A8" t="s">
        <v>922</v>
      </c>
      <c r="B8">
        <v>30</v>
      </c>
      <c r="D8" s="10">
        <f t="shared" si="0"/>
        <v>5.2751890276068227E-3</v>
      </c>
    </row>
    <row r="9" spans="1:8" x14ac:dyDescent="0.25">
      <c r="A9" t="s">
        <v>953</v>
      </c>
      <c r="B9">
        <v>10</v>
      </c>
      <c r="D9" s="10">
        <f t="shared" si="0"/>
        <v>1.7583963425356075E-3</v>
      </c>
    </row>
    <row r="10" spans="1:8" x14ac:dyDescent="0.25">
      <c r="A10" t="s">
        <v>367</v>
      </c>
      <c r="B10">
        <v>8</v>
      </c>
      <c r="D10" s="10">
        <f t="shared" si="0"/>
        <v>1.4067170740284861E-3</v>
      </c>
    </row>
    <row r="11" spans="1:8" x14ac:dyDescent="0.25">
      <c r="A11" t="s">
        <v>1753</v>
      </c>
      <c r="B11">
        <v>16</v>
      </c>
      <c r="D11" s="10">
        <f t="shared" si="0"/>
        <v>2.8134341480569721E-3</v>
      </c>
    </row>
    <row r="12" spans="1:8" x14ac:dyDescent="0.25">
      <c r="A12" s="7" t="s">
        <v>1742</v>
      </c>
      <c r="B12" s="7">
        <v>5687</v>
      </c>
    </row>
  </sheetData>
  <sortState ref="A4:B11">
    <sortCondition descending="1" ref="B4:B11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H5" sqref="H5"/>
    </sheetView>
  </sheetViews>
  <sheetFormatPr defaultRowHeight="15" x14ac:dyDescent="0.25"/>
  <cols>
    <col min="1" max="1" width="40" bestFit="1" customWidth="1"/>
    <col min="2" max="2" width="7.42578125" bestFit="1" customWidth="1"/>
    <col min="3" max="3" width="11.42578125" customWidth="1"/>
  </cols>
  <sheetData>
    <row r="1" spans="1:9" x14ac:dyDescent="0.25">
      <c r="A1" s="7" t="s">
        <v>1847</v>
      </c>
    </row>
    <row r="3" spans="1:9" ht="26.25" x14ac:dyDescent="0.25">
      <c r="A3" s="23" t="s">
        <v>1759</v>
      </c>
      <c r="B3" s="23" t="s">
        <v>1752</v>
      </c>
      <c r="C3" s="24" t="s">
        <v>1750</v>
      </c>
      <c r="D3" s="24" t="s">
        <v>1751</v>
      </c>
    </row>
    <row r="4" spans="1:9" x14ac:dyDescent="0.25">
      <c r="A4" s="7" t="s">
        <v>1747</v>
      </c>
      <c r="B4" s="13">
        <v>1713</v>
      </c>
      <c r="C4" s="14">
        <f>B4/$B$22</f>
        <v>0.30121329347634956</v>
      </c>
      <c r="G4" s="7" t="str">
        <f>A4</f>
        <v>Άνδρες</v>
      </c>
    </row>
    <row r="5" spans="1:9" x14ac:dyDescent="0.25">
      <c r="A5" t="s">
        <v>42</v>
      </c>
      <c r="B5" s="12">
        <v>794</v>
      </c>
      <c r="C5" s="25">
        <f>B5/$B$22</f>
        <v>0.13961666959732724</v>
      </c>
      <c r="D5" s="10">
        <f>B5/$B$4</f>
        <v>0.46351430239346175</v>
      </c>
      <c r="G5" t="s">
        <v>1758</v>
      </c>
      <c r="H5" s="12">
        <f>B5+B6+B8+B10+B11</f>
        <v>1350</v>
      </c>
      <c r="I5" s="28">
        <f>H5/$H$8</f>
        <v>0.78809106830122588</v>
      </c>
    </row>
    <row r="6" spans="1:9" x14ac:dyDescent="0.25">
      <c r="A6" t="s">
        <v>49</v>
      </c>
      <c r="B6" s="12">
        <v>530</v>
      </c>
      <c r="C6" s="25">
        <f t="shared" ref="C6:C12" si="0">B6/$B$22</f>
        <v>9.3195006154387194E-2</v>
      </c>
      <c r="D6" s="10">
        <f t="shared" ref="D6:D9" si="1">B6/$B$4</f>
        <v>0.30939871570344424</v>
      </c>
      <c r="G6" t="s">
        <v>1757</v>
      </c>
      <c r="H6" s="12">
        <f>B4-H5-H7</f>
        <v>360</v>
      </c>
      <c r="I6" s="28">
        <f>H6/$H$8</f>
        <v>0.21015761821366025</v>
      </c>
    </row>
    <row r="7" spans="1:9" ht="15.75" thickBot="1" x14ac:dyDescent="0.3">
      <c r="A7" t="s">
        <v>75</v>
      </c>
      <c r="B7" s="12">
        <v>350</v>
      </c>
      <c r="C7" s="25">
        <f t="shared" si="0"/>
        <v>6.1543871988746265E-2</v>
      </c>
      <c r="D7" s="10">
        <f t="shared" si="1"/>
        <v>0.20431990659661411</v>
      </c>
      <c r="G7" t="str">
        <f>A12</f>
        <v>Δ/Υ</v>
      </c>
      <c r="H7" s="26">
        <f>B12</f>
        <v>3</v>
      </c>
      <c r="I7" s="28">
        <f>H7/$H$8</f>
        <v>1.7513134851138354E-3</v>
      </c>
    </row>
    <row r="8" spans="1:9" ht="15.75" thickTop="1" x14ac:dyDescent="0.25">
      <c r="A8" t="s">
        <v>922</v>
      </c>
      <c r="B8" s="12">
        <v>17</v>
      </c>
      <c r="C8" s="25">
        <f t="shared" si="0"/>
        <v>2.989273782310533E-3</v>
      </c>
      <c r="D8" s="10">
        <f t="shared" si="1"/>
        <v>9.9241097489784005E-3</v>
      </c>
      <c r="H8" s="12">
        <f>SUM(H5:H7)</f>
        <v>1713</v>
      </c>
      <c r="I8" s="29"/>
    </row>
    <row r="9" spans="1:9" x14ac:dyDescent="0.25">
      <c r="A9" t="s">
        <v>95</v>
      </c>
      <c r="B9" s="12">
        <v>10</v>
      </c>
      <c r="C9" s="25">
        <f t="shared" si="0"/>
        <v>1.7583963425356075E-3</v>
      </c>
      <c r="D9" s="10">
        <f t="shared" si="1"/>
        <v>5.837711617046118E-3</v>
      </c>
      <c r="I9" s="29"/>
    </row>
    <row r="10" spans="1:9" x14ac:dyDescent="0.25">
      <c r="A10" t="s">
        <v>953</v>
      </c>
      <c r="B10" s="12">
        <v>7</v>
      </c>
      <c r="C10" s="25">
        <f t="shared" si="0"/>
        <v>1.2308774397749253E-3</v>
      </c>
      <c r="D10" s="10">
        <f t="shared" ref="D10:D12" si="2">B10/$B$4</f>
        <v>4.0863981319322826E-3</v>
      </c>
      <c r="G10" s="7" t="str">
        <f>A13</f>
        <v>Γυναίκες</v>
      </c>
      <c r="I10" s="29"/>
    </row>
    <row r="11" spans="1:9" x14ac:dyDescent="0.25">
      <c r="A11" t="s">
        <v>367</v>
      </c>
      <c r="B11" s="12">
        <v>2</v>
      </c>
      <c r="C11" s="25">
        <f t="shared" si="0"/>
        <v>3.5167926850712152E-4</v>
      </c>
      <c r="D11" s="10">
        <f t="shared" si="2"/>
        <v>1.1675423234092236E-3</v>
      </c>
      <c r="G11" t="s">
        <v>1758</v>
      </c>
      <c r="H11" s="12">
        <f>B15+B16+B18+B19+B20</f>
        <v>1881</v>
      </c>
      <c r="I11" s="28">
        <f>H11/$H$14</f>
        <v>0.47332662304982387</v>
      </c>
    </row>
    <row r="12" spans="1:9" x14ac:dyDescent="0.25">
      <c r="A12" t="s">
        <v>1753</v>
      </c>
      <c r="B12" s="12">
        <v>3</v>
      </c>
      <c r="C12" s="25">
        <f t="shared" si="0"/>
        <v>5.2751890276068222E-4</v>
      </c>
      <c r="D12" s="10">
        <f t="shared" si="2"/>
        <v>1.7513134851138354E-3</v>
      </c>
      <c r="G12" t="s">
        <v>1757</v>
      </c>
      <c r="H12" s="12">
        <f>B13-H11-H13</f>
        <v>2080</v>
      </c>
      <c r="I12" s="28">
        <f t="shared" ref="I12:I13" si="3">H12/$H$14</f>
        <v>0.52340211373930545</v>
      </c>
    </row>
    <row r="13" spans="1:9" ht="15.75" thickBot="1" x14ac:dyDescent="0.3">
      <c r="A13" s="7" t="s">
        <v>1748</v>
      </c>
      <c r="B13" s="13">
        <v>3974</v>
      </c>
      <c r="C13" s="14">
        <f>B13/$B$22</f>
        <v>0.69878670652365038</v>
      </c>
      <c r="G13" t="str">
        <f>A21</f>
        <v>Δ/Υ</v>
      </c>
      <c r="H13" s="27">
        <f>B21</f>
        <v>13</v>
      </c>
      <c r="I13" s="28">
        <f t="shared" si="3"/>
        <v>3.2712632108706594E-3</v>
      </c>
    </row>
    <row r="14" spans="1:9" ht="15.75" thickTop="1" x14ac:dyDescent="0.25">
      <c r="A14" t="s">
        <v>75</v>
      </c>
      <c r="B14" s="12">
        <v>1495</v>
      </c>
      <c r="C14" s="25">
        <f>B14/$B$22</f>
        <v>0.26288025320907332</v>
      </c>
      <c r="D14" s="10">
        <f>B14/$B$13</f>
        <v>0.37619526925012581</v>
      </c>
      <c r="H14" s="12">
        <f>SUM(H11:H13)</f>
        <v>3974</v>
      </c>
    </row>
    <row r="15" spans="1:9" x14ac:dyDescent="0.25">
      <c r="A15" t="s">
        <v>49</v>
      </c>
      <c r="B15" s="12">
        <v>1133</v>
      </c>
      <c r="C15" s="25">
        <f t="shared" ref="C15:C21" si="4">B15/$B$22</f>
        <v>0.19922630560928434</v>
      </c>
      <c r="D15" s="10">
        <f t="shared" ref="D15:D18" si="5">B15/$B$13</f>
        <v>0.28510317060895823</v>
      </c>
    </row>
    <row r="16" spans="1:9" x14ac:dyDescent="0.25">
      <c r="A16" t="s">
        <v>42</v>
      </c>
      <c r="B16" s="12">
        <v>726</v>
      </c>
      <c r="C16" s="25">
        <f t="shared" si="4"/>
        <v>0.1276595744680851</v>
      </c>
      <c r="D16" s="10">
        <f t="shared" si="5"/>
        <v>0.18268746854554604</v>
      </c>
    </row>
    <row r="17" spans="1:4" x14ac:dyDescent="0.25">
      <c r="A17" t="s">
        <v>95</v>
      </c>
      <c r="B17" s="12">
        <v>585</v>
      </c>
      <c r="C17" s="25">
        <f t="shared" si="4"/>
        <v>0.10286618603833304</v>
      </c>
      <c r="D17" s="10">
        <f t="shared" si="5"/>
        <v>0.14720684448917967</v>
      </c>
    </row>
    <row r="18" spans="1:4" x14ac:dyDescent="0.25">
      <c r="A18" t="s">
        <v>922</v>
      </c>
      <c r="B18" s="12">
        <v>13</v>
      </c>
      <c r="C18" s="25">
        <f t="shared" si="4"/>
        <v>2.2859152452962897E-3</v>
      </c>
      <c r="D18" s="10">
        <f t="shared" si="5"/>
        <v>3.2712632108706594E-3</v>
      </c>
    </row>
    <row r="19" spans="1:4" x14ac:dyDescent="0.25">
      <c r="A19" t="s">
        <v>367</v>
      </c>
      <c r="B19" s="12">
        <v>6</v>
      </c>
      <c r="C19" s="25">
        <f t="shared" si="4"/>
        <v>1.0550378055213644E-3</v>
      </c>
      <c r="D19" s="10">
        <f t="shared" ref="D19:D21" si="6">B19/$B$13</f>
        <v>1.5098137896326119E-3</v>
      </c>
    </row>
    <row r="20" spans="1:4" x14ac:dyDescent="0.25">
      <c r="A20" t="s">
        <v>953</v>
      </c>
      <c r="B20" s="12">
        <v>3</v>
      </c>
      <c r="C20" s="25">
        <f t="shared" si="4"/>
        <v>5.2751890276068222E-4</v>
      </c>
      <c r="D20" s="10">
        <f t="shared" si="6"/>
        <v>7.5490689481630597E-4</v>
      </c>
    </row>
    <row r="21" spans="1:4" x14ac:dyDescent="0.25">
      <c r="A21" t="s">
        <v>1753</v>
      </c>
      <c r="B21" s="12">
        <v>13</v>
      </c>
      <c r="C21" s="25">
        <f t="shared" si="4"/>
        <v>2.2859152452962897E-3</v>
      </c>
      <c r="D21" s="10">
        <f t="shared" si="6"/>
        <v>3.2712632108706594E-3</v>
      </c>
    </row>
    <row r="22" spans="1:4" x14ac:dyDescent="0.25">
      <c r="A22" s="7" t="s">
        <v>1742</v>
      </c>
      <c r="B22" s="13">
        <v>5687</v>
      </c>
    </row>
  </sheetData>
  <sortState ref="A14:B21">
    <sortCondition descending="1" ref="B14:B21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A18" sqref="A18"/>
    </sheetView>
  </sheetViews>
  <sheetFormatPr defaultRowHeight="15" x14ac:dyDescent="0.25"/>
  <cols>
    <col min="1" max="1" width="87.140625" bestFit="1" customWidth="1"/>
  </cols>
  <sheetData>
    <row r="1" spans="1:3" x14ac:dyDescent="0.25">
      <c r="A1" s="7" t="s">
        <v>1848</v>
      </c>
    </row>
    <row r="3" spans="1:3" x14ac:dyDescent="0.25">
      <c r="A3" s="7" t="s">
        <v>1761</v>
      </c>
      <c r="B3" s="30" t="s">
        <v>1752</v>
      </c>
      <c r="C3" s="30" t="s">
        <v>1760</v>
      </c>
    </row>
    <row r="4" spans="1:3" x14ac:dyDescent="0.25">
      <c r="A4" t="s">
        <v>51</v>
      </c>
      <c r="B4">
        <v>1852</v>
      </c>
      <c r="C4" s="28">
        <f>B4/$B$8</f>
        <v>0.75407166123778502</v>
      </c>
    </row>
    <row r="5" spans="1:3" x14ac:dyDescent="0.25">
      <c r="A5" t="s">
        <v>44</v>
      </c>
      <c r="B5">
        <v>332</v>
      </c>
      <c r="C5" s="28">
        <f t="shared" ref="C5:C7" si="0">B5/$B$8</f>
        <v>0.13517915309446255</v>
      </c>
    </row>
    <row r="6" spans="1:3" x14ac:dyDescent="0.25">
      <c r="A6" t="s">
        <v>165</v>
      </c>
      <c r="B6">
        <v>217</v>
      </c>
      <c r="C6" s="28">
        <f t="shared" si="0"/>
        <v>8.8355048859934851E-2</v>
      </c>
    </row>
    <row r="7" spans="1:3" x14ac:dyDescent="0.25">
      <c r="A7" t="s">
        <v>55</v>
      </c>
      <c r="B7">
        <v>55</v>
      </c>
      <c r="C7" s="28">
        <f t="shared" si="0"/>
        <v>2.2394136807817589E-2</v>
      </c>
    </row>
    <row r="8" spans="1:3" x14ac:dyDescent="0.25">
      <c r="A8" s="8" t="s">
        <v>1742</v>
      </c>
      <c r="B8" s="7">
        <v>2456</v>
      </c>
    </row>
    <row r="10" spans="1:3" x14ac:dyDescent="0.25">
      <c r="A10" s="7" t="s">
        <v>1762</v>
      </c>
      <c r="B10" s="30" t="s">
        <v>1752</v>
      </c>
      <c r="C10" s="30" t="s">
        <v>1760</v>
      </c>
    </row>
    <row r="11" spans="1:3" x14ac:dyDescent="0.25">
      <c r="A11" t="s">
        <v>51</v>
      </c>
      <c r="B11">
        <v>2423</v>
      </c>
      <c r="C11" s="28">
        <f>B11/$B$15</f>
        <v>0.74622728672620886</v>
      </c>
    </row>
    <row r="12" spans="1:3" x14ac:dyDescent="0.25">
      <c r="A12" t="s">
        <v>44</v>
      </c>
      <c r="B12">
        <v>391</v>
      </c>
      <c r="C12" s="28">
        <f t="shared" ref="C12:C14" si="1">B12/$B$15</f>
        <v>0.12041884816753927</v>
      </c>
    </row>
    <row r="13" spans="1:3" x14ac:dyDescent="0.25">
      <c r="A13" t="s">
        <v>165</v>
      </c>
      <c r="B13">
        <v>378</v>
      </c>
      <c r="C13" s="28">
        <f t="shared" si="1"/>
        <v>0.11641515244841392</v>
      </c>
    </row>
    <row r="14" spans="1:3" x14ac:dyDescent="0.25">
      <c r="A14" t="s">
        <v>55</v>
      </c>
      <c r="B14">
        <v>55</v>
      </c>
      <c r="C14" s="28">
        <f t="shared" si="1"/>
        <v>1.6938712657838004E-2</v>
      </c>
    </row>
    <row r="15" spans="1:3" s="7" customFormat="1" x14ac:dyDescent="0.25">
      <c r="A15" s="8" t="s">
        <v>1742</v>
      </c>
      <c r="B15" s="7">
        <v>3247</v>
      </c>
    </row>
  </sheetData>
  <sortState ref="A12:B15">
    <sortCondition descending="1" ref="B12:B15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A2" sqref="A2"/>
    </sheetView>
  </sheetViews>
  <sheetFormatPr defaultRowHeight="15" x14ac:dyDescent="0.25"/>
  <cols>
    <col min="1" max="1" width="62.140625" bestFit="1" customWidth="1"/>
    <col min="4" max="4" width="7.42578125" bestFit="1" customWidth="1"/>
    <col min="5" max="5" width="7.85546875" customWidth="1"/>
    <col min="7" max="7" width="8.140625" customWidth="1"/>
  </cols>
  <sheetData>
    <row r="1" spans="1:7" x14ac:dyDescent="0.25">
      <c r="A1" s="7" t="s">
        <v>1849</v>
      </c>
    </row>
    <row r="2" spans="1:7" ht="30.75" customHeight="1" x14ac:dyDescent="0.25">
      <c r="A2" s="7" t="s">
        <v>1766</v>
      </c>
      <c r="B2" s="184" t="s">
        <v>0</v>
      </c>
      <c r="C2" s="184"/>
      <c r="D2" s="184"/>
      <c r="F2" s="185" t="s">
        <v>1765</v>
      </c>
      <c r="G2" s="186"/>
    </row>
    <row r="3" spans="1:7" x14ac:dyDescent="0.25">
      <c r="A3" s="7" t="s">
        <v>1764</v>
      </c>
      <c r="B3" s="7" t="s">
        <v>1747</v>
      </c>
      <c r="C3" s="7" t="s">
        <v>1748</v>
      </c>
      <c r="D3" s="7" t="s">
        <v>1763</v>
      </c>
      <c r="F3" s="29" t="s">
        <v>1747</v>
      </c>
      <c r="G3" s="29" t="s">
        <v>1748</v>
      </c>
    </row>
    <row r="4" spans="1:7" x14ac:dyDescent="0.25">
      <c r="A4" t="s">
        <v>51</v>
      </c>
      <c r="B4">
        <v>8</v>
      </c>
      <c r="C4">
        <v>440</v>
      </c>
      <c r="D4">
        <v>448</v>
      </c>
      <c r="F4" s="28">
        <f>B4/$D$4</f>
        <v>1.7857142857142856E-2</v>
      </c>
      <c r="G4" s="28">
        <f>C4/$D$4</f>
        <v>0.9821428571428571</v>
      </c>
    </row>
    <row r="5" spans="1:7" x14ac:dyDescent="0.25">
      <c r="A5" t="s">
        <v>44</v>
      </c>
      <c r="C5">
        <v>109</v>
      </c>
      <c r="D5">
        <v>109</v>
      </c>
      <c r="F5" s="28"/>
      <c r="G5" s="28">
        <f>C5/$D$5</f>
        <v>1</v>
      </c>
    </row>
    <row r="6" spans="1:7" ht="30" x14ac:dyDescent="0.25">
      <c r="A6" s="9" t="s">
        <v>1744</v>
      </c>
      <c r="B6">
        <v>2</v>
      </c>
      <c r="C6">
        <v>24</v>
      </c>
      <c r="D6">
        <v>26</v>
      </c>
      <c r="F6" s="28">
        <f>B6/$D$6</f>
        <v>7.6923076923076927E-2</v>
      </c>
      <c r="G6" s="28">
        <f>C6/$D$6</f>
        <v>0.92307692307692313</v>
      </c>
    </row>
    <row r="7" spans="1:7" x14ac:dyDescent="0.25">
      <c r="A7" t="s">
        <v>55</v>
      </c>
      <c r="C7">
        <v>12</v>
      </c>
      <c r="D7">
        <v>12</v>
      </c>
      <c r="F7" s="28"/>
      <c r="G7" s="28">
        <v>1</v>
      </c>
    </row>
    <row r="8" spans="1:7" x14ac:dyDescent="0.25">
      <c r="A8" s="8" t="s">
        <v>1763</v>
      </c>
      <c r="B8" s="7">
        <v>10</v>
      </c>
      <c r="C8" s="7">
        <v>585</v>
      </c>
      <c r="D8" s="7">
        <v>595</v>
      </c>
      <c r="E8" s="7"/>
      <c r="F8" s="28">
        <f>B8/$D$8</f>
        <v>1.680672268907563E-2</v>
      </c>
      <c r="G8" s="32">
        <f>C8/$D$8</f>
        <v>0.98319327731092432</v>
      </c>
    </row>
    <row r="10" spans="1:7" x14ac:dyDescent="0.25">
      <c r="A10" s="7" t="s">
        <v>1850</v>
      </c>
    </row>
    <row r="11" spans="1:7" ht="30" customHeight="1" x14ac:dyDescent="0.25">
      <c r="A11" s="7" t="s">
        <v>1767</v>
      </c>
      <c r="B11" s="184" t="s">
        <v>0</v>
      </c>
      <c r="C11" s="184"/>
      <c r="D11" s="184"/>
      <c r="F11" s="185" t="s">
        <v>1765</v>
      </c>
      <c r="G11" s="186"/>
    </row>
    <row r="12" spans="1:7" x14ac:dyDescent="0.25">
      <c r="A12" s="7" t="s">
        <v>1764</v>
      </c>
      <c r="B12" s="7" t="s">
        <v>1747</v>
      </c>
      <c r="C12" s="7" t="s">
        <v>1748</v>
      </c>
      <c r="D12" s="7" t="s">
        <v>1763</v>
      </c>
      <c r="F12" s="29" t="s">
        <v>1747</v>
      </c>
      <c r="G12" s="29" t="s">
        <v>1748</v>
      </c>
    </row>
    <row r="13" spans="1:7" x14ac:dyDescent="0.25">
      <c r="A13" s="4" t="s">
        <v>51</v>
      </c>
      <c r="B13" s="3">
        <v>281</v>
      </c>
      <c r="C13" s="3">
        <v>1116</v>
      </c>
      <c r="D13" s="3">
        <v>1397</v>
      </c>
      <c r="F13" s="10">
        <f t="shared" ref="F13:G17" si="0">B13/$D13</f>
        <v>0.20114531138153185</v>
      </c>
      <c r="G13" s="10">
        <f t="shared" si="0"/>
        <v>0.7988546886184682</v>
      </c>
    </row>
    <row r="14" spans="1:7" x14ac:dyDescent="0.25">
      <c r="A14" s="4" t="s">
        <v>44</v>
      </c>
      <c r="B14" s="3">
        <v>41</v>
      </c>
      <c r="C14" s="3">
        <v>174</v>
      </c>
      <c r="D14" s="3">
        <v>215</v>
      </c>
      <c r="F14" s="10">
        <f t="shared" si="0"/>
        <v>0.19069767441860466</v>
      </c>
      <c r="G14" s="10">
        <f t="shared" si="0"/>
        <v>0.80930232558139537</v>
      </c>
    </row>
    <row r="15" spans="1:7" ht="30" x14ac:dyDescent="0.25">
      <c r="A15" s="33" t="s">
        <v>1745</v>
      </c>
      <c r="B15" s="3">
        <v>22</v>
      </c>
      <c r="C15" s="3">
        <v>168</v>
      </c>
      <c r="D15" s="3">
        <v>190</v>
      </c>
      <c r="F15" s="10">
        <f t="shared" si="0"/>
        <v>0.11578947368421053</v>
      </c>
      <c r="G15" s="10">
        <f t="shared" si="0"/>
        <v>0.88421052631578945</v>
      </c>
    </row>
    <row r="16" spans="1:7" x14ac:dyDescent="0.25">
      <c r="A16" s="4" t="s">
        <v>55</v>
      </c>
      <c r="B16" s="3">
        <v>6</v>
      </c>
      <c r="C16" s="3">
        <v>37</v>
      </c>
      <c r="D16" s="3">
        <v>43</v>
      </c>
      <c r="F16" s="10">
        <f t="shared" si="0"/>
        <v>0.13953488372093023</v>
      </c>
      <c r="G16" s="10">
        <f t="shared" si="0"/>
        <v>0.86046511627906974</v>
      </c>
    </row>
    <row r="17" spans="1:7" x14ac:dyDescent="0.25">
      <c r="A17" s="8" t="s">
        <v>1763</v>
      </c>
      <c r="B17" s="177">
        <v>350</v>
      </c>
      <c r="C17" s="177">
        <v>1495</v>
      </c>
      <c r="D17" s="177">
        <v>1845</v>
      </c>
      <c r="F17" s="10">
        <f t="shared" si="0"/>
        <v>0.18970189701897019</v>
      </c>
      <c r="G17" s="14">
        <f t="shared" si="0"/>
        <v>0.81029810298102978</v>
      </c>
    </row>
    <row r="19" spans="1:7" x14ac:dyDescent="0.25">
      <c r="A19" s="7" t="s">
        <v>1851</v>
      </c>
    </row>
    <row r="20" spans="1:7" ht="26.25" customHeight="1" x14ac:dyDescent="0.25">
      <c r="A20" s="7" t="s">
        <v>1768</v>
      </c>
      <c r="B20" s="184" t="s">
        <v>0</v>
      </c>
      <c r="C20" s="184"/>
      <c r="D20" s="184"/>
      <c r="F20" s="185" t="s">
        <v>1765</v>
      </c>
      <c r="G20" s="186"/>
    </row>
    <row r="21" spans="1:7" x14ac:dyDescent="0.25">
      <c r="A21" s="7" t="s">
        <v>1764</v>
      </c>
      <c r="B21" s="7" t="s">
        <v>1747</v>
      </c>
      <c r="C21" s="7" t="s">
        <v>1748</v>
      </c>
      <c r="D21" s="7" t="s">
        <v>1763</v>
      </c>
      <c r="F21" s="29" t="s">
        <v>1747</v>
      </c>
      <c r="G21" s="29" t="s">
        <v>1748</v>
      </c>
    </row>
    <row r="22" spans="1:7" x14ac:dyDescent="0.25">
      <c r="A22" t="s">
        <v>51</v>
      </c>
      <c r="B22">
        <v>411</v>
      </c>
      <c r="C22">
        <v>808</v>
      </c>
      <c r="D22">
        <v>1219</v>
      </c>
      <c r="E22" s="34">
        <f>D22/$D$26</f>
        <v>0.73301262778111842</v>
      </c>
      <c r="F22" s="10">
        <f>B22/$D22</f>
        <v>0.33716160787530763</v>
      </c>
      <c r="G22" s="10">
        <f>C22/$D22</f>
        <v>0.66283839212469242</v>
      </c>
    </row>
    <row r="23" spans="1:7" x14ac:dyDescent="0.25">
      <c r="A23" t="s">
        <v>44</v>
      </c>
      <c r="B23">
        <v>82</v>
      </c>
      <c r="C23">
        <v>177</v>
      </c>
      <c r="D23">
        <v>259</v>
      </c>
      <c r="E23" s="34">
        <f t="shared" ref="E23:E25" si="1">D23/$D$26</f>
        <v>0.15574263379434755</v>
      </c>
      <c r="F23" s="10">
        <f t="shared" ref="F23:F26" si="2">B23/$D23</f>
        <v>0.31660231660231658</v>
      </c>
      <c r="G23" s="10">
        <f t="shared" ref="G23:G26" si="3">C23/$D23</f>
        <v>0.68339768339768336</v>
      </c>
    </row>
    <row r="24" spans="1:7" ht="30" x14ac:dyDescent="0.25">
      <c r="A24" s="9" t="s">
        <v>1745</v>
      </c>
      <c r="B24">
        <v>32</v>
      </c>
      <c r="C24">
        <v>124</v>
      </c>
      <c r="D24">
        <v>156</v>
      </c>
      <c r="E24" s="34">
        <f t="shared" si="1"/>
        <v>9.3806374022850275E-2</v>
      </c>
      <c r="F24" s="10">
        <f t="shared" si="2"/>
        <v>0.20512820512820512</v>
      </c>
      <c r="G24" s="10">
        <f t="shared" si="3"/>
        <v>0.79487179487179482</v>
      </c>
    </row>
    <row r="25" spans="1:7" x14ac:dyDescent="0.25">
      <c r="A25" t="s">
        <v>55</v>
      </c>
      <c r="B25">
        <v>5</v>
      </c>
      <c r="C25">
        <v>24</v>
      </c>
      <c r="D25">
        <v>29</v>
      </c>
      <c r="E25" s="34">
        <f t="shared" si="1"/>
        <v>1.7438364401683705E-2</v>
      </c>
      <c r="F25" s="10">
        <f t="shared" si="2"/>
        <v>0.17241379310344829</v>
      </c>
      <c r="G25" s="10">
        <f t="shared" si="3"/>
        <v>0.82758620689655171</v>
      </c>
    </row>
    <row r="26" spans="1:7" x14ac:dyDescent="0.25">
      <c r="A26" s="8" t="s">
        <v>1763</v>
      </c>
      <c r="B26">
        <v>530</v>
      </c>
      <c r="C26">
        <v>1133</v>
      </c>
      <c r="D26">
        <v>1663</v>
      </c>
      <c r="E26" s="34"/>
      <c r="F26" s="10">
        <f t="shared" si="2"/>
        <v>0.31870114251352977</v>
      </c>
      <c r="G26" s="10">
        <f t="shared" si="3"/>
        <v>0.68129885748647023</v>
      </c>
    </row>
    <row r="28" spans="1:7" x14ac:dyDescent="0.25">
      <c r="A28" t="s">
        <v>1852</v>
      </c>
    </row>
    <row r="29" spans="1:7" ht="30" customHeight="1" x14ac:dyDescent="0.25">
      <c r="A29" s="7" t="s">
        <v>1769</v>
      </c>
      <c r="B29" s="184" t="s">
        <v>0</v>
      </c>
      <c r="C29" s="184"/>
      <c r="D29" s="184"/>
      <c r="F29" s="185" t="s">
        <v>1765</v>
      </c>
      <c r="G29" s="186"/>
    </row>
    <row r="30" spans="1:7" x14ac:dyDescent="0.25">
      <c r="A30" s="7" t="s">
        <v>1764</v>
      </c>
      <c r="B30" s="7" t="s">
        <v>1747</v>
      </c>
      <c r="C30" s="7" t="s">
        <v>1748</v>
      </c>
      <c r="D30" s="7" t="s">
        <v>1763</v>
      </c>
      <c r="F30" s="29" t="s">
        <v>1747</v>
      </c>
      <c r="G30" s="29" t="s">
        <v>1748</v>
      </c>
    </row>
    <row r="31" spans="1:7" x14ac:dyDescent="0.25">
      <c r="A31" t="s">
        <v>51</v>
      </c>
      <c r="B31">
        <v>669</v>
      </c>
      <c r="C31">
        <v>528</v>
      </c>
      <c r="D31">
        <v>1197</v>
      </c>
      <c r="E31" s="34">
        <f>D31/$D$35</f>
        <v>0.7633928571428571</v>
      </c>
      <c r="F31" s="10">
        <f t="shared" ref="F31:G34" si="4">B31/$D31</f>
        <v>0.55889724310776945</v>
      </c>
      <c r="G31" s="10">
        <f t="shared" si="4"/>
        <v>0.44110275689223055</v>
      </c>
    </row>
    <row r="32" spans="1:7" ht="30" x14ac:dyDescent="0.25">
      <c r="A32" s="9" t="s">
        <v>1745</v>
      </c>
      <c r="B32">
        <v>86</v>
      </c>
      <c r="C32">
        <v>135</v>
      </c>
      <c r="D32">
        <v>221</v>
      </c>
      <c r="E32" s="34">
        <f t="shared" ref="E32:E34" si="5">D32/$D$35</f>
        <v>0.14094387755102042</v>
      </c>
      <c r="F32" s="10">
        <f t="shared" si="4"/>
        <v>0.38914027149321267</v>
      </c>
      <c r="G32" s="10">
        <f t="shared" si="4"/>
        <v>0.61085972850678738</v>
      </c>
    </row>
    <row r="33" spans="1:7" x14ac:dyDescent="0.25">
      <c r="A33" t="s">
        <v>44</v>
      </c>
      <c r="B33">
        <v>59</v>
      </c>
      <c r="C33">
        <v>65</v>
      </c>
      <c r="D33">
        <v>124</v>
      </c>
      <c r="E33" s="34">
        <f t="shared" si="5"/>
        <v>7.9081632653061229E-2</v>
      </c>
      <c r="F33" s="10">
        <f t="shared" si="4"/>
        <v>0.47580645161290325</v>
      </c>
      <c r="G33" s="10">
        <f t="shared" si="4"/>
        <v>0.52419354838709675</v>
      </c>
    </row>
    <row r="34" spans="1:7" x14ac:dyDescent="0.25">
      <c r="A34" t="s">
        <v>55</v>
      </c>
      <c r="B34">
        <v>6</v>
      </c>
      <c r="C34">
        <v>20</v>
      </c>
      <c r="D34">
        <v>26</v>
      </c>
      <c r="E34" s="34">
        <f t="shared" si="5"/>
        <v>1.6581632653061226E-2</v>
      </c>
      <c r="F34" s="10">
        <f t="shared" si="4"/>
        <v>0.23076923076923078</v>
      </c>
      <c r="G34" s="10">
        <f t="shared" si="4"/>
        <v>0.76923076923076927</v>
      </c>
    </row>
    <row r="35" spans="1:7" x14ac:dyDescent="0.25">
      <c r="A35" s="8" t="s">
        <v>1763</v>
      </c>
      <c r="B35" s="7">
        <v>820</v>
      </c>
      <c r="C35">
        <v>748</v>
      </c>
      <c r="D35">
        <v>1568</v>
      </c>
      <c r="E35" s="34"/>
      <c r="F35" s="14">
        <f t="shared" ref="F35" si="6">B35/$D35</f>
        <v>0.52295918367346939</v>
      </c>
      <c r="G35" s="10">
        <f t="shared" ref="G35" si="7">C35/$D35</f>
        <v>0.47704081632653061</v>
      </c>
    </row>
    <row r="41" spans="1:7" x14ac:dyDescent="0.25">
      <c r="A41" s="176"/>
    </row>
  </sheetData>
  <sortState ref="A31:G34">
    <sortCondition descending="1" ref="D31:D34"/>
  </sortState>
  <mergeCells count="8">
    <mergeCell ref="B29:D29"/>
    <mergeCell ref="F29:G29"/>
    <mergeCell ref="B2:D2"/>
    <mergeCell ref="F2:G2"/>
    <mergeCell ref="B11:D11"/>
    <mergeCell ref="F11:G11"/>
    <mergeCell ref="B20:D20"/>
    <mergeCell ref="F20:G20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D2" sqref="D2"/>
    </sheetView>
  </sheetViews>
  <sheetFormatPr defaultRowHeight="15" x14ac:dyDescent="0.25"/>
  <cols>
    <col min="1" max="1" width="20.85546875" bestFit="1" customWidth="1"/>
    <col min="2" max="2" width="7.42578125" bestFit="1" customWidth="1"/>
    <col min="3" max="3" width="8.7109375" bestFit="1" customWidth="1"/>
    <col min="4" max="5" width="7.42578125" bestFit="1" customWidth="1"/>
    <col min="6" max="6" width="4.85546875" customWidth="1"/>
  </cols>
  <sheetData>
    <row r="1" spans="1:9" x14ac:dyDescent="0.25">
      <c r="A1" s="7" t="s">
        <v>1853</v>
      </c>
    </row>
    <row r="3" spans="1:9" x14ac:dyDescent="0.25">
      <c r="A3" t="s">
        <v>1770</v>
      </c>
      <c r="B3" t="s">
        <v>1747</v>
      </c>
      <c r="C3" t="s">
        <v>1748</v>
      </c>
      <c r="D3" t="s">
        <v>1763</v>
      </c>
    </row>
    <row r="4" spans="1:9" x14ac:dyDescent="0.25">
      <c r="A4" s="7" t="s">
        <v>1757</v>
      </c>
      <c r="B4" s="7">
        <v>355</v>
      </c>
      <c r="C4" s="7">
        <v>2078</v>
      </c>
      <c r="D4" s="7">
        <v>2433</v>
      </c>
      <c r="F4" s="10"/>
      <c r="G4" s="10"/>
    </row>
    <row r="5" spans="1:9" x14ac:dyDescent="0.25">
      <c r="A5" s="17" t="s">
        <v>48</v>
      </c>
      <c r="B5">
        <v>158</v>
      </c>
      <c r="C5">
        <v>723</v>
      </c>
      <c r="D5">
        <v>881</v>
      </c>
      <c r="F5" s="10"/>
      <c r="G5" s="10"/>
    </row>
    <row r="6" spans="1:9" x14ac:dyDescent="0.25">
      <c r="A6" s="17" t="s">
        <v>88</v>
      </c>
      <c r="B6">
        <v>13</v>
      </c>
      <c r="C6">
        <v>67</v>
      </c>
      <c r="D6">
        <v>80</v>
      </c>
      <c r="F6" s="10"/>
      <c r="G6" s="10"/>
    </row>
    <row r="7" spans="1:9" x14ac:dyDescent="0.25">
      <c r="A7" s="17" t="s">
        <v>35</v>
      </c>
      <c r="B7">
        <v>184</v>
      </c>
      <c r="C7">
        <v>1288</v>
      </c>
      <c r="D7">
        <v>1472</v>
      </c>
      <c r="F7" s="10"/>
      <c r="G7" s="10"/>
    </row>
    <row r="8" spans="1:9" x14ac:dyDescent="0.25">
      <c r="A8" s="7" t="s">
        <v>1758</v>
      </c>
      <c r="B8" s="7">
        <v>1358</v>
      </c>
      <c r="C8" s="7">
        <v>1896</v>
      </c>
      <c r="D8" s="7">
        <v>3254</v>
      </c>
      <c r="F8" s="10"/>
      <c r="G8" s="10"/>
    </row>
    <row r="9" spans="1:9" x14ac:dyDescent="0.25">
      <c r="A9" s="17" t="s">
        <v>48</v>
      </c>
      <c r="B9">
        <v>813</v>
      </c>
      <c r="C9">
        <v>1042</v>
      </c>
      <c r="D9">
        <v>1855</v>
      </c>
      <c r="F9" s="10"/>
      <c r="G9" s="10"/>
    </row>
    <row r="10" spans="1:9" x14ac:dyDescent="0.25">
      <c r="A10" s="17" t="s">
        <v>88</v>
      </c>
      <c r="B10">
        <v>9</v>
      </c>
      <c r="C10">
        <v>12</v>
      </c>
      <c r="D10">
        <v>21</v>
      </c>
      <c r="F10" s="10"/>
      <c r="G10" s="10"/>
    </row>
    <row r="11" spans="1:9" x14ac:dyDescent="0.25">
      <c r="A11" s="17" t="s">
        <v>35</v>
      </c>
      <c r="B11">
        <v>536</v>
      </c>
      <c r="C11">
        <v>842</v>
      </c>
      <c r="D11">
        <v>1378</v>
      </c>
      <c r="F11" s="10"/>
      <c r="G11" s="10"/>
    </row>
    <row r="12" spans="1:9" x14ac:dyDescent="0.25">
      <c r="A12" s="8" t="s">
        <v>1742</v>
      </c>
      <c r="B12">
        <v>1713</v>
      </c>
      <c r="C12">
        <v>3974</v>
      </c>
      <c r="D12">
        <v>5687</v>
      </c>
      <c r="F12" s="10"/>
      <c r="G12" s="10"/>
    </row>
    <row r="16" spans="1:9" x14ac:dyDescent="0.25">
      <c r="A16" s="7" t="s">
        <v>0</v>
      </c>
      <c r="B16" s="30" t="s">
        <v>48</v>
      </c>
      <c r="C16" s="30" t="s">
        <v>88</v>
      </c>
      <c r="D16" s="30" t="s">
        <v>35</v>
      </c>
      <c r="E16" t="s">
        <v>1763</v>
      </c>
      <c r="G16" s="30" t="s">
        <v>48</v>
      </c>
      <c r="H16" s="30" t="s">
        <v>88</v>
      </c>
      <c r="I16" s="30" t="s">
        <v>35</v>
      </c>
    </row>
    <row r="17" spans="1:9" x14ac:dyDescent="0.25">
      <c r="A17" s="7" t="s">
        <v>1747</v>
      </c>
      <c r="B17" s="16">
        <v>971</v>
      </c>
      <c r="C17" s="16">
        <v>22</v>
      </c>
      <c r="D17" s="16">
        <v>720</v>
      </c>
      <c r="E17" s="13">
        <v>1713</v>
      </c>
      <c r="G17" s="14">
        <f>B17/$E17</f>
        <v>0.56684179801517809</v>
      </c>
      <c r="H17" s="14">
        <f t="shared" ref="H17:I17" si="0">C17/$E17</f>
        <v>1.284296555750146E-2</v>
      </c>
      <c r="I17" s="14">
        <f t="shared" si="0"/>
        <v>0.42031523642732049</v>
      </c>
    </row>
    <row r="18" spans="1:9" x14ac:dyDescent="0.25">
      <c r="A18" s="17" t="s">
        <v>1757</v>
      </c>
      <c r="B18" s="35">
        <v>158</v>
      </c>
      <c r="C18" s="35">
        <v>13</v>
      </c>
      <c r="D18" s="35">
        <v>184</v>
      </c>
      <c r="E18" s="12">
        <v>355</v>
      </c>
      <c r="G18" s="10">
        <f t="shared" ref="G18:G23" si="1">B18/$E18</f>
        <v>0.44507042253521129</v>
      </c>
      <c r="H18" s="10">
        <f t="shared" ref="H18:H23" si="2">C18/$E18</f>
        <v>3.6619718309859155E-2</v>
      </c>
      <c r="I18" s="10">
        <f t="shared" ref="I18:I23" si="3">D18/$E18</f>
        <v>0.51830985915492955</v>
      </c>
    </row>
    <row r="19" spans="1:9" x14ac:dyDescent="0.25">
      <c r="A19" s="17" t="s">
        <v>1758</v>
      </c>
      <c r="B19" s="35">
        <v>813</v>
      </c>
      <c r="C19" s="35">
        <v>9</v>
      </c>
      <c r="D19" s="35">
        <v>536</v>
      </c>
      <c r="E19" s="12">
        <v>1358</v>
      </c>
      <c r="G19" s="10">
        <f t="shared" si="1"/>
        <v>0.59867452135493371</v>
      </c>
      <c r="H19" s="10">
        <f t="shared" si="2"/>
        <v>6.6273932253313695E-3</v>
      </c>
      <c r="I19" s="10">
        <f t="shared" si="3"/>
        <v>0.39469808541973489</v>
      </c>
    </row>
    <row r="20" spans="1:9" x14ac:dyDescent="0.25">
      <c r="A20" s="7" t="s">
        <v>1748</v>
      </c>
      <c r="B20" s="16">
        <v>1765</v>
      </c>
      <c r="C20" s="16">
        <v>79</v>
      </c>
      <c r="D20" s="16">
        <v>2130</v>
      </c>
      <c r="E20" s="13">
        <v>3974</v>
      </c>
      <c r="G20" s="14">
        <f t="shared" si="1"/>
        <v>0.44413688978359334</v>
      </c>
      <c r="H20" s="14">
        <f t="shared" si="2"/>
        <v>1.9879214896829391E-2</v>
      </c>
      <c r="I20" s="14">
        <f t="shared" si="3"/>
        <v>0.53598389531957724</v>
      </c>
    </row>
    <row r="21" spans="1:9" x14ac:dyDescent="0.25">
      <c r="A21" s="17" t="s">
        <v>1757</v>
      </c>
      <c r="B21" s="35">
        <v>723</v>
      </c>
      <c r="C21" s="35">
        <v>67</v>
      </c>
      <c r="D21" s="35">
        <v>1288</v>
      </c>
      <c r="E21" s="12">
        <v>2078</v>
      </c>
      <c r="G21" s="10">
        <f t="shared" si="1"/>
        <v>0.34793070259865255</v>
      </c>
      <c r="H21" s="10">
        <f t="shared" si="2"/>
        <v>3.2242540904716073E-2</v>
      </c>
      <c r="I21" s="10">
        <f t="shared" si="3"/>
        <v>0.61982675649663133</v>
      </c>
    </row>
    <row r="22" spans="1:9" x14ac:dyDescent="0.25">
      <c r="A22" s="17" t="s">
        <v>1758</v>
      </c>
      <c r="B22" s="35">
        <v>1042</v>
      </c>
      <c r="C22" s="35">
        <v>12</v>
      </c>
      <c r="D22" s="35">
        <v>842</v>
      </c>
      <c r="E22" s="12">
        <v>1896</v>
      </c>
      <c r="G22" s="10">
        <f t="shared" si="1"/>
        <v>0.54957805907172996</v>
      </c>
      <c r="H22" s="10">
        <f t="shared" si="2"/>
        <v>6.3291139240506328E-3</v>
      </c>
      <c r="I22" s="10">
        <f t="shared" si="3"/>
        <v>0.44409282700421943</v>
      </c>
    </row>
    <row r="23" spans="1:9" x14ac:dyDescent="0.25">
      <c r="A23" t="s">
        <v>1742</v>
      </c>
      <c r="B23" s="35">
        <v>2736</v>
      </c>
      <c r="C23" s="35">
        <v>101</v>
      </c>
      <c r="D23" s="35">
        <v>2850</v>
      </c>
      <c r="E23" s="12">
        <v>5687</v>
      </c>
      <c r="G23" s="10">
        <f t="shared" si="1"/>
        <v>0.48109723931774223</v>
      </c>
      <c r="H23" s="10">
        <f t="shared" si="2"/>
        <v>1.7759803059609634E-2</v>
      </c>
      <c r="I23" s="10">
        <f t="shared" si="3"/>
        <v>0.50114295762264816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Περιοχές με ονόματα</vt:lpstr>
      </vt:variant>
      <vt:variant>
        <vt:i4>1</vt:i4>
      </vt:variant>
    </vt:vector>
  </HeadingPairs>
  <TitlesOfParts>
    <vt:vector size="20" baseType="lpstr">
      <vt:lpstr>Pivot_data</vt:lpstr>
      <vt:lpstr>data</vt:lpstr>
      <vt:lpstr>Α1</vt:lpstr>
      <vt:lpstr>Α1.1</vt:lpstr>
      <vt:lpstr>Α2</vt:lpstr>
      <vt:lpstr>Α2.1-2</vt:lpstr>
      <vt:lpstr>Α3</vt:lpstr>
      <vt:lpstr>Α3.1-4</vt:lpstr>
      <vt:lpstr>Α4</vt:lpstr>
      <vt:lpstr>A5.1-3</vt:lpstr>
      <vt:lpstr>Pivot Dat_1</vt:lpstr>
      <vt:lpstr>DATA_1</vt:lpstr>
      <vt:lpstr>Α6.1-2</vt:lpstr>
      <vt:lpstr>Α7</vt:lpstr>
      <vt:lpstr>Α8</vt:lpstr>
      <vt:lpstr>Α9</vt:lpstr>
      <vt:lpstr>Α10.1</vt:lpstr>
      <vt:lpstr>Β</vt:lpstr>
      <vt:lpstr>Φύλλο1</vt:lpstr>
      <vt:lpstr>'Α3.1-4'!_ftn1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Στέφανος Τζιτζίδης</cp:lastModifiedBy>
  <dcterms:created xsi:type="dcterms:W3CDTF">2018-12-23T12:35:21Z</dcterms:created>
  <dcterms:modified xsi:type="dcterms:W3CDTF">2019-01-07T06:36:43Z</dcterms:modified>
</cp:coreProperties>
</file>